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6.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workbookPr defaultThemeVersion="166925"/>
  <mc:AlternateContent xmlns:mc="http://schemas.openxmlformats.org/markup-compatibility/2006">
    <mc:Choice Requires="x15">
      <x15ac:absPath xmlns:x15ac="http://schemas.microsoft.com/office/spreadsheetml/2010/11/ac" url="C:\Users\aaa\Documents\Mamta Project Drawdown\00-Integration 2021\Waste TAM 2021\"/>
    </mc:Choice>
  </mc:AlternateContent>
  <xr:revisionPtr revIDLastSave="0" documentId="13_ncr:1_{5FBBEC29-CC3F-47BF-8077-E28BCB92B8AD}" xr6:coauthVersionLast="47" xr6:coauthVersionMax="47" xr10:uidLastSave="{00000000-0000-0000-0000-000000000000}"/>
  <bookViews>
    <workbookView xWindow="-96" yWindow="-96" windowWidth="19392" windowHeight="10392" firstSheet="14" activeTab="15" xr2:uid="{00000000-000D-0000-FFFF-FFFF00000000}"/>
  </bookViews>
  <sheets>
    <sheet name="Table of Contents" sheetId="12" r:id="rId1"/>
    <sheet name="Overview" sheetId="13" r:id="rId2"/>
    <sheet name="Total MSW TAM Data_Updated2020" sheetId="34" r:id="rId3"/>
    <sheet name="MSW Integration Calcs PDS1 " sheetId="3" r:id="rId4"/>
    <sheet name="MSW Integration Calcs PDS1_Arch" sheetId="38" state="hidden" r:id="rId5"/>
    <sheet name="MSW Integration Calcs PDS2" sheetId="6" r:id="rId6"/>
    <sheet name="MSW Integration Calcs PDS2_Arch" sheetId="39" state="hidden" r:id="rId7"/>
    <sheet name="MSW Integration Calcs PDS3" sheetId="8" r:id="rId8"/>
    <sheet name="MSW Integration Calcs PDS3_Arch" sheetId="40" state="hidden" r:id="rId9"/>
    <sheet name="WTE Tonnes and Composition" sheetId="4" r:id="rId10"/>
    <sheet name="WTE and LM Analysis" sheetId="16" r:id="rId11"/>
    <sheet name="WTE and LM Analysis_2021 Archiv" sheetId="46" state="hidden" r:id="rId12"/>
    <sheet name="Landfill Methane" sheetId="15" r:id="rId13"/>
    <sheet name="Food System Summary" sheetId="7" r:id="rId14"/>
    <sheet name="Food System Summary_2021 Archiv" sheetId="44" r:id="rId15"/>
    <sheet name="Paper" sheetId="36" r:id="rId16"/>
    <sheet name="Paper_2021 Archive" sheetId="43" r:id="rId17"/>
    <sheet name="Compost" sheetId="10" r:id="rId18"/>
    <sheet name="Compost_2021 Archive" sheetId="41" r:id="rId19"/>
    <sheet name="H&amp;C Recycling" sheetId="11" r:id="rId20"/>
    <sheet name="H&amp;C Recycling_2021 Archive" sheetId="45" r:id="rId21"/>
    <sheet name="Bioplastics" sheetId="9" r:id="rId22"/>
    <sheet name="Bioplastics_2021 Archive" sheetId="42" r:id="rId23"/>
    <sheet name="Refrigerant Management" sheetId="17" r:id="rId24"/>
    <sheet name="Total MSW Summaries_Updated2020" sheetId="35" r:id="rId25"/>
    <sheet name="Total MSW TAM Data_2021 Archive" sheetId="37" r:id="rId26"/>
    <sheet name="What a Waste 2.0" sheetId="21" state="hidden" r:id="rId27"/>
    <sheet name="IPCC (2019 Refinement)" sheetId="22" state="hidden" r:id="rId28"/>
    <sheet name="UNEP Global Waste Management" sheetId="30" state="hidden" r:id="rId29"/>
    <sheet name="USA Data- EPA" sheetId="20" state="hidden" r:id="rId30"/>
    <sheet name="India Data" sheetId="32" state="hidden" r:id="rId31"/>
    <sheet name="Data Interpolator" sheetId="31" state="hidden" r:id="rId32"/>
    <sheet name="EU Data" sheetId="33" state="hidden" r:id="rId33"/>
    <sheet name="Total MSW Summaries (Archive)" sheetId="1" r:id="rId34"/>
    <sheet name="Total MSW TAM Data (Archive)" sheetId="2" r:id="rId35"/>
  </sheets>
  <externalReferences>
    <externalReference r:id="rId36"/>
    <externalReference r:id="rId37"/>
    <externalReference r:id="rId38"/>
    <externalReference r:id="rId39"/>
    <externalReference r:id="rId40"/>
    <externalReference r:id="rId41"/>
  </externalReferences>
  <definedNames>
    <definedName name="Adopt" localSheetId="31">#REF!</definedName>
    <definedName name="Adopt" localSheetId="15">#REF!</definedName>
    <definedName name="Adopt" localSheetId="16">#REF!</definedName>
    <definedName name="Adopt" localSheetId="24">#REF!</definedName>
    <definedName name="Adopt" localSheetId="25">#REF!</definedName>
    <definedName name="Adopt" localSheetId="2">#REF!</definedName>
    <definedName name="Adopt">#REF!</definedName>
    <definedName name="AdoptionInputAsia" localSheetId="31">#REF!</definedName>
    <definedName name="AdoptionInputAsia" localSheetId="15">#REF!</definedName>
    <definedName name="AdoptionInputAsia" localSheetId="16">#REF!</definedName>
    <definedName name="AdoptionInputAsia" localSheetId="24">#REF!</definedName>
    <definedName name="AdoptionInputAsia" localSheetId="25">#REF!</definedName>
    <definedName name="AdoptionInputAsia" localSheetId="2">#REF!</definedName>
    <definedName name="AdoptionInputAsia">#REF!</definedName>
    <definedName name="AdoptionInputChina" localSheetId="31">#REF!</definedName>
    <definedName name="AdoptionInputChina" localSheetId="15">#REF!</definedName>
    <definedName name="AdoptionInputChina" localSheetId="16">#REF!</definedName>
    <definedName name="AdoptionInputChina" localSheetId="24">#REF!</definedName>
    <definedName name="AdoptionInputChina" localSheetId="25">#REF!</definedName>
    <definedName name="AdoptionInputChina" localSheetId="2">#REF!</definedName>
    <definedName name="AdoptionInputChina">#REF!</definedName>
    <definedName name="AdoptionInputEasternEurope" localSheetId="31">#REF!</definedName>
    <definedName name="AdoptionInputEasternEurope" localSheetId="15">#REF!</definedName>
    <definedName name="AdoptionInputEasternEurope" localSheetId="16">#REF!</definedName>
    <definedName name="AdoptionInputEasternEurope" localSheetId="24">#REF!</definedName>
    <definedName name="AdoptionInputEasternEurope" localSheetId="25">#REF!</definedName>
    <definedName name="AdoptionInputEasternEurope" localSheetId="2">#REF!</definedName>
    <definedName name="AdoptionInputEasternEurope">#REF!</definedName>
    <definedName name="AdoptionInputEU" localSheetId="31">#REF!</definedName>
    <definedName name="AdoptionInputEU" localSheetId="15">#REF!</definedName>
    <definedName name="AdoptionInputEU" localSheetId="16">#REF!</definedName>
    <definedName name="AdoptionInputEU" localSheetId="24">#REF!</definedName>
    <definedName name="AdoptionInputEU" localSheetId="25">#REF!</definedName>
    <definedName name="AdoptionInputEU" localSheetId="2">#REF!</definedName>
    <definedName name="AdoptionInputEU">#REF!</definedName>
    <definedName name="AdoptionInputGlobalData" localSheetId="31">#REF!</definedName>
    <definedName name="AdoptionInputGlobalData" localSheetId="15">#REF!</definedName>
    <definedName name="AdoptionInputGlobalData" localSheetId="16">#REF!</definedName>
    <definedName name="AdoptionInputGlobalData" localSheetId="24">#REF!</definedName>
    <definedName name="AdoptionInputGlobalData" localSheetId="25">#REF!</definedName>
    <definedName name="AdoptionInputGlobalData" localSheetId="2">#REF!</definedName>
    <definedName name="AdoptionInputGlobalData">#REF!</definedName>
    <definedName name="AdoptionInputIndia" localSheetId="31">#REF!</definedName>
    <definedName name="AdoptionInputIndia" localSheetId="15">#REF!</definedName>
    <definedName name="AdoptionInputIndia" localSheetId="16">#REF!</definedName>
    <definedName name="AdoptionInputIndia" localSheetId="24">#REF!</definedName>
    <definedName name="AdoptionInputIndia" localSheetId="25">#REF!</definedName>
    <definedName name="AdoptionInputIndia" localSheetId="2">#REF!</definedName>
    <definedName name="AdoptionInputIndia">#REF!</definedName>
    <definedName name="AdoptionInputLatinAmerica" localSheetId="31">#REF!</definedName>
    <definedName name="AdoptionInputLatinAmerica" localSheetId="15">#REF!</definedName>
    <definedName name="AdoptionInputLatinAmerica" localSheetId="16">#REF!</definedName>
    <definedName name="AdoptionInputLatinAmerica" localSheetId="24">#REF!</definedName>
    <definedName name="AdoptionInputLatinAmerica" localSheetId="25">#REF!</definedName>
    <definedName name="AdoptionInputLatinAmerica" localSheetId="2">#REF!</definedName>
    <definedName name="AdoptionInputLatinAmerica">#REF!</definedName>
    <definedName name="AdoptionInputMiddleEastAfrica" localSheetId="31">#REF!</definedName>
    <definedName name="AdoptionInputMiddleEastAfrica" localSheetId="15">#REF!</definedName>
    <definedName name="AdoptionInputMiddleEastAfrica" localSheetId="16">#REF!</definedName>
    <definedName name="AdoptionInputMiddleEastAfrica" localSheetId="24">#REF!</definedName>
    <definedName name="AdoptionInputMiddleEastAfrica" localSheetId="25">#REF!</definedName>
    <definedName name="AdoptionInputMiddleEastAfrica" localSheetId="2">#REF!</definedName>
    <definedName name="AdoptionInputMiddleEastAfrica">#REF!</definedName>
    <definedName name="AdoptionInputOECD90" localSheetId="31">#REF!</definedName>
    <definedName name="AdoptionInputOECD90" localSheetId="15">#REF!</definedName>
    <definedName name="AdoptionInputOECD90" localSheetId="16">#REF!</definedName>
    <definedName name="AdoptionInputOECD90" localSheetId="24">#REF!</definedName>
    <definedName name="AdoptionInputOECD90" localSheetId="25">#REF!</definedName>
    <definedName name="AdoptionInputOECD90" localSheetId="2">#REF!</definedName>
    <definedName name="AdoptionInputOECD90">#REF!</definedName>
    <definedName name="AdoptionInputUSA" localSheetId="31">#REF!</definedName>
    <definedName name="AdoptionInputUSA" localSheetId="15">#REF!</definedName>
    <definedName name="AdoptionInputUSA" localSheetId="16">#REF!</definedName>
    <definedName name="AdoptionInputUSA" localSheetId="24">#REF!</definedName>
    <definedName name="AdoptionInputUSA" localSheetId="25">#REF!</definedName>
    <definedName name="AdoptionInputUSA" localSheetId="2">#REF!</definedName>
    <definedName name="AdoptionInputUSA">#REF!</definedName>
    <definedName name="AdoptionLinearRegression" localSheetId="31">#REF!</definedName>
    <definedName name="AdoptionLinearRegression" localSheetId="15">#REF!</definedName>
    <definedName name="AdoptionLinearRegression" localSheetId="16">#REF!</definedName>
    <definedName name="AdoptionLinearRegression" localSheetId="24">#REF!</definedName>
    <definedName name="AdoptionLinearRegression" localSheetId="25">#REF!</definedName>
    <definedName name="AdoptionLinearRegression" localSheetId="2">#REF!</definedName>
    <definedName name="AdoptionLinearRegression">#REF!</definedName>
    <definedName name="AdoptionScenarioInputs" localSheetId="31">#REF!</definedName>
    <definedName name="AdoptionScenarioInputs" localSheetId="15">#REF!</definedName>
    <definedName name="AdoptionScenarioInputs" localSheetId="16">#REF!</definedName>
    <definedName name="AdoptionScenarioInputs" localSheetId="24">#REF!</definedName>
    <definedName name="AdoptionScenarioInputs" localSheetId="25">#REF!</definedName>
    <definedName name="AdoptionScenarioInputs" localSheetId="2">#REF!</definedName>
    <definedName name="AdoptionScenarioInputs">#REF!</definedName>
    <definedName name="AdoptionTrendGrowth" localSheetId="31">#REF!</definedName>
    <definedName name="AdoptionTrendGrowth" localSheetId="15">#REF!</definedName>
    <definedName name="AdoptionTrendGrowth" localSheetId="16">#REF!</definedName>
    <definedName name="AdoptionTrendGrowth" localSheetId="24">#REF!</definedName>
    <definedName name="AdoptionTrendGrowth" localSheetId="25">#REF!</definedName>
    <definedName name="AdoptionTrendGrowth" localSheetId="2">#REF!</definedName>
    <definedName name="AdoptionTrendGrowth">#REF!</definedName>
    <definedName name="AdoptionUnitOfMeasure" localSheetId="31">#REF!</definedName>
    <definedName name="AdoptionUnitOfMeasure" localSheetId="15">#REF!</definedName>
    <definedName name="AdoptionUnitOfMeasure" localSheetId="16">#REF!</definedName>
    <definedName name="AdoptionUnitOfMeasure" localSheetId="24">#REF!</definedName>
    <definedName name="AdoptionUnitOfMeasure" localSheetId="25">#REF!</definedName>
    <definedName name="AdoptionUnitOfMeasure" localSheetId="2">#REF!</definedName>
    <definedName name="AdoptionUnitOfMeasure">#REF!</definedName>
    <definedName name="Alpha">'[1]C. Adoption Curve'!$B$119</definedName>
    <definedName name="BuiltInLearningRate" localSheetId="31">#REF!</definedName>
    <definedName name="BuiltInLearningRate" localSheetId="15">#REF!</definedName>
    <definedName name="BuiltInLearningRate" localSheetId="16">#REF!</definedName>
    <definedName name="BuiltInLearningRate" localSheetId="24">#REF!</definedName>
    <definedName name="BuiltInLearningRate" localSheetId="25">#REF!</definedName>
    <definedName name="BuiltInLearningRate" localSheetId="2">#REF!</definedName>
    <definedName name="BuiltInLearningRate">#REF!</definedName>
    <definedName name="CH4CalcsCH4PPB" localSheetId="31">'[2]CH4 Calcs'!$A$47</definedName>
    <definedName name="CH4CalcsCH4PPB">'[3]CH4 Calcs'!$A$47</definedName>
    <definedName name="CH4CalcsCH4Reduced" localSheetId="31">'[2]CH4 Calcs'!$A$7</definedName>
    <definedName name="CH4CalcsCH4Reduced">'[3]CH4 Calcs'!$A$7</definedName>
    <definedName name="ChoiceListFeedstocks">[4]Chains!$H$11:$H$12</definedName>
    <definedName name="CO2CalcsCO2eqMMT" localSheetId="31">#REF!</definedName>
    <definedName name="CO2CalcsCO2eqMMT" localSheetId="15">#REF!</definedName>
    <definedName name="CO2CalcsCO2eqMMT" localSheetId="16">#REF!</definedName>
    <definedName name="CO2CalcsCO2eqMMT" localSheetId="24">#REF!</definedName>
    <definedName name="CO2CalcsCO2eqMMT" localSheetId="25">#REF!</definedName>
    <definedName name="CO2CalcsCO2eqMMT" localSheetId="2">#REF!</definedName>
    <definedName name="CO2CalcsCO2eqMMT">#REF!</definedName>
    <definedName name="CO2CalcsCO2eqPPM" localSheetId="31">#REF!</definedName>
    <definedName name="CO2CalcsCO2eqPPM" localSheetId="15">#REF!</definedName>
    <definedName name="CO2CalcsCO2eqPPM" localSheetId="16">#REF!</definedName>
    <definedName name="CO2CalcsCO2eqPPM" localSheetId="24">#REF!</definedName>
    <definedName name="CO2CalcsCO2eqPPM" localSheetId="25">#REF!</definedName>
    <definedName name="CO2CalcsCO2eqPPM" localSheetId="2">#REF!</definedName>
    <definedName name="CO2CalcsCO2eqPPM">#REF!</definedName>
    <definedName name="CO2CalcsCO2MMT" localSheetId="31">#REF!</definedName>
    <definedName name="CO2CalcsCO2MMT" localSheetId="15">#REF!</definedName>
    <definedName name="CO2CalcsCO2MMT" localSheetId="16">#REF!</definedName>
    <definedName name="CO2CalcsCO2MMT" localSheetId="24">#REF!</definedName>
    <definedName name="CO2CalcsCO2MMT" localSheetId="25">#REF!</definedName>
    <definedName name="CO2CalcsCO2MMT" localSheetId="2">#REF!</definedName>
    <definedName name="CO2CalcsCO2MMT">#REF!</definedName>
    <definedName name="CO2CalcsCO2PPM" localSheetId="31">#REF!</definedName>
    <definedName name="CO2CalcsCO2PPM" localSheetId="15">#REF!</definedName>
    <definedName name="CO2CalcsCO2PPM" localSheetId="16">#REF!</definedName>
    <definedName name="CO2CalcsCO2PPM" localSheetId="24">#REF!</definedName>
    <definedName name="CO2CalcsCO2PPM" localSheetId="25">#REF!</definedName>
    <definedName name="CO2CalcsCO2PPM" localSheetId="2">#REF!</definedName>
    <definedName name="CO2CalcsCO2PPM">#REF!</definedName>
    <definedName name="COMMONCONVERSIONS" localSheetId="31">#REF!</definedName>
    <definedName name="COMMONCONVERSIONS" localSheetId="15">#REF!</definedName>
    <definedName name="COMMONCONVERSIONS" localSheetId="16">#REF!</definedName>
    <definedName name="COMMONCONVERSIONS" localSheetId="24">#REF!</definedName>
    <definedName name="COMMONCONVERSIONS" localSheetId="25">#REF!</definedName>
    <definedName name="COMMONCONVERSIONS" localSheetId="2">#REF!</definedName>
    <definedName name="COMMONCONVERSIONS">#REF!</definedName>
    <definedName name="CurrentAdoptionMix" localSheetId="31">#REF!</definedName>
    <definedName name="CurrentAdoptionMix" localSheetId="15">#REF!</definedName>
    <definedName name="CurrentAdoptionMix" localSheetId="16">#REF!</definedName>
    <definedName name="CurrentAdoptionMix" localSheetId="24">#REF!</definedName>
    <definedName name="CurrentAdoptionMix" localSheetId="25">#REF!</definedName>
    <definedName name="CurrentAdoptionMix" localSheetId="2">#REF!</definedName>
    <definedName name="CurrentAdoptionMix">#REF!</definedName>
    <definedName name="CurrentAdoptionOfSolution" localSheetId="31">#REF!</definedName>
    <definedName name="CurrentAdoptionOfSolution" localSheetId="15">#REF!</definedName>
    <definedName name="CurrentAdoptionOfSolution" localSheetId="16">#REF!</definedName>
    <definedName name="CurrentAdoptionOfSolution" localSheetId="24">#REF!</definedName>
    <definedName name="CurrentAdoptionOfSolution" localSheetId="25">#REF!</definedName>
    <definedName name="CurrentAdoptionOfSolution" localSheetId="2">#REF!</definedName>
    <definedName name="CurrentAdoptionOfSolution">#REF!</definedName>
    <definedName name="CustomAdoptionCustomizedAdoption" localSheetId="31">#REF!</definedName>
    <definedName name="CustomAdoptionCustomizedAdoption" localSheetId="15">#REF!</definedName>
    <definedName name="CustomAdoptionCustomizedAdoption" localSheetId="16">#REF!</definedName>
    <definedName name="CustomAdoptionCustomizedAdoption" localSheetId="24">#REF!</definedName>
    <definedName name="CustomAdoptionCustomizedAdoption" localSheetId="25">#REF!</definedName>
    <definedName name="CustomAdoptionCustomizedAdoption" localSheetId="2">#REF!</definedName>
    <definedName name="CustomAdoptionCustomizedAdoption">#REF!</definedName>
    <definedName name="CustomAdoptionDefaultSCurve" localSheetId="31">#REF!</definedName>
    <definedName name="CustomAdoptionDefaultSCurve" localSheetId="15">#REF!</definedName>
    <definedName name="CustomAdoptionDefaultSCurve" localSheetId="16">#REF!</definedName>
    <definedName name="CustomAdoptionDefaultSCurve" localSheetId="24">#REF!</definedName>
    <definedName name="CustomAdoptionDefaultSCurve" localSheetId="25">#REF!</definedName>
    <definedName name="CustomAdoptionDefaultSCurve" localSheetId="2">#REF!</definedName>
    <definedName name="CustomAdoptionDefaultSCurve">#REF!</definedName>
    <definedName name="CustomAdoptionExtrapolationSCurve" localSheetId="31">#REF!</definedName>
    <definedName name="CustomAdoptionExtrapolationSCurve" localSheetId="15">#REF!</definedName>
    <definedName name="CustomAdoptionExtrapolationSCurve" localSheetId="16">#REF!</definedName>
    <definedName name="CustomAdoptionExtrapolationSCurve" localSheetId="24">#REF!</definedName>
    <definedName name="CustomAdoptionExtrapolationSCurve" localSheetId="25">#REF!</definedName>
    <definedName name="CustomAdoptionExtrapolationSCurve" localSheetId="2">#REF!</definedName>
    <definedName name="CustomAdoptionExtrapolationSCurve">#REF!</definedName>
    <definedName name="DirectEmissionsReduction" localSheetId="31">#REF!</definedName>
    <definedName name="DirectEmissionsReduction" localSheetId="15">#REF!</definedName>
    <definedName name="DirectEmissionsReduction" localSheetId="16">#REF!</definedName>
    <definedName name="DirectEmissionsReduction" localSheetId="24">#REF!</definedName>
    <definedName name="DirectEmissionsReduction" localSheetId="25">#REF!</definedName>
    <definedName name="DirectEmissionsReduction" localSheetId="2">#REF!</definedName>
    <definedName name="DirectEmissionsReduction">#REF!</definedName>
    <definedName name="DisposalCostConventional" localSheetId="31">#REF!</definedName>
    <definedName name="DisposalCostConventional" localSheetId="15">#REF!</definedName>
    <definedName name="DisposalCostConventional" localSheetId="16">#REF!</definedName>
    <definedName name="DisposalCostConventional" localSheetId="24">#REF!</definedName>
    <definedName name="DisposalCostConventional" localSheetId="25">#REF!</definedName>
    <definedName name="DisposalCostConventional" localSheetId="2">#REF!</definedName>
    <definedName name="DisposalCostConventional">#REF!</definedName>
    <definedName name="DisposalCostSolution" localSheetId="31">#REF!</definedName>
    <definedName name="DisposalCostSolution" localSheetId="15">#REF!</definedName>
    <definedName name="DisposalCostSolution" localSheetId="16">#REF!</definedName>
    <definedName name="DisposalCostSolution" localSheetId="24">#REF!</definedName>
    <definedName name="DisposalCostSolution" localSheetId="25">#REF!</definedName>
    <definedName name="DisposalCostSolution" localSheetId="2">#REF!</definedName>
    <definedName name="DisposalCostSolution">#REF!</definedName>
    <definedName name="EmissionsFactorsBAUGridEFCO2" localSheetId="31">#REF!</definedName>
    <definedName name="EmissionsFactorsBAUGridEFCO2" localSheetId="15">#REF!</definedName>
    <definedName name="EmissionsFactorsBAUGridEFCO2" localSheetId="16">#REF!</definedName>
    <definedName name="EmissionsFactorsBAUGridEFCO2" localSheetId="24">#REF!</definedName>
    <definedName name="EmissionsFactorsBAUGridEFCO2" localSheetId="25">#REF!</definedName>
    <definedName name="EmissionsFactorsBAUGridEFCO2" localSheetId="2">#REF!</definedName>
    <definedName name="EmissionsFactorsBAUGridEFCO2">#REF!</definedName>
    <definedName name="EmissionsFactorsBAUGridEFCO2eq" localSheetId="31">#REF!</definedName>
    <definedName name="EmissionsFactorsBAUGridEFCO2eq" localSheetId="15">#REF!</definedName>
    <definedName name="EmissionsFactorsBAUGridEFCO2eq" localSheetId="16">#REF!</definedName>
    <definedName name="EmissionsFactorsBAUGridEFCO2eq" localSheetId="24">#REF!</definedName>
    <definedName name="EmissionsFactorsBAUGridEFCO2eq" localSheetId="25">#REF!</definedName>
    <definedName name="EmissionsFactorsBAUGridEFCO2eq" localSheetId="2">#REF!</definedName>
    <definedName name="EmissionsFactorsBAUGridEFCO2eq">#REF!</definedName>
    <definedName name="EmissionsFactorsOPTGridEFCO2" localSheetId="31">#REF!</definedName>
    <definedName name="EmissionsFactorsOPTGridEFCO2" localSheetId="15">#REF!</definedName>
    <definedName name="EmissionsFactorsOPTGridEFCO2" localSheetId="16">#REF!</definedName>
    <definedName name="EmissionsFactorsOPTGridEFCO2" localSheetId="24">#REF!</definedName>
    <definedName name="EmissionsFactorsOPTGridEFCO2" localSheetId="25">#REF!</definedName>
    <definedName name="EmissionsFactorsOPTGridEFCO2" localSheetId="2">#REF!</definedName>
    <definedName name="EmissionsFactorsOPTGridEFCO2">#REF!</definedName>
    <definedName name="EmissionsFactorsOPTGridEFCO2eq" localSheetId="31">#REF!</definedName>
    <definedName name="EmissionsFactorsOPTGridEFCO2eq" localSheetId="15">#REF!</definedName>
    <definedName name="EmissionsFactorsOPTGridEFCO2eq" localSheetId="16">#REF!</definedName>
    <definedName name="EmissionsFactorsOPTGridEFCO2eq" localSheetId="24">#REF!</definedName>
    <definedName name="EmissionsFactorsOPTGridEFCO2eq" localSheetId="25">#REF!</definedName>
    <definedName name="EmissionsFactorsOPTGridEFCO2eq" localSheetId="2">#REF!</definedName>
    <definedName name="EmissionsFactorsOPTGridEFCO2eq">#REF!</definedName>
    <definedName name="EnterSolutionName" localSheetId="31">#REF!</definedName>
    <definedName name="EnterSolutionName" localSheetId="15">#REF!</definedName>
    <definedName name="EnterSolutionName" localSheetId="16">#REF!</definedName>
    <definedName name="EnterSolutionName" localSheetId="24">#REF!</definedName>
    <definedName name="EnterSolutionName" localSheetId="25">#REF!</definedName>
    <definedName name="EnterSolutionName" localSheetId="2">#REF!</definedName>
    <definedName name="EnterSolutionName">#REF!</definedName>
    <definedName name="EstimateLearningRate" localSheetId="31">#REF!</definedName>
    <definedName name="EstimateLearningRate" localSheetId="15">#REF!</definedName>
    <definedName name="EstimateLearningRate" localSheetId="16">#REF!</definedName>
    <definedName name="EstimateLearningRate" localSheetId="24">#REF!</definedName>
    <definedName name="EstimateLearningRate" localSheetId="25">#REF!</definedName>
    <definedName name="EstimateLearningRate" localSheetId="2">#REF!</definedName>
    <definedName name="EstimateLearningRate">#REF!</definedName>
    <definedName name="FirstCostConventional" localSheetId="31">#REF!</definedName>
    <definedName name="FirstCostConventional" localSheetId="15">#REF!</definedName>
    <definedName name="FirstCostConventional" localSheetId="16">#REF!</definedName>
    <definedName name="FirstCostConventional" localSheetId="24">#REF!</definedName>
    <definedName name="FirstCostConventional" localSheetId="25">#REF!</definedName>
    <definedName name="FirstCostConventional" localSheetId="2">#REF!</definedName>
    <definedName name="FirstCostConventional">#REF!</definedName>
    <definedName name="FirstCostFactoring" localSheetId="31">#REF!</definedName>
    <definedName name="FirstCostFactoring" localSheetId="15">#REF!</definedName>
    <definedName name="FirstCostFactoring" localSheetId="16">#REF!</definedName>
    <definedName name="FirstCostFactoring" localSheetId="24">#REF!</definedName>
    <definedName name="FirstCostFactoring" localSheetId="25">#REF!</definedName>
    <definedName name="FirstCostFactoring" localSheetId="2">#REF!</definedName>
    <definedName name="FirstCostFactoring">#REF!</definedName>
    <definedName name="FirstCostForecast" localSheetId="31">#REF!</definedName>
    <definedName name="FirstCostForecast" localSheetId="15">#REF!</definedName>
    <definedName name="FirstCostForecast" localSheetId="16">#REF!</definedName>
    <definedName name="FirstCostForecast" localSheetId="24">#REF!</definedName>
    <definedName name="FirstCostForecast" localSheetId="25">#REF!</definedName>
    <definedName name="FirstCostForecast" localSheetId="2">#REF!</definedName>
    <definedName name="FirstCostForecast">#REF!</definedName>
    <definedName name="FirstCostSolution" localSheetId="31">#REF!</definedName>
    <definedName name="FirstCostSolution" localSheetId="15">#REF!</definedName>
    <definedName name="FirstCostSolution" localSheetId="16">#REF!</definedName>
    <definedName name="FirstCostSolution" localSheetId="24">#REF!</definedName>
    <definedName name="FirstCostSolution" localSheetId="25">#REF!</definedName>
    <definedName name="FirstCostSolution" localSheetId="2">#REF!</definedName>
    <definedName name="FirstCostSolution">#REF!</definedName>
    <definedName name="FuelEmissionsFactor" localSheetId="31">#REF!</definedName>
    <definedName name="FuelEmissionsFactor" localSheetId="15">#REF!</definedName>
    <definedName name="FuelEmissionsFactor" localSheetId="16">#REF!</definedName>
    <definedName name="FuelEmissionsFactor" localSheetId="24">#REF!</definedName>
    <definedName name="FuelEmissionsFactor" localSheetId="25">#REF!</definedName>
    <definedName name="FuelEmissionsFactor" localSheetId="2">#REF!</definedName>
    <definedName name="FuelEmissionsFactor">#REF!</definedName>
    <definedName name="FunctionalUnitOfMeasure" localSheetId="31">#REF!</definedName>
    <definedName name="FunctionalUnitOfMeasure">'[5]Advanced Controls'!$C$41</definedName>
    <definedName name="HelperTablesDefaultBAUInterpolation" localSheetId="31">#REF!</definedName>
    <definedName name="HelperTablesDefaultBAUInterpolation" localSheetId="15">#REF!</definedName>
    <definedName name="HelperTablesDefaultBAUInterpolation" localSheetId="16">#REF!</definedName>
    <definedName name="HelperTablesDefaultBAUInterpolation" localSheetId="24">#REF!</definedName>
    <definedName name="HelperTablesDefaultBAUInterpolation" localSheetId="25">#REF!</definedName>
    <definedName name="HelperTablesDefaultBAUInterpolation" localSheetId="2">#REF!</definedName>
    <definedName name="HelperTablesDefaultBAUInterpolation">#REF!</definedName>
    <definedName name="HelperTablesDefaultOPTInterpolation" localSheetId="31">#REF!</definedName>
    <definedName name="HelperTablesDefaultOPTInterpolation" localSheetId="15">#REF!</definedName>
    <definedName name="HelperTablesDefaultOPTInterpolation" localSheetId="16">#REF!</definedName>
    <definedName name="HelperTablesDefaultOPTInterpolation" localSheetId="24">#REF!</definedName>
    <definedName name="HelperTablesDefaultOPTInterpolation" localSheetId="25">#REF!</definedName>
    <definedName name="HelperTablesDefaultOPTInterpolation" localSheetId="2">#REF!</definedName>
    <definedName name="HelperTablesDefaultOPTInterpolation">#REF!</definedName>
    <definedName name="HelperTablesUsingPolynomials" localSheetId="31">#REF!</definedName>
    <definedName name="HelperTablesUsingPolynomials" localSheetId="15">#REF!</definedName>
    <definedName name="HelperTablesUsingPolynomials" localSheetId="16">#REF!</definedName>
    <definedName name="HelperTablesUsingPolynomials" localSheetId="24">#REF!</definedName>
    <definedName name="HelperTablesUsingPolynomials" localSheetId="25">#REF!</definedName>
    <definedName name="HelperTablesUsingPolynomials" localSheetId="2">#REF!</definedName>
    <definedName name="HelperTablesUsingPolynomials">#REF!</definedName>
    <definedName name="IndirectCO2" localSheetId="31">#REF!</definedName>
    <definedName name="IndirectCO2" localSheetId="15">#REF!</definedName>
    <definedName name="IndirectCO2" localSheetId="16">#REF!</definedName>
    <definedName name="IndirectCO2" localSheetId="24">#REF!</definedName>
    <definedName name="IndirectCO2" localSheetId="25">#REF!</definedName>
    <definedName name="IndirectCO2" localSheetId="2">#REF!</definedName>
    <definedName name="IndirectCO2">#REF!</definedName>
    <definedName name="LearningRateConventional" localSheetId="31">#REF!</definedName>
    <definedName name="LearningRateConventional" localSheetId="15">#REF!</definedName>
    <definedName name="LearningRateConventional" localSheetId="16">#REF!</definedName>
    <definedName name="LearningRateConventional" localSheetId="24">#REF!</definedName>
    <definedName name="LearningRateConventional" localSheetId="25">#REF!</definedName>
    <definedName name="LearningRateConventional" localSheetId="2">#REF!</definedName>
    <definedName name="LearningRateConventional">#REF!</definedName>
    <definedName name="LearningRateSolution" localSheetId="31">#REF!</definedName>
    <definedName name="LearningRateSolution" localSheetId="15">#REF!</definedName>
    <definedName name="LearningRateSolution" localSheetId="16">#REF!</definedName>
    <definedName name="LearningRateSolution" localSheetId="24">#REF!</definedName>
    <definedName name="LearningRateSolution" localSheetId="25">#REF!</definedName>
    <definedName name="LearningRateSolution" localSheetId="2">#REF!</definedName>
    <definedName name="LearningRateSolution">#REF!</definedName>
    <definedName name="LifetimeConventional" localSheetId="31">#REF!</definedName>
    <definedName name="LifetimeConventional" localSheetId="15">#REF!</definedName>
    <definedName name="LifetimeConventional" localSheetId="16">#REF!</definedName>
    <definedName name="LifetimeConventional" localSheetId="24">#REF!</definedName>
    <definedName name="LifetimeConventional" localSheetId="25">#REF!</definedName>
    <definedName name="LifetimeConventional" localSheetId="2">#REF!</definedName>
    <definedName name="LifetimeConventional">#REF!</definedName>
    <definedName name="LifetimeCostSavingsFactoring" localSheetId="31">#REF!</definedName>
    <definedName name="LifetimeCostSavingsFactoring" localSheetId="15">#REF!</definedName>
    <definedName name="LifetimeCostSavingsFactoring" localSheetId="16">#REF!</definedName>
    <definedName name="LifetimeCostSavingsFactoring" localSheetId="24">#REF!</definedName>
    <definedName name="LifetimeCostSavingsFactoring" localSheetId="25">#REF!</definedName>
    <definedName name="LifetimeCostSavingsFactoring" localSheetId="2">#REF!</definedName>
    <definedName name="LifetimeCostSavingsFactoring">#REF!</definedName>
    <definedName name="LifetimeCostSavingsForecast" localSheetId="31">#REF!</definedName>
    <definedName name="LifetimeCostSavingsForecast" localSheetId="15">#REF!</definedName>
    <definedName name="LifetimeCostSavingsForecast" localSheetId="16">#REF!</definedName>
    <definedName name="LifetimeCostSavingsForecast" localSheetId="24">#REF!</definedName>
    <definedName name="LifetimeCostSavingsForecast" localSheetId="25">#REF!</definedName>
    <definedName name="LifetimeCostSavingsForecast" localSheetId="2">#REF!</definedName>
    <definedName name="LifetimeCostSavingsForecast">#REF!</definedName>
    <definedName name="LifetimeSolution" localSheetId="31">#REF!</definedName>
    <definedName name="LifetimeSolution" localSheetId="15">#REF!</definedName>
    <definedName name="LifetimeSolution" localSheetId="16">#REF!</definedName>
    <definedName name="LifetimeSolution" localSheetId="24">#REF!</definedName>
    <definedName name="LifetimeSolution" localSheetId="25">#REF!</definedName>
    <definedName name="LifetimeSolution" localSheetId="2">#REF!</definedName>
    <definedName name="LifetimeSolution">#REF!</definedName>
    <definedName name="NetEnergyUnitsUsed" localSheetId="31">#REF!</definedName>
    <definedName name="NetEnergyUnitsUsed" localSheetId="15">#REF!</definedName>
    <definedName name="NetEnergyUnitsUsed" localSheetId="16">#REF!</definedName>
    <definedName name="NetEnergyUnitsUsed" localSheetId="24">#REF!</definedName>
    <definedName name="NetEnergyUnitsUsed" localSheetId="25">#REF!</definedName>
    <definedName name="NetEnergyUnitsUsed" localSheetId="2">#REF!</definedName>
    <definedName name="NetEnergyUnitsUsed">#REF!</definedName>
    <definedName name="NetIndirectEmissions" localSheetId="31">#REF!</definedName>
    <definedName name="NetIndirectEmissions" localSheetId="15">#REF!</definedName>
    <definedName name="NetIndirectEmissions" localSheetId="16">#REF!</definedName>
    <definedName name="NetIndirectEmissions" localSheetId="24">#REF!</definedName>
    <definedName name="NetIndirectEmissions" localSheetId="25">#REF!</definedName>
    <definedName name="NetIndirectEmissions" localSheetId="2">#REF!</definedName>
    <definedName name="NetIndirectEmissions">#REF!</definedName>
    <definedName name="OperatingCostConventional" localSheetId="31">#REF!</definedName>
    <definedName name="OperatingCostConventional" localSheetId="15">#REF!</definedName>
    <definedName name="OperatingCostConventional" localSheetId="16">#REF!</definedName>
    <definedName name="OperatingCostConventional" localSheetId="24">#REF!</definedName>
    <definedName name="OperatingCostConventional" localSheetId="25">#REF!</definedName>
    <definedName name="OperatingCostConventional" localSheetId="2">#REF!</definedName>
    <definedName name="OperatingCostConventional">#REF!</definedName>
    <definedName name="OperatingCostFactoring" localSheetId="31">#REF!</definedName>
    <definedName name="OperatingCostFactoring" localSheetId="15">#REF!</definedName>
    <definedName name="OperatingCostFactoring" localSheetId="16">#REF!</definedName>
    <definedName name="OperatingCostFactoring" localSheetId="24">#REF!</definedName>
    <definedName name="OperatingCostFactoring" localSheetId="25">#REF!</definedName>
    <definedName name="OperatingCostFactoring" localSheetId="2">#REF!</definedName>
    <definedName name="OperatingCostFactoring">#REF!</definedName>
    <definedName name="OperatingCostSavingCalculation" localSheetId="31">#REF!</definedName>
    <definedName name="OperatingCostSavingCalculation" localSheetId="15">#REF!</definedName>
    <definedName name="OperatingCostSavingCalculation" localSheetId="16">#REF!</definedName>
    <definedName name="OperatingCostSavingCalculation" localSheetId="24">#REF!</definedName>
    <definedName name="OperatingCostSavingCalculation" localSheetId="25">#REF!</definedName>
    <definedName name="OperatingCostSavingCalculation" localSheetId="2">#REF!</definedName>
    <definedName name="OperatingCostSavingCalculation">#REF!</definedName>
    <definedName name="OperatingCostSolution" localSheetId="31">#REF!</definedName>
    <definedName name="OperatingCostSolution" localSheetId="15">#REF!</definedName>
    <definedName name="OperatingCostSolution" localSheetId="16">#REF!</definedName>
    <definedName name="OperatingCostSolution" localSheetId="24">#REF!</definedName>
    <definedName name="OperatingCostSolution" localSheetId="25">#REF!</definedName>
    <definedName name="OperatingCostSolution" localSheetId="2">#REF!</definedName>
    <definedName name="OperatingCostSolution">#REF!</definedName>
    <definedName name="Peak">'[1]C. Adoption Curve'!$B$117</definedName>
    <definedName name="ReducedFuelEmissions" localSheetId="31">#REF!</definedName>
    <definedName name="ReducedFuelEmissions" localSheetId="15">#REF!</definedName>
    <definedName name="ReducedFuelEmissions" localSheetId="16">#REF!</definedName>
    <definedName name="ReducedFuelEmissions" localSheetId="24">#REF!</definedName>
    <definedName name="ReducedFuelEmissions" localSheetId="25">#REF!</definedName>
    <definedName name="ReducedFuelEmissions" localSheetId="2">#REF!</definedName>
    <definedName name="ReducedFuelEmissions">#REF!</definedName>
    <definedName name="ReducedGridEmissionsCO2" localSheetId="31">#REF!</definedName>
    <definedName name="ReducedGridEmissionsCO2" localSheetId="15">#REF!</definedName>
    <definedName name="ReducedGridEmissionsCO2" localSheetId="16">#REF!</definedName>
    <definedName name="ReducedGridEmissionsCO2" localSheetId="24">#REF!</definedName>
    <definedName name="ReducedGridEmissionsCO2" localSheetId="25">#REF!</definedName>
    <definedName name="ReducedGridEmissionsCO2" localSheetId="2">#REF!</definedName>
    <definedName name="ReducedGridEmissionsCO2">#REF!</definedName>
    <definedName name="ReducedGridEmissionsCO2eq" localSheetId="31">#REF!</definedName>
    <definedName name="ReducedGridEmissionsCO2eq" localSheetId="15">#REF!</definedName>
    <definedName name="ReducedGridEmissionsCO2eq" localSheetId="16">#REF!</definedName>
    <definedName name="ReducedGridEmissionsCO2eq" localSheetId="24">#REF!</definedName>
    <definedName name="ReducedGridEmissionsCO2eq" localSheetId="25">#REF!</definedName>
    <definedName name="ReducedGridEmissionsCO2eq" localSheetId="2">#REF!</definedName>
    <definedName name="ReducedGridEmissionsCO2eq">#REF!</definedName>
    <definedName name="Regionalizations">'[6]Region Data'!$C$4:$S$4</definedName>
    <definedName name="REplacedEmissionsCO2eq" localSheetId="31">#REF!</definedName>
    <definedName name="REplacedEmissionsCO2eq" localSheetId="15">#REF!</definedName>
    <definedName name="REplacedEmissionsCO2eq" localSheetId="16">#REF!</definedName>
    <definedName name="REplacedEmissionsCO2eq" localSheetId="24">#REF!</definedName>
    <definedName name="REplacedEmissionsCO2eq" localSheetId="25">#REF!</definedName>
    <definedName name="REplacedEmissionsCO2eq" localSheetId="2">#REF!</definedName>
    <definedName name="REplacedEmissionsCO2eq">#REF!</definedName>
    <definedName name="ReplacedGridEmissionsCO2" localSheetId="31">#REF!</definedName>
    <definedName name="ReplacedGridEmissionsCO2" localSheetId="15">#REF!</definedName>
    <definedName name="ReplacedGridEmissionsCO2" localSheetId="16">#REF!</definedName>
    <definedName name="ReplacedGridEmissionsCO2" localSheetId="24">#REF!</definedName>
    <definedName name="ReplacedGridEmissionsCO2" localSheetId="25">#REF!</definedName>
    <definedName name="ReplacedGridEmissionsCO2" localSheetId="2">#REF!</definedName>
    <definedName name="ReplacedGridEmissionsCO2">#REF!</definedName>
    <definedName name="ReplacementReductionOther" localSheetId="31">#REF!</definedName>
    <definedName name="ReplacementReductionOther" localSheetId="15">#REF!</definedName>
    <definedName name="ReplacementReductionOther" localSheetId="16">#REF!</definedName>
    <definedName name="ReplacementReductionOther" localSheetId="24">#REF!</definedName>
    <definedName name="ReplacementReductionOther" localSheetId="25">#REF!</definedName>
    <definedName name="ReplacementReductionOther" localSheetId="2">#REF!</definedName>
    <definedName name="ReplacementReductionOther">#REF!</definedName>
    <definedName name="solver_adj" localSheetId="31" hidden="1">'Data Interpolator'!$BW$21</definedName>
    <definedName name="solver_cvg" localSheetId="31" hidden="1">"0,0001"</definedName>
    <definedName name="solver_drv" localSheetId="31" hidden="1">1</definedName>
    <definedName name="solver_eng" localSheetId="31" hidden="1">3</definedName>
    <definedName name="solver_est" localSheetId="31" hidden="1">1</definedName>
    <definedName name="solver_itr" localSheetId="31" hidden="1">2147483647</definedName>
    <definedName name="solver_lhs1" localSheetId="31" hidden="1">'Data Interpolator'!$BW$21</definedName>
    <definedName name="solver_lhs2" localSheetId="31" hidden="1">'Data Interpolator'!$BW$21</definedName>
    <definedName name="solver_mip" localSheetId="31" hidden="1">2147483647</definedName>
    <definedName name="solver_mni" localSheetId="31" hidden="1">30</definedName>
    <definedName name="solver_mrt" localSheetId="31" hidden="1">"0,075"</definedName>
    <definedName name="solver_msl" localSheetId="31" hidden="1">2</definedName>
    <definedName name="solver_neg" localSheetId="31" hidden="1">1</definedName>
    <definedName name="solver_nod" localSheetId="31" hidden="1">2147483647</definedName>
    <definedName name="solver_num" localSheetId="31" hidden="1">2</definedName>
    <definedName name="solver_nwt" localSheetId="31" hidden="1">1</definedName>
    <definedName name="solver_opt" localSheetId="31" hidden="1">'Data Interpolator'!$BX$19</definedName>
    <definedName name="solver_pre" localSheetId="31" hidden="1">"0,000001"</definedName>
    <definedName name="solver_rbv" localSheetId="31" hidden="1">1</definedName>
    <definedName name="solver_rel1" localSheetId="31" hidden="1">1</definedName>
    <definedName name="solver_rel2" localSheetId="31" hidden="1">3</definedName>
    <definedName name="solver_rhs1" localSheetId="31" hidden="1">2000</definedName>
    <definedName name="solver_rhs2" localSheetId="31" hidden="1">0</definedName>
    <definedName name="solver_rlx" localSheetId="31" hidden="1">2</definedName>
    <definedName name="solver_rsd" localSheetId="31" hidden="1">0</definedName>
    <definedName name="solver_scl" localSheetId="31" hidden="1">1</definedName>
    <definedName name="solver_sho" localSheetId="31" hidden="1">2</definedName>
    <definedName name="solver_ssz" localSheetId="31" hidden="1">100</definedName>
    <definedName name="solver_tim" localSheetId="31" hidden="1">2147483647</definedName>
    <definedName name="solver_tol" localSheetId="31" hidden="1">0.01</definedName>
    <definedName name="solver_typ" localSheetId="31" hidden="1">1</definedName>
    <definedName name="solver_val" localSheetId="31" hidden="1">0</definedName>
    <definedName name="solver_ver" localSheetId="31" hidden="1">3</definedName>
    <definedName name="TAMFactoring" localSheetId="31">#REF!</definedName>
    <definedName name="TAMFactoring" localSheetId="15">#REF!</definedName>
    <definedName name="TAMFactoring" localSheetId="16">#REF!</definedName>
    <definedName name="TAMFactoring" localSheetId="24">#REF!</definedName>
    <definedName name="TAMFactoring" localSheetId="25">#REF!</definedName>
    <definedName name="TAMFactoring" localSheetId="2">#REF!</definedName>
    <definedName name="TAMFactoring">#REF!</definedName>
    <definedName name="TAMInputAsia" localSheetId="31">#REF!</definedName>
    <definedName name="TAMInputAsia" localSheetId="15">#REF!</definedName>
    <definedName name="TAMInputAsia" localSheetId="16">#REF!</definedName>
    <definedName name="TAMInputAsia" localSheetId="24">#REF!</definedName>
    <definedName name="TAMInputAsia" localSheetId="25">#REF!</definedName>
    <definedName name="TAMInputAsia" localSheetId="2">#REF!</definedName>
    <definedName name="TAMInputAsia">#REF!</definedName>
    <definedName name="TAMInputChina" localSheetId="31">#REF!</definedName>
    <definedName name="TAMInputChina" localSheetId="15">#REF!</definedName>
    <definedName name="TAMInputChina" localSheetId="16">#REF!</definedName>
    <definedName name="TAMInputChina" localSheetId="24">#REF!</definedName>
    <definedName name="TAMInputChina" localSheetId="25">#REF!</definedName>
    <definedName name="TAMInputChina" localSheetId="2">#REF!</definedName>
    <definedName name="TAMInputChina">#REF!</definedName>
    <definedName name="TAMInputEasternEurope" localSheetId="31">#REF!</definedName>
    <definedName name="TAMInputEasternEurope" localSheetId="15">#REF!</definedName>
    <definedName name="TAMInputEasternEurope" localSheetId="16">#REF!</definedName>
    <definedName name="TAMInputEasternEurope" localSheetId="24">#REF!</definedName>
    <definedName name="TAMInputEasternEurope" localSheetId="25">#REF!</definedName>
    <definedName name="TAMInputEasternEurope" localSheetId="2">#REF!</definedName>
    <definedName name="TAMInputEasternEurope">#REF!</definedName>
    <definedName name="TAMInputEU" localSheetId="31">#REF!</definedName>
    <definedName name="TAMInputEU" localSheetId="15">#REF!</definedName>
    <definedName name="TAMInputEU" localSheetId="16">#REF!</definedName>
    <definedName name="TAMInputEU" localSheetId="24">#REF!</definedName>
    <definedName name="TAMInputEU" localSheetId="25">#REF!</definedName>
    <definedName name="TAMInputEU" localSheetId="2">#REF!</definedName>
    <definedName name="TAMInputEU">#REF!</definedName>
    <definedName name="TAMInputGlobalData" localSheetId="31">#REF!</definedName>
    <definedName name="TAMInputGlobalData" localSheetId="15">#REF!</definedName>
    <definedName name="TAMInputGlobalData" localSheetId="16">#REF!</definedName>
    <definedName name="TAMInputGlobalData" localSheetId="24">#REF!</definedName>
    <definedName name="TAMInputGlobalData" localSheetId="25">#REF!</definedName>
    <definedName name="TAMInputGlobalData" localSheetId="2">#REF!</definedName>
    <definedName name="TAMInputGlobalData">#REF!</definedName>
    <definedName name="TAMInputIndia" localSheetId="31">#REF!</definedName>
    <definedName name="TAMInputIndia" localSheetId="15">#REF!</definedName>
    <definedName name="TAMInputIndia" localSheetId="16">#REF!</definedName>
    <definedName name="TAMInputIndia" localSheetId="24">#REF!</definedName>
    <definedName name="TAMInputIndia" localSheetId="25">#REF!</definedName>
    <definedName name="TAMInputIndia" localSheetId="2">#REF!</definedName>
    <definedName name="TAMInputIndia">#REF!</definedName>
    <definedName name="TAMInputLatinAmerica" localSheetId="31">#REF!</definedName>
    <definedName name="TAMInputLatinAmerica" localSheetId="15">#REF!</definedName>
    <definedName name="TAMInputLatinAmerica" localSheetId="16">#REF!</definedName>
    <definedName name="TAMInputLatinAmerica" localSheetId="24">#REF!</definedName>
    <definedName name="TAMInputLatinAmerica" localSheetId="25">#REF!</definedName>
    <definedName name="TAMInputLatinAmerica" localSheetId="2">#REF!</definedName>
    <definedName name="TAMInputLatinAmerica">#REF!</definedName>
    <definedName name="TAMInputMiddleEastAfrica" localSheetId="31">#REF!</definedName>
    <definedName name="TAMInputMiddleEastAfrica" localSheetId="15">#REF!</definedName>
    <definedName name="TAMInputMiddleEastAfrica" localSheetId="16">#REF!</definedName>
    <definedName name="TAMInputMiddleEastAfrica" localSheetId="24">#REF!</definedName>
    <definedName name="TAMInputMiddleEastAfrica" localSheetId="25">#REF!</definedName>
    <definedName name="TAMInputMiddleEastAfrica" localSheetId="2">#REF!</definedName>
    <definedName name="TAMInputMiddleEastAfrica">#REF!</definedName>
    <definedName name="TAMInputOECD90" localSheetId="31">#REF!</definedName>
    <definedName name="TAMInputOECD90" localSheetId="15">#REF!</definedName>
    <definedName name="TAMInputOECD90" localSheetId="16">#REF!</definedName>
    <definedName name="TAMInputOECD90" localSheetId="24">#REF!</definedName>
    <definedName name="TAMInputOECD90" localSheetId="25">#REF!</definedName>
    <definedName name="TAMInputOECD90" localSheetId="2">#REF!</definedName>
    <definedName name="TAMInputOECD90">#REF!</definedName>
    <definedName name="TAMInputUSA" localSheetId="31">#REF!</definedName>
    <definedName name="TAMInputUSA" localSheetId="15">#REF!</definedName>
    <definedName name="TAMInputUSA" localSheetId="16">#REF!</definedName>
    <definedName name="TAMInputUSA" localSheetId="24">#REF!</definedName>
    <definedName name="TAMInputUSA" localSheetId="25">#REF!</definedName>
    <definedName name="TAMInputUSA" localSheetId="2">#REF!</definedName>
    <definedName name="TAMInputUSA">#REF!</definedName>
    <definedName name="Time">'[1]C. Adoption Curve'!$A$123:$A$208</definedName>
    <definedName name="Time0">'[1]C. Adoption Curve'!$B$120</definedName>
    <definedName name="Time1">NA()</definedName>
    <definedName name="Time2">NA()</definedName>
    <definedName name="UnitsAdoptionAnnualFunctionalUnitsAdoptedBAU" localSheetId="31">#REF!</definedName>
    <definedName name="UnitsAdoptionAnnualFunctionalUnitsAdoptedBAU" localSheetId="15">#REF!</definedName>
    <definedName name="UnitsAdoptionAnnualFunctionalUnitsAdoptedBAU" localSheetId="16">#REF!</definedName>
    <definedName name="UnitsAdoptionAnnualFunctionalUnitsAdoptedBAU" localSheetId="24">#REF!</definedName>
    <definedName name="UnitsAdoptionAnnualFunctionalUnitsAdoptedBAU" localSheetId="25">#REF!</definedName>
    <definedName name="UnitsAdoptionAnnualFunctionalUnitsAdoptedBAU" localSheetId="2">#REF!</definedName>
    <definedName name="UnitsAdoptionAnnualFunctionalUnitsAdoptedBAU">#REF!</definedName>
    <definedName name="UnitsAdoptionAnnualFunctionalUnitsAdoptedOPT" localSheetId="31">#REF!</definedName>
    <definedName name="UnitsAdoptionAnnualFunctionalUnitsAdoptedOPT" localSheetId="15">#REF!</definedName>
    <definedName name="UnitsAdoptionAnnualFunctionalUnitsAdoptedOPT" localSheetId="16">#REF!</definedName>
    <definedName name="UnitsAdoptionAnnualFunctionalUnitsAdoptedOPT" localSheetId="24">#REF!</definedName>
    <definedName name="UnitsAdoptionAnnualFunctionalUnitsAdoptedOPT" localSheetId="25">#REF!</definedName>
    <definedName name="UnitsAdoptionAnnualFunctionalUnitsAdoptedOPT" localSheetId="2">#REF!</definedName>
    <definedName name="UnitsAdoptionAnnualFunctionalUnitsAdoptedOPT">#REF!</definedName>
    <definedName name="UnitsAdoptionBAUGDPperCapitaTAM" localSheetId="31">#REF!</definedName>
    <definedName name="UnitsAdoptionBAUGDPperCapitaTAM" localSheetId="15">#REF!</definedName>
    <definedName name="UnitsAdoptionBAUGDPperCapitaTAM" localSheetId="16">#REF!</definedName>
    <definedName name="UnitsAdoptionBAUGDPperCapitaTAM" localSheetId="24">#REF!</definedName>
    <definedName name="UnitsAdoptionBAUGDPperCapitaTAM" localSheetId="25">#REF!</definedName>
    <definedName name="UnitsAdoptionBAUGDPperCapitaTAM" localSheetId="2">#REF!</definedName>
    <definedName name="UnitsAdoptionBAUGDPperCapitaTAM">#REF!</definedName>
    <definedName name="UnitsAdoptionBAUperCapitaTAM" localSheetId="31">#REF!</definedName>
    <definedName name="UnitsAdoptionBAUperCapitaTAM" localSheetId="15">#REF!</definedName>
    <definedName name="UnitsAdoptionBAUperCapitaTAM" localSheetId="16">#REF!</definedName>
    <definedName name="UnitsAdoptionBAUperCapitaTAM" localSheetId="24">#REF!</definedName>
    <definedName name="UnitsAdoptionBAUperCapitaTAM" localSheetId="25">#REF!</definedName>
    <definedName name="UnitsAdoptionBAUperCapitaTAM" localSheetId="2">#REF!</definedName>
    <definedName name="UnitsAdoptionBAUperCapitaTAM">#REF!</definedName>
    <definedName name="UnitsAdoptionBAUTAM" localSheetId="31">#REF!</definedName>
    <definedName name="UnitsAdoptionBAUTAM" localSheetId="15">#REF!</definedName>
    <definedName name="UnitsAdoptionBAUTAM" localSheetId="16">#REF!</definedName>
    <definedName name="UnitsAdoptionBAUTAM" localSheetId="24">#REF!</definedName>
    <definedName name="UnitsAdoptionBAUTAM" localSheetId="25">#REF!</definedName>
    <definedName name="UnitsAdoptionBAUTAM" localSheetId="2">#REF!</definedName>
    <definedName name="UnitsAdoptionBAUTAM">#REF!</definedName>
    <definedName name="UnitsAdoptionCumulativeOperationalUnitsBAU" localSheetId="31">#REF!</definedName>
    <definedName name="UnitsAdoptionCumulativeOperationalUnitsBAU" localSheetId="15">#REF!</definedName>
    <definedName name="UnitsAdoptionCumulativeOperationalUnitsBAU" localSheetId="16">#REF!</definedName>
    <definedName name="UnitsAdoptionCumulativeOperationalUnitsBAU" localSheetId="24">#REF!</definedName>
    <definedName name="UnitsAdoptionCumulativeOperationalUnitsBAU" localSheetId="25">#REF!</definedName>
    <definedName name="UnitsAdoptionCumulativeOperationalUnitsBAU" localSheetId="2">#REF!</definedName>
    <definedName name="UnitsAdoptionCumulativeOperationalUnitsBAU">#REF!</definedName>
    <definedName name="UnitsAdoptionCumulativeOperationalUnitsOPT" localSheetId="31">#REF!</definedName>
    <definedName name="UnitsAdoptionCumulativeOperationalUnitsOPT" localSheetId="15">#REF!</definedName>
    <definedName name="UnitsAdoptionCumulativeOperationalUnitsOPT" localSheetId="16">#REF!</definedName>
    <definedName name="UnitsAdoptionCumulativeOperationalUnitsOPT" localSheetId="24">#REF!</definedName>
    <definedName name="UnitsAdoptionCumulativeOperationalUnitsOPT" localSheetId="25">#REF!</definedName>
    <definedName name="UnitsAdoptionCumulativeOperationalUnitsOPT" localSheetId="2">#REF!</definedName>
    <definedName name="UnitsAdoptionCumulativeOperationalUnitsOPT">#REF!</definedName>
    <definedName name="UnitsAdoptionDirectEmissionsSaved" localSheetId="31">#REF!</definedName>
    <definedName name="UnitsAdoptionDirectEmissionsSaved" localSheetId="15">#REF!</definedName>
    <definedName name="UnitsAdoptionDirectEmissionsSaved" localSheetId="16">#REF!</definedName>
    <definedName name="UnitsAdoptionDirectEmissionsSaved" localSheetId="24">#REF!</definedName>
    <definedName name="UnitsAdoptionDirectEmissionsSaved" localSheetId="25">#REF!</definedName>
    <definedName name="UnitsAdoptionDirectEmissionsSaved" localSheetId="2">#REF!</definedName>
    <definedName name="UnitsAdoptionDirectEmissionsSaved">#REF!</definedName>
    <definedName name="UnitsAdoptionEnergyUnitsSaved" localSheetId="31">#REF!</definedName>
    <definedName name="UnitsAdoptionEnergyUnitsSaved" localSheetId="15">#REF!</definedName>
    <definedName name="UnitsAdoptionEnergyUnitsSaved" localSheetId="16">#REF!</definedName>
    <definedName name="UnitsAdoptionEnergyUnitsSaved" localSheetId="24">#REF!</definedName>
    <definedName name="UnitsAdoptionEnergyUnitsSaved" localSheetId="25">#REF!</definedName>
    <definedName name="UnitsAdoptionEnergyUnitsSaved" localSheetId="2">#REF!</definedName>
    <definedName name="UnitsAdoptionEnergyUnitsSaved">#REF!</definedName>
    <definedName name="UnitsAdoptionFuelUnitsAvoided" localSheetId="31">#REF!</definedName>
    <definedName name="UnitsAdoptionFuelUnitsAvoided" localSheetId="15">#REF!</definedName>
    <definedName name="UnitsAdoptionFuelUnitsAvoided" localSheetId="16">#REF!</definedName>
    <definedName name="UnitsAdoptionFuelUnitsAvoided" localSheetId="24">#REF!</definedName>
    <definedName name="UnitsAdoptionFuelUnitsAvoided" localSheetId="25">#REF!</definedName>
    <definedName name="UnitsAdoptionFuelUnitsAvoided" localSheetId="2">#REF!</definedName>
    <definedName name="UnitsAdoptionFuelUnitsAvoided">#REF!</definedName>
    <definedName name="UnitsAdoptionGDPperCapitaBAU" localSheetId="31">#REF!</definedName>
    <definedName name="UnitsAdoptionGDPperCapitaBAU" localSheetId="15">#REF!</definedName>
    <definedName name="UnitsAdoptionGDPperCapitaBAU" localSheetId="16">#REF!</definedName>
    <definedName name="UnitsAdoptionGDPperCapitaBAU" localSheetId="24">#REF!</definedName>
    <definedName name="UnitsAdoptionGDPperCapitaBAU" localSheetId="25">#REF!</definedName>
    <definedName name="UnitsAdoptionGDPperCapitaBAU" localSheetId="2">#REF!</definedName>
    <definedName name="UnitsAdoptionGDPperCapitaBAU">#REF!</definedName>
    <definedName name="UnitsAdoptionGDPperCapitaOPT" localSheetId="31">#REF!</definedName>
    <definedName name="UnitsAdoptionGDPperCapitaOPT" localSheetId="15">#REF!</definedName>
    <definedName name="UnitsAdoptionGDPperCapitaOPT" localSheetId="16">#REF!</definedName>
    <definedName name="UnitsAdoptionGDPperCapitaOPT" localSheetId="24">#REF!</definedName>
    <definedName name="UnitsAdoptionGDPperCapitaOPT" localSheetId="25">#REF!</definedName>
    <definedName name="UnitsAdoptionGDPperCapitaOPT" localSheetId="2">#REF!</definedName>
    <definedName name="UnitsAdoptionGDPperCapitaOPT">#REF!</definedName>
    <definedName name="UnitsAdoptionGDPScenarioBAU" localSheetId="31">#REF!</definedName>
    <definedName name="UnitsAdoptionGDPScenarioBAU" localSheetId="15">#REF!</definedName>
    <definedName name="UnitsAdoptionGDPScenarioBAU" localSheetId="16">#REF!</definedName>
    <definedName name="UnitsAdoptionGDPScenarioBAU" localSheetId="24">#REF!</definedName>
    <definedName name="UnitsAdoptionGDPScenarioBAU" localSheetId="25">#REF!</definedName>
    <definedName name="UnitsAdoptionGDPScenarioBAU" localSheetId="2">#REF!</definedName>
    <definedName name="UnitsAdoptionGDPScenarioBAU">#REF!</definedName>
    <definedName name="UnitsAdoptionGDPScenarioOPT" localSheetId="31">#REF!</definedName>
    <definedName name="UnitsAdoptionGDPScenarioOPT" localSheetId="15">#REF!</definedName>
    <definedName name="UnitsAdoptionGDPScenarioOPT" localSheetId="16">#REF!</definedName>
    <definedName name="UnitsAdoptionGDPScenarioOPT" localSheetId="24">#REF!</definedName>
    <definedName name="UnitsAdoptionGDPScenarioOPT" localSheetId="25">#REF!</definedName>
    <definedName name="UnitsAdoptionGDPScenarioOPT" localSheetId="2">#REF!</definedName>
    <definedName name="UnitsAdoptionGDPScenarioOPT">#REF!</definedName>
    <definedName name="UnitsAdoptionNetAnnualUnitsAdopted" localSheetId="31">#REF!</definedName>
    <definedName name="UnitsAdoptionNetAnnualUnitsAdopted" localSheetId="15">#REF!</definedName>
    <definedName name="UnitsAdoptionNetAnnualUnitsAdopted" localSheetId="16">#REF!</definedName>
    <definedName name="UnitsAdoptionNetAnnualUnitsAdopted" localSheetId="24">#REF!</definedName>
    <definedName name="UnitsAdoptionNetAnnualUnitsAdopted" localSheetId="25">#REF!</definedName>
    <definedName name="UnitsAdoptionNetAnnualUnitsAdopted" localSheetId="2">#REF!</definedName>
    <definedName name="UnitsAdoptionNetAnnualUnitsAdopted">#REF!</definedName>
    <definedName name="UnitsAdoptionNetEnergyUnitsUsed" localSheetId="31">#REF!</definedName>
    <definedName name="UnitsAdoptionNetEnergyUnitsUsed" localSheetId="15">#REF!</definedName>
    <definedName name="UnitsAdoptionNetEnergyUnitsUsed" localSheetId="16">#REF!</definedName>
    <definedName name="UnitsAdoptionNetEnergyUnitsUsed" localSheetId="24">#REF!</definedName>
    <definedName name="UnitsAdoptionNetEnergyUnitsUsed" localSheetId="25">#REF!</definedName>
    <definedName name="UnitsAdoptionNetEnergyUnitsUsed" localSheetId="2">#REF!</definedName>
    <definedName name="UnitsAdoptionNetEnergyUnitsUsed">#REF!</definedName>
    <definedName name="UnitsAdoptionNewAdoptionUnitsBAU" localSheetId="31">#REF!</definedName>
    <definedName name="UnitsAdoptionNewAdoptionUnitsBAU" localSheetId="15">#REF!</definedName>
    <definedName name="UnitsAdoptionNewAdoptionUnitsBAU" localSheetId="16">#REF!</definedName>
    <definedName name="UnitsAdoptionNewAdoptionUnitsBAU" localSheetId="24">#REF!</definedName>
    <definedName name="UnitsAdoptionNewAdoptionUnitsBAU" localSheetId="25">#REF!</definedName>
    <definedName name="UnitsAdoptionNewAdoptionUnitsBAU" localSheetId="2">#REF!</definedName>
    <definedName name="UnitsAdoptionNewAdoptionUnitsBAU">#REF!</definedName>
    <definedName name="UnitsAdoptionNewAdoptionUnitsOPT" localSheetId="31">#REF!</definedName>
    <definedName name="UnitsAdoptionNewAdoptionUnitsOPT" localSheetId="15">#REF!</definedName>
    <definedName name="UnitsAdoptionNewAdoptionUnitsOPT" localSheetId="16">#REF!</definedName>
    <definedName name="UnitsAdoptionNewAdoptionUnitsOPT" localSheetId="24">#REF!</definedName>
    <definedName name="UnitsAdoptionNewAdoptionUnitsOPT" localSheetId="25">#REF!</definedName>
    <definedName name="UnitsAdoptionNewAdoptionUnitsOPT" localSheetId="2">#REF!</definedName>
    <definedName name="UnitsAdoptionNewAdoptionUnitsOPT">#REF!</definedName>
    <definedName name="UnitsAdoptionOPTGDPperCapitaTAM" localSheetId="31">#REF!</definedName>
    <definedName name="UnitsAdoptionOPTGDPperCapitaTAM" localSheetId="15">#REF!</definedName>
    <definedName name="UnitsAdoptionOPTGDPperCapitaTAM" localSheetId="16">#REF!</definedName>
    <definedName name="UnitsAdoptionOPTGDPperCapitaTAM" localSheetId="24">#REF!</definedName>
    <definedName name="UnitsAdoptionOPTGDPperCapitaTAM" localSheetId="25">#REF!</definedName>
    <definedName name="UnitsAdoptionOPTGDPperCapitaTAM" localSheetId="2">#REF!</definedName>
    <definedName name="UnitsAdoptionOPTGDPperCapitaTAM">#REF!</definedName>
    <definedName name="UnitsAdoptionOPTperCapitaTAM" localSheetId="31">#REF!</definedName>
    <definedName name="UnitsAdoptionOPTperCapitaTAM" localSheetId="15">#REF!</definedName>
    <definedName name="UnitsAdoptionOPTperCapitaTAM" localSheetId="16">#REF!</definedName>
    <definedName name="UnitsAdoptionOPTperCapitaTAM" localSheetId="24">#REF!</definedName>
    <definedName name="UnitsAdoptionOPTperCapitaTAM" localSheetId="25">#REF!</definedName>
    <definedName name="UnitsAdoptionOPTperCapitaTAM" localSheetId="2">#REF!</definedName>
    <definedName name="UnitsAdoptionOPTperCapitaTAM">#REF!</definedName>
    <definedName name="UnitsAdoptionOPTTAM" localSheetId="31">#REF!</definedName>
    <definedName name="UnitsAdoptionOPTTAM" localSheetId="15">#REF!</definedName>
    <definedName name="UnitsAdoptionOPTTAM" localSheetId="16">#REF!</definedName>
    <definedName name="UnitsAdoptionOPTTAM" localSheetId="24">#REF!</definedName>
    <definedName name="UnitsAdoptionOPTTAM" localSheetId="25">#REF!</definedName>
    <definedName name="UnitsAdoptionOPTTAM" localSheetId="2">#REF!</definedName>
    <definedName name="UnitsAdoptionOPTTAM">#REF!</definedName>
    <definedName name="UnitsAdoptionPopulationScenarioBAU" localSheetId="31">#REF!</definedName>
    <definedName name="UnitsAdoptionPopulationScenarioBAU" localSheetId="15">#REF!</definedName>
    <definedName name="UnitsAdoptionPopulationScenarioBAU" localSheetId="16">#REF!</definedName>
    <definedName name="UnitsAdoptionPopulationScenarioBAU" localSheetId="24">#REF!</definedName>
    <definedName name="UnitsAdoptionPopulationScenarioBAU" localSheetId="25">#REF!</definedName>
    <definedName name="UnitsAdoptionPopulationScenarioBAU" localSheetId="2">#REF!</definedName>
    <definedName name="UnitsAdoptionPopulationScenarioBAU">#REF!</definedName>
    <definedName name="UnitsAdoptionPopulationScenarioOPT" localSheetId="31">#REF!</definedName>
    <definedName name="UnitsAdoptionPopulationScenarioOPT" localSheetId="15">#REF!</definedName>
    <definedName name="UnitsAdoptionPopulationScenarioOPT" localSheetId="16">#REF!</definedName>
    <definedName name="UnitsAdoptionPopulationScenarioOPT" localSheetId="24">#REF!</definedName>
    <definedName name="UnitsAdoptionPopulationScenarioOPT" localSheetId="25">#REF!</definedName>
    <definedName name="UnitsAdoptionPopulationScenarioOPT" localSheetId="2">#REF!</definedName>
    <definedName name="UnitsAdoptionPopulationScenarioOPT">#REF!</definedName>
    <definedName name="UnitsAdoptionTotalConventionalFunctionalUnitsBAU" localSheetId="31">#REF!</definedName>
    <definedName name="UnitsAdoptionTotalConventionalFunctionalUnitsBAU" localSheetId="15">#REF!</definedName>
    <definedName name="UnitsAdoptionTotalConventionalFunctionalUnitsBAU" localSheetId="16">#REF!</definedName>
    <definedName name="UnitsAdoptionTotalConventionalFunctionalUnitsBAU" localSheetId="24">#REF!</definedName>
    <definedName name="UnitsAdoptionTotalConventionalFunctionalUnitsBAU" localSheetId="25">#REF!</definedName>
    <definedName name="UnitsAdoptionTotalConventionalFunctionalUnitsBAU" localSheetId="2">#REF!</definedName>
    <definedName name="UnitsAdoptionTotalConventionalFunctionalUnitsBAU">#REF!</definedName>
    <definedName name="UnitsAdoptionTotalNewConventionalUnits" localSheetId="31">#REF!</definedName>
    <definedName name="UnitsAdoptionTotalNewConventionalUnits" localSheetId="15">#REF!</definedName>
    <definedName name="UnitsAdoptionTotalNewConventionalUnits" localSheetId="16">#REF!</definedName>
    <definedName name="UnitsAdoptionTotalNewConventionalUnits" localSheetId="24">#REF!</definedName>
    <definedName name="UnitsAdoptionTotalNewConventionalUnits" localSheetId="25">#REF!</definedName>
    <definedName name="UnitsAdoptionTotalNewConventionalUnits" localSheetId="2">#REF!</definedName>
    <definedName name="UnitsAdoptionTotalNewConventionalUnits">#REF!</definedName>
    <definedName name="UnitsAdoptionTotalUnitsBAU" localSheetId="31">#REF!</definedName>
    <definedName name="UnitsAdoptionTotalUnitsBAU" localSheetId="15">#REF!</definedName>
    <definedName name="UnitsAdoptionTotalUnitsBAU" localSheetId="16">#REF!</definedName>
    <definedName name="UnitsAdoptionTotalUnitsBAU" localSheetId="24">#REF!</definedName>
    <definedName name="UnitsAdoptionTotalUnitsBAU" localSheetId="25">#REF!</definedName>
    <definedName name="UnitsAdoptionTotalUnitsBAU" localSheetId="2">#REF!</definedName>
    <definedName name="UnitsAdoptionTotalUnitsBAU">#REF!</definedName>
    <definedName name="UnitsAdoptionTotalUnitsOPT" localSheetId="31">#REF!</definedName>
    <definedName name="UnitsAdoptionTotalUnitsOPT" localSheetId="15">#REF!</definedName>
    <definedName name="UnitsAdoptionTotalUnitsOPT" localSheetId="16">#REF!</definedName>
    <definedName name="UnitsAdoptionTotalUnitsOPT" localSheetId="24">#REF!</definedName>
    <definedName name="UnitsAdoptionTotalUnitsOPT" localSheetId="25">#REF!</definedName>
    <definedName name="UnitsAdoptionTotalUnitsOPT" localSheetId="2">#REF!</definedName>
    <definedName name="UnitsAdoptionTotalUnitsOPT">#REF!</definedName>
    <definedName name="Value1">NA()</definedName>
    <definedName name="Value2">NA()</definedName>
    <definedName name="Variable19" localSheetId="31">#REF!</definedName>
    <definedName name="Variable19" localSheetId="15">#REF!</definedName>
    <definedName name="Variable19" localSheetId="16">#REF!</definedName>
    <definedName name="Variable19" localSheetId="24">#REF!</definedName>
    <definedName name="Variable19" localSheetId="25">#REF!</definedName>
    <definedName name="Variable19" localSheetId="2">#REF!</definedName>
    <definedName name="Variable19">#REF!</definedName>
    <definedName name="Variable20" localSheetId="31">#REF!</definedName>
    <definedName name="Variable20" localSheetId="15">#REF!</definedName>
    <definedName name="Variable20" localSheetId="16">#REF!</definedName>
    <definedName name="Variable20" localSheetId="24">#REF!</definedName>
    <definedName name="Variable20" localSheetId="25">#REF!</definedName>
    <definedName name="Variable20" localSheetId="2">#REF!</definedName>
    <definedName name="Variable20">#REF!</definedName>
    <definedName name="Variable21" localSheetId="31">#REF!</definedName>
    <definedName name="Variable21" localSheetId="15">#REF!</definedName>
    <definedName name="Variable21" localSheetId="16">#REF!</definedName>
    <definedName name="Variable21" localSheetId="24">#REF!</definedName>
    <definedName name="Variable21" localSheetId="25">#REF!</definedName>
    <definedName name="Variable21" localSheetId="2">#REF!</definedName>
    <definedName name="Variable21">#REF!</definedName>
    <definedName name="Variable22" localSheetId="31">#REF!</definedName>
    <definedName name="Variable22" localSheetId="15">#REF!</definedName>
    <definedName name="Variable22" localSheetId="16">#REF!</definedName>
    <definedName name="Variable22" localSheetId="24">#REF!</definedName>
    <definedName name="Variable22" localSheetId="25">#REF!</definedName>
    <definedName name="Variable22" localSheetId="2">#REF!</definedName>
    <definedName name="Variable22">#REF!</definedName>
    <definedName name="Variable23" localSheetId="31">#REF!</definedName>
    <definedName name="Variable23" localSheetId="15">#REF!</definedName>
    <definedName name="Variable23" localSheetId="16">#REF!</definedName>
    <definedName name="Variable23" localSheetId="24">#REF!</definedName>
    <definedName name="Variable23" localSheetId="25">#REF!</definedName>
    <definedName name="Variable23" localSheetId="2">#REF!</definedName>
    <definedName name="Variable23">#REF!</definedName>
    <definedName name="Variable24" localSheetId="31">#REF!</definedName>
    <definedName name="Variable24" localSheetId="15">#REF!</definedName>
    <definedName name="Variable24" localSheetId="16">#REF!</definedName>
    <definedName name="Variable24" localSheetId="24">#REF!</definedName>
    <definedName name="Variable24" localSheetId="25">#REF!</definedName>
    <definedName name="Variable24" localSheetId="2">#REF!</definedName>
    <definedName name="Variable24">#REF!</definedName>
    <definedName name="Variable25" localSheetId="31">#REF!</definedName>
    <definedName name="Variable25" localSheetId="15">#REF!</definedName>
    <definedName name="Variable25" localSheetId="16">#REF!</definedName>
    <definedName name="Variable25" localSheetId="24">#REF!</definedName>
    <definedName name="Variable25" localSheetId="25">#REF!</definedName>
    <definedName name="Variable25" localSheetId="2">#REF!</definedName>
    <definedName name="Variable25">#REF!</definedName>
    <definedName name="Variable26" localSheetId="31">#REF!</definedName>
    <definedName name="Variable26" localSheetId="15">#REF!</definedName>
    <definedName name="Variable26" localSheetId="16">#REF!</definedName>
    <definedName name="Variable26" localSheetId="24">#REF!</definedName>
    <definedName name="Variable26" localSheetId="25">#REF!</definedName>
    <definedName name="Variable26" localSheetId="2">#REF!</definedName>
    <definedName name="Variable26">#REF!</definedName>
    <definedName name="Variable27" localSheetId="31">#REF!</definedName>
    <definedName name="Variable27" localSheetId="15">#REF!</definedName>
    <definedName name="Variable27" localSheetId="16">#REF!</definedName>
    <definedName name="Variable27" localSheetId="24">#REF!</definedName>
    <definedName name="Variable27" localSheetId="25">#REF!</definedName>
    <definedName name="Variable27" localSheetId="2">#REF!</definedName>
    <definedName name="Variable27">#REF!</definedName>
    <definedName name="Variable28" localSheetId="31">#REF!</definedName>
    <definedName name="Variable28" localSheetId="15">#REF!</definedName>
    <definedName name="Variable28" localSheetId="16">#REF!</definedName>
    <definedName name="Variable28" localSheetId="24">#REF!</definedName>
    <definedName name="Variable28" localSheetId="25">#REF!</definedName>
    <definedName name="Variable28" localSheetId="2">#REF!</definedName>
    <definedName name="Variable28">#REF!</definedName>
    <definedName name="Variable29" localSheetId="31">#REF!</definedName>
    <definedName name="Variable29" localSheetId="15">#REF!</definedName>
    <definedName name="Variable29" localSheetId="16">#REF!</definedName>
    <definedName name="Variable29" localSheetId="24">#REF!</definedName>
    <definedName name="Variable29" localSheetId="25">#REF!</definedName>
    <definedName name="Variable29" localSheetId="2">#REF!</definedName>
    <definedName name="Variable29">#REF!</definedName>
    <definedName name="Variable30" localSheetId="31">#REF!</definedName>
    <definedName name="Variable30" localSheetId="15">#REF!</definedName>
    <definedName name="Variable30" localSheetId="16">#REF!</definedName>
    <definedName name="Variable30" localSheetId="24">#REF!</definedName>
    <definedName name="Variable30" localSheetId="25">#REF!</definedName>
    <definedName name="Variable30" localSheetId="2">#REF!</definedName>
    <definedName name="Variable30">#REF!</definedName>
    <definedName name="VariableAnnualEnergyConv" localSheetId="31">#REF!</definedName>
    <definedName name="VariableAnnualEnergyConv" localSheetId="15">#REF!</definedName>
    <definedName name="VariableAnnualEnergyConv" localSheetId="16">#REF!</definedName>
    <definedName name="VariableAnnualEnergyConv" localSheetId="24">#REF!</definedName>
    <definedName name="VariableAnnualEnergyConv" localSheetId="25">#REF!</definedName>
    <definedName name="VariableAnnualEnergyConv" localSheetId="2">#REF!</definedName>
    <definedName name="VariableAnnualEnergyConv">#REF!</definedName>
    <definedName name="VariableAnnualEnergyReduced" localSheetId="31">#REF!</definedName>
    <definedName name="VariableAnnualEnergyReduced" localSheetId="15">#REF!</definedName>
    <definedName name="VariableAnnualEnergyReduced" localSheetId="16">#REF!</definedName>
    <definedName name="VariableAnnualEnergyReduced" localSheetId="24">#REF!</definedName>
    <definedName name="VariableAnnualEnergyReduced" localSheetId="25">#REF!</definedName>
    <definedName name="VariableAnnualEnergyReduced" localSheetId="2">#REF!</definedName>
    <definedName name="VariableAnnualEnergyReduced">#REF!</definedName>
    <definedName name="VariableCH4Reduced" localSheetId="31">#REF!</definedName>
    <definedName name="VariableCH4Reduced" localSheetId="15">#REF!</definedName>
    <definedName name="VariableCH4Reduced" localSheetId="16">#REF!</definedName>
    <definedName name="VariableCH4Reduced" localSheetId="24">#REF!</definedName>
    <definedName name="VariableCH4Reduced" localSheetId="25">#REF!</definedName>
    <definedName name="VariableCH4Reduced" localSheetId="2">#REF!</definedName>
    <definedName name="VariableCH4Reduced">#REF!</definedName>
    <definedName name="VariableCO2PerFuel" localSheetId="31">#REF!</definedName>
    <definedName name="VariableCO2PerFuel" localSheetId="15">#REF!</definedName>
    <definedName name="VariableCO2PerFuel" localSheetId="16">#REF!</definedName>
    <definedName name="VariableCO2PerFuel" localSheetId="24">#REF!</definedName>
    <definedName name="VariableCO2PerFuel" localSheetId="25">#REF!</definedName>
    <definedName name="VariableCO2PerFuel" localSheetId="2">#REF!</definedName>
    <definedName name="VariableCO2PerFuel">#REF!</definedName>
    <definedName name="VariableConventionalAnnualCapacity" localSheetId="31">#REF!</definedName>
    <definedName name="VariableConventionalAnnualCapacity" localSheetId="15">#REF!</definedName>
    <definedName name="VariableConventionalAnnualCapacity" localSheetId="16">#REF!</definedName>
    <definedName name="VariableConventionalAnnualCapacity" localSheetId="24">#REF!</definedName>
    <definedName name="VariableConventionalAnnualCapacity" localSheetId="25">#REF!</definedName>
    <definedName name="VariableConventionalAnnualCapacity" localSheetId="2">#REF!</definedName>
    <definedName name="VariableConventionalAnnualCapacity">#REF!</definedName>
    <definedName name="VariableConventionalDirectEmissions" localSheetId="31">#REF!</definedName>
    <definedName name="VariableConventionalDirectEmissions" localSheetId="15">#REF!</definedName>
    <definedName name="VariableConventionalDirectEmissions" localSheetId="16">#REF!</definedName>
    <definedName name="VariableConventionalDirectEmissions" localSheetId="24">#REF!</definedName>
    <definedName name="VariableConventionalDirectEmissions" localSheetId="25">#REF!</definedName>
    <definedName name="VariableConventionalDirectEmissions" localSheetId="2">#REF!</definedName>
    <definedName name="VariableConventionalDirectEmissions">#REF!</definedName>
    <definedName name="VariableConventionalDisposal" localSheetId="31">#REF!</definedName>
    <definedName name="VariableConventionalDisposal" localSheetId="15">#REF!</definedName>
    <definedName name="VariableConventionalDisposal" localSheetId="16">#REF!</definedName>
    <definedName name="VariableConventionalDisposal" localSheetId="24">#REF!</definedName>
    <definedName name="VariableConventionalDisposal" localSheetId="25">#REF!</definedName>
    <definedName name="VariableConventionalDisposal" localSheetId="2">#REF!</definedName>
    <definedName name="VariableConventionalDisposal">#REF!</definedName>
    <definedName name="VariableConventionalFirstCost" localSheetId="31">#REF!</definedName>
    <definedName name="VariableConventionalFirstCost" localSheetId="15">#REF!</definedName>
    <definedName name="VariableConventionalFirstCost" localSheetId="16">#REF!</definedName>
    <definedName name="VariableConventionalFirstCost" localSheetId="24">#REF!</definedName>
    <definedName name="VariableConventionalFirstCost" localSheetId="25">#REF!</definedName>
    <definedName name="VariableConventionalFirstCost" localSheetId="2">#REF!</definedName>
    <definedName name="VariableConventionalFirstCost">#REF!</definedName>
    <definedName name="VariableConventionalIndirectCO2" localSheetId="31">#REF!</definedName>
    <definedName name="VariableConventionalIndirectCO2" localSheetId="15">#REF!</definedName>
    <definedName name="VariableConventionalIndirectCO2" localSheetId="16">#REF!</definedName>
    <definedName name="VariableConventionalIndirectCO2" localSheetId="24">#REF!</definedName>
    <definedName name="VariableConventionalIndirectCO2" localSheetId="25">#REF!</definedName>
    <definedName name="VariableConventionalIndirectCO2" localSheetId="2">#REF!</definedName>
    <definedName name="VariableConventionalIndirectCO2">#REF!</definedName>
    <definedName name="VariableConventionalLifetime" localSheetId="31">#REF!</definedName>
    <definedName name="VariableConventionalLifetime" localSheetId="15">#REF!</definedName>
    <definedName name="VariableConventionalLifetime" localSheetId="16">#REF!</definedName>
    <definedName name="VariableConventionalLifetime" localSheetId="24">#REF!</definedName>
    <definedName name="VariableConventionalLifetime" localSheetId="25">#REF!</definedName>
    <definedName name="VariableConventionalLifetime" localSheetId="2">#REF!</definedName>
    <definedName name="VariableConventionalLifetime">#REF!</definedName>
    <definedName name="VariableConventionalOperatingCost" localSheetId="31">#REF!</definedName>
    <definedName name="VariableConventionalOperatingCost" localSheetId="15">#REF!</definedName>
    <definedName name="VariableConventionalOperatingCost" localSheetId="16">#REF!</definedName>
    <definedName name="VariableConventionalOperatingCost" localSheetId="24">#REF!</definedName>
    <definedName name="VariableConventionalOperatingCost" localSheetId="25">#REF!</definedName>
    <definedName name="VariableConventionalOperatingCost" localSheetId="2">#REF!</definedName>
    <definedName name="VariableConventionalOperatingCost">#REF!</definedName>
    <definedName name="VariableFuelConsumed" localSheetId="31">#REF!</definedName>
    <definedName name="VariableFuelConsumed" localSheetId="15">#REF!</definedName>
    <definedName name="VariableFuelConsumed" localSheetId="16">#REF!</definedName>
    <definedName name="VariableFuelConsumed" localSheetId="24">#REF!</definedName>
    <definedName name="VariableFuelConsumed" localSheetId="25">#REF!</definedName>
    <definedName name="VariableFuelConsumed" localSheetId="2">#REF!</definedName>
    <definedName name="VariableFuelConsumed">#REF!</definedName>
    <definedName name="VariableFuelEfficiencyFactorSolution" localSheetId="31">#REF!</definedName>
    <definedName name="VariableFuelEfficiencyFactorSolution" localSheetId="15">#REF!</definedName>
    <definedName name="VariableFuelEfficiencyFactorSolution" localSheetId="16">#REF!</definedName>
    <definedName name="VariableFuelEfficiencyFactorSolution" localSheetId="24">#REF!</definedName>
    <definedName name="VariableFuelEfficiencyFactorSolution" localSheetId="25">#REF!</definedName>
    <definedName name="VariableFuelEfficiencyFactorSolution" localSheetId="2">#REF!</definedName>
    <definedName name="VariableFuelEfficiencyFactorSolution">#REF!</definedName>
    <definedName name="VariableSolutionAnnualCapacity" localSheetId="31">#REF!</definedName>
    <definedName name="VariableSolutionAnnualCapacity" localSheetId="15">#REF!</definedName>
    <definedName name="VariableSolutionAnnualCapacity" localSheetId="16">#REF!</definedName>
    <definedName name="VariableSolutionAnnualCapacity" localSheetId="24">#REF!</definedName>
    <definedName name="VariableSolutionAnnualCapacity" localSheetId="25">#REF!</definedName>
    <definedName name="VariableSolutionAnnualCapacity" localSheetId="2">#REF!</definedName>
    <definedName name="VariableSolutionAnnualCapacity">#REF!</definedName>
    <definedName name="VariableSolutionDirectEmissions" localSheetId="31">#REF!</definedName>
    <definedName name="VariableSolutionDirectEmissions" localSheetId="15">#REF!</definedName>
    <definedName name="VariableSolutionDirectEmissions" localSheetId="16">#REF!</definedName>
    <definedName name="VariableSolutionDirectEmissions" localSheetId="24">#REF!</definedName>
    <definedName name="VariableSolutionDirectEmissions" localSheetId="25">#REF!</definedName>
    <definedName name="VariableSolutionDirectEmissions" localSheetId="2">#REF!</definedName>
    <definedName name="VariableSolutionDirectEmissions">#REF!</definedName>
    <definedName name="VariableSolutionDisposal" localSheetId="31">#REF!</definedName>
    <definedName name="VariableSolutionDisposal" localSheetId="15">#REF!</definedName>
    <definedName name="VariableSolutionDisposal" localSheetId="16">#REF!</definedName>
    <definedName name="VariableSolutionDisposal" localSheetId="24">#REF!</definedName>
    <definedName name="VariableSolutionDisposal" localSheetId="25">#REF!</definedName>
    <definedName name="VariableSolutionDisposal" localSheetId="2">#REF!</definedName>
    <definedName name="VariableSolutionDisposal">#REF!</definedName>
    <definedName name="VariableSolutionFirstCost" localSheetId="31">#REF!</definedName>
    <definedName name="VariableSolutionFirstCost" localSheetId="15">#REF!</definedName>
    <definedName name="VariableSolutionFirstCost" localSheetId="16">#REF!</definedName>
    <definedName name="VariableSolutionFirstCost" localSheetId="24">#REF!</definedName>
    <definedName name="VariableSolutionFirstCost" localSheetId="25">#REF!</definedName>
    <definedName name="VariableSolutionFirstCost" localSheetId="2">#REF!</definedName>
    <definedName name="VariableSolutionFirstCost">#REF!</definedName>
    <definedName name="VariableSolutionFuelEfficiencyFactor" localSheetId="31">#REF!</definedName>
    <definedName name="VariableSolutionFuelEfficiencyFactor" localSheetId="15">#REF!</definedName>
    <definedName name="VariableSolutionFuelEfficiencyFactor" localSheetId="16">#REF!</definedName>
    <definedName name="VariableSolutionFuelEfficiencyFactor" localSheetId="24">#REF!</definedName>
    <definedName name="VariableSolutionFuelEfficiencyFactor" localSheetId="25">#REF!</definedName>
    <definedName name="VariableSolutionFuelEfficiencyFactor" localSheetId="2">#REF!</definedName>
    <definedName name="VariableSolutionFuelEfficiencyFactor">#REF!</definedName>
    <definedName name="VariableSolutionIndirectCO2" localSheetId="31">#REF!</definedName>
    <definedName name="VariableSolutionIndirectCO2" localSheetId="15">#REF!</definedName>
    <definedName name="VariableSolutionIndirectCO2" localSheetId="16">#REF!</definedName>
    <definedName name="VariableSolutionIndirectCO2" localSheetId="24">#REF!</definedName>
    <definedName name="VariableSolutionIndirectCO2" localSheetId="25">#REF!</definedName>
    <definedName name="VariableSolutionIndirectCO2" localSheetId="2">#REF!</definedName>
    <definedName name="VariableSolutionIndirectCO2">#REF!</definedName>
    <definedName name="VariableSolutionLifetime" localSheetId="31">#REF!</definedName>
    <definedName name="VariableSolutionLifetime" localSheetId="15">#REF!</definedName>
    <definedName name="VariableSolutionLifetime" localSheetId="16">#REF!</definedName>
    <definedName name="VariableSolutionLifetime" localSheetId="24">#REF!</definedName>
    <definedName name="VariableSolutionLifetime" localSheetId="25">#REF!</definedName>
    <definedName name="VariableSolutionLifetime" localSheetId="2">#REF!</definedName>
    <definedName name="VariableSolutionLifetime">#REF!</definedName>
    <definedName name="VariableSolutionOperatingCost" localSheetId="31">#REF!</definedName>
    <definedName name="VariableSolutionOperatingCost" localSheetId="15">#REF!</definedName>
    <definedName name="VariableSolutionOperatingCost" localSheetId="16">#REF!</definedName>
    <definedName name="VariableSolutionOperatingCost" localSheetId="24">#REF!</definedName>
    <definedName name="VariableSolutionOperatingCost" localSheetId="25">#REF!</definedName>
    <definedName name="VariableSolutionOperatingCost" localSheetId="2">#REF!</definedName>
    <definedName name="VariableSolutionOperatingCo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22" i="10" l="1"/>
  <c r="M336" i="46" l="1"/>
  <c r="K336" i="46"/>
  <c r="G336" i="46"/>
  <c r="E336" i="46"/>
  <c r="M335" i="46"/>
  <c r="K335" i="46"/>
  <c r="G335" i="46"/>
  <c r="E335" i="46"/>
  <c r="M334" i="46"/>
  <c r="K334" i="46"/>
  <c r="G334" i="46"/>
  <c r="E334" i="46"/>
  <c r="M333" i="46"/>
  <c r="K333" i="46"/>
  <c r="G333" i="46"/>
  <c r="E333" i="46"/>
  <c r="M332" i="46"/>
  <c r="K332" i="46"/>
  <c r="G332" i="46"/>
  <c r="E332" i="46"/>
  <c r="M331" i="46"/>
  <c r="K331" i="46"/>
  <c r="G331" i="46"/>
  <c r="E331" i="46"/>
  <c r="M330" i="46"/>
  <c r="K330" i="46"/>
  <c r="G330" i="46"/>
  <c r="E330" i="46"/>
  <c r="M329" i="46"/>
  <c r="K329" i="46"/>
  <c r="G329" i="46"/>
  <c r="E329" i="46"/>
  <c r="M328" i="46"/>
  <c r="K328" i="46"/>
  <c r="G328" i="46"/>
  <c r="E328" i="46"/>
  <c r="M327" i="46"/>
  <c r="K327" i="46"/>
  <c r="G327" i="46"/>
  <c r="E327" i="46"/>
  <c r="M326" i="46"/>
  <c r="K326" i="46"/>
  <c r="G326" i="46"/>
  <c r="E326" i="46"/>
  <c r="M325" i="46"/>
  <c r="K325" i="46"/>
  <c r="G325" i="46"/>
  <c r="E325" i="46"/>
  <c r="M324" i="46"/>
  <c r="K324" i="46"/>
  <c r="G324" i="46"/>
  <c r="E324" i="46"/>
  <c r="M323" i="46"/>
  <c r="K323" i="46"/>
  <c r="G323" i="46"/>
  <c r="E323" i="46"/>
  <c r="M322" i="46"/>
  <c r="K322" i="46"/>
  <c r="G322" i="46"/>
  <c r="E322" i="46"/>
  <c r="M321" i="46"/>
  <c r="K321" i="46"/>
  <c r="G321" i="46"/>
  <c r="E321" i="46"/>
  <c r="M320" i="46"/>
  <c r="K320" i="46"/>
  <c r="G320" i="46"/>
  <c r="E320" i="46"/>
  <c r="M319" i="46"/>
  <c r="K319" i="46"/>
  <c r="G319" i="46"/>
  <c r="E319" i="46"/>
  <c r="M318" i="46"/>
  <c r="K318" i="46"/>
  <c r="G318" i="46"/>
  <c r="E318" i="46"/>
  <c r="M317" i="46"/>
  <c r="K317" i="46"/>
  <c r="G317" i="46"/>
  <c r="E317" i="46"/>
  <c r="M316" i="46"/>
  <c r="K316" i="46"/>
  <c r="G316" i="46"/>
  <c r="E316" i="46"/>
  <c r="M315" i="46"/>
  <c r="K315" i="46"/>
  <c r="G315" i="46"/>
  <c r="E315" i="46"/>
  <c r="M314" i="46"/>
  <c r="K314" i="46"/>
  <c r="G314" i="46"/>
  <c r="E314" i="46"/>
  <c r="M313" i="46"/>
  <c r="K313" i="46"/>
  <c r="G313" i="46"/>
  <c r="E313" i="46"/>
  <c r="M312" i="46"/>
  <c r="K312" i="46"/>
  <c r="G312" i="46"/>
  <c r="E312" i="46"/>
  <c r="M311" i="46"/>
  <c r="K311" i="46"/>
  <c r="G311" i="46"/>
  <c r="E311" i="46"/>
  <c r="M310" i="46"/>
  <c r="K310" i="46"/>
  <c r="G310" i="46"/>
  <c r="E310" i="46"/>
  <c r="M309" i="46"/>
  <c r="K309" i="46"/>
  <c r="G309" i="46"/>
  <c r="E309" i="46"/>
  <c r="M308" i="46"/>
  <c r="K308" i="46"/>
  <c r="G308" i="46"/>
  <c r="E308" i="46"/>
  <c r="M307" i="46"/>
  <c r="K307" i="46"/>
  <c r="G307" i="46"/>
  <c r="E307" i="46"/>
  <c r="M306" i="46"/>
  <c r="K306" i="46"/>
  <c r="G306" i="46"/>
  <c r="E306" i="46"/>
  <c r="M305" i="46"/>
  <c r="K305" i="46"/>
  <c r="G305" i="46"/>
  <c r="E305" i="46"/>
  <c r="M304" i="46"/>
  <c r="K304" i="46"/>
  <c r="G304" i="46"/>
  <c r="E304" i="46"/>
  <c r="M303" i="46"/>
  <c r="K303" i="46"/>
  <c r="G303" i="46"/>
  <c r="E303" i="46"/>
  <c r="M302" i="46"/>
  <c r="K302" i="46"/>
  <c r="G302" i="46"/>
  <c r="E302" i="46"/>
  <c r="M301" i="46"/>
  <c r="K301" i="46"/>
  <c r="G301" i="46"/>
  <c r="E301" i="46"/>
  <c r="M300" i="46"/>
  <c r="K300" i="46"/>
  <c r="G300" i="46"/>
  <c r="E300" i="46"/>
  <c r="M299" i="46"/>
  <c r="K299" i="46"/>
  <c r="G299" i="46"/>
  <c r="E299" i="46"/>
  <c r="M298" i="46"/>
  <c r="K298" i="46"/>
  <c r="G298" i="46"/>
  <c r="E298" i="46"/>
  <c r="M297" i="46"/>
  <c r="K297" i="46"/>
  <c r="G297" i="46"/>
  <c r="E297" i="46"/>
  <c r="M296" i="46"/>
  <c r="K296" i="46"/>
  <c r="G296" i="46"/>
  <c r="E296" i="46"/>
  <c r="M295" i="46"/>
  <c r="K295" i="46"/>
  <c r="G295" i="46"/>
  <c r="E295" i="46"/>
  <c r="M294" i="46"/>
  <c r="K294" i="46"/>
  <c r="G294" i="46"/>
  <c r="E294" i="46"/>
  <c r="M293" i="46"/>
  <c r="K293" i="46"/>
  <c r="G293" i="46"/>
  <c r="E293" i="46"/>
  <c r="M292" i="46"/>
  <c r="K292" i="46"/>
  <c r="G292" i="46"/>
  <c r="E292" i="46"/>
  <c r="M291" i="46"/>
  <c r="K291" i="46"/>
  <c r="G291" i="46"/>
  <c r="E291" i="46"/>
  <c r="M290" i="46"/>
  <c r="K290" i="46"/>
  <c r="G290" i="46"/>
  <c r="E290" i="46"/>
  <c r="M286" i="46"/>
  <c r="K286" i="46"/>
  <c r="G286" i="46"/>
  <c r="E286" i="46"/>
  <c r="B286" i="46"/>
  <c r="B336" i="46" s="1"/>
  <c r="M285" i="46"/>
  <c r="K285" i="46"/>
  <c r="G285" i="46"/>
  <c r="E285" i="46"/>
  <c r="M284" i="46"/>
  <c r="K284" i="46"/>
  <c r="G284" i="46"/>
  <c r="E284" i="46"/>
  <c r="M283" i="46"/>
  <c r="K283" i="46"/>
  <c r="G283" i="46"/>
  <c r="E283" i="46"/>
  <c r="M282" i="46"/>
  <c r="K282" i="46"/>
  <c r="G282" i="46"/>
  <c r="E282" i="46"/>
  <c r="B282" i="46"/>
  <c r="B332" i="46" s="1"/>
  <c r="M281" i="46"/>
  <c r="K281" i="46"/>
  <c r="G281" i="46"/>
  <c r="E281" i="46"/>
  <c r="M280" i="46"/>
  <c r="K280" i="46"/>
  <c r="G280" i="46"/>
  <c r="E280" i="46"/>
  <c r="M279" i="46"/>
  <c r="K279" i="46"/>
  <c r="G279" i="46"/>
  <c r="E279" i="46"/>
  <c r="M278" i="46"/>
  <c r="K278" i="46"/>
  <c r="G278" i="46"/>
  <c r="E278" i="46"/>
  <c r="B278" i="46"/>
  <c r="B328" i="46" s="1"/>
  <c r="M277" i="46"/>
  <c r="K277" i="46"/>
  <c r="G277" i="46"/>
  <c r="E277" i="46"/>
  <c r="M276" i="46"/>
  <c r="K276" i="46"/>
  <c r="G276" i="46"/>
  <c r="E276" i="46"/>
  <c r="M275" i="46"/>
  <c r="K275" i="46"/>
  <c r="G275" i="46"/>
  <c r="E275" i="46"/>
  <c r="M274" i="46"/>
  <c r="K274" i="46"/>
  <c r="G274" i="46"/>
  <c r="E274" i="46"/>
  <c r="B274" i="46"/>
  <c r="B324" i="46" s="1"/>
  <c r="M273" i="46"/>
  <c r="K273" i="46"/>
  <c r="G273" i="46"/>
  <c r="E273" i="46"/>
  <c r="M272" i="46"/>
  <c r="K272" i="46"/>
  <c r="G272" i="46"/>
  <c r="E272" i="46"/>
  <c r="M271" i="46"/>
  <c r="K271" i="46"/>
  <c r="G271" i="46"/>
  <c r="E271" i="46"/>
  <c r="M270" i="46"/>
  <c r="K270" i="46"/>
  <c r="G270" i="46"/>
  <c r="E270" i="46"/>
  <c r="B270" i="46"/>
  <c r="B320" i="46" s="1"/>
  <c r="M269" i="46"/>
  <c r="K269" i="46"/>
  <c r="G269" i="46"/>
  <c r="E269" i="46"/>
  <c r="M268" i="46"/>
  <c r="K268" i="46"/>
  <c r="G268" i="46"/>
  <c r="E268" i="46"/>
  <c r="M267" i="46"/>
  <c r="K267" i="46"/>
  <c r="G267" i="46"/>
  <c r="E267" i="46"/>
  <c r="M266" i="46"/>
  <c r="K266" i="46"/>
  <c r="G266" i="46"/>
  <c r="E266" i="46"/>
  <c r="B266" i="46"/>
  <c r="B316" i="46" s="1"/>
  <c r="M265" i="46"/>
  <c r="K265" i="46"/>
  <c r="G265" i="46"/>
  <c r="E265" i="46"/>
  <c r="M264" i="46"/>
  <c r="K264" i="46"/>
  <c r="G264" i="46"/>
  <c r="E264" i="46"/>
  <c r="M263" i="46"/>
  <c r="K263" i="46"/>
  <c r="G263" i="46"/>
  <c r="E263" i="46"/>
  <c r="M262" i="46"/>
  <c r="K262" i="46"/>
  <c r="G262" i="46"/>
  <c r="E262" i="46"/>
  <c r="B262" i="46"/>
  <c r="B312" i="46" s="1"/>
  <c r="M261" i="46"/>
  <c r="K261" i="46"/>
  <c r="G261" i="46"/>
  <c r="E261" i="46"/>
  <c r="M260" i="46"/>
  <c r="K260" i="46"/>
  <c r="G260" i="46"/>
  <c r="E260" i="46"/>
  <c r="M259" i="46"/>
  <c r="K259" i="46"/>
  <c r="G259" i="46"/>
  <c r="E259" i="46"/>
  <c r="M258" i="46"/>
  <c r="K258" i="46"/>
  <c r="G258" i="46"/>
  <c r="E258" i="46"/>
  <c r="B258" i="46"/>
  <c r="B308" i="46" s="1"/>
  <c r="M257" i="46"/>
  <c r="K257" i="46"/>
  <c r="G257" i="46"/>
  <c r="E257" i="46"/>
  <c r="M256" i="46"/>
  <c r="K256" i="46"/>
  <c r="G256" i="46"/>
  <c r="E256" i="46"/>
  <c r="M255" i="46"/>
  <c r="K255" i="46"/>
  <c r="G255" i="46"/>
  <c r="E255" i="46"/>
  <c r="M254" i="46"/>
  <c r="K254" i="46"/>
  <c r="G254" i="46"/>
  <c r="E254" i="46"/>
  <c r="B254" i="46"/>
  <c r="B304" i="46" s="1"/>
  <c r="M253" i="46"/>
  <c r="K253" i="46"/>
  <c r="G253" i="46"/>
  <c r="E253" i="46"/>
  <c r="M252" i="46"/>
  <c r="K252" i="46"/>
  <c r="G252" i="46"/>
  <c r="E252" i="46"/>
  <c r="M251" i="46"/>
  <c r="K251" i="46"/>
  <c r="G251" i="46"/>
  <c r="E251" i="46"/>
  <c r="M250" i="46"/>
  <c r="K250" i="46"/>
  <c r="G250" i="46"/>
  <c r="E250" i="46"/>
  <c r="B250" i="46"/>
  <c r="B300" i="46" s="1"/>
  <c r="M249" i="46"/>
  <c r="K249" i="46"/>
  <c r="G249" i="46"/>
  <c r="E249" i="46"/>
  <c r="M248" i="46"/>
  <c r="K248" i="46"/>
  <c r="G248" i="46"/>
  <c r="E248" i="46"/>
  <c r="M247" i="46"/>
  <c r="K247" i="46"/>
  <c r="G247" i="46"/>
  <c r="E247" i="46"/>
  <c r="M246" i="46"/>
  <c r="K246" i="46"/>
  <c r="G246" i="46"/>
  <c r="E246" i="46"/>
  <c r="B246" i="46"/>
  <c r="B296" i="46" s="1"/>
  <c r="M245" i="46"/>
  <c r="K245" i="46"/>
  <c r="G245" i="46"/>
  <c r="E245" i="46"/>
  <c r="M244" i="46"/>
  <c r="K244" i="46"/>
  <c r="G244" i="46"/>
  <c r="E244" i="46"/>
  <c r="M243" i="46"/>
  <c r="K243" i="46"/>
  <c r="G243" i="46"/>
  <c r="E243" i="46"/>
  <c r="M242" i="46"/>
  <c r="K242" i="46"/>
  <c r="G242" i="46"/>
  <c r="E242" i="46"/>
  <c r="B242" i="46"/>
  <c r="B292" i="46" s="1"/>
  <c r="M241" i="46"/>
  <c r="K241" i="46"/>
  <c r="G241" i="46"/>
  <c r="E241" i="46"/>
  <c r="M240" i="46"/>
  <c r="K240" i="46"/>
  <c r="G240" i="46"/>
  <c r="E240" i="46"/>
  <c r="M236" i="46"/>
  <c r="K236" i="46"/>
  <c r="G236" i="46"/>
  <c r="E236" i="46"/>
  <c r="B236" i="46"/>
  <c r="M235" i="46"/>
  <c r="K235" i="46"/>
  <c r="G235" i="46"/>
  <c r="E235" i="46"/>
  <c r="B235" i="46"/>
  <c r="B285" i="46" s="1"/>
  <c r="B335" i="46" s="1"/>
  <c r="M234" i="46"/>
  <c r="K234" i="46"/>
  <c r="G234" i="46"/>
  <c r="E234" i="46"/>
  <c r="B234" i="46"/>
  <c r="B284" i="46" s="1"/>
  <c r="B334" i="46" s="1"/>
  <c r="M233" i="46"/>
  <c r="K233" i="46"/>
  <c r="G233" i="46"/>
  <c r="E233" i="46"/>
  <c r="B233" i="46"/>
  <c r="B283" i="46" s="1"/>
  <c r="B333" i="46" s="1"/>
  <c r="M232" i="46"/>
  <c r="K232" i="46"/>
  <c r="G232" i="46"/>
  <c r="E232" i="46"/>
  <c r="B232" i="46"/>
  <c r="M231" i="46"/>
  <c r="K231" i="46"/>
  <c r="G231" i="46"/>
  <c r="E231" i="46"/>
  <c r="B231" i="46"/>
  <c r="B281" i="46" s="1"/>
  <c r="B331" i="46" s="1"/>
  <c r="M230" i="46"/>
  <c r="K230" i="46"/>
  <c r="G230" i="46"/>
  <c r="E230" i="46"/>
  <c r="B230" i="46"/>
  <c r="B280" i="46" s="1"/>
  <c r="B330" i="46" s="1"/>
  <c r="M229" i="46"/>
  <c r="K229" i="46"/>
  <c r="G229" i="46"/>
  <c r="E229" i="46"/>
  <c r="B229" i="46"/>
  <c r="B279" i="46" s="1"/>
  <c r="B329" i="46" s="1"/>
  <c r="M228" i="46"/>
  <c r="K228" i="46"/>
  <c r="G228" i="46"/>
  <c r="E228" i="46"/>
  <c r="B228" i="46"/>
  <c r="M227" i="46"/>
  <c r="K227" i="46"/>
  <c r="G227" i="46"/>
  <c r="E227" i="46"/>
  <c r="B227" i="46"/>
  <c r="B277" i="46" s="1"/>
  <c r="B327" i="46" s="1"/>
  <c r="M226" i="46"/>
  <c r="K226" i="46"/>
  <c r="G226" i="46"/>
  <c r="E226" i="46"/>
  <c r="B226" i="46"/>
  <c r="B276" i="46" s="1"/>
  <c r="B326" i="46" s="1"/>
  <c r="M225" i="46"/>
  <c r="K225" i="46"/>
  <c r="G225" i="46"/>
  <c r="E225" i="46"/>
  <c r="B225" i="46"/>
  <c r="B275" i="46" s="1"/>
  <c r="B325" i="46" s="1"/>
  <c r="M224" i="46"/>
  <c r="K224" i="46"/>
  <c r="G224" i="46"/>
  <c r="E224" i="46"/>
  <c r="B224" i="46"/>
  <c r="M223" i="46"/>
  <c r="K223" i="46"/>
  <c r="G223" i="46"/>
  <c r="E223" i="46"/>
  <c r="B223" i="46"/>
  <c r="B273" i="46" s="1"/>
  <c r="B323" i="46" s="1"/>
  <c r="M222" i="46"/>
  <c r="K222" i="46"/>
  <c r="G222" i="46"/>
  <c r="E222" i="46"/>
  <c r="B222" i="46"/>
  <c r="B272" i="46" s="1"/>
  <c r="B322" i="46" s="1"/>
  <c r="M221" i="46"/>
  <c r="K221" i="46"/>
  <c r="G221" i="46"/>
  <c r="E221" i="46"/>
  <c r="B221" i="46"/>
  <c r="B271" i="46" s="1"/>
  <c r="B321" i="46" s="1"/>
  <c r="M220" i="46"/>
  <c r="K220" i="46"/>
  <c r="G220" i="46"/>
  <c r="E220" i="46"/>
  <c r="B220" i="46"/>
  <c r="M219" i="46"/>
  <c r="K219" i="46"/>
  <c r="G219" i="46"/>
  <c r="E219" i="46"/>
  <c r="B219" i="46"/>
  <c r="B269" i="46" s="1"/>
  <c r="B319" i="46" s="1"/>
  <c r="M218" i="46"/>
  <c r="K218" i="46"/>
  <c r="G218" i="46"/>
  <c r="E218" i="46"/>
  <c r="B218" i="46"/>
  <c r="B268" i="46" s="1"/>
  <c r="B318" i="46" s="1"/>
  <c r="M217" i="46"/>
  <c r="K217" i="46"/>
  <c r="G217" i="46"/>
  <c r="E217" i="46"/>
  <c r="B217" i="46"/>
  <c r="B267" i="46" s="1"/>
  <c r="B317" i="46" s="1"/>
  <c r="M216" i="46"/>
  <c r="K216" i="46"/>
  <c r="G216" i="46"/>
  <c r="E216" i="46"/>
  <c r="B216" i="46"/>
  <c r="M215" i="46"/>
  <c r="K215" i="46"/>
  <c r="G215" i="46"/>
  <c r="E215" i="46"/>
  <c r="B215" i="46"/>
  <c r="B265" i="46" s="1"/>
  <c r="B315" i="46" s="1"/>
  <c r="M214" i="46"/>
  <c r="K214" i="46"/>
  <c r="G214" i="46"/>
  <c r="E214" i="46"/>
  <c r="B214" i="46"/>
  <c r="B264" i="46" s="1"/>
  <c r="B314" i="46" s="1"/>
  <c r="M213" i="46"/>
  <c r="K213" i="46"/>
  <c r="G213" i="46"/>
  <c r="E213" i="46"/>
  <c r="B213" i="46"/>
  <c r="B263" i="46" s="1"/>
  <c r="B313" i="46" s="1"/>
  <c r="M212" i="46"/>
  <c r="K212" i="46"/>
  <c r="G212" i="46"/>
  <c r="E212" i="46"/>
  <c r="B212" i="46"/>
  <c r="M211" i="46"/>
  <c r="K211" i="46"/>
  <c r="G211" i="46"/>
  <c r="E211" i="46"/>
  <c r="B211" i="46"/>
  <c r="B261" i="46" s="1"/>
  <c r="B311" i="46" s="1"/>
  <c r="M210" i="46"/>
  <c r="K210" i="46"/>
  <c r="G210" i="46"/>
  <c r="E210" i="46"/>
  <c r="B210" i="46"/>
  <c r="B260" i="46" s="1"/>
  <c r="B310" i="46" s="1"/>
  <c r="M209" i="46"/>
  <c r="K209" i="46"/>
  <c r="G209" i="46"/>
  <c r="E209" i="46"/>
  <c r="B209" i="46"/>
  <c r="B259" i="46" s="1"/>
  <c r="B309" i="46" s="1"/>
  <c r="M208" i="46"/>
  <c r="K208" i="46"/>
  <c r="G208" i="46"/>
  <c r="E208" i="46"/>
  <c r="B208" i="46"/>
  <c r="M207" i="46"/>
  <c r="K207" i="46"/>
  <c r="G207" i="46"/>
  <c r="E207" i="46"/>
  <c r="B207" i="46"/>
  <c r="B257" i="46" s="1"/>
  <c r="B307" i="46" s="1"/>
  <c r="M206" i="46"/>
  <c r="K206" i="46"/>
  <c r="G206" i="46"/>
  <c r="E206" i="46"/>
  <c r="B206" i="46"/>
  <c r="B256" i="46" s="1"/>
  <c r="B306" i="46" s="1"/>
  <c r="M205" i="46"/>
  <c r="K205" i="46"/>
  <c r="G205" i="46"/>
  <c r="E205" i="46"/>
  <c r="B205" i="46"/>
  <c r="B255" i="46" s="1"/>
  <c r="B305" i="46" s="1"/>
  <c r="M204" i="46"/>
  <c r="K204" i="46"/>
  <c r="G204" i="46"/>
  <c r="E204" i="46"/>
  <c r="B204" i="46"/>
  <c r="M203" i="46"/>
  <c r="K203" i="46"/>
  <c r="G203" i="46"/>
  <c r="E203" i="46"/>
  <c r="B203" i="46"/>
  <c r="B253" i="46" s="1"/>
  <c r="B303" i="46" s="1"/>
  <c r="M202" i="46"/>
  <c r="K202" i="46"/>
  <c r="G202" i="46"/>
  <c r="E202" i="46"/>
  <c r="B202" i="46"/>
  <c r="B252" i="46" s="1"/>
  <c r="B302" i="46" s="1"/>
  <c r="M201" i="46"/>
  <c r="K201" i="46"/>
  <c r="G201" i="46"/>
  <c r="E201" i="46"/>
  <c r="B201" i="46"/>
  <c r="B251" i="46" s="1"/>
  <c r="B301" i="46" s="1"/>
  <c r="M200" i="46"/>
  <c r="K200" i="46"/>
  <c r="G200" i="46"/>
  <c r="E200" i="46"/>
  <c r="B200" i="46"/>
  <c r="M199" i="46"/>
  <c r="K199" i="46"/>
  <c r="G199" i="46"/>
  <c r="E199" i="46"/>
  <c r="B199" i="46"/>
  <c r="B249" i="46" s="1"/>
  <c r="B299" i="46" s="1"/>
  <c r="M198" i="46"/>
  <c r="K198" i="46"/>
  <c r="G198" i="46"/>
  <c r="E198" i="46"/>
  <c r="B198" i="46"/>
  <c r="B248" i="46" s="1"/>
  <c r="B298" i="46" s="1"/>
  <c r="M197" i="46"/>
  <c r="K197" i="46"/>
  <c r="G197" i="46"/>
  <c r="E197" i="46"/>
  <c r="B197" i="46"/>
  <c r="B247" i="46" s="1"/>
  <c r="B297" i="46" s="1"/>
  <c r="M196" i="46"/>
  <c r="K196" i="46"/>
  <c r="G196" i="46"/>
  <c r="E196" i="46"/>
  <c r="B196" i="46"/>
  <c r="M195" i="46"/>
  <c r="K195" i="46"/>
  <c r="G195" i="46"/>
  <c r="E195" i="46"/>
  <c r="B195" i="46"/>
  <c r="B245" i="46" s="1"/>
  <c r="B295" i="46" s="1"/>
  <c r="M194" i="46"/>
  <c r="K194" i="46"/>
  <c r="G194" i="46"/>
  <c r="E194" i="46"/>
  <c r="B194" i="46"/>
  <c r="B244" i="46" s="1"/>
  <c r="B294" i="46" s="1"/>
  <c r="M193" i="46"/>
  <c r="K193" i="46"/>
  <c r="G193" i="46"/>
  <c r="E193" i="46"/>
  <c r="B193" i="46"/>
  <c r="B243" i="46" s="1"/>
  <c r="B293" i="46" s="1"/>
  <c r="M192" i="46"/>
  <c r="K192" i="46"/>
  <c r="G192" i="46"/>
  <c r="E192" i="46"/>
  <c r="B192" i="46"/>
  <c r="M191" i="46"/>
  <c r="K191" i="46"/>
  <c r="G191" i="46"/>
  <c r="E191" i="46"/>
  <c r="B191" i="46"/>
  <c r="B241" i="46" s="1"/>
  <c r="B291" i="46" s="1"/>
  <c r="M190" i="46"/>
  <c r="K190" i="46"/>
  <c r="G190" i="46"/>
  <c r="E190" i="46"/>
  <c r="B190" i="46"/>
  <c r="B240" i="46" s="1"/>
  <c r="B290" i="46" s="1"/>
  <c r="C153" i="45" l="1"/>
  <c r="D153" i="45" s="1"/>
  <c r="E153" i="45" s="1"/>
  <c r="C152" i="45"/>
  <c r="D152" i="45" s="1"/>
  <c r="E152" i="45" s="1"/>
  <c r="D151" i="45"/>
  <c r="E151" i="45" s="1"/>
  <c r="C151" i="45"/>
  <c r="C150" i="45"/>
  <c r="D150" i="45" s="1"/>
  <c r="E150" i="45" s="1"/>
  <c r="C149" i="45"/>
  <c r="D149" i="45" s="1"/>
  <c r="E149" i="45" s="1"/>
  <c r="E148" i="45"/>
  <c r="C148" i="45"/>
  <c r="D148" i="45" s="1"/>
  <c r="D147" i="45"/>
  <c r="E147" i="45" s="1"/>
  <c r="C147" i="45"/>
  <c r="C146" i="45"/>
  <c r="D146" i="45" s="1"/>
  <c r="E146" i="45" s="1"/>
  <c r="C145" i="45"/>
  <c r="D145" i="45" s="1"/>
  <c r="E145" i="45" s="1"/>
  <c r="C144" i="45"/>
  <c r="D144" i="45" s="1"/>
  <c r="E144" i="45" s="1"/>
  <c r="D143" i="45"/>
  <c r="E143" i="45" s="1"/>
  <c r="C143" i="45"/>
  <c r="C142" i="45"/>
  <c r="D142" i="45" s="1"/>
  <c r="E142" i="45" s="1"/>
  <c r="C141" i="45"/>
  <c r="D141" i="45" s="1"/>
  <c r="E141" i="45" s="1"/>
  <c r="E140" i="45"/>
  <c r="C140" i="45"/>
  <c r="D140" i="45" s="1"/>
  <c r="D139" i="45"/>
  <c r="E139" i="45" s="1"/>
  <c r="C139" i="45"/>
  <c r="C138" i="45"/>
  <c r="D138" i="45" s="1"/>
  <c r="E138" i="45" s="1"/>
  <c r="C137" i="45"/>
  <c r="D137" i="45" s="1"/>
  <c r="E137" i="45" s="1"/>
  <c r="C136" i="45"/>
  <c r="D136" i="45" s="1"/>
  <c r="E136" i="45" s="1"/>
  <c r="D135" i="45"/>
  <c r="E135" i="45" s="1"/>
  <c r="C135" i="45"/>
  <c r="C134" i="45"/>
  <c r="D134" i="45" s="1"/>
  <c r="E134" i="45" s="1"/>
  <c r="C133" i="45"/>
  <c r="D133" i="45" s="1"/>
  <c r="E133" i="45" s="1"/>
  <c r="E132" i="45"/>
  <c r="C132" i="45"/>
  <c r="D132" i="45" s="1"/>
  <c r="D131" i="45"/>
  <c r="E131" i="45" s="1"/>
  <c r="C131" i="45"/>
  <c r="C130" i="45"/>
  <c r="D130" i="45" s="1"/>
  <c r="E130" i="45" s="1"/>
  <c r="C129" i="45"/>
  <c r="D129" i="45" s="1"/>
  <c r="E129" i="45" s="1"/>
  <c r="E128" i="45"/>
  <c r="C128" i="45"/>
  <c r="D128" i="45" s="1"/>
  <c r="D127" i="45"/>
  <c r="E127" i="45" s="1"/>
  <c r="C127" i="45"/>
  <c r="C126" i="45"/>
  <c r="D126" i="45" s="1"/>
  <c r="E126" i="45" s="1"/>
  <c r="C125" i="45"/>
  <c r="D125" i="45" s="1"/>
  <c r="E125" i="45" s="1"/>
  <c r="E124" i="45"/>
  <c r="C124" i="45"/>
  <c r="D124" i="45" s="1"/>
  <c r="D123" i="45"/>
  <c r="E123" i="45" s="1"/>
  <c r="C123" i="45"/>
  <c r="C122" i="45"/>
  <c r="D122" i="45" s="1"/>
  <c r="E122" i="45" s="1"/>
  <c r="C121" i="45"/>
  <c r="D121" i="45" s="1"/>
  <c r="E121" i="45" s="1"/>
  <c r="E120" i="45"/>
  <c r="C120" i="45"/>
  <c r="D120" i="45" s="1"/>
  <c r="D119" i="45"/>
  <c r="E119" i="45" s="1"/>
  <c r="C119" i="45"/>
  <c r="C118" i="45"/>
  <c r="D118" i="45" s="1"/>
  <c r="E118" i="45" s="1"/>
  <c r="C117" i="45"/>
  <c r="D117" i="45" s="1"/>
  <c r="E117" i="45" s="1"/>
  <c r="E116" i="45"/>
  <c r="C116" i="45"/>
  <c r="D116" i="45" s="1"/>
  <c r="D115" i="45"/>
  <c r="E115" i="45" s="1"/>
  <c r="C115" i="45"/>
  <c r="C114" i="45"/>
  <c r="D114" i="45" s="1"/>
  <c r="E114" i="45" s="1"/>
  <c r="C113" i="45"/>
  <c r="D113" i="45" s="1"/>
  <c r="E113" i="45" s="1"/>
  <c r="E112" i="45"/>
  <c r="C112" i="45"/>
  <c r="D112" i="45" s="1"/>
  <c r="D111" i="45"/>
  <c r="E111" i="45" s="1"/>
  <c r="C111" i="45"/>
  <c r="C110" i="45"/>
  <c r="D110" i="45" s="1"/>
  <c r="E110" i="45" s="1"/>
  <c r="C109" i="45"/>
  <c r="D109" i="45" s="1"/>
  <c r="E109" i="45" s="1"/>
  <c r="E108" i="45"/>
  <c r="C108" i="45"/>
  <c r="D108" i="45" s="1"/>
  <c r="D107" i="45"/>
  <c r="E107" i="45" s="1"/>
  <c r="C107" i="45"/>
  <c r="C102" i="45"/>
  <c r="D102" i="45" s="1"/>
  <c r="E102" i="45" s="1"/>
  <c r="C101" i="45"/>
  <c r="D101" i="45" s="1"/>
  <c r="E101" i="45" s="1"/>
  <c r="E100" i="45"/>
  <c r="C100" i="45"/>
  <c r="D100" i="45" s="1"/>
  <c r="D99" i="45"/>
  <c r="E99" i="45" s="1"/>
  <c r="C99" i="45"/>
  <c r="C98" i="45"/>
  <c r="D98" i="45" s="1"/>
  <c r="E98" i="45" s="1"/>
  <c r="C97" i="45"/>
  <c r="D97" i="45" s="1"/>
  <c r="E97" i="45" s="1"/>
  <c r="E96" i="45"/>
  <c r="C96" i="45"/>
  <c r="D96" i="45" s="1"/>
  <c r="D95" i="45"/>
  <c r="E95" i="45" s="1"/>
  <c r="C95" i="45"/>
  <c r="C94" i="45"/>
  <c r="D94" i="45" s="1"/>
  <c r="E94" i="45" s="1"/>
  <c r="C93" i="45"/>
  <c r="D93" i="45" s="1"/>
  <c r="E93" i="45" s="1"/>
  <c r="E92" i="45"/>
  <c r="C92" i="45"/>
  <c r="D92" i="45" s="1"/>
  <c r="D91" i="45"/>
  <c r="E91" i="45" s="1"/>
  <c r="C91" i="45"/>
  <c r="C90" i="45"/>
  <c r="D90" i="45" s="1"/>
  <c r="E90" i="45" s="1"/>
  <c r="C89" i="45"/>
  <c r="D89" i="45" s="1"/>
  <c r="E89" i="45" s="1"/>
  <c r="E88" i="45"/>
  <c r="C88" i="45"/>
  <c r="D88" i="45" s="1"/>
  <c r="D87" i="45"/>
  <c r="E87" i="45" s="1"/>
  <c r="C87" i="45"/>
  <c r="C86" i="45"/>
  <c r="D86" i="45" s="1"/>
  <c r="E86" i="45" s="1"/>
  <c r="C85" i="45"/>
  <c r="D85" i="45" s="1"/>
  <c r="E85" i="45" s="1"/>
  <c r="E84" i="45"/>
  <c r="C84" i="45"/>
  <c r="D84" i="45" s="1"/>
  <c r="D83" i="45"/>
  <c r="E83" i="45" s="1"/>
  <c r="C83" i="45"/>
  <c r="C82" i="45"/>
  <c r="D82" i="45" s="1"/>
  <c r="E82" i="45" s="1"/>
  <c r="C81" i="45"/>
  <c r="D81" i="45" s="1"/>
  <c r="E81" i="45" s="1"/>
  <c r="E80" i="45"/>
  <c r="C80" i="45"/>
  <c r="D80" i="45" s="1"/>
  <c r="D79" i="45"/>
  <c r="E79" i="45" s="1"/>
  <c r="C79" i="45"/>
  <c r="C78" i="45"/>
  <c r="D78" i="45" s="1"/>
  <c r="E78" i="45" s="1"/>
  <c r="C77" i="45"/>
  <c r="D77" i="45" s="1"/>
  <c r="E77" i="45" s="1"/>
  <c r="E76" i="45"/>
  <c r="C76" i="45"/>
  <c r="D76" i="45" s="1"/>
  <c r="D75" i="45"/>
  <c r="E75" i="45" s="1"/>
  <c r="C75" i="45"/>
  <c r="C74" i="45"/>
  <c r="D74" i="45" s="1"/>
  <c r="E74" i="45" s="1"/>
  <c r="D73" i="45"/>
  <c r="E73" i="45" s="1"/>
  <c r="C73" i="45"/>
  <c r="C72" i="45"/>
  <c r="D72" i="45" s="1"/>
  <c r="E72" i="45" s="1"/>
  <c r="D71" i="45"/>
  <c r="E71" i="45" s="1"/>
  <c r="C71" i="45"/>
  <c r="C70" i="45"/>
  <c r="D70" i="45" s="1"/>
  <c r="E70" i="45" s="1"/>
  <c r="D69" i="45"/>
  <c r="E69" i="45" s="1"/>
  <c r="C69" i="45"/>
  <c r="E68" i="45"/>
  <c r="C68" i="45"/>
  <c r="D68" i="45" s="1"/>
  <c r="D67" i="45"/>
  <c r="E67" i="45" s="1"/>
  <c r="C67" i="45"/>
  <c r="C66" i="45"/>
  <c r="D66" i="45" s="1"/>
  <c r="E66" i="45" s="1"/>
  <c r="D65" i="45"/>
  <c r="E65" i="45" s="1"/>
  <c r="C65" i="45"/>
  <c r="C64" i="45"/>
  <c r="D64" i="45" s="1"/>
  <c r="E64" i="45" s="1"/>
  <c r="D63" i="45"/>
  <c r="E63" i="45" s="1"/>
  <c r="C63" i="45"/>
  <c r="C62" i="45"/>
  <c r="D62" i="45" s="1"/>
  <c r="E62" i="45" s="1"/>
  <c r="D61" i="45"/>
  <c r="E61" i="45" s="1"/>
  <c r="C61" i="45"/>
  <c r="E60" i="45"/>
  <c r="C60" i="45"/>
  <c r="D60" i="45" s="1"/>
  <c r="D59" i="45"/>
  <c r="E59" i="45" s="1"/>
  <c r="C59" i="45"/>
  <c r="C58" i="45"/>
  <c r="D58" i="45" s="1"/>
  <c r="E58" i="45" s="1"/>
  <c r="D57" i="45"/>
  <c r="E57" i="45" s="1"/>
  <c r="C57" i="45"/>
  <c r="C56" i="45"/>
  <c r="D56" i="45" s="1"/>
  <c r="E56" i="45" s="1"/>
  <c r="D51" i="45"/>
  <c r="E51" i="45" s="1"/>
  <c r="C51" i="45"/>
  <c r="D50" i="45"/>
  <c r="E50" i="45" s="1"/>
  <c r="C50" i="45"/>
  <c r="D49" i="45"/>
  <c r="E49" i="45" s="1"/>
  <c r="C49" i="45"/>
  <c r="D48" i="45"/>
  <c r="E48" i="45" s="1"/>
  <c r="C48" i="45"/>
  <c r="D47" i="45"/>
  <c r="E47" i="45" s="1"/>
  <c r="C47" i="45"/>
  <c r="D46" i="45"/>
  <c r="E46" i="45" s="1"/>
  <c r="C46" i="45"/>
  <c r="D45" i="45"/>
  <c r="E45" i="45" s="1"/>
  <c r="C45" i="45"/>
  <c r="D44" i="45"/>
  <c r="E44" i="45" s="1"/>
  <c r="C44" i="45"/>
  <c r="D43" i="45"/>
  <c r="E43" i="45" s="1"/>
  <c r="C43" i="45"/>
  <c r="D42" i="45"/>
  <c r="E42" i="45" s="1"/>
  <c r="C42" i="45"/>
  <c r="D41" i="45"/>
  <c r="E41" i="45" s="1"/>
  <c r="C41" i="45"/>
  <c r="D40" i="45"/>
  <c r="E40" i="45" s="1"/>
  <c r="C40" i="45"/>
  <c r="D39" i="45"/>
  <c r="E39" i="45" s="1"/>
  <c r="C39" i="45"/>
  <c r="D38" i="45"/>
  <c r="E38" i="45" s="1"/>
  <c r="C38" i="45"/>
  <c r="D37" i="45"/>
  <c r="E37" i="45" s="1"/>
  <c r="C37" i="45"/>
  <c r="D36" i="45"/>
  <c r="E36" i="45" s="1"/>
  <c r="C36" i="45"/>
  <c r="D35" i="45"/>
  <c r="E35" i="45" s="1"/>
  <c r="C35" i="45"/>
  <c r="D34" i="45"/>
  <c r="E34" i="45" s="1"/>
  <c r="C34" i="45"/>
  <c r="D33" i="45"/>
  <c r="E33" i="45" s="1"/>
  <c r="C33" i="45"/>
  <c r="D32" i="45"/>
  <c r="E32" i="45" s="1"/>
  <c r="C32" i="45"/>
  <c r="D31" i="45"/>
  <c r="E31" i="45" s="1"/>
  <c r="C31" i="45"/>
  <c r="D30" i="45"/>
  <c r="E30" i="45" s="1"/>
  <c r="C30" i="45"/>
  <c r="D29" i="45"/>
  <c r="E29" i="45" s="1"/>
  <c r="C29" i="45"/>
  <c r="D28" i="45"/>
  <c r="E28" i="45" s="1"/>
  <c r="C28" i="45"/>
  <c r="C27" i="45"/>
  <c r="D27" i="45" s="1"/>
  <c r="E27" i="45" s="1"/>
  <c r="D26" i="45"/>
  <c r="E26" i="45" s="1"/>
  <c r="C26" i="45"/>
  <c r="C25" i="45"/>
  <c r="D25" i="45" s="1"/>
  <c r="E25" i="45" s="1"/>
  <c r="D24" i="45"/>
  <c r="E24" i="45" s="1"/>
  <c r="C24" i="45"/>
  <c r="C23" i="45"/>
  <c r="D23" i="45" s="1"/>
  <c r="E23" i="45" s="1"/>
  <c r="D22" i="45"/>
  <c r="E22" i="45" s="1"/>
  <c r="C22" i="45"/>
  <c r="C21" i="45"/>
  <c r="D21" i="45" s="1"/>
  <c r="E21" i="45" s="1"/>
  <c r="D20" i="45"/>
  <c r="E20" i="45" s="1"/>
  <c r="C20" i="45"/>
  <c r="C19" i="45"/>
  <c r="D19" i="45" s="1"/>
  <c r="E19" i="45" s="1"/>
  <c r="D18" i="45"/>
  <c r="E18" i="45" s="1"/>
  <c r="C18" i="45"/>
  <c r="C17" i="45"/>
  <c r="D17" i="45" s="1"/>
  <c r="E17" i="45" s="1"/>
  <c r="D16" i="45"/>
  <c r="E16" i="45" s="1"/>
  <c r="C16" i="45"/>
  <c r="C15" i="45"/>
  <c r="D15" i="45" s="1"/>
  <c r="E15" i="45" s="1"/>
  <c r="D14" i="45"/>
  <c r="E14" i="45" s="1"/>
  <c r="C14" i="45"/>
  <c r="D13" i="45"/>
  <c r="E13" i="45" s="1"/>
  <c r="C13" i="45"/>
  <c r="D12" i="45"/>
  <c r="E12" i="45" s="1"/>
  <c r="C12" i="45"/>
  <c r="D11" i="45"/>
  <c r="E11" i="45" s="1"/>
  <c r="C11" i="45"/>
  <c r="D10" i="45"/>
  <c r="E10" i="45" s="1"/>
  <c r="C10" i="45"/>
  <c r="D9" i="45"/>
  <c r="E9" i="45" s="1"/>
  <c r="C9" i="45"/>
  <c r="D8" i="45"/>
  <c r="E8" i="45" s="1"/>
  <c r="C8" i="45"/>
  <c r="M7" i="45"/>
  <c r="M8" i="45" s="1"/>
  <c r="M9" i="45" s="1"/>
  <c r="M10" i="45" s="1"/>
  <c r="M11" i="45" s="1"/>
  <c r="M12" i="45" s="1"/>
  <c r="M13" i="45" s="1"/>
  <c r="M14" i="45" s="1"/>
  <c r="M15" i="45" s="1"/>
  <c r="M16" i="45" s="1"/>
  <c r="M17" i="45" s="1"/>
  <c r="M18" i="45" s="1"/>
  <c r="M19" i="45" s="1"/>
  <c r="M20" i="45" s="1"/>
  <c r="M21" i="45" s="1"/>
  <c r="M22" i="45" s="1"/>
  <c r="M23" i="45" s="1"/>
  <c r="M24" i="45" s="1"/>
  <c r="M25" i="45" s="1"/>
  <c r="M26" i="45" s="1"/>
  <c r="M27" i="45" s="1"/>
  <c r="M28" i="45" s="1"/>
  <c r="M29" i="45" s="1"/>
  <c r="M30" i="45" s="1"/>
  <c r="M31" i="45" s="1"/>
  <c r="M32" i="45" s="1"/>
  <c r="M33" i="45" s="1"/>
  <c r="M34" i="45" s="1"/>
  <c r="M35" i="45" s="1"/>
  <c r="M36" i="45" s="1"/>
  <c r="M37" i="45" s="1"/>
  <c r="M38" i="45" s="1"/>
  <c r="M39" i="45" s="1"/>
  <c r="M40" i="45" s="1"/>
  <c r="M41" i="45" s="1"/>
  <c r="M42" i="45" s="1"/>
  <c r="M43" i="45" s="1"/>
  <c r="M44" i="45" s="1"/>
  <c r="M45" i="45" s="1"/>
  <c r="M46" i="45" s="1"/>
  <c r="M47" i="45" s="1"/>
  <c r="M48" i="45" s="1"/>
  <c r="M49" i="45" s="1"/>
  <c r="M50" i="45" s="1"/>
  <c r="D7" i="45"/>
  <c r="E7" i="45" s="1"/>
  <c r="C7" i="45"/>
  <c r="C6" i="45"/>
  <c r="D6" i="45" s="1"/>
  <c r="E6" i="45" s="1"/>
  <c r="M5" i="45"/>
  <c r="C5" i="45"/>
  <c r="D5" i="45" s="1"/>
  <c r="E5" i="45" s="1"/>
  <c r="M4" i="45"/>
  <c r="M3" i="45" s="1"/>
  <c r="M2" i="45" s="1"/>
  <c r="O58" i="44" l="1"/>
  <c r="O57" i="44"/>
  <c r="O56" i="44"/>
  <c r="O55" i="44"/>
  <c r="O54" i="44"/>
  <c r="O53" i="44"/>
  <c r="O52" i="44"/>
  <c r="O51" i="44"/>
  <c r="O50" i="44"/>
  <c r="O49" i="44"/>
  <c r="O48" i="44"/>
  <c r="O47" i="44"/>
  <c r="O46" i="44"/>
  <c r="O45" i="44"/>
  <c r="O44" i="44"/>
  <c r="O43" i="44"/>
  <c r="O42" i="44"/>
  <c r="O41" i="44"/>
  <c r="O40" i="44"/>
  <c r="O39" i="44"/>
  <c r="O38" i="44"/>
  <c r="O37" i="44"/>
  <c r="O36" i="44"/>
  <c r="O35" i="44"/>
  <c r="O34" i="44"/>
  <c r="O33" i="44"/>
  <c r="O32" i="44"/>
  <c r="O31" i="44"/>
  <c r="O30" i="44"/>
  <c r="O29" i="44"/>
  <c r="O28" i="44"/>
  <c r="O27" i="44"/>
  <c r="O26" i="44"/>
  <c r="O25" i="44"/>
  <c r="O24" i="44"/>
  <c r="O23" i="44"/>
  <c r="O22" i="44"/>
  <c r="O21" i="44"/>
  <c r="O20" i="44"/>
  <c r="O19" i="44"/>
  <c r="O18" i="44"/>
  <c r="O17" i="44"/>
  <c r="O16" i="44"/>
  <c r="O15" i="44"/>
  <c r="O14" i="44"/>
  <c r="O13" i="44"/>
  <c r="O12" i="44"/>
  <c r="O11" i="44"/>
  <c r="O10" i="44"/>
  <c r="B68" i="4" l="1"/>
  <c r="G162" i="43" l="1"/>
  <c r="G161" i="43"/>
  <c r="G160" i="43"/>
  <c r="G159" i="43"/>
  <c r="G158" i="43"/>
  <c r="G157" i="43"/>
  <c r="G156" i="43"/>
  <c r="G155" i="43"/>
  <c r="G154" i="43"/>
  <c r="G153" i="43"/>
  <c r="G152" i="43"/>
  <c r="G151" i="43"/>
  <c r="G150" i="43"/>
  <c r="G149" i="43"/>
  <c r="G148" i="43"/>
  <c r="G147" i="43"/>
  <c r="G146" i="43"/>
  <c r="G145" i="43"/>
  <c r="G144" i="43"/>
  <c r="G143" i="43"/>
  <c r="G142" i="43"/>
  <c r="G141" i="43"/>
  <c r="G140" i="43"/>
  <c r="G139" i="43"/>
  <c r="G138" i="43"/>
  <c r="G137" i="43"/>
  <c r="G136" i="43"/>
  <c r="G135" i="43"/>
  <c r="G134" i="43"/>
  <c r="G133" i="43"/>
  <c r="G132" i="43"/>
  <c r="G131" i="43"/>
  <c r="G130" i="43"/>
  <c r="G129" i="43"/>
  <c r="G128" i="43"/>
  <c r="G127" i="43"/>
  <c r="G126" i="43"/>
  <c r="G125" i="43"/>
  <c r="G124" i="43"/>
  <c r="G123" i="43"/>
  <c r="G122" i="43"/>
  <c r="G121" i="43"/>
  <c r="G120" i="43"/>
  <c r="G119" i="43"/>
  <c r="G118" i="43"/>
  <c r="G117" i="43"/>
  <c r="G116" i="43"/>
  <c r="G107" i="43"/>
  <c r="G106" i="43"/>
  <c r="G105" i="43"/>
  <c r="G104" i="43"/>
  <c r="G103" i="43"/>
  <c r="G102" i="43"/>
  <c r="G101" i="43"/>
  <c r="G100" i="43"/>
  <c r="G99" i="43"/>
  <c r="G98" i="43"/>
  <c r="G97" i="43"/>
  <c r="G96" i="43"/>
  <c r="G95" i="43"/>
  <c r="G94" i="43"/>
  <c r="G93" i="43"/>
  <c r="G92" i="43"/>
  <c r="G91" i="43"/>
  <c r="G90" i="43"/>
  <c r="G89" i="43"/>
  <c r="G88" i="43"/>
  <c r="G87" i="43"/>
  <c r="G86" i="43"/>
  <c r="G85" i="43"/>
  <c r="G84" i="43"/>
  <c r="G83" i="43"/>
  <c r="G82" i="43"/>
  <c r="G81" i="43"/>
  <c r="G80" i="43"/>
  <c r="G79" i="43"/>
  <c r="G78" i="43"/>
  <c r="G77" i="43"/>
  <c r="G76" i="43"/>
  <c r="G75" i="43"/>
  <c r="G74" i="43"/>
  <c r="G73" i="43"/>
  <c r="G72" i="43"/>
  <c r="G71" i="43"/>
  <c r="G70" i="43"/>
  <c r="G69" i="43"/>
  <c r="G68" i="43"/>
  <c r="G67" i="43"/>
  <c r="G66" i="43"/>
  <c r="G65" i="43"/>
  <c r="G64" i="43"/>
  <c r="G63" i="43"/>
  <c r="G62" i="43"/>
  <c r="G61" i="43"/>
  <c r="G52" i="43"/>
  <c r="G51" i="43"/>
  <c r="G50" i="43"/>
  <c r="G49" i="43"/>
  <c r="G48" i="43"/>
  <c r="G47" i="43"/>
  <c r="G46" i="43"/>
  <c r="G45" i="43"/>
  <c r="G44" i="43"/>
  <c r="G43" i="43"/>
  <c r="G42" i="43"/>
  <c r="G41" i="43"/>
  <c r="G40" i="43"/>
  <c r="G39" i="43"/>
  <c r="G38" i="43"/>
  <c r="G37" i="43"/>
  <c r="G36" i="43"/>
  <c r="G35" i="43"/>
  <c r="G34" i="43"/>
  <c r="G33" i="43"/>
  <c r="G32" i="43"/>
  <c r="G31" i="43"/>
  <c r="G30" i="43"/>
  <c r="G29" i="43"/>
  <c r="G28" i="43"/>
  <c r="G27" i="43"/>
  <c r="G26" i="43"/>
  <c r="G25" i="43"/>
  <c r="G24" i="43"/>
  <c r="G23" i="43"/>
  <c r="G22" i="43"/>
  <c r="G21" i="43"/>
  <c r="G20" i="43"/>
  <c r="G19" i="43"/>
  <c r="G18" i="43"/>
  <c r="G17" i="43"/>
  <c r="G16" i="43"/>
  <c r="G15" i="43"/>
  <c r="G14" i="43"/>
  <c r="G13" i="43"/>
  <c r="G12" i="43"/>
  <c r="G11" i="43"/>
  <c r="G10" i="43"/>
  <c r="G9" i="43"/>
  <c r="G8" i="43"/>
  <c r="G7" i="43"/>
  <c r="G6" i="43"/>
  <c r="D6" i="43"/>
  <c r="E6" i="43" s="1"/>
  <c r="H6" i="43" s="1"/>
  <c r="J6" i="43" s="1"/>
  <c r="B6" i="43"/>
  <c r="AE60" i="3" l="1"/>
  <c r="Q156" i="42" l="1"/>
  <c r="G156" i="42"/>
  <c r="H156" i="42" s="1"/>
  <c r="I156" i="42" s="1"/>
  <c r="D156" i="42"/>
  <c r="Q155" i="42"/>
  <c r="H155" i="42"/>
  <c r="I155" i="42" s="1"/>
  <c r="G155" i="42"/>
  <c r="D155" i="42"/>
  <c r="Q154" i="42"/>
  <c r="I154" i="42"/>
  <c r="H154" i="42"/>
  <c r="G154" i="42"/>
  <c r="D154" i="42"/>
  <c r="Q153" i="42"/>
  <c r="D153" i="42"/>
  <c r="G153" i="42" s="1"/>
  <c r="H153" i="42" s="1"/>
  <c r="I153" i="42" s="1"/>
  <c r="Q152" i="42"/>
  <c r="G152" i="42"/>
  <c r="H152" i="42" s="1"/>
  <c r="I152" i="42" s="1"/>
  <c r="D152" i="42"/>
  <c r="Q151" i="42"/>
  <c r="H151" i="42"/>
  <c r="I151" i="42" s="1"/>
  <c r="G151" i="42"/>
  <c r="D151" i="42"/>
  <c r="Q150" i="42"/>
  <c r="I150" i="42"/>
  <c r="H150" i="42"/>
  <c r="G150" i="42"/>
  <c r="D150" i="42"/>
  <c r="Q149" i="42"/>
  <c r="D149" i="42"/>
  <c r="G149" i="42" s="1"/>
  <c r="H149" i="42" s="1"/>
  <c r="I149" i="42" s="1"/>
  <c r="Q148" i="42"/>
  <c r="G148" i="42"/>
  <c r="H148" i="42" s="1"/>
  <c r="I148" i="42" s="1"/>
  <c r="D148" i="42"/>
  <c r="Q147" i="42"/>
  <c r="H147" i="42"/>
  <c r="I147" i="42" s="1"/>
  <c r="G147" i="42"/>
  <c r="D147" i="42"/>
  <c r="Q146" i="42"/>
  <c r="I146" i="42"/>
  <c r="H146" i="42"/>
  <c r="G146" i="42"/>
  <c r="D146" i="42"/>
  <c r="Q145" i="42"/>
  <c r="D145" i="42"/>
  <c r="G145" i="42" s="1"/>
  <c r="H145" i="42" s="1"/>
  <c r="I145" i="42" s="1"/>
  <c r="Q144" i="42"/>
  <c r="G144" i="42"/>
  <c r="H144" i="42" s="1"/>
  <c r="I144" i="42" s="1"/>
  <c r="D144" i="42"/>
  <c r="Q143" i="42"/>
  <c r="H143" i="42"/>
  <c r="I143" i="42" s="1"/>
  <c r="G143" i="42"/>
  <c r="D143" i="42"/>
  <c r="Q142" i="42"/>
  <c r="I142" i="42"/>
  <c r="H142" i="42"/>
  <c r="G142" i="42"/>
  <c r="D142" i="42"/>
  <c r="Q141" i="42"/>
  <c r="D141" i="42"/>
  <c r="G141" i="42" s="1"/>
  <c r="H141" i="42" s="1"/>
  <c r="I141" i="42" s="1"/>
  <c r="Q140" i="42"/>
  <c r="G140" i="42"/>
  <c r="H140" i="42" s="1"/>
  <c r="I140" i="42" s="1"/>
  <c r="D140" i="42"/>
  <c r="Q139" i="42"/>
  <c r="H139" i="42"/>
  <c r="I139" i="42" s="1"/>
  <c r="G139" i="42"/>
  <c r="D139" i="42"/>
  <c r="Q138" i="42"/>
  <c r="I138" i="42"/>
  <c r="H138" i="42"/>
  <c r="G138" i="42"/>
  <c r="D138" i="42"/>
  <c r="Q137" i="42"/>
  <c r="D137" i="42"/>
  <c r="G137" i="42" s="1"/>
  <c r="H137" i="42" s="1"/>
  <c r="I137" i="42" s="1"/>
  <c r="Q136" i="42"/>
  <c r="G136" i="42"/>
  <c r="H136" i="42" s="1"/>
  <c r="I136" i="42" s="1"/>
  <c r="D136" i="42"/>
  <c r="Q135" i="42"/>
  <c r="H135" i="42"/>
  <c r="I135" i="42" s="1"/>
  <c r="G135" i="42"/>
  <c r="D135" i="42"/>
  <c r="Q134" i="42"/>
  <c r="I134" i="42"/>
  <c r="H134" i="42"/>
  <c r="G134" i="42"/>
  <c r="D134" i="42"/>
  <c r="Q133" i="42"/>
  <c r="D133" i="42"/>
  <c r="G133" i="42" s="1"/>
  <c r="H133" i="42" s="1"/>
  <c r="I133" i="42" s="1"/>
  <c r="Q132" i="42"/>
  <c r="G132" i="42"/>
  <c r="H132" i="42" s="1"/>
  <c r="I132" i="42" s="1"/>
  <c r="D132" i="42"/>
  <c r="Q131" i="42"/>
  <c r="H131" i="42"/>
  <c r="I131" i="42" s="1"/>
  <c r="G131" i="42"/>
  <c r="D131" i="42"/>
  <c r="Q130" i="42"/>
  <c r="I130" i="42"/>
  <c r="H130" i="42"/>
  <c r="G130" i="42"/>
  <c r="D130" i="42"/>
  <c r="Q129" i="42"/>
  <c r="D129" i="42"/>
  <c r="G129" i="42" s="1"/>
  <c r="H129" i="42" s="1"/>
  <c r="I129" i="42" s="1"/>
  <c r="Q128" i="42"/>
  <c r="G128" i="42"/>
  <c r="H128" i="42" s="1"/>
  <c r="I128" i="42" s="1"/>
  <c r="D128" i="42"/>
  <c r="Q127" i="42"/>
  <c r="H127" i="42"/>
  <c r="I127" i="42" s="1"/>
  <c r="G127" i="42"/>
  <c r="D127" i="42"/>
  <c r="Q126" i="42"/>
  <c r="I126" i="42"/>
  <c r="H126" i="42"/>
  <c r="G126" i="42"/>
  <c r="D126" i="42"/>
  <c r="Q125" i="42"/>
  <c r="D125" i="42"/>
  <c r="G125" i="42" s="1"/>
  <c r="H125" i="42" s="1"/>
  <c r="I125" i="42" s="1"/>
  <c r="Q124" i="42"/>
  <c r="G124" i="42"/>
  <c r="H124" i="42" s="1"/>
  <c r="I124" i="42" s="1"/>
  <c r="D124" i="42"/>
  <c r="Q123" i="42"/>
  <c r="H123" i="42"/>
  <c r="I123" i="42" s="1"/>
  <c r="G123" i="42"/>
  <c r="D123" i="42"/>
  <c r="Q122" i="42"/>
  <c r="I122" i="42"/>
  <c r="H122" i="42"/>
  <c r="G122" i="42"/>
  <c r="D122" i="42"/>
  <c r="Q121" i="42"/>
  <c r="D121" i="42"/>
  <c r="G121" i="42" s="1"/>
  <c r="H121" i="42" s="1"/>
  <c r="I121" i="42" s="1"/>
  <c r="Q120" i="42"/>
  <c r="G120" i="42"/>
  <c r="H120" i="42" s="1"/>
  <c r="I120" i="42" s="1"/>
  <c r="D120" i="42"/>
  <c r="Q119" i="42"/>
  <c r="G119" i="42"/>
  <c r="H119" i="42" s="1"/>
  <c r="I119" i="42" s="1"/>
  <c r="D119" i="42"/>
  <c r="Q118" i="42"/>
  <c r="H118" i="42"/>
  <c r="I118" i="42" s="1"/>
  <c r="G118" i="42"/>
  <c r="D118" i="42"/>
  <c r="Q117" i="42"/>
  <c r="I117" i="42"/>
  <c r="D117" i="42"/>
  <c r="G117" i="42" s="1"/>
  <c r="H117" i="42" s="1"/>
  <c r="Q116" i="42"/>
  <c r="D116" i="42"/>
  <c r="G116" i="42" s="1"/>
  <c r="H116" i="42" s="1"/>
  <c r="I116" i="42" s="1"/>
  <c r="Q115" i="42"/>
  <c r="H115" i="42"/>
  <c r="I115" i="42" s="1"/>
  <c r="G115" i="42"/>
  <c r="D115" i="42"/>
  <c r="Q114" i="42"/>
  <c r="I114" i="42"/>
  <c r="H114" i="42"/>
  <c r="G114" i="42"/>
  <c r="D114" i="42"/>
  <c r="Q113" i="42"/>
  <c r="D113" i="42"/>
  <c r="G113" i="42" s="1"/>
  <c r="H113" i="42" s="1"/>
  <c r="I113" i="42" s="1"/>
  <c r="Q112" i="42"/>
  <c r="G112" i="42"/>
  <c r="H112" i="42" s="1"/>
  <c r="I112" i="42" s="1"/>
  <c r="D112" i="42"/>
  <c r="Q111" i="42"/>
  <c r="D111" i="42"/>
  <c r="G111" i="42" s="1"/>
  <c r="H111" i="42" s="1"/>
  <c r="I111" i="42" s="1"/>
  <c r="Q110" i="42"/>
  <c r="H110" i="42"/>
  <c r="I110" i="42" s="1"/>
  <c r="G110" i="42"/>
  <c r="D110" i="42"/>
  <c r="Q106" i="42"/>
  <c r="H106" i="42"/>
  <c r="I106" i="42" s="1"/>
  <c r="D106" i="42"/>
  <c r="G106" i="42" s="1"/>
  <c r="Q105" i="42"/>
  <c r="I105" i="42"/>
  <c r="G105" i="42"/>
  <c r="H105" i="42" s="1"/>
  <c r="D105" i="42"/>
  <c r="Q104" i="42"/>
  <c r="D104" i="42"/>
  <c r="G104" i="42" s="1"/>
  <c r="H104" i="42" s="1"/>
  <c r="I104" i="42" s="1"/>
  <c r="Q103" i="42"/>
  <c r="G103" i="42"/>
  <c r="H103" i="42" s="1"/>
  <c r="I103" i="42" s="1"/>
  <c r="D103" i="42"/>
  <c r="Q102" i="42"/>
  <c r="H102" i="42"/>
  <c r="I102" i="42" s="1"/>
  <c r="D102" i="42"/>
  <c r="G102" i="42" s="1"/>
  <c r="Q101" i="42"/>
  <c r="I101" i="42"/>
  <c r="G101" i="42"/>
  <c r="H101" i="42" s="1"/>
  <c r="D101" i="42"/>
  <c r="Q100" i="42"/>
  <c r="D100" i="42"/>
  <c r="G100" i="42" s="1"/>
  <c r="H100" i="42" s="1"/>
  <c r="I100" i="42" s="1"/>
  <c r="Q99" i="42"/>
  <c r="G99" i="42"/>
  <c r="H99" i="42" s="1"/>
  <c r="I99" i="42" s="1"/>
  <c r="D99" i="42"/>
  <c r="Q98" i="42"/>
  <c r="H98" i="42"/>
  <c r="I98" i="42" s="1"/>
  <c r="D98" i="42"/>
  <c r="G98" i="42" s="1"/>
  <c r="Q97" i="42"/>
  <c r="I97" i="42"/>
  <c r="G97" i="42"/>
  <c r="H97" i="42" s="1"/>
  <c r="D97" i="42"/>
  <c r="Q96" i="42"/>
  <c r="D96" i="42"/>
  <c r="G96" i="42" s="1"/>
  <c r="H96" i="42" s="1"/>
  <c r="I96" i="42" s="1"/>
  <c r="Q95" i="42"/>
  <c r="G95" i="42"/>
  <c r="H95" i="42" s="1"/>
  <c r="I95" i="42" s="1"/>
  <c r="D95" i="42"/>
  <c r="Q94" i="42"/>
  <c r="H94" i="42"/>
  <c r="I94" i="42" s="1"/>
  <c r="D94" i="42"/>
  <c r="G94" i="42" s="1"/>
  <c r="Q93" i="42"/>
  <c r="I93" i="42"/>
  <c r="G93" i="42"/>
  <c r="H93" i="42" s="1"/>
  <c r="D93" i="42"/>
  <c r="Q92" i="42"/>
  <c r="D92" i="42"/>
  <c r="G92" i="42" s="1"/>
  <c r="H92" i="42" s="1"/>
  <c r="I92" i="42" s="1"/>
  <c r="Q91" i="42"/>
  <c r="G91" i="42"/>
  <c r="H91" i="42" s="1"/>
  <c r="I91" i="42" s="1"/>
  <c r="D91" i="42"/>
  <c r="Q90" i="42"/>
  <c r="H90" i="42"/>
  <c r="I90" i="42" s="1"/>
  <c r="D90" i="42"/>
  <c r="G90" i="42" s="1"/>
  <c r="Q89" i="42"/>
  <c r="I89" i="42"/>
  <c r="G89" i="42"/>
  <c r="H89" i="42" s="1"/>
  <c r="D89" i="42"/>
  <c r="Q88" i="42"/>
  <c r="D88" i="42"/>
  <c r="G88" i="42" s="1"/>
  <c r="H88" i="42" s="1"/>
  <c r="I88" i="42" s="1"/>
  <c r="Q87" i="42"/>
  <c r="G87" i="42"/>
  <c r="H87" i="42" s="1"/>
  <c r="I87" i="42" s="1"/>
  <c r="D87" i="42"/>
  <c r="Q86" i="42"/>
  <c r="H86" i="42"/>
  <c r="I86" i="42" s="1"/>
  <c r="G86" i="42"/>
  <c r="D86" i="42"/>
  <c r="Q85" i="42"/>
  <c r="H85" i="42"/>
  <c r="I85" i="42" s="1"/>
  <c r="G85" i="42"/>
  <c r="D85" i="42"/>
  <c r="Q84" i="42"/>
  <c r="H84" i="42"/>
  <c r="I84" i="42" s="1"/>
  <c r="D84" i="42"/>
  <c r="G84" i="42" s="1"/>
  <c r="Q83" i="42"/>
  <c r="D83" i="42"/>
  <c r="G83" i="42" s="1"/>
  <c r="H83" i="42" s="1"/>
  <c r="I83" i="42" s="1"/>
  <c r="Q82" i="42"/>
  <c r="H82" i="42"/>
  <c r="I82" i="42" s="1"/>
  <c r="G82" i="42"/>
  <c r="D82" i="42"/>
  <c r="Q81" i="42"/>
  <c r="I81" i="42"/>
  <c r="H81" i="42"/>
  <c r="G81" i="42"/>
  <c r="D81" i="42"/>
  <c r="Q80" i="42"/>
  <c r="I80" i="42"/>
  <c r="H80" i="42"/>
  <c r="D80" i="42"/>
  <c r="G80" i="42" s="1"/>
  <c r="Q79" i="42"/>
  <c r="G79" i="42"/>
  <c r="H79" i="42" s="1"/>
  <c r="I79" i="42" s="1"/>
  <c r="D79" i="42"/>
  <c r="Q78" i="42"/>
  <c r="D78" i="42"/>
  <c r="G78" i="42" s="1"/>
  <c r="H78" i="42" s="1"/>
  <c r="I78" i="42" s="1"/>
  <c r="Q77" i="42"/>
  <c r="I77" i="42"/>
  <c r="H77" i="42"/>
  <c r="G77" i="42"/>
  <c r="D77" i="42"/>
  <c r="Q76" i="42"/>
  <c r="I76" i="42"/>
  <c r="H76" i="42"/>
  <c r="D76" i="42"/>
  <c r="G76" i="42" s="1"/>
  <c r="Q75" i="42"/>
  <c r="I75" i="42"/>
  <c r="G75" i="42"/>
  <c r="H75" i="42" s="1"/>
  <c r="D75" i="42"/>
  <c r="Q74" i="42"/>
  <c r="I74" i="42"/>
  <c r="H74" i="42"/>
  <c r="G74" i="42"/>
  <c r="D74" i="42"/>
  <c r="Q73" i="42"/>
  <c r="D73" i="42"/>
  <c r="G73" i="42" s="1"/>
  <c r="H73" i="42" s="1"/>
  <c r="I73" i="42" s="1"/>
  <c r="Q72" i="42"/>
  <c r="G72" i="42"/>
  <c r="H72" i="42" s="1"/>
  <c r="I72" i="42" s="1"/>
  <c r="D72" i="42"/>
  <c r="Q71" i="42"/>
  <c r="I71" i="42"/>
  <c r="D71" i="42"/>
  <c r="G71" i="42" s="1"/>
  <c r="H71" i="42" s="1"/>
  <c r="Q70" i="42"/>
  <c r="G70" i="42"/>
  <c r="H70" i="42" s="1"/>
  <c r="I70" i="42" s="1"/>
  <c r="D70" i="42"/>
  <c r="Q69" i="42"/>
  <c r="D69" i="42"/>
  <c r="G69" i="42" s="1"/>
  <c r="H69" i="42" s="1"/>
  <c r="I69" i="42" s="1"/>
  <c r="BO68" i="42"/>
  <c r="BN68" i="42"/>
  <c r="AX68" i="42"/>
  <c r="Q68" i="42"/>
  <c r="I68" i="42"/>
  <c r="H68" i="42"/>
  <c r="G68" i="42"/>
  <c r="D68" i="42"/>
  <c r="BO67" i="42"/>
  <c r="BN67" i="42"/>
  <c r="AX67" i="42"/>
  <c r="Q67" i="42"/>
  <c r="I67" i="42"/>
  <c r="H67" i="42"/>
  <c r="G67" i="42"/>
  <c r="D67" i="42"/>
  <c r="BO66" i="42"/>
  <c r="BN66" i="42"/>
  <c r="AX66" i="42"/>
  <c r="Q66" i="42"/>
  <c r="I66" i="42"/>
  <c r="H66" i="42"/>
  <c r="G66" i="42"/>
  <c r="D66" i="42"/>
  <c r="BO65" i="42"/>
  <c r="BN65" i="42"/>
  <c r="AX65" i="42"/>
  <c r="Q65" i="42"/>
  <c r="I65" i="42"/>
  <c r="H65" i="42"/>
  <c r="G65" i="42"/>
  <c r="D65" i="42"/>
  <c r="BO64" i="42"/>
  <c r="BN64" i="42"/>
  <c r="AX64" i="42"/>
  <c r="Q64" i="42"/>
  <c r="I64" i="42"/>
  <c r="H64" i="42"/>
  <c r="G64" i="42"/>
  <c r="D64" i="42"/>
  <c r="BO63" i="42"/>
  <c r="BN63" i="42"/>
  <c r="AX63" i="42"/>
  <c r="Q63" i="42"/>
  <c r="I63" i="42"/>
  <c r="H63" i="42"/>
  <c r="G63" i="42"/>
  <c r="D63" i="42"/>
  <c r="BO62" i="42"/>
  <c r="BN62" i="42"/>
  <c r="AX62" i="42"/>
  <c r="Q62" i="42"/>
  <c r="I62" i="42"/>
  <c r="H62" i="42"/>
  <c r="G62" i="42"/>
  <c r="D62" i="42"/>
  <c r="BO61" i="42"/>
  <c r="BN61" i="42"/>
  <c r="AX61" i="42"/>
  <c r="Q61" i="42"/>
  <c r="I61" i="42"/>
  <c r="H61" i="42"/>
  <c r="G61" i="42"/>
  <c r="D61" i="42"/>
  <c r="BO60" i="42"/>
  <c r="BN60" i="42"/>
  <c r="AX60" i="42"/>
  <c r="Q60" i="42"/>
  <c r="I60" i="42"/>
  <c r="H60" i="42"/>
  <c r="G60" i="42"/>
  <c r="D60" i="42"/>
  <c r="BO59" i="42"/>
  <c r="BN59" i="42"/>
  <c r="AX59" i="42"/>
  <c r="BO58" i="42"/>
  <c r="BN58" i="42"/>
  <c r="AX58" i="42"/>
  <c r="AE58" i="42"/>
  <c r="AD58" i="42"/>
  <c r="BO57" i="42"/>
  <c r="BN57" i="42"/>
  <c r="AX57" i="42"/>
  <c r="AE57" i="42"/>
  <c r="AD57" i="42"/>
  <c r="BO56" i="42"/>
  <c r="BN56" i="42"/>
  <c r="AE56" i="42"/>
  <c r="AD56" i="42"/>
  <c r="Q56" i="42"/>
  <c r="H56" i="42"/>
  <c r="I56" i="42" s="1"/>
  <c r="G56" i="42"/>
  <c r="D56" i="42"/>
  <c r="BO55" i="42"/>
  <c r="BN55" i="42"/>
  <c r="AE55" i="42"/>
  <c r="AD55" i="42"/>
  <c r="Q55" i="42"/>
  <c r="G55" i="42"/>
  <c r="H55" i="42" s="1"/>
  <c r="I55" i="42" s="1"/>
  <c r="D55" i="42"/>
  <c r="BO54" i="42"/>
  <c r="BN54" i="42"/>
  <c r="AE54" i="42"/>
  <c r="AD54" i="42"/>
  <c r="Q54" i="42"/>
  <c r="G54" i="42"/>
  <c r="H54" i="42" s="1"/>
  <c r="I54" i="42" s="1"/>
  <c r="D54" i="42"/>
  <c r="BO53" i="42"/>
  <c r="BN53" i="42"/>
  <c r="AE53" i="42"/>
  <c r="AD53" i="42"/>
  <c r="Q53" i="42"/>
  <c r="I53" i="42"/>
  <c r="D53" i="42"/>
  <c r="G53" i="42" s="1"/>
  <c r="H53" i="42" s="1"/>
  <c r="BO52" i="42"/>
  <c r="BN52" i="42"/>
  <c r="AE52" i="42"/>
  <c r="AD52" i="42"/>
  <c r="Q52" i="42"/>
  <c r="H52" i="42"/>
  <c r="I52" i="42" s="1"/>
  <c r="G52" i="42"/>
  <c r="D52" i="42"/>
  <c r="BO51" i="42"/>
  <c r="BN51" i="42"/>
  <c r="AE51" i="42"/>
  <c r="AD51" i="42"/>
  <c r="Q51" i="42"/>
  <c r="H51" i="42"/>
  <c r="I51" i="42" s="1"/>
  <c r="G51" i="42"/>
  <c r="D51" i="42"/>
  <c r="BO50" i="42"/>
  <c r="BN50" i="42"/>
  <c r="BN73" i="42" s="1"/>
  <c r="AE50" i="42"/>
  <c r="AD50" i="42"/>
  <c r="Q50" i="42"/>
  <c r="G50" i="42"/>
  <c r="H50" i="42" s="1"/>
  <c r="I50" i="42" s="1"/>
  <c r="D50" i="42"/>
  <c r="BO49" i="42"/>
  <c r="BN49" i="42"/>
  <c r="AE49" i="42"/>
  <c r="AD49" i="42"/>
  <c r="Q49" i="42"/>
  <c r="D49" i="42"/>
  <c r="G49" i="42" s="1"/>
  <c r="H49" i="42" s="1"/>
  <c r="I49" i="42" s="1"/>
  <c r="AE48" i="42"/>
  <c r="AD48" i="42"/>
  <c r="Q48" i="42"/>
  <c r="D48" i="42"/>
  <c r="G48" i="42" s="1"/>
  <c r="H48" i="42" s="1"/>
  <c r="I48" i="42" s="1"/>
  <c r="AE47" i="42"/>
  <c r="AD47" i="42"/>
  <c r="Q47" i="42"/>
  <c r="G47" i="42"/>
  <c r="H47" i="42" s="1"/>
  <c r="I47" i="42" s="1"/>
  <c r="D47" i="42"/>
  <c r="AE46" i="42"/>
  <c r="AD46" i="42"/>
  <c r="Q46" i="42"/>
  <c r="H46" i="42"/>
  <c r="I46" i="42" s="1"/>
  <c r="D46" i="42"/>
  <c r="G46" i="42" s="1"/>
  <c r="AE45" i="42"/>
  <c r="AD45" i="42"/>
  <c r="Q45" i="42"/>
  <c r="I45" i="42"/>
  <c r="D45" i="42"/>
  <c r="G45" i="42" s="1"/>
  <c r="H45" i="42" s="1"/>
  <c r="AE44" i="42"/>
  <c r="AD44" i="42"/>
  <c r="Q44" i="42"/>
  <c r="G44" i="42"/>
  <c r="H44" i="42" s="1"/>
  <c r="I44" i="42" s="1"/>
  <c r="D44" i="42"/>
  <c r="AE43" i="42"/>
  <c r="AD43" i="42"/>
  <c r="Q43" i="42"/>
  <c r="H43" i="42"/>
  <c r="I43" i="42" s="1"/>
  <c r="G43" i="42"/>
  <c r="D43" i="42"/>
  <c r="AE42" i="42"/>
  <c r="AD42" i="42"/>
  <c r="Q42" i="42"/>
  <c r="I42" i="42"/>
  <c r="H42" i="42"/>
  <c r="G42" i="42"/>
  <c r="D42" i="42"/>
  <c r="AE41" i="42"/>
  <c r="AD41" i="42"/>
  <c r="Q41" i="42"/>
  <c r="I41" i="42"/>
  <c r="D41" i="42"/>
  <c r="G41" i="42" s="1"/>
  <c r="H41" i="42" s="1"/>
  <c r="AE40" i="42"/>
  <c r="AD40" i="42"/>
  <c r="Q40" i="42"/>
  <c r="G40" i="42"/>
  <c r="H40" i="42" s="1"/>
  <c r="I40" i="42" s="1"/>
  <c r="D40" i="42"/>
  <c r="AE39" i="42"/>
  <c r="AD39" i="42"/>
  <c r="Q39" i="42"/>
  <c r="G39" i="42"/>
  <c r="H39" i="42" s="1"/>
  <c r="I39" i="42" s="1"/>
  <c r="D39" i="42"/>
  <c r="AE38" i="42"/>
  <c r="AD38" i="42"/>
  <c r="Q38" i="42"/>
  <c r="I38" i="42"/>
  <c r="H38" i="42"/>
  <c r="G38" i="42"/>
  <c r="D38" i="42"/>
  <c r="AE37" i="42"/>
  <c r="AD37" i="42"/>
  <c r="Q37" i="42"/>
  <c r="D37" i="42"/>
  <c r="G37" i="42" s="1"/>
  <c r="H37" i="42" s="1"/>
  <c r="I37" i="42" s="1"/>
  <c r="AE36" i="42"/>
  <c r="AD36" i="42"/>
  <c r="Q36" i="42"/>
  <c r="H36" i="42"/>
  <c r="I36" i="42" s="1"/>
  <c r="G36" i="42"/>
  <c r="D36" i="42"/>
  <c r="AE35" i="42"/>
  <c r="AD35" i="42"/>
  <c r="Q35" i="42"/>
  <c r="D35" i="42"/>
  <c r="G35" i="42" s="1"/>
  <c r="H35" i="42" s="1"/>
  <c r="I35" i="42" s="1"/>
  <c r="AE34" i="42"/>
  <c r="AD34" i="42"/>
  <c r="Q34" i="42"/>
  <c r="H34" i="42"/>
  <c r="I34" i="42" s="1"/>
  <c r="G34" i="42"/>
  <c r="D34" i="42"/>
  <c r="AE33" i="42"/>
  <c r="AD33" i="42"/>
  <c r="Q33" i="42"/>
  <c r="D33" i="42"/>
  <c r="G33" i="42" s="1"/>
  <c r="H33" i="42" s="1"/>
  <c r="I33" i="42" s="1"/>
  <c r="AE32" i="42"/>
  <c r="AD32" i="42"/>
  <c r="Q32" i="42"/>
  <c r="H32" i="42"/>
  <c r="I32" i="42" s="1"/>
  <c r="G32" i="42"/>
  <c r="D32" i="42"/>
  <c r="AE31" i="42"/>
  <c r="AD31" i="42"/>
  <c r="Q31" i="42"/>
  <c r="D31" i="42"/>
  <c r="G31" i="42" s="1"/>
  <c r="H31" i="42" s="1"/>
  <c r="I31" i="42" s="1"/>
  <c r="BO30" i="42"/>
  <c r="BN30" i="42"/>
  <c r="AX30" i="42"/>
  <c r="AE30" i="42"/>
  <c r="AD30" i="42"/>
  <c r="Q30" i="42"/>
  <c r="D30" i="42"/>
  <c r="G30" i="42" s="1"/>
  <c r="H30" i="42" s="1"/>
  <c r="I30" i="42" s="1"/>
  <c r="BO29" i="42"/>
  <c r="BN29" i="42"/>
  <c r="AX29" i="42"/>
  <c r="AE29" i="42"/>
  <c r="AD29" i="42"/>
  <c r="Q29" i="42"/>
  <c r="D29" i="42"/>
  <c r="G29" i="42" s="1"/>
  <c r="H29" i="42" s="1"/>
  <c r="I29" i="42" s="1"/>
  <c r="BO28" i="42"/>
  <c r="BN28" i="42"/>
  <c r="AX28" i="42"/>
  <c r="AE28" i="42"/>
  <c r="AD28" i="42"/>
  <c r="Q28" i="42"/>
  <c r="D28" i="42"/>
  <c r="G28" i="42" s="1"/>
  <c r="H28" i="42" s="1"/>
  <c r="I28" i="42" s="1"/>
  <c r="BO27" i="42"/>
  <c r="BN27" i="42"/>
  <c r="AX27" i="42"/>
  <c r="AE27" i="42"/>
  <c r="AD27" i="42"/>
  <c r="Q27" i="42"/>
  <c r="D27" i="42"/>
  <c r="G27" i="42" s="1"/>
  <c r="H27" i="42" s="1"/>
  <c r="I27" i="42" s="1"/>
  <c r="BO26" i="42"/>
  <c r="BN26" i="42"/>
  <c r="AX26" i="42"/>
  <c r="AE26" i="42"/>
  <c r="AD26" i="42"/>
  <c r="Q26" i="42"/>
  <c r="D26" i="42"/>
  <c r="G26" i="42" s="1"/>
  <c r="H26" i="42" s="1"/>
  <c r="I26" i="42" s="1"/>
  <c r="BO25" i="42"/>
  <c r="BN25" i="42"/>
  <c r="AX25" i="42"/>
  <c r="AE25" i="42"/>
  <c r="AD25" i="42"/>
  <c r="Q25" i="42"/>
  <c r="D25" i="42"/>
  <c r="G25" i="42" s="1"/>
  <c r="H25" i="42" s="1"/>
  <c r="I25" i="42" s="1"/>
  <c r="BO24" i="42"/>
  <c r="BN24" i="42"/>
  <c r="AX24" i="42"/>
  <c r="AE24" i="42"/>
  <c r="AD24" i="42"/>
  <c r="Q24" i="42"/>
  <c r="D24" i="42"/>
  <c r="G24" i="42" s="1"/>
  <c r="H24" i="42" s="1"/>
  <c r="I24" i="42" s="1"/>
  <c r="BO23" i="42"/>
  <c r="BN23" i="42"/>
  <c r="AX23" i="42"/>
  <c r="AE23" i="42"/>
  <c r="AD23" i="42"/>
  <c r="Q23" i="42"/>
  <c r="D23" i="42"/>
  <c r="G23" i="42" s="1"/>
  <c r="H23" i="42" s="1"/>
  <c r="I23" i="42" s="1"/>
  <c r="BO22" i="42"/>
  <c r="BN22" i="42"/>
  <c r="AX22" i="42"/>
  <c r="AE22" i="42"/>
  <c r="AD22" i="42"/>
  <c r="Q22" i="42"/>
  <c r="D22" i="42"/>
  <c r="G22" i="42" s="1"/>
  <c r="H22" i="42" s="1"/>
  <c r="I22" i="42" s="1"/>
  <c r="BO21" i="42"/>
  <c r="BN21" i="42"/>
  <c r="AX21" i="42"/>
  <c r="AE21" i="42"/>
  <c r="AD21" i="42"/>
  <c r="Q21" i="42"/>
  <c r="D21" i="42"/>
  <c r="G21" i="42" s="1"/>
  <c r="H21" i="42" s="1"/>
  <c r="I21" i="42" s="1"/>
  <c r="BO20" i="42"/>
  <c r="BN20" i="42"/>
  <c r="AX20" i="42"/>
  <c r="AE20" i="42"/>
  <c r="AD20" i="42"/>
  <c r="Q20" i="42"/>
  <c r="D20" i="42"/>
  <c r="G20" i="42" s="1"/>
  <c r="H20" i="42" s="1"/>
  <c r="I20" i="42" s="1"/>
  <c r="BO19" i="42"/>
  <c r="BN19" i="42"/>
  <c r="AX19" i="42"/>
  <c r="AE19" i="42"/>
  <c r="AD19" i="42"/>
  <c r="Q19" i="42"/>
  <c r="D19" i="42"/>
  <c r="G19" i="42" s="1"/>
  <c r="H19" i="42" s="1"/>
  <c r="I19" i="42" s="1"/>
  <c r="BO18" i="42"/>
  <c r="BN18" i="42"/>
  <c r="AE18" i="42"/>
  <c r="AD18" i="42"/>
  <c r="Q18" i="42"/>
  <c r="D18" i="42"/>
  <c r="G18" i="42" s="1"/>
  <c r="H18" i="42" s="1"/>
  <c r="I18" i="42" s="1"/>
  <c r="BO17" i="42"/>
  <c r="BN17" i="42"/>
  <c r="AE17" i="42"/>
  <c r="AD17" i="42"/>
  <c r="Q17" i="42"/>
  <c r="D17" i="42"/>
  <c r="G17" i="42" s="1"/>
  <c r="H17" i="42" s="1"/>
  <c r="I17" i="42" s="1"/>
  <c r="BO16" i="42"/>
  <c r="BN16" i="42"/>
  <c r="AE16" i="42"/>
  <c r="AD16" i="42"/>
  <c r="Q16" i="42"/>
  <c r="G16" i="42"/>
  <c r="H16" i="42" s="1"/>
  <c r="I16" i="42" s="1"/>
  <c r="D16" i="42"/>
  <c r="BO15" i="42"/>
  <c r="BN15" i="42"/>
  <c r="AE15" i="42"/>
  <c r="AD15" i="42"/>
  <c r="Q15" i="42"/>
  <c r="D15" i="42"/>
  <c r="G15" i="42" s="1"/>
  <c r="H15" i="42" s="1"/>
  <c r="I15" i="42" s="1"/>
  <c r="BO14" i="42"/>
  <c r="BN14" i="42"/>
  <c r="AE14" i="42"/>
  <c r="AD14" i="42"/>
  <c r="Q14" i="42"/>
  <c r="D14" i="42"/>
  <c r="G14" i="42" s="1"/>
  <c r="H14" i="42" s="1"/>
  <c r="I14" i="42" s="1"/>
  <c r="BO13" i="42"/>
  <c r="BN13" i="42"/>
  <c r="AE13" i="42"/>
  <c r="AD13" i="42"/>
  <c r="Q13" i="42"/>
  <c r="D13" i="42"/>
  <c r="G13" i="42" s="1"/>
  <c r="H13" i="42" s="1"/>
  <c r="I13" i="42" s="1"/>
  <c r="BO12" i="42"/>
  <c r="BN12" i="42"/>
  <c r="BF12" i="42"/>
  <c r="AI12" i="42"/>
  <c r="AK14" i="42" s="1"/>
  <c r="AL14" i="42" s="1"/>
  <c r="AG12" i="42"/>
  <c r="AE12" i="42"/>
  <c r="AD12" i="42"/>
  <c r="Q12" i="42"/>
  <c r="D12" i="42"/>
  <c r="G12" i="42" s="1"/>
  <c r="H12" i="42" s="1"/>
  <c r="I12" i="42" s="1"/>
  <c r="BO11" i="42"/>
  <c r="BN11" i="42"/>
  <c r="BN36" i="42" s="1"/>
  <c r="AE11" i="42"/>
  <c r="AD11" i="42"/>
  <c r="Q11" i="42"/>
  <c r="D11" i="42"/>
  <c r="G11" i="42" s="1"/>
  <c r="H11" i="42" s="1"/>
  <c r="I11" i="42" s="1"/>
  <c r="AE10" i="42"/>
  <c r="AD10" i="42"/>
  <c r="Q10" i="42"/>
  <c r="D10" i="42"/>
  <c r="G10" i="42" s="1"/>
  <c r="H10" i="42" s="1"/>
  <c r="I10" i="42" s="1"/>
  <c r="BN72" i="42" l="1"/>
  <c r="BN35" i="42"/>
  <c r="BN31" i="42"/>
  <c r="AK57" i="42"/>
  <c r="AL57" i="42" s="1"/>
  <c r="AK54" i="42"/>
  <c r="AL54" i="42" s="1"/>
  <c r="AK50" i="42"/>
  <c r="AL50" i="42" s="1"/>
  <c r="AK48" i="42"/>
  <c r="AL48" i="42" s="1"/>
  <c r="AK44" i="42"/>
  <c r="AL44" i="42" s="1"/>
  <c r="AK40" i="42"/>
  <c r="AL40" i="42" s="1"/>
  <c r="AK58" i="42"/>
  <c r="AL58" i="42" s="1"/>
  <c r="AK55" i="42"/>
  <c r="AL55" i="42" s="1"/>
  <c r="AK51" i="42"/>
  <c r="AL51" i="42" s="1"/>
  <c r="AK47" i="42"/>
  <c r="AL47" i="42" s="1"/>
  <c r="AK43" i="42"/>
  <c r="AL43" i="42" s="1"/>
  <c r="AK39" i="42"/>
  <c r="AL39" i="42" s="1"/>
  <c r="AK36" i="42"/>
  <c r="AL36" i="42" s="1"/>
  <c r="AK56" i="42"/>
  <c r="AL56" i="42" s="1"/>
  <c r="AK49" i="42"/>
  <c r="AL49" i="42" s="1"/>
  <c r="AK46" i="42"/>
  <c r="AL46" i="42" s="1"/>
  <c r="AK37" i="42"/>
  <c r="AL37" i="42" s="1"/>
  <c r="AK35" i="42"/>
  <c r="AL35" i="42" s="1"/>
  <c r="AK33" i="42"/>
  <c r="AL33" i="42" s="1"/>
  <c r="AK31" i="42"/>
  <c r="AL31" i="42" s="1"/>
  <c r="AK30" i="42"/>
  <c r="AL30" i="42" s="1"/>
  <c r="AK29" i="42"/>
  <c r="AL29" i="42" s="1"/>
  <c r="AK28" i="42"/>
  <c r="AL28" i="42" s="1"/>
  <c r="AK27" i="42"/>
  <c r="AL27" i="42" s="1"/>
  <c r="AK26" i="42"/>
  <c r="AL26" i="42" s="1"/>
  <c r="AK25" i="42"/>
  <c r="AL25" i="42" s="1"/>
  <c r="AK24" i="42"/>
  <c r="AL24" i="42" s="1"/>
  <c r="AK23" i="42"/>
  <c r="AL23" i="42" s="1"/>
  <c r="AK22" i="42"/>
  <c r="AL22" i="42" s="1"/>
  <c r="AK21" i="42"/>
  <c r="AL21" i="42" s="1"/>
  <c r="AK20" i="42"/>
  <c r="AL20" i="42" s="1"/>
  <c r="AK19" i="42"/>
  <c r="AL19" i="42" s="1"/>
  <c r="AK15" i="42"/>
  <c r="AL15" i="42" s="1"/>
  <c r="AK10" i="42"/>
  <c r="AL10" i="42" s="1"/>
  <c r="AK45" i="42"/>
  <c r="AL45" i="42" s="1"/>
  <c r="AK34" i="42"/>
  <c r="AL34" i="42" s="1"/>
  <c r="AK13" i="42"/>
  <c r="AL13" i="42" s="1"/>
  <c r="AK12" i="42"/>
  <c r="AL12" i="42" s="1"/>
  <c r="AK53" i="42"/>
  <c r="AL53" i="42" s="1"/>
  <c r="AK41" i="42"/>
  <c r="AL41" i="42" s="1"/>
  <c r="AK38" i="42"/>
  <c r="AL38" i="42" s="1"/>
  <c r="AK16" i="42"/>
  <c r="AL16" i="42" s="1"/>
  <c r="AK32" i="42"/>
  <c r="AL32" i="42" s="1"/>
  <c r="AK17" i="42"/>
  <c r="AL17" i="42" s="1"/>
  <c r="AK42" i="42"/>
  <c r="AL42" i="42" s="1"/>
  <c r="AK52" i="42"/>
  <c r="AL52" i="42" s="1"/>
  <c r="AK11" i="42"/>
  <c r="AL11" i="42" s="1"/>
  <c r="AK18" i="42"/>
  <c r="AL18" i="42" s="1"/>
  <c r="BN69" i="42"/>
  <c r="BN74" i="42"/>
  <c r="BN32" i="42" l="1"/>
  <c r="BN33" i="42"/>
  <c r="K156" i="42"/>
  <c r="L156" i="42" s="1"/>
  <c r="M156" i="42" s="1"/>
  <c r="O156" i="42" s="1"/>
  <c r="K152" i="42"/>
  <c r="L152" i="42" s="1"/>
  <c r="M152" i="42" s="1"/>
  <c r="O152" i="42" s="1"/>
  <c r="K148" i="42"/>
  <c r="L148" i="42" s="1"/>
  <c r="M148" i="42" s="1"/>
  <c r="O148" i="42" s="1"/>
  <c r="K144" i="42"/>
  <c r="L144" i="42" s="1"/>
  <c r="M144" i="42" s="1"/>
  <c r="O144" i="42" s="1"/>
  <c r="K140" i="42"/>
  <c r="L140" i="42" s="1"/>
  <c r="M140" i="42" s="1"/>
  <c r="O140" i="42" s="1"/>
  <c r="K136" i="42"/>
  <c r="L136" i="42" s="1"/>
  <c r="M136" i="42" s="1"/>
  <c r="O136" i="42" s="1"/>
  <c r="K132" i="42"/>
  <c r="L132" i="42" s="1"/>
  <c r="M132" i="42" s="1"/>
  <c r="O132" i="42" s="1"/>
  <c r="K128" i="42"/>
  <c r="L128" i="42" s="1"/>
  <c r="M128" i="42" s="1"/>
  <c r="O128" i="42" s="1"/>
  <c r="K124" i="42"/>
  <c r="L124" i="42" s="1"/>
  <c r="M124" i="42" s="1"/>
  <c r="O124" i="42" s="1"/>
  <c r="K155" i="42"/>
  <c r="L155" i="42" s="1"/>
  <c r="M155" i="42" s="1"/>
  <c r="O155" i="42" s="1"/>
  <c r="K151" i="42"/>
  <c r="L151" i="42" s="1"/>
  <c r="M151" i="42" s="1"/>
  <c r="O151" i="42" s="1"/>
  <c r="K147" i="42"/>
  <c r="L147" i="42" s="1"/>
  <c r="M147" i="42" s="1"/>
  <c r="O147" i="42" s="1"/>
  <c r="K143" i="42"/>
  <c r="L143" i="42" s="1"/>
  <c r="M143" i="42" s="1"/>
  <c r="O143" i="42" s="1"/>
  <c r="K139" i="42"/>
  <c r="L139" i="42" s="1"/>
  <c r="M139" i="42" s="1"/>
  <c r="O139" i="42" s="1"/>
  <c r="K135" i="42"/>
  <c r="L135" i="42" s="1"/>
  <c r="M135" i="42" s="1"/>
  <c r="O135" i="42" s="1"/>
  <c r="K131" i="42"/>
  <c r="L131" i="42" s="1"/>
  <c r="M131" i="42" s="1"/>
  <c r="O131" i="42" s="1"/>
  <c r="K127" i="42"/>
  <c r="L127" i="42" s="1"/>
  <c r="M127" i="42" s="1"/>
  <c r="O127" i="42" s="1"/>
  <c r="K123" i="42"/>
  <c r="L123" i="42" s="1"/>
  <c r="M123" i="42" s="1"/>
  <c r="O123" i="42" s="1"/>
  <c r="K119" i="42"/>
  <c r="L119" i="42" s="1"/>
  <c r="M119" i="42" s="1"/>
  <c r="O119" i="42" s="1"/>
  <c r="K115" i="42"/>
  <c r="L115" i="42" s="1"/>
  <c r="M115" i="42" s="1"/>
  <c r="O115" i="42" s="1"/>
  <c r="K154" i="42"/>
  <c r="L154" i="42" s="1"/>
  <c r="M154" i="42" s="1"/>
  <c r="O154" i="42" s="1"/>
  <c r="K150" i="42"/>
  <c r="L150" i="42" s="1"/>
  <c r="M150" i="42" s="1"/>
  <c r="O150" i="42" s="1"/>
  <c r="K146" i="42"/>
  <c r="L146" i="42" s="1"/>
  <c r="M146" i="42" s="1"/>
  <c r="O146" i="42" s="1"/>
  <c r="K142" i="42"/>
  <c r="L142" i="42" s="1"/>
  <c r="M142" i="42" s="1"/>
  <c r="O142" i="42" s="1"/>
  <c r="K138" i="42"/>
  <c r="L138" i="42" s="1"/>
  <c r="M138" i="42" s="1"/>
  <c r="O138" i="42" s="1"/>
  <c r="K134" i="42"/>
  <c r="L134" i="42" s="1"/>
  <c r="M134" i="42" s="1"/>
  <c r="O134" i="42" s="1"/>
  <c r="K130" i="42"/>
  <c r="L130" i="42" s="1"/>
  <c r="M130" i="42" s="1"/>
  <c r="O130" i="42" s="1"/>
  <c r="K126" i="42"/>
  <c r="L126" i="42" s="1"/>
  <c r="M126" i="42" s="1"/>
  <c r="O126" i="42" s="1"/>
  <c r="K122" i="42"/>
  <c r="L122" i="42" s="1"/>
  <c r="M122" i="42" s="1"/>
  <c r="O122" i="42" s="1"/>
  <c r="K118" i="42"/>
  <c r="L118" i="42" s="1"/>
  <c r="M118" i="42" s="1"/>
  <c r="O118" i="42" s="1"/>
  <c r="K114" i="42"/>
  <c r="L114" i="42" s="1"/>
  <c r="M114" i="42" s="1"/>
  <c r="O114" i="42" s="1"/>
  <c r="K110" i="42"/>
  <c r="L110" i="42" s="1"/>
  <c r="M110" i="42" s="1"/>
  <c r="O110" i="42" s="1"/>
  <c r="K153" i="42"/>
  <c r="L153" i="42" s="1"/>
  <c r="M153" i="42" s="1"/>
  <c r="O153" i="42" s="1"/>
  <c r="K145" i="42"/>
  <c r="L145" i="42" s="1"/>
  <c r="M145" i="42" s="1"/>
  <c r="O145" i="42" s="1"/>
  <c r="K137" i="42"/>
  <c r="L137" i="42" s="1"/>
  <c r="M137" i="42" s="1"/>
  <c r="O137" i="42" s="1"/>
  <c r="K129" i="42"/>
  <c r="L129" i="42" s="1"/>
  <c r="M129" i="42" s="1"/>
  <c r="O129" i="42" s="1"/>
  <c r="K121" i="42"/>
  <c r="L121" i="42" s="1"/>
  <c r="M121" i="42" s="1"/>
  <c r="O121" i="42" s="1"/>
  <c r="K120" i="42"/>
  <c r="L120" i="42" s="1"/>
  <c r="M120" i="42" s="1"/>
  <c r="O120" i="42" s="1"/>
  <c r="K105" i="42"/>
  <c r="L105" i="42" s="1"/>
  <c r="M105" i="42" s="1"/>
  <c r="O105" i="42" s="1"/>
  <c r="K101" i="42"/>
  <c r="L101" i="42" s="1"/>
  <c r="M101" i="42" s="1"/>
  <c r="O101" i="42" s="1"/>
  <c r="K97" i="42"/>
  <c r="L97" i="42" s="1"/>
  <c r="M97" i="42" s="1"/>
  <c r="O97" i="42" s="1"/>
  <c r="K93" i="42"/>
  <c r="L93" i="42" s="1"/>
  <c r="M93" i="42" s="1"/>
  <c r="O93" i="42" s="1"/>
  <c r="K89" i="42"/>
  <c r="L89" i="42" s="1"/>
  <c r="M89" i="42" s="1"/>
  <c r="O89" i="42" s="1"/>
  <c r="K85" i="42"/>
  <c r="L85" i="42" s="1"/>
  <c r="M85" i="42" s="1"/>
  <c r="O85" i="42" s="1"/>
  <c r="K81" i="42"/>
  <c r="L81" i="42" s="1"/>
  <c r="M81" i="42" s="1"/>
  <c r="O81" i="42" s="1"/>
  <c r="K77" i="42"/>
  <c r="L77" i="42" s="1"/>
  <c r="M77" i="42" s="1"/>
  <c r="O77" i="42" s="1"/>
  <c r="K74" i="42"/>
  <c r="L74" i="42" s="1"/>
  <c r="M74" i="42" s="1"/>
  <c r="O74" i="42" s="1"/>
  <c r="K149" i="42"/>
  <c r="L149" i="42" s="1"/>
  <c r="M149" i="42" s="1"/>
  <c r="O149" i="42" s="1"/>
  <c r="K141" i="42"/>
  <c r="L141" i="42" s="1"/>
  <c r="M141" i="42" s="1"/>
  <c r="O141" i="42" s="1"/>
  <c r="K133" i="42"/>
  <c r="L133" i="42" s="1"/>
  <c r="M133" i="42" s="1"/>
  <c r="O133" i="42" s="1"/>
  <c r="K125" i="42"/>
  <c r="L125" i="42" s="1"/>
  <c r="M125" i="42" s="1"/>
  <c r="O125" i="42" s="1"/>
  <c r="K117" i="42"/>
  <c r="L117" i="42" s="1"/>
  <c r="M117" i="42" s="1"/>
  <c r="O117" i="42" s="1"/>
  <c r="K111" i="42"/>
  <c r="L111" i="42" s="1"/>
  <c r="M111" i="42" s="1"/>
  <c r="O111" i="42" s="1"/>
  <c r="K103" i="42"/>
  <c r="L103" i="42" s="1"/>
  <c r="M103" i="42" s="1"/>
  <c r="O103" i="42" s="1"/>
  <c r="K99" i="42"/>
  <c r="L99" i="42" s="1"/>
  <c r="M99" i="42" s="1"/>
  <c r="O99" i="42" s="1"/>
  <c r="K95" i="42"/>
  <c r="L95" i="42" s="1"/>
  <c r="M95" i="42" s="1"/>
  <c r="O95" i="42" s="1"/>
  <c r="K91" i="42"/>
  <c r="L91" i="42" s="1"/>
  <c r="M91" i="42" s="1"/>
  <c r="O91" i="42" s="1"/>
  <c r="K87" i="42"/>
  <c r="L87" i="42" s="1"/>
  <c r="M87" i="42" s="1"/>
  <c r="O87" i="42" s="1"/>
  <c r="K116" i="42"/>
  <c r="L116" i="42" s="1"/>
  <c r="M116" i="42" s="1"/>
  <c r="O116" i="42" s="1"/>
  <c r="K112" i="42"/>
  <c r="L112" i="42" s="1"/>
  <c r="M112" i="42" s="1"/>
  <c r="O112" i="42" s="1"/>
  <c r="K102" i="42"/>
  <c r="L102" i="42" s="1"/>
  <c r="M102" i="42" s="1"/>
  <c r="O102" i="42" s="1"/>
  <c r="K98" i="42"/>
  <c r="L98" i="42" s="1"/>
  <c r="M98" i="42" s="1"/>
  <c r="O98" i="42" s="1"/>
  <c r="K94" i="42"/>
  <c r="L94" i="42" s="1"/>
  <c r="M94" i="42" s="1"/>
  <c r="O94" i="42" s="1"/>
  <c r="K90" i="42"/>
  <c r="L90" i="42" s="1"/>
  <c r="M90" i="42" s="1"/>
  <c r="O90" i="42" s="1"/>
  <c r="K86" i="42"/>
  <c r="L86" i="42" s="1"/>
  <c r="M86" i="42" s="1"/>
  <c r="O86" i="42" s="1"/>
  <c r="K113" i="42"/>
  <c r="L113" i="42" s="1"/>
  <c r="M113" i="42" s="1"/>
  <c r="O113" i="42" s="1"/>
  <c r="K84" i="42"/>
  <c r="L84" i="42" s="1"/>
  <c r="M84" i="42" s="1"/>
  <c r="O84" i="42" s="1"/>
  <c r="K79" i="42"/>
  <c r="L79" i="42" s="1"/>
  <c r="M79" i="42" s="1"/>
  <c r="O79" i="42" s="1"/>
  <c r="BN71" i="42"/>
  <c r="K55" i="42"/>
  <c r="L55" i="42" s="1"/>
  <c r="M55" i="42" s="1"/>
  <c r="O55" i="42" s="1"/>
  <c r="K51" i="42"/>
  <c r="L51" i="42" s="1"/>
  <c r="M51" i="42" s="1"/>
  <c r="O51" i="42" s="1"/>
  <c r="K47" i="42"/>
  <c r="L47" i="42" s="1"/>
  <c r="M47" i="42" s="1"/>
  <c r="O47" i="42" s="1"/>
  <c r="K43" i="42"/>
  <c r="L43" i="42" s="1"/>
  <c r="M43" i="42" s="1"/>
  <c r="O43" i="42" s="1"/>
  <c r="K39" i="42"/>
  <c r="L39" i="42" s="1"/>
  <c r="M39" i="42" s="1"/>
  <c r="O39" i="42" s="1"/>
  <c r="K36" i="42"/>
  <c r="L36" i="42" s="1"/>
  <c r="M36" i="42" s="1"/>
  <c r="O36" i="42" s="1"/>
  <c r="K80" i="42"/>
  <c r="L80" i="42" s="1"/>
  <c r="M80" i="42" s="1"/>
  <c r="O80" i="42" s="1"/>
  <c r="K75" i="42"/>
  <c r="L75" i="42" s="1"/>
  <c r="M75" i="42" s="1"/>
  <c r="O75" i="42" s="1"/>
  <c r="K71" i="42"/>
  <c r="L71" i="42" s="1"/>
  <c r="M71" i="42" s="1"/>
  <c r="O71" i="42" s="1"/>
  <c r="K69" i="42"/>
  <c r="L69" i="42" s="1"/>
  <c r="M69" i="42" s="1"/>
  <c r="O69" i="42" s="1"/>
  <c r="K68" i="42"/>
  <c r="L68" i="42" s="1"/>
  <c r="M68" i="42" s="1"/>
  <c r="O68" i="42" s="1"/>
  <c r="K67" i="42"/>
  <c r="L67" i="42" s="1"/>
  <c r="M67" i="42" s="1"/>
  <c r="O67" i="42" s="1"/>
  <c r="K66" i="42"/>
  <c r="L66" i="42" s="1"/>
  <c r="M66" i="42" s="1"/>
  <c r="O66" i="42" s="1"/>
  <c r="K65" i="42"/>
  <c r="L65" i="42" s="1"/>
  <c r="M65" i="42" s="1"/>
  <c r="O65" i="42" s="1"/>
  <c r="K64" i="42"/>
  <c r="L64" i="42" s="1"/>
  <c r="M64" i="42" s="1"/>
  <c r="O64" i="42" s="1"/>
  <c r="K63" i="42"/>
  <c r="L63" i="42" s="1"/>
  <c r="M63" i="42" s="1"/>
  <c r="O63" i="42" s="1"/>
  <c r="K62" i="42"/>
  <c r="L62" i="42" s="1"/>
  <c r="M62" i="42" s="1"/>
  <c r="O62" i="42" s="1"/>
  <c r="K61" i="42"/>
  <c r="L61" i="42" s="1"/>
  <c r="M61" i="42" s="1"/>
  <c r="O61" i="42" s="1"/>
  <c r="K60" i="42"/>
  <c r="L60" i="42" s="1"/>
  <c r="M60" i="42" s="1"/>
  <c r="O60" i="42" s="1"/>
  <c r="K56" i="42"/>
  <c r="L56" i="42" s="1"/>
  <c r="M56" i="42" s="1"/>
  <c r="O56" i="42" s="1"/>
  <c r="K52" i="42"/>
  <c r="L52" i="42" s="1"/>
  <c r="M52" i="42" s="1"/>
  <c r="O52" i="42" s="1"/>
  <c r="K46" i="42"/>
  <c r="L46" i="42" s="1"/>
  <c r="M46" i="42" s="1"/>
  <c r="O46" i="42" s="1"/>
  <c r="K42" i="42"/>
  <c r="L42" i="42" s="1"/>
  <c r="M42" i="42" s="1"/>
  <c r="O42" i="42" s="1"/>
  <c r="K38" i="42"/>
  <c r="L38" i="42" s="1"/>
  <c r="M38" i="42" s="1"/>
  <c r="O38" i="42" s="1"/>
  <c r="K106" i="42"/>
  <c r="L106" i="42" s="1"/>
  <c r="M106" i="42" s="1"/>
  <c r="O106" i="42" s="1"/>
  <c r="K104" i="42"/>
  <c r="L104" i="42" s="1"/>
  <c r="M104" i="42" s="1"/>
  <c r="O104" i="42" s="1"/>
  <c r="K100" i="42"/>
  <c r="L100" i="42" s="1"/>
  <c r="M100" i="42" s="1"/>
  <c r="O100" i="42" s="1"/>
  <c r="K96" i="42"/>
  <c r="L96" i="42" s="1"/>
  <c r="M96" i="42" s="1"/>
  <c r="O96" i="42" s="1"/>
  <c r="K92" i="42"/>
  <c r="L92" i="42" s="1"/>
  <c r="M92" i="42" s="1"/>
  <c r="O92" i="42" s="1"/>
  <c r="K88" i="42"/>
  <c r="L88" i="42" s="1"/>
  <c r="M88" i="42" s="1"/>
  <c r="O88" i="42" s="1"/>
  <c r="K83" i="42"/>
  <c r="L83" i="42" s="1"/>
  <c r="M83" i="42" s="1"/>
  <c r="O83" i="42" s="1"/>
  <c r="K78" i="42"/>
  <c r="L78" i="42" s="1"/>
  <c r="M78" i="42" s="1"/>
  <c r="O78" i="42" s="1"/>
  <c r="K72" i="42"/>
  <c r="L72" i="42" s="1"/>
  <c r="M72" i="42" s="1"/>
  <c r="O72" i="42" s="1"/>
  <c r="K70" i="42"/>
  <c r="L70" i="42" s="1"/>
  <c r="M70" i="42" s="1"/>
  <c r="O70" i="42" s="1"/>
  <c r="K76" i="42"/>
  <c r="L76" i="42" s="1"/>
  <c r="M76" i="42" s="1"/>
  <c r="O76" i="42" s="1"/>
  <c r="K16" i="42"/>
  <c r="L16" i="42" s="1"/>
  <c r="M16" i="42" s="1"/>
  <c r="O16" i="42" s="1"/>
  <c r="K53" i="42"/>
  <c r="L53" i="42" s="1"/>
  <c r="M53" i="42" s="1"/>
  <c r="O53" i="42" s="1"/>
  <c r="K50" i="42"/>
  <c r="L50" i="42" s="1"/>
  <c r="M50" i="42" s="1"/>
  <c r="O50" i="42" s="1"/>
  <c r="K40" i="42"/>
  <c r="L40" i="42" s="1"/>
  <c r="M40" i="42" s="1"/>
  <c r="O40" i="42" s="1"/>
  <c r="K18" i="42"/>
  <c r="L18" i="42" s="1"/>
  <c r="M18" i="42" s="1"/>
  <c r="O18" i="42" s="1"/>
  <c r="K14" i="42"/>
  <c r="L14" i="42" s="1"/>
  <c r="M14" i="42" s="1"/>
  <c r="O14" i="42" s="1"/>
  <c r="K11" i="42"/>
  <c r="L11" i="42" s="1"/>
  <c r="M11" i="42" s="1"/>
  <c r="O11" i="42" s="1"/>
  <c r="K54" i="42"/>
  <c r="L54" i="42" s="1"/>
  <c r="M54" i="42" s="1"/>
  <c r="O54" i="42" s="1"/>
  <c r="K44" i="42"/>
  <c r="L44" i="42" s="1"/>
  <c r="M44" i="42" s="1"/>
  <c r="O44" i="42" s="1"/>
  <c r="K33" i="42"/>
  <c r="L33" i="42" s="1"/>
  <c r="M33" i="42" s="1"/>
  <c r="O33" i="42" s="1"/>
  <c r="K31" i="42"/>
  <c r="L31" i="42" s="1"/>
  <c r="M31" i="42" s="1"/>
  <c r="O31" i="42" s="1"/>
  <c r="K30" i="42"/>
  <c r="L30" i="42" s="1"/>
  <c r="M30" i="42" s="1"/>
  <c r="O30" i="42" s="1"/>
  <c r="K28" i="42"/>
  <c r="L28" i="42" s="1"/>
  <c r="M28" i="42" s="1"/>
  <c r="O28" i="42" s="1"/>
  <c r="K27" i="42"/>
  <c r="L27" i="42" s="1"/>
  <c r="M27" i="42" s="1"/>
  <c r="O27" i="42" s="1"/>
  <c r="K25" i="42"/>
  <c r="L25" i="42" s="1"/>
  <c r="M25" i="42" s="1"/>
  <c r="O25" i="42" s="1"/>
  <c r="K82" i="42"/>
  <c r="L82" i="42" s="1"/>
  <c r="M82" i="42" s="1"/>
  <c r="O82" i="42" s="1"/>
  <c r="K49" i="42"/>
  <c r="L49" i="42" s="1"/>
  <c r="M49" i="42" s="1"/>
  <c r="O49" i="42" s="1"/>
  <c r="K48" i="42"/>
  <c r="L48" i="42" s="1"/>
  <c r="M48" i="42" s="1"/>
  <c r="O48" i="42" s="1"/>
  <c r="K37" i="42"/>
  <c r="L37" i="42" s="1"/>
  <c r="M37" i="42" s="1"/>
  <c r="O37" i="42" s="1"/>
  <c r="K34" i="42"/>
  <c r="L34" i="42" s="1"/>
  <c r="M34" i="42" s="1"/>
  <c r="O34" i="42" s="1"/>
  <c r="K32" i="42"/>
  <c r="L32" i="42" s="1"/>
  <c r="M32" i="42" s="1"/>
  <c r="O32" i="42" s="1"/>
  <c r="K17" i="42"/>
  <c r="L17" i="42" s="1"/>
  <c r="M17" i="42" s="1"/>
  <c r="O17" i="42" s="1"/>
  <c r="K13" i="42"/>
  <c r="L13" i="42" s="1"/>
  <c r="M13" i="42" s="1"/>
  <c r="O13" i="42" s="1"/>
  <c r="K41" i="42"/>
  <c r="L41" i="42" s="1"/>
  <c r="M41" i="42" s="1"/>
  <c r="O41" i="42" s="1"/>
  <c r="K73" i="42"/>
  <c r="L73" i="42" s="1"/>
  <c r="M73" i="42" s="1"/>
  <c r="O73" i="42" s="1"/>
  <c r="K29" i="42"/>
  <c r="L29" i="42" s="1"/>
  <c r="M29" i="42" s="1"/>
  <c r="O29" i="42" s="1"/>
  <c r="BN70" i="42"/>
  <c r="K45" i="42"/>
  <c r="L45" i="42" s="1"/>
  <c r="M45" i="42" s="1"/>
  <c r="O45" i="42" s="1"/>
  <c r="K35" i="42"/>
  <c r="L35" i="42" s="1"/>
  <c r="M35" i="42" s="1"/>
  <c r="O35" i="42" s="1"/>
  <c r="K26" i="42"/>
  <c r="L26" i="42" s="1"/>
  <c r="M26" i="42" s="1"/>
  <c r="O26" i="42" s="1"/>
  <c r="K23" i="42"/>
  <c r="L23" i="42" s="1"/>
  <c r="M23" i="42" s="1"/>
  <c r="O23" i="42" s="1"/>
  <c r="K19" i="42"/>
  <c r="L19" i="42" s="1"/>
  <c r="M19" i="42" s="1"/>
  <c r="O19" i="42" s="1"/>
  <c r="K12" i="42"/>
  <c r="L12" i="42" s="1"/>
  <c r="M12" i="42" s="1"/>
  <c r="O12" i="42" s="1"/>
  <c r="K20" i="42"/>
  <c r="L20" i="42" s="1"/>
  <c r="M20" i="42" s="1"/>
  <c r="O20" i="42" s="1"/>
  <c r="K10" i="42"/>
  <c r="L10" i="42" s="1"/>
  <c r="M10" i="42" s="1"/>
  <c r="O10" i="42" s="1"/>
  <c r="K22" i="42"/>
  <c r="L22" i="42" s="1"/>
  <c r="M22" i="42" s="1"/>
  <c r="O22" i="42" s="1"/>
  <c r="K15" i="42"/>
  <c r="L15" i="42" s="1"/>
  <c r="M15" i="42" s="1"/>
  <c r="O15" i="42" s="1"/>
  <c r="K24" i="42"/>
  <c r="L24" i="42" s="1"/>
  <c r="M24" i="42" s="1"/>
  <c r="O24" i="42" s="1"/>
  <c r="K21" i="42"/>
  <c r="L21" i="42" s="1"/>
  <c r="M21" i="42" s="1"/>
  <c r="O21" i="42" s="1"/>
  <c r="BN34" i="42"/>
  <c r="D5" i="41" l="1"/>
  <c r="E5" i="41" s="1"/>
  <c r="C5" i="41"/>
  <c r="AS216" i="40" l="1"/>
  <c r="AI216" i="40"/>
  <c r="Z216" i="40"/>
  <c r="Y216" i="40"/>
  <c r="U216" i="40"/>
  <c r="D216" i="40"/>
  <c r="Z215" i="40"/>
  <c r="Y215" i="40"/>
  <c r="AS215" i="40" s="1"/>
  <c r="U215" i="40"/>
  <c r="P215" i="40"/>
  <c r="D215" i="40"/>
  <c r="AV214" i="40"/>
  <c r="Z214" i="40"/>
  <c r="Y214" i="40"/>
  <c r="AS214" i="40" s="1"/>
  <c r="U214" i="40"/>
  <c r="D214" i="40"/>
  <c r="Z213" i="40"/>
  <c r="Y213" i="40"/>
  <c r="U213" i="40"/>
  <c r="D213" i="40"/>
  <c r="Z212" i="40"/>
  <c r="Y212" i="40"/>
  <c r="U212" i="40"/>
  <c r="D212" i="40"/>
  <c r="Z211" i="40"/>
  <c r="Y211" i="40"/>
  <c r="AS211" i="40" s="1"/>
  <c r="U211" i="40"/>
  <c r="D211" i="40"/>
  <c r="Z210" i="40"/>
  <c r="Y210" i="40"/>
  <c r="AS210" i="40" s="1"/>
  <c r="U210" i="40"/>
  <c r="D210" i="40"/>
  <c r="AS209" i="40"/>
  <c r="AI209" i="40"/>
  <c r="Z209" i="40"/>
  <c r="Y209" i="40"/>
  <c r="U209" i="40"/>
  <c r="D209" i="40"/>
  <c r="AS208" i="40"/>
  <c r="AI208" i="40"/>
  <c r="Z208" i="40"/>
  <c r="Y208" i="40"/>
  <c r="U208" i="40"/>
  <c r="D208" i="40"/>
  <c r="Z207" i="40"/>
  <c r="Y207" i="40"/>
  <c r="U207" i="40"/>
  <c r="D207" i="40"/>
  <c r="AS206" i="40"/>
  <c r="AI206" i="40"/>
  <c r="Z206" i="40"/>
  <c r="Y206" i="40"/>
  <c r="U206" i="40"/>
  <c r="D206" i="40"/>
  <c r="Z205" i="40"/>
  <c r="Y205" i="40"/>
  <c r="AS205" i="40" s="1"/>
  <c r="U205" i="40"/>
  <c r="D205" i="40"/>
  <c r="F205" i="40" s="1"/>
  <c r="Z204" i="40"/>
  <c r="Y204" i="40"/>
  <c r="AS204" i="40" s="1"/>
  <c r="U204" i="40"/>
  <c r="D204" i="40"/>
  <c r="Z203" i="40"/>
  <c r="Y203" i="40"/>
  <c r="U203" i="40"/>
  <c r="D203" i="40"/>
  <c r="AS202" i="40"/>
  <c r="AI202" i="40"/>
  <c r="AD202" i="40"/>
  <c r="AV202" i="40" s="1"/>
  <c r="Z202" i="40"/>
  <c r="Y202" i="40"/>
  <c r="U202" i="40"/>
  <c r="Q202" i="40"/>
  <c r="D202" i="40"/>
  <c r="Z201" i="40"/>
  <c r="Y201" i="40"/>
  <c r="AS201" i="40" s="1"/>
  <c r="U201" i="40"/>
  <c r="D201" i="40"/>
  <c r="Z200" i="40"/>
  <c r="Y200" i="40"/>
  <c r="U200" i="40"/>
  <c r="D200" i="40"/>
  <c r="AD199" i="40"/>
  <c r="AV199" i="40" s="1"/>
  <c r="Z199" i="40"/>
  <c r="Y199" i="40"/>
  <c r="U199" i="40"/>
  <c r="D199" i="40"/>
  <c r="Z198" i="40"/>
  <c r="Y198" i="40"/>
  <c r="AS198" i="40" s="1"/>
  <c r="U198" i="40"/>
  <c r="D198" i="40"/>
  <c r="Z197" i="40"/>
  <c r="Y197" i="40"/>
  <c r="AS197" i="40" s="1"/>
  <c r="U197" i="40"/>
  <c r="D197" i="40"/>
  <c r="AS196" i="40"/>
  <c r="AI196" i="40"/>
  <c r="Z196" i="40"/>
  <c r="Y196" i="40"/>
  <c r="U196" i="40"/>
  <c r="D196" i="40"/>
  <c r="AS195" i="40"/>
  <c r="AI195" i="40"/>
  <c r="Z195" i="40"/>
  <c r="Y195" i="40"/>
  <c r="U195" i="40"/>
  <c r="D195" i="40"/>
  <c r="AD194" i="40"/>
  <c r="AV194" i="40" s="1"/>
  <c r="Z194" i="40"/>
  <c r="Y194" i="40"/>
  <c r="AS194" i="40" s="1"/>
  <c r="U194" i="40"/>
  <c r="Q194" i="40"/>
  <c r="D194" i="40"/>
  <c r="Z193" i="40"/>
  <c r="Y193" i="40"/>
  <c r="AS193" i="40" s="1"/>
  <c r="U193" i="40"/>
  <c r="D193" i="40"/>
  <c r="Z192" i="40"/>
  <c r="Y192" i="40"/>
  <c r="U192" i="40"/>
  <c r="D192" i="40"/>
  <c r="Z191" i="40"/>
  <c r="Y191" i="40"/>
  <c r="U191" i="40"/>
  <c r="D191" i="40"/>
  <c r="Z190" i="40"/>
  <c r="Y190" i="40"/>
  <c r="AS190" i="40" s="1"/>
  <c r="U190" i="40"/>
  <c r="D190" i="40"/>
  <c r="AF189" i="40"/>
  <c r="AX189" i="40" s="1"/>
  <c r="Z189" i="40"/>
  <c r="Y189" i="40"/>
  <c r="AS189" i="40" s="1"/>
  <c r="U189" i="40"/>
  <c r="D189" i="40"/>
  <c r="AS188" i="40"/>
  <c r="AI188" i="40"/>
  <c r="Z188" i="40"/>
  <c r="Y188" i="40"/>
  <c r="U188" i="40"/>
  <c r="D188" i="40"/>
  <c r="Z187" i="40"/>
  <c r="Y187" i="40"/>
  <c r="AI187" i="40" s="1"/>
  <c r="U187" i="40"/>
  <c r="D187" i="40"/>
  <c r="AD186" i="40"/>
  <c r="AV186" i="40" s="1"/>
  <c r="Z186" i="40"/>
  <c r="Y186" i="40"/>
  <c r="U186" i="40"/>
  <c r="D186" i="40"/>
  <c r="Z185" i="40"/>
  <c r="Y185" i="40"/>
  <c r="AS185" i="40" s="1"/>
  <c r="U185" i="40"/>
  <c r="D185" i="40"/>
  <c r="Z184" i="40"/>
  <c r="Y184" i="40"/>
  <c r="AS184" i="40" s="1"/>
  <c r="U184" i="40"/>
  <c r="D184" i="40"/>
  <c r="AS183" i="40"/>
  <c r="AI183" i="40"/>
  <c r="Z183" i="40"/>
  <c r="Y183" i="40"/>
  <c r="U183" i="40"/>
  <c r="D183" i="40"/>
  <c r="AS182" i="40"/>
  <c r="AI182" i="40"/>
  <c r="Z182" i="40"/>
  <c r="Y182" i="40"/>
  <c r="U182" i="40"/>
  <c r="D182" i="40"/>
  <c r="AX181" i="40"/>
  <c r="AD181" i="40"/>
  <c r="AV181" i="40" s="1"/>
  <c r="Z181" i="40"/>
  <c r="Y181" i="40"/>
  <c r="AS181" i="40" s="1"/>
  <c r="U181" i="40"/>
  <c r="Q181" i="40"/>
  <c r="D181" i="40"/>
  <c r="Z180" i="40"/>
  <c r="Y180" i="40"/>
  <c r="AS180" i="40" s="1"/>
  <c r="U180" i="40"/>
  <c r="D180" i="40"/>
  <c r="AI179" i="40"/>
  <c r="Z179" i="40"/>
  <c r="Y179" i="40"/>
  <c r="AS179" i="40" s="1"/>
  <c r="U179" i="40"/>
  <c r="D179" i="40"/>
  <c r="Z178" i="40"/>
  <c r="Y178" i="40"/>
  <c r="AS178" i="40" s="1"/>
  <c r="U178" i="40"/>
  <c r="D178" i="40"/>
  <c r="AS177" i="40"/>
  <c r="AI177" i="40"/>
  <c r="Z177" i="40"/>
  <c r="Y177" i="40"/>
  <c r="U177" i="40"/>
  <c r="D177" i="40"/>
  <c r="Z176" i="40"/>
  <c r="Y176" i="40"/>
  <c r="U176" i="40"/>
  <c r="P176" i="40"/>
  <c r="D176" i="40"/>
  <c r="AD175" i="40"/>
  <c r="AV175" i="40" s="1"/>
  <c r="Z175" i="40"/>
  <c r="Y175" i="40"/>
  <c r="AS175" i="40" s="1"/>
  <c r="U175" i="40"/>
  <c r="P175" i="40"/>
  <c r="D175" i="40"/>
  <c r="AV174" i="40"/>
  <c r="Z174" i="40"/>
  <c r="Y174" i="40"/>
  <c r="AS174" i="40" s="1"/>
  <c r="U174" i="40"/>
  <c r="Q174" i="40"/>
  <c r="D174" i="40"/>
  <c r="Z173" i="40"/>
  <c r="Y173" i="40"/>
  <c r="U173" i="40"/>
  <c r="G173" i="40"/>
  <c r="D173" i="40"/>
  <c r="Z172" i="40"/>
  <c r="Y172" i="40"/>
  <c r="AS172" i="40" s="1"/>
  <c r="U172" i="40"/>
  <c r="D172" i="40"/>
  <c r="Z171" i="40"/>
  <c r="Y171" i="40"/>
  <c r="AS171" i="40" s="1"/>
  <c r="U171" i="40"/>
  <c r="D171" i="40"/>
  <c r="Z170" i="40"/>
  <c r="Y170" i="40"/>
  <c r="AS170" i="40" s="1"/>
  <c r="U170" i="40"/>
  <c r="D170" i="40"/>
  <c r="AX169" i="40"/>
  <c r="AW169" i="40"/>
  <c r="AV169" i="40"/>
  <c r="AU169" i="40"/>
  <c r="AT169" i="40"/>
  <c r="AS169" i="40"/>
  <c r="C169" i="40"/>
  <c r="T159" i="40"/>
  <c r="R159" i="40"/>
  <c r="T158" i="40"/>
  <c r="R158" i="40"/>
  <c r="T157" i="40"/>
  <c r="AD214" i="40" s="1"/>
  <c r="R157" i="40"/>
  <c r="T156" i="40"/>
  <c r="R156" i="40"/>
  <c r="T155" i="40"/>
  <c r="R155" i="40"/>
  <c r="T154" i="40"/>
  <c r="R154" i="40"/>
  <c r="T153" i="40"/>
  <c r="R153" i="40"/>
  <c r="T152" i="40"/>
  <c r="R152" i="40"/>
  <c r="T151" i="40"/>
  <c r="R151" i="40"/>
  <c r="T150" i="40"/>
  <c r="R150" i="40"/>
  <c r="T149" i="40"/>
  <c r="R149" i="40"/>
  <c r="T148" i="40"/>
  <c r="R148" i="40"/>
  <c r="T147" i="40"/>
  <c r="AD204" i="40" s="1"/>
  <c r="AV204" i="40" s="1"/>
  <c r="R147" i="40"/>
  <c r="T146" i="40"/>
  <c r="R146" i="40"/>
  <c r="T145" i="40"/>
  <c r="R145" i="40"/>
  <c r="T144" i="40"/>
  <c r="R144" i="40"/>
  <c r="T143" i="40"/>
  <c r="R143" i="40"/>
  <c r="T142" i="40"/>
  <c r="Q199" i="40" s="1"/>
  <c r="R142" i="40"/>
  <c r="T141" i="40"/>
  <c r="R141" i="40"/>
  <c r="T140" i="40"/>
  <c r="R140" i="40"/>
  <c r="T139" i="40"/>
  <c r="R139" i="40"/>
  <c r="T138" i="40"/>
  <c r="R138" i="40"/>
  <c r="T137" i="40"/>
  <c r="R137" i="40"/>
  <c r="T136" i="40"/>
  <c r="R136" i="40"/>
  <c r="T135" i="40"/>
  <c r="R135" i="40"/>
  <c r="T134" i="40"/>
  <c r="Q191" i="40" s="1"/>
  <c r="R134" i="40"/>
  <c r="T133" i="40"/>
  <c r="R133" i="40"/>
  <c r="T132" i="40"/>
  <c r="R132" i="40"/>
  <c r="T131" i="40"/>
  <c r="R131" i="40"/>
  <c r="T130" i="40"/>
  <c r="R130" i="40"/>
  <c r="T129" i="40"/>
  <c r="Q186" i="40" s="1"/>
  <c r="R129" i="40"/>
  <c r="T128" i="40"/>
  <c r="R128" i="40"/>
  <c r="T127" i="40"/>
  <c r="R127" i="40"/>
  <c r="T126" i="40"/>
  <c r="R126" i="40"/>
  <c r="T125" i="40"/>
  <c r="R125" i="40"/>
  <c r="T124" i="40"/>
  <c r="R124" i="40"/>
  <c r="T123" i="40"/>
  <c r="R123" i="40"/>
  <c r="T122" i="40"/>
  <c r="R122" i="40"/>
  <c r="T121" i="40"/>
  <c r="R121" i="40"/>
  <c r="T120" i="40"/>
  <c r="R120" i="40"/>
  <c r="T119" i="40"/>
  <c r="R119" i="40"/>
  <c r="T118" i="40"/>
  <c r="Q175" i="40" s="1"/>
  <c r="R118" i="40"/>
  <c r="T117" i="40"/>
  <c r="AD174" i="40" s="1"/>
  <c r="R117" i="40"/>
  <c r="T116" i="40"/>
  <c r="R116" i="40"/>
  <c r="T115" i="40"/>
  <c r="R115" i="40"/>
  <c r="T114" i="40"/>
  <c r="AD171" i="40" s="1"/>
  <c r="AV171" i="40" s="1"/>
  <c r="R114" i="40"/>
  <c r="T113" i="40"/>
  <c r="R113" i="40"/>
  <c r="S112" i="40"/>
  <c r="AH106" i="40"/>
  <c r="U106" i="40"/>
  <c r="M106" i="40"/>
  <c r="F106" i="40"/>
  <c r="C106" i="40"/>
  <c r="AF216" i="40" s="1"/>
  <c r="AX216" i="40" s="1"/>
  <c r="M105" i="40"/>
  <c r="G215" i="40" s="1"/>
  <c r="C105" i="40"/>
  <c r="M104" i="40"/>
  <c r="C104" i="40"/>
  <c r="AF214" i="40" s="1"/>
  <c r="AX214" i="40" s="1"/>
  <c r="M103" i="40"/>
  <c r="F103" i="40"/>
  <c r="U103" i="40" s="1"/>
  <c r="C103" i="40"/>
  <c r="AF213" i="40" s="1"/>
  <c r="AX213" i="40" s="1"/>
  <c r="AH102" i="40"/>
  <c r="U102" i="40"/>
  <c r="M102" i="40"/>
  <c r="F102" i="40"/>
  <c r="C102" i="40"/>
  <c r="AF212" i="40" s="1"/>
  <c r="AX212" i="40" s="1"/>
  <c r="M101" i="40"/>
  <c r="C101" i="40"/>
  <c r="M100" i="40"/>
  <c r="C100" i="40"/>
  <c r="AF210" i="40" s="1"/>
  <c r="AX210" i="40" s="1"/>
  <c r="M99" i="40"/>
  <c r="F99" i="40"/>
  <c r="U99" i="40" s="1"/>
  <c r="C99" i="40"/>
  <c r="AF209" i="40" s="1"/>
  <c r="AX209" i="40" s="1"/>
  <c r="M98" i="40"/>
  <c r="F98" i="40"/>
  <c r="U98" i="40" s="1"/>
  <c r="C98" i="40"/>
  <c r="AF208" i="40" s="1"/>
  <c r="AX208" i="40" s="1"/>
  <c r="M97" i="40"/>
  <c r="C97" i="40"/>
  <c r="M96" i="40"/>
  <c r="C96" i="40"/>
  <c r="AF206" i="40" s="1"/>
  <c r="AX206" i="40" s="1"/>
  <c r="AH95" i="40"/>
  <c r="M95" i="40"/>
  <c r="F95" i="40"/>
  <c r="U95" i="40" s="1"/>
  <c r="C95" i="40"/>
  <c r="AF205" i="40" s="1"/>
  <c r="AX205" i="40" s="1"/>
  <c r="M94" i="40"/>
  <c r="F94" i="40"/>
  <c r="U94" i="40" s="1"/>
  <c r="C94" i="40"/>
  <c r="AF204" i="40" s="1"/>
  <c r="AX204" i="40" s="1"/>
  <c r="M93" i="40"/>
  <c r="C93" i="40"/>
  <c r="M92" i="40"/>
  <c r="F92" i="40"/>
  <c r="U92" i="40" s="1"/>
  <c r="C92" i="40"/>
  <c r="AF202" i="40" s="1"/>
  <c r="AX202" i="40" s="1"/>
  <c r="M91" i="40"/>
  <c r="F91" i="40"/>
  <c r="U91" i="40" s="1"/>
  <c r="C91" i="40"/>
  <c r="AF201" i="40" s="1"/>
  <c r="AX201" i="40" s="1"/>
  <c r="AH90" i="40"/>
  <c r="U90" i="40"/>
  <c r="M90" i="40"/>
  <c r="F90" i="40"/>
  <c r="C90" i="40"/>
  <c r="AF200" i="40" s="1"/>
  <c r="AX200" i="40" s="1"/>
  <c r="M89" i="40"/>
  <c r="C89" i="40"/>
  <c r="M88" i="40"/>
  <c r="C88" i="40"/>
  <c r="AF198" i="40" s="1"/>
  <c r="AX198" i="40" s="1"/>
  <c r="M87" i="40"/>
  <c r="F87" i="40"/>
  <c r="U87" i="40" s="1"/>
  <c r="C87" i="40"/>
  <c r="AF197" i="40" s="1"/>
  <c r="AX197" i="40" s="1"/>
  <c r="AH86" i="40"/>
  <c r="U86" i="40"/>
  <c r="M86" i="40"/>
  <c r="F86" i="40"/>
  <c r="C86" i="40"/>
  <c r="AF196" i="40" s="1"/>
  <c r="AX196" i="40" s="1"/>
  <c r="M85" i="40"/>
  <c r="C85" i="40"/>
  <c r="M84" i="40"/>
  <c r="C84" i="40"/>
  <c r="AF194" i="40" s="1"/>
  <c r="AX194" i="40" s="1"/>
  <c r="M83" i="40"/>
  <c r="F83" i="40"/>
  <c r="U83" i="40" s="1"/>
  <c r="C83" i="40"/>
  <c r="AF193" i="40" s="1"/>
  <c r="AX193" i="40" s="1"/>
  <c r="M82" i="40"/>
  <c r="F82" i="40"/>
  <c r="U82" i="40" s="1"/>
  <c r="C82" i="40"/>
  <c r="AF192" i="40" s="1"/>
  <c r="AX192" i="40" s="1"/>
  <c r="M81" i="40"/>
  <c r="C81" i="40"/>
  <c r="M80" i="40"/>
  <c r="C80" i="40"/>
  <c r="AF190" i="40" s="1"/>
  <c r="AX190" i="40" s="1"/>
  <c r="AH79" i="40"/>
  <c r="M79" i="40"/>
  <c r="F79" i="40"/>
  <c r="U79" i="40" s="1"/>
  <c r="C79" i="40"/>
  <c r="M78" i="40"/>
  <c r="F78" i="40"/>
  <c r="U78" i="40" s="1"/>
  <c r="C78" i="40"/>
  <c r="AF188" i="40" s="1"/>
  <c r="AX188" i="40" s="1"/>
  <c r="M77" i="40"/>
  <c r="C77" i="40"/>
  <c r="M76" i="40"/>
  <c r="C76" i="40"/>
  <c r="AF186" i="40" s="1"/>
  <c r="AX186" i="40" s="1"/>
  <c r="M75" i="40"/>
  <c r="C75" i="40"/>
  <c r="AF185" i="40" s="1"/>
  <c r="AX185" i="40" s="1"/>
  <c r="AB74" i="40"/>
  <c r="M74" i="40"/>
  <c r="I74" i="40"/>
  <c r="Y74" i="40" s="1"/>
  <c r="F74" i="40"/>
  <c r="U74" i="40" s="1"/>
  <c r="AM74" i="40" s="1"/>
  <c r="C74" i="40"/>
  <c r="AF184" i="40" s="1"/>
  <c r="AX184" i="40" s="1"/>
  <c r="M73" i="40"/>
  <c r="I73" i="40"/>
  <c r="Y73" i="40" s="1"/>
  <c r="F73" i="40"/>
  <c r="U73" i="40" s="1"/>
  <c r="C73" i="40"/>
  <c r="AF183" i="40" s="1"/>
  <c r="AX183" i="40" s="1"/>
  <c r="AB72" i="40"/>
  <c r="M72" i="40"/>
  <c r="F72" i="40"/>
  <c r="U72" i="40" s="1"/>
  <c r="AM72" i="40" s="1"/>
  <c r="C72" i="40"/>
  <c r="AF182" i="40" s="1"/>
  <c r="AX182" i="40" s="1"/>
  <c r="M71" i="40"/>
  <c r="I71" i="40"/>
  <c r="Y71" i="40" s="1"/>
  <c r="F71" i="40"/>
  <c r="U71" i="40" s="1"/>
  <c r="C71" i="40"/>
  <c r="AF181" i="40" s="1"/>
  <c r="AB70" i="40"/>
  <c r="M70" i="40"/>
  <c r="C70" i="40"/>
  <c r="AF180" i="40" s="1"/>
  <c r="AX180" i="40" s="1"/>
  <c r="M69" i="40"/>
  <c r="G179" i="40" s="1"/>
  <c r="C69" i="40"/>
  <c r="AF179" i="40" s="1"/>
  <c r="AX179" i="40" s="1"/>
  <c r="AB68" i="40"/>
  <c r="M68" i="40"/>
  <c r="P178" i="40" s="1"/>
  <c r="I68" i="40"/>
  <c r="Y68" i="40" s="1"/>
  <c r="F68" i="40"/>
  <c r="U68" i="40" s="1"/>
  <c r="AM68" i="40" s="1"/>
  <c r="C68" i="40"/>
  <c r="AF178" i="40" s="1"/>
  <c r="AX178" i="40" s="1"/>
  <c r="M67" i="40"/>
  <c r="I67" i="40"/>
  <c r="Y67" i="40" s="1"/>
  <c r="F67" i="40"/>
  <c r="U67" i="40" s="1"/>
  <c r="C67" i="40"/>
  <c r="AF177" i="40" s="1"/>
  <c r="AX177" i="40" s="1"/>
  <c r="AB66" i="40"/>
  <c r="M66" i="40"/>
  <c r="G176" i="40" s="1"/>
  <c r="C66" i="40"/>
  <c r="AF176" i="40" s="1"/>
  <c r="AX176" i="40" s="1"/>
  <c r="M65" i="40"/>
  <c r="G175" i="40" s="1"/>
  <c r="C65" i="40"/>
  <c r="AF175" i="40" s="1"/>
  <c r="AX175" i="40" s="1"/>
  <c r="AB64" i="40"/>
  <c r="M64" i="40"/>
  <c r="C64" i="40"/>
  <c r="AF174" i="40" s="1"/>
  <c r="AX174" i="40" s="1"/>
  <c r="M63" i="40"/>
  <c r="P173" i="40" s="1"/>
  <c r="I63" i="40"/>
  <c r="Y63" i="40" s="1"/>
  <c r="C63" i="40"/>
  <c r="AF173" i="40" s="1"/>
  <c r="AX173" i="40" s="1"/>
  <c r="AB62" i="40"/>
  <c r="M62" i="40"/>
  <c r="C62" i="40"/>
  <c r="AF172" i="40" s="1"/>
  <c r="AX172" i="40" s="1"/>
  <c r="M61" i="40"/>
  <c r="C61" i="40"/>
  <c r="AF171" i="40" s="1"/>
  <c r="AX171" i="40" s="1"/>
  <c r="M60" i="40"/>
  <c r="P170" i="40" s="1"/>
  <c r="C60" i="40"/>
  <c r="AF170" i="40" s="1"/>
  <c r="AX170" i="40" s="1"/>
  <c r="BF53" i="40"/>
  <c r="BE53" i="40"/>
  <c r="AZ53" i="40"/>
  <c r="AG53" i="40"/>
  <c r="AD53" i="40"/>
  <c r="AC53" i="40"/>
  <c r="AB53" i="40"/>
  <c r="AE53" i="40" s="1"/>
  <c r="V53" i="40"/>
  <c r="AU53" i="40" s="1"/>
  <c r="O53" i="40"/>
  <c r="AN53" i="40" s="1"/>
  <c r="BG53" i="40" s="1"/>
  <c r="AZ52" i="40"/>
  <c r="AH105" i="40" s="1"/>
  <c r="AF52" i="40"/>
  <c r="AE52" i="40"/>
  <c r="AB52" i="40"/>
  <c r="X52" i="40"/>
  <c r="AW52" i="40" s="1"/>
  <c r="U52" i="40"/>
  <c r="AT52" i="40" s="1"/>
  <c r="T52" i="40"/>
  <c r="Q52" i="40"/>
  <c r="P52" i="40"/>
  <c r="O52" i="40"/>
  <c r="BE52" i="40" s="1"/>
  <c r="BF51" i="40"/>
  <c r="AZ51" i="40"/>
  <c r="AH104" i="40" s="1"/>
  <c r="AG51" i="40"/>
  <c r="AD51" i="40"/>
  <c r="AC51" i="40"/>
  <c r="AB51" i="40"/>
  <c r="AB104" i="40" s="1"/>
  <c r="O51" i="40"/>
  <c r="AZ50" i="40"/>
  <c r="AH103" i="40" s="1"/>
  <c r="AF50" i="40"/>
  <c r="AB50" i="40"/>
  <c r="X50" i="40"/>
  <c r="AW50" i="40" s="1"/>
  <c r="U50" i="40"/>
  <c r="AT50" i="40" s="1"/>
  <c r="T50" i="40"/>
  <c r="Q50" i="40"/>
  <c r="P50" i="40"/>
  <c r="O50" i="40"/>
  <c r="I103" i="40" s="1"/>
  <c r="Y103" i="40" s="1"/>
  <c r="BF49" i="40"/>
  <c r="BE49" i="40"/>
  <c r="AZ49" i="40"/>
  <c r="AN49" i="40"/>
  <c r="BG49" i="40" s="1"/>
  <c r="AG49" i="40"/>
  <c r="AD49" i="40"/>
  <c r="AC49" i="40"/>
  <c r="AB49" i="40"/>
  <c r="AE49" i="40" s="1"/>
  <c r="V49" i="40"/>
  <c r="AU49" i="40" s="1"/>
  <c r="S49" i="40"/>
  <c r="R49" i="40"/>
  <c r="AQ49" i="40" s="1"/>
  <c r="O49" i="40"/>
  <c r="AZ48" i="40"/>
  <c r="AH101" i="40" s="1"/>
  <c r="AB48" i="40"/>
  <c r="X48" i="40"/>
  <c r="AW48" i="40" s="1"/>
  <c r="U48" i="40"/>
  <c r="AT48" i="40" s="1"/>
  <c r="T48" i="40"/>
  <c r="Q48" i="40"/>
  <c r="P48" i="40"/>
  <c r="O48" i="40"/>
  <c r="BE48" i="40" s="1"/>
  <c r="BF47" i="40"/>
  <c r="BE47" i="40"/>
  <c r="AZ47" i="40"/>
  <c r="AH100" i="40" s="1"/>
  <c r="AG47" i="40"/>
  <c r="AD47" i="40"/>
  <c r="AC47" i="40"/>
  <c r="AB47" i="40"/>
  <c r="AB100" i="40" s="1"/>
  <c r="V47" i="40"/>
  <c r="AU47" i="40" s="1"/>
  <c r="S47" i="40"/>
  <c r="O47" i="40"/>
  <c r="AZ46" i="40"/>
  <c r="AH99" i="40" s="1"/>
  <c r="AB46" i="40"/>
  <c r="X46" i="40"/>
  <c r="AW46" i="40" s="1"/>
  <c r="U46" i="40"/>
  <c r="AT46" i="40" s="1"/>
  <c r="T46" i="40"/>
  <c r="Q46" i="40"/>
  <c r="P46" i="40"/>
  <c r="O46" i="40"/>
  <c r="I99" i="40" s="1"/>
  <c r="Y99" i="40" s="1"/>
  <c r="BF45" i="40"/>
  <c r="BE45" i="40"/>
  <c r="AZ45" i="40"/>
  <c r="AG45" i="40"/>
  <c r="AD45" i="40"/>
  <c r="AC45" i="40"/>
  <c r="AB45" i="40"/>
  <c r="AE45" i="40" s="1"/>
  <c r="V45" i="40"/>
  <c r="AU45" i="40" s="1"/>
  <c r="O45" i="40"/>
  <c r="AN45" i="40" s="1"/>
  <c r="BG45" i="40" s="1"/>
  <c r="AZ44" i="40"/>
  <c r="AH97" i="40" s="1"/>
  <c r="AF44" i="40"/>
  <c r="AE44" i="40"/>
  <c r="AB44" i="40"/>
  <c r="X44" i="40"/>
  <c r="AW44" i="40" s="1"/>
  <c r="U44" i="40"/>
  <c r="AT44" i="40" s="1"/>
  <c r="T44" i="40"/>
  <c r="Q44" i="40"/>
  <c r="P44" i="40"/>
  <c r="O44" i="40"/>
  <c r="BE44" i="40" s="1"/>
  <c r="BF43" i="40"/>
  <c r="AZ43" i="40"/>
  <c r="AH96" i="40" s="1"/>
  <c r="AG43" i="40"/>
  <c r="AD43" i="40"/>
  <c r="AC43" i="40"/>
  <c r="AB43" i="40"/>
  <c r="AB96" i="40" s="1"/>
  <c r="O43" i="40"/>
  <c r="AZ42" i="40"/>
  <c r="AF42" i="40"/>
  <c r="AB42" i="40"/>
  <c r="X42" i="40"/>
  <c r="AW42" i="40" s="1"/>
  <c r="U42" i="40"/>
  <c r="AT42" i="40" s="1"/>
  <c r="T42" i="40"/>
  <c r="Q42" i="40"/>
  <c r="P42" i="40"/>
  <c r="O42" i="40"/>
  <c r="I95" i="40" s="1"/>
  <c r="Y95" i="40" s="1"/>
  <c r="BF41" i="40"/>
  <c r="BE41" i="40"/>
  <c r="AZ41" i="40"/>
  <c r="AN41" i="40"/>
  <c r="BG41" i="40" s="1"/>
  <c r="AG41" i="40"/>
  <c r="AD41" i="40"/>
  <c r="AC41" i="40"/>
  <c r="AB41" i="40"/>
  <c r="AE41" i="40" s="1"/>
  <c r="V41" i="40"/>
  <c r="AU41" i="40" s="1"/>
  <c r="S41" i="40"/>
  <c r="R41" i="40"/>
  <c r="AQ41" i="40" s="1"/>
  <c r="O41" i="40"/>
  <c r="AZ40" i="40"/>
  <c r="AH93" i="40" s="1"/>
  <c r="AB40" i="40"/>
  <c r="X40" i="40"/>
  <c r="AW40" i="40" s="1"/>
  <c r="U40" i="40"/>
  <c r="AT40" i="40" s="1"/>
  <c r="T40" i="40"/>
  <c r="Q40" i="40"/>
  <c r="P40" i="40"/>
  <c r="O40" i="40"/>
  <c r="BE40" i="40" s="1"/>
  <c r="BF39" i="40"/>
  <c r="BE39" i="40"/>
  <c r="AZ39" i="40"/>
  <c r="AH92" i="40" s="1"/>
  <c r="AG39" i="40"/>
  <c r="AD39" i="40"/>
  <c r="AC39" i="40"/>
  <c r="AB39" i="40"/>
  <c r="AB92" i="40" s="1"/>
  <c r="V39" i="40"/>
  <c r="AU39" i="40" s="1"/>
  <c r="S39" i="40"/>
  <c r="O39" i="40"/>
  <c r="AZ38" i="40"/>
  <c r="AH91" i="40" s="1"/>
  <c r="AB38" i="40"/>
  <c r="X38" i="40"/>
  <c r="AW38" i="40" s="1"/>
  <c r="U38" i="40"/>
  <c r="AT38" i="40" s="1"/>
  <c r="T38" i="40"/>
  <c r="Q38" i="40"/>
  <c r="P38" i="40"/>
  <c r="O38" i="40"/>
  <c r="I91" i="40" s="1"/>
  <c r="BF37" i="40"/>
  <c r="BE37" i="40"/>
  <c r="AZ37" i="40"/>
  <c r="AG37" i="40"/>
  <c r="AD37" i="40"/>
  <c r="AC37" i="40"/>
  <c r="AB37" i="40"/>
  <c r="AE37" i="40" s="1"/>
  <c r="V37" i="40"/>
  <c r="AU37" i="40" s="1"/>
  <c r="O37" i="40"/>
  <c r="AZ36" i="40"/>
  <c r="AH89" i="40" s="1"/>
  <c r="AF36" i="40"/>
  <c r="AE36" i="40"/>
  <c r="AB36" i="40"/>
  <c r="X36" i="40"/>
  <c r="AW36" i="40" s="1"/>
  <c r="U36" i="40"/>
  <c r="AT36" i="40" s="1"/>
  <c r="T36" i="40"/>
  <c r="Q36" i="40"/>
  <c r="P36" i="40"/>
  <c r="O36" i="40"/>
  <c r="BE36" i="40" s="1"/>
  <c r="BF35" i="40"/>
  <c r="AZ35" i="40"/>
  <c r="AH88" i="40" s="1"/>
  <c r="AG35" i="40"/>
  <c r="AD35" i="40"/>
  <c r="AC35" i="40"/>
  <c r="AB35" i="40"/>
  <c r="AB88" i="40" s="1"/>
  <c r="O35" i="40"/>
  <c r="AZ34" i="40"/>
  <c r="AH87" i="40" s="1"/>
  <c r="AF34" i="40"/>
  <c r="AB34" i="40"/>
  <c r="X34" i="40"/>
  <c r="AW34" i="40" s="1"/>
  <c r="U34" i="40"/>
  <c r="AT34" i="40" s="1"/>
  <c r="T34" i="40"/>
  <c r="Q34" i="40"/>
  <c r="P34" i="40"/>
  <c r="O34" i="40"/>
  <c r="I87" i="40" s="1"/>
  <c r="Y87" i="40" s="1"/>
  <c r="BF33" i="40"/>
  <c r="AZ33" i="40"/>
  <c r="AN33" i="40"/>
  <c r="BG33" i="40" s="1"/>
  <c r="AG33" i="40"/>
  <c r="AD33" i="40"/>
  <c r="AC33" i="40"/>
  <c r="AB33" i="40"/>
  <c r="AE33" i="40" s="1"/>
  <c r="S33" i="40"/>
  <c r="R33" i="40"/>
  <c r="AQ33" i="40" s="1"/>
  <c r="O33" i="40"/>
  <c r="BE33" i="40" s="1"/>
  <c r="AZ32" i="40"/>
  <c r="AH85" i="40" s="1"/>
  <c r="AB32" i="40"/>
  <c r="X32" i="40"/>
  <c r="AW32" i="40" s="1"/>
  <c r="U32" i="40"/>
  <c r="AT32" i="40" s="1"/>
  <c r="T32" i="40"/>
  <c r="Q32" i="40"/>
  <c r="P32" i="40"/>
  <c r="O32" i="40"/>
  <c r="BE32" i="40" s="1"/>
  <c r="BF31" i="40"/>
  <c r="BE31" i="40"/>
  <c r="AZ31" i="40"/>
  <c r="AH84" i="40" s="1"/>
  <c r="AN31" i="40"/>
  <c r="BG31" i="40" s="1"/>
  <c r="AG31" i="40"/>
  <c r="AD31" i="40"/>
  <c r="AC31" i="40"/>
  <c r="AB31" i="40"/>
  <c r="AB84" i="40" s="1"/>
  <c r="V31" i="40"/>
  <c r="AU31" i="40" s="1"/>
  <c r="S31" i="40"/>
  <c r="R31" i="40"/>
  <c r="O31" i="40"/>
  <c r="AZ30" i="40"/>
  <c r="AH83" i="40" s="1"/>
  <c r="AB30" i="40"/>
  <c r="X30" i="40"/>
  <c r="AW30" i="40" s="1"/>
  <c r="U30" i="40"/>
  <c r="AT30" i="40" s="1"/>
  <c r="T30" i="40"/>
  <c r="Q30" i="40"/>
  <c r="P30" i="40"/>
  <c r="O30" i="40"/>
  <c r="I83" i="40" s="1"/>
  <c r="Y83" i="40" s="1"/>
  <c r="BF29" i="40"/>
  <c r="BE29" i="40"/>
  <c r="AZ29" i="40"/>
  <c r="AG29" i="40"/>
  <c r="AD29" i="40"/>
  <c r="AC29" i="40"/>
  <c r="AB29" i="40"/>
  <c r="AE29" i="40" s="1"/>
  <c r="V29" i="40"/>
  <c r="AU29" i="40" s="1"/>
  <c r="O29" i="40"/>
  <c r="AZ28" i="40"/>
  <c r="AH81" i="40" s="1"/>
  <c r="AF28" i="40"/>
  <c r="AE28" i="40"/>
  <c r="AB28" i="40"/>
  <c r="X28" i="40"/>
  <c r="AW28" i="40" s="1"/>
  <c r="U28" i="40"/>
  <c r="AT28" i="40" s="1"/>
  <c r="T28" i="40"/>
  <c r="Q28" i="40"/>
  <c r="P28" i="40"/>
  <c r="O28" i="40"/>
  <c r="BE28" i="40" s="1"/>
  <c r="BF27" i="40"/>
  <c r="AZ27" i="40"/>
  <c r="AH80" i="40" s="1"/>
  <c r="AG27" i="40"/>
  <c r="AD27" i="40"/>
  <c r="AC27" i="40"/>
  <c r="AB27" i="40"/>
  <c r="AB80" i="40" s="1"/>
  <c r="O27" i="40"/>
  <c r="AZ26" i="40"/>
  <c r="AF26" i="40"/>
  <c r="AE26" i="40"/>
  <c r="AB26" i="40"/>
  <c r="X26" i="40"/>
  <c r="AW26" i="40" s="1"/>
  <c r="U26" i="40"/>
  <c r="AT26" i="40" s="1"/>
  <c r="T26" i="40"/>
  <c r="Q26" i="40"/>
  <c r="P26" i="40"/>
  <c r="O26" i="40"/>
  <c r="I79" i="40" s="1"/>
  <c r="Y79" i="40" s="1"/>
  <c r="BF25" i="40"/>
  <c r="AZ25" i="40"/>
  <c r="AN25" i="40"/>
  <c r="BG25" i="40" s="1"/>
  <c r="AG25" i="40"/>
  <c r="AD25" i="40"/>
  <c r="AC25" i="40"/>
  <c r="AB25" i="40"/>
  <c r="AE25" i="40" s="1"/>
  <c r="S25" i="40"/>
  <c r="R25" i="40"/>
  <c r="AQ25" i="40" s="1"/>
  <c r="O25" i="40"/>
  <c r="BE25" i="40" s="1"/>
  <c r="AZ24" i="40"/>
  <c r="AH77" i="40" s="1"/>
  <c r="AB24" i="40"/>
  <c r="X24" i="40"/>
  <c r="AW24" i="40" s="1"/>
  <c r="U24" i="40"/>
  <c r="AT24" i="40" s="1"/>
  <c r="T24" i="40"/>
  <c r="Q24" i="40"/>
  <c r="P24" i="40"/>
  <c r="O24" i="40"/>
  <c r="BE24" i="40" s="1"/>
  <c r="BF23" i="40"/>
  <c r="BE23" i="40"/>
  <c r="AZ23" i="40"/>
  <c r="AH76" i="40" s="1"/>
  <c r="AN23" i="40"/>
  <c r="BG23" i="40" s="1"/>
  <c r="AG23" i="40"/>
  <c r="AD23" i="40"/>
  <c r="AC23" i="40"/>
  <c r="AB23" i="40"/>
  <c r="AB76" i="40" s="1"/>
  <c r="V23" i="40"/>
  <c r="AU23" i="40" s="1"/>
  <c r="S23" i="40"/>
  <c r="R23" i="40"/>
  <c r="O23" i="40"/>
  <c r="AZ22" i="40"/>
  <c r="AH75" i="40" s="1"/>
  <c r="AB22" i="40"/>
  <c r="X22" i="40"/>
  <c r="AW22" i="40" s="1"/>
  <c r="U22" i="40"/>
  <c r="AT22" i="40" s="1"/>
  <c r="T22" i="40"/>
  <c r="Q22" i="40"/>
  <c r="P22" i="40"/>
  <c r="O22" i="40"/>
  <c r="BF21" i="40"/>
  <c r="BE21" i="40"/>
  <c r="AZ21" i="40"/>
  <c r="AH74" i="40" s="1"/>
  <c r="AG21" i="40"/>
  <c r="AD21" i="40"/>
  <c r="AC21" i="40"/>
  <c r="AB21" i="40"/>
  <c r="AF21" i="40" s="1"/>
  <c r="V21" i="40"/>
  <c r="AU21" i="40" s="1"/>
  <c r="O21" i="40"/>
  <c r="BG20" i="40"/>
  <c r="AZ20" i="40"/>
  <c r="AH73" i="40" s="1"/>
  <c r="AF20" i="40"/>
  <c r="AE20" i="40"/>
  <c r="AB20" i="40"/>
  <c r="X20" i="40"/>
  <c r="AW20" i="40" s="1"/>
  <c r="U20" i="40"/>
  <c r="AT20" i="40" s="1"/>
  <c r="T20" i="40"/>
  <c r="Q20" i="40"/>
  <c r="P20" i="40"/>
  <c r="O20" i="40"/>
  <c r="AN20" i="40" s="1"/>
  <c r="BF19" i="40"/>
  <c r="AZ19" i="40"/>
  <c r="AH72" i="40" s="1"/>
  <c r="AG19" i="40"/>
  <c r="AD19" i="40"/>
  <c r="AC19" i="40"/>
  <c r="AB19" i="40"/>
  <c r="AF19" i="40" s="1"/>
  <c r="O19" i="40"/>
  <c r="AZ18" i="40"/>
  <c r="AH71" i="40" s="1"/>
  <c r="AF18" i="40"/>
  <c r="AE18" i="40"/>
  <c r="AB18" i="40"/>
  <c r="X18" i="40"/>
  <c r="AW18" i="40" s="1"/>
  <c r="U18" i="40"/>
  <c r="AT18" i="40" s="1"/>
  <c r="T18" i="40"/>
  <c r="Q18" i="40"/>
  <c r="P18" i="40"/>
  <c r="O18" i="40"/>
  <c r="AN18" i="40" s="1"/>
  <c r="BG18" i="40" s="1"/>
  <c r="BF17" i="40"/>
  <c r="AZ17" i="40"/>
  <c r="AH70" i="40" s="1"/>
  <c r="AN17" i="40"/>
  <c r="BG17" i="40" s="1"/>
  <c r="AG17" i="40"/>
  <c r="AD17" i="40"/>
  <c r="AC17" i="40"/>
  <c r="AB17" i="40"/>
  <c r="AF17" i="40" s="1"/>
  <c r="S17" i="40"/>
  <c r="AR17" i="40" s="1"/>
  <c r="R17" i="40"/>
  <c r="O17" i="40"/>
  <c r="BE17" i="40" s="1"/>
  <c r="AZ16" i="40"/>
  <c r="AH69" i="40" s="1"/>
  <c r="AB16" i="40"/>
  <c r="X16" i="40"/>
  <c r="AW16" i="40" s="1"/>
  <c r="U16" i="40"/>
  <c r="AT16" i="40" s="1"/>
  <c r="T16" i="40"/>
  <c r="Q16" i="40"/>
  <c r="P16" i="40"/>
  <c r="O16" i="40"/>
  <c r="BF15" i="40"/>
  <c r="BE15" i="40"/>
  <c r="AZ15" i="40"/>
  <c r="AH68" i="40" s="1"/>
  <c r="AN15" i="40"/>
  <c r="BG15" i="40" s="1"/>
  <c r="AG15" i="40"/>
  <c r="AD15" i="40"/>
  <c r="AC15" i="40"/>
  <c r="AB15" i="40"/>
  <c r="AF15" i="40" s="1"/>
  <c r="V15" i="40"/>
  <c r="AU15" i="40" s="1"/>
  <c r="S15" i="40"/>
  <c r="AR15" i="40" s="1"/>
  <c r="R15" i="40"/>
  <c r="O15" i="40"/>
  <c r="AZ14" i="40"/>
  <c r="AH67" i="40" s="1"/>
  <c r="AB14" i="40"/>
  <c r="X14" i="40"/>
  <c r="AW14" i="40" s="1"/>
  <c r="U14" i="40"/>
  <c r="AT14" i="40" s="1"/>
  <c r="T14" i="40"/>
  <c r="Q14" i="40"/>
  <c r="P14" i="40"/>
  <c r="O14" i="40"/>
  <c r="BF13" i="40"/>
  <c r="BE13" i="40"/>
  <c r="AZ13" i="40"/>
  <c r="AH66" i="40" s="1"/>
  <c r="AG13" i="40"/>
  <c r="AD13" i="40"/>
  <c r="AC13" i="40"/>
  <c r="AB13" i="40"/>
  <c r="AF13" i="40" s="1"/>
  <c r="V13" i="40"/>
  <c r="AU13" i="40" s="1"/>
  <c r="O13" i="40"/>
  <c r="BG12" i="40"/>
  <c r="AZ12" i="40"/>
  <c r="AH65" i="40" s="1"/>
  <c r="AF12" i="40"/>
  <c r="AE12" i="40"/>
  <c r="AB12" i="40"/>
  <c r="X12" i="40"/>
  <c r="AW12" i="40" s="1"/>
  <c r="U12" i="40"/>
  <c r="AT12" i="40" s="1"/>
  <c r="T12" i="40"/>
  <c r="Q12" i="40"/>
  <c r="P12" i="40"/>
  <c r="O12" i="40"/>
  <c r="AN12" i="40" s="1"/>
  <c r="BF11" i="40"/>
  <c r="AZ11" i="40"/>
  <c r="AH64" i="40" s="1"/>
  <c r="AG11" i="40"/>
  <c r="AD11" i="40"/>
  <c r="AC11" i="40"/>
  <c r="AB11" i="40"/>
  <c r="AF11" i="40" s="1"/>
  <c r="O11" i="40"/>
  <c r="CD10" i="40"/>
  <c r="BE10" i="40"/>
  <c r="AZ10" i="40"/>
  <c r="AH63" i="40" s="1"/>
  <c r="AU10" i="40"/>
  <c r="AT10" i="40"/>
  <c r="AG10" i="40"/>
  <c r="AB10" i="40"/>
  <c r="X10" i="40"/>
  <c r="AW10" i="40" s="1"/>
  <c r="V10" i="40"/>
  <c r="U10" i="40"/>
  <c r="T10" i="40"/>
  <c r="R10" i="40"/>
  <c r="Q10" i="40"/>
  <c r="P10" i="40"/>
  <c r="O10" i="40"/>
  <c r="AN10" i="40" s="1"/>
  <c r="BG10" i="40" s="1"/>
  <c r="BF9" i="40"/>
  <c r="AZ9" i="40"/>
  <c r="AH62" i="40" s="1"/>
  <c r="AN9" i="40"/>
  <c r="BG9" i="40" s="1"/>
  <c r="AG9" i="40"/>
  <c r="AE9" i="40"/>
  <c r="AD9" i="40"/>
  <c r="AC9" i="40"/>
  <c r="AB9" i="40"/>
  <c r="AF9" i="40" s="1"/>
  <c r="T9" i="40"/>
  <c r="AS9" i="40" s="1"/>
  <c r="O9" i="40"/>
  <c r="BE8" i="40"/>
  <c r="AZ8" i="40"/>
  <c r="AH61" i="40" s="1"/>
  <c r="AF8" i="40"/>
  <c r="AC8" i="40"/>
  <c r="AB8" i="40"/>
  <c r="AG8" i="40" s="1"/>
  <c r="X8" i="40"/>
  <c r="AW8" i="40" s="1"/>
  <c r="V8" i="40"/>
  <c r="AU8" i="40" s="1"/>
  <c r="U8" i="40"/>
  <c r="AT8" i="40" s="1"/>
  <c r="T8" i="40"/>
  <c r="R8" i="40"/>
  <c r="Q8" i="40"/>
  <c r="P8" i="40"/>
  <c r="AO8" i="40" s="1"/>
  <c r="O8" i="40"/>
  <c r="AN8" i="40" s="1"/>
  <c r="BG8" i="40" s="1"/>
  <c r="CD7" i="40"/>
  <c r="AZ7" i="40"/>
  <c r="AH60" i="40" s="1"/>
  <c r="AB7" i="40"/>
  <c r="X7" i="40"/>
  <c r="AW7" i="40" s="1"/>
  <c r="U7" i="40"/>
  <c r="AT7" i="40" s="1"/>
  <c r="T7" i="40"/>
  <c r="Q7" i="40"/>
  <c r="P7" i="40"/>
  <c r="O7" i="40"/>
  <c r="AI216" i="39"/>
  <c r="Z216" i="39"/>
  <c r="Y216" i="39"/>
  <c r="AS216" i="39" s="1"/>
  <c r="U216" i="39"/>
  <c r="D216" i="39"/>
  <c r="Z215" i="39"/>
  <c r="Y215" i="39"/>
  <c r="AS215" i="39" s="1"/>
  <c r="U215" i="39"/>
  <c r="D215" i="39"/>
  <c r="Z214" i="39"/>
  <c r="Y214" i="39"/>
  <c r="AS214" i="39" s="1"/>
  <c r="U214" i="39"/>
  <c r="D214" i="39"/>
  <c r="Z213" i="39"/>
  <c r="Y213" i="39"/>
  <c r="AS213" i="39" s="1"/>
  <c r="U213" i="39"/>
  <c r="D213" i="39"/>
  <c r="Z212" i="39"/>
  <c r="Y212" i="39"/>
  <c r="AS212" i="39" s="1"/>
  <c r="U212" i="39"/>
  <c r="D212" i="39"/>
  <c r="Z211" i="39"/>
  <c r="Y211" i="39"/>
  <c r="AS211" i="39" s="1"/>
  <c r="U211" i="39"/>
  <c r="D211" i="39"/>
  <c r="Z210" i="39"/>
  <c r="Y210" i="39"/>
  <c r="U210" i="39"/>
  <c r="D210" i="39"/>
  <c r="Z209" i="39"/>
  <c r="Y209" i="39"/>
  <c r="AS209" i="39" s="1"/>
  <c r="U209" i="39"/>
  <c r="D209" i="39"/>
  <c r="Z208" i="39"/>
  <c r="Y208" i="39"/>
  <c r="AS208" i="39" s="1"/>
  <c r="U208" i="39"/>
  <c r="D208" i="39"/>
  <c r="Z207" i="39"/>
  <c r="Y207" i="39"/>
  <c r="U207" i="39"/>
  <c r="D207" i="39"/>
  <c r="Z206" i="39"/>
  <c r="Y206" i="39"/>
  <c r="AS206" i="39" s="1"/>
  <c r="U206" i="39"/>
  <c r="D206" i="39"/>
  <c r="AS205" i="39"/>
  <c r="Z205" i="39"/>
  <c r="Y205" i="39"/>
  <c r="AI205" i="39" s="1"/>
  <c r="U205" i="39"/>
  <c r="D205" i="39"/>
  <c r="Z204" i="39"/>
  <c r="Y204" i="39"/>
  <c r="AS204" i="39" s="1"/>
  <c r="U204" i="39"/>
  <c r="D204" i="39"/>
  <c r="Z203" i="39"/>
  <c r="Y203" i="39"/>
  <c r="AS203" i="39" s="1"/>
  <c r="U203" i="39"/>
  <c r="D203" i="39"/>
  <c r="Z202" i="39"/>
  <c r="Y202" i="39"/>
  <c r="AS202" i="39" s="1"/>
  <c r="U202" i="39"/>
  <c r="D202" i="39"/>
  <c r="AS201" i="39"/>
  <c r="AI201" i="39"/>
  <c r="Z201" i="39"/>
  <c r="Y201" i="39"/>
  <c r="U201" i="39"/>
  <c r="D201" i="39"/>
  <c r="Z200" i="39"/>
  <c r="Y200" i="39"/>
  <c r="AS200" i="39" s="1"/>
  <c r="U200" i="39"/>
  <c r="D200" i="39"/>
  <c r="AI199" i="39"/>
  <c r="Z199" i="39"/>
  <c r="Y199" i="39"/>
  <c r="AS199" i="39" s="1"/>
  <c r="U199" i="39"/>
  <c r="D199" i="39"/>
  <c r="Z198" i="39"/>
  <c r="Y198" i="39"/>
  <c r="AS198" i="39" s="1"/>
  <c r="U198" i="39"/>
  <c r="D198" i="39"/>
  <c r="Z197" i="39"/>
  <c r="Y197" i="39"/>
  <c r="AS197" i="39" s="1"/>
  <c r="U197" i="39"/>
  <c r="D197" i="39"/>
  <c r="Z196" i="39"/>
  <c r="Y196" i="39"/>
  <c r="AS196" i="39" s="1"/>
  <c r="U196" i="39"/>
  <c r="D196" i="39"/>
  <c r="Z195" i="39"/>
  <c r="Y195" i="39"/>
  <c r="AS195" i="39" s="1"/>
  <c r="U195" i="39"/>
  <c r="D195" i="39"/>
  <c r="Z194" i="39"/>
  <c r="Y194" i="39"/>
  <c r="AS194" i="39" s="1"/>
  <c r="U194" i="39"/>
  <c r="D194" i="39"/>
  <c r="Z193" i="39"/>
  <c r="Y193" i="39"/>
  <c r="AS193" i="39" s="1"/>
  <c r="U193" i="39"/>
  <c r="D193" i="39"/>
  <c r="Z192" i="39"/>
  <c r="Y192" i="39"/>
  <c r="AS192" i="39" s="1"/>
  <c r="U192" i="39"/>
  <c r="D192" i="39"/>
  <c r="AS191" i="39"/>
  <c r="AI191" i="39"/>
  <c r="Z191" i="39"/>
  <c r="Y191" i="39"/>
  <c r="U191" i="39"/>
  <c r="D191" i="39"/>
  <c r="Z190" i="39"/>
  <c r="Y190" i="39"/>
  <c r="AS190" i="39" s="1"/>
  <c r="U190" i="39"/>
  <c r="D190" i="39"/>
  <c r="Z189" i="39"/>
  <c r="Y189" i="39"/>
  <c r="U189" i="39"/>
  <c r="D189" i="39"/>
  <c r="Z188" i="39"/>
  <c r="Y188" i="39"/>
  <c r="AS188" i="39" s="1"/>
  <c r="U188" i="39"/>
  <c r="D188" i="39"/>
  <c r="AS187" i="39"/>
  <c r="AI187" i="39"/>
  <c r="Z187" i="39"/>
  <c r="Y187" i="39"/>
  <c r="U187" i="39"/>
  <c r="D187" i="39"/>
  <c r="AS186" i="39"/>
  <c r="Z186" i="39"/>
  <c r="Y186" i="39"/>
  <c r="AI186" i="39" s="1"/>
  <c r="U186" i="39"/>
  <c r="D186" i="39"/>
  <c r="Z185" i="39"/>
  <c r="Y185" i="39"/>
  <c r="AS185" i="39" s="1"/>
  <c r="U185" i="39"/>
  <c r="D185" i="39"/>
  <c r="Z184" i="39"/>
  <c r="Y184" i="39"/>
  <c r="AS184" i="39" s="1"/>
  <c r="U184" i="39"/>
  <c r="D184" i="39"/>
  <c r="Z183" i="39"/>
  <c r="Y183" i="39"/>
  <c r="AS183" i="39" s="1"/>
  <c r="U183" i="39"/>
  <c r="D183" i="39"/>
  <c r="Z182" i="39"/>
  <c r="Y182" i="39"/>
  <c r="U182" i="39"/>
  <c r="D182" i="39"/>
  <c r="Z181" i="39"/>
  <c r="Y181" i="39"/>
  <c r="AS181" i="39" s="1"/>
  <c r="U181" i="39"/>
  <c r="D181" i="39"/>
  <c r="Z180" i="39"/>
  <c r="Y180" i="39"/>
  <c r="AS180" i="39" s="1"/>
  <c r="U180" i="39"/>
  <c r="D180" i="39"/>
  <c r="Z179" i="39"/>
  <c r="Y179" i="39"/>
  <c r="AS179" i="39" s="1"/>
  <c r="U179" i="39"/>
  <c r="D179" i="39"/>
  <c r="AS178" i="39"/>
  <c r="AI178" i="39"/>
  <c r="Z178" i="39"/>
  <c r="Y178" i="39"/>
  <c r="U178" i="39"/>
  <c r="D178" i="39"/>
  <c r="Z177" i="39"/>
  <c r="Y177" i="39"/>
  <c r="AS177" i="39" s="1"/>
  <c r="U177" i="39"/>
  <c r="D177" i="39"/>
  <c r="AS176" i="39"/>
  <c r="AI176" i="39"/>
  <c r="Z176" i="39"/>
  <c r="Y176" i="39"/>
  <c r="U176" i="39"/>
  <c r="D176" i="39"/>
  <c r="Z175" i="39"/>
  <c r="Y175" i="39"/>
  <c r="AS175" i="39" s="1"/>
  <c r="U175" i="39"/>
  <c r="D175" i="39"/>
  <c r="Z174" i="39"/>
  <c r="Y174" i="39"/>
  <c r="U174" i="39"/>
  <c r="D174" i="39"/>
  <c r="Z173" i="39"/>
  <c r="Y173" i="39"/>
  <c r="AS173" i="39" s="1"/>
  <c r="U173" i="39"/>
  <c r="D173" i="39"/>
  <c r="Z172" i="39"/>
  <c r="Y172" i="39"/>
  <c r="AS172" i="39" s="1"/>
  <c r="U172" i="39"/>
  <c r="D172" i="39"/>
  <c r="Z171" i="39"/>
  <c r="Y171" i="39"/>
  <c r="AS171" i="39" s="1"/>
  <c r="U171" i="39"/>
  <c r="P171" i="39"/>
  <c r="G171" i="39"/>
  <c r="D171" i="39"/>
  <c r="AS170" i="39"/>
  <c r="AI170" i="39"/>
  <c r="Z170" i="39"/>
  <c r="Y170" i="39"/>
  <c r="U170" i="39"/>
  <c r="D170" i="39"/>
  <c r="AX169" i="39"/>
  <c r="AW169" i="39"/>
  <c r="AV169" i="39"/>
  <c r="AU169" i="39"/>
  <c r="AT169" i="39"/>
  <c r="AS169" i="39"/>
  <c r="C169" i="39"/>
  <c r="S159" i="39"/>
  <c r="Q159" i="39"/>
  <c r="S158" i="39"/>
  <c r="Q158" i="39"/>
  <c r="S157" i="39"/>
  <c r="Q157" i="39"/>
  <c r="S156" i="39"/>
  <c r="Q156" i="39"/>
  <c r="S155" i="39"/>
  <c r="Q155" i="39"/>
  <c r="S154" i="39"/>
  <c r="Q154" i="39"/>
  <c r="S153" i="39"/>
  <c r="Q153" i="39"/>
  <c r="S152" i="39"/>
  <c r="Q152" i="39"/>
  <c r="S151" i="39"/>
  <c r="Q151" i="39"/>
  <c r="S150" i="39"/>
  <c r="Q150" i="39"/>
  <c r="S149" i="39"/>
  <c r="Q149" i="39"/>
  <c r="S148" i="39"/>
  <c r="Q148" i="39"/>
  <c r="S147" i="39"/>
  <c r="Q147" i="39"/>
  <c r="S146" i="39"/>
  <c r="Q146" i="39"/>
  <c r="S145" i="39"/>
  <c r="Q145" i="39"/>
  <c r="S144" i="39"/>
  <c r="Q144" i="39"/>
  <c r="S143" i="39"/>
  <c r="Q143" i="39"/>
  <c r="S142" i="39"/>
  <c r="Q142" i="39"/>
  <c r="S141" i="39"/>
  <c r="Q141" i="39"/>
  <c r="S140" i="39"/>
  <c r="Q140" i="39"/>
  <c r="S139" i="39"/>
  <c r="Q139" i="39"/>
  <c r="S138" i="39"/>
  <c r="Q138" i="39"/>
  <c r="S137" i="39"/>
  <c r="Q137" i="39"/>
  <c r="S136" i="39"/>
  <c r="Q136" i="39"/>
  <c r="S135" i="39"/>
  <c r="Q135" i="39"/>
  <c r="S134" i="39"/>
  <c r="Q134" i="39"/>
  <c r="S133" i="39"/>
  <c r="Q133" i="39"/>
  <c r="S132" i="39"/>
  <c r="Q132" i="39"/>
  <c r="S131" i="39"/>
  <c r="Q131" i="39"/>
  <c r="S130" i="39"/>
  <c r="Q130" i="39"/>
  <c r="S129" i="39"/>
  <c r="Q129" i="39"/>
  <c r="S128" i="39"/>
  <c r="Q128" i="39"/>
  <c r="S127" i="39"/>
  <c r="Q127" i="39"/>
  <c r="S126" i="39"/>
  <c r="Q126" i="39"/>
  <c r="S125" i="39"/>
  <c r="Q125" i="39"/>
  <c r="S124" i="39"/>
  <c r="Q124" i="39"/>
  <c r="S123" i="39"/>
  <c r="Q123" i="39"/>
  <c r="S122" i="39"/>
  <c r="Q122" i="39"/>
  <c r="S121" i="39"/>
  <c r="Q121" i="39"/>
  <c r="S120" i="39"/>
  <c r="Q120" i="39"/>
  <c r="S119" i="39"/>
  <c r="Q119" i="39"/>
  <c r="S118" i="39"/>
  <c r="Q118" i="39"/>
  <c r="S117" i="39"/>
  <c r="Q117" i="39"/>
  <c r="S116" i="39"/>
  <c r="Q116" i="39"/>
  <c r="S115" i="39"/>
  <c r="Q115" i="39"/>
  <c r="S114" i="39"/>
  <c r="Q114" i="39"/>
  <c r="S113" i="39"/>
  <c r="Q113" i="39"/>
  <c r="R112" i="39"/>
  <c r="M106" i="39"/>
  <c r="F106" i="39"/>
  <c r="U106" i="39" s="1"/>
  <c r="C106" i="39"/>
  <c r="AF216" i="39" s="1"/>
  <c r="AX216" i="39" s="1"/>
  <c r="M105" i="39"/>
  <c r="F105" i="39"/>
  <c r="U105" i="39" s="1"/>
  <c r="C105" i="39"/>
  <c r="AF215" i="39" s="1"/>
  <c r="AX215" i="39" s="1"/>
  <c r="M104" i="39"/>
  <c r="C104" i="39"/>
  <c r="AF214" i="39" s="1"/>
  <c r="AX214" i="39" s="1"/>
  <c r="M103" i="39"/>
  <c r="C103" i="39"/>
  <c r="AF213" i="39" s="1"/>
  <c r="AX213" i="39" s="1"/>
  <c r="M102" i="39"/>
  <c r="C102" i="39"/>
  <c r="AF212" i="39" s="1"/>
  <c r="AX212" i="39" s="1"/>
  <c r="M101" i="39"/>
  <c r="C101" i="39"/>
  <c r="AF211" i="39" s="1"/>
  <c r="AX211" i="39" s="1"/>
  <c r="M100" i="39"/>
  <c r="C100" i="39"/>
  <c r="AF210" i="39" s="1"/>
  <c r="AX210" i="39" s="1"/>
  <c r="M99" i="39"/>
  <c r="C99" i="39"/>
  <c r="AF209" i="39" s="1"/>
  <c r="AX209" i="39" s="1"/>
  <c r="M98" i="39"/>
  <c r="C98" i="39"/>
  <c r="AF208" i="39" s="1"/>
  <c r="AX208" i="39" s="1"/>
  <c r="M97" i="39"/>
  <c r="C97" i="39"/>
  <c r="AF207" i="39" s="1"/>
  <c r="AX207" i="39" s="1"/>
  <c r="M96" i="39"/>
  <c r="C96" i="39"/>
  <c r="AF206" i="39" s="1"/>
  <c r="AX206" i="39" s="1"/>
  <c r="M95" i="39"/>
  <c r="C95" i="39"/>
  <c r="AF205" i="39" s="1"/>
  <c r="AX205" i="39" s="1"/>
  <c r="M94" i="39"/>
  <c r="C94" i="39"/>
  <c r="AF204" i="39" s="1"/>
  <c r="AX204" i="39" s="1"/>
  <c r="M93" i="39"/>
  <c r="C93" i="39"/>
  <c r="AF203" i="39" s="1"/>
  <c r="AX203" i="39" s="1"/>
  <c r="M92" i="39"/>
  <c r="C92" i="39"/>
  <c r="AF202" i="39" s="1"/>
  <c r="AX202" i="39" s="1"/>
  <c r="M91" i="39"/>
  <c r="C91" i="39"/>
  <c r="AF201" i="39" s="1"/>
  <c r="AX201" i="39" s="1"/>
  <c r="M90" i="39"/>
  <c r="C90" i="39"/>
  <c r="AF200" i="39" s="1"/>
  <c r="AX200" i="39" s="1"/>
  <c r="M89" i="39"/>
  <c r="C89" i="39"/>
  <c r="AF199" i="39" s="1"/>
  <c r="AX199" i="39" s="1"/>
  <c r="M88" i="39"/>
  <c r="C88" i="39"/>
  <c r="AF198" i="39" s="1"/>
  <c r="AX198" i="39" s="1"/>
  <c r="M87" i="39"/>
  <c r="C87" i="39"/>
  <c r="AF197" i="39" s="1"/>
  <c r="AX197" i="39" s="1"/>
  <c r="M86" i="39"/>
  <c r="C86" i="39"/>
  <c r="AF196" i="39" s="1"/>
  <c r="AX196" i="39" s="1"/>
  <c r="M85" i="39"/>
  <c r="C85" i="39"/>
  <c r="AF195" i="39" s="1"/>
  <c r="AX195" i="39" s="1"/>
  <c r="M84" i="39"/>
  <c r="C84" i="39"/>
  <c r="AF194" i="39" s="1"/>
  <c r="AX194" i="39" s="1"/>
  <c r="M83" i="39"/>
  <c r="C83" i="39"/>
  <c r="AF193" i="39" s="1"/>
  <c r="AX193" i="39" s="1"/>
  <c r="M82" i="39"/>
  <c r="C82" i="39"/>
  <c r="AF192" i="39" s="1"/>
  <c r="AX192" i="39" s="1"/>
  <c r="M81" i="39"/>
  <c r="C81" i="39"/>
  <c r="AF191" i="39" s="1"/>
  <c r="AX191" i="39" s="1"/>
  <c r="M80" i="39"/>
  <c r="C80" i="39"/>
  <c r="AF190" i="39" s="1"/>
  <c r="AX190" i="39" s="1"/>
  <c r="M79" i="39"/>
  <c r="C79" i="39"/>
  <c r="AF189" i="39" s="1"/>
  <c r="AX189" i="39" s="1"/>
  <c r="M78" i="39"/>
  <c r="C78" i="39"/>
  <c r="AF188" i="39" s="1"/>
  <c r="AX188" i="39" s="1"/>
  <c r="M77" i="39"/>
  <c r="C77" i="39"/>
  <c r="AF187" i="39" s="1"/>
  <c r="AX187" i="39" s="1"/>
  <c r="M76" i="39"/>
  <c r="C76" i="39"/>
  <c r="AF186" i="39" s="1"/>
  <c r="AX186" i="39" s="1"/>
  <c r="M75" i="39"/>
  <c r="C75" i="39"/>
  <c r="AF185" i="39" s="1"/>
  <c r="AX185" i="39" s="1"/>
  <c r="M74" i="39"/>
  <c r="C74" i="39"/>
  <c r="AF184" i="39" s="1"/>
  <c r="AX184" i="39" s="1"/>
  <c r="M73" i="39"/>
  <c r="C73" i="39"/>
  <c r="AF183" i="39" s="1"/>
  <c r="AX183" i="39" s="1"/>
  <c r="M72" i="39"/>
  <c r="C72" i="39"/>
  <c r="AF182" i="39" s="1"/>
  <c r="AX182" i="39" s="1"/>
  <c r="M71" i="39"/>
  <c r="C71" i="39"/>
  <c r="AF181" i="39" s="1"/>
  <c r="AX181" i="39" s="1"/>
  <c r="M70" i="39"/>
  <c r="C70" i="39"/>
  <c r="AF180" i="39" s="1"/>
  <c r="AX180" i="39" s="1"/>
  <c r="M69" i="39"/>
  <c r="C69" i="39"/>
  <c r="M68" i="39"/>
  <c r="C68" i="39"/>
  <c r="M67" i="39"/>
  <c r="C67" i="39"/>
  <c r="M66" i="39"/>
  <c r="C66" i="39"/>
  <c r="M65" i="39"/>
  <c r="C65" i="39"/>
  <c r="M64" i="39"/>
  <c r="C64" i="39"/>
  <c r="M63" i="39"/>
  <c r="C63" i="39"/>
  <c r="M62" i="39"/>
  <c r="C62" i="39"/>
  <c r="C61" i="39"/>
  <c r="AF171" i="39" s="1"/>
  <c r="AX171" i="39" s="1"/>
  <c r="M60" i="39"/>
  <c r="C60" i="39"/>
  <c r="AF170" i="39" s="1"/>
  <c r="AX170" i="39" s="1"/>
  <c r="BF53" i="39"/>
  <c r="AZ53" i="39"/>
  <c r="AH106" i="39" s="1"/>
  <c r="AG53" i="39"/>
  <c r="AE53" i="39"/>
  <c r="AD53" i="39"/>
  <c r="AC53" i="39"/>
  <c r="AB53" i="39"/>
  <c r="AB106" i="39" s="1"/>
  <c r="O53" i="39"/>
  <c r="X53" i="39" s="1"/>
  <c r="AW53" i="39" s="1"/>
  <c r="BE52" i="39"/>
  <c r="AZ52" i="39"/>
  <c r="AH105" i="39" s="1"/>
  <c r="AB52" i="39"/>
  <c r="AF52" i="39" s="1"/>
  <c r="X52" i="39"/>
  <c r="AW52" i="39" s="1"/>
  <c r="V52" i="39"/>
  <c r="AU52" i="39" s="1"/>
  <c r="U52" i="39"/>
  <c r="AT52" i="39" s="1"/>
  <c r="T52" i="39"/>
  <c r="R52" i="39"/>
  <c r="Q52" i="39"/>
  <c r="P52" i="39"/>
  <c r="O52" i="39"/>
  <c r="I105" i="39" s="1"/>
  <c r="Y105" i="39" s="1"/>
  <c r="BF51" i="39"/>
  <c r="AZ51" i="39"/>
  <c r="AH104" i="39" s="1"/>
  <c r="AN51" i="39"/>
  <c r="BG51" i="39" s="1"/>
  <c r="AG51" i="39"/>
  <c r="AE51" i="39"/>
  <c r="AD51" i="39"/>
  <c r="AC51" i="39"/>
  <c r="AB51" i="39"/>
  <c r="AB104" i="39" s="1"/>
  <c r="V51" i="39"/>
  <c r="AU51" i="39" s="1"/>
  <c r="P51" i="39"/>
  <c r="AO51" i="39" s="1"/>
  <c r="O51" i="39"/>
  <c r="X51" i="39" s="1"/>
  <c r="AW51" i="39" s="1"/>
  <c r="BE50" i="39"/>
  <c r="AZ50" i="39"/>
  <c r="AH103" i="39" s="1"/>
  <c r="AB50" i="39"/>
  <c r="AF50" i="39" s="1"/>
  <c r="X50" i="39"/>
  <c r="AW50" i="39" s="1"/>
  <c r="V50" i="39"/>
  <c r="AU50" i="39" s="1"/>
  <c r="U50" i="39"/>
  <c r="AT50" i="39" s="1"/>
  <c r="T50" i="39"/>
  <c r="R50" i="39"/>
  <c r="Q50" i="39"/>
  <c r="P50" i="39"/>
  <c r="O50" i="39"/>
  <c r="I103" i="39" s="1"/>
  <c r="Y103" i="39" s="1"/>
  <c r="BF49" i="39"/>
  <c r="AZ49" i="39"/>
  <c r="AH102" i="39" s="1"/>
  <c r="AN49" i="39"/>
  <c r="BG49" i="39" s="1"/>
  <c r="AG49" i="39"/>
  <c r="AE49" i="39"/>
  <c r="AD49" i="39"/>
  <c r="AC49" i="39"/>
  <c r="AB49" i="39"/>
  <c r="AB102" i="39" s="1"/>
  <c r="V49" i="39"/>
  <c r="AU49" i="39" s="1"/>
  <c r="P49" i="39"/>
  <c r="AO49" i="39" s="1"/>
  <c r="O49" i="39"/>
  <c r="X49" i="39" s="1"/>
  <c r="AW49" i="39" s="1"/>
  <c r="BE48" i="39"/>
  <c r="AZ48" i="39"/>
  <c r="AH101" i="39" s="1"/>
  <c r="AB48" i="39"/>
  <c r="AF48" i="39" s="1"/>
  <c r="X48" i="39"/>
  <c r="AW48" i="39" s="1"/>
  <c r="V48" i="39"/>
  <c r="AU48" i="39" s="1"/>
  <c r="U48" i="39"/>
  <c r="AT48" i="39" s="1"/>
  <c r="T48" i="39"/>
  <c r="R48" i="39"/>
  <c r="Q48" i="39"/>
  <c r="P48" i="39"/>
  <c r="O48" i="39"/>
  <c r="I101" i="39" s="1"/>
  <c r="Y101" i="39" s="1"/>
  <c r="BF47" i="39"/>
  <c r="AZ47" i="39"/>
  <c r="AH100" i="39" s="1"/>
  <c r="AN47" i="39"/>
  <c r="BG47" i="39" s="1"/>
  <c r="AG47" i="39"/>
  <c r="AE47" i="39"/>
  <c r="AD47" i="39"/>
  <c r="AC47" i="39"/>
  <c r="AB47" i="39"/>
  <c r="AB100" i="39" s="1"/>
  <c r="V47" i="39"/>
  <c r="AU47" i="39" s="1"/>
  <c r="P47" i="39"/>
  <c r="AO47" i="39" s="1"/>
  <c r="O47" i="39"/>
  <c r="X47" i="39" s="1"/>
  <c r="AW47" i="39" s="1"/>
  <c r="BE46" i="39"/>
  <c r="AZ46" i="39"/>
  <c r="AH99" i="39" s="1"/>
  <c r="AB46" i="39"/>
  <c r="AF46" i="39" s="1"/>
  <c r="X46" i="39"/>
  <c r="AW46" i="39" s="1"/>
  <c r="V46" i="39"/>
  <c r="AU46" i="39" s="1"/>
  <c r="U46" i="39"/>
  <c r="AT46" i="39" s="1"/>
  <c r="T46" i="39"/>
  <c r="R46" i="39"/>
  <c r="Q46" i="39"/>
  <c r="P46" i="39"/>
  <c r="O46" i="39"/>
  <c r="I99" i="39" s="1"/>
  <c r="Y99" i="39" s="1"/>
  <c r="AZ45" i="39"/>
  <c r="AH98" i="39" s="1"/>
  <c r="AB45" i="39"/>
  <c r="AB98" i="39" s="1"/>
  <c r="X45" i="39"/>
  <c r="AW45" i="39" s="1"/>
  <c r="U45" i="39"/>
  <c r="AT45" i="39" s="1"/>
  <c r="T45" i="39"/>
  <c r="Q45" i="39"/>
  <c r="P45" i="39"/>
  <c r="O45" i="39"/>
  <c r="I98" i="39" s="1"/>
  <c r="Y98" i="39" s="1"/>
  <c r="BF44" i="39"/>
  <c r="AZ44" i="39"/>
  <c r="AH97" i="39" s="1"/>
  <c r="AG44" i="39"/>
  <c r="AD44" i="39"/>
  <c r="AC44" i="39"/>
  <c r="AB44" i="39"/>
  <c r="AB97" i="39" s="1"/>
  <c r="O44" i="39"/>
  <c r="I97" i="39" s="1"/>
  <c r="Y97" i="39" s="1"/>
  <c r="AZ43" i="39"/>
  <c r="AH96" i="39" s="1"/>
  <c r="AB43" i="39"/>
  <c r="AB96" i="39" s="1"/>
  <c r="X43" i="39"/>
  <c r="AW43" i="39" s="1"/>
  <c r="U43" i="39"/>
  <c r="AT43" i="39" s="1"/>
  <c r="T43" i="39"/>
  <c r="Q43" i="39"/>
  <c r="P43" i="39"/>
  <c r="O43" i="39"/>
  <c r="I96" i="39" s="1"/>
  <c r="Y96" i="39" s="1"/>
  <c r="BF42" i="39"/>
  <c r="AZ42" i="39"/>
  <c r="AH95" i="39" s="1"/>
  <c r="AG42" i="39"/>
  <c r="AD42" i="39"/>
  <c r="AC42" i="39"/>
  <c r="AB42" i="39"/>
  <c r="AB95" i="39" s="1"/>
  <c r="O42" i="39"/>
  <c r="I95" i="39" s="1"/>
  <c r="Y95" i="39" s="1"/>
  <c r="AZ41" i="39"/>
  <c r="AH94" i="39" s="1"/>
  <c r="AB41" i="39"/>
  <c r="AB94" i="39" s="1"/>
  <c r="X41" i="39"/>
  <c r="AW41" i="39" s="1"/>
  <c r="U41" i="39"/>
  <c r="AT41" i="39" s="1"/>
  <c r="T41" i="39"/>
  <c r="Q41" i="39"/>
  <c r="P41" i="39"/>
  <c r="O41" i="39"/>
  <c r="I94" i="39" s="1"/>
  <c r="Y94" i="39" s="1"/>
  <c r="BF40" i="39"/>
  <c r="AZ40" i="39"/>
  <c r="AH93" i="39" s="1"/>
  <c r="AG40" i="39"/>
  <c r="AD40" i="39"/>
  <c r="AC40" i="39"/>
  <c r="AB40" i="39"/>
  <c r="AB93" i="39" s="1"/>
  <c r="O40" i="39"/>
  <c r="I93" i="39" s="1"/>
  <c r="Y93" i="39" s="1"/>
  <c r="AZ39" i="39"/>
  <c r="AH92" i="39" s="1"/>
  <c r="AB39" i="39"/>
  <c r="AB92" i="39" s="1"/>
  <c r="X39" i="39"/>
  <c r="AW39" i="39" s="1"/>
  <c r="U39" i="39"/>
  <c r="AT39" i="39" s="1"/>
  <c r="T39" i="39"/>
  <c r="Q39" i="39"/>
  <c r="P39" i="39"/>
  <c r="O39" i="39"/>
  <c r="I92" i="39" s="1"/>
  <c r="Y92" i="39" s="1"/>
  <c r="BF38" i="39"/>
  <c r="AZ38" i="39"/>
  <c r="AH91" i="39" s="1"/>
  <c r="AG38" i="39"/>
  <c r="AD38" i="39"/>
  <c r="AC38" i="39"/>
  <c r="AB38" i="39"/>
  <c r="AB91" i="39" s="1"/>
  <c r="W38" i="39"/>
  <c r="AV38" i="39" s="1"/>
  <c r="S38" i="39"/>
  <c r="O38" i="39"/>
  <c r="AN38" i="39" s="1"/>
  <c r="BG38" i="39" s="1"/>
  <c r="AZ37" i="39"/>
  <c r="AH90" i="39" s="1"/>
  <c r="AT37" i="39"/>
  <c r="AF37" i="39"/>
  <c r="AB37" i="39"/>
  <c r="X37" i="39"/>
  <c r="AW37" i="39" s="1"/>
  <c r="U37" i="39"/>
  <c r="T37" i="39"/>
  <c r="Q37" i="39"/>
  <c r="P37" i="39"/>
  <c r="O37" i="39"/>
  <c r="I90" i="39" s="1"/>
  <c r="Y90" i="39" s="1"/>
  <c r="BF36" i="39"/>
  <c r="AZ36" i="39"/>
  <c r="AH89" i="39" s="1"/>
  <c r="AG36" i="39"/>
  <c r="AD36" i="39"/>
  <c r="AC36" i="39"/>
  <c r="AB36" i="39"/>
  <c r="AB89" i="39" s="1"/>
  <c r="S36" i="39"/>
  <c r="O36" i="39"/>
  <c r="AN36" i="39" s="1"/>
  <c r="BG36" i="39" s="1"/>
  <c r="AZ35" i="39"/>
  <c r="AH88" i="39" s="1"/>
  <c r="AF35" i="39"/>
  <c r="AB35" i="39"/>
  <c r="X35" i="39"/>
  <c r="AW35" i="39" s="1"/>
  <c r="U35" i="39"/>
  <c r="AT35" i="39" s="1"/>
  <c r="T35" i="39"/>
  <c r="Q35" i="39"/>
  <c r="P35" i="39"/>
  <c r="O35" i="39"/>
  <c r="I88" i="39" s="1"/>
  <c r="Y88" i="39" s="1"/>
  <c r="BF34" i="39"/>
  <c r="AZ34" i="39"/>
  <c r="AH87" i="39" s="1"/>
  <c r="AG34" i="39"/>
  <c r="AD34" i="39"/>
  <c r="AC34" i="39"/>
  <c r="AB34" i="39"/>
  <c r="AB87" i="39" s="1"/>
  <c r="O34" i="39"/>
  <c r="AN34" i="39" s="1"/>
  <c r="BG34" i="39" s="1"/>
  <c r="AZ33" i="39"/>
  <c r="AH86" i="39" s="1"/>
  <c r="AT33" i="39"/>
  <c r="AB33" i="39"/>
  <c r="X33" i="39"/>
  <c r="AW33" i="39" s="1"/>
  <c r="U33" i="39"/>
  <c r="T33" i="39"/>
  <c r="Q33" i="39"/>
  <c r="P33" i="39"/>
  <c r="O33" i="39"/>
  <c r="I86" i="39" s="1"/>
  <c r="Y86" i="39" s="1"/>
  <c r="BF32" i="39"/>
  <c r="AZ32" i="39"/>
  <c r="AH85" i="39" s="1"/>
  <c r="AG32" i="39"/>
  <c r="AD32" i="39"/>
  <c r="AC32" i="39"/>
  <c r="AB32" i="39"/>
  <c r="AB85" i="39" s="1"/>
  <c r="W32" i="39"/>
  <c r="AV32" i="39" s="1"/>
  <c r="O32" i="39"/>
  <c r="S32" i="39" s="1"/>
  <c r="AZ31" i="39"/>
  <c r="AH84" i="39" s="1"/>
  <c r="AF31" i="39"/>
  <c r="AE31" i="39"/>
  <c r="AB31" i="39"/>
  <c r="X31" i="39"/>
  <c r="AW31" i="39" s="1"/>
  <c r="U31" i="39"/>
  <c r="AT31" i="39" s="1"/>
  <c r="T31" i="39"/>
  <c r="Q31" i="39"/>
  <c r="P31" i="39"/>
  <c r="O31" i="39"/>
  <c r="I84" i="39" s="1"/>
  <c r="Y84" i="39" s="1"/>
  <c r="BF30" i="39"/>
  <c r="AZ30" i="39"/>
  <c r="AH83" i="39" s="1"/>
  <c r="AG30" i="39"/>
  <c r="AD30" i="39"/>
  <c r="AC30" i="39"/>
  <c r="AB30" i="39"/>
  <c r="AB83" i="39" s="1"/>
  <c r="O30" i="39"/>
  <c r="BE30" i="39" s="1"/>
  <c r="AZ29" i="39"/>
  <c r="AH82" i="39" s="1"/>
  <c r="AF29" i="39"/>
  <c r="AE29" i="39"/>
  <c r="AB29" i="39"/>
  <c r="X29" i="39"/>
  <c r="AW29" i="39" s="1"/>
  <c r="U29" i="39"/>
  <c r="AT29" i="39" s="1"/>
  <c r="T29" i="39"/>
  <c r="Q29" i="39"/>
  <c r="P29" i="39"/>
  <c r="O29" i="39"/>
  <c r="I82" i="39" s="1"/>
  <c r="Y82" i="39" s="1"/>
  <c r="BF28" i="39"/>
  <c r="AZ28" i="39"/>
  <c r="AH81" i="39" s="1"/>
  <c r="AN28" i="39"/>
  <c r="BG28" i="39" s="1"/>
  <c r="AG28" i="39"/>
  <c r="AD28" i="39"/>
  <c r="AC28" i="39"/>
  <c r="AB28" i="39"/>
  <c r="AB81" i="39" s="1"/>
  <c r="S28" i="39"/>
  <c r="R28" i="39"/>
  <c r="O28" i="39"/>
  <c r="BE28" i="39" s="1"/>
  <c r="AZ27" i="39"/>
  <c r="AH80" i="39" s="1"/>
  <c r="AB27" i="39"/>
  <c r="AF27" i="39" s="1"/>
  <c r="X27" i="39"/>
  <c r="AW27" i="39" s="1"/>
  <c r="U27" i="39"/>
  <c r="AT27" i="39" s="1"/>
  <c r="T27" i="39"/>
  <c r="Q27" i="39"/>
  <c r="P27" i="39"/>
  <c r="O27" i="39"/>
  <c r="I80" i="39" s="1"/>
  <c r="Y80" i="39" s="1"/>
  <c r="BF26" i="39"/>
  <c r="BE26" i="39"/>
  <c r="AZ26" i="39"/>
  <c r="AH79" i="39" s="1"/>
  <c r="AN26" i="39"/>
  <c r="BG26" i="39" s="1"/>
  <c r="AG26" i="39"/>
  <c r="AD26" i="39"/>
  <c r="AC26" i="39"/>
  <c r="AB26" i="39"/>
  <c r="AB79" i="39" s="1"/>
  <c r="V26" i="39"/>
  <c r="AU26" i="39" s="1"/>
  <c r="S26" i="39"/>
  <c r="R26" i="39"/>
  <c r="O26" i="39"/>
  <c r="AZ25" i="39"/>
  <c r="AH78" i="39" s="1"/>
  <c r="AE25" i="39"/>
  <c r="AD25" i="39"/>
  <c r="AB25" i="39"/>
  <c r="AF25" i="39" s="1"/>
  <c r="W25" i="39"/>
  <c r="AV25" i="39" s="1"/>
  <c r="U25" i="39"/>
  <c r="AT25" i="39" s="1"/>
  <c r="Q25" i="39"/>
  <c r="AP25" i="39" s="1"/>
  <c r="P25" i="39"/>
  <c r="O25" i="39"/>
  <c r="X25" i="39" s="1"/>
  <c r="AW25" i="39" s="1"/>
  <c r="AZ24" i="39"/>
  <c r="AH77" i="39" s="1"/>
  <c r="AB24" i="39"/>
  <c r="AF24" i="39" s="1"/>
  <c r="S24" i="39"/>
  <c r="O24" i="39"/>
  <c r="W24" i="39" s="1"/>
  <c r="AV24" i="39" s="1"/>
  <c r="BF23" i="39"/>
  <c r="AZ23" i="39"/>
  <c r="AH76" i="39" s="1"/>
  <c r="AF23" i="39"/>
  <c r="AE23" i="39"/>
  <c r="AD23" i="39"/>
  <c r="AB23" i="39"/>
  <c r="X23" i="39"/>
  <c r="AW23" i="39" s="1"/>
  <c r="W23" i="39"/>
  <c r="AV23" i="39" s="1"/>
  <c r="U23" i="39"/>
  <c r="AT23" i="39" s="1"/>
  <c r="S23" i="39"/>
  <c r="AR23" i="39" s="1"/>
  <c r="Q23" i="39"/>
  <c r="AP23" i="39" s="1"/>
  <c r="P23" i="39"/>
  <c r="O23" i="39"/>
  <c r="BF22" i="39"/>
  <c r="AZ22" i="39"/>
  <c r="AH75" i="39" s="1"/>
  <c r="AD22" i="39"/>
  <c r="AC22" i="39"/>
  <c r="AB22" i="39"/>
  <c r="AF22" i="39" s="1"/>
  <c r="O22" i="39"/>
  <c r="S22" i="39" s="1"/>
  <c r="AR22" i="39" s="1"/>
  <c r="AZ21" i="39"/>
  <c r="AH74" i="39" s="1"/>
  <c r="AB21" i="39"/>
  <c r="AF21" i="39" s="1"/>
  <c r="O21" i="39"/>
  <c r="X21" i="39" s="1"/>
  <c r="AW21" i="39" s="1"/>
  <c r="BF20" i="39"/>
  <c r="AZ20" i="39"/>
  <c r="AH73" i="39" s="1"/>
  <c r="AF20" i="39"/>
  <c r="AD20" i="39"/>
  <c r="AC20" i="39"/>
  <c r="AB20" i="39"/>
  <c r="W20" i="39"/>
  <c r="AV20" i="39" s="1"/>
  <c r="V20" i="39"/>
  <c r="AU20" i="39" s="1"/>
  <c r="R20" i="39"/>
  <c r="Q20" i="39"/>
  <c r="AP20" i="39" s="1"/>
  <c r="O20" i="39"/>
  <c r="S20" i="39" s="1"/>
  <c r="AR20" i="39" s="1"/>
  <c r="AZ19" i="39"/>
  <c r="AH72" i="39" s="1"/>
  <c r="AB19" i="39"/>
  <c r="AF19" i="39" s="1"/>
  <c r="O19" i="39"/>
  <c r="X19" i="39" s="1"/>
  <c r="AW19" i="39" s="1"/>
  <c r="AZ18" i="39"/>
  <c r="AH71" i="39" s="1"/>
  <c r="AB18" i="39"/>
  <c r="AF18" i="39" s="1"/>
  <c r="W18" i="39"/>
  <c r="AV18" i="39" s="1"/>
  <c r="V18" i="39"/>
  <c r="AU18" i="39" s="1"/>
  <c r="S18" i="39"/>
  <c r="AR18" i="39" s="1"/>
  <c r="R18" i="39"/>
  <c r="Q18" i="39"/>
  <c r="O18" i="39"/>
  <c r="BF17" i="39"/>
  <c r="AZ17" i="39"/>
  <c r="AH70" i="39" s="1"/>
  <c r="AE17" i="39"/>
  <c r="AD17" i="39"/>
  <c r="AB17" i="39"/>
  <c r="AF17" i="39" s="1"/>
  <c r="W17" i="39"/>
  <c r="AV17" i="39" s="1"/>
  <c r="U17" i="39"/>
  <c r="AT17" i="39" s="1"/>
  <c r="Q17" i="39"/>
  <c r="AP17" i="39" s="1"/>
  <c r="P17" i="39"/>
  <c r="O17" i="39"/>
  <c r="X17" i="39" s="1"/>
  <c r="AW17" i="39" s="1"/>
  <c r="AZ16" i="39"/>
  <c r="AH69" i="39" s="1"/>
  <c r="AB16" i="39"/>
  <c r="AF16" i="39" s="1"/>
  <c r="S16" i="39"/>
  <c r="AR16" i="39" s="1"/>
  <c r="O16" i="39"/>
  <c r="W16" i="39" s="1"/>
  <c r="AV16" i="39" s="1"/>
  <c r="BF15" i="39"/>
  <c r="AZ15" i="39"/>
  <c r="AH68" i="39" s="1"/>
  <c r="AF15" i="39"/>
  <c r="AE15" i="39"/>
  <c r="AD15" i="39"/>
  <c r="AB15" i="39"/>
  <c r="X15" i="39"/>
  <c r="AW15" i="39" s="1"/>
  <c r="W15" i="39"/>
  <c r="AV15" i="39" s="1"/>
  <c r="U15" i="39"/>
  <c r="AT15" i="39" s="1"/>
  <c r="S15" i="39"/>
  <c r="AR15" i="39" s="1"/>
  <c r="Q15" i="39"/>
  <c r="AP15" i="39" s="1"/>
  <c r="P15" i="39"/>
  <c r="O15" i="39"/>
  <c r="BF14" i="39"/>
  <c r="AZ14" i="39"/>
  <c r="AH67" i="39" s="1"/>
  <c r="AD14" i="39"/>
  <c r="AC14" i="39"/>
  <c r="AB14" i="39"/>
  <c r="AF14" i="39" s="1"/>
  <c r="O14" i="39"/>
  <c r="S14" i="39" s="1"/>
  <c r="AR14" i="39" s="1"/>
  <c r="AZ13" i="39"/>
  <c r="AH66" i="39" s="1"/>
  <c r="AB13" i="39"/>
  <c r="AF13" i="39" s="1"/>
  <c r="O13" i="39"/>
  <c r="X13" i="39" s="1"/>
  <c r="AW13" i="39" s="1"/>
  <c r="BF12" i="39"/>
  <c r="AZ12" i="39"/>
  <c r="AH65" i="39" s="1"/>
  <c r="AG12" i="39"/>
  <c r="AE12" i="39"/>
  <c r="AD12" i="39"/>
  <c r="AC12" i="39"/>
  <c r="AB12" i="39"/>
  <c r="AB65" i="39" s="1"/>
  <c r="O12" i="39"/>
  <c r="X12" i="39" s="1"/>
  <c r="AW12" i="39" s="1"/>
  <c r="BE11" i="39"/>
  <c r="AZ11" i="39"/>
  <c r="AH64" i="39" s="1"/>
  <c r="AB11" i="39"/>
  <c r="AF11" i="39" s="1"/>
  <c r="X11" i="39"/>
  <c r="AW11" i="39" s="1"/>
  <c r="V11" i="39"/>
  <c r="AU11" i="39" s="1"/>
  <c r="U11" i="39"/>
  <c r="AT11" i="39" s="1"/>
  <c r="T11" i="39"/>
  <c r="R11" i="39"/>
  <c r="Q11" i="39"/>
  <c r="P11" i="39"/>
  <c r="O11" i="39"/>
  <c r="I64" i="39" s="1"/>
  <c r="Y64" i="39" s="1"/>
  <c r="BF10" i="39"/>
  <c r="AZ10" i="39"/>
  <c r="AH63" i="39" s="1"/>
  <c r="AN10" i="39"/>
  <c r="BG10" i="39" s="1"/>
  <c r="AG10" i="39"/>
  <c r="AE10" i="39"/>
  <c r="AD10" i="39"/>
  <c r="AC10" i="39"/>
  <c r="AB10" i="39"/>
  <c r="AB63" i="39" s="1"/>
  <c r="V10" i="39"/>
  <c r="AU10" i="39" s="1"/>
  <c r="P10" i="39"/>
  <c r="AO10" i="39" s="1"/>
  <c r="O10" i="39"/>
  <c r="X10" i="39" s="1"/>
  <c r="AW10" i="39" s="1"/>
  <c r="CD9" i="39"/>
  <c r="CD12" i="39" s="1"/>
  <c r="AZ9" i="39"/>
  <c r="AH62" i="39" s="1"/>
  <c r="AC9" i="39"/>
  <c r="AB9" i="39"/>
  <c r="AF9" i="39" s="1"/>
  <c r="O9" i="39"/>
  <c r="S9" i="39" s="1"/>
  <c r="BF8" i="39"/>
  <c r="AZ8" i="39"/>
  <c r="AH61" i="39" s="1"/>
  <c r="AF8" i="39"/>
  <c r="AE8" i="39"/>
  <c r="AD8" i="39"/>
  <c r="AB8" i="39"/>
  <c r="X8" i="39"/>
  <c r="AW8" i="39" s="1"/>
  <c r="W8" i="39"/>
  <c r="AV8" i="39" s="1"/>
  <c r="U8" i="39"/>
  <c r="AT8" i="39" s="1"/>
  <c r="S8" i="39"/>
  <c r="AR8" i="39" s="1"/>
  <c r="Q8" i="39"/>
  <c r="AP8" i="39" s="1"/>
  <c r="P8" i="39"/>
  <c r="O8" i="39"/>
  <c r="BF7" i="39"/>
  <c r="AZ7" i="39"/>
  <c r="AH60" i="39" s="1"/>
  <c r="AG7" i="39"/>
  <c r="AD7" i="39"/>
  <c r="AC7" i="39"/>
  <c r="AB7" i="39"/>
  <c r="AB60" i="39" s="1"/>
  <c r="O7" i="39"/>
  <c r="I60" i="39" s="1"/>
  <c r="Y60" i="39" s="1"/>
  <c r="AS216" i="38"/>
  <c r="AI216" i="38"/>
  <c r="Z216" i="38"/>
  <c r="Y216" i="38"/>
  <c r="U216" i="38"/>
  <c r="D216" i="38"/>
  <c r="Z215" i="38"/>
  <c r="Y215" i="38"/>
  <c r="AS215" i="38" s="1"/>
  <c r="U215" i="38"/>
  <c r="D215" i="38"/>
  <c r="Z214" i="38"/>
  <c r="Y214" i="38"/>
  <c r="AS214" i="38" s="1"/>
  <c r="U214" i="38"/>
  <c r="D214" i="38"/>
  <c r="Z213" i="38"/>
  <c r="Y213" i="38"/>
  <c r="U213" i="38"/>
  <c r="D213" i="38"/>
  <c r="Z212" i="38"/>
  <c r="Y212" i="38"/>
  <c r="U212" i="38"/>
  <c r="D212" i="38"/>
  <c r="Z211" i="38"/>
  <c r="Y211" i="38"/>
  <c r="AS211" i="38" s="1"/>
  <c r="U211" i="38"/>
  <c r="D211" i="38"/>
  <c r="Z210" i="38"/>
  <c r="Y210" i="38"/>
  <c r="AS210" i="38" s="1"/>
  <c r="U210" i="38"/>
  <c r="D210" i="38"/>
  <c r="AS209" i="38"/>
  <c r="AI209" i="38"/>
  <c r="Z209" i="38"/>
  <c r="Y209" i="38"/>
  <c r="U209" i="38"/>
  <c r="D209" i="38"/>
  <c r="AS208" i="38"/>
  <c r="AI208" i="38"/>
  <c r="Z208" i="38"/>
  <c r="Y208" i="38"/>
  <c r="U208" i="38"/>
  <c r="D208" i="38"/>
  <c r="Z207" i="38"/>
  <c r="Y207" i="38"/>
  <c r="U207" i="38"/>
  <c r="D207" i="38"/>
  <c r="Z206" i="38"/>
  <c r="Y206" i="38"/>
  <c r="U206" i="38"/>
  <c r="D206" i="38"/>
  <c r="Z205" i="38"/>
  <c r="Y205" i="38"/>
  <c r="AS205" i="38" s="1"/>
  <c r="U205" i="38"/>
  <c r="D205" i="38"/>
  <c r="Z204" i="38"/>
  <c r="Y204" i="38"/>
  <c r="AS204" i="38" s="1"/>
  <c r="U204" i="38"/>
  <c r="D204" i="38"/>
  <c r="Z203" i="38"/>
  <c r="Y203" i="38"/>
  <c r="AS203" i="38" s="1"/>
  <c r="U203" i="38"/>
  <c r="D203" i="38"/>
  <c r="AS202" i="38"/>
  <c r="AI202" i="38"/>
  <c r="Z202" i="38"/>
  <c r="Y202" i="38"/>
  <c r="U202" i="38"/>
  <c r="D202" i="38"/>
  <c r="AS201" i="38"/>
  <c r="AI201" i="38"/>
  <c r="Z201" i="38"/>
  <c r="Y201" i="38"/>
  <c r="U201" i="38"/>
  <c r="D201" i="38"/>
  <c r="AS200" i="38"/>
  <c r="AI200" i="38"/>
  <c r="Z200" i="38"/>
  <c r="Y200" i="38"/>
  <c r="U200" i="38"/>
  <c r="D200" i="38"/>
  <c r="AD199" i="38"/>
  <c r="AV199" i="38" s="1"/>
  <c r="Z199" i="38"/>
  <c r="Y199" i="38"/>
  <c r="AS199" i="38" s="1"/>
  <c r="U199" i="38"/>
  <c r="D199" i="38"/>
  <c r="Z198" i="38"/>
  <c r="Y198" i="38"/>
  <c r="AS198" i="38" s="1"/>
  <c r="U198" i="38"/>
  <c r="D198" i="38"/>
  <c r="Z197" i="38"/>
  <c r="Y197" i="38"/>
  <c r="U197" i="38"/>
  <c r="D197" i="38"/>
  <c r="Z196" i="38"/>
  <c r="Y196" i="38"/>
  <c r="U196" i="38"/>
  <c r="D196" i="38"/>
  <c r="Z195" i="38"/>
  <c r="Y195" i="38"/>
  <c r="AS195" i="38" s="1"/>
  <c r="U195" i="38"/>
  <c r="D195" i="38"/>
  <c r="Z194" i="38"/>
  <c r="Y194" i="38"/>
  <c r="AS194" i="38" s="1"/>
  <c r="U194" i="38"/>
  <c r="D194" i="38"/>
  <c r="AS193" i="38"/>
  <c r="AI193" i="38"/>
  <c r="Z193" i="38"/>
  <c r="Y193" i="38"/>
  <c r="U193" i="38"/>
  <c r="D193" i="38"/>
  <c r="AS192" i="38"/>
  <c r="AI192" i="38"/>
  <c r="Z192" i="38"/>
  <c r="Y192" i="38"/>
  <c r="U192" i="38"/>
  <c r="D192" i="38"/>
  <c r="Z191" i="38"/>
  <c r="Y191" i="38"/>
  <c r="AS191" i="38" s="1"/>
  <c r="U191" i="38"/>
  <c r="D191" i="38"/>
  <c r="Z190" i="38"/>
  <c r="Y190" i="38"/>
  <c r="AS190" i="38" s="1"/>
  <c r="U190" i="38"/>
  <c r="D190" i="38"/>
  <c r="Z189" i="38"/>
  <c r="Y189" i="38"/>
  <c r="U189" i="38"/>
  <c r="D189" i="38"/>
  <c r="Z188" i="38"/>
  <c r="Y188" i="38"/>
  <c r="U188" i="38"/>
  <c r="D188" i="38"/>
  <c r="Z187" i="38"/>
  <c r="Y187" i="38"/>
  <c r="AS187" i="38" s="1"/>
  <c r="U187" i="38"/>
  <c r="D187" i="38"/>
  <c r="AS186" i="38"/>
  <c r="AI186" i="38"/>
  <c r="Z186" i="38"/>
  <c r="Y186" i="38"/>
  <c r="U186" i="38"/>
  <c r="D186" i="38"/>
  <c r="AS185" i="38"/>
  <c r="AI185" i="38"/>
  <c r="Z185" i="38"/>
  <c r="Y185" i="38"/>
  <c r="U185" i="38"/>
  <c r="D185" i="38"/>
  <c r="AD184" i="38"/>
  <c r="AV184" i="38" s="1"/>
  <c r="Z184" i="38"/>
  <c r="Y184" i="38"/>
  <c r="AS184" i="38" s="1"/>
  <c r="U184" i="38"/>
  <c r="D184" i="38"/>
  <c r="Z183" i="38"/>
  <c r="Y183" i="38"/>
  <c r="AS183" i="38" s="1"/>
  <c r="U183" i="38"/>
  <c r="D183" i="38"/>
  <c r="Z182" i="38"/>
  <c r="Y182" i="38"/>
  <c r="U182" i="38"/>
  <c r="D182" i="38"/>
  <c r="Z181" i="38"/>
  <c r="Y181" i="38"/>
  <c r="U181" i="38"/>
  <c r="D181" i="38"/>
  <c r="Z180" i="38"/>
  <c r="Y180" i="38"/>
  <c r="AS180" i="38" s="1"/>
  <c r="U180" i="38"/>
  <c r="D180" i="38"/>
  <c r="Z179" i="38"/>
  <c r="Y179" i="38"/>
  <c r="AS179" i="38" s="1"/>
  <c r="U179" i="38"/>
  <c r="D179" i="38"/>
  <c r="AI178" i="38"/>
  <c r="Z178" i="38"/>
  <c r="Y178" i="38"/>
  <c r="AS178" i="38" s="1"/>
  <c r="U178" i="38"/>
  <c r="D178" i="38"/>
  <c r="Z177" i="38"/>
  <c r="Y177" i="38"/>
  <c r="AS177" i="38" s="1"/>
  <c r="U177" i="38"/>
  <c r="D177" i="38"/>
  <c r="AV176" i="38"/>
  <c r="Z176" i="38"/>
  <c r="Y176" i="38"/>
  <c r="AS176" i="38" s="1"/>
  <c r="U176" i="38"/>
  <c r="Q176" i="38"/>
  <c r="D176" i="38"/>
  <c r="Z175" i="38"/>
  <c r="Y175" i="38"/>
  <c r="U175" i="38"/>
  <c r="D175" i="38"/>
  <c r="AS174" i="38"/>
  <c r="AI174" i="38"/>
  <c r="Z174" i="38"/>
  <c r="Y174" i="38"/>
  <c r="U174" i="38"/>
  <c r="D174" i="38"/>
  <c r="Z173" i="38"/>
  <c r="Y173" i="38"/>
  <c r="AS173" i="38" s="1"/>
  <c r="U173" i="38"/>
  <c r="D173" i="38"/>
  <c r="Z172" i="38"/>
  <c r="Y172" i="38"/>
  <c r="AS172" i="38" s="1"/>
  <c r="U172" i="38"/>
  <c r="D172" i="38"/>
  <c r="AS171" i="38"/>
  <c r="AI171" i="38"/>
  <c r="Z171" i="38"/>
  <c r="Y171" i="38"/>
  <c r="U171" i="38"/>
  <c r="D171" i="38"/>
  <c r="AX170" i="38"/>
  <c r="AI170" i="38"/>
  <c r="Z170" i="38"/>
  <c r="Y170" i="38"/>
  <c r="AS170" i="38" s="1"/>
  <c r="U170" i="38"/>
  <c r="D170" i="38"/>
  <c r="AX169" i="38"/>
  <c r="AW169" i="38"/>
  <c r="AV169" i="38"/>
  <c r="AU169" i="38"/>
  <c r="AT169" i="38"/>
  <c r="AS169" i="38"/>
  <c r="C169" i="38"/>
  <c r="S159" i="38"/>
  <c r="Q159" i="38"/>
  <c r="S158" i="38"/>
  <c r="Q158" i="38"/>
  <c r="S157" i="38"/>
  <c r="Q157" i="38"/>
  <c r="S156" i="38"/>
  <c r="Q156" i="38"/>
  <c r="S155" i="38"/>
  <c r="Q155" i="38"/>
  <c r="S154" i="38"/>
  <c r="Q154" i="38"/>
  <c r="S153" i="38"/>
  <c r="Q153" i="38"/>
  <c r="S152" i="38"/>
  <c r="Q152" i="38"/>
  <c r="S151" i="38"/>
  <c r="Q151" i="38"/>
  <c r="S150" i="38"/>
  <c r="Q150" i="38"/>
  <c r="S149" i="38"/>
  <c r="Q149" i="38"/>
  <c r="S148" i="38"/>
  <c r="Q148" i="38"/>
  <c r="S147" i="38"/>
  <c r="Q147" i="38"/>
  <c r="S146" i="38"/>
  <c r="Q146" i="38"/>
  <c r="S145" i="38"/>
  <c r="Q145" i="38"/>
  <c r="S144" i="38"/>
  <c r="Q144" i="38"/>
  <c r="S143" i="38"/>
  <c r="Q143" i="38"/>
  <c r="S142" i="38"/>
  <c r="Q199" i="38" s="1"/>
  <c r="Q142" i="38"/>
  <c r="S141" i="38"/>
  <c r="Q141" i="38"/>
  <c r="S140" i="38"/>
  <c r="Q140" i="38"/>
  <c r="S139" i="38"/>
  <c r="Q139" i="38"/>
  <c r="S138" i="38"/>
  <c r="Q138" i="38"/>
  <c r="S137" i="38"/>
  <c r="Q137" i="38"/>
  <c r="S136" i="38"/>
  <c r="Q136" i="38"/>
  <c r="S135" i="38"/>
  <c r="Q135" i="38"/>
  <c r="S134" i="38"/>
  <c r="Q134" i="38"/>
  <c r="S133" i="38"/>
  <c r="Q133" i="38"/>
  <c r="S132" i="38"/>
  <c r="Q132" i="38"/>
  <c r="S131" i="38"/>
  <c r="Q131" i="38"/>
  <c r="S130" i="38"/>
  <c r="Q130" i="38"/>
  <c r="S129" i="38"/>
  <c r="Q129" i="38"/>
  <c r="S128" i="38"/>
  <c r="Q128" i="38"/>
  <c r="S127" i="38"/>
  <c r="Q184" i="38" s="1"/>
  <c r="Q127" i="38"/>
  <c r="S126" i="38"/>
  <c r="Q126" i="38"/>
  <c r="S125" i="38"/>
  <c r="Q125" i="38"/>
  <c r="S124" i="38"/>
  <c r="Q124" i="38"/>
  <c r="S123" i="38"/>
  <c r="Q123" i="38"/>
  <c r="S122" i="38"/>
  <c r="Q122" i="38"/>
  <c r="S121" i="38"/>
  <c r="Q121" i="38"/>
  <c r="S120" i="38"/>
  <c r="Q120" i="38"/>
  <c r="S119" i="38"/>
  <c r="AD176" i="38" s="1"/>
  <c r="Q119" i="38"/>
  <c r="S118" i="38"/>
  <c r="Q118" i="38"/>
  <c r="S117" i="38"/>
  <c r="Q174" i="38" s="1"/>
  <c r="Q117" i="38"/>
  <c r="S116" i="38"/>
  <c r="Q116" i="38"/>
  <c r="S115" i="38"/>
  <c r="Q115" i="38"/>
  <c r="S114" i="38"/>
  <c r="Q114" i="38"/>
  <c r="S113" i="38"/>
  <c r="Q113" i="38"/>
  <c r="R112" i="38"/>
  <c r="M106" i="38"/>
  <c r="I106" i="38"/>
  <c r="Y106" i="38" s="1"/>
  <c r="F106" i="38"/>
  <c r="U106" i="38" s="1"/>
  <c r="C106" i="38"/>
  <c r="AF216" i="38" s="1"/>
  <c r="AX216" i="38" s="1"/>
  <c r="AB105" i="38"/>
  <c r="M105" i="38"/>
  <c r="G215" i="38" s="1"/>
  <c r="F105" i="38"/>
  <c r="U105" i="38" s="1"/>
  <c r="C105" i="38"/>
  <c r="AF215" i="38" s="1"/>
  <c r="AX215" i="38" s="1"/>
  <c r="AB104" i="38"/>
  <c r="M104" i="38"/>
  <c r="I104" i="38"/>
  <c r="Y104" i="38" s="1"/>
  <c r="F104" i="38"/>
  <c r="U104" i="38" s="1"/>
  <c r="C104" i="38"/>
  <c r="AF214" i="38" s="1"/>
  <c r="AX214" i="38" s="1"/>
  <c r="AB103" i="38"/>
  <c r="M103" i="38"/>
  <c r="C103" i="38"/>
  <c r="AF213" i="38" s="1"/>
  <c r="AX213" i="38" s="1"/>
  <c r="M102" i="38"/>
  <c r="C102" i="38"/>
  <c r="AF212" i="38" s="1"/>
  <c r="AX212" i="38" s="1"/>
  <c r="AB101" i="38"/>
  <c r="M101" i="38"/>
  <c r="C101" i="38"/>
  <c r="AF211" i="38" s="1"/>
  <c r="AX211" i="38" s="1"/>
  <c r="AB100" i="38"/>
  <c r="M100" i="38"/>
  <c r="F100" i="38"/>
  <c r="U100" i="38" s="1"/>
  <c r="C100" i="38"/>
  <c r="AF210" i="38" s="1"/>
  <c r="AX210" i="38" s="1"/>
  <c r="AB99" i="38"/>
  <c r="M99" i="38"/>
  <c r="I99" i="38"/>
  <c r="Y99" i="38" s="1"/>
  <c r="F99" i="38"/>
  <c r="U99" i="38" s="1"/>
  <c r="C99" i="38"/>
  <c r="AF209" i="38" s="1"/>
  <c r="AX209" i="38" s="1"/>
  <c r="M98" i="38"/>
  <c r="I98" i="38"/>
  <c r="Y98" i="38" s="1"/>
  <c r="F98" i="38"/>
  <c r="U98" i="38" s="1"/>
  <c r="C98" i="38"/>
  <c r="AF208" i="38" s="1"/>
  <c r="AX208" i="38" s="1"/>
  <c r="AB97" i="38"/>
  <c r="M97" i="38"/>
  <c r="F97" i="38"/>
  <c r="U97" i="38" s="1"/>
  <c r="C97" i="38"/>
  <c r="AF207" i="38" s="1"/>
  <c r="AX207" i="38" s="1"/>
  <c r="M96" i="38"/>
  <c r="AB96" i="38" s="1"/>
  <c r="F96" i="38"/>
  <c r="U96" i="38" s="1"/>
  <c r="C96" i="38"/>
  <c r="AF206" i="38" s="1"/>
  <c r="AX206" i="38" s="1"/>
  <c r="M95" i="38"/>
  <c r="F95" i="38"/>
  <c r="U95" i="38" s="1"/>
  <c r="C95" i="38"/>
  <c r="AF205" i="38" s="1"/>
  <c r="AX205" i="38" s="1"/>
  <c r="M94" i="38"/>
  <c r="F94" i="38"/>
  <c r="U94" i="38" s="1"/>
  <c r="C94" i="38"/>
  <c r="AF204" i="38" s="1"/>
  <c r="AX204" i="38" s="1"/>
  <c r="AB93" i="38"/>
  <c r="M93" i="38"/>
  <c r="F93" i="38"/>
  <c r="U93" i="38" s="1"/>
  <c r="C93" i="38"/>
  <c r="AF203" i="38" s="1"/>
  <c r="AX203" i="38" s="1"/>
  <c r="M92" i="38"/>
  <c r="AB92" i="38" s="1"/>
  <c r="C92" i="38"/>
  <c r="AF202" i="38" s="1"/>
  <c r="AX202" i="38" s="1"/>
  <c r="M91" i="38"/>
  <c r="C91" i="38"/>
  <c r="AF201" i="38" s="1"/>
  <c r="AX201" i="38" s="1"/>
  <c r="M90" i="38"/>
  <c r="C90" i="38"/>
  <c r="AF200" i="38" s="1"/>
  <c r="AX200" i="38" s="1"/>
  <c r="M89" i="38"/>
  <c r="C89" i="38"/>
  <c r="AF199" i="38" s="1"/>
  <c r="AX199" i="38" s="1"/>
  <c r="M88" i="38"/>
  <c r="C88" i="38"/>
  <c r="AF198" i="38" s="1"/>
  <c r="AX198" i="38" s="1"/>
  <c r="M87" i="38"/>
  <c r="C87" i="38"/>
  <c r="AF197" i="38" s="1"/>
  <c r="AX197" i="38" s="1"/>
  <c r="M86" i="38"/>
  <c r="C86" i="38"/>
  <c r="AF196" i="38" s="1"/>
  <c r="AX196" i="38" s="1"/>
  <c r="M85" i="38"/>
  <c r="C85" i="38"/>
  <c r="AF195" i="38" s="1"/>
  <c r="AX195" i="38" s="1"/>
  <c r="M84" i="38"/>
  <c r="C84" i="38"/>
  <c r="I84" i="38" s="1"/>
  <c r="Y84" i="38" s="1"/>
  <c r="M83" i="38"/>
  <c r="C83" i="38"/>
  <c r="AF193" i="38" s="1"/>
  <c r="AX193" i="38" s="1"/>
  <c r="M82" i="38"/>
  <c r="C82" i="38"/>
  <c r="AF192" i="38" s="1"/>
  <c r="AX192" i="38" s="1"/>
  <c r="M81" i="38"/>
  <c r="C81" i="38"/>
  <c r="AF191" i="38" s="1"/>
  <c r="AX191" i="38" s="1"/>
  <c r="M80" i="38"/>
  <c r="C80" i="38"/>
  <c r="AF190" i="38" s="1"/>
  <c r="AX190" i="38" s="1"/>
  <c r="M79" i="38"/>
  <c r="C79" i="38"/>
  <c r="AF189" i="38" s="1"/>
  <c r="AX189" i="38" s="1"/>
  <c r="M78" i="38"/>
  <c r="C78" i="38"/>
  <c r="AF188" i="38" s="1"/>
  <c r="AX188" i="38" s="1"/>
  <c r="M77" i="38"/>
  <c r="C77" i="38"/>
  <c r="AF187" i="38" s="1"/>
  <c r="AX187" i="38" s="1"/>
  <c r="M76" i="38"/>
  <c r="C76" i="38"/>
  <c r="AF186" i="38" s="1"/>
  <c r="AX186" i="38" s="1"/>
  <c r="M75" i="38"/>
  <c r="C75" i="38"/>
  <c r="AF185" i="38" s="1"/>
  <c r="AX185" i="38" s="1"/>
  <c r="M74" i="38"/>
  <c r="C74" i="38"/>
  <c r="AF184" i="38" s="1"/>
  <c r="AX184" i="38" s="1"/>
  <c r="M73" i="38"/>
  <c r="C73" i="38"/>
  <c r="AF183" i="38" s="1"/>
  <c r="AX183" i="38" s="1"/>
  <c r="M72" i="38"/>
  <c r="C72" i="38"/>
  <c r="AF182" i="38" s="1"/>
  <c r="AX182" i="38" s="1"/>
  <c r="M71" i="38"/>
  <c r="C71" i="38"/>
  <c r="AF181" i="38" s="1"/>
  <c r="AX181" i="38" s="1"/>
  <c r="M70" i="38"/>
  <c r="C70" i="38"/>
  <c r="AF180" i="38" s="1"/>
  <c r="AX180" i="38" s="1"/>
  <c r="M69" i="38"/>
  <c r="F69" i="38"/>
  <c r="U69" i="38" s="1"/>
  <c r="C69" i="38"/>
  <c r="AF179" i="38" s="1"/>
  <c r="AX179" i="38" s="1"/>
  <c r="M68" i="38"/>
  <c r="C68" i="38"/>
  <c r="AF178" i="38" s="1"/>
  <c r="AX178" i="38" s="1"/>
  <c r="M67" i="38"/>
  <c r="C67" i="38"/>
  <c r="AF177" i="38" s="1"/>
  <c r="AX177" i="38" s="1"/>
  <c r="M66" i="38"/>
  <c r="C66" i="38"/>
  <c r="AF176" i="38" s="1"/>
  <c r="AX176" i="38" s="1"/>
  <c r="M65" i="38"/>
  <c r="C65" i="38"/>
  <c r="AF175" i="38" s="1"/>
  <c r="AX175" i="38" s="1"/>
  <c r="AB64" i="38"/>
  <c r="M64" i="38"/>
  <c r="C64" i="38"/>
  <c r="AF174" i="38" s="1"/>
  <c r="AX174" i="38" s="1"/>
  <c r="M63" i="38"/>
  <c r="AB63" i="38" s="1"/>
  <c r="C63" i="38"/>
  <c r="AF173" i="38" s="1"/>
  <c r="AX173" i="38" s="1"/>
  <c r="M62" i="38"/>
  <c r="C62" i="38"/>
  <c r="AF172" i="38" s="1"/>
  <c r="AX172" i="38" s="1"/>
  <c r="M61" i="38"/>
  <c r="I61" i="38"/>
  <c r="Y61" i="38" s="1"/>
  <c r="C61" i="38"/>
  <c r="AF171" i="38" s="1"/>
  <c r="AX171" i="38" s="1"/>
  <c r="M60" i="38"/>
  <c r="I60" i="38"/>
  <c r="Y60" i="38" s="1"/>
  <c r="C60" i="38"/>
  <c r="AF170" i="38" s="1"/>
  <c r="AF53" i="38"/>
  <c r="AE53" i="38"/>
  <c r="AB53" i="38"/>
  <c r="AB106" i="38" s="1"/>
  <c r="X53" i="38"/>
  <c r="V53" i="38"/>
  <c r="U53" i="38"/>
  <c r="AT53" i="38" s="1"/>
  <c r="T53" i="38"/>
  <c r="R53" i="38"/>
  <c r="Q53" i="38"/>
  <c r="P53" i="38"/>
  <c r="O53" i="38"/>
  <c r="BE53" i="38" s="1"/>
  <c r="BF52" i="38"/>
  <c r="BE52" i="38"/>
  <c r="AN52" i="38"/>
  <c r="BG52" i="38" s="1"/>
  <c r="AE52" i="38"/>
  <c r="AD52" i="38"/>
  <c r="AB52" i="38"/>
  <c r="AG52" i="38" s="1"/>
  <c r="X52" i="38"/>
  <c r="T52" i="38"/>
  <c r="AS52" i="38" s="1"/>
  <c r="S52" i="38"/>
  <c r="P52" i="38"/>
  <c r="O52" i="38"/>
  <c r="I105" i="38" s="1"/>
  <c r="Y105" i="38" s="1"/>
  <c r="BF51" i="38"/>
  <c r="BE51" i="38"/>
  <c r="AN51" i="38"/>
  <c r="BG51" i="38" s="1"/>
  <c r="AG51" i="38"/>
  <c r="AE51" i="38"/>
  <c r="AD51" i="38"/>
  <c r="AC51" i="38"/>
  <c r="AB51" i="38"/>
  <c r="AF51" i="38" s="1"/>
  <c r="V51" i="38"/>
  <c r="S51" i="38"/>
  <c r="AR51" i="38" s="1"/>
  <c r="R51" i="38"/>
  <c r="AQ51" i="38" s="1"/>
  <c r="O51" i="38"/>
  <c r="AG50" i="38"/>
  <c r="AF50" i="38"/>
  <c r="AB50" i="38"/>
  <c r="V50" i="38"/>
  <c r="U50" i="38"/>
  <c r="AT50" i="38" s="1"/>
  <c r="R50" i="38"/>
  <c r="Q50" i="38"/>
  <c r="O50" i="38"/>
  <c r="X50" i="38" s="1"/>
  <c r="AF49" i="38"/>
  <c r="AE49" i="38"/>
  <c r="AB49" i="38"/>
  <c r="AB102" i="38" s="1"/>
  <c r="X49" i="38"/>
  <c r="V49" i="38"/>
  <c r="U49" i="38"/>
  <c r="AT49" i="38" s="1"/>
  <c r="T49" i="38"/>
  <c r="R49" i="38"/>
  <c r="Q49" i="38"/>
  <c r="P49" i="38"/>
  <c r="O49" i="38"/>
  <c r="BE49" i="38" s="1"/>
  <c r="BF48" i="38"/>
  <c r="BE48" i="38"/>
  <c r="AN48" i="38"/>
  <c r="BG48" i="38" s="1"/>
  <c r="AE48" i="38"/>
  <c r="AD48" i="38"/>
  <c r="AB48" i="38"/>
  <c r="AG48" i="38" s="1"/>
  <c r="X48" i="38"/>
  <c r="T48" i="38"/>
  <c r="AS48" i="38" s="1"/>
  <c r="S48" i="38"/>
  <c r="P48" i="38"/>
  <c r="O48" i="38"/>
  <c r="BF47" i="38"/>
  <c r="BE47" i="38"/>
  <c r="AN47" i="38"/>
  <c r="BG47" i="38" s="1"/>
  <c r="AG47" i="38"/>
  <c r="AE47" i="38"/>
  <c r="AD47" i="38"/>
  <c r="AC47" i="38"/>
  <c r="AB47" i="38"/>
  <c r="AF47" i="38" s="1"/>
  <c r="V47" i="38"/>
  <c r="S47" i="38"/>
  <c r="AR47" i="38" s="1"/>
  <c r="R47" i="38"/>
  <c r="AQ47" i="38" s="1"/>
  <c r="O47" i="38"/>
  <c r="AG46" i="38"/>
  <c r="AF46" i="38"/>
  <c r="AB46" i="38"/>
  <c r="V46" i="38"/>
  <c r="U46" i="38"/>
  <c r="AT46" i="38" s="1"/>
  <c r="R46" i="38"/>
  <c r="Q46" i="38"/>
  <c r="O46" i="38"/>
  <c r="X46" i="38" s="1"/>
  <c r="AF45" i="38"/>
  <c r="AE45" i="38"/>
  <c r="AB45" i="38"/>
  <c r="AB98" i="38" s="1"/>
  <c r="X45" i="38"/>
  <c r="V45" i="38"/>
  <c r="U45" i="38"/>
  <c r="AT45" i="38" s="1"/>
  <c r="T45" i="38"/>
  <c r="R45" i="38"/>
  <c r="Q45" i="38"/>
  <c r="P45" i="38"/>
  <c r="O45" i="38"/>
  <c r="BE45" i="38" s="1"/>
  <c r="BF44" i="38"/>
  <c r="BE44" i="38"/>
  <c r="AN44" i="38"/>
  <c r="BG44" i="38" s="1"/>
  <c r="AE44" i="38"/>
  <c r="AD44" i="38"/>
  <c r="AB44" i="38"/>
  <c r="AG44" i="38" s="1"/>
  <c r="X44" i="38"/>
  <c r="T44" i="38"/>
  <c r="AS44" i="38" s="1"/>
  <c r="S44" i="38"/>
  <c r="P44" i="38"/>
  <c r="O44" i="38"/>
  <c r="I97" i="38" s="1"/>
  <c r="Y97" i="38" s="1"/>
  <c r="BF43" i="38"/>
  <c r="BE43" i="38"/>
  <c r="AN43" i="38"/>
  <c r="BG43" i="38" s="1"/>
  <c r="AG43" i="38"/>
  <c r="AE43" i="38"/>
  <c r="AD43" i="38"/>
  <c r="AC43" i="38"/>
  <c r="AB43" i="38"/>
  <c r="AF43" i="38" s="1"/>
  <c r="V43" i="38"/>
  <c r="S43" i="38"/>
  <c r="AR43" i="38" s="1"/>
  <c r="R43" i="38"/>
  <c r="AQ43" i="38" s="1"/>
  <c r="O43" i="38"/>
  <c r="AG42" i="38"/>
  <c r="AF42" i="38"/>
  <c r="AB42" i="38"/>
  <c r="V42" i="38"/>
  <c r="U42" i="38"/>
  <c r="AT42" i="38" s="1"/>
  <c r="R42" i="38"/>
  <c r="Q42" i="38"/>
  <c r="O42" i="38"/>
  <c r="X42" i="38" s="1"/>
  <c r="AF41" i="38"/>
  <c r="AE41" i="38"/>
  <c r="AB41" i="38"/>
  <c r="X41" i="38"/>
  <c r="V41" i="38"/>
  <c r="U41" i="38"/>
  <c r="AT41" i="38" s="1"/>
  <c r="T41" i="38"/>
  <c r="R41" i="38"/>
  <c r="Q41" i="38"/>
  <c r="P41" i="38"/>
  <c r="O41" i="38"/>
  <c r="BE41" i="38" s="1"/>
  <c r="BF40" i="38"/>
  <c r="BE40" i="38"/>
  <c r="AN40" i="38"/>
  <c r="BG40" i="38" s="1"/>
  <c r="AE40" i="38"/>
  <c r="AD40" i="38"/>
  <c r="AB40" i="38"/>
  <c r="AG40" i="38" s="1"/>
  <c r="X40" i="38"/>
  <c r="S40" i="38"/>
  <c r="P40" i="38"/>
  <c r="O40" i="38"/>
  <c r="I93" i="38" s="1"/>
  <c r="Y93" i="38" s="1"/>
  <c r="BF39" i="38"/>
  <c r="BE39" i="38"/>
  <c r="AN39" i="38"/>
  <c r="BG39" i="38" s="1"/>
  <c r="AG39" i="38"/>
  <c r="AE39" i="38"/>
  <c r="AD39" i="38"/>
  <c r="AC39" i="38"/>
  <c r="AB39" i="38"/>
  <c r="AF39" i="38" s="1"/>
  <c r="S39" i="38"/>
  <c r="AR39" i="38" s="1"/>
  <c r="R39" i="38"/>
  <c r="AQ39" i="38" s="1"/>
  <c r="O39" i="38"/>
  <c r="V39" i="38" s="1"/>
  <c r="AT38" i="38"/>
  <c r="AG38" i="38"/>
  <c r="AF38" i="38"/>
  <c r="AB38" i="38"/>
  <c r="V38" i="38"/>
  <c r="U38" i="38"/>
  <c r="R38" i="38"/>
  <c r="Q38" i="38"/>
  <c r="O38" i="38"/>
  <c r="X38" i="38" s="1"/>
  <c r="AF37" i="38"/>
  <c r="AE37" i="38"/>
  <c r="AB37" i="38"/>
  <c r="AB90" i="38" s="1"/>
  <c r="X37" i="38"/>
  <c r="V37" i="38"/>
  <c r="U37" i="38"/>
  <c r="AT37" i="38" s="1"/>
  <c r="T37" i="38"/>
  <c r="R37" i="38"/>
  <c r="Q37" i="38"/>
  <c r="P37" i="38"/>
  <c r="O37" i="38"/>
  <c r="BE37" i="38" s="1"/>
  <c r="BF36" i="38"/>
  <c r="BE36" i="38"/>
  <c r="AN36" i="38"/>
  <c r="BG36" i="38" s="1"/>
  <c r="AE36" i="38"/>
  <c r="AD36" i="38"/>
  <c r="AB36" i="38"/>
  <c r="AG36" i="38" s="1"/>
  <c r="X36" i="38"/>
  <c r="S36" i="38"/>
  <c r="P36" i="38"/>
  <c r="O36" i="38"/>
  <c r="T36" i="38" s="1"/>
  <c r="AS36" i="38" s="1"/>
  <c r="BF35" i="38"/>
  <c r="BE35" i="38"/>
  <c r="AN35" i="38"/>
  <c r="BG35" i="38" s="1"/>
  <c r="AG35" i="38"/>
  <c r="AE35" i="38"/>
  <c r="AD35" i="38"/>
  <c r="AC35" i="38"/>
  <c r="AB35" i="38"/>
  <c r="AF35" i="38" s="1"/>
  <c r="S35" i="38"/>
  <c r="AR35" i="38" s="1"/>
  <c r="R35" i="38"/>
  <c r="AQ35" i="38" s="1"/>
  <c r="O35" i="38"/>
  <c r="V35" i="38" s="1"/>
  <c r="AG34" i="38"/>
  <c r="AF34" i="38"/>
  <c r="AB34" i="38"/>
  <c r="V34" i="38"/>
  <c r="U34" i="38"/>
  <c r="AT34" i="38" s="1"/>
  <c r="R34" i="38"/>
  <c r="Q34" i="38"/>
  <c r="O34" i="38"/>
  <c r="X34" i="38" s="1"/>
  <c r="AF33" i="38"/>
  <c r="AE33" i="38"/>
  <c r="AB33" i="38"/>
  <c r="AB86" i="38" s="1"/>
  <c r="X33" i="38"/>
  <c r="V33" i="38"/>
  <c r="U33" i="38"/>
  <c r="AT33" i="38" s="1"/>
  <c r="T33" i="38"/>
  <c r="R33" i="38"/>
  <c r="Q33" i="38"/>
  <c r="P33" i="38"/>
  <c r="O33" i="38"/>
  <c r="BE33" i="38" s="1"/>
  <c r="BF32" i="38"/>
  <c r="BE32" i="38"/>
  <c r="AN32" i="38"/>
  <c r="BG32" i="38" s="1"/>
  <c r="AE32" i="38"/>
  <c r="AD32" i="38"/>
  <c r="AB32" i="38"/>
  <c r="AG32" i="38" s="1"/>
  <c r="X32" i="38"/>
  <c r="S32" i="38"/>
  <c r="P32" i="38"/>
  <c r="O32" i="38"/>
  <c r="T32" i="38" s="1"/>
  <c r="AS32" i="38" s="1"/>
  <c r="BF31" i="38"/>
  <c r="BE31" i="38"/>
  <c r="AN31" i="38"/>
  <c r="BG31" i="38" s="1"/>
  <c r="AG31" i="38"/>
  <c r="AE31" i="38"/>
  <c r="AD31" i="38"/>
  <c r="AC31" i="38"/>
  <c r="AB31" i="38"/>
  <c r="AF31" i="38" s="1"/>
  <c r="S31" i="38"/>
  <c r="AR31" i="38" s="1"/>
  <c r="R31" i="38"/>
  <c r="AQ31" i="38" s="1"/>
  <c r="O31" i="38"/>
  <c r="V31" i="38" s="1"/>
  <c r="AG30" i="38"/>
  <c r="AF30" i="38"/>
  <c r="AB30" i="38"/>
  <c r="V30" i="38"/>
  <c r="U30" i="38"/>
  <c r="AT30" i="38" s="1"/>
  <c r="R30" i="38"/>
  <c r="Q30" i="38"/>
  <c r="O30" i="38"/>
  <c r="X30" i="38" s="1"/>
  <c r="AF29" i="38"/>
  <c r="AE29" i="38"/>
  <c r="AB29" i="38"/>
  <c r="AB82" i="38" s="1"/>
  <c r="X29" i="38"/>
  <c r="V29" i="38"/>
  <c r="U29" i="38"/>
  <c r="AT29" i="38" s="1"/>
  <c r="T29" i="38"/>
  <c r="R29" i="38"/>
  <c r="Q29" i="38"/>
  <c r="P29" i="38"/>
  <c r="O29" i="38"/>
  <c r="BE29" i="38" s="1"/>
  <c r="BF28" i="38"/>
  <c r="BE28" i="38"/>
  <c r="AN28" i="38"/>
  <c r="BG28" i="38" s="1"/>
  <c r="AE28" i="38"/>
  <c r="AD28" i="38"/>
  <c r="AB28" i="38"/>
  <c r="AG28" i="38" s="1"/>
  <c r="X28" i="38"/>
  <c r="S28" i="38"/>
  <c r="P28" i="38"/>
  <c r="O28" i="38"/>
  <c r="T28" i="38" s="1"/>
  <c r="AS28" i="38" s="1"/>
  <c r="BF27" i="38"/>
  <c r="BE27" i="38"/>
  <c r="AN27" i="38"/>
  <c r="BG27" i="38" s="1"/>
  <c r="AG27" i="38"/>
  <c r="AE27" i="38"/>
  <c r="AD27" i="38"/>
  <c r="AC27" i="38"/>
  <c r="AB27" i="38"/>
  <c r="AF27" i="38" s="1"/>
  <c r="S27" i="38"/>
  <c r="AR27" i="38" s="1"/>
  <c r="R27" i="38"/>
  <c r="AQ27" i="38" s="1"/>
  <c r="O27" i="38"/>
  <c r="V27" i="38" s="1"/>
  <c r="AG26" i="38"/>
  <c r="AF26" i="38"/>
  <c r="AB26" i="38"/>
  <c r="V26" i="38"/>
  <c r="U26" i="38"/>
  <c r="AT26" i="38" s="1"/>
  <c r="R26" i="38"/>
  <c r="Q26" i="38"/>
  <c r="O26" i="38"/>
  <c r="X26" i="38" s="1"/>
  <c r="AF25" i="38"/>
  <c r="AE25" i="38"/>
  <c r="AB25" i="38"/>
  <c r="AB78" i="38" s="1"/>
  <c r="X25" i="38"/>
  <c r="V25" i="38"/>
  <c r="U25" i="38"/>
  <c r="AT25" i="38" s="1"/>
  <c r="T25" i="38"/>
  <c r="R25" i="38"/>
  <c r="Q25" i="38"/>
  <c r="P25" i="38"/>
  <c r="O25" i="38"/>
  <c r="BE25" i="38" s="1"/>
  <c r="BF24" i="38"/>
  <c r="BE24" i="38"/>
  <c r="AN24" i="38"/>
  <c r="BG24" i="38" s="1"/>
  <c r="AE24" i="38"/>
  <c r="AD24" i="38"/>
  <c r="AB24" i="38"/>
  <c r="AG24" i="38" s="1"/>
  <c r="X24" i="38"/>
  <c r="T24" i="38"/>
  <c r="AS24" i="38" s="1"/>
  <c r="S24" i="38"/>
  <c r="P24" i="38"/>
  <c r="O24" i="38"/>
  <c r="BF23" i="38"/>
  <c r="BE23" i="38"/>
  <c r="AN23" i="38"/>
  <c r="BG23" i="38" s="1"/>
  <c r="AG23" i="38"/>
  <c r="AE23" i="38"/>
  <c r="AD23" i="38"/>
  <c r="AC23" i="38"/>
  <c r="AB23" i="38"/>
  <c r="AF23" i="38" s="1"/>
  <c r="V23" i="38"/>
  <c r="S23" i="38"/>
  <c r="AR23" i="38" s="1"/>
  <c r="R23" i="38"/>
  <c r="AQ23" i="38" s="1"/>
  <c r="O23" i="38"/>
  <c r="AG22" i="38"/>
  <c r="AF22" i="38"/>
  <c r="AB22" i="38"/>
  <c r="V22" i="38"/>
  <c r="U22" i="38"/>
  <c r="AT22" i="38" s="1"/>
  <c r="R22" i="38"/>
  <c r="Q22" i="38"/>
  <c r="O22" i="38"/>
  <c r="X22" i="38" s="1"/>
  <c r="AF21" i="38"/>
  <c r="AE21" i="38"/>
  <c r="AB21" i="38"/>
  <c r="AB74" i="38" s="1"/>
  <c r="X21" i="38"/>
  <c r="V21" i="38"/>
  <c r="U21" i="38"/>
  <c r="AT21" i="38" s="1"/>
  <c r="T21" i="38"/>
  <c r="R21" i="38"/>
  <c r="Q21" i="38"/>
  <c r="P21" i="38"/>
  <c r="O21" i="38"/>
  <c r="BE21" i="38" s="1"/>
  <c r="BF20" i="38"/>
  <c r="BE20" i="38"/>
  <c r="AN20" i="38"/>
  <c r="BG20" i="38" s="1"/>
  <c r="AE20" i="38"/>
  <c r="AD20" i="38"/>
  <c r="AB20" i="38"/>
  <c r="AG20" i="38" s="1"/>
  <c r="X20" i="38"/>
  <c r="S20" i="38"/>
  <c r="P20" i="38"/>
  <c r="O20" i="38"/>
  <c r="T20" i="38" s="1"/>
  <c r="AS20" i="38" s="1"/>
  <c r="BF19" i="38"/>
  <c r="BE19" i="38"/>
  <c r="AN19" i="38"/>
  <c r="BG19" i="38" s="1"/>
  <c r="AG19" i="38"/>
  <c r="AE19" i="38"/>
  <c r="AD19" i="38"/>
  <c r="AC19" i="38"/>
  <c r="AB19" i="38"/>
  <c r="AF19" i="38" s="1"/>
  <c r="S19" i="38"/>
  <c r="AR19" i="38" s="1"/>
  <c r="R19" i="38"/>
  <c r="AQ19" i="38" s="1"/>
  <c r="O19" i="38"/>
  <c r="V19" i="38" s="1"/>
  <c r="AG18" i="38"/>
  <c r="AF18" i="38"/>
  <c r="AB18" i="38"/>
  <c r="V18" i="38"/>
  <c r="U18" i="38"/>
  <c r="AT18" i="38" s="1"/>
  <c r="R18" i="38"/>
  <c r="Q18" i="38"/>
  <c r="O18" i="38"/>
  <c r="X18" i="38" s="1"/>
  <c r="AF17" i="38"/>
  <c r="AE17" i="38"/>
  <c r="AB17" i="38"/>
  <c r="AB70" i="38" s="1"/>
  <c r="X17" i="38"/>
  <c r="V17" i="38"/>
  <c r="U17" i="38"/>
  <c r="AT17" i="38" s="1"/>
  <c r="T17" i="38"/>
  <c r="R17" i="38"/>
  <c r="Q17" i="38"/>
  <c r="P17" i="38"/>
  <c r="O17" i="38"/>
  <c r="BE17" i="38" s="1"/>
  <c r="BF16" i="38"/>
  <c r="BE16" i="38"/>
  <c r="AN16" i="38"/>
  <c r="BG16" i="38" s="1"/>
  <c r="AE16" i="38"/>
  <c r="AD16" i="38"/>
  <c r="AB16" i="38"/>
  <c r="AG16" i="38" s="1"/>
  <c r="X16" i="38"/>
  <c r="S16" i="38"/>
  <c r="P16" i="38"/>
  <c r="O16" i="38"/>
  <c r="T16" i="38" s="1"/>
  <c r="AS16" i="38" s="1"/>
  <c r="BF15" i="38"/>
  <c r="BE15" i="38"/>
  <c r="AN15" i="38"/>
  <c r="BG15" i="38" s="1"/>
  <c r="AG15" i="38"/>
  <c r="AE15" i="38"/>
  <c r="AD15" i="38"/>
  <c r="AC15" i="38"/>
  <c r="AB15" i="38"/>
  <c r="AF15" i="38" s="1"/>
  <c r="V15" i="38"/>
  <c r="S15" i="38"/>
  <c r="AR15" i="38" s="1"/>
  <c r="R15" i="38"/>
  <c r="AQ15" i="38" s="1"/>
  <c r="O15" i="38"/>
  <c r="AG14" i="38"/>
  <c r="AF14" i="38"/>
  <c r="AB14" i="38"/>
  <c r="V14" i="38"/>
  <c r="U14" i="38"/>
  <c r="AT14" i="38" s="1"/>
  <c r="R14" i="38"/>
  <c r="Q14" i="38"/>
  <c r="O14" i="38"/>
  <c r="X14" i="38" s="1"/>
  <c r="AF13" i="38"/>
  <c r="AE13" i="38"/>
  <c r="AB13" i="38"/>
  <c r="AB66" i="38" s="1"/>
  <c r="X13" i="38"/>
  <c r="V13" i="38"/>
  <c r="U13" i="38"/>
  <c r="AT13" i="38" s="1"/>
  <c r="T13" i="38"/>
  <c r="R13" i="38"/>
  <c r="Q13" i="38"/>
  <c r="P13" i="38"/>
  <c r="O13" i="38"/>
  <c r="BE13" i="38" s="1"/>
  <c r="AB12" i="38"/>
  <c r="X12" i="38"/>
  <c r="V12" i="38"/>
  <c r="U12" i="38"/>
  <c r="AT12" i="38" s="1"/>
  <c r="T12" i="38"/>
  <c r="R12" i="38"/>
  <c r="Q12" i="38"/>
  <c r="P12" i="38"/>
  <c r="O12" i="38"/>
  <c r="BE12" i="38" s="1"/>
  <c r="BF11" i="38"/>
  <c r="AE11" i="38"/>
  <c r="AD11" i="38"/>
  <c r="AB11" i="38"/>
  <c r="AG11" i="38" s="1"/>
  <c r="T11" i="38"/>
  <c r="AS11" i="38" s="1"/>
  <c r="O11" i="38"/>
  <c r="I64" i="38" s="1"/>
  <c r="Y64" i="38" s="1"/>
  <c r="BF10" i="38"/>
  <c r="AG10" i="38"/>
  <c r="AE10" i="38"/>
  <c r="AD10" i="38"/>
  <c r="AC10" i="38"/>
  <c r="AB10" i="38"/>
  <c r="AF10" i="38" s="1"/>
  <c r="V10" i="38"/>
  <c r="O10" i="38"/>
  <c r="CD9" i="38"/>
  <c r="CD12" i="38" s="1"/>
  <c r="BF9" i="38"/>
  <c r="AG9" i="38"/>
  <c r="AE9" i="38"/>
  <c r="AD9" i="38"/>
  <c r="AC9" i="38"/>
  <c r="AB9" i="38"/>
  <c r="AF9" i="38" s="1"/>
  <c r="O9" i="38"/>
  <c r="BE9" i="38" s="1"/>
  <c r="AG8" i="38"/>
  <c r="AF8" i="38"/>
  <c r="AC8" i="38"/>
  <c r="AB8" i="38"/>
  <c r="V8" i="38"/>
  <c r="U8" i="38"/>
  <c r="AT8" i="38" s="1"/>
  <c r="R8" i="38"/>
  <c r="Q8" i="38"/>
  <c r="O8" i="38"/>
  <c r="X8" i="38" s="1"/>
  <c r="AB7" i="38"/>
  <c r="AF7" i="38" s="1"/>
  <c r="X7" i="38"/>
  <c r="V7" i="38"/>
  <c r="U7" i="38"/>
  <c r="AT7" i="38" s="1"/>
  <c r="T7" i="38"/>
  <c r="R7" i="38"/>
  <c r="Q7" i="38"/>
  <c r="P7" i="38"/>
  <c r="O7" i="38"/>
  <c r="BE7" i="38" s="1"/>
  <c r="F65" i="40" l="1"/>
  <c r="U65" i="40" s="1"/>
  <c r="F66" i="40"/>
  <c r="U66" i="40" s="1"/>
  <c r="AM66" i="40" s="1"/>
  <c r="F69" i="40"/>
  <c r="U69" i="40" s="1"/>
  <c r="F70" i="40"/>
  <c r="U70" i="40" s="1"/>
  <c r="AM70" i="40" s="1"/>
  <c r="I65" i="40"/>
  <c r="Y65" i="40" s="1"/>
  <c r="I66" i="40"/>
  <c r="Y66" i="40" s="1"/>
  <c r="I69" i="40"/>
  <c r="Y69" i="40" s="1"/>
  <c r="I70" i="40"/>
  <c r="Y70" i="40" s="1"/>
  <c r="C180" i="40" s="1"/>
  <c r="E180" i="40" s="1"/>
  <c r="F75" i="40"/>
  <c r="U75" i="40" s="1"/>
  <c r="F76" i="40"/>
  <c r="U76" i="40" s="1"/>
  <c r="I75" i="40"/>
  <c r="Y75" i="40" s="1"/>
  <c r="I76" i="40"/>
  <c r="Y76" i="40" s="1"/>
  <c r="C186" i="40" s="1"/>
  <c r="E186" i="40" s="1"/>
  <c r="F60" i="40"/>
  <c r="U60" i="40" s="1"/>
  <c r="F61" i="40"/>
  <c r="U61" i="40" s="1"/>
  <c r="F171" i="40" s="1"/>
  <c r="F62" i="40"/>
  <c r="U62" i="40" s="1"/>
  <c r="AM62" i="40" s="1"/>
  <c r="I60" i="40"/>
  <c r="Y60" i="40" s="1"/>
  <c r="C170" i="40" s="1"/>
  <c r="I61" i="40"/>
  <c r="Y61" i="40" s="1"/>
  <c r="I62" i="40"/>
  <c r="Y62" i="40" s="1"/>
  <c r="F63" i="40"/>
  <c r="U63" i="40" s="1"/>
  <c r="AE63" i="40" s="1"/>
  <c r="F64" i="40"/>
  <c r="U64" i="40" s="1"/>
  <c r="AM64" i="40" s="1"/>
  <c r="F61" i="39"/>
  <c r="U61" i="39" s="1"/>
  <c r="F60" i="39"/>
  <c r="U60" i="39" s="1"/>
  <c r="AM60" i="39" s="1"/>
  <c r="F70" i="38"/>
  <c r="U70" i="38" s="1"/>
  <c r="F71" i="38"/>
  <c r="U71" i="38" s="1"/>
  <c r="F72" i="38"/>
  <c r="U72" i="38" s="1"/>
  <c r="F73" i="38"/>
  <c r="U73" i="38" s="1"/>
  <c r="AE73" i="38" s="1"/>
  <c r="F74" i="38"/>
  <c r="U74" i="38" s="1"/>
  <c r="F75" i="38"/>
  <c r="U75" i="38" s="1"/>
  <c r="F76" i="38"/>
  <c r="U76" i="38" s="1"/>
  <c r="F77" i="38"/>
  <c r="U77" i="38" s="1"/>
  <c r="AL77" i="38" s="1"/>
  <c r="F78" i="38"/>
  <c r="U78" i="38" s="1"/>
  <c r="F79" i="38"/>
  <c r="U79" i="38" s="1"/>
  <c r="F80" i="38"/>
  <c r="U80" i="38" s="1"/>
  <c r="F81" i="38"/>
  <c r="U81" i="38" s="1"/>
  <c r="AE81" i="38" s="1"/>
  <c r="F82" i="38"/>
  <c r="U82" i="38" s="1"/>
  <c r="F83" i="38"/>
  <c r="U83" i="38" s="1"/>
  <c r="F84" i="38"/>
  <c r="U84" i="38" s="1"/>
  <c r="F85" i="38"/>
  <c r="U85" i="38" s="1"/>
  <c r="F195" i="38" s="1"/>
  <c r="F86" i="38"/>
  <c r="U86" i="38" s="1"/>
  <c r="F87" i="38"/>
  <c r="U87" i="38" s="1"/>
  <c r="F88" i="38"/>
  <c r="U88" i="38" s="1"/>
  <c r="F89" i="38"/>
  <c r="U89" i="38" s="1"/>
  <c r="AE89" i="38" s="1"/>
  <c r="F90" i="38"/>
  <c r="U90" i="38" s="1"/>
  <c r="F91" i="38"/>
  <c r="U91" i="38" s="1"/>
  <c r="F92" i="38"/>
  <c r="U92" i="38" s="1"/>
  <c r="I94" i="38"/>
  <c r="Y94" i="38" s="1"/>
  <c r="AE94" i="38" s="1"/>
  <c r="I95" i="38"/>
  <c r="Y95" i="38" s="1"/>
  <c r="AM97" i="38"/>
  <c r="I100" i="38"/>
  <c r="Y100" i="38" s="1"/>
  <c r="F101" i="38"/>
  <c r="U101" i="38" s="1"/>
  <c r="AL101" i="38" s="1"/>
  <c r="F102" i="38"/>
  <c r="U102" i="38" s="1"/>
  <c r="F103" i="38"/>
  <c r="U103" i="38" s="1"/>
  <c r="AM105" i="38"/>
  <c r="AF194" i="38"/>
  <c r="AX194" i="38" s="1"/>
  <c r="F68" i="38"/>
  <c r="U68" i="38" s="1"/>
  <c r="I66" i="38"/>
  <c r="Y66" i="38" s="1"/>
  <c r="I67" i="38"/>
  <c r="Y67" i="38" s="1"/>
  <c r="I68" i="38"/>
  <c r="Y68" i="38" s="1"/>
  <c r="AE68" i="38" s="1"/>
  <c r="I69" i="38"/>
  <c r="Y69" i="38" s="1"/>
  <c r="I70" i="38"/>
  <c r="Y70" i="38" s="1"/>
  <c r="I71" i="38"/>
  <c r="Y71" i="38" s="1"/>
  <c r="I72" i="38"/>
  <c r="Y72" i="38" s="1"/>
  <c r="AL72" i="38" s="1"/>
  <c r="I73" i="38"/>
  <c r="Y73" i="38" s="1"/>
  <c r="I74" i="38"/>
  <c r="Y74" i="38" s="1"/>
  <c r="I75" i="38"/>
  <c r="Y75" i="38" s="1"/>
  <c r="I76" i="38"/>
  <c r="Y76" i="38" s="1"/>
  <c r="C186" i="38" s="1"/>
  <c r="I77" i="38"/>
  <c r="Y77" i="38" s="1"/>
  <c r="I78" i="38"/>
  <c r="Y78" i="38" s="1"/>
  <c r="I79" i="38"/>
  <c r="Y79" i="38" s="1"/>
  <c r="I80" i="38"/>
  <c r="Y80" i="38" s="1"/>
  <c r="C190" i="38" s="1"/>
  <c r="I81" i="38"/>
  <c r="Y81" i="38" s="1"/>
  <c r="I82" i="38"/>
  <c r="Y82" i="38" s="1"/>
  <c r="I83" i="38"/>
  <c r="Y83" i="38" s="1"/>
  <c r="I85" i="38"/>
  <c r="Y85" i="38" s="1"/>
  <c r="C195" i="38" s="1"/>
  <c r="I86" i="38"/>
  <c r="Y86" i="38" s="1"/>
  <c r="I87" i="38"/>
  <c r="Y87" i="38" s="1"/>
  <c r="I88" i="38"/>
  <c r="Y88" i="38" s="1"/>
  <c r="I89" i="38"/>
  <c r="Y89" i="38" s="1"/>
  <c r="AL89" i="38" s="1"/>
  <c r="I90" i="38"/>
  <c r="Y90" i="38" s="1"/>
  <c r="I91" i="38"/>
  <c r="Y91" i="38" s="1"/>
  <c r="AM93" i="38"/>
  <c r="AM99" i="38"/>
  <c r="I102" i="38"/>
  <c r="Y102" i="38" s="1"/>
  <c r="I103" i="38"/>
  <c r="Y103" i="38" s="1"/>
  <c r="I101" i="38"/>
  <c r="Y101" i="38" s="1"/>
  <c r="F67" i="38"/>
  <c r="U67" i="38" s="1"/>
  <c r="F177" i="38" s="1"/>
  <c r="I65" i="38"/>
  <c r="Y65" i="38" s="1"/>
  <c r="AS42" i="40"/>
  <c r="C177" i="40"/>
  <c r="AL67" i="40"/>
  <c r="C178" i="40"/>
  <c r="AL68" i="40"/>
  <c r="C181" i="40"/>
  <c r="AL71" i="40"/>
  <c r="AO22" i="40"/>
  <c r="AS30" i="40"/>
  <c r="AO36" i="40"/>
  <c r="C173" i="40"/>
  <c r="I173" i="40" s="1"/>
  <c r="AL63" i="40"/>
  <c r="C183" i="40"/>
  <c r="E183" i="40" s="1"/>
  <c r="AL73" i="40"/>
  <c r="C184" i="40"/>
  <c r="AL74" i="40"/>
  <c r="AS7" i="40"/>
  <c r="AQ10" i="40"/>
  <c r="AP34" i="40"/>
  <c r="AO40" i="40"/>
  <c r="C175" i="40"/>
  <c r="H175" i="40" s="1"/>
  <c r="AL65" i="40"/>
  <c r="C176" i="40"/>
  <c r="AL66" i="40"/>
  <c r="C179" i="40"/>
  <c r="I179" i="40" s="1"/>
  <c r="AL69" i="40"/>
  <c r="AS12" i="40"/>
  <c r="AS16" i="40"/>
  <c r="AO28" i="40"/>
  <c r="AP32" i="40"/>
  <c r="AP14" i="40"/>
  <c r="AS24" i="40"/>
  <c r="AO32" i="40"/>
  <c r="AL60" i="40"/>
  <c r="C171" i="40"/>
  <c r="AL61" i="40"/>
  <c r="C172" i="40"/>
  <c r="E172" i="40" s="1"/>
  <c r="C185" i="40"/>
  <c r="AL75" i="40"/>
  <c r="BF7" i="40"/>
  <c r="AD7" i="40"/>
  <c r="AP7" i="40" s="1"/>
  <c r="AG7" i="40"/>
  <c r="AC7" i="40"/>
  <c r="AO7" i="40" s="1"/>
  <c r="U11" i="40"/>
  <c r="AT11" i="40" s="1"/>
  <c r="Q11" i="40"/>
  <c r="AP11" i="40" s="1"/>
  <c r="X11" i="40"/>
  <c r="AW11" i="40" s="1"/>
  <c r="T11" i="40"/>
  <c r="AS11" i="40" s="1"/>
  <c r="P11" i="40"/>
  <c r="AO11" i="40" s="1"/>
  <c r="U19" i="40"/>
  <c r="AT19" i="40" s="1"/>
  <c r="Q19" i="40"/>
  <c r="AP19" i="40" s="1"/>
  <c r="X19" i="40"/>
  <c r="AW19" i="40" s="1"/>
  <c r="T19" i="40"/>
  <c r="AS19" i="40" s="1"/>
  <c r="P19" i="40"/>
  <c r="AO19" i="40" s="1"/>
  <c r="W19" i="40"/>
  <c r="AV19" i="40" s="1"/>
  <c r="BF22" i="40"/>
  <c r="AD22" i="40"/>
  <c r="AP22" i="40" s="1"/>
  <c r="AG22" i="40"/>
  <c r="AS22" i="40" s="1"/>
  <c r="AC22" i="40"/>
  <c r="C189" i="40"/>
  <c r="AL79" i="40"/>
  <c r="I80" i="40"/>
  <c r="Y80" i="40" s="1"/>
  <c r="U27" i="40"/>
  <c r="AT27" i="40" s="1"/>
  <c r="Q27" i="40"/>
  <c r="AP27" i="40" s="1"/>
  <c r="X27" i="40"/>
  <c r="AW27" i="40" s="1"/>
  <c r="T27" i="40"/>
  <c r="AS27" i="40" s="1"/>
  <c r="P27" i="40"/>
  <c r="AO27" i="40" s="1"/>
  <c r="I88" i="40"/>
  <c r="Y88" i="40" s="1"/>
  <c r="U35" i="40"/>
  <c r="AT35" i="40" s="1"/>
  <c r="Q35" i="40"/>
  <c r="AP35" i="40" s="1"/>
  <c r="X35" i="40"/>
  <c r="AW35" i="40" s="1"/>
  <c r="T35" i="40"/>
  <c r="AS35" i="40" s="1"/>
  <c r="P35" i="40"/>
  <c r="AO35" i="40" s="1"/>
  <c r="W35" i="40"/>
  <c r="AV35" i="40" s="1"/>
  <c r="AB91" i="40"/>
  <c r="BF38" i="40"/>
  <c r="AD38" i="40"/>
  <c r="AP38" i="40" s="1"/>
  <c r="AG38" i="40"/>
  <c r="AS38" i="40" s="1"/>
  <c r="AC38" i="40"/>
  <c r="AO38" i="40" s="1"/>
  <c r="I96" i="40"/>
  <c r="Y96" i="40" s="1"/>
  <c r="U43" i="40"/>
  <c r="AT43" i="40" s="1"/>
  <c r="Q43" i="40"/>
  <c r="AP43" i="40" s="1"/>
  <c r="X43" i="40"/>
  <c r="AW43" i="40" s="1"/>
  <c r="T43" i="40"/>
  <c r="AS43" i="40" s="1"/>
  <c r="P43" i="40"/>
  <c r="AO43" i="40" s="1"/>
  <c r="W43" i="40"/>
  <c r="AV43" i="40" s="1"/>
  <c r="C213" i="40"/>
  <c r="AL103" i="40"/>
  <c r="I104" i="40"/>
  <c r="Y104" i="40" s="1"/>
  <c r="U51" i="40"/>
  <c r="AT51" i="40" s="1"/>
  <c r="Q51" i="40"/>
  <c r="AP51" i="40" s="1"/>
  <c r="X51" i="40"/>
  <c r="AW51" i="40" s="1"/>
  <c r="T51" i="40"/>
  <c r="AS51" i="40" s="1"/>
  <c r="P51" i="40"/>
  <c r="AO51" i="40" s="1"/>
  <c r="W51" i="40"/>
  <c r="AV51" i="40" s="1"/>
  <c r="I72" i="40"/>
  <c r="Y72" i="40" s="1"/>
  <c r="AE79" i="40"/>
  <c r="AF191" i="40"/>
  <c r="AX191" i="40" s="1"/>
  <c r="F81" i="40"/>
  <c r="U81" i="40" s="1"/>
  <c r="F202" i="40"/>
  <c r="AF207" i="40"/>
  <c r="AX207" i="40" s="1"/>
  <c r="F97" i="40"/>
  <c r="U97" i="40" s="1"/>
  <c r="W11" i="40"/>
  <c r="AV11" i="40" s="1"/>
  <c r="BF14" i="40"/>
  <c r="AD14" i="40"/>
  <c r="AG14" i="40"/>
  <c r="AS14" i="40" s="1"/>
  <c r="AC14" i="40"/>
  <c r="AO14" i="40" s="1"/>
  <c r="W27" i="40"/>
  <c r="AV27" i="40" s="1"/>
  <c r="AB83" i="40"/>
  <c r="BF30" i="40"/>
  <c r="AD30" i="40"/>
  <c r="AP30" i="40" s="1"/>
  <c r="AG30" i="40"/>
  <c r="AC30" i="40"/>
  <c r="AO30" i="40" s="1"/>
  <c r="C197" i="40"/>
  <c r="AL87" i="40"/>
  <c r="C205" i="40"/>
  <c r="AL95" i="40"/>
  <c r="AB99" i="40"/>
  <c r="BF46" i="40"/>
  <c r="AD46" i="40"/>
  <c r="AP46" i="40" s="1"/>
  <c r="AG46" i="40"/>
  <c r="AS46" i="40" s="1"/>
  <c r="AC46" i="40"/>
  <c r="AO46" i="40" s="1"/>
  <c r="I64" i="40"/>
  <c r="Y64" i="40" s="1"/>
  <c r="P192" i="40"/>
  <c r="G192" i="40"/>
  <c r="F197" i="40"/>
  <c r="P201" i="40"/>
  <c r="G201" i="40"/>
  <c r="G208" i="40"/>
  <c r="P208" i="40"/>
  <c r="F172" i="40"/>
  <c r="H173" i="40"/>
  <c r="AE7" i="40"/>
  <c r="BE9" i="40"/>
  <c r="V9" i="40"/>
  <c r="AU9" i="40" s="1"/>
  <c r="R9" i="40"/>
  <c r="AQ9" i="40" s="1"/>
  <c r="U9" i="40"/>
  <c r="AT9" i="40" s="1"/>
  <c r="Q9" i="40"/>
  <c r="AP9" i="40" s="1"/>
  <c r="W9" i="40"/>
  <c r="AV9" i="40" s="1"/>
  <c r="AS10" i="40"/>
  <c r="AE10" i="40"/>
  <c r="BF10" i="40"/>
  <c r="AD10" i="40"/>
  <c r="AP10" i="40" s="1"/>
  <c r="R11" i="40"/>
  <c r="AN11" i="40"/>
  <c r="BG11" i="40" s="1"/>
  <c r="U13" i="40"/>
  <c r="AT13" i="40" s="1"/>
  <c r="Q13" i="40"/>
  <c r="AP13" i="40" s="1"/>
  <c r="X13" i="40"/>
  <c r="AW13" i="40" s="1"/>
  <c r="T13" i="40"/>
  <c r="AS13" i="40" s="1"/>
  <c r="P13" i="40"/>
  <c r="AO13" i="40" s="1"/>
  <c r="W13" i="40"/>
  <c r="AV13" i="40" s="1"/>
  <c r="AE14" i="40"/>
  <c r="BF16" i="40"/>
  <c r="AD16" i="40"/>
  <c r="AP16" i="40" s="1"/>
  <c r="AG16" i="40"/>
  <c r="AC16" i="40"/>
  <c r="AO16" i="40" s="1"/>
  <c r="R19" i="40"/>
  <c r="AN19" i="40"/>
  <c r="BG19" i="40" s="1"/>
  <c r="U21" i="40"/>
  <c r="AT21" i="40" s="1"/>
  <c r="Q21" i="40"/>
  <c r="AP21" i="40" s="1"/>
  <c r="X21" i="40"/>
  <c r="AW21" i="40" s="1"/>
  <c r="T21" i="40"/>
  <c r="AS21" i="40" s="1"/>
  <c r="P21" i="40"/>
  <c r="AO21" i="40" s="1"/>
  <c r="W21" i="40"/>
  <c r="AV21" i="40" s="1"/>
  <c r="AE22" i="40"/>
  <c r="AB77" i="40"/>
  <c r="BF24" i="40"/>
  <c r="AD24" i="40"/>
  <c r="AP24" i="40" s="1"/>
  <c r="AG24" i="40"/>
  <c r="AC24" i="40"/>
  <c r="AO24" i="40" s="1"/>
  <c r="R27" i="40"/>
  <c r="AN27" i="40"/>
  <c r="BG27" i="40" s="1"/>
  <c r="I82" i="40"/>
  <c r="Y82" i="40" s="1"/>
  <c r="U29" i="40"/>
  <c r="AT29" i="40" s="1"/>
  <c r="Q29" i="40"/>
  <c r="AP29" i="40" s="1"/>
  <c r="X29" i="40"/>
  <c r="AW29" i="40" s="1"/>
  <c r="T29" i="40"/>
  <c r="AS29" i="40" s="1"/>
  <c r="P29" i="40"/>
  <c r="AO29" i="40" s="1"/>
  <c r="W29" i="40"/>
  <c r="AV29" i="40" s="1"/>
  <c r="AE30" i="40"/>
  <c r="AB85" i="40"/>
  <c r="BF32" i="40"/>
  <c r="AD32" i="40"/>
  <c r="AG32" i="40"/>
  <c r="AS32" i="40" s="1"/>
  <c r="AC32" i="40"/>
  <c r="R35" i="40"/>
  <c r="AN35" i="40"/>
  <c r="BG35" i="40" s="1"/>
  <c r="I90" i="40"/>
  <c r="Y90" i="40" s="1"/>
  <c r="U37" i="40"/>
  <c r="AT37" i="40" s="1"/>
  <c r="Q37" i="40"/>
  <c r="AP37" i="40" s="1"/>
  <c r="X37" i="40"/>
  <c r="AW37" i="40" s="1"/>
  <c r="T37" i="40"/>
  <c r="AS37" i="40" s="1"/>
  <c r="P37" i="40"/>
  <c r="AO37" i="40" s="1"/>
  <c r="W37" i="40"/>
  <c r="AV37" i="40" s="1"/>
  <c r="AE38" i="40"/>
  <c r="AB93" i="40"/>
  <c r="BF40" i="40"/>
  <c r="AD40" i="40"/>
  <c r="AP40" i="40" s="1"/>
  <c r="AG40" i="40"/>
  <c r="AS40" i="40" s="1"/>
  <c r="AC40" i="40"/>
  <c r="R43" i="40"/>
  <c r="AN43" i="40"/>
  <c r="BG43" i="40" s="1"/>
  <c r="W45" i="40"/>
  <c r="AV45" i="40" s="1"/>
  <c r="AE46" i="40"/>
  <c r="AB101" i="40"/>
  <c r="BF48" i="40"/>
  <c r="AD48" i="40"/>
  <c r="AP48" i="40" s="1"/>
  <c r="AG48" i="40"/>
  <c r="AS48" i="40" s="1"/>
  <c r="AC48" i="40"/>
  <c r="AO48" i="40" s="1"/>
  <c r="AN51" i="40"/>
  <c r="BG51" i="40" s="1"/>
  <c r="W53" i="40"/>
  <c r="AV53" i="40" s="1"/>
  <c r="P188" i="40"/>
  <c r="G188" i="40"/>
  <c r="P197" i="40"/>
  <c r="G197" i="40"/>
  <c r="F88" i="40"/>
  <c r="U88" i="40" s="1"/>
  <c r="AF203" i="40"/>
  <c r="AX203" i="40" s="1"/>
  <c r="F93" i="40"/>
  <c r="U93" i="40" s="1"/>
  <c r="P204" i="40"/>
  <c r="G204" i="40"/>
  <c r="P213" i="40"/>
  <c r="G213" i="40"/>
  <c r="AD180" i="40"/>
  <c r="AV180" i="40" s="1"/>
  <c r="Q180" i="40"/>
  <c r="Q188" i="40"/>
  <c r="AD188" i="40"/>
  <c r="AV188" i="40" s="1"/>
  <c r="AI176" i="40"/>
  <c r="AS176" i="40"/>
  <c r="AN7" i="40"/>
  <c r="BG7" i="40" s="1"/>
  <c r="AF7" i="40"/>
  <c r="P9" i="40"/>
  <c r="AO9" i="40" s="1"/>
  <c r="X9" i="40"/>
  <c r="AW9" i="40" s="1"/>
  <c r="AO10" i="40"/>
  <c r="AC10" i="40"/>
  <c r="S11" i="40"/>
  <c r="AR11" i="40" s="1"/>
  <c r="R13" i="40"/>
  <c r="AQ13" i="40" s="1"/>
  <c r="AN13" i="40"/>
  <c r="BG13" i="40" s="1"/>
  <c r="AN14" i="40"/>
  <c r="BG14" i="40" s="1"/>
  <c r="AF14" i="40"/>
  <c r="U15" i="40"/>
  <c r="AT15" i="40" s="1"/>
  <c r="Q15" i="40"/>
  <c r="AP15" i="40" s="1"/>
  <c r="X15" i="40"/>
  <c r="AW15" i="40" s="1"/>
  <c r="T15" i="40"/>
  <c r="AS15" i="40" s="1"/>
  <c r="P15" i="40"/>
  <c r="AO15" i="40" s="1"/>
  <c r="W15" i="40"/>
  <c r="AV15" i="40" s="1"/>
  <c r="AE16" i="40"/>
  <c r="V17" i="40"/>
  <c r="AU17" i="40" s="1"/>
  <c r="BF18" i="40"/>
  <c r="AD18" i="40"/>
  <c r="AP18" i="40" s="1"/>
  <c r="AG18" i="40"/>
  <c r="AS18" i="40" s="1"/>
  <c r="AC18" i="40"/>
  <c r="AO18" i="40" s="1"/>
  <c r="S19" i="40"/>
  <c r="AR19" i="40" s="1"/>
  <c r="R21" i="40"/>
  <c r="AN21" i="40"/>
  <c r="BG21" i="40" s="1"/>
  <c r="AN22" i="40"/>
  <c r="BG22" i="40" s="1"/>
  <c r="AF22" i="40"/>
  <c r="U23" i="40"/>
  <c r="AT23" i="40" s="1"/>
  <c r="Q23" i="40"/>
  <c r="AP23" i="40" s="1"/>
  <c r="X23" i="40"/>
  <c r="AW23" i="40" s="1"/>
  <c r="T23" i="40"/>
  <c r="AS23" i="40" s="1"/>
  <c r="P23" i="40"/>
  <c r="AO23" i="40" s="1"/>
  <c r="W23" i="40"/>
  <c r="AV23" i="40" s="1"/>
  <c r="AE24" i="40"/>
  <c r="V25" i="40"/>
  <c r="AU25" i="40" s="1"/>
  <c r="AB79" i="40"/>
  <c r="BF26" i="40"/>
  <c r="AD26" i="40"/>
  <c r="AP26" i="40" s="1"/>
  <c r="AG26" i="40"/>
  <c r="AS26" i="40" s="1"/>
  <c r="AC26" i="40"/>
  <c r="AO26" i="40" s="1"/>
  <c r="S27" i="40"/>
  <c r="R29" i="40"/>
  <c r="AQ29" i="40" s="1"/>
  <c r="AN29" i="40"/>
  <c r="BG29" i="40" s="1"/>
  <c r="C193" i="40"/>
  <c r="AL83" i="40"/>
  <c r="AF30" i="40"/>
  <c r="I84" i="40"/>
  <c r="Y84" i="40" s="1"/>
  <c r="U31" i="40"/>
  <c r="AT31" i="40" s="1"/>
  <c r="Q31" i="40"/>
  <c r="AP31" i="40" s="1"/>
  <c r="X31" i="40"/>
  <c r="AW31" i="40" s="1"/>
  <c r="T31" i="40"/>
  <c r="AS31" i="40" s="1"/>
  <c r="P31" i="40"/>
  <c r="AO31" i="40" s="1"/>
  <c r="W31" i="40"/>
  <c r="AV31" i="40" s="1"/>
  <c r="AE32" i="40"/>
  <c r="V33" i="40"/>
  <c r="AU33" i="40" s="1"/>
  <c r="AB87" i="40"/>
  <c r="BF34" i="40"/>
  <c r="AD34" i="40"/>
  <c r="AG34" i="40"/>
  <c r="AS34" i="40" s="1"/>
  <c r="AC34" i="40"/>
  <c r="AO34" i="40" s="1"/>
  <c r="S35" i="40"/>
  <c r="R37" i="40"/>
  <c r="AQ37" i="40" s="1"/>
  <c r="AN37" i="40"/>
  <c r="BG37" i="40" s="1"/>
  <c r="Y91" i="40"/>
  <c r="AF38" i="40"/>
  <c r="I92" i="40"/>
  <c r="Y92" i="40" s="1"/>
  <c r="U39" i="40"/>
  <c r="AT39" i="40" s="1"/>
  <c r="Q39" i="40"/>
  <c r="AP39" i="40" s="1"/>
  <c r="X39" i="40"/>
  <c r="AW39" i="40" s="1"/>
  <c r="T39" i="40"/>
  <c r="AS39" i="40" s="1"/>
  <c r="P39" i="40"/>
  <c r="AO39" i="40" s="1"/>
  <c r="W39" i="40"/>
  <c r="AV39" i="40" s="1"/>
  <c r="AE40" i="40"/>
  <c r="AB95" i="40"/>
  <c r="BF42" i="40"/>
  <c r="AD42" i="40"/>
  <c r="AP42" i="40" s="1"/>
  <c r="AG42" i="40"/>
  <c r="AC42" i="40"/>
  <c r="AO42" i="40" s="1"/>
  <c r="S43" i="40"/>
  <c r="R45" i="40"/>
  <c r="AQ45" i="40" s="1"/>
  <c r="C209" i="40"/>
  <c r="AL99" i="40"/>
  <c r="AF46" i="40"/>
  <c r="I100" i="40"/>
  <c r="Y100" i="40" s="1"/>
  <c r="U47" i="40"/>
  <c r="AT47" i="40" s="1"/>
  <c r="Q47" i="40"/>
  <c r="AP47" i="40" s="1"/>
  <c r="X47" i="40"/>
  <c r="AW47" i="40" s="1"/>
  <c r="T47" i="40"/>
  <c r="AS47" i="40" s="1"/>
  <c r="P47" i="40"/>
  <c r="AO47" i="40" s="1"/>
  <c r="W47" i="40"/>
  <c r="AV47" i="40" s="1"/>
  <c r="AE48" i="40"/>
  <c r="AB103" i="40"/>
  <c r="AE103" i="40" s="1"/>
  <c r="BF50" i="40"/>
  <c r="AD50" i="40"/>
  <c r="AP50" i="40" s="1"/>
  <c r="AG50" i="40"/>
  <c r="AS50" i="40" s="1"/>
  <c r="AC50" i="40"/>
  <c r="AO50" i="40" s="1"/>
  <c r="S51" i="40"/>
  <c r="R53" i="40"/>
  <c r="AQ53" i="40" s="1"/>
  <c r="F188" i="40"/>
  <c r="F189" i="40"/>
  <c r="AH82" i="40"/>
  <c r="P193" i="40"/>
  <c r="G193" i="40"/>
  <c r="F84" i="40"/>
  <c r="U84" i="40" s="1"/>
  <c r="AE87" i="40"/>
  <c r="AF199" i="40"/>
  <c r="AX199" i="40" s="1"/>
  <c r="F89" i="40"/>
  <c r="U89" i="40" s="1"/>
  <c r="P200" i="40"/>
  <c r="G200" i="40"/>
  <c r="F204" i="40"/>
  <c r="AH98" i="40"/>
  <c r="P209" i="40"/>
  <c r="G209" i="40"/>
  <c r="F100" i="40"/>
  <c r="U100" i="40" s="1"/>
  <c r="AF215" i="40"/>
  <c r="AX215" i="40" s="1"/>
  <c r="F105" i="40"/>
  <c r="U105" i="40" s="1"/>
  <c r="G216" i="40"/>
  <c r="P216" i="40"/>
  <c r="Q203" i="40"/>
  <c r="AD203" i="40"/>
  <c r="AV203" i="40" s="1"/>
  <c r="Q213" i="40"/>
  <c r="AD213" i="40"/>
  <c r="AV213" i="40" s="1"/>
  <c r="I98" i="40"/>
  <c r="Y98" i="40" s="1"/>
  <c r="U45" i="40"/>
  <c r="AT45" i="40" s="1"/>
  <c r="Q45" i="40"/>
  <c r="AP45" i="40" s="1"/>
  <c r="X45" i="40"/>
  <c r="AW45" i="40" s="1"/>
  <c r="T45" i="40"/>
  <c r="AS45" i="40" s="1"/>
  <c r="P45" i="40"/>
  <c r="AO45" i="40" s="1"/>
  <c r="R51" i="40"/>
  <c r="I106" i="40"/>
  <c r="Y106" i="40" s="1"/>
  <c r="U53" i="40"/>
  <c r="AT53" i="40" s="1"/>
  <c r="Q53" i="40"/>
  <c r="AP53" i="40" s="1"/>
  <c r="X53" i="40"/>
  <c r="AW53" i="40" s="1"/>
  <c r="T53" i="40"/>
  <c r="AS53" i="40" s="1"/>
  <c r="P53" i="40"/>
  <c r="AO53" i="40" s="1"/>
  <c r="AF187" i="40"/>
  <c r="AX187" i="40" s="1"/>
  <c r="F77" i="40"/>
  <c r="U77" i="40" s="1"/>
  <c r="F193" i="40"/>
  <c r="F104" i="40"/>
  <c r="U104" i="40" s="1"/>
  <c r="Q172" i="40"/>
  <c r="AD172" i="40"/>
  <c r="AV172" i="40" s="1"/>
  <c r="AS8" i="40"/>
  <c r="AE8" i="40"/>
  <c r="AQ8" i="40" s="1"/>
  <c r="BF8" i="40"/>
  <c r="AD8" i="40"/>
  <c r="AP8" i="40" s="1"/>
  <c r="S9" i="40"/>
  <c r="AR9" i="40" s="1"/>
  <c r="AF10" i="40"/>
  <c r="V11" i="40"/>
  <c r="AU11" i="40" s="1"/>
  <c r="BE11" i="40"/>
  <c r="BF12" i="40"/>
  <c r="AD12" i="40"/>
  <c r="AP12" i="40" s="1"/>
  <c r="AG12" i="40"/>
  <c r="AC12" i="40"/>
  <c r="AO12" i="40" s="1"/>
  <c r="S13" i="40"/>
  <c r="AR13" i="40" s="1"/>
  <c r="AN16" i="40"/>
  <c r="BG16" i="40" s="1"/>
  <c r="AF16" i="40"/>
  <c r="U17" i="40"/>
  <c r="AT17" i="40" s="1"/>
  <c r="Q17" i="40"/>
  <c r="AP17" i="40" s="1"/>
  <c r="X17" i="40"/>
  <c r="AW17" i="40" s="1"/>
  <c r="T17" i="40"/>
  <c r="AS17" i="40" s="1"/>
  <c r="P17" i="40"/>
  <c r="AO17" i="40" s="1"/>
  <c r="W17" i="40"/>
  <c r="AV17" i="40" s="1"/>
  <c r="V19" i="40"/>
  <c r="AU19" i="40" s="1"/>
  <c r="BE19" i="40"/>
  <c r="BF20" i="40"/>
  <c r="AD20" i="40"/>
  <c r="AP20" i="40" s="1"/>
  <c r="AG20" i="40"/>
  <c r="AS20" i="40" s="1"/>
  <c r="AC20" i="40"/>
  <c r="AO20" i="40" s="1"/>
  <c r="S21" i="40"/>
  <c r="AR21" i="40" s="1"/>
  <c r="AF24" i="40"/>
  <c r="I78" i="40"/>
  <c r="Y78" i="40" s="1"/>
  <c r="AE78" i="40" s="1"/>
  <c r="U25" i="40"/>
  <c r="AT25" i="40" s="1"/>
  <c r="Q25" i="40"/>
  <c r="AP25" i="40" s="1"/>
  <c r="X25" i="40"/>
  <c r="AW25" i="40" s="1"/>
  <c r="T25" i="40"/>
  <c r="AS25" i="40" s="1"/>
  <c r="P25" i="40"/>
  <c r="AO25" i="40" s="1"/>
  <c r="W25" i="40"/>
  <c r="AV25" i="40" s="1"/>
  <c r="V27" i="40"/>
  <c r="AU27" i="40" s="1"/>
  <c r="BE27" i="40"/>
  <c r="AB81" i="40"/>
  <c r="BF28" i="40"/>
  <c r="AD28" i="40"/>
  <c r="AP28" i="40" s="1"/>
  <c r="AG28" i="40"/>
  <c r="AS28" i="40" s="1"/>
  <c r="AC28" i="40"/>
  <c r="S29" i="40"/>
  <c r="AF32" i="40"/>
  <c r="I86" i="40"/>
  <c r="Y86" i="40" s="1"/>
  <c r="U33" i="40"/>
  <c r="AT33" i="40" s="1"/>
  <c r="Q33" i="40"/>
  <c r="AP33" i="40" s="1"/>
  <c r="X33" i="40"/>
  <c r="AW33" i="40" s="1"/>
  <c r="T33" i="40"/>
  <c r="AS33" i="40" s="1"/>
  <c r="P33" i="40"/>
  <c r="AO33" i="40" s="1"/>
  <c r="W33" i="40"/>
  <c r="AV33" i="40" s="1"/>
  <c r="AE34" i="40"/>
  <c r="V35" i="40"/>
  <c r="AU35" i="40" s="1"/>
  <c r="BE35" i="40"/>
  <c r="AB89" i="40"/>
  <c r="BF36" i="40"/>
  <c r="AD36" i="40"/>
  <c r="AP36" i="40" s="1"/>
  <c r="AG36" i="40"/>
  <c r="AS36" i="40" s="1"/>
  <c r="AC36" i="40"/>
  <c r="S37" i="40"/>
  <c r="R39" i="40"/>
  <c r="AN39" i="40"/>
  <c r="BG39" i="40" s="1"/>
  <c r="AF40" i="40"/>
  <c r="I94" i="40"/>
  <c r="Y94" i="40" s="1"/>
  <c r="U41" i="40"/>
  <c r="AT41" i="40" s="1"/>
  <c r="Q41" i="40"/>
  <c r="AP41" i="40" s="1"/>
  <c r="X41" i="40"/>
  <c r="AW41" i="40" s="1"/>
  <c r="T41" i="40"/>
  <c r="AS41" i="40" s="1"/>
  <c r="P41" i="40"/>
  <c r="AO41" i="40" s="1"/>
  <c r="W41" i="40"/>
  <c r="AV41" i="40" s="1"/>
  <c r="AE42" i="40"/>
  <c r="V43" i="40"/>
  <c r="AU43" i="40" s="1"/>
  <c r="BE43" i="40"/>
  <c r="AB97" i="40"/>
  <c r="BF44" i="40"/>
  <c r="AD44" i="40"/>
  <c r="AP44" i="40" s="1"/>
  <c r="AG44" i="40"/>
  <c r="AS44" i="40" s="1"/>
  <c r="AC44" i="40"/>
  <c r="AO44" i="40" s="1"/>
  <c r="S45" i="40"/>
  <c r="R47" i="40"/>
  <c r="AN47" i="40"/>
  <c r="BG47" i="40" s="1"/>
  <c r="AF48" i="40"/>
  <c r="I102" i="40"/>
  <c r="Y102" i="40" s="1"/>
  <c r="U49" i="40"/>
  <c r="AT49" i="40" s="1"/>
  <c r="Q49" i="40"/>
  <c r="AP49" i="40" s="1"/>
  <c r="X49" i="40"/>
  <c r="AW49" i="40" s="1"/>
  <c r="T49" i="40"/>
  <c r="AS49" i="40" s="1"/>
  <c r="P49" i="40"/>
  <c r="AO49" i="40" s="1"/>
  <c r="W49" i="40"/>
  <c r="AV49" i="40" s="1"/>
  <c r="AE50" i="40"/>
  <c r="V51" i="40"/>
  <c r="AU51" i="40" s="1"/>
  <c r="BE51" i="40"/>
  <c r="AB105" i="40"/>
  <c r="BF52" i="40"/>
  <c r="AD52" i="40"/>
  <c r="AP52" i="40" s="1"/>
  <c r="AG52" i="40"/>
  <c r="AS52" i="40" s="1"/>
  <c r="AC52" i="40"/>
  <c r="AO52" i="40" s="1"/>
  <c r="S53" i="40"/>
  <c r="AR53" i="40" s="1"/>
  <c r="F170" i="40"/>
  <c r="AB60" i="40"/>
  <c r="AE61" i="40"/>
  <c r="AB61" i="40"/>
  <c r="AE62" i="40"/>
  <c r="AB63" i="40"/>
  <c r="F175" i="40"/>
  <c r="AE65" i="40"/>
  <c r="AB65" i="40"/>
  <c r="AE66" i="40"/>
  <c r="AB67" i="40"/>
  <c r="F178" i="40"/>
  <c r="AE68" i="40"/>
  <c r="AE69" i="40"/>
  <c r="AB69" i="40"/>
  <c r="F181" i="40"/>
  <c r="AE71" i="40"/>
  <c r="AB71" i="40"/>
  <c r="AE72" i="40"/>
  <c r="AE73" i="40"/>
  <c r="AB73" i="40"/>
  <c r="F184" i="40"/>
  <c r="AE74" i="40"/>
  <c r="F185" i="40"/>
  <c r="AE75" i="40"/>
  <c r="AB75" i="40"/>
  <c r="AH78" i="40"/>
  <c r="P189" i="40"/>
  <c r="G189" i="40"/>
  <c r="F80" i="40"/>
  <c r="U80" i="40" s="1"/>
  <c r="AM80" i="40" s="1"/>
  <c r="AE83" i="40"/>
  <c r="AF195" i="40"/>
  <c r="AX195" i="40" s="1"/>
  <c r="F85" i="40"/>
  <c r="U85" i="40" s="1"/>
  <c r="P196" i="40"/>
  <c r="G196" i="40"/>
  <c r="F201" i="40"/>
  <c r="AE92" i="40"/>
  <c r="AH94" i="40"/>
  <c r="G205" i="40"/>
  <c r="P205" i="40"/>
  <c r="F96" i="40"/>
  <c r="U96" i="40" s="1"/>
  <c r="AF211" i="40"/>
  <c r="AX211" i="40" s="1"/>
  <c r="F101" i="40"/>
  <c r="U101" i="40" s="1"/>
  <c r="G212" i="40"/>
  <c r="P212" i="40"/>
  <c r="Q176" i="40"/>
  <c r="AD176" i="40"/>
  <c r="AV176" i="40" s="1"/>
  <c r="AD184" i="40"/>
  <c r="AV184" i="40" s="1"/>
  <c r="Q184" i="40"/>
  <c r="AD197" i="40"/>
  <c r="AV197" i="40" s="1"/>
  <c r="Q197" i="40"/>
  <c r="AS187" i="40"/>
  <c r="F191" i="40"/>
  <c r="F209" i="40"/>
  <c r="R7" i="40"/>
  <c r="AQ7" i="40" s="1"/>
  <c r="V7" i="40"/>
  <c r="AU7" i="40" s="1"/>
  <c r="BE7" i="40"/>
  <c r="S8" i="40"/>
  <c r="AR8" i="40" s="1"/>
  <c r="W8" i="40"/>
  <c r="AV8" i="40" s="1"/>
  <c r="S10" i="40"/>
  <c r="AR10" i="40" s="1"/>
  <c r="W10" i="40"/>
  <c r="AV10" i="40" s="1"/>
  <c r="AE11" i="40"/>
  <c r="R12" i="40"/>
  <c r="AQ12" i="40" s="1"/>
  <c r="V12" i="40"/>
  <c r="AU12" i="40" s="1"/>
  <c r="BE12" i="40"/>
  <c r="AE13" i="40"/>
  <c r="R14" i="40"/>
  <c r="AQ14" i="40" s="1"/>
  <c r="V14" i="40"/>
  <c r="AU14" i="40" s="1"/>
  <c r="BE14" i="40"/>
  <c r="AE15" i="40"/>
  <c r="AQ15" i="40" s="1"/>
  <c r="R16" i="40"/>
  <c r="AQ16" i="40" s="1"/>
  <c r="V16" i="40"/>
  <c r="AU16" i="40" s="1"/>
  <c r="BE16" i="40"/>
  <c r="AE17" i="40"/>
  <c r="AQ17" i="40" s="1"/>
  <c r="R18" i="40"/>
  <c r="AQ18" i="40" s="1"/>
  <c r="V18" i="40"/>
  <c r="AU18" i="40" s="1"/>
  <c r="BE18" i="40"/>
  <c r="AE19" i="40"/>
  <c r="R20" i="40"/>
  <c r="AQ20" i="40" s="1"/>
  <c r="V20" i="40"/>
  <c r="AU20" i="40" s="1"/>
  <c r="BE20" i="40"/>
  <c r="AE21" i="40"/>
  <c r="R22" i="40"/>
  <c r="AQ22" i="40" s="1"/>
  <c r="V22" i="40"/>
  <c r="AU22" i="40" s="1"/>
  <c r="BE22" i="40"/>
  <c r="AE23" i="40"/>
  <c r="AQ23" i="40" s="1"/>
  <c r="R24" i="40"/>
  <c r="AQ24" i="40" s="1"/>
  <c r="V24" i="40"/>
  <c r="AU24" i="40" s="1"/>
  <c r="R26" i="40"/>
  <c r="AQ26" i="40" s="1"/>
  <c r="V26" i="40"/>
  <c r="AU26" i="40" s="1"/>
  <c r="BE26" i="40"/>
  <c r="AE27" i="40"/>
  <c r="R28" i="40"/>
  <c r="AQ28" i="40" s="1"/>
  <c r="V28" i="40"/>
  <c r="AU28" i="40" s="1"/>
  <c r="R30" i="40"/>
  <c r="AQ30" i="40" s="1"/>
  <c r="V30" i="40"/>
  <c r="AU30" i="40" s="1"/>
  <c r="BE30" i="40"/>
  <c r="AE31" i="40"/>
  <c r="AQ31" i="40" s="1"/>
  <c r="R32" i="40"/>
  <c r="AQ32" i="40" s="1"/>
  <c r="V32" i="40"/>
  <c r="AU32" i="40" s="1"/>
  <c r="R34" i="40"/>
  <c r="V34" i="40"/>
  <c r="AU34" i="40" s="1"/>
  <c r="BE34" i="40"/>
  <c r="AE35" i="40"/>
  <c r="R36" i="40"/>
  <c r="AQ36" i="40" s="1"/>
  <c r="V36" i="40"/>
  <c r="AU36" i="40" s="1"/>
  <c r="R38" i="40"/>
  <c r="AQ38" i="40" s="1"/>
  <c r="V38" i="40"/>
  <c r="AU38" i="40" s="1"/>
  <c r="BE38" i="40"/>
  <c r="AE39" i="40"/>
  <c r="R40" i="40"/>
  <c r="AQ40" i="40" s="1"/>
  <c r="V40" i="40"/>
  <c r="AU40" i="40" s="1"/>
  <c r="R42" i="40"/>
  <c r="AQ42" i="40" s="1"/>
  <c r="V42" i="40"/>
  <c r="AU42" i="40" s="1"/>
  <c r="BE42" i="40"/>
  <c r="AE43" i="40"/>
  <c r="R44" i="40"/>
  <c r="AQ44" i="40" s="1"/>
  <c r="V44" i="40"/>
  <c r="AU44" i="40" s="1"/>
  <c r="R46" i="40"/>
  <c r="AQ46" i="40" s="1"/>
  <c r="V46" i="40"/>
  <c r="AU46" i="40" s="1"/>
  <c r="BE46" i="40"/>
  <c r="AE47" i="40"/>
  <c r="R48" i="40"/>
  <c r="AQ48" i="40" s="1"/>
  <c r="V48" i="40"/>
  <c r="AU48" i="40" s="1"/>
  <c r="R50" i="40"/>
  <c r="AQ50" i="40" s="1"/>
  <c r="V50" i="40"/>
  <c r="AU50" i="40" s="1"/>
  <c r="BE50" i="40"/>
  <c r="AE51" i="40"/>
  <c r="R52" i="40"/>
  <c r="AQ52" i="40" s="1"/>
  <c r="V52" i="40"/>
  <c r="AU52" i="40" s="1"/>
  <c r="G171" i="40"/>
  <c r="P171" i="40"/>
  <c r="G172" i="40"/>
  <c r="P172" i="40"/>
  <c r="P174" i="40"/>
  <c r="G174" i="40"/>
  <c r="P177" i="40"/>
  <c r="G177" i="40"/>
  <c r="P180" i="40"/>
  <c r="G180" i="40"/>
  <c r="G181" i="40"/>
  <c r="P181" i="40"/>
  <c r="G182" i="40"/>
  <c r="P182" i="40"/>
  <c r="P183" i="40"/>
  <c r="G183" i="40"/>
  <c r="P184" i="40"/>
  <c r="G184" i="40"/>
  <c r="G185" i="40"/>
  <c r="P185" i="40"/>
  <c r="G186" i="40"/>
  <c r="P186" i="40"/>
  <c r="G190" i="40"/>
  <c r="P190" i="40"/>
  <c r="G194" i="40"/>
  <c r="P194" i="40"/>
  <c r="G198" i="40"/>
  <c r="P198" i="40"/>
  <c r="G202" i="40"/>
  <c r="P202" i="40"/>
  <c r="G206" i="40"/>
  <c r="P206" i="40"/>
  <c r="P210" i="40"/>
  <c r="G210" i="40"/>
  <c r="P214" i="40"/>
  <c r="G214" i="40"/>
  <c r="AD170" i="40"/>
  <c r="AV170" i="40" s="1"/>
  <c r="Q170" i="40"/>
  <c r="AD178" i="40"/>
  <c r="AV178" i="40" s="1"/>
  <c r="Q178" i="40"/>
  <c r="Q182" i="40"/>
  <c r="AD182" i="40"/>
  <c r="AV182" i="40" s="1"/>
  <c r="Q195" i="40"/>
  <c r="AD195" i="40"/>
  <c r="AV195" i="40" s="1"/>
  <c r="Q209" i="40"/>
  <c r="AD209" i="40"/>
  <c r="AV209" i="40" s="1"/>
  <c r="G170" i="40"/>
  <c r="Q171" i="40"/>
  <c r="AS173" i="40"/>
  <c r="AI173" i="40"/>
  <c r="G178" i="40"/>
  <c r="F179" i="40"/>
  <c r="F186" i="40"/>
  <c r="S7" i="40"/>
  <c r="AR7" i="40" s="1"/>
  <c r="W7" i="40"/>
  <c r="AV7" i="40" s="1"/>
  <c r="S12" i="40"/>
  <c r="AR12" i="40" s="1"/>
  <c r="W12" i="40"/>
  <c r="AV12" i="40" s="1"/>
  <c r="S14" i="40"/>
  <c r="AR14" i="40" s="1"/>
  <c r="W14" i="40"/>
  <c r="AV14" i="40" s="1"/>
  <c r="S16" i="40"/>
  <c r="AR16" i="40" s="1"/>
  <c r="W16" i="40"/>
  <c r="AV16" i="40" s="1"/>
  <c r="S18" i="40"/>
  <c r="AR18" i="40" s="1"/>
  <c r="W18" i="40"/>
  <c r="AV18" i="40" s="1"/>
  <c r="S20" i="40"/>
  <c r="AR20" i="40" s="1"/>
  <c r="W20" i="40"/>
  <c r="AV20" i="40" s="1"/>
  <c r="S22" i="40"/>
  <c r="AR22" i="40" s="1"/>
  <c r="W22" i="40"/>
  <c r="AV22" i="40" s="1"/>
  <c r="AM76" i="40"/>
  <c r="AF23" i="40"/>
  <c r="AR23" i="40" s="1"/>
  <c r="I77" i="40"/>
  <c r="Y77" i="40" s="1"/>
  <c r="S24" i="40"/>
  <c r="AR24" i="40" s="1"/>
  <c r="W24" i="40"/>
  <c r="AV24" i="40" s="1"/>
  <c r="AN24" i="40"/>
  <c r="BG24" i="40" s="1"/>
  <c r="AB78" i="40"/>
  <c r="AF25" i="40"/>
  <c r="AR25" i="40" s="1"/>
  <c r="S26" i="40"/>
  <c r="AR26" i="40" s="1"/>
  <c r="W26" i="40"/>
  <c r="AV26" i="40" s="1"/>
  <c r="AN26" i="40"/>
  <c r="BG26" i="40" s="1"/>
  <c r="AF27" i="40"/>
  <c r="I81" i="40"/>
  <c r="Y81" i="40" s="1"/>
  <c r="S28" i="40"/>
  <c r="AR28" i="40" s="1"/>
  <c r="W28" i="40"/>
  <c r="AV28" i="40" s="1"/>
  <c r="AN28" i="40"/>
  <c r="BG28" i="40" s="1"/>
  <c r="AB82" i="40"/>
  <c r="AF29" i="40"/>
  <c r="S30" i="40"/>
  <c r="AR30" i="40" s="1"/>
  <c r="W30" i="40"/>
  <c r="AV30" i="40" s="1"/>
  <c r="AN30" i="40"/>
  <c r="BG30" i="40" s="1"/>
  <c r="AM84" i="40"/>
  <c r="AF31" i="40"/>
  <c r="AR31" i="40" s="1"/>
  <c r="I85" i="40"/>
  <c r="Y85" i="40" s="1"/>
  <c r="S32" i="40"/>
  <c r="AR32" i="40" s="1"/>
  <c r="W32" i="40"/>
  <c r="AV32" i="40" s="1"/>
  <c r="AN32" i="40"/>
  <c r="BG32" i="40" s="1"/>
  <c r="AB86" i="40"/>
  <c r="AF33" i="40"/>
  <c r="AR33" i="40" s="1"/>
  <c r="S34" i="40"/>
  <c r="AR34" i="40" s="1"/>
  <c r="W34" i="40"/>
  <c r="AV34" i="40" s="1"/>
  <c r="AN34" i="40"/>
  <c r="BG34" i="40" s="1"/>
  <c r="AM88" i="40"/>
  <c r="AF35" i="40"/>
  <c r="I89" i="40"/>
  <c r="Y89" i="40" s="1"/>
  <c r="S36" i="40"/>
  <c r="AR36" i="40" s="1"/>
  <c r="W36" i="40"/>
  <c r="AV36" i="40" s="1"/>
  <c r="AN36" i="40"/>
  <c r="BG36" i="40" s="1"/>
  <c r="AB90" i="40"/>
  <c r="AF37" i="40"/>
  <c r="S38" i="40"/>
  <c r="AR38" i="40" s="1"/>
  <c r="W38" i="40"/>
  <c r="AV38" i="40" s="1"/>
  <c r="AN38" i="40"/>
  <c r="BG38" i="40" s="1"/>
  <c r="AM92" i="40"/>
  <c r="AF39" i="40"/>
  <c r="AR39" i="40" s="1"/>
  <c r="I93" i="40"/>
  <c r="Y93" i="40" s="1"/>
  <c r="S40" i="40"/>
  <c r="AR40" i="40" s="1"/>
  <c r="W40" i="40"/>
  <c r="AV40" i="40" s="1"/>
  <c r="AN40" i="40"/>
  <c r="BG40" i="40" s="1"/>
  <c r="AB94" i="40"/>
  <c r="AF41" i="40"/>
  <c r="AR41" i="40" s="1"/>
  <c r="S42" i="40"/>
  <c r="AR42" i="40" s="1"/>
  <c r="W42" i="40"/>
  <c r="AV42" i="40" s="1"/>
  <c r="AN42" i="40"/>
  <c r="BG42" i="40" s="1"/>
  <c r="AF43" i="40"/>
  <c r="I97" i="40"/>
  <c r="Y97" i="40" s="1"/>
  <c r="S44" i="40"/>
  <c r="AR44" i="40" s="1"/>
  <c r="W44" i="40"/>
  <c r="AV44" i="40" s="1"/>
  <c r="AN44" i="40"/>
  <c r="BG44" i="40" s="1"/>
  <c r="AB98" i="40"/>
  <c r="AF45" i="40"/>
  <c r="S46" i="40"/>
  <c r="AR46" i="40" s="1"/>
  <c r="W46" i="40"/>
  <c r="AV46" i="40" s="1"/>
  <c r="AN46" i="40"/>
  <c r="BG46" i="40" s="1"/>
  <c r="AM100" i="40"/>
  <c r="AF47" i="40"/>
  <c r="AR47" i="40" s="1"/>
  <c r="I101" i="40"/>
  <c r="Y101" i="40" s="1"/>
  <c r="S48" i="40"/>
  <c r="AR48" i="40" s="1"/>
  <c r="W48" i="40"/>
  <c r="AV48" i="40" s="1"/>
  <c r="AN48" i="40"/>
  <c r="BG48" i="40" s="1"/>
  <c r="AB102" i="40"/>
  <c r="AF49" i="40"/>
  <c r="AR49" i="40" s="1"/>
  <c r="S50" i="40"/>
  <c r="AR50" i="40" s="1"/>
  <c r="W50" i="40"/>
  <c r="AV50" i="40" s="1"/>
  <c r="AN50" i="40"/>
  <c r="BG50" i="40" s="1"/>
  <c r="AM104" i="40"/>
  <c r="AF51" i="40"/>
  <c r="I105" i="40"/>
  <c r="Y105" i="40" s="1"/>
  <c r="S52" i="40"/>
  <c r="AR52" i="40" s="1"/>
  <c r="W52" i="40"/>
  <c r="AV52" i="40" s="1"/>
  <c r="AN52" i="40"/>
  <c r="BG52" i="40" s="1"/>
  <c r="AB106" i="40"/>
  <c r="AF53" i="40"/>
  <c r="P187" i="40"/>
  <c r="G187" i="40"/>
  <c r="G191" i="40"/>
  <c r="P191" i="40"/>
  <c r="G195" i="40"/>
  <c r="P195" i="40"/>
  <c r="G199" i="40"/>
  <c r="P199" i="40"/>
  <c r="P203" i="40"/>
  <c r="G203" i="40"/>
  <c r="P207" i="40"/>
  <c r="G207" i="40"/>
  <c r="G211" i="40"/>
  <c r="P211" i="40"/>
  <c r="AD205" i="40"/>
  <c r="AV205" i="40" s="1"/>
  <c r="Q205" i="40"/>
  <c r="E173" i="40"/>
  <c r="P179" i="40"/>
  <c r="AD193" i="40"/>
  <c r="AV193" i="40" s="1"/>
  <c r="Q193" i="40"/>
  <c r="AD201" i="40"/>
  <c r="AV201" i="40" s="1"/>
  <c r="Q201" i="40"/>
  <c r="Q207" i="40"/>
  <c r="AD207" i="40"/>
  <c r="AV207" i="40" s="1"/>
  <c r="Q211" i="40"/>
  <c r="AD211" i="40"/>
  <c r="AV211" i="40" s="1"/>
  <c r="AD215" i="40"/>
  <c r="AV215" i="40" s="1"/>
  <c r="Q215" i="40"/>
  <c r="F177" i="40"/>
  <c r="E177" i="40"/>
  <c r="AS186" i="40"/>
  <c r="AI186" i="40"/>
  <c r="AD191" i="40"/>
  <c r="AV191" i="40" s="1"/>
  <c r="AS200" i="40"/>
  <c r="AI200" i="40"/>
  <c r="Q173" i="40"/>
  <c r="AD173" i="40"/>
  <c r="AV173" i="40" s="1"/>
  <c r="Q177" i="40"/>
  <c r="AD177" i="40"/>
  <c r="AV177" i="40" s="1"/>
  <c r="Q179" i="40"/>
  <c r="AD179" i="40"/>
  <c r="AV179" i="40" s="1"/>
  <c r="Q183" i="40"/>
  <c r="AD183" i="40"/>
  <c r="AV183" i="40" s="1"/>
  <c r="Q185" i="40"/>
  <c r="AD185" i="40"/>
  <c r="AV185" i="40" s="1"/>
  <c r="Q187" i="40"/>
  <c r="AD187" i="40"/>
  <c r="AV187" i="40" s="1"/>
  <c r="AD189" i="40"/>
  <c r="AV189" i="40" s="1"/>
  <c r="Q189" i="40"/>
  <c r="AI172" i="40"/>
  <c r="F176" i="40"/>
  <c r="F183" i="40"/>
  <c r="AS192" i="40"/>
  <c r="AI192" i="40"/>
  <c r="F199" i="40"/>
  <c r="Q190" i="40"/>
  <c r="AD190" i="40"/>
  <c r="AV190" i="40" s="1"/>
  <c r="Q192" i="40"/>
  <c r="AD192" i="40"/>
  <c r="AV192" i="40" s="1"/>
  <c r="Q196" i="40"/>
  <c r="AD196" i="40"/>
  <c r="AV196" i="40" s="1"/>
  <c r="Q198" i="40"/>
  <c r="AD198" i="40"/>
  <c r="AV198" i="40" s="1"/>
  <c r="Q200" i="40"/>
  <c r="AD200" i="40"/>
  <c r="AV200" i="40" s="1"/>
  <c r="Q206" i="40"/>
  <c r="AD206" i="40"/>
  <c r="AV206" i="40" s="1"/>
  <c r="Q208" i="40"/>
  <c r="AD208" i="40"/>
  <c r="AV208" i="40" s="1"/>
  <c r="AD210" i="40"/>
  <c r="AV210" i="40" s="1"/>
  <c r="Q210" i="40"/>
  <c r="Q212" i="40"/>
  <c r="AD212" i="40"/>
  <c r="AV212" i="40" s="1"/>
  <c r="Q216" i="40"/>
  <c r="AD216" i="40"/>
  <c r="AV216" i="40" s="1"/>
  <c r="AI170" i="40"/>
  <c r="AI174" i="40"/>
  <c r="AI178" i="40"/>
  <c r="F182" i="40"/>
  <c r="AS191" i="40"/>
  <c r="AI191" i="40"/>
  <c r="AS199" i="40"/>
  <c r="AI199" i="40"/>
  <c r="Q204" i="40"/>
  <c r="AI171" i="40"/>
  <c r="AI175" i="40"/>
  <c r="F187" i="40"/>
  <c r="F196" i="40"/>
  <c r="F207" i="40"/>
  <c r="Q214" i="40"/>
  <c r="AI180" i="40"/>
  <c r="AI184" i="40"/>
  <c r="F195" i="40"/>
  <c r="AS203" i="40"/>
  <c r="AI203" i="40"/>
  <c r="AS212" i="40"/>
  <c r="AI212" i="40"/>
  <c r="AI181" i="40"/>
  <c r="AI185" i="40"/>
  <c r="F192" i="40"/>
  <c r="F200" i="40"/>
  <c r="AI189" i="40"/>
  <c r="AI193" i="40"/>
  <c r="AI197" i="40"/>
  <c r="AI201" i="40"/>
  <c r="F206" i="40"/>
  <c r="AS207" i="40"/>
  <c r="AI207" i="40"/>
  <c r="F212" i="40"/>
  <c r="AS213" i="40"/>
  <c r="AI213" i="40"/>
  <c r="AI190" i="40"/>
  <c r="AI194" i="40"/>
  <c r="E197" i="40"/>
  <c r="AI198" i="40"/>
  <c r="F203" i="40"/>
  <c r="AI204" i="40"/>
  <c r="F208" i="40"/>
  <c r="F216" i="40"/>
  <c r="AI205" i="40"/>
  <c r="F213" i="40"/>
  <c r="E213" i="40"/>
  <c r="AI210" i="40"/>
  <c r="AI214" i="40"/>
  <c r="AI211" i="40"/>
  <c r="AI215" i="40"/>
  <c r="AQ11" i="39"/>
  <c r="AR9" i="39"/>
  <c r="AP18" i="39"/>
  <c r="AR24" i="39"/>
  <c r="AP29" i="39"/>
  <c r="AO31" i="39"/>
  <c r="AO17" i="39"/>
  <c r="AP33" i="39"/>
  <c r="P7" i="39"/>
  <c r="AO7" i="39" s="1"/>
  <c r="T7" i="39"/>
  <c r="AS7" i="39" s="1"/>
  <c r="X7" i="39"/>
  <c r="AW7" i="39" s="1"/>
  <c r="AE7" i="39"/>
  <c r="I61" i="39"/>
  <c r="Y61" i="39" s="1"/>
  <c r="BE8" i="39"/>
  <c r="V8" i="39"/>
  <c r="AU8" i="39" s="1"/>
  <c r="R8" i="39"/>
  <c r="AQ8" i="39" s="1"/>
  <c r="T8" i="39"/>
  <c r="AB61" i="39"/>
  <c r="AG8" i="39"/>
  <c r="AC8" i="39"/>
  <c r="AO8" i="39" s="1"/>
  <c r="AN8" i="39"/>
  <c r="BG8" i="39" s="1"/>
  <c r="Q9" i="39"/>
  <c r="AP9" i="39" s="1"/>
  <c r="V9" i="39"/>
  <c r="AU9" i="39" s="1"/>
  <c r="AD9" i="39"/>
  <c r="BF9" i="39"/>
  <c r="R10" i="39"/>
  <c r="AQ10" i="39" s="1"/>
  <c r="W10" i="39"/>
  <c r="AV10" i="39" s="1"/>
  <c r="BE10" i="39"/>
  <c r="AC11" i="39"/>
  <c r="AO11" i="39" s="1"/>
  <c r="R12" i="39"/>
  <c r="AQ12" i="39" s="1"/>
  <c r="W12" i="39"/>
  <c r="AV12" i="39" s="1"/>
  <c r="BE12" i="39"/>
  <c r="P13" i="39"/>
  <c r="U13" i="39"/>
  <c r="AT13" i="39" s="1"/>
  <c r="AD13" i="39"/>
  <c r="BF13" i="39"/>
  <c r="R14" i="39"/>
  <c r="W14" i="39"/>
  <c r="AV14" i="39" s="1"/>
  <c r="I68" i="39"/>
  <c r="Y68" i="39" s="1"/>
  <c r="BE15" i="39"/>
  <c r="V15" i="39"/>
  <c r="AU15" i="39" s="1"/>
  <c r="R15" i="39"/>
  <c r="AQ15" i="39" s="1"/>
  <c r="T15" i="39"/>
  <c r="AS15" i="39" s="1"/>
  <c r="AB68" i="39"/>
  <c r="AG15" i="39"/>
  <c r="AC15" i="39"/>
  <c r="AO15" i="39" s="1"/>
  <c r="AN15" i="39"/>
  <c r="BG15" i="39" s="1"/>
  <c r="Q16" i="39"/>
  <c r="V16" i="39"/>
  <c r="AU16" i="39" s="1"/>
  <c r="AD16" i="39"/>
  <c r="BF16" i="39"/>
  <c r="S17" i="39"/>
  <c r="AR17" i="39" s="1"/>
  <c r="I71" i="39"/>
  <c r="Y71" i="39" s="1"/>
  <c r="X18" i="39"/>
  <c r="AW18" i="39" s="1"/>
  <c r="T18" i="39"/>
  <c r="P18" i="39"/>
  <c r="U18" i="39"/>
  <c r="AT18" i="39" s="1"/>
  <c r="AC18" i="39"/>
  <c r="AN18" i="39"/>
  <c r="BG18" i="39" s="1"/>
  <c r="BE18" i="39"/>
  <c r="Q19" i="39"/>
  <c r="AP19" i="39" s="1"/>
  <c r="W19" i="39"/>
  <c r="AV19" i="39" s="1"/>
  <c r="AE19" i="39"/>
  <c r="AB73" i="39"/>
  <c r="AE20" i="39"/>
  <c r="AQ20" i="39" s="1"/>
  <c r="AG20" i="39"/>
  <c r="P21" i="39"/>
  <c r="U21" i="39"/>
  <c r="AT21" i="39" s="1"/>
  <c r="AD21" i="39"/>
  <c r="BF21" i="39"/>
  <c r="R22" i="39"/>
  <c r="W22" i="39"/>
  <c r="AV22" i="39" s="1"/>
  <c r="I76" i="39"/>
  <c r="Y76" i="39" s="1"/>
  <c r="BE23" i="39"/>
  <c r="V23" i="39"/>
  <c r="AU23" i="39" s="1"/>
  <c r="R23" i="39"/>
  <c r="AQ23" i="39" s="1"/>
  <c r="T23" i="39"/>
  <c r="AS23" i="39" s="1"/>
  <c r="AB76" i="39"/>
  <c r="AG23" i="39"/>
  <c r="AC23" i="39"/>
  <c r="AO23" i="39" s="1"/>
  <c r="AN23" i="39"/>
  <c r="BG23" i="39" s="1"/>
  <c r="Q24" i="39"/>
  <c r="V24" i="39"/>
  <c r="AU24" i="39" s="1"/>
  <c r="AD24" i="39"/>
  <c r="BF24" i="39"/>
  <c r="S25" i="39"/>
  <c r="AR25" i="39" s="1"/>
  <c r="I79" i="39"/>
  <c r="Y79" i="39" s="1"/>
  <c r="U26" i="39"/>
  <c r="AT26" i="39" s="1"/>
  <c r="Q26" i="39"/>
  <c r="AP26" i="39" s="1"/>
  <c r="X26" i="39"/>
  <c r="AW26" i="39" s="1"/>
  <c r="T26" i="39"/>
  <c r="AS26" i="39" s="1"/>
  <c r="P26" i="39"/>
  <c r="AO26" i="39" s="1"/>
  <c r="W26" i="39"/>
  <c r="AV26" i="39" s="1"/>
  <c r="AE27" i="39"/>
  <c r="V28" i="39"/>
  <c r="AU28" i="39" s="1"/>
  <c r="AB82" i="39"/>
  <c r="BF29" i="39"/>
  <c r="AD29" i="39"/>
  <c r="AG29" i="39"/>
  <c r="AS29" i="39" s="1"/>
  <c r="AC29" i="39"/>
  <c r="AO29" i="39" s="1"/>
  <c r="S30" i="39"/>
  <c r="R32" i="39"/>
  <c r="S34" i="39"/>
  <c r="W36" i="39"/>
  <c r="AV36" i="39" s="1"/>
  <c r="AB90" i="39"/>
  <c r="AE37" i="39"/>
  <c r="BF37" i="39"/>
  <c r="AD37" i="39"/>
  <c r="AP37" i="39" s="1"/>
  <c r="AG37" i="39"/>
  <c r="AC37" i="39"/>
  <c r="Q7" i="39"/>
  <c r="AP7" i="39" s="1"/>
  <c r="U7" i="39"/>
  <c r="AT7" i="39" s="1"/>
  <c r="AF7" i="39"/>
  <c r="R9" i="39"/>
  <c r="W9" i="39"/>
  <c r="AV9" i="39" s="1"/>
  <c r="S10" i="39"/>
  <c r="AE11" i="39"/>
  <c r="S12" i="39"/>
  <c r="Q13" i="39"/>
  <c r="AP13" i="39" s="1"/>
  <c r="W13" i="39"/>
  <c r="AV13" i="39" s="1"/>
  <c r="AE13" i="39"/>
  <c r="AB67" i="39"/>
  <c r="AE14" i="39"/>
  <c r="AG14" i="39"/>
  <c r="R16" i="39"/>
  <c r="I70" i="39"/>
  <c r="Y70" i="39" s="1"/>
  <c r="BE17" i="39"/>
  <c r="V17" i="39"/>
  <c r="AU17" i="39" s="1"/>
  <c r="R17" i="39"/>
  <c r="AQ17" i="39" s="1"/>
  <c r="T17" i="39"/>
  <c r="AS17" i="39" s="1"/>
  <c r="AB70" i="39"/>
  <c r="AG17" i="39"/>
  <c r="AC17" i="39"/>
  <c r="AN17" i="39"/>
  <c r="BG17" i="39" s="1"/>
  <c r="AD18" i="39"/>
  <c r="BF18" i="39"/>
  <c r="S19" i="39"/>
  <c r="AR19" i="39" s="1"/>
  <c r="I73" i="39"/>
  <c r="Y73" i="39" s="1"/>
  <c r="X20" i="39"/>
  <c r="AW20" i="39" s="1"/>
  <c r="T20" i="39"/>
  <c r="P20" i="39"/>
  <c r="AO20" i="39" s="1"/>
  <c r="U20" i="39"/>
  <c r="AT20" i="39" s="1"/>
  <c r="AN20" i="39"/>
  <c r="BG20" i="39" s="1"/>
  <c r="BE20" i="39"/>
  <c r="Q21" i="39"/>
  <c r="AP21" i="39" s="1"/>
  <c r="W21" i="39"/>
  <c r="AV21" i="39" s="1"/>
  <c r="AE21" i="39"/>
  <c r="AB75" i="39"/>
  <c r="AE22" i="39"/>
  <c r="AG22" i="39"/>
  <c r="R24" i="39"/>
  <c r="AN25" i="39"/>
  <c r="BG25" i="39" s="1"/>
  <c r="I78" i="39"/>
  <c r="Y78" i="39" s="1"/>
  <c r="BE25" i="39"/>
  <c r="V25" i="39"/>
  <c r="AU25" i="39" s="1"/>
  <c r="R25" i="39"/>
  <c r="AQ25" i="39" s="1"/>
  <c r="T25" i="39"/>
  <c r="AB78" i="39"/>
  <c r="BF25" i="39"/>
  <c r="AG25" i="39"/>
  <c r="AC25" i="39"/>
  <c r="AO25" i="39" s="1"/>
  <c r="I81" i="39"/>
  <c r="Y81" i="39" s="1"/>
  <c r="U28" i="39"/>
  <c r="AT28" i="39" s="1"/>
  <c r="Q28" i="39"/>
  <c r="AP28" i="39" s="1"/>
  <c r="X28" i="39"/>
  <c r="AW28" i="39" s="1"/>
  <c r="T28" i="39"/>
  <c r="AS28" i="39" s="1"/>
  <c r="P28" i="39"/>
  <c r="AO28" i="39" s="1"/>
  <c r="W28" i="39"/>
  <c r="AV28" i="39" s="1"/>
  <c r="V30" i="39"/>
  <c r="AU30" i="39" s="1"/>
  <c r="AB84" i="39"/>
  <c r="BF31" i="39"/>
  <c r="AD31" i="39"/>
  <c r="AP31" i="39" s="1"/>
  <c r="AG31" i="39"/>
  <c r="AS31" i="39" s="1"/>
  <c r="AC31" i="39"/>
  <c r="W34" i="39"/>
  <c r="AV34" i="39" s="1"/>
  <c r="AB88" i="39"/>
  <c r="AE35" i="39"/>
  <c r="BF35" i="39"/>
  <c r="AD35" i="39"/>
  <c r="AP35" i="39" s="1"/>
  <c r="AG35" i="39"/>
  <c r="AC35" i="39"/>
  <c r="AO35" i="39" s="1"/>
  <c r="AS37" i="39"/>
  <c r="I91" i="39"/>
  <c r="Y91" i="39" s="1"/>
  <c r="BE38" i="39"/>
  <c r="V38" i="39"/>
  <c r="AU38" i="39" s="1"/>
  <c r="R38" i="39"/>
  <c r="U38" i="39"/>
  <c r="AT38" i="39" s="1"/>
  <c r="Q38" i="39"/>
  <c r="AP38" i="39" s="1"/>
  <c r="X38" i="39"/>
  <c r="AW38" i="39" s="1"/>
  <c r="T38" i="39"/>
  <c r="AS38" i="39" s="1"/>
  <c r="P38" i="39"/>
  <c r="AO38" i="39" s="1"/>
  <c r="AO52" i="39"/>
  <c r="R7" i="39"/>
  <c r="V7" i="39"/>
  <c r="AU7" i="39" s="1"/>
  <c r="BE7" i="39"/>
  <c r="AB62" i="39"/>
  <c r="AE9" i="39"/>
  <c r="AG9" i="39"/>
  <c r="I63" i="39"/>
  <c r="Y63" i="39" s="1"/>
  <c r="U10" i="39"/>
  <c r="AT10" i="39" s="1"/>
  <c r="Q10" i="39"/>
  <c r="AP10" i="39" s="1"/>
  <c r="T10" i="39"/>
  <c r="AS10" i="39" s="1"/>
  <c r="I65" i="39"/>
  <c r="Y65" i="39" s="1"/>
  <c r="U12" i="39"/>
  <c r="AT12" i="39" s="1"/>
  <c r="Q12" i="39"/>
  <c r="AP12" i="39" s="1"/>
  <c r="T12" i="39"/>
  <c r="AS12" i="39" s="1"/>
  <c r="S13" i="39"/>
  <c r="AR13" i="39" s="1"/>
  <c r="I67" i="39"/>
  <c r="Y67" i="39" s="1"/>
  <c r="X14" i="39"/>
  <c r="AW14" i="39" s="1"/>
  <c r="T14" i="39"/>
  <c r="AS14" i="39" s="1"/>
  <c r="P14" i="39"/>
  <c r="AO14" i="39" s="1"/>
  <c r="U14" i="39"/>
  <c r="AT14" i="39" s="1"/>
  <c r="AN14" i="39"/>
  <c r="BG14" i="39" s="1"/>
  <c r="BE14" i="39"/>
  <c r="AB69" i="39"/>
  <c r="AE16" i="39"/>
  <c r="AG16" i="39"/>
  <c r="I72" i="39"/>
  <c r="Y72" i="39" s="1"/>
  <c r="BE19" i="39"/>
  <c r="V19" i="39"/>
  <c r="AU19" i="39" s="1"/>
  <c r="R19" i="39"/>
  <c r="AQ19" i="39" s="1"/>
  <c r="T19" i="39"/>
  <c r="AB72" i="39"/>
  <c r="AG19" i="39"/>
  <c r="AC19" i="39"/>
  <c r="AN19" i="39"/>
  <c r="BG19" i="39" s="1"/>
  <c r="S21" i="39"/>
  <c r="AR21" i="39" s="1"/>
  <c r="I75" i="39"/>
  <c r="Y75" i="39" s="1"/>
  <c r="X22" i="39"/>
  <c r="AW22" i="39" s="1"/>
  <c r="T22" i="39"/>
  <c r="P22" i="39"/>
  <c r="AO22" i="39" s="1"/>
  <c r="U22" i="39"/>
  <c r="AT22" i="39" s="1"/>
  <c r="AN22" i="39"/>
  <c r="BG22" i="39" s="1"/>
  <c r="BE22" i="39"/>
  <c r="AB77" i="39"/>
  <c r="AE24" i="39"/>
  <c r="AG24" i="39"/>
  <c r="I83" i="39"/>
  <c r="Y83" i="39" s="1"/>
  <c r="U30" i="39"/>
  <c r="AT30" i="39" s="1"/>
  <c r="Q30" i="39"/>
  <c r="AP30" i="39" s="1"/>
  <c r="X30" i="39"/>
  <c r="AW30" i="39" s="1"/>
  <c r="T30" i="39"/>
  <c r="AS30" i="39" s="1"/>
  <c r="P30" i="39"/>
  <c r="AO30" i="39" s="1"/>
  <c r="W30" i="39"/>
  <c r="AV30" i="39" s="1"/>
  <c r="AB86" i="39"/>
  <c r="AE33" i="39"/>
  <c r="BF33" i="39"/>
  <c r="AD33" i="39"/>
  <c r="AG33" i="39"/>
  <c r="AC33" i="39"/>
  <c r="AO33" i="39" s="1"/>
  <c r="AS35" i="39"/>
  <c r="I89" i="39"/>
  <c r="Y89" i="39" s="1"/>
  <c r="BE36" i="39"/>
  <c r="V36" i="39"/>
  <c r="AU36" i="39" s="1"/>
  <c r="R36" i="39"/>
  <c r="U36" i="39"/>
  <c r="AT36" i="39" s="1"/>
  <c r="Q36" i="39"/>
  <c r="AP36" i="39" s="1"/>
  <c r="X36" i="39"/>
  <c r="AW36" i="39" s="1"/>
  <c r="T36" i="39"/>
  <c r="AS36" i="39" s="1"/>
  <c r="P36" i="39"/>
  <c r="AO36" i="39" s="1"/>
  <c r="C170" i="39"/>
  <c r="AL60" i="39"/>
  <c r="S7" i="39"/>
  <c r="AR7" i="39" s="1"/>
  <c r="W7" i="39"/>
  <c r="AV7" i="39" s="1"/>
  <c r="AN7" i="39"/>
  <c r="BG7" i="39" s="1"/>
  <c r="I62" i="39"/>
  <c r="Y62" i="39" s="1"/>
  <c r="X9" i="39"/>
  <c r="AW9" i="39" s="1"/>
  <c r="T9" i="39"/>
  <c r="AS9" i="39" s="1"/>
  <c r="P9" i="39"/>
  <c r="AO9" i="39" s="1"/>
  <c r="U9" i="39"/>
  <c r="AT9" i="39" s="1"/>
  <c r="AN9" i="39"/>
  <c r="BG9" i="39" s="1"/>
  <c r="BE9" i="39"/>
  <c r="C174" i="39"/>
  <c r="AL64" i="39"/>
  <c r="AB64" i="39"/>
  <c r="BF11" i="39"/>
  <c r="AD11" i="39"/>
  <c r="AP11" i="39" s="1"/>
  <c r="AG11" i="39"/>
  <c r="AS11" i="39" s="1"/>
  <c r="P12" i="39"/>
  <c r="AO12" i="39" s="1"/>
  <c r="V12" i="39"/>
  <c r="AU12" i="39" s="1"/>
  <c r="AN12" i="39"/>
  <c r="BG12" i="39" s="1"/>
  <c r="I66" i="39"/>
  <c r="Y66" i="39" s="1"/>
  <c r="BE13" i="39"/>
  <c r="V13" i="39"/>
  <c r="AU13" i="39" s="1"/>
  <c r="R13" i="39"/>
  <c r="AQ13" i="39" s="1"/>
  <c r="T13" i="39"/>
  <c r="AS13" i="39" s="1"/>
  <c r="AB66" i="39"/>
  <c r="AG13" i="39"/>
  <c r="AC13" i="39"/>
  <c r="AN13" i="39"/>
  <c r="BG13" i="39" s="1"/>
  <c r="Q14" i="39"/>
  <c r="AP14" i="39" s="1"/>
  <c r="V14" i="39"/>
  <c r="AU14" i="39" s="1"/>
  <c r="I69" i="39"/>
  <c r="Y69" i="39" s="1"/>
  <c r="X16" i="39"/>
  <c r="AW16" i="39" s="1"/>
  <c r="T16" i="39"/>
  <c r="P16" i="39"/>
  <c r="U16" i="39"/>
  <c r="AT16" i="39" s="1"/>
  <c r="AC16" i="39"/>
  <c r="AN16" i="39"/>
  <c r="BG16" i="39" s="1"/>
  <c r="BE16" i="39"/>
  <c r="AB71" i="39"/>
  <c r="AE18" i="39"/>
  <c r="AQ18" i="39" s="1"/>
  <c r="AG18" i="39"/>
  <c r="P19" i="39"/>
  <c r="AO19" i="39" s="1"/>
  <c r="U19" i="39"/>
  <c r="AT19" i="39" s="1"/>
  <c r="AD19" i="39"/>
  <c r="BF19" i="39"/>
  <c r="I74" i="39"/>
  <c r="Y74" i="39" s="1"/>
  <c r="BE21" i="39"/>
  <c r="V21" i="39"/>
  <c r="AU21" i="39" s="1"/>
  <c r="R21" i="39"/>
  <c r="AQ21" i="39" s="1"/>
  <c r="T21" i="39"/>
  <c r="AS21" i="39" s="1"/>
  <c r="AB74" i="39"/>
  <c r="AG21" i="39"/>
  <c r="AC21" i="39"/>
  <c r="AN21" i="39"/>
  <c r="BG21" i="39" s="1"/>
  <c r="Q22" i="39"/>
  <c r="AP22" i="39" s="1"/>
  <c r="V22" i="39"/>
  <c r="AU22" i="39" s="1"/>
  <c r="I77" i="39"/>
  <c r="Y77" i="39" s="1"/>
  <c r="X24" i="39"/>
  <c r="AW24" i="39" s="1"/>
  <c r="T24" i="39"/>
  <c r="AS24" i="39" s="1"/>
  <c r="P24" i="39"/>
  <c r="U24" i="39"/>
  <c r="AT24" i="39" s="1"/>
  <c r="AC24" i="39"/>
  <c r="AN24" i="39"/>
  <c r="BG24" i="39" s="1"/>
  <c r="BE24" i="39"/>
  <c r="AB80" i="39"/>
  <c r="BF27" i="39"/>
  <c r="AD27" i="39"/>
  <c r="AP27" i="39" s="1"/>
  <c r="AG27" i="39"/>
  <c r="AS27" i="39" s="1"/>
  <c r="AC27" i="39"/>
  <c r="AO27" i="39" s="1"/>
  <c r="R30" i="39"/>
  <c r="AN30" i="39"/>
  <c r="BG30" i="39" s="1"/>
  <c r="I85" i="39"/>
  <c r="Y85" i="39" s="1"/>
  <c r="BE32" i="39"/>
  <c r="V32" i="39"/>
  <c r="AU32" i="39" s="1"/>
  <c r="U32" i="39"/>
  <c r="AT32" i="39" s="1"/>
  <c r="Q32" i="39"/>
  <c r="AP32" i="39" s="1"/>
  <c r="X32" i="39"/>
  <c r="AW32" i="39" s="1"/>
  <c r="T32" i="39"/>
  <c r="AS32" i="39" s="1"/>
  <c r="P32" i="39"/>
  <c r="AO32" i="39" s="1"/>
  <c r="AN32" i="39"/>
  <c r="BG32" i="39" s="1"/>
  <c r="AS33" i="39"/>
  <c r="AF33" i="39"/>
  <c r="I87" i="39"/>
  <c r="Y87" i="39" s="1"/>
  <c r="BE34" i="39"/>
  <c r="V34" i="39"/>
  <c r="AU34" i="39" s="1"/>
  <c r="R34" i="39"/>
  <c r="U34" i="39"/>
  <c r="AT34" i="39" s="1"/>
  <c r="Q34" i="39"/>
  <c r="AP34" i="39" s="1"/>
  <c r="X34" i="39"/>
  <c r="AW34" i="39" s="1"/>
  <c r="T34" i="39"/>
  <c r="AS34" i="39" s="1"/>
  <c r="P34" i="39"/>
  <c r="AO34" i="39" s="1"/>
  <c r="AO37" i="39"/>
  <c r="AP39" i="39"/>
  <c r="AO46" i="39"/>
  <c r="AQ48" i="39"/>
  <c r="F171" i="39"/>
  <c r="AE61" i="39"/>
  <c r="AF10" i="39"/>
  <c r="S11" i="39"/>
  <c r="AR11" i="39" s="1"/>
  <c r="W11" i="39"/>
  <c r="AV11" i="39" s="1"/>
  <c r="AN11" i="39"/>
  <c r="BG11" i="39" s="1"/>
  <c r="AF12" i="39"/>
  <c r="AE26" i="39"/>
  <c r="AQ26" i="39" s="1"/>
  <c r="R27" i="39"/>
  <c r="AQ27" i="39" s="1"/>
  <c r="V27" i="39"/>
  <c r="AU27" i="39" s="1"/>
  <c r="BE27" i="39"/>
  <c r="AE28" i="39"/>
  <c r="AQ28" i="39" s="1"/>
  <c r="R29" i="39"/>
  <c r="AQ29" i="39" s="1"/>
  <c r="V29" i="39"/>
  <c r="AU29" i="39" s="1"/>
  <c r="BE29" i="39"/>
  <c r="AE30" i="39"/>
  <c r="R31" i="39"/>
  <c r="AQ31" i="39" s="1"/>
  <c r="V31" i="39"/>
  <c r="AU31" i="39" s="1"/>
  <c r="BE31" i="39"/>
  <c r="AE32" i="39"/>
  <c r="R33" i="39"/>
  <c r="V33" i="39"/>
  <c r="AU33" i="39" s="1"/>
  <c r="BE33" i="39"/>
  <c r="AE34" i="39"/>
  <c r="R35" i="39"/>
  <c r="AQ35" i="39" s="1"/>
  <c r="V35" i="39"/>
  <c r="AU35" i="39" s="1"/>
  <c r="BE35" i="39"/>
  <c r="AE36" i="39"/>
  <c r="R37" i="39"/>
  <c r="V37" i="39"/>
  <c r="AU37" i="39" s="1"/>
  <c r="BE37" i="39"/>
  <c r="AE38" i="39"/>
  <c r="R39" i="39"/>
  <c r="V39" i="39"/>
  <c r="AU39" i="39" s="1"/>
  <c r="AC39" i="39"/>
  <c r="AO39" i="39" s="1"/>
  <c r="AG39" i="39"/>
  <c r="AS39" i="39" s="1"/>
  <c r="BE39" i="39"/>
  <c r="P40" i="39"/>
  <c r="AO40" i="39" s="1"/>
  <c r="T40" i="39"/>
  <c r="AS40" i="39" s="1"/>
  <c r="X40" i="39"/>
  <c r="AW40" i="39" s="1"/>
  <c r="AE40" i="39"/>
  <c r="R41" i="39"/>
  <c r="V41" i="39"/>
  <c r="AU41" i="39" s="1"/>
  <c r="AC41" i="39"/>
  <c r="AO41" i="39" s="1"/>
  <c r="AG41" i="39"/>
  <c r="AS41" i="39" s="1"/>
  <c r="BE41" i="39"/>
  <c r="P42" i="39"/>
  <c r="AO42" i="39" s="1"/>
  <c r="T42" i="39"/>
  <c r="AS42" i="39" s="1"/>
  <c r="X42" i="39"/>
  <c r="AW42" i="39" s="1"/>
  <c r="AE42" i="39"/>
  <c r="R43" i="39"/>
  <c r="V43" i="39"/>
  <c r="AU43" i="39" s="1"/>
  <c r="AC43" i="39"/>
  <c r="AO43" i="39" s="1"/>
  <c r="AG43" i="39"/>
  <c r="AS43" i="39" s="1"/>
  <c r="BE43" i="39"/>
  <c r="P44" i="39"/>
  <c r="AO44" i="39" s="1"/>
  <c r="T44" i="39"/>
  <c r="AS44" i="39" s="1"/>
  <c r="X44" i="39"/>
  <c r="AW44" i="39" s="1"/>
  <c r="AE44" i="39"/>
  <c r="R45" i="39"/>
  <c r="V45" i="39"/>
  <c r="AU45" i="39" s="1"/>
  <c r="AC45" i="39"/>
  <c r="AO45" i="39" s="1"/>
  <c r="AG45" i="39"/>
  <c r="AS45" i="39" s="1"/>
  <c r="BE45" i="39"/>
  <c r="AC46" i="39"/>
  <c r="R47" i="39"/>
  <c r="AQ47" i="39" s="1"/>
  <c r="W47" i="39"/>
  <c r="AV47" i="39" s="1"/>
  <c r="BE47" i="39"/>
  <c r="AC48" i="39"/>
  <c r="AO48" i="39" s="1"/>
  <c r="R49" i="39"/>
  <c r="AQ49" i="39" s="1"/>
  <c r="W49" i="39"/>
  <c r="AV49" i="39" s="1"/>
  <c r="BE49" i="39"/>
  <c r="AC50" i="39"/>
  <c r="AO50" i="39" s="1"/>
  <c r="R51" i="39"/>
  <c r="AQ51" i="39" s="1"/>
  <c r="W51" i="39"/>
  <c r="AV51" i="39" s="1"/>
  <c r="BE51" i="39"/>
  <c r="AC52" i="39"/>
  <c r="R53" i="39"/>
  <c r="AQ53" i="39" s="1"/>
  <c r="W53" i="39"/>
  <c r="AV53" i="39" s="1"/>
  <c r="BE53" i="39"/>
  <c r="P172" i="39"/>
  <c r="G172" i="39"/>
  <c r="AF174" i="39"/>
  <c r="AX174" i="39" s="1"/>
  <c r="F64" i="39"/>
  <c r="U64" i="39" s="1"/>
  <c r="P176" i="39"/>
  <c r="G176" i="39"/>
  <c r="AF178" i="39"/>
  <c r="AX178" i="39" s="1"/>
  <c r="F68" i="39"/>
  <c r="U68" i="39" s="1"/>
  <c r="P183" i="39"/>
  <c r="G183" i="39"/>
  <c r="AF26" i="39"/>
  <c r="AR26" i="39" s="1"/>
  <c r="C190" i="39"/>
  <c r="S27" i="39"/>
  <c r="AR27" i="39" s="1"/>
  <c r="W27" i="39"/>
  <c r="AV27" i="39" s="1"/>
  <c r="AN27" i="39"/>
  <c r="BG27" i="39" s="1"/>
  <c r="AF28" i="39"/>
  <c r="AR28" i="39" s="1"/>
  <c r="C192" i="39"/>
  <c r="S29" i="39"/>
  <c r="AR29" i="39" s="1"/>
  <c r="W29" i="39"/>
  <c r="AV29" i="39" s="1"/>
  <c r="AN29" i="39"/>
  <c r="BG29" i="39" s="1"/>
  <c r="AF30" i="39"/>
  <c r="C194" i="39"/>
  <c r="S31" i="39"/>
  <c r="AR31" i="39" s="1"/>
  <c r="W31" i="39"/>
  <c r="AV31" i="39" s="1"/>
  <c r="AN31" i="39"/>
  <c r="BG31" i="39" s="1"/>
  <c r="AF32" i="39"/>
  <c r="AR32" i="39" s="1"/>
  <c r="C196" i="39"/>
  <c r="S33" i="39"/>
  <c r="AR33" i="39" s="1"/>
  <c r="W33" i="39"/>
  <c r="AV33" i="39" s="1"/>
  <c r="AN33" i="39"/>
  <c r="BG33" i="39" s="1"/>
  <c r="AF34" i="39"/>
  <c r="C198" i="39"/>
  <c r="S35" i="39"/>
  <c r="AR35" i="39" s="1"/>
  <c r="W35" i="39"/>
  <c r="AV35" i="39" s="1"/>
  <c r="AN35" i="39"/>
  <c r="BG35" i="39" s="1"/>
  <c r="AF36" i="39"/>
  <c r="AR36" i="39" s="1"/>
  <c r="C200" i="39"/>
  <c r="S37" i="39"/>
  <c r="AR37" i="39" s="1"/>
  <c r="W37" i="39"/>
  <c r="AV37" i="39" s="1"/>
  <c r="AN37" i="39"/>
  <c r="BG37" i="39" s="1"/>
  <c r="AF38" i="39"/>
  <c r="AR38" i="39" s="1"/>
  <c r="C202" i="39"/>
  <c r="S39" i="39"/>
  <c r="AR39" i="39" s="1"/>
  <c r="W39" i="39"/>
  <c r="AV39" i="39" s="1"/>
  <c r="AD39" i="39"/>
  <c r="AN39" i="39"/>
  <c r="BG39" i="39" s="1"/>
  <c r="BF39" i="39"/>
  <c r="Q40" i="39"/>
  <c r="AP40" i="39" s="1"/>
  <c r="U40" i="39"/>
  <c r="AT40" i="39" s="1"/>
  <c r="AF40" i="39"/>
  <c r="C204" i="39"/>
  <c r="AL94" i="39"/>
  <c r="S41" i="39"/>
  <c r="W41" i="39"/>
  <c r="AV41" i="39" s="1"/>
  <c r="AD41" i="39"/>
  <c r="AP41" i="39" s="1"/>
  <c r="AN41" i="39"/>
  <c r="BG41" i="39" s="1"/>
  <c r="BF41" i="39"/>
  <c r="Q42" i="39"/>
  <c r="AP42" i="39" s="1"/>
  <c r="U42" i="39"/>
  <c r="AT42" i="39" s="1"/>
  <c r="AF42" i="39"/>
  <c r="C206" i="39"/>
  <c r="S43" i="39"/>
  <c r="W43" i="39"/>
  <c r="AV43" i="39" s="1"/>
  <c r="AD43" i="39"/>
  <c r="AP43" i="39" s="1"/>
  <c r="AN43" i="39"/>
  <c r="BG43" i="39" s="1"/>
  <c r="BF43" i="39"/>
  <c r="Q44" i="39"/>
  <c r="AP44" i="39" s="1"/>
  <c r="U44" i="39"/>
  <c r="AT44" i="39" s="1"/>
  <c r="AF44" i="39"/>
  <c r="C208" i="39"/>
  <c r="S45" i="39"/>
  <c r="W45" i="39"/>
  <c r="AV45" i="39" s="1"/>
  <c r="AD45" i="39"/>
  <c r="AP45" i="39" s="1"/>
  <c r="AN45" i="39"/>
  <c r="BG45" i="39" s="1"/>
  <c r="BF45" i="39"/>
  <c r="AE46" i="39"/>
  <c r="AQ46" i="39" s="1"/>
  <c r="S47" i="39"/>
  <c r="AE48" i="39"/>
  <c r="S49" i="39"/>
  <c r="AE50" i="39"/>
  <c r="AQ50" i="39" s="1"/>
  <c r="S51" i="39"/>
  <c r="AE52" i="39"/>
  <c r="AQ52" i="39" s="1"/>
  <c r="S53" i="39"/>
  <c r="AE60" i="39"/>
  <c r="G173" i="39"/>
  <c r="P173" i="39"/>
  <c r="AF175" i="39"/>
  <c r="AX175" i="39" s="1"/>
  <c r="F65" i="39"/>
  <c r="U65" i="39" s="1"/>
  <c r="AM65" i="39" s="1"/>
  <c r="G177" i="39"/>
  <c r="P177" i="39"/>
  <c r="AF179" i="39"/>
  <c r="AX179" i="39" s="1"/>
  <c r="F69" i="39"/>
  <c r="U69" i="39" s="1"/>
  <c r="G182" i="39"/>
  <c r="P182" i="39"/>
  <c r="AE39" i="39"/>
  <c r="R40" i="39"/>
  <c r="AQ40" i="39" s="1"/>
  <c r="V40" i="39"/>
  <c r="AU40" i="39" s="1"/>
  <c r="BE40" i="39"/>
  <c r="AE41" i="39"/>
  <c r="R42" i="39"/>
  <c r="AQ42" i="39" s="1"/>
  <c r="V42" i="39"/>
  <c r="AU42" i="39" s="1"/>
  <c r="BE42" i="39"/>
  <c r="AE43" i="39"/>
  <c r="R44" i="39"/>
  <c r="V44" i="39"/>
  <c r="AU44" i="39" s="1"/>
  <c r="BE44" i="39"/>
  <c r="AE45" i="39"/>
  <c r="I100" i="39"/>
  <c r="Y100" i="39" s="1"/>
  <c r="U47" i="39"/>
  <c r="AT47" i="39" s="1"/>
  <c r="Q47" i="39"/>
  <c r="AP47" i="39" s="1"/>
  <c r="T47" i="39"/>
  <c r="AS47" i="39" s="1"/>
  <c r="I102" i="39"/>
  <c r="Y102" i="39" s="1"/>
  <c r="U49" i="39"/>
  <c r="AT49" i="39" s="1"/>
  <c r="Q49" i="39"/>
  <c r="AP49" i="39" s="1"/>
  <c r="T49" i="39"/>
  <c r="AS49" i="39" s="1"/>
  <c r="I104" i="39"/>
  <c r="Y104" i="39" s="1"/>
  <c r="U51" i="39"/>
  <c r="AT51" i="39" s="1"/>
  <c r="Q51" i="39"/>
  <c r="AP51" i="39" s="1"/>
  <c r="T51" i="39"/>
  <c r="AS51" i="39" s="1"/>
  <c r="I106" i="39"/>
  <c r="Y106" i="39" s="1"/>
  <c r="U53" i="39"/>
  <c r="AT53" i="39" s="1"/>
  <c r="Q53" i="39"/>
  <c r="AP53" i="39" s="1"/>
  <c r="T53" i="39"/>
  <c r="AS53" i="39" s="1"/>
  <c r="AM106" i="39"/>
  <c r="P170" i="39"/>
  <c r="G170" i="39"/>
  <c r="AF172" i="39"/>
  <c r="AX172" i="39" s="1"/>
  <c r="F62" i="39"/>
  <c r="U62" i="39" s="1"/>
  <c r="G174" i="39"/>
  <c r="P174" i="39"/>
  <c r="AF176" i="39"/>
  <c r="AX176" i="39" s="1"/>
  <c r="F66" i="39"/>
  <c r="U66" i="39" s="1"/>
  <c r="G178" i="39"/>
  <c r="P178" i="39"/>
  <c r="G181" i="39"/>
  <c r="P181" i="39"/>
  <c r="AE106" i="39"/>
  <c r="AF39" i="39"/>
  <c r="C203" i="39"/>
  <c r="S40" i="39"/>
  <c r="AR40" i="39" s="1"/>
  <c r="W40" i="39"/>
  <c r="AV40" i="39" s="1"/>
  <c r="AN40" i="39"/>
  <c r="BG40" i="39" s="1"/>
  <c r="AF41" i="39"/>
  <c r="C205" i="39"/>
  <c r="S42" i="39"/>
  <c r="AR42" i="39" s="1"/>
  <c r="W42" i="39"/>
  <c r="AV42" i="39" s="1"/>
  <c r="AN42" i="39"/>
  <c r="BG42" i="39" s="1"/>
  <c r="AF43" i="39"/>
  <c r="C207" i="39"/>
  <c r="E207" i="39" s="1"/>
  <c r="S44" i="39"/>
  <c r="W44" i="39"/>
  <c r="AV44" i="39" s="1"/>
  <c r="AN44" i="39"/>
  <c r="BG44" i="39" s="1"/>
  <c r="AM98" i="39"/>
  <c r="AF45" i="39"/>
  <c r="C209" i="39"/>
  <c r="AB99" i="39"/>
  <c r="BF46" i="39"/>
  <c r="AD46" i="39"/>
  <c r="AP46" i="39" s="1"/>
  <c r="AG46" i="39"/>
  <c r="AS46" i="39" s="1"/>
  <c r="C211" i="39"/>
  <c r="AB101" i="39"/>
  <c r="BF48" i="39"/>
  <c r="AD48" i="39"/>
  <c r="AP48" i="39" s="1"/>
  <c r="AG48" i="39"/>
  <c r="AS48" i="39" s="1"/>
  <c r="C213" i="39"/>
  <c r="AB103" i="39"/>
  <c r="BF50" i="39"/>
  <c r="AD50" i="39"/>
  <c r="AP50" i="39" s="1"/>
  <c r="AG50" i="39"/>
  <c r="AS50" i="39" s="1"/>
  <c r="C215" i="39"/>
  <c r="AL105" i="39"/>
  <c r="AB105" i="39"/>
  <c r="AE105" i="39" s="1"/>
  <c r="BF52" i="39"/>
  <c r="AD52" i="39"/>
  <c r="AP52" i="39" s="1"/>
  <c r="AG52" i="39"/>
  <c r="AS52" i="39" s="1"/>
  <c r="P53" i="39"/>
  <c r="AO53" i="39" s="1"/>
  <c r="V53" i="39"/>
  <c r="AU53" i="39" s="1"/>
  <c r="AN53" i="39"/>
  <c r="BG53" i="39" s="1"/>
  <c r="AF173" i="39"/>
  <c r="AX173" i="39" s="1"/>
  <c r="F63" i="39"/>
  <c r="U63" i="39" s="1"/>
  <c r="P175" i="39"/>
  <c r="G175" i="39"/>
  <c r="AF177" i="39"/>
  <c r="AX177" i="39" s="1"/>
  <c r="F67" i="39"/>
  <c r="U67" i="39" s="1"/>
  <c r="G179" i="39"/>
  <c r="P179" i="39"/>
  <c r="P180" i="39"/>
  <c r="G180" i="39"/>
  <c r="F215" i="39"/>
  <c r="AD176" i="39"/>
  <c r="AV176" i="39" s="1"/>
  <c r="Q176" i="39"/>
  <c r="Q179" i="39"/>
  <c r="AD179" i="39"/>
  <c r="AV179" i="39" s="1"/>
  <c r="AD187" i="39"/>
  <c r="AV187" i="39" s="1"/>
  <c r="Q187" i="39"/>
  <c r="S46" i="39"/>
  <c r="AR46" i="39" s="1"/>
  <c r="W46" i="39"/>
  <c r="AV46" i="39" s="1"/>
  <c r="AN46" i="39"/>
  <c r="BG46" i="39" s="1"/>
  <c r="AF47" i="39"/>
  <c r="S48" i="39"/>
  <c r="AR48" i="39" s="1"/>
  <c r="W48" i="39"/>
  <c r="AV48" i="39" s="1"/>
  <c r="AN48" i="39"/>
  <c r="BG48" i="39" s="1"/>
  <c r="AF49" i="39"/>
  <c r="S50" i="39"/>
  <c r="AR50" i="39" s="1"/>
  <c r="W50" i="39"/>
  <c r="AV50" i="39" s="1"/>
  <c r="AN50" i="39"/>
  <c r="BG50" i="39" s="1"/>
  <c r="AF51" i="39"/>
  <c r="S52" i="39"/>
  <c r="AR52" i="39" s="1"/>
  <c r="W52" i="39"/>
  <c r="AV52" i="39" s="1"/>
  <c r="AN52" i="39"/>
  <c r="BG52" i="39" s="1"/>
  <c r="AF53" i="39"/>
  <c r="F70" i="39"/>
  <c r="U70" i="39" s="1"/>
  <c r="F71" i="39"/>
  <c r="U71" i="39" s="1"/>
  <c r="F181" i="39" s="1"/>
  <c r="F72" i="39"/>
  <c r="U72" i="39" s="1"/>
  <c r="F73" i="39"/>
  <c r="U73" i="39" s="1"/>
  <c r="F74" i="39"/>
  <c r="U74" i="39" s="1"/>
  <c r="F75" i="39"/>
  <c r="U75" i="39" s="1"/>
  <c r="F185" i="39" s="1"/>
  <c r="F76" i="39"/>
  <c r="U76" i="39" s="1"/>
  <c r="F186" i="39" s="1"/>
  <c r="F77" i="39"/>
  <c r="U77" i="39" s="1"/>
  <c r="F78" i="39"/>
  <c r="U78" i="39" s="1"/>
  <c r="F79" i="39"/>
  <c r="U79" i="39" s="1"/>
  <c r="F189" i="39" s="1"/>
  <c r="F80" i="39"/>
  <c r="U80" i="39" s="1"/>
  <c r="AL80" i="39" s="1"/>
  <c r="F81" i="39"/>
  <c r="U81" i="39" s="1"/>
  <c r="AM81" i="39" s="1"/>
  <c r="F82" i="39"/>
  <c r="U82" i="39" s="1"/>
  <c r="F83" i="39"/>
  <c r="U83" i="39" s="1"/>
  <c r="F193" i="39" s="1"/>
  <c r="F84" i="39"/>
  <c r="U84" i="39" s="1"/>
  <c r="AL84" i="39" s="1"/>
  <c r="F85" i="39"/>
  <c r="U85" i="39" s="1"/>
  <c r="F86" i="39"/>
  <c r="U86" i="39" s="1"/>
  <c r="F87" i="39"/>
  <c r="U87" i="39" s="1"/>
  <c r="AM87" i="39" s="1"/>
  <c r="F88" i="39"/>
  <c r="U88" i="39" s="1"/>
  <c r="AL88" i="39" s="1"/>
  <c r="F89" i="39"/>
  <c r="U89" i="39" s="1"/>
  <c r="AM89" i="39" s="1"/>
  <c r="F90" i="39"/>
  <c r="U90" i="39" s="1"/>
  <c r="F91" i="39"/>
  <c r="U91" i="39" s="1"/>
  <c r="F92" i="39"/>
  <c r="U92" i="39" s="1"/>
  <c r="AM92" i="39" s="1"/>
  <c r="F93" i="39"/>
  <c r="U93" i="39" s="1"/>
  <c r="AM93" i="39" s="1"/>
  <c r="F94" i="39"/>
  <c r="U94" i="39" s="1"/>
  <c r="F95" i="39"/>
  <c r="U95" i="39" s="1"/>
  <c r="AM95" i="39" s="1"/>
  <c r="F96" i="39"/>
  <c r="U96" i="39" s="1"/>
  <c r="AL96" i="39" s="1"/>
  <c r="F97" i="39"/>
  <c r="U97" i="39" s="1"/>
  <c r="AM97" i="39" s="1"/>
  <c r="F98" i="39"/>
  <c r="U98" i="39" s="1"/>
  <c r="F99" i="39"/>
  <c r="U99" i="39" s="1"/>
  <c r="F209" i="39" s="1"/>
  <c r="F100" i="39"/>
  <c r="U100" i="39" s="1"/>
  <c r="AM100" i="39" s="1"/>
  <c r="F101" i="39"/>
  <c r="U101" i="39" s="1"/>
  <c r="F102" i="39"/>
  <c r="U102" i="39" s="1"/>
  <c r="AM102" i="39" s="1"/>
  <c r="F103" i="39"/>
  <c r="U103" i="39" s="1"/>
  <c r="F104" i="39"/>
  <c r="U104" i="39" s="1"/>
  <c r="AM104" i="39" s="1"/>
  <c r="Q170" i="39"/>
  <c r="AD170" i="39"/>
  <c r="AV170" i="39" s="1"/>
  <c r="AD172" i="39"/>
  <c r="AV172" i="39" s="1"/>
  <c r="Q172" i="39"/>
  <c r="AD174" i="39"/>
  <c r="AV174" i="39" s="1"/>
  <c r="Q174" i="39"/>
  <c r="Q177" i="39"/>
  <c r="AD177" i="39"/>
  <c r="AV177" i="39" s="1"/>
  <c r="Q185" i="39"/>
  <c r="AD185" i="39"/>
  <c r="AV185" i="39" s="1"/>
  <c r="Q175" i="39"/>
  <c r="AD175" i="39"/>
  <c r="AV175" i="39" s="1"/>
  <c r="AD180" i="39"/>
  <c r="AV180" i="39" s="1"/>
  <c r="Q180" i="39"/>
  <c r="P184" i="39"/>
  <c r="G184" i="39"/>
  <c r="G185" i="39"/>
  <c r="P185" i="39"/>
  <c r="G186" i="39"/>
  <c r="P186" i="39"/>
  <c r="P187" i="39"/>
  <c r="G187" i="39"/>
  <c r="G188" i="39"/>
  <c r="P188" i="39"/>
  <c r="P189" i="39"/>
  <c r="G189" i="39"/>
  <c r="P190" i="39"/>
  <c r="G190" i="39"/>
  <c r="G191" i="39"/>
  <c r="P191" i="39"/>
  <c r="G192" i="39"/>
  <c r="P192" i="39"/>
  <c r="P193" i="39"/>
  <c r="G193" i="39"/>
  <c r="G194" i="39"/>
  <c r="P194" i="39"/>
  <c r="G195" i="39"/>
  <c r="P195" i="39"/>
  <c r="P196" i="39"/>
  <c r="G196" i="39"/>
  <c r="P197" i="39"/>
  <c r="G197" i="39"/>
  <c r="G198" i="39"/>
  <c r="P198" i="39"/>
  <c r="G199" i="39"/>
  <c r="P199" i="39"/>
  <c r="P200" i="39"/>
  <c r="G200" i="39"/>
  <c r="P201" i="39"/>
  <c r="G201" i="39"/>
  <c r="G202" i="39"/>
  <c r="P202" i="39"/>
  <c r="P203" i="39"/>
  <c r="G203" i="39"/>
  <c r="G204" i="39"/>
  <c r="P204" i="39"/>
  <c r="G205" i="39"/>
  <c r="P205" i="39"/>
  <c r="P206" i="39"/>
  <c r="G206" i="39"/>
  <c r="P207" i="39"/>
  <c r="G207" i="39"/>
  <c r="G208" i="39"/>
  <c r="P208" i="39"/>
  <c r="G209" i="39"/>
  <c r="P209" i="39"/>
  <c r="P210" i="39"/>
  <c r="G210" i="39"/>
  <c r="G211" i="39"/>
  <c r="P211" i="39"/>
  <c r="G212" i="39"/>
  <c r="P212" i="39"/>
  <c r="P213" i="39"/>
  <c r="G213" i="39"/>
  <c r="P214" i="39"/>
  <c r="G214" i="39"/>
  <c r="G215" i="39"/>
  <c r="P215" i="39"/>
  <c r="G216" i="39"/>
  <c r="P216" i="39"/>
  <c r="AD171" i="39"/>
  <c r="AV171" i="39" s="1"/>
  <c r="Q171" i="39"/>
  <c r="Q173" i="39"/>
  <c r="AD173" i="39"/>
  <c r="AV173" i="39" s="1"/>
  <c r="AD178" i="39"/>
  <c r="AV178" i="39" s="1"/>
  <c r="Q178" i="39"/>
  <c r="Q181" i="39"/>
  <c r="AD181" i="39"/>
  <c r="AV181" i="39" s="1"/>
  <c r="Q183" i="39"/>
  <c r="AD183" i="39"/>
  <c r="AV183" i="39" s="1"/>
  <c r="AD182" i="39"/>
  <c r="AV182" i="39" s="1"/>
  <c r="Q182" i="39"/>
  <c r="AD184" i="39"/>
  <c r="AV184" i="39" s="1"/>
  <c r="Q184" i="39"/>
  <c r="Q186" i="39"/>
  <c r="AD186" i="39"/>
  <c r="AV186" i="39" s="1"/>
  <c r="Q188" i="39"/>
  <c r="AD188" i="39"/>
  <c r="AV188" i="39" s="1"/>
  <c r="Q190" i="39"/>
  <c r="AD190" i="39"/>
  <c r="AV190" i="39" s="1"/>
  <c r="Q192" i="39"/>
  <c r="AD192" i="39"/>
  <c r="AV192" i="39" s="1"/>
  <c r="Q194" i="39"/>
  <c r="AD194" i="39"/>
  <c r="AV194" i="39" s="1"/>
  <c r="Q196" i="39"/>
  <c r="AD196" i="39"/>
  <c r="AV196" i="39" s="1"/>
  <c r="Q198" i="39"/>
  <c r="AD198" i="39"/>
  <c r="AV198" i="39" s="1"/>
  <c r="Q200" i="39"/>
  <c r="AD200" i="39"/>
  <c r="AV200" i="39" s="1"/>
  <c r="Q202" i="39"/>
  <c r="AD202" i="39"/>
  <c r="AV202" i="39" s="1"/>
  <c r="AD189" i="39"/>
  <c r="AV189" i="39" s="1"/>
  <c r="Q189" i="39"/>
  <c r="AD191" i="39"/>
  <c r="AV191" i="39" s="1"/>
  <c r="Q191" i="39"/>
  <c r="AD193" i="39"/>
  <c r="AV193" i="39" s="1"/>
  <c r="Q193" i="39"/>
  <c r="Q195" i="39"/>
  <c r="AD195" i="39"/>
  <c r="AV195" i="39" s="1"/>
  <c r="AD197" i="39"/>
  <c r="AV197" i="39" s="1"/>
  <c r="Q197" i="39"/>
  <c r="Q199" i="39"/>
  <c r="AD199" i="39"/>
  <c r="AV199" i="39" s="1"/>
  <c r="AD201" i="39"/>
  <c r="AV201" i="39" s="1"/>
  <c r="Q201" i="39"/>
  <c r="AD203" i="39"/>
  <c r="AV203" i="39" s="1"/>
  <c r="Q203" i="39"/>
  <c r="Q205" i="39"/>
  <c r="AD205" i="39"/>
  <c r="AV205" i="39" s="1"/>
  <c r="AD208" i="39"/>
  <c r="AV208" i="39" s="1"/>
  <c r="Q208" i="39"/>
  <c r="Q204" i="39"/>
  <c r="AD204" i="39"/>
  <c r="AV204" i="39" s="1"/>
  <c r="AD210" i="39"/>
  <c r="AV210" i="39" s="1"/>
  <c r="Q210" i="39"/>
  <c r="AD214" i="39"/>
  <c r="AV214" i="39" s="1"/>
  <c r="Q214" i="39"/>
  <c r="F179" i="39"/>
  <c r="F182" i="39"/>
  <c r="AS182" i="39"/>
  <c r="AI182" i="39"/>
  <c r="F173" i="39"/>
  <c r="F174" i="39"/>
  <c r="Q212" i="39"/>
  <c r="AD212" i="39"/>
  <c r="AV212" i="39" s="1"/>
  <c r="Q216" i="39"/>
  <c r="AD216" i="39"/>
  <c r="AV216" i="39" s="1"/>
  <c r="F170" i="39"/>
  <c r="E170" i="39"/>
  <c r="AS174" i="39"/>
  <c r="AI174" i="39"/>
  <c r="Q206" i="39"/>
  <c r="AD206" i="39"/>
  <c r="AV206" i="39" s="1"/>
  <c r="AI171" i="39"/>
  <c r="AD207" i="39"/>
  <c r="AV207" i="39" s="1"/>
  <c r="Q207" i="39"/>
  <c r="Q209" i="39"/>
  <c r="AD209" i="39"/>
  <c r="AV209" i="39" s="1"/>
  <c r="Q211" i="39"/>
  <c r="AD211" i="39"/>
  <c r="AV211" i="39" s="1"/>
  <c r="Q213" i="39"/>
  <c r="AD213" i="39"/>
  <c r="AV213" i="39" s="1"/>
  <c r="Q215" i="39"/>
  <c r="AD215" i="39"/>
  <c r="AV215" i="39" s="1"/>
  <c r="AI172" i="39"/>
  <c r="F180" i="39"/>
  <c r="AI180" i="39"/>
  <c r="F183" i="39"/>
  <c r="AS189" i="39"/>
  <c r="AI189" i="39"/>
  <c r="F195" i="39"/>
  <c r="AI173" i="39"/>
  <c r="AI175" i="39"/>
  <c r="AI179" i="39"/>
  <c r="AI183" i="39"/>
  <c r="F192" i="39"/>
  <c r="AI195" i="39"/>
  <c r="F200" i="39"/>
  <c r="F212" i="39"/>
  <c r="AI184" i="39"/>
  <c r="F190" i="39"/>
  <c r="AI177" i="39"/>
  <c r="AI181" i="39"/>
  <c r="AI185" i="39"/>
  <c r="F187" i="39"/>
  <c r="F188" i="39"/>
  <c r="AI193" i="39"/>
  <c r="F199" i="39"/>
  <c r="AI188" i="39"/>
  <c r="AI192" i="39"/>
  <c r="AI196" i="39"/>
  <c r="AI200" i="39"/>
  <c r="F205" i="39"/>
  <c r="E205" i="39"/>
  <c r="AI197" i="39"/>
  <c r="E203" i="39"/>
  <c r="AI190" i="39"/>
  <c r="AI194" i="39"/>
  <c r="AI198" i="39"/>
  <c r="F206" i="39"/>
  <c r="AI202" i="39"/>
  <c r="AI206" i="39"/>
  <c r="AS210" i="39"/>
  <c r="AI210" i="39"/>
  <c r="F211" i="39"/>
  <c r="AI212" i="39"/>
  <c r="AI203" i="39"/>
  <c r="AS207" i="39"/>
  <c r="AI207" i="39"/>
  <c r="E208" i="39"/>
  <c r="F210" i="39"/>
  <c r="AI204" i="39"/>
  <c r="F208" i="39"/>
  <c r="AI208" i="39"/>
  <c r="F216" i="39"/>
  <c r="AI209" i="39"/>
  <c r="AI213" i="39"/>
  <c r="AI214" i="39"/>
  <c r="AI211" i="39"/>
  <c r="AI215" i="39"/>
  <c r="AM82" i="38"/>
  <c r="AM86" i="38"/>
  <c r="C211" i="38"/>
  <c r="AM102" i="38"/>
  <c r="AM70" i="38"/>
  <c r="C203" i="38"/>
  <c r="E203" i="38" s="1"/>
  <c r="AL93" i="38"/>
  <c r="C174" i="38"/>
  <c r="AM78" i="38"/>
  <c r="AM90" i="38"/>
  <c r="AM92" i="38"/>
  <c r="AM74" i="38"/>
  <c r="C207" i="38"/>
  <c r="AL97" i="38"/>
  <c r="AM98" i="38"/>
  <c r="C215" i="38"/>
  <c r="AL105" i="38"/>
  <c r="AM106" i="38"/>
  <c r="AM96" i="38"/>
  <c r="BF7" i="38"/>
  <c r="C177" i="38"/>
  <c r="AL67" i="38"/>
  <c r="C180" i="38"/>
  <c r="AL70" i="38"/>
  <c r="C185" i="38"/>
  <c r="AL75" i="38"/>
  <c r="C188" i="38"/>
  <c r="AL78" i="38"/>
  <c r="C171" i="38"/>
  <c r="E171" i="38" s="1"/>
  <c r="P172" i="38"/>
  <c r="G172" i="38"/>
  <c r="C175" i="38"/>
  <c r="P176" i="38"/>
  <c r="G176" i="38"/>
  <c r="G177" i="38"/>
  <c r="P177" i="38"/>
  <c r="G178" i="38"/>
  <c r="P178" i="38"/>
  <c r="P179" i="38"/>
  <c r="G179" i="38"/>
  <c r="G180" i="38"/>
  <c r="P180" i="38"/>
  <c r="G181" i="38"/>
  <c r="P181" i="38"/>
  <c r="P182" i="38"/>
  <c r="G182" i="38"/>
  <c r="P183" i="38"/>
  <c r="G183" i="38"/>
  <c r="G184" i="38"/>
  <c r="P184" i="38"/>
  <c r="G185" i="38"/>
  <c r="P185" i="38"/>
  <c r="P186" i="38"/>
  <c r="G186" i="38"/>
  <c r="P187" i="38"/>
  <c r="G187" i="38"/>
  <c r="G188" i="38"/>
  <c r="P188" i="38"/>
  <c r="P189" i="38"/>
  <c r="G189" i="38"/>
  <c r="P190" i="38"/>
  <c r="G190" i="38"/>
  <c r="G191" i="38"/>
  <c r="P191" i="38"/>
  <c r="G192" i="38"/>
  <c r="P192" i="38"/>
  <c r="P193" i="38"/>
  <c r="G193" i="38"/>
  <c r="P194" i="38"/>
  <c r="G194" i="38"/>
  <c r="G195" i="38"/>
  <c r="P195" i="38"/>
  <c r="G196" i="38"/>
  <c r="P196" i="38"/>
  <c r="P197" i="38"/>
  <c r="G197" i="38"/>
  <c r="P198" i="38"/>
  <c r="G198" i="38"/>
  <c r="G199" i="38"/>
  <c r="P199" i="38"/>
  <c r="G200" i="38"/>
  <c r="P200" i="38"/>
  <c r="P201" i="38"/>
  <c r="G201" i="38"/>
  <c r="AL94" i="38"/>
  <c r="G205" i="38"/>
  <c r="P205" i="38"/>
  <c r="AM103" i="38"/>
  <c r="W9" i="38"/>
  <c r="G173" i="38"/>
  <c r="P173" i="38"/>
  <c r="AL68" i="38"/>
  <c r="C181" i="38"/>
  <c r="AL71" i="38"/>
  <c r="C183" i="38"/>
  <c r="I183" i="38" s="1"/>
  <c r="AL73" i="38"/>
  <c r="C189" i="38"/>
  <c r="I189" i="38" s="1"/>
  <c r="AL79" i="38"/>
  <c r="C191" i="38"/>
  <c r="AL83" i="38"/>
  <c r="C193" i="38"/>
  <c r="I193" i="38" s="1"/>
  <c r="C198" i="38"/>
  <c r="I198" i="38" s="1"/>
  <c r="AL88" i="38"/>
  <c r="C200" i="38"/>
  <c r="I200" i="38" s="1"/>
  <c r="AL90" i="38"/>
  <c r="P206" i="38"/>
  <c r="G206" i="38"/>
  <c r="C208" i="38"/>
  <c r="AL98" i="38"/>
  <c r="C210" i="38"/>
  <c r="AL100" i="38"/>
  <c r="C212" i="38"/>
  <c r="AL102" i="38"/>
  <c r="C214" i="38"/>
  <c r="AL104" i="38"/>
  <c r="AE7" i="38"/>
  <c r="R9" i="38"/>
  <c r="AQ9" i="38" s="1"/>
  <c r="U10" i="38"/>
  <c r="AT10" i="38" s="1"/>
  <c r="Q10" i="38"/>
  <c r="AP10" i="38" s="1"/>
  <c r="X10" i="38"/>
  <c r="T10" i="38"/>
  <c r="AS10" i="38" s="1"/>
  <c r="P10" i="38"/>
  <c r="AO10" i="38" s="1"/>
  <c r="W10" i="38"/>
  <c r="AD12" i="38"/>
  <c r="AP12" i="38" s="1"/>
  <c r="AG12" i="38"/>
  <c r="AS12" i="38" s="1"/>
  <c r="AC12" i="38"/>
  <c r="AO12" i="38" s="1"/>
  <c r="BF12" i="38"/>
  <c r="S9" i="38"/>
  <c r="AR9" i="38" s="1"/>
  <c r="AN9" i="38"/>
  <c r="BG9" i="38" s="1"/>
  <c r="R10" i="38"/>
  <c r="AQ10" i="38" s="1"/>
  <c r="P11" i="38"/>
  <c r="X11" i="38"/>
  <c r="AN11" i="38"/>
  <c r="BG11" i="38" s="1"/>
  <c r="AE12" i="38"/>
  <c r="AQ13" i="38"/>
  <c r="BF14" i="38"/>
  <c r="AE14" i="38"/>
  <c r="AQ14" i="38" s="1"/>
  <c r="AD14" i="38"/>
  <c r="AP14" i="38" s="1"/>
  <c r="AQ17" i="38"/>
  <c r="BF18" i="38"/>
  <c r="AE18" i="38"/>
  <c r="AQ18" i="38" s="1"/>
  <c r="AD18" i="38"/>
  <c r="AP18" i="38" s="1"/>
  <c r="AQ21" i="38"/>
  <c r="BF22" i="38"/>
  <c r="AE22" i="38"/>
  <c r="AQ22" i="38" s="1"/>
  <c r="AD22" i="38"/>
  <c r="AP22" i="38" s="1"/>
  <c r="AQ25" i="38"/>
  <c r="BF26" i="38"/>
  <c r="AE26" i="38"/>
  <c r="AQ26" i="38" s="1"/>
  <c r="AD26" i="38"/>
  <c r="AP26" i="38" s="1"/>
  <c r="AQ29" i="38"/>
  <c r="BF30" i="38"/>
  <c r="AE30" i="38"/>
  <c r="AQ30" i="38" s="1"/>
  <c r="AD30" i="38"/>
  <c r="AP30" i="38" s="1"/>
  <c r="AQ33" i="38"/>
  <c r="BF34" i="38"/>
  <c r="AE34" i="38"/>
  <c r="AQ34" i="38" s="1"/>
  <c r="AD34" i="38"/>
  <c r="AP34" i="38" s="1"/>
  <c r="AQ37" i="38"/>
  <c r="BF38" i="38"/>
  <c r="AE38" i="38"/>
  <c r="AQ38" i="38" s="1"/>
  <c r="AD38" i="38"/>
  <c r="AP38" i="38" s="1"/>
  <c r="T40" i="38"/>
  <c r="AS40" i="38" s="1"/>
  <c r="AQ41" i="38"/>
  <c r="BF42" i="38"/>
  <c r="AE42" i="38"/>
  <c r="AQ42" i="38" s="1"/>
  <c r="AD42" i="38"/>
  <c r="AP42" i="38" s="1"/>
  <c r="AQ45" i="38"/>
  <c r="BF46" i="38"/>
  <c r="AE46" i="38"/>
  <c r="AQ46" i="38" s="1"/>
  <c r="AD46" i="38"/>
  <c r="AP46" i="38" s="1"/>
  <c r="AQ49" i="38"/>
  <c r="BF50" i="38"/>
  <c r="AE50" i="38"/>
  <c r="AQ50" i="38" s="1"/>
  <c r="AD50" i="38"/>
  <c r="AP50" i="38" s="1"/>
  <c r="AQ53" i="38"/>
  <c r="C170" i="38"/>
  <c r="P171" i="38"/>
  <c r="G171" i="38"/>
  <c r="AB62" i="38"/>
  <c r="P175" i="38"/>
  <c r="G175" i="38"/>
  <c r="AB67" i="38"/>
  <c r="AB68" i="38"/>
  <c r="AB69" i="38"/>
  <c r="AB71" i="38"/>
  <c r="AB72" i="38"/>
  <c r="AB73" i="38"/>
  <c r="AB75" i="38"/>
  <c r="AB76" i="38"/>
  <c r="AB77" i="38"/>
  <c r="AB79" i="38"/>
  <c r="AB80" i="38"/>
  <c r="AB81" i="38"/>
  <c r="AB83" i="38"/>
  <c r="AB84" i="38"/>
  <c r="AB85" i="38"/>
  <c r="AB87" i="38"/>
  <c r="AB88" i="38"/>
  <c r="AB89" i="38"/>
  <c r="AB91" i="38"/>
  <c r="G204" i="38"/>
  <c r="P204" i="38"/>
  <c r="AB95" i="38"/>
  <c r="C209" i="38"/>
  <c r="AL99" i="38"/>
  <c r="C213" i="38"/>
  <c r="E213" i="38" s="1"/>
  <c r="AL103" i="38"/>
  <c r="Q200" i="38"/>
  <c r="AD200" i="38"/>
  <c r="AV200" i="38" s="1"/>
  <c r="Q212" i="38"/>
  <c r="AD212" i="38"/>
  <c r="AV212" i="38" s="1"/>
  <c r="AD7" i="38"/>
  <c r="AP7" i="38" s="1"/>
  <c r="AG7" i="38"/>
  <c r="AS7" i="38" s="1"/>
  <c r="AC7" i="38"/>
  <c r="AO7" i="38" s="1"/>
  <c r="U9" i="38"/>
  <c r="AT9" i="38" s="1"/>
  <c r="Q9" i="38"/>
  <c r="AP9" i="38" s="1"/>
  <c r="X9" i="38"/>
  <c r="T9" i="38"/>
  <c r="AS9" i="38" s="1"/>
  <c r="P9" i="38"/>
  <c r="AO9" i="38" s="1"/>
  <c r="AQ12" i="38"/>
  <c r="AB60" i="38"/>
  <c r="I62" i="38"/>
  <c r="Y62" i="38" s="1"/>
  <c r="C176" i="38"/>
  <c r="I176" i="38" s="1"/>
  <c r="C179" i="38"/>
  <c r="I179" i="38" s="1"/>
  <c r="AL69" i="38"/>
  <c r="C182" i="38"/>
  <c r="I182" i="38" s="1"/>
  <c r="C184" i="38"/>
  <c r="AL74" i="38"/>
  <c r="C187" i="38"/>
  <c r="I187" i="38" s="1"/>
  <c r="C192" i="38"/>
  <c r="I192" i="38" s="1"/>
  <c r="AL82" i="38"/>
  <c r="C194" i="38"/>
  <c r="I194" i="38" s="1"/>
  <c r="AL84" i="38"/>
  <c r="C196" i="38"/>
  <c r="AL86" i="38"/>
  <c r="C197" i="38"/>
  <c r="I197" i="38" s="1"/>
  <c r="AL87" i="38"/>
  <c r="C199" i="38"/>
  <c r="C201" i="38"/>
  <c r="I201" i="38" s="1"/>
  <c r="AL91" i="38"/>
  <c r="P202" i="38"/>
  <c r="G202" i="38"/>
  <c r="C205" i="38"/>
  <c r="I205" i="38" s="1"/>
  <c r="AL95" i="38"/>
  <c r="C216" i="38"/>
  <c r="E216" i="38" s="1"/>
  <c r="AL106" i="38"/>
  <c r="AD187" i="38"/>
  <c r="AV187" i="38" s="1"/>
  <c r="Q187" i="38"/>
  <c r="V11" i="38"/>
  <c r="R11" i="38"/>
  <c r="AQ11" i="38" s="1"/>
  <c r="U11" i="38"/>
  <c r="AT11" i="38" s="1"/>
  <c r="Q11" i="38"/>
  <c r="AP11" i="38" s="1"/>
  <c r="W11" i="38"/>
  <c r="AQ7" i="38"/>
  <c r="BF8" i="38"/>
  <c r="AE8" i="38"/>
  <c r="AQ8" i="38" s="1"/>
  <c r="AD8" i="38"/>
  <c r="AP8" i="38" s="1"/>
  <c r="V9" i="38"/>
  <c r="S10" i="38"/>
  <c r="AR10" i="38" s="1"/>
  <c r="AN10" i="38"/>
  <c r="BG10" i="38" s="1"/>
  <c r="BE10" i="38"/>
  <c r="S11" i="38"/>
  <c r="BE11" i="38"/>
  <c r="AF12" i="38"/>
  <c r="AD13" i="38"/>
  <c r="AP13" i="38" s="1"/>
  <c r="AG13" i="38"/>
  <c r="AS13" i="38" s="1"/>
  <c r="AC13" i="38"/>
  <c r="AO13" i="38" s="1"/>
  <c r="BF13" i="38"/>
  <c r="AC14" i="38"/>
  <c r="U15" i="38"/>
  <c r="AT15" i="38" s="1"/>
  <c r="Q15" i="38"/>
  <c r="AP15" i="38" s="1"/>
  <c r="X15" i="38"/>
  <c r="T15" i="38"/>
  <c r="AS15" i="38" s="1"/>
  <c r="P15" i="38"/>
  <c r="AO15" i="38" s="1"/>
  <c r="W15" i="38"/>
  <c r="V16" i="38"/>
  <c r="R16" i="38"/>
  <c r="AQ16" i="38" s="1"/>
  <c r="U16" i="38"/>
  <c r="AT16" i="38" s="1"/>
  <c r="Q16" i="38"/>
  <c r="AP16" i="38" s="1"/>
  <c r="W16" i="38"/>
  <c r="AD17" i="38"/>
  <c r="AP17" i="38" s="1"/>
  <c r="AG17" i="38"/>
  <c r="AS17" i="38" s="1"/>
  <c r="AC17" i="38"/>
  <c r="AO17" i="38" s="1"/>
  <c r="BF17" i="38"/>
  <c r="AC18" i="38"/>
  <c r="U19" i="38"/>
  <c r="AT19" i="38" s="1"/>
  <c r="Q19" i="38"/>
  <c r="AP19" i="38" s="1"/>
  <c r="X19" i="38"/>
  <c r="T19" i="38"/>
  <c r="AS19" i="38" s="1"/>
  <c r="P19" i="38"/>
  <c r="AO19" i="38" s="1"/>
  <c r="W19" i="38"/>
  <c r="V20" i="38"/>
  <c r="R20" i="38"/>
  <c r="AQ20" i="38" s="1"/>
  <c r="U20" i="38"/>
  <c r="AT20" i="38" s="1"/>
  <c r="Q20" i="38"/>
  <c r="AP20" i="38" s="1"/>
  <c r="W20" i="38"/>
  <c r="AD21" i="38"/>
  <c r="AP21" i="38" s="1"/>
  <c r="AG21" i="38"/>
  <c r="AS21" i="38" s="1"/>
  <c r="AC21" i="38"/>
  <c r="AO21" i="38" s="1"/>
  <c r="BF21" i="38"/>
  <c r="AC22" i="38"/>
  <c r="U23" i="38"/>
  <c r="AT23" i="38" s="1"/>
  <c r="Q23" i="38"/>
  <c r="AP23" i="38" s="1"/>
  <c r="X23" i="38"/>
  <c r="T23" i="38"/>
  <c r="AS23" i="38" s="1"/>
  <c r="P23" i="38"/>
  <c r="AO23" i="38" s="1"/>
  <c r="W23" i="38"/>
  <c r="V24" i="38"/>
  <c r="R24" i="38"/>
  <c r="AQ24" i="38" s="1"/>
  <c r="U24" i="38"/>
  <c r="AT24" i="38" s="1"/>
  <c r="Q24" i="38"/>
  <c r="AP24" i="38" s="1"/>
  <c r="W24" i="38"/>
  <c r="AD25" i="38"/>
  <c r="AP25" i="38" s="1"/>
  <c r="AG25" i="38"/>
  <c r="AS25" i="38" s="1"/>
  <c r="AC25" i="38"/>
  <c r="AO25" i="38" s="1"/>
  <c r="BF25" i="38"/>
  <c r="AC26" i="38"/>
  <c r="U27" i="38"/>
  <c r="AT27" i="38" s="1"/>
  <c r="Q27" i="38"/>
  <c r="AP27" i="38" s="1"/>
  <c r="X27" i="38"/>
  <c r="T27" i="38"/>
  <c r="AS27" i="38" s="1"/>
  <c r="P27" i="38"/>
  <c r="AO27" i="38" s="1"/>
  <c r="W27" i="38"/>
  <c r="V28" i="38"/>
  <c r="R28" i="38"/>
  <c r="AQ28" i="38" s="1"/>
  <c r="U28" i="38"/>
  <c r="AT28" i="38" s="1"/>
  <c r="Q28" i="38"/>
  <c r="AP28" i="38" s="1"/>
  <c r="W28" i="38"/>
  <c r="AD29" i="38"/>
  <c r="AP29" i="38" s="1"/>
  <c r="AG29" i="38"/>
  <c r="AS29" i="38" s="1"/>
  <c r="AC29" i="38"/>
  <c r="AO29" i="38" s="1"/>
  <c r="BF29" i="38"/>
  <c r="AC30" i="38"/>
  <c r="U31" i="38"/>
  <c r="AT31" i="38" s="1"/>
  <c r="Q31" i="38"/>
  <c r="AP31" i="38" s="1"/>
  <c r="X31" i="38"/>
  <c r="T31" i="38"/>
  <c r="AS31" i="38" s="1"/>
  <c r="P31" i="38"/>
  <c r="AO31" i="38" s="1"/>
  <c r="W31" i="38"/>
  <c r="V32" i="38"/>
  <c r="R32" i="38"/>
  <c r="AQ32" i="38" s="1"/>
  <c r="U32" i="38"/>
  <c r="AT32" i="38" s="1"/>
  <c r="Q32" i="38"/>
  <c r="AP32" i="38" s="1"/>
  <c r="W32" i="38"/>
  <c r="AD33" i="38"/>
  <c r="AP33" i="38" s="1"/>
  <c r="AG33" i="38"/>
  <c r="AS33" i="38" s="1"/>
  <c r="AC33" i="38"/>
  <c r="AO33" i="38" s="1"/>
  <c r="BF33" i="38"/>
  <c r="AC34" i="38"/>
  <c r="U35" i="38"/>
  <c r="AT35" i="38" s="1"/>
  <c r="Q35" i="38"/>
  <c r="AP35" i="38" s="1"/>
  <c r="X35" i="38"/>
  <c r="T35" i="38"/>
  <c r="AS35" i="38" s="1"/>
  <c r="P35" i="38"/>
  <c r="AO35" i="38" s="1"/>
  <c r="W35" i="38"/>
  <c r="V36" i="38"/>
  <c r="R36" i="38"/>
  <c r="AQ36" i="38" s="1"/>
  <c r="U36" i="38"/>
  <c r="AT36" i="38" s="1"/>
  <c r="Q36" i="38"/>
  <c r="AP36" i="38" s="1"/>
  <c r="W36" i="38"/>
  <c r="AD37" i="38"/>
  <c r="AP37" i="38" s="1"/>
  <c r="AG37" i="38"/>
  <c r="AS37" i="38" s="1"/>
  <c r="AC37" i="38"/>
  <c r="AO37" i="38" s="1"/>
  <c r="BF37" i="38"/>
  <c r="AC38" i="38"/>
  <c r="U39" i="38"/>
  <c r="AT39" i="38" s="1"/>
  <c r="Q39" i="38"/>
  <c r="AP39" i="38" s="1"/>
  <c r="X39" i="38"/>
  <c r="T39" i="38"/>
  <c r="AS39" i="38" s="1"/>
  <c r="P39" i="38"/>
  <c r="AO39" i="38" s="1"/>
  <c r="W39" i="38"/>
  <c r="V40" i="38"/>
  <c r="R40" i="38"/>
  <c r="AQ40" i="38" s="1"/>
  <c r="U40" i="38"/>
  <c r="AT40" i="38" s="1"/>
  <c r="Q40" i="38"/>
  <c r="AP40" i="38" s="1"/>
  <c r="W40" i="38"/>
  <c r="AD41" i="38"/>
  <c r="AP41" i="38" s="1"/>
  <c r="AG41" i="38"/>
  <c r="AS41" i="38" s="1"/>
  <c r="AC41" i="38"/>
  <c r="AO41" i="38" s="1"/>
  <c r="BF41" i="38"/>
  <c r="AC42" i="38"/>
  <c r="U43" i="38"/>
  <c r="AT43" i="38" s="1"/>
  <c r="Q43" i="38"/>
  <c r="AP43" i="38" s="1"/>
  <c r="X43" i="38"/>
  <c r="T43" i="38"/>
  <c r="AS43" i="38" s="1"/>
  <c r="P43" i="38"/>
  <c r="AO43" i="38" s="1"/>
  <c r="W43" i="38"/>
  <c r="V44" i="38"/>
  <c r="R44" i="38"/>
  <c r="AQ44" i="38" s="1"/>
  <c r="U44" i="38"/>
  <c r="AT44" i="38" s="1"/>
  <c r="Q44" i="38"/>
  <c r="AP44" i="38" s="1"/>
  <c r="W44" i="38"/>
  <c r="AD45" i="38"/>
  <c r="AP45" i="38" s="1"/>
  <c r="AG45" i="38"/>
  <c r="AS45" i="38" s="1"/>
  <c r="AC45" i="38"/>
  <c r="AO45" i="38" s="1"/>
  <c r="BF45" i="38"/>
  <c r="AC46" i="38"/>
  <c r="U47" i="38"/>
  <c r="AT47" i="38" s="1"/>
  <c r="Q47" i="38"/>
  <c r="AP47" i="38" s="1"/>
  <c r="X47" i="38"/>
  <c r="T47" i="38"/>
  <c r="AS47" i="38" s="1"/>
  <c r="P47" i="38"/>
  <c r="AO47" i="38" s="1"/>
  <c r="W47" i="38"/>
  <c r="V48" i="38"/>
  <c r="R48" i="38"/>
  <c r="AQ48" i="38" s="1"/>
  <c r="U48" i="38"/>
  <c r="AT48" i="38" s="1"/>
  <c r="Q48" i="38"/>
  <c r="AP48" i="38" s="1"/>
  <c r="W48" i="38"/>
  <c r="AD49" i="38"/>
  <c r="AP49" i="38" s="1"/>
  <c r="AG49" i="38"/>
  <c r="AS49" i="38" s="1"/>
  <c r="AC49" i="38"/>
  <c r="AO49" i="38" s="1"/>
  <c r="BF49" i="38"/>
  <c r="AC50" i="38"/>
  <c r="U51" i="38"/>
  <c r="AT51" i="38" s="1"/>
  <c r="Q51" i="38"/>
  <c r="AP51" i="38" s="1"/>
  <c r="X51" i="38"/>
  <c r="T51" i="38"/>
  <c r="AS51" i="38" s="1"/>
  <c r="P51" i="38"/>
  <c r="AO51" i="38" s="1"/>
  <c r="W51" i="38"/>
  <c r="V52" i="38"/>
  <c r="R52" i="38"/>
  <c r="AQ52" i="38" s="1"/>
  <c r="U52" i="38"/>
  <c r="AT52" i="38" s="1"/>
  <c r="Q52" i="38"/>
  <c r="AP52" i="38" s="1"/>
  <c r="W52" i="38"/>
  <c r="AD53" i="38"/>
  <c r="AP53" i="38" s="1"/>
  <c r="AG53" i="38"/>
  <c r="AS53" i="38" s="1"/>
  <c r="AC53" i="38"/>
  <c r="AO53" i="38" s="1"/>
  <c r="BF53" i="38"/>
  <c r="G170" i="38"/>
  <c r="P170" i="38"/>
  <c r="AB61" i="38"/>
  <c r="I63" i="38"/>
  <c r="Y63" i="38" s="1"/>
  <c r="G174" i="38"/>
  <c r="P174" i="38"/>
  <c r="AB65" i="38"/>
  <c r="AE67" i="38"/>
  <c r="F179" i="38"/>
  <c r="AE69" i="38"/>
  <c r="F180" i="38"/>
  <c r="AE70" i="38"/>
  <c r="AE71" i="38"/>
  <c r="F183" i="38"/>
  <c r="F184" i="38"/>
  <c r="AE74" i="38"/>
  <c r="AE75" i="38"/>
  <c r="AE78" i="38"/>
  <c r="AE79" i="38"/>
  <c r="F190" i="38"/>
  <c r="AE82" i="38"/>
  <c r="AE83" i="38"/>
  <c r="F194" i="38"/>
  <c r="AE84" i="38"/>
  <c r="AE86" i="38"/>
  <c r="AE87" i="38"/>
  <c r="F198" i="38"/>
  <c r="AE88" i="38"/>
  <c r="F199" i="38"/>
  <c r="AE90" i="38"/>
  <c r="I92" i="38"/>
  <c r="Y92" i="38" s="1"/>
  <c r="P203" i="38"/>
  <c r="G203" i="38"/>
  <c r="AB94" i="38"/>
  <c r="I96" i="38"/>
  <c r="Y96" i="38" s="1"/>
  <c r="P207" i="38"/>
  <c r="G207" i="38"/>
  <c r="AM100" i="38"/>
  <c r="AM104" i="38"/>
  <c r="G208" i="38"/>
  <c r="P208" i="38"/>
  <c r="P209" i="38"/>
  <c r="G209" i="38"/>
  <c r="P210" i="38"/>
  <c r="G210" i="38"/>
  <c r="G211" i="38"/>
  <c r="P211" i="38"/>
  <c r="G212" i="38"/>
  <c r="P212" i="38"/>
  <c r="P213" i="38"/>
  <c r="G213" i="38"/>
  <c r="P214" i="38"/>
  <c r="G214" i="38"/>
  <c r="H215" i="38"/>
  <c r="G216" i="38"/>
  <c r="P216" i="38"/>
  <c r="AD173" i="38"/>
  <c r="AV173" i="38" s="1"/>
  <c r="Q173" i="38"/>
  <c r="AD179" i="38"/>
  <c r="AV179" i="38" s="1"/>
  <c r="Q179" i="38"/>
  <c r="AD190" i="38"/>
  <c r="AV190" i="38" s="1"/>
  <c r="Q190" i="38"/>
  <c r="Q197" i="38"/>
  <c r="AD197" i="38"/>
  <c r="AV197" i="38" s="1"/>
  <c r="P215" i="38"/>
  <c r="Q182" i="38"/>
  <c r="AD182" i="38"/>
  <c r="AV182" i="38" s="1"/>
  <c r="AE91" i="38"/>
  <c r="F202" i="38"/>
  <c r="AE92" i="38"/>
  <c r="F203" i="38"/>
  <c r="AE93" i="38"/>
  <c r="F204" i="38"/>
  <c r="AE95" i="38"/>
  <c r="AE96" i="38"/>
  <c r="F207" i="38"/>
  <c r="AE97" i="38"/>
  <c r="F208" i="38"/>
  <c r="AE98" i="38"/>
  <c r="AE99" i="38"/>
  <c r="F210" i="38"/>
  <c r="AE100" i="38"/>
  <c r="F211" i="38"/>
  <c r="AE102" i="38"/>
  <c r="AE103" i="38"/>
  <c r="F214" i="38"/>
  <c r="AE104" i="38"/>
  <c r="F215" i="38"/>
  <c r="AE105" i="38"/>
  <c r="AE106" i="38"/>
  <c r="Q171" i="38"/>
  <c r="AD171" i="38"/>
  <c r="AV171" i="38" s="1"/>
  <c r="Q175" i="38"/>
  <c r="AD175" i="38"/>
  <c r="AV175" i="38" s="1"/>
  <c r="Q177" i="38"/>
  <c r="AD177" i="38"/>
  <c r="AV177" i="38" s="1"/>
  <c r="AD204" i="38"/>
  <c r="AV204" i="38" s="1"/>
  <c r="Q204" i="38"/>
  <c r="Q185" i="38"/>
  <c r="AD185" i="38"/>
  <c r="AV185" i="38" s="1"/>
  <c r="Q193" i="38"/>
  <c r="AD193" i="38"/>
  <c r="AV193" i="38" s="1"/>
  <c r="Q195" i="38"/>
  <c r="AD195" i="38"/>
  <c r="AV195" i="38" s="1"/>
  <c r="AS175" i="38"/>
  <c r="AI175" i="38"/>
  <c r="AS188" i="38"/>
  <c r="AI188" i="38"/>
  <c r="S8" i="38"/>
  <c r="AR8" i="38" s="1"/>
  <c r="W8" i="38"/>
  <c r="AN8" i="38"/>
  <c r="BG8" i="38" s="1"/>
  <c r="BE8" i="38"/>
  <c r="AF11" i="38"/>
  <c r="S14" i="38"/>
  <c r="AR14" i="38" s="1"/>
  <c r="W14" i="38"/>
  <c r="AN14" i="38"/>
  <c r="BG14" i="38" s="1"/>
  <c r="BE14" i="38"/>
  <c r="AF16" i="38"/>
  <c r="AR16" i="38" s="1"/>
  <c r="S18" i="38"/>
  <c r="AR18" i="38" s="1"/>
  <c r="W18" i="38"/>
  <c r="AN18" i="38"/>
  <c r="BG18" i="38" s="1"/>
  <c r="BE18" i="38"/>
  <c r="AF20" i="38"/>
  <c r="AR20" i="38" s="1"/>
  <c r="S22" i="38"/>
  <c r="AR22" i="38" s="1"/>
  <c r="W22" i="38"/>
  <c r="AN22" i="38"/>
  <c r="BG22" i="38" s="1"/>
  <c r="BE22" i="38"/>
  <c r="AF24" i="38"/>
  <c r="AR24" i="38" s="1"/>
  <c r="S26" i="38"/>
  <c r="AR26" i="38" s="1"/>
  <c r="W26" i="38"/>
  <c r="AN26" i="38"/>
  <c r="BG26" i="38" s="1"/>
  <c r="BE26" i="38"/>
  <c r="AF28" i="38"/>
  <c r="AR28" i="38" s="1"/>
  <c r="S30" i="38"/>
  <c r="AR30" i="38" s="1"/>
  <c r="W30" i="38"/>
  <c r="AN30" i="38"/>
  <c r="BG30" i="38" s="1"/>
  <c r="BE30" i="38"/>
  <c r="AF32" i="38"/>
  <c r="AR32" i="38" s="1"/>
  <c r="S34" i="38"/>
  <c r="AR34" i="38" s="1"/>
  <c r="W34" i="38"/>
  <c r="AN34" i="38"/>
  <c r="BG34" i="38" s="1"/>
  <c r="BE34" i="38"/>
  <c r="AF36" i="38"/>
  <c r="AR36" i="38" s="1"/>
  <c r="S38" i="38"/>
  <c r="AR38" i="38" s="1"/>
  <c r="W38" i="38"/>
  <c r="AN38" i="38"/>
  <c r="BG38" i="38" s="1"/>
  <c r="BE38" i="38"/>
  <c r="AF40" i="38"/>
  <c r="AR40" i="38" s="1"/>
  <c r="S42" i="38"/>
  <c r="AR42" i="38" s="1"/>
  <c r="W42" i="38"/>
  <c r="AN42" i="38"/>
  <c r="BG42" i="38" s="1"/>
  <c r="BE42" i="38"/>
  <c r="AF44" i="38"/>
  <c r="AR44" i="38" s="1"/>
  <c r="S46" i="38"/>
  <c r="AR46" i="38" s="1"/>
  <c r="W46" i="38"/>
  <c r="AN46" i="38"/>
  <c r="BG46" i="38" s="1"/>
  <c r="BE46" i="38"/>
  <c r="AF48" i="38"/>
  <c r="AR48" i="38" s="1"/>
  <c r="S50" i="38"/>
  <c r="AR50" i="38" s="1"/>
  <c r="W50" i="38"/>
  <c r="AN50" i="38"/>
  <c r="BG50" i="38" s="1"/>
  <c r="BE50" i="38"/>
  <c r="AF52" i="38"/>
  <c r="AR52" i="38" s="1"/>
  <c r="Q178" i="38"/>
  <c r="AD178" i="38"/>
  <c r="AV178" i="38" s="1"/>
  <c r="AD183" i="38"/>
  <c r="AV183" i="38" s="1"/>
  <c r="Q183" i="38"/>
  <c r="Q186" i="38"/>
  <c r="AD186" i="38"/>
  <c r="AV186" i="38" s="1"/>
  <c r="Q191" i="38"/>
  <c r="AD191" i="38"/>
  <c r="AV191" i="38" s="1"/>
  <c r="AD208" i="38"/>
  <c r="AV208" i="38" s="1"/>
  <c r="Q208" i="38"/>
  <c r="Q216" i="38"/>
  <c r="AD216" i="38"/>
  <c r="AV216" i="38" s="1"/>
  <c r="AD174" i="38"/>
  <c r="AV174" i="38" s="1"/>
  <c r="E175" i="38"/>
  <c r="F209" i="38"/>
  <c r="E209" i="38"/>
  <c r="Q180" i="38"/>
  <c r="AD180" i="38"/>
  <c r="AV180" i="38" s="1"/>
  <c r="Q188" i="38"/>
  <c r="AD188" i="38"/>
  <c r="AV188" i="38" s="1"/>
  <c r="E174" i="38"/>
  <c r="S7" i="38"/>
  <c r="AR7" i="38" s="1"/>
  <c r="W7" i="38"/>
  <c r="AN7" i="38"/>
  <c r="BG7" i="38" s="1"/>
  <c r="P8" i="38"/>
  <c r="AO8" i="38" s="1"/>
  <c r="T8" i="38"/>
  <c r="AS8" i="38" s="1"/>
  <c r="AC11" i="38"/>
  <c r="S12" i="38"/>
  <c r="AR12" i="38" s="1"/>
  <c r="W12" i="38"/>
  <c r="AN12" i="38"/>
  <c r="BG12" i="38" s="1"/>
  <c r="S13" i="38"/>
  <c r="AR13" i="38" s="1"/>
  <c r="W13" i="38"/>
  <c r="AN13" i="38"/>
  <c r="BG13" i="38" s="1"/>
  <c r="P14" i="38"/>
  <c r="AO14" i="38" s="1"/>
  <c r="T14" i="38"/>
  <c r="AS14" i="38" s="1"/>
  <c r="AC16" i="38"/>
  <c r="AO16" i="38" s="1"/>
  <c r="S17" i="38"/>
  <c r="AR17" i="38" s="1"/>
  <c r="W17" i="38"/>
  <c r="AN17" i="38"/>
  <c r="BG17" i="38" s="1"/>
  <c r="P18" i="38"/>
  <c r="AO18" i="38" s="1"/>
  <c r="T18" i="38"/>
  <c r="AS18" i="38" s="1"/>
  <c r="AC20" i="38"/>
  <c r="AO20" i="38" s="1"/>
  <c r="S21" i="38"/>
  <c r="AR21" i="38" s="1"/>
  <c r="W21" i="38"/>
  <c r="AN21" i="38"/>
  <c r="BG21" i="38" s="1"/>
  <c r="P22" i="38"/>
  <c r="AO22" i="38" s="1"/>
  <c r="T22" i="38"/>
  <c r="AS22" i="38" s="1"/>
  <c r="AC24" i="38"/>
  <c r="AO24" i="38" s="1"/>
  <c r="S25" i="38"/>
  <c r="AR25" i="38" s="1"/>
  <c r="W25" i="38"/>
  <c r="AN25" i="38"/>
  <c r="BG25" i="38" s="1"/>
  <c r="P26" i="38"/>
  <c r="AO26" i="38" s="1"/>
  <c r="T26" i="38"/>
  <c r="AS26" i="38" s="1"/>
  <c r="AC28" i="38"/>
  <c r="AO28" i="38" s="1"/>
  <c r="S29" i="38"/>
  <c r="AR29" i="38" s="1"/>
  <c r="W29" i="38"/>
  <c r="AN29" i="38"/>
  <c r="BG29" i="38" s="1"/>
  <c r="P30" i="38"/>
  <c r="AO30" i="38" s="1"/>
  <c r="T30" i="38"/>
  <c r="AS30" i="38" s="1"/>
  <c r="AC32" i="38"/>
  <c r="AO32" i="38" s="1"/>
  <c r="S33" i="38"/>
  <c r="AR33" i="38" s="1"/>
  <c r="W33" i="38"/>
  <c r="AN33" i="38"/>
  <c r="BG33" i="38" s="1"/>
  <c r="P34" i="38"/>
  <c r="AO34" i="38" s="1"/>
  <c r="T34" i="38"/>
  <c r="AS34" i="38" s="1"/>
  <c r="AC36" i="38"/>
  <c r="AO36" i="38" s="1"/>
  <c r="S37" i="38"/>
  <c r="AR37" i="38" s="1"/>
  <c r="W37" i="38"/>
  <c r="AN37" i="38"/>
  <c r="BG37" i="38" s="1"/>
  <c r="P38" i="38"/>
  <c r="AO38" i="38" s="1"/>
  <c r="T38" i="38"/>
  <c r="AS38" i="38" s="1"/>
  <c r="AC40" i="38"/>
  <c r="AO40" i="38" s="1"/>
  <c r="S41" i="38"/>
  <c r="AR41" i="38" s="1"/>
  <c r="W41" i="38"/>
  <c r="AN41" i="38"/>
  <c r="BG41" i="38" s="1"/>
  <c r="P42" i="38"/>
  <c r="AO42" i="38" s="1"/>
  <c r="T42" i="38"/>
  <c r="AS42" i="38" s="1"/>
  <c r="AC44" i="38"/>
  <c r="AO44" i="38" s="1"/>
  <c r="S45" i="38"/>
  <c r="AR45" i="38" s="1"/>
  <c r="W45" i="38"/>
  <c r="AN45" i="38"/>
  <c r="BG45" i="38" s="1"/>
  <c r="P46" i="38"/>
  <c r="AO46" i="38" s="1"/>
  <c r="T46" i="38"/>
  <c r="AS46" i="38" s="1"/>
  <c r="AC48" i="38"/>
  <c r="AO48" i="38" s="1"/>
  <c r="S49" i="38"/>
  <c r="AR49" i="38" s="1"/>
  <c r="W49" i="38"/>
  <c r="AN49" i="38"/>
  <c r="BG49" i="38" s="1"/>
  <c r="P50" i="38"/>
  <c r="AO50" i="38" s="1"/>
  <c r="T50" i="38"/>
  <c r="AS50" i="38" s="1"/>
  <c r="AC52" i="38"/>
  <c r="AO52" i="38" s="1"/>
  <c r="S53" i="38"/>
  <c r="AR53" i="38" s="1"/>
  <c r="W53" i="38"/>
  <c r="AN53" i="38"/>
  <c r="BG53" i="38" s="1"/>
  <c r="F60" i="38"/>
  <c r="U60" i="38" s="1"/>
  <c r="F61" i="38"/>
  <c r="U61" i="38" s="1"/>
  <c r="F62" i="38"/>
  <c r="U62" i="38" s="1"/>
  <c r="F63" i="38"/>
  <c r="U63" i="38" s="1"/>
  <c r="F64" i="38"/>
  <c r="U64" i="38" s="1"/>
  <c r="F174" i="38" s="1"/>
  <c r="F65" i="38"/>
  <c r="U65" i="38" s="1"/>
  <c r="F66" i="38"/>
  <c r="U66" i="38" s="1"/>
  <c r="Q170" i="38"/>
  <c r="AD170" i="38"/>
  <c r="AV170" i="38" s="1"/>
  <c r="AD172" i="38"/>
  <c r="AV172" i="38" s="1"/>
  <c r="Q172" i="38"/>
  <c r="Q181" i="38"/>
  <c r="AD181" i="38"/>
  <c r="AV181" i="38" s="1"/>
  <c r="Q189" i="38"/>
  <c r="AD189" i="38"/>
  <c r="AV189" i="38" s="1"/>
  <c r="Q192" i="38"/>
  <c r="AD192" i="38"/>
  <c r="AV192" i="38" s="1"/>
  <c r="AD198" i="38"/>
  <c r="AV198" i="38" s="1"/>
  <c r="Q198" i="38"/>
  <c r="AS181" i="38"/>
  <c r="AI181" i="38"/>
  <c r="Q196" i="38"/>
  <c r="AD196" i="38"/>
  <c r="AV196" i="38" s="1"/>
  <c r="Q201" i="38"/>
  <c r="AD201" i="38"/>
  <c r="AV201" i="38" s="1"/>
  <c r="AD202" i="38"/>
  <c r="AV202" i="38" s="1"/>
  <c r="Q202" i="38"/>
  <c r="Q206" i="38"/>
  <c r="AD206" i="38"/>
  <c r="AV206" i="38" s="1"/>
  <c r="AD210" i="38"/>
  <c r="AV210" i="38" s="1"/>
  <c r="Q210" i="38"/>
  <c r="AD214" i="38"/>
  <c r="AV214" i="38" s="1"/>
  <c r="Q214" i="38"/>
  <c r="F186" i="38"/>
  <c r="AD194" i="38"/>
  <c r="AV194" i="38" s="1"/>
  <c r="Q194" i="38"/>
  <c r="F170" i="38"/>
  <c r="F178" i="38"/>
  <c r="F181" i="38"/>
  <c r="AS182" i="38"/>
  <c r="AI182" i="38"/>
  <c r="AS196" i="38"/>
  <c r="AI196" i="38"/>
  <c r="AD203" i="38"/>
  <c r="AV203" i="38" s="1"/>
  <c r="Q203" i="38"/>
  <c r="Q205" i="38"/>
  <c r="AD205" i="38"/>
  <c r="AV205" i="38" s="1"/>
  <c r="AD207" i="38"/>
  <c r="AV207" i="38" s="1"/>
  <c r="Q207" i="38"/>
  <c r="Q209" i="38"/>
  <c r="AD209" i="38"/>
  <c r="AV209" i="38" s="1"/>
  <c r="Q211" i="38"/>
  <c r="AD211" i="38"/>
  <c r="AV211" i="38" s="1"/>
  <c r="Q213" i="38"/>
  <c r="AD213" i="38"/>
  <c r="AV213" i="38" s="1"/>
  <c r="AD215" i="38"/>
  <c r="AV215" i="38" s="1"/>
  <c r="Q215" i="38"/>
  <c r="AI172" i="38"/>
  <c r="AI176" i="38"/>
  <c r="F185" i="38"/>
  <c r="F193" i="38"/>
  <c r="F201" i="38"/>
  <c r="E201" i="38"/>
  <c r="F206" i="38"/>
  <c r="AS206" i="38"/>
  <c r="AI206" i="38"/>
  <c r="AI173" i="38"/>
  <c r="E176" i="38"/>
  <c r="AI177" i="38"/>
  <c r="F182" i="38"/>
  <c r="E182" i="38"/>
  <c r="E185" i="38"/>
  <c r="F188" i="38"/>
  <c r="AS189" i="38"/>
  <c r="AI189" i="38"/>
  <c r="F196" i="38"/>
  <c r="AS197" i="38"/>
  <c r="AI197" i="38"/>
  <c r="AI179" i="38"/>
  <c r="AI183" i="38"/>
  <c r="AI187" i="38"/>
  <c r="F192" i="38"/>
  <c r="F200" i="38"/>
  <c r="F205" i="38"/>
  <c r="E205" i="38"/>
  <c r="AS212" i="38"/>
  <c r="AI212" i="38"/>
  <c r="E179" i="38"/>
  <c r="AI180" i="38"/>
  <c r="E183" i="38"/>
  <c r="AI184" i="38"/>
  <c r="F189" i="38"/>
  <c r="E189" i="38"/>
  <c r="E192" i="38"/>
  <c r="F197" i="38"/>
  <c r="E197" i="38"/>
  <c r="E200" i="38"/>
  <c r="AI190" i="38"/>
  <c r="AI194" i="38"/>
  <c r="AI198" i="38"/>
  <c r="F212" i="38"/>
  <c r="AS213" i="38"/>
  <c r="AI213" i="38"/>
  <c r="AI191" i="38"/>
  <c r="E194" i="38"/>
  <c r="AI195" i="38"/>
  <c r="E198" i="38"/>
  <c r="AI199" i="38"/>
  <c r="AI205" i="38"/>
  <c r="E212" i="38"/>
  <c r="AI203" i="38"/>
  <c r="AS207" i="38"/>
  <c r="AI207" i="38"/>
  <c r="F216" i="38"/>
  <c r="AI204" i="38"/>
  <c r="F213" i="38"/>
  <c r="AI210" i="38"/>
  <c r="AI214" i="38"/>
  <c r="E210" i="38"/>
  <c r="AI211" i="38"/>
  <c r="E214" i="38"/>
  <c r="AI215" i="38"/>
  <c r="AE82" i="40" l="1"/>
  <c r="F174" i="40"/>
  <c r="AL76" i="40"/>
  <c r="AL70" i="40"/>
  <c r="AE76" i="40"/>
  <c r="F180" i="40"/>
  <c r="AE64" i="40"/>
  <c r="AE70" i="40"/>
  <c r="AL95" i="39"/>
  <c r="F173" i="40"/>
  <c r="AL62" i="40"/>
  <c r="I190" i="38"/>
  <c r="E190" i="38"/>
  <c r="I186" i="38"/>
  <c r="E186" i="38"/>
  <c r="F191" i="38"/>
  <c r="AE85" i="38"/>
  <c r="AE80" i="38"/>
  <c r="AE77" i="38"/>
  <c r="R130" i="38" s="1"/>
  <c r="AE72" i="38"/>
  <c r="AL80" i="38"/>
  <c r="C178" i="38"/>
  <c r="C204" i="38"/>
  <c r="I204" i="38" s="1"/>
  <c r="E193" i="38"/>
  <c r="F187" i="38"/>
  <c r="AL85" i="38"/>
  <c r="AL81" i="38"/>
  <c r="AL76" i="38"/>
  <c r="AM101" i="38"/>
  <c r="E187" i="38"/>
  <c r="AE101" i="38"/>
  <c r="R154" i="38" s="1"/>
  <c r="AE76" i="38"/>
  <c r="AN82" i="40"/>
  <c r="S135" i="40"/>
  <c r="S131" i="40"/>
  <c r="AN78" i="40"/>
  <c r="S156" i="40"/>
  <c r="AN103" i="40"/>
  <c r="AM86" i="40"/>
  <c r="AE86" i="40"/>
  <c r="C195" i="40"/>
  <c r="AL85" i="40"/>
  <c r="AM78" i="40"/>
  <c r="C187" i="40"/>
  <c r="AL77" i="40"/>
  <c r="H183" i="40"/>
  <c r="H179" i="40"/>
  <c r="H171" i="40"/>
  <c r="AE96" i="40"/>
  <c r="S145" i="40"/>
  <c r="AN92" i="40"/>
  <c r="AM60" i="40"/>
  <c r="AE60" i="40"/>
  <c r="AM105" i="40"/>
  <c r="F214" i="40"/>
  <c r="AE104" i="40"/>
  <c r="S140" i="40"/>
  <c r="AN87" i="40"/>
  <c r="I209" i="40"/>
  <c r="AM95" i="40"/>
  <c r="AE95" i="40"/>
  <c r="C202" i="40"/>
  <c r="AL92" i="40"/>
  <c r="I193" i="40"/>
  <c r="E193" i="40"/>
  <c r="AM77" i="40"/>
  <c r="S132" i="40"/>
  <c r="AN79" i="40"/>
  <c r="C214" i="40"/>
  <c r="H214" i="40" s="1"/>
  <c r="AL104" i="40"/>
  <c r="C206" i="40"/>
  <c r="AL96" i="40"/>
  <c r="C198" i="40"/>
  <c r="AL88" i="40"/>
  <c r="I181" i="40"/>
  <c r="E181" i="40"/>
  <c r="AM106" i="40"/>
  <c r="C207" i="40"/>
  <c r="AL97" i="40"/>
  <c r="H202" i="40"/>
  <c r="H186" i="40"/>
  <c r="S129" i="40"/>
  <c r="AN76" i="40"/>
  <c r="S124" i="40"/>
  <c r="AN71" i="40"/>
  <c r="AN68" i="40"/>
  <c r="S121" i="40"/>
  <c r="S116" i="40"/>
  <c r="AN63" i="40"/>
  <c r="F215" i="40"/>
  <c r="AE105" i="40"/>
  <c r="AR27" i="40"/>
  <c r="H195" i="40"/>
  <c r="AM102" i="40"/>
  <c r="C211" i="40"/>
  <c r="H211" i="40" s="1"/>
  <c r="AL101" i="40"/>
  <c r="AM96" i="40"/>
  <c r="AM94" i="40"/>
  <c r="C203" i="40"/>
  <c r="H203" i="40" s="1"/>
  <c r="AL93" i="40"/>
  <c r="H178" i="40"/>
  <c r="H206" i="40"/>
  <c r="H198" i="40"/>
  <c r="H185" i="40"/>
  <c r="H181" i="40"/>
  <c r="E209" i="40"/>
  <c r="AE106" i="40"/>
  <c r="S126" i="40"/>
  <c r="AN73" i="40"/>
  <c r="S123" i="40"/>
  <c r="AN70" i="40"/>
  <c r="S122" i="40"/>
  <c r="AN69" i="40"/>
  <c r="C204" i="40"/>
  <c r="AL94" i="40"/>
  <c r="AE94" i="40"/>
  <c r="AQ39" i="40"/>
  <c r="AE77" i="40"/>
  <c r="AQ51" i="40"/>
  <c r="AR35" i="40"/>
  <c r="AN64" i="40"/>
  <c r="S117" i="40"/>
  <c r="C215" i="40"/>
  <c r="AL105" i="40"/>
  <c r="AM98" i="40"/>
  <c r="F190" i="40"/>
  <c r="AE80" i="40"/>
  <c r="S128" i="40"/>
  <c r="AN75" i="40"/>
  <c r="AN72" i="40"/>
  <c r="S125" i="40"/>
  <c r="AM67" i="40"/>
  <c r="AE67" i="40"/>
  <c r="AM97" i="40"/>
  <c r="C188" i="40"/>
  <c r="AL78" i="40"/>
  <c r="H209" i="40"/>
  <c r="C194" i="40"/>
  <c r="H194" i="40" s="1"/>
  <c r="AL84" i="40"/>
  <c r="J179" i="40"/>
  <c r="K179" i="40"/>
  <c r="H207" i="40"/>
  <c r="AM90" i="40"/>
  <c r="AE90" i="40"/>
  <c r="C199" i="40"/>
  <c r="AL89" i="40"/>
  <c r="AM82" i="40"/>
  <c r="C191" i="40"/>
  <c r="AL81" i="40"/>
  <c r="E179" i="40"/>
  <c r="H170" i="40"/>
  <c r="H184" i="40"/>
  <c r="H180" i="40"/>
  <c r="H177" i="40"/>
  <c r="H172" i="40"/>
  <c r="AQ34" i="40"/>
  <c r="H205" i="40"/>
  <c r="S119" i="40"/>
  <c r="AN66" i="40"/>
  <c r="S118" i="40"/>
  <c r="AN65" i="40"/>
  <c r="S115" i="40"/>
  <c r="AN62" i="40"/>
  <c r="S114" i="40"/>
  <c r="AN61" i="40"/>
  <c r="C212" i="40"/>
  <c r="H212" i="40" s="1"/>
  <c r="AL102" i="40"/>
  <c r="AE102" i="40"/>
  <c r="AR45" i="40"/>
  <c r="AE89" i="40"/>
  <c r="H193" i="40"/>
  <c r="AM103" i="40"/>
  <c r="C210" i="40"/>
  <c r="H210" i="40" s="1"/>
  <c r="AL100" i="40"/>
  <c r="C201" i="40"/>
  <c r="AL91" i="40"/>
  <c r="AE91" i="40"/>
  <c r="H213" i="40"/>
  <c r="AE98" i="40"/>
  <c r="H197" i="40"/>
  <c r="AM99" i="40"/>
  <c r="AE99" i="40"/>
  <c r="F211" i="40"/>
  <c r="AE101" i="40"/>
  <c r="AE85" i="40"/>
  <c r="H189" i="40"/>
  <c r="S127" i="40"/>
  <c r="AN74" i="40"/>
  <c r="AM73" i="40"/>
  <c r="AM71" i="40"/>
  <c r="AM63" i="40"/>
  <c r="AM61" i="40"/>
  <c r="AR37" i="40"/>
  <c r="C196" i="40"/>
  <c r="AL86" i="40"/>
  <c r="AM81" i="40"/>
  <c r="AR43" i="40"/>
  <c r="AM87" i="40"/>
  <c r="AM79" i="40"/>
  <c r="AQ21" i="40"/>
  <c r="AE93" i="40"/>
  <c r="H188" i="40"/>
  <c r="AM101" i="40"/>
  <c r="AQ43" i="40"/>
  <c r="AQ35" i="40"/>
  <c r="AQ27" i="40"/>
  <c r="I205" i="40"/>
  <c r="E205" i="40"/>
  <c r="I197" i="40"/>
  <c r="C182" i="40"/>
  <c r="H182" i="40" s="1"/>
  <c r="AL72" i="40"/>
  <c r="I213" i="40"/>
  <c r="AM91" i="40"/>
  <c r="I189" i="40"/>
  <c r="E189" i="40"/>
  <c r="I170" i="40"/>
  <c r="E170" i="40"/>
  <c r="I177" i="40"/>
  <c r="AQ11" i="40"/>
  <c r="C174" i="40"/>
  <c r="AL64" i="40"/>
  <c r="AE97" i="40"/>
  <c r="AE81" i="40"/>
  <c r="C190" i="40"/>
  <c r="AL80" i="40"/>
  <c r="I186" i="40"/>
  <c r="E185" i="40"/>
  <c r="I185" i="40"/>
  <c r="I180" i="40"/>
  <c r="H196" i="40"/>
  <c r="AN83" i="40"/>
  <c r="S136" i="40"/>
  <c r="AM75" i="40"/>
  <c r="AM69" i="40"/>
  <c r="AM65" i="40"/>
  <c r="AQ47" i="40"/>
  <c r="AM89" i="40"/>
  <c r="AR29" i="40"/>
  <c r="C216" i="40"/>
  <c r="AL106" i="40"/>
  <c r="C208" i="40"/>
  <c r="AL98" i="40"/>
  <c r="H216" i="40"/>
  <c r="F210" i="40"/>
  <c r="AE100" i="40"/>
  <c r="F194" i="40"/>
  <c r="AE84" i="40"/>
  <c r="AR51" i="40"/>
  <c r="H204" i="40"/>
  <c r="F198" i="40"/>
  <c r="AE88" i="40"/>
  <c r="AM93" i="40"/>
  <c r="C200" i="40"/>
  <c r="AL90" i="40"/>
  <c r="AM85" i="40"/>
  <c r="C192" i="40"/>
  <c r="AL82" i="40"/>
  <c r="AQ19" i="40"/>
  <c r="H201" i="40"/>
  <c r="AM83" i="40"/>
  <c r="I172" i="40"/>
  <c r="E171" i="40"/>
  <c r="I171" i="40"/>
  <c r="I176" i="40"/>
  <c r="E176" i="40"/>
  <c r="H176" i="40"/>
  <c r="I175" i="40"/>
  <c r="E175" i="40"/>
  <c r="I184" i="40"/>
  <c r="E184" i="40"/>
  <c r="I183" i="40"/>
  <c r="J173" i="40"/>
  <c r="K173" i="40"/>
  <c r="I178" i="40"/>
  <c r="E178" i="40"/>
  <c r="R158" i="39"/>
  <c r="AN105" i="39"/>
  <c r="F203" i="39"/>
  <c r="H206" i="39"/>
  <c r="H200" i="39"/>
  <c r="H196" i="39"/>
  <c r="H190" i="39"/>
  <c r="F213" i="39"/>
  <c r="AE103" i="39"/>
  <c r="AE99" i="39"/>
  <c r="AE95" i="39"/>
  <c r="F201" i="39"/>
  <c r="AE91" i="39"/>
  <c r="F197" i="39"/>
  <c r="AE87" i="39"/>
  <c r="AE83" i="39"/>
  <c r="AE79" i="39"/>
  <c r="AE75" i="39"/>
  <c r="AE71" i="39"/>
  <c r="F177" i="39"/>
  <c r="AE67" i="39"/>
  <c r="AE63" i="39"/>
  <c r="AM103" i="39"/>
  <c r="I213" i="39"/>
  <c r="E213" i="39"/>
  <c r="AM99" i="39"/>
  <c r="I209" i="39"/>
  <c r="E209" i="39"/>
  <c r="AM96" i="39"/>
  <c r="AL93" i="39"/>
  <c r="H170" i="39"/>
  <c r="AR53" i="39"/>
  <c r="AR49" i="39"/>
  <c r="AR45" i="39"/>
  <c r="I196" i="39"/>
  <c r="E196" i="39"/>
  <c r="AM83" i="39"/>
  <c r="F178" i="39"/>
  <c r="AE68" i="39"/>
  <c r="AE64" i="39"/>
  <c r="AQ41" i="39"/>
  <c r="R114" i="39"/>
  <c r="AN61" i="39"/>
  <c r="C197" i="39"/>
  <c r="AL87" i="39"/>
  <c r="AO24" i="39"/>
  <c r="AO16" i="39"/>
  <c r="AM64" i="39"/>
  <c r="I174" i="39"/>
  <c r="E174" i="39"/>
  <c r="C172" i="39"/>
  <c r="AL62" i="39"/>
  <c r="AQ36" i="39"/>
  <c r="AS22" i="39"/>
  <c r="AM72" i="39"/>
  <c r="C177" i="39"/>
  <c r="H177" i="39" s="1"/>
  <c r="AL67" i="39"/>
  <c r="AQ24" i="39"/>
  <c r="AM75" i="39"/>
  <c r="AS20" i="39"/>
  <c r="AQ16" i="39"/>
  <c r="AM67" i="39"/>
  <c r="AR12" i="39"/>
  <c r="AQ9" i="39"/>
  <c r="AR30" i="39"/>
  <c r="AP24" i="39"/>
  <c r="AQ22" i="39"/>
  <c r="AO21" i="39"/>
  <c r="AM73" i="39"/>
  <c r="AO18" i="39"/>
  <c r="AP16" i="39"/>
  <c r="AQ14" i="39"/>
  <c r="AO13" i="39"/>
  <c r="AM61" i="39"/>
  <c r="H212" i="39"/>
  <c r="H208" i="39"/>
  <c r="H204" i="39"/>
  <c r="H202" i="39"/>
  <c r="H198" i="39"/>
  <c r="H194" i="39"/>
  <c r="H192" i="39"/>
  <c r="AE102" i="39"/>
  <c r="AE98" i="39"/>
  <c r="F204" i="39"/>
  <c r="AE94" i="39"/>
  <c r="AE90" i="39"/>
  <c r="F196" i="39"/>
  <c r="AE86" i="39"/>
  <c r="AE82" i="39"/>
  <c r="AE78" i="39"/>
  <c r="F184" i="39"/>
  <c r="AE74" i="39"/>
  <c r="AE70" i="39"/>
  <c r="AL103" i="39"/>
  <c r="AL99" i="39"/>
  <c r="AR44" i="39"/>
  <c r="I207" i="39"/>
  <c r="AM94" i="39"/>
  <c r="H174" i="39"/>
  <c r="C216" i="39"/>
  <c r="H216" i="39" s="1"/>
  <c r="AL106" i="39"/>
  <c r="C214" i="39"/>
  <c r="AL104" i="39"/>
  <c r="C212" i="39"/>
  <c r="AL102" i="39"/>
  <c r="C210" i="39"/>
  <c r="AL100" i="39"/>
  <c r="AQ44" i="39"/>
  <c r="AL98" i="39"/>
  <c r="I208" i="39"/>
  <c r="AR41" i="39"/>
  <c r="E204" i="39"/>
  <c r="I204" i="39"/>
  <c r="AM91" i="39"/>
  <c r="AL90" i="39"/>
  <c r="I200" i="39"/>
  <c r="E200" i="39"/>
  <c r="AL86" i="39"/>
  <c r="I194" i="39"/>
  <c r="E194" i="39"/>
  <c r="AQ39" i="39"/>
  <c r="AQ37" i="39"/>
  <c r="AQ33" i="39"/>
  <c r="AQ34" i="39"/>
  <c r="AQ30" i="39"/>
  <c r="AS16" i="39"/>
  <c r="AS19" i="39"/>
  <c r="C182" i="39"/>
  <c r="AL72" i="39"/>
  <c r="AM69" i="39"/>
  <c r="AQ7" i="39"/>
  <c r="C201" i="39"/>
  <c r="AL91" i="39"/>
  <c r="AM88" i="39"/>
  <c r="AM84" i="39"/>
  <c r="C191" i="39"/>
  <c r="AL81" i="39"/>
  <c r="AM78" i="39"/>
  <c r="AM76" i="39"/>
  <c r="AS18" i="39"/>
  <c r="AM68" i="39"/>
  <c r="AS8" i="39"/>
  <c r="C171" i="39"/>
  <c r="AL61" i="39"/>
  <c r="H213" i="39"/>
  <c r="H207" i="39"/>
  <c r="H203" i="39"/>
  <c r="H201" i="39"/>
  <c r="H197" i="39"/>
  <c r="AE101" i="39"/>
  <c r="F207" i="39"/>
  <c r="AE97" i="39"/>
  <c r="AE93" i="39"/>
  <c r="AE89" i="39"/>
  <c r="AE85" i="39"/>
  <c r="F191" i="39"/>
  <c r="AE81" i="39"/>
  <c r="AE77" i="39"/>
  <c r="AE73" i="39"/>
  <c r="AM105" i="39"/>
  <c r="I215" i="39"/>
  <c r="E215" i="39"/>
  <c r="AM101" i="39"/>
  <c r="I211" i="39"/>
  <c r="E211" i="39"/>
  <c r="AL97" i="39"/>
  <c r="I205" i="39"/>
  <c r="F176" i="39"/>
  <c r="AE66" i="39"/>
  <c r="F172" i="39"/>
  <c r="AE62" i="39"/>
  <c r="H182" i="39"/>
  <c r="AR51" i="39"/>
  <c r="AR47" i="39"/>
  <c r="E202" i="39"/>
  <c r="I202" i="39"/>
  <c r="E192" i="39"/>
  <c r="I192" i="39"/>
  <c r="AM79" i="39"/>
  <c r="H172" i="39"/>
  <c r="AQ45" i="39"/>
  <c r="AM74" i="39"/>
  <c r="AM66" i="39"/>
  <c r="C193" i="39"/>
  <c r="AL83" i="39"/>
  <c r="C185" i="39"/>
  <c r="AL75" i="39"/>
  <c r="C175" i="39"/>
  <c r="AL65" i="39"/>
  <c r="C173" i="39"/>
  <c r="H173" i="39" s="1"/>
  <c r="AL63" i="39"/>
  <c r="AM62" i="39"/>
  <c r="AQ38" i="39"/>
  <c r="AS25" i="39"/>
  <c r="C188" i="39"/>
  <c r="H188" i="39" s="1"/>
  <c r="AL78" i="39"/>
  <c r="C183" i="39"/>
  <c r="AL73" i="39"/>
  <c r="AM70" i="39"/>
  <c r="AR10" i="39"/>
  <c r="AR34" i="39"/>
  <c r="AM82" i="39"/>
  <c r="C186" i="39"/>
  <c r="H186" i="39" s="1"/>
  <c r="AL76" i="39"/>
  <c r="C178" i="39"/>
  <c r="H178" i="39" s="1"/>
  <c r="AL68" i="39"/>
  <c r="H215" i="39"/>
  <c r="H211" i="39"/>
  <c r="H209" i="39"/>
  <c r="H205" i="39"/>
  <c r="H191" i="39"/>
  <c r="F214" i="39"/>
  <c r="AE104" i="39"/>
  <c r="AE100" i="39"/>
  <c r="AE96" i="39"/>
  <c r="F202" i="39"/>
  <c r="AE92" i="39"/>
  <c r="F198" i="39"/>
  <c r="AE88" i="39"/>
  <c r="F194" i="39"/>
  <c r="AE84" i="39"/>
  <c r="AE80" i="39"/>
  <c r="AE76" i="39"/>
  <c r="AE72" i="39"/>
  <c r="AL101" i="39"/>
  <c r="I203" i="39"/>
  <c r="R159" i="39"/>
  <c r="AN106" i="39"/>
  <c r="AE69" i="39"/>
  <c r="F175" i="39"/>
  <c r="AE65" i="39"/>
  <c r="R113" i="39"/>
  <c r="AN60" i="39"/>
  <c r="AR43" i="39"/>
  <c r="I206" i="39"/>
  <c r="E206" i="39"/>
  <c r="AL92" i="39"/>
  <c r="I198" i="39"/>
  <c r="E198" i="39"/>
  <c r="AM85" i="39"/>
  <c r="AL82" i="39"/>
  <c r="E190" i="39"/>
  <c r="I190" i="39"/>
  <c r="AQ43" i="39"/>
  <c r="C195" i="39"/>
  <c r="AL85" i="39"/>
  <c r="AM80" i="39"/>
  <c r="C187" i="39"/>
  <c r="H187" i="39" s="1"/>
  <c r="AL77" i="39"/>
  <c r="C184" i="39"/>
  <c r="AL74" i="39"/>
  <c r="AM71" i="39"/>
  <c r="C179" i="39"/>
  <c r="H179" i="39" s="1"/>
  <c r="AL69" i="39"/>
  <c r="C176" i="39"/>
  <c r="AL66" i="39"/>
  <c r="I170" i="39"/>
  <c r="C199" i="39"/>
  <c r="H199" i="39" s="1"/>
  <c r="AL89" i="39"/>
  <c r="AM86" i="39"/>
  <c r="AM77" i="39"/>
  <c r="AM63" i="39"/>
  <c r="C180" i="39"/>
  <c r="AL70" i="39"/>
  <c r="AM90" i="39"/>
  <c r="AQ32" i="39"/>
  <c r="C189" i="39"/>
  <c r="H189" i="39" s="1"/>
  <c r="AL79" i="39"/>
  <c r="C181" i="39"/>
  <c r="AL71" i="39"/>
  <c r="F176" i="38"/>
  <c r="AE66" i="38"/>
  <c r="AM66" i="38"/>
  <c r="AL66" i="38"/>
  <c r="F172" i="38"/>
  <c r="AE62" i="38"/>
  <c r="R158" i="38"/>
  <c r="AN105" i="38"/>
  <c r="R157" i="38"/>
  <c r="AN104" i="38"/>
  <c r="R156" i="38"/>
  <c r="AN103" i="38"/>
  <c r="R148" i="38"/>
  <c r="AN95" i="38"/>
  <c r="H214" i="38"/>
  <c r="H210" i="38"/>
  <c r="AE65" i="38"/>
  <c r="AL65" i="38"/>
  <c r="AE61" i="38"/>
  <c r="AL61" i="38"/>
  <c r="R159" i="38"/>
  <c r="AN106" i="38"/>
  <c r="R151" i="38"/>
  <c r="AN98" i="38"/>
  <c r="R150" i="38"/>
  <c r="AN97" i="38"/>
  <c r="R149" i="38"/>
  <c r="AN96" i="38"/>
  <c r="F171" i="38"/>
  <c r="AE64" i="38"/>
  <c r="AL64" i="38"/>
  <c r="AM64" i="38"/>
  <c r="AE60" i="38"/>
  <c r="AL60" i="38"/>
  <c r="F175" i="38"/>
  <c r="F173" i="38"/>
  <c r="AE63" i="38"/>
  <c r="AM63" i="38"/>
  <c r="H211" i="38"/>
  <c r="H207" i="38"/>
  <c r="R138" i="38"/>
  <c r="AN85" i="38"/>
  <c r="R137" i="38"/>
  <c r="AN84" i="38"/>
  <c r="R136" i="38"/>
  <c r="AN83" i="38"/>
  <c r="H203" i="38"/>
  <c r="R143" i="38"/>
  <c r="AN90" i="38"/>
  <c r="R135" i="38"/>
  <c r="AN82" i="38"/>
  <c r="R128" i="38"/>
  <c r="AN75" i="38"/>
  <c r="C173" i="38"/>
  <c r="H173" i="38" s="1"/>
  <c r="AL63" i="38"/>
  <c r="J201" i="38"/>
  <c r="K201" i="38"/>
  <c r="AM60" i="38"/>
  <c r="I213" i="38"/>
  <c r="AM95" i="38"/>
  <c r="AM89" i="38"/>
  <c r="AM84" i="38"/>
  <c r="AM79" i="38"/>
  <c r="AM73" i="38"/>
  <c r="AM68" i="38"/>
  <c r="H206" i="38"/>
  <c r="K200" i="38"/>
  <c r="J200" i="38"/>
  <c r="K198" i="38"/>
  <c r="J198" i="38"/>
  <c r="J186" i="38"/>
  <c r="K186" i="38"/>
  <c r="H199" i="38"/>
  <c r="H195" i="38"/>
  <c r="H191" i="38"/>
  <c r="H185" i="38"/>
  <c r="H181" i="38"/>
  <c r="H177" i="38"/>
  <c r="I171" i="38"/>
  <c r="I207" i="38"/>
  <c r="E207" i="38"/>
  <c r="I174" i="38"/>
  <c r="R129" i="38"/>
  <c r="AN76" i="38"/>
  <c r="R120" i="38"/>
  <c r="AN67" i="38"/>
  <c r="AM65" i="38"/>
  <c r="AM61" i="38"/>
  <c r="K205" i="38"/>
  <c r="J205" i="38"/>
  <c r="I199" i="38"/>
  <c r="E199" i="38"/>
  <c r="AM88" i="38"/>
  <c r="AM83" i="38"/>
  <c r="AM77" i="38"/>
  <c r="AM72" i="38"/>
  <c r="AM67" i="38"/>
  <c r="AM62" i="38"/>
  <c r="AO11" i="38"/>
  <c r="E195" i="38"/>
  <c r="I195" i="38"/>
  <c r="H198" i="38"/>
  <c r="H194" i="38"/>
  <c r="H190" i="38"/>
  <c r="H186" i="38"/>
  <c r="H182" i="38"/>
  <c r="H176" i="38"/>
  <c r="I177" i="38"/>
  <c r="E177" i="38"/>
  <c r="R153" i="38"/>
  <c r="AN100" i="38"/>
  <c r="R152" i="38"/>
  <c r="AN99" i="38"/>
  <c r="H216" i="38"/>
  <c r="H212" i="38"/>
  <c r="H208" i="38"/>
  <c r="C206" i="38"/>
  <c r="AL96" i="38"/>
  <c r="C202" i="38"/>
  <c r="H202" i="38" s="1"/>
  <c r="AL92" i="38"/>
  <c r="R139" i="38"/>
  <c r="AN86" i="38"/>
  <c r="R131" i="38"/>
  <c r="AN78" i="38"/>
  <c r="R126" i="38"/>
  <c r="AN73" i="38"/>
  <c r="R125" i="38"/>
  <c r="AN72" i="38"/>
  <c r="R123" i="38"/>
  <c r="AN70" i="38"/>
  <c r="R122" i="38"/>
  <c r="AN69" i="38"/>
  <c r="R121" i="38"/>
  <c r="AN68" i="38"/>
  <c r="AR11" i="38"/>
  <c r="J197" i="38"/>
  <c r="K197" i="38"/>
  <c r="I196" i="38"/>
  <c r="E196" i="38"/>
  <c r="K194" i="38"/>
  <c r="J194" i="38"/>
  <c r="K192" i="38"/>
  <c r="J192" i="38"/>
  <c r="K190" i="38"/>
  <c r="J190" i="38"/>
  <c r="K187" i="38"/>
  <c r="J187" i="38"/>
  <c r="I184" i="38"/>
  <c r="E184" i="38"/>
  <c r="J182" i="38"/>
  <c r="K182" i="38"/>
  <c r="K179" i="38"/>
  <c r="J179" i="38"/>
  <c r="J176" i="38"/>
  <c r="K176" i="38"/>
  <c r="AM87" i="38"/>
  <c r="AM81" i="38"/>
  <c r="AM76" i="38"/>
  <c r="AM71" i="38"/>
  <c r="H175" i="38"/>
  <c r="H171" i="38"/>
  <c r="J193" i="38"/>
  <c r="K193" i="38"/>
  <c r="I191" i="38"/>
  <c r="E191" i="38"/>
  <c r="J189" i="38"/>
  <c r="K189" i="38"/>
  <c r="K183" i="38"/>
  <c r="J183" i="38"/>
  <c r="I181" i="38"/>
  <c r="E181" i="38"/>
  <c r="I178" i="38"/>
  <c r="E178" i="38"/>
  <c r="H205" i="38"/>
  <c r="H200" i="38"/>
  <c r="H196" i="38"/>
  <c r="H192" i="38"/>
  <c r="H188" i="38"/>
  <c r="H184" i="38"/>
  <c r="H180" i="38"/>
  <c r="H178" i="38"/>
  <c r="I188" i="38"/>
  <c r="E188" i="38"/>
  <c r="I185" i="38"/>
  <c r="E180" i="38"/>
  <c r="I180" i="38"/>
  <c r="I203" i="38"/>
  <c r="E211" i="38"/>
  <c r="I211" i="38"/>
  <c r="R155" i="38"/>
  <c r="AN102" i="38"/>
  <c r="R147" i="38"/>
  <c r="AN94" i="38"/>
  <c r="R146" i="38"/>
  <c r="AN93" i="38"/>
  <c r="R145" i="38"/>
  <c r="AN92" i="38"/>
  <c r="R144" i="38"/>
  <c r="AN91" i="38"/>
  <c r="H213" i="38"/>
  <c r="H209" i="38"/>
  <c r="AM94" i="38"/>
  <c r="R142" i="38"/>
  <c r="AN89" i="38"/>
  <c r="R141" i="38"/>
  <c r="AN88" i="38"/>
  <c r="R140" i="38"/>
  <c r="AN87" i="38"/>
  <c r="R134" i="38"/>
  <c r="AN81" i="38"/>
  <c r="R133" i="38"/>
  <c r="AN80" i="38"/>
  <c r="R132" i="38"/>
  <c r="AN79" i="38"/>
  <c r="R127" i="38"/>
  <c r="AN74" i="38"/>
  <c r="R124" i="38"/>
  <c r="AN71" i="38"/>
  <c r="H174" i="38"/>
  <c r="H170" i="38"/>
  <c r="I216" i="38"/>
  <c r="AL62" i="38"/>
  <c r="C172" i="38"/>
  <c r="I209" i="38"/>
  <c r="AM91" i="38"/>
  <c r="AM85" i="38"/>
  <c r="AM80" i="38"/>
  <c r="AM75" i="38"/>
  <c r="AM69" i="38"/>
  <c r="I170" i="38"/>
  <c r="E170" i="38"/>
  <c r="I214" i="38"/>
  <c r="I212" i="38"/>
  <c r="I210" i="38"/>
  <c r="E208" i="38"/>
  <c r="I208" i="38"/>
  <c r="H201" i="38"/>
  <c r="H197" i="38"/>
  <c r="H193" i="38"/>
  <c r="H189" i="38"/>
  <c r="H187" i="38"/>
  <c r="H183" i="38"/>
  <c r="H179" i="38"/>
  <c r="I175" i="38"/>
  <c r="I215" i="38"/>
  <c r="E215" i="38"/>
  <c r="AN101" i="38" l="1"/>
  <c r="E204" i="38"/>
  <c r="H204" i="38"/>
  <c r="AN77" i="38"/>
  <c r="K189" i="40"/>
  <c r="J189" i="40"/>
  <c r="I191" i="40"/>
  <c r="E191" i="40"/>
  <c r="O182" i="40"/>
  <c r="R182" i="40" s="1"/>
  <c r="Y125" i="40"/>
  <c r="O179" i="40"/>
  <c r="R179" i="40" s="1"/>
  <c r="Y122" i="40"/>
  <c r="O178" i="40"/>
  <c r="R178" i="40" s="1"/>
  <c r="Y121" i="40"/>
  <c r="S148" i="40"/>
  <c r="AN95" i="40"/>
  <c r="S157" i="40"/>
  <c r="AN104" i="40"/>
  <c r="K176" i="40"/>
  <c r="J176" i="40"/>
  <c r="K180" i="40"/>
  <c r="J180" i="40"/>
  <c r="K186" i="40"/>
  <c r="J186" i="40"/>
  <c r="K170" i="40"/>
  <c r="J170" i="40"/>
  <c r="K197" i="40"/>
  <c r="J197" i="40"/>
  <c r="O184" i="40"/>
  <c r="R184" i="40" s="1"/>
  <c r="Y127" i="40"/>
  <c r="S138" i="40"/>
  <c r="AN85" i="40"/>
  <c r="J183" i="40"/>
  <c r="K183" i="40"/>
  <c r="K175" i="40"/>
  <c r="J175" i="40"/>
  <c r="K171" i="40"/>
  <c r="J171" i="40"/>
  <c r="I192" i="40"/>
  <c r="E192" i="40"/>
  <c r="S137" i="40"/>
  <c r="AN84" i="40"/>
  <c r="S153" i="40"/>
  <c r="AN100" i="40"/>
  <c r="E190" i="40"/>
  <c r="I190" i="40"/>
  <c r="I174" i="40"/>
  <c r="E174" i="40"/>
  <c r="I210" i="40"/>
  <c r="E210" i="40"/>
  <c r="S142" i="40"/>
  <c r="AN89" i="40"/>
  <c r="O171" i="40"/>
  <c r="R171" i="40" s="1"/>
  <c r="Y114" i="40"/>
  <c r="O176" i="40"/>
  <c r="R176" i="40" s="1"/>
  <c r="Y119" i="40"/>
  <c r="I188" i="40"/>
  <c r="E188" i="40"/>
  <c r="O185" i="40"/>
  <c r="R185" i="40" s="1"/>
  <c r="Y128" i="40"/>
  <c r="I215" i="40"/>
  <c r="E215" i="40"/>
  <c r="H215" i="40"/>
  <c r="O174" i="40"/>
  <c r="R174" i="40" s="1"/>
  <c r="Y117" i="40"/>
  <c r="E211" i="40"/>
  <c r="I211" i="40"/>
  <c r="S158" i="40"/>
  <c r="AN105" i="40"/>
  <c r="O181" i="40"/>
  <c r="R181" i="40" s="1"/>
  <c r="Y124" i="40"/>
  <c r="E198" i="40"/>
  <c r="I198" i="40"/>
  <c r="J209" i="40"/>
  <c r="K209" i="40"/>
  <c r="O197" i="40"/>
  <c r="R197" i="40" s="1"/>
  <c r="Y140" i="40"/>
  <c r="AN60" i="40"/>
  <c r="S113" i="40"/>
  <c r="O202" i="40"/>
  <c r="R202" i="40" s="1"/>
  <c r="Y145" i="40"/>
  <c r="I187" i="40"/>
  <c r="E187" i="40"/>
  <c r="O213" i="40"/>
  <c r="R213" i="40" s="1"/>
  <c r="Y156" i="40"/>
  <c r="O192" i="40"/>
  <c r="R192" i="40" s="1"/>
  <c r="Y135" i="40"/>
  <c r="I200" i="40"/>
  <c r="E200" i="40"/>
  <c r="K185" i="40"/>
  <c r="J185" i="40"/>
  <c r="S150" i="40"/>
  <c r="AN97" i="40"/>
  <c r="J213" i="40"/>
  <c r="K213" i="40"/>
  <c r="K205" i="40"/>
  <c r="J205" i="40"/>
  <c r="S146" i="40"/>
  <c r="AN93" i="40"/>
  <c r="I196" i="40"/>
  <c r="E196" i="40"/>
  <c r="S152" i="40"/>
  <c r="AN99" i="40"/>
  <c r="S151" i="40"/>
  <c r="AN98" i="40"/>
  <c r="S144" i="40"/>
  <c r="AN91" i="40"/>
  <c r="S155" i="40"/>
  <c r="AN102" i="40"/>
  <c r="I212" i="40"/>
  <c r="E212" i="40"/>
  <c r="I199" i="40"/>
  <c r="E199" i="40"/>
  <c r="I194" i="40"/>
  <c r="E194" i="40"/>
  <c r="S120" i="40"/>
  <c r="AN67" i="40"/>
  <c r="S133" i="40"/>
  <c r="AN80" i="40"/>
  <c r="H199" i="40"/>
  <c r="S147" i="40"/>
  <c r="AN94" i="40"/>
  <c r="O180" i="40"/>
  <c r="R180" i="40" s="1"/>
  <c r="Y123" i="40"/>
  <c r="Y126" i="40"/>
  <c r="O183" i="40"/>
  <c r="R183" i="40" s="1"/>
  <c r="AN106" i="40"/>
  <c r="S159" i="40"/>
  <c r="I203" i="40"/>
  <c r="E203" i="40"/>
  <c r="H192" i="40"/>
  <c r="H191" i="40"/>
  <c r="I206" i="40"/>
  <c r="E206" i="40"/>
  <c r="O189" i="40"/>
  <c r="R189" i="40" s="1"/>
  <c r="Y132" i="40"/>
  <c r="H200" i="40"/>
  <c r="E195" i="40"/>
  <c r="I195" i="40"/>
  <c r="H187" i="40"/>
  <c r="S141" i="40"/>
  <c r="AN88" i="40"/>
  <c r="O193" i="40"/>
  <c r="R193" i="40" s="1"/>
  <c r="Y136" i="40"/>
  <c r="K178" i="40"/>
  <c r="J178" i="40"/>
  <c r="K184" i="40"/>
  <c r="J184" i="40"/>
  <c r="K172" i="40"/>
  <c r="J172" i="40"/>
  <c r="I208" i="40"/>
  <c r="E208" i="40"/>
  <c r="I216" i="40"/>
  <c r="E216" i="40"/>
  <c r="S134" i="40"/>
  <c r="AN81" i="40"/>
  <c r="J177" i="40"/>
  <c r="K177" i="40"/>
  <c r="E182" i="40"/>
  <c r="I182" i="40"/>
  <c r="H208" i="40"/>
  <c r="S154" i="40"/>
  <c r="AN101" i="40"/>
  <c r="I201" i="40"/>
  <c r="E201" i="40"/>
  <c r="O172" i="40"/>
  <c r="R172" i="40" s="1"/>
  <c r="Y115" i="40"/>
  <c r="O175" i="40"/>
  <c r="R175" i="40" s="1"/>
  <c r="Y118" i="40"/>
  <c r="S143" i="40"/>
  <c r="AN90" i="40"/>
  <c r="H174" i="40"/>
  <c r="S130" i="40"/>
  <c r="AN77" i="40"/>
  <c r="I204" i="40"/>
  <c r="E204" i="40"/>
  <c r="H190" i="40"/>
  <c r="Y116" i="40"/>
  <c r="O173" i="40"/>
  <c r="R173" i="40" s="1"/>
  <c r="O186" i="40"/>
  <c r="R186" i="40" s="1"/>
  <c r="Y129" i="40"/>
  <c r="I207" i="40"/>
  <c r="E207" i="40"/>
  <c r="K181" i="40"/>
  <c r="J181" i="40"/>
  <c r="I214" i="40"/>
  <c r="E214" i="40"/>
  <c r="K193" i="40"/>
  <c r="J193" i="40"/>
  <c r="I202" i="40"/>
  <c r="E202" i="40"/>
  <c r="S149" i="40"/>
  <c r="AN96" i="40"/>
  <c r="S139" i="40"/>
  <c r="AN86" i="40"/>
  <c r="Y131" i="40"/>
  <c r="O188" i="40"/>
  <c r="R188" i="40" s="1"/>
  <c r="R122" i="39"/>
  <c r="AN69" i="39"/>
  <c r="R141" i="39"/>
  <c r="AN88" i="39"/>
  <c r="I180" i="39"/>
  <c r="E180" i="39"/>
  <c r="K203" i="39"/>
  <c r="J203" i="39"/>
  <c r="R133" i="39"/>
  <c r="AN80" i="39"/>
  <c r="E183" i="39"/>
  <c r="I183" i="39"/>
  <c r="E175" i="39"/>
  <c r="I175" i="39"/>
  <c r="I185" i="39"/>
  <c r="E185" i="39"/>
  <c r="R150" i="39"/>
  <c r="AN97" i="39"/>
  <c r="I184" i="39"/>
  <c r="E184" i="39"/>
  <c r="I187" i="39"/>
  <c r="E187" i="39"/>
  <c r="I195" i="39"/>
  <c r="E195" i="39"/>
  <c r="O170" i="39"/>
  <c r="R170" i="39" s="1"/>
  <c r="Y113" i="39"/>
  <c r="R129" i="39"/>
  <c r="AN76" i="39"/>
  <c r="R157" i="39"/>
  <c r="AN104" i="39"/>
  <c r="H195" i="39"/>
  <c r="H183" i="39"/>
  <c r="J202" i="39"/>
  <c r="K202" i="39"/>
  <c r="R115" i="39"/>
  <c r="AN62" i="39"/>
  <c r="R119" i="39"/>
  <c r="AN66" i="39"/>
  <c r="K205" i="39"/>
  <c r="J205" i="39"/>
  <c r="K211" i="39"/>
  <c r="J211" i="39"/>
  <c r="K215" i="39"/>
  <c r="J215" i="39"/>
  <c r="R146" i="39"/>
  <c r="AN93" i="39"/>
  <c r="I191" i="39"/>
  <c r="E191" i="39"/>
  <c r="I201" i="39"/>
  <c r="E201" i="39"/>
  <c r="K204" i="39"/>
  <c r="J204" i="39"/>
  <c r="I210" i="39"/>
  <c r="E210" i="39"/>
  <c r="R123" i="39"/>
  <c r="AN70" i="39"/>
  <c r="AN74" i="39"/>
  <c r="R127" i="39"/>
  <c r="R147" i="39"/>
  <c r="AN94" i="39"/>
  <c r="R151" i="39"/>
  <c r="AN98" i="39"/>
  <c r="I172" i="39"/>
  <c r="E172" i="39"/>
  <c r="O171" i="39"/>
  <c r="R171" i="39" s="1"/>
  <c r="Y114" i="39"/>
  <c r="R120" i="39"/>
  <c r="AN67" i="39"/>
  <c r="H180" i="39"/>
  <c r="R124" i="39"/>
  <c r="AN71" i="39"/>
  <c r="R128" i="39"/>
  <c r="AN75" i="39"/>
  <c r="R140" i="39"/>
  <c r="AN87" i="39"/>
  <c r="R144" i="39"/>
  <c r="AN91" i="39"/>
  <c r="R148" i="39"/>
  <c r="AN95" i="39"/>
  <c r="H210" i="39"/>
  <c r="I189" i="39"/>
  <c r="E189" i="39"/>
  <c r="R118" i="39"/>
  <c r="AN65" i="39"/>
  <c r="R145" i="39"/>
  <c r="AN92" i="39"/>
  <c r="I176" i="39"/>
  <c r="E176" i="39"/>
  <c r="I173" i="39"/>
  <c r="E173" i="39"/>
  <c r="I193" i="39"/>
  <c r="E193" i="39"/>
  <c r="R130" i="39"/>
  <c r="AN77" i="39"/>
  <c r="I199" i="39"/>
  <c r="E199" i="39"/>
  <c r="J206" i="39"/>
  <c r="K206" i="39"/>
  <c r="O216" i="39"/>
  <c r="R216" i="39" s="1"/>
  <c r="Y159" i="39"/>
  <c r="R125" i="39"/>
  <c r="AN72" i="39"/>
  <c r="R153" i="39"/>
  <c r="AN100" i="39"/>
  <c r="H185" i="39"/>
  <c r="I178" i="39"/>
  <c r="E178" i="39"/>
  <c r="I186" i="39"/>
  <c r="E186" i="39"/>
  <c r="H176" i="39"/>
  <c r="R126" i="39"/>
  <c r="AN73" i="39"/>
  <c r="R142" i="39"/>
  <c r="AN89" i="39"/>
  <c r="J200" i="39"/>
  <c r="K200" i="39"/>
  <c r="K208" i="39"/>
  <c r="J208" i="39"/>
  <c r="I212" i="39"/>
  <c r="E212" i="39"/>
  <c r="R139" i="39"/>
  <c r="AN86" i="39"/>
  <c r="R143" i="39"/>
  <c r="AN90" i="39"/>
  <c r="I197" i="39"/>
  <c r="E197" i="39"/>
  <c r="R121" i="39"/>
  <c r="AN68" i="39"/>
  <c r="J196" i="39"/>
  <c r="K196" i="39"/>
  <c r="R116" i="39"/>
  <c r="AN63" i="39"/>
  <c r="R136" i="39"/>
  <c r="AN83" i="39"/>
  <c r="I181" i="39"/>
  <c r="E181" i="39"/>
  <c r="R137" i="39"/>
  <c r="AN84" i="39"/>
  <c r="R134" i="39"/>
  <c r="AN81" i="39"/>
  <c r="R138" i="39"/>
  <c r="AN85" i="39"/>
  <c r="H193" i="39"/>
  <c r="I171" i="39"/>
  <c r="E171" i="39"/>
  <c r="H171" i="39"/>
  <c r="I214" i="39"/>
  <c r="E214" i="39"/>
  <c r="R135" i="39"/>
  <c r="AN82" i="39"/>
  <c r="E177" i="39"/>
  <c r="I177" i="39"/>
  <c r="K174" i="39"/>
  <c r="J174" i="39"/>
  <c r="R117" i="39"/>
  <c r="AN64" i="39"/>
  <c r="J209" i="39"/>
  <c r="K209" i="39"/>
  <c r="J213" i="39"/>
  <c r="K213" i="39"/>
  <c r="R132" i="39"/>
  <c r="AN79" i="39"/>
  <c r="R156" i="39"/>
  <c r="AN103" i="39"/>
  <c r="O215" i="39"/>
  <c r="R215" i="39" s="1"/>
  <c r="Y158" i="39"/>
  <c r="J170" i="39"/>
  <c r="K170" i="39"/>
  <c r="K198" i="39"/>
  <c r="J198" i="39"/>
  <c r="R149" i="39"/>
  <c r="AN96" i="39"/>
  <c r="I179" i="39"/>
  <c r="E179" i="39"/>
  <c r="J190" i="39"/>
  <c r="K190" i="39"/>
  <c r="H181" i="39"/>
  <c r="I188" i="39"/>
  <c r="E188" i="39"/>
  <c r="J192" i="39"/>
  <c r="K192" i="39"/>
  <c r="H175" i="39"/>
  <c r="R154" i="39"/>
  <c r="AN101" i="39"/>
  <c r="I182" i="39"/>
  <c r="E182" i="39"/>
  <c r="K194" i="39"/>
  <c r="J194" i="39"/>
  <c r="I216" i="39"/>
  <c r="E216" i="39"/>
  <c r="K207" i="39"/>
  <c r="J207" i="39"/>
  <c r="R131" i="39"/>
  <c r="AN78" i="39"/>
  <c r="R155" i="39"/>
  <c r="AN102" i="39"/>
  <c r="R152" i="39"/>
  <c r="AN99" i="39"/>
  <c r="H184" i="39"/>
  <c r="H214" i="39"/>
  <c r="O190" i="38"/>
  <c r="R190" i="38" s="1"/>
  <c r="Y133" i="38"/>
  <c r="K181" i="38"/>
  <c r="J181" i="38"/>
  <c r="O209" i="38"/>
  <c r="R209" i="38" s="1"/>
  <c r="Y152" i="38"/>
  <c r="K199" i="38"/>
  <c r="J199" i="38"/>
  <c r="O177" i="38"/>
  <c r="R177" i="38" s="1"/>
  <c r="Y120" i="38"/>
  <c r="J209" i="38"/>
  <c r="K209" i="38"/>
  <c r="I172" i="38"/>
  <c r="E172" i="38"/>
  <c r="O197" i="38"/>
  <c r="R197" i="38" s="1"/>
  <c r="Y140" i="38"/>
  <c r="K180" i="38"/>
  <c r="J180" i="38"/>
  <c r="O179" i="38"/>
  <c r="R179" i="38" s="1"/>
  <c r="Y122" i="38"/>
  <c r="Y124" i="38"/>
  <c r="O181" i="38"/>
  <c r="R181" i="38" s="1"/>
  <c r="O184" i="38"/>
  <c r="R184" i="38" s="1"/>
  <c r="Y127" i="38"/>
  <c r="O191" i="38"/>
  <c r="R191" i="38" s="1"/>
  <c r="Y134" i="38"/>
  <c r="O201" i="38"/>
  <c r="R201" i="38" s="1"/>
  <c r="Y144" i="38"/>
  <c r="O202" i="38"/>
  <c r="R202" i="38" s="1"/>
  <c r="Y145" i="38"/>
  <c r="K204" i="38"/>
  <c r="J204" i="38"/>
  <c r="K178" i="38"/>
  <c r="J178" i="38"/>
  <c r="O196" i="38"/>
  <c r="R196" i="38" s="1"/>
  <c r="Y139" i="38"/>
  <c r="I206" i="38"/>
  <c r="E206" i="38"/>
  <c r="O211" i="38"/>
  <c r="R211" i="38" s="1"/>
  <c r="Y154" i="38"/>
  <c r="K195" i="38"/>
  <c r="J195" i="38"/>
  <c r="O186" i="38"/>
  <c r="R186" i="38" s="1"/>
  <c r="Y129" i="38"/>
  <c r="H172" i="38"/>
  <c r="O200" i="38"/>
  <c r="R200" i="38" s="1"/>
  <c r="Y143" i="38"/>
  <c r="O193" i="38"/>
  <c r="R193" i="38" s="1"/>
  <c r="Y136" i="38"/>
  <c r="O194" i="38"/>
  <c r="R194" i="38" s="1"/>
  <c r="Y137" i="38"/>
  <c r="R117" i="38"/>
  <c r="AN64" i="38"/>
  <c r="R114" i="38"/>
  <c r="AN61" i="38"/>
  <c r="AN65" i="38"/>
  <c r="R118" i="38"/>
  <c r="O205" i="38"/>
  <c r="R205" i="38" s="1"/>
  <c r="Y148" i="38"/>
  <c r="K216" i="38"/>
  <c r="J216" i="38"/>
  <c r="O203" i="38"/>
  <c r="R203" i="38" s="1"/>
  <c r="Y146" i="38"/>
  <c r="O210" i="38"/>
  <c r="R210" i="38" s="1"/>
  <c r="Y153" i="38"/>
  <c r="K177" i="38"/>
  <c r="J177" i="38"/>
  <c r="J210" i="38"/>
  <c r="K210" i="38"/>
  <c r="O198" i="38"/>
  <c r="R198" i="38" s="1"/>
  <c r="Y141" i="38"/>
  <c r="K211" i="38"/>
  <c r="J211" i="38"/>
  <c r="K188" i="38"/>
  <c r="J188" i="38"/>
  <c r="O180" i="38"/>
  <c r="R180" i="38" s="1"/>
  <c r="Y123" i="38"/>
  <c r="K215" i="38"/>
  <c r="J215" i="38"/>
  <c r="K212" i="38"/>
  <c r="J212" i="38"/>
  <c r="J175" i="38"/>
  <c r="K175" i="38"/>
  <c r="K208" i="38"/>
  <c r="J208" i="38"/>
  <c r="K214" i="38"/>
  <c r="J214" i="38"/>
  <c r="K170" i="38"/>
  <c r="J170" i="38"/>
  <c r="O199" i="38"/>
  <c r="R199" i="38" s="1"/>
  <c r="Y142" i="38"/>
  <c r="O212" i="38"/>
  <c r="R212" i="38" s="1"/>
  <c r="Y155" i="38"/>
  <c r="K203" i="38"/>
  <c r="J203" i="38"/>
  <c r="K185" i="38"/>
  <c r="J185" i="38"/>
  <c r="K184" i="38"/>
  <c r="J184" i="38"/>
  <c r="O178" i="38"/>
  <c r="R178" i="38" s="1"/>
  <c r="Y121" i="38"/>
  <c r="O183" i="38"/>
  <c r="R183" i="38" s="1"/>
  <c r="Y126" i="38"/>
  <c r="O188" i="38"/>
  <c r="R188" i="38" s="1"/>
  <c r="Y131" i="38"/>
  <c r="K174" i="38"/>
  <c r="J174" i="38"/>
  <c r="J207" i="38"/>
  <c r="K207" i="38"/>
  <c r="O185" i="38"/>
  <c r="R185" i="38" s="1"/>
  <c r="Y128" i="38"/>
  <c r="O192" i="38"/>
  <c r="R192" i="38" s="1"/>
  <c r="Y135" i="38"/>
  <c r="O207" i="38"/>
  <c r="R207" i="38" s="1"/>
  <c r="Y150" i="38"/>
  <c r="O208" i="38"/>
  <c r="R208" i="38" s="1"/>
  <c r="Y151" i="38"/>
  <c r="O213" i="38"/>
  <c r="R213" i="38" s="1"/>
  <c r="Y156" i="38"/>
  <c r="O214" i="38"/>
  <c r="R214" i="38" s="1"/>
  <c r="Y157" i="38"/>
  <c r="J171" i="38"/>
  <c r="K171" i="38"/>
  <c r="O195" i="38"/>
  <c r="R195" i="38" s="1"/>
  <c r="Y138" i="38"/>
  <c r="O216" i="38"/>
  <c r="R216" i="38" s="1"/>
  <c r="Y159" i="38"/>
  <c r="R115" i="38"/>
  <c r="AN62" i="38"/>
  <c r="O189" i="38"/>
  <c r="R189" i="38" s="1"/>
  <c r="Y132" i="38"/>
  <c r="O204" i="38"/>
  <c r="R204" i="38" s="1"/>
  <c r="Y147" i="38"/>
  <c r="K191" i="38"/>
  <c r="J191" i="38"/>
  <c r="O187" i="38"/>
  <c r="R187" i="38" s="1"/>
  <c r="Y130" i="38"/>
  <c r="K196" i="38"/>
  <c r="J196" i="38"/>
  <c r="O182" i="38"/>
  <c r="R182" i="38" s="1"/>
  <c r="Y125" i="38"/>
  <c r="I202" i="38"/>
  <c r="E202" i="38"/>
  <c r="J213" i="38"/>
  <c r="K213" i="38"/>
  <c r="E173" i="38"/>
  <c r="I173" i="38"/>
  <c r="AN63" i="38"/>
  <c r="R116" i="38"/>
  <c r="R113" i="38"/>
  <c r="AN60" i="38"/>
  <c r="O206" i="38"/>
  <c r="R206" i="38" s="1"/>
  <c r="Y149" i="38"/>
  <c r="O215" i="38"/>
  <c r="R215" i="38" s="1"/>
  <c r="Y158" i="38"/>
  <c r="R119" i="38"/>
  <c r="AN66" i="38"/>
  <c r="Y139" i="40" l="1"/>
  <c r="O196" i="40"/>
  <c r="R196" i="40" s="1"/>
  <c r="K214" i="40"/>
  <c r="J214" i="40"/>
  <c r="K208" i="40"/>
  <c r="J208" i="40"/>
  <c r="O198" i="40"/>
  <c r="R198" i="40" s="1"/>
  <c r="Y141" i="40"/>
  <c r="O201" i="40"/>
  <c r="R201" i="40" s="1"/>
  <c r="Y144" i="40"/>
  <c r="K198" i="40"/>
  <c r="J198" i="40"/>
  <c r="O215" i="40"/>
  <c r="R215" i="40" s="1"/>
  <c r="Y158" i="40"/>
  <c r="K215" i="40"/>
  <c r="J215" i="40"/>
  <c r="J188" i="40"/>
  <c r="K188" i="40"/>
  <c r="J210" i="40"/>
  <c r="K210" i="40"/>
  <c r="K190" i="40"/>
  <c r="J190" i="40"/>
  <c r="O194" i="40"/>
  <c r="R194" i="40" s="1"/>
  <c r="Y137" i="40"/>
  <c r="K202" i="40"/>
  <c r="J202" i="40"/>
  <c r="O187" i="40"/>
  <c r="R187" i="40" s="1"/>
  <c r="Y130" i="40"/>
  <c r="J203" i="40"/>
  <c r="K203" i="40"/>
  <c r="O204" i="40"/>
  <c r="R204" i="40" s="1"/>
  <c r="Y147" i="40"/>
  <c r="K194" i="40"/>
  <c r="J194" i="40"/>
  <c r="O212" i="40"/>
  <c r="R212" i="40" s="1"/>
  <c r="Y155" i="40"/>
  <c r="O209" i="40"/>
  <c r="R209" i="40" s="1"/>
  <c r="Y152" i="40"/>
  <c r="J200" i="40"/>
  <c r="K200" i="40"/>
  <c r="O170" i="40"/>
  <c r="R170" i="40" s="1"/>
  <c r="Y113" i="40"/>
  <c r="O210" i="40"/>
  <c r="R210" i="40" s="1"/>
  <c r="Y153" i="40"/>
  <c r="J192" i="40"/>
  <c r="K192" i="40"/>
  <c r="O206" i="40"/>
  <c r="R206" i="40" s="1"/>
  <c r="Y149" i="40"/>
  <c r="K204" i="40"/>
  <c r="J204" i="40"/>
  <c r="O200" i="40"/>
  <c r="R200" i="40" s="1"/>
  <c r="Y143" i="40"/>
  <c r="K201" i="40"/>
  <c r="J201" i="40"/>
  <c r="K216" i="40"/>
  <c r="J216" i="40"/>
  <c r="K195" i="40"/>
  <c r="J195" i="40"/>
  <c r="Y120" i="40"/>
  <c r="O177" i="40"/>
  <c r="R177" i="40" s="1"/>
  <c r="J187" i="40"/>
  <c r="K187" i="40"/>
  <c r="K211" i="40"/>
  <c r="J211" i="40"/>
  <c r="K191" i="40"/>
  <c r="J191" i="40"/>
  <c r="J207" i="40"/>
  <c r="K207" i="40"/>
  <c r="O211" i="40"/>
  <c r="R211" i="40" s="1"/>
  <c r="Y154" i="40"/>
  <c r="K182" i="40"/>
  <c r="J182" i="40"/>
  <c r="O191" i="40"/>
  <c r="R191" i="40" s="1"/>
  <c r="Y134" i="40"/>
  <c r="K206" i="40"/>
  <c r="J206" i="40"/>
  <c r="O216" i="40"/>
  <c r="R216" i="40" s="1"/>
  <c r="Y159" i="40"/>
  <c r="O190" i="40"/>
  <c r="R190" i="40" s="1"/>
  <c r="Y133" i="40"/>
  <c r="K199" i="40"/>
  <c r="J199" i="40"/>
  <c r="K212" i="40"/>
  <c r="J212" i="40"/>
  <c r="O208" i="40"/>
  <c r="R208" i="40" s="1"/>
  <c r="Y151" i="40"/>
  <c r="J196" i="40"/>
  <c r="K196" i="40"/>
  <c r="O203" i="40"/>
  <c r="R203" i="40" s="1"/>
  <c r="Y146" i="40"/>
  <c r="O207" i="40"/>
  <c r="R207" i="40" s="1"/>
  <c r="Y150" i="40"/>
  <c r="O199" i="40"/>
  <c r="R199" i="40" s="1"/>
  <c r="Y142" i="40"/>
  <c r="J174" i="40"/>
  <c r="K174" i="40"/>
  <c r="O195" i="40"/>
  <c r="R195" i="40" s="1"/>
  <c r="Y138" i="40"/>
  <c r="O214" i="40"/>
  <c r="R214" i="40" s="1"/>
  <c r="Y157" i="40"/>
  <c r="O205" i="40"/>
  <c r="R205" i="40" s="1"/>
  <c r="Y148" i="40"/>
  <c r="K216" i="39"/>
  <c r="J216" i="39"/>
  <c r="J177" i="39"/>
  <c r="K177" i="39"/>
  <c r="O192" i="39"/>
  <c r="R192" i="39" s="1"/>
  <c r="Y135" i="39"/>
  <c r="O195" i="39"/>
  <c r="R195" i="39" s="1"/>
  <c r="Y138" i="39"/>
  <c r="O194" i="39"/>
  <c r="R194" i="39" s="1"/>
  <c r="Y137" i="39"/>
  <c r="J181" i="39"/>
  <c r="K181" i="39"/>
  <c r="O178" i="39"/>
  <c r="R178" i="39" s="1"/>
  <c r="Y121" i="39"/>
  <c r="K197" i="39"/>
  <c r="J197" i="39"/>
  <c r="O202" i="39"/>
  <c r="R202" i="39" s="1"/>
  <c r="Y145" i="39"/>
  <c r="O205" i="39"/>
  <c r="R205" i="39" s="1"/>
  <c r="Y148" i="39"/>
  <c r="O181" i="39"/>
  <c r="R181" i="39" s="1"/>
  <c r="Y124" i="39"/>
  <c r="O177" i="39"/>
  <c r="R177" i="39" s="1"/>
  <c r="Y120" i="39"/>
  <c r="O208" i="39"/>
  <c r="R208" i="39" s="1"/>
  <c r="Y151" i="39"/>
  <c r="O172" i="39"/>
  <c r="R172" i="39" s="1"/>
  <c r="Y115" i="39"/>
  <c r="J175" i="39"/>
  <c r="K175" i="39"/>
  <c r="O209" i="39"/>
  <c r="R209" i="39" s="1"/>
  <c r="Y152" i="39"/>
  <c r="O189" i="39"/>
  <c r="R189" i="39" s="1"/>
  <c r="Y132" i="39"/>
  <c r="O174" i="39"/>
  <c r="R174" i="39" s="1"/>
  <c r="Y117" i="39"/>
  <c r="K171" i="39"/>
  <c r="J171" i="39"/>
  <c r="O193" i="39"/>
  <c r="R193" i="39" s="1"/>
  <c r="Y136" i="39"/>
  <c r="O173" i="39"/>
  <c r="R173" i="39" s="1"/>
  <c r="Y116" i="39"/>
  <c r="O196" i="39"/>
  <c r="R196" i="39" s="1"/>
  <c r="Y139" i="39"/>
  <c r="K186" i="39"/>
  <c r="J186" i="39"/>
  <c r="O182" i="39"/>
  <c r="R182" i="39" s="1"/>
  <c r="Y125" i="39"/>
  <c r="K199" i="39"/>
  <c r="J199" i="39"/>
  <c r="O187" i="39"/>
  <c r="R187" i="39" s="1"/>
  <c r="Y130" i="39"/>
  <c r="K193" i="39"/>
  <c r="J193" i="39"/>
  <c r="O197" i="39"/>
  <c r="R197" i="39" s="1"/>
  <c r="Y140" i="39"/>
  <c r="O185" i="39"/>
  <c r="R185" i="39" s="1"/>
  <c r="Y128" i="39"/>
  <c r="O184" i="39"/>
  <c r="R184" i="39" s="1"/>
  <c r="Y127" i="39"/>
  <c r="O180" i="39"/>
  <c r="R180" i="39" s="1"/>
  <c r="Y123" i="39"/>
  <c r="K191" i="39"/>
  <c r="J191" i="39"/>
  <c r="O203" i="39"/>
  <c r="R203" i="39" s="1"/>
  <c r="Y146" i="39"/>
  <c r="O176" i="39"/>
  <c r="R176" i="39" s="1"/>
  <c r="Y119" i="39"/>
  <c r="O186" i="39"/>
  <c r="R186" i="39" s="1"/>
  <c r="Y129" i="39"/>
  <c r="J187" i="39"/>
  <c r="K187" i="39"/>
  <c r="O207" i="39"/>
  <c r="R207" i="39" s="1"/>
  <c r="Y150" i="39"/>
  <c r="O179" i="39"/>
  <c r="R179" i="39" s="1"/>
  <c r="Y122" i="39"/>
  <c r="K182" i="39"/>
  <c r="J182" i="39"/>
  <c r="J179" i="39"/>
  <c r="K179" i="39"/>
  <c r="O206" i="39"/>
  <c r="R206" i="39" s="1"/>
  <c r="Y149" i="39"/>
  <c r="K214" i="39"/>
  <c r="J214" i="39"/>
  <c r="O200" i="39"/>
  <c r="R200" i="39" s="1"/>
  <c r="Y143" i="39"/>
  <c r="K212" i="39"/>
  <c r="J212" i="39"/>
  <c r="O210" i="39"/>
  <c r="R210" i="39" s="1"/>
  <c r="Y153" i="39"/>
  <c r="O201" i="39"/>
  <c r="R201" i="39" s="1"/>
  <c r="Y144" i="39"/>
  <c r="K172" i="39"/>
  <c r="J172" i="39"/>
  <c r="K210" i="39"/>
  <c r="J210" i="39"/>
  <c r="J183" i="39"/>
  <c r="K183" i="39"/>
  <c r="O190" i="39"/>
  <c r="R190" i="39" s="1"/>
  <c r="Y133" i="39"/>
  <c r="O198" i="39"/>
  <c r="R198" i="39" s="1"/>
  <c r="Y141" i="39"/>
  <c r="O212" i="39"/>
  <c r="R212" i="39" s="1"/>
  <c r="Y155" i="39"/>
  <c r="O188" i="39"/>
  <c r="R188" i="39" s="1"/>
  <c r="Y131" i="39"/>
  <c r="O211" i="39"/>
  <c r="R211" i="39" s="1"/>
  <c r="Y154" i="39"/>
  <c r="J188" i="39"/>
  <c r="K188" i="39"/>
  <c r="O213" i="39"/>
  <c r="R213" i="39" s="1"/>
  <c r="Y156" i="39"/>
  <c r="O191" i="39"/>
  <c r="R191" i="39" s="1"/>
  <c r="Y134" i="39"/>
  <c r="O199" i="39"/>
  <c r="R199" i="39" s="1"/>
  <c r="Y142" i="39"/>
  <c r="O183" i="39"/>
  <c r="R183" i="39" s="1"/>
  <c r="Y126" i="39"/>
  <c r="K178" i="39"/>
  <c r="J178" i="39"/>
  <c r="K173" i="39"/>
  <c r="J173" i="39"/>
  <c r="K176" i="39"/>
  <c r="J176" i="39"/>
  <c r="O175" i="39"/>
  <c r="R175" i="39" s="1"/>
  <c r="Y118" i="39"/>
  <c r="K189" i="39"/>
  <c r="J189" i="39"/>
  <c r="O204" i="39"/>
  <c r="R204" i="39" s="1"/>
  <c r="Y147" i="39"/>
  <c r="K201" i="39"/>
  <c r="J201" i="39"/>
  <c r="O214" i="39"/>
  <c r="R214" i="39" s="1"/>
  <c r="Y157" i="39"/>
  <c r="K195" i="39"/>
  <c r="J195" i="39"/>
  <c r="K184" i="39"/>
  <c r="J184" i="39"/>
  <c r="K185" i="39"/>
  <c r="J185" i="39"/>
  <c r="K180" i="39"/>
  <c r="J180" i="39"/>
  <c r="K173" i="38"/>
  <c r="J173" i="38"/>
  <c r="O176" i="38"/>
  <c r="R176" i="38" s="1"/>
  <c r="Y119" i="38"/>
  <c r="O170" i="38"/>
  <c r="R170" i="38" s="1"/>
  <c r="Y113" i="38"/>
  <c r="K202" i="38"/>
  <c r="J202" i="38"/>
  <c r="O172" i="38"/>
  <c r="R172" i="38" s="1"/>
  <c r="Y115" i="38"/>
  <c r="O174" i="38"/>
  <c r="R174" i="38" s="1"/>
  <c r="Y117" i="38"/>
  <c r="J206" i="38"/>
  <c r="K206" i="38"/>
  <c r="Y118" i="38"/>
  <c r="O175" i="38"/>
  <c r="R175" i="38" s="1"/>
  <c r="O171" i="38"/>
  <c r="R171" i="38" s="1"/>
  <c r="Y114" i="38"/>
  <c r="O173" i="38"/>
  <c r="R173" i="38" s="1"/>
  <c r="Y116" i="38"/>
  <c r="K172" i="38"/>
  <c r="J172" i="38"/>
  <c r="U663" i="37" l="1"/>
  <c r="T663" i="37"/>
  <c r="S663" i="37"/>
  <c r="T662" i="37"/>
  <c r="U662" i="37" s="1"/>
  <c r="S662" i="37"/>
  <c r="T661" i="37"/>
  <c r="U661" i="37" s="1"/>
  <c r="S661" i="37"/>
  <c r="T660" i="37"/>
  <c r="U660" i="37" s="1"/>
  <c r="S660" i="37"/>
  <c r="X659" i="37"/>
  <c r="DA659" i="37" s="1"/>
  <c r="T659" i="37"/>
  <c r="U659" i="37" s="1"/>
  <c r="S659" i="37"/>
  <c r="X658" i="37"/>
  <c r="DA658" i="37" s="1"/>
  <c r="T658" i="37"/>
  <c r="U658" i="37" s="1"/>
  <c r="S658" i="37"/>
  <c r="T657" i="37"/>
  <c r="U657" i="37" s="1"/>
  <c r="S657" i="37"/>
  <c r="X656" i="37"/>
  <c r="DA656" i="37" s="1"/>
  <c r="U656" i="37"/>
  <c r="T656" i="37"/>
  <c r="S656" i="37"/>
  <c r="U655" i="37"/>
  <c r="T655" i="37"/>
  <c r="S655" i="37"/>
  <c r="U654" i="37"/>
  <c r="T654" i="37"/>
  <c r="S654" i="37"/>
  <c r="U653" i="37"/>
  <c r="T653" i="37"/>
  <c r="S653" i="37"/>
  <c r="U652" i="37"/>
  <c r="T652" i="37"/>
  <c r="S652" i="37"/>
  <c r="U651" i="37"/>
  <c r="T651" i="37"/>
  <c r="S651" i="37"/>
  <c r="T650" i="37"/>
  <c r="U650" i="37" s="1"/>
  <c r="S650" i="37"/>
  <c r="X649" i="37"/>
  <c r="DA649" i="37" s="1"/>
  <c r="DF649" i="37" s="1"/>
  <c r="U649" i="37"/>
  <c r="W649" i="37" s="1"/>
  <c r="CZ649" i="37" s="1"/>
  <c r="T649" i="37"/>
  <c r="S649" i="37"/>
  <c r="X648" i="37"/>
  <c r="DA648" i="37" s="1"/>
  <c r="U648" i="37"/>
  <c r="W648" i="37" s="1"/>
  <c r="CZ648" i="37" s="1"/>
  <c r="DD648" i="37" s="1"/>
  <c r="T648" i="37"/>
  <c r="S648" i="37"/>
  <c r="X647" i="37"/>
  <c r="DA647" i="37" s="1"/>
  <c r="U647" i="37"/>
  <c r="W647" i="37" s="1"/>
  <c r="CZ647" i="37" s="1"/>
  <c r="DD647" i="37" s="1"/>
  <c r="T647" i="37"/>
  <c r="S647" i="37"/>
  <c r="X646" i="37"/>
  <c r="DA646" i="37" s="1"/>
  <c r="U646" i="37"/>
  <c r="W646" i="37" s="1"/>
  <c r="CZ646" i="37" s="1"/>
  <c r="DD646" i="37" s="1"/>
  <c r="T646" i="37"/>
  <c r="S646" i="37"/>
  <c r="X645" i="37"/>
  <c r="DA645" i="37" s="1"/>
  <c r="U645" i="37"/>
  <c r="W645" i="37" s="1"/>
  <c r="CZ645" i="37" s="1"/>
  <c r="DD645" i="37" s="1"/>
  <c r="T645" i="37"/>
  <c r="S645" i="37"/>
  <c r="X644" i="37"/>
  <c r="DA644" i="37" s="1"/>
  <c r="U644" i="37"/>
  <c r="T644" i="37"/>
  <c r="S644" i="37"/>
  <c r="U643" i="37"/>
  <c r="T643" i="37"/>
  <c r="S643" i="37"/>
  <c r="U642" i="37"/>
  <c r="T642" i="37"/>
  <c r="S642" i="37"/>
  <c r="T641" i="37"/>
  <c r="U641" i="37" s="1"/>
  <c r="S641" i="37"/>
  <c r="T640" i="37"/>
  <c r="U640" i="37" s="1"/>
  <c r="S640" i="37"/>
  <c r="T639" i="37"/>
  <c r="U639" i="37" s="1"/>
  <c r="S639" i="37"/>
  <c r="T638" i="37"/>
  <c r="U638" i="37" s="1"/>
  <c r="S638" i="37"/>
  <c r="U637" i="37"/>
  <c r="X637" i="37" s="1"/>
  <c r="DA637" i="37" s="1"/>
  <c r="T637" i="37"/>
  <c r="S637" i="37"/>
  <c r="U636" i="37"/>
  <c r="T636" i="37"/>
  <c r="S636" i="37"/>
  <c r="T635" i="37"/>
  <c r="U635" i="37" s="1"/>
  <c r="S635" i="37"/>
  <c r="T634" i="37"/>
  <c r="U634" i="37" s="1"/>
  <c r="S634" i="37"/>
  <c r="A634" i="37"/>
  <c r="X633" i="37"/>
  <c r="DA633" i="37" s="1"/>
  <c r="U633" i="37"/>
  <c r="T633" i="37"/>
  <c r="S633" i="37"/>
  <c r="A633" i="37"/>
  <c r="X632" i="37"/>
  <c r="DA632" i="37" s="1"/>
  <c r="DE632" i="37" s="1"/>
  <c r="T632" i="37"/>
  <c r="U632" i="37" s="1"/>
  <c r="W632" i="37" s="1"/>
  <c r="CZ632" i="37" s="1"/>
  <c r="S632" i="37"/>
  <c r="A632" i="37"/>
  <c r="U631" i="37"/>
  <c r="T631" i="37"/>
  <c r="S631" i="37"/>
  <c r="A631" i="37"/>
  <c r="U630" i="37"/>
  <c r="X630" i="37" s="1"/>
  <c r="DA630" i="37" s="1"/>
  <c r="T630" i="37"/>
  <c r="S630" i="37"/>
  <c r="T629" i="37"/>
  <c r="U629" i="37" s="1"/>
  <c r="S629" i="37"/>
  <c r="T628" i="37"/>
  <c r="U628" i="37" s="1"/>
  <c r="S628" i="37"/>
  <c r="T627" i="37"/>
  <c r="U627" i="37" s="1"/>
  <c r="S627" i="37"/>
  <c r="T626" i="37"/>
  <c r="U626" i="37" s="1"/>
  <c r="S626" i="37"/>
  <c r="T625" i="37"/>
  <c r="U625" i="37" s="1"/>
  <c r="S625" i="37"/>
  <c r="U624" i="37"/>
  <c r="T624" i="37"/>
  <c r="S624" i="37"/>
  <c r="U623" i="37"/>
  <c r="T623" i="37"/>
  <c r="S623" i="37"/>
  <c r="U622" i="37"/>
  <c r="T622" i="37"/>
  <c r="S622" i="37"/>
  <c r="T621" i="37"/>
  <c r="U621" i="37" s="1"/>
  <c r="S621" i="37"/>
  <c r="T620" i="37"/>
  <c r="U620" i="37" s="1"/>
  <c r="S620" i="37"/>
  <c r="T619" i="37"/>
  <c r="U619" i="37" s="1"/>
  <c r="S619" i="37"/>
  <c r="T618" i="37"/>
  <c r="U618" i="37" s="1"/>
  <c r="S618" i="37"/>
  <c r="T617" i="37"/>
  <c r="U617" i="37" s="1"/>
  <c r="S617" i="37"/>
  <c r="U616" i="37"/>
  <c r="T616" i="37"/>
  <c r="S616" i="37"/>
  <c r="CQ615" i="37"/>
  <c r="CH615" i="37"/>
  <c r="BZ615" i="37"/>
  <c r="BS615" i="37"/>
  <c r="T615" i="37"/>
  <c r="U615" i="37" s="1"/>
  <c r="S615" i="37"/>
  <c r="EA614" i="37"/>
  <c r="M614" i="37"/>
  <c r="L614" i="37"/>
  <c r="K614" i="37"/>
  <c r="J614" i="37"/>
  <c r="I614" i="37"/>
  <c r="H614" i="37"/>
  <c r="G614" i="37"/>
  <c r="F614" i="37"/>
  <c r="E614" i="37"/>
  <c r="D614" i="37"/>
  <c r="C614" i="37"/>
  <c r="EA613" i="37"/>
  <c r="L613" i="37"/>
  <c r="I613" i="37"/>
  <c r="F613" i="37"/>
  <c r="C613" i="37"/>
  <c r="T598" i="37"/>
  <c r="U598" i="37" s="1"/>
  <c r="S598" i="37"/>
  <c r="U597" i="37"/>
  <c r="T597" i="37"/>
  <c r="S597" i="37"/>
  <c r="T596" i="37"/>
  <c r="U596" i="37" s="1"/>
  <c r="S596" i="37"/>
  <c r="T595" i="37"/>
  <c r="U595" i="37" s="1"/>
  <c r="S595" i="37"/>
  <c r="T594" i="37"/>
  <c r="U594" i="37" s="1"/>
  <c r="S594" i="37"/>
  <c r="T593" i="37"/>
  <c r="U593" i="37" s="1"/>
  <c r="S593" i="37"/>
  <c r="T592" i="37"/>
  <c r="U592" i="37" s="1"/>
  <c r="S592" i="37"/>
  <c r="U591" i="37"/>
  <c r="T591" i="37"/>
  <c r="S591" i="37"/>
  <c r="T590" i="37"/>
  <c r="U590" i="37" s="1"/>
  <c r="S590" i="37"/>
  <c r="U589" i="37"/>
  <c r="X589" i="37" s="1"/>
  <c r="DA589" i="37" s="1"/>
  <c r="T589" i="37"/>
  <c r="S589" i="37"/>
  <c r="T588" i="37"/>
  <c r="U588" i="37" s="1"/>
  <c r="S588" i="37"/>
  <c r="Y587" i="37"/>
  <c r="DB587" i="37" s="1"/>
  <c r="U587" i="37"/>
  <c r="X587" i="37" s="1"/>
  <c r="DA587" i="37" s="1"/>
  <c r="T587" i="37"/>
  <c r="S587" i="37"/>
  <c r="T586" i="37"/>
  <c r="U586" i="37" s="1"/>
  <c r="S586" i="37"/>
  <c r="T585" i="37"/>
  <c r="U585" i="37" s="1"/>
  <c r="S585" i="37"/>
  <c r="T584" i="37"/>
  <c r="U584" i="37" s="1"/>
  <c r="S584" i="37"/>
  <c r="T583" i="37"/>
  <c r="U583" i="37" s="1"/>
  <c r="S583" i="37"/>
  <c r="T582" i="37"/>
  <c r="U582" i="37" s="1"/>
  <c r="S582" i="37"/>
  <c r="T581" i="37"/>
  <c r="U581" i="37" s="1"/>
  <c r="S581" i="37"/>
  <c r="T580" i="37"/>
  <c r="U580" i="37" s="1"/>
  <c r="S580" i="37"/>
  <c r="T579" i="37"/>
  <c r="U579" i="37" s="1"/>
  <c r="S579" i="37"/>
  <c r="T578" i="37"/>
  <c r="U578" i="37" s="1"/>
  <c r="S578" i="37"/>
  <c r="T577" i="37"/>
  <c r="U577" i="37" s="1"/>
  <c r="S577" i="37"/>
  <c r="T576" i="37"/>
  <c r="U576" i="37" s="1"/>
  <c r="S576" i="37"/>
  <c r="U575" i="37"/>
  <c r="T575" i="37"/>
  <c r="S575" i="37"/>
  <c r="T574" i="37"/>
  <c r="U574" i="37" s="1"/>
  <c r="S574" i="37"/>
  <c r="U573" i="37"/>
  <c r="X573" i="37" s="1"/>
  <c r="DA573" i="37" s="1"/>
  <c r="T573" i="37"/>
  <c r="S573" i="37"/>
  <c r="T572" i="37"/>
  <c r="U572" i="37" s="1"/>
  <c r="S572" i="37"/>
  <c r="U571" i="37"/>
  <c r="T571" i="37"/>
  <c r="S571" i="37"/>
  <c r="U570" i="37"/>
  <c r="T570" i="37"/>
  <c r="S570" i="37"/>
  <c r="U569" i="37"/>
  <c r="T569" i="37"/>
  <c r="S569" i="37"/>
  <c r="A569" i="37"/>
  <c r="T568" i="37"/>
  <c r="U568" i="37" s="1"/>
  <c r="S568" i="37"/>
  <c r="A568" i="37"/>
  <c r="X567" i="37"/>
  <c r="DA567" i="37" s="1"/>
  <c r="U567" i="37"/>
  <c r="W567" i="37" s="1"/>
  <c r="CZ567" i="37" s="1"/>
  <c r="T567" i="37"/>
  <c r="S567" i="37"/>
  <c r="A567" i="37"/>
  <c r="T566" i="37"/>
  <c r="U566" i="37" s="1"/>
  <c r="S566" i="37"/>
  <c r="A566" i="37"/>
  <c r="U565" i="37"/>
  <c r="T565" i="37"/>
  <c r="S565" i="37"/>
  <c r="U564" i="37"/>
  <c r="T564" i="37"/>
  <c r="S564" i="37"/>
  <c r="U563" i="37"/>
  <c r="T563" i="37"/>
  <c r="S563" i="37"/>
  <c r="U562" i="37"/>
  <c r="T562" i="37"/>
  <c r="S562" i="37"/>
  <c r="T561" i="37"/>
  <c r="U561" i="37" s="1"/>
  <c r="S561" i="37"/>
  <c r="X560" i="37"/>
  <c r="W560" i="37" s="1"/>
  <c r="CZ560" i="37" s="1"/>
  <c r="U560" i="37"/>
  <c r="Y560" i="37" s="1"/>
  <c r="DB560" i="37" s="1"/>
  <c r="T560" i="37"/>
  <c r="S560" i="37"/>
  <c r="U559" i="37"/>
  <c r="T559" i="37"/>
  <c r="S559" i="37"/>
  <c r="U558" i="37"/>
  <c r="T558" i="37"/>
  <c r="S558" i="37"/>
  <c r="U557" i="37"/>
  <c r="T557" i="37"/>
  <c r="S557" i="37"/>
  <c r="DG556" i="37"/>
  <c r="X556" i="37"/>
  <c r="U556" i="37"/>
  <c r="Y556" i="37" s="1"/>
  <c r="DB556" i="37" s="1"/>
  <c r="DH556" i="37" s="1"/>
  <c r="T556" i="37"/>
  <c r="S556" i="37"/>
  <c r="T555" i="37"/>
  <c r="U555" i="37" s="1"/>
  <c r="S555" i="37"/>
  <c r="U554" i="37"/>
  <c r="T554" i="37"/>
  <c r="S554" i="37"/>
  <c r="T553" i="37"/>
  <c r="U553" i="37" s="1"/>
  <c r="S553" i="37"/>
  <c r="T552" i="37"/>
  <c r="U552" i="37" s="1"/>
  <c r="S552" i="37"/>
  <c r="T551" i="37"/>
  <c r="U551" i="37" s="1"/>
  <c r="S551" i="37"/>
  <c r="CQ550" i="37"/>
  <c r="CH550" i="37"/>
  <c r="BZ550" i="37"/>
  <c r="BS550" i="37"/>
  <c r="U550" i="37"/>
  <c r="T550" i="37"/>
  <c r="S550" i="37"/>
  <c r="EA549" i="37"/>
  <c r="M549" i="37"/>
  <c r="L549" i="37"/>
  <c r="K549" i="37"/>
  <c r="J549" i="37"/>
  <c r="I549" i="37"/>
  <c r="H549" i="37"/>
  <c r="G549" i="37"/>
  <c r="F549" i="37"/>
  <c r="E549" i="37"/>
  <c r="D549" i="37"/>
  <c r="C549" i="37"/>
  <c r="EA548" i="37"/>
  <c r="L548" i="37"/>
  <c r="I548" i="37"/>
  <c r="F548" i="37"/>
  <c r="C548" i="37"/>
  <c r="U534" i="37"/>
  <c r="T534" i="37"/>
  <c r="S534" i="37"/>
  <c r="T533" i="37"/>
  <c r="U533" i="37" s="1"/>
  <c r="S533" i="37"/>
  <c r="T532" i="37"/>
  <c r="U532" i="37" s="1"/>
  <c r="S532" i="37"/>
  <c r="T531" i="37"/>
  <c r="U531" i="37" s="1"/>
  <c r="S531" i="37"/>
  <c r="T530" i="37"/>
  <c r="U530" i="37" s="1"/>
  <c r="S530" i="37"/>
  <c r="T529" i="37"/>
  <c r="U529" i="37" s="1"/>
  <c r="S529" i="37"/>
  <c r="T528" i="37"/>
  <c r="U528" i="37" s="1"/>
  <c r="S528" i="37"/>
  <c r="T527" i="37"/>
  <c r="U527" i="37" s="1"/>
  <c r="S527" i="37"/>
  <c r="T526" i="37"/>
  <c r="U526" i="37" s="1"/>
  <c r="S526" i="37"/>
  <c r="T525" i="37"/>
  <c r="U525" i="37" s="1"/>
  <c r="S525" i="37"/>
  <c r="T524" i="37"/>
  <c r="U524" i="37" s="1"/>
  <c r="S524" i="37"/>
  <c r="T523" i="37"/>
  <c r="U523" i="37" s="1"/>
  <c r="S523" i="37"/>
  <c r="T522" i="37"/>
  <c r="U522" i="37" s="1"/>
  <c r="S522" i="37"/>
  <c r="T521" i="37"/>
  <c r="U521" i="37" s="1"/>
  <c r="S521" i="37"/>
  <c r="T520" i="37"/>
  <c r="U520" i="37" s="1"/>
  <c r="S520" i="37"/>
  <c r="T519" i="37"/>
  <c r="U519" i="37" s="1"/>
  <c r="S519" i="37"/>
  <c r="T518" i="37"/>
  <c r="U518" i="37" s="1"/>
  <c r="S518" i="37"/>
  <c r="T517" i="37"/>
  <c r="U517" i="37" s="1"/>
  <c r="S517" i="37"/>
  <c r="T516" i="37"/>
  <c r="U516" i="37" s="1"/>
  <c r="S516" i="37"/>
  <c r="T515" i="37"/>
  <c r="U515" i="37" s="1"/>
  <c r="S515" i="37"/>
  <c r="T514" i="37"/>
  <c r="U514" i="37" s="1"/>
  <c r="S514" i="37"/>
  <c r="T513" i="37"/>
  <c r="U513" i="37" s="1"/>
  <c r="S513" i="37"/>
  <c r="T512" i="37"/>
  <c r="U512" i="37" s="1"/>
  <c r="S512" i="37"/>
  <c r="T511" i="37"/>
  <c r="U511" i="37" s="1"/>
  <c r="S511" i="37"/>
  <c r="U510" i="37"/>
  <c r="T510" i="37"/>
  <c r="S510" i="37"/>
  <c r="U509" i="37"/>
  <c r="T509" i="37"/>
  <c r="S509" i="37"/>
  <c r="U508" i="37"/>
  <c r="T508" i="37"/>
  <c r="S508" i="37"/>
  <c r="U507" i="37"/>
  <c r="T507" i="37"/>
  <c r="S507" i="37"/>
  <c r="U506" i="37"/>
  <c r="T506" i="37"/>
  <c r="S506" i="37"/>
  <c r="X505" i="37"/>
  <c r="DA505" i="37" s="1"/>
  <c r="U505" i="37"/>
  <c r="Y505" i="37" s="1"/>
  <c r="DB505" i="37" s="1"/>
  <c r="T505" i="37"/>
  <c r="S505" i="37"/>
  <c r="A505" i="37"/>
  <c r="T504" i="37"/>
  <c r="U504" i="37" s="1"/>
  <c r="S504" i="37"/>
  <c r="A504" i="37"/>
  <c r="U503" i="37"/>
  <c r="T503" i="37"/>
  <c r="S503" i="37"/>
  <c r="A503" i="37"/>
  <c r="T502" i="37"/>
  <c r="U502" i="37" s="1"/>
  <c r="S502" i="37"/>
  <c r="A502" i="37"/>
  <c r="X501" i="37"/>
  <c r="DA501" i="37" s="1"/>
  <c r="U501" i="37"/>
  <c r="Y501" i="37" s="1"/>
  <c r="DB501" i="37" s="1"/>
  <c r="T501" i="37"/>
  <c r="S501" i="37"/>
  <c r="X500" i="37"/>
  <c r="DA500" i="37" s="1"/>
  <c r="U500" i="37"/>
  <c r="Y500" i="37" s="1"/>
  <c r="DB500" i="37" s="1"/>
  <c r="T500" i="37"/>
  <c r="S500" i="37"/>
  <c r="X499" i="37"/>
  <c r="DA499" i="37" s="1"/>
  <c r="U499" i="37"/>
  <c r="Y499" i="37" s="1"/>
  <c r="DB499" i="37" s="1"/>
  <c r="T499" i="37"/>
  <c r="S499" i="37"/>
  <c r="X498" i="37"/>
  <c r="DA498" i="37" s="1"/>
  <c r="U498" i="37"/>
  <c r="Y498" i="37" s="1"/>
  <c r="DB498" i="37" s="1"/>
  <c r="T498" i="37"/>
  <c r="S498" i="37"/>
  <c r="T497" i="37"/>
  <c r="U497" i="37" s="1"/>
  <c r="S497" i="37"/>
  <c r="U496" i="37"/>
  <c r="T496" i="37"/>
  <c r="S496" i="37"/>
  <c r="T495" i="37"/>
  <c r="U495" i="37" s="1"/>
  <c r="S495" i="37"/>
  <c r="T494" i="37"/>
  <c r="U494" i="37" s="1"/>
  <c r="S494" i="37"/>
  <c r="T493" i="37"/>
  <c r="U493" i="37" s="1"/>
  <c r="S493" i="37"/>
  <c r="U492" i="37"/>
  <c r="T492" i="37"/>
  <c r="S492" i="37"/>
  <c r="T491" i="37"/>
  <c r="U491" i="37" s="1"/>
  <c r="S491" i="37"/>
  <c r="T490" i="37"/>
  <c r="U490" i="37" s="1"/>
  <c r="S490" i="37"/>
  <c r="X489" i="37"/>
  <c r="DA489" i="37" s="1"/>
  <c r="U489" i="37"/>
  <c r="Y489" i="37" s="1"/>
  <c r="DB489" i="37" s="1"/>
  <c r="T489" i="37"/>
  <c r="S489" i="37"/>
  <c r="X488" i="37"/>
  <c r="DA488" i="37" s="1"/>
  <c r="U488" i="37"/>
  <c r="Y488" i="37" s="1"/>
  <c r="DB488" i="37" s="1"/>
  <c r="T488" i="37"/>
  <c r="S488" i="37"/>
  <c r="X487" i="37"/>
  <c r="DA487" i="37" s="1"/>
  <c r="U487" i="37"/>
  <c r="Y487" i="37" s="1"/>
  <c r="DB487" i="37" s="1"/>
  <c r="T487" i="37"/>
  <c r="S487" i="37"/>
  <c r="CQ486" i="37"/>
  <c r="CH486" i="37"/>
  <c r="BZ486" i="37"/>
  <c r="BS486" i="37"/>
  <c r="T486" i="37"/>
  <c r="U486" i="37" s="1"/>
  <c r="S486" i="37"/>
  <c r="EA485" i="37"/>
  <c r="M485" i="37"/>
  <c r="L485" i="37"/>
  <c r="K485" i="37"/>
  <c r="J485" i="37"/>
  <c r="I485" i="37"/>
  <c r="H485" i="37"/>
  <c r="G485" i="37"/>
  <c r="F485" i="37"/>
  <c r="E485" i="37"/>
  <c r="D485" i="37"/>
  <c r="C485" i="37"/>
  <c r="EA484" i="37"/>
  <c r="EA497" i="37" s="1"/>
  <c r="L484" i="37"/>
  <c r="I484" i="37"/>
  <c r="F484" i="37"/>
  <c r="C484" i="37"/>
  <c r="T470" i="37"/>
  <c r="U470" i="37" s="1"/>
  <c r="D470" i="37"/>
  <c r="S470" i="37" s="1"/>
  <c r="T469" i="37"/>
  <c r="U469" i="37" s="1"/>
  <c r="S469" i="37"/>
  <c r="T468" i="37"/>
  <c r="U468" i="37" s="1"/>
  <c r="S468" i="37"/>
  <c r="T467" i="37"/>
  <c r="U467" i="37" s="1"/>
  <c r="S467" i="37"/>
  <c r="T466" i="37"/>
  <c r="U466" i="37" s="1"/>
  <c r="S466" i="37"/>
  <c r="T465" i="37"/>
  <c r="U465" i="37" s="1"/>
  <c r="S465" i="37"/>
  <c r="T464" i="37"/>
  <c r="U464" i="37" s="1"/>
  <c r="S464" i="37"/>
  <c r="T463" i="37"/>
  <c r="U463" i="37" s="1"/>
  <c r="S463" i="37"/>
  <c r="U462" i="37"/>
  <c r="T462" i="37"/>
  <c r="S462" i="37"/>
  <c r="T461" i="37"/>
  <c r="U461" i="37" s="1"/>
  <c r="S461" i="37"/>
  <c r="U460" i="37"/>
  <c r="T460" i="37"/>
  <c r="S460" i="37"/>
  <c r="U459" i="37"/>
  <c r="T459" i="37"/>
  <c r="S459" i="37"/>
  <c r="U458" i="37"/>
  <c r="T458" i="37"/>
  <c r="S458" i="37"/>
  <c r="U457" i="37"/>
  <c r="T457" i="37"/>
  <c r="S457" i="37"/>
  <c r="U456" i="37"/>
  <c r="T456" i="37"/>
  <c r="S456" i="37"/>
  <c r="U455" i="37"/>
  <c r="T455" i="37"/>
  <c r="S455" i="37"/>
  <c r="U454" i="37"/>
  <c r="T454" i="37"/>
  <c r="S454" i="37"/>
  <c r="U453" i="37"/>
  <c r="T453" i="37"/>
  <c r="S453" i="37"/>
  <c r="U452" i="37"/>
  <c r="T452" i="37"/>
  <c r="S452" i="37"/>
  <c r="U451" i="37"/>
  <c r="T451" i="37"/>
  <c r="S451" i="37"/>
  <c r="U450" i="37"/>
  <c r="T450" i="37"/>
  <c r="S450" i="37"/>
  <c r="U449" i="37"/>
  <c r="T449" i="37"/>
  <c r="S449" i="37"/>
  <c r="U448" i="37"/>
  <c r="T448" i="37"/>
  <c r="S448" i="37"/>
  <c r="U447" i="37"/>
  <c r="T447" i="37"/>
  <c r="S447" i="37"/>
  <c r="U446" i="37"/>
  <c r="T446" i="37"/>
  <c r="S446" i="37"/>
  <c r="U445" i="37"/>
  <c r="T445" i="37"/>
  <c r="S445" i="37"/>
  <c r="U444" i="37"/>
  <c r="T444" i="37"/>
  <c r="S444" i="37"/>
  <c r="U443" i="37"/>
  <c r="T443" i="37"/>
  <c r="S443" i="37"/>
  <c r="U442" i="37"/>
  <c r="T442" i="37"/>
  <c r="S442" i="37"/>
  <c r="U441" i="37"/>
  <c r="T441" i="37"/>
  <c r="S441" i="37"/>
  <c r="A441" i="37"/>
  <c r="U440" i="37"/>
  <c r="X440" i="37" s="1"/>
  <c r="T440" i="37"/>
  <c r="S440" i="37"/>
  <c r="A440" i="37"/>
  <c r="T439" i="37"/>
  <c r="U439" i="37" s="1"/>
  <c r="S439" i="37"/>
  <c r="A439" i="37"/>
  <c r="T438" i="37"/>
  <c r="U438" i="37" s="1"/>
  <c r="S438" i="37"/>
  <c r="A438" i="37"/>
  <c r="U437" i="37"/>
  <c r="T437" i="37"/>
  <c r="S437" i="37"/>
  <c r="U436" i="37"/>
  <c r="T436" i="37"/>
  <c r="S436" i="37"/>
  <c r="U435" i="37"/>
  <c r="T435" i="37"/>
  <c r="S435" i="37"/>
  <c r="U434" i="37"/>
  <c r="T434" i="37"/>
  <c r="S434" i="37"/>
  <c r="T433" i="37"/>
  <c r="U433" i="37" s="1"/>
  <c r="S433" i="37"/>
  <c r="T432" i="37"/>
  <c r="U432" i="37" s="1"/>
  <c r="X432" i="37" s="1"/>
  <c r="DA432" i="37" s="1"/>
  <c r="S432" i="37"/>
  <c r="U431" i="37"/>
  <c r="T431" i="37"/>
  <c r="S431" i="37"/>
  <c r="U430" i="37"/>
  <c r="T430" i="37"/>
  <c r="S430" i="37"/>
  <c r="U429" i="37"/>
  <c r="X429" i="37" s="1"/>
  <c r="T429" i="37"/>
  <c r="S429" i="37"/>
  <c r="T428" i="37"/>
  <c r="U428" i="37" s="1"/>
  <c r="S428" i="37"/>
  <c r="X427" i="37"/>
  <c r="DA427" i="37" s="1"/>
  <c r="U427" i="37"/>
  <c r="Y427" i="37" s="1"/>
  <c r="DB427" i="37" s="1"/>
  <c r="T427" i="37"/>
  <c r="S427" i="37"/>
  <c r="T426" i="37"/>
  <c r="U426" i="37" s="1"/>
  <c r="S426" i="37"/>
  <c r="T425" i="37"/>
  <c r="U425" i="37" s="1"/>
  <c r="S425" i="37"/>
  <c r="T424" i="37"/>
  <c r="U424" i="37" s="1"/>
  <c r="S424" i="37"/>
  <c r="T423" i="37"/>
  <c r="U423" i="37" s="1"/>
  <c r="S423" i="37"/>
  <c r="CQ422" i="37"/>
  <c r="CH422" i="37"/>
  <c r="BZ422" i="37"/>
  <c r="BS422" i="37"/>
  <c r="U422" i="37"/>
  <c r="T422" i="37"/>
  <c r="S422" i="37"/>
  <c r="EA421" i="37"/>
  <c r="M421" i="37"/>
  <c r="L421" i="37"/>
  <c r="K421" i="37"/>
  <c r="J421" i="37"/>
  <c r="I421" i="37"/>
  <c r="H421" i="37"/>
  <c r="G421" i="37"/>
  <c r="F421" i="37"/>
  <c r="E421" i="37"/>
  <c r="D421" i="37"/>
  <c r="C421" i="37"/>
  <c r="EA420" i="37"/>
  <c r="L420" i="37"/>
  <c r="I420" i="37"/>
  <c r="F420" i="37"/>
  <c r="C420" i="37"/>
  <c r="U407" i="37"/>
  <c r="T407" i="37"/>
  <c r="S407" i="37"/>
  <c r="T406" i="37"/>
  <c r="U406" i="37" s="1"/>
  <c r="S406" i="37"/>
  <c r="T405" i="37"/>
  <c r="U405" i="37" s="1"/>
  <c r="S405" i="37"/>
  <c r="T404" i="37"/>
  <c r="U404" i="37" s="1"/>
  <c r="S404" i="37"/>
  <c r="T403" i="37"/>
  <c r="U403" i="37" s="1"/>
  <c r="S403" i="37"/>
  <c r="T402" i="37"/>
  <c r="U402" i="37" s="1"/>
  <c r="S402" i="37"/>
  <c r="T401" i="37"/>
  <c r="U401" i="37" s="1"/>
  <c r="S401" i="37"/>
  <c r="T400" i="37"/>
  <c r="U400" i="37" s="1"/>
  <c r="S400" i="37"/>
  <c r="T399" i="37"/>
  <c r="U399" i="37" s="1"/>
  <c r="S399" i="37"/>
  <c r="T398" i="37"/>
  <c r="U398" i="37" s="1"/>
  <c r="S398" i="37"/>
  <c r="T397" i="37"/>
  <c r="U397" i="37" s="1"/>
  <c r="S397" i="37"/>
  <c r="T396" i="37"/>
  <c r="U396" i="37" s="1"/>
  <c r="S396" i="37"/>
  <c r="T395" i="37"/>
  <c r="U395" i="37" s="1"/>
  <c r="S395" i="37"/>
  <c r="T394" i="37"/>
  <c r="U394" i="37" s="1"/>
  <c r="S394" i="37"/>
  <c r="T393" i="37"/>
  <c r="U393" i="37" s="1"/>
  <c r="S393" i="37"/>
  <c r="T392" i="37"/>
  <c r="U392" i="37" s="1"/>
  <c r="S392" i="37"/>
  <c r="T391" i="37"/>
  <c r="U391" i="37" s="1"/>
  <c r="S391" i="37"/>
  <c r="T390" i="37"/>
  <c r="U390" i="37" s="1"/>
  <c r="S390" i="37"/>
  <c r="T389" i="37"/>
  <c r="U389" i="37" s="1"/>
  <c r="S389" i="37"/>
  <c r="T388" i="37"/>
  <c r="U388" i="37" s="1"/>
  <c r="S388" i="37"/>
  <c r="T387" i="37"/>
  <c r="U387" i="37" s="1"/>
  <c r="S387" i="37"/>
  <c r="T386" i="37"/>
  <c r="U386" i="37" s="1"/>
  <c r="S386" i="37"/>
  <c r="T385" i="37"/>
  <c r="U385" i="37" s="1"/>
  <c r="S385" i="37"/>
  <c r="T384" i="37"/>
  <c r="U384" i="37" s="1"/>
  <c r="S384" i="37"/>
  <c r="X383" i="37"/>
  <c r="DA383" i="37" s="1"/>
  <c r="U383" i="37"/>
  <c r="Y383" i="37" s="1"/>
  <c r="DB383" i="37" s="1"/>
  <c r="T383" i="37"/>
  <c r="S383" i="37"/>
  <c r="X382" i="37"/>
  <c r="DA382" i="37" s="1"/>
  <c r="U382" i="37"/>
  <c r="Y382" i="37" s="1"/>
  <c r="DB382" i="37" s="1"/>
  <c r="T382" i="37"/>
  <c r="S382" i="37"/>
  <c r="X381" i="37"/>
  <c r="DA381" i="37" s="1"/>
  <c r="U381" i="37"/>
  <c r="Y381" i="37" s="1"/>
  <c r="DB381" i="37" s="1"/>
  <c r="T381" i="37"/>
  <c r="S381" i="37"/>
  <c r="X380" i="37"/>
  <c r="DA380" i="37" s="1"/>
  <c r="U380" i="37"/>
  <c r="Y380" i="37" s="1"/>
  <c r="DB380" i="37" s="1"/>
  <c r="T380" i="37"/>
  <c r="S380" i="37"/>
  <c r="X379" i="37"/>
  <c r="DA379" i="37" s="1"/>
  <c r="U379" i="37"/>
  <c r="Y379" i="37" s="1"/>
  <c r="DB379" i="37" s="1"/>
  <c r="T379" i="37"/>
  <c r="S379" i="37"/>
  <c r="X378" i="37"/>
  <c r="DA378" i="37" s="1"/>
  <c r="U378" i="37"/>
  <c r="Y378" i="37" s="1"/>
  <c r="DB378" i="37" s="1"/>
  <c r="T378" i="37"/>
  <c r="S378" i="37"/>
  <c r="A378" i="37"/>
  <c r="T377" i="37"/>
  <c r="U377" i="37" s="1"/>
  <c r="S377" i="37"/>
  <c r="A377" i="37"/>
  <c r="U376" i="37"/>
  <c r="T376" i="37"/>
  <c r="S376" i="37"/>
  <c r="A376" i="37"/>
  <c r="T375" i="37"/>
  <c r="U375" i="37" s="1"/>
  <c r="S375" i="37"/>
  <c r="A375" i="37"/>
  <c r="X374" i="37"/>
  <c r="DA374" i="37" s="1"/>
  <c r="U374" i="37"/>
  <c r="Y374" i="37" s="1"/>
  <c r="DB374" i="37" s="1"/>
  <c r="T374" i="37"/>
  <c r="S374" i="37"/>
  <c r="X373" i="37"/>
  <c r="DA373" i="37" s="1"/>
  <c r="U373" i="37"/>
  <c r="Y373" i="37" s="1"/>
  <c r="DB373" i="37" s="1"/>
  <c r="T373" i="37"/>
  <c r="S373" i="37"/>
  <c r="X372" i="37"/>
  <c r="DA372" i="37" s="1"/>
  <c r="U372" i="37"/>
  <c r="Y372" i="37" s="1"/>
  <c r="DB372" i="37" s="1"/>
  <c r="T372" i="37"/>
  <c r="S372" i="37"/>
  <c r="X371" i="37"/>
  <c r="DA371" i="37" s="1"/>
  <c r="U371" i="37"/>
  <c r="Y371" i="37" s="1"/>
  <c r="DB371" i="37" s="1"/>
  <c r="T371" i="37"/>
  <c r="S371" i="37"/>
  <c r="T370" i="37"/>
  <c r="U370" i="37" s="1"/>
  <c r="S370" i="37"/>
  <c r="U369" i="37"/>
  <c r="T369" i="37"/>
  <c r="S369" i="37"/>
  <c r="T368" i="37"/>
  <c r="U368" i="37" s="1"/>
  <c r="S368" i="37"/>
  <c r="T367" i="37"/>
  <c r="U367" i="37" s="1"/>
  <c r="S367" i="37"/>
  <c r="T366" i="37"/>
  <c r="U366" i="37" s="1"/>
  <c r="S366" i="37"/>
  <c r="U365" i="37"/>
  <c r="T365" i="37"/>
  <c r="S365" i="37"/>
  <c r="T364" i="37"/>
  <c r="U364" i="37" s="1"/>
  <c r="S364" i="37"/>
  <c r="X363" i="37"/>
  <c r="DA363" i="37" s="1"/>
  <c r="U363" i="37"/>
  <c r="Y363" i="37" s="1"/>
  <c r="DB363" i="37" s="1"/>
  <c r="T363" i="37"/>
  <c r="S363" i="37"/>
  <c r="X362" i="37"/>
  <c r="DA362" i="37" s="1"/>
  <c r="U362" i="37"/>
  <c r="Y362" i="37" s="1"/>
  <c r="DB362" i="37" s="1"/>
  <c r="T362" i="37"/>
  <c r="S362" i="37"/>
  <c r="X361" i="37"/>
  <c r="DA361" i="37" s="1"/>
  <c r="U361" i="37"/>
  <c r="Y361" i="37" s="1"/>
  <c r="DB361" i="37" s="1"/>
  <c r="T361" i="37"/>
  <c r="S361" i="37"/>
  <c r="U360" i="37"/>
  <c r="T360" i="37"/>
  <c r="S360" i="37"/>
  <c r="CQ359" i="37"/>
  <c r="CH359" i="37"/>
  <c r="BZ359" i="37"/>
  <c r="BS359" i="37"/>
  <c r="T359" i="37"/>
  <c r="U359" i="37" s="1"/>
  <c r="S359" i="37"/>
  <c r="EA358" i="37"/>
  <c r="M358" i="37"/>
  <c r="L358" i="37"/>
  <c r="K358" i="37"/>
  <c r="J358" i="37"/>
  <c r="I358" i="37"/>
  <c r="H358" i="37"/>
  <c r="G358" i="37"/>
  <c r="F358" i="37"/>
  <c r="E358" i="37"/>
  <c r="D358" i="37"/>
  <c r="C358" i="37"/>
  <c r="EA357" i="37"/>
  <c r="EA370" i="37" s="1"/>
  <c r="L357" i="37"/>
  <c r="I357" i="37"/>
  <c r="F357" i="37"/>
  <c r="C357" i="37"/>
  <c r="T344" i="37"/>
  <c r="U344" i="37" s="1"/>
  <c r="S344" i="37"/>
  <c r="U343" i="37"/>
  <c r="T343" i="37"/>
  <c r="S343" i="37"/>
  <c r="T342" i="37"/>
  <c r="U342" i="37" s="1"/>
  <c r="S342" i="37"/>
  <c r="T341" i="37"/>
  <c r="U341" i="37" s="1"/>
  <c r="S341" i="37"/>
  <c r="T340" i="37"/>
  <c r="U340" i="37" s="1"/>
  <c r="S340" i="37"/>
  <c r="T339" i="37"/>
  <c r="U339" i="37" s="1"/>
  <c r="S339" i="37"/>
  <c r="T338" i="37"/>
  <c r="U338" i="37" s="1"/>
  <c r="S338" i="37"/>
  <c r="T337" i="37"/>
  <c r="U337" i="37" s="1"/>
  <c r="S337" i="37"/>
  <c r="T336" i="37"/>
  <c r="U336" i="37" s="1"/>
  <c r="S336" i="37"/>
  <c r="T335" i="37"/>
  <c r="U335" i="37" s="1"/>
  <c r="S335" i="37"/>
  <c r="T334" i="37"/>
  <c r="U334" i="37" s="1"/>
  <c r="S334" i="37"/>
  <c r="T333" i="37"/>
  <c r="U333" i="37" s="1"/>
  <c r="S333" i="37"/>
  <c r="T332" i="37"/>
  <c r="U332" i="37" s="1"/>
  <c r="S332" i="37"/>
  <c r="T331" i="37"/>
  <c r="U331" i="37" s="1"/>
  <c r="S331" i="37"/>
  <c r="T330" i="37"/>
  <c r="U330" i="37" s="1"/>
  <c r="S330" i="37"/>
  <c r="T329" i="37"/>
  <c r="U329" i="37" s="1"/>
  <c r="S329" i="37"/>
  <c r="T328" i="37"/>
  <c r="U328" i="37" s="1"/>
  <c r="S328" i="37"/>
  <c r="T327" i="37"/>
  <c r="U327" i="37" s="1"/>
  <c r="S327" i="37"/>
  <c r="T326" i="37"/>
  <c r="U326" i="37" s="1"/>
  <c r="S326" i="37"/>
  <c r="T325" i="37"/>
  <c r="U325" i="37" s="1"/>
  <c r="S325" i="37"/>
  <c r="T324" i="37"/>
  <c r="U324" i="37" s="1"/>
  <c r="S324" i="37"/>
  <c r="T323" i="37"/>
  <c r="U323" i="37" s="1"/>
  <c r="S323" i="37"/>
  <c r="T322" i="37"/>
  <c r="U322" i="37" s="1"/>
  <c r="S322" i="37"/>
  <c r="T321" i="37"/>
  <c r="U321" i="37" s="1"/>
  <c r="S321" i="37"/>
  <c r="T320" i="37"/>
  <c r="U320" i="37" s="1"/>
  <c r="S320" i="37"/>
  <c r="T319" i="37"/>
  <c r="U319" i="37" s="1"/>
  <c r="S319" i="37"/>
  <c r="T318" i="37"/>
  <c r="U318" i="37" s="1"/>
  <c r="S318" i="37"/>
  <c r="T317" i="37"/>
  <c r="U317" i="37" s="1"/>
  <c r="S317" i="37"/>
  <c r="T316" i="37"/>
  <c r="U316" i="37" s="1"/>
  <c r="S316" i="37"/>
  <c r="T315" i="37"/>
  <c r="U315" i="37" s="1"/>
  <c r="S315" i="37"/>
  <c r="A315" i="37"/>
  <c r="U314" i="37"/>
  <c r="T314" i="37"/>
  <c r="S314" i="37"/>
  <c r="A314" i="37"/>
  <c r="T313" i="37"/>
  <c r="U313" i="37" s="1"/>
  <c r="S313" i="37"/>
  <c r="A313" i="37"/>
  <c r="T312" i="37"/>
  <c r="U312" i="37" s="1"/>
  <c r="S312" i="37"/>
  <c r="A312" i="37"/>
  <c r="T311" i="37"/>
  <c r="U311" i="37" s="1"/>
  <c r="S311" i="37"/>
  <c r="T310" i="37"/>
  <c r="U310" i="37" s="1"/>
  <c r="S310" i="37"/>
  <c r="T309" i="37"/>
  <c r="U309" i="37" s="1"/>
  <c r="S309" i="37"/>
  <c r="T308" i="37"/>
  <c r="U308" i="37" s="1"/>
  <c r="S308" i="37"/>
  <c r="T307" i="37"/>
  <c r="U307" i="37" s="1"/>
  <c r="X307" i="37" s="1"/>
  <c r="DA307" i="37" s="1"/>
  <c r="S307" i="37"/>
  <c r="T306" i="37"/>
  <c r="U306" i="37" s="1"/>
  <c r="S306" i="37"/>
  <c r="U305" i="37"/>
  <c r="T305" i="37"/>
  <c r="S305" i="37"/>
  <c r="U304" i="37"/>
  <c r="T304" i="37"/>
  <c r="S304" i="37"/>
  <c r="U303" i="37"/>
  <c r="T303" i="37"/>
  <c r="S303" i="37"/>
  <c r="T302" i="37"/>
  <c r="U302" i="37" s="1"/>
  <c r="X302" i="37" s="1"/>
  <c r="DA302" i="37" s="1"/>
  <c r="S302" i="37"/>
  <c r="T301" i="37"/>
  <c r="U301" i="37" s="1"/>
  <c r="S301" i="37"/>
  <c r="T300" i="37"/>
  <c r="U300" i="37" s="1"/>
  <c r="S300" i="37"/>
  <c r="T299" i="37"/>
  <c r="U299" i="37" s="1"/>
  <c r="S299" i="37"/>
  <c r="T298" i="37"/>
  <c r="U298" i="37" s="1"/>
  <c r="S298" i="37"/>
  <c r="T297" i="37"/>
  <c r="U297" i="37" s="1"/>
  <c r="S297" i="37"/>
  <c r="CQ296" i="37"/>
  <c r="CH296" i="37"/>
  <c r="BZ296" i="37"/>
  <c r="BS296" i="37"/>
  <c r="T296" i="37"/>
  <c r="U296" i="37" s="1"/>
  <c r="S296" i="37"/>
  <c r="EA295" i="37"/>
  <c r="M295" i="37"/>
  <c r="L295" i="37"/>
  <c r="K295" i="37"/>
  <c r="J295" i="37"/>
  <c r="I295" i="37"/>
  <c r="H295" i="37"/>
  <c r="G295" i="37"/>
  <c r="F295" i="37"/>
  <c r="E295" i="37"/>
  <c r="D295" i="37"/>
  <c r="C295" i="37"/>
  <c r="EA294" i="37"/>
  <c r="L294" i="37"/>
  <c r="I294" i="37"/>
  <c r="F294" i="37"/>
  <c r="C294" i="37"/>
  <c r="T281" i="37"/>
  <c r="U281" i="37" s="1"/>
  <c r="S281" i="37"/>
  <c r="T280" i="37"/>
  <c r="U280" i="37" s="1"/>
  <c r="S280" i="37"/>
  <c r="U279" i="37"/>
  <c r="T279" i="37"/>
  <c r="S279" i="37"/>
  <c r="T278" i="37"/>
  <c r="U278" i="37" s="1"/>
  <c r="S278" i="37"/>
  <c r="T277" i="37"/>
  <c r="U277" i="37" s="1"/>
  <c r="S277" i="37"/>
  <c r="T276" i="37"/>
  <c r="U276" i="37" s="1"/>
  <c r="S276" i="37"/>
  <c r="T275" i="37"/>
  <c r="U275" i="37" s="1"/>
  <c r="S275" i="37"/>
  <c r="T274" i="37"/>
  <c r="U274" i="37" s="1"/>
  <c r="S274" i="37"/>
  <c r="T273" i="37"/>
  <c r="U273" i="37" s="1"/>
  <c r="S273" i="37"/>
  <c r="T272" i="37"/>
  <c r="U272" i="37" s="1"/>
  <c r="S272" i="37"/>
  <c r="T271" i="37"/>
  <c r="U271" i="37" s="1"/>
  <c r="S271" i="37"/>
  <c r="T270" i="37"/>
  <c r="U270" i="37" s="1"/>
  <c r="S270" i="37"/>
  <c r="T269" i="37"/>
  <c r="U269" i="37" s="1"/>
  <c r="S269" i="37"/>
  <c r="T268" i="37"/>
  <c r="U268" i="37" s="1"/>
  <c r="S268" i="37"/>
  <c r="T267" i="37"/>
  <c r="U267" i="37" s="1"/>
  <c r="S267" i="37"/>
  <c r="T266" i="37"/>
  <c r="U266" i="37" s="1"/>
  <c r="S266" i="37"/>
  <c r="T265" i="37"/>
  <c r="U265" i="37" s="1"/>
  <c r="S265" i="37"/>
  <c r="T264" i="37"/>
  <c r="U264" i="37" s="1"/>
  <c r="S264" i="37"/>
  <c r="T263" i="37"/>
  <c r="U263" i="37" s="1"/>
  <c r="S263" i="37"/>
  <c r="T262" i="37"/>
  <c r="U262" i="37" s="1"/>
  <c r="S262" i="37"/>
  <c r="T261" i="37"/>
  <c r="U261" i="37" s="1"/>
  <c r="S261" i="37"/>
  <c r="T260" i="37"/>
  <c r="U260" i="37" s="1"/>
  <c r="S260" i="37"/>
  <c r="T259" i="37"/>
  <c r="U259" i="37" s="1"/>
  <c r="S259" i="37"/>
  <c r="T258" i="37"/>
  <c r="U258" i="37" s="1"/>
  <c r="S258" i="37"/>
  <c r="T257" i="37"/>
  <c r="U257" i="37" s="1"/>
  <c r="S257" i="37"/>
  <c r="T256" i="37"/>
  <c r="U256" i="37" s="1"/>
  <c r="S256" i="37"/>
  <c r="T255" i="37"/>
  <c r="U255" i="37" s="1"/>
  <c r="S255" i="37"/>
  <c r="T254" i="37"/>
  <c r="U254" i="37" s="1"/>
  <c r="S254" i="37"/>
  <c r="T253" i="37"/>
  <c r="U253" i="37" s="1"/>
  <c r="S253" i="37"/>
  <c r="T252" i="37"/>
  <c r="U252" i="37" s="1"/>
  <c r="S252" i="37"/>
  <c r="A252" i="37"/>
  <c r="U251" i="37"/>
  <c r="T251" i="37"/>
  <c r="S251" i="37"/>
  <c r="A251" i="37"/>
  <c r="T250" i="37"/>
  <c r="U250" i="37" s="1"/>
  <c r="S250" i="37"/>
  <c r="A250" i="37"/>
  <c r="F231" i="37" s="1"/>
  <c r="T249" i="37"/>
  <c r="U249" i="37" s="1"/>
  <c r="S249" i="37"/>
  <c r="A249" i="37"/>
  <c r="T248" i="37"/>
  <c r="U248" i="37" s="1"/>
  <c r="S248" i="37"/>
  <c r="T247" i="37"/>
  <c r="U247" i="37" s="1"/>
  <c r="S247" i="37"/>
  <c r="T246" i="37"/>
  <c r="U246" i="37" s="1"/>
  <c r="S246" i="37"/>
  <c r="T245" i="37"/>
  <c r="U245" i="37" s="1"/>
  <c r="S245" i="37"/>
  <c r="T244" i="37"/>
  <c r="U244" i="37" s="1"/>
  <c r="S244" i="37"/>
  <c r="T243" i="37"/>
  <c r="U243" i="37" s="1"/>
  <c r="X243" i="37" s="1"/>
  <c r="DA243" i="37" s="1"/>
  <c r="S243" i="37"/>
  <c r="U242" i="37"/>
  <c r="T242" i="37"/>
  <c r="S242" i="37"/>
  <c r="U241" i="37"/>
  <c r="T241" i="37"/>
  <c r="S241" i="37"/>
  <c r="U240" i="37"/>
  <c r="T240" i="37"/>
  <c r="S240" i="37"/>
  <c r="DF239" i="37"/>
  <c r="DB239" i="37"/>
  <c r="DH239" i="37" s="1"/>
  <c r="X239" i="37"/>
  <c r="DA239" i="37" s="1"/>
  <c r="DE239" i="37" s="1"/>
  <c r="W239" i="37"/>
  <c r="CZ239" i="37" s="1"/>
  <c r="DD239" i="37" s="1"/>
  <c r="U239" i="37"/>
  <c r="Y239" i="37" s="1"/>
  <c r="T239" i="37"/>
  <c r="S239" i="37"/>
  <c r="X238" i="37"/>
  <c r="DA238" i="37" s="1"/>
  <c r="T238" i="37"/>
  <c r="U238" i="37" s="1"/>
  <c r="Y238" i="37" s="1"/>
  <c r="DB238" i="37" s="1"/>
  <c r="S238" i="37"/>
  <c r="T237" i="37"/>
  <c r="U237" i="37" s="1"/>
  <c r="S237" i="37"/>
  <c r="U236" i="37"/>
  <c r="T236" i="37"/>
  <c r="S236" i="37"/>
  <c r="T235" i="37"/>
  <c r="U235" i="37" s="1"/>
  <c r="S235" i="37"/>
  <c r="U234" i="37"/>
  <c r="T234" i="37"/>
  <c r="S234" i="37"/>
  <c r="CQ233" i="37"/>
  <c r="CH233" i="37"/>
  <c r="BZ233" i="37"/>
  <c r="BS233" i="37"/>
  <c r="U233" i="37"/>
  <c r="T233" i="37"/>
  <c r="S233" i="37"/>
  <c r="EA232" i="37"/>
  <c r="M232" i="37"/>
  <c r="L232" i="37"/>
  <c r="K232" i="37"/>
  <c r="J232" i="37"/>
  <c r="I232" i="37"/>
  <c r="H232" i="37"/>
  <c r="G232" i="37"/>
  <c r="F232" i="37"/>
  <c r="E232" i="37"/>
  <c r="D232" i="37"/>
  <c r="C232" i="37"/>
  <c r="EA231" i="37"/>
  <c r="EE239" i="37" s="1"/>
  <c r="L231" i="37"/>
  <c r="I231" i="37"/>
  <c r="C231" i="37"/>
  <c r="U218" i="37"/>
  <c r="T218" i="37"/>
  <c r="S218" i="37"/>
  <c r="U217" i="37"/>
  <c r="T217" i="37"/>
  <c r="S217" i="37"/>
  <c r="X216" i="37"/>
  <c r="DA216" i="37" s="1"/>
  <c r="T216" i="37"/>
  <c r="U216" i="37" s="1"/>
  <c r="S216" i="37"/>
  <c r="X215" i="37"/>
  <c r="DA215" i="37" s="1"/>
  <c r="T215" i="37"/>
  <c r="U215" i="37" s="1"/>
  <c r="S215" i="37"/>
  <c r="X214" i="37"/>
  <c r="DA214" i="37" s="1"/>
  <c r="T214" i="37"/>
  <c r="U214" i="37" s="1"/>
  <c r="S214" i="37"/>
  <c r="X213" i="37"/>
  <c r="DA213" i="37" s="1"/>
  <c r="T213" i="37"/>
  <c r="U213" i="37" s="1"/>
  <c r="S213" i="37"/>
  <c r="X212" i="37"/>
  <c r="DA212" i="37" s="1"/>
  <c r="T212" i="37"/>
  <c r="U212" i="37" s="1"/>
  <c r="S212" i="37"/>
  <c r="X211" i="37"/>
  <c r="DA211" i="37" s="1"/>
  <c r="T211" i="37"/>
  <c r="U211" i="37" s="1"/>
  <c r="S211" i="37"/>
  <c r="X210" i="37"/>
  <c r="DA210" i="37" s="1"/>
  <c r="T210" i="37"/>
  <c r="U210" i="37" s="1"/>
  <c r="S210" i="37"/>
  <c r="X209" i="37"/>
  <c r="DA209" i="37" s="1"/>
  <c r="T209" i="37"/>
  <c r="U209" i="37" s="1"/>
  <c r="S209" i="37"/>
  <c r="X208" i="37"/>
  <c r="DA208" i="37" s="1"/>
  <c r="T208" i="37"/>
  <c r="U208" i="37" s="1"/>
  <c r="S208" i="37"/>
  <c r="U207" i="37"/>
  <c r="T207" i="37"/>
  <c r="S207" i="37"/>
  <c r="T206" i="37"/>
  <c r="U206" i="37" s="1"/>
  <c r="S206" i="37"/>
  <c r="U205" i="37"/>
  <c r="T205" i="37"/>
  <c r="S205" i="37"/>
  <c r="X204" i="37"/>
  <c r="DA204" i="37" s="1"/>
  <c r="W204" i="37"/>
  <c r="CZ204" i="37" s="1"/>
  <c r="U204" i="37"/>
  <c r="Y204" i="37" s="1"/>
  <c r="DB204" i="37" s="1"/>
  <c r="T204" i="37"/>
  <c r="S204" i="37"/>
  <c r="X203" i="37"/>
  <c r="DA203" i="37" s="1"/>
  <c r="W203" i="37"/>
  <c r="CZ203" i="37" s="1"/>
  <c r="U203" i="37"/>
  <c r="Y203" i="37" s="1"/>
  <c r="DB203" i="37" s="1"/>
  <c r="T203" i="37"/>
  <c r="S203" i="37"/>
  <c r="X202" i="37"/>
  <c r="DA202" i="37" s="1"/>
  <c r="W202" i="37"/>
  <c r="CZ202" i="37" s="1"/>
  <c r="U202" i="37"/>
  <c r="Y202" i="37" s="1"/>
  <c r="DB202" i="37" s="1"/>
  <c r="T202" i="37"/>
  <c r="S202" i="37"/>
  <c r="X201" i="37"/>
  <c r="DA201" i="37" s="1"/>
  <c r="W201" i="37"/>
  <c r="CZ201" i="37" s="1"/>
  <c r="U201" i="37"/>
  <c r="Y201" i="37" s="1"/>
  <c r="DB201" i="37" s="1"/>
  <c r="T201" i="37"/>
  <c r="S201" i="37"/>
  <c r="X200" i="37"/>
  <c r="DA200" i="37" s="1"/>
  <c r="W200" i="37"/>
  <c r="CZ200" i="37" s="1"/>
  <c r="U200" i="37"/>
  <c r="Y200" i="37" s="1"/>
  <c r="DB200" i="37" s="1"/>
  <c r="T200" i="37"/>
  <c r="S200" i="37"/>
  <c r="X199" i="37"/>
  <c r="DA199" i="37" s="1"/>
  <c r="W199" i="37"/>
  <c r="CZ199" i="37" s="1"/>
  <c r="U199" i="37"/>
  <c r="Y199" i="37" s="1"/>
  <c r="DB199" i="37" s="1"/>
  <c r="T199" i="37"/>
  <c r="S199" i="37"/>
  <c r="X198" i="37"/>
  <c r="DA198" i="37" s="1"/>
  <c r="W198" i="37"/>
  <c r="CZ198" i="37" s="1"/>
  <c r="U198" i="37"/>
  <c r="Y198" i="37" s="1"/>
  <c r="DB198" i="37" s="1"/>
  <c r="T198" i="37"/>
  <c r="S198" i="37"/>
  <c r="X197" i="37"/>
  <c r="DA197" i="37" s="1"/>
  <c r="W197" i="37"/>
  <c r="CZ197" i="37" s="1"/>
  <c r="U197" i="37"/>
  <c r="Y197" i="37" s="1"/>
  <c r="DB197" i="37" s="1"/>
  <c r="T197" i="37"/>
  <c r="S197" i="37"/>
  <c r="X196" i="37"/>
  <c r="DA196" i="37" s="1"/>
  <c r="W196" i="37"/>
  <c r="CZ196" i="37" s="1"/>
  <c r="U196" i="37"/>
  <c r="Y196" i="37" s="1"/>
  <c r="DB196" i="37" s="1"/>
  <c r="T196" i="37"/>
  <c r="S196" i="37"/>
  <c r="U195" i="37"/>
  <c r="X195" i="37" s="1"/>
  <c r="T195" i="37"/>
  <c r="S195" i="37"/>
  <c r="U194" i="37"/>
  <c r="X194" i="37" s="1"/>
  <c r="T194" i="37"/>
  <c r="S194" i="37"/>
  <c r="U193" i="37"/>
  <c r="X193" i="37" s="1"/>
  <c r="T193" i="37"/>
  <c r="S193" i="37"/>
  <c r="U192" i="37"/>
  <c r="X192" i="37" s="1"/>
  <c r="T192" i="37"/>
  <c r="S192" i="37"/>
  <c r="U191" i="37"/>
  <c r="X191" i="37" s="1"/>
  <c r="T191" i="37"/>
  <c r="S191" i="37"/>
  <c r="U190" i="37"/>
  <c r="X190" i="37" s="1"/>
  <c r="T190" i="37"/>
  <c r="S190" i="37"/>
  <c r="U189" i="37"/>
  <c r="X189" i="37" s="1"/>
  <c r="T189" i="37"/>
  <c r="S189" i="37"/>
  <c r="A189" i="37"/>
  <c r="X188" i="37"/>
  <c r="W188" i="37" s="1"/>
  <c r="CZ188" i="37" s="1"/>
  <c r="U188" i="37"/>
  <c r="Y188" i="37" s="1"/>
  <c r="DB188" i="37" s="1"/>
  <c r="T188" i="37"/>
  <c r="S188" i="37"/>
  <c r="A188" i="37"/>
  <c r="T187" i="37"/>
  <c r="U187" i="37" s="1"/>
  <c r="S187" i="37"/>
  <c r="A187" i="37"/>
  <c r="U186" i="37"/>
  <c r="T186" i="37"/>
  <c r="S186" i="37"/>
  <c r="A186" i="37"/>
  <c r="U185" i="37"/>
  <c r="X185" i="37" s="1"/>
  <c r="T185" i="37"/>
  <c r="S185" i="37"/>
  <c r="U184" i="37"/>
  <c r="X184" i="37" s="1"/>
  <c r="T184" i="37"/>
  <c r="S184" i="37"/>
  <c r="U183" i="37"/>
  <c r="X183" i="37" s="1"/>
  <c r="T183" i="37"/>
  <c r="S183" i="37"/>
  <c r="U182" i="37"/>
  <c r="X182" i="37" s="1"/>
  <c r="T182" i="37"/>
  <c r="S182" i="37"/>
  <c r="U181" i="37"/>
  <c r="T181" i="37"/>
  <c r="S181" i="37"/>
  <c r="T180" i="37"/>
  <c r="U180" i="37" s="1"/>
  <c r="S180" i="37"/>
  <c r="X179" i="37"/>
  <c r="W179" i="37" s="1"/>
  <c r="CZ179" i="37" s="1"/>
  <c r="U179" i="37"/>
  <c r="Y179" i="37" s="1"/>
  <c r="DB179" i="37" s="1"/>
  <c r="T179" i="37"/>
  <c r="S179" i="37"/>
  <c r="X178" i="37"/>
  <c r="W178" i="37" s="1"/>
  <c r="CZ178" i="37" s="1"/>
  <c r="U178" i="37"/>
  <c r="Y178" i="37" s="1"/>
  <c r="DB178" i="37" s="1"/>
  <c r="T178" i="37"/>
  <c r="S178" i="37"/>
  <c r="X177" i="37"/>
  <c r="DA177" i="37" s="1"/>
  <c r="U177" i="37"/>
  <c r="Y177" i="37" s="1"/>
  <c r="DB177" i="37" s="1"/>
  <c r="T177" i="37"/>
  <c r="S177" i="37"/>
  <c r="T176" i="37"/>
  <c r="U176" i="37" s="1"/>
  <c r="S176" i="37"/>
  <c r="U175" i="37"/>
  <c r="T175" i="37"/>
  <c r="S175" i="37"/>
  <c r="T174" i="37"/>
  <c r="U174" i="37" s="1"/>
  <c r="S174" i="37"/>
  <c r="U173" i="37"/>
  <c r="X173" i="37" s="1"/>
  <c r="T173" i="37"/>
  <c r="S173" i="37"/>
  <c r="U172" i="37"/>
  <c r="X172" i="37" s="1"/>
  <c r="T172" i="37"/>
  <c r="S172" i="37"/>
  <c r="U171" i="37"/>
  <c r="X171" i="37" s="1"/>
  <c r="T171" i="37"/>
  <c r="S171" i="37"/>
  <c r="CQ170" i="37"/>
  <c r="CH170" i="37"/>
  <c r="BZ170" i="37"/>
  <c r="BS170" i="37"/>
  <c r="X170" i="37"/>
  <c r="DA170" i="37" s="1"/>
  <c r="U170" i="37"/>
  <c r="Y170" i="37" s="1"/>
  <c r="DB170" i="37" s="1"/>
  <c r="T170" i="37"/>
  <c r="S170" i="37"/>
  <c r="EA169" i="37"/>
  <c r="M169" i="37"/>
  <c r="L169" i="37"/>
  <c r="K169" i="37"/>
  <c r="J169" i="37"/>
  <c r="I169" i="37"/>
  <c r="H169" i="37"/>
  <c r="G169" i="37"/>
  <c r="F169" i="37"/>
  <c r="E169" i="37"/>
  <c r="D169" i="37"/>
  <c r="C169" i="37"/>
  <c r="EA168" i="37"/>
  <c r="EC180" i="37" s="1"/>
  <c r="L168" i="37"/>
  <c r="I168" i="37"/>
  <c r="F168" i="37"/>
  <c r="C168" i="37"/>
  <c r="X154" i="37"/>
  <c r="DA154" i="37" s="1"/>
  <c r="U154" i="37"/>
  <c r="Y154" i="37" s="1"/>
  <c r="DB154" i="37" s="1"/>
  <c r="T154" i="37"/>
  <c r="S154" i="37"/>
  <c r="T153" i="37"/>
  <c r="U153" i="37" s="1"/>
  <c r="S153" i="37"/>
  <c r="U152" i="37"/>
  <c r="T152" i="37"/>
  <c r="S152" i="37"/>
  <c r="U151" i="37"/>
  <c r="T151" i="37"/>
  <c r="S151" i="37"/>
  <c r="U150" i="37"/>
  <c r="T150" i="37"/>
  <c r="S150" i="37"/>
  <c r="U149" i="37"/>
  <c r="T149" i="37"/>
  <c r="S149" i="37"/>
  <c r="U148" i="37"/>
  <c r="T148" i="37"/>
  <c r="S148" i="37"/>
  <c r="U147" i="37"/>
  <c r="T147" i="37"/>
  <c r="S147" i="37"/>
  <c r="U146" i="37"/>
  <c r="T146" i="37"/>
  <c r="S146" i="37"/>
  <c r="U145" i="37"/>
  <c r="T145" i="37"/>
  <c r="S145" i="37"/>
  <c r="U144" i="37"/>
  <c r="T144" i="37"/>
  <c r="S144" i="37"/>
  <c r="U143" i="37"/>
  <c r="T143" i="37"/>
  <c r="S143" i="37"/>
  <c r="U142" i="37"/>
  <c r="T142" i="37"/>
  <c r="S142" i="37"/>
  <c r="U141" i="37"/>
  <c r="T141" i="37"/>
  <c r="S141" i="37"/>
  <c r="U140" i="37"/>
  <c r="T140" i="37"/>
  <c r="S140" i="37"/>
  <c r="U139" i="37"/>
  <c r="T139" i="37"/>
  <c r="S139" i="37"/>
  <c r="U138" i="37"/>
  <c r="T138" i="37"/>
  <c r="S138" i="37"/>
  <c r="U137" i="37"/>
  <c r="T137" i="37"/>
  <c r="S137" i="37"/>
  <c r="U136" i="37"/>
  <c r="T136" i="37"/>
  <c r="S136" i="37"/>
  <c r="U135" i="37"/>
  <c r="T135" i="37"/>
  <c r="S135" i="37"/>
  <c r="U134" i="37"/>
  <c r="T134" i="37"/>
  <c r="S134" i="37"/>
  <c r="U133" i="37"/>
  <c r="T133" i="37"/>
  <c r="S133" i="37"/>
  <c r="T132" i="37"/>
  <c r="U132" i="37" s="1"/>
  <c r="S132" i="37"/>
  <c r="U131" i="37"/>
  <c r="T131" i="37"/>
  <c r="S131" i="37"/>
  <c r="U130" i="37"/>
  <c r="T130" i="37"/>
  <c r="S130" i="37"/>
  <c r="T129" i="37"/>
  <c r="U129" i="37" s="1"/>
  <c r="S129" i="37"/>
  <c r="T128" i="37"/>
  <c r="U128" i="37" s="1"/>
  <c r="S128" i="37"/>
  <c r="U127" i="37"/>
  <c r="T127" i="37"/>
  <c r="S127" i="37"/>
  <c r="U126" i="37"/>
  <c r="T126" i="37"/>
  <c r="S126" i="37"/>
  <c r="T125" i="37"/>
  <c r="U125" i="37" s="1"/>
  <c r="S125" i="37"/>
  <c r="A125" i="37"/>
  <c r="U124" i="37"/>
  <c r="T124" i="37"/>
  <c r="S124" i="37"/>
  <c r="A124" i="37"/>
  <c r="X123" i="37"/>
  <c r="DA123" i="37" s="1"/>
  <c r="U123" i="37"/>
  <c r="T123" i="37"/>
  <c r="S123" i="37"/>
  <c r="A123" i="37"/>
  <c r="T122" i="37"/>
  <c r="U122" i="37" s="1"/>
  <c r="S122" i="37"/>
  <c r="A122" i="37"/>
  <c r="T121" i="37"/>
  <c r="U121" i="37" s="1"/>
  <c r="S121" i="37"/>
  <c r="T120" i="37"/>
  <c r="U120" i="37" s="1"/>
  <c r="S120" i="37"/>
  <c r="T119" i="37"/>
  <c r="U119" i="37" s="1"/>
  <c r="S119" i="37"/>
  <c r="T118" i="37"/>
  <c r="U118" i="37" s="1"/>
  <c r="S118" i="37"/>
  <c r="T117" i="37"/>
  <c r="U117" i="37" s="1"/>
  <c r="S117" i="37"/>
  <c r="X116" i="37"/>
  <c r="DA116" i="37" s="1"/>
  <c r="W116" i="37"/>
  <c r="CZ116" i="37" s="1"/>
  <c r="U116" i="37"/>
  <c r="Y116" i="37" s="1"/>
  <c r="DB116" i="37" s="1"/>
  <c r="T116" i="37"/>
  <c r="S116" i="37"/>
  <c r="U115" i="37"/>
  <c r="T115" i="37"/>
  <c r="S115" i="37"/>
  <c r="U114" i="37"/>
  <c r="T114" i="37"/>
  <c r="S114" i="37"/>
  <c r="U113" i="37"/>
  <c r="T113" i="37"/>
  <c r="S113" i="37"/>
  <c r="X112" i="37"/>
  <c r="DA112" i="37" s="1"/>
  <c r="W112" i="37"/>
  <c r="CZ112" i="37" s="1"/>
  <c r="U112" i="37"/>
  <c r="Y112" i="37" s="1"/>
  <c r="DB112" i="37" s="1"/>
  <c r="T112" i="37"/>
  <c r="S112" i="37"/>
  <c r="T111" i="37"/>
  <c r="U111" i="37" s="1"/>
  <c r="S111" i="37"/>
  <c r="T110" i="37"/>
  <c r="U110" i="37" s="1"/>
  <c r="S110" i="37"/>
  <c r="T109" i="37"/>
  <c r="U109" i="37" s="1"/>
  <c r="S109" i="37"/>
  <c r="T108" i="37"/>
  <c r="U108" i="37" s="1"/>
  <c r="S108" i="37"/>
  <c r="T107" i="37"/>
  <c r="U107" i="37" s="1"/>
  <c r="S107" i="37"/>
  <c r="CQ106" i="37"/>
  <c r="CH106" i="37"/>
  <c r="BZ106" i="37"/>
  <c r="BS106" i="37"/>
  <c r="U106" i="37"/>
  <c r="T106" i="37"/>
  <c r="S106" i="37"/>
  <c r="EA105" i="37"/>
  <c r="M105" i="37"/>
  <c r="L105" i="37"/>
  <c r="K105" i="37"/>
  <c r="J105" i="37"/>
  <c r="I105" i="37"/>
  <c r="H105" i="37"/>
  <c r="G105" i="37"/>
  <c r="F105" i="37"/>
  <c r="E105" i="37"/>
  <c r="D105" i="37"/>
  <c r="C105" i="37"/>
  <c r="EA104" i="37"/>
  <c r="EB117" i="37" s="1"/>
  <c r="L104" i="37"/>
  <c r="I104" i="37"/>
  <c r="F104" i="37"/>
  <c r="C104" i="37"/>
  <c r="Q94" i="37"/>
  <c r="T94" i="37" s="1"/>
  <c r="U94" i="37" s="1"/>
  <c r="Q93" i="37"/>
  <c r="T93" i="37" s="1"/>
  <c r="U93" i="37" s="1"/>
  <c r="Q92" i="37"/>
  <c r="T92" i="37" s="1"/>
  <c r="U92" i="37" s="1"/>
  <c r="Q91" i="37"/>
  <c r="S91" i="37" s="1"/>
  <c r="T90" i="37"/>
  <c r="U90" i="37" s="1"/>
  <c r="S90" i="37"/>
  <c r="Q90" i="37"/>
  <c r="T89" i="37"/>
  <c r="U89" i="37" s="1"/>
  <c r="S89" i="37"/>
  <c r="Q89" i="37"/>
  <c r="Q88" i="37"/>
  <c r="T88" i="37" s="1"/>
  <c r="U88" i="37" s="1"/>
  <c r="Q87" i="37"/>
  <c r="S87" i="37" s="1"/>
  <c r="T86" i="37"/>
  <c r="U86" i="37" s="1"/>
  <c r="S86" i="37"/>
  <c r="Q86" i="37"/>
  <c r="T85" i="37"/>
  <c r="U85" i="37" s="1"/>
  <c r="S85" i="37"/>
  <c r="Q85" i="37"/>
  <c r="Q84" i="37"/>
  <c r="T84" i="37" s="1"/>
  <c r="U84" i="37" s="1"/>
  <c r="Q83" i="37"/>
  <c r="S83" i="37" s="1"/>
  <c r="T82" i="37"/>
  <c r="U82" i="37" s="1"/>
  <c r="S82" i="37"/>
  <c r="Q82" i="37"/>
  <c r="T81" i="37"/>
  <c r="U81" i="37" s="1"/>
  <c r="S81" i="37"/>
  <c r="Q81" i="37"/>
  <c r="Q80" i="37"/>
  <c r="T80" i="37" s="1"/>
  <c r="U80" i="37" s="1"/>
  <c r="Q79" i="37"/>
  <c r="S79" i="37" s="1"/>
  <c r="T78" i="37"/>
  <c r="U78" i="37" s="1"/>
  <c r="S78" i="37"/>
  <c r="Q78" i="37"/>
  <c r="T77" i="37"/>
  <c r="U77" i="37" s="1"/>
  <c r="S77" i="37"/>
  <c r="Q77" i="37"/>
  <c r="Q76" i="37"/>
  <c r="T76" i="37" s="1"/>
  <c r="U76" i="37" s="1"/>
  <c r="Q75" i="37"/>
  <c r="S75" i="37" s="1"/>
  <c r="T74" i="37"/>
  <c r="U74" i="37" s="1"/>
  <c r="S74" i="37"/>
  <c r="Q74" i="37"/>
  <c r="T73" i="37"/>
  <c r="U73" i="37" s="1"/>
  <c r="S73" i="37"/>
  <c r="Q73" i="37"/>
  <c r="Q72" i="37"/>
  <c r="T72" i="37" s="1"/>
  <c r="U72" i="37" s="1"/>
  <c r="Q71" i="37"/>
  <c r="S71" i="37" s="1"/>
  <c r="T70" i="37"/>
  <c r="U70" i="37" s="1"/>
  <c r="S70" i="37"/>
  <c r="Q70" i="37"/>
  <c r="T69" i="37"/>
  <c r="U69" i="37" s="1"/>
  <c r="S69" i="37"/>
  <c r="Q69" i="37"/>
  <c r="Q68" i="37"/>
  <c r="T68" i="37" s="1"/>
  <c r="U68" i="37" s="1"/>
  <c r="Q67" i="37"/>
  <c r="S67" i="37" s="1"/>
  <c r="T66" i="37"/>
  <c r="U66" i="37" s="1"/>
  <c r="S66" i="37"/>
  <c r="Q66" i="37"/>
  <c r="T65" i="37"/>
  <c r="U65" i="37" s="1"/>
  <c r="S65" i="37"/>
  <c r="Q65" i="37"/>
  <c r="Q64" i="37"/>
  <c r="T64" i="37" s="1"/>
  <c r="U64" i="37" s="1"/>
  <c r="Q63" i="37"/>
  <c r="S63" i="37" s="1"/>
  <c r="T62" i="37"/>
  <c r="U62" i="37" s="1"/>
  <c r="S62" i="37"/>
  <c r="Q62" i="37"/>
  <c r="T61" i="37"/>
  <c r="U61" i="37" s="1"/>
  <c r="S61" i="37"/>
  <c r="Q61" i="37"/>
  <c r="Q60" i="37"/>
  <c r="T60" i="37" s="1"/>
  <c r="U60" i="37" s="1"/>
  <c r="Q59" i="37"/>
  <c r="S59" i="37" s="1"/>
  <c r="T58" i="37"/>
  <c r="U58" i="37" s="1"/>
  <c r="S58" i="37"/>
  <c r="Q58" i="37"/>
  <c r="T57" i="37"/>
  <c r="U57" i="37" s="1"/>
  <c r="S57" i="37"/>
  <c r="Q57" i="37"/>
  <c r="T56" i="37"/>
  <c r="U56" i="37" s="1"/>
  <c r="S56" i="37"/>
  <c r="Q56" i="37"/>
  <c r="T55" i="37"/>
  <c r="U55" i="37" s="1"/>
  <c r="S55" i="37"/>
  <c r="Q55" i="37"/>
  <c r="T54" i="37"/>
  <c r="U54" i="37" s="1"/>
  <c r="S54" i="37"/>
  <c r="Q54" i="37"/>
  <c r="Q53" i="37"/>
  <c r="T53" i="37" s="1"/>
  <c r="U53" i="37" s="1"/>
  <c r="Q52" i="37"/>
  <c r="S52" i="37" s="1"/>
  <c r="T51" i="37"/>
  <c r="U51" i="37" s="1"/>
  <c r="S51" i="37"/>
  <c r="Q51" i="37"/>
  <c r="Q50" i="37"/>
  <c r="S50" i="37" s="1"/>
  <c r="T49" i="37"/>
  <c r="U49" i="37" s="1"/>
  <c r="Q49" i="37"/>
  <c r="S49" i="37" s="1"/>
  <c r="Q48" i="37"/>
  <c r="T48" i="37" s="1"/>
  <c r="U48" i="37" s="1"/>
  <c r="DF47" i="37"/>
  <c r="X47" i="37"/>
  <c r="DA47" i="37" s="1"/>
  <c r="DE47" i="37" s="1"/>
  <c r="W47" i="37"/>
  <c r="CZ47" i="37" s="1"/>
  <c r="U47" i="37"/>
  <c r="Y47" i="37" s="1"/>
  <c r="DB47" i="37" s="1"/>
  <c r="T47" i="37"/>
  <c r="S47" i="37"/>
  <c r="CQ46" i="37"/>
  <c r="CH46" i="37"/>
  <c r="BZ46" i="37"/>
  <c r="BS46" i="37"/>
  <c r="T46" i="37"/>
  <c r="U46" i="37" s="1"/>
  <c r="X46" i="37" s="1"/>
  <c r="DA46" i="37" s="1"/>
  <c r="S46" i="37"/>
  <c r="M45" i="37"/>
  <c r="L45" i="37"/>
  <c r="K45" i="37"/>
  <c r="J45" i="37"/>
  <c r="I45" i="37"/>
  <c r="H45" i="37"/>
  <c r="G45" i="37"/>
  <c r="F45" i="37"/>
  <c r="E45" i="37"/>
  <c r="D45" i="37"/>
  <c r="C45" i="37"/>
  <c r="L44" i="37"/>
  <c r="I44" i="37"/>
  <c r="F44" i="37"/>
  <c r="C44" i="37"/>
  <c r="A38" i="37"/>
  <c r="D17" i="37"/>
  <c r="V5" i="37"/>
  <c r="EA45" i="37" s="1"/>
  <c r="V4" i="37"/>
  <c r="A1" i="37"/>
  <c r="A6" i="37" s="1"/>
  <c r="AY44" i="35"/>
  <c r="A11" i="37" l="1"/>
  <c r="A7" i="37"/>
  <c r="A4" i="37"/>
  <c r="A10" i="37"/>
  <c r="DG47" i="37"/>
  <c r="DH47" i="37"/>
  <c r="DE46" i="37"/>
  <c r="DF46" i="37"/>
  <c r="X48" i="37"/>
  <c r="DA48" i="37" s="1"/>
  <c r="X53" i="37"/>
  <c r="DA53" i="37" s="1"/>
  <c r="X57" i="37"/>
  <c r="DA57" i="37" s="1"/>
  <c r="X61" i="37"/>
  <c r="DA61" i="37" s="1"/>
  <c r="X65" i="37"/>
  <c r="DA65" i="37" s="1"/>
  <c r="W65" i="37"/>
  <c r="CZ65" i="37" s="1"/>
  <c r="Y69" i="37"/>
  <c r="DB69" i="37" s="1"/>
  <c r="X69" i="37"/>
  <c r="DA69" i="37" s="1"/>
  <c r="W69" i="37"/>
  <c r="CZ69" i="37" s="1"/>
  <c r="X73" i="37"/>
  <c r="DA73" i="37" s="1"/>
  <c r="X77" i="37"/>
  <c r="DA77" i="37" s="1"/>
  <c r="X81" i="37"/>
  <c r="DA81" i="37" s="1"/>
  <c r="W81" i="37"/>
  <c r="CZ81" i="37" s="1"/>
  <c r="Y85" i="37"/>
  <c r="DB85" i="37" s="1"/>
  <c r="X85" i="37"/>
  <c r="DA85" i="37" s="1"/>
  <c r="W85" i="37"/>
  <c r="CZ85" i="37" s="1"/>
  <c r="X89" i="37"/>
  <c r="DA89" i="37" s="1"/>
  <c r="DG112" i="37"/>
  <c r="DH112" i="37"/>
  <c r="DF116" i="37"/>
  <c r="DE116" i="37"/>
  <c r="Y118" i="37"/>
  <c r="DB118" i="37" s="1"/>
  <c r="X118" i="37"/>
  <c r="DA118" i="37" s="1"/>
  <c r="W118" i="37"/>
  <c r="CZ118" i="37" s="1"/>
  <c r="X120" i="37"/>
  <c r="DA120" i="37" s="1"/>
  <c r="DC47" i="37"/>
  <c r="DD47" i="37"/>
  <c r="X56" i="37"/>
  <c r="DA56" i="37" s="1"/>
  <c r="X60" i="37"/>
  <c r="DA60" i="37" s="1"/>
  <c r="Y64" i="37"/>
  <c r="DB64" i="37" s="1"/>
  <c r="X64" i="37"/>
  <c r="DA64" i="37" s="1"/>
  <c r="W68" i="37"/>
  <c r="CZ68" i="37" s="1"/>
  <c r="X68" i="37"/>
  <c r="DA68" i="37" s="1"/>
  <c r="Y72" i="37"/>
  <c r="DB72" i="37" s="1"/>
  <c r="X72" i="37"/>
  <c r="DA72" i="37" s="1"/>
  <c r="X76" i="37"/>
  <c r="DA76" i="37" s="1"/>
  <c r="Y80" i="37"/>
  <c r="DB80" i="37" s="1"/>
  <c r="X80" i="37"/>
  <c r="DA80" i="37" s="1"/>
  <c r="W84" i="37"/>
  <c r="CZ84" i="37" s="1"/>
  <c r="X84" i="37"/>
  <c r="DA84" i="37" s="1"/>
  <c r="Y88" i="37"/>
  <c r="DB88" i="37" s="1"/>
  <c r="X88" i="37"/>
  <c r="DA88" i="37" s="1"/>
  <c r="X92" i="37"/>
  <c r="DA92" i="37" s="1"/>
  <c r="Y107" i="37"/>
  <c r="DB107" i="37" s="1"/>
  <c r="X107" i="37"/>
  <c r="DA107" i="37" s="1"/>
  <c r="W107" i="37"/>
  <c r="CZ107" i="37" s="1"/>
  <c r="X109" i="37"/>
  <c r="DA109" i="37" s="1"/>
  <c r="Y111" i="37"/>
  <c r="DB111" i="37" s="1"/>
  <c r="X111" i="37"/>
  <c r="DA111" i="37" s="1"/>
  <c r="W111" i="37"/>
  <c r="CZ111" i="37" s="1"/>
  <c r="DC112" i="37"/>
  <c r="DD112" i="37"/>
  <c r="Y122" i="37"/>
  <c r="DB122" i="37" s="1"/>
  <c r="X122" i="37"/>
  <c r="DA122" i="37" s="1"/>
  <c r="W122" i="37"/>
  <c r="CZ122" i="37" s="1"/>
  <c r="X125" i="37"/>
  <c r="DA125" i="37" s="1"/>
  <c r="W128" i="37"/>
  <c r="CZ128" i="37" s="1"/>
  <c r="X128" i="37"/>
  <c r="DA128" i="37" s="1"/>
  <c r="Y128" i="37"/>
  <c r="DB128" i="37" s="1"/>
  <c r="EB56" i="37"/>
  <c r="EB55" i="37"/>
  <c r="EB54" i="37"/>
  <c r="EA56" i="37"/>
  <c r="EA55" i="37"/>
  <c r="EA54" i="37"/>
  <c r="EA44" i="37"/>
  <c r="Y49" i="37"/>
  <c r="DB49" i="37" s="1"/>
  <c r="X49" i="37"/>
  <c r="DA49" i="37" s="1"/>
  <c r="W49" i="37"/>
  <c r="CZ49" i="37" s="1"/>
  <c r="X51" i="37"/>
  <c r="DA51" i="37" s="1"/>
  <c r="Y55" i="37"/>
  <c r="DB55" i="37" s="1"/>
  <c r="X55" i="37"/>
  <c r="DA55" i="37" s="1"/>
  <c r="W55" i="37"/>
  <c r="CZ55" i="37" s="1"/>
  <c r="X93" i="37"/>
  <c r="DA93" i="37" s="1"/>
  <c r="DF112" i="37"/>
  <c r="DE112" i="37"/>
  <c r="DG116" i="37"/>
  <c r="DH116" i="37"/>
  <c r="Y117" i="37"/>
  <c r="DB117" i="37" s="1"/>
  <c r="X117" i="37"/>
  <c r="DA117" i="37" s="1"/>
  <c r="W117" i="37"/>
  <c r="CZ117" i="37" s="1"/>
  <c r="X119" i="37"/>
  <c r="DA119" i="37" s="1"/>
  <c r="X121" i="37"/>
  <c r="DA121" i="37" s="1"/>
  <c r="W121" i="37"/>
  <c r="CZ121" i="37" s="1"/>
  <c r="DF123" i="37"/>
  <c r="DE123" i="37"/>
  <c r="W46" i="37"/>
  <c r="CZ46" i="37" s="1"/>
  <c r="Y46" i="37"/>
  <c r="DB46" i="37" s="1"/>
  <c r="X54" i="37"/>
  <c r="DA54" i="37" s="1"/>
  <c r="Y58" i="37"/>
  <c r="DB58" i="37" s="1"/>
  <c r="X58" i="37"/>
  <c r="DA58" i="37" s="1"/>
  <c r="W58" i="37"/>
  <c r="CZ58" i="37" s="1"/>
  <c r="X62" i="37"/>
  <c r="DA62" i="37" s="1"/>
  <c r="X66" i="37"/>
  <c r="DA66" i="37" s="1"/>
  <c r="W66" i="37"/>
  <c r="CZ66" i="37" s="1"/>
  <c r="X70" i="37"/>
  <c r="DA70" i="37" s="1"/>
  <c r="Y74" i="37"/>
  <c r="DB74" i="37" s="1"/>
  <c r="X74" i="37"/>
  <c r="DA74" i="37" s="1"/>
  <c r="W74" i="37"/>
  <c r="CZ74" i="37" s="1"/>
  <c r="X78" i="37"/>
  <c r="DA78" i="37" s="1"/>
  <c r="X82" i="37"/>
  <c r="DA82" i="37" s="1"/>
  <c r="W82" i="37"/>
  <c r="CZ82" i="37" s="1"/>
  <c r="X86" i="37"/>
  <c r="DA86" i="37" s="1"/>
  <c r="Y90" i="37"/>
  <c r="DB90" i="37" s="1"/>
  <c r="X90" i="37"/>
  <c r="DA90" i="37" s="1"/>
  <c r="W90" i="37"/>
  <c r="CZ90" i="37" s="1"/>
  <c r="W94" i="37"/>
  <c r="CZ94" i="37" s="1"/>
  <c r="Y94" i="37"/>
  <c r="DB94" i="37" s="1"/>
  <c r="X94" i="37"/>
  <c r="DA94" i="37" s="1"/>
  <c r="Y108" i="37"/>
  <c r="DB108" i="37" s="1"/>
  <c r="X108" i="37"/>
  <c r="DA108" i="37" s="1"/>
  <c r="W108" i="37"/>
  <c r="CZ108" i="37" s="1"/>
  <c r="X110" i="37"/>
  <c r="DA110" i="37" s="1"/>
  <c r="DC116" i="37"/>
  <c r="DD116" i="37"/>
  <c r="X129" i="37"/>
  <c r="DA129" i="37" s="1"/>
  <c r="W132" i="37"/>
  <c r="CZ132" i="37" s="1"/>
  <c r="X132" i="37"/>
  <c r="DA132" i="37" s="1"/>
  <c r="Y132" i="37"/>
  <c r="DB132" i="37" s="1"/>
  <c r="A666" i="37"/>
  <c r="A601" i="37"/>
  <c r="A537" i="37"/>
  <c r="A473" i="37"/>
  <c r="A410" i="37"/>
  <c r="A347" i="37"/>
  <c r="A284" i="37"/>
  <c r="A221" i="37"/>
  <c r="A157" i="37"/>
  <c r="A5" i="37"/>
  <c r="A8" i="37"/>
  <c r="A12" i="37"/>
  <c r="S48" i="37"/>
  <c r="T50" i="37"/>
  <c r="U50" i="37" s="1"/>
  <c r="T52" i="37"/>
  <c r="U52" i="37" s="1"/>
  <c r="S53" i="37"/>
  <c r="T59" i="37"/>
  <c r="U59" i="37" s="1"/>
  <c r="S60" i="37"/>
  <c r="T63" i="37"/>
  <c r="U63" i="37" s="1"/>
  <c r="S64" i="37"/>
  <c r="T67" i="37"/>
  <c r="U67" i="37" s="1"/>
  <c r="S68" i="37"/>
  <c r="T71" i="37"/>
  <c r="U71" i="37" s="1"/>
  <c r="S72" i="37"/>
  <c r="T75" i="37"/>
  <c r="U75" i="37" s="1"/>
  <c r="S76" i="37"/>
  <c r="T79" i="37"/>
  <c r="U79" i="37" s="1"/>
  <c r="S80" i="37"/>
  <c r="T83" i="37"/>
  <c r="U83" i="37" s="1"/>
  <c r="S84" i="37"/>
  <c r="T87" i="37"/>
  <c r="U87" i="37" s="1"/>
  <c r="S88" i="37"/>
  <c r="T91" i="37"/>
  <c r="U91" i="37" s="1"/>
  <c r="S92" i="37"/>
  <c r="S93" i="37"/>
  <c r="S94" i="37"/>
  <c r="X106" i="37"/>
  <c r="DA106" i="37" s="1"/>
  <c r="X113" i="37"/>
  <c r="DA113" i="37" s="1"/>
  <c r="X114" i="37"/>
  <c r="DA114" i="37" s="1"/>
  <c r="X115" i="37"/>
  <c r="DA115" i="37" s="1"/>
  <c r="EA115" i="37"/>
  <c r="EB116" i="37"/>
  <c r="EC117" i="37"/>
  <c r="Y123" i="37"/>
  <c r="DB123" i="37" s="1"/>
  <c r="DH154" i="37"/>
  <c r="DG154" i="37"/>
  <c r="W172" i="37"/>
  <c r="CZ172" i="37" s="1"/>
  <c r="DA172" i="37"/>
  <c r="X180" i="37"/>
  <c r="DA180" i="37" s="1"/>
  <c r="W184" i="37"/>
  <c r="CZ184" i="37" s="1"/>
  <c r="DA184" i="37"/>
  <c r="W192" i="37"/>
  <c r="CZ192" i="37" s="1"/>
  <c r="DA192" i="37"/>
  <c r="DG196" i="37"/>
  <c r="DH196" i="37"/>
  <c r="DF198" i="37"/>
  <c r="DE198" i="37"/>
  <c r="DC199" i="37"/>
  <c r="DD199" i="37"/>
  <c r="DG200" i="37"/>
  <c r="DH200" i="37"/>
  <c r="DF202" i="37"/>
  <c r="DE202" i="37"/>
  <c r="DC203" i="37"/>
  <c r="DD203" i="37"/>
  <c r="DG204" i="37"/>
  <c r="DH204" i="37"/>
  <c r="X237" i="37"/>
  <c r="DA237" i="37" s="1"/>
  <c r="W237" i="37"/>
  <c r="CZ237" i="37" s="1"/>
  <c r="A3" i="37"/>
  <c r="A9" i="37"/>
  <c r="A13" i="37"/>
  <c r="A97" i="37"/>
  <c r="Y106" i="37"/>
  <c r="DB106" i="37" s="1"/>
  <c r="EE110" i="37"/>
  <c r="Y113" i="37"/>
  <c r="DB113" i="37" s="1"/>
  <c r="Y114" i="37"/>
  <c r="DB114" i="37" s="1"/>
  <c r="Y115" i="37"/>
  <c r="DB115" i="37" s="1"/>
  <c r="EB115" i="37"/>
  <c r="EC116" i="37"/>
  <c r="W123" i="37"/>
  <c r="CZ123" i="37" s="1"/>
  <c r="X124" i="37"/>
  <c r="X126" i="37"/>
  <c r="X130" i="37"/>
  <c r="X153" i="37"/>
  <c r="DA153" i="37" s="1"/>
  <c r="Y153" i="37"/>
  <c r="DB153" i="37" s="1"/>
  <c r="DF154" i="37"/>
  <c r="DE154" i="37"/>
  <c r="DG170" i="37"/>
  <c r="DH170" i="37"/>
  <c r="W171" i="37"/>
  <c r="CZ171" i="37" s="1"/>
  <c r="DA171" i="37"/>
  <c r="X174" i="37"/>
  <c r="DA174" i="37" s="1"/>
  <c r="DH177" i="37"/>
  <c r="DG177" i="37"/>
  <c r="DH178" i="37"/>
  <c r="DG178" i="37"/>
  <c r="DH179" i="37"/>
  <c r="DG179" i="37"/>
  <c r="W183" i="37"/>
  <c r="CZ183" i="37" s="1"/>
  <c r="DA183" i="37"/>
  <c r="W191" i="37"/>
  <c r="CZ191" i="37" s="1"/>
  <c r="DA191" i="37"/>
  <c r="W195" i="37"/>
  <c r="CZ195" i="37" s="1"/>
  <c r="DA195" i="37"/>
  <c r="DC196" i="37"/>
  <c r="DD196" i="37"/>
  <c r="DG197" i="37"/>
  <c r="DH197" i="37"/>
  <c r="DF199" i="37"/>
  <c r="DE199" i="37"/>
  <c r="DC200" i="37"/>
  <c r="DD200" i="37"/>
  <c r="DG201" i="37"/>
  <c r="DH201" i="37"/>
  <c r="DF203" i="37"/>
  <c r="DE203" i="37"/>
  <c r="DC204" i="37"/>
  <c r="DD204" i="37"/>
  <c r="DE243" i="37"/>
  <c r="DF243" i="37"/>
  <c r="X245" i="37"/>
  <c r="DA245" i="37" s="1"/>
  <c r="EE111" i="37"/>
  <c r="EC115" i="37"/>
  <c r="EA117" i="37"/>
  <c r="X127" i="37"/>
  <c r="DA127" i="37" s="1"/>
  <c r="X131" i="37"/>
  <c r="DA131" i="37" s="1"/>
  <c r="X133" i="37"/>
  <c r="DA133" i="37" s="1"/>
  <c r="X134" i="37"/>
  <c r="DA134" i="37" s="1"/>
  <c r="X135" i="37"/>
  <c r="DA135" i="37" s="1"/>
  <c r="DF170" i="37"/>
  <c r="DE170" i="37"/>
  <c r="X176" i="37"/>
  <c r="DA176" i="37" s="1"/>
  <c r="W176" i="37"/>
  <c r="CZ176" i="37" s="1"/>
  <c r="DF177" i="37"/>
  <c r="DE177" i="37"/>
  <c r="DD178" i="37"/>
  <c r="DC178" i="37"/>
  <c r="DD179" i="37"/>
  <c r="DC179" i="37"/>
  <c r="W182" i="37"/>
  <c r="CZ182" i="37" s="1"/>
  <c r="DA182" i="37"/>
  <c r="Y187" i="37"/>
  <c r="DB187" i="37" s="1"/>
  <c r="X187" i="37"/>
  <c r="DA187" i="37" s="1"/>
  <c r="DH188" i="37"/>
  <c r="DG188" i="37"/>
  <c r="W190" i="37"/>
  <c r="CZ190" i="37" s="1"/>
  <c r="DA190" i="37"/>
  <c r="W194" i="37"/>
  <c r="CZ194" i="37" s="1"/>
  <c r="DA194" i="37"/>
  <c r="DF196" i="37"/>
  <c r="DE196" i="37"/>
  <c r="DC197" i="37"/>
  <c r="DD197" i="37"/>
  <c r="DG198" i="37"/>
  <c r="DH198" i="37"/>
  <c r="DF200" i="37"/>
  <c r="DE200" i="37"/>
  <c r="DC201" i="37"/>
  <c r="DD201" i="37"/>
  <c r="DG202" i="37"/>
  <c r="DH202" i="37"/>
  <c r="DF204" i="37"/>
  <c r="DE204" i="37"/>
  <c r="DH238" i="37"/>
  <c r="DG238" i="37"/>
  <c r="EE112" i="37"/>
  <c r="EA116" i="37"/>
  <c r="Y127" i="37"/>
  <c r="DB127" i="37" s="1"/>
  <c r="Y131" i="37"/>
  <c r="DB131" i="37" s="1"/>
  <c r="W173" i="37"/>
  <c r="CZ173" i="37" s="1"/>
  <c r="DA173" i="37"/>
  <c r="W185" i="37"/>
  <c r="CZ185" i="37" s="1"/>
  <c r="DA185" i="37"/>
  <c r="W186" i="37"/>
  <c r="CZ186" i="37" s="1"/>
  <c r="DD188" i="37"/>
  <c r="DC188" i="37"/>
  <c r="W189" i="37"/>
  <c r="CZ189" i="37" s="1"/>
  <c r="DA189" i="37"/>
  <c r="W193" i="37"/>
  <c r="CZ193" i="37" s="1"/>
  <c r="DA193" i="37"/>
  <c r="DF197" i="37"/>
  <c r="DE197" i="37"/>
  <c r="DC198" i="37"/>
  <c r="DD198" i="37"/>
  <c r="DG199" i="37"/>
  <c r="DH199" i="37"/>
  <c r="DF201" i="37"/>
  <c r="DE201" i="37"/>
  <c r="DC202" i="37"/>
  <c r="DD202" i="37"/>
  <c r="DG203" i="37"/>
  <c r="DH203" i="37"/>
  <c r="Y206" i="37"/>
  <c r="DB206" i="37" s="1"/>
  <c r="X206" i="37"/>
  <c r="DA206" i="37" s="1"/>
  <c r="X235" i="37"/>
  <c r="DA235" i="37" s="1"/>
  <c r="Y235" i="37"/>
  <c r="DB235" i="37" s="1"/>
  <c r="X246" i="37"/>
  <c r="DA246" i="37" s="1"/>
  <c r="X136" i="37"/>
  <c r="DA136" i="37" s="1"/>
  <c r="X137" i="37"/>
  <c r="DA137" i="37" s="1"/>
  <c r="X138" i="37"/>
  <c r="DA138" i="37" s="1"/>
  <c r="X139" i="37"/>
  <c r="DA139" i="37" s="1"/>
  <c r="X140" i="37"/>
  <c r="DA140" i="37" s="1"/>
  <c r="X141" i="37"/>
  <c r="DA141" i="37" s="1"/>
  <c r="X142" i="37"/>
  <c r="DA142" i="37" s="1"/>
  <c r="X143" i="37"/>
  <c r="DA143" i="37" s="1"/>
  <c r="X144" i="37"/>
  <c r="DA144" i="37" s="1"/>
  <c r="X145" i="37"/>
  <c r="DA145" i="37" s="1"/>
  <c r="X146" i="37"/>
  <c r="DA146" i="37" s="1"/>
  <c r="X147" i="37"/>
  <c r="DA147" i="37" s="1"/>
  <c r="X148" i="37"/>
  <c r="DA148" i="37" s="1"/>
  <c r="X149" i="37"/>
  <c r="DA149" i="37" s="1"/>
  <c r="X150" i="37"/>
  <c r="DA150" i="37" s="1"/>
  <c r="X151" i="37"/>
  <c r="DA151" i="37" s="1"/>
  <c r="X152" i="37"/>
  <c r="DA152" i="37" s="1"/>
  <c r="Y171" i="37"/>
  <c r="DB171" i="37" s="1"/>
  <c r="Y172" i="37"/>
  <c r="DB172" i="37" s="1"/>
  <c r="Y173" i="37"/>
  <c r="DB173" i="37" s="1"/>
  <c r="X175" i="37"/>
  <c r="DA175" i="37" s="1"/>
  <c r="EE175" i="37"/>
  <c r="DA178" i="37"/>
  <c r="DA179" i="37"/>
  <c r="EC179" i="37"/>
  <c r="X181" i="37"/>
  <c r="DA181" i="37" s="1"/>
  <c r="EA181" i="37"/>
  <c r="Y182" i="37"/>
  <c r="DB182" i="37" s="1"/>
  <c r="Y183" i="37"/>
  <c r="DB183" i="37" s="1"/>
  <c r="Y184" i="37"/>
  <c r="DB184" i="37" s="1"/>
  <c r="Y185" i="37"/>
  <c r="DB185" i="37" s="1"/>
  <c r="X186" i="37"/>
  <c r="DA186" i="37" s="1"/>
  <c r="DA188" i="37"/>
  <c r="Y189" i="37"/>
  <c r="DB189" i="37" s="1"/>
  <c r="Y190" i="37"/>
  <c r="DB190" i="37" s="1"/>
  <c r="Y191" i="37"/>
  <c r="DB191" i="37" s="1"/>
  <c r="Y192" i="37"/>
  <c r="DB192" i="37" s="1"/>
  <c r="Y193" i="37"/>
  <c r="DB193" i="37" s="1"/>
  <c r="Y194" i="37"/>
  <c r="DB194" i="37" s="1"/>
  <c r="Y195" i="37"/>
  <c r="DB195" i="37" s="1"/>
  <c r="X234" i="37"/>
  <c r="DA234" i="37" s="1"/>
  <c r="W234" i="37"/>
  <c r="CZ234" i="37" s="1"/>
  <c r="DF238" i="37"/>
  <c r="DE238" i="37"/>
  <c r="EE238" i="37"/>
  <c r="Y240" i="37"/>
  <c r="DB240" i="37" s="1"/>
  <c r="X240" i="37"/>
  <c r="DA240" i="37" s="1"/>
  <c r="Y242" i="37"/>
  <c r="DB242" i="37" s="1"/>
  <c r="X242" i="37"/>
  <c r="DA242" i="37" s="1"/>
  <c r="EC242" i="37"/>
  <c r="EB244" i="37"/>
  <c r="Y252" i="37"/>
  <c r="DB252" i="37" s="1"/>
  <c r="X252" i="37"/>
  <c r="DA252" i="37" s="1"/>
  <c r="X254" i="37"/>
  <c r="DA254" i="37" s="1"/>
  <c r="X256" i="37"/>
  <c r="DA256" i="37" s="1"/>
  <c r="W256" i="37"/>
  <c r="CZ256" i="37" s="1"/>
  <c r="Y258" i="37"/>
  <c r="DB258" i="37" s="1"/>
  <c r="X258" i="37"/>
  <c r="DA258" i="37" s="1"/>
  <c r="W258" i="37"/>
  <c r="CZ258" i="37" s="1"/>
  <c r="Y260" i="37"/>
  <c r="DB260" i="37" s="1"/>
  <c r="X260" i="37"/>
  <c r="DA260" i="37" s="1"/>
  <c r="X262" i="37"/>
  <c r="DA262" i="37" s="1"/>
  <c r="X264" i="37"/>
  <c r="DA264" i="37" s="1"/>
  <c r="W264" i="37"/>
  <c r="CZ264" i="37" s="1"/>
  <c r="Y266" i="37"/>
  <c r="DB266" i="37" s="1"/>
  <c r="X266" i="37"/>
  <c r="DA266" i="37" s="1"/>
  <c r="W266" i="37"/>
  <c r="CZ266" i="37" s="1"/>
  <c r="Y268" i="37"/>
  <c r="DB268" i="37" s="1"/>
  <c r="X268" i="37"/>
  <c r="DA268" i="37" s="1"/>
  <c r="X270" i="37"/>
  <c r="DA270" i="37" s="1"/>
  <c r="X272" i="37"/>
  <c r="DA272" i="37" s="1"/>
  <c r="W272" i="37"/>
  <c r="CZ272" i="37" s="1"/>
  <c r="Y274" i="37"/>
  <c r="DB274" i="37" s="1"/>
  <c r="X274" i="37"/>
  <c r="DA274" i="37" s="1"/>
  <c r="W274" i="37"/>
  <c r="CZ274" i="37" s="1"/>
  <c r="Y276" i="37"/>
  <c r="DB276" i="37" s="1"/>
  <c r="X276" i="37"/>
  <c r="DA276" i="37" s="1"/>
  <c r="X278" i="37"/>
  <c r="DA278" i="37" s="1"/>
  <c r="X297" i="37"/>
  <c r="DA297" i="37" s="1"/>
  <c r="X299" i="37"/>
  <c r="DA299" i="37" s="1"/>
  <c r="Y299" i="37"/>
  <c r="DB299" i="37" s="1"/>
  <c r="W299" i="37"/>
  <c r="CZ299" i="37" s="1"/>
  <c r="Y136" i="37"/>
  <c r="DB136" i="37" s="1"/>
  <c r="Y137" i="37"/>
  <c r="DB137" i="37" s="1"/>
  <c r="Y138" i="37"/>
  <c r="DB138" i="37" s="1"/>
  <c r="Y139" i="37"/>
  <c r="DB139" i="37" s="1"/>
  <c r="Y140" i="37"/>
  <c r="DB140" i="37" s="1"/>
  <c r="Y141" i="37"/>
  <c r="DB141" i="37" s="1"/>
  <c r="Y142" i="37"/>
  <c r="DB142" i="37" s="1"/>
  <c r="Y143" i="37"/>
  <c r="DB143" i="37" s="1"/>
  <c r="Y144" i="37"/>
  <c r="DB144" i="37" s="1"/>
  <c r="Y145" i="37"/>
  <c r="DB145" i="37" s="1"/>
  <c r="Y146" i="37"/>
  <c r="DB146" i="37" s="1"/>
  <c r="Y147" i="37"/>
  <c r="DB147" i="37" s="1"/>
  <c r="Y148" i="37"/>
  <c r="DB148" i="37" s="1"/>
  <c r="Y149" i="37"/>
  <c r="DB149" i="37" s="1"/>
  <c r="Y150" i="37"/>
  <c r="DB150" i="37" s="1"/>
  <c r="Y151" i="37"/>
  <c r="DB151" i="37" s="1"/>
  <c r="Y152" i="37"/>
  <c r="DB152" i="37" s="1"/>
  <c r="W154" i="37"/>
  <c r="CZ154" i="37" s="1"/>
  <c r="W170" i="37"/>
  <c r="CZ170" i="37" s="1"/>
  <c r="Y175" i="37"/>
  <c r="DB175" i="37" s="1"/>
  <c r="EE176" i="37"/>
  <c r="W177" i="37"/>
  <c r="CZ177" i="37" s="1"/>
  <c r="EA180" i="37"/>
  <c r="Y181" i="37"/>
  <c r="DB181" i="37" s="1"/>
  <c r="EB181" i="37"/>
  <c r="Y186" i="37"/>
  <c r="DB186" i="37" s="1"/>
  <c r="W208" i="37"/>
  <c r="CZ208" i="37" s="1"/>
  <c r="W209" i="37"/>
  <c r="CZ209" i="37" s="1"/>
  <c r="W210" i="37"/>
  <c r="CZ210" i="37" s="1"/>
  <c r="W211" i="37"/>
  <c r="CZ211" i="37" s="1"/>
  <c r="W212" i="37"/>
  <c r="CZ212" i="37" s="1"/>
  <c r="W213" i="37"/>
  <c r="CZ213" i="37" s="1"/>
  <c r="W214" i="37"/>
  <c r="CZ214" i="37" s="1"/>
  <c r="W215" i="37"/>
  <c r="CZ215" i="37" s="1"/>
  <c r="W216" i="37"/>
  <c r="CZ216" i="37" s="1"/>
  <c r="Y234" i="37"/>
  <c r="DB234" i="37" s="1"/>
  <c r="DG239" i="37"/>
  <c r="W240" i="37"/>
  <c r="CZ240" i="37" s="1"/>
  <c r="W242" i="37"/>
  <c r="CZ242" i="37" s="1"/>
  <c r="X244" i="37"/>
  <c r="W244" i="37" s="1"/>
  <c r="CZ244" i="37" s="1"/>
  <c r="X250" i="37"/>
  <c r="DA250" i="37" s="1"/>
  <c r="Y280" i="37"/>
  <c r="X280" i="37"/>
  <c r="W280" i="37"/>
  <c r="EA179" i="37"/>
  <c r="EB180" i="37"/>
  <c r="EC181" i="37"/>
  <c r="DF208" i="37"/>
  <c r="DE208" i="37"/>
  <c r="DF209" i="37"/>
  <c r="DE209" i="37"/>
  <c r="DF210" i="37"/>
  <c r="DE210" i="37"/>
  <c r="DF211" i="37"/>
  <c r="DE211" i="37"/>
  <c r="DF212" i="37"/>
  <c r="DE212" i="37"/>
  <c r="DF213" i="37"/>
  <c r="DE213" i="37"/>
  <c r="DF214" i="37"/>
  <c r="DE214" i="37"/>
  <c r="DF215" i="37"/>
  <c r="DE215" i="37"/>
  <c r="DF216" i="37"/>
  <c r="DE216" i="37"/>
  <c r="X217" i="37"/>
  <c r="DA217" i="37" s="1"/>
  <c r="EC243" i="37"/>
  <c r="EB242" i="37"/>
  <c r="EE237" i="37"/>
  <c r="EC244" i="37"/>
  <c r="EB243" i="37"/>
  <c r="EA242" i="37"/>
  <c r="Y233" i="37"/>
  <c r="DB233" i="37" s="1"/>
  <c r="X233" i="37"/>
  <c r="DA233" i="37" s="1"/>
  <c r="X236" i="37"/>
  <c r="DA236" i="37" s="1"/>
  <c r="Y241" i="37"/>
  <c r="DB241" i="37" s="1"/>
  <c r="X241" i="37"/>
  <c r="DA241" i="37" s="1"/>
  <c r="Y243" i="37"/>
  <c r="DB243" i="37" s="1"/>
  <c r="EA243" i="37"/>
  <c r="X247" i="37"/>
  <c r="DA247" i="37" s="1"/>
  <c r="X249" i="37"/>
  <c r="DA249" i="37" s="1"/>
  <c r="Y253" i="37"/>
  <c r="DB253" i="37" s="1"/>
  <c r="X253" i="37"/>
  <c r="DA253" i="37" s="1"/>
  <c r="W253" i="37"/>
  <c r="CZ253" i="37" s="1"/>
  <c r="Y255" i="37"/>
  <c r="DB255" i="37" s="1"/>
  <c r="X255" i="37"/>
  <c r="DA255" i="37" s="1"/>
  <c r="X257" i="37"/>
  <c r="DA257" i="37" s="1"/>
  <c r="X259" i="37"/>
  <c r="DA259" i="37" s="1"/>
  <c r="Y261" i="37"/>
  <c r="DB261" i="37" s="1"/>
  <c r="X261" i="37"/>
  <c r="DA261" i="37" s="1"/>
  <c r="W261" i="37"/>
  <c r="CZ261" i="37" s="1"/>
  <c r="Y263" i="37"/>
  <c r="DB263" i="37" s="1"/>
  <c r="X263" i="37"/>
  <c r="DA263" i="37" s="1"/>
  <c r="X265" i="37"/>
  <c r="DA265" i="37" s="1"/>
  <c r="X267" i="37"/>
  <c r="DA267" i="37" s="1"/>
  <c r="Y269" i="37"/>
  <c r="DB269" i="37" s="1"/>
  <c r="X269" i="37"/>
  <c r="DA269" i="37" s="1"/>
  <c r="W269" i="37"/>
  <c r="CZ269" i="37" s="1"/>
  <c r="Y271" i="37"/>
  <c r="DB271" i="37" s="1"/>
  <c r="X271" i="37"/>
  <c r="DA271" i="37" s="1"/>
  <c r="X273" i="37"/>
  <c r="DA273" i="37" s="1"/>
  <c r="X275" i="37"/>
  <c r="DA275" i="37" s="1"/>
  <c r="W275" i="37"/>
  <c r="CZ275" i="37" s="1"/>
  <c r="Y277" i="37"/>
  <c r="DB277" i="37" s="1"/>
  <c r="X277" i="37"/>
  <c r="DA277" i="37" s="1"/>
  <c r="W277" i="37"/>
  <c r="CZ277" i="37" s="1"/>
  <c r="Y296" i="37"/>
  <c r="DB296" i="37" s="1"/>
  <c r="X296" i="37"/>
  <c r="DA296" i="37" s="1"/>
  <c r="Y298" i="37"/>
  <c r="DB298" i="37" s="1"/>
  <c r="X298" i="37"/>
  <c r="DA298" i="37" s="1"/>
  <c r="X300" i="37"/>
  <c r="DA300" i="37" s="1"/>
  <c r="DE302" i="37"/>
  <c r="DF302" i="37"/>
  <c r="EE174" i="37"/>
  <c r="EB179" i="37"/>
  <c r="X205" i="37"/>
  <c r="DA205" i="37" s="1"/>
  <c r="X207" i="37"/>
  <c r="DA207" i="37" s="1"/>
  <c r="Y208" i="37"/>
  <c r="DB208" i="37" s="1"/>
  <c r="Y209" i="37"/>
  <c r="DB209" i="37" s="1"/>
  <c r="Y210" i="37"/>
  <c r="DB210" i="37" s="1"/>
  <c r="Y211" i="37"/>
  <c r="DB211" i="37" s="1"/>
  <c r="Y212" i="37"/>
  <c r="DB212" i="37" s="1"/>
  <c r="Y213" i="37"/>
  <c r="DB213" i="37" s="1"/>
  <c r="Y214" i="37"/>
  <c r="DB214" i="37" s="1"/>
  <c r="Y215" i="37"/>
  <c r="DB215" i="37" s="1"/>
  <c r="Y216" i="37"/>
  <c r="DB216" i="37" s="1"/>
  <c r="Y217" i="37"/>
  <c r="DB217" i="37" s="1"/>
  <c r="Y218" i="37"/>
  <c r="DB218" i="37" s="1"/>
  <c r="X218" i="37"/>
  <c r="W233" i="37"/>
  <c r="CZ233" i="37" s="1"/>
  <c r="Y236" i="37"/>
  <c r="DB236" i="37" s="1"/>
  <c r="W238" i="37"/>
  <c r="CZ238" i="37" s="1"/>
  <c r="DC239" i="37"/>
  <c r="W241" i="37"/>
  <c r="CZ241" i="37" s="1"/>
  <c r="W243" i="37"/>
  <c r="CZ243" i="37" s="1"/>
  <c r="EA244" i="37"/>
  <c r="Y247" i="37"/>
  <c r="DB247" i="37" s="1"/>
  <c r="X248" i="37"/>
  <c r="DA248" i="37" s="1"/>
  <c r="X281" i="37"/>
  <c r="Y281" i="37" s="1"/>
  <c r="W281" i="37"/>
  <c r="DF307" i="37"/>
  <c r="DE307" i="37"/>
  <c r="X251" i="37"/>
  <c r="DA251" i="37" s="1"/>
  <c r="W302" i="37"/>
  <c r="CZ302" i="37" s="1"/>
  <c r="X303" i="37"/>
  <c r="DA303" i="37" s="1"/>
  <c r="Y305" i="37"/>
  <c r="DB305" i="37" s="1"/>
  <c r="X305" i="37"/>
  <c r="DA305" i="37" s="1"/>
  <c r="X315" i="37"/>
  <c r="DA315" i="37" s="1"/>
  <c r="W315" i="37"/>
  <c r="CZ315" i="37" s="1"/>
  <c r="Y315" i="37"/>
  <c r="DB315" i="37" s="1"/>
  <c r="X317" i="37"/>
  <c r="DA317" i="37" s="1"/>
  <c r="Y317" i="37"/>
  <c r="DB317" i="37" s="1"/>
  <c r="X319" i="37"/>
  <c r="DA319" i="37" s="1"/>
  <c r="X321" i="37"/>
  <c r="DA321" i="37" s="1"/>
  <c r="X323" i="37"/>
  <c r="DA323" i="37" s="1"/>
  <c r="W323" i="37"/>
  <c r="CZ323" i="37" s="1"/>
  <c r="Y323" i="37"/>
  <c r="DB323" i="37" s="1"/>
  <c r="X325" i="37"/>
  <c r="DA325" i="37" s="1"/>
  <c r="Y325" i="37"/>
  <c r="DB325" i="37" s="1"/>
  <c r="X327" i="37"/>
  <c r="DA327" i="37" s="1"/>
  <c r="X329" i="37"/>
  <c r="DA329" i="37" s="1"/>
  <c r="X331" i="37"/>
  <c r="DA331" i="37" s="1"/>
  <c r="W331" i="37"/>
  <c r="CZ331" i="37" s="1"/>
  <c r="Y331" i="37"/>
  <c r="DB331" i="37" s="1"/>
  <c r="X333" i="37"/>
  <c r="DA333" i="37" s="1"/>
  <c r="Y333" i="37"/>
  <c r="DB333" i="37" s="1"/>
  <c r="X335" i="37"/>
  <c r="DA335" i="37" s="1"/>
  <c r="X337" i="37"/>
  <c r="DA337" i="37" s="1"/>
  <c r="X339" i="37"/>
  <c r="DA339" i="37" s="1"/>
  <c r="W339" i="37"/>
  <c r="CZ339" i="37" s="1"/>
  <c r="Y339" i="37"/>
  <c r="DB339" i="37" s="1"/>
  <c r="X341" i="37"/>
  <c r="DA341" i="37" s="1"/>
  <c r="Y341" i="37"/>
  <c r="DB341" i="37" s="1"/>
  <c r="DH361" i="37"/>
  <c r="DG361" i="37"/>
  <c r="DH362" i="37"/>
  <c r="DG362" i="37"/>
  <c r="DH363" i="37"/>
  <c r="DG363" i="37"/>
  <c r="X366" i="37"/>
  <c r="DA366" i="37" s="1"/>
  <c r="Y368" i="37"/>
  <c r="DB368" i="37" s="1"/>
  <c r="X368" i="37"/>
  <c r="DA368" i="37" s="1"/>
  <c r="W368" i="37"/>
  <c r="CZ368" i="37" s="1"/>
  <c r="DH371" i="37"/>
  <c r="DG371" i="37"/>
  <c r="DH372" i="37"/>
  <c r="DG372" i="37"/>
  <c r="DH373" i="37"/>
  <c r="DG373" i="37"/>
  <c r="DH374" i="37"/>
  <c r="DG374" i="37"/>
  <c r="X375" i="37"/>
  <c r="DA375" i="37" s="1"/>
  <c r="DF378" i="37"/>
  <c r="DE378" i="37"/>
  <c r="DF379" i="37"/>
  <c r="DE379" i="37"/>
  <c r="DF380" i="37"/>
  <c r="DE380" i="37"/>
  <c r="DF381" i="37"/>
  <c r="DE381" i="37"/>
  <c r="DF382" i="37"/>
  <c r="DE382" i="37"/>
  <c r="DF383" i="37"/>
  <c r="DE383" i="37"/>
  <c r="Y251" i="37"/>
  <c r="DB251" i="37" s="1"/>
  <c r="X279" i="37"/>
  <c r="Y279" i="37" s="1"/>
  <c r="X301" i="37"/>
  <c r="EE301" i="37"/>
  <c r="EE302" i="37"/>
  <c r="W303" i="37"/>
  <c r="CZ303" i="37" s="1"/>
  <c r="W305" i="37"/>
  <c r="CZ305" i="37" s="1"/>
  <c r="EC305" i="37"/>
  <c r="EA307" i="37"/>
  <c r="X310" i="37"/>
  <c r="W310" i="37" s="1"/>
  <c r="CZ310" i="37" s="1"/>
  <c r="X313" i="37"/>
  <c r="DA313" i="37" s="1"/>
  <c r="DF361" i="37"/>
  <c r="DE361" i="37"/>
  <c r="DF362" i="37"/>
  <c r="DE362" i="37"/>
  <c r="DF363" i="37"/>
  <c r="DE363" i="37"/>
  <c r="X370" i="37"/>
  <c r="DA370" i="37" s="1"/>
  <c r="DF371" i="37"/>
  <c r="DE371" i="37"/>
  <c r="DF372" i="37"/>
  <c r="DE372" i="37"/>
  <c r="DF373" i="37"/>
  <c r="DE373" i="37"/>
  <c r="DF374" i="37"/>
  <c r="DE374" i="37"/>
  <c r="X304" i="37"/>
  <c r="DA304" i="37" s="1"/>
  <c r="X309" i="37"/>
  <c r="DA309" i="37" s="1"/>
  <c r="W309" i="37"/>
  <c r="CZ309" i="37" s="1"/>
  <c r="X312" i="37"/>
  <c r="DA312" i="37" s="1"/>
  <c r="X316" i="37"/>
  <c r="DA316" i="37" s="1"/>
  <c r="X318" i="37"/>
  <c r="DA318" i="37" s="1"/>
  <c r="W318" i="37"/>
  <c r="CZ318" i="37" s="1"/>
  <c r="X320" i="37"/>
  <c r="DA320" i="37" s="1"/>
  <c r="W320" i="37"/>
  <c r="CZ320" i="37" s="1"/>
  <c r="Y320" i="37"/>
  <c r="DB320" i="37" s="1"/>
  <c r="X322" i="37"/>
  <c r="DA322" i="37" s="1"/>
  <c r="W322" i="37"/>
  <c r="CZ322" i="37" s="1"/>
  <c r="Y322" i="37"/>
  <c r="DB322" i="37" s="1"/>
  <c r="X324" i="37"/>
  <c r="DA324" i="37" s="1"/>
  <c r="X326" i="37"/>
  <c r="DA326" i="37" s="1"/>
  <c r="W326" i="37"/>
  <c r="CZ326" i="37" s="1"/>
  <c r="X328" i="37"/>
  <c r="DA328" i="37" s="1"/>
  <c r="W328" i="37"/>
  <c r="CZ328" i="37" s="1"/>
  <c r="Y328" i="37"/>
  <c r="DB328" i="37" s="1"/>
  <c r="X330" i="37"/>
  <c r="DA330" i="37" s="1"/>
  <c r="W330" i="37"/>
  <c r="CZ330" i="37" s="1"/>
  <c r="Y330" i="37"/>
  <c r="DB330" i="37" s="1"/>
  <c r="X332" i="37"/>
  <c r="DA332" i="37" s="1"/>
  <c r="X334" i="37"/>
  <c r="DA334" i="37" s="1"/>
  <c r="W334" i="37"/>
  <c r="CZ334" i="37" s="1"/>
  <c r="X336" i="37"/>
  <c r="DA336" i="37" s="1"/>
  <c r="W336" i="37"/>
  <c r="CZ336" i="37" s="1"/>
  <c r="Y336" i="37"/>
  <c r="DB336" i="37" s="1"/>
  <c r="X338" i="37"/>
  <c r="DA338" i="37" s="1"/>
  <c r="W338" i="37"/>
  <c r="CZ338" i="37" s="1"/>
  <c r="Y338" i="37"/>
  <c r="DB338" i="37" s="1"/>
  <c r="X340" i="37"/>
  <c r="DA340" i="37" s="1"/>
  <c r="X342" i="37"/>
  <c r="DA342" i="37" s="1"/>
  <c r="W342" i="37"/>
  <c r="CZ342" i="37" s="1"/>
  <c r="X359" i="37"/>
  <c r="DA359" i="37" s="1"/>
  <c r="W359" i="37"/>
  <c r="CZ359" i="37" s="1"/>
  <c r="X367" i="37"/>
  <c r="DA367" i="37" s="1"/>
  <c r="X384" i="37"/>
  <c r="DA384" i="37" s="1"/>
  <c r="W384" i="37"/>
  <c r="CZ384" i="37" s="1"/>
  <c r="Y384" i="37"/>
  <c r="DB384" i="37" s="1"/>
  <c r="EC306" i="37"/>
  <c r="EB305" i="37"/>
  <c r="EE300" i="37"/>
  <c r="EC307" i="37"/>
  <c r="EB306" i="37"/>
  <c r="EA305" i="37"/>
  <c r="EB307" i="37"/>
  <c r="EA306" i="37"/>
  <c r="Y302" i="37"/>
  <c r="DB302" i="37" s="1"/>
  <c r="W304" i="37"/>
  <c r="CZ304" i="37" s="1"/>
  <c r="X306" i="37"/>
  <c r="DA306" i="37" s="1"/>
  <c r="W307" i="37"/>
  <c r="CZ307" i="37" s="1"/>
  <c r="Y307" i="37"/>
  <c r="DB307" i="37" s="1"/>
  <c r="X308" i="37"/>
  <c r="DA308" i="37" s="1"/>
  <c r="Y309" i="37"/>
  <c r="DB309" i="37" s="1"/>
  <c r="X311" i="37"/>
  <c r="DA311" i="37" s="1"/>
  <c r="X344" i="37"/>
  <c r="DA344" i="37" s="1"/>
  <c r="X364" i="37"/>
  <c r="DA364" i="37" s="1"/>
  <c r="W364" i="37"/>
  <c r="CZ364" i="37" s="1"/>
  <c r="X377" i="37"/>
  <c r="DA377" i="37" s="1"/>
  <c r="DH378" i="37"/>
  <c r="DG378" i="37"/>
  <c r="DH379" i="37"/>
  <c r="DG379" i="37"/>
  <c r="DH380" i="37"/>
  <c r="DG380" i="37"/>
  <c r="DH381" i="37"/>
  <c r="DG381" i="37"/>
  <c r="DH382" i="37"/>
  <c r="DG382" i="37"/>
  <c r="DG383" i="37"/>
  <c r="DH383" i="37"/>
  <c r="X365" i="37"/>
  <c r="DA365" i="37" s="1"/>
  <c r="EE365" i="37"/>
  <c r="X369" i="37"/>
  <c r="DA369" i="37" s="1"/>
  <c r="EA369" i="37"/>
  <c r="EB370" i="37"/>
  <c r="X376" i="37"/>
  <c r="DA376" i="37" s="1"/>
  <c r="X385" i="37"/>
  <c r="DA385" i="37" s="1"/>
  <c r="X387" i="37"/>
  <c r="DA387" i="37" s="1"/>
  <c r="W387" i="37"/>
  <c r="CZ387" i="37" s="1"/>
  <c r="Y387" i="37"/>
  <c r="DB387" i="37" s="1"/>
  <c r="X389" i="37"/>
  <c r="DA389" i="37" s="1"/>
  <c r="X391" i="37"/>
  <c r="DA391" i="37" s="1"/>
  <c r="X393" i="37"/>
  <c r="DA393" i="37" s="1"/>
  <c r="W393" i="37"/>
  <c r="CZ393" i="37" s="1"/>
  <c r="Y393" i="37"/>
  <c r="DB393" i="37" s="1"/>
  <c r="X395" i="37"/>
  <c r="DA395" i="37" s="1"/>
  <c r="W395" i="37"/>
  <c r="CZ395" i="37" s="1"/>
  <c r="Y395" i="37"/>
  <c r="DB395" i="37" s="1"/>
  <c r="X397" i="37"/>
  <c r="DA397" i="37" s="1"/>
  <c r="X399" i="37"/>
  <c r="DA399" i="37" s="1"/>
  <c r="X401" i="37"/>
  <c r="DA401" i="37" s="1"/>
  <c r="W401" i="37"/>
  <c r="CZ401" i="37" s="1"/>
  <c r="Y401" i="37"/>
  <c r="DB401" i="37" s="1"/>
  <c r="X403" i="37"/>
  <c r="DA403" i="37" s="1"/>
  <c r="W403" i="37"/>
  <c r="CZ403" i="37" s="1"/>
  <c r="Y403" i="37"/>
  <c r="DB403" i="37" s="1"/>
  <c r="X405" i="37"/>
  <c r="DA405" i="37" s="1"/>
  <c r="DH427" i="37"/>
  <c r="DG427" i="37"/>
  <c r="W343" i="37"/>
  <c r="CZ343" i="37" s="1"/>
  <c r="W361" i="37"/>
  <c r="CZ361" i="37" s="1"/>
  <c r="W362" i="37"/>
  <c r="CZ362" i="37" s="1"/>
  <c r="W363" i="37"/>
  <c r="CZ363" i="37" s="1"/>
  <c r="Y365" i="37"/>
  <c r="DB365" i="37" s="1"/>
  <c r="EA368" i="37"/>
  <c r="Y369" i="37"/>
  <c r="DB369" i="37" s="1"/>
  <c r="EB369" i="37"/>
  <c r="EC370" i="37"/>
  <c r="W371" i="37"/>
  <c r="CZ371" i="37" s="1"/>
  <c r="W372" i="37"/>
  <c r="CZ372" i="37" s="1"/>
  <c r="W373" i="37"/>
  <c r="CZ373" i="37" s="1"/>
  <c r="W374" i="37"/>
  <c r="CZ374" i="37" s="1"/>
  <c r="Y376" i="37"/>
  <c r="DB376" i="37" s="1"/>
  <c r="W378" i="37"/>
  <c r="CZ378" i="37" s="1"/>
  <c r="W379" i="37"/>
  <c r="CZ379" i="37" s="1"/>
  <c r="W380" i="37"/>
  <c r="CZ380" i="37" s="1"/>
  <c r="W381" i="37"/>
  <c r="CZ381" i="37" s="1"/>
  <c r="W382" i="37"/>
  <c r="CZ382" i="37" s="1"/>
  <c r="W383" i="37"/>
  <c r="CZ383" i="37" s="1"/>
  <c r="Y385" i="37"/>
  <c r="DB385" i="37" s="1"/>
  <c r="Y424" i="37"/>
  <c r="DB424" i="37" s="1"/>
  <c r="X424" i="37"/>
  <c r="DA424" i="37" s="1"/>
  <c r="X426" i="37"/>
  <c r="DA426" i="37" s="1"/>
  <c r="DF427" i="37"/>
  <c r="DE427" i="37"/>
  <c r="X314" i="37"/>
  <c r="DA314" i="37" s="1"/>
  <c r="X343" i="37"/>
  <c r="DA343" i="37" s="1"/>
  <c r="X360" i="37"/>
  <c r="DA360" i="37" s="1"/>
  <c r="EE363" i="37"/>
  <c r="EB368" i="37"/>
  <c r="EC369" i="37"/>
  <c r="X388" i="37"/>
  <c r="DA388" i="37" s="1"/>
  <c r="W388" i="37"/>
  <c r="CZ388" i="37" s="1"/>
  <c r="Y388" i="37"/>
  <c r="DB388" i="37" s="1"/>
  <c r="X390" i="37"/>
  <c r="DA390" i="37" s="1"/>
  <c r="X392" i="37"/>
  <c r="DA392" i="37" s="1"/>
  <c r="X394" i="37"/>
  <c r="DA394" i="37" s="1"/>
  <c r="W394" i="37"/>
  <c r="CZ394" i="37" s="1"/>
  <c r="Y394" i="37"/>
  <c r="DB394" i="37" s="1"/>
  <c r="X396" i="37"/>
  <c r="DA396" i="37" s="1"/>
  <c r="W396" i="37"/>
  <c r="CZ396" i="37" s="1"/>
  <c r="Y396" i="37"/>
  <c r="DB396" i="37" s="1"/>
  <c r="X398" i="37"/>
  <c r="DA398" i="37" s="1"/>
  <c r="X400" i="37"/>
  <c r="DA400" i="37" s="1"/>
  <c r="X402" i="37"/>
  <c r="DA402" i="37" s="1"/>
  <c r="W402" i="37"/>
  <c r="CZ402" i="37" s="1"/>
  <c r="Y402" i="37"/>
  <c r="DB402" i="37" s="1"/>
  <c r="X404" i="37"/>
  <c r="DA404" i="37" s="1"/>
  <c r="W404" i="37"/>
  <c r="CZ404" i="37" s="1"/>
  <c r="Y404" i="37"/>
  <c r="DB404" i="37" s="1"/>
  <c r="Y406" i="37"/>
  <c r="DB406" i="37" s="1"/>
  <c r="X406" i="37"/>
  <c r="DA406" i="37" s="1"/>
  <c r="W406" i="37"/>
  <c r="CZ406" i="37" s="1"/>
  <c r="DA429" i="37"/>
  <c r="W429" i="37"/>
  <c r="CZ429" i="37" s="1"/>
  <c r="DE432" i="37"/>
  <c r="DF432" i="37"/>
  <c r="EE364" i="37"/>
  <c r="EC368" i="37"/>
  <c r="X386" i="37"/>
  <c r="W386" i="37"/>
  <c r="CZ386" i="37" s="1"/>
  <c r="Y423" i="37"/>
  <c r="DB423" i="37" s="1"/>
  <c r="X423" i="37"/>
  <c r="DA423" i="37" s="1"/>
  <c r="W423" i="37"/>
  <c r="CZ423" i="37" s="1"/>
  <c r="X425" i="37"/>
  <c r="DA425" i="37" s="1"/>
  <c r="W422" i="37"/>
  <c r="CZ422" i="37" s="1"/>
  <c r="W432" i="37"/>
  <c r="CZ432" i="37" s="1"/>
  <c r="EA432" i="37"/>
  <c r="EB433" i="37"/>
  <c r="X407" i="37"/>
  <c r="DA407" i="37" s="1"/>
  <c r="X422" i="37"/>
  <c r="DA422" i="37" s="1"/>
  <c r="EE427" i="37"/>
  <c r="X428" i="37"/>
  <c r="DA428" i="37" s="1"/>
  <c r="X431" i="37"/>
  <c r="Y431" i="37"/>
  <c r="DB431" i="37" s="1"/>
  <c r="EC431" i="37"/>
  <c r="W442" i="37"/>
  <c r="CZ442" i="37" s="1"/>
  <c r="W446" i="37"/>
  <c r="CZ446" i="37" s="1"/>
  <c r="W461" i="37"/>
  <c r="CZ461" i="37" s="1"/>
  <c r="X461" i="37"/>
  <c r="DA461" i="37" s="1"/>
  <c r="W427" i="37"/>
  <c r="CZ427" i="37" s="1"/>
  <c r="Y429" i="37"/>
  <c r="DB429" i="37" s="1"/>
  <c r="X433" i="37"/>
  <c r="DA433" i="37" s="1"/>
  <c r="X439" i="37"/>
  <c r="DA439" i="37" s="1"/>
  <c r="W439" i="37"/>
  <c r="CZ439" i="37" s="1"/>
  <c r="W440" i="37"/>
  <c r="CZ440" i="37" s="1"/>
  <c r="DA440" i="37"/>
  <c r="W445" i="37"/>
  <c r="CZ445" i="37" s="1"/>
  <c r="W449" i="37"/>
  <c r="CZ449" i="37" s="1"/>
  <c r="W463" i="37"/>
  <c r="CZ463" i="37" s="1"/>
  <c r="Y463" i="37"/>
  <c r="DB463" i="37" s="1"/>
  <c r="X463" i="37"/>
  <c r="DA463" i="37" s="1"/>
  <c r="EC433" i="37"/>
  <c r="EB432" i="37"/>
  <c r="EA431" i="37"/>
  <c r="EA433" i="37"/>
  <c r="EC432" i="37"/>
  <c r="EB431" i="37"/>
  <c r="EE426" i="37"/>
  <c r="EE428" i="37"/>
  <c r="X430" i="37"/>
  <c r="DA430" i="37" s="1"/>
  <c r="Y430" i="37"/>
  <c r="DB430" i="37" s="1"/>
  <c r="Y432" i="37"/>
  <c r="DB432" i="37" s="1"/>
  <c r="W434" i="37"/>
  <c r="CZ434" i="37" s="1"/>
  <c r="Y434" i="37"/>
  <c r="DB434" i="37" s="1"/>
  <c r="X434" i="37"/>
  <c r="DA434" i="37" s="1"/>
  <c r="W435" i="37"/>
  <c r="CZ435" i="37" s="1"/>
  <c r="Y435" i="37"/>
  <c r="DB435" i="37" s="1"/>
  <c r="X435" i="37"/>
  <c r="DA435" i="37" s="1"/>
  <c r="W436" i="37"/>
  <c r="CZ436" i="37" s="1"/>
  <c r="Y436" i="37"/>
  <c r="DB436" i="37" s="1"/>
  <c r="X436" i="37"/>
  <c r="DA436" i="37" s="1"/>
  <c r="X438" i="37"/>
  <c r="DA438" i="37" s="1"/>
  <c r="X437" i="37"/>
  <c r="DA437" i="37" s="1"/>
  <c r="Y440" i="37"/>
  <c r="DB440" i="37" s="1"/>
  <c r="X441" i="37"/>
  <c r="DA441" i="37" s="1"/>
  <c r="X442" i="37"/>
  <c r="DA442" i="37" s="1"/>
  <c r="X443" i="37"/>
  <c r="DA443" i="37" s="1"/>
  <c r="X444" i="37"/>
  <c r="DA444" i="37" s="1"/>
  <c r="X445" i="37"/>
  <c r="DA445" i="37" s="1"/>
  <c r="X446" i="37"/>
  <c r="DA446" i="37" s="1"/>
  <c r="X447" i="37"/>
  <c r="DA447" i="37" s="1"/>
  <c r="X448" i="37"/>
  <c r="DA448" i="37" s="1"/>
  <c r="X449" i="37"/>
  <c r="DA449" i="37" s="1"/>
  <c r="X450" i="37"/>
  <c r="DA450" i="37" s="1"/>
  <c r="X451" i="37"/>
  <c r="DA451" i="37" s="1"/>
  <c r="X452" i="37"/>
  <c r="DA452" i="37" s="1"/>
  <c r="X453" i="37"/>
  <c r="DA453" i="37" s="1"/>
  <c r="X454" i="37"/>
  <c r="DA454" i="37" s="1"/>
  <c r="X455" i="37"/>
  <c r="DA455" i="37" s="1"/>
  <c r="X456" i="37"/>
  <c r="DA456" i="37" s="1"/>
  <c r="X457" i="37"/>
  <c r="DA457" i="37" s="1"/>
  <c r="X458" i="37"/>
  <c r="DA458" i="37" s="1"/>
  <c r="X459" i="37"/>
  <c r="DA459" i="37" s="1"/>
  <c r="X460" i="37"/>
  <c r="DA460" i="37" s="1"/>
  <c r="X462" i="37"/>
  <c r="DA462" i="37" s="1"/>
  <c r="X464" i="37"/>
  <c r="DA464" i="37" s="1"/>
  <c r="W464" i="37"/>
  <c r="CZ464" i="37" s="1"/>
  <c r="Y466" i="37"/>
  <c r="DB466" i="37" s="1"/>
  <c r="X466" i="37"/>
  <c r="DA466" i="37" s="1"/>
  <c r="X468" i="37"/>
  <c r="DA468" i="37" s="1"/>
  <c r="X470" i="37"/>
  <c r="DA470" i="37" s="1"/>
  <c r="W470" i="37"/>
  <c r="CZ470" i="37" s="1"/>
  <c r="X493" i="37"/>
  <c r="DA493" i="37" s="1"/>
  <c r="W493" i="37"/>
  <c r="CZ493" i="37" s="1"/>
  <c r="Y495" i="37"/>
  <c r="DB495" i="37" s="1"/>
  <c r="X495" i="37"/>
  <c r="DA495" i="37" s="1"/>
  <c r="W495" i="37"/>
  <c r="CZ495" i="37" s="1"/>
  <c r="DH498" i="37"/>
  <c r="DG498" i="37"/>
  <c r="DH499" i="37"/>
  <c r="DG499" i="37"/>
  <c r="DH500" i="37"/>
  <c r="DG500" i="37"/>
  <c r="DH501" i="37"/>
  <c r="DG501" i="37"/>
  <c r="X502" i="37"/>
  <c r="DA502" i="37" s="1"/>
  <c r="W503" i="37"/>
  <c r="CZ503" i="37" s="1"/>
  <c r="DF505" i="37"/>
  <c r="DE505" i="37"/>
  <c r="Y441" i="37"/>
  <c r="DB441" i="37" s="1"/>
  <c r="Y442" i="37"/>
  <c r="DB442" i="37" s="1"/>
  <c r="Y445" i="37"/>
  <c r="DB445" i="37" s="1"/>
  <c r="Y446" i="37"/>
  <c r="DB446" i="37" s="1"/>
  <c r="Y449" i="37"/>
  <c r="DB449" i="37" s="1"/>
  <c r="Y450" i="37"/>
  <c r="DB450" i="37" s="1"/>
  <c r="Y453" i="37"/>
  <c r="DB453" i="37" s="1"/>
  <c r="Y454" i="37"/>
  <c r="DB454" i="37" s="1"/>
  <c r="Y457" i="37"/>
  <c r="DB457" i="37" s="1"/>
  <c r="Y458" i="37"/>
  <c r="DB458" i="37" s="1"/>
  <c r="Y464" i="37"/>
  <c r="DB464" i="37" s="1"/>
  <c r="Y490" i="37"/>
  <c r="DB490" i="37" s="1"/>
  <c r="X490" i="37"/>
  <c r="DA490" i="37" s="1"/>
  <c r="X497" i="37"/>
  <c r="DA497" i="37" s="1"/>
  <c r="W497" i="37"/>
  <c r="CZ497" i="37" s="1"/>
  <c r="DF498" i="37"/>
  <c r="DE498" i="37"/>
  <c r="DF499" i="37"/>
  <c r="DE499" i="37"/>
  <c r="DF500" i="37"/>
  <c r="DE500" i="37"/>
  <c r="DF501" i="37"/>
  <c r="DE501" i="37"/>
  <c r="X465" i="37"/>
  <c r="DA465" i="37" s="1"/>
  <c r="X467" i="37"/>
  <c r="DA467" i="37" s="1"/>
  <c r="W467" i="37"/>
  <c r="CZ467" i="37" s="1"/>
  <c r="Y469" i="37"/>
  <c r="DB469" i="37" s="1"/>
  <c r="X469" i="37"/>
  <c r="DA469" i="37" s="1"/>
  <c r="W469" i="37"/>
  <c r="CZ469" i="37" s="1"/>
  <c r="DH487" i="37"/>
  <c r="DG487" i="37"/>
  <c r="DH488" i="37"/>
  <c r="DG488" i="37"/>
  <c r="DH489" i="37"/>
  <c r="DG489" i="37"/>
  <c r="W492" i="37"/>
  <c r="CZ492" i="37" s="1"/>
  <c r="Y494" i="37"/>
  <c r="DB494" i="37" s="1"/>
  <c r="X494" i="37"/>
  <c r="DA494" i="37" s="1"/>
  <c r="W462" i="37"/>
  <c r="CZ462" i="37" s="1"/>
  <c r="Y486" i="37"/>
  <c r="DB486" i="37" s="1"/>
  <c r="X486" i="37"/>
  <c r="DA486" i="37" s="1"/>
  <c r="DF487" i="37"/>
  <c r="DE487" i="37"/>
  <c r="DF488" i="37"/>
  <c r="DE488" i="37"/>
  <c r="DF489" i="37"/>
  <c r="DE489" i="37"/>
  <c r="X491" i="37"/>
  <c r="DA491" i="37" s="1"/>
  <c r="W491" i="37"/>
  <c r="CZ491" i="37" s="1"/>
  <c r="Y491" i="37"/>
  <c r="DB491" i="37" s="1"/>
  <c r="X504" i="37"/>
  <c r="DA504" i="37" s="1"/>
  <c r="W504" i="37"/>
  <c r="CZ504" i="37" s="1"/>
  <c r="DH505" i="37"/>
  <c r="DG505" i="37"/>
  <c r="X492" i="37"/>
  <c r="DA492" i="37" s="1"/>
  <c r="EE492" i="37"/>
  <c r="X496" i="37"/>
  <c r="DA496" i="37" s="1"/>
  <c r="EA496" i="37"/>
  <c r="EB497" i="37"/>
  <c r="X503" i="37"/>
  <c r="DA503" i="37" s="1"/>
  <c r="W512" i="37"/>
  <c r="CZ512" i="37" s="1"/>
  <c r="W516" i="37"/>
  <c r="CZ516" i="37" s="1"/>
  <c r="X552" i="37"/>
  <c r="DA552" i="37" s="1"/>
  <c r="W487" i="37"/>
  <c r="CZ487" i="37" s="1"/>
  <c r="W488" i="37"/>
  <c r="CZ488" i="37" s="1"/>
  <c r="W489" i="37"/>
  <c r="CZ489" i="37" s="1"/>
  <c r="Y492" i="37"/>
  <c r="DB492" i="37" s="1"/>
  <c r="EA495" i="37"/>
  <c r="Y496" i="37"/>
  <c r="DB496" i="37" s="1"/>
  <c r="EB496" i="37"/>
  <c r="EC497" i="37"/>
  <c r="W498" i="37"/>
  <c r="CZ498" i="37" s="1"/>
  <c r="W499" i="37"/>
  <c r="CZ499" i="37" s="1"/>
  <c r="W500" i="37"/>
  <c r="CZ500" i="37" s="1"/>
  <c r="W501" i="37"/>
  <c r="CZ501" i="37" s="1"/>
  <c r="Y503" i="37"/>
  <c r="DB503" i="37" s="1"/>
  <c r="W505" i="37"/>
  <c r="CZ505" i="37" s="1"/>
  <c r="X507" i="37"/>
  <c r="X509" i="37"/>
  <c r="W509" i="37" s="1"/>
  <c r="CZ509" i="37" s="1"/>
  <c r="X511" i="37"/>
  <c r="W511" i="37" s="1"/>
  <c r="CZ511" i="37" s="1"/>
  <c r="X512" i="37"/>
  <c r="X513" i="37"/>
  <c r="X514" i="37"/>
  <c r="X515" i="37"/>
  <c r="W515" i="37" s="1"/>
  <c r="CZ515" i="37" s="1"/>
  <c r="X516" i="37"/>
  <c r="X517" i="37"/>
  <c r="X521" i="37"/>
  <c r="DA521" i="37" s="1"/>
  <c r="Y523" i="37"/>
  <c r="DB523" i="37" s="1"/>
  <c r="X523" i="37"/>
  <c r="DA523" i="37" s="1"/>
  <c r="W523" i="37"/>
  <c r="CZ523" i="37" s="1"/>
  <c r="Y525" i="37"/>
  <c r="DB525" i="37" s="1"/>
  <c r="X525" i="37"/>
  <c r="DA525" i="37" s="1"/>
  <c r="X527" i="37"/>
  <c r="DA527" i="37" s="1"/>
  <c r="X529" i="37"/>
  <c r="DA529" i="37" s="1"/>
  <c r="Y531" i="37"/>
  <c r="DB531" i="37" s="1"/>
  <c r="X531" i="37"/>
  <c r="DA531" i="37" s="1"/>
  <c r="W531" i="37"/>
  <c r="CZ531" i="37" s="1"/>
  <c r="Y533" i="37"/>
  <c r="DB533" i="37" s="1"/>
  <c r="X533" i="37"/>
  <c r="DA533" i="37" s="1"/>
  <c r="EE490" i="37"/>
  <c r="EB495" i="37"/>
  <c r="EC496" i="37"/>
  <c r="W508" i="37"/>
  <c r="CZ508" i="37" s="1"/>
  <c r="W510" i="37"/>
  <c r="CZ510" i="37" s="1"/>
  <c r="X519" i="37"/>
  <c r="DA519" i="37" s="1"/>
  <c r="X551" i="37"/>
  <c r="DA551" i="37" s="1"/>
  <c r="X553" i="37"/>
  <c r="DA553" i="37" s="1"/>
  <c r="EE491" i="37"/>
  <c r="EC495" i="37"/>
  <c r="X506" i="37"/>
  <c r="DA506" i="37" s="1"/>
  <c r="X508" i="37"/>
  <c r="DA508" i="37" s="1"/>
  <c r="X510" i="37"/>
  <c r="DA510" i="37" s="1"/>
  <c r="X518" i="37"/>
  <c r="DA518" i="37" s="1"/>
  <c r="Y520" i="37"/>
  <c r="DB520" i="37" s="1"/>
  <c r="X520" i="37"/>
  <c r="DA520" i="37" s="1"/>
  <c r="X522" i="37"/>
  <c r="DA522" i="37" s="1"/>
  <c r="X524" i="37"/>
  <c r="DA524" i="37" s="1"/>
  <c r="W524" i="37"/>
  <c r="CZ524" i="37" s="1"/>
  <c r="Y526" i="37"/>
  <c r="DB526" i="37" s="1"/>
  <c r="X526" i="37"/>
  <c r="DA526" i="37" s="1"/>
  <c r="W526" i="37"/>
  <c r="CZ526" i="37" s="1"/>
  <c r="Y528" i="37"/>
  <c r="DB528" i="37" s="1"/>
  <c r="X528" i="37"/>
  <c r="DA528" i="37" s="1"/>
  <c r="X530" i="37"/>
  <c r="DA530" i="37" s="1"/>
  <c r="X532" i="37"/>
  <c r="DA532" i="37" s="1"/>
  <c r="W532" i="37"/>
  <c r="CZ532" i="37" s="1"/>
  <c r="X534" i="37"/>
  <c r="DA534" i="37" s="1"/>
  <c r="X550" i="37"/>
  <c r="DA550" i="37" s="1"/>
  <c r="W556" i="37"/>
  <c r="CZ556" i="37" s="1"/>
  <c r="DA556" i="37"/>
  <c r="DH560" i="37"/>
  <c r="DG560" i="37"/>
  <c r="Y534" i="37"/>
  <c r="DB534" i="37" s="1"/>
  <c r="Y550" i="37"/>
  <c r="DB550" i="37" s="1"/>
  <c r="DD560" i="37"/>
  <c r="DC560" i="37"/>
  <c r="DF573" i="37"/>
  <c r="DE573" i="37"/>
  <c r="EA561" i="37"/>
  <c r="EC559" i="37"/>
  <c r="EE555" i="37"/>
  <c r="EC560" i="37"/>
  <c r="EB559" i="37"/>
  <c r="EE554" i="37"/>
  <c r="EC561" i="37"/>
  <c r="EB560" i="37"/>
  <c r="EA559" i="37"/>
  <c r="EB561" i="37"/>
  <c r="EA560" i="37"/>
  <c r="X554" i="37"/>
  <c r="W554" i="37" s="1"/>
  <c r="CZ554" i="37" s="1"/>
  <c r="X555" i="37"/>
  <c r="EE556" i="37"/>
  <c r="Y562" i="37"/>
  <c r="DB562" i="37" s="1"/>
  <c r="X566" i="37"/>
  <c r="DA566" i="37" s="1"/>
  <c r="DD567" i="37"/>
  <c r="DC567" i="37"/>
  <c r="Y568" i="37"/>
  <c r="DB568" i="37" s="1"/>
  <c r="X568" i="37"/>
  <c r="DA568" i="37" s="1"/>
  <c r="W568" i="37"/>
  <c r="CZ568" i="37" s="1"/>
  <c r="Y569" i="37"/>
  <c r="DB569" i="37" s="1"/>
  <c r="X572" i="37"/>
  <c r="DA572" i="37" s="1"/>
  <c r="W572" i="37"/>
  <c r="CZ572" i="37" s="1"/>
  <c r="X561" i="37"/>
  <c r="DA561" i="37" s="1"/>
  <c r="W561" i="37"/>
  <c r="CZ561" i="37" s="1"/>
  <c r="Y561" i="37"/>
  <c r="DB561" i="37" s="1"/>
  <c r="DF567" i="37"/>
  <c r="DE567" i="37"/>
  <c r="X574" i="37"/>
  <c r="DA574" i="37" s="1"/>
  <c r="Y573" i="37"/>
  <c r="DB573" i="37" s="1"/>
  <c r="X578" i="37"/>
  <c r="DA578" i="37" s="1"/>
  <c r="X580" i="37"/>
  <c r="DA580" i="37" s="1"/>
  <c r="W580" i="37"/>
  <c r="CZ580" i="37" s="1"/>
  <c r="X582" i="37"/>
  <c r="DA582" i="37" s="1"/>
  <c r="W582" i="37"/>
  <c r="CZ582" i="37" s="1"/>
  <c r="Y582" i="37"/>
  <c r="DB582" i="37" s="1"/>
  <c r="X584" i="37"/>
  <c r="DA584" i="37" s="1"/>
  <c r="Y584" i="37"/>
  <c r="DB584" i="37" s="1"/>
  <c r="X586" i="37"/>
  <c r="DA586" i="37" s="1"/>
  <c r="DG587" i="37"/>
  <c r="DH587" i="37"/>
  <c r="X557" i="37"/>
  <c r="X558" i="37"/>
  <c r="Y558" i="37" s="1"/>
  <c r="DB558" i="37" s="1"/>
  <c r="X559" i="37"/>
  <c r="Y559" i="37" s="1"/>
  <c r="DB559" i="37" s="1"/>
  <c r="W563" i="37"/>
  <c r="CZ563" i="37" s="1"/>
  <c r="W564" i="37"/>
  <c r="CZ564" i="37" s="1"/>
  <c r="Y567" i="37"/>
  <c r="DB567" i="37" s="1"/>
  <c r="W569" i="37"/>
  <c r="CZ569" i="37" s="1"/>
  <c r="W570" i="37"/>
  <c r="CZ570" i="37" s="1"/>
  <c r="DF589" i="37"/>
  <c r="DE589" i="37"/>
  <c r="DA560" i="37"/>
  <c r="X562" i="37"/>
  <c r="DA562" i="37" s="1"/>
  <c r="X563" i="37"/>
  <c r="DA563" i="37" s="1"/>
  <c r="X564" i="37"/>
  <c r="DA564" i="37" s="1"/>
  <c r="X565" i="37"/>
  <c r="DA565" i="37" s="1"/>
  <c r="X569" i="37"/>
  <c r="DA569" i="37" s="1"/>
  <c r="X570" i="37"/>
  <c r="DA570" i="37" s="1"/>
  <c r="X571" i="37"/>
  <c r="DA571" i="37" s="1"/>
  <c r="X575" i="37"/>
  <c r="DA575" i="37" s="1"/>
  <c r="X577" i="37"/>
  <c r="DA577" i="37" s="1"/>
  <c r="W577" i="37"/>
  <c r="CZ577" i="37" s="1"/>
  <c r="X579" i="37"/>
  <c r="DA579" i="37" s="1"/>
  <c r="X581" i="37"/>
  <c r="DA581" i="37" s="1"/>
  <c r="W581" i="37"/>
  <c r="CZ581" i="37" s="1"/>
  <c r="X583" i="37"/>
  <c r="DA583" i="37" s="1"/>
  <c r="W583" i="37"/>
  <c r="CZ583" i="37" s="1"/>
  <c r="Y583" i="37"/>
  <c r="DB583" i="37" s="1"/>
  <c r="X585" i="37"/>
  <c r="DA585" i="37" s="1"/>
  <c r="W585" i="37"/>
  <c r="CZ585" i="37" s="1"/>
  <c r="Y585" i="37"/>
  <c r="DB585" i="37" s="1"/>
  <c r="X588" i="37"/>
  <c r="DA588" i="37" s="1"/>
  <c r="W573" i="37"/>
  <c r="CZ573" i="37" s="1"/>
  <c r="Y575" i="37"/>
  <c r="DB575" i="37" s="1"/>
  <c r="X576" i="37"/>
  <c r="W576" i="37" s="1"/>
  <c r="CZ576" i="37" s="1"/>
  <c r="Y577" i="37"/>
  <c r="DB577" i="37" s="1"/>
  <c r="DF587" i="37"/>
  <c r="DE587" i="37"/>
  <c r="X590" i="37"/>
  <c r="DA590" i="37" s="1"/>
  <c r="Y590" i="37"/>
  <c r="DB590" i="37" s="1"/>
  <c r="W590" i="37"/>
  <c r="CZ590" i="37" s="1"/>
  <c r="X595" i="37"/>
  <c r="DA595" i="37" s="1"/>
  <c r="X615" i="37"/>
  <c r="DA615" i="37" s="1"/>
  <c r="W615" i="37"/>
  <c r="CZ615" i="37" s="1"/>
  <c r="W589" i="37"/>
  <c r="CZ589" i="37" s="1"/>
  <c r="X594" i="37"/>
  <c r="W594" i="37"/>
  <c r="CZ594" i="37" s="1"/>
  <c r="Y595" i="37"/>
  <c r="DB595" i="37" s="1"/>
  <c r="X617" i="37"/>
  <c r="DA617" i="37" s="1"/>
  <c r="Y617" i="37"/>
  <c r="DB617" i="37" s="1"/>
  <c r="X619" i="37"/>
  <c r="DA619" i="37" s="1"/>
  <c r="Y619" i="37"/>
  <c r="DB619" i="37" s="1"/>
  <c r="W619" i="37"/>
  <c r="CZ619" i="37" s="1"/>
  <c r="Y589" i="37"/>
  <c r="DB589" i="37" s="1"/>
  <c r="X591" i="37"/>
  <c r="DA591" i="37" s="1"/>
  <c r="W591" i="37"/>
  <c r="CZ591" i="37" s="1"/>
  <c r="X593" i="37"/>
  <c r="X598" i="37"/>
  <c r="DA598" i="37" s="1"/>
  <c r="Y598" i="37"/>
  <c r="DB598" i="37" s="1"/>
  <c r="W587" i="37"/>
  <c r="CZ587" i="37" s="1"/>
  <c r="Y591" i="37"/>
  <c r="DB591" i="37" s="1"/>
  <c r="X592" i="37"/>
  <c r="X596" i="37"/>
  <c r="W596" i="37" s="1"/>
  <c r="CZ596" i="37" s="1"/>
  <c r="X597" i="37"/>
  <c r="W598" i="37"/>
  <c r="CZ598" i="37" s="1"/>
  <c r="X618" i="37"/>
  <c r="Y618" i="37" s="1"/>
  <c r="DB618" i="37" s="1"/>
  <c r="X620" i="37"/>
  <c r="Y620" i="37" s="1"/>
  <c r="DB620" i="37" s="1"/>
  <c r="X616" i="37"/>
  <c r="DA616" i="37" s="1"/>
  <c r="X621" i="37"/>
  <c r="X625" i="37"/>
  <c r="X627" i="37"/>
  <c r="DA627" i="37" s="1"/>
  <c r="W627" i="37"/>
  <c r="CZ627" i="37" s="1"/>
  <c r="Y627" i="37"/>
  <c r="DB627" i="37" s="1"/>
  <c r="X629" i="37"/>
  <c r="DA629" i="37" s="1"/>
  <c r="W629" i="37"/>
  <c r="CZ629" i="37" s="1"/>
  <c r="Y629" i="37"/>
  <c r="DB629" i="37" s="1"/>
  <c r="DF633" i="37"/>
  <c r="DE633" i="37"/>
  <c r="EC625" i="37"/>
  <c r="EB624" i="37"/>
  <c r="EE619" i="37"/>
  <c r="EC626" i="37"/>
  <c r="EB625" i="37"/>
  <c r="EA624" i="37"/>
  <c r="EB626" i="37"/>
  <c r="EA625" i="37"/>
  <c r="EE621" i="37"/>
  <c r="EA626" i="37"/>
  <c r="EC624" i="37"/>
  <c r="Y616" i="37"/>
  <c r="DB616" i="37" s="1"/>
  <c r="X635" i="37"/>
  <c r="DA635" i="37" s="1"/>
  <c r="W635" i="37"/>
  <c r="CZ635" i="37" s="1"/>
  <c r="Y635" i="37"/>
  <c r="DB635" i="37" s="1"/>
  <c r="EE620" i="37"/>
  <c r="X622" i="37"/>
  <c r="W622" i="37"/>
  <c r="CZ622" i="37" s="1"/>
  <c r="X623" i="37"/>
  <c r="W623" i="37" s="1"/>
  <c r="CZ623" i="37" s="1"/>
  <c r="W626" i="37"/>
  <c r="CZ626" i="37" s="1"/>
  <c r="Y626" i="37"/>
  <c r="DB626" i="37" s="1"/>
  <c r="X626" i="37"/>
  <c r="DA626" i="37" s="1"/>
  <c r="X628" i="37"/>
  <c r="DA628" i="37" s="1"/>
  <c r="W628" i="37"/>
  <c r="CZ628" i="37" s="1"/>
  <c r="Y628" i="37"/>
  <c r="DB628" i="37" s="1"/>
  <c r="DC632" i="37"/>
  <c r="DD632" i="37"/>
  <c r="DF630" i="37"/>
  <c r="DE630" i="37"/>
  <c r="X634" i="37"/>
  <c r="DA634" i="37" s="1"/>
  <c r="Y634" i="37"/>
  <c r="DB634" i="37" s="1"/>
  <c r="W631" i="37"/>
  <c r="CZ631" i="37" s="1"/>
  <c r="DC649" i="37"/>
  <c r="DD649" i="37"/>
  <c r="W624" i="37"/>
  <c r="CZ624" i="37" s="1"/>
  <c r="W630" i="37"/>
  <c r="CZ630" i="37" s="1"/>
  <c r="X631" i="37"/>
  <c r="DA631" i="37" s="1"/>
  <c r="Y632" i="37"/>
  <c r="DB632" i="37" s="1"/>
  <c r="DF632" i="37"/>
  <c r="X636" i="37"/>
  <c r="DA636" i="37" s="1"/>
  <c r="X638" i="37"/>
  <c r="DA638" i="37" s="1"/>
  <c r="W638" i="37"/>
  <c r="CZ638" i="37" s="1"/>
  <c r="X640" i="37"/>
  <c r="DA640" i="37" s="1"/>
  <c r="W640" i="37"/>
  <c r="CZ640" i="37" s="1"/>
  <c r="Y640" i="37"/>
  <c r="DB640" i="37" s="1"/>
  <c r="X624" i="37"/>
  <c r="Y630" i="37"/>
  <c r="DB630" i="37" s="1"/>
  <c r="Y631" i="37"/>
  <c r="DB631" i="37" s="1"/>
  <c r="Y633" i="37"/>
  <c r="DB633" i="37" s="1"/>
  <c r="W633" i="37"/>
  <c r="CZ633" i="37" s="1"/>
  <c r="DF637" i="37"/>
  <c r="DE637" i="37"/>
  <c r="X639" i="37"/>
  <c r="DA639" i="37" s="1"/>
  <c r="X641" i="37"/>
  <c r="DA641" i="37" s="1"/>
  <c r="Y637" i="37"/>
  <c r="DB637" i="37" s="1"/>
  <c r="Y651" i="37"/>
  <c r="DB651" i="37" s="1"/>
  <c r="X651" i="37"/>
  <c r="DA651" i="37" s="1"/>
  <c r="X642" i="37"/>
  <c r="DA642" i="37" s="1"/>
  <c r="DF645" i="37"/>
  <c r="DE645" i="37"/>
  <c r="DF646" i="37"/>
  <c r="DE646" i="37"/>
  <c r="DF647" i="37"/>
  <c r="DE647" i="37"/>
  <c r="DF648" i="37"/>
  <c r="DE648" i="37"/>
  <c r="DF658" i="37"/>
  <c r="DE658" i="37"/>
  <c r="W637" i="37"/>
  <c r="CZ637" i="37" s="1"/>
  <c r="X643" i="37"/>
  <c r="DA643" i="37" s="1"/>
  <c r="W644" i="37"/>
  <c r="CZ644" i="37" s="1"/>
  <c r="Y644" i="37"/>
  <c r="DB644" i="37" s="1"/>
  <c r="DC645" i="37"/>
  <c r="DC646" i="37"/>
  <c r="DC647" i="37"/>
  <c r="DC648" i="37"/>
  <c r="DE649" i="37"/>
  <c r="X650" i="37"/>
  <c r="DA650" i="37" s="1"/>
  <c r="Y650" i="37"/>
  <c r="DB650" i="37" s="1"/>
  <c r="DF644" i="37"/>
  <c r="DE644" i="37"/>
  <c r="Y653" i="37"/>
  <c r="DB653" i="37" s="1"/>
  <c r="X653" i="37"/>
  <c r="DA653" i="37" s="1"/>
  <c r="Y645" i="37"/>
  <c r="DB645" i="37" s="1"/>
  <c r="Y646" i="37"/>
  <c r="DB646" i="37" s="1"/>
  <c r="Y647" i="37"/>
  <c r="DB647" i="37" s="1"/>
  <c r="Y648" i="37"/>
  <c r="DB648" i="37" s="1"/>
  <c r="Y649" i="37"/>
  <c r="DB649" i="37" s="1"/>
  <c r="Y656" i="37"/>
  <c r="DB656" i="37" s="1"/>
  <c r="X661" i="37"/>
  <c r="DA661" i="37" s="1"/>
  <c r="Y652" i="37"/>
  <c r="DB652" i="37" s="1"/>
  <c r="X652" i="37"/>
  <c r="DA652" i="37" s="1"/>
  <c r="DF656" i="37"/>
  <c r="DE656" i="37"/>
  <c r="W652" i="37"/>
  <c r="CZ652" i="37" s="1"/>
  <c r="Y654" i="37"/>
  <c r="DB654" i="37" s="1"/>
  <c r="X654" i="37"/>
  <c r="X655" i="37"/>
  <c r="W657" i="37"/>
  <c r="CZ657" i="37" s="1"/>
  <c r="W660" i="37"/>
  <c r="CZ660" i="37" s="1"/>
  <c r="X657" i="37"/>
  <c r="W659" i="37"/>
  <c r="CZ659" i="37" s="1"/>
  <c r="Y659" i="37"/>
  <c r="DB659" i="37" s="1"/>
  <c r="X660" i="37"/>
  <c r="DA660" i="37" s="1"/>
  <c r="W656" i="37"/>
  <c r="CZ656" i="37" s="1"/>
  <c r="W658" i="37"/>
  <c r="CZ658" i="37" s="1"/>
  <c r="Y658" i="37"/>
  <c r="DB658" i="37" s="1"/>
  <c r="DF659" i="37"/>
  <c r="DE659" i="37"/>
  <c r="X662" i="37"/>
  <c r="X663" i="37"/>
  <c r="DA663" i="37" s="1"/>
  <c r="W663" i="37"/>
  <c r="CZ663" i="37" s="1"/>
  <c r="M49" i="4"/>
  <c r="C1" i="4" s="1"/>
  <c r="M52" i="4"/>
  <c r="AF111" i="38" l="1"/>
  <c r="AF111" i="39"/>
  <c r="AF111" i="40"/>
  <c r="DH620" i="37"/>
  <c r="DG620" i="37"/>
  <c r="DG618" i="37"/>
  <c r="DH618" i="37"/>
  <c r="DC596" i="37"/>
  <c r="DD596" i="37"/>
  <c r="DD623" i="37"/>
  <c r="DC623" i="37"/>
  <c r="DD658" i="37"/>
  <c r="DC658" i="37"/>
  <c r="DH652" i="37"/>
  <c r="DG652" i="37"/>
  <c r="DH653" i="37"/>
  <c r="DG653" i="37"/>
  <c r="DF639" i="37"/>
  <c r="DE639" i="37"/>
  <c r="DG640" i="37"/>
  <c r="DH640" i="37"/>
  <c r="DC630" i="37"/>
  <c r="DD630" i="37"/>
  <c r="DC656" i="37"/>
  <c r="DD656" i="37"/>
  <c r="DA655" i="37"/>
  <c r="W655" i="37"/>
  <c r="CZ655" i="37" s="1"/>
  <c r="DG649" i="37"/>
  <c r="DH649" i="37"/>
  <c r="DF643" i="37"/>
  <c r="DE643" i="37"/>
  <c r="W642" i="37"/>
  <c r="CZ642" i="37" s="1"/>
  <c r="DG631" i="37"/>
  <c r="DH631" i="37"/>
  <c r="DD624" i="37"/>
  <c r="DC624" i="37"/>
  <c r="Y663" i="37"/>
  <c r="DB663" i="37" s="1"/>
  <c r="DF660" i="37"/>
  <c r="DE660" i="37"/>
  <c r="Y660" i="37"/>
  <c r="DB660" i="37" s="1"/>
  <c r="DA654" i="37"/>
  <c r="W654" i="37"/>
  <c r="CZ654" i="37" s="1"/>
  <c r="Y661" i="37"/>
  <c r="DB661" i="37" s="1"/>
  <c r="DH648" i="37"/>
  <c r="DG648" i="37"/>
  <c r="W653" i="37"/>
  <c r="CZ653" i="37" s="1"/>
  <c r="Y642" i="37"/>
  <c r="DB642" i="37" s="1"/>
  <c r="Y643" i="37"/>
  <c r="DB643" i="37" s="1"/>
  <c r="W651" i="37"/>
  <c r="CZ651" i="37" s="1"/>
  <c r="DG637" i="37"/>
  <c r="DH637" i="37"/>
  <c r="Y639" i="37"/>
  <c r="DB639" i="37" s="1"/>
  <c r="DG630" i="37"/>
  <c r="DH630" i="37"/>
  <c r="DF640" i="37"/>
  <c r="DE640" i="37"/>
  <c r="Y636" i="37"/>
  <c r="DB636" i="37" s="1"/>
  <c r="DH632" i="37"/>
  <c r="DG632" i="37"/>
  <c r="W634" i="37"/>
  <c r="CZ634" i="37" s="1"/>
  <c r="DC628" i="37"/>
  <c r="DD628" i="37"/>
  <c r="DD626" i="37"/>
  <c r="DC626" i="37"/>
  <c r="DA622" i="37"/>
  <c r="Y622" i="37"/>
  <c r="DB622" i="37" s="1"/>
  <c r="DG635" i="37"/>
  <c r="DH635" i="37"/>
  <c r="DA625" i="37"/>
  <c r="W625" i="37"/>
  <c r="CZ625" i="37" s="1"/>
  <c r="DA597" i="37"/>
  <c r="W597" i="37"/>
  <c r="CZ597" i="37" s="1"/>
  <c r="Y597" i="37"/>
  <c r="DB597" i="37" s="1"/>
  <c r="DG591" i="37"/>
  <c r="DH591" i="37"/>
  <c r="DG617" i="37"/>
  <c r="DH617" i="37"/>
  <c r="DA662" i="37"/>
  <c r="Y662" i="37"/>
  <c r="DB662" i="37" s="1"/>
  <c r="DD652" i="37"/>
  <c r="DC652" i="37"/>
  <c r="DH646" i="37"/>
  <c r="DG646" i="37"/>
  <c r="DD644" i="37"/>
  <c r="DC644" i="37"/>
  <c r="DH651" i="37"/>
  <c r="DG651" i="37"/>
  <c r="DH633" i="37"/>
  <c r="DG633" i="37"/>
  <c r="DC638" i="37"/>
  <c r="DD638" i="37"/>
  <c r="DD631" i="37"/>
  <c r="DC631" i="37"/>
  <c r="DA657" i="37"/>
  <c r="Y657" i="37"/>
  <c r="DB657" i="37" s="1"/>
  <c r="DE650" i="37"/>
  <c r="DF650" i="37"/>
  <c r="DF638" i="37"/>
  <c r="DE638" i="37"/>
  <c r="W662" i="37"/>
  <c r="CZ662" i="37" s="1"/>
  <c r="DH658" i="37"/>
  <c r="DG658" i="37"/>
  <c r="DH659" i="37"/>
  <c r="DG659" i="37"/>
  <c r="DD660" i="37"/>
  <c r="DC660" i="37"/>
  <c r="DH654" i="37"/>
  <c r="DG654" i="37"/>
  <c r="DF652" i="37"/>
  <c r="DE652" i="37"/>
  <c r="W661" i="37"/>
  <c r="CZ661" i="37" s="1"/>
  <c r="DH647" i="37"/>
  <c r="DG647" i="37"/>
  <c r="DF653" i="37"/>
  <c r="DE653" i="37"/>
  <c r="W650" i="37"/>
  <c r="CZ650" i="37" s="1"/>
  <c r="DH644" i="37"/>
  <c r="DG644" i="37"/>
  <c r="DC637" i="37"/>
  <c r="DD637" i="37"/>
  <c r="W643" i="37"/>
  <c r="CZ643" i="37" s="1"/>
  <c r="DF651" i="37"/>
  <c r="DE651" i="37"/>
  <c r="Y641" i="37"/>
  <c r="DB641" i="37" s="1"/>
  <c r="W639" i="37"/>
  <c r="CZ639" i="37" s="1"/>
  <c r="DD633" i="37"/>
  <c r="DC633" i="37"/>
  <c r="DA624" i="37"/>
  <c r="Y624" i="37"/>
  <c r="DB624" i="37" s="1"/>
  <c r="Y638" i="37"/>
  <c r="DB638" i="37" s="1"/>
  <c r="W636" i="37"/>
  <c r="CZ636" i="37" s="1"/>
  <c r="DF631" i="37"/>
  <c r="DE631" i="37"/>
  <c r="DF634" i="37"/>
  <c r="DE634" i="37"/>
  <c r="DG627" i="37"/>
  <c r="DH627" i="37"/>
  <c r="Y625" i="37"/>
  <c r="DB625" i="37" s="1"/>
  <c r="DA593" i="37"/>
  <c r="W593" i="37"/>
  <c r="CZ593" i="37" s="1"/>
  <c r="Y593" i="37"/>
  <c r="DB593" i="37" s="1"/>
  <c r="DC619" i="37"/>
  <c r="DD619" i="37"/>
  <c r="DF617" i="37"/>
  <c r="DE617" i="37"/>
  <c r="DC590" i="37"/>
  <c r="DD590" i="37"/>
  <c r="DC515" i="37"/>
  <c r="DD515" i="37"/>
  <c r="DC511" i="37"/>
  <c r="DD511" i="37"/>
  <c r="DC244" i="37"/>
  <c r="DD244" i="37"/>
  <c r="DD659" i="37"/>
  <c r="DC659" i="37"/>
  <c r="DH656" i="37"/>
  <c r="DG656" i="37"/>
  <c r="DF642" i="37"/>
  <c r="DE642" i="37"/>
  <c r="DF636" i="37"/>
  <c r="DE636" i="37"/>
  <c r="DA623" i="37"/>
  <c r="Y623" i="37"/>
  <c r="DB623" i="37" s="1"/>
  <c r="DG629" i="37"/>
  <c r="DH629" i="37"/>
  <c r="DC627" i="37"/>
  <c r="DD627" i="37"/>
  <c r="DA618" i="37"/>
  <c r="W618" i="37"/>
  <c r="CZ618" i="37" s="1"/>
  <c r="DA596" i="37"/>
  <c r="Y596" i="37"/>
  <c r="DB596" i="37" s="1"/>
  <c r="DC591" i="37"/>
  <c r="DD591" i="37"/>
  <c r="DG619" i="37"/>
  <c r="DH619" i="37"/>
  <c r="DD615" i="37"/>
  <c r="DC615" i="37"/>
  <c r="DH559" i="37"/>
  <c r="DG559" i="37"/>
  <c r="DD509" i="37"/>
  <c r="DC509" i="37"/>
  <c r="DD663" i="37"/>
  <c r="DC663" i="37"/>
  <c r="DD657" i="37"/>
  <c r="DC657" i="37"/>
  <c r="DG650" i="37"/>
  <c r="DH650" i="37"/>
  <c r="DF641" i="37"/>
  <c r="DE641" i="37"/>
  <c r="DF663" i="37"/>
  <c r="DE663" i="37"/>
  <c r="DF661" i="37"/>
  <c r="DE661" i="37"/>
  <c r="DH645" i="37"/>
  <c r="DG645" i="37"/>
  <c r="Y655" i="37"/>
  <c r="DB655" i="37" s="1"/>
  <c r="W641" i="37"/>
  <c r="CZ641" i="37" s="1"/>
  <c r="DC640" i="37"/>
  <c r="DD640" i="37"/>
  <c r="DG634" i="37"/>
  <c r="DH634" i="37"/>
  <c r="DG628" i="37"/>
  <c r="DH628" i="37"/>
  <c r="DH626" i="37"/>
  <c r="DG626" i="37"/>
  <c r="DD622" i="37"/>
  <c r="DC622" i="37"/>
  <c r="DG616" i="37"/>
  <c r="DH616" i="37"/>
  <c r="DA621" i="37"/>
  <c r="W621" i="37"/>
  <c r="CZ621" i="37" s="1"/>
  <c r="Y621" i="37"/>
  <c r="DB621" i="37" s="1"/>
  <c r="DA620" i="37"/>
  <c r="W620" i="37"/>
  <c r="CZ620" i="37" s="1"/>
  <c r="DC598" i="37"/>
  <c r="DD598" i="37"/>
  <c r="DA592" i="37"/>
  <c r="Y592" i="37"/>
  <c r="DB592" i="37" s="1"/>
  <c r="W592" i="37"/>
  <c r="CZ592" i="37" s="1"/>
  <c r="DG598" i="37"/>
  <c r="DH598" i="37"/>
  <c r="DC594" i="37"/>
  <c r="DD594" i="37"/>
  <c r="DC576" i="37"/>
  <c r="DD576" i="37"/>
  <c r="DH558" i="37"/>
  <c r="DG558" i="37"/>
  <c r="DC554" i="37"/>
  <c r="DD554" i="37"/>
  <c r="DC310" i="37"/>
  <c r="DD310" i="37"/>
  <c r="DA594" i="37"/>
  <c r="Y594" i="37"/>
  <c r="DB594" i="37" s="1"/>
  <c r="DF615" i="37"/>
  <c r="DE615" i="37"/>
  <c r="DG590" i="37"/>
  <c r="DH590" i="37"/>
  <c r="DG577" i="37"/>
  <c r="DH577" i="37"/>
  <c r="DC573" i="37"/>
  <c r="DD573" i="37"/>
  <c r="DG585" i="37"/>
  <c r="DH585" i="37"/>
  <c r="DC583" i="37"/>
  <c r="DD583" i="37"/>
  <c r="DF581" i="37"/>
  <c r="DE581" i="37"/>
  <c r="DC577" i="37"/>
  <c r="DD577" i="37"/>
  <c r="DF571" i="37"/>
  <c r="DE571" i="37"/>
  <c r="DF564" i="37"/>
  <c r="DE564" i="37"/>
  <c r="DD569" i="37"/>
  <c r="DC569" i="37"/>
  <c r="DD563" i="37"/>
  <c r="DC563" i="37"/>
  <c r="DA557" i="37"/>
  <c r="W557" i="37"/>
  <c r="CZ557" i="37" s="1"/>
  <c r="DG584" i="37"/>
  <c r="DH584" i="37"/>
  <c r="DC582" i="37"/>
  <c r="DD582" i="37"/>
  <c r="DF580" i="37"/>
  <c r="DE580" i="37"/>
  <c r="DG573" i="37"/>
  <c r="DH573" i="37"/>
  <c r="DC561" i="37"/>
  <c r="DD561" i="37"/>
  <c r="DC572" i="37"/>
  <c r="DD572" i="37"/>
  <c r="DD568" i="37"/>
  <c r="DC568" i="37"/>
  <c r="DH562" i="37"/>
  <c r="DG562" i="37"/>
  <c r="DA555" i="37"/>
  <c r="Y555" i="37"/>
  <c r="DB555" i="37" s="1"/>
  <c r="Y571" i="37"/>
  <c r="DB571" i="37" s="1"/>
  <c r="DF556" i="37"/>
  <c r="DE556" i="37"/>
  <c r="DD532" i="37"/>
  <c r="DC532" i="37"/>
  <c r="DF530" i="37"/>
  <c r="DE530" i="37"/>
  <c r="DH528" i="37"/>
  <c r="DG528" i="37"/>
  <c r="DD524" i="37"/>
  <c r="DC524" i="37"/>
  <c r="DF522" i="37"/>
  <c r="DE522" i="37"/>
  <c r="DH520" i="37"/>
  <c r="DG520" i="37"/>
  <c r="DF553" i="37"/>
  <c r="DE553" i="37"/>
  <c r="DE551" i="37"/>
  <c r="DF551" i="37"/>
  <c r="DF519" i="37"/>
  <c r="DE519" i="37"/>
  <c r="DD508" i="37"/>
  <c r="DC508" i="37"/>
  <c r="DD531" i="37"/>
  <c r="DC531" i="37"/>
  <c r="DF529" i="37"/>
  <c r="DE529" i="37"/>
  <c r="Y527" i="37"/>
  <c r="DB527" i="37" s="1"/>
  <c r="DD523" i="37"/>
  <c r="DC523" i="37"/>
  <c r="DF521" i="37"/>
  <c r="DE521" i="37"/>
  <c r="DA517" i="37"/>
  <c r="Y517" i="37"/>
  <c r="DB517" i="37" s="1"/>
  <c r="DA513" i="37"/>
  <c r="Y513" i="37"/>
  <c r="DB513" i="37" s="1"/>
  <c r="DD487" i="37"/>
  <c r="DC487" i="37"/>
  <c r="Y552" i="37"/>
  <c r="DB552" i="37" s="1"/>
  <c r="Y506" i="37"/>
  <c r="DB506" i="37" s="1"/>
  <c r="DE504" i="37"/>
  <c r="DF504" i="37"/>
  <c r="DC491" i="37"/>
  <c r="DD491" i="37"/>
  <c r="DC462" i="37"/>
  <c r="DD462" i="37"/>
  <c r="DD492" i="37"/>
  <c r="DC492" i="37"/>
  <c r="DD469" i="37"/>
  <c r="DC469" i="37"/>
  <c r="DF467" i="37"/>
  <c r="DE467" i="37"/>
  <c r="Y465" i="37"/>
  <c r="DB465" i="37" s="1"/>
  <c r="DF497" i="37"/>
  <c r="DE497" i="37"/>
  <c r="DG464" i="37"/>
  <c r="DH464" i="37"/>
  <c r="DH457" i="37"/>
  <c r="DG457" i="37"/>
  <c r="DH453" i="37"/>
  <c r="DG453" i="37"/>
  <c r="DH449" i="37"/>
  <c r="DG449" i="37"/>
  <c r="DH445" i="37"/>
  <c r="DG445" i="37"/>
  <c r="DH441" i="37"/>
  <c r="DG441" i="37"/>
  <c r="DD503" i="37"/>
  <c r="DC503" i="37"/>
  <c r="DD495" i="37"/>
  <c r="DC495" i="37"/>
  <c r="DE493" i="37"/>
  <c r="DF493" i="37"/>
  <c r="DE470" i="37"/>
  <c r="DF470" i="37"/>
  <c r="Y468" i="37"/>
  <c r="DB468" i="37" s="1"/>
  <c r="DC464" i="37"/>
  <c r="DD464" i="37"/>
  <c r="DF459" i="37"/>
  <c r="DE459" i="37"/>
  <c r="DF455" i="37"/>
  <c r="DE455" i="37"/>
  <c r="DF451" i="37"/>
  <c r="DE451" i="37"/>
  <c r="DF447" i="37"/>
  <c r="DE447" i="37"/>
  <c r="DF443" i="37"/>
  <c r="DE443" i="37"/>
  <c r="DF437" i="37"/>
  <c r="DE437" i="37"/>
  <c r="W448" i="37"/>
  <c r="CZ448" i="37" s="1"/>
  <c r="Y438" i="37"/>
  <c r="DB438" i="37" s="1"/>
  <c r="DD436" i="37"/>
  <c r="DC436" i="37"/>
  <c r="DD435" i="37"/>
  <c r="DC435" i="37"/>
  <c r="DD434" i="37"/>
  <c r="DC434" i="37"/>
  <c r="DG430" i="37"/>
  <c r="DH430" i="37"/>
  <c r="DC463" i="37"/>
  <c r="DD463" i="37"/>
  <c r="DD445" i="37"/>
  <c r="DC445" i="37"/>
  <c r="DD439" i="37"/>
  <c r="DC439" i="37"/>
  <c r="W458" i="37"/>
  <c r="CZ458" i="37" s="1"/>
  <c r="DD442" i="37"/>
  <c r="DC442" i="37"/>
  <c r="DA431" i="37"/>
  <c r="W431" i="37"/>
  <c r="CZ431" i="37" s="1"/>
  <c r="DE428" i="37"/>
  <c r="DF428" i="37"/>
  <c r="Y462" i="37"/>
  <c r="DB462" i="37" s="1"/>
  <c r="W447" i="37"/>
  <c r="CZ447" i="37" s="1"/>
  <c r="W407" i="37"/>
  <c r="CZ407" i="37" s="1"/>
  <c r="Y425" i="37"/>
  <c r="DB425" i="37" s="1"/>
  <c r="DC386" i="37"/>
  <c r="DD386" i="37"/>
  <c r="DG404" i="37"/>
  <c r="DH404" i="37"/>
  <c r="DC402" i="37"/>
  <c r="DD402" i="37"/>
  <c r="DF400" i="37"/>
  <c r="DE400" i="37"/>
  <c r="DG396" i="37"/>
  <c r="DH396" i="37"/>
  <c r="DC394" i="37"/>
  <c r="DD394" i="37"/>
  <c r="DF392" i="37"/>
  <c r="DE392" i="37"/>
  <c r="DG388" i="37"/>
  <c r="DH388" i="37"/>
  <c r="DF360" i="37"/>
  <c r="DE360" i="37"/>
  <c r="DF426" i="37"/>
  <c r="DE426" i="37"/>
  <c r="DG385" i="37"/>
  <c r="DH385" i="37"/>
  <c r="DC383" i="37"/>
  <c r="DD383" i="37"/>
  <c r="DH369" i="37"/>
  <c r="DG369" i="37"/>
  <c r="DH365" i="37"/>
  <c r="DG365" i="37"/>
  <c r="DD362" i="37"/>
  <c r="DC362" i="37"/>
  <c r="DD343" i="37"/>
  <c r="DC343" i="37"/>
  <c r="DG403" i="37"/>
  <c r="DH403" i="37"/>
  <c r="DC401" i="37"/>
  <c r="DD401" i="37"/>
  <c r="DF399" i="37"/>
  <c r="DE399" i="37"/>
  <c r="DG395" i="37"/>
  <c r="DH395" i="37"/>
  <c r="DC393" i="37"/>
  <c r="DD393" i="37"/>
  <c r="DF391" i="37"/>
  <c r="DE391" i="37"/>
  <c r="DG387" i="37"/>
  <c r="DH387" i="37"/>
  <c r="DF385" i="37"/>
  <c r="DE385" i="37"/>
  <c r="DF376" i="37"/>
  <c r="DE376" i="37"/>
  <c r="DF369" i="37"/>
  <c r="DE369" i="37"/>
  <c r="Y377" i="37"/>
  <c r="DB377" i="37" s="1"/>
  <c r="DF364" i="37"/>
  <c r="DE364" i="37"/>
  <c r="Y344" i="37"/>
  <c r="DB344" i="37" s="1"/>
  <c r="DE306" i="37"/>
  <c r="DF306" i="37"/>
  <c r="DH302" i="37"/>
  <c r="DG302" i="37"/>
  <c r="DC384" i="37"/>
  <c r="DD384" i="37"/>
  <c r="Y367" i="37"/>
  <c r="DB367" i="37" s="1"/>
  <c r="DF359" i="37"/>
  <c r="DE359" i="37"/>
  <c r="DF342" i="37"/>
  <c r="DE342" i="37"/>
  <c r="DG338" i="37"/>
  <c r="DH338" i="37"/>
  <c r="DC336" i="37"/>
  <c r="DD336" i="37"/>
  <c r="DF334" i="37"/>
  <c r="DE334" i="37"/>
  <c r="DG330" i="37"/>
  <c r="DH330" i="37"/>
  <c r="DC328" i="37"/>
  <c r="DD328" i="37"/>
  <c r="DF326" i="37"/>
  <c r="DE326" i="37"/>
  <c r="DG322" i="37"/>
  <c r="DH322" i="37"/>
  <c r="DC320" i="37"/>
  <c r="DD320" i="37"/>
  <c r="DF318" i="37"/>
  <c r="DE318" i="37"/>
  <c r="DF312" i="37"/>
  <c r="DE312" i="37"/>
  <c r="DF309" i="37"/>
  <c r="DE309" i="37"/>
  <c r="Y343" i="37"/>
  <c r="DB343" i="37" s="1"/>
  <c r="Y313" i="37"/>
  <c r="DB313" i="37" s="1"/>
  <c r="DD305" i="37"/>
  <c r="DC305" i="37"/>
  <c r="DD303" i="37"/>
  <c r="DC303" i="37"/>
  <c r="W376" i="37"/>
  <c r="CZ376" i="37" s="1"/>
  <c r="DD368" i="37"/>
  <c r="DC368" i="37"/>
  <c r="DE366" i="37"/>
  <c r="DF366" i="37"/>
  <c r="DG341" i="37"/>
  <c r="DH341" i="37"/>
  <c r="DC339" i="37"/>
  <c r="DD339" i="37"/>
  <c r="DF337" i="37"/>
  <c r="DE337" i="37"/>
  <c r="DG333" i="37"/>
  <c r="DH333" i="37"/>
  <c r="DC331" i="37"/>
  <c r="DD331" i="37"/>
  <c r="DF329" i="37"/>
  <c r="DE329" i="37"/>
  <c r="DG325" i="37"/>
  <c r="DH325" i="37"/>
  <c r="DC323" i="37"/>
  <c r="DD323" i="37"/>
  <c r="DF321" i="37"/>
  <c r="DE321" i="37"/>
  <c r="DG317" i="37"/>
  <c r="DH317" i="37"/>
  <c r="DC315" i="37"/>
  <c r="DD315" i="37"/>
  <c r="DF303" i="37"/>
  <c r="DE303" i="37"/>
  <c r="DD302" i="37"/>
  <c r="DC302" i="37"/>
  <c r="W279" i="37"/>
  <c r="DF251" i="37"/>
  <c r="DE251" i="37"/>
  <c r="Y248" i="37"/>
  <c r="DB248" i="37" s="1"/>
  <c r="DG217" i="37"/>
  <c r="DH217" i="37"/>
  <c r="DH215" i="37"/>
  <c r="DG215" i="37"/>
  <c r="DH213" i="37"/>
  <c r="DG213" i="37"/>
  <c r="DH211" i="37"/>
  <c r="DG211" i="37"/>
  <c r="DH209" i="37"/>
  <c r="DG209" i="37"/>
  <c r="DF300" i="37"/>
  <c r="DE300" i="37"/>
  <c r="DD277" i="37"/>
  <c r="DC277" i="37"/>
  <c r="DE275" i="37"/>
  <c r="DF275" i="37"/>
  <c r="Y273" i="37"/>
  <c r="DB273" i="37" s="1"/>
  <c r="DD269" i="37"/>
  <c r="DC269" i="37"/>
  <c r="DE267" i="37"/>
  <c r="DF267" i="37"/>
  <c r="Y265" i="37"/>
  <c r="DB265" i="37" s="1"/>
  <c r="DD261" i="37"/>
  <c r="DC261" i="37"/>
  <c r="DE259" i="37"/>
  <c r="DF259" i="37"/>
  <c r="Y257" i="37"/>
  <c r="DB257" i="37" s="1"/>
  <c r="DD253" i="37"/>
  <c r="DC253" i="37"/>
  <c r="DF249" i="37"/>
  <c r="DE249" i="37"/>
  <c r="DF236" i="37"/>
  <c r="DE236" i="37"/>
  <c r="DF217" i="37"/>
  <c r="DE217" i="37"/>
  <c r="W251" i="37"/>
  <c r="CZ251" i="37" s="1"/>
  <c r="DD242" i="37"/>
  <c r="DC242" i="37"/>
  <c r="DD215" i="37"/>
  <c r="DC215" i="37"/>
  <c r="DD213" i="37"/>
  <c r="DC213" i="37"/>
  <c r="DD211" i="37"/>
  <c r="DC211" i="37"/>
  <c r="DD209" i="37"/>
  <c r="DC209" i="37"/>
  <c r="DH175" i="37"/>
  <c r="DG175" i="37"/>
  <c r="DH151" i="37"/>
  <c r="DG151" i="37"/>
  <c r="DH147" i="37"/>
  <c r="DG147" i="37"/>
  <c r="DH143" i="37"/>
  <c r="DG143" i="37"/>
  <c r="DH139" i="37"/>
  <c r="DG139" i="37"/>
  <c r="DC299" i="37"/>
  <c r="DD299" i="37"/>
  <c r="DF297" i="37"/>
  <c r="DE297" i="37"/>
  <c r="DE278" i="37"/>
  <c r="DF278" i="37"/>
  <c r="DH276" i="37"/>
  <c r="DG276" i="37"/>
  <c r="DD272" i="37"/>
  <c r="DC272" i="37"/>
  <c r="DE270" i="37"/>
  <c r="DF270" i="37"/>
  <c r="DH268" i="37"/>
  <c r="DG268" i="37"/>
  <c r="DD264" i="37"/>
  <c r="DC264" i="37"/>
  <c r="DE262" i="37"/>
  <c r="DF262" i="37"/>
  <c r="DH260" i="37"/>
  <c r="DG260" i="37"/>
  <c r="DD256" i="37"/>
  <c r="DC256" i="37"/>
  <c r="DE254" i="37"/>
  <c r="DF254" i="37"/>
  <c r="DH252" i="37"/>
  <c r="DG252" i="37"/>
  <c r="DH242" i="37"/>
  <c r="DG242" i="37"/>
  <c r="DH240" i="37"/>
  <c r="DG240" i="37"/>
  <c r="DC234" i="37"/>
  <c r="DD234" i="37"/>
  <c r="DG194" i="37"/>
  <c r="DH194" i="37"/>
  <c r="DG190" i="37"/>
  <c r="DH190" i="37"/>
  <c r="DF188" i="37"/>
  <c r="DE188" i="37"/>
  <c r="DG185" i="37"/>
  <c r="DH185" i="37"/>
  <c r="DF181" i="37"/>
  <c r="DE181" i="37"/>
  <c r="DG171" i="37"/>
  <c r="DH171" i="37"/>
  <c r="DF152" i="37"/>
  <c r="DE152" i="37"/>
  <c r="DF148" i="37"/>
  <c r="DE148" i="37"/>
  <c r="DF144" i="37"/>
  <c r="DE144" i="37"/>
  <c r="DF140" i="37"/>
  <c r="DE140" i="37"/>
  <c r="DF136" i="37"/>
  <c r="DE136" i="37"/>
  <c r="DG235" i="37"/>
  <c r="DH235" i="37"/>
  <c r="DG206" i="37"/>
  <c r="DH206" i="37"/>
  <c r="DF189" i="37"/>
  <c r="DE189" i="37"/>
  <c r="DD186" i="37"/>
  <c r="DC186" i="37"/>
  <c r="DF173" i="37"/>
  <c r="DE173" i="37"/>
  <c r="W144" i="37"/>
  <c r="CZ144" i="37" s="1"/>
  <c r="DG127" i="37"/>
  <c r="DH127" i="37"/>
  <c r="DF194" i="37"/>
  <c r="DE194" i="37"/>
  <c r="DH187" i="37"/>
  <c r="DG187" i="37"/>
  <c r="W145" i="37"/>
  <c r="CZ145" i="37" s="1"/>
  <c r="DF135" i="37"/>
  <c r="DE135" i="37"/>
  <c r="DF134" i="37"/>
  <c r="DE134" i="37"/>
  <c r="DF133" i="37"/>
  <c r="DE133" i="37"/>
  <c r="DF245" i="37"/>
  <c r="DE245" i="37"/>
  <c r="DF191" i="37"/>
  <c r="DE191" i="37"/>
  <c r="DF174" i="37"/>
  <c r="DE174" i="37"/>
  <c r="DG153" i="37"/>
  <c r="DH153" i="37"/>
  <c r="W146" i="37"/>
  <c r="CZ146" i="37" s="1"/>
  <c r="DA124" i="37"/>
  <c r="W124" i="37"/>
  <c r="CZ124" i="37" s="1"/>
  <c r="DH113" i="37"/>
  <c r="DG113" i="37"/>
  <c r="DC237" i="37"/>
  <c r="DD237" i="37"/>
  <c r="DC184" i="37"/>
  <c r="DD184" i="37"/>
  <c r="W175" i="37"/>
  <c r="CZ175" i="37" s="1"/>
  <c r="W143" i="37"/>
  <c r="CZ143" i="37" s="1"/>
  <c r="DH123" i="37"/>
  <c r="DG123" i="37"/>
  <c r="X91" i="37"/>
  <c r="DA91" i="37" s="1"/>
  <c r="X87" i="37"/>
  <c r="DA87" i="37" s="1"/>
  <c r="W87" i="37"/>
  <c r="CZ87" i="37" s="1"/>
  <c r="Y87" i="37"/>
  <c r="DB87" i="37" s="1"/>
  <c r="X83" i="37"/>
  <c r="DA83" i="37" s="1"/>
  <c r="X79" i="37"/>
  <c r="DA79" i="37" s="1"/>
  <c r="W79" i="37"/>
  <c r="CZ79" i="37" s="1"/>
  <c r="X75" i="37"/>
  <c r="DA75" i="37" s="1"/>
  <c r="W75" i="37"/>
  <c r="CZ75" i="37" s="1"/>
  <c r="Y75" i="37"/>
  <c r="DB75" i="37" s="1"/>
  <c r="X71" i="37"/>
  <c r="DA71" i="37" s="1"/>
  <c r="W71" i="37"/>
  <c r="CZ71" i="37" s="1"/>
  <c r="Y71" i="37"/>
  <c r="DB71" i="37" s="1"/>
  <c r="X67" i="37"/>
  <c r="DA67" i="37" s="1"/>
  <c r="X63" i="37"/>
  <c r="DA63" i="37" s="1"/>
  <c r="W63" i="37"/>
  <c r="CZ63" i="37" s="1"/>
  <c r="X59" i="37"/>
  <c r="DA59" i="37" s="1"/>
  <c r="W59" i="37"/>
  <c r="CZ59" i="37" s="1"/>
  <c r="Y59" i="37"/>
  <c r="DB59" i="37" s="1"/>
  <c r="DG132" i="37"/>
  <c r="DH132" i="37"/>
  <c r="DF129" i="37"/>
  <c r="DE129" i="37"/>
  <c r="W115" i="37"/>
  <c r="CZ115" i="37" s="1"/>
  <c r="DD108" i="37"/>
  <c r="DC108" i="37"/>
  <c r="W106" i="37"/>
  <c r="CZ106" i="37" s="1"/>
  <c r="DD90" i="37"/>
  <c r="DC90" i="37"/>
  <c r="DF86" i="37"/>
  <c r="DE86" i="37"/>
  <c r="Y82" i="37"/>
  <c r="DB82" i="37" s="1"/>
  <c r="DD74" i="37"/>
  <c r="DC74" i="37"/>
  <c r="DF70" i="37"/>
  <c r="DE70" i="37"/>
  <c r="Y66" i="37"/>
  <c r="DB66" i="37" s="1"/>
  <c r="DD58" i="37"/>
  <c r="DC58" i="37"/>
  <c r="DE54" i="37"/>
  <c r="DF54" i="37"/>
  <c r="Y121" i="37"/>
  <c r="DB121" i="37" s="1"/>
  <c r="DD117" i="37"/>
  <c r="DC117" i="37"/>
  <c r="Y93" i="37"/>
  <c r="DB93" i="37" s="1"/>
  <c r="DH55" i="37"/>
  <c r="DG55" i="37"/>
  <c r="DD49" i="37"/>
  <c r="DC49" i="37"/>
  <c r="EC56" i="37"/>
  <c r="EC55" i="37"/>
  <c r="EC54" i="37"/>
  <c r="EE50" i="37"/>
  <c r="EE51" i="37"/>
  <c r="EE49" i="37"/>
  <c r="DG128" i="37"/>
  <c r="DH128" i="37"/>
  <c r="DF125" i="37"/>
  <c r="DE125" i="37"/>
  <c r="DH122" i="37"/>
  <c r="DG122" i="37"/>
  <c r="DD111" i="37"/>
  <c r="DC111" i="37"/>
  <c r="DE109" i="37"/>
  <c r="DF109" i="37"/>
  <c r="DH107" i="37"/>
  <c r="DG107" i="37"/>
  <c r="W92" i="37"/>
  <c r="CZ92" i="37" s="1"/>
  <c r="DF84" i="37"/>
  <c r="DE84" i="37"/>
  <c r="DH80" i="37"/>
  <c r="DG80" i="37"/>
  <c r="W76" i="37"/>
  <c r="CZ76" i="37" s="1"/>
  <c r="DF68" i="37"/>
  <c r="DE68" i="37"/>
  <c r="DH64" i="37"/>
  <c r="DG64" i="37"/>
  <c r="W60" i="37"/>
  <c r="CZ60" i="37" s="1"/>
  <c r="DE120" i="37"/>
  <c r="DF120" i="37"/>
  <c r="DH118" i="37"/>
  <c r="DG118" i="37"/>
  <c r="DE89" i="37"/>
  <c r="DF89" i="37"/>
  <c r="DH85" i="37"/>
  <c r="DG85" i="37"/>
  <c r="W77" i="37"/>
  <c r="CZ77" i="37" s="1"/>
  <c r="DE73" i="37"/>
  <c r="DF73" i="37"/>
  <c r="DH69" i="37"/>
  <c r="DG69" i="37"/>
  <c r="W61" i="37"/>
  <c r="CZ61" i="37" s="1"/>
  <c r="DE57" i="37"/>
  <c r="DF57" i="37"/>
  <c r="W53" i="37"/>
  <c r="CZ53" i="37" s="1"/>
  <c r="DF628" i="37"/>
  <c r="DE628" i="37"/>
  <c r="DC635" i="37"/>
  <c r="DD635" i="37"/>
  <c r="DC629" i="37"/>
  <c r="DD629" i="37"/>
  <c r="DF627" i="37"/>
  <c r="DE627" i="37"/>
  <c r="DF616" i="37"/>
  <c r="DE616" i="37"/>
  <c r="W616" i="37"/>
  <c r="CZ616" i="37" s="1"/>
  <c r="DC587" i="37"/>
  <c r="DD587" i="37"/>
  <c r="DE598" i="37"/>
  <c r="DF598" i="37"/>
  <c r="DF591" i="37"/>
  <c r="DE591" i="37"/>
  <c r="DF619" i="37"/>
  <c r="DE619" i="37"/>
  <c r="DC589" i="37"/>
  <c r="DD589" i="37"/>
  <c r="W595" i="37"/>
  <c r="CZ595" i="37" s="1"/>
  <c r="DF590" i="37"/>
  <c r="DE590" i="37"/>
  <c r="W588" i="37"/>
  <c r="CZ588" i="37" s="1"/>
  <c r="DC585" i="37"/>
  <c r="DD585" i="37"/>
  <c r="DF583" i="37"/>
  <c r="DE583" i="37"/>
  <c r="Y579" i="37"/>
  <c r="DB579" i="37" s="1"/>
  <c r="DF577" i="37"/>
  <c r="DE577" i="37"/>
  <c r="DF570" i="37"/>
  <c r="DE570" i="37"/>
  <c r="DF563" i="37"/>
  <c r="DE563" i="37"/>
  <c r="DH567" i="37"/>
  <c r="DG567" i="37"/>
  <c r="W562" i="37"/>
  <c r="CZ562" i="37" s="1"/>
  <c r="Y586" i="37"/>
  <c r="DB586" i="37" s="1"/>
  <c r="W584" i="37"/>
  <c r="CZ584" i="37" s="1"/>
  <c r="DF582" i="37"/>
  <c r="DE582" i="37"/>
  <c r="Y578" i="37"/>
  <c r="DB578" i="37" s="1"/>
  <c r="W574" i="37"/>
  <c r="CZ574" i="37" s="1"/>
  <c r="DF561" i="37"/>
  <c r="DE561" i="37"/>
  <c r="Y572" i="37"/>
  <c r="DB572" i="37" s="1"/>
  <c r="DE568" i="37"/>
  <c r="DF568" i="37"/>
  <c r="Y566" i="37"/>
  <c r="DB566" i="37" s="1"/>
  <c r="Y570" i="37"/>
  <c r="DB570" i="37" s="1"/>
  <c r="Y564" i="37"/>
  <c r="DB564" i="37" s="1"/>
  <c r="DD556" i="37"/>
  <c r="DC556" i="37"/>
  <c r="DF532" i="37"/>
  <c r="DE532" i="37"/>
  <c r="Y530" i="37"/>
  <c r="DB530" i="37" s="1"/>
  <c r="DD526" i="37"/>
  <c r="DC526" i="37"/>
  <c r="DF524" i="37"/>
  <c r="DE524" i="37"/>
  <c r="Y522" i="37"/>
  <c r="DB522" i="37" s="1"/>
  <c r="Y519" i="37"/>
  <c r="DB519" i="37" s="1"/>
  <c r="DF510" i="37"/>
  <c r="DE510" i="37"/>
  <c r="DF508" i="37"/>
  <c r="DE508" i="37"/>
  <c r="DF506" i="37"/>
  <c r="DE506" i="37"/>
  <c r="Y553" i="37"/>
  <c r="DB553" i="37" s="1"/>
  <c r="Y551" i="37"/>
  <c r="DB551" i="37" s="1"/>
  <c r="W506" i="37"/>
  <c r="CZ506" i="37" s="1"/>
  <c r="W533" i="37"/>
  <c r="CZ533" i="37" s="1"/>
  <c r="DF531" i="37"/>
  <c r="DE531" i="37"/>
  <c r="Y529" i="37"/>
  <c r="DB529" i="37" s="1"/>
  <c r="W525" i="37"/>
  <c r="CZ525" i="37" s="1"/>
  <c r="DF523" i="37"/>
  <c r="DE523" i="37"/>
  <c r="Y521" i="37"/>
  <c r="DB521" i="37" s="1"/>
  <c r="DA516" i="37"/>
  <c r="Y516" i="37"/>
  <c r="DB516" i="37" s="1"/>
  <c r="DA512" i="37"/>
  <c r="Y512" i="37"/>
  <c r="DB512" i="37" s="1"/>
  <c r="W550" i="37"/>
  <c r="CZ550" i="37" s="1"/>
  <c r="W517" i="37"/>
  <c r="CZ517" i="37" s="1"/>
  <c r="W513" i="37"/>
  <c r="CZ513" i="37" s="1"/>
  <c r="DF503" i="37"/>
  <c r="DE503" i="37"/>
  <c r="DF496" i="37"/>
  <c r="DE496" i="37"/>
  <c r="Y504" i="37"/>
  <c r="DB504" i="37" s="1"/>
  <c r="DF491" i="37"/>
  <c r="DE491" i="37"/>
  <c r="W486" i="37"/>
  <c r="CZ486" i="37" s="1"/>
  <c r="W494" i="37"/>
  <c r="CZ494" i="37" s="1"/>
  <c r="DE469" i="37"/>
  <c r="DF469" i="37"/>
  <c r="Y467" i="37"/>
  <c r="DB467" i="37" s="1"/>
  <c r="Y508" i="37"/>
  <c r="DB508" i="37" s="1"/>
  <c r="W490" i="37"/>
  <c r="CZ490" i="37" s="1"/>
  <c r="Y460" i="37"/>
  <c r="DB460" i="37" s="1"/>
  <c r="Y456" i="37"/>
  <c r="DB456" i="37" s="1"/>
  <c r="Y452" i="37"/>
  <c r="DB452" i="37" s="1"/>
  <c r="Y448" i="37"/>
  <c r="DB448" i="37" s="1"/>
  <c r="Y444" i="37"/>
  <c r="DB444" i="37" s="1"/>
  <c r="Y437" i="37"/>
  <c r="DB437" i="37" s="1"/>
  <c r="Y502" i="37"/>
  <c r="DB502" i="37" s="1"/>
  <c r="DE495" i="37"/>
  <c r="DF495" i="37"/>
  <c r="Y493" i="37"/>
  <c r="DB493" i="37" s="1"/>
  <c r="Y470" i="37"/>
  <c r="DB470" i="37" s="1"/>
  <c r="W466" i="37"/>
  <c r="CZ466" i="37" s="1"/>
  <c r="DF464" i="37"/>
  <c r="DE464" i="37"/>
  <c r="DF458" i="37"/>
  <c r="DE458" i="37"/>
  <c r="DF454" i="37"/>
  <c r="DE454" i="37"/>
  <c r="DF450" i="37"/>
  <c r="DE450" i="37"/>
  <c r="DF446" i="37"/>
  <c r="DE446" i="37"/>
  <c r="DF442" i="37"/>
  <c r="DE442" i="37"/>
  <c r="W460" i="37"/>
  <c r="CZ460" i="37" s="1"/>
  <c r="W444" i="37"/>
  <c r="CZ444" i="37" s="1"/>
  <c r="Y433" i="37"/>
  <c r="DB433" i="37" s="1"/>
  <c r="DE430" i="37"/>
  <c r="DF430" i="37"/>
  <c r="W457" i="37"/>
  <c r="CZ457" i="37" s="1"/>
  <c r="W441" i="37"/>
  <c r="CZ441" i="37" s="1"/>
  <c r="DF439" i="37"/>
  <c r="DE439" i="37"/>
  <c r="DF461" i="37"/>
  <c r="DE461" i="37"/>
  <c r="W454" i="37"/>
  <c r="CZ454" i="37" s="1"/>
  <c r="W459" i="37"/>
  <c r="CZ459" i="37" s="1"/>
  <c r="W443" i="37"/>
  <c r="CZ443" i="37" s="1"/>
  <c r="Y428" i="37"/>
  <c r="DB428" i="37" s="1"/>
  <c r="DD423" i="37"/>
  <c r="DC423" i="37"/>
  <c r="DA386" i="37"/>
  <c r="Y386" i="37"/>
  <c r="DB386" i="37" s="1"/>
  <c r="DC429" i="37"/>
  <c r="DD429" i="37"/>
  <c r="DD406" i="37"/>
  <c r="DC406" i="37"/>
  <c r="DC404" i="37"/>
  <c r="DD404" i="37"/>
  <c r="DF402" i="37"/>
  <c r="DE402" i="37"/>
  <c r="Y398" i="37"/>
  <c r="DB398" i="37" s="1"/>
  <c r="DC396" i="37"/>
  <c r="DD396" i="37"/>
  <c r="DF394" i="37"/>
  <c r="DE394" i="37"/>
  <c r="Y390" i="37"/>
  <c r="DB390" i="37" s="1"/>
  <c r="DC388" i="37"/>
  <c r="DD388" i="37"/>
  <c r="DF343" i="37"/>
  <c r="DE343" i="37"/>
  <c r="W424" i="37"/>
  <c r="CZ424" i="37" s="1"/>
  <c r="Y422" i="37"/>
  <c r="DB422" i="37" s="1"/>
  <c r="DD361" i="37"/>
  <c r="DC361" i="37"/>
  <c r="W314" i="37"/>
  <c r="CZ314" i="37" s="1"/>
  <c r="Y405" i="37"/>
  <c r="DB405" i="37" s="1"/>
  <c r="DC403" i="37"/>
  <c r="DD403" i="37"/>
  <c r="DF401" i="37"/>
  <c r="DE401" i="37"/>
  <c r="Y397" i="37"/>
  <c r="DB397" i="37" s="1"/>
  <c r="DC395" i="37"/>
  <c r="DD395" i="37"/>
  <c r="DF393" i="37"/>
  <c r="DE393" i="37"/>
  <c r="Y389" i="37"/>
  <c r="DB389" i="37" s="1"/>
  <c r="DC387" i="37"/>
  <c r="DD387" i="37"/>
  <c r="DF365" i="37"/>
  <c r="DE365" i="37"/>
  <c r="W369" i="37"/>
  <c r="CZ369" i="37" s="1"/>
  <c r="Y311" i="37"/>
  <c r="DB311" i="37" s="1"/>
  <c r="DG309" i="37"/>
  <c r="DH309" i="37"/>
  <c r="DH307" i="37"/>
  <c r="DG307" i="37"/>
  <c r="Y306" i="37"/>
  <c r="DB306" i="37" s="1"/>
  <c r="DD304" i="37"/>
  <c r="DC304" i="37"/>
  <c r="DF384" i="37"/>
  <c r="DE384" i="37"/>
  <c r="W365" i="37"/>
  <c r="CZ365" i="37" s="1"/>
  <c r="Y359" i="37"/>
  <c r="DB359" i="37" s="1"/>
  <c r="Y340" i="37"/>
  <c r="DB340" i="37" s="1"/>
  <c r="DC338" i="37"/>
  <c r="DD338" i="37"/>
  <c r="DF336" i="37"/>
  <c r="DE336" i="37"/>
  <c r="Y332" i="37"/>
  <c r="DB332" i="37" s="1"/>
  <c r="DC330" i="37"/>
  <c r="DD330" i="37"/>
  <c r="DF328" i="37"/>
  <c r="DE328" i="37"/>
  <c r="Y324" i="37"/>
  <c r="DB324" i="37" s="1"/>
  <c r="DC322" i="37"/>
  <c r="DD322" i="37"/>
  <c r="DF320" i="37"/>
  <c r="DE320" i="37"/>
  <c r="Y316" i="37"/>
  <c r="DB316" i="37" s="1"/>
  <c r="Y312" i="37"/>
  <c r="DB312" i="37" s="1"/>
  <c r="DF304" i="37"/>
  <c r="DE304" i="37"/>
  <c r="Y370" i="37"/>
  <c r="DB370" i="37" s="1"/>
  <c r="Y314" i="37"/>
  <c r="DB314" i="37" s="1"/>
  <c r="Y375" i="37"/>
  <c r="DB375" i="37" s="1"/>
  <c r="DE368" i="37"/>
  <c r="DF368" i="37"/>
  <c r="Y366" i="37"/>
  <c r="DB366" i="37" s="1"/>
  <c r="W341" i="37"/>
  <c r="CZ341" i="37" s="1"/>
  <c r="DF339" i="37"/>
  <c r="DE339" i="37"/>
  <c r="Y335" i="37"/>
  <c r="DB335" i="37" s="1"/>
  <c r="W333" i="37"/>
  <c r="CZ333" i="37" s="1"/>
  <c r="DF331" i="37"/>
  <c r="DE331" i="37"/>
  <c r="Y327" i="37"/>
  <c r="DB327" i="37" s="1"/>
  <c r="W325" i="37"/>
  <c r="CZ325" i="37" s="1"/>
  <c r="DF323" i="37"/>
  <c r="DE323" i="37"/>
  <c r="Y319" i="37"/>
  <c r="DB319" i="37" s="1"/>
  <c r="W317" i="37"/>
  <c r="CZ317" i="37" s="1"/>
  <c r="DF315" i="37"/>
  <c r="DE315" i="37"/>
  <c r="Y303" i="37"/>
  <c r="DB303" i="37" s="1"/>
  <c r="DG247" i="37"/>
  <c r="DH247" i="37"/>
  <c r="DD241" i="37"/>
  <c r="DC241" i="37"/>
  <c r="DG236" i="37"/>
  <c r="DH236" i="37"/>
  <c r="DA218" i="37"/>
  <c r="W218" i="37"/>
  <c r="CZ218" i="37" s="1"/>
  <c r="DF207" i="37"/>
  <c r="DE207" i="37"/>
  <c r="DF205" i="37"/>
  <c r="DE205" i="37"/>
  <c r="W298" i="37"/>
  <c r="CZ298" i="37" s="1"/>
  <c r="W296" i="37"/>
  <c r="CZ296" i="37" s="1"/>
  <c r="DE277" i="37"/>
  <c r="DF277" i="37"/>
  <c r="Y275" i="37"/>
  <c r="DB275" i="37" s="1"/>
  <c r="W271" i="37"/>
  <c r="CZ271" i="37" s="1"/>
  <c r="DE269" i="37"/>
  <c r="DF269" i="37"/>
  <c r="Y267" i="37"/>
  <c r="DB267" i="37" s="1"/>
  <c r="W263" i="37"/>
  <c r="CZ263" i="37" s="1"/>
  <c r="DE261" i="37"/>
  <c r="DF261" i="37"/>
  <c r="Y259" i="37"/>
  <c r="DB259" i="37" s="1"/>
  <c r="W255" i="37"/>
  <c r="CZ255" i="37" s="1"/>
  <c r="DE253" i="37"/>
  <c r="DF253" i="37"/>
  <c r="Y249" i="37"/>
  <c r="DB249" i="37" s="1"/>
  <c r="W207" i="37"/>
  <c r="CZ207" i="37" s="1"/>
  <c r="Y250" i="37"/>
  <c r="DB250" i="37" s="1"/>
  <c r="DA244" i="37"/>
  <c r="Y244" i="37"/>
  <c r="DB244" i="37" s="1"/>
  <c r="DH186" i="37"/>
  <c r="DG186" i="37"/>
  <c r="DH181" i="37"/>
  <c r="DG181" i="37"/>
  <c r="DD177" i="37"/>
  <c r="DC177" i="37"/>
  <c r="DC170" i="37"/>
  <c r="DD170" i="37"/>
  <c r="DH150" i="37"/>
  <c r="DG150" i="37"/>
  <c r="DH146" i="37"/>
  <c r="DG146" i="37"/>
  <c r="DH142" i="37"/>
  <c r="DG142" i="37"/>
  <c r="DH138" i="37"/>
  <c r="DG138" i="37"/>
  <c r="DG299" i="37"/>
  <c r="DH299" i="37"/>
  <c r="Y297" i="37"/>
  <c r="DB297" i="37" s="1"/>
  <c r="Y278" i="37"/>
  <c r="DB278" i="37" s="1"/>
  <c r="DD274" i="37"/>
  <c r="DC274" i="37"/>
  <c r="DE272" i="37"/>
  <c r="DF272" i="37"/>
  <c r="Y270" i="37"/>
  <c r="DB270" i="37" s="1"/>
  <c r="DD266" i="37"/>
  <c r="DC266" i="37"/>
  <c r="DE264" i="37"/>
  <c r="DF264" i="37"/>
  <c r="Y262" i="37"/>
  <c r="DB262" i="37" s="1"/>
  <c r="DD258" i="37"/>
  <c r="DC258" i="37"/>
  <c r="DE256" i="37"/>
  <c r="DF256" i="37"/>
  <c r="Y254" i="37"/>
  <c r="DB254" i="37" s="1"/>
  <c r="DF234" i="37"/>
  <c r="DE234" i="37"/>
  <c r="DG195" i="37"/>
  <c r="DH195" i="37"/>
  <c r="DG191" i="37"/>
  <c r="DH191" i="37"/>
  <c r="DF186" i="37"/>
  <c r="DE186" i="37"/>
  <c r="DG182" i="37"/>
  <c r="DH182" i="37"/>
  <c r="DF179" i="37"/>
  <c r="DE179" i="37"/>
  <c r="DF151" i="37"/>
  <c r="DE151" i="37"/>
  <c r="DF147" i="37"/>
  <c r="DE147" i="37"/>
  <c r="DF143" i="37"/>
  <c r="DE143" i="37"/>
  <c r="DF139" i="37"/>
  <c r="DE139" i="37"/>
  <c r="Y246" i="37"/>
  <c r="DB246" i="37" s="1"/>
  <c r="W235" i="37"/>
  <c r="CZ235" i="37" s="1"/>
  <c r="W206" i="37"/>
  <c r="CZ206" i="37" s="1"/>
  <c r="DC189" i="37"/>
  <c r="DD189" i="37"/>
  <c r="DF185" i="37"/>
  <c r="DE185" i="37"/>
  <c r="DC173" i="37"/>
  <c r="DD173" i="37"/>
  <c r="W140" i="37"/>
  <c r="CZ140" i="37" s="1"/>
  <c r="DG131" i="37"/>
  <c r="DH131" i="37"/>
  <c r="Y207" i="37"/>
  <c r="DB207" i="37" s="1"/>
  <c r="DC194" i="37"/>
  <c r="DD194" i="37"/>
  <c r="DF182" i="37"/>
  <c r="DE182" i="37"/>
  <c r="DD176" i="37"/>
  <c r="DC176" i="37"/>
  <c r="W141" i="37"/>
  <c r="CZ141" i="37" s="1"/>
  <c r="Y135" i="37"/>
  <c r="DB135" i="37" s="1"/>
  <c r="Y134" i="37"/>
  <c r="DB134" i="37" s="1"/>
  <c r="Y133" i="37"/>
  <c r="DB133" i="37" s="1"/>
  <c r="DF131" i="37"/>
  <c r="DE131" i="37"/>
  <c r="DF127" i="37"/>
  <c r="DE127" i="37"/>
  <c r="DC191" i="37"/>
  <c r="DD191" i="37"/>
  <c r="DF171" i="37"/>
  <c r="DE171" i="37"/>
  <c r="W153" i="37"/>
  <c r="CZ153" i="37" s="1"/>
  <c r="W142" i="37"/>
  <c r="CZ142" i="37" s="1"/>
  <c r="DH114" i="37"/>
  <c r="DG114" i="37"/>
  <c r="DF237" i="37"/>
  <c r="DE237" i="37"/>
  <c r="DF192" i="37"/>
  <c r="DE192" i="37"/>
  <c r="W180" i="37"/>
  <c r="CZ180" i="37" s="1"/>
  <c r="DF172" i="37"/>
  <c r="DE172" i="37"/>
  <c r="W139" i="37"/>
  <c r="CZ139" i="37" s="1"/>
  <c r="DF114" i="37"/>
  <c r="DE114" i="37"/>
  <c r="DE106" i="37"/>
  <c r="DF106" i="37"/>
  <c r="DF132" i="37"/>
  <c r="DE132" i="37"/>
  <c r="W129" i="37"/>
  <c r="CZ129" i="37" s="1"/>
  <c r="W110" i="37"/>
  <c r="CZ110" i="37" s="1"/>
  <c r="DE108" i="37"/>
  <c r="DF108" i="37"/>
  <c r="DF94" i="37"/>
  <c r="DE94" i="37"/>
  <c r="DF90" i="37"/>
  <c r="DE90" i="37"/>
  <c r="Y86" i="37"/>
  <c r="DB86" i="37" s="1"/>
  <c r="W78" i="37"/>
  <c r="CZ78" i="37" s="1"/>
  <c r="DF74" i="37"/>
  <c r="DE74" i="37"/>
  <c r="Y70" i="37"/>
  <c r="DB70" i="37" s="1"/>
  <c r="W62" i="37"/>
  <c r="CZ62" i="37" s="1"/>
  <c r="DF58" i="37"/>
  <c r="DE58" i="37"/>
  <c r="Y54" i="37"/>
  <c r="DB54" i="37" s="1"/>
  <c r="W119" i="37"/>
  <c r="CZ119" i="37" s="1"/>
  <c r="DF117" i="37"/>
  <c r="DE117" i="37"/>
  <c r="W93" i="37"/>
  <c r="CZ93" i="37" s="1"/>
  <c r="W51" i="37"/>
  <c r="CZ51" i="37" s="1"/>
  <c r="DE49" i="37"/>
  <c r="DF49" i="37"/>
  <c r="DF128" i="37"/>
  <c r="DE128" i="37"/>
  <c r="W125" i="37"/>
  <c r="CZ125" i="37" s="1"/>
  <c r="W113" i="37"/>
  <c r="CZ113" i="37" s="1"/>
  <c r="DF111" i="37"/>
  <c r="DE111" i="37"/>
  <c r="Y109" i="37"/>
  <c r="DB109" i="37" s="1"/>
  <c r="DF88" i="37"/>
  <c r="DE88" i="37"/>
  <c r="Y84" i="37"/>
  <c r="DB84" i="37" s="1"/>
  <c r="W80" i="37"/>
  <c r="CZ80" i="37" s="1"/>
  <c r="DF72" i="37"/>
  <c r="DE72" i="37"/>
  <c r="Y68" i="37"/>
  <c r="DB68" i="37" s="1"/>
  <c r="W64" i="37"/>
  <c r="CZ64" i="37" s="1"/>
  <c r="W56" i="37"/>
  <c r="CZ56" i="37" s="1"/>
  <c r="Y120" i="37"/>
  <c r="DB120" i="37" s="1"/>
  <c r="Y89" i="37"/>
  <c r="DB89" i="37" s="1"/>
  <c r="DD81" i="37"/>
  <c r="DC81" i="37"/>
  <c r="DE77" i="37"/>
  <c r="DF77" i="37"/>
  <c r="Y73" i="37"/>
  <c r="DB73" i="37" s="1"/>
  <c r="DD65" i="37"/>
  <c r="DC65" i="37"/>
  <c r="DE61" i="37"/>
  <c r="DF61" i="37"/>
  <c r="Y57" i="37"/>
  <c r="DB57" i="37" s="1"/>
  <c r="DF48" i="37"/>
  <c r="DE48" i="37"/>
  <c r="DF626" i="37"/>
  <c r="DE626" i="37"/>
  <c r="DF635" i="37"/>
  <c r="DE635" i="37"/>
  <c r="DF629" i="37"/>
  <c r="DE629" i="37"/>
  <c r="DG589" i="37"/>
  <c r="DH589" i="37"/>
  <c r="W617" i="37"/>
  <c r="CZ617" i="37" s="1"/>
  <c r="DG595" i="37"/>
  <c r="DH595" i="37"/>
  <c r="Y615" i="37"/>
  <c r="DB615" i="37" s="1"/>
  <c r="DE595" i="37"/>
  <c r="DF595" i="37"/>
  <c r="DA576" i="37"/>
  <c r="Y576" i="37"/>
  <c r="DB576" i="37" s="1"/>
  <c r="Y588" i="37"/>
  <c r="DB588" i="37" s="1"/>
  <c r="DF585" i="37"/>
  <c r="DE585" i="37"/>
  <c r="Y581" i="37"/>
  <c r="DB581" i="37" s="1"/>
  <c r="W579" i="37"/>
  <c r="CZ579" i="37" s="1"/>
  <c r="W575" i="37"/>
  <c r="CZ575" i="37" s="1"/>
  <c r="DF569" i="37"/>
  <c r="DE569" i="37"/>
  <c r="DF562" i="37"/>
  <c r="DE562" i="37"/>
  <c r="W571" i="37"/>
  <c r="CZ571" i="37" s="1"/>
  <c r="W565" i="37"/>
  <c r="CZ565" i="37" s="1"/>
  <c r="DA559" i="37"/>
  <c r="W559" i="37"/>
  <c r="CZ559" i="37" s="1"/>
  <c r="W586" i="37"/>
  <c r="CZ586" i="37" s="1"/>
  <c r="DF584" i="37"/>
  <c r="DE584" i="37"/>
  <c r="Y580" i="37"/>
  <c r="DB580" i="37" s="1"/>
  <c r="W578" i="37"/>
  <c r="CZ578" i="37" s="1"/>
  <c r="Y574" i="37"/>
  <c r="DB574" i="37" s="1"/>
  <c r="Y565" i="37"/>
  <c r="DB565" i="37" s="1"/>
  <c r="DF572" i="37"/>
  <c r="DE572" i="37"/>
  <c r="DH568" i="37"/>
  <c r="DG568" i="37"/>
  <c r="W566" i="37"/>
  <c r="CZ566" i="37" s="1"/>
  <c r="Y554" i="37"/>
  <c r="DB554" i="37" s="1"/>
  <c r="DA554" i="37"/>
  <c r="Y563" i="37"/>
  <c r="DB563" i="37" s="1"/>
  <c r="Y557" i="37"/>
  <c r="DB557" i="37" s="1"/>
  <c r="DH550" i="37"/>
  <c r="DG550" i="37"/>
  <c r="DE550" i="37"/>
  <c r="DF550" i="37"/>
  <c r="Y532" i="37"/>
  <c r="DB532" i="37" s="1"/>
  <c r="W528" i="37"/>
  <c r="CZ528" i="37" s="1"/>
  <c r="DF526" i="37"/>
  <c r="DE526" i="37"/>
  <c r="Y524" i="37"/>
  <c r="DB524" i="37" s="1"/>
  <c r="W520" i="37"/>
  <c r="CZ520" i="37" s="1"/>
  <c r="W518" i="37"/>
  <c r="CZ518" i="37" s="1"/>
  <c r="W553" i="37"/>
  <c r="CZ553" i="37" s="1"/>
  <c r="DE533" i="37"/>
  <c r="DF533" i="37"/>
  <c r="DH531" i="37"/>
  <c r="DG531" i="37"/>
  <c r="W527" i="37"/>
  <c r="CZ527" i="37" s="1"/>
  <c r="DF525" i="37"/>
  <c r="DE525" i="37"/>
  <c r="DH523" i="37"/>
  <c r="DG523" i="37"/>
  <c r="DA515" i="37"/>
  <c r="Y515" i="37"/>
  <c r="DB515" i="37" s="1"/>
  <c r="DA511" i="37"/>
  <c r="Y511" i="37"/>
  <c r="DB511" i="37" s="1"/>
  <c r="DA509" i="37"/>
  <c r="Y509" i="37"/>
  <c r="DB509" i="37" s="1"/>
  <c r="DA507" i="37"/>
  <c r="Y507" i="37"/>
  <c r="DB507" i="37" s="1"/>
  <c r="DD505" i="37"/>
  <c r="DC505" i="37"/>
  <c r="DH503" i="37"/>
  <c r="DG503" i="37"/>
  <c r="DD501" i="37"/>
  <c r="DC501" i="37"/>
  <c r="DD500" i="37"/>
  <c r="DC500" i="37"/>
  <c r="DD499" i="37"/>
  <c r="DC499" i="37"/>
  <c r="DD498" i="37"/>
  <c r="DC498" i="37"/>
  <c r="DD489" i="37"/>
  <c r="DC489" i="37"/>
  <c r="W552" i="37"/>
  <c r="CZ552" i="37" s="1"/>
  <c r="W534" i="37"/>
  <c r="CZ534" i="37" s="1"/>
  <c r="W507" i="37"/>
  <c r="CZ507" i="37" s="1"/>
  <c r="DF492" i="37"/>
  <c r="DE492" i="37"/>
  <c r="Y518" i="37"/>
  <c r="DB518" i="37" s="1"/>
  <c r="W496" i="37"/>
  <c r="CZ496" i="37" s="1"/>
  <c r="DF486" i="37"/>
  <c r="DE486" i="37"/>
  <c r="DE494" i="37"/>
  <c r="DF494" i="37"/>
  <c r="DH469" i="37"/>
  <c r="DG469" i="37"/>
  <c r="W465" i="37"/>
  <c r="CZ465" i="37" s="1"/>
  <c r="Y497" i="37"/>
  <c r="DB497" i="37" s="1"/>
  <c r="DF490" i="37"/>
  <c r="DE490" i="37"/>
  <c r="Y459" i="37"/>
  <c r="DB459" i="37" s="1"/>
  <c r="Y455" i="37"/>
  <c r="DB455" i="37" s="1"/>
  <c r="Y451" i="37"/>
  <c r="DB451" i="37" s="1"/>
  <c r="Y447" i="37"/>
  <c r="DB447" i="37" s="1"/>
  <c r="Y443" i="37"/>
  <c r="DB443" i="37" s="1"/>
  <c r="W502" i="37"/>
  <c r="CZ502" i="37" s="1"/>
  <c r="DH495" i="37"/>
  <c r="DG495" i="37"/>
  <c r="W468" i="37"/>
  <c r="CZ468" i="37" s="1"/>
  <c r="DF466" i="37"/>
  <c r="DE466" i="37"/>
  <c r="DF462" i="37"/>
  <c r="DE462" i="37"/>
  <c r="DF457" i="37"/>
  <c r="DE457" i="37"/>
  <c r="DF453" i="37"/>
  <c r="DE453" i="37"/>
  <c r="DF449" i="37"/>
  <c r="DE449" i="37"/>
  <c r="DF445" i="37"/>
  <c r="DE445" i="37"/>
  <c r="DF441" i="37"/>
  <c r="DE441" i="37"/>
  <c r="W456" i="37"/>
  <c r="CZ456" i="37" s="1"/>
  <c r="W438" i="37"/>
  <c r="CZ438" i="37" s="1"/>
  <c r="DF436" i="37"/>
  <c r="DE436" i="37"/>
  <c r="DF435" i="37"/>
  <c r="DE435" i="37"/>
  <c r="DF434" i="37"/>
  <c r="DE434" i="37"/>
  <c r="DF463" i="37"/>
  <c r="DE463" i="37"/>
  <c r="W453" i="37"/>
  <c r="CZ453" i="37" s="1"/>
  <c r="DF440" i="37"/>
  <c r="DE440" i="37"/>
  <c r="Y439" i="37"/>
  <c r="DB439" i="37" s="1"/>
  <c r="W433" i="37"/>
  <c r="CZ433" i="37" s="1"/>
  <c r="DG429" i="37"/>
  <c r="DH429" i="37"/>
  <c r="Y461" i="37"/>
  <c r="DB461" i="37" s="1"/>
  <c r="W450" i="37"/>
  <c r="CZ450" i="37" s="1"/>
  <c r="DF422" i="37"/>
  <c r="DE422" i="37"/>
  <c r="W455" i="37"/>
  <c r="CZ455" i="37" s="1"/>
  <c r="W437" i="37"/>
  <c r="CZ437" i="37" s="1"/>
  <c r="DD432" i="37"/>
  <c r="DC432" i="37"/>
  <c r="W428" i="37"/>
  <c r="CZ428" i="37" s="1"/>
  <c r="W425" i="37"/>
  <c r="CZ425" i="37" s="1"/>
  <c r="DF423" i="37"/>
  <c r="DE423" i="37"/>
  <c r="DF429" i="37"/>
  <c r="DE429" i="37"/>
  <c r="DF406" i="37"/>
  <c r="DE406" i="37"/>
  <c r="DF404" i="37"/>
  <c r="DE404" i="37"/>
  <c r="Y400" i="37"/>
  <c r="DB400" i="37" s="1"/>
  <c r="W398" i="37"/>
  <c r="CZ398" i="37" s="1"/>
  <c r="DF396" i="37"/>
  <c r="DE396" i="37"/>
  <c r="Y392" i="37"/>
  <c r="DB392" i="37" s="1"/>
  <c r="W390" i="37"/>
  <c r="CZ390" i="37" s="1"/>
  <c r="DF388" i="37"/>
  <c r="DE388" i="37"/>
  <c r="DF314" i="37"/>
  <c r="DE314" i="37"/>
  <c r="W426" i="37"/>
  <c r="CZ426" i="37" s="1"/>
  <c r="DF424" i="37"/>
  <c r="DE424" i="37"/>
  <c r="Y407" i="37"/>
  <c r="DB407" i="37" s="1"/>
  <c r="W360" i="37"/>
  <c r="CZ360" i="37" s="1"/>
  <c r="W405" i="37"/>
  <c r="CZ405" i="37" s="1"/>
  <c r="DF403" i="37"/>
  <c r="DE403" i="37"/>
  <c r="Y399" i="37"/>
  <c r="DB399" i="37" s="1"/>
  <c r="W397" i="37"/>
  <c r="CZ397" i="37" s="1"/>
  <c r="DF395" i="37"/>
  <c r="DE395" i="37"/>
  <c r="Y391" i="37"/>
  <c r="DB391" i="37" s="1"/>
  <c r="W389" i="37"/>
  <c r="CZ389" i="37" s="1"/>
  <c r="DF387" i="37"/>
  <c r="DE387" i="37"/>
  <c r="W377" i="37"/>
  <c r="CZ377" i="37" s="1"/>
  <c r="Y364" i="37"/>
  <c r="DB364" i="37" s="1"/>
  <c r="W344" i="37"/>
  <c r="CZ344" i="37" s="1"/>
  <c r="W311" i="37"/>
  <c r="CZ311" i="37" s="1"/>
  <c r="W308" i="37"/>
  <c r="CZ308" i="37" s="1"/>
  <c r="DD307" i="37"/>
  <c r="DC307" i="37"/>
  <c r="W367" i="37"/>
  <c r="CZ367" i="37" s="1"/>
  <c r="Y342" i="37"/>
  <c r="DB342" i="37" s="1"/>
  <c r="W340" i="37"/>
  <c r="CZ340" i="37" s="1"/>
  <c r="DF338" i="37"/>
  <c r="DE338" i="37"/>
  <c r="Y334" i="37"/>
  <c r="DB334" i="37" s="1"/>
  <c r="W332" i="37"/>
  <c r="CZ332" i="37" s="1"/>
  <c r="DF330" i="37"/>
  <c r="DE330" i="37"/>
  <c r="Y326" i="37"/>
  <c r="DB326" i="37" s="1"/>
  <c r="W324" i="37"/>
  <c r="CZ324" i="37" s="1"/>
  <c r="DF322" i="37"/>
  <c r="DE322" i="37"/>
  <c r="Y318" i="37"/>
  <c r="DB318" i="37" s="1"/>
  <c r="W316" i="37"/>
  <c r="CZ316" i="37" s="1"/>
  <c r="W312" i="37"/>
  <c r="CZ312" i="37" s="1"/>
  <c r="Y304" i="37"/>
  <c r="DB304" i="37" s="1"/>
  <c r="W370" i="37"/>
  <c r="CZ370" i="37" s="1"/>
  <c r="Y360" i="37"/>
  <c r="DB360" i="37" s="1"/>
  <c r="W313" i="37"/>
  <c r="CZ313" i="37" s="1"/>
  <c r="DA310" i="37"/>
  <c r="Y310" i="37"/>
  <c r="DB310" i="37" s="1"/>
  <c r="W375" i="37"/>
  <c r="CZ375" i="37" s="1"/>
  <c r="DH368" i="37"/>
  <c r="DG368" i="37"/>
  <c r="DF341" i="37"/>
  <c r="DE341" i="37"/>
  <c r="Y337" i="37"/>
  <c r="DB337" i="37" s="1"/>
  <c r="W335" i="37"/>
  <c r="CZ335" i="37" s="1"/>
  <c r="DF333" i="37"/>
  <c r="DE333" i="37"/>
  <c r="Y329" i="37"/>
  <c r="DB329" i="37" s="1"/>
  <c r="W327" i="37"/>
  <c r="CZ327" i="37" s="1"/>
  <c r="DF325" i="37"/>
  <c r="DE325" i="37"/>
  <c r="Y321" i="37"/>
  <c r="DB321" i="37" s="1"/>
  <c r="W319" i="37"/>
  <c r="CZ319" i="37" s="1"/>
  <c r="DF317" i="37"/>
  <c r="DE317" i="37"/>
  <c r="DF305" i="37"/>
  <c r="DE305" i="37"/>
  <c r="W248" i="37"/>
  <c r="CZ248" i="37" s="1"/>
  <c r="DD243" i="37"/>
  <c r="DC243" i="37"/>
  <c r="DH218" i="37"/>
  <c r="DG218" i="37"/>
  <c r="DH216" i="37"/>
  <c r="DG216" i="37"/>
  <c r="DH214" i="37"/>
  <c r="DG214" i="37"/>
  <c r="DH212" i="37"/>
  <c r="DG212" i="37"/>
  <c r="DH210" i="37"/>
  <c r="DG210" i="37"/>
  <c r="DH208" i="37"/>
  <c r="DG208" i="37"/>
  <c r="W300" i="37"/>
  <c r="CZ300" i="37" s="1"/>
  <c r="DF298" i="37"/>
  <c r="DE298" i="37"/>
  <c r="DF296" i="37"/>
  <c r="DE296" i="37"/>
  <c r="DH277" i="37"/>
  <c r="DG277" i="37"/>
  <c r="W273" i="37"/>
  <c r="CZ273" i="37" s="1"/>
  <c r="DE271" i="37"/>
  <c r="DF271" i="37"/>
  <c r="DH269" i="37"/>
  <c r="DG269" i="37"/>
  <c r="W265" i="37"/>
  <c r="CZ265" i="37" s="1"/>
  <c r="DE263" i="37"/>
  <c r="DF263" i="37"/>
  <c r="DH261" i="37"/>
  <c r="DG261" i="37"/>
  <c r="W257" i="37"/>
  <c r="CZ257" i="37" s="1"/>
  <c r="DE255" i="37"/>
  <c r="DF255" i="37"/>
  <c r="DH253" i="37"/>
  <c r="DG253" i="37"/>
  <c r="W247" i="37"/>
  <c r="CZ247" i="37" s="1"/>
  <c r="DF241" i="37"/>
  <c r="DE241" i="37"/>
  <c r="DF233" i="37"/>
  <c r="DE233" i="37"/>
  <c r="W205" i="37"/>
  <c r="CZ205" i="37" s="1"/>
  <c r="Y308" i="37"/>
  <c r="DB308" i="37" s="1"/>
  <c r="W250" i="37"/>
  <c r="CZ250" i="37" s="1"/>
  <c r="DD216" i="37"/>
  <c r="DC216" i="37"/>
  <c r="DD214" i="37"/>
  <c r="DC214" i="37"/>
  <c r="DD212" i="37"/>
  <c r="DC212" i="37"/>
  <c r="DD210" i="37"/>
  <c r="DC210" i="37"/>
  <c r="DD208" i="37"/>
  <c r="DC208" i="37"/>
  <c r="DD154" i="37"/>
  <c r="DC154" i="37"/>
  <c r="DH149" i="37"/>
  <c r="DG149" i="37"/>
  <c r="DH145" i="37"/>
  <c r="DG145" i="37"/>
  <c r="DH141" i="37"/>
  <c r="DG141" i="37"/>
  <c r="DH137" i="37"/>
  <c r="DG137" i="37"/>
  <c r="DF299" i="37"/>
  <c r="DE299" i="37"/>
  <c r="W276" i="37"/>
  <c r="CZ276" i="37" s="1"/>
  <c r="DE274" i="37"/>
  <c r="DF274" i="37"/>
  <c r="Y272" i="37"/>
  <c r="DB272" i="37" s="1"/>
  <c r="W268" i="37"/>
  <c r="CZ268" i="37" s="1"/>
  <c r="DE266" i="37"/>
  <c r="DF266" i="37"/>
  <c r="Y264" i="37"/>
  <c r="DB264" i="37" s="1"/>
  <c r="W260" i="37"/>
  <c r="CZ260" i="37" s="1"/>
  <c r="DE258" i="37"/>
  <c r="DF258" i="37"/>
  <c r="Y256" i="37"/>
  <c r="DB256" i="37" s="1"/>
  <c r="W252" i="37"/>
  <c r="CZ252" i="37" s="1"/>
  <c r="DG192" i="37"/>
  <c r="DH192" i="37"/>
  <c r="DG183" i="37"/>
  <c r="DH183" i="37"/>
  <c r="DF178" i="37"/>
  <c r="DE178" i="37"/>
  <c r="DF175" i="37"/>
  <c r="DE175" i="37"/>
  <c r="DG173" i="37"/>
  <c r="DH173" i="37"/>
  <c r="DF150" i="37"/>
  <c r="DE150" i="37"/>
  <c r="DF146" i="37"/>
  <c r="DE146" i="37"/>
  <c r="DF142" i="37"/>
  <c r="DE142" i="37"/>
  <c r="DF138" i="37"/>
  <c r="DE138" i="37"/>
  <c r="W246" i="37"/>
  <c r="CZ246" i="37" s="1"/>
  <c r="DF235" i="37"/>
  <c r="DE235" i="37"/>
  <c r="DF193" i="37"/>
  <c r="DE193" i="37"/>
  <c r="DC185" i="37"/>
  <c r="DD185" i="37"/>
  <c r="W152" i="37"/>
  <c r="CZ152" i="37" s="1"/>
  <c r="W136" i="37"/>
  <c r="CZ136" i="37" s="1"/>
  <c r="DF190" i="37"/>
  <c r="DE190" i="37"/>
  <c r="W187" i="37"/>
  <c r="CZ187" i="37" s="1"/>
  <c r="DC182" i="37"/>
  <c r="DD182" i="37"/>
  <c r="DE176" i="37"/>
  <c r="DF176" i="37"/>
  <c r="W137" i="37"/>
  <c r="CZ137" i="37" s="1"/>
  <c r="W135" i="37"/>
  <c r="CZ135" i="37" s="1"/>
  <c r="W134" i="37"/>
  <c r="CZ134" i="37" s="1"/>
  <c r="W133" i="37"/>
  <c r="CZ133" i="37" s="1"/>
  <c r="W131" i="37"/>
  <c r="CZ131" i="37" s="1"/>
  <c r="W127" i="37"/>
  <c r="CZ127" i="37" s="1"/>
  <c r="Y245" i="37"/>
  <c r="DB245" i="37" s="1"/>
  <c r="DF195" i="37"/>
  <c r="DE195" i="37"/>
  <c r="DF183" i="37"/>
  <c r="DE183" i="37"/>
  <c r="Y174" i="37"/>
  <c r="DB174" i="37" s="1"/>
  <c r="DC171" i="37"/>
  <c r="DD171" i="37"/>
  <c r="DF153" i="37"/>
  <c r="DE153" i="37"/>
  <c r="W138" i="37"/>
  <c r="CZ138" i="37" s="1"/>
  <c r="DA130" i="37"/>
  <c r="Y130" i="37"/>
  <c r="DB130" i="37" s="1"/>
  <c r="DA126" i="37"/>
  <c r="Y126" i="37"/>
  <c r="DB126" i="37" s="1"/>
  <c r="DH115" i="37"/>
  <c r="DG115" i="37"/>
  <c r="DH106" i="37"/>
  <c r="DG106" i="37"/>
  <c r="DC192" i="37"/>
  <c r="DD192" i="37"/>
  <c r="DE180" i="37"/>
  <c r="DF180" i="37"/>
  <c r="DC172" i="37"/>
  <c r="DD172" i="37"/>
  <c r="W151" i="37"/>
  <c r="CZ151" i="37" s="1"/>
  <c r="X52" i="37"/>
  <c r="DA52" i="37" s="1"/>
  <c r="X50" i="37"/>
  <c r="DA50" i="37" s="1"/>
  <c r="DC132" i="37"/>
  <c r="DD132" i="37"/>
  <c r="DE110" i="37"/>
  <c r="DF110" i="37"/>
  <c r="DH108" i="37"/>
  <c r="DG108" i="37"/>
  <c r="DH94" i="37"/>
  <c r="DG94" i="37"/>
  <c r="DH90" i="37"/>
  <c r="DG90" i="37"/>
  <c r="DD82" i="37"/>
  <c r="DC82" i="37"/>
  <c r="DF78" i="37"/>
  <c r="DE78" i="37"/>
  <c r="DH74" i="37"/>
  <c r="DG74" i="37"/>
  <c r="DD66" i="37"/>
  <c r="DC66" i="37"/>
  <c r="DF62" i="37"/>
  <c r="DE62" i="37"/>
  <c r="DH58" i="37"/>
  <c r="DG58" i="37"/>
  <c r="DG46" i="37"/>
  <c r="DH46" i="37"/>
  <c r="DD121" i="37"/>
  <c r="DC121" i="37"/>
  <c r="DE119" i="37"/>
  <c r="DF119" i="37"/>
  <c r="DH117" i="37"/>
  <c r="DG117" i="37"/>
  <c r="DD55" i="37"/>
  <c r="DC55" i="37"/>
  <c r="DE51" i="37"/>
  <c r="DF51" i="37"/>
  <c r="DH49" i="37"/>
  <c r="DG49" i="37"/>
  <c r="DC128" i="37"/>
  <c r="DD128" i="37"/>
  <c r="DD122" i="37"/>
  <c r="DC122" i="37"/>
  <c r="DH111" i="37"/>
  <c r="DG111" i="37"/>
  <c r="DD107" i="37"/>
  <c r="DC107" i="37"/>
  <c r="DF92" i="37"/>
  <c r="DE92" i="37"/>
  <c r="DH88" i="37"/>
  <c r="DG88" i="37"/>
  <c r="DD84" i="37"/>
  <c r="DC84" i="37"/>
  <c r="DF76" i="37"/>
  <c r="DE76" i="37"/>
  <c r="DH72" i="37"/>
  <c r="DG72" i="37"/>
  <c r="DD68" i="37"/>
  <c r="DC68" i="37"/>
  <c r="DF60" i="37"/>
  <c r="DE60" i="37"/>
  <c r="DE56" i="37"/>
  <c r="DF56" i="37"/>
  <c r="DD118" i="37"/>
  <c r="DC118" i="37"/>
  <c r="DD85" i="37"/>
  <c r="DC85" i="37"/>
  <c r="DE81" i="37"/>
  <c r="DF81" i="37"/>
  <c r="Y77" i="37"/>
  <c r="DB77" i="37" s="1"/>
  <c r="DD69" i="37"/>
  <c r="DC69" i="37"/>
  <c r="DE65" i="37"/>
  <c r="DF65" i="37"/>
  <c r="Y61" i="37"/>
  <c r="DB61" i="37" s="1"/>
  <c r="DF53" i="37"/>
  <c r="DE53" i="37"/>
  <c r="W48" i="37"/>
  <c r="CZ48" i="37" s="1"/>
  <c r="DG575" i="37"/>
  <c r="DH575" i="37"/>
  <c r="DE588" i="37"/>
  <c r="DF588" i="37"/>
  <c r="DG583" i="37"/>
  <c r="DH583" i="37"/>
  <c r="DC581" i="37"/>
  <c r="DD581" i="37"/>
  <c r="DF579" i="37"/>
  <c r="DE579" i="37"/>
  <c r="DF575" i="37"/>
  <c r="DE575" i="37"/>
  <c r="DF565" i="37"/>
  <c r="DE565" i="37"/>
  <c r="DF560" i="37"/>
  <c r="DE560" i="37"/>
  <c r="DD570" i="37"/>
  <c r="DC570" i="37"/>
  <c r="DD564" i="37"/>
  <c r="DC564" i="37"/>
  <c r="DA558" i="37"/>
  <c r="W558" i="37"/>
  <c r="CZ558" i="37" s="1"/>
  <c r="DF586" i="37"/>
  <c r="DE586" i="37"/>
  <c r="DG582" i="37"/>
  <c r="DH582" i="37"/>
  <c r="DC580" i="37"/>
  <c r="DD580" i="37"/>
  <c r="DF578" i="37"/>
  <c r="DE578" i="37"/>
  <c r="DE574" i="37"/>
  <c r="DF574" i="37"/>
  <c r="DG561" i="37"/>
  <c r="DH561" i="37"/>
  <c r="DH569" i="37"/>
  <c r="DG569" i="37"/>
  <c r="DF566" i="37"/>
  <c r="DE566" i="37"/>
  <c r="W555" i="37"/>
  <c r="CZ555" i="37" s="1"/>
  <c r="DH534" i="37"/>
  <c r="DG534" i="37"/>
  <c r="DF534" i="37"/>
  <c r="DE534" i="37"/>
  <c r="W530" i="37"/>
  <c r="CZ530" i="37" s="1"/>
  <c r="DF528" i="37"/>
  <c r="DE528" i="37"/>
  <c r="DH526" i="37"/>
  <c r="DG526" i="37"/>
  <c r="W522" i="37"/>
  <c r="CZ522" i="37" s="1"/>
  <c r="DF520" i="37"/>
  <c r="DE520" i="37"/>
  <c r="DF518" i="37"/>
  <c r="DE518" i="37"/>
  <c r="W551" i="37"/>
  <c r="CZ551" i="37" s="1"/>
  <c r="W519" i="37"/>
  <c r="CZ519" i="37" s="1"/>
  <c r="DD510" i="37"/>
  <c r="DC510" i="37"/>
  <c r="DH533" i="37"/>
  <c r="DG533" i="37"/>
  <c r="W529" i="37"/>
  <c r="CZ529" i="37" s="1"/>
  <c r="DF527" i="37"/>
  <c r="DE527" i="37"/>
  <c r="DH525" i="37"/>
  <c r="DG525" i="37"/>
  <c r="W521" i="37"/>
  <c r="CZ521" i="37" s="1"/>
  <c r="DA514" i="37"/>
  <c r="Y514" i="37"/>
  <c r="DB514" i="37" s="1"/>
  <c r="DH496" i="37"/>
  <c r="DG496" i="37"/>
  <c r="DH492" i="37"/>
  <c r="DG492" i="37"/>
  <c r="DD488" i="37"/>
  <c r="DC488" i="37"/>
  <c r="DE552" i="37"/>
  <c r="DF552" i="37"/>
  <c r="DC516" i="37"/>
  <c r="DD516" i="37"/>
  <c r="W514" i="37"/>
  <c r="CZ514" i="37" s="1"/>
  <c r="DC512" i="37"/>
  <c r="DD512" i="37"/>
  <c r="Y510" i="37"/>
  <c r="DB510" i="37" s="1"/>
  <c r="DD504" i="37"/>
  <c r="DC504" i="37"/>
  <c r="DG491" i="37"/>
  <c r="DH491" i="37"/>
  <c r="DH486" i="37"/>
  <c r="DG486" i="37"/>
  <c r="DH494" i="37"/>
  <c r="DG494" i="37"/>
  <c r="DD467" i="37"/>
  <c r="DC467" i="37"/>
  <c r="DF465" i="37"/>
  <c r="DE465" i="37"/>
  <c r="DC497" i="37"/>
  <c r="DD497" i="37"/>
  <c r="DH490" i="37"/>
  <c r="DG490" i="37"/>
  <c r="DH458" i="37"/>
  <c r="DG458" i="37"/>
  <c r="DH454" i="37"/>
  <c r="DG454" i="37"/>
  <c r="DH450" i="37"/>
  <c r="DG450" i="37"/>
  <c r="DH446" i="37"/>
  <c r="DG446" i="37"/>
  <c r="DH442" i="37"/>
  <c r="DG442" i="37"/>
  <c r="DF502" i="37"/>
  <c r="DE502" i="37"/>
  <c r="DD493" i="37"/>
  <c r="DC493" i="37"/>
  <c r="DD470" i="37"/>
  <c r="DC470" i="37"/>
  <c r="DF468" i="37"/>
  <c r="DE468" i="37"/>
  <c r="DH466" i="37"/>
  <c r="DG466" i="37"/>
  <c r="DF460" i="37"/>
  <c r="DE460" i="37"/>
  <c r="DF456" i="37"/>
  <c r="DE456" i="37"/>
  <c r="DF452" i="37"/>
  <c r="DE452" i="37"/>
  <c r="DF448" i="37"/>
  <c r="DE448" i="37"/>
  <c r="DF444" i="37"/>
  <c r="DE444" i="37"/>
  <c r="DG440" i="37"/>
  <c r="DH440" i="37"/>
  <c r="W452" i="37"/>
  <c r="CZ452" i="37" s="1"/>
  <c r="DE438" i="37"/>
  <c r="DF438" i="37"/>
  <c r="DH436" i="37"/>
  <c r="DG436" i="37"/>
  <c r="DH435" i="37"/>
  <c r="DG435" i="37"/>
  <c r="DH434" i="37"/>
  <c r="DG434" i="37"/>
  <c r="DH432" i="37"/>
  <c r="DG432" i="37"/>
  <c r="DG463" i="37"/>
  <c r="DH463" i="37"/>
  <c r="DD449" i="37"/>
  <c r="DC449" i="37"/>
  <c r="DC440" i="37"/>
  <c r="DD440" i="37"/>
  <c r="DE433" i="37"/>
  <c r="DF433" i="37"/>
  <c r="DD427" i="37"/>
  <c r="DC427" i="37"/>
  <c r="DD461" i="37"/>
  <c r="DC461" i="37"/>
  <c r="DD446" i="37"/>
  <c r="DC446" i="37"/>
  <c r="DG431" i="37"/>
  <c r="DH431" i="37"/>
  <c r="DE407" i="37"/>
  <c r="DF407" i="37"/>
  <c r="W451" i="37"/>
  <c r="CZ451" i="37" s="1"/>
  <c r="DD422" i="37"/>
  <c r="DC422" i="37"/>
  <c r="DF425" i="37"/>
  <c r="DE425" i="37"/>
  <c r="DH423" i="37"/>
  <c r="DG423" i="37"/>
  <c r="DH406" i="37"/>
  <c r="DG406" i="37"/>
  <c r="DG402" i="37"/>
  <c r="DH402" i="37"/>
  <c r="W400" i="37"/>
  <c r="CZ400" i="37" s="1"/>
  <c r="DF398" i="37"/>
  <c r="DE398" i="37"/>
  <c r="DG394" i="37"/>
  <c r="DH394" i="37"/>
  <c r="W392" i="37"/>
  <c r="CZ392" i="37" s="1"/>
  <c r="DF390" i="37"/>
  <c r="DE390" i="37"/>
  <c r="W430" i="37"/>
  <c r="CZ430" i="37" s="1"/>
  <c r="Y426" i="37"/>
  <c r="DB426" i="37" s="1"/>
  <c r="DH424" i="37"/>
  <c r="DG424" i="37"/>
  <c r="DD382" i="37"/>
  <c r="DC382" i="37"/>
  <c r="DD381" i="37"/>
  <c r="DC381" i="37"/>
  <c r="DD380" i="37"/>
  <c r="DC380" i="37"/>
  <c r="DD379" i="37"/>
  <c r="DC379" i="37"/>
  <c r="DD378" i="37"/>
  <c r="DC378" i="37"/>
  <c r="DH376" i="37"/>
  <c r="DG376" i="37"/>
  <c r="DD374" i="37"/>
  <c r="DC374" i="37"/>
  <c r="DD373" i="37"/>
  <c r="DC373" i="37"/>
  <c r="DD372" i="37"/>
  <c r="DC372" i="37"/>
  <c r="DD371" i="37"/>
  <c r="DC371" i="37"/>
  <c r="DD363" i="37"/>
  <c r="DC363" i="37"/>
  <c r="DF405" i="37"/>
  <c r="DE405" i="37"/>
  <c r="DG401" i="37"/>
  <c r="DH401" i="37"/>
  <c r="W399" i="37"/>
  <c r="CZ399" i="37" s="1"/>
  <c r="DF397" i="37"/>
  <c r="DE397" i="37"/>
  <c r="DG393" i="37"/>
  <c r="DH393" i="37"/>
  <c r="W391" i="37"/>
  <c r="CZ391" i="37" s="1"/>
  <c r="DF389" i="37"/>
  <c r="DE389" i="37"/>
  <c r="W385" i="37"/>
  <c r="CZ385" i="37" s="1"/>
  <c r="DE377" i="37"/>
  <c r="DF377" i="37"/>
  <c r="DC364" i="37"/>
  <c r="DD364" i="37"/>
  <c r="DE344" i="37"/>
  <c r="DF344" i="37"/>
  <c r="DF311" i="37"/>
  <c r="DE311" i="37"/>
  <c r="DF308" i="37"/>
  <c r="DE308" i="37"/>
  <c r="DG384" i="37"/>
  <c r="DH384" i="37"/>
  <c r="DE367" i="37"/>
  <c r="DF367" i="37"/>
  <c r="DD359" i="37"/>
  <c r="DC359" i="37"/>
  <c r="DC342" i="37"/>
  <c r="DD342" i="37"/>
  <c r="DF340" i="37"/>
  <c r="DE340" i="37"/>
  <c r="DG336" i="37"/>
  <c r="DH336" i="37"/>
  <c r="DC334" i="37"/>
  <c r="DD334" i="37"/>
  <c r="DF332" i="37"/>
  <c r="DE332" i="37"/>
  <c r="DG328" i="37"/>
  <c r="DH328" i="37"/>
  <c r="DC326" i="37"/>
  <c r="DD326" i="37"/>
  <c r="DF324" i="37"/>
  <c r="DE324" i="37"/>
  <c r="DG320" i="37"/>
  <c r="DH320" i="37"/>
  <c r="DC318" i="37"/>
  <c r="DD318" i="37"/>
  <c r="DF316" i="37"/>
  <c r="DE316" i="37"/>
  <c r="DC309" i="37"/>
  <c r="DD309" i="37"/>
  <c r="DF370" i="37"/>
  <c r="DE370" i="37"/>
  <c r="DE313" i="37"/>
  <c r="DF313" i="37"/>
  <c r="DA301" i="37"/>
  <c r="Y301" i="37"/>
  <c r="DB301" i="37" s="1"/>
  <c r="DH251" i="37"/>
  <c r="DG251" i="37"/>
  <c r="DF375" i="37"/>
  <c r="DE375" i="37"/>
  <c r="W366" i="37"/>
  <c r="CZ366" i="37" s="1"/>
  <c r="DG339" i="37"/>
  <c r="DH339" i="37"/>
  <c r="W337" i="37"/>
  <c r="CZ337" i="37" s="1"/>
  <c r="DF335" i="37"/>
  <c r="DE335" i="37"/>
  <c r="DG331" i="37"/>
  <c r="DH331" i="37"/>
  <c r="W329" i="37"/>
  <c r="CZ329" i="37" s="1"/>
  <c r="DF327" i="37"/>
  <c r="DE327" i="37"/>
  <c r="DG323" i="37"/>
  <c r="DH323" i="37"/>
  <c r="W321" i="37"/>
  <c r="CZ321" i="37" s="1"/>
  <c r="DF319" i="37"/>
  <c r="DE319" i="37"/>
  <c r="DG315" i="37"/>
  <c r="DH315" i="37"/>
  <c r="DH305" i="37"/>
  <c r="DG305" i="37"/>
  <c r="W301" i="37"/>
  <c r="CZ301" i="37" s="1"/>
  <c r="DE248" i="37"/>
  <c r="DF248" i="37"/>
  <c r="DD238" i="37"/>
  <c r="DC238" i="37"/>
  <c r="DC233" i="37"/>
  <c r="DD233" i="37"/>
  <c r="Y300" i="37"/>
  <c r="DB300" i="37" s="1"/>
  <c r="DG298" i="37"/>
  <c r="DH298" i="37"/>
  <c r="DH296" i="37"/>
  <c r="DG296" i="37"/>
  <c r="DD275" i="37"/>
  <c r="DC275" i="37"/>
  <c r="DE273" i="37"/>
  <c r="DF273" i="37"/>
  <c r="DH271" i="37"/>
  <c r="DG271" i="37"/>
  <c r="W267" i="37"/>
  <c r="CZ267" i="37" s="1"/>
  <c r="DE265" i="37"/>
  <c r="DF265" i="37"/>
  <c r="DH263" i="37"/>
  <c r="DG263" i="37"/>
  <c r="W259" i="37"/>
  <c r="CZ259" i="37" s="1"/>
  <c r="DE257" i="37"/>
  <c r="DF257" i="37"/>
  <c r="DH255" i="37"/>
  <c r="DG255" i="37"/>
  <c r="W249" i="37"/>
  <c r="CZ249" i="37" s="1"/>
  <c r="DE247" i="37"/>
  <c r="DF247" i="37"/>
  <c r="DH243" i="37"/>
  <c r="DG243" i="37"/>
  <c r="DH241" i="37"/>
  <c r="DG241" i="37"/>
  <c r="W236" i="37"/>
  <c r="CZ236" i="37" s="1"/>
  <c r="DG233" i="37"/>
  <c r="DH233" i="37"/>
  <c r="W217" i="37"/>
  <c r="CZ217" i="37" s="1"/>
  <c r="W306" i="37"/>
  <c r="CZ306" i="37" s="1"/>
  <c r="DF250" i="37"/>
  <c r="DE250" i="37"/>
  <c r="DD240" i="37"/>
  <c r="DC240" i="37"/>
  <c r="DG234" i="37"/>
  <c r="DH234" i="37"/>
  <c r="DH152" i="37"/>
  <c r="DG152" i="37"/>
  <c r="DH148" i="37"/>
  <c r="DG148" i="37"/>
  <c r="DH144" i="37"/>
  <c r="DG144" i="37"/>
  <c r="DH140" i="37"/>
  <c r="DG140" i="37"/>
  <c r="DH136" i="37"/>
  <c r="DG136" i="37"/>
  <c r="W297" i="37"/>
  <c r="CZ297" i="37" s="1"/>
  <c r="W278" i="37"/>
  <c r="CZ278" i="37" s="1"/>
  <c r="DE276" i="37"/>
  <c r="DF276" i="37"/>
  <c r="DH274" i="37"/>
  <c r="DG274" i="37"/>
  <c r="W270" i="37"/>
  <c r="CZ270" i="37" s="1"/>
  <c r="DE268" i="37"/>
  <c r="DF268" i="37"/>
  <c r="DH266" i="37"/>
  <c r="DG266" i="37"/>
  <c r="W262" i="37"/>
  <c r="CZ262" i="37" s="1"/>
  <c r="DE260" i="37"/>
  <c r="DF260" i="37"/>
  <c r="DH258" i="37"/>
  <c r="DG258" i="37"/>
  <c r="W254" i="37"/>
  <c r="CZ254" i="37" s="1"/>
  <c r="DE252" i="37"/>
  <c r="DF252" i="37"/>
  <c r="DF242" i="37"/>
  <c r="DE242" i="37"/>
  <c r="DF240" i="37"/>
  <c r="DE240" i="37"/>
  <c r="DG193" i="37"/>
  <c r="DH193" i="37"/>
  <c r="DG189" i="37"/>
  <c r="DH189" i="37"/>
  <c r="DG184" i="37"/>
  <c r="DH184" i="37"/>
  <c r="DG172" i="37"/>
  <c r="DH172" i="37"/>
  <c r="DF149" i="37"/>
  <c r="DE149" i="37"/>
  <c r="DF145" i="37"/>
  <c r="DE145" i="37"/>
  <c r="DF141" i="37"/>
  <c r="DE141" i="37"/>
  <c r="DF137" i="37"/>
  <c r="DE137" i="37"/>
  <c r="DF246" i="37"/>
  <c r="DE246" i="37"/>
  <c r="DF206" i="37"/>
  <c r="DE206" i="37"/>
  <c r="DC193" i="37"/>
  <c r="DD193" i="37"/>
  <c r="W181" i="37"/>
  <c r="CZ181" i="37" s="1"/>
  <c r="W148" i="37"/>
  <c r="CZ148" i="37" s="1"/>
  <c r="DC190" i="37"/>
  <c r="DD190" i="37"/>
  <c r="DE187" i="37"/>
  <c r="DF187" i="37"/>
  <c r="Y176" i="37"/>
  <c r="DB176" i="37" s="1"/>
  <c r="W149" i="37"/>
  <c r="CZ149" i="37" s="1"/>
  <c r="W245" i="37"/>
  <c r="CZ245" i="37" s="1"/>
  <c r="Y205" i="37"/>
  <c r="DB205" i="37" s="1"/>
  <c r="DC195" i="37"/>
  <c r="DD195" i="37"/>
  <c r="DC183" i="37"/>
  <c r="DD183" i="37"/>
  <c r="W174" i="37"/>
  <c r="CZ174" i="37" s="1"/>
  <c r="W150" i="37"/>
  <c r="CZ150" i="37" s="1"/>
  <c r="W130" i="37"/>
  <c r="CZ130" i="37" s="1"/>
  <c r="W126" i="37"/>
  <c r="CZ126" i="37" s="1"/>
  <c r="Y124" i="37"/>
  <c r="DB124" i="37" s="1"/>
  <c r="DD123" i="37"/>
  <c r="DC123" i="37"/>
  <c r="Y237" i="37"/>
  <c r="DB237" i="37" s="1"/>
  <c r="DF184" i="37"/>
  <c r="DE184" i="37"/>
  <c r="Y180" i="37"/>
  <c r="DB180" i="37" s="1"/>
  <c r="W147" i="37"/>
  <c r="CZ147" i="37" s="1"/>
  <c r="DF115" i="37"/>
  <c r="DE115" i="37"/>
  <c r="DF113" i="37"/>
  <c r="DE113" i="37"/>
  <c r="Y129" i="37"/>
  <c r="DB129" i="37" s="1"/>
  <c r="Y110" i="37"/>
  <c r="DB110" i="37" s="1"/>
  <c r="DD94" i="37"/>
  <c r="DC94" i="37"/>
  <c r="W86" i="37"/>
  <c r="CZ86" i="37" s="1"/>
  <c r="DF82" i="37"/>
  <c r="DE82" i="37"/>
  <c r="Y78" i="37"/>
  <c r="DB78" i="37" s="1"/>
  <c r="W70" i="37"/>
  <c r="CZ70" i="37" s="1"/>
  <c r="DF66" i="37"/>
  <c r="DE66" i="37"/>
  <c r="Y62" i="37"/>
  <c r="DB62" i="37" s="1"/>
  <c r="W54" i="37"/>
  <c r="CZ54" i="37" s="1"/>
  <c r="DC46" i="37"/>
  <c r="DD46" i="37"/>
  <c r="DE121" i="37"/>
  <c r="DF121" i="37"/>
  <c r="Y119" i="37"/>
  <c r="DB119" i="37" s="1"/>
  <c r="DF93" i="37"/>
  <c r="DE93" i="37"/>
  <c r="DE55" i="37"/>
  <c r="DF55" i="37"/>
  <c r="Y51" i="37"/>
  <c r="DB51" i="37" s="1"/>
  <c r="Y125" i="37"/>
  <c r="DB125" i="37" s="1"/>
  <c r="DF122" i="37"/>
  <c r="DE122" i="37"/>
  <c r="W109" i="37"/>
  <c r="CZ109" i="37" s="1"/>
  <c r="DE107" i="37"/>
  <c r="DF107" i="37"/>
  <c r="Y92" i="37"/>
  <c r="DB92" i="37" s="1"/>
  <c r="W88" i="37"/>
  <c r="CZ88" i="37" s="1"/>
  <c r="DF80" i="37"/>
  <c r="DE80" i="37"/>
  <c r="Y76" i="37"/>
  <c r="DB76" i="37" s="1"/>
  <c r="W72" i="37"/>
  <c r="CZ72" i="37" s="1"/>
  <c r="DF64" i="37"/>
  <c r="DE64" i="37"/>
  <c r="Y60" i="37"/>
  <c r="DB60" i="37" s="1"/>
  <c r="Y56" i="37"/>
  <c r="DB56" i="37" s="1"/>
  <c r="W120" i="37"/>
  <c r="CZ120" i="37" s="1"/>
  <c r="DE118" i="37"/>
  <c r="DF118" i="37"/>
  <c r="W114" i="37"/>
  <c r="CZ114" i="37" s="1"/>
  <c r="W89" i="37"/>
  <c r="CZ89" i="37" s="1"/>
  <c r="DE85" i="37"/>
  <c r="DF85" i="37"/>
  <c r="Y81" i="37"/>
  <c r="DB81" i="37" s="1"/>
  <c r="W73" i="37"/>
  <c r="CZ73" i="37" s="1"/>
  <c r="DE69" i="37"/>
  <c r="DF69" i="37"/>
  <c r="Y65" i="37"/>
  <c r="DB65" i="37" s="1"/>
  <c r="W57" i="37"/>
  <c r="CZ57" i="37" s="1"/>
  <c r="Y53" i="37"/>
  <c r="DB53" i="37" s="1"/>
  <c r="Y48" i="37"/>
  <c r="DB48" i="37" s="1"/>
  <c r="E291" i="16"/>
  <c r="G291" i="16"/>
  <c r="E292" i="16"/>
  <c r="G292" i="16"/>
  <c r="E293" i="16"/>
  <c r="G293" i="16"/>
  <c r="E294" i="16"/>
  <c r="G294" i="16"/>
  <c r="E295" i="16"/>
  <c r="G295" i="16"/>
  <c r="E296" i="16"/>
  <c r="G296" i="16"/>
  <c r="E297" i="16"/>
  <c r="G297" i="16"/>
  <c r="E298" i="16"/>
  <c r="G298" i="16"/>
  <c r="E299" i="16"/>
  <c r="G299" i="16"/>
  <c r="E300" i="16"/>
  <c r="G300" i="16"/>
  <c r="E301" i="16"/>
  <c r="G301" i="16"/>
  <c r="E302" i="16"/>
  <c r="G302" i="16"/>
  <c r="E303" i="16"/>
  <c r="G303" i="16"/>
  <c r="E304" i="16"/>
  <c r="G304" i="16"/>
  <c r="E305" i="16"/>
  <c r="G305" i="16"/>
  <c r="E306" i="16"/>
  <c r="G306" i="16"/>
  <c r="E307" i="16"/>
  <c r="G307" i="16"/>
  <c r="E308" i="16"/>
  <c r="G308" i="16"/>
  <c r="E309" i="16"/>
  <c r="G309" i="16"/>
  <c r="E310" i="16"/>
  <c r="G310" i="16"/>
  <c r="E311" i="16"/>
  <c r="G311" i="16"/>
  <c r="E312" i="16"/>
  <c r="G312" i="16"/>
  <c r="E313" i="16"/>
  <c r="G313" i="16"/>
  <c r="E314" i="16"/>
  <c r="G314" i="16"/>
  <c r="E315" i="16"/>
  <c r="G315" i="16"/>
  <c r="E316" i="16"/>
  <c r="G316" i="16"/>
  <c r="E317" i="16"/>
  <c r="G317" i="16"/>
  <c r="E318" i="16"/>
  <c r="G318" i="16"/>
  <c r="E319" i="16"/>
  <c r="G319" i="16"/>
  <c r="E320" i="16"/>
  <c r="G320" i="16"/>
  <c r="E321" i="16"/>
  <c r="G321" i="16"/>
  <c r="E322" i="16"/>
  <c r="G322" i="16"/>
  <c r="E323" i="16"/>
  <c r="G323" i="16"/>
  <c r="E324" i="16"/>
  <c r="G324" i="16"/>
  <c r="E325" i="16"/>
  <c r="G325" i="16"/>
  <c r="E326" i="16"/>
  <c r="G326" i="16"/>
  <c r="E327" i="16"/>
  <c r="G327" i="16"/>
  <c r="E328" i="16"/>
  <c r="G328" i="16"/>
  <c r="E329" i="16"/>
  <c r="G329" i="16"/>
  <c r="E330" i="16"/>
  <c r="G330" i="16"/>
  <c r="E331" i="16"/>
  <c r="G331" i="16"/>
  <c r="E332" i="16"/>
  <c r="G332" i="16"/>
  <c r="E333" i="16"/>
  <c r="G333" i="16"/>
  <c r="E334" i="16"/>
  <c r="G334" i="16"/>
  <c r="E335" i="16"/>
  <c r="G335" i="16"/>
  <c r="E336" i="16"/>
  <c r="G336" i="16"/>
  <c r="G290" i="16"/>
  <c r="E290" i="16"/>
  <c r="E241" i="16"/>
  <c r="G241" i="16"/>
  <c r="E242" i="16"/>
  <c r="G242" i="16"/>
  <c r="E243" i="16"/>
  <c r="G243" i="16"/>
  <c r="E244" i="16"/>
  <c r="G244" i="16"/>
  <c r="E245" i="16"/>
  <c r="G245" i="16"/>
  <c r="E246" i="16"/>
  <c r="G246" i="16"/>
  <c r="E247" i="16"/>
  <c r="G247" i="16"/>
  <c r="E248" i="16"/>
  <c r="G248" i="16"/>
  <c r="E249" i="16"/>
  <c r="G249" i="16"/>
  <c r="E250" i="16"/>
  <c r="G250" i="16"/>
  <c r="E251" i="16"/>
  <c r="G251" i="16"/>
  <c r="E252" i="16"/>
  <c r="G252" i="16"/>
  <c r="E253" i="16"/>
  <c r="G253" i="16"/>
  <c r="E254" i="16"/>
  <c r="G254" i="16"/>
  <c r="E255" i="16"/>
  <c r="G255" i="16"/>
  <c r="E256" i="16"/>
  <c r="G256" i="16"/>
  <c r="E257" i="16"/>
  <c r="G257" i="16"/>
  <c r="E258" i="16"/>
  <c r="G258" i="16"/>
  <c r="E259" i="16"/>
  <c r="G259" i="16"/>
  <c r="E260" i="16"/>
  <c r="G260" i="16"/>
  <c r="E261" i="16"/>
  <c r="G261" i="16"/>
  <c r="E262" i="16"/>
  <c r="G262" i="16"/>
  <c r="E263" i="16"/>
  <c r="G263" i="16"/>
  <c r="E264" i="16"/>
  <c r="G264" i="16"/>
  <c r="E265" i="16"/>
  <c r="G265" i="16"/>
  <c r="E266" i="16"/>
  <c r="G266" i="16"/>
  <c r="E267" i="16"/>
  <c r="G267" i="16"/>
  <c r="E268" i="16"/>
  <c r="G268" i="16"/>
  <c r="E269" i="16"/>
  <c r="G269" i="16"/>
  <c r="E270" i="16"/>
  <c r="G270" i="16"/>
  <c r="E271" i="16"/>
  <c r="G271" i="16"/>
  <c r="E272" i="16"/>
  <c r="G272" i="16"/>
  <c r="E273" i="16"/>
  <c r="G273" i="16"/>
  <c r="E274" i="16"/>
  <c r="G274" i="16"/>
  <c r="E275" i="16"/>
  <c r="G275" i="16"/>
  <c r="E276" i="16"/>
  <c r="G276" i="16"/>
  <c r="E277" i="16"/>
  <c r="G277" i="16"/>
  <c r="E278" i="16"/>
  <c r="G278" i="16"/>
  <c r="E279" i="16"/>
  <c r="G279" i="16"/>
  <c r="E280" i="16"/>
  <c r="G280" i="16"/>
  <c r="E281" i="16"/>
  <c r="G281" i="16"/>
  <c r="E282" i="16"/>
  <c r="G282" i="16"/>
  <c r="E283" i="16"/>
  <c r="G283" i="16"/>
  <c r="E284" i="16"/>
  <c r="G284" i="16"/>
  <c r="E285" i="16"/>
  <c r="G285" i="16"/>
  <c r="E286" i="16"/>
  <c r="G286" i="16"/>
  <c r="G240" i="16"/>
  <c r="E240" i="16"/>
  <c r="E191" i="16"/>
  <c r="G191" i="16"/>
  <c r="E192" i="16"/>
  <c r="G192" i="16"/>
  <c r="E193" i="16"/>
  <c r="G193" i="16"/>
  <c r="E194" i="16"/>
  <c r="G194" i="16"/>
  <c r="E195" i="16"/>
  <c r="G195" i="16"/>
  <c r="E196" i="16"/>
  <c r="G196" i="16"/>
  <c r="E197" i="16"/>
  <c r="G197" i="16"/>
  <c r="E198" i="16"/>
  <c r="G198" i="16"/>
  <c r="E199" i="16"/>
  <c r="G199" i="16"/>
  <c r="E200" i="16"/>
  <c r="G200" i="16"/>
  <c r="E201" i="16"/>
  <c r="G201" i="16"/>
  <c r="E202" i="16"/>
  <c r="G202" i="16"/>
  <c r="E203" i="16"/>
  <c r="G203" i="16"/>
  <c r="E204" i="16"/>
  <c r="G204" i="16"/>
  <c r="E205" i="16"/>
  <c r="G205" i="16"/>
  <c r="E206" i="16"/>
  <c r="G206" i="16"/>
  <c r="E207" i="16"/>
  <c r="G207" i="16"/>
  <c r="E208" i="16"/>
  <c r="G208" i="16"/>
  <c r="E209" i="16"/>
  <c r="G209" i="16"/>
  <c r="E210" i="16"/>
  <c r="G210" i="16"/>
  <c r="E211" i="16"/>
  <c r="G211" i="16"/>
  <c r="E212" i="16"/>
  <c r="G212" i="16"/>
  <c r="E213" i="16"/>
  <c r="G213" i="16"/>
  <c r="E214" i="16"/>
  <c r="G214" i="16"/>
  <c r="E215" i="16"/>
  <c r="G215" i="16"/>
  <c r="E216" i="16"/>
  <c r="G216" i="16"/>
  <c r="E217" i="16"/>
  <c r="G217" i="16"/>
  <c r="E218" i="16"/>
  <c r="G218" i="16"/>
  <c r="E219" i="16"/>
  <c r="G219" i="16"/>
  <c r="E220" i="16"/>
  <c r="G220" i="16"/>
  <c r="E221" i="16"/>
  <c r="G221" i="16"/>
  <c r="E222" i="16"/>
  <c r="G222" i="16"/>
  <c r="E223" i="16"/>
  <c r="G223" i="16"/>
  <c r="E224" i="16"/>
  <c r="G224" i="16"/>
  <c r="E225" i="16"/>
  <c r="G225" i="16"/>
  <c r="E226" i="16"/>
  <c r="G226" i="16"/>
  <c r="E227" i="16"/>
  <c r="G227" i="16"/>
  <c r="E228" i="16"/>
  <c r="G228" i="16"/>
  <c r="E229" i="16"/>
  <c r="G229" i="16"/>
  <c r="E230" i="16"/>
  <c r="G230" i="16"/>
  <c r="E231" i="16"/>
  <c r="G231" i="16"/>
  <c r="E232" i="16"/>
  <c r="G232" i="16"/>
  <c r="E233" i="16"/>
  <c r="G233" i="16"/>
  <c r="E234" i="16"/>
  <c r="G234" i="16"/>
  <c r="E235" i="16"/>
  <c r="G235" i="16"/>
  <c r="E236" i="16"/>
  <c r="G236" i="16"/>
  <c r="G190" i="16"/>
  <c r="E190" i="16"/>
  <c r="K291" i="16"/>
  <c r="M291" i="16"/>
  <c r="K292" i="16"/>
  <c r="M292" i="16"/>
  <c r="K293" i="16"/>
  <c r="M293" i="16"/>
  <c r="K294" i="16"/>
  <c r="M294" i="16"/>
  <c r="K295" i="16"/>
  <c r="M295" i="16"/>
  <c r="K296" i="16"/>
  <c r="M296" i="16"/>
  <c r="K297" i="16"/>
  <c r="M297" i="16"/>
  <c r="K298" i="16"/>
  <c r="M298" i="16"/>
  <c r="K299" i="16"/>
  <c r="M299" i="16"/>
  <c r="K300" i="16"/>
  <c r="M300" i="16"/>
  <c r="K301" i="16"/>
  <c r="M301" i="16"/>
  <c r="K302" i="16"/>
  <c r="M302" i="16"/>
  <c r="K303" i="16"/>
  <c r="M303" i="16"/>
  <c r="K304" i="16"/>
  <c r="M304" i="16"/>
  <c r="K305" i="16"/>
  <c r="M305" i="16"/>
  <c r="K306" i="16"/>
  <c r="M306" i="16"/>
  <c r="K307" i="16"/>
  <c r="M307" i="16"/>
  <c r="K308" i="16"/>
  <c r="M308" i="16"/>
  <c r="K309" i="16"/>
  <c r="M309" i="16"/>
  <c r="K310" i="16"/>
  <c r="M310" i="16"/>
  <c r="K311" i="16"/>
  <c r="M311" i="16"/>
  <c r="K312" i="16"/>
  <c r="M312" i="16"/>
  <c r="K313" i="16"/>
  <c r="M313" i="16"/>
  <c r="K314" i="16"/>
  <c r="M314" i="16"/>
  <c r="K315" i="16"/>
  <c r="M315" i="16"/>
  <c r="K316" i="16"/>
  <c r="M316" i="16"/>
  <c r="K317" i="16"/>
  <c r="M317" i="16"/>
  <c r="K318" i="16"/>
  <c r="M318" i="16"/>
  <c r="K319" i="16"/>
  <c r="M319" i="16"/>
  <c r="K320" i="16"/>
  <c r="M320" i="16"/>
  <c r="K321" i="16"/>
  <c r="M321" i="16"/>
  <c r="K322" i="16"/>
  <c r="M322" i="16"/>
  <c r="K323" i="16"/>
  <c r="M323" i="16"/>
  <c r="K324" i="16"/>
  <c r="M324" i="16"/>
  <c r="K325" i="16"/>
  <c r="M325" i="16"/>
  <c r="K326" i="16"/>
  <c r="M326" i="16"/>
  <c r="K327" i="16"/>
  <c r="M327" i="16"/>
  <c r="K328" i="16"/>
  <c r="M328" i="16"/>
  <c r="K329" i="16"/>
  <c r="M329" i="16"/>
  <c r="K330" i="16"/>
  <c r="M330" i="16"/>
  <c r="K331" i="16"/>
  <c r="M331" i="16"/>
  <c r="K332" i="16"/>
  <c r="M332" i="16"/>
  <c r="K333" i="16"/>
  <c r="M333" i="16"/>
  <c r="K334" i="16"/>
  <c r="M334" i="16"/>
  <c r="K335" i="16"/>
  <c r="M335" i="16"/>
  <c r="K336" i="16"/>
  <c r="M336" i="16"/>
  <c r="M290" i="16"/>
  <c r="K290" i="16"/>
  <c r="K241" i="16"/>
  <c r="M241" i="16"/>
  <c r="K242" i="16"/>
  <c r="M242" i="16"/>
  <c r="K243" i="16"/>
  <c r="M243" i="16"/>
  <c r="K244" i="16"/>
  <c r="M244" i="16"/>
  <c r="K245" i="16"/>
  <c r="M245" i="16"/>
  <c r="K246" i="16"/>
  <c r="M246" i="16"/>
  <c r="K247" i="16"/>
  <c r="M247" i="16"/>
  <c r="K248" i="16"/>
  <c r="M248" i="16"/>
  <c r="K249" i="16"/>
  <c r="M249" i="16"/>
  <c r="K250" i="16"/>
  <c r="M250" i="16"/>
  <c r="K251" i="16"/>
  <c r="M251" i="16"/>
  <c r="K252" i="16"/>
  <c r="M252" i="16"/>
  <c r="K253" i="16"/>
  <c r="M253" i="16"/>
  <c r="K254" i="16"/>
  <c r="M254" i="16"/>
  <c r="K255" i="16"/>
  <c r="M255" i="16"/>
  <c r="K256" i="16"/>
  <c r="M256" i="16"/>
  <c r="K257" i="16"/>
  <c r="M257" i="16"/>
  <c r="K258" i="16"/>
  <c r="M258" i="16"/>
  <c r="K259" i="16"/>
  <c r="M259" i="16"/>
  <c r="K260" i="16"/>
  <c r="M260" i="16"/>
  <c r="K261" i="16"/>
  <c r="M261" i="16"/>
  <c r="K262" i="16"/>
  <c r="M262" i="16"/>
  <c r="K263" i="16"/>
  <c r="M263" i="16"/>
  <c r="K264" i="16"/>
  <c r="M264" i="16"/>
  <c r="K265" i="16"/>
  <c r="M265" i="16"/>
  <c r="K266" i="16"/>
  <c r="M266" i="16"/>
  <c r="K267" i="16"/>
  <c r="M267" i="16"/>
  <c r="K268" i="16"/>
  <c r="M268" i="16"/>
  <c r="K269" i="16"/>
  <c r="M269" i="16"/>
  <c r="K270" i="16"/>
  <c r="M270" i="16"/>
  <c r="K271" i="16"/>
  <c r="M271" i="16"/>
  <c r="K272" i="16"/>
  <c r="M272" i="16"/>
  <c r="K273" i="16"/>
  <c r="M273" i="16"/>
  <c r="K274" i="16"/>
  <c r="M274" i="16"/>
  <c r="K275" i="16"/>
  <c r="M275" i="16"/>
  <c r="K276" i="16"/>
  <c r="M276" i="16"/>
  <c r="K277" i="16"/>
  <c r="M277" i="16"/>
  <c r="K278" i="16"/>
  <c r="M278" i="16"/>
  <c r="K279" i="16"/>
  <c r="M279" i="16"/>
  <c r="K280" i="16"/>
  <c r="M280" i="16"/>
  <c r="K281" i="16"/>
  <c r="M281" i="16"/>
  <c r="K282" i="16"/>
  <c r="M282" i="16"/>
  <c r="K283" i="16"/>
  <c r="M283" i="16"/>
  <c r="K284" i="16"/>
  <c r="M284" i="16"/>
  <c r="K285" i="16"/>
  <c r="M285" i="16"/>
  <c r="K286" i="16"/>
  <c r="M286" i="16"/>
  <c r="M240" i="16"/>
  <c r="K240" i="16"/>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K191" i="16"/>
  <c r="M191" i="16"/>
  <c r="K192" i="16"/>
  <c r="M192" i="16"/>
  <c r="K193" i="16"/>
  <c r="M193" i="16"/>
  <c r="K194" i="16"/>
  <c r="M194" i="16"/>
  <c r="K195" i="16"/>
  <c r="M195" i="16"/>
  <c r="K196" i="16"/>
  <c r="M196" i="16"/>
  <c r="K197" i="16"/>
  <c r="M197" i="16"/>
  <c r="K198" i="16"/>
  <c r="M198" i="16"/>
  <c r="K199" i="16"/>
  <c r="M199" i="16"/>
  <c r="K200" i="16"/>
  <c r="M200" i="16"/>
  <c r="K201" i="16"/>
  <c r="M201" i="16"/>
  <c r="K202" i="16"/>
  <c r="M202" i="16"/>
  <c r="K203" i="16"/>
  <c r="M203" i="16"/>
  <c r="K204" i="16"/>
  <c r="M204" i="16"/>
  <c r="K205" i="16"/>
  <c r="M205" i="16"/>
  <c r="K206" i="16"/>
  <c r="M206" i="16"/>
  <c r="K207" i="16"/>
  <c r="M207" i="16"/>
  <c r="K208" i="16"/>
  <c r="M208" i="16"/>
  <c r="K209" i="16"/>
  <c r="M209" i="16"/>
  <c r="K210" i="16"/>
  <c r="M210" i="16"/>
  <c r="K211" i="16"/>
  <c r="M211" i="16"/>
  <c r="K212" i="16"/>
  <c r="M212" i="16"/>
  <c r="K213" i="16"/>
  <c r="M213" i="16"/>
  <c r="K214" i="16"/>
  <c r="M214" i="16"/>
  <c r="K215" i="16"/>
  <c r="M215" i="16"/>
  <c r="K216" i="16"/>
  <c r="M216" i="16"/>
  <c r="K217" i="16"/>
  <c r="M217" i="16"/>
  <c r="K218" i="16"/>
  <c r="M218" i="16"/>
  <c r="K219" i="16"/>
  <c r="M219" i="16"/>
  <c r="K220" i="16"/>
  <c r="M220" i="16"/>
  <c r="K221" i="16"/>
  <c r="M221" i="16"/>
  <c r="K222" i="16"/>
  <c r="M222" i="16"/>
  <c r="K223" i="16"/>
  <c r="M223" i="16"/>
  <c r="K224" i="16"/>
  <c r="M224" i="16"/>
  <c r="K225" i="16"/>
  <c r="M225" i="16"/>
  <c r="K226" i="16"/>
  <c r="M226" i="16"/>
  <c r="K227" i="16"/>
  <c r="M227" i="16"/>
  <c r="K228" i="16"/>
  <c r="M228" i="16"/>
  <c r="K229" i="16"/>
  <c r="M229" i="16"/>
  <c r="K230" i="16"/>
  <c r="M230" i="16"/>
  <c r="K231" i="16"/>
  <c r="M231" i="16"/>
  <c r="K232" i="16"/>
  <c r="M232" i="16"/>
  <c r="K233" i="16"/>
  <c r="M233" i="16"/>
  <c r="K234" i="16"/>
  <c r="M234" i="16"/>
  <c r="K235" i="16"/>
  <c r="M235" i="16"/>
  <c r="K236" i="16"/>
  <c r="M236" i="16"/>
  <c r="M190" i="16"/>
  <c r="K190" i="16"/>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0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58" i="15"/>
  <c r="H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0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5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8" i="15"/>
  <c r="DD114" i="37" l="1"/>
  <c r="DC114" i="37"/>
  <c r="DH51" i="37"/>
  <c r="DG51" i="37"/>
  <c r="DH180" i="37"/>
  <c r="DG180" i="37"/>
  <c r="DH60" i="37"/>
  <c r="DG60" i="37"/>
  <c r="DD150" i="37"/>
  <c r="DC150" i="37"/>
  <c r="DD297" i="37"/>
  <c r="DC297" i="37"/>
  <c r="DC329" i="37"/>
  <c r="DD329" i="37"/>
  <c r="DF50" i="37"/>
  <c r="DM77" i="37" s="1"/>
  <c r="DE50" i="37"/>
  <c r="DL90" i="37" s="1"/>
  <c r="DQ90" i="37" s="1"/>
  <c r="DD151" i="37"/>
  <c r="DC151" i="37"/>
  <c r="DF126" i="37"/>
  <c r="DE126" i="37"/>
  <c r="DG174" i="37"/>
  <c r="DO217" i="37" s="1"/>
  <c r="DH174" i="37"/>
  <c r="DP215" i="37" s="1"/>
  <c r="DD133" i="37"/>
  <c r="DC133" i="37"/>
  <c r="DD252" i="37"/>
  <c r="DC252" i="37"/>
  <c r="DD260" i="37"/>
  <c r="DC260" i="37"/>
  <c r="DD268" i="37"/>
  <c r="DC268" i="37"/>
  <c r="DD276" i="37"/>
  <c r="DC276" i="37"/>
  <c r="DG308" i="37"/>
  <c r="DH308" i="37"/>
  <c r="DD265" i="37"/>
  <c r="DC265" i="37"/>
  <c r="DC300" i="37"/>
  <c r="DD300" i="37"/>
  <c r="DC319" i="37"/>
  <c r="DD319" i="37"/>
  <c r="DC327" i="37"/>
  <c r="DD327" i="37"/>
  <c r="DC335" i="37"/>
  <c r="DD335" i="37"/>
  <c r="DF310" i="37"/>
  <c r="DE310" i="37"/>
  <c r="DH304" i="37"/>
  <c r="DG304" i="37"/>
  <c r="DD367" i="37"/>
  <c r="DC367" i="37"/>
  <c r="DC311" i="37"/>
  <c r="DD311" i="37"/>
  <c r="DH407" i="37"/>
  <c r="DG407" i="37"/>
  <c r="DC390" i="37"/>
  <c r="DD390" i="37"/>
  <c r="DC398" i="37"/>
  <c r="DD398" i="37"/>
  <c r="DD456" i="37"/>
  <c r="DC456" i="37"/>
  <c r="DH447" i="37"/>
  <c r="DG447" i="37"/>
  <c r="DD552" i="37"/>
  <c r="DC552" i="37"/>
  <c r="DF507" i="37"/>
  <c r="DE507" i="37"/>
  <c r="DL529" i="37" s="1"/>
  <c r="DQ529" i="37" s="1"/>
  <c r="DF511" i="37"/>
  <c r="DE511" i="37"/>
  <c r="DD553" i="37"/>
  <c r="DC553" i="37"/>
  <c r="DH557" i="37"/>
  <c r="DG557" i="37"/>
  <c r="DC566" i="37"/>
  <c r="DD566" i="37"/>
  <c r="DG580" i="37"/>
  <c r="DH580" i="37"/>
  <c r="DD559" i="37"/>
  <c r="DC559" i="37"/>
  <c r="DC575" i="37"/>
  <c r="DD575" i="37"/>
  <c r="DH120" i="37"/>
  <c r="DG120" i="37"/>
  <c r="DD93" i="37"/>
  <c r="DC93" i="37"/>
  <c r="DH54" i="37"/>
  <c r="DG54" i="37"/>
  <c r="DH70" i="37"/>
  <c r="DG70" i="37"/>
  <c r="DH86" i="37"/>
  <c r="DG86" i="37"/>
  <c r="DC129" i="37"/>
  <c r="DD129" i="37"/>
  <c r="DH133" i="37"/>
  <c r="DG133" i="37"/>
  <c r="DH254" i="37"/>
  <c r="DG254" i="37"/>
  <c r="DH297" i="37"/>
  <c r="DG297" i="37"/>
  <c r="DF244" i="37"/>
  <c r="DE244" i="37"/>
  <c r="DD218" i="37"/>
  <c r="DC218" i="37"/>
  <c r="DH303" i="37"/>
  <c r="DG303" i="37"/>
  <c r="DG319" i="37"/>
  <c r="DH319" i="37"/>
  <c r="DG327" i="37"/>
  <c r="DH327" i="37"/>
  <c r="DG335" i="37"/>
  <c r="DH335" i="37"/>
  <c r="DH366" i="37"/>
  <c r="DG366" i="37"/>
  <c r="DH314" i="37"/>
  <c r="DG314" i="37"/>
  <c r="DH312" i="37"/>
  <c r="DG312" i="37"/>
  <c r="DG340" i="37"/>
  <c r="DH340" i="37"/>
  <c r="DG311" i="37"/>
  <c r="DH311" i="37"/>
  <c r="DG405" i="37"/>
  <c r="DH405" i="37"/>
  <c r="DH422" i="37"/>
  <c r="DG422" i="37"/>
  <c r="DG386" i="37"/>
  <c r="DH386" i="37"/>
  <c r="DG428" i="37"/>
  <c r="DH428" i="37"/>
  <c r="DD441" i="37"/>
  <c r="DC441" i="37"/>
  <c r="DG433" i="37"/>
  <c r="DH433" i="37"/>
  <c r="DH470" i="37"/>
  <c r="DG470" i="37"/>
  <c r="DG502" i="37"/>
  <c r="DH502" i="37"/>
  <c r="DH452" i="37"/>
  <c r="DG452" i="37"/>
  <c r="DH508" i="37"/>
  <c r="DG508" i="37"/>
  <c r="DD494" i="37"/>
  <c r="DC494" i="37"/>
  <c r="DH504" i="37"/>
  <c r="DG504" i="37"/>
  <c r="DH512" i="37"/>
  <c r="DG512" i="37"/>
  <c r="DH521" i="37"/>
  <c r="DG521" i="37"/>
  <c r="DH529" i="37"/>
  <c r="DG529" i="37"/>
  <c r="DD506" i="37"/>
  <c r="DC506" i="37"/>
  <c r="DH564" i="37"/>
  <c r="DG564" i="37"/>
  <c r="DC574" i="37"/>
  <c r="DD574" i="37"/>
  <c r="DC584" i="37"/>
  <c r="DD584" i="37"/>
  <c r="DC588" i="37"/>
  <c r="DD588" i="37"/>
  <c r="DD60" i="37"/>
  <c r="DC60" i="37"/>
  <c r="DH121" i="37"/>
  <c r="DG121" i="37"/>
  <c r="DC59" i="37"/>
  <c r="DD59" i="37"/>
  <c r="DF63" i="37"/>
  <c r="DE63" i="37"/>
  <c r="DG71" i="37"/>
  <c r="DH71" i="37"/>
  <c r="DC75" i="37"/>
  <c r="DD75" i="37"/>
  <c r="DF79" i="37"/>
  <c r="DE79" i="37"/>
  <c r="DG87" i="37"/>
  <c r="DH87" i="37"/>
  <c r="W91" i="37"/>
  <c r="CZ91" i="37" s="1"/>
  <c r="DD143" i="37"/>
  <c r="DC143" i="37"/>
  <c r="DC124" i="37"/>
  <c r="DD124" i="37"/>
  <c r="DH257" i="37"/>
  <c r="DG257" i="37"/>
  <c r="DH377" i="37"/>
  <c r="DG377" i="37"/>
  <c r="DH462" i="37"/>
  <c r="DG462" i="37"/>
  <c r="DF431" i="37"/>
  <c r="DE431" i="37"/>
  <c r="DL468" i="37" s="1"/>
  <c r="DQ468" i="37" s="1"/>
  <c r="DH517" i="37"/>
  <c r="DG517" i="37"/>
  <c r="DD557" i="37"/>
  <c r="DC557" i="37"/>
  <c r="DC592" i="37"/>
  <c r="DD592" i="37"/>
  <c r="DD621" i="37"/>
  <c r="DC621" i="37"/>
  <c r="DG596" i="37"/>
  <c r="DH596" i="37"/>
  <c r="DH623" i="37"/>
  <c r="DG623" i="37"/>
  <c r="DE593" i="37"/>
  <c r="DF593" i="37"/>
  <c r="DC636" i="37"/>
  <c r="DD636" i="37"/>
  <c r="DD661" i="37"/>
  <c r="DC661" i="37"/>
  <c r="DH657" i="37"/>
  <c r="DG657" i="37"/>
  <c r="DG662" i="37"/>
  <c r="DH662" i="37"/>
  <c r="DF597" i="37"/>
  <c r="DE597" i="37"/>
  <c r="DG642" i="37"/>
  <c r="DH642" i="37"/>
  <c r="DH661" i="37"/>
  <c r="DG661" i="37"/>
  <c r="DD655" i="37"/>
  <c r="DC655" i="37"/>
  <c r="DH56" i="37"/>
  <c r="DG56" i="37"/>
  <c r="DD109" i="37"/>
  <c r="DC109" i="37"/>
  <c r="DC245" i="37"/>
  <c r="DD245" i="37"/>
  <c r="DH92" i="37"/>
  <c r="DG92" i="37"/>
  <c r="DH119" i="37"/>
  <c r="DG119" i="37"/>
  <c r="DH110" i="37"/>
  <c r="DG110" i="37"/>
  <c r="DD254" i="37"/>
  <c r="DC254" i="37"/>
  <c r="DC301" i="37"/>
  <c r="DD301" i="37"/>
  <c r="DD366" i="37"/>
  <c r="DC366" i="37"/>
  <c r="DG426" i="37"/>
  <c r="DH426" i="37"/>
  <c r="DH514" i="37"/>
  <c r="DG514" i="37"/>
  <c r="DC519" i="37"/>
  <c r="DD519" i="37"/>
  <c r="DH53" i="37"/>
  <c r="DG53" i="37"/>
  <c r="DD54" i="37"/>
  <c r="DC54" i="37"/>
  <c r="DD70" i="37"/>
  <c r="DC70" i="37"/>
  <c r="DD86" i="37"/>
  <c r="DC86" i="37"/>
  <c r="DG129" i="37"/>
  <c r="DH129" i="37"/>
  <c r="DG124" i="37"/>
  <c r="DH124" i="37"/>
  <c r="DC174" i="37"/>
  <c r="DI214" i="37" s="1"/>
  <c r="DD174" i="37"/>
  <c r="DH176" i="37"/>
  <c r="DP191" i="37" s="1"/>
  <c r="DG176" i="37"/>
  <c r="DO187" i="37" s="1"/>
  <c r="DD262" i="37"/>
  <c r="DC262" i="37"/>
  <c r="DD306" i="37"/>
  <c r="DC306" i="37"/>
  <c r="DC236" i="37"/>
  <c r="DD236" i="37"/>
  <c r="DD259" i="37"/>
  <c r="DC259" i="37"/>
  <c r="DG300" i="37"/>
  <c r="DO342" i="37" s="1"/>
  <c r="DH300" i="37"/>
  <c r="DC337" i="37"/>
  <c r="DD337" i="37"/>
  <c r="DH301" i="37"/>
  <c r="DG301" i="37"/>
  <c r="DC430" i="37"/>
  <c r="DD430" i="37"/>
  <c r="DC400" i="37"/>
  <c r="DD400" i="37"/>
  <c r="DD452" i="37"/>
  <c r="DC452" i="37"/>
  <c r="DC514" i="37"/>
  <c r="DD514" i="37"/>
  <c r="DF514" i="37"/>
  <c r="DE514" i="37"/>
  <c r="DD551" i="37"/>
  <c r="DC551" i="37"/>
  <c r="DD558" i="37"/>
  <c r="DC558" i="37"/>
  <c r="Y52" i="37"/>
  <c r="DB52" i="37" s="1"/>
  <c r="DG130" i="37"/>
  <c r="DH130" i="37"/>
  <c r="DG245" i="37"/>
  <c r="DH245" i="37"/>
  <c r="DD134" i="37"/>
  <c r="DC134" i="37"/>
  <c r="DD136" i="37"/>
  <c r="DC136" i="37"/>
  <c r="DC246" i="37"/>
  <c r="DD246" i="37"/>
  <c r="DH256" i="37"/>
  <c r="DG256" i="37"/>
  <c r="DH264" i="37"/>
  <c r="DG264" i="37"/>
  <c r="DH272" i="37"/>
  <c r="DG272" i="37"/>
  <c r="DD205" i="37"/>
  <c r="DC205" i="37"/>
  <c r="DD273" i="37"/>
  <c r="DC273" i="37"/>
  <c r="DG321" i="37"/>
  <c r="DH321" i="37"/>
  <c r="DG329" i="37"/>
  <c r="DH329" i="37"/>
  <c r="DG337" i="37"/>
  <c r="DH337" i="37"/>
  <c r="DD313" i="37"/>
  <c r="DC313" i="37"/>
  <c r="DD312" i="37"/>
  <c r="DC312" i="37"/>
  <c r="DD344" i="37"/>
  <c r="DC344" i="37"/>
  <c r="DG392" i="37"/>
  <c r="DH392" i="37"/>
  <c r="DG400" i="37"/>
  <c r="DH400" i="37"/>
  <c r="DM470" i="37"/>
  <c r="DM469" i="37"/>
  <c r="DM468" i="37"/>
  <c r="DM467" i="37"/>
  <c r="DM466" i="37"/>
  <c r="DM465" i="37"/>
  <c r="DM464" i="37"/>
  <c r="DM462" i="37"/>
  <c r="DM438" i="37"/>
  <c r="DM433" i="37"/>
  <c r="DM460" i="37"/>
  <c r="DM459" i="37"/>
  <c r="DM458" i="37"/>
  <c r="DM457" i="37"/>
  <c r="DM456" i="37"/>
  <c r="DM455" i="37"/>
  <c r="DM454" i="37"/>
  <c r="DM453" i="37"/>
  <c r="DM452" i="37"/>
  <c r="DM451" i="37"/>
  <c r="DM450" i="37"/>
  <c r="DM449" i="37"/>
  <c r="DM448" i="37"/>
  <c r="DM447" i="37"/>
  <c r="DM446" i="37"/>
  <c r="DM445" i="37"/>
  <c r="DM444" i="37"/>
  <c r="DM443" i="37"/>
  <c r="DM442" i="37"/>
  <c r="DM441" i="37"/>
  <c r="DM437" i="37"/>
  <c r="DM436" i="37"/>
  <c r="DM463" i="37"/>
  <c r="DM461" i="37"/>
  <c r="DM440" i="37"/>
  <c r="DM439" i="37"/>
  <c r="DM432" i="37"/>
  <c r="DM428" i="37"/>
  <c r="DM435" i="37"/>
  <c r="DM434" i="37"/>
  <c r="DM430" i="37"/>
  <c r="DM427" i="37"/>
  <c r="DM431" i="37"/>
  <c r="DM429" i="37"/>
  <c r="DM426" i="37"/>
  <c r="DM425" i="37"/>
  <c r="DM424" i="37"/>
  <c r="BT424" i="37"/>
  <c r="DM423" i="37"/>
  <c r="DM422" i="37"/>
  <c r="DH451" i="37"/>
  <c r="DG451" i="37"/>
  <c r="DG509" i="37"/>
  <c r="DH509" i="37"/>
  <c r="DH515" i="37"/>
  <c r="DG515" i="37"/>
  <c r="DC518" i="37"/>
  <c r="DD518" i="37"/>
  <c r="DH563" i="37"/>
  <c r="DG563" i="37"/>
  <c r="DH565" i="37"/>
  <c r="DG565" i="37"/>
  <c r="DE559" i="37"/>
  <c r="DF559" i="37"/>
  <c r="DC579" i="37"/>
  <c r="DD579" i="37"/>
  <c r="DG588" i="37"/>
  <c r="DH588" i="37"/>
  <c r="DC617" i="37"/>
  <c r="DD617" i="37"/>
  <c r="DH57" i="37"/>
  <c r="DG57" i="37"/>
  <c r="DD56" i="37"/>
  <c r="DC56" i="37"/>
  <c r="DD113" i="37"/>
  <c r="DC113" i="37"/>
  <c r="DD142" i="37"/>
  <c r="DC142" i="37"/>
  <c r="DH134" i="37"/>
  <c r="DG134" i="37"/>
  <c r="DL171" i="37"/>
  <c r="DQ171" i="37" s="1"/>
  <c r="DL197" i="37"/>
  <c r="DQ197" i="37" s="1"/>
  <c r="DL212" i="37"/>
  <c r="DQ212" i="37" s="1"/>
  <c r="DD206" i="37"/>
  <c r="DC206" i="37"/>
  <c r="DH262" i="37"/>
  <c r="DG262" i="37"/>
  <c r="DG250" i="37"/>
  <c r="DH250" i="37"/>
  <c r="DE218" i="37"/>
  <c r="DL206" i="37" s="1"/>
  <c r="DQ206" i="37" s="1"/>
  <c r="DF218" i="37"/>
  <c r="DM177" i="37" s="1"/>
  <c r="DG370" i="37"/>
  <c r="DH370" i="37"/>
  <c r="DG316" i="37"/>
  <c r="DH316" i="37"/>
  <c r="DH359" i="37"/>
  <c r="DG359" i="37"/>
  <c r="DD369" i="37"/>
  <c r="DC369" i="37"/>
  <c r="DD314" i="37"/>
  <c r="DC314" i="37"/>
  <c r="DD424" i="37"/>
  <c r="DC424" i="37"/>
  <c r="DF386" i="37"/>
  <c r="DM405" i="37" s="1"/>
  <c r="DE386" i="37"/>
  <c r="DL406" i="37" s="1"/>
  <c r="DQ406" i="37" s="1"/>
  <c r="DD443" i="37"/>
  <c r="DC443" i="37"/>
  <c r="DD457" i="37"/>
  <c r="DC457" i="37"/>
  <c r="DD444" i="37"/>
  <c r="DC444" i="37"/>
  <c r="DH493" i="37"/>
  <c r="DP529" i="37" s="1"/>
  <c r="DG493" i="37"/>
  <c r="DH437" i="37"/>
  <c r="DG437" i="37"/>
  <c r="DH456" i="37"/>
  <c r="DG456" i="37"/>
  <c r="DH467" i="37"/>
  <c r="DG467" i="37"/>
  <c r="DD486" i="37"/>
  <c r="DC486" i="37"/>
  <c r="DC513" i="37"/>
  <c r="DD513" i="37"/>
  <c r="DF512" i="37"/>
  <c r="DE512" i="37"/>
  <c r="DH551" i="37"/>
  <c r="DG551" i="37"/>
  <c r="DG519" i="37"/>
  <c r="DH519" i="37"/>
  <c r="DH570" i="37"/>
  <c r="DG570" i="37"/>
  <c r="DG572" i="37"/>
  <c r="DH572" i="37"/>
  <c r="DG578" i="37"/>
  <c r="DH578" i="37"/>
  <c r="DG586" i="37"/>
  <c r="DH586" i="37"/>
  <c r="DD76" i="37"/>
  <c r="DC76" i="37"/>
  <c r="DH93" i="37"/>
  <c r="DG93" i="37"/>
  <c r="DH66" i="37"/>
  <c r="DG66" i="37"/>
  <c r="DF59" i="37"/>
  <c r="DE59" i="37"/>
  <c r="Y67" i="37"/>
  <c r="DB67" i="37" s="1"/>
  <c r="DC71" i="37"/>
  <c r="DD71" i="37"/>
  <c r="DF75" i="37"/>
  <c r="DE75" i="37"/>
  <c r="Y83" i="37"/>
  <c r="DB83" i="37" s="1"/>
  <c r="DC87" i="37"/>
  <c r="DD87" i="37"/>
  <c r="DF91" i="37"/>
  <c r="DE91" i="37"/>
  <c r="DD175" i="37"/>
  <c r="DC175" i="37"/>
  <c r="DF124" i="37"/>
  <c r="DE124" i="37"/>
  <c r="DL152" i="37" s="1"/>
  <c r="DQ152" i="37" s="1"/>
  <c r="DH265" i="37"/>
  <c r="DG265" i="37"/>
  <c r="DD376" i="37"/>
  <c r="DC376" i="37"/>
  <c r="DM404" i="37"/>
  <c r="DM400" i="37"/>
  <c r="DM398" i="37"/>
  <c r="DM397" i="37"/>
  <c r="DM396" i="37"/>
  <c r="DM394" i="37"/>
  <c r="DM393" i="37"/>
  <c r="DM392" i="37"/>
  <c r="DM390" i="37"/>
  <c r="DM389" i="37"/>
  <c r="DM388" i="37"/>
  <c r="DM386" i="37"/>
  <c r="DM385" i="37"/>
  <c r="DM384" i="37"/>
  <c r="DM377" i="37"/>
  <c r="DM368" i="37"/>
  <c r="DM367" i="37"/>
  <c r="DM383" i="37"/>
  <c r="DM376" i="37"/>
  <c r="DM369" i="37"/>
  <c r="DM375" i="37"/>
  <c r="DM370" i="37"/>
  <c r="DM364" i="37"/>
  <c r="DM381" i="37"/>
  <c r="DM380" i="37"/>
  <c r="DM379" i="37"/>
  <c r="DM374" i="37"/>
  <c r="DM373" i="37"/>
  <c r="DM372" i="37"/>
  <c r="DM363" i="37"/>
  <c r="DM362" i="37"/>
  <c r="DM361" i="37"/>
  <c r="BT361" i="37"/>
  <c r="DM360" i="37"/>
  <c r="DM359" i="37"/>
  <c r="DH344" i="37"/>
  <c r="DG344" i="37"/>
  <c r="DH425" i="37"/>
  <c r="DG425" i="37"/>
  <c r="DH465" i="37"/>
  <c r="DG465" i="37"/>
  <c r="DF517" i="37"/>
  <c r="DE517" i="37"/>
  <c r="DH571" i="37"/>
  <c r="DG571" i="37"/>
  <c r="DE557" i="37"/>
  <c r="DF557" i="37"/>
  <c r="DG592" i="37"/>
  <c r="DH592" i="37"/>
  <c r="DC620" i="37"/>
  <c r="DD620" i="37"/>
  <c r="DE621" i="37"/>
  <c r="DF621" i="37"/>
  <c r="DE596" i="37"/>
  <c r="DF596" i="37"/>
  <c r="DF623" i="37"/>
  <c r="DE623" i="37"/>
  <c r="DH625" i="37"/>
  <c r="DG625" i="37"/>
  <c r="DG638" i="37"/>
  <c r="DH638" i="37"/>
  <c r="DF657" i="37"/>
  <c r="DE657" i="37"/>
  <c r="DF662" i="37"/>
  <c r="DE662" i="37"/>
  <c r="DD625" i="37"/>
  <c r="DC625" i="37"/>
  <c r="DH622" i="37"/>
  <c r="DG622" i="37"/>
  <c r="DD653" i="37"/>
  <c r="DC653" i="37"/>
  <c r="DD654" i="37"/>
  <c r="DC654" i="37"/>
  <c r="DE655" i="37"/>
  <c r="DF655" i="37"/>
  <c r="DH65" i="37"/>
  <c r="DG65" i="37"/>
  <c r="DD72" i="37"/>
  <c r="DC72" i="37"/>
  <c r="DC130" i="37"/>
  <c r="DD130" i="37"/>
  <c r="DD278" i="37"/>
  <c r="DC278" i="37"/>
  <c r="DH48" i="37"/>
  <c r="DG48" i="37"/>
  <c r="DH76" i="37"/>
  <c r="DG76" i="37"/>
  <c r="DD149" i="37"/>
  <c r="DC149" i="37"/>
  <c r="DD249" i="37"/>
  <c r="DC249" i="37"/>
  <c r="DC392" i="37"/>
  <c r="DD392" i="37"/>
  <c r="DD451" i="37"/>
  <c r="DC451" i="37"/>
  <c r="DC555" i="37"/>
  <c r="DD555" i="37"/>
  <c r="DD57" i="37"/>
  <c r="DC57" i="37"/>
  <c r="DD73" i="37"/>
  <c r="DC73" i="37"/>
  <c r="DD89" i="37"/>
  <c r="DC89" i="37"/>
  <c r="DD120" i="37"/>
  <c r="DC120" i="37"/>
  <c r="DG125" i="37"/>
  <c r="DH125" i="37"/>
  <c r="DH62" i="37"/>
  <c r="DG62" i="37"/>
  <c r="DH78" i="37"/>
  <c r="DG78" i="37"/>
  <c r="DD147" i="37"/>
  <c r="DC147" i="37"/>
  <c r="DG237" i="37"/>
  <c r="DO250" i="37" s="1"/>
  <c r="DH237" i="37"/>
  <c r="DC126" i="37"/>
  <c r="DD126" i="37"/>
  <c r="DH205" i="37"/>
  <c r="DP185" i="37" s="1"/>
  <c r="DG205" i="37"/>
  <c r="DO204" i="37" s="1"/>
  <c r="DD148" i="37"/>
  <c r="DC148" i="37"/>
  <c r="DD270" i="37"/>
  <c r="DC270" i="37"/>
  <c r="DC217" i="37"/>
  <c r="DD217" i="37"/>
  <c r="DD267" i="37"/>
  <c r="DC267" i="37"/>
  <c r="DF301" i="37"/>
  <c r="DM344" i="37" s="1"/>
  <c r="DE301" i="37"/>
  <c r="DL304" i="37" s="1"/>
  <c r="DQ304" i="37" s="1"/>
  <c r="DC391" i="37"/>
  <c r="DD391" i="37"/>
  <c r="DH510" i="37"/>
  <c r="DG510" i="37"/>
  <c r="DD521" i="37"/>
  <c r="DC521" i="37"/>
  <c r="DD522" i="37"/>
  <c r="DC522" i="37"/>
  <c r="DE558" i="37"/>
  <c r="DF558" i="37"/>
  <c r="DH61" i="37"/>
  <c r="DG61" i="37"/>
  <c r="Y50" i="37"/>
  <c r="DB50" i="37" s="1"/>
  <c r="W52" i="37"/>
  <c r="CZ52" i="37" s="1"/>
  <c r="DF130" i="37"/>
  <c r="DE130" i="37"/>
  <c r="DC127" i="37"/>
  <c r="DD127" i="37"/>
  <c r="DD135" i="37"/>
  <c r="DC135" i="37"/>
  <c r="DM179" i="37"/>
  <c r="DM170" i="37"/>
  <c r="DM173" i="37"/>
  <c r="DM184" i="37"/>
  <c r="DM191" i="37"/>
  <c r="DM195" i="37"/>
  <c r="DM199" i="37"/>
  <c r="DM203" i="37"/>
  <c r="DM205" i="37"/>
  <c r="DM187" i="37"/>
  <c r="DM209" i="37"/>
  <c r="DD187" i="37"/>
  <c r="DC187" i="37"/>
  <c r="DD152" i="37"/>
  <c r="DC152" i="37"/>
  <c r="DL249" i="37"/>
  <c r="DQ249" i="37" s="1"/>
  <c r="DL278" i="37"/>
  <c r="DQ278" i="37" s="1"/>
  <c r="DL277" i="37"/>
  <c r="DQ277" i="37" s="1"/>
  <c r="DL276" i="37"/>
  <c r="DQ276" i="37" s="1"/>
  <c r="DL275" i="37"/>
  <c r="DQ275" i="37" s="1"/>
  <c r="DL274" i="37"/>
  <c r="DQ274" i="37" s="1"/>
  <c r="DL273" i="37"/>
  <c r="DQ273" i="37" s="1"/>
  <c r="DL272" i="37"/>
  <c r="DQ272" i="37" s="1"/>
  <c r="DL271" i="37"/>
  <c r="DQ271" i="37" s="1"/>
  <c r="DL270" i="37"/>
  <c r="DQ270" i="37" s="1"/>
  <c r="DL269" i="37"/>
  <c r="DQ269" i="37" s="1"/>
  <c r="DL268" i="37"/>
  <c r="DQ268" i="37" s="1"/>
  <c r="DL267" i="37"/>
  <c r="DQ267" i="37" s="1"/>
  <c r="DL266" i="37"/>
  <c r="DQ266" i="37" s="1"/>
  <c r="DL265" i="37"/>
  <c r="DQ265" i="37" s="1"/>
  <c r="DL264" i="37"/>
  <c r="DQ264" i="37" s="1"/>
  <c r="DL263" i="37"/>
  <c r="DQ263" i="37" s="1"/>
  <c r="DL262" i="37"/>
  <c r="DQ262" i="37" s="1"/>
  <c r="DL261" i="37"/>
  <c r="DQ261" i="37" s="1"/>
  <c r="DL260" i="37"/>
  <c r="DQ260" i="37" s="1"/>
  <c r="DL259" i="37"/>
  <c r="DQ259" i="37" s="1"/>
  <c r="DL258" i="37"/>
  <c r="DQ258" i="37" s="1"/>
  <c r="DL257" i="37"/>
  <c r="DQ257" i="37" s="1"/>
  <c r="DL256" i="37"/>
  <c r="DQ256" i="37" s="1"/>
  <c r="DL255" i="37"/>
  <c r="DQ255" i="37" s="1"/>
  <c r="DL254" i="37"/>
  <c r="DQ254" i="37" s="1"/>
  <c r="DL253" i="37"/>
  <c r="DQ253" i="37" s="1"/>
  <c r="DL252" i="37"/>
  <c r="DQ252" i="37" s="1"/>
  <c r="DL248" i="37"/>
  <c r="DQ248" i="37" s="1"/>
  <c r="DL247" i="37"/>
  <c r="DQ247" i="37" s="1"/>
  <c r="DL251" i="37"/>
  <c r="DQ251" i="37" s="1"/>
  <c r="DL242" i="37"/>
  <c r="DQ242" i="37" s="1"/>
  <c r="DL241" i="37"/>
  <c r="DQ241" i="37" s="1"/>
  <c r="DL240" i="37"/>
  <c r="DQ240" i="37" s="1"/>
  <c r="DL250" i="37"/>
  <c r="DQ250" i="37" s="1"/>
  <c r="DL243" i="37"/>
  <c r="DQ243" i="37" s="1"/>
  <c r="DL239" i="37"/>
  <c r="DQ239" i="37" s="1"/>
  <c r="DL246" i="37"/>
  <c r="DQ246" i="37" s="1"/>
  <c r="DL238" i="37"/>
  <c r="DQ238" i="37" s="1"/>
  <c r="DL236" i="37"/>
  <c r="DQ236" i="37" s="1"/>
  <c r="DL245" i="37"/>
  <c r="DQ245" i="37" s="1"/>
  <c r="DL233" i="37"/>
  <c r="DQ233" i="37" s="1"/>
  <c r="DL234" i="37"/>
  <c r="DQ234" i="37" s="1"/>
  <c r="DL244" i="37"/>
  <c r="DQ244" i="37" s="1"/>
  <c r="DL237" i="37"/>
  <c r="DQ237" i="37" s="1"/>
  <c r="DL235" i="37"/>
  <c r="DQ235" i="37" s="1"/>
  <c r="DC247" i="37"/>
  <c r="DD247" i="37"/>
  <c r="DC375" i="37"/>
  <c r="DD375" i="37"/>
  <c r="DH360" i="37"/>
  <c r="DG360" i="37"/>
  <c r="DC316" i="37"/>
  <c r="DD316" i="37"/>
  <c r="DC324" i="37"/>
  <c r="DD324" i="37"/>
  <c r="DC332" i="37"/>
  <c r="DD332" i="37"/>
  <c r="DC340" i="37"/>
  <c r="DD340" i="37"/>
  <c r="DG364" i="37"/>
  <c r="DH364" i="37"/>
  <c r="DC389" i="37"/>
  <c r="DD389" i="37"/>
  <c r="DC397" i="37"/>
  <c r="DD397" i="37"/>
  <c r="DC405" i="37"/>
  <c r="DD405" i="37"/>
  <c r="DD425" i="37"/>
  <c r="DC425" i="37"/>
  <c r="DI468" i="37" s="1"/>
  <c r="DD437" i="37"/>
  <c r="DC437" i="37"/>
  <c r="DD450" i="37"/>
  <c r="DC450" i="37"/>
  <c r="DC433" i="37"/>
  <c r="DD433" i="37"/>
  <c r="DD453" i="37"/>
  <c r="DC453" i="37"/>
  <c r="DC502" i="37"/>
  <c r="DD502" i="37"/>
  <c r="DH455" i="37"/>
  <c r="DG455" i="37"/>
  <c r="DG497" i="37"/>
  <c r="DO532" i="37" s="1"/>
  <c r="DH497" i="37"/>
  <c r="DD496" i="37"/>
  <c r="DC496" i="37"/>
  <c r="DD507" i="37"/>
  <c r="DC507" i="37"/>
  <c r="DF509" i="37"/>
  <c r="DM532" i="37" s="1"/>
  <c r="DE509" i="37"/>
  <c r="DF515" i="37"/>
  <c r="DE515" i="37"/>
  <c r="DD520" i="37"/>
  <c r="DC520" i="37"/>
  <c r="DD528" i="37"/>
  <c r="DC528" i="37"/>
  <c r="DF554" i="37"/>
  <c r="DM594" i="37" s="1"/>
  <c r="DE554" i="37"/>
  <c r="DL596" i="37" s="1"/>
  <c r="DQ596" i="37" s="1"/>
  <c r="DG574" i="37"/>
  <c r="DH574" i="37"/>
  <c r="DD565" i="37"/>
  <c r="DC565" i="37"/>
  <c r="DG581" i="37"/>
  <c r="DH581" i="37"/>
  <c r="DG576" i="37"/>
  <c r="DH576" i="37"/>
  <c r="DH615" i="37"/>
  <c r="DG615" i="37"/>
  <c r="DH73" i="37"/>
  <c r="DG73" i="37"/>
  <c r="DD64" i="37"/>
  <c r="DC64" i="37"/>
  <c r="DD80" i="37"/>
  <c r="DC80" i="37"/>
  <c r="DH109" i="37"/>
  <c r="DP154" i="37" s="1"/>
  <c r="DG109" i="37"/>
  <c r="DC125" i="37"/>
  <c r="DD125" i="37"/>
  <c r="DD180" i="37"/>
  <c r="DC180" i="37"/>
  <c r="DC153" i="37"/>
  <c r="DD153" i="37"/>
  <c r="DH135" i="37"/>
  <c r="DG135" i="37"/>
  <c r="DL172" i="37"/>
  <c r="DQ172" i="37" s="1"/>
  <c r="DL183" i="37"/>
  <c r="DQ183" i="37" s="1"/>
  <c r="DL190" i="37"/>
  <c r="DQ190" i="37" s="1"/>
  <c r="DL194" i="37"/>
  <c r="DQ194" i="37" s="1"/>
  <c r="DL198" i="37"/>
  <c r="DQ198" i="37" s="1"/>
  <c r="DL202" i="37"/>
  <c r="DQ202" i="37" s="1"/>
  <c r="DL186" i="37"/>
  <c r="DQ186" i="37" s="1"/>
  <c r="DL209" i="37"/>
  <c r="DQ209" i="37" s="1"/>
  <c r="DL213" i="37"/>
  <c r="DQ213" i="37" s="1"/>
  <c r="DL217" i="37"/>
  <c r="DQ217" i="37" s="1"/>
  <c r="DL177" i="37"/>
  <c r="DQ177" i="37" s="1"/>
  <c r="DL204" i="37"/>
  <c r="DQ204" i="37" s="1"/>
  <c r="DD140" i="37"/>
  <c r="DC140" i="37"/>
  <c r="DC235" i="37"/>
  <c r="DI277" i="37" s="1"/>
  <c r="DD235" i="37"/>
  <c r="DJ250" i="37" s="1"/>
  <c r="DH270" i="37"/>
  <c r="DG270" i="37"/>
  <c r="DD207" i="37"/>
  <c r="DC207" i="37"/>
  <c r="DD255" i="37"/>
  <c r="DC255" i="37"/>
  <c r="DD263" i="37"/>
  <c r="DC263" i="37"/>
  <c r="DD271" i="37"/>
  <c r="DC271" i="37"/>
  <c r="DD296" i="37"/>
  <c r="DC296" i="37"/>
  <c r="DG324" i="37"/>
  <c r="DH324" i="37"/>
  <c r="DD365" i="37"/>
  <c r="DC365" i="37"/>
  <c r="DG389" i="37"/>
  <c r="DH389" i="37"/>
  <c r="DG390" i="37"/>
  <c r="DH390" i="37"/>
  <c r="DD459" i="37"/>
  <c r="DC459" i="37"/>
  <c r="DD460" i="37"/>
  <c r="DC460" i="37"/>
  <c r="DH444" i="37"/>
  <c r="DG444" i="37"/>
  <c r="DH460" i="37"/>
  <c r="DG460" i="37"/>
  <c r="DC517" i="37"/>
  <c r="DD517" i="37"/>
  <c r="DH516" i="37"/>
  <c r="DG516" i="37"/>
  <c r="DG553" i="37"/>
  <c r="DH553" i="37"/>
  <c r="DH522" i="37"/>
  <c r="DG522" i="37"/>
  <c r="DG566" i="37"/>
  <c r="DH566" i="37"/>
  <c r="DD562" i="37"/>
  <c r="DC562" i="37"/>
  <c r="DD616" i="37"/>
  <c r="DC616" i="37"/>
  <c r="DI659" i="37" s="1"/>
  <c r="DD61" i="37"/>
  <c r="DC61" i="37"/>
  <c r="DD92" i="37"/>
  <c r="DC92" i="37"/>
  <c r="DH82" i="37"/>
  <c r="DG82" i="37"/>
  <c r="DD115" i="37"/>
  <c r="DC115" i="37"/>
  <c r="Y63" i="37"/>
  <c r="DB63" i="37" s="1"/>
  <c r="W67" i="37"/>
  <c r="CZ67" i="37" s="1"/>
  <c r="DF71" i="37"/>
  <c r="DE71" i="37"/>
  <c r="Y79" i="37"/>
  <c r="DB79" i="37" s="1"/>
  <c r="W83" i="37"/>
  <c r="CZ83" i="37" s="1"/>
  <c r="DF87" i="37"/>
  <c r="DE87" i="37"/>
  <c r="DD146" i="37"/>
  <c r="DC146" i="37"/>
  <c r="DD144" i="37"/>
  <c r="DC144" i="37"/>
  <c r="DH273" i="37"/>
  <c r="DG273" i="37"/>
  <c r="DH313" i="37"/>
  <c r="DG313" i="37"/>
  <c r="DH367" i="37"/>
  <c r="DG367" i="37"/>
  <c r="DD407" i="37"/>
  <c r="DC407" i="37"/>
  <c r="DH438" i="37"/>
  <c r="DG438" i="37"/>
  <c r="DH468" i="37"/>
  <c r="DG468" i="37"/>
  <c r="DH506" i="37"/>
  <c r="DG506" i="37"/>
  <c r="DH513" i="37"/>
  <c r="DG513" i="37"/>
  <c r="DH527" i="37"/>
  <c r="DG527" i="37"/>
  <c r="DG555" i="37"/>
  <c r="DH555" i="37"/>
  <c r="DG594" i="37"/>
  <c r="DH594" i="37"/>
  <c r="DE592" i="37"/>
  <c r="DF592" i="37"/>
  <c r="DF620" i="37"/>
  <c r="DE620" i="37"/>
  <c r="DD641" i="37"/>
  <c r="DC641" i="37"/>
  <c r="DC618" i="37"/>
  <c r="DI658" i="37" s="1"/>
  <c r="DD618" i="37"/>
  <c r="DG593" i="37"/>
  <c r="DH593" i="37"/>
  <c r="DH624" i="37"/>
  <c r="DG624" i="37"/>
  <c r="DC639" i="37"/>
  <c r="DD639" i="37"/>
  <c r="DD643" i="37"/>
  <c r="DC643" i="37"/>
  <c r="DH597" i="37"/>
  <c r="DG597" i="37"/>
  <c r="DE625" i="37"/>
  <c r="DF625" i="37"/>
  <c r="DF622" i="37"/>
  <c r="DE622" i="37"/>
  <c r="DG636" i="37"/>
  <c r="DH636" i="37"/>
  <c r="DD651" i="37"/>
  <c r="DC651" i="37"/>
  <c r="DE654" i="37"/>
  <c r="DF654" i="37"/>
  <c r="DH663" i="37"/>
  <c r="DG663" i="37"/>
  <c r="DH81" i="37"/>
  <c r="DG81" i="37"/>
  <c r="DD88" i="37"/>
  <c r="DC88" i="37"/>
  <c r="DD181" i="37"/>
  <c r="DC181" i="37"/>
  <c r="DC321" i="37"/>
  <c r="DD321" i="37"/>
  <c r="DC385" i="37"/>
  <c r="DD385" i="37"/>
  <c r="DC399" i="37"/>
  <c r="DD399" i="37"/>
  <c r="DD529" i="37"/>
  <c r="DC529" i="37"/>
  <c r="DD530" i="37"/>
  <c r="DC530" i="37"/>
  <c r="DD48" i="37"/>
  <c r="DC48" i="37"/>
  <c r="DH77" i="37"/>
  <c r="DG77" i="37"/>
  <c r="W50" i="37"/>
  <c r="CZ50" i="37" s="1"/>
  <c r="DF52" i="37"/>
  <c r="DM67" i="37" s="1"/>
  <c r="DE52" i="37"/>
  <c r="DL89" i="37" s="1"/>
  <c r="DQ89" i="37" s="1"/>
  <c r="DO153" i="37"/>
  <c r="DO154" i="37"/>
  <c r="DO152" i="37"/>
  <c r="DO151" i="37"/>
  <c r="DO149" i="37"/>
  <c r="DO148" i="37"/>
  <c r="DO147" i="37"/>
  <c r="DO145" i="37"/>
  <c r="DO144" i="37"/>
  <c r="DO143" i="37"/>
  <c r="DO141" i="37"/>
  <c r="DO140" i="37"/>
  <c r="DO139" i="37"/>
  <c r="DO137" i="37"/>
  <c r="DO136" i="37"/>
  <c r="DO135" i="37"/>
  <c r="DO133" i="37"/>
  <c r="DO132" i="37"/>
  <c r="DO131" i="37"/>
  <c r="DO129" i="37"/>
  <c r="DO128" i="37"/>
  <c r="DO127" i="37"/>
  <c r="DO125" i="37"/>
  <c r="DO116" i="37"/>
  <c r="DO112" i="37"/>
  <c r="DO117" i="37"/>
  <c r="DO111" i="37"/>
  <c r="DO121" i="37"/>
  <c r="DO119" i="37"/>
  <c r="DO118" i="37"/>
  <c r="DO110" i="37"/>
  <c r="DO108" i="37"/>
  <c r="DO107" i="37"/>
  <c r="DO106" i="37"/>
  <c r="DO115" i="37"/>
  <c r="DO114" i="37"/>
  <c r="DO113" i="37"/>
  <c r="DG126" i="37"/>
  <c r="DO124" i="37" s="1"/>
  <c r="DH126" i="37"/>
  <c r="DD138" i="37"/>
  <c r="DC138" i="37"/>
  <c r="DC131" i="37"/>
  <c r="DD131" i="37"/>
  <c r="DD137" i="37"/>
  <c r="DC137" i="37"/>
  <c r="DM188" i="37"/>
  <c r="DM171" i="37"/>
  <c r="DM174" i="37"/>
  <c r="DM185" i="37"/>
  <c r="DM192" i="37"/>
  <c r="DM196" i="37"/>
  <c r="DM200" i="37"/>
  <c r="DM175" i="37"/>
  <c r="DM217" i="37"/>
  <c r="DM218" i="37"/>
  <c r="DM210" i="37"/>
  <c r="DC250" i="37"/>
  <c r="DD250" i="37"/>
  <c r="DM278" i="37"/>
  <c r="DM277" i="37"/>
  <c r="DM276" i="37"/>
  <c r="DM275" i="37"/>
  <c r="DM274" i="37"/>
  <c r="DM273" i="37"/>
  <c r="DM272" i="37"/>
  <c r="DM271" i="37"/>
  <c r="DM270" i="37"/>
  <c r="DM269" i="37"/>
  <c r="DM268" i="37"/>
  <c r="DM267" i="37"/>
  <c r="DM266" i="37"/>
  <c r="DM265" i="37"/>
  <c r="DM264" i="37"/>
  <c r="DM263" i="37"/>
  <c r="DM262" i="37"/>
  <c r="DM261" i="37"/>
  <c r="DM260" i="37"/>
  <c r="DM259" i="37"/>
  <c r="DM258" i="37"/>
  <c r="DM257" i="37"/>
  <c r="DM256" i="37"/>
  <c r="DM255" i="37"/>
  <c r="DM254" i="37"/>
  <c r="DM253" i="37"/>
  <c r="DM252" i="37"/>
  <c r="DM248" i="37"/>
  <c r="DM247" i="37"/>
  <c r="DM246" i="37"/>
  <c r="DM251" i="37"/>
  <c r="DM250" i="37"/>
  <c r="DM243" i="37"/>
  <c r="DM239" i="37"/>
  <c r="DM249" i="37"/>
  <c r="DM244" i="37"/>
  <c r="DM238" i="37"/>
  <c r="DM245" i="37"/>
  <c r="DM233" i="37"/>
  <c r="DM241" i="37"/>
  <c r="DM234" i="37"/>
  <c r="DM237" i="37"/>
  <c r="DM235" i="37"/>
  <c r="BT235" i="37"/>
  <c r="DM242" i="37"/>
  <c r="DM240" i="37"/>
  <c r="DM236" i="37"/>
  <c r="DD257" i="37"/>
  <c r="DC257" i="37"/>
  <c r="DD248" i="37"/>
  <c r="DC248" i="37"/>
  <c r="DG310" i="37"/>
  <c r="DH310" i="37"/>
  <c r="DC370" i="37"/>
  <c r="DD370" i="37"/>
  <c r="DG318" i="37"/>
  <c r="DH318" i="37"/>
  <c r="DG326" i="37"/>
  <c r="DH326" i="37"/>
  <c r="DG334" i="37"/>
  <c r="DH334" i="37"/>
  <c r="DG342" i="37"/>
  <c r="DH342" i="37"/>
  <c r="DC308" i="37"/>
  <c r="DD308" i="37"/>
  <c r="DD377" i="37"/>
  <c r="DC377" i="37"/>
  <c r="DG391" i="37"/>
  <c r="DH391" i="37"/>
  <c r="DG399" i="37"/>
  <c r="DH399" i="37"/>
  <c r="DD360" i="37"/>
  <c r="DJ403" i="37" s="1"/>
  <c r="DC360" i="37"/>
  <c r="DI404" i="37" s="1"/>
  <c r="DC426" i="37"/>
  <c r="DD426" i="37"/>
  <c r="DJ467" i="37" s="1"/>
  <c r="DD428" i="37"/>
  <c r="DC428" i="37"/>
  <c r="DD455" i="37"/>
  <c r="DC455" i="37"/>
  <c r="DH461" i="37"/>
  <c r="DG461" i="37"/>
  <c r="DH439" i="37"/>
  <c r="DG439" i="37"/>
  <c r="DD438" i="37"/>
  <c r="DC438" i="37"/>
  <c r="DD468" i="37"/>
  <c r="DC468" i="37"/>
  <c r="DH443" i="37"/>
  <c r="DG443" i="37"/>
  <c r="DH459" i="37"/>
  <c r="DG459" i="37"/>
  <c r="DD465" i="37"/>
  <c r="DC465" i="37"/>
  <c r="DG518" i="37"/>
  <c r="DH518" i="37"/>
  <c r="DD534" i="37"/>
  <c r="DC534" i="37"/>
  <c r="DG507" i="37"/>
  <c r="DH507" i="37"/>
  <c r="DH511" i="37"/>
  <c r="DG511" i="37"/>
  <c r="DD527" i="37"/>
  <c r="DC527" i="37"/>
  <c r="DH524" i="37"/>
  <c r="DG524" i="37"/>
  <c r="DH532" i="37"/>
  <c r="DG532" i="37"/>
  <c r="DG554" i="37"/>
  <c r="DH554" i="37"/>
  <c r="DP592" i="37" s="1"/>
  <c r="DC578" i="37"/>
  <c r="DD578" i="37"/>
  <c r="DC586" i="37"/>
  <c r="DD586" i="37"/>
  <c r="DD571" i="37"/>
  <c r="DC571" i="37"/>
  <c r="DF576" i="37"/>
  <c r="DE576" i="37"/>
  <c r="DH89" i="37"/>
  <c r="DG89" i="37"/>
  <c r="DH68" i="37"/>
  <c r="DG68" i="37"/>
  <c r="DH84" i="37"/>
  <c r="DG84" i="37"/>
  <c r="DD51" i="37"/>
  <c r="DC51" i="37"/>
  <c r="DD119" i="37"/>
  <c r="DC119" i="37"/>
  <c r="DD62" i="37"/>
  <c r="DC62" i="37"/>
  <c r="DD78" i="37"/>
  <c r="DC78" i="37"/>
  <c r="DD110" i="37"/>
  <c r="DC110" i="37"/>
  <c r="DM152" i="37"/>
  <c r="DM151" i="37"/>
  <c r="DM150" i="37"/>
  <c r="DM149" i="37"/>
  <c r="DM148" i="37"/>
  <c r="DM147" i="37"/>
  <c r="DM146" i="37"/>
  <c r="DM145" i="37"/>
  <c r="DM144" i="37"/>
  <c r="DM143" i="37"/>
  <c r="DM142" i="37"/>
  <c r="DM141" i="37"/>
  <c r="DM140" i="37"/>
  <c r="DM139" i="37"/>
  <c r="DM138" i="37"/>
  <c r="DM137" i="37"/>
  <c r="DM136" i="37"/>
  <c r="DM135" i="37"/>
  <c r="DM153" i="37"/>
  <c r="DM154" i="37"/>
  <c r="DM123" i="37"/>
  <c r="DM128" i="37"/>
  <c r="DM121" i="37"/>
  <c r="DM120" i="37"/>
  <c r="DM119" i="37"/>
  <c r="DM118" i="37"/>
  <c r="DM110" i="37"/>
  <c r="DM109" i="37"/>
  <c r="DM108" i="37"/>
  <c r="BT108" i="37"/>
  <c r="DM107" i="37"/>
  <c r="DM106" i="37"/>
  <c r="DM134" i="37"/>
  <c r="DM133" i="37"/>
  <c r="DM132" i="37"/>
  <c r="DM131" i="37"/>
  <c r="DM127" i="37"/>
  <c r="DM115" i="37"/>
  <c r="DM114" i="37"/>
  <c r="DM113" i="37"/>
  <c r="DM130" i="37"/>
  <c r="DM126" i="37"/>
  <c r="DM124" i="37"/>
  <c r="DM116" i="37"/>
  <c r="DM112" i="37"/>
  <c r="DM129" i="37"/>
  <c r="DM125" i="37"/>
  <c r="DM122" i="37"/>
  <c r="DM117" i="37"/>
  <c r="DM111" i="37"/>
  <c r="DD139" i="37"/>
  <c r="DC139" i="37"/>
  <c r="DO207" i="37"/>
  <c r="DO183" i="37"/>
  <c r="DO202" i="37"/>
  <c r="DD141" i="37"/>
  <c r="DC141" i="37"/>
  <c r="DL173" i="37"/>
  <c r="DQ173" i="37" s="1"/>
  <c r="DL184" i="37"/>
  <c r="DQ184" i="37" s="1"/>
  <c r="DL191" i="37"/>
  <c r="DQ191" i="37" s="1"/>
  <c r="DL195" i="37"/>
  <c r="DQ195" i="37" s="1"/>
  <c r="DL199" i="37"/>
  <c r="DQ199" i="37" s="1"/>
  <c r="DL203" i="37"/>
  <c r="DQ203" i="37" s="1"/>
  <c r="DL205" i="37"/>
  <c r="DQ205" i="37" s="1"/>
  <c r="DL210" i="37"/>
  <c r="DQ210" i="37" s="1"/>
  <c r="DL214" i="37"/>
  <c r="DQ214" i="37" s="1"/>
  <c r="DL176" i="37"/>
  <c r="DQ176" i="37" s="1"/>
  <c r="DL178" i="37"/>
  <c r="DQ178" i="37" s="1"/>
  <c r="DH207" i="37"/>
  <c r="DP182" i="37" s="1"/>
  <c r="DG207" i="37"/>
  <c r="DO176" i="37" s="1"/>
  <c r="DG246" i="37"/>
  <c r="DH246" i="37"/>
  <c r="DH278" i="37"/>
  <c r="DG278" i="37"/>
  <c r="DJ216" i="37"/>
  <c r="DJ215" i="37"/>
  <c r="DJ214" i="37"/>
  <c r="DJ213" i="37"/>
  <c r="DJ212" i="37"/>
  <c r="DJ211" i="37"/>
  <c r="DJ210" i="37"/>
  <c r="DJ209" i="37"/>
  <c r="DJ208" i="37"/>
  <c r="DJ207" i="37"/>
  <c r="DJ206" i="37"/>
  <c r="DJ205" i="37"/>
  <c r="DJ204" i="37"/>
  <c r="DJ217" i="37"/>
  <c r="DJ186" i="37"/>
  <c r="DJ181" i="37"/>
  <c r="DJ175" i="37"/>
  <c r="DJ218" i="37"/>
  <c r="DJ203" i="37"/>
  <c r="DJ202" i="37"/>
  <c r="DJ201" i="37"/>
  <c r="DJ200" i="37"/>
  <c r="DJ199" i="37"/>
  <c r="DJ198" i="37"/>
  <c r="DJ197" i="37"/>
  <c r="DJ196" i="37"/>
  <c r="DJ195" i="37"/>
  <c r="DJ194" i="37"/>
  <c r="DJ193" i="37"/>
  <c r="DJ192" i="37"/>
  <c r="DJ191" i="37"/>
  <c r="DJ190" i="37"/>
  <c r="DJ189" i="37"/>
  <c r="DJ185" i="37"/>
  <c r="DJ184" i="37"/>
  <c r="DJ183" i="37"/>
  <c r="DJ182" i="37"/>
  <c r="DJ174" i="37"/>
  <c r="DJ173" i="37"/>
  <c r="DJ172" i="37"/>
  <c r="DJ171" i="37"/>
  <c r="DJ170" i="37"/>
  <c r="DJ188" i="37"/>
  <c r="DJ179" i="37"/>
  <c r="DJ178" i="37"/>
  <c r="DJ177" i="37"/>
  <c r="BT173" i="37"/>
  <c r="DJ187" i="37"/>
  <c r="DJ180" i="37"/>
  <c r="DJ176" i="37"/>
  <c r="DH244" i="37"/>
  <c r="DP276" i="37" s="1"/>
  <c r="DG244" i="37"/>
  <c r="DH249" i="37"/>
  <c r="DG249" i="37"/>
  <c r="DH259" i="37"/>
  <c r="DG259" i="37"/>
  <c r="DH267" i="37"/>
  <c r="DG267" i="37"/>
  <c r="DH275" i="37"/>
  <c r="DG275" i="37"/>
  <c r="DC298" i="37"/>
  <c r="DD298" i="37"/>
  <c r="DC317" i="37"/>
  <c r="DD317" i="37"/>
  <c r="DC325" i="37"/>
  <c r="DD325" i="37"/>
  <c r="DC333" i="37"/>
  <c r="DD333" i="37"/>
  <c r="DC341" i="37"/>
  <c r="DD341" i="37"/>
  <c r="DG375" i="37"/>
  <c r="DH375" i="37"/>
  <c r="DG332" i="37"/>
  <c r="DH332" i="37"/>
  <c r="DH306" i="37"/>
  <c r="DP304" i="37" s="1"/>
  <c r="DG306" i="37"/>
  <c r="DG397" i="37"/>
  <c r="DH397" i="37"/>
  <c r="DG398" i="37"/>
  <c r="DH398" i="37"/>
  <c r="DD454" i="37"/>
  <c r="DC454" i="37"/>
  <c r="DD466" i="37"/>
  <c r="DC466" i="37"/>
  <c r="DH448" i="37"/>
  <c r="DG448" i="37"/>
  <c r="DD490" i="37"/>
  <c r="DC490" i="37"/>
  <c r="DD550" i="37"/>
  <c r="DC550" i="37"/>
  <c r="DF516" i="37"/>
  <c r="DE516" i="37"/>
  <c r="DD525" i="37"/>
  <c r="DC525" i="37"/>
  <c r="DD533" i="37"/>
  <c r="DC533" i="37"/>
  <c r="DH530" i="37"/>
  <c r="DG530" i="37"/>
  <c r="DG579" i="37"/>
  <c r="DH579" i="37"/>
  <c r="DC595" i="37"/>
  <c r="DD595" i="37"/>
  <c r="DM47" i="37"/>
  <c r="DM64" i="37"/>
  <c r="DM61" i="37"/>
  <c r="DD53" i="37"/>
  <c r="DC53" i="37"/>
  <c r="DD77" i="37"/>
  <c r="DC77" i="37"/>
  <c r="DD106" i="37"/>
  <c r="DC106" i="37"/>
  <c r="DG59" i="37"/>
  <c r="DH59" i="37"/>
  <c r="DC63" i="37"/>
  <c r="DD63" i="37"/>
  <c r="DF67" i="37"/>
  <c r="DM82" i="37" s="1"/>
  <c r="DE67" i="37"/>
  <c r="DG75" i="37"/>
  <c r="DH75" i="37"/>
  <c r="DC79" i="37"/>
  <c r="DD79" i="37"/>
  <c r="DF83" i="37"/>
  <c r="DE83" i="37"/>
  <c r="Y91" i="37"/>
  <c r="DB91" i="37" s="1"/>
  <c r="DP172" i="37"/>
  <c r="DP190" i="37"/>
  <c r="DP194" i="37"/>
  <c r="DP198" i="37"/>
  <c r="DP175" i="37"/>
  <c r="DP180" i="37"/>
  <c r="DP177" i="37"/>
  <c r="DP211" i="37"/>
  <c r="DD145" i="37"/>
  <c r="DC145" i="37"/>
  <c r="DD251" i="37"/>
  <c r="DC251" i="37"/>
  <c r="DH248" i="37"/>
  <c r="DG248" i="37"/>
  <c r="DH343" i="37"/>
  <c r="DG343" i="37"/>
  <c r="DD447" i="37"/>
  <c r="DC447" i="37"/>
  <c r="DC431" i="37"/>
  <c r="DD431" i="37"/>
  <c r="DD458" i="37"/>
  <c r="DC458" i="37"/>
  <c r="DD448" i="37"/>
  <c r="DC448" i="37"/>
  <c r="DH552" i="37"/>
  <c r="DP593" i="37" s="1"/>
  <c r="DG552" i="37"/>
  <c r="DO595" i="37" s="1"/>
  <c r="DF513" i="37"/>
  <c r="DE513" i="37"/>
  <c r="DF555" i="37"/>
  <c r="DE555" i="37"/>
  <c r="DE594" i="37"/>
  <c r="DF594" i="37"/>
  <c r="DH621" i="37"/>
  <c r="DG621" i="37"/>
  <c r="DH655" i="37"/>
  <c r="DG655" i="37"/>
  <c r="DJ639" i="37"/>
  <c r="DF618" i="37"/>
  <c r="DM658" i="37" s="1"/>
  <c r="DE618" i="37"/>
  <c r="DL661" i="37" s="1"/>
  <c r="DQ661" i="37" s="1"/>
  <c r="DC593" i="37"/>
  <c r="DD593" i="37"/>
  <c r="DF624" i="37"/>
  <c r="DE624" i="37"/>
  <c r="DH641" i="37"/>
  <c r="DG641" i="37"/>
  <c r="DC650" i="37"/>
  <c r="DD650" i="37"/>
  <c r="DC662" i="37"/>
  <c r="DD662" i="37"/>
  <c r="DD597" i="37"/>
  <c r="DC597" i="37"/>
  <c r="DC634" i="37"/>
  <c r="DI652" i="37" s="1"/>
  <c r="DD634" i="37"/>
  <c r="DJ661" i="37" s="1"/>
  <c r="DG639" i="37"/>
  <c r="DH639" i="37"/>
  <c r="DH643" i="37"/>
  <c r="DG643" i="37"/>
  <c r="DH660" i="37"/>
  <c r="DG660" i="37"/>
  <c r="DD642" i="37"/>
  <c r="DC642" i="37"/>
  <c r="M7" i="11"/>
  <c r="M8" i="11"/>
  <c r="M9" i="11"/>
  <c r="AB12" i="3" s="1"/>
  <c r="M10" i="11"/>
  <c r="AB11" i="8"/>
  <c r="AB10" i="8"/>
  <c r="AB9" i="8"/>
  <c r="M5" i="11"/>
  <c r="AB8" i="3" s="1"/>
  <c r="AB8" i="8"/>
  <c r="M4" i="11"/>
  <c r="AB12" i="6"/>
  <c r="AB11" i="6"/>
  <c r="AB10" i="6"/>
  <c r="AB9" i="6"/>
  <c r="BF9" i="6" s="1"/>
  <c r="AB8" i="6"/>
  <c r="AB61" i="6" s="1"/>
  <c r="AB7" i="6"/>
  <c r="AB9" i="3"/>
  <c r="AB10" i="3"/>
  <c r="AB11" i="3"/>
  <c r="AG12" i="9"/>
  <c r="AI12" i="9" s="1"/>
  <c r="AK10" i="9" s="1"/>
  <c r="AL10" i="9" s="1"/>
  <c r="M60" i="8"/>
  <c r="M61" i="8"/>
  <c r="AB61" i="8" s="1"/>
  <c r="C108" i="11" s="1"/>
  <c r="D108" i="11" s="1"/>
  <c r="E108" i="11" s="1"/>
  <c r="M62" i="8"/>
  <c r="AB62" i="8" s="1"/>
  <c r="C109" i="11" s="1"/>
  <c r="D109" i="11" s="1"/>
  <c r="E109" i="11" s="1"/>
  <c r="G115" i="40" s="1"/>
  <c r="M63" i="8"/>
  <c r="M64" i="8"/>
  <c r="AB64" i="8" s="1"/>
  <c r="C111" i="11" s="1"/>
  <c r="D111" i="11" s="1"/>
  <c r="E111" i="11" s="1"/>
  <c r="G117" i="40" s="1"/>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6" i="6"/>
  <c r="M60" i="6"/>
  <c r="M62" i="6"/>
  <c r="M63" i="6"/>
  <c r="AB63" i="6" s="1"/>
  <c r="C59" i="11" s="1"/>
  <c r="D59" i="11" s="1"/>
  <c r="E59" i="11" s="1"/>
  <c r="G116" i="39" s="1"/>
  <c r="M64" i="6"/>
  <c r="M65" i="6"/>
  <c r="AB65" i="6" s="1"/>
  <c r="C61" i="11" s="1"/>
  <c r="D61" i="11" s="1"/>
  <c r="E61" i="11" s="1"/>
  <c r="G118" i="39" s="1"/>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O53" i="8"/>
  <c r="I106" i="8" s="1"/>
  <c r="C106" i="8"/>
  <c r="O52" i="8"/>
  <c r="C105" i="8"/>
  <c r="I105" i="8"/>
  <c r="O51" i="8"/>
  <c r="I104" i="8" s="1"/>
  <c r="Y104" i="8" s="1"/>
  <c r="C151" i="41" s="1"/>
  <c r="D151" i="41" s="1"/>
  <c r="E151" i="41" s="1"/>
  <c r="C104" i="8"/>
  <c r="O50" i="8"/>
  <c r="C103" i="8"/>
  <c r="F103" i="8" s="1"/>
  <c r="U103" i="8" s="1"/>
  <c r="O49" i="8"/>
  <c r="I102" i="8" s="1"/>
  <c r="Y102" i="8" s="1"/>
  <c r="C149" i="41" s="1"/>
  <c r="D149" i="41" s="1"/>
  <c r="E149" i="41" s="1"/>
  <c r="C102" i="8"/>
  <c r="O48" i="8"/>
  <c r="C101" i="8"/>
  <c r="F101" i="8" s="1"/>
  <c r="U101" i="8" s="1"/>
  <c r="O47" i="8"/>
  <c r="I100" i="8" s="1"/>
  <c r="Y100" i="8" s="1"/>
  <c r="C100" i="8"/>
  <c r="O46" i="8"/>
  <c r="C99" i="8"/>
  <c r="AF209" i="8" s="1"/>
  <c r="AX209" i="8" s="1"/>
  <c r="O45" i="8"/>
  <c r="I98" i="8" s="1"/>
  <c r="C98" i="8"/>
  <c r="O44" i="8"/>
  <c r="I97" i="8" s="1"/>
  <c r="C97" i="8"/>
  <c r="O43" i="8"/>
  <c r="C96" i="8"/>
  <c r="O42" i="8"/>
  <c r="I95" i="8" s="1"/>
  <c r="Y95" i="8" s="1"/>
  <c r="C205" i="8" s="1"/>
  <c r="C95" i="8"/>
  <c r="O41" i="8"/>
  <c r="I94" i="8" s="1"/>
  <c r="C94" i="8"/>
  <c r="Y94" i="8"/>
  <c r="O40" i="8"/>
  <c r="I93" i="8" s="1"/>
  <c r="Y93" i="8" s="1"/>
  <c r="C140" i="41" s="1"/>
  <c r="D140" i="41" s="1"/>
  <c r="E140" i="41" s="1"/>
  <c r="C93" i="8"/>
  <c r="O39" i="8"/>
  <c r="C92" i="8"/>
  <c r="AF202" i="8" s="1"/>
  <c r="AX202" i="8" s="1"/>
  <c r="O38" i="8"/>
  <c r="I91" i="8" s="1"/>
  <c r="Y91" i="8" s="1"/>
  <c r="C91" i="8"/>
  <c r="O37" i="8"/>
  <c r="C90" i="8"/>
  <c r="O36" i="8"/>
  <c r="I89" i="8" s="1"/>
  <c r="Y89" i="8" s="1"/>
  <c r="C89" i="8"/>
  <c r="O35" i="8"/>
  <c r="C88" i="8"/>
  <c r="AF198" i="8" s="1"/>
  <c r="AX198" i="8" s="1"/>
  <c r="O34" i="8"/>
  <c r="I87" i="8" s="1"/>
  <c r="Y87" i="8" s="1"/>
  <c r="C87" i="8"/>
  <c r="O33" i="8"/>
  <c r="C86" i="8"/>
  <c r="AF196" i="8" s="1"/>
  <c r="AX196" i="8" s="1"/>
  <c r="O32" i="8"/>
  <c r="I85" i="8" s="1"/>
  <c r="C85" i="8"/>
  <c r="O31" i="8"/>
  <c r="C84" i="8"/>
  <c r="AF194" i="8" s="1"/>
  <c r="AX194" i="8" s="1"/>
  <c r="O30" i="8"/>
  <c r="I83" i="8" s="1"/>
  <c r="C83" i="8"/>
  <c r="O29" i="8"/>
  <c r="C82" i="8"/>
  <c r="F82" i="8" s="1"/>
  <c r="U82" i="8" s="1"/>
  <c r="O28" i="8"/>
  <c r="C81" i="8"/>
  <c r="O27" i="8"/>
  <c r="C80" i="8"/>
  <c r="I80" i="8" s="1"/>
  <c r="O26" i="8"/>
  <c r="I79" i="8" s="1"/>
  <c r="C79" i="8"/>
  <c r="O25" i="8"/>
  <c r="I78" i="8" s="1"/>
  <c r="Y78" i="8" s="1"/>
  <c r="C125" i="41" s="1"/>
  <c r="D125" i="41" s="1"/>
  <c r="E125" i="41" s="1"/>
  <c r="C78" i="8"/>
  <c r="O24" i="8"/>
  <c r="I77" i="8" s="1"/>
  <c r="C77" i="8"/>
  <c r="O23" i="8"/>
  <c r="C76" i="8"/>
  <c r="O22" i="8"/>
  <c r="C75" i="8"/>
  <c r="O21" i="8"/>
  <c r="C74" i="8"/>
  <c r="O20" i="8"/>
  <c r="I73" i="8" s="1"/>
  <c r="C73" i="8"/>
  <c r="O19" i="8"/>
  <c r="I72" i="8" s="1"/>
  <c r="Y72" i="8" s="1"/>
  <c r="C72" i="8"/>
  <c r="O18" i="8"/>
  <c r="I71" i="8" s="1"/>
  <c r="Y71" i="8" s="1"/>
  <c r="C71" i="8"/>
  <c r="O17" i="8"/>
  <c r="I70" i="8" s="1"/>
  <c r="Y70" i="8" s="1"/>
  <c r="C70" i="8"/>
  <c r="O16" i="8"/>
  <c r="I69" i="8" s="1"/>
  <c r="C69" i="8"/>
  <c r="O15" i="8"/>
  <c r="I68" i="8" s="1"/>
  <c r="Y68" i="8" s="1"/>
  <c r="C68" i="8"/>
  <c r="O14" i="8"/>
  <c r="I67" i="8" s="1"/>
  <c r="Y67" i="8" s="1"/>
  <c r="C67" i="8"/>
  <c r="O13" i="8"/>
  <c r="I66" i="8" s="1"/>
  <c r="C66" i="8"/>
  <c r="O12" i="8"/>
  <c r="I65" i="8" s="1"/>
  <c r="C65" i="8"/>
  <c r="O11" i="8"/>
  <c r="C64" i="8"/>
  <c r="I64" i="8" s="1"/>
  <c r="Y64" i="8" s="1"/>
  <c r="O10" i="8"/>
  <c r="I63" i="8" s="1"/>
  <c r="Y63" i="8" s="1"/>
  <c r="C110" i="41" s="1"/>
  <c r="D110" i="41" s="1"/>
  <c r="E110" i="41" s="1"/>
  <c r="C63" i="8"/>
  <c r="O9" i="8"/>
  <c r="I62" i="8" s="1"/>
  <c r="C62" i="8"/>
  <c r="O8" i="8"/>
  <c r="I61" i="8" s="1"/>
  <c r="C61" i="8"/>
  <c r="O7" i="8"/>
  <c r="I60" i="8" s="1"/>
  <c r="Y60" i="8" s="1"/>
  <c r="C170" i="8" s="1"/>
  <c r="C60" i="8"/>
  <c r="O53" i="6"/>
  <c r="I106" i="6" s="1"/>
  <c r="Y106" i="6" s="1"/>
  <c r="C106" i="6"/>
  <c r="O52" i="6"/>
  <c r="C105" i="6"/>
  <c r="O51" i="6"/>
  <c r="I104" i="6" s="1"/>
  <c r="Y104" i="6" s="1"/>
  <c r="C104" i="6"/>
  <c r="O50" i="6"/>
  <c r="C103" i="6"/>
  <c r="O49" i="6"/>
  <c r="I102" i="6" s="1"/>
  <c r="C102" i="6"/>
  <c r="O48" i="6"/>
  <c r="C101" i="6"/>
  <c r="I101" i="6"/>
  <c r="O47" i="6"/>
  <c r="C100" i="6"/>
  <c r="I100" i="6"/>
  <c r="O46" i="6"/>
  <c r="I99" i="6" s="1"/>
  <c r="C99" i="6"/>
  <c r="O45" i="6"/>
  <c r="C98" i="6"/>
  <c r="O44" i="6"/>
  <c r="I97" i="6" s="1"/>
  <c r="Y97" i="6" s="1"/>
  <c r="C97" i="6"/>
  <c r="O43" i="6"/>
  <c r="C96" i="6"/>
  <c r="O42" i="6"/>
  <c r="I95" i="6" s="1"/>
  <c r="C95" i="6"/>
  <c r="O41" i="6"/>
  <c r="C94" i="6"/>
  <c r="I94" i="6"/>
  <c r="O40" i="6"/>
  <c r="C93" i="6"/>
  <c r="I93" i="6"/>
  <c r="Y93" i="6" s="1"/>
  <c r="C89" i="41" s="1"/>
  <c r="D89" i="41" s="1"/>
  <c r="E89" i="41" s="1"/>
  <c r="O39" i="6"/>
  <c r="C92" i="6"/>
  <c r="I92" i="6"/>
  <c r="Y92" i="6" s="1"/>
  <c r="C88" i="41" s="1"/>
  <c r="D88" i="41" s="1"/>
  <c r="E88" i="41" s="1"/>
  <c r="O38" i="6"/>
  <c r="C91" i="6"/>
  <c r="I91" i="6" s="1"/>
  <c r="O37" i="6"/>
  <c r="C90" i="6"/>
  <c r="O36" i="6"/>
  <c r="I89" i="6" s="1"/>
  <c r="Y89" i="6" s="1"/>
  <c r="C89" i="6"/>
  <c r="O35" i="6"/>
  <c r="C88" i="6"/>
  <c r="O34" i="6"/>
  <c r="I87" i="6" s="1"/>
  <c r="C87" i="6"/>
  <c r="O33" i="6"/>
  <c r="C86" i="6"/>
  <c r="O32" i="6"/>
  <c r="I85" i="6" s="1"/>
  <c r="C85" i="6"/>
  <c r="O31" i="6"/>
  <c r="C84" i="6"/>
  <c r="O30" i="6"/>
  <c r="I83" i="6" s="1"/>
  <c r="C83" i="6"/>
  <c r="O29" i="6"/>
  <c r="C82" i="6"/>
  <c r="I82" i="6"/>
  <c r="Y82" i="6" s="1"/>
  <c r="O28" i="6"/>
  <c r="C81" i="6"/>
  <c r="I81" i="6"/>
  <c r="Y81" i="6" s="1"/>
  <c r="O27" i="6"/>
  <c r="I80" i="6" s="1"/>
  <c r="Y80" i="6" s="1"/>
  <c r="C76" i="41" s="1"/>
  <c r="D76" i="41" s="1"/>
  <c r="E76" i="41" s="1"/>
  <c r="C80" i="6"/>
  <c r="O26" i="6"/>
  <c r="BE26" i="6" s="1"/>
  <c r="C79" i="6"/>
  <c r="O25" i="6"/>
  <c r="C78" i="6"/>
  <c r="I78" i="6"/>
  <c r="O24" i="6"/>
  <c r="C77" i="6"/>
  <c r="O23" i="6"/>
  <c r="C76" i="6"/>
  <c r="O22" i="6"/>
  <c r="C75" i="6"/>
  <c r="O21" i="6"/>
  <c r="BE21" i="6" s="1"/>
  <c r="C74" i="6"/>
  <c r="O20" i="6"/>
  <c r="C73" i="6"/>
  <c r="I73" i="6" s="1"/>
  <c r="Y73" i="6" s="1"/>
  <c r="O19" i="6"/>
  <c r="C72" i="6"/>
  <c r="O18" i="6"/>
  <c r="I71" i="6" s="1"/>
  <c r="C71" i="6"/>
  <c r="O17" i="6"/>
  <c r="C70" i="6"/>
  <c r="I70" i="6"/>
  <c r="O16" i="6"/>
  <c r="C69" i="6"/>
  <c r="O15" i="6"/>
  <c r="BE15" i="6" s="1"/>
  <c r="C68" i="6"/>
  <c r="O14" i="6"/>
  <c r="C67" i="6"/>
  <c r="I67" i="6"/>
  <c r="O13" i="6"/>
  <c r="I66" i="6" s="1"/>
  <c r="Y66" i="6" s="1"/>
  <c r="C62" i="41" s="1"/>
  <c r="D62" i="41" s="1"/>
  <c r="E62" i="41" s="1"/>
  <c r="C66" i="6"/>
  <c r="O12" i="6"/>
  <c r="C65" i="6"/>
  <c r="O11" i="6"/>
  <c r="I64" i="6" s="1"/>
  <c r="Y64" i="6" s="1"/>
  <c r="C60" i="41" s="1"/>
  <c r="D60" i="41" s="1"/>
  <c r="E60" i="41" s="1"/>
  <c r="C64" i="6"/>
  <c r="O10" i="6"/>
  <c r="C63" i="6"/>
  <c r="O9" i="6"/>
  <c r="I62" i="6" s="1"/>
  <c r="C62" i="6"/>
  <c r="O8" i="6"/>
  <c r="C61" i="6"/>
  <c r="O7" i="6"/>
  <c r="I60" i="6" s="1"/>
  <c r="Y60" i="6" s="1"/>
  <c r="C60" i="6"/>
  <c r="O7" i="3"/>
  <c r="I60" i="3" s="1"/>
  <c r="C60" i="3"/>
  <c r="F60" i="3" s="1"/>
  <c r="M60" i="3"/>
  <c r="O8" i="3"/>
  <c r="C61" i="3"/>
  <c r="M61" i="3"/>
  <c r="O9" i="3"/>
  <c r="I62" i="3" s="1"/>
  <c r="C62" i="3"/>
  <c r="M62" i="3"/>
  <c r="AB62" i="3" s="1"/>
  <c r="C7" i="11" s="1"/>
  <c r="D7" i="11" s="1"/>
  <c r="E7" i="11" s="1"/>
  <c r="G115" i="38" s="1"/>
  <c r="O10" i="3"/>
  <c r="C63" i="3"/>
  <c r="M63" i="3"/>
  <c r="AB63" i="3" s="1"/>
  <c r="C8" i="11" s="1"/>
  <c r="D8" i="11" s="1"/>
  <c r="E8" i="11" s="1"/>
  <c r="G116" i="38" s="1"/>
  <c r="O11" i="3"/>
  <c r="I64" i="3" s="1"/>
  <c r="C64" i="3"/>
  <c r="M64" i="3"/>
  <c r="O12" i="3"/>
  <c r="I65" i="3" s="1"/>
  <c r="C65" i="3"/>
  <c r="M65" i="3"/>
  <c r="O13" i="3"/>
  <c r="C66" i="3"/>
  <c r="AF176" i="3" s="1"/>
  <c r="AX176" i="3" s="1"/>
  <c r="M66" i="3"/>
  <c r="O14" i="3"/>
  <c r="I67" i="3" s="1"/>
  <c r="Y67" i="3" s="1"/>
  <c r="C12" i="41" s="1"/>
  <c r="D12" i="41" s="1"/>
  <c r="E12" i="41" s="1"/>
  <c r="C67" i="3"/>
  <c r="M67" i="3"/>
  <c r="O15" i="3"/>
  <c r="C68" i="3"/>
  <c r="M68" i="3"/>
  <c r="O16" i="3"/>
  <c r="I69" i="3" s="1"/>
  <c r="C69" i="3"/>
  <c r="M69" i="3"/>
  <c r="O17" i="3"/>
  <c r="C70" i="3"/>
  <c r="M70" i="3"/>
  <c r="O18" i="3"/>
  <c r="I71" i="3" s="1"/>
  <c r="C71" i="3"/>
  <c r="M71" i="3"/>
  <c r="O19" i="3"/>
  <c r="C72" i="3"/>
  <c r="M72" i="3"/>
  <c r="O20" i="3"/>
  <c r="I73" i="3" s="1"/>
  <c r="C73" i="3"/>
  <c r="M73" i="3"/>
  <c r="O21" i="3"/>
  <c r="C74" i="3"/>
  <c r="AF184" i="3" s="1"/>
  <c r="AX184" i="3" s="1"/>
  <c r="M74" i="3"/>
  <c r="O22" i="3"/>
  <c r="I75" i="3" s="1"/>
  <c r="C75" i="3"/>
  <c r="M75" i="3"/>
  <c r="O23" i="3"/>
  <c r="C76" i="3"/>
  <c r="M76" i="3"/>
  <c r="O24" i="3"/>
  <c r="I77" i="3" s="1"/>
  <c r="C77" i="3"/>
  <c r="M77" i="3"/>
  <c r="O25" i="3"/>
  <c r="C78" i="3"/>
  <c r="AF188" i="3" s="1"/>
  <c r="AX188" i="3" s="1"/>
  <c r="M78" i="3"/>
  <c r="O26" i="3"/>
  <c r="I79" i="3" s="1"/>
  <c r="C79" i="3"/>
  <c r="M79" i="3"/>
  <c r="O27" i="3"/>
  <c r="C80" i="3"/>
  <c r="M80" i="3"/>
  <c r="O28" i="3"/>
  <c r="I81" i="3" s="1"/>
  <c r="C81" i="3"/>
  <c r="M81" i="3"/>
  <c r="O29" i="3"/>
  <c r="C82" i="3"/>
  <c r="AF192" i="3" s="1"/>
  <c r="AX192" i="3" s="1"/>
  <c r="M82" i="3"/>
  <c r="O30" i="3"/>
  <c r="I83" i="3" s="1"/>
  <c r="Y83" i="3" s="1"/>
  <c r="C83" i="3"/>
  <c r="M83" i="3"/>
  <c r="O31" i="3"/>
  <c r="C84" i="3"/>
  <c r="M84" i="3"/>
  <c r="O32" i="3"/>
  <c r="I85" i="3" s="1"/>
  <c r="C85" i="3"/>
  <c r="M85" i="3"/>
  <c r="O33" i="3"/>
  <c r="C86" i="3"/>
  <c r="F86" i="3" s="1"/>
  <c r="U86" i="3" s="1"/>
  <c r="M86" i="3"/>
  <c r="O34" i="3"/>
  <c r="I87" i="3" s="1"/>
  <c r="C87" i="3"/>
  <c r="M87" i="3"/>
  <c r="O35" i="3"/>
  <c r="C88" i="3"/>
  <c r="M88" i="3"/>
  <c r="O36" i="3"/>
  <c r="I89" i="3" s="1"/>
  <c r="C89" i="3"/>
  <c r="M89" i="3"/>
  <c r="O37" i="3"/>
  <c r="C90" i="3"/>
  <c r="F90" i="3" s="1"/>
  <c r="U90" i="3" s="1"/>
  <c r="M90" i="3"/>
  <c r="O38" i="3"/>
  <c r="I91" i="3" s="1"/>
  <c r="C91" i="3"/>
  <c r="M91" i="3"/>
  <c r="O39" i="3"/>
  <c r="C92" i="3"/>
  <c r="M92" i="3"/>
  <c r="O40" i="3"/>
  <c r="I93" i="3" s="1"/>
  <c r="C93" i="3"/>
  <c r="M93" i="3"/>
  <c r="O41" i="3"/>
  <c r="C94" i="3"/>
  <c r="AF204" i="3" s="1"/>
  <c r="AX204" i="3" s="1"/>
  <c r="M94" i="3"/>
  <c r="O42" i="3"/>
  <c r="I95" i="3" s="1"/>
  <c r="C95" i="3"/>
  <c r="M95" i="3"/>
  <c r="O43" i="3"/>
  <c r="C96" i="3"/>
  <c r="M96" i="3"/>
  <c r="O44" i="3"/>
  <c r="I97" i="3" s="1"/>
  <c r="C97" i="3"/>
  <c r="M97" i="3"/>
  <c r="O45" i="3"/>
  <c r="C98" i="3"/>
  <c r="F98" i="3" s="1"/>
  <c r="U98" i="3" s="1"/>
  <c r="M98" i="3"/>
  <c r="O46" i="3"/>
  <c r="I99" i="3" s="1"/>
  <c r="C99" i="3"/>
  <c r="M99" i="3"/>
  <c r="O47" i="3"/>
  <c r="C100" i="3"/>
  <c r="M100" i="3"/>
  <c r="O48" i="3"/>
  <c r="I101" i="3" s="1"/>
  <c r="C101" i="3"/>
  <c r="M101" i="3"/>
  <c r="O49" i="3"/>
  <c r="C102" i="3"/>
  <c r="AF212" i="3" s="1"/>
  <c r="AX212" i="3" s="1"/>
  <c r="M102" i="3"/>
  <c r="O50" i="3"/>
  <c r="I103" i="3" s="1"/>
  <c r="C103" i="3"/>
  <c r="M103" i="3"/>
  <c r="O51" i="3"/>
  <c r="C104" i="3"/>
  <c r="M104" i="3"/>
  <c r="O52" i="3"/>
  <c r="I105" i="3" s="1"/>
  <c r="C105" i="3"/>
  <c r="M105" i="3"/>
  <c r="O53" i="3"/>
  <c r="C106" i="3"/>
  <c r="AF216" i="3" s="1"/>
  <c r="AX216" i="3" s="1"/>
  <c r="M106" i="3"/>
  <c r="O10" i="7"/>
  <c r="M3" i="11"/>
  <c r="M2" i="11"/>
  <c r="D10" i="9"/>
  <c r="G10" i="9" s="1"/>
  <c r="H10" i="9" s="1"/>
  <c r="I10" i="9" s="1"/>
  <c r="D11" i="9"/>
  <c r="G11" i="9" s="1"/>
  <c r="H11" i="9" s="1"/>
  <c r="I11" i="9" s="1"/>
  <c r="D12" i="9"/>
  <c r="G12" i="9" s="1"/>
  <c r="H12" i="9" s="1"/>
  <c r="I12" i="9" s="1"/>
  <c r="D13" i="9"/>
  <c r="G13" i="9"/>
  <c r="H13" i="9" s="1"/>
  <c r="I13" i="9" s="1"/>
  <c r="D14" i="9"/>
  <c r="G14" i="9" s="1"/>
  <c r="H14" i="9" s="1"/>
  <c r="I14" i="9" s="1"/>
  <c r="D15" i="9"/>
  <c r="G15" i="9" s="1"/>
  <c r="H15" i="9" s="1"/>
  <c r="I15" i="9" s="1"/>
  <c r="D16" i="9"/>
  <c r="G16" i="9" s="1"/>
  <c r="H16" i="9" s="1"/>
  <c r="D17" i="9"/>
  <c r="G17" i="9" s="1"/>
  <c r="H17" i="9" s="1"/>
  <c r="I17" i="9" s="1"/>
  <c r="D18" i="9"/>
  <c r="G18" i="9" s="1"/>
  <c r="H18" i="9" s="1"/>
  <c r="I18" i="9" s="1"/>
  <c r="D19" i="9"/>
  <c r="G19" i="9"/>
  <c r="H19" i="9" s="1"/>
  <c r="I19" i="9" s="1"/>
  <c r="D20" i="9"/>
  <c r="G20" i="9" s="1"/>
  <c r="H20" i="9" s="1"/>
  <c r="I20" i="9" s="1"/>
  <c r="D21" i="9"/>
  <c r="G21" i="9" s="1"/>
  <c r="H21" i="9" s="1"/>
  <c r="I21" i="9" s="1"/>
  <c r="D22" i="9"/>
  <c r="G22" i="9" s="1"/>
  <c r="H22" i="9" s="1"/>
  <c r="I22" i="9" s="1"/>
  <c r="D23" i="9"/>
  <c r="G23" i="9" s="1"/>
  <c r="H23" i="9" s="1"/>
  <c r="I23" i="9" s="1"/>
  <c r="D24" i="9"/>
  <c r="G24" i="9" s="1"/>
  <c r="H24" i="9" s="1"/>
  <c r="D25" i="9"/>
  <c r="G25" i="9" s="1"/>
  <c r="H25" i="9" s="1"/>
  <c r="I25" i="9" s="1"/>
  <c r="D26" i="9"/>
  <c r="G26" i="9" s="1"/>
  <c r="H26" i="9" s="1"/>
  <c r="I26" i="9" s="1"/>
  <c r="D27" i="9"/>
  <c r="G27" i="9" s="1"/>
  <c r="H27" i="9" s="1"/>
  <c r="D28" i="9"/>
  <c r="G28" i="9" s="1"/>
  <c r="H28" i="9" s="1"/>
  <c r="I28" i="9" s="1"/>
  <c r="D29" i="9"/>
  <c r="G29" i="9" s="1"/>
  <c r="H29" i="9" s="1"/>
  <c r="I29" i="9" s="1"/>
  <c r="D30" i="9"/>
  <c r="G30" i="9" s="1"/>
  <c r="H30" i="9" s="1"/>
  <c r="I30" i="9" s="1"/>
  <c r="D31" i="9"/>
  <c r="G31" i="9" s="1"/>
  <c r="H31" i="9" s="1"/>
  <c r="D32" i="9"/>
  <c r="G32" i="9" s="1"/>
  <c r="H32" i="9" s="1"/>
  <c r="D33" i="9"/>
  <c r="G33" i="9" s="1"/>
  <c r="H33" i="9" s="1"/>
  <c r="I33" i="9" s="1"/>
  <c r="D34" i="9"/>
  <c r="G34" i="9" s="1"/>
  <c r="H34" i="9" s="1"/>
  <c r="D35" i="9"/>
  <c r="G35" i="9" s="1"/>
  <c r="H35" i="9" s="1"/>
  <c r="I35" i="9" s="1"/>
  <c r="D36" i="9"/>
  <c r="G36" i="9" s="1"/>
  <c r="H36" i="9" s="1"/>
  <c r="D37" i="9"/>
  <c r="G37" i="9"/>
  <c r="H37" i="9" s="1"/>
  <c r="I37" i="9" s="1"/>
  <c r="D38" i="9"/>
  <c r="G38" i="9" s="1"/>
  <c r="H38" i="9" s="1"/>
  <c r="D39" i="9"/>
  <c r="G39" i="9" s="1"/>
  <c r="H39" i="9" s="1"/>
  <c r="D40" i="9"/>
  <c r="G40" i="9" s="1"/>
  <c r="H40" i="9" s="1"/>
  <c r="I40" i="9" s="1"/>
  <c r="D41" i="9"/>
  <c r="G41" i="9" s="1"/>
  <c r="H41" i="9" s="1"/>
  <c r="I41" i="9" s="1"/>
  <c r="D42" i="9"/>
  <c r="G42" i="9" s="1"/>
  <c r="H42" i="9" s="1"/>
  <c r="D43" i="9"/>
  <c r="G43" i="9" s="1"/>
  <c r="H43" i="9" s="1"/>
  <c r="D44" i="9"/>
  <c r="G44" i="9"/>
  <c r="H44" i="9" s="1"/>
  <c r="I44" i="9" s="1"/>
  <c r="D45" i="9"/>
  <c r="G45" i="9" s="1"/>
  <c r="H45" i="9" s="1"/>
  <c r="I45" i="9" s="1"/>
  <c r="D46" i="9"/>
  <c r="G46" i="9" s="1"/>
  <c r="H46" i="9" s="1"/>
  <c r="I46" i="9" s="1"/>
  <c r="D47" i="9"/>
  <c r="G47" i="9" s="1"/>
  <c r="H47" i="9" s="1"/>
  <c r="D48" i="9"/>
  <c r="G48" i="9" s="1"/>
  <c r="H48" i="9" s="1"/>
  <c r="I48" i="9" s="1"/>
  <c r="D49" i="9"/>
  <c r="G49" i="9" s="1"/>
  <c r="H49" i="9" s="1"/>
  <c r="I49" i="9" s="1"/>
  <c r="D50" i="9"/>
  <c r="G50" i="9" s="1"/>
  <c r="H50" i="9" s="1"/>
  <c r="D51" i="9"/>
  <c r="G51" i="9" s="1"/>
  <c r="H51" i="9" s="1"/>
  <c r="I51" i="9" s="1"/>
  <c r="D52" i="9"/>
  <c r="G52" i="9" s="1"/>
  <c r="H52" i="9" s="1"/>
  <c r="D53" i="9"/>
  <c r="G53" i="9"/>
  <c r="H53" i="9" s="1"/>
  <c r="I53" i="9" s="1"/>
  <c r="D54" i="9"/>
  <c r="G54" i="9" s="1"/>
  <c r="H54" i="9" s="1"/>
  <c r="D55" i="9"/>
  <c r="G55" i="9" s="1"/>
  <c r="H55" i="9" s="1"/>
  <c r="D56" i="9"/>
  <c r="G56" i="9" s="1"/>
  <c r="H56" i="9" s="1"/>
  <c r="I56" i="9" s="1"/>
  <c r="AK16" i="9"/>
  <c r="AL16" i="9" s="1"/>
  <c r="G6" i="36"/>
  <c r="G7" i="36"/>
  <c r="S114" i="3" s="1"/>
  <c r="Q171" i="3" s="1"/>
  <c r="G8" i="36"/>
  <c r="S115" i="3" s="1"/>
  <c r="Q172" i="3" s="1"/>
  <c r="G9" i="36"/>
  <c r="G10" i="36"/>
  <c r="G11" i="36"/>
  <c r="S118" i="3" s="1"/>
  <c r="Q175" i="3" s="1"/>
  <c r="G12" i="36"/>
  <c r="S119" i="3" s="1"/>
  <c r="Q176" i="3" s="1"/>
  <c r="G13" i="36"/>
  <c r="G14" i="36"/>
  <c r="G15" i="36"/>
  <c r="G16" i="36"/>
  <c r="G17" i="36"/>
  <c r="G18" i="36"/>
  <c r="G19" i="36"/>
  <c r="S126" i="3" s="1"/>
  <c r="Q183" i="3" s="1"/>
  <c r="G20" i="36"/>
  <c r="G21" i="36"/>
  <c r="G22" i="36"/>
  <c r="G23" i="36"/>
  <c r="S130" i="3" s="1"/>
  <c r="Q187" i="3" s="1"/>
  <c r="G24" i="36"/>
  <c r="G25" i="36"/>
  <c r="G26" i="36"/>
  <c r="G27" i="36"/>
  <c r="S134" i="3" s="1"/>
  <c r="Q191" i="3" s="1"/>
  <c r="G28" i="36"/>
  <c r="G29" i="36"/>
  <c r="G30" i="36"/>
  <c r="G31" i="36"/>
  <c r="S138" i="3" s="1"/>
  <c r="Q195" i="3" s="1"/>
  <c r="G32" i="36"/>
  <c r="G33" i="36"/>
  <c r="G34" i="36"/>
  <c r="G35" i="36"/>
  <c r="S142" i="3" s="1"/>
  <c r="Q199" i="3" s="1"/>
  <c r="G36" i="36"/>
  <c r="G37" i="36"/>
  <c r="G38" i="36"/>
  <c r="G39" i="36"/>
  <c r="G40" i="36"/>
  <c r="G41" i="36"/>
  <c r="G42" i="36"/>
  <c r="G43" i="36"/>
  <c r="S150" i="3" s="1"/>
  <c r="Q207" i="3" s="1"/>
  <c r="G44" i="36"/>
  <c r="G45" i="36"/>
  <c r="G46" i="36"/>
  <c r="G47" i="36"/>
  <c r="S154" i="3" s="1"/>
  <c r="Q211" i="3" s="1"/>
  <c r="G48" i="36"/>
  <c r="G49" i="36"/>
  <c r="G50" i="36"/>
  <c r="G51" i="36"/>
  <c r="S158" i="3" s="1"/>
  <c r="Q215" i="3" s="1"/>
  <c r="G52" i="36"/>
  <c r="G61" i="36"/>
  <c r="G62" i="36"/>
  <c r="G63" i="36"/>
  <c r="S115" i="6" s="1"/>
  <c r="G64" i="36"/>
  <c r="G65" i="36"/>
  <c r="G66" i="36"/>
  <c r="G67" i="36"/>
  <c r="S119" i="6" s="1"/>
  <c r="G68" i="36"/>
  <c r="G69" i="36"/>
  <c r="G70" i="36"/>
  <c r="G71" i="36"/>
  <c r="S123" i="6" s="1"/>
  <c r="G72" i="36"/>
  <c r="G73" i="36"/>
  <c r="G74" i="36"/>
  <c r="G75" i="36"/>
  <c r="S127" i="6" s="1"/>
  <c r="G76" i="36"/>
  <c r="G77" i="36"/>
  <c r="G78" i="36"/>
  <c r="G79" i="36"/>
  <c r="S131" i="6" s="1"/>
  <c r="G80" i="36"/>
  <c r="G81" i="36"/>
  <c r="G82" i="36"/>
  <c r="G83" i="36"/>
  <c r="S135" i="6" s="1"/>
  <c r="G84" i="36"/>
  <c r="G85" i="36"/>
  <c r="G86" i="36"/>
  <c r="G87" i="36"/>
  <c r="S139" i="6" s="1"/>
  <c r="G88" i="36"/>
  <c r="G89" i="36"/>
  <c r="G90" i="36"/>
  <c r="G91" i="36"/>
  <c r="S143" i="6" s="1"/>
  <c r="G92" i="36"/>
  <c r="G93" i="36"/>
  <c r="G94" i="36"/>
  <c r="G95" i="36"/>
  <c r="S147" i="6" s="1"/>
  <c r="G96" i="36"/>
  <c r="G97" i="36"/>
  <c r="G98" i="36"/>
  <c r="G99" i="36"/>
  <c r="S151" i="6" s="1"/>
  <c r="G100" i="36"/>
  <c r="G101" i="36"/>
  <c r="G102" i="36"/>
  <c r="G103" i="36"/>
  <c r="S155" i="6" s="1"/>
  <c r="G104" i="36"/>
  <c r="G105" i="36"/>
  <c r="G106" i="36"/>
  <c r="G107" i="36"/>
  <c r="S159" i="6" s="1"/>
  <c r="G116" i="36"/>
  <c r="G117" i="36"/>
  <c r="G118" i="36"/>
  <c r="G119" i="36"/>
  <c r="G120" i="36"/>
  <c r="G121" i="36"/>
  <c r="G122" i="36"/>
  <c r="G123" i="36"/>
  <c r="T120" i="8" s="1"/>
  <c r="AD177" i="8" s="1"/>
  <c r="G124" i="36"/>
  <c r="G125" i="36"/>
  <c r="G126" i="36"/>
  <c r="G127" i="36"/>
  <c r="T124" i="8" s="1"/>
  <c r="AD181" i="8" s="1"/>
  <c r="G128" i="36"/>
  <c r="G129" i="36"/>
  <c r="G130" i="36"/>
  <c r="G131" i="36"/>
  <c r="T128" i="8" s="1"/>
  <c r="AD185" i="8" s="1"/>
  <c r="G132" i="36"/>
  <c r="G133" i="36"/>
  <c r="G134" i="36"/>
  <c r="G135" i="36"/>
  <c r="T132" i="8" s="1"/>
  <c r="AD189" i="8" s="1"/>
  <c r="G136" i="36"/>
  <c r="G137" i="36"/>
  <c r="G138" i="36"/>
  <c r="G139" i="36"/>
  <c r="G140" i="36"/>
  <c r="G141" i="36"/>
  <c r="G142" i="36"/>
  <c r="G143" i="36"/>
  <c r="G144" i="36"/>
  <c r="G145" i="36"/>
  <c r="G146" i="36"/>
  <c r="G147" i="36"/>
  <c r="G148" i="36"/>
  <c r="G149" i="36"/>
  <c r="G150" i="36"/>
  <c r="G151" i="36"/>
  <c r="G152" i="36"/>
  <c r="G153" i="36"/>
  <c r="G154" i="36"/>
  <c r="G155" i="36"/>
  <c r="G156" i="36"/>
  <c r="G157" i="36"/>
  <c r="G158" i="36"/>
  <c r="G159" i="36"/>
  <c r="G160" i="36"/>
  <c r="G161" i="36"/>
  <c r="G162" i="36"/>
  <c r="S113" i="6"/>
  <c r="Q170" i="6" s="1"/>
  <c r="S113" i="3"/>
  <c r="Q170" i="3" s="1"/>
  <c r="S116" i="3"/>
  <c r="Q173" i="3" s="1"/>
  <c r="S117" i="3"/>
  <c r="Q174" i="3" s="1"/>
  <c r="S120" i="3"/>
  <c r="Q177" i="3" s="1"/>
  <c r="S121" i="3"/>
  <c r="Q178" i="3"/>
  <c r="S122" i="3"/>
  <c r="Q179" i="3" s="1"/>
  <c r="S123" i="3"/>
  <c r="Q180" i="3" s="1"/>
  <c r="S124" i="3"/>
  <c r="Q181" i="3" s="1"/>
  <c r="S125" i="3"/>
  <c r="Q182" i="3" s="1"/>
  <c r="S127" i="3"/>
  <c r="Q184" i="3" s="1"/>
  <c r="S128" i="3"/>
  <c r="Q185" i="3" s="1"/>
  <c r="S129" i="3"/>
  <c r="Q186" i="3" s="1"/>
  <c r="S131" i="3"/>
  <c r="Q188" i="3" s="1"/>
  <c r="S132" i="3"/>
  <c r="Q189" i="3" s="1"/>
  <c r="S133" i="3"/>
  <c r="Q190" i="3" s="1"/>
  <c r="S135" i="3"/>
  <c r="Q192" i="3" s="1"/>
  <c r="S136" i="3"/>
  <c r="Q193" i="3" s="1"/>
  <c r="S137" i="3"/>
  <c r="Q194" i="3"/>
  <c r="S139" i="3"/>
  <c r="Q196" i="3" s="1"/>
  <c r="S140" i="3"/>
  <c r="Q197" i="3" s="1"/>
  <c r="S141" i="3"/>
  <c r="Q198" i="3"/>
  <c r="S143" i="3"/>
  <c r="Q200" i="3" s="1"/>
  <c r="S144" i="3"/>
  <c r="Q201" i="3" s="1"/>
  <c r="S145" i="3"/>
  <c r="Q202" i="3" s="1"/>
  <c r="S146" i="3"/>
  <c r="Q203" i="3" s="1"/>
  <c r="S147" i="3"/>
  <c r="Q204" i="3" s="1"/>
  <c r="S148" i="3"/>
  <c r="Q205" i="3"/>
  <c r="S149" i="3"/>
  <c r="Q206" i="3" s="1"/>
  <c r="S151" i="3"/>
  <c r="Q208" i="3" s="1"/>
  <c r="S152" i="3"/>
  <c r="Q209" i="3" s="1"/>
  <c r="S153" i="3"/>
  <c r="Q210" i="3" s="1"/>
  <c r="S155" i="3"/>
  <c r="Q212" i="3" s="1"/>
  <c r="S156" i="3"/>
  <c r="Q213" i="3" s="1"/>
  <c r="S157" i="3"/>
  <c r="Q214" i="3" s="1"/>
  <c r="S159" i="3"/>
  <c r="Q216" i="3" s="1"/>
  <c r="D170" i="3"/>
  <c r="U60" i="3"/>
  <c r="U170" i="6"/>
  <c r="S114" i="6"/>
  <c r="U171" i="6"/>
  <c r="U172" i="6"/>
  <c r="S116" i="6"/>
  <c r="U173" i="6"/>
  <c r="S117" i="6"/>
  <c r="U174" i="6"/>
  <c r="S118" i="6"/>
  <c r="U175" i="6"/>
  <c r="U176" i="6"/>
  <c r="S120" i="6"/>
  <c r="U177" i="6"/>
  <c r="S121" i="6"/>
  <c r="U178" i="6"/>
  <c r="S122" i="6"/>
  <c r="U179" i="6"/>
  <c r="U180" i="6"/>
  <c r="S124" i="6"/>
  <c r="U181" i="6"/>
  <c r="S125" i="6"/>
  <c r="U182" i="6"/>
  <c r="S126" i="6"/>
  <c r="U183" i="6"/>
  <c r="U184" i="6"/>
  <c r="S128" i="6"/>
  <c r="U185" i="6"/>
  <c r="S129" i="6"/>
  <c r="U186" i="6"/>
  <c r="S130" i="6"/>
  <c r="U187" i="6"/>
  <c r="U188" i="6"/>
  <c r="S132" i="6"/>
  <c r="U189" i="6"/>
  <c r="S133" i="6"/>
  <c r="U190" i="6"/>
  <c r="S134" i="6"/>
  <c r="U191" i="6"/>
  <c r="U192" i="6"/>
  <c r="S136" i="6"/>
  <c r="U193" i="6"/>
  <c r="S137" i="6"/>
  <c r="U194" i="6"/>
  <c r="S138" i="6"/>
  <c r="U195" i="6"/>
  <c r="U196" i="6"/>
  <c r="S140" i="6"/>
  <c r="U197" i="6"/>
  <c r="S141" i="6"/>
  <c r="U198" i="6"/>
  <c r="S142" i="6"/>
  <c r="U199" i="6"/>
  <c r="U200" i="6"/>
  <c r="S144" i="6"/>
  <c r="U201" i="6"/>
  <c r="S145" i="6"/>
  <c r="U202" i="6"/>
  <c r="S146" i="6"/>
  <c r="U203" i="6"/>
  <c r="U204" i="6"/>
  <c r="S148" i="6"/>
  <c r="U205" i="6"/>
  <c r="S149" i="6"/>
  <c r="U206" i="6"/>
  <c r="S150" i="6"/>
  <c r="U207" i="6"/>
  <c r="U208" i="6"/>
  <c r="S152" i="6"/>
  <c r="U209" i="6"/>
  <c r="S153" i="6"/>
  <c r="U210" i="6"/>
  <c r="S154" i="6"/>
  <c r="U211" i="6"/>
  <c r="U212" i="6"/>
  <c r="S156" i="6"/>
  <c r="U213" i="6"/>
  <c r="S157" i="6"/>
  <c r="U214" i="6"/>
  <c r="S158" i="6"/>
  <c r="U215" i="6"/>
  <c r="U216" i="6"/>
  <c r="T113" i="8"/>
  <c r="AD170" i="8" s="1"/>
  <c r="U170" i="8"/>
  <c r="T114" i="8"/>
  <c r="AD171" i="8" s="1"/>
  <c r="U171" i="8"/>
  <c r="T115" i="8"/>
  <c r="AD172" i="8" s="1"/>
  <c r="U172" i="8"/>
  <c r="T116" i="8"/>
  <c r="AD173" i="8" s="1"/>
  <c r="U173" i="8"/>
  <c r="T117" i="8"/>
  <c r="AD174" i="8" s="1"/>
  <c r="U174" i="8"/>
  <c r="T118" i="8"/>
  <c r="AD175" i="8" s="1"/>
  <c r="U175" i="8"/>
  <c r="T119" i="8"/>
  <c r="AD176" i="8" s="1"/>
  <c r="U176" i="8"/>
  <c r="U177" i="8"/>
  <c r="T121" i="8"/>
  <c r="AD178" i="8" s="1"/>
  <c r="U178" i="8"/>
  <c r="T122" i="8"/>
  <c r="AD179" i="8" s="1"/>
  <c r="U179" i="8"/>
  <c r="T123" i="8"/>
  <c r="AD180" i="8" s="1"/>
  <c r="U180" i="8"/>
  <c r="U181" i="8"/>
  <c r="T125" i="8"/>
  <c r="AD182" i="8" s="1"/>
  <c r="U182" i="8"/>
  <c r="T126" i="8"/>
  <c r="AD183" i="8" s="1"/>
  <c r="U183" i="8"/>
  <c r="T127" i="8"/>
  <c r="AD184" i="8" s="1"/>
  <c r="U184" i="8"/>
  <c r="U185" i="8"/>
  <c r="T129" i="8"/>
  <c r="AD186" i="8" s="1"/>
  <c r="U186" i="8"/>
  <c r="T130" i="8"/>
  <c r="AD187" i="8" s="1"/>
  <c r="U187" i="8"/>
  <c r="T131" i="8"/>
  <c r="AD188" i="8" s="1"/>
  <c r="U188" i="8"/>
  <c r="U189" i="8"/>
  <c r="T133" i="8"/>
  <c r="AD190" i="8" s="1"/>
  <c r="U190" i="8"/>
  <c r="T134" i="8"/>
  <c r="AD191" i="8" s="1"/>
  <c r="U191" i="8"/>
  <c r="T135" i="8"/>
  <c r="AD192" i="8" s="1"/>
  <c r="U192" i="8"/>
  <c r="T136" i="8"/>
  <c r="AD193" i="8" s="1"/>
  <c r="U193" i="8"/>
  <c r="T137" i="8"/>
  <c r="AD194" i="8" s="1"/>
  <c r="U194" i="8"/>
  <c r="T138" i="8"/>
  <c r="AD195" i="8" s="1"/>
  <c r="U195" i="8"/>
  <c r="T139" i="8"/>
  <c r="AD196" i="8" s="1"/>
  <c r="U196" i="8"/>
  <c r="T140" i="8"/>
  <c r="AD197" i="8" s="1"/>
  <c r="U197" i="8"/>
  <c r="T141" i="8"/>
  <c r="AD198" i="8" s="1"/>
  <c r="U198" i="8"/>
  <c r="T142" i="8"/>
  <c r="AD199" i="8" s="1"/>
  <c r="U199" i="8"/>
  <c r="T143" i="8"/>
  <c r="AD200" i="8" s="1"/>
  <c r="U200" i="8"/>
  <c r="T144" i="8"/>
  <c r="AD201" i="8" s="1"/>
  <c r="U201" i="8"/>
  <c r="T145" i="8"/>
  <c r="AD202" i="8" s="1"/>
  <c r="U202" i="8"/>
  <c r="T146" i="8"/>
  <c r="AD203" i="8" s="1"/>
  <c r="U203" i="8"/>
  <c r="T147" i="8"/>
  <c r="AD204" i="8" s="1"/>
  <c r="U204" i="8"/>
  <c r="T148" i="8"/>
  <c r="AD205" i="8" s="1"/>
  <c r="U205" i="8"/>
  <c r="T149" i="8"/>
  <c r="AD206" i="8" s="1"/>
  <c r="U206" i="8"/>
  <c r="T150" i="8"/>
  <c r="AD207" i="8" s="1"/>
  <c r="U207" i="8"/>
  <c r="T151" i="8"/>
  <c r="AD208" i="8" s="1"/>
  <c r="U208" i="8"/>
  <c r="T152" i="8"/>
  <c r="AD209" i="8" s="1"/>
  <c r="U209" i="8"/>
  <c r="T153" i="8"/>
  <c r="AD210" i="8" s="1"/>
  <c r="U210" i="8"/>
  <c r="T154" i="8"/>
  <c r="AD211" i="8" s="1"/>
  <c r="U211" i="8"/>
  <c r="T155" i="8"/>
  <c r="AD212" i="8" s="1"/>
  <c r="U212" i="8"/>
  <c r="T156" i="8"/>
  <c r="AD213" i="8" s="1"/>
  <c r="U213" i="8"/>
  <c r="T157" i="8"/>
  <c r="AD214" i="8" s="1"/>
  <c r="U214" i="8"/>
  <c r="T158" i="8"/>
  <c r="AD215" i="8" s="1"/>
  <c r="U215" i="8"/>
  <c r="T159" i="8"/>
  <c r="AD216" i="8" s="1"/>
  <c r="U216" i="8"/>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R157" i="8"/>
  <c r="R158" i="8"/>
  <c r="R159" i="8"/>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C8" i="17"/>
  <c r="B8" i="17"/>
  <c r="Q10" i="9"/>
  <c r="BN49" i="9"/>
  <c r="BN50" i="9"/>
  <c r="BN51" i="9"/>
  <c r="BN52" i="9"/>
  <c r="BN53" i="9"/>
  <c r="BN54" i="9"/>
  <c r="BN55" i="9"/>
  <c r="BN56" i="9"/>
  <c r="BN57" i="9"/>
  <c r="BN58" i="9"/>
  <c r="BN59" i="9"/>
  <c r="BN60" i="9"/>
  <c r="BN61" i="9"/>
  <c r="BN62" i="9"/>
  <c r="BN63" i="9"/>
  <c r="BN64" i="9"/>
  <c r="BN65" i="9"/>
  <c r="BN66" i="9"/>
  <c r="BN67" i="9"/>
  <c r="BN68" i="9"/>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AK11" i="9"/>
  <c r="AL11" i="9" s="1"/>
  <c r="G116" i="3"/>
  <c r="AD10" i="9"/>
  <c r="F61" i="3"/>
  <c r="U61" i="3" s="1"/>
  <c r="AK13" i="9"/>
  <c r="AL13" i="9" s="1"/>
  <c r="AZ8" i="38" s="1"/>
  <c r="AH61" i="38" s="1"/>
  <c r="AK14" i="9"/>
  <c r="AL14" i="9" s="1"/>
  <c r="AZ9" i="38" s="1"/>
  <c r="AH62" i="38" s="1"/>
  <c r="AK15" i="9"/>
  <c r="AL15" i="9" s="1"/>
  <c r="AZ10" i="38" s="1"/>
  <c r="AH63" i="38" s="1"/>
  <c r="AK17" i="9"/>
  <c r="AL17" i="9" s="1"/>
  <c r="AZ12" i="38" s="1"/>
  <c r="AH65" i="38" s="1"/>
  <c r="AK18" i="9"/>
  <c r="AL18" i="9" s="1"/>
  <c r="AZ13" i="38" s="1"/>
  <c r="AH66" i="38" s="1"/>
  <c r="AK19" i="9"/>
  <c r="AL19" i="9" s="1"/>
  <c r="AZ14" i="38" s="1"/>
  <c r="AH67" i="38" s="1"/>
  <c r="AK20" i="9"/>
  <c r="AL20" i="9"/>
  <c r="AK21" i="9"/>
  <c r="AL21" i="9" s="1"/>
  <c r="AZ16" i="38" s="1"/>
  <c r="AH69" i="38" s="1"/>
  <c r="AK22" i="9"/>
  <c r="AL22" i="9" s="1"/>
  <c r="AZ17" i="38" s="1"/>
  <c r="AH70" i="38" s="1"/>
  <c r="AK23" i="9"/>
  <c r="AL23" i="9" s="1"/>
  <c r="AZ18" i="38" s="1"/>
  <c r="AH71" i="38" s="1"/>
  <c r="AK24" i="9"/>
  <c r="AL24" i="9" s="1"/>
  <c r="AK25" i="9"/>
  <c r="AL25" i="9" s="1"/>
  <c r="AZ20" i="38" s="1"/>
  <c r="AH73" i="38" s="1"/>
  <c r="AK26" i="9"/>
  <c r="AL26" i="9" s="1"/>
  <c r="AZ21" i="38" s="1"/>
  <c r="AH74" i="38" s="1"/>
  <c r="AK27" i="9"/>
  <c r="AL27" i="9" s="1"/>
  <c r="AK28" i="9"/>
  <c r="AL28" i="9" s="1"/>
  <c r="AZ23" i="38" s="1"/>
  <c r="AH76" i="38" s="1"/>
  <c r="AK29" i="9"/>
  <c r="AL29" i="9" s="1"/>
  <c r="AZ24" i="38" s="1"/>
  <c r="AH77" i="38" s="1"/>
  <c r="AK30" i="9"/>
  <c r="AL30" i="9" s="1"/>
  <c r="AZ25" i="38" s="1"/>
  <c r="AH78" i="38" s="1"/>
  <c r="AK31" i="9"/>
  <c r="AL31" i="9" s="1"/>
  <c r="AZ26" i="38" s="1"/>
  <c r="AH79" i="38" s="1"/>
  <c r="AK32" i="9"/>
  <c r="AL32" i="9" s="1"/>
  <c r="AZ27" i="38" s="1"/>
  <c r="AH80" i="38" s="1"/>
  <c r="AK33" i="9"/>
  <c r="AL33" i="9" s="1"/>
  <c r="AZ28" i="38" s="1"/>
  <c r="AH81" i="38" s="1"/>
  <c r="AK34" i="9"/>
  <c r="AL34" i="9" s="1"/>
  <c r="AK35" i="9"/>
  <c r="AL35" i="9" s="1"/>
  <c r="AK36" i="9"/>
  <c r="AL36" i="9" s="1"/>
  <c r="AZ31" i="38" s="1"/>
  <c r="AH84" i="38" s="1"/>
  <c r="AK37" i="9"/>
  <c r="AL37" i="9" s="1"/>
  <c r="AK38" i="9"/>
  <c r="AL38" i="9" s="1"/>
  <c r="AZ33" i="38" s="1"/>
  <c r="AH86" i="38" s="1"/>
  <c r="AK39" i="9"/>
  <c r="AL39" i="9" s="1"/>
  <c r="AZ34" i="38" s="1"/>
  <c r="AH87" i="38" s="1"/>
  <c r="AK40" i="9"/>
  <c r="AL40" i="9" s="1"/>
  <c r="AK41" i="9"/>
  <c r="AL41" i="9" s="1"/>
  <c r="AZ36" i="38" s="1"/>
  <c r="AH89" i="38" s="1"/>
  <c r="AK42" i="9"/>
  <c r="AL42" i="9" s="1"/>
  <c r="AK43" i="9"/>
  <c r="AL43" i="9" s="1"/>
  <c r="AK44" i="9"/>
  <c r="AL44" i="9" s="1"/>
  <c r="AZ39" i="38" s="1"/>
  <c r="AH92" i="38" s="1"/>
  <c r="AK45" i="9"/>
  <c r="AL45" i="9" s="1"/>
  <c r="AK46" i="9"/>
  <c r="AL46" i="9" s="1"/>
  <c r="AK47" i="9"/>
  <c r="AL47" i="9" s="1"/>
  <c r="AK48" i="9"/>
  <c r="AL48" i="9" s="1"/>
  <c r="AK49" i="9"/>
  <c r="AL49" i="9" s="1"/>
  <c r="AZ44" i="38" s="1"/>
  <c r="AH97" i="38" s="1"/>
  <c r="AK50" i="9"/>
  <c r="AL50" i="9" s="1"/>
  <c r="AK51" i="9"/>
  <c r="AL51" i="9" s="1"/>
  <c r="AK52" i="9"/>
  <c r="AL52" i="9" s="1"/>
  <c r="AZ47" i="38" s="1"/>
  <c r="AH100" i="38" s="1"/>
  <c r="AK53" i="9"/>
  <c r="AL53" i="9" s="1"/>
  <c r="AK54" i="9"/>
  <c r="AL54" i="9" s="1"/>
  <c r="AK55" i="9"/>
  <c r="AL55" i="9" s="1"/>
  <c r="AK56" i="9"/>
  <c r="AL56" i="9" s="1"/>
  <c r="AK57" i="9"/>
  <c r="AL57" i="9" s="1"/>
  <c r="AZ52" i="38" s="1"/>
  <c r="AH105" i="38" s="1"/>
  <c r="AK58" i="9"/>
  <c r="AL58" i="9" s="1"/>
  <c r="AK12" i="9"/>
  <c r="AL12" i="9" s="1"/>
  <c r="AZ17" i="6"/>
  <c r="AH70" i="6" s="1"/>
  <c r="AZ25" i="6"/>
  <c r="AZ33" i="6"/>
  <c r="AH86" i="6" s="1"/>
  <c r="AZ41" i="6"/>
  <c r="AZ49" i="6"/>
  <c r="AH102" i="6" s="1"/>
  <c r="AZ28" i="3"/>
  <c r="AZ35" i="3"/>
  <c r="AZ41" i="3"/>
  <c r="AZ49" i="3"/>
  <c r="AZ10" i="3"/>
  <c r="AE11" i="9"/>
  <c r="AE13" i="9"/>
  <c r="AE14" i="9"/>
  <c r="AE15" i="9"/>
  <c r="AE16" i="9"/>
  <c r="AE17" i="9"/>
  <c r="AE10" i="9"/>
  <c r="BE7" i="3"/>
  <c r="BF8" i="3"/>
  <c r="AN8" i="3"/>
  <c r="BG8" i="3" s="1"/>
  <c r="BE9" i="3"/>
  <c r="BF9" i="3"/>
  <c r="AN9" i="3"/>
  <c r="BG9" i="3" s="1"/>
  <c r="BF10" i="3"/>
  <c r="AN10" i="3"/>
  <c r="BG10" i="3" s="1"/>
  <c r="BE11" i="3"/>
  <c r="BF11" i="3"/>
  <c r="AN11" i="3"/>
  <c r="BG11" i="3" s="1"/>
  <c r="BF12" i="3"/>
  <c r="AN12" i="3"/>
  <c r="BG12" i="3" s="1"/>
  <c r="BE13" i="3"/>
  <c r="BE15" i="3"/>
  <c r="BE16" i="3"/>
  <c r="BE17" i="3"/>
  <c r="BE18" i="3"/>
  <c r="BE19" i="3"/>
  <c r="BE20" i="3"/>
  <c r="BE21" i="3"/>
  <c r="BE22" i="3"/>
  <c r="BE23" i="3"/>
  <c r="BE24" i="3"/>
  <c r="BE25" i="3"/>
  <c r="BE26" i="3"/>
  <c r="BE27" i="3"/>
  <c r="BE29" i="3"/>
  <c r="BE31" i="3"/>
  <c r="BE32" i="3"/>
  <c r="BE33" i="3"/>
  <c r="BE34" i="3"/>
  <c r="BE35" i="3"/>
  <c r="BE36" i="3"/>
  <c r="BE37" i="3"/>
  <c r="BE38" i="3"/>
  <c r="BE39" i="3"/>
  <c r="BE40" i="3"/>
  <c r="BE41" i="3"/>
  <c r="BE42" i="3"/>
  <c r="BE43" i="3"/>
  <c r="BE49" i="3"/>
  <c r="BE51" i="3"/>
  <c r="BE53" i="3"/>
  <c r="AC8" i="3"/>
  <c r="AD8" i="3"/>
  <c r="AE8" i="3"/>
  <c r="AF8" i="3"/>
  <c r="AG8" i="3"/>
  <c r="AC9" i="3"/>
  <c r="AD9" i="3"/>
  <c r="AE9" i="3"/>
  <c r="AF9" i="3"/>
  <c r="AG9" i="3"/>
  <c r="AC10" i="3"/>
  <c r="AD10" i="3"/>
  <c r="AE10" i="3"/>
  <c r="AF10" i="3"/>
  <c r="AG10" i="3"/>
  <c r="AC11" i="3"/>
  <c r="AD11" i="3"/>
  <c r="AE11" i="3"/>
  <c r="AF11" i="3"/>
  <c r="AG11" i="3"/>
  <c r="AC12" i="3"/>
  <c r="AD12" i="3"/>
  <c r="AE12" i="3"/>
  <c r="AF12" i="3"/>
  <c r="AG12" i="3"/>
  <c r="AD11" i="9"/>
  <c r="AD12" i="9"/>
  <c r="AD13" i="9"/>
  <c r="AD14" i="9"/>
  <c r="AD15" i="9"/>
  <c r="AD16" i="9"/>
  <c r="AD17" i="9"/>
  <c r="AD18" i="9"/>
  <c r="AD19" i="9"/>
  <c r="AD20" i="9"/>
  <c r="AD21" i="9"/>
  <c r="AD22" i="9"/>
  <c r="AD23" i="9"/>
  <c r="AD24" i="9"/>
  <c r="AD25" i="9"/>
  <c r="AD26" i="9"/>
  <c r="AD27" i="9"/>
  <c r="AD28" i="9"/>
  <c r="AD29" i="9"/>
  <c r="AD30" i="9"/>
  <c r="AD31" i="9"/>
  <c r="AD32" i="9"/>
  <c r="AD33" i="9"/>
  <c r="AD34" i="9"/>
  <c r="AD35" i="9"/>
  <c r="AD36" i="9"/>
  <c r="AD37" i="9"/>
  <c r="AD38" i="9"/>
  <c r="AD39" i="9"/>
  <c r="AD40" i="9"/>
  <c r="AD41" i="9"/>
  <c r="AD42" i="9"/>
  <c r="AD43" i="9"/>
  <c r="AD44" i="9"/>
  <c r="AD45" i="9"/>
  <c r="AD46" i="9"/>
  <c r="AD47" i="9"/>
  <c r="AD48" i="9"/>
  <c r="AD49" i="9"/>
  <c r="AD50" i="9"/>
  <c r="AD51" i="9"/>
  <c r="AD52" i="9"/>
  <c r="AD53" i="9"/>
  <c r="AD54" i="9"/>
  <c r="AD55" i="9"/>
  <c r="AD56" i="9"/>
  <c r="AD57" i="9"/>
  <c r="AD58" i="9"/>
  <c r="O12" i="21"/>
  <c r="O11" i="21"/>
  <c r="O10" i="21"/>
  <c r="S46" i="34"/>
  <c r="T46" i="34"/>
  <c r="U46" i="34" s="1"/>
  <c r="X46" i="34" s="1"/>
  <c r="BF8" i="8"/>
  <c r="BF9" i="8"/>
  <c r="BF10" i="8"/>
  <c r="AN10" i="8"/>
  <c r="BG10" i="8" s="1"/>
  <c r="BF11" i="8"/>
  <c r="AN11" i="8"/>
  <c r="BG11" i="8" s="1"/>
  <c r="BE22" i="8"/>
  <c r="BE26" i="8"/>
  <c r="BE27" i="8"/>
  <c r="BE28" i="8"/>
  <c r="BE29" i="8"/>
  <c r="BE30" i="8"/>
  <c r="BE31" i="8"/>
  <c r="BE38" i="8"/>
  <c r="BE39" i="8"/>
  <c r="BE40" i="8"/>
  <c r="BE41" i="8"/>
  <c r="BF7" i="6"/>
  <c r="BF8" i="6"/>
  <c r="AN8" i="6"/>
  <c r="BG8" i="6" s="1"/>
  <c r="AN9" i="6"/>
  <c r="BG9" i="6" s="1"/>
  <c r="BF10" i="6"/>
  <c r="AN10" i="6"/>
  <c r="BG10" i="6" s="1"/>
  <c r="BE11" i="6"/>
  <c r="BF11" i="6"/>
  <c r="AN11" i="6"/>
  <c r="BG11" i="6" s="1"/>
  <c r="BE12" i="6"/>
  <c r="BF12" i="6"/>
  <c r="AN12" i="6"/>
  <c r="BG12" i="6" s="1"/>
  <c r="BE13" i="6"/>
  <c r="BE14" i="6"/>
  <c r="BE24" i="6"/>
  <c r="BE25" i="6"/>
  <c r="BE27" i="6"/>
  <c r="BE28" i="6"/>
  <c r="BE37" i="6"/>
  <c r="BE38" i="6"/>
  <c r="BE39" i="6"/>
  <c r="BE40" i="6"/>
  <c r="BE41" i="6"/>
  <c r="BE42" i="6"/>
  <c r="BE47" i="6"/>
  <c r="BE48" i="6"/>
  <c r="BE49" i="6"/>
  <c r="BE50" i="6"/>
  <c r="BE51" i="6"/>
  <c r="BE52" i="6"/>
  <c r="BE53" i="6"/>
  <c r="Z5" i="4"/>
  <c r="AF4" i="4"/>
  <c r="Z3" i="4"/>
  <c r="K485" i="34"/>
  <c r="C10" i="32"/>
  <c r="C9" i="32"/>
  <c r="C11" i="32"/>
  <c r="C8" i="32"/>
  <c r="L64" i="30"/>
  <c r="M64" i="30"/>
  <c r="L63" i="30"/>
  <c r="M63" i="30" s="1"/>
  <c r="L62" i="30"/>
  <c r="M62" i="30"/>
  <c r="L61" i="30"/>
  <c r="M61" i="30" s="1"/>
  <c r="L60" i="30"/>
  <c r="M60" i="30"/>
  <c r="L59" i="30"/>
  <c r="M59" i="30" s="1"/>
  <c r="L58" i="30"/>
  <c r="M58" i="30"/>
  <c r="L57" i="30"/>
  <c r="M57" i="30" s="1"/>
  <c r="L56" i="30"/>
  <c r="M56" i="30"/>
  <c r="L55" i="30"/>
  <c r="M55" i="30" s="1"/>
  <c r="L54" i="30"/>
  <c r="M54" i="30"/>
  <c r="L53" i="30"/>
  <c r="M53" i="30" s="1"/>
  <c r="L52" i="30"/>
  <c r="M52" i="30"/>
  <c r="L51" i="30"/>
  <c r="M51" i="30" s="1"/>
  <c r="L50" i="30"/>
  <c r="M50" i="30"/>
  <c r="L49" i="30"/>
  <c r="M49" i="30" s="1"/>
  <c r="L48" i="30"/>
  <c r="M48" i="30"/>
  <c r="L47" i="30"/>
  <c r="M47" i="30" s="1"/>
  <c r="L46" i="30"/>
  <c r="M46" i="30"/>
  <c r="L45" i="30"/>
  <c r="M45" i="30" s="1"/>
  <c r="L44" i="30"/>
  <c r="M44" i="30"/>
  <c r="L43" i="30"/>
  <c r="M43" i="30" s="1"/>
  <c r="L42" i="30"/>
  <c r="M42" i="30"/>
  <c r="L41" i="30"/>
  <c r="M41" i="30" s="1"/>
  <c r="L40" i="30"/>
  <c r="M40" i="30"/>
  <c r="L39" i="30"/>
  <c r="M39" i="30" s="1"/>
  <c r="L38" i="30"/>
  <c r="M38" i="30"/>
  <c r="L37" i="30"/>
  <c r="M37" i="30" s="1"/>
  <c r="L36" i="30"/>
  <c r="M36" i="30"/>
  <c r="L35" i="30"/>
  <c r="M35" i="30" s="1"/>
  <c r="L34" i="30"/>
  <c r="M34" i="30"/>
  <c r="L33" i="30"/>
  <c r="M33" i="30" s="1"/>
  <c r="L32" i="30"/>
  <c r="M32" i="30"/>
  <c r="L31" i="30"/>
  <c r="M31" i="30" s="1"/>
  <c r="L30" i="30"/>
  <c r="M30" i="30"/>
  <c r="L29" i="30"/>
  <c r="M29" i="30" s="1"/>
  <c r="L28" i="30"/>
  <c r="M28" i="30"/>
  <c r="L27" i="30"/>
  <c r="M27" i="30" s="1"/>
  <c r="L26" i="30"/>
  <c r="M26" i="30"/>
  <c r="L25" i="30"/>
  <c r="M25" i="30" s="1"/>
  <c r="L24" i="30"/>
  <c r="M24" i="30"/>
  <c r="L23" i="30"/>
  <c r="M23" i="30" s="1"/>
  <c r="L22" i="30"/>
  <c r="M22" i="30"/>
  <c r="L21" i="30"/>
  <c r="M21" i="30" s="1"/>
  <c r="L20" i="30"/>
  <c r="M20" i="30"/>
  <c r="L19" i="30"/>
  <c r="M19" i="30" s="1"/>
  <c r="L18" i="30"/>
  <c r="M18" i="30"/>
  <c r="L17" i="30"/>
  <c r="M17" i="30" s="1"/>
  <c r="L16" i="30"/>
  <c r="M16" i="30"/>
  <c r="L15" i="30"/>
  <c r="M15" i="30" s="1"/>
  <c r="L14" i="30"/>
  <c r="M14" i="30"/>
  <c r="L13" i="30"/>
  <c r="M13" i="30" s="1"/>
  <c r="L12" i="30"/>
  <c r="M12" i="30"/>
  <c r="L11" i="30"/>
  <c r="M11" i="30" s="1"/>
  <c r="L10" i="30"/>
  <c r="M10" i="30"/>
  <c r="L9" i="30"/>
  <c r="M9" i="30" s="1"/>
  <c r="F295" i="34"/>
  <c r="E23" i="20"/>
  <c r="E24" i="20" s="1"/>
  <c r="C23" i="20"/>
  <c r="C24" i="20"/>
  <c r="D23" i="20"/>
  <c r="D24" i="20" s="1"/>
  <c r="F23" i="20"/>
  <c r="F24" i="20"/>
  <c r="G23" i="20"/>
  <c r="G24" i="20" s="1"/>
  <c r="H23" i="20"/>
  <c r="H24" i="20"/>
  <c r="I23" i="20"/>
  <c r="I24" i="20" s="1"/>
  <c r="J23" i="20"/>
  <c r="J24" i="20"/>
  <c r="B23" i="20"/>
  <c r="B24" i="20" s="1"/>
  <c r="E45" i="34"/>
  <c r="AQ2" i="35"/>
  <c r="AS2" i="35"/>
  <c r="AR2" i="35"/>
  <c r="AP2" i="35"/>
  <c r="AO2" i="35"/>
  <c r="G2" i="35"/>
  <c r="F2" i="35"/>
  <c r="E2" i="35"/>
  <c r="D2" i="35"/>
  <c r="C2" i="35"/>
  <c r="T663" i="34"/>
  <c r="U663" i="34"/>
  <c r="Y663" i="34" s="1"/>
  <c r="DB663" i="34" s="1"/>
  <c r="DG663" i="34" s="1"/>
  <c r="S663" i="34"/>
  <c r="T662" i="34"/>
  <c r="U662" i="34" s="1"/>
  <c r="S662" i="34"/>
  <c r="T661" i="34"/>
  <c r="U661" i="34" s="1"/>
  <c r="W661" i="34" s="1"/>
  <c r="CZ661" i="34" s="1"/>
  <c r="S661" i="34"/>
  <c r="T660" i="34"/>
  <c r="U660" i="34"/>
  <c r="X660" i="34" s="1"/>
  <c r="S660" i="34"/>
  <c r="T659" i="34"/>
  <c r="U659" i="34"/>
  <c r="S659" i="34"/>
  <c r="T658" i="34"/>
  <c r="U658" i="34" s="1"/>
  <c r="Y658" i="34" s="1"/>
  <c r="S658" i="34"/>
  <c r="T657" i="34"/>
  <c r="U657" i="34" s="1"/>
  <c r="S657" i="34"/>
  <c r="T656" i="34"/>
  <c r="U656" i="34" s="1"/>
  <c r="Y656" i="34" s="1"/>
  <c r="DB656" i="34" s="1"/>
  <c r="S656" i="34"/>
  <c r="T655" i="34"/>
  <c r="U655" i="34"/>
  <c r="S655" i="34"/>
  <c r="T654" i="34"/>
  <c r="U654" i="34"/>
  <c r="S654" i="34"/>
  <c r="T653" i="34"/>
  <c r="U653" i="34" s="1"/>
  <c r="S653" i="34"/>
  <c r="T652" i="34"/>
  <c r="U652" i="34" s="1"/>
  <c r="X652" i="34" s="1"/>
  <c r="Y652" i="34" s="1"/>
  <c r="DB652" i="34" s="1"/>
  <c r="S652" i="34"/>
  <c r="T651" i="34"/>
  <c r="U651" i="34" s="1"/>
  <c r="S651" i="34"/>
  <c r="T650" i="34"/>
  <c r="U650" i="34" s="1"/>
  <c r="S650" i="34"/>
  <c r="T649" i="34"/>
  <c r="U649" i="34" s="1"/>
  <c r="S649" i="34"/>
  <c r="S645" i="34"/>
  <c r="T636" i="34"/>
  <c r="U636" i="34" s="1"/>
  <c r="A634" i="34"/>
  <c r="S633" i="34"/>
  <c r="A633" i="34"/>
  <c r="I613" i="34" s="1"/>
  <c r="A632" i="34"/>
  <c r="F613" i="34" s="1"/>
  <c r="A631" i="34"/>
  <c r="S630" i="34"/>
  <c r="EA613" i="34"/>
  <c r="EB626" i="34" s="1"/>
  <c r="T617" i="34"/>
  <c r="U617" i="34" s="1"/>
  <c r="S617" i="34"/>
  <c r="T616" i="34"/>
  <c r="U616" i="34"/>
  <c r="X616" i="34" s="1"/>
  <c r="S616" i="34"/>
  <c r="CQ615" i="34"/>
  <c r="CH615" i="34"/>
  <c r="BZ615" i="34"/>
  <c r="BS615" i="34"/>
  <c r="T615" i="34"/>
  <c r="U615" i="34" s="1"/>
  <c r="S615" i="34"/>
  <c r="EA614" i="34"/>
  <c r="M614" i="34"/>
  <c r="L614" i="34"/>
  <c r="K614" i="34"/>
  <c r="J614" i="34"/>
  <c r="I614" i="34"/>
  <c r="H614" i="34"/>
  <c r="G614" i="34"/>
  <c r="F614" i="34"/>
  <c r="E614" i="34"/>
  <c r="D614" i="34"/>
  <c r="C614" i="34"/>
  <c r="EC625" i="34"/>
  <c r="L613" i="34"/>
  <c r="C613" i="34"/>
  <c r="T598" i="34"/>
  <c r="U598" i="34" s="1"/>
  <c r="S598" i="34"/>
  <c r="T597" i="34"/>
  <c r="U597" i="34" s="1"/>
  <c r="S597" i="34"/>
  <c r="T596" i="34"/>
  <c r="U596" i="34"/>
  <c r="S596" i="34"/>
  <c r="T595" i="34"/>
  <c r="U595" i="34" s="1"/>
  <c r="S595" i="34"/>
  <c r="T594" i="34"/>
  <c r="U594" i="34" s="1"/>
  <c r="S594" i="34"/>
  <c r="T593" i="34"/>
  <c r="U593" i="34"/>
  <c r="S593" i="34"/>
  <c r="T592" i="34"/>
  <c r="U592" i="34"/>
  <c r="S592" i="34"/>
  <c r="T591" i="34"/>
  <c r="U591" i="34" s="1"/>
  <c r="S591" i="34"/>
  <c r="T590" i="34"/>
  <c r="U590" i="34" s="1"/>
  <c r="S590" i="34"/>
  <c r="T589" i="34"/>
  <c r="U589" i="34" s="1"/>
  <c r="Y589" i="34" s="1"/>
  <c r="DB589" i="34" s="1"/>
  <c r="S589" i="34"/>
  <c r="T588" i="34"/>
  <c r="U588" i="34"/>
  <c r="S588" i="34"/>
  <c r="T587" i="34"/>
  <c r="U587" i="34" s="1"/>
  <c r="S587" i="34"/>
  <c r="T586" i="34"/>
  <c r="U586" i="34" s="1"/>
  <c r="S586" i="34"/>
  <c r="T585" i="34"/>
  <c r="U585" i="34"/>
  <c r="S585" i="34"/>
  <c r="T584" i="34"/>
  <c r="U584" i="34"/>
  <c r="S584" i="34"/>
  <c r="S581" i="34"/>
  <c r="S573" i="34"/>
  <c r="A569" i="34"/>
  <c r="L548" i="34"/>
  <c r="A568" i="34"/>
  <c r="I548" i="34" s="1"/>
  <c r="A567" i="34"/>
  <c r="F548" i="34" s="1"/>
  <c r="A566" i="34"/>
  <c r="C548" i="34" s="1"/>
  <c r="T552" i="34"/>
  <c r="U552" i="34" s="1"/>
  <c r="S552" i="34"/>
  <c r="T551" i="34"/>
  <c r="U551" i="34" s="1"/>
  <c r="S551" i="34"/>
  <c r="CQ550" i="34"/>
  <c r="CH550" i="34"/>
  <c r="BZ550" i="34"/>
  <c r="BS550" i="34"/>
  <c r="T550" i="34"/>
  <c r="U550" i="34"/>
  <c r="S550" i="34"/>
  <c r="EA549" i="34"/>
  <c r="M549" i="34"/>
  <c r="L549" i="34"/>
  <c r="K549" i="34"/>
  <c r="J549" i="34"/>
  <c r="I549" i="34"/>
  <c r="H549" i="34"/>
  <c r="G549" i="34"/>
  <c r="F549" i="34"/>
  <c r="E549" i="34"/>
  <c r="D549" i="34"/>
  <c r="C549" i="34"/>
  <c r="EA548" i="34"/>
  <c r="EA561" i="34" s="1"/>
  <c r="T534" i="34"/>
  <c r="U534" i="34" s="1"/>
  <c r="S534" i="34"/>
  <c r="T533" i="34"/>
  <c r="U533" i="34"/>
  <c r="S533" i="34"/>
  <c r="T532" i="34"/>
  <c r="U532" i="34" s="1"/>
  <c r="S532" i="34"/>
  <c r="T531" i="34"/>
  <c r="U531" i="34" s="1"/>
  <c r="S531" i="34"/>
  <c r="T530" i="34"/>
  <c r="U530" i="34" s="1"/>
  <c r="S530" i="34"/>
  <c r="T529" i="34"/>
  <c r="U529" i="34" s="1"/>
  <c r="S529" i="34"/>
  <c r="T528" i="34"/>
  <c r="U528" i="34"/>
  <c r="S528" i="34"/>
  <c r="T527" i="34"/>
  <c r="U527" i="34" s="1"/>
  <c r="S527" i="34"/>
  <c r="T526" i="34"/>
  <c r="U526" i="34" s="1"/>
  <c r="S526" i="34"/>
  <c r="T525" i="34"/>
  <c r="U525" i="34"/>
  <c r="S525" i="34"/>
  <c r="T524" i="34"/>
  <c r="U524" i="34"/>
  <c r="S524" i="34"/>
  <c r="T523" i="34"/>
  <c r="U523" i="34" s="1"/>
  <c r="S523" i="34"/>
  <c r="T522" i="34"/>
  <c r="U522" i="34" s="1"/>
  <c r="S522" i="34"/>
  <c r="T521" i="34"/>
  <c r="U521" i="34" s="1"/>
  <c r="S521" i="34"/>
  <c r="T520" i="34"/>
  <c r="U520" i="34"/>
  <c r="S520" i="34"/>
  <c r="A505" i="34"/>
  <c r="L484" i="34" s="1"/>
  <c r="S504" i="34"/>
  <c r="A504" i="34"/>
  <c r="A503" i="34"/>
  <c r="F484" i="34" s="1"/>
  <c r="A502" i="34"/>
  <c r="C484" i="34"/>
  <c r="EA484" i="34"/>
  <c r="EA497" i="34" s="1"/>
  <c r="T495" i="34"/>
  <c r="U495" i="34"/>
  <c r="S494" i="34"/>
  <c r="S492" i="34"/>
  <c r="T488" i="34"/>
  <c r="U488" i="34"/>
  <c r="S488" i="34"/>
  <c r="T487" i="34"/>
  <c r="U487" i="34" s="1"/>
  <c r="S487" i="34"/>
  <c r="CQ486" i="34"/>
  <c r="CH486" i="34"/>
  <c r="BZ486" i="34"/>
  <c r="BS486" i="34"/>
  <c r="T486" i="34"/>
  <c r="U486" i="34" s="1"/>
  <c r="X486" i="34" s="1"/>
  <c r="DA486" i="34" s="1"/>
  <c r="S486" i="34"/>
  <c r="EA485" i="34"/>
  <c r="M485" i="34"/>
  <c r="L485" i="34"/>
  <c r="J485" i="34"/>
  <c r="I485" i="34"/>
  <c r="H485" i="34"/>
  <c r="G485" i="34"/>
  <c r="F485" i="34"/>
  <c r="E485" i="34"/>
  <c r="D485" i="34"/>
  <c r="C485" i="34"/>
  <c r="I484" i="34"/>
  <c r="T469" i="34"/>
  <c r="U469" i="34" s="1"/>
  <c r="S469" i="34"/>
  <c r="T468" i="34"/>
  <c r="U468" i="34" s="1"/>
  <c r="X468" i="34" s="1"/>
  <c r="DA468" i="34" s="1"/>
  <c r="DE468" i="34" s="1"/>
  <c r="S468" i="34"/>
  <c r="T467" i="34"/>
  <c r="U467" i="34" s="1"/>
  <c r="S467" i="34"/>
  <c r="T466" i="34"/>
  <c r="U466" i="34" s="1"/>
  <c r="S466" i="34"/>
  <c r="T465" i="34"/>
  <c r="U465" i="34"/>
  <c r="S465" i="34"/>
  <c r="T464" i="34"/>
  <c r="U464" i="34" s="1"/>
  <c r="X464" i="34" s="1"/>
  <c r="DA464" i="34" s="1"/>
  <c r="DE464" i="34" s="1"/>
  <c r="S464" i="34"/>
  <c r="T463" i="34"/>
  <c r="U463" i="34" s="1"/>
  <c r="S463" i="34"/>
  <c r="T462" i="34"/>
  <c r="U462" i="34" s="1"/>
  <c r="S462" i="34"/>
  <c r="T461" i="34"/>
  <c r="U461" i="34"/>
  <c r="S461" i="34"/>
  <c r="T460" i="34"/>
  <c r="U460" i="34" s="1"/>
  <c r="S460" i="34"/>
  <c r="T459" i="34"/>
  <c r="U459" i="34" s="1"/>
  <c r="S459" i="34"/>
  <c r="T458" i="34"/>
  <c r="U458" i="34" s="1"/>
  <c r="S458" i="34"/>
  <c r="T457" i="34"/>
  <c r="U457" i="34"/>
  <c r="S457" i="34"/>
  <c r="T456" i="34"/>
  <c r="U456" i="34" s="1"/>
  <c r="X456" i="34" s="1"/>
  <c r="DA456" i="34" s="1"/>
  <c r="DE456" i="34" s="1"/>
  <c r="S456" i="34"/>
  <c r="T444" i="34"/>
  <c r="U444" i="34" s="1"/>
  <c r="A441" i="34"/>
  <c r="L420" i="34"/>
  <c r="A440" i="34"/>
  <c r="I420" i="34" s="1"/>
  <c r="A439" i="34"/>
  <c r="F420" i="34"/>
  <c r="A438" i="34"/>
  <c r="C420" i="34" s="1"/>
  <c r="T424" i="34"/>
  <c r="U424" i="34" s="1"/>
  <c r="S424" i="34"/>
  <c r="T423" i="34"/>
  <c r="U423" i="34" s="1"/>
  <c r="S423" i="34"/>
  <c r="CQ422" i="34"/>
  <c r="CH422" i="34"/>
  <c r="BZ422" i="34"/>
  <c r="BS422" i="34"/>
  <c r="T422" i="34"/>
  <c r="U422" i="34"/>
  <c r="S422" i="34"/>
  <c r="EA421" i="34"/>
  <c r="M421" i="34"/>
  <c r="L421" i="34"/>
  <c r="K421" i="34"/>
  <c r="J421" i="34"/>
  <c r="I421" i="34"/>
  <c r="H421" i="34"/>
  <c r="G421" i="34"/>
  <c r="F421" i="34"/>
  <c r="E421" i="34"/>
  <c r="D421" i="34"/>
  <c r="C421" i="34"/>
  <c r="EA420" i="34"/>
  <c r="T407" i="34"/>
  <c r="U407" i="34" s="1"/>
  <c r="S407" i="34"/>
  <c r="T406" i="34"/>
  <c r="U406" i="34" s="1"/>
  <c r="S406" i="34"/>
  <c r="T405" i="34"/>
  <c r="U405" i="34" s="1"/>
  <c r="S405" i="34"/>
  <c r="T404" i="34"/>
  <c r="U404" i="34" s="1"/>
  <c r="S404" i="34"/>
  <c r="T403" i="34"/>
  <c r="U403" i="34" s="1"/>
  <c r="S403" i="34"/>
  <c r="T402" i="34"/>
  <c r="U402" i="34" s="1"/>
  <c r="S402" i="34"/>
  <c r="T401" i="34"/>
  <c r="U401" i="34"/>
  <c r="S401" i="34"/>
  <c r="T400" i="34"/>
  <c r="U400" i="34" s="1"/>
  <c r="S400" i="34"/>
  <c r="T399" i="34"/>
  <c r="U399" i="34" s="1"/>
  <c r="S399" i="34"/>
  <c r="T398" i="34"/>
  <c r="U398" i="34" s="1"/>
  <c r="S398" i="34"/>
  <c r="T397" i="34"/>
  <c r="U397" i="34" s="1"/>
  <c r="S397" i="34"/>
  <c r="T396" i="34"/>
  <c r="U396" i="34" s="1"/>
  <c r="X396" i="34" s="1"/>
  <c r="DA396" i="34" s="1"/>
  <c r="S396" i="34"/>
  <c r="T395" i="34"/>
  <c r="U395" i="34" s="1"/>
  <c r="S395" i="34"/>
  <c r="T394" i="34"/>
  <c r="U394" i="34" s="1"/>
  <c r="S394" i="34"/>
  <c r="T393" i="34"/>
  <c r="U393" i="34"/>
  <c r="S393" i="34"/>
  <c r="A378" i="34"/>
  <c r="L357" i="34" s="1"/>
  <c r="A377" i="34"/>
  <c r="I357" i="34"/>
  <c r="A376" i="34"/>
  <c r="F357" i="34" s="1"/>
  <c r="A375" i="34"/>
  <c r="C357" i="34"/>
  <c r="T361" i="34"/>
  <c r="U361" i="34" s="1"/>
  <c r="S361" i="34"/>
  <c r="T360" i="34"/>
  <c r="U360" i="34" s="1"/>
  <c r="S360" i="34"/>
  <c r="CQ359" i="34"/>
  <c r="CH359" i="34"/>
  <c r="BZ359" i="34"/>
  <c r="BS359" i="34"/>
  <c r="T359" i="34"/>
  <c r="U359" i="34" s="1"/>
  <c r="S359" i="34"/>
  <c r="EA358" i="34"/>
  <c r="M358" i="34"/>
  <c r="L358" i="34"/>
  <c r="K358" i="34"/>
  <c r="J358" i="34"/>
  <c r="I358" i="34"/>
  <c r="H358" i="34"/>
  <c r="G358" i="34"/>
  <c r="F358" i="34"/>
  <c r="E358" i="34"/>
  <c r="D358" i="34"/>
  <c r="C358" i="34"/>
  <c r="EA357" i="34"/>
  <c r="EC370" i="34" s="1"/>
  <c r="T344" i="34"/>
  <c r="U344" i="34" s="1"/>
  <c r="S344" i="34"/>
  <c r="T343" i="34"/>
  <c r="U343" i="34" s="1"/>
  <c r="X343" i="34" s="1"/>
  <c r="DA343" i="34" s="1"/>
  <c r="S343" i="34"/>
  <c r="T342" i="34"/>
  <c r="U342" i="34" s="1"/>
  <c r="S342" i="34"/>
  <c r="T341" i="34"/>
  <c r="U341" i="34" s="1"/>
  <c r="S341" i="34"/>
  <c r="T340" i="34"/>
  <c r="U340" i="34" s="1"/>
  <c r="S340" i="34"/>
  <c r="T339" i="34"/>
  <c r="U339" i="34" s="1"/>
  <c r="S339" i="34"/>
  <c r="T338" i="34"/>
  <c r="U338" i="34" s="1"/>
  <c r="S338" i="34"/>
  <c r="T337" i="34"/>
  <c r="U337" i="34" s="1"/>
  <c r="S337" i="34"/>
  <c r="T336" i="34"/>
  <c r="U336" i="34" s="1"/>
  <c r="S336" i="34"/>
  <c r="T335" i="34"/>
  <c r="U335" i="34"/>
  <c r="S335" i="34"/>
  <c r="T334" i="34"/>
  <c r="U334" i="34"/>
  <c r="S334" i="34"/>
  <c r="T333" i="34"/>
  <c r="U333" i="34" s="1"/>
  <c r="S333" i="34"/>
  <c r="T332" i="34"/>
  <c r="U332" i="34" s="1"/>
  <c r="S332" i="34"/>
  <c r="T331" i="34"/>
  <c r="U331" i="34" s="1"/>
  <c r="S331" i="34"/>
  <c r="T330" i="34"/>
  <c r="U330" i="34" s="1"/>
  <c r="S330" i="34"/>
  <c r="A315" i="34"/>
  <c r="L294" i="34" s="1"/>
  <c r="A314" i="34"/>
  <c r="I294" i="34"/>
  <c r="A313" i="34"/>
  <c r="F294" i="34" s="1"/>
  <c r="A312" i="34"/>
  <c r="C294" i="34"/>
  <c r="T298" i="34"/>
  <c r="U298" i="34" s="1"/>
  <c r="S298" i="34"/>
  <c r="T297" i="34"/>
  <c r="U297" i="34" s="1"/>
  <c r="S297" i="34"/>
  <c r="CQ296" i="34"/>
  <c r="CH296" i="34"/>
  <c r="BZ296" i="34"/>
  <c r="BS296" i="34"/>
  <c r="T296" i="34"/>
  <c r="U296" i="34" s="1"/>
  <c r="S296" i="34"/>
  <c r="EA295" i="34"/>
  <c r="M295" i="34"/>
  <c r="L295" i="34"/>
  <c r="K295" i="34"/>
  <c r="J295" i="34"/>
  <c r="I295" i="34"/>
  <c r="H295" i="34"/>
  <c r="G295" i="34"/>
  <c r="E295" i="34"/>
  <c r="D295" i="34"/>
  <c r="C295" i="34"/>
  <c r="EA294" i="34"/>
  <c r="EC307" i="34" s="1"/>
  <c r="T281" i="34"/>
  <c r="U281" i="34" s="1"/>
  <c r="S281" i="34"/>
  <c r="T280" i="34"/>
  <c r="U280" i="34"/>
  <c r="S280" i="34"/>
  <c r="T279" i="34"/>
  <c r="U279" i="34" s="1"/>
  <c r="S279" i="34"/>
  <c r="T278" i="34"/>
  <c r="U278" i="34" s="1"/>
  <c r="S278" i="34"/>
  <c r="T277" i="34"/>
  <c r="U277" i="34" s="1"/>
  <c r="S277" i="34"/>
  <c r="T276" i="34"/>
  <c r="U276" i="34"/>
  <c r="S276" i="34"/>
  <c r="T275" i="34"/>
  <c r="U275" i="34" s="1"/>
  <c r="S275" i="34"/>
  <c r="T274" i="34"/>
  <c r="U274" i="34" s="1"/>
  <c r="S274" i="34"/>
  <c r="T273" i="34"/>
  <c r="U273" i="34" s="1"/>
  <c r="S273" i="34"/>
  <c r="T272" i="34"/>
  <c r="U272" i="34"/>
  <c r="S272" i="34"/>
  <c r="T271" i="34"/>
  <c r="U271" i="34" s="1"/>
  <c r="S271" i="34"/>
  <c r="T270" i="34"/>
  <c r="U270" i="34" s="1"/>
  <c r="S270" i="34"/>
  <c r="T269" i="34"/>
  <c r="U269" i="34" s="1"/>
  <c r="S269" i="34"/>
  <c r="T268" i="34"/>
  <c r="U268" i="34"/>
  <c r="S268" i="34"/>
  <c r="T267" i="34"/>
  <c r="U267" i="34" s="1"/>
  <c r="S267" i="34"/>
  <c r="A252" i="34"/>
  <c r="A251" i="34"/>
  <c r="I231" i="34" s="1"/>
  <c r="A250" i="34"/>
  <c r="A249" i="34"/>
  <c r="C231" i="34" s="1"/>
  <c r="T235" i="34"/>
  <c r="U235" i="34" s="1"/>
  <c r="X235" i="34" s="1"/>
  <c r="DA235" i="34" s="1"/>
  <c r="S235" i="34"/>
  <c r="T234" i="34"/>
  <c r="U234" i="34" s="1"/>
  <c r="S234" i="34"/>
  <c r="CQ233" i="34"/>
  <c r="CH233" i="34"/>
  <c r="BZ233" i="34"/>
  <c r="BS233" i="34"/>
  <c r="T233" i="34"/>
  <c r="U233" i="34" s="1"/>
  <c r="S233" i="34"/>
  <c r="EA232" i="34"/>
  <c r="M232" i="34"/>
  <c r="L232" i="34"/>
  <c r="K232" i="34"/>
  <c r="J232" i="34"/>
  <c r="I232" i="34"/>
  <c r="H232" i="34"/>
  <c r="G232" i="34"/>
  <c r="F232" i="34"/>
  <c r="E232" i="34"/>
  <c r="D232" i="34"/>
  <c r="C232" i="34"/>
  <c r="EA231" i="34"/>
  <c r="EB244" i="34"/>
  <c r="L231" i="34"/>
  <c r="F231" i="34"/>
  <c r="T218" i="34"/>
  <c r="U218" i="34" s="1"/>
  <c r="X218" i="34" s="1"/>
  <c r="DA218" i="34" s="1"/>
  <c r="S218" i="34"/>
  <c r="T217" i="34"/>
  <c r="U217" i="34" s="1"/>
  <c r="S217" i="34"/>
  <c r="T216" i="34"/>
  <c r="U216" i="34" s="1"/>
  <c r="W216" i="34" s="1"/>
  <c r="CZ216" i="34" s="1"/>
  <c r="S216" i="34"/>
  <c r="T215" i="34"/>
  <c r="U215" i="34"/>
  <c r="Y215" i="34" s="1"/>
  <c r="DB215" i="34" s="1"/>
  <c r="DG215" i="34" s="1"/>
  <c r="S215" i="34"/>
  <c r="T214" i="34"/>
  <c r="U214" i="34" s="1"/>
  <c r="S214" i="34"/>
  <c r="T213" i="34"/>
  <c r="U213" i="34" s="1"/>
  <c r="S213" i="34"/>
  <c r="T212" i="34"/>
  <c r="U212" i="34" s="1"/>
  <c r="S212" i="34"/>
  <c r="T211" i="34"/>
  <c r="U211" i="34"/>
  <c r="S211" i="34"/>
  <c r="T210" i="34"/>
  <c r="U210" i="34" s="1"/>
  <c r="S210" i="34"/>
  <c r="T209" i="34"/>
  <c r="U209" i="34" s="1"/>
  <c r="S209" i="34"/>
  <c r="T208" i="34"/>
  <c r="U208" i="34" s="1"/>
  <c r="S208" i="34"/>
  <c r="T207" i="34"/>
  <c r="U207" i="34"/>
  <c r="S207" i="34"/>
  <c r="T206" i="34"/>
  <c r="U206" i="34" s="1"/>
  <c r="S206" i="34"/>
  <c r="T205" i="34"/>
  <c r="U205" i="34" s="1"/>
  <c r="S205" i="34"/>
  <c r="T204" i="34"/>
  <c r="U204" i="34" s="1"/>
  <c r="S204" i="34"/>
  <c r="A189" i="34"/>
  <c r="A188" i="34"/>
  <c r="I168" i="34"/>
  <c r="A187" i="34"/>
  <c r="F168" i="34" s="1"/>
  <c r="A186" i="34"/>
  <c r="C168" i="34"/>
  <c r="T172" i="34"/>
  <c r="U172" i="34" s="1"/>
  <c r="S172" i="34"/>
  <c r="T171" i="34"/>
  <c r="U171" i="34" s="1"/>
  <c r="S171" i="34"/>
  <c r="CQ170" i="34"/>
  <c r="CH170" i="34"/>
  <c r="BZ170" i="34"/>
  <c r="BS170" i="34"/>
  <c r="T170" i="34"/>
  <c r="U170" i="34"/>
  <c r="S170" i="34"/>
  <c r="EA169" i="34"/>
  <c r="M169" i="34"/>
  <c r="L169" i="34"/>
  <c r="K169" i="34"/>
  <c r="J169" i="34"/>
  <c r="I169" i="34"/>
  <c r="H169" i="34"/>
  <c r="G169" i="34"/>
  <c r="F169" i="34"/>
  <c r="E169" i="34"/>
  <c r="D169" i="34"/>
  <c r="C169" i="34"/>
  <c r="EA168" i="34"/>
  <c r="EE174" i="34"/>
  <c r="L168" i="34"/>
  <c r="T154" i="34"/>
  <c r="U154" i="34" s="1"/>
  <c r="S154" i="34"/>
  <c r="T153" i="34"/>
  <c r="U153" i="34" s="1"/>
  <c r="S153" i="34"/>
  <c r="T152" i="34"/>
  <c r="U152" i="34" s="1"/>
  <c r="S152" i="34"/>
  <c r="T151" i="34"/>
  <c r="U151" i="34" s="1"/>
  <c r="S151" i="34"/>
  <c r="T150" i="34"/>
  <c r="U150" i="34" s="1"/>
  <c r="S150" i="34"/>
  <c r="T149" i="34"/>
  <c r="U149" i="34" s="1"/>
  <c r="X149" i="34" s="1"/>
  <c r="DA149" i="34" s="1"/>
  <c r="DE149" i="34" s="1"/>
  <c r="S149" i="34"/>
  <c r="T148" i="34"/>
  <c r="U148" i="34" s="1"/>
  <c r="S148" i="34"/>
  <c r="T147" i="34"/>
  <c r="U147" i="34"/>
  <c r="S147" i="34"/>
  <c r="T146" i="34"/>
  <c r="U146" i="34" s="1"/>
  <c r="S146" i="34"/>
  <c r="T145" i="34"/>
  <c r="U145" i="34" s="1"/>
  <c r="S145" i="34"/>
  <c r="T144" i="34"/>
  <c r="U144" i="34" s="1"/>
  <c r="S144" i="34"/>
  <c r="T143" i="34"/>
  <c r="U143" i="34" s="1"/>
  <c r="S143" i="34"/>
  <c r="T142" i="34"/>
  <c r="U142" i="34" s="1"/>
  <c r="S142" i="34"/>
  <c r="T141" i="34"/>
  <c r="U141" i="34"/>
  <c r="S141" i="34"/>
  <c r="T140" i="34"/>
  <c r="U140" i="34" s="1"/>
  <c r="S140" i="34"/>
  <c r="A125" i="34"/>
  <c r="L104" i="34" s="1"/>
  <c r="A124" i="34"/>
  <c r="I104" i="34"/>
  <c r="A123" i="34"/>
  <c r="F104" i="34" s="1"/>
  <c r="A122" i="34"/>
  <c r="C104" i="34"/>
  <c r="T108" i="34"/>
  <c r="U108" i="34" s="1"/>
  <c r="S108" i="34"/>
  <c r="T107" i="34"/>
  <c r="U107" i="34" s="1"/>
  <c r="S107" i="34"/>
  <c r="CQ106" i="34"/>
  <c r="CH106" i="34"/>
  <c r="BZ106" i="34"/>
  <c r="BS106" i="34"/>
  <c r="T106" i="34"/>
  <c r="U106" i="34"/>
  <c r="S106" i="34"/>
  <c r="EA105" i="34"/>
  <c r="M105" i="34"/>
  <c r="L105" i="34"/>
  <c r="K105" i="34"/>
  <c r="J105" i="34"/>
  <c r="I105" i="34"/>
  <c r="H105" i="34"/>
  <c r="G105" i="34"/>
  <c r="F105" i="34"/>
  <c r="E105" i="34"/>
  <c r="D105" i="34"/>
  <c r="C105" i="34"/>
  <c r="EA104" i="34"/>
  <c r="EC117" i="34"/>
  <c r="T47" i="34"/>
  <c r="U47" i="34" s="1"/>
  <c r="S47" i="34"/>
  <c r="CQ46" i="34"/>
  <c r="CH46" i="34"/>
  <c r="BZ46" i="34"/>
  <c r="BS46" i="34"/>
  <c r="M45" i="34"/>
  <c r="L45" i="34"/>
  <c r="K45" i="34"/>
  <c r="J45" i="34"/>
  <c r="I45" i="34"/>
  <c r="H45" i="34"/>
  <c r="G45" i="34"/>
  <c r="F45" i="34"/>
  <c r="D45" i="34"/>
  <c r="C45" i="34"/>
  <c r="L44" i="34"/>
  <c r="I44" i="34"/>
  <c r="F44" i="34"/>
  <c r="C44" i="34"/>
  <c r="A38" i="34"/>
  <c r="D17" i="34"/>
  <c r="V5" i="34"/>
  <c r="EA45" i="34"/>
  <c r="V4" i="34"/>
  <c r="EA56" i="34" s="1"/>
  <c r="A1" i="34"/>
  <c r="A284" i="34" s="1"/>
  <c r="S437" i="34"/>
  <c r="T438" i="34"/>
  <c r="U438" i="34" s="1"/>
  <c r="T452" i="34"/>
  <c r="U452" i="34" s="1"/>
  <c r="X452" i="34" s="1"/>
  <c r="DA452" i="34" s="1"/>
  <c r="T503" i="34"/>
  <c r="U503" i="34" s="1"/>
  <c r="X503" i="34" s="1"/>
  <c r="DA503" i="34" s="1"/>
  <c r="DE503" i="34" s="1"/>
  <c r="T329" i="34"/>
  <c r="U329" i="34" s="1"/>
  <c r="EB560" i="34"/>
  <c r="EC561" i="34"/>
  <c r="T434" i="34"/>
  <c r="U434" i="34" s="1"/>
  <c r="T436" i="34"/>
  <c r="U436" i="34" s="1"/>
  <c r="X436" i="34" s="1"/>
  <c r="DA436" i="34" s="1"/>
  <c r="T439" i="34"/>
  <c r="U439" i="34" s="1"/>
  <c r="X439" i="34" s="1"/>
  <c r="DA439" i="34" s="1"/>
  <c r="S442" i="34"/>
  <c r="T499" i="34"/>
  <c r="U499" i="34" s="1"/>
  <c r="X499" i="34" s="1"/>
  <c r="DA499" i="34" s="1"/>
  <c r="T517" i="34"/>
  <c r="U517" i="34" s="1"/>
  <c r="T582" i="34"/>
  <c r="U582" i="34" s="1"/>
  <c r="X582" i="34" s="1"/>
  <c r="DA582" i="34" s="1"/>
  <c r="T640" i="34"/>
  <c r="U640" i="34" s="1"/>
  <c r="T644" i="34"/>
  <c r="U644" i="34" s="1"/>
  <c r="T648" i="34"/>
  <c r="U648" i="34" s="1"/>
  <c r="EE112" i="34"/>
  <c r="EE176" i="34"/>
  <c r="EA179" i="34"/>
  <c r="EA181" i="34"/>
  <c r="T185" i="34"/>
  <c r="U185" i="34"/>
  <c r="S503" i="34"/>
  <c r="S562" i="34"/>
  <c r="S565" i="34"/>
  <c r="S568" i="34"/>
  <c r="S636" i="34"/>
  <c r="S173" i="34"/>
  <c r="S262" i="34"/>
  <c r="S266" i="34"/>
  <c r="S455" i="34"/>
  <c r="T519" i="34"/>
  <c r="U519" i="34"/>
  <c r="Y519" i="34" s="1"/>
  <c r="DB519" i="34" s="1"/>
  <c r="S553" i="34"/>
  <c r="EA180" i="34"/>
  <c r="EC243" i="34"/>
  <c r="S432" i="34"/>
  <c r="T448" i="34"/>
  <c r="U448" i="34" s="1"/>
  <c r="X448" i="34" s="1"/>
  <c r="DA448" i="34" s="1"/>
  <c r="S450" i="34"/>
  <c r="S491" i="34"/>
  <c r="S506" i="34"/>
  <c r="S508" i="34"/>
  <c r="S510" i="34"/>
  <c r="S574" i="34"/>
  <c r="X461" i="34"/>
  <c r="DA461" i="34"/>
  <c r="DE461" i="34" s="1"/>
  <c r="EE110" i="34"/>
  <c r="S116" i="34"/>
  <c r="T117" i="34"/>
  <c r="U117" i="34"/>
  <c r="X147" i="34"/>
  <c r="DA147" i="34" s="1"/>
  <c r="T184" i="34"/>
  <c r="U184" i="34" s="1"/>
  <c r="EE238" i="34"/>
  <c r="T249" i="34"/>
  <c r="U249" i="34" s="1"/>
  <c r="T363" i="34"/>
  <c r="U363" i="34" s="1"/>
  <c r="T367" i="34"/>
  <c r="U367" i="34" s="1"/>
  <c r="S368" i="34"/>
  <c r="T371" i="34"/>
  <c r="U371" i="34" s="1"/>
  <c r="S372" i="34"/>
  <c r="S373" i="34"/>
  <c r="S375" i="34"/>
  <c r="S377" i="34"/>
  <c r="T379" i="34"/>
  <c r="U379" i="34" s="1"/>
  <c r="S380" i="34"/>
  <c r="S381" i="34"/>
  <c r="T383" i="34"/>
  <c r="U383" i="34" s="1"/>
  <c r="S384" i="34"/>
  <c r="S385" i="34"/>
  <c r="T387" i="34"/>
  <c r="U387" i="34" s="1"/>
  <c r="X387" i="34" s="1"/>
  <c r="DA387" i="34" s="1"/>
  <c r="S388" i="34"/>
  <c r="S389" i="34"/>
  <c r="T391" i="34"/>
  <c r="U391" i="34"/>
  <c r="S392" i="34"/>
  <c r="S441" i="34"/>
  <c r="S454" i="34"/>
  <c r="S498" i="34"/>
  <c r="T500" i="34"/>
  <c r="U500" i="34"/>
  <c r="X500" i="34" s="1"/>
  <c r="DA500" i="34" s="1"/>
  <c r="DE500" i="34" s="1"/>
  <c r="S556" i="34"/>
  <c r="S567" i="34"/>
  <c r="S582" i="34"/>
  <c r="T583" i="34"/>
  <c r="U583" i="34" s="1"/>
  <c r="X583" i="34" s="1"/>
  <c r="DA583" i="34" s="1"/>
  <c r="S619" i="34"/>
  <c r="T633" i="34"/>
  <c r="U633" i="34" s="1"/>
  <c r="W633" i="34" s="1"/>
  <c r="CZ633" i="34" s="1"/>
  <c r="DD633" i="34" s="1"/>
  <c r="X633" i="34"/>
  <c r="DA633" i="34" s="1"/>
  <c r="DE633" i="34" s="1"/>
  <c r="S640" i="34"/>
  <c r="T645" i="34"/>
  <c r="U645" i="34" s="1"/>
  <c r="X645" i="34" s="1"/>
  <c r="DA645" i="34" s="1"/>
  <c r="S111" i="34"/>
  <c r="T114" i="34"/>
  <c r="U114" i="34" s="1"/>
  <c r="S177" i="34"/>
  <c r="S182" i="34"/>
  <c r="S190" i="34"/>
  <c r="EC242" i="34"/>
  <c r="EC244" i="34"/>
  <c r="T246" i="34"/>
  <c r="U246" i="34" s="1"/>
  <c r="X246" i="34" s="1"/>
  <c r="DA246" i="34" s="1"/>
  <c r="T247" i="34"/>
  <c r="U247" i="34" s="1"/>
  <c r="X247" i="34" s="1"/>
  <c r="DA247" i="34" s="1"/>
  <c r="T248" i="34"/>
  <c r="U248" i="34" s="1"/>
  <c r="X248" i="34" s="1"/>
  <c r="S255" i="34"/>
  <c r="T256" i="34"/>
  <c r="U256" i="34" s="1"/>
  <c r="X256" i="34" s="1"/>
  <c r="DA256" i="34" s="1"/>
  <c r="T258" i="34"/>
  <c r="U258" i="34" s="1"/>
  <c r="X258" i="34" s="1"/>
  <c r="DA258" i="34" s="1"/>
  <c r="S259" i="34"/>
  <c r="T260" i="34"/>
  <c r="U260" i="34" s="1"/>
  <c r="T262" i="34"/>
  <c r="U262" i="34"/>
  <c r="X262" i="34" s="1"/>
  <c r="DA262" i="34" s="1"/>
  <c r="T450" i="34"/>
  <c r="U450" i="34"/>
  <c r="X450" i="34" s="1"/>
  <c r="DA450" i="34" s="1"/>
  <c r="EE491" i="34"/>
  <c r="EE492" i="34"/>
  <c r="EA495" i="34"/>
  <c r="S497" i="34"/>
  <c r="S555" i="34"/>
  <c r="T565" i="34"/>
  <c r="U565" i="34" s="1"/>
  <c r="S570" i="34"/>
  <c r="S618" i="34"/>
  <c r="T624" i="34"/>
  <c r="U624" i="34" s="1"/>
  <c r="T647" i="34"/>
  <c r="U647" i="34" s="1"/>
  <c r="T181" i="34"/>
  <c r="U181" i="34" s="1"/>
  <c r="X181" i="34" s="1"/>
  <c r="DA181" i="34" s="1"/>
  <c r="DE181" i="34" s="1"/>
  <c r="T237" i="34"/>
  <c r="U237" i="34" s="1"/>
  <c r="S252" i="34"/>
  <c r="S301" i="34"/>
  <c r="T303" i="34"/>
  <c r="U303" i="34" s="1"/>
  <c r="X303" i="34" s="1"/>
  <c r="DA303" i="34"/>
  <c r="S304" i="34"/>
  <c r="T305" i="34"/>
  <c r="U305" i="34"/>
  <c r="S308" i="34"/>
  <c r="T309" i="34"/>
  <c r="U309" i="34" s="1"/>
  <c r="X309" i="34" s="1"/>
  <c r="DA309" i="34" s="1"/>
  <c r="T311" i="34"/>
  <c r="U311" i="34" s="1"/>
  <c r="T312" i="34"/>
  <c r="U312" i="34" s="1"/>
  <c r="T313" i="34"/>
  <c r="U313" i="34" s="1"/>
  <c r="X313" i="34" s="1"/>
  <c r="DA313" i="34" s="1"/>
  <c r="T314" i="34"/>
  <c r="U314" i="34" s="1"/>
  <c r="X314" i="34" s="1"/>
  <c r="DA314" i="34" s="1"/>
  <c r="T317" i="34"/>
  <c r="U317" i="34" s="1"/>
  <c r="T321" i="34"/>
  <c r="U321" i="34"/>
  <c r="S438" i="34"/>
  <c r="S446" i="34"/>
  <c r="S448" i="34"/>
  <c r="T453" i="34"/>
  <c r="U453" i="34" s="1"/>
  <c r="X453" i="34" s="1"/>
  <c r="DA453" i="34" s="1"/>
  <c r="W456" i="34"/>
  <c r="CZ456" i="34" s="1"/>
  <c r="DD456" i="34" s="1"/>
  <c r="S569" i="34"/>
  <c r="T573" i="34"/>
  <c r="U573" i="34" s="1"/>
  <c r="T574" i="34"/>
  <c r="U574" i="34"/>
  <c r="T575" i="34"/>
  <c r="U575" i="34" s="1"/>
  <c r="T630" i="34"/>
  <c r="U630" i="34" s="1"/>
  <c r="T635" i="34"/>
  <c r="U635" i="34" s="1"/>
  <c r="W635" i="34" s="1"/>
  <c r="X47" i="34"/>
  <c r="DA47" i="34" s="1"/>
  <c r="DF47" i="34" s="1"/>
  <c r="S112" i="34"/>
  <c r="S118" i="34"/>
  <c r="T119" i="34"/>
  <c r="U119" i="34" s="1"/>
  <c r="T121" i="34"/>
  <c r="U121" i="34" s="1"/>
  <c r="X121" i="34" s="1"/>
  <c r="DA121" i="34" s="1"/>
  <c r="T122" i="34"/>
  <c r="U122" i="34" s="1"/>
  <c r="X122" i="34" s="1"/>
  <c r="DA122" i="34" s="1"/>
  <c r="T123" i="34"/>
  <c r="U123" i="34" s="1"/>
  <c r="X123" i="34" s="1"/>
  <c r="DA123" i="34" s="1"/>
  <c r="T124" i="34"/>
  <c r="U124" i="34" s="1"/>
  <c r="T125" i="34"/>
  <c r="U125" i="34"/>
  <c r="X125" i="34" s="1"/>
  <c r="DA125" i="34" s="1"/>
  <c r="S126" i="34"/>
  <c r="T127" i="34"/>
  <c r="U127" i="34" s="1"/>
  <c r="T129" i="34"/>
  <c r="U129" i="34"/>
  <c r="X129" i="34" s="1"/>
  <c r="DA129" i="34" s="1"/>
  <c r="S130" i="34"/>
  <c r="T131" i="34"/>
  <c r="U131" i="34" s="1"/>
  <c r="X131" i="34" s="1"/>
  <c r="DA131" i="34" s="1"/>
  <c r="T133" i="34"/>
  <c r="U133" i="34" s="1"/>
  <c r="S134" i="34"/>
  <c r="T135" i="34"/>
  <c r="U135" i="34" s="1"/>
  <c r="X135" i="34" s="1"/>
  <c r="DA135" i="34" s="1"/>
  <c r="T137" i="34"/>
  <c r="U137" i="34" s="1"/>
  <c r="X137" i="34" s="1"/>
  <c r="DA137" i="34" s="1"/>
  <c r="S138" i="34"/>
  <c r="T139" i="34"/>
  <c r="U139" i="34" s="1"/>
  <c r="X139" i="34" s="1"/>
  <c r="DA139" i="34" s="1"/>
  <c r="S174" i="34"/>
  <c r="T175" i="34"/>
  <c r="U175" i="34" s="1"/>
  <c r="X175" i="34" s="1"/>
  <c r="DA175" i="34" s="1"/>
  <c r="S176" i="34"/>
  <c r="T179" i="34"/>
  <c r="U179" i="34" s="1"/>
  <c r="S180" i="34"/>
  <c r="S187" i="34"/>
  <c r="T187" i="34"/>
  <c r="U187" i="34" s="1"/>
  <c r="T189" i="34"/>
  <c r="U189" i="34" s="1"/>
  <c r="X189" i="34" s="1"/>
  <c r="DA189" i="34" s="1"/>
  <c r="S192" i="34"/>
  <c r="T193" i="34"/>
  <c r="U193" i="34"/>
  <c r="S196" i="34"/>
  <c r="T197" i="34"/>
  <c r="U197" i="34" s="1"/>
  <c r="S200" i="34"/>
  <c r="T201" i="34"/>
  <c r="U201" i="34" s="1"/>
  <c r="X201" i="34" s="1"/>
  <c r="DA201" i="34" s="1"/>
  <c r="T238" i="34"/>
  <c r="U238" i="34" s="1"/>
  <c r="X238" i="34" s="1"/>
  <c r="DA238" i="34" s="1"/>
  <c r="T240" i="34"/>
  <c r="U240" i="34"/>
  <c r="X240" i="34"/>
  <c r="DA240" i="34" s="1"/>
  <c r="T250" i="34"/>
  <c r="U250" i="34" s="1"/>
  <c r="S258" i="34"/>
  <c r="X465" i="34"/>
  <c r="DA465" i="34" s="1"/>
  <c r="DE465" i="34" s="1"/>
  <c r="T109" i="34"/>
  <c r="U109" i="34" s="1"/>
  <c r="S110" i="34"/>
  <c r="S113" i="34"/>
  <c r="S115" i="34"/>
  <c r="T116" i="34"/>
  <c r="U116" i="34" s="1"/>
  <c r="S120" i="34"/>
  <c r="S128" i="34"/>
  <c r="S132" i="34"/>
  <c r="S136" i="34"/>
  <c r="T178" i="34"/>
  <c r="U178" i="34" s="1"/>
  <c r="X178" i="34" s="1"/>
  <c r="DA178" i="34" s="1"/>
  <c r="S179" i="34"/>
  <c r="T182" i="34"/>
  <c r="U182" i="34" s="1"/>
  <c r="S184" i="34"/>
  <c r="S189" i="34"/>
  <c r="T190" i="34"/>
  <c r="U190" i="34" s="1"/>
  <c r="T194" i="34"/>
  <c r="U194" i="34" s="1"/>
  <c r="T198" i="34"/>
  <c r="U198" i="34" s="1"/>
  <c r="T202" i="34"/>
  <c r="U202" i="34" s="1"/>
  <c r="T301" i="34"/>
  <c r="U301" i="34" s="1"/>
  <c r="X463" i="34"/>
  <c r="DA463" i="34"/>
  <c r="DE463" i="34" s="1"/>
  <c r="T173" i="34"/>
  <c r="U173" i="34" s="1"/>
  <c r="X173" i="34" s="1"/>
  <c r="DA173" i="34" s="1"/>
  <c r="S263" i="34"/>
  <c r="T264" i="34"/>
  <c r="U264" i="34" s="1"/>
  <c r="X264" i="34" s="1"/>
  <c r="DA264" i="34" s="1"/>
  <c r="T266" i="34"/>
  <c r="U266" i="34" s="1"/>
  <c r="X266" i="34"/>
  <c r="DA266" i="34" s="1"/>
  <c r="X393" i="34"/>
  <c r="DA393" i="34" s="1"/>
  <c r="S114" i="34"/>
  <c r="S117" i="34"/>
  <c r="T118" i="34"/>
  <c r="U118" i="34" s="1"/>
  <c r="X118" i="34"/>
  <c r="DA118" i="34" s="1"/>
  <c r="T120" i="34"/>
  <c r="U120" i="34" s="1"/>
  <c r="S121" i="34"/>
  <c r="S123" i="34"/>
  <c r="S125" i="34"/>
  <c r="T126" i="34"/>
  <c r="U126" i="34" s="1"/>
  <c r="T128" i="34"/>
  <c r="U128" i="34" s="1"/>
  <c r="S129" i="34"/>
  <c r="T130" i="34"/>
  <c r="U130" i="34"/>
  <c r="X130" i="34" s="1"/>
  <c r="DA130" i="34" s="1"/>
  <c r="T132" i="34"/>
  <c r="U132" i="34" s="1"/>
  <c r="S133" i="34"/>
  <c r="T134" i="34"/>
  <c r="U134" i="34" s="1"/>
  <c r="T136" i="34"/>
  <c r="U136" i="34"/>
  <c r="S137" i="34"/>
  <c r="T138" i="34"/>
  <c r="U138" i="34" s="1"/>
  <c r="X138" i="34" s="1"/>
  <c r="DA138" i="34" s="1"/>
  <c r="T174" i="34"/>
  <c r="U174" i="34"/>
  <c r="S175" i="34"/>
  <c r="T177" i="34"/>
  <c r="U177" i="34" s="1"/>
  <c r="T180" i="34"/>
  <c r="U180" i="34" s="1"/>
  <c r="S181" i="34"/>
  <c r="S185" i="34"/>
  <c r="S302" i="34"/>
  <c r="S303" i="34"/>
  <c r="T307" i="34"/>
  <c r="U307" i="34" s="1"/>
  <c r="S310" i="34"/>
  <c r="S322" i="34"/>
  <c r="T326" i="34"/>
  <c r="U326" i="34" s="1"/>
  <c r="T327" i="34"/>
  <c r="U327" i="34" s="1"/>
  <c r="X327" i="34" s="1"/>
  <c r="DA327" i="34" s="1"/>
  <c r="DF456" i="34"/>
  <c r="X459" i="34"/>
  <c r="DA459" i="34" s="1"/>
  <c r="DE459" i="34" s="1"/>
  <c r="S507" i="34"/>
  <c r="T507" i="34"/>
  <c r="U507" i="34" s="1"/>
  <c r="S511" i="34"/>
  <c r="T511" i="34"/>
  <c r="U511" i="34"/>
  <c r="T623" i="34"/>
  <c r="U623" i="34" s="1"/>
  <c r="X623" i="34"/>
  <c r="DA623" i="34" s="1"/>
  <c r="S623" i="34"/>
  <c r="T628" i="34"/>
  <c r="U628" i="34" s="1"/>
  <c r="S628" i="34"/>
  <c r="S194" i="34"/>
  <c r="T196" i="34"/>
  <c r="U196" i="34" s="1"/>
  <c r="X196" i="34" s="1"/>
  <c r="DA196" i="34" s="1"/>
  <c r="DE196" i="34" s="1"/>
  <c r="S197" i="34"/>
  <c r="S202" i="34"/>
  <c r="S249" i="34"/>
  <c r="T255" i="34"/>
  <c r="U255" i="34"/>
  <c r="S256" i="34"/>
  <c r="T257" i="34"/>
  <c r="U257" i="34" s="1"/>
  <c r="X257" i="34" s="1"/>
  <c r="DA257" i="34" s="1"/>
  <c r="T259" i="34"/>
  <c r="U259" i="34"/>
  <c r="X259" i="34" s="1"/>
  <c r="DA259" i="34" s="1"/>
  <c r="S260" i="34"/>
  <c r="T261" i="34"/>
  <c r="U261" i="34" s="1"/>
  <c r="T263" i="34"/>
  <c r="U263" i="34"/>
  <c r="X263" i="34" s="1"/>
  <c r="DA263" i="34" s="1"/>
  <c r="S264" i="34"/>
  <c r="T265" i="34"/>
  <c r="U265" i="34" s="1"/>
  <c r="X265" i="34" s="1"/>
  <c r="DA265" i="34" s="1"/>
  <c r="T299" i="34"/>
  <c r="U299" i="34" s="1"/>
  <c r="T300" i="34"/>
  <c r="U300" i="34" s="1"/>
  <c r="X300" i="34" s="1"/>
  <c r="DA300" i="34" s="1"/>
  <c r="S307" i="34"/>
  <c r="T308" i="34"/>
  <c r="U308" i="34" s="1"/>
  <c r="X308" i="34" s="1"/>
  <c r="DA308" i="34" s="1"/>
  <c r="T310" i="34"/>
  <c r="U310" i="34"/>
  <c r="X310" i="34" s="1"/>
  <c r="DA310" i="34" s="1"/>
  <c r="S311" i="34"/>
  <c r="S313" i="34"/>
  <c r="T315" i="34"/>
  <c r="U315" i="34" s="1"/>
  <c r="X315" i="34" s="1"/>
  <c r="DA315" i="34" s="1"/>
  <c r="T316" i="34"/>
  <c r="U316" i="34"/>
  <c r="X316" i="34" s="1"/>
  <c r="DA316" i="34" s="1"/>
  <c r="T318" i="34"/>
  <c r="U318" i="34" s="1"/>
  <c r="X318" i="34" s="1"/>
  <c r="DA318" i="34" s="1"/>
  <c r="T319" i="34"/>
  <c r="U319" i="34" s="1"/>
  <c r="T320" i="34"/>
  <c r="U320" i="34" s="1"/>
  <c r="X320" i="34" s="1"/>
  <c r="DA320" i="34" s="1"/>
  <c r="T322" i="34"/>
  <c r="U322" i="34"/>
  <c r="X322" i="34" s="1"/>
  <c r="DA322" i="34" s="1"/>
  <c r="T323" i="34"/>
  <c r="U323" i="34" s="1"/>
  <c r="X323" i="34" s="1"/>
  <c r="DA323" i="34" s="1"/>
  <c r="T324" i="34"/>
  <c r="U324" i="34" s="1"/>
  <c r="S365" i="34"/>
  <c r="S366" i="34"/>
  <c r="T368" i="34"/>
  <c r="U368" i="34"/>
  <c r="S369" i="34"/>
  <c r="T446" i="34"/>
  <c r="U446" i="34"/>
  <c r="X446" i="34" s="1"/>
  <c r="DA446" i="34" s="1"/>
  <c r="S449" i="34"/>
  <c r="X457" i="34"/>
  <c r="DA457" i="34" s="1"/>
  <c r="T489" i="34"/>
  <c r="U489" i="34" s="1"/>
  <c r="X489" i="34" s="1"/>
  <c r="DA489" i="34" s="1"/>
  <c r="S489" i="34"/>
  <c r="T627" i="34"/>
  <c r="U627" i="34"/>
  <c r="X627" i="34"/>
  <c r="DA627" i="34" s="1"/>
  <c r="S627" i="34"/>
  <c r="T638" i="34"/>
  <c r="U638" i="34"/>
  <c r="S638" i="34"/>
  <c r="S362" i="34"/>
  <c r="T365" i="34"/>
  <c r="U365" i="34" s="1"/>
  <c r="T369" i="34"/>
  <c r="U369" i="34"/>
  <c r="X369" i="34" s="1"/>
  <c r="DA369" i="34" s="1"/>
  <c r="S370" i="34"/>
  <c r="S371" i="34"/>
  <c r="T374" i="34"/>
  <c r="U374" i="34"/>
  <c r="T376" i="34"/>
  <c r="U376" i="34" s="1"/>
  <c r="S378" i="34"/>
  <c r="S382" i="34"/>
  <c r="S386" i="34"/>
  <c r="S390" i="34"/>
  <c r="X395" i="34"/>
  <c r="DA395" i="34"/>
  <c r="DF395" i="34" s="1"/>
  <c r="X399" i="34"/>
  <c r="DA399" i="34" s="1"/>
  <c r="S435" i="34"/>
  <c r="S436" i="34"/>
  <c r="T442" i="34"/>
  <c r="U442" i="34" s="1"/>
  <c r="X442" i="34" s="1"/>
  <c r="S444" i="34"/>
  <c r="S445" i="34"/>
  <c r="S451" i="34"/>
  <c r="T454" i="34"/>
  <c r="U454" i="34"/>
  <c r="X454" i="34" s="1"/>
  <c r="DA454" i="34" s="1"/>
  <c r="T492" i="34"/>
  <c r="U492" i="34" s="1"/>
  <c r="S493" i="34"/>
  <c r="T496" i="34"/>
  <c r="U496" i="34" s="1"/>
  <c r="T498" i="34"/>
  <c r="U498" i="34"/>
  <c r="X498" i="34" s="1"/>
  <c r="DA498" i="34" s="1"/>
  <c r="DE498" i="34" s="1"/>
  <c r="S501" i="34"/>
  <c r="T501" i="34"/>
  <c r="U501" i="34" s="1"/>
  <c r="S505" i="34"/>
  <c r="T505" i="34"/>
  <c r="U505" i="34" s="1"/>
  <c r="S509" i="34"/>
  <c r="T509" i="34"/>
  <c r="U509" i="34"/>
  <c r="S513" i="34"/>
  <c r="T513" i="34"/>
  <c r="U513" i="34"/>
  <c r="X513" i="34"/>
  <c r="DA513" i="34" s="1"/>
  <c r="S515" i="34"/>
  <c r="T515" i="34"/>
  <c r="U515" i="34"/>
  <c r="X534" i="34"/>
  <c r="DA534" i="34" s="1"/>
  <c r="DF534" i="34"/>
  <c r="T578" i="34"/>
  <c r="U578" i="34"/>
  <c r="T620" i="34"/>
  <c r="U620" i="34" s="1"/>
  <c r="X620" i="34" s="1"/>
  <c r="S620" i="34"/>
  <c r="T626" i="34"/>
  <c r="U626" i="34" s="1"/>
  <c r="W626" i="34" s="1"/>
  <c r="CZ626" i="34" s="1"/>
  <c r="S626" i="34"/>
  <c r="T629" i="34"/>
  <c r="U629" i="34" s="1"/>
  <c r="S629" i="34"/>
  <c r="S643" i="34"/>
  <c r="S647" i="34"/>
  <c r="T192" i="34"/>
  <c r="U192" i="34" s="1"/>
  <c r="S193" i="34"/>
  <c r="S198" i="34"/>
  <c r="T200" i="34"/>
  <c r="U200" i="34" s="1"/>
  <c r="X200" i="34" s="1"/>
  <c r="DA200" i="34" s="1"/>
  <c r="S201" i="34"/>
  <c r="T252" i="34"/>
  <c r="U252" i="34"/>
  <c r="T254" i="34"/>
  <c r="U254" i="34" s="1"/>
  <c r="X254" i="34" s="1"/>
  <c r="DA254" i="34" s="1"/>
  <c r="T302" i="34"/>
  <c r="U302" i="34" s="1"/>
  <c r="X302" i="34" s="1"/>
  <c r="DA302" i="34" s="1"/>
  <c r="T304" i="34"/>
  <c r="U304" i="34" s="1"/>
  <c r="X304" i="34" s="1"/>
  <c r="DA304" i="34" s="1"/>
  <c r="T306" i="34"/>
  <c r="U306" i="34" s="1"/>
  <c r="X306" i="34" s="1"/>
  <c r="DA306" i="34" s="1"/>
  <c r="S318" i="34"/>
  <c r="S329" i="34"/>
  <c r="W343" i="34"/>
  <c r="CZ343" i="34"/>
  <c r="DD343" i="34" s="1"/>
  <c r="T362" i="34"/>
  <c r="U362" i="34" s="1"/>
  <c r="S363" i="34"/>
  <c r="S364" i="34"/>
  <c r="S367" i="34"/>
  <c r="T370" i="34"/>
  <c r="U370" i="34" s="1"/>
  <c r="T372" i="34"/>
  <c r="U372" i="34" s="1"/>
  <c r="X372" i="34" s="1"/>
  <c r="DA372" i="34" s="1"/>
  <c r="T375" i="34"/>
  <c r="U375" i="34" s="1"/>
  <c r="T377" i="34"/>
  <c r="U377" i="34" s="1"/>
  <c r="X377" i="34" s="1"/>
  <c r="DA377" i="34" s="1"/>
  <c r="T378" i="34"/>
  <c r="U378" i="34" s="1"/>
  <c r="S379" i="34"/>
  <c r="T380" i="34"/>
  <c r="U380" i="34"/>
  <c r="X380" i="34" s="1"/>
  <c r="DA380" i="34" s="1"/>
  <c r="T382" i="34"/>
  <c r="U382" i="34"/>
  <c r="X382" i="34"/>
  <c r="DA382" i="34" s="1"/>
  <c r="S383" i="34"/>
  <c r="T384" i="34"/>
  <c r="U384" i="34"/>
  <c r="T386" i="34"/>
  <c r="U386" i="34" s="1"/>
  <c r="S387" i="34"/>
  <c r="T388" i="34"/>
  <c r="U388" i="34"/>
  <c r="T390" i="34"/>
  <c r="U390" i="34" s="1"/>
  <c r="S391" i="34"/>
  <c r="T392" i="34"/>
  <c r="U392" i="34" s="1"/>
  <c r="X392" i="34" s="1"/>
  <c r="DA392" i="34" s="1"/>
  <c r="S434" i="34"/>
  <c r="S439" i="34"/>
  <c r="X460" i="34"/>
  <c r="DA460" i="34" s="1"/>
  <c r="X467" i="34"/>
  <c r="DA467" i="34" s="1"/>
  <c r="DE467" i="34" s="1"/>
  <c r="T490" i="34"/>
  <c r="U490" i="34"/>
  <c r="X490" i="34" s="1"/>
  <c r="Y490" i="34" s="1"/>
  <c r="DB490" i="34" s="1"/>
  <c r="DG490" i="34" s="1"/>
  <c r="T502" i="34"/>
  <c r="U502" i="34" s="1"/>
  <c r="T555" i="34"/>
  <c r="U555" i="34" s="1"/>
  <c r="X555" i="34" s="1"/>
  <c r="DA555" i="34" s="1"/>
  <c r="S557" i="34"/>
  <c r="T557" i="34"/>
  <c r="U557" i="34" s="1"/>
  <c r="X557" i="34" s="1"/>
  <c r="DA557" i="34" s="1"/>
  <c r="S577" i="34"/>
  <c r="X592" i="34"/>
  <c r="DA592" i="34" s="1"/>
  <c r="DF592" i="34" s="1"/>
  <c r="T634" i="34"/>
  <c r="U634" i="34" s="1"/>
  <c r="X634" i="34" s="1"/>
  <c r="S634" i="34"/>
  <c r="T639" i="34"/>
  <c r="U639" i="34" s="1"/>
  <c r="X639" i="34" s="1"/>
  <c r="DA639" i="34" s="1"/>
  <c r="DF639" i="34" s="1"/>
  <c r="T642" i="34"/>
  <c r="U642" i="34" s="1"/>
  <c r="X642" i="34" s="1"/>
  <c r="DA642" i="34" s="1"/>
  <c r="S642" i="34"/>
  <c r="S431" i="34"/>
  <c r="S443" i="34"/>
  <c r="S447" i="34"/>
  <c r="S452" i="34"/>
  <c r="S453" i="34"/>
  <c r="T455" i="34"/>
  <c r="U455" i="34" s="1"/>
  <c r="X455" i="34" s="1"/>
  <c r="DA455" i="34" s="1"/>
  <c r="S470" i="34"/>
  <c r="T491" i="34"/>
  <c r="U491" i="34" s="1"/>
  <c r="X491" i="34" s="1"/>
  <c r="T494" i="34"/>
  <c r="U494" i="34"/>
  <c r="X494" i="34"/>
  <c r="DA494" i="34" s="1"/>
  <c r="S499" i="34"/>
  <c r="S500" i="34"/>
  <c r="S517" i="34"/>
  <c r="T553" i="34"/>
  <c r="U553" i="34" s="1"/>
  <c r="S554" i="34"/>
  <c r="S560" i="34"/>
  <c r="T562" i="34"/>
  <c r="U562" i="34" s="1"/>
  <c r="T563" i="34"/>
  <c r="U563" i="34" s="1"/>
  <c r="X563" i="34" s="1"/>
  <c r="T564" i="34"/>
  <c r="U564" i="34" s="1"/>
  <c r="X564" i="34" s="1"/>
  <c r="DA564" i="34" s="1"/>
  <c r="T567" i="34"/>
  <c r="U567" i="34" s="1"/>
  <c r="Y567" i="34" s="1"/>
  <c r="DB567" i="34" s="1"/>
  <c r="S644" i="34"/>
  <c r="T497" i="34"/>
  <c r="U497" i="34" s="1"/>
  <c r="T504" i="34"/>
  <c r="U504" i="34"/>
  <c r="Y504" i="34" s="1"/>
  <c r="DB504" i="34" s="1"/>
  <c r="S519" i="34"/>
  <c r="S566" i="34"/>
  <c r="T569" i="34"/>
  <c r="U569" i="34"/>
  <c r="T570" i="34"/>
  <c r="U570" i="34" s="1"/>
  <c r="T571" i="34"/>
  <c r="U571" i="34"/>
  <c r="X571" i="34" s="1"/>
  <c r="S578" i="34"/>
  <c r="T579" i="34"/>
  <c r="U579" i="34" s="1"/>
  <c r="X108" i="34"/>
  <c r="DA108" i="34" s="1"/>
  <c r="T112" i="34"/>
  <c r="U112" i="34"/>
  <c r="X119" i="34"/>
  <c r="DA119" i="34" s="1"/>
  <c r="X124" i="34"/>
  <c r="DA124" i="34"/>
  <c r="X127" i="34"/>
  <c r="DA127" i="34" s="1"/>
  <c r="X133" i="34"/>
  <c r="DA133" i="34"/>
  <c r="X237" i="34"/>
  <c r="DA237" i="34"/>
  <c r="EB55" i="34"/>
  <c r="X107" i="34"/>
  <c r="DA107" i="34" s="1"/>
  <c r="X116" i="34"/>
  <c r="DA116" i="34" s="1"/>
  <c r="S109" i="34"/>
  <c r="T111" i="34"/>
  <c r="U111" i="34"/>
  <c r="X117" i="34"/>
  <c r="DA117" i="34" s="1"/>
  <c r="EA55" i="34"/>
  <c r="EB54" i="34"/>
  <c r="EA44" i="34"/>
  <c r="EA54" i="34"/>
  <c r="EB56" i="34"/>
  <c r="T110" i="34"/>
  <c r="U110" i="34" s="1"/>
  <c r="T113" i="34"/>
  <c r="U113" i="34" s="1"/>
  <c r="T115" i="34"/>
  <c r="U115" i="34" s="1"/>
  <c r="X120" i="34"/>
  <c r="DA120" i="34" s="1"/>
  <c r="X136" i="34"/>
  <c r="DA136" i="34" s="1"/>
  <c r="X171" i="34"/>
  <c r="DA171" i="34" s="1"/>
  <c r="DE171" i="34" s="1"/>
  <c r="S178" i="34"/>
  <c r="DF235" i="34"/>
  <c r="DE235" i="34"/>
  <c r="T236" i="34"/>
  <c r="U236" i="34" s="1"/>
  <c r="S236" i="34"/>
  <c r="S240" i="34"/>
  <c r="X260" i="34"/>
  <c r="DA260" i="34"/>
  <c r="X301" i="34"/>
  <c r="DA301" i="34" s="1"/>
  <c r="EA115" i="34"/>
  <c r="EA116" i="34"/>
  <c r="EA117" i="34"/>
  <c r="X177" i="34"/>
  <c r="DA177" i="34" s="1"/>
  <c r="T183" i="34"/>
  <c r="U183" i="34" s="1"/>
  <c r="S183" i="34"/>
  <c r="T191" i="34"/>
  <c r="U191" i="34"/>
  <c r="S191" i="34"/>
  <c r="T195" i="34"/>
  <c r="U195" i="34" s="1"/>
  <c r="X195" i="34" s="1"/>
  <c r="DA195" i="34" s="1"/>
  <c r="S195" i="34"/>
  <c r="T199" i="34"/>
  <c r="U199" i="34" s="1"/>
  <c r="X199" i="34" s="1"/>
  <c r="DA199" i="34" s="1"/>
  <c r="S199" i="34"/>
  <c r="T203" i="34"/>
  <c r="U203" i="34" s="1"/>
  <c r="S203" i="34"/>
  <c r="T242" i="34"/>
  <c r="U242" i="34"/>
  <c r="T243" i="34"/>
  <c r="U243" i="34"/>
  <c r="T244" i="34"/>
  <c r="U244" i="34"/>
  <c r="T245" i="34"/>
  <c r="U245" i="34"/>
  <c r="S246" i="34"/>
  <c r="T253" i="34"/>
  <c r="U253" i="34" s="1"/>
  <c r="S253" i="34"/>
  <c r="X106" i="34"/>
  <c r="DA106" i="34" s="1"/>
  <c r="EB115" i="34"/>
  <c r="EB116" i="34"/>
  <c r="EB117" i="34"/>
  <c r="S119" i="34"/>
  <c r="S122" i="34"/>
  <c r="S124" i="34"/>
  <c r="S127" i="34"/>
  <c r="S131" i="34"/>
  <c r="S135" i="34"/>
  <c r="S139" i="34"/>
  <c r="X141" i="34"/>
  <c r="DA141" i="34"/>
  <c r="X142" i="34"/>
  <c r="DA142" i="34" s="1"/>
  <c r="X143" i="34"/>
  <c r="DA143" i="34"/>
  <c r="X146" i="34"/>
  <c r="DA146" i="34"/>
  <c r="X150" i="34"/>
  <c r="DA150" i="34"/>
  <c r="X153" i="34"/>
  <c r="DA153" i="34"/>
  <c r="W174" i="34"/>
  <c r="CZ174" i="34" s="1"/>
  <c r="DC174" i="34" s="1"/>
  <c r="W179" i="34"/>
  <c r="CZ179" i="34" s="1"/>
  <c r="T241" i="34"/>
  <c r="U241" i="34" s="1"/>
  <c r="S241" i="34"/>
  <c r="EE111" i="34"/>
  <c r="EC115" i="34"/>
  <c r="EC116" i="34"/>
  <c r="X154" i="34"/>
  <c r="DA154" i="34" s="1"/>
  <c r="X172" i="34"/>
  <c r="DA172" i="34" s="1"/>
  <c r="DE172" i="34" s="1"/>
  <c r="T176" i="34"/>
  <c r="U176" i="34" s="1"/>
  <c r="X176" i="34" s="1"/>
  <c r="DA176" i="34" s="1"/>
  <c r="T186" i="34"/>
  <c r="U186" i="34" s="1"/>
  <c r="X186" i="34" s="1"/>
  <c r="DA186" i="34" s="1"/>
  <c r="S186" i="34"/>
  <c r="T188" i="34"/>
  <c r="U188" i="34" s="1"/>
  <c r="S188" i="34"/>
  <c r="W235" i="34"/>
  <c r="CZ235" i="34" s="1"/>
  <c r="Y235" i="34"/>
  <c r="DB235" i="34"/>
  <c r="S238" i="34"/>
  <c r="T239" i="34"/>
  <c r="U239" i="34" s="1"/>
  <c r="EB179" i="34"/>
  <c r="EB180" i="34"/>
  <c r="EB181" i="34"/>
  <c r="X205" i="34"/>
  <c r="DA205" i="34" s="1"/>
  <c r="DE205" i="34" s="1"/>
  <c r="X206" i="34"/>
  <c r="DA206" i="34" s="1"/>
  <c r="X207" i="34"/>
  <c r="DA207" i="34" s="1"/>
  <c r="DE207" i="34" s="1"/>
  <c r="X209" i="34"/>
  <c r="DA209" i="34" s="1"/>
  <c r="DE209" i="34" s="1"/>
  <c r="X211" i="34"/>
  <c r="DA211" i="34" s="1"/>
  <c r="DE211" i="34" s="1"/>
  <c r="X213" i="34"/>
  <c r="DA213" i="34" s="1"/>
  <c r="DE213" i="34" s="1"/>
  <c r="X214" i="34"/>
  <c r="DA214" i="34" s="1"/>
  <c r="X215" i="34"/>
  <c r="DA215" i="34" s="1"/>
  <c r="DE215" i="34" s="1"/>
  <c r="S251" i="34"/>
  <c r="X255" i="34"/>
  <c r="DA255" i="34" s="1"/>
  <c r="X297" i="34"/>
  <c r="DA297" i="34" s="1"/>
  <c r="EE175" i="34"/>
  <c r="EC179" i="34"/>
  <c r="EC180" i="34"/>
  <c r="EC181" i="34"/>
  <c r="S237" i="34"/>
  <c r="EE237" i="34"/>
  <c r="S239" i="34"/>
  <c r="EE239" i="34"/>
  <c r="S242" i="34"/>
  <c r="EA242" i="34"/>
  <c r="S243" i="34"/>
  <c r="EA243" i="34"/>
  <c r="S244" i="34"/>
  <c r="EA244" i="34"/>
  <c r="S245" i="34"/>
  <c r="S247" i="34"/>
  <c r="X305" i="34"/>
  <c r="DA305" i="34" s="1"/>
  <c r="X311" i="34"/>
  <c r="DA311" i="34" s="1"/>
  <c r="X317" i="34"/>
  <c r="DA317" i="34" s="1"/>
  <c r="X321" i="34"/>
  <c r="DA321" i="34" s="1"/>
  <c r="EB242" i="34"/>
  <c r="EB243" i="34"/>
  <c r="S248" i="34"/>
  <c r="S250" i="34"/>
  <c r="T251" i="34"/>
  <c r="U251" i="34" s="1"/>
  <c r="X252" i="34"/>
  <c r="DA252" i="34" s="1"/>
  <c r="S254" i="34"/>
  <c r="X280" i="34"/>
  <c r="W280" i="34"/>
  <c r="X298" i="34"/>
  <c r="DA298" i="34"/>
  <c r="S299" i="34"/>
  <c r="S315" i="34"/>
  <c r="S319" i="34"/>
  <c r="S323" i="34"/>
  <c r="X359" i="34"/>
  <c r="DA359" i="34"/>
  <c r="X371" i="34"/>
  <c r="DA371" i="34"/>
  <c r="X383" i="34"/>
  <c r="DA383" i="34" s="1"/>
  <c r="X391" i="34"/>
  <c r="DA391" i="34"/>
  <c r="DF393" i="34"/>
  <c r="DE393" i="34"/>
  <c r="S257" i="34"/>
  <c r="S261" i="34"/>
  <c r="S265" i="34"/>
  <c r="S300" i="34"/>
  <c r="EE300" i="34"/>
  <c r="EE302" i="34"/>
  <c r="S305" i="34"/>
  <c r="EA305" i="34"/>
  <c r="S306" i="34"/>
  <c r="EA306" i="34"/>
  <c r="EA307" i="34"/>
  <c r="S316" i="34"/>
  <c r="S320" i="34"/>
  <c r="S324" i="34"/>
  <c r="S325" i="34"/>
  <c r="S326" i="34"/>
  <c r="X368" i="34"/>
  <c r="DA368" i="34" s="1"/>
  <c r="X267" i="34"/>
  <c r="DA267" i="34" s="1"/>
  <c r="X268" i="34"/>
  <c r="DA268" i="34" s="1"/>
  <c r="X270" i="34"/>
  <c r="DA270" i="34" s="1"/>
  <c r="X271" i="34"/>
  <c r="DA271" i="34" s="1"/>
  <c r="X272" i="34"/>
  <c r="DA272" i="34" s="1"/>
  <c r="X274" i="34"/>
  <c r="DA274" i="34" s="1"/>
  <c r="X275" i="34"/>
  <c r="DA275" i="34" s="1"/>
  <c r="X276" i="34"/>
  <c r="DA276" i="34" s="1"/>
  <c r="X278" i="34"/>
  <c r="DA278" i="34" s="1"/>
  <c r="X279" i="34"/>
  <c r="W279" i="34" s="1"/>
  <c r="EB305" i="34"/>
  <c r="EB306" i="34"/>
  <c r="EB307" i="34"/>
  <c r="S309" i="34"/>
  <c r="S312" i="34"/>
  <c r="S314" i="34"/>
  <c r="S317" i="34"/>
  <c r="S321" i="34"/>
  <c r="T325" i="34"/>
  <c r="U325" i="34" s="1"/>
  <c r="S327" i="34"/>
  <c r="S328" i="34"/>
  <c r="T328" i="34"/>
  <c r="U328" i="34" s="1"/>
  <c r="DF343" i="34"/>
  <c r="DE343" i="34"/>
  <c r="X374" i="34"/>
  <c r="DA374" i="34" s="1"/>
  <c r="EE301" i="34"/>
  <c r="EC305" i="34"/>
  <c r="EC306" i="34"/>
  <c r="W327" i="34"/>
  <c r="CZ327" i="34" s="1"/>
  <c r="X370" i="34"/>
  <c r="DA370" i="34" s="1"/>
  <c r="X384" i="34"/>
  <c r="DA384" i="34" s="1"/>
  <c r="X388" i="34"/>
  <c r="DA388" i="34" s="1"/>
  <c r="X332" i="34"/>
  <c r="DA332" i="34" s="1"/>
  <c r="X333" i="34"/>
  <c r="DA333" i="34" s="1"/>
  <c r="X334" i="34"/>
  <c r="DA334" i="34" s="1"/>
  <c r="X335" i="34"/>
  <c r="DA335" i="34" s="1"/>
  <c r="X336" i="34"/>
  <c r="DA336" i="34" s="1"/>
  <c r="X337" i="34"/>
  <c r="Y337" i="34" s="1"/>
  <c r="DB337" i="34" s="1"/>
  <c r="X340" i="34"/>
  <c r="DA340" i="34" s="1"/>
  <c r="X341" i="34"/>
  <c r="DA341" i="34" s="1"/>
  <c r="Y343" i="34"/>
  <c r="DB343" i="34" s="1"/>
  <c r="T364" i="34"/>
  <c r="U364" i="34" s="1"/>
  <c r="T366" i="34"/>
  <c r="U366" i="34" s="1"/>
  <c r="T373" i="34"/>
  <c r="U373" i="34" s="1"/>
  <c r="S374" i="34"/>
  <c r="S376" i="34"/>
  <c r="T381" i="34"/>
  <c r="U381" i="34" s="1"/>
  <c r="T385" i="34"/>
  <c r="U385" i="34" s="1"/>
  <c r="T389" i="34"/>
  <c r="U389" i="34" s="1"/>
  <c r="X424" i="34"/>
  <c r="DA424" i="34" s="1"/>
  <c r="T426" i="34"/>
  <c r="U426" i="34" s="1"/>
  <c r="S426" i="34"/>
  <c r="EE363" i="34"/>
  <c r="EE365" i="34"/>
  <c r="EA368" i="34"/>
  <c r="EA369" i="34"/>
  <c r="EA370" i="34"/>
  <c r="X407" i="34"/>
  <c r="DA407" i="34" s="1"/>
  <c r="EA433" i="34"/>
  <c r="EB432" i="34"/>
  <c r="EC431" i="34"/>
  <c r="EE427" i="34"/>
  <c r="EA432" i="34"/>
  <c r="EC433" i="34"/>
  <c r="EB431" i="34"/>
  <c r="EB433" i="34"/>
  <c r="EA431" i="34"/>
  <c r="EE426" i="34"/>
  <c r="EC432" i="34"/>
  <c r="EE428" i="34"/>
  <c r="X422" i="34"/>
  <c r="DA422" i="34" s="1"/>
  <c r="X423" i="34"/>
  <c r="DA423" i="34" s="1"/>
  <c r="EB368" i="34"/>
  <c r="EB369" i="34"/>
  <c r="EB370" i="34"/>
  <c r="X400" i="34"/>
  <c r="DA400" i="34"/>
  <c r="X401" i="34"/>
  <c r="DA401" i="34" s="1"/>
  <c r="X403" i="34"/>
  <c r="DA403" i="34" s="1"/>
  <c r="X404" i="34"/>
  <c r="DA404" i="34"/>
  <c r="S427" i="34"/>
  <c r="T427" i="34"/>
  <c r="U427" i="34" s="1"/>
  <c r="EE364" i="34"/>
  <c r="EC368" i="34"/>
  <c r="EC369" i="34"/>
  <c r="S429" i="34"/>
  <c r="T429" i="34"/>
  <c r="U429" i="34" s="1"/>
  <c r="T431" i="34"/>
  <c r="U431" i="34" s="1"/>
  <c r="DF465" i="34"/>
  <c r="T470" i="34"/>
  <c r="U470" i="34" s="1"/>
  <c r="X495" i="34"/>
  <c r="DA495" i="34"/>
  <c r="T425" i="34"/>
  <c r="U425" i="34" s="1"/>
  <c r="T428" i="34"/>
  <c r="U428" i="34"/>
  <c r="S430" i="34"/>
  <c r="S433" i="34"/>
  <c r="T441" i="34"/>
  <c r="U441" i="34"/>
  <c r="T443" i="34"/>
  <c r="U443" i="34" s="1"/>
  <c r="T445" i="34"/>
  <c r="U445" i="34"/>
  <c r="T447" i="34"/>
  <c r="U447" i="34" s="1"/>
  <c r="T449" i="34"/>
  <c r="U449" i="34"/>
  <c r="T451" i="34"/>
  <c r="U451" i="34" s="1"/>
  <c r="X488" i="34"/>
  <c r="DA488" i="34" s="1"/>
  <c r="X496" i="34"/>
  <c r="DA496" i="34"/>
  <c r="T440" i="34"/>
  <c r="U440" i="34" s="1"/>
  <c r="S440" i="34"/>
  <c r="X444" i="34"/>
  <c r="DA444" i="34" s="1"/>
  <c r="S425" i="34"/>
  <c r="S428" i="34"/>
  <c r="T430" i="34"/>
  <c r="U430" i="34" s="1"/>
  <c r="T432" i="34"/>
  <c r="U432" i="34" s="1"/>
  <c r="T433" i="34"/>
  <c r="U433" i="34" s="1"/>
  <c r="T435" i="34"/>
  <c r="U435" i="34" s="1"/>
  <c r="T437" i="34"/>
  <c r="U437" i="34" s="1"/>
  <c r="T493" i="34"/>
  <c r="U493" i="34"/>
  <c r="X493" i="34" s="1"/>
  <c r="DA493" i="34" s="1"/>
  <c r="X515" i="34"/>
  <c r="DA515" i="34" s="1"/>
  <c r="X519" i="34"/>
  <c r="DA519" i="34" s="1"/>
  <c r="X523" i="34"/>
  <c r="DA523" i="34"/>
  <c r="DE523" i="34" s="1"/>
  <c r="X526" i="34"/>
  <c r="DA526" i="34" s="1"/>
  <c r="X530" i="34"/>
  <c r="DA530" i="34" s="1"/>
  <c r="X573" i="34"/>
  <c r="DA573" i="34" s="1"/>
  <c r="DF573" i="34" s="1"/>
  <c r="T506" i="34"/>
  <c r="U506" i="34"/>
  <c r="T508" i="34"/>
  <c r="U508" i="34" s="1"/>
  <c r="T510" i="34"/>
  <c r="U510" i="34"/>
  <c r="X510" i="34" s="1"/>
  <c r="DA510" i="34" s="1"/>
  <c r="X522" i="34"/>
  <c r="DA522" i="34" s="1"/>
  <c r="X527" i="34"/>
  <c r="DA527" i="34"/>
  <c r="S490" i="34"/>
  <c r="EE490" i="34"/>
  <c r="EC495" i="34"/>
  <c r="EB496" i="34"/>
  <c r="W500" i="34"/>
  <c r="CZ500" i="34" s="1"/>
  <c r="S502" i="34"/>
  <c r="W503" i="34"/>
  <c r="CZ503" i="34" s="1"/>
  <c r="EA496" i="34"/>
  <c r="EB495" i="34"/>
  <c r="EB497" i="34"/>
  <c r="EC496" i="34"/>
  <c r="S495" i="34"/>
  <c r="S496" i="34"/>
  <c r="Y500" i="34"/>
  <c r="DB500" i="34" s="1"/>
  <c r="DH500" i="34" s="1"/>
  <c r="Y503" i="34"/>
  <c r="DB503" i="34" s="1"/>
  <c r="DH503" i="34" s="1"/>
  <c r="T512" i="34"/>
  <c r="U512" i="34" s="1"/>
  <c r="S512" i="34"/>
  <c r="T514" i="34"/>
  <c r="U514" i="34"/>
  <c r="S514" i="34"/>
  <c r="T516" i="34"/>
  <c r="U516" i="34" s="1"/>
  <c r="S516" i="34"/>
  <c r="T518" i="34"/>
  <c r="U518" i="34" s="1"/>
  <c r="S518" i="34"/>
  <c r="X520" i="34"/>
  <c r="W520" i="34" s="1"/>
  <c r="X524" i="34"/>
  <c r="DA524" i="34" s="1"/>
  <c r="DE524" i="34" s="1"/>
  <c r="X525" i="34"/>
  <c r="W525" i="34" s="1"/>
  <c r="X531" i="34"/>
  <c r="DA531" i="34" s="1"/>
  <c r="X528" i="34"/>
  <c r="DA528" i="34" s="1"/>
  <c r="DE528" i="34" s="1"/>
  <c r="X584" i="34"/>
  <c r="DA584" i="34" s="1"/>
  <c r="DE584" i="34" s="1"/>
  <c r="X574" i="34"/>
  <c r="DA574" i="34" s="1"/>
  <c r="X587" i="34"/>
  <c r="DA587" i="34"/>
  <c r="DF587" i="34" s="1"/>
  <c r="T554" i="34"/>
  <c r="U554" i="34"/>
  <c r="T556" i="34"/>
  <c r="U556" i="34" s="1"/>
  <c r="Y556" i="34" s="1"/>
  <c r="DB556" i="34" s="1"/>
  <c r="T558" i="34"/>
  <c r="U558" i="34"/>
  <c r="T561" i="34"/>
  <c r="U561" i="34" s="1"/>
  <c r="W583" i="34"/>
  <c r="CZ583" i="34" s="1"/>
  <c r="T559" i="34"/>
  <c r="U559" i="34" s="1"/>
  <c r="T560" i="34"/>
  <c r="U560" i="34" s="1"/>
  <c r="T572" i="34"/>
  <c r="U572" i="34" s="1"/>
  <c r="X585" i="34"/>
  <c r="DA585" i="34" s="1"/>
  <c r="X590" i="34"/>
  <c r="W590" i="34" s="1"/>
  <c r="X533" i="34"/>
  <c r="DA533" i="34" s="1"/>
  <c r="X551" i="34"/>
  <c r="Y551" i="34" s="1"/>
  <c r="DB551" i="34" s="1"/>
  <c r="X552" i="34"/>
  <c r="DA552" i="34" s="1"/>
  <c r="S559" i="34"/>
  <c r="EA559" i="34"/>
  <c r="EC560" i="34"/>
  <c r="S561" i="34"/>
  <c r="S563" i="34"/>
  <c r="S571" i="34"/>
  <c r="S575" i="34"/>
  <c r="T577" i="34"/>
  <c r="U577" i="34" s="1"/>
  <c r="X577" i="34" s="1"/>
  <c r="T581" i="34"/>
  <c r="U581" i="34" s="1"/>
  <c r="S558" i="34"/>
  <c r="EB559" i="34"/>
  <c r="T566" i="34"/>
  <c r="U566" i="34" s="1"/>
  <c r="Y566" i="34" s="1"/>
  <c r="DB566" i="34" s="1"/>
  <c r="T568" i="34"/>
  <c r="U568" i="34" s="1"/>
  <c r="X568" i="34" s="1"/>
  <c r="DA568" i="34" s="1"/>
  <c r="T576" i="34"/>
  <c r="U576" i="34" s="1"/>
  <c r="T580" i="34"/>
  <c r="U580" i="34" s="1"/>
  <c r="X589" i="34"/>
  <c r="DA589" i="34" s="1"/>
  <c r="X593" i="34"/>
  <c r="DA593" i="34" s="1"/>
  <c r="DF593" i="34" s="1"/>
  <c r="X615" i="34"/>
  <c r="DA615" i="34" s="1"/>
  <c r="EE554" i="34"/>
  <c r="EE555" i="34"/>
  <c r="EE556" i="34"/>
  <c r="EC559" i="34"/>
  <c r="EA560" i="34"/>
  <c r="EB561" i="34"/>
  <c r="S564" i="34"/>
  <c r="S572" i="34"/>
  <c r="S579" i="34"/>
  <c r="S583" i="34"/>
  <c r="T621" i="34"/>
  <c r="U621" i="34" s="1"/>
  <c r="S621" i="34"/>
  <c r="S576" i="34"/>
  <c r="S580" i="34"/>
  <c r="X598" i="34"/>
  <c r="DA598" i="34"/>
  <c r="DE598" i="34" s="1"/>
  <c r="X595" i="34"/>
  <c r="DA595" i="34"/>
  <c r="T619" i="34"/>
  <c r="U619" i="34"/>
  <c r="X619" i="34" s="1"/>
  <c r="DA619" i="34" s="1"/>
  <c r="EE619" i="34"/>
  <c r="T622" i="34"/>
  <c r="U622" i="34" s="1"/>
  <c r="X628" i="34"/>
  <c r="DA628" i="34" s="1"/>
  <c r="DF628" i="34" s="1"/>
  <c r="X624" i="34"/>
  <c r="DA624" i="34" s="1"/>
  <c r="DE624" i="34" s="1"/>
  <c r="T625" i="34"/>
  <c r="U625" i="34" s="1"/>
  <c r="S625" i="34"/>
  <c r="X626" i="34"/>
  <c r="S631" i="34"/>
  <c r="T631" i="34"/>
  <c r="U631" i="34"/>
  <c r="DF645" i="34"/>
  <c r="DE645" i="34"/>
  <c r="EA626" i="34"/>
  <c r="EB625" i="34"/>
  <c r="EC624" i="34"/>
  <c r="EE620" i="34"/>
  <c r="EA625" i="34"/>
  <c r="EB624" i="34"/>
  <c r="EE621" i="34"/>
  <c r="EC626" i="34"/>
  <c r="EA624" i="34"/>
  <c r="T618" i="34"/>
  <c r="U618" i="34" s="1"/>
  <c r="X618" i="34" s="1"/>
  <c r="DA618" i="34" s="1"/>
  <c r="S622" i="34"/>
  <c r="S624" i="34"/>
  <c r="T641" i="34"/>
  <c r="U641" i="34" s="1"/>
  <c r="X644" i="34"/>
  <c r="T632" i="34"/>
  <c r="U632" i="34" s="1"/>
  <c r="S632" i="34"/>
  <c r="Y633" i="34"/>
  <c r="DB633" i="34" s="1"/>
  <c r="T637" i="34"/>
  <c r="U637" i="34"/>
  <c r="W640" i="34"/>
  <c r="CZ640" i="34" s="1"/>
  <c r="DC640" i="34" s="1"/>
  <c r="S635" i="34"/>
  <c r="S637" i="34"/>
  <c r="S639" i="34"/>
  <c r="S641" i="34"/>
  <c r="T646" i="34"/>
  <c r="U646" i="34" s="1"/>
  <c r="S646" i="34"/>
  <c r="X653" i="34"/>
  <c r="DA653" i="34"/>
  <c r="T643" i="34"/>
  <c r="U643" i="34" s="1"/>
  <c r="W645" i="34"/>
  <c r="CZ645" i="34"/>
  <c r="Y645" i="34"/>
  <c r="DB645" i="34" s="1"/>
  <c r="Y647" i="34"/>
  <c r="DB647" i="34" s="1"/>
  <c r="X649" i="34"/>
  <c r="DA649" i="34" s="1"/>
  <c r="S648" i="34"/>
  <c r="X650" i="34"/>
  <c r="W650" i="34" s="1"/>
  <c r="DA650" i="34"/>
  <c r="Y654" i="34"/>
  <c r="DB654" i="34"/>
  <c r="X658" i="34"/>
  <c r="DA658" i="34" s="1"/>
  <c r="X662" i="34"/>
  <c r="DA662" i="34"/>
  <c r="DF662" i="34" s="1"/>
  <c r="W655" i="34"/>
  <c r="CZ655" i="34" s="1"/>
  <c r="X659" i="34"/>
  <c r="Y659" i="34" s="1"/>
  <c r="X657" i="34"/>
  <c r="Y657" i="34" s="1"/>
  <c r="Y149" i="34"/>
  <c r="DB149" i="34" s="1"/>
  <c r="DF463" i="34"/>
  <c r="DF461" i="34"/>
  <c r="DC456" i="34"/>
  <c r="Y238" i="34"/>
  <c r="DB238" i="34" s="1"/>
  <c r="W238" i="34"/>
  <c r="CZ238" i="34" s="1"/>
  <c r="DD238" i="34" s="1"/>
  <c r="W659" i="34"/>
  <c r="CZ659" i="34" s="1"/>
  <c r="DD659" i="34" s="1"/>
  <c r="Y615" i="34"/>
  <c r="DB615" i="34" s="1"/>
  <c r="DB657" i="34"/>
  <c r="DB658" i="34"/>
  <c r="Y653" i="34"/>
  <c r="DB653" i="34" s="1"/>
  <c r="DH653" i="34" s="1"/>
  <c r="W657" i="34"/>
  <c r="CZ657" i="34"/>
  <c r="DD657" i="34" s="1"/>
  <c r="DB659" i="34"/>
  <c r="DH659" i="34" s="1"/>
  <c r="Y662" i="34"/>
  <c r="DB662" i="34" s="1"/>
  <c r="CZ650" i="34"/>
  <c r="W653" i="34"/>
  <c r="CZ653" i="34"/>
  <c r="W615" i="34"/>
  <c r="CZ615" i="34" s="1"/>
  <c r="W662" i="34"/>
  <c r="CZ662" i="34" s="1"/>
  <c r="DD662" i="34" s="1"/>
  <c r="Y650" i="34"/>
  <c r="DB650" i="34" s="1"/>
  <c r="Y598" i="34"/>
  <c r="DB598" i="34" s="1"/>
  <c r="W593" i="34"/>
  <c r="CZ593" i="34" s="1"/>
  <c r="DD593" i="34" s="1"/>
  <c r="Y593" i="34"/>
  <c r="DB593" i="34" s="1"/>
  <c r="W585" i="34"/>
  <c r="CZ585" i="34" s="1"/>
  <c r="DC585" i="34" s="1"/>
  <c r="Y585" i="34"/>
  <c r="DB585" i="34"/>
  <c r="DH585" i="34" s="1"/>
  <c r="W595" i="34"/>
  <c r="CZ595" i="34" s="1"/>
  <c r="W589" i="34"/>
  <c r="CZ589" i="34" s="1"/>
  <c r="DC589" i="34" s="1"/>
  <c r="Y590" i="34"/>
  <c r="DB590" i="34" s="1"/>
  <c r="Y584" i="34"/>
  <c r="DB584" i="34" s="1"/>
  <c r="W592" i="34"/>
  <c r="CZ592" i="34" s="1"/>
  <c r="W598" i="34"/>
  <c r="CZ598" i="34" s="1"/>
  <c r="W587" i="34"/>
  <c r="CZ587" i="34" s="1"/>
  <c r="W584" i="34"/>
  <c r="CZ584" i="34" s="1"/>
  <c r="DC584" i="34" s="1"/>
  <c r="W552" i="34"/>
  <c r="CZ552" i="34" s="1"/>
  <c r="Y552" i="34"/>
  <c r="DB552" i="34" s="1"/>
  <c r="Y592" i="34"/>
  <c r="DB592" i="34" s="1"/>
  <c r="W596" i="34"/>
  <c r="CZ596" i="34" s="1"/>
  <c r="DC596" i="34" s="1"/>
  <c r="CZ590" i="34"/>
  <c r="Y587" i="34"/>
  <c r="DB587" i="34"/>
  <c r="W551" i="34"/>
  <c r="CZ551" i="34"/>
  <c r="Y595" i="34"/>
  <c r="DB595" i="34" s="1"/>
  <c r="DG595" i="34" s="1"/>
  <c r="Y522" i="34"/>
  <c r="DB522" i="34" s="1"/>
  <c r="Y523" i="34"/>
  <c r="DB523" i="34" s="1"/>
  <c r="DH523" i="34" s="1"/>
  <c r="W523" i="34"/>
  <c r="CZ523" i="34" s="1"/>
  <c r="W522" i="34"/>
  <c r="CZ522" i="34" s="1"/>
  <c r="W524" i="34"/>
  <c r="CZ524" i="34" s="1"/>
  <c r="DC524" i="34" s="1"/>
  <c r="CZ525" i="34"/>
  <c r="DC525" i="34" s="1"/>
  <c r="W527" i="34"/>
  <c r="CZ527" i="34" s="1"/>
  <c r="Y530" i="34"/>
  <c r="DB530" i="34"/>
  <c r="DH530" i="34" s="1"/>
  <c r="Y528" i="34"/>
  <c r="DB528" i="34" s="1"/>
  <c r="Y531" i="34"/>
  <c r="DB531" i="34" s="1"/>
  <c r="DG531" i="34" s="1"/>
  <c r="Y525" i="34"/>
  <c r="DB525" i="34"/>
  <c r="DH525" i="34" s="1"/>
  <c r="CZ520" i="34"/>
  <c r="Y527" i="34"/>
  <c r="DB527" i="34" s="1"/>
  <c r="W526" i="34"/>
  <c r="CZ526" i="34"/>
  <c r="DD526" i="34" s="1"/>
  <c r="W530" i="34"/>
  <c r="CZ530" i="34" s="1"/>
  <c r="Y526" i="34"/>
  <c r="DB526" i="34" s="1"/>
  <c r="W488" i="34"/>
  <c r="CZ488" i="34" s="1"/>
  <c r="DC488" i="34" s="1"/>
  <c r="DD488" i="34"/>
  <c r="Y488" i="34"/>
  <c r="DB488" i="34" s="1"/>
  <c r="W528" i="34"/>
  <c r="CZ528" i="34" s="1"/>
  <c r="DD528" i="34" s="1"/>
  <c r="W534" i="34"/>
  <c r="CZ534" i="34" s="1"/>
  <c r="DD534" i="34" s="1"/>
  <c r="W531" i="34"/>
  <c r="CZ531" i="34" s="1"/>
  <c r="Y534" i="34"/>
  <c r="DB534" i="34" s="1"/>
  <c r="DH534" i="34"/>
  <c r="W486" i="34"/>
  <c r="CZ486" i="34" s="1"/>
  <c r="W533" i="34"/>
  <c r="CZ533" i="34"/>
  <c r="DD533" i="34" s="1"/>
  <c r="Y524" i="34"/>
  <c r="DB524" i="34" s="1"/>
  <c r="DG524" i="34" s="1"/>
  <c r="Y486" i="34"/>
  <c r="DB486" i="34"/>
  <c r="DG486" i="34" s="1"/>
  <c r="Y533" i="34"/>
  <c r="DB533" i="34" s="1"/>
  <c r="DF459" i="34"/>
  <c r="W422" i="34"/>
  <c r="CZ422" i="34" s="1"/>
  <c r="DD422" i="34" s="1"/>
  <c r="W461" i="34"/>
  <c r="CZ461" i="34"/>
  <c r="W467" i="34"/>
  <c r="CZ467" i="34" s="1"/>
  <c r="Y467" i="34"/>
  <c r="DB467" i="34" s="1"/>
  <c r="W468" i="34"/>
  <c r="CZ468" i="34"/>
  <c r="Y468" i="34"/>
  <c r="DB468" i="34"/>
  <c r="W423" i="34"/>
  <c r="CZ423" i="34"/>
  <c r="DC423" i="34" s="1"/>
  <c r="Y463" i="34"/>
  <c r="DB463" i="34" s="1"/>
  <c r="Y465" i="34"/>
  <c r="DB465" i="34" s="1"/>
  <c r="Y461" i="34"/>
  <c r="DB461" i="34" s="1"/>
  <c r="Y464" i="34"/>
  <c r="DB464" i="34" s="1"/>
  <c r="Y422" i="34"/>
  <c r="DB422" i="34" s="1"/>
  <c r="DG422" i="34" s="1"/>
  <c r="Y424" i="34"/>
  <c r="DB424" i="34"/>
  <c r="DH424" i="34" s="1"/>
  <c r="Y460" i="34"/>
  <c r="DB460" i="34" s="1"/>
  <c r="Y459" i="34"/>
  <c r="DB459" i="34" s="1"/>
  <c r="DG459" i="34" s="1"/>
  <c r="W464" i="34"/>
  <c r="CZ464" i="34"/>
  <c r="W424" i="34"/>
  <c r="CZ424" i="34"/>
  <c r="W459" i="34"/>
  <c r="CZ459" i="34" s="1"/>
  <c r="W457" i="34"/>
  <c r="CZ457" i="34"/>
  <c r="DC457" i="34" s="1"/>
  <c r="W463" i="34"/>
  <c r="CZ463" i="34" s="1"/>
  <c r="DC463" i="34" s="1"/>
  <c r="W465" i="34"/>
  <c r="CZ465" i="34" s="1"/>
  <c r="DD465" i="34" s="1"/>
  <c r="W460" i="34"/>
  <c r="CZ460" i="34" s="1"/>
  <c r="Y423" i="34"/>
  <c r="DB423" i="34" s="1"/>
  <c r="DH423" i="34" s="1"/>
  <c r="Y457" i="34"/>
  <c r="DB457" i="34" s="1"/>
  <c r="DG457" i="34" s="1"/>
  <c r="Y456" i="34"/>
  <c r="DB456" i="34"/>
  <c r="W359" i="34"/>
  <c r="CZ359" i="34" s="1"/>
  <c r="W393" i="34"/>
  <c r="CZ393" i="34" s="1"/>
  <c r="Y407" i="34"/>
  <c r="DB407" i="34" s="1"/>
  <c r="W399" i="34"/>
  <c r="CZ399" i="34" s="1"/>
  <c r="DD399" i="34" s="1"/>
  <c r="W396" i="34"/>
  <c r="CZ396" i="34" s="1"/>
  <c r="Y401" i="34"/>
  <c r="DB401" i="34" s="1"/>
  <c r="W403" i="34"/>
  <c r="CZ403" i="34" s="1"/>
  <c r="W395" i="34"/>
  <c r="CZ395" i="34" s="1"/>
  <c r="Y396" i="34"/>
  <c r="DB396" i="34" s="1"/>
  <c r="W404" i="34"/>
  <c r="CZ404" i="34" s="1"/>
  <c r="DD404" i="34"/>
  <c r="W400" i="34"/>
  <c r="CZ400" i="34" s="1"/>
  <c r="Y393" i="34"/>
  <c r="DB393" i="34" s="1"/>
  <c r="Y403" i="34"/>
  <c r="DB403" i="34" s="1"/>
  <c r="Y395" i="34"/>
  <c r="DB395" i="34" s="1"/>
  <c r="Y359" i="34"/>
  <c r="DB359" i="34" s="1"/>
  <c r="Y404" i="34"/>
  <c r="DB404" i="34" s="1"/>
  <c r="Y400" i="34"/>
  <c r="DB400" i="34" s="1"/>
  <c r="W401" i="34"/>
  <c r="CZ401" i="34" s="1"/>
  <c r="Y399" i="34"/>
  <c r="DB399" i="34" s="1"/>
  <c r="Y341" i="34"/>
  <c r="DB341" i="34" s="1"/>
  <c r="Y334" i="34"/>
  <c r="DB334" i="34" s="1"/>
  <c r="Y333" i="34"/>
  <c r="DB333" i="34" s="1"/>
  <c r="DH333" i="34" s="1"/>
  <c r="DC343" i="34"/>
  <c r="Y335" i="34"/>
  <c r="DB335" i="34" s="1"/>
  <c r="DG335" i="34" s="1"/>
  <c r="Y298" i="34"/>
  <c r="DB298" i="34" s="1"/>
  <c r="Y306" i="34"/>
  <c r="DB306" i="34" s="1"/>
  <c r="DG306" i="34"/>
  <c r="W340" i="34"/>
  <c r="CZ340" i="34" s="1"/>
  <c r="W332" i="34"/>
  <c r="CZ332" i="34" s="1"/>
  <c r="W335" i="34"/>
  <c r="CZ335" i="34" s="1"/>
  <c r="W341" i="34"/>
  <c r="CZ341" i="34" s="1"/>
  <c r="W333" i="34"/>
  <c r="CZ333" i="34" s="1"/>
  <c r="W298" i="34"/>
  <c r="CZ298" i="34" s="1"/>
  <c r="DC298" i="34" s="1"/>
  <c r="Y297" i="34"/>
  <c r="DB297" i="34"/>
  <c r="DG297" i="34" s="1"/>
  <c r="W336" i="34"/>
  <c r="CZ336" i="34" s="1"/>
  <c r="W297" i="34"/>
  <c r="CZ297" i="34" s="1"/>
  <c r="DD297" i="34" s="1"/>
  <c r="W334" i="34"/>
  <c r="CZ334" i="34"/>
  <c r="W337" i="34"/>
  <c r="CZ337" i="34" s="1"/>
  <c r="W278" i="34"/>
  <c r="CZ278" i="34" s="1"/>
  <c r="W274" i="34"/>
  <c r="CZ274" i="34" s="1"/>
  <c r="W270" i="34"/>
  <c r="CZ270" i="34" s="1"/>
  <c r="Y276" i="34"/>
  <c r="DB276" i="34" s="1"/>
  <c r="Y268" i="34"/>
  <c r="DB268" i="34" s="1"/>
  <c r="Y274" i="34"/>
  <c r="DB274" i="34" s="1"/>
  <c r="Y279" i="34"/>
  <c r="Y271" i="34"/>
  <c r="DB271" i="34" s="1"/>
  <c r="W276" i="34"/>
  <c r="CZ276" i="34" s="1"/>
  <c r="W272" i="34"/>
  <c r="CZ272" i="34" s="1"/>
  <c r="W268" i="34"/>
  <c r="CZ268" i="34" s="1"/>
  <c r="Y280" i="34"/>
  <c r="Y272" i="34"/>
  <c r="DB272" i="34" s="1"/>
  <c r="W275" i="34"/>
  <c r="CZ275" i="34" s="1"/>
  <c r="W271" i="34"/>
  <c r="CZ271" i="34" s="1"/>
  <c r="W267" i="34"/>
  <c r="CZ267" i="34" s="1"/>
  <c r="Y278" i="34"/>
  <c r="DB278" i="34" s="1"/>
  <c r="Y270" i="34"/>
  <c r="DB270" i="34" s="1"/>
  <c r="Y275" i="34"/>
  <c r="DB275" i="34" s="1"/>
  <c r="Y267" i="34"/>
  <c r="DB267" i="34" s="1"/>
  <c r="W218" i="34"/>
  <c r="CZ218" i="34" s="1"/>
  <c r="Y209" i="34"/>
  <c r="DB209" i="34" s="1"/>
  <c r="DH209" i="34" s="1"/>
  <c r="W211" i="34"/>
  <c r="CZ211" i="34" s="1"/>
  <c r="DD211" i="34" s="1"/>
  <c r="W214" i="34"/>
  <c r="CZ214" i="34" s="1"/>
  <c r="W172" i="34"/>
  <c r="CZ172" i="34" s="1"/>
  <c r="DC172" i="34" s="1"/>
  <c r="W171" i="34"/>
  <c r="CZ171" i="34" s="1"/>
  <c r="W215" i="34"/>
  <c r="CZ215" i="34" s="1"/>
  <c r="DC215" i="34" s="1"/>
  <c r="W206" i="34"/>
  <c r="CZ206" i="34" s="1"/>
  <c r="W210" i="34"/>
  <c r="CZ210" i="34" s="1"/>
  <c r="DC210" i="34" s="1"/>
  <c r="Y214" i="34"/>
  <c r="DB214" i="34" s="1"/>
  <c r="DG214" i="34" s="1"/>
  <c r="Y206" i="34"/>
  <c r="DB206" i="34" s="1"/>
  <c r="DG206" i="34" s="1"/>
  <c r="Y172" i="34"/>
  <c r="DB172" i="34" s="1"/>
  <c r="DG172" i="34" s="1"/>
  <c r="Y171" i="34"/>
  <c r="DB171" i="34" s="1"/>
  <c r="W212" i="34"/>
  <c r="CZ212" i="34" s="1"/>
  <c r="DD212" i="34" s="1"/>
  <c r="W209" i="34"/>
  <c r="CZ209" i="34" s="1"/>
  <c r="DC209" i="34" s="1"/>
  <c r="Y211" i="34"/>
  <c r="DB211" i="34" s="1"/>
  <c r="DG211" i="34" s="1"/>
  <c r="Y204" i="34"/>
  <c r="DB204" i="34" s="1"/>
  <c r="DG204" i="34" s="1"/>
  <c r="Y147" i="34"/>
  <c r="DB147" i="34"/>
  <c r="DF149" i="34"/>
  <c r="W108" i="34"/>
  <c r="CZ108" i="34" s="1"/>
  <c r="W153" i="34"/>
  <c r="CZ153" i="34" s="1"/>
  <c r="Y107" i="34"/>
  <c r="DB107" i="34"/>
  <c r="Y124" i="34"/>
  <c r="DB124" i="34" s="1"/>
  <c r="Y108" i="34"/>
  <c r="DB108" i="34" s="1"/>
  <c r="W143" i="34"/>
  <c r="CZ143" i="34" s="1"/>
  <c r="W149" i="34"/>
  <c r="CZ149" i="34" s="1"/>
  <c r="Y153" i="34"/>
  <c r="DB153" i="34" s="1"/>
  <c r="DH153" i="34" s="1"/>
  <c r="W107" i="34"/>
  <c r="CZ107" i="34"/>
  <c r="W150" i="34"/>
  <c r="CZ150" i="34"/>
  <c r="W146" i="34"/>
  <c r="CZ146" i="34"/>
  <c r="Y143" i="34"/>
  <c r="DB143" i="34"/>
  <c r="DG143" i="34" s="1"/>
  <c r="Y150" i="34"/>
  <c r="DB150" i="34" s="1"/>
  <c r="Y154" i="34"/>
  <c r="DB154" i="34"/>
  <c r="DG154" i="34" s="1"/>
  <c r="W141" i="34"/>
  <c r="CZ141" i="34" s="1"/>
  <c r="W142" i="34"/>
  <c r="CZ142" i="34" s="1"/>
  <c r="W106" i="34"/>
  <c r="CZ106" i="34"/>
  <c r="Y141" i="34"/>
  <c r="DB141" i="34" s="1"/>
  <c r="Y142" i="34"/>
  <c r="DB142" i="34" s="1"/>
  <c r="Y106" i="34"/>
  <c r="DB106" i="34"/>
  <c r="W154" i="34"/>
  <c r="CZ154" i="34" s="1"/>
  <c r="Y146" i="34"/>
  <c r="DB146" i="34"/>
  <c r="W147" i="34"/>
  <c r="CZ147" i="34" s="1"/>
  <c r="Y446" i="34"/>
  <c r="DB446" i="34" s="1"/>
  <c r="W196" i="34"/>
  <c r="CZ196" i="34" s="1"/>
  <c r="DC196" i="34" s="1"/>
  <c r="DA248" i="34"/>
  <c r="Y248" i="34"/>
  <c r="DB248" i="34" s="1"/>
  <c r="DF454" i="34"/>
  <c r="W454" i="34"/>
  <c r="CZ454" i="34" s="1"/>
  <c r="DA442" i="34"/>
  <c r="DE442" i="34" s="1"/>
  <c r="Y442" i="34"/>
  <c r="DB442" i="34" s="1"/>
  <c r="W639" i="34"/>
  <c r="CZ639" i="34" s="1"/>
  <c r="DE592" i="34"/>
  <c r="Y555" i="34"/>
  <c r="DB555" i="34" s="1"/>
  <c r="DE534" i="34"/>
  <c r="Y515" i="34"/>
  <c r="DB515" i="34" s="1"/>
  <c r="Y384" i="34"/>
  <c r="DB384" i="34" s="1"/>
  <c r="X114" i="34"/>
  <c r="DA114" i="34" s="1"/>
  <c r="W642" i="34"/>
  <c r="CZ642" i="34" s="1"/>
  <c r="DG534" i="34"/>
  <c r="DC533" i="34"/>
  <c r="DF498" i="34"/>
  <c r="Y513" i="34"/>
  <c r="DB513" i="34" s="1"/>
  <c r="Y439" i="34"/>
  <c r="DB439" i="34" s="1"/>
  <c r="DF467" i="34"/>
  <c r="X386" i="34"/>
  <c r="DA386" i="34" s="1"/>
  <c r="DE395" i="34"/>
  <c r="Y327" i="34"/>
  <c r="DB327" i="34" s="1"/>
  <c r="W304" i="34"/>
  <c r="CZ304" i="34" s="1"/>
  <c r="W181" i="34"/>
  <c r="CZ181" i="34"/>
  <c r="Y201" i="34"/>
  <c r="DB201" i="34"/>
  <c r="DH201" i="34" s="1"/>
  <c r="DF181" i="34"/>
  <c r="Y133" i="34"/>
  <c r="DB133" i="34" s="1"/>
  <c r="W122" i="34"/>
  <c r="CZ122" i="34" s="1"/>
  <c r="DF464" i="34"/>
  <c r="Y374" i="34"/>
  <c r="DB374" i="34" s="1"/>
  <c r="Y181" i="34"/>
  <c r="DB181" i="34" s="1"/>
  <c r="DF633" i="34"/>
  <c r="Y498" i="34"/>
  <c r="DB498" i="34"/>
  <c r="DH498" i="34" s="1"/>
  <c r="Y448" i="34"/>
  <c r="DB448" i="34" s="1"/>
  <c r="DF468" i="34"/>
  <c r="Y189" i="34"/>
  <c r="DB189" i="34" s="1"/>
  <c r="Y301" i="34"/>
  <c r="DB301" i="34" s="1"/>
  <c r="Y436" i="34"/>
  <c r="DB436" i="34"/>
  <c r="DH436" i="34" s="1"/>
  <c r="W377" i="34"/>
  <c r="CZ377" i="34" s="1"/>
  <c r="Y321" i="34"/>
  <c r="DB321" i="34" s="1"/>
  <c r="Y303" i="34"/>
  <c r="DB303" i="34" s="1"/>
  <c r="W316" i="34"/>
  <c r="CZ316" i="34" s="1"/>
  <c r="Y247" i="34"/>
  <c r="DB247" i="34" s="1"/>
  <c r="Y254" i="34"/>
  <c r="DB254" i="34" s="1"/>
  <c r="Y177" i="34"/>
  <c r="DB177" i="34" s="1"/>
  <c r="Y121" i="34"/>
  <c r="DB121" i="34"/>
  <c r="DH121" i="34" s="1"/>
  <c r="W436" i="34"/>
  <c r="CZ436" i="34" s="1"/>
  <c r="W263" i="34"/>
  <c r="CZ263" i="34" s="1"/>
  <c r="Y258" i="34"/>
  <c r="DB258" i="34" s="1"/>
  <c r="Y131" i="34"/>
  <c r="DB131" i="34"/>
  <c r="Y125" i="34"/>
  <c r="DB125" i="34" s="1"/>
  <c r="Y574" i="34"/>
  <c r="DB574" i="34"/>
  <c r="DG574" i="34" s="1"/>
  <c r="W439" i="34"/>
  <c r="CZ439" i="34" s="1"/>
  <c r="Y377" i="34"/>
  <c r="DB377" i="34" s="1"/>
  <c r="W374" i="34"/>
  <c r="CZ374" i="34" s="1"/>
  <c r="W321" i="34"/>
  <c r="CZ321" i="34" s="1"/>
  <c r="W254" i="34"/>
  <c r="CZ254" i="34" s="1"/>
  <c r="W177" i="34"/>
  <c r="CZ177" i="34" s="1"/>
  <c r="W178" i="34"/>
  <c r="CZ178" i="34" s="1"/>
  <c r="Y175" i="34"/>
  <c r="DB175" i="34" s="1"/>
  <c r="Y119" i="34"/>
  <c r="DB119" i="34"/>
  <c r="Y444" i="34"/>
  <c r="DB444" i="34" s="1"/>
  <c r="W313" i="34"/>
  <c r="CZ313" i="34" s="1"/>
  <c r="W323" i="34"/>
  <c r="CZ323" i="34" s="1"/>
  <c r="W300" i="34"/>
  <c r="CZ300" i="34" s="1"/>
  <c r="Y255" i="34"/>
  <c r="DB255" i="34" s="1"/>
  <c r="W252" i="34"/>
  <c r="CZ252" i="34" s="1"/>
  <c r="Y266" i="34"/>
  <c r="DB266" i="34" s="1"/>
  <c r="Y260" i="34"/>
  <c r="DB260" i="34" s="1"/>
  <c r="W240" i="34"/>
  <c r="CZ240" i="34" s="1"/>
  <c r="Y120" i="34"/>
  <c r="DB120" i="34" s="1"/>
  <c r="Y117" i="34"/>
  <c r="DB117" i="34" s="1"/>
  <c r="Y139" i="34"/>
  <c r="DB139" i="34" s="1"/>
  <c r="DH459" i="34"/>
  <c r="W248" i="34"/>
  <c r="CZ248" i="34" s="1"/>
  <c r="Y642" i="34"/>
  <c r="DB642" i="34" s="1"/>
  <c r="Y453" i="34"/>
  <c r="DB453" i="34" s="1"/>
  <c r="Y495" i="34"/>
  <c r="DB495" i="34" s="1"/>
  <c r="Y450" i="34"/>
  <c r="DB450" i="34" s="1"/>
  <c r="Y454" i="34"/>
  <c r="DB454" i="34"/>
  <c r="DG454" i="34"/>
  <c r="Y392" i="34"/>
  <c r="DB392" i="34" s="1"/>
  <c r="Y370" i="34"/>
  <c r="DB370" i="34"/>
  <c r="DH370" i="34" s="1"/>
  <c r="Y369" i="34"/>
  <c r="DB369" i="34" s="1"/>
  <c r="Y387" i="34"/>
  <c r="DB387" i="34"/>
  <c r="DH387" i="34" s="1"/>
  <c r="W302" i="34"/>
  <c r="CZ302" i="34" s="1"/>
  <c r="Y314" i="34"/>
  <c r="DB314" i="34" s="1"/>
  <c r="Y311" i="34"/>
  <c r="DB311" i="34"/>
  <c r="DH311" i="34" s="1"/>
  <c r="Y305" i="34"/>
  <c r="DB305" i="34" s="1"/>
  <c r="Y322" i="34"/>
  <c r="DB322" i="34" s="1"/>
  <c r="W308" i="34"/>
  <c r="CZ308" i="34" s="1"/>
  <c r="W265" i="34"/>
  <c r="CZ265" i="34" s="1"/>
  <c r="W257" i="34"/>
  <c r="CZ257" i="34"/>
  <c r="DD257" i="34" s="1"/>
  <c r="W255" i="34"/>
  <c r="CZ255" i="34"/>
  <c r="DD255" i="34"/>
  <c r="W260" i="34"/>
  <c r="CZ260" i="34" s="1"/>
  <c r="W120" i="34"/>
  <c r="CZ120" i="34" s="1"/>
  <c r="Y246" i="34"/>
  <c r="DB246" i="34"/>
  <c r="DG246" i="34" s="1"/>
  <c r="W133" i="34"/>
  <c r="CZ133" i="34"/>
  <c r="DD133" i="34"/>
  <c r="W127" i="34"/>
  <c r="CZ127" i="34" s="1"/>
  <c r="W125" i="34"/>
  <c r="CZ125" i="34" s="1"/>
  <c r="W121" i="34"/>
  <c r="CZ121" i="34"/>
  <c r="DD121" i="34" s="1"/>
  <c r="X509" i="34"/>
  <c r="DA509" i="34" s="1"/>
  <c r="X501" i="34"/>
  <c r="DA501" i="34" s="1"/>
  <c r="X507" i="34"/>
  <c r="DA507" i="34"/>
  <c r="DF507" i="34" s="1"/>
  <c r="DC465" i="34"/>
  <c r="W117" i="34"/>
  <c r="CZ117" i="34" s="1"/>
  <c r="Y178" i="34"/>
  <c r="DB178" i="34" s="1"/>
  <c r="DH178" i="34" s="1"/>
  <c r="Y116" i="34"/>
  <c r="DB116" i="34" s="1"/>
  <c r="W246" i="34"/>
  <c r="CZ246" i="34" s="1"/>
  <c r="W119" i="34"/>
  <c r="CZ119" i="34" s="1"/>
  <c r="DD467" i="34"/>
  <c r="DC467" i="34"/>
  <c r="DH457" i="34"/>
  <c r="Y573" i="34"/>
  <c r="DB573" i="34" s="1"/>
  <c r="W494" i="34"/>
  <c r="CZ494" i="34"/>
  <c r="DC494" i="34" s="1"/>
  <c r="Y383" i="34"/>
  <c r="DB383" i="34" s="1"/>
  <c r="Y313" i="34"/>
  <c r="DB313" i="34" s="1"/>
  <c r="Y309" i="34"/>
  <c r="DB309" i="34" s="1"/>
  <c r="Y323" i="34"/>
  <c r="DB323" i="34" s="1"/>
  <c r="Y315" i="34"/>
  <c r="DB315" i="34" s="1"/>
  <c r="Y308" i="34"/>
  <c r="DB308" i="34"/>
  <c r="DG308" i="34" s="1"/>
  <c r="Y263" i="34"/>
  <c r="DB263" i="34" s="1"/>
  <c r="Y257" i="34"/>
  <c r="DB257" i="34" s="1"/>
  <c r="Y252" i="34"/>
  <c r="DB252" i="34" s="1"/>
  <c r="Y240" i="34"/>
  <c r="DB240" i="34"/>
  <c r="DC633" i="34"/>
  <c r="DE460" i="34"/>
  <c r="DF460" i="34"/>
  <c r="X505" i="34"/>
  <c r="DA505" i="34" s="1"/>
  <c r="DD461" i="34"/>
  <c r="DC461" i="34"/>
  <c r="X511" i="34"/>
  <c r="DA511" i="34"/>
  <c r="DE248" i="34"/>
  <c r="DF248" i="34"/>
  <c r="DH645" i="34"/>
  <c r="DG645" i="34"/>
  <c r="X632" i="34"/>
  <c r="DA632" i="34" s="1"/>
  <c r="DF632" i="34" s="1"/>
  <c r="DA644" i="34"/>
  <c r="DF644" i="34" s="1"/>
  <c r="Y644" i="34"/>
  <c r="DB644" i="34" s="1"/>
  <c r="DA626" i="34"/>
  <c r="DE662" i="34"/>
  <c r="DD645" i="34"/>
  <c r="DC645" i="34"/>
  <c r="X637" i="34"/>
  <c r="DA637" i="34" s="1"/>
  <c r="DA634" i="34"/>
  <c r="W634" i="34"/>
  <c r="CZ634" i="34" s="1"/>
  <c r="Y634" i="34"/>
  <c r="DB634" i="34" s="1"/>
  <c r="X622" i="34"/>
  <c r="DA622" i="34" s="1"/>
  <c r="DH490" i="34"/>
  <c r="DH657" i="34"/>
  <c r="DG657" i="34"/>
  <c r="W623" i="34"/>
  <c r="CZ623" i="34" s="1"/>
  <c r="Y623" i="34"/>
  <c r="DB623" i="34"/>
  <c r="DH623" i="34" s="1"/>
  <c r="DF598" i="34"/>
  <c r="W644" i="34"/>
  <c r="CZ644" i="34"/>
  <c r="DC644" i="34" s="1"/>
  <c r="CZ635" i="34"/>
  <c r="DD635" i="34" s="1"/>
  <c r="Y626" i="34"/>
  <c r="DB626" i="34" s="1"/>
  <c r="DE593" i="34"/>
  <c r="X580" i="34"/>
  <c r="DA580" i="34" s="1"/>
  <c r="DF580" i="34" s="1"/>
  <c r="X560" i="34"/>
  <c r="DA560" i="34" s="1"/>
  <c r="DE560" i="34" s="1"/>
  <c r="DF582" i="34"/>
  <c r="DE582" i="34"/>
  <c r="DH574" i="34"/>
  <c r="DF557" i="34"/>
  <c r="DE557" i="34"/>
  <c r="DC520" i="34"/>
  <c r="DD520" i="34"/>
  <c r="DC530" i="34"/>
  <c r="DD530" i="34"/>
  <c r="DG526" i="34"/>
  <c r="DH526" i="34"/>
  <c r="DF523" i="34"/>
  <c r="DF513" i="34"/>
  <c r="DE513" i="34"/>
  <c r="X437" i="34"/>
  <c r="DA437" i="34" s="1"/>
  <c r="X433" i="34"/>
  <c r="DA433" i="34" s="1"/>
  <c r="DD494" i="34"/>
  <c r="DE455" i="34"/>
  <c r="DF455" i="34"/>
  <c r="X431" i="34"/>
  <c r="DA431" i="34" s="1"/>
  <c r="DC422" i="34"/>
  <c r="X426" i="34"/>
  <c r="DA426" i="34" s="1"/>
  <c r="X373" i="34"/>
  <c r="DA373" i="34" s="1"/>
  <c r="X366" i="34"/>
  <c r="DA366" i="34" s="1"/>
  <c r="X364" i="34"/>
  <c r="DA364" i="34"/>
  <c r="DF341" i="34"/>
  <c r="DE341" i="34"/>
  <c r="DF333" i="34"/>
  <c r="DE333" i="34"/>
  <c r="DF388" i="34"/>
  <c r="DE388" i="34"/>
  <c r="DF382" i="34"/>
  <c r="DE382" i="34"/>
  <c r="DF372" i="34"/>
  <c r="DE372" i="34"/>
  <c r="X328" i="34"/>
  <c r="DA328" i="34" s="1"/>
  <c r="DF278" i="34"/>
  <c r="DE278" i="34"/>
  <c r="DF274" i="34"/>
  <c r="DE274" i="34"/>
  <c r="DF270" i="34"/>
  <c r="DE270" i="34"/>
  <c r="Y368" i="34"/>
  <c r="DB368" i="34" s="1"/>
  <c r="DD270" i="34"/>
  <c r="DC270" i="34"/>
  <c r="DE391" i="34"/>
  <c r="DF391" i="34"/>
  <c r="DE371" i="34"/>
  <c r="DF371" i="34"/>
  <c r="DH306" i="34"/>
  <c r="DF317" i="34"/>
  <c r="DE317" i="34"/>
  <c r="DE320" i="34"/>
  <c r="DF320" i="34"/>
  <c r="DF297" i="34"/>
  <c r="DE297" i="34"/>
  <c r="X239" i="34"/>
  <c r="DA239" i="34" s="1"/>
  <c r="X188" i="34"/>
  <c r="DA188" i="34" s="1"/>
  <c r="DF188" i="34" s="1"/>
  <c r="DH172" i="34"/>
  <c r="DH154" i="34"/>
  <c r="X253" i="34"/>
  <c r="DA253" i="34" s="1"/>
  <c r="X243" i="34"/>
  <c r="DA243" i="34" s="1"/>
  <c r="DF264" i="34"/>
  <c r="DE264" i="34"/>
  <c r="DF262" i="34"/>
  <c r="DE262" i="34"/>
  <c r="DF256" i="34"/>
  <c r="DE256" i="34"/>
  <c r="DE138" i="34"/>
  <c r="DF138" i="34"/>
  <c r="DF136" i="34"/>
  <c r="DE136" i="34"/>
  <c r="DE130" i="34"/>
  <c r="DF130" i="34"/>
  <c r="DE118" i="34"/>
  <c r="DF118" i="34"/>
  <c r="X113" i="34"/>
  <c r="DA113" i="34" s="1"/>
  <c r="X111" i="34"/>
  <c r="DA111" i="34"/>
  <c r="DF178" i="34"/>
  <c r="DE178" i="34"/>
  <c r="DF107" i="34"/>
  <c r="DE107" i="34"/>
  <c r="Y237" i="34"/>
  <c r="DB237" i="34" s="1"/>
  <c r="DF137" i="34"/>
  <c r="DE137" i="34"/>
  <c r="DC133" i="34"/>
  <c r="DF129" i="34"/>
  <c r="DE129" i="34"/>
  <c r="DF123" i="34"/>
  <c r="DE123" i="34"/>
  <c r="DF122" i="34"/>
  <c r="DE122" i="34"/>
  <c r="X112" i="34"/>
  <c r="DA112" i="34" s="1"/>
  <c r="Y628" i="34"/>
  <c r="DB628" i="34"/>
  <c r="DH628" i="34" s="1"/>
  <c r="DC650" i="34"/>
  <c r="DD650" i="34"/>
  <c r="DH647" i="34"/>
  <c r="DG647" i="34"/>
  <c r="DF642" i="34"/>
  <c r="DE642" i="34"/>
  <c r="X625" i="34"/>
  <c r="DA625" i="34" s="1"/>
  <c r="DF625" i="34" s="1"/>
  <c r="W628" i="34"/>
  <c r="CZ628" i="34" s="1"/>
  <c r="DD628" i="34" s="1"/>
  <c r="DE639" i="34"/>
  <c r="X566" i="34"/>
  <c r="DA566" i="34" s="1"/>
  <c r="W562" i="34"/>
  <c r="CZ562" i="34" s="1"/>
  <c r="X559" i="34"/>
  <c r="DA559" i="34" s="1"/>
  <c r="Y570" i="34"/>
  <c r="DB570" i="34" s="1"/>
  <c r="DE587" i="34"/>
  <c r="Y582" i="34"/>
  <c r="DB582" i="34" s="1"/>
  <c r="DG582" i="34" s="1"/>
  <c r="W574" i="34"/>
  <c r="CZ574" i="34" s="1"/>
  <c r="DC531" i="34"/>
  <c r="DD531" i="34"/>
  <c r="X516" i="34"/>
  <c r="DA516" i="34" s="1"/>
  <c r="X512" i="34"/>
  <c r="DA512" i="34"/>
  <c r="DC526" i="34"/>
  <c r="W504" i="34"/>
  <c r="CZ504" i="34" s="1"/>
  <c r="W519" i="34"/>
  <c r="CZ519" i="34" s="1"/>
  <c r="W515" i="34"/>
  <c r="CZ515" i="34" s="1"/>
  <c r="X435" i="34"/>
  <c r="DA435" i="34" s="1"/>
  <c r="X430" i="34"/>
  <c r="DA430" i="34" s="1"/>
  <c r="W448" i="34"/>
  <c r="CZ448" i="34" s="1"/>
  <c r="W446" i="34"/>
  <c r="CZ446" i="34" s="1"/>
  <c r="W444" i="34"/>
  <c r="CZ444" i="34" s="1"/>
  <c r="W442" i="34"/>
  <c r="CZ442" i="34" s="1"/>
  <c r="DF439" i="34"/>
  <c r="DE439" i="34"/>
  <c r="Y496" i="34"/>
  <c r="DB496" i="34" s="1"/>
  <c r="DF494" i="34"/>
  <c r="DE494" i="34"/>
  <c r="Y455" i="34"/>
  <c r="DB455" i="34"/>
  <c r="X449" i="34"/>
  <c r="DA449" i="34" s="1"/>
  <c r="X441" i="34"/>
  <c r="DA441" i="34" s="1"/>
  <c r="X428" i="34"/>
  <c r="DA428" i="34" s="1"/>
  <c r="DE428" i="34" s="1"/>
  <c r="W495" i="34"/>
  <c r="CZ495" i="34"/>
  <c r="DD495" i="34" s="1"/>
  <c r="Y452" i="34"/>
  <c r="DB452" i="34"/>
  <c r="W450" i="34"/>
  <c r="CZ450" i="34"/>
  <c r="W455" i="34"/>
  <c r="CZ455" i="34" s="1"/>
  <c r="DF423" i="34"/>
  <c r="DE423" i="34"/>
  <c r="DF424" i="34"/>
  <c r="DE424" i="34"/>
  <c r="X381" i="34"/>
  <c r="DA381" i="34"/>
  <c r="DF340" i="34"/>
  <c r="DE340" i="34"/>
  <c r="DF336" i="34"/>
  <c r="DE336" i="34"/>
  <c r="DF332" i="34"/>
  <c r="DE332" i="34"/>
  <c r="W392" i="34"/>
  <c r="CZ392" i="34"/>
  <c r="Y388" i="34"/>
  <c r="DB388" i="34"/>
  <c r="W384" i="34"/>
  <c r="CZ384" i="34" s="1"/>
  <c r="Y382" i="34"/>
  <c r="DB382" i="34" s="1"/>
  <c r="Y380" i="34"/>
  <c r="DB380" i="34" s="1"/>
  <c r="Y372" i="34"/>
  <c r="DB372" i="34"/>
  <c r="W369" i="34"/>
  <c r="CZ369" i="34" s="1"/>
  <c r="Y391" i="34"/>
  <c r="DB391" i="34" s="1"/>
  <c r="W383" i="34"/>
  <c r="CZ383" i="34" s="1"/>
  <c r="Y371" i="34"/>
  <c r="DB371" i="34" s="1"/>
  <c r="DE302" i="34"/>
  <c r="DF302" i="34"/>
  <c r="DF298" i="34"/>
  <c r="DE298" i="34"/>
  <c r="DF252" i="34"/>
  <c r="DE252" i="34"/>
  <c r="DF321" i="34"/>
  <c r="DE321" i="34"/>
  <c r="Y317" i="34"/>
  <c r="DB317" i="34" s="1"/>
  <c r="DH317" i="34" s="1"/>
  <c r="DF313" i="34"/>
  <c r="DE313" i="34"/>
  <c r="W311" i="34"/>
  <c r="CZ311" i="34"/>
  <c r="W305" i="34"/>
  <c r="CZ305" i="34" s="1"/>
  <c r="W303" i="34"/>
  <c r="CZ303" i="34" s="1"/>
  <c r="DF323" i="34"/>
  <c r="DE323" i="34"/>
  <c r="W322" i="34"/>
  <c r="CZ322" i="34" s="1"/>
  <c r="Y320" i="34"/>
  <c r="DB320" i="34" s="1"/>
  <c r="Y318" i="34"/>
  <c r="DB318" i="34" s="1"/>
  <c r="DE316" i="34"/>
  <c r="DF316" i="34"/>
  <c r="W315" i="34"/>
  <c r="CZ315" i="34" s="1"/>
  <c r="DE300" i="34"/>
  <c r="DF300" i="34"/>
  <c r="DE265" i="34"/>
  <c r="DF265" i="34"/>
  <c r="DF263" i="34"/>
  <c r="DE263" i="34"/>
  <c r="Y259" i="34"/>
  <c r="DB259" i="34" s="1"/>
  <c r="DE257" i="34"/>
  <c r="DF257" i="34"/>
  <c r="DF255" i="34"/>
  <c r="DE255" i="34"/>
  <c r="DH235" i="34"/>
  <c r="DG235" i="34"/>
  <c r="W247" i="34"/>
  <c r="CZ247" i="34"/>
  <c r="Y173" i="34"/>
  <c r="DB173" i="34" s="1"/>
  <c r="DE146" i="34"/>
  <c r="DF146" i="34"/>
  <c r="X242" i="34"/>
  <c r="DA242" i="34" s="1"/>
  <c r="DF242" i="34" s="1"/>
  <c r="W301" i="34"/>
  <c r="CZ301" i="34" s="1"/>
  <c r="DC301" i="34" s="1"/>
  <c r="W266" i="34"/>
  <c r="CZ266" i="34" s="1"/>
  <c r="Y264" i="34"/>
  <c r="DB264" i="34" s="1"/>
  <c r="Y262" i="34"/>
  <c r="DB262" i="34"/>
  <c r="W258" i="34"/>
  <c r="CZ258" i="34" s="1"/>
  <c r="Y256" i="34"/>
  <c r="DB256" i="34"/>
  <c r="W201" i="34"/>
  <c r="CZ201" i="34" s="1"/>
  <c r="W189" i="34"/>
  <c r="CZ189" i="34" s="1"/>
  <c r="Y200" i="34"/>
  <c r="DB200" i="34" s="1"/>
  <c r="Y138" i="34"/>
  <c r="DB138" i="34"/>
  <c r="Y130" i="34"/>
  <c r="DB130" i="34" s="1"/>
  <c r="Y118" i="34"/>
  <c r="DB118" i="34" s="1"/>
  <c r="Y196" i="34"/>
  <c r="DB196" i="34"/>
  <c r="W116" i="34"/>
  <c r="CZ116" i="34" s="1"/>
  <c r="DF246" i="34"/>
  <c r="DE246" i="34"/>
  <c r="W139" i="34"/>
  <c r="CZ139" i="34" s="1"/>
  <c r="Y137" i="34"/>
  <c r="DB137" i="34"/>
  <c r="Y135" i="34"/>
  <c r="DB135" i="34" s="1"/>
  <c r="DH135" i="34" s="1"/>
  <c r="W131" i="34"/>
  <c r="CZ131" i="34"/>
  <c r="Y129" i="34"/>
  <c r="DB129" i="34" s="1"/>
  <c r="Y127" i="34"/>
  <c r="DB127" i="34" s="1"/>
  <c r="W124" i="34"/>
  <c r="CZ124" i="34" s="1"/>
  <c r="Y123" i="34"/>
  <c r="DB123" i="34" s="1"/>
  <c r="Y122" i="34"/>
  <c r="DB122" i="34" s="1"/>
  <c r="DC659" i="34"/>
  <c r="DC662" i="34"/>
  <c r="DF650" i="34"/>
  <c r="DE650" i="34"/>
  <c r="DG653" i="34"/>
  <c r="Y639" i="34"/>
  <c r="DB639" i="34" s="1"/>
  <c r="W630" i="34"/>
  <c r="CZ630" i="34" s="1"/>
  <c r="DC593" i="34"/>
  <c r="DD589" i="34"/>
  <c r="X581" i="34"/>
  <c r="DA581" i="34" s="1"/>
  <c r="DF581" i="34" s="1"/>
  <c r="DE533" i="34"/>
  <c r="DF533" i="34"/>
  <c r="DD585" i="34"/>
  <c r="W564" i="34"/>
  <c r="CZ564" i="34" s="1"/>
  <c r="Y583" i="34"/>
  <c r="DB583" i="34" s="1"/>
  <c r="X561" i="34"/>
  <c r="DA561" i="34" s="1"/>
  <c r="X556" i="34"/>
  <c r="DA556" i="34" s="1"/>
  <c r="DE556" i="34" s="1"/>
  <c r="W582" i="34"/>
  <c r="CZ582" i="34" s="1"/>
  <c r="DC582" i="34" s="1"/>
  <c r="Y557" i="34"/>
  <c r="DB557" i="34" s="1"/>
  <c r="Y564" i="34"/>
  <c r="DB564" i="34" s="1"/>
  <c r="W555" i="34"/>
  <c r="CZ555" i="34" s="1"/>
  <c r="DF531" i="34"/>
  <c r="DE531" i="34"/>
  <c r="DD524" i="34"/>
  <c r="W573" i="34"/>
  <c r="CZ573" i="34" s="1"/>
  <c r="DF448" i="34"/>
  <c r="DE448" i="34"/>
  <c r="DF446" i="34"/>
  <c r="DE446" i="34"/>
  <c r="DF444" i="34"/>
  <c r="DE444" i="34"/>
  <c r="DF442" i="34"/>
  <c r="W496" i="34"/>
  <c r="CZ496" i="34"/>
  <c r="DD496" i="34" s="1"/>
  <c r="Y494" i="34"/>
  <c r="DB494" i="34" s="1"/>
  <c r="DE453" i="34"/>
  <c r="DF453" i="34"/>
  <c r="DF495" i="34"/>
  <c r="DE495" i="34"/>
  <c r="W452" i="34"/>
  <c r="CZ452" i="34"/>
  <c r="Y489" i="34"/>
  <c r="DB489" i="34"/>
  <c r="DG489" i="34" s="1"/>
  <c r="DF450" i="34"/>
  <c r="DE450" i="34"/>
  <c r="X427" i="34"/>
  <c r="DA427" i="34" s="1"/>
  <c r="DF404" i="34"/>
  <c r="DE404" i="34"/>
  <c r="DF400" i="34"/>
  <c r="DE400" i="34"/>
  <c r="DF436" i="34"/>
  <c r="DE436" i="34"/>
  <c r="DF422" i="34"/>
  <c r="DE422" i="34"/>
  <c r="DF407" i="34"/>
  <c r="DE407" i="34"/>
  <c r="W453" i="34"/>
  <c r="CZ453" i="34" s="1"/>
  <c r="X385" i="34"/>
  <c r="DA385" i="34" s="1"/>
  <c r="DG343" i="34"/>
  <c r="DH343" i="34"/>
  <c r="DF335" i="34"/>
  <c r="DE335" i="34"/>
  <c r="DF392" i="34"/>
  <c r="DE392" i="34"/>
  <c r="DF384" i="34"/>
  <c r="DE384" i="34"/>
  <c r="W382" i="34"/>
  <c r="CZ382" i="34" s="1"/>
  <c r="DF377" i="34"/>
  <c r="DE377" i="34"/>
  <c r="W370" i="34"/>
  <c r="CZ370" i="34" s="1"/>
  <c r="DF374" i="34"/>
  <c r="DE374" i="34"/>
  <c r="DE369" i="34"/>
  <c r="DF369" i="34"/>
  <c r="X325" i="34"/>
  <c r="DA325" i="34" s="1"/>
  <c r="DF276" i="34"/>
  <c r="DE276" i="34"/>
  <c r="DF272" i="34"/>
  <c r="DE272" i="34"/>
  <c r="DF268" i="34"/>
  <c r="DE268" i="34"/>
  <c r="W368" i="34"/>
  <c r="CZ368" i="34" s="1"/>
  <c r="W387" i="34"/>
  <c r="CZ387" i="34" s="1"/>
  <c r="DF359" i="34"/>
  <c r="DE359" i="34"/>
  <c r="W306" i="34"/>
  <c r="CZ306" i="34" s="1"/>
  <c r="Y304" i="34"/>
  <c r="DB304" i="34"/>
  <c r="Y302" i="34"/>
  <c r="DB302" i="34" s="1"/>
  <c r="DG302" i="34" s="1"/>
  <c r="W314" i="34"/>
  <c r="CZ314" i="34" s="1"/>
  <c r="W309" i="34"/>
  <c r="CZ309" i="34" s="1"/>
  <c r="DE305" i="34"/>
  <c r="DF305" i="34"/>
  <c r="DF303" i="34"/>
  <c r="DE303" i="34"/>
  <c r="DF322" i="34"/>
  <c r="DE322" i="34"/>
  <c r="W318" i="34"/>
  <c r="CZ318" i="34" s="1"/>
  <c r="Y316" i="34"/>
  <c r="DB316" i="34" s="1"/>
  <c r="DH316" i="34" s="1"/>
  <c r="Y310" i="34"/>
  <c r="DB310" i="34" s="1"/>
  <c r="DE308" i="34"/>
  <c r="DF308" i="34"/>
  <c r="Y300" i="34"/>
  <c r="DB300" i="34" s="1"/>
  <c r="DH297" i="34"/>
  <c r="Y265" i="34"/>
  <c r="DB265" i="34"/>
  <c r="W259" i="34"/>
  <c r="CZ259" i="34"/>
  <c r="DH238" i="34"/>
  <c r="DG238" i="34"/>
  <c r="DD172" i="34"/>
  <c r="DF153" i="34"/>
  <c r="DE153" i="34"/>
  <c r="DF143" i="34"/>
  <c r="DE143" i="34"/>
  <c r="DF141" i="34"/>
  <c r="DE141" i="34"/>
  <c r="X245" i="34"/>
  <c r="DA245" i="34" s="1"/>
  <c r="DE245" i="34" s="1"/>
  <c r="DF240" i="34"/>
  <c r="DE240" i="34"/>
  <c r="X203" i="34"/>
  <c r="DA203" i="34"/>
  <c r="DF266" i="34"/>
  <c r="DE266" i="34"/>
  <c r="W264" i="34"/>
  <c r="CZ264" i="34" s="1"/>
  <c r="DF260" i="34"/>
  <c r="DE260" i="34"/>
  <c r="DF258" i="34"/>
  <c r="DE258" i="34"/>
  <c r="W256" i="34"/>
  <c r="CZ256" i="34" s="1"/>
  <c r="DF201" i="34"/>
  <c r="DE201" i="34"/>
  <c r="DF189" i="34"/>
  <c r="DE189" i="34"/>
  <c r="Y136" i="34"/>
  <c r="DB136" i="34" s="1"/>
  <c r="DF120" i="34"/>
  <c r="DE120" i="34"/>
  <c r="X115" i="34"/>
  <c r="DA115" i="34" s="1"/>
  <c r="X110" i="34"/>
  <c r="DA110" i="34" s="1"/>
  <c r="DG178" i="34"/>
  <c r="DE116" i="34"/>
  <c r="DF116" i="34"/>
  <c r="DG107" i="34"/>
  <c r="DH107" i="34"/>
  <c r="W237" i="34"/>
  <c r="CZ237" i="34" s="1"/>
  <c r="DD237" i="34" s="1"/>
  <c r="W175" i="34"/>
  <c r="CZ175" i="34" s="1"/>
  <c r="DC175" i="34" s="1"/>
  <c r="DF139" i="34"/>
  <c r="DE139" i="34"/>
  <c r="W137" i="34"/>
  <c r="CZ137" i="34" s="1"/>
  <c r="DF133" i="34"/>
  <c r="DE133" i="34"/>
  <c r="DF131" i="34"/>
  <c r="DE131" i="34"/>
  <c r="W129" i="34"/>
  <c r="CZ129" i="34" s="1"/>
  <c r="DF125" i="34"/>
  <c r="DE125" i="34"/>
  <c r="DF124" i="34"/>
  <c r="DE124" i="34"/>
  <c r="W123" i="34"/>
  <c r="CZ123" i="34"/>
  <c r="DD123" i="34" s="1"/>
  <c r="DF121" i="34"/>
  <c r="DE121" i="34"/>
  <c r="DC108" i="34"/>
  <c r="DD108" i="34"/>
  <c r="DG589" i="34"/>
  <c r="DH589" i="34"/>
  <c r="DA577" i="34"/>
  <c r="DE577" i="34" s="1"/>
  <c r="DE552" i="34"/>
  <c r="DF552" i="34"/>
  <c r="DC590" i="34"/>
  <c r="DD590" i="34"/>
  <c r="DF585" i="34"/>
  <c r="DE585" i="34"/>
  <c r="DF584" i="34"/>
  <c r="DF564" i="34"/>
  <c r="DE564" i="34"/>
  <c r="W557" i="34"/>
  <c r="CZ557" i="34" s="1"/>
  <c r="DF555" i="34"/>
  <c r="DE555" i="34"/>
  <c r="W569" i="34"/>
  <c r="CZ569" i="34" s="1"/>
  <c r="DC569" i="34" s="1"/>
  <c r="DD525" i="34"/>
  <c r="DF524" i="34"/>
  <c r="X514" i="34"/>
  <c r="DA514" i="34"/>
  <c r="DE514" i="34" s="1"/>
  <c r="DF527" i="34"/>
  <c r="DE527" i="34"/>
  <c r="DC522" i="34"/>
  <c r="DD522" i="34"/>
  <c r="X506" i="34"/>
  <c r="DA506" i="34" s="1"/>
  <c r="DC523" i="34"/>
  <c r="DD523" i="34"/>
  <c r="W513" i="34"/>
  <c r="CZ513" i="34"/>
  <c r="DC513" i="34" s="1"/>
  <c r="DA490" i="34"/>
  <c r="W490" i="34"/>
  <c r="CZ490" i="34" s="1"/>
  <c r="X432" i="34"/>
  <c r="DA432" i="34" s="1"/>
  <c r="DF432" i="34" s="1"/>
  <c r="DE496" i="34"/>
  <c r="DF496" i="34"/>
  <c r="X445" i="34"/>
  <c r="DA445" i="34" s="1"/>
  <c r="DF452" i="34"/>
  <c r="DE452" i="34"/>
  <c r="X429" i="34"/>
  <c r="DA429" i="34" s="1"/>
  <c r="DE429" i="34" s="1"/>
  <c r="DD423" i="34"/>
  <c r="DH341" i="34"/>
  <c r="DG341" i="34"/>
  <c r="DH337" i="34"/>
  <c r="DG337" i="34"/>
  <c r="DG333" i="34"/>
  <c r="DD424" i="34"/>
  <c r="DC424" i="34"/>
  <c r="X389" i="34"/>
  <c r="DA389" i="34" s="1"/>
  <c r="DF334" i="34"/>
  <c r="DE334" i="34"/>
  <c r="W388" i="34"/>
  <c r="CZ388" i="34" s="1"/>
  <c r="DD388" i="34" s="1"/>
  <c r="W380" i="34"/>
  <c r="CZ380" i="34" s="1"/>
  <c r="W372" i="34"/>
  <c r="CZ372" i="34" s="1"/>
  <c r="DE370" i="34"/>
  <c r="DF370" i="34"/>
  <c r="DF275" i="34"/>
  <c r="DE275" i="34"/>
  <c r="DF271" i="34"/>
  <c r="DE271" i="34"/>
  <c r="DF267" i="34"/>
  <c r="DE267" i="34"/>
  <c r="DE368" i="34"/>
  <c r="DF368" i="34"/>
  <c r="W391" i="34"/>
  <c r="CZ391" i="34" s="1"/>
  <c r="DC391" i="34" s="1"/>
  <c r="DE387" i="34"/>
  <c r="DF387" i="34"/>
  <c r="W371" i="34"/>
  <c r="CZ371" i="34" s="1"/>
  <c r="DE306" i="34"/>
  <c r="DF306" i="34"/>
  <c r="X251" i="34"/>
  <c r="DA251" i="34" s="1"/>
  <c r="W317" i="34"/>
  <c r="CZ317" i="34" s="1"/>
  <c r="DF314" i="34"/>
  <c r="DE314" i="34"/>
  <c r="DF311" i="34"/>
  <c r="DE311" i="34"/>
  <c r="W320" i="34"/>
  <c r="CZ320" i="34" s="1"/>
  <c r="DC320" i="34" s="1"/>
  <c r="DF318" i="34"/>
  <c r="DE318" i="34"/>
  <c r="DF315" i="34"/>
  <c r="DE315" i="34"/>
  <c r="W310" i="34"/>
  <c r="CZ310" i="34"/>
  <c r="DH308" i="34"/>
  <c r="DC297" i="34"/>
  <c r="DF259" i="34"/>
  <c r="DE259" i="34"/>
  <c r="DF215" i="34"/>
  <c r="DF211" i="34"/>
  <c r="DF209" i="34"/>
  <c r="DF207" i="34"/>
  <c r="DF205" i="34"/>
  <c r="DC238" i="34"/>
  <c r="DF172" i="34"/>
  <c r="DF247" i="34"/>
  <c r="DE247" i="34"/>
  <c r="DE150" i="34"/>
  <c r="DF150" i="34"/>
  <c r="X244" i="34"/>
  <c r="DA244" i="34" s="1"/>
  <c r="DG201" i="34"/>
  <c r="X191" i="34"/>
  <c r="DA191" i="34" s="1"/>
  <c r="X183" i="34"/>
  <c r="DA183" i="34" s="1"/>
  <c r="W173" i="34"/>
  <c r="CZ173" i="34" s="1"/>
  <c r="DD173" i="34" s="1"/>
  <c r="W262" i="34"/>
  <c r="CZ262" i="34" s="1"/>
  <c r="DH240" i="34"/>
  <c r="DG240" i="34"/>
  <c r="W187" i="34"/>
  <c r="CZ187" i="34" s="1"/>
  <c r="DD187" i="34" s="1"/>
  <c r="DF171" i="34"/>
  <c r="W200" i="34"/>
  <c r="CZ200" i="34" s="1"/>
  <c r="DC200" i="34" s="1"/>
  <c r="W138" i="34"/>
  <c r="CZ138" i="34" s="1"/>
  <c r="W136" i="34"/>
  <c r="CZ136" i="34" s="1"/>
  <c r="W130" i="34"/>
  <c r="CZ130" i="34" s="1"/>
  <c r="W118" i="34"/>
  <c r="CZ118" i="34" s="1"/>
  <c r="EE51" i="34"/>
  <c r="EC55" i="34"/>
  <c r="EE49" i="34"/>
  <c r="EC56" i="34"/>
  <c r="EC54" i="34"/>
  <c r="EE50" i="34"/>
  <c r="DD196" i="34"/>
  <c r="DC107" i="34"/>
  <c r="DD107" i="34"/>
  <c r="DH246" i="34"/>
  <c r="DF237" i="34"/>
  <c r="DE237" i="34"/>
  <c r="DF175" i="34"/>
  <c r="DE175" i="34"/>
  <c r="W135" i="34"/>
  <c r="CZ135" i="34" s="1"/>
  <c r="DH131" i="34"/>
  <c r="DG131" i="34"/>
  <c r="DH119" i="34"/>
  <c r="DG119" i="34"/>
  <c r="DH335" i="34"/>
  <c r="DH531" i="34"/>
  <c r="DG387" i="34"/>
  <c r="DC255" i="34"/>
  <c r="DG153" i="34"/>
  <c r="DC399" i="34"/>
  <c r="DG209" i="34"/>
  <c r="DC257" i="34"/>
  <c r="DD298" i="34"/>
  <c r="DC121" i="34"/>
  <c r="DG121" i="34"/>
  <c r="DG650" i="34"/>
  <c r="DH650" i="34"/>
  <c r="DC551" i="34"/>
  <c r="DD551" i="34"/>
  <c r="DD598" i="34"/>
  <c r="DC598" i="34"/>
  <c r="DD552" i="34"/>
  <c r="DC552" i="34"/>
  <c r="DH524" i="34"/>
  <c r="DC534" i="34"/>
  <c r="DH486" i="34"/>
  <c r="DC528" i="34"/>
  <c r="DH528" i="34"/>
  <c r="DG528" i="34"/>
  <c r="DG423" i="34"/>
  <c r="DE454" i="34"/>
  <c r="DG436" i="34"/>
  <c r="DG424" i="34"/>
  <c r="DH422" i="34"/>
  <c r="DH468" i="34"/>
  <c r="DG468" i="34"/>
  <c r="DD468" i="34"/>
  <c r="DC468" i="34"/>
  <c r="DG460" i="34"/>
  <c r="DH460" i="34"/>
  <c r="DH461" i="34"/>
  <c r="DG461" i="34"/>
  <c r="DH465" i="34"/>
  <c r="DG465" i="34"/>
  <c r="DG456" i="34"/>
  <c r="DH456" i="34"/>
  <c r="DD460" i="34"/>
  <c r="DC460" i="34"/>
  <c r="DD464" i="34"/>
  <c r="DC464" i="34"/>
  <c r="DH463" i="34"/>
  <c r="DG463" i="34"/>
  <c r="DG464" i="34"/>
  <c r="DH464" i="34"/>
  <c r="DG370" i="34"/>
  <c r="DC404" i="34"/>
  <c r="DD401" i="34"/>
  <c r="DC401" i="34"/>
  <c r="DH401" i="34"/>
  <c r="DG401" i="34"/>
  <c r="DH400" i="34"/>
  <c r="DG400" i="34"/>
  <c r="DH395" i="34"/>
  <c r="DG395" i="34"/>
  <c r="DD395" i="34"/>
  <c r="DC395" i="34"/>
  <c r="DD334" i="34"/>
  <c r="DC334" i="34"/>
  <c r="DG278" i="34"/>
  <c r="DH278" i="34"/>
  <c r="DG275" i="34"/>
  <c r="DH275" i="34"/>
  <c r="DH274" i="34"/>
  <c r="DG274" i="34"/>
  <c r="DG272" i="34"/>
  <c r="DH272" i="34"/>
  <c r="DH268" i="34"/>
  <c r="DG268" i="34"/>
  <c r="DH204" i="34"/>
  <c r="DC211" i="34"/>
  <c r="DD209" i="34"/>
  <c r="DH206" i="34"/>
  <c r="DC212" i="34"/>
  <c r="DH214" i="34"/>
  <c r="DD210" i="34"/>
  <c r="DH215" i="34"/>
  <c r="DC206" i="34"/>
  <c r="DD206" i="34"/>
  <c r="DH143" i="34"/>
  <c r="DH147" i="34"/>
  <c r="DG147" i="34"/>
  <c r="DH106" i="34"/>
  <c r="DG106" i="34"/>
  <c r="DD106" i="34"/>
  <c r="DC106" i="34"/>
  <c r="DD146" i="34"/>
  <c r="DC146" i="34"/>
  <c r="DC150" i="34"/>
  <c r="DD150" i="34"/>
  <c r="DH146" i="34"/>
  <c r="DG146" i="34"/>
  <c r="DD143" i="34"/>
  <c r="DC143" i="34"/>
  <c r="Y433" i="34"/>
  <c r="DB433" i="34" s="1"/>
  <c r="W514" i="34"/>
  <c r="CZ514" i="34" s="1"/>
  <c r="Y366" i="34"/>
  <c r="DB366" i="34"/>
  <c r="W429" i="34"/>
  <c r="CZ429" i="34" s="1"/>
  <c r="Y115" i="34"/>
  <c r="DB115" i="34" s="1"/>
  <c r="Y186" i="34"/>
  <c r="DB186" i="34" s="1"/>
  <c r="DG311" i="34"/>
  <c r="Y114" i="34"/>
  <c r="DB114" i="34" s="1"/>
  <c r="Y183" i="34"/>
  <c r="DB183" i="34"/>
  <c r="DG183" i="34" s="1"/>
  <c r="DH454" i="34"/>
  <c r="Y514" i="34"/>
  <c r="DB514" i="34" s="1"/>
  <c r="Y386" i="34"/>
  <c r="DB386" i="34" s="1"/>
  <c r="W386" i="34"/>
  <c r="CZ386" i="34" s="1"/>
  <c r="W114" i="34"/>
  <c r="CZ114" i="34" s="1"/>
  <c r="Y437" i="34"/>
  <c r="DB437" i="34" s="1"/>
  <c r="Y445" i="34"/>
  <c r="DB445" i="34" s="1"/>
  <c r="W110" i="34"/>
  <c r="CZ110" i="34"/>
  <c r="DC110" i="34" s="1"/>
  <c r="W381" i="34"/>
  <c r="CZ381" i="34" s="1"/>
  <c r="DD381" i="34" s="1"/>
  <c r="Y251" i="34"/>
  <c r="DB251" i="34" s="1"/>
  <c r="DG251" i="34" s="1"/>
  <c r="W186" i="34"/>
  <c r="CZ186" i="34"/>
  <c r="DD186" i="34" s="1"/>
  <c r="Y325" i="34"/>
  <c r="DB325" i="34" s="1"/>
  <c r="DH325" i="34" s="1"/>
  <c r="Y430" i="34"/>
  <c r="DB430" i="34" s="1"/>
  <c r="W625" i="34"/>
  <c r="CZ625" i="34" s="1"/>
  <c r="DD625" i="34" s="1"/>
  <c r="W431" i="34"/>
  <c r="CZ431" i="34" s="1"/>
  <c r="DC431" i="34" s="1"/>
  <c r="Y509" i="34"/>
  <c r="DB509" i="34" s="1"/>
  <c r="W427" i="34"/>
  <c r="CZ427" i="34" s="1"/>
  <c r="W373" i="34"/>
  <c r="CZ373" i="34" s="1"/>
  <c r="Y426" i="34"/>
  <c r="DB426" i="34" s="1"/>
  <c r="DH426" i="34" s="1"/>
  <c r="W618" i="34"/>
  <c r="CZ618" i="34" s="1"/>
  <c r="W511" i="34"/>
  <c r="CZ511" i="34" s="1"/>
  <c r="Y505" i="34"/>
  <c r="DB505" i="34"/>
  <c r="DH505" i="34" s="1"/>
  <c r="W509" i="34"/>
  <c r="CZ509" i="34" s="1"/>
  <c r="W432" i="34"/>
  <c r="CZ432" i="34" s="1"/>
  <c r="DD432" i="34" s="1"/>
  <c r="Y516" i="34"/>
  <c r="DB516" i="34" s="1"/>
  <c r="W566" i="34"/>
  <c r="CZ566" i="34" s="1"/>
  <c r="DC566" i="34" s="1"/>
  <c r="Y560" i="34"/>
  <c r="DB560" i="34" s="1"/>
  <c r="Y501" i="34"/>
  <c r="DB501" i="34" s="1"/>
  <c r="DH501" i="34" s="1"/>
  <c r="Y191" i="34"/>
  <c r="DB191" i="34" s="1"/>
  <c r="DH191" i="34" s="1"/>
  <c r="Y110" i="34"/>
  <c r="DB110" i="34" s="1"/>
  <c r="Y195" i="34"/>
  <c r="DB195" i="34" s="1"/>
  <c r="Y239" i="34"/>
  <c r="DB239" i="34" s="1"/>
  <c r="DE511" i="34"/>
  <c r="DF511" i="34"/>
  <c r="W505" i="34"/>
  <c r="CZ505" i="34"/>
  <c r="DD505" i="34" s="1"/>
  <c r="Y242" i="34"/>
  <c r="DB242" i="34" s="1"/>
  <c r="DH242" i="34" s="1"/>
  <c r="Y176" i="34"/>
  <c r="DB176" i="34" s="1"/>
  <c r="Y559" i="34"/>
  <c r="DB559" i="34" s="1"/>
  <c r="DH559" i="34" s="1"/>
  <c r="W568" i="34"/>
  <c r="CZ568" i="34" s="1"/>
  <c r="Y625" i="34"/>
  <c r="DB625" i="34"/>
  <c r="DH625" i="34" s="1"/>
  <c r="Y113" i="34"/>
  <c r="DB113" i="34" s="1"/>
  <c r="DG113" i="34" s="1"/>
  <c r="W243" i="34"/>
  <c r="CZ243" i="34" s="1"/>
  <c r="Y188" i="34"/>
  <c r="DB188" i="34" s="1"/>
  <c r="DG188" i="34" s="1"/>
  <c r="W426" i="34"/>
  <c r="CZ426" i="34"/>
  <c r="DD426" i="34" s="1"/>
  <c r="Y431" i="34"/>
  <c r="DB431" i="34" s="1"/>
  <c r="W560" i="34"/>
  <c r="CZ560" i="34" s="1"/>
  <c r="DD560" i="34" s="1"/>
  <c r="Y507" i="34"/>
  <c r="DB507" i="34" s="1"/>
  <c r="W501" i="34"/>
  <c r="CZ501" i="34" s="1"/>
  <c r="DG505" i="34"/>
  <c r="W115" i="34"/>
  <c r="CZ115" i="34" s="1"/>
  <c r="DD115" i="34" s="1"/>
  <c r="W203" i="34"/>
  <c r="CZ203" i="34"/>
  <c r="DC203" i="34" s="1"/>
  <c r="Y385" i="34"/>
  <c r="DB385" i="34" s="1"/>
  <c r="W176" i="34"/>
  <c r="CZ176" i="34" s="1"/>
  <c r="Y449" i="34"/>
  <c r="DB449" i="34" s="1"/>
  <c r="DH449" i="34" s="1"/>
  <c r="W430" i="34"/>
  <c r="CZ430" i="34" s="1"/>
  <c r="W435" i="34"/>
  <c r="CZ435" i="34"/>
  <c r="DD435" i="34" s="1"/>
  <c r="Y568" i="34"/>
  <c r="DB568" i="34" s="1"/>
  <c r="W113" i="34"/>
  <c r="CZ113" i="34" s="1"/>
  <c r="DC113" i="34" s="1"/>
  <c r="W239" i="34"/>
  <c r="CZ239" i="34" s="1"/>
  <c r="Y373" i="34"/>
  <c r="DB373" i="34" s="1"/>
  <c r="DG373" i="34" s="1"/>
  <c r="W433" i="34"/>
  <c r="CZ433" i="34" s="1"/>
  <c r="W437" i="34"/>
  <c r="CZ437" i="34"/>
  <c r="DC437" i="34" s="1"/>
  <c r="Y631" i="34"/>
  <c r="DB631" i="34" s="1"/>
  <c r="Y511" i="34"/>
  <c r="DB511" i="34" s="1"/>
  <c r="DG511" i="34" s="1"/>
  <c r="W507" i="34"/>
  <c r="CZ507" i="34" s="1"/>
  <c r="DE203" i="34"/>
  <c r="DF203" i="34"/>
  <c r="Y245" i="34"/>
  <c r="DB245" i="34" s="1"/>
  <c r="DG245" i="34" s="1"/>
  <c r="DH304" i="34"/>
  <c r="DG304" i="34"/>
  <c r="Y581" i="34"/>
  <c r="DB581" i="34" s="1"/>
  <c r="DH137" i="34"/>
  <c r="DG137" i="34"/>
  <c r="DC201" i="34"/>
  <c r="DD201" i="34"/>
  <c r="DH262" i="34"/>
  <c r="DG262" i="34"/>
  <c r="Y199" i="34"/>
  <c r="DB199" i="34" s="1"/>
  <c r="DG173" i="34"/>
  <c r="DH173" i="34"/>
  <c r="DF381" i="34"/>
  <c r="DE381" i="34"/>
  <c r="DC450" i="34"/>
  <c r="DD450" i="34"/>
  <c r="W428" i="34"/>
  <c r="CZ428" i="34" s="1"/>
  <c r="Y441" i="34"/>
  <c r="DB441" i="34" s="1"/>
  <c r="DH455" i="34"/>
  <c r="DG455" i="34"/>
  <c r="Y435" i="34"/>
  <c r="DB435" i="34" s="1"/>
  <c r="Y512" i="34"/>
  <c r="DB512" i="34" s="1"/>
  <c r="DG512" i="34" s="1"/>
  <c r="DH582" i="34"/>
  <c r="DE628" i="34"/>
  <c r="W112" i="34"/>
  <c r="CZ112" i="34" s="1"/>
  <c r="Y253" i="34"/>
  <c r="DB253" i="34" s="1"/>
  <c r="Y364" i="34"/>
  <c r="DB364" i="34" s="1"/>
  <c r="W366" i="34"/>
  <c r="CZ366" i="34" s="1"/>
  <c r="W554" i="34"/>
  <c r="CZ554" i="34" s="1"/>
  <c r="DC618" i="34"/>
  <c r="DD618" i="34"/>
  <c r="DG623" i="34"/>
  <c r="DF634" i="34"/>
  <c r="DE634" i="34"/>
  <c r="DD200" i="34"/>
  <c r="DC173" i="34"/>
  <c r="Y244" i="34"/>
  <c r="DB244" i="34" s="1"/>
  <c r="Y429" i="34"/>
  <c r="DB429" i="34" s="1"/>
  <c r="Y432" i="34"/>
  <c r="DB432" i="34" s="1"/>
  <c r="DD513" i="34"/>
  <c r="W506" i="34"/>
  <c r="CZ506" i="34" s="1"/>
  <c r="DF514" i="34"/>
  <c r="Y577" i="34"/>
  <c r="DB577" i="34" s="1"/>
  <c r="DG577" i="34" s="1"/>
  <c r="DC123" i="34"/>
  <c r="Y203" i="34"/>
  <c r="DB203" i="34" s="1"/>
  <c r="DC259" i="34"/>
  <c r="DD259" i="34"/>
  <c r="W385" i="34"/>
  <c r="CZ385" i="34" s="1"/>
  <c r="Y427" i="34"/>
  <c r="DB427" i="34" s="1"/>
  <c r="DG427" i="34" s="1"/>
  <c r="DH489" i="34"/>
  <c r="Y646" i="34"/>
  <c r="DB646" i="34" s="1"/>
  <c r="W242" i="34"/>
  <c r="CZ242" i="34" s="1"/>
  <c r="DD242" i="34" s="1"/>
  <c r="DD247" i="34"/>
  <c r="DC247" i="34"/>
  <c r="DD311" i="34"/>
  <c r="DC311" i="34"/>
  <c r="DH372" i="34"/>
  <c r="DG372" i="34"/>
  <c r="DH388" i="34"/>
  <c r="DG388" i="34"/>
  <c r="Y428" i="34"/>
  <c r="DB428" i="34" s="1"/>
  <c r="W449" i="34"/>
  <c r="CZ449" i="34"/>
  <c r="DC449" i="34" s="1"/>
  <c r="Y493" i="34"/>
  <c r="DB493" i="34" s="1"/>
  <c r="W510" i="34"/>
  <c r="CZ510" i="34"/>
  <c r="DD510" i="34" s="1"/>
  <c r="W516" i="34"/>
  <c r="CZ516" i="34" s="1"/>
  <c r="W559" i="34"/>
  <c r="CZ559" i="34" s="1"/>
  <c r="W641" i="34"/>
  <c r="CZ641" i="34" s="1"/>
  <c r="DC641" i="34" s="1"/>
  <c r="Y112" i="34"/>
  <c r="DB112" i="34" s="1"/>
  <c r="Y111" i="34"/>
  <c r="DB111" i="34"/>
  <c r="DH111" i="34" s="1"/>
  <c r="Y243" i="34"/>
  <c r="DB243" i="34" s="1"/>
  <c r="W188" i="34"/>
  <c r="CZ188" i="34" s="1"/>
  <c r="W328" i="34"/>
  <c r="CZ328" i="34" s="1"/>
  <c r="W364" i="34"/>
  <c r="CZ364" i="34" s="1"/>
  <c r="DF364" i="34"/>
  <c r="Y622" i="34"/>
  <c r="DB622" i="34" s="1"/>
  <c r="W637" i="34"/>
  <c r="CZ637" i="34"/>
  <c r="DC637" i="34" s="1"/>
  <c r="DC626" i="34"/>
  <c r="DD626" i="34"/>
  <c r="DG644" i="34"/>
  <c r="DH644" i="34"/>
  <c r="Y632" i="34"/>
  <c r="DB632" i="34"/>
  <c r="DH632" i="34" s="1"/>
  <c r="DC187" i="34"/>
  <c r="W183" i="34"/>
  <c r="CZ183" i="34" s="1"/>
  <c r="DC183" i="34" s="1"/>
  <c r="W191" i="34"/>
  <c r="CZ191" i="34"/>
  <c r="DD191" i="34" s="1"/>
  <c r="DD320" i="34"/>
  <c r="W251" i="34"/>
  <c r="CZ251" i="34"/>
  <c r="DD251" i="34" s="1"/>
  <c r="DD391" i="34"/>
  <c r="Y389" i="34"/>
  <c r="DB389" i="34" s="1"/>
  <c r="W445" i="34"/>
  <c r="CZ445" i="34" s="1"/>
  <c r="DE490" i="34"/>
  <c r="DF490" i="34"/>
  <c r="Y506" i="34"/>
  <c r="DB506" i="34" s="1"/>
  <c r="DD569" i="34"/>
  <c r="W576" i="34"/>
  <c r="CZ576" i="34" s="1"/>
  <c r="DC576" i="34" s="1"/>
  <c r="DD175" i="34"/>
  <c r="W245" i="34"/>
  <c r="CZ245" i="34" s="1"/>
  <c r="DC245" i="34" s="1"/>
  <c r="DG316" i="34"/>
  <c r="W325" i="34"/>
  <c r="CZ325" i="34" s="1"/>
  <c r="DD582" i="34"/>
  <c r="W556" i="34"/>
  <c r="CZ556" i="34" s="1"/>
  <c r="DC556" i="34" s="1"/>
  <c r="W581" i="34"/>
  <c r="CZ581" i="34" s="1"/>
  <c r="DC581" i="34" s="1"/>
  <c r="DD131" i="34"/>
  <c r="DC131" i="34"/>
  <c r="DH196" i="34"/>
  <c r="DG196" i="34"/>
  <c r="DH138" i="34"/>
  <c r="DG138" i="34"/>
  <c r="DH256" i="34"/>
  <c r="DG256" i="34"/>
  <c r="W199" i="34"/>
  <c r="CZ199" i="34"/>
  <c r="DC199" i="34" s="1"/>
  <c r="DE242" i="34"/>
  <c r="DG317" i="34"/>
  <c r="DH380" i="34"/>
  <c r="DG380" i="34"/>
  <c r="Y381" i="34"/>
  <c r="DB381" i="34" s="1"/>
  <c r="DC495" i="34"/>
  <c r="W441" i="34"/>
  <c r="CZ441" i="34" s="1"/>
  <c r="DC446" i="34"/>
  <c r="DD446" i="34"/>
  <c r="W493" i="34"/>
  <c r="CZ493" i="34" s="1"/>
  <c r="Y510" i="34"/>
  <c r="DB510" i="34" s="1"/>
  <c r="W512" i="34"/>
  <c r="CZ512" i="34" s="1"/>
  <c r="DE559" i="34"/>
  <c r="DF559" i="34"/>
  <c r="DF566" i="34"/>
  <c r="DE566" i="34"/>
  <c r="W111" i="34"/>
  <c r="CZ111" i="34" s="1"/>
  <c r="DD111" i="34" s="1"/>
  <c r="W253" i="34"/>
  <c r="CZ253" i="34" s="1"/>
  <c r="DE188" i="34"/>
  <c r="Y328" i="34"/>
  <c r="DB328" i="34" s="1"/>
  <c r="DE364" i="34"/>
  <c r="DG626" i="34"/>
  <c r="DH626" i="34"/>
  <c r="DF623" i="34"/>
  <c r="DE623" i="34"/>
  <c r="DF626" i="34"/>
  <c r="DE626" i="34"/>
  <c r="DE183" i="34"/>
  <c r="DF183" i="34"/>
  <c r="W244" i="34"/>
  <c r="CZ244" i="34" s="1"/>
  <c r="DC310" i="34"/>
  <c r="DD310" i="34"/>
  <c r="DF251" i="34"/>
  <c r="DE251" i="34"/>
  <c r="DC388" i="34"/>
  <c r="W389" i="34"/>
  <c r="CZ389" i="34" s="1"/>
  <c r="DF429" i="34"/>
  <c r="DE432" i="34"/>
  <c r="W577" i="34"/>
  <c r="CZ577" i="34" s="1"/>
  <c r="DC237" i="34"/>
  <c r="DF245" i="34"/>
  <c r="DH265" i="34"/>
  <c r="DG265" i="34"/>
  <c r="DD309" i="34"/>
  <c r="DC309" i="34"/>
  <c r="DH302" i="34"/>
  <c r="DG325" i="34"/>
  <c r="DC452" i="34"/>
  <c r="DD452" i="34"/>
  <c r="DF556" i="34"/>
  <c r="DF583" i="34"/>
  <c r="DE583" i="34"/>
  <c r="DE581" i="34"/>
  <c r="DD124" i="34"/>
  <c r="DC124" i="34"/>
  <c r="DG135" i="34"/>
  <c r="DH200" i="34"/>
  <c r="DG200" i="34"/>
  <c r="DD258" i="34"/>
  <c r="DC258" i="34"/>
  <c r="DD301" i="34"/>
  <c r="DE199" i="34"/>
  <c r="DF199" i="34"/>
  <c r="DG242" i="34"/>
  <c r="DH320" i="34"/>
  <c r="DG320" i="34"/>
  <c r="DD392" i="34"/>
  <c r="DC392" i="34"/>
  <c r="DC381" i="34"/>
  <c r="DG452" i="34"/>
  <c r="DH452" i="34"/>
  <c r="DF428" i="34"/>
  <c r="DF512" i="34"/>
  <c r="DE512" i="34"/>
  <c r="DC628" i="34"/>
  <c r="DF111" i="34"/>
  <c r="DE111" i="34"/>
  <c r="DE253" i="34"/>
  <c r="DF253" i="34"/>
  <c r="DG366" i="34"/>
  <c r="DH366" i="34"/>
  <c r="DF433" i="34"/>
  <c r="DE433" i="34"/>
  <c r="DF560" i="34"/>
  <c r="Y618" i="34"/>
  <c r="DB618" i="34" s="1"/>
  <c r="DD644" i="34"/>
  <c r="W622" i="34"/>
  <c r="CZ622" i="34" s="1"/>
  <c r="DC634" i="34"/>
  <c r="DD634" i="34"/>
  <c r="Y637" i="34"/>
  <c r="DB637" i="34" s="1"/>
  <c r="W632" i="34"/>
  <c r="CZ632" i="34" s="1"/>
  <c r="H26" i="32"/>
  <c r="G26" i="32"/>
  <c r="G25" i="32"/>
  <c r="G28" i="32" s="1"/>
  <c r="G24" i="32"/>
  <c r="H25" i="32"/>
  <c r="H28" i="32" s="1"/>
  <c r="H24" i="32"/>
  <c r="H27" i="32"/>
  <c r="G27" i="32"/>
  <c r="DG191" i="34"/>
  <c r="DG426" i="34"/>
  <c r="DD112" i="34"/>
  <c r="DD113" i="34"/>
  <c r="DC560" i="34"/>
  <c r="DC432" i="34"/>
  <c r="DC426" i="34"/>
  <c r="DH373" i="34"/>
  <c r="DG559" i="34"/>
  <c r="DC386" i="34"/>
  <c r="DD386" i="34"/>
  <c r="DD431" i="34"/>
  <c r="DC115" i="34"/>
  <c r="DC186" i="34"/>
  <c r="DH114" i="34"/>
  <c r="DG114" i="34"/>
  <c r="DG501" i="34"/>
  <c r="DC507" i="34"/>
  <c r="DD507" i="34"/>
  <c r="DG507" i="34"/>
  <c r="DH507" i="34"/>
  <c r="DH511" i="34"/>
  <c r="DD581" i="34"/>
  <c r="DD245" i="34"/>
  <c r="DC251" i="34"/>
  <c r="DD183" i="34"/>
  <c r="DD449" i="34"/>
  <c r="DC242" i="34"/>
  <c r="DH432" i="34"/>
  <c r="DG432" i="34"/>
  <c r="DG328" i="34"/>
  <c r="DH328" i="34"/>
  <c r="DD199" i="34"/>
  <c r="DG506" i="34"/>
  <c r="DH506" i="34"/>
  <c r="DD637" i="34"/>
  <c r="DD516" i="34"/>
  <c r="DC516" i="34"/>
  <c r="DH428" i="34"/>
  <c r="DG428" i="34"/>
  <c r="DC385" i="34"/>
  <c r="DD385" i="34"/>
  <c r="DH566" i="34"/>
  <c r="DG566" i="34"/>
  <c r="DH245" i="34"/>
  <c r="DC111" i="34"/>
  <c r="DD576" i="34"/>
  <c r="DH622" i="34"/>
  <c r="DG622" i="34"/>
  <c r="DH243" i="34"/>
  <c r="DG243" i="34"/>
  <c r="DG111" i="34"/>
  <c r="DD641" i="34"/>
  <c r="DD559" i="34"/>
  <c r="DC559" i="34"/>
  <c r="DC510" i="34"/>
  <c r="DH427" i="34"/>
  <c r="DH441" i="34"/>
  <c r="DC554" i="34"/>
  <c r="DD554" i="34"/>
  <c r="DG364" i="34"/>
  <c r="DH364" i="34"/>
  <c r="DC112" i="34"/>
  <c r="DG441" i="34"/>
  <c r="DG389" i="34"/>
  <c r="DH389" i="34"/>
  <c r="DC191" i="34"/>
  <c r="DC364" i="34"/>
  <c r="DD364" i="34"/>
  <c r="DH112" i="34"/>
  <c r="DG112" i="34"/>
  <c r="DG556" i="34"/>
  <c r="DH556" i="34"/>
  <c r="DH577" i="34"/>
  <c r="DH244" i="34"/>
  <c r="DG244" i="34"/>
  <c r="DH199" i="34"/>
  <c r="DG199" i="34"/>
  <c r="DH581" i="34"/>
  <c r="DG581" i="34"/>
  <c r="K54" i="32"/>
  <c r="K55" i="32"/>
  <c r="K56" i="32"/>
  <c r="K57" i="32"/>
  <c r="K58" i="32"/>
  <c r="K59" i="32"/>
  <c r="K60" i="32"/>
  <c r="K61" i="32"/>
  <c r="K62" i="32"/>
  <c r="K63" i="32"/>
  <c r="K64" i="32"/>
  <c r="K65" i="32"/>
  <c r="K66" i="32"/>
  <c r="K67" i="32"/>
  <c r="K68" i="32"/>
  <c r="K69" i="32"/>
  <c r="K70" i="32"/>
  <c r="K71" i="32"/>
  <c r="K72" i="32"/>
  <c r="K73" i="32"/>
  <c r="K74" i="32"/>
  <c r="K75" i="32"/>
  <c r="K76" i="32"/>
  <c r="K77" i="32"/>
  <c r="K78" i="32"/>
  <c r="K79" i="32"/>
  <c r="K80" i="32"/>
  <c r="K81" i="32"/>
  <c r="K82" i="32"/>
  <c r="K83" i="32"/>
  <c r="K84" i="32"/>
  <c r="K85" i="32"/>
  <c r="K86" i="32"/>
  <c r="K87" i="32"/>
  <c r="K88" i="32"/>
  <c r="K89" i="32"/>
  <c r="K90" i="32"/>
  <c r="K91" i="32"/>
  <c r="K92" i="32"/>
  <c r="K93" i="32"/>
  <c r="K94" i="32"/>
  <c r="K95" i="32"/>
  <c r="K96" i="32"/>
  <c r="K97" i="32"/>
  <c r="K98" i="32"/>
  <c r="K99" i="32"/>
  <c r="K100" i="32"/>
  <c r="K101" i="32"/>
  <c r="K102" i="32"/>
  <c r="K103" i="32"/>
  <c r="K104" i="32"/>
  <c r="K105" i="32"/>
  <c r="K106" i="32"/>
  <c r="K107" i="32"/>
  <c r="K108" i="32"/>
  <c r="K109" i="32"/>
  <c r="K110" i="32"/>
  <c r="K111" i="32"/>
  <c r="K53" i="32"/>
  <c r="F32" i="31"/>
  <c r="CB32" i="31" s="1"/>
  <c r="F28" i="31"/>
  <c r="F24" i="31"/>
  <c r="F20" i="31"/>
  <c r="CA20" i="31" s="1"/>
  <c r="B140" i="31"/>
  <c r="F74" i="31"/>
  <c r="CA74" i="31"/>
  <c r="F73" i="31"/>
  <c r="CC73" i="31"/>
  <c r="F72" i="31"/>
  <c r="CA72" i="31"/>
  <c r="F71" i="31"/>
  <c r="CC71" i="31"/>
  <c r="F70" i="31"/>
  <c r="CA70" i="31"/>
  <c r="F69" i="31"/>
  <c r="F68" i="31"/>
  <c r="F67" i="31"/>
  <c r="CB67" i="31"/>
  <c r="F66" i="31"/>
  <c r="F65" i="31"/>
  <c r="CB65" i="31" s="1"/>
  <c r="F64" i="31"/>
  <c r="F63" i="31"/>
  <c r="F62" i="31"/>
  <c r="F61" i="31"/>
  <c r="CB61" i="31" s="1"/>
  <c r="F60" i="31"/>
  <c r="F59" i="31"/>
  <c r="CC59" i="31" s="1"/>
  <c r="F58" i="31"/>
  <c r="F57" i="31"/>
  <c r="F56" i="31"/>
  <c r="F55" i="31"/>
  <c r="F54" i="31"/>
  <c r="F53" i="31"/>
  <c r="F52" i="31"/>
  <c r="CA52" i="31" s="1"/>
  <c r="F51" i="31"/>
  <c r="F50" i="31"/>
  <c r="CA50" i="31" s="1"/>
  <c r="F49" i="31"/>
  <c r="F48" i="31"/>
  <c r="F47" i="31"/>
  <c r="CB47" i="31" s="1"/>
  <c r="F46" i="31"/>
  <c r="CA46" i="31"/>
  <c r="F45" i="31"/>
  <c r="F44" i="31"/>
  <c r="CB44" i="31" s="1"/>
  <c r="F43" i="31"/>
  <c r="F42" i="31"/>
  <c r="F41" i="31"/>
  <c r="F40" i="31"/>
  <c r="CA40" i="31" s="1"/>
  <c r="F39" i="31"/>
  <c r="F38" i="31"/>
  <c r="F37" i="31"/>
  <c r="F36" i="31"/>
  <c r="CC36" i="31" s="1"/>
  <c r="F35" i="31"/>
  <c r="CZ34" i="31"/>
  <c r="F34" i="31"/>
  <c r="A34" i="31"/>
  <c r="CZ33" i="31"/>
  <c r="F33" i="31"/>
  <c r="CZ32" i="31"/>
  <c r="CZ31" i="31"/>
  <c r="F31" i="31"/>
  <c r="CZ30" i="31"/>
  <c r="F30" i="31"/>
  <c r="CC30" i="31" s="1"/>
  <c r="CZ29" i="31"/>
  <c r="F29" i="31"/>
  <c r="CC29" i="31"/>
  <c r="CZ28" i="31"/>
  <c r="F27" i="31"/>
  <c r="CY26" i="31"/>
  <c r="F26" i="31"/>
  <c r="CB26" i="31" s="1"/>
  <c r="F25" i="31"/>
  <c r="BS24" i="31"/>
  <c r="BK24" i="31"/>
  <c r="BL24" i="31" s="1"/>
  <c r="BB24" i="31"/>
  <c r="BC24" i="31"/>
  <c r="AT24" i="31"/>
  <c r="AT25" i="31"/>
  <c r="AM24" i="31"/>
  <c r="AN24" i="31"/>
  <c r="CY23" i="31"/>
  <c r="CQ17" i="31"/>
  <c r="BT23" i="31"/>
  <c r="BL23" i="31"/>
  <c r="BC23" i="31"/>
  <c r="AU23" i="31"/>
  <c r="AN23" i="31"/>
  <c r="F23" i="31"/>
  <c r="CC23" i="31" s="1"/>
  <c r="CY22" i="31"/>
  <c r="F22" i="31"/>
  <c r="CY21" i="31"/>
  <c r="F21" i="31"/>
  <c r="CA21" i="31" s="1"/>
  <c r="AR25" i="31" s="1"/>
  <c r="CK19" i="31"/>
  <c r="F19" i="31"/>
  <c r="CB19" i="31" s="1"/>
  <c r="CY18" i="31"/>
  <c r="CR18" i="31"/>
  <c r="CT18" i="31" s="1"/>
  <c r="CO18" i="31"/>
  <c r="F18" i="31"/>
  <c r="E18" i="31"/>
  <c r="CL17" i="31"/>
  <c r="CK17" i="31"/>
  <c r="B15" i="31"/>
  <c r="AM16" i="31"/>
  <c r="BB16" i="31" s="1"/>
  <c r="CA16" i="31" s="1"/>
  <c r="CK16" i="31" s="1"/>
  <c r="A1" i="31"/>
  <c r="A657" i="31" s="1"/>
  <c r="AM25" i="31"/>
  <c r="AM26" i="31"/>
  <c r="AN26" i="31" s="1"/>
  <c r="CB69" i="31"/>
  <c r="CB48" i="31"/>
  <c r="CB54" i="31"/>
  <c r="CB56" i="31"/>
  <c r="CB58" i="31"/>
  <c r="CB60" i="31"/>
  <c r="CB25" i="31"/>
  <c r="CB35" i="31"/>
  <c r="CB45" i="31"/>
  <c r="CB59" i="31"/>
  <c r="CB63" i="31"/>
  <c r="CB34" i="31"/>
  <c r="CB62" i="31"/>
  <c r="CB64" i="31"/>
  <c r="CB66" i="31"/>
  <c r="CB28" i="31"/>
  <c r="BB25" i="31"/>
  <c r="BC25" i="31"/>
  <c r="AN25" i="31"/>
  <c r="CA49" i="31"/>
  <c r="CC69" i="31"/>
  <c r="CA66" i="31"/>
  <c r="CA32" i="31"/>
  <c r="CB72" i="31"/>
  <c r="CC19" i="31"/>
  <c r="CA25" i="31"/>
  <c r="CA30" i="31"/>
  <c r="CA59" i="31"/>
  <c r="CA62" i="31"/>
  <c r="CC22" i="31"/>
  <c r="CA28" i="31"/>
  <c r="CB46" i="31"/>
  <c r="CA56" i="31"/>
  <c r="CC61" i="31"/>
  <c r="CC62" i="31"/>
  <c r="CA67" i="31"/>
  <c r="CB70" i="31"/>
  <c r="CA64" i="31"/>
  <c r="CA48" i="31"/>
  <c r="CA63" i="31"/>
  <c r="CC64" i="31"/>
  <c r="CA65" i="31"/>
  <c r="CC67" i="31"/>
  <c r="CB74" i="31"/>
  <c r="CA34" i="31"/>
  <c r="CA60" i="31"/>
  <c r="CC63" i="31"/>
  <c r="CC65" i="31"/>
  <c r="CC28" i="31"/>
  <c r="CC32" i="31"/>
  <c r="CC34" i="31"/>
  <c r="CA54" i="31"/>
  <c r="CA58" i="31"/>
  <c r="CC60" i="31"/>
  <c r="CA61" i="31"/>
  <c r="CC66" i="31"/>
  <c r="CA69" i="31"/>
  <c r="AM27" i="31"/>
  <c r="CB21" i="31"/>
  <c r="CA23" i="31"/>
  <c r="CC25" i="31"/>
  <c r="CC26" i="31"/>
  <c r="CA29" i="31"/>
  <c r="CC31" i="31"/>
  <c r="CB20" i="31"/>
  <c r="CB23" i="31"/>
  <c r="CB29" i="31"/>
  <c r="CR19" i="31"/>
  <c r="CT19" i="31" s="1"/>
  <c r="CB30" i="31"/>
  <c r="CA36" i="31"/>
  <c r="AU24" i="31"/>
  <c r="CC35" i="31"/>
  <c r="CA35" i="31"/>
  <c r="CC37" i="31"/>
  <c r="CA37" i="31"/>
  <c r="CB37" i="31"/>
  <c r="CC41" i="31"/>
  <c r="CA41" i="31"/>
  <c r="CB41" i="31"/>
  <c r="CC40" i="31"/>
  <c r="CB40" i="31"/>
  <c r="CC44" i="31"/>
  <c r="CA44" i="31"/>
  <c r="CC39" i="31"/>
  <c r="CA39" i="31"/>
  <c r="CB39" i="31"/>
  <c r="CC43" i="31"/>
  <c r="CA43" i="31"/>
  <c r="CB43" i="31"/>
  <c r="CC38" i="31"/>
  <c r="CA42" i="31"/>
  <c r="CC45" i="31"/>
  <c r="CC46" i="31"/>
  <c r="CC47" i="31"/>
  <c r="CC48" i="31"/>
  <c r="CC50" i="31"/>
  <c r="CB50" i="31"/>
  <c r="CC52" i="31"/>
  <c r="CB52" i="31"/>
  <c r="CC55" i="31"/>
  <c r="CA55" i="31"/>
  <c r="CA45" i="31"/>
  <c r="CB55" i="31"/>
  <c r="CA57" i="31"/>
  <c r="CC56" i="31"/>
  <c r="CC54" i="31"/>
  <c r="CC58" i="31"/>
  <c r="CA71" i="31"/>
  <c r="CB71" i="31"/>
  <c r="CA73" i="31"/>
  <c r="CB73" i="31"/>
  <c r="CC70" i="31"/>
  <c r="CC72" i="31"/>
  <c r="CC74" i="31"/>
  <c r="BB26" i="31"/>
  <c r="BB27" i="31"/>
  <c r="BC26" i="31"/>
  <c r="BB28" i="31"/>
  <c r="BC27" i="31"/>
  <c r="C10" i="30"/>
  <c r="C29" i="30"/>
  <c r="F29" i="30"/>
  <c r="BB29" i="31"/>
  <c r="BB30" i="31" s="1"/>
  <c r="BB31" i="31" s="1"/>
  <c r="BC31" i="31" s="1"/>
  <c r="BC28" i="31"/>
  <c r="C11" i="30"/>
  <c r="F30" i="30" s="1"/>
  <c r="C12" i="30"/>
  <c r="C13" i="30"/>
  <c r="C14" i="30"/>
  <c r="C33" i="30" s="1"/>
  <c r="C15" i="30"/>
  <c r="C16" i="30"/>
  <c r="C17" i="30"/>
  <c r="C18" i="30"/>
  <c r="F37" i="30" s="1"/>
  <c r="C19" i="30"/>
  <c r="F38" i="30" s="1"/>
  <c r="C20" i="30"/>
  <c r="C21" i="30"/>
  <c r="C22" i="30"/>
  <c r="C41" i="30" s="1"/>
  <c r="C23" i="30"/>
  <c r="Q86" i="34"/>
  <c r="T86" i="34"/>
  <c r="U86" i="34" s="1"/>
  <c r="X86" i="34" s="1"/>
  <c r="DA86" i="34" s="1"/>
  <c r="DF86" i="34" s="1"/>
  <c r="Q93" i="34"/>
  <c r="Q56" i="34"/>
  <c r="S56" i="34"/>
  <c r="Q60" i="34"/>
  <c r="Q51" i="34"/>
  <c r="S51" i="34"/>
  <c r="Q50" i="34"/>
  <c r="T50" i="34"/>
  <c r="U50" i="34" s="1"/>
  <c r="Q74" i="34"/>
  <c r="Q54" i="34"/>
  <c r="S54" i="34"/>
  <c r="Q73" i="34"/>
  <c r="T73" i="34"/>
  <c r="U73" i="34" s="1"/>
  <c r="X73" i="34" s="1"/>
  <c r="DA73" i="34" s="1"/>
  <c r="Q62" i="34"/>
  <c r="Q91" i="34"/>
  <c r="T91" i="34"/>
  <c r="U91" i="34" s="1"/>
  <c r="Q77" i="34"/>
  <c r="T77" i="34"/>
  <c r="U77" i="34" s="1"/>
  <c r="Q76" i="34"/>
  <c r="S76" i="34"/>
  <c r="Q59" i="34"/>
  <c r="S59" i="34" s="1"/>
  <c r="T59" i="34"/>
  <c r="U59" i="34" s="1"/>
  <c r="Q83" i="34"/>
  <c r="T83" i="34"/>
  <c r="U83" i="34" s="1"/>
  <c r="X83" i="34" s="1"/>
  <c r="DA83" i="34" s="1"/>
  <c r="DF83" i="34" s="1"/>
  <c r="Q82" i="34"/>
  <c r="T82" i="34"/>
  <c r="U82" i="34" s="1"/>
  <c r="Q66" i="34"/>
  <c r="T66" i="34" s="1"/>
  <c r="U66" i="34" s="1"/>
  <c r="X66" i="34" s="1"/>
  <c r="DA66" i="34" s="1"/>
  <c r="Q52" i="34"/>
  <c r="T52" i="34" s="1"/>
  <c r="U52" i="34" s="1"/>
  <c r="S52" i="34"/>
  <c r="Q71" i="34"/>
  <c r="T71" i="34"/>
  <c r="U71" i="34" s="1"/>
  <c r="Q65" i="34"/>
  <c r="Q70" i="34"/>
  <c r="T70" i="34"/>
  <c r="U70" i="34" s="1"/>
  <c r="X70" i="34" s="1"/>
  <c r="W70" i="34" s="1"/>
  <c r="CZ70" i="34" s="1"/>
  <c r="Q75" i="34"/>
  <c r="S75" i="34"/>
  <c r="Q57" i="34"/>
  <c r="Q53" i="34"/>
  <c r="S53" i="34"/>
  <c r="Q85" i="34"/>
  <c r="Q78" i="34"/>
  <c r="T78" i="34"/>
  <c r="U78" i="34" s="1"/>
  <c r="X78" i="34" s="1"/>
  <c r="DA78" i="34" s="1"/>
  <c r="Q89" i="34"/>
  <c r="S89" i="34"/>
  <c r="Q72" i="34"/>
  <c r="S72" i="34" s="1"/>
  <c r="Q63" i="34"/>
  <c r="S63" i="34"/>
  <c r="Q48" i="34"/>
  <c r="T48" i="34" s="1"/>
  <c r="U48" i="34" s="1"/>
  <c r="X48" i="34" s="1"/>
  <c r="Q81" i="34"/>
  <c r="T81" i="34"/>
  <c r="U81" i="34" s="1"/>
  <c r="Q55" i="34"/>
  <c r="T55" i="34"/>
  <c r="U55" i="34" s="1"/>
  <c r="Q92" i="34"/>
  <c r="S92" i="34"/>
  <c r="Q79" i="34"/>
  <c r="S79" i="34"/>
  <c r="Q67" i="34"/>
  <c r="T67" i="34"/>
  <c r="U67" i="34" s="1"/>
  <c r="X67" i="34" s="1"/>
  <c r="DA67" i="34" s="1"/>
  <c r="Q84" i="34"/>
  <c r="Q68" i="34"/>
  <c r="T68" i="34"/>
  <c r="U68" i="34" s="1"/>
  <c r="Q88" i="34"/>
  <c r="T88" i="34"/>
  <c r="U88" i="34" s="1"/>
  <c r="Q80" i="34"/>
  <c r="S80" i="34"/>
  <c r="Q64" i="34"/>
  <c r="S64" i="34"/>
  <c r="Q94" i="34"/>
  <c r="S94" i="34"/>
  <c r="Q90" i="34"/>
  <c r="T90" i="34"/>
  <c r="U90" i="34" s="1"/>
  <c r="Q58" i="34"/>
  <c r="T58" i="34"/>
  <c r="U58" i="34" s="1"/>
  <c r="X58" i="34" s="1"/>
  <c r="DA58" i="34" s="1"/>
  <c r="Q61" i="34"/>
  <c r="S61" i="34"/>
  <c r="Q87" i="34"/>
  <c r="S87" i="34" s="1"/>
  <c r="T87" i="34"/>
  <c r="U87" i="34" s="1"/>
  <c r="Q49" i="34"/>
  <c r="T49" i="34"/>
  <c r="U49" i="34" s="1"/>
  <c r="Q69" i="34"/>
  <c r="S69" i="34"/>
  <c r="F41" i="30"/>
  <c r="C37" i="30"/>
  <c r="F33" i="30"/>
  <c r="C40" i="30"/>
  <c r="F40" i="30"/>
  <c r="F36" i="30"/>
  <c r="C36" i="30"/>
  <c r="C32" i="30"/>
  <c r="F32" i="30"/>
  <c r="C39" i="30"/>
  <c r="F39" i="30"/>
  <c r="C35" i="30"/>
  <c r="F35" i="30"/>
  <c r="C31" i="30"/>
  <c r="F31" i="30"/>
  <c r="C38" i="30"/>
  <c r="C30" i="30"/>
  <c r="S86" i="34"/>
  <c r="T56" i="34"/>
  <c r="U56" i="34" s="1"/>
  <c r="X56" i="34" s="1"/>
  <c r="S83" i="34"/>
  <c r="S77" i="34"/>
  <c r="S73" i="34"/>
  <c r="S82" i="34"/>
  <c r="T51" i="34"/>
  <c r="U51" i="34" s="1"/>
  <c r="S50" i="34"/>
  <c r="S67" i="34"/>
  <c r="T53" i="34"/>
  <c r="U53" i="34" s="1"/>
  <c r="X53" i="34" s="1"/>
  <c r="DA53" i="34" s="1"/>
  <c r="S55" i="34"/>
  <c r="T72" i="34"/>
  <c r="U72" i="34" s="1"/>
  <c r="S71" i="34"/>
  <c r="T76" i="34"/>
  <c r="U76" i="34" s="1"/>
  <c r="X76" i="34" s="1"/>
  <c r="S81" i="34"/>
  <c r="T75" i="34"/>
  <c r="U75" i="34" s="1"/>
  <c r="X75" i="34" s="1"/>
  <c r="T54" i="34"/>
  <c r="U54" i="34" s="1"/>
  <c r="S78" i="34"/>
  <c r="S91" i="34"/>
  <c r="T63" i="34"/>
  <c r="U63" i="34" s="1"/>
  <c r="X63" i="34" s="1"/>
  <c r="Y63" i="34" s="1"/>
  <c r="DB63" i="34" s="1"/>
  <c r="S68" i="34"/>
  <c r="S70" i="34"/>
  <c r="S66" i="34"/>
  <c r="T94" i="34"/>
  <c r="U94" i="34" s="1"/>
  <c r="T92" i="34"/>
  <c r="U92" i="34" s="1"/>
  <c r="X92" i="34" s="1"/>
  <c r="DA92" i="34" s="1"/>
  <c r="S88" i="34"/>
  <c r="T79" i="34"/>
  <c r="U79" i="34" s="1"/>
  <c r="S48" i="34"/>
  <c r="S49" i="34"/>
  <c r="S58" i="34"/>
  <c r="S90" i="34"/>
  <c r="T89" i="34"/>
  <c r="U89" i="34" s="1"/>
  <c r="T69" i="34"/>
  <c r="U69" i="34" s="1"/>
  <c r="X69" i="34" s="1"/>
  <c r="DA69" i="34" s="1"/>
  <c r="T80" i="34"/>
  <c r="U80" i="34" s="1"/>
  <c r="X80" i="34" s="1"/>
  <c r="DA80" i="34" s="1"/>
  <c r="T61" i="34"/>
  <c r="U61" i="34" s="1"/>
  <c r="T64" i="34"/>
  <c r="U64" i="34" s="1"/>
  <c r="X64" i="34" s="1"/>
  <c r="DA64" i="34" s="1"/>
  <c r="X68" i="34"/>
  <c r="DA68" i="34" s="1"/>
  <c r="BX25" i="31"/>
  <c r="BP24" i="31"/>
  <c r="BC30" i="31"/>
  <c r="BI25" i="31"/>
  <c r="BX29" i="31"/>
  <c r="BI24" i="31"/>
  <c r="E3" i="1"/>
  <c r="F3" i="1"/>
  <c r="G3" i="1"/>
  <c r="H3" i="1"/>
  <c r="D3" i="1"/>
  <c r="Q2" i="1"/>
  <c r="R2" i="1"/>
  <c r="S2" i="1"/>
  <c r="T2" i="1"/>
  <c r="P2" i="1"/>
  <c r="Y78" i="34"/>
  <c r="DB78" i="34" s="1"/>
  <c r="G24" i="31"/>
  <c r="AZ24" i="31"/>
  <c r="BB32" i="31"/>
  <c r="H5" i="22"/>
  <c r="H6" i="22"/>
  <c r="H7" i="22"/>
  <c r="H8" i="22"/>
  <c r="H9" i="22"/>
  <c r="H10" i="22"/>
  <c r="H11" i="22"/>
  <c r="H12" i="22"/>
  <c r="H13" i="22"/>
  <c r="H14" i="22"/>
  <c r="H15" i="22"/>
  <c r="H16" i="22"/>
  <c r="H17" i="22"/>
  <c r="H18" i="22"/>
  <c r="H19" i="22"/>
  <c r="H20" i="22"/>
  <c r="H21" i="22"/>
  <c r="H22" i="22"/>
  <c r="H23" i="22"/>
  <c r="H24" i="22"/>
  <c r="H25" i="22"/>
  <c r="H26" i="22"/>
  <c r="H27" i="22"/>
  <c r="H28" i="22"/>
  <c r="H29" i="22"/>
  <c r="I5" i="22"/>
  <c r="I6" i="22"/>
  <c r="I7" i="22"/>
  <c r="I8" i="22"/>
  <c r="I9" i="22"/>
  <c r="I10" i="22"/>
  <c r="I11" i="22"/>
  <c r="I12" i="22"/>
  <c r="I13" i="22"/>
  <c r="I14" i="22"/>
  <c r="I15" i="22"/>
  <c r="I16" i="22"/>
  <c r="I17" i="22"/>
  <c r="I18" i="22"/>
  <c r="I19" i="22"/>
  <c r="I20" i="22"/>
  <c r="I21" i="22"/>
  <c r="I22" i="22"/>
  <c r="I23" i="22"/>
  <c r="I24" i="22"/>
  <c r="I25" i="22"/>
  <c r="I26" i="22"/>
  <c r="I27" i="22"/>
  <c r="I28" i="22"/>
  <c r="I29" i="22"/>
  <c r="G6" i="22"/>
  <c r="G7" i="22"/>
  <c r="G8" i="22"/>
  <c r="G9" i="22"/>
  <c r="G10" i="22"/>
  <c r="G11" i="22"/>
  <c r="G12" i="22"/>
  <c r="G13" i="22"/>
  <c r="G14" i="22"/>
  <c r="G15" i="22"/>
  <c r="G16" i="22"/>
  <c r="G17" i="22"/>
  <c r="G18" i="22"/>
  <c r="G19" i="22"/>
  <c r="G20" i="22"/>
  <c r="G21" i="22"/>
  <c r="G22" i="22"/>
  <c r="G23" i="22"/>
  <c r="G24" i="22"/>
  <c r="G25" i="22"/>
  <c r="G26" i="22"/>
  <c r="G27" i="22"/>
  <c r="G28" i="22"/>
  <c r="G29" i="22"/>
  <c r="G5" i="22"/>
  <c r="G31" i="22" s="1"/>
  <c r="C23" i="21"/>
  <c r="D23" i="21"/>
  <c r="B23" i="21"/>
  <c r="C49" i="2"/>
  <c r="B67"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A1" i="2"/>
  <c r="A666" i="2" s="1"/>
  <c r="CQ615" i="2"/>
  <c r="CH615" i="2"/>
  <c r="BZ615" i="2"/>
  <c r="BS615" i="2"/>
  <c r="T663" i="2"/>
  <c r="U663" i="2" s="1"/>
  <c r="W663" i="2" s="1"/>
  <c r="CZ663" i="2" s="1"/>
  <c r="S663" i="2"/>
  <c r="T615" i="2"/>
  <c r="U615" i="2" s="1"/>
  <c r="T616" i="2"/>
  <c r="U616" i="2" s="1"/>
  <c r="X616" i="2"/>
  <c r="DA616" i="2" s="1"/>
  <c r="DF616" i="2" s="1"/>
  <c r="T617" i="2"/>
  <c r="U617" i="2" s="1"/>
  <c r="X617" i="2"/>
  <c r="DA617" i="2"/>
  <c r="C618" i="2"/>
  <c r="D618" i="2"/>
  <c r="C619" i="2"/>
  <c r="D619" i="2"/>
  <c r="C620" i="2"/>
  <c r="D620" i="2"/>
  <c r="S620" i="2"/>
  <c r="C621" i="2"/>
  <c r="D621" i="2"/>
  <c r="T621" i="2"/>
  <c r="U621" i="2"/>
  <c r="X621" i="2" s="1"/>
  <c r="DA621" i="2" s="1"/>
  <c r="C622" i="2"/>
  <c r="S622" i="2" s="1"/>
  <c r="D622" i="2"/>
  <c r="C623" i="2"/>
  <c r="D623" i="2"/>
  <c r="S623" i="2"/>
  <c r="C624" i="2"/>
  <c r="D624" i="2"/>
  <c r="C625" i="2"/>
  <c r="T625" i="2" s="1"/>
  <c r="U625" i="2" s="1"/>
  <c r="X625" i="2" s="1"/>
  <c r="DA625" i="2" s="1"/>
  <c r="D625" i="2"/>
  <c r="C626" i="2"/>
  <c r="D626" i="2"/>
  <c r="S626" i="2" s="1"/>
  <c r="C627" i="2"/>
  <c r="S627" i="2" s="1"/>
  <c r="D627" i="2"/>
  <c r="C628" i="2"/>
  <c r="S628" i="2" s="1"/>
  <c r="D628" i="2"/>
  <c r="C629" i="2"/>
  <c r="D629" i="2"/>
  <c r="S629" i="2" s="1"/>
  <c r="T629" i="2"/>
  <c r="U629" i="2" s="1"/>
  <c r="X629" i="2" s="1"/>
  <c r="DA629" i="2" s="1"/>
  <c r="C630" i="2"/>
  <c r="D630" i="2"/>
  <c r="C631" i="2"/>
  <c r="D631" i="2"/>
  <c r="C632" i="2"/>
  <c r="D632" i="2"/>
  <c r="C633" i="2"/>
  <c r="D633" i="2"/>
  <c r="S633" i="2" s="1"/>
  <c r="C634" i="2"/>
  <c r="D634" i="2"/>
  <c r="C635" i="2"/>
  <c r="T635" i="2" s="1"/>
  <c r="U635" i="2" s="1"/>
  <c r="D635" i="2"/>
  <c r="C636" i="2"/>
  <c r="D636" i="2"/>
  <c r="C637" i="2"/>
  <c r="D637" i="2"/>
  <c r="C638" i="2"/>
  <c r="D638" i="2"/>
  <c r="S638" i="2"/>
  <c r="C639" i="2"/>
  <c r="T639" i="2" s="1"/>
  <c r="D639" i="2"/>
  <c r="U639" i="2"/>
  <c r="C640" i="2"/>
  <c r="S640" i="2" s="1"/>
  <c r="D640" i="2"/>
  <c r="C641" i="2"/>
  <c r="D641" i="2"/>
  <c r="S641" i="2" s="1"/>
  <c r="C642" i="2"/>
  <c r="D642" i="2"/>
  <c r="S642" i="2"/>
  <c r="C643" i="2"/>
  <c r="S643" i="2" s="1"/>
  <c r="D643" i="2"/>
  <c r="C644" i="2"/>
  <c r="D644" i="2"/>
  <c r="C645" i="2"/>
  <c r="D645" i="2"/>
  <c r="C646" i="2"/>
  <c r="D646" i="2"/>
  <c r="C647" i="2"/>
  <c r="D647" i="2"/>
  <c r="C648" i="2"/>
  <c r="D648" i="2"/>
  <c r="S648" i="2" s="1"/>
  <c r="T649" i="2"/>
  <c r="U649" i="2" s="1"/>
  <c r="T650" i="2"/>
  <c r="U650" i="2"/>
  <c r="W650" i="2" s="1"/>
  <c r="CZ650" i="2" s="1"/>
  <c r="T651" i="2"/>
  <c r="U651" i="2" s="1"/>
  <c r="Y651" i="2" s="1"/>
  <c r="DB651" i="2" s="1"/>
  <c r="T652" i="2"/>
  <c r="U652" i="2"/>
  <c r="W652" i="2" s="1"/>
  <c r="CZ652" i="2" s="1"/>
  <c r="T653" i="2"/>
  <c r="U653" i="2" s="1"/>
  <c r="T654" i="2"/>
  <c r="U654" i="2"/>
  <c r="X654" i="2" s="1"/>
  <c r="DA654" i="2" s="1"/>
  <c r="DE654" i="2" s="1"/>
  <c r="T655" i="2"/>
  <c r="U655" i="2"/>
  <c r="W655" i="2" s="1"/>
  <c r="CZ655" i="2" s="1"/>
  <c r="X655" i="2"/>
  <c r="DA655" i="2" s="1"/>
  <c r="DE655" i="2" s="1"/>
  <c r="T656" i="2"/>
  <c r="U656" i="2" s="1"/>
  <c r="T657" i="2"/>
  <c r="U657" i="2"/>
  <c r="Y657" i="2" s="1"/>
  <c r="DB657" i="2" s="1"/>
  <c r="DG657" i="2" s="1"/>
  <c r="T658" i="2"/>
  <c r="U658" i="2" s="1"/>
  <c r="T659" i="2"/>
  <c r="U659" i="2"/>
  <c r="Y659" i="2" s="1"/>
  <c r="DB659" i="2" s="1"/>
  <c r="T660" i="2"/>
  <c r="U660" i="2"/>
  <c r="W660" i="2" s="1"/>
  <c r="CZ660" i="2" s="1"/>
  <c r="Y660" i="2"/>
  <c r="DB660" i="2" s="1"/>
  <c r="T661" i="2"/>
  <c r="U661" i="2"/>
  <c r="Y661" i="2"/>
  <c r="DB661" i="2" s="1"/>
  <c r="DG661" i="2" s="1"/>
  <c r="T662" i="2"/>
  <c r="U662" i="2" s="1"/>
  <c r="Y616" i="2"/>
  <c r="DB616" i="2" s="1"/>
  <c r="W616" i="2"/>
  <c r="CZ616" i="2" s="1"/>
  <c r="DC650" i="2"/>
  <c r="W651" i="2"/>
  <c r="CZ651" i="2" s="1"/>
  <c r="DF655" i="2"/>
  <c r="S662" i="2"/>
  <c r="S661" i="2"/>
  <c r="S660" i="2"/>
  <c r="S659" i="2"/>
  <c r="S658" i="2"/>
  <c r="S657" i="2"/>
  <c r="S656" i="2"/>
  <c r="S655" i="2"/>
  <c r="S654" i="2"/>
  <c r="S653" i="2"/>
  <c r="S652" i="2"/>
  <c r="S651" i="2"/>
  <c r="S650" i="2"/>
  <c r="S649" i="2"/>
  <c r="S644" i="2"/>
  <c r="S639" i="2"/>
  <c r="S634" i="2"/>
  <c r="A634" i="2"/>
  <c r="A633" i="2"/>
  <c r="I613" i="2" s="1"/>
  <c r="S632" i="2"/>
  <c r="A632" i="2"/>
  <c r="F613" i="2" s="1"/>
  <c r="A631" i="2"/>
  <c r="C613" i="2" s="1"/>
  <c r="S630" i="2"/>
  <c r="EA613" i="2"/>
  <c r="S625" i="2"/>
  <c r="S621" i="2"/>
  <c r="S618" i="2"/>
  <c r="S617" i="2"/>
  <c r="S616" i="2"/>
  <c r="S615" i="2"/>
  <c r="EA614" i="2"/>
  <c r="M614" i="2"/>
  <c r="L614" i="2"/>
  <c r="K614" i="2"/>
  <c r="J614" i="2"/>
  <c r="I614" i="2"/>
  <c r="H614" i="2"/>
  <c r="G614" i="2"/>
  <c r="F614" i="2"/>
  <c r="E614" i="2"/>
  <c r="D614" i="2"/>
  <c r="C614" i="2"/>
  <c r="L613" i="2"/>
  <c r="CQ550" i="2"/>
  <c r="CH550" i="2"/>
  <c r="BZ550" i="2"/>
  <c r="BS550" i="2"/>
  <c r="T598" i="2"/>
  <c r="U598" i="2"/>
  <c r="S598" i="2"/>
  <c r="T550" i="2"/>
  <c r="U550" i="2"/>
  <c r="T551" i="2"/>
  <c r="U551" i="2" s="1"/>
  <c r="T552" i="2"/>
  <c r="U552" i="2"/>
  <c r="X552" i="2"/>
  <c r="DA552" i="2" s="1"/>
  <c r="C553" i="2"/>
  <c r="D553" i="2"/>
  <c r="E553" i="2"/>
  <c r="C554" i="2"/>
  <c r="D554" i="2"/>
  <c r="E554" i="2"/>
  <c r="S554" i="2" s="1"/>
  <c r="C555" i="2"/>
  <c r="D555" i="2"/>
  <c r="E555" i="2"/>
  <c r="C556" i="2"/>
  <c r="S556" i="2" s="1"/>
  <c r="D556" i="2"/>
  <c r="E556" i="2"/>
  <c r="C557" i="2"/>
  <c r="D557" i="2"/>
  <c r="E557" i="2"/>
  <c r="C558" i="2"/>
  <c r="D558" i="2"/>
  <c r="E558" i="2"/>
  <c r="C559" i="2"/>
  <c r="D559" i="2"/>
  <c r="E559" i="2"/>
  <c r="C560" i="2"/>
  <c r="S560" i="2" s="1"/>
  <c r="D560" i="2"/>
  <c r="E560" i="2"/>
  <c r="C561" i="2"/>
  <c r="D561" i="2"/>
  <c r="E561" i="2"/>
  <c r="C562" i="2"/>
  <c r="D562" i="2"/>
  <c r="E562" i="2"/>
  <c r="C563" i="2"/>
  <c r="D563" i="2"/>
  <c r="E563" i="2"/>
  <c r="C564" i="2"/>
  <c r="D564" i="2"/>
  <c r="E564" i="2"/>
  <c r="C565" i="2"/>
  <c r="D565" i="2"/>
  <c r="E565" i="2"/>
  <c r="C566" i="2"/>
  <c r="D566" i="2"/>
  <c r="S566" i="2" s="1"/>
  <c r="E566" i="2"/>
  <c r="C567" i="2"/>
  <c r="D567" i="2"/>
  <c r="E567" i="2"/>
  <c r="C568" i="2"/>
  <c r="S568" i="2" s="1"/>
  <c r="D568" i="2"/>
  <c r="E568" i="2"/>
  <c r="C569" i="2"/>
  <c r="D569" i="2"/>
  <c r="E569" i="2"/>
  <c r="C570" i="2"/>
  <c r="D570" i="2"/>
  <c r="E570" i="2"/>
  <c r="C571" i="2"/>
  <c r="D571" i="2"/>
  <c r="E571" i="2"/>
  <c r="C572" i="2"/>
  <c r="D572" i="2"/>
  <c r="E572" i="2"/>
  <c r="C573" i="2"/>
  <c r="D573" i="2"/>
  <c r="E573" i="2"/>
  <c r="C574" i="2"/>
  <c r="D574" i="2"/>
  <c r="E574" i="2"/>
  <c r="C575" i="2"/>
  <c r="D575" i="2"/>
  <c r="E575" i="2"/>
  <c r="C576" i="2"/>
  <c r="D576" i="2"/>
  <c r="E576" i="2"/>
  <c r="C577" i="2"/>
  <c r="D577" i="2"/>
  <c r="E577" i="2"/>
  <c r="C578" i="2"/>
  <c r="D578" i="2"/>
  <c r="E578" i="2"/>
  <c r="C579" i="2"/>
  <c r="D579" i="2"/>
  <c r="E579" i="2"/>
  <c r="C580" i="2"/>
  <c r="D580" i="2"/>
  <c r="E580" i="2"/>
  <c r="C581" i="2"/>
  <c r="D581" i="2"/>
  <c r="E581" i="2"/>
  <c r="C582" i="2"/>
  <c r="D582" i="2"/>
  <c r="E582" i="2"/>
  <c r="C583" i="2"/>
  <c r="D583" i="2"/>
  <c r="E583" i="2"/>
  <c r="T584" i="2"/>
  <c r="U584" i="2" s="1"/>
  <c r="T585" i="2"/>
  <c r="U585" i="2"/>
  <c r="T586" i="2"/>
  <c r="U586" i="2" s="1"/>
  <c r="Y586" i="2" s="1"/>
  <c r="DB586" i="2" s="1"/>
  <c r="T587" i="2"/>
  <c r="U587" i="2"/>
  <c r="W587" i="2" s="1"/>
  <c r="CZ587" i="2" s="1"/>
  <c r="DD587" i="2" s="1"/>
  <c r="T588" i="2"/>
  <c r="U588" i="2"/>
  <c r="T589" i="2"/>
  <c r="U589" i="2" s="1"/>
  <c r="T590" i="2"/>
  <c r="U590" i="2"/>
  <c r="X590" i="2"/>
  <c r="DA590" i="2" s="1"/>
  <c r="T591" i="2"/>
  <c r="U591" i="2"/>
  <c r="Y591" i="2" s="1"/>
  <c r="DB591" i="2" s="1"/>
  <c r="T592" i="2"/>
  <c r="U592" i="2"/>
  <c r="T593" i="2"/>
  <c r="U593" i="2" s="1"/>
  <c r="T594" i="2"/>
  <c r="U594" i="2"/>
  <c r="X594" i="2" s="1"/>
  <c r="DA594" i="2" s="1"/>
  <c r="W594" i="2"/>
  <c r="CZ594" i="2" s="1"/>
  <c r="DC594" i="2" s="1"/>
  <c r="T595" i="2"/>
  <c r="U595" i="2" s="1"/>
  <c r="T596" i="2"/>
  <c r="U596" i="2"/>
  <c r="W596" i="2" s="1"/>
  <c r="CZ596" i="2" s="1"/>
  <c r="T597" i="2"/>
  <c r="U597" i="2" s="1"/>
  <c r="W590" i="2"/>
  <c r="CZ590" i="2" s="1"/>
  <c r="DC590" i="2" s="1"/>
  <c r="S597" i="2"/>
  <c r="S596" i="2"/>
  <c r="S595" i="2"/>
  <c r="S594" i="2"/>
  <c r="S593" i="2"/>
  <c r="S592" i="2"/>
  <c r="S591" i="2"/>
  <c r="S590" i="2"/>
  <c r="S589" i="2"/>
  <c r="S588" i="2"/>
  <c r="S587" i="2"/>
  <c r="S586" i="2"/>
  <c r="S585" i="2"/>
  <c r="S584" i="2"/>
  <c r="A569" i="2"/>
  <c r="L548" i="2"/>
  <c r="A568" i="2"/>
  <c r="A567" i="2"/>
  <c r="F548" i="2"/>
  <c r="A566" i="2"/>
  <c r="EA548" i="2"/>
  <c r="EB560" i="2"/>
  <c r="EC559" i="2"/>
  <c r="EE554" i="2"/>
  <c r="S552" i="2"/>
  <c r="S551" i="2"/>
  <c r="S550" i="2"/>
  <c r="EA549" i="2"/>
  <c r="M549" i="2"/>
  <c r="L549" i="2"/>
  <c r="K549" i="2"/>
  <c r="J549" i="2"/>
  <c r="I549" i="2"/>
  <c r="H549" i="2"/>
  <c r="G549" i="2"/>
  <c r="F549" i="2"/>
  <c r="E549" i="2"/>
  <c r="D549" i="2"/>
  <c r="C549" i="2"/>
  <c r="I548" i="2"/>
  <c r="C548" i="2"/>
  <c r="CQ486" i="2"/>
  <c r="CH486" i="2"/>
  <c r="BZ486" i="2"/>
  <c r="BS486" i="2"/>
  <c r="T534" i="2"/>
  <c r="U534" i="2"/>
  <c r="S534" i="2"/>
  <c r="T486" i="2"/>
  <c r="U486" i="2"/>
  <c r="X486" i="2"/>
  <c r="DA486" i="2" s="1"/>
  <c r="T487" i="2"/>
  <c r="U487" i="2"/>
  <c r="X487" i="2" s="1"/>
  <c r="DA487" i="2" s="1"/>
  <c r="T488" i="2"/>
  <c r="U488" i="2"/>
  <c r="C489" i="2"/>
  <c r="D489" i="2"/>
  <c r="C490" i="2"/>
  <c r="D490" i="2"/>
  <c r="S490" i="2" s="1"/>
  <c r="C491" i="2"/>
  <c r="D491" i="2"/>
  <c r="C492" i="2"/>
  <c r="S492" i="2" s="1"/>
  <c r="D492" i="2"/>
  <c r="C493" i="2"/>
  <c r="D493" i="2"/>
  <c r="S493" i="2"/>
  <c r="C494" i="2"/>
  <c r="D494" i="2"/>
  <c r="S494" i="2"/>
  <c r="C495" i="2"/>
  <c r="S495" i="2" s="1"/>
  <c r="D495" i="2"/>
  <c r="C496" i="2"/>
  <c r="D496" i="2"/>
  <c r="C497" i="2"/>
  <c r="D497" i="2"/>
  <c r="S497" i="2"/>
  <c r="C498" i="2"/>
  <c r="D498" i="2"/>
  <c r="C499" i="2"/>
  <c r="D499" i="2"/>
  <c r="C500" i="2"/>
  <c r="D500" i="2"/>
  <c r="C501" i="2"/>
  <c r="D501" i="2"/>
  <c r="T501" i="2"/>
  <c r="U501" i="2" s="1"/>
  <c r="C502" i="2"/>
  <c r="D502" i="2"/>
  <c r="C503" i="2"/>
  <c r="D503" i="2"/>
  <c r="C504" i="2"/>
  <c r="D504" i="2"/>
  <c r="S504" i="2" s="1"/>
  <c r="C505" i="2"/>
  <c r="S505" i="2" s="1"/>
  <c r="D505" i="2"/>
  <c r="C506" i="2"/>
  <c r="D506" i="2"/>
  <c r="C507" i="2"/>
  <c r="D507" i="2"/>
  <c r="C508" i="2"/>
  <c r="D508" i="2"/>
  <c r="C509" i="2"/>
  <c r="D509" i="2"/>
  <c r="C510" i="2"/>
  <c r="D510" i="2"/>
  <c r="C511" i="2"/>
  <c r="D511" i="2"/>
  <c r="S511" i="2"/>
  <c r="C512" i="2"/>
  <c r="S512" i="2" s="1"/>
  <c r="D512" i="2"/>
  <c r="C513" i="2"/>
  <c r="D513" i="2"/>
  <c r="S513" i="2" s="1"/>
  <c r="C514" i="2"/>
  <c r="D514" i="2"/>
  <c r="T514" i="2"/>
  <c r="U514" i="2"/>
  <c r="X514" i="2" s="1"/>
  <c r="DA514" i="2" s="1"/>
  <c r="C515" i="2"/>
  <c r="S515" i="2" s="1"/>
  <c r="D515" i="2"/>
  <c r="C516" i="2"/>
  <c r="D516" i="2"/>
  <c r="C517" i="2"/>
  <c r="D517" i="2"/>
  <c r="C518" i="2"/>
  <c r="D518" i="2"/>
  <c r="C519" i="2"/>
  <c r="T519" i="2" s="1"/>
  <c r="U519" i="2" s="1"/>
  <c r="D519" i="2"/>
  <c r="T520" i="2"/>
  <c r="U520" i="2"/>
  <c r="T521" i="2"/>
  <c r="U521" i="2" s="1"/>
  <c r="T522" i="2"/>
  <c r="U522" i="2"/>
  <c r="X522" i="2" s="1"/>
  <c r="DA522" i="2" s="1"/>
  <c r="T523" i="2"/>
  <c r="U523" i="2" s="1"/>
  <c r="X523" i="2" s="1"/>
  <c r="DA523" i="2" s="1"/>
  <c r="T524" i="2"/>
  <c r="U524" i="2"/>
  <c r="T525" i="2"/>
  <c r="U525" i="2" s="1"/>
  <c r="X525" i="2" s="1"/>
  <c r="DA525" i="2" s="1"/>
  <c r="T526" i="2"/>
  <c r="U526" i="2"/>
  <c r="T527" i="2"/>
  <c r="U527" i="2" s="1"/>
  <c r="X527" i="2" s="1"/>
  <c r="DA527" i="2" s="1"/>
  <c r="T528" i="2"/>
  <c r="U528" i="2" s="1"/>
  <c r="T529" i="2"/>
  <c r="U529" i="2" s="1"/>
  <c r="X529" i="2" s="1"/>
  <c r="DA529" i="2" s="1"/>
  <c r="T530" i="2"/>
  <c r="U530" i="2"/>
  <c r="Y530" i="2" s="1"/>
  <c r="DB530" i="2" s="1"/>
  <c r="DH530" i="2" s="1"/>
  <c r="X530" i="2"/>
  <c r="DA530" i="2" s="1"/>
  <c r="T531" i="2"/>
  <c r="U531" i="2"/>
  <c r="X531" i="2"/>
  <c r="DA531" i="2" s="1"/>
  <c r="T532" i="2"/>
  <c r="U532" i="2"/>
  <c r="T533" i="2"/>
  <c r="U533" i="2" s="1"/>
  <c r="X533" i="2" s="1"/>
  <c r="DA533" i="2" s="1"/>
  <c r="Y487" i="2"/>
  <c r="DB487" i="2" s="1"/>
  <c r="DG487" i="2" s="1"/>
  <c r="W487" i="2"/>
  <c r="CZ487" i="2" s="1"/>
  <c r="W530" i="2"/>
  <c r="CZ530" i="2" s="1"/>
  <c r="DC530" i="2" s="1"/>
  <c r="S533" i="2"/>
  <c r="S532" i="2"/>
  <c r="S531" i="2"/>
  <c r="S530" i="2"/>
  <c r="S529" i="2"/>
  <c r="S528" i="2"/>
  <c r="S527" i="2"/>
  <c r="S526" i="2"/>
  <c r="S525" i="2"/>
  <c r="S524" i="2"/>
  <c r="S523" i="2"/>
  <c r="S522" i="2"/>
  <c r="S521" i="2"/>
  <c r="S520" i="2"/>
  <c r="S518" i="2"/>
  <c r="S517" i="2"/>
  <c r="S509" i="2"/>
  <c r="S507" i="2"/>
  <c r="A505" i="2"/>
  <c r="A504" i="2"/>
  <c r="I484" i="2" s="1"/>
  <c r="A503" i="2"/>
  <c r="A502" i="2"/>
  <c r="S501" i="2"/>
  <c r="S500" i="2"/>
  <c r="EA484" i="2"/>
  <c r="S496" i="2"/>
  <c r="S491" i="2"/>
  <c r="S489" i="2"/>
  <c r="S488" i="2"/>
  <c r="S487" i="2"/>
  <c r="S486" i="2"/>
  <c r="EA485" i="2"/>
  <c r="M485" i="2"/>
  <c r="L485" i="2"/>
  <c r="K485" i="2"/>
  <c r="J485" i="2"/>
  <c r="I485" i="2"/>
  <c r="H485" i="2"/>
  <c r="G485" i="2"/>
  <c r="F485" i="2"/>
  <c r="E485" i="2"/>
  <c r="D485" i="2"/>
  <c r="C485" i="2"/>
  <c r="L484" i="2"/>
  <c r="F484" i="2"/>
  <c r="C484" i="2"/>
  <c r="CQ422" i="2"/>
  <c r="CH422" i="2"/>
  <c r="BZ422" i="2"/>
  <c r="BS422" i="2"/>
  <c r="C470" i="2"/>
  <c r="D470" i="2"/>
  <c r="T422" i="2"/>
  <c r="U422" i="2"/>
  <c r="T423" i="2"/>
  <c r="U423" i="2" s="1"/>
  <c r="T424" i="2"/>
  <c r="U424" i="2"/>
  <c r="C425" i="2"/>
  <c r="D425" i="2"/>
  <c r="C426" i="2"/>
  <c r="D426" i="2"/>
  <c r="C427" i="2"/>
  <c r="S427" i="2" s="1"/>
  <c r="D427" i="2"/>
  <c r="C428" i="2"/>
  <c r="D428" i="2"/>
  <c r="C429" i="2"/>
  <c r="S429" i="2" s="1"/>
  <c r="D429" i="2"/>
  <c r="C430" i="2"/>
  <c r="D430" i="2"/>
  <c r="C431" i="2"/>
  <c r="D431" i="2"/>
  <c r="S431" i="2" s="1"/>
  <c r="C432" i="2"/>
  <c r="D432" i="2"/>
  <c r="C433" i="2"/>
  <c r="D433" i="2"/>
  <c r="C434" i="2"/>
  <c r="D434" i="2"/>
  <c r="C435" i="2"/>
  <c r="D435" i="2"/>
  <c r="C436" i="2"/>
  <c r="D436" i="2"/>
  <c r="C437" i="2"/>
  <c r="D437" i="2"/>
  <c r="C438" i="2"/>
  <c r="D438" i="2"/>
  <c r="C439" i="2"/>
  <c r="D439" i="2"/>
  <c r="C440" i="2"/>
  <c r="D440" i="2"/>
  <c r="C441" i="2"/>
  <c r="D441" i="2"/>
  <c r="C442" i="2"/>
  <c r="D442" i="2"/>
  <c r="C443" i="2"/>
  <c r="D443" i="2"/>
  <c r="C444" i="2"/>
  <c r="D444" i="2"/>
  <c r="C445" i="2"/>
  <c r="D445" i="2"/>
  <c r="S445" i="2" s="1"/>
  <c r="C446" i="2"/>
  <c r="D446" i="2"/>
  <c r="C447" i="2"/>
  <c r="D447" i="2"/>
  <c r="C448" i="2"/>
  <c r="D448" i="2"/>
  <c r="C449" i="2"/>
  <c r="D449" i="2"/>
  <c r="C450" i="2"/>
  <c r="D450" i="2"/>
  <c r="C451" i="2"/>
  <c r="D451" i="2"/>
  <c r="C452" i="2"/>
  <c r="D452" i="2"/>
  <c r="C453" i="2"/>
  <c r="D453" i="2"/>
  <c r="C454" i="2"/>
  <c r="D454" i="2"/>
  <c r="C455" i="2"/>
  <c r="D455" i="2"/>
  <c r="T456" i="2"/>
  <c r="U456" i="2"/>
  <c r="T457" i="2"/>
  <c r="U457" i="2" s="1"/>
  <c r="T458" i="2"/>
  <c r="U458" i="2"/>
  <c r="T459" i="2"/>
  <c r="U459" i="2" s="1"/>
  <c r="T460" i="2"/>
  <c r="U460" i="2"/>
  <c r="T461" i="2"/>
  <c r="U461" i="2" s="1"/>
  <c r="T462" i="2"/>
  <c r="U462" i="2"/>
  <c r="T463" i="2"/>
  <c r="U463" i="2" s="1"/>
  <c r="T464" i="2"/>
  <c r="U464" i="2"/>
  <c r="X464" i="2" s="1"/>
  <c r="DA464" i="2" s="1"/>
  <c r="DE464" i="2" s="1"/>
  <c r="Y464" i="2"/>
  <c r="DB464" i="2" s="1"/>
  <c r="T465" i="2"/>
  <c r="U465" i="2" s="1"/>
  <c r="T466" i="2"/>
  <c r="U466" i="2"/>
  <c r="T467" i="2"/>
  <c r="U467" i="2" s="1"/>
  <c r="T468" i="2"/>
  <c r="U468" i="2"/>
  <c r="Y468" i="2"/>
  <c r="DB468" i="2" s="1"/>
  <c r="T469" i="2"/>
  <c r="U469" i="2"/>
  <c r="Y469" i="2" s="1"/>
  <c r="DB469" i="2" s="1"/>
  <c r="S469" i="2"/>
  <c r="S468" i="2"/>
  <c r="S467" i="2"/>
  <c r="S466" i="2"/>
  <c r="S465" i="2"/>
  <c r="S464" i="2"/>
  <c r="S463" i="2"/>
  <c r="S462" i="2"/>
  <c r="S461" i="2"/>
  <c r="S460" i="2"/>
  <c r="S459" i="2"/>
  <c r="S458" i="2"/>
  <c r="S457" i="2"/>
  <c r="S456" i="2"/>
  <c r="A441" i="2"/>
  <c r="L420" i="2"/>
  <c r="S440" i="2"/>
  <c r="A440" i="2"/>
  <c r="I420" i="2" s="1"/>
  <c r="A439" i="2"/>
  <c r="F420" i="2" s="1"/>
  <c r="A438" i="2"/>
  <c r="C420" i="2" s="1"/>
  <c r="S436" i="2"/>
  <c r="EA420" i="2"/>
  <c r="EC432" i="2"/>
  <c r="EC431" i="2"/>
  <c r="S424" i="2"/>
  <c r="S423" i="2"/>
  <c r="S422" i="2"/>
  <c r="EA421" i="2"/>
  <c r="M421" i="2"/>
  <c r="L421" i="2"/>
  <c r="K421" i="2"/>
  <c r="J421" i="2"/>
  <c r="I421" i="2"/>
  <c r="H421" i="2"/>
  <c r="G421" i="2"/>
  <c r="F421" i="2"/>
  <c r="E421" i="2"/>
  <c r="D421" i="2"/>
  <c r="C421" i="2"/>
  <c r="CQ359" i="2"/>
  <c r="CH359" i="2"/>
  <c r="BZ359" i="2"/>
  <c r="BS359" i="2"/>
  <c r="T407" i="2"/>
  <c r="U407" i="2" s="1"/>
  <c r="S407" i="2"/>
  <c r="T359" i="2"/>
  <c r="U359" i="2"/>
  <c r="T360" i="2"/>
  <c r="U360" i="2" s="1"/>
  <c r="Y360" i="2" s="1"/>
  <c r="DB360" i="2" s="1"/>
  <c r="T361" i="2"/>
  <c r="U361" i="2" s="1"/>
  <c r="W361" i="2" s="1"/>
  <c r="CZ361" i="2" s="1"/>
  <c r="C362" i="2"/>
  <c r="D362" i="2"/>
  <c r="E362" i="2"/>
  <c r="F362" i="2"/>
  <c r="G362" i="2"/>
  <c r="S362" i="2"/>
  <c r="C363" i="2"/>
  <c r="D363" i="2"/>
  <c r="E363" i="2"/>
  <c r="F363" i="2"/>
  <c r="G363" i="2"/>
  <c r="C364" i="2"/>
  <c r="D364" i="2"/>
  <c r="E364" i="2"/>
  <c r="F364" i="2"/>
  <c r="G364" i="2"/>
  <c r="C365" i="2"/>
  <c r="D365" i="2"/>
  <c r="S365" i="2" s="1"/>
  <c r="E365" i="2"/>
  <c r="F365" i="2"/>
  <c r="G365" i="2"/>
  <c r="C366" i="2"/>
  <c r="D366" i="2"/>
  <c r="E366" i="2"/>
  <c r="F366" i="2"/>
  <c r="G366" i="2"/>
  <c r="C367" i="2"/>
  <c r="D367" i="2"/>
  <c r="E367" i="2"/>
  <c r="F367" i="2"/>
  <c r="G367" i="2"/>
  <c r="C368" i="2"/>
  <c r="D368" i="2"/>
  <c r="E368" i="2"/>
  <c r="F368" i="2"/>
  <c r="G368" i="2"/>
  <c r="C369" i="2"/>
  <c r="D369" i="2"/>
  <c r="S369" i="2" s="1"/>
  <c r="E369" i="2"/>
  <c r="F369" i="2"/>
  <c r="G369" i="2"/>
  <c r="C370" i="2"/>
  <c r="S370" i="2" s="1"/>
  <c r="D370" i="2"/>
  <c r="E370" i="2"/>
  <c r="F370" i="2"/>
  <c r="G370" i="2"/>
  <c r="C371" i="2"/>
  <c r="D371" i="2"/>
  <c r="E371" i="2"/>
  <c r="F371" i="2"/>
  <c r="G371" i="2"/>
  <c r="C372" i="2"/>
  <c r="D372" i="2"/>
  <c r="S372" i="2" s="1"/>
  <c r="E372" i="2"/>
  <c r="F372" i="2"/>
  <c r="G372" i="2"/>
  <c r="C373" i="2"/>
  <c r="D373" i="2"/>
  <c r="E373" i="2"/>
  <c r="F373" i="2"/>
  <c r="G373" i="2"/>
  <c r="C374" i="2"/>
  <c r="D374" i="2"/>
  <c r="E374" i="2"/>
  <c r="F374" i="2"/>
  <c r="G374" i="2"/>
  <c r="C375" i="2"/>
  <c r="D375" i="2"/>
  <c r="E375" i="2"/>
  <c r="S375" i="2" s="1"/>
  <c r="F375" i="2"/>
  <c r="G375" i="2"/>
  <c r="C376" i="2"/>
  <c r="D376" i="2"/>
  <c r="E376" i="2"/>
  <c r="F376" i="2"/>
  <c r="G376" i="2"/>
  <c r="C377" i="2"/>
  <c r="S377" i="2" s="1"/>
  <c r="D377" i="2"/>
  <c r="E377" i="2"/>
  <c r="F377" i="2"/>
  <c r="G377" i="2"/>
  <c r="C378" i="2"/>
  <c r="D378" i="2"/>
  <c r="E378" i="2"/>
  <c r="F378" i="2"/>
  <c r="G378" i="2"/>
  <c r="C379" i="2"/>
  <c r="D379" i="2"/>
  <c r="E379" i="2"/>
  <c r="F379" i="2"/>
  <c r="G379" i="2"/>
  <c r="C380" i="2"/>
  <c r="D380" i="2"/>
  <c r="E380" i="2"/>
  <c r="F380" i="2"/>
  <c r="S380" i="2" s="1"/>
  <c r="G380" i="2"/>
  <c r="C381" i="2"/>
  <c r="D381" i="2"/>
  <c r="E381" i="2"/>
  <c r="F381" i="2"/>
  <c r="G381" i="2"/>
  <c r="C382" i="2"/>
  <c r="D382" i="2"/>
  <c r="E382" i="2"/>
  <c r="F382" i="2"/>
  <c r="G382" i="2"/>
  <c r="C383" i="2"/>
  <c r="D383" i="2"/>
  <c r="E383" i="2"/>
  <c r="F383" i="2"/>
  <c r="G383" i="2"/>
  <c r="C384" i="2"/>
  <c r="D384" i="2"/>
  <c r="E384" i="2"/>
  <c r="F384" i="2"/>
  <c r="G384" i="2"/>
  <c r="C385" i="2"/>
  <c r="D385" i="2"/>
  <c r="E385" i="2"/>
  <c r="F385" i="2"/>
  <c r="G385" i="2"/>
  <c r="C386" i="2"/>
  <c r="D386" i="2"/>
  <c r="E386" i="2"/>
  <c r="F386" i="2"/>
  <c r="G386" i="2"/>
  <c r="C387" i="2"/>
  <c r="D387" i="2"/>
  <c r="E387" i="2"/>
  <c r="F387" i="2"/>
  <c r="G387" i="2"/>
  <c r="C388" i="2"/>
  <c r="D388" i="2"/>
  <c r="E388" i="2"/>
  <c r="F388" i="2"/>
  <c r="G388" i="2"/>
  <c r="C389" i="2"/>
  <c r="D389" i="2"/>
  <c r="E389" i="2"/>
  <c r="S389" i="2" s="1"/>
  <c r="F389" i="2"/>
  <c r="G389" i="2"/>
  <c r="C390" i="2"/>
  <c r="D390" i="2"/>
  <c r="E390" i="2"/>
  <c r="F390" i="2"/>
  <c r="G390" i="2"/>
  <c r="C391" i="2"/>
  <c r="D391" i="2"/>
  <c r="E391" i="2"/>
  <c r="F391" i="2"/>
  <c r="G391" i="2"/>
  <c r="C392" i="2"/>
  <c r="D392" i="2"/>
  <c r="E392" i="2"/>
  <c r="F392" i="2"/>
  <c r="G392" i="2"/>
  <c r="T393" i="2"/>
  <c r="U393" i="2"/>
  <c r="X393" i="2" s="1"/>
  <c r="DA393" i="2" s="1"/>
  <c r="T394" i="2"/>
  <c r="U394" i="2" s="1"/>
  <c r="T395" i="2"/>
  <c r="U395" i="2"/>
  <c r="X395" i="2"/>
  <c r="DA395" i="2" s="1"/>
  <c r="T396" i="2"/>
  <c r="U396" i="2"/>
  <c r="X396" i="2"/>
  <c r="DA396" i="2" s="1"/>
  <c r="DE396" i="2" s="1"/>
  <c r="T397" i="2"/>
  <c r="U397" i="2"/>
  <c r="Y397" i="2" s="1"/>
  <c r="DB397" i="2" s="1"/>
  <c r="DG397" i="2" s="1"/>
  <c r="T398" i="2"/>
  <c r="U398" i="2" s="1"/>
  <c r="T399" i="2"/>
  <c r="U399" i="2"/>
  <c r="T400" i="2"/>
  <c r="U400" i="2" s="1"/>
  <c r="T401" i="2"/>
  <c r="U401" i="2" s="1"/>
  <c r="T402" i="2"/>
  <c r="U402" i="2"/>
  <c r="T403" i="2"/>
  <c r="U403" i="2" s="1"/>
  <c r="T404" i="2"/>
  <c r="U404" i="2"/>
  <c r="W404" i="2" s="1"/>
  <c r="CZ404" i="2" s="1"/>
  <c r="T405" i="2"/>
  <c r="U405" i="2"/>
  <c r="T406" i="2"/>
  <c r="U406" i="2" s="1"/>
  <c r="X406" i="2" s="1"/>
  <c r="DA406" i="2" s="1"/>
  <c r="DF406" i="2" s="1"/>
  <c r="Y395" i="2"/>
  <c r="DB395" i="2"/>
  <c r="DG395" i="2" s="1"/>
  <c r="W397" i="2"/>
  <c r="CZ397" i="2" s="1"/>
  <c r="S406" i="2"/>
  <c r="S405" i="2"/>
  <c r="S404" i="2"/>
  <c r="S403" i="2"/>
  <c r="S402" i="2"/>
  <c r="S401" i="2"/>
  <c r="S400" i="2"/>
  <c r="S399" i="2"/>
  <c r="S398" i="2"/>
  <c r="S397" i="2"/>
  <c r="S396" i="2"/>
  <c r="S395" i="2"/>
  <c r="S394" i="2"/>
  <c r="S393" i="2"/>
  <c r="S381" i="2"/>
  <c r="A378" i="2"/>
  <c r="L357" i="2"/>
  <c r="A377" i="2"/>
  <c r="I357" i="2" s="1"/>
  <c r="A376" i="2"/>
  <c r="F357" i="2" s="1"/>
  <c r="A375" i="2"/>
  <c r="C357" i="2" s="1"/>
  <c r="S373" i="2"/>
  <c r="EA357" i="2"/>
  <c r="S366" i="2"/>
  <c r="S361" i="2"/>
  <c r="S360" i="2"/>
  <c r="S359" i="2"/>
  <c r="EA358" i="2"/>
  <c r="M358" i="2"/>
  <c r="L358" i="2"/>
  <c r="K358" i="2"/>
  <c r="J358" i="2"/>
  <c r="I358" i="2"/>
  <c r="H358" i="2"/>
  <c r="G358" i="2"/>
  <c r="F358" i="2"/>
  <c r="E358" i="2"/>
  <c r="D358" i="2"/>
  <c r="C358" i="2"/>
  <c r="CQ296" i="2"/>
  <c r="CH296" i="2"/>
  <c r="BZ296" i="2"/>
  <c r="BS296" i="2"/>
  <c r="T344" i="2"/>
  <c r="U344" i="2"/>
  <c r="S344" i="2"/>
  <c r="T296" i="2"/>
  <c r="U296" i="2"/>
  <c r="T297" i="2"/>
  <c r="U297" i="2" s="1"/>
  <c r="T298" i="2"/>
  <c r="U298" i="2"/>
  <c r="X298" i="2"/>
  <c r="DA298" i="2" s="1"/>
  <c r="C299" i="2"/>
  <c r="D299" i="2"/>
  <c r="E299" i="2"/>
  <c r="F299" i="2"/>
  <c r="G299" i="2"/>
  <c r="C300" i="2"/>
  <c r="D300" i="2"/>
  <c r="E300" i="2"/>
  <c r="F300" i="2"/>
  <c r="G300" i="2"/>
  <c r="C301" i="2"/>
  <c r="D301" i="2"/>
  <c r="E301" i="2"/>
  <c r="F301" i="2"/>
  <c r="G301" i="2"/>
  <c r="C302" i="2"/>
  <c r="D302" i="2"/>
  <c r="E302" i="2"/>
  <c r="F302" i="2"/>
  <c r="G302" i="2"/>
  <c r="C303" i="2"/>
  <c r="D303" i="2"/>
  <c r="E303" i="2"/>
  <c r="F303" i="2"/>
  <c r="G303" i="2"/>
  <c r="C304" i="2"/>
  <c r="D304" i="2"/>
  <c r="E304" i="2"/>
  <c r="F304" i="2"/>
  <c r="G304" i="2"/>
  <c r="C305" i="2"/>
  <c r="D305" i="2"/>
  <c r="E305" i="2"/>
  <c r="F305" i="2"/>
  <c r="G305" i="2"/>
  <c r="C306" i="2"/>
  <c r="D306" i="2"/>
  <c r="E306" i="2"/>
  <c r="F306" i="2"/>
  <c r="G306" i="2"/>
  <c r="C307" i="2"/>
  <c r="D307" i="2"/>
  <c r="E307" i="2"/>
  <c r="F307" i="2"/>
  <c r="G307" i="2"/>
  <c r="C308" i="2"/>
  <c r="D308" i="2"/>
  <c r="E308" i="2"/>
  <c r="F308" i="2"/>
  <c r="G308" i="2"/>
  <c r="C309" i="2"/>
  <c r="D309" i="2"/>
  <c r="E309" i="2"/>
  <c r="F309" i="2"/>
  <c r="G309" i="2"/>
  <c r="C310" i="2"/>
  <c r="D310" i="2"/>
  <c r="E310" i="2"/>
  <c r="F310" i="2"/>
  <c r="G310" i="2"/>
  <c r="C311" i="2"/>
  <c r="D311" i="2"/>
  <c r="E311" i="2"/>
  <c r="F311" i="2"/>
  <c r="G311" i="2"/>
  <c r="C312" i="2"/>
  <c r="D312" i="2"/>
  <c r="E312" i="2"/>
  <c r="F312" i="2"/>
  <c r="G312" i="2"/>
  <c r="C313" i="2"/>
  <c r="D313" i="2"/>
  <c r="E313" i="2"/>
  <c r="F313" i="2"/>
  <c r="G313" i="2"/>
  <c r="C314" i="2"/>
  <c r="D314" i="2"/>
  <c r="E314" i="2"/>
  <c r="F314" i="2"/>
  <c r="S314" i="2" s="1"/>
  <c r="G314" i="2"/>
  <c r="C315" i="2"/>
  <c r="D315" i="2"/>
  <c r="E315" i="2"/>
  <c r="F315" i="2"/>
  <c r="G315" i="2"/>
  <c r="C316" i="2"/>
  <c r="D316" i="2"/>
  <c r="E316" i="2"/>
  <c r="F316" i="2"/>
  <c r="G316" i="2"/>
  <c r="C317" i="2"/>
  <c r="D317" i="2"/>
  <c r="E317" i="2"/>
  <c r="F317" i="2"/>
  <c r="G317" i="2"/>
  <c r="C318" i="2"/>
  <c r="D318" i="2"/>
  <c r="E318" i="2"/>
  <c r="F318" i="2"/>
  <c r="G318" i="2"/>
  <c r="C319" i="2"/>
  <c r="D319" i="2"/>
  <c r="E319" i="2"/>
  <c r="F319" i="2"/>
  <c r="G319" i="2"/>
  <c r="C320" i="2"/>
  <c r="D320" i="2"/>
  <c r="E320" i="2"/>
  <c r="F320" i="2"/>
  <c r="G320" i="2"/>
  <c r="C321" i="2"/>
  <c r="D321" i="2"/>
  <c r="E321" i="2"/>
  <c r="F321" i="2"/>
  <c r="G321" i="2"/>
  <c r="C322" i="2"/>
  <c r="D322" i="2"/>
  <c r="E322" i="2"/>
  <c r="F322" i="2"/>
  <c r="G322" i="2"/>
  <c r="C323" i="2"/>
  <c r="D323" i="2"/>
  <c r="E323" i="2"/>
  <c r="F323" i="2"/>
  <c r="G323" i="2"/>
  <c r="C324" i="2"/>
  <c r="D324" i="2"/>
  <c r="E324" i="2"/>
  <c r="F324" i="2"/>
  <c r="G324" i="2"/>
  <c r="C325" i="2"/>
  <c r="D325" i="2"/>
  <c r="E325" i="2"/>
  <c r="F325" i="2"/>
  <c r="G325" i="2"/>
  <c r="C326" i="2"/>
  <c r="D326" i="2"/>
  <c r="E326" i="2"/>
  <c r="F326" i="2"/>
  <c r="G326" i="2"/>
  <c r="C327" i="2"/>
  <c r="D327" i="2"/>
  <c r="E327" i="2"/>
  <c r="F327" i="2"/>
  <c r="G327" i="2"/>
  <c r="C328" i="2"/>
  <c r="D328" i="2"/>
  <c r="E328" i="2"/>
  <c r="F328" i="2"/>
  <c r="G328" i="2"/>
  <c r="C329" i="2"/>
  <c r="D329" i="2"/>
  <c r="E329" i="2"/>
  <c r="F329" i="2"/>
  <c r="G329" i="2"/>
  <c r="T330" i="2"/>
  <c r="U330" i="2" s="1"/>
  <c r="X330" i="2" s="1"/>
  <c r="DA330" i="2" s="1"/>
  <c r="T331" i="2"/>
  <c r="U331" i="2" s="1"/>
  <c r="T332" i="2"/>
  <c r="U332" i="2" s="1"/>
  <c r="T333" i="2"/>
  <c r="U333" i="2"/>
  <c r="T334" i="2"/>
  <c r="U334" i="2" s="1"/>
  <c r="X334" i="2" s="1"/>
  <c r="DA334" i="2" s="1"/>
  <c r="DF334" i="2" s="1"/>
  <c r="T335" i="2"/>
  <c r="U335" i="2" s="1"/>
  <c r="T336" i="2"/>
  <c r="U336" i="2" s="1"/>
  <c r="T337" i="2"/>
  <c r="U337" i="2"/>
  <c r="T338" i="2"/>
  <c r="U338" i="2" s="1"/>
  <c r="X338" i="2" s="1"/>
  <c r="DA338" i="2" s="1"/>
  <c r="DE338" i="2" s="1"/>
  <c r="T339" i="2"/>
  <c r="U339" i="2" s="1"/>
  <c r="W339" i="2" s="1"/>
  <c r="CZ339" i="2" s="1"/>
  <c r="DC339" i="2" s="1"/>
  <c r="T340" i="2"/>
  <c r="U340" i="2"/>
  <c r="T341" i="2"/>
  <c r="U341" i="2" s="1"/>
  <c r="T342" i="2"/>
  <c r="U342" i="2"/>
  <c r="X342" i="2" s="1"/>
  <c r="DA342" i="2" s="1"/>
  <c r="DE342" i="2" s="1"/>
  <c r="T343" i="2"/>
  <c r="U343" i="2"/>
  <c r="S343" i="2"/>
  <c r="S342" i="2"/>
  <c r="S341" i="2"/>
  <c r="S340" i="2"/>
  <c r="S339" i="2"/>
  <c r="S338" i="2"/>
  <c r="S337" i="2"/>
  <c r="S336" i="2"/>
  <c r="S335" i="2"/>
  <c r="S334" i="2"/>
  <c r="S333" i="2"/>
  <c r="S332" i="2"/>
  <c r="S331" i="2"/>
  <c r="S330" i="2"/>
  <c r="A315" i="2"/>
  <c r="A314" i="2"/>
  <c r="I294" i="2" s="1"/>
  <c r="A313" i="2"/>
  <c r="A312" i="2"/>
  <c r="C294" i="2" s="1"/>
  <c r="EA294" i="2"/>
  <c r="S298" i="2"/>
  <c r="S297" i="2"/>
  <c r="S296" i="2"/>
  <c r="EA295" i="2"/>
  <c r="M295" i="2"/>
  <c r="L295" i="2"/>
  <c r="K295" i="2"/>
  <c r="J295" i="2"/>
  <c r="I295" i="2"/>
  <c r="H295" i="2"/>
  <c r="G295" i="2"/>
  <c r="F295" i="2"/>
  <c r="E295" i="2"/>
  <c r="D295" i="2"/>
  <c r="C295" i="2"/>
  <c r="L294" i="2"/>
  <c r="F294" i="2"/>
  <c r="CQ233" i="2"/>
  <c r="T233" i="2"/>
  <c r="U233" i="2" s="1"/>
  <c r="X233" i="2" s="1"/>
  <c r="DA233" i="2" s="1"/>
  <c r="DF233" i="2" s="1"/>
  <c r="T234" i="2"/>
  <c r="U234" i="2"/>
  <c r="Y234" i="2"/>
  <c r="DB234" i="2" s="1"/>
  <c r="DH234" i="2" s="1"/>
  <c r="T235" i="2"/>
  <c r="U235" i="2"/>
  <c r="C236" i="2"/>
  <c r="S236" i="2" s="1"/>
  <c r="D236" i="2"/>
  <c r="E236" i="2"/>
  <c r="F236" i="2"/>
  <c r="G236" i="2"/>
  <c r="C237" i="2"/>
  <c r="D237" i="2"/>
  <c r="E237" i="2"/>
  <c r="F237" i="2"/>
  <c r="S237" i="2" s="1"/>
  <c r="G237" i="2"/>
  <c r="C238" i="2"/>
  <c r="D238" i="2"/>
  <c r="E238" i="2"/>
  <c r="F238" i="2"/>
  <c r="G238" i="2"/>
  <c r="C239" i="2"/>
  <c r="D239" i="2"/>
  <c r="S239" i="2" s="1"/>
  <c r="E239" i="2"/>
  <c r="F239" i="2"/>
  <c r="G239" i="2"/>
  <c r="C240" i="2"/>
  <c r="S240" i="2" s="1"/>
  <c r="D240" i="2"/>
  <c r="E240" i="2"/>
  <c r="F240" i="2"/>
  <c r="G240" i="2"/>
  <c r="C241" i="2"/>
  <c r="D241" i="2"/>
  <c r="E241" i="2"/>
  <c r="F241" i="2"/>
  <c r="G241" i="2"/>
  <c r="C242" i="2"/>
  <c r="D242" i="2"/>
  <c r="E242" i="2"/>
  <c r="S242" i="2" s="1"/>
  <c r="F242" i="2"/>
  <c r="G242" i="2"/>
  <c r="C243" i="2"/>
  <c r="D243" i="2"/>
  <c r="E243" i="2"/>
  <c r="F243" i="2"/>
  <c r="G243" i="2"/>
  <c r="C244" i="2"/>
  <c r="S244" i="2" s="1"/>
  <c r="D244" i="2"/>
  <c r="E244" i="2"/>
  <c r="F244" i="2"/>
  <c r="G244" i="2"/>
  <c r="C245" i="2"/>
  <c r="D245" i="2"/>
  <c r="E245" i="2"/>
  <c r="F245" i="2"/>
  <c r="S245" i="2" s="1"/>
  <c r="G245" i="2"/>
  <c r="C246" i="2"/>
  <c r="D246" i="2"/>
  <c r="E246" i="2"/>
  <c r="F246" i="2"/>
  <c r="G246" i="2"/>
  <c r="C247" i="2"/>
  <c r="D247" i="2"/>
  <c r="S247" i="2" s="1"/>
  <c r="E247" i="2"/>
  <c r="F247" i="2"/>
  <c r="G247" i="2"/>
  <c r="C248" i="2"/>
  <c r="S248" i="2" s="1"/>
  <c r="D248" i="2"/>
  <c r="E248" i="2"/>
  <c r="F248" i="2"/>
  <c r="G248" i="2"/>
  <c r="C249" i="2"/>
  <c r="D249" i="2"/>
  <c r="E249" i="2"/>
  <c r="F249" i="2"/>
  <c r="G249" i="2"/>
  <c r="C250" i="2"/>
  <c r="D250" i="2"/>
  <c r="E250" i="2"/>
  <c r="F250" i="2"/>
  <c r="G250" i="2"/>
  <c r="C251" i="2"/>
  <c r="D251" i="2"/>
  <c r="E251" i="2"/>
  <c r="F251" i="2"/>
  <c r="G251" i="2"/>
  <c r="C252" i="2"/>
  <c r="S252" i="2" s="1"/>
  <c r="D252" i="2"/>
  <c r="E252" i="2"/>
  <c r="F252" i="2"/>
  <c r="G252" i="2"/>
  <c r="C253" i="2"/>
  <c r="D253" i="2"/>
  <c r="E253" i="2"/>
  <c r="F253" i="2"/>
  <c r="G253" i="2"/>
  <c r="C254" i="2"/>
  <c r="D254" i="2"/>
  <c r="E254" i="2"/>
  <c r="F254" i="2"/>
  <c r="G254" i="2"/>
  <c r="C255" i="2"/>
  <c r="D255" i="2"/>
  <c r="E255" i="2"/>
  <c r="F255" i="2"/>
  <c r="G255" i="2"/>
  <c r="C256" i="2"/>
  <c r="D256" i="2"/>
  <c r="E256" i="2"/>
  <c r="F256" i="2"/>
  <c r="G256" i="2"/>
  <c r="C257" i="2"/>
  <c r="D257" i="2"/>
  <c r="E257" i="2"/>
  <c r="F257" i="2"/>
  <c r="G257" i="2"/>
  <c r="C258" i="2"/>
  <c r="D258" i="2"/>
  <c r="E258" i="2"/>
  <c r="F258" i="2"/>
  <c r="G258" i="2"/>
  <c r="C259" i="2"/>
  <c r="D259" i="2"/>
  <c r="E259" i="2"/>
  <c r="F259" i="2"/>
  <c r="G259" i="2"/>
  <c r="C260" i="2"/>
  <c r="D260" i="2"/>
  <c r="E260" i="2"/>
  <c r="F260" i="2"/>
  <c r="G260" i="2"/>
  <c r="C261" i="2"/>
  <c r="D261" i="2"/>
  <c r="E261" i="2"/>
  <c r="F261" i="2"/>
  <c r="S261" i="2" s="1"/>
  <c r="G261" i="2"/>
  <c r="C262" i="2"/>
  <c r="D262" i="2"/>
  <c r="E262" i="2"/>
  <c r="F262" i="2"/>
  <c r="G262" i="2"/>
  <c r="C263" i="2"/>
  <c r="D263" i="2"/>
  <c r="E263" i="2"/>
  <c r="F263" i="2"/>
  <c r="G263" i="2"/>
  <c r="C264" i="2"/>
  <c r="D264" i="2"/>
  <c r="E264" i="2"/>
  <c r="F264" i="2"/>
  <c r="G264" i="2"/>
  <c r="C265" i="2"/>
  <c r="S265" i="2" s="1"/>
  <c r="D265" i="2"/>
  <c r="E265" i="2"/>
  <c r="F265" i="2"/>
  <c r="G265" i="2"/>
  <c r="C266" i="2"/>
  <c r="D266" i="2"/>
  <c r="E266" i="2"/>
  <c r="F266" i="2"/>
  <c r="G266" i="2"/>
  <c r="T267" i="2"/>
  <c r="U267" i="2" s="1"/>
  <c r="X267" i="2" s="1"/>
  <c r="DA267" i="2" s="1"/>
  <c r="T268" i="2"/>
  <c r="U268" i="2" s="1"/>
  <c r="T269" i="2"/>
  <c r="U269" i="2" s="1"/>
  <c r="T270" i="2"/>
  <c r="U270" i="2" s="1"/>
  <c r="T271" i="2"/>
  <c r="U271" i="2" s="1"/>
  <c r="X271" i="2" s="1"/>
  <c r="DA271" i="2" s="1"/>
  <c r="DF271" i="2" s="1"/>
  <c r="T272" i="2"/>
  <c r="U272" i="2" s="1"/>
  <c r="Y272" i="2" s="1"/>
  <c r="DB272" i="2" s="1"/>
  <c r="DG272" i="2" s="1"/>
  <c r="T273" i="2"/>
  <c r="U273" i="2"/>
  <c r="T274" i="2"/>
  <c r="U274" i="2" s="1"/>
  <c r="T275" i="2"/>
  <c r="U275" i="2"/>
  <c r="T276" i="2"/>
  <c r="U276" i="2" s="1"/>
  <c r="Y276" i="2" s="1"/>
  <c r="DB276" i="2" s="1"/>
  <c r="T277" i="2"/>
  <c r="U277" i="2" s="1"/>
  <c r="X277" i="2" s="1"/>
  <c r="DA277" i="2" s="1"/>
  <c r="DE277" i="2" s="1"/>
  <c r="T278" i="2"/>
  <c r="U278" i="2"/>
  <c r="CH233" i="2"/>
  <c r="BZ233" i="2"/>
  <c r="BS233" i="2"/>
  <c r="X275" i="2"/>
  <c r="DA275" i="2" s="1"/>
  <c r="T281" i="2"/>
  <c r="U281" i="2" s="1"/>
  <c r="S281" i="2"/>
  <c r="T280" i="2"/>
  <c r="U280" i="2"/>
  <c r="W280" i="2" s="1"/>
  <c r="S280" i="2"/>
  <c r="T279" i="2"/>
  <c r="U279" i="2"/>
  <c r="S279" i="2"/>
  <c r="S278" i="2"/>
  <c r="S277" i="2"/>
  <c r="S276" i="2"/>
  <c r="S275" i="2"/>
  <c r="S274" i="2"/>
  <c r="S273" i="2"/>
  <c r="S272" i="2"/>
  <c r="S271" i="2"/>
  <c r="S270" i="2"/>
  <c r="S269" i="2"/>
  <c r="S268" i="2"/>
  <c r="S267" i="2"/>
  <c r="S262" i="2"/>
  <c r="A252" i="2"/>
  <c r="L231" i="2"/>
  <c r="A251" i="2"/>
  <c r="A250" i="2"/>
  <c r="F231" i="2" s="1"/>
  <c r="S249" i="2"/>
  <c r="A249" i="2"/>
  <c r="S246" i="2"/>
  <c r="EA231" i="2"/>
  <c r="EC244" i="2" s="1"/>
  <c r="EA244" i="2"/>
  <c r="EC242" i="2"/>
  <c r="S241" i="2"/>
  <c r="EE238" i="2"/>
  <c r="S238" i="2"/>
  <c r="S235" i="2"/>
  <c r="S234" i="2"/>
  <c r="S233" i="2"/>
  <c r="EA232" i="2"/>
  <c r="M232" i="2"/>
  <c r="L232" i="2"/>
  <c r="K232" i="2"/>
  <c r="J232" i="2"/>
  <c r="I232" i="2"/>
  <c r="H232" i="2"/>
  <c r="G232" i="2"/>
  <c r="F232" i="2"/>
  <c r="E232" i="2"/>
  <c r="D232" i="2"/>
  <c r="C232" i="2"/>
  <c r="I231" i="2"/>
  <c r="C231" i="2"/>
  <c r="CQ170" i="2"/>
  <c r="CH170" i="2"/>
  <c r="BZ170" i="2"/>
  <c r="BS170" i="2"/>
  <c r="T218" i="2"/>
  <c r="U218" i="2" s="1"/>
  <c r="S218" i="2"/>
  <c r="T170" i="2"/>
  <c r="U170" i="2"/>
  <c r="T171" i="2"/>
  <c r="U171" i="2" s="1"/>
  <c r="T172" i="2"/>
  <c r="U172" i="2"/>
  <c r="X172" i="2" s="1"/>
  <c r="DA172" i="2" s="1"/>
  <c r="C173" i="2"/>
  <c r="D173" i="2"/>
  <c r="E173" i="2"/>
  <c r="F173" i="2"/>
  <c r="G173" i="2"/>
  <c r="S173" i="2"/>
  <c r="C174" i="2"/>
  <c r="D174" i="2"/>
  <c r="E174" i="2"/>
  <c r="F174" i="2"/>
  <c r="S174" i="2" s="1"/>
  <c r="G174" i="2"/>
  <c r="C175" i="2"/>
  <c r="D175" i="2"/>
  <c r="E175" i="2"/>
  <c r="S175" i="2" s="1"/>
  <c r="F175" i="2"/>
  <c r="G175" i="2"/>
  <c r="C176" i="2"/>
  <c r="S176" i="2" s="1"/>
  <c r="D176" i="2"/>
  <c r="E176" i="2"/>
  <c r="F176" i="2"/>
  <c r="G176" i="2"/>
  <c r="C177" i="2"/>
  <c r="D177" i="2"/>
  <c r="E177" i="2"/>
  <c r="F177" i="2"/>
  <c r="S177" i="2" s="1"/>
  <c r="G177" i="2"/>
  <c r="C178" i="2"/>
  <c r="D178" i="2"/>
  <c r="E178" i="2"/>
  <c r="F178" i="2"/>
  <c r="G178" i="2"/>
  <c r="C179" i="2"/>
  <c r="S179" i="2" s="1"/>
  <c r="D179" i="2"/>
  <c r="E179" i="2"/>
  <c r="F179" i="2"/>
  <c r="G179" i="2"/>
  <c r="C180" i="2"/>
  <c r="D180" i="2"/>
  <c r="E180" i="2"/>
  <c r="S180" i="2" s="1"/>
  <c r="F180" i="2"/>
  <c r="G180" i="2"/>
  <c r="C181" i="2"/>
  <c r="D181" i="2"/>
  <c r="E181" i="2"/>
  <c r="F181" i="2"/>
  <c r="G181" i="2"/>
  <c r="C182" i="2"/>
  <c r="D182" i="2"/>
  <c r="E182" i="2"/>
  <c r="F182" i="2"/>
  <c r="G182" i="2"/>
  <c r="C183" i="2"/>
  <c r="D183" i="2"/>
  <c r="E183" i="2"/>
  <c r="F183" i="2"/>
  <c r="G183" i="2"/>
  <c r="C184" i="2"/>
  <c r="D184" i="2"/>
  <c r="E184" i="2"/>
  <c r="F184" i="2"/>
  <c r="G184" i="2"/>
  <c r="C185" i="2"/>
  <c r="D185" i="2"/>
  <c r="E185" i="2"/>
  <c r="F185" i="2"/>
  <c r="G185" i="2"/>
  <c r="C186" i="2"/>
  <c r="D186" i="2"/>
  <c r="E186" i="2"/>
  <c r="F186" i="2"/>
  <c r="G186" i="2"/>
  <c r="C187" i="2"/>
  <c r="D187" i="2"/>
  <c r="E187" i="2"/>
  <c r="F187" i="2"/>
  <c r="G187" i="2"/>
  <c r="C188" i="2"/>
  <c r="D188" i="2"/>
  <c r="E188" i="2"/>
  <c r="F188" i="2"/>
  <c r="G188" i="2"/>
  <c r="T188" i="2"/>
  <c r="U188" i="2" s="1"/>
  <c r="C189" i="2"/>
  <c r="D189" i="2"/>
  <c r="E189" i="2"/>
  <c r="F189" i="2"/>
  <c r="G189" i="2"/>
  <c r="C190" i="2"/>
  <c r="D190" i="2"/>
  <c r="E190" i="2"/>
  <c r="F190" i="2"/>
  <c r="G190" i="2"/>
  <c r="C191" i="2"/>
  <c r="D191" i="2"/>
  <c r="E191" i="2"/>
  <c r="F191" i="2"/>
  <c r="G191" i="2"/>
  <c r="C192" i="2"/>
  <c r="D192" i="2"/>
  <c r="E192" i="2"/>
  <c r="F192" i="2"/>
  <c r="G192" i="2"/>
  <c r="C193" i="2"/>
  <c r="D193" i="2"/>
  <c r="E193" i="2"/>
  <c r="F193" i="2"/>
  <c r="G193" i="2"/>
  <c r="C194" i="2"/>
  <c r="D194" i="2"/>
  <c r="E194" i="2"/>
  <c r="F194" i="2"/>
  <c r="G194" i="2"/>
  <c r="S194" i="2"/>
  <c r="C195" i="2"/>
  <c r="D195" i="2"/>
  <c r="E195" i="2"/>
  <c r="F195" i="2"/>
  <c r="G195" i="2"/>
  <c r="C196" i="2"/>
  <c r="D196" i="2"/>
  <c r="E196" i="2"/>
  <c r="F196" i="2"/>
  <c r="G196" i="2"/>
  <c r="C197" i="2"/>
  <c r="D197" i="2"/>
  <c r="E197" i="2"/>
  <c r="F197" i="2"/>
  <c r="G197" i="2"/>
  <c r="C198" i="2"/>
  <c r="S198" i="2" s="1"/>
  <c r="D198" i="2"/>
  <c r="E198" i="2"/>
  <c r="F198" i="2"/>
  <c r="G198" i="2"/>
  <c r="C199" i="2"/>
  <c r="D199" i="2"/>
  <c r="E199" i="2"/>
  <c r="F199" i="2"/>
  <c r="G199" i="2"/>
  <c r="C200" i="2"/>
  <c r="D200" i="2"/>
  <c r="E200" i="2"/>
  <c r="F200" i="2"/>
  <c r="G200" i="2"/>
  <c r="C201" i="2"/>
  <c r="D201" i="2"/>
  <c r="E201" i="2"/>
  <c r="F201" i="2"/>
  <c r="G201" i="2"/>
  <c r="C202" i="2"/>
  <c r="D202" i="2"/>
  <c r="E202" i="2"/>
  <c r="F202" i="2"/>
  <c r="G202" i="2"/>
  <c r="C203" i="2"/>
  <c r="D203" i="2"/>
  <c r="E203" i="2"/>
  <c r="F203" i="2"/>
  <c r="G203" i="2"/>
  <c r="T204" i="2"/>
  <c r="U204" i="2"/>
  <c r="X204" i="2" s="1"/>
  <c r="DA204" i="2" s="1"/>
  <c r="DF204" i="2" s="1"/>
  <c r="T205" i="2"/>
  <c r="U205" i="2"/>
  <c r="X205" i="2" s="1"/>
  <c r="DA205" i="2" s="1"/>
  <c r="DE205" i="2" s="1"/>
  <c r="T206" i="2"/>
  <c r="U206" i="2"/>
  <c r="T207" i="2"/>
  <c r="U207" i="2" s="1"/>
  <c r="T208" i="2"/>
  <c r="U208" i="2"/>
  <c r="X208" i="2" s="1"/>
  <c r="DA208" i="2" s="1"/>
  <c r="DF208" i="2" s="1"/>
  <c r="T209" i="2"/>
  <c r="U209" i="2"/>
  <c r="X209" i="2" s="1"/>
  <c r="DA209" i="2" s="1"/>
  <c r="DE209" i="2" s="1"/>
  <c r="T210" i="2"/>
  <c r="U210" i="2"/>
  <c r="T211" i="2"/>
  <c r="U211" i="2" s="1"/>
  <c r="T212" i="2"/>
  <c r="U212" i="2"/>
  <c r="Y212" i="2" s="1"/>
  <c r="DB212" i="2" s="1"/>
  <c r="DG212" i="2" s="1"/>
  <c r="T213" i="2"/>
  <c r="U213" i="2"/>
  <c r="X213" i="2" s="1"/>
  <c r="DA213" i="2" s="1"/>
  <c r="DE213" i="2" s="1"/>
  <c r="T214" i="2"/>
  <c r="U214" i="2"/>
  <c r="T215" i="2"/>
  <c r="U215" i="2" s="1"/>
  <c r="T216" i="2"/>
  <c r="U216" i="2"/>
  <c r="X216" i="2" s="1"/>
  <c r="DA216" i="2" s="1"/>
  <c r="DF216" i="2" s="1"/>
  <c r="T217" i="2"/>
  <c r="U217" i="2"/>
  <c r="X217" i="2" s="1"/>
  <c r="DA217" i="2" s="1"/>
  <c r="DE217" i="2" s="1"/>
  <c r="S217" i="2"/>
  <c r="S216" i="2"/>
  <c r="S215" i="2"/>
  <c r="S214" i="2"/>
  <c r="S213" i="2"/>
  <c r="S212" i="2"/>
  <c r="S211" i="2"/>
  <c r="S210" i="2"/>
  <c r="S209" i="2"/>
  <c r="S208" i="2"/>
  <c r="S207" i="2"/>
  <c r="S206" i="2"/>
  <c r="S205" i="2"/>
  <c r="S204" i="2"/>
  <c r="A189" i="2"/>
  <c r="A188" i="2"/>
  <c r="I168" i="2"/>
  <c r="S187" i="2"/>
  <c r="A187" i="2"/>
  <c r="F168" i="2" s="1"/>
  <c r="A186" i="2"/>
  <c r="S185" i="2"/>
  <c r="EA168" i="2"/>
  <c r="S172" i="2"/>
  <c r="S171" i="2"/>
  <c r="S170" i="2"/>
  <c r="EA169" i="2"/>
  <c r="M169" i="2"/>
  <c r="L169" i="2"/>
  <c r="K169" i="2"/>
  <c r="J169" i="2"/>
  <c r="I169" i="2"/>
  <c r="H169" i="2"/>
  <c r="G169" i="2"/>
  <c r="F169" i="2"/>
  <c r="E169" i="2"/>
  <c r="D169" i="2"/>
  <c r="C169" i="2"/>
  <c r="L168" i="2"/>
  <c r="C168" i="2"/>
  <c r="CQ106" i="2"/>
  <c r="CH106" i="2"/>
  <c r="BZ106" i="2"/>
  <c r="BS106" i="2"/>
  <c r="T154" i="2"/>
  <c r="U154" i="2" s="1"/>
  <c r="S154" i="2"/>
  <c r="T106" i="2"/>
  <c r="U106" i="2" s="1"/>
  <c r="T107" i="2"/>
  <c r="U107" i="2"/>
  <c r="T108" i="2"/>
  <c r="U108" i="2" s="1"/>
  <c r="C109" i="2"/>
  <c r="D109" i="2"/>
  <c r="E109" i="2"/>
  <c r="S109" i="2" s="1"/>
  <c r="F109" i="2"/>
  <c r="G109" i="2"/>
  <c r="C110" i="2"/>
  <c r="S110" i="2" s="1"/>
  <c r="D110" i="2"/>
  <c r="E110" i="2"/>
  <c r="F110" i="2"/>
  <c r="G110" i="2"/>
  <c r="C111" i="2"/>
  <c r="D111" i="2"/>
  <c r="E111" i="2"/>
  <c r="F111" i="2"/>
  <c r="G111" i="2"/>
  <c r="C112" i="2"/>
  <c r="D112" i="2"/>
  <c r="E112" i="2"/>
  <c r="F112" i="2"/>
  <c r="G112" i="2"/>
  <c r="C113" i="2"/>
  <c r="S113" i="2" s="1"/>
  <c r="D113" i="2"/>
  <c r="E113" i="2"/>
  <c r="F113" i="2"/>
  <c r="G113" i="2"/>
  <c r="C114" i="2"/>
  <c r="D114" i="2"/>
  <c r="E114" i="2"/>
  <c r="S114" i="2" s="1"/>
  <c r="F114" i="2"/>
  <c r="G114" i="2"/>
  <c r="C115" i="2"/>
  <c r="D115" i="2"/>
  <c r="E115" i="2"/>
  <c r="F115" i="2"/>
  <c r="G115" i="2"/>
  <c r="C116" i="2"/>
  <c r="D116" i="2"/>
  <c r="E116" i="2"/>
  <c r="F116" i="2"/>
  <c r="G116" i="2"/>
  <c r="C117" i="2"/>
  <c r="D117" i="2"/>
  <c r="E117" i="2"/>
  <c r="F117" i="2"/>
  <c r="G117" i="2"/>
  <c r="C118" i="2"/>
  <c r="D118" i="2"/>
  <c r="E118" i="2"/>
  <c r="F118" i="2"/>
  <c r="G118" i="2"/>
  <c r="S118" i="2"/>
  <c r="C119" i="2"/>
  <c r="D119" i="2"/>
  <c r="E119" i="2"/>
  <c r="F119" i="2"/>
  <c r="G119" i="2"/>
  <c r="C120" i="2"/>
  <c r="D120" i="2"/>
  <c r="E120" i="2"/>
  <c r="F120" i="2"/>
  <c r="G120" i="2"/>
  <c r="C121" i="2"/>
  <c r="D121" i="2"/>
  <c r="E121" i="2"/>
  <c r="F121" i="2"/>
  <c r="G121" i="2"/>
  <c r="S121" i="2"/>
  <c r="C122" i="2"/>
  <c r="D122" i="2"/>
  <c r="E122" i="2"/>
  <c r="F122" i="2"/>
  <c r="S122" i="2" s="1"/>
  <c r="G122" i="2"/>
  <c r="C123" i="2"/>
  <c r="D123" i="2"/>
  <c r="E123" i="2"/>
  <c r="F123" i="2"/>
  <c r="G123" i="2"/>
  <c r="C124" i="2"/>
  <c r="D124" i="2"/>
  <c r="E124" i="2"/>
  <c r="F124" i="2"/>
  <c r="G124" i="2"/>
  <c r="S124" i="2"/>
  <c r="C125" i="2"/>
  <c r="S125" i="2" s="1"/>
  <c r="D125" i="2"/>
  <c r="E125" i="2"/>
  <c r="F125" i="2"/>
  <c r="G125" i="2"/>
  <c r="C126" i="2"/>
  <c r="D126" i="2"/>
  <c r="E126" i="2"/>
  <c r="F126" i="2"/>
  <c r="G126" i="2"/>
  <c r="S126" i="2"/>
  <c r="C127" i="2"/>
  <c r="D127" i="2"/>
  <c r="E127" i="2"/>
  <c r="F127" i="2"/>
  <c r="G127" i="2"/>
  <c r="C128" i="2"/>
  <c r="D128" i="2"/>
  <c r="E128" i="2"/>
  <c r="F128" i="2"/>
  <c r="G128" i="2"/>
  <c r="C129" i="2"/>
  <c r="D129" i="2"/>
  <c r="E129" i="2"/>
  <c r="F129" i="2"/>
  <c r="G129" i="2"/>
  <c r="C130" i="2"/>
  <c r="S130" i="2" s="1"/>
  <c r="D130" i="2"/>
  <c r="E130" i="2"/>
  <c r="F130" i="2"/>
  <c r="G130" i="2"/>
  <c r="C131" i="2"/>
  <c r="D131" i="2"/>
  <c r="E131" i="2"/>
  <c r="F131" i="2"/>
  <c r="G131" i="2"/>
  <c r="C132" i="2"/>
  <c r="D132" i="2"/>
  <c r="E132" i="2"/>
  <c r="F132" i="2"/>
  <c r="G132" i="2"/>
  <c r="C133" i="2"/>
  <c r="S133" i="2" s="1"/>
  <c r="D133" i="2"/>
  <c r="E133" i="2"/>
  <c r="F133" i="2"/>
  <c r="G133" i="2"/>
  <c r="C134" i="2"/>
  <c r="D134" i="2"/>
  <c r="E134" i="2"/>
  <c r="F134" i="2"/>
  <c r="G134" i="2"/>
  <c r="C135" i="2"/>
  <c r="D135" i="2"/>
  <c r="E135" i="2"/>
  <c r="F135" i="2"/>
  <c r="G135" i="2"/>
  <c r="S135" i="2"/>
  <c r="C136" i="2"/>
  <c r="D136" i="2"/>
  <c r="E136" i="2"/>
  <c r="F136" i="2"/>
  <c r="G136" i="2"/>
  <c r="C137" i="2"/>
  <c r="D137" i="2"/>
  <c r="E137" i="2"/>
  <c r="F137" i="2"/>
  <c r="G137" i="2"/>
  <c r="C138" i="2"/>
  <c r="D138" i="2"/>
  <c r="E138" i="2"/>
  <c r="F138" i="2"/>
  <c r="G138" i="2"/>
  <c r="S138" i="2"/>
  <c r="C139" i="2"/>
  <c r="D139" i="2"/>
  <c r="E139" i="2"/>
  <c r="F139" i="2"/>
  <c r="G139" i="2"/>
  <c r="T140" i="2"/>
  <c r="U140" i="2" s="1"/>
  <c r="Y140" i="2" s="1"/>
  <c r="DB140" i="2" s="1"/>
  <c r="DG140" i="2" s="1"/>
  <c r="T141" i="2"/>
  <c r="U141" i="2" s="1"/>
  <c r="Y141" i="2" s="1"/>
  <c r="DB141" i="2" s="1"/>
  <c r="DG141" i="2" s="1"/>
  <c r="T142" i="2"/>
  <c r="U142" i="2" s="1"/>
  <c r="T143" i="2"/>
  <c r="U143" i="2" s="1"/>
  <c r="T144" i="2"/>
  <c r="U144" i="2" s="1"/>
  <c r="Y144" i="2" s="1"/>
  <c r="DB144" i="2" s="1"/>
  <c r="DG144" i="2" s="1"/>
  <c r="T145" i="2"/>
  <c r="U145" i="2" s="1"/>
  <c r="T146" i="2"/>
  <c r="U146" i="2"/>
  <c r="T147" i="2"/>
  <c r="U147" i="2"/>
  <c r="T148" i="2"/>
  <c r="U148" i="2"/>
  <c r="T149" i="2"/>
  <c r="U149" i="2"/>
  <c r="Y149" i="2" s="1"/>
  <c r="DB149" i="2" s="1"/>
  <c r="DG149" i="2" s="1"/>
  <c r="T150" i="2"/>
  <c r="U150" i="2" s="1"/>
  <c r="T151" i="2"/>
  <c r="U151" i="2"/>
  <c r="T152" i="2"/>
  <c r="U152" i="2" s="1"/>
  <c r="Y152" i="2" s="1"/>
  <c r="DB152" i="2" s="1"/>
  <c r="DH152" i="2" s="1"/>
  <c r="T153" i="2"/>
  <c r="U153" i="2" s="1"/>
  <c r="Y148" i="2"/>
  <c r="DB148" i="2" s="1"/>
  <c r="DH148" i="2" s="1"/>
  <c r="W147" i="2"/>
  <c r="CZ147" i="2" s="1"/>
  <c r="S153" i="2"/>
  <c r="S152" i="2"/>
  <c r="S151" i="2"/>
  <c r="S150" i="2"/>
  <c r="S149" i="2"/>
  <c r="S148" i="2"/>
  <c r="S147" i="2"/>
  <c r="S146" i="2"/>
  <c r="S145" i="2"/>
  <c r="S144" i="2"/>
  <c r="S143" i="2"/>
  <c r="S142" i="2"/>
  <c r="S141" i="2"/>
  <c r="S140" i="2"/>
  <c r="S128" i="2"/>
  <c r="A125" i="2"/>
  <c r="L104" i="2"/>
  <c r="A124" i="2"/>
  <c r="A123" i="2"/>
  <c r="A122" i="2"/>
  <c r="C104" i="2" s="1"/>
  <c r="EA104" i="2"/>
  <c r="EB115" i="2" s="1"/>
  <c r="S108" i="2"/>
  <c r="S107" i="2"/>
  <c r="S106" i="2"/>
  <c r="EA105" i="2"/>
  <c r="M105" i="2"/>
  <c r="L105" i="2"/>
  <c r="K105" i="2"/>
  <c r="J105" i="2"/>
  <c r="I105" i="2"/>
  <c r="H105" i="2"/>
  <c r="G105" i="2"/>
  <c r="F105" i="2"/>
  <c r="E105" i="2"/>
  <c r="D105" i="2"/>
  <c r="C105" i="2"/>
  <c r="I104" i="2"/>
  <c r="F104" i="2"/>
  <c r="CQ46" i="2"/>
  <c r="CH46" i="2"/>
  <c r="BZ46" i="2"/>
  <c r="BS46" i="2"/>
  <c r="C79" i="2"/>
  <c r="D79" i="2"/>
  <c r="E79" i="2"/>
  <c r="F79" i="2"/>
  <c r="G79" i="2"/>
  <c r="C78" i="2"/>
  <c r="D78" i="2"/>
  <c r="E78" i="2"/>
  <c r="F78" i="2"/>
  <c r="G78" i="2"/>
  <c r="C77" i="2"/>
  <c r="D77" i="2"/>
  <c r="E77" i="2"/>
  <c r="F77" i="2"/>
  <c r="G77" i="2"/>
  <c r="C76" i="2"/>
  <c r="D76" i="2"/>
  <c r="E76" i="2"/>
  <c r="F76" i="2"/>
  <c r="G76" i="2"/>
  <c r="C75" i="2"/>
  <c r="D75" i="2"/>
  <c r="E75" i="2"/>
  <c r="F75" i="2"/>
  <c r="G75" i="2"/>
  <c r="C74" i="2"/>
  <c r="D74" i="2"/>
  <c r="E74" i="2"/>
  <c r="F74" i="2"/>
  <c r="G74" i="2"/>
  <c r="C73" i="2"/>
  <c r="D73" i="2"/>
  <c r="E73" i="2"/>
  <c r="F73" i="2"/>
  <c r="G73" i="2"/>
  <c r="C72" i="2"/>
  <c r="D72" i="2"/>
  <c r="E72" i="2"/>
  <c r="F72" i="2"/>
  <c r="G72" i="2"/>
  <c r="C71" i="2"/>
  <c r="D71" i="2"/>
  <c r="E71" i="2"/>
  <c r="F71" i="2"/>
  <c r="G71" i="2"/>
  <c r="C70" i="2"/>
  <c r="D70" i="2"/>
  <c r="E70" i="2"/>
  <c r="F70" i="2"/>
  <c r="G70" i="2"/>
  <c r="C69" i="2"/>
  <c r="D69" i="2"/>
  <c r="E69" i="2"/>
  <c r="F69" i="2"/>
  <c r="G69" i="2"/>
  <c r="C68" i="2"/>
  <c r="D68" i="2"/>
  <c r="E68" i="2"/>
  <c r="F68" i="2"/>
  <c r="G68" i="2"/>
  <c r="C67" i="2"/>
  <c r="D67" i="2"/>
  <c r="E67" i="2"/>
  <c r="F67" i="2"/>
  <c r="G67" i="2"/>
  <c r="C66" i="2"/>
  <c r="D66" i="2"/>
  <c r="E66" i="2"/>
  <c r="F66" i="2"/>
  <c r="G66" i="2"/>
  <c r="C65" i="2"/>
  <c r="D65" i="2"/>
  <c r="E65" i="2"/>
  <c r="F65" i="2"/>
  <c r="G65" i="2"/>
  <c r="C64" i="2"/>
  <c r="D64" i="2"/>
  <c r="E64" i="2"/>
  <c r="F64" i="2"/>
  <c r="G64" i="2"/>
  <c r="C63" i="2"/>
  <c r="D63" i="2"/>
  <c r="E63" i="2"/>
  <c r="F63" i="2"/>
  <c r="G63" i="2"/>
  <c r="C62" i="2"/>
  <c r="D62" i="2"/>
  <c r="E62" i="2"/>
  <c r="F62" i="2"/>
  <c r="G62" i="2"/>
  <c r="C61" i="2"/>
  <c r="D61" i="2"/>
  <c r="E61" i="2"/>
  <c r="F61" i="2"/>
  <c r="G61" i="2"/>
  <c r="C60" i="2"/>
  <c r="D60" i="2"/>
  <c r="E60" i="2"/>
  <c r="F60" i="2"/>
  <c r="G60" i="2"/>
  <c r="C59" i="2"/>
  <c r="D59" i="2"/>
  <c r="E59" i="2"/>
  <c r="F59" i="2"/>
  <c r="G59" i="2"/>
  <c r="C58" i="2"/>
  <c r="D58" i="2"/>
  <c r="E58" i="2"/>
  <c r="F58" i="2"/>
  <c r="G58" i="2"/>
  <c r="C57" i="2"/>
  <c r="D57" i="2"/>
  <c r="E57" i="2"/>
  <c r="F57" i="2"/>
  <c r="G57" i="2"/>
  <c r="V4" i="2"/>
  <c r="EA44" i="2" s="1"/>
  <c r="C56" i="2"/>
  <c r="D56" i="2"/>
  <c r="E56" i="2"/>
  <c r="F56" i="2"/>
  <c r="G56" i="2"/>
  <c r="C55" i="2"/>
  <c r="D55" i="2"/>
  <c r="E55" i="2"/>
  <c r="F55" i="2"/>
  <c r="G55" i="2"/>
  <c r="C54" i="2"/>
  <c r="D54" i="2"/>
  <c r="E54" i="2"/>
  <c r="F54" i="2"/>
  <c r="G54" i="2"/>
  <c r="C53" i="2"/>
  <c r="D53" i="2"/>
  <c r="E53" i="2"/>
  <c r="F53" i="2"/>
  <c r="G53" i="2"/>
  <c r="C52" i="2"/>
  <c r="D52" i="2"/>
  <c r="E52" i="2"/>
  <c r="F52" i="2"/>
  <c r="G52" i="2"/>
  <c r="C51" i="2"/>
  <c r="D51" i="2"/>
  <c r="E51" i="2"/>
  <c r="F51" i="2"/>
  <c r="G51" i="2"/>
  <c r="C50" i="2"/>
  <c r="D50" i="2"/>
  <c r="E50" i="2"/>
  <c r="F50" i="2"/>
  <c r="G50" i="2"/>
  <c r="D49" i="2"/>
  <c r="E49" i="2"/>
  <c r="F49" i="2"/>
  <c r="G49" i="2"/>
  <c r="T47" i="2"/>
  <c r="U47" i="2"/>
  <c r="T46" i="2"/>
  <c r="U46" i="2" s="1"/>
  <c r="S47" i="2"/>
  <c r="S46" i="2"/>
  <c r="V5" i="2"/>
  <c r="EA45" i="2" s="1"/>
  <c r="M45" i="2"/>
  <c r="L45" i="2"/>
  <c r="K45" i="2"/>
  <c r="J45" i="2"/>
  <c r="I45" i="2"/>
  <c r="H45" i="2"/>
  <c r="G45" i="2"/>
  <c r="F45" i="2"/>
  <c r="E45" i="2"/>
  <c r="D45" i="2"/>
  <c r="C45" i="2"/>
  <c r="L44" i="2"/>
  <c r="I44" i="2"/>
  <c r="F44" i="2"/>
  <c r="C44" i="2"/>
  <c r="A38" i="2"/>
  <c r="D17" i="2"/>
  <c r="D158" i="17"/>
  <c r="D157" i="17"/>
  <c r="D156" i="17"/>
  <c r="D155" i="17"/>
  <c r="D154" i="17"/>
  <c r="D153" i="17"/>
  <c r="D152" i="17"/>
  <c r="D151" i="17"/>
  <c r="D150" i="17"/>
  <c r="D149" i="17"/>
  <c r="D148" i="17"/>
  <c r="D147" i="17"/>
  <c r="D146" i="17"/>
  <c r="D145" i="17"/>
  <c r="D144" i="17"/>
  <c r="D143" i="17"/>
  <c r="D142" i="17"/>
  <c r="D141" i="17"/>
  <c r="D140" i="17"/>
  <c r="D139" i="17"/>
  <c r="D138" i="17"/>
  <c r="D137" i="17"/>
  <c r="D136" i="17"/>
  <c r="D135" i="17"/>
  <c r="D134" i="17"/>
  <c r="D133" i="17"/>
  <c r="D132" i="17"/>
  <c r="D131" i="17"/>
  <c r="D130" i="17"/>
  <c r="D129" i="17"/>
  <c r="D128" i="17"/>
  <c r="D127" i="17"/>
  <c r="D126" i="17"/>
  <c r="D125" i="17"/>
  <c r="D124" i="17"/>
  <c r="D123" i="17"/>
  <c r="D122" i="17"/>
  <c r="D121" i="17"/>
  <c r="D120" i="17"/>
  <c r="D119" i="17"/>
  <c r="D118" i="17"/>
  <c r="D111" i="17" s="1"/>
  <c r="C110" i="17" s="1"/>
  <c r="S117" i="17"/>
  <c r="Q117" i="17"/>
  <c r="O117" i="17"/>
  <c r="N117" i="17"/>
  <c r="M117" i="17"/>
  <c r="L117" i="17"/>
  <c r="K117" i="17"/>
  <c r="J117" i="17"/>
  <c r="I117" i="17"/>
  <c r="H117" i="17"/>
  <c r="D117" i="17"/>
  <c r="D116" i="17"/>
  <c r="D115" i="17"/>
  <c r="D114" i="17"/>
  <c r="D113" i="17"/>
  <c r="C111" i="17"/>
  <c r="B111" i="17"/>
  <c r="D106" i="17"/>
  <c r="D105" i="17"/>
  <c r="D104" i="17"/>
  <c r="D103" i="17"/>
  <c r="D102" i="17"/>
  <c r="D101" i="17"/>
  <c r="D100" i="17"/>
  <c r="D99" i="17"/>
  <c r="D98" i="17"/>
  <c r="D97" i="17"/>
  <c r="D96" i="17"/>
  <c r="D95" i="17"/>
  <c r="D94" i="17"/>
  <c r="D93" i="17"/>
  <c r="D92" i="17"/>
  <c r="D91" i="17"/>
  <c r="D90" i="17"/>
  <c r="D89" i="17"/>
  <c r="D88" i="17"/>
  <c r="D87" i="17"/>
  <c r="D86" i="17"/>
  <c r="D85" i="17"/>
  <c r="D84" i="17"/>
  <c r="D83" i="17"/>
  <c r="D82" i="17"/>
  <c r="D81" i="17"/>
  <c r="D80" i="17"/>
  <c r="D79" i="17"/>
  <c r="D78" i="17"/>
  <c r="D77" i="17"/>
  <c r="D76" i="17"/>
  <c r="D75" i="17"/>
  <c r="D74" i="17"/>
  <c r="D73" i="17"/>
  <c r="D72" i="17"/>
  <c r="D71" i="17"/>
  <c r="D70" i="17"/>
  <c r="D69" i="17"/>
  <c r="D66" i="17"/>
  <c r="D67" i="17"/>
  <c r="D68" i="17"/>
  <c r="D59" i="17"/>
  <c r="S65" i="17"/>
  <c r="Q65" i="17"/>
  <c r="O65" i="17"/>
  <c r="N65" i="17"/>
  <c r="M65" i="17"/>
  <c r="L65" i="17"/>
  <c r="K65" i="17"/>
  <c r="J65" i="17"/>
  <c r="I65" i="17"/>
  <c r="H65" i="17"/>
  <c r="D65" i="17"/>
  <c r="D64" i="17"/>
  <c r="D63" i="17"/>
  <c r="D62" i="17"/>
  <c r="D61" i="17"/>
  <c r="C59" i="17"/>
  <c r="B59"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S15" i="17"/>
  <c r="Q15" i="17"/>
  <c r="O15" i="17"/>
  <c r="N15" i="17"/>
  <c r="M15" i="17"/>
  <c r="L15" i="17"/>
  <c r="K15" i="17"/>
  <c r="J15" i="17"/>
  <c r="I15" i="17"/>
  <c r="H15" i="17"/>
  <c r="D14" i="17"/>
  <c r="D13" i="17"/>
  <c r="D12" i="17"/>
  <c r="D11" i="17"/>
  <c r="D10" i="17"/>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L7" i="1"/>
  <c r="AL6" i="1"/>
  <c r="AU5" i="1"/>
  <c r="AT5" i="1"/>
  <c r="AS5" i="1"/>
  <c r="AR5" i="1"/>
  <c r="AQ5" i="1"/>
  <c r="AP5" i="1"/>
  <c r="AO5" i="1"/>
  <c r="AN5" i="1"/>
  <c r="AM5" i="1"/>
  <c r="AL5" i="1"/>
  <c r="Q156" i="9"/>
  <c r="D156" i="9"/>
  <c r="G156" i="9" s="1"/>
  <c r="H156" i="9" s="1"/>
  <c r="I156" i="9" s="1"/>
  <c r="BN11" i="9"/>
  <c r="BF12" i="9"/>
  <c r="BN12" i="9" s="1"/>
  <c r="BN13" i="9"/>
  <c r="BN14" i="9"/>
  <c r="BN15" i="9"/>
  <c r="BN16" i="9"/>
  <c r="BN17" i="9"/>
  <c r="BN18" i="9"/>
  <c r="BN19" i="9"/>
  <c r="BN20" i="9"/>
  <c r="BN21" i="9"/>
  <c r="BN22" i="9"/>
  <c r="BN23" i="9"/>
  <c r="BN24" i="9"/>
  <c r="BN25" i="9"/>
  <c r="BN26" i="9"/>
  <c r="BN27" i="9"/>
  <c r="BN28" i="9"/>
  <c r="BN29" i="9"/>
  <c r="BN30" i="9"/>
  <c r="Q155" i="9"/>
  <c r="D155" i="9"/>
  <c r="G155" i="9" s="1"/>
  <c r="H155" i="9" s="1"/>
  <c r="I155" i="9" s="1"/>
  <c r="Q154" i="9"/>
  <c r="D154" i="9"/>
  <c r="G154" i="9" s="1"/>
  <c r="H154" i="9" s="1"/>
  <c r="I154" i="9" s="1"/>
  <c r="Q153" i="9"/>
  <c r="D153" i="9"/>
  <c r="G153" i="9" s="1"/>
  <c r="H153" i="9" s="1"/>
  <c r="I153" i="9" s="1"/>
  <c r="Q152" i="9"/>
  <c r="D152" i="9"/>
  <c r="G152" i="9" s="1"/>
  <c r="H152" i="9" s="1"/>
  <c r="I152" i="9" s="1"/>
  <c r="Q151" i="9"/>
  <c r="D151" i="9"/>
  <c r="G151" i="9" s="1"/>
  <c r="H151" i="9" s="1"/>
  <c r="I151" i="9" s="1"/>
  <c r="Q150" i="9"/>
  <c r="D150" i="9"/>
  <c r="G150" i="9" s="1"/>
  <c r="H150" i="9" s="1"/>
  <c r="I150" i="9" s="1"/>
  <c r="Q149" i="9"/>
  <c r="D149" i="9"/>
  <c r="G149" i="9" s="1"/>
  <c r="H149" i="9" s="1"/>
  <c r="I149" i="9" s="1"/>
  <c r="Q148" i="9"/>
  <c r="D148" i="9"/>
  <c r="G148" i="9" s="1"/>
  <c r="H148" i="9" s="1"/>
  <c r="I148" i="9" s="1"/>
  <c r="Q147" i="9"/>
  <c r="D147" i="9"/>
  <c r="G147" i="9" s="1"/>
  <c r="H147" i="9" s="1"/>
  <c r="I147" i="9" s="1"/>
  <c r="Q146" i="9"/>
  <c r="D146" i="9"/>
  <c r="G146" i="9" s="1"/>
  <c r="H146" i="9" s="1"/>
  <c r="I146" i="9" s="1"/>
  <c r="Q145" i="9"/>
  <c r="D145" i="9"/>
  <c r="G145" i="9" s="1"/>
  <c r="H145" i="9" s="1"/>
  <c r="I145" i="9" s="1"/>
  <c r="Q144" i="9"/>
  <c r="D144" i="9"/>
  <c r="G144" i="9" s="1"/>
  <c r="H144" i="9" s="1"/>
  <c r="I144" i="9" s="1"/>
  <c r="Q143" i="9"/>
  <c r="D143" i="9"/>
  <c r="G143" i="9" s="1"/>
  <c r="H143" i="9" s="1"/>
  <c r="I143" i="9" s="1"/>
  <c r="Q142" i="9"/>
  <c r="D142" i="9"/>
  <c r="G142" i="9" s="1"/>
  <c r="H142" i="9" s="1"/>
  <c r="I142" i="9" s="1"/>
  <c r="Q141" i="9"/>
  <c r="D141" i="9"/>
  <c r="G141" i="9" s="1"/>
  <c r="H141" i="9" s="1"/>
  <c r="I141" i="9" s="1"/>
  <c r="Q140" i="9"/>
  <c r="D140" i="9"/>
  <c r="G140" i="9" s="1"/>
  <c r="H140" i="9" s="1"/>
  <c r="I140" i="9" s="1"/>
  <c r="Q139" i="9"/>
  <c r="D139" i="9"/>
  <c r="G139" i="9" s="1"/>
  <c r="H139" i="9" s="1"/>
  <c r="I139" i="9" s="1"/>
  <c r="Q138" i="9"/>
  <c r="D138" i="9"/>
  <c r="G138" i="9" s="1"/>
  <c r="H138" i="9" s="1"/>
  <c r="I138" i="9" s="1"/>
  <c r="Q137" i="9"/>
  <c r="D137" i="9"/>
  <c r="G137" i="9" s="1"/>
  <c r="H137" i="9" s="1"/>
  <c r="I137" i="9" s="1"/>
  <c r="Q136" i="9"/>
  <c r="D136" i="9"/>
  <c r="G136" i="9" s="1"/>
  <c r="H136" i="9" s="1"/>
  <c r="I136" i="9" s="1"/>
  <c r="Q135" i="9"/>
  <c r="D135" i="9"/>
  <c r="G135" i="9" s="1"/>
  <c r="H135" i="9" s="1"/>
  <c r="I135" i="9" s="1"/>
  <c r="Q134" i="9"/>
  <c r="D134" i="9"/>
  <c r="G134" i="9" s="1"/>
  <c r="H134" i="9" s="1"/>
  <c r="I134" i="9" s="1"/>
  <c r="Q133" i="9"/>
  <c r="D133" i="9"/>
  <c r="G133" i="9" s="1"/>
  <c r="H133" i="9" s="1"/>
  <c r="I133" i="9" s="1"/>
  <c r="Q132" i="9"/>
  <c r="D132" i="9"/>
  <c r="G132" i="9" s="1"/>
  <c r="H132" i="9" s="1"/>
  <c r="I132" i="9" s="1"/>
  <c r="Q131" i="9"/>
  <c r="D131" i="9"/>
  <c r="G131" i="9" s="1"/>
  <c r="H131" i="9" s="1"/>
  <c r="I131" i="9" s="1"/>
  <c r="Q130" i="9"/>
  <c r="D130" i="9"/>
  <c r="G130" i="9" s="1"/>
  <c r="H130" i="9" s="1"/>
  <c r="I130" i="9" s="1"/>
  <c r="Q129" i="9"/>
  <c r="D129" i="9"/>
  <c r="G129" i="9" s="1"/>
  <c r="H129" i="9" s="1"/>
  <c r="I129" i="9" s="1"/>
  <c r="Q128" i="9"/>
  <c r="D128" i="9"/>
  <c r="G128" i="9" s="1"/>
  <c r="H128" i="9" s="1"/>
  <c r="I128" i="9" s="1"/>
  <c r="Q127" i="9"/>
  <c r="D127" i="9"/>
  <c r="G127" i="9" s="1"/>
  <c r="H127" i="9" s="1"/>
  <c r="I127" i="9" s="1"/>
  <c r="Q126" i="9"/>
  <c r="D126" i="9"/>
  <c r="G126" i="9" s="1"/>
  <c r="H126" i="9" s="1"/>
  <c r="I126" i="9" s="1"/>
  <c r="Q125" i="9"/>
  <c r="D125" i="9"/>
  <c r="G125" i="9" s="1"/>
  <c r="H125" i="9" s="1"/>
  <c r="I125" i="9" s="1"/>
  <c r="Q124" i="9"/>
  <c r="D124" i="9"/>
  <c r="G124" i="9" s="1"/>
  <c r="H124" i="9" s="1"/>
  <c r="I124" i="9" s="1"/>
  <c r="Q123" i="9"/>
  <c r="D123" i="9"/>
  <c r="G123" i="9" s="1"/>
  <c r="H123" i="9" s="1"/>
  <c r="I123" i="9" s="1"/>
  <c r="Q122" i="9"/>
  <c r="D122" i="9"/>
  <c r="G122" i="9" s="1"/>
  <c r="H122" i="9" s="1"/>
  <c r="I122" i="9" s="1"/>
  <c r="Q121" i="9"/>
  <c r="D121" i="9"/>
  <c r="G121" i="9" s="1"/>
  <c r="H121" i="9" s="1"/>
  <c r="I121" i="9" s="1"/>
  <c r="Q120" i="9"/>
  <c r="D120" i="9"/>
  <c r="G120" i="9" s="1"/>
  <c r="H120" i="9" s="1"/>
  <c r="I120" i="9" s="1"/>
  <c r="Q119" i="9"/>
  <c r="D119" i="9"/>
  <c r="G119" i="9" s="1"/>
  <c r="H119" i="9" s="1"/>
  <c r="I119" i="9" s="1"/>
  <c r="Q118" i="9"/>
  <c r="D118" i="9"/>
  <c r="G118" i="9" s="1"/>
  <c r="H118" i="9" s="1"/>
  <c r="I118" i="9" s="1"/>
  <c r="Q117" i="9"/>
  <c r="D117" i="9"/>
  <c r="G117" i="9" s="1"/>
  <c r="H117" i="9" s="1"/>
  <c r="I117" i="9" s="1"/>
  <c r="Q116" i="9"/>
  <c r="D116" i="9"/>
  <c r="G116" i="9" s="1"/>
  <c r="H116" i="9" s="1"/>
  <c r="I116" i="9" s="1"/>
  <c r="Q115" i="9"/>
  <c r="D115" i="9"/>
  <c r="G115" i="9" s="1"/>
  <c r="H115" i="9" s="1"/>
  <c r="I115" i="9" s="1"/>
  <c r="Q114" i="9"/>
  <c r="D114" i="9"/>
  <c r="G114" i="9" s="1"/>
  <c r="H114" i="9" s="1"/>
  <c r="I114" i="9" s="1"/>
  <c r="Q113" i="9"/>
  <c r="D113" i="9"/>
  <c r="G113" i="9" s="1"/>
  <c r="H113" i="9" s="1"/>
  <c r="I113" i="9" s="1"/>
  <c r="Q112" i="9"/>
  <c r="D112" i="9"/>
  <c r="G112" i="9" s="1"/>
  <c r="H112" i="9" s="1"/>
  <c r="I112" i="9" s="1"/>
  <c r="Q111" i="9"/>
  <c r="D111" i="9"/>
  <c r="G111" i="9" s="1"/>
  <c r="H111" i="9" s="1"/>
  <c r="I111" i="9" s="1"/>
  <c r="Q110" i="9"/>
  <c r="D110" i="9"/>
  <c r="G110" i="9" s="1"/>
  <c r="H110" i="9" s="1"/>
  <c r="I110" i="9" s="1"/>
  <c r="Q106" i="9"/>
  <c r="D106" i="9"/>
  <c r="G106" i="9" s="1"/>
  <c r="H106" i="9" s="1"/>
  <c r="I106" i="9" s="1"/>
  <c r="Q105" i="9"/>
  <c r="D105" i="9"/>
  <c r="G105" i="9" s="1"/>
  <c r="H105" i="9" s="1"/>
  <c r="I105" i="9" s="1"/>
  <c r="Q104" i="9"/>
  <c r="D104" i="9"/>
  <c r="G104" i="9" s="1"/>
  <c r="H104" i="9" s="1"/>
  <c r="I104" i="9" s="1"/>
  <c r="Q103" i="9"/>
  <c r="D103" i="9"/>
  <c r="G103" i="9" s="1"/>
  <c r="H103" i="9" s="1"/>
  <c r="I103" i="9" s="1"/>
  <c r="Q102" i="9"/>
  <c r="D102" i="9"/>
  <c r="G102" i="9" s="1"/>
  <c r="H102" i="9" s="1"/>
  <c r="I102" i="9" s="1"/>
  <c r="Q101" i="9"/>
  <c r="D101" i="9"/>
  <c r="G101" i="9" s="1"/>
  <c r="H101" i="9" s="1"/>
  <c r="I101" i="9" s="1"/>
  <c r="Q100" i="9"/>
  <c r="D100" i="9"/>
  <c r="G100" i="9" s="1"/>
  <c r="H100" i="9" s="1"/>
  <c r="I100" i="9" s="1"/>
  <c r="Q99" i="9"/>
  <c r="D99" i="9"/>
  <c r="G99" i="9" s="1"/>
  <c r="H99" i="9" s="1"/>
  <c r="I99" i="9" s="1"/>
  <c r="Q98" i="9"/>
  <c r="D98" i="9"/>
  <c r="G98" i="9" s="1"/>
  <c r="H98" i="9" s="1"/>
  <c r="I98" i="9" s="1"/>
  <c r="Q97" i="9"/>
  <c r="D97" i="9"/>
  <c r="G97" i="9" s="1"/>
  <c r="H97" i="9" s="1"/>
  <c r="I97" i="9" s="1"/>
  <c r="Q96" i="9"/>
  <c r="D96" i="9"/>
  <c r="G96" i="9" s="1"/>
  <c r="H96" i="9" s="1"/>
  <c r="I96" i="9" s="1"/>
  <c r="Q95" i="9"/>
  <c r="D95" i="9"/>
  <c r="G95" i="9" s="1"/>
  <c r="H95" i="9" s="1"/>
  <c r="I95" i="9" s="1"/>
  <c r="Q94" i="9"/>
  <c r="D94" i="9"/>
  <c r="G94" i="9" s="1"/>
  <c r="H94" i="9" s="1"/>
  <c r="I94" i="9" s="1"/>
  <c r="Q93" i="9"/>
  <c r="D93" i="9"/>
  <c r="G93" i="9" s="1"/>
  <c r="H93" i="9" s="1"/>
  <c r="I93" i="9" s="1"/>
  <c r="Q92" i="9"/>
  <c r="D92" i="9"/>
  <c r="G92" i="9" s="1"/>
  <c r="H92" i="9" s="1"/>
  <c r="I92" i="9" s="1"/>
  <c r="Q91" i="9"/>
  <c r="D91" i="9"/>
  <c r="G91" i="9" s="1"/>
  <c r="H91" i="9" s="1"/>
  <c r="I91" i="9" s="1"/>
  <c r="Q90" i="9"/>
  <c r="D90" i="9"/>
  <c r="G90" i="9" s="1"/>
  <c r="H90" i="9" s="1"/>
  <c r="I90" i="9" s="1"/>
  <c r="Q89" i="9"/>
  <c r="D89" i="9"/>
  <c r="G89" i="9" s="1"/>
  <c r="H89" i="9" s="1"/>
  <c r="I89" i="9" s="1"/>
  <c r="Q88" i="9"/>
  <c r="D88" i="9"/>
  <c r="G88" i="9" s="1"/>
  <c r="H88" i="9" s="1"/>
  <c r="I88" i="9" s="1"/>
  <c r="Q87" i="9"/>
  <c r="D87" i="9"/>
  <c r="G87" i="9" s="1"/>
  <c r="H87" i="9" s="1"/>
  <c r="I87" i="9" s="1"/>
  <c r="Q86" i="9"/>
  <c r="D86" i="9"/>
  <c r="G86" i="9" s="1"/>
  <c r="H86" i="9" s="1"/>
  <c r="I86" i="9" s="1"/>
  <c r="Q85" i="9"/>
  <c r="D85" i="9"/>
  <c r="G85" i="9" s="1"/>
  <c r="H85" i="9" s="1"/>
  <c r="I85" i="9" s="1"/>
  <c r="Q84" i="9"/>
  <c r="D84" i="9"/>
  <c r="G84" i="9" s="1"/>
  <c r="H84" i="9" s="1"/>
  <c r="I84" i="9" s="1"/>
  <c r="Q83" i="9"/>
  <c r="D83" i="9"/>
  <c r="G83" i="9" s="1"/>
  <c r="H83" i="9" s="1"/>
  <c r="I83" i="9" s="1"/>
  <c r="Q82" i="9"/>
  <c r="D82" i="9"/>
  <c r="G82" i="9" s="1"/>
  <c r="H82" i="9" s="1"/>
  <c r="I82" i="9" s="1"/>
  <c r="Q81" i="9"/>
  <c r="D81" i="9"/>
  <c r="G81" i="9" s="1"/>
  <c r="H81" i="9" s="1"/>
  <c r="I81" i="9" s="1"/>
  <c r="Q80" i="9"/>
  <c r="D80" i="9"/>
  <c r="G80" i="9" s="1"/>
  <c r="H80" i="9" s="1"/>
  <c r="I80" i="9" s="1"/>
  <c r="Q79" i="9"/>
  <c r="D79" i="9"/>
  <c r="G79" i="9" s="1"/>
  <c r="H79" i="9" s="1"/>
  <c r="I79" i="9" s="1"/>
  <c r="Q78" i="9"/>
  <c r="D78" i="9"/>
  <c r="G78" i="9" s="1"/>
  <c r="H78" i="9" s="1"/>
  <c r="I78" i="9" s="1"/>
  <c r="Q77" i="9"/>
  <c r="D77" i="9"/>
  <c r="G77" i="9" s="1"/>
  <c r="H77" i="9" s="1"/>
  <c r="I77" i="9" s="1"/>
  <c r="Q76" i="9"/>
  <c r="D76" i="9"/>
  <c r="G76" i="9" s="1"/>
  <c r="H76" i="9" s="1"/>
  <c r="I76" i="9" s="1"/>
  <c r="Q75" i="9"/>
  <c r="D75" i="9"/>
  <c r="G75" i="9" s="1"/>
  <c r="H75" i="9" s="1"/>
  <c r="I75" i="9" s="1"/>
  <c r="BN74" i="9"/>
  <c r="Q74" i="9"/>
  <c r="D74" i="9"/>
  <c r="G74" i="9" s="1"/>
  <c r="H74" i="9" s="1"/>
  <c r="I74" i="9" s="1"/>
  <c r="BN73" i="9"/>
  <c r="Q73" i="9"/>
  <c r="D73" i="9"/>
  <c r="G73" i="9" s="1"/>
  <c r="H73" i="9" s="1"/>
  <c r="I73" i="9" s="1"/>
  <c r="Q72" i="9"/>
  <c r="D72" i="9"/>
  <c r="G72" i="9" s="1"/>
  <c r="H72" i="9" s="1"/>
  <c r="I72" i="9" s="1"/>
  <c r="Q71" i="9"/>
  <c r="D71" i="9"/>
  <c r="G71" i="9" s="1"/>
  <c r="H71" i="9" s="1"/>
  <c r="I71" i="9" s="1"/>
  <c r="Q70" i="9"/>
  <c r="D70" i="9"/>
  <c r="G70" i="9" s="1"/>
  <c r="H70" i="9" s="1"/>
  <c r="I70" i="9" s="1"/>
  <c r="Q69" i="9"/>
  <c r="D69" i="9"/>
  <c r="G69" i="9" s="1"/>
  <c r="H69" i="9" s="1"/>
  <c r="I69" i="9" s="1"/>
  <c r="BO68" i="9"/>
  <c r="AX68" i="9"/>
  <c r="Q68" i="9"/>
  <c r="D68" i="9"/>
  <c r="G68" i="9" s="1"/>
  <c r="H68" i="9" s="1"/>
  <c r="I68" i="9" s="1"/>
  <c r="BO67" i="9"/>
  <c r="AX67" i="9"/>
  <c r="Q67" i="9"/>
  <c r="D67" i="9"/>
  <c r="G67" i="9" s="1"/>
  <c r="H67" i="9" s="1"/>
  <c r="I67" i="9" s="1"/>
  <c r="BO66" i="9"/>
  <c r="AX66" i="9"/>
  <c r="Q66" i="9"/>
  <c r="D66" i="9"/>
  <c r="G66" i="9" s="1"/>
  <c r="H66" i="9" s="1"/>
  <c r="I66" i="9" s="1"/>
  <c r="BO65" i="9"/>
  <c r="AX65" i="9"/>
  <c r="Q65" i="9"/>
  <c r="D65" i="9"/>
  <c r="G65" i="9" s="1"/>
  <c r="H65" i="9" s="1"/>
  <c r="I65" i="9" s="1"/>
  <c r="BO64" i="9"/>
  <c r="AX64" i="9"/>
  <c r="Q64" i="9"/>
  <c r="D64" i="9"/>
  <c r="G64" i="9" s="1"/>
  <c r="H64" i="9" s="1"/>
  <c r="I64" i="9" s="1"/>
  <c r="BO63" i="9"/>
  <c r="AX63" i="9"/>
  <c r="Q63" i="9"/>
  <c r="D63" i="9"/>
  <c r="G63" i="9" s="1"/>
  <c r="H63" i="9" s="1"/>
  <c r="I63" i="9" s="1"/>
  <c r="BO62" i="9"/>
  <c r="AX62" i="9"/>
  <c r="Q62" i="9"/>
  <c r="D62" i="9"/>
  <c r="G62" i="9" s="1"/>
  <c r="H62" i="9" s="1"/>
  <c r="I62" i="9" s="1"/>
  <c r="BO61" i="9"/>
  <c r="AX61" i="9"/>
  <c r="Q61" i="9"/>
  <c r="D61" i="9"/>
  <c r="G61" i="9" s="1"/>
  <c r="H61" i="9" s="1"/>
  <c r="I61" i="9" s="1"/>
  <c r="BO60" i="9"/>
  <c r="AX60" i="9"/>
  <c r="Q60" i="9"/>
  <c r="D60" i="9"/>
  <c r="G60" i="9" s="1"/>
  <c r="H60" i="9" s="1"/>
  <c r="I60" i="9" s="1"/>
  <c r="BO59" i="9"/>
  <c r="AX59" i="9"/>
  <c r="BO58" i="9"/>
  <c r="AX58" i="9"/>
  <c r="BO57" i="9"/>
  <c r="AX57" i="9"/>
  <c r="BO56" i="9"/>
  <c r="Q56" i="9"/>
  <c r="BO55" i="9"/>
  <c r="Q55" i="9"/>
  <c r="I55" i="9"/>
  <c r="BO54" i="9"/>
  <c r="Q54" i="9"/>
  <c r="I54" i="9"/>
  <c r="BO53" i="9"/>
  <c r="Q53" i="9"/>
  <c r="BO52" i="9"/>
  <c r="Q52" i="9"/>
  <c r="I52" i="9"/>
  <c r="BO51" i="9"/>
  <c r="Q51" i="9"/>
  <c r="BO50" i="9"/>
  <c r="Q50" i="9"/>
  <c r="I50" i="9"/>
  <c r="BO49" i="9"/>
  <c r="Q49" i="9"/>
  <c r="Q48" i="9"/>
  <c r="Q47" i="9"/>
  <c r="I47" i="9"/>
  <c r="Q46" i="9"/>
  <c r="Q45" i="9"/>
  <c r="Q44" i="9"/>
  <c r="Q43" i="9"/>
  <c r="I43" i="9"/>
  <c r="Q42" i="9"/>
  <c r="I42" i="9"/>
  <c r="Q41" i="9"/>
  <c r="Q40" i="9"/>
  <c r="Q39" i="9"/>
  <c r="I39" i="9"/>
  <c r="Q38" i="9"/>
  <c r="I38" i="9"/>
  <c r="Q37" i="9"/>
  <c r="Q36" i="9"/>
  <c r="I36" i="9"/>
  <c r="Q35" i="9"/>
  <c r="Q34" i="9"/>
  <c r="I34" i="9"/>
  <c r="Q33" i="9"/>
  <c r="Q32" i="9"/>
  <c r="I32" i="9"/>
  <c r="Q31" i="9"/>
  <c r="I31" i="9"/>
  <c r="BO30" i="9"/>
  <c r="AX30" i="9"/>
  <c r="Q30" i="9"/>
  <c r="BO29" i="9"/>
  <c r="AX29" i="9"/>
  <c r="Q29" i="9"/>
  <c r="BO28" i="9"/>
  <c r="AX28" i="9"/>
  <c r="Q28" i="9"/>
  <c r="BO27" i="9"/>
  <c r="AX27" i="9"/>
  <c r="Q27" i="9"/>
  <c r="I27" i="9"/>
  <c r="BO26" i="9"/>
  <c r="AX26" i="9"/>
  <c r="Q26" i="9"/>
  <c r="BO25" i="9"/>
  <c r="AX25" i="9"/>
  <c r="Q25" i="9"/>
  <c r="BO24" i="9"/>
  <c r="AX24" i="9"/>
  <c r="Q24" i="9"/>
  <c r="I24" i="9"/>
  <c r="BO23" i="9"/>
  <c r="AX23" i="9"/>
  <c r="Q23" i="9"/>
  <c r="BO22" i="9"/>
  <c r="AX22" i="9"/>
  <c r="Q22" i="9"/>
  <c r="BO21" i="9"/>
  <c r="AX21" i="9"/>
  <c r="Q21" i="9"/>
  <c r="BO20" i="9"/>
  <c r="AX20" i="9"/>
  <c r="Q20" i="9"/>
  <c r="BO19" i="9"/>
  <c r="AX19" i="9"/>
  <c r="Q19" i="9"/>
  <c r="BO18" i="9"/>
  <c r="Q18" i="9"/>
  <c r="BO17" i="9"/>
  <c r="Q17" i="9"/>
  <c r="BO16" i="9"/>
  <c r="Q16" i="9"/>
  <c r="I16" i="9"/>
  <c r="BO15" i="9"/>
  <c r="Q15" i="9"/>
  <c r="BO14" i="9"/>
  <c r="Q14" i="9"/>
  <c r="BO13" i="9"/>
  <c r="Q13" i="9"/>
  <c r="BO12" i="9"/>
  <c r="Q12" i="9"/>
  <c r="BO11" i="9"/>
  <c r="Q11" i="9"/>
  <c r="G214" i="8"/>
  <c r="P200" i="8"/>
  <c r="G199" i="8"/>
  <c r="P198" i="8"/>
  <c r="G197" i="8"/>
  <c r="G194" i="8"/>
  <c r="G213" i="6"/>
  <c r="G196" i="6"/>
  <c r="D174" i="8"/>
  <c r="D208" i="6"/>
  <c r="F208" i="6" s="1"/>
  <c r="G178" i="3"/>
  <c r="A54" i="15"/>
  <c r="A104" i="15"/>
  <c r="A154" i="15"/>
  <c r="A53" i="15"/>
  <c r="A103" i="15" s="1"/>
  <c r="A153" i="15" s="1"/>
  <c r="A52" i="15"/>
  <c r="A102" i="15"/>
  <c r="A152" i="15" s="1"/>
  <c r="A51" i="15"/>
  <c r="A101" i="15"/>
  <c r="A151" i="15"/>
  <c r="A50" i="15"/>
  <c r="A100" i="15"/>
  <c r="A150" i="15"/>
  <c r="A49" i="15"/>
  <c r="A99" i="15" s="1"/>
  <c r="A149" i="15" s="1"/>
  <c r="A48" i="15"/>
  <c r="A98" i="15"/>
  <c r="A148" i="15" s="1"/>
  <c r="A47" i="15"/>
  <c r="A97" i="15"/>
  <c r="A147" i="15"/>
  <c r="A46" i="15"/>
  <c r="A96" i="15"/>
  <c r="A146" i="15"/>
  <c r="A45" i="15"/>
  <c r="A95" i="15" s="1"/>
  <c r="A145" i="15" s="1"/>
  <c r="A44" i="15"/>
  <c r="A94" i="15"/>
  <c r="A144" i="15" s="1"/>
  <c r="A43" i="15"/>
  <c r="A93" i="15"/>
  <c r="A143" i="15"/>
  <c r="A42" i="15"/>
  <c r="A92" i="15"/>
  <c r="A142" i="15"/>
  <c r="A41" i="15"/>
  <c r="A91" i="15" s="1"/>
  <c r="A141" i="15" s="1"/>
  <c r="A40" i="15"/>
  <c r="A90" i="15"/>
  <c r="A140" i="15" s="1"/>
  <c r="A39" i="15"/>
  <c r="A89" i="15" s="1"/>
  <c r="A139" i="15" s="1"/>
  <c r="A38" i="15"/>
  <c r="A88" i="15"/>
  <c r="A138" i="15" s="1"/>
  <c r="A37" i="15"/>
  <c r="A87" i="15" s="1"/>
  <c r="A137" i="15" s="1"/>
  <c r="A36" i="15"/>
  <c r="A86" i="15"/>
  <c r="A136" i="15" s="1"/>
  <c r="A35" i="15"/>
  <c r="A85" i="15" s="1"/>
  <c r="A135" i="15" s="1"/>
  <c r="A34" i="15"/>
  <c r="A84" i="15"/>
  <c r="A134" i="15"/>
  <c r="A33" i="15"/>
  <c r="A83" i="15" s="1"/>
  <c r="A133" i="15" s="1"/>
  <c r="A32" i="15"/>
  <c r="A82" i="15"/>
  <c r="A132" i="15" s="1"/>
  <c r="A31" i="15"/>
  <c r="A81" i="15"/>
  <c r="A131" i="15"/>
  <c r="A30" i="15"/>
  <c r="A80" i="15"/>
  <c r="A130" i="15"/>
  <c r="A29" i="15"/>
  <c r="A79" i="15" s="1"/>
  <c r="A129" i="15" s="1"/>
  <c r="A28" i="15"/>
  <c r="A78" i="15" s="1"/>
  <c r="A128" i="15" s="1"/>
  <c r="A27" i="15"/>
  <c r="A77" i="15"/>
  <c r="A127" i="15"/>
  <c r="A26" i="15"/>
  <c r="A76" i="15" s="1"/>
  <c r="A126" i="15" s="1"/>
  <c r="A25" i="15"/>
  <c r="A75" i="15" s="1"/>
  <c r="A125" i="15" s="1"/>
  <c r="A24" i="15"/>
  <c r="A74" i="15"/>
  <c r="A124" i="15"/>
  <c r="A23" i="15"/>
  <c r="A73" i="15" s="1"/>
  <c r="A123" i="15" s="1"/>
  <c r="A22" i="15"/>
  <c r="A72" i="15" s="1"/>
  <c r="A122" i="15" s="1"/>
  <c r="A21" i="15"/>
  <c r="A71" i="15" s="1"/>
  <c r="A121" i="15" s="1"/>
  <c r="A20" i="15"/>
  <c r="A70" i="15" s="1"/>
  <c r="A120" i="15" s="1"/>
  <c r="A19" i="15"/>
  <c r="A69" i="15"/>
  <c r="A119" i="15" s="1"/>
  <c r="A18" i="15"/>
  <c r="A68" i="15" s="1"/>
  <c r="A118" i="15" s="1"/>
  <c r="A17" i="15"/>
  <c r="A67" i="15" s="1"/>
  <c r="A117" i="15" s="1"/>
  <c r="A16" i="15"/>
  <c r="A66" i="15"/>
  <c r="A116" i="15" s="1"/>
  <c r="A15" i="15"/>
  <c r="A65" i="15" s="1"/>
  <c r="A115" i="15" s="1"/>
  <c r="A14" i="15"/>
  <c r="A64" i="15"/>
  <c r="A114" i="15"/>
  <c r="A13" i="15"/>
  <c r="A63" i="15" s="1"/>
  <c r="A113" i="15" s="1"/>
  <c r="A12" i="15"/>
  <c r="A62" i="15" s="1"/>
  <c r="A112" i="15" s="1"/>
  <c r="A11" i="15"/>
  <c r="A61" i="15"/>
  <c r="A111" i="15" s="1"/>
  <c r="A10" i="15"/>
  <c r="A60" i="15" s="1"/>
  <c r="A110" i="15" s="1"/>
  <c r="A9" i="15"/>
  <c r="A59" i="15" s="1"/>
  <c r="A109" i="15" s="1"/>
  <c r="A8" i="15"/>
  <c r="A58" i="15"/>
  <c r="A108" i="15" s="1"/>
  <c r="B5" i="15"/>
  <c r="B236" i="16"/>
  <c r="B286" i="16" s="1"/>
  <c r="B336" i="16" s="1"/>
  <c r="B235" i="16"/>
  <c r="B285" i="16" s="1"/>
  <c r="B335" i="16" s="1"/>
  <c r="B234" i="16"/>
  <c r="B284" i="16" s="1"/>
  <c r="B334" i="16" s="1"/>
  <c r="B233" i="16"/>
  <c r="B283" i="16" s="1"/>
  <c r="B333" i="16" s="1"/>
  <c r="B232" i="16"/>
  <c r="B282" i="16" s="1"/>
  <c r="B332" i="16" s="1"/>
  <c r="B231" i="16"/>
  <c r="B281" i="16" s="1"/>
  <c r="B331" i="16" s="1"/>
  <c r="B230" i="16"/>
  <c r="B280" i="16" s="1"/>
  <c r="B330" i="16" s="1"/>
  <c r="B229" i="16"/>
  <c r="B279" i="16" s="1"/>
  <c r="B329" i="16" s="1"/>
  <c r="B228" i="16"/>
  <c r="B278" i="16" s="1"/>
  <c r="B328" i="16" s="1"/>
  <c r="B227" i="16"/>
  <c r="B277" i="16" s="1"/>
  <c r="B327" i="16" s="1"/>
  <c r="B226" i="16"/>
  <c r="B276" i="16" s="1"/>
  <c r="B326" i="16" s="1"/>
  <c r="B225" i="16"/>
  <c r="B275" i="16" s="1"/>
  <c r="B325" i="16" s="1"/>
  <c r="B224" i="16"/>
  <c r="B274" i="16" s="1"/>
  <c r="B324" i="16" s="1"/>
  <c r="B223" i="16"/>
  <c r="B273" i="16" s="1"/>
  <c r="B323" i="16" s="1"/>
  <c r="B222" i="16"/>
  <c r="B272" i="16" s="1"/>
  <c r="B322" i="16" s="1"/>
  <c r="B221" i="16"/>
  <c r="B271" i="16" s="1"/>
  <c r="B321" i="16" s="1"/>
  <c r="B220" i="16"/>
  <c r="B270" i="16" s="1"/>
  <c r="B320" i="16" s="1"/>
  <c r="B219" i="16"/>
  <c r="B269" i="16" s="1"/>
  <c r="B319" i="16" s="1"/>
  <c r="B218" i="16"/>
  <c r="B268" i="16" s="1"/>
  <c r="B318" i="16" s="1"/>
  <c r="B217" i="16"/>
  <c r="B267" i="16" s="1"/>
  <c r="B317" i="16" s="1"/>
  <c r="B216" i="16"/>
  <c r="B266" i="16" s="1"/>
  <c r="B316" i="16" s="1"/>
  <c r="B215" i="16"/>
  <c r="B265" i="16" s="1"/>
  <c r="B315" i="16" s="1"/>
  <c r="B214" i="16"/>
  <c r="B264" i="16" s="1"/>
  <c r="B314" i="16" s="1"/>
  <c r="B213" i="16"/>
  <c r="B263" i="16" s="1"/>
  <c r="B313" i="16" s="1"/>
  <c r="B212" i="16"/>
  <c r="B262" i="16" s="1"/>
  <c r="B312" i="16" s="1"/>
  <c r="B211" i="16"/>
  <c r="B261" i="16" s="1"/>
  <c r="B311" i="16" s="1"/>
  <c r="B210" i="16"/>
  <c r="B260" i="16" s="1"/>
  <c r="B310" i="16" s="1"/>
  <c r="B209" i="16"/>
  <c r="B259" i="16" s="1"/>
  <c r="B309" i="16" s="1"/>
  <c r="B208" i="16"/>
  <c r="B258" i="16" s="1"/>
  <c r="B308" i="16" s="1"/>
  <c r="B207" i="16"/>
  <c r="B257" i="16" s="1"/>
  <c r="B307" i="16" s="1"/>
  <c r="B206" i="16"/>
  <c r="B256" i="16" s="1"/>
  <c r="B306" i="16" s="1"/>
  <c r="B205" i="16"/>
  <c r="B255" i="16" s="1"/>
  <c r="B305" i="16" s="1"/>
  <c r="B204" i="16"/>
  <c r="B254" i="16" s="1"/>
  <c r="B304" i="16" s="1"/>
  <c r="B203" i="16"/>
  <c r="B253" i="16" s="1"/>
  <c r="B303" i="16" s="1"/>
  <c r="B202" i="16"/>
  <c r="B252" i="16" s="1"/>
  <c r="B302" i="16" s="1"/>
  <c r="B201" i="16"/>
  <c r="B251" i="16" s="1"/>
  <c r="B301" i="16" s="1"/>
  <c r="B200" i="16"/>
  <c r="B250" i="16" s="1"/>
  <c r="B300" i="16" s="1"/>
  <c r="B199" i="16"/>
  <c r="B249" i="16" s="1"/>
  <c r="B299" i="16" s="1"/>
  <c r="B198" i="16"/>
  <c r="B248" i="16" s="1"/>
  <c r="B298" i="16" s="1"/>
  <c r="B197" i="16"/>
  <c r="B247" i="16" s="1"/>
  <c r="B297" i="16" s="1"/>
  <c r="B196" i="16"/>
  <c r="B246" i="16" s="1"/>
  <c r="B296" i="16" s="1"/>
  <c r="B195" i="16"/>
  <c r="B245" i="16" s="1"/>
  <c r="B295" i="16" s="1"/>
  <c r="B194" i="16"/>
  <c r="B244" i="16" s="1"/>
  <c r="B294" i="16" s="1"/>
  <c r="B193" i="16"/>
  <c r="B243" i="16" s="1"/>
  <c r="B293" i="16" s="1"/>
  <c r="B192" i="16"/>
  <c r="B242" i="16" s="1"/>
  <c r="B292" i="16" s="1"/>
  <c r="B191" i="16"/>
  <c r="B241" i="16" s="1"/>
  <c r="B291" i="16" s="1"/>
  <c r="B190" i="16"/>
  <c r="B240" i="16" s="1"/>
  <c r="B290" i="16" s="1"/>
  <c r="AF111" i="3"/>
  <c r="A67" i="4"/>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M54" i="4"/>
  <c r="M53" i="4"/>
  <c r="R33" i="4"/>
  <c r="O31" i="4"/>
  <c r="O32" i="4"/>
  <c r="R32" i="4"/>
  <c r="R31" i="4"/>
  <c r="O30" i="4"/>
  <c r="AF216" i="8"/>
  <c r="AX216" i="8"/>
  <c r="Y216" i="8"/>
  <c r="AS216" i="8"/>
  <c r="G216" i="8"/>
  <c r="D216" i="8"/>
  <c r="AI216" i="8"/>
  <c r="Q216" i="8"/>
  <c r="P216" i="8"/>
  <c r="AF215" i="8"/>
  <c r="AX215" i="8"/>
  <c r="Y215" i="8"/>
  <c r="AI215" i="8" s="1"/>
  <c r="AS215" i="8"/>
  <c r="D215" i="8"/>
  <c r="Q215" i="8"/>
  <c r="P215" i="8"/>
  <c r="AF214" i="8"/>
  <c r="AX214" i="8" s="1"/>
  <c r="Y214" i="8"/>
  <c r="AI214" i="8" s="1"/>
  <c r="AS214" i="8"/>
  <c r="D214" i="8"/>
  <c r="Q214" i="8"/>
  <c r="P214" i="8"/>
  <c r="AF213" i="8"/>
  <c r="AX213" i="8" s="1"/>
  <c r="Y213" i="8"/>
  <c r="AI213" i="8" s="1"/>
  <c r="AS213" i="8"/>
  <c r="D213" i="8"/>
  <c r="Q213" i="8"/>
  <c r="AF212" i="8"/>
  <c r="AX212" i="8" s="1"/>
  <c r="Y212" i="8"/>
  <c r="AS212" i="8"/>
  <c r="G212" i="8"/>
  <c r="D212" i="8"/>
  <c r="AI212" i="8"/>
  <c r="Q212" i="8"/>
  <c r="AF211" i="8"/>
  <c r="AX211" i="8" s="1"/>
  <c r="Y211" i="8"/>
  <c r="AI211" i="8" s="1"/>
  <c r="AS211" i="8"/>
  <c r="D211" i="8"/>
  <c r="Q211" i="8"/>
  <c r="AF210" i="8"/>
  <c r="AX210" i="8" s="1"/>
  <c r="Y210" i="8"/>
  <c r="AS210" i="8"/>
  <c r="G210" i="8"/>
  <c r="D210" i="8"/>
  <c r="AI210" i="8"/>
  <c r="Q210" i="8"/>
  <c r="P210" i="8"/>
  <c r="Y209" i="8"/>
  <c r="AS209" i="8" s="1"/>
  <c r="D209" i="8"/>
  <c r="Q209" i="8"/>
  <c r="P209" i="8"/>
  <c r="AF208" i="8"/>
  <c r="AX208" i="8" s="1"/>
  <c r="Y208" i="8"/>
  <c r="AI208" i="8" s="1"/>
  <c r="G208" i="8"/>
  <c r="D208" i="8"/>
  <c r="Q208" i="8"/>
  <c r="P208" i="8"/>
  <c r="AF207" i="8"/>
  <c r="AX207" i="8" s="1"/>
  <c r="Y207" i="8"/>
  <c r="AS207" i="8"/>
  <c r="D207" i="8"/>
  <c r="AI207" i="8"/>
  <c r="Q207" i="8"/>
  <c r="AF206" i="8"/>
  <c r="AX206" i="8" s="1"/>
  <c r="Y206" i="8"/>
  <c r="AS206" i="8" s="1"/>
  <c r="G206" i="8"/>
  <c r="D206" i="8"/>
  <c r="AI206" i="8"/>
  <c r="Q206" i="8"/>
  <c r="P206" i="8"/>
  <c r="AF205" i="8"/>
  <c r="AX205" i="8" s="1"/>
  <c r="Y205" i="8"/>
  <c r="AS205" i="8"/>
  <c r="D205" i="8"/>
  <c r="E205" i="8" s="1"/>
  <c r="AI205" i="8"/>
  <c r="Q205" i="8"/>
  <c r="AF204" i="8"/>
  <c r="AX204" i="8" s="1"/>
  <c r="Y204" i="8"/>
  <c r="AS204" i="8"/>
  <c r="G204" i="8"/>
  <c r="C204" i="8"/>
  <c r="D204" i="8"/>
  <c r="AI204" i="8"/>
  <c r="Q204" i="8"/>
  <c r="P204" i="8"/>
  <c r="AF203" i="8"/>
  <c r="AX203" i="8" s="1"/>
  <c r="Y203" i="8"/>
  <c r="AS203" i="8"/>
  <c r="D203" i="8"/>
  <c r="AI203" i="8"/>
  <c r="Q203" i="8"/>
  <c r="Y202" i="8"/>
  <c r="AS202" i="8"/>
  <c r="G202" i="8"/>
  <c r="D202" i="8"/>
  <c r="AI202" i="8"/>
  <c r="Q202" i="8"/>
  <c r="P202" i="8"/>
  <c r="AF201" i="8"/>
  <c r="AX201" i="8" s="1"/>
  <c r="Y201" i="8"/>
  <c r="AS201" i="8" s="1"/>
  <c r="D201" i="8"/>
  <c r="Q201" i="8"/>
  <c r="AF200" i="8"/>
  <c r="AX200" i="8" s="1"/>
  <c r="Y200" i="8"/>
  <c r="AS200" i="8"/>
  <c r="G200" i="8"/>
  <c r="D200" i="8"/>
  <c r="AI200" i="8"/>
  <c r="Q200" i="8"/>
  <c r="AF199" i="8"/>
  <c r="AX199" i="8" s="1"/>
  <c r="Y199" i="8"/>
  <c r="AS199" i="8" s="1"/>
  <c r="D199" i="8"/>
  <c r="Q199" i="8"/>
  <c r="Y198" i="8"/>
  <c r="AS198" i="8" s="1"/>
  <c r="G198" i="8"/>
  <c r="D198" i="8"/>
  <c r="AI198" i="8"/>
  <c r="Q198" i="8"/>
  <c r="AF197" i="8"/>
  <c r="AX197" i="8" s="1"/>
  <c r="Y197" i="8"/>
  <c r="AS197" i="8" s="1"/>
  <c r="D197" i="8"/>
  <c r="Q197" i="8"/>
  <c r="P197" i="8"/>
  <c r="Y196" i="8"/>
  <c r="AS196" i="8" s="1"/>
  <c r="G196" i="8"/>
  <c r="D196" i="8"/>
  <c r="AI196" i="8"/>
  <c r="Q196" i="8"/>
  <c r="P196" i="8"/>
  <c r="AF195" i="8"/>
  <c r="AX195" i="8" s="1"/>
  <c r="Y195" i="8"/>
  <c r="AS195" i="8"/>
  <c r="D195" i="8"/>
  <c r="AI195" i="8"/>
  <c r="Q195" i="8"/>
  <c r="P195" i="8"/>
  <c r="Y194" i="8"/>
  <c r="AS194" i="8"/>
  <c r="D194" i="8"/>
  <c r="AI194" i="8"/>
  <c r="Q194" i="8"/>
  <c r="P194" i="8"/>
  <c r="AF193" i="8"/>
  <c r="AX193" i="8" s="1"/>
  <c r="Y193" i="8"/>
  <c r="AS193" i="8"/>
  <c r="G193" i="8"/>
  <c r="D193" i="8"/>
  <c r="AI193" i="8"/>
  <c r="Q193" i="8"/>
  <c r="P193" i="8"/>
  <c r="AF192" i="8"/>
  <c r="AX192" i="8" s="1"/>
  <c r="Y192" i="8"/>
  <c r="D192" i="8"/>
  <c r="Q192" i="8"/>
  <c r="AF191" i="8"/>
  <c r="AX191" i="8" s="1"/>
  <c r="Y191" i="8"/>
  <c r="AS191" i="8" s="1"/>
  <c r="G191" i="8"/>
  <c r="D191" i="8"/>
  <c r="AI191" i="8"/>
  <c r="Q191" i="8"/>
  <c r="P191" i="8"/>
  <c r="AF190" i="8"/>
  <c r="AX190" i="8" s="1"/>
  <c r="Y190" i="8"/>
  <c r="AS190" i="8" s="1"/>
  <c r="D190" i="8"/>
  <c r="AI190" i="8"/>
  <c r="Q190" i="8"/>
  <c r="AF189" i="8"/>
  <c r="AX189" i="8" s="1"/>
  <c r="Y189" i="8"/>
  <c r="D189" i="8"/>
  <c r="Q189" i="8"/>
  <c r="AF188" i="8"/>
  <c r="AX188" i="8" s="1"/>
  <c r="Y188" i="8"/>
  <c r="AS188" i="8" s="1"/>
  <c r="D188" i="8"/>
  <c r="Q188" i="8"/>
  <c r="AF187" i="8"/>
  <c r="AX187" i="8" s="1"/>
  <c r="Y187" i="8"/>
  <c r="AI187" i="8"/>
  <c r="D187" i="8"/>
  <c r="Q187" i="8"/>
  <c r="AF186" i="8"/>
  <c r="AX186" i="8" s="1"/>
  <c r="Y186" i="8"/>
  <c r="AS186" i="8"/>
  <c r="D186" i="8"/>
  <c r="AI186" i="8"/>
  <c r="Q186" i="8"/>
  <c r="AF185" i="8"/>
  <c r="AX185" i="8" s="1"/>
  <c r="Y185" i="8"/>
  <c r="AS185" i="8" s="1"/>
  <c r="D185" i="8"/>
  <c r="AI185" i="8"/>
  <c r="Q185" i="8"/>
  <c r="AF184" i="8"/>
  <c r="AX184" i="8" s="1"/>
  <c r="Y184" i="8"/>
  <c r="AI184" i="8" s="1"/>
  <c r="D184" i="8"/>
  <c r="Q184" i="8"/>
  <c r="AF183" i="8"/>
  <c r="AX183" i="8" s="1"/>
  <c r="Y183" i="8"/>
  <c r="D183" i="8"/>
  <c r="Q183" i="8"/>
  <c r="AF182" i="8"/>
  <c r="AX182" i="8" s="1"/>
  <c r="Y182" i="8"/>
  <c r="AS182" i="8" s="1"/>
  <c r="D182" i="8"/>
  <c r="AI182" i="8"/>
  <c r="Q182" i="8"/>
  <c r="AF181" i="8"/>
  <c r="AX181" i="8" s="1"/>
  <c r="Y181" i="8"/>
  <c r="AS181" i="8" s="1"/>
  <c r="D181" i="8"/>
  <c r="Q181" i="8"/>
  <c r="AF180" i="8"/>
  <c r="AX180" i="8" s="1"/>
  <c r="Y180" i="8"/>
  <c r="AS180" i="8" s="1"/>
  <c r="D180" i="8"/>
  <c r="E180" i="8" s="1"/>
  <c r="AI180" i="8"/>
  <c r="Q180" i="8"/>
  <c r="AF179" i="8"/>
  <c r="AX179" i="8"/>
  <c r="Y179" i="8"/>
  <c r="AS179" i="8"/>
  <c r="D179" i="8"/>
  <c r="AI179" i="8"/>
  <c r="Q179" i="8"/>
  <c r="AF178" i="8"/>
  <c r="AX178" i="8"/>
  <c r="Y178" i="8"/>
  <c r="AS178" i="8"/>
  <c r="D178" i="8"/>
  <c r="AI178" i="8"/>
  <c r="Q178" i="8"/>
  <c r="AF177" i="8"/>
  <c r="AX177" i="8"/>
  <c r="Y177" i="8"/>
  <c r="AS177" i="8"/>
  <c r="D177" i="8"/>
  <c r="AI177" i="8"/>
  <c r="Q177" i="8"/>
  <c r="AF176" i="8"/>
  <c r="AX176" i="8" s="1"/>
  <c r="Y176" i="8"/>
  <c r="AS176" i="8" s="1"/>
  <c r="G176" i="8"/>
  <c r="D176" i="8"/>
  <c r="AI176" i="8"/>
  <c r="Q176" i="8"/>
  <c r="P176" i="8"/>
  <c r="AF175" i="8"/>
  <c r="AX175" i="8" s="1"/>
  <c r="Y175" i="8"/>
  <c r="AS175" i="8" s="1"/>
  <c r="G175" i="8"/>
  <c r="D175" i="8"/>
  <c r="Q175" i="8"/>
  <c r="P175" i="8"/>
  <c r="AF174" i="8"/>
  <c r="AX174" i="8" s="1"/>
  <c r="Y174" i="8"/>
  <c r="AS174" i="8"/>
  <c r="G174" i="8"/>
  <c r="AI174" i="8"/>
  <c r="Q174" i="8"/>
  <c r="P174" i="8"/>
  <c r="AF173" i="8"/>
  <c r="AX173" i="8" s="1"/>
  <c r="Y173" i="8"/>
  <c r="AS173" i="8"/>
  <c r="D173" i="8"/>
  <c r="AI173" i="8"/>
  <c r="Q173" i="8"/>
  <c r="AF172" i="8"/>
  <c r="AX172" i="8" s="1"/>
  <c r="Y172" i="8"/>
  <c r="AS172" i="8"/>
  <c r="G172" i="8"/>
  <c r="D172" i="8"/>
  <c r="AI172" i="8"/>
  <c r="Q172" i="8"/>
  <c r="P172" i="8"/>
  <c r="AF171" i="8"/>
  <c r="AX171" i="8" s="1"/>
  <c r="Y171" i="8"/>
  <c r="AS171" i="8"/>
  <c r="G171" i="8"/>
  <c r="D171" i="8"/>
  <c r="Q171" i="8"/>
  <c r="P171" i="8"/>
  <c r="AF170" i="8"/>
  <c r="AX170" i="8" s="1"/>
  <c r="Y170" i="8"/>
  <c r="AS170" i="8" s="1"/>
  <c r="D170" i="8"/>
  <c r="AI170" i="8"/>
  <c r="Q170" i="8"/>
  <c r="AX169" i="8"/>
  <c r="AW169" i="8"/>
  <c r="AV169" i="8"/>
  <c r="AU169" i="8"/>
  <c r="AT169" i="8"/>
  <c r="AS169" i="8"/>
  <c r="C169" i="8"/>
  <c r="S112" i="8"/>
  <c r="CD7" i="8"/>
  <c r="CD10" i="8" s="1"/>
  <c r="AF216" i="6"/>
  <c r="AX216" i="6" s="1"/>
  <c r="AD216" i="6"/>
  <c r="AV216" i="6" s="1"/>
  <c r="Y216" i="6"/>
  <c r="AS216" i="6" s="1"/>
  <c r="G216" i="6"/>
  <c r="C216" i="6"/>
  <c r="D216" i="6"/>
  <c r="AI216" i="6"/>
  <c r="Q216" i="6"/>
  <c r="P216" i="6"/>
  <c r="AF215" i="6"/>
  <c r="AX215" i="6" s="1"/>
  <c r="AD215" i="6"/>
  <c r="AV215" i="6" s="1"/>
  <c r="Y215" i="6"/>
  <c r="AS215" i="6" s="1"/>
  <c r="G215" i="6"/>
  <c r="D215" i="6"/>
  <c r="AI215" i="6"/>
  <c r="Q215" i="6"/>
  <c r="P215" i="6"/>
  <c r="AF214" i="6"/>
  <c r="AX214" i="6" s="1"/>
  <c r="AD214" i="6"/>
  <c r="AV214" i="6" s="1"/>
  <c r="Y214" i="6"/>
  <c r="AS214" i="6"/>
  <c r="G214" i="6"/>
  <c r="C214" i="6"/>
  <c r="D214" i="6"/>
  <c r="AI214" i="6"/>
  <c r="Q214" i="6"/>
  <c r="P214" i="6"/>
  <c r="AF213" i="6"/>
  <c r="AX213" i="6" s="1"/>
  <c r="AD213" i="6"/>
  <c r="AV213" i="6" s="1"/>
  <c r="Y213" i="6"/>
  <c r="AS213" i="6"/>
  <c r="D213" i="6"/>
  <c r="AI213" i="6"/>
  <c r="Q213" i="6"/>
  <c r="P213" i="6"/>
  <c r="AF212" i="6"/>
  <c r="AX212" i="6" s="1"/>
  <c r="AD212" i="6"/>
  <c r="AV212" i="6" s="1"/>
  <c r="Y212" i="6"/>
  <c r="AS212" i="6" s="1"/>
  <c r="G212" i="6"/>
  <c r="D212" i="6"/>
  <c r="AI212" i="6"/>
  <c r="Q212" i="6"/>
  <c r="P212" i="6"/>
  <c r="AF211" i="6"/>
  <c r="AX211" i="6" s="1"/>
  <c r="AD211" i="6"/>
  <c r="AV211" i="6" s="1"/>
  <c r="Y211" i="6"/>
  <c r="AS211" i="6"/>
  <c r="G211" i="6"/>
  <c r="D211" i="6"/>
  <c r="AI211" i="6"/>
  <c r="Q211" i="6"/>
  <c r="P211" i="6"/>
  <c r="AF210" i="6"/>
  <c r="AX210" i="6" s="1"/>
  <c r="AD210" i="6"/>
  <c r="AV210" i="6" s="1"/>
  <c r="Y210" i="6"/>
  <c r="AS210" i="6"/>
  <c r="G210" i="6"/>
  <c r="D210" i="6"/>
  <c r="AI210" i="6"/>
  <c r="Q210" i="6"/>
  <c r="P210" i="6"/>
  <c r="AF209" i="6"/>
  <c r="AX209" i="6" s="1"/>
  <c r="AD209" i="6"/>
  <c r="AV209" i="6" s="1"/>
  <c r="Y209" i="6"/>
  <c r="AS209" i="6"/>
  <c r="G209" i="6"/>
  <c r="D209" i="6"/>
  <c r="AI209" i="6"/>
  <c r="Q209" i="6"/>
  <c r="P209" i="6"/>
  <c r="AF208" i="6"/>
  <c r="AX208" i="6" s="1"/>
  <c r="AD208" i="6"/>
  <c r="AV208" i="6" s="1"/>
  <c r="Y208" i="6"/>
  <c r="AS208" i="6"/>
  <c r="G208" i="6"/>
  <c r="AI208" i="6"/>
  <c r="Q208" i="6"/>
  <c r="P208" i="6"/>
  <c r="AF207" i="6"/>
  <c r="AX207" i="6"/>
  <c r="AD207" i="6"/>
  <c r="AV207" i="6" s="1"/>
  <c r="Y207" i="6"/>
  <c r="AS207" i="6" s="1"/>
  <c r="G207" i="6"/>
  <c r="D207" i="6"/>
  <c r="AI207" i="6"/>
  <c r="Q207" i="6"/>
  <c r="AF206" i="6"/>
  <c r="AX206" i="6"/>
  <c r="AD206" i="6"/>
  <c r="AV206" i="6" s="1"/>
  <c r="Y206" i="6"/>
  <c r="AS206" i="6"/>
  <c r="G206" i="6"/>
  <c r="D206" i="6"/>
  <c r="AI206" i="6"/>
  <c r="Q206" i="6"/>
  <c r="P206" i="6"/>
  <c r="AF205" i="6"/>
  <c r="AX205" i="6" s="1"/>
  <c r="AD205" i="6"/>
  <c r="AV205" i="6" s="1"/>
  <c r="Y205" i="6"/>
  <c r="AS205" i="6"/>
  <c r="D205" i="6"/>
  <c r="Q205" i="6"/>
  <c r="AF204" i="6"/>
  <c r="AX204" i="6" s="1"/>
  <c r="AD204" i="6"/>
  <c r="AV204" i="6" s="1"/>
  <c r="Y204" i="6"/>
  <c r="AS204" i="6" s="1"/>
  <c r="AH94" i="6"/>
  <c r="G204" i="6"/>
  <c r="D204" i="6"/>
  <c r="AI204" i="6"/>
  <c r="Q204" i="6"/>
  <c r="P204" i="6"/>
  <c r="AF203" i="6"/>
  <c r="AX203" i="6" s="1"/>
  <c r="AD203" i="6"/>
  <c r="AV203" i="6" s="1"/>
  <c r="Y203" i="6"/>
  <c r="AS203" i="6" s="1"/>
  <c r="G203" i="6"/>
  <c r="D203" i="6"/>
  <c r="AI203" i="6"/>
  <c r="Q203" i="6"/>
  <c r="AF202" i="6"/>
  <c r="AX202" i="6"/>
  <c r="AD202" i="6"/>
  <c r="AV202" i="6" s="1"/>
  <c r="Y202" i="6"/>
  <c r="AS202" i="6" s="1"/>
  <c r="G202" i="6"/>
  <c r="D202" i="6"/>
  <c r="AI202" i="6"/>
  <c r="Q202" i="6"/>
  <c r="P202" i="6"/>
  <c r="AF201" i="6"/>
  <c r="AX201" i="6" s="1"/>
  <c r="AD201" i="6"/>
  <c r="AV201" i="6" s="1"/>
  <c r="Y201" i="6"/>
  <c r="AS201" i="6" s="1"/>
  <c r="G201" i="6"/>
  <c r="D201" i="6"/>
  <c r="AI201" i="6"/>
  <c r="Q201" i="6"/>
  <c r="P201" i="6"/>
  <c r="AF200" i="6"/>
  <c r="AX200" i="6" s="1"/>
  <c r="AD200" i="6"/>
  <c r="AV200" i="6" s="1"/>
  <c r="Y200" i="6"/>
  <c r="AS200" i="6"/>
  <c r="G200" i="6"/>
  <c r="D200" i="6"/>
  <c r="AI200" i="6"/>
  <c r="Q200" i="6"/>
  <c r="P200" i="6"/>
  <c r="AF199" i="6"/>
  <c r="AX199" i="6" s="1"/>
  <c r="AD199" i="6"/>
  <c r="AV199" i="6" s="1"/>
  <c r="Y199" i="6"/>
  <c r="AS199" i="6"/>
  <c r="G199" i="6"/>
  <c r="H199" i="6" s="1"/>
  <c r="C199" i="6"/>
  <c r="D199" i="6"/>
  <c r="AI199" i="6"/>
  <c r="Q199" i="6"/>
  <c r="P199" i="6"/>
  <c r="AF198" i="6"/>
  <c r="AX198" i="6" s="1"/>
  <c r="AD198" i="6"/>
  <c r="AV198" i="6" s="1"/>
  <c r="Y198" i="6"/>
  <c r="AS198" i="6" s="1"/>
  <c r="G198" i="6"/>
  <c r="D198" i="6"/>
  <c r="AI198" i="6"/>
  <c r="Q198" i="6"/>
  <c r="P198" i="6"/>
  <c r="AF197" i="6"/>
  <c r="AX197" i="6" s="1"/>
  <c r="AD197" i="6"/>
  <c r="AV197" i="6" s="1"/>
  <c r="Y197" i="6"/>
  <c r="AS197" i="6"/>
  <c r="G197" i="6"/>
  <c r="D197" i="6"/>
  <c r="AI197" i="6"/>
  <c r="Q197" i="6"/>
  <c r="P197" i="6"/>
  <c r="AF196" i="6"/>
  <c r="AX196" i="6" s="1"/>
  <c r="AD196" i="6"/>
  <c r="AV196" i="6" s="1"/>
  <c r="Y196" i="6"/>
  <c r="AS196" i="6"/>
  <c r="D196" i="6"/>
  <c r="AI196" i="6"/>
  <c r="Q196" i="6"/>
  <c r="P196" i="6"/>
  <c r="AF195" i="6"/>
  <c r="AX195" i="6" s="1"/>
  <c r="AD195" i="6"/>
  <c r="AV195" i="6" s="1"/>
  <c r="Y195" i="6"/>
  <c r="AS195" i="6"/>
  <c r="D195" i="6"/>
  <c r="AI195" i="6"/>
  <c r="Q195" i="6"/>
  <c r="AF194" i="6"/>
  <c r="AX194" i="6" s="1"/>
  <c r="AD194" i="6"/>
  <c r="AV194" i="6" s="1"/>
  <c r="Y194" i="6"/>
  <c r="AS194" i="6"/>
  <c r="D194" i="6"/>
  <c r="AI194" i="6"/>
  <c r="Q194" i="6"/>
  <c r="AF193" i="6"/>
  <c r="AX193" i="6" s="1"/>
  <c r="AD193" i="6"/>
  <c r="AV193" i="6" s="1"/>
  <c r="Y193" i="6"/>
  <c r="AS193" i="6"/>
  <c r="D193" i="6"/>
  <c r="Q193" i="6"/>
  <c r="AF192" i="6"/>
  <c r="AX192" i="6"/>
  <c r="AD192" i="6"/>
  <c r="AV192" i="6" s="1"/>
  <c r="Y192" i="6"/>
  <c r="AS192" i="6"/>
  <c r="D192" i="6"/>
  <c r="AI192" i="6"/>
  <c r="Q192" i="6"/>
  <c r="AF191" i="6"/>
  <c r="AX191" i="6"/>
  <c r="AD191" i="6"/>
  <c r="AV191" i="6" s="1"/>
  <c r="Y191" i="6"/>
  <c r="AS191" i="6"/>
  <c r="D191" i="6"/>
  <c r="AI191" i="6"/>
  <c r="Q191" i="6"/>
  <c r="AF190" i="6"/>
  <c r="AX190" i="6"/>
  <c r="AD190" i="6"/>
  <c r="AV190" i="6" s="1"/>
  <c r="Y190" i="6"/>
  <c r="AS190" i="6"/>
  <c r="D190" i="6"/>
  <c r="AI190" i="6"/>
  <c r="Q190" i="6"/>
  <c r="AF189" i="6"/>
  <c r="AX189" i="6" s="1"/>
  <c r="AD189" i="6"/>
  <c r="AV189" i="6" s="1"/>
  <c r="Y189" i="6"/>
  <c r="AI189" i="6" s="1"/>
  <c r="D189" i="6"/>
  <c r="Q189" i="6"/>
  <c r="AF188" i="6"/>
  <c r="AX188" i="6" s="1"/>
  <c r="AD188" i="6"/>
  <c r="AV188" i="6" s="1"/>
  <c r="Y188" i="6"/>
  <c r="AS188" i="6"/>
  <c r="AH78" i="6"/>
  <c r="D188" i="6"/>
  <c r="AI188" i="6"/>
  <c r="Q188" i="6"/>
  <c r="AF187" i="6"/>
  <c r="AX187" i="6" s="1"/>
  <c r="AD187" i="6"/>
  <c r="AV187" i="6" s="1"/>
  <c r="Y187" i="6"/>
  <c r="AS187" i="6"/>
  <c r="D187" i="6"/>
  <c r="AI187" i="6"/>
  <c r="Q187" i="6"/>
  <c r="AF186" i="6"/>
  <c r="AX186" i="6"/>
  <c r="AD186" i="6"/>
  <c r="AV186" i="6"/>
  <c r="Y186" i="6"/>
  <c r="AS186" i="6"/>
  <c r="D186" i="6"/>
  <c r="AI186" i="6"/>
  <c r="Q186" i="6"/>
  <c r="AF185" i="6"/>
  <c r="AX185" i="6" s="1"/>
  <c r="AD185" i="6"/>
  <c r="AV185" i="6" s="1"/>
  <c r="Y185" i="6"/>
  <c r="AS185" i="6"/>
  <c r="D185" i="6"/>
  <c r="AI185" i="6"/>
  <c r="Q185" i="6"/>
  <c r="AF184" i="6"/>
  <c r="AX184" i="6" s="1"/>
  <c r="AD184" i="6"/>
  <c r="AV184" i="6" s="1"/>
  <c r="Y184" i="6"/>
  <c r="AS184" i="6"/>
  <c r="D184" i="6"/>
  <c r="AI184" i="6"/>
  <c r="Q184" i="6"/>
  <c r="AF183" i="6"/>
  <c r="AX183" i="6" s="1"/>
  <c r="AD183" i="6"/>
  <c r="AV183" i="6" s="1"/>
  <c r="Y183" i="6"/>
  <c r="AS183" i="6"/>
  <c r="D183" i="6"/>
  <c r="AI183" i="6"/>
  <c r="Q183" i="6"/>
  <c r="AF182" i="6"/>
  <c r="AX182" i="6" s="1"/>
  <c r="AD182" i="6"/>
  <c r="AV182" i="6" s="1"/>
  <c r="Y182" i="6"/>
  <c r="AS182" i="6"/>
  <c r="D182" i="6"/>
  <c r="Q182" i="6"/>
  <c r="AF181" i="6"/>
  <c r="AX181" i="6"/>
  <c r="AD181" i="6"/>
  <c r="AV181" i="6" s="1"/>
  <c r="Y181" i="6"/>
  <c r="AS181" i="6"/>
  <c r="D181" i="6"/>
  <c r="AI181" i="6"/>
  <c r="Q181" i="6"/>
  <c r="AF180" i="6"/>
  <c r="AX180" i="6"/>
  <c r="AD180" i="6"/>
  <c r="AV180" i="6" s="1"/>
  <c r="Y180" i="6"/>
  <c r="AS180" i="6"/>
  <c r="D180" i="6"/>
  <c r="AI180" i="6"/>
  <c r="Q180" i="6"/>
  <c r="AF179" i="6"/>
  <c r="AX179" i="6"/>
  <c r="AD179" i="6"/>
  <c r="AV179" i="6" s="1"/>
  <c r="Y179" i="6"/>
  <c r="AS179" i="6"/>
  <c r="D179" i="6"/>
  <c r="AI179" i="6"/>
  <c r="Q179" i="6"/>
  <c r="AF178" i="6"/>
  <c r="AX178" i="6"/>
  <c r="AD178" i="6"/>
  <c r="AV178" i="6" s="1"/>
  <c r="Y178" i="6"/>
  <c r="AS178" i="6"/>
  <c r="G178" i="6"/>
  <c r="D178" i="6"/>
  <c r="AI178" i="6"/>
  <c r="Q178" i="6"/>
  <c r="P178" i="6"/>
  <c r="AF177" i="6"/>
  <c r="AX177" i="6" s="1"/>
  <c r="AD177" i="6"/>
  <c r="AV177" i="6" s="1"/>
  <c r="Y177" i="6"/>
  <c r="AS177" i="6"/>
  <c r="G177" i="6"/>
  <c r="D177" i="6"/>
  <c r="AI177" i="6"/>
  <c r="Q177" i="6"/>
  <c r="P177" i="6"/>
  <c r="AF176" i="6"/>
  <c r="AX176" i="6" s="1"/>
  <c r="AD176" i="6"/>
  <c r="AV176" i="6" s="1"/>
  <c r="Y176" i="6"/>
  <c r="AS176" i="6" s="1"/>
  <c r="G176" i="6"/>
  <c r="D176" i="6"/>
  <c r="Q176" i="6"/>
  <c r="P176" i="6"/>
  <c r="AF175" i="6"/>
  <c r="AX175" i="6"/>
  <c r="AD175" i="6"/>
  <c r="AV175" i="6" s="1"/>
  <c r="Y175" i="6"/>
  <c r="AS175" i="6" s="1"/>
  <c r="G175" i="6"/>
  <c r="D175" i="6"/>
  <c r="AI175" i="6"/>
  <c r="Q175" i="6"/>
  <c r="P175" i="6"/>
  <c r="AF174" i="6"/>
  <c r="AX174" i="6" s="1"/>
  <c r="AD174" i="6"/>
  <c r="AV174" i="6" s="1"/>
  <c r="Y174" i="6"/>
  <c r="AS174" i="6" s="1"/>
  <c r="G174" i="6"/>
  <c r="D174" i="6"/>
  <c r="AI174" i="6"/>
  <c r="Q174" i="6"/>
  <c r="P174" i="6"/>
  <c r="AF173" i="6"/>
  <c r="AX173" i="6" s="1"/>
  <c r="AD173" i="6"/>
  <c r="AV173" i="6" s="1"/>
  <c r="Y173" i="6"/>
  <c r="AS173" i="6"/>
  <c r="G173" i="6"/>
  <c r="D173" i="6"/>
  <c r="Q173" i="6"/>
  <c r="P173" i="6"/>
  <c r="AF172" i="6"/>
  <c r="AX172" i="6" s="1"/>
  <c r="AD172" i="6"/>
  <c r="AV172" i="6" s="1"/>
  <c r="Y172" i="6"/>
  <c r="AS172" i="6" s="1"/>
  <c r="G172" i="6"/>
  <c r="D172" i="6"/>
  <c r="AI172" i="6"/>
  <c r="Q172" i="6"/>
  <c r="P172" i="6"/>
  <c r="AF171" i="6"/>
  <c r="AX171" i="6" s="1"/>
  <c r="AD171" i="6"/>
  <c r="AV171" i="6" s="1"/>
  <c r="Y171" i="6"/>
  <c r="AS171" i="6" s="1"/>
  <c r="G171" i="6"/>
  <c r="D171" i="6"/>
  <c r="AI171" i="6"/>
  <c r="Q171" i="6"/>
  <c r="P171" i="6"/>
  <c r="AF170" i="6"/>
  <c r="AX170" i="6" s="1"/>
  <c r="AD170" i="6"/>
  <c r="AV170" i="6" s="1"/>
  <c r="Y170" i="6"/>
  <c r="AS170" i="6" s="1"/>
  <c r="G170" i="6"/>
  <c r="D170" i="6"/>
  <c r="AI170" i="6"/>
  <c r="P170" i="6"/>
  <c r="AX169" i="6"/>
  <c r="AW169" i="6"/>
  <c r="AV169" i="6"/>
  <c r="AU169" i="6"/>
  <c r="AT169" i="6"/>
  <c r="AS169" i="6"/>
  <c r="C169" i="6"/>
  <c r="R112" i="6"/>
  <c r="CD9" i="6"/>
  <c r="CD12" i="6" s="1"/>
  <c r="AD216" i="3"/>
  <c r="AV216" i="3" s="1"/>
  <c r="Y216" i="3"/>
  <c r="AS216" i="3" s="1"/>
  <c r="G216" i="3"/>
  <c r="D216" i="3"/>
  <c r="AI216" i="3"/>
  <c r="P216" i="3"/>
  <c r="AF215" i="3"/>
  <c r="AX215" i="3"/>
  <c r="AD215" i="3"/>
  <c r="AV215" i="3" s="1"/>
  <c r="Y215" i="3"/>
  <c r="AS215" i="3" s="1"/>
  <c r="D215" i="3"/>
  <c r="AI215" i="3"/>
  <c r="AF214" i="3"/>
  <c r="AX214" i="3" s="1"/>
  <c r="AD214" i="3"/>
  <c r="AV214" i="3" s="1"/>
  <c r="Y214" i="3"/>
  <c r="AS214" i="3"/>
  <c r="D214" i="3"/>
  <c r="AI214" i="3"/>
  <c r="AF213" i="3"/>
  <c r="AX213" i="3"/>
  <c r="AD213" i="3"/>
  <c r="AV213" i="3" s="1"/>
  <c r="Y213" i="3"/>
  <c r="AS213" i="3" s="1"/>
  <c r="D213" i="3"/>
  <c r="AD212" i="3"/>
  <c r="AV212" i="3" s="1"/>
  <c r="Y212" i="3"/>
  <c r="AS212" i="3"/>
  <c r="AH102" i="3"/>
  <c r="D212" i="3"/>
  <c r="AF211" i="3"/>
  <c r="AX211" i="3" s="1"/>
  <c r="AD211" i="3"/>
  <c r="AV211" i="3" s="1"/>
  <c r="Y211" i="3"/>
  <c r="AS211" i="3" s="1"/>
  <c r="D211" i="3"/>
  <c r="AI211" i="3"/>
  <c r="AF210" i="3"/>
  <c r="AX210" i="3" s="1"/>
  <c r="AD210" i="3"/>
  <c r="AV210" i="3"/>
  <c r="Y210" i="3"/>
  <c r="AS210" i="3"/>
  <c r="D210" i="3"/>
  <c r="F210" i="3" s="1"/>
  <c r="AI210" i="3"/>
  <c r="AF209" i="3"/>
  <c r="AX209" i="3"/>
  <c r="AD209" i="3"/>
  <c r="AV209" i="3" s="1"/>
  <c r="Y209" i="3"/>
  <c r="AS209" i="3"/>
  <c r="D209" i="3"/>
  <c r="AI209" i="3"/>
  <c r="AF208" i="3"/>
  <c r="AX208" i="3" s="1"/>
  <c r="AD208" i="3"/>
  <c r="AV208" i="3" s="1"/>
  <c r="Y208" i="3"/>
  <c r="AS208" i="3"/>
  <c r="D208" i="3"/>
  <c r="AF207" i="3"/>
  <c r="AX207" i="3"/>
  <c r="AD207" i="3"/>
  <c r="AV207" i="3" s="1"/>
  <c r="Y207" i="3"/>
  <c r="AS207" i="3"/>
  <c r="D207" i="3"/>
  <c r="AI207" i="3"/>
  <c r="AF206" i="3"/>
  <c r="AX206" i="3" s="1"/>
  <c r="AD206" i="3"/>
  <c r="AV206" i="3"/>
  <c r="Y206" i="3"/>
  <c r="AS206" i="3"/>
  <c r="D206" i="3"/>
  <c r="AF205" i="3"/>
  <c r="AX205" i="3" s="1"/>
  <c r="AD205" i="3"/>
  <c r="AV205" i="3"/>
  <c r="Y205" i="3"/>
  <c r="AS205" i="3" s="1"/>
  <c r="D205" i="3"/>
  <c r="AI205" i="3"/>
  <c r="AD204" i="3"/>
  <c r="AV204" i="3"/>
  <c r="Y204" i="3"/>
  <c r="AS204" i="3" s="1"/>
  <c r="AH94" i="3"/>
  <c r="D204" i="3"/>
  <c r="AF203" i="3"/>
  <c r="AX203" i="3" s="1"/>
  <c r="AD203" i="3"/>
  <c r="AV203" i="3" s="1"/>
  <c r="Y203" i="3"/>
  <c r="AS203" i="3"/>
  <c r="D203" i="3"/>
  <c r="AI203" i="3"/>
  <c r="AF202" i="3"/>
  <c r="AX202" i="3" s="1"/>
  <c r="AD202" i="3"/>
  <c r="AV202" i="3" s="1"/>
  <c r="Y202" i="3"/>
  <c r="AS202" i="3" s="1"/>
  <c r="D202" i="3"/>
  <c r="AF201" i="3"/>
  <c r="AX201" i="3"/>
  <c r="AD201" i="3"/>
  <c r="AV201" i="3"/>
  <c r="Y201" i="3"/>
  <c r="AS201" i="3" s="1"/>
  <c r="D201" i="3"/>
  <c r="AI201" i="3"/>
  <c r="AF200" i="3"/>
  <c r="AX200" i="3" s="1"/>
  <c r="AD200" i="3"/>
  <c r="AV200" i="3" s="1"/>
  <c r="Y200" i="3"/>
  <c r="AS200" i="3"/>
  <c r="D200" i="3"/>
  <c r="AI200" i="3"/>
  <c r="AF199" i="3"/>
  <c r="AX199" i="3"/>
  <c r="AD199" i="3"/>
  <c r="AV199" i="3" s="1"/>
  <c r="Y199" i="3"/>
  <c r="AS199" i="3"/>
  <c r="D199" i="3"/>
  <c r="AI199" i="3"/>
  <c r="AF198" i="3"/>
  <c r="AX198" i="3"/>
  <c r="AD198" i="3"/>
  <c r="AV198" i="3" s="1"/>
  <c r="Y198" i="3"/>
  <c r="AS198" i="3"/>
  <c r="AH88" i="3"/>
  <c r="D198" i="3"/>
  <c r="F198" i="3" s="1"/>
  <c r="AF197" i="3"/>
  <c r="AX197" i="3"/>
  <c r="AD197" i="3"/>
  <c r="AV197" i="3" s="1"/>
  <c r="Y197" i="3"/>
  <c r="AS197" i="3"/>
  <c r="D197" i="3"/>
  <c r="AI197" i="3"/>
  <c r="AF196" i="3"/>
  <c r="AX196" i="3" s="1"/>
  <c r="AD196" i="3"/>
  <c r="AV196" i="3" s="1"/>
  <c r="Y196" i="3"/>
  <c r="AS196" i="3"/>
  <c r="D196" i="3"/>
  <c r="AI196" i="3"/>
  <c r="AF195" i="3"/>
  <c r="AX195" i="3"/>
  <c r="AD195" i="3"/>
  <c r="AV195" i="3" s="1"/>
  <c r="Y195" i="3"/>
  <c r="AS195" i="3" s="1"/>
  <c r="D195" i="3"/>
  <c r="AI195" i="3"/>
  <c r="AF194" i="3"/>
  <c r="AX194" i="3" s="1"/>
  <c r="AD194" i="3"/>
  <c r="AV194" i="3"/>
  <c r="Y194" i="3"/>
  <c r="AS194" i="3" s="1"/>
  <c r="D194" i="3"/>
  <c r="AI194" i="3"/>
  <c r="AF193" i="3"/>
  <c r="AX193" i="3"/>
  <c r="AD193" i="3"/>
  <c r="AV193" i="3" s="1"/>
  <c r="Y193" i="3"/>
  <c r="AS193" i="3" s="1"/>
  <c r="D193" i="3"/>
  <c r="AI193" i="3"/>
  <c r="AD192" i="3"/>
  <c r="AV192" i="3" s="1"/>
  <c r="Y192" i="3"/>
  <c r="AS192" i="3" s="1"/>
  <c r="D192" i="3"/>
  <c r="AF191" i="3"/>
  <c r="AX191" i="3"/>
  <c r="AD191" i="3"/>
  <c r="AV191" i="3"/>
  <c r="Y191" i="3"/>
  <c r="AS191" i="3"/>
  <c r="AH81" i="3"/>
  <c r="D191" i="3"/>
  <c r="AI191" i="3"/>
  <c r="AF190" i="3"/>
  <c r="AX190" i="3"/>
  <c r="AD190" i="3"/>
  <c r="AV190" i="3" s="1"/>
  <c r="Y190" i="3"/>
  <c r="AS190" i="3" s="1"/>
  <c r="D190" i="3"/>
  <c r="AI190" i="3"/>
  <c r="AF189" i="3"/>
  <c r="AX189" i="3" s="1"/>
  <c r="AD189" i="3"/>
  <c r="AV189" i="3" s="1"/>
  <c r="Y189" i="3"/>
  <c r="AS189" i="3"/>
  <c r="D189" i="3"/>
  <c r="AI189" i="3"/>
  <c r="AD188" i="3"/>
  <c r="AV188" i="3" s="1"/>
  <c r="Y188" i="3"/>
  <c r="AS188" i="3" s="1"/>
  <c r="D188" i="3"/>
  <c r="AF187" i="3"/>
  <c r="AX187" i="3" s="1"/>
  <c r="AD187" i="3"/>
  <c r="AV187" i="3"/>
  <c r="Y187" i="3"/>
  <c r="AS187" i="3" s="1"/>
  <c r="D187" i="3"/>
  <c r="F187" i="3" s="1"/>
  <c r="AI187" i="3"/>
  <c r="AF186" i="3"/>
  <c r="AX186" i="3" s="1"/>
  <c r="AD186" i="3"/>
  <c r="AV186" i="3" s="1"/>
  <c r="Y186" i="3"/>
  <c r="AS186" i="3" s="1"/>
  <c r="G186" i="3"/>
  <c r="D186" i="3"/>
  <c r="AI186" i="3"/>
  <c r="P186" i="3"/>
  <c r="AF185" i="3"/>
  <c r="AX185" i="3"/>
  <c r="AD185" i="3"/>
  <c r="AV185" i="3" s="1"/>
  <c r="Y185" i="3"/>
  <c r="AS185" i="3" s="1"/>
  <c r="G185" i="3"/>
  <c r="D185" i="3"/>
  <c r="AI185" i="3"/>
  <c r="P185" i="3"/>
  <c r="AD184" i="3"/>
  <c r="AV184" i="3" s="1"/>
  <c r="Y184" i="3"/>
  <c r="AS184" i="3"/>
  <c r="G184" i="3"/>
  <c r="D184" i="3"/>
  <c r="AI184" i="3"/>
  <c r="P184" i="3"/>
  <c r="AF183" i="3"/>
  <c r="AX183" i="3" s="1"/>
  <c r="AD183" i="3"/>
  <c r="AV183" i="3" s="1"/>
  <c r="Y183" i="3"/>
  <c r="AS183" i="3" s="1"/>
  <c r="G183" i="3"/>
  <c r="D183" i="3"/>
  <c r="F183" i="3" s="1"/>
  <c r="P183" i="3"/>
  <c r="AF182" i="3"/>
  <c r="AX182" i="3" s="1"/>
  <c r="AD182" i="3"/>
  <c r="AV182" i="3" s="1"/>
  <c r="Y182" i="3"/>
  <c r="AS182" i="3"/>
  <c r="G182" i="3"/>
  <c r="D182" i="3"/>
  <c r="AI182" i="3"/>
  <c r="P182" i="3"/>
  <c r="AF181" i="3"/>
  <c r="AX181" i="3" s="1"/>
  <c r="AD181" i="3"/>
  <c r="AV181" i="3" s="1"/>
  <c r="Y181" i="3"/>
  <c r="AS181" i="3" s="1"/>
  <c r="G181" i="3"/>
  <c r="D181" i="3"/>
  <c r="AI181" i="3"/>
  <c r="P181" i="3"/>
  <c r="AF180" i="3"/>
  <c r="AX180" i="3" s="1"/>
  <c r="AD180" i="3"/>
  <c r="AV180" i="3" s="1"/>
  <c r="Y180" i="3"/>
  <c r="AS180" i="3"/>
  <c r="G180" i="3"/>
  <c r="D180" i="3"/>
  <c r="AI180" i="3"/>
  <c r="P180" i="3"/>
  <c r="AF179" i="3"/>
  <c r="AX179" i="3" s="1"/>
  <c r="AD179" i="3"/>
  <c r="AV179" i="3" s="1"/>
  <c r="Y179" i="3"/>
  <c r="AS179" i="3" s="1"/>
  <c r="G179" i="3"/>
  <c r="D179" i="3"/>
  <c r="AI179" i="3"/>
  <c r="P179" i="3"/>
  <c r="AF178" i="3"/>
  <c r="AX178" i="3" s="1"/>
  <c r="AD178" i="3"/>
  <c r="AV178" i="3" s="1"/>
  <c r="Y178" i="3"/>
  <c r="AS178" i="3"/>
  <c r="D178" i="3"/>
  <c r="AI178" i="3"/>
  <c r="P178" i="3"/>
  <c r="AF177" i="3"/>
  <c r="AX177" i="3" s="1"/>
  <c r="AD177" i="3"/>
  <c r="AV177" i="3" s="1"/>
  <c r="Y177" i="3"/>
  <c r="AI177" i="3" s="1"/>
  <c r="G177" i="3"/>
  <c r="D177" i="3"/>
  <c r="P177" i="3"/>
  <c r="AD176" i="3"/>
  <c r="AV176" i="3" s="1"/>
  <c r="Y176" i="3"/>
  <c r="AS176" i="3"/>
  <c r="G176" i="3"/>
  <c r="D176" i="3"/>
  <c r="F176" i="3" s="1"/>
  <c r="AI176" i="3"/>
  <c r="P176" i="3"/>
  <c r="AF175" i="3"/>
  <c r="AX175" i="3"/>
  <c r="AD175" i="3"/>
  <c r="AV175" i="3" s="1"/>
  <c r="Y175" i="3"/>
  <c r="AS175" i="3"/>
  <c r="D175" i="3"/>
  <c r="AF174" i="3"/>
  <c r="AX174" i="3" s="1"/>
  <c r="AD174" i="3"/>
  <c r="AV174" i="3" s="1"/>
  <c r="Y174" i="3"/>
  <c r="AS174" i="3" s="1"/>
  <c r="D174" i="3"/>
  <c r="AI174" i="3"/>
  <c r="AF173" i="3"/>
  <c r="AX173" i="3" s="1"/>
  <c r="AD173" i="3"/>
  <c r="AV173" i="3" s="1"/>
  <c r="AC173" i="3"/>
  <c r="AU173" i="3" s="1"/>
  <c r="Y173" i="3"/>
  <c r="AI173" i="3"/>
  <c r="AH63" i="3"/>
  <c r="D173" i="3"/>
  <c r="AF172" i="3"/>
  <c r="AX172" i="3" s="1"/>
  <c r="AD172" i="3"/>
  <c r="AV172" i="3" s="1"/>
  <c r="Y172" i="3"/>
  <c r="AS172" i="3"/>
  <c r="G172" i="3"/>
  <c r="D172" i="3"/>
  <c r="AI172" i="3"/>
  <c r="P172" i="3"/>
  <c r="AF171" i="3"/>
  <c r="AX171" i="3" s="1"/>
  <c r="AD171" i="3"/>
  <c r="AV171" i="3" s="1"/>
  <c r="Y171" i="3"/>
  <c r="AS171" i="3"/>
  <c r="G171" i="3"/>
  <c r="D171" i="3"/>
  <c r="AI171" i="3"/>
  <c r="P171" i="3"/>
  <c r="AF170" i="3"/>
  <c r="AX170" i="3"/>
  <c r="AD170" i="3"/>
  <c r="AV170" i="3" s="1"/>
  <c r="Y170" i="3"/>
  <c r="AS170" i="3"/>
  <c r="G170" i="3"/>
  <c r="AI170" i="3"/>
  <c r="P170" i="3"/>
  <c r="AX169" i="3"/>
  <c r="AW169" i="3"/>
  <c r="AV169" i="3"/>
  <c r="AU169" i="3"/>
  <c r="AT169" i="3"/>
  <c r="AS169" i="3"/>
  <c r="C169" i="3"/>
  <c r="R112" i="3"/>
  <c r="CD9" i="3"/>
  <c r="CD12" i="3" s="1"/>
  <c r="AI198" i="3"/>
  <c r="AI192" i="3"/>
  <c r="AI202" i="3"/>
  <c r="P203" i="6"/>
  <c r="G205" i="6"/>
  <c r="P205" i="6"/>
  <c r="P207" i="6"/>
  <c r="G170" i="8"/>
  <c r="P170" i="8"/>
  <c r="G203" i="8"/>
  <c r="P203" i="8"/>
  <c r="G205" i="8"/>
  <c r="P205" i="8"/>
  <c r="G207" i="8"/>
  <c r="P207" i="8"/>
  <c r="G209" i="8"/>
  <c r="P211" i="8"/>
  <c r="G211" i="8"/>
  <c r="G213" i="8"/>
  <c r="P213" i="8"/>
  <c r="G215" i="8"/>
  <c r="G173" i="8"/>
  <c r="P173" i="8"/>
  <c r="P177" i="8"/>
  <c r="G192" i="8"/>
  <c r="P192" i="8"/>
  <c r="I214" i="6"/>
  <c r="J214" i="6" s="1"/>
  <c r="G195" i="8"/>
  <c r="P199" i="8"/>
  <c r="P201" i="8"/>
  <c r="G201" i="8"/>
  <c r="P212" i="8"/>
  <c r="AS173" i="3"/>
  <c r="AS177" i="3"/>
  <c r="AI183" i="3"/>
  <c r="AI188" i="3"/>
  <c r="AI204" i="3"/>
  <c r="AI206" i="3"/>
  <c r="AI175" i="3"/>
  <c r="AI176" i="6"/>
  <c r="AS189" i="8"/>
  <c r="AI189" i="8"/>
  <c r="AI192" i="8"/>
  <c r="AS192" i="8"/>
  <c r="C201" i="8"/>
  <c r="AI193" i="6"/>
  <c r="E214" i="6"/>
  <c r="AI175" i="8"/>
  <c r="AI197" i="8"/>
  <c r="AI173" i="6"/>
  <c r="AI182" i="6"/>
  <c r="E199" i="6"/>
  <c r="AI205" i="6"/>
  <c r="G177" i="8"/>
  <c r="C197" i="8"/>
  <c r="AI171" i="8"/>
  <c r="AS183" i="8"/>
  <c r="AI183" i="8"/>
  <c r="AI181" i="8"/>
  <c r="AS187" i="8"/>
  <c r="AS208" i="8"/>
  <c r="Y460" i="2"/>
  <c r="DB460" i="2"/>
  <c r="W460" i="2"/>
  <c r="CZ460" i="2"/>
  <c r="X460" i="2"/>
  <c r="DA460" i="2"/>
  <c r="X273" i="2"/>
  <c r="DA273" i="2" s="1"/>
  <c r="Y273" i="2"/>
  <c r="DB273" i="2" s="1"/>
  <c r="X339" i="2"/>
  <c r="DA339" i="2" s="1"/>
  <c r="Y399" i="2"/>
  <c r="DB399" i="2" s="1"/>
  <c r="W399" i="2"/>
  <c r="CZ399" i="2" s="1"/>
  <c r="DC399" i="2" s="1"/>
  <c r="X399" i="2"/>
  <c r="DA399" i="2"/>
  <c r="X520" i="2"/>
  <c r="DA520" i="2"/>
  <c r="Y520" i="2"/>
  <c r="DB520" i="2"/>
  <c r="B58" i="17"/>
  <c r="S200" i="2"/>
  <c r="T190" i="2"/>
  <c r="U190" i="2"/>
  <c r="S189" i="2"/>
  <c r="S188" i="2"/>
  <c r="S186" i="2"/>
  <c r="S184" i="2"/>
  <c r="S183" i="2"/>
  <c r="S182" i="2"/>
  <c r="S181" i="2"/>
  <c r="EC307" i="2"/>
  <c r="EC305" i="2"/>
  <c r="EC306" i="2"/>
  <c r="X296" i="2"/>
  <c r="DA296" i="2"/>
  <c r="Y296" i="2"/>
  <c r="DB296" i="2"/>
  <c r="W296" i="2"/>
  <c r="CZ296" i="2"/>
  <c r="S379" i="2"/>
  <c r="S371" i="2"/>
  <c r="S367" i="2"/>
  <c r="S363" i="2"/>
  <c r="Y456" i="2"/>
  <c r="DB456" i="2"/>
  <c r="X456" i="2"/>
  <c r="DA456" i="2"/>
  <c r="W456" i="2"/>
  <c r="CZ456" i="2"/>
  <c r="S450" i="2"/>
  <c r="T450" i="2"/>
  <c r="U450" i="2" s="1"/>
  <c r="T448" i="2"/>
  <c r="U448" i="2" s="1"/>
  <c r="S446" i="2"/>
  <c r="T444" i="2"/>
  <c r="U444" i="2"/>
  <c r="S442" i="2"/>
  <c r="T440" i="2"/>
  <c r="U440" i="2" s="1"/>
  <c r="S438" i="2"/>
  <c r="S432" i="2"/>
  <c r="S430" i="2"/>
  <c r="W522" i="2"/>
  <c r="CZ522" i="2"/>
  <c r="DC522" i="2" s="1"/>
  <c r="X526" i="2"/>
  <c r="DA526" i="2" s="1"/>
  <c r="Y526" i="2"/>
  <c r="DB526" i="2" s="1"/>
  <c r="DG526" i="2"/>
  <c r="W526" i="2"/>
  <c r="CZ526" i="2"/>
  <c r="X524" i="2"/>
  <c r="DA524" i="2"/>
  <c r="W524" i="2"/>
  <c r="CZ524" i="2"/>
  <c r="DF654" i="2"/>
  <c r="Y649" i="2"/>
  <c r="DB649" i="2"/>
  <c r="DG649" i="2" s="1"/>
  <c r="X649" i="2"/>
  <c r="DA649" i="2" s="1"/>
  <c r="W649" i="2"/>
  <c r="CZ649" i="2" s="1"/>
  <c r="T637" i="2"/>
  <c r="U637" i="2" s="1"/>
  <c r="X637" i="2"/>
  <c r="DA637" i="2" s="1"/>
  <c r="S637" i="2"/>
  <c r="T631" i="2"/>
  <c r="U631" i="2"/>
  <c r="S631" i="2"/>
  <c r="X663" i="2"/>
  <c r="DA663" i="2" s="1"/>
  <c r="EA54" i="2"/>
  <c r="EA55" i="2"/>
  <c r="EA56" i="2"/>
  <c r="S202" i="2"/>
  <c r="T200" i="2"/>
  <c r="U200" i="2" s="1"/>
  <c r="T180" i="2"/>
  <c r="U180" i="2" s="1"/>
  <c r="EA243" i="2"/>
  <c r="X280" i="2"/>
  <c r="X272" i="2"/>
  <c r="DA272" i="2" s="1"/>
  <c r="Y233" i="2"/>
  <c r="DB233" i="2" s="1"/>
  <c r="W233" i="2"/>
  <c r="CZ233" i="2" s="1"/>
  <c r="DC233" i="2" s="1"/>
  <c r="EE300" i="2"/>
  <c r="X343" i="2"/>
  <c r="DA343" i="2"/>
  <c r="Y343" i="2"/>
  <c r="DB343" i="2"/>
  <c r="S385" i="2"/>
  <c r="S382" i="2"/>
  <c r="S378" i="2"/>
  <c r="S376" i="2"/>
  <c r="S374" i="2"/>
  <c r="S368" i="2"/>
  <c r="S364" i="2"/>
  <c r="W464" i="2"/>
  <c r="CZ464" i="2" s="1"/>
  <c r="X469" i="2"/>
  <c r="DA469" i="2" s="1"/>
  <c r="W469" i="2"/>
  <c r="CZ469" i="2" s="1"/>
  <c r="S514" i="2"/>
  <c r="Y522" i="2"/>
  <c r="DB522" i="2"/>
  <c r="DE617" i="2"/>
  <c r="DF617" i="2"/>
  <c r="EB54" i="2"/>
  <c r="EB55" i="2"/>
  <c r="EB56" i="2"/>
  <c r="Y277" i="2"/>
  <c r="DB277" i="2" s="1"/>
  <c r="DH277" i="2"/>
  <c r="Y280" i="2"/>
  <c r="EE302" i="2"/>
  <c r="W395" i="2"/>
  <c r="CZ395" i="2" s="1"/>
  <c r="Y403" i="2"/>
  <c r="DB403" i="2" s="1"/>
  <c r="X404" i="2"/>
  <c r="DA404" i="2" s="1"/>
  <c r="Y404" i="2"/>
  <c r="DB404" i="2" s="1"/>
  <c r="X361" i="2"/>
  <c r="DA361" i="2" s="1"/>
  <c r="Y361" i="2"/>
  <c r="DB361" i="2" s="1"/>
  <c r="W461" i="2"/>
  <c r="CZ461" i="2" s="1"/>
  <c r="DC461" i="2" s="1"/>
  <c r="X468" i="2"/>
  <c r="DA468" i="2"/>
  <c r="X532" i="2"/>
  <c r="DA532" i="2"/>
  <c r="W532" i="2"/>
  <c r="CZ532" i="2"/>
  <c r="T499" i="2"/>
  <c r="U499" i="2"/>
  <c r="S499" i="2"/>
  <c r="Y590" i="2"/>
  <c r="DB590" i="2"/>
  <c r="S553" i="2"/>
  <c r="Y653" i="2"/>
  <c r="DB653" i="2" s="1"/>
  <c r="W653" i="2"/>
  <c r="CZ653" i="2" s="1"/>
  <c r="DC653" i="2"/>
  <c r="X653" i="2"/>
  <c r="DA653" i="2"/>
  <c r="X650" i="2"/>
  <c r="DA650" i="2"/>
  <c r="DE650" i="2" s="1"/>
  <c r="Y650" i="2"/>
  <c r="DB650" i="2" s="1"/>
  <c r="DH650" i="2" s="1"/>
  <c r="EC55" i="2"/>
  <c r="EA307" i="2"/>
  <c r="X401" i="2"/>
  <c r="DA401" i="2" s="1"/>
  <c r="Y401" i="2"/>
  <c r="DB401" i="2" s="1"/>
  <c r="W401" i="2"/>
  <c r="CZ401" i="2" s="1"/>
  <c r="X360" i="2"/>
  <c r="DA360" i="2" s="1"/>
  <c r="W360" i="2"/>
  <c r="CZ360" i="2" s="1"/>
  <c r="DG530" i="2"/>
  <c r="Y594" i="2"/>
  <c r="DB594" i="2" s="1"/>
  <c r="DE616" i="2"/>
  <c r="T454" i="2"/>
  <c r="U454" i="2" s="1"/>
  <c r="T507" i="2"/>
  <c r="U507" i="2" s="1"/>
  <c r="T491" i="2"/>
  <c r="U491" i="2" s="1"/>
  <c r="S647" i="2"/>
  <c r="S306" i="2"/>
  <c r="S302" i="2"/>
  <c r="S301" i="2"/>
  <c r="S299" i="2"/>
  <c r="S392" i="2"/>
  <c r="T391" i="2"/>
  <c r="U391" i="2" s="1"/>
  <c r="EE426" i="2"/>
  <c r="T455" i="2"/>
  <c r="U455" i="2"/>
  <c r="T451" i="2"/>
  <c r="U451" i="2"/>
  <c r="S425" i="2"/>
  <c r="T508" i="2"/>
  <c r="U508" i="2" s="1"/>
  <c r="T504" i="2"/>
  <c r="U504" i="2" s="1"/>
  <c r="X504" i="2"/>
  <c r="DA504" i="2" s="1"/>
  <c r="S502" i="2"/>
  <c r="T500" i="2"/>
  <c r="U500" i="2"/>
  <c r="W659" i="2"/>
  <c r="CZ659" i="2" s="1"/>
  <c r="DC659" i="2" s="1"/>
  <c r="T648" i="2"/>
  <c r="U648" i="2" s="1"/>
  <c r="T646" i="2"/>
  <c r="U646" i="2" s="1"/>
  <c r="T644" i="2"/>
  <c r="U644" i="2" s="1"/>
  <c r="T642" i="2"/>
  <c r="U642" i="2" s="1"/>
  <c r="T640" i="2"/>
  <c r="U640" i="2" s="1"/>
  <c r="I31" i="22"/>
  <c r="AI208" i="3"/>
  <c r="AI212" i="3"/>
  <c r="F73" i="3"/>
  <c r="U73" i="3" s="1"/>
  <c r="DH141" i="2"/>
  <c r="DE216" i="2"/>
  <c r="DE208" i="2"/>
  <c r="DH149" i="2"/>
  <c r="DE204" i="2"/>
  <c r="C58" i="17"/>
  <c r="Y46" i="2"/>
  <c r="DB46" i="2" s="1"/>
  <c r="W46" i="2"/>
  <c r="CZ46" i="2" s="1"/>
  <c r="X46" i="2"/>
  <c r="DA46" i="2" s="1"/>
  <c r="W149" i="2"/>
  <c r="CZ149" i="2" s="1"/>
  <c r="DC149" i="2" s="1"/>
  <c r="W141" i="2"/>
  <c r="CZ141" i="2" s="1"/>
  <c r="DC141" i="2" s="1"/>
  <c r="DG152" i="2"/>
  <c r="X153" i="2"/>
  <c r="DA153" i="2" s="1"/>
  <c r="X149" i="2"/>
  <c r="DA149" i="2" s="1"/>
  <c r="X145" i="2"/>
  <c r="DA145" i="2" s="1"/>
  <c r="X141" i="2"/>
  <c r="DA141" i="2" s="1"/>
  <c r="S123" i="2"/>
  <c r="S190" i="2"/>
  <c r="W212" i="2"/>
  <c r="CZ212" i="2" s="1"/>
  <c r="Y208" i="2"/>
  <c r="DB208" i="2" s="1"/>
  <c r="X214" i="2"/>
  <c r="DA214" i="2" s="1"/>
  <c r="Y214" i="2"/>
  <c r="DB214" i="2" s="1"/>
  <c r="W214" i="2"/>
  <c r="CZ214" i="2" s="1"/>
  <c r="X210" i="2"/>
  <c r="DA210" i="2" s="1"/>
  <c r="Y210" i="2"/>
  <c r="DB210" i="2" s="1"/>
  <c r="W210" i="2"/>
  <c r="CZ210" i="2" s="1"/>
  <c r="X206" i="2"/>
  <c r="DA206" i="2" s="1"/>
  <c r="Y206" i="2"/>
  <c r="DB206" i="2" s="1"/>
  <c r="W206" i="2"/>
  <c r="CZ206" i="2" s="1"/>
  <c r="T178" i="2"/>
  <c r="U178" i="2" s="1"/>
  <c r="S178" i="2"/>
  <c r="DG234" i="2"/>
  <c r="DF342" i="2"/>
  <c r="DH397" i="2"/>
  <c r="DD659" i="2"/>
  <c r="DG660" i="2"/>
  <c r="DH660" i="2"/>
  <c r="DH140" i="2"/>
  <c r="Y151" i="2"/>
  <c r="DB151" i="2"/>
  <c r="X151" i="2"/>
  <c r="DA151" i="2"/>
  <c r="Y147" i="2"/>
  <c r="DB147" i="2"/>
  <c r="X147" i="2"/>
  <c r="DA147" i="2"/>
  <c r="EC181" i="2"/>
  <c r="EC180" i="2"/>
  <c r="EC179" i="2"/>
  <c r="EE175" i="2"/>
  <c r="EB181" i="2"/>
  <c r="EB180" i="2"/>
  <c r="EB179" i="2"/>
  <c r="EA181" i="2"/>
  <c r="EA180" i="2"/>
  <c r="EA179" i="2"/>
  <c r="EE176" i="2"/>
  <c r="EE174" i="2"/>
  <c r="DH212" i="2"/>
  <c r="T196" i="2"/>
  <c r="U196" i="2"/>
  <c r="S196" i="2"/>
  <c r="S192" i="2"/>
  <c r="DE271" i="2"/>
  <c r="DD339" i="2"/>
  <c r="DF338" i="2"/>
  <c r="S312" i="2"/>
  <c r="S300" i="2"/>
  <c r="DF464" i="2"/>
  <c r="EE49" i="2"/>
  <c r="DH144" i="2"/>
  <c r="X146" i="2"/>
  <c r="DA146" i="2"/>
  <c r="Y146" i="2"/>
  <c r="DB146" i="2"/>
  <c r="W146" i="2"/>
  <c r="CZ146" i="2"/>
  <c r="DC146" i="2" s="1"/>
  <c r="X107" i="2"/>
  <c r="DA107" i="2"/>
  <c r="Y107" i="2"/>
  <c r="DB107" i="2"/>
  <c r="W107" i="2"/>
  <c r="CZ107" i="2"/>
  <c r="DC107" i="2" s="1"/>
  <c r="W204" i="2"/>
  <c r="CZ204" i="2"/>
  <c r="Y216" i="2"/>
  <c r="DB216" i="2"/>
  <c r="DF217" i="2"/>
  <c r="DF213" i="2"/>
  <c r="DF209" i="2"/>
  <c r="DF205" i="2"/>
  <c r="X281" i="2"/>
  <c r="W278" i="2"/>
  <c r="CZ278" i="2" s="1"/>
  <c r="X278" i="2"/>
  <c r="DA278" i="2" s="1"/>
  <c r="Y278" i="2"/>
  <c r="DB278" i="2" s="1"/>
  <c r="DD233" i="2"/>
  <c r="Y337" i="2"/>
  <c r="DB337" i="2" s="1"/>
  <c r="W337" i="2"/>
  <c r="CZ337" i="2" s="1"/>
  <c r="X337" i="2"/>
  <c r="DA337" i="2" s="1"/>
  <c r="DE334" i="2"/>
  <c r="Y344" i="2"/>
  <c r="DB344" i="2" s="1"/>
  <c r="X344" i="2"/>
  <c r="DA344" i="2" s="1"/>
  <c r="W344" i="2"/>
  <c r="CZ344" i="2" s="1"/>
  <c r="EC370" i="2"/>
  <c r="EC369" i="2"/>
  <c r="EC368" i="2"/>
  <c r="EE364" i="2"/>
  <c r="EB370" i="2"/>
  <c r="EB369" i="2"/>
  <c r="EB368" i="2"/>
  <c r="EA370" i="2"/>
  <c r="EA369" i="2"/>
  <c r="EA368" i="2"/>
  <c r="EE365" i="2"/>
  <c r="EE363" i="2"/>
  <c r="DE406" i="2"/>
  <c r="B110" i="17"/>
  <c r="Y47" i="2"/>
  <c r="DB47" i="2"/>
  <c r="X47" i="2"/>
  <c r="DA47" i="2"/>
  <c r="W47" i="2"/>
  <c r="CZ47" i="2"/>
  <c r="EC117" i="2"/>
  <c r="EB116" i="2"/>
  <c r="EA115" i="2"/>
  <c r="EE110" i="2"/>
  <c r="EB117" i="2"/>
  <c r="EA116" i="2"/>
  <c r="EA117" i="2"/>
  <c r="EC115" i="2"/>
  <c r="EE112" i="2"/>
  <c r="W151" i="2"/>
  <c r="CZ151" i="2" s="1"/>
  <c r="DC151" i="2" s="1"/>
  <c r="W143" i="2"/>
  <c r="CZ143" i="2" s="1"/>
  <c r="DC143" i="2" s="1"/>
  <c r="DG148" i="2"/>
  <c r="W152" i="2"/>
  <c r="CZ152" i="2" s="1"/>
  <c r="DC152" i="2" s="1"/>
  <c r="X152" i="2"/>
  <c r="DA152" i="2" s="1"/>
  <c r="W148" i="2"/>
  <c r="CZ148" i="2" s="1"/>
  <c r="DC148" i="2" s="1"/>
  <c r="X148" i="2"/>
  <c r="DA148" i="2" s="1"/>
  <c r="W144" i="2"/>
  <c r="CZ144" i="2" s="1"/>
  <c r="DC144" i="2" s="1"/>
  <c r="X144" i="2"/>
  <c r="DA144" i="2" s="1"/>
  <c r="W140" i="2"/>
  <c r="CZ140" i="2" s="1"/>
  <c r="DC140" i="2" s="1"/>
  <c r="X140" i="2"/>
  <c r="DA140" i="2" s="1"/>
  <c r="S136" i="2"/>
  <c r="S132" i="2"/>
  <c r="X106" i="2"/>
  <c r="DA106" i="2" s="1"/>
  <c r="Y106" i="2"/>
  <c r="DB106" i="2"/>
  <c r="W106" i="2"/>
  <c r="CZ106" i="2" s="1"/>
  <c r="W208" i="2"/>
  <c r="CZ208" i="2"/>
  <c r="Y204" i="2"/>
  <c r="DB204" i="2" s="1"/>
  <c r="Y217" i="2"/>
  <c r="DB217" i="2" s="1"/>
  <c r="W217" i="2"/>
  <c r="CZ217" i="2" s="1"/>
  <c r="Y215" i="2"/>
  <c r="DB215" i="2" s="1"/>
  <c r="W215" i="2"/>
  <c r="CZ215" i="2" s="1"/>
  <c r="X215" i="2"/>
  <c r="DA215" i="2"/>
  <c r="Y213" i="2"/>
  <c r="DB213" i="2" s="1"/>
  <c r="W213" i="2"/>
  <c r="CZ213" i="2"/>
  <c r="Y211" i="2"/>
  <c r="DB211" i="2" s="1"/>
  <c r="W211" i="2"/>
  <c r="CZ211" i="2" s="1"/>
  <c r="X211" i="2"/>
  <c r="DA211" i="2"/>
  <c r="Y209" i="2"/>
  <c r="DB209" i="2" s="1"/>
  <c r="W209" i="2"/>
  <c r="CZ209" i="2"/>
  <c r="Y207" i="2"/>
  <c r="DB207" i="2" s="1"/>
  <c r="W207" i="2"/>
  <c r="CZ207" i="2"/>
  <c r="X207" i="2"/>
  <c r="DA207" i="2" s="1"/>
  <c r="Y205" i="2"/>
  <c r="DB205" i="2"/>
  <c r="W205" i="2"/>
  <c r="CZ205" i="2" s="1"/>
  <c r="Y172" i="2"/>
  <c r="DB172" i="2"/>
  <c r="W172" i="2"/>
  <c r="CZ172" i="2" s="1"/>
  <c r="X170" i="2"/>
  <c r="DA170" i="2"/>
  <c r="Y170" i="2"/>
  <c r="DB170" i="2" s="1"/>
  <c r="W170" i="2"/>
  <c r="CZ170" i="2"/>
  <c r="DH273" i="2"/>
  <c r="DG273" i="2"/>
  <c r="Y279" i="2"/>
  <c r="X279" i="2"/>
  <c r="W279" i="2"/>
  <c r="DE233" i="2"/>
  <c r="X235" i="2"/>
  <c r="DA235" i="2"/>
  <c r="W235" i="2"/>
  <c r="CZ235" i="2" s="1"/>
  <c r="Y235" i="2"/>
  <c r="DB235" i="2"/>
  <c r="Y333" i="2"/>
  <c r="DB333" i="2" s="1"/>
  <c r="W333" i="2"/>
  <c r="CZ333" i="2"/>
  <c r="X333" i="2"/>
  <c r="DA333" i="2" s="1"/>
  <c r="DE330" i="2"/>
  <c r="DF330" i="2"/>
  <c r="DH469" i="2"/>
  <c r="DG469" i="2"/>
  <c r="X422" i="2"/>
  <c r="DA422" i="2"/>
  <c r="W422" i="2"/>
  <c r="CZ422" i="2" s="1"/>
  <c r="Y422" i="2"/>
  <c r="DB422" i="2"/>
  <c r="T202" i="2"/>
  <c r="U202" i="2" s="1"/>
  <c r="T182" i="2"/>
  <c r="U182" i="2"/>
  <c r="EE237" i="2"/>
  <c r="EE239" i="2"/>
  <c r="EA242" i="2"/>
  <c r="EB243" i="2"/>
  <c r="EB244" i="2"/>
  <c r="DG277" i="2"/>
  <c r="DH272" i="2"/>
  <c r="X276" i="2"/>
  <c r="DA276" i="2" s="1"/>
  <c r="X268" i="2"/>
  <c r="DA268" i="2"/>
  <c r="W343" i="2"/>
  <c r="CZ343" i="2" s="1"/>
  <c r="Y339" i="2"/>
  <c r="DB339" i="2"/>
  <c r="X297" i="2"/>
  <c r="DA297" i="2" s="1"/>
  <c r="Y297" i="2"/>
  <c r="DB297" i="2"/>
  <c r="W297" i="2"/>
  <c r="CZ297" i="2" s="1"/>
  <c r="DC404" i="2"/>
  <c r="DD404" i="2"/>
  <c r="DC361" i="2"/>
  <c r="DD361" i="2"/>
  <c r="Y398" i="2"/>
  <c r="DB398" i="2"/>
  <c r="W398" i="2"/>
  <c r="CZ398" i="2" s="1"/>
  <c r="X398" i="2"/>
  <c r="DA398" i="2"/>
  <c r="DE360" i="2"/>
  <c r="DF360" i="2"/>
  <c r="DC469" i="2"/>
  <c r="DD469" i="2"/>
  <c r="DC460" i="2"/>
  <c r="DD460" i="2"/>
  <c r="DG468" i="2"/>
  <c r="DH468" i="2"/>
  <c r="X457" i="2"/>
  <c r="DA457" i="2" s="1"/>
  <c r="W457" i="2"/>
  <c r="CZ457" i="2"/>
  <c r="Y457" i="2"/>
  <c r="DB457" i="2" s="1"/>
  <c r="DE530" i="2"/>
  <c r="DF530" i="2"/>
  <c r="DE526" i="2"/>
  <c r="DF526" i="2"/>
  <c r="DE522" i="2"/>
  <c r="DF522" i="2"/>
  <c r="T498" i="2"/>
  <c r="U498" i="2" s="1"/>
  <c r="S498" i="2"/>
  <c r="DE486" i="2"/>
  <c r="DF486" i="2"/>
  <c r="T194" i="2"/>
  <c r="U194" i="2" s="1"/>
  <c r="T192" i="2"/>
  <c r="U192" i="2"/>
  <c r="T184" i="2"/>
  <c r="U184" i="2" s="1"/>
  <c r="T176" i="2"/>
  <c r="U176" i="2"/>
  <c r="T174" i="2"/>
  <c r="U174" i="2" s="1"/>
  <c r="EB242" i="2"/>
  <c r="EC243" i="2"/>
  <c r="DF277" i="2"/>
  <c r="W277" i="2"/>
  <c r="CZ277" i="2"/>
  <c r="W276" i="2"/>
  <c r="CZ276" i="2" s="1"/>
  <c r="W275" i="2"/>
  <c r="CZ275" i="2"/>
  <c r="Y275" i="2"/>
  <c r="DB275" i="2" s="1"/>
  <c r="W273" i="2"/>
  <c r="CZ273" i="2"/>
  <c r="W272" i="2"/>
  <c r="CZ272" i="2" s="1"/>
  <c r="W271" i="2"/>
  <c r="CZ271" i="2"/>
  <c r="Y271" i="2"/>
  <c r="DB271" i="2" s="1"/>
  <c r="W269" i="2"/>
  <c r="CZ269" i="2"/>
  <c r="W267" i="2"/>
  <c r="CZ267" i="2" s="1"/>
  <c r="Y267" i="2"/>
  <c r="DB267" i="2"/>
  <c r="W234" i="2"/>
  <c r="CZ234" i="2" s="1"/>
  <c r="X234" i="2"/>
  <c r="DA234" i="2"/>
  <c r="DH343" i="2"/>
  <c r="DG343" i="2"/>
  <c r="DH296" i="2"/>
  <c r="DG296" i="2"/>
  <c r="Y342" i="2"/>
  <c r="DB342" i="2" s="1"/>
  <c r="W342" i="2"/>
  <c r="CZ342" i="2"/>
  <c r="X340" i="2"/>
  <c r="DA340" i="2" s="1"/>
  <c r="Y340" i="2"/>
  <c r="DB340" i="2"/>
  <c r="W340" i="2"/>
  <c r="CZ340" i="2" s="1"/>
  <c r="Y338" i="2"/>
  <c r="DB338" i="2"/>
  <c r="W338" i="2"/>
  <c r="CZ338" i="2" s="1"/>
  <c r="X336" i="2"/>
  <c r="DA336" i="2"/>
  <c r="Y336" i="2"/>
  <c r="DB336" i="2" s="1"/>
  <c r="W336" i="2"/>
  <c r="CZ336" i="2"/>
  <c r="Y334" i="2"/>
  <c r="DB334" i="2" s="1"/>
  <c r="W334" i="2"/>
  <c r="CZ334" i="2"/>
  <c r="X332" i="2"/>
  <c r="DA332" i="2" s="1"/>
  <c r="Y332" i="2"/>
  <c r="DB332" i="2"/>
  <c r="W332" i="2"/>
  <c r="CZ332" i="2" s="1"/>
  <c r="Y330" i="2"/>
  <c r="DB330" i="2"/>
  <c r="W330" i="2"/>
  <c r="CZ330" i="2" s="1"/>
  <c r="DF298" i="2"/>
  <c r="DE298" i="2"/>
  <c r="DD397" i="2"/>
  <c r="DC397" i="2"/>
  <c r="DH404" i="2"/>
  <c r="DG404" i="2"/>
  <c r="DE399" i="2"/>
  <c r="DF399" i="2"/>
  <c r="DC456" i="2"/>
  <c r="DD456" i="2"/>
  <c r="DC524" i="2"/>
  <c r="DD524" i="2"/>
  <c r="T198" i="2"/>
  <c r="U198" i="2" s="1"/>
  <c r="T186" i="2"/>
  <c r="U186" i="2"/>
  <c r="DE343" i="2"/>
  <c r="DF343" i="2"/>
  <c r="DE339" i="2"/>
  <c r="DF339" i="2"/>
  <c r="Y298" i="2"/>
  <c r="DB298" i="2"/>
  <c r="W298" i="2"/>
  <c r="CZ298" i="2"/>
  <c r="DC395" i="2"/>
  <c r="DD395" i="2"/>
  <c r="DG360" i="2"/>
  <c r="DH360" i="2"/>
  <c r="X405" i="2"/>
  <c r="DA405" i="2"/>
  <c r="W405" i="2"/>
  <c r="CZ405" i="2"/>
  <c r="Y405" i="2"/>
  <c r="DB405" i="2"/>
  <c r="DC464" i="2"/>
  <c r="DD464" i="2"/>
  <c r="Y463" i="2"/>
  <c r="DB463" i="2"/>
  <c r="W463" i="2"/>
  <c r="CZ463" i="2"/>
  <c r="X463" i="2"/>
  <c r="DA463" i="2"/>
  <c r="EA305" i="2"/>
  <c r="EA306" i="2"/>
  <c r="EB307" i="2"/>
  <c r="DF396" i="2"/>
  <c r="W393" i="2"/>
  <c r="CZ393" i="2"/>
  <c r="Y396" i="2"/>
  <c r="DB396" i="2"/>
  <c r="DE395" i="2"/>
  <c r="DF395" i="2"/>
  <c r="Y394" i="2"/>
  <c r="DB394" i="2"/>
  <c r="W394" i="2"/>
  <c r="CZ394" i="2"/>
  <c r="X394" i="2"/>
  <c r="DA394" i="2"/>
  <c r="T383" i="2"/>
  <c r="U383" i="2" s="1"/>
  <c r="T367" i="2"/>
  <c r="U367" i="2"/>
  <c r="X359" i="2"/>
  <c r="DA359" i="2" s="1"/>
  <c r="Y359" i="2"/>
  <c r="DB359" i="2"/>
  <c r="W359" i="2"/>
  <c r="CZ359" i="2" s="1"/>
  <c r="EC433" i="2"/>
  <c r="EB432" i="2"/>
  <c r="EB431" i="2"/>
  <c r="EE428" i="2"/>
  <c r="EB433" i="2"/>
  <c r="EA432" i="2"/>
  <c r="EA431" i="2"/>
  <c r="EA433" i="2"/>
  <c r="EE427" i="2"/>
  <c r="DD461" i="2"/>
  <c r="DE469" i="2"/>
  <c r="DF469" i="2"/>
  <c r="X466" i="2"/>
  <c r="DA466" i="2"/>
  <c r="Y466" i="2"/>
  <c r="DB466" i="2" s="1"/>
  <c r="W466" i="2"/>
  <c r="CZ466" i="2"/>
  <c r="DG464" i="2"/>
  <c r="DH464" i="2"/>
  <c r="DE460" i="2"/>
  <c r="DF460" i="2"/>
  <c r="Y459" i="2"/>
  <c r="DB459" i="2" s="1"/>
  <c r="W459" i="2"/>
  <c r="CZ459" i="2"/>
  <c r="X459" i="2"/>
  <c r="DA459" i="2" s="1"/>
  <c r="T434" i="2"/>
  <c r="U434" i="2"/>
  <c r="S434" i="2"/>
  <c r="T428" i="2"/>
  <c r="U428" i="2"/>
  <c r="S428" i="2"/>
  <c r="T426" i="2"/>
  <c r="U426" i="2" s="1"/>
  <c r="S426" i="2"/>
  <c r="Y424" i="2"/>
  <c r="DB424" i="2" s="1"/>
  <c r="W424" i="2"/>
  <c r="CZ424" i="2"/>
  <c r="X424" i="2"/>
  <c r="DA424" i="2" s="1"/>
  <c r="DC596" i="2"/>
  <c r="DD596" i="2"/>
  <c r="X551" i="2"/>
  <c r="DA551" i="2"/>
  <c r="W551" i="2"/>
  <c r="CZ551" i="2" s="1"/>
  <c r="Y551" i="2"/>
  <c r="DB551" i="2"/>
  <c r="S266" i="2"/>
  <c r="T265" i="2"/>
  <c r="U265" i="2" s="1"/>
  <c r="S264" i="2"/>
  <c r="S263" i="2"/>
  <c r="T261" i="2"/>
  <c r="U261" i="2" s="1"/>
  <c r="T257" i="2"/>
  <c r="U257" i="2"/>
  <c r="T253" i="2"/>
  <c r="U253" i="2" s="1"/>
  <c r="T249" i="2"/>
  <c r="U249" i="2"/>
  <c r="T245" i="2"/>
  <c r="U245" i="2" s="1"/>
  <c r="T241" i="2"/>
  <c r="U241" i="2"/>
  <c r="T237" i="2"/>
  <c r="U237" i="2" s="1"/>
  <c r="EE301" i="2"/>
  <c r="EB305" i="2"/>
  <c r="EB306" i="2"/>
  <c r="DD399" i="2"/>
  <c r="W396" i="2"/>
  <c r="CZ396" i="2"/>
  <c r="DH395" i="2"/>
  <c r="Y406" i="2"/>
  <c r="DB406" i="2"/>
  <c r="W406" i="2"/>
  <c r="CZ406" i="2" s="1"/>
  <c r="Y407" i="2"/>
  <c r="DB407" i="2"/>
  <c r="X407" i="2"/>
  <c r="DA407" i="2" s="1"/>
  <c r="W407" i="2"/>
  <c r="CZ407" i="2"/>
  <c r="X462" i="2"/>
  <c r="DA462" i="2" s="1"/>
  <c r="Y462" i="2"/>
  <c r="DB462" i="2"/>
  <c r="W462" i="2"/>
  <c r="CZ462" i="2" s="1"/>
  <c r="DG460" i="2"/>
  <c r="DH460" i="2"/>
  <c r="DE456" i="2"/>
  <c r="DF456" i="2"/>
  <c r="EC497" i="2"/>
  <c r="EC496" i="2"/>
  <c r="EC495" i="2"/>
  <c r="EE491" i="2"/>
  <c r="EB497" i="2"/>
  <c r="EB496" i="2"/>
  <c r="EB495" i="2"/>
  <c r="EA497" i="2"/>
  <c r="EA496" i="2"/>
  <c r="EA495" i="2"/>
  <c r="EE492" i="2"/>
  <c r="EE490" i="2"/>
  <c r="DE531" i="2"/>
  <c r="DF531" i="2"/>
  <c r="DE527" i="2"/>
  <c r="DF527" i="2"/>
  <c r="DE523" i="2"/>
  <c r="DF523" i="2"/>
  <c r="Y402" i="2"/>
  <c r="DB402" i="2" s="1"/>
  <c r="W402" i="2"/>
  <c r="CZ402" i="2"/>
  <c r="X402" i="2"/>
  <c r="DA402" i="2" s="1"/>
  <c r="DE468" i="2"/>
  <c r="DF468" i="2"/>
  <c r="Y467" i="2"/>
  <c r="DB467" i="2"/>
  <c r="W467" i="2"/>
  <c r="CZ467" i="2" s="1"/>
  <c r="X467" i="2"/>
  <c r="DA467" i="2"/>
  <c r="X458" i="2"/>
  <c r="DA458" i="2"/>
  <c r="Y458" i="2"/>
  <c r="DB458" i="2" s="1"/>
  <c r="W458" i="2"/>
  <c r="CZ458" i="2"/>
  <c r="DG456" i="2"/>
  <c r="DH456" i="2"/>
  <c r="X423" i="2"/>
  <c r="DA423" i="2"/>
  <c r="Y423" i="2"/>
  <c r="DB423" i="2" s="1"/>
  <c r="W423" i="2"/>
  <c r="CZ423" i="2"/>
  <c r="DG520" i="2"/>
  <c r="DH520" i="2"/>
  <c r="DE532" i="2"/>
  <c r="DF532" i="2"/>
  <c r="DE524" i="2"/>
  <c r="DF524" i="2"/>
  <c r="T379" i="2"/>
  <c r="U379" i="2"/>
  <c r="T447" i="2"/>
  <c r="U447" i="2" s="1"/>
  <c r="T439" i="2"/>
  <c r="U439" i="2"/>
  <c r="T435" i="2"/>
  <c r="U435" i="2" s="1"/>
  <c r="Y531" i="2"/>
  <c r="DB531" i="2"/>
  <c r="W531" i="2"/>
  <c r="CZ531" i="2" s="1"/>
  <c r="Y527" i="2"/>
  <c r="DB527" i="2"/>
  <c r="W527" i="2"/>
  <c r="CZ527" i="2" s="1"/>
  <c r="Y523" i="2"/>
  <c r="DB523" i="2"/>
  <c r="W523" i="2"/>
  <c r="CZ523" i="2" s="1"/>
  <c r="X488" i="2"/>
  <c r="DA488" i="2"/>
  <c r="Y488" i="2"/>
  <c r="DB488" i="2" s="1"/>
  <c r="W488" i="2"/>
  <c r="CZ488" i="2"/>
  <c r="Y486" i="2"/>
  <c r="DB486" i="2" s="1"/>
  <c r="W486" i="2"/>
  <c r="CZ486" i="2"/>
  <c r="DE594" i="2"/>
  <c r="DF594" i="2"/>
  <c r="DE590" i="2"/>
  <c r="DF590" i="2"/>
  <c r="T387" i="2"/>
  <c r="U387" i="2" s="1"/>
  <c r="S386" i="2"/>
  <c r="S384" i="2"/>
  <c r="S383" i="2"/>
  <c r="T381" i="2"/>
  <c r="U381" i="2"/>
  <c r="T363" i="2"/>
  <c r="U363" i="2"/>
  <c r="S439" i="2"/>
  <c r="T438" i="2"/>
  <c r="U438" i="2"/>
  <c r="T431" i="2"/>
  <c r="U431" i="2" s="1"/>
  <c r="DD530" i="2"/>
  <c r="DD522" i="2"/>
  <c r="W528" i="2"/>
  <c r="CZ528" i="2" s="1"/>
  <c r="W520" i="2"/>
  <c r="CZ520" i="2"/>
  <c r="Y532" i="2"/>
  <c r="DB532" i="2" s="1"/>
  <c r="DH526" i="2"/>
  <c r="Y524" i="2"/>
  <c r="DB524" i="2"/>
  <c r="DH487" i="2"/>
  <c r="Y521" i="2"/>
  <c r="DB521" i="2"/>
  <c r="W521" i="2"/>
  <c r="CZ521" i="2" s="1"/>
  <c r="X521" i="2"/>
  <c r="DA521" i="2"/>
  <c r="DF487" i="2"/>
  <c r="DE487" i="2"/>
  <c r="Y534" i="2"/>
  <c r="DB534" i="2"/>
  <c r="X534" i="2"/>
  <c r="DA534" i="2" s="1"/>
  <c r="W534" i="2"/>
  <c r="CZ534" i="2"/>
  <c r="S391" i="2"/>
  <c r="S390" i="2"/>
  <c r="S388" i="2"/>
  <c r="T375" i="2"/>
  <c r="U375" i="2"/>
  <c r="T371" i="2"/>
  <c r="U371" i="2"/>
  <c r="T365" i="2"/>
  <c r="U365" i="2"/>
  <c r="W468" i="2"/>
  <c r="CZ468" i="2"/>
  <c r="Y533" i="2"/>
  <c r="DB533" i="2"/>
  <c r="W533" i="2"/>
  <c r="CZ533" i="2"/>
  <c r="Y529" i="2"/>
  <c r="DB529" i="2"/>
  <c r="W529" i="2"/>
  <c r="CZ529" i="2"/>
  <c r="Y525" i="2"/>
  <c r="DB525" i="2"/>
  <c r="W525" i="2"/>
  <c r="CZ525" i="2"/>
  <c r="DE520" i="2"/>
  <c r="DF520" i="2"/>
  <c r="DH590" i="2"/>
  <c r="DG590" i="2"/>
  <c r="X597" i="2"/>
  <c r="DA597" i="2"/>
  <c r="Y597" i="2"/>
  <c r="DB597" i="2"/>
  <c r="W597" i="2"/>
  <c r="CZ597" i="2"/>
  <c r="X593" i="2"/>
  <c r="DA593" i="2"/>
  <c r="Y593" i="2"/>
  <c r="DB593" i="2"/>
  <c r="W593" i="2"/>
  <c r="CZ593" i="2"/>
  <c r="X589" i="2"/>
  <c r="DA589" i="2"/>
  <c r="Y589" i="2"/>
  <c r="DB589" i="2"/>
  <c r="W589" i="2"/>
  <c r="CZ589" i="2"/>
  <c r="X585" i="2"/>
  <c r="DA585" i="2"/>
  <c r="Y585" i="2"/>
  <c r="DB585" i="2"/>
  <c r="W585" i="2"/>
  <c r="CZ585" i="2"/>
  <c r="DE552" i="2"/>
  <c r="DF552" i="2"/>
  <c r="S516" i="2"/>
  <c r="S510" i="2"/>
  <c r="T492" i="2"/>
  <c r="U492" i="2"/>
  <c r="T490" i="2"/>
  <c r="U490" i="2"/>
  <c r="DD594" i="2"/>
  <c r="DD590" i="2"/>
  <c r="DH659" i="2"/>
  <c r="DG659" i="2"/>
  <c r="X662" i="2"/>
  <c r="DA662" i="2"/>
  <c r="Y662" i="2"/>
  <c r="DB662" i="2"/>
  <c r="W662" i="2"/>
  <c r="CZ662" i="2"/>
  <c r="DH594" i="2"/>
  <c r="DG594" i="2"/>
  <c r="DG591" i="2"/>
  <c r="DH591" i="2"/>
  <c r="DH586" i="2"/>
  <c r="DG586" i="2"/>
  <c r="Y596" i="2"/>
  <c r="DB596" i="2"/>
  <c r="X596" i="2"/>
  <c r="DA596" i="2"/>
  <c r="Y592" i="2"/>
  <c r="DB592" i="2"/>
  <c r="W592" i="2"/>
  <c r="CZ592" i="2"/>
  <c r="X592" i="2"/>
  <c r="DA592" i="2"/>
  <c r="Y588" i="2"/>
  <c r="DB588" i="2"/>
  <c r="W588" i="2"/>
  <c r="CZ588" i="2"/>
  <c r="X588" i="2"/>
  <c r="DA588" i="2"/>
  <c r="Y584" i="2"/>
  <c r="DB584" i="2"/>
  <c r="W584" i="2"/>
  <c r="CZ584" i="2"/>
  <c r="X584" i="2"/>
  <c r="DA584" i="2"/>
  <c r="X550" i="2"/>
  <c r="DA550" i="2"/>
  <c r="Y550" i="2"/>
  <c r="DB550" i="2" s="1"/>
  <c r="W550" i="2"/>
  <c r="CZ550" i="2"/>
  <c r="DC655" i="2"/>
  <c r="DD655" i="2"/>
  <c r="DC651" i="2"/>
  <c r="DD651" i="2"/>
  <c r="X658" i="2"/>
  <c r="DA658" i="2" s="1"/>
  <c r="Y658" i="2"/>
  <c r="DB658" i="2"/>
  <c r="W658" i="2"/>
  <c r="CZ658" i="2" s="1"/>
  <c r="T515" i="2"/>
  <c r="U515" i="2"/>
  <c r="T506" i="2"/>
  <c r="U506" i="2" s="1"/>
  <c r="T502" i="2"/>
  <c r="U502" i="2"/>
  <c r="T493" i="2"/>
  <c r="U493" i="2" s="1"/>
  <c r="T568" i="2"/>
  <c r="U568" i="2"/>
  <c r="T560" i="2"/>
  <c r="U560" i="2" s="1"/>
  <c r="T556" i="2"/>
  <c r="U556" i="2"/>
  <c r="Y598" i="2"/>
  <c r="DB598" i="2" s="1"/>
  <c r="X598" i="2"/>
  <c r="DA598" i="2"/>
  <c r="W598" i="2"/>
  <c r="CZ598" i="2" s="1"/>
  <c r="EA626" i="2"/>
  <c r="EA625" i="2"/>
  <c r="EA624" i="2"/>
  <c r="EE621" i="2"/>
  <c r="EE619" i="2"/>
  <c r="EC626" i="2"/>
  <c r="EC625" i="2"/>
  <c r="EC624" i="2"/>
  <c r="EE620" i="2"/>
  <c r="EB626" i="2"/>
  <c r="EB625" i="2"/>
  <c r="EB624" i="2"/>
  <c r="DC616" i="2"/>
  <c r="DD616" i="2"/>
  <c r="DH651" i="2"/>
  <c r="DG651" i="2"/>
  <c r="DH616" i="2"/>
  <c r="DG616" i="2"/>
  <c r="DD650" i="2"/>
  <c r="W654" i="2"/>
  <c r="CZ654" i="2" s="1"/>
  <c r="Y654" i="2"/>
  <c r="DB654" i="2"/>
  <c r="DD653" i="2"/>
  <c r="DF650" i="2"/>
  <c r="DG650" i="2"/>
  <c r="DH661" i="2"/>
  <c r="X661" i="2"/>
  <c r="DA661" i="2"/>
  <c r="X660" i="2"/>
  <c r="DA660" i="2" s="1"/>
  <c r="X657" i="2"/>
  <c r="DA657" i="2"/>
  <c r="X656" i="2"/>
  <c r="DA656" i="2" s="1"/>
  <c r="DD663" i="2"/>
  <c r="DC663" i="2"/>
  <c r="T553" i="2"/>
  <c r="U553" i="2" s="1"/>
  <c r="S635" i="2"/>
  <c r="W661" i="2"/>
  <c r="CZ661" i="2" s="1"/>
  <c r="W657" i="2"/>
  <c r="CZ657" i="2"/>
  <c r="DH657" i="2"/>
  <c r="Y655" i="2"/>
  <c r="DB655" i="2"/>
  <c r="DH649" i="2"/>
  <c r="Y652" i="2"/>
  <c r="DB652" i="2" s="1"/>
  <c r="X652" i="2"/>
  <c r="DA652" i="2"/>
  <c r="DF663" i="2"/>
  <c r="DE663" i="2"/>
  <c r="T638" i="2"/>
  <c r="U638" i="2"/>
  <c r="T623" i="2"/>
  <c r="U623" i="2" s="1"/>
  <c r="T647" i="2"/>
  <c r="U647" i="2"/>
  <c r="T645" i="2"/>
  <c r="U645" i="2" s="1"/>
  <c r="T641" i="2"/>
  <c r="U641" i="2" s="1"/>
  <c r="T632" i="2"/>
  <c r="U632" i="2" s="1"/>
  <c r="T630" i="2"/>
  <c r="U630" i="2" s="1"/>
  <c r="T628" i="2"/>
  <c r="U628" i="2"/>
  <c r="T626" i="2"/>
  <c r="U626" i="2" s="1"/>
  <c r="T619" i="2"/>
  <c r="U619" i="2"/>
  <c r="X619" i="2" s="1"/>
  <c r="T633" i="2"/>
  <c r="U633" i="2"/>
  <c r="X633" i="2" s="1"/>
  <c r="T620" i="2"/>
  <c r="U620" i="2" s="1"/>
  <c r="BB33" i="31"/>
  <c r="BC32" i="31"/>
  <c r="BX32" i="31"/>
  <c r="T139" i="2"/>
  <c r="U139" i="2" s="1"/>
  <c r="T135" i="2"/>
  <c r="U135" i="2" s="1"/>
  <c r="S131" i="2"/>
  <c r="S127" i="2"/>
  <c r="T123" i="2"/>
  <c r="U123" i="2"/>
  <c r="T119" i="2"/>
  <c r="U119" i="2" s="1"/>
  <c r="S115" i="2"/>
  <c r="T111" i="2"/>
  <c r="U111" i="2"/>
  <c r="T203" i="2"/>
  <c r="U203" i="2" s="1"/>
  <c r="T195" i="2"/>
  <c r="U195" i="2" s="1"/>
  <c r="S193" i="2"/>
  <c r="T187" i="2"/>
  <c r="U187" i="2" s="1"/>
  <c r="T179" i="2"/>
  <c r="U179" i="2"/>
  <c r="X179" i="2" s="1"/>
  <c r="T263" i="2"/>
  <c r="U263" i="2"/>
  <c r="T259" i="2"/>
  <c r="U259" i="2" s="1"/>
  <c r="T255" i="2"/>
  <c r="U255" i="2"/>
  <c r="T251" i="2"/>
  <c r="U251" i="2" s="1"/>
  <c r="T247" i="2"/>
  <c r="U247" i="2"/>
  <c r="X247" i="2" s="1"/>
  <c r="T243" i="2"/>
  <c r="U243" i="2"/>
  <c r="T239" i="2"/>
  <c r="U239" i="2" s="1"/>
  <c r="T328" i="2"/>
  <c r="U328" i="2"/>
  <c r="X328" i="2"/>
  <c r="DA328" i="2" s="1"/>
  <c r="T324" i="2"/>
  <c r="U324" i="2"/>
  <c r="X324" i="2"/>
  <c r="DA324" i="2" s="1"/>
  <c r="T320" i="2"/>
  <c r="U320" i="2"/>
  <c r="T316" i="2"/>
  <c r="U316" i="2" s="1"/>
  <c r="T312" i="2"/>
  <c r="U312" i="2"/>
  <c r="X312" i="2"/>
  <c r="DA312" i="2" s="1"/>
  <c r="T308" i="2"/>
  <c r="U308" i="2"/>
  <c r="T304" i="2"/>
  <c r="U304" i="2" s="1"/>
  <c r="T300" i="2"/>
  <c r="U300" i="2"/>
  <c r="T392" i="2"/>
  <c r="U392" i="2" s="1"/>
  <c r="T386" i="2"/>
  <c r="U386" i="2" s="1"/>
  <c r="T377" i="2"/>
  <c r="U377" i="2"/>
  <c r="T376" i="2"/>
  <c r="U376" i="2" s="1"/>
  <c r="T138" i="2"/>
  <c r="U138" i="2"/>
  <c r="T134" i="2"/>
  <c r="U134" i="2" s="1"/>
  <c r="T130" i="2"/>
  <c r="U130" i="2"/>
  <c r="T126" i="2"/>
  <c r="U126" i="2" s="1"/>
  <c r="T122" i="2"/>
  <c r="U122" i="2"/>
  <c r="X122" i="2"/>
  <c r="DA122" i="2"/>
  <c r="T118" i="2"/>
  <c r="U118" i="2"/>
  <c r="T114" i="2"/>
  <c r="U114" i="2"/>
  <c r="X114" i="2" s="1"/>
  <c r="T110" i="2"/>
  <c r="U110" i="2"/>
  <c r="T197" i="2"/>
  <c r="U197" i="2"/>
  <c r="X197" i="2" s="1"/>
  <c r="T189" i="2"/>
  <c r="U189" i="2"/>
  <c r="X189" i="2" s="1"/>
  <c r="T181" i="2"/>
  <c r="U181" i="2"/>
  <c r="T173" i="2"/>
  <c r="U173" i="2"/>
  <c r="X173" i="2" s="1"/>
  <c r="T327" i="2"/>
  <c r="U327" i="2"/>
  <c r="T323" i="2"/>
  <c r="U323" i="2" s="1"/>
  <c r="T319" i="2"/>
  <c r="U319" i="2"/>
  <c r="T315" i="2"/>
  <c r="U315" i="2" s="1"/>
  <c r="T311" i="2"/>
  <c r="U311" i="2" s="1"/>
  <c r="T307" i="2"/>
  <c r="U307" i="2"/>
  <c r="S303" i="2"/>
  <c r="T299" i="2"/>
  <c r="U299" i="2"/>
  <c r="S387" i="2"/>
  <c r="T389" i="2"/>
  <c r="U389" i="2" s="1"/>
  <c r="T388" i="2"/>
  <c r="U388" i="2"/>
  <c r="T382" i="2"/>
  <c r="U382" i="2" s="1"/>
  <c r="T373" i="2"/>
  <c r="U373" i="2"/>
  <c r="X373" i="2"/>
  <c r="DA373" i="2"/>
  <c r="S137" i="2"/>
  <c r="T133" i="2"/>
  <c r="U133" i="2"/>
  <c r="T129" i="2"/>
  <c r="U129" i="2" s="1"/>
  <c r="T125" i="2"/>
  <c r="U125" i="2" s="1"/>
  <c r="T121" i="2"/>
  <c r="U121" i="2" s="1"/>
  <c r="S119" i="2"/>
  <c r="S117" i="2"/>
  <c r="T113" i="2"/>
  <c r="U113" i="2" s="1"/>
  <c r="S111" i="2"/>
  <c r="T109" i="2"/>
  <c r="U109" i="2"/>
  <c r="T199" i="2"/>
  <c r="U199" i="2"/>
  <c r="X199" i="2" s="1"/>
  <c r="T191" i="2"/>
  <c r="U191" i="2"/>
  <c r="X191" i="2" s="1"/>
  <c r="T183" i="2"/>
  <c r="U183" i="2"/>
  <c r="X183" i="2" s="1"/>
  <c r="T175" i="2"/>
  <c r="U175" i="2"/>
  <c r="T326" i="2"/>
  <c r="U326" i="2"/>
  <c r="X326" i="2" s="1"/>
  <c r="T322" i="2"/>
  <c r="U322" i="2" s="1"/>
  <c r="T318" i="2"/>
  <c r="U318" i="2" s="1"/>
  <c r="T314" i="2"/>
  <c r="U314" i="2"/>
  <c r="T310" i="2"/>
  <c r="U310" i="2" s="1"/>
  <c r="T306" i="2"/>
  <c r="U306" i="2" s="1"/>
  <c r="T302" i="2"/>
  <c r="U302" i="2" s="1"/>
  <c r="T385" i="2"/>
  <c r="U385" i="2"/>
  <c r="T384" i="2"/>
  <c r="U384" i="2" s="1"/>
  <c r="T378" i="2"/>
  <c r="U378" i="2" s="1"/>
  <c r="T136" i="2"/>
  <c r="U136" i="2" s="1"/>
  <c r="T132" i="2"/>
  <c r="U132" i="2" s="1"/>
  <c r="T128" i="2"/>
  <c r="U128" i="2"/>
  <c r="T124" i="2"/>
  <c r="U124" i="2" s="1"/>
  <c r="T120" i="2"/>
  <c r="U120" i="2"/>
  <c r="X120" i="2"/>
  <c r="DA120" i="2" s="1"/>
  <c r="T116" i="2"/>
  <c r="U116" i="2"/>
  <c r="T112" i="2"/>
  <c r="U112" i="2" s="1"/>
  <c r="T201" i="2"/>
  <c r="U201" i="2" s="1"/>
  <c r="T193" i="2"/>
  <c r="U193" i="2"/>
  <c r="X193" i="2"/>
  <c r="DA193" i="2" s="1"/>
  <c r="S191" i="2"/>
  <c r="T185" i="2"/>
  <c r="U185" i="2"/>
  <c r="X185" i="2" s="1"/>
  <c r="T177" i="2"/>
  <c r="U177" i="2"/>
  <c r="X177" i="2" s="1"/>
  <c r="T329" i="2"/>
  <c r="U329" i="2"/>
  <c r="X329" i="2"/>
  <c r="T325" i="2"/>
  <c r="U325" i="2" s="1"/>
  <c r="T321" i="2"/>
  <c r="U321" i="2"/>
  <c r="W321" i="2" s="1"/>
  <c r="CZ321" i="2" s="1"/>
  <c r="X321" i="2"/>
  <c r="DA321" i="2" s="1"/>
  <c r="T317" i="2"/>
  <c r="U317" i="2"/>
  <c r="X317" i="2" s="1"/>
  <c r="S313" i="2"/>
  <c r="T309" i="2"/>
  <c r="U309" i="2"/>
  <c r="S305" i="2"/>
  <c r="T301" i="2"/>
  <c r="U301" i="2"/>
  <c r="T390" i="2"/>
  <c r="U390" i="2"/>
  <c r="X390" i="2" s="1"/>
  <c r="T380" i="2"/>
  <c r="U380" i="2"/>
  <c r="X380" i="2" s="1"/>
  <c r="T374" i="2"/>
  <c r="U374" i="2"/>
  <c r="X374" i="2"/>
  <c r="DA374" i="2"/>
  <c r="T364" i="2"/>
  <c r="U364" i="2"/>
  <c r="T372" i="2"/>
  <c r="U372" i="2"/>
  <c r="T366" i="2"/>
  <c r="U366" i="2"/>
  <c r="S453" i="2"/>
  <c r="T442" i="2"/>
  <c r="U442" i="2" s="1"/>
  <c r="S437" i="2"/>
  <c r="T432" i="2"/>
  <c r="U432" i="2"/>
  <c r="X432" i="2" s="1"/>
  <c r="S470" i="2"/>
  <c r="S519" i="2"/>
  <c r="T518" i="2"/>
  <c r="U518" i="2"/>
  <c r="T516" i="2"/>
  <c r="U516" i="2" s="1"/>
  <c r="T512" i="2"/>
  <c r="U512" i="2"/>
  <c r="T510" i="2"/>
  <c r="U510" i="2"/>
  <c r="X510" i="2" s="1"/>
  <c r="T495" i="2"/>
  <c r="U495" i="2"/>
  <c r="S645" i="2"/>
  <c r="T622" i="2"/>
  <c r="U622" i="2" s="1"/>
  <c r="T369" i="2"/>
  <c r="U369" i="2" s="1"/>
  <c r="T368" i="2"/>
  <c r="U368" i="2"/>
  <c r="T362" i="2"/>
  <c r="U362" i="2" s="1"/>
  <c r="S449" i="2"/>
  <c r="S433" i="2"/>
  <c r="T511" i="2"/>
  <c r="U511" i="2" s="1"/>
  <c r="T503" i="2"/>
  <c r="U503" i="2"/>
  <c r="S646" i="2"/>
  <c r="T370" i="2"/>
  <c r="U370" i="2"/>
  <c r="X370" i="2"/>
  <c r="DA370" i="2"/>
  <c r="S454" i="2"/>
  <c r="T452" i="2"/>
  <c r="U452" i="2"/>
  <c r="X452" i="2"/>
  <c r="DA452" i="2" s="1"/>
  <c r="T446" i="2"/>
  <c r="U446" i="2"/>
  <c r="X446" i="2"/>
  <c r="DA446" i="2" s="1"/>
  <c r="T443" i="2"/>
  <c r="U443" i="2"/>
  <c r="S441" i="2"/>
  <c r="T436" i="2"/>
  <c r="U436" i="2"/>
  <c r="X436" i="2"/>
  <c r="DA436" i="2"/>
  <c r="T430" i="2"/>
  <c r="U430" i="2"/>
  <c r="T427" i="2"/>
  <c r="U427" i="2"/>
  <c r="T517" i="2"/>
  <c r="U517" i="2"/>
  <c r="T509" i="2"/>
  <c r="U509" i="2"/>
  <c r="X509" i="2" s="1"/>
  <c r="T496" i="2"/>
  <c r="U496" i="2"/>
  <c r="X496" i="2" s="1"/>
  <c r="T494" i="2"/>
  <c r="U494" i="2"/>
  <c r="T643" i="2"/>
  <c r="U643" i="2"/>
  <c r="T634" i="2"/>
  <c r="U634" i="2"/>
  <c r="X634" i="2" s="1"/>
  <c r="T627" i="2"/>
  <c r="U627" i="2"/>
  <c r="X627" i="2" s="1"/>
  <c r="T618" i="2"/>
  <c r="U618" i="2"/>
  <c r="X138" i="2"/>
  <c r="DA138" i="2" s="1"/>
  <c r="X130" i="2"/>
  <c r="DA130" i="2" s="1"/>
  <c r="X118" i="2"/>
  <c r="DA118" i="2"/>
  <c r="X110" i="2"/>
  <c r="DA110" i="2"/>
  <c r="X186" i="2"/>
  <c r="DA186" i="2"/>
  <c r="X181" i="2"/>
  <c r="DA181" i="2"/>
  <c r="X178" i="2"/>
  <c r="DA178" i="2"/>
  <c r="X133" i="2"/>
  <c r="DA133" i="2"/>
  <c r="X109" i="2"/>
  <c r="DA109" i="2"/>
  <c r="X196" i="2"/>
  <c r="DA196" i="2"/>
  <c r="X188" i="2"/>
  <c r="DA188" i="2" s="1"/>
  <c r="X180" i="2"/>
  <c r="DA180" i="2" s="1"/>
  <c r="X175" i="2"/>
  <c r="DA175" i="2"/>
  <c r="X257" i="2"/>
  <c r="DA257" i="2" s="1"/>
  <c r="X249" i="2"/>
  <c r="DA249" i="2" s="1"/>
  <c r="X241" i="2"/>
  <c r="DA241" i="2" s="1"/>
  <c r="X128" i="2"/>
  <c r="DA128" i="2"/>
  <c r="X116" i="2"/>
  <c r="DA116" i="2"/>
  <c r="X190" i="2"/>
  <c r="DA190" i="2" s="1"/>
  <c r="X182" i="2"/>
  <c r="DA182" i="2"/>
  <c r="X123" i="2"/>
  <c r="DA123" i="2" s="1"/>
  <c r="X111" i="2"/>
  <c r="DA111" i="2"/>
  <c r="X200" i="2"/>
  <c r="DA200" i="2" s="1"/>
  <c r="X192" i="2"/>
  <c r="DA192" i="2"/>
  <c r="X176" i="2"/>
  <c r="DA176" i="2" s="1"/>
  <c r="X255" i="2"/>
  <c r="Y255" i="2" s="1"/>
  <c r="DB255" i="2" s="1"/>
  <c r="DA255" i="2"/>
  <c r="X243" i="2"/>
  <c r="DA243" i="2"/>
  <c r="S112" i="2"/>
  <c r="S116" i="2"/>
  <c r="S120" i="2"/>
  <c r="S129" i="2"/>
  <c r="S134" i="2"/>
  <c r="S139" i="2"/>
  <c r="T137" i="2"/>
  <c r="U137" i="2" s="1"/>
  <c r="X137" i="2" s="1"/>
  <c r="DA137" i="2" s="1"/>
  <c r="DE137" i="2" s="1"/>
  <c r="T131" i="2"/>
  <c r="U131" i="2"/>
  <c r="T127" i="2"/>
  <c r="U127" i="2" s="1"/>
  <c r="T117" i="2"/>
  <c r="U117" i="2"/>
  <c r="T115" i="2"/>
  <c r="U115" i="2" s="1"/>
  <c r="X115" i="2" s="1"/>
  <c r="DA115" i="2" s="1"/>
  <c r="X327" i="2"/>
  <c r="DA327" i="2"/>
  <c r="X319" i="2"/>
  <c r="DA319" i="2"/>
  <c r="X307" i="2"/>
  <c r="DA307" i="2"/>
  <c r="X299" i="2"/>
  <c r="DA299" i="2" s="1"/>
  <c r="X391" i="2"/>
  <c r="DA391" i="2"/>
  <c r="X388" i="2"/>
  <c r="DA388" i="2"/>
  <c r="X375" i="2"/>
  <c r="DA375" i="2"/>
  <c r="X372" i="2"/>
  <c r="DA372" i="2" s="1"/>
  <c r="X366" i="2"/>
  <c r="DA366" i="2"/>
  <c r="S259" i="2"/>
  <c r="S257" i="2"/>
  <c r="S255" i="2"/>
  <c r="S253" i="2"/>
  <c r="S251" i="2"/>
  <c r="S243" i="2"/>
  <c r="X314" i="2"/>
  <c r="DA314" i="2" s="1"/>
  <c r="X385" i="2"/>
  <c r="DA385" i="2" s="1"/>
  <c r="X371" i="2"/>
  <c r="DA371" i="2"/>
  <c r="X368" i="2"/>
  <c r="DA368" i="2" s="1"/>
  <c r="S195" i="2"/>
  <c r="S197" i="2"/>
  <c r="S199" i="2"/>
  <c r="S201" i="2"/>
  <c r="S203" i="2"/>
  <c r="T266" i="2"/>
  <c r="U266" i="2"/>
  <c r="T264" i="2"/>
  <c r="U264" i="2" s="1"/>
  <c r="T262" i="2"/>
  <c r="U262" i="2"/>
  <c r="T260" i="2"/>
  <c r="U260" i="2" s="1"/>
  <c r="S260" i="2"/>
  <c r="S258" i="2"/>
  <c r="T258" i="2"/>
  <c r="U258" i="2" s="1"/>
  <c r="X258" i="2" s="1"/>
  <c r="DA258" i="2" s="1"/>
  <c r="T256" i="2"/>
  <c r="U256" i="2"/>
  <c r="S256" i="2"/>
  <c r="S254" i="2"/>
  <c r="T254" i="2"/>
  <c r="U254" i="2"/>
  <c r="T252" i="2"/>
  <c r="U252" i="2" s="1"/>
  <c r="S250" i="2"/>
  <c r="T250" i="2"/>
  <c r="U250" i="2"/>
  <c r="T248" i="2"/>
  <c r="U248" i="2" s="1"/>
  <c r="T246" i="2"/>
  <c r="U246" i="2"/>
  <c r="T244" i="2"/>
  <c r="U244" i="2" s="1"/>
  <c r="T242" i="2"/>
  <c r="U242" i="2"/>
  <c r="T240" i="2"/>
  <c r="U240" i="2" s="1"/>
  <c r="X240" i="2" s="1"/>
  <c r="DA240" i="2" s="1"/>
  <c r="DF240" i="2" s="1"/>
  <c r="T238" i="2"/>
  <c r="U238" i="2"/>
  <c r="T236" i="2"/>
  <c r="U236" i="2" s="1"/>
  <c r="X309" i="2"/>
  <c r="DA309" i="2" s="1"/>
  <c r="X301" i="2"/>
  <c r="DA301" i="2" s="1"/>
  <c r="X381" i="2"/>
  <c r="DA381" i="2" s="1"/>
  <c r="X367" i="2"/>
  <c r="DA367" i="2" s="1"/>
  <c r="X365" i="2"/>
  <c r="DA365" i="2"/>
  <c r="X364" i="2"/>
  <c r="DA364" i="2" s="1"/>
  <c r="X320" i="2"/>
  <c r="DA320" i="2"/>
  <c r="X308" i="2"/>
  <c r="DA308" i="2" s="1"/>
  <c r="X300" i="2"/>
  <c r="DA300" i="2" s="1"/>
  <c r="X379" i="2"/>
  <c r="DA379" i="2"/>
  <c r="X377" i="2"/>
  <c r="DA377" i="2" s="1"/>
  <c r="X363" i="2"/>
  <c r="DA363" i="2" s="1"/>
  <c r="X455" i="2"/>
  <c r="DA455" i="2"/>
  <c r="X448" i="2"/>
  <c r="DA448" i="2" s="1"/>
  <c r="X439" i="2"/>
  <c r="DA439" i="2" s="1"/>
  <c r="X518" i="2"/>
  <c r="DA518" i="2" s="1"/>
  <c r="X512" i="2"/>
  <c r="DA512" i="2" s="1"/>
  <c r="X495" i="2"/>
  <c r="DA495" i="2" s="1"/>
  <c r="X492" i="2"/>
  <c r="DA492" i="2"/>
  <c r="S304" i="2"/>
  <c r="S307" i="2"/>
  <c r="S309" i="2"/>
  <c r="S311" i="2"/>
  <c r="S315" i="2"/>
  <c r="S317" i="2"/>
  <c r="S319" i="2"/>
  <c r="S321" i="2"/>
  <c r="S323" i="2"/>
  <c r="S325" i="2"/>
  <c r="S327" i="2"/>
  <c r="S329" i="2"/>
  <c r="T313" i="2"/>
  <c r="U313" i="2" s="1"/>
  <c r="T305" i="2"/>
  <c r="U305" i="2"/>
  <c r="T303" i="2"/>
  <c r="U303" i="2" s="1"/>
  <c r="X303" i="2" s="1"/>
  <c r="DA303" i="2" s="1"/>
  <c r="X454" i="2"/>
  <c r="DA454" i="2"/>
  <c r="X451" i="2"/>
  <c r="DA451" i="2" s="1"/>
  <c r="X444" i="2"/>
  <c r="DA444" i="2"/>
  <c r="X438" i="2"/>
  <c r="DA438" i="2" s="1"/>
  <c r="X428" i="2"/>
  <c r="DA428" i="2" s="1"/>
  <c r="X508" i="2"/>
  <c r="DA508" i="2"/>
  <c r="DE504" i="2"/>
  <c r="DF504" i="2"/>
  <c r="X503" i="2"/>
  <c r="DA503" i="2"/>
  <c r="X491" i="2"/>
  <c r="DA491" i="2"/>
  <c r="W491" i="2"/>
  <c r="CZ491" i="2" s="1"/>
  <c r="X490" i="2"/>
  <c r="DA490" i="2"/>
  <c r="X568" i="2"/>
  <c r="DA568" i="2" s="1"/>
  <c r="X556" i="2"/>
  <c r="DA556" i="2" s="1"/>
  <c r="X450" i="2"/>
  <c r="DA450" i="2"/>
  <c r="X440" i="2"/>
  <c r="DA440" i="2"/>
  <c r="X434" i="2"/>
  <c r="DA434" i="2" s="1"/>
  <c r="X519" i="2"/>
  <c r="DA519" i="2"/>
  <c r="DF514" i="2"/>
  <c r="DE514" i="2"/>
  <c r="X507" i="2"/>
  <c r="DA507" i="2"/>
  <c r="X501" i="2"/>
  <c r="DA501" i="2" s="1"/>
  <c r="Y501" i="2"/>
  <c r="DB501" i="2"/>
  <c r="X499" i="2"/>
  <c r="DA499" i="2"/>
  <c r="S308" i="2"/>
  <c r="S310" i="2"/>
  <c r="S316" i="2"/>
  <c r="S318" i="2"/>
  <c r="S320" i="2"/>
  <c r="S322" i="2"/>
  <c r="S324" i="2"/>
  <c r="S326" i="2"/>
  <c r="S328" i="2"/>
  <c r="X443" i="2"/>
  <c r="DA443" i="2"/>
  <c r="X430" i="2"/>
  <c r="DA430" i="2"/>
  <c r="X427" i="2"/>
  <c r="DA427" i="2"/>
  <c r="X517" i="2"/>
  <c r="DA517" i="2"/>
  <c r="X515" i="2"/>
  <c r="DA515" i="2"/>
  <c r="X502" i="2"/>
  <c r="W502" i="2"/>
  <c r="CZ502" i="2"/>
  <c r="DA502" i="2"/>
  <c r="X500" i="2"/>
  <c r="DA500" i="2"/>
  <c r="X494" i="2"/>
  <c r="DA494" i="2" s="1"/>
  <c r="Y494" i="2"/>
  <c r="DB494" i="2" s="1"/>
  <c r="S444" i="2"/>
  <c r="S448" i="2"/>
  <c r="S452" i="2"/>
  <c r="T453" i="2"/>
  <c r="U453" i="2"/>
  <c r="T449" i="2"/>
  <c r="U449" i="2" s="1"/>
  <c r="T445" i="2"/>
  <c r="U445" i="2"/>
  <c r="T441" i="2"/>
  <c r="U441" i="2" s="1"/>
  <c r="T437" i="2"/>
  <c r="U437" i="2"/>
  <c r="T433" i="2"/>
  <c r="U433" i="2" s="1"/>
  <c r="T425" i="2"/>
  <c r="U425" i="2"/>
  <c r="T470" i="2"/>
  <c r="U470" i="2" s="1"/>
  <c r="T581" i="2"/>
  <c r="U581" i="2"/>
  <c r="S581" i="2"/>
  <c r="T577" i="2"/>
  <c r="U577" i="2"/>
  <c r="S577" i="2"/>
  <c r="T573" i="2"/>
  <c r="U573" i="2" s="1"/>
  <c r="S573" i="2"/>
  <c r="T569" i="2"/>
  <c r="U569" i="2"/>
  <c r="S569" i="2"/>
  <c r="T565" i="2"/>
  <c r="U565" i="2"/>
  <c r="S565" i="2"/>
  <c r="T561" i="2"/>
  <c r="U561" i="2"/>
  <c r="S561" i="2"/>
  <c r="S557" i="2"/>
  <c r="T557" i="2"/>
  <c r="U557" i="2"/>
  <c r="X648" i="2"/>
  <c r="DA648" i="2"/>
  <c r="X647" i="2"/>
  <c r="DA647" i="2"/>
  <c r="X638" i="2"/>
  <c r="DA638" i="2"/>
  <c r="X631" i="2"/>
  <c r="DA631" i="2"/>
  <c r="W514" i="2"/>
  <c r="CZ514" i="2"/>
  <c r="Y504" i="2"/>
  <c r="DB504" i="2"/>
  <c r="T505" i="2"/>
  <c r="U505" i="2"/>
  <c r="T489" i="2"/>
  <c r="U489" i="2"/>
  <c r="S580" i="2"/>
  <c r="T580" i="2"/>
  <c r="U580" i="2"/>
  <c r="S576" i="2"/>
  <c r="T576" i="2"/>
  <c r="U576" i="2"/>
  <c r="S572" i="2"/>
  <c r="T572" i="2"/>
  <c r="U572" i="2" s="1"/>
  <c r="X572" i="2" s="1"/>
  <c r="DA572" i="2" s="1"/>
  <c r="DE572" i="2" s="1"/>
  <c r="S564" i="2"/>
  <c r="T564" i="2"/>
  <c r="U564" i="2"/>
  <c r="X642" i="2"/>
  <c r="DA642" i="2"/>
  <c r="DE637" i="2"/>
  <c r="DF637" i="2"/>
  <c r="X635" i="2"/>
  <c r="DA635" i="2"/>
  <c r="DE621" i="2"/>
  <c r="DF621" i="2"/>
  <c r="S435" i="2"/>
  <c r="S443" i="2"/>
  <c r="S447" i="2"/>
  <c r="S451" i="2"/>
  <c r="S455" i="2"/>
  <c r="S503" i="2"/>
  <c r="S506" i="2"/>
  <c r="S508" i="2"/>
  <c r="T583" i="2"/>
  <c r="U583" i="2"/>
  <c r="S583" i="2"/>
  <c r="T579" i="2"/>
  <c r="U579" i="2"/>
  <c r="S579" i="2"/>
  <c r="T575" i="2"/>
  <c r="U575" i="2"/>
  <c r="S575" i="2"/>
  <c r="T571" i="2"/>
  <c r="U571" i="2" s="1"/>
  <c r="X571" i="2" s="1"/>
  <c r="DA571" i="2" s="1"/>
  <c r="DF571" i="2" s="1"/>
  <c r="S571" i="2"/>
  <c r="S567" i="2"/>
  <c r="T567" i="2"/>
  <c r="U567" i="2" s="1"/>
  <c r="T563" i="2"/>
  <c r="U563" i="2"/>
  <c r="S563" i="2"/>
  <c r="S559" i="2"/>
  <c r="T559" i="2"/>
  <c r="U559" i="2"/>
  <c r="T555" i="2"/>
  <c r="U555" i="2" s="1"/>
  <c r="S555" i="2"/>
  <c r="X646" i="2"/>
  <c r="DA646" i="2"/>
  <c r="X640" i="2"/>
  <c r="DA640" i="2"/>
  <c r="X639" i="2"/>
  <c r="DA639" i="2"/>
  <c r="DE625" i="2"/>
  <c r="DF625" i="2"/>
  <c r="W504" i="2"/>
  <c r="CZ504" i="2"/>
  <c r="Y514" i="2"/>
  <c r="DB514" i="2"/>
  <c r="T513" i="2"/>
  <c r="U513" i="2"/>
  <c r="T497" i="2"/>
  <c r="U497" i="2"/>
  <c r="S582" i="2"/>
  <c r="T582" i="2"/>
  <c r="U582" i="2"/>
  <c r="S578" i="2"/>
  <c r="T578" i="2"/>
  <c r="U578" i="2"/>
  <c r="S574" i="2"/>
  <c r="T574" i="2"/>
  <c r="U574" i="2"/>
  <c r="S570" i="2"/>
  <c r="T570" i="2"/>
  <c r="U570" i="2" s="1"/>
  <c r="X570" i="2" s="1"/>
  <c r="DA570" i="2" s="1"/>
  <c r="T566" i="2"/>
  <c r="U566" i="2"/>
  <c r="S562" i="2"/>
  <c r="T562" i="2"/>
  <c r="U562" i="2"/>
  <c r="T558" i="2"/>
  <c r="U558" i="2"/>
  <c r="S558" i="2"/>
  <c r="T554" i="2"/>
  <c r="U554" i="2"/>
  <c r="X644" i="2"/>
  <c r="DA644" i="2"/>
  <c r="X643" i="2"/>
  <c r="DA643" i="2" s="1"/>
  <c r="DE629" i="2"/>
  <c r="DF629" i="2"/>
  <c r="X628" i="2"/>
  <c r="DA628" i="2" s="1"/>
  <c r="X618" i="2"/>
  <c r="DA618" i="2"/>
  <c r="Y637" i="2"/>
  <c r="DB637" i="2" s="1"/>
  <c r="Y629" i="2"/>
  <c r="DB629" i="2"/>
  <c r="Y625" i="2"/>
  <c r="DB625" i="2" s="1"/>
  <c r="Y621" i="2"/>
  <c r="DB621" i="2"/>
  <c r="W637" i="2"/>
  <c r="CZ637" i="2" s="1"/>
  <c r="W629" i="2"/>
  <c r="CZ629" i="2" s="1"/>
  <c r="W625" i="2"/>
  <c r="CZ625" i="2"/>
  <c r="W621" i="2"/>
  <c r="CZ621" i="2" s="1"/>
  <c r="C207" i="6"/>
  <c r="E207" i="6" s="1"/>
  <c r="W501" i="2"/>
  <c r="CZ501" i="2"/>
  <c r="W519" i="2"/>
  <c r="CZ519" i="2"/>
  <c r="Y438" i="2"/>
  <c r="DB438" i="2"/>
  <c r="Y300" i="2"/>
  <c r="DB300" i="2"/>
  <c r="DH401" i="2"/>
  <c r="DG401" i="2"/>
  <c r="DE404" i="2"/>
  <c r="DF404" i="2"/>
  <c r="DG522" i="2"/>
  <c r="DH522" i="2"/>
  <c r="DD526" i="2"/>
  <c r="DC526" i="2"/>
  <c r="E201" i="8"/>
  <c r="I201" i="8"/>
  <c r="J201" i="8" s="1"/>
  <c r="W644" i="2"/>
  <c r="CZ644" i="2" s="1"/>
  <c r="W440" i="2"/>
  <c r="CZ440" i="2"/>
  <c r="Y556" i="2"/>
  <c r="DB556" i="2" s="1"/>
  <c r="W363" i="2"/>
  <c r="CZ363" i="2" s="1"/>
  <c r="Y364" i="2"/>
  <c r="DB364" i="2"/>
  <c r="Y327" i="2"/>
  <c r="DB327" i="2" s="1"/>
  <c r="DC360" i="2"/>
  <c r="DD360" i="2"/>
  <c r="DE401" i="2"/>
  <c r="DF401" i="2"/>
  <c r="DG653" i="2"/>
  <c r="DH653" i="2"/>
  <c r="DH361" i="2"/>
  <c r="DG361" i="2"/>
  <c r="DG403" i="2"/>
  <c r="DH403" i="2"/>
  <c r="DG233" i="2"/>
  <c r="DH233" i="2"/>
  <c r="DC649" i="2"/>
  <c r="DD649" i="2"/>
  <c r="DC296" i="2"/>
  <c r="DD296" i="2"/>
  <c r="DG399" i="2"/>
  <c r="DH399" i="2"/>
  <c r="DE273" i="2"/>
  <c r="DF273" i="2"/>
  <c r="C177" i="8"/>
  <c r="I177" i="8" s="1"/>
  <c r="J177" i="8" s="1"/>
  <c r="DE361" i="2"/>
  <c r="DF361" i="2"/>
  <c r="DF272" i="2"/>
  <c r="DE272" i="2"/>
  <c r="DE649" i="2"/>
  <c r="DF649" i="2"/>
  <c r="G173" i="3"/>
  <c r="P173" i="3"/>
  <c r="Y519" i="2"/>
  <c r="DB519" i="2"/>
  <c r="Y448" i="2"/>
  <c r="DB448" i="2"/>
  <c r="DC401" i="2"/>
  <c r="DD401" i="2"/>
  <c r="DE653" i="2"/>
  <c r="DF653" i="2"/>
  <c r="DC532" i="2"/>
  <c r="DD532" i="2"/>
  <c r="DF296" i="2"/>
  <c r="DE296" i="2"/>
  <c r="G178" i="8"/>
  <c r="P178" i="8"/>
  <c r="G179" i="6"/>
  <c r="P179" i="6"/>
  <c r="DA329" i="2"/>
  <c r="DF329" i="2"/>
  <c r="W329" i="2"/>
  <c r="CZ329" i="2" s="1"/>
  <c r="W618" i="2"/>
  <c r="CZ618" i="2"/>
  <c r="Y436" i="2"/>
  <c r="DB436" i="2"/>
  <c r="Y434" i="2"/>
  <c r="DB434" i="2"/>
  <c r="W300" i="2"/>
  <c r="CZ300" i="2"/>
  <c r="W364" i="2"/>
  <c r="CZ364" i="2"/>
  <c r="W371" i="2"/>
  <c r="CZ371" i="2" s="1"/>
  <c r="W299" i="2"/>
  <c r="CZ299" i="2"/>
  <c r="W319" i="2"/>
  <c r="CZ319" i="2"/>
  <c r="X263" i="2"/>
  <c r="DA263" i="2"/>
  <c r="Y175" i="2"/>
  <c r="DB175" i="2"/>
  <c r="DE661" i="2"/>
  <c r="DF661" i="2"/>
  <c r="DH654" i="2"/>
  <c r="DG654" i="2"/>
  <c r="DF598" i="2"/>
  <c r="DE598" i="2"/>
  <c r="DC550" i="2"/>
  <c r="DD550" i="2"/>
  <c r="DD584" i="2"/>
  <c r="DC584" i="2"/>
  <c r="DH588" i="2"/>
  <c r="DG588" i="2"/>
  <c r="DE596" i="2"/>
  <c r="DF596" i="2"/>
  <c r="DE662" i="2"/>
  <c r="DF662" i="2"/>
  <c r="DH585" i="2"/>
  <c r="DG585" i="2"/>
  <c r="DF589" i="2"/>
  <c r="DE589" i="2"/>
  <c r="DD597" i="2"/>
  <c r="DC597" i="2"/>
  <c r="DH529" i="2"/>
  <c r="DG529" i="2"/>
  <c r="DD534" i="2"/>
  <c r="DC534" i="2"/>
  <c r="DC520" i="2"/>
  <c r="DD520" i="2"/>
  <c r="DF423" i="2"/>
  <c r="DE423" i="2"/>
  <c r="DE467" i="2"/>
  <c r="DF467" i="2"/>
  <c r="DD402" i="2"/>
  <c r="DC402" i="2"/>
  <c r="DC466" i="2"/>
  <c r="DD466" i="2"/>
  <c r="DH359" i="2"/>
  <c r="DG359" i="2"/>
  <c r="DE394" i="2"/>
  <c r="DF394" i="2"/>
  <c r="DD463" i="2"/>
  <c r="DC463" i="2"/>
  <c r="DH405" i="2"/>
  <c r="DG405" i="2"/>
  <c r="DG298" i="2"/>
  <c r="DH298" i="2"/>
  <c r="DE398" i="2"/>
  <c r="DF398" i="2"/>
  <c r="DH297" i="2"/>
  <c r="DG297" i="2"/>
  <c r="DF268" i="2"/>
  <c r="DE268" i="2"/>
  <c r="DH422" i="2"/>
  <c r="DG422" i="2"/>
  <c r="DD333" i="2"/>
  <c r="DC333" i="2"/>
  <c r="DE235" i="2"/>
  <c r="DF235" i="2"/>
  <c r="DE215" i="2"/>
  <c r="DF215" i="2"/>
  <c r="DH106" i="2"/>
  <c r="DG106" i="2"/>
  <c r="DE140" i="2"/>
  <c r="DF140" i="2"/>
  <c r="DE148" i="2"/>
  <c r="DF148" i="2"/>
  <c r="DG337" i="2"/>
  <c r="DH337" i="2"/>
  <c r="DC204" i="2"/>
  <c r="DD204" i="2"/>
  <c r="DG146" i="2"/>
  <c r="DH146" i="2"/>
  <c r="DF147" i="2"/>
  <c r="DE147" i="2"/>
  <c r="DD206" i="2"/>
  <c r="DC206" i="2"/>
  <c r="DG210" i="2"/>
  <c r="DH210" i="2"/>
  <c r="DE214" i="2"/>
  <c r="DF214" i="2"/>
  <c r="DE145" i="2"/>
  <c r="DF145" i="2"/>
  <c r="DC46" i="2"/>
  <c r="DD46" i="2"/>
  <c r="P174" i="3"/>
  <c r="W643" i="2"/>
  <c r="CZ643" i="2"/>
  <c r="DC643" i="2"/>
  <c r="Y370" i="2"/>
  <c r="DB370" i="2"/>
  <c r="W379" i="2"/>
  <c r="CZ379" i="2" s="1"/>
  <c r="Y381" i="2"/>
  <c r="DB381" i="2"/>
  <c r="DH381" i="2"/>
  <c r="W372" i="2"/>
  <c r="CZ372" i="2"/>
  <c r="Y299" i="2"/>
  <c r="DB299" i="2"/>
  <c r="Y319" i="2"/>
  <c r="DB319" i="2"/>
  <c r="DG319" i="2" s="1"/>
  <c r="W180" i="2"/>
  <c r="CZ180" i="2"/>
  <c r="W110" i="2"/>
  <c r="CZ110" i="2" s="1"/>
  <c r="DC657" i="2"/>
  <c r="DD657" i="2"/>
  <c r="DG584" i="2"/>
  <c r="DH584" i="2"/>
  <c r="DE592" i="2"/>
  <c r="DF592" i="2"/>
  <c r="DH596" i="2"/>
  <c r="DG596" i="2"/>
  <c r="DF585" i="2"/>
  <c r="DE585" i="2"/>
  <c r="DD593" i="2"/>
  <c r="DC593" i="2"/>
  <c r="DH597" i="2"/>
  <c r="DG597" i="2"/>
  <c r="DC525" i="2"/>
  <c r="DD525" i="2"/>
  <c r="DC533" i="2"/>
  <c r="DD533" i="2"/>
  <c r="DF521" i="2"/>
  <c r="DE521" i="2"/>
  <c r="DG524" i="2"/>
  <c r="DH524" i="2"/>
  <c r="DC486" i="2"/>
  <c r="DD486" i="2"/>
  <c r="DF488" i="2"/>
  <c r="DE488" i="2"/>
  <c r="DH527" i="2"/>
  <c r="DG527" i="2"/>
  <c r="DE458" i="2"/>
  <c r="DF458" i="2"/>
  <c r="DH462" i="2"/>
  <c r="DG462" i="2"/>
  <c r="DH407" i="2"/>
  <c r="DG407" i="2"/>
  <c r="DC396" i="2"/>
  <c r="DD396" i="2"/>
  <c r="DH551" i="2"/>
  <c r="DG551" i="2"/>
  <c r="DD424" i="2"/>
  <c r="DC424" i="2"/>
  <c r="DD394" i="2"/>
  <c r="DC394" i="2"/>
  <c r="DH396" i="2"/>
  <c r="DG396" i="2"/>
  <c r="DG463" i="2"/>
  <c r="DH463" i="2"/>
  <c r="DD405" i="2"/>
  <c r="DC405" i="2"/>
  <c r="DG330" i="2"/>
  <c r="DH330" i="2"/>
  <c r="DC334" i="2"/>
  <c r="DD334" i="2"/>
  <c r="DF336" i="2"/>
  <c r="DE336" i="2"/>
  <c r="DH340" i="2"/>
  <c r="DG340" i="2"/>
  <c r="DE234" i="2"/>
  <c r="DF234" i="2"/>
  <c r="DC269" i="2"/>
  <c r="DD269" i="2"/>
  <c r="DC273" i="2"/>
  <c r="DD273" i="2"/>
  <c r="DC277" i="2"/>
  <c r="DD277" i="2"/>
  <c r="DF170" i="2"/>
  <c r="DE170" i="2"/>
  <c r="DH205" i="2"/>
  <c r="DG205" i="2"/>
  <c r="DC209" i="2"/>
  <c r="DD209" i="2"/>
  <c r="DH211" i="2"/>
  <c r="DG211" i="2"/>
  <c r="DD215" i="2"/>
  <c r="DC215" i="2"/>
  <c r="DG204" i="2"/>
  <c r="DH204" i="2"/>
  <c r="DF106" i="2"/>
  <c r="DE106" i="2"/>
  <c r="DD140" i="2"/>
  <c r="DD148" i="2"/>
  <c r="DC47" i="2"/>
  <c r="DD47" i="2"/>
  <c r="DD344" i="2"/>
  <c r="DC344" i="2"/>
  <c r="DH278" i="2"/>
  <c r="DG278" i="2"/>
  <c r="DD107" i="2"/>
  <c r="DE146" i="2"/>
  <c r="DF146" i="2"/>
  <c r="DH147" i="2"/>
  <c r="DG147" i="2"/>
  <c r="DG206" i="2"/>
  <c r="DH206" i="2"/>
  <c r="DE210" i="2"/>
  <c r="DF210" i="2"/>
  <c r="DG208" i="2"/>
  <c r="DH208" i="2"/>
  <c r="DE149" i="2"/>
  <c r="DF149" i="2"/>
  <c r="DD141" i="2"/>
  <c r="DG46" i="2"/>
  <c r="DH46" i="2"/>
  <c r="G187" i="3"/>
  <c r="P187" i="3"/>
  <c r="DH655" i="2"/>
  <c r="DG655" i="2"/>
  <c r="DE657" i="2"/>
  <c r="DF657" i="2"/>
  <c r="DH658" i="2"/>
  <c r="DG658" i="2"/>
  <c r="DF550" i="2"/>
  <c r="DE550" i="2"/>
  <c r="DE588" i="2"/>
  <c r="DF588" i="2"/>
  <c r="DD592" i="2"/>
  <c r="DC592" i="2"/>
  <c r="DC662" i="2"/>
  <c r="DD662" i="2"/>
  <c r="DC589" i="2"/>
  <c r="DD589" i="2"/>
  <c r="DH593" i="2"/>
  <c r="DG593" i="2"/>
  <c r="DF597" i="2"/>
  <c r="DE597" i="2"/>
  <c r="DH525" i="2"/>
  <c r="DG525" i="2"/>
  <c r="DH533" i="2"/>
  <c r="DG533" i="2"/>
  <c r="DH534" i="2"/>
  <c r="DG534" i="2"/>
  <c r="DC423" i="2"/>
  <c r="DD423" i="2"/>
  <c r="DG467" i="2"/>
  <c r="DH467" i="2"/>
  <c r="DD459" i="2"/>
  <c r="DC459" i="2"/>
  <c r="DE466" i="2"/>
  <c r="DF466" i="2"/>
  <c r="DG394" i="2"/>
  <c r="DH394" i="2"/>
  <c r="DC393" i="2"/>
  <c r="DD393" i="2"/>
  <c r="DE405" i="2"/>
  <c r="DF405" i="2"/>
  <c r="DC457" i="2"/>
  <c r="DD457" i="2"/>
  <c r="DH398" i="2"/>
  <c r="DG398" i="2"/>
  <c r="DH339" i="2"/>
  <c r="DG339" i="2"/>
  <c r="DE422" i="2"/>
  <c r="DF422" i="2"/>
  <c r="DH235" i="2"/>
  <c r="DG235" i="2"/>
  <c r="DC213" i="2"/>
  <c r="DD213" i="2"/>
  <c r="DC208" i="2"/>
  <c r="DD208" i="2"/>
  <c r="DE144" i="2"/>
  <c r="DF144" i="2"/>
  <c r="DE152" i="2"/>
  <c r="DF152" i="2"/>
  <c r="DD143" i="2"/>
  <c r="DF47" i="2"/>
  <c r="DE47" i="2"/>
  <c r="DF344" i="2"/>
  <c r="DE344" i="2"/>
  <c r="DE337" i="2"/>
  <c r="DF337" i="2"/>
  <c r="DE278" i="2"/>
  <c r="DF278" i="2"/>
  <c r="DG107" i="2"/>
  <c r="DH107" i="2"/>
  <c r="DF151" i="2"/>
  <c r="DE151" i="2"/>
  <c r="DE206" i="2"/>
  <c r="DF206" i="2"/>
  <c r="DC214" i="2"/>
  <c r="DD214" i="2"/>
  <c r="DC212" i="2"/>
  <c r="DD212" i="2"/>
  <c r="DE153" i="2"/>
  <c r="DF153" i="2"/>
  <c r="DD149" i="2"/>
  <c r="Y508" i="2"/>
  <c r="DB508" i="2" s="1"/>
  <c r="W366" i="2"/>
  <c r="CZ366" i="2"/>
  <c r="Y372" i="2"/>
  <c r="DB372" i="2"/>
  <c r="DH372" i="2" s="1"/>
  <c r="Y391" i="2"/>
  <c r="DB391" i="2"/>
  <c r="DH391" i="2"/>
  <c r="W307" i="2"/>
  <c r="CZ307" i="2"/>
  <c r="DE652" i="2"/>
  <c r="DF652" i="2"/>
  <c r="DE584" i="2"/>
  <c r="DF584" i="2"/>
  <c r="DD588" i="2"/>
  <c r="DC588" i="2"/>
  <c r="DG592" i="2"/>
  <c r="DH592" i="2"/>
  <c r="DH662" i="2"/>
  <c r="DG662" i="2"/>
  <c r="DD585" i="2"/>
  <c r="DC585" i="2"/>
  <c r="DH589" i="2"/>
  <c r="DG589" i="2"/>
  <c r="DF593" i="2"/>
  <c r="DE593" i="2"/>
  <c r="DC529" i="2"/>
  <c r="DD529" i="2"/>
  <c r="DC468" i="2"/>
  <c r="DD468" i="2"/>
  <c r="DH521" i="2"/>
  <c r="DG521" i="2"/>
  <c r="DC488" i="2"/>
  <c r="DD488" i="2"/>
  <c r="DH523" i="2"/>
  <c r="DG523" i="2"/>
  <c r="DH531" i="2"/>
  <c r="DG531" i="2"/>
  <c r="DC458" i="2"/>
  <c r="DD458" i="2"/>
  <c r="DD407" i="2"/>
  <c r="DC407" i="2"/>
  <c r="DH406" i="2"/>
  <c r="DG406" i="2"/>
  <c r="DE551" i="2"/>
  <c r="DF551" i="2"/>
  <c r="DE463" i="2"/>
  <c r="DF463" i="2"/>
  <c r="DD298" i="2"/>
  <c r="DC298" i="2"/>
  <c r="DH332" i="2"/>
  <c r="DG332" i="2"/>
  <c r="DC336" i="2"/>
  <c r="DD336" i="2"/>
  <c r="DG338" i="2"/>
  <c r="DH338" i="2"/>
  <c r="DC342" i="2"/>
  <c r="DD342" i="2"/>
  <c r="DG267" i="2"/>
  <c r="DH267" i="2"/>
  <c r="DC271" i="2"/>
  <c r="DD271" i="2"/>
  <c r="DD275" i="2"/>
  <c r="DC275" i="2"/>
  <c r="DC170" i="2"/>
  <c r="DD170" i="2"/>
  <c r="DH172" i="2"/>
  <c r="DG172" i="2"/>
  <c r="DD207" i="2"/>
  <c r="DC207" i="2"/>
  <c r="DE211" i="2"/>
  <c r="DF211" i="2"/>
  <c r="DH213" i="2"/>
  <c r="DG213" i="2"/>
  <c r="DC217" i="2"/>
  <c r="DD217" i="2"/>
  <c r="DC106" i="2"/>
  <c r="DD106" i="2"/>
  <c r="DD144" i="2"/>
  <c r="DD152" i="2"/>
  <c r="DD151" i="2"/>
  <c r="DH47" i="2"/>
  <c r="DG47" i="2"/>
  <c r="DH344" i="2"/>
  <c r="DG344" i="2"/>
  <c r="DD337" i="2"/>
  <c r="DC337" i="2"/>
  <c r="DC278" i="2"/>
  <c r="DD278" i="2"/>
  <c r="DG216" i="2"/>
  <c r="DH216" i="2"/>
  <c r="DF107" i="2"/>
  <c r="DE107" i="2"/>
  <c r="DD146" i="2"/>
  <c r="DH151" i="2"/>
  <c r="DG151" i="2"/>
  <c r="DC210" i="2"/>
  <c r="DD210" i="2"/>
  <c r="DG214" i="2"/>
  <c r="DH214" i="2"/>
  <c r="DE141" i="2"/>
  <c r="DF141" i="2"/>
  <c r="DF46" i="2"/>
  <c r="DE46" i="2"/>
  <c r="H116" i="3"/>
  <c r="X116" i="3"/>
  <c r="BX33" i="31"/>
  <c r="BB34" i="31"/>
  <c r="BC33" i="31"/>
  <c r="W628" i="2"/>
  <c r="CZ628" i="2"/>
  <c r="DD628" i="2"/>
  <c r="Y639" i="2"/>
  <c r="DB639" i="2"/>
  <c r="Y646" i="2"/>
  <c r="DB646" i="2"/>
  <c r="W642" i="2"/>
  <c r="CZ642" i="2"/>
  <c r="Y631" i="2"/>
  <c r="DB631" i="2" s="1"/>
  <c r="Y648" i="2"/>
  <c r="DB648" i="2"/>
  <c r="W517" i="2"/>
  <c r="CZ517" i="2"/>
  <c r="DC517" i="2" s="1"/>
  <c r="W430" i="2"/>
  <c r="CZ430" i="2"/>
  <c r="DD430" i="2" s="1"/>
  <c r="W443" i="2"/>
  <c r="CZ443" i="2" s="1"/>
  <c r="W446" i="2"/>
  <c r="CZ446" i="2"/>
  <c r="DD446" i="2"/>
  <c r="W507" i="2"/>
  <c r="CZ507" i="2" s="1"/>
  <c r="W495" i="2"/>
  <c r="CZ495" i="2" s="1"/>
  <c r="Y512" i="2"/>
  <c r="DB512" i="2"/>
  <c r="DG512" i="2" s="1"/>
  <c r="W439" i="2"/>
  <c r="CZ439" i="2"/>
  <c r="DC439" i="2" s="1"/>
  <c r="Y455" i="2"/>
  <c r="DB455" i="2" s="1"/>
  <c r="W377" i="2"/>
  <c r="CZ377" i="2"/>
  <c r="DC377" i="2"/>
  <c r="W309" i="2"/>
  <c r="CZ309" i="2" s="1"/>
  <c r="Y329" i="2"/>
  <c r="DB329" i="2"/>
  <c r="DH329" i="2" s="1"/>
  <c r="Y371" i="2"/>
  <c r="DB371" i="2"/>
  <c r="DH371" i="2" s="1"/>
  <c r="Y385" i="2"/>
  <c r="DB385" i="2" s="1"/>
  <c r="Y388" i="2"/>
  <c r="DB388" i="2" s="1"/>
  <c r="W176" i="2"/>
  <c r="CZ176" i="2"/>
  <c r="W192" i="2"/>
  <c r="CZ192" i="2"/>
  <c r="DD192" i="2" s="1"/>
  <c r="W200" i="2"/>
  <c r="CZ200" i="2"/>
  <c r="Y123" i="2"/>
  <c r="DB123" i="2" s="1"/>
  <c r="W193" i="2"/>
  <c r="CZ193" i="2" s="1"/>
  <c r="Y116" i="2"/>
  <c r="DB116" i="2" s="1"/>
  <c r="Y181" i="2"/>
  <c r="DB181" i="2"/>
  <c r="DH181" i="2"/>
  <c r="W118" i="2"/>
  <c r="CZ118" i="2" s="1"/>
  <c r="Y257" i="2"/>
  <c r="DB257" i="2"/>
  <c r="DG257" i="2" s="1"/>
  <c r="W175" i="2"/>
  <c r="CZ175" i="2"/>
  <c r="Y109" i="2"/>
  <c r="DB109" i="2"/>
  <c r="DG109" i="2"/>
  <c r="Y110" i="2"/>
  <c r="DB110" i="2" s="1"/>
  <c r="W639" i="2"/>
  <c r="CZ639" i="2"/>
  <c r="DD639" i="2"/>
  <c r="W631" i="2"/>
  <c r="CZ631" i="2"/>
  <c r="W648" i="2"/>
  <c r="CZ648" i="2" s="1"/>
  <c r="Y502" i="2"/>
  <c r="DB502" i="2"/>
  <c r="Y517" i="2"/>
  <c r="DB517" i="2" s="1"/>
  <c r="Y443" i="2"/>
  <c r="DB443" i="2"/>
  <c r="DG443" i="2"/>
  <c r="Y568" i="2"/>
  <c r="DB568" i="2"/>
  <c r="DG568" i="2" s="1"/>
  <c r="W508" i="2"/>
  <c r="CZ508" i="2" s="1"/>
  <c r="W512" i="2"/>
  <c r="CZ512" i="2" s="1"/>
  <c r="W518" i="2"/>
  <c r="CZ518" i="2"/>
  <c r="DC518" i="2"/>
  <c r="W455" i="2"/>
  <c r="CZ455" i="2" s="1"/>
  <c r="Y377" i="2"/>
  <c r="DB377" i="2"/>
  <c r="W312" i="2"/>
  <c r="CZ312" i="2"/>
  <c r="DD312" i="2" s="1"/>
  <c r="Y320" i="2"/>
  <c r="DB320" i="2"/>
  <c r="DH320" i="2" s="1"/>
  <c r="W328" i="2"/>
  <c r="CZ328" i="2" s="1"/>
  <c r="Y365" i="2"/>
  <c r="DB365" i="2"/>
  <c r="DH365" i="2"/>
  <c r="W385" i="2"/>
  <c r="CZ385" i="2" s="1"/>
  <c r="Y366" i="2"/>
  <c r="DB366" i="2"/>
  <c r="DH366" i="2" s="1"/>
  <c r="Y375" i="2"/>
  <c r="DB375" i="2" s="1"/>
  <c r="W388" i="2"/>
  <c r="CZ388" i="2"/>
  <c r="DC388" i="2" s="1"/>
  <c r="Y263" i="2"/>
  <c r="DB263" i="2" s="1"/>
  <c r="Y176" i="2"/>
  <c r="DB176" i="2"/>
  <c r="DG176" i="2"/>
  <c r="Y192" i="2"/>
  <c r="DB192" i="2" s="1"/>
  <c r="Y200" i="2"/>
  <c r="DB200" i="2"/>
  <c r="Y193" i="2"/>
  <c r="DB193" i="2"/>
  <c r="DH193" i="2"/>
  <c r="W116" i="2"/>
  <c r="CZ116" i="2" s="1"/>
  <c r="W196" i="2"/>
  <c r="CZ196" i="2"/>
  <c r="DD196" i="2" s="1"/>
  <c r="DC196" i="2"/>
  <c r="Y178" i="2"/>
  <c r="DB178" i="2"/>
  <c r="W130" i="2"/>
  <c r="CZ130" i="2"/>
  <c r="DC130" i="2" s="1"/>
  <c r="Y642" i="2"/>
  <c r="DB642" i="2" s="1"/>
  <c r="Y446" i="2"/>
  <c r="DB446" i="2"/>
  <c r="Y518" i="2"/>
  <c r="DB518" i="2"/>
  <c r="DH518" i="2"/>
  <c r="Y618" i="2"/>
  <c r="DB618" i="2"/>
  <c r="Y628" i="2"/>
  <c r="DB628" i="2"/>
  <c r="Y643" i="2"/>
  <c r="DB643" i="2"/>
  <c r="X558" i="2"/>
  <c r="DA558" i="2"/>
  <c r="X578" i="2"/>
  <c r="DA578" i="2"/>
  <c r="DG514" i="2"/>
  <c r="DH514" i="2"/>
  <c r="W640" i="2"/>
  <c r="CZ640" i="2"/>
  <c r="W635" i="2"/>
  <c r="CZ635" i="2" s="1"/>
  <c r="X505" i="2"/>
  <c r="DA505" i="2"/>
  <c r="DE631" i="2"/>
  <c r="DF631" i="2"/>
  <c r="W638" i="2"/>
  <c r="CZ638" i="2"/>
  <c r="Y647" i="2"/>
  <c r="DB647" i="2"/>
  <c r="X557" i="2"/>
  <c r="DA557" i="2"/>
  <c r="X425" i="2"/>
  <c r="DA425" i="2"/>
  <c r="X445" i="2"/>
  <c r="DA445" i="2"/>
  <c r="Y500" i="2"/>
  <c r="DB500" i="2"/>
  <c r="DC502" i="2"/>
  <c r="DD502" i="2"/>
  <c r="DE515" i="2"/>
  <c r="DF515" i="2"/>
  <c r="W427" i="2"/>
  <c r="CZ427" i="2"/>
  <c r="DG436" i="2"/>
  <c r="DH436" i="2"/>
  <c r="DH446" i="2"/>
  <c r="DG446" i="2"/>
  <c r="DE499" i="2"/>
  <c r="DF499" i="2"/>
  <c r="DH519" i="2"/>
  <c r="DG519" i="2"/>
  <c r="DC440" i="2"/>
  <c r="DD440" i="2"/>
  <c r="DE450" i="2"/>
  <c r="DF450" i="2"/>
  <c r="DH568" i="2"/>
  <c r="DE490" i="2"/>
  <c r="DF490" i="2"/>
  <c r="DF503" i="2"/>
  <c r="DE503" i="2"/>
  <c r="W444" i="2"/>
  <c r="CZ444" i="2"/>
  <c r="DE454" i="2"/>
  <c r="DF454" i="2"/>
  <c r="Y492" i="2"/>
  <c r="DB492" i="2" s="1"/>
  <c r="DG448" i="2"/>
  <c r="DH448" i="2"/>
  <c r="DG370" i="2"/>
  <c r="DH370" i="2"/>
  <c r="DC312" i="2"/>
  <c r="DG320" i="2"/>
  <c r="DE374" i="2"/>
  <c r="DF374" i="2"/>
  <c r="X238" i="2"/>
  <c r="DA238" i="2" s="1"/>
  <c r="X246" i="2"/>
  <c r="DA246" i="2"/>
  <c r="X256" i="2"/>
  <c r="DA256" i="2"/>
  <c r="DG371" i="2"/>
  <c r="Y314" i="2"/>
  <c r="DB314" i="2"/>
  <c r="DG366" i="2"/>
  <c r="W373" i="2"/>
  <c r="CZ373" i="2" s="1"/>
  <c r="DE388" i="2"/>
  <c r="DF388" i="2"/>
  <c r="DC299" i="2"/>
  <c r="DD299" i="2"/>
  <c r="Y307" i="2"/>
  <c r="DB307" i="2"/>
  <c r="DC319" i="2"/>
  <c r="DD319" i="2"/>
  <c r="DE327" i="2"/>
  <c r="DF327" i="2"/>
  <c r="X131" i="2"/>
  <c r="DA131" i="2" s="1"/>
  <c r="Y243" i="2"/>
  <c r="DB243" i="2" s="1"/>
  <c r="DG243" i="2" s="1"/>
  <c r="DE255" i="2"/>
  <c r="DF255" i="2"/>
  <c r="W123" i="2"/>
  <c r="CZ123" i="2" s="1"/>
  <c r="DC123" i="2" s="1"/>
  <c r="W182" i="2"/>
  <c r="CZ182" i="2" s="1"/>
  <c r="DD182" i="2" s="1"/>
  <c r="Y190" i="2"/>
  <c r="DB190" i="2"/>
  <c r="DE116" i="2"/>
  <c r="DF116" i="2"/>
  <c r="Y120" i="2"/>
  <c r="DB120" i="2" s="1"/>
  <c r="DH120" i="2" s="1"/>
  <c r="W128" i="2"/>
  <c r="CZ128" i="2"/>
  <c r="DC128" i="2" s="1"/>
  <c r="Y241" i="2"/>
  <c r="DB241" i="2" s="1"/>
  <c r="W249" i="2"/>
  <c r="CZ249" i="2" s="1"/>
  <c r="DH257" i="2"/>
  <c r="DC180" i="2"/>
  <c r="DD180" i="2"/>
  <c r="Y188" i="2"/>
  <c r="DB188" i="2" s="1"/>
  <c r="DG188" i="2" s="1"/>
  <c r="DF109" i="2"/>
  <c r="DE109" i="2"/>
  <c r="DF178" i="2"/>
  <c r="DE178" i="2"/>
  <c r="W181" i="2"/>
  <c r="CZ181" i="2"/>
  <c r="Y118" i="2"/>
  <c r="DB118" i="2"/>
  <c r="DG621" i="2"/>
  <c r="DH621" i="2"/>
  <c r="DC618" i="2"/>
  <c r="DD618" i="2"/>
  <c r="X562" i="2"/>
  <c r="DA562" i="2"/>
  <c r="X497" i="2"/>
  <c r="DA497" i="2"/>
  <c r="DD504" i="2"/>
  <c r="DC504" i="2"/>
  <c r="DC639" i="2"/>
  <c r="DE640" i="2"/>
  <c r="DF640" i="2"/>
  <c r="DH646" i="2"/>
  <c r="DG646" i="2"/>
  <c r="X563" i="2"/>
  <c r="DA563" i="2"/>
  <c r="X579" i="2"/>
  <c r="DA579" i="2"/>
  <c r="DE635" i="2"/>
  <c r="DF635" i="2"/>
  <c r="DC642" i="2"/>
  <c r="DD642" i="2"/>
  <c r="X580" i="2"/>
  <c r="DA580" i="2"/>
  <c r="DH504" i="2"/>
  <c r="DG504" i="2"/>
  <c r="DF638" i="2"/>
  <c r="DE638" i="2"/>
  <c r="X565" i="2"/>
  <c r="DA565" i="2"/>
  <c r="X581" i="2"/>
  <c r="DA581" i="2"/>
  <c r="DE500" i="2"/>
  <c r="DF500" i="2"/>
  <c r="DG502" i="2"/>
  <c r="DH502" i="2"/>
  <c r="DE427" i="2"/>
  <c r="DF427" i="2"/>
  <c r="DE430" i="2"/>
  <c r="DF430" i="2"/>
  <c r="DC446" i="2"/>
  <c r="Y452" i="2"/>
  <c r="DB452" i="2" s="1"/>
  <c r="DC501" i="2"/>
  <c r="DD501" i="2"/>
  <c r="DF507" i="2"/>
  <c r="DE507" i="2"/>
  <c r="DC519" i="2"/>
  <c r="DD519" i="2"/>
  <c r="DH434" i="2"/>
  <c r="DG434" i="2"/>
  <c r="DE440" i="2"/>
  <c r="DF440" i="2"/>
  <c r="Y428" i="2"/>
  <c r="DB428" i="2"/>
  <c r="DH438" i="2"/>
  <c r="DG438" i="2"/>
  <c r="DE444" i="2"/>
  <c r="DF444" i="2"/>
  <c r="Y451" i="2"/>
  <c r="DB451" i="2" s="1"/>
  <c r="DH451" i="2" s="1"/>
  <c r="DE492" i="2"/>
  <c r="DF492" i="2"/>
  <c r="DH512" i="2"/>
  <c r="DG518" i="2"/>
  <c r="DE370" i="2"/>
  <c r="DF370" i="2"/>
  <c r="DH377" i="2"/>
  <c r="DG377" i="2"/>
  <c r="DF379" i="2"/>
  <c r="DE379" i="2"/>
  <c r="DG300" i="2"/>
  <c r="DH300" i="2"/>
  <c r="W308" i="2"/>
  <c r="CZ308" i="2" s="1"/>
  <c r="DC308" i="2" s="1"/>
  <c r="DE320" i="2"/>
  <c r="DF320" i="2"/>
  <c r="W324" i="2"/>
  <c r="CZ324" i="2"/>
  <c r="DH364" i="2"/>
  <c r="DG364" i="2"/>
  <c r="DE365" i="2"/>
  <c r="DF365" i="2"/>
  <c r="Y367" i="2"/>
  <c r="DB367" i="2" s="1"/>
  <c r="Y301" i="2"/>
  <c r="DB301" i="2"/>
  <c r="X254" i="2"/>
  <c r="W254" i="2" s="1"/>
  <c r="CZ254" i="2" s="1"/>
  <c r="DD254" i="2" s="1"/>
  <c r="DA254" i="2"/>
  <c r="X262" i="2"/>
  <c r="DA262" i="2"/>
  <c r="W368" i="2"/>
  <c r="CZ368" i="2"/>
  <c r="DD366" i="2"/>
  <c r="DC366" i="2"/>
  <c r="DG372" i="2"/>
  <c r="DF375" i="2"/>
  <c r="DE375" i="2"/>
  <c r="DF391" i="2"/>
  <c r="DE391" i="2"/>
  <c r="DH299" i="2"/>
  <c r="DG299" i="2"/>
  <c r="DE307" i="2"/>
  <c r="DF307" i="2"/>
  <c r="DH319" i="2"/>
  <c r="W243" i="2"/>
  <c r="CZ243" i="2" s="1"/>
  <c r="DC176" i="2"/>
  <c r="DD176" i="2"/>
  <c r="DC192" i="2"/>
  <c r="DG200" i="2"/>
  <c r="DH200" i="2"/>
  <c r="Y111" i="2"/>
  <c r="DB111" i="2"/>
  <c r="DE128" i="2"/>
  <c r="DF128" i="2"/>
  <c r="DC175" i="2"/>
  <c r="DD175" i="2"/>
  <c r="DF196" i="2"/>
  <c r="DE196" i="2"/>
  <c r="W133" i="2"/>
  <c r="CZ133" i="2"/>
  <c r="DC133" i="2" s="1"/>
  <c r="W178" i="2"/>
  <c r="CZ178" i="2"/>
  <c r="Y186" i="2"/>
  <c r="DB186" i="2"/>
  <c r="DE110" i="2"/>
  <c r="DF110" i="2"/>
  <c r="W122" i="2"/>
  <c r="CZ122" i="2"/>
  <c r="DC122" i="2" s="1"/>
  <c r="Y130" i="2"/>
  <c r="DB130" i="2"/>
  <c r="W138" i="2"/>
  <c r="CZ138" i="2"/>
  <c r="DC138" i="2" s="1"/>
  <c r="DD625" i="2"/>
  <c r="DC625" i="2"/>
  <c r="DF618" i="2"/>
  <c r="DE618" i="2"/>
  <c r="DC628" i="2"/>
  <c r="DE644" i="2"/>
  <c r="DF644" i="2"/>
  <c r="X554" i="2"/>
  <c r="DA554" i="2" s="1"/>
  <c r="X574" i="2"/>
  <c r="DA574" i="2" s="1"/>
  <c r="X582" i="2"/>
  <c r="DA582" i="2"/>
  <c r="X513" i="2"/>
  <c r="DA513" i="2" s="1"/>
  <c r="DE639" i="2"/>
  <c r="DF639" i="2"/>
  <c r="Y640" i="2"/>
  <c r="DB640" i="2"/>
  <c r="W646" i="2"/>
  <c r="CZ646" i="2" s="1"/>
  <c r="X559" i="2"/>
  <c r="DA559" i="2"/>
  <c r="Y635" i="2"/>
  <c r="DB635" i="2" s="1"/>
  <c r="DF642" i="2"/>
  <c r="DE642" i="2"/>
  <c r="W647" i="2"/>
  <c r="CZ647" i="2"/>
  <c r="DE648" i="2"/>
  <c r="DF648" i="2"/>
  <c r="X437" i="2"/>
  <c r="DA437" i="2" s="1"/>
  <c r="X453" i="2"/>
  <c r="DA453" i="2"/>
  <c r="W494" i="2"/>
  <c r="CZ494" i="2" s="1"/>
  <c r="W500" i="2"/>
  <c r="CZ500" i="2" s="1"/>
  <c r="Y515" i="2"/>
  <c r="DB515" i="2"/>
  <c r="DE517" i="2"/>
  <c r="DF517" i="2"/>
  <c r="Y427" i="2"/>
  <c r="DB427" i="2"/>
  <c r="W436" i="2"/>
  <c r="CZ436" i="2" s="1"/>
  <c r="DE443" i="2"/>
  <c r="DF443" i="2"/>
  <c r="Y499" i="2"/>
  <c r="DB499" i="2"/>
  <c r="DF519" i="2"/>
  <c r="DE519" i="2"/>
  <c r="W434" i="2"/>
  <c r="CZ434" i="2" s="1"/>
  <c r="Y440" i="2"/>
  <c r="DB440" i="2"/>
  <c r="Y450" i="2"/>
  <c r="DB450" i="2" s="1"/>
  <c r="W556" i="2"/>
  <c r="CZ556" i="2"/>
  <c r="Y490" i="2"/>
  <c r="DB490" i="2"/>
  <c r="Y491" i="2"/>
  <c r="DB491" i="2" s="1"/>
  <c r="Y503" i="2"/>
  <c r="DB503" i="2"/>
  <c r="W438" i="2"/>
  <c r="CZ438" i="2"/>
  <c r="Y444" i="2"/>
  <c r="DB444" i="2" s="1"/>
  <c r="Y454" i="2"/>
  <c r="DB454" i="2"/>
  <c r="X305" i="2"/>
  <c r="DA305" i="2" s="1"/>
  <c r="W492" i="2"/>
  <c r="CZ492" i="2"/>
  <c r="Y439" i="2"/>
  <c r="DB439" i="2"/>
  <c r="W448" i="2"/>
  <c r="CZ448" i="2" s="1"/>
  <c r="DC448" i="2" s="1"/>
  <c r="DE455" i="2"/>
  <c r="DF455" i="2"/>
  <c r="Y363" i="2"/>
  <c r="DB363" i="2" s="1"/>
  <c r="Y379" i="2"/>
  <c r="DB379" i="2"/>
  <c r="Y312" i="2"/>
  <c r="DB312" i="2"/>
  <c r="W320" i="2"/>
  <c r="CZ320" i="2"/>
  <c r="Y328" i="2"/>
  <c r="DB328" i="2" s="1"/>
  <c r="DG328" i="2" s="1"/>
  <c r="W365" i="2"/>
  <c r="CZ365" i="2" s="1"/>
  <c r="W374" i="2"/>
  <c r="CZ374" i="2"/>
  <c r="W381" i="2"/>
  <c r="CZ381" i="2"/>
  <c r="W301" i="2"/>
  <c r="CZ301" i="2"/>
  <c r="Y321" i="2"/>
  <c r="DB321" i="2"/>
  <c r="DE329" i="2"/>
  <c r="X242" i="2"/>
  <c r="DA242" i="2"/>
  <c r="X250" i="2"/>
  <c r="DA250" i="2"/>
  <c r="Y368" i="2"/>
  <c r="DB368" i="2"/>
  <c r="DF371" i="2"/>
  <c r="DE371" i="2"/>
  <c r="W314" i="2"/>
  <c r="CZ314" i="2"/>
  <c r="DF366" i="2"/>
  <c r="DE366" i="2"/>
  <c r="Y373" i="2"/>
  <c r="DB373" i="2"/>
  <c r="W375" i="2"/>
  <c r="CZ375" i="2"/>
  <c r="W391" i="2"/>
  <c r="CZ391" i="2"/>
  <c r="DE319" i="2"/>
  <c r="DF319" i="2"/>
  <c r="W327" i="2"/>
  <c r="CZ327" i="2"/>
  <c r="X117" i="2"/>
  <c r="DA117" i="2"/>
  <c r="W255" i="2"/>
  <c r="CZ255" i="2"/>
  <c r="DE263" i="2"/>
  <c r="DF263" i="2"/>
  <c r="DF192" i="2"/>
  <c r="DE192" i="2"/>
  <c r="W111" i="2"/>
  <c r="CZ111" i="2"/>
  <c r="DC111" i="2" s="1"/>
  <c r="Y182" i="2"/>
  <c r="DB182" i="2"/>
  <c r="W190" i="2"/>
  <c r="CZ190" i="2"/>
  <c r="W120" i="2"/>
  <c r="CZ120" i="2"/>
  <c r="DC120" i="2" s="1"/>
  <c r="Y128" i="2"/>
  <c r="DB128" i="2"/>
  <c r="W241" i="2"/>
  <c r="CZ241" i="2"/>
  <c r="Y249" i="2"/>
  <c r="DB249" i="2"/>
  <c r="W257" i="2"/>
  <c r="CZ257" i="2"/>
  <c r="DE175" i="2"/>
  <c r="DF175" i="2"/>
  <c r="Y180" i="2"/>
  <c r="DB180" i="2"/>
  <c r="W188" i="2"/>
  <c r="CZ188" i="2"/>
  <c r="Y196" i="2"/>
  <c r="DB196" i="2"/>
  <c r="W109" i="2"/>
  <c r="CZ109" i="2"/>
  <c r="DC109" i="2" s="1"/>
  <c r="Y133" i="2"/>
  <c r="DB133" i="2"/>
  <c r="DF186" i="2"/>
  <c r="DE186" i="2"/>
  <c r="DE122" i="2"/>
  <c r="DF122" i="2"/>
  <c r="DG629" i="2"/>
  <c r="DH629" i="2"/>
  <c r="Y644" i="2"/>
  <c r="DB644" i="2"/>
  <c r="X566" i="2"/>
  <c r="DA566" i="2"/>
  <c r="DG639" i="2"/>
  <c r="DH639" i="2"/>
  <c r="DF646" i="2"/>
  <c r="DE646" i="2"/>
  <c r="X575" i="2"/>
  <c r="DA575" i="2"/>
  <c r="X583" i="2"/>
  <c r="DA583" i="2"/>
  <c r="X564" i="2"/>
  <c r="W564" i="2" s="1"/>
  <c r="CZ564" i="2" s="1"/>
  <c r="DA564" i="2"/>
  <c r="X576" i="2"/>
  <c r="DA576" i="2"/>
  <c r="X489" i="2"/>
  <c r="DA489" i="2"/>
  <c r="DC514" i="2"/>
  <c r="DD514" i="2"/>
  <c r="DC631" i="2"/>
  <c r="DD631" i="2"/>
  <c r="Y638" i="2"/>
  <c r="DB638" i="2"/>
  <c r="DE647" i="2"/>
  <c r="DF647" i="2"/>
  <c r="DH648" i="2"/>
  <c r="DG648" i="2"/>
  <c r="X561" i="2"/>
  <c r="DA561" i="2"/>
  <c r="X569" i="2"/>
  <c r="Y569" i="2" s="1"/>
  <c r="DB569" i="2" s="1"/>
  <c r="DH569" i="2" s="1"/>
  <c r="DA569" i="2"/>
  <c r="X577" i="2"/>
  <c r="DA577" i="2"/>
  <c r="DF502" i="2"/>
  <c r="DE502" i="2"/>
  <c r="W515" i="2"/>
  <c r="CZ515" i="2"/>
  <c r="Y430" i="2"/>
  <c r="DB430" i="2"/>
  <c r="DE436" i="2"/>
  <c r="DF436" i="2"/>
  <c r="W452" i="2"/>
  <c r="CZ452" i="2"/>
  <c r="W499" i="2"/>
  <c r="CZ499" i="2"/>
  <c r="DG501" i="2"/>
  <c r="DH501" i="2"/>
  <c r="Y507" i="2"/>
  <c r="DB507" i="2"/>
  <c r="W450" i="2"/>
  <c r="CZ450" i="2"/>
  <c r="W568" i="2"/>
  <c r="CZ568" i="2"/>
  <c r="W490" i="2"/>
  <c r="CZ490" i="2"/>
  <c r="DF491" i="2"/>
  <c r="DE491" i="2"/>
  <c r="W503" i="2"/>
  <c r="CZ503" i="2"/>
  <c r="DE508" i="2"/>
  <c r="DF508" i="2"/>
  <c r="W428" i="2"/>
  <c r="CZ428" i="2"/>
  <c r="W451" i="2"/>
  <c r="CZ451" i="2"/>
  <c r="W454" i="2"/>
  <c r="CZ454" i="2"/>
  <c r="Y495" i="2"/>
  <c r="DB495" i="2"/>
  <c r="W370" i="2"/>
  <c r="CZ370" i="2"/>
  <c r="DD377" i="2"/>
  <c r="DD300" i="2"/>
  <c r="DC300" i="2"/>
  <c r="Y308" i="2"/>
  <c r="DB308" i="2" s="1"/>
  <c r="Y324" i="2"/>
  <c r="DB324" i="2"/>
  <c r="DD364" i="2"/>
  <c r="DC364" i="2"/>
  <c r="W367" i="2"/>
  <c r="CZ367" i="2" s="1"/>
  <c r="Y374" i="2"/>
  <c r="DB374" i="2"/>
  <c r="X266" i="2"/>
  <c r="DA266" i="2"/>
  <c r="DC372" i="2"/>
  <c r="DD372" i="2"/>
  <c r="DE373" i="2"/>
  <c r="DF373" i="2"/>
  <c r="DC307" i="2"/>
  <c r="DD307" i="2"/>
  <c r="DE243" i="2"/>
  <c r="DF243" i="2"/>
  <c r="DC200" i="2"/>
  <c r="DD200" i="2"/>
  <c r="DF111" i="2"/>
  <c r="DE111" i="2"/>
  <c r="DF182" i="2"/>
  <c r="DE182" i="2"/>
  <c r="DG175" i="2"/>
  <c r="DH175" i="2"/>
  <c r="DF133" i="2"/>
  <c r="DE133" i="2"/>
  <c r="DH178" i="2"/>
  <c r="DG178" i="2"/>
  <c r="DE181" i="2"/>
  <c r="DF181" i="2"/>
  <c r="W186" i="2"/>
  <c r="CZ186" i="2" s="1"/>
  <c r="DE118" i="2"/>
  <c r="DF118" i="2"/>
  <c r="Y122" i="2"/>
  <c r="DB122" i="2"/>
  <c r="DD130" i="2"/>
  <c r="Y138" i="2"/>
  <c r="DB138" i="2"/>
  <c r="H207" i="6"/>
  <c r="DG193" i="2"/>
  <c r="DH176" i="2"/>
  <c r="DG181" i="2"/>
  <c r="DD518" i="2"/>
  <c r="W263" i="2"/>
  <c r="CZ263" i="2"/>
  <c r="DH443" i="2"/>
  <c r="W579" i="2"/>
  <c r="CZ579" i="2"/>
  <c r="DG365" i="2"/>
  <c r="Y131" i="2"/>
  <c r="DB131" i="2"/>
  <c r="G180" i="6"/>
  <c r="P180" i="6"/>
  <c r="G179" i="8"/>
  <c r="P179" i="8"/>
  <c r="G188" i="3"/>
  <c r="P188" i="3"/>
  <c r="G175" i="3"/>
  <c r="P175" i="3"/>
  <c r="DH109" i="2"/>
  <c r="DD643" i="2"/>
  <c r="DD517" i="2"/>
  <c r="DG329" i="2"/>
  <c r="DG381" i="2"/>
  <c r="Y557" i="2"/>
  <c r="DB557" i="2"/>
  <c r="DG391" i="2"/>
  <c r="DD388" i="2"/>
  <c r="Y564" i="2"/>
  <c r="DB564" i="2"/>
  <c r="DG564" i="2" s="1"/>
  <c r="Y583" i="2"/>
  <c r="DB583" i="2"/>
  <c r="W583" i="2"/>
  <c r="CZ583" i="2"/>
  <c r="DC583" i="2" s="1"/>
  <c r="Y579" i="2"/>
  <c r="DB579" i="2"/>
  <c r="BI32" i="31"/>
  <c r="BC34" i="31"/>
  <c r="BB35" i="31"/>
  <c r="W561" i="2"/>
  <c r="CZ561" i="2"/>
  <c r="DD561" i="2" s="1"/>
  <c r="Y575" i="2"/>
  <c r="DB575" i="2" s="1"/>
  <c r="Y117" i="2"/>
  <c r="DB117" i="2"/>
  <c r="DG117" i="2" s="1"/>
  <c r="Y574" i="2"/>
  <c r="DB574" i="2"/>
  <c r="DG574" i="2"/>
  <c r="W580" i="2"/>
  <c r="CZ580" i="2"/>
  <c r="DC580" i="2"/>
  <c r="W256" i="2"/>
  <c r="CZ256" i="2" s="1"/>
  <c r="W557" i="2"/>
  <c r="CZ557" i="2" s="1"/>
  <c r="Y505" i="2"/>
  <c r="DB505" i="2"/>
  <c r="DH505" i="2"/>
  <c r="W578" i="2"/>
  <c r="CZ578" i="2"/>
  <c r="W569" i="2"/>
  <c r="CZ569" i="2"/>
  <c r="DC569" i="2" s="1"/>
  <c r="Y561" i="2"/>
  <c r="DB561" i="2"/>
  <c r="W575" i="2"/>
  <c r="CZ575" i="2" s="1"/>
  <c r="DC575" i="2" s="1"/>
  <c r="W565" i="2"/>
  <c r="CZ565" i="2"/>
  <c r="DD565" i="2"/>
  <c r="W563" i="2"/>
  <c r="CZ563" i="2"/>
  <c r="Y256" i="2"/>
  <c r="DB256" i="2"/>
  <c r="Y437" i="2"/>
  <c r="DB437" i="2"/>
  <c r="DH437" i="2" s="1"/>
  <c r="Y250" i="2"/>
  <c r="DB250" i="2" s="1"/>
  <c r="W559" i="2"/>
  <c r="CZ559" i="2"/>
  <c r="DC559" i="2"/>
  <c r="W554" i="2"/>
  <c r="CZ554" i="2"/>
  <c r="Y580" i="2"/>
  <c r="DB580" i="2"/>
  <c r="DH580" i="2" s="1"/>
  <c r="W505" i="2"/>
  <c r="CZ505" i="2"/>
  <c r="Y578" i="2"/>
  <c r="DB578" i="2" s="1"/>
  <c r="DE266" i="2"/>
  <c r="DF266" i="2"/>
  <c r="DG374" i="2"/>
  <c r="DH374" i="2"/>
  <c r="DD370" i="2"/>
  <c r="DC370" i="2"/>
  <c r="DC451" i="2"/>
  <c r="DD451" i="2"/>
  <c r="DH507" i="2"/>
  <c r="DG507" i="2"/>
  <c r="DE577" i="2"/>
  <c r="DF577" i="2"/>
  <c r="DC561" i="2"/>
  <c r="DE489" i="2"/>
  <c r="DF489" i="2"/>
  <c r="DE576" i="2"/>
  <c r="DF576" i="2"/>
  <c r="W566" i="2"/>
  <c r="CZ566" i="2"/>
  <c r="DG196" i="2"/>
  <c r="DH196" i="2"/>
  <c r="DG180" i="2"/>
  <c r="DH180" i="2"/>
  <c r="DC257" i="2"/>
  <c r="DD257" i="2"/>
  <c r="DH117" i="2"/>
  <c r="DC314" i="2"/>
  <c r="DD314" i="2"/>
  <c r="DE242" i="2"/>
  <c r="DF242" i="2"/>
  <c r="DH321" i="2"/>
  <c r="DG321" i="2"/>
  <c r="DC374" i="2"/>
  <c r="DD374" i="2"/>
  <c r="DH328" i="2"/>
  <c r="DG312" i="2"/>
  <c r="DH312" i="2"/>
  <c r="DD448" i="2"/>
  <c r="DG440" i="2"/>
  <c r="DH440" i="2"/>
  <c r="DH499" i="2"/>
  <c r="DG499" i="2"/>
  <c r="DF453" i="2"/>
  <c r="DE453" i="2"/>
  <c r="DE582" i="2"/>
  <c r="DF582" i="2"/>
  <c r="DF137" i="2"/>
  <c r="DC368" i="2"/>
  <c r="DD368" i="2"/>
  <c r="DE262" i="2"/>
  <c r="DF262" i="2"/>
  <c r="DC254" i="2"/>
  <c r="DE240" i="2"/>
  <c r="DH301" i="2"/>
  <c r="DG301" i="2"/>
  <c r="DD308" i="2"/>
  <c r="DG451" i="2"/>
  <c r="DE581" i="2"/>
  <c r="DF581" i="2"/>
  <c r="DC565" i="2"/>
  <c r="DD580" i="2"/>
  <c r="DF572" i="2"/>
  <c r="DC579" i="2"/>
  <c r="DD579" i="2"/>
  <c r="DE571" i="2"/>
  <c r="DE497" i="2"/>
  <c r="DF497" i="2"/>
  <c r="DE562" i="2"/>
  <c r="DF562" i="2"/>
  <c r="DC181" i="2"/>
  <c r="DD181" i="2"/>
  <c r="DH188" i="2"/>
  <c r="DG120" i="2"/>
  <c r="DC182" i="2"/>
  <c r="DH243" i="2"/>
  <c r="W131" i="2"/>
  <c r="CZ131" i="2"/>
  <c r="DC131" i="2" s="1"/>
  <c r="DH256" i="2"/>
  <c r="DG256" i="2"/>
  <c r="W238" i="2"/>
  <c r="CZ238" i="2"/>
  <c r="DC444" i="2"/>
  <c r="DD444" i="2"/>
  <c r="Y425" i="2"/>
  <c r="DB425" i="2"/>
  <c r="DH557" i="2"/>
  <c r="DG557" i="2"/>
  <c r="DE505" i="2"/>
  <c r="DF505" i="2"/>
  <c r="DE578" i="2"/>
  <c r="DF578" i="2"/>
  <c r="Y558" i="2"/>
  <c r="DB558" i="2"/>
  <c r="DH618" i="2"/>
  <c r="DG618" i="2"/>
  <c r="DG138" i="2"/>
  <c r="DH138" i="2"/>
  <c r="DC367" i="2"/>
  <c r="DD367" i="2"/>
  <c r="DC428" i="2"/>
  <c r="DD428" i="2"/>
  <c r="DC490" i="2"/>
  <c r="DD490" i="2"/>
  <c r="DD450" i="2"/>
  <c r="DC450" i="2"/>
  <c r="DC452" i="2"/>
  <c r="DD452" i="2"/>
  <c r="DC515" i="2"/>
  <c r="DD515" i="2"/>
  <c r="DH561" i="2"/>
  <c r="DG561" i="2"/>
  <c r="Y489" i="2"/>
  <c r="DB489" i="2"/>
  <c r="DH583" i="2"/>
  <c r="DG583" i="2"/>
  <c r="DD575" i="2"/>
  <c r="DE566" i="2"/>
  <c r="DF566" i="2"/>
  <c r="DD120" i="2"/>
  <c r="DH182" i="2"/>
  <c r="DG182" i="2"/>
  <c r="DF117" i="2"/>
  <c r="DE117" i="2"/>
  <c r="DC391" i="2"/>
  <c r="DD391" i="2"/>
  <c r="DC375" i="2"/>
  <c r="DD375" i="2"/>
  <c r="DE250" i="2"/>
  <c r="DF250" i="2"/>
  <c r="DD381" i="2"/>
  <c r="DC381" i="2"/>
  <c r="DD365" i="2"/>
  <c r="DC365" i="2"/>
  <c r="DD320" i="2"/>
  <c r="DC320" i="2"/>
  <c r="DG379" i="2"/>
  <c r="DH379" i="2"/>
  <c r="DG363" i="2"/>
  <c r="DH363" i="2"/>
  <c r="DG439" i="2"/>
  <c r="DH439" i="2"/>
  <c r="DD492" i="2"/>
  <c r="DC492" i="2"/>
  <c r="DH454" i="2"/>
  <c r="DG454" i="2"/>
  <c r="DH503" i="2"/>
  <c r="DG503" i="2"/>
  <c r="DD434" i="2"/>
  <c r="DC434" i="2"/>
  <c r="DC436" i="2"/>
  <c r="DD436" i="2"/>
  <c r="DH515" i="2"/>
  <c r="DG515" i="2"/>
  <c r="DC494" i="2"/>
  <c r="DD494" i="2"/>
  <c r="DF559" i="2"/>
  <c r="DE559" i="2"/>
  <c r="Y513" i="2"/>
  <c r="DB513" i="2" s="1"/>
  <c r="DD554" i="2"/>
  <c r="DC554" i="2"/>
  <c r="DH111" i="2"/>
  <c r="DG111" i="2"/>
  <c r="Y115" i="2"/>
  <c r="DB115" i="2" s="1"/>
  <c r="W258" i="2"/>
  <c r="CZ258" i="2" s="1"/>
  <c r="Y254" i="2"/>
  <c r="DB254" i="2" s="1"/>
  <c r="W303" i="2"/>
  <c r="CZ303" i="2" s="1"/>
  <c r="DG428" i="2"/>
  <c r="DH428" i="2"/>
  <c r="Y565" i="2"/>
  <c r="DB565" i="2" s="1"/>
  <c r="DE580" i="2"/>
  <c r="DF580" i="2"/>
  <c r="DF579" i="2"/>
  <c r="DE579" i="2"/>
  <c r="Y563" i="2"/>
  <c r="DB563" i="2" s="1"/>
  <c r="Y497" i="2"/>
  <c r="DB497" i="2" s="1"/>
  <c r="DC249" i="2"/>
  <c r="DD249" i="2"/>
  <c r="DF131" i="2"/>
  <c r="DE131" i="2"/>
  <c r="DH307" i="2"/>
  <c r="DG307" i="2"/>
  <c r="DD373" i="2"/>
  <c r="DC373" i="2"/>
  <c r="DG314" i="2"/>
  <c r="DH314" i="2"/>
  <c r="DE256" i="2"/>
  <c r="DF256" i="2"/>
  <c r="W246" i="2"/>
  <c r="CZ246" i="2"/>
  <c r="Y238" i="2"/>
  <c r="DB238" i="2"/>
  <c r="DC427" i="2"/>
  <c r="DD427" i="2"/>
  <c r="Y445" i="2"/>
  <c r="DB445" i="2"/>
  <c r="W425" i="2"/>
  <c r="CZ425" i="2"/>
  <c r="DE557" i="2"/>
  <c r="DF557" i="2"/>
  <c r="DC635" i="2"/>
  <c r="DD635" i="2"/>
  <c r="Y570" i="2"/>
  <c r="DB570" i="2"/>
  <c r="W558" i="2"/>
  <c r="CZ558" i="2"/>
  <c r="DH628" i="2"/>
  <c r="DG628" i="2"/>
  <c r="DG122" i="2"/>
  <c r="DH122" i="2"/>
  <c r="W266" i="2"/>
  <c r="CZ266" i="2"/>
  <c r="DG324" i="2"/>
  <c r="DH324" i="2"/>
  <c r="DC503" i="2"/>
  <c r="DD503" i="2"/>
  <c r="DC568" i="2"/>
  <c r="DD568" i="2"/>
  <c r="DH430" i="2"/>
  <c r="DG430" i="2"/>
  <c r="W577" i="2"/>
  <c r="CZ577" i="2"/>
  <c r="DE561" i="2"/>
  <c r="DF561" i="2"/>
  <c r="W576" i="2"/>
  <c r="CZ576" i="2"/>
  <c r="DC564" i="2"/>
  <c r="DD564" i="2"/>
  <c r="DD583" i="2"/>
  <c r="DF575" i="2"/>
  <c r="DE575" i="2"/>
  <c r="DH644" i="2"/>
  <c r="DG644" i="2"/>
  <c r="DG133" i="2"/>
  <c r="DH133" i="2"/>
  <c r="DG249" i="2"/>
  <c r="DH249" i="2"/>
  <c r="DH128" i="2"/>
  <c r="DG128" i="2"/>
  <c r="DD190" i="2"/>
  <c r="DC190" i="2"/>
  <c r="DC255" i="2"/>
  <c r="DD255" i="2"/>
  <c r="DC327" i="2"/>
  <c r="DD327" i="2"/>
  <c r="DH373" i="2"/>
  <c r="DG373" i="2"/>
  <c r="DH368" i="2"/>
  <c r="DG368" i="2"/>
  <c r="W242" i="2"/>
  <c r="CZ242" i="2" s="1"/>
  <c r="Y305" i="2"/>
  <c r="DB305" i="2" s="1"/>
  <c r="DG444" i="2"/>
  <c r="DH444" i="2"/>
  <c r="DH491" i="2"/>
  <c r="DG491" i="2"/>
  <c r="DC556" i="2"/>
  <c r="DD556" i="2"/>
  <c r="DG427" i="2"/>
  <c r="DH427" i="2"/>
  <c r="DD500" i="2"/>
  <c r="DC500" i="2"/>
  <c r="Y453" i="2"/>
  <c r="DB453" i="2" s="1"/>
  <c r="W437" i="2"/>
  <c r="CZ437" i="2" s="1"/>
  <c r="DC646" i="2"/>
  <c r="DD646" i="2"/>
  <c r="Y582" i="2"/>
  <c r="DB582" i="2" s="1"/>
  <c r="W574" i="2"/>
  <c r="CZ574" i="2" s="1"/>
  <c r="DE554" i="2"/>
  <c r="DF554" i="2"/>
  <c r="DD138" i="2"/>
  <c r="DD122" i="2"/>
  <c r="DH186" i="2"/>
  <c r="DG186" i="2"/>
  <c r="DD133" i="2"/>
  <c r="W137" i="2"/>
  <c r="CZ137" i="2" s="1"/>
  <c r="W115" i="2"/>
  <c r="CZ115" i="2" s="1"/>
  <c r="W262" i="2"/>
  <c r="CZ262" i="2" s="1"/>
  <c r="Y258" i="2"/>
  <c r="DB258" i="2" s="1"/>
  <c r="DE254" i="2"/>
  <c r="DF254" i="2"/>
  <c r="W240" i="2"/>
  <c r="CZ240" i="2" s="1"/>
  <c r="DG367" i="2"/>
  <c r="DH367" i="2"/>
  <c r="Y303" i="2"/>
  <c r="DB303" i="2" s="1"/>
  <c r="W581" i="2"/>
  <c r="CZ581" i="2" s="1"/>
  <c r="DE565" i="2"/>
  <c r="DF565" i="2"/>
  <c r="Y572" i="2"/>
  <c r="DB572" i="2" s="1"/>
  <c r="Y571" i="2"/>
  <c r="DB571" i="2" s="1"/>
  <c r="DC563" i="2"/>
  <c r="DD563" i="2"/>
  <c r="Y562" i="2"/>
  <c r="DB562" i="2" s="1"/>
  <c r="DG118" i="2"/>
  <c r="DH118" i="2"/>
  <c r="DD123" i="2"/>
  <c r="Y246" i="2"/>
  <c r="DB246" i="2"/>
  <c r="DE238" i="2"/>
  <c r="DF238" i="2"/>
  <c r="DH500" i="2"/>
  <c r="DG500" i="2"/>
  <c r="W445" i="2"/>
  <c r="CZ445" i="2"/>
  <c r="DF425" i="2"/>
  <c r="DE425" i="2"/>
  <c r="DG647" i="2"/>
  <c r="DH647" i="2"/>
  <c r="DC505" i="2"/>
  <c r="DD505" i="2"/>
  <c r="DC640" i="2"/>
  <c r="DD640" i="2"/>
  <c r="DG578" i="2"/>
  <c r="DH578" i="2"/>
  <c r="W570" i="2"/>
  <c r="CZ570" i="2"/>
  <c r="DE558" i="2"/>
  <c r="DF558" i="2"/>
  <c r="Y266" i="2"/>
  <c r="DB266" i="2"/>
  <c r="DH266" i="2" s="1"/>
  <c r="DG308" i="2"/>
  <c r="DH308" i="2"/>
  <c r="DH495" i="2"/>
  <c r="DG495" i="2"/>
  <c r="DD454" i="2"/>
  <c r="DC454" i="2"/>
  <c r="DC499" i="2"/>
  <c r="DD499" i="2"/>
  <c r="Y577" i="2"/>
  <c r="DB577" i="2"/>
  <c r="DE569" i="2"/>
  <c r="DF569" i="2"/>
  <c r="DH638" i="2"/>
  <c r="DG638" i="2"/>
  <c r="W489" i="2"/>
  <c r="CZ489" i="2"/>
  <c r="Y576" i="2"/>
  <c r="DB576" i="2"/>
  <c r="DE564" i="2"/>
  <c r="DF564" i="2"/>
  <c r="DF583" i="2"/>
  <c r="DE583" i="2"/>
  <c r="Y566" i="2"/>
  <c r="DB566" i="2"/>
  <c r="DD109" i="2"/>
  <c r="DC188" i="2"/>
  <c r="DD188" i="2"/>
  <c r="DC241" i="2"/>
  <c r="DD241" i="2"/>
  <c r="DD111" i="2"/>
  <c r="W117" i="2"/>
  <c r="CZ117" i="2"/>
  <c r="DC117" i="2" s="1"/>
  <c r="W250" i="2"/>
  <c r="CZ250" i="2"/>
  <c r="Y242" i="2"/>
  <c r="DB242" i="2"/>
  <c r="DC301" i="2"/>
  <c r="DD301" i="2"/>
  <c r="W305" i="2"/>
  <c r="CZ305" i="2"/>
  <c r="DD438" i="2"/>
  <c r="DC438" i="2"/>
  <c r="DH490" i="2"/>
  <c r="DG490" i="2"/>
  <c r="DH450" i="2"/>
  <c r="DG450" i="2"/>
  <c r="W453" i="2"/>
  <c r="CZ453" i="2"/>
  <c r="DF437" i="2"/>
  <c r="DE437" i="2"/>
  <c r="DC647" i="2"/>
  <c r="DD647" i="2"/>
  <c r="DG635" i="2"/>
  <c r="DH635" i="2"/>
  <c r="Y559" i="2"/>
  <c r="DB559" i="2"/>
  <c r="DH640" i="2"/>
  <c r="DG640" i="2"/>
  <c r="W513" i="2"/>
  <c r="CZ513" i="2"/>
  <c r="DD513" i="2" s="1"/>
  <c r="W582" i="2"/>
  <c r="CZ582" i="2"/>
  <c r="DE574" i="2"/>
  <c r="DF574" i="2"/>
  <c r="DG130" i="2"/>
  <c r="DH130" i="2"/>
  <c r="DD178" i="2"/>
  <c r="DC178" i="2"/>
  <c r="DC243" i="2"/>
  <c r="DD243" i="2"/>
  <c r="Y137" i="2"/>
  <c r="DB137" i="2"/>
  <c r="DF115" i="2"/>
  <c r="DE115" i="2"/>
  <c r="Y262" i="2"/>
  <c r="DB262" i="2"/>
  <c r="DE258" i="2"/>
  <c r="DF258" i="2"/>
  <c r="Y240" i="2"/>
  <c r="DB240" i="2"/>
  <c r="DD324" i="2"/>
  <c r="DC324" i="2"/>
  <c r="DE303" i="2"/>
  <c r="DF303" i="2"/>
  <c r="DG452" i="2"/>
  <c r="DH452" i="2"/>
  <c r="Y581" i="2"/>
  <c r="DB581" i="2" s="1"/>
  <c r="DG580" i="2"/>
  <c r="W572" i="2"/>
  <c r="CZ572" i="2"/>
  <c r="DH579" i="2"/>
  <c r="DG579" i="2"/>
  <c r="W571" i="2"/>
  <c r="CZ571" i="2"/>
  <c r="DF563" i="2"/>
  <c r="DE563" i="2"/>
  <c r="W497" i="2"/>
  <c r="CZ497" i="2"/>
  <c r="DD497" i="2" s="1"/>
  <c r="W562" i="2"/>
  <c r="CZ562" i="2"/>
  <c r="DG241" i="2"/>
  <c r="DH241" i="2"/>
  <c r="DD128" i="2"/>
  <c r="DH190" i="2"/>
  <c r="DG190" i="2"/>
  <c r="DH131" i="2"/>
  <c r="DG131" i="2"/>
  <c r="DC256" i="2"/>
  <c r="DD256" i="2"/>
  <c r="DE246" i="2"/>
  <c r="DF246" i="2"/>
  <c r="DH492" i="2"/>
  <c r="DG492" i="2"/>
  <c r="DF445" i="2"/>
  <c r="DE445" i="2"/>
  <c r="DC557" i="2"/>
  <c r="DD557" i="2"/>
  <c r="DC638" i="2"/>
  <c r="DD638" i="2"/>
  <c r="DG505" i="2"/>
  <c r="DD578" i="2"/>
  <c r="DC578" i="2"/>
  <c r="DE570" i="2"/>
  <c r="DF570" i="2"/>
  <c r="DG643" i="2"/>
  <c r="DH643" i="2"/>
  <c r="G180" i="8"/>
  <c r="P180" i="8"/>
  <c r="G181" i="6"/>
  <c r="P181" i="6"/>
  <c r="DD263" i="2"/>
  <c r="DC263" i="2"/>
  <c r="DG437" i="2"/>
  <c r="DG569" i="2"/>
  <c r="DH574" i="2"/>
  <c r="DH564" i="2"/>
  <c r="G189" i="3"/>
  <c r="P189" i="3"/>
  <c r="DD569" i="2"/>
  <c r="DD559" i="2"/>
  <c r="BC35" i="31"/>
  <c r="BB36" i="31"/>
  <c r="BI33" i="31"/>
  <c r="DC497" i="2"/>
  <c r="DC513" i="2"/>
  <c r="DG266" i="2"/>
  <c r="DC445" i="2"/>
  <c r="DD445" i="2"/>
  <c r="DC576" i="2"/>
  <c r="DD576" i="2"/>
  <c r="DC425" i="2"/>
  <c r="DD425" i="2"/>
  <c r="DH238" i="2"/>
  <c r="DG238" i="2"/>
  <c r="DG489" i="2"/>
  <c r="DH489" i="2"/>
  <c r="DG558" i="2"/>
  <c r="DH558" i="2"/>
  <c r="DH425" i="2"/>
  <c r="DG425" i="2"/>
  <c r="DC305" i="2"/>
  <c r="DD305" i="2"/>
  <c r="DG576" i="2"/>
  <c r="DH576" i="2"/>
  <c r="DD570" i="2"/>
  <c r="DC570" i="2"/>
  <c r="DH246" i="2"/>
  <c r="DG246" i="2"/>
  <c r="DC577" i="2"/>
  <c r="DD577" i="2"/>
  <c r="DH445" i="2"/>
  <c r="DG445" i="2"/>
  <c r="DC246" i="2"/>
  <c r="DD246" i="2"/>
  <c r="DC238" i="2"/>
  <c r="DD238" i="2"/>
  <c r="DC572" i="2"/>
  <c r="DD572" i="2"/>
  <c r="DH240" i="2"/>
  <c r="DG240" i="2"/>
  <c r="DC453" i="2"/>
  <c r="DD453" i="2"/>
  <c r="DH242" i="2"/>
  <c r="DG242" i="2"/>
  <c r="DD117" i="2"/>
  <c r="DC489" i="2"/>
  <c r="DD489" i="2"/>
  <c r="DC266" i="2"/>
  <c r="DD266" i="2"/>
  <c r="DD558" i="2"/>
  <c r="DC558" i="2"/>
  <c r="DD562" i="2"/>
  <c r="DC562" i="2"/>
  <c r="DC571" i="2"/>
  <c r="DD571" i="2"/>
  <c r="DH262" i="2"/>
  <c r="DG262" i="2"/>
  <c r="DG137" i="2"/>
  <c r="DH137" i="2"/>
  <c r="DD582" i="2"/>
  <c r="DC582" i="2"/>
  <c r="DH559" i="2"/>
  <c r="DG559" i="2"/>
  <c r="DC250" i="2"/>
  <c r="DD250" i="2"/>
  <c r="DG566" i="2"/>
  <c r="DH566" i="2"/>
  <c r="DH577" i="2"/>
  <c r="DG577" i="2"/>
  <c r="DG570" i="2"/>
  <c r="DH570" i="2"/>
  <c r="DG513" i="2"/>
  <c r="DH513" i="2"/>
  <c r="DD131" i="2"/>
  <c r="DD566" i="2"/>
  <c r="DC566" i="2"/>
  <c r="G182" i="6"/>
  <c r="P182" i="6"/>
  <c r="G181" i="8"/>
  <c r="P181" i="8"/>
  <c r="C180" i="8"/>
  <c r="H180" i="8" s="1"/>
  <c r="G190" i="3"/>
  <c r="P190" i="3"/>
  <c r="BB37" i="31"/>
  <c r="BC36" i="31"/>
  <c r="BX36" i="31"/>
  <c r="BI34" i="31"/>
  <c r="P182" i="8"/>
  <c r="G182" i="8"/>
  <c r="G183" i="6"/>
  <c r="P183" i="6"/>
  <c r="C181" i="8"/>
  <c r="I181" i="8" s="1"/>
  <c r="J181" i="8" s="1"/>
  <c r="G191" i="3"/>
  <c r="P191" i="3"/>
  <c r="G30" i="31"/>
  <c r="BB38" i="31"/>
  <c r="BC37" i="31"/>
  <c r="E181" i="8"/>
  <c r="H181" i="8"/>
  <c r="G184" i="6"/>
  <c r="P184" i="6"/>
  <c r="G183" i="8"/>
  <c r="P183" i="8"/>
  <c r="G192" i="3"/>
  <c r="P192" i="3"/>
  <c r="BX38" i="31"/>
  <c r="BB39" i="31"/>
  <c r="BC38" i="31"/>
  <c r="BI38" i="31" s="1"/>
  <c r="BI36" i="31"/>
  <c r="P184" i="8"/>
  <c r="G184" i="8"/>
  <c r="G185" i="6"/>
  <c r="P185" i="6"/>
  <c r="G193" i="3"/>
  <c r="P193" i="3"/>
  <c r="BC39" i="31"/>
  <c r="BB40" i="31"/>
  <c r="BX39" i="31"/>
  <c r="G186" i="6"/>
  <c r="P186" i="6"/>
  <c r="G185" i="8"/>
  <c r="P185" i="8"/>
  <c r="G194" i="3"/>
  <c r="P194" i="3"/>
  <c r="C193" i="3"/>
  <c r="BX40" i="31"/>
  <c r="BC40" i="31"/>
  <c r="BB41" i="31"/>
  <c r="BB42" i="31" s="1"/>
  <c r="G186" i="8"/>
  <c r="P186" i="8"/>
  <c r="P187" i="6"/>
  <c r="G187" i="6"/>
  <c r="G195" i="3"/>
  <c r="P195" i="3"/>
  <c r="BC41" i="31"/>
  <c r="BI41" i="31" s="1"/>
  <c r="BI39" i="31"/>
  <c r="BX41" i="31"/>
  <c r="G188" i="6"/>
  <c r="P188" i="6"/>
  <c r="G187" i="8"/>
  <c r="P187" i="8"/>
  <c r="G196" i="3"/>
  <c r="P196" i="3"/>
  <c r="P188" i="8"/>
  <c r="G188" i="8"/>
  <c r="G189" i="6"/>
  <c r="P189" i="6"/>
  <c r="G197" i="3"/>
  <c r="P197" i="3"/>
  <c r="BX43" i="31"/>
  <c r="G190" i="6"/>
  <c r="P190" i="6"/>
  <c r="P189" i="8"/>
  <c r="G189" i="8"/>
  <c r="G198" i="3"/>
  <c r="P198" i="3"/>
  <c r="BX44" i="31"/>
  <c r="G190" i="8"/>
  <c r="P190" i="8"/>
  <c r="G191" i="6"/>
  <c r="P191" i="6"/>
  <c r="F88" i="3"/>
  <c r="U88" i="3" s="1"/>
  <c r="G199" i="3"/>
  <c r="P199" i="3"/>
  <c r="BX45" i="31"/>
  <c r="C191" i="6"/>
  <c r="G192" i="6"/>
  <c r="P192" i="6"/>
  <c r="F89" i="3"/>
  <c r="U89" i="3" s="1"/>
  <c r="G200" i="3"/>
  <c r="P200" i="3"/>
  <c r="BX46" i="31"/>
  <c r="C192" i="6"/>
  <c r="G193" i="6"/>
  <c r="P193" i="6"/>
  <c r="G201" i="3"/>
  <c r="P201" i="3"/>
  <c r="BX47" i="31"/>
  <c r="G194" i="6"/>
  <c r="P194" i="6"/>
  <c r="G202" i="3"/>
  <c r="P202" i="3"/>
  <c r="P195" i="6"/>
  <c r="G195" i="6"/>
  <c r="G203" i="3"/>
  <c r="P203" i="3"/>
  <c r="BX49" i="31"/>
  <c r="F93" i="3"/>
  <c r="U93" i="3" s="1"/>
  <c r="F203" i="3" s="1"/>
  <c r="G204" i="3"/>
  <c r="P204" i="3"/>
  <c r="BX50" i="31"/>
  <c r="G205" i="3"/>
  <c r="P205" i="3"/>
  <c r="G44" i="31"/>
  <c r="G206" i="3"/>
  <c r="P206" i="3"/>
  <c r="F97" i="8"/>
  <c r="U97" i="8" s="1"/>
  <c r="Z198" i="8"/>
  <c r="Z187" i="8"/>
  <c r="F70" i="6"/>
  <c r="U70" i="6" s="1"/>
  <c r="Z172" i="8"/>
  <c r="Z197" i="6"/>
  <c r="F72" i="8"/>
  <c r="U72" i="8" s="1"/>
  <c r="F72" i="6"/>
  <c r="U72" i="6" s="1"/>
  <c r="F182" i="6" s="1"/>
  <c r="F86" i="6"/>
  <c r="U86" i="6" s="1"/>
  <c r="BX52" i="31"/>
  <c r="Z203" i="8"/>
  <c r="Z170" i="6"/>
  <c r="F85" i="6"/>
  <c r="U85" i="6" s="1"/>
  <c r="F195" i="6" s="1"/>
  <c r="Z179" i="6"/>
  <c r="F84" i="6"/>
  <c r="U84" i="6" s="1"/>
  <c r="F194" i="6" s="1"/>
  <c r="Z192" i="8"/>
  <c r="F104" i="8"/>
  <c r="U104" i="8" s="1"/>
  <c r="F214" i="8" s="1"/>
  <c r="Z175" i="6"/>
  <c r="F68" i="6"/>
  <c r="U68" i="6" s="1"/>
  <c r="F76" i="6"/>
  <c r="U76" i="6" s="1"/>
  <c r="F186" i="6" s="1"/>
  <c r="Z212" i="6"/>
  <c r="Z171" i="8"/>
  <c r="F101" i="6"/>
  <c r="U101" i="6" s="1"/>
  <c r="F64" i="6"/>
  <c r="U64" i="6" s="1"/>
  <c r="F66" i="6"/>
  <c r="U66" i="6"/>
  <c r="F96" i="6"/>
  <c r="U96" i="6" s="1"/>
  <c r="Z191" i="8"/>
  <c r="F81" i="8"/>
  <c r="U81" i="8" s="1"/>
  <c r="F69" i="3"/>
  <c r="U69" i="3" s="1"/>
  <c r="F179" i="3" s="1"/>
  <c r="Z179" i="3"/>
  <c r="Z200" i="6"/>
  <c r="F90" i="6"/>
  <c r="U90" i="6"/>
  <c r="F85" i="8"/>
  <c r="U85" i="8"/>
  <c r="Z195" i="8"/>
  <c r="F64" i="8"/>
  <c r="U64" i="8" s="1"/>
  <c r="Z174" i="8"/>
  <c r="F68" i="8"/>
  <c r="U68" i="8" s="1"/>
  <c r="Z178" i="8"/>
  <c r="Z171" i="3"/>
  <c r="F94" i="8"/>
  <c r="U94" i="8" s="1"/>
  <c r="Z204" i="8"/>
  <c r="Z201" i="3"/>
  <c r="F91" i="3"/>
  <c r="U91" i="3" s="1"/>
  <c r="F201" i="3" s="1"/>
  <c r="Z207" i="3"/>
  <c r="F97" i="3"/>
  <c r="U97" i="3" s="1"/>
  <c r="Z196" i="8"/>
  <c r="F65" i="3"/>
  <c r="U65" i="3" s="1"/>
  <c r="Z175" i="3"/>
  <c r="Z202" i="6"/>
  <c r="F92" i="6"/>
  <c r="U92" i="6" s="1"/>
  <c r="Z206" i="3"/>
  <c r="F96" i="3"/>
  <c r="U96" i="3" s="1"/>
  <c r="F84" i="3"/>
  <c r="U84" i="3" s="1"/>
  <c r="Z194" i="3"/>
  <c r="Z209" i="6"/>
  <c r="F99" i="6"/>
  <c r="U99" i="6" s="1"/>
  <c r="Z186" i="3"/>
  <c r="F76" i="3"/>
  <c r="U76" i="3" s="1"/>
  <c r="F186" i="3" s="1"/>
  <c r="Z208" i="6"/>
  <c r="F98" i="6"/>
  <c r="U98" i="6" s="1"/>
  <c r="Z203" i="6"/>
  <c r="F93" i="6"/>
  <c r="U93" i="6" s="1"/>
  <c r="F203" i="6" s="1"/>
  <c r="Z170" i="3"/>
  <c r="Z188" i="8"/>
  <c r="F78" i="8"/>
  <c r="U78" i="8" s="1"/>
  <c r="Z189" i="3"/>
  <c r="F79" i="3"/>
  <c r="U79" i="3" s="1"/>
  <c r="Z184" i="3"/>
  <c r="F83" i="6"/>
  <c r="U83" i="6" s="1"/>
  <c r="F193" i="6" s="1"/>
  <c r="Z193" i="6"/>
  <c r="F62" i="6"/>
  <c r="U62" i="6" s="1"/>
  <c r="F172" i="6" s="1"/>
  <c r="Z172" i="6"/>
  <c r="Z215" i="3"/>
  <c r="F105" i="3"/>
  <c r="U105" i="3" s="1"/>
  <c r="F63" i="8"/>
  <c r="U63" i="8" s="1"/>
  <c r="Z173" i="8"/>
  <c r="Z211" i="8"/>
  <c r="Z198" i="3"/>
  <c r="Z210" i="3"/>
  <c r="F100" i="3"/>
  <c r="U100" i="3" s="1"/>
  <c r="F103" i="6"/>
  <c r="U103" i="6" s="1"/>
  <c r="Z213" i="6"/>
  <c r="F71" i="6"/>
  <c r="U71" i="6" s="1"/>
  <c r="Z181" i="6"/>
  <c r="Z185" i="6"/>
  <c r="F75" i="6"/>
  <c r="U75" i="6" s="1"/>
  <c r="Z212" i="8"/>
  <c r="F102" i="8"/>
  <c r="U102" i="8" s="1"/>
  <c r="F77" i="3"/>
  <c r="U77" i="3" s="1"/>
  <c r="Z187" i="3"/>
  <c r="Z176" i="3"/>
  <c r="F66" i="3"/>
  <c r="U66" i="3" s="1"/>
  <c r="F70" i="8"/>
  <c r="U70" i="8" s="1"/>
  <c r="Z180" i="8"/>
  <c r="Z177" i="8"/>
  <c r="F67" i="8"/>
  <c r="U67" i="8" s="1"/>
  <c r="Z183" i="3"/>
  <c r="Z214" i="6"/>
  <c r="F104" i="6"/>
  <c r="U104" i="6" s="1"/>
  <c r="Z216" i="8"/>
  <c r="F106" i="8"/>
  <c r="U106" i="8" s="1"/>
  <c r="F216" i="8" s="1"/>
  <c r="Z205" i="3"/>
  <c r="F95" i="3"/>
  <c r="U95" i="3" s="1"/>
  <c r="F89" i="8"/>
  <c r="U89" i="8" s="1"/>
  <c r="Z199" i="8"/>
  <c r="Z192" i="3"/>
  <c r="F80" i="8"/>
  <c r="U80" i="8" s="1"/>
  <c r="F190" i="8" s="1"/>
  <c r="Z190" i="8"/>
  <c r="Z182" i="3"/>
  <c r="F72" i="3"/>
  <c r="U72" i="3" s="1"/>
  <c r="F87" i="8"/>
  <c r="U87" i="8" s="1"/>
  <c r="Z197" i="8"/>
  <c r="Z195" i="3"/>
  <c r="Z209" i="3"/>
  <c r="F70" i="3"/>
  <c r="U70" i="3" s="1"/>
  <c r="F180" i="3" s="1"/>
  <c r="Z193" i="3"/>
  <c r="F64" i="3"/>
  <c r="U64" i="3" s="1"/>
  <c r="F174" i="3" s="1"/>
  <c r="Z173" i="6"/>
  <c r="F63" i="6"/>
  <c r="U63" i="6" s="1"/>
  <c r="Z187" i="6"/>
  <c r="F77" i="6"/>
  <c r="U77" i="6" s="1"/>
  <c r="G207" i="3"/>
  <c r="P207" i="3"/>
  <c r="Z200" i="3"/>
  <c r="Z207" i="8"/>
  <c r="Z198" i="6"/>
  <c r="F88" i="6"/>
  <c r="U88" i="6" s="1"/>
  <c r="F97" i="6"/>
  <c r="U97" i="6" s="1"/>
  <c r="Z207" i="6"/>
  <c r="F77" i="8"/>
  <c r="U77" i="8" s="1"/>
  <c r="F187" i="8" s="1"/>
  <c r="F88" i="8"/>
  <c r="U88" i="8" s="1"/>
  <c r="F198" i="8" s="1"/>
  <c r="Z180" i="6"/>
  <c r="Z180" i="3"/>
  <c r="Z173" i="3"/>
  <c r="F63" i="3"/>
  <c r="U63" i="3" s="1"/>
  <c r="F62" i="3"/>
  <c r="U62" i="3" s="1"/>
  <c r="Z172" i="3"/>
  <c r="F81" i="6"/>
  <c r="U81" i="6"/>
  <c r="Z213" i="8"/>
  <c r="Z200" i="8"/>
  <c r="F62" i="8"/>
  <c r="U62" i="8" s="1"/>
  <c r="Z191" i="6"/>
  <c r="F105" i="6"/>
  <c r="U105" i="6" s="1"/>
  <c r="F87" i="3"/>
  <c r="U87" i="3" s="1"/>
  <c r="F197" i="3" s="1"/>
  <c r="F81" i="3"/>
  <c r="U81" i="3" s="1"/>
  <c r="F191" i="3" s="1"/>
  <c r="F90" i="8"/>
  <c r="U90" i="8" s="1"/>
  <c r="F200" i="8" s="1"/>
  <c r="Z182" i="6"/>
  <c r="F87" i="6"/>
  <c r="U87" i="6" s="1"/>
  <c r="F197" i="6" s="1"/>
  <c r="Z182" i="8"/>
  <c r="Z191" i="3"/>
  <c r="Z197" i="3"/>
  <c r="F103" i="3"/>
  <c r="U103" i="3" s="1"/>
  <c r="F213" i="3" s="1"/>
  <c r="Z215" i="6"/>
  <c r="Z213" i="3"/>
  <c r="F105" i="8"/>
  <c r="U105" i="8" s="1"/>
  <c r="F215" i="8" s="1"/>
  <c r="Z215" i="8"/>
  <c r="Z196" i="6"/>
  <c r="BX53" i="31"/>
  <c r="F73" i="6"/>
  <c r="U73" i="6" s="1"/>
  <c r="F83" i="3"/>
  <c r="U83" i="3" s="1"/>
  <c r="F83" i="8"/>
  <c r="U83" i="8" s="1"/>
  <c r="F193" i="8" s="1"/>
  <c r="Z189" i="8"/>
  <c r="F79" i="8"/>
  <c r="U79" i="8" s="1"/>
  <c r="Z183" i="6"/>
  <c r="Z193" i="8"/>
  <c r="F71" i="8"/>
  <c r="U71" i="8" s="1"/>
  <c r="F89" i="6"/>
  <c r="U89" i="6" s="1"/>
  <c r="Z181" i="8"/>
  <c r="Z181" i="3"/>
  <c r="Z183" i="8"/>
  <c r="Z203" i="3"/>
  <c r="F73" i="8"/>
  <c r="U73" i="8" s="1"/>
  <c r="F60" i="8"/>
  <c r="U60" i="8" s="1"/>
  <c r="Z170" i="8"/>
  <c r="F71" i="3"/>
  <c r="U71" i="3" s="1"/>
  <c r="F181" i="3" s="1"/>
  <c r="Z199" i="6"/>
  <c r="F85" i="3"/>
  <c r="U85" i="3" s="1"/>
  <c r="Z195" i="6"/>
  <c r="Z196" i="3"/>
  <c r="F99" i="3"/>
  <c r="U99" i="3" s="1"/>
  <c r="F209" i="3" s="1"/>
  <c r="Z209" i="8"/>
  <c r="Z210" i="6"/>
  <c r="Z179" i="8"/>
  <c r="Z208" i="8"/>
  <c r="F60" i="6"/>
  <c r="U60" i="6" s="1"/>
  <c r="F79" i="6"/>
  <c r="U79" i="6" s="1"/>
  <c r="F189" i="6" s="1"/>
  <c r="Z189" i="6"/>
  <c r="F93" i="8"/>
  <c r="U93" i="8" s="1"/>
  <c r="Z185" i="8"/>
  <c r="F75" i="8"/>
  <c r="U75" i="8" s="1"/>
  <c r="Z199" i="3"/>
  <c r="Z188" i="3"/>
  <c r="F69" i="6"/>
  <c r="U69" i="6" s="1"/>
  <c r="F179" i="6" s="1"/>
  <c r="Z192" i="6"/>
  <c r="Z194" i="8"/>
  <c r="F82" i="6"/>
  <c r="U82" i="6" s="1"/>
  <c r="F67" i="3"/>
  <c r="U67" i="3" s="1"/>
  <c r="F177" i="3" s="1"/>
  <c r="F69" i="8"/>
  <c r="U69" i="8" s="1"/>
  <c r="F179" i="8" s="1"/>
  <c r="Z214" i="3"/>
  <c r="F100" i="6"/>
  <c r="U100" i="6" s="1"/>
  <c r="F210" i="6" s="1"/>
  <c r="F100" i="8"/>
  <c r="U100" i="8" s="1"/>
  <c r="Z210" i="8"/>
  <c r="Z194" i="6"/>
  <c r="Z177" i="3"/>
  <c r="Z177" i="6"/>
  <c r="F75" i="3"/>
  <c r="U75" i="3" s="1"/>
  <c r="F185" i="3" s="1"/>
  <c r="F94" i="6"/>
  <c r="U94" i="6" s="1"/>
  <c r="F204" i="6" s="1"/>
  <c r="Z185" i="3"/>
  <c r="F67" i="6"/>
  <c r="U67" i="6" s="1"/>
  <c r="F177" i="6" s="1"/>
  <c r="F104" i="3"/>
  <c r="U104" i="3"/>
  <c r="F98" i="8"/>
  <c r="U98" i="8"/>
  <c r="Z174" i="3"/>
  <c r="F65" i="8"/>
  <c r="U65" i="8" s="1"/>
  <c r="Z214" i="8"/>
  <c r="Z211" i="6"/>
  <c r="Z178" i="6"/>
  <c r="Z204" i="3"/>
  <c r="F68" i="3"/>
  <c r="U68" i="3" s="1"/>
  <c r="Z208" i="3"/>
  <c r="F61" i="8"/>
  <c r="U61" i="8" s="1"/>
  <c r="Z216" i="3"/>
  <c r="Z190" i="3"/>
  <c r="Z204" i="6"/>
  <c r="F61" i="6"/>
  <c r="U61" i="6" s="1"/>
  <c r="F171" i="6" s="1"/>
  <c r="Z171" i="6"/>
  <c r="F92" i="3"/>
  <c r="U92" i="3" s="1"/>
  <c r="Z202" i="8"/>
  <c r="Z201" i="6"/>
  <c r="F78" i="6"/>
  <c r="U78" i="6" s="1"/>
  <c r="F188" i="6" s="1"/>
  <c r="Z188" i="6"/>
  <c r="F91" i="6"/>
  <c r="U91" i="6" s="1"/>
  <c r="F201" i="6" s="1"/>
  <c r="Z216" i="6"/>
  <c r="F74" i="6"/>
  <c r="U74" i="6" s="1"/>
  <c r="F184" i="6" s="1"/>
  <c r="F106" i="6"/>
  <c r="U106" i="6"/>
  <c r="F216" i="6" s="1"/>
  <c r="Z184" i="8"/>
  <c r="Z201" i="8"/>
  <c r="Z206" i="8"/>
  <c r="Z205" i="8"/>
  <c r="F95" i="8"/>
  <c r="U95" i="8" s="1"/>
  <c r="F106" i="3"/>
  <c r="U106" i="3" s="1"/>
  <c r="F96" i="8"/>
  <c r="U96" i="8" s="1"/>
  <c r="Z175" i="8"/>
  <c r="Z202" i="3"/>
  <c r="F80" i="3"/>
  <c r="U80" i="3" s="1"/>
  <c r="F65" i="6"/>
  <c r="U65" i="6" s="1"/>
  <c r="Z190" i="6"/>
  <c r="F92" i="8"/>
  <c r="U92" i="8" s="1"/>
  <c r="F95" i="6"/>
  <c r="U95" i="6" s="1"/>
  <c r="Z186" i="8"/>
  <c r="F80" i="6"/>
  <c r="U80" i="6" s="1"/>
  <c r="F190" i="6" s="1"/>
  <c r="F74" i="8"/>
  <c r="U74" i="8" s="1"/>
  <c r="F184" i="8" s="1"/>
  <c r="F91" i="8"/>
  <c r="U91" i="8"/>
  <c r="Z205" i="6"/>
  <c r="Z186" i="6"/>
  <c r="Z184" i="6"/>
  <c r="Z212" i="3"/>
  <c r="F76" i="8"/>
  <c r="U76" i="8" s="1"/>
  <c r="F186" i="8" s="1"/>
  <c r="F102" i="6"/>
  <c r="U102" i="6" s="1"/>
  <c r="F212" i="6" s="1"/>
  <c r="Z178" i="3"/>
  <c r="F101" i="3"/>
  <c r="U101" i="3" s="1"/>
  <c r="Z211" i="3"/>
  <c r="Z174" i="6"/>
  <c r="Z206" i="6"/>
  <c r="Z176" i="8"/>
  <c r="F66" i="8"/>
  <c r="U66" i="8" s="1"/>
  <c r="Z176" i="6"/>
  <c r="F176" i="6"/>
  <c r="F182" i="8"/>
  <c r="F205" i="3"/>
  <c r="F173" i="8"/>
  <c r="F206" i="3"/>
  <c r="AM64" i="8"/>
  <c r="F174" i="8"/>
  <c r="F207" i="8"/>
  <c r="F214" i="6"/>
  <c r="K214" i="6"/>
  <c r="AL104" i="6"/>
  <c r="F196" i="6"/>
  <c r="F212" i="8"/>
  <c r="F185" i="6"/>
  <c r="F174" i="6"/>
  <c r="F215" i="3"/>
  <c r="F178" i="6"/>
  <c r="F180" i="6"/>
  <c r="F202" i="6"/>
  <c r="F175" i="3"/>
  <c r="K177" i="8"/>
  <c r="F177" i="8"/>
  <c r="AL67" i="8"/>
  <c r="F180" i="8"/>
  <c r="F213" i="6"/>
  <c r="F189" i="3"/>
  <c r="F209" i="6"/>
  <c r="F194" i="3"/>
  <c r="F207" i="3"/>
  <c r="F171" i="3"/>
  <c r="F195" i="8"/>
  <c r="G208" i="3"/>
  <c r="P208" i="3"/>
  <c r="AL81" i="6"/>
  <c r="BX54" i="31"/>
  <c r="F208" i="8"/>
  <c r="K201" i="8"/>
  <c r="F201" i="8"/>
  <c r="AL91" i="8"/>
  <c r="G209" i="3"/>
  <c r="P209" i="3"/>
  <c r="G210" i="3"/>
  <c r="P210" i="3"/>
  <c r="BX56" i="31"/>
  <c r="G211" i="3"/>
  <c r="P211" i="3"/>
  <c r="G212" i="3"/>
  <c r="P212" i="3"/>
  <c r="BX58" i="31"/>
  <c r="G213" i="3"/>
  <c r="P213" i="3"/>
  <c r="BX59" i="31"/>
  <c r="G214" i="3"/>
  <c r="P214" i="3"/>
  <c r="BX60" i="31"/>
  <c r="G215" i="3"/>
  <c r="P215" i="3"/>
  <c r="BX61" i="31"/>
  <c r="BX62" i="31"/>
  <c r="BX63" i="31"/>
  <c r="BX64" i="31"/>
  <c r="BX65" i="31"/>
  <c r="BX66" i="31"/>
  <c r="BX67" i="31"/>
  <c r="BX69" i="31"/>
  <c r="BX70" i="31"/>
  <c r="G64" i="31"/>
  <c r="BX71" i="31"/>
  <c r="BX73" i="31"/>
  <c r="BX74" i="31"/>
  <c r="BX75" i="31"/>
  <c r="BX76" i="31"/>
  <c r="BX78" i="31"/>
  <c r="BX77" i="31"/>
  <c r="E193" i="3"/>
  <c r="BE53" i="8"/>
  <c r="BE51" i="8"/>
  <c r="BE49" i="8"/>
  <c r="BE47" i="8"/>
  <c r="BE45" i="8"/>
  <c r="BE43" i="8"/>
  <c r="BE46" i="6"/>
  <c r="BE45" i="6"/>
  <c r="BE36" i="6"/>
  <c r="BE35" i="6"/>
  <c r="BE22" i="6"/>
  <c r="BE20" i="6"/>
  <c r="BE19" i="6"/>
  <c r="BE10" i="6"/>
  <c r="BE8" i="6"/>
  <c r="BE37" i="8"/>
  <c r="BE44" i="6"/>
  <c r="BE43" i="6"/>
  <c r="BE34" i="6"/>
  <c r="BE33" i="6"/>
  <c r="BE31" i="6"/>
  <c r="BE30" i="6"/>
  <c r="BE29" i="6"/>
  <c r="BE17" i="6"/>
  <c r="BE16" i="6"/>
  <c r="BE52" i="8"/>
  <c r="BE50" i="8"/>
  <c r="BE48" i="8"/>
  <c r="BE46" i="8"/>
  <c r="BE44" i="8"/>
  <c r="BE42" i="8"/>
  <c r="BE21" i="8"/>
  <c r="BE36" i="8"/>
  <c r="BE20" i="8"/>
  <c r="BE19" i="8"/>
  <c r="BE18" i="8"/>
  <c r="BE17" i="8"/>
  <c r="BE16" i="8"/>
  <c r="BE15" i="8"/>
  <c r="BE14" i="8"/>
  <c r="BE13" i="8"/>
  <c r="BE12" i="8"/>
  <c r="BE11" i="8"/>
  <c r="BE10" i="8"/>
  <c r="BE47" i="3"/>
  <c r="BE46" i="3"/>
  <c r="BE45" i="3"/>
  <c r="BE44" i="3"/>
  <c r="BE9" i="8"/>
  <c r="BE8" i="8"/>
  <c r="BE7" i="8"/>
  <c r="BE35" i="8"/>
  <c r="BE34" i="8"/>
  <c r="BE33" i="8"/>
  <c r="BE32" i="8"/>
  <c r="BE30" i="3"/>
  <c r="BE28" i="3"/>
  <c r="BE14" i="3"/>
  <c r="BE12" i="3"/>
  <c r="BE25" i="8"/>
  <c r="BE24" i="8"/>
  <c r="BE23" i="8"/>
  <c r="AN9" i="8"/>
  <c r="BG9" i="8" s="1"/>
  <c r="AN8" i="8"/>
  <c r="BG8" i="8" s="1"/>
  <c r="BE52" i="3"/>
  <c r="BE50" i="3"/>
  <c r="BE48" i="3"/>
  <c r="BE10" i="3"/>
  <c r="BE8" i="3"/>
  <c r="G117" i="8"/>
  <c r="G115" i="8"/>
  <c r="H115" i="8" s="1"/>
  <c r="G116" i="6"/>
  <c r="AC173" i="6" s="1"/>
  <c r="AU173" i="6" s="1"/>
  <c r="C199" i="8"/>
  <c r="I199" i="8" s="1"/>
  <c r="C210" i="8"/>
  <c r="H210" i="8" s="1"/>
  <c r="H116" i="6"/>
  <c r="X116" i="6"/>
  <c r="X115" i="8"/>
  <c r="AC172" i="8"/>
  <c r="AU172" i="8" s="1"/>
  <c r="I210" i="8"/>
  <c r="J210" i="8" s="1"/>
  <c r="E210" i="8"/>
  <c r="AV201" i="8"/>
  <c r="H199" i="8"/>
  <c r="E199" i="8"/>
  <c r="AV182" i="8"/>
  <c r="AV213" i="8"/>
  <c r="AV198" i="8"/>
  <c r="AV170" i="8"/>
  <c r="AV181" i="8"/>
  <c r="AV203" i="8"/>
  <c r="AV214" i="8"/>
  <c r="AV210" i="8"/>
  <c r="AV212" i="8"/>
  <c r="AV186" i="8"/>
  <c r="AV173" i="8"/>
  <c r="AV185" i="8"/>
  <c r="AV180" i="8"/>
  <c r="J199" i="8"/>
  <c r="I204" i="8" l="1"/>
  <c r="F211" i="8"/>
  <c r="F213" i="8"/>
  <c r="F192" i="8"/>
  <c r="F205" i="6"/>
  <c r="F206" i="6"/>
  <c r="F211" i="6"/>
  <c r="F191" i="6"/>
  <c r="F181" i="6"/>
  <c r="F200" i="6"/>
  <c r="E191" i="6"/>
  <c r="F178" i="3"/>
  <c r="F170" i="3"/>
  <c r="F208" i="3"/>
  <c r="F200" i="3"/>
  <c r="F196" i="3"/>
  <c r="F216" i="3"/>
  <c r="G115" i="3"/>
  <c r="AL92" i="8"/>
  <c r="F202" i="8"/>
  <c r="I205" i="8"/>
  <c r="J205" i="8" s="1"/>
  <c r="H205" i="8"/>
  <c r="I170" i="8"/>
  <c r="E170" i="8"/>
  <c r="F176" i="8"/>
  <c r="C117" i="10"/>
  <c r="D117" i="10" s="1"/>
  <c r="E117" i="10" s="1"/>
  <c r="C117" i="41"/>
  <c r="D117" i="41" s="1"/>
  <c r="E117" i="41" s="1"/>
  <c r="C141" i="10"/>
  <c r="D141" i="10" s="1"/>
  <c r="E141" i="10" s="1"/>
  <c r="C141" i="41"/>
  <c r="D141" i="41" s="1"/>
  <c r="E141" i="41" s="1"/>
  <c r="F99" i="8"/>
  <c r="U99" i="8" s="1"/>
  <c r="F183" i="8"/>
  <c r="H204" i="8"/>
  <c r="I82" i="8"/>
  <c r="I84" i="8"/>
  <c r="I90" i="8"/>
  <c r="I92" i="8"/>
  <c r="Y92" i="8" s="1"/>
  <c r="I99" i="8"/>
  <c r="Y99" i="8" s="1"/>
  <c r="I101" i="8"/>
  <c r="I103" i="8"/>
  <c r="Y103" i="8" s="1"/>
  <c r="C150" i="41" s="1"/>
  <c r="D150" i="41" s="1"/>
  <c r="E150" i="41" s="1"/>
  <c r="C115" i="10"/>
  <c r="D115" i="10" s="1"/>
  <c r="E115" i="10" s="1"/>
  <c r="C115" i="41"/>
  <c r="D115" i="41" s="1"/>
  <c r="E115" i="41" s="1"/>
  <c r="C119" i="10"/>
  <c r="D119" i="10" s="1"/>
  <c r="E119" i="10" s="1"/>
  <c r="C119" i="41"/>
  <c r="D119" i="41" s="1"/>
  <c r="E119" i="41" s="1"/>
  <c r="C142" i="10"/>
  <c r="D142" i="10" s="1"/>
  <c r="E142" i="10" s="1"/>
  <c r="C142" i="41"/>
  <c r="D142" i="41" s="1"/>
  <c r="E142" i="41" s="1"/>
  <c r="AL72" i="8"/>
  <c r="F189" i="8"/>
  <c r="F86" i="8"/>
  <c r="U86" i="8" s="1"/>
  <c r="F196" i="8" s="1"/>
  <c r="C182" i="8"/>
  <c r="I182" i="8" s="1"/>
  <c r="C114" i="10"/>
  <c r="D114" i="10" s="1"/>
  <c r="E114" i="10" s="1"/>
  <c r="C120" i="40" s="1"/>
  <c r="C114" i="41"/>
  <c r="D114" i="41" s="1"/>
  <c r="E114" i="41" s="1"/>
  <c r="C118" i="10"/>
  <c r="D118" i="10" s="1"/>
  <c r="E118" i="10" s="1"/>
  <c r="C124" i="40" s="1"/>
  <c r="C118" i="41"/>
  <c r="D118" i="41" s="1"/>
  <c r="E118" i="41" s="1"/>
  <c r="AL70" i="8"/>
  <c r="F175" i="8"/>
  <c r="F84" i="8"/>
  <c r="U84" i="8" s="1"/>
  <c r="F194" i="8" s="1"/>
  <c r="F188" i="8"/>
  <c r="F191" i="8"/>
  <c r="I180" i="8"/>
  <c r="J180" i="8" s="1"/>
  <c r="C178" i="8"/>
  <c r="C134" i="10"/>
  <c r="D134" i="10" s="1"/>
  <c r="E134" i="10" s="1"/>
  <c r="C134" i="41"/>
  <c r="D134" i="41" s="1"/>
  <c r="E134" i="41" s="1"/>
  <c r="C136" i="10"/>
  <c r="D136" i="10" s="1"/>
  <c r="E136" i="10" s="1"/>
  <c r="C136" i="41"/>
  <c r="D136" i="41" s="1"/>
  <c r="E136" i="41" s="1"/>
  <c r="C138" i="10"/>
  <c r="D138" i="10" s="1"/>
  <c r="E138" i="10" s="1"/>
  <c r="C138" i="41"/>
  <c r="D138" i="41" s="1"/>
  <c r="E138" i="41" s="1"/>
  <c r="C147" i="10"/>
  <c r="D147" i="10" s="1"/>
  <c r="E147" i="10" s="1"/>
  <c r="C147" i="41"/>
  <c r="D147" i="41" s="1"/>
  <c r="E147" i="41" s="1"/>
  <c r="C69" i="10"/>
  <c r="D69" i="10" s="1"/>
  <c r="E69" i="10" s="1"/>
  <c r="C126" i="6" s="1"/>
  <c r="C69" i="41"/>
  <c r="D69" i="41" s="1"/>
  <c r="E69" i="41" s="1"/>
  <c r="I63" i="6"/>
  <c r="I65" i="6"/>
  <c r="Y65" i="6" s="1"/>
  <c r="C61" i="41" s="1"/>
  <c r="D61" i="41" s="1"/>
  <c r="E61" i="41" s="1"/>
  <c r="I72" i="6"/>
  <c r="Y72" i="6" s="1"/>
  <c r="C68" i="41" s="1"/>
  <c r="D68" i="41" s="1"/>
  <c r="E68" i="41" s="1"/>
  <c r="I84" i="6"/>
  <c r="I86" i="6"/>
  <c r="I88" i="6"/>
  <c r="Y88" i="6" s="1"/>
  <c r="I90" i="6"/>
  <c r="I96" i="6"/>
  <c r="Y96" i="6" s="1"/>
  <c r="I98" i="6"/>
  <c r="Y98" i="6" s="1"/>
  <c r="I103" i="6"/>
  <c r="I105" i="6"/>
  <c r="Y105" i="6" s="1"/>
  <c r="I69" i="6"/>
  <c r="I76" i="6"/>
  <c r="Y76" i="6" s="1"/>
  <c r="C78" i="10"/>
  <c r="D78" i="10" s="1"/>
  <c r="E78" i="10" s="1"/>
  <c r="C78" i="41"/>
  <c r="D78" i="41" s="1"/>
  <c r="E78" i="41" s="1"/>
  <c r="C85" i="10"/>
  <c r="D85" i="10" s="1"/>
  <c r="E85" i="10" s="1"/>
  <c r="C142" i="39" s="1"/>
  <c r="C85" i="41"/>
  <c r="D85" i="41" s="1"/>
  <c r="E85" i="41" s="1"/>
  <c r="C93" i="10"/>
  <c r="D93" i="10" s="1"/>
  <c r="E93" i="10" s="1"/>
  <c r="C93" i="41"/>
  <c r="D93" i="41" s="1"/>
  <c r="E93" i="41" s="1"/>
  <c r="C100" i="10"/>
  <c r="D100" i="10" s="1"/>
  <c r="E100" i="10" s="1"/>
  <c r="C100" i="41"/>
  <c r="D100" i="41" s="1"/>
  <c r="E100" i="41" s="1"/>
  <c r="C102" i="10"/>
  <c r="D102" i="10" s="1"/>
  <c r="E102" i="10" s="1"/>
  <c r="C102" i="41"/>
  <c r="D102" i="41" s="1"/>
  <c r="E102" i="41" s="1"/>
  <c r="I75" i="6"/>
  <c r="I77" i="6"/>
  <c r="Y77" i="6" s="1"/>
  <c r="C77" i="10"/>
  <c r="D77" i="10" s="1"/>
  <c r="E77" i="10" s="1"/>
  <c r="C77" i="41"/>
  <c r="D77" i="41" s="1"/>
  <c r="E77" i="41" s="1"/>
  <c r="C111" i="10"/>
  <c r="D111" i="10" s="1"/>
  <c r="E111" i="10" s="1"/>
  <c r="C111" i="41"/>
  <c r="D111" i="41" s="1"/>
  <c r="E111" i="41" s="1"/>
  <c r="AE64" i="8"/>
  <c r="C174" i="8"/>
  <c r="AL64" i="8"/>
  <c r="C107" i="10"/>
  <c r="D107" i="10" s="1"/>
  <c r="E107" i="10" s="1"/>
  <c r="C107" i="41"/>
  <c r="D107" i="41" s="1"/>
  <c r="E107" i="41" s="1"/>
  <c r="C56" i="10"/>
  <c r="D56" i="10" s="1"/>
  <c r="E56" i="10" s="1"/>
  <c r="C113" i="6" s="1"/>
  <c r="C56" i="41"/>
  <c r="D56" i="41" s="1"/>
  <c r="E56" i="41" s="1"/>
  <c r="I61" i="3"/>
  <c r="I63" i="3"/>
  <c r="Y63" i="3" s="1"/>
  <c r="F211" i="3"/>
  <c r="F78" i="3"/>
  <c r="U78" i="3" s="1"/>
  <c r="F188" i="3" s="1"/>
  <c r="I102" i="3"/>
  <c r="Y102" i="3" s="1"/>
  <c r="C47" i="41" s="1"/>
  <c r="D47" i="41" s="1"/>
  <c r="E47" i="41" s="1"/>
  <c r="I98" i="3"/>
  <c r="I94" i="3"/>
  <c r="Y94" i="3" s="1"/>
  <c r="C39" i="41" s="1"/>
  <c r="D39" i="41" s="1"/>
  <c r="E39" i="41" s="1"/>
  <c r="I90" i="3"/>
  <c r="I86" i="3"/>
  <c r="I82" i="3"/>
  <c r="I78" i="3"/>
  <c r="I70" i="3"/>
  <c r="I66" i="3"/>
  <c r="F102" i="3"/>
  <c r="U102" i="3" s="1"/>
  <c r="F82" i="3"/>
  <c r="U82" i="3" s="1"/>
  <c r="F192" i="3" s="1"/>
  <c r="F74" i="3"/>
  <c r="U74" i="3" s="1"/>
  <c r="F184" i="3" s="1"/>
  <c r="F94" i="3"/>
  <c r="U94" i="3" s="1"/>
  <c r="C28" i="10"/>
  <c r="D28" i="10" s="1"/>
  <c r="E28" i="10" s="1"/>
  <c r="C28" i="41"/>
  <c r="D28" i="41" s="1"/>
  <c r="E28" i="41" s="1"/>
  <c r="F190" i="3"/>
  <c r="F214" i="3"/>
  <c r="F202" i="3"/>
  <c r="F195" i="3"/>
  <c r="F199" i="3"/>
  <c r="I100" i="3"/>
  <c r="I96" i="3"/>
  <c r="I92" i="3"/>
  <c r="I88" i="3"/>
  <c r="I84" i="3"/>
  <c r="I80" i="3"/>
  <c r="I72" i="3"/>
  <c r="Y72" i="3" s="1"/>
  <c r="C17" i="41" s="1"/>
  <c r="D17" i="41" s="1"/>
  <c r="E17" i="41" s="1"/>
  <c r="I68" i="3"/>
  <c r="AP111" i="6"/>
  <c r="AP111" i="40"/>
  <c r="AP111" i="38"/>
  <c r="AP111" i="39"/>
  <c r="AR111" i="6"/>
  <c r="AR111" i="39"/>
  <c r="AR111" i="40"/>
  <c r="AR111" i="38"/>
  <c r="AQ111" i="8"/>
  <c r="AQ111" i="38"/>
  <c r="AQ111" i="39"/>
  <c r="AQ111" i="40"/>
  <c r="AG111" i="6"/>
  <c r="AG111" i="39"/>
  <c r="AG111" i="40"/>
  <c r="AG111" i="38"/>
  <c r="AH111" i="3"/>
  <c r="AH111" i="40"/>
  <c r="AH111" i="38"/>
  <c r="AH111" i="39"/>
  <c r="AL95" i="8"/>
  <c r="F205" i="8"/>
  <c r="C125" i="10"/>
  <c r="D125" i="10" s="1"/>
  <c r="E125" i="10" s="1"/>
  <c r="C188" i="8"/>
  <c r="E188" i="8" s="1"/>
  <c r="AL78" i="8"/>
  <c r="C110" i="10"/>
  <c r="D110" i="10" s="1"/>
  <c r="E110" i="10" s="1"/>
  <c r="C173" i="8"/>
  <c r="E173" i="8" s="1"/>
  <c r="AL63" i="8"/>
  <c r="C150" i="10"/>
  <c r="D150" i="10" s="1"/>
  <c r="E150" i="10" s="1"/>
  <c r="AL103" i="8"/>
  <c r="AL68" i="8"/>
  <c r="F178" i="8"/>
  <c r="AM62" i="8"/>
  <c r="F172" i="8"/>
  <c r="K204" i="8"/>
  <c r="AL94" i="8"/>
  <c r="F204" i="8"/>
  <c r="C140" i="10"/>
  <c r="D140" i="10" s="1"/>
  <c r="E140" i="10" s="1"/>
  <c r="C203" i="8"/>
  <c r="C149" i="10"/>
  <c r="D149" i="10" s="1"/>
  <c r="E149" i="10" s="1"/>
  <c r="C212" i="8"/>
  <c r="AL102" i="8"/>
  <c r="C151" i="10"/>
  <c r="D151" i="10" s="1"/>
  <c r="E151" i="10" s="1"/>
  <c r="C214" i="8"/>
  <c r="AL104" i="8"/>
  <c r="C120" i="8"/>
  <c r="C124" i="8"/>
  <c r="C148" i="8"/>
  <c r="AL205" i="8" s="1"/>
  <c r="C148" i="40"/>
  <c r="G114" i="8"/>
  <c r="G114" i="40"/>
  <c r="AK205" i="8"/>
  <c r="E204" i="8"/>
  <c r="AC174" i="40"/>
  <c r="AU174" i="40" s="1"/>
  <c r="H117" i="40"/>
  <c r="X117" i="40"/>
  <c r="C113" i="8"/>
  <c r="C113" i="40"/>
  <c r="C140" i="8"/>
  <c r="D140" i="8" s="1"/>
  <c r="C140" i="40"/>
  <c r="C144" i="8"/>
  <c r="C144" i="40"/>
  <c r="AC172" i="40"/>
  <c r="AU172" i="40" s="1"/>
  <c r="X115" i="40"/>
  <c r="AM172" i="40" s="1"/>
  <c r="AN172" i="40" s="1"/>
  <c r="H115" i="40"/>
  <c r="C62" i="10"/>
  <c r="D62" i="10" s="1"/>
  <c r="E62" i="10" s="1"/>
  <c r="C176" i="6"/>
  <c r="AL66" i="6"/>
  <c r="AL73" i="6"/>
  <c r="F183" i="6"/>
  <c r="C89" i="10"/>
  <c r="D89" i="10" s="1"/>
  <c r="E89" i="10" s="1"/>
  <c r="C203" i="6"/>
  <c r="E203" i="6" s="1"/>
  <c r="AL93" i="6"/>
  <c r="F199" i="6"/>
  <c r="AL89" i="6"/>
  <c r="C61" i="10"/>
  <c r="D61" i="10" s="1"/>
  <c r="E61" i="10" s="1"/>
  <c r="C175" i="6"/>
  <c r="AL72" i="6"/>
  <c r="C88" i="10"/>
  <c r="D88" i="10" s="1"/>
  <c r="E88" i="10" s="1"/>
  <c r="C202" i="6"/>
  <c r="AL92" i="6"/>
  <c r="F173" i="6"/>
  <c r="AM63" i="6"/>
  <c r="C60" i="10"/>
  <c r="D60" i="10" s="1"/>
  <c r="E60" i="10" s="1"/>
  <c r="C174" i="6"/>
  <c r="E174" i="6" s="1"/>
  <c r="AL64" i="6"/>
  <c r="C76" i="10"/>
  <c r="D76" i="10" s="1"/>
  <c r="E76" i="10" s="1"/>
  <c r="C190" i="6"/>
  <c r="AL80" i="6"/>
  <c r="C57" i="11"/>
  <c r="D57" i="11" s="1"/>
  <c r="E57" i="11" s="1"/>
  <c r="AM61" i="6"/>
  <c r="H174" i="6"/>
  <c r="C126" i="39"/>
  <c r="BE7" i="6"/>
  <c r="AL106" i="6"/>
  <c r="I207" i="6"/>
  <c r="C170" i="6"/>
  <c r="E170" i="6" s="1"/>
  <c r="AN7" i="6"/>
  <c r="BG7" i="6" s="1"/>
  <c r="C142" i="6"/>
  <c r="AB199" i="6" s="1"/>
  <c r="AT199" i="6" s="1"/>
  <c r="AC175" i="39"/>
  <c r="AU175" i="39" s="1"/>
  <c r="X118" i="39"/>
  <c r="H118" i="39"/>
  <c r="G118" i="6"/>
  <c r="BE18" i="6"/>
  <c r="BE32" i="6"/>
  <c r="C183" i="6"/>
  <c r="BE23" i="6"/>
  <c r="I79" i="6"/>
  <c r="AC173" i="39"/>
  <c r="AU173" i="39" s="1"/>
  <c r="X116" i="39"/>
  <c r="H116" i="39"/>
  <c r="C134" i="6"/>
  <c r="C134" i="39"/>
  <c r="BE9" i="6"/>
  <c r="AL76" i="6"/>
  <c r="C186" i="6"/>
  <c r="C135" i="6"/>
  <c r="C135" i="39"/>
  <c r="C150" i="6"/>
  <c r="AL207" i="6" s="1"/>
  <c r="C150" i="39"/>
  <c r="C159" i="6"/>
  <c r="C159" i="39"/>
  <c r="AB62" i="6"/>
  <c r="C39" i="10"/>
  <c r="D39" i="10" s="1"/>
  <c r="E39" i="10" s="1"/>
  <c r="C204" i="3"/>
  <c r="AL94" i="3"/>
  <c r="AZ31" i="3"/>
  <c r="AH84" i="3" s="1"/>
  <c r="AB65" i="3"/>
  <c r="AZ23" i="3"/>
  <c r="AH76" i="3" s="1"/>
  <c r="AZ22" i="8"/>
  <c r="AH75" i="8" s="1"/>
  <c r="AZ22" i="38"/>
  <c r="AH75" i="38" s="1"/>
  <c r="AZ22" i="3"/>
  <c r="AH75" i="3" s="1"/>
  <c r="C47" i="10"/>
  <c r="D47" i="10" s="1"/>
  <c r="E47" i="10" s="1"/>
  <c r="C212" i="3"/>
  <c r="H212" i="3" s="1"/>
  <c r="F193" i="3"/>
  <c r="AL83" i="3"/>
  <c r="C12" i="10"/>
  <c r="D12" i="10" s="1"/>
  <c r="E12" i="10" s="1"/>
  <c r="C177" i="3"/>
  <c r="AL67" i="3"/>
  <c r="C17" i="10"/>
  <c r="D17" i="10" s="1"/>
  <c r="E17" i="10" s="1"/>
  <c r="C182" i="3"/>
  <c r="AM173" i="3"/>
  <c r="AN173" i="3" s="1"/>
  <c r="AZ7" i="3"/>
  <c r="AH60" i="3" s="1"/>
  <c r="AZ7" i="38"/>
  <c r="AH60" i="38" s="1"/>
  <c r="AZ50" i="3"/>
  <c r="AH103" i="3" s="1"/>
  <c r="AZ50" i="38"/>
  <c r="AH103" i="38" s="1"/>
  <c r="AZ46" i="3"/>
  <c r="AH99" i="3" s="1"/>
  <c r="AZ46" i="38"/>
  <c r="AH99" i="38" s="1"/>
  <c r="AZ42" i="3"/>
  <c r="AH95" i="3" s="1"/>
  <c r="AZ42" i="38"/>
  <c r="AH95" i="38" s="1"/>
  <c r="AZ38" i="3"/>
  <c r="AH91" i="3" s="1"/>
  <c r="AZ38" i="38"/>
  <c r="AH91" i="38" s="1"/>
  <c r="AZ30" i="3"/>
  <c r="AH83" i="3" s="1"/>
  <c r="AZ30" i="38"/>
  <c r="AH83" i="38" s="1"/>
  <c r="AZ19" i="3"/>
  <c r="AH72" i="3" s="1"/>
  <c r="AZ19" i="38"/>
  <c r="AH72" i="38" s="1"/>
  <c r="AZ15" i="8"/>
  <c r="AH68" i="8" s="1"/>
  <c r="AZ15" i="38"/>
  <c r="AH68" i="38" s="1"/>
  <c r="C136" i="3"/>
  <c r="AJ193" i="3" s="1"/>
  <c r="C136" i="38"/>
  <c r="AZ53" i="8"/>
  <c r="AH106" i="8" s="1"/>
  <c r="AZ53" i="38"/>
  <c r="AH106" i="38" s="1"/>
  <c r="AZ49" i="8"/>
  <c r="AH102" i="8" s="1"/>
  <c r="AZ49" i="38"/>
  <c r="AH102" i="38" s="1"/>
  <c r="AZ45" i="8"/>
  <c r="AH98" i="8" s="1"/>
  <c r="AZ45" i="38"/>
  <c r="AH98" i="38" s="1"/>
  <c r="AZ41" i="8"/>
  <c r="AH94" i="8" s="1"/>
  <c r="AZ41" i="38"/>
  <c r="AH94" i="38" s="1"/>
  <c r="AZ37" i="8"/>
  <c r="AH90" i="8" s="1"/>
  <c r="AZ37" i="38"/>
  <c r="AH90" i="38" s="1"/>
  <c r="AZ29" i="6"/>
  <c r="AH82" i="6" s="1"/>
  <c r="AZ29" i="38"/>
  <c r="AH82" i="38" s="1"/>
  <c r="F204" i="3"/>
  <c r="AZ48" i="3"/>
  <c r="AH101" i="3" s="1"/>
  <c r="AZ48" i="38"/>
  <c r="AH101" i="38" s="1"/>
  <c r="AZ40" i="3"/>
  <c r="AH93" i="3" s="1"/>
  <c r="AZ40" i="38"/>
  <c r="AH93" i="38" s="1"/>
  <c r="AZ32" i="3"/>
  <c r="AH85" i="3" s="1"/>
  <c r="AZ32" i="38"/>
  <c r="AH85" i="38" s="1"/>
  <c r="AZ11" i="3"/>
  <c r="AH64" i="3" s="1"/>
  <c r="AZ11" i="38"/>
  <c r="AH64" i="38" s="1"/>
  <c r="Y85" i="3"/>
  <c r="C30" i="41" s="1"/>
  <c r="D30" i="41" s="1"/>
  <c r="E30" i="41" s="1"/>
  <c r="AC172" i="38"/>
  <c r="AU172" i="38" s="1"/>
  <c r="X115" i="38"/>
  <c r="AM172" i="38" s="1"/>
  <c r="AN172" i="38" s="1"/>
  <c r="H115" i="38"/>
  <c r="AZ51" i="6"/>
  <c r="AH104" i="6" s="1"/>
  <c r="AZ51" i="38"/>
  <c r="AH104" i="38" s="1"/>
  <c r="AZ43" i="6"/>
  <c r="AH96" i="6" s="1"/>
  <c r="AZ43" i="38"/>
  <c r="AH96" i="38" s="1"/>
  <c r="AZ35" i="6"/>
  <c r="AH88" i="6" s="1"/>
  <c r="AZ35" i="38"/>
  <c r="AH88" i="38" s="1"/>
  <c r="C147" i="3"/>
  <c r="C147" i="38"/>
  <c r="AC173" i="38"/>
  <c r="AU173" i="38" s="1"/>
  <c r="X116" i="38"/>
  <c r="AM173" i="38" s="1"/>
  <c r="AN173" i="38" s="1"/>
  <c r="H116" i="38"/>
  <c r="DC216" i="34"/>
  <c r="DD216" i="34"/>
  <c r="DC188" i="34"/>
  <c r="DD188" i="34"/>
  <c r="DH203" i="34"/>
  <c r="DG203" i="34"/>
  <c r="DG195" i="34"/>
  <c r="DH195" i="34"/>
  <c r="DF200" i="34"/>
  <c r="DE200" i="34"/>
  <c r="DG176" i="34"/>
  <c r="DH176" i="34"/>
  <c r="DC218" i="34"/>
  <c r="DD218" i="34"/>
  <c r="X190" i="34"/>
  <c r="DA190" i="34" s="1"/>
  <c r="W190" i="34"/>
  <c r="CZ190" i="34" s="1"/>
  <c r="DC190" i="34" s="1"/>
  <c r="Y190" i="34"/>
  <c r="DB190" i="34" s="1"/>
  <c r="X170" i="34"/>
  <c r="DA170" i="34" s="1"/>
  <c r="Y170" i="34"/>
  <c r="DB170" i="34" s="1"/>
  <c r="DE218" i="34"/>
  <c r="DF218" i="34"/>
  <c r="DH188" i="34"/>
  <c r="DD203" i="34"/>
  <c r="W195" i="34"/>
  <c r="CZ195" i="34" s="1"/>
  <c r="DH211" i="34"/>
  <c r="Y218" i="34"/>
  <c r="DB218" i="34" s="1"/>
  <c r="X192" i="34"/>
  <c r="DA192" i="34" s="1"/>
  <c r="Y192" i="34"/>
  <c r="DB192" i="34" s="1"/>
  <c r="DH192" i="34" s="1"/>
  <c r="W192" i="34"/>
  <c r="CZ192" i="34" s="1"/>
  <c r="DE173" i="34"/>
  <c r="DF173" i="34"/>
  <c r="Y179" i="34"/>
  <c r="DB179" i="34" s="1"/>
  <c r="X179" i="34"/>
  <c r="DA179" i="34" s="1"/>
  <c r="X204" i="34"/>
  <c r="DA204" i="34" s="1"/>
  <c r="W204" i="34"/>
  <c r="CZ204" i="34" s="1"/>
  <c r="W213" i="34"/>
  <c r="CZ213" i="34" s="1"/>
  <c r="DC213" i="34" s="1"/>
  <c r="Y213" i="34"/>
  <c r="DB213" i="34" s="1"/>
  <c r="DD181" i="34"/>
  <c r="DC181" i="34"/>
  <c r="DG171" i="34"/>
  <c r="DH171" i="34"/>
  <c r="DF206" i="34"/>
  <c r="DE206" i="34"/>
  <c r="Y197" i="34"/>
  <c r="DB197" i="34" s="1"/>
  <c r="DG197" i="34" s="1"/>
  <c r="W197" i="34"/>
  <c r="CZ197" i="34" s="1"/>
  <c r="DD215" i="34"/>
  <c r="DG175" i="34"/>
  <c r="DH175" i="34"/>
  <c r="W170" i="34"/>
  <c r="CZ170" i="34" s="1"/>
  <c r="X174" i="34"/>
  <c r="DA174" i="34" s="1"/>
  <c r="Y174" i="34"/>
  <c r="DB174" i="34" s="1"/>
  <c r="X193" i="34"/>
  <c r="DA193" i="34" s="1"/>
  <c r="Y193" i="34"/>
  <c r="DB193" i="34" s="1"/>
  <c r="W193" i="34"/>
  <c r="CZ193" i="34" s="1"/>
  <c r="X187" i="34"/>
  <c r="DA187" i="34" s="1"/>
  <c r="Y187" i="34"/>
  <c r="DB187" i="34" s="1"/>
  <c r="X184" i="34"/>
  <c r="DA184" i="34" s="1"/>
  <c r="W184" i="34"/>
  <c r="CZ184" i="34" s="1"/>
  <c r="Y184" i="34"/>
  <c r="DB184" i="34" s="1"/>
  <c r="X208" i="34"/>
  <c r="DA208" i="34" s="1"/>
  <c r="Y208" i="34"/>
  <c r="DB208" i="34" s="1"/>
  <c r="W208" i="34"/>
  <c r="CZ208" i="34" s="1"/>
  <c r="X210" i="34"/>
  <c r="DA210" i="34" s="1"/>
  <c r="Y210" i="34"/>
  <c r="DB210" i="34" s="1"/>
  <c r="DG210" i="34" s="1"/>
  <c r="X217" i="34"/>
  <c r="DA217" i="34" s="1"/>
  <c r="W217" i="34"/>
  <c r="CZ217" i="34" s="1"/>
  <c r="Y217" i="34"/>
  <c r="DB217" i="34" s="1"/>
  <c r="Y185" i="34"/>
  <c r="DB185" i="34" s="1"/>
  <c r="W185" i="34"/>
  <c r="CZ185" i="34" s="1"/>
  <c r="X185" i="34"/>
  <c r="DA185" i="34" s="1"/>
  <c r="X216" i="34"/>
  <c r="DA216" i="34" s="1"/>
  <c r="Y216" i="34"/>
  <c r="DB216" i="34" s="1"/>
  <c r="DH216" i="34" s="1"/>
  <c r="DH183" i="34"/>
  <c r="DF213" i="34"/>
  <c r="DF196" i="34"/>
  <c r="DD174" i="34"/>
  <c r="DF214" i="34"/>
  <c r="DE214" i="34"/>
  <c r="DD179" i="34"/>
  <c r="DC179" i="34"/>
  <c r="DF177" i="34"/>
  <c r="DE177" i="34"/>
  <c r="X197" i="34"/>
  <c r="DA197" i="34" s="1"/>
  <c r="X194" i="34"/>
  <c r="DA194" i="34" s="1"/>
  <c r="Y194" i="34"/>
  <c r="DB194" i="34" s="1"/>
  <c r="X182" i="34"/>
  <c r="Y182" i="34"/>
  <c r="DB182" i="34" s="1"/>
  <c r="W205" i="34"/>
  <c r="CZ205" i="34" s="1"/>
  <c r="Y205" i="34"/>
  <c r="DB205" i="34" s="1"/>
  <c r="W207" i="34"/>
  <c r="CZ207" i="34" s="1"/>
  <c r="Y207" i="34"/>
  <c r="DB207" i="34" s="1"/>
  <c r="X212" i="34"/>
  <c r="DA212" i="34" s="1"/>
  <c r="Y212" i="34"/>
  <c r="DB212" i="34" s="1"/>
  <c r="DG646" i="34"/>
  <c r="DH646" i="34"/>
  <c r="X617" i="34"/>
  <c r="DA617" i="34" s="1"/>
  <c r="Y617" i="34"/>
  <c r="DB617" i="34" s="1"/>
  <c r="W617" i="34"/>
  <c r="CZ617" i="34" s="1"/>
  <c r="DH634" i="34"/>
  <c r="DG634" i="34"/>
  <c r="DD615" i="34"/>
  <c r="DC615" i="34"/>
  <c r="Y616" i="34"/>
  <c r="DB616" i="34" s="1"/>
  <c r="DA616" i="34"/>
  <c r="DC655" i="34"/>
  <c r="DD655" i="34"/>
  <c r="X651" i="34"/>
  <c r="Y651" i="34"/>
  <c r="DB651" i="34" s="1"/>
  <c r="DG656" i="34"/>
  <c r="DH656" i="34"/>
  <c r="DC661" i="34"/>
  <c r="DD661" i="34"/>
  <c r="DE637" i="34"/>
  <c r="DF637" i="34"/>
  <c r="DF658" i="34"/>
  <c r="DE658" i="34"/>
  <c r="DE619" i="34"/>
  <c r="DF619" i="34"/>
  <c r="DH658" i="34"/>
  <c r="DG658" i="34"/>
  <c r="W646" i="34"/>
  <c r="CZ646" i="34" s="1"/>
  <c r="X646" i="34"/>
  <c r="DA646" i="34" s="1"/>
  <c r="W620" i="34"/>
  <c r="CZ620" i="34" s="1"/>
  <c r="DA620" i="34"/>
  <c r="X636" i="34"/>
  <c r="DA636" i="34" s="1"/>
  <c r="Y636" i="34"/>
  <c r="DB636" i="34" s="1"/>
  <c r="W616" i="34"/>
  <c r="CZ616" i="34" s="1"/>
  <c r="X661" i="34"/>
  <c r="DA661" i="34" s="1"/>
  <c r="DG654" i="34"/>
  <c r="DH654" i="34"/>
  <c r="DF649" i="34"/>
  <c r="DE649" i="34"/>
  <c r="DF653" i="34"/>
  <c r="DE653" i="34"/>
  <c r="DH633" i="34"/>
  <c r="DG633" i="34"/>
  <c r="X638" i="34"/>
  <c r="DA638" i="34" s="1"/>
  <c r="W638" i="34"/>
  <c r="CZ638" i="34" s="1"/>
  <c r="Y627" i="34"/>
  <c r="DB627" i="34" s="1"/>
  <c r="W627" i="34"/>
  <c r="CZ627" i="34" s="1"/>
  <c r="X630" i="34"/>
  <c r="DA630" i="34" s="1"/>
  <c r="Y630" i="34"/>
  <c r="DB630" i="34" s="1"/>
  <c r="X648" i="34"/>
  <c r="DA648" i="34" s="1"/>
  <c r="W648" i="34"/>
  <c r="CZ648" i="34" s="1"/>
  <c r="X655" i="34"/>
  <c r="DA655" i="34" s="1"/>
  <c r="Y655" i="34"/>
  <c r="DB655" i="34" s="1"/>
  <c r="W660" i="34"/>
  <c r="CZ660" i="34" s="1"/>
  <c r="DA660" i="34"/>
  <c r="DG632" i="34"/>
  <c r="DG628" i="34"/>
  <c r="DE644" i="34"/>
  <c r="DG625" i="34"/>
  <c r="DF624" i="34"/>
  <c r="DE625" i="34"/>
  <c r="DE632" i="34"/>
  <c r="DD640" i="34"/>
  <c r="DG659" i="34"/>
  <c r="W636" i="34"/>
  <c r="CZ636" i="34" s="1"/>
  <c r="DC653" i="34"/>
  <c r="DD653" i="34"/>
  <c r="W658" i="34"/>
  <c r="CZ658" i="34" s="1"/>
  <c r="Y661" i="34"/>
  <c r="DB661" i="34" s="1"/>
  <c r="X663" i="34"/>
  <c r="DA663" i="34" s="1"/>
  <c r="Y648" i="34"/>
  <c r="DB648" i="34" s="1"/>
  <c r="Y638" i="34"/>
  <c r="DB638" i="34" s="1"/>
  <c r="X635" i="34"/>
  <c r="X631" i="34"/>
  <c r="DA631" i="34" s="1"/>
  <c r="W631" i="34"/>
  <c r="CZ631" i="34" s="1"/>
  <c r="X654" i="34"/>
  <c r="DA654" i="34" s="1"/>
  <c r="W654" i="34"/>
  <c r="CZ654" i="34" s="1"/>
  <c r="DG615" i="34"/>
  <c r="DH615" i="34"/>
  <c r="X643" i="34"/>
  <c r="DA643" i="34" s="1"/>
  <c r="Y643" i="34"/>
  <c r="DB643" i="34" s="1"/>
  <c r="DF615" i="34"/>
  <c r="DE615" i="34"/>
  <c r="Y624" i="34"/>
  <c r="DB624" i="34" s="1"/>
  <c r="W624" i="34"/>
  <c r="CZ624" i="34" s="1"/>
  <c r="W656" i="34"/>
  <c r="CZ656" i="34" s="1"/>
  <c r="X656" i="34"/>
  <c r="DA656" i="34" s="1"/>
  <c r="W619" i="34"/>
  <c r="CZ619" i="34" s="1"/>
  <c r="Y619" i="34"/>
  <c r="DB619" i="34" s="1"/>
  <c r="DH663" i="34"/>
  <c r="W643" i="34"/>
  <c r="CZ643" i="34" s="1"/>
  <c r="DC635" i="34"/>
  <c r="DC625" i="34"/>
  <c r="DC657" i="34"/>
  <c r="Y620" i="34"/>
  <c r="DB620" i="34" s="1"/>
  <c r="DG662" i="34"/>
  <c r="DH662" i="34"/>
  <c r="W663" i="34"/>
  <c r="CZ663" i="34" s="1"/>
  <c r="X641" i="34"/>
  <c r="DA641" i="34" s="1"/>
  <c r="Y641" i="34"/>
  <c r="DB641" i="34" s="1"/>
  <c r="Y621" i="34"/>
  <c r="DB621" i="34" s="1"/>
  <c r="W621" i="34"/>
  <c r="CZ621" i="34" s="1"/>
  <c r="X621" i="34"/>
  <c r="DA621" i="34" s="1"/>
  <c r="X647" i="34"/>
  <c r="DA647" i="34" s="1"/>
  <c r="W647" i="34"/>
  <c r="CZ647" i="34" s="1"/>
  <c r="Y640" i="34"/>
  <c r="DB640" i="34" s="1"/>
  <c r="X640" i="34"/>
  <c r="DA640" i="34" s="1"/>
  <c r="DA657" i="34"/>
  <c r="DA659" i="34"/>
  <c r="DG583" i="34"/>
  <c r="DH583" i="34"/>
  <c r="DH567" i="34"/>
  <c r="DG567" i="34"/>
  <c r="DD574" i="34"/>
  <c r="DC574" i="34"/>
  <c r="DG592" i="34"/>
  <c r="DH592" i="34"/>
  <c r="DD587" i="34"/>
  <c r="DC587" i="34"/>
  <c r="DG590" i="34"/>
  <c r="DH590" i="34"/>
  <c r="DH598" i="34"/>
  <c r="DG598" i="34"/>
  <c r="X576" i="34"/>
  <c r="DA576" i="34" s="1"/>
  <c r="Y576" i="34"/>
  <c r="DB576" i="34" s="1"/>
  <c r="DH576" i="34" s="1"/>
  <c r="X558" i="34"/>
  <c r="DA558" i="34" s="1"/>
  <c r="Y558" i="34"/>
  <c r="DB558" i="34" s="1"/>
  <c r="W558" i="34"/>
  <c r="CZ558" i="34" s="1"/>
  <c r="X578" i="34"/>
  <c r="DA578" i="34" s="1"/>
  <c r="Y578" i="34"/>
  <c r="DB578" i="34" s="1"/>
  <c r="X575" i="34"/>
  <c r="DA575" i="34" s="1"/>
  <c r="Y575" i="34"/>
  <c r="DB575" i="34" s="1"/>
  <c r="X597" i="34"/>
  <c r="W597" i="34"/>
  <c r="CZ597" i="34" s="1"/>
  <c r="DD556" i="34"/>
  <c r="DD566" i="34"/>
  <c r="DE580" i="34"/>
  <c r="DF577" i="34"/>
  <c r="DH595" i="34"/>
  <c r="DE573" i="34"/>
  <c r="W578" i="34"/>
  <c r="CZ578" i="34" s="1"/>
  <c r="DC578" i="34" s="1"/>
  <c r="DG552" i="34"/>
  <c r="DH552" i="34"/>
  <c r="DF595" i="34"/>
  <c r="DE595" i="34"/>
  <c r="X553" i="34"/>
  <c r="DA553" i="34" s="1"/>
  <c r="W553" i="34"/>
  <c r="CZ553" i="34" s="1"/>
  <c r="Y553" i="34"/>
  <c r="DB553" i="34" s="1"/>
  <c r="Y591" i="34"/>
  <c r="DB591" i="34" s="1"/>
  <c r="X591" i="34"/>
  <c r="DA591" i="34" s="1"/>
  <c r="W591" i="34"/>
  <c r="CZ591" i="34" s="1"/>
  <c r="X594" i="34"/>
  <c r="DA594" i="34" s="1"/>
  <c r="Y594" i="34"/>
  <c r="DB594" i="34" s="1"/>
  <c r="W594" i="34"/>
  <c r="CZ594" i="34" s="1"/>
  <c r="Y596" i="34"/>
  <c r="DB596" i="34" s="1"/>
  <c r="X596" i="34"/>
  <c r="DA596" i="34" s="1"/>
  <c r="DD584" i="34"/>
  <c r="W575" i="34"/>
  <c r="CZ575" i="34" s="1"/>
  <c r="DG585" i="34"/>
  <c r="DD596" i="34"/>
  <c r="DG573" i="34"/>
  <c r="DH573" i="34"/>
  <c r="DC592" i="34"/>
  <c r="DD592" i="34"/>
  <c r="DC595" i="34"/>
  <c r="DD595" i="34"/>
  <c r="DG593" i="34"/>
  <c r="DH593" i="34"/>
  <c r="DE589" i="34"/>
  <c r="DF589" i="34"/>
  <c r="DC583" i="34"/>
  <c r="DD583" i="34"/>
  <c r="X570" i="34"/>
  <c r="DA570" i="34" s="1"/>
  <c r="W570" i="34"/>
  <c r="CZ570" i="34" s="1"/>
  <c r="X562" i="34"/>
  <c r="DA562" i="34" s="1"/>
  <c r="Y562" i="34"/>
  <c r="DB562" i="34" s="1"/>
  <c r="Y565" i="34"/>
  <c r="DB565" i="34" s="1"/>
  <c r="DG565" i="34" s="1"/>
  <c r="W565" i="34"/>
  <c r="CZ565" i="34" s="1"/>
  <c r="X565" i="34"/>
  <c r="DA565" i="34" s="1"/>
  <c r="X550" i="34"/>
  <c r="DA550" i="34" s="1"/>
  <c r="W550" i="34"/>
  <c r="CZ550" i="34" s="1"/>
  <c r="Y550" i="34"/>
  <c r="DB550" i="34" s="1"/>
  <c r="Y586" i="34"/>
  <c r="DB586" i="34" s="1"/>
  <c r="W586" i="34"/>
  <c r="CZ586" i="34" s="1"/>
  <c r="X586" i="34"/>
  <c r="DA586" i="34" s="1"/>
  <c r="X588" i="34"/>
  <c r="Y588" i="34" s="1"/>
  <c r="DB588" i="34" s="1"/>
  <c r="W588" i="34"/>
  <c r="CZ588" i="34" s="1"/>
  <c r="DG560" i="34"/>
  <c r="DH560" i="34"/>
  <c r="DH587" i="34"/>
  <c r="DG587" i="34"/>
  <c r="DG584" i="34"/>
  <c r="DH584" i="34"/>
  <c r="Y580" i="34"/>
  <c r="DB580" i="34" s="1"/>
  <c r="W580" i="34"/>
  <c r="CZ580" i="34" s="1"/>
  <c r="X572" i="34"/>
  <c r="DA572" i="34" s="1"/>
  <c r="W572" i="34"/>
  <c r="CZ572" i="34" s="1"/>
  <c r="Y572" i="34"/>
  <c r="DB572" i="34" s="1"/>
  <c r="Y561" i="34"/>
  <c r="DB561" i="34" s="1"/>
  <c r="W561" i="34"/>
  <c r="CZ561" i="34" s="1"/>
  <c r="X554" i="34"/>
  <c r="DA554" i="34" s="1"/>
  <c r="Y554" i="34"/>
  <c r="DB554" i="34" s="1"/>
  <c r="DE574" i="34"/>
  <c r="DF574" i="34"/>
  <c r="X569" i="34"/>
  <c r="DA569" i="34" s="1"/>
  <c r="Y569" i="34"/>
  <c r="DB569" i="34" s="1"/>
  <c r="X567" i="34"/>
  <c r="DA567" i="34" s="1"/>
  <c r="W567" i="34"/>
  <c r="CZ567" i="34" s="1"/>
  <c r="DC509" i="34"/>
  <c r="DD509" i="34"/>
  <c r="DG533" i="34"/>
  <c r="DH533" i="34"/>
  <c r="DE493" i="34"/>
  <c r="DF493" i="34"/>
  <c r="DG504" i="34"/>
  <c r="DH504" i="34"/>
  <c r="DF489" i="34"/>
  <c r="DE489" i="34"/>
  <c r="W532" i="34"/>
  <c r="CZ532" i="34" s="1"/>
  <c r="X532" i="34"/>
  <c r="DA532" i="34" s="1"/>
  <c r="Y532" i="34"/>
  <c r="DB532" i="34" s="1"/>
  <c r="DH510" i="34"/>
  <c r="DG510" i="34"/>
  <c r="DC506" i="34"/>
  <c r="DD506" i="34"/>
  <c r="DG516" i="34"/>
  <c r="DH516" i="34"/>
  <c r="DE506" i="34"/>
  <c r="DF506" i="34"/>
  <c r="DC515" i="34"/>
  <c r="DD515" i="34"/>
  <c r="DE509" i="34"/>
  <c r="DF509" i="34"/>
  <c r="DG522" i="34"/>
  <c r="DH522" i="34"/>
  <c r="DC500" i="34"/>
  <c r="DD500" i="34"/>
  <c r="DF510" i="34"/>
  <c r="DE510" i="34"/>
  <c r="DE499" i="34"/>
  <c r="DF499" i="34"/>
  <c r="DH488" i="34"/>
  <c r="DG488" i="34"/>
  <c r="DF522" i="34"/>
  <c r="DE522" i="34"/>
  <c r="X517" i="34"/>
  <c r="DA517" i="34" s="1"/>
  <c r="W517" i="34"/>
  <c r="CZ517" i="34" s="1"/>
  <c r="Y517" i="34"/>
  <c r="DB517" i="34" s="1"/>
  <c r="X487" i="34"/>
  <c r="DA487" i="34" s="1"/>
  <c r="W487" i="34"/>
  <c r="CZ487" i="34" s="1"/>
  <c r="Y487" i="34"/>
  <c r="DB487" i="34" s="1"/>
  <c r="DH493" i="34"/>
  <c r="DG493" i="34"/>
  <c r="DD486" i="34"/>
  <c r="DC486" i="34"/>
  <c r="DF530" i="34"/>
  <c r="DE530" i="34"/>
  <c r="DF519" i="34"/>
  <c r="DE519" i="34"/>
  <c r="DE488" i="34"/>
  <c r="DF488" i="34"/>
  <c r="X497" i="34"/>
  <c r="DA497" i="34" s="1"/>
  <c r="Y497" i="34"/>
  <c r="DB497" i="34" s="1"/>
  <c r="W497" i="34"/>
  <c r="CZ497" i="34" s="1"/>
  <c r="X502" i="34"/>
  <c r="DA502" i="34" s="1"/>
  <c r="W502" i="34"/>
  <c r="CZ502" i="34" s="1"/>
  <c r="Y502" i="34"/>
  <c r="DB502" i="34" s="1"/>
  <c r="DG519" i="34"/>
  <c r="DH519" i="34"/>
  <c r="DE486" i="34"/>
  <c r="DF486" i="34"/>
  <c r="X529" i="34"/>
  <c r="DA529" i="34" s="1"/>
  <c r="Y529" i="34"/>
  <c r="DB529" i="34" s="1"/>
  <c r="W529" i="34"/>
  <c r="CZ529" i="34" s="1"/>
  <c r="DD501" i="34"/>
  <c r="DC501" i="34"/>
  <c r="DG509" i="34"/>
  <c r="DH509" i="34"/>
  <c r="DH527" i="34"/>
  <c r="DG527" i="34"/>
  <c r="DD527" i="34"/>
  <c r="DC527" i="34"/>
  <c r="X518" i="34"/>
  <c r="DA518" i="34" s="1"/>
  <c r="W518" i="34"/>
  <c r="CZ518" i="34" s="1"/>
  <c r="Y518" i="34"/>
  <c r="DB518" i="34" s="1"/>
  <c r="DC503" i="34"/>
  <c r="DD503" i="34"/>
  <c r="X508" i="34"/>
  <c r="DA508" i="34" s="1"/>
  <c r="Y508" i="34"/>
  <c r="DB508" i="34" s="1"/>
  <c r="W508" i="34"/>
  <c r="CZ508" i="34" s="1"/>
  <c r="DE526" i="34"/>
  <c r="DF526" i="34"/>
  <c r="DF515" i="34"/>
  <c r="DE515" i="34"/>
  <c r="Y521" i="34"/>
  <c r="DB521" i="34" s="1"/>
  <c r="X521" i="34"/>
  <c r="DA521" i="34" s="1"/>
  <c r="W521" i="34"/>
  <c r="CZ521" i="34" s="1"/>
  <c r="DH512" i="34"/>
  <c r="DC505" i="34"/>
  <c r="DC496" i="34"/>
  <c r="DE507" i="34"/>
  <c r="DG530" i="34"/>
  <c r="DG503" i="34"/>
  <c r="DG523" i="34"/>
  <c r="DG500" i="34"/>
  <c r="W489" i="34"/>
  <c r="CZ489" i="34" s="1"/>
  <c r="DG498" i="34"/>
  <c r="DG525" i="34"/>
  <c r="DF528" i="34"/>
  <c r="W498" i="34"/>
  <c r="CZ498" i="34" s="1"/>
  <c r="W499" i="34"/>
  <c r="CZ499" i="34" s="1"/>
  <c r="X504" i="34"/>
  <c r="DA504" i="34" s="1"/>
  <c r="Y499" i="34"/>
  <c r="DB499" i="34" s="1"/>
  <c r="DF503" i="34"/>
  <c r="DF500" i="34"/>
  <c r="DG435" i="34"/>
  <c r="DH435" i="34"/>
  <c r="DC428" i="34"/>
  <c r="DD428" i="34"/>
  <c r="DE435" i="34"/>
  <c r="DF435" i="34"/>
  <c r="DH450" i="34"/>
  <c r="DG450" i="34"/>
  <c r="X451" i="34"/>
  <c r="DA451" i="34" s="1"/>
  <c r="Y451" i="34"/>
  <c r="DB451" i="34" s="1"/>
  <c r="W451" i="34"/>
  <c r="CZ451" i="34" s="1"/>
  <c r="Y470" i="34"/>
  <c r="DB470" i="34" s="1"/>
  <c r="W470" i="34"/>
  <c r="CZ470" i="34" s="1"/>
  <c r="X470" i="34"/>
  <c r="DA470" i="34" s="1"/>
  <c r="W458" i="34"/>
  <c r="CZ458" i="34" s="1"/>
  <c r="X458" i="34"/>
  <c r="DA458" i="34" s="1"/>
  <c r="Y458" i="34"/>
  <c r="DB458" i="34" s="1"/>
  <c r="W469" i="34"/>
  <c r="CZ469" i="34" s="1"/>
  <c r="X469" i="34"/>
  <c r="DA469" i="34" s="1"/>
  <c r="Y469" i="34"/>
  <c r="DB469" i="34" s="1"/>
  <c r="DH429" i="34"/>
  <c r="DG429" i="34"/>
  <c r="DC433" i="34"/>
  <c r="DD433" i="34"/>
  <c r="DD455" i="34"/>
  <c r="DC455" i="34"/>
  <c r="DE441" i="34"/>
  <c r="DF441" i="34"/>
  <c r="DC444" i="34"/>
  <c r="DD444" i="34"/>
  <c r="DC459" i="34"/>
  <c r="DD459" i="34"/>
  <c r="DH467" i="34"/>
  <c r="DG467" i="34"/>
  <c r="W440" i="34"/>
  <c r="CZ440" i="34" s="1"/>
  <c r="X440" i="34"/>
  <c r="DA440" i="34" s="1"/>
  <c r="Y440" i="34"/>
  <c r="DB440" i="34" s="1"/>
  <c r="Y425" i="34"/>
  <c r="DB425" i="34" s="1"/>
  <c r="X425" i="34"/>
  <c r="DA425" i="34" s="1"/>
  <c r="W425" i="34"/>
  <c r="CZ425" i="34" s="1"/>
  <c r="X434" i="34"/>
  <c r="DA434" i="34" s="1"/>
  <c r="Y434" i="34"/>
  <c r="DB434" i="34" s="1"/>
  <c r="W434" i="34"/>
  <c r="CZ434" i="34" s="1"/>
  <c r="W462" i="34"/>
  <c r="CZ462" i="34" s="1"/>
  <c r="X462" i="34"/>
  <c r="DA462" i="34" s="1"/>
  <c r="Y462" i="34"/>
  <c r="DB462" i="34" s="1"/>
  <c r="DC430" i="34"/>
  <c r="DD430" i="34"/>
  <c r="DE427" i="34"/>
  <c r="DF427" i="34"/>
  <c r="DG453" i="34"/>
  <c r="DH453" i="34"/>
  <c r="W443" i="34"/>
  <c r="CZ443" i="34" s="1"/>
  <c r="Y443" i="34"/>
  <c r="DB443" i="34" s="1"/>
  <c r="X443" i="34"/>
  <c r="DA443" i="34" s="1"/>
  <c r="X466" i="34"/>
  <c r="DA466" i="34" s="1"/>
  <c r="W466" i="34"/>
  <c r="CZ466" i="34" s="1"/>
  <c r="Y466" i="34"/>
  <c r="DB466" i="34" s="1"/>
  <c r="DD445" i="34"/>
  <c r="DC445" i="34"/>
  <c r="DC427" i="34"/>
  <c r="DD427" i="34"/>
  <c r="DD429" i="34"/>
  <c r="DC429" i="34"/>
  <c r="DF445" i="34"/>
  <c r="DE445" i="34"/>
  <c r="DC448" i="34"/>
  <c r="DD448" i="34"/>
  <c r="DF437" i="34"/>
  <c r="DE437" i="34"/>
  <c r="X447" i="34"/>
  <c r="DA447" i="34" s="1"/>
  <c r="W447" i="34"/>
  <c r="CZ447" i="34" s="1"/>
  <c r="Y447" i="34"/>
  <c r="DB447" i="34" s="1"/>
  <c r="Y438" i="34"/>
  <c r="DB438" i="34" s="1"/>
  <c r="X438" i="34"/>
  <c r="DA438" i="34" s="1"/>
  <c r="W438" i="34"/>
  <c r="CZ438" i="34" s="1"/>
  <c r="DD457" i="34"/>
  <c r="DD463" i="34"/>
  <c r="DD437" i="34"/>
  <c r="DC435" i="34"/>
  <c r="DG449" i="34"/>
  <c r="DC366" i="34"/>
  <c r="DD366" i="34"/>
  <c r="DH386" i="34"/>
  <c r="DG386" i="34"/>
  <c r="DH382" i="34"/>
  <c r="DG382" i="34"/>
  <c r="DF373" i="34"/>
  <c r="DE373" i="34"/>
  <c r="DC377" i="34"/>
  <c r="DD377" i="34"/>
  <c r="DH393" i="34"/>
  <c r="DG393" i="34"/>
  <c r="DD396" i="34"/>
  <c r="DC396" i="34"/>
  <c r="DC359" i="34"/>
  <c r="DD359" i="34"/>
  <c r="X390" i="34"/>
  <c r="DA390" i="34" s="1"/>
  <c r="W390" i="34"/>
  <c r="CZ390" i="34" s="1"/>
  <c r="Y390" i="34"/>
  <c r="DB390" i="34" s="1"/>
  <c r="X375" i="34"/>
  <c r="DA375" i="34" s="1"/>
  <c r="Y375" i="34"/>
  <c r="DB375" i="34" s="1"/>
  <c r="W375" i="34"/>
  <c r="CZ375" i="34" s="1"/>
  <c r="Y376" i="34"/>
  <c r="DB376" i="34" s="1"/>
  <c r="W376" i="34"/>
  <c r="CZ376" i="34" s="1"/>
  <c r="X376" i="34"/>
  <c r="DA376" i="34" s="1"/>
  <c r="X397" i="34"/>
  <c r="DA397" i="34" s="1"/>
  <c r="W397" i="34"/>
  <c r="CZ397" i="34" s="1"/>
  <c r="Y397" i="34"/>
  <c r="DB397" i="34" s="1"/>
  <c r="DF389" i="34"/>
  <c r="DE389" i="34"/>
  <c r="DD382" i="34"/>
  <c r="DC382" i="34"/>
  <c r="DD374" i="34"/>
  <c r="DC374" i="34"/>
  <c r="DF399" i="34"/>
  <c r="DE399" i="34"/>
  <c r="W360" i="34"/>
  <c r="CZ360" i="34" s="1"/>
  <c r="Y360" i="34"/>
  <c r="DB360" i="34" s="1"/>
  <c r="X360" i="34"/>
  <c r="DA360" i="34" s="1"/>
  <c r="Y405" i="34"/>
  <c r="DB405" i="34" s="1"/>
  <c r="X405" i="34"/>
  <c r="DA405" i="34" s="1"/>
  <c r="W405" i="34"/>
  <c r="CZ405" i="34" s="1"/>
  <c r="DC373" i="34"/>
  <c r="DD373" i="34"/>
  <c r="DC368" i="34"/>
  <c r="DD368" i="34"/>
  <c r="DE385" i="34"/>
  <c r="DF385" i="34"/>
  <c r="DD403" i="34"/>
  <c r="DC403" i="34"/>
  <c r="DG407" i="34"/>
  <c r="DH407" i="34"/>
  <c r="DF403" i="34"/>
  <c r="DE403" i="34"/>
  <c r="DF383" i="34"/>
  <c r="DE383" i="34"/>
  <c r="Y378" i="34"/>
  <c r="DB378" i="34" s="1"/>
  <c r="X378" i="34"/>
  <c r="DA378" i="34" s="1"/>
  <c r="W378" i="34"/>
  <c r="CZ378" i="34" s="1"/>
  <c r="X362" i="34"/>
  <c r="DA362" i="34" s="1"/>
  <c r="W362" i="34"/>
  <c r="CZ362" i="34" s="1"/>
  <c r="Y362" i="34"/>
  <c r="DB362" i="34" s="1"/>
  <c r="W367" i="34"/>
  <c r="CZ367" i="34" s="1"/>
  <c r="X367" i="34"/>
  <c r="DA367" i="34" s="1"/>
  <c r="Y367" i="34"/>
  <c r="DB367" i="34" s="1"/>
  <c r="X394" i="34"/>
  <c r="DA394" i="34" s="1"/>
  <c r="Y394" i="34"/>
  <c r="DB394" i="34" s="1"/>
  <c r="W394" i="34"/>
  <c r="CZ394" i="34" s="1"/>
  <c r="Y398" i="34"/>
  <c r="DB398" i="34" s="1"/>
  <c r="X398" i="34"/>
  <c r="DA398" i="34" s="1"/>
  <c r="W398" i="34"/>
  <c r="CZ398" i="34" s="1"/>
  <c r="DH385" i="34"/>
  <c r="DG385" i="34"/>
  <c r="DH391" i="34"/>
  <c r="DG391" i="34"/>
  <c r="DG368" i="34"/>
  <c r="DH368" i="34"/>
  <c r="DH403" i="34"/>
  <c r="DG403" i="34"/>
  <c r="DD393" i="34"/>
  <c r="DC393" i="34"/>
  <c r="DE401" i="34"/>
  <c r="DF401" i="34"/>
  <c r="DF380" i="34"/>
  <c r="DE380" i="34"/>
  <c r="X365" i="34"/>
  <c r="DA365" i="34" s="1"/>
  <c r="Y365" i="34"/>
  <c r="DB365" i="34" s="1"/>
  <c r="W365" i="34"/>
  <c r="CZ365" i="34" s="1"/>
  <c r="X379" i="34"/>
  <c r="DA379" i="34" s="1"/>
  <c r="W379" i="34"/>
  <c r="CZ379" i="34" s="1"/>
  <c r="Y379" i="34"/>
  <c r="DB379" i="34" s="1"/>
  <c r="W363" i="34"/>
  <c r="CZ363" i="34" s="1"/>
  <c r="X363" i="34"/>
  <c r="DA363" i="34" s="1"/>
  <c r="Y363" i="34"/>
  <c r="DB363" i="34" s="1"/>
  <c r="X402" i="34"/>
  <c r="DA402" i="34" s="1"/>
  <c r="Y402" i="34"/>
  <c r="DB402" i="34" s="1"/>
  <c r="W402" i="34"/>
  <c r="CZ402" i="34" s="1"/>
  <c r="W406" i="34"/>
  <c r="CZ406" i="34" s="1"/>
  <c r="X406" i="34"/>
  <c r="DA406" i="34" s="1"/>
  <c r="Y406" i="34"/>
  <c r="DB406" i="34" s="1"/>
  <c r="DD325" i="34"/>
  <c r="DC325" i="34"/>
  <c r="DC318" i="34"/>
  <c r="DD318" i="34"/>
  <c r="DD314" i="34"/>
  <c r="DC314" i="34"/>
  <c r="DG318" i="34"/>
  <c r="DH318" i="34"/>
  <c r="DE328" i="34"/>
  <c r="DF328" i="34"/>
  <c r="DH322" i="34"/>
  <c r="DG322" i="34"/>
  <c r="DD300" i="34"/>
  <c r="DC300" i="34"/>
  <c r="DD315" i="34"/>
  <c r="DC315" i="34"/>
  <c r="DC303" i="34"/>
  <c r="DD303" i="34"/>
  <c r="DC323" i="34"/>
  <c r="DD323" i="34"/>
  <c r="DG301" i="34"/>
  <c r="DH301" i="34"/>
  <c r="DC332" i="34"/>
  <c r="DD332" i="34"/>
  <c r="DG298" i="34"/>
  <c r="DH298" i="34"/>
  <c r="DC327" i="34"/>
  <c r="DD327" i="34"/>
  <c r="DE301" i="34"/>
  <c r="DF301" i="34"/>
  <c r="X324" i="34"/>
  <c r="DA324" i="34" s="1"/>
  <c r="W324" i="34"/>
  <c r="CZ324" i="34" s="1"/>
  <c r="Y324" i="34"/>
  <c r="DB324" i="34" s="1"/>
  <c r="DF310" i="34"/>
  <c r="DE310" i="34"/>
  <c r="DE327" i="34"/>
  <c r="DF327" i="34"/>
  <c r="Y307" i="34"/>
  <c r="DB307" i="34" s="1"/>
  <c r="X307" i="34"/>
  <c r="DA307" i="34" s="1"/>
  <c r="W307" i="34"/>
  <c r="CZ307" i="34" s="1"/>
  <c r="DF309" i="34"/>
  <c r="DE309" i="34"/>
  <c r="W331" i="34"/>
  <c r="CZ331" i="34" s="1"/>
  <c r="X331" i="34"/>
  <c r="DA331" i="34" s="1"/>
  <c r="Y331" i="34"/>
  <c r="DB331" i="34" s="1"/>
  <c r="X338" i="34"/>
  <c r="DA338" i="34" s="1"/>
  <c r="Y338" i="34"/>
  <c r="DB338" i="34" s="1"/>
  <c r="W338" i="34"/>
  <c r="CZ338" i="34" s="1"/>
  <c r="X342" i="34"/>
  <c r="DA342" i="34" s="1"/>
  <c r="Y342" i="34"/>
  <c r="DB342" i="34" s="1"/>
  <c r="W342" i="34"/>
  <c r="CZ342" i="34" s="1"/>
  <c r="W344" i="34"/>
  <c r="CZ344" i="34" s="1"/>
  <c r="X344" i="34"/>
  <c r="DA344" i="34" s="1"/>
  <c r="Y344" i="34"/>
  <c r="DB344" i="34" s="1"/>
  <c r="DD317" i="34"/>
  <c r="DC317" i="34"/>
  <c r="DG310" i="34"/>
  <c r="DH310" i="34"/>
  <c r="DC322" i="34"/>
  <c r="DD322" i="34"/>
  <c r="DG313" i="34"/>
  <c r="DH313" i="34"/>
  <c r="DC337" i="34"/>
  <c r="DD337" i="34"/>
  <c r="DC333" i="34"/>
  <c r="DD333" i="34"/>
  <c r="DF304" i="34"/>
  <c r="DE304" i="34"/>
  <c r="X319" i="34"/>
  <c r="DA319" i="34" s="1"/>
  <c r="W319" i="34"/>
  <c r="CZ319" i="34" s="1"/>
  <c r="Y319" i="34"/>
  <c r="DB319" i="34" s="1"/>
  <c r="X299" i="34"/>
  <c r="DA299" i="34" s="1"/>
  <c r="Y299" i="34"/>
  <c r="DB299" i="34" s="1"/>
  <c r="W299" i="34"/>
  <c r="CZ299" i="34" s="1"/>
  <c r="X326" i="34"/>
  <c r="DA326" i="34" s="1"/>
  <c r="Y326" i="34"/>
  <c r="DB326" i="34" s="1"/>
  <c r="W326" i="34"/>
  <c r="CZ326" i="34" s="1"/>
  <c r="DC328" i="34"/>
  <c r="DD328" i="34"/>
  <c r="DG300" i="34"/>
  <c r="DH300" i="34"/>
  <c r="DG315" i="34"/>
  <c r="DH315" i="34"/>
  <c r="DD321" i="34"/>
  <c r="DC321" i="34"/>
  <c r="DH321" i="34"/>
  <c r="DG321" i="34"/>
  <c r="Y312" i="34"/>
  <c r="DB312" i="34" s="1"/>
  <c r="W312" i="34"/>
  <c r="CZ312" i="34" s="1"/>
  <c r="X312" i="34"/>
  <c r="DA312" i="34" s="1"/>
  <c r="X329" i="34"/>
  <c r="DA329" i="34" s="1"/>
  <c r="W329" i="34"/>
  <c r="CZ329" i="34" s="1"/>
  <c r="Y329" i="34"/>
  <c r="DB329" i="34" s="1"/>
  <c r="W296" i="34"/>
  <c r="CZ296" i="34" s="1"/>
  <c r="X296" i="34"/>
  <c r="DA296" i="34" s="1"/>
  <c r="Y296" i="34"/>
  <c r="DB296" i="34" s="1"/>
  <c r="X330" i="34"/>
  <c r="DA330" i="34" s="1"/>
  <c r="Y330" i="34"/>
  <c r="DB330" i="34" s="1"/>
  <c r="W330" i="34"/>
  <c r="CZ330" i="34" s="1"/>
  <c r="X339" i="34"/>
  <c r="DA339" i="34" s="1"/>
  <c r="Y339" i="34"/>
  <c r="DB339" i="34" s="1"/>
  <c r="W339" i="34"/>
  <c r="CZ339" i="34" s="1"/>
  <c r="DD244" i="34"/>
  <c r="DC244" i="34"/>
  <c r="DD239" i="34"/>
  <c r="DC239" i="34"/>
  <c r="DD264" i="34"/>
  <c r="DC264" i="34"/>
  <c r="DG259" i="34"/>
  <c r="DH259" i="34"/>
  <c r="DG266" i="34"/>
  <c r="DH266" i="34"/>
  <c r="DG270" i="34"/>
  <c r="DH270" i="34"/>
  <c r="DD275" i="34"/>
  <c r="DC275" i="34"/>
  <c r="DD272" i="34"/>
  <c r="DC272" i="34"/>
  <c r="DC274" i="34"/>
  <c r="DD274" i="34"/>
  <c r="DD235" i="34"/>
  <c r="DC235" i="34"/>
  <c r="Y236" i="34"/>
  <c r="DB236" i="34" s="1"/>
  <c r="W236" i="34"/>
  <c r="CZ236" i="34" s="1"/>
  <c r="X236" i="34"/>
  <c r="DA236" i="34" s="1"/>
  <c r="X233" i="34"/>
  <c r="DA233" i="34" s="1"/>
  <c r="W233" i="34"/>
  <c r="CZ233" i="34" s="1"/>
  <c r="Y233" i="34"/>
  <c r="DB233" i="34" s="1"/>
  <c r="X273" i="34"/>
  <c r="DA273" i="34" s="1"/>
  <c r="W273" i="34"/>
  <c r="CZ273" i="34" s="1"/>
  <c r="Y273" i="34"/>
  <c r="DB273" i="34" s="1"/>
  <c r="DH253" i="34"/>
  <c r="DG253" i="34"/>
  <c r="DG239" i="34"/>
  <c r="DH239" i="34"/>
  <c r="DG237" i="34"/>
  <c r="DH237" i="34"/>
  <c r="DC248" i="34"/>
  <c r="DD248" i="34"/>
  <c r="DH254" i="34"/>
  <c r="DG254" i="34"/>
  <c r="DD276" i="34"/>
  <c r="DC276" i="34"/>
  <c r="DC278" i="34"/>
  <c r="DD278" i="34"/>
  <c r="X249" i="34"/>
  <c r="DA249" i="34" s="1"/>
  <c r="Y249" i="34"/>
  <c r="DB249" i="34" s="1"/>
  <c r="W249" i="34"/>
  <c r="CZ249" i="34" s="1"/>
  <c r="W277" i="34"/>
  <c r="CZ277" i="34" s="1"/>
  <c r="X277" i="34"/>
  <c r="DA277" i="34" s="1"/>
  <c r="Y277" i="34"/>
  <c r="DB277" i="34" s="1"/>
  <c r="DC266" i="34"/>
  <c r="DD266" i="34"/>
  <c r="DH247" i="34"/>
  <c r="DG247" i="34"/>
  <c r="DH271" i="34"/>
  <c r="DG271" i="34"/>
  <c r="W261" i="34"/>
  <c r="CZ261" i="34" s="1"/>
  <c r="Y261" i="34"/>
  <c r="DB261" i="34" s="1"/>
  <c r="X261" i="34"/>
  <c r="DA261" i="34" s="1"/>
  <c r="W234" i="34"/>
  <c r="CZ234" i="34" s="1"/>
  <c r="X234" i="34"/>
  <c r="DA234" i="34" s="1"/>
  <c r="Y234" i="34"/>
  <c r="DB234" i="34" s="1"/>
  <c r="Y281" i="34"/>
  <c r="X281" i="34"/>
  <c r="W281" i="34" s="1"/>
  <c r="DD253" i="34"/>
  <c r="DC253" i="34"/>
  <c r="DD243" i="34"/>
  <c r="DC243" i="34"/>
  <c r="DF239" i="34"/>
  <c r="DE239" i="34"/>
  <c r="DD263" i="34"/>
  <c r="DC263" i="34"/>
  <c r="DC271" i="34"/>
  <c r="DD271" i="34"/>
  <c r="DD268" i="34"/>
  <c r="DC268" i="34"/>
  <c r="X241" i="34"/>
  <c r="DA241" i="34" s="1"/>
  <c r="Y241" i="34"/>
  <c r="DB241" i="34" s="1"/>
  <c r="W241" i="34"/>
  <c r="CZ241" i="34" s="1"/>
  <c r="DF254" i="34"/>
  <c r="DE254" i="34"/>
  <c r="X250" i="34"/>
  <c r="DA250" i="34" s="1"/>
  <c r="W250" i="34"/>
  <c r="CZ250" i="34" s="1"/>
  <c r="Y250" i="34"/>
  <c r="DB250" i="34" s="1"/>
  <c r="X269" i="34"/>
  <c r="DA269" i="34" s="1"/>
  <c r="Y269" i="34"/>
  <c r="DB269" i="34" s="1"/>
  <c r="W269" i="34"/>
  <c r="CZ269" i="34" s="1"/>
  <c r="DG110" i="34"/>
  <c r="DH110" i="34"/>
  <c r="DG115" i="34"/>
  <c r="DH115" i="34"/>
  <c r="DG139" i="34"/>
  <c r="DH139" i="34"/>
  <c r="DF117" i="34"/>
  <c r="DE117" i="34"/>
  <c r="X132" i="34"/>
  <c r="DA132" i="34" s="1"/>
  <c r="Y132" i="34"/>
  <c r="DB132" i="34" s="1"/>
  <c r="W132" i="34"/>
  <c r="CZ132" i="34" s="1"/>
  <c r="X128" i="34"/>
  <c r="DA128" i="34" s="1"/>
  <c r="Y128" i="34"/>
  <c r="DB128" i="34" s="1"/>
  <c r="W128" i="34"/>
  <c r="CZ128" i="34" s="1"/>
  <c r="DF135" i="34"/>
  <c r="DE135" i="34"/>
  <c r="DD114" i="34"/>
  <c r="DC114" i="34"/>
  <c r="DF110" i="34"/>
  <c r="DE110" i="34"/>
  <c r="DG127" i="34"/>
  <c r="DH127" i="34"/>
  <c r="DD119" i="34"/>
  <c r="DC119" i="34"/>
  <c r="DG149" i="34"/>
  <c r="DH149" i="34"/>
  <c r="DF154" i="34"/>
  <c r="DE154" i="34"/>
  <c r="DE108" i="34"/>
  <c r="DF108" i="34"/>
  <c r="X126" i="34"/>
  <c r="DA126" i="34" s="1"/>
  <c r="Y126" i="34"/>
  <c r="DB126" i="34" s="1"/>
  <c r="W126" i="34"/>
  <c r="CZ126" i="34" s="1"/>
  <c r="X109" i="34"/>
  <c r="DA109" i="34" s="1"/>
  <c r="W109" i="34"/>
  <c r="CZ109" i="34" s="1"/>
  <c r="Y109" i="34"/>
  <c r="DB109" i="34" s="1"/>
  <c r="Y140" i="34"/>
  <c r="DB140" i="34" s="1"/>
  <c r="X140" i="34"/>
  <c r="DA140" i="34" s="1"/>
  <c r="W140" i="34"/>
  <c r="CZ140" i="34" s="1"/>
  <c r="Y151" i="34"/>
  <c r="DB151" i="34" s="1"/>
  <c r="X151" i="34"/>
  <c r="DA151" i="34" s="1"/>
  <c r="W151" i="34"/>
  <c r="CZ151" i="34" s="1"/>
  <c r="DD138" i="34"/>
  <c r="DC138" i="34"/>
  <c r="DD137" i="34"/>
  <c r="DC137" i="34"/>
  <c r="DH118" i="34"/>
  <c r="DG118" i="34"/>
  <c r="DE112" i="34"/>
  <c r="DF112" i="34"/>
  <c r="DH141" i="34"/>
  <c r="DG141" i="34"/>
  <c r="DD141" i="34"/>
  <c r="DC141" i="34"/>
  <c r="DG124" i="34"/>
  <c r="DH124" i="34"/>
  <c r="DE142" i="34"/>
  <c r="DF142" i="34"/>
  <c r="DF119" i="34"/>
  <c r="DE119" i="34"/>
  <c r="Y134" i="34"/>
  <c r="DB134" i="34" s="1"/>
  <c r="W134" i="34"/>
  <c r="CZ134" i="34" s="1"/>
  <c r="X134" i="34"/>
  <c r="DA134" i="34" s="1"/>
  <c r="W144" i="34"/>
  <c r="CZ144" i="34" s="1"/>
  <c r="X144" i="34"/>
  <c r="DA144" i="34" s="1"/>
  <c r="Y144" i="34"/>
  <c r="DB144" i="34" s="1"/>
  <c r="DD118" i="34"/>
  <c r="DC118" i="34"/>
  <c r="DG123" i="34"/>
  <c r="DH123" i="34"/>
  <c r="DH116" i="34"/>
  <c r="DG116" i="34"/>
  <c r="DC149" i="34"/>
  <c r="DD149" i="34"/>
  <c r="DF106" i="34"/>
  <c r="DE106" i="34"/>
  <c r="DF127" i="34"/>
  <c r="DE127" i="34"/>
  <c r="X148" i="34"/>
  <c r="DA148" i="34" s="1"/>
  <c r="Y148" i="34"/>
  <c r="DB148" i="34" s="1"/>
  <c r="W148" i="34"/>
  <c r="CZ148" i="34" s="1"/>
  <c r="Y152" i="34"/>
  <c r="DB152" i="34" s="1"/>
  <c r="X152" i="34"/>
  <c r="DA152" i="34" s="1"/>
  <c r="W152" i="34"/>
  <c r="CZ152" i="34" s="1"/>
  <c r="DD110" i="34"/>
  <c r="DH113" i="34"/>
  <c r="W47" i="34"/>
  <c r="CZ47" i="34" s="1"/>
  <c r="Y66" i="34"/>
  <c r="DB66" i="34" s="1"/>
  <c r="W78" i="34"/>
  <c r="CZ78" i="34" s="1"/>
  <c r="DC78" i="34" s="1"/>
  <c r="W66" i="34"/>
  <c r="CZ66" i="34" s="1"/>
  <c r="W53" i="34"/>
  <c r="CZ53" i="34" s="1"/>
  <c r="W86" i="34"/>
  <c r="CZ86" i="34" s="1"/>
  <c r="Y47" i="34"/>
  <c r="DB47" i="34" s="1"/>
  <c r="DH47" i="34" s="1"/>
  <c r="DE47" i="34"/>
  <c r="DN214" i="37"/>
  <c r="DK214" i="37"/>
  <c r="DK404" i="37"/>
  <c r="DN404" i="37"/>
  <c r="DN658" i="37"/>
  <c r="DK658" i="37"/>
  <c r="DK277" i="37"/>
  <c r="DN277" i="37"/>
  <c r="DK652" i="37"/>
  <c r="DN652" i="37"/>
  <c r="DN659" i="37"/>
  <c r="DK659" i="37"/>
  <c r="DK468" i="37"/>
  <c r="DN468" i="37"/>
  <c r="DJ632" i="37"/>
  <c r="DJ624" i="37"/>
  <c r="DJ652" i="37"/>
  <c r="DJ646" i="37"/>
  <c r="DJ660" i="37"/>
  <c r="DJ597" i="37"/>
  <c r="DJ596" i="37"/>
  <c r="DJ595" i="37"/>
  <c r="DJ594" i="37"/>
  <c r="DJ593" i="37"/>
  <c r="DJ592" i="37"/>
  <c r="DJ591" i="37"/>
  <c r="DJ590" i="37"/>
  <c r="DJ588" i="37"/>
  <c r="DJ598" i="37"/>
  <c r="DJ589" i="37"/>
  <c r="DJ585" i="37"/>
  <c r="DJ584" i="37"/>
  <c r="DJ583" i="37"/>
  <c r="DJ582" i="37"/>
  <c r="DJ581" i="37"/>
  <c r="DJ580" i="37"/>
  <c r="DJ579" i="37"/>
  <c r="DJ578" i="37"/>
  <c r="DJ577" i="37"/>
  <c r="DJ576" i="37"/>
  <c r="DJ575" i="37"/>
  <c r="DJ586" i="37"/>
  <c r="DJ587" i="37"/>
  <c r="DJ574" i="37"/>
  <c r="DJ567" i="37"/>
  <c r="DJ560" i="37"/>
  <c r="DJ556" i="37"/>
  <c r="DJ566" i="37"/>
  <c r="DJ561" i="37"/>
  <c r="DJ555" i="37"/>
  <c r="DJ572" i="37"/>
  <c r="DJ571" i="37"/>
  <c r="DJ570" i="37"/>
  <c r="DJ569" i="37"/>
  <c r="DJ565" i="37"/>
  <c r="DJ564" i="37"/>
  <c r="DJ563" i="37"/>
  <c r="DJ562" i="37"/>
  <c r="DJ554" i="37"/>
  <c r="DJ553" i="37"/>
  <c r="DJ573" i="37"/>
  <c r="DJ568" i="37"/>
  <c r="DJ559" i="37"/>
  <c r="DJ558" i="37"/>
  <c r="DJ557" i="37"/>
  <c r="BT553" i="37"/>
  <c r="DJ552" i="37"/>
  <c r="DJ551" i="37"/>
  <c r="DJ550" i="37"/>
  <c r="DJ616" i="37"/>
  <c r="DJ615" i="37"/>
  <c r="DJ622" i="37"/>
  <c r="DJ628" i="37"/>
  <c r="DJ626" i="37"/>
  <c r="DJ637" i="37"/>
  <c r="DJ631" i="37"/>
  <c r="DJ640" i="37"/>
  <c r="DJ644" i="37"/>
  <c r="DJ648" i="37"/>
  <c r="DJ663" i="37"/>
  <c r="DJ658" i="37"/>
  <c r="DI152" i="37"/>
  <c r="DI151" i="37"/>
  <c r="DI150" i="37"/>
  <c r="DI149" i="37"/>
  <c r="DI148" i="37"/>
  <c r="DI147" i="37"/>
  <c r="DI146" i="37"/>
  <c r="DI145" i="37"/>
  <c r="DI144" i="37"/>
  <c r="DI143" i="37"/>
  <c r="DI142" i="37"/>
  <c r="DI141" i="37"/>
  <c r="DI140" i="37"/>
  <c r="DI139" i="37"/>
  <c r="DI138" i="37"/>
  <c r="DI137" i="37"/>
  <c r="DI136" i="37"/>
  <c r="DI135" i="37"/>
  <c r="DI153" i="37"/>
  <c r="DI154" i="37"/>
  <c r="DI123" i="37"/>
  <c r="DI130" i="37"/>
  <c r="DI126" i="37"/>
  <c r="DI124" i="37"/>
  <c r="DI121" i="37"/>
  <c r="DI120" i="37"/>
  <c r="DI119" i="37"/>
  <c r="DI118" i="37"/>
  <c r="DI110" i="37"/>
  <c r="DI109" i="37"/>
  <c r="DI108" i="37"/>
  <c r="DI107" i="37"/>
  <c r="DI106" i="37"/>
  <c r="DI129" i="37"/>
  <c r="DI125" i="37"/>
  <c r="DI115" i="37"/>
  <c r="DI114" i="37"/>
  <c r="DI113" i="37"/>
  <c r="DI134" i="37"/>
  <c r="DI133" i="37"/>
  <c r="DI132" i="37"/>
  <c r="DI128" i="37"/>
  <c r="DI116" i="37"/>
  <c r="DI112" i="37"/>
  <c r="DI131" i="37"/>
  <c r="DI127" i="37"/>
  <c r="DI122" i="37"/>
  <c r="DI117" i="37"/>
  <c r="DI111" i="37"/>
  <c r="DM93" i="37"/>
  <c r="DM79" i="37"/>
  <c r="DM66" i="37"/>
  <c r="DO194" i="37"/>
  <c r="DO215" i="37"/>
  <c r="DO180" i="37"/>
  <c r="BT111" i="37"/>
  <c r="BT131" i="37"/>
  <c r="BT152" i="37"/>
  <c r="BT148" i="37"/>
  <c r="BT144" i="37"/>
  <c r="BT140" i="37"/>
  <c r="BT136" i="37"/>
  <c r="BT153" i="37"/>
  <c r="BT113" i="37"/>
  <c r="BT114" i="37"/>
  <c r="BT115" i="37"/>
  <c r="BT123" i="37"/>
  <c r="BT130" i="37"/>
  <c r="BT135" i="37"/>
  <c r="BT132" i="37"/>
  <c r="BT116" i="37"/>
  <c r="BT128" i="37"/>
  <c r="BT151" i="37"/>
  <c r="BT147" i="37"/>
  <c r="BT143" i="37"/>
  <c r="BT139" i="37"/>
  <c r="BT156" i="37"/>
  <c r="BT126" i="37"/>
  <c r="BT117" i="37"/>
  <c r="BT112" i="37"/>
  <c r="BT150" i="37"/>
  <c r="BT146" i="37"/>
  <c r="BT142" i="37"/>
  <c r="BT138" i="37"/>
  <c r="BT155" i="37"/>
  <c r="BT154" i="37"/>
  <c r="BT125" i="37"/>
  <c r="BT129" i="37"/>
  <c r="BT110" i="37"/>
  <c r="BT118" i="37"/>
  <c r="BT119" i="37"/>
  <c r="BT120" i="37"/>
  <c r="BT121" i="37"/>
  <c r="BT124" i="37"/>
  <c r="BT133" i="37"/>
  <c r="BT122" i="37"/>
  <c r="BT127" i="37"/>
  <c r="BT149" i="37"/>
  <c r="BT145" i="37"/>
  <c r="BT141" i="37"/>
  <c r="BT137" i="37"/>
  <c r="BT134" i="37"/>
  <c r="DP550" i="37"/>
  <c r="BT551" i="37"/>
  <c r="DP573" i="37"/>
  <c r="DP567" i="37"/>
  <c r="DP558" i="37"/>
  <c r="DP574" i="37"/>
  <c r="DP564" i="37"/>
  <c r="DP577" i="37"/>
  <c r="DP581" i="37"/>
  <c r="DP585" i="37"/>
  <c r="DP586" i="37"/>
  <c r="DP590" i="37"/>
  <c r="DP598" i="37"/>
  <c r="DJ429" i="37"/>
  <c r="DJ424" i="37"/>
  <c r="DJ430" i="37"/>
  <c r="DJ432" i="37"/>
  <c r="DJ435" i="37"/>
  <c r="DJ442" i="37"/>
  <c r="DJ446" i="37"/>
  <c r="DJ450" i="37"/>
  <c r="DJ454" i="37"/>
  <c r="DJ458" i="37"/>
  <c r="DJ470" i="37"/>
  <c r="DJ464" i="37"/>
  <c r="DJ468" i="37"/>
  <c r="DI362" i="37"/>
  <c r="DI373" i="37"/>
  <c r="DI380" i="37"/>
  <c r="DI364" i="37"/>
  <c r="DI369" i="37"/>
  <c r="DI368" i="37"/>
  <c r="DI385" i="37"/>
  <c r="DI389" i="37"/>
  <c r="DI393" i="37"/>
  <c r="DI397" i="37"/>
  <c r="DI401" i="37"/>
  <c r="DI405" i="37"/>
  <c r="DP233" i="37"/>
  <c r="DP238" i="37"/>
  <c r="DP244" i="37"/>
  <c r="DP250" i="37"/>
  <c r="DP251" i="37"/>
  <c r="DP253" i="37"/>
  <c r="DP257" i="37"/>
  <c r="DP261" i="37"/>
  <c r="DP265" i="37"/>
  <c r="DP269" i="37"/>
  <c r="DP273" i="37"/>
  <c r="DP277" i="37"/>
  <c r="DI618" i="37"/>
  <c r="DI624" i="37"/>
  <c r="DI628" i="37"/>
  <c r="DI620" i="37"/>
  <c r="DI633" i="37"/>
  <c r="DI639" i="37"/>
  <c r="DI641" i="37"/>
  <c r="DI645" i="37"/>
  <c r="DI650" i="37"/>
  <c r="DI653" i="37"/>
  <c r="DI656" i="37"/>
  <c r="DI660" i="37"/>
  <c r="DP218" i="37"/>
  <c r="DP206" i="37"/>
  <c r="DP197" i="37"/>
  <c r="DP171" i="37"/>
  <c r="DM73" i="37"/>
  <c r="DM76" i="37"/>
  <c r="DM59" i="37"/>
  <c r="DO218" i="37"/>
  <c r="DO189" i="37"/>
  <c r="DO210" i="37"/>
  <c r="DL77" i="37"/>
  <c r="DQ77" i="37" s="1"/>
  <c r="DO552" i="37"/>
  <c r="DO557" i="37"/>
  <c r="DO554" i="37"/>
  <c r="DO565" i="37"/>
  <c r="DO561" i="37"/>
  <c r="DO573" i="37"/>
  <c r="DO577" i="37"/>
  <c r="DO581" i="37"/>
  <c r="DO585" i="37"/>
  <c r="DO588" i="37"/>
  <c r="DO592" i="37"/>
  <c r="DO596" i="37"/>
  <c r="DP231" i="37"/>
  <c r="DO231" i="37"/>
  <c r="DO230" i="37"/>
  <c r="DP230" i="37"/>
  <c r="DG50" i="37"/>
  <c r="DH50" i="37"/>
  <c r="DI425" i="37"/>
  <c r="DI435" i="37"/>
  <c r="DI428" i="37"/>
  <c r="DI440" i="37"/>
  <c r="DI442" i="37"/>
  <c r="DI446" i="37"/>
  <c r="DI450" i="37"/>
  <c r="DI454" i="37"/>
  <c r="DI458" i="37"/>
  <c r="DI433" i="37"/>
  <c r="DI465" i="37"/>
  <c r="DI469" i="37"/>
  <c r="DJ243" i="37"/>
  <c r="DJ233" i="37"/>
  <c r="DJ237" i="37"/>
  <c r="DJ248" i="37"/>
  <c r="DJ255" i="37"/>
  <c r="DJ259" i="37"/>
  <c r="DJ263" i="37"/>
  <c r="DJ267" i="37"/>
  <c r="DJ271" i="37"/>
  <c r="DJ275" i="37"/>
  <c r="DJ238" i="37"/>
  <c r="DJ251" i="37"/>
  <c r="DP308" i="37"/>
  <c r="DP300" i="37"/>
  <c r="DP315" i="37"/>
  <c r="DP319" i="37"/>
  <c r="DP323" i="37"/>
  <c r="DP327" i="37"/>
  <c r="DP331" i="37"/>
  <c r="DP335" i="37"/>
  <c r="DP339" i="37"/>
  <c r="DP307" i="37"/>
  <c r="DP313" i="37"/>
  <c r="DP305" i="37"/>
  <c r="DO496" i="37"/>
  <c r="DO495" i="37"/>
  <c r="DO509" i="37"/>
  <c r="DO513" i="37"/>
  <c r="DO486" i="37"/>
  <c r="DO490" i="37"/>
  <c r="DO501" i="37"/>
  <c r="DO506" i="37"/>
  <c r="DO517" i="37"/>
  <c r="DO521" i="37"/>
  <c r="DO525" i="37"/>
  <c r="DO529" i="37"/>
  <c r="BT362" i="37"/>
  <c r="DJ377" i="37"/>
  <c r="DJ362" i="37"/>
  <c r="DJ373" i="37"/>
  <c r="DJ380" i="37"/>
  <c r="DJ370" i="37"/>
  <c r="DJ376" i="37"/>
  <c r="DJ384" i="37"/>
  <c r="DJ388" i="37"/>
  <c r="DJ392" i="37"/>
  <c r="DJ396" i="37"/>
  <c r="DJ400" i="37"/>
  <c r="DJ404" i="37"/>
  <c r="DI241" i="37"/>
  <c r="DI240" i="37"/>
  <c r="DI237" i="37"/>
  <c r="DI239" i="37"/>
  <c r="DI247" i="37"/>
  <c r="DI254" i="37"/>
  <c r="DI258" i="37"/>
  <c r="DI262" i="37"/>
  <c r="DI266" i="37"/>
  <c r="DI270" i="37"/>
  <c r="DI274" i="37"/>
  <c r="DI278" i="37"/>
  <c r="DM615" i="37"/>
  <c r="DM619" i="37"/>
  <c r="DM627" i="37"/>
  <c r="DM635" i="37"/>
  <c r="DM621" i="37"/>
  <c r="DM651" i="37"/>
  <c r="DM639" i="37"/>
  <c r="DM650" i="37"/>
  <c r="DM647" i="37"/>
  <c r="DM653" i="37"/>
  <c r="DM662" i="37"/>
  <c r="DM659" i="37"/>
  <c r="DM402" i="37"/>
  <c r="DM407" i="37"/>
  <c r="DP179" i="37"/>
  <c r="DP200" i="37"/>
  <c r="DP174" i="37"/>
  <c r="DM85" i="37"/>
  <c r="DM88" i="37"/>
  <c r="DM71" i="37"/>
  <c r="DM58" i="37"/>
  <c r="DL187" i="37"/>
  <c r="DQ187" i="37" s="1"/>
  <c r="DL181" i="37"/>
  <c r="DQ181" i="37" s="1"/>
  <c r="DL189" i="37"/>
  <c r="DQ189" i="37" s="1"/>
  <c r="DO192" i="37"/>
  <c r="DO213" i="37"/>
  <c r="DO186" i="37"/>
  <c r="DL73" i="37"/>
  <c r="DQ73" i="37" s="1"/>
  <c r="DL552" i="37"/>
  <c r="DQ552" i="37" s="1"/>
  <c r="DL566" i="37"/>
  <c r="DQ566" i="37" s="1"/>
  <c r="DL560" i="37"/>
  <c r="DQ560" i="37" s="1"/>
  <c r="DL558" i="37"/>
  <c r="DQ558" i="37" s="1"/>
  <c r="DL577" i="37"/>
  <c r="DQ577" i="37" s="1"/>
  <c r="DL565" i="37"/>
  <c r="DQ565" i="37" s="1"/>
  <c r="DL576" i="37"/>
  <c r="DQ576" i="37" s="1"/>
  <c r="DL581" i="37"/>
  <c r="DQ581" i="37" s="1"/>
  <c r="DL585" i="37"/>
  <c r="DQ585" i="37" s="1"/>
  <c r="DL595" i="37"/>
  <c r="DQ595" i="37" s="1"/>
  <c r="DL593" i="37"/>
  <c r="DQ593" i="37" s="1"/>
  <c r="DL598" i="37"/>
  <c r="DQ598" i="37" s="1"/>
  <c r="DM486" i="37"/>
  <c r="DM489" i="37"/>
  <c r="DM500" i="37"/>
  <c r="DM509" i="37"/>
  <c r="DM492" i="37"/>
  <c r="DM508" i="37"/>
  <c r="DM504" i="37"/>
  <c r="DM513" i="37"/>
  <c r="DM517" i="37"/>
  <c r="DM521" i="37"/>
  <c r="DM525" i="37"/>
  <c r="DM529" i="37"/>
  <c r="DM534" i="37"/>
  <c r="BT298" i="37"/>
  <c r="DM300" i="37"/>
  <c r="DM343" i="37"/>
  <c r="DM311" i="37"/>
  <c r="DM318" i="37"/>
  <c r="DM322" i="37"/>
  <c r="DM326" i="37"/>
  <c r="DM330" i="37"/>
  <c r="DM334" i="37"/>
  <c r="DM338" i="37"/>
  <c r="DM342" i="37"/>
  <c r="DM302" i="37"/>
  <c r="DM180" i="37"/>
  <c r="DM194" i="37"/>
  <c r="DM206" i="37"/>
  <c r="DG52" i="37"/>
  <c r="DH52" i="37"/>
  <c r="DP502" i="37"/>
  <c r="DP492" i="37"/>
  <c r="DP493" i="37"/>
  <c r="DP505" i="37"/>
  <c r="DP511" i="37"/>
  <c r="DP515" i="37"/>
  <c r="DP488" i="37"/>
  <c r="DP499" i="37"/>
  <c r="DP533" i="37"/>
  <c r="DP522" i="37"/>
  <c r="DP526" i="37"/>
  <c r="DP530" i="37"/>
  <c r="DO301" i="37"/>
  <c r="DO312" i="37"/>
  <c r="DO303" i="37"/>
  <c r="DO343" i="37"/>
  <c r="DO308" i="37"/>
  <c r="DO315" i="37"/>
  <c r="DO319" i="37"/>
  <c r="DO323" i="37"/>
  <c r="DO327" i="37"/>
  <c r="DO331" i="37"/>
  <c r="DO335" i="37"/>
  <c r="DO339" i="37"/>
  <c r="DL615" i="37"/>
  <c r="DQ615" i="37" s="1"/>
  <c r="DL618" i="37"/>
  <c r="DQ618" i="37" s="1"/>
  <c r="DL634" i="37"/>
  <c r="DQ634" i="37" s="1"/>
  <c r="DL625" i="37"/>
  <c r="DQ625" i="37" s="1"/>
  <c r="DL624" i="37"/>
  <c r="DQ624" i="37" s="1"/>
  <c r="DL636" i="37"/>
  <c r="DQ636" i="37" s="1"/>
  <c r="DL650" i="37"/>
  <c r="DQ650" i="37" s="1"/>
  <c r="DL642" i="37"/>
  <c r="DQ642" i="37" s="1"/>
  <c r="DL646" i="37"/>
  <c r="DQ646" i="37" s="1"/>
  <c r="DL656" i="37"/>
  <c r="DQ656" i="37" s="1"/>
  <c r="DL654" i="37"/>
  <c r="DQ654" i="37" s="1"/>
  <c r="DL658" i="37"/>
  <c r="DQ658" i="37" s="1"/>
  <c r="DL663" i="37"/>
  <c r="DQ663" i="37" s="1"/>
  <c r="DL370" i="37"/>
  <c r="DQ370" i="37" s="1"/>
  <c r="DL369" i="37"/>
  <c r="DQ369" i="37" s="1"/>
  <c r="DL366" i="37"/>
  <c r="DQ366" i="37" s="1"/>
  <c r="DL359" i="37"/>
  <c r="DQ359" i="37" s="1"/>
  <c r="DL363" i="37"/>
  <c r="DQ363" i="37" s="1"/>
  <c r="DL374" i="37"/>
  <c r="DQ374" i="37" s="1"/>
  <c r="DL381" i="37"/>
  <c r="DQ381" i="37" s="1"/>
  <c r="DL388" i="37"/>
  <c r="DQ388" i="37" s="1"/>
  <c r="DL392" i="37"/>
  <c r="DQ392" i="37" s="1"/>
  <c r="DL396" i="37"/>
  <c r="DQ396" i="37" s="1"/>
  <c r="DL400" i="37"/>
  <c r="DQ400" i="37" s="1"/>
  <c r="DL404" i="37"/>
  <c r="DQ404" i="37" s="1"/>
  <c r="DP208" i="37"/>
  <c r="DP203" i="37"/>
  <c r="DP184" i="37"/>
  <c r="DM65" i="37"/>
  <c r="DM68" i="37"/>
  <c r="DM50" i="37"/>
  <c r="DP468" i="37"/>
  <c r="DP467" i="37"/>
  <c r="DP466" i="37"/>
  <c r="DP465" i="37"/>
  <c r="DP464" i="37"/>
  <c r="DP470" i="37"/>
  <c r="DP469" i="37"/>
  <c r="DP461" i="37"/>
  <c r="DP439" i="37"/>
  <c r="DP432" i="37"/>
  <c r="DP463" i="37"/>
  <c r="DP438" i="37"/>
  <c r="DP462" i="37"/>
  <c r="DP460" i="37"/>
  <c r="DP459" i="37"/>
  <c r="DP458" i="37"/>
  <c r="DP457" i="37"/>
  <c r="DP456" i="37"/>
  <c r="DP455" i="37"/>
  <c r="DP454" i="37"/>
  <c r="DP453" i="37"/>
  <c r="DP452" i="37"/>
  <c r="DP451" i="37"/>
  <c r="DP450" i="37"/>
  <c r="DP449" i="37"/>
  <c r="DP448" i="37"/>
  <c r="DP447" i="37"/>
  <c r="DP446" i="37"/>
  <c r="DP445" i="37"/>
  <c r="DP444" i="37"/>
  <c r="DP443" i="37"/>
  <c r="DP442" i="37"/>
  <c r="DP441" i="37"/>
  <c r="DP437" i="37"/>
  <c r="DP436" i="37"/>
  <c r="DP435" i="37"/>
  <c r="DP434" i="37"/>
  <c r="DP440" i="37"/>
  <c r="DP431" i="37"/>
  <c r="DP430" i="37"/>
  <c r="DP429" i="37"/>
  <c r="DP433" i="37"/>
  <c r="DP425" i="37"/>
  <c r="DP424" i="37"/>
  <c r="DP423" i="37"/>
  <c r="DP422" i="37"/>
  <c r="DP428" i="37"/>
  <c r="DP426" i="37"/>
  <c r="DP427" i="37"/>
  <c r="BT423" i="37"/>
  <c r="DI188" i="37"/>
  <c r="DI172" i="37"/>
  <c r="DI183" i="37"/>
  <c r="DI190" i="37"/>
  <c r="DI194" i="37"/>
  <c r="DI198" i="37"/>
  <c r="DI202" i="37"/>
  <c r="DI218" i="37"/>
  <c r="DI176" i="37"/>
  <c r="DI207" i="37"/>
  <c r="DI211" i="37"/>
  <c r="DI215" i="37"/>
  <c r="DL180" i="37"/>
  <c r="DQ180" i="37" s="1"/>
  <c r="DL175" i="37"/>
  <c r="DQ175" i="37" s="1"/>
  <c r="DL185" i="37"/>
  <c r="DQ185" i="37" s="1"/>
  <c r="DO191" i="37"/>
  <c r="DO212" i="37"/>
  <c r="DO181" i="37"/>
  <c r="DL130" i="37"/>
  <c r="DQ130" i="37" s="1"/>
  <c r="DL127" i="37"/>
  <c r="DQ127" i="37" s="1"/>
  <c r="DL108" i="37"/>
  <c r="DQ108" i="37" s="1"/>
  <c r="DL119" i="37"/>
  <c r="DQ119" i="37" s="1"/>
  <c r="DL111" i="37"/>
  <c r="DQ111" i="37" s="1"/>
  <c r="DL129" i="37"/>
  <c r="DQ129" i="37" s="1"/>
  <c r="DL133" i="37"/>
  <c r="DQ133" i="37" s="1"/>
  <c r="DL137" i="37"/>
  <c r="DQ137" i="37" s="1"/>
  <c r="DL141" i="37"/>
  <c r="DQ141" i="37" s="1"/>
  <c r="DL145" i="37"/>
  <c r="DQ145" i="37" s="1"/>
  <c r="DL149" i="37"/>
  <c r="DQ149" i="37" s="1"/>
  <c r="DL123" i="37"/>
  <c r="DQ123" i="37" s="1"/>
  <c r="DM553" i="37"/>
  <c r="BT552" i="37"/>
  <c r="DM564" i="37"/>
  <c r="DM571" i="37"/>
  <c r="DM574" i="37"/>
  <c r="DM573" i="37"/>
  <c r="DM568" i="37"/>
  <c r="DM576" i="37"/>
  <c r="DM580" i="37"/>
  <c r="DM584" i="37"/>
  <c r="DM587" i="37"/>
  <c r="DM591" i="37"/>
  <c r="DM595" i="37"/>
  <c r="DL502" i="37"/>
  <c r="DQ502" i="37" s="1"/>
  <c r="DL513" i="37"/>
  <c r="DQ513" i="37" s="1"/>
  <c r="DL517" i="37"/>
  <c r="DQ517" i="37" s="1"/>
  <c r="DL506" i="37"/>
  <c r="DQ506" i="37" s="1"/>
  <c r="DL495" i="37"/>
  <c r="DQ495" i="37" s="1"/>
  <c r="DL488" i="37"/>
  <c r="DQ488" i="37" s="1"/>
  <c r="DL499" i="37"/>
  <c r="DQ499" i="37" s="1"/>
  <c r="DL507" i="37"/>
  <c r="DQ507" i="37" s="1"/>
  <c r="DL533" i="37"/>
  <c r="DQ533" i="37" s="1"/>
  <c r="DL522" i="37"/>
  <c r="DQ522" i="37" s="1"/>
  <c r="DL526" i="37"/>
  <c r="DQ526" i="37" s="1"/>
  <c r="DL530" i="37"/>
  <c r="DQ530" i="37" s="1"/>
  <c r="DL433" i="37"/>
  <c r="DQ433" i="37" s="1"/>
  <c r="DL425" i="37"/>
  <c r="DQ425" i="37" s="1"/>
  <c r="DL430" i="37"/>
  <c r="DQ430" i="37" s="1"/>
  <c r="DL463" i="37"/>
  <c r="DQ463" i="37" s="1"/>
  <c r="DL436" i="37"/>
  <c r="DQ436" i="37" s="1"/>
  <c r="DL443" i="37"/>
  <c r="DQ443" i="37" s="1"/>
  <c r="DL447" i="37"/>
  <c r="DQ447" i="37" s="1"/>
  <c r="DL451" i="37"/>
  <c r="DQ451" i="37" s="1"/>
  <c r="DL455" i="37"/>
  <c r="DQ455" i="37" s="1"/>
  <c r="DL459" i="37"/>
  <c r="DQ459" i="37" s="1"/>
  <c r="DL432" i="37"/>
  <c r="DQ432" i="37" s="1"/>
  <c r="DL465" i="37"/>
  <c r="DQ465" i="37" s="1"/>
  <c r="DL299" i="37"/>
  <c r="DQ299" i="37" s="1"/>
  <c r="DL296" i="37"/>
  <c r="DQ296" i="37" s="1"/>
  <c r="DL315" i="37"/>
  <c r="DQ315" i="37" s="1"/>
  <c r="DL319" i="37"/>
  <c r="DQ319" i="37" s="1"/>
  <c r="DL323" i="37"/>
  <c r="DQ323" i="37" s="1"/>
  <c r="DL327" i="37"/>
  <c r="DQ327" i="37" s="1"/>
  <c r="DL331" i="37"/>
  <c r="DQ331" i="37" s="1"/>
  <c r="DL335" i="37"/>
  <c r="DQ335" i="37" s="1"/>
  <c r="DL339" i="37"/>
  <c r="DQ339" i="37" s="1"/>
  <c r="DL307" i="37"/>
  <c r="DQ307" i="37" s="1"/>
  <c r="DL313" i="37"/>
  <c r="DQ313" i="37" s="1"/>
  <c r="DL305" i="37"/>
  <c r="DQ305" i="37" s="1"/>
  <c r="DM211" i="37"/>
  <c r="DM201" i="37"/>
  <c r="DM182" i="37"/>
  <c r="DP128" i="37"/>
  <c r="DP125" i="37"/>
  <c r="DP108" i="37"/>
  <c r="DP119" i="37"/>
  <c r="DP130" i="37"/>
  <c r="DP122" i="37"/>
  <c r="DP153" i="37"/>
  <c r="DP135" i="37"/>
  <c r="DP139" i="37"/>
  <c r="DP143" i="37"/>
  <c r="DP147" i="37"/>
  <c r="DP151" i="37"/>
  <c r="DO239" i="37"/>
  <c r="DO242" i="37"/>
  <c r="DO235" i="37"/>
  <c r="DO246" i="37"/>
  <c r="DO253" i="37"/>
  <c r="DO257" i="37"/>
  <c r="DO261" i="37"/>
  <c r="DO265" i="37"/>
  <c r="DO269" i="37"/>
  <c r="DO273" i="37"/>
  <c r="DO277" i="37"/>
  <c r="DJ621" i="37"/>
  <c r="BT618" i="37"/>
  <c r="DJ630" i="37"/>
  <c r="DJ635" i="37"/>
  <c r="DJ642" i="37"/>
  <c r="DJ656" i="37"/>
  <c r="DJ617" i="37"/>
  <c r="DJ625" i="37"/>
  <c r="DJ623" i="37"/>
  <c r="DJ629" i="37"/>
  <c r="DJ634" i="37"/>
  <c r="DJ638" i="37"/>
  <c r="DJ649" i="37"/>
  <c r="DJ641" i="37"/>
  <c r="DJ645" i="37"/>
  <c r="DJ650" i="37"/>
  <c r="DJ662" i="37"/>
  <c r="DJ659" i="37"/>
  <c r="DP207" i="37"/>
  <c r="DP202" i="37"/>
  <c r="DP183" i="37"/>
  <c r="DJ152" i="37"/>
  <c r="DJ151" i="37"/>
  <c r="DJ150" i="37"/>
  <c r="DJ149" i="37"/>
  <c r="DJ148" i="37"/>
  <c r="DJ147" i="37"/>
  <c r="DJ146" i="37"/>
  <c r="DJ145" i="37"/>
  <c r="DJ144" i="37"/>
  <c r="DJ143" i="37"/>
  <c r="DJ142" i="37"/>
  <c r="DJ141" i="37"/>
  <c r="DJ140" i="37"/>
  <c r="DJ139" i="37"/>
  <c r="DJ138" i="37"/>
  <c r="DJ137" i="37"/>
  <c r="DJ136" i="37"/>
  <c r="DJ135" i="37"/>
  <c r="DJ134" i="37"/>
  <c r="DJ133" i="37"/>
  <c r="DJ132" i="37"/>
  <c r="DJ131" i="37"/>
  <c r="DJ130" i="37"/>
  <c r="DJ129" i="37"/>
  <c r="DJ128" i="37"/>
  <c r="DJ127" i="37"/>
  <c r="DJ126" i="37"/>
  <c r="DJ125" i="37"/>
  <c r="DJ153" i="37"/>
  <c r="DJ154" i="37"/>
  <c r="DJ115" i="37"/>
  <c r="DJ114" i="37"/>
  <c r="DJ113" i="37"/>
  <c r="BT109" i="37"/>
  <c r="DJ116" i="37"/>
  <c r="DJ112" i="37"/>
  <c r="DJ123" i="37"/>
  <c r="DJ122" i="37"/>
  <c r="DJ117" i="37"/>
  <c r="DJ111" i="37"/>
  <c r="DJ124" i="37"/>
  <c r="DJ121" i="37"/>
  <c r="DJ120" i="37"/>
  <c r="DJ119" i="37"/>
  <c r="DJ118" i="37"/>
  <c r="DJ110" i="37"/>
  <c r="DJ109" i="37"/>
  <c r="DJ108" i="37"/>
  <c r="DJ107" i="37"/>
  <c r="DJ106" i="37"/>
  <c r="DM80" i="37"/>
  <c r="DM63" i="37"/>
  <c r="DI596" i="37"/>
  <c r="DI595" i="37"/>
  <c r="DI594" i="37"/>
  <c r="DI593" i="37"/>
  <c r="DI592" i="37"/>
  <c r="DI591" i="37"/>
  <c r="DI598" i="37"/>
  <c r="DI590" i="37"/>
  <c r="DI587" i="37"/>
  <c r="DI597" i="37"/>
  <c r="DI588" i="37"/>
  <c r="DI589" i="37"/>
  <c r="DI585" i="37"/>
  <c r="DI584" i="37"/>
  <c r="DI583" i="37"/>
  <c r="DI582" i="37"/>
  <c r="DI581" i="37"/>
  <c r="DI580" i="37"/>
  <c r="DI579" i="37"/>
  <c r="DI578" i="37"/>
  <c r="DI577" i="37"/>
  <c r="DI576" i="37"/>
  <c r="DI575" i="37"/>
  <c r="DI586" i="37"/>
  <c r="DI573" i="37"/>
  <c r="DI568" i="37"/>
  <c r="DI559" i="37"/>
  <c r="DI558" i="37"/>
  <c r="DI557" i="37"/>
  <c r="DI574" i="37"/>
  <c r="DI567" i="37"/>
  <c r="DI560" i="37"/>
  <c r="DI556" i="37"/>
  <c r="DI566" i="37"/>
  <c r="DI561" i="37"/>
  <c r="DI555" i="37"/>
  <c r="DI572" i="37"/>
  <c r="DI571" i="37"/>
  <c r="DI570" i="37"/>
  <c r="DI569" i="37"/>
  <c r="DI565" i="37"/>
  <c r="DI564" i="37"/>
  <c r="DI563" i="37"/>
  <c r="DI562" i="37"/>
  <c r="DI552" i="37"/>
  <c r="DI551" i="37"/>
  <c r="DI550" i="37"/>
  <c r="DI553" i="37"/>
  <c r="DI554" i="37"/>
  <c r="DO190" i="37"/>
  <c r="DO211" i="37"/>
  <c r="DO175" i="37"/>
  <c r="DP551" i="37"/>
  <c r="DP555" i="37"/>
  <c r="DP576" i="37"/>
  <c r="DP572" i="37"/>
  <c r="DP559" i="37"/>
  <c r="DP554" i="37"/>
  <c r="DP565" i="37"/>
  <c r="DP578" i="37"/>
  <c r="DP582" i="37"/>
  <c r="DP587" i="37"/>
  <c r="DP591" i="37"/>
  <c r="DP594" i="37"/>
  <c r="DP597" i="37"/>
  <c r="BT279" i="37"/>
  <c r="BT275" i="37"/>
  <c r="BT271" i="37"/>
  <c r="BT267" i="37"/>
  <c r="BT263" i="37"/>
  <c r="BT259" i="37"/>
  <c r="BT255" i="37"/>
  <c r="BT251" i="37"/>
  <c r="BT243" i="37"/>
  <c r="BT282" i="37"/>
  <c r="BT238" i="37"/>
  <c r="BT278" i="37"/>
  <c r="BT274" i="37"/>
  <c r="BT270" i="37"/>
  <c r="BT266" i="37"/>
  <c r="BT262" i="37"/>
  <c r="BT258" i="37"/>
  <c r="BT254" i="37"/>
  <c r="BT248" i="37"/>
  <c r="BT250" i="37"/>
  <c r="BT239" i="37"/>
  <c r="BT280" i="37"/>
  <c r="BT277" i="37"/>
  <c r="BT273" i="37"/>
  <c r="BT269" i="37"/>
  <c r="BT265" i="37"/>
  <c r="BT261" i="37"/>
  <c r="BT257" i="37"/>
  <c r="BT253" i="37"/>
  <c r="BT247" i="37"/>
  <c r="BT249" i="37"/>
  <c r="BT241" i="37"/>
  <c r="BT283" i="37"/>
  <c r="BT276" i="37"/>
  <c r="BT272" i="37"/>
  <c r="BT268" i="37"/>
  <c r="BT264" i="37"/>
  <c r="BT260" i="37"/>
  <c r="BT256" i="37"/>
  <c r="BT252" i="37"/>
  <c r="BT281" i="37"/>
  <c r="BT244" i="37"/>
  <c r="BT245" i="37"/>
  <c r="BT240" i="37"/>
  <c r="BT242" i="37"/>
  <c r="BT246" i="37"/>
  <c r="BT237" i="37"/>
  <c r="DO123" i="37"/>
  <c r="DO109" i="37"/>
  <c r="DO120" i="37"/>
  <c r="DO122" i="37"/>
  <c r="DO126" i="37"/>
  <c r="DO130" i="37"/>
  <c r="DO134" i="37"/>
  <c r="DO138" i="37"/>
  <c r="DO142" i="37"/>
  <c r="DO146" i="37"/>
  <c r="DO150" i="37"/>
  <c r="DC50" i="37"/>
  <c r="DD50" i="37"/>
  <c r="DJ46" i="37" s="1"/>
  <c r="DJ431" i="37"/>
  <c r="DJ425" i="37"/>
  <c r="DJ427" i="37"/>
  <c r="DJ439" i="37"/>
  <c r="DJ436" i="37"/>
  <c r="DJ443" i="37"/>
  <c r="DJ447" i="37"/>
  <c r="DJ451" i="37"/>
  <c r="DJ455" i="37"/>
  <c r="DJ459" i="37"/>
  <c r="DJ461" i="37"/>
  <c r="DJ465" i="37"/>
  <c r="DI359" i="37"/>
  <c r="DI363" i="37"/>
  <c r="DI374" i="37"/>
  <c r="DI381" i="37"/>
  <c r="DI370" i="37"/>
  <c r="DI376" i="37"/>
  <c r="DI377" i="37"/>
  <c r="DI386" i="37"/>
  <c r="DI390" i="37"/>
  <c r="DI394" i="37"/>
  <c r="DI398" i="37"/>
  <c r="DI402" i="37"/>
  <c r="DI407" i="37"/>
  <c r="DP245" i="37"/>
  <c r="BT234" i="37"/>
  <c r="DP234" i="37"/>
  <c r="DP240" i="37"/>
  <c r="DP247" i="37"/>
  <c r="DP254" i="37"/>
  <c r="DP258" i="37"/>
  <c r="DP262" i="37"/>
  <c r="DP266" i="37"/>
  <c r="DP270" i="37"/>
  <c r="DP274" i="37"/>
  <c r="DP278" i="37"/>
  <c r="DI619" i="37"/>
  <c r="DI622" i="37"/>
  <c r="DI635" i="37"/>
  <c r="DI629" i="37"/>
  <c r="DI626" i="37"/>
  <c r="DI634" i="37"/>
  <c r="DI640" i="37"/>
  <c r="DI643" i="37"/>
  <c r="DI646" i="37"/>
  <c r="DI651" i="37"/>
  <c r="DI654" i="37"/>
  <c r="DI657" i="37"/>
  <c r="DI661" i="37"/>
  <c r="DP214" i="37"/>
  <c r="DP176" i="37"/>
  <c r="DP193" i="37"/>
  <c r="DC83" i="37"/>
  <c r="DD83" i="37"/>
  <c r="DC67" i="37"/>
  <c r="DD67" i="37"/>
  <c r="DM57" i="37"/>
  <c r="DM60" i="37"/>
  <c r="DM46" i="37"/>
  <c r="DO201" i="37"/>
  <c r="DO182" i="37"/>
  <c r="DO188" i="37"/>
  <c r="DO662" i="37"/>
  <c r="DO663" i="37"/>
  <c r="DO659" i="37"/>
  <c r="DO660" i="37"/>
  <c r="DO656" i="37"/>
  <c r="DO661" i="37"/>
  <c r="DO657" i="37"/>
  <c r="DO655" i="37"/>
  <c r="DO654" i="37"/>
  <c r="DO653" i="37"/>
  <c r="DO652" i="37"/>
  <c r="DO651" i="37"/>
  <c r="DO650" i="37"/>
  <c r="DO649" i="37"/>
  <c r="DO658" i="37"/>
  <c r="DO641" i="37"/>
  <c r="DO639" i="37"/>
  <c r="DO638" i="37"/>
  <c r="DO637" i="37"/>
  <c r="DO636" i="37"/>
  <c r="DO635" i="37"/>
  <c r="DO634" i="37"/>
  <c r="DO630" i="37"/>
  <c r="DO629" i="37"/>
  <c r="DO643" i="37"/>
  <c r="DO648" i="37"/>
  <c r="DO647" i="37"/>
  <c r="DO646" i="37"/>
  <c r="DO645" i="37"/>
  <c r="DO644" i="37"/>
  <c r="DO642" i="37"/>
  <c r="DO640" i="37"/>
  <c r="DO628" i="37"/>
  <c r="DO627" i="37"/>
  <c r="DO619" i="37"/>
  <c r="DO618" i="37"/>
  <c r="DO617" i="37"/>
  <c r="DO616" i="37"/>
  <c r="DO624" i="37"/>
  <c r="DO623" i="37"/>
  <c r="DO622" i="37"/>
  <c r="DO631" i="37"/>
  <c r="DO625" i="37"/>
  <c r="DO621" i="37"/>
  <c r="DO633" i="37"/>
  <c r="DO632" i="37"/>
  <c r="DO626" i="37"/>
  <c r="DO620" i="37"/>
  <c r="DO615" i="37"/>
  <c r="DO556" i="37"/>
  <c r="DO553" i="37"/>
  <c r="DO558" i="37"/>
  <c r="DO562" i="37"/>
  <c r="DO569" i="37"/>
  <c r="DO566" i="37"/>
  <c r="DO574" i="37"/>
  <c r="DO578" i="37"/>
  <c r="DO582" i="37"/>
  <c r="DO597" i="37"/>
  <c r="DO589" i="37"/>
  <c r="DO593" i="37"/>
  <c r="DO598" i="37"/>
  <c r="DI422" i="37"/>
  <c r="DI426" i="37"/>
  <c r="DI427" i="37"/>
  <c r="DI432" i="37"/>
  <c r="DI436" i="37"/>
  <c r="DI443" i="37"/>
  <c r="DI447" i="37"/>
  <c r="DI451" i="37"/>
  <c r="DI455" i="37"/>
  <c r="DI459" i="37"/>
  <c r="DI438" i="37"/>
  <c r="DI466" i="37"/>
  <c r="DI470" i="37"/>
  <c r="DJ239" i="37"/>
  <c r="DJ234" i="37"/>
  <c r="DJ245" i="37"/>
  <c r="DJ252" i="37"/>
  <c r="DJ256" i="37"/>
  <c r="DJ260" i="37"/>
  <c r="DJ264" i="37"/>
  <c r="DJ268" i="37"/>
  <c r="DJ272" i="37"/>
  <c r="DJ276" i="37"/>
  <c r="DJ244" i="37"/>
  <c r="BT297" i="37"/>
  <c r="DP301" i="37"/>
  <c r="DP309" i="37"/>
  <c r="DP316" i="37"/>
  <c r="DP320" i="37"/>
  <c r="DP324" i="37"/>
  <c r="DP328" i="37"/>
  <c r="DP332" i="37"/>
  <c r="DP336" i="37"/>
  <c r="DP340" i="37"/>
  <c r="DP312" i="37"/>
  <c r="DP344" i="37"/>
  <c r="DP314" i="37"/>
  <c r="DO503" i="37"/>
  <c r="DO504" i="37"/>
  <c r="DO510" i="37"/>
  <c r="DO514" i="37"/>
  <c r="DO487" i="37"/>
  <c r="DO498" i="37"/>
  <c r="DO491" i="37"/>
  <c r="DO508" i="37"/>
  <c r="DO518" i="37"/>
  <c r="DO522" i="37"/>
  <c r="DO526" i="37"/>
  <c r="DO530" i="37"/>
  <c r="DJ366" i="37"/>
  <c r="DJ359" i="37"/>
  <c r="DJ363" i="37"/>
  <c r="DJ374" i="37"/>
  <c r="DJ381" i="37"/>
  <c r="DJ375" i="37"/>
  <c r="DJ407" i="37"/>
  <c r="DJ385" i="37"/>
  <c r="DJ389" i="37"/>
  <c r="DJ393" i="37"/>
  <c r="DJ397" i="37"/>
  <c r="DJ401" i="37"/>
  <c r="DJ405" i="37"/>
  <c r="DI233" i="37"/>
  <c r="DI242" i="37"/>
  <c r="DI238" i="37"/>
  <c r="DI243" i="37"/>
  <c r="DI248" i="37"/>
  <c r="DI255" i="37"/>
  <c r="DI259" i="37"/>
  <c r="DI263" i="37"/>
  <c r="DI267" i="37"/>
  <c r="DI271" i="37"/>
  <c r="DI275" i="37"/>
  <c r="DM616" i="37"/>
  <c r="BT617" i="37"/>
  <c r="DM624" i="37"/>
  <c r="DM628" i="37"/>
  <c r="DM620" i="37"/>
  <c r="DM625" i="37"/>
  <c r="DM636" i="37"/>
  <c r="DM643" i="37"/>
  <c r="DM644" i="37"/>
  <c r="DM648" i="37"/>
  <c r="DM654" i="37"/>
  <c r="DM656" i="37"/>
  <c r="DM660" i="37"/>
  <c r="BT378" i="37"/>
  <c r="BT379" i="37"/>
  <c r="BT380" i="37"/>
  <c r="BT381" i="37"/>
  <c r="BT382" i="37"/>
  <c r="BT383" i="37"/>
  <c r="BT375" i="37"/>
  <c r="BT404" i="37"/>
  <c r="BT400" i="37"/>
  <c r="BT396" i="37"/>
  <c r="BT392" i="37"/>
  <c r="BT388" i="37"/>
  <c r="BT371" i="37"/>
  <c r="BT372" i="37"/>
  <c r="BT373" i="37"/>
  <c r="BT374" i="37"/>
  <c r="BT384" i="37"/>
  <c r="BT409" i="37"/>
  <c r="BT403" i="37"/>
  <c r="BT399" i="37"/>
  <c r="BT395" i="37"/>
  <c r="BT391" i="37"/>
  <c r="BT387" i="37"/>
  <c r="BT408" i="37"/>
  <c r="BT376" i="37"/>
  <c r="BT363" i="37"/>
  <c r="BT364" i="37"/>
  <c r="BT407" i="37"/>
  <c r="BT402" i="37"/>
  <c r="BT398" i="37"/>
  <c r="BT394" i="37"/>
  <c r="BT390" i="37"/>
  <c r="BT386" i="37"/>
  <c r="BT366" i="37"/>
  <c r="BT367" i="37"/>
  <c r="BT368" i="37"/>
  <c r="BT370" i="37"/>
  <c r="BT365" i="37"/>
  <c r="BT369" i="37"/>
  <c r="BT405" i="37"/>
  <c r="BT401" i="37"/>
  <c r="BT397" i="37"/>
  <c r="BT393" i="37"/>
  <c r="BT389" i="37"/>
  <c r="BT385" i="37"/>
  <c r="BT406" i="37"/>
  <c r="BT377" i="37"/>
  <c r="DM371" i="37"/>
  <c r="DM378" i="37"/>
  <c r="DM382" i="37"/>
  <c r="DM365" i="37"/>
  <c r="DM366" i="37"/>
  <c r="DM406" i="37"/>
  <c r="DM387" i="37"/>
  <c r="DM391" i="37"/>
  <c r="DM395" i="37"/>
  <c r="DM399" i="37"/>
  <c r="DM403" i="37"/>
  <c r="DP217" i="37"/>
  <c r="DP204" i="37"/>
  <c r="DP196" i="37"/>
  <c r="DP170" i="37"/>
  <c r="DM69" i="37"/>
  <c r="DM72" i="37"/>
  <c r="DM52" i="37"/>
  <c r="DI533" i="37"/>
  <c r="DI534" i="37"/>
  <c r="DI532" i="37"/>
  <c r="DI531" i="37"/>
  <c r="DI530" i="37"/>
  <c r="DI529" i="37"/>
  <c r="DI528" i="37"/>
  <c r="DI527" i="37"/>
  <c r="DI526" i="37"/>
  <c r="DI525" i="37"/>
  <c r="DI524" i="37"/>
  <c r="DI523" i="37"/>
  <c r="DI522" i="37"/>
  <c r="DI521" i="37"/>
  <c r="DI520" i="37"/>
  <c r="DI519" i="37"/>
  <c r="DI518" i="37"/>
  <c r="DI517" i="37"/>
  <c r="DI516" i="37"/>
  <c r="DI515" i="37"/>
  <c r="DI514" i="37"/>
  <c r="DI513" i="37"/>
  <c r="DI512" i="37"/>
  <c r="DI511" i="37"/>
  <c r="DI510" i="37"/>
  <c r="DI508" i="37"/>
  <c r="DI506" i="37"/>
  <c r="DI504" i="37"/>
  <c r="DI495" i="37"/>
  <c r="DI494" i="37"/>
  <c r="DI493" i="37"/>
  <c r="DI503" i="37"/>
  <c r="DI496" i="37"/>
  <c r="DI492" i="37"/>
  <c r="DI509" i="37"/>
  <c r="DI507" i="37"/>
  <c r="DI502" i="37"/>
  <c r="DI497" i="37"/>
  <c r="DI491" i="37"/>
  <c r="DI505" i="37"/>
  <c r="DI501" i="37"/>
  <c r="DI500" i="37"/>
  <c r="DI499" i="37"/>
  <c r="DI498" i="37"/>
  <c r="DI490" i="37"/>
  <c r="DI489" i="37"/>
  <c r="DI488" i="37"/>
  <c r="DI487" i="37"/>
  <c r="DI486" i="37"/>
  <c r="DO405" i="37"/>
  <c r="DO404" i="37"/>
  <c r="DO403" i="37"/>
  <c r="DO402" i="37"/>
  <c r="DO401" i="37"/>
  <c r="DO400" i="37"/>
  <c r="DO399" i="37"/>
  <c r="DO398" i="37"/>
  <c r="DO397" i="37"/>
  <c r="DO396" i="37"/>
  <c r="DO395" i="37"/>
  <c r="DO394" i="37"/>
  <c r="DO393" i="37"/>
  <c r="DO392" i="37"/>
  <c r="DO391" i="37"/>
  <c r="DO390" i="37"/>
  <c r="DO389" i="37"/>
  <c r="DO388" i="37"/>
  <c r="DO387" i="37"/>
  <c r="DO386" i="37"/>
  <c r="DO385" i="37"/>
  <c r="DO384" i="37"/>
  <c r="DO383" i="37"/>
  <c r="DO406" i="37"/>
  <c r="DO407" i="37"/>
  <c r="DO375" i="37"/>
  <c r="DO370" i="37"/>
  <c r="DO364" i="37"/>
  <c r="DO382" i="37"/>
  <c r="DO381" i="37"/>
  <c r="DO380" i="37"/>
  <c r="DO379" i="37"/>
  <c r="DO378" i="37"/>
  <c r="DO374" i="37"/>
  <c r="DO373" i="37"/>
  <c r="DO372" i="37"/>
  <c r="DO371" i="37"/>
  <c r="DO363" i="37"/>
  <c r="DO362" i="37"/>
  <c r="DO361" i="37"/>
  <c r="DO360" i="37"/>
  <c r="DO359" i="37"/>
  <c r="DO377" i="37"/>
  <c r="DO368" i="37"/>
  <c r="DO367" i="37"/>
  <c r="DO366" i="37"/>
  <c r="DO376" i="37"/>
  <c r="DO369" i="37"/>
  <c r="DO365" i="37"/>
  <c r="DL216" i="37"/>
  <c r="DQ216" i="37" s="1"/>
  <c r="DL201" i="37"/>
  <c r="DQ201" i="37" s="1"/>
  <c r="DL182" i="37"/>
  <c r="DQ182" i="37" s="1"/>
  <c r="DO205" i="37"/>
  <c r="DO185" i="37"/>
  <c r="DO209" i="37"/>
  <c r="DL86" i="37"/>
  <c r="DQ86" i="37" s="1"/>
  <c r="DL554" i="37"/>
  <c r="DQ554" i="37" s="1"/>
  <c r="DL555" i="37"/>
  <c r="DQ555" i="37" s="1"/>
  <c r="DL574" i="37"/>
  <c r="DQ574" i="37" s="1"/>
  <c r="DL567" i="37"/>
  <c r="DQ567" i="37" s="1"/>
  <c r="DL559" i="37"/>
  <c r="DQ559" i="37" s="1"/>
  <c r="DL562" i="37"/>
  <c r="DQ562" i="37" s="1"/>
  <c r="DL569" i="37"/>
  <c r="DQ569" i="37" s="1"/>
  <c r="DL578" i="37"/>
  <c r="DQ578" i="37" s="1"/>
  <c r="DL582" i="37"/>
  <c r="DQ582" i="37" s="1"/>
  <c r="DL588" i="37"/>
  <c r="DQ588" i="37" s="1"/>
  <c r="DL587" i="37"/>
  <c r="DQ587" i="37" s="1"/>
  <c r="DL589" i="37"/>
  <c r="DQ589" i="37" s="1"/>
  <c r="DL597" i="37"/>
  <c r="DQ597" i="37" s="1"/>
  <c r="DM487" i="37"/>
  <c r="DM490" i="37"/>
  <c r="DM501" i="37"/>
  <c r="DM491" i="37"/>
  <c r="DM496" i="37"/>
  <c r="DM493" i="37"/>
  <c r="DM510" i="37"/>
  <c r="DM514" i="37"/>
  <c r="DM518" i="37"/>
  <c r="DM522" i="37"/>
  <c r="DM526" i="37"/>
  <c r="DM530" i="37"/>
  <c r="DM533" i="37"/>
  <c r="DM303" i="37"/>
  <c r="DM304" i="37"/>
  <c r="DM308" i="37"/>
  <c r="DM315" i="37"/>
  <c r="DM319" i="37"/>
  <c r="DM323" i="37"/>
  <c r="DM327" i="37"/>
  <c r="DM331" i="37"/>
  <c r="DM335" i="37"/>
  <c r="DM339" i="37"/>
  <c r="DM301" i="37"/>
  <c r="DM306" i="37"/>
  <c r="DM186" i="37"/>
  <c r="DM190" i="37"/>
  <c r="DM178" i="37"/>
  <c r="BT487" i="37"/>
  <c r="DP506" i="37"/>
  <c r="DP496" i="37"/>
  <c r="DP494" i="37"/>
  <c r="DP507" i="37"/>
  <c r="DP512" i="37"/>
  <c r="DP516" i="37"/>
  <c r="DP489" i="37"/>
  <c r="DP500" i="37"/>
  <c r="DP519" i="37"/>
  <c r="DP523" i="37"/>
  <c r="DP527" i="37"/>
  <c r="DP531" i="37"/>
  <c r="DO302" i="37"/>
  <c r="DO306" i="37"/>
  <c r="DO304" i="37"/>
  <c r="DO298" i="37"/>
  <c r="DO309" i="37"/>
  <c r="DO316" i="37"/>
  <c r="DO320" i="37"/>
  <c r="DO324" i="37"/>
  <c r="DO328" i="37"/>
  <c r="DO332" i="37"/>
  <c r="DO336" i="37"/>
  <c r="DO340" i="37"/>
  <c r="DL619" i="37"/>
  <c r="DQ619" i="37" s="1"/>
  <c r="DL627" i="37"/>
  <c r="DQ627" i="37" s="1"/>
  <c r="DL620" i="37"/>
  <c r="DQ620" i="37" s="1"/>
  <c r="DL632" i="37"/>
  <c r="DQ632" i="37" s="1"/>
  <c r="DL630" i="37"/>
  <c r="DQ630" i="37" s="1"/>
  <c r="DL637" i="37"/>
  <c r="DQ637" i="37" s="1"/>
  <c r="DL641" i="37"/>
  <c r="DQ641" i="37" s="1"/>
  <c r="DL643" i="37"/>
  <c r="DQ643" i="37" s="1"/>
  <c r="DL647" i="37"/>
  <c r="DQ647" i="37" s="1"/>
  <c r="DL651" i="37"/>
  <c r="DQ651" i="37" s="1"/>
  <c r="DL655" i="37"/>
  <c r="DQ655" i="37" s="1"/>
  <c r="DL659" i="37"/>
  <c r="DQ659" i="37" s="1"/>
  <c r="DL375" i="37"/>
  <c r="DQ375" i="37" s="1"/>
  <c r="DL376" i="37"/>
  <c r="DQ376" i="37" s="1"/>
  <c r="DL367" i="37"/>
  <c r="DQ367" i="37" s="1"/>
  <c r="DL360" i="37"/>
  <c r="DQ360" i="37" s="1"/>
  <c r="DL371" i="37"/>
  <c r="DQ371" i="37" s="1"/>
  <c r="DL378" i="37"/>
  <c r="DQ378" i="37" s="1"/>
  <c r="DL382" i="37"/>
  <c r="DQ382" i="37" s="1"/>
  <c r="DL389" i="37"/>
  <c r="DQ389" i="37" s="1"/>
  <c r="DL393" i="37"/>
  <c r="DQ393" i="37" s="1"/>
  <c r="DL397" i="37"/>
  <c r="DQ397" i="37" s="1"/>
  <c r="DL401" i="37"/>
  <c r="DQ401" i="37" s="1"/>
  <c r="DL405" i="37"/>
  <c r="DQ405" i="37" s="1"/>
  <c r="DP178" i="37"/>
  <c r="DP199" i="37"/>
  <c r="DP173" i="37"/>
  <c r="DM55" i="37"/>
  <c r="DM48" i="37"/>
  <c r="DM86" i="37"/>
  <c r="DI177" i="37"/>
  <c r="DI217" i="37"/>
  <c r="DI173" i="37"/>
  <c r="DI184" i="37"/>
  <c r="DI191" i="37"/>
  <c r="DI195" i="37"/>
  <c r="DI199" i="37"/>
  <c r="DI203" i="37"/>
  <c r="DI175" i="37"/>
  <c r="DI180" i="37"/>
  <c r="DI208" i="37"/>
  <c r="DI212" i="37"/>
  <c r="DI216" i="37"/>
  <c r="DL215" i="37"/>
  <c r="DQ215" i="37" s="1"/>
  <c r="DL200" i="37"/>
  <c r="DQ200" i="37" s="1"/>
  <c r="DL174" i="37"/>
  <c r="DQ174" i="37" s="1"/>
  <c r="DO203" i="37"/>
  <c r="DO184" i="37"/>
  <c r="DO208" i="37"/>
  <c r="DL112" i="37"/>
  <c r="DQ112" i="37" s="1"/>
  <c r="DL113" i="37"/>
  <c r="DQ113" i="37" s="1"/>
  <c r="DL131" i="37"/>
  <c r="DQ131" i="37" s="1"/>
  <c r="DL109" i="37"/>
  <c r="DQ109" i="37" s="1"/>
  <c r="DL120" i="37"/>
  <c r="DQ120" i="37" s="1"/>
  <c r="DL117" i="37"/>
  <c r="DQ117" i="37" s="1"/>
  <c r="DL124" i="37"/>
  <c r="DQ124" i="37" s="1"/>
  <c r="DL134" i="37"/>
  <c r="DQ134" i="37" s="1"/>
  <c r="DL138" i="37"/>
  <c r="DQ138" i="37" s="1"/>
  <c r="DL142" i="37"/>
  <c r="DQ142" i="37" s="1"/>
  <c r="DL146" i="37"/>
  <c r="DQ146" i="37" s="1"/>
  <c r="DL150" i="37"/>
  <c r="DQ150" i="37" s="1"/>
  <c r="DL154" i="37"/>
  <c r="DQ154" i="37" s="1"/>
  <c r="DM554" i="37"/>
  <c r="DM552" i="37"/>
  <c r="DM565" i="37"/>
  <c r="DM555" i="37"/>
  <c r="DM556" i="37"/>
  <c r="DM557" i="37"/>
  <c r="DM572" i="37"/>
  <c r="DM577" i="37"/>
  <c r="DM581" i="37"/>
  <c r="DM585" i="37"/>
  <c r="DM586" i="37"/>
  <c r="DM592" i="37"/>
  <c r="DM596" i="37"/>
  <c r="DL510" i="37"/>
  <c r="DQ510" i="37" s="1"/>
  <c r="DL514" i="37"/>
  <c r="DQ514" i="37" s="1"/>
  <c r="DL492" i="37"/>
  <c r="DQ492" i="37" s="1"/>
  <c r="DL508" i="37"/>
  <c r="DQ508" i="37" s="1"/>
  <c r="DL504" i="37"/>
  <c r="DQ504" i="37" s="1"/>
  <c r="DL489" i="37"/>
  <c r="DQ489" i="37" s="1"/>
  <c r="DL500" i="37"/>
  <c r="DQ500" i="37" s="1"/>
  <c r="DL509" i="37"/>
  <c r="DQ509" i="37" s="1"/>
  <c r="DL519" i="37"/>
  <c r="DQ519" i="37" s="1"/>
  <c r="DL523" i="37"/>
  <c r="DQ523" i="37" s="1"/>
  <c r="DL527" i="37"/>
  <c r="DQ527" i="37" s="1"/>
  <c r="DL531" i="37"/>
  <c r="DQ531" i="37" s="1"/>
  <c r="DL422" i="37"/>
  <c r="DQ422" i="37" s="1"/>
  <c r="DL426" i="37"/>
  <c r="DQ426" i="37" s="1"/>
  <c r="DL431" i="37"/>
  <c r="DQ431" i="37" s="1"/>
  <c r="DL464" i="37"/>
  <c r="DQ464" i="37" s="1"/>
  <c r="DL437" i="37"/>
  <c r="DQ437" i="37" s="1"/>
  <c r="DL444" i="37"/>
  <c r="DQ444" i="37" s="1"/>
  <c r="DL448" i="37"/>
  <c r="DQ448" i="37" s="1"/>
  <c r="DL452" i="37"/>
  <c r="DQ452" i="37" s="1"/>
  <c r="DL456" i="37"/>
  <c r="DQ456" i="37" s="1"/>
  <c r="DL460" i="37"/>
  <c r="DQ460" i="37" s="1"/>
  <c r="DL439" i="37"/>
  <c r="DQ439" i="37" s="1"/>
  <c r="DL466" i="37"/>
  <c r="DQ466" i="37" s="1"/>
  <c r="DL300" i="37"/>
  <c r="DQ300" i="37" s="1"/>
  <c r="DL297" i="37"/>
  <c r="DQ297" i="37" s="1"/>
  <c r="DL316" i="37"/>
  <c r="DQ316" i="37" s="1"/>
  <c r="DL320" i="37"/>
  <c r="DQ320" i="37" s="1"/>
  <c r="DL324" i="37"/>
  <c r="DQ324" i="37" s="1"/>
  <c r="DL328" i="37"/>
  <c r="DQ328" i="37" s="1"/>
  <c r="DL332" i="37"/>
  <c r="DQ332" i="37" s="1"/>
  <c r="DL336" i="37"/>
  <c r="DQ336" i="37" s="1"/>
  <c r="DL340" i="37"/>
  <c r="DQ340" i="37" s="1"/>
  <c r="DL312" i="37"/>
  <c r="DQ312" i="37" s="1"/>
  <c r="DL344" i="37"/>
  <c r="DQ344" i="37" s="1"/>
  <c r="DL314" i="37"/>
  <c r="DQ314" i="37" s="1"/>
  <c r="DM207" i="37"/>
  <c r="DM197" i="37"/>
  <c r="BT172" i="37"/>
  <c r="DP113" i="37"/>
  <c r="DP129" i="37"/>
  <c r="DP109" i="37"/>
  <c r="DP120" i="37"/>
  <c r="BT107" i="37"/>
  <c r="DP127" i="37"/>
  <c r="DP132" i="37"/>
  <c r="DP136" i="37"/>
  <c r="DP140" i="37"/>
  <c r="DP144" i="37"/>
  <c r="DP148" i="37"/>
  <c r="DP152" i="37"/>
  <c r="DO244" i="37"/>
  <c r="DO251" i="37"/>
  <c r="DO236" i="37"/>
  <c r="DO247" i="37"/>
  <c r="DO254" i="37"/>
  <c r="DO258" i="37"/>
  <c r="DO262" i="37"/>
  <c r="DO266" i="37"/>
  <c r="DO270" i="37"/>
  <c r="DO274" i="37"/>
  <c r="DO278" i="37"/>
  <c r="DM216" i="37"/>
  <c r="DP552" i="37"/>
  <c r="DP561" i="37"/>
  <c r="DP556" i="37"/>
  <c r="DP575" i="37"/>
  <c r="DP568" i="37"/>
  <c r="DP562" i="37"/>
  <c r="DP569" i="37"/>
  <c r="DP579" i="37"/>
  <c r="DP583" i="37"/>
  <c r="DP595" i="37"/>
  <c r="DP588" i="37"/>
  <c r="BU235" i="37"/>
  <c r="DJ422" i="37"/>
  <c r="DJ428" i="37"/>
  <c r="DJ433" i="37"/>
  <c r="DJ440" i="37"/>
  <c r="DJ437" i="37"/>
  <c r="DJ444" i="37"/>
  <c r="DJ448" i="37"/>
  <c r="DJ452" i="37"/>
  <c r="DJ456" i="37"/>
  <c r="DJ460" i="37"/>
  <c r="DJ462" i="37"/>
  <c r="DJ466" i="37"/>
  <c r="DI360" i="37"/>
  <c r="DI371" i="37"/>
  <c r="DI378" i="37"/>
  <c r="DI382" i="37"/>
  <c r="DI375" i="37"/>
  <c r="DI366" i="37"/>
  <c r="DI406" i="37"/>
  <c r="DI387" i="37"/>
  <c r="DI391" i="37"/>
  <c r="DI395" i="37"/>
  <c r="DI399" i="37"/>
  <c r="DI403" i="37"/>
  <c r="DP246" i="37"/>
  <c r="DP235" i="37"/>
  <c r="DP239" i="37"/>
  <c r="DP241" i="37"/>
  <c r="DP248" i="37"/>
  <c r="DP255" i="37"/>
  <c r="DP259" i="37"/>
  <c r="DP263" i="37"/>
  <c r="DP267" i="37"/>
  <c r="DP271" i="37"/>
  <c r="DP275" i="37"/>
  <c r="DP249" i="37"/>
  <c r="DI616" i="37"/>
  <c r="DI623" i="37"/>
  <c r="DI636" i="37"/>
  <c r="DI630" i="37"/>
  <c r="DI621" i="37"/>
  <c r="DI637" i="37"/>
  <c r="DI642" i="37"/>
  <c r="DI647" i="37"/>
  <c r="DI649" i="37"/>
  <c r="DI655" i="37"/>
  <c r="DP210" i="37"/>
  <c r="BT171" i="37"/>
  <c r="DP189" i="37"/>
  <c r="DG79" i="37"/>
  <c r="DH79" i="37"/>
  <c r="DG63" i="37"/>
  <c r="DH63" i="37"/>
  <c r="DM51" i="37"/>
  <c r="DM91" i="37"/>
  <c r="DM78" i="37"/>
  <c r="DI344" i="37"/>
  <c r="DI313" i="37"/>
  <c r="DI306" i="37"/>
  <c r="DI302" i="37"/>
  <c r="DI312" i="37"/>
  <c r="DI307" i="37"/>
  <c r="DI301" i="37"/>
  <c r="DI342" i="37"/>
  <c r="DI341" i="37"/>
  <c r="DI340" i="37"/>
  <c r="DI339" i="37"/>
  <c r="DI338" i="37"/>
  <c r="DI337" i="37"/>
  <c r="DI336" i="37"/>
  <c r="DI335" i="37"/>
  <c r="DI334" i="37"/>
  <c r="DI333" i="37"/>
  <c r="DI332" i="37"/>
  <c r="DI331" i="37"/>
  <c r="DI330" i="37"/>
  <c r="DI329" i="37"/>
  <c r="DI328" i="37"/>
  <c r="DI327" i="37"/>
  <c r="DI326" i="37"/>
  <c r="DI325" i="37"/>
  <c r="DI324" i="37"/>
  <c r="DI323" i="37"/>
  <c r="DI322" i="37"/>
  <c r="DI321" i="37"/>
  <c r="DI320" i="37"/>
  <c r="DI319" i="37"/>
  <c r="DI318" i="37"/>
  <c r="DI317" i="37"/>
  <c r="DI316" i="37"/>
  <c r="DI315" i="37"/>
  <c r="DI311" i="37"/>
  <c r="DI310" i="37"/>
  <c r="DI309" i="37"/>
  <c r="DI308" i="37"/>
  <c r="DI343" i="37"/>
  <c r="DI314" i="37"/>
  <c r="DI299" i="37"/>
  <c r="DI298" i="37"/>
  <c r="DI305" i="37"/>
  <c r="DI303" i="37"/>
  <c r="DI304" i="37"/>
  <c r="DI300" i="37"/>
  <c r="DI297" i="37"/>
  <c r="DI296" i="37"/>
  <c r="DO197" i="37"/>
  <c r="DO171" i="37"/>
  <c r="DO206" i="37"/>
  <c r="DL74" i="37"/>
  <c r="DQ74" i="37" s="1"/>
  <c r="DP663" i="37"/>
  <c r="DP661" i="37"/>
  <c r="DP660" i="37"/>
  <c r="DP659" i="37"/>
  <c r="DP658" i="37"/>
  <c r="DP657" i="37"/>
  <c r="DP656" i="37"/>
  <c r="DP655" i="37"/>
  <c r="DP654" i="37"/>
  <c r="DP653" i="37"/>
  <c r="DP652" i="37"/>
  <c r="DP651" i="37"/>
  <c r="DP650" i="37"/>
  <c r="DP648" i="37"/>
  <c r="DP647" i="37"/>
  <c r="DP646" i="37"/>
  <c r="DP645" i="37"/>
  <c r="DP644" i="37"/>
  <c r="DP643" i="37"/>
  <c r="DP642" i="37"/>
  <c r="DP662" i="37"/>
  <c r="DP633" i="37"/>
  <c r="DP640" i="37"/>
  <c r="DP649" i="37"/>
  <c r="DP641" i="37"/>
  <c r="DP639" i="37"/>
  <c r="DP638" i="37"/>
  <c r="DP637" i="37"/>
  <c r="DP636" i="37"/>
  <c r="DP635" i="37"/>
  <c r="DP629" i="37"/>
  <c r="DP624" i="37"/>
  <c r="DP623" i="37"/>
  <c r="DP622" i="37"/>
  <c r="DP634" i="37"/>
  <c r="DP631" i="37"/>
  <c r="DP630" i="37"/>
  <c r="DP625" i="37"/>
  <c r="DP621" i="37"/>
  <c r="DP632" i="37"/>
  <c r="DP626" i="37"/>
  <c r="DP620" i="37"/>
  <c r="DP628" i="37"/>
  <c r="DP627" i="37"/>
  <c r="DP618" i="37"/>
  <c r="DP617" i="37"/>
  <c r="DP616" i="37"/>
  <c r="BT616" i="37"/>
  <c r="DP619" i="37"/>
  <c r="DP615" i="37"/>
  <c r="DO550" i="37"/>
  <c r="DO560" i="37"/>
  <c r="DO559" i="37"/>
  <c r="DO563" i="37"/>
  <c r="DO570" i="37"/>
  <c r="DO571" i="37"/>
  <c r="DO575" i="37"/>
  <c r="DO579" i="37"/>
  <c r="DO583" i="37"/>
  <c r="DO586" i="37"/>
  <c r="DO590" i="37"/>
  <c r="DO594" i="37"/>
  <c r="DI423" i="37"/>
  <c r="DI430" i="37"/>
  <c r="DI429" i="37"/>
  <c r="DI439" i="37"/>
  <c r="DI437" i="37"/>
  <c r="DI444" i="37"/>
  <c r="DI448" i="37"/>
  <c r="DI452" i="37"/>
  <c r="DI456" i="37"/>
  <c r="DI460" i="37"/>
  <c r="DI463" i="37"/>
  <c r="DI467" i="37"/>
  <c r="BT236" i="37"/>
  <c r="DJ240" i="37"/>
  <c r="DJ235" i="37"/>
  <c r="DJ246" i="37"/>
  <c r="DJ253" i="37"/>
  <c r="DJ257" i="37"/>
  <c r="DJ261" i="37"/>
  <c r="DJ265" i="37"/>
  <c r="DJ269" i="37"/>
  <c r="DJ273" i="37"/>
  <c r="DJ277" i="37"/>
  <c r="DJ249" i="37"/>
  <c r="DP298" i="37"/>
  <c r="DP296" i="37"/>
  <c r="DP310" i="37"/>
  <c r="DP317" i="37"/>
  <c r="DP321" i="37"/>
  <c r="DP325" i="37"/>
  <c r="DP329" i="37"/>
  <c r="DP333" i="37"/>
  <c r="DP337" i="37"/>
  <c r="DP341" i="37"/>
  <c r="DP302" i="37"/>
  <c r="DP303" i="37"/>
  <c r="DP343" i="37"/>
  <c r="DO493" i="37"/>
  <c r="DO505" i="37"/>
  <c r="DO511" i="37"/>
  <c r="DO515" i="37"/>
  <c r="DO488" i="37"/>
  <c r="DO499" i="37"/>
  <c r="DO497" i="37"/>
  <c r="DO534" i="37"/>
  <c r="DO519" i="37"/>
  <c r="DO523" i="37"/>
  <c r="DO527" i="37"/>
  <c r="DO531" i="37"/>
  <c r="DJ367" i="37"/>
  <c r="DJ360" i="37"/>
  <c r="DJ371" i="37"/>
  <c r="DJ378" i="37"/>
  <c r="DJ382" i="37"/>
  <c r="DJ365" i="37"/>
  <c r="DJ406" i="37"/>
  <c r="DJ386" i="37"/>
  <c r="DJ390" i="37"/>
  <c r="DJ394" i="37"/>
  <c r="DJ398" i="37"/>
  <c r="DJ402" i="37"/>
  <c r="DI245" i="37"/>
  <c r="DI246" i="37"/>
  <c r="DI244" i="37"/>
  <c r="DI250" i="37"/>
  <c r="DI252" i="37"/>
  <c r="DI256" i="37"/>
  <c r="DI260" i="37"/>
  <c r="DI264" i="37"/>
  <c r="DI268" i="37"/>
  <c r="DI272" i="37"/>
  <c r="DI276" i="37"/>
  <c r="DM617" i="37"/>
  <c r="DM622" i="37"/>
  <c r="DM630" i="37"/>
  <c r="DM629" i="37"/>
  <c r="DM626" i="37"/>
  <c r="DM640" i="37"/>
  <c r="DM637" i="37"/>
  <c r="DM641" i="37"/>
  <c r="DM645" i="37"/>
  <c r="DM649" i="37"/>
  <c r="DM655" i="37"/>
  <c r="DM657" i="37"/>
  <c r="DM661" i="37"/>
  <c r="DP213" i="37"/>
  <c r="DP186" i="37"/>
  <c r="DP192" i="37"/>
  <c r="DG83" i="37"/>
  <c r="DH83" i="37"/>
  <c r="DM56" i="37"/>
  <c r="DM53" i="37"/>
  <c r="DM90" i="37"/>
  <c r="DJ534" i="37"/>
  <c r="DJ532" i="37"/>
  <c r="DJ531" i="37"/>
  <c r="DJ530" i="37"/>
  <c r="DJ529" i="37"/>
  <c r="DJ528" i="37"/>
  <c r="DJ527" i="37"/>
  <c r="DJ526" i="37"/>
  <c r="DJ525" i="37"/>
  <c r="DJ524" i="37"/>
  <c r="DJ523" i="37"/>
  <c r="DJ522" i="37"/>
  <c r="DJ521" i="37"/>
  <c r="DJ520" i="37"/>
  <c r="DJ519" i="37"/>
  <c r="DJ518" i="37"/>
  <c r="DJ517" i="37"/>
  <c r="DJ516" i="37"/>
  <c r="DJ515" i="37"/>
  <c r="DJ514" i="37"/>
  <c r="DJ513" i="37"/>
  <c r="DJ512" i="37"/>
  <c r="DJ511" i="37"/>
  <c r="DJ510" i="37"/>
  <c r="DJ509" i="37"/>
  <c r="DJ508" i="37"/>
  <c r="DJ507" i="37"/>
  <c r="DJ506" i="37"/>
  <c r="DJ533" i="37"/>
  <c r="DJ503" i="37"/>
  <c r="DJ496" i="37"/>
  <c r="DJ492" i="37"/>
  <c r="DJ502" i="37"/>
  <c r="DJ497" i="37"/>
  <c r="DJ491" i="37"/>
  <c r="DJ505" i="37"/>
  <c r="DJ501" i="37"/>
  <c r="DJ500" i="37"/>
  <c r="DJ499" i="37"/>
  <c r="DJ498" i="37"/>
  <c r="DJ490" i="37"/>
  <c r="DJ489" i="37"/>
  <c r="DJ488" i="37"/>
  <c r="DJ487" i="37"/>
  <c r="DJ486" i="37"/>
  <c r="DJ504" i="37"/>
  <c r="DJ495" i="37"/>
  <c r="DJ494" i="37"/>
  <c r="DJ493" i="37"/>
  <c r="BT489" i="37"/>
  <c r="DP406" i="37"/>
  <c r="DP407" i="37"/>
  <c r="DP405" i="37"/>
  <c r="DP404" i="37"/>
  <c r="DP403" i="37"/>
  <c r="DP402" i="37"/>
  <c r="DP401" i="37"/>
  <c r="DP400" i="37"/>
  <c r="DP399" i="37"/>
  <c r="DP398" i="37"/>
  <c r="DP397" i="37"/>
  <c r="DP396" i="37"/>
  <c r="DP395" i="37"/>
  <c r="DP394" i="37"/>
  <c r="DP393" i="37"/>
  <c r="DP392" i="37"/>
  <c r="DP391" i="37"/>
  <c r="DP390" i="37"/>
  <c r="DP389" i="37"/>
  <c r="DP388" i="37"/>
  <c r="DP387" i="37"/>
  <c r="DP386" i="37"/>
  <c r="DP383" i="37"/>
  <c r="DP382" i="37"/>
  <c r="DP381" i="37"/>
  <c r="DP380" i="37"/>
  <c r="DP379" i="37"/>
  <c r="DP378" i="37"/>
  <c r="DP374" i="37"/>
  <c r="DP373" i="37"/>
  <c r="DP372" i="37"/>
  <c r="DP371" i="37"/>
  <c r="DP363" i="37"/>
  <c r="DP362" i="37"/>
  <c r="DP361" i="37"/>
  <c r="DP360" i="37"/>
  <c r="DP359" i="37"/>
  <c r="DP384" i="37"/>
  <c r="DP377" i="37"/>
  <c r="DP368" i="37"/>
  <c r="DP367" i="37"/>
  <c r="DP366" i="37"/>
  <c r="DP385" i="37"/>
  <c r="DP376" i="37"/>
  <c r="DP369" i="37"/>
  <c r="DP365" i="37"/>
  <c r="DP375" i="37"/>
  <c r="DP370" i="37"/>
  <c r="DP364" i="37"/>
  <c r="BT360" i="37"/>
  <c r="DO200" i="37"/>
  <c r="DO174" i="37"/>
  <c r="DO179" i="37"/>
  <c r="DL70" i="37"/>
  <c r="DQ70" i="37" s="1"/>
  <c r="DL550" i="37"/>
  <c r="DQ550" i="37" s="1"/>
  <c r="DL553" i="37"/>
  <c r="DQ553" i="37" s="1"/>
  <c r="DL575" i="37"/>
  <c r="DQ575" i="37" s="1"/>
  <c r="DL573" i="37"/>
  <c r="DQ573" i="37" s="1"/>
  <c r="DL568" i="37"/>
  <c r="DQ568" i="37" s="1"/>
  <c r="DL563" i="37"/>
  <c r="DQ563" i="37" s="1"/>
  <c r="DL570" i="37"/>
  <c r="DQ570" i="37" s="1"/>
  <c r="DL579" i="37"/>
  <c r="DQ579" i="37" s="1"/>
  <c r="DL583" i="37"/>
  <c r="DQ583" i="37" s="1"/>
  <c r="DL590" i="37"/>
  <c r="DQ590" i="37" s="1"/>
  <c r="DL594" i="37"/>
  <c r="DQ594" i="37" s="1"/>
  <c r="DL592" i="37"/>
  <c r="DQ592" i="37" s="1"/>
  <c r="BT488" i="37"/>
  <c r="DM498" i="37"/>
  <c r="DM505" i="37"/>
  <c r="DM497" i="37"/>
  <c r="DM503" i="37"/>
  <c r="DM494" i="37"/>
  <c r="DM511" i="37"/>
  <c r="DM515" i="37"/>
  <c r="DM519" i="37"/>
  <c r="DM523" i="37"/>
  <c r="DM527" i="37"/>
  <c r="DM531" i="37"/>
  <c r="BT436" i="37"/>
  <c r="BT472" i="37"/>
  <c r="BT468" i="37"/>
  <c r="BT464" i="37"/>
  <c r="BT460" i="37"/>
  <c r="BT456" i="37"/>
  <c r="BT452" i="37"/>
  <c r="BT448" i="37"/>
  <c r="BT444" i="37"/>
  <c r="BT463" i="37"/>
  <c r="BT426" i="37"/>
  <c r="BT427" i="37"/>
  <c r="BT430" i="37"/>
  <c r="BT470" i="37"/>
  <c r="BT471" i="37"/>
  <c r="BT467" i="37"/>
  <c r="BT438" i="37"/>
  <c r="BT459" i="37"/>
  <c r="BT455" i="37"/>
  <c r="BT451" i="37"/>
  <c r="BT447" i="37"/>
  <c r="BT443" i="37"/>
  <c r="BT437" i="37"/>
  <c r="BT461" i="37"/>
  <c r="BT432" i="37"/>
  <c r="BT434" i="37"/>
  <c r="BT469" i="37"/>
  <c r="BT466" i="37"/>
  <c r="BT433" i="37"/>
  <c r="BT458" i="37"/>
  <c r="BT454" i="37"/>
  <c r="BT450" i="37"/>
  <c r="BT446" i="37"/>
  <c r="BT442" i="37"/>
  <c r="BT440" i="37"/>
  <c r="BT439" i="37"/>
  <c r="BT428" i="37"/>
  <c r="BT431" i="37"/>
  <c r="BT435" i="37"/>
  <c r="BT429" i="37"/>
  <c r="BT465" i="37"/>
  <c r="BT462" i="37"/>
  <c r="BT457" i="37"/>
  <c r="BT453" i="37"/>
  <c r="BT449" i="37"/>
  <c r="BT445" i="37"/>
  <c r="BT441" i="37"/>
  <c r="DM296" i="37"/>
  <c r="DM298" i="37"/>
  <c r="DM305" i="37"/>
  <c r="DM309" i="37"/>
  <c r="DM316" i="37"/>
  <c r="DM320" i="37"/>
  <c r="DM324" i="37"/>
  <c r="DM328" i="37"/>
  <c r="DM332" i="37"/>
  <c r="DM336" i="37"/>
  <c r="DM340" i="37"/>
  <c r="DM307" i="37"/>
  <c r="DM313" i="37"/>
  <c r="DM212" i="37"/>
  <c r="DM202" i="37"/>
  <c r="DM183" i="37"/>
  <c r="DP491" i="37"/>
  <c r="DP508" i="37"/>
  <c r="DP503" i="37"/>
  <c r="DP495" i="37"/>
  <c r="DP509" i="37"/>
  <c r="DP513" i="37"/>
  <c r="DP486" i="37"/>
  <c r="DP490" i="37"/>
  <c r="DP501" i="37"/>
  <c r="DP520" i="37"/>
  <c r="DP524" i="37"/>
  <c r="DP528" i="37"/>
  <c r="DP532" i="37"/>
  <c r="DO296" i="37"/>
  <c r="DO313" i="37"/>
  <c r="DO305" i="37"/>
  <c r="DO299" i="37"/>
  <c r="DO310" i="37"/>
  <c r="DO317" i="37"/>
  <c r="DO321" i="37"/>
  <c r="DO325" i="37"/>
  <c r="DO329" i="37"/>
  <c r="DO333" i="37"/>
  <c r="DO337" i="37"/>
  <c r="DO341" i="37"/>
  <c r="DJ57" i="37"/>
  <c r="DJ86" i="37"/>
  <c r="DJ53" i="37"/>
  <c r="DL616" i="37"/>
  <c r="DQ616" i="37" s="1"/>
  <c r="DL628" i="37"/>
  <c r="DQ628" i="37" s="1"/>
  <c r="DL626" i="37"/>
  <c r="DQ626" i="37" s="1"/>
  <c r="DL622" i="37"/>
  <c r="DQ622" i="37" s="1"/>
  <c r="DL631" i="37"/>
  <c r="DQ631" i="37" s="1"/>
  <c r="DL638" i="37"/>
  <c r="DQ638" i="37" s="1"/>
  <c r="DL633" i="37"/>
  <c r="DQ633" i="37" s="1"/>
  <c r="DL644" i="37"/>
  <c r="DQ644" i="37" s="1"/>
  <c r="DL648" i="37"/>
  <c r="DQ648" i="37" s="1"/>
  <c r="DL652" i="37"/>
  <c r="DQ652" i="37" s="1"/>
  <c r="DL662" i="37"/>
  <c r="DQ662" i="37" s="1"/>
  <c r="DL660" i="37"/>
  <c r="DQ660" i="37" s="1"/>
  <c r="DL385" i="37"/>
  <c r="DQ385" i="37" s="1"/>
  <c r="DL383" i="37"/>
  <c r="DQ383" i="37" s="1"/>
  <c r="DL368" i="37"/>
  <c r="DQ368" i="37" s="1"/>
  <c r="DL361" i="37"/>
  <c r="DQ361" i="37" s="1"/>
  <c r="DL372" i="37"/>
  <c r="DQ372" i="37" s="1"/>
  <c r="DL379" i="37"/>
  <c r="DQ379" i="37" s="1"/>
  <c r="DL386" i="37"/>
  <c r="DQ386" i="37" s="1"/>
  <c r="DL390" i="37"/>
  <c r="DQ390" i="37" s="1"/>
  <c r="DL394" i="37"/>
  <c r="DQ394" i="37" s="1"/>
  <c r="DL398" i="37"/>
  <c r="DQ398" i="37" s="1"/>
  <c r="DL402" i="37"/>
  <c r="DQ402" i="37" s="1"/>
  <c r="DL407" i="37"/>
  <c r="DQ407" i="37" s="1"/>
  <c r="DP216" i="37"/>
  <c r="DP187" i="37"/>
  <c r="DP195" i="37"/>
  <c r="DC91" i="37"/>
  <c r="DD91" i="37"/>
  <c r="DM94" i="37"/>
  <c r="DM83" i="37"/>
  <c r="DM70" i="37"/>
  <c r="DI178" i="37"/>
  <c r="DI170" i="37"/>
  <c r="DI174" i="37"/>
  <c r="DI185" i="37"/>
  <c r="DI192" i="37"/>
  <c r="DI196" i="37"/>
  <c r="DI200" i="37"/>
  <c r="DI204" i="37"/>
  <c r="DI181" i="37"/>
  <c r="DI187" i="37"/>
  <c r="DI209" i="37"/>
  <c r="DI213" i="37"/>
  <c r="DL218" i="37"/>
  <c r="DQ218" i="37" s="1"/>
  <c r="DL211" i="37"/>
  <c r="DQ211" i="37" s="1"/>
  <c r="DL196" i="37"/>
  <c r="DQ196" i="37" s="1"/>
  <c r="DL170" i="37"/>
  <c r="DQ170" i="37" s="1"/>
  <c r="DO199" i="37"/>
  <c r="DO173" i="37"/>
  <c r="DO178" i="37"/>
  <c r="DL116" i="37"/>
  <c r="DQ116" i="37" s="1"/>
  <c r="DL114" i="37"/>
  <c r="DQ114" i="37" s="1"/>
  <c r="DL106" i="37"/>
  <c r="DQ106" i="37" s="1"/>
  <c r="DL110" i="37"/>
  <c r="DQ110" i="37" s="1"/>
  <c r="DL121" i="37"/>
  <c r="DQ121" i="37" s="1"/>
  <c r="DL122" i="37"/>
  <c r="DQ122" i="37" s="1"/>
  <c r="DL153" i="37"/>
  <c r="DQ153" i="37" s="1"/>
  <c r="DL135" i="37"/>
  <c r="DQ135" i="37" s="1"/>
  <c r="DL139" i="37"/>
  <c r="DQ139" i="37" s="1"/>
  <c r="DL143" i="37"/>
  <c r="DQ143" i="37" s="1"/>
  <c r="DL147" i="37"/>
  <c r="DQ147" i="37" s="1"/>
  <c r="DL151" i="37"/>
  <c r="DQ151" i="37" s="1"/>
  <c r="DM550" i="37"/>
  <c r="DM562" i="37"/>
  <c r="DM569" i="37"/>
  <c r="DM561" i="37"/>
  <c r="DM560" i="37"/>
  <c r="DM558" i="37"/>
  <c r="DM589" i="37"/>
  <c r="DM578" i="37"/>
  <c r="DM582" i="37"/>
  <c r="DM588" i="37"/>
  <c r="DM597" i="37"/>
  <c r="DM593" i="37"/>
  <c r="DL491" i="37"/>
  <c r="DQ491" i="37" s="1"/>
  <c r="DL511" i="37"/>
  <c r="DQ511" i="37" s="1"/>
  <c r="DL515" i="37"/>
  <c r="DQ515" i="37" s="1"/>
  <c r="DL496" i="37"/>
  <c r="DQ496" i="37" s="1"/>
  <c r="DL493" i="37"/>
  <c r="DQ493" i="37" s="1"/>
  <c r="DL486" i="37"/>
  <c r="DQ486" i="37" s="1"/>
  <c r="DL490" i="37"/>
  <c r="DQ490" i="37" s="1"/>
  <c r="DL501" i="37"/>
  <c r="DQ501" i="37" s="1"/>
  <c r="DL518" i="37"/>
  <c r="DQ518" i="37" s="1"/>
  <c r="DL520" i="37"/>
  <c r="DQ520" i="37" s="1"/>
  <c r="DL524" i="37"/>
  <c r="DQ524" i="37" s="1"/>
  <c r="DL528" i="37"/>
  <c r="DQ528" i="37" s="1"/>
  <c r="DL532" i="37"/>
  <c r="DQ532" i="37" s="1"/>
  <c r="DL423" i="37"/>
  <c r="DQ423" i="37" s="1"/>
  <c r="DL428" i="37"/>
  <c r="DQ428" i="37" s="1"/>
  <c r="DL440" i="37"/>
  <c r="DQ440" i="37" s="1"/>
  <c r="DL434" i="37"/>
  <c r="DQ434" i="37" s="1"/>
  <c r="DL441" i="37"/>
  <c r="DQ441" i="37" s="1"/>
  <c r="DL445" i="37"/>
  <c r="DQ445" i="37" s="1"/>
  <c r="DL449" i="37"/>
  <c r="DQ449" i="37" s="1"/>
  <c r="DL453" i="37"/>
  <c r="DQ453" i="37" s="1"/>
  <c r="DL457" i="37"/>
  <c r="DQ457" i="37" s="1"/>
  <c r="DL438" i="37"/>
  <c r="DQ438" i="37" s="1"/>
  <c r="DL469" i="37"/>
  <c r="DQ469" i="37" s="1"/>
  <c r="DL467" i="37"/>
  <c r="DQ467" i="37" s="1"/>
  <c r="DL301" i="37"/>
  <c r="DQ301" i="37" s="1"/>
  <c r="DL310" i="37"/>
  <c r="DQ310" i="37" s="1"/>
  <c r="DL308" i="37"/>
  <c r="DQ308" i="37" s="1"/>
  <c r="DL317" i="37"/>
  <c r="DQ317" i="37" s="1"/>
  <c r="DL321" i="37"/>
  <c r="DQ321" i="37" s="1"/>
  <c r="DL325" i="37"/>
  <c r="DQ325" i="37" s="1"/>
  <c r="DL329" i="37"/>
  <c r="DQ329" i="37" s="1"/>
  <c r="DL333" i="37"/>
  <c r="DQ333" i="37" s="1"/>
  <c r="DL337" i="37"/>
  <c r="DQ337" i="37" s="1"/>
  <c r="DL341" i="37"/>
  <c r="DQ341" i="37" s="1"/>
  <c r="DL302" i="37"/>
  <c r="DQ302" i="37" s="1"/>
  <c r="DL303" i="37"/>
  <c r="DQ303" i="37" s="1"/>
  <c r="DL343" i="37"/>
  <c r="DQ343" i="37" s="1"/>
  <c r="DM176" i="37"/>
  <c r="DM193" i="37"/>
  <c r="DM204" i="37"/>
  <c r="DP112" i="37"/>
  <c r="DP114" i="37"/>
  <c r="DP106" i="37"/>
  <c r="DP110" i="37"/>
  <c r="DP121" i="37"/>
  <c r="DP111" i="37"/>
  <c r="DP131" i="37"/>
  <c r="DP133" i="37"/>
  <c r="DP137" i="37"/>
  <c r="DP141" i="37"/>
  <c r="DP145" i="37"/>
  <c r="DP149" i="37"/>
  <c r="DP123" i="37"/>
  <c r="DL78" i="37"/>
  <c r="DQ78" i="37" s="1"/>
  <c r="DL62" i="37"/>
  <c r="DQ62" i="37" s="1"/>
  <c r="DL81" i="37"/>
  <c r="DQ81" i="37" s="1"/>
  <c r="DL65" i="37"/>
  <c r="DQ65" i="37" s="1"/>
  <c r="DL55" i="37"/>
  <c r="DQ55" i="37" s="1"/>
  <c r="DL94" i="37"/>
  <c r="DQ94" i="37" s="1"/>
  <c r="DL84" i="37"/>
  <c r="DQ84" i="37" s="1"/>
  <c r="DL68" i="37"/>
  <c r="DQ68" i="37" s="1"/>
  <c r="DL48" i="37"/>
  <c r="DQ48" i="37" s="1"/>
  <c r="DL79" i="37"/>
  <c r="DQ79" i="37" s="1"/>
  <c r="DL63" i="37"/>
  <c r="DQ63" i="37" s="1"/>
  <c r="DL47" i="37"/>
  <c r="DQ47" i="37" s="1"/>
  <c r="DL61" i="37"/>
  <c r="DQ61" i="37" s="1"/>
  <c r="DL54" i="37"/>
  <c r="DQ54" i="37" s="1"/>
  <c r="DL93" i="37"/>
  <c r="DQ93" i="37" s="1"/>
  <c r="DL80" i="37"/>
  <c r="DQ80" i="37" s="1"/>
  <c r="DL64" i="37"/>
  <c r="DQ64" i="37" s="1"/>
  <c r="DL91" i="37"/>
  <c r="DQ91" i="37" s="1"/>
  <c r="DL75" i="37"/>
  <c r="DQ75" i="37" s="1"/>
  <c r="DL59" i="37"/>
  <c r="DQ59" i="37" s="1"/>
  <c r="DL46" i="37"/>
  <c r="DQ46" i="37" s="1"/>
  <c r="DL57" i="37"/>
  <c r="DQ57" i="37" s="1"/>
  <c r="DL51" i="37"/>
  <c r="DQ51" i="37" s="1"/>
  <c r="DL92" i="37"/>
  <c r="DQ92" i="37" s="1"/>
  <c r="DL76" i="37"/>
  <c r="DQ76" i="37" s="1"/>
  <c r="DL60" i="37"/>
  <c r="DQ60" i="37" s="1"/>
  <c r="DL87" i="37"/>
  <c r="DQ87" i="37" s="1"/>
  <c r="DL71" i="37"/>
  <c r="DQ71" i="37" s="1"/>
  <c r="DL52" i="37"/>
  <c r="DQ52" i="37" s="1"/>
  <c r="DL82" i="37"/>
  <c r="DQ82" i="37" s="1"/>
  <c r="DL66" i="37"/>
  <c r="DQ66" i="37" s="1"/>
  <c r="DL85" i="37"/>
  <c r="DQ85" i="37" s="1"/>
  <c r="DL69" i="37"/>
  <c r="DQ69" i="37" s="1"/>
  <c r="DL56" i="37"/>
  <c r="DQ56" i="37" s="1"/>
  <c r="DL49" i="37"/>
  <c r="DQ49" i="37" s="1"/>
  <c r="DL88" i="37"/>
  <c r="DQ88" i="37" s="1"/>
  <c r="DL72" i="37"/>
  <c r="DQ72" i="37" s="1"/>
  <c r="DL53" i="37"/>
  <c r="DQ53" i="37" s="1"/>
  <c r="DL83" i="37"/>
  <c r="DQ83" i="37" s="1"/>
  <c r="DL67" i="37"/>
  <c r="DQ67" i="37" s="1"/>
  <c r="DL50" i="37"/>
  <c r="DQ50" i="37" s="1"/>
  <c r="DO238" i="37"/>
  <c r="DO240" i="37"/>
  <c r="DO233" i="37"/>
  <c r="DO237" i="37"/>
  <c r="DO248" i="37"/>
  <c r="DO255" i="37"/>
  <c r="DO259" i="37"/>
  <c r="DO263" i="37"/>
  <c r="DO267" i="37"/>
  <c r="DO271" i="37"/>
  <c r="DO275" i="37"/>
  <c r="DO249" i="37"/>
  <c r="DM213" i="37"/>
  <c r="DM214" i="37"/>
  <c r="DJ651" i="37"/>
  <c r="DJ619" i="37"/>
  <c r="DJ618" i="37"/>
  <c r="DJ633" i="37"/>
  <c r="DJ627" i="37"/>
  <c r="DJ620" i="37"/>
  <c r="DJ636" i="37"/>
  <c r="DJ655" i="37"/>
  <c r="DJ653" i="37"/>
  <c r="DJ643" i="37"/>
  <c r="DJ647" i="37"/>
  <c r="DJ654" i="37"/>
  <c r="DJ657" i="37"/>
  <c r="DG91" i="37"/>
  <c r="DH91" i="37"/>
  <c r="DM54" i="37"/>
  <c r="BT48" i="37"/>
  <c r="DO198" i="37"/>
  <c r="DO172" i="37"/>
  <c r="DO177" i="37"/>
  <c r="DP553" i="37"/>
  <c r="DP566" i="37"/>
  <c r="DP560" i="37"/>
  <c r="DP557" i="37"/>
  <c r="DP571" i="37"/>
  <c r="DP563" i="37"/>
  <c r="DP570" i="37"/>
  <c r="DP580" i="37"/>
  <c r="DP584" i="37"/>
  <c r="DP596" i="37"/>
  <c r="DP589" i="37"/>
  <c r="BT425" i="37"/>
  <c r="DJ423" i="37"/>
  <c r="DJ426" i="37"/>
  <c r="DJ438" i="37"/>
  <c r="DJ434" i="37"/>
  <c r="DJ441" i="37"/>
  <c r="DJ445" i="37"/>
  <c r="DJ449" i="37"/>
  <c r="DJ453" i="37"/>
  <c r="DJ457" i="37"/>
  <c r="DJ469" i="37"/>
  <c r="DJ463" i="37"/>
  <c r="DI361" i="37"/>
  <c r="DI372" i="37"/>
  <c r="DI379" i="37"/>
  <c r="DI383" i="37"/>
  <c r="DI365" i="37"/>
  <c r="DI367" i="37"/>
  <c r="DI384" i="37"/>
  <c r="DI388" i="37"/>
  <c r="DI392" i="37"/>
  <c r="DI396" i="37"/>
  <c r="DI400" i="37"/>
  <c r="DP236" i="37"/>
  <c r="DP237" i="37"/>
  <c r="DP243" i="37"/>
  <c r="DP242" i="37"/>
  <c r="DP252" i="37"/>
  <c r="DP256" i="37"/>
  <c r="DP260" i="37"/>
  <c r="DP264" i="37"/>
  <c r="DP268" i="37"/>
  <c r="DP272" i="37"/>
  <c r="DI617" i="37"/>
  <c r="DI615" i="37"/>
  <c r="DI627" i="37"/>
  <c r="DI631" i="37"/>
  <c r="DI625" i="37"/>
  <c r="DI638" i="37"/>
  <c r="DI632" i="37"/>
  <c r="DI644" i="37"/>
  <c r="DI648" i="37"/>
  <c r="DI663" i="37"/>
  <c r="DI662" i="37"/>
  <c r="DP188" i="37"/>
  <c r="DP201" i="37"/>
  <c r="DM89" i="37"/>
  <c r="DM92" i="37"/>
  <c r="DM75" i="37"/>
  <c r="DM62" i="37"/>
  <c r="DJ312" i="37"/>
  <c r="DJ307" i="37"/>
  <c r="DJ301" i="37"/>
  <c r="DJ342" i="37"/>
  <c r="DJ341" i="37"/>
  <c r="DJ340" i="37"/>
  <c r="DJ339" i="37"/>
  <c r="DJ338" i="37"/>
  <c r="DJ337" i="37"/>
  <c r="DJ336" i="37"/>
  <c r="DJ335" i="37"/>
  <c r="DJ334" i="37"/>
  <c r="DJ333" i="37"/>
  <c r="DJ332" i="37"/>
  <c r="DJ331" i="37"/>
  <c r="DJ330" i="37"/>
  <c r="DJ329" i="37"/>
  <c r="DJ328" i="37"/>
  <c r="DJ327" i="37"/>
  <c r="DJ326" i="37"/>
  <c r="DJ325" i="37"/>
  <c r="DJ324" i="37"/>
  <c r="DJ323" i="37"/>
  <c r="DJ322" i="37"/>
  <c r="DJ321" i="37"/>
  <c r="DJ320" i="37"/>
  <c r="DJ319" i="37"/>
  <c r="DJ318" i="37"/>
  <c r="DJ317" i="37"/>
  <c r="DJ316" i="37"/>
  <c r="DJ315" i="37"/>
  <c r="DJ311" i="37"/>
  <c r="DJ310" i="37"/>
  <c r="DJ309" i="37"/>
  <c r="DJ308" i="37"/>
  <c r="DJ300" i="37"/>
  <c r="DJ343" i="37"/>
  <c r="DJ314" i="37"/>
  <c r="DJ305" i="37"/>
  <c r="DJ344" i="37"/>
  <c r="DJ313" i="37"/>
  <c r="DJ306" i="37"/>
  <c r="DJ303" i="37"/>
  <c r="DJ302" i="37"/>
  <c r="DJ304" i="37"/>
  <c r="DJ297" i="37"/>
  <c r="DJ296" i="37"/>
  <c r="DJ299" i="37"/>
  <c r="BT299" i="37"/>
  <c r="DJ298" i="37"/>
  <c r="DO193" i="37"/>
  <c r="DO214" i="37"/>
  <c r="DL58" i="37"/>
  <c r="DQ58" i="37" s="1"/>
  <c r="DO551" i="37"/>
  <c r="DO567" i="37"/>
  <c r="DO568" i="37"/>
  <c r="DO564" i="37"/>
  <c r="DO555" i="37"/>
  <c r="DO572" i="37"/>
  <c r="DO576" i="37"/>
  <c r="DO580" i="37"/>
  <c r="DO584" i="37"/>
  <c r="DO587" i="37"/>
  <c r="DO591" i="37"/>
  <c r="DC52" i="37"/>
  <c r="DD52" i="37"/>
  <c r="DJ85" i="37" s="1"/>
  <c r="DI424" i="37"/>
  <c r="DI434" i="37"/>
  <c r="DI431" i="37"/>
  <c r="DI462" i="37"/>
  <c r="DI441" i="37"/>
  <c r="DI445" i="37"/>
  <c r="DI449" i="37"/>
  <c r="DI453" i="37"/>
  <c r="DI457" i="37"/>
  <c r="DI461" i="37"/>
  <c r="DI464" i="37"/>
  <c r="DJ241" i="37"/>
  <c r="DJ242" i="37"/>
  <c r="DJ236" i="37"/>
  <c r="DJ247" i="37"/>
  <c r="DJ254" i="37"/>
  <c r="DJ258" i="37"/>
  <c r="DJ262" i="37"/>
  <c r="DJ266" i="37"/>
  <c r="DJ270" i="37"/>
  <c r="DJ274" i="37"/>
  <c r="DJ278" i="37"/>
  <c r="DP299" i="37"/>
  <c r="DP297" i="37"/>
  <c r="DP311" i="37"/>
  <c r="DP318" i="37"/>
  <c r="DP322" i="37"/>
  <c r="DP326" i="37"/>
  <c r="DP330" i="37"/>
  <c r="DP334" i="37"/>
  <c r="DP338" i="37"/>
  <c r="DP342" i="37"/>
  <c r="DP306" i="37"/>
  <c r="DO492" i="37"/>
  <c r="DO494" i="37"/>
  <c r="DO507" i="37"/>
  <c r="DO512" i="37"/>
  <c r="DO516" i="37"/>
  <c r="DO489" i="37"/>
  <c r="DO500" i="37"/>
  <c r="DO502" i="37"/>
  <c r="DO533" i="37"/>
  <c r="DO520" i="37"/>
  <c r="DO524" i="37"/>
  <c r="DO528" i="37"/>
  <c r="DJ368" i="37"/>
  <c r="DJ361" i="37"/>
  <c r="DJ372" i="37"/>
  <c r="DJ379" i="37"/>
  <c r="DJ364" i="37"/>
  <c r="DJ369" i="37"/>
  <c r="DJ383" i="37"/>
  <c r="DJ387" i="37"/>
  <c r="DJ391" i="37"/>
  <c r="DJ395" i="37"/>
  <c r="DJ399" i="37"/>
  <c r="DI234" i="37"/>
  <c r="DI236" i="37"/>
  <c r="DI235" i="37"/>
  <c r="DI249" i="37"/>
  <c r="DI251" i="37"/>
  <c r="DI253" i="37"/>
  <c r="DI257" i="37"/>
  <c r="DI261" i="37"/>
  <c r="DI265" i="37"/>
  <c r="DI269" i="37"/>
  <c r="DI273" i="37"/>
  <c r="DM618" i="37"/>
  <c r="DM623" i="37"/>
  <c r="DM631" i="37"/>
  <c r="DM634" i="37"/>
  <c r="DM633" i="37"/>
  <c r="DM642" i="37"/>
  <c r="DM638" i="37"/>
  <c r="DM632" i="37"/>
  <c r="DM646" i="37"/>
  <c r="DM652" i="37"/>
  <c r="DM663" i="37"/>
  <c r="DM401" i="37"/>
  <c r="DP209" i="37"/>
  <c r="DP205" i="37"/>
  <c r="DG67" i="37"/>
  <c r="DH67" i="37"/>
  <c r="DM49" i="37"/>
  <c r="DM87" i="37"/>
  <c r="DM74" i="37"/>
  <c r="DL188" i="37"/>
  <c r="DQ188" i="37" s="1"/>
  <c r="DL208" i="37"/>
  <c r="DQ208" i="37" s="1"/>
  <c r="DL193" i="37"/>
  <c r="DQ193" i="37" s="1"/>
  <c r="DO196" i="37"/>
  <c r="DO170" i="37"/>
  <c r="DL551" i="37"/>
  <c r="DQ551" i="37" s="1"/>
  <c r="DL561" i="37"/>
  <c r="DQ561" i="37" s="1"/>
  <c r="DL556" i="37"/>
  <c r="DQ556" i="37" s="1"/>
  <c r="DL557" i="37"/>
  <c r="DQ557" i="37" s="1"/>
  <c r="DL572" i="37"/>
  <c r="DQ572" i="37" s="1"/>
  <c r="DL564" i="37"/>
  <c r="DQ564" i="37" s="1"/>
  <c r="DL571" i="37"/>
  <c r="DQ571" i="37" s="1"/>
  <c r="DL580" i="37"/>
  <c r="DQ580" i="37" s="1"/>
  <c r="DL584" i="37"/>
  <c r="DQ584" i="37" s="1"/>
  <c r="DL591" i="37"/>
  <c r="DQ591" i="37" s="1"/>
  <c r="DL586" i="37"/>
  <c r="DQ586" i="37" s="1"/>
  <c r="DM488" i="37"/>
  <c r="DM499" i="37"/>
  <c r="DM507" i="37"/>
  <c r="DM502" i="37"/>
  <c r="DM506" i="37"/>
  <c r="DM495" i="37"/>
  <c r="DM512" i="37"/>
  <c r="DM516" i="37"/>
  <c r="DM520" i="37"/>
  <c r="DM524" i="37"/>
  <c r="DM528" i="37"/>
  <c r="DM297" i="37"/>
  <c r="DM299" i="37"/>
  <c r="DM314" i="37"/>
  <c r="DM310" i="37"/>
  <c r="DM317" i="37"/>
  <c r="DM321" i="37"/>
  <c r="DM325" i="37"/>
  <c r="DM329" i="37"/>
  <c r="DM333" i="37"/>
  <c r="DM337" i="37"/>
  <c r="DM341" i="37"/>
  <c r="DM312" i="37"/>
  <c r="DM208" i="37"/>
  <c r="DM198" i="37"/>
  <c r="DM172" i="37"/>
  <c r="DP497" i="37"/>
  <c r="DP518" i="37"/>
  <c r="DP517" i="37"/>
  <c r="DP504" i="37"/>
  <c r="DP510" i="37"/>
  <c r="DP514" i="37"/>
  <c r="DP487" i="37"/>
  <c r="DP498" i="37"/>
  <c r="DP534" i="37"/>
  <c r="DP521" i="37"/>
  <c r="DP525" i="37"/>
  <c r="DO307" i="37"/>
  <c r="DO297" i="37"/>
  <c r="DO344" i="37"/>
  <c r="DO314" i="37"/>
  <c r="DO300" i="37"/>
  <c r="DO311" i="37"/>
  <c r="DO318" i="37"/>
  <c r="DO322" i="37"/>
  <c r="DO326" i="37"/>
  <c r="DO330" i="37"/>
  <c r="DO334" i="37"/>
  <c r="DO338" i="37"/>
  <c r="DJ54" i="37"/>
  <c r="DJ61" i="37"/>
  <c r="DJ77" i="37"/>
  <c r="DJ58" i="37"/>
  <c r="DJ74" i="37"/>
  <c r="DJ90" i="37"/>
  <c r="DJ59" i="37"/>
  <c r="DJ75" i="37"/>
  <c r="DJ91" i="37"/>
  <c r="DJ60" i="37"/>
  <c r="DJ76" i="37"/>
  <c r="DL617" i="37"/>
  <c r="DQ617" i="37" s="1"/>
  <c r="DL629" i="37"/>
  <c r="DQ629" i="37" s="1"/>
  <c r="DL621" i="37"/>
  <c r="DQ621" i="37" s="1"/>
  <c r="DL623" i="37"/>
  <c r="DQ623" i="37" s="1"/>
  <c r="DL635" i="37"/>
  <c r="DQ635" i="37" s="1"/>
  <c r="DL639" i="37"/>
  <c r="DQ639" i="37" s="1"/>
  <c r="DL640" i="37"/>
  <c r="DQ640" i="37" s="1"/>
  <c r="DL645" i="37"/>
  <c r="DQ645" i="37" s="1"/>
  <c r="DL649" i="37"/>
  <c r="DQ649" i="37" s="1"/>
  <c r="DL653" i="37"/>
  <c r="DQ653" i="37" s="1"/>
  <c r="DL657" i="37"/>
  <c r="DQ657" i="37" s="1"/>
  <c r="DL364" i="37"/>
  <c r="DQ364" i="37" s="1"/>
  <c r="DL365" i="37"/>
  <c r="DQ365" i="37" s="1"/>
  <c r="DL384" i="37"/>
  <c r="DQ384" i="37" s="1"/>
  <c r="DL377" i="37"/>
  <c r="DQ377" i="37" s="1"/>
  <c r="DL362" i="37"/>
  <c r="DQ362" i="37" s="1"/>
  <c r="DL373" i="37"/>
  <c r="DQ373" i="37" s="1"/>
  <c r="DL380" i="37"/>
  <c r="DQ380" i="37" s="1"/>
  <c r="DL387" i="37"/>
  <c r="DQ387" i="37" s="1"/>
  <c r="DL391" i="37"/>
  <c r="DQ391" i="37" s="1"/>
  <c r="DL395" i="37"/>
  <c r="DQ395" i="37" s="1"/>
  <c r="DL399" i="37"/>
  <c r="DQ399" i="37" s="1"/>
  <c r="DL403" i="37"/>
  <c r="DQ403" i="37" s="1"/>
  <c r="DP212" i="37"/>
  <c r="DP181" i="37"/>
  <c r="DM81" i="37"/>
  <c r="DM84" i="37"/>
  <c r="DO468" i="37"/>
  <c r="DO467" i="37"/>
  <c r="DO466" i="37"/>
  <c r="DO465" i="37"/>
  <c r="DO464" i="37"/>
  <c r="DO463" i="37"/>
  <c r="DO470" i="37"/>
  <c r="DO469" i="37"/>
  <c r="DO440" i="37"/>
  <c r="DO431" i="37"/>
  <c r="DO430" i="37"/>
  <c r="DO429" i="37"/>
  <c r="DO461" i="37"/>
  <c r="DO439" i="37"/>
  <c r="DO438" i="37"/>
  <c r="DO433" i="37"/>
  <c r="DO462" i="37"/>
  <c r="DO460" i="37"/>
  <c r="DO459" i="37"/>
  <c r="DO458" i="37"/>
  <c r="DO457" i="37"/>
  <c r="DO456" i="37"/>
  <c r="DO455" i="37"/>
  <c r="DO454" i="37"/>
  <c r="DO453" i="37"/>
  <c r="DO452" i="37"/>
  <c r="DO451" i="37"/>
  <c r="DO450" i="37"/>
  <c r="DO449" i="37"/>
  <c r="DO448" i="37"/>
  <c r="DO447" i="37"/>
  <c r="DO446" i="37"/>
  <c r="DO445" i="37"/>
  <c r="DO444" i="37"/>
  <c r="DO443" i="37"/>
  <c r="DO442" i="37"/>
  <c r="DO441" i="37"/>
  <c r="DO437" i="37"/>
  <c r="DO436" i="37"/>
  <c r="DO435" i="37"/>
  <c r="DO434" i="37"/>
  <c r="DO426" i="37"/>
  <c r="DO432" i="37"/>
  <c r="DO427" i="37"/>
  <c r="DO425" i="37"/>
  <c r="DO424" i="37"/>
  <c r="DO423" i="37"/>
  <c r="DO422" i="37"/>
  <c r="DO428" i="37"/>
  <c r="DI179" i="37"/>
  <c r="DI171" i="37"/>
  <c r="DI182" i="37"/>
  <c r="DI189" i="37"/>
  <c r="DI193" i="37"/>
  <c r="DI197" i="37"/>
  <c r="DI201" i="37"/>
  <c r="DI206" i="37"/>
  <c r="DI186" i="37"/>
  <c r="DI205" i="37"/>
  <c r="DI210" i="37"/>
  <c r="DL179" i="37"/>
  <c r="DQ179" i="37" s="1"/>
  <c r="DL207" i="37"/>
  <c r="DQ207" i="37" s="1"/>
  <c r="DL192" i="37"/>
  <c r="DQ192" i="37" s="1"/>
  <c r="DO195" i="37"/>
  <c r="DO216" i="37"/>
  <c r="DL126" i="37"/>
  <c r="DQ126" i="37" s="1"/>
  <c r="DL115" i="37"/>
  <c r="DQ115" i="37" s="1"/>
  <c r="DL107" i="37"/>
  <c r="DQ107" i="37" s="1"/>
  <c r="DL118" i="37"/>
  <c r="DQ118" i="37" s="1"/>
  <c r="DL128" i="37"/>
  <c r="DQ128" i="37" s="1"/>
  <c r="DL125" i="37"/>
  <c r="DQ125" i="37" s="1"/>
  <c r="DL132" i="37"/>
  <c r="DQ132" i="37" s="1"/>
  <c r="DL136" i="37"/>
  <c r="DQ136" i="37" s="1"/>
  <c r="DL140" i="37"/>
  <c r="DQ140" i="37" s="1"/>
  <c r="DL144" i="37"/>
  <c r="DQ144" i="37" s="1"/>
  <c r="DL148" i="37"/>
  <c r="DQ148" i="37" s="1"/>
  <c r="DM551" i="37"/>
  <c r="DM563" i="37"/>
  <c r="DM570" i="37"/>
  <c r="DM566" i="37"/>
  <c r="DM567" i="37"/>
  <c r="DM559" i="37"/>
  <c r="DM575" i="37"/>
  <c r="DM579" i="37"/>
  <c r="DM583" i="37"/>
  <c r="DM590" i="37"/>
  <c r="DM598" i="37"/>
  <c r="DL497" i="37"/>
  <c r="DQ497" i="37" s="1"/>
  <c r="DL512" i="37"/>
  <c r="DQ512" i="37" s="1"/>
  <c r="DL516" i="37"/>
  <c r="DQ516" i="37" s="1"/>
  <c r="DL503" i="37"/>
  <c r="DQ503" i="37" s="1"/>
  <c r="DL494" i="37"/>
  <c r="DQ494" i="37" s="1"/>
  <c r="DL487" i="37"/>
  <c r="DQ487" i="37" s="1"/>
  <c r="DL498" i="37"/>
  <c r="DQ498" i="37" s="1"/>
  <c r="DL505" i="37"/>
  <c r="DQ505" i="37" s="1"/>
  <c r="DL534" i="37"/>
  <c r="DQ534" i="37" s="1"/>
  <c r="DL521" i="37"/>
  <c r="DQ521" i="37" s="1"/>
  <c r="DL525" i="37"/>
  <c r="DQ525" i="37" s="1"/>
  <c r="DL427" i="37"/>
  <c r="DQ427" i="37" s="1"/>
  <c r="DL424" i="37"/>
  <c r="DQ424" i="37" s="1"/>
  <c r="DL429" i="37"/>
  <c r="DQ429" i="37" s="1"/>
  <c r="DL461" i="37"/>
  <c r="DQ461" i="37" s="1"/>
  <c r="DL435" i="37"/>
  <c r="DQ435" i="37" s="1"/>
  <c r="DL442" i="37"/>
  <c r="DQ442" i="37" s="1"/>
  <c r="DL446" i="37"/>
  <c r="DQ446" i="37" s="1"/>
  <c r="DL450" i="37"/>
  <c r="DQ450" i="37" s="1"/>
  <c r="DL454" i="37"/>
  <c r="DQ454" i="37" s="1"/>
  <c r="DL458" i="37"/>
  <c r="DQ458" i="37" s="1"/>
  <c r="DL462" i="37"/>
  <c r="DQ462" i="37" s="1"/>
  <c r="DL470" i="37"/>
  <c r="DQ470" i="37" s="1"/>
  <c r="DL298" i="37"/>
  <c r="DQ298" i="37" s="1"/>
  <c r="DL309" i="37"/>
  <c r="DQ309" i="37" s="1"/>
  <c r="DL311" i="37"/>
  <c r="DQ311" i="37" s="1"/>
  <c r="DL318" i="37"/>
  <c r="DQ318" i="37" s="1"/>
  <c r="DL322" i="37"/>
  <c r="DQ322" i="37" s="1"/>
  <c r="DL326" i="37"/>
  <c r="DQ326" i="37" s="1"/>
  <c r="DL330" i="37"/>
  <c r="DQ330" i="37" s="1"/>
  <c r="DL334" i="37"/>
  <c r="DQ334" i="37" s="1"/>
  <c r="DL338" i="37"/>
  <c r="DQ338" i="37" s="1"/>
  <c r="DL342" i="37"/>
  <c r="DQ342" i="37" s="1"/>
  <c r="DL306" i="37"/>
  <c r="DQ306" i="37" s="1"/>
  <c r="DM215" i="37"/>
  <c r="DM181" i="37"/>
  <c r="DM189" i="37"/>
  <c r="DP116" i="37"/>
  <c r="DP115" i="37"/>
  <c r="DP107" i="37"/>
  <c r="DP118" i="37"/>
  <c r="DP126" i="37"/>
  <c r="DP117" i="37"/>
  <c r="DP124" i="37"/>
  <c r="DP134" i="37"/>
  <c r="DP138" i="37"/>
  <c r="DP142" i="37"/>
  <c r="DP146" i="37"/>
  <c r="DP150" i="37"/>
  <c r="DO243" i="37"/>
  <c r="DO241" i="37"/>
  <c r="DO234" i="37"/>
  <c r="DO245" i="37"/>
  <c r="DO252" i="37"/>
  <c r="DO256" i="37"/>
  <c r="DO260" i="37"/>
  <c r="DO264" i="37"/>
  <c r="DO268" i="37"/>
  <c r="DO272" i="37"/>
  <c r="DO276" i="37"/>
  <c r="DA48" i="34"/>
  <c r="DF48" i="34" s="1"/>
  <c r="W48" i="34"/>
  <c r="CZ48" i="34" s="1"/>
  <c r="DD48" i="34" s="1"/>
  <c r="Y92" i="34"/>
  <c r="DB92" i="34" s="1"/>
  <c r="DG92" i="34" s="1"/>
  <c r="W92" i="34"/>
  <c r="CZ92" i="34" s="1"/>
  <c r="DD92" i="34" s="1"/>
  <c r="DE48" i="34"/>
  <c r="DF80" i="34"/>
  <c r="DE80" i="34"/>
  <c r="X94" i="34"/>
  <c r="DA94" i="34" s="1"/>
  <c r="DG63" i="34"/>
  <c r="DH63" i="34"/>
  <c r="Y75" i="34"/>
  <c r="DB75" i="34" s="1"/>
  <c r="DA75" i="34"/>
  <c r="X82" i="34"/>
  <c r="DA82" i="34" s="1"/>
  <c r="DE82" i="34" s="1"/>
  <c r="X77" i="34"/>
  <c r="DA77" i="34" s="1"/>
  <c r="DG78" i="34"/>
  <c r="DH78" i="34"/>
  <c r="W76" i="34"/>
  <c r="CZ76" i="34" s="1"/>
  <c r="DA76" i="34"/>
  <c r="DE76" i="34" s="1"/>
  <c r="DA56" i="34"/>
  <c r="W56" i="34"/>
  <c r="CZ56" i="34" s="1"/>
  <c r="X55" i="34"/>
  <c r="DA55" i="34" s="1"/>
  <c r="DF55" i="34" s="1"/>
  <c r="DE73" i="34"/>
  <c r="DF73" i="34"/>
  <c r="DD47" i="34"/>
  <c r="DC47" i="34"/>
  <c r="DG66" i="34"/>
  <c r="DH66" i="34"/>
  <c r="DC70" i="34"/>
  <c r="DD70" i="34"/>
  <c r="X61" i="34"/>
  <c r="DA61" i="34" s="1"/>
  <c r="DE61" i="34" s="1"/>
  <c r="DF67" i="34"/>
  <c r="DE67" i="34"/>
  <c r="X71" i="34"/>
  <c r="DA71" i="34" s="1"/>
  <c r="X50" i="34"/>
  <c r="DA50" i="34" s="1"/>
  <c r="DE50" i="34" s="1"/>
  <c r="W46" i="34"/>
  <c r="CZ46" i="34" s="1"/>
  <c r="DA46" i="34"/>
  <c r="Y46" i="34"/>
  <c r="DB46" i="34" s="1"/>
  <c r="DE86" i="34"/>
  <c r="DA70" i="34"/>
  <c r="DE70" i="34" s="1"/>
  <c r="W69" i="34"/>
  <c r="CZ69" i="34" s="1"/>
  <c r="DC69" i="34" s="1"/>
  <c r="W68" i="34"/>
  <c r="CZ68" i="34" s="1"/>
  <c r="DD68" i="34" s="1"/>
  <c r="W83" i="34"/>
  <c r="CZ83" i="34" s="1"/>
  <c r="DD83" i="34" s="1"/>
  <c r="Y69" i="34"/>
  <c r="DB69" i="34" s="1"/>
  <c r="Y56" i="34"/>
  <c r="DB56" i="34" s="1"/>
  <c r="F206" i="8"/>
  <c r="F203" i="8"/>
  <c r="AL93" i="8"/>
  <c r="AL60" i="8"/>
  <c r="F173" i="3"/>
  <c r="AL63" i="3"/>
  <c r="AE63" i="3"/>
  <c r="AM63" i="3"/>
  <c r="AL82" i="6"/>
  <c r="F192" i="6"/>
  <c r="K181" i="8"/>
  <c r="AL71" i="8"/>
  <c r="F181" i="8"/>
  <c r="AL97" i="6"/>
  <c r="K207" i="6"/>
  <c r="F207" i="6"/>
  <c r="F187" i="6"/>
  <c r="AL77" i="6"/>
  <c r="AL87" i="8"/>
  <c r="F197" i="8"/>
  <c r="AL100" i="8"/>
  <c r="F210" i="8"/>
  <c r="K210" i="8"/>
  <c r="F185" i="8"/>
  <c r="F209" i="8"/>
  <c r="AL99" i="8"/>
  <c r="AL105" i="6"/>
  <c r="F215" i="6"/>
  <c r="AL88" i="6"/>
  <c r="F198" i="6"/>
  <c r="AL72" i="3"/>
  <c r="F182" i="3"/>
  <c r="F199" i="8"/>
  <c r="K199" i="8"/>
  <c r="AL89" i="8"/>
  <c r="F175" i="6"/>
  <c r="AM65" i="6"/>
  <c r="AL65" i="6"/>
  <c r="AE65" i="6"/>
  <c r="F212" i="3"/>
  <c r="AL102" i="3"/>
  <c r="F171" i="8"/>
  <c r="AM61" i="8"/>
  <c r="AL60" i="6"/>
  <c r="F170" i="6"/>
  <c r="F172" i="3"/>
  <c r="AM62" i="3"/>
  <c r="BB43" i="31"/>
  <c r="BC42" i="31"/>
  <c r="DC137" i="2"/>
  <c r="DD137" i="2"/>
  <c r="DD574" i="2"/>
  <c r="DC574" i="2"/>
  <c r="DC437" i="2"/>
  <c r="DD437" i="2"/>
  <c r="DG305" i="2"/>
  <c r="DH305" i="2"/>
  <c r="DG563" i="2"/>
  <c r="DH563" i="2"/>
  <c r="DC303" i="2"/>
  <c r="DD303" i="2"/>
  <c r="DH581" i="2"/>
  <c r="DG581" i="2"/>
  <c r="DH258" i="2"/>
  <c r="DG258" i="2"/>
  <c r="DH582" i="2"/>
  <c r="DG582" i="2"/>
  <c r="DG453" i="2"/>
  <c r="DH453" i="2"/>
  <c r="DC242" i="2"/>
  <c r="DD242" i="2"/>
  <c r="DH565" i="2"/>
  <c r="DG565" i="2"/>
  <c r="DG254" i="2"/>
  <c r="DH254" i="2"/>
  <c r="DH571" i="2"/>
  <c r="DG571" i="2"/>
  <c r="DC581" i="2"/>
  <c r="DD581" i="2"/>
  <c r="DC240" i="2"/>
  <c r="DD240" i="2"/>
  <c r="DC262" i="2"/>
  <c r="DD262" i="2"/>
  <c r="DC258" i="2"/>
  <c r="DD258" i="2"/>
  <c r="I186" i="6"/>
  <c r="K186" i="6" s="1"/>
  <c r="I193" i="3"/>
  <c r="K193" i="3" s="1"/>
  <c r="DG562" i="2"/>
  <c r="DH562" i="2"/>
  <c r="DH572" i="2"/>
  <c r="DG572" i="2"/>
  <c r="DG303" i="2"/>
  <c r="DH303" i="2"/>
  <c r="DC115" i="2"/>
  <c r="DD115" i="2"/>
  <c r="DG497" i="2"/>
  <c r="DH497" i="2"/>
  <c r="DH115" i="2"/>
  <c r="DG115" i="2"/>
  <c r="DG250" i="2"/>
  <c r="DH250" i="2"/>
  <c r="DG642" i="2"/>
  <c r="DH642" i="2"/>
  <c r="DC116" i="2"/>
  <c r="DD116" i="2"/>
  <c r="DD385" i="2"/>
  <c r="DC385" i="2"/>
  <c r="DC328" i="2"/>
  <c r="DD328" i="2"/>
  <c r="DD508" i="2"/>
  <c r="DC508" i="2"/>
  <c r="DC193" i="2"/>
  <c r="DD193" i="2"/>
  <c r="DG388" i="2"/>
  <c r="DH388" i="2"/>
  <c r="DC507" i="2"/>
  <c r="DD507" i="2"/>
  <c r="DC443" i="2"/>
  <c r="DD443" i="2"/>
  <c r="DH327" i="2"/>
  <c r="DG327" i="2"/>
  <c r="DH556" i="2"/>
  <c r="DG556" i="2"/>
  <c r="DD621" i="2"/>
  <c r="DC621" i="2"/>
  <c r="DC637" i="2"/>
  <c r="DD637" i="2"/>
  <c r="DE643" i="2"/>
  <c r="DF643" i="2"/>
  <c r="W567" i="2"/>
  <c r="CZ567" i="2" s="1"/>
  <c r="X567" i="2"/>
  <c r="DA567" i="2" s="1"/>
  <c r="X470" i="2"/>
  <c r="DA470" i="2" s="1"/>
  <c r="Y470" i="2"/>
  <c r="DB470" i="2" s="1"/>
  <c r="W470" i="2"/>
  <c r="CZ470" i="2" s="1"/>
  <c r="DF494" i="2"/>
  <c r="DE494" i="2"/>
  <c r="DE438" i="2"/>
  <c r="DF438" i="2"/>
  <c r="DE495" i="2"/>
  <c r="DF495" i="2"/>
  <c r="DE448" i="2"/>
  <c r="DF448" i="2"/>
  <c r="DE377" i="2"/>
  <c r="DF377" i="2"/>
  <c r="DE308" i="2"/>
  <c r="DF308" i="2"/>
  <c r="DF301" i="2"/>
  <c r="DE301" i="2"/>
  <c r="Y244" i="2"/>
  <c r="DB244" i="2" s="1"/>
  <c r="X244" i="2"/>
  <c r="DA244" i="2" s="1"/>
  <c r="W244" i="2"/>
  <c r="CZ244" i="2" s="1"/>
  <c r="Y264" i="2"/>
  <c r="DB264" i="2" s="1"/>
  <c r="W264" i="2"/>
  <c r="CZ264" i="2" s="1"/>
  <c r="X264" i="2"/>
  <c r="DA264" i="2" s="1"/>
  <c r="DE368" i="2"/>
  <c r="DF368" i="2"/>
  <c r="DE314" i="2"/>
  <c r="DF314" i="2"/>
  <c r="DE299" i="2"/>
  <c r="DF299" i="2"/>
  <c r="DF176" i="2"/>
  <c r="DE176" i="2"/>
  <c r="DF257" i="2"/>
  <c r="DE257" i="2"/>
  <c r="DE188" i="2"/>
  <c r="DF188" i="2"/>
  <c r="X511" i="2"/>
  <c r="DA511" i="2" s="1"/>
  <c r="W511" i="2"/>
  <c r="CZ511" i="2" s="1"/>
  <c r="DA432" i="2"/>
  <c r="W432" i="2"/>
  <c r="CZ432" i="2" s="1"/>
  <c r="DC321" i="2"/>
  <c r="DD321" i="2"/>
  <c r="W185" i="2"/>
  <c r="CZ185" i="2" s="1"/>
  <c r="DA185" i="2"/>
  <c r="Y185" i="2"/>
  <c r="DB185" i="2" s="1"/>
  <c r="X132" i="2"/>
  <c r="DA132" i="2" s="1"/>
  <c r="X310" i="2"/>
  <c r="DA310" i="2" s="1"/>
  <c r="W310" i="2"/>
  <c r="CZ310" i="2" s="1"/>
  <c r="X322" i="2"/>
  <c r="DA322" i="2" s="1"/>
  <c r="W322" i="2"/>
  <c r="CZ322" i="2" s="1"/>
  <c r="DA173" i="2"/>
  <c r="Y173" i="2"/>
  <c r="DB173" i="2" s="1"/>
  <c r="W173" i="2"/>
  <c r="CZ173" i="2" s="1"/>
  <c r="Y189" i="2"/>
  <c r="DB189" i="2" s="1"/>
  <c r="W189" i="2"/>
  <c r="CZ189" i="2" s="1"/>
  <c r="DA189" i="2"/>
  <c r="X376" i="2"/>
  <c r="DA376" i="2" s="1"/>
  <c r="X392" i="2"/>
  <c r="DA392" i="2" s="1"/>
  <c r="W392" i="2"/>
  <c r="CZ392" i="2" s="1"/>
  <c r="Y392" i="2"/>
  <c r="DB392" i="2" s="1"/>
  <c r="DE324" i="2"/>
  <c r="DF324" i="2"/>
  <c r="X139" i="2"/>
  <c r="DA139" i="2" s="1"/>
  <c r="X620" i="2"/>
  <c r="DA620" i="2" s="1"/>
  <c r="W620" i="2"/>
  <c r="CZ620" i="2" s="1"/>
  <c r="Y620" i="2"/>
  <c r="DB620" i="2" s="1"/>
  <c r="X630" i="2"/>
  <c r="DA630" i="2" s="1"/>
  <c r="W630" i="2"/>
  <c r="CZ630" i="2" s="1"/>
  <c r="DC661" i="2"/>
  <c r="DD661" i="2"/>
  <c r="DE660" i="2"/>
  <c r="DF660" i="2"/>
  <c r="DG598" i="2"/>
  <c r="DH598" i="2"/>
  <c r="DC658" i="2"/>
  <c r="DD658" i="2"/>
  <c r="DF534" i="2"/>
  <c r="DE534" i="2"/>
  <c r="X431" i="2"/>
  <c r="DA431" i="2" s="1"/>
  <c r="W431" i="2"/>
  <c r="CZ431" i="2" s="1"/>
  <c r="Y431" i="2"/>
  <c r="DB431" i="2" s="1"/>
  <c r="DC523" i="2"/>
  <c r="DD523" i="2"/>
  <c r="Y447" i="2"/>
  <c r="DB447" i="2" s="1"/>
  <c r="W447" i="2"/>
  <c r="CZ447" i="2" s="1"/>
  <c r="X447" i="2"/>
  <c r="DA447" i="2" s="1"/>
  <c r="DE402" i="2"/>
  <c r="DF402" i="2"/>
  <c r="DE407" i="2"/>
  <c r="DF407" i="2"/>
  <c r="X245" i="2"/>
  <c r="DA245" i="2" s="1"/>
  <c r="W245" i="2"/>
  <c r="CZ245" i="2" s="1"/>
  <c r="DH466" i="2"/>
  <c r="DG466" i="2"/>
  <c r="DG334" i="2"/>
  <c r="DH334" i="2"/>
  <c r="DE340" i="2"/>
  <c r="DF340" i="2"/>
  <c r="DG271" i="2"/>
  <c r="DH271" i="2"/>
  <c r="DH457" i="2"/>
  <c r="DG457" i="2"/>
  <c r="DE297" i="2"/>
  <c r="DF297" i="2"/>
  <c r="X202" i="2"/>
  <c r="DA202" i="2" s="1"/>
  <c r="Y202" i="2"/>
  <c r="DB202" i="2" s="1"/>
  <c r="W202" i="2"/>
  <c r="CZ202" i="2" s="1"/>
  <c r="DD235" i="2"/>
  <c r="DC235" i="2"/>
  <c r="DE207" i="2"/>
  <c r="DF207" i="2"/>
  <c r="DD186" i="2"/>
  <c r="DC186" i="2"/>
  <c r="DG375" i="2"/>
  <c r="DH375" i="2"/>
  <c r="DC648" i="2"/>
  <c r="DD648" i="2"/>
  <c r="DH123" i="2"/>
  <c r="DG123" i="2"/>
  <c r="DG385" i="2"/>
  <c r="DH385" i="2"/>
  <c r="DH508" i="2"/>
  <c r="DG508" i="2"/>
  <c r="DC329" i="2"/>
  <c r="DD329" i="2"/>
  <c r="DE628" i="2"/>
  <c r="DF628" i="2"/>
  <c r="Y555" i="2"/>
  <c r="DB555" i="2" s="1"/>
  <c r="X555" i="2"/>
  <c r="X573" i="2"/>
  <c r="X449" i="2"/>
  <c r="DE434" i="2"/>
  <c r="DF434" i="2"/>
  <c r="W313" i="2"/>
  <c r="CZ313" i="2" s="1"/>
  <c r="X313" i="2"/>
  <c r="DA313" i="2" s="1"/>
  <c r="DF512" i="2"/>
  <c r="DE512" i="2"/>
  <c r="DE309" i="2"/>
  <c r="DF309" i="2"/>
  <c r="X260" i="2"/>
  <c r="W260" i="2"/>
  <c r="CZ260" i="2" s="1"/>
  <c r="DE372" i="2"/>
  <c r="DF372" i="2"/>
  <c r="DE190" i="2"/>
  <c r="DF190" i="2"/>
  <c r="DE130" i="2"/>
  <c r="DF130" i="2"/>
  <c r="DA627" i="2"/>
  <c r="Y627" i="2"/>
  <c r="DB627" i="2" s="1"/>
  <c r="W627" i="2"/>
  <c r="CZ627" i="2" s="1"/>
  <c r="DA496" i="2"/>
  <c r="W496" i="2"/>
  <c r="CZ496" i="2" s="1"/>
  <c r="Y496" i="2"/>
  <c r="DB496" i="2" s="1"/>
  <c r="DE452" i="2"/>
  <c r="DF452" i="2"/>
  <c r="DA390" i="2"/>
  <c r="Y390" i="2"/>
  <c r="DB390" i="2" s="1"/>
  <c r="W390" i="2"/>
  <c r="CZ390" i="2" s="1"/>
  <c r="W317" i="2"/>
  <c r="CZ317" i="2" s="1"/>
  <c r="DA317" i="2"/>
  <c r="Y317" i="2"/>
  <c r="DB317" i="2" s="1"/>
  <c r="X124" i="2"/>
  <c r="DA124" i="2" s="1"/>
  <c r="W124" i="2"/>
  <c r="CZ124" i="2" s="1"/>
  <c r="Y124" i="2"/>
  <c r="DB124" i="2" s="1"/>
  <c r="W136" i="2"/>
  <c r="CZ136" i="2" s="1"/>
  <c r="X136" i="2"/>
  <c r="DA136" i="2" s="1"/>
  <c r="Y136" i="2"/>
  <c r="DB136" i="2" s="1"/>
  <c r="DA326" i="2"/>
  <c r="W326" i="2"/>
  <c r="CZ326" i="2" s="1"/>
  <c r="W183" i="2"/>
  <c r="CZ183" i="2" s="1"/>
  <c r="Y183" i="2"/>
  <c r="DB183" i="2" s="1"/>
  <c r="DA183" i="2"/>
  <c r="Y199" i="2"/>
  <c r="DB199" i="2" s="1"/>
  <c r="DA199" i="2"/>
  <c r="W199" i="2"/>
  <c r="CZ199" i="2" s="1"/>
  <c r="X121" i="2"/>
  <c r="DA121" i="2" s="1"/>
  <c r="X311" i="2"/>
  <c r="DA311" i="2" s="1"/>
  <c r="W311" i="2"/>
  <c r="CZ311" i="2" s="1"/>
  <c r="Y311" i="2"/>
  <c r="DB311" i="2" s="1"/>
  <c r="X323" i="2"/>
  <c r="DA323" i="2" s="1"/>
  <c r="W323" i="2"/>
  <c r="CZ323" i="2" s="1"/>
  <c r="Y323" i="2"/>
  <c r="DB323" i="2" s="1"/>
  <c r="X134" i="2"/>
  <c r="DA134" i="2" s="1"/>
  <c r="X316" i="2"/>
  <c r="DA316" i="2" s="1"/>
  <c r="DA247" i="2"/>
  <c r="Y247" i="2"/>
  <c r="DB247" i="2" s="1"/>
  <c r="W247" i="2"/>
  <c r="CZ247" i="2" s="1"/>
  <c r="DA179" i="2"/>
  <c r="Y179" i="2"/>
  <c r="DB179" i="2" s="1"/>
  <c r="W179" i="2"/>
  <c r="CZ179" i="2" s="1"/>
  <c r="Y195" i="2"/>
  <c r="DB195" i="2" s="1"/>
  <c r="X195" i="2"/>
  <c r="DA195" i="2" s="1"/>
  <c r="W195" i="2"/>
  <c r="CZ195" i="2" s="1"/>
  <c r="DA633" i="2"/>
  <c r="W633" i="2"/>
  <c r="CZ633" i="2" s="1"/>
  <c r="Y633" i="2"/>
  <c r="DB633" i="2" s="1"/>
  <c r="X626" i="2"/>
  <c r="DA626" i="2" s="1"/>
  <c r="Y626" i="2"/>
  <c r="DB626" i="2" s="1"/>
  <c r="W626" i="2"/>
  <c r="CZ626" i="2" s="1"/>
  <c r="X632" i="2"/>
  <c r="DA632" i="2" s="1"/>
  <c r="Y632" i="2"/>
  <c r="DB632" i="2" s="1"/>
  <c r="W632" i="2"/>
  <c r="CZ632" i="2" s="1"/>
  <c r="DH652" i="2"/>
  <c r="DG652" i="2"/>
  <c r="DF656" i="2"/>
  <c r="DE656" i="2"/>
  <c r="DC654" i="2"/>
  <c r="DD654" i="2"/>
  <c r="DD598" i="2"/>
  <c r="DC598" i="2"/>
  <c r="W506" i="2"/>
  <c r="CZ506" i="2" s="1"/>
  <c r="X506" i="2"/>
  <c r="DA506" i="2" s="1"/>
  <c r="DD528" i="2"/>
  <c r="DC528" i="2"/>
  <c r="DH488" i="2"/>
  <c r="DG488" i="2"/>
  <c r="X435" i="2"/>
  <c r="DA435" i="2" s="1"/>
  <c r="Y435" i="2"/>
  <c r="DB435" i="2" s="1"/>
  <c r="DE462" i="2"/>
  <c r="DF462" i="2"/>
  <c r="X237" i="2"/>
  <c r="DA237" i="2" s="1"/>
  <c r="X265" i="2"/>
  <c r="DA265" i="2" s="1"/>
  <c r="Y265" i="2"/>
  <c r="DB265" i="2" s="1"/>
  <c r="DC551" i="2"/>
  <c r="DD551" i="2"/>
  <c r="DG424" i="2"/>
  <c r="DH424" i="2"/>
  <c r="DG459" i="2"/>
  <c r="DH459" i="2"/>
  <c r="Y383" i="2"/>
  <c r="DB383" i="2" s="1"/>
  <c r="X383" i="2"/>
  <c r="DA383" i="2" s="1"/>
  <c r="W383" i="2"/>
  <c r="CZ383" i="2" s="1"/>
  <c r="DF332" i="2"/>
  <c r="DE332" i="2"/>
  <c r="DC340" i="2"/>
  <c r="DD340" i="2"/>
  <c r="DD267" i="2"/>
  <c r="DC267" i="2"/>
  <c r="DC276" i="2"/>
  <c r="DD276" i="2"/>
  <c r="X194" i="2"/>
  <c r="DA194" i="2" s="1"/>
  <c r="X498" i="2"/>
  <c r="DA498" i="2" s="1"/>
  <c r="Y498" i="2"/>
  <c r="DB498" i="2" s="1"/>
  <c r="DC297" i="2"/>
  <c r="DD297" i="2"/>
  <c r="DH333" i="2"/>
  <c r="DG333" i="2"/>
  <c r="DC205" i="2"/>
  <c r="DD205" i="2"/>
  <c r="DD211" i="2"/>
  <c r="DC211" i="2"/>
  <c r="DH215" i="2"/>
  <c r="DG215" i="2"/>
  <c r="DH575" i="2"/>
  <c r="DG575" i="2"/>
  <c r="DE305" i="2"/>
  <c r="DF305" i="2"/>
  <c r="DG192" i="2"/>
  <c r="DH192" i="2"/>
  <c r="DG263" i="2"/>
  <c r="DH263" i="2"/>
  <c r="DG517" i="2"/>
  <c r="DH517" i="2"/>
  <c r="DD309" i="2"/>
  <c r="DC309" i="2"/>
  <c r="DG455" i="2"/>
  <c r="DH455" i="2"/>
  <c r="DD371" i="2"/>
  <c r="DC371" i="2"/>
  <c r="DH637" i="2"/>
  <c r="DG637" i="2"/>
  <c r="X441" i="2"/>
  <c r="DA441" i="2" s="1"/>
  <c r="Y441" i="2"/>
  <c r="DB441" i="2" s="1"/>
  <c r="W441" i="2"/>
  <c r="CZ441" i="2" s="1"/>
  <c r="DF501" i="2"/>
  <c r="DE501" i="2"/>
  <c r="DE556" i="2"/>
  <c r="DF556" i="2"/>
  <c r="DC491" i="2"/>
  <c r="DD491" i="2"/>
  <c r="DF518" i="2"/>
  <c r="DE518" i="2"/>
  <c r="DF367" i="2"/>
  <c r="DE367" i="2"/>
  <c r="X236" i="2"/>
  <c r="DA236" i="2" s="1"/>
  <c r="Y236" i="2"/>
  <c r="DB236" i="2" s="1"/>
  <c r="X127" i="2"/>
  <c r="W127" i="2" s="1"/>
  <c r="CZ127" i="2" s="1"/>
  <c r="DF123" i="2"/>
  <c r="DE123" i="2"/>
  <c r="DF241" i="2"/>
  <c r="DE241" i="2"/>
  <c r="DE138" i="2"/>
  <c r="DF138" i="2"/>
  <c r="DF446" i="2"/>
  <c r="DE446" i="2"/>
  <c r="X369" i="2"/>
  <c r="DA369" i="2" s="1"/>
  <c r="W369" i="2"/>
  <c r="CZ369" i="2" s="1"/>
  <c r="X325" i="2"/>
  <c r="DA325" i="2" s="1"/>
  <c r="Y325" i="2"/>
  <c r="DB325" i="2" s="1"/>
  <c r="W325" i="2"/>
  <c r="CZ325" i="2" s="1"/>
  <c r="DA177" i="2"/>
  <c r="W177" i="2"/>
  <c r="CZ177" i="2" s="1"/>
  <c r="Y177" i="2"/>
  <c r="DB177" i="2" s="1"/>
  <c r="X201" i="2"/>
  <c r="DA201" i="2" s="1"/>
  <c r="DE120" i="2"/>
  <c r="DF120" i="2"/>
  <c r="X378" i="2"/>
  <c r="DA378" i="2" s="1"/>
  <c r="W378" i="2"/>
  <c r="CZ378" i="2" s="1"/>
  <c r="W302" i="2"/>
  <c r="CZ302" i="2" s="1"/>
  <c r="X302" i="2"/>
  <c r="DA302" i="2" s="1"/>
  <c r="X113" i="2"/>
  <c r="DA113" i="2" s="1"/>
  <c r="W113" i="2"/>
  <c r="CZ113" i="2" s="1"/>
  <c r="X125" i="2"/>
  <c r="DA125" i="2" s="1"/>
  <c r="X389" i="2"/>
  <c r="DA389" i="2" s="1"/>
  <c r="W389" i="2"/>
  <c r="CZ389" i="2" s="1"/>
  <c r="Y389" i="2"/>
  <c r="DB389" i="2" s="1"/>
  <c r="X315" i="2"/>
  <c r="DA315" i="2" s="1"/>
  <c r="Y197" i="2"/>
  <c r="DB197" i="2" s="1"/>
  <c r="DA197" i="2"/>
  <c r="W197" i="2"/>
  <c r="CZ197" i="2" s="1"/>
  <c r="Y114" i="2"/>
  <c r="DB114" i="2" s="1"/>
  <c r="DA114" i="2"/>
  <c r="W114" i="2"/>
  <c r="CZ114" i="2" s="1"/>
  <c r="X126" i="2"/>
  <c r="DA126" i="2" s="1"/>
  <c r="W126" i="2"/>
  <c r="CZ126" i="2" s="1"/>
  <c r="Y126" i="2"/>
  <c r="DB126" i="2" s="1"/>
  <c r="DE312" i="2"/>
  <c r="DF312" i="2"/>
  <c r="X239" i="2"/>
  <c r="DA239" i="2" s="1"/>
  <c r="Y239" i="2"/>
  <c r="DB239" i="2" s="1"/>
  <c r="W239" i="2"/>
  <c r="CZ239" i="2" s="1"/>
  <c r="X259" i="2"/>
  <c r="DA259" i="2" s="1"/>
  <c r="X203" i="2"/>
  <c r="DA203" i="2" s="1"/>
  <c r="X119" i="2"/>
  <c r="DA119" i="2" s="1"/>
  <c r="Y119" i="2"/>
  <c r="DB119" i="2" s="1"/>
  <c r="X641" i="2"/>
  <c r="DA641" i="2" s="1"/>
  <c r="X623" i="2"/>
  <c r="DA623" i="2" s="1"/>
  <c r="Y623" i="2"/>
  <c r="DB623" i="2" s="1"/>
  <c r="W623" i="2"/>
  <c r="CZ623" i="2" s="1"/>
  <c r="Y553" i="2"/>
  <c r="DB553" i="2" s="1"/>
  <c r="X553" i="2"/>
  <c r="DA553" i="2" s="1"/>
  <c r="X493" i="2"/>
  <c r="DA493" i="2" s="1"/>
  <c r="W493" i="2"/>
  <c r="CZ493" i="2" s="1"/>
  <c r="DG550" i="2"/>
  <c r="DH550" i="2"/>
  <c r="DG532" i="2"/>
  <c r="DH532" i="2"/>
  <c r="DH486" i="2"/>
  <c r="DG486" i="2"/>
  <c r="DC531" i="2"/>
  <c r="DD531" i="2"/>
  <c r="DG458" i="2"/>
  <c r="DH458" i="2"/>
  <c r="DC462" i="2"/>
  <c r="DD462" i="2"/>
  <c r="X261" i="2"/>
  <c r="DA261" i="2" s="1"/>
  <c r="Y261" i="2"/>
  <c r="DB261" i="2" s="1"/>
  <c r="DE424" i="2"/>
  <c r="DF424" i="2"/>
  <c r="DF459" i="2"/>
  <c r="DE459" i="2"/>
  <c r="DE359" i="2"/>
  <c r="DF359" i="2"/>
  <c r="Y198" i="2"/>
  <c r="DB198" i="2" s="1"/>
  <c r="W198" i="2"/>
  <c r="CZ198" i="2" s="1"/>
  <c r="X198" i="2"/>
  <c r="DA198" i="2" s="1"/>
  <c r="DC332" i="2"/>
  <c r="DD332" i="2"/>
  <c r="DC338" i="2"/>
  <c r="DD338" i="2"/>
  <c r="DD234" i="2"/>
  <c r="DC234" i="2"/>
  <c r="DG275" i="2"/>
  <c r="DH275" i="2"/>
  <c r="X184" i="2"/>
  <c r="DA184" i="2" s="1"/>
  <c r="W184" i="2"/>
  <c r="CZ184" i="2" s="1"/>
  <c r="DC398" i="2"/>
  <c r="DD398" i="2"/>
  <c r="DE276" i="2"/>
  <c r="DF276" i="2"/>
  <c r="DE333" i="2"/>
  <c r="DF333" i="2"/>
  <c r="DD172" i="2"/>
  <c r="DC172" i="2"/>
  <c r="DH209" i="2"/>
  <c r="DG209" i="2"/>
  <c r="DE513" i="2"/>
  <c r="DF513" i="2"/>
  <c r="DC455" i="2"/>
  <c r="DD455" i="2"/>
  <c r="DD512" i="2"/>
  <c r="DC512" i="2"/>
  <c r="DG110" i="2"/>
  <c r="DH110" i="2"/>
  <c r="DC118" i="2"/>
  <c r="DD118" i="2"/>
  <c r="DH116" i="2"/>
  <c r="DG116" i="2"/>
  <c r="DD495" i="2"/>
  <c r="DC495" i="2"/>
  <c r="DG631" i="2"/>
  <c r="DH631" i="2"/>
  <c r="DC110" i="2"/>
  <c r="DD110" i="2"/>
  <c r="DD379" i="2"/>
  <c r="DC379" i="2"/>
  <c r="DC363" i="2"/>
  <c r="DD363" i="2"/>
  <c r="DC644" i="2"/>
  <c r="DD644" i="2"/>
  <c r="DD629" i="2"/>
  <c r="DC629" i="2"/>
  <c r="DG625" i="2"/>
  <c r="DH625" i="2"/>
  <c r="W433" i="2"/>
  <c r="CZ433" i="2" s="1"/>
  <c r="Y433" i="2"/>
  <c r="DB433" i="2" s="1"/>
  <c r="X433" i="2"/>
  <c r="DA433" i="2" s="1"/>
  <c r="DG494" i="2"/>
  <c r="DH494" i="2"/>
  <c r="DF568" i="2"/>
  <c r="DE568" i="2"/>
  <c r="DE428" i="2"/>
  <c r="DF428" i="2"/>
  <c r="DF451" i="2"/>
  <c r="DE451" i="2"/>
  <c r="DE439" i="2"/>
  <c r="DF439" i="2"/>
  <c r="DE363" i="2"/>
  <c r="DF363" i="2"/>
  <c r="DE300" i="2"/>
  <c r="DF300" i="2"/>
  <c r="DE364" i="2"/>
  <c r="DF364" i="2"/>
  <c r="DE381" i="2"/>
  <c r="DF381" i="2"/>
  <c r="X248" i="2"/>
  <c r="DA248" i="2" s="1"/>
  <c r="X252" i="2"/>
  <c r="DA252" i="2" s="1"/>
  <c r="DE385" i="2"/>
  <c r="DF385" i="2"/>
  <c r="DH255" i="2"/>
  <c r="DG255" i="2"/>
  <c r="DE200" i="2"/>
  <c r="DF200" i="2"/>
  <c r="DE249" i="2"/>
  <c r="DF249" i="2"/>
  <c r="DF180" i="2"/>
  <c r="DE180" i="2"/>
  <c r="Y634" i="2"/>
  <c r="DB634" i="2" s="1"/>
  <c r="DA634" i="2"/>
  <c r="W634" i="2"/>
  <c r="CZ634" i="2" s="1"/>
  <c r="DA509" i="2"/>
  <c r="W509" i="2"/>
  <c r="CZ509" i="2" s="1"/>
  <c r="Y509" i="2"/>
  <c r="DB509" i="2" s="1"/>
  <c r="X362" i="2"/>
  <c r="DA362" i="2" s="1"/>
  <c r="Y362" i="2"/>
  <c r="DB362" i="2" s="1"/>
  <c r="W622" i="2"/>
  <c r="CZ622" i="2" s="1"/>
  <c r="X622" i="2"/>
  <c r="DA622" i="2" s="1"/>
  <c r="Y622" i="2"/>
  <c r="DB622" i="2" s="1"/>
  <c r="DA510" i="2"/>
  <c r="Y510" i="2"/>
  <c r="DB510" i="2" s="1"/>
  <c r="W510" i="2"/>
  <c r="CZ510" i="2" s="1"/>
  <c r="X516" i="2"/>
  <c r="DA516" i="2" s="1"/>
  <c r="Y516" i="2"/>
  <c r="DB516" i="2" s="1"/>
  <c r="X442" i="2"/>
  <c r="DA442" i="2" s="1"/>
  <c r="Y380" i="2"/>
  <c r="DB380" i="2" s="1"/>
  <c r="DA380" i="2"/>
  <c r="W380" i="2"/>
  <c r="CZ380" i="2" s="1"/>
  <c r="DF321" i="2"/>
  <c r="DE321" i="2"/>
  <c r="DF193" i="2"/>
  <c r="DE193" i="2"/>
  <c r="Y112" i="2"/>
  <c r="DB112" i="2" s="1"/>
  <c r="X112" i="2"/>
  <c r="DA112" i="2" s="1"/>
  <c r="X384" i="2"/>
  <c r="DA384" i="2" s="1"/>
  <c r="X306" i="2"/>
  <c r="DA306" i="2" s="1"/>
  <c r="W306" i="2"/>
  <c r="CZ306" i="2" s="1"/>
  <c r="Y306" i="2"/>
  <c r="DB306" i="2" s="1"/>
  <c r="X318" i="2"/>
  <c r="DA318" i="2" s="1"/>
  <c r="W318" i="2"/>
  <c r="CZ318" i="2" s="1"/>
  <c r="W191" i="2"/>
  <c r="CZ191" i="2" s="1"/>
  <c r="DA191" i="2"/>
  <c r="Y191" i="2"/>
  <c r="DB191" i="2" s="1"/>
  <c r="X129" i="2"/>
  <c r="DA129" i="2" s="1"/>
  <c r="Y129" i="2"/>
  <c r="DB129" i="2" s="1"/>
  <c r="X382" i="2"/>
  <c r="DA382" i="2" s="1"/>
  <c r="Y382" i="2"/>
  <c r="DB382" i="2" s="1"/>
  <c r="X386" i="2"/>
  <c r="DA386" i="2" s="1"/>
  <c r="X304" i="2"/>
  <c r="DA304" i="2" s="1"/>
  <c r="DF328" i="2"/>
  <c r="DE328" i="2"/>
  <c r="X251" i="2"/>
  <c r="DA251" i="2" s="1"/>
  <c r="Y251" i="2"/>
  <c r="DB251" i="2" s="1"/>
  <c r="X187" i="2"/>
  <c r="DA187" i="2" s="1"/>
  <c r="X135" i="2"/>
  <c r="DA135" i="2" s="1"/>
  <c r="DA619" i="2"/>
  <c r="Y619" i="2"/>
  <c r="DB619" i="2" s="1"/>
  <c r="W619" i="2"/>
  <c r="CZ619" i="2" s="1"/>
  <c r="X645" i="2"/>
  <c r="DA645" i="2" s="1"/>
  <c r="W645" i="2"/>
  <c r="CZ645" i="2" s="1"/>
  <c r="X560" i="2"/>
  <c r="DA560" i="2" s="1"/>
  <c r="DE658" i="2"/>
  <c r="DF658" i="2"/>
  <c r="DC521" i="2"/>
  <c r="DD521" i="2"/>
  <c r="X387" i="2"/>
  <c r="DA387" i="2" s="1"/>
  <c r="DD527" i="2"/>
  <c r="DC527" i="2"/>
  <c r="DH423" i="2"/>
  <c r="DG423" i="2"/>
  <c r="DD467" i="2"/>
  <c r="DC467" i="2"/>
  <c r="DH402" i="2"/>
  <c r="DG402" i="2"/>
  <c r="DD406" i="2"/>
  <c r="DC406" i="2"/>
  <c r="Y253" i="2"/>
  <c r="DB253" i="2" s="1"/>
  <c r="X253" i="2"/>
  <c r="DA253" i="2" s="1"/>
  <c r="W426" i="2"/>
  <c r="CZ426" i="2" s="1"/>
  <c r="Y426" i="2"/>
  <c r="DB426" i="2" s="1"/>
  <c r="X426" i="2"/>
  <c r="DA426" i="2" s="1"/>
  <c r="DD359" i="2"/>
  <c r="DC359" i="2"/>
  <c r="DD330" i="2"/>
  <c r="DC330" i="2"/>
  <c r="DG336" i="2"/>
  <c r="DH336" i="2"/>
  <c r="DH342" i="2"/>
  <c r="DG342" i="2"/>
  <c r="DD272" i="2"/>
  <c r="DC272" i="2"/>
  <c r="W174" i="2"/>
  <c r="CZ174" i="2" s="1"/>
  <c r="X174" i="2"/>
  <c r="DA174" i="2" s="1"/>
  <c r="DE457" i="2"/>
  <c r="DF457" i="2"/>
  <c r="DC343" i="2"/>
  <c r="DD343" i="2"/>
  <c r="DC422" i="2"/>
  <c r="DD422" i="2"/>
  <c r="DG170" i="2"/>
  <c r="DH170" i="2"/>
  <c r="DG207" i="2"/>
  <c r="DH207" i="2"/>
  <c r="DH217" i="2"/>
  <c r="DG217" i="2"/>
  <c r="J170" i="8"/>
  <c r="K170" i="8"/>
  <c r="Y143" i="2"/>
  <c r="DB143" i="2" s="1"/>
  <c r="X143" i="2"/>
  <c r="DA143" i="2" s="1"/>
  <c r="W268" i="2"/>
  <c r="CZ268" i="2" s="1"/>
  <c r="Y268" i="2"/>
  <c r="DB268" i="2" s="1"/>
  <c r="W341" i="2"/>
  <c r="CZ341" i="2" s="1"/>
  <c r="Y341" i="2"/>
  <c r="DB341" i="2" s="1"/>
  <c r="X341" i="2"/>
  <c r="DA341" i="2" s="1"/>
  <c r="W335" i="2"/>
  <c r="CZ335" i="2" s="1"/>
  <c r="X335" i="2"/>
  <c r="DA335" i="2" s="1"/>
  <c r="Y335" i="2"/>
  <c r="DB335" i="2" s="1"/>
  <c r="Y461" i="2"/>
  <c r="DB461" i="2" s="1"/>
  <c r="X461" i="2"/>
  <c r="DA461" i="2" s="1"/>
  <c r="DF529" i="2"/>
  <c r="DE529" i="2"/>
  <c r="DC652" i="2"/>
  <c r="DD652" i="2"/>
  <c r="DE53" i="34"/>
  <c r="DF53" i="34"/>
  <c r="EC56" i="2"/>
  <c r="EE51" i="2"/>
  <c r="EC54" i="2"/>
  <c r="EE50" i="2"/>
  <c r="Y153" i="2"/>
  <c r="DB153" i="2" s="1"/>
  <c r="W153" i="2"/>
  <c r="CZ153" i="2" s="1"/>
  <c r="X150" i="2"/>
  <c r="DA150" i="2" s="1"/>
  <c r="W150" i="2"/>
  <c r="CZ150" i="2" s="1"/>
  <c r="Y150" i="2"/>
  <c r="DB150" i="2" s="1"/>
  <c r="X142" i="2"/>
  <c r="DA142" i="2" s="1"/>
  <c r="W142" i="2"/>
  <c r="CZ142" i="2" s="1"/>
  <c r="Y142" i="2"/>
  <c r="DB142" i="2" s="1"/>
  <c r="W108" i="2"/>
  <c r="CZ108" i="2" s="1"/>
  <c r="Y108" i="2"/>
  <c r="DB108" i="2" s="1"/>
  <c r="X108" i="2"/>
  <c r="DA108" i="2" s="1"/>
  <c r="DE172" i="2"/>
  <c r="DF172" i="2"/>
  <c r="X274" i="2"/>
  <c r="DA274" i="2" s="1"/>
  <c r="W274" i="2"/>
  <c r="CZ274" i="2" s="1"/>
  <c r="Y274" i="2"/>
  <c r="DB274" i="2" s="1"/>
  <c r="DE267" i="2"/>
  <c r="DF267" i="2"/>
  <c r="X331" i="2"/>
  <c r="DA331" i="2" s="1"/>
  <c r="Y331" i="2"/>
  <c r="DB331" i="2" s="1"/>
  <c r="W331" i="2"/>
  <c r="CZ331" i="2" s="1"/>
  <c r="X403" i="2"/>
  <c r="DA403" i="2" s="1"/>
  <c r="W403" i="2"/>
  <c r="CZ403" i="2" s="1"/>
  <c r="X400" i="2"/>
  <c r="DA400" i="2" s="1"/>
  <c r="W400" i="2"/>
  <c r="CZ400" i="2" s="1"/>
  <c r="Y400" i="2"/>
  <c r="DB400" i="2" s="1"/>
  <c r="W465" i="2"/>
  <c r="CZ465" i="2" s="1"/>
  <c r="Y465" i="2"/>
  <c r="DB465" i="2" s="1"/>
  <c r="X465" i="2"/>
  <c r="DA465" i="2" s="1"/>
  <c r="DD487" i="2"/>
  <c r="DC487" i="2"/>
  <c r="X528" i="2"/>
  <c r="DA528" i="2" s="1"/>
  <c r="Y528" i="2"/>
  <c r="DB528" i="2" s="1"/>
  <c r="DE525" i="2"/>
  <c r="DF525" i="2"/>
  <c r="Y656" i="2"/>
  <c r="DB656" i="2" s="1"/>
  <c r="W656" i="2"/>
  <c r="CZ656" i="2" s="1"/>
  <c r="DC53" i="34"/>
  <c r="DD53" i="34"/>
  <c r="DE64" i="34"/>
  <c r="DF64" i="34"/>
  <c r="Y554" i="2"/>
  <c r="DB554" i="2" s="1"/>
  <c r="DD439" i="2"/>
  <c r="DC430" i="2"/>
  <c r="Y309" i="2"/>
  <c r="DB309" i="2" s="1"/>
  <c r="Y432" i="2"/>
  <c r="DB432" i="2" s="1"/>
  <c r="Y326" i="2"/>
  <c r="DB326" i="2" s="1"/>
  <c r="Y145" i="2"/>
  <c r="DB145" i="2" s="1"/>
  <c r="W145" i="2"/>
  <c r="CZ145" i="2" s="1"/>
  <c r="Y154" i="2"/>
  <c r="DB154" i="2" s="1"/>
  <c r="W154" i="2"/>
  <c r="CZ154" i="2" s="1"/>
  <c r="X154" i="2"/>
  <c r="DA154" i="2" s="1"/>
  <c r="Y281" i="2"/>
  <c r="W281" i="2"/>
  <c r="DH276" i="2"/>
  <c r="DG276" i="2"/>
  <c r="X270" i="2"/>
  <c r="DA270" i="2" s="1"/>
  <c r="W270" i="2"/>
  <c r="CZ270" i="2" s="1"/>
  <c r="Y270" i="2"/>
  <c r="DB270" i="2" s="1"/>
  <c r="DE393" i="2"/>
  <c r="DF393" i="2"/>
  <c r="X595" i="2"/>
  <c r="DA595" i="2" s="1"/>
  <c r="W595" i="2"/>
  <c r="CZ595" i="2" s="1"/>
  <c r="Y595" i="2"/>
  <c r="DB595" i="2" s="1"/>
  <c r="DD660" i="2"/>
  <c r="DC660" i="2"/>
  <c r="DC83" i="34"/>
  <c r="DC147" i="2"/>
  <c r="DD147" i="2"/>
  <c r="W171" i="2"/>
  <c r="CZ171" i="2" s="1"/>
  <c r="Y171" i="2"/>
  <c r="DB171" i="2" s="1"/>
  <c r="X171" i="2"/>
  <c r="DA171" i="2" s="1"/>
  <c r="X218" i="2"/>
  <c r="DA218" i="2" s="1"/>
  <c r="Y218" i="2"/>
  <c r="DB218" i="2" s="1"/>
  <c r="W218" i="2"/>
  <c r="CZ218" i="2" s="1"/>
  <c r="DF275" i="2"/>
  <c r="DE275" i="2"/>
  <c r="Y269" i="2"/>
  <c r="DB269" i="2" s="1"/>
  <c r="X269" i="2"/>
  <c r="DA269" i="2" s="1"/>
  <c r="DE533" i="2"/>
  <c r="DF533" i="2"/>
  <c r="I173" i="8"/>
  <c r="AI213" i="3"/>
  <c r="AS189" i="6"/>
  <c r="AS184" i="8"/>
  <c r="AI188" i="8"/>
  <c r="E174" i="8"/>
  <c r="EC116" i="2"/>
  <c r="W216" i="2"/>
  <c r="CZ216" i="2" s="1"/>
  <c r="X212" i="2"/>
  <c r="DA212" i="2" s="1"/>
  <c r="Y393" i="2"/>
  <c r="DB393" i="2" s="1"/>
  <c r="X397" i="2"/>
  <c r="DA397" i="2" s="1"/>
  <c r="EB561" i="2"/>
  <c r="EA560" i="2"/>
  <c r="EA559" i="2"/>
  <c r="EA561" i="2"/>
  <c r="EE556" i="2"/>
  <c r="DC587" i="2"/>
  <c r="X587" i="2"/>
  <c r="DA587" i="2" s="1"/>
  <c r="X659" i="2"/>
  <c r="DA659" i="2" s="1"/>
  <c r="S624" i="2"/>
  <c r="T624" i="2"/>
  <c r="U624" i="2" s="1"/>
  <c r="Y663" i="2"/>
  <c r="DB663" i="2" s="1"/>
  <c r="DF70" i="34"/>
  <c r="DF58" i="34"/>
  <c r="DE58" i="34"/>
  <c r="DE69" i="34"/>
  <c r="DF69" i="34"/>
  <c r="Y68" i="34"/>
  <c r="DB68" i="34" s="1"/>
  <c r="X59" i="34"/>
  <c r="S93" i="34"/>
  <c r="T93" i="34"/>
  <c r="U93" i="34" s="1"/>
  <c r="C42" i="30"/>
  <c r="F42" i="30"/>
  <c r="C34" i="30"/>
  <c r="F34" i="30"/>
  <c r="BS25" i="31"/>
  <c r="BT24" i="31"/>
  <c r="CB27" i="31"/>
  <c r="CA27" i="31"/>
  <c r="CA51" i="31"/>
  <c r="CC51" i="31"/>
  <c r="CB51" i="31"/>
  <c r="CC24" i="31"/>
  <c r="CA24" i="31"/>
  <c r="CB24" i="31"/>
  <c r="AI199" i="8"/>
  <c r="AI201" i="8"/>
  <c r="AI209" i="8"/>
  <c r="Y615" i="2"/>
  <c r="DB615" i="2" s="1"/>
  <c r="W615" i="2"/>
  <c r="CZ615" i="2" s="1"/>
  <c r="X615" i="2"/>
  <c r="DA615" i="2" s="1"/>
  <c r="H31" i="22"/>
  <c r="DF68" i="34"/>
  <c r="DE68" i="34"/>
  <c r="DF92" i="34"/>
  <c r="DE92" i="34"/>
  <c r="X54" i="34"/>
  <c r="DA54" i="34" s="1"/>
  <c r="X52" i="34"/>
  <c r="Y52" i="34" s="1"/>
  <c r="DB52" i="34" s="1"/>
  <c r="X88" i="34"/>
  <c r="DA88" i="34" s="1"/>
  <c r="X81" i="34"/>
  <c r="DF78" i="34"/>
  <c r="DE78" i="34"/>
  <c r="Y70" i="34"/>
  <c r="DB70" i="34" s="1"/>
  <c r="DF66" i="34"/>
  <c r="DE66" i="34"/>
  <c r="Y83" i="34"/>
  <c r="DB83" i="34" s="1"/>
  <c r="T62" i="34"/>
  <c r="U62" i="34" s="1"/>
  <c r="S62" i="34"/>
  <c r="T60" i="34"/>
  <c r="U60" i="34" s="1"/>
  <c r="S60" i="34"/>
  <c r="CC27" i="31"/>
  <c r="H177" i="8"/>
  <c r="H214" i="6"/>
  <c r="AJ170" i="8"/>
  <c r="F170" i="8"/>
  <c r="EE111" i="2"/>
  <c r="T429" i="2"/>
  <c r="U429" i="2" s="1"/>
  <c r="EE555" i="2"/>
  <c r="EC560" i="2"/>
  <c r="W591" i="2"/>
  <c r="CZ591" i="2" s="1"/>
  <c r="W586" i="2"/>
  <c r="CZ586" i="2" s="1"/>
  <c r="Y587" i="2"/>
  <c r="DB587" i="2" s="1"/>
  <c r="T636" i="2"/>
  <c r="U636" i="2" s="1"/>
  <c r="S619" i="2"/>
  <c r="W64" i="34"/>
  <c r="CZ64" i="34" s="1"/>
  <c r="Y53" i="34"/>
  <c r="DB53" i="34" s="1"/>
  <c r="Y58" i="34"/>
  <c r="DB58" i="34" s="1"/>
  <c r="Y64" i="34"/>
  <c r="DB64" i="34" s="1"/>
  <c r="X90" i="34"/>
  <c r="DA90" i="34" s="1"/>
  <c r="W80" i="34"/>
  <c r="CZ80" i="34" s="1"/>
  <c r="Y80" i="34"/>
  <c r="DB80" i="34" s="1"/>
  <c r="X89" i="34"/>
  <c r="W89" i="34" s="1"/>
  <c r="CZ89" i="34" s="1"/>
  <c r="X72" i="34"/>
  <c r="X87" i="34"/>
  <c r="T84" i="34"/>
  <c r="U84" i="34" s="1"/>
  <c r="S84" i="34"/>
  <c r="S57" i="34"/>
  <c r="T57" i="34"/>
  <c r="U57" i="34" s="1"/>
  <c r="Y73" i="34"/>
  <c r="DB73" i="34" s="1"/>
  <c r="CB22" i="31"/>
  <c r="CD36" i="31" s="1"/>
  <c r="CF36" i="31" s="1"/>
  <c r="CA22" i="31"/>
  <c r="AT26" i="31"/>
  <c r="AU25" i="31"/>
  <c r="AZ25" i="31" s="1"/>
  <c r="CC33" i="31"/>
  <c r="CA33" i="31"/>
  <c r="CB33" i="31"/>
  <c r="CD45" i="31" s="1"/>
  <c r="CF45" i="31" s="1"/>
  <c r="CA38" i="31"/>
  <c r="CB38" i="31"/>
  <c r="CB42" i="31"/>
  <c r="CC42" i="31"/>
  <c r="CB49" i="31"/>
  <c r="CC49" i="31"/>
  <c r="CA53" i="31"/>
  <c r="CC53" i="31"/>
  <c r="CB53" i="31"/>
  <c r="CB57" i="31"/>
  <c r="CC57" i="31"/>
  <c r="CB68" i="31"/>
  <c r="CA68" i="31"/>
  <c r="CC68" i="31"/>
  <c r="H201" i="8"/>
  <c r="H170" i="6"/>
  <c r="D8" i="17"/>
  <c r="EB559" i="2"/>
  <c r="EC561" i="2"/>
  <c r="X591" i="2"/>
  <c r="DA591" i="2" s="1"/>
  <c r="X586" i="2"/>
  <c r="DA586" i="2" s="1"/>
  <c r="Y552" i="2"/>
  <c r="DB552" i="2" s="1"/>
  <c r="W552" i="2"/>
  <c r="CZ552" i="2" s="1"/>
  <c r="S636" i="2"/>
  <c r="X651" i="2"/>
  <c r="DA651" i="2" s="1"/>
  <c r="Y617" i="2"/>
  <c r="DB617" i="2" s="1"/>
  <c r="W617" i="2"/>
  <c r="CZ617" i="2" s="1"/>
  <c r="DE83" i="34"/>
  <c r="W58" i="34"/>
  <c r="CZ58" i="34" s="1"/>
  <c r="X79" i="34"/>
  <c r="W79" i="34" s="1"/>
  <c r="CZ79" i="34" s="1"/>
  <c r="X51" i="34"/>
  <c r="Y51" i="34" s="1"/>
  <c r="DB51" i="34" s="1"/>
  <c r="X49" i="34"/>
  <c r="DA49" i="34" s="1"/>
  <c r="Y67" i="34"/>
  <c r="DB67" i="34" s="1"/>
  <c r="Y48" i="34"/>
  <c r="DB48" i="34" s="1"/>
  <c r="T85" i="34"/>
  <c r="U85" i="34" s="1"/>
  <c r="S85" i="34"/>
  <c r="T65" i="34"/>
  <c r="U65" i="34" s="1"/>
  <c r="S65" i="34"/>
  <c r="X91" i="34"/>
  <c r="DA91" i="34" s="1"/>
  <c r="T74" i="34"/>
  <c r="U74" i="34" s="1"/>
  <c r="S74" i="34"/>
  <c r="BX27" i="31"/>
  <c r="BI27" i="31"/>
  <c r="AN27" i="31"/>
  <c r="AR27" i="31" s="1"/>
  <c r="AM28" i="31"/>
  <c r="CK20" i="31"/>
  <c r="CO19" i="31"/>
  <c r="CB31" i="31"/>
  <c r="CD62" i="31" s="1"/>
  <c r="CF62" i="31" s="1"/>
  <c r="CA31" i="31"/>
  <c r="BX24" i="31"/>
  <c r="AR24" i="31"/>
  <c r="K113" i="32"/>
  <c r="CA26" i="31"/>
  <c r="CB36" i="31"/>
  <c r="BI40" i="31" s="1"/>
  <c r="CA19" i="31"/>
  <c r="CC21" i="31"/>
  <c r="BK25" i="31"/>
  <c r="CC20" i="31"/>
  <c r="W73" i="34"/>
  <c r="CZ73" i="34" s="1"/>
  <c r="Y86" i="34"/>
  <c r="DB86" i="34" s="1"/>
  <c r="W75" i="34"/>
  <c r="CZ75" i="34" s="1"/>
  <c r="DA63" i="34"/>
  <c r="BC29" i="31"/>
  <c r="BI29" i="31" s="1"/>
  <c r="Y76" i="34"/>
  <c r="DB76" i="34" s="1"/>
  <c r="W63" i="34"/>
  <c r="CZ63" i="34" s="1"/>
  <c r="W67" i="34"/>
  <c r="CZ67" i="34" s="1"/>
  <c r="CA47" i="31"/>
  <c r="DH637" i="34"/>
  <c r="DG637" i="34"/>
  <c r="DG618" i="34"/>
  <c r="DH618" i="34"/>
  <c r="DD512" i="34"/>
  <c r="DC512" i="34"/>
  <c r="DD441" i="34"/>
  <c r="DC441" i="34"/>
  <c r="DG554" i="34"/>
  <c r="DH554" i="34"/>
  <c r="DD443" i="34"/>
  <c r="DC443" i="34"/>
  <c r="DD577" i="34"/>
  <c r="DC577" i="34"/>
  <c r="DC632" i="34"/>
  <c r="DD632" i="34"/>
  <c r="DD622" i="34"/>
  <c r="DC622" i="34"/>
  <c r="DC389" i="34"/>
  <c r="DD389" i="34"/>
  <c r="DD493" i="34"/>
  <c r="DC493" i="34"/>
  <c r="DG381" i="34"/>
  <c r="DH381" i="34"/>
  <c r="DG631" i="34"/>
  <c r="DH631" i="34"/>
  <c r="DG431" i="34"/>
  <c r="DH431" i="34"/>
  <c r="DG445" i="34"/>
  <c r="DH445" i="34"/>
  <c r="DH514" i="34"/>
  <c r="DG514" i="34"/>
  <c r="DD130" i="34"/>
  <c r="DC130" i="34"/>
  <c r="DE191" i="34"/>
  <c r="DF191" i="34"/>
  <c r="DD371" i="34"/>
  <c r="DC371" i="34"/>
  <c r="DC517" i="34"/>
  <c r="DD517" i="34"/>
  <c r="DE518" i="34"/>
  <c r="DF518" i="34"/>
  <c r="DG136" i="34"/>
  <c r="DH136" i="34"/>
  <c r="DD387" i="34"/>
  <c r="DC387" i="34"/>
  <c r="DH438" i="34"/>
  <c r="DG438" i="34"/>
  <c r="DF440" i="34"/>
  <c r="DE440" i="34"/>
  <c r="DH497" i="34"/>
  <c r="DG497" i="34"/>
  <c r="DG557" i="34"/>
  <c r="DH557" i="34"/>
  <c r="DE561" i="34"/>
  <c r="DF561" i="34"/>
  <c r="DC630" i="34"/>
  <c r="DD630" i="34"/>
  <c r="DH639" i="34"/>
  <c r="DG639" i="34"/>
  <c r="DD134" i="34"/>
  <c r="DC134" i="34"/>
  <c r="DG249" i="34"/>
  <c r="DH249" i="34"/>
  <c r="DC329" i="34"/>
  <c r="DD329" i="34"/>
  <c r="DD383" i="34"/>
  <c r="DC383" i="34"/>
  <c r="DC384" i="34"/>
  <c r="DD384" i="34"/>
  <c r="DH570" i="34"/>
  <c r="DG570" i="34"/>
  <c r="DD562" i="34"/>
  <c r="DC562" i="34"/>
  <c r="DE195" i="34"/>
  <c r="DF195" i="34"/>
  <c r="DC648" i="34"/>
  <c r="DD648" i="34"/>
  <c r="DH383" i="34"/>
  <c r="DG383" i="34"/>
  <c r="DD497" i="34"/>
  <c r="DC497" i="34"/>
  <c r="DD127" i="34"/>
  <c r="DC127" i="34"/>
  <c r="DH324" i="34"/>
  <c r="DG324" i="34"/>
  <c r="DD302" i="34"/>
  <c r="DC302" i="34"/>
  <c r="DD378" i="34"/>
  <c r="DC378" i="34"/>
  <c r="DD313" i="34"/>
  <c r="DC313" i="34"/>
  <c r="DH379" i="34"/>
  <c r="DG379" i="34"/>
  <c r="DH258" i="34"/>
  <c r="DG258" i="34"/>
  <c r="DG303" i="34"/>
  <c r="DH303" i="34"/>
  <c r="DG327" i="34"/>
  <c r="DH327" i="34"/>
  <c r="DF114" i="34"/>
  <c r="DE114" i="34"/>
  <c r="DG515" i="34"/>
  <c r="DH515" i="34"/>
  <c r="DC639" i="34"/>
  <c r="DD639" i="34"/>
  <c r="DG193" i="34"/>
  <c r="DH193" i="34"/>
  <c r="DH376" i="34"/>
  <c r="DG376" i="34"/>
  <c r="DH142" i="34"/>
  <c r="DG142" i="34"/>
  <c r="DD142" i="34"/>
  <c r="DC142" i="34"/>
  <c r="DD153" i="34"/>
  <c r="DC153" i="34"/>
  <c r="DD214" i="34"/>
  <c r="DC214" i="34"/>
  <c r="DD273" i="34"/>
  <c r="DC273" i="34"/>
  <c r="DD336" i="34"/>
  <c r="DC336" i="34"/>
  <c r="DC335" i="34"/>
  <c r="DD335" i="34"/>
  <c r="DG339" i="34"/>
  <c r="DH339" i="34"/>
  <c r="DH399" i="34"/>
  <c r="DG399" i="34"/>
  <c r="DH404" i="34"/>
  <c r="DG404" i="34"/>
  <c r="DH396" i="34"/>
  <c r="DG396" i="34"/>
  <c r="DH551" i="34"/>
  <c r="DG551" i="34"/>
  <c r="DD176" i="34"/>
  <c r="DC176" i="34"/>
  <c r="DH430" i="34"/>
  <c r="DG430" i="34"/>
  <c r="DG437" i="34"/>
  <c r="DH437" i="34"/>
  <c r="DC514" i="34"/>
  <c r="DD514" i="34"/>
  <c r="DD380" i="34"/>
  <c r="DC380" i="34"/>
  <c r="DF115" i="34"/>
  <c r="DE115" i="34"/>
  <c r="DC256" i="34"/>
  <c r="DD256" i="34"/>
  <c r="DD453" i="34"/>
  <c r="DC453" i="34"/>
  <c r="DH494" i="34"/>
  <c r="DG494" i="34"/>
  <c r="DC573" i="34"/>
  <c r="DD573" i="34"/>
  <c r="DC564" i="34"/>
  <c r="DD564" i="34"/>
  <c r="DH129" i="34"/>
  <c r="DG129" i="34"/>
  <c r="DH130" i="34"/>
  <c r="DG130" i="34"/>
  <c r="DH371" i="34"/>
  <c r="DG371" i="34"/>
  <c r="DD442" i="34"/>
  <c r="DC442" i="34"/>
  <c r="DD504" i="34"/>
  <c r="DC504" i="34"/>
  <c r="DE516" i="34"/>
  <c r="DF516" i="34"/>
  <c r="DH553" i="34"/>
  <c r="DG553" i="34"/>
  <c r="DF568" i="34"/>
  <c r="DE568" i="34"/>
  <c r="DE243" i="34"/>
  <c r="DF243" i="34"/>
  <c r="DF366" i="34"/>
  <c r="DE366" i="34"/>
  <c r="DF426" i="34"/>
  <c r="DE426" i="34"/>
  <c r="DE622" i="34"/>
  <c r="DF622" i="34"/>
  <c r="DH252" i="34"/>
  <c r="DG252" i="34"/>
  <c r="DH323" i="34"/>
  <c r="DG323" i="34"/>
  <c r="DC362" i="34"/>
  <c r="DD362" i="34"/>
  <c r="DG562" i="34"/>
  <c r="DH562" i="34"/>
  <c r="DG499" i="34"/>
  <c r="DH499" i="34"/>
  <c r="DD265" i="34"/>
  <c r="DC265" i="34"/>
  <c r="DG305" i="34"/>
  <c r="DH305" i="34"/>
  <c r="DH392" i="34"/>
  <c r="DG392" i="34"/>
  <c r="DG642" i="34"/>
  <c r="DH642" i="34"/>
  <c r="DD252" i="34"/>
  <c r="DC252" i="34"/>
  <c r="DG444" i="34"/>
  <c r="DH444" i="34"/>
  <c r="DH517" i="34"/>
  <c r="DG517" i="34"/>
  <c r="DD177" i="34"/>
  <c r="DC177" i="34"/>
  <c r="DG125" i="34"/>
  <c r="DH125" i="34"/>
  <c r="DC436" i="34"/>
  <c r="DD436" i="34"/>
  <c r="DG448" i="34"/>
  <c r="DH448" i="34"/>
  <c r="DD122" i="34"/>
  <c r="DC122" i="34"/>
  <c r="DD190" i="34"/>
  <c r="DH439" i="34"/>
  <c r="DG439" i="34"/>
  <c r="DD642" i="34"/>
  <c r="DC642" i="34"/>
  <c r="DD154" i="34"/>
  <c r="DC154" i="34"/>
  <c r="DH148" i="34"/>
  <c r="DG148" i="34"/>
  <c r="DD213" i="34"/>
  <c r="DH277" i="34"/>
  <c r="DG277" i="34"/>
  <c r="DH276" i="34"/>
  <c r="DG276" i="34"/>
  <c r="DD341" i="34"/>
  <c r="DC341" i="34"/>
  <c r="DG342" i="34"/>
  <c r="DH342" i="34"/>
  <c r="DD400" i="34"/>
  <c r="DC400" i="34"/>
  <c r="DG443" i="34"/>
  <c r="DH443" i="34"/>
  <c r="DH568" i="34"/>
  <c r="DG568" i="34"/>
  <c r="DC561" i="34"/>
  <c r="DD561" i="34"/>
  <c r="DC511" i="34"/>
  <c r="DD511" i="34"/>
  <c r="DC621" i="34"/>
  <c r="DD621" i="34"/>
  <c r="DD440" i="34"/>
  <c r="DC440" i="34"/>
  <c r="DG186" i="34"/>
  <c r="DH186" i="34"/>
  <c r="DH433" i="34"/>
  <c r="DG433" i="34"/>
  <c r="DG329" i="34"/>
  <c r="DH329" i="34"/>
  <c r="DF244" i="34"/>
  <c r="DE244" i="34"/>
  <c r="DC372" i="34"/>
  <c r="DD372" i="34"/>
  <c r="DD490" i="34"/>
  <c r="DC490" i="34"/>
  <c r="DC557" i="34"/>
  <c r="DD557" i="34"/>
  <c r="DD129" i="34"/>
  <c r="DC129" i="34"/>
  <c r="DD370" i="34"/>
  <c r="DC370" i="34"/>
  <c r="DE447" i="34"/>
  <c r="DF447" i="34"/>
  <c r="DC555" i="34"/>
  <c r="DD555" i="34"/>
  <c r="DD553" i="34"/>
  <c r="DC553" i="34"/>
  <c r="DD116" i="34"/>
  <c r="DC116" i="34"/>
  <c r="DC189" i="34"/>
  <c r="DD189" i="34"/>
  <c r="DH264" i="34"/>
  <c r="DG264" i="34"/>
  <c r="DD305" i="34"/>
  <c r="DC305" i="34"/>
  <c r="DG496" i="34"/>
  <c r="DH496" i="34"/>
  <c r="DF430" i="34"/>
  <c r="DE430" i="34"/>
  <c r="DC519" i="34"/>
  <c r="DD519" i="34"/>
  <c r="DF113" i="34"/>
  <c r="DE113" i="34"/>
  <c r="DF443" i="34"/>
  <c r="DE443" i="34"/>
  <c r="DG575" i="34"/>
  <c r="DH575" i="34"/>
  <c r="DF618" i="34"/>
  <c r="DE618" i="34"/>
  <c r="DF505" i="34"/>
  <c r="DE505" i="34"/>
  <c r="DH257" i="34"/>
  <c r="DG257" i="34"/>
  <c r="DG263" i="34"/>
  <c r="DH263" i="34"/>
  <c r="DH309" i="34"/>
  <c r="DG309" i="34"/>
  <c r="DD246" i="34"/>
  <c r="DC246" i="34"/>
  <c r="DE501" i="34"/>
  <c r="DF501" i="34"/>
  <c r="DC120" i="34"/>
  <c r="DD120" i="34"/>
  <c r="DG192" i="34"/>
  <c r="DD308" i="34"/>
  <c r="DC308" i="34"/>
  <c r="DH369" i="34"/>
  <c r="DG369" i="34"/>
  <c r="DH117" i="34"/>
  <c r="DG117" i="34"/>
  <c r="DC240" i="34"/>
  <c r="DD240" i="34"/>
  <c r="DG255" i="34"/>
  <c r="DH255" i="34"/>
  <c r="DD178" i="34"/>
  <c r="DC178" i="34"/>
  <c r="DD254" i="34"/>
  <c r="DC254" i="34"/>
  <c r="DH377" i="34"/>
  <c r="DG377" i="34"/>
  <c r="DD438" i="34"/>
  <c r="DC438" i="34"/>
  <c r="DH177" i="34"/>
  <c r="DG177" i="34"/>
  <c r="DD365" i="34"/>
  <c r="DC365" i="34"/>
  <c r="DH194" i="34"/>
  <c r="DG194" i="34"/>
  <c r="DH374" i="34"/>
  <c r="DG374" i="34"/>
  <c r="DH133" i="34"/>
  <c r="DG133" i="34"/>
  <c r="DC304" i="34"/>
  <c r="DD304" i="34"/>
  <c r="DG513" i="34"/>
  <c r="DH513" i="34"/>
  <c r="DG555" i="34"/>
  <c r="DH555" i="34"/>
  <c r="DC454" i="34"/>
  <c r="DD454" i="34"/>
  <c r="DH248" i="34"/>
  <c r="DG248" i="34"/>
  <c r="DD147" i="34"/>
  <c r="DC147" i="34"/>
  <c r="DC152" i="34"/>
  <c r="DD152" i="34"/>
  <c r="DH150" i="34"/>
  <c r="DG150" i="34"/>
  <c r="DD170" i="34"/>
  <c r="DC170" i="34"/>
  <c r="DD171" i="34"/>
  <c r="DC171" i="34"/>
  <c r="DG344" i="34"/>
  <c r="DH344" i="34"/>
  <c r="DG334" i="34"/>
  <c r="DH334" i="34"/>
  <c r="DG359" i="34"/>
  <c r="DH359" i="34"/>
  <c r="DG652" i="34"/>
  <c r="DH652" i="34"/>
  <c r="DD568" i="34"/>
  <c r="DC568" i="34"/>
  <c r="DC631" i="34"/>
  <c r="DD631" i="34"/>
  <c r="DG576" i="34"/>
  <c r="DD135" i="34"/>
  <c r="DC135" i="34"/>
  <c r="DC136" i="34"/>
  <c r="DD136" i="34"/>
  <c r="DD262" i="34"/>
  <c r="DC262" i="34"/>
  <c r="DF186" i="34"/>
  <c r="DE186" i="34"/>
  <c r="DD324" i="34"/>
  <c r="DC324" i="34"/>
  <c r="DD306" i="34"/>
  <c r="DC306" i="34"/>
  <c r="DF325" i="34"/>
  <c r="DE325" i="34"/>
  <c r="DH375" i="34"/>
  <c r="DG375" i="34"/>
  <c r="DE470" i="34"/>
  <c r="DF470" i="34"/>
  <c r="DG564" i="34"/>
  <c r="DH564" i="34"/>
  <c r="DG620" i="34"/>
  <c r="DH620" i="34"/>
  <c r="DH122" i="34"/>
  <c r="DG122" i="34"/>
  <c r="DD139" i="34"/>
  <c r="DC139" i="34"/>
  <c r="DF176" i="34"/>
  <c r="DE176" i="34"/>
  <c r="DD369" i="34"/>
  <c r="DC369" i="34"/>
  <c r="DH390" i="34"/>
  <c r="DG390" i="34"/>
  <c r="DE449" i="34"/>
  <c r="DF449" i="34"/>
  <c r="DC489" i="34"/>
  <c r="DD489" i="34"/>
  <c r="DG109" i="34"/>
  <c r="DH109" i="34"/>
  <c r="DF431" i="34"/>
  <c r="DE431" i="34"/>
  <c r="DC623" i="34"/>
  <c r="DD623" i="34"/>
  <c r="DG636" i="34"/>
  <c r="DH636" i="34"/>
  <c r="DH299" i="34"/>
  <c r="DG299" i="34"/>
  <c r="DC117" i="34"/>
  <c r="DD117" i="34"/>
  <c r="DD125" i="34"/>
  <c r="DC125" i="34"/>
  <c r="DC126" i="34"/>
  <c r="DD126" i="34"/>
  <c r="DC260" i="34"/>
  <c r="DD260" i="34"/>
  <c r="DH314" i="34"/>
  <c r="DG314" i="34"/>
  <c r="DG495" i="34"/>
  <c r="DH495" i="34"/>
  <c r="DG120" i="34"/>
  <c r="DH120" i="34"/>
  <c r="DH260" i="34"/>
  <c r="DG260" i="34"/>
  <c r="DC439" i="34"/>
  <c r="DD439" i="34"/>
  <c r="DD316" i="34"/>
  <c r="DC316" i="34"/>
  <c r="DG189" i="34"/>
  <c r="DH189" i="34"/>
  <c r="DG181" i="34"/>
  <c r="DH181" i="34"/>
  <c r="DF386" i="34"/>
  <c r="DE386" i="34"/>
  <c r="DH384" i="34"/>
  <c r="DG384" i="34"/>
  <c r="DG442" i="34"/>
  <c r="DH442" i="34"/>
  <c r="DG446" i="34"/>
  <c r="DH446" i="34"/>
  <c r="DC144" i="34"/>
  <c r="DD144" i="34"/>
  <c r="DG108" i="34"/>
  <c r="DH108" i="34"/>
  <c r="DG267" i="34"/>
  <c r="DH267" i="34"/>
  <c r="DD267" i="34"/>
  <c r="DC267" i="34"/>
  <c r="DG273" i="34"/>
  <c r="DH273" i="34"/>
  <c r="DC340" i="34"/>
  <c r="DD340" i="34"/>
  <c r="DH251" i="34"/>
  <c r="W629" i="34"/>
  <c r="CZ629" i="34" s="1"/>
  <c r="X629" i="34"/>
  <c r="DF627" i="34"/>
  <c r="DE627" i="34"/>
  <c r="X180" i="34"/>
  <c r="W180" i="34" s="1"/>
  <c r="CZ180" i="34" s="1"/>
  <c r="X202" i="34"/>
  <c r="DA202" i="34" s="1"/>
  <c r="Y202" i="34"/>
  <c r="DB202" i="34" s="1"/>
  <c r="W202" i="34"/>
  <c r="CZ202" i="34" s="1"/>
  <c r="X579" i="34"/>
  <c r="X198" i="34"/>
  <c r="DA198" i="34" s="1"/>
  <c r="Y198" i="34"/>
  <c r="DB198" i="34" s="1"/>
  <c r="W198" i="34"/>
  <c r="CZ198" i="34" s="1"/>
  <c r="DF238" i="34"/>
  <c r="DE238" i="34"/>
  <c r="DF396" i="34"/>
  <c r="DE396" i="34"/>
  <c r="Y563" i="34"/>
  <c r="DB563" i="34" s="1"/>
  <c r="DA563" i="34"/>
  <c r="W563" i="34"/>
  <c r="CZ563" i="34" s="1"/>
  <c r="DF457" i="34"/>
  <c r="DE457" i="34"/>
  <c r="W194" i="34"/>
  <c r="CZ194" i="34" s="1"/>
  <c r="Y571" i="34"/>
  <c r="DB571" i="34" s="1"/>
  <c r="DA571" i="34"/>
  <c r="W571" i="34"/>
  <c r="CZ571" i="34" s="1"/>
  <c r="W491" i="34"/>
  <c r="CZ491" i="34" s="1"/>
  <c r="Y491" i="34"/>
  <c r="DB491" i="34" s="1"/>
  <c r="DA491" i="34"/>
  <c r="X492" i="34"/>
  <c r="Y492" i="34"/>
  <c r="DB492" i="34" s="1"/>
  <c r="DF591" i="34"/>
  <c r="DE591" i="34"/>
  <c r="DA182" i="34"/>
  <c r="W182" i="34"/>
  <c r="CZ182" i="34" s="1"/>
  <c r="DF179" i="34"/>
  <c r="DE179" i="34"/>
  <c r="DE550" i="34"/>
  <c r="DF550" i="34"/>
  <c r="W652" i="34"/>
  <c r="CZ652" i="34" s="1"/>
  <c r="W649" i="34"/>
  <c r="CZ649" i="34" s="1"/>
  <c r="DA652" i="34"/>
  <c r="DA551" i="34"/>
  <c r="DA590" i="34"/>
  <c r="DA588" i="34"/>
  <c r="DA525" i="34"/>
  <c r="DA520" i="34"/>
  <c r="W407" i="34"/>
  <c r="CZ407" i="34" s="1"/>
  <c r="Y340" i="34"/>
  <c r="DB340" i="34" s="1"/>
  <c r="Y336" i="34"/>
  <c r="DB336" i="34" s="1"/>
  <c r="DA337" i="34"/>
  <c r="DE147" i="34"/>
  <c r="DF147" i="34"/>
  <c r="X145" i="34"/>
  <c r="DA145" i="34" s="1"/>
  <c r="W145" i="34"/>
  <c r="CZ145" i="34" s="1"/>
  <c r="Y145" i="34"/>
  <c r="DB145" i="34" s="1"/>
  <c r="X361" i="34"/>
  <c r="W361" i="34"/>
  <c r="CZ361" i="34" s="1"/>
  <c r="Y520" i="34"/>
  <c r="DB520" i="34" s="1"/>
  <c r="Y660" i="34"/>
  <c r="DB660" i="34" s="1"/>
  <c r="Y649" i="34"/>
  <c r="DB649" i="34" s="1"/>
  <c r="Y332" i="34"/>
  <c r="DB332" i="34" s="1"/>
  <c r="E25" i="20"/>
  <c r="EC497" i="34"/>
  <c r="AZ14" i="8"/>
  <c r="AH67" i="8" s="1"/>
  <c r="AZ14" i="3"/>
  <c r="AH67" i="3" s="1"/>
  <c r="M11" i="11"/>
  <c r="AB13" i="8"/>
  <c r="AB13" i="6"/>
  <c r="AB13" i="3"/>
  <c r="AB66" i="3" s="1"/>
  <c r="I106" i="3"/>
  <c r="I74" i="3"/>
  <c r="AB64" i="3"/>
  <c r="G174" i="3"/>
  <c r="I61" i="6"/>
  <c r="Y61" i="6" s="1"/>
  <c r="C57" i="41" s="1"/>
  <c r="D57" i="41" s="1"/>
  <c r="E57" i="41" s="1"/>
  <c r="I104" i="3"/>
  <c r="I76" i="3"/>
  <c r="Y76" i="3" s="1"/>
  <c r="C21" i="41" s="1"/>
  <c r="D21" i="41" s="1"/>
  <c r="E21" i="41" s="1"/>
  <c r="I68" i="6"/>
  <c r="I74" i="6"/>
  <c r="Y74" i="6" s="1"/>
  <c r="C70" i="41" s="1"/>
  <c r="D70" i="41" s="1"/>
  <c r="E70" i="41" s="1"/>
  <c r="AB61" i="3"/>
  <c r="I74" i="8"/>
  <c r="I76" i="8"/>
  <c r="Y76" i="8" s="1"/>
  <c r="C123" i="41" s="1"/>
  <c r="D123" i="41" s="1"/>
  <c r="E123" i="41" s="1"/>
  <c r="I81" i="8"/>
  <c r="I86" i="8"/>
  <c r="Y86" i="8" s="1"/>
  <c r="C133" i="41" s="1"/>
  <c r="D133" i="41" s="1"/>
  <c r="E133" i="41" s="1"/>
  <c r="I88" i="8"/>
  <c r="Y88" i="8" s="1"/>
  <c r="C135" i="41" s="1"/>
  <c r="D135" i="41" s="1"/>
  <c r="E135" i="41" s="1"/>
  <c r="I96" i="8"/>
  <c r="Y96" i="8" s="1"/>
  <c r="C143" i="41" s="1"/>
  <c r="D143" i="41" s="1"/>
  <c r="E143" i="41" s="1"/>
  <c r="AB7" i="8"/>
  <c r="AB7" i="3"/>
  <c r="I75" i="8"/>
  <c r="Y75" i="8" s="1"/>
  <c r="C122" i="41" s="1"/>
  <c r="D122" i="41" s="1"/>
  <c r="E122" i="41" s="1"/>
  <c r="AB66" i="8"/>
  <c r="AB60" i="6"/>
  <c r="AB12" i="8"/>
  <c r="AB65" i="8" s="1"/>
  <c r="AB64" i="6"/>
  <c r="AB63" i="8"/>
  <c r="A11" i="34"/>
  <c r="A7" i="34"/>
  <c r="A410" i="34"/>
  <c r="W124" i="8"/>
  <c r="AB181" i="8"/>
  <c r="AT181" i="8" s="1"/>
  <c r="AC171" i="8"/>
  <c r="AU171" i="8" s="1"/>
  <c r="X114" i="8"/>
  <c r="H114" i="8"/>
  <c r="I176" i="6"/>
  <c r="H173" i="8"/>
  <c r="I182" i="3"/>
  <c r="K182" i="3" s="1"/>
  <c r="H170" i="8"/>
  <c r="AL170" i="8" s="1"/>
  <c r="AZ51" i="3"/>
  <c r="AH104" i="3" s="1"/>
  <c r="AZ11" i="6"/>
  <c r="AH64" i="6" s="1"/>
  <c r="Y98" i="3"/>
  <c r="C43" i="41" s="1"/>
  <c r="D43" i="41" s="1"/>
  <c r="E43" i="41" s="1"/>
  <c r="Y79" i="3"/>
  <c r="C24" i="41" s="1"/>
  <c r="D24" i="41" s="1"/>
  <c r="E24" i="41" s="1"/>
  <c r="Y70" i="3"/>
  <c r="C15" i="41" s="1"/>
  <c r="D15" i="41" s="1"/>
  <c r="E15" i="41" s="1"/>
  <c r="Y61" i="3"/>
  <c r="C6" i="41" s="1"/>
  <c r="D6" i="41" s="1"/>
  <c r="E6" i="41" s="1"/>
  <c r="Y68" i="6"/>
  <c r="C64" i="41" s="1"/>
  <c r="D64" i="41" s="1"/>
  <c r="E64" i="41" s="1"/>
  <c r="Y69" i="6"/>
  <c r="C65" i="41" s="1"/>
  <c r="D65" i="41" s="1"/>
  <c r="E65" i="41" s="1"/>
  <c r="Y70" i="6"/>
  <c r="C66" i="41" s="1"/>
  <c r="D66" i="41" s="1"/>
  <c r="E66" i="41" s="1"/>
  <c r="Y84" i="6"/>
  <c r="C80" i="41" s="1"/>
  <c r="D80" i="41" s="1"/>
  <c r="E80" i="41" s="1"/>
  <c r="Y85" i="6"/>
  <c r="C81" i="41" s="1"/>
  <c r="D81" i="41" s="1"/>
  <c r="E81" i="41" s="1"/>
  <c r="Y86" i="6"/>
  <c r="C82" i="41" s="1"/>
  <c r="D82" i="41" s="1"/>
  <c r="E82" i="41" s="1"/>
  <c r="Y100" i="6"/>
  <c r="C96" i="41" s="1"/>
  <c r="D96" i="41" s="1"/>
  <c r="E96" i="41" s="1"/>
  <c r="Y101" i="6"/>
  <c r="C97" i="41" s="1"/>
  <c r="D97" i="41" s="1"/>
  <c r="E97" i="41" s="1"/>
  <c r="Y102" i="6"/>
  <c r="C98" i="41" s="1"/>
  <c r="D98" i="41" s="1"/>
  <c r="E98" i="41" s="1"/>
  <c r="Y79" i="8"/>
  <c r="C126" i="41" s="1"/>
  <c r="D126" i="41" s="1"/>
  <c r="E126" i="41" s="1"/>
  <c r="Y80" i="8"/>
  <c r="C127" i="41" s="1"/>
  <c r="D127" i="41" s="1"/>
  <c r="E127" i="41" s="1"/>
  <c r="Y81" i="8"/>
  <c r="C128" i="41" s="1"/>
  <c r="D128" i="41" s="1"/>
  <c r="E128" i="41" s="1"/>
  <c r="Y83" i="8"/>
  <c r="C130" i="41" s="1"/>
  <c r="D130" i="41" s="1"/>
  <c r="E130" i="41" s="1"/>
  <c r="Y84" i="8"/>
  <c r="C131" i="41" s="1"/>
  <c r="D131" i="41" s="1"/>
  <c r="E131" i="41" s="1"/>
  <c r="Y85" i="8"/>
  <c r="C132" i="41" s="1"/>
  <c r="D132" i="41" s="1"/>
  <c r="E132" i="41" s="1"/>
  <c r="E177" i="8"/>
  <c r="AJ177" i="8" s="1"/>
  <c r="Y106" i="3"/>
  <c r="C51" i="41" s="1"/>
  <c r="D51" i="41" s="1"/>
  <c r="E51" i="41" s="1"/>
  <c r="Y90" i="3"/>
  <c r="C35" i="41" s="1"/>
  <c r="D35" i="41" s="1"/>
  <c r="E35" i="41" s="1"/>
  <c r="Y74" i="3"/>
  <c r="C19" i="41" s="1"/>
  <c r="D19" i="41" s="1"/>
  <c r="E19" i="41" s="1"/>
  <c r="Y65" i="3"/>
  <c r="C10" i="41" s="1"/>
  <c r="D10" i="41" s="1"/>
  <c r="E10" i="41" s="1"/>
  <c r="Y62" i="6"/>
  <c r="C58" i="41" s="1"/>
  <c r="D58" i="41" s="1"/>
  <c r="E58" i="41" s="1"/>
  <c r="Y78" i="6"/>
  <c r="C74" i="41" s="1"/>
  <c r="D74" i="41" s="1"/>
  <c r="E74" i="41" s="1"/>
  <c r="Y94" i="6"/>
  <c r="C90" i="41" s="1"/>
  <c r="D90" i="41" s="1"/>
  <c r="E90" i="41" s="1"/>
  <c r="Y65" i="8"/>
  <c r="C112" i="41" s="1"/>
  <c r="D112" i="41" s="1"/>
  <c r="E112" i="41" s="1"/>
  <c r="Y69" i="8"/>
  <c r="C116" i="41" s="1"/>
  <c r="D116" i="41" s="1"/>
  <c r="E116" i="41" s="1"/>
  <c r="Y97" i="8"/>
  <c r="C144" i="41" s="1"/>
  <c r="D144" i="41" s="1"/>
  <c r="E144" i="41" s="1"/>
  <c r="Y101" i="8"/>
  <c r="C148" i="41" s="1"/>
  <c r="D148" i="41" s="1"/>
  <c r="E148" i="41" s="1"/>
  <c r="I174" i="6"/>
  <c r="I199" i="6"/>
  <c r="Y90" i="6"/>
  <c r="C86" i="41" s="1"/>
  <c r="D86" i="41" s="1"/>
  <c r="E86" i="41" s="1"/>
  <c r="Y61" i="8"/>
  <c r="C108" i="41" s="1"/>
  <c r="D108" i="41" s="1"/>
  <c r="E108" i="41" s="1"/>
  <c r="Y73" i="8"/>
  <c r="C120" i="41" s="1"/>
  <c r="D120" i="41" s="1"/>
  <c r="E120" i="41" s="1"/>
  <c r="Y77" i="8"/>
  <c r="C124" i="41" s="1"/>
  <c r="D124" i="41" s="1"/>
  <c r="E124" i="41" s="1"/>
  <c r="Y105" i="8"/>
  <c r="C152" i="41" s="1"/>
  <c r="D152" i="41" s="1"/>
  <c r="E152" i="41" s="1"/>
  <c r="AV174" i="8"/>
  <c r="I188" i="8"/>
  <c r="J188" i="8" s="1"/>
  <c r="H192" i="6"/>
  <c r="E192" i="6"/>
  <c r="AJ192" i="6" s="1"/>
  <c r="I192" i="6"/>
  <c r="AZ9" i="6"/>
  <c r="AH62" i="6" s="1"/>
  <c r="AZ9" i="8"/>
  <c r="AH62" i="8" s="1"/>
  <c r="AM172" i="8" s="1"/>
  <c r="AN172" i="8" s="1"/>
  <c r="AZ9" i="3"/>
  <c r="AH62" i="3" s="1"/>
  <c r="AZ26" i="8"/>
  <c r="AH79" i="8" s="1"/>
  <c r="AZ26" i="3"/>
  <c r="AH79" i="3" s="1"/>
  <c r="AZ8" i="6"/>
  <c r="AH61" i="6" s="1"/>
  <c r="AZ8" i="3"/>
  <c r="AH61" i="3" s="1"/>
  <c r="AZ18" i="8"/>
  <c r="AH71" i="8" s="1"/>
  <c r="AZ18" i="3"/>
  <c r="AH71" i="3" s="1"/>
  <c r="AZ45" i="3"/>
  <c r="AH98" i="3" s="1"/>
  <c r="AZ15" i="3"/>
  <c r="AH68" i="3" s="1"/>
  <c r="AZ45" i="6"/>
  <c r="AH98" i="6" s="1"/>
  <c r="Y104" i="3"/>
  <c r="C49" i="41" s="1"/>
  <c r="D49" i="41" s="1"/>
  <c r="E49" i="41" s="1"/>
  <c r="Y99" i="3"/>
  <c r="C44" i="41" s="1"/>
  <c r="D44" i="41" s="1"/>
  <c r="E44" i="41" s="1"/>
  <c r="Y96" i="3"/>
  <c r="C41" i="41" s="1"/>
  <c r="D41" i="41" s="1"/>
  <c r="E41" i="41" s="1"/>
  <c r="Y91" i="3"/>
  <c r="C36" i="41" s="1"/>
  <c r="D36" i="41" s="1"/>
  <c r="E36" i="41" s="1"/>
  <c r="Y80" i="3"/>
  <c r="C25" i="41" s="1"/>
  <c r="D25" i="41" s="1"/>
  <c r="E25" i="41" s="1"/>
  <c r="Y77" i="3"/>
  <c r="C22" i="41" s="1"/>
  <c r="D22" i="41" s="1"/>
  <c r="E22" i="41" s="1"/>
  <c r="Y73" i="3"/>
  <c r="C18" i="41" s="1"/>
  <c r="D18" i="41" s="1"/>
  <c r="E18" i="41" s="1"/>
  <c r="Y68" i="3"/>
  <c r="C13" i="41" s="1"/>
  <c r="D13" i="41" s="1"/>
  <c r="E13" i="41" s="1"/>
  <c r="Y64" i="3"/>
  <c r="C9" i="41" s="1"/>
  <c r="D9" i="41" s="1"/>
  <c r="E9" i="41" s="1"/>
  <c r="AZ43" i="3"/>
  <c r="AH96" i="3" s="1"/>
  <c r="AZ11" i="8"/>
  <c r="AH64" i="8" s="1"/>
  <c r="BN69" i="9"/>
  <c r="Y63" i="6"/>
  <c r="C59" i="41" s="1"/>
  <c r="D59" i="41" s="1"/>
  <c r="E59" i="41" s="1"/>
  <c r="Y67" i="6"/>
  <c r="C63" i="41" s="1"/>
  <c r="D63" i="41" s="1"/>
  <c r="E63" i="41" s="1"/>
  <c r="Y71" i="6"/>
  <c r="C67" i="41" s="1"/>
  <c r="D67" i="41" s="1"/>
  <c r="E67" i="41" s="1"/>
  <c r="Y75" i="6"/>
  <c r="C71" i="41" s="1"/>
  <c r="D71" i="41" s="1"/>
  <c r="E71" i="41" s="1"/>
  <c r="Y79" i="6"/>
  <c r="C75" i="41" s="1"/>
  <c r="D75" i="41" s="1"/>
  <c r="E75" i="41" s="1"/>
  <c r="Y83" i="6"/>
  <c r="C79" i="41" s="1"/>
  <c r="D79" i="41" s="1"/>
  <c r="E79" i="41" s="1"/>
  <c r="Y87" i="6"/>
  <c r="C83" i="41" s="1"/>
  <c r="D83" i="41" s="1"/>
  <c r="E83" i="41" s="1"/>
  <c r="Y91" i="6"/>
  <c r="C87" i="41" s="1"/>
  <c r="D87" i="41" s="1"/>
  <c r="E87" i="41" s="1"/>
  <c r="Y95" i="6"/>
  <c r="C91" i="41" s="1"/>
  <c r="D91" i="41" s="1"/>
  <c r="E91" i="41" s="1"/>
  <c r="Y99" i="6"/>
  <c r="C95" i="41" s="1"/>
  <c r="D95" i="41" s="1"/>
  <c r="E95" i="41" s="1"/>
  <c r="Y103" i="6"/>
  <c r="C99" i="41" s="1"/>
  <c r="D99" i="41" s="1"/>
  <c r="E99" i="41" s="1"/>
  <c r="Y62" i="8"/>
  <c r="C109" i="41" s="1"/>
  <c r="D109" i="41" s="1"/>
  <c r="E109" i="41" s="1"/>
  <c r="Y66" i="8"/>
  <c r="C113" i="41" s="1"/>
  <c r="D113" i="41" s="1"/>
  <c r="E113" i="41" s="1"/>
  <c r="Y74" i="8"/>
  <c r="C121" i="41" s="1"/>
  <c r="D121" i="41" s="1"/>
  <c r="E121" i="41" s="1"/>
  <c r="Y82" i="8"/>
  <c r="C129" i="41" s="1"/>
  <c r="D129" i="41" s="1"/>
  <c r="E129" i="41" s="1"/>
  <c r="Y90" i="8"/>
  <c r="C137" i="41" s="1"/>
  <c r="D137" i="41" s="1"/>
  <c r="E137" i="41" s="1"/>
  <c r="Y98" i="8"/>
  <c r="C145" i="41" s="1"/>
  <c r="D145" i="41" s="1"/>
  <c r="E145" i="41" s="1"/>
  <c r="Y106" i="8"/>
  <c r="C153" i="41" s="1"/>
  <c r="D153" i="41" s="1"/>
  <c r="E153" i="41" s="1"/>
  <c r="AZ53" i="3"/>
  <c r="AH106" i="3" s="1"/>
  <c r="AZ37" i="3"/>
  <c r="AH90" i="3" s="1"/>
  <c r="AZ53" i="6"/>
  <c r="AH106" i="6" s="1"/>
  <c r="AZ37" i="6"/>
  <c r="AH90" i="6" s="1"/>
  <c r="AZ15" i="6"/>
  <c r="AH68" i="6" s="1"/>
  <c r="Y103" i="3"/>
  <c r="C48" i="41" s="1"/>
  <c r="D48" i="41" s="1"/>
  <c r="E48" i="41" s="1"/>
  <c r="Y100" i="3"/>
  <c r="C45" i="41" s="1"/>
  <c r="D45" i="41" s="1"/>
  <c r="E45" i="41" s="1"/>
  <c r="Y95" i="3"/>
  <c r="C40" i="41" s="1"/>
  <c r="D40" i="41" s="1"/>
  <c r="E40" i="41" s="1"/>
  <c r="Y92" i="3"/>
  <c r="C37" i="41" s="1"/>
  <c r="D37" i="41" s="1"/>
  <c r="E37" i="41" s="1"/>
  <c r="Y87" i="3"/>
  <c r="C32" i="41" s="1"/>
  <c r="D32" i="41" s="1"/>
  <c r="E32" i="41" s="1"/>
  <c r="Y78" i="3"/>
  <c r="C23" i="41" s="1"/>
  <c r="D23" i="41" s="1"/>
  <c r="E23" i="41" s="1"/>
  <c r="Y75" i="3"/>
  <c r="C20" i="41" s="1"/>
  <c r="D20" i="41" s="1"/>
  <c r="E20" i="41" s="1"/>
  <c r="Y71" i="3"/>
  <c r="C16" i="41" s="1"/>
  <c r="D16" i="41" s="1"/>
  <c r="E16" i="41" s="1"/>
  <c r="Y66" i="3"/>
  <c r="C11" i="41" s="1"/>
  <c r="D11" i="41" s="1"/>
  <c r="E11" i="41" s="1"/>
  <c r="Y62" i="3"/>
  <c r="C7" i="41" s="1"/>
  <c r="D7" i="41" s="1"/>
  <c r="E7" i="41" s="1"/>
  <c r="AV178" i="8"/>
  <c r="AV205" i="8"/>
  <c r="J182" i="8"/>
  <c r="K182" i="8"/>
  <c r="AV177" i="8"/>
  <c r="AV188" i="8"/>
  <c r="E212" i="3"/>
  <c r="I212" i="3"/>
  <c r="X117" i="8"/>
  <c r="H117" i="8"/>
  <c r="AC174" i="8"/>
  <c r="AU174" i="8" s="1"/>
  <c r="K180" i="8"/>
  <c r="E182" i="8"/>
  <c r="H182" i="8"/>
  <c r="K188" i="8"/>
  <c r="I190" i="6"/>
  <c r="H191" i="6"/>
  <c r="AL191" i="6" s="1"/>
  <c r="I191" i="6"/>
  <c r="J193" i="3"/>
  <c r="AK193" i="3" s="1"/>
  <c r="H193" i="3"/>
  <c r="AL193" i="3" s="1"/>
  <c r="I204" i="3"/>
  <c r="H188" i="8"/>
  <c r="AZ27" i="8"/>
  <c r="AH80" i="8" s="1"/>
  <c r="AZ27" i="6"/>
  <c r="AH80" i="6" s="1"/>
  <c r="AZ27" i="3"/>
  <c r="AH80" i="3" s="1"/>
  <c r="AZ24" i="8"/>
  <c r="AH77" i="8" s="1"/>
  <c r="AZ24" i="6"/>
  <c r="AH77" i="6" s="1"/>
  <c r="AZ24" i="3"/>
  <c r="AH77" i="3" s="1"/>
  <c r="AZ21" i="8"/>
  <c r="AH74" i="8" s="1"/>
  <c r="AZ21" i="3"/>
  <c r="AH74" i="3" s="1"/>
  <c r="AZ21" i="6"/>
  <c r="AH74" i="6" s="1"/>
  <c r="AZ13" i="8"/>
  <c r="AH66" i="8" s="1"/>
  <c r="AZ13" i="3"/>
  <c r="AH66" i="3" s="1"/>
  <c r="AZ13" i="6"/>
  <c r="AH66" i="6" s="1"/>
  <c r="H197" i="8"/>
  <c r="AL197" i="8" s="1"/>
  <c r="E197" i="8"/>
  <c r="AJ197" i="8" s="1"/>
  <c r="I197" i="8"/>
  <c r="BN35" i="9"/>
  <c r="BN36" i="9"/>
  <c r="BN31" i="9"/>
  <c r="J182" i="3"/>
  <c r="J204" i="8"/>
  <c r="AZ52" i="8"/>
  <c r="AH105" i="8" s="1"/>
  <c r="AZ52" i="6"/>
  <c r="AH105" i="6" s="1"/>
  <c r="AZ52" i="3"/>
  <c r="AH105" i="3" s="1"/>
  <c r="AZ39" i="6"/>
  <c r="AH92" i="6" s="1"/>
  <c r="AZ39" i="8"/>
  <c r="AH92" i="8" s="1"/>
  <c r="AZ39" i="3"/>
  <c r="AH92" i="3" s="1"/>
  <c r="AZ36" i="8"/>
  <c r="AH89" i="8" s="1"/>
  <c r="AZ36" i="6"/>
  <c r="AH89" i="6" s="1"/>
  <c r="AZ36" i="3"/>
  <c r="AH89" i="3" s="1"/>
  <c r="H178" i="8"/>
  <c r="H203" i="6"/>
  <c r="I203" i="6"/>
  <c r="H216" i="6"/>
  <c r="AL216" i="6" s="1"/>
  <c r="I216" i="6"/>
  <c r="E216" i="6"/>
  <c r="AJ216" i="6" s="1"/>
  <c r="E202" i="6"/>
  <c r="H202" i="6"/>
  <c r="I202" i="6"/>
  <c r="AZ47" i="6"/>
  <c r="AH100" i="6" s="1"/>
  <c r="AZ47" i="8"/>
  <c r="AH100" i="8" s="1"/>
  <c r="AZ47" i="3"/>
  <c r="AH100" i="3" s="1"/>
  <c r="AZ44" i="8"/>
  <c r="AH97" i="8" s="1"/>
  <c r="AZ44" i="6"/>
  <c r="AH97" i="6" s="1"/>
  <c r="AZ44" i="3"/>
  <c r="AH97" i="3" s="1"/>
  <c r="AZ7" i="8"/>
  <c r="AH60" i="8" s="1"/>
  <c r="AZ7" i="6"/>
  <c r="AH60" i="6" s="1"/>
  <c r="AZ51" i="8"/>
  <c r="AH104" i="8" s="1"/>
  <c r="AZ46" i="8"/>
  <c r="AH99" i="8" s="1"/>
  <c r="AZ46" i="6"/>
  <c r="AH99" i="6" s="1"/>
  <c r="AZ43" i="8"/>
  <c r="AH96" i="8" s="1"/>
  <c r="AZ38" i="8"/>
  <c r="AH91" i="8" s="1"/>
  <c r="AZ38" i="6"/>
  <c r="AH91" i="6" s="1"/>
  <c r="AZ35" i="8"/>
  <c r="AH88" i="8" s="1"/>
  <c r="AZ33" i="8"/>
  <c r="AH86" i="8" s="1"/>
  <c r="AZ33" i="3"/>
  <c r="AH86" i="3" s="1"/>
  <c r="AZ23" i="8"/>
  <c r="AH76" i="8" s="1"/>
  <c r="AZ23" i="6"/>
  <c r="AH76" i="6" s="1"/>
  <c r="AZ20" i="8"/>
  <c r="AH73" i="8" s="1"/>
  <c r="AZ20" i="6"/>
  <c r="AH73" i="6" s="1"/>
  <c r="AZ20" i="3"/>
  <c r="AH73" i="3" s="1"/>
  <c r="AZ17" i="8"/>
  <c r="AH70" i="8" s="1"/>
  <c r="AZ17" i="3"/>
  <c r="AH70" i="3" s="1"/>
  <c r="AZ12" i="8"/>
  <c r="AH65" i="8" s="1"/>
  <c r="AZ12" i="6"/>
  <c r="AH65" i="6" s="1"/>
  <c r="AZ12" i="3"/>
  <c r="AH65" i="3" s="1"/>
  <c r="AZ48" i="8"/>
  <c r="AH101" i="8" s="1"/>
  <c r="AZ48" i="6"/>
  <c r="AH101" i="6" s="1"/>
  <c r="AZ40" i="8"/>
  <c r="AH93" i="8" s="1"/>
  <c r="AZ40" i="6"/>
  <c r="AH93" i="6" s="1"/>
  <c r="AZ32" i="8"/>
  <c r="AH85" i="8" s="1"/>
  <c r="AZ32" i="6"/>
  <c r="AH85" i="6" s="1"/>
  <c r="AZ29" i="8"/>
  <c r="AH82" i="8" s="1"/>
  <c r="AZ29" i="3"/>
  <c r="AH82" i="3" s="1"/>
  <c r="AZ19" i="8"/>
  <c r="AH72" i="8" s="1"/>
  <c r="AZ19" i="6"/>
  <c r="AH72" i="6" s="1"/>
  <c r="AZ16" i="8"/>
  <c r="AH69" i="8" s="1"/>
  <c r="AZ16" i="6"/>
  <c r="AH69" i="6" s="1"/>
  <c r="AZ16" i="3"/>
  <c r="AH69" i="3" s="1"/>
  <c r="AZ50" i="8"/>
  <c r="AH103" i="8" s="1"/>
  <c r="AZ50" i="6"/>
  <c r="AH103" i="6" s="1"/>
  <c r="AZ42" i="8"/>
  <c r="AH95" i="8" s="1"/>
  <c r="AZ42" i="6"/>
  <c r="AH95" i="6" s="1"/>
  <c r="AZ34" i="3"/>
  <c r="AH87" i="3" s="1"/>
  <c r="AZ34" i="8"/>
  <c r="AH87" i="8" s="1"/>
  <c r="AZ34" i="6"/>
  <c r="AH87" i="6" s="1"/>
  <c r="AZ31" i="8"/>
  <c r="AH84" i="8" s="1"/>
  <c r="AZ31" i="6"/>
  <c r="AH84" i="6" s="1"/>
  <c r="AZ28" i="8"/>
  <c r="AH81" i="8" s="1"/>
  <c r="AZ28" i="6"/>
  <c r="AH81" i="6" s="1"/>
  <c r="AZ25" i="8"/>
  <c r="AH78" i="8" s="1"/>
  <c r="AZ25" i="3"/>
  <c r="AH78" i="3" s="1"/>
  <c r="AZ10" i="8"/>
  <c r="AH63" i="8" s="1"/>
  <c r="AZ10" i="6"/>
  <c r="AH63" i="6" s="1"/>
  <c r="AM173" i="6" s="1"/>
  <c r="AN173" i="6" s="1"/>
  <c r="AJ205" i="8"/>
  <c r="AZ30" i="6"/>
  <c r="AH83" i="6" s="1"/>
  <c r="AZ26" i="6"/>
  <c r="AH79" i="6" s="1"/>
  <c r="AZ22" i="6"/>
  <c r="AH75" i="6" s="1"/>
  <c r="AZ18" i="6"/>
  <c r="AH71" i="6" s="1"/>
  <c r="AZ14" i="6"/>
  <c r="AH67" i="6" s="1"/>
  <c r="AZ30" i="8"/>
  <c r="AH83" i="8" s="1"/>
  <c r="AZ8" i="8"/>
  <c r="AH61" i="8" s="1"/>
  <c r="Y105" i="3"/>
  <c r="C50" i="41" s="1"/>
  <c r="D50" i="41" s="1"/>
  <c r="E50" i="41" s="1"/>
  <c r="Y101" i="3"/>
  <c r="C46" i="41" s="1"/>
  <c r="D46" i="41" s="1"/>
  <c r="E46" i="41" s="1"/>
  <c r="Y97" i="3"/>
  <c r="C42" i="41" s="1"/>
  <c r="D42" i="41" s="1"/>
  <c r="E42" i="41" s="1"/>
  <c r="Y93" i="3"/>
  <c r="C38" i="41" s="1"/>
  <c r="D38" i="41" s="1"/>
  <c r="E38" i="41" s="1"/>
  <c r="Y89" i="3"/>
  <c r="C34" i="41" s="1"/>
  <c r="D34" i="41" s="1"/>
  <c r="E34" i="41" s="1"/>
  <c r="Y86" i="3"/>
  <c r="C31" i="41" s="1"/>
  <c r="D31" i="41" s="1"/>
  <c r="E31" i="41" s="1"/>
  <c r="Y82" i="3"/>
  <c r="C27" i="41" s="1"/>
  <c r="D27" i="41" s="1"/>
  <c r="E27" i="41" s="1"/>
  <c r="Y60" i="3"/>
  <c r="Y88" i="3"/>
  <c r="C33" i="41" s="1"/>
  <c r="D33" i="41" s="1"/>
  <c r="E33" i="41" s="1"/>
  <c r="Y84" i="3"/>
  <c r="C29" i="41" s="1"/>
  <c r="D29" i="41" s="1"/>
  <c r="E29" i="41" s="1"/>
  <c r="Y81" i="3"/>
  <c r="C26" i="41" s="1"/>
  <c r="D26" i="41" s="1"/>
  <c r="E26" i="41" s="1"/>
  <c r="Y69" i="3"/>
  <c r="C14" i="41" s="1"/>
  <c r="D14" i="41" s="1"/>
  <c r="E14" i="41" s="1"/>
  <c r="AB204" i="3"/>
  <c r="AT204" i="3" s="1"/>
  <c r="W147" i="3"/>
  <c r="D147" i="3"/>
  <c r="AB193" i="3"/>
  <c r="AT193" i="3" s="1"/>
  <c r="W136" i="3"/>
  <c r="D136" i="3"/>
  <c r="W159" i="6"/>
  <c r="D159" i="6"/>
  <c r="AB216" i="6"/>
  <c r="AT216" i="6" s="1"/>
  <c r="D150" i="6"/>
  <c r="AB207" i="6"/>
  <c r="AT207" i="6" s="1"/>
  <c r="AJ207" i="6"/>
  <c r="W150" i="6"/>
  <c r="W142" i="6"/>
  <c r="D142" i="6"/>
  <c r="AB197" i="8"/>
  <c r="AT197" i="8" s="1"/>
  <c r="W140" i="8"/>
  <c r="AJ181" i="8"/>
  <c r="AL181" i="8"/>
  <c r="D124" i="8"/>
  <c r="AK181" i="8"/>
  <c r="W113" i="8"/>
  <c r="AB170" i="8"/>
  <c r="AT170" i="8" s="1"/>
  <c r="D113" i="8"/>
  <c r="AL201" i="8"/>
  <c r="AK201" i="8"/>
  <c r="D144" i="8"/>
  <c r="W144" i="8"/>
  <c r="AJ201" i="8"/>
  <c r="AB201" i="8"/>
  <c r="AT201" i="8" s="1"/>
  <c r="AB177" i="8"/>
  <c r="AT177" i="8" s="1"/>
  <c r="W120" i="8"/>
  <c r="AL177" i="8"/>
  <c r="D120" i="8"/>
  <c r="AK177" i="8"/>
  <c r="A13" i="34"/>
  <c r="A1307" i="31"/>
  <c r="A917" i="31"/>
  <c r="O33" i="4"/>
  <c r="A1242" i="31"/>
  <c r="AF111" i="6"/>
  <c r="AQ111" i="3"/>
  <c r="AQ111" i="6"/>
  <c r="AP111" i="8"/>
  <c r="AP111" i="3"/>
  <c r="AH111" i="8"/>
  <c r="AG111" i="3"/>
  <c r="AH111" i="6"/>
  <c r="AR111" i="8"/>
  <c r="AG111" i="8"/>
  <c r="AR111" i="3"/>
  <c r="AF111" i="8"/>
  <c r="A157" i="2"/>
  <c r="A221" i="2"/>
  <c r="A462" i="31"/>
  <c r="A13" i="2"/>
  <c r="A982" i="31"/>
  <c r="A473" i="2"/>
  <c r="A6" i="2"/>
  <c r="A284" i="2"/>
  <c r="A410" i="2"/>
  <c r="A3" i="2"/>
  <c r="A9" i="2"/>
  <c r="A7" i="2"/>
  <c r="A347" i="2"/>
  <c r="A12" i="2"/>
  <c r="A4" i="2"/>
  <c r="A11" i="2"/>
  <c r="A97" i="2"/>
  <c r="A5" i="2"/>
  <c r="A10" i="2"/>
  <c r="A601" i="2"/>
  <c r="A8" i="2"/>
  <c r="A537" i="2"/>
  <c r="A1827" i="31"/>
  <c r="A397" i="31"/>
  <c r="A787" i="31"/>
  <c r="A527" i="31"/>
  <c r="A1502" i="31"/>
  <c r="A202" i="31"/>
  <c r="A1437" i="31"/>
  <c r="A1112" i="31"/>
  <c r="A332" i="31"/>
  <c r="A1047" i="31"/>
  <c r="A722" i="31"/>
  <c r="A1632" i="31"/>
  <c r="A267" i="31"/>
  <c r="A1567" i="31"/>
  <c r="A852" i="31"/>
  <c r="A1762" i="31"/>
  <c r="A592" i="31"/>
  <c r="A1697" i="31"/>
  <c r="A77" i="31"/>
  <c r="A1177" i="31"/>
  <c r="A1372" i="31"/>
  <c r="A3" i="34"/>
  <c r="A10" i="34"/>
  <c r="A12" i="34"/>
  <c r="A5" i="34"/>
  <c r="A347" i="34"/>
  <c r="A221" i="34"/>
  <c r="A157" i="34"/>
  <c r="A666" i="34"/>
  <c r="A601" i="34"/>
  <c r="A473" i="34"/>
  <c r="A537" i="34"/>
  <c r="A4" i="34"/>
  <c r="A6" i="34"/>
  <c r="A8" i="34"/>
  <c r="A9" i="34"/>
  <c r="A97" i="34"/>
  <c r="DI46" i="37" l="1"/>
  <c r="DI61" i="37"/>
  <c r="AJ191" i="6"/>
  <c r="DI91" i="37"/>
  <c r="DI64" i="37"/>
  <c r="AM172" i="3"/>
  <c r="AN172" i="3" s="1"/>
  <c r="AC172" i="3"/>
  <c r="AU172" i="3" s="1"/>
  <c r="H115" i="3"/>
  <c r="X115" i="3"/>
  <c r="AL178" i="8"/>
  <c r="C213" i="8"/>
  <c r="C121" i="40"/>
  <c r="C121" i="8"/>
  <c r="C139" i="10"/>
  <c r="D139" i="10" s="1"/>
  <c r="E139" i="10" s="1"/>
  <c r="C139" i="41"/>
  <c r="D139" i="41" s="1"/>
  <c r="E139" i="41" s="1"/>
  <c r="C202" i="8"/>
  <c r="AL204" i="8"/>
  <c r="C147" i="40"/>
  <c r="C147" i="8"/>
  <c r="AJ204" i="8"/>
  <c r="E178" i="8"/>
  <c r="AJ178" i="8" s="1"/>
  <c r="I178" i="8"/>
  <c r="K205" i="8"/>
  <c r="C153" i="40"/>
  <c r="C153" i="8"/>
  <c r="C142" i="40"/>
  <c r="C142" i="8"/>
  <c r="C125" i="40"/>
  <c r="C125" i="8"/>
  <c r="AK182" i="8" s="1"/>
  <c r="C123" i="40"/>
  <c r="C123" i="8"/>
  <c r="C146" i="41"/>
  <c r="D146" i="41" s="1"/>
  <c r="E146" i="41" s="1"/>
  <c r="C146" i="10"/>
  <c r="D146" i="10" s="1"/>
  <c r="E146" i="10" s="1"/>
  <c r="C209" i="8"/>
  <c r="D113" i="6"/>
  <c r="W113" i="6"/>
  <c r="AL170" i="6"/>
  <c r="C113" i="39"/>
  <c r="C182" i="6"/>
  <c r="C84" i="10"/>
  <c r="D84" i="10" s="1"/>
  <c r="E84" i="10" s="1"/>
  <c r="C84" i="41"/>
  <c r="D84" i="41" s="1"/>
  <c r="E84" i="41" s="1"/>
  <c r="C198" i="6"/>
  <c r="C68" i="10"/>
  <c r="D68" i="10" s="1"/>
  <c r="E68" i="10" s="1"/>
  <c r="C125" i="6" s="1"/>
  <c r="C73" i="10"/>
  <c r="D73" i="10" s="1"/>
  <c r="E73" i="10" s="1"/>
  <c r="C73" i="41"/>
  <c r="D73" i="41" s="1"/>
  <c r="E73" i="41" s="1"/>
  <c r="C187" i="6"/>
  <c r="C72" i="10"/>
  <c r="D72" i="10" s="1"/>
  <c r="E72" i="10" s="1"/>
  <c r="C72" i="41"/>
  <c r="D72" i="41" s="1"/>
  <c r="E72" i="41" s="1"/>
  <c r="C94" i="10"/>
  <c r="D94" i="10" s="1"/>
  <c r="E94" i="10" s="1"/>
  <c r="C94" i="41"/>
  <c r="D94" i="41" s="1"/>
  <c r="E94" i="41" s="1"/>
  <c r="C208" i="6"/>
  <c r="AL98" i="6"/>
  <c r="AL214" i="6"/>
  <c r="C157" i="39"/>
  <c r="C157" i="6"/>
  <c r="C92" i="10"/>
  <c r="D92" i="10" s="1"/>
  <c r="E92" i="10" s="1"/>
  <c r="C92" i="41"/>
  <c r="D92" i="41" s="1"/>
  <c r="E92" i="41" s="1"/>
  <c r="C206" i="6"/>
  <c r="AL96" i="6"/>
  <c r="C101" i="10"/>
  <c r="D101" i="10" s="1"/>
  <c r="E101" i="10" s="1"/>
  <c r="C101" i="41"/>
  <c r="D101" i="41" s="1"/>
  <c r="E101" i="41" s="1"/>
  <c r="C215" i="6"/>
  <c r="S117" i="8"/>
  <c r="AN64" i="8"/>
  <c r="I174" i="8"/>
  <c r="H174" i="8"/>
  <c r="C117" i="40"/>
  <c r="C117" i="8"/>
  <c r="C8" i="10"/>
  <c r="D8" i="10" s="1"/>
  <c r="E8" i="10" s="1"/>
  <c r="C8" i="41"/>
  <c r="D8" i="41" s="1"/>
  <c r="E8" i="41" s="1"/>
  <c r="C173" i="3"/>
  <c r="DI67" i="37"/>
  <c r="DK67" i="37" s="1"/>
  <c r="DI90" i="37"/>
  <c r="DK90" i="37" s="1"/>
  <c r="DI54" i="37"/>
  <c r="DI78" i="37"/>
  <c r="DI60" i="37"/>
  <c r="DI77" i="37"/>
  <c r="DN77" i="37" s="1"/>
  <c r="DI57" i="37"/>
  <c r="DK57" i="37" s="1"/>
  <c r="BU616" i="37"/>
  <c r="AJ170" i="6"/>
  <c r="W134" i="6"/>
  <c r="AC171" i="40"/>
  <c r="AU171" i="40" s="1"/>
  <c r="H114" i="40"/>
  <c r="X114" i="40"/>
  <c r="I212" i="8"/>
  <c r="H212" i="8"/>
  <c r="E212" i="8"/>
  <c r="C146" i="8"/>
  <c r="C146" i="40"/>
  <c r="C116" i="8"/>
  <c r="C116" i="40"/>
  <c r="C131" i="40"/>
  <c r="C131" i="8"/>
  <c r="AJ188" i="8" s="1"/>
  <c r="AB201" i="40"/>
  <c r="AT201" i="40" s="1"/>
  <c r="D144" i="40"/>
  <c r="W144" i="40"/>
  <c r="AL201" i="40"/>
  <c r="AJ201" i="40"/>
  <c r="AK201" i="40"/>
  <c r="AB205" i="40"/>
  <c r="AT205" i="40" s="1"/>
  <c r="W148" i="40"/>
  <c r="D148" i="40"/>
  <c r="AK205" i="40"/>
  <c r="AJ205" i="40"/>
  <c r="AL205" i="40"/>
  <c r="D124" i="40"/>
  <c r="W124" i="40"/>
  <c r="AB181" i="40"/>
  <c r="AT181" i="40" s="1"/>
  <c r="AL181" i="40"/>
  <c r="AJ181" i="40"/>
  <c r="AK181" i="40"/>
  <c r="E214" i="8"/>
  <c r="H214" i="8"/>
  <c r="I214" i="8"/>
  <c r="C155" i="40"/>
  <c r="C155" i="8"/>
  <c r="C156" i="8"/>
  <c r="C156" i="40"/>
  <c r="W148" i="8"/>
  <c r="AB205" i="8"/>
  <c r="AT205" i="8" s="1"/>
  <c r="D148" i="8"/>
  <c r="C157" i="40"/>
  <c r="C157" i="8"/>
  <c r="AB197" i="40"/>
  <c r="AT197" i="40" s="1"/>
  <c r="W140" i="40"/>
  <c r="D140" i="40"/>
  <c r="AJ197" i="40"/>
  <c r="AL197" i="40"/>
  <c r="AK197" i="40"/>
  <c r="AB170" i="40"/>
  <c r="AT170" i="40" s="1"/>
  <c r="W113" i="40"/>
  <c r="D113" i="40"/>
  <c r="AL170" i="40"/>
  <c r="AJ170" i="40"/>
  <c r="AK170" i="40"/>
  <c r="AM174" i="40"/>
  <c r="AN174" i="40" s="1"/>
  <c r="AB177" i="40"/>
  <c r="AT177" i="40" s="1"/>
  <c r="W120" i="40"/>
  <c r="D120" i="40"/>
  <c r="AL177" i="40"/>
  <c r="AJ177" i="40"/>
  <c r="AK177" i="40"/>
  <c r="I203" i="8"/>
  <c r="H203" i="8"/>
  <c r="E203" i="8"/>
  <c r="AJ173" i="8"/>
  <c r="AB192" i="6"/>
  <c r="AT192" i="6" s="1"/>
  <c r="D135" i="6"/>
  <c r="W135" i="6"/>
  <c r="E175" i="6"/>
  <c r="I175" i="6"/>
  <c r="AJ199" i="6"/>
  <c r="AL192" i="6"/>
  <c r="C58" i="11"/>
  <c r="D58" i="11" s="1"/>
  <c r="E58" i="11" s="1"/>
  <c r="AM62" i="6"/>
  <c r="W150" i="39"/>
  <c r="AB207" i="39"/>
  <c r="AT207" i="39" s="1"/>
  <c r="D150" i="39"/>
  <c r="AJ207" i="39"/>
  <c r="AL207" i="39"/>
  <c r="AK207" i="39"/>
  <c r="H186" i="6"/>
  <c r="E186" i="6"/>
  <c r="AB191" i="39"/>
  <c r="AT191" i="39" s="1"/>
  <c r="D134" i="39"/>
  <c r="W134" i="39"/>
  <c r="AL191" i="39"/>
  <c r="AJ191" i="39"/>
  <c r="AK191" i="39"/>
  <c r="AC175" i="6"/>
  <c r="AU175" i="6" s="1"/>
  <c r="X118" i="6"/>
  <c r="H118" i="6"/>
  <c r="J207" i="6"/>
  <c r="AK207" i="6" s="1"/>
  <c r="C118" i="6"/>
  <c r="C118" i="39"/>
  <c r="AB183" i="39"/>
  <c r="AT183" i="39" s="1"/>
  <c r="D126" i="39"/>
  <c r="W126" i="39"/>
  <c r="AL183" i="39"/>
  <c r="AJ183" i="39"/>
  <c r="AK183" i="39"/>
  <c r="H190" i="6"/>
  <c r="E190" i="6"/>
  <c r="C117" i="6"/>
  <c r="C117" i="39"/>
  <c r="C146" i="6"/>
  <c r="C146" i="39"/>
  <c r="H176" i="6"/>
  <c r="E176" i="6"/>
  <c r="AB170" i="6"/>
  <c r="AT170" i="6" s="1"/>
  <c r="AL199" i="6"/>
  <c r="J186" i="6"/>
  <c r="I170" i="6"/>
  <c r="J170" i="6" s="1"/>
  <c r="AB216" i="39"/>
  <c r="AT216" i="39" s="1"/>
  <c r="W159" i="39"/>
  <c r="D159" i="39"/>
  <c r="AL216" i="39"/>
  <c r="AJ216" i="39"/>
  <c r="AK216" i="39"/>
  <c r="AB191" i="6"/>
  <c r="AT191" i="6" s="1"/>
  <c r="D134" i="6"/>
  <c r="E183" i="6"/>
  <c r="AJ183" i="6" s="1"/>
  <c r="H183" i="6"/>
  <c r="AL183" i="6" s="1"/>
  <c r="I183" i="6"/>
  <c r="H175" i="6"/>
  <c r="AB192" i="39"/>
  <c r="AT192" i="39" s="1"/>
  <c r="D135" i="39"/>
  <c r="W135" i="39"/>
  <c r="AL192" i="39"/>
  <c r="AJ192" i="39"/>
  <c r="AK192" i="39"/>
  <c r="AB170" i="39"/>
  <c r="AT170" i="39" s="1"/>
  <c r="W113" i="39"/>
  <c r="D113" i="39"/>
  <c r="AJ170" i="39"/>
  <c r="AL170" i="39"/>
  <c r="AK170" i="39"/>
  <c r="AM173" i="39"/>
  <c r="AN173" i="39" s="1"/>
  <c r="AM175" i="39"/>
  <c r="AN175" i="39" s="1"/>
  <c r="AB199" i="39"/>
  <c r="AT199" i="39" s="1"/>
  <c r="D142" i="39"/>
  <c r="W142" i="39"/>
  <c r="AL199" i="39"/>
  <c r="AJ199" i="39"/>
  <c r="AK199" i="39"/>
  <c r="AB183" i="6"/>
  <c r="AT183" i="6" s="1"/>
  <c r="D126" i="6"/>
  <c r="W126" i="6"/>
  <c r="G114" i="39"/>
  <c r="G114" i="6"/>
  <c r="C133" i="6"/>
  <c r="C133" i="39"/>
  <c r="C145" i="6"/>
  <c r="AJ202" i="6" s="1"/>
  <c r="C145" i="39"/>
  <c r="C125" i="39"/>
  <c r="C119" i="6"/>
  <c r="C119" i="39"/>
  <c r="H204" i="3"/>
  <c r="AL204" i="3" s="1"/>
  <c r="E204" i="3"/>
  <c r="AJ204" i="3" s="1"/>
  <c r="C10" i="11"/>
  <c r="D10" i="11" s="1"/>
  <c r="E10" i="11" s="1"/>
  <c r="AM65" i="3"/>
  <c r="E182" i="3"/>
  <c r="H182" i="3"/>
  <c r="C120" i="3"/>
  <c r="C120" i="38"/>
  <c r="C155" i="38"/>
  <c r="C155" i="3"/>
  <c r="AB204" i="38"/>
  <c r="AT204" i="38" s="1"/>
  <c r="W147" i="38"/>
  <c r="D147" i="38"/>
  <c r="AL204" i="38"/>
  <c r="AJ204" i="38"/>
  <c r="AK204" i="38"/>
  <c r="AB193" i="38"/>
  <c r="AT193" i="38" s="1"/>
  <c r="W136" i="38"/>
  <c r="D136" i="38"/>
  <c r="AJ193" i="38"/>
  <c r="AL193" i="38"/>
  <c r="AK193" i="38"/>
  <c r="C125" i="3"/>
  <c r="C125" i="38"/>
  <c r="AJ212" i="3"/>
  <c r="C30" i="10"/>
  <c r="D30" i="10" s="1"/>
  <c r="E30" i="10" s="1"/>
  <c r="C195" i="3"/>
  <c r="AL85" i="3"/>
  <c r="H177" i="3"/>
  <c r="AL177" i="3" s="1"/>
  <c r="E177" i="3"/>
  <c r="AJ177" i="3" s="1"/>
  <c r="I177" i="3"/>
  <c r="AL212" i="3"/>
  <c r="DE193" i="34"/>
  <c r="DF193" i="34"/>
  <c r="DG207" i="34"/>
  <c r="DH207" i="34"/>
  <c r="DH182" i="34"/>
  <c r="DG182" i="34"/>
  <c r="DF197" i="34"/>
  <c r="DE197" i="34"/>
  <c r="DE216" i="34"/>
  <c r="DF216" i="34"/>
  <c r="DH217" i="34"/>
  <c r="DG217" i="34"/>
  <c r="DF210" i="34"/>
  <c r="DE210" i="34"/>
  <c r="DH184" i="34"/>
  <c r="DG184" i="34"/>
  <c r="DF187" i="34"/>
  <c r="DE187" i="34"/>
  <c r="DG174" i="34"/>
  <c r="DH174" i="34"/>
  <c r="DD204" i="34"/>
  <c r="DC204" i="34"/>
  <c r="DE192" i="34"/>
  <c r="DF192" i="34"/>
  <c r="DG170" i="34"/>
  <c r="DH170" i="34"/>
  <c r="DF190" i="34"/>
  <c r="DE190" i="34"/>
  <c r="DE212" i="34"/>
  <c r="DF212" i="34"/>
  <c r="DG185" i="34"/>
  <c r="DH185" i="34"/>
  <c r="DE208" i="34"/>
  <c r="DF208" i="34"/>
  <c r="DG179" i="34"/>
  <c r="DH179" i="34"/>
  <c r="DD195" i="34"/>
  <c r="DC195" i="34"/>
  <c r="DH210" i="34"/>
  <c r="DH197" i="34"/>
  <c r="DG216" i="34"/>
  <c r="DD207" i="34"/>
  <c r="DC207" i="34"/>
  <c r="DF185" i="34"/>
  <c r="DE185" i="34"/>
  <c r="DC217" i="34"/>
  <c r="DD217" i="34"/>
  <c r="DC208" i="34"/>
  <c r="DD208" i="34"/>
  <c r="DD184" i="34"/>
  <c r="DC184" i="34"/>
  <c r="DD193" i="34"/>
  <c r="DJ190" i="34" s="1"/>
  <c r="DC193" i="34"/>
  <c r="DF174" i="34"/>
  <c r="DE174" i="34"/>
  <c r="DE204" i="34"/>
  <c r="DF204" i="34"/>
  <c r="DG218" i="34"/>
  <c r="DH218" i="34"/>
  <c r="DE170" i="34"/>
  <c r="DF170" i="34"/>
  <c r="DC205" i="34"/>
  <c r="DD205" i="34"/>
  <c r="DG187" i="34"/>
  <c r="DH187" i="34"/>
  <c r="DG212" i="34"/>
  <c r="DH212" i="34"/>
  <c r="DG205" i="34"/>
  <c r="DH205" i="34"/>
  <c r="DC185" i="34"/>
  <c r="DD185" i="34"/>
  <c r="DE217" i="34"/>
  <c r="DF217" i="34"/>
  <c r="DG208" i="34"/>
  <c r="DH208" i="34"/>
  <c r="DF184" i="34"/>
  <c r="DE184" i="34"/>
  <c r="DC197" i="34"/>
  <c r="DD197" i="34"/>
  <c r="DG213" i="34"/>
  <c r="DH213" i="34"/>
  <c r="DD192" i="34"/>
  <c r="DC192" i="34"/>
  <c r="DH190" i="34"/>
  <c r="DG190" i="34"/>
  <c r="DH641" i="34"/>
  <c r="DG641" i="34"/>
  <c r="DG624" i="34"/>
  <c r="DH624" i="34"/>
  <c r="DE654" i="34"/>
  <c r="DF654" i="34"/>
  <c r="DD658" i="34"/>
  <c r="DC658" i="34"/>
  <c r="DF630" i="34"/>
  <c r="DE630" i="34"/>
  <c r="DF638" i="34"/>
  <c r="DE638" i="34"/>
  <c r="DF636" i="34"/>
  <c r="DE636" i="34"/>
  <c r="DD646" i="34"/>
  <c r="DC646" i="34"/>
  <c r="DG617" i="34"/>
  <c r="DH617" i="34"/>
  <c r="DF640" i="34"/>
  <c r="DE640" i="34"/>
  <c r="DE621" i="34"/>
  <c r="DF621" i="34"/>
  <c r="DE641" i="34"/>
  <c r="DF641" i="34"/>
  <c r="DD643" i="34"/>
  <c r="DC643" i="34"/>
  <c r="DE656" i="34"/>
  <c r="DF656" i="34"/>
  <c r="DG648" i="34"/>
  <c r="DH648" i="34"/>
  <c r="DF660" i="34"/>
  <c r="DE660" i="34"/>
  <c r="DD627" i="34"/>
  <c r="DC627" i="34"/>
  <c r="DF661" i="34"/>
  <c r="DE661" i="34"/>
  <c r="DF620" i="34"/>
  <c r="DE620" i="34"/>
  <c r="DG651" i="34"/>
  <c r="DH651" i="34"/>
  <c r="DF616" i="34"/>
  <c r="DE616" i="34"/>
  <c r="DF617" i="34"/>
  <c r="DE617" i="34"/>
  <c r="DE657" i="34"/>
  <c r="DF657" i="34"/>
  <c r="DF647" i="34"/>
  <c r="DE647" i="34"/>
  <c r="DC619" i="34"/>
  <c r="DD619" i="34"/>
  <c r="DE643" i="34"/>
  <c r="DF643" i="34"/>
  <c r="DG638" i="34"/>
  <c r="DH638" i="34"/>
  <c r="DH640" i="34"/>
  <c r="DG640" i="34"/>
  <c r="DC663" i="34"/>
  <c r="DD663" i="34"/>
  <c r="DD656" i="34"/>
  <c r="DC656" i="34"/>
  <c r="DE631" i="34"/>
  <c r="DF631" i="34"/>
  <c r="DF663" i="34"/>
  <c r="DE663" i="34"/>
  <c r="DD660" i="34"/>
  <c r="DC660" i="34"/>
  <c r="DE648" i="34"/>
  <c r="DF648" i="34"/>
  <c r="DG627" i="34"/>
  <c r="DH627" i="34"/>
  <c r="DD616" i="34"/>
  <c r="DC616" i="34"/>
  <c r="DD620" i="34"/>
  <c r="DC620" i="34"/>
  <c r="W651" i="34"/>
  <c r="CZ651" i="34" s="1"/>
  <c r="DA651" i="34"/>
  <c r="DH616" i="34"/>
  <c r="DG616" i="34"/>
  <c r="DF655" i="34"/>
  <c r="DE655" i="34"/>
  <c r="DE659" i="34"/>
  <c r="DF659" i="34"/>
  <c r="DD647" i="34"/>
  <c r="DC647" i="34"/>
  <c r="DH621" i="34"/>
  <c r="DG621" i="34"/>
  <c r="DG619" i="34"/>
  <c r="DH619" i="34"/>
  <c r="DD624" i="34"/>
  <c r="DC624" i="34"/>
  <c r="DH643" i="34"/>
  <c r="DG643" i="34"/>
  <c r="DC654" i="34"/>
  <c r="DD654" i="34"/>
  <c r="Y635" i="34"/>
  <c r="DB635" i="34" s="1"/>
  <c r="DA635" i="34"/>
  <c r="DG661" i="34"/>
  <c r="DH661" i="34"/>
  <c r="DC636" i="34"/>
  <c r="DD636" i="34"/>
  <c r="DH655" i="34"/>
  <c r="DG655" i="34"/>
  <c r="DG630" i="34"/>
  <c r="DH630" i="34"/>
  <c r="DC638" i="34"/>
  <c r="DD638" i="34"/>
  <c r="DE646" i="34"/>
  <c r="DF646" i="34"/>
  <c r="DC617" i="34"/>
  <c r="DD617" i="34"/>
  <c r="DF569" i="34"/>
  <c r="DE569" i="34"/>
  <c r="DD567" i="34"/>
  <c r="DC567" i="34"/>
  <c r="DF572" i="34"/>
  <c r="DE572" i="34"/>
  <c r="DC586" i="34"/>
  <c r="DD586" i="34"/>
  <c r="DE596" i="34"/>
  <c r="DF596" i="34"/>
  <c r="DE594" i="34"/>
  <c r="DF594" i="34"/>
  <c r="DD558" i="34"/>
  <c r="DC558" i="34"/>
  <c r="DF576" i="34"/>
  <c r="DE576" i="34"/>
  <c r="DD572" i="34"/>
  <c r="DC572" i="34"/>
  <c r="DC550" i="34"/>
  <c r="DD550" i="34"/>
  <c r="DE570" i="34"/>
  <c r="DF570" i="34"/>
  <c r="DH591" i="34"/>
  <c r="DG591" i="34"/>
  <c r="DF578" i="34"/>
  <c r="DE578" i="34"/>
  <c r="DD578" i="34"/>
  <c r="DH565" i="34"/>
  <c r="DE567" i="34"/>
  <c r="DF567" i="34"/>
  <c r="DH561" i="34"/>
  <c r="DG561" i="34"/>
  <c r="DC580" i="34"/>
  <c r="DD580" i="34"/>
  <c r="DC588" i="34"/>
  <c r="DD588" i="34"/>
  <c r="DH586" i="34"/>
  <c r="DG586" i="34"/>
  <c r="DF565" i="34"/>
  <c r="DE565" i="34"/>
  <c r="DF562" i="34"/>
  <c r="DE562" i="34"/>
  <c r="DG596" i="34"/>
  <c r="DH596" i="34"/>
  <c r="DD591" i="34"/>
  <c r="DC591" i="34"/>
  <c r="DF575" i="34"/>
  <c r="DE575" i="34"/>
  <c r="DH558" i="34"/>
  <c r="DG558" i="34"/>
  <c r="DF554" i="34"/>
  <c r="DE554" i="34"/>
  <c r="DF586" i="34"/>
  <c r="DE586" i="34"/>
  <c r="DH594" i="34"/>
  <c r="DG594" i="34"/>
  <c r="Y597" i="34"/>
  <c r="DB597" i="34" s="1"/>
  <c r="DA597" i="34"/>
  <c r="DH569" i="34"/>
  <c r="DG569" i="34"/>
  <c r="DG572" i="34"/>
  <c r="DH572" i="34"/>
  <c r="DH580" i="34"/>
  <c r="DG580" i="34"/>
  <c r="DH588" i="34"/>
  <c r="DG588" i="34"/>
  <c r="DH550" i="34"/>
  <c r="DG550" i="34"/>
  <c r="DC565" i="34"/>
  <c r="DD565" i="34"/>
  <c r="DC570" i="34"/>
  <c r="DD570" i="34"/>
  <c r="DD575" i="34"/>
  <c r="DC575" i="34"/>
  <c r="DD594" i="34"/>
  <c r="DC594" i="34"/>
  <c r="DF553" i="34"/>
  <c r="DE553" i="34"/>
  <c r="DD597" i="34"/>
  <c r="DC597" i="34"/>
  <c r="DH578" i="34"/>
  <c r="DG578" i="34"/>
  <c r="DF558" i="34"/>
  <c r="DE558" i="34"/>
  <c r="DF504" i="34"/>
  <c r="DE504" i="34"/>
  <c r="DF521" i="34"/>
  <c r="DE521" i="34"/>
  <c r="DE508" i="34"/>
  <c r="DF508" i="34"/>
  <c r="DD518" i="34"/>
  <c r="DC518" i="34"/>
  <c r="DF529" i="34"/>
  <c r="DE529" i="34"/>
  <c r="DE532" i="34"/>
  <c r="DF532" i="34"/>
  <c r="DC499" i="34"/>
  <c r="DD499" i="34"/>
  <c r="DH521" i="34"/>
  <c r="DG521" i="34"/>
  <c r="DH502" i="34"/>
  <c r="DG502" i="34"/>
  <c r="DG487" i="34"/>
  <c r="DH487" i="34"/>
  <c r="DD532" i="34"/>
  <c r="DC532" i="34"/>
  <c r="DC498" i="34"/>
  <c r="DD498" i="34"/>
  <c r="DD508" i="34"/>
  <c r="DC508" i="34"/>
  <c r="DC529" i="34"/>
  <c r="DD529" i="34"/>
  <c r="DC502" i="34"/>
  <c r="DD502" i="34"/>
  <c r="DF497" i="34"/>
  <c r="DE497" i="34"/>
  <c r="DD487" i="34"/>
  <c r="DC487" i="34"/>
  <c r="DF517" i="34"/>
  <c r="DE517" i="34"/>
  <c r="DD521" i="34"/>
  <c r="DC521" i="34"/>
  <c r="DG508" i="34"/>
  <c r="DH508" i="34"/>
  <c r="DG518" i="34"/>
  <c r="DH518" i="34"/>
  <c r="DG529" i="34"/>
  <c r="DH529" i="34"/>
  <c r="DF502" i="34"/>
  <c r="DE502" i="34"/>
  <c r="DE487" i="34"/>
  <c r="DF487" i="34"/>
  <c r="DH532" i="34"/>
  <c r="DG532" i="34"/>
  <c r="DD447" i="34"/>
  <c r="DC447" i="34"/>
  <c r="DE466" i="34"/>
  <c r="DF466" i="34"/>
  <c r="DC462" i="34"/>
  <c r="DD462" i="34"/>
  <c r="DC425" i="34"/>
  <c r="DD425" i="34"/>
  <c r="DJ457" i="34" s="1"/>
  <c r="DH469" i="34"/>
  <c r="DG469" i="34"/>
  <c r="DF458" i="34"/>
  <c r="DE458" i="34"/>
  <c r="DH470" i="34"/>
  <c r="DG470" i="34"/>
  <c r="DF438" i="34"/>
  <c r="DE438" i="34"/>
  <c r="DD434" i="34"/>
  <c r="DC434" i="34"/>
  <c r="DF425" i="34"/>
  <c r="DE425" i="34"/>
  <c r="DL444" i="34" s="1"/>
  <c r="DQ444" i="34" s="1"/>
  <c r="DE469" i="34"/>
  <c r="DF469" i="34"/>
  <c r="DD458" i="34"/>
  <c r="DC458" i="34"/>
  <c r="DC451" i="34"/>
  <c r="DD451" i="34"/>
  <c r="DH466" i="34"/>
  <c r="DG466" i="34"/>
  <c r="DH462" i="34"/>
  <c r="DG462" i="34"/>
  <c r="DH434" i="34"/>
  <c r="DG434" i="34"/>
  <c r="DO434" i="34" s="1"/>
  <c r="DH425" i="34"/>
  <c r="DG425" i="34"/>
  <c r="DC469" i="34"/>
  <c r="DD469" i="34"/>
  <c r="DH451" i="34"/>
  <c r="DG451" i="34"/>
  <c r="DH447" i="34"/>
  <c r="DG447" i="34"/>
  <c r="DD466" i="34"/>
  <c r="DC466" i="34"/>
  <c r="DE462" i="34"/>
  <c r="DF462" i="34"/>
  <c r="DE434" i="34"/>
  <c r="DF434" i="34"/>
  <c r="DH440" i="34"/>
  <c r="DG440" i="34"/>
  <c r="DG458" i="34"/>
  <c r="DH458" i="34"/>
  <c r="DC470" i="34"/>
  <c r="DD470" i="34"/>
  <c r="DE451" i="34"/>
  <c r="DF451" i="34"/>
  <c r="DG406" i="34"/>
  <c r="DH406" i="34"/>
  <c r="DH402" i="34"/>
  <c r="DG402" i="34"/>
  <c r="DD363" i="34"/>
  <c r="DC363" i="34"/>
  <c r="DD394" i="34"/>
  <c r="DC394" i="34"/>
  <c r="DF367" i="34"/>
  <c r="DE367" i="34"/>
  <c r="DE362" i="34"/>
  <c r="DF362" i="34"/>
  <c r="DH405" i="34"/>
  <c r="DG405" i="34"/>
  <c r="DH397" i="34"/>
  <c r="DG397" i="34"/>
  <c r="DD376" i="34"/>
  <c r="DC376" i="34"/>
  <c r="DE375" i="34"/>
  <c r="DF375" i="34"/>
  <c r="DF406" i="34"/>
  <c r="DE406" i="34"/>
  <c r="DF402" i="34"/>
  <c r="DE402" i="34"/>
  <c r="DG365" i="34"/>
  <c r="DH365" i="34"/>
  <c r="DC398" i="34"/>
  <c r="DD398" i="34"/>
  <c r="DH394" i="34"/>
  <c r="DG394" i="34"/>
  <c r="DD367" i="34"/>
  <c r="DC367" i="34"/>
  <c r="DF360" i="34"/>
  <c r="DE360" i="34"/>
  <c r="DD397" i="34"/>
  <c r="DC397" i="34"/>
  <c r="DD406" i="34"/>
  <c r="DC406" i="34"/>
  <c r="DH363" i="34"/>
  <c r="DG363" i="34"/>
  <c r="DD379" i="34"/>
  <c r="DC379" i="34"/>
  <c r="DE365" i="34"/>
  <c r="DF365" i="34"/>
  <c r="DF398" i="34"/>
  <c r="DE398" i="34"/>
  <c r="DE394" i="34"/>
  <c r="DF394" i="34"/>
  <c r="DH362" i="34"/>
  <c r="DG362" i="34"/>
  <c r="DF378" i="34"/>
  <c r="DE378" i="34"/>
  <c r="DC405" i="34"/>
  <c r="DD405" i="34"/>
  <c r="DG360" i="34"/>
  <c r="DH360" i="34"/>
  <c r="DF397" i="34"/>
  <c r="DE397" i="34"/>
  <c r="DC375" i="34"/>
  <c r="DD375" i="34"/>
  <c r="DD390" i="34"/>
  <c r="DC390" i="34"/>
  <c r="DC402" i="34"/>
  <c r="DD402" i="34"/>
  <c r="DF363" i="34"/>
  <c r="DE363" i="34"/>
  <c r="DE379" i="34"/>
  <c r="DF379" i="34"/>
  <c r="DH398" i="34"/>
  <c r="DG398" i="34"/>
  <c r="DH367" i="34"/>
  <c r="DG367" i="34"/>
  <c r="DH378" i="34"/>
  <c r="DG378" i="34"/>
  <c r="DE405" i="34"/>
  <c r="DF405" i="34"/>
  <c r="DC360" i="34"/>
  <c r="DD360" i="34"/>
  <c r="DE376" i="34"/>
  <c r="DF376" i="34"/>
  <c r="DF390" i="34"/>
  <c r="DE390" i="34"/>
  <c r="DF339" i="34"/>
  <c r="DE339" i="34"/>
  <c r="DG296" i="34"/>
  <c r="DH296" i="34"/>
  <c r="DG312" i="34"/>
  <c r="DH312" i="34"/>
  <c r="DH326" i="34"/>
  <c r="DG326" i="34"/>
  <c r="DF299" i="34"/>
  <c r="DE299" i="34"/>
  <c r="DC344" i="34"/>
  <c r="DD344" i="34"/>
  <c r="DC338" i="34"/>
  <c r="DD338" i="34"/>
  <c r="DF331" i="34"/>
  <c r="DE331" i="34"/>
  <c r="DD307" i="34"/>
  <c r="DC307" i="34"/>
  <c r="DD330" i="34"/>
  <c r="DC330" i="34"/>
  <c r="DE296" i="34"/>
  <c r="DF296" i="34"/>
  <c r="DF329" i="34"/>
  <c r="DE329" i="34"/>
  <c r="DE326" i="34"/>
  <c r="DF326" i="34"/>
  <c r="DH319" i="34"/>
  <c r="DG319" i="34"/>
  <c r="DD342" i="34"/>
  <c r="DC342" i="34"/>
  <c r="DH338" i="34"/>
  <c r="DG338" i="34"/>
  <c r="DD331" i="34"/>
  <c r="DC331" i="34"/>
  <c r="DE307" i="34"/>
  <c r="DF307" i="34"/>
  <c r="DE324" i="34"/>
  <c r="DF324" i="34"/>
  <c r="DC339" i="34"/>
  <c r="DD339" i="34"/>
  <c r="DG330" i="34"/>
  <c r="DH330" i="34"/>
  <c r="DC296" i="34"/>
  <c r="DD296" i="34"/>
  <c r="DF312" i="34"/>
  <c r="DE312" i="34"/>
  <c r="DD299" i="34"/>
  <c r="DC299" i="34"/>
  <c r="DC319" i="34"/>
  <c r="DD319" i="34"/>
  <c r="DE338" i="34"/>
  <c r="DF338" i="34"/>
  <c r="DG307" i="34"/>
  <c r="DH307" i="34"/>
  <c r="DF330" i="34"/>
  <c r="DE330" i="34"/>
  <c r="DC312" i="34"/>
  <c r="DD312" i="34"/>
  <c r="DC326" i="34"/>
  <c r="DD326" i="34"/>
  <c r="DE319" i="34"/>
  <c r="DF319" i="34"/>
  <c r="DF344" i="34"/>
  <c r="DE344" i="34"/>
  <c r="DF342" i="34"/>
  <c r="DE342" i="34"/>
  <c r="DG331" i="34"/>
  <c r="DH331" i="34"/>
  <c r="DF269" i="34"/>
  <c r="DE269" i="34"/>
  <c r="DE241" i="34"/>
  <c r="DF241" i="34"/>
  <c r="DF234" i="34"/>
  <c r="DE234" i="34"/>
  <c r="DD261" i="34"/>
  <c r="DC261" i="34"/>
  <c r="DF277" i="34"/>
  <c r="DE277" i="34"/>
  <c r="DF249" i="34"/>
  <c r="DE249" i="34"/>
  <c r="DE233" i="34"/>
  <c r="DF233" i="34"/>
  <c r="DH250" i="34"/>
  <c r="DG250" i="34"/>
  <c r="DD234" i="34"/>
  <c r="DC234" i="34"/>
  <c r="DD277" i="34"/>
  <c r="DC277" i="34"/>
  <c r="DF273" i="34"/>
  <c r="DE273" i="34"/>
  <c r="DF236" i="34"/>
  <c r="DE236" i="34"/>
  <c r="DD269" i="34"/>
  <c r="DC269" i="34"/>
  <c r="DD250" i="34"/>
  <c r="DC250" i="34"/>
  <c r="DD241" i="34"/>
  <c r="DC241" i="34"/>
  <c r="DE261" i="34"/>
  <c r="DF261" i="34"/>
  <c r="DD249" i="34"/>
  <c r="DC249" i="34"/>
  <c r="DH233" i="34"/>
  <c r="DG233" i="34"/>
  <c r="DD236" i="34"/>
  <c r="DC236" i="34"/>
  <c r="DH269" i="34"/>
  <c r="DG269" i="34"/>
  <c r="DE250" i="34"/>
  <c r="DF250" i="34"/>
  <c r="DH241" i="34"/>
  <c r="DG241" i="34"/>
  <c r="DH234" i="34"/>
  <c r="DG234" i="34"/>
  <c r="DH261" i="34"/>
  <c r="DG261" i="34"/>
  <c r="DC233" i="34"/>
  <c r="DD233" i="34"/>
  <c r="DG236" i="34"/>
  <c r="DH236" i="34"/>
  <c r="DH151" i="34"/>
  <c r="DG151" i="34"/>
  <c r="DH126" i="34"/>
  <c r="DG126" i="34"/>
  <c r="DE128" i="34"/>
  <c r="DF128" i="34"/>
  <c r="DF152" i="34"/>
  <c r="DE152" i="34"/>
  <c r="DF148" i="34"/>
  <c r="DE148" i="34"/>
  <c r="DE134" i="34"/>
  <c r="DF134" i="34"/>
  <c r="DD140" i="34"/>
  <c r="DC140" i="34"/>
  <c r="DD109" i="34"/>
  <c r="DC109" i="34"/>
  <c r="DE126" i="34"/>
  <c r="DF126" i="34"/>
  <c r="DC132" i="34"/>
  <c r="DD132" i="34"/>
  <c r="DH152" i="34"/>
  <c r="DG152" i="34"/>
  <c r="DH144" i="34"/>
  <c r="DG144" i="34"/>
  <c r="DD151" i="34"/>
  <c r="DC151" i="34"/>
  <c r="DF140" i="34"/>
  <c r="DE140" i="34"/>
  <c r="DE109" i="34"/>
  <c r="DF109" i="34"/>
  <c r="DC128" i="34"/>
  <c r="DD128" i="34"/>
  <c r="DH132" i="34"/>
  <c r="DG132" i="34"/>
  <c r="DC148" i="34"/>
  <c r="DD148" i="34"/>
  <c r="DE144" i="34"/>
  <c r="DF144" i="34"/>
  <c r="DG134" i="34"/>
  <c r="DH134" i="34"/>
  <c r="DE151" i="34"/>
  <c r="DF151" i="34"/>
  <c r="DG140" i="34"/>
  <c r="DH140" i="34"/>
  <c r="DG128" i="34"/>
  <c r="DH128" i="34"/>
  <c r="DF132" i="34"/>
  <c r="DE132" i="34"/>
  <c r="DD78" i="34"/>
  <c r="DF61" i="34"/>
  <c r="DH92" i="34"/>
  <c r="DF50" i="34"/>
  <c r="DD69" i="34"/>
  <c r="DF82" i="34"/>
  <c r="DD86" i="34"/>
  <c r="DC86" i="34"/>
  <c r="DE55" i="34"/>
  <c r="DC68" i="34"/>
  <c r="DG47" i="34"/>
  <c r="DC48" i="34"/>
  <c r="DC66" i="34"/>
  <c r="DD66" i="34"/>
  <c r="DK77" i="37"/>
  <c r="BU361" i="37"/>
  <c r="DN434" i="37"/>
  <c r="DK434" i="37"/>
  <c r="DK638" i="37"/>
  <c r="DN638" i="37"/>
  <c r="DK379" i="37"/>
  <c r="DN379" i="37"/>
  <c r="DP103" i="37"/>
  <c r="DO103" i="37"/>
  <c r="DP104" i="37"/>
  <c r="DO104" i="37"/>
  <c r="DK196" i="37"/>
  <c r="DN196" i="37"/>
  <c r="DK246" i="37"/>
  <c r="DN246" i="37"/>
  <c r="DN90" i="37"/>
  <c r="DK467" i="37"/>
  <c r="DN467" i="37"/>
  <c r="DN452" i="37"/>
  <c r="DK452" i="37"/>
  <c r="DK439" i="37"/>
  <c r="DN439" i="37"/>
  <c r="DK300" i="37"/>
  <c r="DN300" i="37"/>
  <c r="DK298" i="37"/>
  <c r="DN298" i="37"/>
  <c r="DK308" i="37"/>
  <c r="DN308" i="37"/>
  <c r="DK315" i="37"/>
  <c r="DN315" i="37"/>
  <c r="DK319" i="37"/>
  <c r="DN319" i="37"/>
  <c r="DK323" i="37"/>
  <c r="DN323" i="37"/>
  <c r="DK327" i="37"/>
  <c r="DN327" i="37"/>
  <c r="DK331" i="37"/>
  <c r="DN331" i="37"/>
  <c r="DK335" i="37"/>
  <c r="DN335" i="37"/>
  <c r="DK339" i="37"/>
  <c r="DN339" i="37"/>
  <c r="DN301" i="37"/>
  <c r="DK301" i="37"/>
  <c r="DK306" i="37"/>
  <c r="DN306" i="37"/>
  <c r="DN642" i="37"/>
  <c r="DK642" i="37"/>
  <c r="DK636" i="37"/>
  <c r="DN636" i="37"/>
  <c r="DK399" i="37"/>
  <c r="DN399" i="37"/>
  <c r="DK406" i="37"/>
  <c r="DN406" i="37"/>
  <c r="DK378" i="37"/>
  <c r="DN378" i="37"/>
  <c r="BT214" i="37"/>
  <c r="BT210" i="37"/>
  <c r="BT207" i="37"/>
  <c r="BT218" i="37"/>
  <c r="BT219" i="37"/>
  <c r="BT187" i="37"/>
  <c r="BT213" i="37"/>
  <c r="BT209" i="37"/>
  <c r="BT177" i="37"/>
  <c r="BT178" i="37"/>
  <c r="BT189" i="37"/>
  <c r="BT190" i="37"/>
  <c r="BT191" i="37"/>
  <c r="BT192" i="37"/>
  <c r="BT193" i="37"/>
  <c r="BT194" i="37"/>
  <c r="BT195" i="37"/>
  <c r="BT196" i="37"/>
  <c r="BT197" i="37"/>
  <c r="BT198" i="37"/>
  <c r="BT199" i="37"/>
  <c r="BT200" i="37"/>
  <c r="BT201" i="37"/>
  <c r="BT202" i="37"/>
  <c r="BT203" i="37"/>
  <c r="BT204" i="37"/>
  <c r="BT205" i="37"/>
  <c r="BT181" i="37"/>
  <c r="BT206" i="37"/>
  <c r="BT216" i="37"/>
  <c r="BT212" i="37"/>
  <c r="BT208" i="37"/>
  <c r="BT179" i="37"/>
  <c r="BT217" i="37"/>
  <c r="BT174" i="37"/>
  <c r="BT182" i="37"/>
  <c r="BT183" i="37"/>
  <c r="BT184" i="37"/>
  <c r="BT185" i="37"/>
  <c r="BT186" i="37"/>
  <c r="BT176" i="37"/>
  <c r="BT180" i="37"/>
  <c r="BT215" i="37"/>
  <c r="BT211" i="37"/>
  <c r="BT188" i="37"/>
  <c r="BT220" i="37"/>
  <c r="BT175" i="37"/>
  <c r="DN212" i="37"/>
  <c r="DK212" i="37"/>
  <c r="DK203" i="37"/>
  <c r="DN203" i="37"/>
  <c r="DK184" i="37"/>
  <c r="DN184" i="37"/>
  <c r="DJ68" i="37"/>
  <c r="DJ50" i="37"/>
  <c r="DJ69" i="37"/>
  <c r="DK489" i="37"/>
  <c r="DN489" i="37"/>
  <c r="DK500" i="37"/>
  <c r="DN500" i="37"/>
  <c r="DK497" i="37"/>
  <c r="DN497" i="37"/>
  <c r="DN492" i="37"/>
  <c r="DK492" i="37"/>
  <c r="DK494" i="37"/>
  <c r="DN494" i="37"/>
  <c r="DN508" i="37"/>
  <c r="DK508" i="37"/>
  <c r="DN513" i="37"/>
  <c r="DK513" i="37"/>
  <c r="DN517" i="37"/>
  <c r="DK517" i="37"/>
  <c r="DK521" i="37"/>
  <c r="DN521" i="37"/>
  <c r="DK525" i="37"/>
  <c r="DN525" i="37"/>
  <c r="DK529" i="37"/>
  <c r="DN529" i="37"/>
  <c r="DN534" i="37"/>
  <c r="DK534" i="37"/>
  <c r="DK275" i="37"/>
  <c r="DN275" i="37"/>
  <c r="DK259" i="37"/>
  <c r="DN259" i="37"/>
  <c r="DN238" i="37"/>
  <c r="DK238" i="37"/>
  <c r="DI69" i="37"/>
  <c r="DI72" i="37"/>
  <c r="DI50" i="37"/>
  <c r="DK470" i="37"/>
  <c r="DN470" i="37"/>
  <c r="DN455" i="37"/>
  <c r="DK455" i="37"/>
  <c r="DN436" i="37"/>
  <c r="DK436" i="37"/>
  <c r="DK422" i="37"/>
  <c r="DN422" i="37"/>
  <c r="DN661" i="37"/>
  <c r="DK661" i="37"/>
  <c r="DN646" i="37"/>
  <c r="DK646" i="37"/>
  <c r="DN626" i="37"/>
  <c r="DK626" i="37"/>
  <c r="DK619" i="37"/>
  <c r="DN619" i="37"/>
  <c r="DK394" i="37"/>
  <c r="DN394" i="37"/>
  <c r="DN376" i="37"/>
  <c r="DK376" i="37"/>
  <c r="DK363" i="37"/>
  <c r="DN363" i="37"/>
  <c r="DN553" i="37"/>
  <c r="DK553" i="37"/>
  <c r="DK562" i="37"/>
  <c r="DN562" i="37"/>
  <c r="DK569" i="37"/>
  <c r="DN569" i="37"/>
  <c r="DK555" i="37"/>
  <c r="DN555" i="37"/>
  <c r="DN560" i="37"/>
  <c r="DK560" i="37"/>
  <c r="DK558" i="37"/>
  <c r="DN558" i="37"/>
  <c r="DK586" i="37"/>
  <c r="DN586" i="37"/>
  <c r="DK578" i="37"/>
  <c r="DN578" i="37"/>
  <c r="DK582" i="37"/>
  <c r="DN582" i="37"/>
  <c r="DK589" i="37"/>
  <c r="DN589" i="37"/>
  <c r="DK590" i="37"/>
  <c r="DN590" i="37"/>
  <c r="DK593" i="37"/>
  <c r="DN593" i="37"/>
  <c r="DN207" i="37"/>
  <c r="DK207" i="37"/>
  <c r="DK198" i="37"/>
  <c r="DN198" i="37"/>
  <c r="DK172" i="37"/>
  <c r="DN172" i="37"/>
  <c r="DJ80" i="37"/>
  <c r="DJ63" i="37"/>
  <c r="DJ81" i="37"/>
  <c r="BT303" i="37"/>
  <c r="BT340" i="37"/>
  <c r="BT336" i="37"/>
  <c r="BT332" i="37"/>
  <c r="BT328" i="37"/>
  <c r="BT324" i="37"/>
  <c r="BT320" i="37"/>
  <c r="BT316" i="37"/>
  <c r="BT310" i="37"/>
  <c r="BT345" i="37"/>
  <c r="BT346" i="37"/>
  <c r="BT312" i="37"/>
  <c r="BT339" i="37"/>
  <c r="BT335" i="37"/>
  <c r="BT331" i="37"/>
  <c r="BT327" i="37"/>
  <c r="BT323" i="37"/>
  <c r="BT319" i="37"/>
  <c r="BT315" i="37"/>
  <c r="BT309" i="37"/>
  <c r="BT305" i="37"/>
  <c r="BT300" i="37"/>
  <c r="BT304" i="37"/>
  <c r="BT344" i="37"/>
  <c r="BT306" i="37"/>
  <c r="BT307" i="37"/>
  <c r="BT342" i="37"/>
  <c r="BT338" i="37"/>
  <c r="BT334" i="37"/>
  <c r="BT330" i="37"/>
  <c r="BT326" i="37"/>
  <c r="BT322" i="37"/>
  <c r="BT318" i="37"/>
  <c r="BT308" i="37"/>
  <c r="BT343" i="37"/>
  <c r="BT313" i="37"/>
  <c r="BT302" i="37"/>
  <c r="BT301" i="37"/>
  <c r="BT341" i="37"/>
  <c r="BT337" i="37"/>
  <c r="BT333" i="37"/>
  <c r="BT329" i="37"/>
  <c r="BT325" i="37"/>
  <c r="BT321" i="37"/>
  <c r="BT317" i="37"/>
  <c r="BT311" i="37"/>
  <c r="BT314" i="37"/>
  <c r="DK274" i="37"/>
  <c r="DN274" i="37"/>
  <c r="DK258" i="37"/>
  <c r="DN258" i="37"/>
  <c r="DK237" i="37"/>
  <c r="DN237" i="37"/>
  <c r="DI65" i="37"/>
  <c r="DI68" i="37"/>
  <c r="DI47" i="37"/>
  <c r="DK469" i="37"/>
  <c r="DN469" i="37"/>
  <c r="DN454" i="37"/>
  <c r="DK454" i="37"/>
  <c r="DK440" i="37"/>
  <c r="DN440" i="37"/>
  <c r="DP78" i="37"/>
  <c r="DP62" i="37"/>
  <c r="DP81" i="37"/>
  <c r="DP65" i="37"/>
  <c r="DP55" i="37"/>
  <c r="DP94" i="37"/>
  <c r="DP84" i="37"/>
  <c r="DP68" i="37"/>
  <c r="DP48" i="37"/>
  <c r="DP83" i="37"/>
  <c r="DP67" i="37"/>
  <c r="DP50" i="37"/>
  <c r="DP90" i="37"/>
  <c r="DP74" i="37"/>
  <c r="DP58" i="37"/>
  <c r="DP77" i="37"/>
  <c r="DP61" i="37"/>
  <c r="DP54" i="37"/>
  <c r="DP93" i="37"/>
  <c r="DP80" i="37"/>
  <c r="DP64" i="37"/>
  <c r="BT47" i="37"/>
  <c r="DP79" i="37"/>
  <c r="DP63" i="37"/>
  <c r="DP47" i="37"/>
  <c r="DP86" i="37"/>
  <c r="DP70" i="37"/>
  <c r="DP89" i="37"/>
  <c r="DP73" i="37"/>
  <c r="DP57" i="37"/>
  <c r="DP51" i="37"/>
  <c r="DP92" i="37"/>
  <c r="DP76" i="37"/>
  <c r="DP60" i="37"/>
  <c r="DP91" i="37"/>
  <c r="DP75" i="37"/>
  <c r="DP59" i="37"/>
  <c r="DP46" i="37"/>
  <c r="DP82" i="37"/>
  <c r="DP66" i="37"/>
  <c r="DP85" i="37"/>
  <c r="DP69" i="37"/>
  <c r="DP56" i="37"/>
  <c r="DP49" i="37"/>
  <c r="DP88" i="37"/>
  <c r="DP72" i="37"/>
  <c r="DP53" i="37"/>
  <c r="DP87" i="37"/>
  <c r="DP71" i="37"/>
  <c r="DP52" i="37"/>
  <c r="DK650" i="37"/>
  <c r="DN650" i="37"/>
  <c r="DN633" i="37"/>
  <c r="DK633" i="37"/>
  <c r="DK618" i="37"/>
  <c r="DN618" i="37"/>
  <c r="BU234" i="37"/>
  <c r="DK393" i="37"/>
  <c r="DN393" i="37"/>
  <c r="DN369" i="37"/>
  <c r="DK369" i="37"/>
  <c r="DK362" i="37"/>
  <c r="DN362" i="37"/>
  <c r="DK111" i="37"/>
  <c r="DN111" i="37"/>
  <c r="DN131" i="37"/>
  <c r="DK131" i="37"/>
  <c r="DN132" i="37"/>
  <c r="DK132" i="37"/>
  <c r="DN114" i="37"/>
  <c r="DK114" i="37"/>
  <c r="DK106" i="37"/>
  <c r="DN106" i="37"/>
  <c r="DK110" i="37"/>
  <c r="DN110" i="37"/>
  <c r="DK121" i="37"/>
  <c r="DN121" i="37"/>
  <c r="DN123" i="37"/>
  <c r="DK123" i="37"/>
  <c r="DN136" i="37"/>
  <c r="DK136" i="37"/>
  <c r="DN140" i="37"/>
  <c r="DK140" i="37"/>
  <c r="DN144" i="37"/>
  <c r="DK144" i="37"/>
  <c r="DN148" i="37"/>
  <c r="DK148" i="37"/>
  <c r="DN152" i="37"/>
  <c r="DK152" i="37"/>
  <c r="DK189" i="37"/>
  <c r="DN189" i="37"/>
  <c r="DK273" i="37"/>
  <c r="DN273" i="37"/>
  <c r="DK235" i="37"/>
  <c r="DN235" i="37"/>
  <c r="DK91" i="37"/>
  <c r="DN91" i="37"/>
  <c r="DN461" i="37"/>
  <c r="DK461" i="37"/>
  <c r="BU172" i="37"/>
  <c r="DN615" i="37"/>
  <c r="DK615" i="37"/>
  <c r="DK400" i="37"/>
  <c r="DN400" i="37"/>
  <c r="DP43" i="37"/>
  <c r="DO43" i="37"/>
  <c r="DP44" i="37"/>
  <c r="DO44" i="37"/>
  <c r="DK187" i="37"/>
  <c r="DN187" i="37"/>
  <c r="BU487" i="37"/>
  <c r="DK272" i="37"/>
  <c r="DN272" i="37"/>
  <c r="DN57" i="37"/>
  <c r="DN210" i="37"/>
  <c r="DK210" i="37"/>
  <c r="DK201" i="37"/>
  <c r="DN201" i="37"/>
  <c r="DK182" i="37"/>
  <c r="DN182" i="37"/>
  <c r="DK269" i="37"/>
  <c r="DN269" i="37"/>
  <c r="DK253" i="37"/>
  <c r="DN253" i="37"/>
  <c r="DK236" i="37"/>
  <c r="DN236" i="37"/>
  <c r="DI93" i="37"/>
  <c r="DI75" i="37"/>
  <c r="DI62" i="37"/>
  <c r="DN457" i="37"/>
  <c r="DK457" i="37"/>
  <c r="DN441" i="37"/>
  <c r="DK441" i="37"/>
  <c r="DK424" i="37"/>
  <c r="DN424" i="37"/>
  <c r="DN648" i="37"/>
  <c r="DK648" i="37"/>
  <c r="DK625" i="37"/>
  <c r="DN625" i="37"/>
  <c r="DK617" i="37"/>
  <c r="DN617" i="37"/>
  <c r="DK396" i="37"/>
  <c r="DN396" i="37"/>
  <c r="DK367" i="37"/>
  <c r="DN367" i="37"/>
  <c r="DK372" i="37"/>
  <c r="DN372" i="37"/>
  <c r="BT58" i="37"/>
  <c r="BT62" i="37"/>
  <c r="BT66" i="37"/>
  <c r="BT70" i="37"/>
  <c r="BT74" i="37"/>
  <c r="BT78" i="37"/>
  <c r="BT82" i="37"/>
  <c r="BT86" i="37"/>
  <c r="BT90" i="37"/>
  <c r="BT50" i="37"/>
  <c r="BT53" i="37"/>
  <c r="BT93" i="37"/>
  <c r="BT56" i="37"/>
  <c r="BT59" i="37"/>
  <c r="BT67" i="37"/>
  <c r="BT75" i="37"/>
  <c r="BT83" i="37"/>
  <c r="BT91" i="37"/>
  <c r="BT60" i="37"/>
  <c r="BT68" i="37"/>
  <c r="BT76" i="37"/>
  <c r="BT84" i="37"/>
  <c r="BT92" i="37"/>
  <c r="BT51" i="37"/>
  <c r="BT55" i="37"/>
  <c r="BT61" i="37"/>
  <c r="BT69" i="37"/>
  <c r="BT77" i="37"/>
  <c r="BT85" i="37"/>
  <c r="BT95" i="37"/>
  <c r="BT54" i="37"/>
  <c r="BT52" i="37"/>
  <c r="BT63" i="37"/>
  <c r="BT71" i="37"/>
  <c r="BT79" i="37"/>
  <c r="BT87" i="37"/>
  <c r="BT64" i="37"/>
  <c r="BT72" i="37"/>
  <c r="BT80" i="37"/>
  <c r="BT88" i="37"/>
  <c r="BT94" i="37"/>
  <c r="BT96" i="37"/>
  <c r="BT57" i="37"/>
  <c r="BT65" i="37"/>
  <c r="BT73" i="37"/>
  <c r="BT81" i="37"/>
  <c r="BT89" i="37"/>
  <c r="DO483" i="37"/>
  <c r="DP484" i="37"/>
  <c r="DO484" i="37"/>
  <c r="DP483" i="37"/>
  <c r="DN181" i="37"/>
  <c r="DK181" i="37"/>
  <c r="DK192" i="37"/>
  <c r="DN192" i="37"/>
  <c r="DK178" i="37"/>
  <c r="DN178" i="37"/>
  <c r="DJ87" i="37"/>
  <c r="DJ70" i="37"/>
  <c r="DJ51" i="37"/>
  <c r="BT498" i="37"/>
  <c r="BT499" i="37"/>
  <c r="BT500" i="37"/>
  <c r="BT501" i="37"/>
  <c r="BT497" i="37"/>
  <c r="BT506" i="37"/>
  <c r="BT508" i="37"/>
  <c r="BT510" i="37"/>
  <c r="BT536" i="37"/>
  <c r="BT531" i="37"/>
  <c r="BT527" i="37"/>
  <c r="BT523" i="37"/>
  <c r="BT519" i="37"/>
  <c r="BT515" i="37"/>
  <c r="BT511" i="37"/>
  <c r="BT504" i="37"/>
  <c r="BT503" i="37"/>
  <c r="BT490" i="37"/>
  <c r="BT502" i="37"/>
  <c r="BT492" i="37"/>
  <c r="BT496" i="37"/>
  <c r="BT535" i="37"/>
  <c r="BT534" i="37"/>
  <c r="BT530" i="37"/>
  <c r="BT526" i="37"/>
  <c r="BT522" i="37"/>
  <c r="BT518" i="37"/>
  <c r="BT514" i="37"/>
  <c r="BT507" i="37"/>
  <c r="BT509" i="37"/>
  <c r="BT529" i="37"/>
  <c r="BT525" i="37"/>
  <c r="BT521" i="37"/>
  <c r="BT517" i="37"/>
  <c r="BT513" i="37"/>
  <c r="BT505" i="37"/>
  <c r="BT491" i="37"/>
  <c r="BT533" i="37"/>
  <c r="BT532" i="37"/>
  <c r="BT528" i="37"/>
  <c r="BT524" i="37"/>
  <c r="BT520" i="37"/>
  <c r="BT516" i="37"/>
  <c r="BT512" i="37"/>
  <c r="BT493" i="37"/>
  <c r="BT494" i="37"/>
  <c r="BT495" i="37"/>
  <c r="DP547" i="37"/>
  <c r="DO547" i="37"/>
  <c r="DP548" i="37"/>
  <c r="DO548" i="37"/>
  <c r="BU489" i="37"/>
  <c r="DK268" i="37"/>
  <c r="DN268" i="37"/>
  <c r="DK252" i="37"/>
  <c r="DN252" i="37"/>
  <c r="DK245" i="37"/>
  <c r="DN245" i="37"/>
  <c r="DI51" i="37"/>
  <c r="DI87" i="37"/>
  <c r="DI74" i="37"/>
  <c r="DK463" i="37"/>
  <c r="DN463" i="37"/>
  <c r="DN448" i="37"/>
  <c r="DK448" i="37"/>
  <c r="DK429" i="37"/>
  <c r="DN429" i="37"/>
  <c r="DK304" i="37"/>
  <c r="DN304" i="37"/>
  <c r="DK299" i="37"/>
  <c r="DN299" i="37"/>
  <c r="DK309" i="37"/>
  <c r="DN309" i="37"/>
  <c r="DK316" i="37"/>
  <c r="DN316" i="37"/>
  <c r="DK320" i="37"/>
  <c r="DN320" i="37"/>
  <c r="DK324" i="37"/>
  <c r="DN324" i="37"/>
  <c r="DK328" i="37"/>
  <c r="DN328" i="37"/>
  <c r="DK332" i="37"/>
  <c r="DN332" i="37"/>
  <c r="DK336" i="37"/>
  <c r="DN336" i="37"/>
  <c r="DK340" i="37"/>
  <c r="DN340" i="37"/>
  <c r="DN307" i="37"/>
  <c r="DK307" i="37"/>
  <c r="DK313" i="37"/>
  <c r="DN313" i="37"/>
  <c r="DK655" i="37"/>
  <c r="DN655" i="37"/>
  <c r="DK637" i="37"/>
  <c r="DN637" i="37"/>
  <c r="DK623" i="37"/>
  <c r="DN623" i="37"/>
  <c r="DK395" i="37"/>
  <c r="DN395" i="37"/>
  <c r="DK366" i="37"/>
  <c r="DN366" i="37"/>
  <c r="DK371" i="37"/>
  <c r="DN371" i="37"/>
  <c r="DN208" i="37"/>
  <c r="DK208" i="37"/>
  <c r="DK199" i="37"/>
  <c r="DN199" i="37"/>
  <c r="DK173" i="37"/>
  <c r="DN173" i="37"/>
  <c r="BT49" i="37"/>
  <c r="DJ82" i="37"/>
  <c r="DJ56" i="37"/>
  <c r="DK486" i="37"/>
  <c r="DN486" i="37"/>
  <c r="DK490" i="37"/>
  <c r="DN490" i="37"/>
  <c r="DK501" i="37"/>
  <c r="DN501" i="37"/>
  <c r="DK502" i="37"/>
  <c r="DN502" i="37"/>
  <c r="DN496" i="37"/>
  <c r="DK496" i="37"/>
  <c r="DK495" i="37"/>
  <c r="DN495" i="37"/>
  <c r="DN510" i="37"/>
  <c r="DK510" i="37"/>
  <c r="DN514" i="37"/>
  <c r="DK514" i="37"/>
  <c r="DK518" i="37"/>
  <c r="DN518" i="37"/>
  <c r="DK522" i="37"/>
  <c r="DN522" i="37"/>
  <c r="DK526" i="37"/>
  <c r="DN526" i="37"/>
  <c r="DK530" i="37"/>
  <c r="DN530" i="37"/>
  <c r="DK533" i="37"/>
  <c r="DN533" i="37"/>
  <c r="BU171" i="37"/>
  <c r="DK271" i="37"/>
  <c r="DN271" i="37"/>
  <c r="DK255" i="37"/>
  <c r="DN255" i="37"/>
  <c r="DK242" i="37"/>
  <c r="DN242" i="37"/>
  <c r="DI56" i="37"/>
  <c r="DI53" i="37"/>
  <c r="DI86" i="37"/>
  <c r="DK466" i="37"/>
  <c r="DN466" i="37"/>
  <c r="DN451" i="37"/>
  <c r="DK451" i="37"/>
  <c r="DN432" i="37"/>
  <c r="DK432" i="37"/>
  <c r="DN657" i="37"/>
  <c r="DK657" i="37"/>
  <c r="DN643" i="37"/>
  <c r="DK643" i="37"/>
  <c r="DK629" i="37"/>
  <c r="DN629" i="37"/>
  <c r="DK407" i="37"/>
  <c r="DN407" i="37"/>
  <c r="DK390" i="37"/>
  <c r="DN390" i="37"/>
  <c r="DK370" i="37"/>
  <c r="DN370" i="37"/>
  <c r="DK359" i="37"/>
  <c r="DN359" i="37"/>
  <c r="DK550" i="37"/>
  <c r="DN550" i="37"/>
  <c r="DK563" i="37"/>
  <c r="DN563" i="37"/>
  <c r="DK570" i="37"/>
  <c r="DN570" i="37"/>
  <c r="DK561" i="37"/>
  <c r="DN561" i="37"/>
  <c r="DN567" i="37"/>
  <c r="DK567" i="37"/>
  <c r="DK559" i="37"/>
  <c r="DN559" i="37"/>
  <c r="DK575" i="37"/>
  <c r="DN575" i="37"/>
  <c r="DK579" i="37"/>
  <c r="DN579" i="37"/>
  <c r="DK583" i="37"/>
  <c r="DN583" i="37"/>
  <c r="DK588" i="37"/>
  <c r="DN588" i="37"/>
  <c r="DK598" i="37"/>
  <c r="DN598" i="37"/>
  <c r="DK594" i="37"/>
  <c r="DN594" i="37"/>
  <c r="DO293" i="37"/>
  <c r="DP294" i="37"/>
  <c r="DO294" i="37"/>
  <c r="DP293" i="37"/>
  <c r="DK176" i="37"/>
  <c r="DN176" i="37"/>
  <c r="DK194" i="37"/>
  <c r="DN194" i="37"/>
  <c r="DK188" i="37"/>
  <c r="DN188" i="37"/>
  <c r="DJ64" i="37"/>
  <c r="DJ47" i="37"/>
  <c r="DJ65" i="37"/>
  <c r="BU424" i="37"/>
  <c r="DK270" i="37"/>
  <c r="DN270" i="37"/>
  <c r="DK254" i="37"/>
  <c r="DN254" i="37"/>
  <c r="DK240" i="37"/>
  <c r="DN240" i="37"/>
  <c r="DI55" i="37"/>
  <c r="DI48" i="37"/>
  <c r="DI82" i="37"/>
  <c r="DK465" i="37"/>
  <c r="DN465" i="37"/>
  <c r="DN450" i="37"/>
  <c r="DK450" i="37"/>
  <c r="DK428" i="37"/>
  <c r="DN428" i="37"/>
  <c r="DO79" i="37"/>
  <c r="DO63" i="37"/>
  <c r="DO90" i="37"/>
  <c r="DO74" i="37"/>
  <c r="DO58" i="37"/>
  <c r="DO77" i="37"/>
  <c r="DO61" i="37"/>
  <c r="DO54" i="37"/>
  <c r="DO46" i="37"/>
  <c r="DO88" i="37"/>
  <c r="DO72" i="37"/>
  <c r="DO53" i="37"/>
  <c r="DO91" i="37"/>
  <c r="DO75" i="37"/>
  <c r="DO59" i="37"/>
  <c r="DO86" i="37"/>
  <c r="DO70" i="37"/>
  <c r="DO89" i="37"/>
  <c r="DO73" i="37"/>
  <c r="DO57" i="37"/>
  <c r="DO51" i="37"/>
  <c r="DO94" i="37"/>
  <c r="DO84" i="37"/>
  <c r="DO68" i="37"/>
  <c r="DO48" i="37"/>
  <c r="DO87" i="37"/>
  <c r="DO71" i="37"/>
  <c r="DO52" i="37"/>
  <c r="DO82" i="37"/>
  <c r="DO66" i="37"/>
  <c r="DO85" i="37"/>
  <c r="DO69" i="37"/>
  <c r="DO56" i="37"/>
  <c r="DO49" i="37"/>
  <c r="DO93" i="37"/>
  <c r="DO80" i="37"/>
  <c r="DO64" i="37"/>
  <c r="DO83" i="37"/>
  <c r="DO67" i="37"/>
  <c r="DO50" i="37"/>
  <c r="DO78" i="37"/>
  <c r="DO62" i="37"/>
  <c r="DO81" i="37"/>
  <c r="DO65" i="37"/>
  <c r="DO55" i="37"/>
  <c r="DO47" i="37"/>
  <c r="DO92" i="37"/>
  <c r="DO76" i="37"/>
  <c r="DO60" i="37"/>
  <c r="DN660" i="37"/>
  <c r="DK660" i="37"/>
  <c r="DN645" i="37"/>
  <c r="DK645" i="37"/>
  <c r="DN620" i="37"/>
  <c r="DK620" i="37"/>
  <c r="DK405" i="37"/>
  <c r="DN405" i="37"/>
  <c r="DK389" i="37"/>
  <c r="DN389" i="37"/>
  <c r="DK364" i="37"/>
  <c r="DN364" i="37"/>
  <c r="DK117" i="37"/>
  <c r="DN117" i="37"/>
  <c r="DK112" i="37"/>
  <c r="DN112" i="37"/>
  <c r="DN133" i="37"/>
  <c r="DK133" i="37"/>
  <c r="DN115" i="37"/>
  <c r="DK115" i="37"/>
  <c r="DK107" i="37"/>
  <c r="DN107" i="37"/>
  <c r="DK118" i="37"/>
  <c r="DN118" i="37"/>
  <c r="DK124" i="37"/>
  <c r="DN124" i="37"/>
  <c r="DK154" i="37"/>
  <c r="DN154" i="37"/>
  <c r="DN137" i="37"/>
  <c r="DK137" i="37"/>
  <c r="DN141" i="37"/>
  <c r="DK141" i="37"/>
  <c r="DN145" i="37"/>
  <c r="DK145" i="37"/>
  <c r="DN149" i="37"/>
  <c r="DK149" i="37"/>
  <c r="BU553" i="37"/>
  <c r="DN206" i="37"/>
  <c r="DK206" i="37"/>
  <c r="DK257" i="37"/>
  <c r="DN257" i="37"/>
  <c r="DK54" i="37"/>
  <c r="DN54" i="37"/>
  <c r="DK78" i="37"/>
  <c r="DN78" i="37"/>
  <c r="DN445" i="37"/>
  <c r="DK445" i="37"/>
  <c r="DK663" i="37"/>
  <c r="DN663" i="37"/>
  <c r="DK384" i="37"/>
  <c r="DN384" i="37"/>
  <c r="DK170" i="37"/>
  <c r="DN170" i="37"/>
  <c r="DK256" i="37"/>
  <c r="DN256" i="37"/>
  <c r="DN60" i="37"/>
  <c r="DK60" i="37"/>
  <c r="DN205" i="37"/>
  <c r="DK205" i="37"/>
  <c r="DK197" i="37"/>
  <c r="DN197" i="37"/>
  <c r="DK171" i="37"/>
  <c r="DN171" i="37"/>
  <c r="DK265" i="37"/>
  <c r="DN265" i="37"/>
  <c r="DN251" i="37"/>
  <c r="DK251" i="37"/>
  <c r="DK234" i="37"/>
  <c r="DN234" i="37"/>
  <c r="DI80" i="37"/>
  <c r="DI59" i="37"/>
  <c r="DN453" i="37"/>
  <c r="DK453" i="37"/>
  <c r="DN462" i="37"/>
  <c r="DK462" i="37"/>
  <c r="BU299" i="37"/>
  <c r="DN644" i="37"/>
  <c r="DK644" i="37"/>
  <c r="DN631" i="37"/>
  <c r="DK631" i="37"/>
  <c r="DK392" i="37"/>
  <c r="DN392" i="37"/>
  <c r="DN365" i="37"/>
  <c r="DK365" i="37"/>
  <c r="DK361" i="37"/>
  <c r="DN361" i="37"/>
  <c r="BU552" i="37"/>
  <c r="DP168" i="37"/>
  <c r="DO168" i="37"/>
  <c r="DP167" i="37"/>
  <c r="DO167" i="37"/>
  <c r="DN213" i="37"/>
  <c r="DK213" i="37"/>
  <c r="DN204" i="37"/>
  <c r="DK204" i="37"/>
  <c r="DK185" i="37"/>
  <c r="DN185" i="37"/>
  <c r="DJ88" i="37"/>
  <c r="DJ71" i="37"/>
  <c r="DJ89" i="37"/>
  <c r="BU298" i="37"/>
  <c r="DK264" i="37"/>
  <c r="DN264" i="37"/>
  <c r="DK250" i="37"/>
  <c r="DN250" i="37"/>
  <c r="DI89" i="37"/>
  <c r="DI92" i="37"/>
  <c r="DI71" i="37"/>
  <c r="DI58" i="37"/>
  <c r="BU297" i="37"/>
  <c r="DN460" i="37"/>
  <c r="DK460" i="37"/>
  <c r="DN444" i="37"/>
  <c r="DK444" i="37"/>
  <c r="DK430" i="37"/>
  <c r="DN430" i="37"/>
  <c r="DK296" i="37"/>
  <c r="DN296" i="37"/>
  <c r="DK303" i="37"/>
  <c r="DN303" i="37"/>
  <c r="DK314" i="37"/>
  <c r="DN314" i="37"/>
  <c r="DK310" i="37"/>
  <c r="DN310" i="37"/>
  <c r="DK317" i="37"/>
  <c r="DN317" i="37"/>
  <c r="DK321" i="37"/>
  <c r="DN321" i="37"/>
  <c r="DK325" i="37"/>
  <c r="DN325" i="37"/>
  <c r="DK329" i="37"/>
  <c r="DN329" i="37"/>
  <c r="DK333" i="37"/>
  <c r="DN333" i="37"/>
  <c r="DK337" i="37"/>
  <c r="DN337" i="37"/>
  <c r="DK341" i="37"/>
  <c r="DN341" i="37"/>
  <c r="DN312" i="37"/>
  <c r="DK312" i="37"/>
  <c r="DK344" i="37"/>
  <c r="DN344" i="37"/>
  <c r="DK649" i="37"/>
  <c r="DN649" i="37"/>
  <c r="DK621" i="37"/>
  <c r="DN621" i="37"/>
  <c r="DK616" i="37"/>
  <c r="DN616" i="37"/>
  <c r="DK391" i="37"/>
  <c r="DN391" i="37"/>
  <c r="DK375" i="37"/>
  <c r="DN375" i="37"/>
  <c r="DK360" i="37"/>
  <c r="DN360" i="37"/>
  <c r="BU425" i="37"/>
  <c r="DO419" i="37"/>
  <c r="DP420" i="37"/>
  <c r="DO420" i="37"/>
  <c r="DP419" i="37"/>
  <c r="DK180" i="37"/>
  <c r="DN180" i="37"/>
  <c r="DK195" i="37"/>
  <c r="DN195" i="37"/>
  <c r="DK217" i="37"/>
  <c r="DN217" i="37"/>
  <c r="DJ94" i="37"/>
  <c r="DJ83" i="37"/>
  <c r="DJ66" i="37"/>
  <c r="DJ49" i="37"/>
  <c r="DK487" i="37"/>
  <c r="DN487" i="37"/>
  <c r="DK498" i="37"/>
  <c r="DN498" i="37"/>
  <c r="DN505" i="37"/>
  <c r="DK505" i="37"/>
  <c r="DN507" i="37"/>
  <c r="DK507" i="37"/>
  <c r="DN503" i="37"/>
  <c r="DK503" i="37"/>
  <c r="DK504" i="37"/>
  <c r="DN504" i="37"/>
  <c r="DN511" i="37"/>
  <c r="DK511" i="37"/>
  <c r="DN515" i="37"/>
  <c r="DK515" i="37"/>
  <c r="DK519" i="37"/>
  <c r="DN519" i="37"/>
  <c r="DK523" i="37"/>
  <c r="DN523" i="37"/>
  <c r="DK527" i="37"/>
  <c r="DN527" i="37"/>
  <c r="DK531" i="37"/>
  <c r="DN531" i="37"/>
  <c r="BT660" i="37"/>
  <c r="BT655" i="37"/>
  <c r="BT653" i="37"/>
  <c r="BT647" i="37"/>
  <c r="BT643" i="37"/>
  <c r="BT639" i="37"/>
  <c r="BT644" i="37"/>
  <c r="BT625" i="37"/>
  <c r="BT633" i="37"/>
  <c r="BT620" i="37"/>
  <c r="BT659" i="37"/>
  <c r="BT664" i="37"/>
  <c r="BT654" i="37"/>
  <c r="BT651" i="37"/>
  <c r="BT646" i="37"/>
  <c r="BT642" i="37"/>
  <c r="BT638" i="37"/>
  <c r="BT631" i="37"/>
  <c r="BT621" i="37"/>
  <c r="BT629" i="37"/>
  <c r="BT661" i="37"/>
  <c r="BT662" i="37"/>
  <c r="BT640" i="37"/>
  <c r="BT627" i="37"/>
  <c r="BT619" i="37"/>
  <c r="BT658" i="37"/>
  <c r="BT656" i="37"/>
  <c r="BT649" i="37"/>
  <c r="BT663" i="37"/>
  <c r="BT637" i="37"/>
  <c r="BT626" i="37"/>
  <c r="BT657" i="37"/>
  <c r="BT665" i="37"/>
  <c r="BT648" i="37"/>
  <c r="BT650" i="37"/>
  <c r="BT652" i="37"/>
  <c r="BT636" i="37"/>
  <c r="BT634" i="37"/>
  <c r="BT635" i="37"/>
  <c r="BT622" i="37"/>
  <c r="BT645" i="37"/>
  <c r="BT632" i="37"/>
  <c r="BT641" i="37"/>
  <c r="BT630" i="37"/>
  <c r="BT628" i="37"/>
  <c r="BT624" i="37"/>
  <c r="BT623" i="37"/>
  <c r="DK267" i="37"/>
  <c r="DN267" i="37"/>
  <c r="DK248" i="37"/>
  <c r="DN248" i="37"/>
  <c r="DK233" i="37"/>
  <c r="DN233" i="37"/>
  <c r="DI49" i="37"/>
  <c r="DI83" i="37"/>
  <c r="DI70" i="37"/>
  <c r="BU362" i="37"/>
  <c r="DK438" i="37"/>
  <c r="DN438" i="37"/>
  <c r="DN447" i="37"/>
  <c r="DK447" i="37"/>
  <c r="DN427" i="37"/>
  <c r="DK427" i="37"/>
  <c r="BU48" i="37"/>
  <c r="DK654" i="37"/>
  <c r="DN654" i="37"/>
  <c r="DN640" i="37"/>
  <c r="DK640" i="37"/>
  <c r="DK635" i="37"/>
  <c r="DN635" i="37"/>
  <c r="DK402" i="37"/>
  <c r="DN402" i="37"/>
  <c r="DK386" i="37"/>
  <c r="DN386" i="37"/>
  <c r="DK381" i="37"/>
  <c r="DN381" i="37"/>
  <c r="BU173" i="37"/>
  <c r="DK551" i="37"/>
  <c r="DN551" i="37"/>
  <c r="DK564" i="37"/>
  <c r="DN564" i="37"/>
  <c r="DK571" i="37"/>
  <c r="DN571" i="37"/>
  <c r="DK566" i="37"/>
  <c r="DN566" i="37"/>
  <c r="DK574" i="37"/>
  <c r="DN574" i="37"/>
  <c r="DK568" i="37"/>
  <c r="DN568" i="37"/>
  <c r="DK576" i="37"/>
  <c r="DN576" i="37"/>
  <c r="DK580" i="37"/>
  <c r="DN580" i="37"/>
  <c r="DK584" i="37"/>
  <c r="DN584" i="37"/>
  <c r="DN597" i="37"/>
  <c r="DK597" i="37"/>
  <c r="DK591" i="37"/>
  <c r="DN591" i="37"/>
  <c r="DK595" i="37"/>
  <c r="DN595" i="37"/>
  <c r="BU109" i="37"/>
  <c r="BT554" i="37"/>
  <c r="BT595" i="37"/>
  <c r="BT600" i="37"/>
  <c r="BT584" i="37"/>
  <c r="BT580" i="37"/>
  <c r="BT576" i="37"/>
  <c r="BT597" i="37"/>
  <c r="BT559" i="37"/>
  <c r="BT570" i="37"/>
  <c r="BT564" i="37"/>
  <c r="BT594" i="37"/>
  <c r="BT598" i="37"/>
  <c r="BT589" i="37"/>
  <c r="BT587" i="37"/>
  <c r="BT583" i="37"/>
  <c r="BT579" i="37"/>
  <c r="BT591" i="37"/>
  <c r="BT568" i="37"/>
  <c r="BT558" i="37"/>
  <c r="BT572" i="37"/>
  <c r="BT560" i="37"/>
  <c r="BT573" i="37"/>
  <c r="BT566" i="37"/>
  <c r="BT575" i="37"/>
  <c r="BT569" i="37"/>
  <c r="BT563" i="37"/>
  <c r="BT593" i="37"/>
  <c r="BT590" i="37"/>
  <c r="BT586" i="37"/>
  <c r="BT582" i="37"/>
  <c r="BT578" i="37"/>
  <c r="BT599" i="37"/>
  <c r="BT557" i="37"/>
  <c r="BT567" i="37"/>
  <c r="BT556" i="37"/>
  <c r="BT561" i="37"/>
  <c r="BT574" i="37"/>
  <c r="BT562" i="37"/>
  <c r="BT596" i="37"/>
  <c r="BT592" i="37"/>
  <c r="BT585" i="37"/>
  <c r="BT581" i="37"/>
  <c r="BT577" i="37"/>
  <c r="BT588" i="37"/>
  <c r="BT555" i="37"/>
  <c r="BT571" i="37"/>
  <c r="BT565" i="37"/>
  <c r="DN215" i="37"/>
  <c r="DK215" i="37"/>
  <c r="DK218" i="37"/>
  <c r="DN218" i="37"/>
  <c r="DK190" i="37"/>
  <c r="DN190" i="37"/>
  <c r="BU423" i="37"/>
  <c r="DO356" i="37"/>
  <c r="DP357" i="37"/>
  <c r="DO357" i="37"/>
  <c r="DP356" i="37"/>
  <c r="DO613" i="37"/>
  <c r="DP612" i="37"/>
  <c r="DO612" i="37"/>
  <c r="DP613" i="37"/>
  <c r="DJ48" i="37"/>
  <c r="DJ78" i="37"/>
  <c r="DJ55" i="37"/>
  <c r="BU488" i="37"/>
  <c r="BU617" i="37"/>
  <c r="DK266" i="37"/>
  <c r="DN266" i="37"/>
  <c r="DK247" i="37"/>
  <c r="DN247" i="37"/>
  <c r="DK241" i="37"/>
  <c r="DN241" i="37"/>
  <c r="DI94" i="37"/>
  <c r="DI79" i="37"/>
  <c r="DI66" i="37"/>
  <c r="BU236" i="37"/>
  <c r="DK433" i="37"/>
  <c r="DN433" i="37"/>
  <c r="DN446" i="37"/>
  <c r="DK446" i="37"/>
  <c r="DN435" i="37"/>
  <c r="DK435" i="37"/>
  <c r="DN656" i="37"/>
  <c r="DK656" i="37"/>
  <c r="DN641" i="37"/>
  <c r="DK641" i="37"/>
  <c r="DK628" i="37"/>
  <c r="DN628" i="37"/>
  <c r="DK401" i="37"/>
  <c r="DN401" i="37"/>
  <c r="DK385" i="37"/>
  <c r="DN385" i="37"/>
  <c r="DK380" i="37"/>
  <c r="DN380" i="37"/>
  <c r="BU551" i="37"/>
  <c r="DK122" i="37"/>
  <c r="DN122" i="37"/>
  <c r="DK116" i="37"/>
  <c r="DN116" i="37"/>
  <c r="DN134" i="37"/>
  <c r="DK134" i="37"/>
  <c r="DN125" i="37"/>
  <c r="DK125" i="37"/>
  <c r="DK108" i="37"/>
  <c r="DN108" i="37"/>
  <c r="DK119" i="37"/>
  <c r="DN119" i="37"/>
  <c r="DN126" i="37"/>
  <c r="DK126" i="37"/>
  <c r="DK153" i="37"/>
  <c r="DN153" i="37"/>
  <c r="DN138" i="37"/>
  <c r="DK138" i="37"/>
  <c r="DN142" i="37"/>
  <c r="DK142" i="37"/>
  <c r="DN146" i="37"/>
  <c r="DK146" i="37"/>
  <c r="DN150" i="37"/>
  <c r="DK150" i="37"/>
  <c r="DJ92" i="37"/>
  <c r="DN186" i="37"/>
  <c r="DK186" i="37"/>
  <c r="DK193" i="37"/>
  <c r="DN193" i="37"/>
  <c r="DK179" i="37"/>
  <c r="DN179" i="37"/>
  <c r="DK261" i="37"/>
  <c r="DN261" i="37"/>
  <c r="DK249" i="37"/>
  <c r="DN249" i="37"/>
  <c r="DK61" i="37"/>
  <c r="DN61" i="37"/>
  <c r="DN64" i="37"/>
  <c r="DK64" i="37"/>
  <c r="DK46" i="37"/>
  <c r="DN46" i="37"/>
  <c r="DK464" i="37"/>
  <c r="DN464" i="37"/>
  <c r="DN449" i="37"/>
  <c r="DK449" i="37"/>
  <c r="DK431" i="37"/>
  <c r="DN431" i="37"/>
  <c r="DK662" i="37"/>
  <c r="DN662" i="37"/>
  <c r="DN632" i="37"/>
  <c r="DK632" i="37"/>
  <c r="DK627" i="37"/>
  <c r="DN627" i="37"/>
  <c r="DK388" i="37"/>
  <c r="DN388" i="37"/>
  <c r="DK383" i="37"/>
  <c r="DN383" i="37"/>
  <c r="BU107" i="37"/>
  <c r="DN209" i="37"/>
  <c r="DK209" i="37"/>
  <c r="DK200" i="37"/>
  <c r="DN200" i="37"/>
  <c r="DK174" i="37"/>
  <c r="DN174" i="37"/>
  <c r="DJ72" i="37"/>
  <c r="DJ52" i="37"/>
  <c r="DJ73" i="37"/>
  <c r="BU360" i="37"/>
  <c r="DK276" i="37"/>
  <c r="DN276" i="37"/>
  <c r="DK260" i="37"/>
  <c r="DN260" i="37"/>
  <c r="DN244" i="37"/>
  <c r="DK244" i="37"/>
  <c r="DI73" i="37"/>
  <c r="DI76" i="37"/>
  <c r="DI52" i="37"/>
  <c r="DN456" i="37"/>
  <c r="DK456" i="37"/>
  <c r="DN437" i="37"/>
  <c r="DK437" i="37"/>
  <c r="DK423" i="37"/>
  <c r="DN423" i="37"/>
  <c r="DK297" i="37"/>
  <c r="DN297" i="37"/>
  <c r="DK305" i="37"/>
  <c r="DN305" i="37"/>
  <c r="DK343" i="37"/>
  <c r="DN343" i="37"/>
  <c r="DK311" i="37"/>
  <c r="DN311" i="37"/>
  <c r="DK318" i="37"/>
  <c r="DN318" i="37"/>
  <c r="DK322" i="37"/>
  <c r="DN322" i="37"/>
  <c r="DK326" i="37"/>
  <c r="DN326" i="37"/>
  <c r="DK330" i="37"/>
  <c r="DN330" i="37"/>
  <c r="DK334" i="37"/>
  <c r="DN334" i="37"/>
  <c r="DK338" i="37"/>
  <c r="DN338" i="37"/>
  <c r="DK342" i="37"/>
  <c r="DN342" i="37"/>
  <c r="DK302" i="37"/>
  <c r="DN302" i="37"/>
  <c r="DN647" i="37"/>
  <c r="DK647" i="37"/>
  <c r="DK630" i="37"/>
  <c r="DN630" i="37"/>
  <c r="DK403" i="37"/>
  <c r="DN403" i="37"/>
  <c r="DK387" i="37"/>
  <c r="DN387" i="37"/>
  <c r="DK382" i="37"/>
  <c r="DN382" i="37"/>
  <c r="BU251" i="37"/>
  <c r="BV251" i="37" s="1"/>
  <c r="BU280" i="37"/>
  <c r="BV280" i="37" s="1"/>
  <c r="BU277" i="37"/>
  <c r="BV277" i="37" s="1"/>
  <c r="BU273" i="37"/>
  <c r="BV273" i="37" s="1"/>
  <c r="BU269" i="37"/>
  <c r="BV269" i="37" s="1"/>
  <c r="BU265" i="37"/>
  <c r="BV265" i="37" s="1"/>
  <c r="BU261" i="37"/>
  <c r="BU257" i="37"/>
  <c r="BV257" i="37" s="1"/>
  <c r="BU253" i="37"/>
  <c r="BV253" i="37" s="1"/>
  <c r="BU247" i="37"/>
  <c r="BV247" i="37" s="1"/>
  <c r="BU242" i="37"/>
  <c r="BV242" i="37" s="1"/>
  <c r="BU250" i="37"/>
  <c r="BV250" i="37" s="1"/>
  <c r="BU276" i="37"/>
  <c r="BV276" i="37" s="1"/>
  <c r="BU272" i="37"/>
  <c r="BV272" i="37" s="1"/>
  <c r="BU268" i="37"/>
  <c r="BV268" i="37" s="1"/>
  <c r="BU264" i="37"/>
  <c r="BV264" i="37" s="1"/>
  <c r="BU260" i="37"/>
  <c r="BV260" i="37" s="1"/>
  <c r="BU256" i="37"/>
  <c r="BV256" i="37" s="1"/>
  <c r="BU252" i="37"/>
  <c r="BV252" i="37" s="1"/>
  <c r="BU246" i="37"/>
  <c r="BV246" i="37" s="1"/>
  <c r="BU237" i="37"/>
  <c r="BV237" i="37" s="1"/>
  <c r="BU243" i="37"/>
  <c r="BV243" i="37" s="1"/>
  <c r="BU240" i="37"/>
  <c r="BV240" i="37" s="1"/>
  <c r="BU282" i="37"/>
  <c r="BV282" i="37" s="1"/>
  <c r="BU249" i="37"/>
  <c r="BV249" i="37" s="1"/>
  <c r="BU238" i="37"/>
  <c r="BV238" i="37" s="1"/>
  <c r="BU279" i="37"/>
  <c r="BV279" i="37" s="1"/>
  <c r="BU275" i="37"/>
  <c r="BV275" i="37" s="1"/>
  <c r="BU271" i="37"/>
  <c r="BV271" i="37" s="1"/>
  <c r="BU267" i="37"/>
  <c r="BV267" i="37" s="1"/>
  <c r="BU263" i="37"/>
  <c r="BV263" i="37" s="1"/>
  <c r="BU259" i="37"/>
  <c r="BV259" i="37" s="1"/>
  <c r="BU255" i="37"/>
  <c r="BV255" i="37" s="1"/>
  <c r="BU245" i="37"/>
  <c r="BV245" i="37" s="1"/>
  <c r="BU241" i="37"/>
  <c r="BV241" i="37" s="1"/>
  <c r="BU239" i="37"/>
  <c r="BV239" i="37" s="1"/>
  <c r="BU281" i="37"/>
  <c r="BV281" i="37" s="1"/>
  <c r="BU244" i="37"/>
  <c r="BV244" i="37" s="1"/>
  <c r="BU283" i="37"/>
  <c r="BV283" i="37" s="1"/>
  <c r="BU278" i="37"/>
  <c r="BV278" i="37" s="1"/>
  <c r="BU274" i="37"/>
  <c r="BV274" i="37" s="1"/>
  <c r="BU270" i="37"/>
  <c r="BV270" i="37" s="1"/>
  <c r="BU266" i="37"/>
  <c r="BV266" i="37" s="1"/>
  <c r="BU262" i="37"/>
  <c r="BV262" i="37" s="1"/>
  <c r="BU258" i="37"/>
  <c r="BV258" i="37" s="1"/>
  <c r="BU254" i="37"/>
  <c r="BV254" i="37" s="1"/>
  <c r="BU248" i="37"/>
  <c r="BV248" i="37" s="1"/>
  <c r="BU108" i="37"/>
  <c r="DN216" i="37"/>
  <c r="DK216" i="37"/>
  <c r="DN175" i="37"/>
  <c r="DK175" i="37"/>
  <c r="DK191" i="37"/>
  <c r="DN191" i="37"/>
  <c r="DK177" i="37"/>
  <c r="DN177" i="37"/>
  <c r="DJ84" i="37"/>
  <c r="DJ67" i="37"/>
  <c r="DK488" i="37"/>
  <c r="DN488" i="37"/>
  <c r="DK499" i="37"/>
  <c r="DN499" i="37"/>
  <c r="DK491" i="37"/>
  <c r="DN491" i="37"/>
  <c r="DN509" i="37"/>
  <c r="DK509" i="37"/>
  <c r="DK493" i="37"/>
  <c r="DN493" i="37"/>
  <c r="DN506" i="37"/>
  <c r="DK506" i="37"/>
  <c r="DN512" i="37"/>
  <c r="DK512" i="37"/>
  <c r="DN516" i="37"/>
  <c r="DK516" i="37"/>
  <c r="DK520" i="37"/>
  <c r="DN520" i="37"/>
  <c r="DK524" i="37"/>
  <c r="DN524" i="37"/>
  <c r="DK528" i="37"/>
  <c r="DN528" i="37"/>
  <c r="DK532" i="37"/>
  <c r="DN532" i="37"/>
  <c r="DK263" i="37"/>
  <c r="DN263" i="37"/>
  <c r="DN243" i="37"/>
  <c r="DK243" i="37"/>
  <c r="DI85" i="37"/>
  <c r="DI88" i="37"/>
  <c r="DN459" i="37"/>
  <c r="DK459" i="37"/>
  <c r="DN443" i="37"/>
  <c r="DK443" i="37"/>
  <c r="DK426" i="37"/>
  <c r="DN426" i="37"/>
  <c r="DK651" i="37"/>
  <c r="DN651" i="37"/>
  <c r="DK634" i="37"/>
  <c r="DN634" i="37"/>
  <c r="DK622" i="37"/>
  <c r="DN622" i="37"/>
  <c r="DK398" i="37"/>
  <c r="DN398" i="37"/>
  <c r="DK377" i="37"/>
  <c r="DN377" i="37"/>
  <c r="DK374" i="37"/>
  <c r="DN374" i="37"/>
  <c r="BV261" i="37"/>
  <c r="DK554" i="37"/>
  <c r="DN554" i="37"/>
  <c r="DK552" i="37"/>
  <c r="DN552" i="37"/>
  <c r="DK565" i="37"/>
  <c r="DN565" i="37"/>
  <c r="DK572" i="37"/>
  <c r="DN572" i="37"/>
  <c r="DN556" i="37"/>
  <c r="DK556" i="37"/>
  <c r="DK557" i="37"/>
  <c r="DN557" i="37"/>
  <c r="DK573" i="37"/>
  <c r="DN573" i="37"/>
  <c r="DK577" i="37"/>
  <c r="DN577" i="37"/>
  <c r="DK581" i="37"/>
  <c r="DN581" i="37"/>
  <c r="DK585" i="37"/>
  <c r="DN585" i="37"/>
  <c r="DK587" i="37"/>
  <c r="DN587" i="37"/>
  <c r="DK592" i="37"/>
  <c r="DN592" i="37"/>
  <c r="DK596" i="37"/>
  <c r="DN596" i="37"/>
  <c r="DN211" i="37"/>
  <c r="DK211" i="37"/>
  <c r="DK202" i="37"/>
  <c r="DN202" i="37"/>
  <c r="DK183" i="37"/>
  <c r="DN183" i="37"/>
  <c r="DJ93" i="37"/>
  <c r="DJ79" i="37"/>
  <c r="DJ62" i="37"/>
  <c r="DK278" i="37"/>
  <c r="DN278" i="37"/>
  <c r="DK262" i="37"/>
  <c r="DN262" i="37"/>
  <c r="DK239" i="37"/>
  <c r="DN239" i="37"/>
  <c r="DI81" i="37"/>
  <c r="DI84" i="37"/>
  <c r="DI63" i="37"/>
  <c r="DN458" i="37"/>
  <c r="DK458" i="37"/>
  <c r="DN442" i="37"/>
  <c r="DK442" i="37"/>
  <c r="DK425" i="37"/>
  <c r="DN425" i="37"/>
  <c r="DK653" i="37"/>
  <c r="DN653" i="37"/>
  <c r="DK639" i="37"/>
  <c r="DN639" i="37"/>
  <c r="DK624" i="37"/>
  <c r="DN624" i="37"/>
  <c r="DK397" i="37"/>
  <c r="DN397" i="37"/>
  <c r="DK368" i="37"/>
  <c r="DN368" i="37"/>
  <c r="DK373" i="37"/>
  <c r="DN373" i="37"/>
  <c r="DN127" i="37"/>
  <c r="DK127" i="37"/>
  <c r="DN128" i="37"/>
  <c r="DK128" i="37"/>
  <c r="DN113" i="37"/>
  <c r="DK113" i="37"/>
  <c r="DN129" i="37"/>
  <c r="DK129" i="37"/>
  <c r="DK109" i="37"/>
  <c r="DN109" i="37"/>
  <c r="DK120" i="37"/>
  <c r="DN120" i="37"/>
  <c r="DN130" i="37"/>
  <c r="DK130" i="37"/>
  <c r="DN135" i="37"/>
  <c r="DK135" i="37"/>
  <c r="DN139" i="37"/>
  <c r="DK139" i="37"/>
  <c r="DN143" i="37"/>
  <c r="DK143" i="37"/>
  <c r="DN147" i="37"/>
  <c r="DK147" i="37"/>
  <c r="DN151" i="37"/>
  <c r="DK151" i="37"/>
  <c r="BU618" i="37"/>
  <c r="DF76" i="34"/>
  <c r="W50" i="34"/>
  <c r="CZ50" i="34" s="1"/>
  <c r="DC50" i="34" s="1"/>
  <c r="W91" i="34"/>
  <c r="CZ91" i="34" s="1"/>
  <c r="DD91" i="34" s="1"/>
  <c r="Y55" i="34"/>
  <c r="DB55" i="34" s="1"/>
  <c r="DH55" i="34" s="1"/>
  <c r="W55" i="34"/>
  <c r="CZ55" i="34" s="1"/>
  <c r="DC92" i="34"/>
  <c r="Y71" i="34"/>
  <c r="DB71" i="34" s="1"/>
  <c r="DH71" i="34" s="1"/>
  <c r="W61" i="34"/>
  <c r="CZ61" i="34" s="1"/>
  <c r="Y50" i="34"/>
  <c r="DB50" i="34" s="1"/>
  <c r="W71" i="34"/>
  <c r="CZ71" i="34" s="1"/>
  <c r="DD71" i="34" s="1"/>
  <c r="Y82" i="34"/>
  <c r="DB82" i="34" s="1"/>
  <c r="DG82" i="34" s="1"/>
  <c r="W54" i="34"/>
  <c r="CZ54" i="34" s="1"/>
  <c r="DD54" i="34" s="1"/>
  <c r="DH69" i="34"/>
  <c r="DG69" i="34"/>
  <c r="DD46" i="34"/>
  <c r="DC46" i="34"/>
  <c r="Y61" i="34"/>
  <c r="DB61" i="34" s="1"/>
  <c r="DD76" i="34"/>
  <c r="DC76" i="34"/>
  <c r="Y77" i="34"/>
  <c r="DB77" i="34" s="1"/>
  <c r="W82" i="34"/>
  <c r="CZ82" i="34" s="1"/>
  <c r="DG75" i="34"/>
  <c r="DH75" i="34"/>
  <c r="Y94" i="34"/>
  <c r="DB94" i="34" s="1"/>
  <c r="DC56" i="34"/>
  <c r="DD56" i="34"/>
  <c r="DE77" i="34"/>
  <c r="DF77" i="34"/>
  <c r="DE94" i="34"/>
  <c r="DF94" i="34"/>
  <c r="DH46" i="34"/>
  <c r="DG46" i="34"/>
  <c r="DF56" i="34"/>
  <c r="DE56" i="34"/>
  <c r="Y54" i="34"/>
  <c r="DB54" i="34" s="1"/>
  <c r="DH54" i="34" s="1"/>
  <c r="DH56" i="34"/>
  <c r="DG56" i="34"/>
  <c r="DE46" i="34"/>
  <c r="DF46" i="34"/>
  <c r="DF71" i="34"/>
  <c r="DE71" i="34"/>
  <c r="W77" i="34"/>
  <c r="CZ77" i="34" s="1"/>
  <c r="DF75" i="34"/>
  <c r="DE75" i="34"/>
  <c r="W94" i="34"/>
  <c r="CZ94" i="34" s="1"/>
  <c r="DC127" i="2"/>
  <c r="DD127" i="2"/>
  <c r="C112" i="11"/>
  <c r="D112" i="11" s="1"/>
  <c r="E112" i="11" s="1"/>
  <c r="AM65" i="8"/>
  <c r="DD180" i="34"/>
  <c r="DC180" i="34"/>
  <c r="BF7" i="3"/>
  <c r="AE12" i="9"/>
  <c r="AN7" i="3"/>
  <c r="BG7" i="3" s="1"/>
  <c r="AE7" i="3"/>
  <c r="AG7" i="3"/>
  <c r="AC7" i="3"/>
  <c r="AD7" i="3"/>
  <c r="AF7" i="3"/>
  <c r="C133" i="10"/>
  <c r="D133" i="10" s="1"/>
  <c r="E133" i="10" s="1"/>
  <c r="C196" i="8"/>
  <c r="AL86" i="8"/>
  <c r="AB60" i="3"/>
  <c r="C57" i="10"/>
  <c r="D57" i="10" s="1"/>
  <c r="E57" i="10" s="1"/>
  <c r="C171" i="6"/>
  <c r="AE61" i="6"/>
  <c r="AL61" i="6"/>
  <c r="BF13" i="6"/>
  <c r="AN13" i="6"/>
  <c r="BG13" i="6" s="1"/>
  <c r="DH660" i="34"/>
  <c r="DG660" i="34"/>
  <c r="DH145" i="34"/>
  <c r="DG145" i="34"/>
  <c r="DO145" i="34" s="1"/>
  <c r="DC407" i="34"/>
  <c r="DD407" i="34"/>
  <c r="DF590" i="34"/>
  <c r="DE590" i="34"/>
  <c r="DC652" i="34"/>
  <c r="DD652" i="34"/>
  <c r="DH491" i="34"/>
  <c r="DG491" i="34"/>
  <c r="DG571" i="34"/>
  <c r="DH571" i="34"/>
  <c r="DD198" i="34"/>
  <c r="DC198" i="34"/>
  <c r="DA579" i="34"/>
  <c r="Y579" i="34"/>
  <c r="DB579" i="34" s="1"/>
  <c r="DA629" i="34"/>
  <c r="Y629" i="34"/>
  <c r="DB629" i="34" s="1"/>
  <c r="DO129" i="34"/>
  <c r="DO139" i="34"/>
  <c r="DO141" i="34"/>
  <c r="DO135" i="34"/>
  <c r="DO140" i="34"/>
  <c r="DO128" i="34"/>
  <c r="DO131" i="34"/>
  <c r="DO115" i="34"/>
  <c r="DO127" i="34"/>
  <c r="DO136" i="34"/>
  <c r="DO121" i="34"/>
  <c r="DO122" i="34"/>
  <c r="DO132" i="34"/>
  <c r="DO112" i="34"/>
  <c r="DO154" i="34"/>
  <c r="DO120" i="34"/>
  <c r="DO119" i="34"/>
  <c r="DO110" i="34"/>
  <c r="DO130" i="34"/>
  <c r="DO111" i="34"/>
  <c r="DO152" i="34"/>
  <c r="DO117" i="34"/>
  <c r="DO153" i="34"/>
  <c r="DO149" i="34"/>
  <c r="DO116" i="34"/>
  <c r="DO150" i="34"/>
  <c r="DO147" i="34"/>
  <c r="DO114" i="34"/>
  <c r="DO151" i="34"/>
  <c r="DO144" i="34"/>
  <c r="DO108" i="34"/>
  <c r="DO123" i="34"/>
  <c r="DO107" i="34"/>
  <c r="DO109" i="34"/>
  <c r="DO134" i="34"/>
  <c r="DO137" i="34"/>
  <c r="DO118" i="34"/>
  <c r="DO106" i="34"/>
  <c r="DO125" i="34"/>
  <c r="DO124" i="34"/>
  <c r="DO126" i="34"/>
  <c r="DO146" i="34"/>
  <c r="DO148" i="34"/>
  <c r="DO138" i="34"/>
  <c r="DO113" i="34"/>
  <c r="DI253" i="34"/>
  <c r="DI273" i="34"/>
  <c r="DI235" i="34"/>
  <c r="DI264" i="34"/>
  <c r="DI272" i="34"/>
  <c r="DI234" i="34"/>
  <c r="DI260" i="34"/>
  <c r="DI271" i="34"/>
  <c r="DI233" i="34"/>
  <c r="DI256" i="34"/>
  <c r="DI270" i="34"/>
  <c r="DI251" i="34"/>
  <c r="DI252" i="34"/>
  <c r="DI269" i="34"/>
  <c r="DI239" i="34"/>
  <c r="DI250" i="34"/>
  <c r="DI268" i="34"/>
  <c r="DI237" i="34"/>
  <c r="DI248" i="34"/>
  <c r="DI267" i="34"/>
  <c r="DI245" i="34"/>
  <c r="DI263" i="34"/>
  <c r="DI266" i="34"/>
  <c r="DI244" i="34"/>
  <c r="DI259" i="34"/>
  <c r="DI262" i="34"/>
  <c r="DI243" i="34"/>
  <c r="DI255" i="34"/>
  <c r="DI258" i="34"/>
  <c r="DI242" i="34"/>
  <c r="DI247" i="34"/>
  <c r="DI254" i="34"/>
  <c r="DI249" i="34"/>
  <c r="DI278" i="34"/>
  <c r="DI246" i="34"/>
  <c r="DI277" i="34"/>
  <c r="DI241" i="34"/>
  <c r="DI265" i="34"/>
  <c r="DI276" i="34"/>
  <c r="DI236" i="34"/>
  <c r="DI261" i="34"/>
  <c r="DI275" i="34"/>
  <c r="DI240" i="34"/>
  <c r="DI257" i="34"/>
  <c r="DI274" i="34"/>
  <c r="DI238" i="34"/>
  <c r="DD67" i="34"/>
  <c r="DC67" i="34"/>
  <c r="DE63" i="34"/>
  <c r="DF63" i="34"/>
  <c r="CE30" i="31"/>
  <c r="CE45" i="31"/>
  <c r="CE57" i="31"/>
  <c r="CE72" i="31"/>
  <c r="CE37" i="31"/>
  <c r="CE60" i="31"/>
  <c r="CE23" i="31"/>
  <c r="CE47" i="31"/>
  <c r="CE58" i="31"/>
  <c r="CE74" i="31"/>
  <c r="CE48" i="31"/>
  <c r="CE59" i="31"/>
  <c r="CE33" i="31"/>
  <c r="AO22" i="31"/>
  <c r="CE32" i="31"/>
  <c r="CE49" i="31"/>
  <c r="CE55" i="31"/>
  <c r="CE25" i="31"/>
  <c r="CE40" i="31"/>
  <c r="CE67" i="31"/>
  <c r="CE41" i="31"/>
  <c r="CE63" i="31"/>
  <c r="CE20" i="31"/>
  <c r="CE27" i="31"/>
  <c r="CE44" i="31"/>
  <c r="CE66" i="31"/>
  <c r="CE34" i="31"/>
  <c r="CE36" i="31"/>
  <c r="CE61" i="31"/>
  <c r="CE21" i="31"/>
  <c r="CE39" i="31"/>
  <c r="CE51" i="31"/>
  <c r="CE69" i="31"/>
  <c r="CE26" i="31"/>
  <c r="CE54" i="31"/>
  <c r="CE64" i="31"/>
  <c r="CE19" i="31"/>
  <c r="CE56" i="31"/>
  <c r="CE68" i="31"/>
  <c r="CE29" i="31"/>
  <c r="CE62" i="31"/>
  <c r="CE22" i="31"/>
  <c r="CE38" i="31"/>
  <c r="CE35" i="31"/>
  <c r="CE73" i="31"/>
  <c r="CE43" i="31"/>
  <c r="CE42" i="31"/>
  <c r="CE50" i="31"/>
  <c r="CE24" i="31"/>
  <c r="CE28" i="31"/>
  <c r="CE52" i="31"/>
  <c r="CE53" i="31"/>
  <c r="CE31" i="31"/>
  <c r="CE65" i="31"/>
  <c r="CE46" i="31"/>
  <c r="CE70" i="31"/>
  <c r="CE71" i="31"/>
  <c r="CK21" i="31"/>
  <c r="CR20" i="31"/>
  <c r="CT20" i="31" s="1"/>
  <c r="CO20" i="31"/>
  <c r="DC91" i="34"/>
  <c r="X85" i="34"/>
  <c r="DA85" i="34" s="1"/>
  <c r="W49" i="34"/>
  <c r="CZ49" i="34" s="1"/>
  <c r="DA79" i="34"/>
  <c r="Y79" i="34"/>
  <c r="DB79" i="34" s="1"/>
  <c r="DC58" i="34"/>
  <c r="DD58" i="34"/>
  <c r="DE651" i="2"/>
  <c r="DF651" i="2"/>
  <c r="DE586" i="2"/>
  <c r="DF586" i="2"/>
  <c r="B7" i="17"/>
  <c r="C7" i="17"/>
  <c r="BX72" i="31"/>
  <c r="BX42" i="31"/>
  <c r="BI42" i="31"/>
  <c r="CD55" i="31"/>
  <c r="CF55" i="31" s="1"/>
  <c r="CD57" i="31"/>
  <c r="CF57" i="31" s="1"/>
  <c r="CD56" i="31"/>
  <c r="CF56" i="31" s="1"/>
  <c r="CD73" i="31"/>
  <c r="CF73" i="31" s="1"/>
  <c r="CD48" i="31"/>
  <c r="CF48" i="31" s="1"/>
  <c r="CD43" i="31"/>
  <c r="CF43" i="31" s="1"/>
  <c r="CD63" i="31"/>
  <c r="CF63" i="31" s="1"/>
  <c r="CD53" i="31"/>
  <c r="CF53" i="31" s="1"/>
  <c r="CD23" i="31"/>
  <c r="CF23" i="31" s="1"/>
  <c r="CD41" i="31"/>
  <c r="CF41" i="31" s="1"/>
  <c r="CD42" i="31"/>
  <c r="CF42" i="31" s="1"/>
  <c r="DH73" i="34"/>
  <c r="DG73" i="34"/>
  <c r="DA72" i="34"/>
  <c r="W72" i="34"/>
  <c r="CZ72" i="34" s="1"/>
  <c r="DH80" i="34"/>
  <c r="DG80" i="34"/>
  <c r="DF90" i="34"/>
  <c r="DE90" i="34"/>
  <c r="DC64" i="34"/>
  <c r="DD64" i="34"/>
  <c r="DC586" i="2"/>
  <c r="DD586" i="2"/>
  <c r="X429" i="2"/>
  <c r="DA429" i="2" s="1"/>
  <c r="W429" i="2"/>
  <c r="CZ429" i="2" s="1"/>
  <c r="X62" i="34"/>
  <c r="DA62" i="34" s="1"/>
  <c r="DG70" i="34"/>
  <c r="DH70" i="34"/>
  <c r="DA81" i="34"/>
  <c r="W81" i="34"/>
  <c r="CZ81" i="34" s="1"/>
  <c r="W90" i="34"/>
  <c r="CZ90" i="34" s="1"/>
  <c r="DC615" i="2"/>
  <c r="DD615" i="2"/>
  <c r="BX31" i="31"/>
  <c r="BI31" i="31"/>
  <c r="X93" i="34"/>
  <c r="DA93" i="34" s="1"/>
  <c r="DA59" i="34"/>
  <c r="W59" i="34"/>
  <c r="CZ59" i="34" s="1"/>
  <c r="X624" i="2"/>
  <c r="DA624" i="2" s="1"/>
  <c r="DF212" i="2"/>
  <c r="DE212" i="2"/>
  <c r="J173" i="8"/>
  <c r="AK173" i="8" s="1"/>
  <c r="K173" i="8"/>
  <c r="DE269" i="2"/>
  <c r="DF269" i="2"/>
  <c r="DD218" i="2"/>
  <c r="DC218" i="2"/>
  <c r="DG171" i="2"/>
  <c r="DH171" i="2"/>
  <c r="DH595" i="2"/>
  <c r="DG595" i="2"/>
  <c r="DE154" i="2"/>
  <c r="DF154" i="2"/>
  <c r="DH145" i="2"/>
  <c r="DG145" i="2"/>
  <c r="DG656" i="2"/>
  <c r="DH656" i="2"/>
  <c r="DF528" i="2"/>
  <c r="DE528" i="2"/>
  <c r="DH465" i="2"/>
  <c r="DG465" i="2"/>
  <c r="DF400" i="2"/>
  <c r="DE400" i="2"/>
  <c r="DH331" i="2"/>
  <c r="DG331" i="2"/>
  <c r="DH274" i="2"/>
  <c r="DG274" i="2"/>
  <c r="DG142" i="2"/>
  <c r="DH142" i="2"/>
  <c r="DC150" i="2"/>
  <c r="DD150" i="2"/>
  <c r="DF461" i="2"/>
  <c r="DE461" i="2"/>
  <c r="DC335" i="2"/>
  <c r="DD335" i="2"/>
  <c r="DG268" i="2"/>
  <c r="DH268" i="2"/>
  <c r="DD174" i="2"/>
  <c r="DC174" i="2"/>
  <c r="DG426" i="2"/>
  <c r="DH426" i="2"/>
  <c r="DG253" i="2"/>
  <c r="DH253" i="2"/>
  <c r="DF387" i="2"/>
  <c r="DE387" i="2"/>
  <c r="DF560" i="2"/>
  <c r="DE560" i="2"/>
  <c r="DD619" i="2"/>
  <c r="DC619" i="2"/>
  <c r="DF135" i="2"/>
  <c r="DE135" i="2"/>
  <c r="DE187" i="2"/>
  <c r="DF187" i="2"/>
  <c r="DE304" i="2"/>
  <c r="DF304" i="2"/>
  <c r="DG382" i="2"/>
  <c r="DH382" i="2"/>
  <c r="DH129" i="2"/>
  <c r="DG129" i="2"/>
  <c r="DC191" i="2"/>
  <c r="DD191" i="2"/>
  <c r="DG306" i="2"/>
  <c r="DH306" i="2"/>
  <c r="DF384" i="2"/>
  <c r="DE384" i="2"/>
  <c r="DH112" i="2"/>
  <c r="DG112" i="2"/>
  <c r="DF442" i="2"/>
  <c r="DE442" i="2"/>
  <c r="DH516" i="2"/>
  <c r="DG516" i="2"/>
  <c r="DF510" i="2"/>
  <c r="DE510" i="2"/>
  <c r="DG362" i="2"/>
  <c r="DH362" i="2"/>
  <c r="DD509" i="2"/>
  <c r="DC509" i="2"/>
  <c r="DH634" i="2"/>
  <c r="DG634" i="2"/>
  <c r="DE252" i="2"/>
  <c r="DF252" i="2"/>
  <c r="DE248" i="2"/>
  <c r="DF248" i="2"/>
  <c r="DH433" i="2"/>
  <c r="DG433" i="2"/>
  <c r="DD184" i="2"/>
  <c r="DC184" i="2"/>
  <c r="DD198" i="2"/>
  <c r="DC198" i="2"/>
  <c r="DG261" i="2"/>
  <c r="DH261" i="2"/>
  <c r="DC493" i="2"/>
  <c r="DD493" i="2"/>
  <c r="DH553" i="2"/>
  <c r="DG553" i="2"/>
  <c r="DE641" i="2"/>
  <c r="DF641" i="2"/>
  <c r="DG119" i="2"/>
  <c r="DH119" i="2"/>
  <c r="DE203" i="2"/>
  <c r="DF203" i="2"/>
  <c r="DC239" i="2"/>
  <c r="DD239" i="2"/>
  <c r="DC114" i="2"/>
  <c r="DD114" i="2"/>
  <c r="DE197" i="2"/>
  <c r="DF197" i="2"/>
  <c r="DE315" i="2"/>
  <c r="DF315" i="2"/>
  <c r="DF125" i="2"/>
  <c r="DE125" i="2"/>
  <c r="DC113" i="2"/>
  <c r="DD113" i="2"/>
  <c r="DC302" i="2"/>
  <c r="DD302" i="2"/>
  <c r="DE201" i="2"/>
  <c r="DF201" i="2"/>
  <c r="DD325" i="2"/>
  <c r="DC325" i="2"/>
  <c r="DD369" i="2"/>
  <c r="DC369" i="2"/>
  <c r="DH236" i="2"/>
  <c r="DG236" i="2"/>
  <c r="DG498" i="2"/>
  <c r="DH498" i="2"/>
  <c r="DE194" i="2"/>
  <c r="DF194" i="2"/>
  <c r="DG383" i="2"/>
  <c r="DH383" i="2"/>
  <c r="DG265" i="2"/>
  <c r="DH265" i="2"/>
  <c r="DF237" i="2"/>
  <c r="DE237" i="2"/>
  <c r="DH435" i="2"/>
  <c r="DG435" i="2"/>
  <c r="DC506" i="2"/>
  <c r="DD506" i="2"/>
  <c r="DC626" i="2"/>
  <c r="DD626" i="2"/>
  <c r="DD633" i="2"/>
  <c r="DC633" i="2"/>
  <c r="DG195" i="2"/>
  <c r="DH195" i="2"/>
  <c r="DC247" i="2"/>
  <c r="DD247" i="2"/>
  <c r="DF316" i="2"/>
  <c r="DE316" i="2"/>
  <c r="DF134" i="2"/>
  <c r="DE134" i="2"/>
  <c r="DG311" i="2"/>
  <c r="DH311" i="2"/>
  <c r="DF121" i="2"/>
  <c r="DE121" i="2"/>
  <c r="DG199" i="2"/>
  <c r="DH199" i="2"/>
  <c r="DC326" i="2"/>
  <c r="DD326" i="2"/>
  <c r="DC136" i="2"/>
  <c r="DD136" i="2"/>
  <c r="DG317" i="2"/>
  <c r="DH317" i="2"/>
  <c r="DH390" i="2"/>
  <c r="DG390" i="2"/>
  <c r="DH496" i="2"/>
  <c r="DG496" i="2"/>
  <c r="DG627" i="2"/>
  <c r="DH627" i="2"/>
  <c r="DC260" i="2"/>
  <c r="DD260" i="2"/>
  <c r="DC313" i="2"/>
  <c r="DD313" i="2"/>
  <c r="DA449" i="2"/>
  <c r="W449" i="2"/>
  <c r="CZ449" i="2" s="1"/>
  <c r="DH555" i="2"/>
  <c r="DG555" i="2"/>
  <c r="DC245" i="2"/>
  <c r="DD245" i="2"/>
  <c r="DC447" i="2"/>
  <c r="DD447" i="2"/>
  <c r="DG431" i="2"/>
  <c r="DH431" i="2"/>
  <c r="DH620" i="2"/>
  <c r="DG620" i="2"/>
  <c r="DF139" i="2"/>
  <c r="DE139" i="2"/>
  <c r="DH392" i="2"/>
  <c r="DG392" i="2"/>
  <c r="DE376" i="2"/>
  <c r="DF376" i="2"/>
  <c r="DH189" i="2"/>
  <c r="DG189" i="2"/>
  <c r="DC322" i="2"/>
  <c r="DD322" i="2"/>
  <c r="DD310" i="2"/>
  <c r="DC310" i="2"/>
  <c r="DF132" i="2"/>
  <c r="DE132" i="2"/>
  <c r="DC511" i="2"/>
  <c r="DD511" i="2"/>
  <c r="DC264" i="2"/>
  <c r="DD264" i="2"/>
  <c r="DG244" i="2"/>
  <c r="DH244" i="2"/>
  <c r="DG470" i="2"/>
  <c r="DH470" i="2"/>
  <c r="DD567" i="2"/>
  <c r="DC567" i="2"/>
  <c r="AN12" i="8"/>
  <c r="BG12" i="8" s="1"/>
  <c r="BF12" i="8"/>
  <c r="C56" i="11"/>
  <c r="D56" i="11" s="1"/>
  <c r="E56" i="11" s="1"/>
  <c r="AM60" i="6"/>
  <c r="C113" i="11"/>
  <c r="D113" i="11" s="1"/>
  <c r="E113" i="11" s="1"/>
  <c r="AM66" i="8"/>
  <c r="BF7" i="8"/>
  <c r="AN7" i="8"/>
  <c r="BG7" i="8" s="1"/>
  <c r="C6" i="11"/>
  <c r="D6" i="11" s="1"/>
  <c r="E6" i="11" s="1"/>
  <c r="AM61" i="3"/>
  <c r="BF13" i="8"/>
  <c r="AN13" i="8"/>
  <c r="BG13" i="8" s="1"/>
  <c r="DG520" i="34"/>
  <c r="DH520" i="34"/>
  <c r="DD145" i="34"/>
  <c r="DJ127" i="34" s="1"/>
  <c r="DC145" i="34"/>
  <c r="DF337" i="34"/>
  <c r="DE337" i="34"/>
  <c r="DF520" i="34"/>
  <c r="DE520" i="34"/>
  <c r="DE551" i="34"/>
  <c r="DF551" i="34"/>
  <c r="DD182" i="34"/>
  <c r="DC182" i="34"/>
  <c r="DI189" i="34" s="1"/>
  <c r="DG492" i="34"/>
  <c r="DH492" i="34"/>
  <c r="DD491" i="34"/>
  <c r="DC491" i="34"/>
  <c r="DD194" i="34"/>
  <c r="DC194" i="34"/>
  <c r="DC563" i="34"/>
  <c r="DD563" i="34"/>
  <c r="DH198" i="34"/>
  <c r="DG198" i="34"/>
  <c r="DD202" i="34"/>
  <c r="DC202" i="34"/>
  <c r="DA180" i="34"/>
  <c r="Y180" i="34"/>
  <c r="DB180" i="34" s="1"/>
  <c r="DC629" i="34"/>
  <c r="DD629" i="34"/>
  <c r="DL342" i="34"/>
  <c r="DQ342" i="34" s="1"/>
  <c r="DL296" i="34"/>
  <c r="DQ296" i="34" s="1"/>
  <c r="DL299" i="34"/>
  <c r="DQ299" i="34" s="1"/>
  <c r="DL302" i="34"/>
  <c r="DQ302" i="34" s="1"/>
  <c r="DL326" i="34"/>
  <c r="DQ326" i="34" s="1"/>
  <c r="DL343" i="34"/>
  <c r="DQ343" i="34" s="1"/>
  <c r="DL341" i="34"/>
  <c r="DQ341" i="34" s="1"/>
  <c r="DL318" i="34"/>
  <c r="DQ318" i="34" s="1"/>
  <c r="DL323" i="34"/>
  <c r="DQ323" i="34" s="1"/>
  <c r="DL320" i="34"/>
  <c r="DQ320" i="34" s="1"/>
  <c r="DL324" i="34"/>
  <c r="DQ324" i="34" s="1"/>
  <c r="DL334" i="34"/>
  <c r="DQ334" i="34" s="1"/>
  <c r="DL301" i="34"/>
  <c r="DQ301" i="34" s="1"/>
  <c r="DL313" i="34"/>
  <c r="DQ313" i="34" s="1"/>
  <c r="DL307" i="34"/>
  <c r="DQ307" i="34" s="1"/>
  <c r="DL314" i="34"/>
  <c r="DQ314" i="34" s="1"/>
  <c r="DL331" i="34"/>
  <c r="DQ331" i="34" s="1"/>
  <c r="DL339" i="34"/>
  <c r="DQ339" i="34" s="1"/>
  <c r="DL332" i="34"/>
  <c r="DQ332" i="34" s="1"/>
  <c r="DL340" i="34"/>
  <c r="DQ340" i="34" s="1"/>
  <c r="DL297" i="34"/>
  <c r="DQ297" i="34" s="1"/>
  <c r="DL304" i="34"/>
  <c r="DQ304" i="34" s="1"/>
  <c r="DL305" i="34"/>
  <c r="DQ305" i="34" s="1"/>
  <c r="DL309" i="34"/>
  <c r="DQ309" i="34" s="1"/>
  <c r="DL329" i="34"/>
  <c r="DQ329" i="34" s="1"/>
  <c r="DL337" i="34"/>
  <c r="DQ337" i="34" s="1"/>
  <c r="DL327" i="34"/>
  <c r="DQ327" i="34" s="1"/>
  <c r="DL303" i="34"/>
  <c r="DQ303" i="34" s="1"/>
  <c r="DL315" i="34"/>
  <c r="DQ315" i="34" s="1"/>
  <c r="DL308" i="34"/>
  <c r="DQ308" i="34" s="1"/>
  <c r="DL317" i="34"/>
  <c r="DQ317" i="34" s="1"/>
  <c r="DL344" i="34"/>
  <c r="DQ344" i="34" s="1"/>
  <c r="DL298" i="34"/>
  <c r="DQ298" i="34" s="1"/>
  <c r="DL311" i="34"/>
  <c r="DQ311" i="34" s="1"/>
  <c r="DL306" i="34"/>
  <c r="DQ306" i="34" s="1"/>
  <c r="DL312" i="34"/>
  <c r="DQ312" i="34" s="1"/>
  <c r="DL330" i="34"/>
  <c r="DQ330" i="34" s="1"/>
  <c r="DL338" i="34"/>
  <c r="DQ338" i="34" s="1"/>
  <c r="DL322" i="34"/>
  <c r="DQ322" i="34" s="1"/>
  <c r="DL300" i="34"/>
  <c r="DQ300" i="34" s="1"/>
  <c r="DL325" i="34"/>
  <c r="DQ325" i="34" s="1"/>
  <c r="DL328" i="34"/>
  <c r="DQ328" i="34" s="1"/>
  <c r="DL335" i="34"/>
  <c r="DQ335" i="34" s="1"/>
  <c r="DL336" i="34"/>
  <c r="DQ336" i="34" s="1"/>
  <c r="DL310" i="34"/>
  <c r="DQ310" i="34" s="1"/>
  <c r="DL333" i="34"/>
  <c r="DQ333" i="34" s="1"/>
  <c r="DL321" i="34"/>
  <c r="DQ321" i="34" s="1"/>
  <c r="DL316" i="34"/>
  <c r="DQ316" i="34" s="1"/>
  <c r="DL319" i="34"/>
  <c r="DQ319" i="34" s="1"/>
  <c r="DI208" i="34"/>
  <c r="DI187" i="34"/>
  <c r="DI186" i="34"/>
  <c r="DI204" i="34"/>
  <c r="DI202" i="34"/>
  <c r="DI193" i="34"/>
  <c r="DI218" i="34"/>
  <c r="DI213" i="34"/>
  <c r="DI185" i="34"/>
  <c r="DI198" i="34"/>
  <c r="DI192" i="34"/>
  <c r="DI197" i="34"/>
  <c r="DO246" i="34"/>
  <c r="DO267" i="34"/>
  <c r="DO266" i="34"/>
  <c r="DO237" i="34"/>
  <c r="DO233" i="34"/>
  <c r="DO242" i="34"/>
  <c r="DO251" i="34"/>
  <c r="DO259" i="34"/>
  <c r="DO238" i="34"/>
  <c r="DO243" i="34"/>
  <c r="DO248" i="34"/>
  <c r="DO250" i="34"/>
  <c r="DO245" i="34"/>
  <c r="DO239" i="34"/>
  <c r="DO273" i="34"/>
  <c r="DO244" i="34"/>
  <c r="DO277" i="34"/>
  <c r="DO272" i="34"/>
  <c r="DO255" i="34"/>
  <c r="DO257" i="34"/>
  <c r="DO276" i="34"/>
  <c r="DO249" i="34"/>
  <c r="DO253" i="34"/>
  <c r="DO254" i="34"/>
  <c r="DO278" i="34"/>
  <c r="DO235" i="34"/>
  <c r="DO268" i="34"/>
  <c r="DO241" i="34"/>
  <c r="DO274" i="34"/>
  <c r="DO256" i="34"/>
  <c r="DO264" i="34"/>
  <c r="DO270" i="34"/>
  <c r="DO263" i="34"/>
  <c r="DO252" i="34"/>
  <c r="DO261" i="34"/>
  <c r="DO234" i="34"/>
  <c r="DO247" i="34"/>
  <c r="DO260" i="34"/>
  <c r="DO262" i="34"/>
  <c r="DO275" i="34"/>
  <c r="DO236" i="34"/>
  <c r="DO258" i="34"/>
  <c r="DO240" i="34"/>
  <c r="DO265" i="34"/>
  <c r="DO269" i="34"/>
  <c r="DO271" i="34"/>
  <c r="DJ430" i="34"/>
  <c r="DJ442" i="34"/>
  <c r="DJ462" i="34"/>
  <c r="DJ463" i="34"/>
  <c r="DJ437" i="34"/>
  <c r="DJ439" i="34"/>
  <c r="DJ453" i="34"/>
  <c r="DJ445" i="34"/>
  <c r="DJ429" i="34"/>
  <c r="DJ448" i="34"/>
  <c r="DJ428" i="34"/>
  <c r="DJ436" i="34"/>
  <c r="DJ435" i="34"/>
  <c r="DL427" i="34"/>
  <c r="DQ427" i="34" s="1"/>
  <c r="DL455" i="34"/>
  <c r="DQ455" i="34" s="1"/>
  <c r="DL428" i="34"/>
  <c r="DQ428" i="34" s="1"/>
  <c r="DL469" i="34"/>
  <c r="DQ469" i="34" s="1"/>
  <c r="DL453" i="34"/>
  <c r="DQ453" i="34" s="1"/>
  <c r="DL457" i="34"/>
  <c r="DQ457" i="34" s="1"/>
  <c r="DL425" i="34"/>
  <c r="DQ425" i="34" s="1"/>
  <c r="DL429" i="34"/>
  <c r="DQ429" i="34" s="1"/>
  <c r="DL456" i="34"/>
  <c r="DQ456" i="34" s="1"/>
  <c r="DL470" i="34"/>
  <c r="DQ470" i="34" s="1"/>
  <c r="DL451" i="34"/>
  <c r="DQ451" i="34" s="1"/>
  <c r="DL458" i="34"/>
  <c r="DQ458" i="34" s="1"/>
  <c r="DO453" i="34"/>
  <c r="DO447" i="34"/>
  <c r="DO470" i="34"/>
  <c r="DO438" i="34"/>
  <c r="DO466" i="34"/>
  <c r="DO437" i="34"/>
  <c r="DO461" i="34"/>
  <c r="DO457" i="34"/>
  <c r="DO442" i="34"/>
  <c r="DO424" i="34"/>
  <c r="DO448" i="34"/>
  <c r="DO446" i="34"/>
  <c r="DO440" i="34"/>
  <c r="DO468" i="34"/>
  <c r="DO463" i="34"/>
  <c r="DO459" i="34"/>
  <c r="DO444" i="34"/>
  <c r="DO435" i="34"/>
  <c r="DO433" i="34"/>
  <c r="DO464" i="34"/>
  <c r="DO432" i="34"/>
  <c r="DO428" i="34"/>
  <c r="DO465" i="34"/>
  <c r="DO455" i="34"/>
  <c r="DO431" i="34"/>
  <c r="DO441" i="34"/>
  <c r="DO430" i="34"/>
  <c r="DO454" i="34"/>
  <c r="DO422" i="34"/>
  <c r="DO436" i="34"/>
  <c r="DI309" i="34"/>
  <c r="DI329" i="34"/>
  <c r="DI318" i="34"/>
  <c r="DI310" i="34"/>
  <c r="DI338" i="34"/>
  <c r="DI302" i="34"/>
  <c r="DI328" i="34"/>
  <c r="DI308" i="34"/>
  <c r="DI311" i="34"/>
  <c r="DI307" i="34"/>
  <c r="DI298" i="34"/>
  <c r="DI335" i="34"/>
  <c r="DI321" i="34"/>
  <c r="DI334" i="34"/>
  <c r="DI297" i="34"/>
  <c r="DI312" i="34"/>
  <c r="DI343" i="34"/>
  <c r="DI320" i="34"/>
  <c r="DI306" i="34"/>
  <c r="DI316" i="34"/>
  <c r="DI305" i="34"/>
  <c r="DI331" i="34"/>
  <c r="DI313" i="34"/>
  <c r="DI344" i="34"/>
  <c r="DI323" i="34"/>
  <c r="DI333" i="34"/>
  <c r="DI322" i="34"/>
  <c r="DI301" i="34"/>
  <c r="DI315" i="34"/>
  <c r="DI300" i="34"/>
  <c r="DI303" i="34"/>
  <c r="DI330" i="34"/>
  <c r="DI317" i="34"/>
  <c r="DI324" i="34"/>
  <c r="DI337" i="34"/>
  <c r="DI325" i="34"/>
  <c r="DI299" i="34"/>
  <c r="DI296" i="34"/>
  <c r="DI341" i="34"/>
  <c r="DI339" i="34"/>
  <c r="DI340" i="34"/>
  <c r="DI336" i="34"/>
  <c r="DI332" i="34"/>
  <c r="DI314" i="34"/>
  <c r="DI319" i="34"/>
  <c r="DI326" i="34"/>
  <c r="DI327" i="34"/>
  <c r="DI342" i="34"/>
  <c r="DI304" i="34"/>
  <c r="DD63" i="34"/>
  <c r="DC63" i="34"/>
  <c r="DD75" i="34"/>
  <c r="DC75" i="34"/>
  <c r="BK26" i="31"/>
  <c r="BL25" i="31"/>
  <c r="BP25" i="31" s="1"/>
  <c r="BX30" i="31"/>
  <c r="BI30" i="31"/>
  <c r="BX35" i="31"/>
  <c r="BI35" i="31"/>
  <c r="AN28" i="31"/>
  <c r="AM29" i="31"/>
  <c r="X74" i="34"/>
  <c r="DA74" i="34" s="1"/>
  <c r="DG48" i="34"/>
  <c r="DH48" i="34"/>
  <c r="DE49" i="34"/>
  <c r="DF49" i="34"/>
  <c r="DD79" i="34"/>
  <c r="DC79" i="34"/>
  <c r="DE591" i="2"/>
  <c r="DF591" i="2"/>
  <c r="AT27" i="31"/>
  <c r="AU26" i="31"/>
  <c r="CD47" i="31"/>
  <c r="CF47" i="31" s="1"/>
  <c r="CD46" i="31"/>
  <c r="CF46" i="31" s="1"/>
  <c r="CD67" i="31"/>
  <c r="CF67" i="31" s="1"/>
  <c r="CD33" i="31"/>
  <c r="CF33" i="31" s="1"/>
  <c r="CD30" i="31"/>
  <c r="CF30" i="31" s="1"/>
  <c r="CD39" i="31"/>
  <c r="CF39" i="31" s="1"/>
  <c r="CD38" i="31"/>
  <c r="CF38" i="31" s="1"/>
  <c r="CD20" i="31"/>
  <c r="CF20" i="31" s="1"/>
  <c r="CD19" i="31"/>
  <c r="CF19" i="31" s="1"/>
  <c r="CD28" i="31"/>
  <c r="CF28" i="31" s="1"/>
  <c r="X57" i="34"/>
  <c r="DA57" i="34" s="1"/>
  <c r="X84" i="34"/>
  <c r="DA84" i="34" s="1"/>
  <c r="Y72" i="34"/>
  <c r="DB72" i="34" s="1"/>
  <c r="DD80" i="34"/>
  <c r="DC80" i="34"/>
  <c r="DG64" i="34"/>
  <c r="DH64" i="34"/>
  <c r="DC591" i="2"/>
  <c r="DD591" i="2"/>
  <c r="DG83" i="34"/>
  <c r="DH83" i="34"/>
  <c r="DE88" i="34"/>
  <c r="DF88" i="34"/>
  <c r="Y90" i="34"/>
  <c r="DB90" i="34" s="1"/>
  <c r="DC54" i="34"/>
  <c r="DH615" i="2"/>
  <c r="DG615" i="2"/>
  <c r="DH52" i="34"/>
  <c r="DG52" i="34"/>
  <c r="DC216" i="2"/>
  <c r="DD216" i="2"/>
  <c r="DH269" i="2"/>
  <c r="DG269" i="2"/>
  <c r="DH218" i="2"/>
  <c r="DG218" i="2"/>
  <c r="DC171" i="2"/>
  <c r="DD171" i="2"/>
  <c r="DC595" i="2"/>
  <c r="DD595" i="2"/>
  <c r="DH270" i="2"/>
  <c r="DG270" i="2"/>
  <c r="DC154" i="2"/>
  <c r="DD154" i="2"/>
  <c r="DH326" i="2"/>
  <c r="DG326" i="2"/>
  <c r="DD465" i="2"/>
  <c r="DC465" i="2"/>
  <c r="DD403" i="2"/>
  <c r="DC403" i="2"/>
  <c r="DE331" i="2"/>
  <c r="DF331" i="2"/>
  <c r="DC274" i="2"/>
  <c r="DD274" i="2"/>
  <c r="DE108" i="2"/>
  <c r="DF108" i="2"/>
  <c r="DC142" i="2"/>
  <c r="DD142" i="2"/>
  <c r="DE150" i="2"/>
  <c r="DF150" i="2"/>
  <c r="DG461" i="2"/>
  <c r="DH461" i="2"/>
  <c r="DF341" i="2"/>
  <c r="DE341" i="2"/>
  <c r="DC268" i="2"/>
  <c r="DD268" i="2"/>
  <c r="DD426" i="2"/>
  <c r="DC426" i="2"/>
  <c r="W387" i="2"/>
  <c r="CZ387" i="2" s="1"/>
  <c r="DD645" i="2"/>
  <c r="DC645" i="2"/>
  <c r="DG619" i="2"/>
  <c r="DH619" i="2"/>
  <c r="Y135" i="2"/>
  <c r="DB135" i="2" s="1"/>
  <c r="DH251" i="2"/>
  <c r="DG251" i="2"/>
  <c r="DE386" i="2"/>
  <c r="DF386" i="2"/>
  <c r="DF382" i="2"/>
  <c r="DE382" i="2"/>
  <c r="DF129" i="2"/>
  <c r="DE129" i="2"/>
  <c r="DD318" i="2"/>
  <c r="DC318" i="2"/>
  <c r="DC306" i="2"/>
  <c r="DD306" i="2"/>
  <c r="Y384" i="2"/>
  <c r="DB384" i="2" s="1"/>
  <c r="DC380" i="2"/>
  <c r="DD380" i="2"/>
  <c r="Y442" i="2"/>
  <c r="DB442" i="2" s="1"/>
  <c r="DE516" i="2"/>
  <c r="DF516" i="2"/>
  <c r="DH622" i="2"/>
  <c r="DG622" i="2"/>
  <c r="DE362" i="2"/>
  <c r="DF362" i="2"/>
  <c r="DE509" i="2"/>
  <c r="DF509" i="2"/>
  <c r="Y252" i="2"/>
  <c r="DB252" i="2" s="1"/>
  <c r="DC433" i="2"/>
  <c r="DD433" i="2"/>
  <c r="DF184" i="2"/>
  <c r="DE184" i="2"/>
  <c r="DH198" i="2"/>
  <c r="DG198" i="2"/>
  <c r="DE261" i="2"/>
  <c r="DF261" i="2"/>
  <c r="DF493" i="2"/>
  <c r="DE493" i="2"/>
  <c r="DC623" i="2"/>
  <c r="DD623" i="2"/>
  <c r="W641" i="2"/>
  <c r="CZ641" i="2" s="1"/>
  <c r="DF119" i="2"/>
  <c r="DE119" i="2"/>
  <c r="DF259" i="2"/>
  <c r="DE259" i="2"/>
  <c r="DG239" i="2"/>
  <c r="DH239" i="2"/>
  <c r="DH126" i="2"/>
  <c r="DG126" i="2"/>
  <c r="DE114" i="2"/>
  <c r="DF114" i="2"/>
  <c r="DG197" i="2"/>
  <c r="DH197" i="2"/>
  <c r="DH389" i="2"/>
  <c r="DG389" i="2"/>
  <c r="Y125" i="2"/>
  <c r="DB125" i="2" s="1"/>
  <c r="DF113" i="2"/>
  <c r="DE113" i="2"/>
  <c r="DD378" i="2"/>
  <c r="DC378" i="2"/>
  <c r="DH177" i="2"/>
  <c r="DG177" i="2"/>
  <c r="DH325" i="2"/>
  <c r="DG325" i="2"/>
  <c r="DF369" i="2"/>
  <c r="DE369" i="2"/>
  <c r="DE236" i="2"/>
  <c r="DF236" i="2"/>
  <c r="DC441" i="2"/>
  <c r="DD441" i="2"/>
  <c r="DE498" i="2"/>
  <c r="DF498" i="2"/>
  <c r="Y194" i="2"/>
  <c r="DB194" i="2" s="1"/>
  <c r="DF265" i="2"/>
  <c r="DE265" i="2"/>
  <c r="DE435" i="2"/>
  <c r="DF435" i="2"/>
  <c r="DD632" i="2"/>
  <c r="DC632" i="2"/>
  <c r="DG626" i="2"/>
  <c r="DH626" i="2"/>
  <c r="DE633" i="2"/>
  <c r="DF633" i="2"/>
  <c r="DC179" i="2"/>
  <c r="DD179" i="2"/>
  <c r="DH247" i="2"/>
  <c r="DG247" i="2"/>
  <c r="W316" i="2"/>
  <c r="CZ316" i="2" s="1"/>
  <c r="DH323" i="2"/>
  <c r="DG323" i="2"/>
  <c r="DC311" i="2"/>
  <c r="DD311" i="2"/>
  <c r="Y121" i="2"/>
  <c r="DB121" i="2" s="1"/>
  <c r="DE183" i="2"/>
  <c r="DF183" i="2"/>
  <c r="DE326" i="2"/>
  <c r="DF326" i="2"/>
  <c r="DG124" i="2"/>
  <c r="DH124" i="2"/>
  <c r="DF317" i="2"/>
  <c r="DE317" i="2"/>
  <c r="DF390" i="2"/>
  <c r="DE390" i="2"/>
  <c r="DD496" i="2"/>
  <c r="DC496" i="2"/>
  <c r="DE627" i="2"/>
  <c r="DF627" i="2"/>
  <c r="DA260" i="2"/>
  <c r="Y260" i="2"/>
  <c r="DB260" i="2" s="1"/>
  <c r="DA573" i="2"/>
  <c r="W573" i="2"/>
  <c r="CZ573" i="2" s="1"/>
  <c r="DD202" i="2"/>
  <c r="DC202" i="2"/>
  <c r="DF245" i="2"/>
  <c r="DE245" i="2"/>
  <c r="DG447" i="2"/>
  <c r="DH447" i="2"/>
  <c r="DC431" i="2"/>
  <c r="DD431" i="2"/>
  <c r="DC630" i="2"/>
  <c r="DD630" i="2"/>
  <c r="DD620" i="2"/>
  <c r="DC620" i="2"/>
  <c r="Y139" i="2"/>
  <c r="DB139" i="2" s="1"/>
  <c r="DC392" i="2"/>
  <c r="DD392" i="2"/>
  <c r="Y376" i="2"/>
  <c r="DB376" i="2" s="1"/>
  <c r="DC173" i="2"/>
  <c r="DD173" i="2"/>
  <c r="DE322" i="2"/>
  <c r="DF322" i="2"/>
  <c r="DF310" i="2"/>
  <c r="DE310" i="2"/>
  <c r="DH185" i="2"/>
  <c r="DG185" i="2"/>
  <c r="DE511" i="2"/>
  <c r="DF511" i="2"/>
  <c r="DH264" i="2"/>
  <c r="DG264" i="2"/>
  <c r="DE470" i="2"/>
  <c r="DF470" i="2"/>
  <c r="K170" i="6"/>
  <c r="C110" i="11"/>
  <c r="D110" i="11" s="1"/>
  <c r="E110" i="11" s="1"/>
  <c r="AM63" i="8"/>
  <c r="AE63" i="8"/>
  <c r="C60" i="11"/>
  <c r="D60" i="11" s="1"/>
  <c r="E60" i="11" s="1"/>
  <c r="AM64" i="6"/>
  <c r="AE64" i="6"/>
  <c r="AB60" i="8"/>
  <c r="C122" i="10"/>
  <c r="E122" i="10" s="1"/>
  <c r="C185" i="8"/>
  <c r="AL75" i="8"/>
  <c r="C143" i="10"/>
  <c r="D143" i="10" s="1"/>
  <c r="E143" i="10" s="1"/>
  <c r="C206" i="8"/>
  <c r="AL96" i="8"/>
  <c r="C123" i="10"/>
  <c r="D123" i="10" s="1"/>
  <c r="E123" i="10" s="1"/>
  <c r="C186" i="8"/>
  <c r="AL76" i="8"/>
  <c r="C9" i="11"/>
  <c r="D9" i="11" s="1"/>
  <c r="E9" i="11" s="1"/>
  <c r="AM64" i="3"/>
  <c r="AB14" i="6"/>
  <c r="M12" i="11"/>
  <c r="AB14" i="3"/>
  <c r="AB14" i="8"/>
  <c r="DH332" i="34"/>
  <c r="DG332" i="34"/>
  <c r="DC361" i="34"/>
  <c r="DD361" i="34"/>
  <c r="DE145" i="34"/>
  <c r="DL123" i="34" s="1"/>
  <c r="DQ123" i="34" s="1"/>
  <c r="DF145" i="34"/>
  <c r="BT108" i="34" s="1"/>
  <c r="DH336" i="34"/>
  <c r="DG336" i="34"/>
  <c r="DF525" i="34"/>
  <c r="DE525" i="34"/>
  <c r="DE652" i="34"/>
  <c r="DF652" i="34"/>
  <c r="DE182" i="34"/>
  <c r="DF182" i="34"/>
  <c r="DA492" i="34"/>
  <c r="W492" i="34"/>
  <c r="CZ492" i="34" s="1"/>
  <c r="DC571" i="34"/>
  <c r="DD571" i="34"/>
  <c r="DE194" i="34"/>
  <c r="DF194" i="34"/>
  <c r="DE563" i="34"/>
  <c r="DF563" i="34"/>
  <c r="DL276" i="34"/>
  <c r="DQ276" i="34" s="1"/>
  <c r="DL244" i="34"/>
  <c r="DQ244" i="34" s="1"/>
  <c r="DL278" i="34"/>
  <c r="DQ278" i="34" s="1"/>
  <c r="DL235" i="34"/>
  <c r="DQ235" i="34" s="1"/>
  <c r="DL267" i="34"/>
  <c r="DQ267" i="34" s="1"/>
  <c r="DL250" i="34"/>
  <c r="DQ250" i="34" s="1"/>
  <c r="DL251" i="34"/>
  <c r="DQ251" i="34" s="1"/>
  <c r="DL263" i="34"/>
  <c r="DQ263" i="34" s="1"/>
  <c r="DL240" i="34"/>
  <c r="DQ240" i="34" s="1"/>
  <c r="DL269" i="34"/>
  <c r="DQ269" i="34" s="1"/>
  <c r="DL236" i="34"/>
  <c r="DQ236" i="34" s="1"/>
  <c r="DL272" i="34"/>
  <c r="DQ272" i="34" s="1"/>
  <c r="DL238" i="34"/>
  <c r="DQ238" i="34" s="1"/>
  <c r="DL237" i="34"/>
  <c r="DQ237" i="34" s="1"/>
  <c r="DL257" i="34"/>
  <c r="DQ257" i="34" s="1"/>
  <c r="DL270" i="34"/>
  <c r="DQ270" i="34" s="1"/>
  <c r="DL246" i="34"/>
  <c r="DQ246" i="34" s="1"/>
  <c r="DL247" i="34"/>
  <c r="DQ247" i="34" s="1"/>
  <c r="DL268" i="34"/>
  <c r="DQ268" i="34" s="1"/>
  <c r="DL274" i="34"/>
  <c r="DQ274" i="34" s="1"/>
  <c r="DL262" i="34"/>
  <c r="DQ262" i="34" s="1"/>
  <c r="DL233" i="34"/>
  <c r="DQ233" i="34" s="1"/>
  <c r="DL243" i="34"/>
  <c r="DQ243" i="34" s="1"/>
  <c r="DL242" i="34"/>
  <c r="DQ242" i="34" s="1"/>
  <c r="DL256" i="34"/>
  <c r="DQ256" i="34" s="1"/>
  <c r="DL266" i="34"/>
  <c r="DQ266" i="34" s="1"/>
  <c r="DL234" i="34"/>
  <c r="DQ234" i="34" s="1"/>
  <c r="DL264" i="34"/>
  <c r="DQ264" i="34" s="1"/>
  <c r="DL260" i="34"/>
  <c r="DQ260" i="34" s="1"/>
  <c r="DL254" i="34"/>
  <c r="DQ254" i="34" s="1"/>
  <c r="DL253" i="34"/>
  <c r="DQ253" i="34" s="1"/>
  <c r="DL239" i="34"/>
  <c r="DQ239" i="34" s="1"/>
  <c r="DL252" i="34"/>
  <c r="DQ252" i="34" s="1"/>
  <c r="DL277" i="34"/>
  <c r="DQ277" i="34" s="1"/>
  <c r="DL258" i="34"/>
  <c r="DQ258" i="34" s="1"/>
  <c r="DL248" i="34"/>
  <c r="DQ248" i="34" s="1"/>
  <c r="DL245" i="34"/>
  <c r="DQ245" i="34" s="1"/>
  <c r="DL255" i="34"/>
  <c r="DQ255" i="34" s="1"/>
  <c r="DL275" i="34"/>
  <c r="DQ275" i="34" s="1"/>
  <c r="DL265" i="34"/>
  <c r="DQ265" i="34" s="1"/>
  <c r="DL261" i="34"/>
  <c r="DQ261" i="34" s="1"/>
  <c r="DL271" i="34"/>
  <c r="DQ271" i="34" s="1"/>
  <c r="DL249" i="34"/>
  <c r="DQ249" i="34" s="1"/>
  <c r="DL259" i="34"/>
  <c r="DQ259" i="34" s="1"/>
  <c r="DL273" i="34"/>
  <c r="DQ273" i="34" s="1"/>
  <c r="DL241" i="34"/>
  <c r="DQ241" i="34" s="1"/>
  <c r="DF198" i="34"/>
  <c r="DE198" i="34"/>
  <c r="DG202" i="34"/>
  <c r="DH202" i="34"/>
  <c r="DM297" i="34"/>
  <c r="DM302" i="34"/>
  <c r="DM334" i="34"/>
  <c r="DM312" i="34"/>
  <c r="DM304" i="34"/>
  <c r="DM327" i="34"/>
  <c r="DM326" i="34"/>
  <c r="DM329" i="34"/>
  <c r="DM323" i="34"/>
  <c r="DM332" i="34"/>
  <c r="DM303" i="34"/>
  <c r="DM308" i="34"/>
  <c r="DM338" i="34"/>
  <c r="DM324" i="34"/>
  <c r="DM319" i="34"/>
  <c r="DM331" i="34"/>
  <c r="DM298" i="34"/>
  <c r="DM306" i="34"/>
  <c r="DM336" i="34"/>
  <c r="DM301" i="34"/>
  <c r="DM307" i="34"/>
  <c r="DM337" i="34"/>
  <c r="DM309" i="34"/>
  <c r="DM299" i="34"/>
  <c r="DM328" i="34"/>
  <c r="DM342" i="34"/>
  <c r="BT298" i="34"/>
  <c r="DM305" i="34"/>
  <c r="DM335" i="34"/>
  <c r="DM318" i="34"/>
  <c r="DM320" i="34"/>
  <c r="DM340" i="34"/>
  <c r="DM341" i="34"/>
  <c r="DM321" i="34"/>
  <c r="DM315" i="34"/>
  <c r="DM330" i="34"/>
  <c r="DM310" i="34"/>
  <c r="DM316" i="34"/>
  <c r="DM339" i="34"/>
  <c r="DM314" i="34"/>
  <c r="DM311" i="34"/>
  <c r="DM344" i="34"/>
  <c r="DM317" i="34"/>
  <c r="DM313" i="34"/>
  <c r="DM343" i="34"/>
  <c r="DM322" i="34"/>
  <c r="DM300" i="34"/>
  <c r="DM325" i="34"/>
  <c r="DM296" i="34"/>
  <c r="DM333" i="34"/>
  <c r="DJ185" i="34"/>
  <c r="DJ205" i="34"/>
  <c r="BT173" i="34"/>
  <c r="DJ206" i="34"/>
  <c r="DJ197" i="34"/>
  <c r="DJ188" i="34"/>
  <c r="DJ210" i="34"/>
  <c r="DJ194" i="34"/>
  <c r="DJ184" i="34"/>
  <c r="DJ208" i="34"/>
  <c r="DJ177" i="34"/>
  <c r="DJ178" i="34"/>
  <c r="DJ201" i="34"/>
  <c r="DP255" i="34"/>
  <c r="DP265" i="34"/>
  <c r="DP250" i="34"/>
  <c r="DP237" i="34"/>
  <c r="DP233" i="34"/>
  <c r="DP263" i="34"/>
  <c r="DP266" i="34"/>
  <c r="DP276" i="34"/>
  <c r="DP278" i="34"/>
  <c r="DP247" i="34"/>
  <c r="BT234" i="34"/>
  <c r="DP234" i="34"/>
  <c r="DP269" i="34"/>
  <c r="DP238" i="34"/>
  <c r="DP259" i="34"/>
  <c r="DP261" i="34"/>
  <c r="DP254" i="34"/>
  <c r="DP251" i="34"/>
  <c r="DP244" i="34"/>
  <c r="DP240" i="34"/>
  <c r="DP273" i="34"/>
  <c r="DP258" i="34"/>
  <c r="DP235" i="34"/>
  <c r="DP243" i="34"/>
  <c r="DP246" i="34"/>
  <c r="DP245" i="34"/>
  <c r="DP262" i="34"/>
  <c r="DP264" i="34"/>
  <c r="DP249" i="34"/>
  <c r="DP267" i="34"/>
  <c r="DP241" i="34"/>
  <c r="DP257" i="34"/>
  <c r="DP274" i="34"/>
  <c r="DP256" i="34"/>
  <c r="DP277" i="34"/>
  <c r="DP242" i="34"/>
  <c r="DP253" i="34"/>
  <c r="DP268" i="34"/>
  <c r="DP236" i="34"/>
  <c r="DP272" i="34"/>
  <c r="DP239" i="34"/>
  <c r="DP248" i="34"/>
  <c r="DP270" i="34"/>
  <c r="DP260" i="34"/>
  <c r="DP275" i="34"/>
  <c r="DP271" i="34"/>
  <c r="DP252" i="34"/>
  <c r="DM110" i="34"/>
  <c r="DM149" i="34"/>
  <c r="DM118" i="34"/>
  <c r="DM122" i="34"/>
  <c r="DM143" i="34"/>
  <c r="DM152" i="34"/>
  <c r="DM106" i="34"/>
  <c r="DM120" i="34"/>
  <c r="DM117" i="34"/>
  <c r="DM154" i="34"/>
  <c r="DM119" i="34"/>
  <c r="DM114" i="34"/>
  <c r="DM138" i="34"/>
  <c r="DM135" i="34"/>
  <c r="DM133" i="34"/>
  <c r="DM147" i="34"/>
  <c r="DM124" i="34"/>
  <c r="DM123" i="34"/>
  <c r="DM144" i="34"/>
  <c r="DM108" i="34"/>
  <c r="DM109" i="34"/>
  <c r="DM134" i="34"/>
  <c r="DM131" i="34"/>
  <c r="DM129" i="34"/>
  <c r="DM146" i="34"/>
  <c r="DM142" i="34"/>
  <c r="DM115" i="34"/>
  <c r="DM151" i="34"/>
  <c r="DM127" i="34"/>
  <c r="DM125" i="34"/>
  <c r="DM145" i="34"/>
  <c r="DM141" i="34"/>
  <c r="DM112" i="34"/>
  <c r="DM150" i="34"/>
  <c r="DM111" i="34"/>
  <c r="DM132" i="34"/>
  <c r="DM126" i="34"/>
  <c r="DM113" i="34"/>
  <c r="DM137" i="34"/>
  <c r="DM139" i="34"/>
  <c r="DM116" i="34"/>
  <c r="DM153" i="34"/>
  <c r="DM130" i="34"/>
  <c r="DM107" i="34"/>
  <c r="DM136" i="34"/>
  <c r="DM148" i="34"/>
  <c r="DI469" i="34"/>
  <c r="DI461" i="34"/>
  <c r="DI439" i="34"/>
  <c r="DI454" i="34"/>
  <c r="DI444" i="34"/>
  <c r="DI423" i="34"/>
  <c r="DI425" i="34"/>
  <c r="DI434" i="34"/>
  <c r="DI445" i="34"/>
  <c r="DI431" i="34"/>
  <c r="DI463" i="34"/>
  <c r="DI446" i="34"/>
  <c r="DI459" i="34"/>
  <c r="DI452" i="34"/>
  <c r="DI442" i="34"/>
  <c r="DI460" i="34"/>
  <c r="DI437" i="34"/>
  <c r="DI436" i="34"/>
  <c r="DI462" i="34"/>
  <c r="DI457" i="34"/>
  <c r="DI456" i="34"/>
  <c r="DI429" i="34"/>
  <c r="DI440" i="34"/>
  <c r="DI424" i="34"/>
  <c r="DI438" i="34"/>
  <c r="DI432" i="34"/>
  <c r="DI426" i="34"/>
  <c r="DI470" i="34"/>
  <c r="DI428" i="34"/>
  <c r="DI443" i="34"/>
  <c r="DI464" i="34"/>
  <c r="DI447" i="34"/>
  <c r="DI451" i="34"/>
  <c r="DI453" i="34"/>
  <c r="DI450" i="34"/>
  <c r="DI441" i="34"/>
  <c r="DI458" i="34"/>
  <c r="DI430" i="34"/>
  <c r="DI468" i="34"/>
  <c r="DI455" i="34"/>
  <c r="DI433" i="34"/>
  <c r="DI448" i="34"/>
  <c r="DI466" i="34"/>
  <c r="DI435" i="34"/>
  <c r="DI422" i="34"/>
  <c r="DI449" i="34"/>
  <c r="DI427" i="34"/>
  <c r="DI465" i="34"/>
  <c r="DI467" i="34"/>
  <c r="DM442" i="34"/>
  <c r="DM447" i="34"/>
  <c r="DM467" i="34"/>
  <c r="DM424" i="34"/>
  <c r="DM429" i="34"/>
  <c r="DM460" i="34"/>
  <c r="DM437" i="34"/>
  <c r="DM443" i="34"/>
  <c r="DM465" i="34"/>
  <c r="DM422" i="34"/>
  <c r="DM448" i="34"/>
  <c r="DM453" i="34"/>
  <c r="BT424" i="34"/>
  <c r="DM450" i="34"/>
  <c r="DM455" i="34"/>
  <c r="DM435" i="34"/>
  <c r="DM441" i="34"/>
  <c r="DM464" i="34"/>
  <c r="DM426" i="34"/>
  <c r="DM446" i="34"/>
  <c r="DM451" i="34"/>
  <c r="DM470" i="34"/>
  <c r="DM433" i="34"/>
  <c r="DM434" i="34"/>
  <c r="DM458" i="34"/>
  <c r="DM466" i="34"/>
  <c r="DM440" i="34"/>
  <c r="DM436" i="34"/>
  <c r="DM459" i="34"/>
  <c r="DM423" i="34"/>
  <c r="DM444" i="34"/>
  <c r="DM449" i="34"/>
  <c r="DM468" i="34"/>
  <c r="DM430" i="34"/>
  <c r="DM454" i="34"/>
  <c r="DM457" i="34"/>
  <c r="DM427" i="34"/>
  <c r="DM438" i="34"/>
  <c r="DM462" i="34"/>
  <c r="DM432" i="34"/>
  <c r="DM469" i="34"/>
  <c r="DM463" i="34"/>
  <c r="DM428" i="34"/>
  <c r="DM452" i="34"/>
  <c r="DM456" i="34"/>
  <c r="DM425" i="34"/>
  <c r="DM431" i="34"/>
  <c r="DM461" i="34"/>
  <c r="DM439" i="34"/>
  <c r="DM445" i="34"/>
  <c r="DP444" i="34"/>
  <c r="DP442" i="34"/>
  <c r="DP464" i="34"/>
  <c r="DP460" i="34"/>
  <c r="DP450" i="34"/>
  <c r="DP453" i="34"/>
  <c r="DP433" i="34"/>
  <c r="DP456" i="34"/>
  <c r="DP423" i="34"/>
  <c r="DP468" i="34"/>
  <c r="DP441" i="34"/>
  <c r="DP428" i="34"/>
  <c r="DP459" i="34"/>
  <c r="DP458" i="34"/>
  <c r="DP465" i="34"/>
  <c r="DP422" i="34"/>
  <c r="DP448" i="34"/>
  <c r="DP449" i="34"/>
  <c r="DP429" i="34"/>
  <c r="DP430" i="34"/>
  <c r="DP425" i="34"/>
  <c r="DP469" i="34"/>
  <c r="DP443" i="34"/>
  <c r="DP426" i="34"/>
  <c r="DP461" i="34"/>
  <c r="DP452" i="34"/>
  <c r="DP438" i="34"/>
  <c r="DP436" i="34"/>
  <c r="DP431" i="34"/>
  <c r="DP455" i="34"/>
  <c r="DP440" i="34"/>
  <c r="DP432" i="34"/>
  <c r="DP439" i="34"/>
  <c r="DP434" i="34"/>
  <c r="DP463" i="34"/>
  <c r="DP435" i="34"/>
  <c r="DP446" i="34"/>
  <c r="DP437" i="34"/>
  <c r="DP424" i="34"/>
  <c r="BT423" i="34"/>
  <c r="DP467" i="34"/>
  <c r="DP466" i="34"/>
  <c r="DP457" i="34"/>
  <c r="DP427" i="34"/>
  <c r="DP470" i="34"/>
  <c r="DP447" i="34"/>
  <c r="DP445" i="34"/>
  <c r="DP454" i="34"/>
  <c r="DP462" i="34"/>
  <c r="DP451" i="34"/>
  <c r="DJ313" i="34"/>
  <c r="DJ316" i="34"/>
  <c r="DJ338" i="34"/>
  <c r="DJ318" i="34"/>
  <c r="DJ297" i="34"/>
  <c r="DJ331" i="34"/>
  <c r="DJ341" i="34"/>
  <c r="DJ325" i="34"/>
  <c r="DJ304" i="34"/>
  <c r="DJ336" i="34"/>
  <c r="DJ322" i="34"/>
  <c r="DJ333" i="34"/>
  <c r="DJ323" i="34"/>
  <c r="DJ332" i="34"/>
  <c r="DJ328" i="34"/>
  <c r="DJ326" i="34"/>
  <c r="DJ303" i="34"/>
  <c r="DJ337" i="34"/>
  <c r="DJ340" i="34"/>
  <c r="DJ344" i="34"/>
  <c r="DJ343" i="34"/>
  <c r="DJ339" i="34"/>
  <c r="DJ330" i="34"/>
  <c r="DJ300" i="34"/>
  <c r="DJ320" i="34"/>
  <c r="DJ309" i="34"/>
  <c r="DJ335" i="34"/>
  <c r="DJ298" i="34"/>
  <c r="DJ321" i="34"/>
  <c r="DJ307" i="34"/>
  <c r="DJ311" i="34"/>
  <c r="DJ334" i="34"/>
  <c r="DJ301" i="34"/>
  <c r="DJ315" i="34"/>
  <c r="DJ310" i="34"/>
  <c r="BT299" i="34"/>
  <c r="DJ319" i="34"/>
  <c r="DJ299" i="34"/>
  <c r="DJ302" i="34"/>
  <c r="DJ317" i="34"/>
  <c r="DJ324" i="34"/>
  <c r="DJ312" i="34"/>
  <c r="DJ306" i="34"/>
  <c r="DJ327" i="34"/>
  <c r="DJ308" i="34"/>
  <c r="DJ305" i="34"/>
  <c r="DJ296" i="34"/>
  <c r="DJ314" i="34"/>
  <c r="DJ342" i="34"/>
  <c r="DJ329" i="34"/>
  <c r="DG76" i="34"/>
  <c r="DH76" i="34"/>
  <c r="DG86" i="34"/>
  <c r="DH86" i="34"/>
  <c r="DE91" i="34"/>
  <c r="DF91" i="34"/>
  <c r="X65" i="34"/>
  <c r="DA65" i="34" s="1"/>
  <c r="DH67" i="34"/>
  <c r="DG67" i="34"/>
  <c r="DG51" i="34"/>
  <c r="DH51" i="34"/>
  <c r="DC617" i="2"/>
  <c r="DD617" i="2"/>
  <c r="DD552" i="2"/>
  <c r="DC552" i="2"/>
  <c r="BX57" i="31"/>
  <c r="BI37" i="31"/>
  <c r="BX37" i="31"/>
  <c r="AR26" i="31"/>
  <c r="BX26" i="31"/>
  <c r="BI26" i="31"/>
  <c r="AZ26" i="31"/>
  <c r="CD21" i="31"/>
  <c r="CF21" i="31" s="1"/>
  <c r="CD72" i="31"/>
  <c r="CF72" i="31" s="1"/>
  <c r="CD35" i="31"/>
  <c r="CF35" i="31" s="1"/>
  <c r="CD25" i="31"/>
  <c r="CF25" i="31" s="1"/>
  <c r="CD26" i="31"/>
  <c r="CF26" i="31" s="1"/>
  <c r="CD34" i="31"/>
  <c r="CF34" i="31" s="1"/>
  <c r="CD54" i="31"/>
  <c r="CF54" i="31" s="1"/>
  <c r="CD71" i="31"/>
  <c r="CF71" i="31" s="1"/>
  <c r="CD70" i="31"/>
  <c r="CF70" i="31" s="1"/>
  <c r="DA87" i="34"/>
  <c r="Y87" i="34"/>
  <c r="DB87" i="34" s="1"/>
  <c r="DC89" i="34"/>
  <c r="DD89" i="34"/>
  <c r="DG58" i="34"/>
  <c r="DH58" i="34"/>
  <c r="X636" i="2"/>
  <c r="DA636" i="2" s="1"/>
  <c r="X60" i="34"/>
  <c r="DA60" i="34" s="1"/>
  <c r="W88" i="34"/>
  <c r="CZ88" i="34" s="1"/>
  <c r="DA52" i="34"/>
  <c r="W52" i="34"/>
  <c r="CZ52" i="34" s="1"/>
  <c r="DD50" i="34"/>
  <c r="DG68" i="34"/>
  <c r="DH68" i="34"/>
  <c r="DE659" i="2"/>
  <c r="DF659" i="2"/>
  <c r="DE397" i="2"/>
  <c r="DF397" i="2"/>
  <c r="DF218" i="2"/>
  <c r="DE218" i="2"/>
  <c r="DF595" i="2"/>
  <c r="DE595" i="2"/>
  <c r="DD270" i="2"/>
  <c r="DC270" i="2"/>
  <c r="DH154" i="2"/>
  <c r="DG154" i="2"/>
  <c r="DG432" i="2"/>
  <c r="DH432" i="2"/>
  <c r="DG554" i="2"/>
  <c r="DH554" i="2"/>
  <c r="DH400" i="2"/>
  <c r="DG400" i="2"/>
  <c r="DE403" i="2"/>
  <c r="DF403" i="2"/>
  <c r="DE274" i="2"/>
  <c r="DF274" i="2"/>
  <c r="DH108" i="2"/>
  <c r="DG108" i="2"/>
  <c r="DE142" i="2"/>
  <c r="DF142" i="2"/>
  <c r="DC153" i="2"/>
  <c r="DD153" i="2"/>
  <c r="DG335" i="2"/>
  <c r="DH335" i="2"/>
  <c r="DG341" i="2"/>
  <c r="DH341" i="2"/>
  <c r="DE143" i="2"/>
  <c r="DF143" i="2"/>
  <c r="Y174" i="2"/>
  <c r="DB174" i="2" s="1"/>
  <c r="W253" i="2"/>
  <c r="CZ253" i="2" s="1"/>
  <c r="W560" i="2"/>
  <c r="CZ560" i="2" s="1"/>
  <c r="Y645" i="2"/>
  <c r="DB645" i="2" s="1"/>
  <c r="DE619" i="2"/>
  <c r="DF619" i="2"/>
  <c r="Y187" i="2"/>
  <c r="DB187" i="2" s="1"/>
  <c r="W251" i="2"/>
  <c r="CZ251" i="2" s="1"/>
  <c r="W304" i="2"/>
  <c r="CZ304" i="2" s="1"/>
  <c r="W386" i="2"/>
  <c r="CZ386" i="2" s="1"/>
  <c r="W382" i="2"/>
  <c r="CZ382" i="2" s="1"/>
  <c r="DH191" i="2"/>
  <c r="DG191" i="2"/>
  <c r="Y318" i="2"/>
  <c r="DB318" i="2" s="1"/>
  <c r="DE306" i="2"/>
  <c r="DF306" i="2"/>
  <c r="W112" i="2"/>
  <c r="CZ112" i="2" s="1"/>
  <c r="DF380" i="2"/>
  <c r="DE380" i="2"/>
  <c r="W442" i="2"/>
  <c r="CZ442" i="2" s="1"/>
  <c r="DC510" i="2"/>
  <c r="DD510" i="2"/>
  <c r="DF622" i="2"/>
  <c r="DE622" i="2"/>
  <c r="W362" i="2"/>
  <c r="CZ362" i="2" s="1"/>
  <c r="DC634" i="2"/>
  <c r="DD634" i="2"/>
  <c r="Y248" i="2"/>
  <c r="DB248" i="2" s="1"/>
  <c r="Y184" i="2"/>
  <c r="DB184" i="2" s="1"/>
  <c r="W261" i="2"/>
  <c r="CZ261" i="2" s="1"/>
  <c r="DE553" i="2"/>
  <c r="DF553" i="2"/>
  <c r="DG623" i="2"/>
  <c r="DH623" i="2"/>
  <c r="Y641" i="2"/>
  <c r="DB641" i="2" s="1"/>
  <c r="W203" i="2"/>
  <c r="CZ203" i="2" s="1"/>
  <c r="W259" i="2"/>
  <c r="CZ259" i="2" s="1"/>
  <c r="DE239" i="2"/>
  <c r="DF239" i="2"/>
  <c r="DC126" i="2"/>
  <c r="DD126" i="2"/>
  <c r="DH114" i="2"/>
  <c r="DG114" i="2"/>
  <c r="Y315" i="2"/>
  <c r="DB315" i="2" s="1"/>
  <c r="DD389" i="2"/>
  <c r="DC389" i="2"/>
  <c r="W125" i="2"/>
  <c r="CZ125" i="2" s="1"/>
  <c r="DE302" i="2"/>
  <c r="DL315" i="2" s="1"/>
  <c r="DQ315" i="2" s="1"/>
  <c r="DF302" i="2"/>
  <c r="BT298" i="2" s="1"/>
  <c r="DF378" i="2"/>
  <c r="DM362" i="2" s="1"/>
  <c r="DE378" i="2"/>
  <c r="W201" i="2"/>
  <c r="CZ201" i="2" s="1"/>
  <c r="DD177" i="2"/>
  <c r="DC177" i="2"/>
  <c r="DE325" i="2"/>
  <c r="DF325" i="2"/>
  <c r="W236" i="2"/>
  <c r="CZ236" i="2" s="1"/>
  <c r="DG441" i="2"/>
  <c r="DH441" i="2"/>
  <c r="W498" i="2"/>
  <c r="CZ498" i="2" s="1"/>
  <c r="DC383" i="2"/>
  <c r="DD383" i="2"/>
  <c r="W237" i="2"/>
  <c r="CZ237" i="2" s="1"/>
  <c r="DE506" i="2"/>
  <c r="DF506" i="2"/>
  <c r="DH632" i="2"/>
  <c r="DG632" i="2"/>
  <c r="DF626" i="2"/>
  <c r="DE626" i="2"/>
  <c r="DC195" i="2"/>
  <c r="DD195" i="2"/>
  <c r="DG179" i="2"/>
  <c r="DH179" i="2"/>
  <c r="DE247" i="2"/>
  <c r="DF247" i="2"/>
  <c r="Y134" i="2"/>
  <c r="DB134" i="2" s="1"/>
  <c r="DD323" i="2"/>
  <c r="DC323" i="2"/>
  <c r="DF311" i="2"/>
  <c r="DE311" i="2"/>
  <c r="DD199" i="2"/>
  <c r="DC199" i="2"/>
  <c r="DH183" i="2"/>
  <c r="DG183" i="2"/>
  <c r="DH136" i="2"/>
  <c r="DG136" i="2"/>
  <c r="DC124" i="2"/>
  <c r="DD124" i="2"/>
  <c r="DD317" i="2"/>
  <c r="DC317" i="2"/>
  <c r="DF496" i="2"/>
  <c r="DE496" i="2"/>
  <c r="DE313" i="2"/>
  <c r="DF313" i="2"/>
  <c r="Y573" i="2"/>
  <c r="DB573" i="2" s="1"/>
  <c r="DH202" i="2"/>
  <c r="DG202" i="2"/>
  <c r="Y245" i="2"/>
  <c r="DB245" i="2" s="1"/>
  <c r="DE431" i="2"/>
  <c r="DF431" i="2"/>
  <c r="DE630" i="2"/>
  <c r="DF630" i="2"/>
  <c r="DE620" i="2"/>
  <c r="DF620" i="2"/>
  <c r="DE392" i="2"/>
  <c r="DF392" i="2"/>
  <c r="DE189" i="2"/>
  <c r="DF189" i="2"/>
  <c r="DH173" i="2"/>
  <c r="DG173" i="2"/>
  <c r="Y322" i="2"/>
  <c r="DB322" i="2" s="1"/>
  <c r="W132" i="2"/>
  <c r="CZ132" i="2" s="1"/>
  <c r="DE185" i="2"/>
  <c r="DF185" i="2"/>
  <c r="DD432" i="2"/>
  <c r="DC432" i="2"/>
  <c r="Y511" i="2"/>
  <c r="DB511" i="2" s="1"/>
  <c r="DC244" i="2"/>
  <c r="DD244" i="2"/>
  <c r="DF567" i="2"/>
  <c r="DE567" i="2"/>
  <c r="AE60" i="6"/>
  <c r="AN65" i="6"/>
  <c r="R118" i="6"/>
  <c r="AK170" i="6"/>
  <c r="AB66" i="6"/>
  <c r="C135" i="10"/>
  <c r="D135" i="10" s="1"/>
  <c r="E135" i="10" s="1"/>
  <c r="C198" i="8"/>
  <c r="AL88" i="8"/>
  <c r="C21" i="10"/>
  <c r="D21" i="10" s="1"/>
  <c r="E21" i="10" s="1"/>
  <c r="C186" i="3"/>
  <c r="AL76" i="3"/>
  <c r="C11" i="11"/>
  <c r="D11" i="11" s="1"/>
  <c r="E11" i="11" s="1"/>
  <c r="AM66" i="3"/>
  <c r="AE18" i="9"/>
  <c r="BF13" i="3"/>
  <c r="AN13" i="3"/>
  <c r="BG13" i="3" s="1"/>
  <c r="AC13" i="3"/>
  <c r="AG13" i="3"/>
  <c r="AF13" i="3"/>
  <c r="AD13" i="3"/>
  <c r="AE13" i="3"/>
  <c r="DH649" i="34"/>
  <c r="DG649" i="34"/>
  <c r="DA361" i="34"/>
  <c r="Y361" i="34"/>
  <c r="DB361" i="34" s="1"/>
  <c r="DH340" i="34"/>
  <c r="DG340" i="34"/>
  <c r="DF588" i="34"/>
  <c r="DE588" i="34"/>
  <c r="DD649" i="34"/>
  <c r="DC649" i="34"/>
  <c r="DE491" i="34"/>
  <c r="DF491" i="34"/>
  <c r="DE571" i="34"/>
  <c r="DF571" i="34"/>
  <c r="DH563" i="34"/>
  <c r="DG563" i="34"/>
  <c r="DM252" i="34"/>
  <c r="DM241" i="34"/>
  <c r="DM234" i="34"/>
  <c r="DM255" i="34"/>
  <c r="DM275" i="34"/>
  <c r="DM244" i="34"/>
  <c r="DM248" i="34"/>
  <c r="DM277" i="34"/>
  <c r="DM233" i="34"/>
  <c r="DM263" i="34"/>
  <c r="DM256" i="34"/>
  <c r="DM259" i="34"/>
  <c r="DM269" i="34"/>
  <c r="DM251" i="34"/>
  <c r="DM258" i="34"/>
  <c r="DM249" i="34"/>
  <c r="DM264" i="34"/>
  <c r="DM267" i="34"/>
  <c r="DM236" i="34"/>
  <c r="DM247" i="34"/>
  <c r="DM266" i="34"/>
  <c r="DM257" i="34"/>
  <c r="DM270" i="34"/>
  <c r="DM265" i="34"/>
  <c r="DM276" i="34"/>
  <c r="DM235" i="34"/>
  <c r="DM273" i="34"/>
  <c r="DM243" i="34"/>
  <c r="DM278" i="34"/>
  <c r="DM272" i="34"/>
  <c r="DM237" i="34"/>
  <c r="DM250" i="34"/>
  <c r="DM254" i="34"/>
  <c r="DM245" i="34"/>
  <c r="DM253" i="34"/>
  <c r="DM274" i="34"/>
  <c r="BT235" i="34"/>
  <c r="DM260" i="34"/>
  <c r="DM271" i="34"/>
  <c r="DM240" i="34"/>
  <c r="DM261" i="34"/>
  <c r="DM262" i="34"/>
  <c r="DM238" i="34"/>
  <c r="DM239" i="34"/>
  <c r="DM268" i="34"/>
  <c r="DM242" i="34"/>
  <c r="DM246" i="34"/>
  <c r="W579" i="34"/>
  <c r="CZ579" i="34" s="1"/>
  <c r="DF202" i="34"/>
  <c r="DE202" i="34"/>
  <c r="DP123" i="34"/>
  <c r="DP146" i="34"/>
  <c r="DP151" i="34"/>
  <c r="DP116" i="34"/>
  <c r="DP106" i="34"/>
  <c r="DP118" i="34"/>
  <c r="DP135" i="34"/>
  <c r="DP136" i="34"/>
  <c r="DP147" i="34"/>
  <c r="DP150" i="34"/>
  <c r="DP153" i="34"/>
  <c r="DP108" i="34"/>
  <c r="DP126" i="34"/>
  <c r="DP145" i="34"/>
  <c r="DP144" i="34"/>
  <c r="BT107" i="34"/>
  <c r="DP117" i="34"/>
  <c r="DP124" i="34"/>
  <c r="DP120" i="34"/>
  <c r="DP114" i="34"/>
  <c r="DP132" i="34"/>
  <c r="DP111" i="34"/>
  <c r="DP131" i="34"/>
  <c r="DP152" i="34"/>
  <c r="DP122" i="34"/>
  <c r="DP113" i="34"/>
  <c r="DP133" i="34"/>
  <c r="DP142" i="34"/>
  <c r="DP129" i="34"/>
  <c r="DP112" i="34"/>
  <c r="DP154" i="34"/>
  <c r="DP141" i="34"/>
  <c r="DP125" i="34"/>
  <c r="DP128" i="34"/>
  <c r="DP121" i="34"/>
  <c r="DP110" i="34"/>
  <c r="DP138" i="34"/>
  <c r="DP107" i="34"/>
  <c r="DP134" i="34"/>
  <c r="DP139" i="34"/>
  <c r="DP109" i="34"/>
  <c r="DP140" i="34"/>
  <c r="DP130" i="34"/>
  <c r="DP143" i="34"/>
  <c r="DP137" i="34"/>
  <c r="DP119" i="34"/>
  <c r="DP127" i="34"/>
  <c r="DP148" i="34"/>
  <c r="DP149" i="34"/>
  <c r="DP115" i="34"/>
  <c r="DO313" i="34"/>
  <c r="DO297" i="34"/>
  <c r="DO312" i="34"/>
  <c r="DO317" i="34"/>
  <c r="DO324" i="34"/>
  <c r="DO327" i="34"/>
  <c r="DO339" i="34"/>
  <c r="DO304" i="34"/>
  <c r="DO335" i="34"/>
  <c r="DO342" i="34"/>
  <c r="DO319" i="34"/>
  <c r="DO303" i="34"/>
  <c r="DO326" i="34"/>
  <c r="DO336" i="34"/>
  <c r="DO305" i="34"/>
  <c r="DO330" i="34"/>
  <c r="DO332" i="34"/>
  <c r="DO323" i="34"/>
  <c r="DO322" i="34"/>
  <c r="DO316" i="34"/>
  <c r="DO344" i="34"/>
  <c r="DO331" i="34"/>
  <c r="DO318" i="34"/>
  <c r="DO329" i="34"/>
  <c r="DO298" i="34"/>
  <c r="DO338" i="34"/>
  <c r="DO296" i="34"/>
  <c r="DO340" i="34"/>
  <c r="DO328" i="34"/>
  <c r="DO341" i="34"/>
  <c r="DO321" i="34"/>
  <c r="DO337" i="34"/>
  <c r="DO334" i="34"/>
  <c r="DO306" i="34"/>
  <c r="DO310" i="34"/>
  <c r="DO343" i="34"/>
  <c r="DO299" i="34"/>
  <c r="DO333" i="34"/>
  <c r="DO315" i="34"/>
  <c r="DO301" i="34"/>
  <c r="DO307" i="34"/>
  <c r="DO309" i="34"/>
  <c r="DO300" i="34"/>
  <c r="DO308" i="34"/>
  <c r="DO311" i="34"/>
  <c r="DO320" i="34"/>
  <c r="DO314" i="34"/>
  <c r="DO325" i="34"/>
  <c r="DO302" i="34"/>
  <c r="DJ250" i="34"/>
  <c r="DJ267" i="34"/>
  <c r="DJ233" i="34"/>
  <c r="DJ263" i="34"/>
  <c r="DJ266" i="34"/>
  <c r="DJ248" i="34"/>
  <c r="DJ259" i="34"/>
  <c r="DJ262" i="34"/>
  <c r="DJ245" i="34"/>
  <c r="DJ255" i="34"/>
  <c r="DJ258" i="34"/>
  <c r="DJ244" i="34"/>
  <c r="DJ247" i="34"/>
  <c r="DJ254" i="34"/>
  <c r="DJ243" i="34"/>
  <c r="DJ278" i="34"/>
  <c r="DJ251" i="34"/>
  <c r="DJ242" i="34"/>
  <c r="DJ277" i="34"/>
  <c r="DJ249" i="34"/>
  <c r="DJ239" i="34"/>
  <c r="DJ276" i="34"/>
  <c r="DJ246" i="34"/>
  <c r="DJ237" i="34"/>
  <c r="DJ275" i="34"/>
  <c r="DJ265" i="34"/>
  <c r="DJ253" i="34"/>
  <c r="DJ274" i="34"/>
  <c r="DJ261" i="34"/>
  <c r="DJ236" i="34"/>
  <c r="DJ273" i="34"/>
  <c r="DJ257" i="34"/>
  <c r="DJ241" i="34"/>
  <c r="DJ272" i="34"/>
  <c r="DJ240" i="34"/>
  <c r="DJ264" i="34"/>
  <c r="DJ271" i="34"/>
  <c r="DJ238" i="34"/>
  <c r="DJ260" i="34"/>
  <c r="DJ270" i="34"/>
  <c r="BT236" i="34"/>
  <c r="DJ256" i="34"/>
  <c r="DJ269" i="34"/>
  <c r="DJ235" i="34"/>
  <c r="DJ252" i="34"/>
  <c r="DJ268" i="34"/>
  <c r="DJ234" i="34"/>
  <c r="DI146" i="34"/>
  <c r="DI153" i="34"/>
  <c r="DI116" i="34"/>
  <c r="DI140" i="34"/>
  <c r="DI151" i="34"/>
  <c r="DI112" i="34"/>
  <c r="DI145" i="34"/>
  <c r="DI148" i="34"/>
  <c r="DI118" i="34"/>
  <c r="DI142" i="34"/>
  <c r="DI125" i="34"/>
  <c r="DI113" i="34"/>
  <c r="DI120" i="34"/>
  <c r="DI133" i="34"/>
  <c r="DI129" i="34"/>
  <c r="DI107" i="34"/>
  <c r="DI127" i="34"/>
  <c r="DI139" i="34"/>
  <c r="DI115" i="34"/>
  <c r="DI108" i="34"/>
  <c r="DI135" i="34"/>
  <c r="DI134" i="34"/>
  <c r="DI154" i="34"/>
  <c r="DI121" i="34"/>
  <c r="DI137" i="34"/>
  <c r="DI122" i="34"/>
  <c r="DI150" i="34"/>
  <c r="DI106" i="34"/>
  <c r="DI141" i="34"/>
  <c r="DI143" i="34"/>
  <c r="DI132" i="34"/>
  <c r="DI117" i="34"/>
  <c r="DI136" i="34"/>
  <c r="BT109" i="34"/>
  <c r="BX51" i="31"/>
  <c r="DC73" i="34"/>
  <c r="DD73" i="34"/>
  <c r="BP23" i="31"/>
  <c r="BI23" i="31"/>
  <c r="AZ23" i="31"/>
  <c r="AR23" i="31"/>
  <c r="BX23" i="31"/>
  <c r="Y91" i="34"/>
  <c r="DB91" i="34" s="1"/>
  <c r="Y49" i="34"/>
  <c r="DB49" i="34" s="1"/>
  <c r="DA51" i="34"/>
  <c r="W51" i="34"/>
  <c r="CZ51" i="34" s="1"/>
  <c r="DG617" i="2"/>
  <c r="DH617" i="2"/>
  <c r="DG552" i="2"/>
  <c r="DH552" i="2"/>
  <c r="CD37" i="31"/>
  <c r="CF37" i="31" s="1"/>
  <c r="CD51" i="31"/>
  <c r="CF51" i="31" s="1"/>
  <c r="CD64" i="31"/>
  <c r="CF64" i="31" s="1"/>
  <c r="CD68" i="31"/>
  <c r="CF68" i="31" s="1"/>
  <c r="CD69" i="31"/>
  <c r="CF69" i="31" s="1"/>
  <c r="CD29" i="31"/>
  <c r="CF29" i="31" s="1"/>
  <c r="CD32" i="31"/>
  <c r="CF32" i="31" s="1"/>
  <c r="CD50" i="31"/>
  <c r="CF50" i="31" s="1"/>
  <c r="CD27" i="31"/>
  <c r="CF27" i="31" s="1"/>
  <c r="CD65" i="31"/>
  <c r="CF65" i="31" s="1"/>
  <c r="CD40" i="31"/>
  <c r="CF40" i="31" s="1"/>
  <c r="CD49" i="31"/>
  <c r="CF49" i="31" s="1"/>
  <c r="CD52" i="31"/>
  <c r="CF52" i="31" s="1"/>
  <c r="CD31" i="31"/>
  <c r="CF31" i="31" s="1"/>
  <c r="CD24" i="31"/>
  <c r="CF24" i="31" s="1"/>
  <c r="CD58" i="31"/>
  <c r="CF58" i="31" s="1"/>
  <c r="CD61" i="31"/>
  <c r="CF61" i="31" s="1"/>
  <c r="CD74" i="31"/>
  <c r="CF74" i="31" s="1"/>
  <c r="CD66" i="31"/>
  <c r="CF66" i="31" s="1"/>
  <c r="CD44" i="31"/>
  <c r="CF44" i="31" s="1"/>
  <c r="CD60" i="31"/>
  <c r="CF60" i="31" s="1"/>
  <c r="CD59" i="31"/>
  <c r="CF59" i="31" s="1"/>
  <c r="CD22" i="31"/>
  <c r="CF22" i="31" s="1"/>
  <c r="DD55" i="34"/>
  <c r="DC55" i="34"/>
  <c r="W87" i="34"/>
  <c r="CZ87" i="34" s="1"/>
  <c r="DA89" i="34"/>
  <c r="Y89" i="34"/>
  <c r="DB89" i="34" s="1"/>
  <c r="DH53" i="34"/>
  <c r="DG53" i="34"/>
  <c r="DH587" i="2"/>
  <c r="DG587" i="2"/>
  <c r="Y81" i="34"/>
  <c r="DB81" i="34" s="1"/>
  <c r="Y88" i="34"/>
  <c r="DB88" i="34" s="1"/>
  <c r="DF54" i="34"/>
  <c r="DE54" i="34"/>
  <c r="DF615" i="2"/>
  <c r="DE615" i="2"/>
  <c r="AR28" i="31"/>
  <c r="BI28" i="31"/>
  <c r="BX55" i="31"/>
  <c r="BT25" i="31"/>
  <c r="BS26" i="31"/>
  <c r="Y59" i="34"/>
  <c r="DB59" i="34" s="1"/>
  <c r="DH663" i="2"/>
  <c r="DG663" i="2"/>
  <c r="DF587" i="2"/>
  <c r="DE587" i="2"/>
  <c r="DG393" i="2"/>
  <c r="DH393" i="2"/>
  <c r="DE171" i="2"/>
  <c r="DF171" i="2"/>
  <c r="DE270" i="2"/>
  <c r="DF270" i="2"/>
  <c r="DC145" i="2"/>
  <c r="DD145" i="2"/>
  <c r="DH309" i="2"/>
  <c r="DG309" i="2"/>
  <c r="DC656" i="2"/>
  <c r="DD656" i="2"/>
  <c r="DG528" i="2"/>
  <c r="DH528" i="2"/>
  <c r="DE465" i="2"/>
  <c r="DF465" i="2"/>
  <c r="DD400" i="2"/>
  <c r="DC400" i="2"/>
  <c r="DC331" i="2"/>
  <c r="DD331" i="2"/>
  <c r="DC108" i="2"/>
  <c r="DD108" i="2"/>
  <c r="DG150" i="2"/>
  <c r="DH150" i="2"/>
  <c r="DG153" i="2"/>
  <c r="DH153" i="2"/>
  <c r="DE335" i="2"/>
  <c r="DF335" i="2"/>
  <c r="DC341" i="2"/>
  <c r="DD341" i="2"/>
  <c r="DH143" i="2"/>
  <c r="DG143" i="2"/>
  <c r="DF174" i="2"/>
  <c r="DE174" i="2"/>
  <c r="DE426" i="2"/>
  <c r="DF426" i="2"/>
  <c r="DF253" i="2"/>
  <c r="DE253" i="2"/>
  <c r="Y387" i="2"/>
  <c r="DB387" i="2" s="1"/>
  <c r="Y560" i="2"/>
  <c r="DB560" i="2" s="1"/>
  <c r="DF645" i="2"/>
  <c r="DE645" i="2"/>
  <c r="W135" i="2"/>
  <c r="CZ135" i="2" s="1"/>
  <c r="W187" i="2"/>
  <c r="CZ187" i="2" s="1"/>
  <c r="DE251" i="2"/>
  <c r="DF251" i="2"/>
  <c r="Y304" i="2"/>
  <c r="DB304" i="2" s="1"/>
  <c r="Y386" i="2"/>
  <c r="DB386" i="2" s="1"/>
  <c r="W129" i="2"/>
  <c r="CZ129" i="2" s="1"/>
  <c r="DE191" i="2"/>
  <c r="DF191" i="2"/>
  <c r="DE318" i="2"/>
  <c r="DF318" i="2"/>
  <c r="W384" i="2"/>
  <c r="CZ384" i="2" s="1"/>
  <c r="DF112" i="2"/>
  <c r="DE112" i="2"/>
  <c r="DG380" i="2"/>
  <c r="DH380" i="2"/>
  <c r="W516" i="2"/>
  <c r="CZ516" i="2" s="1"/>
  <c r="DG510" i="2"/>
  <c r="DH510" i="2"/>
  <c r="DC622" i="2"/>
  <c r="DD622" i="2"/>
  <c r="DH509" i="2"/>
  <c r="DG509" i="2"/>
  <c r="DF634" i="2"/>
  <c r="DE634" i="2"/>
  <c r="W252" i="2"/>
  <c r="CZ252" i="2" s="1"/>
  <c r="W248" i="2"/>
  <c r="CZ248" i="2" s="1"/>
  <c r="DF433" i="2"/>
  <c r="DE433" i="2"/>
  <c r="DE198" i="2"/>
  <c r="DF198" i="2"/>
  <c r="Y493" i="2"/>
  <c r="DB493" i="2" s="1"/>
  <c r="W553" i="2"/>
  <c r="CZ553" i="2" s="1"/>
  <c r="DE623" i="2"/>
  <c r="DF623" i="2"/>
  <c r="W119" i="2"/>
  <c r="CZ119" i="2" s="1"/>
  <c r="Y203" i="2"/>
  <c r="DB203" i="2" s="1"/>
  <c r="Y259" i="2"/>
  <c r="DB259" i="2" s="1"/>
  <c r="DE126" i="2"/>
  <c r="DF126" i="2"/>
  <c r="DC197" i="2"/>
  <c r="DD197" i="2"/>
  <c r="W315" i="2"/>
  <c r="CZ315" i="2" s="1"/>
  <c r="DF389" i="2"/>
  <c r="DE389" i="2"/>
  <c r="Y113" i="2"/>
  <c r="DB113" i="2" s="1"/>
  <c r="Y302" i="2"/>
  <c r="DB302" i="2" s="1"/>
  <c r="Y378" i="2"/>
  <c r="DB378" i="2" s="1"/>
  <c r="Y201" i="2"/>
  <c r="DB201" i="2" s="1"/>
  <c r="DE177" i="2"/>
  <c r="DF177" i="2"/>
  <c r="Y369" i="2"/>
  <c r="DB369" i="2" s="1"/>
  <c r="DA127" i="2"/>
  <c r="Y127" i="2"/>
  <c r="DB127" i="2" s="1"/>
  <c r="DF441" i="2"/>
  <c r="DE441" i="2"/>
  <c r="W194" i="2"/>
  <c r="CZ194" i="2" s="1"/>
  <c r="DF383" i="2"/>
  <c r="DE383" i="2"/>
  <c r="DL377" i="2" s="1"/>
  <c r="DQ377" i="2" s="1"/>
  <c r="W265" i="2"/>
  <c r="CZ265" i="2" s="1"/>
  <c r="Y237" i="2"/>
  <c r="DB237" i="2" s="1"/>
  <c r="W435" i="2"/>
  <c r="CZ435" i="2" s="1"/>
  <c r="Y506" i="2"/>
  <c r="DB506" i="2" s="1"/>
  <c r="DE632" i="2"/>
  <c r="DF632" i="2"/>
  <c r="DG633" i="2"/>
  <c r="DH633" i="2"/>
  <c r="DE195" i="2"/>
  <c r="DF195" i="2"/>
  <c r="DE179" i="2"/>
  <c r="DF179" i="2"/>
  <c r="Y316" i="2"/>
  <c r="DB316" i="2" s="1"/>
  <c r="W134" i="2"/>
  <c r="CZ134" i="2" s="1"/>
  <c r="DE323" i="2"/>
  <c r="DF323" i="2"/>
  <c r="W121" i="2"/>
  <c r="CZ121" i="2" s="1"/>
  <c r="DE199" i="2"/>
  <c r="DF199" i="2"/>
  <c r="DD183" i="2"/>
  <c r="DC183" i="2"/>
  <c r="DF136" i="2"/>
  <c r="DE136" i="2"/>
  <c r="DE124" i="2"/>
  <c r="DF124" i="2"/>
  <c r="DC390" i="2"/>
  <c r="DD390" i="2"/>
  <c r="DC627" i="2"/>
  <c r="DD627" i="2"/>
  <c r="Y313" i="2"/>
  <c r="DB313" i="2" s="1"/>
  <c r="Y449" i="2"/>
  <c r="DB449" i="2" s="1"/>
  <c r="DA555" i="2"/>
  <c r="W555" i="2"/>
  <c r="CZ555" i="2" s="1"/>
  <c r="DF202" i="2"/>
  <c r="DE202" i="2"/>
  <c r="DE447" i="2"/>
  <c r="DF447" i="2"/>
  <c r="Y630" i="2"/>
  <c r="DB630" i="2" s="1"/>
  <c r="W139" i="2"/>
  <c r="CZ139" i="2" s="1"/>
  <c r="W376" i="2"/>
  <c r="CZ376" i="2" s="1"/>
  <c r="DC189" i="2"/>
  <c r="DD189" i="2"/>
  <c r="DE173" i="2"/>
  <c r="DF173" i="2"/>
  <c r="Y310" i="2"/>
  <c r="DB310" i="2" s="1"/>
  <c r="Y132" i="2"/>
  <c r="DB132" i="2" s="1"/>
  <c r="DD185" i="2"/>
  <c r="DC185" i="2"/>
  <c r="DF432" i="2"/>
  <c r="DE432" i="2"/>
  <c r="DE264" i="2"/>
  <c r="DF264" i="2"/>
  <c r="DE244" i="2"/>
  <c r="DF244" i="2"/>
  <c r="DD470" i="2"/>
  <c r="DC470" i="2"/>
  <c r="Y567" i="2"/>
  <c r="DB567" i="2" s="1"/>
  <c r="BB44" i="31"/>
  <c r="BC43" i="31"/>
  <c r="BI43" i="31" s="1"/>
  <c r="R116" i="3"/>
  <c r="AN63" i="3"/>
  <c r="C120" i="10"/>
  <c r="D120" i="10" s="1"/>
  <c r="E120" i="10" s="1"/>
  <c r="C183" i="8"/>
  <c r="AL73" i="8"/>
  <c r="J199" i="6"/>
  <c r="AK199" i="6" s="1"/>
  <c r="K199" i="6"/>
  <c r="C144" i="10"/>
  <c r="D144" i="10" s="1"/>
  <c r="E144" i="10" s="1"/>
  <c r="AL97" i="8"/>
  <c r="C207" i="8"/>
  <c r="C74" i="10"/>
  <c r="D74" i="10" s="1"/>
  <c r="E74" i="10" s="1"/>
  <c r="C188" i="6"/>
  <c r="AL78" i="6"/>
  <c r="C35" i="10"/>
  <c r="D35" i="10" s="1"/>
  <c r="E35" i="10" s="1"/>
  <c r="C200" i="3"/>
  <c r="AL90" i="3"/>
  <c r="C132" i="10"/>
  <c r="D132" i="10" s="1"/>
  <c r="E132" i="10" s="1"/>
  <c r="C195" i="8"/>
  <c r="AL85" i="8"/>
  <c r="C127" i="10"/>
  <c r="D127" i="10" s="1"/>
  <c r="E127" i="10" s="1"/>
  <c r="C190" i="8"/>
  <c r="AL80" i="8"/>
  <c r="C96" i="10"/>
  <c r="D96" i="10" s="1"/>
  <c r="E96" i="10" s="1"/>
  <c r="C210" i="6"/>
  <c r="AL100" i="6"/>
  <c r="C66" i="10"/>
  <c r="D66" i="10" s="1"/>
  <c r="E66" i="10" s="1"/>
  <c r="C180" i="6"/>
  <c r="AL70" i="6"/>
  <c r="C15" i="10"/>
  <c r="D15" i="10" s="1"/>
  <c r="E15" i="10" s="1"/>
  <c r="C180" i="3"/>
  <c r="AL70" i="3"/>
  <c r="C108" i="10"/>
  <c r="D108" i="10" s="1"/>
  <c r="E108" i="10" s="1"/>
  <c r="C171" i="8"/>
  <c r="AE61" i="8"/>
  <c r="AL61" i="8"/>
  <c r="C116" i="10"/>
  <c r="D116" i="10" s="1"/>
  <c r="E116" i="10" s="1"/>
  <c r="C179" i="8"/>
  <c r="AL69" i="8"/>
  <c r="C58" i="10"/>
  <c r="D58" i="10" s="1"/>
  <c r="E58" i="10" s="1"/>
  <c r="C172" i="6"/>
  <c r="AE62" i="6"/>
  <c r="AL62" i="6"/>
  <c r="C51" i="10"/>
  <c r="D51" i="10" s="1"/>
  <c r="E51" i="10" s="1"/>
  <c r="C216" i="3"/>
  <c r="AL106" i="3"/>
  <c r="AK170" i="8"/>
  <c r="C131" i="10"/>
  <c r="D131" i="10" s="1"/>
  <c r="E131" i="10" s="1"/>
  <c r="C194" i="8"/>
  <c r="AL84" i="8"/>
  <c r="C126" i="10"/>
  <c r="D126" i="10" s="1"/>
  <c r="E126" i="10" s="1"/>
  <c r="C189" i="8"/>
  <c r="AL79" i="8"/>
  <c r="C82" i="10"/>
  <c r="D82" i="10" s="1"/>
  <c r="E82" i="10" s="1"/>
  <c r="C196" i="6"/>
  <c r="AL86" i="6"/>
  <c r="C65" i="10"/>
  <c r="D65" i="10" s="1"/>
  <c r="E65" i="10" s="1"/>
  <c r="C179" i="6"/>
  <c r="AL69" i="6"/>
  <c r="C24" i="10"/>
  <c r="D24" i="10" s="1"/>
  <c r="E24" i="10" s="1"/>
  <c r="C189" i="3"/>
  <c r="AL79" i="3"/>
  <c r="J176" i="6"/>
  <c r="K176" i="6"/>
  <c r="AM171" i="8"/>
  <c r="AN171" i="8" s="1"/>
  <c r="C152" i="10"/>
  <c r="D152" i="10" s="1"/>
  <c r="E152" i="10" s="1"/>
  <c r="C215" i="8"/>
  <c r="AL105" i="8"/>
  <c r="C86" i="10"/>
  <c r="D86" i="10" s="1"/>
  <c r="E86" i="10" s="1"/>
  <c r="C200" i="6"/>
  <c r="AL90" i="6"/>
  <c r="J174" i="6"/>
  <c r="AK174" i="6" s="1"/>
  <c r="K174" i="6"/>
  <c r="C112" i="10"/>
  <c r="D112" i="10" s="1"/>
  <c r="E112" i="10" s="1"/>
  <c r="C175" i="8"/>
  <c r="AL65" i="8"/>
  <c r="AE65" i="8"/>
  <c r="C10" i="10"/>
  <c r="D10" i="10" s="1"/>
  <c r="E10" i="10" s="1"/>
  <c r="C175" i="3"/>
  <c r="AL65" i="3"/>
  <c r="AE65" i="3"/>
  <c r="C130" i="10"/>
  <c r="D130" i="10" s="1"/>
  <c r="E130" i="10" s="1"/>
  <c r="C193" i="8"/>
  <c r="AL83" i="8"/>
  <c r="C98" i="10"/>
  <c r="D98" i="10" s="1"/>
  <c r="E98" i="10" s="1"/>
  <c r="C212" i="6"/>
  <c r="AL102" i="6"/>
  <c r="C81" i="10"/>
  <c r="D81" i="10" s="1"/>
  <c r="E81" i="10" s="1"/>
  <c r="C195" i="6"/>
  <c r="AL85" i="6"/>
  <c r="C64" i="10"/>
  <c r="D64" i="10" s="1"/>
  <c r="E64" i="10" s="1"/>
  <c r="C178" i="6"/>
  <c r="AL68" i="6"/>
  <c r="C43" i="10"/>
  <c r="D43" i="10" s="1"/>
  <c r="E43" i="10" s="1"/>
  <c r="C208" i="3"/>
  <c r="AL98" i="3"/>
  <c r="C124" i="10"/>
  <c r="D124" i="10" s="1"/>
  <c r="E124" i="10" s="1"/>
  <c r="C187" i="8"/>
  <c r="AL77" i="8"/>
  <c r="C70" i="10"/>
  <c r="D70" i="10" s="1"/>
  <c r="E70" i="10" s="1"/>
  <c r="C184" i="6"/>
  <c r="AL74" i="6"/>
  <c r="C148" i="10"/>
  <c r="D148" i="10" s="1"/>
  <c r="E148" i="10" s="1"/>
  <c r="AL101" i="8"/>
  <c r="C211" i="8"/>
  <c r="C90" i="10"/>
  <c r="D90" i="10" s="1"/>
  <c r="E90" i="10" s="1"/>
  <c r="C204" i="6"/>
  <c r="AL94" i="6"/>
  <c r="C19" i="10"/>
  <c r="D19" i="10" s="1"/>
  <c r="E19" i="10" s="1"/>
  <c r="C184" i="3"/>
  <c r="AL74" i="3"/>
  <c r="C128" i="10"/>
  <c r="D128" i="10" s="1"/>
  <c r="E128" i="10" s="1"/>
  <c r="C191" i="8"/>
  <c r="AL81" i="8"/>
  <c r="C97" i="10"/>
  <c r="D97" i="10" s="1"/>
  <c r="E97" i="10" s="1"/>
  <c r="C211" i="6"/>
  <c r="AL101" i="6"/>
  <c r="C80" i="10"/>
  <c r="D80" i="10" s="1"/>
  <c r="E80" i="10" s="1"/>
  <c r="C194" i="6"/>
  <c r="AL84" i="6"/>
  <c r="C6" i="10"/>
  <c r="D6" i="10" s="1"/>
  <c r="E6" i="10" s="1"/>
  <c r="C171" i="3"/>
  <c r="AL61" i="3"/>
  <c r="AE61" i="3"/>
  <c r="C16" i="10"/>
  <c r="D16" i="10" s="1"/>
  <c r="E16" i="10" s="1"/>
  <c r="C181" i="3"/>
  <c r="AL71" i="3"/>
  <c r="C37" i="10"/>
  <c r="D37" i="10" s="1"/>
  <c r="E37" i="10" s="1"/>
  <c r="AL92" i="3"/>
  <c r="C202" i="3"/>
  <c r="C99" i="10"/>
  <c r="D99" i="10" s="1"/>
  <c r="E99" i="10" s="1"/>
  <c r="C213" i="6"/>
  <c r="AL103" i="6"/>
  <c r="C67" i="10"/>
  <c r="D67" i="10" s="1"/>
  <c r="E67" i="10" s="1"/>
  <c r="C181" i="6"/>
  <c r="AL71" i="6"/>
  <c r="C20" i="10"/>
  <c r="D20" i="10" s="1"/>
  <c r="E20" i="10" s="1"/>
  <c r="C185" i="3"/>
  <c r="AL75" i="3"/>
  <c r="C40" i="10"/>
  <c r="D40" i="10" s="1"/>
  <c r="E40" i="10" s="1"/>
  <c r="AL95" i="3"/>
  <c r="C205" i="3"/>
  <c r="C153" i="10"/>
  <c r="D153" i="10" s="1"/>
  <c r="E153" i="10" s="1"/>
  <c r="C216" i="8"/>
  <c r="AL106" i="8"/>
  <c r="C121" i="10"/>
  <c r="D121" i="10" s="1"/>
  <c r="E121" i="10" s="1"/>
  <c r="C184" i="8"/>
  <c r="AL74" i="8"/>
  <c r="C95" i="10"/>
  <c r="D95" i="10" s="1"/>
  <c r="E95" i="10" s="1"/>
  <c r="C209" i="6"/>
  <c r="AL99" i="6"/>
  <c r="C79" i="10"/>
  <c r="D79" i="10" s="1"/>
  <c r="E79" i="10" s="1"/>
  <c r="C193" i="6"/>
  <c r="AL83" i="6"/>
  <c r="C63" i="10"/>
  <c r="D63" i="10" s="1"/>
  <c r="E63" i="10" s="1"/>
  <c r="C177" i="6"/>
  <c r="AL67" i="6"/>
  <c r="C22" i="10"/>
  <c r="D22" i="10" s="1"/>
  <c r="E22" i="10" s="1"/>
  <c r="C187" i="3"/>
  <c r="AL77" i="3"/>
  <c r="C44" i="10"/>
  <c r="D44" i="10" s="1"/>
  <c r="E44" i="10" s="1"/>
  <c r="C209" i="3"/>
  <c r="AL99" i="3"/>
  <c r="C129" i="10"/>
  <c r="D129" i="10" s="1"/>
  <c r="E129" i="10" s="1"/>
  <c r="C192" i="8"/>
  <c r="AL82" i="8"/>
  <c r="C83" i="10"/>
  <c r="D83" i="10" s="1"/>
  <c r="E83" i="10" s="1"/>
  <c r="C197" i="6"/>
  <c r="AL87" i="6"/>
  <c r="C7" i="10"/>
  <c r="D7" i="10" s="1"/>
  <c r="E7" i="10" s="1"/>
  <c r="C172" i="3"/>
  <c r="AE62" i="3"/>
  <c r="AL62" i="3"/>
  <c r="C23" i="10"/>
  <c r="D23" i="10" s="1"/>
  <c r="E23" i="10" s="1"/>
  <c r="C188" i="3"/>
  <c r="AL78" i="3"/>
  <c r="C45" i="10"/>
  <c r="D45" i="10" s="1"/>
  <c r="E45" i="10" s="1"/>
  <c r="C210" i="3"/>
  <c r="AL100" i="3"/>
  <c r="C145" i="10"/>
  <c r="D145" i="10" s="1"/>
  <c r="E145" i="10" s="1"/>
  <c r="AL98" i="8"/>
  <c r="C208" i="8"/>
  <c r="C113" i="10"/>
  <c r="D113" i="10" s="1"/>
  <c r="E113" i="10" s="1"/>
  <c r="C176" i="8"/>
  <c r="AL66" i="8"/>
  <c r="AE66" i="8"/>
  <c r="C91" i="10"/>
  <c r="D91" i="10" s="1"/>
  <c r="E91" i="10" s="1"/>
  <c r="C205" i="6"/>
  <c r="AL95" i="6"/>
  <c r="C75" i="10"/>
  <c r="D75" i="10" s="1"/>
  <c r="E75" i="10" s="1"/>
  <c r="C189" i="6"/>
  <c r="AL79" i="6"/>
  <c r="C59" i="10"/>
  <c r="D59" i="10" s="1"/>
  <c r="E59" i="10" s="1"/>
  <c r="C173" i="6"/>
  <c r="AE63" i="6"/>
  <c r="AL63" i="6"/>
  <c r="C9" i="10"/>
  <c r="D9" i="10" s="1"/>
  <c r="E9" i="10" s="1"/>
  <c r="C174" i="3"/>
  <c r="AE64" i="3"/>
  <c r="AL64" i="3"/>
  <c r="C25" i="10"/>
  <c r="D25" i="10" s="1"/>
  <c r="E25" i="10" s="1"/>
  <c r="AL80" i="3"/>
  <c r="C190" i="3"/>
  <c r="C49" i="10"/>
  <c r="D49" i="10" s="1"/>
  <c r="E49" i="10" s="1"/>
  <c r="C214" i="3"/>
  <c r="AL104" i="3"/>
  <c r="C18" i="10"/>
  <c r="D18" i="10" s="1"/>
  <c r="E18" i="10" s="1"/>
  <c r="C183" i="3"/>
  <c r="AL73" i="3"/>
  <c r="C41" i="10"/>
  <c r="D41" i="10" s="1"/>
  <c r="E41" i="10" s="1"/>
  <c r="C206" i="3"/>
  <c r="AL96" i="3"/>
  <c r="C11" i="10"/>
  <c r="D11" i="10" s="1"/>
  <c r="E11" i="10" s="1"/>
  <c r="C176" i="3"/>
  <c r="AE66" i="3"/>
  <c r="AL66" i="3"/>
  <c r="C32" i="10"/>
  <c r="D32" i="10" s="1"/>
  <c r="E32" i="10" s="1"/>
  <c r="C197" i="3"/>
  <c r="AL87" i="3"/>
  <c r="C48" i="10"/>
  <c r="D48" i="10" s="1"/>
  <c r="E48" i="10" s="1"/>
  <c r="C213" i="3"/>
  <c r="AL103" i="3"/>
  <c r="C137" i="10"/>
  <c r="D137" i="10" s="1"/>
  <c r="E137" i="10" s="1"/>
  <c r="C200" i="8"/>
  <c r="AL90" i="8"/>
  <c r="C109" i="10"/>
  <c r="D109" i="10" s="1"/>
  <c r="E109" i="10" s="1"/>
  <c r="C172" i="8"/>
  <c r="AL62" i="8"/>
  <c r="AE62" i="8"/>
  <c r="C87" i="10"/>
  <c r="D87" i="10" s="1"/>
  <c r="E87" i="10" s="1"/>
  <c r="C201" i="6"/>
  <c r="AL91" i="6"/>
  <c r="C71" i="10"/>
  <c r="D71" i="10" s="1"/>
  <c r="E71" i="10" s="1"/>
  <c r="AL75" i="6"/>
  <c r="C185" i="6"/>
  <c r="K10" i="9"/>
  <c r="L10" i="9" s="1"/>
  <c r="M10" i="9" s="1"/>
  <c r="K146" i="9"/>
  <c r="L146" i="9" s="1"/>
  <c r="M146" i="9" s="1"/>
  <c r="O146" i="9" s="1"/>
  <c r="K155" i="9"/>
  <c r="L155" i="9" s="1"/>
  <c r="M155" i="9" s="1"/>
  <c r="O155" i="9" s="1"/>
  <c r="K139" i="9"/>
  <c r="L139" i="9" s="1"/>
  <c r="M139" i="9" s="1"/>
  <c r="O139" i="9" s="1"/>
  <c r="K130" i="9"/>
  <c r="L130" i="9" s="1"/>
  <c r="M130" i="9" s="1"/>
  <c r="O130" i="9" s="1"/>
  <c r="K122" i="9"/>
  <c r="L122" i="9" s="1"/>
  <c r="M122" i="9" s="1"/>
  <c r="O122" i="9" s="1"/>
  <c r="K81" i="9"/>
  <c r="L81" i="9" s="1"/>
  <c r="M81" i="9" s="1"/>
  <c r="O81" i="9" s="1"/>
  <c r="BN71" i="9"/>
  <c r="K60" i="9"/>
  <c r="L60" i="9" s="1"/>
  <c r="M60" i="9" s="1"/>
  <c r="K45" i="9"/>
  <c r="L45" i="9" s="1"/>
  <c r="M45" i="9" s="1"/>
  <c r="K129" i="9"/>
  <c r="L129" i="9" s="1"/>
  <c r="M129" i="9" s="1"/>
  <c r="O129" i="9" s="1"/>
  <c r="K113" i="9"/>
  <c r="L113" i="9" s="1"/>
  <c r="M113" i="9" s="1"/>
  <c r="O113" i="9" s="1"/>
  <c r="K92" i="9"/>
  <c r="L92" i="9" s="1"/>
  <c r="M92" i="9" s="1"/>
  <c r="K76" i="9"/>
  <c r="L76" i="9" s="1"/>
  <c r="M76" i="9" s="1"/>
  <c r="K54" i="9"/>
  <c r="L54" i="9" s="1"/>
  <c r="M54" i="9" s="1"/>
  <c r="K132" i="9"/>
  <c r="L132" i="9" s="1"/>
  <c r="M132" i="9" s="1"/>
  <c r="O132" i="9" s="1"/>
  <c r="K95" i="9"/>
  <c r="L95" i="9" s="1"/>
  <c r="M95" i="9" s="1"/>
  <c r="O95" i="9" s="1"/>
  <c r="K79" i="9"/>
  <c r="L79" i="9" s="1"/>
  <c r="M79" i="9" s="1"/>
  <c r="O79" i="9" s="1"/>
  <c r="K71" i="9"/>
  <c r="L71" i="9" s="1"/>
  <c r="M71" i="9" s="1"/>
  <c r="O71" i="9" s="1"/>
  <c r="K36" i="9"/>
  <c r="L36" i="9" s="1"/>
  <c r="M36" i="9" s="1"/>
  <c r="O36" i="9" s="1"/>
  <c r="K154" i="9"/>
  <c r="L154" i="9" s="1"/>
  <c r="M154" i="9" s="1"/>
  <c r="O154" i="9" s="1"/>
  <c r="K142" i="9"/>
  <c r="L142" i="9" s="1"/>
  <c r="M142" i="9" s="1"/>
  <c r="O142" i="9" s="1"/>
  <c r="K151" i="9"/>
  <c r="L151" i="9" s="1"/>
  <c r="M151" i="9" s="1"/>
  <c r="O151" i="9" s="1"/>
  <c r="K141" i="9"/>
  <c r="L141" i="9" s="1"/>
  <c r="M141" i="9" s="1"/>
  <c r="O141" i="9" s="1"/>
  <c r="K118" i="9"/>
  <c r="L118" i="9" s="1"/>
  <c r="M118" i="9" s="1"/>
  <c r="O118" i="9" s="1"/>
  <c r="K105" i="9"/>
  <c r="L105" i="9" s="1"/>
  <c r="M105" i="9" s="1"/>
  <c r="O105" i="9" s="1"/>
  <c r="K93" i="9"/>
  <c r="L93" i="9" s="1"/>
  <c r="M93" i="9" s="1"/>
  <c r="O93" i="9" s="1"/>
  <c r="K77" i="9"/>
  <c r="L77" i="9" s="1"/>
  <c r="M77" i="9" s="1"/>
  <c r="O77" i="9" s="1"/>
  <c r="K70" i="9"/>
  <c r="L70" i="9" s="1"/>
  <c r="M70" i="9" s="1"/>
  <c r="K53" i="9"/>
  <c r="L53" i="9" s="1"/>
  <c r="M53" i="9" s="1"/>
  <c r="K148" i="9"/>
  <c r="L148" i="9" s="1"/>
  <c r="M148" i="9" s="1"/>
  <c r="O148" i="9" s="1"/>
  <c r="K125" i="9"/>
  <c r="L125" i="9" s="1"/>
  <c r="M125" i="9" s="1"/>
  <c r="O125" i="9" s="1"/>
  <c r="K104" i="9"/>
  <c r="L104" i="9" s="1"/>
  <c r="M104" i="9" s="1"/>
  <c r="K88" i="9"/>
  <c r="L88" i="9" s="1"/>
  <c r="M88" i="9" s="1"/>
  <c r="K69" i="9"/>
  <c r="L69" i="9" s="1"/>
  <c r="M69" i="9" s="1"/>
  <c r="O69" i="9" s="1"/>
  <c r="K153" i="9"/>
  <c r="L153" i="9" s="1"/>
  <c r="M153" i="9" s="1"/>
  <c r="O153" i="9" s="1"/>
  <c r="K120" i="9"/>
  <c r="L120" i="9" s="1"/>
  <c r="M120" i="9" s="1"/>
  <c r="K112" i="9"/>
  <c r="L112" i="9" s="1"/>
  <c r="M112" i="9" s="1"/>
  <c r="O112" i="9" s="1"/>
  <c r="K91" i="9"/>
  <c r="L91" i="9" s="1"/>
  <c r="M91" i="9" s="1"/>
  <c r="O91" i="9" s="1"/>
  <c r="K75" i="9"/>
  <c r="L75" i="9" s="1"/>
  <c r="M75" i="9" s="1"/>
  <c r="O75" i="9" s="1"/>
  <c r="K62" i="9"/>
  <c r="L62" i="9" s="1"/>
  <c r="M62" i="9" s="1"/>
  <c r="O62" i="9" s="1"/>
  <c r="K152" i="9"/>
  <c r="L152" i="9" s="1"/>
  <c r="M152" i="9" s="1"/>
  <c r="O152" i="9" s="1"/>
  <c r="K136" i="9"/>
  <c r="L136" i="9" s="1"/>
  <c r="M136" i="9" s="1"/>
  <c r="O136" i="9" s="1"/>
  <c r="K127" i="9"/>
  <c r="L127" i="9" s="1"/>
  <c r="M127" i="9" s="1"/>
  <c r="O127" i="9" s="1"/>
  <c r="K119" i="9"/>
  <c r="L119" i="9" s="1"/>
  <c r="M119" i="9" s="1"/>
  <c r="O119" i="9" s="1"/>
  <c r="K111" i="9"/>
  <c r="L111" i="9" s="1"/>
  <c r="M111" i="9" s="1"/>
  <c r="O111" i="9" s="1"/>
  <c r="K102" i="9"/>
  <c r="L102" i="9" s="1"/>
  <c r="M102" i="9" s="1"/>
  <c r="K94" i="9"/>
  <c r="L94" i="9" s="1"/>
  <c r="M94" i="9" s="1"/>
  <c r="O94" i="9" s="1"/>
  <c r="K86" i="9"/>
  <c r="L86" i="9" s="1"/>
  <c r="M86" i="9" s="1"/>
  <c r="O86" i="9" s="1"/>
  <c r="K78" i="9"/>
  <c r="L78" i="9" s="1"/>
  <c r="M78" i="9" s="1"/>
  <c r="O78" i="9" s="1"/>
  <c r="K63" i="9"/>
  <c r="L63" i="9" s="1"/>
  <c r="M63" i="9" s="1"/>
  <c r="O63" i="9" s="1"/>
  <c r="K52" i="9"/>
  <c r="L52" i="9" s="1"/>
  <c r="M52" i="9" s="1"/>
  <c r="O52" i="9" s="1"/>
  <c r="K43" i="9"/>
  <c r="L43" i="9" s="1"/>
  <c r="M43" i="9" s="1"/>
  <c r="K39" i="9"/>
  <c r="L39" i="9" s="1"/>
  <c r="M39" i="9" s="1"/>
  <c r="O39" i="9" s="1"/>
  <c r="K33" i="9"/>
  <c r="L33" i="9" s="1"/>
  <c r="M33" i="9" s="1"/>
  <c r="O33" i="9" s="1"/>
  <c r="K14" i="9"/>
  <c r="L14" i="9" s="1"/>
  <c r="M14" i="9" s="1"/>
  <c r="O14" i="9" s="1"/>
  <c r="K34" i="9"/>
  <c r="L34" i="9" s="1"/>
  <c r="M34" i="9" s="1"/>
  <c r="O34" i="9" s="1"/>
  <c r="K30" i="9"/>
  <c r="L30" i="9" s="1"/>
  <c r="M30" i="9" s="1"/>
  <c r="O30" i="9" s="1"/>
  <c r="K28" i="9"/>
  <c r="L28" i="9" s="1"/>
  <c r="M28" i="9" s="1"/>
  <c r="O28" i="9" s="1"/>
  <c r="K26" i="9"/>
  <c r="L26" i="9" s="1"/>
  <c r="M26" i="9" s="1"/>
  <c r="O26" i="9" s="1"/>
  <c r="K24" i="9"/>
  <c r="L24" i="9" s="1"/>
  <c r="M24" i="9" s="1"/>
  <c r="O24" i="9" s="1"/>
  <c r="K22" i="9"/>
  <c r="L22" i="9" s="1"/>
  <c r="M22" i="9" s="1"/>
  <c r="O22" i="9" s="1"/>
  <c r="K20" i="9"/>
  <c r="L20" i="9" s="1"/>
  <c r="M20" i="9" s="1"/>
  <c r="O20" i="9" s="1"/>
  <c r="K15" i="9"/>
  <c r="L15" i="9" s="1"/>
  <c r="M15" i="9" s="1"/>
  <c r="O15" i="9" s="1"/>
  <c r="K51" i="9"/>
  <c r="L51" i="9" s="1"/>
  <c r="M51" i="9" s="1"/>
  <c r="O51" i="9" s="1"/>
  <c r="K42" i="9"/>
  <c r="L42" i="9" s="1"/>
  <c r="M42" i="9" s="1"/>
  <c r="O42" i="9" s="1"/>
  <c r="K38" i="9"/>
  <c r="L38" i="9" s="1"/>
  <c r="M38" i="9" s="1"/>
  <c r="O38" i="9" s="1"/>
  <c r="K16" i="9"/>
  <c r="L16" i="9" s="1"/>
  <c r="M16" i="9" s="1"/>
  <c r="O16" i="9" s="1"/>
  <c r="K48" i="9"/>
  <c r="L48" i="9" s="1"/>
  <c r="M48" i="9" s="1"/>
  <c r="K13" i="9"/>
  <c r="L13" i="9" s="1"/>
  <c r="M13" i="9" s="1"/>
  <c r="O13" i="9" s="1"/>
  <c r="K150" i="9"/>
  <c r="L150" i="9" s="1"/>
  <c r="M150" i="9" s="1"/>
  <c r="O150" i="9" s="1"/>
  <c r="K147" i="9"/>
  <c r="L147" i="9" s="1"/>
  <c r="M147" i="9" s="1"/>
  <c r="O147" i="9" s="1"/>
  <c r="K135" i="9"/>
  <c r="L135" i="9" s="1"/>
  <c r="M135" i="9" s="1"/>
  <c r="O135" i="9" s="1"/>
  <c r="K126" i="9"/>
  <c r="L126" i="9" s="1"/>
  <c r="M126" i="9" s="1"/>
  <c r="K114" i="9"/>
  <c r="L114" i="9" s="1"/>
  <c r="M114" i="9" s="1"/>
  <c r="O114" i="9" s="1"/>
  <c r="K101" i="9"/>
  <c r="L101" i="9" s="1"/>
  <c r="M101" i="9" s="1"/>
  <c r="O101" i="9" s="1"/>
  <c r="K89" i="9"/>
  <c r="L89" i="9" s="1"/>
  <c r="M89" i="9" s="1"/>
  <c r="O89" i="9" s="1"/>
  <c r="K74" i="9"/>
  <c r="L74" i="9" s="1"/>
  <c r="M74" i="9" s="1"/>
  <c r="O74" i="9" s="1"/>
  <c r="K68" i="9"/>
  <c r="L68" i="9" s="1"/>
  <c r="M68" i="9" s="1"/>
  <c r="K49" i="9"/>
  <c r="L49" i="9" s="1"/>
  <c r="M49" i="9" s="1"/>
  <c r="O49" i="9" s="1"/>
  <c r="K140" i="9"/>
  <c r="L140" i="9" s="1"/>
  <c r="M140" i="9" s="1"/>
  <c r="K121" i="9"/>
  <c r="L121" i="9" s="1"/>
  <c r="M121" i="9" s="1"/>
  <c r="K100" i="9"/>
  <c r="L100" i="9" s="1"/>
  <c r="M100" i="9" s="1"/>
  <c r="O100" i="9" s="1"/>
  <c r="K84" i="9"/>
  <c r="L84" i="9" s="1"/>
  <c r="M84" i="9" s="1"/>
  <c r="O84" i="9" s="1"/>
  <c r="K65" i="9"/>
  <c r="L65" i="9" s="1"/>
  <c r="M65" i="9" s="1"/>
  <c r="O65" i="9" s="1"/>
  <c r="K145" i="9"/>
  <c r="L145" i="9" s="1"/>
  <c r="M145" i="9" s="1"/>
  <c r="O145" i="9" s="1"/>
  <c r="K128" i="9"/>
  <c r="L128" i="9" s="1"/>
  <c r="M128" i="9" s="1"/>
  <c r="O128" i="9" s="1"/>
  <c r="K103" i="9"/>
  <c r="L103" i="9" s="1"/>
  <c r="M103" i="9" s="1"/>
  <c r="O103" i="9" s="1"/>
  <c r="K87" i="9"/>
  <c r="L87" i="9" s="1"/>
  <c r="M87" i="9" s="1"/>
  <c r="O87" i="9" s="1"/>
  <c r="K73" i="9"/>
  <c r="L73" i="9" s="1"/>
  <c r="M73" i="9" s="1"/>
  <c r="O73" i="9" s="1"/>
  <c r="BN70" i="9"/>
  <c r="K12" i="9"/>
  <c r="L12" i="9" s="1"/>
  <c r="M12" i="9" s="1"/>
  <c r="O12" i="9" s="1"/>
  <c r="K17" i="9"/>
  <c r="L17" i="9" s="1"/>
  <c r="M17" i="9" s="1"/>
  <c r="K156" i="9"/>
  <c r="L156" i="9" s="1"/>
  <c r="M156" i="9" s="1"/>
  <c r="O156" i="9" s="1"/>
  <c r="K138" i="9"/>
  <c r="L138" i="9" s="1"/>
  <c r="M138" i="9" s="1"/>
  <c r="O138" i="9" s="1"/>
  <c r="K143" i="9"/>
  <c r="L143" i="9" s="1"/>
  <c r="M143" i="9" s="1"/>
  <c r="O143" i="9" s="1"/>
  <c r="K149" i="9"/>
  <c r="L149" i="9" s="1"/>
  <c r="M149" i="9" s="1"/>
  <c r="O149" i="9" s="1"/>
  <c r="K134" i="9"/>
  <c r="L134" i="9" s="1"/>
  <c r="M134" i="9" s="1"/>
  <c r="O134" i="9" s="1"/>
  <c r="K110" i="9"/>
  <c r="L110" i="9" s="1"/>
  <c r="M110" i="9" s="1"/>
  <c r="O110" i="9" s="1"/>
  <c r="K97" i="9"/>
  <c r="L97" i="9" s="1"/>
  <c r="M97" i="9" s="1"/>
  <c r="O97" i="9" s="1"/>
  <c r="K85" i="9"/>
  <c r="L85" i="9" s="1"/>
  <c r="M85" i="9" s="1"/>
  <c r="K72" i="9"/>
  <c r="L72" i="9" s="1"/>
  <c r="M72" i="9" s="1"/>
  <c r="O72" i="9" s="1"/>
  <c r="K64" i="9"/>
  <c r="L64" i="9" s="1"/>
  <c r="M64" i="9" s="1"/>
  <c r="O64" i="9" s="1"/>
  <c r="K47" i="9"/>
  <c r="L47" i="9" s="1"/>
  <c r="M47" i="9" s="1"/>
  <c r="O47" i="9" s="1"/>
  <c r="K133" i="9"/>
  <c r="L133" i="9" s="1"/>
  <c r="M133" i="9" s="1"/>
  <c r="K117" i="9"/>
  <c r="L117" i="9" s="1"/>
  <c r="M117" i="9" s="1"/>
  <c r="O117" i="9" s="1"/>
  <c r="K96" i="9"/>
  <c r="L96" i="9" s="1"/>
  <c r="M96" i="9" s="1"/>
  <c r="K80" i="9"/>
  <c r="L80" i="9" s="1"/>
  <c r="M80" i="9" s="1"/>
  <c r="O80" i="9" s="1"/>
  <c r="K61" i="9"/>
  <c r="L61" i="9" s="1"/>
  <c r="M61" i="9" s="1"/>
  <c r="O61" i="9" s="1"/>
  <c r="K137" i="9"/>
  <c r="L137" i="9" s="1"/>
  <c r="M137" i="9" s="1"/>
  <c r="O137" i="9" s="1"/>
  <c r="K124" i="9"/>
  <c r="L124" i="9" s="1"/>
  <c r="M124" i="9" s="1"/>
  <c r="O124" i="9" s="1"/>
  <c r="K116" i="9"/>
  <c r="L116" i="9" s="1"/>
  <c r="M116" i="9" s="1"/>
  <c r="O116" i="9" s="1"/>
  <c r="K99" i="9"/>
  <c r="L99" i="9" s="1"/>
  <c r="M99" i="9" s="1"/>
  <c r="O99" i="9" s="1"/>
  <c r="K83" i="9"/>
  <c r="L83" i="9" s="1"/>
  <c r="M83" i="9" s="1"/>
  <c r="O83" i="9" s="1"/>
  <c r="BN72" i="9"/>
  <c r="K66" i="9"/>
  <c r="L66" i="9" s="1"/>
  <c r="M66" i="9" s="1"/>
  <c r="O66" i="9" s="1"/>
  <c r="K55" i="9"/>
  <c r="L55" i="9" s="1"/>
  <c r="M55" i="9" s="1"/>
  <c r="K144" i="9"/>
  <c r="L144" i="9" s="1"/>
  <c r="M144" i="9" s="1"/>
  <c r="O144" i="9" s="1"/>
  <c r="K131" i="9"/>
  <c r="L131" i="9" s="1"/>
  <c r="M131" i="9" s="1"/>
  <c r="K123" i="9"/>
  <c r="L123" i="9" s="1"/>
  <c r="M123" i="9" s="1"/>
  <c r="O123" i="9" s="1"/>
  <c r="K115" i="9"/>
  <c r="L115" i="9" s="1"/>
  <c r="M115" i="9" s="1"/>
  <c r="K106" i="9"/>
  <c r="L106" i="9" s="1"/>
  <c r="M106" i="9" s="1"/>
  <c r="K98" i="9"/>
  <c r="L98" i="9" s="1"/>
  <c r="M98" i="9" s="1"/>
  <c r="O98" i="9" s="1"/>
  <c r="K90" i="9"/>
  <c r="L90" i="9" s="1"/>
  <c r="M90" i="9" s="1"/>
  <c r="O90" i="9" s="1"/>
  <c r="K82" i="9"/>
  <c r="L82" i="9" s="1"/>
  <c r="M82" i="9" s="1"/>
  <c r="K67" i="9"/>
  <c r="L67" i="9" s="1"/>
  <c r="M67" i="9" s="1"/>
  <c r="O67" i="9" s="1"/>
  <c r="K56" i="9"/>
  <c r="L56" i="9" s="1"/>
  <c r="M56" i="9" s="1"/>
  <c r="K46" i="9"/>
  <c r="L46" i="9" s="1"/>
  <c r="M46" i="9" s="1"/>
  <c r="O46" i="9" s="1"/>
  <c r="K41" i="9"/>
  <c r="L41" i="9" s="1"/>
  <c r="M41" i="9" s="1"/>
  <c r="O41" i="9" s="1"/>
  <c r="K37" i="9"/>
  <c r="L37" i="9" s="1"/>
  <c r="M37" i="9" s="1"/>
  <c r="O37" i="9" s="1"/>
  <c r="K18" i="9"/>
  <c r="L18" i="9" s="1"/>
  <c r="M18" i="9" s="1"/>
  <c r="O18" i="9" s="1"/>
  <c r="K50" i="9"/>
  <c r="L50" i="9" s="1"/>
  <c r="M50" i="9" s="1"/>
  <c r="O50" i="9" s="1"/>
  <c r="K31" i="9"/>
  <c r="L31" i="9" s="1"/>
  <c r="M31" i="9" s="1"/>
  <c r="O31" i="9" s="1"/>
  <c r="K29" i="9"/>
  <c r="L29" i="9" s="1"/>
  <c r="M29" i="9" s="1"/>
  <c r="K27" i="9"/>
  <c r="L27" i="9" s="1"/>
  <c r="M27" i="9" s="1"/>
  <c r="K25" i="9"/>
  <c r="L25" i="9" s="1"/>
  <c r="M25" i="9" s="1"/>
  <c r="O25" i="9" s="1"/>
  <c r="K23" i="9"/>
  <c r="L23" i="9" s="1"/>
  <c r="M23" i="9" s="1"/>
  <c r="O23" i="9" s="1"/>
  <c r="K21" i="9"/>
  <c r="L21" i="9" s="1"/>
  <c r="M21" i="9" s="1"/>
  <c r="O21" i="9" s="1"/>
  <c r="K19" i="9"/>
  <c r="L19" i="9" s="1"/>
  <c r="M19" i="9" s="1"/>
  <c r="O19" i="9" s="1"/>
  <c r="K11" i="9"/>
  <c r="L11" i="9" s="1"/>
  <c r="M11" i="9" s="1"/>
  <c r="O11" i="9" s="1"/>
  <c r="K44" i="9"/>
  <c r="L44" i="9" s="1"/>
  <c r="M44" i="9" s="1"/>
  <c r="K40" i="9"/>
  <c r="L40" i="9" s="1"/>
  <c r="M40" i="9" s="1"/>
  <c r="O40" i="9" s="1"/>
  <c r="K35" i="9"/>
  <c r="L35" i="9" s="1"/>
  <c r="M35" i="9" s="1"/>
  <c r="O35" i="9" s="1"/>
  <c r="K32" i="9"/>
  <c r="L32" i="9" s="1"/>
  <c r="M32" i="9" s="1"/>
  <c r="O32" i="9" s="1"/>
  <c r="C13" i="10"/>
  <c r="D13" i="10" s="1"/>
  <c r="E13" i="10" s="1"/>
  <c r="C178" i="3"/>
  <c r="AL68" i="3"/>
  <c r="C36" i="10"/>
  <c r="D36" i="10" s="1"/>
  <c r="E36" i="10" s="1"/>
  <c r="AL91" i="3"/>
  <c r="C201" i="3"/>
  <c r="K192" i="6"/>
  <c r="J192" i="6"/>
  <c r="AK192" i="6" s="1"/>
  <c r="AV202" i="8"/>
  <c r="AV204" i="8"/>
  <c r="AV199" i="8"/>
  <c r="C27" i="10"/>
  <c r="D27" i="10" s="1"/>
  <c r="E27" i="10" s="1"/>
  <c r="AL82" i="3"/>
  <c r="C192" i="3"/>
  <c r="AV209" i="8"/>
  <c r="J212" i="3"/>
  <c r="AK212" i="3" s="1"/>
  <c r="K212" i="3"/>
  <c r="C33" i="10"/>
  <c r="D33" i="10" s="1"/>
  <c r="E33" i="10" s="1"/>
  <c r="C198" i="3"/>
  <c r="AL88" i="3"/>
  <c r="C31" i="10"/>
  <c r="D31" i="10" s="1"/>
  <c r="E31" i="10" s="1"/>
  <c r="C196" i="3"/>
  <c r="AL86" i="3"/>
  <c r="C46" i="10"/>
  <c r="D46" i="10" s="1"/>
  <c r="E46" i="10" s="1"/>
  <c r="AL101" i="3"/>
  <c r="C211" i="3"/>
  <c r="O106" i="9"/>
  <c r="O102" i="9"/>
  <c r="O43" i="9"/>
  <c r="O126" i="9"/>
  <c r="BN34" i="9"/>
  <c r="O44" i="9"/>
  <c r="J204" i="3"/>
  <c r="AK204" i="3" s="1"/>
  <c r="K204" i="3"/>
  <c r="O55" i="9"/>
  <c r="O115" i="9"/>
  <c r="O29" i="9"/>
  <c r="AM174" i="8"/>
  <c r="C42" i="10"/>
  <c r="D42" i="10" s="1"/>
  <c r="E42" i="10" s="1"/>
  <c r="AL97" i="3"/>
  <c r="C207" i="3"/>
  <c r="J202" i="6"/>
  <c r="K202" i="6"/>
  <c r="C14" i="10"/>
  <c r="D14" i="10" s="1"/>
  <c r="E14" i="10" s="1"/>
  <c r="C179" i="3"/>
  <c r="AL69" i="3"/>
  <c r="C34" i="10"/>
  <c r="D34" i="10" s="1"/>
  <c r="E34" i="10" s="1"/>
  <c r="C199" i="3"/>
  <c r="AL89" i="3"/>
  <c r="C50" i="10"/>
  <c r="D50" i="10" s="1"/>
  <c r="E50" i="10" s="1"/>
  <c r="C215" i="3"/>
  <c r="AL105" i="3"/>
  <c r="J216" i="6"/>
  <c r="AK216" i="6" s="1"/>
  <c r="K216" i="6"/>
  <c r="AV197" i="8"/>
  <c r="O27" i="9"/>
  <c r="C29" i="10"/>
  <c r="D29" i="10" s="1"/>
  <c r="E29" i="10" s="1"/>
  <c r="AL84" i="3"/>
  <c r="C194" i="3"/>
  <c r="J203" i="6"/>
  <c r="AK203" i="6" s="1"/>
  <c r="K203" i="6"/>
  <c r="J197" i="8"/>
  <c r="AK197" i="8" s="1"/>
  <c r="K197" i="8"/>
  <c r="AV196" i="8"/>
  <c r="C26" i="10"/>
  <c r="D26" i="10" s="1"/>
  <c r="E26" i="10" s="1"/>
  <c r="C191" i="3"/>
  <c r="AL81" i="3"/>
  <c r="C5" i="10"/>
  <c r="D5" i="10" s="1"/>
  <c r="E5" i="10" s="1"/>
  <c r="AL60" i="3"/>
  <c r="C170" i="3"/>
  <c r="C38" i="10"/>
  <c r="D38" i="10" s="1"/>
  <c r="E38" i="10" s="1"/>
  <c r="C203" i="3"/>
  <c r="AL93" i="3"/>
  <c r="O10" i="9"/>
  <c r="BN32" i="9"/>
  <c r="O68" i="9"/>
  <c r="O60" i="9"/>
  <c r="O45" i="9"/>
  <c r="O140" i="9"/>
  <c r="O121" i="9"/>
  <c r="O92" i="9"/>
  <c r="O76" i="9"/>
  <c r="O54" i="9"/>
  <c r="O53" i="9"/>
  <c r="O88" i="9"/>
  <c r="O133" i="9"/>
  <c r="O96" i="9"/>
  <c r="BN33" i="9"/>
  <c r="O70" i="9"/>
  <c r="O104" i="9"/>
  <c r="O82" i="9"/>
  <c r="O85" i="9"/>
  <c r="O17" i="9"/>
  <c r="O48" i="9"/>
  <c r="J191" i="6"/>
  <c r="AK191" i="6" s="1"/>
  <c r="K191" i="6"/>
  <c r="K190" i="6"/>
  <c r="J190" i="6"/>
  <c r="AK190" i="6" s="1"/>
  <c r="O120" i="9"/>
  <c r="O131" i="9"/>
  <c r="O56" i="9"/>
  <c r="CK234" i="37"/>
  <c r="CB234" i="37"/>
  <c r="CJ234" i="37"/>
  <c r="CC234" i="37"/>
  <c r="CS234" i="37"/>
  <c r="CR234" i="37"/>
  <c r="CI234" i="37"/>
  <c r="CA234" i="37"/>
  <c r="CL234" i="37"/>
  <c r="DN67" i="37" l="1"/>
  <c r="D125" i="40"/>
  <c r="AL182" i="40"/>
  <c r="AB182" i="40"/>
  <c r="AT182" i="40" s="1"/>
  <c r="AJ182" i="40"/>
  <c r="W125" i="40"/>
  <c r="AK182" i="40"/>
  <c r="W153" i="40"/>
  <c r="AL210" i="40"/>
  <c r="AB210" i="40"/>
  <c r="AT210" i="40" s="1"/>
  <c r="AJ210" i="40"/>
  <c r="D153" i="40"/>
  <c r="AK210" i="40"/>
  <c r="C145" i="40"/>
  <c r="C145" i="8"/>
  <c r="AB182" i="8"/>
  <c r="AT182" i="8" s="1"/>
  <c r="D125" i="8"/>
  <c r="W125" i="8"/>
  <c r="W153" i="8"/>
  <c r="AB210" i="8"/>
  <c r="AT210" i="8" s="1"/>
  <c r="D153" i="8"/>
  <c r="AL210" i="8"/>
  <c r="AK210" i="8"/>
  <c r="AJ210" i="8"/>
  <c r="K178" i="8"/>
  <c r="J178" i="8"/>
  <c r="AK178" i="8" s="1"/>
  <c r="H213" i="8"/>
  <c r="AL213" i="8" s="1"/>
  <c r="I213" i="8"/>
  <c r="E213" i="8"/>
  <c r="AJ213" i="8" s="1"/>
  <c r="AL174" i="8"/>
  <c r="E209" i="8"/>
  <c r="I209" i="8"/>
  <c r="H209" i="8"/>
  <c r="AL209" i="8" s="1"/>
  <c r="AB180" i="8"/>
  <c r="AT180" i="8" s="1"/>
  <c r="D123" i="8"/>
  <c r="AJ180" i="8"/>
  <c r="AL180" i="8"/>
  <c r="W123" i="8"/>
  <c r="AK180" i="8"/>
  <c r="AB199" i="8"/>
  <c r="AT199" i="8" s="1"/>
  <c r="W142" i="8"/>
  <c r="D142" i="8"/>
  <c r="AK199" i="8"/>
  <c r="AL199" i="8"/>
  <c r="AJ199" i="8"/>
  <c r="I202" i="8"/>
  <c r="H202" i="8"/>
  <c r="AL202" i="8" s="1"/>
  <c r="E202" i="8"/>
  <c r="AJ202" i="8" s="1"/>
  <c r="AB178" i="8"/>
  <c r="AT178" i="8" s="1"/>
  <c r="D121" i="8"/>
  <c r="W121" i="8"/>
  <c r="AJ182" i="8"/>
  <c r="AB204" i="40"/>
  <c r="AT204" i="40" s="1"/>
  <c r="AK204" i="40"/>
  <c r="W147" i="40"/>
  <c r="AJ204" i="40"/>
  <c r="D147" i="40"/>
  <c r="AL204" i="40"/>
  <c r="C152" i="8"/>
  <c r="C152" i="40"/>
  <c r="AB180" i="40"/>
  <c r="AT180" i="40" s="1"/>
  <c r="AL180" i="40"/>
  <c r="W123" i="40"/>
  <c r="AK180" i="40"/>
  <c r="AJ180" i="40"/>
  <c r="D123" i="40"/>
  <c r="W142" i="40"/>
  <c r="AL199" i="40"/>
  <c r="AB199" i="40"/>
  <c r="AT199" i="40" s="1"/>
  <c r="AJ199" i="40"/>
  <c r="D142" i="40"/>
  <c r="AK199" i="40"/>
  <c r="AL182" i="8"/>
  <c r="AB204" i="8"/>
  <c r="AT204" i="8" s="1"/>
  <c r="W147" i="8"/>
  <c r="D147" i="8"/>
  <c r="D121" i="40"/>
  <c r="AL178" i="40"/>
  <c r="AB178" i="40"/>
  <c r="AT178" i="40" s="1"/>
  <c r="AJ178" i="40"/>
  <c r="W121" i="40"/>
  <c r="AK178" i="40"/>
  <c r="AK204" i="8"/>
  <c r="H215" i="6"/>
  <c r="I215" i="6"/>
  <c r="E215" i="6"/>
  <c r="E206" i="6"/>
  <c r="I206" i="6"/>
  <c r="H206" i="6"/>
  <c r="AL206" i="6" s="1"/>
  <c r="AB214" i="39"/>
  <c r="AT214" i="39" s="1"/>
  <c r="AL214" i="39"/>
  <c r="W157" i="39"/>
  <c r="AK214" i="39"/>
  <c r="D157" i="39"/>
  <c r="AJ214" i="39"/>
  <c r="E187" i="6"/>
  <c r="I187" i="6"/>
  <c r="H187" i="6"/>
  <c r="AL187" i="6" s="1"/>
  <c r="H198" i="6"/>
  <c r="E198" i="6"/>
  <c r="I198" i="6"/>
  <c r="C151" i="6"/>
  <c r="C151" i="39"/>
  <c r="C158" i="39"/>
  <c r="C158" i="6"/>
  <c r="C149" i="39"/>
  <c r="C149" i="6"/>
  <c r="C130" i="6"/>
  <c r="C130" i="39"/>
  <c r="C141" i="39"/>
  <c r="C141" i="6"/>
  <c r="D157" i="6"/>
  <c r="AJ214" i="6"/>
  <c r="AK214" i="6"/>
  <c r="AB214" i="6"/>
  <c r="AT214" i="6" s="1"/>
  <c r="W157" i="6"/>
  <c r="E208" i="6"/>
  <c r="I208" i="6"/>
  <c r="H208" i="6"/>
  <c r="C129" i="39"/>
  <c r="C129" i="6"/>
  <c r="AL186" i="6" s="1"/>
  <c r="H182" i="6"/>
  <c r="I182" i="6"/>
  <c r="E182" i="6"/>
  <c r="AJ182" i="6" s="1"/>
  <c r="K174" i="8"/>
  <c r="J174" i="8"/>
  <c r="AK174" i="8" s="1"/>
  <c r="D117" i="8"/>
  <c r="AB174" i="8"/>
  <c r="AT174" i="8" s="1"/>
  <c r="K117" i="8"/>
  <c r="W117" i="8"/>
  <c r="V117" i="8"/>
  <c r="AJ174" i="8"/>
  <c r="AB174" i="40"/>
  <c r="AT174" i="40" s="1"/>
  <c r="D117" i="40"/>
  <c r="AK174" i="40"/>
  <c r="K117" i="40"/>
  <c r="L117" i="40"/>
  <c r="V117" i="40"/>
  <c r="AL174" i="40"/>
  <c r="W117" i="40"/>
  <c r="AJ174" i="40"/>
  <c r="Y117" i="8"/>
  <c r="O174" i="8"/>
  <c r="I173" i="3"/>
  <c r="E173" i="3"/>
  <c r="AJ173" i="3" s="1"/>
  <c r="H173" i="3"/>
  <c r="C116" i="3"/>
  <c r="C116" i="38"/>
  <c r="BU49" i="37"/>
  <c r="AJ203" i="8"/>
  <c r="AL203" i="8"/>
  <c r="AL214" i="8"/>
  <c r="AJ214" i="8"/>
  <c r="AJ190" i="6"/>
  <c r="C127" i="8"/>
  <c r="W127" i="8" s="1"/>
  <c r="C127" i="40"/>
  <c r="C159" i="8"/>
  <c r="W159" i="8" s="1"/>
  <c r="C159" i="40"/>
  <c r="C154" i="8"/>
  <c r="AB211" i="8" s="1"/>
  <c r="AT211" i="8" s="1"/>
  <c r="C154" i="40"/>
  <c r="C122" i="8"/>
  <c r="AB179" i="8" s="1"/>
  <c r="AT179" i="8" s="1"/>
  <c r="C122" i="40"/>
  <c r="C114" i="8"/>
  <c r="V114" i="8" s="1"/>
  <c r="C114" i="40"/>
  <c r="C138" i="8"/>
  <c r="D138" i="8" s="1"/>
  <c r="C138" i="40"/>
  <c r="G116" i="8"/>
  <c r="X116" i="8" s="1"/>
  <c r="AM173" i="8" s="1"/>
  <c r="AN173" i="8" s="1"/>
  <c r="G116" i="40"/>
  <c r="C139" i="8"/>
  <c r="W139" i="8" s="1"/>
  <c r="C139" i="40"/>
  <c r="G118" i="8"/>
  <c r="H118" i="8" s="1"/>
  <c r="G118" i="40"/>
  <c r="AB214" i="40"/>
  <c r="AT214" i="40" s="1"/>
  <c r="D157" i="40"/>
  <c r="W157" i="40"/>
  <c r="AL214" i="40"/>
  <c r="AK214" i="40"/>
  <c r="AJ214" i="40"/>
  <c r="AB213" i="8"/>
  <c r="AT213" i="8" s="1"/>
  <c r="D156" i="8"/>
  <c r="W156" i="8"/>
  <c r="W116" i="8"/>
  <c r="D116" i="8"/>
  <c r="AL173" i="8"/>
  <c r="AB173" i="8"/>
  <c r="AT173" i="8" s="1"/>
  <c r="AL212" i="8"/>
  <c r="C151" i="8"/>
  <c r="W151" i="8" s="1"/>
  <c r="C151" i="40"/>
  <c r="C135" i="8"/>
  <c r="W135" i="8" s="1"/>
  <c r="C135" i="40"/>
  <c r="C134" i="8"/>
  <c r="C134" i="40"/>
  <c r="C137" i="8"/>
  <c r="W137" i="8" s="1"/>
  <c r="C137" i="40"/>
  <c r="C133" i="8"/>
  <c r="W133" i="8" s="1"/>
  <c r="C133" i="40"/>
  <c r="C150" i="8"/>
  <c r="C150" i="40"/>
  <c r="C128" i="8"/>
  <c r="C128" i="40"/>
  <c r="W155" i="8"/>
  <c r="D155" i="8"/>
  <c r="AB212" i="8"/>
  <c r="AT212" i="8" s="1"/>
  <c r="AB188" i="8"/>
  <c r="AT188" i="8" s="1"/>
  <c r="D131" i="8"/>
  <c r="W131" i="8"/>
  <c r="AB203" i="40"/>
  <c r="AT203" i="40" s="1"/>
  <c r="W146" i="40"/>
  <c r="D146" i="40"/>
  <c r="AL203" i="40"/>
  <c r="AJ203" i="40"/>
  <c r="AK203" i="40"/>
  <c r="J212" i="8"/>
  <c r="AK212" i="8" s="1"/>
  <c r="K212" i="8"/>
  <c r="C143" i="8"/>
  <c r="AB200" i="8" s="1"/>
  <c r="AT200" i="8" s="1"/>
  <c r="C143" i="40"/>
  <c r="C119" i="8"/>
  <c r="W119" i="8" s="1"/>
  <c r="C119" i="40"/>
  <c r="C136" i="8"/>
  <c r="D136" i="8" s="1"/>
  <c r="C136" i="40"/>
  <c r="C118" i="8"/>
  <c r="C118" i="40"/>
  <c r="C158" i="8"/>
  <c r="AB215" i="8" s="1"/>
  <c r="AT215" i="8" s="1"/>
  <c r="C158" i="40"/>
  <c r="C132" i="8"/>
  <c r="W132" i="8" s="1"/>
  <c r="C132" i="40"/>
  <c r="C126" i="8"/>
  <c r="AB183" i="8" s="1"/>
  <c r="AT183" i="8" s="1"/>
  <c r="C126" i="40"/>
  <c r="C149" i="8"/>
  <c r="C149" i="40"/>
  <c r="AK188" i="8"/>
  <c r="AB212" i="40"/>
  <c r="AT212" i="40" s="1"/>
  <c r="D155" i="40"/>
  <c r="W155" i="40"/>
  <c r="AL212" i="40"/>
  <c r="AK212" i="40"/>
  <c r="AJ212" i="40"/>
  <c r="AB188" i="40"/>
  <c r="AT188" i="40" s="1"/>
  <c r="W131" i="40"/>
  <c r="D131" i="40"/>
  <c r="AL188" i="40"/>
  <c r="AK188" i="40"/>
  <c r="AJ188" i="40"/>
  <c r="D146" i="8"/>
  <c r="W146" i="8"/>
  <c r="AB203" i="8"/>
  <c r="AT203" i="8" s="1"/>
  <c r="C115" i="8"/>
  <c r="W115" i="8" s="1"/>
  <c r="C115" i="40"/>
  <c r="C130" i="8"/>
  <c r="W130" i="8" s="1"/>
  <c r="C130" i="40"/>
  <c r="C141" i="8"/>
  <c r="W141" i="8" s="1"/>
  <c r="C141" i="40"/>
  <c r="C129" i="8"/>
  <c r="AB186" i="8" s="1"/>
  <c r="AT186" i="8" s="1"/>
  <c r="C129" i="40"/>
  <c r="G119" i="8"/>
  <c r="X119" i="8" s="1"/>
  <c r="AM176" i="8" s="1"/>
  <c r="AN176" i="8" s="1"/>
  <c r="G119" i="40"/>
  <c r="J203" i="8"/>
  <c r="AK203" i="8" s="1"/>
  <c r="K203" i="8"/>
  <c r="AB214" i="8"/>
  <c r="AT214" i="8" s="1"/>
  <c r="W157" i="8"/>
  <c r="D157" i="8"/>
  <c r="AB213" i="40"/>
  <c r="AT213" i="40" s="1"/>
  <c r="D156" i="40"/>
  <c r="AJ213" i="40"/>
  <c r="W156" i="40"/>
  <c r="AL213" i="40"/>
  <c r="AK213" i="40"/>
  <c r="K214" i="8"/>
  <c r="J214" i="8"/>
  <c r="AK214" i="8" s="1"/>
  <c r="W116" i="40"/>
  <c r="D116" i="40"/>
  <c r="AL173" i="40"/>
  <c r="V116" i="40"/>
  <c r="K116" i="40"/>
  <c r="AB173" i="40"/>
  <c r="AT173" i="40" s="1"/>
  <c r="AJ173" i="40"/>
  <c r="AK173" i="40"/>
  <c r="AJ212" i="8"/>
  <c r="AM171" i="40"/>
  <c r="AN171" i="40" s="1"/>
  <c r="AL188" i="8"/>
  <c r="C140" i="6"/>
  <c r="C140" i="39"/>
  <c r="AB176" i="6"/>
  <c r="AT176" i="6" s="1"/>
  <c r="D119" i="6"/>
  <c r="W119" i="6"/>
  <c r="AK202" i="6"/>
  <c r="C128" i="6"/>
  <c r="W128" i="6" s="1"/>
  <c r="C128" i="39"/>
  <c r="C116" i="6"/>
  <c r="C116" i="39"/>
  <c r="C124" i="6"/>
  <c r="W124" i="6" s="1"/>
  <c r="C124" i="39"/>
  <c r="C137" i="6"/>
  <c r="W137" i="6" s="1"/>
  <c r="C137" i="39"/>
  <c r="C127" i="6"/>
  <c r="C127" i="39"/>
  <c r="C155" i="6"/>
  <c r="C155" i="39"/>
  <c r="C143" i="6"/>
  <c r="C143" i="39"/>
  <c r="C122" i="6"/>
  <c r="C122" i="39"/>
  <c r="C123" i="6"/>
  <c r="W123" i="6" s="1"/>
  <c r="C123" i="39"/>
  <c r="C131" i="6"/>
  <c r="W131" i="6" s="1"/>
  <c r="C131" i="39"/>
  <c r="AB182" i="39"/>
  <c r="AT182" i="39" s="1"/>
  <c r="D125" i="39"/>
  <c r="W125" i="39"/>
  <c r="AL182" i="39"/>
  <c r="AJ182" i="39"/>
  <c r="AK182" i="39"/>
  <c r="AB190" i="39"/>
  <c r="AT190" i="39" s="1"/>
  <c r="W133" i="39"/>
  <c r="D133" i="39"/>
  <c r="AL190" i="39"/>
  <c r="AJ190" i="39"/>
  <c r="AK190" i="39"/>
  <c r="AL175" i="6"/>
  <c r="AJ203" i="6"/>
  <c r="D146" i="6"/>
  <c r="AB203" i="6"/>
  <c r="AT203" i="6" s="1"/>
  <c r="W146" i="6"/>
  <c r="AL203" i="6"/>
  <c r="AL190" i="6"/>
  <c r="AJ175" i="6"/>
  <c r="C120" i="6"/>
  <c r="C120" i="39"/>
  <c r="C154" i="6"/>
  <c r="C154" i="39"/>
  <c r="C153" i="6"/>
  <c r="C153" i="39"/>
  <c r="AC171" i="39"/>
  <c r="AU171" i="39" s="1"/>
  <c r="H114" i="39"/>
  <c r="X114" i="39"/>
  <c r="J183" i="6"/>
  <c r="AK183" i="6" s="1"/>
  <c r="K183" i="6"/>
  <c r="C152" i="6"/>
  <c r="C152" i="39"/>
  <c r="C138" i="6"/>
  <c r="C138" i="39"/>
  <c r="C114" i="6"/>
  <c r="C114" i="39"/>
  <c r="AB182" i="6"/>
  <c r="AT182" i="6" s="1"/>
  <c r="D125" i="6"/>
  <c r="W125" i="6"/>
  <c r="AB190" i="6"/>
  <c r="AT190" i="6" s="1"/>
  <c r="D133" i="6"/>
  <c r="W133" i="6"/>
  <c r="AL182" i="6"/>
  <c r="AJ176" i="6"/>
  <c r="AB174" i="39"/>
  <c r="AT174" i="39" s="1"/>
  <c r="W117" i="39"/>
  <c r="D117" i="39"/>
  <c r="AL174" i="39"/>
  <c r="AJ174" i="39"/>
  <c r="AK174" i="39"/>
  <c r="AM175" i="6"/>
  <c r="AN175" i="6" s="1"/>
  <c r="C144" i="6"/>
  <c r="C144" i="39"/>
  <c r="C132" i="6"/>
  <c r="W132" i="6" s="1"/>
  <c r="C132" i="39"/>
  <c r="C156" i="6"/>
  <c r="C156" i="39"/>
  <c r="C139" i="6"/>
  <c r="C139" i="39"/>
  <c r="AB202" i="6"/>
  <c r="AT202" i="6" s="1"/>
  <c r="W145" i="6"/>
  <c r="AL202" i="6"/>
  <c r="D145" i="6"/>
  <c r="W146" i="39"/>
  <c r="AB203" i="39"/>
  <c r="AT203" i="39" s="1"/>
  <c r="D146" i="39"/>
  <c r="AJ203" i="39"/>
  <c r="AL203" i="39"/>
  <c r="AK203" i="39"/>
  <c r="V118" i="6"/>
  <c r="AA118" i="6" s="1"/>
  <c r="AG118" i="6" s="1"/>
  <c r="D118" i="6"/>
  <c r="AB175" i="6"/>
  <c r="AT175" i="6" s="1"/>
  <c r="K118" i="6"/>
  <c r="W118" i="6"/>
  <c r="Z118" i="6" s="1"/>
  <c r="AF118" i="6" s="1"/>
  <c r="J175" i="6"/>
  <c r="AK175" i="6" s="1"/>
  <c r="K175" i="6"/>
  <c r="C148" i="6"/>
  <c r="C148" i="39"/>
  <c r="C136" i="6"/>
  <c r="W136" i="6" s="1"/>
  <c r="C136" i="39"/>
  <c r="C147" i="6"/>
  <c r="C147" i="39"/>
  <c r="C121" i="6"/>
  <c r="C121" i="39"/>
  <c r="AK176" i="6"/>
  <c r="C115" i="6"/>
  <c r="C115" i="39"/>
  <c r="G117" i="6"/>
  <c r="G117" i="39"/>
  <c r="G113" i="6"/>
  <c r="G113" i="39"/>
  <c r="AB176" i="39"/>
  <c r="AT176" i="39" s="1"/>
  <c r="D119" i="39"/>
  <c r="W119" i="39"/>
  <c r="AL176" i="39"/>
  <c r="AJ176" i="39"/>
  <c r="AK176" i="39"/>
  <c r="AB202" i="39"/>
  <c r="AT202" i="39" s="1"/>
  <c r="W145" i="39"/>
  <c r="D145" i="39"/>
  <c r="AL202" i="39"/>
  <c r="AJ202" i="39"/>
  <c r="AK202" i="39"/>
  <c r="H114" i="6"/>
  <c r="AC171" i="6"/>
  <c r="AU171" i="6" s="1"/>
  <c r="X114" i="6"/>
  <c r="AM171" i="6" s="1"/>
  <c r="AN171" i="6" s="1"/>
  <c r="AL176" i="6"/>
  <c r="AJ174" i="6"/>
  <c r="AB174" i="6"/>
  <c r="AT174" i="6" s="1"/>
  <c r="D117" i="6"/>
  <c r="W117" i="6"/>
  <c r="AB175" i="39"/>
  <c r="AT175" i="39" s="1"/>
  <c r="D118" i="39"/>
  <c r="W118" i="39"/>
  <c r="K118" i="39"/>
  <c r="L118" i="39" s="1"/>
  <c r="V118" i="39"/>
  <c r="AL175" i="39"/>
  <c r="AJ175" i="39"/>
  <c r="AK175" i="39"/>
  <c r="G115" i="39"/>
  <c r="G115" i="6"/>
  <c r="AL174" i="6"/>
  <c r="G118" i="38"/>
  <c r="G118" i="3"/>
  <c r="C146" i="3"/>
  <c r="C146" i="38"/>
  <c r="C142" i="3"/>
  <c r="W142" i="3" s="1"/>
  <c r="C142" i="38"/>
  <c r="C135" i="3"/>
  <c r="C135" i="38"/>
  <c r="C144" i="3"/>
  <c r="C144" i="38"/>
  <c r="C121" i="3"/>
  <c r="W121" i="3" s="1"/>
  <c r="C121" i="38"/>
  <c r="C156" i="3"/>
  <c r="W156" i="3" s="1"/>
  <c r="C156" i="38"/>
  <c r="C140" i="3"/>
  <c r="W140" i="3" s="1"/>
  <c r="C140" i="38"/>
  <c r="C149" i="3"/>
  <c r="W149" i="3" s="1"/>
  <c r="C149" i="38"/>
  <c r="C131" i="3"/>
  <c r="W131" i="3" s="1"/>
  <c r="C131" i="38"/>
  <c r="C115" i="3"/>
  <c r="C115" i="38"/>
  <c r="C128" i="3"/>
  <c r="C128" i="38"/>
  <c r="C127" i="3"/>
  <c r="C127" i="38"/>
  <c r="C151" i="3"/>
  <c r="C151" i="38"/>
  <c r="C118" i="3"/>
  <c r="C118" i="38"/>
  <c r="C143" i="3"/>
  <c r="W143" i="3" s="1"/>
  <c r="C143" i="38"/>
  <c r="C129" i="3"/>
  <c r="C129" i="38"/>
  <c r="G117" i="3"/>
  <c r="G117" i="38"/>
  <c r="I195" i="3"/>
  <c r="E195" i="3"/>
  <c r="H195" i="3"/>
  <c r="AB182" i="38"/>
  <c r="AT182" i="38" s="1"/>
  <c r="W125" i="38"/>
  <c r="D125" i="38"/>
  <c r="AJ182" i="38"/>
  <c r="AK182" i="38"/>
  <c r="AL182" i="38"/>
  <c r="W155" i="3"/>
  <c r="AB212" i="3"/>
  <c r="AT212" i="3" s="1"/>
  <c r="D155" i="3"/>
  <c r="AL182" i="3"/>
  <c r="C158" i="3"/>
  <c r="W158" i="3" s="1"/>
  <c r="C158" i="38"/>
  <c r="C150" i="3"/>
  <c r="W150" i="3" s="1"/>
  <c r="C150" i="38"/>
  <c r="C141" i="3"/>
  <c r="C141" i="38"/>
  <c r="C119" i="3"/>
  <c r="W119" i="3" s="1"/>
  <c r="C119" i="38"/>
  <c r="C133" i="3"/>
  <c r="C133" i="38"/>
  <c r="C117" i="3"/>
  <c r="C117" i="38"/>
  <c r="C153" i="3"/>
  <c r="C153" i="38"/>
  <c r="C130" i="3"/>
  <c r="C130" i="38"/>
  <c r="C148" i="3"/>
  <c r="C148" i="38"/>
  <c r="G119" i="3"/>
  <c r="G119" i="38"/>
  <c r="G114" i="3"/>
  <c r="G114" i="38"/>
  <c r="C138" i="3"/>
  <c r="C138" i="38"/>
  <c r="AB182" i="3"/>
  <c r="AT182" i="3" s="1"/>
  <c r="W125" i="3"/>
  <c r="D125" i="3"/>
  <c r="AB212" i="38"/>
  <c r="AT212" i="38" s="1"/>
  <c r="D155" i="38"/>
  <c r="W155" i="38"/>
  <c r="AJ212" i="38"/>
  <c r="AL212" i="38"/>
  <c r="AK212" i="38"/>
  <c r="AJ182" i="3"/>
  <c r="C134" i="3"/>
  <c r="C134" i="38"/>
  <c r="C137" i="3"/>
  <c r="C137" i="38"/>
  <c r="C139" i="3"/>
  <c r="C139" i="38"/>
  <c r="C157" i="3"/>
  <c r="C157" i="38"/>
  <c r="C152" i="3"/>
  <c r="W152" i="3" s="1"/>
  <c r="C152" i="38"/>
  <c r="C124" i="3"/>
  <c r="W124" i="3" s="1"/>
  <c r="C124" i="38"/>
  <c r="C114" i="3"/>
  <c r="C114" i="38"/>
  <c r="C132" i="3"/>
  <c r="C132" i="38"/>
  <c r="C123" i="3"/>
  <c r="W123" i="3" s="1"/>
  <c r="C123" i="38"/>
  <c r="J177" i="3"/>
  <c r="AK177" i="3" s="1"/>
  <c r="K177" i="3"/>
  <c r="D120" i="38"/>
  <c r="W120" i="38"/>
  <c r="AB177" i="38"/>
  <c r="AT177" i="38" s="1"/>
  <c r="AJ177" i="38"/>
  <c r="AL177" i="38"/>
  <c r="AK177" i="38"/>
  <c r="C113" i="3"/>
  <c r="C113" i="38"/>
  <c r="C122" i="3"/>
  <c r="C122" i="38"/>
  <c r="C154" i="3"/>
  <c r="W154" i="3" s="1"/>
  <c r="C154" i="38"/>
  <c r="C126" i="3"/>
  <c r="C126" i="38"/>
  <c r="C145" i="3"/>
  <c r="W145" i="3" s="1"/>
  <c r="C145" i="38"/>
  <c r="C159" i="3"/>
  <c r="C159" i="38"/>
  <c r="AB177" i="3"/>
  <c r="AT177" i="3" s="1"/>
  <c r="D120" i="3"/>
  <c r="W120" i="3"/>
  <c r="AK182" i="3"/>
  <c r="DJ189" i="34"/>
  <c r="DJ176" i="34"/>
  <c r="DJ216" i="34"/>
  <c r="DJ213" i="34"/>
  <c r="DJ174" i="34"/>
  <c r="DJ183" i="34"/>
  <c r="DJ202" i="34"/>
  <c r="DJ191" i="34"/>
  <c r="DJ193" i="34"/>
  <c r="DI215" i="34"/>
  <c r="DN215" i="34" s="1"/>
  <c r="DI176" i="34"/>
  <c r="DI211" i="34"/>
  <c r="DK211" i="34" s="1"/>
  <c r="DI216" i="34"/>
  <c r="DI190" i="34"/>
  <c r="DI209" i="34"/>
  <c r="DI179" i="34"/>
  <c r="DN179" i="34" s="1"/>
  <c r="DI188" i="34"/>
  <c r="DI205" i="34"/>
  <c r="DI183" i="34"/>
  <c r="DI180" i="34"/>
  <c r="DN180" i="34" s="1"/>
  <c r="DI172" i="34"/>
  <c r="DJ175" i="34"/>
  <c r="DJ198" i="34"/>
  <c r="DJ192" i="34"/>
  <c r="DJ207" i="34"/>
  <c r="DJ186" i="34"/>
  <c r="DJ211" i="34"/>
  <c r="DJ181" i="34"/>
  <c r="DJ172" i="34"/>
  <c r="DJ179" i="34"/>
  <c r="DJ209" i="34"/>
  <c r="DJ187" i="34"/>
  <c r="DJ214" i="34"/>
  <c r="DJ203" i="34"/>
  <c r="DJ199" i="34"/>
  <c r="DI174" i="34"/>
  <c r="DN174" i="34" s="1"/>
  <c r="DI207" i="34"/>
  <c r="DI171" i="34"/>
  <c r="DN171" i="34" s="1"/>
  <c r="DI181" i="34"/>
  <c r="DI195" i="34"/>
  <c r="DK195" i="34" s="1"/>
  <c r="DI203" i="34"/>
  <c r="DI214" i="34"/>
  <c r="DN214" i="34" s="1"/>
  <c r="DI210" i="34"/>
  <c r="DI201" i="34"/>
  <c r="DK201" i="34" s="1"/>
  <c r="DI194" i="34"/>
  <c r="DI178" i="34"/>
  <c r="DI217" i="34"/>
  <c r="DI212" i="34"/>
  <c r="DK212" i="34" s="1"/>
  <c r="DJ182" i="34"/>
  <c r="DJ171" i="34"/>
  <c r="DJ180" i="34"/>
  <c r="DJ196" i="34"/>
  <c r="DJ204" i="34"/>
  <c r="DJ195" i="34"/>
  <c r="DJ218" i="34"/>
  <c r="DJ173" i="34"/>
  <c r="DJ200" i="34"/>
  <c r="DJ217" i="34"/>
  <c r="DJ212" i="34"/>
  <c r="DJ170" i="34"/>
  <c r="DJ215" i="34"/>
  <c r="DI170" i="34"/>
  <c r="DI196" i="34"/>
  <c r="DI182" i="34"/>
  <c r="DN182" i="34" s="1"/>
  <c r="DI199" i="34"/>
  <c r="DI200" i="34"/>
  <c r="DI191" i="34"/>
  <c r="DI175" i="34"/>
  <c r="DK175" i="34" s="1"/>
  <c r="DI206" i="34"/>
  <c r="DI184" i="34"/>
  <c r="DI173" i="34"/>
  <c r="DI177" i="34"/>
  <c r="DK177" i="34" s="1"/>
  <c r="DJ651" i="34"/>
  <c r="DJ632" i="34"/>
  <c r="DJ656" i="34"/>
  <c r="DH635" i="34"/>
  <c r="DG635" i="34"/>
  <c r="DD651" i="34"/>
  <c r="DJ630" i="34" s="1"/>
  <c r="DC651" i="34"/>
  <c r="DE635" i="34"/>
  <c r="DF635" i="34"/>
  <c r="DJ661" i="34"/>
  <c r="DJ615" i="34"/>
  <c r="DJ623" i="34"/>
  <c r="DJ646" i="34"/>
  <c r="DJ654" i="34"/>
  <c r="DJ616" i="34"/>
  <c r="DJ629" i="34"/>
  <c r="DJ662" i="34"/>
  <c r="DJ624" i="34"/>
  <c r="DJ628" i="34"/>
  <c r="DJ645" i="34"/>
  <c r="DJ657" i="34"/>
  <c r="DJ639" i="34"/>
  <c r="DI645" i="34"/>
  <c r="DN645" i="34" s="1"/>
  <c r="DE651" i="34"/>
  <c r="DF651" i="34"/>
  <c r="DJ626" i="34"/>
  <c r="BT618" i="34"/>
  <c r="DJ619" i="34"/>
  <c r="DJ644" i="34"/>
  <c r="DJ659" i="34"/>
  <c r="DJ622" i="34"/>
  <c r="DJ627" i="34"/>
  <c r="DJ649" i="34"/>
  <c r="DJ621" i="34"/>
  <c r="DJ631" i="34"/>
  <c r="DJ653" i="34"/>
  <c r="DJ660" i="34"/>
  <c r="DJ625" i="34"/>
  <c r="DF597" i="34"/>
  <c r="DE597" i="34"/>
  <c r="DG597" i="34"/>
  <c r="DH597" i="34"/>
  <c r="DO425" i="34"/>
  <c r="DO426" i="34"/>
  <c r="DL445" i="34"/>
  <c r="DQ445" i="34" s="1"/>
  <c r="DL432" i="34"/>
  <c r="DQ432" i="34" s="1"/>
  <c r="DL448" i="34"/>
  <c r="DQ448" i="34" s="1"/>
  <c r="DL441" i="34"/>
  <c r="DQ441" i="34" s="1"/>
  <c r="DL467" i="34"/>
  <c r="DQ467" i="34" s="1"/>
  <c r="DL452" i="34"/>
  <c r="DQ452" i="34" s="1"/>
  <c r="DL443" i="34"/>
  <c r="DQ443" i="34" s="1"/>
  <c r="DL435" i="34"/>
  <c r="DQ435" i="34" s="1"/>
  <c r="DL439" i="34"/>
  <c r="DQ439" i="34" s="1"/>
  <c r="DL454" i="34"/>
  <c r="DQ454" i="34" s="1"/>
  <c r="DL437" i="34"/>
  <c r="DQ437" i="34" s="1"/>
  <c r="DL440" i="34"/>
  <c r="DQ440" i="34" s="1"/>
  <c r="DJ470" i="34"/>
  <c r="BT425" i="34"/>
  <c r="DJ467" i="34"/>
  <c r="DJ443" i="34"/>
  <c r="DJ450" i="34"/>
  <c r="DJ455" i="34"/>
  <c r="DJ438" i="34"/>
  <c r="DJ451" i="34"/>
  <c r="DJ464" i="34"/>
  <c r="DJ449" i="34"/>
  <c r="DJ458" i="34"/>
  <c r="DJ461" i="34"/>
  <c r="DO469" i="34"/>
  <c r="DO451" i="34"/>
  <c r="DO460" i="34"/>
  <c r="DO456" i="34"/>
  <c r="DO439" i="34"/>
  <c r="DO449" i="34"/>
  <c r="DO445" i="34"/>
  <c r="DO443" i="34"/>
  <c r="DO452" i="34"/>
  <c r="DO429" i="34"/>
  <c r="DL466" i="34"/>
  <c r="DQ466" i="34" s="1"/>
  <c r="DL438" i="34"/>
  <c r="DQ438" i="34" s="1"/>
  <c r="DL468" i="34"/>
  <c r="DQ468" i="34" s="1"/>
  <c r="DL431" i="34"/>
  <c r="DQ431" i="34" s="1"/>
  <c r="DL430" i="34"/>
  <c r="DQ430" i="34" s="1"/>
  <c r="DL459" i="34"/>
  <c r="DQ459" i="34" s="1"/>
  <c r="DL423" i="34"/>
  <c r="DQ423" i="34" s="1"/>
  <c r="DL433" i="34"/>
  <c r="DQ433" i="34" s="1"/>
  <c r="DL434" i="34"/>
  <c r="DQ434" i="34" s="1"/>
  <c r="DL460" i="34"/>
  <c r="DQ460" i="34" s="1"/>
  <c r="DL426" i="34"/>
  <c r="DQ426" i="34" s="1"/>
  <c r="DL436" i="34"/>
  <c r="DQ436" i="34" s="1"/>
  <c r="DL424" i="34"/>
  <c r="DQ424" i="34" s="1"/>
  <c r="DJ469" i="34"/>
  <c r="DJ447" i="34"/>
  <c r="DJ431" i="34"/>
  <c r="DJ432" i="34"/>
  <c r="DJ422" i="34"/>
  <c r="DJ441" i="34"/>
  <c r="DJ444" i="34"/>
  <c r="DJ434" i="34"/>
  <c r="DJ454" i="34"/>
  <c r="DJ459" i="34"/>
  <c r="DJ446" i="34"/>
  <c r="DJ433" i="34"/>
  <c r="DO423" i="34"/>
  <c r="DO462" i="34"/>
  <c r="DO450" i="34"/>
  <c r="DO458" i="34"/>
  <c r="DO427" i="34"/>
  <c r="DO467" i="34"/>
  <c r="DL450" i="34"/>
  <c r="DQ450" i="34" s="1"/>
  <c r="DL461" i="34"/>
  <c r="DQ461" i="34" s="1"/>
  <c r="DL422" i="34"/>
  <c r="DQ422" i="34" s="1"/>
  <c r="DL464" i="34"/>
  <c r="DQ464" i="34" s="1"/>
  <c r="DL446" i="34"/>
  <c r="DQ446" i="34" s="1"/>
  <c r="DL447" i="34"/>
  <c r="DQ447" i="34" s="1"/>
  <c r="DL465" i="34"/>
  <c r="DQ465" i="34" s="1"/>
  <c r="DL462" i="34"/>
  <c r="DQ462" i="34" s="1"/>
  <c r="DL442" i="34"/>
  <c r="DQ442" i="34" s="1"/>
  <c r="DL449" i="34"/>
  <c r="DQ449" i="34" s="1"/>
  <c r="DL463" i="34"/>
  <c r="DQ463" i="34" s="1"/>
  <c r="DJ452" i="34"/>
  <c r="DJ427" i="34"/>
  <c r="DJ465" i="34"/>
  <c r="DJ440" i="34"/>
  <c r="DJ460" i="34"/>
  <c r="DJ425" i="34"/>
  <c r="DJ456" i="34"/>
  <c r="DJ423" i="34"/>
  <c r="DJ468" i="34"/>
  <c r="DJ426" i="34"/>
  <c r="DJ466" i="34"/>
  <c r="DJ424" i="34"/>
  <c r="DP319" i="34"/>
  <c r="DM128" i="34"/>
  <c r="DM140" i="34"/>
  <c r="DM121" i="34"/>
  <c r="DH82" i="34"/>
  <c r="Y85" i="34"/>
  <c r="DB85" i="34" s="1"/>
  <c r="DG71" i="34"/>
  <c r="DC71" i="34"/>
  <c r="DG55" i="34"/>
  <c r="DG54" i="34"/>
  <c r="EB237" i="37"/>
  <c r="EA237" i="37"/>
  <c r="EC237" i="37"/>
  <c r="ED237" i="37"/>
  <c r="DK63" i="37"/>
  <c r="DN63" i="37"/>
  <c r="DN92" i="37"/>
  <c r="DK92" i="37"/>
  <c r="DL357" i="37"/>
  <c r="DM356" i="37"/>
  <c r="DL356" i="37"/>
  <c r="DM357" i="37"/>
  <c r="DK86" i="37"/>
  <c r="DN86" i="37"/>
  <c r="DK87" i="37"/>
  <c r="DN87" i="37"/>
  <c r="DN93" i="37"/>
  <c r="DK93" i="37"/>
  <c r="DL612" i="37"/>
  <c r="DM613" i="37"/>
  <c r="DL613" i="37"/>
  <c r="DM612" i="37"/>
  <c r="DM104" i="37"/>
  <c r="DL104" i="37"/>
  <c r="DM103" i="37"/>
  <c r="DL103" i="37"/>
  <c r="DN68" i="37"/>
  <c r="DK68" i="37"/>
  <c r="DK69" i="37"/>
  <c r="DN69" i="37"/>
  <c r="DK49" i="37"/>
  <c r="DN49" i="37"/>
  <c r="DN80" i="37"/>
  <c r="DK80" i="37"/>
  <c r="DN84" i="37"/>
  <c r="DK84" i="37"/>
  <c r="BU121" i="37"/>
  <c r="BV121" i="37" s="1"/>
  <c r="BU123" i="37"/>
  <c r="BV123" i="37" s="1"/>
  <c r="BU150" i="37"/>
  <c r="BV150" i="37" s="1"/>
  <c r="BU146" i="37"/>
  <c r="BV146" i="37" s="1"/>
  <c r="BU142" i="37"/>
  <c r="BV142" i="37" s="1"/>
  <c r="BU138" i="37"/>
  <c r="BV138" i="37" s="1"/>
  <c r="BU134" i="37"/>
  <c r="BV134" i="37" s="1"/>
  <c r="BU130" i="37"/>
  <c r="BV130" i="37" s="1"/>
  <c r="BU126" i="37"/>
  <c r="BV126" i="37" s="1"/>
  <c r="BU112" i="37"/>
  <c r="BV112" i="37" s="1"/>
  <c r="BU114" i="37"/>
  <c r="BV114" i="37" s="1"/>
  <c r="BU120" i="37"/>
  <c r="BV120" i="37" s="1"/>
  <c r="BU122" i="37"/>
  <c r="BV122" i="37" s="1"/>
  <c r="BU149" i="37"/>
  <c r="BV149" i="37" s="1"/>
  <c r="BU145" i="37"/>
  <c r="BV145" i="37" s="1"/>
  <c r="BU141" i="37"/>
  <c r="BV141" i="37" s="1"/>
  <c r="BU137" i="37"/>
  <c r="BV137" i="37" s="1"/>
  <c r="BU133" i="37"/>
  <c r="BV133" i="37" s="1"/>
  <c r="BU129" i="37"/>
  <c r="BV129" i="37" s="1"/>
  <c r="BU125" i="37"/>
  <c r="BV125" i="37" s="1"/>
  <c r="BU156" i="37"/>
  <c r="BV156" i="37" s="1"/>
  <c r="BU116" i="37"/>
  <c r="BV116" i="37" s="1"/>
  <c r="BU113" i="37"/>
  <c r="BV113" i="37" s="1"/>
  <c r="BU119" i="37"/>
  <c r="BV119" i="37" s="1"/>
  <c r="BU124" i="37"/>
  <c r="BV124" i="37" s="1"/>
  <c r="BU111" i="37"/>
  <c r="BV111" i="37" s="1"/>
  <c r="BU117" i="37"/>
  <c r="BV117" i="37" s="1"/>
  <c r="BU152" i="37"/>
  <c r="BV152" i="37" s="1"/>
  <c r="BU148" i="37"/>
  <c r="BV148" i="37" s="1"/>
  <c r="BU144" i="37"/>
  <c r="BV144" i="37" s="1"/>
  <c r="BU140" i="37"/>
  <c r="BV140" i="37" s="1"/>
  <c r="BU136" i="37"/>
  <c r="BV136" i="37" s="1"/>
  <c r="BU132" i="37"/>
  <c r="BV132" i="37" s="1"/>
  <c r="BU128" i="37"/>
  <c r="BV128" i="37" s="1"/>
  <c r="BU155" i="37"/>
  <c r="BV155" i="37" s="1"/>
  <c r="BU110" i="37"/>
  <c r="BV110" i="37" s="1"/>
  <c r="BU118" i="37"/>
  <c r="BV118" i="37" s="1"/>
  <c r="BU151" i="37"/>
  <c r="BV151" i="37" s="1"/>
  <c r="BU147" i="37"/>
  <c r="BV147" i="37" s="1"/>
  <c r="BU143" i="37"/>
  <c r="BV143" i="37" s="1"/>
  <c r="BU139" i="37"/>
  <c r="BV139" i="37" s="1"/>
  <c r="BU135" i="37"/>
  <c r="BV135" i="37" s="1"/>
  <c r="BU131" i="37"/>
  <c r="BV131" i="37" s="1"/>
  <c r="BU127" i="37"/>
  <c r="BV127" i="37" s="1"/>
  <c r="BU153" i="37"/>
  <c r="BV153" i="37" s="1"/>
  <c r="BU154" i="37"/>
  <c r="BV154" i="37" s="1"/>
  <c r="BU115" i="37"/>
  <c r="BV115" i="37" s="1"/>
  <c r="DK52" i="37"/>
  <c r="DN52" i="37"/>
  <c r="DK66" i="37"/>
  <c r="DN66" i="37"/>
  <c r="DM230" i="37"/>
  <c r="DL230" i="37"/>
  <c r="DM231" i="37"/>
  <c r="DL231" i="37"/>
  <c r="DL294" i="37"/>
  <c r="DM293" i="37"/>
  <c r="DL293" i="37"/>
  <c r="DM294" i="37"/>
  <c r="DK89" i="37"/>
  <c r="DN89" i="37"/>
  <c r="BU300" i="37"/>
  <c r="BU312" i="37"/>
  <c r="BV312" i="37" s="1"/>
  <c r="BU301" i="37"/>
  <c r="BV301" i="37" s="1"/>
  <c r="BU339" i="37"/>
  <c r="BV339" i="37" s="1"/>
  <c r="BU335" i="37"/>
  <c r="BU331" i="37"/>
  <c r="BV331" i="37" s="1"/>
  <c r="BU327" i="37"/>
  <c r="BU323" i="37"/>
  <c r="BV323" i="37" s="1"/>
  <c r="BU319" i="37"/>
  <c r="BU315" i="37"/>
  <c r="BV315" i="37" s="1"/>
  <c r="BU309" i="37"/>
  <c r="BV309" i="37" s="1"/>
  <c r="BU345" i="37"/>
  <c r="BV345" i="37" s="1"/>
  <c r="BU313" i="37"/>
  <c r="BU305" i="37"/>
  <c r="BV305" i="37" s="1"/>
  <c r="BU304" i="37"/>
  <c r="BV304" i="37" s="1"/>
  <c r="BU306" i="37"/>
  <c r="BV306" i="37" s="1"/>
  <c r="BU307" i="37"/>
  <c r="BU342" i="37"/>
  <c r="BV342" i="37" s="1"/>
  <c r="BU338" i="37"/>
  <c r="BV338" i="37" s="1"/>
  <c r="BU334" i="37"/>
  <c r="BV334" i="37" s="1"/>
  <c r="BU330" i="37"/>
  <c r="BU326" i="37"/>
  <c r="BV326" i="37" s="1"/>
  <c r="BU322" i="37"/>
  <c r="BU318" i="37"/>
  <c r="BV318" i="37" s="1"/>
  <c r="BU308" i="37"/>
  <c r="BU343" i="37"/>
  <c r="BV343" i="37" s="1"/>
  <c r="BU344" i="37"/>
  <c r="BV344" i="37" s="1"/>
  <c r="BU303" i="37"/>
  <c r="BV303" i="37" s="1"/>
  <c r="BU341" i="37"/>
  <c r="BV341" i="37" s="1"/>
  <c r="BU337" i="37"/>
  <c r="BV337" i="37" s="1"/>
  <c r="BU333" i="37"/>
  <c r="BV333" i="37" s="1"/>
  <c r="BU329" i="37"/>
  <c r="BV329" i="37" s="1"/>
  <c r="BU325" i="37"/>
  <c r="BV325" i="37" s="1"/>
  <c r="BU321" i="37"/>
  <c r="BV321" i="37" s="1"/>
  <c r="BU317" i="37"/>
  <c r="BV317" i="37" s="1"/>
  <c r="BU311" i="37"/>
  <c r="BV311" i="37" s="1"/>
  <c r="BU314" i="37"/>
  <c r="BV314" i="37" s="1"/>
  <c r="BU302" i="37"/>
  <c r="BV302" i="37" s="1"/>
  <c r="BU340" i="37"/>
  <c r="BV340" i="37" s="1"/>
  <c r="BU336" i="37"/>
  <c r="BV336" i="37" s="1"/>
  <c r="BU332" i="37"/>
  <c r="BU328" i="37"/>
  <c r="BV328" i="37" s="1"/>
  <c r="BU324" i="37"/>
  <c r="BV324" i="37" s="1"/>
  <c r="BU320" i="37"/>
  <c r="BV320" i="37" s="1"/>
  <c r="BU316" i="37"/>
  <c r="BU310" i="37"/>
  <c r="BV310" i="37" s="1"/>
  <c r="BU346" i="37"/>
  <c r="BV346" i="37" s="1"/>
  <c r="DM167" i="37"/>
  <c r="DL167" i="37"/>
  <c r="DM168" i="37"/>
  <c r="DL168" i="37"/>
  <c r="DK82" i="37"/>
  <c r="DN82" i="37"/>
  <c r="DI356" i="37"/>
  <c r="DJ357" i="37"/>
  <c r="DI357" i="37"/>
  <c r="DJ356" i="37"/>
  <c r="DN53" i="37"/>
  <c r="DK53" i="37"/>
  <c r="DK51" i="37"/>
  <c r="DN51" i="37"/>
  <c r="BU216" i="37"/>
  <c r="BV216" i="37" s="1"/>
  <c r="BU212" i="37"/>
  <c r="BV212" i="37" s="1"/>
  <c r="BU208" i="37"/>
  <c r="BU219" i="37"/>
  <c r="BU180" i="37"/>
  <c r="BV180" i="37" s="1"/>
  <c r="BU187" i="37"/>
  <c r="BV187" i="37" s="1"/>
  <c r="BU184" i="37"/>
  <c r="BV184" i="37" s="1"/>
  <c r="BU190" i="37"/>
  <c r="BU194" i="37"/>
  <c r="BV194" i="37" s="1"/>
  <c r="BU198" i="37"/>
  <c r="BV198" i="37" s="1"/>
  <c r="BU202" i="37"/>
  <c r="BV202" i="37" s="1"/>
  <c r="BU215" i="37"/>
  <c r="BV215" i="37" s="1"/>
  <c r="BU211" i="37"/>
  <c r="BV211" i="37" s="1"/>
  <c r="BU207" i="37"/>
  <c r="BV207" i="37" s="1"/>
  <c r="BU217" i="37"/>
  <c r="BV217" i="37" s="1"/>
  <c r="BU176" i="37"/>
  <c r="BU179" i="37"/>
  <c r="BV179" i="37" s="1"/>
  <c r="BU183" i="37"/>
  <c r="BV183" i="37" s="1"/>
  <c r="BU189" i="37"/>
  <c r="BV189" i="37" s="1"/>
  <c r="BU193" i="37"/>
  <c r="BV193" i="37" s="1"/>
  <c r="BU197" i="37"/>
  <c r="BV197" i="37" s="1"/>
  <c r="BU201" i="37"/>
  <c r="BV201" i="37" s="1"/>
  <c r="BU186" i="37"/>
  <c r="BV186" i="37" s="1"/>
  <c r="BU214" i="37"/>
  <c r="BU210" i="37"/>
  <c r="BV210" i="37" s="1"/>
  <c r="BU206" i="37"/>
  <c r="BV206" i="37" s="1"/>
  <c r="BU178" i="37"/>
  <c r="BV178" i="37" s="1"/>
  <c r="BU188" i="37"/>
  <c r="BU182" i="37"/>
  <c r="BV182" i="37" s="1"/>
  <c r="BU192" i="37"/>
  <c r="BV192" i="37" s="1"/>
  <c r="BU196" i="37"/>
  <c r="BV196" i="37" s="1"/>
  <c r="BU200" i="37"/>
  <c r="BU204" i="37"/>
  <c r="BV204" i="37" s="1"/>
  <c r="BU218" i="37"/>
  <c r="BV218" i="37" s="1"/>
  <c r="BU220" i="37"/>
  <c r="BV220" i="37" s="1"/>
  <c r="BU175" i="37"/>
  <c r="BV175" i="37" s="1"/>
  <c r="BU181" i="37"/>
  <c r="BV181" i="37" s="1"/>
  <c r="BU213" i="37"/>
  <c r="BV213" i="37" s="1"/>
  <c r="BU209" i="37"/>
  <c r="BV209" i="37" s="1"/>
  <c r="BU205" i="37"/>
  <c r="BV205" i="37" s="1"/>
  <c r="BU177" i="37"/>
  <c r="BV177" i="37" s="1"/>
  <c r="BU174" i="37"/>
  <c r="BV174" i="37" s="1"/>
  <c r="BU185" i="37"/>
  <c r="BV185" i="37" s="1"/>
  <c r="BU191" i="37"/>
  <c r="BU195" i="37"/>
  <c r="BV195" i="37" s="1"/>
  <c r="BU199" i="37"/>
  <c r="BU203" i="37"/>
  <c r="BV203" i="37" s="1"/>
  <c r="DJ103" i="37"/>
  <c r="DI103" i="37"/>
  <c r="DJ104" i="37"/>
  <c r="DI104" i="37"/>
  <c r="DK65" i="37"/>
  <c r="DN65" i="37"/>
  <c r="BV308" i="37"/>
  <c r="BV330" i="37"/>
  <c r="BV307" i="37"/>
  <c r="BV300" i="37"/>
  <c r="BV319" i="37"/>
  <c r="BV335" i="37"/>
  <c r="BV200" i="37"/>
  <c r="DK81" i="37"/>
  <c r="DN81" i="37"/>
  <c r="DN88" i="37"/>
  <c r="DK88" i="37"/>
  <c r="DN76" i="37"/>
  <c r="DK76" i="37"/>
  <c r="DK79" i="37"/>
  <c r="DN79" i="37"/>
  <c r="BU660" i="37"/>
  <c r="BV660" i="37" s="1"/>
  <c r="BU656" i="37"/>
  <c r="BV656" i="37" s="1"/>
  <c r="BU665" i="37"/>
  <c r="BV665" i="37" s="1"/>
  <c r="BU653" i="37"/>
  <c r="BV653" i="37" s="1"/>
  <c r="BU647" i="37"/>
  <c r="BV647" i="37" s="1"/>
  <c r="BU643" i="37"/>
  <c r="BV643" i="37" s="1"/>
  <c r="BU652" i="37"/>
  <c r="BV652" i="37" s="1"/>
  <c r="BU640" i="37"/>
  <c r="BV640" i="37" s="1"/>
  <c r="BU636" i="37"/>
  <c r="BV636" i="37" s="1"/>
  <c r="BU634" i="37"/>
  <c r="BV634" i="37" s="1"/>
  <c r="BU628" i="37"/>
  <c r="BV628" i="37" s="1"/>
  <c r="BU624" i="37"/>
  <c r="BV624" i="37" s="1"/>
  <c r="BU630" i="37"/>
  <c r="BV630" i="37" s="1"/>
  <c r="BU621" i="37"/>
  <c r="BV621" i="37" s="1"/>
  <c r="BU659" i="37"/>
  <c r="BV659" i="37" s="1"/>
  <c r="BU664" i="37"/>
  <c r="BV664" i="37" s="1"/>
  <c r="BU651" i="37"/>
  <c r="BV651" i="37" s="1"/>
  <c r="BU646" i="37"/>
  <c r="BV646" i="37" s="1"/>
  <c r="BU642" i="37"/>
  <c r="BV642" i="37" s="1"/>
  <c r="BU650" i="37"/>
  <c r="BV650" i="37" s="1"/>
  <c r="BU639" i="37"/>
  <c r="BV639" i="37" s="1"/>
  <c r="BU635" i="37"/>
  <c r="BV635" i="37" s="1"/>
  <c r="BU633" i="37"/>
  <c r="BV633" i="37" s="1"/>
  <c r="BU627" i="37"/>
  <c r="BV627" i="37" s="1"/>
  <c r="BU623" i="37"/>
  <c r="BV623" i="37" s="1"/>
  <c r="BU625" i="37"/>
  <c r="BV625" i="37" s="1"/>
  <c r="BU661" i="37"/>
  <c r="BV661" i="37" s="1"/>
  <c r="BU648" i="37"/>
  <c r="BV648" i="37" s="1"/>
  <c r="BU655" i="37"/>
  <c r="BV655" i="37" s="1"/>
  <c r="BU654" i="37"/>
  <c r="BV654" i="37" s="1"/>
  <c r="BU631" i="37"/>
  <c r="BV631" i="37" s="1"/>
  <c r="BU626" i="37"/>
  <c r="BV626" i="37" s="1"/>
  <c r="BU629" i="37"/>
  <c r="BV629" i="37" s="1"/>
  <c r="BU658" i="37"/>
  <c r="BV658" i="37" s="1"/>
  <c r="BU645" i="37"/>
  <c r="BV645" i="37" s="1"/>
  <c r="BU638" i="37"/>
  <c r="BV638" i="37" s="1"/>
  <c r="BU620" i="37"/>
  <c r="BV620" i="37" s="1"/>
  <c r="BU622" i="37"/>
  <c r="BV622" i="37" s="1"/>
  <c r="BU657" i="37"/>
  <c r="BV657" i="37" s="1"/>
  <c r="BU644" i="37"/>
  <c r="BV644" i="37" s="1"/>
  <c r="BU637" i="37"/>
  <c r="BV637" i="37" s="1"/>
  <c r="BU619" i="37"/>
  <c r="BV619" i="37" s="1"/>
  <c r="BU662" i="37"/>
  <c r="BV662" i="37" s="1"/>
  <c r="BU663" i="37"/>
  <c r="BV663" i="37" s="1"/>
  <c r="BU649" i="37"/>
  <c r="BU641" i="37"/>
  <c r="BV641" i="37" s="1"/>
  <c r="BU632" i="37"/>
  <c r="BV632" i="37" s="1"/>
  <c r="BU54" i="37"/>
  <c r="BV54" i="37" s="1"/>
  <c r="BU56" i="37"/>
  <c r="BV56" i="37" s="1"/>
  <c r="BU95" i="37"/>
  <c r="BV95" i="37" s="1"/>
  <c r="BU53" i="37"/>
  <c r="BV53" i="37" s="1"/>
  <c r="BU96" i="37"/>
  <c r="BV96" i="37" s="1"/>
  <c r="BU62" i="37"/>
  <c r="BV62" i="37" s="1"/>
  <c r="BU70" i="37"/>
  <c r="BV70" i="37" s="1"/>
  <c r="BU78" i="37"/>
  <c r="BU86" i="37"/>
  <c r="BV86" i="37" s="1"/>
  <c r="BU63" i="37"/>
  <c r="BV63" i="37" s="1"/>
  <c r="BU71" i="37"/>
  <c r="BV71" i="37" s="1"/>
  <c r="BU79" i="37"/>
  <c r="BV79" i="37" s="1"/>
  <c r="BU87" i="37"/>
  <c r="BV87" i="37" s="1"/>
  <c r="BU64" i="37"/>
  <c r="BV64" i="37" s="1"/>
  <c r="BU72" i="37"/>
  <c r="BV72" i="37" s="1"/>
  <c r="BU80" i="37"/>
  <c r="BV80" i="37" s="1"/>
  <c r="BU88" i="37"/>
  <c r="BV88" i="37" s="1"/>
  <c r="BU93" i="37"/>
  <c r="BV93" i="37" s="1"/>
  <c r="BU55" i="37"/>
  <c r="BV55" i="37" s="1"/>
  <c r="BU57" i="37"/>
  <c r="BV57" i="37" s="1"/>
  <c r="BU61" i="37"/>
  <c r="BV61" i="37" s="1"/>
  <c r="BU65" i="37"/>
  <c r="BV65" i="37" s="1"/>
  <c r="BU69" i="37"/>
  <c r="BV69" i="37" s="1"/>
  <c r="BU73" i="37"/>
  <c r="BV73" i="37" s="1"/>
  <c r="BU77" i="37"/>
  <c r="BV77" i="37" s="1"/>
  <c r="BU81" i="37"/>
  <c r="BV81" i="37" s="1"/>
  <c r="BU85" i="37"/>
  <c r="BV85" i="37" s="1"/>
  <c r="BU89" i="37"/>
  <c r="BV89" i="37" s="1"/>
  <c r="BU50" i="37"/>
  <c r="BV50" i="37" s="1"/>
  <c r="BU52" i="37"/>
  <c r="BV52" i="37" s="1"/>
  <c r="BU51" i="37"/>
  <c r="BV51" i="37" s="1"/>
  <c r="BU58" i="37"/>
  <c r="BV58" i="37" s="1"/>
  <c r="BU66" i="37"/>
  <c r="BV66" i="37" s="1"/>
  <c r="BU74" i="37"/>
  <c r="BV74" i="37" s="1"/>
  <c r="BU82" i="37"/>
  <c r="BV82" i="37" s="1"/>
  <c r="BU90" i="37"/>
  <c r="BV90" i="37" s="1"/>
  <c r="BU59" i="37"/>
  <c r="BV59" i="37" s="1"/>
  <c r="BU67" i="37"/>
  <c r="BV67" i="37" s="1"/>
  <c r="BU75" i="37"/>
  <c r="BV75" i="37" s="1"/>
  <c r="BU83" i="37"/>
  <c r="BV83" i="37" s="1"/>
  <c r="BU91" i="37"/>
  <c r="BV91" i="37" s="1"/>
  <c r="BU60" i="37"/>
  <c r="BV60" i="37" s="1"/>
  <c r="BU68" i="37"/>
  <c r="BV68" i="37" s="1"/>
  <c r="BU76" i="37"/>
  <c r="BV76" i="37" s="1"/>
  <c r="BU84" i="37"/>
  <c r="BV84" i="37" s="1"/>
  <c r="BU92" i="37"/>
  <c r="BV92" i="37" s="1"/>
  <c r="BU94" i="37"/>
  <c r="BV94" i="37" s="1"/>
  <c r="DK70" i="37"/>
  <c r="DN70" i="37"/>
  <c r="DJ231" i="37"/>
  <c r="DI231" i="37"/>
  <c r="DJ230" i="37"/>
  <c r="DI230" i="37"/>
  <c r="BV649" i="37"/>
  <c r="DI293" i="37"/>
  <c r="DJ294" i="37"/>
  <c r="DI294" i="37"/>
  <c r="DJ293" i="37"/>
  <c r="DK58" i="37"/>
  <c r="DN58" i="37"/>
  <c r="DJ168" i="37"/>
  <c r="DI168" i="37"/>
  <c r="DJ167" i="37"/>
  <c r="DI167" i="37"/>
  <c r="DN48" i="37"/>
  <c r="DK48" i="37"/>
  <c r="BU432" i="37"/>
  <c r="BV432" i="37" s="1"/>
  <c r="BU431" i="37"/>
  <c r="BV431" i="37" s="1"/>
  <c r="BU430" i="37"/>
  <c r="BV430" i="37" s="1"/>
  <c r="BU468" i="37"/>
  <c r="BV468" i="37" s="1"/>
  <c r="BU464" i="37"/>
  <c r="BV464" i="37" s="1"/>
  <c r="BU472" i="37"/>
  <c r="BV472" i="37" s="1"/>
  <c r="BU457" i="37"/>
  <c r="BV457" i="37" s="1"/>
  <c r="BU453" i="37"/>
  <c r="BV453" i="37" s="1"/>
  <c r="BU449" i="37"/>
  <c r="BV449" i="37" s="1"/>
  <c r="BU445" i="37"/>
  <c r="BV445" i="37" s="1"/>
  <c r="BU441" i="37"/>
  <c r="BV441" i="37" s="1"/>
  <c r="BU435" i="37"/>
  <c r="BV435" i="37" s="1"/>
  <c r="BU440" i="37"/>
  <c r="BV440" i="37" s="1"/>
  <c r="BU433" i="37"/>
  <c r="BV433" i="37" s="1"/>
  <c r="BU467" i="37"/>
  <c r="BV467" i="37" s="1"/>
  <c r="BU463" i="37"/>
  <c r="BV463" i="37" s="1"/>
  <c r="BU460" i="37"/>
  <c r="BV460" i="37" s="1"/>
  <c r="BU456" i="37"/>
  <c r="BV456" i="37" s="1"/>
  <c r="BU452" i="37"/>
  <c r="BV452" i="37" s="1"/>
  <c r="BU448" i="37"/>
  <c r="BV448" i="37" s="1"/>
  <c r="BU444" i="37"/>
  <c r="BV444" i="37" s="1"/>
  <c r="BU434" i="37"/>
  <c r="BV434" i="37" s="1"/>
  <c r="BU429" i="37"/>
  <c r="BV429" i="37" s="1"/>
  <c r="BU466" i="37"/>
  <c r="BV466" i="37" s="1"/>
  <c r="BU462" i="37"/>
  <c r="BV462" i="37" s="1"/>
  <c r="BU470" i="37"/>
  <c r="BV470" i="37" s="1"/>
  <c r="BU459" i="37"/>
  <c r="BV459" i="37" s="1"/>
  <c r="BU455" i="37"/>
  <c r="BV455" i="37" s="1"/>
  <c r="BU451" i="37"/>
  <c r="BV451" i="37" s="1"/>
  <c r="BU447" i="37"/>
  <c r="BV447" i="37" s="1"/>
  <c r="BU443" i="37"/>
  <c r="BV443" i="37" s="1"/>
  <c r="BU437" i="37"/>
  <c r="BV437" i="37" s="1"/>
  <c r="BU426" i="37"/>
  <c r="BV426" i="37" s="1"/>
  <c r="BU471" i="37"/>
  <c r="BV471" i="37" s="1"/>
  <c r="BU465" i="37"/>
  <c r="BV465" i="37" s="1"/>
  <c r="BU461" i="37"/>
  <c r="BV461" i="37" s="1"/>
  <c r="BU469" i="37"/>
  <c r="BV469" i="37" s="1"/>
  <c r="BU458" i="37"/>
  <c r="BV458" i="37" s="1"/>
  <c r="BU454" i="37"/>
  <c r="BV454" i="37" s="1"/>
  <c r="BU450" i="37"/>
  <c r="BV450" i="37" s="1"/>
  <c r="BU446" i="37"/>
  <c r="BV446" i="37" s="1"/>
  <c r="BU442" i="37"/>
  <c r="BV442" i="37" s="1"/>
  <c r="BU436" i="37"/>
  <c r="BV436" i="37" s="1"/>
  <c r="BU439" i="37"/>
  <c r="BV439" i="37" s="1"/>
  <c r="BU438" i="37"/>
  <c r="BV438" i="37" s="1"/>
  <c r="BU427" i="37"/>
  <c r="BV427" i="37" s="1"/>
  <c r="BU428" i="37"/>
  <c r="BV428" i="37" s="1"/>
  <c r="DM548" i="37"/>
  <c r="DL548" i="37"/>
  <c r="DM547" i="37"/>
  <c r="DL547" i="37"/>
  <c r="DK56" i="37"/>
  <c r="DN56" i="37"/>
  <c r="DL484" i="37"/>
  <c r="DM483" i="37"/>
  <c r="DL483" i="37"/>
  <c r="DM484" i="37"/>
  <c r="BV78" i="37"/>
  <c r="DK62" i="37"/>
  <c r="DN62" i="37"/>
  <c r="DL420" i="37"/>
  <c r="DM419" i="37"/>
  <c r="DL419" i="37"/>
  <c r="DM420" i="37"/>
  <c r="DK50" i="37"/>
  <c r="DN50" i="37"/>
  <c r="BV188" i="37"/>
  <c r="BV176" i="37"/>
  <c r="BV199" i="37"/>
  <c r="BV191" i="37"/>
  <c r="BV219" i="37"/>
  <c r="BV214" i="37"/>
  <c r="BU368" i="37"/>
  <c r="BV368" i="37" s="1"/>
  <c r="BU383" i="37"/>
  <c r="BV383" i="37" s="1"/>
  <c r="BU370" i="37"/>
  <c r="BV370" i="37" s="1"/>
  <c r="BU404" i="37"/>
  <c r="BV404" i="37" s="1"/>
  <c r="BU400" i="37"/>
  <c r="BV400" i="37" s="1"/>
  <c r="BU396" i="37"/>
  <c r="BV396" i="37" s="1"/>
  <c r="BU392" i="37"/>
  <c r="BV392" i="37" s="1"/>
  <c r="BU388" i="37"/>
  <c r="BV388" i="37" s="1"/>
  <c r="BU384" i="37"/>
  <c r="BV384" i="37" s="1"/>
  <c r="BU409" i="37"/>
  <c r="BV409" i="37" s="1"/>
  <c r="BU376" i="37"/>
  <c r="BV376" i="37" s="1"/>
  <c r="BU367" i="37"/>
  <c r="BV367" i="37" s="1"/>
  <c r="BU377" i="37"/>
  <c r="BV377" i="37" s="1"/>
  <c r="BU363" i="37"/>
  <c r="BV363" i="37" s="1"/>
  <c r="BU371" i="37"/>
  <c r="BV371" i="37" s="1"/>
  <c r="BU372" i="37"/>
  <c r="BV372" i="37" s="1"/>
  <c r="BU373" i="37"/>
  <c r="BV373" i="37" s="1"/>
  <c r="BU374" i="37"/>
  <c r="BV374" i="37" s="1"/>
  <c r="BU378" i="37"/>
  <c r="BV378" i="37" s="1"/>
  <c r="BU379" i="37"/>
  <c r="BV379" i="37" s="1"/>
  <c r="BU380" i="37"/>
  <c r="BV380" i="37" s="1"/>
  <c r="BU381" i="37"/>
  <c r="BV381" i="37" s="1"/>
  <c r="BU382" i="37"/>
  <c r="BV382" i="37" s="1"/>
  <c r="BU403" i="37"/>
  <c r="BV403" i="37" s="1"/>
  <c r="BU399" i="37"/>
  <c r="BV399" i="37" s="1"/>
  <c r="BU395" i="37"/>
  <c r="BV395" i="37" s="1"/>
  <c r="BU391" i="37"/>
  <c r="BV391" i="37" s="1"/>
  <c r="BU387" i="37"/>
  <c r="BV387" i="37" s="1"/>
  <c r="BU408" i="37"/>
  <c r="BV408" i="37" s="1"/>
  <c r="BU366" i="37"/>
  <c r="BV366" i="37" s="1"/>
  <c r="BU402" i="37"/>
  <c r="BV402" i="37" s="1"/>
  <c r="BU398" i="37"/>
  <c r="BV398" i="37" s="1"/>
  <c r="BU394" i="37"/>
  <c r="BV394" i="37" s="1"/>
  <c r="BU390" i="37"/>
  <c r="BV390" i="37" s="1"/>
  <c r="BU386" i="37"/>
  <c r="BV386" i="37" s="1"/>
  <c r="BU406" i="37"/>
  <c r="BV406" i="37" s="1"/>
  <c r="BU407" i="37"/>
  <c r="BV407" i="37" s="1"/>
  <c r="BU365" i="37"/>
  <c r="BV365" i="37" s="1"/>
  <c r="BU364" i="37"/>
  <c r="BV364" i="37" s="1"/>
  <c r="BU375" i="37"/>
  <c r="BV375" i="37" s="1"/>
  <c r="BU405" i="37"/>
  <c r="BV405" i="37" s="1"/>
  <c r="BU401" i="37"/>
  <c r="BV401" i="37" s="1"/>
  <c r="BU397" i="37"/>
  <c r="BV397" i="37" s="1"/>
  <c r="BU393" i="37"/>
  <c r="BV393" i="37" s="1"/>
  <c r="BU389" i="37"/>
  <c r="BV389" i="37" s="1"/>
  <c r="BU385" i="37"/>
  <c r="BV385" i="37" s="1"/>
  <c r="BU369" i="37"/>
  <c r="BV369" i="37" s="1"/>
  <c r="DK85" i="37"/>
  <c r="DN85" i="37"/>
  <c r="DK73" i="37"/>
  <c r="DN73" i="37"/>
  <c r="DN94" i="37"/>
  <c r="DK94" i="37"/>
  <c r="BU494" i="37"/>
  <c r="BV494" i="37" s="1"/>
  <c r="BU504" i="37"/>
  <c r="BV504" i="37" s="1"/>
  <c r="BU536" i="37"/>
  <c r="BV536" i="37" s="1"/>
  <c r="BU530" i="37"/>
  <c r="BV530" i="37" s="1"/>
  <c r="BU526" i="37"/>
  <c r="BV526" i="37" s="1"/>
  <c r="BU522" i="37"/>
  <c r="BV522" i="37" s="1"/>
  <c r="BU518" i="37"/>
  <c r="BV518" i="37" s="1"/>
  <c r="BU514" i="37"/>
  <c r="BV514" i="37" s="1"/>
  <c r="BU510" i="37"/>
  <c r="BV510" i="37" s="1"/>
  <c r="BU506" i="37"/>
  <c r="BV506" i="37" s="1"/>
  <c r="BU496" i="37"/>
  <c r="BV496" i="37" s="1"/>
  <c r="BU493" i="37"/>
  <c r="BV493" i="37" s="1"/>
  <c r="BU491" i="37"/>
  <c r="BV491" i="37" s="1"/>
  <c r="BU502" i="37"/>
  <c r="BV502" i="37" s="1"/>
  <c r="BU529" i="37"/>
  <c r="BV529" i="37" s="1"/>
  <c r="BU525" i="37"/>
  <c r="BV525" i="37" s="1"/>
  <c r="BU521" i="37"/>
  <c r="BV521" i="37" s="1"/>
  <c r="BU517" i="37"/>
  <c r="BV517" i="37" s="1"/>
  <c r="BU513" i="37"/>
  <c r="BV513" i="37" s="1"/>
  <c r="BU509" i="37"/>
  <c r="BV509" i="37" s="1"/>
  <c r="BU535" i="37"/>
  <c r="BV535" i="37" s="1"/>
  <c r="BU503" i="37"/>
  <c r="BV503" i="37" s="1"/>
  <c r="BU490" i="37"/>
  <c r="BV490" i="37" s="1"/>
  <c r="BU498" i="37"/>
  <c r="BV498" i="37" s="1"/>
  <c r="BU499" i="37"/>
  <c r="BV499" i="37" s="1"/>
  <c r="BU500" i="37"/>
  <c r="BV500" i="37" s="1"/>
  <c r="BU501" i="37"/>
  <c r="BV501" i="37" s="1"/>
  <c r="BU505" i="37"/>
  <c r="BV505" i="37" s="1"/>
  <c r="BU497" i="37"/>
  <c r="BV497" i="37" s="1"/>
  <c r="BU534" i="37"/>
  <c r="BV534" i="37" s="1"/>
  <c r="BU532" i="37"/>
  <c r="BV532" i="37" s="1"/>
  <c r="BU528" i="37"/>
  <c r="BV528" i="37" s="1"/>
  <c r="BU524" i="37"/>
  <c r="BV524" i="37" s="1"/>
  <c r="BU520" i="37"/>
  <c r="BV520" i="37" s="1"/>
  <c r="BU516" i="37"/>
  <c r="BV516" i="37" s="1"/>
  <c r="BU512" i="37"/>
  <c r="BV512" i="37" s="1"/>
  <c r="BU508" i="37"/>
  <c r="BV508" i="37" s="1"/>
  <c r="BU533" i="37"/>
  <c r="BV533" i="37" s="1"/>
  <c r="BU495" i="37"/>
  <c r="BV495" i="37" s="1"/>
  <c r="BU531" i="37"/>
  <c r="BV531" i="37" s="1"/>
  <c r="BU527" i="37"/>
  <c r="BV527" i="37" s="1"/>
  <c r="BU523" i="37"/>
  <c r="BV523" i="37" s="1"/>
  <c r="BU519" i="37"/>
  <c r="BV519" i="37" s="1"/>
  <c r="BU515" i="37"/>
  <c r="BV515" i="37" s="1"/>
  <c r="BU511" i="37"/>
  <c r="BV511" i="37" s="1"/>
  <c r="BU507" i="37"/>
  <c r="BV507" i="37" s="1"/>
  <c r="BU492" i="37"/>
  <c r="BV492" i="37" s="1"/>
  <c r="DK83" i="37"/>
  <c r="DN83" i="37"/>
  <c r="DK71" i="37"/>
  <c r="DN71" i="37"/>
  <c r="BU594" i="37"/>
  <c r="BV594" i="37" s="1"/>
  <c r="BU590" i="37"/>
  <c r="BV590" i="37" s="1"/>
  <c r="BU586" i="37"/>
  <c r="BV586" i="37" s="1"/>
  <c r="BU582" i="37"/>
  <c r="BV582" i="37" s="1"/>
  <c r="BU578" i="37"/>
  <c r="BV578" i="37" s="1"/>
  <c r="BU588" i="37"/>
  <c r="BV588" i="37" s="1"/>
  <c r="BU572" i="37"/>
  <c r="BV572" i="37" s="1"/>
  <c r="BU573" i="37"/>
  <c r="BV573" i="37" s="1"/>
  <c r="BU561" i="37"/>
  <c r="BV561" i="37" s="1"/>
  <c r="BU574" i="37"/>
  <c r="BV574" i="37" s="1"/>
  <c r="BU569" i="37"/>
  <c r="BV569" i="37" s="1"/>
  <c r="BU563" i="37"/>
  <c r="BV563" i="37" s="1"/>
  <c r="BU554" i="37"/>
  <c r="BV554" i="37" s="1"/>
  <c r="BU558" i="37"/>
  <c r="BV558" i="37" s="1"/>
  <c r="BU599" i="37"/>
  <c r="BV599" i="37" s="1"/>
  <c r="BU593" i="37"/>
  <c r="BV593" i="37" s="1"/>
  <c r="BU585" i="37"/>
  <c r="BV585" i="37" s="1"/>
  <c r="BU581" i="37"/>
  <c r="BV581" i="37" s="1"/>
  <c r="BU577" i="37"/>
  <c r="BV577" i="37" s="1"/>
  <c r="BU600" i="37"/>
  <c r="BV600" i="37" s="1"/>
  <c r="BU562" i="37"/>
  <c r="BV562" i="37" s="1"/>
  <c r="BU557" i="37"/>
  <c r="BV557" i="37" s="1"/>
  <c r="BU597" i="37"/>
  <c r="BV597" i="37" s="1"/>
  <c r="BU596" i="37"/>
  <c r="BV596" i="37" s="1"/>
  <c r="BU592" i="37"/>
  <c r="BV592" i="37" s="1"/>
  <c r="BU584" i="37"/>
  <c r="BV584" i="37" s="1"/>
  <c r="BU580" i="37"/>
  <c r="BV580" i="37" s="1"/>
  <c r="BU576" i="37"/>
  <c r="BV576" i="37" s="1"/>
  <c r="BU589" i="37"/>
  <c r="BV589" i="37" s="1"/>
  <c r="BU567" i="37"/>
  <c r="BV567" i="37" s="1"/>
  <c r="BU571" i="37"/>
  <c r="BV571" i="37" s="1"/>
  <c r="BU565" i="37"/>
  <c r="BV565" i="37" s="1"/>
  <c r="BU568" i="37"/>
  <c r="BV568" i="37" s="1"/>
  <c r="BU595" i="37"/>
  <c r="BV595" i="37" s="1"/>
  <c r="BU591" i="37"/>
  <c r="BV591" i="37" s="1"/>
  <c r="BU587" i="37"/>
  <c r="BV587" i="37" s="1"/>
  <c r="BU583" i="37"/>
  <c r="BV583" i="37" s="1"/>
  <c r="BU579" i="37"/>
  <c r="BV579" i="37" s="1"/>
  <c r="BU575" i="37"/>
  <c r="BV575" i="37" s="1"/>
  <c r="BU598" i="37"/>
  <c r="BV598" i="37" s="1"/>
  <c r="BU560" i="37"/>
  <c r="BV560" i="37" s="1"/>
  <c r="BU556" i="37"/>
  <c r="BV556" i="37" s="1"/>
  <c r="BU566" i="37"/>
  <c r="BV566" i="37" s="1"/>
  <c r="BU555" i="37"/>
  <c r="BV555" i="37" s="1"/>
  <c r="BU570" i="37"/>
  <c r="BV570" i="37" s="1"/>
  <c r="BU564" i="37"/>
  <c r="BV564" i="37" s="1"/>
  <c r="BU559" i="37"/>
  <c r="BV559" i="37" s="1"/>
  <c r="DK59" i="37"/>
  <c r="DN59" i="37"/>
  <c r="DK55" i="37"/>
  <c r="DN55" i="37"/>
  <c r="DJ547" i="37"/>
  <c r="DI547" i="37"/>
  <c r="DJ548" i="37"/>
  <c r="DI548" i="37"/>
  <c r="DI483" i="37"/>
  <c r="DJ484" i="37"/>
  <c r="DI484" i="37"/>
  <c r="DJ483" i="37"/>
  <c r="DK74" i="37"/>
  <c r="DN74" i="37"/>
  <c r="DK75" i="37"/>
  <c r="DN75" i="37"/>
  <c r="DI613" i="37"/>
  <c r="DJ612" i="37"/>
  <c r="DI612" i="37"/>
  <c r="DJ613" i="37"/>
  <c r="BU47" i="37"/>
  <c r="DK47" i="37"/>
  <c r="DN47" i="37"/>
  <c r="BV313" i="37"/>
  <c r="BV322" i="37"/>
  <c r="BV327" i="37"/>
  <c r="BV316" i="37"/>
  <c r="BV332" i="37"/>
  <c r="DI419" i="37"/>
  <c r="DJ420" i="37"/>
  <c r="DI420" i="37"/>
  <c r="DJ419" i="37"/>
  <c r="DN72" i="37"/>
  <c r="DK72" i="37"/>
  <c r="BV208" i="37"/>
  <c r="BV190" i="37"/>
  <c r="BU298" i="34"/>
  <c r="BU311" i="34" s="1"/>
  <c r="W65" i="34"/>
  <c r="CZ65" i="34" s="1"/>
  <c r="W93" i="34"/>
  <c r="CZ93" i="34" s="1"/>
  <c r="DD93" i="34" s="1"/>
  <c r="DG50" i="34"/>
  <c r="DH50" i="34"/>
  <c r="DD61" i="34"/>
  <c r="DC61" i="34"/>
  <c r="Y57" i="34"/>
  <c r="DB57" i="34" s="1"/>
  <c r="DH57" i="34" s="1"/>
  <c r="Y62" i="34"/>
  <c r="DB62" i="34" s="1"/>
  <c r="DG62" i="34" s="1"/>
  <c r="W60" i="34"/>
  <c r="CZ60" i="34" s="1"/>
  <c r="Y93" i="34"/>
  <c r="DB93" i="34" s="1"/>
  <c r="DH93" i="34" s="1"/>
  <c r="W62" i="34"/>
  <c r="CZ62" i="34" s="1"/>
  <c r="DC62" i="34" s="1"/>
  <c r="W85" i="34"/>
  <c r="CZ85" i="34" s="1"/>
  <c r="DC85" i="34" s="1"/>
  <c r="DG61" i="34"/>
  <c r="DH61" i="34"/>
  <c r="DD77" i="34"/>
  <c r="DC77" i="34"/>
  <c r="DD94" i="34"/>
  <c r="DC94" i="34"/>
  <c r="DD82" i="34"/>
  <c r="DC82" i="34"/>
  <c r="DH94" i="34"/>
  <c r="DG94" i="34"/>
  <c r="DH77" i="34"/>
  <c r="DG77" i="34"/>
  <c r="BT326" i="2"/>
  <c r="BT302" i="2"/>
  <c r="BT334" i="2"/>
  <c r="BT316" i="2"/>
  <c r="BT337" i="2"/>
  <c r="BT320" i="2"/>
  <c r="BT338" i="2"/>
  <c r="BT314" i="2"/>
  <c r="BT335" i="2"/>
  <c r="BT308" i="2"/>
  <c r="BT329" i="2"/>
  <c r="BT301" i="2"/>
  <c r="BT333" i="2"/>
  <c r="BT309" i="2"/>
  <c r="BT341" i="2"/>
  <c r="BT319" i="2"/>
  <c r="BT344" i="2"/>
  <c r="BT324" i="2"/>
  <c r="BT345" i="2"/>
  <c r="BT321" i="2"/>
  <c r="BT339" i="2"/>
  <c r="BT311" i="2"/>
  <c r="BT336" i="2"/>
  <c r="BT310" i="2"/>
  <c r="BT342" i="2"/>
  <c r="BT318" i="2"/>
  <c r="BT305" i="2"/>
  <c r="BT323" i="2"/>
  <c r="BT306" i="2"/>
  <c r="BT327" i="2"/>
  <c r="BT303" i="2"/>
  <c r="BT328" i="2"/>
  <c r="BT346" i="2"/>
  <c r="BT315" i="2"/>
  <c r="BT340" i="2"/>
  <c r="BT317" i="2"/>
  <c r="BT300" i="2"/>
  <c r="BT325" i="2"/>
  <c r="BT312" i="2"/>
  <c r="BT330" i="2"/>
  <c r="BT313" i="2"/>
  <c r="BT331" i="2"/>
  <c r="BT307" i="2"/>
  <c r="BT332" i="2"/>
  <c r="BT304" i="2"/>
  <c r="BT322" i="2"/>
  <c r="BT343" i="2"/>
  <c r="DK645" i="34"/>
  <c r="O173" i="3"/>
  <c r="B9" i="43" s="1"/>
  <c r="Y116" i="3"/>
  <c r="DD376" i="2"/>
  <c r="DC376" i="2"/>
  <c r="DF555" i="2"/>
  <c r="DE555" i="2"/>
  <c r="DG506" i="2"/>
  <c r="DH506" i="2"/>
  <c r="DH369" i="2"/>
  <c r="DG369" i="2"/>
  <c r="DG378" i="2"/>
  <c r="DH378" i="2"/>
  <c r="DC119" i="2"/>
  <c r="DD119" i="2"/>
  <c r="DG493" i="2"/>
  <c r="DH493" i="2"/>
  <c r="DL373" i="2"/>
  <c r="DQ373" i="2" s="1"/>
  <c r="DL391" i="2"/>
  <c r="DQ391" i="2" s="1"/>
  <c r="DL375" i="2"/>
  <c r="DQ375" i="2" s="1"/>
  <c r="DL380" i="2"/>
  <c r="DQ380" i="2" s="1"/>
  <c r="DL396" i="2"/>
  <c r="DQ396" i="2" s="1"/>
  <c r="DL397" i="2"/>
  <c r="DQ397" i="2" s="1"/>
  <c r="DL371" i="2"/>
  <c r="DQ371" i="2" s="1"/>
  <c r="DL389" i="2"/>
  <c r="DQ389" i="2" s="1"/>
  <c r="DL369" i="2"/>
  <c r="DQ369" i="2" s="1"/>
  <c r="DL378" i="2"/>
  <c r="DQ378" i="2" s="1"/>
  <c r="DL394" i="2"/>
  <c r="DQ394" i="2" s="1"/>
  <c r="DL395" i="2"/>
  <c r="DQ395" i="2" s="1"/>
  <c r="DD252" i="2"/>
  <c r="DC252" i="2"/>
  <c r="DH386" i="2"/>
  <c r="DG386" i="2"/>
  <c r="DD187" i="2"/>
  <c r="DC187" i="2"/>
  <c r="DG560" i="2"/>
  <c r="DO589" i="2" s="1"/>
  <c r="DH560" i="2"/>
  <c r="DP575" i="2" s="1"/>
  <c r="DG89" i="34"/>
  <c r="DH89" i="34"/>
  <c r="DC51" i="34"/>
  <c r="DD51" i="34"/>
  <c r="DK143" i="34"/>
  <c r="DN143" i="34"/>
  <c r="DN122" i="34"/>
  <c r="DK122" i="34"/>
  <c r="DK134" i="34"/>
  <c r="DN134" i="34"/>
  <c r="DN139" i="34"/>
  <c r="DK139" i="34"/>
  <c r="DN133" i="34"/>
  <c r="DK133" i="34"/>
  <c r="DN142" i="34"/>
  <c r="DK142" i="34"/>
  <c r="DN112" i="34"/>
  <c r="DK112" i="34"/>
  <c r="DK153" i="34"/>
  <c r="DN153" i="34"/>
  <c r="DC579" i="34"/>
  <c r="DI585" i="34" s="1"/>
  <c r="DD579" i="34"/>
  <c r="DH361" i="34"/>
  <c r="DG361" i="34"/>
  <c r="E186" i="3"/>
  <c r="AJ186" i="3" s="1"/>
  <c r="I186" i="3"/>
  <c r="H186" i="3"/>
  <c r="AL186" i="3" s="1"/>
  <c r="DG511" i="2"/>
  <c r="DH511" i="2"/>
  <c r="DC201" i="2"/>
  <c r="DD201" i="2"/>
  <c r="DH315" i="2"/>
  <c r="DG315" i="2"/>
  <c r="DC203" i="2"/>
  <c r="DD203" i="2"/>
  <c r="DM370" i="2"/>
  <c r="DM383" i="2"/>
  <c r="DM372" i="2"/>
  <c r="DM387" i="2"/>
  <c r="DM374" i="2"/>
  <c r="DM391" i="2"/>
  <c r="DM390" i="2"/>
  <c r="DM396" i="2"/>
  <c r="DM381" i="2"/>
  <c r="DM398" i="2"/>
  <c r="DM386" i="2"/>
  <c r="DM376" i="2"/>
  <c r="DM401" i="2"/>
  <c r="DH318" i="2"/>
  <c r="DG318" i="2"/>
  <c r="DC386" i="2"/>
  <c r="DD386" i="2"/>
  <c r="DC253" i="2"/>
  <c r="DD253" i="2"/>
  <c r="DD88" i="34"/>
  <c r="DC88" i="34"/>
  <c r="DE636" i="2"/>
  <c r="DF636" i="2"/>
  <c r="DD65" i="34"/>
  <c r="DC65" i="34"/>
  <c r="DK467" i="34"/>
  <c r="DN467" i="34"/>
  <c r="DN422" i="34"/>
  <c r="DK422" i="34"/>
  <c r="DK433" i="34"/>
  <c r="DN433" i="34"/>
  <c r="DN458" i="34"/>
  <c r="DK458" i="34"/>
  <c r="DK451" i="34"/>
  <c r="DN451" i="34"/>
  <c r="DK428" i="34"/>
  <c r="DN428" i="34"/>
  <c r="DN438" i="34"/>
  <c r="DK438" i="34"/>
  <c r="DN456" i="34"/>
  <c r="DK456" i="34"/>
  <c r="DN437" i="34"/>
  <c r="DK437" i="34"/>
  <c r="DK459" i="34"/>
  <c r="DN459" i="34"/>
  <c r="DK445" i="34"/>
  <c r="DN445" i="34"/>
  <c r="DK444" i="34"/>
  <c r="DN444" i="34"/>
  <c r="DK469" i="34"/>
  <c r="DN469" i="34"/>
  <c r="DP230" i="34"/>
  <c r="DO231" i="34"/>
  <c r="DP231" i="34"/>
  <c r="DO230" i="34"/>
  <c r="DC492" i="34"/>
  <c r="DD492" i="34"/>
  <c r="BF14" i="6"/>
  <c r="AN14" i="6"/>
  <c r="BG14" i="6" s="1"/>
  <c r="AB67" i="6"/>
  <c r="C107" i="11"/>
  <c r="D107" i="11" s="1"/>
  <c r="E107" i="11" s="1"/>
  <c r="AM60" i="8"/>
  <c r="AE60" i="8"/>
  <c r="AN63" i="8"/>
  <c r="S116" i="8"/>
  <c r="DH376" i="2"/>
  <c r="DG376" i="2"/>
  <c r="DL306" i="2"/>
  <c r="DQ306" i="2" s="1"/>
  <c r="DL314" i="2"/>
  <c r="DQ314" i="2" s="1"/>
  <c r="DL332" i="2"/>
  <c r="DQ332" i="2" s="1"/>
  <c r="DL325" i="2"/>
  <c r="DQ325" i="2" s="1"/>
  <c r="DL304" i="2"/>
  <c r="DQ304" i="2" s="1"/>
  <c r="DL336" i="2"/>
  <c r="DQ336" i="2" s="1"/>
  <c r="DL329" i="2"/>
  <c r="DQ329" i="2" s="1"/>
  <c r="DL308" i="2"/>
  <c r="DQ308" i="2" s="1"/>
  <c r="DL340" i="2"/>
  <c r="DQ340" i="2" s="1"/>
  <c r="DL333" i="2"/>
  <c r="DQ333" i="2" s="1"/>
  <c r="DL313" i="2"/>
  <c r="DQ313" i="2" s="1"/>
  <c r="DL299" i="2"/>
  <c r="DQ299" i="2" s="1"/>
  <c r="DE260" i="2"/>
  <c r="DF260" i="2"/>
  <c r="DC316" i="2"/>
  <c r="DD316" i="2"/>
  <c r="DL532" i="2"/>
  <c r="DQ532" i="2" s="1"/>
  <c r="DL528" i="2"/>
  <c r="DQ528" i="2" s="1"/>
  <c r="DL524" i="2"/>
  <c r="DQ524" i="2" s="1"/>
  <c r="DL520" i="2"/>
  <c r="DQ520" i="2" s="1"/>
  <c r="DL516" i="2"/>
  <c r="DQ516" i="2" s="1"/>
  <c r="DL512" i="2"/>
  <c r="DQ512" i="2" s="1"/>
  <c r="DL508" i="2"/>
  <c r="DQ508" i="2" s="1"/>
  <c r="DL503" i="2"/>
  <c r="DQ503" i="2" s="1"/>
  <c r="DL498" i="2"/>
  <c r="DQ498" i="2" s="1"/>
  <c r="DL493" i="2"/>
  <c r="DQ493" i="2" s="1"/>
  <c r="DL486" i="2"/>
  <c r="DQ486" i="2" s="1"/>
  <c r="DL490" i="2"/>
  <c r="DQ490" i="2" s="1"/>
  <c r="DL531" i="2"/>
  <c r="DQ531" i="2" s="1"/>
  <c r="DL527" i="2"/>
  <c r="DQ527" i="2" s="1"/>
  <c r="DL523" i="2"/>
  <c r="DQ523" i="2" s="1"/>
  <c r="DL519" i="2"/>
  <c r="DQ519" i="2" s="1"/>
  <c r="DL515" i="2"/>
  <c r="DQ515" i="2" s="1"/>
  <c r="DL511" i="2"/>
  <c r="DQ511" i="2" s="1"/>
  <c r="DL507" i="2"/>
  <c r="DQ507" i="2" s="1"/>
  <c r="DL501" i="2"/>
  <c r="DQ501" i="2" s="1"/>
  <c r="DL497" i="2"/>
  <c r="DQ497" i="2" s="1"/>
  <c r="DL491" i="2"/>
  <c r="DQ491" i="2" s="1"/>
  <c r="DL496" i="2"/>
  <c r="DQ496" i="2" s="1"/>
  <c r="DL487" i="2"/>
  <c r="DQ487" i="2" s="1"/>
  <c r="DL534" i="2"/>
  <c r="DQ534" i="2" s="1"/>
  <c r="DL530" i="2"/>
  <c r="DQ530" i="2" s="1"/>
  <c r="DL526" i="2"/>
  <c r="DQ526" i="2" s="1"/>
  <c r="DL522" i="2"/>
  <c r="DQ522" i="2" s="1"/>
  <c r="DL518" i="2"/>
  <c r="DQ518" i="2" s="1"/>
  <c r="DL514" i="2"/>
  <c r="DQ514" i="2" s="1"/>
  <c r="DL510" i="2"/>
  <c r="DQ510" i="2" s="1"/>
  <c r="DL506" i="2"/>
  <c r="DQ506" i="2" s="1"/>
  <c r="DL500" i="2"/>
  <c r="DQ500" i="2" s="1"/>
  <c r="DL495" i="2"/>
  <c r="DQ495" i="2" s="1"/>
  <c r="DL504" i="2"/>
  <c r="DQ504" i="2" s="1"/>
  <c r="DL488" i="2"/>
  <c r="DQ488" i="2" s="1"/>
  <c r="DL533" i="2"/>
  <c r="DQ533" i="2" s="1"/>
  <c r="DL529" i="2"/>
  <c r="DQ529" i="2" s="1"/>
  <c r="DL525" i="2"/>
  <c r="DQ525" i="2" s="1"/>
  <c r="DL521" i="2"/>
  <c r="DQ521" i="2" s="1"/>
  <c r="DL517" i="2"/>
  <c r="DQ517" i="2" s="1"/>
  <c r="DL513" i="2"/>
  <c r="DQ513" i="2" s="1"/>
  <c r="DL509" i="2"/>
  <c r="DQ509" i="2" s="1"/>
  <c r="DL505" i="2"/>
  <c r="DQ505" i="2" s="1"/>
  <c r="DL499" i="2"/>
  <c r="DQ499" i="2" s="1"/>
  <c r="DL494" i="2"/>
  <c r="DQ494" i="2" s="1"/>
  <c r="DL502" i="2"/>
  <c r="DQ502" i="2" s="1"/>
  <c r="DL492" i="2"/>
  <c r="DQ492" i="2" s="1"/>
  <c r="DL489" i="2"/>
  <c r="DQ489" i="2" s="1"/>
  <c r="DH442" i="2"/>
  <c r="DG442" i="2"/>
  <c r="DG135" i="2"/>
  <c r="DH135" i="2"/>
  <c r="DG72" i="34"/>
  <c r="DH72" i="34"/>
  <c r="CE17" i="31"/>
  <c r="CD16" i="31"/>
  <c r="CD17" i="31"/>
  <c r="CE16" i="31"/>
  <c r="DF74" i="34"/>
  <c r="DE74" i="34"/>
  <c r="DN304" i="34"/>
  <c r="DK304" i="34"/>
  <c r="DN319" i="34"/>
  <c r="DK319" i="34"/>
  <c r="DK340" i="34"/>
  <c r="DN340" i="34"/>
  <c r="DK299" i="34"/>
  <c r="DN299" i="34"/>
  <c r="DK317" i="34"/>
  <c r="DN317" i="34"/>
  <c r="DN315" i="34"/>
  <c r="DK315" i="34"/>
  <c r="DN323" i="34"/>
  <c r="DK323" i="34"/>
  <c r="DK305" i="34"/>
  <c r="DN305" i="34"/>
  <c r="DN343" i="34"/>
  <c r="DK343" i="34"/>
  <c r="DK321" i="34"/>
  <c r="DN321" i="34"/>
  <c r="DK311" i="34"/>
  <c r="DN311" i="34"/>
  <c r="DK338" i="34"/>
  <c r="DN338" i="34"/>
  <c r="DK309" i="34"/>
  <c r="DN309" i="34"/>
  <c r="DO420" i="34"/>
  <c r="DI554" i="34"/>
  <c r="DI563" i="34"/>
  <c r="DI578" i="34"/>
  <c r="DI552" i="34"/>
  <c r="DI575" i="34"/>
  <c r="DI571" i="34"/>
  <c r="DI567" i="34"/>
  <c r="DI582" i="34"/>
  <c r="DI581" i="34"/>
  <c r="DI573" i="34"/>
  <c r="DI589" i="34"/>
  <c r="DI555" i="34"/>
  <c r="DL138" i="34"/>
  <c r="DQ138" i="34" s="1"/>
  <c r="DL148" i="34"/>
  <c r="DQ148" i="34" s="1"/>
  <c r="DL115" i="34"/>
  <c r="DQ115" i="34" s="1"/>
  <c r="DL154" i="34"/>
  <c r="DQ154" i="34" s="1"/>
  <c r="DL135" i="34"/>
  <c r="DQ135" i="34" s="1"/>
  <c r="DL141" i="34"/>
  <c r="DQ141" i="34" s="1"/>
  <c r="DL127" i="34"/>
  <c r="DQ127" i="34" s="1"/>
  <c r="DL150" i="34"/>
  <c r="DQ150" i="34" s="1"/>
  <c r="DL151" i="34"/>
  <c r="DQ151" i="34" s="1"/>
  <c r="DL108" i="34"/>
  <c r="DQ108" i="34" s="1"/>
  <c r="DL142" i="34"/>
  <c r="DQ142" i="34" s="1"/>
  <c r="DL131" i="34"/>
  <c r="DQ131" i="34" s="1"/>
  <c r="DK197" i="34"/>
  <c r="DN197" i="34"/>
  <c r="DK192" i="34"/>
  <c r="DN192" i="34"/>
  <c r="DN198" i="34"/>
  <c r="DK198" i="34"/>
  <c r="DK185" i="34"/>
  <c r="DN185" i="34"/>
  <c r="DK213" i="34"/>
  <c r="DN213" i="34"/>
  <c r="DK218" i="34"/>
  <c r="DN218" i="34"/>
  <c r="DK193" i="34"/>
  <c r="DN193" i="34"/>
  <c r="DN202" i="34"/>
  <c r="DK202" i="34"/>
  <c r="DK204" i="34"/>
  <c r="DN204" i="34"/>
  <c r="DK186" i="34"/>
  <c r="DN186" i="34"/>
  <c r="DK187" i="34"/>
  <c r="DN187" i="34"/>
  <c r="DK208" i="34"/>
  <c r="DN208" i="34"/>
  <c r="DP294" i="34"/>
  <c r="DO294" i="34"/>
  <c r="DP293" i="34"/>
  <c r="DO293" i="34"/>
  <c r="DE180" i="34"/>
  <c r="DF180" i="34"/>
  <c r="AC171" i="3"/>
  <c r="AU171" i="3" s="1"/>
  <c r="H114" i="3"/>
  <c r="X113" i="6"/>
  <c r="AC170" i="6"/>
  <c r="AU170" i="6" s="1"/>
  <c r="H113" i="6"/>
  <c r="K113" i="6"/>
  <c r="V113" i="6"/>
  <c r="DM301" i="2"/>
  <c r="DM328" i="2"/>
  <c r="DM308" i="2"/>
  <c r="DM325" i="2"/>
  <c r="DM312" i="2"/>
  <c r="DM334" i="2"/>
  <c r="DM314" i="2"/>
  <c r="DM305" i="2"/>
  <c r="DM326" i="2"/>
  <c r="DM341" i="2"/>
  <c r="DM296" i="2"/>
  <c r="DM306" i="2"/>
  <c r="DF624" i="2"/>
  <c r="DE624" i="2"/>
  <c r="DE59" i="34"/>
  <c r="DF59" i="34"/>
  <c r="DC72" i="34"/>
  <c r="DD72" i="34"/>
  <c r="AP22" i="31"/>
  <c r="DI637" i="34"/>
  <c r="DI656" i="34"/>
  <c r="DI620" i="34"/>
  <c r="DI650" i="34"/>
  <c r="DI660" i="34"/>
  <c r="DI617" i="34"/>
  <c r="DI634" i="34"/>
  <c r="DI652" i="34"/>
  <c r="DI661" i="34"/>
  <c r="DI623" i="34"/>
  <c r="DI633" i="34"/>
  <c r="DI649" i="34"/>
  <c r="DJ143" i="34"/>
  <c r="DJ142" i="34"/>
  <c r="DJ123" i="34"/>
  <c r="DJ114" i="34"/>
  <c r="DJ152" i="34"/>
  <c r="DJ122" i="34"/>
  <c r="DJ121" i="34"/>
  <c r="DJ116" i="34"/>
  <c r="DJ147" i="34"/>
  <c r="DJ148" i="34"/>
  <c r="DJ118" i="34"/>
  <c r="DJ108" i="34"/>
  <c r="DK257" i="34"/>
  <c r="DN257" i="34"/>
  <c r="DN236" i="34"/>
  <c r="DK236" i="34"/>
  <c r="DN277" i="34"/>
  <c r="DK277" i="34"/>
  <c r="DN254" i="34"/>
  <c r="DK254" i="34"/>
  <c r="DN255" i="34"/>
  <c r="DK255" i="34"/>
  <c r="DK244" i="34"/>
  <c r="DN244" i="34"/>
  <c r="DK267" i="34"/>
  <c r="DN267" i="34"/>
  <c r="DN250" i="34"/>
  <c r="DK250" i="34"/>
  <c r="DK251" i="34"/>
  <c r="DN251" i="34"/>
  <c r="DK271" i="34"/>
  <c r="DN271" i="34"/>
  <c r="DN264" i="34"/>
  <c r="DK264" i="34"/>
  <c r="DP316" i="34"/>
  <c r="DP301" i="34"/>
  <c r="DP336" i="34"/>
  <c r="DP326" i="34"/>
  <c r="DP322" i="34"/>
  <c r="DP305" i="34"/>
  <c r="DP320" i="34"/>
  <c r="DP321" i="34"/>
  <c r="DP297" i="34"/>
  <c r="DP343" i="34"/>
  <c r="DP323" i="34"/>
  <c r="DP318" i="34"/>
  <c r="DF579" i="34"/>
  <c r="DM594" i="34" s="1"/>
  <c r="DE579" i="34"/>
  <c r="DL580" i="34" s="1"/>
  <c r="DQ580" i="34" s="1"/>
  <c r="C5" i="11"/>
  <c r="D5" i="11" s="1"/>
  <c r="E5" i="11" s="1"/>
  <c r="AM60" i="3"/>
  <c r="AC175" i="8"/>
  <c r="AU175" i="8" s="1"/>
  <c r="DC139" i="2"/>
  <c r="DD139" i="2"/>
  <c r="DG449" i="2"/>
  <c r="DH449" i="2"/>
  <c r="DC435" i="2"/>
  <c r="DD435" i="2"/>
  <c r="DG302" i="2"/>
  <c r="DH302" i="2"/>
  <c r="DD315" i="2"/>
  <c r="DC315" i="2"/>
  <c r="DL379" i="2"/>
  <c r="DQ379" i="2" s="1"/>
  <c r="DL400" i="2"/>
  <c r="DQ400" i="2" s="1"/>
  <c r="DL364" i="2"/>
  <c r="DQ364" i="2" s="1"/>
  <c r="DL384" i="2"/>
  <c r="DQ384" i="2" s="1"/>
  <c r="DL363" i="2"/>
  <c r="DQ363" i="2" s="1"/>
  <c r="DL401" i="2"/>
  <c r="DQ401" i="2" s="1"/>
  <c r="DL376" i="2"/>
  <c r="DQ376" i="2" s="1"/>
  <c r="DL393" i="2"/>
  <c r="DQ393" i="2" s="1"/>
  <c r="DL398" i="2"/>
  <c r="DQ398" i="2" s="1"/>
  <c r="DL382" i="2"/>
  <c r="DQ382" i="2" s="1"/>
  <c r="DL404" i="2"/>
  <c r="DQ404" i="2" s="1"/>
  <c r="DL399" i="2"/>
  <c r="DQ399" i="2" s="1"/>
  <c r="DC516" i="2"/>
  <c r="DD516" i="2"/>
  <c r="DH304" i="2"/>
  <c r="DG304" i="2"/>
  <c r="DC135" i="2"/>
  <c r="DD135" i="2"/>
  <c r="DH387" i="2"/>
  <c r="DG387" i="2"/>
  <c r="DF89" i="34"/>
  <c r="DE89" i="34"/>
  <c r="DE51" i="34"/>
  <c r="DF51" i="34"/>
  <c r="DK136" i="34"/>
  <c r="DN136" i="34"/>
  <c r="DK141" i="34"/>
  <c r="DN141" i="34"/>
  <c r="DN137" i="34"/>
  <c r="DK137" i="34"/>
  <c r="DK135" i="34"/>
  <c r="DN135" i="34"/>
  <c r="DK127" i="34"/>
  <c r="DN127" i="34"/>
  <c r="DK120" i="34"/>
  <c r="DN120" i="34"/>
  <c r="DK118" i="34"/>
  <c r="DN118" i="34"/>
  <c r="DK151" i="34"/>
  <c r="DN151" i="34"/>
  <c r="DN146" i="34"/>
  <c r="DK146" i="34"/>
  <c r="DE361" i="34"/>
  <c r="DF361" i="34"/>
  <c r="H119" i="3"/>
  <c r="AC176" i="3"/>
  <c r="AU176" i="3" s="1"/>
  <c r="X119" i="3"/>
  <c r="AM176" i="3" s="1"/>
  <c r="AN176" i="3" s="1"/>
  <c r="AB186" i="3"/>
  <c r="AT186" i="3" s="1"/>
  <c r="W129" i="3"/>
  <c r="D129" i="3"/>
  <c r="E198" i="8"/>
  <c r="AJ198" i="8" s="1"/>
  <c r="I198" i="8"/>
  <c r="H198" i="8"/>
  <c r="AL198" i="8" s="1"/>
  <c r="O175" i="6"/>
  <c r="B66" i="43" s="1"/>
  <c r="Y118" i="6"/>
  <c r="AB118" i="6" s="1"/>
  <c r="AH118" i="6" s="1"/>
  <c r="DC132" i="2"/>
  <c r="DD132" i="2"/>
  <c r="DG134" i="2"/>
  <c r="DH134" i="2"/>
  <c r="DC125" i="2"/>
  <c r="DD125" i="2"/>
  <c r="DG641" i="2"/>
  <c r="DH641" i="2"/>
  <c r="DD261" i="2"/>
  <c r="DC261" i="2"/>
  <c r="DM382" i="2"/>
  <c r="DM361" i="2"/>
  <c r="DM384" i="2"/>
  <c r="DM365" i="2"/>
  <c r="DM388" i="2"/>
  <c r="DM375" i="2"/>
  <c r="DM397" i="2"/>
  <c r="DM360" i="2"/>
  <c r="DM389" i="2"/>
  <c r="DM406" i="2"/>
  <c r="DM394" i="2"/>
  <c r="DM385" i="2"/>
  <c r="DM402" i="2"/>
  <c r="DH184" i="2"/>
  <c r="DG184" i="2"/>
  <c r="DC362" i="2"/>
  <c r="DD362" i="2"/>
  <c r="DC112" i="2"/>
  <c r="DD112" i="2"/>
  <c r="DJ139" i="2" s="1"/>
  <c r="DC304" i="2"/>
  <c r="DD304" i="2"/>
  <c r="DD60" i="34"/>
  <c r="DC60" i="34"/>
  <c r="DH87" i="34"/>
  <c r="DG87" i="34"/>
  <c r="DE65" i="34"/>
  <c r="DF65" i="34"/>
  <c r="DK465" i="34"/>
  <c r="DN465" i="34"/>
  <c r="DN435" i="34"/>
  <c r="DK435" i="34"/>
  <c r="DK455" i="34"/>
  <c r="DN455" i="34"/>
  <c r="DK441" i="34"/>
  <c r="DN441" i="34"/>
  <c r="DN447" i="34"/>
  <c r="DK447" i="34"/>
  <c r="DN470" i="34"/>
  <c r="DK470" i="34"/>
  <c r="DN424" i="34"/>
  <c r="DK424" i="34"/>
  <c r="DK457" i="34"/>
  <c r="DN457" i="34"/>
  <c r="DN460" i="34"/>
  <c r="DK460" i="34"/>
  <c r="DK446" i="34"/>
  <c r="DN446" i="34"/>
  <c r="DN434" i="34"/>
  <c r="DK434" i="34"/>
  <c r="DK454" i="34"/>
  <c r="DN454" i="34"/>
  <c r="BT111" i="34"/>
  <c r="BT122" i="34"/>
  <c r="BT142" i="34"/>
  <c r="BT125" i="34"/>
  <c r="BT134" i="34"/>
  <c r="BT148" i="34"/>
  <c r="BT112" i="34"/>
  <c r="BT153" i="34"/>
  <c r="BT131" i="34"/>
  <c r="BT133" i="34"/>
  <c r="BT146" i="34"/>
  <c r="BT114" i="34"/>
  <c r="BT149" i="34"/>
  <c r="BT127" i="34"/>
  <c r="BT155" i="34"/>
  <c r="BT118" i="34"/>
  <c r="BT138" i="34"/>
  <c r="BT144" i="34"/>
  <c r="BT115" i="34"/>
  <c r="BT154" i="34"/>
  <c r="BT139" i="34"/>
  <c r="BT137" i="34"/>
  <c r="BT124" i="34"/>
  <c r="BT129" i="34"/>
  <c r="BT145" i="34"/>
  <c r="BT135" i="34"/>
  <c r="BT121" i="34"/>
  <c r="BT126" i="34"/>
  <c r="BT156" i="34"/>
  <c r="BT120" i="34"/>
  <c r="BT116" i="34"/>
  <c r="BT151" i="34"/>
  <c r="BT141" i="34"/>
  <c r="BT110" i="34"/>
  <c r="BT128" i="34"/>
  <c r="BT113" i="34"/>
  <c r="BT119" i="34"/>
  <c r="BT140" i="34"/>
  <c r="BT123" i="34"/>
  <c r="BT130" i="34"/>
  <c r="BT152" i="34"/>
  <c r="BT132" i="34"/>
  <c r="BT117" i="34"/>
  <c r="BT147" i="34"/>
  <c r="BT143" i="34"/>
  <c r="BT150" i="34"/>
  <c r="BT136" i="34"/>
  <c r="DF492" i="34"/>
  <c r="DM487" i="34" s="1"/>
  <c r="DE492" i="34"/>
  <c r="DL505" i="34" s="1"/>
  <c r="DQ505" i="34" s="1"/>
  <c r="DL554" i="34"/>
  <c r="DQ554" i="34" s="1"/>
  <c r="DL583" i="34"/>
  <c r="DQ583" i="34" s="1"/>
  <c r="DL579" i="34"/>
  <c r="DQ579" i="34" s="1"/>
  <c r="DL573" i="34"/>
  <c r="DQ573" i="34" s="1"/>
  <c r="DL576" i="34"/>
  <c r="DQ576" i="34" s="1"/>
  <c r="DL560" i="34"/>
  <c r="DQ560" i="34" s="1"/>
  <c r="DL593" i="34"/>
  <c r="DQ593" i="34" s="1"/>
  <c r="DL566" i="34"/>
  <c r="DQ566" i="34" s="1"/>
  <c r="DL577" i="34"/>
  <c r="DQ577" i="34" s="1"/>
  <c r="DL578" i="34"/>
  <c r="DQ578" i="34" s="1"/>
  <c r="DL596" i="34"/>
  <c r="DQ596" i="34" s="1"/>
  <c r="DJ378" i="34"/>
  <c r="DJ403" i="34"/>
  <c r="DJ375" i="34"/>
  <c r="DJ390" i="34"/>
  <c r="DJ360" i="34"/>
  <c r="DJ384" i="34"/>
  <c r="DJ386" i="34"/>
  <c r="DJ359" i="34"/>
  <c r="DJ380" i="34"/>
  <c r="DJ406" i="34"/>
  <c r="BT362" i="34"/>
  <c r="DJ392" i="34"/>
  <c r="DJ365" i="34"/>
  <c r="DJ362" i="34"/>
  <c r="DJ399" i="34"/>
  <c r="DJ387" i="34"/>
  <c r="DJ376" i="34"/>
  <c r="DJ402" i="34"/>
  <c r="DJ372" i="34"/>
  <c r="DJ374" i="34"/>
  <c r="DJ401" i="34"/>
  <c r="DJ407" i="34"/>
  <c r="DJ382" i="34"/>
  <c r="DJ404" i="34"/>
  <c r="DJ377" i="34"/>
  <c r="DJ373" i="34"/>
  <c r="DJ395" i="34"/>
  <c r="DJ370" i="34"/>
  <c r="DJ389" i="34"/>
  <c r="DJ398" i="34"/>
  <c r="DJ383" i="34"/>
  <c r="DJ385" i="34"/>
  <c r="DJ397" i="34"/>
  <c r="DJ379" i="34"/>
  <c r="DJ367" i="34"/>
  <c r="DJ400" i="34"/>
  <c r="DJ391" i="34"/>
  <c r="DJ405" i="34"/>
  <c r="DJ361" i="34"/>
  <c r="DJ388" i="34"/>
  <c r="DJ363" i="34"/>
  <c r="DJ366" i="34"/>
  <c r="DJ394" i="34"/>
  <c r="DJ369" i="34"/>
  <c r="DJ364" i="34"/>
  <c r="DJ393" i="34"/>
  <c r="DJ368" i="34"/>
  <c r="DJ381" i="34"/>
  <c r="DJ396" i="34"/>
  <c r="DJ371" i="34"/>
  <c r="AN14" i="8"/>
  <c r="BG14" i="8" s="1"/>
  <c r="BF14" i="8"/>
  <c r="AB67" i="8"/>
  <c r="AN64" i="6"/>
  <c r="R117" i="6"/>
  <c r="DL334" i="2"/>
  <c r="DQ334" i="2" s="1"/>
  <c r="DL335" i="2"/>
  <c r="DQ335" i="2" s="1"/>
  <c r="DL316" i="2"/>
  <c r="DQ316" i="2" s="1"/>
  <c r="DL307" i="2"/>
  <c r="DQ307" i="2" s="1"/>
  <c r="DL339" i="2"/>
  <c r="DQ339" i="2" s="1"/>
  <c r="DL320" i="2"/>
  <c r="DQ320" i="2" s="1"/>
  <c r="DL311" i="2"/>
  <c r="DQ311" i="2" s="1"/>
  <c r="DL343" i="2"/>
  <c r="DQ343" i="2" s="1"/>
  <c r="DL324" i="2"/>
  <c r="DQ324" i="2" s="1"/>
  <c r="DL317" i="2"/>
  <c r="DQ317" i="2" s="1"/>
  <c r="DL298" i="2"/>
  <c r="DQ298" i="2" s="1"/>
  <c r="DL328" i="2"/>
  <c r="DQ328" i="2" s="1"/>
  <c r="DD573" i="2"/>
  <c r="DC573" i="2"/>
  <c r="DH194" i="2"/>
  <c r="DG194" i="2"/>
  <c r="DD641" i="2"/>
  <c r="DC641" i="2"/>
  <c r="DM527" i="2"/>
  <c r="DM519" i="2"/>
  <c r="DM511" i="2"/>
  <c r="DM501" i="2"/>
  <c r="DM491" i="2"/>
  <c r="DM487" i="2"/>
  <c r="DM526" i="2"/>
  <c r="DM518" i="2"/>
  <c r="DM510" i="2"/>
  <c r="DM500" i="2"/>
  <c r="DM489" i="2"/>
  <c r="DM486" i="2"/>
  <c r="DM533" i="2"/>
  <c r="DM525" i="2"/>
  <c r="DM517" i="2"/>
  <c r="DM509" i="2"/>
  <c r="DM499" i="2"/>
  <c r="DM502" i="2"/>
  <c r="DM532" i="2"/>
  <c r="DM524" i="2"/>
  <c r="DM516" i="2"/>
  <c r="DM508" i="2"/>
  <c r="DM498" i="2"/>
  <c r="DM504" i="2"/>
  <c r="BT488" i="2"/>
  <c r="DM531" i="2"/>
  <c r="DM523" i="2"/>
  <c r="DM515" i="2"/>
  <c r="DM507" i="2"/>
  <c r="DM497" i="2"/>
  <c r="DM496" i="2"/>
  <c r="DM530" i="2"/>
  <c r="DM522" i="2"/>
  <c r="DM514" i="2"/>
  <c r="DM506" i="2"/>
  <c r="DM495" i="2"/>
  <c r="DM490" i="2"/>
  <c r="DM534" i="2"/>
  <c r="DM529" i="2"/>
  <c r="DM521" i="2"/>
  <c r="DM513" i="2"/>
  <c r="DM505" i="2"/>
  <c r="DM494" i="2"/>
  <c r="DM492" i="2"/>
  <c r="DM528" i="2"/>
  <c r="DM520" i="2"/>
  <c r="DM512" i="2"/>
  <c r="DM503" i="2"/>
  <c r="DM493" i="2"/>
  <c r="DM488" i="2"/>
  <c r="DD387" i="2"/>
  <c r="DC387" i="2"/>
  <c r="DH90" i="34"/>
  <c r="DG90" i="34"/>
  <c r="DF84" i="34"/>
  <c r="DE84" i="34"/>
  <c r="DE57" i="34"/>
  <c r="DF57" i="34"/>
  <c r="Y74" i="34"/>
  <c r="DB74" i="34" s="1"/>
  <c r="DN342" i="34"/>
  <c r="DK342" i="34"/>
  <c r="DK314" i="34"/>
  <c r="DN314" i="34"/>
  <c r="DN339" i="34"/>
  <c r="DK339" i="34"/>
  <c r="DK325" i="34"/>
  <c r="DN325" i="34"/>
  <c r="DN330" i="34"/>
  <c r="DK330" i="34"/>
  <c r="DK301" i="34"/>
  <c r="DN301" i="34"/>
  <c r="DK344" i="34"/>
  <c r="DN344" i="34"/>
  <c r="DN316" i="34"/>
  <c r="DK316" i="34"/>
  <c r="DK312" i="34"/>
  <c r="DN312" i="34"/>
  <c r="DN335" i="34"/>
  <c r="DK335" i="34"/>
  <c r="DK308" i="34"/>
  <c r="DN308" i="34"/>
  <c r="DK310" i="34"/>
  <c r="DN310" i="34"/>
  <c r="DI558" i="34"/>
  <c r="DI597" i="34"/>
  <c r="DI553" i="34"/>
  <c r="DI591" i="34"/>
  <c r="DI559" i="34"/>
  <c r="DI570" i="34"/>
  <c r="DI588" i="34"/>
  <c r="DI592" i="34"/>
  <c r="DI576" i="34"/>
  <c r="DI594" i="34"/>
  <c r="DI565" i="34"/>
  <c r="DI593" i="34"/>
  <c r="DL112" i="34"/>
  <c r="DQ112" i="34" s="1"/>
  <c r="DL111" i="34"/>
  <c r="DQ111" i="34" s="1"/>
  <c r="DL121" i="34"/>
  <c r="DQ121" i="34" s="1"/>
  <c r="DL124" i="34"/>
  <c r="DQ124" i="34" s="1"/>
  <c r="DL147" i="34"/>
  <c r="DQ147" i="34" s="1"/>
  <c r="DL119" i="34"/>
  <c r="DQ119" i="34" s="1"/>
  <c r="DL149" i="34"/>
  <c r="DQ149" i="34" s="1"/>
  <c r="DL113" i="34"/>
  <c r="DQ113" i="34" s="1"/>
  <c r="DL126" i="34"/>
  <c r="DQ126" i="34" s="1"/>
  <c r="DL139" i="34"/>
  <c r="DQ139" i="34" s="1"/>
  <c r="DL122" i="34"/>
  <c r="DQ122" i="34" s="1"/>
  <c r="DL145" i="34"/>
  <c r="DQ145" i="34" s="1"/>
  <c r="DK215" i="34"/>
  <c r="DN176" i="34"/>
  <c r="DK176" i="34"/>
  <c r="DN211" i="34"/>
  <c r="DK216" i="34"/>
  <c r="DN216" i="34"/>
  <c r="DK190" i="34"/>
  <c r="DN190" i="34"/>
  <c r="DK209" i="34"/>
  <c r="DN209" i="34"/>
  <c r="DK179" i="34"/>
  <c r="DK188" i="34"/>
  <c r="DN188" i="34"/>
  <c r="DN205" i="34"/>
  <c r="DK205" i="34"/>
  <c r="DK183" i="34"/>
  <c r="DN183" i="34"/>
  <c r="DK180" i="34"/>
  <c r="DK172" i="34"/>
  <c r="DN172" i="34"/>
  <c r="DM583" i="34"/>
  <c r="DM574" i="34"/>
  <c r="DM562" i="34"/>
  <c r="DM572" i="34"/>
  <c r="DM554" i="34"/>
  <c r="DM595" i="34"/>
  <c r="DM563" i="34"/>
  <c r="DM586" i="34"/>
  <c r="DM552" i="34"/>
  <c r="DM564" i="34"/>
  <c r="DM581" i="34"/>
  <c r="DM587" i="34"/>
  <c r="DM299" i="2"/>
  <c r="DM337" i="2"/>
  <c r="DM319" i="2"/>
  <c r="DM338" i="2"/>
  <c r="DM320" i="2"/>
  <c r="DM343" i="2"/>
  <c r="DM317" i="2"/>
  <c r="DM298" i="2"/>
  <c r="DM335" i="2"/>
  <c r="DM307" i="2"/>
  <c r="DM336" i="2"/>
  <c r="DM318" i="2"/>
  <c r="Y624" i="2"/>
  <c r="DB624" i="2" s="1"/>
  <c r="DD90" i="34"/>
  <c r="DC90" i="34"/>
  <c r="DC429" i="2"/>
  <c r="DI451" i="2" s="1"/>
  <c r="DD429" i="2"/>
  <c r="DJ422" i="2" s="1"/>
  <c r="DE72" i="34"/>
  <c r="DF72" i="34"/>
  <c r="DH79" i="34"/>
  <c r="DG79" i="34"/>
  <c r="DG85" i="34"/>
  <c r="DH85" i="34"/>
  <c r="DI662" i="34"/>
  <c r="DI631" i="34"/>
  <c r="DI640" i="34"/>
  <c r="DI659" i="34"/>
  <c r="DI629" i="34"/>
  <c r="DI635" i="34"/>
  <c r="DI648" i="34"/>
  <c r="DI615" i="34"/>
  <c r="DI622" i="34"/>
  <c r="DI642" i="34"/>
  <c r="DI655" i="34"/>
  <c r="DI618" i="34"/>
  <c r="DJ109" i="34"/>
  <c r="DJ146" i="34"/>
  <c r="DJ145" i="34"/>
  <c r="DJ150" i="34"/>
  <c r="DJ131" i="34"/>
  <c r="DJ153" i="34"/>
  <c r="DJ138" i="34"/>
  <c r="DJ139" i="34"/>
  <c r="DJ115" i="34"/>
  <c r="DJ107" i="34"/>
  <c r="DJ110" i="34"/>
  <c r="DJ144" i="34"/>
  <c r="DN240" i="34"/>
  <c r="DK240" i="34"/>
  <c r="DN276" i="34"/>
  <c r="DK276" i="34"/>
  <c r="DK246" i="34"/>
  <c r="DN246" i="34"/>
  <c r="DN247" i="34"/>
  <c r="DK247" i="34"/>
  <c r="DK243" i="34"/>
  <c r="DN243" i="34"/>
  <c r="DK266" i="34"/>
  <c r="DN266" i="34"/>
  <c r="DK248" i="34"/>
  <c r="DN248" i="34"/>
  <c r="DK239" i="34"/>
  <c r="DN239" i="34"/>
  <c r="DK270" i="34"/>
  <c r="DN270" i="34"/>
  <c r="DN260" i="34"/>
  <c r="DK260" i="34"/>
  <c r="DN235" i="34"/>
  <c r="DK235" i="34"/>
  <c r="DP296" i="34"/>
  <c r="DP311" i="34"/>
  <c r="DP337" i="34"/>
  <c r="DP340" i="34"/>
  <c r="DP344" i="34"/>
  <c r="DP309" i="34"/>
  <c r="DP300" i="34"/>
  <c r="DP338" i="34"/>
  <c r="DP307" i="34"/>
  <c r="DP306" i="34"/>
  <c r="DP312" i="34"/>
  <c r="DP314" i="34"/>
  <c r="DH629" i="34"/>
  <c r="DG629" i="34"/>
  <c r="DO525" i="34"/>
  <c r="DO510" i="34"/>
  <c r="DO511" i="34"/>
  <c r="DO530" i="34"/>
  <c r="DO504" i="34"/>
  <c r="DO505" i="34"/>
  <c r="DO534" i="34"/>
  <c r="DO503" i="34"/>
  <c r="DO507" i="34"/>
  <c r="DO524" i="34"/>
  <c r="DO491" i="34"/>
  <c r="DO498" i="34"/>
  <c r="DO526" i="34"/>
  <c r="DO489" i="34"/>
  <c r="DO501" i="34"/>
  <c r="DO527" i="34"/>
  <c r="DO487" i="34"/>
  <c r="DO513" i="34"/>
  <c r="DO529" i="34"/>
  <c r="DO502" i="34"/>
  <c r="DO506" i="34"/>
  <c r="DO509" i="34"/>
  <c r="DO486" i="34"/>
  <c r="DO508" i="34"/>
  <c r="DO500" i="34"/>
  <c r="DO519" i="34"/>
  <c r="DO488" i="34"/>
  <c r="DO494" i="34"/>
  <c r="DO516" i="34"/>
  <c r="DO531" i="34"/>
  <c r="DO495" i="34"/>
  <c r="DO512" i="34"/>
  <c r="DO515" i="34"/>
  <c r="DO490" i="34"/>
  <c r="DO514" i="34"/>
  <c r="DO517" i="34"/>
  <c r="DO518" i="34"/>
  <c r="DO493" i="34"/>
  <c r="DO496" i="34"/>
  <c r="DO522" i="34"/>
  <c r="DO497" i="34"/>
  <c r="DO499" i="34"/>
  <c r="DO520" i="34"/>
  <c r="DO532" i="34"/>
  <c r="DO528" i="34"/>
  <c r="DO521" i="34"/>
  <c r="DO533" i="34"/>
  <c r="DO492" i="34"/>
  <c r="DO523" i="34"/>
  <c r="AN61" i="6"/>
  <c r="R114" i="6"/>
  <c r="BB45" i="31"/>
  <c r="BC44" i="31"/>
  <c r="BI44" i="31" s="1"/>
  <c r="DH132" i="2"/>
  <c r="DG132" i="2"/>
  <c r="DH630" i="2"/>
  <c r="DG630" i="2"/>
  <c r="DG313" i="2"/>
  <c r="DH313" i="2"/>
  <c r="DC134" i="2"/>
  <c r="DD134" i="2"/>
  <c r="DG237" i="2"/>
  <c r="DO265" i="2" s="1"/>
  <c r="DH237" i="2"/>
  <c r="DP273" i="2" s="1"/>
  <c r="DD194" i="2"/>
  <c r="DC194" i="2"/>
  <c r="DI175" i="2" s="1"/>
  <c r="DH127" i="2"/>
  <c r="DG127" i="2"/>
  <c r="DG113" i="2"/>
  <c r="DO150" i="2" s="1"/>
  <c r="DH113" i="2"/>
  <c r="DP133" i="2" s="1"/>
  <c r="DG259" i="2"/>
  <c r="DH259" i="2"/>
  <c r="DL407" i="2"/>
  <c r="DQ407" i="2" s="1"/>
  <c r="DL383" i="2"/>
  <c r="DQ383" i="2" s="1"/>
  <c r="DL362" i="2"/>
  <c r="DQ362" i="2" s="1"/>
  <c r="DL370" i="2"/>
  <c r="DQ370" i="2" s="1"/>
  <c r="DL388" i="2"/>
  <c r="DQ388" i="2" s="1"/>
  <c r="DL359" i="2"/>
  <c r="DQ359" i="2" s="1"/>
  <c r="DL405" i="2"/>
  <c r="DQ405" i="2" s="1"/>
  <c r="DL381" i="2"/>
  <c r="DQ381" i="2" s="1"/>
  <c r="DL406" i="2"/>
  <c r="DQ406" i="2" s="1"/>
  <c r="DL367" i="2"/>
  <c r="DQ367" i="2" s="1"/>
  <c r="DL386" i="2"/>
  <c r="DQ386" i="2" s="1"/>
  <c r="DL361" i="2"/>
  <c r="DQ361" i="2" s="1"/>
  <c r="DL403" i="2"/>
  <c r="DQ403" i="2" s="1"/>
  <c r="DC384" i="2"/>
  <c r="DD384" i="2"/>
  <c r="DM212" i="2"/>
  <c r="DM204" i="2"/>
  <c r="DM196" i="2"/>
  <c r="DM187" i="2"/>
  <c r="DM210" i="2"/>
  <c r="DM202" i="2"/>
  <c r="DM194" i="2"/>
  <c r="DM184" i="2"/>
  <c r="DM188" i="2"/>
  <c r="BT172" i="2"/>
  <c r="DM211" i="2"/>
  <c r="DM203" i="2"/>
  <c r="DM195" i="2"/>
  <c r="DM185" i="2"/>
  <c r="DM175" i="2"/>
  <c r="DM172" i="2"/>
  <c r="DM214" i="2"/>
  <c r="DM206" i="2"/>
  <c r="DM198" i="2"/>
  <c r="DM190" i="2"/>
  <c r="DM179" i="2"/>
  <c r="DM173" i="2"/>
  <c r="DM215" i="2"/>
  <c r="DM207" i="2"/>
  <c r="DM199" i="2"/>
  <c r="DM191" i="2"/>
  <c r="DM181" i="2"/>
  <c r="DM180" i="2"/>
  <c r="DM170" i="2"/>
  <c r="DM192" i="2"/>
  <c r="DM218" i="2"/>
  <c r="DM205" i="2"/>
  <c r="DM189" i="2"/>
  <c r="DM176" i="2"/>
  <c r="DM216" i="2"/>
  <c r="DM182" i="2"/>
  <c r="DM217" i="2"/>
  <c r="DM201" i="2"/>
  <c r="DM183" i="2"/>
  <c r="DM171" i="2"/>
  <c r="DM208" i="2"/>
  <c r="DM177" i="2"/>
  <c r="DM213" i="2"/>
  <c r="DM197" i="2"/>
  <c r="DM178" i="2"/>
  <c r="DM200" i="2"/>
  <c r="DM174" i="2"/>
  <c r="DM209" i="2"/>
  <c r="DM193" i="2"/>
  <c r="DM186" i="2"/>
  <c r="DH59" i="34"/>
  <c r="DG59" i="34"/>
  <c r="DL621" i="2"/>
  <c r="DQ621" i="2" s="1"/>
  <c r="DL661" i="2"/>
  <c r="DQ661" i="2" s="1"/>
  <c r="DL651" i="2"/>
  <c r="DQ651" i="2" s="1"/>
  <c r="DL647" i="2"/>
  <c r="DQ647" i="2" s="1"/>
  <c r="DL643" i="2"/>
  <c r="DQ643" i="2" s="1"/>
  <c r="DL639" i="2"/>
  <c r="DQ639" i="2" s="1"/>
  <c r="DL635" i="2"/>
  <c r="DQ635" i="2" s="1"/>
  <c r="DL629" i="2"/>
  <c r="DQ629" i="2" s="1"/>
  <c r="DL624" i="2"/>
  <c r="DQ624" i="2" s="1"/>
  <c r="DL633" i="2"/>
  <c r="DQ633" i="2" s="1"/>
  <c r="DL617" i="2"/>
  <c r="DQ617" i="2" s="1"/>
  <c r="DL662" i="2"/>
  <c r="DQ662" i="2" s="1"/>
  <c r="DL658" i="2"/>
  <c r="DQ658" i="2" s="1"/>
  <c r="DL654" i="2"/>
  <c r="DQ654" i="2" s="1"/>
  <c r="DL650" i="2"/>
  <c r="DQ650" i="2" s="1"/>
  <c r="DL646" i="2"/>
  <c r="DQ646" i="2" s="1"/>
  <c r="DL642" i="2"/>
  <c r="DQ642" i="2" s="1"/>
  <c r="DL638" i="2"/>
  <c r="DQ638" i="2" s="1"/>
  <c r="DL634" i="2"/>
  <c r="DQ634" i="2" s="1"/>
  <c r="DL628" i="2"/>
  <c r="DQ628" i="2" s="1"/>
  <c r="DL623" i="2"/>
  <c r="DQ623" i="2" s="1"/>
  <c r="DL663" i="2"/>
  <c r="DQ663" i="2" s="1"/>
  <c r="DL631" i="2"/>
  <c r="DQ631" i="2" s="1"/>
  <c r="DL616" i="2"/>
  <c r="DQ616" i="2" s="1"/>
  <c r="DL655" i="2"/>
  <c r="DQ655" i="2" s="1"/>
  <c r="DL625" i="2"/>
  <c r="DQ625" i="2" s="1"/>
  <c r="DL659" i="2"/>
  <c r="DQ659" i="2" s="1"/>
  <c r="DL653" i="2"/>
  <c r="DQ653" i="2" s="1"/>
  <c r="DL649" i="2"/>
  <c r="DQ649" i="2" s="1"/>
  <c r="DL645" i="2"/>
  <c r="DQ645" i="2" s="1"/>
  <c r="DL641" i="2"/>
  <c r="DQ641" i="2" s="1"/>
  <c r="DL637" i="2"/>
  <c r="DQ637" i="2" s="1"/>
  <c r="DL632" i="2"/>
  <c r="DQ632" i="2" s="1"/>
  <c r="DL627" i="2"/>
  <c r="DQ627" i="2" s="1"/>
  <c r="DL622" i="2"/>
  <c r="DQ622" i="2" s="1"/>
  <c r="DL615" i="2"/>
  <c r="DQ615" i="2" s="1"/>
  <c r="DL619" i="2"/>
  <c r="DQ619" i="2" s="1"/>
  <c r="DL660" i="2"/>
  <c r="DQ660" i="2" s="1"/>
  <c r="DL656" i="2"/>
  <c r="DQ656" i="2" s="1"/>
  <c r="DL652" i="2"/>
  <c r="DQ652" i="2" s="1"/>
  <c r="DL648" i="2"/>
  <c r="DQ648" i="2" s="1"/>
  <c r="DL644" i="2"/>
  <c r="DQ644" i="2" s="1"/>
  <c r="DL640" i="2"/>
  <c r="DQ640" i="2" s="1"/>
  <c r="DL636" i="2"/>
  <c r="DQ636" i="2" s="1"/>
  <c r="DL630" i="2"/>
  <c r="DQ630" i="2" s="1"/>
  <c r="DL626" i="2"/>
  <c r="DQ626" i="2" s="1"/>
  <c r="DL620" i="2"/>
  <c r="DQ620" i="2" s="1"/>
  <c r="DL618" i="2"/>
  <c r="DQ618" i="2" s="1"/>
  <c r="DL657" i="2"/>
  <c r="DQ657" i="2" s="1"/>
  <c r="DH88" i="34"/>
  <c r="DG88" i="34"/>
  <c r="DC87" i="34"/>
  <c r="DD87" i="34"/>
  <c r="DG49" i="34"/>
  <c r="DH49" i="34"/>
  <c r="DK117" i="34"/>
  <c r="DN117" i="34"/>
  <c r="DN106" i="34"/>
  <c r="DK106" i="34"/>
  <c r="DK121" i="34"/>
  <c r="DN121" i="34"/>
  <c r="DN108" i="34"/>
  <c r="DK108" i="34"/>
  <c r="DK107" i="34"/>
  <c r="DN107" i="34"/>
  <c r="DK113" i="34"/>
  <c r="DN113" i="34"/>
  <c r="DK148" i="34"/>
  <c r="DN148" i="34"/>
  <c r="DK140" i="34"/>
  <c r="DN140" i="34"/>
  <c r="AB198" i="8"/>
  <c r="AT198" i="8" s="1"/>
  <c r="D141" i="8"/>
  <c r="DG322" i="2"/>
  <c r="DH322" i="2"/>
  <c r="DH573" i="2"/>
  <c r="DG573" i="2"/>
  <c r="DC237" i="2"/>
  <c r="DD237" i="2"/>
  <c r="DD498" i="2"/>
  <c r="DC498" i="2"/>
  <c r="DI518" i="2" s="1"/>
  <c r="DM392" i="2"/>
  <c r="DM400" i="2"/>
  <c r="DM399" i="2"/>
  <c r="DM404" i="2"/>
  <c r="DM363" i="2"/>
  <c r="DM364" i="2"/>
  <c r="DM379" i="2"/>
  <c r="DM405" i="2"/>
  <c r="DM403" i="2"/>
  <c r="DM367" i="2"/>
  <c r="DM377" i="2"/>
  <c r="DM393" i="2"/>
  <c r="DG248" i="2"/>
  <c r="DH248" i="2"/>
  <c r="DD442" i="2"/>
  <c r="DC442" i="2"/>
  <c r="DC251" i="2"/>
  <c r="DD251" i="2"/>
  <c r="DG645" i="2"/>
  <c r="DH645" i="2"/>
  <c r="DD52" i="34"/>
  <c r="DC52" i="34"/>
  <c r="Y60" i="34"/>
  <c r="DB60" i="34" s="1"/>
  <c r="W636" i="2"/>
  <c r="CZ636" i="2" s="1"/>
  <c r="DE87" i="34"/>
  <c r="DF87" i="34"/>
  <c r="BU423" i="34"/>
  <c r="BU424" i="34"/>
  <c r="DN427" i="34"/>
  <c r="DK427" i="34"/>
  <c r="DN466" i="34"/>
  <c r="DK466" i="34"/>
  <c r="DN468" i="34"/>
  <c r="DK468" i="34"/>
  <c r="DK450" i="34"/>
  <c r="DN450" i="34"/>
  <c r="DK464" i="34"/>
  <c r="DN464" i="34"/>
  <c r="DN426" i="34"/>
  <c r="DK426" i="34"/>
  <c r="DK440" i="34"/>
  <c r="DN440" i="34"/>
  <c r="DK462" i="34"/>
  <c r="DN462" i="34"/>
  <c r="DK442" i="34"/>
  <c r="DN442" i="34"/>
  <c r="DK463" i="34"/>
  <c r="DN463" i="34"/>
  <c r="DK425" i="34"/>
  <c r="DN425" i="34"/>
  <c r="DK439" i="34"/>
  <c r="DN439" i="34"/>
  <c r="BT340" i="34"/>
  <c r="BT312" i="34"/>
  <c r="BT320" i="34"/>
  <c r="BT331" i="34"/>
  <c r="BT321" i="34"/>
  <c r="BT319" i="34"/>
  <c r="BT334" i="34"/>
  <c r="BT328" i="34"/>
  <c r="BT325" i="34"/>
  <c r="BT324" i="34"/>
  <c r="BT345" i="34"/>
  <c r="BT326" i="34"/>
  <c r="BT336" i="34"/>
  <c r="BT313" i="34"/>
  <c r="BT329" i="34"/>
  <c r="BT343" i="34"/>
  <c r="BT310" i="34"/>
  <c r="BT306" i="34"/>
  <c r="BT346" i="34"/>
  <c r="BT304" i="34"/>
  <c r="BT307" i="34"/>
  <c r="BT341" i="34"/>
  <c r="BT344" i="34"/>
  <c r="BT300" i="34"/>
  <c r="BT332" i="34"/>
  <c r="BT323" i="34"/>
  <c r="BT339" i="34"/>
  <c r="BT309" i="34"/>
  <c r="BT322" i="34"/>
  <c r="BT342" i="34"/>
  <c r="BT317" i="34"/>
  <c r="BT311" i="34"/>
  <c r="BT308" i="34"/>
  <c r="BT337" i="34"/>
  <c r="BT301" i="34"/>
  <c r="BT302" i="34"/>
  <c r="BT327" i="34"/>
  <c r="BT305" i="34"/>
  <c r="BT335" i="34"/>
  <c r="BT314" i="34"/>
  <c r="BT330" i="34"/>
  <c r="BT338" i="34"/>
  <c r="BT318" i="34"/>
  <c r="BT315" i="34"/>
  <c r="BT316" i="34"/>
  <c r="BT333" i="34"/>
  <c r="BT303" i="34"/>
  <c r="DL594" i="34"/>
  <c r="DQ594" i="34" s="1"/>
  <c r="DL595" i="34"/>
  <c r="DQ595" i="34" s="1"/>
  <c r="DL563" i="34"/>
  <c r="DQ563" i="34" s="1"/>
  <c r="DL587" i="34"/>
  <c r="DQ587" i="34" s="1"/>
  <c r="DL571" i="34"/>
  <c r="DQ571" i="34" s="1"/>
  <c r="DL586" i="34"/>
  <c r="DQ586" i="34" s="1"/>
  <c r="DL592" i="34"/>
  <c r="DQ592" i="34" s="1"/>
  <c r="DL585" i="34"/>
  <c r="DQ585" i="34" s="1"/>
  <c r="DL591" i="34"/>
  <c r="DQ591" i="34" s="1"/>
  <c r="DL555" i="34"/>
  <c r="DQ555" i="34" s="1"/>
  <c r="DL589" i="34"/>
  <c r="DQ589" i="34" s="1"/>
  <c r="DL564" i="34"/>
  <c r="DQ564" i="34" s="1"/>
  <c r="DI387" i="34"/>
  <c r="DI395" i="34"/>
  <c r="DI362" i="34"/>
  <c r="DI366" i="34"/>
  <c r="DI374" i="34"/>
  <c r="DI380" i="34"/>
  <c r="DI385" i="34"/>
  <c r="DI367" i="34"/>
  <c r="DI363" i="34"/>
  <c r="DI403" i="34"/>
  <c r="DI398" i="34"/>
  <c r="DI393" i="34"/>
  <c r="DI400" i="34"/>
  <c r="DI369" i="34"/>
  <c r="DI396" i="34"/>
  <c r="DI399" i="34"/>
  <c r="DI370" i="34"/>
  <c r="DI361" i="34"/>
  <c r="DI375" i="34"/>
  <c r="DI381" i="34"/>
  <c r="DI373" i="34"/>
  <c r="DI390" i="34"/>
  <c r="DI388" i="34"/>
  <c r="DI382" i="34"/>
  <c r="DI383" i="34"/>
  <c r="DI368" i="34"/>
  <c r="DI391" i="34"/>
  <c r="DI394" i="34"/>
  <c r="DI359" i="34"/>
  <c r="DI371" i="34"/>
  <c r="DI406" i="34"/>
  <c r="DI407" i="34"/>
  <c r="DI365" i="34"/>
  <c r="DI372" i="34"/>
  <c r="DI397" i="34"/>
  <c r="DI360" i="34"/>
  <c r="DI376" i="34"/>
  <c r="DI364" i="34"/>
  <c r="DI405" i="34"/>
  <c r="DI386" i="34"/>
  <c r="DI384" i="34"/>
  <c r="DI401" i="34"/>
  <c r="DI392" i="34"/>
  <c r="DI378" i="34"/>
  <c r="DI379" i="34"/>
  <c r="DI404" i="34"/>
  <c r="DI402" i="34"/>
  <c r="DI389" i="34"/>
  <c r="DI377" i="34"/>
  <c r="AE19" i="9"/>
  <c r="BF14" i="3"/>
  <c r="AN14" i="3"/>
  <c r="BG14" i="3" s="1"/>
  <c r="AF14" i="3"/>
  <c r="AG14" i="3"/>
  <c r="AD14" i="3"/>
  <c r="AE14" i="3"/>
  <c r="AC14" i="3"/>
  <c r="AB67" i="3"/>
  <c r="X117" i="3"/>
  <c r="AM174" i="3" s="1"/>
  <c r="AN174" i="3" s="1"/>
  <c r="AC174" i="3"/>
  <c r="AU174" i="3" s="1"/>
  <c r="H117" i="3"/>
  <c r="H186" i="8"/>
  <c r="E186" i="8"/>
  <c r="I186" i="8"/>
  <c r="E206" i="8"/>
  <c r="AJ206" i="8" s="1"/>
  <c r="I206" i="8"/>
  <c r="H206" i="8"/>
  <c r="AL206" i="8" s="1"/>
  <c r="H185" i="8"/>
  <c r="AL185" i="8" s="1"/>
  <c r="E185" i="8"/>
  <c r="AJ185" i="8" s="1"/>
  <c r="I185" i="8"/>
  <c r="DL337" i="2"/>
  <c r="DQ337" i="2" s="1"/>
  <c r="DL318" i="2"/>
  <c r="DQ318" i="2" s="1"/>
  <c r="DL319" i="2"/>
  <c r="DQ319" i="2" s="1"/>
  <c r="DL344" i="2"/>
  <c r="DQ344" i="2" s="1"/>
  <c r="DL338" i="2"/>
  <c r="DQ338" i="2" s="1"/>
  <c r="DL323" i="2"/>
  <c r="DQ323" i="2" s="1"/>
  <c r="DL303" i="2"/>
  <c r="DQ303" i="2" s="1"/>
  <c r="DL342" i="2"/>
  <c r="DQ342" i="2" s="1"/>
  <c r="DL327" i="2"/>
  <c r="DQ327" i="2" s="1"/>
  <c r="DL305" i="2"/>
  <c r="DQ305" i="2" s="1"/>
  <c r="DL297" i="2"/>
  <c r="DQ297" i="2" s="1"/>
  <c r="DL331" i="2"/>
  <c r="DQ331" i="2" s="1"/>
  <c r="DL310" i="2"/>
  <c r="DQ310" i="2" s="1"/>
  <c r="DE573" i="2"/>
  <c r="DL555" i="2" s="1"/>
  <c r="DQ555" i="2" s="1"/>
  <c r="DF573" i="2"/>
  <c r="DM563" i="2" s="1"/>
  <c r="DM243" i="2"/>
  <c r="DM259" i="2"/>
  <c r="DM275" i="2"/>
  <c r="DM241" i="2"/>
  <c r="DM257" i="2"/>
  <c r="DM273" i="2"/>
  <c r="DM252" i="2"/>
  <c r="DM238" i="2"/>
  <c r="DM270" i="2"/>
  <c r="DM256" i="2"/>
  <c r="DM250" i="2"/>
  <c r="BT235" i="2"/>
  <c r="DM247" i="2"/>
  <c r="DM263" i="2"/>
  <c r="DM233" i="2"/>
  <c r="DM245" i="2"/>
  <c r="DM261" i="2"/>
  <c r="DM277" i="2"/>
  <c r="DM260" i="2"/>
  <c r="DM246" i="2"/>
  <c r="DM278" i="2"/>
  <c r="DM264" i="2"/>
  <c r="DM258" i="2"/>
  <c r="DM235" i="2"/>
  <c r="DM251" i="2"/>
  <c r="DM267" i="2"/>
  <c r="DM234" i="2"/>
  <c r="DM249" i="2"/>
  <c r="DM265" i="2"/>
  <c r="DM236" i="2"/>
  <c r="DM268" i="2"/>
  <c r="DM254" i="2"/>
  <c r="DM240" i="2"/>
  <c r="DM272" i="2"/>
  <c r="DM266" i="2"/>
  <c r="DM239" i="2"/>
  <c r="DM255" i="2"/>
  <c r="DM271" i="2"/>
  <c r="DM237" i="2"/>
  <c r="DM253" i="2"/>
  <c r="DM269" i="2"/>
  <c r="DM244" i="2"/>
  <c r="DM276" i="2"/>
  <c r="DM262" i="2"/>
  <c r="DM248" i="2"/>
  <c r="DM242" i="2"/>
  <c r="DM274" i="2"/>
  <c r="DG125" i="2"/>
  <c r="DH125" i="2"/>
  <c r="DI534" i="2"/>
  <c r="DI517" i="2"/>
  <c r="DI500" i="2"/>
  <c r="DI492" i="2"/>
  <c r="DI519" i="2"/>
  <c r="DI503" i="2"/>
  <c r="DI496" i="2"/>
  <c r="DI521" i="2"/>
  <c r="DI506" i="2"/>
  <c r="DI486" i="2"/>
  <c r="DI515" i="2"/>
  <c r="DI498" i="2"/>
  <c r="DI532" i="2"/>
  <c r="Y84" i="34"/>
  <c r="DB84" i="34" s="1"/>
  <c r="W57" i="34"/>
  <c r="CZ57" i="34" s="1"/>
  <c r="AU27" i="31"/>
  <c r="AZ27" i="31" s="1"/>
  <c r="AT28" i="31"/>
  <c r="AM30" i="31"/>
  <c r="AN29" i="31"/>
  <c r="AR29" i="31" s="1"/>
  <c r="DN327" i="34"/>
  <c r="DK327" i="34"/>
  <c r="DN332" i="34"/>
  <c r="DK332" i="34"/>
  <c r="DK341" i="34"/>
  <c r="DN341" i="34"/>
  <c r="DN337" i="34"/>
  <c r="DK337" i="34"/>
  <c r="DK303" i="34"/>
  <c r="DN303" i="34"/>
  <c r="DK322" i="34"/>
  <c r="DN322" i="34"/>
  <c r="DK313" i="34"/>
  <c r="DN313" i="34"/>
  <c r="DK306" i="34"/>
  <c r="DN306" i="34"/>
  <c r="DK297" i="34"/>
  <c r="DN297" i="34"/>
  <c r="DN298" i="34"/>
  <c r="DK298" i="34"/>
  <c r="DK328" i="34"/>
  <c r="DN328" i="34"/>
  <c r="DK318" i="34"/>
  <c r="DN318" i="34"/>
  <c r="DI590" i="34"/>
  <c r="DI574" i="34"/>
  <c r="DI551" i="34"/>
  <c r="DI564" i="34"/>
  <c r="DI562" i="34"/>
  <c r="DI572" i="34"/>
  <c r="DI596" i="34"/>
  <c r="DI568" i="34"/>
  <c r="DI587" i="34"/>
  <c r="DI557" i="34"/>
  <c r="DI561" i="34"/>
  <c r="DI595" i="34"/>
  <c r="DI566" i="34"/>
  <c r="DL136" i="34"/>
  <c r="DQ136" i="34" s="1"/>
  <c r="DL153" i="34"/>
  <c r="DQ153" i="34" s="1"/>
  <c r="DL128" i="34"/>
  <c r="DQ128" i="34" s="1"/>
  <c r="DL144" i="34"/>
  <c r="DQ144" i="34" s="1"/>
  <c r="DL117" i="34"/>
  <c r="DQ117" i="34" s="1"/>
  <c r="DL130" i="34"/>
  <c r="DQ130" i="34" s="1"/>
  <c r="DL118" i="34"/>
  <c r="DQ118" i="34" s="1"/>
  <c r="DL132" i="34"/>
  <c r="DQ132" i="34" s="1"/>
  <c r="DL133" i="34"/>
  <c r="DQ133" i="34" s="1"/>
  <c r="DL152" i="34"/>
  <c r="DQ152" i="34" s="1"/>
  <c r="DL134" i="34"/>
  <c r="DQ134" i="34" s="1"/>
  <c r="DL116" i="34"/>
  <c r="DQ116" i="34" s="1"/>
  <c r="DN207" i="34"/>
  <c r="DK207" i="34"/>
  <c r="DK171" i="34"/>
  <c r="DK181" i="34"/>
  <c r="DN181" i="34"/>
  <c r="DN203" i="34"/>
  <c r="DK203" i="34"/>
  <c r="DK214" i="34"/>
  <c r="DK210" i="34"/>
  <c r="DN210" i="34"/>
  <c r="DN194" i="34"/>
  <c r="DK194" i="34"/>
  <c r="DK178" i="34"/>
  <c r="DN178" i="34"/>
  <c r="DN217" i="34"/>
  <c r="DK217" i="34"/>
  <c r="DM589" i="34"/>
  <c r="DM566" i="34"/>
  <c r="DM590" i="34"/>
  <c r="DM553" i="34"/>
  <c r="DM568" i="34"/>
  <c r="DM575" i="34"/>
  <c r="DM560" i="34"/>
  <c r="DM597" i="34"/>
  <c r="DM579" i="34"/>
  <c r="DM555" i="34"/>
  <c r="DM571" i="34"/>
  <c r="DM580" i="34"/>
  <c r="H119" i="8"/>
  <c r="AC176" i="8"/>
  <c r="AU176" i="8" s="1"/>
  <c r="DM324" i="2"/>
  <c r="DM313" i="2"/>
  <c r="DM304" i="2"/>
  <c r="DM302" i="2"/>
  <c r="DM300" i="2"/>
  <c r="DM329" i="2"/>
  <c r="DM309" i="2"/>
  <c r="DM330" i="2"/>
  <c r="DM310" i="2"/>
  <c r="DM303" i="2"/>
  <c r="DM322" i="2"/>
  <c r="DM297" i="2"/>
  <c r="DM327" i="2"/>
  <c r="DC449" i="2"/>
  <c r="DI446" i="2" s="1"/>
  <c r="DD449" i="2"/>
  <c r="DJ439" i="2"/>
  <c r="DJ436" i="2"/>
  <c r="DJ432" i="2"/>
  <c r="DJ423" i="2"/>
  <c r="DJ450" i="2"/>
  <c r="DJ466" i="2"/>
  <c r="DJ444" i="2"/>
  <c r="DJ433" i="2"/>
  <c r="DJ440" i="2"/>
  <c r="DJ430" i="2"/>
  <c r="DJ460" i="2"/>
  <c r="DJ424" i="2"/>
  <c r="W624" i="2"/>
  <c r="CZ624" i="2" s="1"/>
  <c r="DC81" i="34"/>
  <c r="DD81" i="34"/>
  <c r="DH62" i="34"/>
  <c r="DE429" i="2"/>
  <c r="DF429" i="2"/>
  <c r="DM465" i="2" s="1"/>
  <c r="DE79" i="34"/>
  <c r="DF79" i="34"/>
  <c r="DE85" i="34"/>
  <c r="DF85" i="34"/>
  <c r="DJ136" i="34"/>
  <c r="DI627" i="34"/>
  <c r="DI644" i="34"/>
  <c r="DI653" i="34"/>
  <c r="DI628" i="34"/>
  <c r="DI641" i="34"/>
  <c r="DI663" i="34"/>
  <c r="DI621" i="34"/>
  <c r="DI632" i="34"/>
  <c r="DI646" i="34"/>
  <c r="DI654" i="34"/>
  <c r="DI625" i="34"/>
  <c r="DI630" i="34"/>
  <c r="DJ113" i="34"/>
  <c r="DJ112" i="34"/>
  <c r="DJ111" i="34"/>
  <c r="DJ135" i="34"/>
  <c r="DJ120" i="34"/>
  <c r="DJ125" i="34"/>
  <c r="DJ117" i="34"/>
  <c r="DJ128" i="34"/>
  <c r="DJ134" i="34"/>
  <c r="DJ130" i="34"/>
  <c r="DJ124" i="34"/>
  <c r="DJ126" i="34"/>
  <c r="DN238" i="34"/>
  <c r="DK238" i="34"/>
  <c r="DN275" i="34"/>
  <c r="DK275" i="34"/>
  <c r="DK265" i="34"/>
  <c r="DN265" i="34"/>
  <c r="DK278" i="34"/>
  <c r="DN278" i="34"/>
  <c r="DN242" i="34"/>
  <c r="DK242" i="34"/>
  <c r="DN262" i="34"/>
  <c r="DK262" i="34"/>
  <c r="DK263" i="34"/>
  <c r="DN263" i="34"/>
  <c r="DK237" i="34"/>
  <c r="DN237" i="34"/>
  <c r="DK269" i="34"/>
  <c r="DN269" i="34"/>
  <c r="DN256" i="34"/>
  <c r="DK256" i="34"/>
  <c r="DN234" i="34"/>
  <c r="DK234" i="34"/>
  <c r="DK273" i="34"/>
  <c r="DN273" i="34"/>
  <c r="DP335" i="34"/>
  <c r="DP303" i="34"/>
  <c r="DP328" i="34"/>
  <c r="DP324" i="34"/>
  <c r="BT297" i="34"/>
  <c r="DP341" i="34"/>
  <c r="DP330" i="34"/>
  <c r="DP304" i="34"/>
  <c r="DP310" i="34"/>
  <c r="DP332" i="34"/>
  <c r="DP315" i="34"/>
  <c r="DP339" i="34"/>
  <c r="DP317" i="34"/>
  <c r="DO133" i="34"/>
  <c r="DO143" i="34"/>
  <c r="DF629" i="34"/>
  <c r="DE629" i="34"/>
  <c r="DP520" i="34"/>
  <c r="DP529" i="34"/>
  <c r="DP510" i="34"/>
  <c r="DP534" i="34"/>
  <c r="DP492" i="34"/>
  <c r="DP491" i="34"/>
  <c r="DP512" i="34"/>
  <c r="DP502" i="34"/>
  <c r="DP486" i="34"/>
  <c r="DP497" i="34"/>
  <c r="DP531" i="34"/>
  <c r="DP505" i="34"/>
  <c r="DP487" i="34"/>
  <c r="DP504" i="34"/>
  <c r="DP514" i="34"/>
  <c r="DP532" i="34"/>
  <c r="DP519" i="34"/>
  <c r="DP494" i="34"/>
  <c r="DP516" i="34"/>
  <c r="DP496" i="34"/>
  <c r="BT487" i="34"/>
  <c r="DP517" i="34"/>
  <c r="DP521" i="34"/>
  <c r="DP527" i="34"/>
  <c r="DP493" i="34"/>
  <c r="DP522" i="34"/>
  <c r="DP507" i="34"/>
  <c r="DP488" i="34"/>
  <c r="DP525" i="34"/>
  <c r="DP533" i="34"/>
  <c r="DP509" i="34"/>
  <c r="DP503" i="34"/>
  <c r="DP513" i="34"/>
  <c r="DP498" i="34"/>
  <c r="DP518" i="34"/>
  <c r="DP489" i="34"/>
  <c r="DP515" i="34"/>
  <c r="DP500" i="34"/>
  <c r="DP506" i="34"/>
  <c r="DP528" i="34"/>
  <c r="DP501" i="34"/>
  <c r="DP523" i="34"/>
  <c r="DP508" i="34"/>
  <c r="DP495" i="34"/>
  <c r="DP524" i="34"/>
  <c r="DP499" i="34"/>
  <c r="DP490" i="34"/>
  <c r="DP526" i="34"/>
  <c r="DP530" i="34"/>
  <c r="DP511" i="34"/>
  <c r="H171" i="6"/>
  <c r="AL171" i="6" s="1"/>
  <c r="I171" i="6"/>
  <c r="E171" i="6"/>
  <c r="AJ171" i="6" s="1"/>
  <c r="DH567" i="2"/>
  <c r="DP598" i="2" s="1"/>
  <c r="DG567" i="2"/>
  <c r="DO564" i="2" s="1"/>
  <c r="DG310" i="2"/>
  <c r="DH310" i="2"/>
  <c r="DC555" i="2"/>
  <c r="DD555" i="2"/>
  <c r="DC121" i="2"/>
  <c r="DD121" i="2"/>
  <c r="DG316" i="2"/>
  <c r="DH316" i="2"/>
  <c r="DC265" i="2"/>
  <c r="DD265" i="2"/>
  <c r="DF127" i="2"/>
  <c r="DM144" i="2" s="1"/>
  <c r="DE127" i="2"/>
  <c r="DL119" i="2" s="1"/>
  <c r="DQ119" i="2" s="1"/>
  <c r="DG201" i="2"/>
  <c r="DH201" i="2"/>
  <c r="DG203" i="2"/>
  <c r="DH203" i="2"/>
  <c r="DC553" i="2"/>
  <c r="DD553" i="2"/>
  <c r="DJ596" i="2" s="1"/>
  <c r="DL368" i="2"/>
  <c r="DQ368" i="2" s="1"/>
  <c r="DL387" i="2"/>
  <c r="DQ387" i="2" s="1"/>
  <c r="DL365" i="2"/>
  <c r="DQ365" i="2" s="1"/>
  <c r="DL374" i="2"/>
  <c r="DQ374" i="2" s="1"/>
  <c r="DL392" i="2"/>
  <c r="DQ392" i="2" s="1"/>
  <c r="DL402" i="2"/>
  <c r="DQ402" i="2" s="1"/>
  <c r="DL366" i="2"/>
  <c r="DQ366" i="2" s="1"/>
  <c r="DL385" i="2"/>
  <c r="DQ385" i="2" s="1"/>
  <c r="DL360" i="2"/>
  <c r="DQ360" i="2" s="1"/>
  <c r="DL372" i="2"/>
  <c r="DQ372" i="2" s="1"/>
  <c r="DL390" i="2"/>
  <c r="DQ390" i="2" s="1"/>
  <c r="DC248" i="2"/>
  <c r="DD248" i="2"/>
  <c r="DC129" i="2"/>
  <c r="DD129" i="2"/>
  <c r="DL215" i="2"/>
  <c r="DQ215" i="2" s="1"/>
  <c r="DL211" i="2"/>
  <c r="DQ211" i="2" s="1"/>
  <c r="DL207" i="2"/>
  <c r="DQ207" i="2" s="1"/>
  <c r="DL203" i="2"/>
  <c r="DQ203" i="2" s="1"/>
  <c r="DL199" i="2"/>
  <c r="DQ199" i="2" s="1"/>
  <c r="DL195" i="2"/>
  <c r="DQ195" i="2" s="1"/>
  <c r="DL191" i="2"/>
  <c r="DQ191" i="2" s="1"/>
  <c r="DL185" i="2"/>
  <c r="DQ185" i="2" s="1"/>
  <c r="DL181" i="2"/>
  <c r="DQ181" i="2" s="1"/>
  <c r="DL175" i="2"/>
  <c r="DQ175" i="2" s="1"/>
  <c r="DL180" i="2"/>
  <c r="DQ180" i="2" s="1"/>
  <c r="DL171" i="2"/>
  <c r="DQ171" i="2" s="1"/>
  <c r="DL216" i="2"/>
  <c r="DQ216" i="2" s="1"/>
  <c r="DL212" i="2"/>
  <c r="DQ212" i="2" s="1"/>
  <c r="DL208" i="2"/>
  <c r="DQ208" i="2" s="1"/>
  <c r="DL204" i="2"/>
  <c r="DQ204" i="2" s="1"/>
  <c r="DL200" i="2"/>
  <c r="DQ200" i="2" s="1"/>
  <c r="DL196" i="2"/>
  <c r="DQ196" i="2" s="1"/>
  <c r="DL192" i="2"/>
  <c r="DQ192" i="2" s="1"/>
  <c r="DL187" i="2"/>
  <c r="DQ187" i="2" s="1"/>
  <c r="DL182" i="2"/>
  <c r="DQ182" i="2" s="1"/>
  <c r="DL177" i="2"/>
  <c r="DQ177" i="2" s="1"/>
  <c r="DL170" i="2"/>
  <c r="DQ170" i="2" s="1"/>
  <c r="DL174" i="2"/>
  <c r="DQ174" i="2" s="1"/>
  <c r="DL217" i="2"/>
  <c r="DQ217" i="2" s="1"/>
  <c r="DL213" i="2"/>
  <c r="DQ213" i="2" s="1"/>
  <c r="DL209" i="2"/>
  <c r="DQ209" i="2" s="1"/>
  <c r="DL205" i="2"/>
  <c r="DQ205" i="2" s="1"/>
  <c r="DL201" i="2"/>
  <c r="DQ201" i="2" s="1"/>
  <c r="DL197" i="2"/>
  <c r="DQ197" i="2" s="1"/>
  <c r="DL193" i="2"/>
  <c r="DQ193" i="2" s="1"/>
  <c r="DL189" i="2"/>
  <c r="DQ189" i="2" s="1"/>
  <c r="DL183" i="2"/>
  <c r="DQ183" i="2" s="1"/>
  <c r="DL178" i="2"/>
  <c r="DQ178" i="2" s="1"/>
  <c r="DL186" i="2"/>
  <c r="DQ186" i="2" s="1"/>
  <c r="DL176" i="2"/>
  <c r="DQ176" i="2" s="1"/>
  <c r="DL173" i="2"/>
  <c r="DQ173" i="2" s="1"/>
  <c r="DL214" i="2"/>
  <c r="DQ214" i="2" s="1"/>
  <c r="DL210" i="2"/>
  <c r="DQ210" i="2" s="1"/>
  <c r="DL206" i="2"/>
  <c r="DQ206" i="2" s="1"/>
  <c r="DL202" i="2"/>
  <c r="DQ202" i="2" s="1"/>
  <c r="DL198" i="2"/>
  <c r="DQ198" i="2" s="1"/>
  <c r="DL194" i="2"/>
  <c r="DQ194" i="2" s="1"/>
  <c r="DL190" i="2"/>
  <c r="DQ190" i="2" s="1"/>
  <c r="DL184" i="2"/>
  <c r="DQ184" i="2" s="1"/>
  <c r="DL179" i="2"/>
  <c r="DQ179" i="2" s="1"/>
  <c r="DL188" i="2"/>
  <c r="DQ188" i="2" s="1"/>
  <c r="DL172" i="2"/>
  <c r="DQ172" i="2" s="1"/>
  <c r="DL218" i="2"/>
  <c r="DQ218" i="2" s="1"/>
  <c r="BS27" i="31"/>
  <c r="BT26" i="31"/>
  <c r="DM633" i="2"/>
  <c r="DM658" i="2"/>
  <c r="DM650" i="2"/>
  <c r="DM642" i="2"/>
  <c r="DM634" i="2"/>
  <c r="DM623" i="2"/>
  <c r="DM661" i="2"/>
  <c r="DM653" i="2"/>
  <c r="DM645" i="2"/>
  <c r="DM637" i="2"/>
  <c r="DM627" i="2"/>
  <c r="DM620" i="2"/>
  <c r="BT617" i="2"/>
  <c r="DM619" i="2"/>
  <c r="DM656" i="2"/>
  <c r="DM648" i="2"/>
  <c r="DM640" i="2"/>
  <c r="DM630" i="2"/>
  <c r="DM631" i="2"/>
  <c r="DM659" i="2"/>
  <c r="DM651" i="2"/>
  <c r="DM643" i="2"/>
  <c r="DM635" i="2"/>
  <c r="DM618" i="2"/>
  <c r="DM624" i="2"/>
  <c r="DM663" i="2"/>
  <c r="DM662" i="2"/>
  <c r="DM654" i="2"/>
  <c r="DM646" i="2"/>
  <c r="DM638" i="2"/>
  <c r="DM628" i="2"/>
  <c r="DM625" i="2"/>
  <c r="DM657" i="2"/>
  <c r="DM649" i="2"/>
  <c r="DM641" i="2"/>
  <c r="DM632" i="2"/>
  <c r="DM617" i="2"/>
  <c r="DM616" i="2"/>
  <c r="DM660" i="2"/>
  <c r="DM652" i="2"/>
  <c r="DM644" i="2"/>
  <c r="DM636" i="2"/>
  <c r="DM626" i="2"/>
  <c r="DM621" i="2"/>
  <c r="DM655" i="2"/>
  <c r="DM647" i="2"/>
  <c r="DM639" i="2"/>
  <c r="DM629" i="2"/>
  <c r="DM622" i="2"/>
  <c r="DM615" i="2"/>
  <c r="BU617" i="2" s="1"/>
  <c r="DG81" i="34"/>
  <c r="DH81" i="34"/>
  <c r="DH91" i="34"/>
  <c r="DG91" i="34"/>
  <c r="DN132" i="34"/>
  <c r="DK132" i="34"/>
  <c r="DN150" i="34"/>
  <c r="DK150" i="34"/>
  <c r="DN154" i="34"/>
  <c r="DK154" i="34"/>
  <c r="DK115" i="34"/>
  <c r="DN115" i="34"/>
  <c r="DK129" i="34"/>
  <c r="DN129" i="34"/>
  <c r="DN125" i="34"/>
  <c r="DK125" i="34"/>
  <c r="DK145" i="34"/>
  <c r="DN145" i="34"/>
  <c r="DN116" i="34"/>
  <c r="DK116" i="34"/>
  <c r="BU236" i="34"/>
  <c r="BT245" i="34"/>
  <c r="BT243" i="34"/>
  <c r="BT280" i="34"/>
  <c r="BT276" i="34"/>
  <c r="BT252" i="34"/>
  <c r="BT253" i="34"/>
  <c r="BT270" i="34"/>
  <c r="BT261" i="34"/>
  <c r="BT283" i="34"/>
  <c r="BT244" i="34"/>
  <c r="BT240" i="34"/>
  <c r="BT259" i="34"/>
  <c r="BT242" i="34"/>
  <c r="BT277" i="34"/>
  <c r="BT272" i="34"/>
  <c r="BT279" i="34"/>
  <c r="BT250" i="34"/>
  <c r="BT266" i="34"/>
  <c r="BT246" i="34"/>
  <c r="BT271" i="34"/>
  <c r="BT269" i="34"/>
  <c r="BT258" i="34"/>
  <c r="BT275" i="34"/>
  <c r="BT273" i="34"/>
  <c r="BT237" i="34"/>
  <c r="BT265" i="34"/>
  <c r="BT254" i="34"/>
  <c r="BT267" i="34"/>
  <c r="BT255" i="34"/>
  <c r="BT241" i="34"/>
  <c r="BT274" i="34"/>
  <c r="BT260" i="34"/>
  <c r="BT248" i="34"/>
  <c r="BT278" i="34"/>
  <c r="BT281" i="34"/>
  <c r="BT256" i="34"/>
  <c r="BT257" i="34"/>
  <c r="BT239" i="34"/>
  <c r="BT251" i="34"/>
  <c r="BT282" i="34"/>
  <c r="BT238" i="34"/>
  <c r="BT263" i="34"/>
  <c r="BT268" i="34"/>
  <c r="BT264" i="34"/>
  <c r="BT247" i="34"/>
  <c r="BT262" i="34"/>
  <c r="BT249" i="34"/>
  <c r="BU235" i="34"/>
  <c r="C62" i="11"/>
  <c r="D62" i="11" s="1"/>
  <c r="E62" i="11" s="1"/>
  <c r="AM66" i="6"/>
  <c r="AE66" i="6"/>
  <c r="AN60" i="6"/>
  <c r="R113" i="6"/>
  <c r="DG245" i="2"/>
  <c r="DH245" i="2"/>
  <c r="DD236" i="2"/>
  <c r="DC236" i="2"/>
  <c r="DC259" i="2"/>
  <c r="DD259" i="2"/>
  <c r="DO576" i="2"/>
  <c r="DO571" i="2"/>
  <c r="DO597" i="2"/>
  <c r="DO552" i="2"/>
  <c r="DO586" i="2"/>
  <c r="DO573" i="2"/>
  <c r="DO557" i="2"/>
  <c r="DO594" i="2"/>
  <c r="DO581" i="2"/>
  <c r="DO567" i="2"/>
  <c r="DO561" i="2"/>
  <c r="DM359" i="2"/>
  <c r="DM407" i="2"/>
  <c r="DM368" i="2"/>
  <c r="BT361" i="2"/>
  <c r="DM373" i="2"/>
  <c r="DM380" i="2"/>
  <c r="DM395" i="2"/>
  <c r="DM371" i="2"/>
  <c r="DM369" i="2"/>
  <c r="DM378" i="2"/>
  <c r="DM366" i="2"/>
  <c r="DC382" i="2"/>
  <c r="DD382" i="2"/>
  <c r="DH187" i="2"/>
  <c r="DG187" i="2"/>
  <c r="DD560" i="2"/>
  <c r="DC560" i="2"/>
  <c r="DG174" i="2"/>
  <c r="DH174" i="2"/>
  <c r="DP177" i="2" s="1"/>
  <c r="DP217" i="2"/>
  <c r="DP188" i="2"/>
  <c r="DF52" i="34"/>
  <c r="DE52" i="34"/>
  <c r="DE60" i="34"/>
  <c r="DF60" i="34"/>
  <c r="Y636" i="2"/>
  <c r="DB636" i="2" s="1"/>
  <c r="Y65" i="34"/>
  <c r="DB65" i="34" s="1"/>
  <c r="BU299" i="34"/>
  <c r="BT470" i="34"/>
  <c r="BT453" i="34"/>
  <c r="BT433" i="34"/>
  <c r="BT444" i="34"/>
  <c r="BT457" i="34"/>
  <c r="BT471" i="34"/>
  <c r="BT468" i="34"/>
  <c r="BT449" i="34"/>
  <c r="BT434" i="34"/>
  <c r="BT467" i="34"/>
  <c r="BT447" i="34"/>
  <c r="BT426" i="34"/>
  <c r="BT462" i="34"/>
  <c r="BT438" i="34"/>
  <c r="BT435" i="34"/>
  <c r="BT465" i="34"/>
  <c r="BT443" i="34"/>
  <c r="BT450" i="34"/>
  <c r="BT460" i="34"/>
  <c r="BT428" i="34"/>
  <c r="BT439" i="34"/>
  <c r="BT459" i="34"/>
  <c r="BT445" i="34"/>
  <c r="BT427" i="34"/>
  <c r="BT432" i="34"/>
  <c r="BT441" i="34"/>
  <c r="BT463" i="34"/>
  <c r="BT437" i="34"/>
  <c r="BT429" i="34"/>
  <c r="BT461" i="34"/>
  <c r="BT442" i="34"/>
  <c r="BT440" i="34"/>
  <c r="BT455" i="34"/>
  <c r="BT454" i="34"/>
  <c r="BT466" i="34"/>
  <c r="BT436" i="34"/>
  <c r="BT451" i="34"/>
  <c r="BT464" i="34"/>
  <c r="BT448" i="34"/>
  <c r="BT469" i="34"/>
  <c r="BT446" i="34"/>
  <c r="BT458" i="34"/>
  <c r="BT452" i="34"/>
  <c r="BT430" i="34"/>
  <c r="BT456" i="34"/>
  <c r="BT472" i="34"/>
  <c r="BT431" i="34"/>
  <c r="DK449" i="34"/>
  <c r="DN449" i="34"/>
  <c r="DK448" i="34"/>
  <c r="DN448" i="34"/>
  <c r="DK430" i="34"/>
  <c r="DN430" i="34"/>
  <c r="DK453" i="34"/>
  <c r="DN453" i="34"/>
  <c r="DK443" i="34"/>
  <c r="DN443" i="34"/>
  <c r="DK432" i="34"/>
  <c r="DN432" i="34"/>
  <c r="DK429" i="34"/>
  <c r="DN429" i="34"/>
  <c r="DK436" i="34"/>
  <c r="DN436" i="34"/>
  <c r="DK452" i="34"/>
  <c r="DN452" i="34"/>
  <c r="DK431" i="34"/>
  <c r="DN431" i="34"/>
  <c r="DN423" i="34"/>
  <c r="DK423" i="34"/>
  <c r="DK461" i="34"/>
  <c r="DN461" i="34"/>
  <c r="BU234" i="34"/>
  <c r="DL597" i="34"/>
  <c r="DQ597" i="34" s="1"/>
  <c r="DL574" i="34"/>
  <c r="DQ574" i="34" s="1"/>
  <c r="DL557" i="34"/>
  <c r="DQ557" i="34" s="1"/>
  <c r="DL562" i="34"/>
  <c r="DQ562" i="34" s="1"/>
  <c r="DL556" i="34"/>
  <c r="DQ556" i="34" s="1"/>
  <c r="DL553" i="34"/>
  <c r="DQ553" i="34" s="1"/>
  <c r="DL558" i="34"/>
  <c r="DQ558" i="34" s="1"/>
  <c r="DL561" i="34"/>
  <c r="DQ561" i="34" s="1"/>
  <c r="DL581" i="34"/>
  <c r="DQ581" i="34" s="1"/>
  <c r="DL552" i="34"/>
  <c r="DQ552" i="34" s="1"/>
  <c r="DL569" i="34"/>
  <c r="DQ569" i="34" s="1"/>
  <c r="M13" i="11"/>
  <c r="AB15" i="8"/>
  <c r="AB15" i="3"/>
  <c r="AB15" i="6"/>
  <c r="W129" i="8"/>
  <c r="W149" i="8"/>
  <c r="D149" i="8"/>
  <c r="AB206" i="8"/>
  <c r="AT206" i="8" s="1"/>
  <c r="D128" i="8"/>
  <c r="AB185" i="8"/>
  <c r="AT185" i="8" s="1"/>
  <c r="W128" i="8"/>
  <c r="AC174" i="6"/>
  <c r="AU174" i="6" s="1"/>
  <c r="K117" i="6"/>
  <c r="H117" i="6"/>
  <c r="V117" i="6"/>
  <c r="X117" i="6"/>
  <c r="AC173" i="8"/>
  <c r="AU173" i="8" s="1"/>
  <c r="DG139" i="2"/>
  <c r="DH139" i="2"/>
  <c r="DL321" i="2"/>
  <c r="DQ321" i="2" s="1"/>
  <c r="DL301" i="2"/>
  <c r="DQ301" i="2" s="1"/>
  <c r="DL302" i="2"/>
  <c r="DQ302" i="2" s="1"/>
  <c r="DL341" i="2"/>
  <c r="DQ341" i="2" s="1"/>
  <c r="DL322" i="2"/>
  <c r="DQ322" i="2" s="1"/>
  <c r="DL312" i="2"/>
  <c r="DQ312" i="2" s="1"/>
  <c r="DL300" i="2"/>
  <c r="DQ300" i="2" s="1"/>
  <c r="DL326" i="2"/>
  <c r="DQ326" i="2" s="1"/>
  <c r="DL309" i="2"/>
  <c r="DQ309" i="2" s="1"/>
  <c r="DL296" i="2"/>
  <c r="DQ296" i="2" s="1"/>
  <c r="DL330" i="2"/>
  <c r="DQ330" i="2" s="1"/>
  <c r="DH260" i="2"/>
  <c r="DG260" i="2"/>
  <c r="DG121" i="2"/>
  <c r="DH121" i="2"/>
  <c r="DJ578" i="2"/>
  <c r="DJ561" i="2"/>
  <c r="DJ589" i="2"/>
  <c r="DJ594" i="2"/>
  <c r="DJ559" i="2"/>
  <c r="DJ552" i="2"/>
  <c r="DJ598" i="2"/>
  <c r="DJ556" i="2"/>
  <c r="DJ573" i="2"/>
  <c r="DJ597" i="2"/>
  <c r="DJ562" i="2"/>
  <c r="DJ564" i="2"/>
  <c r="DL235" i="2"/>
  <c r="DQ235" i="2" s="1"/>
  <c r="DL243" i="2"/>
  <c r="DQ243" i="2" s="1"/>
  <c r="DL251" i="2"/>
  <c r="DQ251" i="2" s="1"/>
  <c r="DL259" i="2"/>
  <c r="DQ259" i="2" s="1"/>
  <c r="DL267" i="2"/>
  <c r="DQ267" i="2" s="1"/>
  <c r="DL275" i="2"/>
  <c r="DQ275" i="2" s="1"/>
  <c r="DL241" i="2"/>
  <c r="DQ241" i="2" s="1"/>
  <c r="DL249" i="2"/>
  <c r="DQ249" i="2" s="1"/>
  <c r="DL257" i="2"/>
  <c r="DQ257" i="2" s="1"/>
  <c r="DL265" i="2"/>
  <c r="DQ265" i="2" s="1"/>
  <c r="DL273" i="2"/>
  <c r="DQ273" i="2" s="1"/>
  <c r="DL240" i="2"/>
  <c r="DQ240" i="2" s="1"/>
  <c r="DL256" i="2"/>
  <c r="DQ256" i="2" s="1"/>
  <c r="DL272" i="2"/>
  <c r="DQ272" i="2" s="1"/>
  <c r="DL250" i="2"/>
  <c r="DQ250" i="2" s="1"/>
  <c r="DL266" i="2"/>
  <c r="DQ266" i="2" s="1"/>
  <c r="DL233" i="2"/>
  <c r="DQ233" i="2" s="1"/>
  <c r="DL244" i="2"/>
  <c r="DQ244" i="2" s="1"/>
  <c r="DL260" i="2"/>
  <c r="DQ260" i="2" s="1"/>
  <c r="DL276" i="2"/>
  <c r="DQ276" i="2" s="1"/>
  <c r="DL238" i="2"/>
  <c r="DQ238" i="2" s="1"/>
  <c r="DL254" i="2"/>
  <c r="DQ254" i="2" s="1"/>
  <c r="DL270" i="2"/>
  <c r="DQ270" i="2" s="1"/>
  <c r="DL239" i="2"/>
  <c r="DQ239" i="2" s="1"/>
  <c r="DL247" i="2"/>
  <c r="DQ247" i="2" s="1"/>
  <c r="DL255" i="2"/>
  <c r="DQ255" i="2" s="1"/>
  <c r="DL263" i="2"/>
  <c r="DQ263" i="2" s="1"/>
  <c r="DL271" i="2"/>
  <c r="DQ271" i="2" s="1"/>
  <c r="DL237" i="2"/>
  <c r="DQ237" i="2" s="1"/>
  <c r="DL245" i="2"/>
  <c r="DQ245" i="2" s="1"/>
  <c r="DL253" i="2"/>
  <c r="DQ253" i="2" s="1"/>
  <c r="DL261" i="2"/>
  <c r="DQ261" i="2" s="1"/>
  <c r="DL269" i="2"/>
  <c r="DQ269" i="2" s="1"/>
  <c r="DL277" i="2"/>
  <c r="DQ277" i="2" s="1"/>
  <c r="DL248" i="2"/>
  <c r="DQ248" i="2" s="1"/>
  <c r="DL264" i="2"/>
  <c r="DQ264" i="2" s="1"/>
  <c r="DL242" i="2"/>
  <c r="DQ242" i="2" s="1"/>
  <c r="DL258" i="2"/>
  <c r="DQ258" i="2" s="1"/>
  <c r="DL274" i="2"/>
  <c r="DQ274" i="2" s="1"/>
  <c r="DL236" i="2"/>
  <c r="DQ236" i="2" s="1"/>
  <c r="DL252" i="2"/>
  <c r="DQ252" i="2" s="1"/>
  <c r="DL268" i="2"/>
  <c r="DQ268" i="2" s="1"/>
  <c r="DL234" i="2"/>
  <c r="DQ234" i="2" s="1"/>
  <c r="DL246" i="2"/>
  <c r="DQ246" i="2" s="1"/>
  <c r="DL262" i="2"/>
  <c r="DQ262" i="2" s="1"/>
  <c r="DL278" i="2"/>
  <c r="DQ278" i="2" s="1"/>
  <c r="DP585" i="2"/>
  <c r="DP584" i="2"/>
  <c r="DP559" i="2"/>
  <c r="DP557" i="2"/>
  <c r="DP576" i="2"/>
  <c r="DP554" i="2"/>
  <c r="DP596" i="2"/>
  <c r="DP586" i="2"/>
  <c r="DP595" i="2"/>
  <c r="DP581" i="2"/>
  <c r="DP588" i="2"/>
  <c r="DP571" i="2"/>
  <c r="DG252" i="2"/>
  <c r="DH252" i="2"/>
  <c r="DH384" i="2"/>
  <c r="DP402" i="2" s="1"/>
  <c r="DG384" i="2"/>
  <c r="DO392" i="2" s="1"/>
  <c r="DI429" i="2"/>
  <c r="DI439" i="2"/>
  <c r="DI428" i="2"/>
  <c r="DI436" i="2"/>
  <c r="DI441" i="2"/>
  <c r="DI432" i="2"/>
  <c r="DI443" i="2"/>
  <c r="DI445" i="2"/>
  <c r="DI438" i="2"/>
  <c r="DI454" i="2"/>
  <c r="DI435" i="2"/>
  <c r="DI488" i="2"/>
  <c r="DI525" i="2"/>
  <c r="DI510" i="2"/>
  <c r="DI491" i="2"/>
  <c r="DI527" i="2"/>
  <c r="DI512" i="2"/>
  <c r="DI494" i="2"/>
  <c r="DI529" i="2"/>
  <c r="DI514" i="2"/>
  <c r="DI502" i="2"/>
  <c r="DI523" i="2"/>
  <c r="DJ190" i="2"/>
  <c r="DJ176" i="2"/>
  <c r="DJ201" i="2"/>
  <c r="DJ182" i="2"/>
  <c r="DJ216" i="2"/>
  <c r="DJ195" i="2"/>
  <c r="DJ202" i="2"/>
  <c r="DJ178" i="2"/>
  <c r="DJ213" i="2"/>
  <c r="DJ196" i="2"/>
  <c r="DJ171" i="2"/>
  <c r="DJ207" i="2"/>
  <c r="DJ198" i="2"/>
  <c r="DJ170" i="2"/>
  <c r="DJ209" i="2"/>
  <c r="DJ192" i="2"/>
  <c r="DJ180" i="2"/>
  <c r="DJ203" i="2"/>
  <c r="DJ188" i="2"/>
  <c r="DJ210" i="2"/>
  <c r="DJ189" i="2"/>
  <c r="DJ218" i="2"/>
  <c r="DJ204" i="2"/>
  <c r="DJ181" i="2"/>
  <c r="DJ215" i="2"/>
  <c r="DJ173" i="2"/>
  <c r="DJ206" i="2"/>
  <c r="DJ183" i="2"/>
  <c r="DJ217" i="2"/>
  <c r="DJ200" i="2"/>
  <c r="DJ175" i="2"/>
  <c r="DJ211" i="2"/>
  <c r="DJ184" i="2"/>
  <c r="DJ172" i="2"/>
  <c r="DJ197" i="2"/>
  <c r="DJ177" i="2"/>
  <c r="DJ212" i="2"/>
  <c r="DJ191" i="2"/>
  <c r="DJ179" i="2"/>
  <c r="DJ214" i="2"/>
  <c r="DJ193" i="2"/>
  <c r="DJ174" i="2"/>
  <c r="DJ208" i="2"/>
  <c r="DJ185" i="2"/>
  <c r="DJ194" i="2"/>
  <c r="DJ186" i="2"/>
  <c r="DJ205" i="2"/>
  <c r="DJ187" i="2"/>
  <c r="BT173" i="2"/>
  <c r="DJ199" i="2"/>
  <c r="W84" i="34"/>
  <c r="CZ84" i="34" s="1"/>
  <c r="W74" i="34"/>
  <c r="CZ74" i="34" s="1"/>
  <c r="BK27" i="31"/>
  <c r="BL26" i="31"/>
  <c r="BP26" i="31" s="1"/>
  <c r="DN326" i="34"/>
  <c r="DK326" i="34"/>
  <c r="DK336" i="34"/>
  <c r="DN336" i="34"/>
  <c r="DN296" i="34"/>
  <c r="DK296" i="34"/>
  <c r="DK324" i="34"/>
  <c r="DN324" i="34"/>
  <c r="DK300" i="34"/>
  <c r="DN300" i="34"/>
  <c r="DN333" i="34"/>
  <c r="DK333" i="34"/>
  <c r="DN331" i="34"/>
  <c r="DK331" i="34"/>
  <c r="DK320" i="34"/>
  <c r="DN320" i="34"/>
  <c r="DN334" i="34"/>
  <c r="DK334" i="34"/>
  <c r="DN307" i="34"/>
  <c r="DK307" i="34"/>
  <c r="DK302" i="34"/>
  <c r="DN302" i="34"/>
  <c r="DN329" i="34"/>
  <c r="DK329" i="34"/>
  <c r="BU425" i="34"/>
  <c r="DI550" i="34"/>
  <c r="DI583" i="34"/>
  <c r="DI598" i="34"/>
  <c r="DI577" i="34"/>
  <c r="DI584" i="34"/>
  <c r="DI579" i="34"/>
  <c r="DI586" i="34"/>
  <c r="DI556" i="34"/>
  <c r="DI569" i="34"/>
  <c r="DI580" i="34"/>
  <c r="DI560" i="34"/>
  <c r="DL140" i="34"/>
  <c r="DQ140" i="34" s="1"/>
  <c r="DL106" i="34"/>
  <c r="DQ106" i="34" s="1"/>
  <c r="DL143" i="34"/>
  <c r="DQ143" i="34" s="1"/>
  <c r="DL109" i="34"/>
  <c r="DQ109" i="34" s="1"/>
  <c r="DL107" i="34"/>
  <c r="DQ107" i="34" s="1"/>
  <c r="DL125" i="34"/>
  <c r="DQ125" i="34" s="1"/>
  <c r="DL137" i="34"/>
  <c r="DQ137" i="34" s="1"/>
  <c r="DL129" i="34"/>
  <c r="DQ129" i="34" s="1"/>
  <c r="DL114" i="34"/>
  <c r="DQ114" i="34" s="1"/>
  <c r="DL146" i="34"/>
  <c r="DQ146" i="34" s="1"/>
  <c r="DL120" i="34"/>
  <c r="DQ120" i="34" s="1"/>
  <c r="DL110" i="34"/>
  <c r="DQ110" i="34" s="1"/>
  <c r="DK170" i="34"/>
  <c r="DN170" i="34"/>
  <c r="DK196" i="34"/>
  <c r="DN196" i="34"/>
  <c r="DK199" i="34"/>
  <c r="DN199" i="34"/>
  <c r="DK200" i="34"/>
  <c r="DN200" i="34"/>
  <c r="DK191" i="34"/>
  <c r="DN191" i="34"/>
  <c r="DK206" i="34"/>
  <c r="DN206" i="34"/>
  <c r="DK184" i="34"/>
  <c r="DN184" i="34"/>
  <c r="DK173" i="34"/>
  <c r="DN173" i="34"/>
  <c r="DN189" i="34"/>
  <c r="DK189" i="34"/>
  <c r="DG180" i="34"/>
  <c r="DH180" i="34"/>
  <c r="DM556" i="34"/>
  <c r="DM559" i="34"/>
  <c r="DM585" i="34"/>
  <c r="DM592" i="34"/>
  <c r="DM593" i="34"/>
  <c r="DM569" i="34"/>
  <c r="DM561" i="34"/>
  <c r="DM565" i="34"/>
  <c r="DM584" i="34"/>
  <c r="DM576" i="34"/>
  <c r="DM570" i="34"/>
  <c r="DI131" i="34"/>
  <c r="DI119" i="34"/>
  <c r="DI144" i="34"/>
  <c r="DI126" i="34"/>
  <c r="DI109" i="34"/>
  <c r="DI152" i="34"/>
  <c r="DI147" i="34"/>
  <c r="DI123" i="34"/>
  <c r="DI111" i="34"/>
  <c r="DI114" i="34"/>
  <c r="DI128" i="34"/>
  <c r="DI149" i="34"/>
  <c r="DI138" i="34"/>
  <c r="DI110" i="34"/>
  <c r="DI130" i="34"/>
  <c r="DI124" i="34"/>
  <c r="X114" i="3"/>
  <c r="AM171" i="3" s="1"/>
  <c r="AN171" i="3" s="1"/>
  <c r="DM333" i="2"/>
  <c r="DM323" i="2"/>
  <c r="DM342" i="2"/>
  <c r="DM316" i="2"/>
  <c r="DM315" i="2"/>
  <c r="DM344" i="2"/>
  <c r="DM340" i="2"/>
  <c r="DM339" i="2"/>
  <c r="DM321" i="2"/>
  <c r="DM332" i="2"/>
  <c r="DM331" i="2"/>
  <c r="DM311" i="2"/>
  <c r="DF449" i="2"/>
  <c r="DM428" i="2" s="1"/>
  <c r="DE449" i="2"/>
  <c r="DJ453" i="2"/>
  <c r="DJ455" i="2"/>
  <c r="DJ465" i="2"/>
  <c r="DJ441" i="2"/>
  <c r="DJ443" i="2"/>
  <c r="DJ438" i="2"/>
  <c r="DJ425" i="2"/>
  <c r="DJ454" i="2"/>
  <c r="DJ468" i="2"/>
  <c r="DJ448" i="2"/>
  <c r="DJ442" i="2"/>
  <c r="DD59" i="34"/>
  <c r="DC59" i="34"/>
  <c r="DE93" i="34"/>
  <c r="DF93" i="34"/>
  <c r="DF81" i="34"/>
  <c r="DE81" i="34"/>
  <c r="DF62" i="34"/>
  <c r="DE62" i="34"/>
  <c r="Y429" i="2"/>
  <c r="DB429" i="2" s="1"/>
  <c r="DD49" i="34"/>
  <c r="DC49" i="34"/>
  <c r="CO21" i="31"/>
  <c r="CK22" i="31"/>
  <c r="CR21" i="31"/>
  <c r="CT21" i="31" s="1"/>
  <c r="AO27" i="31"/>
  <c r="AO28" i="31"/>
  <c r="AO24" i="31"/>
  <c r="AO23" i="31"/>
  <c r="AO25" i="31"/>
  <c r="AO29" i="31"/>
  <c r="AO26" i="31"/>
  <c r="DI619" i="34"/>
  <c r="DI639" i="34"/>
  <c r="DI647" i="34"/>
  <c r="DI624" i="34"/>
  <c r="DI651" i="34"/>
  <c r="DI657" i="34"/>
  <c r="DI616" i="34"/>
  <c r="DI636" i="34"/>
  <c r="DI643" i="34"/>
  <c r="DI658" i="34"/>
  <c r="DI626" i="34"/>
  <c r="DI638" i="34"/>
  <c r="DJ149" i="34"/>
  <c r="DJ133" i="34"/>
  <c r="DJ137" i="34"/>
  <c r="DJ129" i="34"/>
  <c r="DJ132" i="34"/>
  <c r="DJ151" i="34"/>
  <c r="DJ141" i="34"/>
  <c r="DJ119" i="34"/>
  <c r="DJ140" i="34"/>
  <c r="DJ154" i="34"/>
  <c r="DJ106" i="34"/>
  <c r="DK274" i="34"/>
  <c r="DN274" i="34"/>
  <c r="DK261" i="34"/>
  <c r="DN261" i="34"/>
  <c r="DK241" i="34"/>
  <c r="DN241" i="34"/>
  <c r="DK249" i="34"/>
  <c r="DN249" i="34"/>
  <c r="DK258" i="34"/>
  <c r="DN258" i="34"/>
  <c r="DK259" i="34"/>
  <c r="DN259" i="34"/>
  <c r="DK245" i="34"/>
  <c r="DN245" i="34"/>
  <c r="DK268" i="34"/>
  <c r="DN268" i="34"/>
  <c r="DN252" i="34"/>
  <c r="DK252" i="34"/>
  <c r="DN233" i="34"/>
  <c r="DK233" i="34"/>
  <c r="DK272" i="34"/>
  <c r="DN272" i="34"/>
  <c r="DK253" i="34"/>
  <c r="DN253" i="34"/>
  <c r="DP313" i="34"/>
  <c r="DP327" i="34"/>
  <c r="DP334" i="34"/>
  <c r="DP308" i="34"/>
  <c r="DP329" i="34"/>
  <c r="DP342" i="34"/>
  <c r="DP333" i="34"/>
  <c r="DP331" i="34"/>
  <c r="DP299" i="34"/>
  <c r="DP298" i="34"/>
  <c r="DP325" i="34"/>
  <c r="DP302" i="34"/>
  <c r="DO142" i="34"/>
  <c r="DG579" i="34"/>
  <c r="DO556" i="34" s="1"/>
  <c r="DH579" i="34"/>
  <c r="D114" i="6"/>
  <c r="AB171" i="6"/>
  <c r="AT171" i="6" s="1"/>
  <c r="V114" i="6"/>
  <c r="W114" i="6"/>
  <c r="K114" i="6"/>
  <c r="I196" i="8"/>
  <c r="E196" i="8"/>
  <c r="H196" i="8"/>
  <c r="X118" i="8"/>
  <c r="AM175" i="8" s="1"/>
  <c r="AN175" i="8" s="1"/>
  <c r="D154" i="6"/>
  <c r="W154" i="6"/>
  <c r="AB211" i="6"/>
  <c r="AT211" i="6" s="1"/>
  <c r="D134" i="8"/>
  <c r="AB191" i="8"/>
  <c r="AT191" i="8" s="1"/>
  <c r="W134" i="8"/>
  <c r="H211" i="8"/>
  <c r="E211" i="8"/>
  <c r="AJ211" i="8" s="1"/>
  <c r="I211" i="8"/>
  <c r="H184" i="6"/>
  <c r="AL184" i="6" s="1"/>
  <c r="I184" i="6"/>
  <c r="E184" i="6"/>
  <c r="AJ184" i="6" s="1"/>
  <c r="D151" i="3"/>
  <c r="AB208" i="3"/>
  <c r="AT208" i="3" s="1"/>
  <c r="D121" i="6"/>
  <c r="W121" i="6"/>
  <c r="AB178" i="6"/>
  <c r="AT178" i="6" s="1"/>
  <c r="E195" i="6"/>
  <c r="AJ195" i="6" s="1"/>
  <c r="H195" i="6"/>
  <c r="AL195" i="6" s="1"/>
  <c r="I195" i="6"/>
  <c r="H175" i="3"/>
  <c r="AL175" i="3" s="1"/>
  <c r="E175" i="3"/>
  <c r="AJ175" i="3" s="1"/>
  <c r="I175" i="3"/>
  <c r="E175" i="8"/>
  <c r="AJ175" i="8" s="1"/>
  <c r="H175" i="8"/>
  <c r="AL175" i="8" s="1"/>
  <c r="I175" i="8"/>
  <c r="AB200" i="6"/>
  <c r="AT200" i="6" s="1"/>
  <c r="D143" i="6"/>
  <c r="W143" i="6"/>
  <c r="W158" i="8"/>
  <c r="D132" i="3"/>
  <c r="AB189" i="3"/>
  <c r="AT189" i="3" s="1"/>
  <c r="W122" i="6"/>
  <c r="AB179" i="6"/>
  <c r="AT179" i="6" s="1"/>
  <c r="D122" i="6"/>
  <c r="I196" i="6"/>
  <c r="E196" i="6"/>
  <c r="AJ196" i="6" s="1"/>
  <c r="H196" i="6"/>
  <c r="AL196" i="6" s="1"/>
  <c r="E189" i="8"/>
  <c r="AJ189" i="8" s="1"/>
  <c r="H189" i="8"/>
  <c r="AL189" i="8" s="1"/>
  <c r="I189" i="8"/>
  <c r="E216" i="3"/>
  <c r="AJ216" i="3" s="1"/>
  <c r="H216" i="3"/>
  <c r="AL216" i="3" s="1"/>
  <c r="I216" i="3"/>
  <c r="E172" i="6"/>
  <c r="AJ172" i="6" s="1"/>
  <c r="H172" i="6"/>
  <c r="AL172" i="6" s="1"/>
  <c r="I172" i="6"/>
  <c r="S114" i="8"/>
  <c r="AN61" i="8"/>
  <c r="H180" i="3"/>
  <c r="AL180" i="3" s="1"/>
  <c r="E180" i="3"/>
  <c r="AJ180" i="3" s="1"/>
  <c r="I180" i="3"/>
  <c r="D153" i="6"/>
  <c r="AB210" i="6"/>
  <c r="AT210" i="6" s="1"/>
  <c r="W153" i="6"/>
  <c r="E190" i="8"/>
  <c r="AJ190" i="8" s="1"/>
  <c r="H190" i="8"/>
  <c r="AL190" i="8" s="1"/>
  <c r="I190" i="8"/>
  <c r="H200" i="3"/>
  <c r="AL200" i="3" s="1"/>
  <c r="E200" i="3"/>
  <c r="AJ200" i="3" s="1"/>
  <c r="I200" i="3"/>
  <c r="I207" i="8"/>
  <c r="E207" i="8"/>
  <c r="AJ207" i="8" s="1"/>
  <c r="H207" i="8"/>
  <c r="AL207" i="8" s="1"/>
  <c r="E171" i="3"/>
  <c r="AJ171" i="3" s="1"/>
  <c r="H171" i="3"/>
  <c r="AL171" i="3" s="1"/>
  <c r="I171" i="3"/>
  <c r="E184" i="3"/>
  <c r="AJ184" i="3" s="1"/>
  <c r="I184" i="3"/>
  <c r="H184" i="3"/>
  <c r="AL184" i="3" s="1"/>
  <c r="I204" i="6"/>
  <c r="E204" i="6"/>
  <c r="AJ204" i="6" s="1"/>
  <c r="H204" i="6"/>
  <c r="AL204" i="6" s="1"/>
  <c r="AB184" i="6"/>
  <c r="AT184" i="6" s="1"/>
  <c r="D127" i="6"/>
  <c r="E187" i="8"/>
  <c r="H187" i="8"/>
  <c r="I187" i="8"/>
  <c r="E208" i="3"/>
  <c r="AJ208" i="3" s="1"/>
  <c r="H208" i="3"/>
  <c r="AL208" i="3" s="1"/>
  <c r="I208" i="3"/>
  <c r="AB195" i="6"/>
  <c r="AT195" i="6" s="1"/>
  <c r="D138" i="6"/>
  <c r="E212" i="6"/>
  <c r="AJ212" i="6" s="1"/>
  <c r="I212" i="6"/>
  <c r="H212" i="6"/>
  <c r="AL212" i="6" s="1"/>
  <c r="D118" i="3"/>
  <c r="V118" i="3"/>
  <c r="K118" i="3"/>
  <c r="M118" i="3" s="1"/>
  <c r="AB175" i="3"/>
  <c r="AT175" i="3" s="1"/>
  <c r="W118" i="3"/>
  <c r="W118" i="8"/>
  <c r="D118" i="8"/>
  <c r="AB175" i="8"/>
  <c r="AT175" i="8" s="1"/>
  <c r="AB196" i="6"/>
  <c r="AT196" i="6" s="1"/>
  <c r="D139" i="6"/>
  <c r="W139" i="6"/>
  <c r="E194" i="8"/>
  <c r="AJ194" i="8" s="1"/>
  <c r="I194" i="8"/>
  <c r="H194" i="8"/>
  <c r="AL194" i="8" s="1"/>
  <c r="D159" i="3"/>
  <c r="W159" i="3"/>
  <c r="AB216" i="3"/>
  <c r="AT216" i="3" s="1"/>
  <c r="W115" i="6"/>
  <c r="V115" i="6"/>
  <c r="D115" i="6"/>
  <c r="K115" i="6"/>
  <c r="AB172" i="6"/>
  <c r="AT172" i="6" s="1"/>
  <c r="I179" i="8"/>
  <c r="H179" i="8"/>
  <c r="E179" i="8"/>
  <c r="AB180" i="3"/>
  <c r="AT180" i="3" s="1"/>
  <c r="D123" i="3"/>
  <c r="E195" i="8"/>
  <c r="I195" i="8"/>
  <c r="H195" i="8"/>
  <c r="AL195" i="8" s="1"/>
  <c r="AB200" i="3"/>
  <c r="AT200" i="3" s="1"/>
  <c r="D143" i="3"/>
  <c r="AB171" i="3"/>
  <c r="AT171" i="3" s="1"/>
  <c r="V114" i="3"/>
  <c r="D114" i="3"/>
  <c r="K114" i="3"/>
  <c r="W114" i="3"/>
  <c r="H194" i="6"/>
  <c r="AL194" i="6" s="1"/>
  <c r="I194" i="6"/>
  <c r="E194" i="6"/>
  <c r="AJ194" i="6" s="1"/>
  <c r="AB184" i="3"/>
  <c r="AT184" i="3" s="1"/>
  <c r="W127" i="3"/>
  <c r="D127" i="3"/>
  <c r="AB204" i="6"/>
  <c r="AT204" i="6" s="1"/>
  <c r="W147" i="6"/>
  <c r="D147" i="6"/>
  <c r="D130" i="8"/>
  <c r="W151" i="3"/>
  <c r="W138" i="6"/>
  <c r="D155" i="6"/>
  <c r="AB212" i="6"/>
  <c r="AT212" i="6" s="1"/>
  <c r="W155" i="6"/>
  <c r="I193" i="8"/>
  <c r="E193" i="8"/>
  <c r="AJ193" i="8" s="1"/>
  <c r="H193" i="8"/>
  <c r="R118" i="3"/>
  <c r="N118" i="3"/>
  <c r="AN65" i="3"/>
  <c r="S118" i="8"/>
  <c r="AN65" i="8"/>
  <c r="H215" i="8"/>
  <c r="I215" i="8"/>
  <c r="E215" i="8"/>
  <c r="W132" i="3"/>
  <c r="D132" i="8"/>
  <c r="AB189" i="8"/>
  <c r="AT189" i="8" s="1"/>
  <c r="H171" i="8"/>
  <c r="AL171" i="8" s="1"/>
  <c r="E171" i="8"/>
  <c r="I171" i="8"/>
  <c r="H180" i="6"/>
  <c r="AL180" i="6" s="1"/>
  <c r="E180" i="6"/>
  <c r="AJ180" i="6" s="1"/>
  <c r="I180" i="6"/>
  <c r="AB190" i="8"/>
  <c r="AT190" i="8" s="1"/>
  <c r="D133" i="8"/>
  <c r="AB195" i="8"/>
  <c r="AT195" i="8" s="1"/>
  <c r="E188" i="6"/>
  <c r="AJ188" i="6" s="1"/>
  <c r="H188" i="6"/>
  <c r="AL188" i="6" s="1"/>
  <c r="I188" i="6"/>
  <c r="E183" i="8"/>
  <c r="H183" i="8"/>
  <c r="I183" i="8"/>
  <c r="R114" i="3"/>
  <c r="AN61" i="3"/>
  <c r="AB194" i="6"/>
  <c r="AT194" i="6" s="1"/>
  <c r="D137" i="6"/>
  <c r="H211" i="6"/>
  <c r="AL211" i="6" s="1"/>
  <c r="I211" i="6"/>
  <c r="E211" i="6"/>
  <c r="AJ211" i="6" s="1"/>
  <c r="I191" i="8"/>
  <c r="H191" i="8"/>
  <c r="AL191" i="8" s="1"/>
  <c r="E191" i="8"/>
  <c r="AJ191" i="8" s="1"/>
  <c r="W127" i="6"/>
  <c r="E178" i="6"/>
  <c r="AJ178" i="6" s="1"/>
  <c r="I178" i="6"/>
  <c r="H178" i="6"/>
  <c r="AL178" i="6" s="1"/>
  <c r="W136" i="8"/>
  <c r="I200" i="6"/>
  <c r="H200" i="6"/>
  <c r="AL200" i="6" s="1"/>
  <c r="E200" i="6"/>
  <c r="AJ200" i="6" s="1"/>
  <c r="I189" i="3"/>
  <c r="E189" i="3"/>
  <c r="AJ189" i="3" s="1"/>
  <c r="H189" i="3"/>
  <c r="AL189" i="3" s="1"/>
  <c r="H179" i="6"/>
  <c r="AL179" i="6" s="1"/>
  <c r="I179" i="6"/>
  <c r="E179" i="6"/>
  <c r="AJ179" i="6" s="1"/>
  <c r="D137" i="8"/>
  <c r="AB194" i="8"/>
  <c r="AT194" i="8" s="1"/>
  <c r="R115" i="6"/>
  <c r="AN62" i="6"/>
  <c r="K114" i="8"/>
  <c r="N114" i="8" s="1"/>
  <c r="AB180" i="6"/>
  <c r="AT180" i="6" s="1"/>
  <c r="D123" i="6"/>
  <c r="I210" i="6"/>
  <c r="E210" i="6"/>
  <c r="AJ210" i="6" s="1"/>
  <c r="H210" i="6"/>
  <c r="AL210" i="6" s="1"/>
  <c r="AB188" i="6"/>
  <c r="AT188" i="6" s="1"/>
  <c r="D131" i="6"/>
  <c r="W150" i="8"/>
  <c r="AB207" i="8"/>
  <c r="AT207" i="8" s="1"/>
  <c r="D150" i="8"/>
  <c r="D126" i="8"/>
  <c r="W144" i="3"/>
  <c r="AB201" i="3"/>
  <c r="AT201" i="3" s="1"/>
  <c r="D144" i="3"/>
  <c r="I178" i="3"/>
  <c r="H178" i="3"/>
  <c r="AL178" i="3" s="1"/>
  <c r="E178" i="3"/>
  <c r="AJ178" i="3" s="1"/>
  <c r="AB201" i="6"/>
  <c r="AT201" i="6" s="1"/>
  <c r="W144" i="6"/>
  <c r="D144" i="6"/>
  <c r="H172" i="8"/>
  <c r="AL172" i="8" s="1"/>
  <c r="E172" i="8"/>
  <c r="AJ172" i="8" s="1"/>
  <c r="I172" i="8"/>
  <c r="AB213" i="3"/>
  <c r="AT213" i="3" s="1"/>
  <c r="D156" i="3"/>
  <c r="I197" i="3"/>
  <c r="H197" i="3"/>
  <c r="AL197" i="3" s="1"/>
  <c r="E197" i="3"/>
  <c r="AJ197" i="3" s="1"/>
  <c r="AB176" i="3"/>
  <c r="AT176" i="3" s="1"/>
  <c r="D119" i="3"/>
  <c r="V119" i="3"/>
  <c r="K119" i="3"/>
  <c r="W133" i="3"/>
  <c r="E205" i="6"/>
  <c r="AJ205" i="6" s="1"/>
  <c r="I205" i="6"/>
  <c r="H205" i="6"/>
  <c r="AL205" i="6" s="1"/>
  <c r="H208" i="8"/>
  <c r="AL208" i="8" s="1"/>
  <c r="E208" i="8"/>
  <c r="AJ208" i="8" s="1"/>
  <c r="I208" i="8"/>
  <c r="D151" i="8"/>
  <c r="AB208" i="8"/>
  <c r="AT208" i="8" s="1"/>
  <c r="E210" i="3"/>
  <c r="AJ210" i="3" s="1"/>
  <c r="H210" i="3"/>
  <c r="AL210" i="3" s="1"/>
  <c r="I210" i="3"/>
  <c r="R115" i="3"/>
  <c r="AN62" i="3"/>
  <c r="I197" i="6"/>
  <c r="H197" i="6"/>
  <c r="AL197" i="6" s="1"/>
  <c r="E197" i="6"/>
  <c r="AJ197" i="6" s="1"/>
  <c r="E192" i="8"/>
  <c r="AJ192" i="8" s="1"/>
  <c r="I192" i="8"/>
  <c r="H192" i="8"/>
  <c r="AL192" i="8" s="1"/>
  <c r="I209" i="3"/>
  <c r="E209" i="3"/>
  <c r="AJ209" i="3" s="1"/>
  <c r="H209" i="3"/>
  <c r="AL209" i="3" s="1"/>
  <c r="AB193" i="6"/>
  <c r="AT193" i="6" s="1"/>
  <c r="D136" i="6"/>
  <c r="H209" i="6"/>
  <c r="AL209" i="6" s="1"/>
  <c r="E209" i="6"/>
  <c r="AJ209" i="6" s="1"/>
  <c r="I209" i="6"/>
  <c r="W148" i="3"/>
  <c r="D148" i="3"/>
  <c r="AB205" i="3"/>
  <c r="AT205" i="3" s="1"/>
  <c r="D128" i="3"/>
  <c r="AB185" i="3"/>
  <c r="AT185" i="3" s="1"/>
  <c r="W128" i="3"/>
  <c r="AB181" i="6"/>
  <c r="AT181" i="6" s="1"/>
  <c r="D124" i="6"/>
  <c r="I213" i="6"/>
  <c r="H213" i="6"/>
  <c r="AL213" i="6" s="1"/>
  <c r="E213" i="6"/>
  <c r="AJ213" i="6" s="1"/>
  <c r="E201" i="3"/>
  <c r="AJ201" i="3" s="1"/>
  <c r="I201" i="3"/>
  <c r="H201" i="3"/>
  <c r="AL201" i="3" s="1"/>
  <c r="I200" i="8"/>
  <c r="H200" i="8"/>
  <c r="E200" i="8"/>
  <c r="AJ200" i="8" s="1"/>
  <c r="I213" i="3"/>
  <c r="H213" i="3"/>
  <c r="AL213" i="3" s="1"/>
  <c r="E213" i="3"/>
  <c r="AJ213" i="3" s="1"/>
  <c r="Z119" i="3"/>
  <c r="AF119" i="3" s="1"/>
  <c r="W157" i="3"/>
  <c r="D157" i="3"/>
  <c r="AB214" i="3"/>
  <c r="AT214" i="3" s="1"/>
  <c r="E190" i="3"/>
  <c r="AJ190" i="3" s="1"/>
  <c r="H190" i="3"/>
  <c r="AL190" i="3" s="1"/>
  <c r="I190" i="3"/>
  <c r="AN64" i="3"/>
  <c r="R117" i="3"/>
  <c r="AN63" i="6"/>
  <c r="R116" i="6"/>
  <c r="AB189" i="6"/>
  <c r="AT189" i="6" s="1"/>
  <c r="D132" i="6"/>
  <c r="D148" i="6"/>
  <c r="W148" i="6"/>
  <c r="AB205" i="6"/>
  <c r="AT205" i="6" s="1"/>
  <c r="E176" i="8"/>
  <c r="AJ176" i="8" s="1"/>
  <c r="H176" i="8"/>
  <c r="AL176" i="8" s="1"/>
  <c r="I176" i="8"/>
  <c r="W153" i="3"/>
  <c r="AB210" i="3"/>
  <c r="AT210" i="3" s="1"/>
  <c r="D153" i="3"/>
  <c r="H188" i="3"/>
  <c r="AL188" i="3" s="1"/>
  <c r="E188" i="3"/>
  <c r="AJ188" i="3" s="1"/>
  <c r="I188" i="3"/>
  <c r="E172" i="3"/>
  <c r="AJ172" i="3" s="1"/>
  <c r="H172" i="3"/>
  <c r="AL172" i="3" s="1"/>
  <c r="I172" i="3"/>
  <c r="AB197" i="6"/>
  <c r="AT197" i="6" s="1"/>
  <c r="D140" i="6"/>
  <c r="W140" i="6"/>
  <c r="D152" i="3"/>
  <c r="AB209" i="3"/>
  <c r="AT209" i="3" s="1"/>
  <c r="E187" i="3"/>
  <c r="AJ187" i="3" s="1"/>
  <c r="H187" i="3"/>
  <c r="AL187" i="3" s="1"/>
  <c r="I187" i="3"/>
  <c r="I193" i="6"/>
  <c r="E193" i="6"/>
  <c r="AJ193" i="6" s="1"/>
  <c r="H193" i="6"/>
  <c r="AL193" i="6" s="1"/>
  <c r="AB209" i="6"/>
  <c r="AT209" i="6" s="1"/>
  <c r="W152" i="6"/>
  <c r="D152" i="6"/>
  <c r="H184" i="8"/>
  <c r="AL184" i="8" s="1"/>
  <c r="I184" i="8"/>
  <c r="E184" i="8"/>
  <c r="AJ184" i="8" s="1"/>
  <c r="D156" i="6"/>
  <c r="W156" i="6"/>
  <c r="AB213" i="6"/>
  <c r="AT213" i="6" s="1"/>
  <c r="H181" i="3"/>
  <c r="AL181" i="3" s="1"/>
  <c r="E181" i="3"/>
  <c r="AJ181" i="3" s="1"/>
  <c r="I181" i="3"/>
  <c r="AB178" i="3"/>
  <c r="AT178" i="3" s="1"/>
  <c r="D121" i="3"/>
  <c r="S115" i="8"/>
  <c r="AN62" i="8"/>
  <c r="AB172" i="8"/>
  <c r="AT172" i="8" s="1"/>
  <c r="D115" i="8"/>
  <c r="V115" i="8"/>
  <c r="Z115" i="8" s="1"/>
  <c r="AF115" i="8" s="1"/>
  <c r="K115" i="8"/>
  <c r="D140" i="3"/>
  <c r="AB197" i="3"/>
  <c r="AT197" i="3" s="1"/>
  <c r="AN66" i="3"/>
  <c r="N119" i="3"/>
  <c r="R119" i="3"/>
  <c r="E206" i="3"/>
  <c r="AJ206" i="3" s="1"/>
  <c r="H206" i="3"/>
  <c r="AL206" i="3" s="1"/>
  <c r="I206" i="3"/>
  <c r="I183" i="3"/>
  <c r="H183" i="3"/>
  <c r="AL183" i="3" s="1"/>
  <c r="E183" i="3"/>
  <c r="AJ183" i="3" s="1"/>
  <c r="I174" i="3"/>
  <c r="E174" i="3"/>
  <c r="AJ174" i="3" s="1"/>
  <c r="H174" i="3"/>
  <c r="AL174" i="3" s="1"/>
  <c r="H173" i="6"/>
  <c r="AL173" i="6" s="1"/>
  <c r="E173" i="6"/>
  <c r="AJ173" i="6" s="1"/>
  <c r="I173" i="6"/>
  <c r="S119" i="8"/>
  <c r="AN66" i="8"/>
  <c r="D131" i="3"/>
  <c r="AB188" i="3"/>
  <c r="AT188" i="3" s="1"/>
  <c r="W115" i="3"/>
  <c r="K115" i="3"/>
  <c r="V115" i="3"/>
  <c r="D115" i="3"/>
  <c r="AB172" i="3"/>
  <c r="AT172" i="3" s="1"/>
  <c r="D135" i="8"/>
  <c r="AB192" i="8"/>
  <c r="AT192" i="8" s="1"/>
  <c r="D130" i="3"/>
  <c r="W130" i="3"/>
  <c r="AB187" i="3"/>
  <c r="AT187" i="3" s="1"/>
  <c r="E177" i="6"/>
  <c r="AJ177" i="6" s="1"/>
  <c r="I177" i="6"/>
  <c r="H177" i="6"/>
  <c r="AL177" i="6" s="1"/>
  <c r="E216" i="8"/>
  <c r="H216" i="8"/>
  <c r="I216" i="8"/>
  <c r="I205" i="3"/>
  <c r="H205" i="3"/>
  <c r="AL205" i="3" s="1"/>
  <c r="E205" i="3"/>
  <c r="AJ205" i="3" s="1"/>
  <c r="E202" i="3"/>
  <c r="AJ202" i="3" s="1"/>
  <c r="H202" i="3"/>
  <c r="AL202" i="3" s="1"/>
  <c r="I202" i="3"/>
  <c r="D145" i="3"/>
  <c r="AB202" i="3"/>
  <c r="AT202" i="3" s="1"/>
  <c r="AB181" i="3"/>
  <c r="AT181" i="3" s="1"/>
  <c r="D124" i="3"/>
  <c r="E185" i="6"/>
  <c r="AJ185" i="6" s="1"/>
  <c r="H185" i="6"/>
  <c r="AL185" i="6" s="1"/>
  <c r="I185" i="6"/>
  <c r="AB185" i="6"/>
  <c r="AT185" i="6" s="1"/>
  <c r="D128" i="6"/>
  <c r="E201" i="6"/>
  <c r="AJ201" i="6" s="1"/>
  <c r="I201" i="6"/>
  <c r="H201" i="6"/>
  <c r="AL201" i="6" s="1"/>
  <c r="D143" i="8"/>
  <c r="E176" i="3"/>
  <c r="AJ176" i="3" s="1"/>
  <c r="H176" i="3"/>
  <c r="AL176" i="3" s="1"/>
  <c r="I176" i="3"/>
  <c r="D149" i="3"/>
  <c r="AB206" i="3"/>
  <c r="AT206" i="3" s="1"/>
  <c r="D126" i="3"/>
  <c r="AB183" i="3"/>
  <c r="AT183" i="3" s="1"/>
  <c r="I214" i="3"/>
  <c r="H214" i="3"/>
  <c r="AL214" i="3" s="1"/>
  <c r="E214" i="3"/>
  <c r="AJ214" i="3" s="1"/>
  <c r="D133" i="3"/>
  <c r="AB190" i="3"/>
  <c r="AT190" i="3" s="1"/>
  <c r="W117" i="3"/>
  <c r="AB174" i="3"/>
  <c r="AT174" i="3" s="1"/>
  <c r="D117" i="3"/>
  <c r="K117" i="3"/>
  <c r="V117" i="3"/>
  <c r="W116" i="6"/>
  <c r="K116" i="6"/>
  <c r="D116" i="6"/>
  <c r="AB173" i="6"/>
  <c r="AT173" i="6" s="1"/>
  <c r="V116" i="6"/>
  <c r="H189" i="6"/>
  <c r="AL189" i="6" s="1"/>
  <c r="I189" i="6"/>
  <c r="E189" i="6"/>
  <c r="AJ189" i="6" s="1"/>
  <c r="AB176" i="8"/>
  <c r="AT176" i="8" s="1"/>
  <c r="D119" i="8"/>
  <c r="V119" i="8"/>
  <c r="K119" i="8"/>
  <c r="D120" i="6"/>
  <c r="AB177" i="6"/>
  <c r="AT177" i="6" s="1"/>
  <c r="W120" i="6"/>
  <c r="D127" i="8"/>
  <c r="AB184" i="8"/>
  <c r="AT184" i="8" s="1"/>
  <c r="E185" i="3"/>
  <c r="AJ185" i="3" s="1"/>
  <c r="H185" i="3"/>
  <c r="AL185" i="3" s="1"/>
  <c r="I185" i="3"/>
  <c r="E181" i="6"/>
  <c r="AJ181" i="6" s="1"/>
  <c r="I181" i="6"/>
  <c r="H181" i="6"/>
  <c r="AL181" i="6" s="1"/>
  <c r="W126" i="3"/>
  <c r="E203" i="3"/>
  <c r="AJ203" i="3" s="1"/>
  <c r="I203" i="3"/>
  <c r="H203" i="3"/>
  <c r="AL203" i="3" s="1"/>
  <c r="I170" i="3"/>
  <c r="H170" i="3"/>
  <c r="AL170" i="3" s="1"/>
  <c r="E170" i="3"/>
  <c r="AJ170" i="3" s="1"/>
  <c r="D134" i="3"/>
  <c r="AB191" i="3"/>
  <c r="AT191" i="3" s="1"/>
  <c r="I194" i="3"/>
  <c r="H194" i="3"/>
  <c r="AL194" i="3" s="1"/>
  <c r="E194" i="3"/>
  <c r="AJ194" i="3" s="1"/>
  <c r="D137" i="3"/>
  <c r="AB194" i="3"/>
  <c r="AT194" i="3" s="1"/>
  <c r="D142" i="3"/>
  <c r="AB199" i="3"/>
  <c r="AT199" i="3" s="1"/>
  <c r="W139" i="3"/>
  <c r="D139" i="3"/>
  <c r="AB196" i="3"/>
  <c r="AT196" i="3" s="1"/>
  <c r="D141" i="3"/>
  <c r="AB198" i="3"/>
  <c r="AT198" i="3" s="1"/>
  <c r="W141" i="3"/>
  <c r="W134" i="3"/>
  <c r="I215" i="3"/>
  <c r="E215" i="3"/>
  <c r="AJ215" i="3" s="1"/>
  <c r="H215" i="3"/>
  <c r="AL215" i="3" s="1"/>
  <c r="H179" i="3"/>
  <c r="AL179" i="3" s="1"/>
  <c r="I179" i="3"/>
  <c r="E179" i="3"/>
  <c r="AJ179" i="3" s="1"/>
  <c r="I207" i="3"/>
  <c r="E207" i="3"/>
  <c r="AJ207" i="3" s="1"/>
  <c r="H207" i="3"/>
  <c r="AL207" i="3" s="1"/>
  <c r="D146" i="3"/>
  <c r="AB203" i="3"/>
  <c r="AT203" i="3" s="1"/>
  <c r="W146" i="3"/>
  <c r="AB170" i="3"/>
  <c r="AT170" i="3" s="1"/>
  <c r="D113" i="3"/>
  <c r="W113" i="3"/>
  <c r="W137" i="3"/>
  <c r="AB215" i="3"/>
  <c r="AT215" i="3" s="1"/>
  <c r="D158" i="3"/>
  <c r="AB207" i="3"/>
  <c r="AT207" i="3" s="1"/>
  <c r="D150" i="3"/>
  <c r="I211" i="3"/>
  <c r="E211" i="3"/>
  <c r="AJ211" i="3" s="1"/>
  <c r="H211" i="3"/>
  <c r="AL211" i="3" s="1"/>
  <c r="I196" i="3"/>
  <c r="E196" i="3"/>
  <c r="AJ196" i="3" s="1"/>
  <c r="H196" i="3"/>
  <c r="AL196" i="3" s="1"/>
  <c r="I198" i="3"/>
  <c r="H198" i="3"/>
  <c r="AL198" i="3" s="1"/>
  <c r="E198" i="3"/>
  <c r="AJ198" i="3" s="1"/>
  <c r="W135" i="3"/>
  <c r="AB192" i="3"/>
  <c r="AT192" i="3" s="1"/>
  <c r="D135" i="3"/>
  <c r="AN60" i="3"/>
  <c r="R113" i="3"/>
  <c r="I191" i="3"/>
  <c r="E191" i="3"/>
  <c r="AJ191" i="3" s="1"/>
  <c r="H191" i="3"/>
  <c r="AL191" i="3" s="1"/>
  <c r="E199" i="3"/>
  <c r="AJ199" i="3" s="1"/>
  <c r="H199" i="3"/>
  <c r="AL199" i="3" s="1"/>
  <c r="I199" i="3"/>
  <c r="D122" i="3"/>
  <c r="AB179" i="3"/>
  <c r="AT179" i="3" s="1"/>
  <c r="W122" i="3"/>
  <c r="AN174" i="8"/>
  <c r="AB211" i="3"/>
  <c r="AT211" i="3" s="1"/>
  <c r="D154" i="3"/>
  <c r="H192" i="3"/>
  <c r="AL192" i="3" s="1"/>
  <c r="I192" i="3"/>
  <c r="E192" i="3"/>
  <c r="AJ192" i="3" s="1"/>
  <c r="CJ551" i="37"/>
  <c r="CK297" i="37"/>
  <c r="CB107" i="37"/>
  <c r="CL551" i="37"/>
  <c r="CS47" i="37"/>
  <c r="CR551" i="37"/>
  <c r="CR171" i="37"/>
  <c r="CI47" i="37"/>
  <c r="CA171" i="37"/>
  <c r="CB487" i="37"/>
  <c r="CL171" i="37"/>
  <c r="CA423" i="37"/>
  <c r="CI107" i="37"/>
  <c r="CK551" i="37"/>
  <c r="CB616" i="37"/>
  <c r="CI297" i="37"/>
  <c r="CR616" i="37"/>
  <c r="CB551" i="37"/>
  <c r="CA551" i="37"/>
  <c r="CB297" i="37"/>
  <c r="CC487" i="37"/>
  <c r="CC423" i="37"/>
  <c r="CS107" i="37"/>
  <c r="CS171" i="37"/>
  <c r="CJ297" i="37"/>
  <c r="CS616" i="37"/>
  <c r="CS551" i="37"/>
  <c r="CL616" i="37"/>
  <c r="CL47" i="37"/>
  <c r="CK487" i="37"/>
  <c r="CJ616" i="37"/>
  <c r="CS360" i="37"/>
  <c r="CK616" i="37"/>
  <c r="CI487" i="37"/>
  <c r="CC171" i="37"/>
  <c r="CB423" i="37"/>
  <c r="CC551" i="37"/>
  <c r="CJ423" i="37"/>
  <c r="CI360" i="37"/>
  <c r="CL297" i="37"/>
  <c r="CS297" i="37"/>
  <c r="CI423" i="37"/>
  <c r="CS423" i="37"/>
  <c r="CA297" i="37"/>
  <c r="CK47" i="37"/>
  <c r="CA360" i="37"/>
  <c r="CB360" i="37"/>
  <c r="CL360" i="37"/>
  <c r="CR360" i="37"/>
  <c r="CL487" i="37"/>
  <c r="CC107" i="37"/>
  <c r="CA616" i="37"/>
  <c r="CK171" i="37"/>
  <c r="CR423" i="37"/>
  <c r="CC616" i="37"/>
  <c r="CA47" i="37"/>
  <c r="CR47" i="37"/>
  <c r="CK107" i="37"/>
  <c r="CR487" i="37"/>
  <c r="CR297" i="37"/>
  <c r="CB47" i="37"/>
  <c r="CA107" i="37"/>
  <c r="CJ171" i="37"/>
  <c r="CC297" i="37"/>
  <c r="CC360" i="37"/>
  <c r="CS487" i="37"/>
  <c r="CI551" i="37"/>
  <c r="CR107" i="37"/>
  <c r="CL107" i="37"/>
  <c r="CJ487" i="37"/>
  <c r="CJ107" i="37"/>
  <c r="CC47" i="37"/>
  <c r="CI616" i="37"/>
  <c r="CK423" i="37"/>
  <c r="CB171" i="37"/>
  <c r="CK360" i="37"/>
  <c r="CA487" i="37"/>
  <c r="CJ47" i="37"/>
  <c r="CL423" i="37"/>
  <c r="CI171" i="37"/>
  <c r="CJ360" i="37"/>
  <c r="DO419" i="34" l="1"/>
  <c r="DP419" i="34"/>
  <c r="BU339" i="34"/>
  <c r="W122" i="8"/>
  <c r="AJ179" i="8"/>
  <c r="AL196" i="8"/>
  <c r="AB209" i="40"/>
  <c r="AT209" i="40" s="1"/>
  <c r="AL209" i="40"/>
  <c r="D152" i="40"/>
  <c r="AK209" i="40"/>
  <c r="AJ209" i="40"/>
  <c r="W152" i="40"/>
  <c r="J209" i="8"/>
  <c r="K209" i="8"/>
  <c r="AK209" i="8"/>
  <c r="J213" i="8"/>
  <c r="AK213" i="8" s="1"/>
  <c r="K213" i="8"/>
  <c r="W138" i="8"/>
  <c r="D122" i="8"/>
  <c r="AJ195" i="8"/>
  <c r="AL179" i="8"/>
  <c r="AJ196" i="8"/>
  <c r="D139" i="8"/>
  <c r="D152" i="8"/>
  <c r="AB209" i="8"/>
  <c r="AT209" i="8" s="1"/>
  <c r="W152" i="8"/>
  <c r="AJ209" i="8"/>
  <c r="AB202" i="8"/>
  <c r="AT202" i="8" s="1"/>
  <c r="D145" i="8"/>
  <c r="W145" i="8"/>
  <c r="AB196" i="8"/>
  <c r="AT196" i="8" s="1"/>
  <c r="K202" i="8"/>
  <c r="J202" i="8"/>
  <c r="AK202" i="8" s="1"/>
  <c r="W145" i="40"/>
  <c r="AL202" i="40"/>
  <c r="AB202" i="40"/>
  <c r="AT202" i="40" s="1"/>
  <c r="AK202" i="40"/>
  <c r="D145" i="40"/>
  <c r="AJ202" i="40"/>
  <c r="K182" i="6"/>
  <c r="J182" i="6"/>
  <c r="AK182" i="6" s="1"/>
  <c r="AL208" i="6"/>
  <c r="AJ186" i="6"/>
  <c r="AB187" i="6"/>
  <c r="AT187" i="6" s="1"/>
  <c r="D130" i="6"/>
  <c r="W130" i="6"/>
  <c r="D158" i="39"/>
  <c r="AL215" i="39"/>
  <c r="W158" i="39"/>
  <c r="AJ215" i="39"/>
  <c r="AB215" i="39"/>
  <c r="AT215" i="39" s="1"/>
  <c r="AK215" i="39"/>
  <c r="AJ198" i="6"/>
  <c r="AJ187" i="6"/>
  <c r="J206" i="6"/>
  <c r="AK206" i="6" s="1"/>
  <c r="K206" i="6"/>
  <c r="J208" i="6"/>
  <c r="AK208" i="6" s="1"/>
  <c r="K208" i="6"/>
  <c r="D141" i="6"/>
  <c r="W141" i="6"/>
  <c r="AB198" i="6"/>
  <c r="AT198" i="6" s="1"/>
  <c r="AB206" i="6"/>
  <c r="AT206" i="6" s="1"/>
  <c r="D149" i="6"/>
  <c r="W149" i="6"/>
  <c r="AB208" i="39"/>
  <c r="AT208" i="39" s="1"/>
  <c r="AL208" i="39"/>
  <c r="D151" i="39"/>
  <c r="AK208" i="39"/>
  <c r="W151" i="39"/>
  <c r="AJ208" i="39"/>
  <c r="AL198" i="6"/>
  <c r="AJ206" i="6"/>
  <c r="D66" i="43"/>
  <c r="E66" i="43" s="1"/>
  <c r="H66" i="43" s="1"/>
  <c r="J66" i="43" s="1"/>
  <c r="W129" i="6"/>
  <c r="AB186" i="6"/>
  <c r="AT186" i="6" s="1"/>
  <c r="D129" i="6"/>
  <c r="AB198" i="39"/>
  <c r="AT198" i="39" s="1"/>
  <c r="AJ198" i="39"/>
  <c r="W141" i="39"/>
  <c r="AK198" i="39"/>
  <c r="D141" i="39"/>
  <c r="AL198" i="39"/>
  <c r="AB206" i="39"/>
  <c r="AT206" i="39" s="1"/>
  <c r="AJ206" i="39"/>
  <c r="D149" i="39"/>
  <c r="AK206" i="39"/>
  <c r="W149" i="39"/>
  <c r="AL206" i="39"/>
  <c r="AJ208" i="6"/>
  <c r="AB208" i="6"/>
  <c r="AT208" i="6" s="1"/>
  <c r="D151" i="6"/>
  <c r="W151" i="6"/>
  <c r="AJ215" i="6"/>
  <c r="AK186" i="6"/>
  <c r="AL186" i="39"/>
  <c r="D129" i="39"/>
  <c r="AJ186" i="39"/>
  <c r="AB186" i="39"/>
  <c r="AT186" i="39" s="1"/>
  <c r="AK186" i="39"/>
  <c r="W129" i="39"/>
  <c r="AL187" i="39"/>
  <c r="AB187" i="39"/>
  <c r="AT187" i="39" s="1"/>
  <c r="AJ187" i="39"/>
  <c r="D130" i="39"/>
  <c r="AK187" i="39"/>
  <c r="W130" i="39"/>
  <c r="AL215" i="6"/>
  <c r="AB215" i="6"/>
  <c r="AT215" i="6" s="1"/>
  <c r="D158" i="6"/>
  <c r="W158" i="6"/>
  <c r="J198" i="6"/>
  <c r="AK198" i="6" s="1"/>
  <c r="K198" i="6"/>
  <c r="K187" i="6"/>
  <c r="J187" i="6"/>
  <c r="AK187" i="6" s="1"/>
  <c r="J215" i="6"/>
  <c r="AK215" i="6" s="1"/>
  <c r="K215" i="6"/>
  <c r="Z117" i="40"/>
  <c r="AF117" i="40" s="1"/>
  <c r="N117" i="40"/>
  <c r="M117" i="40"/>
  <c r="B120" i="43"/>
  <c r="B120" i="36"/>
  <c r="D120" i="36" s="1"/>
  <c r="E120" i="36" s="1"/>
  <c r="R174" i="8"/>
  <c r="AA174" i="8"/>
  <c r="AC117" i="8"/>
  <c r="AA117" i="8"/>
  <c r="AG117" i="8" s="1"/>
  <c r="Z116" i="40"/>
  <c r="AF116" i="40" s="1"/>
  <c r="AB117" i="8"/>
  <c r="AH117" i="8" s="1"/>
  <c r="AA174" i="40"/>
  <c r="AC117" i="40"/>
  <c r="AA117" i="40"/>
  <c r="AG117" i="40" s="1"/>
  <c r="AB117" i="40"/>
  <c r="AH117" i="40" s="1"/>
  <c r="Z117" i="8"/>
  <c r="AF117" i="8" s="1"/>
  <c r="L117" i="8"/>
  <c r="M117" i="8"/>
  <c r="N117" i="8"/>
  <c r="AB116" i="3"/>
  <c r="AH116" i="3" s="1"/>
  <c r="D116" i="3"/>
  <c r="K116" i="3"/>
  <c r="AB173" i="3"/>
  <c r="AT173" i="3" s="1"/>
  <c r="W116" i="3"/>
  <c r="Z116" i="3" s="1"/>
  <c r="AF116" i="3" s="1"/>
  <c r="V116" i="3"/>
  <c r="L116" i="3"/>
  <c r="D9" i="43"/>
  <c r="E9" i="43"/>
  <c r="H9" i="43" s="1"/>
  <c r="J9" i="43" s="1"/>
  <c r="AL173" i="3"/>
  <c r="W116" i="38"/>
  <c r="AK173" i="38"/>
  <c r="D116" i="38"/>
  <c r="AJ173" i="38"/>
  <c r="AB173" i="38"/>
  <c r="AT173" i="38" s="1"/>
  <c r="K116" i="38"/>
  <c r="AL173" i="38"/>
  <c r="V116" i="38"/>
  <c r="J173" i="3"/>
  <c r="AK173" i="3" s="1"/>
  <c r="K173" i="3"/>
  <c r="DP420" i="34"/>
  <c r="BU319" i="34"/>
  <c r="DL43" i="37"/>
  <c r="DJ43" i="37"/>
  <c r="BU173" i="34"/>
  <c r="AI117" i="40"/>
  <c r="AI118" i="6"/>
  <c r="M72" i="4" s="1"/>
  <c r="G113" i="8"/>
  <c r="G113" i="40"/>
  <c r="AB190" i="40"/>
  <c r="AT190" i="40" s="1"/>
  <c r="D133" i="40"/>
  <c r="W133" i="40"/>
  <c r="AL190" i="40"/>
  <c r="AJ190" i="40"/>
  <c r="AK190" i="40"/>
  <c r="W143" i="8"/>
  <c r="AL216" i="8"/>
  <c r="AL200" i="8"/>
  <c r="AB216" i="8"/>
  <c r="AT216" i="8" s="1"/>
  <c r="W126" i="8"/>
  <c r="D114" i="8"/>
  <c r="AB171" i="8"/>
  <c r="AT171" i="8" s="1"/>
  <c r="AB193" i="8"/>
  <c r="AT193" i="8" s="1"/>
  <c r="AL183" i="8"/>
  <c r="AL215" i="8"/>
  <c r="K118" i="8"/>
  <c r="D154" i="8"/>
  <c r="AL211" i="8"/>
  <c r="K116" i="8"/>
  <c r="D129" i="8"/>
  <c r="X119" i="40"/>
  <c r="H119" i="40"/>
  <c r="AC176" i="40"/>
  <c r="AU176" i="40" s="1"/>
  <c r="AB198" i="40"/>
  <c r="AT198" i="40" s="1"/>
  <c r="W141" i="40"/>
  <c r="D141" i="40"/>
  <c r="AL198" i="40"/>
  <c r="AJ198" i="40"/>
  <c r="AK198" i="40"/>
  <c r="AB172" i="40"/>
  <c r="AT172" i="40" s="1"/>
  <c r="W115" i="40"/>
  <c r="AJ172" i="40"/>
  <c r="V115" i="40"/>
  <c r="D115" i="40"/>
  <c r="K115" i="40"/>
  <c r="AL172" i="40"/>
  <c r="AK172" i="40"/>
  <c r="AB206" i="40"/>
  <c r="AT206" i="40" s="1"/>
  <c r="W149" i="40"/>
  <c r="D149" i="40"/>
  <c r="AL206" i="40"/>
  <c r="AJ206" i="40"/>
  <c r="AK206" i="40"/>
  <c r="AB189" i="40"/>
  <c r="AT189" i="40" s="1"/>
  <c r="W132" i="40"/>
  <c r="D132" i="40"/>
  <c r="AL189" i="40"/>
  <c r="AJ189" i="40"/>
  <c r="AK189" i="40"/>
  <c r="V118" i="40"/>
  <c r="K118" i="40"/>
  <c r="N118" i="40" s="1"/>
  <c r="W118" i="40"/>
  <c r="AL175" i="40"/>
  <c r="AB175" i="40"/>
  <c r="AT175" i="40" s="1"/>
  <c r="L118" i="40"/>
  <c r="D118" i="40"/>
  <c r="AJ175" i="40"/>
  <c r="AK175" i="40"/>
  <c r="AB176" i="40"/>
  <c r="AT176" i="40" s="1"/>
  <c r="D119" i="40"/>
  <c r="K119" i="40"/>
  <c r="V119" i="40"/>
  <c r="W119" i="40"/>
  <c r="L119" i="40"/>
  <c r="AL176" i="40"/>
  <c r="AJ176" i="40"/>
  <c r="AK176" i="40"/>
  <c r="AB196" i="40"/>
  <c r="AT196" i="40" s="1"/>
  <c r="D139" i="40"/>
  <c r="W139" i="40"/>
  <c r="AL196" i="40"/>
  <c r="AK196" i="40"/>
  <c r="AJ196" i="40"/>
  <c r="AB195" i="40"/>
  <c r="AT195" i="40" s="1"/>
  <c r="W138" i="40"/>
  <c r="D138" i="40"/>
  <c r="AL195" i="40"/>
  <c r="AJ195" i="40"/>
  <c r="AK195" i="40"/>
  <c r="W122" i="40"/>
  <c r="D122" i="40"/>
  <c r="AB179" i="40"/>
  <c r="AT179" i="40" s="1"/>
  <c r="AL179" i="40"/>
  <c r="AJ179" i="40"/>
  <c r="AK179" i="40"/>
  <c r="AB184" i="40"/>
  <c r="AT184" i="40" s="1"/>
  <c r="D127" i="40"/>
  <c r="W127" i="40"/>
  <c r="AJ184" i="40"/>
  <c r="AL184" i="40"/>
  <c r="AK184" i="40"/>
  <c r="AJ216" i="8"/>
  <c r="D159" i="8"/>
  <c r="W114" i="8"/>
  <c r="AJ183" i="8"/>
  <c r="AL187" i="8"/>
  <c r="W154" i="8"/>
  <c r="D158" i="8"/>
  <c r="V116" i="8"/>
  <c r="AJ186" i="8"/>
  <c r="L116" i="40"/>
  <c r="N116" i="40"/>
  <c r="AB207" i="40"/>
  <c r="AT207" i="40" s="1"/>
  <c r="W150" i="40"/>
  <c r="D150" i="40"/>
  <c r="AL207" i="40"/>
  <c r="AJ207" i="40"/>
  <c r="AK207" i="40"/>
  <c r="AB194" i="40"/>
  <c r="AT194" i="40" s="1"/>
  <c r="D137" i="40"/>
  <c r="W137" i="40"/>
  <c r="AL194" i="40"/>
  <c r="AJ194" i="40"/>
  <c r="AK194" i="40"/>
  <c r="AB192" i="40"/>
  <c r="AT192" i="40" s="1"/>
  <c r="D135" i="40"/>
  <c r="W135" i="40"/>
  <c r="AJ192" i="40"/>
  <c r="AL192" i="40"/>
  <c r="AK192" i="40"/>
  <c r="W128" i="40"/>
  <c r="D128" i="40"/>
  <c r="AB185" i="40"/>
  <c r="AT185" i="40" s="1"/>
  <c r="AL185" i="40"/>
  <c r="AJ185" i="40"/>
  <c r="AK185" i="40"/>
  <c r="AB191" i="40"/>
  <c r="AT191" i="40" s="1"/>
  <c r="D134" i="40"/>
  <c r="W134" i="40"/>
  <c r="AJ191" i="40"/>
  <c r="AK191" i="40"/>
  <c r="AL191" i="40"/>
  <c r="AB208" i="40"/>
  <c r="AT208" i="40" s="1"/>
  <c r="W151" i="40"/>
  <c r="D151" i="40"/>
  <c r="AL208" i="40"/>
  <c r="AJ208" i="40"/>
  <c r="AK208" i="40"/>
  <c r="AJ171" i="8"/>
  <c r="AJ215" i="8"/>
  <c r="AL193" i="8"/>
  <c r="AB187" i="8"/>
  <c r="AT187" i="8" s="1"/>
  <c r="V118" i="8"/>
  <c r="Z118" i="8" s="1"/>
  <c r="AF118" i="8" s="1"/>
  <c r="AJ187" i="8"/>
  <c r="H116" i="8"/>
  <c r="AL186" i="8"/>
  <c r="AA173" i="40"/>
  <c r="AC116" i="40"/>
  <c r="AB116" i="40"/>
  <c r="AB186" i="40"/>
  <c r="AT186" i="40" s="1"/>
  <c r="D129" i="40"/>
  <c r="AJ186" i="40"/>
  <c r="W129" i="40"/>
  <c r="AL186" i="40"/>
  <c r="AK186" i="40"/>
  <c r="AB187" i="40"/>
  <c r="AT187" i="40" s="1"/>
  <c r="D130" i="40"/>
  <c r="W130" i="40"/>
  <c r="AJ187" i="40"/>
  <c r="AL187" i="40"/>
  <c r="AK187" i="40"/>
  <c r="D126" i="40"/>
  <c r="W126" i="40"/>
  <c r="AB183" i="40"/>
  <c r="AT183" i="40" s="1"/>
  <c r="AJ183" i="40"/>
  <c r="AL183" i="40"/>
  <c r="AK183" i="40"/>
  <c r="AB215" i="40"/>
  <c r="AT215" i="40" s="1"/>
  <c r="W158" i="40"/>
  <c r="D158" i="40"/>
  <c r="AJ215" i="40"/>
  <c r="AL215" i="40"/>
  <c r="AK215" i="40"/>
  <c r="AB193" i="40"/>
  <c r="AT193" i="40" s="1"/>
  <c r="W136" i="40"/>
  <c r="D136" i="40"/>
  <c r="AL193" i="40"/>
  <c r="AJ193" i="40"/>
  <c r="AK193" i="40"/>
  <c r="AB200" i="40"/>
  <c r="AT200" i="40" s="1"/>
  <c r="D143" i="40"/>
  <c r="W143" i="40"/>
  <c r="AL200" i="40"/>
  <c r="AJ200" i="40"/>
  <c r="AK200" i="40"/>
  <c r="AC175" i="40"/>
  <c r="AU175" i="40" s="1"/>
  <c r="X118" i="40"/>
  <c r="M118" i="40"/>
  <c r="H118" i="40"/>
  <c r="AC173" i="40"/>
  <c r="AU173" i="40" s="1"/>
  <c r="H116" i="40"/>
  <c r="M116" i="40"/>
  <c r="X116" i="40"/>
  <c r="V114" i="40"/>
  <c r="K114" i="40"/>
  <c r="AB171" i="40"/>
  <c r="AT171" i="40" s="1"/>
  <c r="D114" i="40"/>
  <c r="W114" i="40"/>
  <c r="Z114" i="40" s="1"/>
  <c r="AL171" i="40"/>
  <c r="AJ171" i="40"/>
  <c r="AK171" i="40"/>
  <c r="AB211" i="40"/>
  <c r="AT211" i="40" s="1"/>
  <c r="AL211" i="40"/>
  <c r="D154" i="40"/>
  <c r="W154" i="40"/>
  <c r="AJ211" i="40"/>
  <c r="AK211" i="40"/>
  <c r="AB216" i="40"/>
  <c r="AT216" i="40" s="1"/>
  <c r="D159" i="40"/>
  <c r="W159" i="40"/>
  <c r="AL216" i="40"/>
  <c r="AJ216" i="40"/>
  <c r="AK216" i="40"/>
  <c r="AB204" i="39"/>
  <c r="AT204" i="39" s="1"/>
  <c r="W147" i="39"/>
  <c r="D147" i="39"/>
  <c r="AL204" i="39"/>
  <c r="AJ204" i="39"/>
  <c r="AK204" i="39"/>
  <c r="W148" i="39"/>
  <c r="AB205" i="39"/>
  <c r="AT205" i="39" s="1"/>
  <c r="D148" i="39"/>
  <c r="AJ205" i="39"/>
  <c r="AL205" i="39"/>
  <c r="AK205" i="39"/>
  <c r="AB196" i="39"/>
  <c r="AT196" i="39" s="1"/>
  <c r="D139" i="39"/>
  <c r="W139" i="39"/>
  <c r="AJ196" i="39"/>
  <c r="AL196" i="39"/>
  <c r="AK196" i="39"/>
  <c r="AB189" i="39"/>
  <c r="AT189" i="39" s="1"/>
  <c r="D132" i="39"/>
  <c r="W132" i="39"/>
  <c r="AL189" i="39"/>
  <c r="AJ189" i="39"/>
  <c r="AK189" i="39"/>
  <c r="AB195" i="39"/>
  <c r="AT195" i="39" s="1"/>
  <c r="D138" i="39"/>
  <c r="W138" i="39"/>
  <c r="AJ195" i="39"/>
  <c r="AL195" i="39"/>
  <c r="AK195" i="39"/>
  <c r="AM171" i="39"/>
  <c r="AN171" i="39" s="1"/>
  <c r="AB210" i="39"/>
  <c r="AT210" i="39" s="1"/>
  <c r="W153" i="39"/>
  <c r="D153" i="39"/>
  <c r="AJ210" i="39"/>
  <c r="AL210" i="39"/>
  <c r="AK210" i="39"/>
  <c r="D120" i="39"/>
  <c r="AB177" i="39"/>
  <c r="AT177" i="39" s="1"/>
  <c r="W120" i="39"/>
  <c r="AL177" i="39"/>
  <c r="AJ177" i="39"/>
  <c r="AK177" i="39"/>
  <c r="AC118" i="39"/>
  <c r="AA175" i="39"/>
  <c r="AB118" i="39"/>
  <c r="AA118" i="39"/>
  <c r="AC174" i="39"/>
  <c r="AU174" i="39" s="1"/>
  <c r="H117" i="39"/>
  <c r="X117" i="39"/>
  <c r="AB188" i="39"/>
  <c r="AT188" i="39" s="1"/>
  <c r="D131" i="39"/>
  <c r="W131" i="39"/>
  <c r="AL188" i="39"/>
  <c r="AJ188" i="39"/>
  <c r="AK188" i="39"/>
  <c r="D122" i="39"/>
  <c r="AB179" i="39"/>
  <c r="AT179" i="39" s="1"/>
  <c r="W122" i="39"/>
  <c r="AL179" i="39"/>
  <c r="AK179" i="39"/>
  <c r="AJ179" i="39"/>
  <c r="AB212" i="39"/>
  <c r="AT212" i="39" s="1"/>
  <c r="W155" i="39"/>
  <c r="D155" i="39"/>
  <c r="AL212" i="39"/>
  <c r="AJ212" i="39"/>
  <c r="AK212" i="39"/>
  <c r="AB194" i="39"/>
  <c r="AT194" i="39" s="1"/>
  <c r="D137" i="39"/>
  <c r="W137" i="39"/>
  <c r="AJ194" i="39"/>
  <c r="AL194" i="39"/>
  <c r="AK194" i="39"/>
  <c r="AB173" i="39"/>
  <c r="AT173" i="39" s="1"/>
  <c r="K116" i="39"/>
  <c r="V116" i="39"/>
  <c r="W116" i="39"/>
  <c r="D116" i="39"/>
  <c r="AL173" i="39"/>
  <c r="AJ173" i="39"/>
  <c r="AK173" i="39"/>
  <c r="AB197" i="39"/>
  <c r="AT197" i="39" s="1"/>
  <c r="D140" i="39"/>
  <c r="W140" i="39"/>
  <c r="AL197" i="39"/>
  <c r="AJ197" i="39"/>
  <c r="AK197" i="39"/>
  <c r="H115" i="6"/>
  <c r="AC172" i="6"/>
  <c r="AU172" i="6" s="1"/>
  <c r="X115" i="6"/>
  <c r="AM172" i="6" s="1"/>
  <c r="AN172" i="6" s="1"/>
  <c r="M118" i="39"/>
  <c r="N118" i="39"/>
  <c r="AB178" i="39"/>
  <c r="AT178" i="39" s="1"/>
  <c r="D121" i="39"/>
  <c r="W121" i="39"/>
  <c r="AL178" i="39"/>
  <c r="AJ178" i="39"/>
  <c r="AK178" i="39"/>
  <c r="AB193" i="39"/>
  <c r="AT193" i="39" s="1"/>
  <c r="D136" i="39"/>
  <c r="W136" i="39"/>
  <c r="AL193" i="39"/>
  <c r="AJ193" i="39"/>
  <c r="AK193" i="39"/>
  <c r="AC118" i="6"/>
  <c r="AA175" i="6"/>
  <c r="AB213" i="39"/>
  <c r="AT213" i="39" s="1"/>
  <c r="W156" i="39"/>
  <c r="D156" i="39"/>
  <c r="AL213" i="39"/>
  <c r="AJ213" i="39"/>
  <c r="AK213" i="39"/>
  <c r="AB201" i="39"/>
  <c r="AT201" i="39" s="1"/>
  <c r="D144" i="39"/>
  <c r="W144" i="39"/>
  <c r="AL201" i="39"/>
  <c r="AJ201" i="39"/>
  <c r="AK201" i="39"/>
  <c r="V117" i="39"/>
  <c r="AB171" i="39"/>
  <c r="AT171" i="39" s="1"/>
  <c r="K114" i="39"/>
  <c r="V114" i="39"/>
  <c r="D114" i="39"/>
  <c r="W114" i="39"/>
  <c r="L114" i="39"/>
  <c r="AJ171" i="39"/>
  <c r="AL171" i="39"/>
  <c r="AK171" i="39"/>
  <c r="AB209" i="39"/>
  <c r="AT209" i="39" s="1"/>
  <c r="D152" i="39"/>
  <c r="W152" i="39"/>
  <c r="AL209" i="39"/>
  <c r="AJ209" i="39"/>
  <c r="AK209" i="39"/>
  <c r="AB211" i="39"/>
  <c r="AT211" i="39" s="1"/>
  <c r="W154" i="39"/>
  <c r="D154" i="39"/>
  <c r="AL211" i="39"/>
  <c r="AJ211" i="39"/>
  <c r="AK211" i="39"/>
  <c r="G119" i="6"/>
  <c r="G119" i="39"/>
  <c r="AC172" i="39"/>
  <c r="AU172" i="39" s="1"/>
  <c r="H115" i="39"/>
  <c r="X115" i="39"/>
  <c r="Z118" i="39"/>
  <c r="AC170" i="39"/>
  <c r="AU170" i="39" s="1"/>
  <c r="H113" i="39"/>
  <c r="X113" i="39"/>
  <c r="K113" i="39"/>
  <c r="V113" i="39"/>
  <c r="AB172" i="39"/>
  <c r="AT172" i="39" s="1"/>
  <c r="D115" i="39"/>
  <c r="K115" i="39"/>
  <c r="M115" i="39" s="1"/>
  <c r="W115" i="39"/>
  <c r="V115" i="39"/>
  <c r="AL172" i="39"/>
  <c r="AJ172" i="39"/>
  <c r="AK172" i="39"/>
  <c r="M118" i="6"/>
  <c r="N118" i="6"/>
  <c r="K117" i="39"/>
  <c r="AB180" i="39"/>
  <c r="AT180" i="39" s="1"/>
  <c r="D123" i="39"/>
  <c r="W123" i="39"/>
  <c r="AL180" i="39"/>
  <c r="AJ180" i="39"/>
  <c r="AK180" i="39"/>
  <c r="AB200" i="39"/>
  <c r="AT200" i="39" s="1"/>
  <c r="W143" i="39"/>
  <c r="D143" i="39"/>
  <c r="AL200" i="39"/>
  <c r="AJ200" i="39"/>
  <c r="AK200" i="39"/>
  <c r="AB184" i="39"/>
  <c r="AT184" i="39" s="1"/>
  <c r="D127" i="39"/>
  <c r="W127" i="39"/>
  <c r="AJ184" i="39"/>
  <c r="AK184" i="39"/>
  <c r="AL184" i="39"/>
  <c r="AB181" i="39"/>
  <c r="AT181" i="39" s="1"/>
  <c r="D124" i="39"/>
  <c r="W124" i="39"/>
  <c r="AK181" i="39"/>
  <c r="AL181" i="39"/>
  <c r="AJ181" i="39"/>
  <c r="AB185" i="39"/>
  <c r="AT185" i="39" s="1"/>
  <c r="D128" i="39"/>
  <c r="W128" i="39"/>
  <c r="AL185" i="39"/>
  <c r="AJ185" i="39"/>
  <c r="AK185" i="39"/>
  <c r="L118" i="6"/>
  <c r="H118" i="3"/>
  <c r="AC175" i="3"/>
  <c r="AU175" i="3" s="1"/>
  <c r="X118" i="3"/>
  <c r="AM175" i="3" s="1"/>
  <c r="AN175" i="3" s="1"/>
  <c r="X118" i="38"/>
  <c r="AM175" i="38" s="1"/>
  <c r="AN175" i="38" s="1"/>
  <c r="AC175" i="38"/>
  <c r="AU175" i="38" s="1"/>
  <c r="H118" i="38"/>
  <c r="Z118" i="3"/>
  <c r="AF118" i="3" s="1"/>
  <c r="AB202" i="38"/>
  <c r="AT202" i="38" s="1"/>
  <c r="D145" i="38"/>
  <c r="W145" i="38"/>
  <c r="AL202" i="38"/>
  <c r="AK202" i="38"/>
  <c r="AJ202" i="38"/>
  <c r="AB211" i="38"/>
  <c r="AT211" i="38" s="1"/>
  <c r="D154" i="38"/>
  <c r="W154" i="38"/>
  <c r="AJ211" i="38"/>
  <c r="AL211" i="38"/>
  <c r="AK211" i="38"/>
  <c r="W113" i="38"/>
  <c r="AB170" i="38"/>
  <c r="AT170" i="38" s="1"/>
  <c r="D113" i="38"/>
  <c r="AL170" i="38"/>
  <c r="AJ170" i="38"/>
  <c r="AK170" i="38"/>
  <c r="AJ195" i="3"/>
  <c r="W129" i="38"/>
  <c r="AB186" i="38"/>
  <c r="AT186" i="38" s="1"/>
  <c r="AJ186" i="38"/>
  <c r="D129" i="38"/>
  <c r="AL186" i="38"/>
  <c r="AK186" i="38"/>
  <c r="AB175" i="38"/>
  <c r="AT175" i="38" s="1"/>
  <c r="D118" i="38"/>
  <c r="AJ175" i="38"/>
  <c r="W118" i="38"/>
  <c r="AL175" i="38"/>
  <c r="K118" i="38"/>
  <c r="V118" i="38"/>
  <c r="AK175" i="38"/>
  <c r="D127" i="38"/>
  <c r="W127" i="38"/>
  <c r="AB184" i="38"/>
  <c r="AT184" i="38" s="1"/>
  <c r="AL184" i="38"/>
  <c r="AJ184" i="38"/>
  <c r="AK184" i="38"/>
  <c r="D115" i="38"/>
  <c r="AB172" i="38"/>
  <c r="AT172" i="38" s="1"/>
  <c r="K115" i="38"/>
  <c r="L115" i="38" s="1"/>
  <c r="W115" i="38"/>
  <c r="V115" i="38"/>
  <c r="AJ172" i="38"/>
  <c r="AL172" i="38"/>
  <c r="AK172" i="38"/>
  <c r="AB206" i="38"/>
  <c r="AT206" i="38" s="1"/>
  <c r="D149" i="38"/>
  <c r="W149" i="38"/>
  <c r="AL206" i="38"/>
  <c r="AJ206" i="38"/>
  <c r="AK206" i="38"/>
  <c r="AB213" i="38"/>
  <c r="AT213" i="38" s="1"/>
  <c r="D156" i="38"/>
  <c r="W156" i="38"/>
  <c r="AJ213" i="38"/>
  <c r="AL213" i="38"/>
  <c r="AK213" i="38"/>
  <c r="AB201" i="38"/>
  <c r="AT201" i="38" s="1"/>
  <c r="D144" i="38"/>
  <c r="AJ201" i="38"/>
  <c r="W144" i="38"/>
  <c r="AL201" i="38"/>
  <c r="AK201" i="38"/>
  <c r="AB199" i="38"/>
  <c r="AT199" i="38" s="1"/>
  <c r="W142" i="38"/>
  <c r="D142" i="38"/>
  <c r="AL199" i="38"/>
  <c r="AJ199" i="38"/>
  <c r="AK199" i="38"/>
  <c r="W123" i="38"/>
  <c r="AB180" i="38"/>
  <c r="AT180" i="38" s="1"/>
  <c r="D123" i="38"/>
  <c r="AL180" i="38"/>
  <c r="AJ180" i="38"/>
  <c r="AK180" i="38"/>
  <c r="AB171" i="38"/>
  <c r="AT171" i="38" s="1"/>
  <c r="W114" i="38"/>
  <c r="D114" i="38"/>
  <c r="AJ171" i="38"/>
  <c r="K114" i="38"/>
  <c r="V114" i="38"/>
  <c r="AL171" i="38"/>
  <c r="AK171" i="38"/>
  <c r="AJ209" i="38"/>
  <c r="W152" i="38"/>
  <c r="AB209" i="38"/>
  <c r="AT209" i="38" s="1"/>
  <c r="D152" i="38"/>
  <c r="AK209" i="38"/>
  <c r="AL209" i="38"/>
  <c r="W139" i="38"/>
  <c r="AB196" i="38"/>
  <c r="AT196" i="38" s="1"/>
  <c r="D139" i="38"/>
  <c r="AJ196" i="38"/>
  <c r="AL196" i="38"/>
  <c r="AK196" i="38"/>
  <c r="AB191" i="38"/>
  <c r="AT191" i="38" s="1"/>
  <c r="W134" i="38"/>
  <c r="D134" i="38"/>
  <c r="AL191" i="38"/>
  <c r="AJ191" i="38"/>
  <c r="AK191" i="38"/>
  <c r="AB195" i="38"/>
  <c r="AT195" i="38" s="1"/>
  <c r="D138" i="38"/>
  <c r="W138" i="38"/>
  <c r="AL195" i="38"/>
  <c r="AJ195" i="38"/>
  <c r="AK195" i="38"/>
  <c r="AC176" i="38"/>
  <c r="AU176" i="38" s="1"/>
  <c r="H119" i="38"/>
  <c r="X119" i="38"/>
  <c r="W130" i="38"/>
  <c r="AB187" i="38"/>
  <c r="AT187" i="38" s="1"/>
  <c r="D130" i="38"/>
  <c r="AJ187" i="38"/>
  <c r="AL187" i="38"/>
  <c r="AK187" i="38"/>
  <c r="W117" i="38"/>
  <c r="AB174" i="38"/>
  <c r="AT174" i="38" s="1"/>
  <c r="D117" i="38"/>
  <c r="AJ174" i="38"/>
  <c r="K117" i="38"/>
  <c r="N117" i="38" s="1"/>
  <c r="V117" i="38"/>
  <c r="AL174" i="38"/>
  <c r="AK174" i="38"/>
  <c r="W119" i="38"/>
  <c r="D119" i="38"/>
  <c r="AB176" i="38"/>
  <c r="AT176" i="38" s="1"/>
  <c r="AJ176" i="38"/>
  <c r="V119" i="38"/>
  <c r="AL176" i="38"/>
  <c r="AK176" i="38"/>
  <c r="K119" i="38"/>
  <c r="N119" i="38" s="1"/>
  <c r="AB207" i="38"/>
  <c r="AT207" i="38" s="1"/>
  <c r="D150" i="38"/>
  <c r="W150" i="38"/>
  <c r="AL207" i="38"/>
  <c r="AJ207" i="38"/>
  <c r="AK207" i="38"/>
  <c r="J195" i="3"/>
  <c r="AK195" i="3" s="1"/>
  <c r="K195" i="3"/>
  <c r="AB216" i="38"/>
  <c r="AT216" i="38" s="1"/>
  <c r="W159" i="38"/>
  <c r="D159" i="38"/>
  <c r="AL216" i="38"/>
  <c r="AJ216" i="38"/>
  <c r="AK216" i="38"/>
  <c r="AB183" i="38"/>
  <c r="AT183" i="38" s="1"/>
  <c r="D126" i="38"/>
  <c r="W126" i="38"/>
  <c r="AL183" i="38"/>
  <c r="AJ183" i="38"/>
  <c r="AK183" i="38"/>
  <c r="AB179" i="38"/>
  <c r="AT179" i="38" s="1"/>
  <c r="D122" i="38"/>
  <c r="W122" i="38"/>
  <c r="AJ179" i="38"/>
  <c r="AL179" i="38"/>
  <c r="AK179" i="38"/>
  <c r="D138" i="3"/>
  <c r="AB195" i="3"/>
  <c r="AT195" i="3" s="1"/>
  <c r="W138" i="3"/>
  <c r="AC174" i="38"/>
  <c r="AU174" i="38" s="1"/>
  <c r="X117" i="38"/>
  <c r="H117" i="38"/>
  <c r="M117" i="38"/>
  <c r="W143" i="38"/>
  <c r="AB200" i="38"/>
  <c r="AT200" i="38" s="1"/>
  <c r="D143" i="38"/>
  <c r="AJ200" i="38"/>
  <c r="AK200" i="38"/>
  <c r="AL200" i="38"/>
  <c r="AB208" i="38"/>
  <c r="AT208" i="38" s="1"/>
  <c r="W151" i="38"/>
  <c r="D151" i="38"/>
  <c r="AL208" i="38"/>
  <c r="AK208" i="38"/>
  <c r="AJ208" i="38"/>
  <c r="AB185" i="38"/>
  <c r="AT185" i="38" s="1"/>
  <c r="W128" i="38"/>
  <c r="D128" i="38"/>
  <c r="AJ185" i="38"/>
  <c r="AL185" i="38"/>
  <c r="AK185" i="38"/>
  <c r="W131" i="38"/>
  <c r="D131" i="38"/>
  <c r="AB188" i="38"/>
  <c r="AT188" i="38" s="1"/>
  <c r="AK188" i="38"/>
  <c r="AJ188" i="38"/>
  <c r="AL188" i="38"/>
  <c r="AB197" i="38"/>
  <c r="AT197" i="38" s="1"/>
  <c r="W140" i="38"/>
  <c r="D140" i="38"/>
  <c r="AJ197" i="38"/>
  <c r="AK197" i="38"/>
  <c r="AL197" i="38"/>
  <c r="AB178" i="38"/>
  <c r="AT178" i="38" s="1"/>
  <c r="W121" i="38"/>
  <c r="D121" i="38"/>
  <c r="AJ178" i="38"/>
  <c r="AL178" i="38"/>
  <c r="AK178" i="38"/>
  <c r="W135" i="38"/>
  <c r="D135" i="38"/>
  <c r="AB192" i="38"/>
  <c r="AT192" i="38" s="1"/>
  <c r="AJ192" i="38"/>
  <c r="AK192" i="38"/>
  <c r="AL192" i="38"/>
  <c r="AB203" i="38"/>
  <c r="AT203" i="38" s="1"/>
  <c r="D146" i="38"/>
  <c r="W146" i="38"/>
  <c r="AJ203" i="38"/>
  <c r="AL203" i="38"/>
  <c r="AK203" i="38"/>
  <c r="G113" i="3"/>
  <c r="G113" i="38"/>
  <c r="V113" i="38" s="1"/>
  <c r="AB189" i="38"/>
  <c r="AT189" i="38" s="1"/>
  <c r="D132" i="38"/>
  <c r="AJ189" i="38"/>
  <c r="W132" i="38"/>
  <c r="AK189" i="38"/>
  <c r="AL189" i="38"/>
  <c r="AB181" i="38"/>
  <c r="AT181" i="38" s="1"/>
  <c r="D124" i="38"/>
  <c r="W124" i="38"/>
  <c r="AJ181" i="38"/>
  <c r="AL181" i="38"/>
  <c r="AK181" i="38"/>
  <c r="AB214" i="38"/>
  <c r="AT214" i="38" s="1"/>
  <c r="W157" i="38"/>
  <c r="AJ214" i="38"/>
  <c r="D157" i="38"/>
  <c r="AL214" i="38"/>
  <c r="AK214" i="38"/>
  <c r="W137" i="38"/>
  <c r="AB194" i="38"/>
  <c r="AT194" i="38" s="1"/>
  <c r="D137" i="38"/>
  <c r="AL194" i="38"/>
  <c r="AJ194" i="38"/>
  <c r="AK194" i="38"/>
  <c r="AC171" i="38"/>
  <c r="AU171" i="38" s="1"/>
  <c r="H114" i="38"/>
  <c r="X114" i="38"/>
  <c r="M114" i="38"/>
  <c r="AB205" i="38"/>
  <c r="AT205" i="38" s="1"/>
  <c r="D148" i="38"/>
  <c r="W148" i="38"/>
  <c r="AJ205" i="38"/>
  <c r="AL205" i="38"/>
  <c r="AK205" i="38"/>
  <c r="AB210" i="38"/>
  <c r="AT210" i="38" s="1"/>
  <c r="W153" i="38"/>
  <c r="D153" i="38"/>
  <c r="AL210" i="38"/>
  <c r="AJ210" i="38"/>
  <c r="AK210" i="38"/>
  <c r="W133" i="38"/>
  <c r="D133" i="38"/>
  <c r="AB190" i="38"/>
  <c r="AT190" i="38" s="1"/>
  <c r="AL190" i="38"/>
  <c r="AK190" i="38"/>
  <c r="AJ190" i="38"/>
  <c r="AB198" i="38"/>
  <c r="AT198" i="38" s="1"/>
  <c r="D141" i="38"/>
  <c r="W141" i="38"/>
  <c r="AL198" i="38"/>
  <c r="AJ198" i="38"/>
  <c r="AK198" i="38"/>
  <c r="AB215" i="38"/>
  <c r="AT215" i="38" s="1"/>
  <c r="W158" i="38"/>
  <c r="D158" i="38"/>
  <c r="AL215" i="38"/>
  <c r="AJ215" i="38"/>
  <c r="AK215" i="38"/>
  <c r="AL195" i="3"/>
  <c r="DN177" i="34"/>
  <c r="DN175" i="34"/>
  <c r="DK182" i="34"/>
  <c r="DN212" i="34"/>
  <c r="DL167" i="34" s="1"/>
  <c r="DN201" i="34"/>
  <c r="DN195" i="34"/>
  <c r="DK174" i="34"/>
  <c r="DJ655" i="34"/>
  <c r="DJ663" i="34"/>
  <c r="DJ620" i="34"/>
  <c r="DJ652" i="34"/>
  <c r="DJ648" i="34"/>
  <c r="DJ658" i="34"/>
  <c r="DJ647" i="34"/>
  <c r="DJ636" i="34"/>
  <c r="DJ617" i="34"/>
  <c r="DJ634" i="34"/>
  <c r="DJ635" i="34"/>
  <c r="DJ618" i="34"/>
  <c r="DJ643" i="34"/>
  <c r="DJ633" i="34"/>
  <c r="DJ642" i="34"/>
  <c r="DJ640" i="34"/>
  <c r="DJ650" i="34"/>
  <c r="DJ641" i="34"/>
  <c r="DJ637" i="34"/>
  <c r="DJ638" i="34"/>
  <c r="DP577" i="34"/>
  <c r="BU304" i="34"/>
  <c r="BU335" i="34"/>
  <c r="BU107" i="34"/>
  <c r="BU320" i="34"/>
  <c r="BU315" i="34"/>
  <c r="BU313" i="34"/>
  <c r="BU342" i="34"/>
  <c r="BV342" i="34" s="1"/>
  <c r="BU306" i="34"/>
  <c r="BV306" i="34" s="1"/>
  <c r="DD85" i="34"/>
  <c r="BU307" i="34"/>
  <c r="BU308" i="34"/>
  <c r="BV308" i="34" s="1"/>
  <c r="BU317" i="34"/>
  <c r="BV317" i="34" s="1"/>
  <c r="BU302" i="34"/>
  <c r="BU314" i="34"/>
  <c r="BU323" i="34"/>
  <c r="BV323" i="34" s="1"/>
  <c r="BU343" i="34"/>
  <c r="BV343" i="34" s="1"/>
  <c r="BU309" i="34"/>
  <c r="BU322" i="34"/>
  <c r="BU301" i="34"/>
  <c r="BV301" i="34" s="1"/>
  <c r="BU303" i="34"/>
  <c r="BV303" i="34" s="1"/>
  <c r="BU300" i="34"/>
  <c r="BU331" i="34"/>
  <c r="BU340" i="34"/>
  <c r="BV340" i="34" s="1"/>
  <c r="BU328" i="34"/>
  <c r="BV328" i="34" s="1"/>
  <c r="BU329" i="34"/>
  <c r="BU316" i="34"/>
  <c r="BU333" i="34"/>
  <c r="BV333" i="34" s="1"/>
  <c r="BU327" i="34"/>
  <c r="BV327" i="34" s="1"/>
  <c r="BU324" i="34"/>
  <c r="BU326" i="34"/>
  <c r="BU325" i="34"/>
  <c r="BV325" i="34" s="1"/>
  <c r="BU330" i="34"/>
  <c r="BV330" i="34" s="1"/>
  <c r="BU334" i="34"/>
  <c r="BU345" i="34"/>
  <c r="BU318" i="34"/>
  <c r="BV318" i="34" s="1"/>
  <c r="BU337" i="34"/>
  <c r="BU344" i="34"/>
  <c r="BU338" i="34"/>
  <c r="BU321" i="34"/>
  <c r="BV321" i="34" s="1"/>
  <c r="DG93" i="34"/>
  <c r="DC93" i="34"/>
  <c r="DG57" i="34"/>
  <c r="DD62" i="34"/>
  <c r="DM86" i="34"/>
  <c r="EA49" i="37"/>
  <c r="EA300" i="37"/>
  <c r="EA110" i="37"/>
  <c r="ED110" i="37"/>
  <c r="EA363" i="37"/>
  <c r="EA619" i="37"/>
  <c r="EA490" i="37"/>
  <c r="ED49" i="37"/>
  <c r="EC554" i="37"/>
  <c r="ED174" i="37"/>
  <c r="EB174" i="37"/>
  <c r="EC426" i="37"/>
  <c r="EC619" i="37"/>
  <c r="EB554" i="37"/>
  <c r="EC300" i="37"/>
  <c r="EA174" i="37"/>
  <c r="ED426" i="37"/>
  <c r="EB426" i="37"/>
  <c r="EC110" i="37"/>
  <c r="EC363" i="37"/>
  <c r="EB619" i="37"/>
  <c r="EC490" i="37"/>
  <c r="EC49" i="37"/>
  <c r="EB49" i="37"/>
  <c r="EA554" i="37"/>
  <c r="ED554" i="37"/>
  <c r="ED300" i="37"/>
  <c r="EB300" i="37"/>
  <c r="EC174" i="37"/>
  <c r="EA426" i="37"/>
  <c r="EB110" i="37"/>
  <c r="ED363" i="37"/>
  <c r="EB363" i="37"/>
  <c r="ED619" i="37"/>
  <c r="ED490" i="37"/>
  <c r="EB490" i="37"/>
  <c r="DJ44" i="37"/>
  <c r="DM43" i="37"/>
  <c r="DI44" i="37"/>
  <c r="DL44" i="37"/>
  <c r="DI43" i="37"/>
  <c r="DM44" i="37"/>
  <c r="BU305" i="34"/>
  <c r="BV305" i="34" s="1"/>
  <c r="BU336" i="34"/>
  <c r="BV336" i="34" s="1"/>
  <c r="BU332" i="34"/>
  <c r="BU341" i="34"/>
  <c r="BV341" i="34" s="1"/>
  <c r="BU310" i="34"/>
  <c r="BV310" i="34" s="1"/>
  <c r="BU346" i="34"/>
  <c r="BU312" i="34"/>
  <c r="BV312" i="34" s="1"/>
  <c r="DI141" i="2"/>
  <c r="DK141" i="2" s="1"/>
  <c r="DL83" i="34"/>
  <c r="DQ83" i="34" s="1"/>
  <c r="DK446" i="2"/>
  <c r="DN446" i="2"/>
  <c r="DN518" i="2"/>
  <c r="DK518" i="2"/>
  <c r="DN451" i="2"/>
  <c r="DK451" i="2"/>
  <c r="DN141" i="2"/>
  <c r="DK585" i="34"/>
  <c r="DN585" i="34"/>
  <c r="DK175" i="2"/>
  <c r="DN175" i="2"/>
  <c r="N114" i="6"/>
  <c r="M114" i="6"/>
  <c r="L114" i="6"/>
  <c r="DI230" i="34"/>
  <c r="DI231" i="34"/>
  <c r="DJ231" i="34"/>
  <c r="DJ230" i="34"/>
  <c r="BU109" i="34"/>
  <c r="DK626" i="34"/>
  <c r="DN626" i="34"/>
  <c r="DN616" i="34"/>
  <c r="DK616" i="34"/>
  <c r="DN647" i="34"/>
  <c r="DK647" i="34"/>
  <c r="CO22" i="31"/>
  <c r="CK23" i="31"/>
  <c r="CR22" i="31"/>
  <c r="CT22" i="31" s="1"/>
  <c r="DG429" i="2"/>
  <c r="DH429" i="2"/>
  <c r="DN124" i="34"/>
  <c r="DK124" i="34"/>
  <c r="DN149" i="34"/>
  <c r="DK149" i="34"/>
  <c r="DK123" i="34"/>
  <c r="DN123" i="34"/>
  <c r="DN126" i="34"/>
  <c r="DK126" i="34"/>
  <c r="DO194" i="34"/>
  <c r="DO181" i="34"/>
  <c r="DO208" i="34"/>
  <c r="DO202" i="34"/>
  <c r="DO189" i="34"/>
  <c r="DO192" i="34"/>
  <c r="DO171" i="34"/>
  <c r="DO204" i="34"/>
  <c r="DO182" i="34"/>
  <c r="DO216" i="34"/>
  <c r="DO174" i="34"/>
  <c r="DO184" i="34"/>
  <c r="DO175" i="34"/>
  <c r="DO186" i="34"/>
  <c r="DO199" i="34"/>
  <c r="DO195" i="34"/>
  <c r="DO207" i="34"/>
  <c r="DO217" i="34"/>
  <c r="DO201" i="34"/>
  <c r="DO193" i="34"/>
  <c r="DO205" i="34"/>
  <c r="DO203" i="34"/>
  <c r="DO198" i="34"/>
  <c r="DO215" i="34"/>
  <c r="DO180" i="34"/>
  <c r="DO213" i="34"/>
  <c r="DO211" i="34"/>
  <c r="DO187" i="34"/>
  <c r="DO214" i="34"/>
  <c r="DO196" i="34"/>
  <c r="DO183" i="34"/>
  <c r="DO176" i="34"/>
  <c r="DO200" i="34"/>
  <c r="DO218" i="34"/>
  <c r="DO177" i="34"/>
  <c r="DO206" i="34"/>
  <c r="DO197" i="34"/>
  <c r="DO173" i="34"/>
  <c r="DO185" i="34"/>
  <c r="DO190" i="34"/>
  <c r="DO178" i="34"/>
  <c r="DO170" i="34"/>
  <c r="DO210" i="34"/>
  <c r="DO212" i="34"/>
  <c r="DO179" i="34"/>
  <c r="DO191" i="34"/>
  <c r="DO188" i="34"/>
  <c r="DO172" i="34"/>
  <c r="DO209" i="34"/>
  <c r="DJ167" i="34"/>
  <c r="DI167" i="34"/>
  <c r="DI168" i="34"/>
  <c r="DJ168" i="34"/>
  <c r="DK556" i="34"/>
  <c r="DN556" i="34"/>
  <c r="DN577" i="34"/>
  <c r="DK577" i="34"/>
  <c r="DO587" i="34"/>
  <c r="DO568" i="34"/>
  <c r="DM60" i="34"/>
  <c r="DM89" i="34"/>
  <c r="DM76" i="34"/>
  <c r="DM55" i="34"/>
  <c r="DM50" i="34"/>
  <c r="DM56" i="34"/>
  <c r="DM49" i="34"/>
  <c r="DM64" i="34"/>
  <c r="DM90" i="34"/>
  <c r="DM75" i="34"/>
  <c r="DM79" i="34"/>
  <c r="DM72" i="34"/>
  <c r="DM71" i="34"/>
  <c r="DK523" i="2"/>
  <c r="DN523" i="2"/>
  <c r="DN494" i="2"/>
  <c r="DK494" i="2"/>
  <c r="DN510" i="2"/>
  <c r="DK510" i="2"/>
  <c r="DK454" i="2"/>
  <c r="DN454" i="2"/>
  <c r="DK432" i="2"/>
  <c r="DN432" i="2"/>
  <c r="DK439" i="2"/>
  <c r="DN439" i="2"/>
  <c r="L117" i="6"/>
  <c r="M117" i="6"/>
  <c r="N117" i="6"/>
  <c r="AN15" i="8"/>
  <c r="BG15" i="8" s="1"/>
  <c r="BF15" i="8"/>
  <c r="AB68" i="8"/>
  <c r="DP589" i="34"/>
  <c r="DP587" i="34"/>
  <c r="DP563" i="34"/>
  <c r="DP200" i="2"/>
  <c r="DP194" i="2"/>
  <c r="DP189" i="2"/>
  <c r="DO216" i="2"/>
  <c r="DO185" i="2"/>
  <c r="DO188" i="2"/>
  <c r="DO192" i="2"/>
  <c r="DO173" i="2"/>
  <c r="DO197" i="2"/>
  <c r="DO215" i="2"/>
  <c r="DO194" i="2"/>
  <c r="DO205" i="2"/>
  <c r="DO174" i="2"/>
  <c r="DO202" i="2"/>
  <c r="DO178" i="2"/>
  <c r="DO193" i="2"/>
  <c r="DO171" i="2"/>
  <c r="DO206" i="2"/>
  <c r="DO186" i="2"/>
  <c r="DO195" i="2"/>
  <c r="DO179" i="2"/>
  <c r="DO200" i="2"/>
  <c r="DO203" i="2"/>
  <c r="DO190" i="2"/>
  <c r="DO208" i="2"/>
  <c r="DO175" i="2"/>
  <c r="DO213" i="2"/>
  <c r="DO199" i="2"/>
  <c r="DO170" i="2"/>
  <c r="DO204" i="2"/>
  <c r="DO218" i="2"/>
  <c r="DO201" i="2"/>
  <c r="DO177" i="2"/>
  <c r="DO214" i="2"/>
  <c r="DO172" i="2"/>
  <c r="DO187" i="2"/>
  <c r="DO180" i="2"/>
  <c r="DO183" i="2"/>
  <c r="DO211" i="2"/>
  <c r="DO198" i="2"/>
  <c r="DO182" i="2"/>
  <c r="DO210" i="2"/>
  <c r="DO189" i="2"/>
  <c r="DO207" i="2"/>
  <c r="DO184" i="2"/>
  <c r="DO212" i="2"/>
  <c r="DO181" i="2"/>
  <c r="DO209" i="2"/>
  <c r="DO176" i="2"/>
  <c r="DO191" i="2"/>
  <c r="DO217" i="2"/>
  <c r="DO196" i="2"/>
  <c r="DM462" i="2"/>
  <c r="DM446" i="2"/>
  <c r="DM439" i="2"/>
  <c r="DJ272" i="2"/>
  <c r="DJ277" i="2"/>
  <c r="DJ268" i="2"/>
  <c r="DJ245" i="2"/>
  <c r="DJ259" i="2"/>
  <c r="DJ251" i="2"/>
  <c r="DJ260" i="2"/>
  <c r="DJ235" i="2"/>
  <c r="DJ243" i="2"/>
  <c r="DJ264" i="2"/>
  <c r="DJ236" i="2"/>
  <c r="DJ233" i="2"/>
  <c r="DJ276" i="2"/>
  <c r="DJ255" i="2"/>
  <c r="DJ249" i="2"/>
  <c r="DJ254" i="2"/>
  <c r="DJ274" i="2"/>
  <c r="DJ244" i="2"/>
  <c r="DJ258" i="2"/>
  <c r="DJ242" i="2"/>
  <c r="DJ250" i="2"/>
  <c r="DJ239" i="2"/>
  <c r="DJ234" i="2"/>
  <c r="DJ263" i="2"/>
  <c r="BT236" i="2"/>
  <c r="DJ237" i="2"/>
  <c r="DJ253" i="2"/>
  <c r="DJ273" i="2"/>
  <c r="DJ262" i="2"/>
  <c r="DJ257" i="2"/>
  <c r="DJ270" i="2"/>
  <c r="DJ266" i="2"/>
  <c r="DJ275" i="2"/>
  <c r="DJ241" i="2"/>
  <c r="DJ278" i="2"/>
  <c r="DJ267" i="2"/>
  <c r="DJ238" i="2"/>
  <c r="DJ247" i="2"/>
  <c r="DJ269" i="2"/>
  <c r="DJ246" i="2"/>
  <c r="DJ252" i="2"/>
  <c r="DJ248" i="2"/>
  <c r="DJ261" i="2"/>
  <c r="DJ256" i="2"/>
  <c r="DJ240" i="2"/>
  <c r="DJ265" i="2"/>
  <c r="DJ271" i="2"/>
  <c r="K119" i="6"/>
  <c r="L119" i="6" s="1"/>
  <c r="AC176" i="6"/>
  <c r="AU176" i="6" s="1"/>
  <c r="V119" i="6"/>
  <c r="H119" i="6"/>
  <c r="M119" i="6"/>
  <c r="BT620" i="2"/>
  <c r="BT640" i="2"/>
  <c r="BT655" i="2"/>
  <c r="BT624" i="2"/>
  <c r="BT634" i="2"/>
  <c r="BT646" i="2"/>
  <c r="BT619" i="2"/>
  <c r="BT639" i="2"/>
  <c r="BT656" i="2"/>
  <c r="BT625" i="2"/>
  <c r="BT636" i="2"/>
  <c r="BT645" i="2"/>
  <c r="BT622" i="2"/>
  <c r="BT647" i="2"/>
  <c r="BT658" i="2"/>
  <c r="BT626" i="2"/>
  <c r="BT637" i="2"/>
  <c r="BT649" i="2"/>
  <c r="BT621" i="2"/>
  <c r="BT648" i="2"/>
  <c r="BT659" i="2"/>
  <c r="BT628" i="2"/>
  <c r="BT638" i="2"/>
  <c r="BT653" i="2"/>
  <c r="BT627" i="2"/>
  <c r="BT650" i="2"/>
  <c r="BT660" i="2"/>
  <c r="BT629" i="2"/>
  <c r="BT642" i="2"/>
  <c r="BT657" i="2"/>
  <c r="BT623" i="2"/>
  <c r="BT651" i="2"/>
  <c r="BT662" i="2"/>
  <c r="BT630" i="2"/>
  <c r="BT641" i="2"/>
  <c r="BT661" i="2"/>
  <c r="BT635" i="2"/>
  <c r="BT652" i="2"/>
  <c r="BT663" i="2"/>
  <c r="BT632" i="2"/>
  <c r="BT644" i="2"/>
  <c r="BT665" i="2"/>
  <c r="BT631" i="2"/>
  <c r="BT654" i="2"/>
  <c r="BT664" i="2"/>
  <c r="BT633" i="2"/>
  <c r="BT643" i="2"/>
  <c r="DI590" i="2"/>
  <c r="DI571" i="2"/>
  <c r="DI557" i="2"/>
  <c r="DI596" i="2"/>
  <c r="DI570" i="2"/>
  <c r="DI572" i="2"/>
  <c r="DI576" i="2"/>
  <c r="DI598" i="2"/>
  <c r="DI562" i="2"/>
  <c r="DI552" i="2"/>
  <c r="DI550" i="2"/>
  <c r="DI574" i="2"/>
  <c r="DI591" i="2"/>
  <c r="DI575" i="2"/>
  <c r="DI592" i="2"/>
  <c r="DI595" i="2"/>
  <c r="DI556" i="2"/>
  <c r="DI566" i="2"/>
  <c r="DI563" i="2"/>
  <c r="DI565" i="2"/>
  <c r="DI594" i="2"/>
  <c r="DI583" i="2"/>
  <c r="DI553" i="2"/>
  <c r="DI584" i="2"/>
  <c r="DI568" i="2"/>
  <c r="DI551" i="2"/>
  <c r="DI597" i="2"/>
  <c r="DI558" i="2"/>
  <c r="DI589" i="2"/>
  <c r="DI586" i="2"/>
  <c r="DI593" i="2"/>
  <c r="DI569" i="2"/>
  <c r="DI564" i="2"/>
  <c r="DI580" i="2"/>
  <c r="DI581" i="2"/>
  <c r="DI579" i="2"/>
  <c r="DI587" i="2"/>
  <c r="DI578" i="2"/>
  <c r="DI573" i="2"/>
  <c r="DI567" i="2"/>
  <c r="DI559" i="2"/>
  <c r="DI585" i="2"/>
  <c r="DI577" i="2"/>
  <c r="DI555" i="2"/>
  <c r="DI560" i="2"/>
  <c r="DI554" i="2"/>
  <c r="DI588" i="2"/>
  <c r="DI561" i="2"/>
  <c r="DI582" i="2"/>
  <c r="J171" i="6"/>
  <c r="AK171" i="6" s="1"/>
  <c r="K171" i="6"/>
  <c r="DL661" i="34"/>
  <c r="DQ661" i="34" s="1"/>
  <c r="DL625" i="34"/>
  <c r="DQ625" i="34" s="1"/>
  <c r="DL616" i="34"/>
  <c r="DQ616" i="34" s="1"/>
  <c r="DL615" i="34"/>
  <c r="DQ615" i="34" s="1"/>
  <c r="DL653" i="34"/>
  <c r="DQ653" i="34" s="1"/>
  <c r="DL658" i="34"/>
  <c r="DQ658" i="34" s="1"/>
  <c r="DL645" i="34"/>
  <c r="DQ645" i="34" s="1"/>
  <c r="DL629" i="34"/>
  <c r="DQ629" i="34" s="1"/>
  <c r="DL659" i="34"/>
  <c r="DQ659" i="34" s="1"/>
  <c r="DL628" i="34"/>
  <c r="DQ628" i="34" s="1"/>
  <c r="DL656" i="34"/>
  <c r="DQ656" i="34" s="1"/>
  <c r="DL637" i="34"/>
  <c r="DQ637" i="34" s="1"/>
  <c r="DL636" i="34"/>
  <c r="DQ636" i="34" s="1"/>
  <c r="DL633" i="34"/>
  <c r="DQ633" i="34" s="1"/>
  <c r="DL639" i="34"/>
  <c r="DQ639" i="34" s="1"/>
  <c r="DL635" i="34"/>
  <c r="DQ635" i="34" s="1"/>
  <c r="DL631" i="34"/>
  <c r="DQ631" i="34" s="1"/>
  <c r="DL660" i="34"/>
  <c r="DQ660" i="34" s="1"/>
  <c r="DL622" i="34"/>
  <c r="DQ622" i="34" s="1"/>
  <c r="DL657" i="34"/>
  <c r="DQ657" i="34" s="1"/>
  <c r="DL649" i="34"/>
  <c r="DQ649" i="34" s="1"/>
  <c r="DL646" i="34"/>
  <c r="DQ646" i="34" s="1"/>
  <c r="DL640" i="34"/>
  <c r="DQ640" i="34" s="1"/>
  <c r="DL617" i="34"/>
  <c r="DQ617" i="34" s="1"/>
  <c r="DL663" i="34"/>
  <c r="DQ663" i="34" s="1"/>
  <c r="DL654" i="34"/>
  <c r="DQ654" i="34" s="1"/>
  <c r="DL623" i="34"/>
  <c r="DQ623" i="34" s="1"/>
  <c r="DL650" i="34"/>
  <c r="DQ650" i="34" s="1"/>
  <c r="DL621" i="34"/>
  <c r="DQ621" i="34" s="1"/>
  <c r="DL632" i="34"/>
  <c r="DQ632" i="34" s="1"/>
  <c r="DL630" i="34"/>
  <c r="DQ630" i="34" s="1"/>
  <c r="DL648" i="34"/>
  <c r="DQ648" i="34" s="1"/>
  <c r="DL634" i="34"/>
  <c r="DQ634" i="34" s="1"/>
  <c r="DL652" i="34"/>
  <c r="DQ652" i="34" s="1"/>
  <c r="DL644" i="34"/>
  <c r="DQ644" i="34" s="1"/>
  <c r="DL641" i="34"/>
  <c r="DQ641" i="34" s="1"/>
  <c r="DL647" i="34"/>
  <c r="DQ647" i="34" s="1"/>
  <c r="DL638" i="34"/>
  <c r="DQ638" i="34" s="1"/>
  <c r="DL619" i="34"/>
  <c r="DQ619" i="34" s="1"/>
  <c r="DL662" i="34"/>
  <c r="DQ662" i="34" s="1"/>
  <c r="DL655" i="34"/>
  <c r="DQ655" i="34" s="1"/>
  <c r="DL643" i="34"/>
  <c r="DQ643" i="34" s="1"/>
  <c r="DL627" i="34"/>
  <c r="DQ627" i="34" s="1"/>
  <c r="DL642" i="34"/>
  <c r="DQ642" i="34" s="1"/>
  <c r="DL624" i="34"/>
  <c r="DQ624" i="34" s="1"/>
  <c r="DL620" i="34"/>
  <c r="DQ620" i="34" s="1"/>
  <c r="DL618" i="34"/>
  <c r="DQ618" i="34" s="1"/>
  <c r="DL651" i="34"/>
  <c r="DQ651" i="34" s="1"/>
  <c r="DL626" i="34"/>
  <c r="DQ626" i="34" s="1"/>
  <c r="DK646" i="34"/>
  <c r="DN646" i="34"/>
  <c r="DK641" i="34"/>
  <c r="DN641" i="34"/>
  <c r="DK627" i="34"/>
  <c r="DN627" i="34"/>
  <c r="DN566" i="34"/>
  <c r="DK566" i="34"/>
  <c r="DK587" i="34"/>
  <c r="DN587" i="34"/>
  <c r="DN562" i="34"/>
  <c r="DK562" i="34"/>
  <c r="DK590" i="34"/>
  <c r="DN590" i="34"/>
  <c r="DO571" i="34"/>
  <c r="DO588" i="34"/>
  <c r="DO570" i="34"/>
  <c r="AT29" i="31"/>
  <c r="AU28" i="31"/>
  <c r="DK515" i="2"/>
  <c r="DN515" i="2"/>
  <c r="DN496" i="2"/>
  <c r="DK496" i="2"/>
  <c r="DN500" i="2"/>
  <c r="DK500" i="2"/>
  <c r="DI437" i="2"/>
  <c r="DI450" i="2"/>
  <c r="DI462" i="2"/>
  <c r="DP555" i="2"/>
  <c r="DP552" i="2"/>
  <c r="DP593" i="2"/>
  <c r="DJ584" i="2"/>
  <c r="DJ558" i="2"/>
  <c r="DJ574" i="2"/>
  <c r="K185" i="8"/>
  <c r="J185" i="8"/>
  <c r="AK185" i="8" s="1"/>
  <c r="K206" i="8"/>
  <c r="J206" i="8"/>
  <c r="AK206" i="8" s="1"/>
  <c r="C12" i="11"/>
  <c r="D12" i="11" s="1"/>
  <c r="E12" i="11" s="1"/>
  <c r="AM67" i="3"/>
  <c r="AE67" i="3"/>
  <c r="DN404" i="34"/>
  <c r="DK404" i="34"/>
  <c r="DK401" i="34"/>
  <c r="DN401" i="34"/>
  <c r="DK364" i="34"/>
  <c r="DN364" i="34"/>
  <c r="DK372" i="34"/>
  <c r="DN372" i="34"/>
  <c r="DK371" i="34"/>
  <c r="DN371" i="34"/>
  <c r="DK368" i="34"/>
  <c r="DN368" i="34"/>
  <c r="DN390" i="34"/>
  <c r="DK390" i="34"/>
  <c r="DN361" i="34"/>
  <c r="DK361" i="34"/>
  <c r="DK369" i="34"/>
  <c r="DN369" i="34"/>
  <c r="DK403" i="34"/>
  <c r="DN403" i="34"/>
  <c r="DK380" i="34"/>
  <c r="DN380" i="34"/>
  <c r="DN395" i="34"/>
  <c r="DK395" i="34"/>
  <c r="DP588" i="34"/>
  <c r="DP561" i="34"/>
  <c r="DP592" i="34"/>
  <c r="DD636" i="2"/>
  <c r="DC636" i="2"/>
  <c r="DP214" i="2"/>
  <c r="DP208" i="2"/>
  <c r="DP202" i="2"/>
  <c r="DM423" i="2"/>
  <c r="DM458" i="2"/>
  <c r="DM434" i="2"/>
  <c r="BT424" i="2"/>
  <c r="DO575" i="2"/>
  <c r="DO580" i="2"/>
  <c r="DO578" i="2"/>
  <c r="DO612" i="2"/>
  <c r="DP612" i="2"/>
  <c r="DO613" i="2"/>
  <c r="DP613" i="2"/>
  <c r="DK622" i="34"/>
  <c r="DN622" i="34"/>
  <c r="DK629" i="34"/>
  <c r="DN629" i="34"/>
  <c r="DK662" i="34"/>
  <c r="DN662" i="34"/>
  <c r="DJ463" i="2"/>
  <c r="DJ459" i="2"/>
  <c r="DJ431" i="2"/>
  <c r="DJ452" i="2"/>
  <c r="DO361" i="2"/>
  <c r="DO383" i="2"/>
  <c r="DO367" i="2"/>
  <c r="DO362" i="2"/>
  <c r="DO385" i="2"/>
  <c r="DO370" i="2"/>
  <c r="DO363" i="2"/>
  <c r="DO387" i="2"/>
  <c r="DO372" i="2"/>
  <c r="DO407" i="2"/>
  <c r="DO381" i="2"/>
  <c r="DO364" i="2"/>
  <c r="DO405" i="2"/>
  <c r="DP255" i="2"/>
  <c r="DP235" i="2"/>
  <c r="DP252" i="2"/>
  <c r="DP240" i="2"/>
  <c r="DP257" i="2"/>
  <c r="DP239" i="2"/>
  <c r="DP247" i="2"/>
  <c r="DP274" i="2"/>
  <c r="DP265" i="2"/>
  <c r="DP238" i="2"/>
  <c r="DP270" i="2"/>
  <c r="DN593" i="34"/>
  <c r="DK593" i="34"/>
  <c r="DK592" i="34"/>
  <c r="DN592" i="34"/>
  <c r="DN591" i="34"/>
  <c r="DK591" i="34"/>
  <c r="DO580" i="34"/>
  <c r="DO577" i="34"/>
  <c r="DO560" i="34"/>
  <c r="DO558" i="34"/>
  <c r="DI504" i="2"/>
  <c r="DI513" i="2"/>
  <c r="DI526" i="2"/>
  <c r="DL125" i="2"/>
  <c r="DQ125" i="2" s="1"/>
  <c r="DL107" i="2"/>
  <c r="DQ107" i="2" s="1"/>
  <c r="DL146" i="2"/>
  <c r="DQ146" i="2" s="1"/>
  <c r="DL134" i="2"/>
  <c r="DQ134" i="2" s="1"/>
  <c r="DL117" i="2"/>
  <c r="DQ117" i="2" s="1"/>
  <c r="DL136" i="2"/>
  <c r="DQ136" i="2" s="1"/>
  <c r="DL140" i="2"/>
  <c r="DQ140" i="2" s="1"/>
  <c r="DL131" i="2"/>
  <c r="DQ131" i="2" s="1"/>
  <c r="DL126" i="2"/>
  <c r="DQ126" i="2" s="1"/>
  <c r="DL116" i="2"/>
  <c r="DQ116" i="2" s="1"/>
  <c r="DL118" i="2"/>
  <c r="DQ118" i="2" s="1"/>
  <c r="DL152" i="2"/>
  <c r="DQ152" i="2" s="1"/>
  <c r="DI469" i="2"/>
  <c r="DI426" i="2"/>
  <c r="DI430" i="2"/>
  <c r="DI470" i="2"/>
  <c r="DP597" i="2"/>
  <c r="DP564" i="2"/>
  <c r="DP560" i="2"/>
  <c r="BT507" i="2"/>
  <c r="BT532" i="2"/>
  <c r="BT500" i="2"/>
  <c r="BT512" i="2"/>
  <c r="BT522" i="2"/>
  <c r="BT490" i="2"/>
  <c r="BT516" i="2"/>
  <c r="BT533" i="2"/>
  <c r="BT499" i="2"/>
  <c r="BT510" i="2"/>
  <c r="BT521" i="2"/>
  <c r="BT491" i="2"/>
  <c r="BT520" i="2"/>
  <c r="BT493" i="2"/>
  <c r="BT503" i="2"/>
  <c r="BT514" i="2"/>
  <c r="BT525" i="2"/>
  <c r="BT492" i="2"/>
  <c r="BT524" i="2"/>
  <c r="BT536" i="2"/>
  <c r="BT502" i="2"/>
  <c r="BT513" i="2"/>
  <c r="BT523" i="2"/>
  <c r="BT501" i="2"/>
  <c r="BT528" i="2"/>
  <c r="BT495" i="2"/>
  <c r="BT506" i="2"/>
  <c r="BT517" i="2"/>
  <c r="BT527" i="2"/>
  <c r="BT497" i="2"/>
  <c r="BT529" i="2"/>
  <c r="BT494" i="2"/>
  <c r="BT505" i="2"/>
  <c r="BT515" i="2"/>
  <c r="BT526" i="2"/>
  <c r="BT504" i="2"/>
  <c r="BT530" i="2"/>
  <c r="BT498" i="2"/>
  <c r="BT509" i="2"/>
  <c r="BT519" i="2"/>
  <c r="BT534" i="2"/>
  <c r="BT511" i="2"/>
  <c r="BT531" i="2"/>
  <c r="BT496" i="2"/>
  <c r="BT508" i="2"/>
  <c r="BT518" i="2"/>
  <c r="BT535" i="2"/>
  <c r="DJ566" i="2"/>
  <c r="DJ588" i="2"/>
  <c r="DJ585" i="2"/>
  <c r="DP555" i="34"/>
  <c r="DP581" i="34"/>
  <c r="DP583" i="34"/>
  <c r="DP107" i="2"/>
  <c r="DP141" i="2"/>
  <c r="DP118" i="2"/>
  <c r="DP121" i="2"/>
  <c r="DP137" i="2"/>
  <c r="DP153" i="2"/>
  <c r="DP122" i="2"/>
  <c r="DP152" i="2"/>
  <c r="DP149" i="2"/>
  <c r="DP111" i="2"/>
  <c r="DP126" i="2"/>
  <c r="DP143" i="2"/>
  <c r="DP181" i="2"/>
  <c r="DP170" i="2"/>
  <c r="DP195" i="2"/>
  <c r="DJ332" i="2"/>
  <c r="DJ333" i="2"/>
  <c r="DJ327" i="2"/>
  <c r="DJ316" i="2"/>
  <c r="DJ341" i="2"/>
  <c r="DJ309" i="2"/>
  <c r="DJ307" i="2"/>
  <c r="DJ304" i="2"/>
  <c r="DJ342" i="2"/>
  <c r="DJ336" i="2"/>
  <c r="DJ311" i="2"/>
  <c r="DJ298" i="2"/>
  <c r="DJ329" i="2"/>
  <c r="DJ319" i="2"/>
  <c r="DJ296" i="2"/>
  <c r="DJ330" i="2"/>
  <c r="DJ302" i="2"/>
  <c r="DJ313" i="2"/>
  <c r="DJ343" i="2"/>
  <c r="DJ339" i="2"/>
  <c r="DJ323" i="2"/>
  <c r="DJ312" i="2"/>
  <c r="DJ314" i="2"/>
  <c r="DJ318" i="2"/>
  <c r="DJ308" i="2"/>
  <c r="DJ317" i="2"/>
  <c r="DJ305" i="2"/>
  <c r="DJ299" i="2"/>
  <c r="DJ335" i="2"/>
  <c r="DJ325" i="2"/>
  <c r="DJ326" i="2"/>
  <c r="DJ321" i="2"/>
  <c r="DJ306" i="2"/>
  <c r="DJ334" i="2"/>
  <c r="DJ320" i="2"/>
  <c r="DJ344" i="2"/>
  <c r="DJ337" i="2"/>
  <c r="DJ303" i="2"/>
  <c r="DJ322" i="2"/>
  <c r="DJ340" i="2"/>
  <c r="DJ338" i="2"/>
  <c r="DJ301" i="2"/>
  <c r="DJ324" i="2"/>
  <c r="DJ300" i="2"/>
  <c r="DJ310" i="2"/>
  <c r="DJ328" i="2"/>
  <c r="DJ297" i="2"/>
  <c r="DJ331" i="2"/>
  <c r="BT299" i="2"/>
  <c r="DJ315" i="2"/>
  <c r="DJ390" i="2"/>
  <c r="DJ362" i="2"/>
  <c r="DJ368" i="2"/>
  <c r="DJ388" i="2"/>
  <c r="DJ361" i="2"/>
  <c r="DJ366" i="2"/>
  <c r="DJ394" i="2"/>
  <c r="DJ369" i="2"/>
  <c r="DJ373" i="2"/>
  <c r="BT362" i="2"/>
  <c r="DJ364" i="2"/>
  <c r="DJ381" i="2"/>
  <c r="DJ401" i="2"/>
  <c r="DJ382" i="2"/>
  <c r="DJ395" i="2"/>
  <c r="DJ399" i="2"/>
  <c r="DJ380" i="2"/>
  <c r="DJ393" i="2"/>
  <c r="DJ405" i="2"/>
  <c r="DJ386" i="2"/>
  <c r="DJ404" i="2"/>
  <c r="DJ359" i="2"/>
  <c r="DJ392" i="2"/>
  <c r="DJ365" i="2"/>
  <c r="DJ371" i="2"/>
  <c r="DJ398" i="2"/>
  <c r="DJ372" i="2"/>
  <c r="DJ387" i="2"/>
  <c r="DJ377" i="2"/>
  <c r="DJ370" i="2"/>
  <c r="DJ385" i="2"/>
  <c r="DJ397" i="2"/>
  <c r="DJ378" i="2"/>
  <c r="DJ391" i="2"/>
  <c r="DJ403" i="2"/>
  <c r="DJ384" i="2"/>
  <c r="DJ396" i="2"/>
  <c r="DJ407" i="2"/>
  <c r="DJ360" i="2"/>
  <c r="DJ402" i="2"/>
  <c r="DJ379" i="2"/>
  <c r="DJ400" i="2"/>
  <c r="DJ375" i="2"/>
  <c r="DJ376" i="2"/>
  <c r="DJ363" i="2"/>
  <c r="DJ367" i="2"/>
  <c r="DJ383" i="2"/>
  <c r="DJ406" i="2"/>
  <c r="DJ374" i="2"/>
  <c r="DJ389" i="2"/>
  <c r="DM438" i="2"/>
  <c r="DM456" i="2"/>
  <c r="DM430" i="2"/>
  <c r="DO562" i="2"/>
  <c r="DO585" i="2"/>
  <c r="DO555" i="2"/>
  <c r="DL574" i="2"/>
  <c r="DQ574" i="2" s="1"/>
  <c r="DL571" i="2"/>
  <c r="DQ571" i="2" s="1"/>
  <c r="DL559" i="2"/>
  <c r="DQ559" i="2" s="1"/>
  <c r="DL590" i="2"/>
  <c r="DQ590" i="2" s="1"/>
  <c r="DL554" i="2"/>
  <c r="DQ554" i="2" s="1"/>
  <c r="DL595" i="2"/>
  <c r="DQ595" i="2" s="1"/>
  <c r="DL553" i="2"/>
  <c r="DQ553" i="2" s="1"/>
  <c r="DL585" i="2"/>
  <c r="DQ585" i="2" s="1"/>
  <c r="DL592" i="2"/>
  <c r="DQ592" i="2" s="1"/>
  <c r="DL556" i="2"/>
  <c r="DQ556" i="2" s="1"/>
  <c r="DL589" i="2"/>
  <c r="DQ589" i="2" s="1"/>
  <c r="DL577" i="2"/>
  <c r="DQ577" i="2" s="1"/>
  <c r="DL495" i="34"/>
  <c r="DQ495" i="34" s="1"/>
  <c r="DL492" i="34"/>
  <c r="DQ492" i="34" s="1"/>
  <c r="DL517" i="34"/>
  <c r="DQ517" i="34" s="1"/>
  <c r="DL512" i="34"/>
  <c r="DQ512" i="34" s="1"/>
  <c r="DL531" i="34"/>
  <c r="DQ531" i="34" s="1"/>
  <c r="DL525" i="34"/>
  <c r="DQ525" i="34" s="1"/>
  <c r="DL510" i="34"/>
  <c r="DQ510" i="34" s="1"/>
  <c r="DL530" i="34"/>
  <c r="DQ530" i="34" s="1"/>
  <c r="DL532" i="34"/>
  <c r="DQ532" i="34" s="1"/>
  <c r="DL521" i="34"/>
  <c r="DQ521" i="34" s="1"/>
  <c r="DL501" i="34"/>
  <c r="DQ501" i="34" s="1"/>
  <c r="DL487" i="34"/>
  <c r="DQ487" i="34" s="1"/>
  <c r="DI139" i="2"/>
  <c r="DI107" i="2"/>
  <c r="DI123" i="2"/>
  <c r="DI145" i="2"/>
  <c r="DI116" i="2"/>
  <c r="DI150" i="2"/>
  <c r="DI106" i="2"/>
  <c r="DI110" i="2"/>
  <c r="DI144" i="2"/>
  <c r="DI151" i="2"/>
  <c r="DI118" i="2"/>
  <c r="DI142" i="2"/>
  <c r="DI152" i="2"/>
  <c r="DO325" i="2"/>
  <c r="DO334" i="2"/>
  <c r="DO314" i="2"/>
  <c r="DO323" i="2"/>
  <c r="DO332" i="2"/>
  <c r="DO306" i="2"/>
  <c r="DO321" i="2"/>
  <c r="DO330" i="2"/>
  <c r="DO302" i="2"/>
  <c r="DO327" i="2"/>
  <c r="DO336" i="2"/>
  <c r="DO296" i="2"/>
  <c r="DO317" i="2"/>
  <c r="DO326" i="2"/>
  <c r="DO300" i="2"/>
  <c r="DO315" i="2"/>
  <c r="DO324" i="2"/>
  <c r="DO299" i="2"/>
  <c r="DO311" i="2"/>
  <c r="DO322" i="2"/>
  <c r="DO298" i="2"/>
  <c r="DO319" i="2"/>
  <c r="DO328" i="2"/>
  <c r="DO297" i="2"/>
  <c r="DO341" i="2"/>
  <c r="DO307" i="2"/>
  <c r="DO318" i="2"/>
  <c r="DO339" i="2"/>
  <c r="DO304" i="2"/>
  <c r="DO316" i="2"/>
  <c r="DO337" i="2"/>
  <c r="DO301" i="2"/>
  <c r="DO313" i="2"/>
  <c r="DO343" i="2"/>
  <c r="DO309" i="2"/>
  <c r="DO320" i="2"/>
  <c r="DO344" i="2"/>
  <c r="DO333" i="2"/>
  <c r="DO342" i="2"/>
  <c r="DO308" i="2"/>
  <c r="DO331" i="2"/>
  <c r="DO340" i="2"/>
  <c r="DO305" i="2"/>
  <c r="DO329" i="2"/>
  <c r="DO338" i="2"/>
  <c r="DO303" i="2"/>
  <c r="DO335" i="2"/>
  <c r="DO312" i="2"/>
  <c r="DO310" i="2"/>
  <c r="DK623" i="34"/>
  <c r="DN623" i="34"/>
  <c r="DK617" i="34"/>
  <c r="DN617" i="34"/>
  <c r="DK656" i="34"/>
  <c r="DN656" i="34"/>
  <c r="DJ461" i="2"/>
  <c r="DJ457" i="2"/>
  <c r="DJ427" i="2"/>
  <c r="DP380" i="2"/>
  <c r="DP359" i="2"/>
  <c r="DP365" i="2"/>
  <c r="DP372" i="2"/>
  <c r="DP377" i="2"/>
  <c r="DP393" i="2"/>
  <c r="DP364" i="2"/>
  <c r="DP361" i="2"/>
  <c r="DP387" i="2"/>
  <c r="DP367" i="2"/>
  <c r="DP362" i="2"/>
  <c r="DP389" i="2"/>
  <c r="DO243" i="2"/>
  <c r="DO236" i="2"/>
  <c r="DO262" i="2"/>
  <c r="DO248" i="2"/>
  <c r="DO239" i="2"/>
  <c r="DO263" i="2"/>
  <c r="DO252" i="2"/>
  <c r="DO251" i="2"/>
  <c r="DO278" i="2"/>
  <c r="DO253" i="2"/>
  <c r="DO269" i="2"/>
  <c r="DO240" i="2"/>
  <c r="DM567" i="34"/>
  <c r="DM577" i="34"/>
  <c r="DM557" i="34"/>
  <c r="DN555" i="34"/>
  <c r="DK555" i="34"/>
  <c r="DN582" i="34"/>
  <c r="DK582" i="34"/>
  <c r="DK552" i="34"/>
  <c r="DN552" i="34"/>
  <c r="DO595" i="34"/>
  <c r="DO576" i="34"/>
  <c r="DO597" i="34"/>
  <c r="DL57" i="34"/>
  <c r="DQ57" i="34" s="1"/>
  <c r="DL74" i="34"/>
  <c r="DQ74" i="34" s="1"/>
  <c r="DL68" i="34"/>
  <c r="DQ68" i="34" s="1"/>
  <c r="DL70" i="34"/>
  <c r="DQ70" i="34" s="1"/>
  <c r="DL54" i="34"/>
  <c r="DQ54" i="34" s="1"/>
  <c r="DL49" i="34"/>
  <c r="DQ49" i="34" s="1"/>
  <c r="DL88" i="34"/>
  <c r="DQ88" i="34" s="1"/>
  <c r="DL66" i="34"/>
  <c r="DQ66" i="34" s="1"/>
  <c r="DL60" i="34"/>
  <c r="DQ60" i="34" s="1"/>
  <c r="DL90" i="34"/>
  <c r="DQ90" i="34" s="1"/>
  <c r="DL86" i="34"/>
  <c r="DQ86" i="34" s="1"/>
  <c r="DL79" i="34"/>
  <c r="DQ79" i="34" s="1"/>
  <c r="DL84" i="34"/>
  <c r="DQ84" i="34" s="1"/>
  <c r="DI180" i="2"/>
  <c r="DI196" i="2"/>
  <c r="DI209" i="2"/>
  <c r="DI214" i="2"/>
  <c r="DI187" i="2"/>
  <c r="DI201" i="2"/>
  <c r="DI191" i="2"/>
  <c r="DI212" i="2"/>
  <c r="DI202" i="2"/>
  <c r="DI215" i="2"/>
  <c r="DI189" i="2"/>
  <c r="DI194" i="2"/>
  <c r="DI497" i="2"/>
  <c r="DI520" i="2"/>
  <c r="DI533" i="2"/>
  <c r="DM127" i="2"/>
  <c r="DM141" i="2"/>
  <c r="DM145" i="2"/>
  <c r="DM154" i="2"/>
  <c r="DM126" i="2"/>
  <c r="DM134" i="2"/>
  <c r="DM115" i="2"/>
  <c r="DM130" i="2"/>
  <c r="DM135" i="2"/>
  <c r="DM109" i="2"/>
  <c r="DM123" i="2"/>
  <c r="DM125" i="2"/>
  <c r="DI461" i="2"/>
  <c r="DI458" i="2"/>
  <c r="DI455" i="2"/>
  <c r="DP573" i="2"/>
  <c r="DP565" i="2"/>
  <c r="DP582" i="2"/>
  <c r="DJ582" i="2"/>
  <c r="DJ554" i="2"/>
  <c r="DJ583" i="2"/>
  <c r="O173" i="8"/>
  <c r="B119" i="43" s="1"/>
  <c r="D119" i="43" s="1"/>
  <c r="E119" i="43" s="1"/>
  <c r="H119" i="43" s="1"/>
  <c r="J119" i="43" s="1"/>
  <c r="Y116" i="8"/>
  <c r="AB116" i="8" s="1"/>
  <c r="AH116" i="8" s="1"/>
  <c r="DL584" i="34"/>
  <c r="DQ584" i="34" s="1"/>
  <c r="DL598" i="34"/>
  <c r="DQ598" i="34" s="1"/>
  <c r="DL559" i="34"/>
  <c r="DQ559" i="34" s="1"/>
  <c r="DJ512" i="34"/>
  <c r="DJ523" i="34"/>
  <c r="DJ491" i="34"/>
  <c r="DJ510" i="34"/>
  <c r="DJ490" i="34"/>
  <c r="DJ529" i="34"/>
  <c r="DJ489" i="34"/>
  <c r="DJ499" i="34"/>
  <c r="DJ524" i="34"/>
  <c r="DJ513" i="34"/>
  <c r="DJ520" i="34"/>
  <c r="DJ492" i="34"/>
  <c r="DJ495" i="34"/>
  <c r="DJ502" i="34"/>
  <c r="DJ527" i="34"/>
  <c r="DJ515" i="34"/>
  <c r="DJ498" i="34"/>
  <c r="DJ508" i="34"/>
  <c r="DJ506" i="34"/>
  <c r="DJ526" i="34"/>
  <c r="DJ501" i="34"/>
  <c r="DJ500" i="34"/>
  <c r="DJ525" i="34"/>
  <c r="DJ533" i="34"/>
  <c r="DJ504" i="34"/>
  <c r="DJ530" i="34"/>
  <c r="DJ532" i="34"/>
  <c r="DJ494" i="34"/>
  <c r="DJ517" i="34"/>
  <c r="DJ507" i="34"/>
  <c r="DJ505" i="34"/>
  <c r="DJ509" i="34"/>
  <c r="DJ516" i="34"/>
  <c r="DJ514" i="34"/>
  <c r="DJ519" i="34"/>
  <c r="DJ518" i="34"/>
  <c r="DJ534" i="34"/>
  <c r="DJ497" i="34"/>
  <c r="DJ531" i="34"/>
  <c r="DJ487" i="34"/>
  <c r="DJ486" i="34"/>
  <c r="DJ496" i="34"/>
  <c r="DJ511" i="34"/>
  <c r="BT489" i="34"/>
  <c r="DJ503" i="34"/>
  <c r="DJ522" i="34"/>
  <c r="DJ521" i="34"/>
  <c r="DJ488" i="34"/>
  <c r="DJ493" i="34"/>
  <c r="DJ528" i="34"/>
  <c r="BV300" i="34"/>
  <c r="BV331" i="34"/>
  <c r="BV329" i="34"/>
  <c r="BV316" i="34"/>
  <c r="BV346" i="34"/>
  <c r="BV311" i="34"/>
  <c r="DL419" i="34"/>
  <c r="DM420" i="34"/>
  <c r="DL420" i="34"/>
  <c r="DP564" i="34"/>
  <c r="DP598" i="34"/>
  <c r="DP554" i="34"/>
  <c r="DO116" i="2"/>
  <c r="DO152" i="2"/>
  <c r="DO131" i="2"/>
  <c r="DO109" i="2"/>
  <c r="DO128" i="2"/>
  <c r="DO130" i="2"/>
  <c r="DO132" i="2"/>
  <c r="DO143" i="2"/>
  <c r="DO126" i="2"/>
  <c r="DO106" i="2"/>
  <c r="DO120" i="2"/>
  <c r="DO111" i="2"/>
  <c r="DP184" i="2"/>
  <c r="DP204" i="2"/>
  <c r="DP174" i="2"/>
  <c r="DM436" i="2"/>
  <c r="DM432" i="2"/>
  <c r="DM453" i="2"/>
  <c r="DO558" i="2"/>
  <c r="DO550" i="2"/>
  <c r="DO598" i="2"/>
  <c r="DM557" i="2"/>
  <c r="DM588" i="2"/>
  <c r="DM550" i="2"/>
  <c r="DM597" i="2"/>
  <c r="DM587" i="2"/>
  <c r="DM570" i="2"/>
  <c r="DM569" i="2"/>
  <c r="DM553" i="2"/>
  <c r="DM585" i="2"/>
  <c r="DM583" i="2"/>
  <c r="DM564" i="2"/>
  <c r="DM571" i="2"/>
  <c r="DO372" i="34"/>
  <c r="DO386" i="34"/>
  <c r="DO389" i="34"/>
  <c r="DO397" i="34"/>
  <c r="DO362" i="34"/>
  <c r="DO401" i="34"/>
  <c r="DO375" i="34"/>
  <c r="DO406" i="34"/>
  <c r="DO405" i="34"/>
  <c r="DO382" i="34"/>
  <c r="DO361" i="34"/>
  <c r="DO404" i="34"/>
  <c r="DO391" i="34"/>
  <c r="DO396" i="34"/>
  <c r="DO365" i="34"/>
  <c r="DO370" i="34"/>
  <c r="DO366" i="34"/>
  <c r="DO359" i="34"/>
  <c r="DO371" i="34"/>
  <c r="DO402" i="34"/>
  <c r="DO369" i="34"/>
  <c r="DO360" i="34"/>
  <c r="DO384" i="34"/>
  <c r="DO363" i="34"/>
  <c r="DO388" i="34"/>
  <c r="DO390" i="34"/>
  <c r="DO399" i="34"/>
  <c r="DO400" i="34"/>
  <c r="DO383" i="34"/>
  <c r="DO387" i="34"/>
  <c r="DO380" i="34"/>
  <c r="DO393" i="34"/>
  <c r="DO385" i="34"/>
  <c r="DO394" i="34"/>
  <c r="DO364" i="34"/>
  <c r="DO392" i="34"/>
  <c r="DO395" i="34"/>
  <c r="DO378" i="34"/>
  <c r="DO398" i="34"/>
  <c r="DO376" i="34"/>
  <c r="DO379" i="34"/>
  <c r="DO403" i="34"/>
  <c r="DO374" i="34"/>
  <c r="DO367" i="34"/>
  <c r="DO407" i="34"/>
  <c r="DO377" i="34"/>
  <c r="DO368" i="34"/>
  <c r="DO381" i="34"/>
  <c r="DO373" i="34"/>
  <c r="DM500" i="34"/>
  <c r="DM519" i="34"/>
  <c r="BT488" i="34"/>
  <c r="DM528" i="34"/>
  <c r="DM510" i="34"/>
  <c r="DM492" i="34"/>
  <c r="DM526" i="34"/>
  <c r="DM505" i="34"/>
  <c r="DM523" i="34"/>
  <c r="DM532" i="34"/>
  <c r="DM494" i="34"/>
  <c r="DM518" i="34"/>
  <c r="DJ575" i="34"/>
  <c r="DJ558" i="34"/>
  <c r="DJ564" i="34"/>
  <c r="DJ587" i="34"/>
  <c r="DJ590" i="34"/>
  <c r="DJ557" i="34"/>
  <c r="DJ555" i="34"/>
  <c r="DJ561" i="34"/>
  <c r="DJ594" i="34"/>
  <c r="DJ569" i="34"/>
  <c r="DJ565" i="34"/>
  <c r="DJ568" i="34"/>
  <c r="DJ589" i="34"/>
  <c r="DJ593" i="34"/>
  <c r="DJ553" i="34"/>
  <c r="DJ581" i="34"/>
  <c r="DJ550" i="34"/>
  <c r="DJ588" i="34"/>
  <c r="DJ592" i="34"/>
  <c r="DJ571" i="34"/>
  <c r="DJ576" i="34"/>
  <c r="DJ598" i="34"/>
  <c r="DJ579" i="34"/>
  <c r="DJ585" i="34"/>
  <c r="DJ573" i="34"/>
  <c r="DJ559" i="34"/>
  <c r="DJ572" i="34"/>
  <c r="DJ591" i="34"/>
  <c r="BT553" i="34"/>
  <c r="DJ554" i="34"/>
  <c r="DJ578" i="34"/>
  <c r="DJ582" i="34"/>
  <c r="DJ570" i="34"/>
  <c r="DJ560" i="34"/>
  <c r="DJ552" i="34"/>
  <c r="DJ597" i="34"/>
  <c r="DJ596" i="34"/>
  <c r="DJ583" i="34"/>
  <c r="DJ562" i="34"/>
  <c r="DJ584" i="34"/>
  <c r="DJ595" i="34"/>
  <c r="DJ574" i="34"/>
  <c r="DJ577" i="34"/>
  <c r="DJ566" i="34"/>
  <c r="DJ551" i="34"/>
  <c r="DJ586" i="34"/>
  <c r="DJ563" i="34"/>
  <c r="DJ567" i="34"/>
  <c r="DJ580" i="34"/>
  <c r="DJ556" i="34"/>
  <c r="DJ116" i="2"/>
  <c r="DJ122" i="2"/>
  <c r="DJ132" i="2"/>
  <c r="DJ113" i="2"/>
  <c r="DJ108" i="2"/>
  <c r="DJ128" i="2"/>
  <c r="DJ136" i="2"/>
  <c r="DJ123" i="2"/>
  <c r="DJ154" i="2"/>
  <c r="DJ149" i="2"/>
  <c r="DJ151" i="2"/>
  <c r="DJ135" i="2"/>
  <c r="DJ124" i="2"/>
  <c r="R173" i="3"/>
  <c r="B9" i="36"/>
  <c r="D9" i="36" s="1"/>
  <c r="E9" i="36" s="1"/>
  <c r="S173" i="38" s="1"/>
  <c r="T173" i="38" s="1"/>
  <c r="DI468" i="2"/>
  <c r="DJ581" i="2"/>
  <c r="DP179" i="2"/>
  <c r="Z114" i="6"/>
  <c r="AF114" i="6" s="1"/>
  <c r="DM231" i="34"/>
  <c r="DL231" i="34"/>
  <c r="DM230" i="34"/>
  <c r="DN658" i="34"/>
  <c r="DK658" i="34"/>
  <c r="DN657" i="34"/>
  <c r="DK657" i="34"/>
  <c r="DK639" i="34"/>
  <c r="DN639" i="34"/>
  <c r="DK130" i="34"/>
  <c r="DN130" i="34"/>
  <c r="DN128" i="34"/>
  <c r="DK128" i="34"/>
  <c r="DN147" i="34"/>
  <c r="DK147" i="34"/>
  <c r="DN144" i="34"/>
  <c r="DK144" i="34"/>
  <c r="DK560" i="34"/>
  <c r="DN560" i="34"/>
  <c r="DK586" i="34"/>
  <c r="DN586" i="34"/>
  <c r="DN598" i="34"/>
  <c r="DK598" i="34"/>
  <c r="DO594" i="34"/>
  <c r="DO553" i="34"/>
  <c r="DO598" i="34"/>
  <c r="BK28" i="31"/>
  <c r="BL27" i="31"/>
  <c r="BP27" i="31" s="1"/>
  <c r="DM80" i="34"/>
  <c r="DM47" i="34"/>
  <c r="DM53" i="34"/>
  <c r="DM78" i="34"/>
  <c r="DM59" i="34"/>
  <c r="DM77" i="34"/>
  <c r="DM85" i="34"/>
  <c r="BT48" i="34"/>
  <c r="DM67" i="34"/>
  <c r="DM48" i="34"/>
  <c r="DM54" i="34"/>
  <c r="DM52" i="34"/>
  <c r="DC84" i="34"/>
  <c r="DD84" i="34"/>
  <c r="DN502" i="2"/>
  <c r="DK502" i="2"/>
  <c r="DN512" i="2"/>
  <c r="DK512" i="2"/>
  <c r="DK525" i="2"/>
  <c r="DN525" i="2"/>
  <c r="DK438" i="2"/>
  <c r="DN438" i="2"/>
  <c r="DN441" i="2"/>
  <c r="DK441" i="2"/>
  <c r="DK429" i="2"/>
  <c r="DN429" i="2"/>
  <c r="DP294" i="2"/>
  <c r="DO293" i="2"/>
  <c r="DP293" i="2"/>
  <c r="DO294" i="2"/>
  <c r="M116" i="8"/>
  <c r="L116" i="8"/>
  <c r="N116" i="8"/>
  <c r="AM174" i="6"/>
  <c r="AN174" i="6" s="1"/>
  <c r="AA117" i="6"/>
  <c r="AG117" i="6" s="1"/>
  <c r="AB16" i="3"/>
  <c r="AB16" i="8"/>
  <c r="AB16" i="6"/>
  <c r="M14" i="11"/>
  <c r="DP550" i="34"/>
  <c r="DP584" i="34"/>
  <c r="DP567" i="34"/>
  <c r="DP175" i="2"/>
  <c r="DP178" i="2"/>
  <c r="DP207" i="2"/>
  <c r="BU361" i="2"/>
  <c r="DM431" i="2"/>
  <c r="DM452" i="2"/>
  <c r="DM443" i="2"/>
  <c r="X119" i="6"/>
  <c r="BU277" i="34"/>
  <c r="BV277" i="34" s="1"/>
  <c r="BU260" i="34"/>
  <c r="BV260" i="34" s="1"/>
  <c r="BU251" i="34"/>
  <c r="BV251" i="34" s="1"/>
  <c r="BU275" i="34"/>
  <c r="BV275" i="34" s="1"/>
  <c r="BU244" i="34"/>
  <c r="BV244" i="34" s="1"/>
  <c r="BU247" i="34"/>
  <c r="BV247" i="34" s="1"/>
  <c r="BU280" i="34"/>
  <c r="BV280" i="34" s="1"/>
  <c r="BU282" i="34"/>
  <c r="BV282" i="34" s="1"/>
  <c r="BU252" i="34"/>
  <c r="BV252" i="34" s="1"/>
  <c r="BU241" i="34"/>
  <c r="BV241" i="34" s="1"/>
  <c r="BU238" i="34"/>
  <c r="BV238" i="34" s="1"/>
  <c r="BU243" i="34"/>
  <c r="BV243" i="34" s="1"/>
  <c r="BU263" i="34"/>
  <c r="BV263" i="34" s="1"/>
  <c r="BU249" i="34"/>
  <c r="BV249" i="34" s="1"/>
  <c r="BU256" i="34"/>
  <c r="BV256" i="34" s="1"/>
  <c r="BU259" i="34"/>
  <c r="BV259" i="34" s="1"/>
  <c r="BU278" i="34"/>
  <c r="BV278" i="34" s="1"/>
  <c r="BU268" i="34"/>
  <c r="BV268" i="34" s="1"/>
  <c r="BU265" i="34"/>
  <c r="BV265" i="34" s="1"/>
  <c r="BU264" i="34"/>
  <c r="BV264" i="34" s="1"/>
  <c r="BU239" i="34"/>
  <c r="BV239" i="34" s="1"/>
  <c r="BU240" i="34"/>
  <c r="BV240" i="34" s="1"/>
  <c r="BU276" i="34"/>
  <c r="BV276" i="34" s="1"/>
  <c r="BU272" i="34"/>
  <c r="BV272" i="34" s="1"/>
  <c r="BU255" i="34"/>
  <c r="BV255" i="34" s="1"/>
  <c r="BU250" i="34"/>
  <c r="BV250" i="34" s="1"/>
  <c r="BU270" i="34"/>
  <c r="BV270" i="34" s="1"/>
  <c r="BU246" i="34"/>
  <c r="BV246" i="34" s="1"/>
  <c r="BU266" i="34"/>
  <c r="BV266" i="34" s="1"/>
  <c r="BU262" i="34"/>
  <c r="BV262" i="34" s="1"/>
  <c r="BU274" i="34"/>
  <c r="BV274" i="34" s="1"/>
  <c r="BU258" i="34"/>
  <c r="BV258" i="34" s="1"/>
  <c r="BU271" i="34"/>
  <c r="BV271" i="34" s="1"/>
  <c r="BU248" i="34"/>
  <c r="BV248" i="34" s="1"/>
  <c r="BU269" i="34"/>
  <c r="BV269" i="34" s="1"/>
  <c r="BU254" i="34"/>
  <c r="BV254" i="34" s="1"/>
  <c r="BU245" i="34"/>
  <c r="BV245" i="34" s="1"/>
  <c r="BU281" i="34"/>
  <c r="BV281" i="34" s="1"/>
  <c r="BU237" i="34"/>
  <c r="BV237" i="34" s="1"/>
  <c r="BU242" i="34"/>
  <c r="BV242" i="34" s="1"/>
  <c r="BU257" i="34"/>
  <c r="BV257" i="34" s="1"/>
  <c r="BU283" i="34"/>
  <c r="BV283" i="34" s="1"/>
  <c r="BU273" i="34"/>
  <c r="BV273" i="34" s="1"/>
  <c r="BU261" i="34"/>
  <c r="BV261" i="34" s="1"/>
  <c r="BU253" i="34"/>
  <c r="BV253" i="34" s="1"/>
  <c r="BU267" i="34"/>
  <c r="BV267" i="34" s="1"/>
  <c r="BU279" i="34"/>
  <c r="BV279" i="34" s="1"/>
  <c r="DO168" i="2"/>
  <c r="DP168" i="2"/>
  <c r="DO167" i="2"/>
  <c r="DP167" i="2"/>
  <c r="DM641" i="34"/>
  <c r="DM650" i="34"/>
  <c r="DM625" i="34"/>
  <c r="DM638" i="34"/>
  <c r="DM647" i="34"/>
  <c r="DM636" i="34"/>
  <c r="DM656" i="34"/>
  <c r="DM629" i="34"/>
  <c r="DM644" i="34"/>
  <c r="DM622" i="34"/>
  <c r="DM634" i="34"/>
  <c r="DM624" i="34"/>
  <c r="DM659" i="34"/>
  <c r="DM621" i="34"/>
  <c r="DM631" i="34"/>
  <c r="DM655" i="34"/>
  <c r="DM619" i="34"/>
  <c r="DM654" i="34"/>
  <c r="DM617" i="34"/>
  <c r="DM633" i="34"/>
  <c r="DM652" i="34"/>
  <c r="DM649" i="34"/>
  <c r="DM653" i="34"/>
  <c r="DM648" i="34"/>
  <c r="DM658" i="34"/>
  <c r="DM618" i="34"/>
  <c r="DM630" i="34"/>
  <c r="DM645" i="34"/>
  <c r="DM626" i="34"/>
  <c r="DM639" i="34"/>
  <c r="DM632" i="34"/>
  <c r="DM637" i="34"/>
  <c r="DM662" i="34"/>
  <c r="DM660" i="34"/>
  <c r="DM661" i="34"/>
  <c r="DM627" i="34"/>
  <c r="BT617" i="34"/>
  <c r="DM628" i="34"/>
  <c r="DM642" i="34"/>
  <c r="DM651" i="34"/>
  <c r="DM623" i="34"/>
  <c r="DM640" i="34"/>
  <c r="DM620" i="34"/>
  <c r="DM635" i="34"/>
  <c r="DM657" i="34"/>
  <c r="DM616" i="34"/>
  <c r="DM615" i="34"/>
  <c r="DM646" i="34"/>
  <c r="DM663" i="34"/>
  <c r="DM643" i="34"/>
  <c r="DL230" i="34"/>
  <c r="DN630" i="34"/>
  <c r="DK630" i="34"/>
  <c r="DK632" i="34"/>
  <c r="DN632" i="34"/>
  <c r="DK628" i="34"/>
  <c r="DN628" i="34"/>
  <c r="DK595" i="34"/>
  <c r="DN595" i="34"/>
  <c r="DN568" i="34"/>
  <c r="DK568" i="34"/>
  <c r="DK564" i="34"/>
  <c r="DN564" i="34"/>
  <c r="DO554" i="34"/>
  <c r="DO569" i="34"/>
  <c r="DO561" i="34"/>
  <c r="DN486" i="2"/>
  <c r="DK486" i="2"/>
  <c r="DN503" i="2"/>
  <c r="DK503" i="2"/>
  <c r="DK517" i="2"/>
  <c r="DN517" i="2"/>
  <c r="DI433" i="2"/>
  <c r="DI464" i="2"/>
  <c r="DI444" i="2"/>
  <c r="DP591" i="2"/>
  <c r="DP578" i="2"/>
  <c r="DP561" i="2"/>
  <c r="BT281" i="2"/>
  <c r="BT274" i="2"/>
  <c r="BT270" i="2"/>
  <c r="BT248" i="2"/>
  <c r="BT258" i="2"/>
  <c r="BT254" i="2"/>
  <c r="BT247" i="2"/>
  <c r="BT238" i="2"/>
  <c r="BT250" i="2"/>
  <c r="BT266" i="2"/>
  <c r="BT262" i="2"/>
  <c r="BT242" i="2"/>
  <c r="BT280" i="2"/>
  <c r="BT273" i="2"/>
  <c r="BT269" i="2"/>
  <c r="BT243" i="2"/>
  <c r="BT257" i="2"/>
  <c r="BT253" i="2"/>
  <c r="BT246" i="2"/>
  <c r="BT278" i="2"/>
  <c r="BT239" i="2"/>
  <c r="BT265" i="2"/>
  <c r="BT261" i="2"/>
  <c r="BT241" i="2"/>
  <c r="BT279" i="2"/>
  <c r="BT272" i="2"/>
  <c r="BT268" i="2"/>
  <c r="BT282" i="2"/>
  <c r="BT256" i="2"/>
  <c r="BT252" i="2"/>
  <c r="BT245" i="2"/>
  <c r="BT277" i="2"/>
  <c r="BT283" i="2"/>
  <c r="BT264" i="2"/>
  <c r="BT260" i="2"/>
  <c r="BT240" i="2"/>
  <c r="BT275" i="2"/>
  <c r="BT271" i="2"/>
  <c r="BT251" i="2"/>
  <c r="BT259" i="2"/>
  <c r="BT255" i="2"/>
  <c r="BT237" i="2"/>
  <c r="BT244" i="2"/>
  <c r="BT276" i="2"/>
  <c r="BT267" i="2"/>
  <c r="BT263" i="2"/>
  <c r="BT249" i="2"/>
  <c r="DJ560" i="2"/>
  <c r="DJ553" i="2"/>
  <c r="DJ570" i="2"/>
  <c r="DK377" i="34"/>
  <c r="DN377" i="34"/>
  <c r="DN379" i="34"/>
  <c r="DK379" i="34"/>
  <c r="DK384" i="34"/>
  <c r="DN384" i="34"/>
  <c r="DN376" i="34"/>
  <c r="DK376" i="34"/>
  <c r="DK365" i="34"/>
  <c r="DN365" i="34"/>
  <c r="DK359" i="34"/>
  <c r="DN359" i="34"/>
  <c r="DK383" i="34"/>
  <c r="DN383" i="34"/>
  <c r="DN373" i="34"/>
  <c r="DK373" i="34"/>
  <c r="DK370" i="34"/>
  <c r="DN370" i="34"/>
  <c r="DK400" i="34"/>
  <c r="DN400" i="34"/>
  <c r="DN363" i="34"/>
  <c r="DK363" i="34"/>
  <c r="DK374" i="34"/>
  <c r="DN374" i="34"/>
  <c r="DK387" i="34"/>
  <c r="DN387" i="34"/>
  <c r="DM419" i="34"/>
  <c r="DP560" i="34"/>
  <c r="DP552" i="34"/>
  <c r="DP585" i="34"/>
  <c r="DP565" i="34"/>
  <c r="DG60" i="34"/>
  <c r="DH60" i="34"/>
  <c r="DP176" i="2"/>
  <c r="DP185" i="2"/>
  <c r="DP173" i="2"/>
  <c r="DM460" i="2"/>
  <c r="DM422" i="2"/>
  <c r="DM466" i="2"/>
  <c r="DO583" i="2"/>
  <c r="DO588" i="2"/>
  <c r="DO566" i="2"/>
  <c r="DO553" i="2"/>
  <c r="DO356" i="2"/>
  <c r="DP356" i="2"/>
  <c r="DO357" i="2"/>
  <c r="DP357" i="2"/>
  <c r="DO628" i="34"/>
  <c r="DO660" i="34"/>
  <c r="DO647" i="34"/>
  <c r="DO640" i="34"/>
  <c r="DO633" i="34"/>
  <c r="DO659" i="34"/>
  <c r="DO631" i="34"/>
  <c r="DO630" i="34"/>
  <c r="DO655" i="34"/>
  <c r="DO637" i="34"/>
  <c r="DO617" i="34"/>
  <c r="DO651" i="34"/>
  <c r="DO661" i="34"/>
  <c r="DO642" i="34"/>
  <c r="DO629" i="34"/>
  <c r="DO620" i="34"/>
  <c r="DO656" i="34"/>
  <c r="DO643" i="34"/>
  <c r="DO618" i="34"/>
  <c r="DO652" i="34"/>
  <c r="DO634" i="34"/>
  <c r="DO619" i="34"/>
  <c r="DO648" i="34"/>
  <c r="DO639" i="34"/>
  <c r="DO663" i="34"/>
  <c r="DO644" i="34"/>
  <c r="DO626" i="34"/>
  <c r="DO615" i="34"/>
  <c r="DO657" i="34"/>
  <c r="DO636" i="34"/>
  <c r="DO623" i="34"/>
  <c r="DO653" i="34"/>
  <c r="DO641" i="34"/>
  <c r="DO621" i="34"/>
  <c r="DO649" i="34"/>
  <c r="DO632" i="34"/>
  <c r="DO622" i="34"/>
  <c r="DO646" i="34"/>
  <c r="DO627" i="34"/>
  <c r="DO662" i="34"/>
  <c r="DO658" i="34"/>
  <c r="DO638" i="34"/>
  <c r="DO625" i="34"/>
  <c r="DO654" i="34"/>
  <c r="DO645" i="34"/>
  <c r="DO624" i="34"/>
  <c r="DO650" i="34"/>
  <c r="DO635" i="34"/>
  <c r="DO616" i="34"/>
  <c r="DN618" i="34"/>
  <c r="DK618" i="34"/>
  <c r="DK615" i="34"/>
  <c r="DN615" i="34"/>
  <c r="DN659" i="34"/>
  <c r="DK659" i="34"/>
  <c r="DJ451" i="2"/>
  <c r="DJ458" i="2"/>
  <c r="DJ437" i="2"/>
  <c r="DO395" i="2"/>
  <c r="DO391" i="2"/>
  <c r="DO378" i="2"/>
  <c r="DO396" i="2"/>
  <c r="DO393" i="2"/>
  <c r="DO380" i="2"/>
  <c r="DO403" i="2"/>
  <c r="DO401" i="2"/>
  <c r="DO382" i="2"/>
  <c r="DO377" i="2"/>
  <c r="DO389" i="2"/>
  <c r="DO374" i="2"/>
  <c r="DP256" i="2"/>
  <c r="DP260" i="2"/>
  <c r="DP248" i="2"/>
  <c r="DP241" i="2"/>
  <c r="DP251" i="2"/>
  <c r="DP262" i="2"/>
  <c r="DP236" i="2"/>
  <c r="DP258" i="2"/>
  <c r="DP253" i="2"/>
  <c r="DP244" i="2"/>
  <c r="DP275" i="2"/>
  <c r="DP250" i="2"/>
  <c r="DK565" i="34"/>
  <c r="DN565" i="34"/>
  <c r="DK588" i="34"/>
  <c r="DN588" i="34"/>
  <c r="DK553" i="34"/>
  <c r="DN553" i="34"/>
  <c r="DO585" i="34"/>
  <c r="DO575" i="34"/>
  <c r="DO591" i="34"/>
  <c r="DG74" i="34"/>
  <c r="DH74" i="34"/>
  <c r="DI507" i="2"/>
  <c r="DI528" i="2"/>
  <c r="DI487" i="2"/>
  <c r="DL110" i="2"/>
  <c r="DQ110" i="2" s="1"/>
  <c r="DL139" i="2"/>
  <c r="DQ139" i="2" s="1"/>
  <c r="DL121" i="2"/>
  <c r="DQ121" i="2" s="1"/>
  <c r="DL106" i="2"/>
  <c r="DQ106" i="2" s="1"/>
  <c r="DL133" i="2"/>
  <c r="DQ133" i="2" s="1"/>
  <c r="DL148" i="2"/>
  <c r="DQ148" i="2" s="1"/>
  <c r="DL112" i="2"/>
  <c r="DQ112" i="2" s="1"/>
  <c r="DL151" i="2"/>
  <c r="DQ151" i="2" s="1"/>
  <c r="DL142" i="2"/>
  <c r="DQ142" i="2" s="1"/>
  <c r="DL153" i="2"/>
  <c r="DQ153" i="2" s="1"/>
  <c r="DL149" i="2"/>
  <c r="DQ149" i="2" s="1"/>
  <c r="DL123" i="2"/>
  <c r="DQ123" i="2" s="1"/>
  <c r="DI460" i="2"/>
  <c r="DI434" i="2"/>
  <c r="DI427" i="2"/>
  <c r="DP558" i="2"/>
  <c r="DP589" i="2"/>
  <c r="DP577" i="2"/>
  <c r="BU488" i="2"/>
  <c r="DJ568" i="2"/>
  <c r="DJ593" i="2"/>
  <c r="DJ563" i="2"/>
  <c r="C114" i="11"/>
  <c r="D114" i="11" s="1"/>
  <c r="E114" i="11" s="1"/>
  <c r="AM67" i="8"/>
  <c r="AE67" i="8"/>
  <c r="DP559" i="34"/>
  <c r="DP571" i="34"/>
  <c r="DP593" i="34"/>
  <c r="DP117" i="2"/>
  <c r="BT107" i="2"/>
  <c r="DP140" i="2"/>
  <c r="DP145" i="2"/>
  <c r="DP110" i="2"/>
  <c r="DP142" i="2"/>
  <c r="DP134" i="2"/>
  <c r="DP115" i="2"/>
  <c r="DP123" i="2"/>
  <c r="DP154" i="2"/>
  <c r="DP136" i="2"/>
  <c r="DP144" i="2"/>
  <c r="DP135" i="2"/>
  <c r="DP201" i="2"/>
  <c r="BT171" i="2"/>
  <c r="DP206" i="2"/>
  <c r="DI300" i="2"/>
  <c r="DI319" i="2"/>
  <c r="DI326" i="2"/>
  <c r="DI337" i="2"/>
  <c r="DI309" i="2"/>
  <c r="DI318" i="2"/>
  <c r="DI329" i="2"/>
  <c r="DI302" i="2"/>
  <c r="DI308" i="2"/>
  <c r="DI298" i="2"/>
  <c r="DI327" i="2"/>
  <c r="DI334" i="2"/>
  <c r="DI305" i="2"/>
  <c r="DI311" i="2"/>
  <c r="DI328" i="2"/>
  <c r="DI314" i="2"/>
  <c r="DI306" i="2"/>
  <c r="DI320" i="2"/>
  <c r="DI339" i="2"/>
  <c r="DI338" i="2"/>
  <c r="DI310" i="2"/>
  <c r="DI331" i="2"/>
  <c r="DI321" i="2"/>
  <c r="DI336" i="2"/>
  <c r="DI344" i="2"/>
  <c r="DI322" i="2"/>
  <c r="DI297" i="2"/>
  <c r="DI315" i="2"/>
  <c r="DI313" i="2"/>
  <c r="DI341" i="2"/>
  <c r="DI312" i="2"/>
  <c r="DI303" i="2"/>
  <c r="DI333" i="2"/>
  <c r="DI340" i="2"/>
  <c r="DI330" i="2"/>
  <c r="DI301" i="2"/>
  <c r="DI323" i="2"/>
  <c r="DI299" i="2"/>
  <c r="DI317" i="2"/>
  <c r="DI324" i="2"/>
  <c r="DI343" i="2"/>
  <c r="DI307" i="2"/>
  <c r="DI316" i="2"/>
  <c r="DI335" i="2"/>
  <c r="DI342" i="2"/>
  <c r="DI304" i="2"/>
  <c r="DI296" i="2"/>
  <c r="DI325" i="2"/>
  <c r="DI332" i="2"/>
  <c r="DI397" i="2"/>
  <c r="DI378" i="2"/>
  <c r="DI383" i="2"/>
  <c r="DI403" i="2"/>
  <c r="DI384" i="2"/>
  <c r="DI389" i="2"/>
  <c r="DI362" i="2"/>
  <c r="DI390" i="2"/>
  <c r="DI402" i="2"/>
  <c r="DI360" i="2"/>
  <c r="DI388" i="2"/>
  <c r="DI393" i="2"/>
  <c r="DI396" i="2"/>
  <c r="DI367" i="2"/>
  <c r="DI373" i="2"/>
  <c r="DI395" i="2"/>
  <c r="DI374" i="2"/>
  <c r="DI381" i="2"/>
  <c r="DI401" i="2"/>
  <c r="DI382" i="2"/>
  <c r="DI387" i="2"/>
  <c r="DI399" i="2"/>
  <c r="DI380" i="2"/>
  <c r="DI385" i="2"/>
  <c r="DI394" i="2"/>
  <c r="DI369" i="2"/>
  <c r="DI407" i="2"/>
  <c r="DI377" i="2"/>
  <c r="DI364" i="2"/>
  <c r="DI371" i="2"/>
  <c r="DI406" i="2"/>
  <c r="DI372" i="2"/>
  <c r="DI379" i="2"/>
  <c r="DI404" i="2"/>
  <c r="DI370" i="2"/>
  <c r="DI376" i="2"/>
  <c r="DI405" i="2"/>
  <c r="DI386" i="2"/>
  <c r="DI391" i="2"/>
  <c r="DI361" i="2"/>
  <c r="DI392" i="2"/>
  <c r="DI365" i="2"/>
  <c r="DI359" i="2"/>
  <c r="DI363" i="2"/>
  <c r="DI400" i="2"/>
  <c r="DI368" i="2"/>
  <c r="DI398" i="2"/>
  <c r="DI375" i="2"/>
  <c r="DI366" i="2"/>
  <c r="DM463" i="2"/>
  <c r="DM445" i="2"/>
  <c r="DM459" i="2"/>
  <c r="DO593" i="2"/>
  <c r="DO574" i="2"/>
  <c r="DO572" i="2"/>
  <c r="DL586" i="2"/>
  <c r="DQ586" i="2" s="1"/>
  <c r="DL560" i="2"/>
  <c r="DQ560" i="2" s="1"/>
  <c r="DL591" i="2"/>
  <c r="DQ591" i="2" s="1"/>
  <c r="DL567" i="2"/>
  <c r="DQ567" i="2" s="1"/>
  <c r="DL578" i="2"/>
  <c r="DQ578" i="2" s="1"/>
  <c r="DL575" i="2"/>
  <c r="DQ575" i="2" s="1"/>
  <c r="DL594" i="2"/>
  <c r="DQ594" i="2" s="1"/>
  <c r="DL598" i="2"/>
  <c r="DQ598" i="2" s="1"/>
  <c r="DL569" i="2"/>
  <c r="DQ569" i="2" s="1"/>
  <c r="DL562" i="2"/>
  <c r="DQ562" i="2" s="1"/>
  <c r="DL557" i="2"/>
  <c r="DQ557" i="2" s="1"/>
  <c r="DL576" i="2"/>
  <c r="DQ576" i="2" s="1"/>
  <c r="R175" i="6"/>
  <c r="B66" i="36"/>
  <c r="DM368" i="34"/>
  <c r="DM388" i="34"/>
  <c r="DM403" i="34"/>
  <c r="DM360" i="34"/>
  <c r="DM405" i="34"/>
  <c r="DM379" i="34"/>
  <c r="DM380" i="34"/>
  <c r="DM406" i="34"/>
  <c r="DM378" i="34"/>
  <c r="DM373" i="34"/>
  <c r="DM372" i="34"/>
  <c r="DM402" i="34"/>
  <c r="DM367" i="34"/>
  <c r="DM376" i="34"/>
  <c r="DM392" i="34"/>
  <c r="DM374" i="34"/>
  <c r="DM400" i="34"/>
  <c r="DM386" i="34"/>
  <c r="DM393" i="34"/>
  <c r="DM361" i="34"/>
  <c r="DM363" i="34"/>
  <c r="DM407" i="34"/>
  <c r="DM384" i="34"/>
  <c r="DM359" i="34"/>
  <c r="DM382" i="34"/>
  <c r="DM375" i="34"/>
  <c r="DM391" i="34"/>
  <c r="DM377" i="34"/>
  <c r="DM369" i="34"/>
  <c r="DM397" i="34"/>
  <c r="DM381" i="34"/>
  <c r="DM370" i="34"/>
  <c r="DM404" i="34"/>
  <c r="DM390" i="34"/>
  <c r="DM394" i="34"/>
  <c r="DM364" i="34"/>
  <c r="DM365" i="34"/>
  <c r="DM399" i="34"/>
  <c r="DM366" i="34"/>
  <c r="DM389" i="34"/>
  <c r="DM395" i="34"/>
  <c r="DM396" i="34"/>
  <c r="DM401" i="34"/>
  <c r="DM362" i="34"/>
  <c r="DM387" i="34"/>
  <c r="BT361" i="34"/>
  <c r="DM383" i="34"/>
  <c r="DM398" i="34"/>
  <c r="DM385" i="34"/>
  <c r="DM371" i="34"/>
  <c r="DL529" i="34"/>
  <c r="DQ529" i="34" s="1"/>
  <c r="DL490" i="34"/>
  <c r="DQ490" i="34" s="1"/>
  <c r="DL497" i="34"/>
  <c r="DQ497" i="34" s="1"/>
  <c r="DL493" i="34"/>
  <c r="DQ493" i="34" s="1"/>
  <c r="DL503" i="34"/>
  <c r="DQ503" i="34" s="1"/>
  <c r="DL498" i="34"/>
  <c r="DQ498" i="34" s="1"/>
  <c r="DL518" i="34"/>
  <c r="DQ518" i="34" s="1"/>
  <c r="DL500" i="34"/>
  <c r="DQ500" i="34" s="1"/>
  <c r="DL491" i="34"/>
  <c r="DQ491" i="34" s="1"/>
  <c r="DL524" i="34"/>
  <c r="DQ524" i="34" s="1"/>
  <c r="DL526" i="34"/>
  <c r="DQ526" i="34" s="1"/>
  <c r="DL502" i="34"/>
  <c r="DQ502" i="34" s="1"/>
  <c r="DI143" i="2"/>
  <c r="DI108" i="2"/>
  <c r="DI134" i="2"/>
  <c r="DI135" i="2"/>
  <c r="DI136" i="2"/>
  <c r="DI140" i="2"/>
  <c r="DI109" i="2"/>
  <c r="DI121" i="2"/>
  <c r="DI137" i="2"/>
  <c r="DI111" i="2"/>
  <c r="DI126" i="2"/>
  <c r="DI130" i="2"/>
  <c r="H113" i="3"/>
  <c r="AC170" i="3"/>
  <c r="AU170" i="3" s="1"/>
  <c r="DK661" i="34"/>
  <c r="DN661" i="34"/>
  <c r="DN660" i="34"/>
  <c r="DK660" i="34"/>
  <c r="DK637" i="34"/>
  <c r="DN637" i="34"/>
  <c r="DJ428" i="2"/>
  <c r="DJ447" i="2"/>
  <c r="DJ456" i="2"/>
  <c r="DJ434" i="2"/>
  <c r="DP388" i="2"/>
  <c r="DP373" i="2"/>
  <c r="DP396" i="2"/>
  <c r="DP382" i="2"/>
  <c r="DP366" i="2"/>
  <c r="DP369" i="2"/>
  <c r="DP374" i="2"/>
  <c r="DP395" i="2"/>
  <c r="DP401" i="2"/>
  <c r="DP378" i="2"/>
  <c r="DP403" i="2"/>
  <c r="DP360" i="2"/>
  <c r="DO237" i="2"/>
  <c r="DO235" i="2"/>
  <c r="DO266" i="2"/>
  <c r="DO233" i="2"/>
  <c r="DO238" i="2"/>
  <c r="DO267" i="2"/>
  <c r="DO256" i="2"/>
  <c r="DO245" i="2"/>
  <c r="DO249" i="2"/>
  <c r="DO257" i="2"/>
  <c r="DO246" i="2"/>
  <c r="DO276" i="2"/>
  <c r="DM578" i="34"/>
  <c r="DM582" i="34"/>
  <c r="DM551" i="34"/>
  <c r="DM591" i="34"/>
  <c r="DK589" i="34"/>
  <c r="DN589" i="34"/>
  <c r="DK567" i="34"/>
  <c r="DN567" i="34"/>
  <c r="DK578" i="34"/>
  <c r="DN578" i="34"/>
  <c r="DO596" i="34"/>
  <c r="DO592" i="34"/>
  <c r="DO550" i="34"/>
  <c r="DL73" i="34"/>
  <c r="DQ73" i="34" s="1"/>
  <c r="DL67" i="34"/>
  <c r="DQ67" i="34" s="1"/>
  <c r="DL61" i="34"/>
  <c r="DQ61" i="34" s="1"/>
  <c r="DL46" i="34"/>
  <c r="DQ46" i="34" s="1"/>
  <c r="DL89" i="34"/>
  <c r="DQ89" i="34" s="1"/>
  <c r="DL55" i="34"/>
  <c r="DQ55" i="34" s="1"/>
  <c r="DL65" i="34"/>
  <c r="DQ65" i="34" s="1"/>
  <c r="DL59" i="34"/>
  <c r="DQ59" i="34" s="1"/>
  <c r="DL76" i="34"/>
  <c r="DQ76" i="34" s="1"/>
  <c r="DL62" i="34"/>
  <c r="DQ62" i="34" s="1"/>
  <c r="DL91" i="34"/>
  <c r="DQ91" i="34" s="1"/>
  <c r="DL53" i="34"/>
  <c r="DQ53" i="34" s="1"/>
  <c r="DI183" i="2"/>
  <c r="DI190" i="2"/>
  <c r="DI203" i="2"/>
  <c r="DI186" i="2"/>
  <c r="DI179" i="2"/>
  <c r="DI195" i="2"/>
  <c r="DI216" i="2"/>
  <c r="DI206" i="2"/>
  <c r="DI177" i="2"/>
  <c r="DI193" i="2"/>
  <c r="DI181" i="2"/>
  <c r="DI204" i="2"/>
  <c r="DI217" i="2"/>
  <c r="DI522" i="2"/>
  <c r="DI489" i="2"/>
  <c r="DI499" i="2"/>
  <c r="DM142" i="2"/>
  <c r="DM108" i="2"/>
  <c r="DM133" i="2"/>
  <c r="DM131" i="2"/>
  <c r="DM146" i="2"/>
  <c r="DM150" i="2"/>
  <c r="DM132" i="2"/>
  <c r="DM147" i="2"/>
  <c r="DM151" i="2"/>
  <c r="DM117" i="2"/>
  <c r="DM136" i="2"/>
  <c r="DM140" i="2"/>
  <c r="DI449" i="2"/>
  <c r="DI457" i="2"/>
  <c r="DI463" i="2"/>
  <c r="DP592" i="2"/>
  <c r="DP568" i="2"/>
  <c r="DP569" i="2"/>
  <c r="DJ595" i="2"/>
  <c r="DJ591" i="2"/>
  <c r="DJ579" i="2"/>
  <c r="DJ565" i="2"/>
  <c r="DL565" i="34"/>
  <c r="DQ565" i="34" s="1"/>
  <c r="DL550" i="34"/>
  <c r="DQ550" i="34" s="1"/>
  <c r="DL570" i="34"/>
  <c r="DQ570" i="34" s="1"/>
  <c r="DI490" i="34"/>
  <c r="DI524" i="34"/>
  <c r="DI494" i="34"/>
  <c r="DI522" i="34"/>
  <c r="DI516" i="34"/>
  <c r="DI502" i="34"/>
  <c r="DI531" i="34"/>
  <c r="DI518" i="34"/>
  <c r="DI504" i="34"/>
  <c r="DI519" i="34"/>
  <c r="DI486" i="34"/>
  <c r="DI508" i="34"/>
  <c r="DI514" i="34"/>
  <c r="DI525" i="34"/>
  <c r="DI510" i="34"/>
  <c r="DI509" i="34"/>
  <c r="DI529" i="34"/>
  <c r="DI497" i="34"/>
  <c r="DI507" i="34"/>
  <c r="DI506" i="34"/>
  <c r="DI496" i="34"/>
  <c r="DI515" i="34"/>
  <c r="DI513" i="34"/>
  <c r="DI511" i="34"/>
  <c r="DI489" i="34"/>
  <c r="DI512" i="34"/>
  <c r="DI501" i="34"/>
  <c r="DI530" i="34"/>
  <c r="DI499" i="34"/>
  <c r="DI521" i="34"/>
  <c r="DI532" i="34"/>
  <c r="DI498" i="34"/>
  <c r="DI517" i="34"/>
  <c r="DI523" i="34"/>
  <c r="DI491" i="34"/>
  <c r="DI528" i="34"/>
  <c r="DI520" i="34"/>
  <c r="DI526" i="34"/>
  <c r="DI533" i="34"/>
  <c r="DI488" i="34"/>
  <c r="DI527" i="34"/>
  <c r="DI503" i="34"/>
  <c r="DI495" i="34"/>
  <c r="DI505" i="34"/>
  <c r="DI500" i="34"/>
  <c r="DI493" i="34"/>
  <c r="DI534" i="34"/>
  <c r="DI492" i="34"/>
  <c r="DI487" i="34"/>
  <c r="BV307" i="34"/>
  <c r="BV339" i="34"/>
  <c r="BV304" i="34"/>
  <c r="BV335" i="34"/>
  <c r="BV302" i="34"/>
  <c r="BV319" i="34"/>
  <c r="BV314" i="34"/>
  <c r="DP591" i="34"/>
  <c r="BT551" i="34"/>
  <c r="DP556" i="34"/>
  <c r="DO147" i="2"/>
  <c r="DO148" i="2"/>
  <c r="DO138" i="2"/>
  <c r="DO153" i="2"/>
  <c r="DO112" i="2"/>
  <c r="DO136" i="2"/>
  <c r="DO129" i="2"/>
  <c r="DO107" i="2"/>
  <c r="DO137" i="2"/>
  <c r="DO115" i="2"/>
  <c r="DO117" i="2"/>
  <c r="DO139" i="2"/>
  <c r="DO121" i="2"/>
  <c r="DP212" i="2"/>
  <c r="DP171" i="2"/>
  <c r="DP172" i="2"/>
  <c r="DM450" i="2"/>
  <c r="DM441" i="2"/>
  <c r="DM457" i="2"/>
  <c r="DO560" i="2"/>
  <c r="DO579" i="2"/>
  <c r="DO569" i="2"/>
  <c r="DM581" i="2"/>
  <c r="DM558" i="2"/>
  <c r="DM582" i="2"/>
  <c r="DM578" i="2"/>
  <c r="DM598" i="2"/>
  <c r="DM573" i="2"/>
  <c r="DM589" i="2"/>
  <c r="DM575" i="2"/>
  <c r="BT552" i="2"/>
  <c r="DM559" i="2"/>
  <c r="DM555" i="2"/>
  <c r="DM594" i="2"/>
  <c r="DP390" i="34"/>
  <c r="DP360" i="34"/>
  <c r="DP401" i="34"/>
  <c r="DP407" i="34"/>
  <c r="DP391" i="34"/>
  <c r="DP368" i="34"/>
  <c r="DP361" i="34"/>
  <c r="DP364" i="34"/>
  <c r="DP397" i="34"/>
  <c r="DP372" i="34"/>
  <c r="DP403" i="34"/>
  <c r="DP406" i="34"/>
  <c r="DP375" i="34"/>
  <c r="DP386" i="34"/>
  <c r="DP359" i="34"/>
  <c r="DP369" i="34"/>
  <c r="DP404" i="34"/>
  <c r="DP400" i="34"/>
  <c r="DP380" i="34"/>
  <c r="DP376" i="34"/>
  <c r="DP379" i="34"/>
  <c r="DP389" i="34"/>
  <c r="DP371" i="34"/>
  <c r="DP378" i="34"/>
  <c r="DP398" i="34"/>
  <c r="DP374" i="34"/>
  <c r="DP399" i="34"/>
  <c r="DP382" i="34"/>
  <c r="DP383" i="34"/>
  <c r="DP385" i="34"/>
  <c r="DP377" i="34"/>
  <c r="DP387" i="34"/>
  <c r="DP373" i="34"/>
  <c r="DP402" i="34"/>
  <c r="DP388" i="34"/>
  <c r="BT360" i="34"/>
  <c r="DP365" i="34"/>
  <c r="DP381" i="34"/>
  <c r="DP395" i="34"/>
  <c r="DP384" i="34"/>
  <c r="DP394" i="34"/>
  <c r="DP405" i="34"/>
  <c r="DP362" i="34"/>
  <c r="DP367" i="34"/>
  <c r="DP370" i="34"/>
  <c r="DP363" i="34"/>
  <c r="DP366" i="34"/>
  <c r="DP393" i="34"/>
  <c r="DP396" i="34"/>
  <c r="DP392" i="34"/>
  <c r="DM508" i="34"/>
  <c r="DM513" i="34"/>
  <c r="DM502" i="34"/>
  <c r="DM521" i="34"/>
  <c r="DM486" i="34"/>
  <c r="DM490" i="34"/>
  <c r="DM493" i="34"/>
  <c r="DM529" i="34"/>
  <c r="DM520" i="34"/>
  <c r="DM504" i="34"/>
  <c r="DM527" i="34"/>
  <c r="DM503" i="34"/>
  <c r="DJ109" i="2"/>
  <c r="DJ127" i="2"/>
  <c r="DJ146" i="2"/>
  <c r="DJ107" i="2"/>
  <c r="DJ150" i="2"/>
  <c r="DJ141" i="2"/>
  <c r="DJ110" i="2"/>
  <c r="DJ148" i="2"/>
  <c r="DJ147" i="2"/>
  <c r="DJ119" i="2"/>
  <c r="DJ117" i="2"/>
  <c r="DJ106" i="2"/>
  <c r="DP523" i="2"/>
  <c r="DP502" i="2"/>
  <c r="DP508" i="2"/>
  <c r="DP529" i="2"/>
  <c r="DP494" i="2"/>
  <c r="DP514" i="2"/>
  <c r="DP527" i="2"/>
  <c r="DP491" i="2"/>
  <c r="DP512" i="2"/>
  <c r="DP533" i="2"/>
  <c r="DP499" i="2"/>
  <c r="DP518" i="2"/>
  <c r="DP486" i="2"/>
  <c r="DP515" i="2"/>
  <c r="DP532" i="2"/>
  <c r="DP498" i="2"/>
  <c r="DP521" i="2"/>
  <c r="DP496" i="2"/>
  <c r="DP506" i="2"/>
  <c r="DP519" i="2"/>
  <c r="DP492" i="2"/>
  <c r="DP503" i="2"/>
  <c r="DP525" i="2"/>
  <c r="DP488" i="2"/>
  <c r="DP510" i="2"/>
  <c r="DP507" i="2"/>
  <c r="DP524" i="2"/>
  <c r="DP504" i="2"/>
  <c r="DP513" i="2"/>
  <c r="DP530" i="2"/>
  <c r="DP495" i="2"/>
  <c r="DP511" i="2"/>
  <c r="DP528" i="2"/>
  <c r="DP493" i="2"/>
  <c r="DP517" i="2"/>
  <c r="BT487" i="2"/>
  <c r="DP500" i="2"/>
  <c r="DP531" i="2"/>
  <c r="DP497" i="2"/>
  <c r="DP516" i="2"/>
  <c r="DP534" i="2"/>
  <c r="DP505" i="2"/>
  <c r="DP522" i="2"/>
  <c r="DP490" i="2"/>
  <c r="DP501" i="2"/>
  <c r="DP520" i="2"/>
  <c r="DP489" i="2"/>
  <c r="DP509" i="2"/>
  <c r="DP526" i="2"/>
  <c r="DP487" i="2"/>
  <c r="DJ462" i="2"/>
  <c r="DI508" i="2"/>
  <c r="DO578" i="34"/>
  <c r="Z115" i="6"/>
  <c r="AF115" i="6" s="1"/>
  <c r="AC114" i="6"/>
  <c r="AA114" i="6"/>
  <c r="AG114" i="6" s="1"/>
  <c r="AA171" i="6"/>
  <c r="DN643" i="34"/>
  <c r="DK643" i="34"/>
  <c r="DK651" i="34"/>
  <c r="DN651" i="34"/>
  <c r="DN619" i="34"/>
  <c r="DK619" i="34"/>
  <c r="DN110" i="34"/>
  <c r="DK110" i="34"/>
  <c r="DN114" i="34"/>
  <c r="DK114" i="34"/>
  <c r="DN152" i="34"/>
  <c r="DK152" i="34"/>
  <c r="DK119" i="34"/>
  <c r="DN119" i="34"/>
  <c r="DK580" i="34"/>
  <c r="DN580" i="34"/>
  <c r="DK579" i="34"/>
  <c r="DN579" i="34"/>
  <c r="DK583" i="34"/>
  <c r="DN583" i="34"/>
  <c r="DO566" i="34"/>
  <c r="DO551" i="34"/>
  <c r="DO559" i="34"/>
  <c r="DI293" i="34"/>
  <c r="DI294" i="34"/>
  <c r="DJ294" i="34"/>
  <c r="DJ293" i="34"/>
  <c r="DC74" i="34"/>
  <c r="DD74" i="34"/>
  <c r="DM94" i="34"/>
  <c r="DM92" i="34"/>
  <c r="DM74" i="34"/>
  <c r="DM87" i="34"/>
  <c r="DM61" i="34"/>
  <c r="DM83" i="34"/>
  <c r="DM46" i="34"/>
  <c r="DM91" i="34"/>
  <c r="DM63" i="34"/>
  <c r="DM57" i="34"/>
  <c r="DM58" i="34"/>
  <c r="DM70" i="34"/>
  <c r="DK514" i="2"/>
  <c r="DN514" i="2"/>
  <c r="DK527" i="2"/>
  <c r="DN527" i="2"/>
  <c r="DK488" i="2"/>
  <c r="DN488" i="2"/>
  <c r="DN445" i="2"/>
  <c r="DK445" i="2"/>
  <c r="DK436" i="2"/>
  <c r="DN436" i="2"/>
  <c r="AA173" i="8"/>
  <c r="AC116" i="8"/>
  <c r="Z116" i="8"/>
  <c r="AF116" i="8" s="1"/>
  <c r="AC117" i="6"/>
  <c r="Z117" i="6"/>
  <c r="AF117" i="6" s="1"/>
  <c r="AA174" i="6"/>
  <c r="BF15" i="6"/>
  <c r="AN15" i="6"/>
  <c r="BG15" i="6" s="1"/>
  <c r="AB68" i="6"/>
  <c r="DP566" i="34"/>
  <c r="DP576" i="34"/>
  <c r="DP578" i="34"/>
  <c r="DH65" i="34"/>
  <c r="DP52" i="34" s="1"/>
  <c r="DG65" i="34"/>
  <c r="DP186" i="2"/>
  <c r="DP199" i="2"/>
  <c r="DP210" i="2"/>
  <c r="BT369" i="2"/>
  <c r="BT398" i="2"/>
  <c r="BT385" i="2"/>
  <c r="BT364" i="2"/>
  <c r="BT388" i="2"/>
  <c r="BT405" i="2"/>
  <c r="BT379" i="2"/>
  <c r="BT399" i="2"/>
  <c r="BT380" i="2"/>
  <c r="BT400" i="2"/>
  <c r="BT370" i="2"/>
  <c r="BT394" i="2"/>
  <c r="BT376" i="2"/>
  <c r="BT403" i="2"/>
  <c r="BT390" i="2"/>
  <c r="BT371" i="2"/>
  <c r="BT391" i="2"/>
  <c r="BT409" i="2"/>
  <c r="BT382" i="2"/>
  <c r="BT406" i="2"/>
  <c r="BT383" i="2"/>
  <c r="BT407" i="2"/>
  <c r="BT374" i="2"/>
  <c r="BT401" i="2"/>
  <c r="BT381" i="2"/>
  <c r="BT368" i="2"/>
  <c r="BT397" i="2"/>
  <c r="BT375" i="2"/>
  <c r="BT395" i="2"/>
  <c r="BT365" i="2"/>
  <c r="BT392" i="2"/>
  <c r="BT366" i="2"/>
  <c r="BT386" i="2"/>
  <c r="BT363" i="2"/>
  <c r="BT384" i="2"/>
  <c r="BT408" i="2"/>
  <c r="BT389" i="2"/>
  <c r="BT377" i="2"/>
  <c r="BT404" i="2"/>
  <c r="BT378" i="2"/>
  <c r="BT402" i="2"/>
  <c r="BT372" i="2"/>
  <c r="BT396" i="2"/>
  <c r="BT373" i="2"/>
  <c r="BT393" i="2"/>
  <c r="BT367" i="2"/>
  <c r="BT387" i="2"/>
  <c r="DM433" i="2"/>
  <c r="DM437" i="2"/>
  <c r="DM470" i="2"/>
  <c r="AN66" i="6"/>
  <c r="R119" i="6"/>
  <c r="N119" i="6"/>
  <c r="BT27" i="31"/>
  <c r="BS28" i="31"/>
  <c r="DK625" i="34"/>
  <c r="DN625" i="34"/>
  <c r="DK621" i="34"/>
  <c r="DN621" i="34"/>
  <c r="DK653" i="34"/>
  <c r="DN653" i="34"/>
  <c r="DK561" i="34"/>
  <c r="DN561" i="34"/>
  <c r="DK596" i="34"/>
  <c r="DN596" i="34"/>
  <c r="DN551" i="34"/>
  <c r="DK551" i="34"/>
  <c r="DO565" i="34"/>
  <c r="DO555" i="34"/>
  <c r="DO563" i="34"/>
  <c r="AM31" i="31"/>
  <c r="AN30" i="31"/>
  <c r="DD57" i="34"/>
  <c r="DC57" i="34"/>
  <c r="DN532" i="2"/>
  <c r="DK532" i="2"/>
  <c r="DN506" i="2"/>
  <c r="DK506" i="2"/>
  <c r="DK519" i="2"/>
  <c r="DN519" i="2"/>
  <c r="DN534" i="2"/>
  <c r="DK534" i="2"/>
  <c r="DI466" i="2"/>
  <c r="DI448" i="2"/>
  <c r="DI442" i="2"/>
  <c r="BT551" i="2"/>
  <c r="DP572" i="2"/>
  <c r="DP562" i="2"/>
  <c r="BU235" i="2"/>
  <c r="DJ590" i="2"/>
  <c r="DJ557" i="2"/>
  <c r="DJ571" i="2"/>
  <c r="J186" i="8"/>
  <c r="AK186" i="8" s="1"/>
  <c r="K186" i="8"/>
  <c r="DK389" i="34"/>
  <c r="DN389" i="34"/>
  <c r="DN378" i="34"/>
  <c r="DK378" i="34"/>
  <c r="DN386" i="34"/>
  <c r="DK386" i="34"/>
  <c r="DK360" i="34"/>
  <c r="DN360" i="34"/>
  <c r="DN407" i="34"/>
  <c r="DK407" i="34"/>
  <c r="DK394" i="34"/>
  <c r="DN394" i="34"/>
  <c r="DK382" i="34"/>
  <c r="DN382" i="34"/>
  <c r="DK381" i="34"/>
  <c r="DN381" i="34"/>
  <c r="DN399" i="34"/>
  <c r="DK399" i="34"/>
  <c r="DK393" i="34"/>
  <c r="DN393" i="34"/>
  <c r="DN367" i="34"/>
  <c r="DK367" i="34"/>
  <c r="DN366" i="34"/>
  <c r="DK366" i="34"/>
  <c r="BU108" i="34"/>
  <c r="DP573" i="34"/>
  <c r="DP572" i="34"/>
  <c r="DP596" i="34"/>
  <c r="DP211" i="2"/>
  <c r="DP213" i="2"/>
  <c r="DP192" i="2"/>
  <c r="DM424" i="2"/>
  <c r="DM440" i="2"/>
  <c r="DM442" i="2"/>
  <c r="DO596" i="2"/>
  <c r="DO559" i="2"/>
  <c r="DO591" i="2"/>
  <c r="BT175" i="2"/>
  <c r="BT184" i="2"/>
  <c r="BT195" i="2"/>
  <c r="BT207" i="2"/>
  <c r="BT216" i="2"/>
  <c r="BT183" i="2"/>
  <c r="BT192" i="2"/>
  <c r="BT203" i="2"/>
  <c r="BT215" i="2"/>
  <c r="BT188" i="2"/>
  <c r="BT196" i="2"/>
  <c r="BT180" i="2"/>
  <c r="BT177" i="2"/>
  <c r="BT186" i="2"/>
  <c r="BT198" i="2"/>
  <c r="BT209" i="2"/>
  <c r="BT218" i="2"/>
  <c r="BT185" i="2"/>
  <c r="BT194" i="2"/>
  <c r="BT206" i="2"/>
  <c r="BT217" i="2"/>
  <c r="BT213" i="2"/>
  <c r="BT220" i="2"/>
  <c r="BT205" i="2"/>
  <c r="BT179" i="2"/>
  <c r="BT191" i="2"/>
  <c r="BT200" i="2"/>
  <c r="BT211" i="2"/>
  <c r="BT176" i="2"/>
  <c r="BT187" i="2"/>
  <c r="BT199" i="2"/>
  <c r="BT208" i="2"/>
  <c r="BT174" i="2"/>
  <c r="BT219" i="2"/>
  <c r="BT197" i="2"/>
  <c r="BT212" i="2"/>
  <c r="BT182" i="2"/>
  <c r="BT193" i="2"/>
  <c r="BT202" i="2"/>
  <c r="BT214" i="2"/>
  <c r="BT178" i="2"/>
  <c r="BT190" i="2"/>
  <c r="BT201" i="2"/>
  <c r="BT210" i="2"/>
  <c r="BT181" i="2"/>
  <c r="BT189" i="2"/>
  <c r="BT204" i="2"/>
  <c r="BC45" i="31"/>
  <c r="BB46" i="31"/>
  <c r="Y114" i="6"/>
  <c r="AB114" i="6" s="1"/>
  <c r="AH114" i="6" s="1"/>
  <c r="O171" i="6"/>
  <c r="B62" i="43" s="1"/>
  <c r="DP647" i="34"/>
  <c r="BT616" i="34"/>
  <c r="DP653" i="34"/>
  <c r="DP632" i="34"/>
  <c r="DP634" i="34"/>
  <c r="DP651" i="34"/>
  <c r="DP652" i="34"/>
  <c r="DP629" i="34"/>
  <c r="DP619" i="34"/>
  <c r="DP649" i="34"/>
  <c r="DP638" i="34"/>
  <c r="DP616" i="34"/>
  <c r="DP663" i="34"/>
  <c r="DP646" i="34"/>
  <c r="DP642" i="34"/>
  <c r="DP626" i="34"/>
  <c r="DP661" i="34"/>
  <c r="DP644" i="34"/>
  <c r="DP633" i="34"/>
  <c r="DP618" i="34"/>
  <c r="DP660" i="34"/>
  <c r="DP636" i="34"/>
  <c r="DP628" i="34"/>
  <c r="DP656" i="34"/>
  <c r="DP659" i="34"/>
  <c r="DP648" i="34"/>
  <c r="DP625" i="34"/>
  <c r="DP615" i="34"/>
  <c r="DP658" i="34"/>
  <c r="DP645" i="34"/>
  <c r="DP621" i="34"/>
  <c r="DP640" i="34"/>
  <c r="DP657" i="34"/>
  <c r="DP643" i="34"/>
  <c r="DP631" i="34"/>
  <c r="DP654" i="34"/>
  <c r="DP635" i="34"/>
  <c r="DP641" i="34"/>
  <c r="DP630" i="34"/>
  <c r="DP620" i="34"/>
  <c r="DP662" i="34"/>
  <c r="DP639" i="34"/>
  <c r="DP624" i="34"/>
  <c r="DP623" i="34"/>
  <c r="DP655" i="34"/>
  <c r="DP637" i="34"/>
  <c r="DP622" i="34"/>
  <c r="DP650" i="34"/>
  <c r="DP627" i="34"/>
  <c r="DP617" i="34"/>
  <c r="BU297" i="34"/>
  <c r="DK655" i="34"/>
  <c r="DN655" i="34"/>
  <c r="DK648" i="34"/>
  <c r="DN648" i="34"/>
  <c r="DK640" i="34"/>
  <c r="DN640" i="34"/>
  <c r="DJ449" i="2"/>
  <c r="BT425" i="2"/>
  <c r="DJ464" i="2"/>
  <c r="DO359" i="2"/>
  <c r="DO406" i="2"/>
  <c r="DO386" i="2"/>
  <c r="DO366" i="2"/>
  <c r="DO360" i="2"/>
  <c r="DO388" i="2"/>
  <c r="DO368" i="2"/>
  <c r="DO365" i="2"/>
  <c r="DO390" i="2"/>
  <c r="DO404" i="2"/>
  <c r="DO402" i="2"/>
  <c r="DO384" i="2"/>
  <c r="DP261" i="2"/>
  <c r="DP271" i="2"/>
  <c r="DP266" i="2"/>
  <c r="DP272" i="2"/>
  <c r="DP267" i="2"/>
  <c r="DP237" i="2"/>
  <c r="DP268" i="2"/>
  <c r="DP263" i="2"/>
  <c r="DP242" i="2"/>
  <c r="DP259" i="2"/>
  <c r="DP254" i="2"/>
  <c r="DP278" i="2"/>
  <c r="DN594" i="34"/>
  <c r="DK594" i="34"/>
  <c r="DN570" i="34"/>
  <c r="DK570" i="34"/>
  <c r="DN597" i="34"/>
  <c r="DK597" i="34"/>
  <c r="DO574" i="34"/>
  <c r="DO579" i="34"/>
  <c r="DO581" i="34"/>
  <c r="DI530" i="2"/>
  <c r="DI493" i="2"/>
  <c r="DI509" i="2"/>
  <c r="DL130" i="2"/>
  <c r="DQ130" i="2" s="1"/>
  <c r="DL135" i="2"/>
  <c r="DQ135" i="2" s="1"/>
  <c r="DL127" i="2"/>
  <c r="DQ127" i="2" s="1"/>
  <c r="DL141" i="2"/>
  <c r="DQ141" i="2" s="1"/>
  <c r="DL129" i="2"/>
  <c r="DQ129" i="2" s="1"/>
  <c r="DL115" i="2"/>
  <c r="DQ115" i="2" s="1"/>
  <c r="DL147" i="2"/>
  <c r="DQ147" i="2" s="1"/>
  <c r="DL120" i="2"/>
  <c r="DQ120" i="2" s="1"/>
  <c r="DL109" i="2"/>
  <c r="DQ109" i="2" s="1"/>
  <c r="DL124" i="2"/>
  <c r="DQ124" i="2" s="1"/>
  <c r="DL145" i="2"/>
  <c r="DQ145" i="2" s="1"/>
  <c r="DL132" i="2"/>
  <c r="DQ132" i="2" s="1"/>
  <c r="DI459" i="2"/>
  <c r="DI431" i="2"/>
  <c r="DI423" i="2"/>
  <c r="DP580" i="2"/>
  <c r="DP556" i="2"/>
  <c r="DP563" i="2"/>
  <c r="DJ575" i="2"/>
  <c r="DJ572" i="2"/>
  <c r="DJ580" i="2"/>
  <c r="DP595" i="34"/>
  <c r="DP553" i="34"/>
  <c r="DP558" i="34"/>
  <c r="DP127" i="2"/>
  <c r="DP138" i="2"/>
  <c r="DP146" i="2"/>
  <c r="DP150" i="2"/>
  <c r="DP132" i="2"/>
  <c r="DP128" i="2"/>
  <c r="DP112" i="2"/>
  <c r="DP113" i="2"/>
  <c r="DP131" i="2"/>
  <c r="DP139" i="2"/>
  <c r="DP151" i="2"/>
  <c r="DP114" i="2"/>
  <c r="DP129" i="2"/>
  <c r="DP196" i="2"/>
  <c r="DP198" i="2"/>
  <c r="DP193" i="2"/>
  <c r="DM449" i="2"/>
  <c r="DM451" i="2"/>
  <c r="DM426" i="2"/>
  <c r="DO582" i="2"/>
  <c r="DO556" i="2"/>
  <c r="DO554" i="2"/>
  <c r="DL561" i="2"/>
  <c r="DQ561" i="2" s="1"/>
  <c r="DL570" i="2"/>
  <c r="DQ570" i="2" s="1"/>
  <c r="DL563" i="2"/>
  <c r="DQ563" i="2" s="1"/>
  <c r="DL558" i="2"/>
  <c r="DQ558" i="2" s="1"/>
  <c r="DL588" i="2"/>
  <c r="DQ588" i="2" s="1"/>
  <c r="DL552" i="2"/>
  <c r="DQ552" i="2" s="1"/>
  <c r="DL573" i="2"/>
  <c r="DQ573" i="2" s="1"/>
  <c r="DL550" i="2"/>
  <c r="DQ550" i="2" s="1"/>
  <c r="DL564" i="2"/>
  <c r="DQ564" i="2" s="1"/>
  <c r="DL581" i="2"/>
  <c r="DQ581" i="2" s="1"/>
  <c r="DL551" i="2"/>
  <c r="DQ551" i="2" s="1"/>
  <c r="DL587" i="2"/>
  <c r="DQ587" i="2" s="1"/>
  <c r="DL405" i="34"/>
  <c r="DQ405" i="34" s="1"/>
  <c r="DL359" i="34"/>
  <c r="DQ359" i="34" s="1"/>
  <c r="DL389" i="34"/>
  <c r="DQ389" i="34" s="1"/>
  <c r="DL390" i="34"/>
  <c r="DQ390" i="34" s="1"/>
  <c r="DL383" i="34"/>
  <c r="DQ383" i="34" s="1"/>
  <c r="DL388" i="34"/>
  <c r="DQ388" i="34" s="1"/>
  <c r="DL399" i="34"/>
  <c r="DQ399" i="34" s="1"/>
  <c r="DL364" i="34"/>
  <c r="DQ364" i="34" s="1"/>
  <c r="DL374" i="34"/>
  <c r="DQ374" i="34" s="1"/>
  <c r="DL368" i="34"/>
  <c r="DQ368" i="34" s="1"/>
  <c r="DL372" i="34"/>
  <c r="DQ372" i="34" s="1"/>
  <c r="DL394" i="34"/>
  <c r="DQ394" i="34" s="1"/>
  <c r="DL402" i="34"/>
  <c r="DQ402" i="34" s="1"/>
  <c r="DL373" i="34"/>
  <c r="DQ373" i="34" s="1"/>
  <c r="DL378" i="34"/>
  <c r="DQ378" i="34" s="1"/>
  <c r="DL370" i="34"/>
  <c r="DQ370" i="34" s="1"/>
  <c r="DL377" i="34"/>
  <c r="DQ377" i="34" s="1"/>
  <c r="DL396" i="34"/>
  <c r="DQ396" i="34" s="1"/>
  <c r="DL404" i="34"/>
  <c r="DQ404" i="34" s="1"/>
  <c r="DL381" i="34"/>
  <c r="DQ381" i="34" s="1"/>
  <c r="DL382" i="34"/>
  <c r="DQ382" i="34" s="1"/>
  <c r="DL371" i="34"/>
  <c r="DQ371" i="34" s="1"/>
  <c r="DL380" i="34"/>
  <c r="DQ380" i="34" s="1"/>
  <c r="DL397" i="34"/>
  <c r="DQ397" i="34" s="1"/>
  <c r="DL406" i="34"/>
  <c r="DQ406" i="34" s="1"/>
  <c r="DL366" i="34"/>
  <c r="DQ366" i="34" s="1"/>
  <c r="DL376" i="34"/>
  <c r="DQ376" i="34" s="1"/>
  <c r="DL369" i="34"/>
  <c r="DQ369" i="34" s="1"/>
  <c r="DL375" i="34"/>
  <c r="DQ375" i="34" s="1"/>
  <c r="DL395" i="34"/>
  <c r="DQ395" i="34" s="1"/>
  <c r="DL403" i="34"/>
  <c r="DQ403" i="34" s="1"/>
  <c r="DL385" i="34"/>
  <c r="DQ385" i="34" s="1"/>
  <c r="DL386" i="34"/>
  <c r="DQ386" i="34" s="1"/>
  <c r="DL379" i="34"/>
  <c r="DQ379" i="34" s="1"/>
  <c r="DL384" i="34"/>
  <c r="DQ384" i="34" s="1"/>
  <c r="DL398" i="34"/>
  <c r="DQ398" i="34" s="1"/>
  <c r="DL407" i="34"/>
  <c r="DQ407" i="34" s="1"/>
  <c r="DL360" i="34"/>
  <c r="DQ360" i="34" s="1"/>
  <c r="DL362" i="34"/>
  <c r="DQ362" i="34" s="1"/>
  <c r="DL363" i="34"/>
  <c r="DQ363" i="34" s="1"/>
  <c r="DL387" i="34"/>
  <c r="DQ387" i="34" s="1"/>
  <c r="DL392" i="34"/>
  <c r="DQ392" i="34" s="1"/>
  <c r="DL400" i="34"/>
  <c r="DQ400" i="34" s="1"/>
  <c r="DL361" i="34"/>
  <c r="DQ361" i="34" s="1"/>
  <c r="DL367" i="34"/>
  <c r="DQ367" i="34" s="1"/>
  <c r="DL365" i="34"/>
  <c r="DQ365" i="34" s="1"/>
  <c r="DL391" i="34"/>
  <c r="DQ391" i="34" s="1"/>
  <c r="DL393" i="34"/>
  <c r="DQ393" i="34" s="1"/>
  <c r="DL401" i="34"/>
  <c r="DQ401" i="34" s="1"/>
  <c r="DL496" i="34"/>
  <c r="DQ496" i="34" s="1"/>
  <c r="DL513" i="34"/>
  <c r="DQ513" i="34" s="1"/>
  <c r="DL489" i="34"/>
  <c r="DQ489" i="34" s="1"/>
  <c r="DL533" i="34"/>
  <c r="DQ533" i="34" s="1"/>
  <c r="DL528" i="34"/>
  <c r="DQ528" i="34" s="1"/>
  <c r="DL509" i="34"/>
  <c r="DQ509" i="34" s="1"/>
  <c r="DL515" i="34"/>
  <c r="DQ515" i="34" s="1"/>
  <c r="DL504" i="34"/>
  <c r="DQ504" i="34" s="1"/>
  <c r="DL514" i="34"/>
  <c r="DQ514" i="34" s="1"/>
  <c r="DL507" i="34"/>
  <c r="DQ507" i="34" s="1"/>
  <c r="DL506" i="34"/>
  <c r="DQ506" i="34" s="1"/>
  <c r="DL523" i="34"/>
  <c r="DQ523" i="34" s="1"/>
  <c r="DI113" i="2"/>
  <c r="DI112" i="2"/>
  <c r="DI146" i="2"/>
  <c r="DI115" i="2"/>
  <c r="DI125" i="2"/>
  <c r="DI149" i="2"/>
  <c r="DI117" i="2"/>
  <c r="DI122" i="2"/>
  <c r="DI153" i="2"/>
  <c r="DI119" i="2"/>
  <c r="DI127" i="2"/>
  <c r="DI148" i="2"/>
  <c r="X113" i="3"/>
  <c r="AM170" i="3" s="1"/>
  <c r="AN170" i="3" s="1"/>
  <c r="DK649" i="34"/>
  <c r="DN649" i="34"/>
  <c r="DK652" i="34"/>
  <c r="DN652" i="34"/>
  <c r="DK650" i="34"/>
  <c r="DN650" i="34"/>
  <c r="AP62" i="31"/>
  <c r="AP64" i="31"/>
  <c r="AP57" i="31"/>
  <c r="AP46" i="31"/>
  <c r="AP65" i="31"/>
  <c r="AP75" i="31"/>
  <c r="AP77" i="31"/>
  <c r="AP47" i="31"/>
  <c r="AP61" i="31"/>
  <c r="AP45" i="31"/>
  <c r="AP56" i="31"/>
  <c r="AP68" i="31"/>
  <c r="AP34" i="31"/>
  <c r="AP70" i="31"/>
  <c r="AP32" i="31"/>
  <c r="AP73" i="31"/>
  <c r="AP35" i="31"/>
  <c r="AP50" i="31"/>
  <c r="AP40" i="31"/>
  <c r="AP39" i="31"/>
  <c r="AP29" i="31"/>
  <c r="AQ29" i="31" s="1"/>
  <c r="CL24" i="31" s="1"/>
  <c r="G25" i="31" s="1"/>
  <c r="AP60" i="31"/>
  <c r="AP27" i="31"/>
  <c r="AQ27" i="31" s="1"/>
  <c r="CL22" i="31" s="1"/>
  <c r="G23" i="31" s="1"/>
  <c r="AP23" i="31"/>
  <c r="AQ23" i="31" s="1"/>
  <c r="CL18" i="31" s="1"/>
  <c r="G19" i="31" s="1"/>
  <c r="CV18" i="31" s="1"/>
  <c r="AP42" i="31"/>
  <c r="AP24" i="31"/>
  <c r="AQ24" i="31" s="1"/>
  <c r="CL19" i="31" s="1"/>
  <c r="G20" i="31" s="1"/>
  <c r="CV19" i="31" s="1"/>
  <c r="AP30" i="31"/>
  <c r="AP55" i="31"/>
  <c r="AP72" i="31"/>
  <c r="AP26" i="31"/>
  <c r="AQ26" i="31" s="1"/>
  <c r="CL21" i="31" s="1"/>
  <c r="G22" i="31" s="1"/>
  <c r="CV21" i="31" s="1"/>
  <c r="AP43" i="31"/>
  <c r="AP28" i="31"/>
  <c r="AQ28" i="31" s="1"/>
  <c r="CL23" i="31" s="1"/>
  <c r="AP33" i="31"/>
  <c r="AP78" i="31"/>
  <c r="AP25" i="31"/>
  <c r="AQ25" i="31" s="1"/>
  <c r="CL20" i="31" s="1"/>
  <c r="G21" i="31" s="1"/>
  <c r="CV20" i="31" s="1"/>
  <c r="AP37" i="31"/>
  <c r="AP63" i="31"/>
  <c r="AP36" i="31"/>
  <c r="AP41" i="31"/>
  <c r="AP58" i="31"/>
  <c r="AP67" i="31"/>
  <c r="AP51" i="31"/>
  <c r="AP48" i="31"/>
  <c r="AP31" i="31"/>
  <c r="AP52" i="31"/>
  <c r="AP38" i="31"/>
  <c r="AP76" i="31"/>
  <c r="AP54" i="31"/>
  <c r="AP53" i="31"/>
  <c r="AP71" i="31"/>
  <c r="AP44" i="31"/>
  <c r="AP59" i="31"/>
  <c r="AP69" i="31"/>
  <c r="AP66" i="31"/>
  <c r="AP49" i="31"/>
  <c r="AP74" i="31"/>
  <c r="DJ429" i="2"/>
  <c r="DJ445" i="2"/>
  <c r="DJ470" i="2"/>
  <c r="DP407" i="2"/>
  <c r="DP397" i="2"/>
  <c r="DP383" i="2"/>
  <c r="DP404" i="2"/>
  <c r="DP390" i="2"/>
  <c r="DP376" i="2"/>
  <c r="DP398" i="2"/>
  <c r="DP384" i="2"/>
  <c r="DP368" i="2"/>
  <c r="DP375" i="2"/>
  <c r="DP386" i="2"/>
  <c r="DP371" i="2"/>
  <c r="DP399" i="2"/>
  <c r="DO254" i="2"/>
  <c r="DO273" i="2"/>
  <c r="DO241" i="2"/>
  <c r="DO255" i="2"/>
  <c r="DO244" i="2"/>
  <c r="DO242" i="2"/>
  <c r="DO271" i="2"/>
  <c r="DO260" i="2"/>
  <c r="DO234" i="2"/>
  <c r="DO275" i="2"/>
  <c r="DO261" i="2"/>
  <c r="Z113" i="6"/>
  <c r="AF113" i="6" s="1"/>
  <c r="AA170" i="6"/>
  <c r="AC113" i="6"/>
  <c r="AA113" i="6"/>
  <c r="AG113" i="6" s="1"/>
  <c r="AM170" i="6"/>
  <c r="AN170" i="6" s="1"/>
  <c r="DM550" i="34"/>
  <c r="BT552" i="34"/>
  <c r="DM588" i="34"/>
  <c r="DM216" i="34"/>
  <c r="DM178" i="34"/>
  <c r="DM179" i="34"/>
  <c r="DM209" i="34"/>
  <c r="DM172" i="34"/>
  <c r="DM190" i="34"/>
  <c r="DM213" i="34"/>
  <c r="DM215" i="34"/>
  <c r="DM175" i="34"/>
  <c r="DM181" i="34"/>
  <c r="DM211" i="34"/>
  <c r="DM188" i="34"/>
  <c r="BT172" i="34"/>
  <c r="DM196" i="34"/>
  <c r="DM198" i="34"/>
  <c r="DM204" i="34"/>
  <c r="DM193" i="34"/>
  <c r="DM182" i="34"/>
  <c r="DM208" i="34"/>
  <c r="DM177" i="34"/>
  <c r="DM187" i="34"/>
  <c r="DM218" i="34"/>
  <c r="DM206" i="34"/>
  <c r="DM184" i="34"/>
  <c r="DM197" i="34"/>
  <c r="DM201" i="34"/>
  <c r="DM180" i="34"/>
  <c r="DM210" i="34"/>
  <c r="DM173" i="34"/>
  <c r="DM186" i="34"/>
  <c r="DM207" i="34"/>
  <c r="DM189" i="34"/>
  <c r="DM174" i="34"/>
  <c r="DM217" i="34"/>
  <c r="DM195" i="34"/>
  <c r="DM170" i="34"/>
  <c r="DM202" i="34"/>
  <c r="DM203" i="34"/>
  <c r="DM191" i="34"/>
  <c r="DM205" i="34"/>
  <c r="DM192" i="34"/>
  <c r="DM194" i="34"/>
  <c r="DM214" i="34"/>
  <c r="DM171" i="34"/>
  <c r="DM183" i="34"/>
  <c r="DM199" i="34"/>
  <c r="DM212" i="34"/>
  <c r="DM200" i="34"/>
  <c r="DM176" i="34"/>
  <c r="DM185" i="34"/>
  <c r="DK573" i="34"/>
  <c r="DN573" i="34"/>
  <c r="DN571" i="34"/>
  <c r="DK571" i="34"/>
  <c r="DN563" i="34"/>
  <c r="DK563" i="34"/>
  <c r="DO584" i="34"/>
  <c r="DO593" i="34"/>
  <c r="DO590" i="34"/>
  <c r="DL56" i="34"/>
  <c r="DQ56" i="34" s="1"/>
  <c r="DL85" i="34"/>
  <c r="DQ85" i="34" s="1"/>
  <c r="DL77" i="34"/>
  <c r="DQ77" i="34" s="1"/>
  <c r="DL94" i="34"/>
  <c r="DQ94" i="34" s="1"/>
  <c r="DL50" i="34"/>
  <c r="DQ50" i="34" s="1"/>
  <c r="DL72" i="34"/>
  <c r="DQ72" i="34" s="1"/>
  <c r="DL82" i="34"/>
  <c r="DQ82" i="34" s="1"/>
  <c r="DL75" i="34"/>
  <c r="DQ75" i="34" s="1"/>
  <c r="DL92" i="34"/>
  <c r="DQ92" i="34" s="1"/>
  <c r="DL78" i="34"/>
  <c r="DQ78" i="34" s="1"/>
  <c r="DL93" i="34"/>
  <c r="DQ93" i="34" s="1"/>
  <c r="DL64" i="34"/>
  <c r="DQ64" i="34" s="1"/>
  <c r="DI200" i="2"/>
  <c r="DI213" i="2"/>
  <c r="DI170" i="2"/>
  <c r="DI192" i="2"/>
  <c r="DI205" i="2"/>
  <c r="DI210" i="2"/>
  <c r="DI182" i="2"/>
  <c r="DI218" i="2"/>
  <c r="DI173" i="2"/>
  <c r="DI208" i="2"/>
  <c r="DI198" i="2"/>
  <c r="DI211" i="2"/>
  <c r="DI516" i="2"/>
  <c r="DI490" i="2"/>
  <c r="DI501" i="2"/>
  <c r="DM107" i="2"/>
  <c r="DM114" i="2"/>
  <c r="DM113" i="2"/>
  <c r="DM149" i="2"/>
  <c r="DM143" i="2"/>
  <c r="DM110" i="2"/>
  <c r="DM138" i="2"/>
  <c r="DM148" i="2"/>
  <c r="DM111" i="2"/>
  <c r="DM139" i="2"/>
  <c r="DM137" i="2"/>
  <c r="DM152" i="2"/>
  <c r="DM128" i="2"/>
  <c r="DI447" i="2"/>
  <c r="DI465" i="2"/>
  <c r="DI453" i="2"/>
  <c r="DP567" i="2"/>
  <c r="DP579" i="2"/>
  <c r="DP583" i="2"/>
  <c r="DP483" i="2"/>
  <c r="DO484" i="2"/>
  <c r="DP484" i="2"/>
  <c r="DO483" i="2"/>
  <c r="DJ555" i="2"/>
  <c r="DJ577" i="2"/>
  <c r="DJ576" i="2"/>
  <c r="S113" i="8"/>
  <c r="AN60" i="8"/>
  <c r="AC170" i="8"/>
  <c r="AU170" i="8" s="1"/>
  <c r="H113" i="8"/>
  <c r="K113" i="8"/>
  <c r="L113" i="8" s="1"/>
  <c r="V113" i="8"/>
  <c r="DL582" i="34"/>
  <c r="DQ582" i="34" s="1"/>
  <c r="DL575" i="34"/>
  <c r="DQ575" i="34" s="1"/>
  <c r="DL551" i="34"/>
  <c r="DQ551" i="34" s="1"/>
  <c r="BV326" i="34"/>
  <c r="BV334" i="34"/>
  <c r="BV345" i="34"/>
  <c r="BV337" i="34"/>
  <c r="BV344" i="34"/>
  <c r="BV338" i="34"/>
  <c r="BV324" i="34"/>
  <c r="DP569" i="34"/>
  <c r="DP568" i="34"/>
  <c r="DP590" i="34"/>
  <c r="DO141" i="2"/>
  <c r="DO140" i="2"/>
  <c r="DO113" i="2"/>
  <c r="DO114" i="2"/>
  <c r="DO123" i="2"/>
  <c r="DO154" i="2"/>
  <c r="DO142" i="2"/>
  <c r="DO118" i="2"/>
  <c r="DO119" i="2"/>
  <c r="DO151" i="2"/>
  <c r="DO149" i="2"/>
  <c r="DO108" i="2"/>
  <c r="DP197" i="2"/>
  <c r="DP191" i="2"/>
  <c r="DP183" i="2"/>
  <c r="DP187" i="2"/>
  <c r="DM454" i="2"/>
  <c r="DM425" i="2"/>
  <c r="DM447" i="2"/>
  <c r="DO551" i="2"/>
  <c r="DO587" i="2"/>
  <c r="DO584" i="2"/>
  <c r="DM592" i="2"/>
  <c r="DM595" i="2"/>
  <c r="DM552" i="2"/>
  <c r="DM568" i="2"/>
  <c r="DM566" i="2"/>
  <c r="DM577" i="2"/>
  <c r="DM591" i="2"/>
  <c r="DM551" i="2"/>
  <c r="DM560" i="2"/>
  <c r="DM556" i="2"/>
  <c r="DM579" i="2"/>
  <c r="DM596" i="2"/>
  <c r="DM576" i="2"/>
  <c r="J186" i="3"/>
  <c r="AK186" i="3" s="1"/>
  <c r="K186" i="3"/>
  <c r="DM511" i="34"/>
  <c r="DM495" i="34"/>
  <c r="DM534" i="34"/>
  <c r="DM512" i="34"/>
  <c r="DM509" i="34"/>
  <c r="DM514" i="34"/>
  <c r="DM501" i="34"/>
  <c r="DM530" i="34"/>
  <c r="DM506" i="34"/>
  <c r="DM507" i="34"/>
  <c r="DM497" i="34"/>
  <c r="DM525" i="34"/>
  <c r="DM515" i="34"/>
  <c r="DJ131" i="2"/>
  <c r="DJ120" i="2"/>
  <c r="DJ112" i="2"/>
  <c r="DJ138" i="2"/>
  <c r="DJ130" i="2"/>
  <c r="DJ111" i="2"/>
  <c r="DJ137" i="2"/>
  <c r="DJ145" i="2"/>
  <c r="DJ140" i="2"/>
  <c r="DJ114" i="2"/>
  <c r="DJ153" i="2"/>
  <c r="DJ142" i="2"/>
  <c r="DO529" i="2"/>
  <c r="DO494" i="2"/>
  <c r="DO512" i="2"/>
  <c r="DO527" i="2"/>
  <c r="DO491" i="2"/>
  <c r="DO510" i="2"/>
  <c r="DO533" i="2"/>
  <c r="DO499" i="2"/>
  <c r="DO516" i="2"/>
  <c r="DO490" i="2"/>
  <c r="DO507" i="2"/>
  <c r="DO522" i="2"/>
  <c r="DO521" i="2"/>
  <c r="DO496" i="2"/>
  <c r="DO503" i="2"/>
  <c r="DO519" i="2"/>
  <c r="DO492" i="2"/>
  <c r="DO500" i="2"/>
  <c r="DO525" i="2"/>
  <c r="DO488" i="2"/>
  <c r="DO508" i="2"/>
  <c r="DO531" i="2"/>
  <c r="DO497" i="2"/>
  <c r="DO514" i="2"/>
  <c r="DO513" i="2"/>
  <c r="DO528" i="2"/>
  <c r="DO493" i="2"/>
  <c r="DO511" i="2"/>
  <c r="DO526" i="2"/>
  <c r="DO487" i="2"/>
  <c r="DO517" i="2"/>
  <c r="DO532" i="2"/>
  <c r="DO498" i="2"/>
  <c r="DO523" i="2"/>
  <c r="DO502" i="2"/>
  <c r="DO506" i="2"/>
  <c r="DO489" i="2"/>
  <c r="DO505" i="2"/>
  <c r="DO520" i="2"/>
  <c r="DO486" i="2"/>
  <c r="DO501" i="2"/>
  <c r="DO518" i="2"/>
  <c r="DO504" i="2"/>
  <c r="DO509" i="2"/>
  <c r="DO524" i="2"/>
  <c r="DO534" i="2"/>
  <c r="DO515" i="2"/>
  <c r="DO530" i="2"/>
  <c r="DO495" i="2"/>
  <c r="DM596" i="34"/>
  <c r="DM464" i="2"/>
  <c r="DM598" i="34"/>
  <c r="J196" i="8"/>
  <c r="AK196" i="8" s="1"/>
  <c r="K196" i="8"/>
  <c r="DK638" i="34"/>
  <c r="DN638" i="34"/>
  <c r="DK636" i="34"/>
  <c r="DN636" i="34"/>
  <c r="DN624" i="34"/>
  <c r="DK624" i="34"/>
  <c r="DN138" i="34"/>
  <c r="DK138" i="34"/>
  <c r="DN111" i="34"/>
  <c r="DK111" i="34"/>
  <c r="DN109" i="34"/>
  <c r="DK109" i="34"/>
  <c r="DK131" i="34"/>
  <c r="DN131" i="34"/>
  <c r="DP179" i="34"/>
  <c r="DP198" i="34"/>
  <c r="DP214" i="34"/>
  <c r="DP189" i="34"/>
  <c r="DP183" i="34"/>
  <c r="DP173" i="34"/>
  <c r="DP190" i="34"/>
  <c r="DP170" i="34"/>
  <c r="DP195" i="34"/>
  <c r="DP191" i="34"/>
  <c r="DP206" i="34"/>
  <c r="DP212" i="34"/>
  <c r="DP186" i="34"/>
  <c r="DP182" i="34"/>
  <c r="DP211" i="34"/>
  <c r="DP210" i="34"/>
  <c r="DP180" i="34"/>
  <c r="DP192" i="34"/>
  <c r="DP209" i="34"/>
  <c r="DP213" i="34"/>
  <c r="DP187" i="34"/>
  <c r="DP174" i="34"/>
  <c r="DP203" i="34"/>
  <c r="DP200" i="34"/>
  <c r="DP178" i="34"/>
  <c r="DP202" i="34"/>
  <c r="DP204" i="34"/>
  <c r="DP196" i="34"/>
  <c r="DP207" i="34"/>
  <c r="BT171" i="34"/>
  <c r="DP193" i="34"/>
  <c r="DP171" i="34"/>
  <c r="DP201" i="34"/>
  <c r="DP181" i="34"/>
  <c r="DP197" i="34"/>
  <c r="DP199" i="34"/>
  <c r="DP184" i="34"/>
  <c r="DP177" i="34"/>
  <c r="DP208" i="34"/>
  <c r="DP194" i="34"/>
  <c r="DP216" i="34"/>
  <c r="DP175" i="34"/>
  <c r="DP218" i="34"/>
  <c r="DP185" i="34"/>
  <c r="DP215" i="34"/>
  <c r="DP205" i="34"/>
  <c r="DP176" i="34"/>
  <c r="DP217" i="34"/>
  <c r="DP188" i="34"/>
  <c r="DP172" i="34"/>
  <c r="DM168" i="34"/>
  <c r="DL168" i="34"/>
  <c r="DO104" i="34"/>
  <c r="DO103" i="34"/>
  <c r="DP103" i="34"/>
  <c r="DP104" i="34"/>
  <c r="DN569" i="34"/>
  <c r="DK569" i="34"/>
  <c r="DK584" i="34"/>
  <c r="DN584" i="34"/>
  <c r="DK550" i="34"/>
  <c r="DN550" i="34"/>
  <c r="DO589" i="34"/>
  <c r="DO564" i="34"/>
  <c r="DO583" i="34"/>
  <c r="DL294" i="34"/>
  <c r="DM293" i="34"/>
  <c r="DM294" i="34"/>
  <c r="DL293" i="34"/>
  <c r="DM62" i="34"/>
  <c r="DM65" i="34"/>
  <c r="DM66" i="34"/>
  <c r="DM68" i="34"/>
  <c r="DM82" i="34"/>
  <c r="DM73" i="34"/>
  <c r="DM93" i="34"/>
  <c r="DM81" i="34"/>
  <c r="DM84" i="34"/>
  <c r="DM51" i="34"/>
  <c r="DM88" i="34"/>
  <c r="DM69" i="34"/>
  <c r="DN529" i="2"/>
  <c r="DK529" i="2"/>
  <c r="DK491" i="2"/>
  <c r="DN491" i="2"/>
  <c r="DN435" i="2"/>
  <c r="DK435" i="2"/>
  <c r="DN443" i="2"/>
  <c r="DK443" i="2"/>
  <c r="DN428" i="2"/>
  <c r="DK428" i="2"/>
  <c r="DO230" i="2"/>
  <c r="DP230" i="2"/>
  <c r="DO231" i="2"/>
  <c r="DP231" i="2"/>
  <c r="BF15" i="3"/>
  <c r="AE20" i="9"/>
  <c r="AN15" i="3"/>
  <c r="BG15" i="3" s="1"/>
  <c r="AE15" i="3"/>
  <c r="AG15" i="3"/>
  <c r="AF15" i="3"/>
  <c r="AC15" i="3"/>
  <c r="AD15" i="3"/>
  <c r="AB68" i="3"/>
  <c r="DP597" i="34"/>
  <c r="DP586" i="34"/>
  <c r="DP582" i="34"/>
  <c r="DH636" i="2"/>
  <c r="DG636" i="2"/>
  <c r="DM444" i="2"/>
  <c r="DM468" i="2"/>
  <c r="DI239" i="2"/>
  <c r="DI242" i="2"/>
  <c r="DI251" i="2"/>
  <c r="DI268" i="2"/>
  <c r="DI264" i="2"/>
  <c r="DI254" i="2"/>
  <c r="DI277" i="2"/>
  <c r="DI278" i="2"/>
  <c r="DI252" i="2"/>
  <c r="DI248" i="2"/>
  <c r="DI265" i="2"/>
  <c r="DI247" i="2"/>
  <c r="DI250" i="2"/>
  <c r="DI261" i="2"/>
  <c r="DI262" i="2"/>
  <c r="DI255" i="2"/>
  <c r="DI235" i="2"/>
  <c r="DI249" i="2"/>
  <c r="DI245" i="2"/>
  <c r="DI246" i="2"/>
  <c r="DI266" i="2"/>
  <c r="DI259" i="2"/>
  <c r="DI276" i="2"/>
  <c r="DI258" i="2"/>
  <c r="DI233" i="2"/>
  <c r="DI272" i="2"/>
  <c r="DI234" i="2"/>
  <c r="DI236" i="2"/>
  <c r="DI275" i="2"/>
  <c r="DI260" i="2"/>
  <c r="DI256" i="2"/>
  <c r="DI273" i="2"/>
  <c r="DI269" i="2"/>
  <c r="DI270" i="2"/>
  <c r="DI244" i="2"/>
  <c r="DI271" i="2"/>
  <c r="DI263" i="2"/>
  <c r="DI240" i="2"/>
  <c r="DI257" i="2"/>
  <c r="DI253" i="2"/>
  <c r="DI243" i="2"/>
  <c r="DI274" i="2"/>
  <c r="DI267" i="2"/>
  <c r="DI241" i="2"/>
  <c r="DI237" i="2"/>
  <c r="DI238" i="2"/>
  <c r="O170" i="6"/>
  <c r="B61" i="43" s="1"/>
  <c r="D61" i="43" s="1"/>
  <c r="E61" i="43" s="1"/>
  <c r="H61" i="43" s="1"/>
  <c r="J61" i="43" s="1"/>
  <c r="Y113" i="6"/>
  <c r="AB113" i="6" s="1"/>
  <c r="AH113" i="6" s="1"/>
  <c r="BU629" i="2"/>
  <c r="BV629" i="2" s="1"/>
  <c r="BU642" i="2"/>
  <c r="BV642" i="2" s="1"/>
  <c r="BU657" i="2"/>
  <c r="BV657" i="2" s="1"/>
  <c r="BU631" i="2"/>
  <c r="BV631" i="2" s="1"/>
  <c r="BU654" i="2"/>
  <c r="BV654" i="2" s="1"/>
  <c r="BU664" i="2"/>
  <c r="BV664" i="2" s="1"/>
  <c r="BU633" i="2"/>
  <c r="BV633" i="2" s="1"/>
  <c r="BU643" i="2"/>
  <c r="BV643" i="2" s="1"/>
  <c r="BU620" i="2"/>
  <c r="BV620" i="2" s="1"/>
  <c r="BU640" i="2"/>
  <c r="BV640" i="2" s="1"/>
  <c r="BU655" i="2"/>
  <c r="BV655" i="2" s="1"/>
  <c r="BU619" i="2"/>
  <c r="BV619" i="2" s="1"/>
  <c r="BU632" i="2"/>
  <c r="BV632" i="2" s="1"/>
  <c r="BU644" i="2"/>
  <c r="BV644" i="2" s="1"/>
  <c r="BU665" i="2"/>
  <c r="BV665" i="2" s="1"/>
  <c r="BU639" i="2"/>
  <c r="BV639" i="2" s="1"/>
  <c r="BU656" i="2"/>
  <c r="BV656" i="2" s="1"/>
  <c r="BU625" i="2"/>
  <c r="BV625" i="2" s="1"/>
  <c r="BU636" i="2"/>
  <c r="BV636" i="2" s="1"/>
  <c r="BU645" i="2"/>
  <c r="BV645" i="2" s="1"/>
  <c r="BU622" i="2"/>
  <c r="BV622" i="2" s="1"/>
  <c r="BU647" i="2"/>
  <c r="BV647" i="2" s="1"/>
  <c r="BU658" i="2"/>
  <c r="BV658" i="2" s="1"/>
  <c r="BU624" i="2"/>
  <c r="BV624" i="2" s="1"/>
  <c r="BU634" i="2"/>
  <c r="BV634" i="2" s="1"/>
  <c r="BU646" i="2"/>
  <c r="BV646" i="2" s="1"/>
  <c r="BU621" i="2"/>
  <c r="BV621" i="2" s="1"/>
  <c r="BU648" i="2"/>
  <c r="BV648" i="2" s="1"/>
  <c r="BU659" i="2"/>
  <c r="BV659" i="2" s="1"/>
  <c r="BU628" i="2"/>
  <c r="BV628" i="2" s="1"/>
  <c r="BU638" i="2"/>
  <c r="BV638" i="2" s="1"/>
  <c r="BU653" i="2"/>
  <c r="BV653" i="2" s="1"/>
  <c r="BU627" i="2"/>
  <c r="BV627" i="2" s="1"/>
  <c r="BU650" i="2"/>
  <c r="BV650" i="2" s="1"/>
  <c r="BU660" i="2"/>
  <c r="BV660" i="2" s="1"/>
  <c r="BU626" i="2"/>
  <c r="BV626" i="2" s="1"/>
  <c r="BU637" i="2"/>
  <c r="BV637" i="2" s="1"/>
  <c r="BU649" i="2"/>
  <c r="BV649" i="2" s="1"/>
  <c r="BU623" i="2"/>
  <c r="BV623" i="2" s="1"/>
  <c r="BU651" i="2"/>
  <c r="BV651" i="2" s="1"/>
  <c r="BU662" i="2"/>
  <c r="BV662" i="2" s="1"/>
  <c r="BU630" i="2"/>
  <c r="BV630" i="2" s="1"/>
  <c r="BU641" i="2"/>
  <c r="BV641" i="2" s="1"/>
  <c r="BU661" i="2"/>
  <c r="BV661" i="2" s="1"/>
  <c r="BU635" i="2"/>
  <c r="BV635" i="2" s="1"/>
  <c r="BU652" i="2"/>
  <c r="BV652" i="2" s="1"/>
  <c r="BU663" i="2"/>
  <c r="BV663" i="2" s="1"/>
  <c r="BU487" i="34"/>
  <c r="DK654" i="34"/>
  <c r="DN654" i="34"/>
  <c r="DN663" i="34"/>
  <c r="DK663" i="34"/>
  <c r="DK644" i="34"/>
  <c r="DN644" i="34"/>
  <c r="DL438" i="2"/>
  <c r="DQ438" i="2" s="1"/>
  <c r="DL462" i="2"/>
  <c r="DQ462" i="2" s="1"/>
  <c r="DL451" i="2"/>
  <c r="DQ451" i="2" s="1"/>
  <c r="DL442" i="2"/>
  <c r="DQ442" i="2" s="1"/>
  <c r="DL445" i="2"/>
  <c r="DQ445" i="2" s="1"/>
  <c r="DL437" i="2"/>
  <c r="DQ437" i="2" s="1"/>
  <c r="DL461" i="2"/>
  <c r="DQ461" i="2" s="1"/>
  <c r="DL464" i="2"/>
  <c r="DQ464" i="2" s="1"/>
  <c r="DL455" i="2"/>
  <c r="DQ455" i="2" s="1"/>
  <c r="DL446" i="2"/>
  <c r="DQ446" i="2" s="1"/>
  <c r="DL449" i="2"/>
  <c r="DQ449" i="2" s="1"/>
  <c r="DL444" i="2"/>
  <c r="DQ444" i="2" s="1"/>
  <c r="DL428" i="2"/>
  <c r="DQ428" i="2" s="1"/>
  <c r="DL422" i="2"/>
  <c r="DQ422" i="2" s="1"/>
  <c r="DL443" i="2"/>
  <c r="DQ443" i="2" s="1"/>
  <c r="DL431" i="2"/>
  <c r="DQ431" i="2" s="1"/>
  <c r="DL439" i="2"/>
  <c r="DQ439" i="2" s="1"/>
  <c r="DL430" i="2"/>
  <c r="DQ430" i="2" s="1"/>
  <c r="DL432" i="2"/>
  <c r="DQ432" i="2" s="1"/>
  <c r="DL440" i="2"/>
  <c r="DQ440" i="2" s="1"/>
  <c r="DL447" i="2"/>
  <c r="DQ447" i="2" s="1"/>
  <c r="DL433" i="2"/>
  <c r="DQ433" i="2" s="1"/>
  <c r="DL441" i="2"/>
  <c r="DQ441" i="2" s="1"/>
  <c r="DL434" i="2"/>
  <c r="DQ434" i="2" s="1"/>
  <c r="DL467" i="2"/>
  <c r="DQ467" i="2" s="1"/>
  <c r="DL425" i="2"/>
  <c r="DQ425" i="2" s="1"/>
  <c r="DL426" i="2"/>
  <c r="DQ426" i="2" s="1"/>
  <c r="DL429" i="2"/>
  <c r="DQ429" i="2" s="1"/>
  <c r="DL458" i="2"/>
  <c r="DQ458" i="2" s="1"/>
  <c r="DL460" i="2"/>
  <c r="DQ460" i="2" s="1"/>
  <c r="DL469" i="2"/>
  <c r="DQ469" i="2" s="1"/>
  <c r="DL423" i="2"/>
  <c r="DQ423" i="2" s="1"/>
  <c r="DL424" i="2"/>
  <c r="DQ424" i="2" s="1"/>
  <c r="DL436" i="2"/>
  <c r="DQ436" i="2" s="1"/>
  <c r="DL427" i="2"/>
  <c r="DQ427" i="2" s="1"/>
  <c r="DL435" i="2"/>
  <c r="DQ435" i="2" s="1"/>
  <c r="DL470" i="2"/>
  <c r="DQ470" i="2" s="1"/>
  <c r="DL463" i="2"/>
  <c r="DQ463" i="2" s="1"/>
  <c r="DL466" i="2"/>
  <c r="DQ466" i="2" s="1"/>
  <c r="DL457" i="2"/>
  <c r="DQ457" i="2" s="1"/>
  <c r="DL450" i="2"/>
  <c r="DQ450" i="2" s="1"/>
  <c r="DL453" i="2"/>
  <c r="DQ453" i="2" s="1"/>
  <c r="DL448" i="2"/>
  <c r="DQ448" i="2" s="1"/>
  <c r="DL465" i="2"/>
  <c r="DQ465" i="2" s="1"/>
  <c r="DL468" i="2"/>
  <c r="DQ468" i="2" s="1"/>
  <c r="DL459" i="2"/>
  <c r="DQ459" i="2" s="1"/>
  <c r="DL454" i="2"/>
  <c r="DQ454" i="2" s="1"/>
  <c r="DL456" i="2"/>
  <c r="DQ456" i="2" s="1"/>
  <c r="DL452" i="2"/>
  <c r="DQ452" i="2" s="1"/>
  <c r="DC624" i="2"/>
  <c r="DD624" i="2"/>
  <c r="DK557" i="34"/>
  <c r="DN557" i="34"/>
  <c r="DK572" i="34"/>
  <c r="DN572" i="34"/>
  <c r="DN574" i="34"/>
  <c r="DK574" i="34"/>
  <c r="DO567" i="34"/>
  <c r="DO562" i="34"/>
  <c r="DO557" i="34"/>
  <c r="DH84" i="34"/>
  <c r="DG84" i="34"/>
  <c r="DN498" i="2"/>
  <c r="DK498" i="2"/>
  <c r="DK521" i="2"/>
  <c r="DN521" i="2"/>
  <c r="DN492" i="2"/>
  <c r="DK492" i="2"/>
  <c r="DI440" i="2"/>
  <c r="DI452" i="2"/>
  <c r="DP570" i="2"/>
  <c r="DP566" i="2"/>
  <c r="DP550" i="2"/>
  <c r="DP553" i="2"/>
  <c r="DJ587" i="2"/>
  <c r="BT553" i="2"/>
  <c r="DJ569" i="2"/>
  <c r="DN402" i="34"/>
  <c r="DK402" i="34"/>
  <c r="DK392" i="34"/>
  <c r="DN392" i="34"/>
  <c r="DN405" i="34"/>
  <c r="DK405" i="34"/>
  <c r="DK397" i="34"/>
  <c r="DN397" i="34"/>
  <c r="DK406" i="34"/>
  <c r="DN406" i="34"/>
  <c r="DK391" i="34"/>
  <c r="DN391" i="34"/>
  <c r="DK388" i="34"/>
  <c r="DN388" i="34"/>
  <c r="DK375" i="34"/>
  <c r="DN375" i="34"/>
  <c r="DN396" i="34"/>
  <c r="DK396" i="34"/>
  <c r="DN398" i="34"/>
  <c r="DK398" i="34"/>
  <c r="DK385" i="34"/>
  <c r="DN385" i="34"/>
  <c r="DN362" i="34"/>
  <c r="DK362" i="34"/>
  <c r="BU444" i="34"/>
  <c r="BV444" i="34" s="1"/>
  <c r="BU437" i="34"/>
  <c r="BV437" i="34" s="1"/>
  <c r="BU466" i="34"/>
  <c r="BV466" i="34" s="1"/>
  <c r="BU449" i="34"/>
  <c r="BV449" i="34" s="1"/>
  <c r="BU462" i="34"/>
  <c r="BV462" i="34" s="1"/>
  <c r="BU459" i="34"/>
  <c r="BV459" i="34" s="1"/>
  <c r="BU458" i="34"/>
  <c r="BV458" i="34" s="1"/>
  <c r="BU465" i="34"/>
  <c r="BV465" i="34" s="1"/>
  <c r="BU455" i="34"/>
  <c r="BV455" i="34" s="1"/>
  <c r="BU445" i="34"/>
  <c r="BV445" i="34" s="1"/>
  <c r="BU432" i="34"/>
  <c r="BV432" i="34" s="1"/>
  <c r="BU447" i="34"/>
  <c r="BV447" i="34" s="1"/>
  <c r="BU429" i="34"/>
  <c r="BV429" i="34" s="1"/>
  <c r="BU454" i="34"/>
  <c r="BV454" i="34" s="1"/>
  <c r="BU440" i="34"/>
  <c r="BV440" i="34" s="1"/>
  <c r="BU436" i="34"/>
  <c r="BV436" i="34" s="1"/>
  <c r="BU470" i="34"/>
  <c r="BV470" i="34" s="1"/>
  <c r="BU431" i="34"/>
  <c r="BV431" i="34" s="1"/>
  <c r="BU446" i="34"/>
  <c r="BV446" i="34" s="1"/>
  <c r="BU451" i="34"/>
  <c r="BV451" i="34" s="1"/>
  <c r="BU441" i="34"/>
  <c r="BV441" i="34" s="1"/>
  <c r="BU452" i="34"/>
  <c r="BV452" i="34" s="1"/>
  <c r="BU472" i="34"/>
  <c r="BV472" i="34" s="1"/>
  <c r="BU430" i="34"/>
  <c r="BV430" i="34" s="1"/>
  <c r="BU471" i="34"/>
  <c r="BV471" i="34" s="1"/>
  <c r="BU456" i="34"/>
  <c r="BV456" i="34" s="1"/>
  <c r="BU439" i="34"/>
  <c r="BV439" i="34" s="1"/>
  <c r="BU468" i="34"/>
  <c r="BV468" i="34" s="1"/>
  <c r="BU453" i="34"/>
  <c r="BV453" i="34" s="1"/>
  <c r="BU443" i="34"/>
  <c r="BV443" i="34" s="1"/>
  <c r="BU434" i="34"/>
  <c r="BV434" i="34" s="1"/>
  <c r="BU467" i="34"/>
  <c r="BV467" i="34" s="1"/>
  <c r="BU460" i="34"/>
  <c r="BV460" i="34" s="1"/>
  <c r="BU433" i="34"/>
  <c r="BV433" i="34" s="1"/>
  <c r="BU469" i="34"/>
  <c r="BV469" i="34" s="1"/>
  <c r="BU426" i="34"/>
  <c r="BV426" i="34" s="1"/>
  <c r="BU427" i="34"/>
  <c r="BV427" i="34" s="1"/>
  <c r="BU463" i="34"/>
  <c r="BV463" i="34" s="1"/>
  <c r="BU442" i="34"/>
  <c r="BV442" i="34" s="1"/>
  <c r="BU464" i="34"/>
  <c r="BV464" i="34" s="1"/>
  <c r="BU428" i="34"/>
  <c r="BV428" i="34" s="1"/>
  <c r="BU461" i="34"/>
  <c r="BV461" i="34" s="1"/>
  <c r="BU435" i="34"/>
  <c r="BV435" i="34" s="1"/>
  <c r="BU457" i="34"/>
  <c r="BV457" i="34" s="1"/>
  <c r="BU450" i="34"/>
  <c r="BV450" i="34" s="1"/>
  <c r="BU438" i="34"/>
  <c r="BV438" i="34" s="1"/>
  <c r="BU448" i="34"/>
  <c r="BV448" i="34" s="1"/>
  <c r="DP562" i="34"/>
  <c r="DP557" i="34"/>
  <c r="DP594" i="34"/>
  <c r="DP205" i="2"/>
  <c r="DP182" i="2"/>
  <c r="DP180" i="2"/>
  <c r="DM469" i="2"/>
  <c r="DM427" i="2"/>
  <c r="DM448" i="2"/>
  <c r="DO570" i="2"/>
  <c r="DO565" i="2"/>
  <c r="DO563" i="2"/>
  <c r="DJ514" i="2"/>
  <c r="DJ531" i="2"/>
  <c r="DJ497" i="2"/>
  <c r="DJ520" i="2"/>
  <c r="DJ490" i="2"/>
  <c r="DJ505" i="2"/>
  <c r="DJ518" i="2"/>
  <c r="DJ486" i="2"/>
  <c r="DJ532" i="2"/>
  <c r="DJ498" i="2"/>
  <c r="DJ509" i="2"/>
  <c r="DJ496" i="2"/>
  <c r="DJ506" i="2"/>
  <c r="DJ523" i="2"/>
  <c r="DJ487" i="2"/>
  <c r="DJ512" i="2"/>
  <c r="DJ529" i="2"/>
  <c r="DJ494" i="2"/>
  <c r="DJ510" i="2"/>
  <c r="DJ527" i="2"/>
  <c r="DJ524" i="2"/>
  <c r="DJ517" i="2"/>
  <c r="BT489" i="2"/>
  <c r="DJ525" i="2"/>
  <c r="DJ530" i="2"/>
  <c r="DJ495" i="2"/>
  <c r="DJ515" i="2"/>
  <c r="DJ534" i="2"/>
  <c r="DJ503" i="2"/>
  <c r="DJ521" i="2"/>
  <c r="DJ502" i="2"/>
  <c r="DJ500" i="2"/>
  <c r="DJ519" i="2"/>
  <c r="DJ516" i="2"/>
  <c r="DJ491" i="2"/>
  <c r="DJ533" i="2"/>
  <c r="DJ499" i="2"/>
  <c r="DJ522" i="2"/>
  <c r="DJ504" i="2"/>
  <c r="DJ507" i="2"/>
  <c r="DJ528" i="2"/>
  <c r="DJ493" i="2"/>
  <c r="DJ513" i="2"/>
  <c r="DJ526" i="2"/>
  <c r="DJ489" i="2"/>
  <c r="DJ511" i="2"/>
  <c r="DJ508" i="2"/>
  <c r="DJ488" i="2"/>
  <c r="DJ501" i="2"/>
  <c r="DJ492" i="2"/>
  <c r="BU618" i="34"/>
  <c r="BU172" i="2"/>
  <c r="DN642" i="34"/>
  <c r="DK642" i="34"/>
  <c r="DN635" i="34"/>
  <c r="DK635" i="34"/>
  <c r="DK631" i="34"/>
  <c r="DN631" i="34"/>
  <c r="DH624" i="2"/>
  <c r="DG624" i="2"/>
  <c r="DJ469" i="2"/>
  <c r="DJ426" i="2"/>
  <c r="DJ446" i="2"/>
  <c r="DO373" i="2"/>
  <c r="DO375" i="2"/>
  <c r="DO394" i="2"/>
  <c r="DO376" i="2"/>
  <c r="DO399" i="2"/>
  <c r="DO397" i="2"/>
  <c r="DO379" i="2"/>
  <c r="DO400" i="2"/>
  <c r="DO398" i="2"/>
  <c r="DO371" i="2"/>
  <c r="DO369" i="2"/>
  <c r="BT234" i="2"/>
  <c r="DP276" i="2"/>
  <c r="DP245" i="2"/>
  <c r="DP277" i="2"/>
  <c r="DP246" i="2"/>
  <c r="DP269" i="2"/>
  <c r="DP234" i="2"/>
  <c r="DP233" i="2"/>
  <c r="DP243" i="2"/>
  <c r="DP264" i="2"/>
  <c r="DP249" i="2"/>
  <c r="DN576" i="34"/>
  <c r="DK576" i="34"/>
  <c r="DK559" i="34"/>
  <c r="DN559" i="34"/>
  <c r="DK558" i="34"/>
  <c r="DN558" i="34"/>
  <c r="DO573" i="34"/>
  <c r="DO586" i="34"/>
  <c r="DO552" i="34"/>
  <c r="DI524" i="2"/>
  <c r="DI495" i="2"/>
  <c r="DI511" i="2"/>
  <c r="DL128" i="2"/>
  <c r="DQ128" i="2" s="1"/>
  <c r="DL143" i="2"/>
  <c r="DQ143" i="2" s="1"/>
  <c r="DL111" i="2"/>
  <c r="DQ111" i="2" s="1"/>
  <c r="DL138" i="2"/>
  <c r="DQ138" i="2" s="1"/>
  <c r="DL114" i="2"/>
  <c r="DQ114" i="2" s="1"/>
  <c r="DL108" i="2"/>
  <c r="DQ108" i="2" s="1"/>
  <c r="DL144" i="2"/>
  <c r="DQ144" i="2" s="1"/>
  <c r="DL122" i="2"/>
  <c r="DQ122" i="2" s="1"/>
  <c r="DL154" i="2"/>
  <c r="DQ154" i="2" s="1"/>
  <c r="DL150" i="2"/>
  <c r="DQ150" i="2" s="1"/>
  <c r="DL137" i="2"/>
  <c r="DQ137" i="2" s="1"/>
  <c r="DL113" i="2"/>
  <c r="DQ113" i="2" s="1"/>
  <c r="DI422" i="2"/>
  <c r="DI425" i="2"/>
  <c r="DI424" i="2"/>
  <c r="DP587" i="2"/>
  <c r="DP594" i="2"/>
  <c r="DP551" i="2"/>
  <c r="DJ567" i="2"/>
  <c r="DJ586" i="2"/>
  <c r="DJ551" i="2"/>
  <c r="Y117" i="6"/>
  <c r="AB117" i="6" s="1"/>
  <c r="AH117" i="6" s="1"/>
  <c r="O174" i="6"/>
  <c r="B65" i="43" s="1"/>
  <c r="D65" i="43" s="1"/>
  <c r="E65" i="43" s="1"/>
  <c r="H65" i="43" s="1"/>
  <c r="J65" i="43" s="1"/>
  <c r="BU362" i="34"/>
  <c r="DP574" i="34"/>
  <c r="DP580" i="34"/>
  <c r="DP579" i="34"/>
  <c r="DP106" i="2"/>
  <c r="DP119" i="2"/>
  <c r="DP147" i="2"/>
  <c r="DP124" i="2"/>
  <c r="DP148" i="2"/>
  <c r="DP125" i="2"/>
  <c r="DP108" i="2"/>
  <c r="DP130" i="2"/>
  <c r="DP120" i="2"/>
  <c r="DP116" i="2"/>
  <c r="DP109" i="2"/>
  <c r="DP218" i="2"/>
  <c r="DP190" i="2"/>
  <c r="DP216" i="2"/>
  <c r="DP203" i="2"/>
  <c r="DM455" i="2"/>
  <c r="DM467" i="2"/>
  <c r="DM461" i="2"/>
  <c r="DO590" i="2"/>
  <c r="DO568" i="2"/>
  <c r="DO577" i="2"/>
  <c r="DL566" i="2"/>
  <c r="DQ566" i="2" s="1"/>
  <c r="DL593" i="2"/>
  <c r="DQ593" i="2" s="1"/>
  <c r="DL584" i="2"/>
  <c r="DQ584" i="2" s="1"/>
  <c r="DL582" i="2"/>
  <c r="DQ582" i="2" s="1"/>
  <c r="DL579" i="2"/>
  <c r="DQ579" i="2" s="1"/>
  <c r="DL565" i="2"/>
  <c r="DQ565" i="2" s="1"/>
  <c r="DL568" i="2"/>
  <c r="DQ568" i="2" s="1"/>
  <c r="DL572" i="2"/>
  <c r="DQ572" i="2" s="1"/>
  <c r="DL597" i="2"/>
  <c r="DQ597" i="2" s="1"/>
  <c r="DL583" i="2"/>
  <c r="DQ583" i="2" s="1"/>
  <c r="DL580" i="2"/>
  <c r="DQ580" i="2" s="1"/>
  <c r="DL596" i="2"/>
  <c r="DQ596" i="2" s="1"/>
  <c r="J198" i="8"/>
  <c r="AK198" i="8" s="1"/>
  <c r="K198" i="8"/>
  <c r="DL516" i="34"/>
  <c r="DQ516" i="34" s="1"/>
  <c r="DL486" i="34"/>
  <c r="DQ486" i="34" s="1"/>
  <c r="DL519" i="34"/>
  <c r="DQ519" i="34" s="1"/>
  <c r="DL527" i="34"/>
  <c r="DQ527" i="34" s="1"/>
  <c r="DL522" i="34"/>
  <c r="DQ522" i="34" s="1"/>
  <c r="DL508" i="34"/>
  <c r="DQ508" i="34" s="1"/>
  <c r="DL534" i="34"/>
  <c r="DQ534" i="34" s="1"/>
  <c r="DL499" i="34"/>
  <c r="DQ499" i="34" s="1"/>
  <c r="DL488" i="34"/>
  <c r="DQ488" i="34" s="1"/>
  <c r="DL494" i="34"/>
  <c r="DQ494" i="34" s="1"/>
  <c r="DL511" i="34"/>
  <c r="DQ511" i="34" s="1"/>
  <c r="DL520" i="34"/>
  <c r="DQ520" i="34" s="1"/>
  <c r="DI120" i="2"/>
  <c r="DI114" i="2"/>
  <c r="DI131" i="2"/>
  <c r="DI124" i="2"/>
  <c r="DI133" i="2"/>
  <c r="DI147" i="2"/>
  <c r="DI128" i="2"/>
  <c r="DI154" i="2"/>
  <c r="DI138" i="2"/>
  <c r="DI132" i="2"/>
  <c r="DI129" i="2"/>
  <c r="DP329" i="2"/>
  <c r="DP321" i="2"/>
  <c r="DP334" i="2"/>
  <c r="DP322" i="2"/>
  <c r="DP318" i="2"/>
  <c r="DP298" i="2"/>
  <c r="DP340" i="2"/>
  <c r="DP333" i="2"/>
  <c r="DP305" i="2"/>
  <c r="DP326" i="2"/>
  <c r="DP337" i="2"/>
  <c r="DP342" i="2"/>
  <c r="DP311" i="2"/>
  <c r="DP314" i="2"/>
  <c r="DP323" i="2"/>
  <c r="DP301" i="2"/>
  <c r="DP308" i="2"/>
  <c r="DP319" i="2"/>
  <c r="DP336" i="2"/>
  <c r="DP332" i="2"/>
  <c r="DP325" i="2"/>
  <c r="DP328" i="2"/>
  <c r="DP335" i="2"/>
  <c r="DP304" i="2"/>
  <c r="DP330" i="2"/>
  <c r="DP297" i="2"/>
  <c r="DP299" i="2"/>
  <c r="DP343" i="2"/>
  <c r="DP339" i="2"/>
  <c r="DP296" i="2"/>
  <c r="DP338" i="2"/>
  <c r="DP306" i="2"/>
  <c r="DP341" i="2"/>
  <c r="DP310" i="2"/>
  <c r="DP312" i="2"/>
  <c r="BT297" i="2"/>
  <c r="DP315" i="2"/>
  <c r="DP309" i="2"/>
  <c r="DP302" i="2"/>
  <c r="DP303" i="2"/>
  <c r="DP300" i="2"/>
  <c r="DP320" i="2"/>
  <c r="DP316" i="2"/>
  <c r="DP307" i="2"/>
  <c r="DP344" i="2"/>
  <c r="DP313" i="2"/>
  <c r="DP324" i="2"/>
  <c r="DP317" i="2"/>
  <c r="DP331" i="2"/>
  <c r="DP327" i="2"/>
  <c r="DN633" i="34"/>
  <c r="DK633" i="34"/>
  <c r="DN634" i="34"/>
  <c r="DK634" i="34"/>
  <c r="DK620" i="34"/>
  <c r="DN620" i="34"/>
  <c r="DJ435" i="2"/>
  <c r="DJ467" i="2"/>
  <c r="DP370" i="2"/>
  <c r="DP363" i="2"/>
  <c r="DP391" i="2"/>
  <c r="BT360" i="2"/>
  <c r="DP405" i="2"/>
  <c r="DP385" i="2"/>
  <c r="DP406" i="2"/>
  <c r="DP392" i="2"/>
  <c r="DP379" i="2"/>
  <c r="DP400" i="2"/>
  <c r="DP394" i="2"/>
  <c r="DP381" i="2"/>
  <c r="DO258" i="2"/>
  <c r="DO247" i="2"/>
  <c r="DO277" i="2"/>
  <c r="DO259" i="2"/>
  <c r="DO250" i="2"/>
  <c r="DO270" i="2"/>
  <c r="DO268" i="2"/>
  <c r="DO264" i="2"/>
  <c r="DO274" i="2"/>
  <c r="DO272" i="2"/>
  <c r="BU298" i="2"/>
  <c r="L113" i="6"/>
  <c r="M113" i="6"/>
  <c r="N113" i="6"/>
  <c r="DM573" i="34"/>
  <c r="DM558" i="34"/>
  <c r="DL184" i="34"/>
  <c r="DQ184" i="34" s="1"/>
  <c r="DL197" i="34"/>
  <c r="DQ197" i="34" s="1"/>
  <c r="DL215" i="34"/>
  <c r="DQ215" i="34" s="1"/>
  <c r="DL179" i="34"/>
  <c r="DQ179" i="34" s="1"/>
  <c r="DL205" i="34"/>
  <c r="DQ205" i="34" s="1"/>
  <c r="DL208" i="34"/>
  <c r="DQ208" i="34" s="1"/>
  <c r="DL174" i="34"/>
  <c r="DQ174" i="34" s="1"/>
  <c r="DL202" i="34"/>
  <c r="DQ202" i="34" s="1"/>
  <c r="DL186" i="34"/>
  <c r="DQ186" i="34" s="1"/>
  <c r="DL213" i="34"/>
  <c r="DQ213" i="34" s="1"/>
  <c r="DL177" i="34"/>
  <c r="DQ177" i="34" s="1"/>
  <c r="DL204" i="34"/>
  <c r="DQ204" i="34" s="1"/>
  <c r="DL189" i="34"/>
  <c r="DQ189" i="34" s="1"/>
  <c r="DL178" i="34"/>
  <c r="DQ178" i="34" s="1"/>
  <c r="DL182" i="34"/>
  <c r="DQ182" i="34" s="1"/>
  <c r="DL181" i="34"/>
  <c r="DQ181" i="34" s="1"/>
  <c r="DL217" i="34"/>
  <c r="DQ217" i="34" s="1"/>
  <c r="DL196" i="34"/>
  <c r="DQ196" i="34" s="1"/>
  <c r="DL175" i="34"/>
  <c r="DQ175" i="34" s="1"/>
  <c r="DL199" i="34"/>
  <c r="DQ199" i="34" s="1"/>
  <c r="DL203" i="34"/>
  <c r="DQ203" i="34" s="1"/>
  <c r="DL210" i="34"/>
  <c r="DQ210" i="34" s="1"/>
  <c r="DL209" i="34"/>
  <c r="DQ209" i="34" s="1"/>
  <c r="DL170" i="34"/>
  <c r="DQ170" i="34" s="1"/>
  <c r="DL212" i="34"/>
  <c r="DQ212" i="34" s="1"/>
  <c r="DL195" i="34"/>
  <c r="DQ195" i="34" s="1"/>
  <c r="DL198" i="34"/>
  <c r="DQ198" i="34" s="1"/>
  <c r="DL188" i="34"/>
  <c r="DQ188" i="34" s="1"/>
  <c r="DL206" i="34"/>
  <c r="DQ206" i="34" s="1"/>
  <c r="DL216" i="34"/>
  <c r="DQ216" i="34" s="1"/>
  <c r="DL172" i="34"/>
  <c r="DQ172" i="34" s="1"/>
  <c r="DL194" i="34"/>
  <c r="DQ194" i="34" s="1"/>
  <c r="DL185" i="34"/>
  <c r="DQ185" i="34" s="1"/>
  <c r="DL211" i="34"/>
  <c r="DQ211" i="34" s="1"/>
  <c r="DL201" i="34"/>
  <c r="DQ201" i="34" s="1"/>
  <c r="DL218" i="34"/>
  <c r="DQ218" i="34" s="1"/>
  <c r="DL171" i="34"/>
  <c r="DQ171" i="34" s="1"/>
  <c r="DL173" i="34"/>
  <c r="DQ173" i="34" s="1"/>
  <c r="DL214" i="34"/>
  <c r="DQ214" i="34" s="1"/>
  <c r="DL207" i="34"/>
  <c r="DQ207" i="34" s="1"/>
  <c r="DL187" i="34"/>
  <c r="DQ187" i="34" s="1"/>
  <c r="DL183" i="34"/>
  <c r="DQ183" i="34" s="1"/>
  <c r="DL191" i="34"/>
  <c r="DQ191" i="34" s="1"/>
  <c r="DL200" i="34"/>
  <c r="DQ200" i="34" s="1"/>
  <c r="DL176" i="34"/>
  <c r="DQ176" i="34" s="1"/>
  <c r="DL193" i="34"/>
  <c r="DQ193" i="34" s="1"/>
  <c r="DL190" i="34"/>
  <c r="DQ190" i="34" s="1"/>
  <c r="DL180" i="34"/>
  <c r="DQ180" i="34" s="1"/>
  <c r="DL192" i="34"/>
  <c r="DQ192" i="34" s="1"/>
  <c r="DN581" i="34"/>
  <c r="DK581" i="34"/>
  <c r="DN575" i="34"/>
  <c r="DK575" i="34"/>
  <c r="DK554" i="34"/>
  <c r="DN554" i="34"/>
  <c r="DO572" i="34"/>
  <c r="DO582" i="34"/>
  <c r="DL58" i="34"/>
  <c r="DQ58" i="34" s="1"/>
  <c r="DL48" i="34"/>
  <c r="DQ48" i="34" s="1"/>
  <c r="DL51" i="34"/>
  <c r="DQ51" i="34" s="1"/>
  <c r="DL52" i="34"/>
  <c r="DQ52" i="34" s="1"/>
  <c r="DL71" i="34"/>
  <c r="DQ71" i="34" s="1"/>
  <c r="DL47" i="34"/>
  <c r="DQ47" i="34" s="1"/>
  <c r="DL87" i="34"/>
  <c r="DQ87" i="34" s="1"/>
  <c r="DL81" i="34"/>
  <c r="DQ81" i="34" s="1"/>
  <c r="DL69" i="34"/>
  <c r="DQ69" i="34" s="1"/>
  <c r="DL80" i="34"/>
  <c r="DQ80" i="34" s="1"/>
  <c r="DL63" i="34"/>
  <c r="DQ63" i="34" s="1"/>
  <c r="DI207" i="2"/>
  <c r="DI178" i="2"/>
  <c r="DI184" i="2"/>
  <c r="DI199" i="2"/>
  <c r="DI176" i="2"/>
  <c r="DI188" i="2"/>
  <c r="DI171" i="2"/>
  <c r="DI197" i="2"/>
  <c r="DI185" i="2"/>
  <c r="DI174" i="2"/>
  <c r="DI172" i="2"/>
  <c r="DI531" i="2"/>
  <c r="DI505" i="2"/>
  <c r="DM119" i="2"/>
  <c r="DM124" i="2"/>
  <c r="DM129" i="2"/>
  <c r="DM118" i="2"/>
  <c r="DM121" i="2"/>
  <c r="DM116" i="2"/>
  <c r="BT108" i="2"/>
  <c r="DM122" i="2"/>
  <c r="DM120" i="2"/>
  <c r="DM106" i="2"/>
  <c r="DM153" i="2"/>
  <c r="DM112" i="2"/>
  <c r="DI467" i="2"/>
  <c r="DI456" i="2"/>
  <c r="DP590" i="2"/>
  <c r="DP574" i="2"/>
  <c r="DJ550" i="2"/>
  <c r="BU553" i="2" s="1"/>
  <c r="DJ592" i="2"/>
  <c r="X113" i="8"/>
  <c r="C63" i="11"/>
  <c r="D63" i="11" s="1"/>
  <c r="E63" i="11" s="1"/>
  <c r="AM67" i="6"/>
  <c r="AE67" i="6"/>
  <c r="DL588" i="34"/>
  <c r="DQ588" i="34" s="1"/>
  <c r="DL567" i="34"/>
  <c r="DQ567" i="34" s="1"/>
  <c r="DL590" i="34"/>
  <c r="DQ590" i="34" s="1"/>
  <c r="DL568" i="34"/>
  <c r="DQ568" i="34" s="1"/>
  <c r="BV320" i="34"/>
  <c r="BV315" i="34"/>
  <c r="BV313" i="34"/>
  <c r="BV309" i="34"/>
  <c r="BV322" i="34"/>
  <c r="BV332" i="34"/>
  <c r="DJ419" i="34"/>
  <c r="DJ420" i="34"/>
  <c r="DI420" i="34"/>
  <c r="DI419" i="34"/>
  <c r="DP575" i="34"/>
  <c r="DP570" i="34"/>
  <c r="DP551" i="34"/>
  <c r="DO125" i="2"/>
  <c r="DO122" i="2"/>
  <c r="DO133" i="2"/>
  <c r="DO127" i="2"/>
  <c r="DO110" i="2"/>
  <c r="DO134" i="2"/>
  <c r="DO145" i="2"/>
  <c r="DO144" i="2"/>
  <c r="DO135" i="2"/>
  <c r="DO146" i="2"/>
  <c r="DO124" i="2"/>
  <c r="DP215" i="2"/>
  <c r="DP209" i="2"/>
  <c r="DM435" i="2"/>
  <c r="DM429" i="2"/>
  <c r="DO595" i="2"/>
  <c r="DO592" i="2"/>
  <c r="DM572" i="2"/>
  <c r="DM574" i="2"/>
  <c r="DM586" i="2"/>
  <c r="DM584" i="2"/>
  <c r="DM567" i="2"/>
  <c r="DM593" i="2"/>
  <c r="DM562" i="2"/>
  <c r="DM554" i="2"/>
  <c r="DM565" i="2"/>
  <c r="DM561" i="2"/>
  <c r="DM590" i="2"/>
  <c r="DM580" i="2"/>
  <c r="DM488" i="34"/>
  <c r="DM533" i="34"/>
  <c r="DM517" i="34"/>
  <c r="DM499" i="34"/>
  <c r="DM516" i="34"/>
  <c r="DM491" i="34"/>
  <c r="DM524" i="34"/>
  <c r="DM522" i="34"/>
  <c r="DM496" i="34"/>
  <c r="DM498" i="34"/>
  <c r="DM489" i="34"/>
  <c r="DM531" i="34"/>
  <c r="DJ144" i="2"/>
  <c r="DJ129" i="2"/>
  <c r="DJ121" i="2"/>
  <c r="DJ143" i="2"/>
  <c r="DJ152" i="2"/>
  <c r="DJ115" i="2"/>
  <c r="DJ118" i="2"/>
  <c r="DJ134" i="2"/>
  <c r="DJ126" i="2"/>
  <c r="DJ125" i="2"/>
  <c r="DJ133" i="2"/>
  <c r="BT109" i="2"/>
  <c r="AA116" i="8"/>
  <c r="AG116" i="8" s="1"/>
  <c r="DL572" i="34"/>
  <c r="DQ572" i="34" s="1"/>
  <c r="AV194" i="8"/>
  <c r="J179" i="6"/>
  <c r="AK179" i="6" s="1"/>
  <c r="K179" i="6"/>
  <c r="K189" i="3"/>
  <c r="J189" i="3"/>
  <c r="AK189" i="3" s="1"/>
  <c r="AV193" i="8"/>
  <c r="AV207" i="8"/>
  <c r="J171" i="8"/>
  <c r="AK171" i="8" s="1"/>
  <c r="K171" i="8"/>
  <c r="J193" i="8"/>
  <c r="AK193" i="8" s="1"/>
  <c r="K193" i="8"/>
  <c r="AV187" i="8"/>
  <c r="K194" i="6"/>
  <c r="J194" i="6"/>
  <c r="AK194" i="6" s="1"/>
  <c r="K179" i="8"/>
  <c r="J179" i="8"/>
  <c r="AK179" i="8" s="1"/>
  <c r="AC115" i="6"/>
  <c r="AA172" i="6"/>
  <c r="AA115" i="6"/>
  <c r="AG115" i="6" s="1"/>
  <c r="K194" i="8"/>
  <c r="J194" i="8"/>
  <c r="AK194" i="8" s="1"/>
  <c r="AA118" i="8"/>
  <c r="AG118" i="8" s="1"/>
  <c r="AA175" i="8"/>
  <c r="AC118" i="8"/>
  <c r="J212" i="6"/>
  <c r="AK212" i="6" s="1"/>
  <c r="K212" i="6"/>
  <c r="J171" i="3"/>
  <c r="AK171" i="3" s="1"/>
  <c r="K171" i="3"/>
  <c r="K190" i="8"/>
  <c r="J190" i="8"/>
  <c r="AK190" i="8" s="1"/>
  <c r="K216" i="3"/>
  <c r="J216" i="3"/>
  <c r="AK216" i="3" s="1"/>
  <c r="J196" i="6"/>
  <c r="AK196" i="6" s="1"/>
  <c r="K196" i="6"/>
  <c r="J175" i="8"/>
  <c r="K175" i="8"/>
  <c r="AK175" i="8"/>
  <c r="AV183" i="8"/>
  <c r="Z114" i="8"/>
  <c r="AF114" i="8" s="1"/>
  <c r="O172" i="6"/>
  <c r="B63" i="43" s="1"/>
  <c r="D63" i="43" s="1"/>
  <c r="E63" i="43" s="1"/>
  <c r="H63" i="43" s="1"/>
  <c r="J63" i="43" s="1"/>
  <c r="Y115" i="6"/>
  <c r="AB115" i="6" s="1"/>
  <c r="AH115" i="6" s="1"/>
  <c r="J191" i="8"/>
  <c r="AK191" i="8" s="1"/>
  <c r="K191" i="8"/>
  <c r="K188" i="6"/>
  <c r="J188" i="6"/>
  <c r="AK188" i="6" s="1"/>
  <c r="K180" i="6"/>
  <c r="J180" i="6"/>
  <c r="AK180" i="6" s="1"/>
  <c r="O175" i="3"/>
  <c r="B11" i="43" s="1"/>
  <c r="Y118" i="3"/>
  <c r="AB118" i="3" s="1"/>
  <c r="AH118" i="3" s="1"/>
  <c r="AC114" i="3"/>
  <c r="AA171" i="3"/>
  <c r="AA114" i="3"/>
  <c r="AG114" i="3" s="1"/>
  <c r="AC118" i="3"/>
  <c r="AA118" i="3"/>
  <c r="AG118" i="3" s="1"/>
  <c r="AA175" i="3"/>
  <c r="J204" i="6"/>
  <c r="AK204" i="6" s="1"/>
  <c r="K204" i="6"/>
  <c r="J172" i="6"/>
  <c r="K172" i="6"/>
  <c r="AK172" i="6"/>
  <c r="J184" i="6"/>
  <c r="AK184" i="6" s="1"/>
  <c r="K184" i="6"/>
  <c r="Z115" i="3"/>
  <c r="AF115" i="3" s="1"/>
  <c r="AC114" i="8"/>
  <c r="AA171" i="8"/>
  <c r="AA114" i="8"/>
  <c r="AG114" i="8" s="1"/>
  <c r="AV179" i="8"/>
  <c r="AV189" i="8"/>
  <c r="J200" i="6"/>
  <c r="AK200" i="6" s="1"/>
  <c r="K200" i="6"/>
  <c r="J178" i="6"/>
  <c r="AK178" i="6" s="1"/>
  <c r="K178" i="6"/>
  <c r="AV211" i="8"/>
  <c r="Y114" i="3"/>
  <c r="AB114" i="3" s="1"/>
  <c r="AH114" i="3" s="1"/>
  <c r="O171" i="3"/>
  <c r="B7" i="43" s="1"/>
  <c r="D7" i="43" s="1"/>
  <c r="E7" i="43" s="1"/>
  <c r="H7" i="43" s="1"/>
  <c r="J7" i="43" s="1"/>
  <c r="O175" i="8"/>
  <c r="B121" i="43" s="1"/>
  <c r="D121" i="43" s="1"/>
  <c r="E121" i="43" s="1"/>
  <c r="H121" i="43" s="1"/>
  <c r="J121" i="43" s="1"/>
  <c r="Y118" i="8"/>
  <c r="AB118" i="8" s="1"/>
  <c r="AH118" i="8" s="1"/>
  <c r="AV175" i="8"/>
  <c r="Z114" i="3"/>
  <c r="AF114" i="3" s="1"/>
  <c r="L115" i="6"/>
  <c r="M115" i="6"/>
  <c r="N115" i="6"/>
  <c r="L118" i="8"/>
  <c r="N118" i="8"/>
  <c r="M118" i="8"/>
  <c r="L118" i="3"/>
  <c r="J187" i="8"/>
  <c r="AK187" i="8" s="1"/>
  <c r="K187" i="8"/>
  <c r="AV191" i="8"/>
  <c r="AV195" i="8"/>
  <c r="K195" i="6"/>
  <c r="J195" i="6"/>
  <c r="AK195" i="6" s="1"/>
  <c r="AV190" i="8"/>
  <c r="J210" i="6"/>
  <c r="K210" i="6"/>
  <c r="AK210" i="6"/>
  <c r="M114" i="8"/>
  <c r="L114" i="8"/>
  <c r="AV215" i="8"/>
  <c r="K211" i="6"/>
  <c r="J211" i="6"/>
  <c r="AK211" i="6" s="1"/>
  <c r="J183" i="8"/>
  <c r="AK183" i="8" s="1"/>
  <c r="K183" i="8"/>
  <c r="J215" i="8"/>
  <c r="AK215" i="8" s="1"/>
  <c r="K215" i="8"/>
  <c r="L114" i="3"/>
  <c r="N114" i="3"/>
  <c r="M114" i="3"/>
  <c r="J195" i="8"/>
  <c r="AK195" i="8" s="1"/>
  <c r="K195" i="8"/>
  <c r="J208" i="3"/>
  <c r="AK208" i="3" s="1"/>
  <c r="K208" i="3"/>
  <c r="J184" i="3"/>
  <c r="AK184" i="3" s="1"/>
  <c r="K184" i="3"/>
  <c r="J207" i="8"/>
  <c r="AK207" i="8" s="1"/>
  <c r="K207" i="8"/>
  <c r="J200" i="3"/>
  <c r="AK200" i="3" s="1"/>
  <c r="K200" i="3"/>
  <c r="J180" i="3"/>
  <c r="AK180" i="3" s="1"/>
  <c r="K180" i="3"/>
  <c r="Y114" i="8"/>
  <c r="AB114" i="8" s="1"/>
  <c r="AH114" i="8" s="1"/>
  <c r="O171" i="8"/>
  <c r="B117" i="43" s="1"/>
  <c r="D117" i="43" s="1"/>
  <c r="E117" i="43" s="1"/>
  <c r="H117" i="43" s="1"/>
  <c r="J117" i="43" s="1"/>
  <c r="AV171" i="8"/>
  <c r="K189" i="8"/>
  <c r="J189" i="8"/>
  <c r="AK189" i="8" s="1"/>
  <c r="J175" i="3"/>
  <c r="AK175" i="3" s="1"/>
  <c r="K175" i="3"/>
  <c r="K211" i="8"/>
  <c r="J211" i="8"/>
  <c r="AK211" i="8" s="1"/>
  <c r="N117" i="3"/>
  <c r="M117" i="3"/>
  <c r="J176" i="3"/>
  <c r="AK176" i="3" s="1"/>
  <c r="K176" i="3"/>
  <c r="AV208" i="8"/>
  <c r="J183" i="3"/>
  <c r="AK183" i="3" s="1"/>
  <c r="K183" i="3"/>
  <c r="O176" i="3"/>
  <c r="B12" i="43" s="1"/>
  <c r="Y119" i="3"/>
  <c r="AB119" i="3" s="1"/>
  <c r="AH119" i="3" s="1"/>
  <c r="K187" i="3"/>
  <c r="J187" i="3"/>
  <c r="AK187" i="3" s="1"/>
  <c r="Y117" i="3"/>
  <c r="AB117" i="3" s="1"/>
  <c r="AH117" i="3" s="1"/>
  <c r="O174" i="3"/>
  <c r="B10" i="43" s="1"/>
  <c r="J200" i="8"/>
  <c r="AK200" i="8" s="1"/>
  <c r="K200" i="8"/>
  <c r="J213" i="6"/>
  <c r="AK213" i="6" s="1"/>
  <c r="K213" i="6"/>
  <c r="J209" i="6"/>
  <c r="AK209" i="6" s="1"/>
  <c r="K209" i="6"/>
  <c r="J209" i="3"/>
  <c r="AK209" i="3" s="1"/>
  <c r="K209" i="3"/>
  <c r="J197" i="3"/>
  <c r="AK197" i="3" s="1"/>
  <c r="K197" i="3"/>
  <c r="K178" i="3"/>
  <c r="J178" i="3"/>
  <c r="AK178" i="3" s="1"/>
  <c r="AA116" i="6"/>
  <c r="AG116" i="6" s="1"/>
  <c r="AC116" i="6"/>
  <c r="AA173" i="6"/>
  <c r="N116" i="6"/>
  <c r="M116" i="6"/>
  <c r="K214" i="3"/>
  <c r="J214" i="3"/>
  <c r="AK214" i="3" s="1"/>
  <c r="J201" i="6"/>
  <c r="AK201" i="6" s="1"/>
  <c r="K201" i="6"/>
  <c r="AV184" i="8"/>
  <c r="J174" i="3"/>
  <c r="AK174" i="3" s="1"/>
  <c r="K174" i="3"/>
  <c r="J206" i="3"/>
  <c r="AK206" i="3" s="1"/>
  <c r="K206" i="3"/>
  <c r="M115" i="8"/>
  <c r="L115" i="8"/>
  <c r="K188" i="3"/>
  <c r="J188" i="3"/>
  <c r="AK188" i="3" s="1"/>
  <c r="K213" i="3"/>
  <c r="J213" i="3"/>
  <c r="AK213" i="3" s="1"/>
  <c r="Y115" i="3"/>
  <c r="AB115" i="3" s="1"/>
  <c r="AH115" i="3" s="1"/>
  <c r="O172" i="3"/>
  <c r="B8" i="43" s="1"/>
  <c r="K208" i="8"/>
  <c r="J208" i="8"/>
  <c r="AK208" i="8" s="1"/>
  <c r="J205" i="6"/>
  <c r="AK205" i="6" s="1"/>
  <c r="K205" i="6"/>
  <c r="J172" i="8"/>
  <c r="AK172" i="8" s="1"/>
  <c r="K172" i="8"/>
  <c r="L117" i="3"/>
  <c r="AV216" i="8"/>
  <c r="L115" i="3"/>
  <c r="M115" i="3"/>
  <c r="N115" i="3"/>
  <c r="J173" i="6"/>
  <c r="AK173" i="6" s="1"/>
  <c r="K173" i="6"/>
  <c r="AV200" i="8"/>
  <c r="J193" i="6"/>
  <c r="AK193" i="6" s="1"/>
  <c r="K193" i="6"/>
  <c r="J181" i="6"/>
  <c r="AK181" i="6" s="1"/>
  <c r="K181" i="6"/>
  <c r="N119" i="8"/>
  <c r="M119" i="8"/>
  <c r="L119" i="8"/>
  <c r="Z116" i="6"/>
  <c r="AF116" i="6" s="1"/>
  <c r="O176" i="8"/>
  <c r="B122" i="43" s="1"/>
  <c r="D122" i="43" s="1"/>
  <c r="E122" i="43" s="1"/>
  <c r="H122" i="43" s="1"/>
  <c r="J122" i="43" s="1"/>
  <c r="Y119" i="8"/>
  <c r="AB119" i="8" s="1"/>
  <c r="AH119" i="8" s="1"/>
  <c r="AV176" i="8"/>
  <c r="AA115" i="8"/>
  <c r="AG115" i="8" s="1"/>
  <c r="AC115" i="8"/>
  <c r="AA172" i="8"/>
  <c r="O172" i="8"/>
  <c r="B118" i="43" s="1"/>
  <c r="D118" i="43" s="1"/>
  <c r="E118" i="43" s="1"/>
  <c r="H118" i="43" s="1"/>
  <c r="J118" i="43" s="1"/>
  <c r="AV172" i="8"/>
  <c r="Y115" i="8"/>
  <c r="AB115" i="8" s="1"/>
  <c r="AH115" i="8" s="1"/>
  <c r="J172" i="3"/>
  <c r="AK172" i="3" s="1"/>
  <c r="K172" i="3"/>
  <c r="J176" i="8"/>
  <c r="AK176" i="8" s="1"/>
  <c r="K176" i="8"/>
  <c r="O173" i="6"/>
  <c r="B64" i="43" s="1"/>
  <c r="Y116" i="6"/>
  <c r="AB116" i="6" s="1"/>
  <c r="AH116" i="6" s="1"/>
  <c r="K190" i="3"/>
  <c r="J190" i="3"/>
  <c r="AK190" i="3" s="1"/>
  <c r="J192" i="8"/>
  <c r="AK192" i="8" s="1"/>
  <c r="K192" i="8"/>
  <c r="K197" i="6"/>
  <c r="J197" i="6"/>
  <c r="AK197" i="6" s="1"/>
  <c r="K210" i="3"/>
  <c r="J210" i="3"/>
  <c r="AK210" i="3" s="1"/>
  <c r="M119" i="3"/>
  <c r="L119" i="3"/>
  <c r="J216" i="8"/>
  <c r="AK216" i="8" s="1"/>
  <c r="K216" i="8"/>
  <c r="J177" i="6"/>
  <c r="AK177" i="6" s="1"/>
  <c r="K177" i="6"/>
  <c r="AV192" i="8"/>
  <c r="J185" i="3"/>
  <c r="AK185" i="3" s="1"/>
  <c r="K185" i="3"/>
  <c r="AA119" i="8"/>
  <c r="AG119" i="8" s="1"/>
  <c r="AA176" i="8"/>
  <c r="AC119" i="8"/>
  <c r="J189" i="6"/>
  <c r="AK189" i="6" s="1"/>
  <c r="K189" i="6"/>
  <c r="L116" i="6"/>
  <c r="AA117" i="3"/>
  <c r="AG117" i="3" s="1"/>
  <c r="AC117" i="3"/>
  <c r="AA174" i="3"/>
  <c r="Z117" i="3"/>
  <c r="AF117" i="3" s="1"/>
  <c r="K185" i="6"/>
  <c r="J185" i="6"/>
  <c r="AK185" i="6" s="1"/>
  <c r="K202" i="3"/>
  <c r="J202" i="3"/>
  <c r="AK202" i="3" s="1"/>
  <c r="K205" i="3"/>
  <c r="J205" i="3"/>
  <c r="AK205" i="3" s="1"/>
  <c r="AA172" i="3"/>
  <c r="AC115" i="3"/>
  <c r="AA115" i="3"/>
  <c r="AG115" i="3" s="1"/>
  <c r="N115" i="8"/>
  <c r="J181" i="3"/>
  <c r="AK181" i="3" s="1"/>
  <c r="K181" i="3"/>
  <c r="J184" i="8"/>
  <c r="AK184" i="8" s="1"/>
  <c r="K184" i="8"/>
  <c r="K201" i="3"/>
  <c r="J201" i="3"/>
  <c r="AK201" i="3" s="1"/>
  <c r="AC119" i="3"/>
  <c r="AA176" i="3"/>
  <c r="AA119" i="3"/>
  <c r="AG119" i="3" s="1"/>
  <c r="Z119" i="8"/>
  <c r="AF119" i="8" s="1"/>
  <c r="J203" i="3"/>
  <c r="AK203" i="3" s="1"/>
  <c r="K203" i="3"/>
  <c r="K192" i="3"/>
  <c r="J192" i="3"/>
  <c r="AK192" i="3" s="1"/>
  <c r="J196" i="3"/>
  <c r="AK196" i="3" s="1"/>
  <c r="K196" i="3"/>
  <c r="K207" i="3"/>
  <c r="J207" i="3"/>
  <c r="AK207" i="3" s="1"/>
  <c r="J179" i="3"/>
  <c r="AK179" i="3" s="1"/>
  <c r="K179" i="3"/>
  <c r="K215" i="3"/>
  <c r="J215" i="3"/>
  <c r="AK215" i="3" s="1"/>
  <c r="K199" i="3"/>
  <c r="J199" i="3"/>
  <c r="AK199" i="3" s="1"/>
  <c r="J191" i="3"/>
  <c r="AK191" i="3" s="1"/>
  <c r="K191" i="3"/>
  <c r="K198" i="3"/>
  <c r="J198" i="3"/>
  <c r="AK198" i="3" s="1"/>
  <c r="K194" i="3"/>
  <c r="J194" i="3"/>
  <c r="AK194" i="3" s="1"/>
  <c r="J170" i="3"/>
  <c r="AK170" i="3" s="1"/>
  <c r="K170" i="3"/>
  <c r="O170" i="3"/>
  <c r="Y113" i="3"/>
  <c r="K211" i="3"/>
  <c r="J211" i="3"/>
  <c r="AK211" i="3" s="1"/>
  <c r="CK298" i="37"/>
  <c r="CL423" i="34"/>
  <c r="CS234" i="34"/>
  <c r="CS618" i="37"/>
  <c r="CR617" i="37"/>
  <c r="CI552" i="37"/>
  <c r="CB108" i="37"/>
  <c r="CS424" i="37"/>
  <c r="CJ108" i="37"/>
  <c r="CJ362" i="37"/>
  <c r="CJ618" i="37"/>
  <c r="CB488" i="37"/>
  <c r="CJ488" i="37"/>
  <c r="CB424" i="37"/>
  <c r="CB362" i="37"/>
  <c r="CC489" i="37"/>
  <c r="CI489" i="37"/>
  <c r="CS297" i="34"/>
  <c r="CB297" i="34"/>
  <c r="BU22" i="31"/>
  <c r="CJ109" i="37"/>
  <c r="CC236" i="37"/>
  <c r="CJ552" i="37"/>
  <c r="CR299" i="37"/>
  <c r="CC488" i="37"/>
  <c r="CL299" i="37"/>
  <c r="CJ236" i="37"/>
  <c r="CA618" i="37"/>
  <c r="CK299" i="37"/>
  <c r="CB425" i="37"/>
  <c r="CC298" i="37"/>
  <c r="CC423" i="34"/>
  <c r="CJ235" i="37"/>
  <c r="CB618" i="37"/>
  <c r="CI299" i="37"/>
  <c r="CK236" i="37"/>
  <c r="CK553" i="37"/>
  <c r="CI488" i="37"/>
  <c r="CC48" i="37"/>
  <c r="CJ298" i="37"/>
  <c r="CA173" i="37"/>
  <c r="CL234" i="34"/>
  <c r="BF22" i="31"/>
  <c r="CR361" i="37"/>
  <c r="CB172" i="37"/>
  <c r="CR235" i="37"/>
  <c r="BV22" i="31"/>
  <c r="CA172" i="37"/>
  <c r="CL425" i="37"/>
  <c r="CK234" i="34"/>
  <c r="CK172" i="37"/>
  <c r="CJ424" i="37"/>
  <c r="CA424" i="37"/>
  <c r="CR424" i="37"/>
  <c r="BD22" i="31"/>
  <c r="CR173" i="37"/>
  <c r="CC235" i="37"/>
  <c r="CB617" i="37"/>
  <c r="CI108" i="37"/>
  <c r="CI109" i="37"/>
  <c r="CK489" i="37"/>
  <c r="CR618" i="37"/>
  <c r="CJ48" i="37"/>
  <c r="CB234" i="34"/>
  <c r="CA299" i="37"/>
  <c r="CK552" i="37"/>
  <c r="CI173" i="37"/>
  <c r="CB361" i="37"/>
  <c r="BN22" i="31"/>
  <c r="CR423" i="34"/>
  <c r="AX22" i="31"/>
  <c r="CB236" i="37"/>
  <c r="BE22" i="31"/>
  <c r="CS109" i="37"/>
  <c r="CC424" i="37"/>
  <c r="CR298" i="37"/>
  <c r="CA362" i="37"/>
  <c r="CC425" i="37"/>
  <c r="CR488" i="37"/>
  <c r="CK617" i="37"/>
  <c r="CC618" i="37"/>
  <c r="CA489" i="37"/>
  <c r="CS553" i="37"/>
  <c r="CK362" i="37"/>
  <c r="CC172" i="37"/>
  <c r="CJ297" i="34"/>
  <c r="CR234" i="34"/>
  <c r="CS617" i="37"/>
  <c r="CJ361" i="37"/>
  <c r="CI423" i="34"/>
  <c r="AW22" i="31"/>
  <c r="CB299" i="37"/>
  <c r="CI234" i="34"/>
  <c r="CI172" i="37"/>
  <c r="CI553" i="37"/>
  <c r="CL173" i="37"/>
  <c r="CB489" i="37"/>
  <c r="CI361" i="37"/>
  <c r="CR109" i="37"/>
  <c r="CC173" i="37"/>
  <c r="CR553" i="37"/>
  <c r="CA235" i="37"/>
  <c r="CI362" i="37"/>
  <c r="CR172" i="37"/>
  <c r="CL235" i="37"/>
  <c r="CB553" i="37"/>
  <c r="CA298" i="37"/>
  <c r="CI425" i="37"/>
  <c r="CJ425" i="37"/>
  <c r="CL362" i="37"/>
  <c r="CK108" i="37"/>
  <c r="BG22" i="31"/>
  <c r="CS361" i="37"/>
  <c r="CK297" i="34"/>
  <c r="BM22" i="31"/>
  <c r="CS108" i="37"/>
  <c r="CI617" i="37"/>
  <c r="CB235" i="37"/>
  <c r="CA297" i="34"/>
  <c r="CJ423" i="34"/>
  <c r="CR489" i="37"/>
  <c r="CK618" i="37"/>
  <c r="CI236" i="37"/>
  <c r="CI297" i="34"/>
  <c r="CJ173" i="37"/>
  <c r="CK423" i="34"/>
  <c r="CS362" i="37"/>
  <c r="CI424" i="37"/>
  <c r="CC299" i="37"/>
  <c r="CL488" i="37"/>
  <c r="CL424" i="37"/>
  <c r="CS173" i="37"/>
  <c r="CA236" i="37"/>
  <c r="CA234" i="34"/>
  <c r="CS172" i="37"/>
  <c r="CL297" i="34"/>
  <c r="CC234" i="34"/>
  <c r="CB109" i="37"/>
  <c r="CC109" i="37"/>
  <c r="CA552" i="37"/>
  <c r="CC553" i="37"/>
  <c r="CC552" i="37"/>
  <c r="CR48" i="37"/>
  <c r="CA108" i="37"/>
  <c r="CL489" i="37"/>
  <c r="CA488" i="37"/>
  <c r="CJ489" i="37"/>
  <c r="CS488" i="37"/>
  <c r="CL109" i="37"/>
  <c r="CL617" i="37"/>
  <c r="CB173" i="37"/>
  <c r="CB552" i="37"/>
  <c r="CS299" i="37"/>
  <c r="CS425" i="37"/>
  <c r="CA553" i="37"/>
  <c r="CC297" i="34"/>
  <c r="CL552" i="37"/>
  <c r="CI298" i="37"/>
  <c r="CS489" i="37"/>
  <c r="CJ172" i="37"/>
  <c r="CL172" i="37"/>
  <c r="CR108" i="37"/>
  <c r="CJ234" i="34"/>
  <c r="CL298" i="37"/>
  <c r="CA425" i="37"/>
  <c r="CS236" i="37"/>
  <c r="CC362" i="37"/>
  <c r="CS235" i="37"/>
  <c r="CK361" i="37"/>
  <c r="CK173" i="37"/>
  <c r="CR297" i="34"/>
  <c r="CA361" i="37"/>
  <c r="CI235" i="37"/>
  <c r="CC617" i="37"/>
  <c r="CK488" i="37"/>
  <c r="CA423" i="34"/>
  <c r="CL618" i="37"/>
  <c r="CS423" i="34"/>
  <c r="CS298" i="37"/>
  <c r="CR236" i="37"/>
  <c r="CL236" i="37"/>
  <c r="CI618" i="37"/>
  <c r="CR425" i="37"/>
  <c r="CR552" i="37"/>
  <c r="CR362" i="37"/>
  <c r="CC361" i="37"/>
  <c r="CB423" i="34"/>
  <c r="CJ299" i="37"/>
  <c r="CA617" i="37"/>
  <c r="CK424" i="37"/>
  <c r="CJ617" i="37"/>
  <c r="CA109" i="37"/>
  <c r="CJ553" i="37"/>
  <c r="CB298" i="37"/>
  <c r="CK109" i="37"/>
  <c r="CK425" i="37"/>
  <c r="CK235" i="37"/>
  <c r="CS552" i="37"/>
  <c r="CL361" i="37"/>
  <c r="CL553" i="37"/>
  <c r="AV22" i="31"/>
  <c r="CL108" i="37"/>
  <c r="CC108" i="37"/>
  <c r="DM167" i="34" l="1"/>
  <c r="Z116" i="38"/>
  <c r="AF116" i="38" s="1"/>
  <c r="AI119" i="8"/>
  <c r="T73" i="4" s="1"/>
  <c r="AI117" i="8"/>
  <c r="T71" i="4" s="1"/>
  <c r="D120" i="43"/>
  <c r="E120" i="43" s="1"/>
  <c r="H120" i="43" s="1"/>
  <c r="J120" i="43" s="1"/>
  <c r="S174" i="40"/>
  <c r="T174" i="40" s="1"/>
  <c r="S174" i="8"/>
  <c r="T174" i="8" s="1"/>
  <c r="H120" i="36"/>
  <c r="D64" i="43"/>
  <c r="E64" i="43" s="1"/>
  <c r="H64" i="43" s="1"/>
  <c r="J64" i="43" s="1"/>
  <c r="D62" i="43"/>
  <c r="E62" i="43" s="1"/>
  <c r="H62" i="43" s="1"/>
  <c r="J62" i="43" s="1"/>
  <c r="M116" i="38"/>
  <c r="N116" i="38"/>
  <c r="L116" i="38"/>
  <c r="N116" i="3"/>
  <c r="M116" i="3"/>
  <c r="D8" i="43"/>
  <c r="E8" i="43" s="1"/>
  <c r="H8" i="43" s="1"/>
  <c r="J8" i="43" s="1"/>
  <c r="D10" i="43"/>
  <c r="E10" i="43" s="1"/>
  <c r="H10" i="43" s="1"/>
  <c r="J10" i="43" s="1"/>
  <c r="AA116" i="38"/>
  <c r="AG116" i="38" s="1"/>
  <c r="AB116" i="38"/>
  <c r="AH116" i="38" s="1"/>
  <c r="AC116" i="38"/>
  <c r="AA173" i="38"/>
  <c r="AA116" i="3"/>
  <c r="AG116" i="3" s="1"/>
  <c r="AI116" i="3" s="1"/>
  <c r="E70" i="4" s="1"/>
  <c r="AC116" i="3"/>
  <c r="AA173" i="3"/>
  <c r="D12" i="43"/>
  <c r="E12" i="43" s="1"/>
  <c r="H12" i="43" s="1"/>
  <c r="J12" i="43" s="1"/>
  <c r="D11" i="43"/>
  <c r="E11" i="43"/>
  <c r="H11" i="43" s="1"/>
  <c r="J11" i="43" s="1"/>
  <c r="AI119" i="3"/>
  <c r="E73" i="4" s="1"/>
  <c r="G73" i="4" s="1"/>
  <c r="AE119" i="3" s="1"/>
  <c r="Z116" i="39"/>
  <c r="AF116" i="39" s="1"/>
  <c r="L119" i="38"/>
  <c r="G120" i="8"/>
  <c r="G120" i="40"/>
  <c r="AH116" i="40"/>
  <c r="M119" i="40"/>
  <c r="N119" i="40"/>
  <c r="L115" i="40"/>
  <c r="N115" i="40"/>
  <c r="M115" i="40"/>
  <c r="Z115" i="40"/>
  <c r="L114" i="40"/>
  <c r="N114" i="40"/>
  <c r="M114" i="40"/>
  <c r="AA118" i="40"/>
  <c r="AM175" i="40"/>
  <c r="AN175" i="40" s="1"/>
  <c r="Z118" i="40"/>
  <c r="AM176" i="40"/>
  <c r="AN176" i="40" s="1"/>
  <c r="AA119" i="40"/>
  <c r="AF114" i="40"/>
  <c r="AC114" i="40"/>
  <c r="AA171" i="40"/>
  <c r="AB114" i="40"/>
  <c r="AA114" i="40"/>
  <c r="Z119" i="40"/>
  <c r="AA115" i="40"/>
  <c r="AC115" i="40"/>
  <c r="AA172" i="40"/>
  <c r="AB115" i="40"/>
  <c r="AC170" i="40"/>
  <c r="AU170" i="40" s="1"/>
  <c r="H113" i="40"/>
  <c r="X113" i="40"/>
  <c r="V113" i="40"/>
  <c r="K113" i="40"/>
  <c r="M113" i="40" s="1"/>
  <c r="AA116" i="40"/>
  <c r="AM173" i="40"/>
  <c r="AN173" i="40" s="1"/>
  <c r="AC119" i="40"/>
  <c r="AA176" i="40"/>
  <c r="AB119" i="40"/>
  <c r="AC118" i="40"/>
  <c r="AA175" i="40"/>
  <c r="AB118" i="40"/>
  <c r="AA113" i="39"/>
  <c r="AM170" i="39"/>
  <c r="AN170" i="39" s="1"/>
  <c r="AC176" i="39"/>
  <c r="AU176" i="39" s="1"/>
  <c r="H119" i="39"/>
  <c r="X119" i="39"/>
  <c r="K119" i="39"/>
  <c r="M119" i="39" s="1"/>
  <c r="V119" i="39"/>
  <c r="AA174" i="39"/>
  <c r="AC117" i="39"/>
  <c r="AB117" i="39"/>
  <c r="M116" i="39"/>
  <c r="N116" i="39"/>
  <c r="AA117" i="39"/>
  <c r="AG117" i="39" s="1"/>
  <c r="AM174" i="39"/>
  <c r="AN174" i="39" s="1"/>
  <c r="AG118" i="39"/>
  <c r="AA172" i="39"/>
  <c r="AC115" i="39"/>
  <c r="AB115" i="39"/>
  <c r="AA115" i="39"/>
  <c r="AM172" i="39"/>
  <c r="AN172" i="39" s="1"/>
  <c r="AC114" i="39"/>
  <c r="AA171" i="39"/>
  <c r="AB114" i="39"/>
  <c r="AH118" i="39"/>
  <c r="Z115" i="39"/>
  <c r="AC113" i="39"/>
  <c r="AA170" i="39"/>
  <c r="AB113" i="39"/>
  <c r="Z113" i="39"/>
  <c r="N114" i="39"/>
  <c r="M114" i="39"/>
  <c r="L116" i="39"/>
  <c r="Z117" i="39"/>
  <c r="AA114" i="39"/>
  <c r="G120" i="6"/>
  <c r="G120" i="39"/>
  <c r="L117" i="39"/>
  <c r="N117" i="39"/>
  <c r="L115" i="39"/>
  <c r="N115" i="39"/>
  <c r="M113" i="39"/>
  <c r="N113" i="39"/>
  <c r="L113" i="39"/>
  <c r="AF118" i="39"/>
  <c r="Z114" i="39"/>
  <c r="AC116" i="39"/>
  <c r="AA173" i="39"/>
  <c r="AB116" i="39"/>
  <c r="AA116" i="39"/>
  <c r="M117" i="39"/>
  <c r="AI115" i="3"/>
  <c r="E69" i="4" s="1"/>
  <c r="G69" i="4" s="1"/>
  <c r="AE115" i="39" s="1"/>
  <c r="AI118" i="3"/>
  <c r="E72" i="4" s="1"/>
  <c r="G72" i="4" s="1"/>
  <c r="AE118" i="39" s="1"/>
  <c r="AY175" i="39" s="1"/>
  <c r="AA170" i="38"/>
  <c r="AC113" i="38"/>
  <c r="AB113" i="38"/>
  <c r="G120" i="3"/>
  <c r="G120" i="38"/>
  <c r="AA117" i="38"/>
  <c r="AM174" i="38"/>
  <c r="AN174" i="38" s="1"/>
  <c r="L117" i="38"/>
  <c r="M119" i="38"/>
  <c r="AC114" i="38"/>
  <c r="AA171" i="38"/>
  <c r="AB114" i="38"/>
  <c r="Z114" i="38"/>
  <c r="Z115" i="38"/>
  <c r="AF115" i="38" s="1"/>
  <c r="L118" i="38"/>
  <c r="N118" i="38"/>
  <c r="M118" i="38"/>
  <c r="V173" i="38"/>
  <c r="AA119" i="38"/>
  <c r="AG119" i="38" s="1"/>
  <c r="AM176" i="38"/>
  <c r="AN176" i="38" s="1"/>
  <c r="L114" i="38"/>
  <c r="N114" i="38"/>
  <c r="N115" i="38"/>
  <c r="M115" i="38"/>
  <c r="AA114" i="38"/>
  <c r="AM171" i="38"/>
  <c r="AN171" i="38" s="1"/>
  <c r="AC170" i="38"/>
  <c r="AU170" i="38" s="1"/>
  <c r="X113" i="38"/>
  <c r="H113" i="38"/>
  <c r="AC119" i="38"/>
  <c r="AA176" i="38"/>
  <c r="AB119" i="38"/>
  <c r="Z119" i="38"/>
  <c r="AA174" i="38"/>
  <c r="AC117" i="38"/>
  <c r="AB117" i="38"/>
  <c r="Z118" i="38"/>
  <c r="K113" i="3"/>
  <c r="V113" i="3"/>
  <c r="AB113" i="3" s="1"/>
  <c r="AH113" i="3" s="1"/>
  <c r="Z117" i="38"/>
  <c r="AA172" i="38"/>
  <c r="AC115" i="38"/>
  <c r="AB115" i="38"/>
  <c r="AA115" i="38"/>
  <c r="AC118" i="38"/>
  <c r="AA175" i="38"/>
  <c r="AB118" i="38"/>
  <c r="AA118" i="38"/>
  <c r="K113" i="38"/>
  <c r="Z113" i="38"/>
  <c r="AF113" i="38" s="1"/>
  <c r="CV22" i="31"/>
  <c r="DJ62" i="34"/>
  <c r="DJ47" i="34"/>
  <c r="DJ78" i="34"/>
  <c r="DJ75" i="34"/>
  <c r="DJ59" i="34"/>
  <c r="DJ92" i="34"/>
  <c r="DP75" i="34"/>
  <c r="DJ69" i="34"/>
  <c r="DJ51" i="34"/>
  <c r="DJ85" i="34"/>
  <c r="DJ93" i="34"/>
  <c r="DJ72" i="34"/>
  <c r="DJ87" i="34"/>
  <c r="DJ53" i="34"/>
  <c r="DJ65" i="34"/>
  <c r="DJ48" i="34"/>
  <c r="DJ83" i="34"/>
  <c r="DJ68" i="34"/>
  <c r="DJ81" i="34"/>
  <c r="DJ89" i="34"/>
  <c r="DJ71" i="34"/>
  <c r="BT49" i="34"/>
  <c r="DJ90" i="34"/>
  <c r="DJ74" i="34"/>
  <c r="DJ58" i="34"/>
  <c r="DJ55" i="34"/>
  <c r="DJ77" i="34"/>
  <c r="DJ61" i="34"/>
  <c r="DJ80" i="34"/>
  <c r="DJ88" i="34"/>
  <c r="DJ64" i="34"/>
  <c r="DJ50" i="34"/>
  <c r="DJ52" i="34"/>
  <c r="DJ67" i="34"/>
  <c r="DJ94" i="34"/>
  <c r="DJ56" i="34"/>
  <c r="DJ70" i="34"/>
  <c r="DJ82" i="34"/>
  <c r="DJ84" i="34"/>
  <c r="DJ73" i="34"/>
  <c r="DJ57" i="34"/>
  <c r="DJ46" i="34"/>
  <c r="DJ76" i="34"/>
  <c r="DJ60" i="34"/>
  <c r="DJ54" i="34"/>
  <c r="DJ79" i="34"/>
  <c r="DJ63" i="34"/>
  <c r="DJ86" i="34"/>
  <c r="DJ91" i="34"/>
  <c r="DJ66" i="34"/>
  <c r="DJ49" i="34"/>
  <c r="CR54" i="37"/>
  <c r="CR52" i="37"/>
  <c r="CR63" i="37"/>
  <c r="CR71" i="37"/>
  <c r="CR79" i="37"/>
  <c r="CR87" i="37"/>
  <c r="CR64" i="37"/>
  <c r="CR72" i="37"/>
  <c r="CR80" i="37"/>
  <c r="CR88" i="37"/>
  <c r="CR94" i="37"/>
  <c r="CR96" i="37"/>
  <c r="CR57" i="37"/>
  <c r="CR65" i="37"/>
  <c r="CR73" i="37"/>
  <c r="CR81" i="37"/>
  <c r="CR89" i="37"/>
  <c r="CR58" i="37"/>
  <c r="CR62" i="37"/>
  <c r="CR66" i="37"/>
  <c r="CR70" i="37"/>
  <c r="CR74" i="37"/>
  <c r="CR78" i="37"/>
  <c r="CR82" i="37"/>
  <c r="CR86" i="37"/>
  <c r="CR90" i="37"/>
  <c r="CR50" i="37"/>
  <c r="CR53" i="37"/>
  <c r="CR93" i="37"/>
  <c r="CR56" i="37"/>
  <c r="CR95" i="37"/>
  <c r="CR59" i="37"/>
  <c r="CR67" i="37"/>
  <c r="CR75" i="37"/>
  <c r="CR83" i="37"/>
  <c r="CR91" i="37"/>
  <c r="CR60" i="37"/>
  <c r="CR68" i="37"/>
  <c r="CR76" i="37"/>
  <c r="CR84" i="37"/>
  <c r="CR92" i="37"/>
  <c r="CR51" i="37"/>
  <c r="CR55" i="37"/>
  <c r="CR61" i="37"/>
  <c r="CR69" i="37"/>
  <c r="CR77" i="37"/>
  <c r="CR85" i="37"/>
  <c r="CJ363" i="37"/>
  <c r="CJ409" i="37"/>
  <c r="CJ402" i="37"/>
  <c r="CJ398" i="37"/>
  <c r="CJ394" i="37"/>
  <c r="CJ390" i="37"/>
  <c r="CJ386" i="37"/>
  <c r="CJ364" i="37"/>
  <c r="CJ366" i="37"/>
  <c r="CJ367" i="37"/>
  <c r="CJ368" i="37"/>
  <c r="EB364" i="37"/>
  <c r="CJ405" i="37"/>
  <c r="CJ401" i="37"/>
  <c r="CJ397" i="37"/>
  <c r="CJ393" i="37"/>
  <c r="CJ389" i="37"/>
  <c r="CJ385" i="37"/>
  <c r="CJ406" i="37"/>
  <c r="CJ370" i="37"/>
  <c r="CJ365" i="37"/>
  <c r="CJ369" i="37"/>
  <c r="CJ377" i="37"/>
  <c r="CJ378" i="37"/>
  <c r="CJ379" i="37"/>
  <c r="CJ380" i="37"/>
  <c r="CJ381" i="37"/>
  <c r="CJ382" i="37"/>
  <c r="CJ407" i="37"/>
  <c r="CJ404" i="37"/>
  <c r="CJ400" i="37"/>
  <c r="CJ396" i="37"/>
  <c r="CJ392" i="37"/>
  <c r="CJ388" i="37"/>
  <c r="CJ375" i="37"/>
  <c r="CJ384" i="37"/>
  <c r="CJ383" i="37"/>
  <c r="CJ371" i="37"/>
  <c r="CJ372" i="37"/>
  <c r="CJ373" i="37"/>
  <c r="CJ374" i="37"/>
  <c r="CJ403" i="37"/>
  <c r="CJ399" i="37"/>
  <c r="CJ395" i="37"/>
  <c r="CJ391" i="37"/>
  <c r="CJ387" i="37"/>
  <c r="CJ408" i="37"/>
  <c r="CJ376" i="37"/>
  <c r="CS302" i="37"/>
  <c r="CS306" i="37"/>
  <c r="CS303" i="37"/>
  <c r="CS312" i="37"/>
  <c r="CS301" i="37"/>
  <c r="CS339" i="37"/>
  <c r="CS335" i="37"/>
  <c r="CS331" i="37"/>
  <c r="CS327" i="37"/>
  <c r="CS323" i="37"/>
  <c r="CS319" i="37"/>
  <c r="CS315" i="37"/>
  <c r="CS309" i="37"/>
  <c r="CS345" i="37"/>
  <c r="CS313" i="37"/>
  <c r="CS307" i="37"/>
  <c r="CS342" i="37"/>
  <c r="CS338" i="37"/>
  <c r="CS334" i="37"/>
  <c r="CS330" i="37"/>
  <c r="CS326" i="37"/>
  <c r="CS322" i="37"/>
  <c r="CS318" i="37"/>
  <c r="CS308" i="37"/>
  <c r="CS343" i="37"/>
  <c r="CS344" i="37"/>
  <c r="CS341" i="37"/>
  <c r="CS337" i="37"/>
  <c r="CS333" i="37"/>
  <c r="CS329" i="37"/>
  <c r="CS325" i="37"/>
  <c r="CS321" i="37"/>
  <c r="CS317" i="37"/>
  <c r="CS311" i="37"/>
  <c r="CS314" i="37"/>
  <c r="CS300" i="37"/>
  <c r="CS305" i="37"/>
  <c r="CS340" i="37"/>
  <c r="CS336" i="37"/>
  <c r="CS332" i="37"/>
  <c r="CS328" i="37"/>
  <c r="CS324" i="37"/>
  <c r="CS320" i="37"/>
  <c r="CS316" i="37"/>
  <c r="CS310" i="37"/>
  <c r="CS346" i="37"/>
  <c r="CS304" i="37"/>
  <c r="CJ220" i="37"/>
  <c r="CJ179" i="37"/>
  <c r="CJ174" i="37"/>
  <c r="CJ182" i="37"/>
  <c r="CJ183" i="37"/>
  <c r="CJ184" i="37"/>
  <c r="CJ185" i="37"/>
  <c r="CJ214" i="37"/>
  <c r="CJ210" i="37"/>
  <c r="CJ186" i="37"/>
  <c r="CJ176" i="37"/>
  <c r="CJ180" i="37"/>
  <c r="CJ205" i="37"/>
  <c r="CJ207" i="37"/>
  <c r="CJ188" i="37"/>
  <c r="CJ218" i="37"/>
  <c r="CJ213" i="37"/>
  <c r="CJ209" i="37"/>
  <c r="CJ175" i="37"/>
  <c r="CJ219" i="37"/>
  <c r="EB175" i="37"/>
  <c r="CJ216" i="37"/>
  <c r="CJ212" i="37"/>
  <c r="CJ208" i="37"/>
  <c r="CJ187" i="37"/>
  <c r="CJ177" i="37"/>
  <c r="CJ178" i="37"/>
  <c r="CJ217" i="37"/>
  <c r="CJ189" i="37"/>
  <c r="CJ190" i="37"/>
  <c r="CJ191" i="37"/>
  <c r="CJ192" i="37"/>
  <c r="CJ193" i="37"/>
  <c r="CJ194" i="37"/>
  <c r="CJ195" i="37"/>
  <c r="CJ196" i="37"/>
  <c r="CJ197" i="37"/>
  <c r="CJ198" i="37"/>
  <c r="CJ199" i="37"/>
  <c r="CJ200" i="37"/>
  <c r="CJ201" i="37"/>
  <c r="CJ202" i="37"/>
  <c r="CJ203" i="37"/>
  <c r="CJ204" i="37"/>
  <c r="CJ206" i="37"/>
  <c r="CJ215" i="37"/>
  <c r="CJ211" i="37"/>
  <c r="CJ181" i="37"/>
  <c r="EC365" i="37"/>
  <c r="CL510" i="37"/>
  <c r="CL506" i="37"/>
  <c r="CL531" i="37"/>
  <c r="CL527" i="37"/>
  <c r="CL523" i="37"/>
  <c r="CL519" i="37"/>
  <c r="CL493" i="37"/>
  <c r="CL504" i="37"/>
  <c r="ED491" i="37"/>
  <c r="CL501" i="37"/>
  <c r="CL491" i="37"/>
  <c r="CL502" i="37"/>
  <c r="CL514" i="37"/>
  <c r="CL508" i="37"/>
  <c r="CL530" i="37"/>
  <c r="CL526" i="37"/>
  <c r="CL522" i="37"/>
  <c r="CL518" i="37"/>
  <c r="CL533" i="37"/>
  <c r="CL536" i="37"/>
  <c r="CL494" i="37"/>
  <c r="CL498" i="37"/>
  <c r="CL505" i="37"/>
  <c r="CL511" i="37"/>
  <c r="CL515" i="37"/>
  <c r="CL492" i="37"/>
  <c r="CL529" i="37"/>
  <c r="CL525" i="37"/>
  <c r="CL521" i="37"/>
  <c r="CL495" i="37"/>
  <c r="CL490" i="37"/>
  <c r="CL499" i="37"/>
  <c r="CL507" i="37"/>
  <c r="CL512" i="37"/>
  <c r="CL516" i="37"/>
  <c r="CL496" i="37"/>
  <c r="CL503" i="37"/>
  <c r="CL532" i="37"/>
  <c r="CL528" i="37"/>
  <c r="CL524" i="37"/>
  <c r="CL520" i="37"/>
  <c r="CL535" i="37"/>
  <c r="CL534" i="37"/>
  <c r="CL500" i="37"/>
  <c r="CL509" i="37"/>
  <c r="CL497" i="37"/>
  <c r="CL513" i="37"/>
  <c r="CL517" i="37"/>
  <c r="CI110" i="37"/>
  <c r="CI123" i="37"/>
  <c r="CI150" i="37"/>
  <c r="CI146" i="37"/>
  <c r="CI142" i="37"/>
  <c r="CI138" i="37"/>
  <c r="CI134" i="37"/>
  <c r="CI116" i="37"/>
  <c r="CI114" i="37"/>
  <c r="CI126" i="37"/>
  <c r="CI130" i="37"/>
  <c r="CI111" i="37"/>
  <c r="CI127" i="37"/>
  <c r="CI154" i="37"/>
  <c r="CI149" i="37"/>
  <c r="CI145" i="37"/>
  <c r="CI141" i="37"/>
  <c r="CI137" i="37"/>
  <c r="CI133" i="37"/>
  <c r="CI153" i="37"/>
  <c r="CI128" i="37"/>
  <c r="CI113" i="37"/>
  <c r="CI119" i="37"/>
  <c r="CI121" i="37"/>
  <c r="CI117" i="37"/>
  <c r="CI152" i="37"/>
  <c r="CI148" i="37"/>
  <c r="CI144" i="37"/>
  <c r="CI140" i="37"/>
  <c r="CI136" i="37"/>
  <c r="CI124" i="37"/>
  <c r="CI112" i="37"/>
  <c r="CI132" i="37"/>
  <c r="EA111" i="37"/>
  <c r="CI156" i="37"/>
  <c r="CI151" i="37"/>
  <c r="CI147" i="37"/>
  <c r="CI143" i="37"/>
  <c r="CI139" i="37"/>
  <c r="CI135" i="37"/>
  <c r="CI155" i="37"/>
  <c r="CI115" i="37"/>
  <c r="CI125" i="37"/>
  <c r="CI129" i="37"/>
  <c r="CI118" i="37"/>
  <c r="CI120" i="37"/>
  <c r="CI122" i="37"/>
  <c r="CI131" i="37"/>
  <c r="EA302" i="37"/>
  <c r="ED428" i="37"/>
  <c r="CB619" i="37"/>
  <c r="CB622" i="37"/>
  <c r="CB658" i="37"/>
  <c r="CB655" i="37"/>
  <c r="CB656" i="37"/>
  <c r="CB646" i="37"/>
  <c r="CB644" i="37"/>
  <c r="CB637" i="37"/>
  <c r="CB636" i="37"/>
  <c r="CB631" i="37"/>
  <c r="CB629" i="37"/>
  <c r="CB634" i="37"/>
  <c r="CB623" i="37"/>
  <c r="CB661" i="37"/>
  <c r="CB657" i="37"/>
  <c r="CB654" i="37"/>
  <c r="CB663" i="37"/>
  <c r="CB649" i="37"/>
  <c r="CB645" i="37"/>
  <c r="CB642" i="37"/>
  <c r="CB640" i="37"/>
  <c r="CB653" i="37"/>
  <c r="CB630" i="37"/>
  <c r="CB628" i="37"/>
  <c r="CB633" i="37"/>
  <c r="CB662" i="37"/>
  <c r="CB647" i="37"/>
  <c r="CB643" i="37"/>
  <c r="CB660" i="37"/>
  <c r="CB650" i="37"/>
  <c r="CB639" i="37"/>
  <c r="CB621" i="37"/>
  <c r="CB659" i="37"/>
  <c r="CB665" i="37"/>
  <c r="CB652" i="37"/>
  <c r="CB632" i="37"/>
  <c r="CB638" i="37"/>
  <c r="CB635" i="37"/>
  <c r="CB664" i="37"/>
  <c r="CB648" i="37"/>
  <c r="CB651" i="37"/>
  <c r="CB641" i="37"/>
  <c r="CB625" i="37"/>
  <c r="CB626" i="37"/>
  <c r="CB627" i="37"/>
  <c r="CB624" i="37"/>
  <c r="CB620" i="37"/>
  <c r="CA237" i="37"/>
  <c r="CA244" i="37"/>
  <c r="CA249" i="37"/>
  <c r="CA276" i="37"/>
  <c r="CA272" i="37"/>
  <c r="CA268" i="37"/>
  <c r="CA264" i="37"/>
  <c r="CA260" i="37"/>
  <c r="CA256" i="37"/>
  <c r="CA252" i="37"/>
  <c r="CA242" i="37"/>
  <c r="CA243" i="37"/>
  <c r="CA247" i="37"/>
  <c r="CA282" i="37"/>
  <c r="CA279" i="37"/>
  <c r="CA275" i="37"/>
  <c r="CA271" i="37"/>
  <c r="CA267" i="37"/>
  <c r="CA263" i="37"/>
  <c r="CA259" i="37"/>
  <c r="CA255" i="37"/>
  <c r="CA241" i="37"/>
  <c r="CA250" i="37"/>
  <c r="CA239" i="37"/>
  <c r="CA238" i="37"/>
  <c r="CA246" i="37"/>
  <c r="CA280" i="37"/>
  <c r="CA278" i="37"/>
  <c r="CA274" i="37"/>
  <c r="CA270" i="37"/>
  <c r="CA266" i="37"/>
  <c r="CA262" i="37"/>
  <c r="CA258" i="37"/>
  <c r="CA254" i="37"/>
  <c r="CA240" i="37"/>
  <c r="CA245" i="37"/>
  <c r="CA283" i="37"/>
  <c r="CA277" i="37"/>
  <c r="CA273" i="37"/>
  <c r="CA269" i="37"/>
  <c r="CA265" i="37"/>
  <c r="CA261" i="37"/>
  <c r="CA257" i="37"/>
  <c r="CA253" i="37"/>
  <c r="CA248" i="37"/>
  <c r="CA251" i="37"/>
  <c r="CA281" i="37"/>
  <c r="EA176" i="37"/>
  <c r="CB426" i="37"/>
  <c r="CB469" i="37"/>
  <c r="CB471" i="37"/>
  <c r="CB465" i="37"/>
  <c r="CB459" i="37"/>
  <c r="CB455" i="37"/>
  <c r="CB451" i="37"/>
  <c r="CB447" i="37"/>
  <c r="CB443" i="37"/>
  <c r="CB437" i="37"/>
  <c r="CB434" i="37"/>
  <c r="CB430" i="37"/>
  <c r="CB472" i="37"/>
  <c r="CB468" i="37"/>
  <c r="CB464" i="37"/>
  <c r="CB438" i="37"/>
  <c r="CB458" i="37"/>
  <c r="CB454" i="37"/>
  <c r="CB450" i="37"/>
  <c r="CB446" i="37"/>
  <c r="CB442" i="37"/>
  <c r="CB462" i="37"/>
  <c r="CB439" i="37"/>
  <c r="CB429" i="37"/>
  <c r="CB431" i="37"/>
  <c r="CB435" i="37"/>
  <c r="CB467" i="37"/>
  <c r="CB463" i="37"/>
  <c r="CB433" i="37"/>
  <c r="CB457" i="37"/>
  <c r="CB453" i="37"/>
  <c r="CB449" i="37"/>
  <c r="CB445" i="37"/>
  <c r="CB441" i="37"/>
  <c r="CB440" i="37"/>
  <c r="CB432" i="37"/>
  <c r="CB428" i="37"/>
  <c r="CB427" i="37"/>
  <c r="CB436" i="37"/>
  <c r="CB470" i="37"/>
  <c r="CB466" i="37"/>
  <c r="CB461" i="37"/>
  <c r="CB460" i="37"/>
  <c r="CB456" i="37"/>
  <c r="CB452" i="37"/>
  <c r="CB448" i="37"/>
  <c r="CB444" i="37"/>
  <c r="CJ54" i="37"/>
  <c r="CJ93" i="37"/>
  <c r="CJ53" i="37"/>
  <c r="CJ52" i="37"/>
  <c r="EB50" i="37"/>
  <c r="CJ89" i="37"/>
  <c r="CJ85" i="37"/>
  <c r="CJ81" i="37"/>
  <c r="CJ77" i="37"/>
  <c r="CJ73" i="37"/>
  <c r="CJ69" i="37"/>
  <c r="CJ65" i="37"/>
  <c r="CJ61" i="37"/>
  <c r="CJ57" i="37"/>
  <c r="CJ96" i="37"/>
  <c r="CJ92" i="37"/>
  <c r="CJ88" i="37"/>
  <c r="CJ84" i="37"/>
  <c r="CJ80" i="37"/>
  <c r="CJ76" i="37"/>
  <c r="CJ72" i="37"/>
  <c r="CJ68" i="37"/>
  <c r="CJ64" i="37"/>
  <c r="CJ60" i="37"/>
  <c r="CJ91" i="37"/>
  <c r="CJ87" i="37"/>
  <c r="CJ83" i="37"/>
  <c r="CJ79" i="37"/>
  <c r="CJ75" i="37"/>
  <c r="CJ71" i="37"/>
  <c r="CJ67" i="37"/>
  <c r="CJ63" i="37"/>
  <c r="CJ59" i="37"/>
  <c r="CJ90" i="37"/>
  <c r="CJ86" i="37"/>
  <c r="CJ82" i="37"/>
  <c r="CJ78" i="37"/>
  <c r="CJ74" i="37"/>
  <c r="CJ70" i="37"/>
  <c r="CJ66" i="37"/>
  <c r="CJ62" i="37"/>
  <c r="CJ58" i="37"/>
  <c r="CJ56" i="37"/>
  <c r="CJ50" i="37"/>
  <c r="CJ95" i="37"/>
  <c r="CJ55" i="37"/>
  <c r="CJ51" i="37"/>
  <c r="CJ94" i="37"/>
  <c r="CI384" i="37"/>
  <c r="CI364" i="37"/>
  <c r="CI403" i="37"/>
  <c r="CI399" i="37"/>
  <c r="CI395" i="37"/>
  <c r="CI391" i="37"/>
  <c r="CI387" i="37"/>
  <c r="CI383" i="37"/>
  <c r="CI386" i="37"/>
  <c r="EA364" i="37"/>
  <c r="CI371" i="37"/>
  <c r="CI373" i="37"/>
  <c r="CI378" i="37"/>
  <c r="CI380" i="37"/>
  <c r="CI382" i="37"/>
  <c r="CI408" i="37"/>
  <c r="CI407" i="37"/>
  <c r="CI402" i="37"/>
  <c r="CI398" i="37"/>
  <c r="CI394" i="37"/>
  <c r="CI390" i="37"/>
  <c r="CI365" i="37"/>
  <c r="CI369" i="37"/>
  <c r="CI366" i="37"/>
  <c r="CI368" i="37"/>
  <c r="CI363" i="37"/>
  <c r="CI385" i="37"/>
  <c r="CI375" i="37"/>
  <c r="CI405" i="37"/>
  <c r="CI401" i="37"/>
  <c r="CI397" i="37"/>
  <c r="CI393" i="37"/>
  <c r="CI389" i="37"/>
  <c r="CI376" i="37"/>
  <c r="CI377" i="37"/>
  <c r="CI372" i="37"/>
  <c r="CI374" i="37"/>
  <c r="CI379" i="37"/>
  <c r="CI381" i="37"/>
  <c r="CI370" i="37"/>
  <c r="CI406" i="37"/>
  <c r="CI409" i="37"/>
  <c r="CI404" i="37"/>
  <c r="CI400" i="37"/>
  <c r="CI396" i="37"/>
  <c r="CI392" i="37"/>
  <c r="CI388" i="37"/>
  <c r="CI367" i="37"/>
  <c r="CS366" i="37"/>
  <c r="CS363" i="37"/>
  <c r="CS402" i="37"/>
  <c r="CS398" i="37"/>
  <c r="CS394" i="37"/>
  <c r="CS390" i="37"/>
  <c r="CS386" i="37"/>
  <c r="CS408" i="37"/>
  <c r="CS365" i="37"/>
  <c r="CS382" i="37"/>
  <c r="CS405" i="37"/>
  <c r="CS401" i="37"/>
  <c r="CS397" i="37"/>
  <c r="CS393" i="37"/>
  <c r="CS389" i="37"/>
  <c r="CS385" i="37"/>
  <c r="CS406" i="37"/>
  <c r="CS407" i="37"/>
  <c r="CS364" i="37"/>
  <c r="CS375" i="37"/>
  <c r="CS369" i="37"/>
  <c r="CS368" i="37"/>
  <c r="CS404" i="37"/>
  <c r="CS400" i="37"/>
  <c r="CS396" i="37"/>
  <c r="CS392" i="37"/>
  <c r="CS388" i="37"/>
  <c r="CS384" i="37"/>
  <c r="CS370" i="37"/>
  <c r="CS376" i="37"/>
  <c r="CS367" i="37"/>
  <c r="CS377" i="37"/>
  <c r="CS371" i="37"/>
  <c r="CS372" i="37"/>
  <c r="CS373" i="37"/>
  <c r="CS374" i="37"/>
  <c r="CS378" i="37"/>
  <c r="CS379" i="37"/>
  <c r="CS380" i="37"/>
  <c r="CS381" i="37"/>
  <c r="CS403" i="37"/>
  <c r="CS399" i="37"/>
  <c r="CS395" i="37"/>
  <c r="CS391" i="37"/>
  <c r="CS387" i="37"/>
  <c r="CS383" i="37"/>
  <c r="CS409" i="37"/>
  <c r="CK303" i="37"/>
  <c r="CK300" i="37"/>
  <c r="CK302" i="37"/>
  <c r="CK312" i="37"/>
  <c r="CK339" i="37"/>
  <c r="CK335" i="37"/>
  <c r="CK331" i="37"/>
  <c r="CK327" i="37"/>
  <c r="CK323" i="37"/>
  <c r="CK319" i="37"/>
  <c r="CK315" i="37"/>
  <c r="CK311" i="37"/>
  <c r="CK345" i="37"/>
  <c r="CK346" i="37"/>
  <c r="CK306" i="37"/>
  <c r="CK307" i="37"/>
  <c r="CK342" i="37"/>
  <c r="CK338" i="37"/>
  <c r="CK334" i="37"/>
  <c r="CK330" i="37"/>
  <c r="CK326" i="37"/>
  <c r="CK322" i="37"/>
  <c r="CK318" i="37"/>
  <c r="CK310" i="37"/>
  <c r="CK313" i="37"/>
  <c r="EC301" i="37"/>
  <c r="CK305" i="37"/>
  <c r="CK341" i="37"/>
  <c r="CK337" i="37"/>
  <c r="CK333" i="37"/>
  <c r="CK329" i="37"/>
  <c r="CK325" i="37"/>
  <c r="CK321" i="37"/>
  <c r="CK317" i="37"/>
  <c r="CK309" i="37"/>
  <c r="CK343" i="37"/>
  <c r="CK344" i="37"/>
  <c r="CK304" i="37"/>
  <c r="CK301" i="37"/>
  <c r="CK340" i="37"/>
  <c r="CK336" i="37"/>
  <c r="CK332" i="37"/>
  <c r="CK328" i="37"/>
  <c r="CK324" i="37"/>
  <c r="CK320" i="37"/>
  <c r="CK316" i="37"/>
  <c r="CK308" i="37"/>
  <c r="CK314" i="37"/>
  <c r="CR340" i="37"/>
  <c r="CR336" i="37"/>
  <c r="CR332" i="37"/>
  <c r="CR328" i="37"/>
  <c r="CR324" i="37"/>
  <c r="CR320" i="37"/>
  <c r="CR316" i="37"/>
  <c r="CR310" i="37"/>
  <c r="CR345" i="37"/>
  <c r="CR304" i="37"/>
  <c r="CR303" i="37"/>
  <c r="CR346" i="37"/>
  <c r="CR312" i="37"/>
  <c r="CT312" i="37" s="1"/>
  <c r="CR339" i="37"/>
  <c r="CR335" i="37"/>
  <c r="CR331" i="37"/>
  <c r="CR327" i="37"/>
  <c r="CR323" i="37"/>
  <c r="CR319" i="37"/>
  <c r="CR315" i="37"/>
  <c r="CR309" i="37"/>
  <c r="CR300" i="37"/>
  <c r="CR344" i="37"/>
  <c r="CT344" i="37" s="1"/>
  <c r="CR306" i="37"/>
  <c r="CR307" i="37"/>
  <c r="CT307" i="37" s="1"/>
  <c r="CR342" i="37"/>
  <c r="CR338" i="37"/>
  <c r="CT338" i="37" s="1"/>
  <c r="CR334" i="37"/>
  <c r="CT334" i="37" s="1"/>
  <c r="CR330" i="37"/>
  <c r="CT330" i="37" s="1"/>
  <c r="CR326" i="37"/>
  <c r="CT326" i="37" s="1"/>
  <c r="CR322" i="37"/>
  <c r="CT322" i="37" s="1"/>
  <c r="CR318" i="37"/>
  <c r="CT318" i="37" s="1"/>
  <c r="CR308" i="37"/>
  <c r="CT308" i="37" s="1"/>
  <c r="CR343" i="37"/>
  <c r="CT343" i="37" s="1"/>
  <c r="CR305" i="37"/>
  <c r="CR313" i="37"/>
  <c r="CT313" i="37" s="1"/>
  <c r="CR302" i="37"/>
  <c r="CR301" i="37"/>
  <c r="CT301" i="37" s="1"/>
  <c r="CR341" i="37"/>
  <c r="CR337" i="37"/>
  <c r="CR333" i="37"/>
  <c r="CR329" i="37"/>
  <c r="CR325" i="37"/>
  <c r="CR321" i="37"/>
  <c r="CR317" i="37"/>
  <c r="CR311" i="37"/>
  <c r="CR314" i="37"/>
  <c r="CB219" i="37"/>
  <c r="CB188" i="37"/>
  <c r="CB213" i="37"/>
  <c r="CB209" i="37"/>
  <c r="CB175" i="37"/>
  <c r="CB206" i="37"/>
  <c r="CB216" i="37"/>
  <c r="CB212" i="37"/>
  <c r="CB208" i="37"/>
  <c r="CB217" i="37"/>
  <c r="CB187" i="37"/>
  <c r="CB177" i="37"/>
  <c r="CB178" i="37"/>
  <c r="CB215" i="37"/>
  <c r="CB211" i="37"/>
  <c r="CB189" i="37"/>
  <c r="CB190" i="37"/>
  <c r="CB191" i="37"/>
  <c r="CB192" i="37"/>
  <c r="CB193" i="37"/>
  <c r="CB194" i="37"/>
  <c r="CB195" i="37"/>
  <c r="CB196" i="37"/>
  <c r="CB197" i="37"/>
  <c r="CB198" i="37"/>
  <c r="CB199" i="37"/>
  <c r="CB200" i="37"/>
  <c r="CB201" i="37"/>
  <c r="CB202" i="37"/>
  <c r="CB203" i="37"/>
  <c r="CB204" i="37"/>
  <c r="CB181" i="37"/>
  <c r="CB220" i="37"/>
  <c r="CB179" i="37"/>
  <c r="CB205" i="37"/>
  <c r="CB207" i="37"/>
  <c r="CB214" i="37"/>
  <c r="CB210" i="37"/>
  <c r="CB174" i="37"/>
  <c r="CB182" i="37"/>
  <c r="CB183" i="37"/>
  <c r="CB184" i="37"/>
  <c r="CB185" i="37"/>
  <c r="CB186" i="37"/>
  <c r="CB176" i="37"/>
  <c r="CB180" i="37"/>
  <c r="CB218" i="37"/>
  <c r="CI182" i="37"/>
  <c r="CI191" i="37"/>
  <c r="CI195" i="37"/>
  <c r="CI197" i="37"/>
  <c r="CI199" i="37"/>
  <c r="CI201" i="37"/>
  <c r="CI203" i="37"/>
  <c r="CI181" i="37"/>
  <c r="CI186" i="37"/>
  <c r="CI218" i="37"/>
  <c r="CI176" i="37"/>
  <c r="CI177" i="37"/>
  <c r="CI179" i="37"/>
  <c r="CI209" i="37"/>
  <c r="CI211" i="37"/>
  <c r="CI213" i="37"/>
  <c r="CI215" i="37"/>
  <c r="CI217" i="37"/>
  <c r="CI185" i="37"/>
  <c r="CI190" i="37"/>
  <c r="CI194" i="37"/>
  <c r="CI206" i="37"/>
  <c r="CI175" i="37"/>
  <c r="CI188" i="37"/>
  <c r="CI184" i="37"/>
  <c r="CI189" i="37"/>
  <c r="CI193" i="37"/>
  <c r="CI196" i="37"/>
  <c r="CI198" i="37"/>
  <c r="CI200" i="37"/>
  <c r="CI202" i="37"/>
  <c r="CI204" i="37"/>
  <c r="CI219" i="37"/>
  <c r="CI220" i="37"/>
  <c r="CI205" i="37"/>
  <c r="CI178" i="37"/>
  <c r="CI208" i="37"/>
  <c r="CI210" i="37"/>
  <c r="CI212" i="37"/>
  <c r="CI214" i="37"/>
  <c r="CI216" i="37"/>
  <c r="CI174" i="37"/>
  <c r="EA175" i="37"/>
  <c r="CI183" i="37"/>
  <c r="CI192" i="37"/>
  <c r="CI180" i="37"/>
  <c r="CI187" i="37"/>
  <c r="CI207" i="37"/>
  <c r="CS174" i="37"/>
  <c r="CS218" i="37"/>
  <c r="CS178" i="37"/>
  <c r="CS188" i="37"/>
  <c r="CS182" i="37"/>
  <c r="CS192" i="37"/>
  <c r="CS196" i="37"/>
  <c r="CS200" i="37"/>
  <c r="CS204" i="37"/>
  <c r="CS216" i="37"/>
  <c r="CS212" i="37"/>
  <c r="CS208" i="37"/>
  <c r="CS219" i="37"/>
  <c r="CS175" i="37"/>
  <c r="CS181" i="37"/>
  <c r="CS177" i="37"/>
  <c r="CS185" i="37"/>
  <c r="CS191" i="37"/>
  <c r="CS195" i="37"/>
  <c r="CS199" i="37"/>
  <c r="CS203" i="37"/>
  <c r="CS215" i="37"/>
  <c r="CS211" i="37"/>
  <c r="CS207" i="37"/>
  <c r="CS217" i="37"/>
  <c r="CS180" i="37"/>
  <c r="CS187" i="37"/>
  <c r="CS220" i="37"/>
  <c r="CS184" i="37"/>
  <c r="CS190" i="37"/>
  <c r="CS194" i="37"/>
  <c r="CS198" i="37"/>
  <c r="CS202" i="37"/>
  <c r="CS214" i="37"/>
  <c r="CS210" i="37"/>
  <c r="CS206" i="37"/>
  <c r="CS176" i="37"/>
  <c r="CS179" i="37"/>
  <c r="CS183" i="37"/>
  <c r="CS189" i="37"/>
  <c r="CS193" i="37"/>
  <c r="CS197" i="37"/>
  <c r="CS201" i="37"/>
  <c r="CS213" i="37"/>
  <c r="CS209" i="37"/>
  <c r="CS205" i="37"/>
  <c r="CS186" i="37"/>
  <c r="CJ594" i="37"/>
  <c r="CJ600" i="37"/>
  <c r="CJ587" i="37"/>
  <c r="CJ599" i="37"/>
  <c r="CJ586" i="37"/>
  <c r="CJ582" i="37"/>
  <c r="CJ578" i="37"/>
  <c r="CJ591" i="37"/>
  <c r="CJ568" i="37"/>
  <c r="CJ560" i="37"/>
  <c r="CJ556" i="37"/>
  <c r="CJ561" i="37"/>
  <c r="CJ575" i="37"/>
  <c r="CJ570" i="37"/>
  <c r="CJ562" i="37"/>
  <c r="CJ593" i="37"/>
  <c r="CJ585" i="37"/>
  <c r="CJ581" i="37"/>
  <c r="CJ577" i="37"/>
  <c r="CJ590" i="37"/>
  <c r="CJ559" i="37"/>
  <c r="CJ567" i="37"/>
  <c r="CJ569" i="37"/>
  <c r="CJ565" i="37"/>
  <c r="EB555" i="37"/>
  <c r="CJ596" i="37"/>
  <c r="CJ592" i="37"/>
  <c r="CJ598" i="37"/>
  <c r="CJ597" i="37"/>
  <c r="CJ588" i="37"/>
  <c r="CJ589" i="37"/>
  <c r="CJ584" i="37"/>
  <c r="CJ580" i="37"/>
  <c r="CJ576" i="37"/>
  <c r="CJ558" i="37"/>
  <c r="CJ555" i="37"/>
  <c r="CJ572" i="37"/>
  <c r="CJ564" i="37"/>
  <c r="CJ554" i="37"/>
  <c r="CJ595" i="37"/>
  <c r="CJ583" i="37"/>
  <c r="CJ579" i="37"/>
  <c r="CJ573" i="37"/>
  <c r="CJ557" i="37"/>
  <c r="CJ574" i="37"/>
  <c r="CJ566" i="37"/>
  <c r="CJ571" i="37"/>
  <c r="CJ563" i="37"/>
  <c r="CC554" i="37"/>
  <c r="CC555" i="37" s="1"/>
  <c r="CC556" i="37" s="1"/>
  <c r="CC557" i="37" s="1"/>
  <c r="CC558" i="37" s="1"/>
  <c r="CC559" i="37" s="1"/>
  <c r="CC560" i="37" s="1"/>
  <c r="CC561" i="37" s="1"/>
  <c r="CC562" i="37" s="1"/>
  <c r="CC563" i="37" s="1"/>
  <c r="CC564" i="37" s="1"/>
  <c r="CC565" i="37" s="1"/>
  <c r="CC566" i="37" s="1"/>
  <c r="CC567" i="37" s="1"/>
  <c r="CC568" i="37" s="1"/>
  <c r="CC569" i="37" s="1"/>
  <c r="CC570" i="37" s="1"/>
  <c r="CC571" i="37" s="1"/>
  <c r="CC572" i="37" s="1"/>
  <c r="CC573" i="37" s="1"/>
  <c r="CC574" i="37" s="1"/>
  <c r="CC575" i="37" s="1"/>
  <c r="CC576" i="37" s="1"/>
  <c r="CC577" i="37" s="1"/>
  <c r="CC578" i="37" s="1"/>
  <c r="CC579" i="37" s="1"/>
  <c r="CC580" i="37" s="1"/>
  <c r="CC581" i="37" s="1"/>
  <c r="CC582" i="37" s="1"/>
  <c r="CC583" i="37" s="1"/>
  <c r="CC584" i="37" s="1"/>
  <c r="CC585" i="37" s="1"/>
  <c r="CC586" i="37" s="1"/>
  <c r="CC587" i="37" s="1"/>
  <c r="CC588" i="37" s="1"/>
  <c r="CC589" i="37" s="1"/>
  <c r="CC590" i="37" s="1"/>
  <c r="CC591" i="37" s="1"/>
  <c r="CC592" i="37" s="1"/>
  <c r="CC593" i="37" s="1"/>
  <c r="CC594" i="37" s="1"/>
  <c r="CC595" i="37" s="1"/>
  <c r="CC596" i="37" s="1"/>
  <c r="CC597" i="37" s="1"/>
  <c r="CC598" i="37" s="1"/>
  <c r="CC599" i="37" s="1"/>
  <c r="CC600" i="37" s="1"/>
  <c r="ED365" i="37"/>
  <c r="EB365" i="37"/>
  <c r="EA112" i="37"/>
  <c r="ED112" i="37"/>
  <c r="CI530" i="37"/>
  <c r="CI526" i="37"/>
  <c r="CI522" i="37"/>
  <c r="CI535" i="37"/>
  <c r="CI534" i="37"/>
  <c r="CI504" i="37"/>
  <c r="CI508" i="37"/>
  <c r="CI512" i="37"/>
  <c r="CI516" i="37"/>
  <c r="CI502" i="37"/>
  <c r="CI529" i="37"/>
  <c r="CI525" i="37"/>
  <c r="CI521" i="37"/>
  <c r="CI519" i="37"/>
  <c r="CI494" i="37"/>
  <c r="CI510" i="37"/>
  <c r="CI513" i="37"/>
  <c r="CI517" i="37"/>
  <c r="EA491" i="37"/>
  <c r="CI498" i="37"/>
  <c r="CI500" i="37"/>
  <c r="CI505" i="37"/>
  <c r="CI497" i="37"/>
  <c r="CI507" i="37"/>
  <c r="CI532" i="37"/>
  <c r="CI528" i="37"/>
  <c r="CI524" i="37"/>
  <c r="CI520" i="37"/>
  <c r="CI533" i="37"/>
  <c r="CI536" i="37"/>
  <c r="CI492" i="37"/>
  <c r="CI496" i="37"/>
  <c r="CI514" i="37"/>
  <c r="CI518" i="37"/>
  <c r="CI490" i="37"/>
  <c r="CI491" i="37"/>
  <c r="CI509" i="37"/>
  <c r="CI531" i="37"/>
  <c r="CI527" i="37"/>
  <c r="CI523" i="37"/>
  <c r="CI503" i="37"/>
  <c r="CI493" i="37"/>
  <c r="CI495" i="37"/>
  <c r="CI506" i="37"/>
  <c r="CI511" i="37"/>
  <c r="CI515" i="37"/>
  <c r="CI499" i="37"/>
  <c r="CI501" i="37"/>
  <c r="CS498" i="37"/>
  <c r="CS499" i="37"/>
  <c r="CS500" i="37"/>
  <c r="CS501" i="37"/>
  <c r="CS531" i="37"/>
  <c r="CS527" i="37"/>
  <c r="CS523" i="37"/>
  <c r="CS519" i="37"/>
  <c r="CS515" i="37"/>
  <c r="CS511" i="37"/>
  <c r="CS507" i="37"/>
  <c r="CS497" i="37"/>
  <c r="CS495" i="37"/>
  <c r="CS490" i="37"/>
  <c r="CS536" i="37"/>
  <c r="CS530" i="37"/>
  <c r="CS526" i="37"/>
  <c r="CS522" i="37"/>
  <c r="CS518" i="37"/>
  <c r="CS514" i="37"/>
  <c r="CS510" i="37"/>
  <c r="CS506" i="37"/>
  <c r="CS492" i="37"/>
  <c r="CS494" i="37"/>
  <c r="CS504" i="37"/>
  <c r="CS529" i="37"/>
  <c r="CS525" i="37"/>
  <c r="CS521" i="37"/>
  <c r="CS517" i="37"/>
  <c r="CS513" i="37"/>
  <c r="CS509" i="37"/>
  <c r="CS535" i="37"/>
  <c r="CS496" i="37"/>
  <c r="CS505" i="37"/>
  <c r="CS493" i="37"/>
  <c r="CS534" i="37"/>
  <c r="CS532" i="37"/>
  <c r="CS528" i="37"/>
  <c r="CS524" i="37"/>
  <c r="CS520" i="37"/>
  <c r="CS516" i="37"/>
  <c r="CS512" i="37"/>
  <c r="CS508" i="37"/>
  <c r="CS533" i="37"/>
  <c r="CS491" i="37"/>
  <c r="CS502" i="37"/>
  <c r="CS503" i="37"/>
  <c r="CR129" i="37"/>
  <c r="CR152" i="37"/>
  <c r="CR148" i="37"/>
  <c r="CR144" i="37"/>
  <c r="CR140" i="37"/>
  <c r="CR136" i="37"/>
  <c r="CR153" i="37"/>
  <c r="CR116" i="37"/>
  <c r="CR127" i="37"/>
  <c r="CR131" i="37"/>
  <c r="CR133" i="37"/>
  <c r="CR134" i="37"/>
  <c r="CR135" i="37"/>
  <c r="CR117" i="37"/>
  <c r="CR123" i="37"/>
  <c r="CR125" i="37"/>
  <c r="CR151" i="37"/>
  <c r="CR147" i="37"/>
  <c r="CR143" i="37"/>
  <c r="CR139" i="37"/>
  <c r="CR156" i="37"/>
  <c r="CR112" i="37"/>
  <c r="CR110" i="37"/>
  <c r="CR118" i="37"/>
  <c r="CR119" i="37"/>
  <c r="CR120" i="37"/>
  <c r="CR121" i="37"/>
  <c r="CR132" i="37"/>
  <c r="CR122" i="37"/>
  <c r="CR150" i="37"/>
  <c r="CR146" i="37"/>
  <c r="CR142" i="37"/>
  <c r="CR138" i="37"/>
  <c r="CR155" i="37"/>
  <c r="CR154" i="37"/>
  <c r="CR124" i="37"/>
  <c r="CR128" i="37"/>
  <c r="CR111" i="37"/>
  <c r="CR149" i="37"/>
  <c r="CR145" i="37"/>
  <c r="CR141" i="37"/>
  <c r="CR137" i="37"/>
  <c r="CR126" i="37"/>
  <c r="CR130" i="37"/>
  <c r="CR113" i="37"/>
  <c r="CR114" i="37"/>
  <c r="CR115" i="37"/>
  <c r="CB122" i="37"/>
  <c r="CB125" i="37"/>
  <c r="CB134" i="37"/>
  <c r="CB150" i="37"/>
  <c r="CB146" i="37"/>
  <c r="CB142" i="37"/>
  <c r="CB138" i="37"/>
  <c r="CB153" i="37"/>
  <c r="CB132" i="37"/>
  <c r="CB111" i="37"/>
  <c r="CB135" i="37"/>
  <c r="CB124" i="37"/>
  <c r="CB113" i="37"/>
  <c r="CB114" i="37"/>
  <c r="CB115" i="37"/>
  <c r="CB149" i="37"/>
  <c r="CB145" i="37"/>
  <c r="CB141" i="37"/>
  <c r="CB137" i="37"/>
  <c r="CB156" i="37"/>
  <c r="CB128" i="37"/>
  <c r="CB129" i="37"/>
  <c r="CB116" i="37"/>
  <c r="CB126" i="37"/>
  <c r="CB130" i="37"/>
  <c r="CB152" i="37"/>
  <c r="CB148" i="37"/>
  <c r="CB144" i="37"/>
  <c r="CB140" i="37"/>
  <c r="CB136" i="37"/>
  <c r="CB117" i="37"/>
  <c r="CB133" i="37"/>
  <c r="CB112" i="37"/>
  <c r="CB123" i="37"/>
  <c r="CB127" i="37"/>
  <c r="CB131" i="37"/>
  <c r="CB151" i="37"/>
  <c r="CB147" i="37"/>
  <c r="CB143" i="37"/>
  <c r="CB139" i="37"/>
  <c r="CB155" i="37"/>
  <c r="CB154" i="37"/>
  <c r="CB110" i="37"/>
  <c r="CB118" i="37"/>
  <c r="CB119" i="37"/>
  <c r="CB120" i="37"/>
  <c r="CB121" i="37"/>
  <c r="EC302" i="37"/>
  <c r="EC492" i="37"/>
  <c r="EB621" i="37"/>
  <c r="EA428" i="37"/>
  <c r="ED620" i="37"/>
  <c r="CL665" i="37"/>
  <c r="CL662" i="37"/>
  <c r="CL664" i="37"/>
  <c r="CL658" i="37"/>
  <c r="CL656" i="37"/>
  <c r="CL652" i="37"/>
  <c r="CL639" i="37"/>
  <c r="CL646" i="37"/>
  <c r="CL622" i="37"/>
  <c r="CL663" i="37"/>
  <c r="CL659" i="37"/>
  <c r="CL655" i="37"/>
  <c r="CL651" i="37"/>
  <c r="CL661" i="37"/>
  <c r="CL638" i="37"/>
  <c r="CL634" i="37"/>
  <c r="CL630" i="37"/>
  <c r="CL649" i="37"/>
  <c r="CL645" i="37"/>
  <c r="CL641" i="37"/>
  <c r="CL627" i="37"/>
  <c r="CL619" i="37"/>
  <c r="CL626" i="37"/>
  <c r="CL654" i="37"/>
  <c r="CL650" i="37"/>
  <c r="CL637" i="37"/>
  <c r="CL642" i="37"/>
  <c r="CL648" i="37"/>
  <c r="CL644" i="37"/>
  <c r="CL624" i="37"/>
  <c r="CL633" i="37"/>
  <c r="CL625" i="37"/>
  <c r="CL621" i="37"/>
  <c r="CL660" i="37"/>
  <c r="CL653" i="37"/>
  <c r="CL657" i="37"/>
  <c r="CL640" i="37"/>
  <c r="CL636" i="37"/>
  <c r="CL647" i="37"/>
  <c r="CL643" i="37"/>
  <c r="CL629" i="37"/>
  <c r="CL631" i="37"/>
  <c r="CL623" i="37"/>
  <c r="CL632" i="37"/>
  <c r="CL635" i="37"/>
  <c r="CL628" i="37"/>
  <c r="CL620" i="37"/>
  <c r="CK619" i="37"/>
  <c r="CK659" i="37"/>
  <c r="CK658" i="37"/>
  <c r="CK664" i="37"/>
  <c r="CK656" i="37"/>
  <c r="CK663" i="37"/>
  <c r="CK654" i="37"/>
  <c r="CK649" i="37"/>
  <c r="CK645" i="37"/>
  <c r="CK641" i="37"/>
  <c r="CK631" i="37"/>
  <c r="CK636" i="37"/>
  <c r="CK623" i="37"/>
  <c r="CK621" i="37"/>
  <c r="EC620" i="37"/>
  <c r="CK661" i="37"/>
  <c r="CK653" i="37"/>
  <c r="CK648" i="37"/>
  <c r="CK644" i="37"/>
  <c r="CK639" i="37"/>
  <c r="CK635" i="37"/>
  <c r="CK629" i="37"/>
  <c r="CK622" i="37"/>
  <c r="CK634" i="37"/>
  <c r="CK660" i="37"/>
  <c r="CK662" i="37"/>
  <c r="CK665" i="37"/>
  <c r="CK651" i="37"/>
  <c r="CK647" i="37"/>
  <c r="CK643" i="37"/>
  <c r="CK638" i="37"/>
  <c r="CK655" i="37"/>
  <c r="CK626" i="37"/>
  <c r="CK628" i="37"/>
  <c r="CK633" i="37"/>
  <c r="CK625" i="37"/>
  <c r="CK630" i="37"/>
  <c r="CK657" i="37"/>
  <c r="CK650" i="37"/>
  <c r="CK646" i="37"/>
  <c r="CK642" i="37"/>
  <c r="CK652" i="37"/>
  <c r="CK637" i="37"/>
  <c r="CK627" i="37"/>
  <c r="CK624" i="37"/>
  <c r="CK632" i="37"/>
  <c r="CK640" i="37"/>
  <c r="CK620" i="37"/>
  <c r="CC281" i="37"/>
  <c r="CC282" i="37"/>
  <c r="CC238" i="37"/>
  <c r="CC276" i="37"/>
  <c r="CC272" i="37"/>
  <c r="CC268" i="37"/>
  <c r="CC264" i="37"/>
  <c r="CC260" i="37"/>
  <c r="CC256" i="37"/>
  <c r="CC252" i="37"/>
  <c r="CC247" i="37"/>
  <c r="CC242" i="37"/>
  <c r="CC239" i="37"/>
  <c r="CC249" i="37"/>
  <c r="CC283" i="37"/>
  <c r="CC279" i="37"/>
  <c r="CC275" i="37"/>
  <c r="CC271" i="37"/>
  <c r="CC267" i="37"/>
  <c r="CC263" i="37"/>
  <c r="CC259" i="37"/>
  <c r="CC255" i="37"/>
  <c r="CC246" i="37"/>
  <c r="CC240" i="37"/>
  <c r="CC250" i="37"/>
  <c r="CC280" i="37"/>
  <c r="CC244" i="37"/>
  <c r="CC278" i="37"/>
  <c r="CC274" i="37"/>
  <c r="CC270" i="37"/>
  <c r="CC266" i="37"/>
  <c r="CC262" i="37"/>
  <c r="CC258" i="37"/>
  <c r="CC254" i="37"/>
  <c r="CC245" i="37"/>
  <c r="CC243" i="37"/>
  <c r="CC251" i="37"/>
  <c r="CC277" i="37"/>
  <c r="CC273" i="37"/>
  <c r="CC269" i="37"/>
  <c r="CC265" i="37"/>
  <c r="CC261" i="37"/>
  <c r="CC257" i="37"/>
  <c r="CC253" i="37"/>
  <c r="CC248" i="37"/>
  <c r="CC237" i="37"/>
  <c r="CC241" i="37"/>
  <c r="CJ248" i="37"/>
  <c r="CJ247" i="37"/>
  <c r="CJ237" i="37"/>
  <c r="CJ246" i="37"/>
  <c r="CJ242" i="37"/>
  <c r="CJ240" i="37"/>
  <c r="CJ245" i="37"/>
  <c r="CJ241" i="37"/>
  <c r="CJ249" i="37"/>
  <c r="CJ243" i="37"/>
  <c r="CJ252" i="37"/>
  <c r="CJ254" i="37"/>
  <c r="CJ256" i="37"/>
  <c r="CJ258" i="37"/>
  <c r="CJ260" i="37"/>
  <c r="CJ262" i="37"/>
  <c r="CJ264" i="37"/>
  <c r="CJ266" i="37"/>
  <c r="CJ268" i="37"/>
  <c r="CJ270" i="37"/>
  <c r="CJ272" i="37"/>
  <c r="CJ274" i="37"/>
  <c r="CJ276" i="37"/>
  <c r="CJ278" i="37"/>
  <c r="CJ282" i="37"/>
  <c r="CJ281" i="37"/>
  <c r="CJ283" i="37"/>
  <c r="EB238" i="37"/>
  <c r="CJ244" i="37"/>
  <c r="CJ280" i="37"/>
  <c r="CJ250" i="37"/>
  <c r="CJ253" i="37"/>
  <c r="CJ255" i="37"/>
  <c r="CJ257" i="37"/>
  <c r="CJ259" i="37"/>
  <c r="CJ261" i="37"/>
  <c r="CJ263" i="37"/>
  <c r="CJ265" i="37"/>
  <c r="CJ267" i="37"/>
  <c r="CJ269" i="37"/>
  <c r="CJ271" i="37"/>
  <c r="CJ273" i="37"/>
  <c r="CJ275" i="37"/>
  <c r="CJ277" i="37"/>
  <c r="CJ279" i="37"/>
  <c r="CJ238" i="37"/>
  <c r="CJ239" i="37"/>
  <c r="CJ251" i="37"/>
  <c r="EC176" i="37"/>
  <c r="CC426" i="37"/>
  <c r="CC427" i="37" s="1"/>
  <c r="CC428" i="37" s="1"/>
  <c r="CC429" i="37" s="1"/>
  <c r="CC430" i="37" s="1"/>
  <c r="CC431" i="37" s="1"/>
  <c r="CC432" i="37" s="1"/>
  <c r="CC433" i="37" s="1"/>
  <c r="CC434" i="37" s="1"/>
  <c r="CC435" i="37" s="1"/>
  <c r="CC436" i="37" s="1"/>
  <c r="CC437" i="37" s="1"/>
  <c r="CC438" i="37" s="1"/>
  <c r="CC439" i="37" s="1"/>
  <c r="CC440" i="37" s="1"/>
  <c r="CC441" i="37" s="1"/>
  <c r="CC442" i="37" s="1"/>
  <c r="CC443" i="37" s="1"/>
  <c r="CC444" i="37" s="1"/>
  <c r="CC445" i="37" s="1"/>
  <c r="CC446" i="37" s="1"/>
  <c r="CC447" i="37" s="1"/>
  <c r="CC448" i="37" s="1"/>
  <c r="CC449" i="37" s="1"/>
  <c r="CC450" i="37" s="1"/>
  <c r="CC451" i="37" s="1"/>
  <c r="CC452" i="37" s="1"/>
  <c r="CC453" i="37" s="1"/>
  <c r="CC454" i="37" s="1"/>
  <c r="CC455" i="37" s="1"/>
  <c r="CC456" i="37" s="1"/>
  <c r="CC457" i="37" s="1"/>
  <c r="CC458" i="37" s="1"/>
  <c r="CC459" i="37" s="1"/>
  <c r="CC460" i="37" s="1"/>
  <c r="CC461" i="37" s="1"/>
  <c r="CC462" i="37" s="1"/>
  <c r="CC463" i="37" s="1"/>
  <c r="CC464" i="37" s="1"/>
  <c r="CC465" i="37" s="1"/>
  <c r="CC466" i="37" s="1"/>
  <c r="CC467" i="37" s="1"/>
  <c r="CC468" i="37" s="1"/>
  <c r="CC469" i="37" s="1"/>
  <c r="CC470" i="37" s="1"/>
  <c r="CC471" i="37" s="1"/>
  <c r="CC472" i="37" s="1"/>
  <c r="CA427" i="37"/>
  <c r="CA465" i="37"/>
  <c r="CA439" i="37"/>
  <c r="CA464" i="37"/>
  <c r="CA458" i="37"/>
  <c r="CA454" i="37"/>
  <c r="CA450" i="37"/>
  <c r="CA446" i="37"/>
  <c r="CA442" i="37"/>
  <c r="CA436" i="37"/>
  <c r="CA440" i="37"/>
  <c r="CA430" i="37"/>
  <c r="CA433" i="37"/>
  <c r="CA428" i="37"/>
  <c r="CA468" i="37"/>
  <c r="CA472" i="37"/>
  <c r="CA463" i="37"/>
  <c r="CA457" i="37"/>
  <c r="CA453" i="37"/>
  <c r="CA449" i="37"/>
  <c r="CA445" i="37"/>
  <c r="CA441" i="37"/>
  <c r="CA435" i="37"/>
  <c r="CA429" i="37"/>
  <c r="CA426" i="37"/>
  <c r="CA471" i="37"/>
  <c r="CA467" i="37"/>
  <c r="CA470" i="37"/>
  <c r="CA461" i="37"/>
  <c r="CA460" i="37"/>
  <c r="CA456" i="37"/>
  <c r="CA452" i="37"/>
  <c r="CA448" i="37"/>
  <c r="CA444" i="37"/>
  <c r="CA434" i="37"/>
  <c r="CA466" i="37"/>
  <c r="CA469" i="37"/>
  <c r="CA432" i="37"/>
  <c r="CA438" i="37"/>
  <c r="CA459" i="37"/>
  <c r="CA455" i="37"/>
  <c r="CA451" i="37"/>
  <c r="CA447" i="37"/>
  <c r="CA443" i="37"/>
  <c r="CA437" i="37"/>
  <c r="CA462" i="37"/>
  <c r="CA431" i="37"/>
  <c r="CK426" i="37"/>
  <c r="EC427" i="37"/>
  <c r="CK471" i="37"/>
  <c r="CK467" i="37"/>
  <c r="CK463" i="37"/>
  <c r="CK460" i="37"/>
  <c r="CK456" i="37"/>
  <c r="CK452" i="37"/>
  <c r="CK448" i="37"/>
  <c r="CK444" i="37"/>
  <c r="CK436" i="37"/>
  <c r="CK438" i="37"/>
  <c r="CK466" i="37"/>
  <c r="CK462" i="37"/>
  <c r="CK470" i="37"/>
  <c r="CK459" i="37"/>
  <c r="CK455" i="37"/>
  <c r="CK451" i="37"/>
  <c r="CK447" i="37"/>
  <c r="CK443" i="37"/>
  <c r="CK435" i="37"/>
  <c r="CK433" i="37"/>
  <c r="CK428" i="37"/>
  <c r="CK430" i="37"/>
  <c r="CK429" i="37"/>
  <c r="CK465" i="37"/>
  <c r="CK461" i="37"/>
  <c r="CK469" i="37"/>
  <c r="CK458" i="37"/>
  <c r="CK454" i="37"/>
  <c r="CK450" i="37"/>
  <c r="CK446" i="37"/>
  <c r="CK442" i="37"/>
  <c r="CK434" i="37"/>
  <c r="CK440" i="37"/>
  <c r="CK439" i="37"/>
  <c r="CK431" i="37"/>
  <c r="CK468" i="37"/>
  <c r="CK464" i="37"/>
  <c r="CK472" i="37"/>
  <c r="CK457" i="37"/>
  <c r="CK453" i="37"/>
  <c r="CK449" i="37"/>
  <c r="CK445" i="37"/>
  <c r="CK441" i="37"/>
  <c r="CK437" i="37"/>
  <c r="CK427" i="37"/>
  <c r="CK432" i="37"/>
  <c r="EA556" i="37"/>
  <c r="CL369" i="37"/>
  <c r="CL376" i="37"/>
  <c r="CL405" i="37"/>
  <c r="CL401" i="37"/>
  <c r="CL397" i="37"/>
  <c r="CL393" i="37"/>
  <c r="CL389" i="37"/>
  <c r="CL385" i="37"/>
  <c r="CL408" i="37"/>
  <c r="CL367" i="37"/>
  <c r="CL363" i="37"/>
  <c r="CL372" i="37"/>
  <c r="CL379" i="37"/>
  <c r="CL404" i="37"/>
  <c r="CL400" i="37"/>
  <c r="CL396" i="37"/>
  <c r="CL392" i="37"/>
  <c r="CL388" i="37"/>
  <c r="CL384" i="37"/>
  <c r="CL409" i="37"/>
  <c r="CL368" i="37"/>
  <c r="CL373" i="37"/>
  <c r="CL380" i="37"/>
  <c r="CL403" i="37"/>
  <c r="CL399" i="37"/>
  <c r="CL395" i="37"/>
  <c r="CL391" i="37"/>
  <c r="CL387" i="37"/>
  <c r="CL383" i="37"/>
  <c r="CL406" i="37"/>
  <c r="ED364" i="37"/>
  <c r="CL374" i="37"/>
  <c r="CL381" i="37"/>
  <c r="CL370" i="37"/>
  <c r="CL365" i="37"/>
  <c r="CL402" i="37"/>
  <c r="CL398" i="37"/>
  <c r="CL394" i="37"/>
  <c r="CL390" i="37"/>
  <c r="CL386" i="37"/>
  <c r="CL407" i="37"/>
  <c r="CL366" i="37"/>
  <c r="CL377" i="37"/>
  <c r="CL371" i="37"/>
  <c r="CL378" i="37"/>
  <c r="CL382" i="37"/>
  <c r="CL364" i="37"/>
  <c r="CL375" i="37"/>
  <c r="CC300" i="37"/>
  <c r="CC301" i="37" s="1"/>
  <c r="CC302" i="37" s="1"/>
  <c r="CC303" i="37" s="1"/>
  <c r="CC304" i="37" s="1"/>
  <c r="CC305" i="37" s="1"/>
  <c r="CC306" i="37" s="1"/>
  <c r="CC307" i="37" s="1"/>
  <c r="CC308" i="37" s="1"/>
  <c r="CC309" i="37" s="1"/>
  <c r="CC310" i="37" s="1"/>
  <c r="CC311" i="37" s="1"/>
  <c r="CC312" i="37" s="1"/>
  <c r="CC313" i="37" s="1"/>
  <c r="CC314" i="37" s="1"/>
  <c r="CC315" i="37" s="1"/>
  <c r="CC316" i="37" s="1"/>
  <c r="CC317" i="37" s="1"/>
  <c r="CC318" i="37" s="1"/>
  <c r="CC319" i="37" s="1"/>
  <c r="CC320" i="37" s="1"/>
  <c r="CC321" i="37" s="1"/>
  <c r="CC322" i="37" s="1"/>
  <c r="CC323" i="37" s="1"/>
  <c r="CC324" i="37" s="1"/>
  <c r="CC325" i="37" s="1"/>
  <c r="CC326" i="37" s="1"/>
  <c r="CC327" i="37" s="1"/>
  <c r="CC328" i="37" s="1"/>
  <c r="CC329" i="37" s="1"/>
  <c r="CC330" i="37" s="1"/>
  <c r="CC331" i="37" s="1"/>
  <c r="CC332" i="37" s="1"/>
  <c r="CC333" i="37" s="1"/>
  <c r="CC334" i="37" s="1"/>
  <c r="CC335" i="37" s="1"/>
  <c r="CC336" i="37" s="1"/>
  <c r="CC337" i="37" s="1"/>
  <c r="CC338" i="37" s="1"/>
  <c r="CC339" i="37" s="1"/>
  <c r="CC340" i="37" s="1"/>
  <c r="CC341" i="37" s="1"/>
  <c r="CC342" i="37" s="1"/>
  <c r="CC343" i="37" s="1"/>
  <c r="CC344" i="37" s="1"/>
  <c r="CC345" i="37" s="1"/>
  <c r="CC346" i="37" s="1"/>
  <c r="CL181" i="37"/>
  <c r="CL205" i="37"/>
  <c r="CL207" i="37"/>
  <c r="CL211" i="37"/>
  <c r="CL215" i="37"/>
  <c r="CL180" i="37"/>
  <c r="CL218" i="37"/>
  <c r="CL179" i="37"/>
  <c r="CL188" i="37"/>
  <c r="CL185" i="37"/>
  <c r="CL191" i="37"/>
  <c r="CL195" i="37"/>
  <c r="CL199" i="37"/>
  <c r="CL203" i="37"/>
  <c r="CL208" i="37"/>
  <c r="CL212" i="37"/>
  <c r="CL216" i="37"/>
  <c r="CL187" i="37"/>
  <c r="CL217" i="37"/>
  <c r="CL206" i="37"/>
  <c r="ED175" i="37"/>
  <c r="CL182" i="37"/>
  <c r="CL192" i="37"/>
  <c r="CL196" i="37"/>
  <c r="CL200" i="37"/>
  <c r="CL204" i="37"/>
  <c r="CL175" i="37"/>
  <c r="CL209" i="37"/>
  <c r="CL213" i="37"/>
  <c r="CL220" i="37"/>
  <c r="CL177" i="37"/>
  <c r="CL183" i="37"/>
  <c r="CL189" i="37"/>
  <c r="CL193" i="37"/>
  <c r="CL197" i="37"/>
  <c r="CL201" i="37"/>
  <c r="CL186" i="37"/>
  <c r="CL210" i="37"/>
  <c r="CL214" i="37"/>
  <c r="CL176" i="37"/>
  <c r="CL219" i="37"/>
  <c r="CL178" i="37"/>
  <c r="CL174" i="37"/>
  <c r="CL184" i="37"/>
  <c r="CL190" i="37"/>
  <c r="CL194" i="37"/>
  <c r="CL198" i="37"/>
  <c r="CL202" i="37"/>
  <c r="CK594" i="37"/>
  <c r="CK586" i="37"/>
  <c r="CK582" i="37"/>
  <c r="CK578" i="37"/>
  <c r="CK560" i="37"/>
  <c r="CK556" i="37"/>
  <c r="CK569" i="37"/>
  <c r="CK565" i="37"/>
  <c r="CK558" i="37"/>
  <c r="CK597" i="37"/>
  <c r="CK593" i="37"/>
  <c r="CK598" i="37"/>
  <c r="CK589" i="37"/>
  <c r="CK585" i="37"/>
  <c r="CK581" i="37"/>
  <c r="CK577" i="37"/>
  <c r="CK590" i="37"/>
  <c r="CK567" i="37"/>
  <c r="CK555" i="37"/>
  <c r="CK572" i="37"/>
  <c r="CK564" i="37"/>
  <c r="CK573" i="37"/>
  <c r="CK557" i="37"/>
  <c r="EC555" i="37"/>
  <c r="CK596" i="37"/>
  <c r="CK592" i="37"/>
  <c r="CK584" i="37"/>
  <c r="CK580" i="37"/>
  <c r="CK576" i="37"/>
  <c r="CK574" i="37"/>
  <c r="CK566" i="37"/>
  <c r="CK571" i="37"/>
  <c r="CK563" i="37"/>
  <c r="CK568" i="37"/>
  <c r="CK599" i="37"/>
  <c r="CK600" i="37"/>
  <c r="CK595" i="37"/>
  <c r="CK591" i="37"/>
  <c r="CK588" i="37"/>
  <c r="CK583" i="37"/>
  <c r="CK579" i="37"/>
  <c r="CK575" i="37"/>
  <c r="CK587" i="37"/>
  <c r="CK561" i="37"/>
  <c r="CK570" i="37"/>
  <c r="CK562" i="37"/>
  <c r="CK554" i="37"/>
  <c r="CK559" i="37"/>
  <c r="EB491" i="37"/>
  <c r="CJ529" i="37"/>
  <c r="CJ525" i="37"/>
  <c r="CJ521" i="37"/>
  <c r="CJ517" i="37"/>
  <c r="CJ513" i="37"/>
  <c r="CJ506" i="37"/>
  <c r="CJ508" i="37"/>
  <c r="CJ510" i="37"/>
  <c r="CJ505" i="37"/>
  <c r="CJ533" i="37"/>
  <c r="CJ534" i="37"/>
  <c r="CJ532" i="37"/>
  <c r="CJ528" i="37"/>
  <c r="CJ524" i="37"/>
  <c r="CJ520" i="37"/>
  <c r="CJ516" i="37"/>
  <c r="CJ512" i="37"/>
  <c r="CJ491" i="37"/>
  <c r="CJ503" i="37"/>
  <c r="CJ493" i="37"/>
  <c r="CJ494" i="37"/>
  <c r="CJ495" i="37"/>
  <c r="CJ498" i="37"/>
  <c r="CJ499" i="37"/>
  <c r="CJ500" i="37"/>
  <c r="CJ501" i="37"/>
  <c r="CJ531" i="37"/>
  <c r="CJ527" i="37"/>
  <c r="CJ523" i="37"/>
  <c r="CJ519" i="37"/>
  <c r="CJ515" i="37"/>
  <c r="CJ511" i="37"/>
  <c r="CJ497" i="37"/>
  <c r="CJ504" i="37"/>
  <c r="CJ490" i="37"/>
  <c r="CJ535" i="37"/>
  <c r="CJ536" i="37"/>
  <c r="CJ530" i="37"/>
  <c r="CJ526" i="37"/>
  <c r="CJ522" i="37"/>
  <c r="CJ518" i="37"/>
  <c r="CJ514" i="37"/>
  <c r="CJ502" i="37"/>
  <c r="CJ507" i="37"/>
  <c r="CJ509" i="37"/>
  <c r="CJ492" i="37"/>
  <c r="CJ496" i="37"/>
  <c r="CL155" i="37"/>
  <c r="CL150" i="37"/>
  <c r="CL146" i="37"/>
  <c r="CL142" i="37"/>
  <c r="CL138" i="37"/>
  <c r="CL134" i="37"/>
  <c r="CL130" i="37"/>
  <c r="CL126" i="37"/>
  <c r="CL121" i="37"/>
  <c r="CL117" i="37"/>
  <c r="CL156" i="37"/>
  <c r="CL149" i="37"/>
  <c r="CL145" i="37"/>
  <c r="CL141" i="37"/>
  <c r="CL137" i="37"/>
  <c r="CL133" i="37"/>
  <c r="CL129" i="37"/>
  <c r="CL125" i="37"/>
  <c r="CL113" i="37"/>
  <c r="CL115" i="37"/>
  <c r="ED111" i="37"/>
  <c r="CL118" i="37"/>
  <c r="CL111" i="37"/>
  <c r="CL123" i="37"/>
  <c r="CL153" i="37"/>
  <c r="CL152" i="37"/>
  <c r="CL148" i="37"/>
  <c r="CL144" i="37"/>
  <c r="CL140" i="37"/>
  <c r="CL136" i="37"/>
  <c r="CL132" i="37"/>
  <c r="CL128" i="37"/>
  <c r="CL119" i="37"/>
  <c r="CL122" i="37"/>
  <c r="CL112" i="37"/>
  <c r="CL116" i="37"/>
  <c r="CL124" i="37"/>
  <c r="CL154" i="37"/>
  <c r="CL151" i="37"/>
  <c r="CL147" i="37"/>
  <c r="CL143" i="37"/>
  <c r="CL139" i="37"/>
  <c r="CL135" i="37"/>
  <c r="CL131" i="37"/>
  <c r="CL127" i="37"/>
  <c r="CL114" i="37"/>
  <c r="CL110" i="37"/>
  <c r="CL120" i="37"/>
  <c r="EB428" i="37"/>
  <c r="CI663" i="37"/>
  <c r="CI658" i="37"/>
  <c r="CI662" i="37"/>
  <c r="CI653" i="37"/>
  <c r="CI646" i="37"/>
  <c r="CI624" i="37"/>
  <c r="CI627" i="37"/>
  <c r="CI620" i="37"/>
  <c r="CI661" i="37"/>
  <c r="CI657" i="37"/>
  <c r="CI652" i="37"/>
  <c r="CI649" i="37"/>
  <c r="CI645" i="37"/>
  <c r="CI637" i="37"/>
  <c r="CI623" i="37"/>
  <c r="CI625" i="37"/>
  <c r="CI621" i="37"/>
  <c r="CI626" i="37"/>
  <c r="CI630" i="37"/>
  <c r="CI619" i="37"/>
  <c r="EA620" i="37"/>
  <c r="CI660" i="37"/>
  <c r="CI656" i="37"/>
  <c r="CI664" i="37"/>
  <c r="CI655" i="37"/>
  <c r="CI651" i="37"/>
  <c r="CI648" i="37"/>
  <c r="CI644" i="37"/>
  <c r="CI633" i="37"/>
  <c r="CI640" i="37"/>
  <c r="CI636" i="37"/>
  <c r="CI632" i="37"/>
  <c r="CI622" i="37"/>
  <c r="CI634" i="37"/>
  <c r="CI629" i="37"/>
  <c r="CI638" i="37"/>
  <c r="CI665" i="37"/>
  <c r="CI659" i="37"/>
  <c r="CI654" i="37"/>
  <c r="CI647" i="37"/>
  <c r="CI643" i="37"/>
  <c r="CI641" i="37"/>
  <c r="CI639" i="37"/>
  <c r="CI635" i="37"/>
  <c r="CI628" i="37"/>
  <c r="CI650" i="37"/>
  <c r="CI642" i="37"/>
  <c r="CI631" i="37"/>
  <c r="CB283" i="37"/>
  <c r="CB278" i="37"/>
  <c r="CB274" i="37"/>
  <c r="CB270" i="37"/>
  <c r="CB266" i="37"/>
  <c r="CB262" i="37"/>
  <c r="CB258" i="37"/>
  <c r="CB254" i="37"/>
  <c r="CB250" i="37"/>
  <c r="CB280" i="37"/>
  <c r="CB245" i="37"/>
  <c r="CB240" i="37"/>
  <c r="CB242" i="37"/>
  <c r="CB277" i="37"/>
  <c r="CB273" i="37"/>
  <c r="CB269" i="37"/>
  <c r="CB265" i="37"/>
  <c r="CB261" i="37"/>
  <c r="CB257" i="37"/>
  <c r="CB253" i="37"/>
  <c r="CB248" i="37"/>
  <c r="CB251" i="37"/>
  <c r="CB281" i="37"/>
  <c r="CB237" i="37"/>
  <c r="CB246" i="37"/>
  <c r="CB276" i="37"/>
  <c r="CB272" i="37"/>
  <c r="CB268" i="37"/>
  <c r="CB264" i="37"/>
  <c r="CB260" i="37"/>
  <c r="CB256" i="37"/>
  <c r="CB252" i="37"/>
  <c r="CB247" i="37"/>
  <c r="CB282" i="37"/>
  <c r="CB249" i="37"/>
  <c r="CB238" i="37"/>
  <c r="CB241" i="37"/>
  <c r="CB279" i="37"/>
  <c r="CB275" i="37"/>
  <c r="CB271" i="37"/>
  <c r="CB267" i="37"/>
  <c r="CB263" i="37"/>
  <c r="CB259" i="37"/>
  <c r="CB255" i="37"/>
  <c r="CB243" i="37"/>
  <c r="CB239" i="37"/>
  <c r="CB244" i="37"/>
  <c r="CR429" i="37"/>
  <c r="CR470" i="37"/>
  <c r="CR471" i="37"/>
  <c r="CR467" i="37"/>
  <c r="CR462" i="37"/>
  <c r="CR459" i="37"/>
  <c r="CR455" i="37"/>
  <c r="CR451" i="37"/>
  <c r="CR447" i="37"/>
  <c r="CR443" i="37"/>
  <c r="CR437" i="37"/>
  <c r="CR432" i="37"/>
  <c r="CR426" i="37"/>
  <c r="CR469" i="37"/>
  <c r="CR466" i="37"/>
  <c r="CR438" i="37"/>
  <c r="CR458" i="37"/>
  <c r="CR454" i="37"/>
  <c r="CR450" i="37"/>
  <c r="CR446" i="37"/>
  <c r="CR442" i="37"/>
  <c r="CR463" i="37"/>
  <c r="CR439" i="37"/>
  <c r="CR428" i="37"/>
  <c r="CR430" i="37"/>
  <c r="CR465" i="37"/>
  <c r="CR433" i="37"/>
  <c r="CR457" i="37"/>
  <c r="CR453" i="37"/>
  <c r="CR449" i="37"/>
  <c r="CR445" i="37"/>
  <c r="CR441" i="37"/>
  <c r="CR461" i="37"/>
  <c r="CR427" i="37"/>
  <c r="CR434" i="37"/>
  <c r="CR435" i="37"/>
  <c r="CR436" i="37"/>
  <c r="CR431" i="37"/>
  <c r="CR472" i="37"/>
  <c r="CR468" i="37"/>
  <c r="CR464" i="37"/>
  <c r="CR460" i="37"/>
  <c r="CR456" i="37"/>
  <c r="CR452" i="37"/>
  <c r="CR448" i="37"/>
  <c r="CR444" i="37"/>
  <c r="CR440" i="37"/>
  <c r="CC50" i="37"/>
  <c r="CC51" i="37" s="1"/>
  <c r="CC52" i="37" s="1"/>
  <c r="CC53" i="37" s="1"/>
  <c r="CC54" i="37" s="1"/>
  <c r="CC55" i="37" s="1"/>
  <c r="CC56" i="37" s="1"/>
  <c r="CC57" i="37" s="1"/>
  <c r="CC58" i="37" s="1"/>
  <c r="CC59" i="37" s="1"/>
  <c r="CC60" i="37" s="1"/>
  <c r="CC61" i="37" s="1"/>
  <c r="CC62" i="37" s="1"/>
  <c r="CC63" i="37" s="1"/>
  <c r="CC64" i="37" s="1"/>
  <c r="CC65" i="37" s="1"/>
  <c r="CC66" i="37" s="1"/>
  <c r="CC67" i="37" s="1"/>
  <c r="CC68" i="37" s="1"/>
  <c r="CC69" i="37" s="1"/>
  <c r="CC70" i="37" s="1"/>
  <c r="CC71" i="37" s="1"/>
  <c r="CC72" i="37" s="1"/>
  <c r="CC73" i="37" s="1"/>
  <c r="CC74" i="37" s="1"/>
  <c r="CC75" i="37" s="1"/>
  <c r="CC76" i="37" s="1"/>
  <c r="CC77" i="37" s="1"/>
  <c r="CC78" i="37" s="1"/>
  <c r="CC79" i="37" s="1"/>
  <c r="CC80" i="37" s="1"/>
  <c r="CC81" i="37" s="1"/>
  <c r="CC82" i="37" s="1"/>
  <c r="CC83" i="37" s="1"/>
  <c r="CC84" i="37" s="1"/>
  <c r="CC85" i="37" s="1"/>
  <c r="CC86" i="37" s="1"/>
  <c r="CC87" i="37" s="1"/>
  <c r="CC88" i="37" s="1"/>
  <c r="CC89" i="37" s="1"/>
  <c r="CC90" i="37" s="1"/>
  <c r="CC91" i="37" s="1"/>
  <c r="CC92" i="37" s="1"/>
  <c r="CC93" i="37" s="1"/>
  <c r="CC94" i="37" s="1"/>
  <c r="CC95" i="37" s="1"/>
  <c r="CC96" i="37" s="1"/>
  <c r="CR371" i="37"/>
  <c r="CT371" i="37" s="1"/>
  <c r="CR372" i="37"/>
  <c r="CT372" i="37" s="1"/>
  <c r="CR373" i="37"/>
  <c r="CT373" i="37" s="1"/>
  <c r="CR374" i="37"/>
  <c r="CT374" i="37" s="1"/>
  <c r="CR407" i="37"/>
  <c r="CR403" i="37"/>
  <c r="CR399" i="37"/>
  <c r="CR395" i="37"/>
  <c r="CR391" i="37"/>
  <c r="CR387" i="37"/>
  <c r="CR408" i="37"/>
  <c r="CR376" i="37"/>
  <c r="CR384" i="37"/>
  <c r="CR363" i="37"/>
  <c r="CT363" i="37" s="1"/>
  <c r="CR364" i="37"/>
  <c r="CT364" i="37" s="1"/>
  <c r="CR402" i="37"/>
  <c r="CR398" i="37"/>
  <c r="CR394" i="37"/>
  <c r="CR390" i="37"/>
  <c r="CR386" i="37"/>
  <c r="CR383" i="37"/>
  <c r="CR366" i="37"/>
  <c r="CR367" i="37"/>
  <c r="CT367" i="37" s="1"/>
  <c r="CR368" i="37"/>
  <c r="CR370" i="37"/>
  <c r="CT370" i="37" s="1"/>
  <c r="CR405" i="37"/>
  <c r="CR401" i="37"/>
  <c r="CR397" i="37"/>
  <c r="CR393" i="37"/>
  <c r="CR389" i="37"/>
  <c r="CR385" i="37"/>
  <c r="CR406" i="37"/>
  <c r="CR365" i="37"/>
  <c r="CT365" i="37" s="1"/>
  <c r="CR369" i="37"/>
  <c r="CR377" i="37"/>
  <c r="CR378" i="37"/>
  <c r="CR379" i="37"/>
  <c r="CR380" i="37"/>
  <c r="CR381" i="37"/>
  <c r="CR382" i="37"/>
  <c r="CR375" i="37"/>
  <c r="CR409" i="37"/>
  <c r="CR404" i="37"/>
  <c r="CT404" i="37" s="1"/>
  <c r="CR400" i="37"/>
  <c r="CT400" i="37" s="1"/>
  <c r="CR396" i="37"/>
  <c r="CT396" i="37" s="1"/>
  <c r="CR392" i="37"/>
  <c r="CT392" i="37" s="1"/>
  <c r="CR388" i="37"/>
  <c r="CT388" i="37" s="1"/>
  <c r="CB407" i="37"/>
  <c r="CB405" i="37"/>
  <c r="CB401" i="37"/>
  <c r="CB397" i="37"/>
  <c r="CB393" i="37"/>
  <c r="CB389" i="37"/>
  <c r="CB385" i="37"/>
  <c r="CB370" i="37"/>
  <c r="CB365" i="37"/>
  <c r="CB369" i="37"/>
  <c r="CB377" i="37"/>
  <c r="CB404" i="37"/>
  <c r="CB400" i="37"/>
  <c r="CB396" i="37"/>
  <c r="CB392" i="37"/>
  <c r="CB388" i="37"/>
  <c r="CB408" i="37"/>
  <c r="CB378" i="37"/>
  <c r="CB379" i="37"/>
  <c r="CB380" i="37"/>
  <c r="CB381" i="37"/>
  <c r="CB382" i="37"/>
  <c r="CB383" i="37"/>
  <c r="CB375" i="37"/>
  <c r="CB409" i="37"/>
  <c r="CB403" i="37"/>
  <c r="CB399" i="37"/>
  <c r="CB395" i="37"/>
  <c r="CB391" i="37"/>
  <c r="CB387" i="37"/>
  <c r="CB406" i="37"/>
  <c r="CB371" i="37"/>
  <c r="CB372" i="37"/>
  <c r="CB373" i="37"/>
  <c r="CB374" i="37"/>
  <c r="CB376" i="37"/>
  <c r="CB402" i="37"/>
  <c r="CB398" i="37"/>
  <c r="CB394" i="37"/>
  <c r="CB390" i="37"/>
  <c r="CB386" i="37"/>
  <c r="CB363" i="37"/>
  <c r="CB364" i="37"/>
  <c r="CB366" i="37"/>
  <c r="CB367" i="37"/>
  <c r="CB368" i="37"/>
  <c r="CB384" i="37"/>
  <c r="CB307" i="37"/>
  <c r="CB342" i="37"/>
  <c r="CB338" i="37"/>
  <c r="CB334" i="37"/>
  <c r="CB330" i="37"/>
  <c r="CB326" i="37"/>
  <c r="CB322" i="37"/>
  <c r="CB318" i="37"/>
  <c r="CB308" i="37"/>
  <c r="CB314" i="37"/>
  <c r="CB303" i="37"/>
  <c r="CB346" i="37"/>
  <c r="CB341" i="37"/>
  <c r="CB337" i="37"/>
  <c r="CB333" i="37"/>
  <c r="CB329" i="37"/>
  <c r="CB325" i="37"/>
  <c r="CB321" i="37"/>
  <c r="CB317" i="37"/>
  <c r="CB311" i="37"/>
  <c r="CB300" i="37"/>
  <c r="CB313" i="37"/>
  <c r="CB340" i="37"/>
  <c r="CB336" i="37"/>
  <c r="CB332" i="37"/>
  <c r="CB328" i="37"/>
  <c r="CB324" i="37"/>
  <c r="CB320" i="37"/>
  <c r="CB316" i="37"/>
  <c r="CB310" i="37"/>
  <c r="CB345" i="37"/>
  <c r="CB305" i="37"/>
  <c r="CB344" i="37"/>
  <c r="CB306" i="37"/>
  <c r="CB302" i="37"/>
  <c r="CB312" i="37"/>
  <c r="CB301" i="37"/>
  <c r="CB339" i="37"/>
  <c r="CB335" i="37"/>
  <c r="CB331" i="37"/>
  <c r="CB327" i="37"/>
  <c r="CB323" i="37"/>
  <c r="CB319" i="37"/>
  <c r="CB315" i="37"/>
  <c r="CB309" i="37"/>
  <c r="CB343" i="37"/>
  <c r="CB304" i="37"/>
  <c r="CA343" i="37"/>
  <c r="CA305" i="37"/>
  <c r="CA346" i="37"/>
  <c r="CA312" i="37"/>
  <c r="CA342" i="37"/>
  <c r="CA338" i="37"/>
  <c r="CA334" i="37"/>
  <c r="CA330" i="37"/>
  <c r="CA326" i="37"/>
  <c r="CA322" i="37"/>
  <c r="CA318" i="37"/>
  <c r="CA314" i="37"/>
  <c r="CA304" i="37"/>
  <c r="CA344" i="37"/>
  <c r="CA306" i="37"/>
  <c r="CD306" i="37" s="1"/>
  <c r="CA307" i="37"/>
  <c r="CA341" i="37"/>
  <c r="CA337" i="37"/>
  <c r="CA333" i="37"/>
  <c r="CA329" i="37"/>
  <c r="CA325" i="37"/>
  <c r="CA321" i="37"/>
  <c r="CA317" i="37"/>
  <c r="CA311" i="37"/>
  <c r="CA301" i="37"/>
  <c r="CA309" i="37"/>
  <c r="CA300" i="37"/>
  <c r="CA345" i="37"/>
  <c r="CA303" i="37"/>
  <c r="CA313" i="37"/>
  <c r="CA302" i="37"/>
  <c r="CA340" i="37"/>
  <c r="CA336" i="37"/>
  <c r="CA332" i="37"/>
  <c r="CA328" i="37"/>
  <c r="CA324" i="37"/>
  <c r="CA320" i="37"/>
  <c r="CA316" i="37"/>
  <c r="CA339" i="37"/>
  <c r="CA335" i="37"/>
  <c r="CA331" i="37"/>
  <c r="CA327" i="37"/>
  <c r="CA323" i="37"/>
  <c r="CA319" i="37"/>
  <c r="CA315" i="37"/>
  <c r="CA308" i="37"/>
  <c r="CA310" i="37"/>
  <c r="CD310" i="37" s="1"/>
  <c r="CK177" i="37"/>
  <c r="CK214" i="37"/>
  <c r="CK210" i="37"/>
  <c r="CK206" i="37"/>
  <c r="CK185" i="37"/>
  <c r="CK191" i="37"/>
  <c r="CK195" i="37"/>
  <c r="CK199" i="37"/>
  <c r="CK203" i="37"/>
  <c r="CK180" i="37"/>
  <c r="CK187" i="37"/>
  <c r="CK213" i="37"/>
  <c r="CK209" i="37"/>
  <c r="CK205" i="37"/>
  <c r="CK217" i="37"/>
  <c r="CK174" i="37"/>
  <c r="CK184" i="37"/>
  <c r="CK190" i="37"/>
  <c r="CK194" i="37"/>
  <c r="CK198" i="37"/>
  <c r="CK202" i="37"/>
  <c r="CK176" i="37"/>
  <c r="CK179" i="37"/>
  <c r="CK216" i="37"/>
  <c r="CK212" i="37"/>
  <c r="CK208" i="37"/>
  <c r="EC175" i="37"/>
  <c r="CK183" i="37"/>
  <c r="CK189" i="37"/>
  <c r="CK193" i="37"/>
  <c r="CK197" i="37"/>
  <c r="CK201" i="37"/>
  <c r="CK186" i="37"/>
  <c r="CK178" i="37"/>
  <c r="CK188" i="37"/>
  <c r="CK215" i="37"/>
  <c r="CK211" i="37"/>
  <c r="CK207" i="37"/>
  <c r="CK219" i="37"/>
  <c r="CK182" i="37"/>
  <c r="CK192" i="37"/>
  <c r="CK196" i="37"/>
  <c r="CK200" i="37"/>
  <c r="CK204" i="37"/>
  <c r="CK218" i="37"/>
  <c r="CK220" i="37"/>
  <c r="CK175" i="37"/>
  <c r="CK181" i="37"/>
  <c r="CR175" i="37"/>
  <c r="CR177" i="37"/>
  <c r="CR178" i="37"/>
  <c r="CR189" i="37"/>
  <c r="CR190" i="37"/>
  <c r="CR191" i="37"/>
  <c r="CR192" i="37"/>
  <c r="CT192" i="37" s="1"/>
  <c r="CR193" i="37"/>
  <c r="CR194" i="37"/>
  <c r="CR195" i="37"/>
  <c r="CR196" i="37"/>
  <c r="CR197" i="37"/>
  <c r="CR198" i="37"/>
  <c r="CT198" i="37" s="1"/>
  <c r="CR199" i="37"/>
  <c r="CR200" i="37"/>
  <c r="CR201" i="37"/>
  <c r="CT201" i="37" s="1"/>
  <c r="CR202" i="37"/>
  <c r="CR203" i="37"/>
  <c r="CT203" i="37" s="1"/>
  <c r="CR204" i="37"/>
  <c r="CR181" i="37"/>
  <c r="CT181" i="37" s="1"/>
  <c r="CR207" i="37"/>
  <c r="CT207" i="37" s="1"/>
  <c r="CR214" i="37"/>
  <c r="CR210" i="37"/>
  <c r="CR218" i="37"/>
  <c r="CR179" i="37"/>
  <c r="CR219" i="37"/>
  <c r="CT219" i="37" s="1"/>
  <c r="CR174" i="37"/>
  <c r="CR182" i="37"/>
  <c r="CR183" i="37"/>
  <c r="CR184" i="37"/>
  <c r="CT184" i="37" s="1"/>
  <c r="CR185" i="37"/>
  <c r="CR186" i="37"/>
  <c r="CT186" i="37" s="1"/>
  <c r="CR213" i="37"/>
  <c r="CT213" i="37" s="1"/>
  <c r="CR209" i="37"/>
  <c r="CT209" i="37" s="1"/>
  <c r="CR176" i="37"/>
  <c r="CR180" i="37"/>
  <c r="CR188" i="37"/>
  <c r="CT188" i="37" s="1"/>
  <c r="CR206" i="37"/>
  <c r="CR216" i="37"/>
  <c r="CT216" i="37" s="1"/>
  <c r="CR212" i="37"/>
  <c r="CT212" i="37" s="1"/>
  <c r="CR208" i="37"/>
  <c r="CT208" i="37" s="1"/>
  <c r="CR217" i="37"/>
  <c r="CT217" i="37" s="1"/>
  <c r="CR205" i="37"/>
  <c r="CT205" i="37" s="1"/>
  <c r="CR215" i="37"/>
  <c r="CR211" i="37"/>
  <c r="CR187" i="37"/>
  <c r="CR220" i="37"/>
  <c r="CI554" i="37"/>
  <c r="CI598" i="37"/>
  <c r="CI595" i="37"/>
  <c r="CI592" i="37"/>
  <c r="CI593" i="37"/>
  <c r="CI586" i="37"/>
  <c r="CI582" i="37"/>
  <c r="CI578" i="37"/>
  <c r="CI572" i="37"/>
  <c r="CI564" i="37"/>
  <c r="CI573" i="37"/>
  <c r="CI568" i="37"/>
  <c r="CI574" i="37"/>
  <c r="CI566" i="37"/>
  <c r="CI555" i="37"/>
  <c r="CI599" i="37"/>
  <c r="CI591" i="37"/>
  <c r="CI585" i="37"/>
  <c r="CI581" i="37"/>
  <c r="CI575" i="37"/>
  <c r="CI571" i="37"/>
  <c r="CI563" i="37"/>
  <c r="CI559" i="37"/>
  <c r="CI560" i="37"/>
  <c r="CI556" i="37"/>
  <c r="CI561" i="37"/>
  <c r="EA555" i="37"/>
  <c r="CI600" i="37"/>
  <c r="CI590" i="37"/>
  <c r="CI589" i="37"/>
  <c r="CI584" i="37"/>
  <c r="CI580" i="37"/>
  <c r="CI570" i="37"/>
  <c r="CI562" i="37"/>
  <c r="CI576" i="37"/>
  <c r="CI558" i="37"/>
  <c r="CI567" i="37"/>
  <c r="CI597" i="37"/>
  <c r="CI596" i="37"/>
  <c r="CI587" i="37"/>
  <c r="CI588" i="37"/>
  <c r="CI594" i="37"/>
  <c r="CI583" i="37"/>
  <c r="CI579" i="37"/>
  <c r="CI569" i="37"/>
  <c r="CI565" i="37"/>
  <c r="CI557" i="37"/>
  <c r="CI577" i="37"/>
  <c r="CS596" i="37"/>
  <c r="CS592" i="37"/>
  <c r="CS588" i="37"/>
  <c r="CS584" i="37"/>
  <c r="CS580" i="37"/>
  <c r="CS576" i="37"/>
  <c r="CS567" i="37"/>
  <c r="CS571" i="37"/>
  <c r="CS565" i="37"/>
  <c r="CS559" i="37"/>
  <c r="CS600" i="37"/>
  <c r="CS595" i="37"/>
  <c r="CS591" i="37"/>
  <c r="CS583" i="37"/>
  <c r="CS579" i="37"/>
  <c r="CS575" i="37"/>
  <c r="CS573" i="37"/>
  <c r="CS560" i="37"/>
  <c r="CS556" i="37"/>
  <c r="CS570" i="37"/>
  <c r="CS564" i="37"/>
  <c r="CS558" i="37"/>
  <c r="CS599" i="37"/>
  <c r="CS594" i="37"/>
  <c r="CS587" i="37"/>
  <c r="CS586" i="37"/>
  <c r="CS582" i="37"/>
  <c r="CS578" i="37"/>
  <c r="CS589" i="37"/>
  <c r="CS566" i="37"/>
  <c r="CS555" i="37"/>
  <c r="CS569" i="37"/>
  <c r="CS563" i="37"/>
  <c r="CS554" i="37"/>
  <c r="CS557" i="37"/>
  <c r="CS597" i="37"/>
  <c r="CS593" i="37"/>
  <c r="CS598" i="37"/>
  <c r="CS585" i="37"/>
  <c r="CS581" i="37"/>
  <c r="CS577" i="37"/>
  <c r="CS590" i="37"/>
  <c r="CS574" i="37"/>
  <c r="CS561" i="37"/>
  <c r="CS562" i="37"/>
  <c r="CS572" i="37"/>
  <c r="CS568" i="37"/>
  <c r="CL598" i="37"/>
  <c r="CL596" i="37"/>
  <c r="CL592" i="37"/>
  <c r="CL588" i="37"/>
  <c r="CL583" i="37"/>
  <c r="CL579" i="37"/>
  <c r="CL575" i="37"/>
  <c r="CL564" i="37"/>
  <c r="CL557" i="37"/>
  <c r="CL556" i="37"/>
  <c r="CL595" i="37"/>
  <c r="CL591" i="37"/>
  <c r="CL587" i="37"/>
  <c r="CL597" i="37"/>
  <c r="CL586" i="37"/>
  <c r="CL582" i="37"/>
  <c r="CL578" i="37"/>
  <c r="CL574" i="37"/>
  <c r="CL555" i="37"/>
  <c r="CL571" i="37"/>
  <c r="CL563" i="37"/>
  <c r="CL568" i="37"/>
  <c r="CL600" i="37"/>
  <c r="CL594" i="37"/>
  <c r="CL590" i="37"/>
  <c r="CL585" i="37"/>
  <c r="CL581" i="37"/>
  <c r="CL577" i="37"/>
  <c r="CL573" i="37"/>
  <c r="CL566" i="37"/>
  <c r="CL570" i="37"/>
  <c r="CL562" i="37"/>
  <c r="CL554" i="37"/>
  <c r="CL559" i="37"/>
  <c r="CL560" i="37"/>
  <c r="ED555" i="37"/>
  <c r="CL593" i="37"/>
  <c r="CL589" i="37"/>
  <c r="CL599" i="37"/>
  <c r="CL584" i="37"/>
  <c r="CL580" i="37"/>
  <c r="CL576" i="37"/>
  <c r="CL572" i="37"/>
  <c r="CL561" i="37"/>
  <c r="CL569" i="37"/>
  <c r="CL565" i="37"/>
  <c r="CL558" i="37"/>
  <c r="CL567" i="37"/>
  <c r="EA365" i="37"/>
  <c r="CR490" i="37"/>
  <c r="CR509" i="37"/>
  <c r="CR502" i="37"/>
  <c r="CR533" i="37"/>
  <c r="CR532" i="37"/>
  <c r="CR528" i="37"/>
  <c r="CR524" i="37"/>
  <c r="CR520" i="37"/>
  <c r="CR516" i="37"/>
  <c r="CR512" i="37"/>
  <c r="CR492" i="37"/>
  <c r="CR496" i="37"/>
  <c r="CR506" i="37"/>
  <c r="CR536" i="37"/>
  <c r="CR531" i="37"/>
  <c r="CT531" i="37" s="1"/>
  <c r="CR527" i="37"/>
  <c r="CT527" i="37" s="1"/>
  <c r="CR523" i="37"/>
  <c r="CT523" i="37" s="1"/>
  <c r="CR519" i="37"/>
  <c r="CT519" i="37" s="1"/>
  <c r="CR515" i="37"/>
  <c r="CT515" i="37" s="1"/>
  <c r="CR511" i="37"/>
  <c r="CT511" i="37" s="1"/>
  <c r="CR508" i="37"/>
  <c r="CT508" i="37" s="1"/>
  <c r="CR505" i="37"/>
  <c r="CR491" i="37"/>
  <c r="CT491" i="37" s="1"/>
  <c r="CR535" i="37"/>
  <c r="CR534" i="37"/>
  <c r="CR530" i="37"/>
  <c r="CT530" i="37" s="1"/>
  <c r="CR526" i="37"/>
  <c r="CT526" i="37" s="1"/>
  <c r="CR522" i="37"/>
  <c r="CT522" i="37" s="1"/>
  <c r="CR518" i="37"/>
  <c r="CT518" i="37" s="1"/>
  <c r="CR514" i="37"/>
  <c r="CT514" i="37" s="1"/>
  <c r="CR503" i="37"/>
  <c r="CR510" i="37"/>
  <c r="CR493" i="37"/>
  <c r="CT493" i="37" s="1"/>
  <c r="CR494" i="37"/>
  <c r="CT494" i="37" s="1"/>
  <c r="CR495" i="37"/>
  <c r="CT495" i="37" s="1"/>
  <c r="CR498" i="37"/>
  <c r="CR499" i="37"/>
  <c r="CR500" i="37"/>
  <c r="CR501" i="37"/>
  <c r="CR507" i="37"/>
  <c r="CR497" i="37"/>
  <c r="CR529" i="37"/>
  <c r="CR525" i="37"/>
  <c r="CR521" i="37"/>
  <c r="CR517" i="37"/>
  <c r="CR513" i="37"/>
  <c r="CR504" i="37"/>
  <c r="CT504" i="37" s="1"/>
  <c r="CB531" i="37"/>
  <c r="CB527" i="37"/>
  <c r="CB523" i="37"/>
  <c r="CB519" i="37"/>
  <c r="CB515" i="37"/>
  <c r="CB511" i="37"/>
  <c r="CB505" i="37"/>
  <c r="CB508" i="37"/>
  <c r="CB491" i="37"/>
  <c r="CB503" i="37"/>
  <c r="CB493" i="37"/>
  <c r="CB494" i="37"/>
  <c r="CB495" i="37"/>
  <c r="CB536" i="37"/>
  <c r="CB530" i="37"/>
  <c r="CB526" i="37"/>
  <c r="CB522" i="37"/>
  <c r="CB518" i="37"/>
  <c r="CB514" i="37"/>
  <c r="CB498" i="37"/>
  <c r="CB499" i="37"/>
  <c r="CB500" i="37"/>
  <c r="CB501" i="37"/>
  <c r="CB510" i="37"/>
  <c r="CB497" i="37"/>
  <c r="CB507" i="37"/>
  <c r="CB504" i="37"/>
  <c r="CB535" i="37"/>
  <c r="CB529" i="37"/>
  <c r="CB525" i="37"/>
  <c r="CB521" i="37"/>
  <c r="CB517" i="37"/>
  <c r="CB513" i="37"/>
  <c r="CB490" i="37"/>
  <c r="CB502" i="37"/>
  <c r="CB492" i="37"/>
  <c r="CB496" i="37"/>
  <c r="CB509" i="37"/>
  <c r="CB533" i="37"/>
  <c r="CB534" i="37"/>
  <c r="CB532" i="37"/>
  <c r="CB528" i="37"/>
  <c r="CB524" i="37"/>
  <c r="CB520" i="37"/>
  <c r="CB516" i="37"/>
  <c r="CB512" i="37"/>
  <c r="CB506" i="37"/>
  <c r="CA113" i="37"/>
  <c r="CA127" i="37"/>
  <c r="CA131" i="37"/>
  <c r="CA119" i="37"/>
  <c r="CA121" i="37"/>
  <c r="CA154" i="37"/>
  <c r="CA149" i="37"/>
  <c r="CA145" i="37"/>
  <c r="CA141" i="37"/>
  <c r="CA137" i="37"/>
  <c r="CA133" i="37"/>
  <c r="CA153" i="37"/>
  <c r="CA117" i="37"/>
  <c r="CA125" i="37"/>
  <c r="CA112" i="37"/>
  <c r="CA128" i="37"/>
  <c r="CA123" i="37"/>
  <c r="CA152" i="37"/>
  <c r="CA148" i="37"/>
  <c r="CA144" i="37"/>
  <c r="CA140" i="37"/>
  <c r="CA136" i="37"/>
  <c r="CA124" i="37"/>
  <c r="CA132" i="37"/>
  <c r="CA126" i="37"/>
  <c r="CA115" i="37"/>
  <c r="CA118" i="37"/>
  <c r="CA120" i="37"/>
  <c r="CA151" i="37"/>
  <c r="CA147" i="37"/>
  <c r="CA143" i="37"/>
  <c r="CA139" i="37"/>
  <c r="CA135" i="37"/>
  <c r="CA155" i="37"/>
  <c r="CA122" i="37"/>
  <c r="CA116" i="37"/>
  <c r="CA130" i="37"/>
  <c r="CA114" i="37"/>
  <c r="CA110" i="37"/>
  <c r="CA156" i="37"/>
  <c r="CA150" i="37"/>
  <c r="CA146" i="37"/>
  <c r="CA142" i="37"/>
  <c r="CA138" i="37"/>
  <c r="CA134" i="37"/>
  <c r="CA111" i="37"/>
  <c r="CA129" i="37"/>
  <c r="CK151" i="37"/>
  <c r="CK147" i="37"/>
  <c r="CK143" i="37"/>
  <c r="CK139" i="37"/>
  <c r="CK135" i="37"/>
  <c r="CK131" i="37"/>
  <c r="CK127" i="37"/>
  <c r="CK153" i="37"/>
  <c r="CK154" i="37"/>
  <c r="EC111" i="37"/>
  <c r="CK118" i="37"/>
  <c r="CK123" i="37"/>
  <c r="CK115" i="37"/>
  <c r="CK150" i="37"/>
  <c r="CK146" i="37"/>
  <c r="CK142" i="37"/>
  <c r="CK138" i="37"/>
  <c r="CK134" i="37"/>
  <c r="CK130" i="37"/>
  <c r="CK126" i="37"/>
  <c r="CK110" i="37"/>
  <c r="CK121" i="37"/>
  <c r="CK112" i="37"/>
  <c r="CK114" i="37"/>
  <c r="CK149" i="37"/>
  <c r="CK145" i="37"/>
  <c r="CK141" i="37"/>
  <c r="CK137" i="37"/>
  <c r="CK133" i="37"/>
  <c r="CK129" i="37"/>
  <c r="CK125" i="37"/>
  <c r="CK155" i="37"/>
  <c r="CK156" i="37"/>
  <c r="CK120" i="37"/>
  <c r="CK122" i="37"/>
  <c r="CK116" i="37"/>
  <c r="CK113" i="37"/>
  <c r="CK152" i="37"/>
  <c r="CK148" i="37"/>
  <c r="CK144" i="37"/>
  <c r="CK140" i="37"/>
  <c r="CK136" i="37"/>
  <c r="CK132" i="37"/>
  <c r="CK128" i="37"/>
  <c r="CK119" i="37"/>
  <c r="CK124" i="37"/>
  <c r="CK111" i="37"/>
  <c r="CK117" i="37"/>
  <c r="EC239" i="37"/>
  <c r="EB239" i="37"/>
  <c r="ED492" i="37"/>
  <c r="EB492" i="37"/>
  <c r="EA621" i="37"/>
  <c r="CC619" i="37"/>
  <c r="CC620" i="37" s="1"/>
  <c r="CC621" i="37" s="1"/>
  <c r="CC622" i="37" s="1"/>
  <c r="CC623" i="37" s="1"/>
  <c r="CC624" i="37" s="1"/>
  <c r="CC625" i="37" s="1"/>
  <c r="CC626" i="37" s="1"/>
  <c r="CC627" i="37" s="1"/>
  <c r="CC628" i="37" s="1"/>
  <c r="CC629" i="37" s="1"/>
  <c r="CC630" i="37" s="1"/>
  <c r="CC631" i="37" s="1"/>
  <c r="CC632" i="37" s="1"/>
  <c r="CC633" i="37" s="1"/>
  <c r="CC634" i="37" s="1"/>
  <c r="CC635" i="37" s="1"/>
  <c r="CC636" i="37" s="1"/>
  <c r="CC637" i="37" s="1"/>
  <c r="CC638" i="37" s="1"/>
  <c r="CC639" i="37" s="1"/>
  <c r="CC640" i="37" s="1"/>
  <c r="CC641" i="37" s="1"/>
  <c r="CC642" i="37" s="1"/>
  <c r="CC643" i="37" s="1"/>
  <c r="CC644" i="37" s="1"/>
  <c r="CC645" i="37" s="1"/>
  <c r="CC646" i="37" s="1"/>
  <c r="CC647" i="37" s="1"/>
  <c r="CC648" i="37" s="1"/>
  <c r="CC649" i="37" s="1"/>
  <c r="CC650" i="37" s="1"/>
  <c r="CC651" i="37" s="1"/>
  <c r="CC652" i="37" s="1"/>
  <c r="CC653" i="37" s="1"/>
  <c r="CC654" i="37" s="1"/>
  <c r="CC655" i="37" s="1"/>
  <c r="CC656" i="37" s="1"/>
  <c r="CC657" i="37" s="1"/>
  <c r="CC658" i="37" s="1"/>
  <c r="CC659" i="37" s="1"/>
  <c r="CC660" i="37" s="1"/>
  <c r="CC661" i="37" s="1"/>
  <c r="CC662" i="37" s="1"/>
  <c r="CC663" i="37" s="1"/>
  <c r="CC664" i="37" s="1"/>
  <c r="CC665" i="37" s="1"/>
  <c r="CA663" i="37"/>
  <c r="CA661" i="37"/>
  <c r="CA653" i="37"/>
  <c r="CA664" i="37"/>
  <c r="CA650" i="37"/>
  <c r="CA647" i="37"/>
  <c r="CA643" i="37"/>
  <c r="CA642" i="37"/>
  <c r="CA639" i="37"/>
  <c r="CA623" i="37"/>
  <c r="CA621" i="37"/>
  <c r="CA628" i="37"/>
  <c r="CA660" i="37"/>
  <c r="CA652" i="37"/>
  <c r="CA656" i="37"/>
  <c r="CA646" i="37"/>
  <c r="CA641" i="37"/>
  <c r="CA638" i="37"/>
  <c r="CA634" i="37"/>
  <c r="CA622" i="37"/>
  <c r="CA635" i="37"/>
  <c r="CA627" i="37"/>
  <c r="CA665" i="37"/>
  <c r="CA654" i="37"/>
  <c r="CA657" i="37"/>
  <c r="CA644" i="37"/>
  <c r="CA640" i="37"/>
  <c r="CA624" i="37"/>
  <c r="CA625" i="37"/>
  <c r="CA626" i="37"/>
  <c r="CA659" i="37"/>
  <c r="CA651" i="37"/>
  <c r="CA649" i="37"/>
  <c r="CA633" i="37"/>
  <c r="CA637" i="37"/>
  <c r="CA631" i="37"/>
  <c r="CA632" i="37"/>
  <c r="CA620" i="37"/>
  <c r="CA619" i="37"/>
  <c r="CA658" i="37"/>
  <c r="CA648" i="37"/>
  <c r="CA636" i="37"/>
  <c r="CA630" i="37"/>
  <c r="CA629" i="37"/>
  <c r="CA655" i="37"/>
  <c r="CA662" i="37"/>
  <c r="CA645" i="37"/>
  <c r="CK250" i="37"/>
  <c r="CK242" i="37"/>
  <c r="CK240" i="37"/>
  <c r="CK239" i="37"/>
  <c r="CK243" i="37"/>
  <c r="CK241" i="37"/>
  <c r="CK245" i="37"/>
  <c r="CK247" i="37"/>
  <c r="CK279" i="37"/>
  <c r="CK249" i="37"/>
  <c r="CK237" i="37"/>
  <c r="CK252" i="37"/>
  <c r="CK254" i="37"/>
  <c r="CK256" i="37"/>
  <c r="CK258" i="37"/>
  <c r="CK260" i="37"/>
  <c r="CK262" i="37"/>
  <c r="CK264" i="37"/>
  <c r="CK266" i="37"/>
  <c r="CK268" i="37"/>
  <c r="CK270" i="37"/>
  <c r="CK272" i="37"/>
  <c r="CK274" i="37"/>
  <c r="CK276" i="37"/>
  <c r="CK278" i="37"/>
  <c r="CK238" i="37"/>
  <c r="CK281" i="37"/>
  <c r="EC238" i="37"/>
  <c r="CK246" i="37"/>
  <c r="CK248" i="37"/>
  <c r="CK244" i="37"/>
  <c r="CK251" i="37"/>
  <c r="CK253" i="37"/>
  <c r="CK255" i="37"/>
  <c r="CK257" i="37"/>
  <c r="CK259" i="37"/>
  <c r="CK261" i="37"/>
  <c r="CK263" i="37"/>
  <c r="CK265" i="37"/>
  <c r="CK267" i="37"/>
  <c r="CK269" i="37"/>
  <c r="CK271" i="37"/>
  <c r="CK273" i="37"/>
  <c r="CK275" i="37"/>
  <c r="CK277" i="37"/>
  <c r="CK283" i="37"/>
  <c r="CK280" i="37"/>
  <c r="CK282" i="37"/>
  <c r="CI249" i="37"/>
  <c r="CI248" i="37"/>
  <c r="CI244" i="37"/>
  <c r="CI237" i="37"/>
  <c r="CI247" i="37"/>
  <c r="CI246" i="37"/>
  <c r="CI238" i="37"/>
  <c r="CI245" i="37"/>
  <c r="CI281" i="37"/>
  <c r="CI252" i="37"/>
  <c r="CI256" i="37"/>
  <c r="CI260" i="37"/>
  <c r="CI264" i="37"/>
  <c r="CI268" i="37"/>
  <c r="CI272" i="37"/>
  <c r="CI276" i="37"/>
  <c r="CI283" i="37"/>
  <c r="CI280" i="37"/>
  <c r="EA238" i="37"/>
  <c r="CI239" i="37"/>
  <c r="CI243" i="37"/>
  <c r="CI240" i="37"/>
  <c r="CI251" i="37"/>
  <c r="CI253" i="37"/>
  <c r="CI257" i="37"/>
  <c r="CI261" i="37"/>
  <c r="CI265" i="37"/>
  <c r="CI269" i="37"/>
  <c r="CI273" i="37"/>
  <c r="CI277" i="37"/>
  <c r="CI250" i="37"/>
  <c r="CI241" i="37"/>
  <c r="CI254" i="37"/>
  <c r="CI258" i="37"/>
  <c r="CI262" i="37"/>
  <c r="CI266" i="37"/>
  <c r="CI270" i="37"/>
  <c r="CI274" i="37"/>
  <c r="CI278" i="37"/>
  <c r="CI282" i="37"/>
  <c r="CI242" i="37"/>
  <c r="CI255" i="37"/>
  <c r="CI259" i="37"/>
  <c r="CI263" i="37"/>
  <c r="CI267" i="37"/>
  <c r="CI271" i="37"/>
  <c r="CI275" i="37"/>
  <c r="CI279" i="37"/>
  <c r="CS250" i="37"/>
  <c r="CS243" i="37"/>
  <c r="CS241" i="37"/>
  <c r="CS242" i="37"/>
  <c r="CS240" i="37"/>
  <c r="CS239" i="37"/>
  <c r="CS253" i="37"/>
  <c r="CS255" i="37"/>
  <c r="CS257" i="37"/>
  <c r="CS259" i="37"/>
  <c r="CS261" i="37"/>
  <c r="CS263" i="37"/>
  <c r="CS265" i="37"/>
  <c r="CS267" i="37"/>
  <c r="CS269" i="37"/>
  <c r="CS271" i="37"/>
  <c r="CS273" i="37"/>
  <c r="CS275" i="37"/>
  <c r="CS277" i="37"/>
  <c r="CS283" i="37"/>
  <c r="CS280" i="37"/>
  <c r="CS282" i="37"/>
  <c r="CS245" i="37"/>
  <c r="CS247" i="37"/>
  <c r="CS279" i="37"/>
  <c r="CS249" i="37"/>
  <c r="CS237" i="37"/>
  <c r="CS252" i="37"/>
  <c r="CS254" i="37"/>
  <c r="CS256" i="37"/>
  <c r="CS258" i="37"/>
  <c r="CS260" i="37"/>
  <c r="CS262" i="37"/>
  <c r="CS264" i="37"/>
  <c r="CS266" i="37"/>
  <c r="CS268" i="37"/>
  <c r="CS270" i="37"/>
  <c r="CS272" i="37"/>
  <c r="CS274" i="37"/>
  <c r="CS276" i="37"/>
  <c r="CS278" i="37"/>
  <c r="CS238" i="37"/>
  <c r="CS281" i="37"/>
  <c r="CS246" i="37"/>
  <c r="CS248" i="37"/>
  <c r="CS244" i="37"/>
  <c r="CS251" i="37"/>
  <c r="CL466" i="37"/>
  <c r="CL440" i="37"/>
  <c r="CL433" i="37"/>
  <c r="CL458" i="37"/>
  <c r="CL454" i="37"/>
  <c r="CL450" i="37"/>
  <c r="CL446" i="37"/>
  <c r="CL442" i="37"/>
  <c r="CL434" i="37"/>
  <c r="CL426" i="37"/>
  <c r="CL428" i="37"/>
  <c r="CL465" i="37"/>
  <c r="CL470" i="37"/>
  <c r="CL463" i="37"/>
  <c r="CL431" i="37"/>
  <c r="CL457" i="37"/>
  <c r="CL453" i="37"/>
  <c r="CL449" i="37"/>
  <c r="CL445" i="37"/>
  <c r="CL441" i="37"/>
  <c r="CL437" i="37"/>
  <c r="ED427" i="37"/>
  <c r="CL432" i="37"/>
  <c r="CL468" i="37"/>
  <c r="CL464" i="37"/>
  <c r="CL469" i="37"/>
  <c r="CL430" i="37"/>
  <c r="CL460" i="37"/>
  <c r="CL456" i="37"/>
  <c r="CL452" i="37"/>
  <c r="CL448" i="37"/>
  <c r="CL444" i="37"/>
  <c r="CL436" i="37"/>
  <c r="CL427" i="37"/>
  <c r="CL471" i="37"/>
  <c r="CL467" i="37"/>
  <c r="CL472" i="37"/>
  <c r="CL461" i="37"/>
  <c r="CL429" i="37"/>
  <c r="CL439" i="37"/>
  <c r="CL462" i="37"/>
  <c r="CL438" i="37"/>
  <c r="CL459" i="37"/>
  <c r="CL455" i="37"/>
  <c r="CL451" i="37"/>
  <c r="CL447" i="37"/>
  <c r="CL443" i="37"/>
  <c r="CL435" i="37"/>
  <c r="CJ427" i="37"/>
  <c r="CJ470" i="37"/>
  <c r="CJ471" i="37"/>
  <c r="CJ467" i="37"/>
  <c r="CJ463" i="37"/>
  <c r="CJ458" i="37"/>
  <c r="CJ454" i="37"/>
  <c r="CJ450" i="37"/>
  <c r="CJ446" i="37"/>
  <c r="CJ442" i="37"/>
  <c r="CJ436" i="37"/>
  <c r="CJ469" i="37"/>
  <c r="CJ466" i="37"/>
  <c r="CJ461" i="37"/>
  <c r="CJ457" i="37"/>
  <c r="CJ453" i="37"/>
  <c r="CJ449" i="37"/>
  <c r="CJ445" i="37"/>
  <c r="CJ441" i="37"/>
  <c r="CJ437" i="37"/>
  <c r="CJ440" i="37"/>
  <c r="CJ462" i="37"/>
  <c r="CJ429" i="37"/>
  <c r="CJ472" i="37"/>
  <c r="CJ465" i="37"/>
  <c r="CJ438" i="37"/>
  <c r="CJ460" i="37"/>
  <c r="CJ456" i="37"/>
  <c r="CJ452" i="37"/>
  <c r="CJ448" i="37"/>
  <c r="CJ444" i="37"/>
  <c r="CJ432" i="37"/>
  <c r="CJ428" i="37"/>
  <c r="CJ426" i="37"/>
  <c r="CJ430" i="37"/>
  <c r="CJ434" i="37"/>
  <c r="EB427" i="37"/>
  <c r="CJ468" i="37"/>
  <c r="CJ464" i="37"/>
  <c r="CJ433" i="37"/>
  <c r="CJ459" i="37"/>
  <c r="CJ455" i="37"/>
  <c r="CJ451" i="37"/>
  <c r="CJ447" i="37"/>
  <c r="CJ443" i="37"/>
  <c r="CJ439" i="37"/>
  <c r="CJ435" i="37"/>
  <c r="CJ431" i="37"/>
  <c r="EB556" i="37"/>
  <c r="CI301" i="37"/>
  <c r="CI304" i="37"/>
  <c r="CI342" i="37"/>
  <c r="CI338" i="37"/>
  <c r="CI334" i="37"/>
  <c r="CI330" i="37"/>
  <c r="CI326" i="37"/>
  <c r="CI322" i="37"/>
  <c r="CI318" i="37"/>
  <c r="CI309" i="37"/>
  <c r="CI343" i="37"/>
  <c r="CI303" i="37"/>
  <c r="CI346" i="37"/>
  <c r="CI306" i="37"/>
  <c r="CI302" i="37"/>
  <c r="CI312" i="37"/>
  <c r="CI341" i="37"/>
  <c r="CI337" i="37"/>
  <c r="CI333" i="37"/>
  <c r="CI329" i="37"/>
  <c r="CI325" i="37"/>
  <c r="CI321" i="37"/>
  <c r="CI317" i="37"/>
  <c r="CI300" i="37"/>
  <c r="CI314" i="37"/>
  <c r="CI313" i="37"/>
  <c r="CI307" i="37"/>
  <c r="CI340" i="37"/>
  <c r="CI336" i="37"/>
  <c r="CI332" i="37"/>
  <c r="CI328" i="37"/>
  <c r="CI324" i="37"/>
  <c r="CI320" i="37"/>
  <c r="CI316" i="37"/>
  <c r="CI308" i="37"/>
  <c r="EA301" i="37"/>
  <c r="CI310" i="37"/>
  <c r="CI345" i="37"/>
  <c r="CI305" i="37"/>
  <c r="CI344" i="37"/>
  <c r="CI339" i="37"/>
  <c r="CI335" i="37"/>
  <c r="CI331" i="37"/>
  <c r="CI327" i="37"/>
  <c r="CI323" i="37"/>
  <c r="CI319" i="37"/>
  <c r="CI315" i="37"/>
  <c r="CI311" i="37"/>
  <c r="CA555" i="37"/>
  <c r="CA597" i="37"/>
  <c r="CA596" i="37"/>
  <c r="CA589" i="37"/>
  <c r="CA593" i="37"/>
  <c r="CA585" i="37"/>
  <c r="CA581" i="37"/>
  <c r="CA569" i="37"/>
  <c r="CA563" i="37"/>
  <c r="CA557" i="37"/>
  <c r="CA560" i="37"/>
  <c r="CA577" i="37"/>
  <c r="CA600" i="37"/>
  <c r="CA587" i="37"/>
  <c r="CA588" i="37"/>
  <c r="CA592" i="37"/>
  <c r="CA590" i="37"/>
  <c r="CA584" i="37"/>
  <c r="CA580" i="37"/>
  <c r="CA573" i="37"/>
  <c r="CA562" i="37"/>
  <c r="CA567" i="37"/>
  <c r="CA556" i="37"/>
  <c r="CA599" i="37"/>
  <c r="CA598" i="37"/>
  <c r="CA595" i="37"/>
  <c r="CA591" i="37"/>
  <c r="CA583" i="37"/>
  <c r="CA579" i="37"/>
  <c r="CA571" i="37"/>
  <c r="CA565" i="37"/>
  <c r="CA574" i="37"/>
  <c r="CA559" i="37"/>
  <c r="CA576" i="37"/>
  <c r="CA572" i="37"/>
  <c r="CA566" i="37"/>
  <c r="CA554" i="37"/>
  <c r="CA594" i="37"/>
  <c r="CA586" i="37"/>
  <c r="CA582" i="37"/>
  <c r="CA578" i="37"/>
  <c r="CA570" i="37"/>
  <c r="CA564" i="37"/>
  <c r="CA568" i="37"/>
  <c r="CA558" i="37"/>
  <c r="CA575" i="37"/>
  <c r="CA561" i="37"/>
  <c r="EB112" i="37"/>
  <c r="CS119" i="37"/>
  <c r="CS150" i="37"/>
  <c r="CS146" i="37"/>
  <c r="CS142" i="37"/>
  <c r="CS138" i="37"/>
  <c r="CS134" i="37"/>
  <c r="CS130" i="37"/>
  <c r="CS126" i="37"/>
  <c r="CS111" i="37"/>
  <c r="CS117" i="37"/>
  <c r="CS118" i="37"/>
  <c r="CS149" i="37"/>
  <c r="CS145" i="37"/>
  <c r="CS141" i="37"/>
  <c r="CS137" i="37"/>
  <c r="CS133" i="37"/>
  <c r="CS129" i="37"/>
  <c r="CS125" i="37"/>
  <c r="CS156" i="37"/>
  <c r="CS124" i="37"/>
  <c r="CS115" i="37"/>
  <c r="CS110" i="37"/>
  <c r="CS121" i="37"/>
  <c r="CS152" i="37"/>
  <c r="CS148" i="37"/>
  <c r="CS144" i="37"/>
  <c r="CS140" i="37"/>
  <c r="CS136" i="37"/>
  <c r="CS132" i="37"/>
  <c r="CS128" i="37"/>
  <c r="CS155" i="37"/>
  <c r="CS123" i="37"/>
  <c r="CS112" i="37"/>
  <c r="CS114" i="37"/>
  <c r="CS120" i="37"/>
  <c r="CS151" i="37"/>
  <c r="CS147" i="37"/>
  <c r="CS143" i="37"/>
  <c r="CS139" i="37"/>
  <c r="CS135" i="37"/>
  <c r="CS131" i="37"/>
  <c r="CS127" i="37"/>
  <c r="CS153" i="37"/>
  <c r="CS154" i="37"/>
  <c r="CS122" i="37"/>
  <c r="CS116" i="37"/>
  <c r="CS113" i="37"/>
  <c r="CS661" i="37"/>
  <c r="CS657" i="37"/>
  <c r="CS648" i="37"/>
  <c r="CS644" i="37"/>
  <c r="CS655" i="37"/>
  <c r="CS640" i="37"/>
  <c r="CS636" i="37"/>
  <c r="CS654" i="37"/>
  <c r="CS632" i="37"/>
  <c r="CS620" i="37"/>
  <c r="CS629" i="37"/>
  <c r="CS622" i="37"/>
  <c r="CS619" i="37"/>
  <c r="CS660" i="37"/>
  <c r="CS656" i="37"/>
  <c r="CS665" i="37"/>
  <c r="CS647" i="37"/>
  <c r="CS643" i="37"/>
  <c r="CS650" i="37"/>
  <c r="CS653" i="37"/>
  <c r="CS631" i="37"/>
  <c r="CS639" i="37"/>
  <c r="CS635" i="37"/>
  <c r="CS626" i="37"/>
  <c r="CS628" i="37"/>
  <c r="CS621" i="37"/>
  <c r="CS662" i="37"/>
  <c r="CS663" i="37"/>
  <c r="CS649" i="37"/>
  <c r="CS641" i="37"/>
  <c r="CS633" i="37"/>
  <c r="CS625" i="37"/>
  <c r="CS659" i="37"/>
  <c r="CS646" i="37"/>
  <c r="CS651" i="37"/>
  <c r="CS638" i="37"/>
  <c r="CS627" i="37"/>
  <c r="CS624" i="37"/>
  <c r="CS658" i="37"/>
  <c r="CS645" i="37"/>
  <c r="CS637" i="37"/>
  <c r="CS623" i="37"/>
  <c r="CS664" i="37"/>
  <c r="CS652" i="37"/>
  <c r="CS642" i="37"/>
  <c r="CS634" i="37"/>
  <c r="CS630" i="37"/>
  <c r="EC556" i="37"/>
  <c r="CC363" i="37"/>
  <c r="CC364" i="37" s="1"/>
  <c r="CC365" i="37" s="1"/>
  <c r="CC366" i="37" s="1"/>
  <c r="CC367" i="37" s="1"/>
  <c r="CC368" i="37" s="1"/>
  <c r="CC369" i="37" s="1"/>
  <c r="CC370" i="37" s="1"/>
  <c r="CC371" i="37" s="1"/>
  <c r="CC372" i="37" s="1"/>
  <c r="CC373" i="37" s="1"/>
  <c r="CC374" i="37" s="1"/>
  <c r="CC375" i="37" s="1"/>
  <c r="CC376" i="37" s="1"/>
  <c r="CC377" i="37" s="1"/>
  <c r="CC378" i="37" s="1"/>
  <c r="CC379" i="37" s="1"/>
  <c r="CC380" i="37" s="1"/>
  <c r="CC381" i="37" s="1"/>
  <c r="CC382" i="37" s="1"/>
  <c r="CC383" i="37" s="1"/>
  <c r="CC384" i="37" s="1"/>
  <c r="CC385" i="37" s="1"/>
  <c r="CC386" i="37" s="1"/>
  <c r="CC387" i="37" s="1"/>
  <c r="CC388" i="37" s="1"/>
  <c r="CC389" i="37" s="1"/>
  <c r="CC390" i="37" s="1"/>
  <c r="CC391" i="37" s="1"/>
  <c r="CC392" i="37" s="1"/>
  <c r="CC393" i="37" s="1"/>
  <c r="CC394" i="37" s="1"/>
  <c r="CC395" i="37" s="1"/>
  <c r="CC396" i="37" s="1"/>
  <c r="CC397" i="37" s="1"/>
  <c r="CC398" i="37" s="1"/>
  <c r="CC399" i="37" s="1"/>
  <c r="CC400" i="37" s="1"/>
  <c r="CC401" i="37" s="1"/>
  <c r="CC402" i="37" s="1"/>
  <c r="CC403" i="37" s="1"/>
  <c r="CC404" i="37" s="1"/>
  <c r="CC405" i="37" s="1"/>
  <c r="CC406" i="37" s="1"/>
  <c r="CC407" i="37" s="1"/>
  <c r="CC408" i="37" s="1"/>
  <c r="CC409" i="37" s="1"/>
  <c r="CA404" i="37"/>
  <c r="CA400" i="37"/>
  <c r="CA396" i="37"/>
  <c r="CA392" i="37"/>
  <c r="CA388" i="37"/>
  <c r="CA365" i="37"/>
  <c r="CA369" i="37"/>
  <c r="CA386" i="37"/>
  <c r="CA366" i="37"/>
  <c r="CA368" i="37"/>
  <c r="CA363" i="37"/>
  <c r="CA406" i="37"/>
  <c r="CA403" i="37"/>
  <c r="CA399" i="37"/>
  <c r="CA395" i="37"/>
  <c r="CA391" i="37"/>
  <c r="CA387" i="37"/>
  <c r="CA375" i="37"/>
  <c r="CA376" i="37"/>
  <c r="CA377" i="37"/>
  <c r="CA372" i="37"/>
  <c r="CA374" i="37"/>
  <c r="CA379" i="37"/>
  <c r="CA381" i="37"/>
  <c r="CA383" i="37"/>
  <c r="CA409" i="37"/>
  <c r="CA402" i="37"/>
  <c r="CA398" i="37"/>
  <c r="CA394" i="37"/>
  <c r="CA390" i="37"/>
  <c r="CA370" i="37"/>
  <c r="CA367" i="37"/>
  <c r="CA384" i="37"/>
  <c r="CA408" i="37"/>
  <c r="CA407" i="37"/>
  <c r="CA405" i="37"/>
  <c r="CA401" i="37"/>
  <c r="CA397" i="37"/>
  <c r="CA393" i="37"/>
  <c r="CA389" i="37"/>
  <c r="CA364" i="37"/>
  <c r="CA385" i="37"/>
  <c r="CA371" i="37"/>
  <c r="CA373" i="37"/>
  <c r="CD373" i="37" s="1"/>
  <c r="CA378" i="37"/>
  <c r="CA380" i="37"/>
  <c r="CA382" i="37"/>
  <c r="CK404" i="37"/>
  <c r="CK400" i="37"/>
  <c r="CK396" i="37"/>
  <c r="CK392" i="37"/>
  <c r="CK388" i="37"/>
  <c r="CK384" i="37"/>
  <c r="CK406" i="37"/>
  <c r="CK407" i="37"/>
  <c r="CK364" i="37"/>
  <c r="CK375" i="37"/>
  <c r="CK369" i="37"/>
  <c r="CK368" i="37"/>
  <c r="CK403" i="37"/>
  <c r="CK399" i="37"/>
  <c r="CK395" i="37"/>
  <c r="CK391" i="37"/>
  <c r="CK387" i="37"/>
  <c r="CK370" i="37"/>
  <c r="CK376" i="37"/>
  <c r="CK367" i="37"/>
  <c r="CK377" i="37"/>
  <c r="CK383" i="37"/>
  <c r="CK402" i="37"/>
  <c r="CK398" i="37"/>
  <c r="CK394" i="37"/>
  <c r="CK390" i="37"/>
  <c r="CK386" i="37"/>
  <c r="CK408" i="37"/>
  <c r="CK409" i="37"/>
  <c r="EC364" i="37"/>
  <c r="CK371" i="37"/>
  <c r="CK372" i="37"/>
  <c r="CK373" i="37"/>
  <c r="CK374" i="37"/>
  <c r="CK378" i="37"/>
  <c r="CK379" i="37"/>
  <c r="CK380" i="37"/>
  <c r="CK381" i="37"/>
  <c r="CK382" i="37"/>
  <c r="CK366" i="37"/>
  <c r="CK405" i="37"/>
  <c r="CK401" i="37"/>
  <c r="CK397" i="37"/>
  <c r="CK393" i="37"/>
  <c r="CK389" i="37"/>
  <c r="CK385" i="37"/>
  <c r="CK363" i="37"/>
  <c r="CK365" i="37"/>
  <c r="CL302" i="37"/>
  <c r="CL301" i="37"/>
  <c r="CL340" i="37"/>
  <c r="CL336" i="37"/>
  <c r="CL332" i="37"/>
  <c r="CL328" i="37"/>
  <c r="CL324" i="37"/>
  <c r="CL320" i="37"/>
  <c r="CL316" i="37"/>
  <c r="CL308" i="37"/>
  <c r="CL300" i="37"/>
  <c r="CL343" i="37"/>
  <c r="CL303" i="37"/>
  <c r="CL313" i="37"/>
  <c r="CL339" i="37"/>
  <c r="CL335" i="37"/>
  <c r="CL331" i="37"/>
  <c r="CL327" i="37"/>
  <c r="CL323" i="37"/>
  <c r="CL319" i="37"/>
  <c r="CL315" i="37"/>
  <c r="CL311" i="37"/>
  <c r="CL314" i="37"/>
  <c r="CL344" i="37"/>
  <c r="CL342" i="37"/>
  <c r="CL338" i="37"/>
  <c r="CL334" i="37"/>
  <c r="CL330" i="37"/>
  <c r="CL326" i="37"/>
  <c r="CL322" i="37"/>
  <c r="CL318" i="37"/>
  <c r="CL310" i="37"/>
  <c r="CL345" i="37"/>
  <c r="CL305" i="37"/>
  <c r="CL312" i="37"/>
  <c r="ED301" i="37"/>
  <c r="CL341" i="37"/>
  <c r="CL337" i="37"/>
  <c r="CL333" i="37"/>
  <c r="CL329" i="37"/>
  <c r="CL325" i="37"/>
  <c r="CL321" i="37"/>
  <c r="CL317" i="37"/>
  <c r="CL309" i="37"/>
  <c r="CL304" i="37"/>
  <c r="CL346" i="37"/>
  <c r="CL306" i="37"/>
  <c r="CL307" i="37"/>
  <c r="CJ303" i="37"/>
  <c r="CJ300" i="37"/>
  <c r="CJ344" i="37"/>
  <c r="CJ307" i="37"/>
  <c r="CJ341" i="37"/>
  <c r="CJ337" i="37"/>
  <c r="CJ333" i="37"/>
  <c r="CJ329" i="37"/>
  <c r="CJ325" i="37"/>
  <c r="CJ321" i="37"/>
  <c r="CJ317" i="37"/>
  <c r="CJ309" i="37"/>
  <c r="CJ314" i="37"/>
  <c r="CJ340" i="37"/>
  <c r="CJ336" i="37"/>
  <c r="CJ332" i="37"/>
  <c r="CJ328" i="37"/>
  <c r="CJ324" i="37"/>
  <c r="CJ320" i="37"/>
  <c r="CJ316" i="37"/>
  <c r="CJ308" i="37"/>
  <c r="CJ345" i="37"/>
  <c r="CJ305" i="37"/>
  <c r="EB301" i="37"/>
  <c r="CJ346" i="37"/>
  <c r="CJ306" i="37"/>
  <c r="CJ302" i="37"/>
  <c r="CJ301" i="37"/>
  <c r="CJ339" i="37"/>
  <c r="CJ335" i="37"/>
  <c r="CJ331" i="37"/>
  <c r="CJ327" i="37"/>
  <c r="CJ323" i="37"/>
  <c r="CJ319" i="37"/>
  <c r="CJ315" i="37"/>
  <c r="CJ311" i="37"/>
  <c r="CJ304" i="37"/>
  <c r="CJ313" i="37"/>
  <c r="CJ312" i="37"/>
  <c r="CJ342" i="37"/>
  <c r="CJ338" i="37"/>
  <c r="CJ334" i="37"/>
  <c r="CJ330" i="37"/>
  <c r="CJ326" i="37"/>
  <c r="CJ322" i="37"/>
  <c r="CJ318" i="37"/>
  <c r="CJ310" i="37"/>
  <c r="CJ343" i="37"/>
  <c r="CC174" i="37"/>
  <c r="CC175" i="37" s="1"/>
  <c r="CC176" i="37" s="1"/>
  <c r="CC177" i="37" s="1"/>
  <c r="CC178" i="37" s="1"/>
  <c r="CC179" i="37" s="1"/>
  <c r="CC180" i="37" s="1"/>
  <c r="CC181" i="37" s="1"/>
  <c r="CC182" i="37" s="1"/>
  <c r="CC183" i="37" s="1"/>
  <c r="CC184" i="37" s="1"/>
  <c r="CC185" i="37" s="1"/>
  <c r="CC186" i="37" s="1"/>
  <c r="CC187" i="37" s="1"/>
  <c r="CC188" i="37" s="1"/>
  <c r="CC189" i="37" s="1"/>
  <c r="CC190" i="37" s="1"/>
  <c r="CC191" i="37" s="1"/>
  <c r="CC192" i="37" s="1"/>
  <c r="CC193" i="37" s="1"/>
  <c r="CC194" i="37" s="1"/>
  <c r="CC195" i="37" s="1"/>
  <c r="CC196" i="37" s="1"/>
  <c r="CC197" i="37" s="1"/>
  <c r="CC198" i="37" s="1"/>
  <c r="CC199" i="37" s="1"/>
  <c r="CC200" i="37" s="1"/>
  <c r="CC201" i="37" s="1"/>
  <c r="CC202" i="37" s="1"/>
  <c r="CC203" i="37" s="1"/>
  <c r="CC204" i="37" s="1"/>
  <c r="CC205" i="37" s="1"/>
  <c r="CC206" i="37" s="1"/>
  <c r="CC207" i="37" s="1"/>
  <c r="CC208" i="37" s="1"/>
  <c r="CC209" i="37" s="1"/>
  <c r="CC210" i="37" s="1"/>
  <c r="CC211" i="37" s="1"/>
  <c r="CC212" i="37" s="1"/>
  <c r="CC213" i="37" s="1"/>
  <c r="CC214" i="37" s="1"/>
  <c r="CC215" i="37" s="1"/>
  <c r="CC216" i="37" s="1"/>
  <c r="CC217" i="37" s="1"/>
  <c r="CC218" i="37" s="1"/>
  <c r="CC219" i="37" s="1"/>
  <c r="CC220" i="37" s="1"/>
  <c r="CA185" i="37"/>
  <c r="CA190" i="37"/>
  <c r="CA194" i="37"/>
  <c r="CA218" i="37"/>
  <c r="CA175" i="37"/>
  <c r="CA209" i="37"/>
  <c r="CA211" i="37"/>
  <c r="CA213" i="37"/>
  <c r="CA215" i="37"/>
  <c r="CA188" i="37"/>
  <c r="CA184" i="37"/>
  <c r="CA189" i="37"/>
  <c r="CA193" i="37"/>
  <c r="CA196" i="37"/>
  <c r="CA198" i="37"/>
  <c r="CA200" i="37"/>
  <c r="CA202" i="37"/>
  <c r="CA204" i="37"/>
  <c r="CA178" i="37"/>
  <c r="CA219" i="37"/>
  <c r="CA174" i="37"/>
  <c r="CA183" i="37"/>
  <c r="CA192" i="37"/>
  <c r="CA206" i="37"/>
  <c r="CA208" i="37"/>
  <c r="CA210" i="37"/>
  <c r="CA212" i="37"/>
  <c r="CA214" i="37"/>
  <c r="CA216" i="37"/>
  <c r="CA180" i="37"/>
  <c r="CA187" i="37"/>
  <c r="CA182" i="37"/>
  <c r="CA191" i="37"/>
  <c r="CA195" i="37"/>
  <c r="CA197" i="37"/>
  <c r="CA199" i="37"/>
  <c r="CA201" i="37"/>
  <c r="CA203" i="37"/>
  <c r="CA220" i="37"/>
  <c r="CA181" i="37"/>
  <c r="CA186" i="37"/>
  <c r="CA217" i="37"/>
  <c r="CA176" i="37"/>
  <c r="CA177" i="37"/>
  <c r="CA179" i="37"/>
  <c r="CA205" i="37"/>
  <c r="CA207" i="37"/>
  <c r="CR554" i="37"/>
  <c r="CT554" i="37" s="1"/>
  <c r="CR596" i="37"/>
  <c r="CR592" i="37"/>
  <c r="CR597" i="37"/>
  <c r="CR586" i="37"/>
  <c r="CT586" i="37" s="1"/>
  <c r="CR582" i="37"/>
  <c r="CT582" i="37" s="1"/>
  <c r="CR578" i="37"/>
  <c r="CT578" i="37" s="1"/>
  <c r="CR589" i="37"/>
  <c r="CT589" i="37" s="1"/>
  <c r="CR557" i="37"/>
  <c r="CR573" i="37"/>
  <c r="CR560" i="37"/>
  <c r="CR561" i="37"/>
  <c r="CR571" i="37"/>
  <c r="CR565" i="37"/>
  <c r="CR595" i="37"/>
  <c r="CT595" i="37" s="1"/>
  <c r="CR590" i="37"/>
  <c r="CR587" i="37"/>
  <c r="CR585" i="37"/>
  <c r="CT585" i="37" s="1"/>
  <c r="CR581" i="37"/>
  <c r="CT581" i="37" s="1"/>
  <c r="CR577" i="37"/>
  <c r="CT577" i="37" s="1"/>
  <c r="CR567" i="37"/>
  <c r="CR556" i="37"/>
  <c r="CT556" i="37" s="1"/>
  <c r="CR555" i="37"/>
  <c r="CR570" i="37"/>
  <c r="CR564" i="37"/>
  <c r="CR594" i="37"/>
  <c r="CR600" i="37"/>
  <c r="CR599" i="37"/>
  <c r="CR584" i="37"/>
  <c r="CR580" i="37"/>
  <c r="CR576" i="37"/>
  <c r="CR572" i="37"/>
  <c r="CR559" i="37"/>
  <c r="CT559" i="37" s="1"/>
  <c r="CR575" i="37"/>
  <c r="CR569" i="37"/>
  <c r="CT569" i="37" s="1"/>
  <c r="CR563" i="37"/>
  <c r="CT563" i="37" s="1"/>
  <c r="CR593" i="37"/>
  <c r="CR598" i="37"/>
  <c r="CR591" i="37"/>
  <c r="CR588" i="37"/>
  <c r="CR583" i="37"/>
  <c r="CT583" i="37" s="1"/>
  <c r="CR579" i="37"/>
  <c r="CT579" i="37" s="1"/>
  <c r="CR568" i="37"/>
  <c r="CR558" i="37"/>
  <c r="CR574" i="37"/>
  <c r="CR566" i="37"/>
  <c r="CR562" i="37"/>
  <c r="CB596" i="37"/>
  <c r="CB592" i="37"/>
  <c r="CB588" i="37"/>
  <c r="CB589" i="37"/>
  <c r="CB583" i="37"/>
  <c r="CB579" i="37"/>
  <c r="CB574" i="37"/>
  <c r="CB557" i="37"/>
  <c r="CB567" i="37"/>
  <c r="CB572" i="37"/>
  <c r="CB570" i="37"/>
  <c r="CB564" i="37"/>
  <c r="CB554" i="37"/>
  <c r="CB595" i="37"/>
  <c r="CB600" i="37"/>
  <c r="CB586" i="37"/>
  <c r="CB582" i="37"/>
  <c r="CB578" i="37"/>
  <c r="CB568" i="37"/>
  <c r="CB575" i="37"/>
  <c r="CB560" i="37"/>
  <c r="CB556" i="37"/>
  <c r="CB573" i="37"/>
  <c r="CB569" i="37"/>
  <c r="CB563" i="37"/>
  <c r="CB594" i="37"/>
  <c r="CB599" i="37"/>
  <c r="CB585" i="37"/>
  <c r="CB581" i="37"/>
  <c r="CB577" i="37"/>
  <c r="CB587" i="37"/>
  <c r="CB559" i="37"/>
  <c r="CB566" i="37"/>
  <c r="CB555" i="37"/>
  <c r="CB562" i="37"/>
  <c r="CB593" i="37"/>
  <c r="CB598" i="37"/>
  <c r="CB591" i="37"/>
  <c r="CB597" i="37"/>
  <c r="CB590" i="37"/>
  <c r="CB584" i="37"/>
  <c r="CB580" i="37"/>
  <c r="CB576" i="37"/>
  <c r="CB558" i="37"/>
  <c r="CB561" i="37"/>
  <c r="CB571" i="37"/>
  <c r="CB565" i="37"/>
  <c r="EC112" i="37"/>
  <c r="CC490" i="37"/>
  <c r="CC491" i="37" s="1"/>
  <c r="CC492" i="37" s="1"/>
  <c r="CC493" i="37" s="1"/>
  <c r="CC494" i="37" s="1"/>
  <c r="CC495" i="37" s="1"/>
  <c r="CC496" i="37" s="1"/>
  <c r="CC497" i="37" s="1"/>
  <c r="CC498" i="37" s="1"/>
  <c r="CC499" i="37" s="1"/>
  <c r="CC500" i="37" s="1"/>
  <c r="CC501" i="37" s="1"/>
  <c r="CC502" i="37" s="1"/>
  <c r="CC503" i="37" s="1"/>
  <c r="CC504" i="37" s="1"/>
  <c r="CC505" i="37" s="1"/>
  <c r="CC506" i="37" s="1"/>
  <c r="CC507" i="37" s="1"/>
  <c r="CC508" i="37" s="1"/>
  <c r="CC509" i="37" s="1"/>
  <c r="CC510" i="37" s="1"/>
  <c r="CC511" i="37" s="1"/>
  <c r="CC512" i="37" s="1"/>
  <c r="CC513" i="37" s="1"/>
  <c r="CC514" i="37" s="1"/>
  <c r="CC515" i="37" s="1"/>
  <c r="CC516" i="37" s="1"/>
  <c r="CC517" i="37" s="1"/>
  <c r="CC518" i="37" s="1"/>
  <c r="CC519" i="37" s="1"/>
  <c r="CC520" i="37" s="1"/>
  <c r="CC521" i="37" s="1"/>
  <c r="CC522" i="37" s="1"/>
  <c r="CC523" i="37" s="1"/>
  <c r="CC524" i="37" s="1"/>
  <c r="CC525" i="37" s="1"/>
  <c r="CC526" i="37" s="1"/>
  <c r="CC527" i="37" s="1"/>
  <c r="CC528" i="37" s="1"/>
  <c r="CC529" i="37" s="1"/>
  <c r="CC530" i="37" s="1"/>
  <c r="CC531" i="37" s="1"/>
  <c r="CC532" i="37" s="1"/>
  <c r="CC533" i="37" s="1"/>
  <c r="CC534" i="37" s="1"/>
  <c r="CC535" i="37" s="1"/>
  <c r="CC536" i="37" s="1"/>
  <c r="CA532" i="37"/>
  <c r="CA528" i="37"/>
  <c r="CA524" i="37"/>
  <c r="CA520" i="37"/>
  <c r="CA533" i="37"/>
  <c r="CA502" i="37"/>
  <c r="CA519" i="37"/>
  <c r="CA518" i="37"/>
  <c r="CA494" i="37"/>
  <c r="CA498" i="37"/>
  <c r="CA500" i="37"/>
  <c r="CA505" i="37"/>
  <c r="CA531" i="37"/>
  <c r="CA527" i="37"/>
  <c r="CA523" i="37"/>
  <c r="CA536" i="37"/>
  <c r="CA497" i="37"/>
  <c r="CA512" i="37"/>
  <c r="CA514" i="37"/>
  <c r="CA516" i="37"/>
  <c r="CA492" i="37"/>
  <c r="CA496" i="37"/>
  <c r="CA490" i="37"/>
  <c r="CA530" i="37"/>
  <c r="CA526" i="37"/>
  <c r="CA522" i="37"/>
  <c r="CA535" i="37"/>
  <c r="CA534" i="37"/>
  <c r="CA491" i="37"/>
  <c r="CA503" i="37"/>
  <c r="CA507" i="37"/>
  <c r="CA509" i="37"/>
  <c r="CA493" i="37"/>
  <c r="CA495" i="37"/>
  <c r="CA499" i="37"/>
  <c r="CA501" i="37"/>
  <c r="CA529" i="37"/>
  <c r="CA525" i="37"/>
  <c r="CA521" i="37"/>
  <c r="CA511" i="37"/>
  <c r="CA513" i="37"/>
  <c r="CA515" i="37"/>
  <c r="CA517" i="37"/>
  <c r="CA504" i="37"/>
  <c r="CA506" i="37"/>
  <c r="CA508" i="37"/>
  <c r="CA510" i="37"/>
  <c r="CK495" i="37"/>
  <c r="CK534" i="37"/>
  <c r="CK530" i="37"/>
  <c r="CK526" i="37"/>
  <c r="CK522" i="37"/>
  <c r="CK518" i="37"/>
  <c r="CK514" i="37"/>
  <c r="CK510" i="37"/>
  <c r="CK506" i="37"/>
  <c r="CK533" i="37"/>
  <c r="CK490" i="37"/>
  <c r="CK492" i="37"/>
  <c r="CK494" i="37"/>
  <c r="CK504" i="37"/>
  <c r="CK529" i="37"/>
  <c r="CK525" i="37"/>
  <c r="CK521" i="37"/>
  <c r="CK517" i="37"/>
  <c r="CK513" i="37"/>
  <c r="CK509" i="37"/>
  <c r="CK496" i="37"/>
  <c r="CK493" i="37"/>
  <c r="CK536" i="37"/>
  <c r="CK532" i="37"/>
  <c r="CK528" i="37"/>
  <c r="CK524" i="37"/>
  <c r="CK520" i="37"/>
  <c r="CK516" i="37"/>
  <c r="CK512" i="37"/>
  <c r="CK508" i="37"/>
  <c r="CK535" i="37"/>
  <c r="CK491" i="37"/>
  <c r="CK502" i="37"/>
  <c r="CK503" i="37"/>
  <c r="CK531" i="37"/>
  <c r="CK527" i="37"/>
  <c r="CK523" i="37"/>
  <c r="CK519" i="37"/>
  <c r="CK515" i="37"/>
  <c r="CK511" i="37"/>
  <c r="CK507" i="37"/>
  <c r="EC491" i="37"/>
  <c r="CK498" i="37"/>
  <c r="CK499" i="37"/>
  <c r="CK500" i="37"/>
  <c r="CK501" i="37"/>
  <c r="CK505" i="37"/>
  <c r="CK497" i="37"/>
  <c r="CJ149" i="37"/>
  <c r="CJ145" i="37"/>
  <c r="CJ141" i="37"/>
  <c r="CJ137" i="37"/>
  <c r="CJ154" i="37"/>
  <c r="CJ117" i="37"/>
  <c r="CJ127" i="37"/>
  <c r="CJ112" i="37"/>
  <c r="CJ135" i="37"/>
  <c r="CJ110" i="37"/>
  <c r="CJ118" i="37"/>
  <c r="CJ119" i="37"/>
  <c r="CJ120" i="37"/>
  <c r="CJ121" i="37"/>
  <c r="CJ152" i="37"/>
  <c r="CJ148" i="37"/>
  <c r="CJ144" i="37"/>
  <c r="CJ140" i="37"/>
  <c r="CJ136" i="37"/>
  <c r="CJ153" i="37"/>
  <c r="CJ122" i="37"/>
  <c r="CJ131" i="37"/>
  <c r="CJ123" i="37"/>
  <c r="CJ132" i="37"/>
  <c r="EB111" i="37"/>
  <c r="CJ130" i="37"/>
  <c r="CJ151" i="37"/>
  <c r="CJ147" i="37"/>
  <c r="CJ143" i="37"/>
  <c r="CJ139" i="37"/>
  <c r="CJ156" i="37"/>
  <c r="CJ111" i="37"/>
  <c r="CJ128" i="37"/>
  <c r="CJ133" i="37"/>
  <c r="CJ113" i="37"/>
  <c r="CJ114" i="37"/>
  <c r="CJ115" i="37"/>
  <c r="CJ126" i="37"/>
  <c r="CJ150" i="37"/>
  <c r="CJ146" i="37"/>
  <c r="CJ142" i="37"/>
  <c r="CJ138" i="37"/>
  <c r="CJ155" i="37"/>
  <c r="CJ116" i="37"/>
  <c r="CJ134" i="37"/>
  <c r="CJ125" i="37"/>
  <c r="CJ129" i="37"/>
  <c r="CJ124" i="37"/>
  <c r="CC110" i="37"/>
  <c r="CC111" i="37" s="1"/>
  <c r="CC112" i="37" s="1"/>
  <c r="CC113" i="37" s="1"/>
  <c r="CC114" i="37" s="1"/>
  <c r="CC115" i="37" s="1"/>
  <c r="CC116" i="37" s="1"/>
  <c r="CC117" i="37" s="1"/>
  <c r="CC118" i="37" s="1"/>
  <c r="CC119" i="37" s="1"/>
  <c r="CC120" i="37" s="1"/>
  <c r="CC121" i="37" s="1"/>
  <c r="CC122" i="37" s="1"/>
  <c r="CC123" i="37" s="1"/>
  <c r="CC124" i="37" s="1"/>
  <c r="CC125" i="37" s="1"/>
  <c r="CC126" i="37" s="1"/>
  <c r="CC127" i="37" s="1"/>
  <c r="CC128" i="37" s="1"/>
  <c r="CC129" i="37" s="1"/>
  <c r="CC130" i="37" s="1"/>
  <c r="CC131" i="37" s="1"/>
  <c r="CC132" i="37" s="1"/>
  <c r="CC133" i="37" s="1"/>
  <c r="CC134" i="37" s="1"/>
  <c r="CC135" i="37" s="1"/>
  <c r="CC136" i="37" s="1"/>
  <c r="CC137" i="37" s="1"/>
  <c r="CC138" i="37" s="1"/>
  <c r="CC139" i="37" s="1"/>
  <c r="CC140" i="37" s="1"/>
  <c r="CC141" i="37" s="1"/>
  <c r="CC142" i="37" s="1"/>
  <c r="CC143" i="37" s="1"/>
  <c r="CC144" i="37" s="1"/>
  <c r="CC145" i="37" s="1"/>
  <c r="CC146" i="37" s="1"/>
  <c r="CC147" i="37" s="1"/>
  <c r="CC148" i="37" s="1"/>
  <c r="CC149" i="37" s="1"/>
  <c r="CC150" i="37" s="1"/>
  <c r="CC151" i="37" s="1"/>
  <c r="CC152" i="37" s="1"/>
  <c r="CC153" i="37" s="1"/>
  <c r="CC154" i="37" s="1"/>
  <c r="CC155" i="37" s="1"/>
  <c r="CC156" i="37" s="1"/>
  <c r="ED239" i="37"/>
  <c r="EA239" i="37"/>
  <c r="ED302" i="37"/>
  <c r="EB302" i="37"/>
  <c r="EA492" i="37"/>
  <c r="ED621" i="37"/>
  <c r="EC621" i="37"/>
  <c r="EC428" i="37"/>
  <c r="CR661" i="37"/>
  <c r="CT661" i="37" s="1"/>
  <c r="CR657" i="37"/>
  <c r="CT657" i="37" s="1"/>
  <c r="CR662" i="37"/>
  <c r="CT662" i="37" s="1"/>
  <c r="CR655" i="37"/>
  <c r="CR652" i="37"/>
  <c r="CR647" i="37"/>
  <c r="CR632" i="37"/>
  <c r="CR640" i="37"/>
  <c r="CR620" i="37"/>
  <c r="CR628" i="37"/>
  <c r="CR624" i="37"/>
  <c r="CR622" i="37"/>
  <c r="CT622" i="37" s="1"/>
  <c r="CR623" i="37"/>
  <c r="CR660" i="37"/>
  <c r="CT660" i="37" s="1"/>
  <c r="CR665" i="37"/>
  <c r="CR654" i="37"/>
  <c r="CT654" i="37" s="1"/>
  <c r="CR646" i="37"/>
  <c r="CR639" i="37"/>
  <c r="CT639" i="37" s="1"/>
  <c r="CR642" i="37"/>
  <c r="CR635" i="37"/>
  <c r="CR636" i="37"/>
  <c r="CR627" i="37"/>
  <c r="CR631" i="37"/>
  <c r="CR644" i="37"/>
  <c r="CT644" i="37" s="1"/>
  <c r="CR641" i="37"/>
  <c r="CR643" i="37"/>
  <c r="CT643" i="37" s="1"/>
  <c r="CR633" i="37"/>
  <c r="CT633" i="37" s="1"/>
  <c r="CR629" i="37"/>
  <c r="CR659" i="37"/>
  <c r="CR663" i="37"/>
  <c r="CR649" i="37"/>
  <c r="CR638" i="37"/>
  <c r="CT638" i="37" s="1"/>
  <c r="CR625" i="37"/>
  <c r="CR658" i="37"/>
  <c r="CR656" i="37"/>
  <c r="CT656" i="37" s="1"/>
  <c r="CR648" i="37"/>
  <c r="CR650" i="37"/>
  <c r="CR637" i="37"/>
  <c r="CR621" i="37"/>
  <c r="CR626" i="37"/>
  <c r="CT626" i="37" s="1"/>
  <c r="CR619" i="37"/>
  <c r="CT619" i="37" s="1"/>
  <c r="CR664" i="37"/>
  <c r="CR645" i="37"/>
  <c r="CR651" i="37"/>
  <c r="CR653" i="37"/>
  <c r="CR634" i="37"/>
  <c r="CT634" i="37" s="1"/>
  <c r="CR630" i="37"/>
  <c r="CT630" i="37" s="1"/>
  <c r="CJ620" i="37"/>
  <c r="EB620" i="37"/>
  <c r="CJ661" i="37"/>
  <c r="CJ657" i="37"/>
  <c r="CJ662" i="37"/>
  <c r="CJ623" i="37"/>
  <c r="CJ659" i="37"/>
  <c r="CJ654" i="37"/>
  <c r="CJ650" i="37"/>
  <c r="CJ646" i="37"/>
  <c r="CJ656" i="37"/>
  <c r="CJ637" i="37"/>
  <c r="CJ634" i="37"/>
  <c r="CJ658" i="37"/>
  <c r="CJ665" i="37"/>
  <c r="CJ649" i="37"/>
  <c r="CJ645" i="37"/>
  <c r="CJ643" i="37"/>
  <c r="CJ640" i="37"/>
  <c r="CJ633" i="37"/>
  <c r="CJ630" i="37"/>
  <c r="CJ653" i="37"/>
  <c r="CJ648" i="37"/>
  <c r="CJ644" i="37"/>
  <c r="CJ641" i="37"/>
  <c r="CJ639" i="37"/>
  <c r="CJ629" i="37"/>
  <c r="CJ631" i="37"/>
  <c r="CJ635" i="37"/>
  <c r="CJ619" i="37"/>
  <c r="CJ622" i="37"/>
  <c r="CJ660" i="37"/>
  <c r="CJ664" i="37"/>
  <c r="CJ655" i="37"/>
  <c r="CJ663" i="37"/>
  <c r="CJ651" i="37"/>
  <c r="CJ647" i="37"/>
  <c r="CJ632" i="37"/>
  <c r="CJ652" i="37"/>
  <c r="CJ638" i="37"/>
  <c r="CJ625" i="37"/>
  <c r="CJ621" i="37"/>
  <c r="CJ628" i="37"/>
  <c r="CJ636" i="37"/>
  <c r="CJ624" i="37"/>
  <c r="CJ642" i="37"/>
  <c r="CJ626" i="37"/>
  <c r="CJ627" i="37"/>
  <c r="CL249" i="37"/>
  <c r="CL244" i="37"/>
  <c r="CL239" i="37"/>
  <c r="CL243" i="37"/>
  <c r="CL238" i="37"/>
  <c r="CL242" i="37"/>
  <c r="CL251" i="37"/>
  <c r="CL237" i="37"/>
  <c r="CL245" i="37"/>
  <c r="CL254" i="37"/>
  <c r="CL258" i="37"/>
  <c r="CL262" i="37"/>
  <c r="CL266" i="37"/>
  <c r="CL270" i="37"/>
  <c r="CL274" i="37"/>
  <c r="CL278" i="37"/>
  <c r="CL280" i="37"/>
  <c r="CL246" i="37"/>
  <c r="CL255" i="37"/>
  <c r="CL259" i="37"/>
  <c r="CL263" i="37"/>
  <c r="CL267" i="37"/>
  <c r="CL271" i="37"/>
  <c r="CL275" i="37"/>
  <c r="CL283" i="37"/>
  <c r="CL250" i="37"/>
  <c r="CL281" i="37"/>
  <c r="CL240" i="37"/>
  <c r="CL247" i="37"/>
  <c r="CL252" i="37"/>
  <c r="CL256" i="37"/>
  <c r="CL260" i="37"/>
  <c r="CL264" i="37"/>
  <c r="CL268" i="37"/>
  <c r="CL272" i="37"/>
  <c r="CL276" i="37"/>
  <c r="CL279" i="37"/>
  <c r="ED238" i="37"/>
  <c r="CL241" i="37"/>
  <c r="CL248" i="37"/>
  <c r="CL253" i="37"/>
  <c r="CL257" i="37"/>
  <c r="CL261" i="37"/>
  <c r="CL265" i="37"/>
  <c r="CL269" i="37"/>
  <c r="CL273" i="37"/>
  <c r="CL277" i="37"/>
  <c r="CL282" i="37"/>
  <c r="CR248" i="37"/>
  <c r="CR247" i="37"/>
  <c r="CT247" i="37" s="1"/>
  <c r="CR251" i="37"/>
  <c r="CR245" i="37"/>
  <c r="CR241" i="37"/>
  <c r="CT241" i="37" s="1"/>
  <c r="CR237" i="37"/>
  <c r="CR246" i="37"/>
  <c r="CR242" i="37"/>
  <c r="CR240" i="37"/>
  <c r="CR238" i="37"/>
  <c r="CR239" i="37"/>
  <c r="CR283" i="37"/>
  <c r="CR249" i="37"/>
  <c r="CR243" i="37"/>
  <c r="CR252" i="37"/>
  <c r="CR254" i="37"/>
  <c r="CR256" i="37"/>
  <c r="CR258" i="37"/>
  <c r="CR260" i="37"/>
  <c r="CR262" i="37"/>
  <c r="CR264" i="37"/>
  <c r="CR266" i="37"/>
  <c r="CR268" i="37"/>
  <c r="CR270" i="37"/>
  <c r="CR272" i="37"/>
  <c r="CR274" i="37"/>
  <c r="CR276" i="37"/>
  <c r="CR278" i="37"/>
  <c r="CR282" i="37"/>
  <c r="CR281" i="37"/>
  <c r="CR244" i="37"/>
  <c r="CR280" i="37"/>
  <c r="CR250" i="37"/>
  <c r="CR253" i="37"/>
  <c r="CR255" i="37"/>
  <c r="CR257" i="37"/>
  <c r="CR259" i="37"/>
  <c r="CR261" i="37"/>
  <c r="CR263" i="37"/>
  <c r="CR265" i="37"/>
  <c r="CR267" i="37"/>
  <c r="CR269" i="37"/>
  <c r="CR271" i="37"/>
  <c r="CR273" i="37"/>
  <c r="CR275" i="37"/>
  <c r="CR277" i="37"/>
  <c r="CR279" i="37"/>
  <c r="CT279" i="37" s="1"/>
  <c r="ED176" i="37"/>
  <c r="EB176" i="37"/>
  <c r="CI426" i="37"/>
  <c r="CI466" i="37"/>
  <c r="CI470" i="37"/>
  <c r="CI464" i="37"/>
  <c r="CI432" i="37"/>
  <c r="CI438" i="37"/>
  <c r="CM438" i="37" s="1"/>
  <c r="DW433" i="37" s="1"/>
  <c r="CI461" i="37"/>
  <c r="CI457" i="37"/>
  <c r="CI453" i="37"/>
  <c r="CI449" i="37"/>
  <c r="CI445" i="37"/>
  <c r="CI441" i="37"/>
  <c r="CI437" i="37"/>
  <c r="CI430" i="37"/>
  <c r="CI465" i="37"/>
  <c r="CI469" i="37"/>
  <c r="CI439" i="37"/>
  <c r="CI460" i="37"/>
  <c r="CI456" i="37"/>
  <c r="CI452" i="37"/>
  <c r="CI448" i="37"/>
  <c r="CI444" i="37"/>
  <c r="CI436" i="37"/>
  <c r="CI429" i="37"/>
  <c r="CI427" i="37"/>
  <c r="CI428" i="37"/>
  <c r="CI468" i="37"/>
  <c r="CI472" i="37"/>
  <c r="CI462" i="37"/>
  <c r="CI463" i="37"/>
  <c r="CI459" i="37"/>
  <c r="CI455" i="37"/>
  <c r="CI451" i="37"/>
  <c r="CI447" i="37"/>
  <c r="CI443" i="37"/>
  <c r="CI435" i="37"/>
  <c r="CI440" i="37"/>
  <c r="CI471" i="37"/>
  <c r="CI467" i="37"/>
  <c r="CI458" i="37"/>
  <c r="CI454" i="37"/>
  <c r="CI450" i="37"/>
  <c r="CI446" i="37"/>
  <c r="CI442" i="37"/>
  <c r="CI434" i="37"/>
  <c r="CI431" i="37"/>
  <c r="CI433" i="37"/>
  <c r="EA427" i="37"/>
  <c r="CS467" i="37"/>
  <c r="CS463" i="37"/>
  <c r="CS457" i="37"/>
  <c r="CS453" i="37"/>
  <c r="CS449" i="37"/>
  <c r="CS445" i="37"/>
  <c r="CS441" i="37"/>
  <c r="CS435" i="37"/>
  <c r="CS439" i="37"/>
  <c r="CS466" i="37"/>
  <c r="CS462" i="37"/>
  <c r="CS470" i="37"/>
  <c r="CS460" i="37"/>
  <c r="CS456" i="37"/>
  <c r="CS452" i="37"/>
  <c r="CS448" i="37"/>
  <c r="CS444" i="37"/>
  <c r="CS434" i="37"/>
  <c r="CS432" i="37"/>
  <c r="CS471" i="37"/>
  <c r="CS465" i="37"/>
  <c r="CS461" i="37"/>
  <c r="CS469" i="37"/>
  <c r="CS459" i="37"/>
  <c r="CS455" i="37"/>
  <c r="CS451" i="37"/>
  <c r="CS447" i="37"/>
  <c r="CS443" i="37"/>
  <c r="CS437" i="37"/>
  <c r="CS438" i="37"/>
  <c r="CS427" i="37"/>
  <c r="CS431" i="37"/>
  <c r="CS428" i="37"/>
  <c r="CS430" i="37"/>
  <c r="CS426" i="37"/>
  <c r="CS468" i="37"/>
  <c r="CS464" i="37"/>
  <c r="CS472" i="37"/>
  <c r="CS458" i="37"/>
  <c r="CS454" i="37"/>
  <c r="CS450" i="37"/>
  <c r="CS446" i="37"/>
  <c r="CS442" i="37"/>
  <c r="CS436" i="37"/>
  <c r="CS440" i="37"/>
  <c r="CS433" i="37"/>
  <c r="CS429" i="37"/>
  <c r="ED556" i="37"/>
  <c r="DI76" i="34"/>
  <c r="DK76" i="34" s="1"/>
  <c r="DP87" i="34"/>
  <c r="DP61" i="34"/>
  <c r="DP74" i="34"/>
  <c r="DP65" i="34"/>
  <c r="DP69" i="34"/>
  <c r="DP67" i="34"/>
  <c r="DP58" i="34"/>
  <c r="DP91" i="34"/>
  <c r="DP83" i="34"/>
  <c r="DP56" i="34"/>
  <c r="DP73" i="34"/>
  <c r="DP46" i="34"/>
  <c r="DP89" i="34"/>
  <c r="BU70" i="31"/>
  <c r="BU48" i="31"/>
  <c r="BU55" i="31"/>
  <c r="BU37" i="31"/>
  <c r="BU46" i="31"/>
  <c r="BU32" i="31"/>
  <c r="BU76" i="31"/>
  <c r="BU64" i="31"/>
  <c r="BU78" i="31"/>
  <c r="BU74" i="31"/>
  <c r="BU47" i="31"/>
  <c r="BU69" i="31"/>
  <c r="BU28" i="31"/>
  <c r="BU42" i="31"/>
  <c r="BU61" i="31"/>
  <c r="BU57" i="31"/>
  <c r="BU27" i="31"/>
  <c r="BU41" i="31"/>
  <c r="BU51" i="31"/>
  <c r="BU59" i="31"/>
  <c r="BU31" i="31"/>
  <c r="BU71" i="31"/>
  <c r="BU50" i="31"/>
  <c r="BU26" i="31"/>
  <c r="BU23" i="31"/>
  <c r="BU65" i="31"/>
  <c r="BU24" i="31"/>
  <c r="BU43" i="31"/>
  <c r="BU58" i="31"/>
  <c r="BU35" i="31"/>
  <c r="BU66" i="31"/>
  <c r="BU77" i="31"/>
  <c r="BU18" i="31"/>
  <c r="BU38" i="31"/>
  <c r="BU67" i="31"/>
  <c r="BU49" i="31"/>
  <c r="BU30" i="31"/>
  <c r="BU62" i="31"/>
  <c r="BU52" i="31"/>
  <c r="BU72" i="31"/>
  <c r="BU40" i="31"/>
  <c r="BU54" i="31"/>
  <c r="BU45" i="31"/>
  <c r="BU25" i="31"/>
  <c r="BU56" i="31"/>
  <c r="BU34" i="31"/>
  <c r="BU60" i="31"/>
  <c r="BU33" i="31"/>
  <c r="BU39" i="31"/>
  <c r="BU29" i="31"/>
  <c r="BU44" i="31"/>
  <c r="BU53" i="31"/>
  <c r="BU75" i="31"/>
  <c r="BU68" i="31"/>
  <c r="BU63" i="31"/>
  <c r="BU36" i="31"/>
  <c r="BU73" i="31"/>
  <c r="AX77" i="31"/>
  <c r="AX57" i="31"/>
  <c r="AX68" i="31"/>
  <c r="AX42" i="31"/>
  <c r="AX65" i="31"/>
  <c r="AX72" i="31"/>
  <c r="AX74" i="31"/>
  <c r="AX76" i="31"/>
  <c r="AX61" i="31"/>
  <c r="AX70" i="31"/>
  <c r="AX32" i="31"/>
  <c r="AX48" i="31"/>
  <c r="AX36" i="31"/>
  <c r="AX64" i="31"/>
  <c r="AX43" i="31"/>
  <c r="AX71" i="31"/>
  <c r="AX50" i="31"/>
  <c r="AX69" i="31"/>
  <c r="AX27" i="31"/>
  <c r="AX62" i="31"/>
  <c r="AX33" i="31"/>
  <c r="AX47" i="31"/>
  <c r="AX34" i="31"/>
  <c r="AX30" i="31"/>
  <c r="AX49" i="31"/>
  <c r="AX58" i="31"/>
  <c r="AX60" i="31"/>
  <c r="AX59" i="31"/>
  <c r="AX73" i="31"/>
  <c r="AX52" i="31"/>
  <c r="AX67" i="31"/>
  <c r="AX45" i="31"/>
  <c r="AX38" i="31"/>
  <c r="AX54" i="31"/>
  <c r="AX26" i="31"/>
  <c r="AX56" i="31"/>
  <c r="AX55" i="31"/>
  <c r="AX46" i="31"/>
  <c r="AX23" i="31"/>
  <c r="AX75" i="31"/>
  <c r="AX41" i="31"/>
  <c r="AX63" i="31"/>
  <c r="AX44" i="31"/>
  <c r="AX51" i="31"/>
  <c r="AX78" i="31"/>
  <c r="AX66" i="31"/>
  <c r="AX31" i="31"/>
  <c r="AX35" i="31"/>
  <c r="AX25" i="31"/>
  <c r="AX28" i="31"/>
  <c r="AX24" i="31"/>
  <c r="AX37" i="31"/>
  <c r="AX40" i="31"/>
  <c r="AX39" i="31"/>
  <c r="AX53" i="31"/>
  <c r="AX29" i="31"/>
  <c r="AV23" i="31"/>
  <c r="AV24" i="31"/>
  <c r="AV25" i="31"/>
  <c r="AV27" i="31"/>
  <c r="AV26" i="31"/>
  <c r="EC237" i="34"/>
  <c r="EA426" i="34"/>
  <c r="BV26" i="31"/>
  <c r="BV27" i="31"/>
  <c r="BV25" i="31"/>
  <c r="BV23" i="31"/>
  <c r="BV24" i="31"/>
  <c r="BM67" i="31"/>
  <c r="BM36" i="31"/>
  <c r="BM78" i="31"/>
  <c r="BM44" i="31"/>
  <c r="BM37" i="31"/>
  <c r="BM52" i="31"/>
  <c r="BM24" i="31"/>
  <c r="BM70" i="31"/>
  <c r="BM72" i="31"/>
  <c r="BM60" i="31"/>
  <c r="BM31" i="31"/>
  <c r="BM69" i="31"/>
  <c r="BM63" i="31"/>
  <c r="BM65" i="31"/>
  <c r="BM30" i="31"/>
  <c r="BM77" i="31"/>
  <c r="BM39" i="31"/>
  <c r="BM58" i="31"/>
  <c r="BM66" i="31"/>
  <c r="BM51" i="31"/>
  <c r="BM47" i="31"/>
  <c r="BM76" i="31"/>
  <c r="BM62" i="31"/>
  <c r="BM71" i="31"/>
  <c r="BM29" i="31"/>
  <c r="BM54" i="31"/>
  <c r="BM45" i="31"/>
  <c r="BM49" i="31"/>
  <c r="BM61" i="31"/>
  <c r="BM35" i="31"/>
  <c r="BM40" i="31"/>
  <c r="BM73" i="31"/>
  <c r="BM25" i="31"/>
  <c r="BM74" i="31"/>
  <c r="BM55" i="31"/>
  <c r="BM32" i="31"/>
  <c r="BM42" i="31"/>
  <c r="BM33" i="31"/>
  <c r="BM50" i="31"/>
  <c r="BM48" i="31"/>
  <c r="BM41" i="31"/>
  <c r="BM28" i="31"/>
  <c r="BM75" i="31"/>
  <c r="BM38" i="31"/>
  <c r="BM59" i="31"/>
  <c r="BM43" i="31"/>
  <c r="BM57" i="31"/>
  <c r="BM23" i="31"/>
  <c r="BM34" i="31"/>
  <c r="BM53" i="31"/>
  <c r="BM27" i="31"/>
  <c r="BM26" i="31"/>
  <c r="BM68" i="31"/>
  <c r="BM64" i="31"/>
  <c r="BM46" i="31"/>
  <c r="BM56" i="31"/>
  <c r="ED426" i="34"/>
  <c r="EB300" i="34"/>
  <c r="ED300" i="34"/>
  <c r="BF36" i="31"/>
  <c r="BF41" i="31"/>
  <c r="BF37" i="31"/>
  <c r="BF35" i="31"/>
  <c r="BF39" i="31"/>
  <c r="BF32" i="31"/>
  <c r="BF29" i="31"/>
  <c r="BF43" i="31"/>
  <c r="BF42" i="31"/>
  <c r="BF30" i="31"/>
  <c r="BF40" i="31"/>
  <c r="BF26" i="31"/>
  <c r="BF31" i="31"/>
  <c r="BF28" i="31"/>
  <c r="BF38" i="31"/>
  <c r="BF23" i="31"/>
  <c r="BF24" i="31"/>
  <c r="BF34" i="31"/>
  <c r="BF27" i="31"/>
  <c r="BF25" i="31"/>
  <c r="BF44" i="31"/>
  <c r="BF33" i="31"/>
  <c r="BE23" i="31"/>
  <c r="BE29" i="31"/>
  <c r="BE35" i="31"/>
  <c r="BE36" i="31"/>
  <c r="BE34" i="31"/>
  <c r="BE40" i="31"/>
  <c r="BE32" i="31"/>
  <c r="BE27" i="31"/>
  <c r="BE24" i="31"/>
  <c r="BE43" i="31"/>
  <c r="BE41" i="31"/>
  <c r="BE26" i="31"/>
  <c r="BE25" i="31"/>
  <c r="BE42" i="31"/>
  <c r="BE44" i="31"/>
  <c r="BE38" i="31"/>
  <c r="BE37" i="31"/>
  <c r="BE31" i="31"/>
  <c r="BE39" i="31"/>
  <c r="BE28" i="31"/>
  <c r="BE30" i="31"/>
  <c r="BE33" i="31"/>
  <c r="BD25" i="31"/>
  <c r="BD31" i="31"/>
  <c r="BD26" i="31"/>
  <c r="BD38" i="31"/>
  <c r="BD42" i="31"/>
  <c r="BD37" i="31"/>
  <c r="BD43" i="31"/>
  <c r="BD32" i="31"/>
  <c r="BD33" i="31"/>
  <c r="BD28" i="31"/>
  <c r="BD24" i="31"/>
  <c r="BD23" i="31"/>
  <c r="BD30" i="31"/>
  <c r="BD35" i="31"/>
  <c r="BD34" i="31"/>
  <c r="BD41" i="31"/>
  <c r="BD40" i="31"/>
  <c r="BD36" i="31"/>
  <c r="BD44" i="31"/>
  <c r="BD29" i="31"/>
  <c r="BD39" i="31"/>
  <c r="BD27" i="31"/>
  <c r="EB426" i="34"/>
  <c r="EA300" i="34"/>
  <c r="AW25" i="31"/>
  <c r="AW27" i="31"/>
  <c r="AW24" i="31"/>
  <c r="AW26" i="31"/>
  <c r="AW23" i="31"/>
  <c r="BN26" i="31"/>
  <c r="BN24" i="31"/>
  <c r="BN27" i="31"/>
  <c r="BN25" i="31"/>
  <c r="BN23" i="31"/>
  <c r="BG27" i="31"/>
  <c r="BG38" i="31"/>
  <c r="BG55" i="31"/>
  <c r="BG34" i="31"/>
  <c r="BG61" i="31"/>
  <c r="BG23" i="31"/>
  <c r="BG47" i="31"/>
  <c r="BG76" i="31"/>
  <c r="BG33" i="31"/>
  <c r="BG26" i="31"/>
  <c r="BG45" i="31"/>
  <c r="BG50" i="31"/>
  <c r="BG75" i="31"/>
  <c r="BG24" i="31"/>
  <c r="BG64" i="31"/>
  <c r="BG49" i="31"/>
  <c r="BG77" i="31"/>
  <c r="BG31" i="31"/>
  <c r="BG32" i="31"/>
  <c r="BG62" i="31"/>
  <c r="BG78" i="31"/>
  <c r="BG72" i="31"/>
  <c r="BG40" i="31"/>
  <c r="BG56" i="31"/>
  <c r="BG37" i="31"/>
  <c r="BG30" i="31"/>
  <c r="BG70" i="31"/>
  <c r="BG54" i="31"/>
  <c r="BG57" i="31"/>
  <c r="BG71" i="31"/>
  <c r="BG46" i="31"/>
  <c r="BG53" i="31"/>
  <c r="BG66" i="31"/>
  <c r="BG36" i="31"/>
  <c r="BG48" i="31"/>
  <c r="BG29" i="31"/>
  <c r="BG52" i="31"/>
  <c r="BG44" i="31"/>
  <c r="BG69" i="31"/>
  <c r="BG41" i="31"/>
  <c r="BG58" i="31"/>
  <c r="BG39" i="31"/>
  <c r="BG59" i="31"/>
  <c r="BG67" i="31"/>
  <c r="BG73" i="31"/>
  <c r="BG74" i="31"/>
  <c r="BG42" i="31"/>
  <c r="BG63" i="31"/>
  <c r="BG60" i="31"/>
  <c r="BG51" i="31"/>
  <c r="BG35" i="31"/>
  <c r="BG65" i="31"/>
  <c r="BG68" i="31"/>
  <c r="BG43" i="31"/>
  <c r="BG25" i="31"/>
  <c r="BG28" i="31"/>
  <c r="EA237" i="34"/>
  <c r="ED237" i="34"/>
  <c r="EB237" i="34"/>
  <c r="EC426" i="34"/>
  <c r="EC300" i="34"/>
  <c r="DK467" i="2"/>
  <c r="DN467" i="2"/>
  <c r="DN174" i="2"/>
  <c r="DK174" i="2"/>
  <c r="DK188" i="2"/>
  <c r="DN188" i="2"/>
  <c r="DN178" i="2"/>
  <c r="DK178" i="2"/>
  <c r="DN132" i="2"/>
  <c r="DK132" i="2"/>
  <c r="DN147" i="2"/>
  <c r="DK147" i="2"/>
  <c r="DN114" i="2"/>
  <c r="DK114" i="2"/>
  <c r="DO483" i="34"/>
  <c r="DP484" i="34"/>
  <c r="DO484" i="34"/>
  <c r="DP483" i="34"/>
  <c r="DK422" i="2"/>
  <c r="DN422" i="2"/>
  <c r="BU234" i="2"/>
  <c r="DN452" i="2"/>
  <c r="DK452" i="2"/>
  <c r="DI646" i="2"/>
  <c r="DI617" i="2"/>
  <c r="DI643" i="2"/>
  <c r="DI615" i="2"/>
  <c r="DI622" i="2"/>
  <c r="DI651" i="2"/>
  <c r="DI628" i="2"/>
  <c r="DI632" i="2"/>
  <c r="DI659" i="2"/>
  <c r="DI638" i="2"/>
  <c r="DI656" i="2"/>
  <c r="DI625" i="2"/>
  <c r="DI629" i="2"/>
  <c r="DI649" i="2"/>
  <c r="DI636" i="2"/>
  <c r="DI654" i="2"/>
  <c r="DI657" i="2"/>
  <c r="DI644" i="2"/>
  <c r="DI662" i="2"/>
  <c r="DI621" i="2"/>
  <c r="DI663" i="2"/>
  <c r="DI633" i="2"/>
  <c r="DI641" i="2"/>
  <c r="DI620" i="2"/>
  <c r="DI616" i="2"/>
  <c r="DI626" i="2"/>
  <c r="DI619" i="2"/>
  <c r="DI639" i="2"/>
  <c r="DI634" i="2"/>
  <c r="DI627" i="2"/>
  <c r="DI647" i="2"/>
  <c r="DI642" i="2"/>
  <c r="DI652" i="2"/>
  <c r="DI655" i="2"/>
  <c r="DI650" i="2"/>
  <c r="DI660" i="2"/>
  <c r="DI631" i="2"/>
  <c r="DI630" i="2"/>
  <c r="DI658" i="2"/>
  <c r="DI653" i="2"/>
  <c r="DI640" i="2"/>
  <c r="DI618" i="2"/>
  <c r="DI661" i="2"/>
  <c r="DI648" i="2"/>
  <c r="DI624" i="2"/>
  <c r="DI637" i="2"/>
  <c r="DI623" i="2"/>
  <c r="DI635" i="2"/>
  <c r="DI645" i="2"/>
  <c r="DP420" i="2"/>
  <c r="DO419" i="2"/>
  <c r="DO420" i="2"/>
  <c r="DP419" i="2"/>
  <c r="DN241" i="2"/>
  <c r="DK241" i="2"/>
  <c r="DK253" i="2"/>
  <c r="DN253" i="2"/>
  <c r="DK271" i="2"/>
  <c r="DN271" i="2"/>
  <c r="DK273" i="2"/>
  <c r="DN273" i="2"/>
  <c r="DN236" i="2"/>
  <c r="DK236" i="2"/>
  <c r="DK258" i="2"/>
  <c r="DN258" i="2"/>
  <c r="DK246" i="2"/>
  <c r="DN246" i="2"/>
  <c r="DN255" i="2"/>
  <c r="DK255" i="2"/>
  <c r="DN247" i="2"/>
  <c r="DK247" i="2"/>
  <c r="DK278" i="2"/>
  <c r="DN278" i="2"/>
  <c r="DK268" i="2"/>
  <c r="DN268" i="2"/>
  <c r="DJ104" i="34"/>
  <c r="DJ103" i="34"/>
  <c r="DI103" i="34"/>
  <c r="DI104" i="34"/>
  <c r="N113" i="8"/>
  <c r="DN453" i="2"/>
  <c r="DK453" i="2"/>
  <c r="DK501" i="2"/>
  <c r="DN501" i="2"/>
  <c r="DK198" i="2"/>
  <c r="DN198" i="2"/>
  <c r="DK182" i="2"/>
  <c r="DN182" i="2"/>
  <c r="DK170" i="2"/>
  <c r="DN170" i="2"/>
  <c r="BT560" i="34"/>
  <c r="BT597" i="34"/>
  <c r="BT555" i="34"/>
  <c r="BT600" i="34"/>
  <c r="BT578" i="34"/>
  <c r="BT589" i="34"/>
  <c r="BT579" i="34"/>
  <c r="BT584" i="34"/>
  <c r="BT588" i="34"/>
  <c r="BT592" i="34"/>
  <c r="BT563" i="34"/>
  <c r="BT573" i="34"/>
  <c r="BT568" i="34"/>
  <c r="BT564" i="34"/>
  <c r="BT556" i="34"/>
  <c r="BT594" i="34"/>
  <c r="BT570" i="34"/>
  <c r="BT593" i="34"/>
  <c r="BT587" i="34"/>
  <c r="BT576" i="34"/>
  <c r="BT596" i="34"/>
  <c r="BT582" i="34"/>
  <c r="BT571" i="34"/>
  <c r="BT561" i="34"/>
  <c r="BT585" i="34"/>
  <c r="BT572" i="34"/>
  <c r="BT557" i="34"/>
  <c r="BT591" i="34"/>
  <c r="BT565" i="34"/>
  <c r="BT580" i="34"/>
  <c r="BT598" i="34"/>
  <c r="BT559" i="34"/>
  <c r="BT590" i="34"/>
  <c r="BT574" i="34"/>
  <c r="BT575" i="34"/>
  <c r="BT558" i="34"/>
  <c r="BT595" i="34"/>
  <c r="BT554" i="34"/>
  <c r="BT586" i="34"/>
  <c r="BT577" i="34"/>
  <c r="BT569" i="34"/>
  <c r="BT566" i="34"/>
  <c r="BT599" i="34"/>
  <c r="BT583" i="34"/>
  <c r="BT581" i="34"/>
  <c r="BT562" i="34"/>
  <c r="BT567" i="34"/>
  <c r="DN153" i="2"/>
  <c r="DK153" i="2"/>
  <c r="DN125" i="2"/>
  <c r="DK125" i="2"/>
  <c r="DN113" i="2"/>
  <c r="DK113" i="2"/>
  <c r="DO357" i="34"/>
  <c r="DP356" i="34"/>
  <c r="DO356" i="34"/>
  <c r="DP357" i="34"/>
  <c r="DK509" i="2"/>
  <c r="DN509" i="2"/>
  <c r="DP53" i="34"/>
  <c r="DP92" i="34"/>
  <c r="DP81" i="34"/>
  <c r="BI45" i="31"/>
  <c r="BF45" i="31"/>
  <c r="BE45" i="31"/>
  <c r="BD45" i="31"/>
  <c r="DK448" i="2"/>
  <c r="DN448" i="2"/>
  <c r="AR30" i="31"/>
  <c r="AO30" i="31"/>
  <c r="O176" i="6"/>
  <c r="B67" i="43" s="1"/>
  <c r="D67" i="43" s="1"/>
  <c r="E67" i="43" s="1"/>
  <c r="H67" i="43" s="1"/>
  <c r="J67" i="43" s="1"/>
  <c r="Y119" i="6"/>
  <c r="AB119" i="6" s="1"/>
  <c r="AH119" i="6" s="1"/>
  <c r="C64" i="11"/>
  <c r="D64" i="11" s="1"/>
  <c r="E64" i="11" s="1"/>
  <c r="AM68" i="6"/>
  <c r="AE68" i="6"/>
  <c r="AI116" i="8"/>
  <c r="T70" i="4" s="1"/>
  <c r="DI46" i="34"/>
  <c r="DI61" i="34"/>
  <c r="DI80" i="34"/>
  <c r="DI67" i="34"/>
  <c r="DI63" i="34"/>
  <c r="DI62" i="34"/>
  <c r="DI88" i="34"/>
  <c r="DI57" i="34"/>
  <c r="DI48" i="34"/>
  <c r="DI51" i="34"/>
  <c r="DI64" i="34"/>
  <c r="DI90" i="34"/>
  <c r="DN508" i="2"/>
  <c r="DK508" i="2"/>
  <c r="BU109" i="2"/>
  <c r="DK534" i="34"/>
  <c r="DN534" i="34"/>
  <c r="DK495" i="34"/>
  <c r="DN495" i="34"/>
  <c r="DK533" i="34"/>
  <c r="DN533" i="34"/>
  <c r="DN491" i="34"/>
  <c r="DK491" i="34"/>
  <c r="DK532" i="34"/>
  <c r="DN532" i="34"/>
  <c r="DK501" i="34"/>
  <c r="DN501" i="34"/>
  <c r="DK513" i="34"/>
  <c r="DN513" i="34"/>
  <c r="DK507" i="34"/>
  <c r="DN507" i="34"/>
  <c r="DK510" i="34"/>
  <c r="DN510" i="34"/>
  <c r="DK486" i="34"/>
  <c r="DN486" i="34"/>
  <c r="DK531" i="34"/>
  <c r="DN531" i="34"/>
  <c r="DN494" i="34"/>
  <c r="DK494" i="34"/>
  <c r="DO547" i="34"/>
  <c r="DP548" i="34"/>
  <c r="DO548" i="34"/>
  <c r="DP547" i="34"/>
  <c r="DK499" i="2"/>
  <c r="DN499" i="2"/>
  <c r="DK204" i="2"/>
  <c r="DN204" i="2"/>
  <c r="DK206" i="2"/>
  <c r="DN206" i="2"/>
  <c r="DK186" i="2"/>
  <c r="DN186" i="2"/>
  <c r="DP44" i="34"/>
  <c r="DP43" i="34"/>
  <c r="DO43" i="34"/>
  <c r="DO44" i="34"/>
  <c r="DK137" i="2"/>
  <c r="DN137" i="2"/>
  <c r="DK136" i="2"/>
  <c r="DN136" i="2"/>
  <c r="DN143" i="2"/>
  <c r="DK143" i="2"/>
  <c r="DN375" i="2"/>
  <c r="DK375" i="2"/>
  <c r="DN363" i="2"/>
  <c r="DK363" i="2"/>
  <c r="DK361" i="2"/>
  <c r="DN361" i="2"/>
  <c r="DN376" i="2"/>
  <c r="DK376" i="2"/>
  <c r="DN372" i="2"/>
  <c r="DK372" i="2"/>
  <c r="DN377" i="2"/>
  <c r="DK377" i="2"/>
  <c r="DK385" i="2"/>
  <c r="DN385" i="2"/>
  <c r="DK382" i="2"/>
  <c r="DN382" i="2"/>
  <c r="DK395" i="2"/>
  <c r="DN395" i="2"/>
  <c r="DN393" i="2"/>
  <c r="DK393" i="2"/>
  <c r="DN390" i="2"/>
  <c r="DK390" i="2"/>
  <c r="DN403" i="2"/>
  <c r="DK403" i="2"/>
  <c r="DN332" i="2"/>
  <c r="DK332" i="2"/>
  <c r="DN342" i="2"/>
  <c r="DK342" i="2"/>
  <c r="DK343" i="2"/>
  <c r="DN343" i="2"/>
  <c r="DK323" i="2"/>
  <c r="DN323" i="2"/>
  <c r="DK333" i="2"/>
  <c r="DN333" i="2"/>
  <c r="DK313" i="2"/>
  <c r="DN313" i="2"/>
  <c r="DN344" i="2"/>
  <c r="DK344" i="2"/>
  <c r="DN310" i="2"/>
  <c r="DK310" i="2"/>
  <c r="DN306" i="2"/>
  <c r="DK306" i="2"/>
  <c r="DN305" i="2"/>
  <c r="DK305" i="2"/>
  <c r="DN308" i="2"/>
  <c r="DK308" i="2"/>
  <c r="DN309" i="2"/>
  <c r="DK309" i="2"/>
  <c r="DN300" i="2"/>
  <c r="DK300" i="2"/>
  <c r="AN67" i="8"/>
  <c r="S120" i="8"/>
  <c r="H120" i="8"/>
  <c r="AC177" i="8"/>
  <c r="AU177" i="8" s="1"/>
  <c r="K120" i="8"/>
  <c r="L120" i="8" s="1"/>
  <c r="V120" i="8"/>
  <c r="BU490" i="2"/>
  <c r="BV490" i="2" s="1"/>
  <c r="BU500" i="2"/>
  <c r="BV500" i="2" s="1"/>
  <c r="BU512" i="2"/>
  <c r="BV512" i="2" s="1"/>
  <c r="BU522" i="2"/>
  <c r="BV522" i="2" s="1"/>
  <c r="BU492" i="2"/>
  <c r="BV492" i="2" s="1"/>
  <c r="BU524" i="2"/>
  <c r="BV524" i="2" s="1"/>
  <c r="BU536" i="2"/>
  <c r="BV536" i="2" s="1"/>
  <c r="BU502" i="2"/>
  <c r="BV502" i="2" s="1"/>
  <c r="BU513" i="2"/>
  <c r="BV513" i="2" s="1"/>
  <c r="BU523" i="2"/>
  <c r="BV523" i="2" s="1"/>
  <c r="BU501" i="2"/>
  <c r="BV501" i="2" s="1"/>
  <c r="BU528" i="2"/>
  <c r="BV528" i="2" s="1"/>
  <c r="BU493" i="2"/>
  <c r="BV493" i="2" s="1"/>
  <c r="BU503" i="2"/>
  <c r="BV503" i="2" s="1"/>
  <c r="BU514" i="2"/>
  <c r="BV514" i="2" s="1"/>
  <c r="BU525" i="2"/>
  <c r="BV525" i="2" s="1"/>
  <c r="BU497" i="2"/>
  <c r="BV497" i="2" s="1"/>
  <c r="BU529" i="2"/>
  <c r="BV529" i="2" s="1"/>
  <c r="BU494" i="2"/>
  <c r="BV494" i="2" s="1"/>
  <c r="BU505" i="2"/>
  <c r="BV505" i="2" s="1"/>
  <c r="BU515" i="2"/>
  <c r="BV515" i="2" s="1"/>
  <c r="BU526" i="2"/>
  <c r="BV526" i="2" s="1"/>
  <c r="BU504" i="2"/>
  <c r="BV504" i="2" s="1"/>
  <c r="BU530" i="2"/>
  <c r="BV530" i="2" s="1"/>
  <c r="BU495" i="2"/>
  <c r="BV495" i="2" s="1"/>
  <c r="BU506" i="2"/>
  <c r="BV506" i="2" s="1"/>
  <c r="BU517" i="2"/>
  <c r="BV517" i="2" s="1"/>
  <c r="BU527" i="2"/>
  <c r="BV527" i="2" s="1"/>
  <c r="BU511" i="2"/>
  <c r="BV511" i="2" s="1"/>
  <c r="BU531" i="2"/>
  <c r="BV531" i="2" s="1"/>
  <c r="BU496" i="2"/>
  <c r="BV496" i="2" s="1"/>
  <c r="BU508" i="2"/>
  <c r="BV508" i="2" s="1"/>
  <c r="BU518" i="2"/>
  <c r="BV518" i="2" s="1"/>
  <c r="BU535" i="2"/>
  <c r="BV535" i="2" s="1"/>
  <c r="BU507" i="2"/>
  <c r="BV507" i="2" s="1"/>
  <c r="BU532" i="2"/>
  <c r="BV532" i="2" s="1"/>
  <c r="BU498" i="2"/>
  <c r="BV498" i="2" s="1"/>
  <c r="BU509" i="2"/>
  <c r="BV509" i="2" s="1"/>
  <c r="BU519" i="2"/>
  <c r="BV519" i="2" s="1"/>
  <c r="BU534" i="2"/>
  <c r="BV534" i="2" s="1"/>
  <c r="BU516" i="2"/>
  <c r="BV516" i="2" s="1"/>
  <c r="BU533" i="2"/>
  <c r="BV533" i="2" s="1"/>
  <c r="BU499" i="2"/>
  <c r="BV499" i="2" s="1"/>
  <c r="BU510" i="2"/>
  <c r="BV510" i="2" s="1"/>
  <c r="BU521" i="2"/>
  <c r="BV521" i="2" s="1"/>
  <c r="BU491" i="2"/>
  <c r="BV491" i="2" s="1"/>
  <c r="BU520" i="2"/>
  <c r="BV520" i="2" s="1"/>
  <c r="DN427" i="2"/>
  <c r="DK427" i="2"/>
  <c r="DN528" i="2"/>
  <c r="DK528" i="2"/>
  <c r="BT47" i="34"/>
  <c r="DP64" i="34"/>
  <c r="DP49" i="34"/>
  <c r="BU424" i="2"/>
  <c r="DK464" i="2"/>
  <c r="DN464" i="2"/>
  <c r="M15" i="11"/>
  <c r="AB17" i="8"/>
  <c r="AB17" i="6"/>
  <c r="AB17" i="3"/>
  <c r="BK29" i="31"/>
  <c r="BL28" i="31"/>
  <c r="BP28" i="31" s="1"/>
  <c r="DK533" i="2"/>
  <c r="DN533" i="2"/>
  <c r="DK189" i="2"/>
  <c r="DN189" i="2"/>
  <c r="DK191" i="2"/>
  <c r="DN191" i="2"/>
  <c r="DK209" i="2"/>
  <c r="DN209" i="2"/>
  <c r="DN142" i="2"/>
  <c r="DK142" i="2"/>
  <c r="DK110" i="2"/>
  <c r="DN110" i="2"/>
  <c r="DK145" i="2"/>
  <c r="DN145" i="2"/>
  <c r="DN469" i="2"/>
  <c r="DK469" i="2"/>
  <c r="DP76" i="34"/>
  <c r="DP80" i="34"/>
  <c r="DP86" i="34"/>
  <c r="R120" i="3"/>
  <c r="AN67" i="3"/>
  <c r="AC177" i="3"/>
  <c r="AU177" i="3" s="1"/>
  <c r="K120" i="3"/>
  <c r="L120" i="3" s="1"/>
  <c r="H120" i="3"/>
  <c r="V120" i="3"/>
  <c r="DN450" i="2"/>
  <c r="DK450" i="2"/>
  <c r="AZ28" i="31"/>
  <c r="AW28" i="31"/>
  <c r="AV28" i="31"/>
  <c r="DO613" i="34"/>
  <c r="DO612" i="34"/>
  <c r="DP613" i="34"/>
  <c r="DP612" i="34"/>
  <c r="DK561" i="2"/>
  <c r="DN561" i="2"/>
  <c r="DK555" i="2"/>
  <c r="DN555" i="2"/>
  <c r="DN567" i="2"/>
  <c r="DK567" i="2"/>
  <c r="DK579" i="2"/>
  <c r="DN579" i="2"/>
  <c r="DN569" i="2"/>
  <c r="DK569" i="2"/>
  <c r="DK558" i="2"/>
  <c r="DN558" i="2"/>
  <c r="DN584" i="2"/>
  <c r="DK584" i="2"/>
  <c r="DK565" i="2"/>
  <c r="DN565" i="2"/>
  <c r="DK595" i="2"/>
  <c r="DN595" i="2"/>
  <c r="DN574" i="2"/>
  <c r="DK574" i="2"/>
  <c r="DN598" i="2"/>
  <c r="DK598" i="2"/>
  <c r="DN596" i="2"/>
  <c r="DK596" i="2"/>
  <c r="CK24" i="31"/>
  <c r="CR23" i="31"/>
  <c r="CO23" i="31"/>
  <c r="R120" i="6"/>
  <c r="AN67" i="6"/>
  <c r="AC177" i="6"/>
  <c r="AU177" i="6" s="1"/>
  <c r="H120" i="6"/>
  <c r="V120" i="6"/>
  <c r="K120" i="6"/>
  <c r="DK505" i="2"/>
  <c r="DN505" i="2"/>
  <c r="DN185" i="2"/>
  <c r="DK185" i="2"/>
  <c r="DN176" i="2"/>
  <c r="DK176" i="2"/>
  <c r="DN207" i="2"/>
  <c r="DK207" i="2"/>
  <c r="DO168" i="34"/>
  <c r="DP168" i="34"/>
  <c r="DP167" i="34"/>
  <c r="DO167" i="34"/>
  <c r="BU297" i="2"/>
  <c r="DN138" i="2"/>
  <c r="DK138" i="2"/>
  <c r="DN133" i="2"/>
  <c r="DK133" i="2"/>
  <c r="DN120" i="2"/>
  <c r="DK120" i="2"/>
  <c r="BU107" i="2"/>
  <c r="DK511" i="2"/>
  <c r="DN511" i="2"/>
  <c r="BU551" i="2"/>
  <c r="DN440" i="2"/>
  <c r="DK440" i="2"/>
  <c r="B61" i="36"/>
  <c r="D61" i="36" s="1"/>
  <c r="E61" i="36" s="1"/>
  <c r="S170" i="39" s="1"/>
  <c r="T170" i="39" s="1"/>
  <c r="R170" i="6"/>
  <c r="DN267" i="2"/>
  <c r="DK267" i="2"/>
  <c r="DK257" i="2"/>
  <c r="DN257" i="2"/>
  <c r="DK244" i="2"/>
  <c r="DN244" i="2"/>
  <c r="DK256" i="2"/>
  <c r="DN256" i="2"/>
  <c r="DK234" i="2"/>
  <c r="DN234" i="2"/>
  <c r="DN276" i="2"/>
  <c r="DK276" i="2"/>
  <c r="DK245" i="2"/>
  <c r="DN245" i="2"/>
  <c r="DK262" i="2"/>
  <c r="DN262" i="2"/>
  <c r="DN265" i="2"/>
  <c r="DK265" i="2"/>
  <c r="DK277" i="2"/>
  <c r="DN277" i="2"/>
  <c r="DN251" i="2"/>
  <c r="DK251" i="2"/>
  <c r="DM103" i="34"/>
  <c r="DL103" i="34"/>
  <c r="DL104" i="34"/>
  <c r="DM104" i="34"/>
  <c r="Y113" i="8"/>
  <c r="AB113" i="8" s="1"/>
  <c r="AH113" i="8" s="1"/>
  <c r="O170" i="8"/>
  <c r="B116" i="43" s="1"/>
  <c r="DN465" i="2"/>
  <c r="DK465" i="2"/>
  <c r="DK490" i="2"/>
  <c r="DN490" i="2"/>
  <c r="DK208" i="2"/>
  <c r="DN208" i="2"/>
  <c r="DK210" i="2"/>
  <c r="DN210" i="2"/>
  <c r="DK213" i="2"/>
  <c r="DN213" i="2"/>
  <c r="BU552" i="34"/>
  <c r="DN148" i="2"/>
  <c r="DK148" i="2"/>
  <c r="DK122" i="2"/>
  <c r="DN122" i="2"/>
  <c r="DN115" i="2"/>
  <c r="DK115" i="2"/>
  <c r="DK423" i="2"/>
  <c r="DN423" i="2"/>
  <c r="DN493" i="2"/>
  <c r="DK493" i="2"/>
  <c r="DP90" i="34"/>
  <c r="DP51" i="34"/>
  <c r="DP57" i="34"/>
  <c r="BU616" i="34"/>
  <c r="B62" i="36"/>
  <c r="D62" i="36" s="1"/>
  <c r="E62" i="36" s="1"/>
  <c r="S171" i="39" s="1"/>
  <c r="T171" i="39" s="1"/>
  <c r="R171" i="6"/>
  <c r="DI69" i="34"/>
  <c r="BU132" i="34"/>
  <c r="BV132" i="34" s="1"/>
  <c r="BU113" i="34"/>
  <c r="BV113" i="34" s="1"/>
  <c r="BU141" i="34"/>
  <c r="BV141" i="34" s="1"/>
  <c r="BU140" i="34"/>
  <c r="BV140" i="34" s="1"/>
  <c r="BU120" i="34"/>
  <c r="BV120" i="34" s="1"/>
  <c r="BU124" i="34"/>
  <c r="BV124" i="34" s="1"/>
  <c r="BU146" i="34"/>
  <c r="BV146" i="34" s="1"/>
  <c r="BU144" i="34"/>
  <c r="BV144" i="34" s="1"/>
  <c r="BU118" i="34"/>
  <c r="BV118" i="34" s="1"/>
  <c r="BU117" i="34"/>
  <c r="BV117" i="34" s="1"/>
  <c r="BU137" i="34"/>
  <c r="BV137" i="34" s="1"/>
  <c r="BU149" i="34"/>
  <c r="BV149" i="34" s="1"/>
  <c r="BU128" i="34"/>
  <c r="BV128" i="34" s="1"/>
  <c r="BU143" i="34"/>
  <c r="BV143" i="34" s="1"/>
  <c r="BU142" i="34"/>
  <c r="BV142" i="34" s="1"/>
  <c r="BU151" i="34"/>
  <c r="BV151" i="34" s="1"/>
  <c r="BU127" i="34"/>
  <c r="BV127" i="34" s="1"/>
  <c r="BU150" i="34"/>
  <c r="BV150" i="34" s="1"/>
  <c r="BU148" i="34"/>
  <c r="BV148" i="34" s="1"/>
  <c r="BU126" i="34"/>
  <c r="BV126" i="34" s="1"/>
  <c r="BU152" i="34"/>
  <c r="BV152" i="34" s="1"/>
  <c r="BU125" i="34"/>
  <c r="BV125" i="34" s="1"/>
  <c r="BU153" i="34"/>
  <c r="BV153" i="34" s="1"/>
  <c r="BU129" i="34"/>
  <c r="BV129" i="34" s="1"/>
  <c r="BU131" i="34"/>
  <c r="BV131" i="34" s="1"/>
  <c r="BU156" i="34"/>
  <c r="BV156" i="34" s="1"/>
  <c r="BU139" i="34"/>
  <c r="BV139" i="34" s="1"/>
  <c r="BU135" i="34"/>
  <c r="BV135" i="34" s="1"/>
  <c r="BU155" i="34"/>
  <c r="BV155" i="34" s="1"/>
  <c r="BU147" i="34"/>
  <c r="BV147" i="34" s="1"/>
  <c r="BU134" i="34"/>
  <c r="BV134" i="34" s="1"/>
  <c r="BU119" i="34"/>
  <c r="BV119" i="34" s="1"/>
  <c r="BU116" i="34"/>
  <c r="BV116" i="34" s="1"/>
  <c r="BU115" i="34"/>
  <c r="BV115" i="34" s="1"/>
  <c r="BU133" i="34"/>
  <c r="BV133" i="34" s="1"/>
  <c r="BU136" i="34"/>
  <c r="BV136" i="34" s="1"/>
  <c r="BU114" i="34"/>
  <c r="BV114" i="34" s="1"/>
  <c r="BU145" i="34"/>
  <c r="BV145" i="34" s="1"/>
  <c r="BU130" i="34"/>
  <c r="BV130" i="34" s="1"/>
  <c r="BU121" i="34"/>
  <c r="BV121" i="34" s="1"/>
  <c r="BU138" i="34"/>
  <c r="BV138" i="34" s="1"/>
  <c r="BU122" i="34"/>
  <c r="BV122" i="34" s="1"/>
  <c r="BU111" i="34"/>
  <c r="BV111" i="34" s="1"/>
  <c r="BU112" i="34"/>
  <c r="BV112" i="34" s="1"/>
  <c r="BU123" i="34"/>
  <c r="BV123" i="34" s="1"/>
  <c r="BU154" i="34"/>
  <c r="BV154" i="34" s="1"/>
  <c r="BU110" i="34"/>
  <c r="BV110" i="34" s="1"/>
  <c r="DN466" i="2"/>
  <c r="DK466" i="2"/>
  <c r="AM32" i="31"/>
  <c r="AN31" i="31"/>
  <c r="BT28" i="31"/>
  <c r="BV28" i="31" s="1"/>
  <c r="BS29" i="31"/>
  <c r="BU173" i="2"/>
  <c r="DI52" i="34"/>
  <c r="DI87" i="34"/>
  <c r="DI79" i="34"/>
  <c r="DI50" i="34"/>
  <c r="DI82" i="34"/>
  <c r="DI56" i="34"/>
  <c r="DI55" i="34"/>
  <c r="DI59" i="34"/>
  <c r="DI47" i="34"/>
  <c r="DI66" i="34"/>
  <c r="DI89" i="34"/>
  <c r="DI68" i="34"/>
  <c r="BT561" i="2"/>
  <c r="BT572" i="2"/>
  <c r="BT584" i="2"/>
  <c r="BT554" i="2"/>
  <c r="BT564" i="2"/>
  <c r="BT574" i="2"/>
  <c r="BT586" i="2"/>
  <c r="BT598" i="2"/>
  <c r="BT579" i="2"/>
  <c r="BT557" i="2"/>
  <c r="BT556" i="2"/>
  <c r="BT577" i="2"/>
  <c r="BT593" i="2"/>
  <c r="BT588" i="2"/>
  <c r="BT562" i="2"/>
  <c r="BT573" i="2"/>
  <c r="BT583" i="2"/>
  <c r="BT594" i="2"/>
  <c r="BT567" i="2"/>
  <c r="BT596" i="2"/>
  <c r="BT558" i="2"/>
  <c r="BT582" i="2"/>
  <c r="BT600" i="2"/>
  <c r="BT595" i="2"/>
  <c r="BT565" i="2"/>
  <c r="BT576" i="2"/>
  <c r="BT585" i="2"/>
  <c r="BT597" i="2"/>
  <c r="BT575" i="2"/>
  <c r="BT566" i="2"/>
  <c r="BT589" i="2"/>
  <c r="BT563" i="2"/>
  <c r="BT555" i="2"/>
  <c r="BT568" i="2"/>
  <c r="BT578" i="2"/>
  <c r="BT590" i="2"/>
  <c r="BT599" i="2"/>
  <c r="BT580" i="2"/>
  <c r="BT569" i="2"/>
  <c r="BT591" i="2"/>
  <c r="BT571" i="2"/>
  <c r="BT560" i="2"/>
  <c r="BT570" i="2"/>
  <c r="BT581" i="2"/>
  <c r="BT592" i="2"/>
  <c r="BT559" i="2"/>
  <c r="BT587" i="2"/>
  <c r="DK493" i="34"/>
  <c r="DN493" i="34"/>
  <c r="DK503" i="34"/>
  <c r="DN503" i="34"/>
  <c r="DN526" i="34"/>
  <c r="DK526" i="34"/>
  <c r="DK523" i="34"/>
  <c r="DN523" i="34"/>
  <c r="DK521" i="34"/>
  <c r="DN521" i="34"/>
  <c r="DK512" i="34"/>
  <c r="DN512" i="34"/>
  <c r="DK515" i="34"/>
  <c r="DN515" i="34"/>
  <c r="DN497" i="34"/>
  <c r="DK497" i="34"/>
  <c r="DK525" i="34"/>
  <c r="DN525" i="34"/>
  <c r="DK519" i="34"/>
  <c r="DN519" i="34"/>
  <c r="DN502" i="34"/>
  <c r="DK502" i="34"/>
  <c r="DK524" i="34"/>
  <c r="DN524" i="34"/>
  <c r="DN463" i="2"/>
  <c r="DK463" i="2"/>
  <c r="DN489" i="2"/>
  <c r="DK489" i="2"/>
  <c r="DN181" i="2"/>
  <c r="DK181" i="2"/>
  <c r="DK216" i="2"/>
  <c r="DN216" i="2"/>
  <c r="DN203" i="2"/>
  <c r="DK203" i="2"/>
  <c r="DN130" i="2"/>
  <c r="DK130" i="2"/>
  <c r="DK121" i="2"/>
  <c r="DN121" i="2"/>
  <c r="DN135" i="2"/>
  <c r="DK135" i="2"/>
  <c r="BT388" i="34"/>
  <c r="BT363" i="34"/>
  <c r="BT378" i="34"/>
  <c r="BT383" i="34"/>
  <c r="BT380" i="34"/>
  <c r="BT392" i="34"/>
  <c r="BT396" i="34"/>
  <c r="BT400" i="34"/>
  <c r="BT404" i="34"/>
  <c r="BT373" i="34"/>
  <c r="BT382" i="34"/>
  <c r="BT379" i="34"/>
  <c r="BT408" i="34"/>
  <c r="BT365" i="34"/>
  <c r="BT386" i="34"/>
  <c r="BT391" i="34"/>
  <c r="BT369" i="34"/>
  <c r="BT393" i="34"/>
  <c r="BT397" i="34"/>
  <c r="BT401" i="34"/>
  <c r="BT405" i="34"/>
  <c r="BT381" i="34"/>
  <c r="BT390" i="34"/>
  <c r="BT387" i="34"/>
  <c r="BT367" i="34"/>
  <c r="BT384" i="34"/>
  <c r="BT406" i="34"/>
  <c r="BT409" i="34"/>
  <c r="BT407" i="34"/>
  <c r="BT394" i="34"/>
  <c r="BT398" i="34"/>
  <c r="BT402" i="34"/>
  <c r="BT364" i="34"/>
  <c r="BT389" i="34"/>
  <c r="BT370" i="34"/>
  <c r="BT375" i="34"/>
  <c r="BT376" i="34"/>
  <c r="BT385" i="34"/>
  <c r="BT368" i="34"/>
  <c r="BT377" i="34"/>
  <c r="BT372" i="34"/>
  <c r="BT395" i="34"/>
  <c r="BT399" i="34"/>
  <c r="BT403" i="34"/>
  <c r="BT366" i="34"/>
  <c r="BT374" i="34"/>
  <c r="BT371" i="34"/>
  <c r="DK398" i="2"/>
  <c r="DN398" i="2"/>
  <c r="DN359" i="2"/>
  <c r="DK359" i="2"/>
  <c r="DK391" i="2"/>
  <c r="DN391" i="2"/>
  <c r="DK370" i="2"/>
  <c r="DN370" i="2"/>
  <c r="DK406" i="2"/>
  <c r="DN406" i="2"/>
  <c r="DN407" i="2"/>
  <c r="DK407" i="2"/>
  <c r="DN380" i="2"/>
  <c r="DK380" i="2"/>
  <c r="DK401" i="2"/>
  <c r="DN401" i="2"/>
  <c r="DK373" i="2"/>
  <c r="DN373" i="2"/>
  <c r="DK388" i="2"/>
  <c r="DN388" i="2"/>
  <c r="DN362" i="2"/>
  <c r="DK362" i="2"/>
  <c r="DN383" i="2"/>
  <c r="DK383" i="2"/>
  <c r="DK325" i="2"/>
  <c r="DN325" i="2"/>
  <c r="DK335" i="2"/>
  <c r="DN335" i="2"/>
  <c r="DN324" i="2"/>
  <c r="DK324" i="2"/>
  <c r="DK301" i="2"/>
  <c r="DN301" i="2"/>
  <c r="DN303" i="2"/>
  <c r="DK303" i="2"/>
  <c r="DK315" i="2"/>
  <c r="DN315" i="2"/>
  <c r="DN336" i="2"/>
  <c r="DK336" i="2"/>
  <c r="DN338" i="2"/>
  <c r="DK338" i="2"/>
  <c r="DN314" i="2"/>
  <c r="DK314" i="2"/>
  <c r="DN334" i="2"/>
  <c r="DK334" i="2"/>
  <c r="DK302" i="2"/>
  <c r="DN302" i="2"/>
  <c r="DN337" i="2"/>
  <c r="DK337" i="2"/>
  <c r="DK434" i="2"/>
  <c r="DN434" i="2"/>
  <c r="DK507" i="2"/>
  <c r="DN507" i="2"/>
  <c r="DP70" i="34"/>
  <c r="DP84" i="34"/>
  <c r="DP85" i="34"/>
  <c r="DN433" i="2"/>
  <c r="DK433" i="2"/>
  <c r="BT660" i="34"/>
  <c r="BT643" i="34"/>
  <c r="BT634" i="34"/>
  <c r="BT623" i="34"/>
  <c r="BT665" i="34"/>
  <c r="BT635" i="34"/>
  <c r="BT648" i="34"/>
  <c r="BT631" i="34"/>
  <c r="BT641" i="34"/>
  <c r="BT657" i="34"/>
  <c r="BT624" i="34"/>
  <c r="BT644" i="34"/>
  <c r="BT656" i="34"/>
  <c r="BT637" i="34"/>
  <c r="BT622" i="34"/>
  <c r="BT629" i="34"/>
  <c r="BT654" i="34"/>
  <c r="BT640" i="34"/>
  <c r="BT628" i="34"/>
  <c r="BT658" i="34"/>
  <c r="BT638" i="34"/>
  <c r="BT645" i="34"/>
  <c r="BT664" i="34"/>
  <c r="BT630" i="34"/>
  <c r="BT662" i="34"/>
  <c r="BT633" i="34"/>
  <c r="BT627" i="34"/>
  <c r="BT625" i="34"/>
  <c r="BT652" i="34"/>
  <c r="BT632" i="34"/>
  <c r="BT661" i="34"/>
  <c r="BT663" i="34"/>
  <c r="BT626" i="34"/>
  <c r="BT639" i="34"/>
  <c r="BT649" i="34"/>
  <c r="BT620" i="34"/>
  <c r="BT655" i="34"/>
  <c r="BT642" i="34"/>
  <c r="BT619" i="34"/>
  <c r="BT659" i="34"/>
  <c r="BT653" i="34"/>
  <c r="BT650" i="34"/>
  <c r="BT646" i="34"/>
  <c r="BT647" i="34"/>
  <c r="BT621" i="34"/>
  <c r="BT636" i="34"/>
  <c r="BT651" i="34"/>
  <c r="AA119" i="6"/>
  <c r="AG119" i="6" s="1"/>
  <c r="AM176" i="6"/>
  <c r="AN176" i="6" s="1"/>
  <c r="BU364" i="2"/>
  <c r="BV364" i="2" s="1"/>
  <c r="BU375" i="2"/>
  <c r="BV375" i="2" s="1"/>
  <c r="BU386" i="2"/>
  <c r="BV386" i="2" s="1"/>
  <c r="BU395" i="2"/>
  <c r="BV395" i="2" s="1"/>
  <c r="BU407" i="2"/>
  <c r="BV407" i="2" s="1"/>
  <c r="BU370" i="2"/>
  <c r="BV370" i="2" s="1"/>
  <c r="BU382" i="2"/>
  <c r="BV382" i="2" s="1"/>
  <c r="BU394" i="2"/>
  <c r="BV394" i="2" s="1"/>
  <c r="BU406" i="2"/>
  <c r="BV406" i="2" s="1"/>
  <c r="BU369" i="2"/>
  <c r="BV369" i="2" s="1"/>
  <c r="BU363" i="2"/>
  <c r="BV363" i="2" s="1"/>
  <c r="BU404" i="2"/>
  <c r="BV404" i="2" s="1"/>
  <c r="BU366" i="2"/>
  <c r="BV366" i="2" s="1"/>
  <c r="BU378" i="2"/>
  <c r="BV378" i="2" s="1"/>
  <c r="BU388" i="2"/>
  <c r="BV388" i="2" s="1"/>
  <c r="BU400" i="2"/>
  <c r="BV400" i="2" s="1"/>
  <c r="BU409" i="2"/>
  <c r="BV409" i="2" s="1"/>
  <c r="BU372" i="2"/>
  <c r="BV372" i="2" s="1"/>
  <c r="BU384" i="2"/>
  <c r="BV384" i="2" s="1"/>
  <c r="BU396" i="2"/>
  <c r="BV396" i="2" s="1"/>
  <c r="BU408" i="2"/>
  <c r="BV408" i="2" s="1"/>
  <c r="BU376" i="2"/>
  <c r="BV376" i="2" s="1"/>
  <c r="BU377" i="2"/>
  <c r="BV377" i="2" s="1"/>
  <c r="BU381" i="2"/>
  <c r="BV381" i="2" s="1"/>
  <c r="BU371" i="2"/>
  <c r="BV371" i="2" s="1"/>
  <c r="BU380" i="2"/>
  <c r="BV380" i="2" s="1"/>
  <c r="BU391" i="2"/>
  <c r="BV391" i="2" s="1"/>
  <c r="BU402" i="2"/>
  <c r="BV402" i="2" s="1"/>
  <c r="BU365" i="2"/>
  <c r="BV365" i="2" s="1"/>
  <c r="BU374" i="2"/>
  <c r="BV374" i="2" s="1"/>
  <c r="BU387" i="2"/>
  <c r="BV387" i="2" s="1"/>
  <c r="BU399" i="2"/>
  <c r="BV399" i="2" s="1"/>
  <c r="BU368" i="2"/>
  <c r="BV368" i="2" s="1"/>
  <c r="BU389" i="2"/>
  <c r="BV389" i="2" s="1"/>
  <c r="BU390" i="2"/>
  <c r="BV390" i="2" s="1"/>
  <c r="BU398" i="2"/>
  <c r="BV398" i="2" s="1"/>
  <c r="BU373" i="2"/>
  <c r="BV373" i="2" s="1"/>
  <c r="BU383" i="2"/>
  <c r="BV383" i="2" s="1"/>
  <c r="BU393" i="2"/>
  <c r="BV393" i="2" s="1"/>
  <c r="BU405" i="2"/>
  <c r="BV405" i="2" s="1"/>
  <c r="BU367" i="2"/>
  <c r="BV367" i="2" s="1"/>
  <c r="BU379" i="2"/>
  <c r="BV379" i="2" s="1"/>
  <c r="BU392" i="2"/>
  <c r="BV392" i="2" s="1"/>
  <c r="BU401" i="2"/>
  <c r="BV401" i="2" s="1"/>
  <c r="BU385" i="2"/>
  <c r="BV385" i="2" s="1"/>
  <c r="BU403" i="2"/>
  <c r="BV403" i="2" s="1"/>
  <c r="BU397" i="2"/>
  <c r="BV397" i="2" s="1"/>
  <c r="BF16" i="6"/>
  <c r="AN16" i="6"/>
  <c r="BG16" i="6" s="1"/>
  <c r="AB69" i="6"/>
  <c r="BT493" i="34"/>
  <c r="BT518" i="34"/>
  <c r="BT527" i="34"/>
  <c r="BT499" i="34"/>
  <c r="BT530" i="34"/>
  <c r="BT500" i="34"/>
  <c r="BT513" i="34"/>
  <c r="BT534" i="34"/>
  <c r="BT498" i="34"/>
  <c r="BT511" i="34"/>
  <c r="BT512" i="34"/>
  <c r="BT501" i="34"/>
  <c r="BT497" i="34"/>
  <c r="BT510" i="34"/>
  <c r="BT521" i="34"/>
  <c r="BT495" i="34"/>
  <c r="BT529" i="34"/>
  <c r="BT531" i="34"/>
  <c r="BT505" i="34"/>
  <c r="BT528" i="34"/>
  <c r="BT526" i="34"/>
  <c r="BT491" i="34"/>
  <c r="BT522" i="34"/>
  <c r="BT502" i="34"/>
  <c r="BT490" i="34"/>
  <c r="BT503" i="34"/>
  <c r="BT515" i="34"/>
  <c r="BT492" i="34"/>
  <c r="BT516" i="34"/>
  <c r="BT524" i="34"/>
  <c r="BT504" i="34"/>
  <c r="BT514" i="34"/>
  <c r="BT523" i="34"/>
  <c r="BT494" i="34"/>
  <c r="BT517" i="34"/>
  <c r="BT532" i="34"/>
  <c r="BT520" i="34"/>
  <c r="BT525" i="34"/>
  <c r="BT507" i="34"/>
  <c r="BT535" i="34"/>
  <c r="BT509" i="34"/>
  <c r="BT496" i="34"/>
  <c r="BT536" i="34"/>
  <c r="BT506" i="34"/>
  <c r="BT533" i="34"/>
  <c r="BT508" i="34"/>
  <c r="BT519" i="34"/>
  <c r="BU489" i="34"/>
  <c r="DN455" i="2"/>
  <c r="DK455" i="2"/>
  <c r="DN520" i="2"/>
  <c r="DK520" i="2"/>
  <c r="DN215" i="2"/>
  <c r="DK215" i="2"/>
  <c r="DN201" i="2"/>
  <c r="DK201" i="2"/>
  <c r="DN196" i="2"/>
  <c r="DK196" i="2"/>
  <c r="DN118" i="2"/>
  <c r="DK118" i="2"/>
  <c r="DK106" i="2"/>
  <c r="DN106" i="2"/>
  <c r="DK123" i="2"/>
  <c r="DN123" i="2"/>
  <c r="DK470" i="2"/>
  <c r="DN470" i="2"/>
  <c r="DN526" i="2"/>
  <c r="DK526" i="2"/>
  <c r="DP93" i="34"/>
  <c r="DP59" i="34"/>
  <c r="DP66" i="34"/>
  <c r="DN437" i="2"/>
  <c r="DK437" i="2"/>
  <c r="AU29" i="31"/>
  <c r="AT30" i="31"/>
  <c r="DN588" i="2"/>
  <c r="DK588" i="2"/>
  <c r="DK577" i="2"/>
  <c r="DN577" i="2"/>
  <c r="DK573" i="2"/>
  <c r="DN573" i="2"/>
  <c r="DK581" i="2"/>
  <c r="DN581" i="2"/>
  <c r="DK593" i="2"/>
  <c r="DN593" i="2"/>
  <c r="DK597" i="2"/>
  <c r="DN597" i="2"/>
  <c r="DK553" i="2"/>
  <c r="DN553" i="2"/>
  <c r="DN563" i="2"/>
  <c r="DK563" i="2"/>
  <c r="DK592" i="2"/>
  <c r="DN592" i="2"/>
  <c r="DN550" i="2"/>
  <c r="DK550" i="2"/>
  <c r="DN576" i="2"/>
  <c r="DK576" i="2"/>
  <c r="DN557" i="2"/>
  <c r="DK557" i="2"/>
  <c r="AC119" i="6"/>
  <c r="Z119" i="6"/>
  <c r="AF119" i="6" s="1"/>
  <c r="AA176" i="6"/>
  <c r="C115" i="11"/>
  <c r="D115" i="11" s="1"/>
  <c r="E115" i="11" s="1"/>
  <c r="AM68" i="8"/>
  <c r="AE68" i="8"/>
  <c r="DP462" i="2"/>
  <c r="DP448" i="2"/>
  <c r="DP446" i="2"/>
  <c r="DP425" i="2"/>
  <c r="DP430" i="2"/>
  <c r="DP427" i="2"/>
  <c r="DP469" i="2"/>
  <c r="DP457" i="2"/>
  <c r="DP453" i="2"/>
  <c r="DP467" i="2"/>
  <c r="DP455" i="2"/>
  <c r="DP449" i="2"/>
  <c r="DP460" i="2"/>
  <c r="DP444" i="2"/>
  <c r="DP442" i="2"/>
  <c r="DP466" i="2"/>
  <c r="DP461" i="2"/>
  <c r="DP454" i="2"/>
  <c r="DP470" i="2"/>
  <c r="DP438" i="2"/>
  <c r="DP443" i="2"/>
  <c r="DP439" i="2"/>
  <c r="DP432" i="2"/>
  <c r="DP436" i="2"/>
  <c r="DP435" i="2"/>
  <c r="DP441" i="2"/>
  <c r="DP429" i="2"/>
  <c r="DP434" i="2"/>
  <c r="BT423" i="2"/>
  <c r="DP450" i="2"/>
  <c r="DP437" i="2"/>
  <c r="DP447" i="2"/>
  <c r="DP428" i="2"/>
  <c r="DP426" i="2"/>
  <c r="DP445" i="2"/>
  <c r="DP452" i="2"/>
  <c r="DP440" i="2"/>
  <c r="DP423" i="2"/>
  <c r="DP463" i="2"/>
  <c r="DP468" i="2"/>
  <c r="DP456" i="2"/>
  <c r="DP451" i="2"/>
  <c r="DP464" i="2"/>
  <c r="DP458" i="2"/>
  <c r="DP422" i="2"/>
  <c r="DP431" i="2"/>
  <c r="DP459" i="2"/>
  <c r="DP465" i="2"/>
  <c r="DP433" i="2"/>
  <c r="DP424" i="2"/>
  <c r="AA113" i="8"/>
  <c r="AG113" i="8" s="1"/>
  <c r="AM170" i="8"/>
  <c r="AN170" i="8" s="1"/>
  <c r="BT113" i="2"/>
  <c r="BT130" i="2"/>
  <c r="BT142" i="2"/>
  <c r="BT151" i="2"/>
  <c r="BT114" i="2"/>
  <c r="BT129" i="2"/>
  <c r="BT141" i="2"/>
  <c r="BT152" i="2"/>
  <c r="BT148" i="2"/>
  <c r="BT156" i="2"/>
  <c r="BT139" i="2"/>
  <c r="BT140" i="2"/>
  <c r="BT121" i="2"/>
  <c r="BT133" i="2"/>
  <c r="BT144" i="2"/>
  <c r="BT153" i="2"/>
  <c r="BT117" i="2"/>
  <c r="BT134" i="2"/>
  <c r="BT143" i="2"/>
  <c r="BT154" i="2"/>
  <c r="BT155" i="2"/>
  <c r="BT115" i="2"/>
  <c r="BT116" i="2"/>
  <c r="BT147" i="2"/>
  <c r="BT126" i="2"/>
  <c r="BT135" i="2"/>
  <c r="BT146" i="2"/>
  <c r="BT110" i="2"/>
  <c r="BT125" i="2"/>
  <c r="BT136" i="2"/>
  <c r="BT145" i="2"/>
  <c r="BT120" i="2"/>
  <c r="BT124" i="2"/>
  <c r="BT118" i="2"/>
  <c r="BT119" i="2"/>
  <c r="BT111" i="2"/>
  <c r="BT128" i="2"/>
  <c r="BT137" i="2"/>
  <c r="BT149" i="2"/>
  <c r="BT112" i="2"/>
  <c r="BT127" i="2"/>
  <c r="BT138" i="2"/>
  <c r="BT150" i="2"/>
  <c r="BT123" i="2"/>
  <c r="BT131" i="2"/>
  <c r="BT132" i="2"/>
  <c r="BT122" i="2"/>
  <c r="DK531" i="2"/>
  <c r="DN531" i="2"/>
  <c r="DN197" i="2"/>
  <c r="DK197" i="2"/>
  <c r="DN199" i="2"/>
  <c r="DK199" i="2"/>
  <c r="BU305" i="2"/>
  <c r="BV305" i="2" s="1"/>
  <c r="BU316" i="2"/>
  <c r="BV316" i="2" s="1"/>
  <c r="BU328" i="2"/>
  <c r="BV328" i="2" s="1"/>
  <c r="BU337" i="2"/>
  <c r="BV337" i="2" s="1"/>
  <c r="BU304" i="2"/>
  <c r="BV304" i="2" s="1"/>
  <c r="BU313" i="2"/>
  <c r="BV313" i="2" s="1"/>
  <c r="BU324" i="2"/>
  <c r="BV324" i="2" s="1"/>
  <c r="BU336" i="2"/>
  <c r="BV336" i="2" s="1"/>
  <c r="BU345" i="2"/>
  <c r="BV345" i="2" s="1"/>
  <c r="BU341" i="2"/>
  <c r="BV341" i="2" s="1"/>
  <c r="BU318" i="2"/>
  <c r="BV318" i="2" s="1"/>
  <c r="BU333" i="2"/>
  <c r="BV333" i="2" s="1"/>
  <c r="BU307" i="2"/>
  <c r="BV307" i="2" s="1"/>
  <c r="BU319" i="2"/>
  <c r="BV319" i="2" s="1"/>
  <c r="BU330" i="2"/>
  <c r="BV330" i="2" s="1"/>
  <c r="BU339" i="2"/>
  <c r="BV339" i="2" s="1"/>
  <c r="BU306" i="2"/>
  <c r="BV306" i="2" s="1"/>
  <c r="BU315" i="2"/>
  <c r="BV315" i="2" s="1"/>
  <c r="BU327" i="2"/>
  <c r="BV327" i="2" s="1"/>
  <c r="BU338" i="2"/>
  <c r="BV338" i="2" s="1"/>
  <c r="BU302" i="2"/>
  <c r="BV302" i="2" s="1"/>
  <c r="BU310" i="2"/>
  <c r="BV310" i="2" s="1"/>
  <c r="BU325" i="2"/>
  <c r="BV325" i="2" s="1"/>
  <c r="BU300" i="2"/>
  <c r="BV300" i="2" s="1"/>
  <c r="BU312" i="2"/>
  <c r="BV312" i="2" s="1"/>
  <c r="BU321" i="2"/>
  <c r="BV321" i="2" s="1"/>
  <c r="BU332" i="2"/>
  <c r="BV332" i="2" s="1"/>
  <c r="BU344" i="2"/>
  <c r="BV344" i="2" s="1"/>
  <c r="BU308" i="2"/>
  <c r="BV308" i="2" s="1"/>
  <c r="BU320" i="2"/>
  <c r="BV320" i="2" s="1"/>
  <c r="BU329" i="2"/>
  <c r="BV329" i="2" s="1"/>
  <c r="BU340" i="2"/>
  <c r="BV340" i="2" s="1"/>
  <c r="BU309" i="2"/>
  <c r="BV309" i="2" s="1"/>
  <c r="BU317" i="2"/>
  <c r="BV317" i="2" s="1"/>
  <c r="BU301" i="2"/>
  <c r="BV301" i="2" s="1"/>
  <c r="BU303" i="2"/>
  <c r="BV303" i="2" s="1"/>
  <c r="BU314" i="2"/>
  <c r="BV314" i="2" s="1"/>
  <c r="BU323" i="2"/>
  <c r="BV323" i="2" s="1"/>
  <c r="BU335" i="2"/>
  <c r="BV335" i="2" s="1"/>
  <c r="BU346" i="2"/>
  <c r="BV346" i="2" s="1"/>
  <c r="BU311" i="2"/>
  <c r="BV311" i="2" s="1"/>
  <c r="BU322" i="2"/>
  <c r="BV322" i="2" s="1"/>
  <c r="BU331" i="2"/>
  <c r="BV331" i="2" s="1"/>
  <c r="BU343" i="2"/>
  <c r="BV343" i="2" s="1"/>
  <c r="BU334" i="2"/>
  <c r="BV334" i="2" s="1"/>
  <c r="BU342" i="2"/>
  <c r="BV342" i="2" s="1"/>
  <c r="BU326" i="2"/>
  <c r="BV326" i="2" s="1"/>
  <c r="DK154" i="2"/>
  <c r="DN154" i="2"/>
  <c r="DN124" i="2"/>
  <c r="DK124" i="2"/>
  <c r="B65" i="36"/>
  <c r="D65" i="36" s="1"/>
  <c r="E65" i="36" s="1"/>
  <c r="S174" i="39" s="1"/>
  <c r="T174" i="39" s="1"/>
  <c r="R174" i="6"/>
  <c r="DK424" i="2"/>
  <c r="DN424" i="2"/>
  <c r="DK495" i="2"/>
  <c r="DN495" i="2"/>
  <c r="DO635" i="2"/>
  <c r="DO646" i="2"/>
  <c r="DO619" i="2"/>
  <c r="DO632" i="2"/>
  <c r="DO644" i="2"/>
  <c r="DO618" i="2"/>
  <c r="DO629" i="2"/>
  <c r="DO642" i="2"/>
  <c r="DO617" i="2"/>
  <c r="DO637" i="2"/>
  <c r="DO648" i="2"/>
  <c r="DO616" i="2"/>
  <c r="DO659" i="2"/>
  <c r="DO624" i="2"/>
  <c r="DO638" i="2"/>
  <c r="DO657" i="2"/>
  <c r="DO622" i="2"/>
  <c r="DO636" i="2"/>
  <c r="DO655" i="2"/>
  <c r="DO615" i="2"/>
  <c r="DO634" i="2"/>
  <c r="DO661" i="2"/>
  <c r="DO627" i="2"/>
  <c r="DO640" i="2"/>
  <c r="DO663" i="2"/>
  <c r="DO651" i="2"/>
  <c r="DO662" i="2"/>
  <c r="DO628" i="2"/>
  <c r="DO649" i="2"/>
  <c r="DO660" i="2"/>
  <c r="DO626" i="2"/>
  <c r="DO647" i="2"/>
  <c r="DO658" i="2"/>
  <c r="DO623" i="2"/>
  <c r="DO653" i="2"/>
  <c r="DO633" i="2"/>
  <c r="DO630" i="2"/>
  <c r="DO643" i="2"/>
  <c r="DO654" i="2"/>
  <c r="DO631" i="2"/>
  <c r="DO641" i="2"/>
  <c r="DO652" i="2"/>
  <c r="DO625" i="2"/>
  <c r="DO639" i="2"/>
  <c r="DO650" i="2"/>
  <c r="DO621" i="2"/>
  <c r="DO645" i="2"/>
  <c r="DO656" i="2"/>
  <c r="DO620" i="2"/>
  <c r="BU188" i="2"/>
  <c r="BV188" i="2" s="1"/>
  <c r="BU219" i="2"/>
  <c r="BV219" i="2" s="1"/>
  <c r="BU205" i="2"/>
  <c r="BV205" i="2" s="1"/>
  <c r="BU185" i="2"/>
  <c r="BV185" i="2" s="1"/>
  <c r="BU206" i="2"/>
  <c r="BV206" i="2" s="1"/>
  <c r="BU179" i="2"/>
  <c r="BV179" i="2" s="1"/>
  <c r="BU200" i="2"/>
  <c r="BV200" i="2" s="1"/>
  <c r="BU218" i="2"/>
  <c r="BV218" i="2" s="1"/>
  <c r="BU190" i="2"/>
  <c r="BV190" i="2" s="1"/>
  <c r="BU215" i="2"/>
  <c r="BV215" i="2" s="1"/>
  <c r="BU191" i="2"/>
  <c r="BV191" i="2" s="1"/>
  <c r="BU209" i="2"/>
  <c r="BV209" i="2" s="1"/>
  <c r="BU197" i="2"/>
  <c r="BV197" i="2" s="1"/>
  <c r="BU180" i="2"/>
  <c r="BV180" i="2" s="1"/>
  <c r="BU212" i="2"/>
  <c r="BV212" i="2" s="1"/>
  <c r="BU192" i="2"/>
  <c r="BV192" i="2" s="1"/>
  <c r="BU210" i="2"/>
  <c r="BV210" i="2" s="1"/>
  <c r="BU182" i="2"/>
  <c r="BV182" i="2" s="1"/>
  <c r="BU207" i="2"/>
  <c r="BV207" i="2" s="1"/>
  <c r="BU176" i="2"/>
  <c r="BV176" i="2" s="1"/>
  <c r="BU194" i="2"/>
  <c r="BV194" i="2" s="1"/>
  <c r="BU174" i="2"/>
  <c r="BV174" i="2" s="1"/>
  <c r="BU195" i="2"/>
  <c r="BV195" i="2" s="1"/>
  <c r="BU216" i="2"/>
  <c r="BV216" i="2" s="1"/>
  <c r="BU204" i="2"/>
  <c r="BV204" i="2" s="1"/>
  <c r="BU189" i="2"/>
  <c r="BV189" i="2" s="1"/>
  <c r="BU220" i="2"/>
  <c r="BV220" i="2" s="1"/>
  <c r="BU199" i="2"/>
  <c r="BV199" i="2" s="1"/>
  <c r="BU217" i="2"/>
  <c r="BV217" i="2" s="1"/>
  <c r="BU186" i="2"/>
  <c r="BV186" i="2" s="1"/>
  <c r="BU211" i="2"/>
  <c r="BV211" i="2" s="1"/>
  <c r="BU183" i="2"/>
  <c r="BV183" i="2" s="1"/>
  <c r="BU201" i="2"/>
  <c r="BV201" i="2" s="1"/>
  <c r="BU177" i="2"/>
  <c r="BV177" i="2" s="1"/>
  <c r="BU198" i="2"/>
  <c r="BV198" i="2" s="1"/>
  <c r="BU181" i="2"/>
  <c r="BV181" i="2" s="1"/>
  <c r="BU213" i="2"/>
  <c r="BV213" i="2" s="1"/>
  <c r="BU196" i="2"/>
  <c r="BV196" i="2" s="1"/>
  <c r="BU178" i="2"/>
  <c r="BV178" i="2" s="1"/>
  <c r="BU203" i="2"/>
  <c r="BV203" i="2" s="1"/>
  <c r="BU175" i="2"/>
  <c r="BV175" i="2" s="1"/>
  <c r="BU193" i="2"/>
  <c r="BV193" i="2" s="1"/>
  <c r="BU214" i="2"/>
  <c r="BV214" i="2" s="1"/>
  <c r="BU187" i="2"/>
  <c r="BV187" i="2" s="1"/>
  <c r="BU208" i="2"/>
  <c r="BV208" i="2" s="1"/>
  <c r="BU184" i="2"/>
  <c r="BV184" i="2" s="1"/>
  <c r="BU202" i="2"/>
  <c r="BV202" i="2" s="1"/>
  <c r="BU489" i="2"/>
  <c r="DK238" i="2"/>
  <c r="DN238" i="2"/>
  <c r="DK274" i="2"/>
  <c r="DN274" i="2"/>
  <c r="DN240" i="2"/>
  <c r="DK240" i="2"/>
  <c r="DK270" i="2"/>
  <c r="DN270" i="2"/>
  <c r="DN260" i="2"/>
  <c r="DK260" i="2"/>
  <c r="DK272" i="2"/>
  <c r="DN272" i="2"/>
  <c r="DN259" i="2"/>
  <c r="DK259" i="2"/>
  <c r="DK249" i="2"/>
  <c r="DN249" i="2"/>
  <c r="DN261" i="2"/>
  <c r="DK261" i="2"/>
  <c r="DK248" i="2"/>
  <c r="DN248" i="2"/>
  <c r="DK254" i="2"/>
  <c r="DN254" i="2"/>
  <c r="DK242" i="2"/>
  <c r="DN242" i="2"/>
  <c r="DM547" i="34"/>
  <c r="DL548" i="34"/>
  <c r="DL547" i="34"/>
  <c r="DM548" i="34"/>
  <c r="BU171" i="34"/>
  <c r="DN447" i="2"/>
  <c r="DK447" i="2"/>
  <c r="DN516" i="2"/>
  <c r="DK516" i="2"/>
  <c r="DN173" i="2"/>
  <c r="DK173" i="2"/>
  <c r="DN205" i="2"/>
  <c r="DK205" i="2"/>
  <c r="DK200" i="2"/>
  <c r="DN200" i="2"/>
  <c r="BT200" i="34"/>
  <c r="BT177" i="34"/>
  <c r="BT205" i="34"/>
  <c r="BT187" i="34"/>
  <c r="BT201" i="34"/>
  <c r="BT190" i="34"/>
  <c r="BT204" i="34"/>
  <c r="BT174" i="34"/>
  <c r="BT191" i="34"/>
  <c r="BT207" i="34"/>
  <c r="BT176" i="34"/>
  <c r="BT206" i="34"/>
  <c r="BT196" i="34"/>
  <c r="BT175" i="34"/>
  <c r="BT209" i="34"/>
  <c r="BT189" i="34"/>
  <c r="BT218" i="34"/>
  <c r="BT194" i="34"/>
  <c r="BT208" i="34"/>
  <c r="BT181" i="34"/>
  <c r="BT195" i="34"/>
  <c r="BT211" i="34"/>
  <c r="BT180" i="34"/>
  <c r="BT210" i="34"/>
  <c r="BT192" i="34"/>
  <c r="BT179" i="34"/>
  <c r="BT213" i="34"/>
  <c r="BT193" i="34"/>
  <c r="BT220" i="34"/>
  <c r="BT198" i="34"/>
  <c r="BT212" i="34"/>
  <c r="BT217" i="34"/>
  <c r="BT199" i="34"/>
  <c r="BT215" i="34"/>
  <c r="BT186" i="34"/>
  <c r="BT214" i="34"/>
  <c r="BT184" i="34"/>
  <c r="BT219" i="34"/>
  <c r="BT185" i="34"/>
  <c r="BT197" i="34"/>
  <c r="BT182" i="34"/>
  <c r="BT202" i="34"/>
  <c r="BT216" i="34"/>
  <c r="BT183" i="34"/>
  <c r="BT203" i="34"/>
  <c r="BT178" i="34"/>
  <c r="BT188" i="34"/>
  <c r="AI113" i="6"/>
  <c r="M67" i="4" s="1"/>
  <c r="DN127" i="2"/>
  <c r="DK127" i="2"/>
  <c r="DK117" i="2"/>
  <c r="DN117" i="2"/>
  <c r="DN146" i="2"/>
  <c r="DK146" i="2"/>
  <c r="DO548" i="2"/>
  <c r="DP548" i="2"/>
  <c r="DO547" i="2"/>
  <c r="DP547" i="2"/>
  <c r="DK431" i="2"/>
  <c r="DN431" i="2"/>
  <c r="DK530" i="2"/>
  <c r="DN530" i="2"/>
  <c r="DP62" i="34"/>
  <c r="DP82" i="34"/>
  <c r="DP55" i="34"/>
  <c r="DM356" i="34"/>
  <c r="AI117" i="6"/>
  <c r="M71" i="4" s="1"/>
  <c r="DI91" i="34"/>
  <c r="DI78" i="34"/>
  <c r="DI60" i="34"/>
  <c r="DI81" i="34"/>
  <c r="DI71" i="34"/>
  <c r="DI65" i="34"/>
  <c r="DI74" i="34"/>
  <c r="DI84" i="34"/>
  <c r="DI77" i="34"/>
  <c r="DI83" i="34"/>
  <c r="DI75" i="34"/>
  <c r="DI49" i="34"/>
  <c r="DK487" i="34"/>
  <c r="DN487" i="34"/>
  <c r="DK500" i="34"/>
  <c r="DN500" i="34"/>
  <c r="DN527" i="34"/>
  <c r="DK527" i="34"/>
  <c r="DK520" i="34"/>
  <c r="DN520" i="34"/>
  <c r="DK517" i="34"/>
  <c r="DN517" i="34"/>
  <c r="DK499" i="34"/>
  <c r="DN499" i="34"/>
  <c r="DK489" i="34"/>
  <c r="DN489" i="34"/>
  <c r="DK496" i="34"/>
  <c r="DN496" i="34"/>
  <c r="DN529" i="34"/>
  <c r="DK529" i="34"/>
  <c r="DK514" i="34"/>
  <c r="DN514" i="34"/>
  <c r="DN504" i="34"/>
  <c r="DK504" i="34"/>
  <c r="DK516" i="34"/>
  <c r="DN516" i="34"/>
  <c r="DK490" i="34"/>
  <c r="DN490" i="34"/>
  <c r="DK457" i="2"/>
  <c r="DN457" i="2"/>
  <c r="DN522" i="2"/>
  <c r="DK522" i="2"/>
  <c r="DN193" i="2"/>
  <c r="DK193" i="2"/>
  <c r="DK195" i="2"/>
  <c r="DN195" i="2"/>
  <c r="DK190" i="2"/>
  <c r="DN190" i="2"/>
  <c r="DN126" i="2"/>
  <c r="DK126" i="2"/>
  <c r="DN109" i="2"/>
  <c r="DK109" i="2"/>
  <c r="DN134" i="2"/>
  <c r="DK134" i="2"/>
  <c r="DN368" i="2"/>
  <c r="DK368" i="2"/>
  <c r="DN365" i="2"/>
  <c r="DK365" i="2"/>
  <c r="DN386" i="2"/>
  <c r="DK386" i="2"/>
  <c r="DN404" i="2"/>
  <c r="DK404" i="2"/>
  <c r="DN371" i="2"/>
  <c r="DK371" i="2"/>
  <c r="DK369" i="2"/>
  <c r="DN369" i="2"/>
  <c r="DN399" i="2"/>
  <c r="DK399" i="2"/>
  <c r="DK381" i="2"/>
  <c r="DN381" i="2"/>
  <c r="DN367" i="2"/>
  <c r="DK367" i="2"/>
  <c r="DK360" i="2"/>
  <c r="DN360" i="2"/>
  <c r="DN389" i="2"/>
  <c r="DK389" i="2"/>
  <c r="DK378" i="2"/>
  <c r="DN378" i="2"/>
  <c r="DK296" i="2"/>
  <c r="DN296" i="2"/>
  <c r="DN316" i="2"/>
  <c r="DK316" i="2"/>
  <c r="DK317" i="2"/>
  <c r="DN317" i="2"/>
  <c r="DN330" i="2"/>
  <c r="DK330" i="2"/>
  <c r="DN312" i="2"/>
  <c r="DK312" i="2"/>
  <c r="DK297" i="2"/>
  <c r="DN297" i="2"/>
  <c r="DK321" i="2"/>
  <c r="DN321" i="2"/>
  <c r="DK339" i="2"/>
  <c r="DN339" i="2"/>
  <c r="DN328" i="2"/>
  <c r="DK328" i="2"/>
  <c r="DK327" i="2"/>
  <c r="DN327" i="2"/>
  <c r="DK329" i="2"/>
  <c r="DN329" i="2"/>
  <c r="DN326" i="2"/>
  <c r="DK326" i="2"/>
  <c r="DK460" i="2"/>
  <c r="DN460" i="2"/>
  <c r="DP68" i="34"/>
  <c r="DP71" i="34"/>
  <c r="DP54" i="34"/>
  <c r="DL613" i="34"/>
  <c r="DM612" i="34"/>
  <c r="DL612" i="34"/>
  <c r="DO57" i="34"/>
  <c r="DO93" i="34"/>
  <c r="DO60" i="34"/>
  <c r="DO87" i="34"/>
  <c r="DO72" i="34"/>
  <c r="DO89" i="34"/>
  <c r="DO54" i="34"/>
  <c r="DO64" i="34"/>
  <c r="DO76" i="34"/>
  <c r="DO84" i="34"/>
  <c r="DO55" i="34"/>
  <c r="DO68" i="34"/>
  <c r="DO90" i="34"/>
  <c r="DO65" i="34"/>
  <c r="DO50" i="34"/>
  <c r="DO86" i="34"/>
  <c r="DO59" i="34"/>
  <c r="DO52" i="34"/>
  <c r="DO48" i="34"/>
  <c r="DO61" i="34"/>
  <c r="DO83" i="34"/>
  <c r="DO88" i="34"/>
  <c r="DO63" i="34"/>
  <c r="DO47" i="34"/>
  <c r="DO80" i="34"/>
  <c r="DO73" i="34"/>
  <c r="DO51" i="34"/>
  <c r="DO58" i="34"/>
  <c r="DO67" i="34"/>
  <c r="DO78" i="34"/>
  <c r="DO85" i="34"/>
  <c r="DO69" i="34"/>
  <c r="DO70" i="34"/>
  <c r="DO74" i="34"/>
  <c r="DO71" i="34"/>
  <c r="DO62" i="34"/>
  <c r="DO66" i="34"/>
  <c r="DO81" i="34"/>
  <c r="DO82" i="34"/>
  <c r="DO53" i="34"/>
  <c r="DO75" i="34"/>
  <c r="DO92" i="34"/>
  <c r="DO94" i="34"/>
  <c r="DO77" i="34"/>
  <c r="DO56" i="34"/>
  <c r="DO49" i="34"/>
  <c r="DO79" i="34"/>
  <c r="DO46" i="34"/>
  <c r="DO91" i="34"/>
  <c r="DL357" i="34"/>
  <c r="DL356" i="34"/>
  <c r="DM357" i="34"/>
  <c r="BF16" i="8"/>
  <c r="AN16" i="8"/>
  <c r="BG16" i="8" s="1"/>
  <c r="AB69" i="8"/>
  <c r="DK468" i="2"/>
  <c r="DN468" i="2"/>
  <c r="BU552" i="2"/>
  <c r="B119" i="36"/>
  <c r="R173" i="8"/>
  <c r="DN458" i="2"/>
  <c r="DK458" i="2"/>
  <c r="DK497" i="2"/>
  <c r="DN497" i="2"/>
  <c r="DK202" i="2"/>
  <c r="DN202" i="2"/>
  <c r="DK187" i="2"/>
  <c r="DN187" i="2"/>
  <c r="DN180" i="2"/>
  <c r="DK180" i="2"/>
  <c r="DM613" i="34"/>
  <c r="DN151" i="2"/>
  <c r="DK151" i="2"/>
  <c r="DK150" i="2"/>
  <c r="DN150" i="2"/>
  <c r="DN107" i="2"/>
  <c r="DK107" i="2"/>
  <c r="BU362" i="2"/>
  <c r="DN430" i="2"/>
  <c r="DK430" i="2"/>
  <c r="DN513" i="2"/>
  <c r="DK513" i="2"/>
  <c r="DP50" i="34"/>
  <c r="DP72" i="34"/>
  <c r="DP47" i="34"/>
  <c r="X120" i="3"/>
  <c r="DN554" i="2"/>
  <c r="DK554" i="2"/>
  <c r="DK585" i="2"/>
  <c r="DN585" i="2"/>
  <c r="DN578" i="2"/>
  <c r="DK578" i="2"/>
  <c r="DN580" i="2"/>
  <c r="DK580" i="2"/>
  <c r="DN586" i="2"/>
  <c r="DK586" i="2"/>
  <c r="DK551" i="2"/>
  <c r="DN551" i="2"/>
  <c r="DK583" i="2"/>
  <c r="DN583" i="2"/>
  <c r="DN566" i="2"/>
  <c r="DK566" i="2"/>
  <c r="DK575" i="2"/>
  <c r="DN575" i="2"/>
  <c r="DN552" i="2"/>
  <c r="DK552" i="2"/>
  <c r="DN572" i="2"/>
  <c r="DK572" i="2"/>
  <c r="DK571" i="2"/>
  <c r="DN571" i="2"/>
  <c r="DO439" i="2"/>
  <c r="DO447" i="2"/>
  <c r="DO438" i="2"/>
  <c r="DO436" i="2"/>
  <c r="DO445" i="2"/>
  <c r="DO432" i="2"/>
  <c r="DO444" i="2"/>
  <c r="DO451" i="2"/>
  <c r="DO422" i="2"/>
  <c r="DO450" i="2"/>
  <c r="DO457" i="2"/>
  <c r="DO426" i="2"/>
  <c r="DO464" i="2"/>
  <c r="DO429" i="2"/>
  <c r="DO437" i="2"/>
  <c r="DO462" i="2"/>
  <c r="DO469" i="2"/>
  <c r="DO435" i="2"/>
  <c r="DO468" i="2"/>
  <c r="DO434" i="2"/>
  <c r="DO443" i="2"/>
  <c r="DO470" i="2"/>
  <c r="DO442" i="2"/>
  <c r="DO449" i="2"/>
  <c r="DO440" i="2"/>
  <c r="DO456" i="2"/>
  <c r="DO463" i="2"/>
  <c r="DO427" i="2"/>
  <c r="DO454" i="2"/>
  <c r="DO461" i="2"/>
  <c r="DO424" i="2"/>
  <c r="DO460" i="2"/>
  <c r="DO467" i="2"/>
  <c r="DO433" i="2"/>
  <c r="DO466" i="2"/>
  <c r="DO431" i="2"/>
  <c r="DO441" i="2"/>
  <c r="DO448" i="2"/>
  <c r="DO455" i="2"/>
  <c r="DO425" i="2"/>
  <c r="DO446" i="2"/>
  <c r="DO453" i="2"/>
  <c r="DO423" i="2"/>
  <c r="DO452" i="2"/>
  <c r="DO459" i="2"/>
  <c r="DO428" i="2"/>
  <c r="DO458" i="2"/>
  <c r="DO465" i="2"/>
  <c r="DO430" i="2"/>
  <c r="BU425" i="2"/>
  <c r="DP88" i="34"/>
  <c r="X120" i="6"/>
  <c r="DK456" i="2"/>
  <c r="DN456" i="2"/>
  <c r="BU108" i="2"/>
  <c r="DK172" i="2"/>
  <c r="DN172" i="2"/>
  <c r="DK171" i="2"/>
  <c r="DN171" i="2"/>
  <c r="DK184" i="2"/>
  <c r="DN184" i="2"/>
  <c r="DK129" i="2"/>
  <c r="DN129" i="2"/>
  <c r="DK128" i="2"/>
  <c r="DN128" i="2"/>
  <c r="DN131" i="2"/>
  <c r="DK131" i="2"/>
  <c r="DN425" i="2"/>
  <c r="DK425" i="2"/>
  <c r="DN524" i="2"/>
  <c r="DK524" i="2"/>
  <c r="DP650" i="2"/>
  <c r="DP616" i="2"/>
  <c r="DP629" i="2"/>
  <c r="DP648" i="2"/>
  <c r="DP661" i="2"/>
  <c r="DP627" i="2"/>
  <c r="DP654" i="2"/>
  <c r="DP625" i="2"/>
  <c r="DP635" i="2"/>
  <c r="DP660" i="2"/>
  <c r="DP626" i="2"/>
  <c r="DP641" i="2"/>
  <c r="DP642" i="2"/>
  <c r="DP655" i="2"/>
  <c r="DP622" i="2"/>
  <c r="DP640" i="2"/>
  <c r="DP653" i="2"/>
  <c r="BT616" i="2"/>
  <c r="DP646" i="2"/>
  <c r="DP659" i="2"/>
  <c r="DP620" i="2"/>
  <c r="DP652" i="2"/>
  <c r="DP621" i="2"/>
  <c r="DP632" i="2"/>
  <c r="DP618" i="2"/>
  <c r="DP634" i="2"/>
  <c r="DP647" i="2"/>
  <c r="DP617" i="2"/>
  <c r="DP630" i="2"/>
  <c r="DP645" i="2"/>
  <c r="DP633" i="2"/>
  <c r="DP638" i="2"/>
  <c r="DP651" i="2"/>
  <c r="DP624" i="2"/>
  <c r="DP644" i="2"/>
  <c r="DP657" i="2"/>
  <c r="DP615" i="2"/>
  <c r="DP658" i="2"/>
  <c r="DP623" i="2"/>
  <c r="DP639" i="2"/>
  <c r="DP656" i="2"/>
  <c r="DP631" i="2"/>
  <c r="DP637" i="2"/>
  <c r="DP662" i="2"/>
  <c r="DP628" i="2"/>
  <c r="DP643" i="2"/>
  <c r="DP619" i="2"/>
  <c r="DP636" i="2"/>
  <c r="DP649" i="2"/>
  <c r="DP663" i="2"/>
  <c r="DJ624" i="2"/>
  <c r="DJ653" i="2"/>
  <c r="DJ640" i="2"/>
  <c r="DJ650" i="2"/>
  <c r="DJ627" i="2"/>
  <c r="DJ655" i="2"/>
  <c r="DJ658" i="2"/>
  <c r="DJ637" i="2"/>
  <c r="DJ617" i="2"/>
  <c r="DJ634" i="2"/>
  <c r="DJ660" i="2"/>
  <c r="DJ639" i="2"/>
  <c r="DJ649" i="2"/>
  <c r="DJ659" i="2"/>
  <c r="DJ628" i="2"/>
  <c r="DJ622" i="2"/>
  <c r="DJ635" i="2"/>
  <c r="DJ661" i="2"/>
  <c r="DJ648" i="2"/>
  <c r="DJ643" i="2"/>
  <c r="DJ625" i="2"/>
  <c r="DJ623" i="2"/>
  <c r="BT618" i="2"/>
  <c r="DJ645" i="2"/>
  <c r="DJ631" i="2"/>
  <c r="DJ636" i="2"/>
  <c r="DJ662" i="2"/>
  <c r="DJ657" i="2"/>
  <c r="DJ621" i="2"/>
  <c r="DJ638" i="2"/>
  <c r="DJ632" i="2"/>
  <c r="DJ663" i="2"/>
  <c r="DJ646" i="2"/>
  <c r="DJ656" i="2"/>
  <c r="DJ651" i="2"/>
  <c r="DJ620" i="2"/>
  <c r="DJ630" i="2"/>
  <c r="DJ642" i="2"/>
  <c r="DJ619" i="2"/>
  <c r="DJ647" i="2"/>
  <c r="DJ618" i="2"/>
  <c r="DJ644" i="2"/>
  <c r="DJ633" i="2"/>
  <c r="DJ626" i="2"/>
  <c r="DJ652" i="2"/>
  <c r="DJ629" i="2"/>
  <c r="DJ641" i="2"/>
  <c r="DJ615" i="2"/>
  <c r="DJ654" i="2"/>
  <c r="DJ616" i="2"/>
  <c r="DN237" i="2"/>
  <c r="DK237" i="2"/>
  <c r="DK243" i="2"/>
  <c r="DN243" i="2"/>
  <c r="DN263" i="2"/>
  <c r="DK263" i="2"/>
  <c r="DK269" i="2"/>
  <c r="DN269" i="2"/>
  <c r="DK275" i="2"/>
  <c r="DN275" i="2"/>
  <c r="DK233" i="2"/>
  <c r="DN233" i="2"/>
  <c r="DK266" i="2"/>
  <c r="DN266" i="2"/>
  <c r="DN235" i="2"/>
  <c r="DK235" i="2"/>
  <c r="DK250" i="2"/>
  <c r="DN250" i="2"/>
  <c r="DK252" i="2"/>
  <c r="DN252" i="2"/>
  <c r="DN264" i="2"/>
  <c r="DK264" i="2"/>
  <c r="DK239" i="2"/>
  <c r="DN239" i="2"/>
  <c r="C13" i="11"/>
  <c r="D13" i="11" s="1"/>
  <c r="E13" i="11" s="1"/>
  <c r="AM68" i="3"/>
  <c r="AE68" i="3"/>
  <c r="DI547" i="34"/>
  <c r="DI548" i="34"/>
  <c r="DJ548" i="34"/>
  <c r="DJ547" i="34"/>
  <c r="AC113" i="8"/>
  <c r="AA170" i="8"/>
  <c r="Z113" i="8"/>
  <c r="AF113" i="8" s="1"/>
  <c r="DN211" i="2"/>
  <c r="DK211" i="2"/>
  <c r="DK218" i="2"/>
  <c r="DN218" i="2"/>
  <c r="DN192" i="2"/>
  <c r="DK192" i="2"/>
  <c r="BU172" i="34"/>
  <c r="AQ30" i="31"/>
  <c r="CL25" i="31" s="1"/>
  <c r="G26" i="31" s="1"/>
  <c r="DK119" i="2"/>
  <c r="DN119" i="2"/>
  <c r="DK149" i="2"/>
  <c r="DN149" i="2"/>
  <c r="DN112" i="2"/>
  <c r="DK112" i="2"/>
  <c r="DN459" i="2"/>
  <c r="DK459" i="2"/>
  <c r="DP60" i="34"/>
  <c r="DP94" i="34"/>
  <c r="DP77" i="34"/>
  <c r="BC46" i="31"/>
  <c r="BB47" i="31"/>
  <c r="BU278" i="2"/>
  <c r="BV278" i="2" s="1"/>
  <c r="BU242" i="2"/>
  <c r="BV242" i="2" s="1"/>
  <c r="BU265" i="2"/>
  <c r="BV265" i="2" s="1"/>
  <c r="BU261" i="2"/>
  <c r="BV261" i="2" s="1"/>
  <c r="BU246" i="2"/>
  <c r="BV246" i="2" s="1"/>
  <c r="BU279" i="2"/>
  <c r="BV279" i="2" s="1"/>
  <c r="BU258" i="2"/>
  <c r="BV258" i="2" s="1"/>
  <c r="BU254" i="2"/>
  <c r="BV254" i="2" s="1"/>
  <c r="BU282" i="2"/>
  <c r="BV282" i="2" s="1"/>
  <c r="BU248" i="2"/>
  <c r="BV248" i="2" s="1"/>
  <c r="BU273" i="2"/>
  <c r="BV273" i="2" s="1"/>
  <c r="BU272" i="2"/>
  <c r="BV272" i="2" s="1"/>
  <c r="BU277" i="2"/>
  <c r="BV277" i="2" s="1"/>
  <c r="BU241" i="2"/>
  <c r="BV241" i="2" s="1"/>
  <c r="BU264" i="2"/>
  <c r="BV264" i="2" s="1"/>
  <c r="BU260" i="2"/>
  <c r="BV260" i="2" s="1"/>
  <c r="BU245" i="2"/>
  <c r="BV245" i="2" s="1"/>
  <c r="BU275" i="2"/>
  <c r="BV275" i="2" s="1"/>
  <c r="BU257" i="2"/>
  <c r="BV257" i="2" s="1"/>
  <c r="BU253" i="2"/>
  <c r="BV253" i="2" s="1"/>
  <c r="BU280" i="2"/>
  <c r="BV280" i="2" s="1"/>
  <c r="BU243" i="2"/>
  <c r="BV243" i="2" s="1"/>
  <c r="BU269" i="2"/>
  <c r="BV269" i="2" s="1"/>
  <c r="BU268" i="2"/>
  <c r="BV268" i="2" s="1"/>
  <c r="BU276" i="2"/>
  <c r="BV276" i="2" s="1"/>
  <c r="BU267" i="2"/>
  <c r="BV267" i="2" s="1"/>
  <c r="BU263" i="2"/>
  <c r="BV263" i="2" s="1"/>
  <c r="BU250" i="2"/>
  <c r="BV250" i="2" s="1"/>
  <c r="BU244" i="2"/>
  <c r="BV244" i="2" s="1"/>
  <c r="BU271" i="2"/>
  <c r="BV271" i="2" s="1"/>
  <c r="BU256" i="2"/>
  <c r="BV256" i="2" s="1"/>
  <c r="BU252" i="2"/>
  <c r="BV252" i="2" s="1"/>
  <c r="BU274" i="2"/>
  <c r="BV274" i="2" s="1"/>
  <c r="BU237" i="2"/>
  <c r="BV237" i="2" s="1"/>
  <c r="BU251" i="2"/>
  <c r="BV251" i="2" s="1"/>
  <c r="BU239" i="2"/>
  <c r="BV239" i="2" s="1"/>
  <c r="BU249" i="2"/>
  <c r="BV249" i="2" s="1"/>
  <c r="BU266" i="2"/>
  <c r="BV266" i="2" s="1"/>
  <c r="BU262" i="2"/>
  <c r="BV262" i="2" s="1"/>
  <c r="BU247" i="2"/>
  <c r="BV247" i="2" s="1"/>
  <c r="BU283" i="2"/>
  <c r="BV283" i="2" s="1"/>
  <c r="BU259" i="2"/>
  <c r="BV259" i="2" s="1"/>
  <c r="BU255" i="2"/>
  <c r="BV255" i="2" s="1"/>
  <c r="BU240" i="2"/>
  <c r="BV240" i="2" s="1"/>
  <c r="BU270" i="2"/>
  <c r="BV270" i="2" s="1"/>
  <c r="BU281" i="2"/>
  <c r="BV281" i="2" s="1"/>
  <c r="BU238" i="2"/>
  <c r="BV238" i="2" s="1"/>
  <c r="DK442" i="2"/>
  <c r="DN442" i="2"/>
  <c r="BU48" i="34"/>
  <c r="DI94" i="34"/>
  <c r="DI86" i="34"/>
  <c r="DI70" i="34"/>
  <c r="DI72" i="34"/>
  <c r="DI58" i="34"/>
  <c r="DI53" i="34"/>
  <c r="DI93" i="34"/>
  <c r="DI92" i="34"/>
  <c r="DI73" i="34"/>
  <c r="DI54" i="34"/>
  <c r="DI85" i="34"/>
  <c r="BU487" i="2"/>
  <c r="BU488" i="34"/>
  <c r="BU360" i="34"/>
  <c r="DK492" i="34"/>
  <c r="DN492" i="34"/>
  <c r="DK505" i="34"/>
  <c r="DN505" i="34"/>
  <c r="DK488" i="34"/>
  <c r="DN488" i="34"/>
  <c r="DK528" i="34"/>
  <c r="DN528" i="34"/>
  <c r="DK498" i="34"/>
  <c r="DN498" i="34"/>
  <c r="DK530" i="34"/>
  <c r="DN530" i="34"/>
  <c r="DK511" i="34"/>
  <c r="DN511" i="34"/>
  <c r="DN506" i="34"/>
  <c r="DK506" i="34"/>
  <c r="DK509" i="34"/>
  <c r="DN509" i="34"/>
  <c r="DK508" i="34"/>
  <c r="DN508" i="34"/>
  <c r="DK518" i="34"/>
  <c r="DN518" i="34"/>
  <c r="DK522" i="34"/>
  <c r="DN522" i="34"/>
  <c r="DN449" i="2"/>
  <c r="DK449" i="2"/>
  <c r="DK217" i="2"/>
  <c r="DN217" i="2"/>
  <c r="DK177" i="2"/>
  <c r="DN177" i="2"/>
  <c r="DK179" i="2"/>
  <c r="DN179" i="2"/>
  <c r="DN183" i="2"/>
  <c r="DK183" i="2"/>
  <c r="DK111" i="2"/>
  <c r="DN111" i="2"/>
  <c r="DK140" i="2"/>
  <c r="DN140" i="2"/>
  <c r="DN108" i="2"/>
  <c r="DK108" i="2"/>
  <c r="BU361" i="34"/>
  <c r="D66" i="36"/>
  <c r="E66" i="36" s="1"/>
  <c r="S175" i="39" s="1"/>
  <c r="T175" i="39" s="1"/>
  <c r="DK366" i="2"/>
  <c r="DN366" i="2"/>
  <c r="DK400" i="2"/>
  <c r="DN400" i="2"/>
  <c r="DN392" i="2"/>
  <c r="DK392" i="2"/>
  <c r="DK405" i="2"/>
  <c r="DN405" i="2"/>
  <c r="DK379" i="2"/>
  <c r="DN379" i="2"/>
  <c r="DK364" i="2"/>
  <c r="DN364" i="2"/>
  <c r="DK394" i="2"/>
  <c r="DN394" i="2"/>
  <c r="DN387" i="2"/>
  <c r="DK387" i="2"/>
  <c r="DN374" i="2"/>
  <c r="DK374" i="2"/>
  <c r="DK396" i="2"/>
  <c r="DN396" i="2"/>
  <c r="DK402" i="2"/>
  <c r="DN402" i="2"/>
  <c r="DK384" i="2"/>
  <c r="DN384" i="2"/>
  <c r="DN397" i="2"/>
  <c r="DK397" i="2"/>
  <c r="DK304" i="2"/>
  <c r="DN304" i="2"/>
  <c r="DK307" i="2"/>
  <c r="DN307" i="2"/>
  <c r="DN299" i="2"/>
  <c r="DK299" i="2"/>
  <c r="DN340" i="2"/>
  <c r="DK340" i="2"/>
  <c r="DN341" i="2"/>
  <c r="DK341" i="2"/>
  <c r="DN322" i="2"/>
  <c r="DK322" i="2"/>
  <c r="DK331" i="2"/>
  <c r="DN331" i="2"/>
  <c r="DN320" i="2"/>
  <c r="DK320" i="2"/>
  <c r="DK311" i="2"/>
  <c r="DN311" i="2"/>
  <c r="DK298" i="2"/>
  <c r="DN298" i="2"/>
  <c r="DK318" i="2"/>
  <c r="DN318" i="2"/>
  <c r="DK319" i="2"/>
  <c r="DN319" i="2"/>
  <c r="X120" i="8"/>
  <c r="DP103" i="2"/>
  <c r="DO104" i="2"/>
  <c r="DP104" i="2"/>
  <c r="DO103" i="2"/>
  <c r="DK487" i="2"/>
  <c r="DN487" i="2"/>
  <c r="DL483" i="2" s="1"/>
  <c r="DP63" i="34"/>
  <c r="DP48" i="34"/>
  <c r="DI613" i="34"/>
  <c r="DJ613" i="34"/>
  <c r="DJ612" i="34"/>
  <c r="DI612" i="34"/>
  <c r="DI356" i="34"/>
  <c r="DJ357" i="34"/>
  <c r="DI357" i="34"/>
  <c r="DJ356" i="34"/>
  <c r="DK444" i="2"/>
  <c r="DN444" i="2"/>
  <c r="BU617" i="34"/>
  <c r="BU551" i="34"/>
  <c r="BF16" i="3"/>
  <c r="AN16" i="3"/>
  <c r="BG16" i="3" s="1"/>
  <c r="AE21" i="9"/>
  <c r="AD16" i="3"/>
  <c r="AG16" i="3"/>
  <c r="AC16" i="3"/>
  <c r="AE16" i="3"/>
  <c r="AF16" i="3"/>
  <c r="AB69" i="3"/>
  <c r="BT89" i="34"/>
  <c r="BT74" i="34"/>
  <c r="BT66" i="34"/>
  <c r="BT58" i="34"/>
  <c r="BT53" i="34"/>
  <c r="BT81" i="34"/>
  <c r="BT96" i="34"/>
  <c r="BT88" i="34"/>
  <c r="BT67" i="34"/>
  <c r="BT61" i="34"/>
  <c r="BT71" i="34"/>
  <c r="BT65" i="34"/>
  <c r="BT86" i="34"/>
  <c r="BT72" i="34"/>
  <c r="BT64" i="34"/>
  <c r="BT55" i="34"/>
  <c r="BT52" i="34"/>
  <c r="BT56" i="34"/>
  <c r="BT94" i="34"/>
  <c r="BT85" i="34"/>
  <c r="BT75" i="34"/>
  <c r="BT69" i="34"/>
  <c r="BT79" i="34"/>
  <c r="BT73" i="34"/>
  <c r="BT78" i="34"/>
  <c r="BT70" i="34"/>
  <c r="BT62" i="34"/>
  <c r="BT51" i="34"/>
  <c r="BT95" i="34"/>
  <c r="BT54" i="34"/>
  <c r="BT93" i="34"/>
  <c r="BT82" i="34"/>
  <c r="BT83" i="34"/>
  <c r="BT77" i="34"/>
  <c r="BT87" i="34"/>
  <c r="BT90" i="34"/>
  <c r="BT76" i="34"/>
  <c r="BT68" i="34"/>
  <c r="BT60" i="34"/>
  <c r="BT80" i="34"/>
  <c r="BT84" i="34"/>
  <c r="BT50" i="34"/>
  <c r="BT92" i="34"/>
  <c r="BT59" i="34"/>
  <c r="BT91" i="34"/>
  <c r="BT63" i="34"/>
  <c r="BT57" i="34"/>
  <c r="AI114" i="6"/>
  <c r="M68" i="4" s="1"/>
  <c r="H9" i="36"/>
  <c r="AE173" i="38" s="1"/>
  <c r="AW173" i="38" s="1"/>
  <c r="S173" i="3"/>
  <c r="T173" i="3" s="1"/>
  <c r="BU553" i="34"/>
  <c r="DN461" i="2"/>
  <c r="DK461" i="2"/>
  <c r="DK194" i="2"/>
  <c r="DN194" i="2"/>
  <c r="DK212" i="2"/>
  <c r="DN212" i="2"/>
  <c r="DK214" i="2"/>
  <c r="DN214" i="2"/>
  <c r="BU360" i="2"/>
  <c r="DK152" i="2"/>
  <c r="DN152" i="2"/>
  <c r="DK144" i="2"/>
  <c r="DN144" i="2"/>
  <c r="DN116" i="2"/>
  <c r="DK116" i="2"/>
  <c r="DN139" i="2"/>
  <c r="DK139" i="2"/>
  <c r="BU299" i="2"/>
  <c r="BU171" i="2"/>
  <c r="DN426" i="2"/>
  <c r="DK426" i="2"/>
  <c r="DK504" i="2"/>
  <c r="DN504" i="2"/>
  <c r="DP78" i="34"/>
  <c r="DP79" i="34"/>
  <c r="BT437" i="2"/>
  <c r="BT431" i="2"/>
  <c r="BT442" i="2"/>
  <c r="BT458" i="2"/>
  <c r="BT467" i="2"/>
  <c r="BT447" i="2"/>
  <c r="BT471" i="2"/>
  <c r="BT443" i="2"/>
  <c r="BT455" i="2"/>
  <c r="BT466" i="2"/>
  <c r="BT435" i="2"/>
  <c r="BT472" i="2"/>
  <c r="BT448" i="2"/>
  <c r="BT433" i="2"/>
  <c r="BT444" i="2"/>
  <c r="BT460" i="2"/>
  <c r="BT469" i="2"/>
  <c r="BT451" i="2"/>
  <c r="BT429" i="2"/>
  <c r="BT445" i="2"/>
  <c r="BT457" i="2"/>
  <c r="BT468" i="2"/>
  <c r="BT450" i="2"/>
  <c r="BT427" i="2"/>
  <c r="BT426" i="2"/>
  <c r="BT436" i="2"/>
  <c r="BT446" i="2"/>
  <c r="BT463" i="2"/>
  <c r="BT434" i="2"/>
  <c r="BT453" i="2"/>
  <c r="BT439" i="2"/>
  <c r="BT449" i="2"/>
  <c r="BT459" i="2"/>
  <c r="BT470" i="2"/>
  <c r="BT454" i="2"/>
  <c r="BT432" i="2"/>
  <c r="BT428" i="2"/>
  <c r="BT440" i="2"/>
  <c r="BT456" i="2"/>
  <c r="BT465" i="2"/>
  <c r="BT438" i="2"/>
  <c r="BT462" i="2"/>
  <c r="BT441" i="2"/>
  <c r="BT452" i="2"/>
  <c r="BT464" i="2"/>
  <c r="BT430" i="2"/>
  <c r="BT461" i="2"/>
  <c r="M120" i="3"/>
  <c r="DK462" i="2"/>
  <c r="DN462" i="2"/>
  <c r="DN582" i="2"/>
  <c r="DK582" i="2"/>
  <c r="DK560" i="2"/>
  <c r="DN560" i="2"/>
  <c r="DN559" i="2"/>
  <c r="DK559" i="2"/>
  <c r="DK587" i="2"/>
  <c r="DN587" i="2"/>
  <c r="DN564" i="2"/>
  <c r="DK564" i="2"/>
  <c r="DK589" i="2"/>
  <c r="DN589" i="2"/>
  <c r="DN568" i="2"/>
  <c r="DK568" i="2"/>
  <c r="DN594" i="2"/>
  <c r="DK594" i="2"/>
  <c r="DK556" i="2"/>
  <c r="DN556" i="2"/>
  <c r="DN591" i="2"/>
  <c r="DK591" i="2"/>
  <c r="DN562" i="2"/>
  <c r="DK562" i="2"/>
  <c r="DN570" i="2"/>
  <c r="DK570" i="2"/>
  <c r="DN590" i="2"/>
  <c r="DK590" i="2"/>
  <c r="BU236" i="2"/>
  <c r="M113" i="8"/>
  <c r="R171" i="3"/>
  <c r="B7" i="36"/>
  <c r="AI118" i="8"/>
  <c r="T72" i="4" s="1"/>
  <c r="AI115" i="6"/>
  <c r="M69" i="4" s="1"/>
  <c r="AI115" i="8"/>
  <c r="T69" i="4" s="1"/>
  <c r="B117" i="36"/>
  <c r="D117" i="36" s="1"/>
  <c r="E117" i="36" s="1"/>
  <c r="S171" i="40" s="1"/>
  <c r="T171" i="40" s="1"/>
  <c r="R171" i="8"/>
  <c r="R175" i="8"/>
  <c r="B121" i="36"/>
  <c r="D121" i="36" s="1"/>
  <c r="E121" i="36" s="1"/>
  <c r="S175" i="40" s="1"/>
  <c r="T175" i="40" s="1"/>
  <c r="AI114" i="3"/>
  <c r="E68" i="4" s="1"/>
  <c r="G68" i="4" s="1"/>
  <c r="AE114" i="38" s="1"/>
  <c r="AY171" i="38" s="1"/>
  <c r="R175" i="3"/>
  <c r="B11" i="36"/>
  <c r="R172" i="6"/>
  <c r="B63" i="36"/>
  <c r="D63" i="36" s="1"/>
  <c r="E63" i="36" s="1"/>
  <c r="S172" i="39" s="1"/>
  <c r="T172" i="39" s="1"/>
  <c r="AI114" i="8"/>
  <c r="T68" i="4" s="1"/>
  <c r="B64" i="36"/>
  <c r="D64" i="36" s="1"/>
  <c r="E64" i="36" s="1"/>
  <c r="S173" i="39" s="1"/>
  <c r="T173" i="39" s="1"/>
  <c r="R173" i="6"/>
  <c r="B118" i="36"/>
  <c r="R172" i="8"/>
  <c r="B10" i="36"/>
  <c r="R174" i="3"/>
  <c r="B122" i="36"/>
  <c r="D122" i="36" s="1"/>
  <c r="E122" i="36" s="1"/>
  <c r="S176" i="40" s="1"/>
  <c r="T176" i="40" s="1"/>
  <c r="R176" i="8"/>
  <c r="R176" i="3"/>
  <c r="B12" i="36"/>
  <c r="AI117" i="3"/>
  <c r="E71" i="4" s="1"/>
  <c r="G71" i="4" s="1"/>
  <c r="AI116" i="6"/>
  <c r="M70" i="4" s="1"/>
  <c r="R172" i="3"/>
  <c r="B8" i="36"/>
  <c r="R170" i="3"/>
  <c r="B6" i="36"/>
  <c r="CB425" i="34"/>
  <c r="CI48" i="37"/>
  <c r="CI49" i="37"/>
  <c r="CI234" i="2"/>
  <c r="CK297" i="2"/>
  <c r="CJ173" i="34"/>
  <c r="CI236" i="34"/>
  <c r="CI173" i="34"/>
  <c r="CC424" i="34"/>
  <c r="CC234" i="2"/>
  <c r="CJ297" i="2"/>
  <c r="CS49" i="37"/>
  <c r="CR107" i="34"/>
  <c r="CA297" i="2"/>
  <c r="CJ172" i="34"/>
  <c r="CI171" i="2"/>
  <c r="CL107" i="34"/>
  <c r="CL425" i="34"/>
  <c r="CS172" i="34"/>
  <c r="CK172" i="34"/>
  <c r="CC299" i="34"/>
  <c r="CR173" i="34"/>
  <c r="CR425" i="34"/>
  <c r="CR487" i="2"/>
  <c r="CB173" i="34"/>
  <c r="CI424" i="34"/>
  <c r="CR424" i="34"/>
  <c r="CR172" i="34"/>
  <c r="CR616" i="2"/>
  <c r="CA172" i="34"/>
  <c r="CJ425" i="34"/>
  <c r="CA107" i="34"/>
  <c r="CK171" i="2"/>
  <c r="CL49" i="37"/>
  <c r="CS425" i="34"/>
  <c r="CL235" i="34"/>
  <c r="CC425" i="34"/>
  <c r="CR171" i="2"/>
  <c r="CJ360" i="2"/>
  <c r="CB424" i="34"/>
  <c r="CB236" i="34"/>
  <c r="CK424" i="34"/>
  <c r="CL171" i="2"/>
  <c r="CB48" i="37"/>
  <c r="CK487" i="2"/>
  <c r="CA298" i="34"/>
  <c r="CC298" i="34"/>
  <c r="CI616" i="2"/>
  <c r="CI107" i="34"/>
  <c r="CC49" i="37"/>
  <c r="CC171" i="2"/>
  <c r="CI360" i="2"/>
  <c r="CL48" i="37"/>
  <c r="CS171" i="2"/>
  <c r="CA487" i="2"/>
  <c r="CB107" i="34"/>
  <c r="CA171" i="2"/>
  <c r="CC236" i="34"/>
  <c r="CL172" i="34"/>
  <c r="CL299" i="34"/>
  <c r="CK616" i="2"/>
  <c r="CJ171" i="2"/>
  <c r="CS360" i="2"/>
  <c r="CR298" i="34"/>
  <c r="CJ298" i="34"/>
  <c r="CB299" i="34"/>
  <c r="CR299" i="34"/>
  <c r="CK173" i="34"/>
  <c r="CL616" i="2"/>
  <c r="CS107" i="34"/>
  <c r="CA48" i="37"/>
  <c r="CJ49" i="37"/>
  <c r="CK48" i="37"/>
  <c r="CR235" i="34"/>
  <c r="CB235" i="34"/>
  <c r="CK299" i="34"/>
  <c r="CK298" i="34"/>
  <c r="CI487" i="2"/>
  <c r="CI235" i="34"/>
  <c r="CI298" i="34"/>
  <c r="CL234" i="2"/>
  <c r="CK360" i="2"/>
  <c r="CI172" i="34"/>
  <c r="CS234" i="2"/>
  <c r="CA616" i="2"/>
  <c r="CJ616" i="2"/>
  <c r="CI297" i="2"/>
  <c r="CC297" i="2"/>
  <c r="CJ234" i="2"/>
  <c r="CS173" i="34"/>
  <c r="CC107" i="34"/>
  <c r="CA234" i="2"/>
  <c r="CB234" i="2"/>
  <c r="CK235" i="34"/>
  <c r="CB49" i="37"/>
  <c r="CJ424" i="34"/>
  <c r="CS487" i="2"/>
  <c r="CR234" i="2"/>
  <c r="CC172" i="34"/>
  <c r="CK234" i="2"/>
  <c r="CJ487" i="2"/>
  <c r="CS297" i="2"/>
  <c r="CB487" i="2"/>
  <c r="CA49" i="37"/>
  <c r="CJ235" i="34"/>
  <c r="CJ236" i="34"/>
  <c r="CB616" i="2"/>
  <c r="CR297" i="2"/>
  <c r="CR236" i="34"/>
  <c r="CA425" i="34"/>
  <c r="CJ107" i="34"/>
  <c r="CR49" i="37"/>
  <c r="CK49" i="37"/>
  <c r="CJ299" i="34"/>
  <c r="CA360" i="2"/>
  <c r="CK425" i="34"/>
  <c r="CI299" i="34"/>
  <c r="CK107" i="34"/>
  <c r="CC487" i="2"/>
  <c r="CS235" i="34"/>
  <c r="CL360" i="2"/>
  <c r="CK236" i="34"/>
  <c r="CB172" i="34"/>
  <c r="CA235" i="34"/>
  <c r="CL297" i="2"/>
  <c r="CI425" i="34"/>
  <c r="CL424" i="34"/>
  <c r="CS424" i="34"/>
  <c r="CL487" i="2"/>
  <c r="CA236" i="34"/>
  <c r="CA424" i="34"/>
  <c r="CB171" i="2"/>
  <c r="CC616" i="2"/>
  <c r="CB297" i="2"/>
  <c r="CB360" i="2"/>
  <c r="CL173" i="34"/>
  <c r="CL236" i="34"/>
  <c r="CS616" i="2"/>
  <c r="CA173" i="34"/>
  <c r="CA299" i="34"/>
  <c r="CC235" i="34"/>
  <c r="CC173" i="34"/>
  <c r="CC360" i="2"/>
  <c r="CR360" i="2"/>
  <c r="CS236" i="34"/>
  <c r="CB298" i="34"/>
  <c r="CS298" i="34"/>
  <c r="CS48" i="37"/>
  <c r="CL298" i="34"/>
  <c r="CS299" i="34"/>
  <c r="CD339" i="37" l="1"/>
  <c r="CD323" i="37"/>
  <c r="CT659" i="37"/>
  <c r="DJ484" i="2"/>
  <c r="CT342" i="37"/>
  <c r="AE119" i="40"/>
  <c r="AY176" i="40" s="1"/>
  <c r="V174" i="40"/>
  <c r="D116" i="43"/>
  <c r="E116" i="43" s="1"/>
  <c r="H116" i="43" s="1"/>
  <c r="J116" i="43" s="1"/>
  <c r="AE174" i="40"/>
  <c r="AW174" i="40" s="1"/>
  <c r="J120" i="36"/>
  <c r="AE174" i="8"/>
  <c r="AW174" i="8" s="1"/>
  <c r="V174" i="8"/>
  <c r="G70" i="4"/>
  <c r="AI116" i="38"/>
  <c r="I73" i="4"/>
  <c r="AK119" i="3"/>
  <c r="C73" i="4"/>
  <c r="AY176" i="3"/>
  <c r="AE119" i="6"/>
  <c r="AK119" i="6" s="1"/>
  <c r="AI119" i="6"/>
  <c r="M73" i="4" s="1"/>
  <c r="AK118" i="39"/>
  <c r="AN118" i="39" s="1"/>
  <c r="AQ118" i="39" s="1"/>
  <c r="AE118" i="40"/>
  <c r="AY175" i="40" s="1"/>
  <c r="AE119" i="38"/>
  <c r="AE119" i="8"/>
  <c r="CD328" i="37"/>
  <c r="AY172" i="39"/>
  <c r="AK115" i="39"/>
  <c r="AM115" i="39" s="1"/>
  <c r="AP115" i="39" s="1"/>
  <c r="AE115" i="40"/>
  <c r="AE117" i="38"/>
  <c r="AY174" i="38" s="1"/>
  <c r="AE117" i="40"/>
  <c r="AE114" i="39"/>
  <c r="AY171" i="39" s="1"/>
  <c r="AE117" i="39"/>
  <c r="AY174" i="39" s="1"/>
  <c r="AE114" i="40"/>
  <c r="AY171" i="40" s="1"/>
  <c r="CD511" i="37"/>
  <c r="AA113" i="40"/>
  <c r="AM170" i="40"/>
  <c r="AN170" i="40" s="1"/>
  <c r="AF119" i="40"/>
  <c r="AH114" i="40"/>
  <c r="AH118" i="40"/>
  <c r="AH115" i="40"/>
  <c r="AG119" i="40"/>
  <c r="AF118" i="40"/>
  <c r="AF115" i="40"/>
  <c r="V171" i="40"/>
  <c r="M120" i="8"/>
  <c r="AH119" i="40"/>
  <c r="L113" i="40"/>
  <c r="N113" i="40"/>
  <c r="AG115" i="40"/>
  <c r="AC177" i="40"/>
  <c r="AU177" i="40" s="1"/>
  <c r="H120" i="40"/>
  <c r="X120" i="40"/>
  <c r="K120" i="40"/>
  <c r="M120" i="40" s="1"/>
  <c r="V120" i="40"/>
  <c r="V176" i="40"/>
  <c r="V175" i="40"/>
  <c r="AI113" i="8"/>
  <c r="T67" i="4" s="1"/>
  <c r="G121" i="8"/>
  <c r="X121" i="8" s="1"/>
  <c r="G121" i="40"/>
  <c r="AG116" i="40"/>
  <c r="AI116" i="40" s="1"/>
  <c r="AC113" i="40"/>
  <c r="AA170" i="40"/>
  <c r="AB113" i="40"/>
  <c r="Z113" i="40"/>
  <c r="AF113" i="40" s="1"/>
  <c r="AG114" i="40"/>
  <c r="AG118" i="40"/>
  <c r="V175" i="39"/>
  <c r="V173" i="39"/>
  <c r="V174" i="39"/>
  <c r="V170" i="39"/>
  <c r="G121" i="6"/>
  <c r="G121" i="39"/>
  <c r="AG116" i="39"/>
  <c r="AG114" i="39"/>
  <c r="AF113" i="39"/>
  <c r="AH117" i="39"/>
  <c r="V171" i="39"/>
  <c r="AH116" i="39"/>
  <c r="AC177" i="39"/>
  <c r="AU177" i="39" s="1"/>
  <c r="H120" i="39"/>
  <c r="X120" i="39"/>
  <c r="K120" i="39"/>
  <c r="V120" i="39"/>
  <c r="AH113" i="39"/>
  <c r="AG115" i="39"/>
  <c r="AA119" i="39"/>
  <c r="AM176" i="39"/>
  <c r="AN176" i="39" s="1"/>
  <c r="AG113" i="39"/>
  <c r="V172" i="39"/>
  <c r="AF117" i="39"/>
  <c r="AF115" i="39"/>
  <c r="AK114" i="39"/>
  <c r="AO114" i="39" s="1"/>
  <c r="AR114" i="39" s="1"/>
  <c r="AH115" i="39"/>
  <c r="AA176" i="39"/>
  <c r="AE119" i="39"/>
  <c r="AY176" i="39" s="1"/>
  <c r="AC119" i="39"/>
  <c r="AB119" i="39"/>
  <c r="Z119" i="39"/>
  <c r="AF114" i="39"/>
  <c r="AI118" i="39"/>
  <c r="AH114" i="39"/>
  <c r="N119" i="39"/>
  <c r="L119" i="39"/>
  <c r="CD177" i="37"/>
  <c r="CD181" i="37"/>
  <c r="CT379" i="37"/>
  <c r="CT393" i="37"/>
  <c r="CT383" i="37"/>
  <c r="CT407" i="37"/>
  <c r="CT382" i="37"/>
  <c r="CT368" i="37"/>
  <c r="CT376" i="37"/>
  <c r="AE118" i="38"/>
  <c r="AE118" i="8"/>
  <c r="AE118" i="6"/>
  <c r="AE118" i="3"/>
  <c r="AE115" i="38"/>
  <c r="AE115" i="6"/>
  <c r="AE115" i="3"/>
  <c r="AE115" i="8"/>
  <c r="AG115" i="38"/>
  <c r="AH119" i="38"/>
  <c r="AA113" i="38"/>
  <c r="AM170" i="38"/>
  <c r="AN170" i="38" s="1"/>
  <c r="AG114" i="38"/>
  <c r="AH113" i="38"/>
  <c r="N120" i="3"/>
  <c r="L113" i="38"/>
  <c r="N113" i="38"/>
  <c r="AH115" i="38"/>
  <c r="AC113" i="3"/>
  <c r="Z113" i="3"/>
  <c r="AF113" i="3" s="1"/>
  <c r="AA170" i="3"/>
  <c r="AA113" i="3"/>
  <c r="AG113" i="3" s="1"/>
  <c r="AF118" i="38"/>
  <c r="AO173" i="38"/>
  <c r="AP173" i="38" s="1"/>
  <c r="AF114" i="38"/>
  <c r="AG118" i="38"/>
  <c r="AF117" i="38"/>
  <c r="M113" i="3"/>
  <c r="L113" i="3"/>
  <c r="N113" i="3"/>
  <c r="M113" i="38"/>
  <c r="AH114" i="38"/>
  <c r="AC177" i="38"/>
  <c r="AU177" i="38" s="1"/>
  <c r="H120" i="38"/>
  <c r="X120" i="38"/>
  <c r="V120" i="38"/>
  <c r="K120" i="38"/>
  <c r="M120" i="38" s="1"/>
  <c r="G121" i="3"/>
  <c r="X121" i="3" s="1"/>
  <c r="G121" i="38"/>
  <c r="AH118" i="38"/>
  <c r="AH117" i="38"/>
  <c r="AF119" i="38"/>
  <c r="AK114" i="38"/>
  <c r="AM114" i="38" s="1"/>
  <c r="AP114" i="38" s="1"/>
  <c r="AG117" i="38"/>
  <c r="CD389" i="37"/>
  <c r="CT390" i="37"/>
  <c r="CT399" i="37"/>
  <c r="CT304" i="37"/>
  <c r="CT320" i="37"/>
  <c r="CT336" i="37"/>
  <c r="CT314" i="37"/>
  <c r="CT325" i="37"/>
  <c r="CT341" i="37"/>
  <c r="CT319" i="37"/>
  <c r="CT335" i="37"/>
  <c r="CT303" i="37"/>
  <c r="CT513" i="37"/>
  <c r="CT529" i="37"/>
  <c r="CT505" i="37"/>
  <c r="CT512" i="37"/>
  <c r="CT528" i="37"/>
  <c r="CT179" i="37"/>
  <c r="CT190" i="37"/>
  <c r="CT175" i="37"/>
  <c r="CT499" i="37"/>
  <c r="CT506" i="37"/>
  <c r="CT490" i="37"/>
  <c r="CT215" i="37"/>
  <c r="CT180" i="37"/>
  <c r="CT218" i="37"/>
  <c r="CT197" i="37"/>
  <c r="CT386" i="37"/>
  <c r="CT402" i="37"/>
  <c r="CT395" i="37"/>
  <c r="CT502" i="37"/>
  <c r="CT214" i="37"/>
  <c r="CT191" i="37"/>
  <c r="CT409" i="37"/>
  <c r="CT380" i="37"/>
  <c r="CT389" i="37"/>
  <c r="CT405" i="37"/>
  <c r="DN76" i="34"/>
  <c r="CD182" i="37"/>
  <c r="CM435" i="37"/>
  <c r="DW430" i="37" s="1"/>
  <c r="CM429" i="37"/>
  <c r="DW424" i="37" s="1"/>
  <c r="CM441" i="37"/>
  <c r="DW436" i="37" s="1"/>
  <c r="CM457" i="37"/>
  <c r="DW452" i="37" s="1"/>
  <c r="CT275" i="37"/>
  <c r="CT267" i="37"/>
  <c r="CT259" i="37"/>
  <c r="CT282" i="37"/>
  <c r="CT272" i="37"/>
  <c r="CT264" i="37"/>
  <c r="CT256" i="37"/>
  <c r="CT249" i="37"/>
  <c r="CT570" i="37"/>
  <c r="CT561" i="37"/>
  <c r="CT597" i="37"/>
  <c r="CD398" i="37"/>
  <c r="CD405" i="37"/>
  <c r="CT345" i="37"/>
  <c r="CT324" i="37"/>
  <c r="CT340" i="37"/>
  <c r="CD443" i="37"/>
  <c r="CD459" i="37"/>
  <c r="CD466" i="37"/>
  <c r="CD452" i="37"/>
  <c r="CD472" i="37"/>
  <c r="CT306" i="37"/>
  <c r="CT346" i="37"/>
  <c r="CT311" i="37"/>
  <c r="CT329" i="37"/>
  <c r="CT323" i="37"/>
  <c r="CT339" i="37"/>
  <c r="CD509" i="37"/>
  <c r="CD516" i="37"/>
  <c r="CT562" i="37"/>
  <c r="CT591" i="37"/>
  <c r="CT507" i="37"/>
  <c r="CT210" i="37"/>
  <c r="CT196" i="37"/>
  <c r="CT178" i="37"/>
  <c r="CT381" i="37"/>
  <c r="CT377" i="37"/>
  <c r="CT385" i="37"/>
  <c r="CT401" i="37"/>
  <c r="CT408" i="37"/>
  <c r="CD464" i="37"/>
  <c r="CT321" i="37"/>
  <c r="CT337" i="37"/>
  <c r="CT315" i="37"/>
  <c r="CT331" i="37"/>
  <c r="CD536" i="37"/>
  <c r="CD518" i="37"/>
  <c r="CM431" i="37"/>
  <c r="DW426" i="37" s="1"/>
  <c r="CM444" i="37"/>
  <c r="DW439" i="37" s="1"/>
  <c r="CM460" i="37"/>
  <c r="DW455" i="37" s="1"/>
  <c r="CM430" i="37"/>
  <c r="DW425" i="37" s="1"/>
  <c r="CT244" i="37"/>
  <c r="CT239" i="37"/>
  <c r="CT251" i="37"/>
  <c r="CT664" i="37"/>
  <c r="CT658" i="37"/>
  <c r="CT575" i="37"/>
  <c r="CT580" i="37"/>
  <c r="CT594" i="37"/>
  <c r="CT565" i="37"/>
  <c r="CT573" i="37"/>
  <c r="CT596" i="37"/>
  <c r="CD631" i="37"/>
  <c r="CD624" i="37"/>
  <c r="CD622" i="37"/>
  <c r="CT525" i="37"/>
  <c r="CT503" i="37"/>
  <c r="CT492" i="37"/>
  <c r="CT524" i="37"/>
  <c r="CT187" i="37"/>
  <c r="CT195" i="37"/>
  <c r="CD315" i="37"/>
  <c r="CD331" i="37"/>
  <c r="CD320" i="37"/>
  <c r="CD336" i="37"/>
  <c r="CD431" i="37"/>
  <c r="CT316" i="37"/>
  <c r="CT332" i="37"/>
  <c r="CM454" i="37"/>
  <c r="DW449" i="37" s="1"/>
  <c r="CM451" i="37"/>
  <c r="DW446" i="37" s="1"/>
  <c r="CT243" i="37"/>
  <c r="CT238" i="37"/>
  <c r="CT593" i="37"/>
  <c r="CT584" i="37"/>
  <c r="CT564" i="37"/>
  <c r="CT587" i="37"/>
  <c r="CT571" i="37"/>
  <c r="CD367" i="37"/>
  <c r="CD381" i="37"/>
  <c r="CT500" i="37"/>
  <c r="CT536" i="37"/>
  <c r="CT509" i="37"/>
  <c r="CT211" i="37"/>
  <c r="CT183" i="37"/>
  <c r="CT194" i="37"/>
  <c r="CT375" i="37"/>
  <c r="CT398" i="37"/>
  <c r="CT384" i="37"/>
  <c r="CT391" i="37"/>
  <c r="CT300" i="37"/>
  <c r="CD434" i="37"/>
  <c r="CD435" i="37"/>
  <c r="CD440" i="37"/>
  <c r="CT663" i="37"/>
  <c r="CD508" i="37"/>
  <c r="CD515" i="37"/>
  <c r="CD525" i="37"/>
  <c r="CD495" i="37"/>
  <c r="CD503" i="37"/>
  <c r="CD496" i="37"/>
  <c r="CM434" i="37"/>
  <c r="DW429" i="37" s="1"/>
  <c r="CM440" i="37"/>
  <c r="DW435" i="37" s="1"/>
  <c r="CM462" i="37"/>
  <c r="DW457" i="37" s="1"/>
  <c r="CM427" i="37"/>
  <c r="DW422" i="37" s="1"/>
  <c r="CM448" i="37"/>
  <c r="DW443" i="37" s="1"/>
  <c r="CM439" i="37"/>
  <c r="DW434" i="37" s="1"/>
  <c r="CM437" i="37"/>
  <c r="DW432" i="37" s="1"/>
  <c r="CM453" i="37"/>
  <c r="DW448" i="37" s="1"/>
  <c r="CM432" i="37"/>
  <c r="DW427" i="37" s="1"/>
  <c r="CM426" i="37"/>
  <c r="DW421" i="37" s="1"/>
  <c r="CT277" i="37"/>
  <c r="CT269" i="37"/>
  <c r="CT261" i="37"/>
  <c r="CT253" i="37"/>
  <c r="CT281" i="37"/>
  <c r="CT274" i="37"/>
  <c r="CT266" i="37"/>
  <c r="CT258" i="37"/>
  <c r="CT237" i="37"/>
  <c r="CT653" i="37"/>
  <c r="CT625" i="37"/>
  <c r="CT652" i="37"/>
  <c r="CD506" i="37"/>
  <c r="CD513" i="37"/>
  <c r="CD529" i="37"/>
  <c r="CD493" i="37"/>
  <c r="CD491" i="37"/>
  <c r="CD526" i="37"/>
  <c r="CD492" i="37"/>
  <c r="CD497" i="37"/>
  <c r="CD531" i="37"/>
  <c r="CD494" i="37"/>
  <c r="CD533" i="37"/>
  <c r="CD532" i="37"/>
  <c r="CT574" i="37"/>
  <c r="CT567" i="37"/>
  <c r="CT557" i="37"/>
  <c r="CD377" i="37"/>
  <c r="CT202" i="37"/>
  <c r="CD319" i="37"/>
  <c r="CD335" i="37"/>
  <c r="CD324" i="37"/>
  <c r="CD340" i="37"/>
  <c r="CD345" i="37"/>
  <c r="CM442" i="37"/>
  <c r="DW437" i="37" s="1"/>
  <c r="CM458" i="37"/>
  <c r="DW453" i="37" s="1"/>
  <c r="CM455" i="37"/>
  <c r="DW450" i="37" s="1"/>
  <c r="CM469" i="37"/>
  <c r="DW464" i="37" s="1"/>
  <c r="CT250" i="37"/>
  <c r="CT240" i="37"/>
  <c r="CT248" i="37"/>
  <c r="CD534" i="37"/>
  <c r="CD520" i="37"/>
  <c r="CT588" i="37"/>
  <c r="CT599" i="37"/>
  <c r="CT517" i="37"/>
  <c r="CT516" i="37"/>
  <c r="CT532" i="37"/>
  <c r="CT182" i="37"/>
  <c r="CT193" i="37"/>
  <c r="CD651" i="37"/>
  <c r="CD628" i="37"/>
  <c r="CM433" i="37"/>
  <c r="DW428" i="37" s="1"/>
  <c r="CM467" i="37"/>
  <c r="DW462" i="37" s="1"/>
  <c r="CM468" i="37"/>
  <c r="DW463" i="37" s="1"/>
  <c r="CM445" i="37"/>
  <c r="DW440" i="37" s="1"/>
  <c r="CM461" i="37"/>
  <c r="DW456" i="37" s="1"/>
  <c r="CT273" i="37"/>
  <c r="CT265" i="37"/>
  <c r="CT257" i="37"/>
  <c r="CT280" i="37"/>
  <c r="CT278" i="37"/>
  <c r="CT270" i="37"/>
  <c r="CT262" i="37"/>
  <c r="CT254" i="37"/>
  <c r="CT245" i="37"/>
  <c r="CT645" i="37"/>
  <c r="CT621" i="37"/>
  <c r="CT665" i="37"/>
  <c r="CT624" i="37"/>
  <c r="CD510" i="37"/>
  <c r="CD499" i="37"/>
  <c r="CT568" i="37"/>
  <c r="CT600" i="37"/>
  <c r="CT555" i="37"/>
  <c r="CD655" i="37"/>
  <c r="CD648" i="37"/>
  <c r="CD632" i="37"/>
  <c r="CD649" i="37"/>
  <c r="CD635" i="37"/>
  <c r="CT498" i="37"/>
  <c r="CT510" i="37"/>
  <c r="CT496" i="37"/>
  <c r="CT176" i="37"/>
  <c r="CT185" i="37"/>
  <c r="CT174" i="37"/>
  <c r="CT204" i="37"/>
  <c r="CD308" i="37"/>
  <c r="CD327" i="37"/>
  <c r="CD316" i="37"/>
  <c r="CD332" i="37"/>
  <c r="CD309" i="37"/>
  <c r="CD344" i="37"/>
  <c r="CD305" i="37"/>
  <c r="CD654" i="37"/>
  <c r="CD646" i="37"/>
  <c r="CD642" i="37"/>
  <c r="CT650" i="37"/>
  <c r="CT641" i="37"/>
  <c r="CT636" i="37"/>
  <c r="CT646" i="37"/>
  <c r="CT623" i="37"/>
  <c r="CT620" i="37"/>
  <c r="CD645" i="37"/>
  <c r="CD630" i="37"/>
  <c r="CD619" i="37"/>
  <c r="CD637" i="37"/>
  <c r="CD659" i="37"/>
  <c r="CD640" i="37"/>
  <c r="CD634" i="37"/>
  <c r="CD621" i="37"/>
  <c r="CD643" i="37"/>
  <c r="CD311" i="37"/>
  <c r="CD329" i="37"/>
  <c r="CD307" i="37"/>
  <c r="CD330" i="37"/>
  <c r="CD312" i="37"/>
  <c r="CD462" i="37"/>
  <c r="CD451" i="37"/>
  <c r="CD432" i="37"/>
  <c r="CD444" i="37"/>
  <c r="CD460" i="37"/>
  <c r="CD471" i="37"/>
  <c r="CD441" i="37"/>
  <c r="CD457" i="37"/>
  <c r="CD428" i="37"/>
  <c r="CD436" i="37"/>
  <c r="CT651" i="37"/>
  <c r="CT648" i="37"/>
  <c r="CT629" i="37"/>
  <c r="CT635" i="37"/>
  <c r="CT640" i="37"/>
  <c r="CD318" i="37"/>
  <c r="CD334" i="37"/>
  <c r="CD346" i="37"/>
  <c r="CD199" i="37"/>
  <c r="CD206" i="37"/>
  <c r="CD200" i="37"/>
  <c r="CD213" i="37"/>
  <c r="CD391" i="37"/>
  <c r="CD406" i="37"/>
  <c r="CD386" i="37"/>
  <c r="CD392" i="37"/>
  <c r="CD214" i="37"/>
  <c r="CD219" i="37"/>
  <c r="CD218" i="37"/>
  <c r="CM472" i="37"/>
  <c r="DW467" i="37" s="1"/>
  <c r="CM452" i="37"/>
  <c r="DW447" i="37" s="1"/>
  <c r="CM464" i="37"/>
  <c r="DW459" i="37" s="1"/>
  <c r="CT655" i="37"/>
  <c r="CD504" i="37"/>
  <c r="CD501" i="37"/>
  <c r="CD530" i="37"/>
  <c r="CD505" i="37"/>
  <c r="CT558" i="37"/>
  <c r="CT572" i="37"/>
  <c r="CT590" i="37"/>
  <c r="CD662" i="37"/>
  <c r="CD636" i="37"/>
  <c r="CD620" i="37"/>
  <c r="CD633" i="37"/>
  <c r="CD626" i="37"/>
  <c r="CD644" i="37"/>
  <c r="CD627" i="37"/>
  <c r="CD638" i="37"/>
  <c r="CD623" i="37"/>
  <c r="CT497" i="37"/>
  <c r="CT534" i="37"/>
  <c r="CT189" i="37"/>
  <c r="CD302" i="37"/>
  <c r="CD300" i="37"/>
  <c r="CD317" i="37"/>
  <c r="CD333" i="37"/>
  <c r="CT378" i="37"/>
  <c r="CT406" i="37"/>
  <c r="CT397" i="37"/>
  <c r="CD437" i="37"/>
  <c r="CT317" i="37"/>
  <c r="CT333" i="37"/>
  <c r="CT302" i="37"/>
  <c r="CT309" i="37"/>
  <c r="CT327" i="37"/>
  <c r="CM446" i="37"/>
  <c r="DW441" i="37" s="1"/>
  <c r="CM443" i="37"/>
  <c r="DW438" i="37" s="1"/>
  <c r="CM459" i="37"/>
  <c r="DW454" i="37" s="1"/>
  <c r="CM436" i="37"/>
  <c r="DW431" i="37" s="1"/>
  <c r="CM456" i="37"/>
  <c r="DW451" i="37" s="1"/>
  <c r="CM465" i="37"/>
  <c r="DW460" i="37" s="1"/>
  <c r="CM470" i="37"/>
  <c r="DW465" i="37" s="1"/>
  <c r="CT283" i="37"/>
  <c r="CT242" i="37"/>
  <c r="CT649" i="37"/>
  <c r="CT631" i="37"/>
  <c r="CT642" i="37"/>
  <c r="CT632" i="37"/>
  <c r="CT576" i="37"/>
  <c r="CT560" i="37"/>
  <c r="CT592" i="37"/>
  <c r="CD625" i="37"/>
  <c r="CT521" i="37"/>
  <c r="CT535" i="37"/>
  <c r="CT520" i="37"/>
  <c r="CT533" i="37"/>
  <c r="CT220" i="37"/>
  <c r="CT200" i="37"/>
  <c r="CD322" i="37"/>
  <c r="CD338" i="37"/>
  <c r="CD470" i="37"/>
  <c r="CD429" i="37"/>
  <c r="CD449" i="37"/>
  <c r="CD430" i="37"/>
  <c r="CD446" i="37"/>
  <c r="CT310" i="37"/>
  <c r="CT328" i="37"/>
  <c r="CD189" i="37"/>
  <c r="CM450" i="37"/>
  <c r="DW445" i="37" s="1"/>
  <c r="CM471" i="37"/>
  <c r="DW466" i="37" s="1"/>
  <c r="CM447" i="37"/>
  <c r="DW442" i="37" s="1"/>
  <c r="CM463" i="37"/>
  <c r="DW458" i="37" s="1"/>
  <c r="CM428" i="37"/>
  <c r="DW423" i="37" s="1"/>
  <c r="CM449" i="37"/>
  <c r="DW444" i="37" s="1"/>
  <c r="CM466" i="37"/>
  <c r="DW461" i="37" s="1"/>
  <c r="CT271" i="37"/>
  <c r="CT263" i="37"/>
  <c r="CT255" i="37"/>
  <c r="CT276" i="37"/>
  <c r="CT268" i="37"/>
  <c r="CT260" i="37"/>
  <c r="CT252" i="37"/>
  <c r="CT246" i="37"/>
  <c r="CT637" i="37"/>
  <c r="CT627" i="37"/>
  <c r="CT628" i="37"/>
  <c r="CT647" i="37"/>
  <c r="CT566" i="37"/>
  <c r="CT598" i="37"/>
  <c r="CD179" i="37"/>
  <c r="CD186" i="37"/>
  <c r="CD378" i="37"/>
  <c r="CD364" i="37"/>
  <c r="CD401" i="37"/>
  <c r="CD384" i="37"/>
  <c r="CD394" i="37"/>
  <c r="CD383" i="37"/>
  <c r="CD372" i="37"/>
  <c r="CD387" i="37"/>
  <c r="CD366" i="37"/>
  <c r="CD629" i="37"/>
  <c r="CD658" i="37"/>
  <c r="CD664" i="37"/>
  <c r="CT501" i="37"/>
  <c r="CT206" i="37"/>
  <c r="CT199" i="37"/>
  <c r="CT177" i="37"/>
  <c r="CD303" i="37"/>
  <c r="CD301" i="37"/>
  <c r="CD325" i="37"/>
  <c r="CD341" i="37"/>
  <c r="CD304" i="37"/>
  <c r="CT369" i="37"/>
  <c r="CT366" i="37"/>
  <c r="CT394" i="37"/>
  <c r="CT387" i="37"/>
  <c r="CT403" i="37"/>
  <c r="CD447" i="37"/>
  <c r="CD438" i="37"/>
  <c r="CD456" i="37"/>
  <c r="CT305" i="37"/>
  <c r="CD176" i="37"/>
  <c r="CD382" i="37"/>
  <c r="CD371" i="37"/>
  <c r="CD393" i="37"/>
  <c r="CD370" i="37"/>
  <c r="CD379" i="37"/>
  <c r="CD376" i="37"/>
  <c r="CD363" i="37"/>
  <c r="CD369" i="37"/>
  <c r="CD380" i="37"/>
  <c r="CD385" i="37"/>
  <c r="CD313" i="37"/>
  <c r="CD321" i="37"/>
  <c r="CD337" i="37"/>
  <c r="CI90" i="37"/>
  <c r="CI86" i="37"/>
  <c r="CI82" i="37"/>
  <c r="CI78" i="37"/>
  <c r="CI74" i="37"/>
  <c r="CI70" i="37"/>
  <c r="CI66" i="37"/>
  <c r="CI62" i="37"/>
  <c r="CI58" i="37"/>
  <c r="CI89" i="37"/>
  <c r="CI85" i="37"/>
  <c r="CI81" i="37"/>
  <c r="CI77" i="37"/>
  <c r="CI73" i="37"/>
  <c r="CI69" i="37"/>
  <c r="CI65" i="37"/>
  <c r="CI61" i="37"/>
  <c r="CI57" i="37"/>
  <c r="CI96" i="37"/>
  <c r="CI92" i="37"/>
  <c r="CI88" i="37"/>
  <c r="CI84" i="37"/>
  <c r="CI80" i="37"/>
  <c r="CI76" i="37"/>
  <c r="CI72" i="37"/>
  <c r="CI68" i="37"/>
  <c r="CI64" i="37"/>
  <c r="CI60" i="37"/>
  <c r="CI91" i="37"/>
  <c r="CI87" i="37"/>
  <c r="CI83" i="37"/>
  <c r="CI79" i="37"/>
  <c r="CI75" i="37"/>
  <c r="CI71" i="37"/>
  <c r="CI67" i="37"/>
  <c r="CI63" i="37"/>
  <c r="CI59" i="37"/>
  <c r="CI56" i="37"/>
  <c r="CI50" i="37"/>
  <c r="EA50" i="37"/>
  <c r="CI95" i="37"/>
  <c r="CI55" i="37"/>
  <c r="CI51" i="37"/>
  <c r="CI94" i="37"/>
  <c r="CI54" i="37"/>
  <c r="CI93" i="37"/>
  <c r="CI53" i="37"/>
  <c r="CI52" i="37"/>
  <c r="EC51" i="37"/>
  <c r="CS96" i="37"/>
  <c r="CT96" i="37" s="1"/>
  <c r="CS51" i="37"/>
  <c r="CT51" i="37" s="1"/>
  <c r="CS58" i="37"/>
  <c r="CT58" i="37" s="1"/>
  <c r="CS66" i="37"/>
  <c r="CT66" i="37" s="1"/>
  <c r="CS74" i="37"/>
  <c r="CT74" i="37" s="1"/>
  <c r="CS82" i="37"/>
  <c r="CT82" i="37" s="1"/>
  <c r="CS90" i="37"/>
  <c r="CT90" i="37" s="1"/>
  <c r="CS50" i="37"/>
  <c r="CT50" i="37" s="1"/>
  <c r="CS59" i="37"/>
  <c r="CT59" i="37" s="1"/>
  <c r="CS67" i="37"/>
  <c r="CT67" i="37" s="1"/>
  <c r="CS75" i="37"/>
  <c r="CT75" i="37" s="1"/>
  <c r="CS83" i="37"/>
  <c r="CT83" i="37" s="1"/>
  <c r="CS91" i="37"/>
  <c r="CT91" i="37" s="1"/>
  <c r="CS60" i="37"/>
  <c r="CT60" i="37" s="1"/>
  <c r="CS68" i="37"/>
  <c r="CT68" i="37" s="1"/>
  <c r="CS76" i="37"/>
  <c r="CT76" i="37" s="1"/>
  <c r="CS84" i="37"/>
  <c r="CT84" i="37" s="1"/>
  <c r="CS92" i="37"/>
  <c r="CT92" i="37" s="1"/>
  <c r="CS94" i="37"/>
  <c r="CT94" i="37" s="1"/>
  <c r="CS54" i="37"/>
  <c r="CT54" i="37" s="1"/>
  <c r="CS56" i="37"/>
  <c r="CT56" i="37" s="1"/>
  <c r="CS95" i="37"/>
  <c r="CT95" i="37" s="1"/>
  <c r="CS53" i="37"/>
  <c r="CT53" i="37" s="1"/>
  <c r="CS62" i="37"/>
  <c r="CT62" i="37" s="1"/>
  <c r="CS70" i="37"/>
  <c r="CT70" i="37" s="1"/>
  <c r="CS78" i="37"/>
  <c r="CT78" i="37" s="1"/>
  <c r="CS86" i="37"/>
  <c r="CT86" i="37" s="1"/>
  <c r="CS63" i="37"/>
  <c r="CT63" i="37" s="1"/>
  <c r="CS71" i="37"/>
  <c r="CT71" i="37" s="1"/>
  <c r="CS79" i="37"/>
  <c r="CT79" i="37" s="1"/>
  <c r="CS87" i="37"/>
  <c r="CT87" i="37" s="1"/>
  <c r="CS64" i="37"/>
  <c r="CT64" i="37" s="1"/>
  <c r="CS72" i="37"/>
  <c r="CT72" i="37" s="1"/>
  <c r="CS80" i="37"/>
  <c r="CT80" i="37" s="1"/>
  <c r="CS88" i="37"/>
  <c r="CT88" i="37" s="1"/>
  <c r="CS93" i="37"/>
  <c r="CT93" i="37" s="1"/>
  <c r="CS55" i="37"/>
  <c r="CT55" i="37" s="1"/>
  <c r="CS57" i="37"/>
  <c r="CT57" i="37" s="1"/>
  <c r="CS61" i="37"/>
  <c r="CS65" i="37"/>
  <c r="CT65" i="37" s="1"/>
  <c r="CS69" i="37"/>
  <c r="CT69" i="37" s="1"/>
  <c r="CS73" i="37"/>
  <c r="CT73" i="37" s="1"/>
  <c r="CS77" i="37"/>
  <c r="CT77" i="37" s="1"/>
  <c r="CS81" i="37"/>
  <c r="CT81" i="37" s="1"/>
  <c r="CS85" i="37"/>
  <c r="CT85" i="37" s="1"/>
  <c r="CS89" i="37"/>
  <c r="CT89" i="37" s="1"/>
  <c r="CS52" i="37"/>
  <c r="CT52" i="37" s="1"/>
  <c r="CB95" i="37"/>
  <c r="CB52" i="37"/>
  <c r="CB63" i="37"/>
  <c r="CB71" i="37"/>
  <c r="CB79" i="37"/>
  <c r="CB87" i="37"/>
  <c r="CB64" i="37"/>
  <c r="CB72" i="37"/>
  <c r="CB80" i="37"/>
  <c r="CB88" i="37"/>
  <c r="CB94" i="37"/>
  <c r="CB96" i="37"/>
  <c r="CB57" i="37"/>
  <c r="CB65" i="37"/>
  <c r="CB73" i="37"/>
  <c r="CB81" i="37"/>
  <c r="CB89" i="37"/>
  <c r="CB58" i="37"/>
  <c r="CB62" i="37"/>
  <c r="CB66" i="37"/>
  <c r="CB70" i="37"/>
  <c r="CB74" i="37"/>
  <c r="CB78" i="37"/>
  <c r="CB82" i="37"/>
  <c r="CB86" i="37"/>
  <c r="CB90" i="37"/>
  <c r="CB50" i="37"/>
  <c r="CB53" i="37"/>
  <c r="CB93" i="37"/>
  <c r="CB56" i="37"/>
  <c r="CB59" i="37"/>
  <c r="CB67" i="37"/>
  <c r="CB75" i="37"/>
  <c r="CB83" i="37"/>
  <c r="CB91" i="37"/>
  <c r="CB60" i="37"/>
  <c r="CB68" i="37"/>
  <c r="CB76" i="37"/>
  <c r="CB84" i="37"/>
  <c r="CB92" i="37"/>
  <c r="CB51" i="37"/>
  <c r="CB55" i="37"/>
  <c r="CB61" i="37"/>
  <c r="CB69" i="37"/>
  <c r="CB77" i="37"/>
  <c r="CB85" i="37"/>
  <c r="CB54" i="37"/>
  <c r="EB51" i="37"/>
  <c r="CK94" i="37"/>
  <c r="CK95" i="37"/>
  <c r="CK55" i="37"/>
  <c r="CK51" i="37"/>
  <c r="CK93" i="37"/>
  <c r="CK53" i="37"/>
  <c r="CK52" i="37"/>
  <c r="CK54" i="37"/>
  <c r="EC50" i="37"/>
  <c r="CK96" i="37"/>
  <c r="CK92" i="37"/>
  <c r="CK88" i="37"/>
  <c r="CK84" i="37"/>
  <c r="CK80" i="37"/>
  <c r="CK76" i="37"/>
  <c r="CK72" i="37"/>
  <c r="CK68" i="37"/>
  <c r="CK64" i="37"/>
  <c r="CK60" i="37"/>
  <c r="CK91" i="37"/>
  <c r="CK87" i="37"/>
  <c r="CK83" i="37"/>
  <c r="CK79" i="37"/>
  <c r="CK75" i="37"/>
  <c r="CK71" i="37"/>
  <c r="CK67" i="37"/>
  <c r="CK63" i="37"/>
  <c r="CK59" i="37"/>
  <c r="CK90" i="37"/>
  <c r="CK86" i="37"/>
  <c r="CK82" i="37"/>
  <c r="CK78" i="37"/>
  <c r="CK74" i="37"/>
  <c r="CK70" i="37"/>
  <c r="CK66" i="37"/>
  <c r="CK62" i="37"/>
  <c r="CK58" i="37"/>
  <c r="CK89" i="37"/>
  <c r="CK85" i="37"/>
  <c r="CK81" i="37"/>
  <c r="CK77" i="37"/>
  <c r="CK73" i="37"/>
  <c r="CK69" i="37"/>
  <c r="CK65" i="37"/>
  <c r="CK61" i="37"/>
  <c r="CK57" i="37"/>
  <c r="CK50" i="37"/>
  <c r="CK56" i="37"/>
  <c r="EA51" i="37"/>
  <c r="ED51" i="37"/>
  <c r="CA59" i="37"/>
  <c r="CD59" i="37" s="1"/>
  <c r="CA63" i="37"/>
  <c r="CA67" i="37"/>
  <c r="CA71" i="37"/>
  <c r="CA75" i="37"/>
  <c r="CA79" i="37"/>
  <c r="CA83" i="37"/>
  <c r="CA87" i="37"/>
  <c r="CD87" i="37" s="1"/>
  <c r="CA91" i="37"/>
  <c r="CD91" i="37" s="1"/>
  <c r="CA60" i="37"/>
  <c r="CD60" i="37" s="1"/>
  <c r="CA68" i="37"/>
  <c r="CD68" i="37" s="1"/>
  <c r="CA76" i="37"/>
  <c r="CD76" i="37" s="1"/>
  <c r="CA84" i="37"/>
  <c r="CD84" i="37" s="1"/>
  <c r="CA92" i="37"/>
  <c r="CD92" i="37" s="1"/>
  <c r="CA55" i="37"/>
  <c r="CA61" i="37"/>
  <c r="CA69" i="37"/>
  <c r="CA77" i="37"/>
  <c r="CA85" i="37"/>
  <c r="CA62" i="37"/>
  <c r="CA70" i="37"/>
  <c r="CA78" i="37"/>
  <c r="CA86" i="37"/>
  <c r="CD86" i="37" s="1"/>
  <c r="CA93" i="37"/>
  <c r="CA51" i="37"/>
  <c r="CA56" i="37"/>
  <c r="CA50" i="37"/>
  <c r="CA52" i="37"/>
  <c r="CD52" i="37" s="1"/>
  <c r="CA53" i="37"/>
  <c r="CA64" i="37"/>
  <c r="CA72" i="37"/>
  <c r="CA80" i="37"/>
  <c r="CA88" i="37"/>
  <c r="CA94" i="37"/>
  <c r="CA57" i="37"/>
  <c r="CD57" i="37" s="1"/>
  <c r="CA65" i="37"/>
  <c r="CD65" i="37" s="1"/>
  <c r="CA73" i="37"/>
  <c r="CD73" i="37" s="1"/>
  <c r="CA81" i="37"/>
  <c r="CD81" i="37" s="1"/>
  <c r="CA89" i="37"/>
  <c r="CD89" i="37" s="1"/>
  <c r="CA95" i="37"/>
  <c r="CA58" i="37"/>
  <c r="CA66" i="37"/>
  <c r="CD66" i="37" s="1"/>
  <c r="CA74" i="37"/>
  <c r="CA82" i="37"/>
  <c r="CA90" i="37"/>
  <c r="CA96" i="37"/>
  <c r="CD96" i="37" s="1"/>
  <c r="CA54" i="37"/>
  <c r="ED50" i="37"/>
  <c r="CL50" i="37"/>
  <c r="CL56" i="37"/>
  <c r="CL95" i="37"/>
  <c r="CL55" i="37"/>
  <c r="CL51" i="37"/>
  <c r="CL94" i="37"/>
  <c r="CL52" i="37"/>
  <c r="CL54" i="37"/>
  <c r="CL93" i="37"/>
  <c r="CL53" i="37"/>
  <c r="CL91" i="37"/>
  <c r="CL87" i="37"/>
  <c r="CL83" i="37"/>
  <c r="CL79" i="37"/>
  <c r="CL75" i="37"/>
  <c r="CL71" i="37"/>
  <c r="CL67" i="37"/>
  <c r="CL63" i="37"/>
  <c r="CL59" i="37"/>
  <c r="CL90" i="37"/>
  <c r="CL86" i="37"/>
  <c r="CL82" i="37"/>
  <c r="CL78" i="37"/>
  <c r="CL74" i="37"/>
  <c r="CL70" i="37"/>
  <c r="CL66" i="37"/>
  <c r="CL62" i="37"/>
  <c r="CL58" i="37"/>
  <c r="CL89" i="37"/>
  <c r="CL85" i="37"/>
  <c r="CL81" i="37"/>
  <c r="CL77" i="37"/>
  <c r="CL73" i="37"/>
  <c r="CL69" i="37"/>
  <c r="CL65" i="37"/>
  <c r="CL61" i="37"/>
  <c r="CL57" i="37"/>
  <c r="CL96" i="37"/>
  <c r="CL92" i="37"/>
  <c r="CL88" i="37"/>
  <c r="CL84" i="37"/>
  <c r="CL80" i="37"/>
  <c r="CL76" i="37"/>
  <c r="CL72" i="37"/>
  <c r="CL68" i="37"/>
  <c r="CL64" i="37"/>
  <c r="CL60" i="37"/>
  <c r="CD568" i="37"/>
  <c r="CD582" i="37"/>
  <c r="CD566" i="37"/>
  <c r="CD574" i="37"/>
  <c r="CD583" i="37"/>
  <c r="CD599" i="37"/>
  <c r="CD573" i="37"/>
  <c r="CD592" i="37"/>
  <c r="CD577" i="37"/>
  <c r="CD569" i="37"/>
  <c r="CD589" i="37"/>
  <c r="CM311" i="37"/>
  <c r="DW306" i="37" s="1"/>
  <c r="CM327" i="37"/>
  <c r="DW322" i="37" s="1"/>
  <c r="CM344" i="37"/>
  <c r="DW339" i="37" s="1"/>
  <c r="CM324" i="37"/>
  <c r="DW319" i="37" s="1"/>
  <c r="CM340" i="37"/>
  <c r="DW335" i="37" s="1"/>
  <c r="CM300" i="37"/>
  <c r="DW295" i="37" s="1"/>
  <c r="CM329" i="37"/>
  <c r="DW324" i="37" s="1"/>
  <c r="CM312" i="37"/>
  <c r="DW307" i="37" s="1"/>
  <c r="CM303" i="37"/>
  <c r="DW298" i="37" s="1"/>
  <c r="CM322" i="37"/>
  <c r="DW317" i="37" s="1"/>
  <c r="CM338" i="37"/>
  <c r="DW333" i="37" s="1"/>
  <c r="CM279" i="37"/>
  <c r="DW274" i="37" s="1"/>
  <c r="CM263" i="37"/>
  <c r="DW258" i="37" s="1"/>
  <c r="CM282" i="37"/>
  <c r="DW277" i="37" s="1"/>
  <c r="CM266" i="37"/>
  <c r="DW261" i="37" s="1"/>
  <c r="CM241" i="37"/>
  <c r="DW236" i="37" s="1"/>
  <c r="CM269" i="37"/>
  <c r="DW264" i="37" s="1"/>
  <c r="CM253" i="37"/>
  <c r="DW248" i="37" s="1"/>
  <c r="CM239" i="37"/>
  <c r="DW234" i="37" s="1"/>
  <c r="CM276" i="37"/>
  <c r="DW271" i="37" s="1"/>
  <c r="CM260" i="37"/>
  <c r="DW255" i="37" s="1"/>
  <c r="CM245" i="37"/>
  <c r="DW240" i="37" s="1"/>
  <c r="CM237" i="37"/>
  <c r="DW232" i="37" s="1"/>
  <c r="CD665" i="37"/>
  <c r="CD656" i="37"/>
  <c r="CD653" i="37"/>
  <c r="CD138" i="37"/>
  <c r="CD156" i="37"/>
  <c r="CD116" i="37"/>
  <c r="CD139" i="37"/>
  <c r="CD120" i="37"/>
  <c r="CD132" i="37"/>
  <c r="CD144" i="37"/>
  <c r="CD128" i="37"/>
  <c r="CD153" i="37"/>
  <c r="CD145" i="37"/>
  <c r="CD119" i="37"/>
  <c r="CM565" i="37"/>
  <c r="DW560" i="37" s="1"/>
  <c r="CM594" i="37"/>
  <c r="DW589" i="37" s="1"/>
  <c r="CM597" i="37"/>
  <c r="DW592" i="37" s="1"/>
  <c r="CM562" i="37"/>
  <c r="DW557" i="37" s="1"/>
  <c r="CM589" i="37"/>
  <c r="DW584" i="37" s="1"/>
  <c r="CM561" i="37"/>
  <c r="DW556" i="37" s="1"/>
  <c r="CM563" i="37"/>
  <c r="DW558" i="37" s="1"/>
  <c r="CM585" i="37"/>
  <c r="DW580" i="37" s="1"/>
  <c r="CM566" i="37"/>
  <c r="DW561" i="37" s="1"/>
  <c r="CM564" i="37"/>
  <c r="DW559" i="37" s="1"/>
  <c r="CM586" i="37"/>
  <c r="DW581" i="37" s="1"/>
  <c r="CM598" i="37"/>
  <c r="DW593" i="37" s="1"/>
  <c r="CD314" i="37"/>
  <c r="CT448" i="37"/>
  <c r="CT464" i="37"/>
  <c r="CT436" i="37"/>
  <c r="CT461" i="37"/>
  <c r="CT453" i="37"/>
  <c r="CT430" i="37"/>
  <c r="CT442" i="37"/>
  <c r="CT458" i="37"/>
  <c r="CT426" i="37"/>
  <c r="CT447" i="37"/>
  <c r="CT462" i="37"/>
  <c r="CT429" i="37"/>
  <c r="CM631" i="37"/>
  <c r="DW626" i="37" s="1"/>
  <c r="CM635" i="37"/>
  <c r="DW630" i="37" s="1"/>
  <c r="CM647" i="37"/>
  <c r="DW642" i="37" s="1"/>
  <c r="CM638" i="37"/>
  <c r="DW633" i="37" s="1"/>
  <c r="CM632" i="37"/>
  <c r="DW627" i="37" s="1"/>
  <c r="CM644" i="37"/>
  <c r="DW639" i="37" s="1"/>
  <c r="CM664" i="37"/>
  <c r="DW659" i="37" s="1"/>
  <c r="CM619" i="37"/>
  <c r="DW614" i="37" s="1"/>
  <c r="CM625" i="37"/>
  <c r="DW620" i="37" s="1"/>
  <c r="CM649" i="37"/>
  <c r="DW644" i="37" s="1"/>
  <c r="CM620" i="37"/>
  <c r="DW615" i="37" s="1"/>
  <c r="CM653" i="37"/>
  <c r="DW648" i="37" s="1"/>
  <c r="CD454" i="37"/>
  <c r="CD465" i="37"/>
  <c r="CT113" i="37"/>
  <c r="CT141" i="37"/>
  <c r="CT128" i="37"/>
  <c r="CT138" i="37"/>
  <c r="CT122" i="37"/>
  <c r="CT119" i="37"/>
  <c r="CT156" i="37"/>
  <c r="CT151" i="37"/>
  <c r="CT135" i="37"/>
  <c r="CT127" i="37"/>
  <c r="CT140" i="37"/>
  <c r="CT129" i="37"/>
  <c r="CM501" i="37"/>
  <c r="DW496" i="37" s="1"/>
  <c r="CM506" i="37"/>
  <c r="DW501" i="37" s="1"/>
  <c r="CM523" i="37"/>
  <c r="DW518" i="37" s="1"/>
  <c r="CM491" i="37"/>
  <c r="DW486" i="37" s="1"/>
  <c r="CM496" i="37"/>
  <c r="DW491" i="37" s="1"/>
  <c r="CM520" i="37"/>
  <c r="DW515" i="37" s="1"/>
  <c r="CM507" i="37"/>
  <c r="DW502" i="37" s="1"/>
  <c r="CM498" i="37"/>
  <c r="DW493" i="37" s="1"/>
  <c r="CM510" i="37"/>
  <c r="DW505" i="37" s="1"/>
  <c r="CM525" i="37"/>
  <c r="DW520" i="37" s="1"/>
  <c r="CM512" i="37"/>
  <c r="DW507" i="37" s="1"/>
  <c r="CM535" i="37"/>
  <c r="DW530" i="37" s="1"/>
  <c r="CM207" i="37"/>
  <c r="DW202" i="37" s="1"/>
  <c r="CM183" i="37"/>
  <c r="DW178" i="37" s="1"/>
  <c r="CM214" i="37"/>
  <c r="DW209" i="37" s="1"/>
  <c r="CM178" i="37"/>
  <c r="DW173" i="37" s="1"/>
  <c r="CM204" i="37"/>
  <c r="DW199" i="37" s="1"/>
  <c r="CM196" i="37"/>
  <c r="DW191" i="37" s="1"/>
  <c r="CM188" i="37"/>
  <c r="DW183" i="37" s="1"/>
  <c r="CM190" i="37"/>
  <c r="DW185" i="37" s="1"/>
  <c r="CM213" i="37"/>
  <c r="DW208" i="37" s="1"/>
  <c r="CM177" i="37"/>
  <c r="DW172" i="37" s="1"/>
  <c r="CM181" i="37"/>
  <c r="DW176" i="37" s="1"/>
  <c r="CM197" i="37"/>
  <c r="DW192" i="37" s="1"/>
  <c r="CM396" i="37"/>
  <c r="DW391" i="37" s="1"/>
  <c r="CM406" i="37"/>
  <c r="DW401" i="37" s="1"/>
  <c r="CM374" i="37"/>
  <c r="DW369" i="37" s="1"/>
  <c r="CM389" i="37"/>
  <c r="DW384" i="37" s="1"/>
  <c r="CM405" i="37"/>
  <c r="DW400" i="37" s="1"/>
  <c r="CM368" i="37"/>
  <c r="DW363" i="37" s="1"/>
  <c r="CM390" i="37"/>
  <c r="DW385" i="37" s="1"/>
  <c r="CM407" i="37"/>
  <c r="DW402" i="37" s="1"/>
  <c r="CM378" i="37"/>
  <c r="DW373" i="37" s="1"/>
  <c r="CM386" i="37"/>
  <c r="DW381" i="37" s="1"/>
  <c r="CM395" i="37"/>
  <c r="DW390" i="37" s="1"/>
  <c r="CM384" i="37"/>
  <c r="DW379" i="37" s="1"/>
  <c r="CD253" i="37"/>
  <c r="CD269" i="37"/>
  <c r="CD245" i="37"/>
  <c r="CD262" i="37"/>
  <c r="CD278" i="37"/>
  <c r="CD239" i="37"/>
  <c r="CD259" i="37"/>
  <c r="CD275" i="37"/>
  <c r="CD243" i="37"/>
  <c r="CD260" i="37"/>
  <c r="CD276" i="37"/>
  <c r="CM118" i="37"/>
  <c r="DW113" i="37" s="1"/>
  <c r="CM155" i="37"/>
  <c r="DW150" i="37" s="1"/>
  <c r="CM147" i="37"/>
  <c r="DW142" i="37" s="1"/>
  <c r="CM132" i="37"/>
  <c r="DW127" i="37" s="1"/>
  <c r="CM140" i="37"/>
  <c r="DW135" i="37" s="1"/>
  <c r="CM117" i="37"/>
  <c r="DW112" i="37" s="1"/>
  <c r="CM128" i="37"/>
  <c r="DW123" i="37" s="1"/>
  <c r="CM141" i="37"/>
  <c r="DW136" i="37" s="1"/>
  <c r="CM127" i="37"/>
  <c r="DW122" i="37" s="1"/>
  <c r="CM114" i="37"/>
  <c r="DW109" i="37" s="1"/>
  <c r="CM142" i="37"/>
  <c r="DW137" i="37" s="1"/>
  <c r="CM110" i="37"/>
  <c r="DW105" i="37" s="1"/>
  <c r="CT61" i="37"/>
  <c r="CD207" i="37"/>
  <c r="CD220" i="37"/>
  <c r="CD197" i="37"/>
  <c r="CD187" i="37"/>
  <c r="CD212" i="37"/>
  <c r="CD192" i="37"/>
  <c r="CD178" i="37"/>
  <c r="CD198" i="37"/>
  <c r="CD184" i="37"/>
  <c r="CD211" i="37"/>
  <c r="CD194" i="37"/>
  <c r="CD407" i="37"/>
  <c r="CD402" i="37"/>
  <c r="CD395" i="37"/>
  <c r="CD396" i="37"/>
  <c r="CD561" i="37"/>
  <c r="CD564" i="37"/>
  <c r="CD586" i="37"/>
  <c r="CD572" i="37"/>
  <c r="CD565" i="37"/>
  <c r="CD591" i="37"/>
  <c r="CD556" i="37"/>
  <c r="CD580" i="37"/>
  <c r="CD588" i="37"/>
  <c r="CD560" i="37"/>
  <c r="CD581" i="37"/>
  <c r="CD596" i="37"/>
  <c r="CM315" i="37"/>
  <c r="DW310" i="37" s="1"/>
  <c r="CM331" i="37"/>
  <c r="DW326" i="37" s="1"/>
  <c r="CM305" i="37"/>
  <c r="DW300" i="37" s="1"/>
  <c r="CM308" i="37"/>
  <c r="DW303" i="37" s="1"/>
  <c r="CM328" i="37"/>
  <c r="DW323" i="37" s="1"/>
  <c r="CM307" i="37"/>
  <c r="DW302" i="37" s="1"/>
  <c r="CM317" i="37"/>
  <c r="DW312" i="37" s="1"/>
  <c r="CM333" i="37"/>
  <c r="DW328" i="37" s="1"/>
  <c r="CM302" i="37"/>
  <c r="DW297" i="37" s="1"/>
  <c r="CM343" i="37"/>
  <c r="DW338" i="37" s="1"/>
  <c r="CM326" i="37"/>
  <c r="DW321" i="37" s="1"/>
  <c r="CM342" i="37"/>
  <c r="DW337" i="37" s="1"/>
  <c r="CM275" i="37"/>
  <c r="DW270" i="37" s="1"/>
  <c r="CM259" i="37"/>
  <c r="DW254" i="37" s="1"/>
  <c r="CM278" i="37"/>
  <c r="DW273" i="37" s="1"/>
  <c r="CM262" i="37"/>
  <c r="DW257" i="37" s="1"/>
  <c r="CM250" i="37"/>
  <c r="DW245" i="37" s="1"/>
  <c r="CM265" i="37"/>
  <c r="DW260" i="37" s="1"/>
  <c r="CM251" i="37"/>
  <c r="DW246" i="37" s="1"/>
  <c r="CM272" i="37"/>
  <c r="DW267" i="37" s="1"/>
  <c r="CM256" i="37"/>
  <c r="DW251" i="37" s="1"/>
  <c r="CM238" i="37"/>
  <c r="DW233" i="37" s="1"/>
  <c r="CM244" i="37"/>
  <c r="DW239" i="37" s="1"/>
  <c r="CD652" i="37"/>
  <c r="CD647" i="37"/>
  <c r="CD661" i="37"/>
  <c r="CD129" i="37"/>
  <c r="CD142" i="37"/>
  <c r="CD110" i="37"/>
  <c r="CD122" i="37"/>
  <c r="CD143" i="37"/>
  <c r="CD118" i="37"/>
  <c r="CD124" i="37"/>
  <c r="CD148" i="37"/>
  <c r="CD112" i="37"/>
  <c r="CD133" i="37"/>
  <c r="CD149" i="37"/>
  <c r="CD131" i="37"/>
  <c r="CM569" i="37"/>
  <c r="DW564" i="37" s="1"/>
  <c r="CM588" i="37"/>
  <c r="DW583" i="37" s="1"/>
  <c r="CM567" i="37"/>
  <c r="DW562" i="37" s="1"/>
  <c r="CM570" i="37"/>
  <c r="DW565" i="37" s="1"/>
  <c r="CM590" i="37"/>
  <c r="DW585" i="37" s="1"/>
  <c r="CM556" i="37"/>
  <c r="DW551" i="37" s="1"/>
  <c r="CM571" i="37"/>
  <c r="DW566" i="37" s="1"/>
  <c r="CM591" i="37"/>
  <c r="DW586" i="37" s="1"/>
  <c r="CM574" i="37"/>
  <c r="DW569" i="37" s="1"/>
  <c r="CM572" i="37"/>
  <c r="DW567" i="37" s="1"/>
  <c r="CM593" i="37"/>
  <c r="DW588" i="37" s="1"/>
  <c r="CM554" i="37"/>
  <c r="DW549" i="37" s="1"/>
  <c r="CT452" i="37"/>
  <c r="CT468" i="37"/>
  <c r="CT435" i="37"/>
  <c r="CT441" i="37"/>
  <c r="CT457" i="37"/>
  <c r="CT428" i="37"/>
  <c r="CT446" i="37"/>
  <c r="CT438" i="37"/>
  <c r="CT432" i="37"/>
  <c r="CT451" i="37"/>
  <c r="CT467" i="37"/>
  <c r="CM642" i="37"/>
  <c r="DW637" i="37" s="1"/>
  <c r="CM639" i="37"/>
  <c r="DW634" i="37" s="1"/>
  <c r="CM654" i="37"/>
  <c r="DW649" i="37" s="1"/>
  <c r="CM629" i="37"/>
  <c r="DW624" i="37" s="1"/>
  <c r="CM636" i="37"/>
  <c r="DW631" i="37" s="1"/>
  <c r="CM648" i="37"/>
  <c r="DW643" i="37" s="1"/>
  <c r="CM656" i="37"/>
  <c r="DW651" i="37" s="1"/>
  <c r="CM630" i="37"/>
  <c r="DW625" i="37" s="1"/>
  <c r="CM623" i="37"/>
  <c r="DW618" i="37" s="1"/>
  <c r="CM652" i="37"/>
  <c r="DW647" i="37" s="1"/>
  <c r="CM627" i="37"/>
  <c r="DW622" i="37" s="1"/>
  <c r="CM662" i="37"/>
  <c r="DW657" i="37" s="1"/>
  <c r="CD455" i="37"/>
  <c r="CD469" i="37"/>
  <c r="CD448" i="37"/>
  <c r="CD461" i="37"/>
  <c r="CD426" i="37"/>
  <c r="CD445" i="37"/>
  <c r="CD463" i="37"/>
  <c r="CD433" i="37"/>
  <c r="CD442" i="37"/>
  <c r="CD458" i="37"/>
  <c r="CD427" i="37"/>
  <c r="CT130" i="37"/>
  <c r="CT145" i="37"/>
  <c r="CT124" i="37"/>
  <c r="CT142" i="37"/>
  <c r="CT132" i="37"/>
  <c r="CT118" i="37"/>
  <c r="CT139" i="37"/>
  <c r="CT125" i="37"/>
  <c r="CT134" i="37"/>
  <c r="CT116" i="37"/>
  <c r="CT144" i="37"/>
  <c r="CM499" i="37"/>
  <c r="DW494" i="37" s="1"/>
  <c r="CM495" i="37"/>
  <c r="DW490" i="37" s="1"/>
  <c r="CM527" i="37"/>
  <c r="DW522" i="37" s="1"/>
  <c r="CM490" i="37"/>
  <c r="DW485" i="37" s="1"/>
  <c r="CM492" i="37"/>
  <c r="DW487" i="37" s="1"/>
  <c r="CM524" i="37"/>
  <c r="DW519" i="37" s="1"/>
  <c r="CM497" i="37"/>
  <c r="DW492" i="37" s="1"/>
  <c r="CM494" i="37"/>
  <c r="DW489" i="37" s="1"/>
  <c r="CM529" i="37"/>
  <c r="DW524" i="37" s="1"/>
  <c r="CM508" i="37"/>
  <c r="DW503" i="37" s="1"/>
  <c r="CM522" i="37"/>
  <c r="DW517" i="37" s="1"/>
  <c r="CM187" i="37"/>
  <c r="DW182" i="37" s="1"/>
  <c r="CM212" i="37"/>
  <c r="DW207" i="37" s="1"/>
  <c r="CM205" i="37"/>
  <c r="DW200" i="37" s="1"/>
  <c r="CM202" i="37"/>
  <c r="DW197" i="37" s="1"/>
  <c r="CM193" i="37"/>
  <c r="DW188" i="37" s="1"/>
  <c r="CM175" i="37"/>
  <c r="DW170" i="37" s="1"/>
  <c r="CM185" i="37"/>
  <c r="DW180" i="37" s="1"/>
  <c r="CM211" i="37"/>
  <c r="DW206" i="37" s="1"/>
  <c r="CM176" i="37"/>
  <c r="DW171" i="37" s="1"/>
  <c r="CM203" i="37"/>
  <c r="DW198" i="37" s="1"/>
  <c r="CM195" i="37"/>
  <c r="DW190" i="37" s="1"/>
  <c r="CM367" i="37"/>
  <c r="DW362" i="37" s="1"/>
  <c r="CM400" i="37"/>
  <c r="DW395" i="37" s="1"/>
  <c r="CM370" i="37"/>
  <c r="DW365" i="37" s="1"/>
  <c r="CM372" i="37"/>
  <c r="DW367" i="37" s="1"/>
  <c r="CM393" i="37"/>
  <c r="DW388" i="37" s="1"/>
  <c r="CM375" i="37"/>
  <c r="DW370" i="37" s="1"/>
  <c r="CM366" i="37"/>
  <c r="DW361" i="37" s="1"/>
  <c r="CM394" i="37"/>
  <c r="DW389" i="37" s="1"/>
  <c r="CM408" i="37"/>
  <c r="DW403" i="37" s="1"/>
  <c r="CM373" i="37"/>
  <c r="DW368" i="37" s="1"/>
  <c r="CM383" i="37"/>
  <c r="DW378" i="37" s="1"/>
  <c r="CM399" i="37"/>
  <c r="DW394" i="37" s="1"/>
  <c r="CD281" i="37"/>
  <c r="CD257" i="37"/>
  <c r="CD273" i="37"/>
  <c r="CD240" i="37"/>
  <c r="CD266" i="37"/>
  <c r="CD280" i="37"/>
  <c r="CD250" i="37"/>
  <c r="CD263" i="37"/>
  <c r="CD279" i="37"/>
  <c r="CD242" i="37"/>
  <c r="CD264" i="37"/>
  <c r="CD249" i="37"/>
  <c r="CM131" i="37"/>
  <c r="DW126" i="37" s="1"/>
  <c r="CM129" i="37"/>
  <c r="DW124" i="37" s="1"/>
  <c r="CM135" i="37"/>
  <c r="DW130" i="37" s="1"/>
  <c r="CM151" i="37"/>
  <c r="DW146" i="37" s="1"/>
  <c r="CM112" i="37"/>
  <c r="DW107" i="37" s="1"/>
  <c r="CM144" i="37"/>
  <c r="DW139" i="37" s="1"/>
  <c r="CM121" i="37"/>
  <c r="DW116" i="37" s="1"/>
  <c r="CM153" i="37"/>
  <c r="DW148" i="37" s="1"/>
  <c r="CM145" i="37"/>
  <c r="DW140" i="37" s="1"/>
  <c r="CM111" i="37"/>
  <c r="DW106" i="37" s="1"/>
  <c r="CM116" i="37"/>
  <c r="DW111" i="37" s="1"/>
  <c r="CM146" i="37"/>
  <c r="DW141" i="37" s="1"/>
  <c r="CD517" i="37"/>
  <c r="CD521" i="37"/>
  <c r="CD507" i="37"/>
  <c r="CD535" i="37"/>
  <c r="CD490" i="37"/>
  <c r="CD514" i="37"/>
  <c r="CD523" i="37"/>
  <c r="CD500" i="37"/>
  <c r="CD519" i="37"/>
  <c r="CD524" i="37"/>
  <c r="CD205" i="37"/>
  <c r="CD217" i="37"/>
  <c r="CD203" i="37"/>
  <c r="CD195" i="37"/>
  <c r="CD180" i="37"/>
  <c r="CD210" i="37"/>
  <c r="CD183" i="37"/>
  <c r="CD204" i="37"/>
  <c r="CD196" i="37"/>
  <c r="CD188" i="37"/>
  <c r="CD209" i="37"/>
  <c r="CD190" i="37"/>
  <c r="CD397" i="37"/>
  <c r="CD408" i="37"/>
  <c r="CD390" i="37"/>
  <c r="CD409" i="37"/>
  <c r="CD374" i="37"/>
  <c r="CD375" i="37"/>
  <c r="CD399" i="37"/>
  <c r="CD368" i="37"/>
  <c r="CD365" i="37"/>
  <c r="CD400" i="37"/>
  <c r="CD575" i="37"/>
  <c r="CD570" i="37"/>
  <c r="CD594" i="37"/>
  <c r="CD576" i="37"/>
  <c r="CD571" i="37"/>
  <c r="CD595" i="37"/>
  <c r="CD567" i="37"/>
  <c r="CD584" i="37"/>
  <c r="CD587" i="37"/>
  <c r="CD557" i="37"/>
  <c r="CD585" i="37"/>
  <c r="CD597" i="37"/>
  <c r="CM319" i="37"/>
  <c r="DW314" i="37" s="1"/>
  <c r="CM335" i="37"/>
  <c r="DW330" i="37" s="1"/>
  <c r="CM345" i="37"/>
  <c r="DW340" i="37" s="1"/>
  <c r="CM316" i="37"/>
  <c r="DW311" i="37" s="1"/>
  <c r="CM332" i="37"/>
  <c r="DW327" i="37" s="1"/>
  <c r="CM313" i="37"/>
  <c r="DW308" i="37" s="1"/>
  <c r="CM321" i="37"/>
  <c r="DW316" i="37" s="1"/>
  <c r="CM337" i="37"/>
  <c r="DW332" i="37" s="1"/>
  <c r="CM306" i="37"/>
  <c r="DW301" i="37" s="1"/>
  <c r="CM309" i="37"/>
  <c r="DW304" i="37" s="1"/>
  <c r="CM330" i="37"/>
  <c r="DW325" i="37" s="1"/>
  <c r="CM304" i="37"/>
  <c r="DW299" i="37" s="1"/>
  <c r="CM271" i="37"/>
  <c r="DW266" i="37" s="1"/>
  <c r="CM255" i="37"/>
  <c r="DW250" i="37" s="1"/>
  <c r="CM274" i="37"/>
  <c r="DW269" i="37" s="1"/>
  <c r="CM258" i="37"/>
  <c r="DW253" i="37" s="1"/>
  <c r="CM277" i="37"/>
  <c r="DW272" i="37" s="1"/>
  <c r="CM261" i="37"/>
  <c r="DW256" i="37" s="1"/>
  <c r="CM240" i="37"/>
  <c r="DW235" i="37" s="1"/>
  <c r="CM280" i="37"/>
  <c r="DW275" i="37" s="1"/>
  <c r="CM268" i="37"/>
  <c r="DW263" i="37" s="1"/>
  <c r="CM252" i="37"/>
  <c r="DW247" i="37" s="1"/>
  <c r="CM246" i="37"/>
  <c r="DW241" i="37" s="1"/>
  <c r="CM248" i="37"/>
  <c r="DW243" i="37" s="1"/>
  <c r="CD657" i="37"/>
  <c r="CD641" i="37"/>
  <c r="CD660" i="37"/>
  <c r="CD639" i="37"/>
  <c r="CD650" i="37"/>
  <c r="CD663" i="37"/>
  <c r="CD111" i="37"/>
  <c r="CD146" i="37"/>
  <c r="CD114" i="37"/>
  <c r="CD155" i="37"/>
  <c r="CD147" i="37"/>
  <c r="CD115" i="37"/>
  <c r="CD136" i="37"/>
  <c r="CD152" i="37"/>
  <c r="CD125" i="37"/>
  <c r="CD137" i="37"/>
  <c r="CD154" i="37"/>
  <c r="CD127" i="37"/>
  <c r="CM577" i="37"/>
  <c r="DW572" i="37" s="1"/>
  <c r="CM579" i="37"/>
  <c r="DW574" i="37" s="1"/>
  <c r="CM587" i="37"/>
  <c r="DW582" i="37" s="1"/>
  <c r="CM558" i="37"/>
  <c r="DW553" i="37" s="1"/>
  <c r="CM580" i="37"/>
  <c r="DW575" i="37" s="1"/>
  <c r="CM600" i="37"/>
  <c r="DW595" i="37" s="1"/>
  <c r="CM560" i="37"/>
  <c r="DW555" i="37" s="1"/>
  <c r="CM575" i="37"/>
  <c r="DW570" i="37" s="1"/>
  <c r="CM599" i="37"/>
  <c r="DW594" i="37" s="1"/>
  <c r="CM568" i="37"/>
  <c r="DW563" i="37" s="1"/>
  <c r="CM578" i="37"/>
  <c r="DW573" i="37" s="1"/>
  <c r="CM592" i="37"/>
  <c r="DW587" i="37" s="1"/>
  <c r="CT440" i="37"/>
  <c r="CT456" i="37"/>
  <c r="CT472" i="37"/>
  <c r="CT434" i="37"/>
  <c r="CT445" i="37"/>
  <c r="CT433" i="37"/>
  <c r="CT439" i="37"/>
  <c r="CT450" i="37"/>
  <c r="CT466" i="37"/>
  <c r="CT437" i="37"/>
  <c r="CT455" i="37"/>
  <c r="CT471" i="37"/>
  <c r="CM650" i="37"/>
  <c r="DW645" i="37" s="1"/>
  <c r="CM641" i="37"/>
  <c r="DW636" i="37" s="1"/>
  <c r="CM659" i="37"/>
  <c r="DW654" i="37" s="1"/>
  <c r="CM634" i="37"/>
  <c r="DW629" i="37" s="1"/>
  <c r="CM640" i="37"/>
  <c r="DW635" i="37" s="1"/>
  <c r="CM651" i="37"/>
  <c r="DW646" i="37" s="1"/>
  <c r="CM660" i="37"/>
  <c r="DW655" i="37" s="1"/>
  <c r="CM626" i="37"/>
  <c r="DW621" i="37" s="1"/>
  <c r="CM637" i="37"/>
  <c r="DW632" i="37" s="1"/>
  <c r="CM657" i="37"/>
  <c r="DW652" i="37" s="1"/>
  <c r="CM624" i="37"/>
  <c r="DW619" i="37" s="1"/>
  <c r="CM658" i="37"/>
  <c r="DW653" i="37" s="1"/>
  <c r="CT115" i="37"/>
  <c r="CT126" i="37"/>
  <c r="CT149" i="37"/>
  <c r="CT154" i="37"/>
  <c r="CT146" i="37"/>
  <c r="CT121" i="37"/>
  <c r="CT110" i="37"/>
  <c r="CT143" i="37"/>
  <c r="CT123" i="37"/>
  <c r="CT133" i="37"/>
  <c r="CT153" i="37"/>
  <c r="CT148" i="37"/>
  <c r="CM515" i="37"/>
  <c r="DW510" i="37" s="1"/>
  <c r="CM493" i="37"/>
  <c r="DW488" i="37" s="1"/>
  <c r="CM531" i="37"/>
  <c r="DW526" i="37" s="1"/>
  <c r="CM518" i="37"/>
  <c r="DW513" i="37" s="1"/>
  <c r="CM536" i="37"/>
  <c r="DW531" i="37" s="1"/>
  <c r="CM528" i="37"/>
  <c r="DW523" i="37" s="1"/>
  <c r="CM505" i="37"/>
  <c r="DW500" i="37" s="1"/>
  <c r="CM517" i="37"/>
  <c r="DW512" i="37" s="1"/>
  <c r="CM519" i="37"/>
  <c r="DW514" i="37" s="1"/>
  <c r="CM502" i="37"/>
  <c r="DW497" i="37" s="1"/>
  <c r="CM504" i="37"/>
  <c r="DW499" i="37" s="1"/>
  <c r="CM526" i="37"/>
  <c r="DW521" i="37" s="1"/>
  <c r="CM180" i="37"/>
  <c r="DW175" i="37" s="1"/>
  <c r="CM174" i="37"/>
  <c r="DW169" i="37" s="1"/>
  <c r="CM210" i="37"/>
  <c r="DW205" i="37" s="1"/>
  <c r="CM220" i="37"/>
  <c r="DW215" i="37" s="1"/>
  <c r="CM200" i="37"/>
  <c r="DW195" i="37" s="1"/>
  <c r="CM189" i="37"/>
  <c r="DW184" i="37" s="1"/>
  <c r="CM206" i="37"/>
  <c r="DW201" i="37" s="1"/>
  <c r="CM217" i="37"/>
  <c r="DW212" i="37" s="1"/>
  <c r="CM209" i="37"/>
  <c r="DW204" i="37" s="1"/>
  <c r="CM218" i="37"/>
  <c r="DW213" i="37" s="1"/>
  <c r="CM201" i="37"/>
  <c r="DW196" i="37" s="1"/>
  <c r="CM191" i="37"/>
  <c r="DW186" i="37" s="1"/>
  <c r="CM388" i="37"/>
  <c r="DW383" i="37" s="1"/>
  <c r="CM404" i="37"/>
  <c r="DW399" i="37" s="1"/>
  <c r="CM381" i="37"/>
  <c r="DW376" i="37" s="1"/>
  <c r="CM377" i="37"/>
  <c r="DW372" i="37" s="1"/>
  <c r="CM397" i="37"/>
  <c r="DW392" i="37" s="1"/>
  <c r="CM385" i="37"/>
  <c r="DW380" i="37" s="1"/>
  <c r="CM369" i="37"/>
  <c r="DW364" i="37" s="1"/>
  <c r="CM398" i="37"/>
  <c r="DW393" i="37" s="1"/>
  <c r="CM382" i="37"/>
  <c r="DW377" i="37" s="1"/>
  <c r="CM371" i="37"/>
  <c r="DW366" i="37" s="1"/>
  <c r="CM387" i="37"/>
  <c r="DW382" i="37" s="1"/>
  <c r="CM403" i="37"/>
  <c r="DW398" i="37" s="1"/>
  <c r="CD251" i="37"/>
  <c r="CD261" i="37"/>
  <c r="CD277" i="37"/>
  <c r="CD254" i="37"/>
  <c r="CD270" i="37"/>
  <c r="CD246" i="37"/>
  <c r="CD241" i="37"/>
  <c r="CD267" i="37"/>
  <c r="CD282" i="37"/>
  <c r="CD252" i="37"/>
  <c r="CD268" i="37"/>
  <c r="CD244" i="37"/>
  <c r="CM122" i="37"/>
  <c r="DW117" i="37" s="1"/>
  <c r="CM125" i="37"/>
  <c r="DW120" i="37" s="1"/>
  <c r="CM139" i="37"/>
  <c r="DW134" i="37" s="1"/>
  <c r="CM156" i="37"/>
  <c r="DW151" i="37" s="1"/>
  <c r="CM124" i="37"/>
  <c r="DW119" i="37" s="1"/>
  <c r="CM148" i="37"/>
  <c r="DW143" i="37" s="1"/>
  <c r="CM119" i="37"/>
  <c r="DW114" i="37" s="1"/>
  <c r="CM133" i="37"/>
  <c r="DW128" i="37" s="1"/>
  <c r="CM149" i="37"/>
  <c r="DW144" i="37" s="1"/>
  <c r="CM130" i="37"/>
  <c r="DW125" i="37" s="1"/>
  <c r="CM134" i="37"/>
  <c r="DW129" i="37" s="1"/>
  <c r="CM150" i="37"/>
  <c r="DW145" i="37" s="1"/>
  <c r="CD522" i="37"/>
  <c r="CD512" i="37"/>
  <c r="CD527" i="37"/>
  <c r="CD498" i="37"/>
  <c r="CD502" i="37"/>
  <c r="CD528" i="37"/>
  <c r="CD201" i="37"/>
  <c r="CD191" i="37"/>
  <c r="CD216" i="37"/>
  <c r="CD208" i="37"/>
  <c r="CD174" i="37"/>
  <c r="CD202" i="37"/>
  <c r="CD193" i="37"/>
  <c r="CD215" i="37"/>
  <c r="CD175" i="37"/>
  <c r="CD185" i="37"/>
  <c r="CD403" i="37"/>
  <c r="CD388" i="37"/>
  <c r="CD404" i="37"/>
  <c r="CD558" i="37"/>
  <c r="CD578" i="37"/>
  <c r="CD554" i="37"/>
  <c r="CD559" i="37"/>
  <c r="CD579" i="37"/>
  <c r="CD598" i="37"/>
  <c r="CD562" i="37"/>
  <c r="CD590" i="37"/>
  <c r="CD600" i="37"/>
  <c r="CD563" i="37"/>
  <c r="CD593" i="37"/>
  <c r="CD555" i="37"/>
  <c r="CM323" i="37"/>
  <c r="DW318" i="37" s="1"/>
  <c r="CM339" i="37"/>
  <c r="DW334" i="37" s="1"/>
  <c r="CM310" i="37"/>
  <c r="DW305" i="37" s="1"/>
  <c r="CM320" i="37"/>
  <c r="DW315" i="37" s="1"/>
  <c r="CM336" i="37"/>
  <c r="DW331" i="37" s="1"/>
  <c r="CM314" i="37"/>
  <c r="DW309" i="37" s="1"/>
  <c r="CM325" i="37"/>
  <c r="DW320" i="37" s="1"/>
  <c r="CM341" i="37"/>
  <c r="DW336" i="37" s="1"/>
  <c r="CM346" i="37"/>
  <c r="DW341" i="37" s="1"/>
  <c r="CM318" i="37"/>
  <c r="DW313" i="37" s="1"/>
  <c r="CM334" i="37"/>
  <c r="DW329" i="37" s="1"/>
  <c r="CM301" i="37"/>
  <c r="DW296" i="37" s="1"/>
  <c r="CM267" i="37"/>
  <c r="DW262" i="37" s="1"/>
  <c r="CM242" i="37"/>
  <c r="DW237" i="37" s="1"/>
  <c r="CM270" i="37"/>
  <c r="DW265" i="37" s="1"/>
  <c r="CM254" i="37"/>
  <c r="DW249" i="37" s="1"/>
  <c r="CM273" i="37"/>
  <c r="DW268" i="37" s="1"/>
  <c r="CM257" i="37"/>
  <c r="DW252" i="37" s="1"/>
  <c r="CM243" i="37"/>
  <c r="DW238" i="37" s="1"/>
  <c r="CM283" i="37"/>
  <c r="DW278" i="37" s="1"/>
  <c r="CM264" i="37"/>
  <c r="DW259" i="37" s="1"/>
  <c r="CM281" i="37"/>
  <c r="DW276" i="37" s="1"/>
  <c r="CM247" i="37"/>
  <c r="DW242" i="37" s="1"/>
  <c r="CM249" i="37"/>
  <c r="DW244" i="37" s="1"/>
  <c r="CD134" i="37"/>
  <c r="CD150" i="37"/>
  <c r="CD130" i="37"/>
  <c r="CD135" i="37"/>
  <c r="CD151" i="37"/>
  <c r="CD126" i="37"/>
  <c r="CD140" i="37"/>
  <c r="CD123" i="37"/>
  <c r="CD117" i="37"/>
  <c r="CD141" i="37"/>
  <c r="CD121" i="37"/>
  <c r="CD113" i="37"/>
  <c r="CM557" i="37"/>
  <c r="DW552" i="37" s="1"/>
  <c r="CM583" i="37"/>
  <c r="DW578" i="37" s="1"/>
  <c r="CM596" i="37"/>
  <c r="DW591" i="37" s="1"/>
  <c r="CM576" i="37"/>
  <c r="DW571" i="37" s="1"/>
  <c r="CM584" i="37"/>
  <c r="DW579" i="37" s="1"/>
  <c r="CM559" i="37"/>
  <c r="DW554" i="37" s="1"/>
  <c r="CM581" i="37"/>
  <c r="DW576" i="37" s="1"/>
  <c r="CM555" i="37"/>
  <c r="DW550" i="37" s="1"/>
  <c r="CM573" i="37"/>
  <c r="DW568" i="37" s="1"/>
  <c r="CM582" i="37"/>
  <c r="DW577" i="37" s="1"/>
  <c r="CM595" i="37"/>
  <c r="DW590" i="37" s="1"/>
  <c r="CD326" i="37"/>
  <c r="CD342" i="37"/>
  <c r="CD343" i="37"/>
  <c r="CT444" i="37"/>
  <c r="CT460" i="37"/>
  <c r="CT431" i="37"/>
  <c r="CT427" i="37"/>
  <c r="CT449" i="37"/>
  <c r="CT465" i="37"/>
  <c r="CT463" i="37"/>
  <c r="CT454" i="37"/>
  <c r="CT469" i="37"/>
  <c r="CT443" i="37"/>
  <c r="CT459" i="37"/>
  <c r="CT470" i="37"/>
  <c r="CM628" i="37"/>
  <c r="DW623" i="37" s="1"/>
  <c r="CM643" i="37"/>
  <c r="DW638" i="37" s="1"/>
  <c r="CM665" i="37"/>
  <c r="DW660" i="37" s="1"/>
  <c r="CM622" i="37"/>
  <c r="DW617" i="37" s="1"/>
  <c r="CM633" i="37"/>
  <c r="DW628" i="37" s="1"/>
  <c r="CM655" i="37"/>
  <c r="DW650" i="37" s="1"/>
  <c r="CM621" i="37"/>
  <c r="DW616" i="37" s="1"/>
  <c r="CM645" i="37"/>
  <c r="DW640" i="37" s="1"/>
  <c r="CM661" i="37"/>
  <c r="DW656" i="37" s="1"/>
  <c r="CM646" i="37"/>
  <c r="DW641" i="37" s="1"/>
  <c r="CM663" i="37"/>
  <c r="DW658" i="37" s="1"/>
  <c r="CD467" i="37"/>
  <c r="CD453" i="37"/>
  <c r="CD468" i="37"/>
  <c r="CD450" i="37"/>
  <c r="CD439" i="37"/>
  <c r="CT114" i="37"/>
  <c r="CT137" i="37"/>
  <c r="CT111" i="37"/>
  <c r="CT155" i="37"/>
  <c r="CT150" i="37"/>
  <c r="CT120" i="37"/>
  <c r="CT112" i="37"/>
  <c r="CT147" i="37"/>
  <c r="CT117" i="37"/>
  <c r="CT131" i="37"/>
  <c r="CT136" i="37"/>
  <c r="CT152" i="37"/>
  <c r="CM511" i="37"/>
  <c r="DW506" i="37" s="1"/>
  <c r="CM503" i="37"/>
  <c r="DW498" i="37" s="1"/>
  <c r="CM509" i="37"/>
  <c r="DW504" i="37" s="1"/>
  <c r="CM514" i="37"/>
  <c r="DW509" i="37" s="1"/>
  <c r="CM533" i="37"/>
  <c r="DW528" i="37" s="1"/>
  <c r="CM532" i="37"/>
  <c r="DW527" i="37" s="1"/>
  <c r="CM500" i="37"/>
  <c r="DW495" i="37" s="1"/>
  <c r="CM513" i="37"/>
  <c r="DW508" i="37" s="1"/>
  <c r="CM521" i="37"/>
  <c r="DW516" i="37" s="1"/>
  <c r="CM516" i="37"/>
  <c r="DW511" i="37" s="1"/>
  <c r="CM534" i="37"/>
  <c r="DW529" i="37" s="1"/>
  <c r="CM530" i="37"/>
  <c r="DW525" i="37" s="1"/>
  <c r="CM192" i="37"/>
  <c r="DW187" i="37" s="1"/>
  <c r="CM216" i="37"/>
  <c r="DW211" i="37" s="1"/>
  <c r="CM208" i="37"/>
  <c r="DW203" i="37" s="1"/>
  <c r="CM219" i="37"/>
  <c r="DW214" i="37" s="1"/>
  <c r="CM198" i="37"/>
  <c r="DW193" i="37" s="1"/>
  <c r="CM184" i="37"/>
  <c r="DW179" i="37" s="1"/>
  <c r="CM194" i="37"/>
  <c r="DW189" i="37" s="1"/>
  <c r="CM215" i="37"/>
  <c r="DW210" i="37" s="1"/>
  <c r="CM179" i="37"/>
  <c r="DW174" i="37" s="1"/>
  <c r="CM186" i="37"/>
  <c r="DW181" i="37" s="1"/>
  <c r="CM199" i="37"/>
  <c r="DW194" i="37" s="1"/>
  <c r="CM182" i="37"/>
  <c r="DW177" i="37" s="1"/>
  <c r="CM392" i="37"/>
  <c r="DW387" i="37" s="1"/>
  <c r="CM409" i="37"/>
  <c r="DW404" i="37" s="1"/>
  <c r="CM379" i="37"/>
  <c r="DW374" i="37" s="1"/>
  <c r="CM376" i="37"/>
  <c r="DW371" i="37" s="1"/>
  <c r="CM401" i="37"/>
  <c r="DW396" i="37" s="1"/>
  <c r="CM363" i="37"/>
  <c r="DW358" i="37" s="1"/>
  <c r="CM365" i="37"/>
  <c r="DW360" i="37" s="1"/>
  <c r="CM402" i="37"/>
  <c r="DW397" i="37" s="1"/>
  <c r="CM380" i="37"/>
  <c r="DW375" i="37" s="1"/>
  <c r="CM391" i="37"/>
  <c r="DW386" i="37" s="1"/>
  <c r="CM364" i="37"/>
  <c r="DW359" i="37" s="1"/>
  <c r="CD248" i="37"/>
  <c r="CD265" i="37"/>
  <c r="CD283" i="37"/>
  <c r="CD258" i="37"/>
  <c r="CD274" i="37"/>
  <c r="CD238" i="37"/>
  <c r="CD255" i="37"/>
  <c r="CD271" i="37"/>
  <c r="CD247" i="37"/>
  <c r="CD256" i="37"/>
  <c r="CD272" i="37"/>
  <c r="CD237" i="37"/>
  <c r="CM120" i="37"/>
  <c r="DW115" i="37" s="1"/>
  <c r="CM115" i="37"/>
  <c r="DW110" i="37" s="1"/>
  <c r="CM143" i="37"/>
  <c r="DW138" i="37" s="1"/>
  <c r="CM136" i="37"/>
  <c r="DW131" i="37" s="1"/>
  <c r="CM152" i="37"/>
  <c r="DW147" i="37" s="1"/>
  <c r="CM113" i="37"/>
  <c r="DW108" i="37" s="1"/>
  <c r="CM137" i="37"/>
  <c r="DW132" i="37" s="1"/>
  <c r="CM154" i="37"/>
  <c r="DW149" i="37" s="1"/>
  <c r="CM126" i="37"/>
  <c r="DW121" i="37" s="1"/>
  <c r="CM138" i="37"/>
  <c r="DW133" i="37" s="1"/>
  <c r="CM123" i="37"/>
  <c r="DW118" i="37" s="1"/>
  <c r="BU47" i="34"/>
  <c r="BU49" i="34"/>
  <c r="CT23" i="31"/>
  <c r="CV23" i="31" s="1"/>
  <c r="BH45" i="31"/>
  <c r="BH23" i="31"/>
  <c r="BH38" i="31"/>
  <c r="BH36" i="31"/>
  <c r="AY28" i="31"/>
  <c r="BH39" i="31"/>
  <c r="BH30" i="31"/>
  <c r="ED619" i="2"/>
  <c r="CR462" i="34"/>
  <c r="CR457" i="34"/>
  <c r="CR461" i="34"/>
  <c r="CR467" i="34"/>
  <c r="CR458" i="34"/>
  <c r="CR453" i="34"/>
  <c r="CR427" i="34"/>
  <c r="CR430" i="34"/>
  <c r="CR435" i="34"/>
  <c r="CR450" i="34"/>
  <c r="CR469" i="34"/>
  <c r="CR466" i="34"/>
  <c r="CR451" i="34"/>
  <c r="CR434" i="34"/>
  <c r="CR431" i="34"/>
  <c r="CR447" i="34"/>
  <c r="CR468" i="34"/>
  <c r="CR440" i="34"/>
  <c r="CR452" i="34"/>
  <c r="CR472" i="34"/>
  <c r="CR436" i="34"/>
  <c r="CR428" i="34"/>
  <c r="CR444" i="34"/>
  <c r="CR460" i="34"/>
  <c r="CR438" i="34"/>
  <c r="CR470" i="34"/>
  <c r="CR455" i="34"/>
  <c r="CR443" i="34"/>
  <c r="CR459" i="34"/>
  <c r="CR433" i="34"/>
  <c r="CR456" i="34"/>
  <c r="CR429" i="34"/>
  <c r="CR445" i="34"/>
  <c r="CR426" i="34"/>
  <c r="CR463" i="34"/>
  <c r="CR442" i="34"/>
  <c r="CR437" i="34"/>
  <c r="CR465" i="34"/>
  <c r="CR439" i="34"/>
  <c r="CR471" i="34"/>
  <c r="CR446" i="34"/>
  <c r="CR449" i="34"/>
  <c r="CR464" i="34"/>
  <c r="CR432" i="34"/>
  <c r="CR454" i="34"/>
  <c r="CR441" i="34"/>
  <c r="CR448" i="34"/>
  <c r="CJ444" i="34"/>
  <c r="CJ443" i="34"/>
  <c r="CJ451" i="34"/>
  <c r="EB427" i="34"/>
  <c r="CJ447" i="34"/>
  <c r="CJ459" i="34"/>
  <c r="CJ441" i="34"/>
  <c r="CJ463" i="34"/>
  <c r="CJ450" i="34"/>
  <c r="CJ457" i="34"/>
  <c r="CJ467" i="34"/>
  <c r="CJ454" i="34"/>
  <c r="CJ466" i="34"/>
  <c r="CJ446" i="34"/>
  <c r="CJ429" i="34"/>
  <c r="CJ430" i="34"/>
  <c r="CJ442" i="34"/>
  <c r="CJ468" i="34"/>
  <c r="CJ426" i="34"/>
  <c r="CJ455" i="34"/>
  <c r="CJ427" i="34"/>
  <c r="CJ471" i="34"/>
  <c r="CJ465" i="34"/>
  <c r="CJ449" i="34"/>
  <c r="CJ440" i="34"/>
  <c r="CJ438" i="34"/>
  <c r="CJ461" i="34"/>
  <c r="CJ428" i="34"/>
  <c r="CJ456" i="34"/>
  <c r="CJ464" i="34"/>
  <c r="CJ436" i="34"/>
  <c r="CJ458" i="34"/>
  <c r="CJ435" i="34"/>
  <c r="CJ472" i="34"/>
  <c r="CJ432" i="34"/>
  <c r="CJ469" i="34"/>
  <c r="CJ434" i="34"/>
  <c r="CJ431" i="34"/>
  <c r="CJ437" i="34"/>
  <c r="CJ439" i="34"/>
  <c r="CJ445" i="34"/>
  <c r="CJ460" i="34"/>
  <c r="CJ433" i="34"/>
  <c r="CJ452" i="34"/>
  <c r="CJ448" i="34"/>
  <c r="CJ470" i="34"/>
  <c r="CJ462" i="34"/>
  <c r="CJ453" i="34"/>
  <c r="ED300" i="2"/>
  <c r="CB245" i="34"/>
  <c r="CB264" i="34"/>
  <c r="CB253" i="34"/>
  <c r="CB257" i="34"/>
  <c r="CB275" i="34"/>
  <c r="CB243" i="34"/>
  <c r="CB272" i="34"/>
  <c r="CB258" i="34"/>
  <c r="CB249" i="34"/>
  <c r="CB268" i="34"/>
  <c r="CB280" i="34"/>
  <c r="CB274" i="34"/>
  <c r="CB277" i="34"/>
  <c r="CB244" i="34"/>
  <c r="CB269" i="34"/>
  <c r="CB261" i="34"/>
  <c r="CB271" i="34"/>
  <c r="CB239" i="34"/>
  <c r="CB248" i="34"/>
  <c r="CB256" i="34"/>
  <c r="CB242" i="34"/>
  <c r="CB241" i="34"/>
  <c r="CB250" i="34"/>
  <c r="CB279" i="34"/>
  <c r="CB238" i="34"/>
  <c r="CB276" i="34"/>
  <c r="CB281" i="34"/>
  <c r="CB283" i="34"/>
  <c r="CB270" i="34"/>
  <c r="CB282" i="34"/>
  <c r="CB262" i="34"/>
  <c r="CB260" i="34"/>
  <c r="CB263" i="34"/>
  <c r="CB273" i="34"/>
  <c r="CB265" i="34"/>
  <c r="CB266" i="34"/>
  <c r="CB251" i="34"/>
  <c r="CB237" i="34"/>
  <c r="CB278" i="34"/>
  <c r="CB259" i="34"/>
  <c r="CB240" i="34"/>
  <c r="CB252" i="34"/>
  <c r="CB255" i="34"/>
  <c r="CB254" i="34"/>
  <c r="CB267" i="34"/>
  <c r="CB247" i="34"/>
  <c r="CB246" i="34"/>
  <c r="CL239" i="34"/>
  <c r="CL242" i="34"/>
  <c r="CL253" i="34"/>
  <c r="CL243" i="34"/>
  <c r="CL276" i="34"/>
  <c r="CL251" i="34"/>
  <c r="CL247" i="34"/>
  <c r="CL262" i="34"/>
  <c r="CL268" i="34"/>
  <c r="CL281" i="34"/>
  <c r="CL255" i="34"/>
  <c r="CL258" i="34"/>
  <c r="CL254" i="34"/>
  <c r="CL237" i="34"/>
  <c r="CL261" i="34"/>
  <c r="CL273" i="34"/>
  <c r="CL249" i="34"/>
  <c r="CL277" i="34"/>
  <c r="CL241" i="34"/>
  <c r="CL259" i="34"/>
  <c r="CL244" i="34"/>
  <c r="CL248" i="34"/>
  <c r="CL280" i="34"/>
  <c r="CL264" i="34"/>
  <c r="CL265" i="34"/>
  <c r="CL256" i="34"/>
  <c r="CL267" i="34"/>
  <c r="CL274" i="34"/>
  <c r="CL263" i="34"/>
  <c r="CL282" i="34"/>
  <c r="CL250" i="34"/>
  <c r="CL260" i="34"/>
  <c r="CL271" i="34"/>
  <c r="CL278" i="34"/>
  <c r="CL252" i="34"/>
  <c r="CL257" i="34"/>
  <c r="ED238" i="34"/>
  <c r="CL270" i="34"/>
  <c r="CL245" i="34"/>
  <c r="CL283" i="34"/>
  <c r="CL238" i="34"/>
  <c r="CL272" i="34"/>
  <c r="CL266" i="34"/>
  <c r="CL269" i="34"/>
  <c r="CL279" i="34"/>
  <c r="CL246" i="34"/>
  <c r="CL240" i="34"/>
  <c r="CL275" i="34"/>
  <c r="CI181" i="34"/>
  <c r="CI219" i="34"/>
  <c r="EA175" i="34"/>
  <c r="CI179" i="34"/>
  <c r="CI188" i="34"/>
  <c r="CI182" i="34"/>
  <c r="CI178" i="34"/>
  <c r="CI205" i="34"/>
  <c r="CI214" i="34"/>
  <c r="CI184" i="34"/>
  <c r="CI175" i="34"/>
  <c r="CI217" i="34"/>
  <c r="CI207" i="34"/>
  <c r="CI218" i="34"/>
  <c r="CI180" i="34"/>
  <c r="CI187" i="34"/>
  <c r="CI190" i="34"/>
  <c r="CI209" i="34"/>
  <c r="CI186" i="34"/>
  <c r="CI176" i="34"/>
  <c r="CI197" i="34"/>
  <c r="CI216" i="34"/>
  <c r="CI208" i="34"/>
  <c r="CI195" i="34"/>
  <c r="CI189" i="34"/>
  <c r="CI177" i="34"/>
  <c r="CI202" i="34"/>
  <c r="CI206" i="34"/>
  <c r="CI215" i="34"/>
  <c r="CI212" i="34"/>
  <c r="CI199" i="34"/>
  <c r="CI192" i="34"/>
  <c r="CI194" i="34"/>
  <c r="CI198" i="34"/>
  <c r="CI193" i="34"/>
  <c r="CI203" i="34"/>
  <c r="CI201" i="34"/>
  <c r="CI191" i="34"/>
  <c r="CI200" i="34"/>
  <c r="CI174" i="34"/>
  <c r="CI185" i="34"/>
  <c r="CI220" i="34"/>
  <c r="CI183" i="34"/>
  <c r="CI211" i="34"/>
  <c r="CI204" i="34"/>
  <c r="CI196" i="34"/>
  <c r="CI210" i="34"/>
  <c r="CI213" i="34"/>
  <c r="CA204" i="34"/>
  <c r="CA194" i="34"/>
  <c r="CA174" i="34"/>
  <c r="CA184" i="34"/>
  <c r="CA214" i="34"/>
  <c r="CA205" i="34"/>
  <c r="CA217" i="34"/>
  <c r="CA181" i="34"/>
  <c r="CA196" i="34"/>
  <c r="CA206" i="34"/>
  <c r="CA213" i="34"/>
  <c r="CA177" i="34"/>
  <c r="CA183" i="34"/>
  <c r="CA207" i="34"/>
  <c r="CA187" i="34"/>
  <c r="CA208" i="34"/>
  <c r="CA191" i="34"/>
  <c r="CA212" i="34"/>
  <c r="CA186" i="34"/>
  <c r="CA209" i="34"/>
  <c r="CA176" i="34"/>
  <c r="CA185" i="34"/>
  <c r="CA193" i="34"/>
  <c r="CA197" i="34"/>
  <c r="CA220" i="34"/>
  <c r="CA203" i="34"/>
  <c r="CA195" i="34"/>
  <c r="CA192" i="34"/>
  <c r="CA199" i="34"/>
  <c r="CA190" i="34"/>
  <c r="CA188" i="34"/>
  <c r="CA189" i="34"/>
  <c r="CA198" i="34"/>
  <c r="CA182" i="34"/>
  <c r="CA179" i="34"/>
  <c r="CA180" i="34"/>
  <c r="CA202" i="34"/>
  <c r="CA200" i="34"/>
  <c r="CA218" i="34"/>
  <c r="CA201" i="34"/>
  <c r="CA175" i="34"/>
  <c r="CA178" i="34"/>
  <c r="CA210" i="34"/>
  <c r="CA216" i="34"/>
  <c r="CA211" i="34"/>
  <c r="CA215" i="34"/>
  <c r="CA219" i="34"/>
  <c r="CI306" i="34"/>
  <c r="CI326" i="34"/>
  <c r="CI342" i="34"/>
  <c r="CI301" i="34"/>
  <c r="CI331" i="34"/>
  <c r="CI319" i="34"/>
  <c r="CI302" i="34"/>
  <c r="EA301" i="34"/>
  <c r="CI305" i="34"/>
  <c r="CI328" i="34"/>
  <c r="CI309" i="34"/>
  <c r="CI343" i="34"/>
  <c r="CI340" i="34"/>
  <c r="CI304" i="34"/>
  <c r="CI325" i="34"/>
  <c r="CI321" i="34"/>
  <c r="CI334" i="34"/>
  <c r="CI341" i="34"/>
  <c r="CI312" i="34"/>
  <c r="CI339" i="34"/>
  <c r="CI308" i="34"/>
  <c r="CI307" i="34"/>
  <c r="CI327" i="34"/>
  <c r="CI310" i="34"/>
  <c r="CI337" i="34"/>
  <c r="CI303" i="34"/>
  <c r="CI344" i="34"/>
  <c r="CI346" i="34"/>
  <c r="CI329" i="34"/>
  <c r="CI313" i="34"/>
  <c r="CI332" i="34"/>
  <c r="CI335" i="34"/>
  <c r="CI320" i="34"/>
  <c r="CI314" i="34"/>
  <c r="CI338" i="34"/>
  <c r="CI316" i="34"/>
  <c r="CI317" i="34"/>
  <c r="CI311" i="34"/>
  <c r="CI333" i="34"/>
  <c r="CI322" i="34"/>
  <c r="CI323" i="34"/>
  <c r="CI318" i="34"/>
  <c r="CI315" i="34"/>
  <c r="CI300" i="34"/>
  <c r="CI324" i="34"/>
  <c r="CI330" i="34"/>
  <c r="CI345" i="34"/>
  <c r="CI336" i="34"/>
  <c r="CJ334" i="34"/>
  <c r="CJ305" i="34"/>
  <c r="CJ342" i="34"/>
  <c r="CJ327" i="34"/>
  <c r="CJ340" i="34"/>
  <c r="CJ302" i="34"/>
  <c r="CJ344" i="34"/>
  <c r="CJ330" i="34"/>
  <c r="CJ343" i="34"/>
  <c r="CJ341" i="34"/>
  <c r="CJ317" i="34"/>
  <c r="CJ332" i="34"/>
  <c r="CJ324" i="34"/>
  <c r="CJ320" i="34"/>
  <c r="CJ308" i="34"/>
  <c r="CJ322" i="34"/>
  <c r="CJ310" i="34"/>
  <c r="CJ329" i="34"/>
  <c r="EB301" i="34"/>
  <c r="CJ303" i="34"/>
  <c r="CJ336" i="34"/>
  <c r="CJ337" i="34"/>
  <c r="CJ335" i="34"/>
  <c r="CJ316" i="34"/>
  <c r="CJ339" i="34"/>
  <c r="CJ311" i="34"/>
  <c r="CJ345" i="34"/>
  <c r="CJ321" i="34"/>
  <c r="CJ315" i="34"/>
  <c r="CJ346" i="34"/>
  <c r="CJ300" i="34"/>
  <c r="CJ301" i="34"/>
  <c r="CJ312" i="34"/>
  <c r="CJ318" i="34"/>
  <c r="CJ309" i="34"/>
  <c r="CJ325" i="34"/>
  <c r="CJ333" i="34"/>
  <c r="CJ338" i="34"/>
  <c r="CJ326" i="34"/>
  <c r="CJ313" i="34"/>
  <c r="CJ319" i="34"/>
  <c r="CJ304" i="34"/>
  <c r="CJ306" i="34"/>
  <c r="CJ323" i="34"/>
  <c r="CJ328" i="34"/>
  <c r="CJ331" i="34"/>
  <c r="CJ307" i="34"/>
  <c r="CJ314" i="34"/>
  <c r="EA176" i="34"/>
  <c r="EC363" i="2"/>
  <c r="ED110" i="34"/>
  <c r="EA490" i="2"/>
  <c r="EB428" i="34"/>
  <c r="EA239" i="34"/>
  <c r="CA465" i="34"/>
  <c r="CA441" i="34"/>
  <c r="CA434" i="34"/>
  <c r="CA457" i="34"/>
  <c r="CA436" i="34"/>
  <c r="CA462" i="34"/>
  <c r="CA443" i="34"/>
  <c r="CA463" i="34"/>
  <c r="CA438" i="34"/>
  <c r="CA451" i="34"/>
  <c r="CA470" i="34"/>
  <c r="CA435" i="34"/>
  <c r="CA426" i="34"/>
  <c r="CA431" i="34"/>
  <c r="CA471" i="34"/>
  <c r="CA429" i="34"/>
  <c r="CA449" i="34"/>
  <c r="CA469" i="34"/>
  <c r="CA447" i="34"/>
  <c r="CA468" i="34"/>
  <c r="CA444" i="34"/>
  <c r="CA467" i="34"/>
  <c r="CA466" i="34"/>
  <c r="CA433" i="34"/>
  <c r="CA437" i="34"/>
  <c r="CA439" i="34"/>
  <c r="CA445" i="34"/>
  <c r="CA461" i="34"/>
  <c r="CA472" i="34"/>
  <c r="CA454" i="34"/>
  <c r="CA430" i="34"/>
  <c r="CA440" i="34"/>
  <c r="CA427" i="34"/>
  <c r="CA452" i="34"/>
  <c r="CA458" i="34"/>
  <c r="CA453" i="34"/>
  <c r="CA432" i="34"/>
  <c r="CA442" i="34"/>
  <c r="CA448" i="34"/>
  <c r="CA459" i="34"/>
  <c r="CA464" i="34"/>
  <c r="CA460" i="34"/>
  <c r="CA456" i="34"/>
  <c r="CA446" i="34"/>
  <c r="CA428" i="34"/>
  <c r="CA455" i="34"/>
  <c r="CA450" i="34"/>
  <c r="CC426" i="34"/>
  <c r="CC427" i="34" s="1"/>
  <c r="CC428" i="34" s="1"/>
  <c r="CC429" i="34" s="1"/>
  <c r="CC430" i="34" s="1"/>
  <c r="CC431" i="34" s="1"/>
  <c r="CC432" i="34" s="1"/>
  <c r="CC433" i="34" s="1"/>
  <c r="CC434" i="34" s="1"/>
  <c r="CC435" i="34" s="1"/>
  <c r="CC436" i="34" s="1"/>
  <c r="CC437" i="34" s="1"/>
  <c r="CC438" i="34" s="1"/>
  <c r="CC439" i="34" s="1"/>
  <c r="CC440" i="34" s="1"/>
  <c r="CC441" i="34" s="1"/>
  <c r="CC442" i="34" s="1"/>
  <c r="CC443" i="34" s="1"/>
  <c r="CC444" i="34" s="1"/>
  <c r="CC445" i="34" s="1"/>
  <c r="CC446" i="34" s="1"/>
  <c r="CC447" i="34" s="1"/>
  <c r="CC448" i="34" s="1"/>
  <c r="CC449" i="34" s="1"/>
  <c r="CC450" i="34" s="1"/>
  <c r="CC451" i="34" s="1"/>
  <c r="CC452" i="34" s="1"/>
  <c r="CC453" i="34" s="1"/>
  <c r="CC454" i="34" s="1"/>
  <c r="CC455" i="34" s="1"/>
  <c r="CC456" i="34" s="1"/>
  <c r="CC457" i="34" s="1"/>
  <c r="CC458" i="34" s="1"/>
  <c r="CC459" i="34" s="1"/>
  <c r="CC460" i="34" s="1"/>
  <c r="CC461" i="34" s="1"/>
  <c r="CC462" i="34" s="1"/>
  <c r="CC463" i="34" s="1"/>
  <c r="CC464" i="34" s="1"/>
  <c r="CC465" i="34" s="1"/>
  <c r="CC466" i="34" s="1"/>
  <c r="CC467" i="34" s="1"/>
  <c r="CC468" i="34" s="1"/>
  <c r="CC469" i="34" s="1"/>
  <c r="CC470" i="34" s="1"/>
  <c r="CC471" i="34" s="1"/>
  <c r="CC472" i="34" s="1"/>
  <c r="EA174" i="2"/>
  <c r="EC174" i="2"/>
  <c r="CR241" i="34"/>
  <c r="CR244" i="34"/>
  <c r="CR253" i="34"/>
  <c r="CR258" i="34"/>
  <c r="CR282" i="34"/>
  <c r="CR257" i="34"/>
  <c r="CR280" i="34"/>
  <c r="CR269" i="34"/>
  <c r="CR264" i="34"/>
  <c r="CR283" i="34"/>
  <c r="CR274" i="34"/>
  <c r="CR260" i="34"/>
  <c r="CR262" i="34"/>
  <c r="CR252" i="34"/>
  <c r="CR239" i="34"/>
  <c r="CR271" i="34"/>
  <c r="CR272" i="34"/>
  <c r="CR261" i="34"/>
  <c r="CR250" i="34"/>
  <c r="CR246" i="34"/>
  <c r="CR277" i="34"/>
  <c r="CR254" i="34"/>
  <c r="CR265" i="34"/>
  <c r="CR281" i="34"/>
  <c r="CR240" i="34"/>
  <c r="CR248" i="34"/>
  <c r="CR268" i="34"/>
  <c r="CR278" i="34"/>
  <c r="CR279" i="34"/>
  <c r="CR256" i="34"/>
  <c r="CR276" i="34"/>
  <c r="CR243" i="34"/>
  <c r="CR245" i="34"/>
  <c r="CR273" i="34"/>
  <c r="CR255" i="34"/>
  <c r="CR242" i="34"/>
  <c r="CR238" i="34"/>
  <c r="CR247" i="34"/>
  <c r="CR266" i="34"/>
  <c r="CR267" i="34"/>
  <c r="CR263" i="34"/>
  <c r="CR270" i="34"/>
  <c r="CR275" i="34"/>
  <c r="CR237" i="34"/>
  <c r="CR251" i="34"/>
  <c r="CR259" i="34"/>
  <c r="CR249" i="34"/>
  <c r="CK255" i="34"/>
  <c r="CK263" i="34"/>
  <c r="CK270" i="34"/>
  <c r="CK277" i="34"/>
  <c r="CK276" i="34"/>
  <c r="CK253" i="34"/>
  <c r="CK239" i="34"/>
  <c r="EC238" i="34"/>
  <c r="CK259" i="34"/>
  <c r="CK248" i="34"/>
  <c r="CK250" i="34"/>
  <c r="CK242" i="34"/>
  <c r="CK266" i="34"/>
  <c r="CK238" i="34"/>
  <c r="CK282" i="34"/>
  <c r="CK245" i="34"/>
  <c r="CK241" i="34"/>
  <c r="CK273" i="34"/>
  <c r="CK252" i="34"/>
  <c r="CK251" i="34"/>
  <c r="CK244" i="34"/>
  <c r="CK281" i="34"/>
  <c r="CK280" i="34"/>
  <c r="CK257" i="34"/>
  <c r="CK240" i="34"/>
  <c r="CK256" i="34"/>
  <c r="CK262" i="34"/>
  <c r="CK243" i="34"/>
  <c r="CK275" i="34"/>
  <c r="CK268" i="34"/>
  <c r="CK247" i="34"/>
  <c r="CK272" i="34"/>
  <c r="CK278" i="34"/>
  <c r="CK279" i="34"/>
  <c r="CK246" i="34"/>
  <c r="CK271" i="34"/>
  <c r="CK269" i="34"/>
  <c r="CK267" i="34"/>
  <c r="CK258" i="34"/>
  <c r="CK249" i="34"/>
  <c r="CK264" i="34"/>
  <c r="CK261" i="34"/>
  <c r="CK265" i="34"/>
  <c r="CK283" i="34"/>
  <c r="CK260" i="34"/>
  <c r="CK274" i="34"/>
  <c r="CK254" i="34"/>
  <c r="CK237" i="34"/>
  <c r="EC302" i="34"/>
  <c r="CB210" i="34"/>
  <c r="CB187" i="34"/>
  <c r="CB209" i="34"/>
  <c r="CB207" i="34"/>
  <c r="CB208" i="34"/>
  <c r="CB198" i="34"/>
  <c r="CB175" i="34"/>
  <c r="CB201" i="34"/>
  <c r="CB212" i="34"/>
  <c r="CB193" i="34"/>
  <c r="CB182" i="34"/>
  <c r="CB180" i="34"/>
  <c r="CB220" i="34"/>
  <c r="CB216" i="34"/>
  <c r="CB213" i="34"/>
  <c r="CB186" i="34"/>
  <c r="CB185" i="34"/>
  <c r="CB197" i="34"/>
  <c r="CB206" i="34"/>
  <c r="CB188" i="34"/>
  <c r="CB183" i="34"/>
  <c r="CB184" i="34"/>
  <c r="CB200" i="34"/>
  <c r="CB211" i="34"/>
  <c r="CB218" i="34"/>
  <c r="CB177" i="34"/>
  <c r="CB192" i="34"/>
  <c r="CB196" i="34"/>
  <c r="CB215" i="34"/>
  <c r="CB204" i="34"/>
  <c r="CB181" i="34"/>
  <c r="CB178" i="34"/>
  <c r="CB190" i="34"/>
  <c r="CB199" i="34"/>
  <c r="CB174" i="34"/>
  <c r="CB191" i="34"/>
  <c r="CB194" i="34"/>
  <c r="CB203" i="34"/>
  <c r="CB219" i="34"/>
  <c r="CB214" i="34"/>
  <c r="CB176" i="34"/>
  <c r="CB205" i="34"/>
  <c r="CB202" i="34"/>
  <c r="CB217" i="34"/>
  <c r="CB189" i="34"/>
  <c r="CB195" i="34"/>
  <c r="CB179" i="34"/>
  <c r="CJ206" i="34"/>
  <c r="CJ189" i="34"/>
  <c r="CJ174" i="34"/>
  <c r="CJ180" i="34"/>
  <c r="CJ193" i="34"/>
  <c r="CJ208" i="34"/>
  <c r="CJ184" i="34"/>
  <c r="CJ179" i="34"/>
  <c r="CJ194" i="34"/>
  <c r="CJ175" i="34"/>
  <c r="CJ203" i="34"/>
  <c r="CJ217" i="34"/>
  <c r="CJ201" i="34"/>
  <c r="CJ183" i="34"/>
  <c r="CJ191" i="34"/>
  <c r="CJ186" i="34"/>
  <c r="CJ178" i="34"/>
  <c r="CJ187" i="34"/>
  <c r="CJ198" i="34"/>
  <c r="CJ211" i="34"/>
  <c r="CJ176" i="34"/>
  <c r="CJ204" i="34"/>
  <c r="CJ213" i="34"/>
  <c r="CJ182" i="34"/>
  <c r="CJ207" i="34"/>
  <c r="CJ196" i="34"/>
  <c r="EB175" i="34"/>
  <c r="CJ216" i="34"/>
  <c r="CJ212" i="34"/>
  <c r="CJ190" i="34"/>
  <c r="CJ220" i="34"/>
  <c r="CJ188" i="34"/>
  <c r="CJ200" i="34"/>
  <c r="CJ202" i="34"/>
  <c r="CJ218" i="34"/>
  <c r="CJ219" i="34"/>
  <c r="CJ199" i="34"/>
  <c r="CJ195" i="34"/>
  <c r="CJ210" i="34"/>
  <c r="CJ185" i="34"/>
  <c r="CJ209" i="34"/>
  <c r="CJ177" i="34"/>
  <c r="CJ197" i="34"/>
  <c r="CJ181" i="34"/>
  <c r="CJ205" i="34"/>
  <c r="CJ192" i="34"/>
  <c r="CJ214" i="34"/>
  <c r="CJ215" i="34"/>
  <c r="CL183" i="34"/>
  <c r="CL197" i="34"/>
  <c r="CL196" i="34"/>
  <c r="CL193" i="34"/>
  <c r="CL174" i="34"/>
  <c r="CL212" i="34"/>
  <c r="CL182" i="34"/>
  <c r="CL178" i="34"/>
  <c r="CL206" i="34"/>
  <c r="CL207" i="34"/>
  <c r="CL187" i="34"/>
  <c r="CL203" i="34"/>
  <c r="CL175" i="34"/>
  <c r="CL214" i="34"/>
  <c r="CL186" i="34"/>
  <c r="ED175" i="34"/>
  <c r="CL181" i="34"/>
  <c r="CL215" i="34"/>
  <c r="CL201" i="34"/>
  <c r="CL216" i="34"/>
  <c r="CL219" i="34"/>
  <c r="CL179" i="34"/>
  <c r="CL205" i="34"/>
  <c r="CL208" i="34"/>
  <c r="CL220" i="34"/>
  <c r="CL217" i="34"/>
  <c r="CL200" i="34"/>
  <c r="CL210" i="34"/>
  <c r="CL192" i="34"/>
  <c r="CL180" i="34"/>
  <c r="CL199" i="34"/>
  <c r="CL204" i="34"/>
  <c r="CL195" i="34"/>
  <c r="CL198" i="34"/>
  <c r="CL177" i="34"/>
  <c r="CL194" i="34"/>
  <c r="CL218" i="34"/>
  <c r="CL188" i="34"/>
  <c r="CL209" i="34"/>
  <c r="CL176" i="34"/>
  <c r="CL185" i="34"/>
  <c r="CL213" i="34"/>
  <c r="CL211" i="34"/>
  <c r="CL190" i="34"/>
  <c r="CL191" i="34"/>
  <c r="CL184" i="34"/>
  <c r="CL202" i="34"/>
  <c r="CL189" i="34"/>
  <c r="CR317" i="34"/>
  <c r="CR311" i="34"/>
  <c r="CR334" i="34"/>
  <c r="CR313" i="34"/>
  <c r="CR315" i="34"/>
  <c r="CR343" i="34"/>
  <c r="CR341" i="34"/>
  <c r="CR309" i="34"/>
  <c r="CR327" i="34"/>
  <c r="CR320" i="34"/>
  <c r="CR302" i="34"/>
  <c r="CR331" i="34"/>
  <c r="CR337" i="34"/>
  <c r="CR312" i="34"/>
  <c r="CR326" i="34"/>
  <c r="CR319" i="34"/>
  <c r="CR328" i="34"/>
  <c r="CR306" i="34"/>
  <c r="CR339" i="34"/>
  <c r="CR308" i="34"/>
  <c r="CR300" i="34"/>
  <c r="CR316" i="34"/>
  <c r="CR307" i="34"/>
  <c r="CR338" i="34"/>
  <c r="CR305" i="34"/>
  <c r="CR340" i="34"/>
  <c r="CR335" i="34"/>
  <c r="CR333" i="34"/>
  <c r="CR336" i="34"/>
  <c r="CR323" i="34"/>
  <c r="CR310" i="34"/>
  <c r="CR314" i="34"/>
  <c r="CR301" i="34"/>
  <c r="CR322" i="34"/>
  <c r="CR344" i="34"/>
  <c r="CR332" i="34"/>
  <c r="CR329" i="34"/>
  <c r="CR342" i="34"/>
  <c r="CR324" i="34"/>
  <c r="CR318" i="34"/>
  <c r="CR346" i="34"/>
  <c r="CR325" i="34"/>
  <c r="CR304" i="34"/>
  <c r="CR330" i="34"/>
  <c r="CR345" i="34"/>
  <c r="CR303" i="34"/>
  <c r="CR321" i="34"/>
  <c r="CL340" i="34"/>
  <c r="CL337" i="34"/>
  <c r="ED301" i="34"/>
  <c r="CL316" i="34"/>
  <c r="CL341" i="34"/>
  <c r="CL328" i="34"/>
  <c r="CL319" i="34"/>
  <c r="CL306" i="34"/>
  <c r="CL346" i="34"/>
  <c r="CL345" i="34"/>
  <c r="CL339" i="34"/>
  <c r="CL303" i="34"/>
  <c r="CL344" i="34"/>
  <c r="CL307" i="34"/>
  <c r="CL305" i="34"/>
  <c r="CL309" i="34"/>
  <c r="CL323" i="34"/>
  <c r="CL304" i="34"/>
  <c r="CL334" i="34"/>
  <c r="CL342" i="34"/>
  <c r="CL321" i="34"/>
  <c r="CL326" i="34"/>
  <c r="CL317" i="34"/>
  <c r="CL333" i="34"/>
  <c r="CL336" i="34"/>
  <c r="CL301" i="34"/>
  <c r="CL302" i="34"/>
  <c r="CL327" i="34"/>
  <c r="CL314" i="34"/>
  <c r="CL329" i="34"/>
  <c r="CL324" i="34"/>
  <c r="CL318" i="34"/>
  <c r="CL325" i="34"/>
  <c r="CL335" i="34"/>
  <c r="CL343" i="34"/>
  <c r="CL338" i="34"/>
  <c r="CL330" i="34"/>
  <c r="CL311" i="34"/>
  <c r="CL332" i="34"/>
  <c r="CL331" i="34"/>
  <c r="CL313" i="34"/>
  <c r="CL300" i="34"/>
  <c r="CL312" i="34"/>
  <c r="CL310" i="34"/>
  <c r="CL308" i="34"/>
  <c r="CL315" i="34"/>
  <c r="CL320" i="34"/>
  <c r="CL322" i="34"/>
  <c r="EA363" i="2"/>
  <c r="EB363" i="2"/>
  <c r="EA110" i="34"/>
  <c r="EC110" i="34"/>
  <c r="EB110" i="34"/>
  <c r="ED428" i="34"/>
  <c r="ED239" i="34"/>
  <c r="EC237" i="2"/>
  <c r="EC619" i="2"/>
  <c r="EA619" i="2"/>
  <c r="CL430" i="34"/>
  <c r="CL426" i="34"/>
  <c r="CL460" i="34"/>
  <c r="CL453" i="34"/>
  <c r="CL442" i="34"/>
  <c r="CL452" i="34"/>
  <c r="CL463" i="34"/>
  <c r="CL444" i="34"/>
  <c r="CL455" i="34"/>
  <c r="CL439" i="34"/>
  <c r="CL433" i="34"/>
  <c r="CL457" i="34"/>
  <c r="CL458" i="34"/>
  <c r="CL451" i="34"/>
  <c r="CL456" i="34"/>
  <c r="CL432" i="34"/>
  <c r="CL459" i="34"/>
  <c r="CL436" i="34"/>
  <c r="CL437" i="34"/>
  <c r="CL431" i="34"/>
  <c r="CL462" i="34"/>
  <c r="CL435" i="34"/>
  <c r="CL446" i="34"/>
  <c r="CL469" i="34"/>
  <c r="CL441" i="34"/>
  <c r="CL445" i="34"/>
  <c r="CL443" i="34"/>
  <c r="CL429" i="34"/>
  <c r="CL471" i="34"/>
  <c r="CL428" i="34"/>
  <c r="CL449" i="34"/>
  <c r="CL448" i="34"/>
  <c r="CL447" i="34"/>
  <c r="CL438" i="34"/>
  <c r="CL470" i="34"/>
  <c r="CL466" i="34"/>
  <c r="CL440" i="34"/>
  <c r="ED427" i="34"/>
  <c r="CL434" i="34"/>
  <c r="CL467" i="34"/>
  <c r="CL461" i="34"/>
  <c r="CL468" i="34"/>
  <c r="CL465" i="34"/>
  <c r="CL472" i="34"/>
  <c r="CL450" i="34"/>
  <c r="CL427" i="34"/>
  <c r="CL454" i="34"/>
  <c r="CL464" i="34"/>
  <c r="CS434" i="34"/>
  <c r="CS452" i="34"/>
  <c r="CS461" i="34"/>
  <c r="CS463" i="34"/>
  <c r="CS454" i="34"/>
  <c r="CS440" i="34"/>
  <c r="CS445" i="34"/>
  <c r="CT445" i="34" s="1"/>
  <c r="CS428" i="34"/>
  <c r="CT428" i="34" s="1"/>
  <c r="CS464" i="34"/>
  <c r="CS449" i="34"/>
  <c r="CS436" i="34"/>
  <c r="CT436" i="34" s="1"/>
  <c r="CS430" i="34"/>
  <c r="CS435" i="34"/>
  <c r="CS443" i="34"/>
  <c r="CS467" i="34"/>
  <c r="CS459" i="34"/>
  <c r="CS458" i="34"/>
  <c r="CS471" i="34"/>
  <c r="CS451" i="34"/>
  <c r="CT451" i="34" s="1"/>
  <c r="CS439" i="34"/>
  <c r="CS472" i="34"/>
  <c r="CS441" i="34"/>
  <c r="CS447" i="34"/>
  <c r="CS470" i="34"/>
  <c r="CT470" i="34" s="1"/>
  <c r="CS427" i="34"/>
  <c r="CS448" i="34"/>
  <c r="CS444" i="34"/>
  <c r="CS437" i="34"/>
  <c r="CS465" i="34"/>
  <c r="CS460" i="34"/>
  <c r="CT460" i="34" s="1"/>
  <c r="CS431" i="34"/>
  <c r="CS457" i="34"/>
  <c r="CS442" i="34"/>
  <c r="CS429" i="34"/>
  <c r="CT429" i="34" s="1"/>
  <c r="CS450" i="34"/>
  <c r="CS455" i="34"/>
  <c r="CS469" i="34"/>
  <c r="CT469" i="34" s="1"/>
  <c r="CS453" i="34"/>
  <c r="CS468" i="34"/>
  <c r="CS462" i="34"/>
  <c r="CS438" i="34"/>
  <c r="CS426" i="34"/>
  <c r="CS433" i="34"/>
  <c r="CS456" i="34"/>
  <c r="CS466" i="34"/>
  <c r="CS446" i="34"/>
  <c r="CS432" i="34"/>
  <c r="CB440" i="34"/>
  <c r="CB426" i="34"/>
  <c r="CB429" i="34"/>
  <c r="CB451" i="34"/>
  <c r="CB430" i="34"/>
  <c r="CB454" i="34"/>
  <c r="CB464" i="34"/>
  <c r="CB452" i="34"/>
  <c r="CB457" i="34"/>
  <c r="CB461" i="34"/>
  <c r="CB460" i="34"/>
  <c r="CB455" i="34"/>
  <c r="CB450" i="34"/>
  <c r="CB456" i="34"/>
  <c r="CB466" i="34"/>
  <c r="CB472" i="34"/>
  <c r="CB449" i="34"/>
  <c r="CB443" i="34"/>
  <c r="CB435" i="34"/>
  <c r="CB427" i="34"/>
  <c r="CB428" i="34"/>
  <c r="CB446" i="34"/>
  <c r="CB444" i="34"/>
  <c r="CB445" i="34"/>
  <c r="CB433" i="34"/>
  <c r="CB471" i="34"/>
  <c r="CB442" i="34"/>
  <c r="CB439" i="34"/>
  <c r="CB462" i="34"/>
  <c r="CB447" i="34"/>
  <c r="CB458" i="34"/>
  <c r="CB431" i="34"/>
  <c r="CB470" i="34"/>
  <c r="CB463" i="34"/>
  <c r="CB437" i="34"/>
  <c r="CB432" i="34"/>
  <c r="CB467" i="34"/>
  <c r="CB438" i="34"/>
  <c r="CB453" i="34"/>
  <c r="CB441" i="34"/>
  <c r="CB436" i="34"/>
  <c r="CB469" i="34"/>
  <c r="CB465" i="34"/>
  <c r="CB459" i="34"/>
  <c r="CB468" i="34"/>
  <c r="CB448" i="34"/>
  <c r="CB434" i="34"/>
  <c r="EB300" i="2"/>
  <c r="EC300" i="2"/>
  <c r="ED174" i="2"/>
  <c r="CA249" i="34"/>
  <c r="CA239" i="34"/>
  <c r="CA276" i="34"/>
  <c r="CA283" i="34"/>
  <c r="CA271" i="34"/>
  <c r="CA246" i="34"/>
  <c r="CA253" i="34"/>
  <c r="CA254" i="34"/>
  <c r="CA258" i="34"/>
  <c r="CA272" i="34"/>
  <c r="CA263" i="34"/>
  <c r="CA275" i="34"/>
  <c r="CA280" i="34"/>
  <c r="CA261" i="34"/>
  <c r="CA244" i="34"/>
  <c r="CA250" i="34"/>
  <c r="CA267" i="34"/>
  <c r="CA268" i="34"/>
  <c r="CA264" i="34"/>
  <c r="CA242" i="34"/>
  <c r="CA245" i="34"/>
  <c r="CA274" i="34"/>
  <c r="CA270" i="34"/>
  <c r="CA269" i="34"/>
  <c r="CA257" i="34"/>
  <c r="CA266" i="34"/>
  <c r="CA278" i="34"/>
  <c r="CA252" i="34"/>
  <c r="CA259" i="34"/>
  <c r="CA247" i="34"/>
  <c r="CA237" i="34"/>
  <c r="CA262" i="34"/>
  <c r="CA251" i="34"/>
  <c r="CA282" i="34"/>
  <c r="CA265" i="34"/>
  <c r="CA241" i="34"/>
  <c r="CA255" i="34"/>
  <c r="CA281" i="34"/>
  <c r="CA279" i="34"/>
  <c r="CA238" i="34"/>
  <c r="CA273" i="34"/>
  <c r="CA243" i="34"/>
  <c r="CA240" i="34"/>
  <c r="CA260" i="34"/>
  <c r="CA277" i="34"/>
  <c r="CA248" i="34"/>
  <c r="CA256" i="34"/>
  <c r="CC251" i="34"/>
  <c r="CC281" i="34"/>
  <c r="CC261" i="34"/>
  <c r="CC283" i="34"/>
  <c r="CC262" i="34"/>
  <c r="CC250" i="34"/>
  <c r="CC263" i="34"/>
  <c r="CC264" i="34"/>
  <c r="CC259" i="34"/>
  <c r="CC239" i="34"/>
  <c r="CC256" i="34"/>
  <c r="CC270" i="34"/>
  <c r="CC282" i="34"/>
  <c r="CC272" i="34"/>
  <c r="CC267" i="34"/>
  <c r="CC271" i="34"/>
  <c r="CC246" i="34"/>
  <c r="CC248" i="34"/>
  <c r="CC257" i="34"/>
  <c r="CC277" i="34"/>
  <c r="CC238" i="34"/>
  <c r="CC279" i="34"/>
  <c r="CC244" i="34"/>
  <c r="CC247" i="34"/>
  <c r="CC265" i="34"/>
  <c r="CC273" i="34"/>
  <c r="CC237" i="34"/>
  <c r="CC275" i="34"/>
  <c r="CC260" i="34"/>
  <c r="CC245" i="34"/>
  <c r="CC240" i="34"/>
  <c r="CC243" i="34"/>
  <c r="CC258" i="34"/>
  <c r="CC241" i="34"/>
  <c r="CC255" i="34"/>
  <c r="CC254" i="34"/>
  <c r="CC269" i="34"/>
  <c r="CC268" i="34"/>
  <c r="CC276" i="34"/>
  <c r="CC249" i="34"/>
  <c r="CC252" i="34"/>
  <c r="CC274" i="34"/>
  <c r="CC266" i="34"/>
  <c r="CC253" i="34"/>
  <c r="CC278" i="34"/>
  <c r="CC242" i="34"/>
  <c r="CC280" i="34"/>
  <c r="EB302" i="34"/>
  <c r="CK220" i="34"/>
  <c r="CK181" i="34"/>
  <c r="CK184" i="34"/>
  <c r="CK199" i="34"/>
  <c r="CK193" i="34"/>
  <c r="CK211" i="34"/>
  <c r="CK209" i="34"/>
  <c r="CK210" i="34"/>
  <c r="CK206" i="34"/>
  <c r="CK191" i="34"/>
  <c r="CK214" i="34"/>
  <c r="CK174" i="34"/>
  <c r="CK180" i="34"/>
  <c r="CK195" i="34"/>
  <c r="EC175" i="34"/>
  <c r="CK183" i="34"/>
  <c r="CK217" i="34"/>
  <c r="CK198" i="34"/>
  <c r="CK190" i="34"/>
  <c r="CK185" i="34"/>
  <c r="CK218" i="34"/>
  <c r="CK205" i="34"/>
  <c r="CK197" i="34"/>
  <c r="CK201" i="34"/>
  <c r="CK219" i="34"/>
  <c r="CK187" i="34"/>
  <c r="CK192" i="34"/>
  <c r="CK176" i="34"/>
  <c r="CK179" i="34"/>
  <c r="CK216" i="34"/>
  <c r="CK212" i="34"/>
  <c r="CK207" i="34"/>
  <c r="CK202" i="34"/>
  <c r="CK188" i="34"/>
  <c r="CK194" i="34"/>
  <c r="CK175" i="34"/>
  <c r="CK186" i="34"/>
  <c r="CK189" i="34"/>
  <c r="CK215" i="34"/>
  <c r="CK203" i="34"/>
  <c r="CK196" i="34"/>
  <c r="CK208" i="34"/>
  <c r="CK177" i="34"/>
  <c r="CK213" i="34"/>
  <c r="CK200" i="34"/>
  <c r="CK204" i="34"/>
  <c r="CK182" i="34"/>
  <c r="CK178" i="34"/>
  <c r="CR195" i="34"/>
  <c r="CR216" i="34"/>
  <c r="CR218" i="34"/>
  <c r="CR209" i="34"/>
  <c r="CR175" i="34"/>
  <c r="CR214" i="34"/>
  <c r="CR192" i="34"/>
  <c r="CR177" i="34"/>
  <c r="CR220" i="34"/>
  <c r="CR213" i="34"/>
  <c r="CR204" i="34"/>
  <c r="CR174" i="34"/>
  <c r="CR187" i="34"/>
  <c r="CR219" i="34"/>
  <c r="CR199" i="34"/>
  <c r="CR186" i="34"/>
  <c r="CR212" i="34"/>
  <c r="CR211" i="34"/>
  <c r="CR183" i="34"/>
  <c r="CR198" i="34"/>
  <c r="CR194" i="34"/>
  <c r="CR180" i="34"/>
  <c r="CR185" i="34"/>
  <c r="CR206" i="34"/>
  <c r="CR176" i="34"/>
  <c r="CR202" i="34"/>
  <c r="CR181" i="34"/>
  <c r="CR191" i="34"/>
  <c r="CR217" i="34"/>
  <c r="CR210" i="34"/>
  <c r="CR196" i="34"/>
  <c r="CR184" i="34"/>
  <c r="CR189" i="34"/>
  <c r="CR182" i="34"/>
  <c r="CR193" i="34"/>
  <c r="CR190" i="34"/>
  <c r="CR205" i="34"/>
  <c r="CR203" i="34"/>
  <c r="CR188" i="34"/>
  <c r="CR179" i="34"/>
  <c r="CR200" i="34"/>
  <c r="CR207" i="34"/>
  <c r="CR208" i="34"/>
  <c r="CR201" i="34"/>
  <c r="CR178" i="34"/>
  <c r="CR215" i="34"/>
  <c r="CR197" i="34"/>
  <c r="CS346" i="34"/>
  <c r="CS315" i="34"/>
  <c r="CS339" i="34"/>
  <c r="CS306" i="34"/>
  <c r="CS344" i="34"/>
  <c r="CS310" i="34"/>
  <c r="CS324" i="34"/>
  <c r="CS343" i="34"/>
  <c r="CS312" i="34"/>
  <c r="CS327" i="34"/>
  <c r="CS307" i="34"/>
  <c r="CS342" i="34"/>
  <c r="CS333" i="34"/>
  <c r="CS319" i="34"/>
  <c r="CS329" i="34"/>
  <c r="CS332" i="34"/>
  <c r="CS308" i="34"/>
  <c r="CS300" i="34"/>
  <c r="CS325" i="34"/>
  <c r="CS318" i="34"/>
  <c r="CS328" i="34"/>
  <c r="CS330" i="34"/>
  <c r="CS345" i="34"/>
  <c r="CS338" i="34"/>
  <c r="CS316" i="34"/>
  <c r="CS340" i="34"/>
  <c r="CS304" i="34"/>
  <c r="CS322" i="34"/>
  <c r="CS303" i="34"/>
  <c r="CS301" i="34"/>
  <c r="CS305" i="34"/>
  <c r="CS317" i="34"/>
  <c r="CS311" i="34"/>
  <c r="CS341" i="34"/>
  <c r="CS336" i="34"/>
  <c r="CS323" i="34"/>
  <c r="CS309" i="34"/>
  <c r="CS334" i="34"/>
  <c r="CS321" i="34"/>
  <c r="CS331" i="34"/>
  <c r="CS302" i="34"/>
  <c r="CS314" i="34"/>
  <c r="CS326" i="34"/>
  <c r="CS337" i="34"/>
  <c r="CS313" i="34"/>
  <c r="CS335" i="34"/>
  <c r="CS320" i="34"/>
  <c r="CC300" i="34"/>
  <c r="CC301" i="34" s="1"/>
  <c r="CC302" i="34" s="1"/>
  <c r="CC303" i="34" s="1"/>
  <c r="CC304" i="34" s="1"/>
  <c r="CC305" i="34" s="1"/>
  <c r="CC306" i="34" s="1"/>
  <c r="CC307" i="34" s="1"/>
  <c r="CC308" i="34" s="1"/>
  <c r="CC309" i="34" s="1"/>
  <c r="CC310" i="34" s="1"/>
  <c r="CC311" i="34" s="1"/>
  <c r="CC312" i="34" s="1"/>
  <c r="CC313" i="34" s="1"/>
  <c r="CC314" i="34" s="1"/>
  <c r="CC315" i="34" s="1"/>
  <c r="CC316" i="34" s="1"/>
  <c r="CC317" i="34" s="1"/>
  <c r="CC318" i="34" s="1"/>
  <c r="CC319" i="34" s="1"/>
  <c r="CC320" i="34" s="1"/>
  <c r="CC321" i="34" s="1"/>
  <c r="CC322" i="34" s="1"/>
  <c r="CC323" i="34" s="1"/>
  <c r="CC324" i="34" s="1"/>
  <c r="CC325" i="34" s="1"/>
  <c r="CC326" i="34" s="1"/>
  <c r="CC327" i="34" s="1"/>
  <c r="CC328" i="34" s="1"/>
  <c r="CC329" i="34" s="1"/>
  <c r="CC330" i="34" s="1"/>
  <c r="CC331" i="34" s="1"/>
  <c r="CC332" i="34" s="1"/>
  <c r="CC333" i="34" s="1"/>
  <c r="CC334" i="34" s="1"/>
  <c r="CC335" i="34" s="1"/>
  <c r="CC336" i="34" s="1"/>
  <c r="CC337" i="34" s="1"/>
  <c r="CC338" i="34" s="1"/>
  <c r="CC339" i="34" s="1"/>
  <c r="CC340" i="34" s="1"/>
  <c r="CC341" i="34" s="1"/>
  <c r="CC342" i="34" s="1"/>
  <c r="CC343" i="34" s="1"/>
  <c r="CC344" i="34" s="1"/>
  <c r="CC345" i="34" s="1"/>
  <c r="CC346" i="34" s="1"/>
  <c r="CB328" i="34"/>
  <c r="CB303" i="34"/>
  <c r="CB318" i="34"/>
  <c r="CB336" i="34"/>
  <c r="CB313" i="34"/>
  <c r="CB308" i="34"/>
  <c r="CB332" i="34"/>
  <c r="CB345" i="34"/>
  <c r="CB315" i="34"/>
  <c r="CB302" i="34"/>
  <c r="CB331" i="34"/>
  <c r="CB325" i="34"/>
  <c r="CB343" i="34"/>
  <c r="CB300" i="34"/>
  <c r="CB305" i="34"/>
  <c r="CB304" i="34"/>
  <c r="CB306" i="34"/>
  <c r="CB335" i="34"/>
  <c r="CB338" i="34"/>
  <c r="CB317" i="34"/>
  <c r="CB326" i="34"/>
  <c r="CB311" i="34"/>
  <c r="CB312" i="34"/>
  <c r="CB339" i="34"/>
  <c r="CB309" i="34"/>
  <c r="CB333" i="34"/>
  <c r="CB344" i="34"/>
  <c r="CB340" i="34"/>
  <c r="CB319" i="34"/>
  <c r="CB307" i="34"/>
  <c r="CB327" i="34"/>
  <c r="CB324" i="34"/>
  <c r="CB301" i="34"/>
  <c r="CB329" i="34"/>
  <c r="CB337" i="34"/>
  <c r="CB323" i="34"/>
  <c r="CB330" i="34"/>
  <c r="CB342" i="34"/>
  <c r="CB334" i="34"/>
  <c r="CB322" i="34"/>
  <c r="CB321" i="34"/>
  <c r="CB314" i="34"/>
  <c r="CB341" i="34"/>
  <c r="CB310" i="34"/>
  <c r="CB346" i="34"/>
  <c r="CB320" i="34"/>
  <c r="CB316" i="34"/>
  <c r="EC176" i="34"/>
  <c r="EB176" i="34"/>
  <c r="ED490" i="2"/>
  <c r="EC490" i="2"/>
  <c r="EC428" i="34"/>
  <c r="EB239" i="34"/>
  <c r="EC239" i="34"/>
  <c r="EA237" i="2"/>
  <c r="EB619" i="2"/>
  <c r="CI430" i="34"/>
  <c r="CI451" i="34"/>
  <c r="CI432" i="34"/>
  <c r="CI433" i="34"/>
  <c r="CI437" i="34"/>
  <c r="CI472" i="34"/>
  <c r="CI457" i="34"/>
  <c r="CI469" i="34"/>
  <c r="CI470" i="34"/>
  <c r="EA427" i="34"/>
  <c r="CI441" i="34"/>
  <c r="CI461" i="34"/>
  <c r="CI468" i="34"/>
  <c r="CI446" i="34"/>
  <c r="CI449" i="34"/>
  <c r="CI444" i="34"/>
  <c r="CI448" i="34"/>
  <c r="CI458" i="34"/>
  <c r="CI459" i="34"/>
  <c r="CI463" i="34"/>
  <c r="CI431" i="34"/>
  <c r="CI435" i="34"/>
  <c r="CI466" i="34"/>
  <c r="CI456" i="34"/>
  <c r="CI436" i="34"/>
  <c r="CI450" i="34"/>
  <c r="CI429" i="34"/>
  <c r="CI442" i="34"/>
  <c r="CI428" i="34"/>
  <c r="CI445" i="34"/>
  <c r="CI426" i="34"/>
  <c r="CI453" i="34"/>
  <c r="CI440" i="34"/>
  <c r="CI439" i="34"/>
  <c r="CI452" i="34"/>
  <c r="CI427" i="34"/>
  <c r="CI467" i="34"/>
  <c r="CI462" i="34"/>
  <c r="CI438" i="34"/>
  <c r="CI447" i="34"/>
  <c r="CI454" i="34"/>
  <c r="CI471" i="34"/>
  <c r="CI434" i="34"/>
  <c r="CI465" i="34"/>
  <c r="CI464" i="34"/>
  <c r="CI455" i="34"/>
  <c r="CI460" i="34"/>
  <c r="CI443" i="34"/>
  <c r="CK441" i="34"/>
  <c r="CK452" i="34"/>
  <c r="CK436" i="34"/>
  <c r="EC427" i="34"/>
  <c r="CK450" i="34"/>
  <c r="CK439" i="34"/>
  <c r="CK444" i="34"/>
  <c r="CK442" i="34"/>
  <c r="CK454" i="34"/>
  <c r="CK455" i="34"/>
  <c r="CK470" i="34"/>
  <c r="CK465" i="34"/>
  <c r="CK446" i="34"/>
  <c r="CK426" i="34"/>
  <c r="CK427" i="34"/>
  <c r="CK463" i="34"/>
  <c r="CK464" i="34"/>
  <c r="CK468" i="34"/>
  <c r="CK467" i="34"/>
  <c r="CK447" i="34"/>
  <c r="CK451" i="34"/>
  <c r="CK459" i="34"/>
  <c r="CK432" i="34"/>
  <c r="CK458" i="34"/>
  <c r="CK469" i="34"/>
  <c r="CK472" i="34"/>
  <c r="CK457" i="34"/>
  <c r="CK443" i="34"/>
  <c r="CK466" i="34"/>
  <c r="CK440" i="34"/>
  <c r="CK434" i="34"/>
  <c r="CK428" i="34"/>
  <c r="CK460" i="34"/>
  <c r="CK433" i="34"/>
  <c r="CK462" i="34"/>
  <c r="CK437" i="34"/>
  <c r="CK449" i="34"/>
  <c r="CK431" i="34"/>
  <c r="CK453" i="34"/>
  <c r="CK456" i="34"/>
  <c r="CK448" i="34"/>
  <c r="CK445" i="34"/>
  <c r="CK429" i="34"/>
  <c r="CK435" i="34"/>
  <c r="CK471" i="34"/>
  <c r="CK430" i="34"/>
  <c r="CK438" i="34"/>
  <c r="CK461" i="34"/>
  <c r="EA300" i="2"/>
  <c r="EB174" i="2"/>
  <c r="CS280" i="34"/>
  <c r="CS238" i="34"/>
  <c r="CS253" i="34"/>
  <c r="CS277" i="34"/>
  <c r="CT277" i="34" s="1"/>
  <c r="CS260" i="34"/>
  <c r="CS237" i="34"/>
  <c r="CS257" i="34"/>
  <c r="CS240" i="34"/>
  <c r="CT240" i="34" s="1"/>
  <c r="CS248" i="34"/>
  <c r="CT248" i="34" s="1"/>
  <c r="CS255" i="34"/>
  <c r="CT255" i="34" s="1"/>
  <c r="CS256" i="34"/>
  <c r="CS245" i="34"/>
  <c r="CT245" i="34" s="1"/>
  <c r="CS282" i="34"/>
  <c r="CS242" i="34"/>
  <c r="CS266" i="34"/>
  <c r="CS281" i="34"/>
  <c r="CS259" i="34"/>
  <c r="CS267" i="34"/>
  <c r="CS270" i="34"/>
  <c r="CS250" i="34"/>
  <c r="CS239" i="34"/>
  <c r="CS249" i="34"/>
  <c r="CS251" i="34"/>
  <c r="CS275" i="34"/>
  <c r="CS265" i="34"/>
  <c r="CS276" i="34"/>
  <c r="CS264" i="34"/>
  <c r="CS279" i="34"/>
  <c r="CT279" i="34" s="1"/>
  <c r="CS273" i="34"/>
  <c r="CS252" i="34"/>
  <c r="CS246" i="34"/>
  <c r="CT246" i="34" s="1"/>
  <c r="CS261" i="34"/>
  <c r="CS271" i="34"/>
  <c r="CS258" i="34"/>
  <c r="CS274" i="34"/>
  <c r="CS269" i="34"/>
  <c r="CS272" i="34"/>
  <c r="CS243" i="34"/>
  <c r="CS278" i="34"/>
  <c r="CT278" i="34" s="1"/>
  <c r="CS262" i="34"/>
  <c r="CT262" i="34" s="1"/>
  <c r="CS244" i="34"/>
  <c r="CS247" i="34"/>
  <c r="CS263" i="34"/>
  <c r="CS241" i="34"/>
  <c r="CS283" i="34"/>
  <c r="CS268" i="34"/>
  <c r="CS254" i="34"/>
  <c r="CI238" i="34"/>
  <c r="CI278" i="34"/>
  <c r="EA238" i="34"/>
  <c r="CI242" i="34"/>
  <c r="CI259" i="34"/>
  <c r="CI271" i="34"/>
  <c r="CI246" i="34"/>
  <c r="CI260" i="34"/>
  <c r="CI240" i="34"/>
  <c r="CI250" i="34"/>
  <c r="CI264" i="34"/>
  <c r="CI249" i="34"/>
  <c r="CI253" i="34"/>
  <c r="CI248" i="34"/>
  <c r="CI258" i="34"/>
  <c r="CI272" i="34"/>
  <c r="CI254" i="34"/>
  <c r="CI239" i="34"/>
  <c r="CI263" i="34"/>
  <c r="CI245" i="34"/>
  <c r="CI252" i="34"/>
  <c r="CI244" i="34"/>
  <c r="CI257" i="34"/>
  <c r="CI251" i="34"/>
  <c r="CI274" i="34"/>
  <c r="CI281" i="34"/>
  <c r="CI267" i="34"/>
  <c r="CI276" i="34"/>
  <c r="CI265" i="34"/>
  <c r="CI279" i="34"/>
  <c r="CI277" i="34"/>
  <c r="CI262" i="34"/>
  <c r="CI270" i="34"/>
  <c r="CI237" i="34"/>
  <c r="CI261" i="34"/>
  <c r="CI268" i="34"/>
  <c r="CI255" i="34"/>
  <c r="CI275" i="34"/>
  <c r="CI243" i="34"/>
  <c r="CI269" i="34"/>
  <c r="CI266" i="34"/>
  <c r="CI280" i="34"/>
  <c r="CI247" i="34"/>
  <c r="CI256" i="34"/>
  <c r="CI273" i="34"/>
  <c r="CI241" i="34"/>
  <c r="CI283" i="34"/>
  <c r="CI282" i="34"/>
  <c r="CJ258" i="34"/>
  <c r="CJ252" i="34"/>
  <c r="CJ269" i="34"/>
  <c r="CJ282" i="34"/>
  <c r="CJ256" i="34"/>
  <c r="CJ255" i="34"/>
  <c r="CJ272" i="34"/>
  <c r="CJ248" i="34"/>
  <c r="CJ263" i="34"/>
  <c r="CJ261" i="34"/>
  <c r="CJ264" i="34"/>
  <c r="CJ241" i="34"/>
  <c r="CJ249" i="34"/>
  <c r="CJ260" i="34"/>
  <c r="CJ257" i="34"/>
  <c r="CJ271" i="34"/>
  <c r="CJ276" i="34"/>
  <c r="CJ277" i="34"/>
  <c r="CJ253" i="34"/>
  <c r="CJ246" i="34"/>
  <c r="CJ270" i="34"/>
  <c r="CJ237" i="34"/>
  <c r="CJ244" i="34"/>
  <c r="CJ243" i="34"/>
  <c r="CJ265" i="34"/>
  <c r="CJ242" i="34"/>
  <c r="CJ239" i="34"/>
  <c r="CJ254" i="34"/>
  <c r="CJ278" i="34"/>
  <c r="CJ238" i="34"/>
  <c r="CJ281" i="34"/>
  <c r="CJ247" i="34"/>
  <c r="EB238" i="34"/>
  <c r="CJ267" i="34"/>
  <c r="CJ275" i="34"/>
  <c r="CJ251" i="34"/>
  <c r="CJ279" i="34"/>
  <c r="CJ283" i="34"/>
  <c r="CJ262" i="34"/>
  <c r="CJ240" i="34"/>
  <c r="CJ268" i="34"/>
  <c r="CJ266" i="34"/>
  <c r="CJ274" i="34"/>
  <c r="CJ280" i="34"/>
  <c r="CJ245" i="34"/>
  <c r="CJ259" i="34"/>
  <c r="CJ273" i="34"/>
  <c r="CJ250" i="34"/>
  <c r="ED302" i="34"/>
  <c r="EA302" i="34"/>
  <c r="CC174" i="34"/>
  <c r="CC175" i="34" s="1"/>
  <c r="CC176" i="34" s="1"/>
  <c r="CC177" i="34" s="1"/>
  <c r="CC178" i="34" s="1"/>
  <c r="CC179" i="34" s="1"/>
  <c r="CC180" i="34" s="1"/>
  <c r="CC181" i="34" s="1"/>
  <c r="CC182" i="34" s="1"/>
  <c r="CC183" i="34" s="1"/>
  <c r="CC184" i="34" s="1"/>
  <c r="CC185" i="34" s="1"/>
  <c r="CC186" i="34" s="1"/>
  <c r="CC187" i="34" s="1"/>
  <c r="CC188" i="34" s="1"/>
  <c r="CC189" i="34" s="1"/>
  <c r="CC190" i="34" s="1"/>
  <c r="CC191" i="34" s="1"/>
  <c r="CC192" i="34" s="1"/>
  <c r="CC193" i="34" s="1"/>
  <c r="CC194" i="34" s="1"/>
  <c r="CC195" i="34" s="1"/>
  <c r="CC196" i="34" s="1"/>
  <c r="CC197" i="34" s="1"/>
  <c r="CC198" i="34" s="1"/>
  <c r="CC199" i="34" s="1"/>
  <c r="CC200" i="34" s="1"/>
  <c r="CC201" i="34" s="1"/>
  <c r="CC202" i="34" s="1"/>
  <c r="CC203" i="34" s="1"/>
  <c r="CC204" i="34" s="1"/>
  <c r="CC205" i="34" s="1"/>
  <c r="CC206" i="34" s="1"/>
  <c r="CC207" i="34" s="1"/>
  <c r="CC208" i="34" s="1"/>
  <c r="CC209" i="34" s="1"/>
  <c r="CC210" i="34" s="1"/>
  <c r="CC211" i="34" s="1"/>
  <c r="CC212" i="34" s="1"/>
  <c r="CC213" i="34" s="1"/>
  <c r="CC214" i="34" s="1"/>
  <c r="CC215" i="34" s="1"/>
  <c r="CC216" i="34" s="1"/>
  <c r="CC217" i="34" s="1"/>
  <c r="CC218" i="34" s="1"/>
  <c r="CC219" i="34" s="1"/>
  <c r="CC220" i="34" s="1"/>
  <c r="CS202" i="34"/>
  <c r="CS195" i="34"/>
  <c r="CS206" i="34"/>
  <c r="CS192" i="34"/>
  <c r="CS199" i="34"/>
  <c r="CS194" i="34"/>
  <c r="CS184" i="34"/>
  <c r="CS205" i="34"/>
  <c r="CS210" i="34"/>
  <c r="CS215" i="34"/>
  <c r="CS175" i="34"/>
  <c r="CS191" i="34"/>
  <c r="CS219" i="34"/>
  <c r="CS220" i="34"/>
  <c r="CS212" i="34"/>
  <c r="CS190" i="34"/>
  <c r="CS174" i="34"/>
  <c r="CS218" i="34"/>
  <c r="CS178" i="34"/>
  <c r="CS211" i="34"/>
  <c r="CS201" i="34"/>
  <c r="CS216" i="34"/>
  <c r="CS208" i="34"/>
  <c r="CS200" i="34"/>
  <c r="CS213" i="34"/>
  <c r="CS209" i="34"/>
  <c r="CS193" i="34"/>
  <c r="CS189" i="34"/>
  <c r="CS181" i="34"/>
  <c r="CS186" i="34"/>
  <c r="CS180" i="34"/>
  <c r="CS198" i="34"/>
  <c r="CS214" i="34"/>
  <c r="CS187" i="34"/>
  <c r="CS204" i="34"/>
  <c r="CS179" i="34"/>
  <c r="CS207" i="34"/>
  <c r="CS185" i="34"/>
  <c r="CS176" i="34"/>
  <c r="CS182" i="34"/>
  <c r="CS188" i="34"/>
  <c r="CS217" i="34"/>
  <c r="CS177" i="34"/>
  <c r="CS196" i="34"/>
  <c r="CS203" i="34"/>
  <c r="CS183" i="34"/>
  <c r="CS197" i="34"/>
  <c r="CK310" i="34"/>
  <c r="CK341" i="34"/>
  <c r="CK324" i="34"/>
  <c r="CK301" i="34"/>
  <c r="CK308" i="34"/>
  <c r="CK309" i="34"/>
  <c r="CK343" i="34"/>
  <c r="CK335" i="34"/>
  <c r="CK332" i="34"/>
  <c r="CK322" i="34"/>
  <c r="CK304" i="34"/>
  <c r="CK323" i="34"/>
  <c r="CK342" i="34"/>
  <c r="CK320" i="34"/>
  <c r="CK340" i="34"/>
  <c r="CK330" i="34"/>
  <c r="CK328" i="34"/>
  <c r="CK318" i="34"/>
  <c r="CK316" i="34"/>
  <c r="CK319" i="34"/>
  <c r="CK311" i="34"/>
  <c r="CK345" i="34"/>
  <c r="CK306" i="34"/>
  <c r="CK300" i="34"/>
  <c r="CK317" i="34"/>
  <c r="CK337" i="34"/>
  <c r="CK315" i="34"/>
  <c r="CK336" i="34"/>
  <c r="CK314" i="34"/>
  <c r="CK313" i="34"/>
  <c r="CK339" i="34"/>
  <c r="CK344" i="34"/>
  <c r="CK312" i="34"/>
  <c r="CK327" i="34"/>
  <c r="CK346" i="34"/>
  <c r="CK329" i="34"/>
  <c r="CK338" i="34"/>
  <c r="CK305" i="34"/>
  <c r="CK333" i="34"/>
  <c r="EC301" i="34"/>
  <c r="CK334" i="34"/>
  <c r="CK307" i="34"/>
  <c r="CK331" i="34"/>
  <c r="CK302" i="34"/>
  <c r="CK321" i="34"/>
  <c r="CK326" i="34"/>
  <c r="CK325" i="34"/>
  <c r="CK303" i="34"/>
  <c r="CA324" i="34"/>
  <c r="CD324" i="34" s="1"/>
  <c r="CA315" i="34"/>
  <c r="CA318" i="34"/>
  <c r="CA311" i="34"/>
  <c r="CA300" i="34"/>
  <c r="CA321" i="34"/>
  <c r="CA309" i="34"/>
  <c r="CA333" i="34"/>
  <c r="CA323" i="34"/>
  <c r="CD323" i="34" s="1"/>
  <c r="CA305" i="34"/>
  <c r="CA304" i="34"/>
  <c r="CA310" i="34"/>
  <c r="CA312" i="34"/>
  <c r="CA331" i="34"/>
  <c r="CA345" i="34"/>
  <c r="CA329" i="34"/>
  <c r="CA341" i="34"/>
  <c r="CA342" i="34"/>
  <c r="CA325" i="34"/>
  <c r="CA313" i="34"/>
  <c r="CA301" i="34"/>
  <c r="CA337" i="34"/>
  <c r="CA332" i="34"/>
  <c r="CA320" i="34"/>
  <c r="CA344" i="34"/>
  <c r="CA343" i="34"/>
  <c r="CA346" i="34"/>
  <c r="CA307" i="34"/>
  <c r="CA314" i="34"/>
  <c r="CA334" i="34"/>
  <c r="CA327" i="34"/>
  <c r="CA308" i="34"/>
  <c r="CA338" i="34"/>
  <c r="CA328" i="34"/>
  <c r="CA336" i="34"/>
  <c r="CA306" i="34"/>
  <c r="CA316" i="34"/>
  <c r="CA339" i="34"/>
  <c r="CA322" i="34"/>
  <c r="CA330" i="34"/>
  <c r="CA317" i="34"/>
  <c r="CD317" i="34" s="1"/>
  <c r="CA319" i="34"/>
  <c r="CA302" i="34"/>
  <c r="CA335" i="34"/>
  <c r="CA303" i="34"/>
  <c r="CA340" i="34"/>
  <c r="CA326" i="34"/>
  <c r="ED176" i="34"/>
  <c r="ED363" i="2"/>
  <c r="EB490" i="2"/>
  <c r="EA428" i="34"/>
  <c r="EB237" i="2"/>
  <c r="ED237" i="2"/>
  <c r="AM178" i="8"/>
  <c r="AN178" i="8" s="1"/>
  <c r="AM178" i="3"/>
  <c r="AN178" i="3" s="1"/>
  <c r="V173" i="3"/>
  <c r="DM484" i="2"/>
  <c r="S175" i="6"/>
  <c r="T175" i="6" s="1"/>
  <c r="H66" i="36"/>
  <c r="AE175" i="39" s="1"/>
  <c r="AW175" i="39" s="1"/>
  <c r="BU527" i="34"/>
  <c r="BV527" i="34" s="1"/>
  <c r="BU519" i="34"/>
  <c r="BV519" i="34" s="1"/>
  <c r="BU534" i="34"/>
  <c r="BV534" i="34" s="1"/>
  <c r="BU523" i="34"/>
  <c r="BV523" i="34" s="1"/>
  <c r="BU515" i="34"/>
  <c r="BV515" i="34" s="1"/>
  <c r="BU524" i="34"/>
  <c r="BV524" i="34" s="1"/>
  <c r="BU530" i="34"/>
  <c r="BV530" i="34" s="1"/>
  <c r="BU520" i="34"/>
  <c r="BV520" i="34" s="1"/>
  <c r="BU528" i="34"/>
  <c r="BV528" i="34" s="1"/>
  <c r="BU525" i="34"/>
  <c r="BV525" i="34" s="1"/>
  <c r="BU535" i="34"/>
  <c r="BV535" i="34" s="1"/>
  <c r="BU510" i="34"/>
  <c r="BV510" i="34" s="1"/>
  <c r="BU511" i="34"/>
  <c r="BV511" i="34" s="1"/>
  <c r="BU508" i="34"/>
  <c r="BV508" i="34" s="1"/>
  <c r="BU497" i="34"/>
  <c r="BV497" i="34" s="1"/>
  <c r="BU499" i="34"/>
  <c r="BV499" i="34" s="1"/>
  <c r="BU501" i="34"/>
  <c r="BV501" i="34" s="1"/>
  <c r="BU500" i="34"/>
  <c r="BV500" i="34" s="1"/>
  <c r="BU507" i="34"/>
  <c r="BV507" i="34" s="1"/>
  <c r="BU522" i="34"/>
  <c r="BV522" i="34" s="1"/>
  <c r="BU513" i="34"/>
  <c r="BV513" i="34" s="1"/>
  <c r="BU517" i="34"/>
  <c r="BV517" i="34" s="1"/>
  <c r="BU526" i="34"/>
  <c r="BV526" i="34" s="1"/>
  <c r="BU491" i="34"/>
  <c r="BV491" i="34" s="1"/>
  <c r="BU495" i="34"/>
  <c r="BV495" i="34" s="1"/>
  <c r="BU536" i="34"/>
  <c r="BV536" i="34" s="1"/>
  <c r="BU503" i="34"/>
  <c r="BV503" i="34" s="1"/>
  <c r="BU521" i="34"/>
  <c r="BV521" i="34" s="1"/>
  <c r="BU505" i="34"/>
  <c r="BV505" i="34" s="1"/>
  <c r="BU502" i="34"/>
  <c r="BV502" i="34" s="1"/>
  <c r="BU509" i="34"/>
  <c r="BV509" i="34" s="1"/>
  <c r="BU498" i="34"/>
  <c r="BV498" i="34" s="1"/>
  <c r="BU529" i="34"/>
  <c r="BV529" i="34" s="1"/>
  <c r="BU494" i="34"/>
  <c r="BV494" i="34" s="1"/>
  <c r="BU516" i="34"/>
  <c r="BV516" i="34" s="1"/>
  <c r="BU533" i="34"/>
  <c r="BV533" i="34" s="1"/>
  <c r="BU496" i="34"/>
  <c r="BV496" i="34" s="1"/>
  <c r="BU493" i="34"/>
  <c r="BV493" i="34" s="1"/>
  <c r="BU490" i="34"/>
  <c r="BV490" i="34" s="1"/>
  <c r="BU532" i="34"/>
  <c r="BV532" i="34" s="1"/>
  <c r="BU492" i="34"/>
  <c r="BV492" i="34" s="1"/>
  <c r="BU506" i="34"/>
  <c r="BV506" i="34" s="1"/>
  <c r="BU512" i="34"/>
  <c r="BV512" i="34" s="1"/>
  <c r="BU531" i="34"/>
  <c r="BV531" i="34" s="1"/>
  <c r="BU514" i="34"/>
  <c r="BV514" i="34" s="1"/>
  <c r="BU504" i="34"/>
  <c r="BV504" i="34" s="1"/>
  <c r="BU518" i="34"/>
  <c r="BV518" i="34" s="1"/>
  <c r="DK73" i="34"/>
  <c r="DN73" i="34"/>
  <c r="DN58" i="34"/>
  <c r="DK58" i="34"/>
  <c r="DN94" i="34"/>
  <c r="DK94" i="34"/>
  <c r="DL230" i="2"/>
  <c r="DL231" i="2"/>
  <c r="DM230" i="2"/>
  <c r="DM231" i="2"/>
  <c r="AM177" i="6"/>
  <c r="AN177" i="6" s="1"/>
  <c r="AA120" i="6"/>
  <c r="AG120" i="6" s="1"/>
  <c r="D119" i="36"/>
  <c r="E119" i="36" s="1"/>
  <c r="S173" i="40" s="1"/>
  <c r="T173" i="40" s="1"/>
  <c r="C116" i="11"/>
  <c r="D116" i="11" s="1"/>
  <c r="E116" i="11" s="1"/>
  <c r="AM69" i="8"/>
  <c r="AE69" i="8"/>
  <c r="DJ483" i="2"/>
  <c r="DJ293" i="2"/>
  <c r="DI293" i="2"/>
  <c r="DI294" i="2"/>
  <c r="DJ294" i="2"/>
  <c r="DK75" i="34"/>
  <c r="DN75" i="34"/>
  <c r="DN74" i="34"/>
  <c r="DK74" i="34"/>
  <c r="DK60" i="34"/>
  <c r="DN60" i="34"/>
  <c r="H65" i="36"/>
  <c r="AE174" i="39" s="1"/>
  <c r="AW174" i="39" s="1"/>
  <c r="S174" i="6"/>
  <c r="T174" i="6" s="1"/>
  <c r="BU423" i="2"/>
  <c r="DJ103" i="2"/>
  <c r="DI103" i="2"/>
  <c r="DJ104" i="2"/>
  <c r="DI104" i="2"/>
  <c r="DM357" i="2"/>
  <c r="DL357" i="2"/>
  <c r="DM356" i="2"/>
  <c r="DN47" i="34"/>
  <c r="DK47" i="34"/>
  <c r="DK82" i="34"/>
  <c r="DN82" i="34"/>
  <c r="DK52" i="34"/>
  <c r="DN52" i="34"/>
  <c r="DN69" i="34"/>
  <c r="DK69" i="34"/>
  <c r="H61" i="36"/>
  <c r="AE170" i="39" s="1"/>
  <c r="AW170" i="39" s="1"/>
  <c r="S170" i="6"/>
  <c r="T170" i="6" s="1"/>
  <c r="CK25" i="31"/>
  <c r="CR24" i="31"/>
  <c r="CO24" i="31"/>
  <c r="O177" i="3"/>
  <c r="B13" i="43" s="1"/>
  <c r="Y120" i="3"/>
  <c r="AB120" i="3" s="1"/>
  <c r="AH120" i="3" s="1"/>
  <c r="BF17" i="8"/>
  <c r="AN17" i="8"/>
  <c r="BG17" i="8" s="1"/>
  <c r="AB70" i="8"/>
  <c r="BU434" i="2"/>
  <c r="BV434" i="2" s="1"/>
  <c r="BU445" i="2"/>
  <c r="BV445" i="2" s="1"/>
  <c r="BU430" i="2"/>
  <c r="BV430" i="2" s="1"/>
  <c r="BU453" i="2"/>
  <c r="BV453" i="2" s="1"/>
  <c r="BU441" i="2"/>
  <c r="BV441" i="2" s="1"/>
  <c r="BU457" i="2"/>
  <c r="BV457" i="2" s="1"/>
  <c r="BU468" i="2"/>
  <c r="BV468" i="2" s="1"/>
  <c r="BU454" i="2"/>
  <c r="BV454" i="2" s="1"/>
  <c r="BU433" i="2"/>
  <c r="BV433" i="2" s="1"/>
  <c r="BU448" i="2"/>
  <c r="BV448" i="2" s="1"/>
  <c r="BU463" i="2"/>
  <c r="BV463" i="2" s="1"/>
  <c r="BU426" i="2"/>
  <c r="BV426" i="2" s="1"/>
  <c r="BU436" i="2"/>
  <c r="BV436" i="2" s="1"/>
  <c r="BU447" i="2"/>
  <c r="BV447" i="2" s="1"/>
  <c r="BU428" i="2"/>
  <c r="BV428" i="2" s="1"/>
  <c r="BU462" i="2"/>
  <c r="BV462" i="2" s="1"/>
  <c r="BU443" i="2"/>
  <c r="BV443" i="2" s="1"/>
  <c r="BU459" i="2"/>
  <c r="BV459" i="2" s="1"/>
  <c r="BU470" i="2"/>
  <c r="BV470" i="2" s="1"/>
  <c r="BU461" i="2"/>
  <c r="BV461" i="2" s="1"/>
  <c r="BU440" i="2"/>
  <c r="BV440" i="2" s="1"/>
  <c r="BU456" i="2"/>
  <c r="BV456" i="2" s="1"/>
  <c r="BU465" i="2"/>
  <c r="BV465" i="2" s="1"/>
  <c r="BU429" i="2"/>
  <c r="BV429" i="2" s="1"/>
  <c r="BU439" i="2"/>
  <c r="BV439" i="2" s="1"/>
  <c r="BU450" i="2"/>
  <c r="BV450" i="2" s="1"/>
  <c r="BU438" i="2"/>
  <c r="BV438" i="2" s="1"/>
  <c r="BU471" i="2"/>
  <c r="BV471" i="2" s="1"/>
  <c r="BU449" i="2"/>
  <c r="BV449" i="2" s="1"/>
  <c r="BU464" i="2"/>
  <c r="BV464" i="2" s="1"/>
  <c r="BU435" i="2"/>
  <c r="BV435" i="2" s="1"/>
  <c r="BU472" i="2"/>
  <c r="BV472" i="2" s="1"/>
  <c r="BU444" i="2"/>
  <c r="BV444" i="2" s="1"/>
  <c r="BU458" i="2"/>
  <c r="BV458" i="2" s="1"/>
  <c r="BU467" i="2"/>
  <c r="BV467" i="2" s="1"/>
  <c r="BU431" i="2"/>
  <c r="BV431" i="2" s="1"/>
  <c r="BU442" i="2"/>
  <c r="BV442" i="2" s="1"/>
  <c r="BU452" i="2"/>
  <c r="BV452" i="2" s="1"/>
  <c r="BU451" i="2"/>
  <c r="BV451" i="2" s="1"/>
  <c r="BU432" i="2"/>
  <c r="BV432" i="2" s="1"/>
  <c r="BU455" i="2"/>
  <c r="BV455" i="2" s="1"/>
  <c r="BU466" i="2"/>
  <c r="BV466" i="2" s="1"/>
  <c r="BU437" i="2"/>
  <c r="BV437" i="2" s="1"/>
  <c r="BU427" i="2"/>
  <c r="BV427" i="2" s="1"/>
  <c r="BU446" i="2"/>
  <c r="BV446" i="2" s="1"/>
  <c r="BU460" i="2"/>
  <c r="BV460" i="2" s="1"/>
  <c r="BU469" i="2"/>
  <c r="BV469" i="2" s="1"/>
  <c r="Y120" i="8"/>
  <c r="AB120" i="8" s="1"/>
  <c r="AH120" i="8" s="1"/>
  <c r="O177" i="8"/>
  <c r="B123" i="43" s="1"/>
  <c r="DK48" i="34"/>
  <c r="DN48" i="34"/>
  <c r="DK63" i="34"/>
  <c r="DN63" i="34"/>
  <c r="DN46" i="34"/>
  <c r="DK46" i="34"/>
  <c r="DK645" i="2"/>
  <c r="DN645" i="2"/>
  <c r="DK624" i="2"/>
  <c r="DN624" i="2"/>
  <c r="DN640" i="2"/>
  <c r="DK640" i="2"/>
  <c r="DK631" i="2"/>
  <c r="DN631" i="2"/>
  <c r="DN652" i="2"/>
  <c r="DK652" i="2"/>
  <c r="DN634" i="2"/>
  <c r="DK634" i="2"/>
  <c r="DN616" i="2"/>
  <c r="DK616" i="2"/>
  <c r="DN663" i="2"/>
  <c r="DK663" i="2"/>
  <c r="DK657" i="2"/>
  <c r="DN657" i="2"/>
  <c r="DK629" i="2"/>
  <c r="DN629" i="2"/>
  <c r="DN659" i="2"/>
  <c r="DK659" i="2"/>
  <c r="DK622" i="2"/>
  <c r="DN622" i="2"/>
  <c r="DN646" i="2"/>
  <c r="DK646" i="2"/>
  <c r="DM419" i="2"/>
  <c r="DL420" i="2"/>
  <c r="DM420" i="2"/>
  <c r="DL419" i="2"/>
  <c r="BH40" i="31"/>
  <c r="BH33" i="31"/>
  <c r="BH42" i="31"/>
  <c r="BH25" i="31"/>
  <c r="BO26" i="31"/>
  <c r="BO23" i="31"/>
  <c r="AY25" i="31"/>
  <c r="BW25" i="31"/>
  <c r="BW26" i="31"/>
  <c r="J9" i="36"/>
  <c r="AE173" i="3"/>
  <c r="AW173" i="3" s="1"/>
  <c r="DM483" i="2"/>
  <c r="AM177" i="8"/>
  <c r="AN177" i="8" s="1"/>
  <c r="AA120" i="8"/>
  <c r="AG120" i="8" s="1"/>
  <c r="DK92" i="34"/>
  <c r="DN92" i="34"/>
  <c r="DK72" i="34"/>
  <c r="DN72" i="34"/>
  <c r="BC47" i="31"/>
  <c r="BB48" i="31"/>
  <c r="DJ230" i="2"/>
  <c r="DI231" i="2"/>
  <c r="DI230" i="2"/>
  <c r="DJ231" i="2"/>
  <c r="BU120" i="2"/>
  <c r="BV120" i="2" s="1"/>
  <c r="BU148" i="2"/>
  <c r="BV148" i="2" s="1"/>
  <c r="BU122" i="2"/>
  <c r="BV122" i="2" s="1"/>
  <c r="BU147" i="2"/>
  <c r="BV147" i="2" s="1"/>
  <c r="BU127" i="2"/>
  <c r="BV127" i="2" s="1"/>
  <c r="BU145" i="2"/>
  <c r="BV145" i="2" s="1"/>
  <c r="BU128" i="2"/>
  <c r="BV128" i="2" s="1"/>
  <c r="BU149" i="2"/>
  <c r="BV149" i="2" s="1"/>
  <c r="BU129" i="2"/>
  <c r="BV129" i="2" s="1"/>
  <c r="BU154" i="2"/>
  <c r="BV154" i="2" s="1"/>
  <c r="BU133" i="2"/>
  <c r="BV133" i="2" s="1"/>
  <c r="BU110" i="2"/>
  <c r="BV110" i="2" s="1"/>
  <c r="BU123" i="2"/>
  <c r="BV123" i="2" s="1"/>
  <c r="BU155" i="2"/>
  <c r="BV155" i="2" s="1"/>
  <c r="BU124" i="2"/>
  <c r="BV124" i="2" s="1"/>
  <c r="BU156" i="2"/>
  <c r="BV156" i="2" s="1"/>
  <c r="BU134" i="2"/>
  <c r="BV134" i="2" s="1"/>
  <c r="BU152" i="2"/>
  <c r="BV152" i="2" s="1"/>
  <c r="BU135" i="2"/>
  <c r="BV135" i="2" s="1"/>
  <c r="BU153" i="2"/>
  <c r="BV153" i="2" s="1"/>
  <c r="BU136" i="2"/>
  <c r="BV136" i="2" s="1"/>
  <c r="BU113" i="2"/>
  <c r="BV113" i="2" s="1"/>
  <c r="BU137" i="2"/>
  <c r="BV137" i="2" s="1"/>
  <c r="BU115" i="2"/>
  <c r="BV115" i="2" s="1"/>
  <c r="BU132" i="2"/>
  <c r="BV132" i="2" s="1"/>
  <c r="BU116" i="2"/>
  <c r="BV116" i="2" s="1"/>
  <c r="BU131" i="2"/>
  <c r="BV131" i="2" s="1"/>
  <c r="BU114" i="2"/>
  <c r="BV114" i="2" s="1"/>
  <c r="BU138" i="2"/>
  <c r="BV138" i="2" s="1"/>
  <c r="BU111" i="2"/>
  <c r="BV111" i="2" s="1"/>
  <c r="BU142" i="2"/>
  <c r="BV142" i="2" s="1"/>
  <c r="BU112" i="2"/>
  <c r="BV112" i="2" s="1"/>
  <c r="BU143" i="2"/>
  <c r="BV143" i="2" s="1"/>
  <c r="BU126" i="2"/>
  <c r="BV126" i="2" s="1"/>
  <c r="BU144" i="2"/>
  <c r="BV144" i="2" s="1"/>
  <c r="BU118" i="2"/>
  <c r="BV118" i="2" s="1"/>
  <c r="BU139" i="2"/>
  <c r="BV139" i="2" s="1"/>
  <c r="BU119" i="2"/>
  <c r="BV119" i="2" s="1"/>
  <c r="BU140" i="2"/>
  <c r="BV140" i="2" s="1"/>
  <c r="BU117" i="2"/>
  <c r="BV117" i="2" s="1"/>
  <c r="BU141" i="2"/>
  <c r="BV141" i="2" s="1"/>
  <c r="BU121" i="2"/>
  <c r="BV121" i="2" s="1"/>
  <c r="BU146" i="2"/>
  <c r="BV146" i="2" s="1"/>
  <c r="BU125" i="2"/>
  <c r="BV125" i="2" s="1"/>
  <c r="BU150" i="2"/>
  <c r="BV150" i="2" s="1"/>
  <c r="BU130" i="2"/>
  <c r="BV130" i="2" s="1"/>
  <c r="BU151" i="2"/>
  <c r="BV151" i="2" s="1"/>
  <c r="AM177" i="3"/>
  <c r="AN177" i="3" s="1"/>
  <c r="AA120" i="3"/>
  <c r="AG120" i="3" s="1"/>
  <c r="BU579" i="2"/>
  <c r="BV579" i="2" s="1"/>
  <c r="BU557" i="2"/>
  <c r="BV557" i="2" s="1"/>
  <c r="BU568" i="2"/>
  <c r="BV568" i="2" s="1"/>
  <c r="BU578" i="2"/>
  <c r="BV578" i="2" s="1"/>
  <c r="BU590" i="2"/>
  <c r="BV590" i="2" s="1"/>
  <c r="BU599" i="2"/>
  <c r="BV599" i="2" s="1"/>
  <c r="BU575" i="2"/>
  <c r="BV575" i="2" s="1"/>
  <c r="BU556" i="2"/>
  <c r="BV556" i="2" s="1"/>
  <c r="BU566" i="2"/>
  <c r="BV566" i="2" s="1"/>
  <c r="BU577" i="2"/>
  <c r="BV577" i="2" s="1"/>
  <c r="BU589" i="2"/>
  <c r="BV589" i="2" s="1"/>
  <c r="BU600" i="2"/>
  <c r="BV600" i="2" s="1"/>
  <c r="BU588" i="2"/>
  <c r="BV588" i="2" s="1"/>
  <c r="BU560" i="2"/>
  <c r="BV560" i="2" s="1"/>
  <c r="BU570" i="2"/>
  <c r="BV570" i="2" s="1"/>
  <c r="BU581" i="2"/>
  <c r="BV581" i="2" s="1"/>
  <c r="BU592" i="2"/>
  <c r="BV592" i="2" s="1"/>
  <c r="BU554" i="2"/>
  <c r="BV554" i="2" s="1"/>
  <c r="BU580" i="2"/>
  <c r="BV580" i="2" s="1"/>
  <c r="BU558" i="2"/>
  <c r="BV558" i="2" s="1"/>
  <c r="BU569" i="2"/>
  <c r="BV569" i="2" s="1"/>
  <c r="BU582" i="2"/>
  <c r="BV582" i="2" s="1"/>
  <c r="BU591" i="2"/>
  <c r="BV591" i="2" s="1"/>
  <c r="BU563" i="2"/>
  <c r="BV563" i="2" s="1"/>
  <c r="BU595" i="2"/>
  <c r="BV595" i="2" s="1"/>
  <c r="BU562" i="2"/>
  <c r="BV562" i="2" s="1"/>
  <c r="BU573" i="2"/>
  <c r="BV573" i="2" s="1"/>
  <c r="BU583" i="2"/>
  <c r="BV583" i="2" s="1"/>
  <c r="BU594" i="2"/>
  <c r="BV594" i="2" s="1"/>
  <c r="BU559" i="2"/>
  <c r="BV559" i="2" s="1"/>
  <c r="BU587" i="2"/>
  <c r="BV587" i="2" s="1"/>
  <c r="BU561" i="2"/>
  <c r="BV561" i="2" s="1"/>
  <c r="BU572" i="2"/>
  <c r="BV572" i="2" s="1"/>
  <c r="BU584" i="2"/>
  <c r="BV584" i="2" s="1"/>
  <c r="BU593" i="2"/>
  <c r="BV593" i="2" s="1"/>
  <c r="BU571" i="2"/>
  <c r="BV571" i="2" s="1"/>
  <c r="BU555" i="2"/>
  <c r="BV555" i="2" s="1"/>
  <c r="BU565" i="2"/>
  <c r="BV565" i="2" s="1"/>
  <c r="BU576" i="2"/>
  <c r="BV576" i="2" s="1"/>
  <c r="BU585" i="2"/>
  <c r="BV585" i="2" s="1"/>
  <c r="BU597" i="2"/>
  <c r="BV597" i="2" s="1"/>
  <c r="BU567" i="2"/>
  <c r="BV567" i="2" s="1"/>
  <c r="BU596" i="2"/>
  <c r="BV596" i="2" s="1"/>
  <c r="BU564" i="2"/>
  <c r="BV564" i="2" s="1"/>
  <c r="BU574" i="2"/>
  <c r="BV574" i="2" s="1"/>
  <c r="BU586" i="2"/>
  <c r="BV586" i="2" s="1"/>
  <c r="BU598" i="2"/>
  <c r="BV598" i="2" s="1"/>
  <c r="DI483" i="2"/>
  <c r="DL356" i="2"/>
  <c r="DN83" i="34"/>
  <c r="DK83" i="34"/>
  <c r="DK65" i="34"/>
  <c r="DN65" i="34"/>
  <c r="DN78" i="34"/>
  <c r="DK78" i="34"/>
  <c r="C65" i="11"/>
  <c r="D65" i="11" s="1"/>
  <c r="E65" i="11" s="1"/>
  <c r="AM69" i="6"/>
  <c r="AE69" i="6"/>
  <c r="DK68" i="34"/>
  <c r="DN68" i="34"/>
  <c r="DN59" i="34"/>
  <c r="DK59" i="34"/>
  <c r="DN50" i="34"/>
  <c r="DK50" i="34"/>
  <c r="AR31" i="31"/>
  <c r="AO31" i="31"/>
  <c r="AQ31" i="31" s="1"/>
  <c r="CL26" i="31" s="1"/>
  <c r="G27" i="31" s="1"/>
  <c r="BK30" i="31"/>
  <c r="BL29" i="31"/>
  <c r="AB18" i="6"/>
  <c r="M16" i="11"/>
  <c r="AB18" i="3"/>
  <c r="AB18" i="8"/>
  <c r="DN90" i="34"/>
  <c r="DK90" i="34"/>
  <c r="DK57" i="34"/>
  <c r="DN57" i="34"/>
  <c r="DK67" i="34"/>
  <c r="DN67" i="34"/>
  <c r="X121" i="6"/>
  <c r="AC178" i="6"/>
  <c r="AU178" i="6" s="1"/>
  <c r="H121" i="6"/>
  <c r="K121" i="6"/>
  <c r="L121" i="6" s="1"/>
  <c r="V121" i="6"/>
  <c r="DK635" i="2"/>
  <c r="DN635" i="2"/>
  <c r="DN648" i="2"/>
  <c r="DK648" i="2"/>
  <c r="DK653" i="2"/>
  <c r="DN653" i="2"/>
  <c r="DN660" i="2"/>
  <c r="DK660" i="2"/>
  <c r="DK642" i="2"/>
  <c r="DN642" i="2"/>
  <c r="DN639" i="2"/>
  <c r="DK639" i="2"/>
  <c r="DN620" i="2"/>
  <c r="DK620" i="2"/>
  <c r="DK621" i="2"/>
  <c r="DN621" i="2"/>
  <c r="DN654" i="2"/>
  <c r="DK654" i="2"/>
  <c r="DN625" i="2"/>
  <c r="DK625" i="2"/>
  <c r="DN632" i="2"/>
  <c r="DK632" i="2"/>
  <c r="DK615" i="2"/>
  <c r="DN615" i="2"/>
  <c r="DJ419" i="2"/>
  <c r="DJ420" i="2"/>
  <c r="DI419" i="2"/>
  <c r="DI420" i="2"/>
  <c r="BH29" i="31"/>
  <c r="BH41" i="31"/>
  <c r="BH32" i="31"/>
  <c r="BO27" i="31"/>
  <c r="BO24" i="31"/>
  <c r="AY24" i="31"/>
  <c r="BW24" i="31"/>
  <c r="BU649" i="34"/>
  <c r="BV649" i="34" s="1"/>
  <c r="BU658" i="34"/>
  <c r="BV658" i="34" s="1"/>
  <c r="BU624" i="34"/>
  <c r="BV624" i="34" s="1"/>
  <c r="BU655" i="34"/>
  <c r="BV655" i="34" s="1"/>
  <c r="BU627" i="34"/>
  <c r="BV627" i="34" s="1"/>
  <c r="BU630" i="34"/>
  <c r="BV630" i="34" s="1"/>
  <c r="BU620" i="34"/>
  <c r="BV620" i="34" s="1"/>
  <c r="BU641" i="34"/>
  <c r="BV641" i="34" s="1"/>
  <c r="BU640" i="34"/>
  <c r="BV640" i="34" s="1"/>
  <c r="BU665" i="34"/>
  <c r="BV665" i="34" s="1"/>
  <c r="BU635" i="34"/>
  <c r="BV635" i="34" s="1"/>
  <c r="BU639" i="34"/>
  <c r="BV639" i="34" s="1"/>
  <c r="BU642" i="34"/>
  <c r="BV642" i="34" s="1"/>
  <c r="BU659" i="34"/>
  <c r="BV659" i="34" s="1"/>
  <c r="BU644" i="34"/>
  <c r="BV644" i="34" s="1"/>
  <c r="BU631" i="34"/>
  <c r="BV631" i="34" s="1"/>
  <c r="BU653" i="34"/>
  <c r="BV653" i="34" s="1"/>
  <c r="BU629" i="34"/>
  <c r="BV629" i="34" s="1"/>
  <c r="BU646" i="34"/>
  <c r="BV646" i="34" s="1"/>
  <c r="BU663" i="34"/>
  <c r="BV663" i="34" s="1"/>
  <c r="BU637" i="34"/>
  <c r="BV637" i="34" s="1"/>
  <c r="BU650" i="34"/>
  <c r="BV650" i="34" s="1"/>
  <c r="BU628" i="34"/>
  <c r="BV628" i="34" s="1"/>
  <c r="BU634" i="34"/>
  <c r="BV634" i="34" s="1"/>
  <c r="BU632" i="34"/>
  <c r="BV632" i="34" s="1"/>
  <c r="BU645" i="34"/>
  <c r="BV645" i="34" s="1"/>
  <c r="BU648" i="34"/>
  <c r="BV648" i="34" s="1"/>
  <c r="BU633" i="34"/>
  <c r="BV633" i="34" s="1"/>
  <c r="BU647" i="34"/>
  <c r="BV647" i="34" s="1"/>
  <c r="BU621" i="34"/>
  <c r="BV621" i="34" s="1"/>
  <c r="BU623" i="34"/>
  <c r="BV623" i="34" s="1"/>
  <c r="BU654" i="34"/>
  <c r="BV654" i="34" s="1"/>
  <c r="BU656" i="34"/>
  <c r="BV656" i="34" s="1"/>
  <c r="BU622" i="34"/>
  <c r="BV622" i="34" s="1"/>
  <c r="BU638" i="34"/>
  <c r="BV638" i="34" s="1"/>
  <c r="BU626" i="34"/>
  <c r="BV626" i="34" s="1"/>
  <c r="BU651" i="34"/>
  <c r="BV651" i="34" s="1"/>
  <c r="BU636" i="34"/>
  <c r="BV636" i="34" s="1"/>
  <c r="BU652" i="34"/>
  <c r="BV652" i="34" s="1"/>
  <c r="BU625" i="34"/>
  <c r="BV625" i="34" s="1"/>
  <c r="BU657" i="34"/>
  <c r="BV657" i="34" s="1"/>
  <c r="BU619" i="34"/>
  <c r="BV619" i="34" s="1"/>
  <c r="BU660" i="34"/>
  <c r="BV660" i="34" s="1"/>
  <c r="BU664" i="34"/>
  <c r="BV664" i="34" s="1"/>
  <c r="BU661" i="34"/>
  <c r="BV661" i="34" s="1"/>
  <c r="BU643" i="34"/>
  <c r="BV643" i="34" s="1"/>
  <c r="BU662" i="34"/>
  <c r="BV662" i="34" s="1"/>
  <c r="DL484" i="2"/>
  <c r="BU380" i="34"/>
  <c r="BV380" i="34" s="1"/>
  <c r="BU400" i="34"/>
  <c r="BV400" i="34" s="1"/>
  <c r="BU375" i="34"/>
  <c r="BV375" i="34" s="1"/>
  <c r="BU371" i="34"/>
  <c r="BV371" i="34" s="1"/>
  <c r="BU373" i="34"/>
  <c r="BV373" i="34" s="1"/>
  <c r="BU393" i="34"/>
  <c r="BV393" i="34" s="1"/>
  <c r="BU383" i="34"/>
  <c r="BV383" i="34" s="1"/>
  <c r="BU404" i="34"/>
  <c r="BV404" i="34" s="1"/>
  <c r="BU365" i="34"/>
  <c r="BV365" i="34" s="1"/>
  <c r="BU403" i="34"/>
  <c r="BV403" i="34" s="1"/>
  <c r="BU392" i="34"/>
  <c r="BV392" i="34" s="1"/>
  <c r="BU370" i="34"/>
  <c r="BV370" i="34" s="1"/>
  <c r="BU395" i="34"/>
  <c r="BV395" i="34" s="1"/>
  <c r="BU377" i="34"/>
  <c r="BV377" i="34" s="1"/>
  <c r="BU378" i="34"/>
  <c r="BV378" i="34" s="1"/>
  <c r="BU372" i="34"/>
  <c r="BV372" i="34" s="1"/>
  <c r="BU389" i="34"/>
  <c r="BV389" i="34" s="1"/>
  <c r="BU401" i="34"/>
  <c r="BV401" i="34" s="1"/>
  <c r="BU409" i="34"/>
  <c r="BV409" i="34" s="1"/>
  <c r="BU385" i="34"/>
  <c r="BV385" i="34" s="1"/>
  <c r="BU379" i="34"/>
  <c r="BV379" i="34" s="1"/>
  <c r="BU368" i="34"/>
  <c r="BV368" i="34" s="1"/>
  <c r="BU407" i="34"/>
  <c r="BV407" i="34" s="1"/>
  <c r="BU381" i="34"/>
  <c r="BV381" i="34" s="1"/>
  <c r="BU406" i="34"/>
  <c r="BV406" i="34" s="1"/>
  <c r="BU369" i="34"/>
  <c r="BV369" i="34" s="1"/>
  <c r="BU402" i="34"/>
  <c r="BV402" i="34" s="1"/>
  <c r="BU388" i="34"/>
  <c r="BV388" i="34" s="1"/>
  <c r="BU386" i="34"/>
  <c r="BV386" i="34" s="1"/>
  <c r="BU366" i="34"/>
  <c r="BV366" i="34" s="1"/>
  <c r="BU384" i="34"/>
  <c r="BV384" i="34" s="1"/>
  <c r="BU374" i="34"/>
  <c r="BV374" i="34" s="1"/>
  <c r="BU399" i="34"/>
  <c r="BV399" i="34" s="1"/>
  <c r="BU382" i="34"/>
  <c r="BV382" i="34" s="1"/>
  <c r="BU408" i="34"/>
  <c r="BV408" i="34" s="1"/>
  <c r="BU394" i="34"/>
  <c r="BV394" i="34" s="1"/>
  <c r="BU367" i="34"/>
  <c r="BV367" i="34" s="1"/>
  <c r="BU405" i="34"/>
  <c r="BV405" i="34" s="1"/>
  <c r="BU398" i="34"/>
  <c r="BV398" i="34" s="1"/>
  <c r="BU387" i="34"/>
  <c r="BV387" i="34" s="1"/>
  <c r="BU363" i="34"/>
  <c r="BV363" i="34" s="1"/>
  <c r="BU396" i="34"/>
  <c r="BV396" i="34" s="1"/>
  <c r="BU390" i="34"/>
  <c r="BV390" i="34" s="1"/>
  <c r="BU376" i="34"/>
  <c r="BV376" i="34" s="1"/>
  <c r="BU364" i="34"/>
  <c r="BV364" i="34" s="1"/>
  <c r="BU397" i="34"/>
  <c r="BV397" i="34" s="1"/>
  <c r="BU391" i="34"/>
  <c r="BV391" i="34" s="1"/>
  <c r="DN85" i="34"/>
  <c r="DK85" i="34"/>
  <c r="DN93" i="34"/>
  <c r="DK93" i="34"/>
  <c r="DK70" i="34"/>
  <c r="DN70" i="34"/>
  <c r="BU67" i="34"/>
  <c r="BV67" i="34" s="1"/>
  <c r="BU77" i="34"/>
  <c r="BV77" i="34" s="1"/>
  <c r="BU57" i="34"/>
  <c r="BV57" i="34" s="1"/>
  <c r="BU85" i="34"/>
  <c r="BV85" i="34" s="1"/>
  <c r="BU53" i="34"/>
  <c r="BV53" i="34" s="1"/>
  <c r="BU60" i="34"/>
  <c r="BV60" i="34" s="1"/>
  <c r="BU90" i="34"/>
  <c r="BV90" i="34" s="1"/>
  <c r="BU64" i="34"/>
  <c r="BV64" i="34" s="1"/>
  <c r="BU58" i="34"/>
  <c r="BV58" i="34" s="1"/>
  <c r="BU93" i="34"/>
  <c r="BV93" i="34" s="1"/>
  <c r="BU78" i="34"/>
  <c r="BV78" i="34" s="1"/>
  <c r="BU73" i="34"/>
  <c r="BV73" i="34" s="1"/>
  <c r="BU55" i="34"/>
  <c r="BV55" i="34" s="1"/>
  <c r="BU86" i="34"/>
  <c r="BV86" i="34" s="1"/>
  <c r="BU94" i="34"/>
  <c r="BV94" i="34" s="1"/>
  <c r="BU56" i="34"/>
  <c r="BV56" i="34" s="1"/>
  <c r="BU52" i="34"/>
  <c r="BV52" i="34" s="1"/>
  <c r="BU76" i="34"/>
  <c r="BV76" i="34" s="1"/>
  <c r="BU71" i="34"/>
  <c r="BV71" i="34" s="1"/>
  <c r="BU72" i="34"/>
  <c r="BV72" i="34" s="1"/>
  <c r="BU89" i="34"/>
  <c r="BV89" i="34" s="1"/>
  <c r="BU88" i="34"/>
  <c r="BV88" i="34" s="1"/>
  <c r="BU82" i="34"/>
  <c r="BV82" i="34" s="1"/>
  <c r="BU83" i="34"/>
  <c r="BV83" i="34" s="1"/>
  <c r="BU92" i="34"/>
  <c r="BV92" i="34" s="1"/>
  <c r="BU95" i="34"/>
  <c r="BV95" i="34" s="1"/>
  <c r="BU69" i="34"/>
  <c r="BV69" i="34" s="1"/>
  <c r="BU80" i="34"/>
  <c r="BV80" i="34" s="1"/>
  <c r="BU91" i="34"/>
  <c r="BV91" i="34" s="1"/>
  <c r="BU65" i="34"/>
  <c r="BV65" i="34" s="1"/>
  <c r="BU96" i="34"/>
  <c r="BV96" i="34" s="1"/>
  <c r="BU81" i="34"/>
  <c r="BV81" i="34" s="1"/>
  <c r="BU87" i="34"/>
  <c r="BV87" i="34" s="1"/>
  <c r="BU63" i="34"/>
  <c r="BV63" i="34" s="1"/>
  <c r="BU79" i="34"/>
  <c r="BV79" i="34" s="1"/>
  <c r="BU54" i="34"/>
  <c r="BV54" i="34" s="1"/>
  <c r="BU84" i="34"/>
  <c r="BV84" i="34" s="1"/>
  <c r="BU50" i="34"/>
  <c r="BV50" i="34" s="1"/>
  <c r="BU62" i="34"/>
  <c r="BV62" i="34" s="1"/>
  <c r="BU70" i="34"/>
  <c r="BV70" i="34" s="1"/>
  <c r="BU59" i="34"/>
  <c r="BV59" i="34" s="1"/>
  <c r="BU68" i="34"/>
  <c r="BV68" i="34" s="1"/>
  <c r="BU61" i="34"/>
  <c r="BV61" i="34" s="1"/>
  <c r="BU66" i="34"/>
  <c r="BV66" i="34" s="1"/>
  <c r="BU75" i="34"/>
  <c r="BV75" i="34" s="1"/>
  <c r="BU51" i="34"/>
  <c r="BV51" i="34" s="1"/>
  <c r="BU74" i="34"/>
  <c r="BV74" i="34" s="1"/>
  <c r="BI46" i="31"/>
  <c r="BF46" i="31"/>
  <c r="BD46" i="31"/>
  <c r="BE46" i="31"/>
  <c r="BU203" i="34"/>
  <c r="BV203" i="34" s="1"/>
  <c r="BU204" i="34"/>
  <c r="BV204" i="34" s="1"/>
  <c r="BU187" i="34"/>
  <c r="BV187" i="34" s="1"/>
  <c r="BU199" i="34"/>
  <c r="BV199" i="34" s="1"/>
  <c r="BU177" i="34"/>
  <c r="BV177" i="34" s="1"/>
  <c r="BU189" i="34"/>
  <c r="BV189" i="34" s="1"/>
  <c r="BU195" i="34"/>
  <c r="BV195" i="34" s="1"/>
  <c r="BU174" i="34"/>
  <c r="BV174" i="34" s="1"/>
  <c r="BU193" i="34"/>
  <c r="BV193" i="34" s="1"/>
  <c r="BU191" i="34"/>
  <c r="BV191" i="34" s="1"/>
  <c r="BU176" i="34"/>
  <c r="BV176" i="34" s="1"/>
  <c r="BU197" i="34"/>
  <c r="BV197" i="34" s="1"/>
  <c r="BU178" i="34"/>
  <c r="BV178" i="34" s="1"/>
  <c r="BU183" i="34"/>
  <c r="BV183" i="34" s="1"/>
  <c r="BU180" i="34"/>
  <c r="BV180" i="34" s="1"/>
  <c r="BU201" i="34"/>
  <c r="BV201" i="34" s="1"/>
  <c r="BU214" i="34"/>
  <c r="BV214" i="34" s="1"/>
  <c r="BU182" i="34"/>
  <c r="BV182" i="34" s="1"/>
  <c r="BU179" i="34"/>
  <c r="BV179" i="34" s="1"/>
  <c r="BU210" i="34"/>
  <c r="BV210" i="34" s="1"/>
  <c r="BU217" i="34"/>
  <c r="BV217" i="34" s="1"/>
  <c r="BU181" i="34"/>
  <c r="BV181" i="34" s="1"/>
  <c r="BU206" i="34"/>
  <c r="BV206" i="34" s="1"/>
  <c r="BU218" i="34"/>
  <c r="BV218" i="34" s="1"/>
  <c r="BU220" i="34"/>
  <c r="BV220" i="34" s="1"/>
  <c r="BU198" i="34"/>
  <c r="BV198" i="34" s="1"/>
  <c r="BU202" i="34"/>
  <c r="BV202" i="34" s="1"/>
  <c r="BU208" i="34"/>
  <c r="BV208" i="34" s="1"/>
  <c r="BU213" i="34"/>
  <c r="BV213" i="34" s="1"/>
  <c r="BU219" i="34"/>
  <c r="BV219" i="34" s="1"/>
  <c r="BU190" i="34"/>
  <c r="BV190" i="34" s="1"/>
  <c r="BU209" i="34"/>
  <c r="BV209" i="34" s="1"/>
  <c r="BU175" i="34"/>
  <c r="BV175" i="34" s="1"/>
  <c r="BU194" i="34"/>
  <c r="BV194" i="34" s="1"/>
  <c r="BU205" i="34"/>
  <c r="BV205" i="34" s="1"/>
  <c r="BU184" i="34"/>
  <c r="BV184" i="34" s="1"/>
  <c r="BU188" i="34"/>
  <c r="BV188" i="34" s="1"/>
  <c r="BU192" i="34"/>
  <c r="BV192" i="34" s="1"/>
  <c r="BU185" i="34"/>
  <c r="BV185" i="34" s="1"/>
  <c r="BU186" i="34"/>
  <c r="BV186" i="34" s="1"/>
  <c r="BU196" i="34"/>
  <c r="BV196" i="34" s="1"/>
  <c r="BU215" i="34"/>
  <c r="BV215" i="34" s="1"/>
  <c r="BU216" i="34"/>
  <c r="BV216" i="34" s="1"/>
  <c r="BU200" i="34"/>
  <c r="BV200" i="34" s="1"/>
  <c r="BU211" i="34"/>
  <c r="BV211" i="34" s="1"/>
  <c r="BU212" i="34"/>
  <c r="BV212" i="34" s="1"/>
  <c r="BU207" i="34"/>
  <c r="BV207" i="34" s="1"/>
  <c r="BU618" i="2"/>
  <c r="DI484" i="2"/>
  <c r="DN77" i="34"/>
  <c r="DK77" i="34"/>
  <c r="DN71" i="34"/>
  <c r="DK71" i="34"/>
  <c r="DN91" i="34"/>
  <c r="DK91" i="34"/>
  <c r="AC178" i="8"/>
  <c r="AU178" i="8" s="1"/>
  <c r="H121" i="8"/>
  <c r="V121" i="8"/>
  <c r="K121" i="8"/>
  <c r="N121" i="8" s="1"/>
  <c r="DI548" i="2"/>
  <c r="DJ548" i="2"/>
  <c r="DI547" i="2"/>
  <c r="DJ547" i="2"/>
  <c r="AU30" i="31"/>
  <c r="AT31" i="31"/>
  <c r="DN89" i="34"/>
  <c r="DK89" i="34"/>
  <c r="DK55" i="34"/>
  <c r="DN55" i="34"/>
  <c r="DN79" i="34"/>
  <c r="DK79" i="34"/>
  <c r="AN32" i="31"/>
  <c r="AM33" i="31"/>
  <c r="H62" i="36"/>
  <c r="AE171" i="39" s="1"/>
  <c r="AW171" i="39" s="1"/>
  <c r="S171" i="6"/>
  <c r="T171" i="6" s="1"/>
  <c r="N120" i="6"/>
  <c r="M120" i="6"/>
  <c r="L120" i="6"/>
  <c r="AC120" i="3"/>
  <c r="Z120" i="3"/>
  <c r="AF120" i="3" s="1"/>
  <c r="AA177" i="3"/>
  <c r="AE22" i="9"/>
  <c r="BF17" i="3"/>
  <c r="AN17" i="3"/>
  <c r="BG17" i="3" s="1"/>
  <c r="AC17" i="3"/>
  <c r="AG17" i="3"/>
  <c r="AD17" i="3"/>
  <c r="AE17" i="3"/>
  <c r="AF17" i="3"/>
  <c r="AB70" i="3"/>
  <c r="DL483" i="34"/>
  <c r="DM484" i="34"/>
  <c r="DL484" i="34"/>
  <c r="DM483" i="34"/>
  <c r="DN64" i="34"/>
  <c r="DK64" i="34"/>
  <c r="DN88" i="34"/>
  <c r="DK88" i="34"/>
  <c r="DN80" i="34"/>
  <c r="DK80" i="34"/>
  <c r="DL167" i="2"/>
  <c r="DM168" i="2"/>
  <c r="DL168" i="2"/>
  <c r="DM167" i="2"/>
  <c r="DK623" i="2"/>
  <c r="DN623" i="2"/>
  <c r="DK661" i="2"/>
  <c r="DN661" i="2"/>
  <c r="DK658" i="2"/>
  <c r="DN658" i="2"/>
  <c r="DN650" i="2"/>
  <c r="DK650" i="2"/>
  <c r="DN647" i="2"/>
  <c r="DK647" i="2"/>
  <c r="DN619" i="2"/>
  <c r="DK619" i="2"/>
  <c r="DN641" i="2"/>
  <c r="DK641" i="2"/>
  <c r="DN662" i="2"/>
  <c r="DK662" i="2"/>
  <c r="DN636" i="2"/>
  <c r="DK636" i="2"/>
  <c r="DN656" i="2"/>
  <c r="DK656" i="2"/>
  <c r="DK628" i="2"/>
  <c r="DN628" i="2"/>
  <c r="DK643" i="2"/>
  <c r="DN643" i="2"/>
  <c r="BN28" i="31"/>
  <c r="BO28" i="31" s="1"/>
  <c r="BH44" i="31"/>
  <c r="BH34" i="31"/>
  <c r="BH24" i="31"/>
  <c r="BH43" i="31"/>
  <c r="BH26" i="31"/>
  <c r="AY26" i="31"/>
  <c r="AY23" i="31"/>
  <c r="C14" i="11"/>
  <c r="D14" i="11" s="1"/>
  <c r="E14" i="11" s="1"/>
  <c r="AM69" i="3"/>
  <c r="AE69" i="3"/>
  <c r="DK54" i="34"/>
  <c r="DN54" i="34"/>
  <c r="DN53" i="34"/>
  <c r="DK53" i="34"/>
  <c r="DK86" i="34"/>
  <c r="DN86" i="34"/>
  <c r="AN68" i="3"/>
  <c r="R121" i="3"/>
  <c r="H121" i="3"/>
  <c r="AC178" i="3"/>
  <c r="AU178" i="3" s="1"/>
  <c r="K121" i="3"/>
  <c r="V121" i="3"/>
  <c r="BU616" i="2"/>
  <c r="DL293" i="2"/>
  <c r="DM294" i="2"/>
  <c r="DL294" i="2"/>
  <c r="DM293" i="2"/>
  <c r="DK49" i="34"/>
  <c r="DN49" i="34"/>
  <c r="DN84" i="34"/>
  <c r="DK84" i="34"/>
  <c r="DK81" i="34"/>
  <c r="DN81" i="34"/>
  <c r="AN68" i="8"/>
  <c r="S121" i="8"/>
  <c r="DL548" i="2"/>
  <c r="DM547" i="2"/>
  <c r="DM548" i="2"/>
  <c r="DL547" i="2"/>
  <c r="AZ29" i="31"/>
  <c r="AW29" i="31"/>
  <c r="AV29" i="31"/>
  <c r="DL104" i="2"/>
  <c r="DM104" i="2"/>
  <c r="DM103" i="2"/>
  <c r="DL103" i="2"/>
  <c r="DJ356" i="2"/>
  <c r="DI356" i="2"/>
  <c r="DI357" i="2"/>
  <c r="DJ357" i="2"/>
  <c r="DK66" i="34"/>
  <c r="DN66" i="34"/>
  <c r="DK56" i="34"/>
  <c r="DN56" i="34"/>
  <c r="DN87" i="34"/>
  <c r="DK87" i="34"/>
  <c r="BS30" i="31"/>
  <c r="BT29" i="31"/>
  <c r="BV29" i="31" s="1"/>
  <c r="BW29" i="31" s="1"/>
  <c r="BU582" i="34"/>
  <c r="BV582" i="34" s="1"/>
  <c r="BU592" i="34"/>
  <c r="BV592" i="34" s="1"/>
  <c r="BU581" i="34"/>
  <c r="BV581" i="34" s="1"/>
  <c r="BU587" i="34"/>
  <c r="BV587" i="34" s="1"/>
  <c r="BU600" i="34"/>
  <c r="BV600" i="34" s="1"/>
  <c r="BU590" i="34"/>
  <c r="BV590" i="34" s="1"/>
  <c r="BU597" i="34"/>
  <c r="BV597" i="34" s="1"/>
  <c r="BU565" i="34"/>
  <c r="BV565" i="34" s="1"/>
  <c r="BU591" i="34"/>
  <c r="BV591" i="34" s="1"/>
  <c r="BU596" i="34"/>
  <c r="BV596" i="34" s="1"/>
  <c r="BU573" i="34"/>
  <c r="BV573" i="34" s="1"/>
  <c r="BU572" i="34"/>
  <c r="BV572" i="34" s="1"/>
  <c r="BU585" i="34"/>
  <c r="BV585" i="34" s="1"/>
  <c r="BU599" i="34"/>
  <c r="BV599" i="34" s="1"/>
  <c r="BU584" i="34"/>
  <c r="BV584" i="34" s="1"/>
  <c r="BU598" i="34"/>
  <c r="BV598" i="34" s="1"/>
  <c r="BU568" i="34"/>
  <c r="BV568" i="34" s="1"/>
  <c r="BU586" i="34"/>
  <c r="BV586" i="34" s="1"/>
  <c r="BU559" i="34"/>
  <c r="BV559" i="34" s="1"/>
  <c r="BU579" i="34"/>
  <c r="BV579" i="34" s="1"/>
  <c r="BU574" i="34"/>
  <c r="BV574" i="34" s="1"/>
  <c r="BU566" i="34"/>
  <c r="BV566" i="34" s="1"/>
  <c r="BU583" i="34"/>
  <c r="BV583" i="34" s="1"/>
  <c r="BU555" i="34"/>
  <c r="BV555" i="34" s="1"/>
  <c r="BU564" i="34"/>
  <c r="BV564" i="34" s="1"/>
  <c r="BU576" i="34"/>
  <c r="BV576" i="34" s="1"/>
  <c r="BU556" i="34"/>
  <c r="BV556" i="34" s="1"/>
  <c r="BU593" i="34"/>
  <c r="BV593" i="34" s="1"/>
  <c r="BU569" i="34"/>
  <c r="BV569" i="34" s="1"/>
  <c r="BU580" i="34"/>
  <c r="BV580" i="34" s="1"/>
  <c r="BU588" i="34"/>
  <c r="BV588" i="34" s="1"/>
  <c r="BU557" i="34"/>
  <c r="BV557" i="34" s="1"/>
  <c r="BU575" i="34"/>
  <c r="BV575" i="34" s="1"/>
  <c r="BU558" i="34"/>
  <c r="BV558" i="34" s="1"/>
  <c r="BU594" i="34"/>
  <c r="BV594" i="34" s="1"/>
  <c r="BU561" i="34"/>
  <c r="BV561" i="34" s="1"/>
  <c r="BU589" i="34"/>
  <c r="BV589" i="34" s="1"/>
  <c r="BU578" i="34"/>
  <c r="BV578" i="34" s="1"/>
  <c r="BU560" i="34"/>
  <c r="BV560" i="34" s="1"/>
  <c r="BU570" i="34"/>
  <c r="BV570" i="34" s="1"/>
  <c r="BU554" i="34"/>
  <c r="BV554" i="34" s="1"/>
  <c r="BU563" i="34"/>
  <c r="BV563" i="34" s="1"/>
  <c r="BU567" i="34"/>
  <c r="BV567" i="34" s="1"/>
  <c r="BU577" i="34"/>
  <c r="BV577" i="34" s="1"/>
  <c r="BU562" i="34"/>
  <c r="BV562" i="34" s="1"/>
  <c r="BU571" i="34"/>
  <c r="BV571" i="34" s="1"/>
  <c r="BU595" i="34"/>
  <c r="BV595" i="34" s="1"/>
  <c r="B116" i="36"/>
  <c r="D116" i="36" s="1"/>
  <c r="E116" i="36" s="1"/>
  <c r="S170" i="40" s="1"/>
  <c r="T170" i="40" s="1"/>
  <c r="R170" i="8"/>
  <c r="AA177" i="6"/>
  <c r="AC120" i="6"/>
  <c r="Z120" i="6"/>
  <c r="AF120" i="6" s="1"/>
  <c r="O177" i="6"/>
  <c r="B68" i="43" s="1"/>
  <c r="Y120" i="6"/>
  <c r="AB120" i="6" s="1"/>
  <c r="AH120" i="6" s="1"/>
  <c r="BF17" i="6"/>
  <c r="AN17" i="6"/>
  <c r="BG17" i="6" s="1"/>
  <c r="AB70" i="6"/>
  <c r="AC120" i="8"/>
  <c r="AA177" i="8"/>
  <c r="Z120" i="8"/>
  <c r="AF120" i="8" s="1"/>
  <c r="N120" i="8"/>
  <c r="DI483" i="34"/>
  <c r="DJ483" i="34"/>
  <c r="DI484" i="34"/>
  <c r="DJ484" i="34"/>
  <c r="DN51" i="34"/>
  <c r="DK51" i="34"/>
  <c r="DK62" i="34"/>
  <c r="DN62" i="34"/>
  <c r="DN61" i="34"/>
  <c r="DK61" i="34"/>
  <c r="R121" i="6"/>
  <c r="AN68" i="6"/>
  <c r="N121" i="6"/>
  <c r="B67" i="36"/>
  <c r="R176" i="6"/>
  <c r="DI168" i="2"/>
  <c r="DJ167" i="2"/>
  <c r="DJ168" i="2"/>
  <c r="DI167" i="2"/>
  <c r="DK637" i="2"/>
  <c r="DN637" i="2"/>
  <c r="DK618" i="2"/>
  <c r="DN618" i="2"/>
  <c r="DN630" i="2"/>
  <c r="DK630" i="2"/>
  <c r="DK655" i="2"/>
  <c r="DN655" i="2"/>
  <c r="DN627" i="2"/>
  <c r="DK627" i="2"/>
  <c r="DN626" i="2"/>
  <c r="DK626" i="2"/>
  <c r="DK633" i="2"/>
  <c r="DN633" i="2"/>
  <c r="DN644" i="2"/>
  <c r="DK644" i="2"/>
  <c r="DN649" i="2"/>
  <c r="DK649" i="2"/>
  <c r="DN638" i="2"/>
  <c r="DK638" i="2"/>
  <c r="DK651" i="2"/>
  <c r="DN651" i="2"/>
  <c r="DK617" i="2"/>
  <c r="DN617" i="2"/>
  <c r="BH27" i="31"/>
  <c r="BH35" i="31"/>
  <c r="BH28" i="31"/>
  <c r="BH37" i="31"/>
  <c r="BH31" i="31"/>
  <c r="BO25" i="31"/>
  <c r="AY27" i="31"/>
  <c r="BW23" i="31"/>
  <c r="BW27" i="31"/>
  <c r="BW28" i="31"/>
  <c r="BX28" i="31" s="1"/>
  <c r="H63" i="36"/>
  <c r="AE172" i="39" s="1"/>
  <c r="AW172" i="39" s="1"/>
  <c r="S172" i="6"/>
  <c r="T172" i="6" s="1"/>
  <c r="AE114" i="3"/>
  <c r="AE114" i="6"/>
  <c r="AE114" i="8"/>
  <c r="S175" i="8"/>
  <c r="T175" i="8" s="1"/>
  <c r="H121" i="36"/>
  <c r="AE175" i="40" s="1"/>
  <c r="AW175" i="40" s="1"/>
  <c r="D7" i="36"/>
  <c r="E7" i="36" s="1"/>
  <c r="S171" i="38" s="1"/>
  <c r="T171" i="38" s="1"/>
  <c r="D11" i="36"/>
  <c r="E11" i="36" s="1"/>
  <c r="S175" i="38" s="1"/>
  <c r="T175" i="38" s="1"/>
  <c r="S171" i="8"/>
  <c r="T171" i="8" s="1"/>
  <c r="H117" i="36"/>
  <c r="AE171" i="40" s="1"/>
  <c r="AW171" i="40" s="1"/>
  <c r="D8" i="36"/>
  <c r="E8" i="36" s="1"/>
  <c r="S172" i="38" s="1"/>
  <c r="T172" i="38" s="1"/>
  <c r="D12" i="36"/>
  <c r="E12" i="36" s="1"/>
  <c r="S176" i="38" s="1"/>
  <c r="T176" i="38" s="1"/>
  <c r="S173" i="6"/>
  <c r="T173" i="6" s="1"/>
  <c r="H64" i="36"/>
  <c r="AE173" i="39" s="1"/>
  <c r="AW173" i="39" s="1"/>
  <c r="S176" i="8"/>
  <c r="T176" i="8" s="1"/>
  <c r="H122" i="36"/>
  <c r="AE176" i="40" s="1"/>
  <c r="AW176" i="40" s="1"/>
  <c r="D118" i="36"/>
  <c r="E118" i="36" s="1"/>
  <c r="S172" i="40" s="1"/>
  <c r="T172" i="40" s="1"/>
  <c r="AE117" i="8"/>
  <c r="AE117" i="6"/>
  <c r="AE117" i="3"/>
  <c r="D10" i="36"/>
  <c r="E10" i="36" s="1"/>
  <c r="S174" i="38" s="1"/>
  <c r="T174" i="38" s="1"/>
  <c r="D6" i="36"/>
  <c r="E6" i="36" s="1"/>
  <c r="S170" i="38" s="1"/>
  <c r="T170" i="38" s="1"/>
  <c r="AZ176" i="6"/>
  <c r="AN119" i="6"/>
  <c r="AQ119" i="6" s="1"/>
  <c r="B64" i="15"/>
  <c r="C64" i="15" s="1"/>
  <c r="AM119" i="6"/>
  <c r="AP119" i="6" s="1"/>
  <c r="AO119" i="6"/>
  <c r="AR119" i="6" s="1"/>
  <c r="AL119" i="6"/>
  <c r="AO119" i="3"/>
  <c r="AR119" i="3" s="1"/>
  <c r="AL119" i="3"/>
  <c r="AM119" i="3"/>
  <c r="AP119" i="3" s="1"/>
  <c r="B14" i="15"/>
  <c r="C14" i="15" s="1"/>
  <c r="J14" i="15" s="1"/>
  <c r="AZ176" i="3"/>
  <c r="AN119" i="3"/>
  <c r="AQ119" i="3" s="1"/>
  <c r="CK361" i="34"/>
  <c r="CI109" i="34"/>
  <c r="CL616" i="34"/>
  <c r="CK618" i="34"/>
  <c r="CJ618" i="34"/>
  <c r="CC360" i="34"/>
  <c r="CC487" i="34"/>
  <c r="CB107" i="2"/>
  <c r="CB553" i="34"/>
  <c r="CS360" i="34"/>
  <c r="CR553" i="34"/>
  <c r="CR361" i="34"/>
  <c r="CJ47" i="34"/>
  <c r="CS618" i="34"/>
  <c r="CB47" i="34"/>
  <c r="CI361" i="34"/>
  <c r="CI423" i="2"/>
  <c r="CJ552" i="34"/>
  <c r="CR616" i="34"/>
  <c r="CR171" i="34"/>
  <c r="CJ360" i="34"/>
  <c r="CR618" i="34"/>
  <c r="CC107" i="2"/>
  <c r="CB171" i="34"/>
  <c r="CC423" i="2"/>
  <c r="CS362" i="34"/>
  <c r="CJ171" i="34"/>
  <c r="CB551" i="2"/>
  <c r="CR360" i="34"/>
  <c r="CB618" i="34"/>
  <c r="CJ617" i="34"/>
  <c r="CB617" i="34"/>
  <c r="CA171" i="34"/>
  <c r="CK423" i="2"/>
  <c r="CS423" i="2"/>
  <c r="CA109" i="34"/>
  <c r="CI360" i="34"/>
  <c r="CK616" i="34"/>
  <c r="CI551" i="2"/>
  <c r="CC47" i="34"/>
  <c r="CL423" i="2"/>
  <c r="CC551" i="2"/>
  <c r="CL553" i="34"/>
  <c r="CK109" i="34"/>
  <c r="CR362" i="34"/>
  <c r="CA362" i="34"/>
  <c r="CL617" i="34"/>
  <c r="CC553" i="34"/>
  <c r="CS616" i="34"/>
  <c r="CL551" i="2"/>
  <c r="CA616" i="34"/>
  <c r="CK171" i="34"/>
  <c r="CJ551" i="2"/>
  <c r="CL360" i="34"/>
  <c r="CI553" i="34"/>
  <c r="CR617" i="34"/>
  <c r="CC616" i="34"/>
  <c r="CL109" i="34"/>
  <c r="CI487" i="34"/>
  <c r="CS171" i="34"/>
  <c r="CR552" i="34"/>
  <c r="CS552" i="34"/>
  <c r="CR47" i="34"/>
  <c r="CA552" i="34"/>
  <c r="CR551" i="2"/>
  <c r="CS47" i="34"/>
  <c r="CA618" i="34"/>
  <c r="CR487" i="34"/>
  <c r="CB362" i="34"/>
  <c r="CS107" i="2"/>
  <c r="CS551" i="2"/>
  <c r="CK107" i="2"/>
  <c r="CC171" i="34"/>
  <c r="CL552" i="34"/>
  <c r="CA360" i="34"/>
  <c r="CS553" i="34"/>
  <c r="CL488" i="2"/>
  <c r="CR109" i="34"/>
  <c r="CJ616" i="34"/>
  <c r="CK108" i="34"/>
  <c r="CJ423" i="2"/>
  <c r="CA108" i="34"/>
  <c r="CA487" i="34"/>
  <c r="CB551" i="34"/>
  <c r="CC109" i="34"/>
  <c r="CC361" i="34"/>
  <c r="CS551" i="34"/>
  <c r="CK360" i="34"/>
  <c r="CC552" i="34"/>
  <c r="CL361" i="34"/>
  <c r="CK553" i="34"/>
  <c r="CB487" i="34"/>
  <c r="CB552" i="34"/>
  <c r="CI171" i="34"/>
  <c r="CR551" i="34"/>
  <c r="CL362" i="34"/>
  <c r="CL551" i="34"/>
  <c r="CK551" i="34"/>
  <c r="CA47" i="34"/>
  <c r="CK47" i="34"/>
  <c r="CL47" i="34"/>
  <c r="CL171" i="34"/>
  <c r="CJ109" i="34"/>
  <c r="CC108" i="34"/>
  <c r="CS487" i="34"/>
  <c r="CR107" i="2"/>
  <c r="CK551" i="2"/>
  <c r="CC618" i="34"/>
  <c r="CS108" i="34"/>
  <c r="CJ553" i="34"/>
  <c r="CI47" i="34"/>
  <c r="CB360" i="34"/>
  <c r="CS109" i="34"/>
  <c r="CA361" i="34"/>
  <c r="CB108" i="34"/>
  <c r="CB423" i="2"/>
  <c r="CA551" i="34"/>
  <c r="CK617" i="34"/>
  <c r="CL108" i="34"/>
  <c r="CI108" i="34"/>
  <c r="CJ361" i="34"/>
  <c r="CB109" i="34"/>
  <c r="CJ487" i="34"/>
  <c r="CB361" i="34"/>
  <c r="CA617" i="34"/>
  <c r="CI551" i="34"/>
  <c r="CS617" i="34"/>
  <c r="CJ362" i="34"/>
  <c r="CA423" i="2"/>
  <c r="CC551" i="34"/>
  <c r="CL618" i="34"/>
  <c r="CK487" i="34"/>
  <c r="CB616" i="34"/>
  <c r="CL107" i="2"/>
  <c r="CJ107" i="2"/>
  <c r="CS361" i="34"/>
  <c r="CA551" i="2"/>
  <c r="CK552" i="34"/>
  <c r="CJ108" i="34"/>
  <c r="CI617" i="34"/>
  <c r="CI552" i="34"/>
  <c r="CR108" i="34"/>
  <c r="CC617" i="34"/>
  <c r="CA107" i="2"/>
  <c r="CI107" i="2"/>
  <c r="CI618" i="34"/>
  <c r="CA553" i="34"/>
  <c r="CJ551" i="34"/>
  <c r="CC362" i="34"/>
  <c r="CI362" i="34"/>
  <c r="CL487" i="34"/>
  <c r="CI616" i="34"/>
  <c r="CR423" i="2"/>
  <c r="CK362" i="34"/>
  <c r="AK117" i="38" l="1"/>
  <c r="AO117" i="38" s="1"/>
  <c r="AR117" i="38" s="1"/>
  <c r="CT443" i="34"/>
  <c r="AK119" i="40"/>
  <c r="AN119" i="40" s="1"/>
  <c r="AQ119" i="40" s="1"/>
  <c r="AO174" i="8"/>
  <c r="AP174" i="8" s="1"/>
  <c r="E123" i="43"/>
  <c r="H123" i="43" s="1"/>
  <c r="J123" i="43" s="1"/>
  <c r="D123" i="43"/>
  <c r="AI120" i="8"/>
  <c r="T74" i="4" s="1"/>
  <c r="E68" i="43"/>
  <c r="H68" i="43" s="1"/>
  <c r="J68" i="43" s="1"/>
  <c r="D68" i="43"/>
  <c r="AI115" i="39"/>
  <c r="AO174" i="40"/>
  <c r="AP174" i="40" s="1"/>
  <c r="AI116" i="39"/>
  <c r="AE116" i="38"/>
  <c r="AE116" i="6"/>
  <c r="AE116" i="3"/>
  <c r="AE116" i="8"/>
  <c r="AE116" i="40"/>
  <c r="AE116" i="39"/>
  <c r="AY176" i="6"/>
  <c r="AI120" i="3"/>
  <c r="E74" i="4" s="1"/>
  <c r="D13" i="43"/>
  <c r="E13" i="43" s="1"/>
  <c r="H13" i="43" s="1"/>
  <c r="J13" i="43" s="1"/>
  <c r="K73" i="4"/>
  <c r="O73" i="4" s="1"/>
  <c r="AM114" i="39"/>
  <c r="AP114" i="39" s="1"/>
  <c r="AZ172" i="39"/>
  <c r="AO115" i="39"/>
  <c r="AR115" i="39" s="1"/>
  <c r="AL118" i="39"/>
  <c r="AL115" i="39"/>
  <c r="AN115" i="39"/>
  <c r="AQ115" i="39" s="1"/>
  <c r="AZ175" i="39"/>
  <c r="AO118" i="39"/>
  <c r="AR118" i="39" s="1"/>
  <c r="AM118" i="39"/>
  <c r="AP118" i="39" s="1"/>
  <c r="AI113" i="3"/>
  <c r="E67" i="4" s="1"/>
  <c r="G67" i="4" s="1"/>
  <c r="AE113" i="39" s="1"/>
  <c r="AI119" i="40"/>
  <c r="AK114" i="40"/>
  <c r="AM114" i="40" s="1"/>
  <c r="AP114" i="40" s="1"/>
  <c r="AK118" i="40"/>
  <c r="AN118" i="40" s="1"/>
  <c r="AQ118" i="40" s="1"/>
  <c r="AK119" i="8"/>
  <c r="R73" i="4"/>
  <c r="V73" i="4" s="1"/>
  <c r="AY176" i="8"/>
  <c r="AY176" i="38"/>
  <c r="AK119" i="38"/>
  <c r="AI115" i="40"/>
  <c r="AK117" i="39"/>
  <c r="AN117" i="39" s="1"/>
  <c r="AQ117" i="39" s="1"/>
  <c r="AL118" i="40"/>
  <c r="AY172" i="40"/>
  <c r="AK115" i="40"/>
  <c r="AY174" i="40"/>
  <c r="AK117" i="40"/>
  <c r="V173" i="40"/>
  <c r="AI114" i="40"/>
  <c r="AC120" i="40"/>
  <c r="AA177" i="40"/>
  <c r="AB120" i="40"/>
  <c r="Z120" i="40"/>
  <c r="X121" i="40"/>
  <c r="AC178" i="40"/>
  <c r="AU178" i="40" s="1"/>
  <c r="H121" i="40"/>
  <c r="V121" i="40"/>
  <c r="K121" i="40"/>
  <c r="M121" i="40" s="1"/>
  <c r="AO175" i="40"/>
  <c r="AP175" i="40" s="1"/>
  <c r="L120" i="40"/>
  <c r="N120" i="40"/>
  <c r="AO171" i="40"/>
  <c r="AP171" i="40" s="1"/>
  <c r="AG113" i="40"/>
  <c r="V172" i="40"/>
  <c r="V170" i="40"/>
  <c r="AA120" i="40"/>
  <c r="AG120" i="40" s="1"/>
  <c r="AM177" i="40"/>
  <c r="AN177" i="40" s="1"/>
  <c r="AM119" i="40"/>
  <c r="AP119" i="40" s="1"/>
  <c r="G122" i="8"/>
  <c r="X122" i="8" s="1"/>
  <c r="G122" i="40"/>
  <c r="AH113" i="40"/>
  <c r="AO176" i="40"/>
  <c r="AP176" i="40" s="1"/>
  <c r="AI118" i="40"/>
  <c r="G122" i="6"/>
  <c r="X122" i="6" s="1"/>
  <c r="AM179" i="6" s="1"/>
  <c r="AN179" i="6" s="1"/>
  <c r="G122" i="39"/>
  <c r="AI114" i="39"/>
  <c r="AK119" i="39"/>
  <c r="AO119" i="39" s="1"/>
  <c r="AR119" i="39" s="1"/>
  <c r="N120" i="39"/>
  <c r="L120" i="39"/>
  <c r="AO171" i="39"/>
  <c r="AP171" i="39" s="1"/>
  <c r="AN114" i="39"/>
  <c r="AQ114" i="39" s="1"/>
  <c r="AO170" i="39"/>
  <c r="AP170" i="39" s="1"/>
  <c r="AM177" i="39"/>
  <c r="AN177" i="39" s="1"/>
  <c r="AA120" i="39"/>
  <c r="AC178" i="39"/>
  <c r="AU178" i="39" s="1"/>
  <c r="H121" i="39"/>
  <c r="X121" i="39"/>
  <c r="V121" i="39"/>
  <c r="K121" i="39"/>
  <c r="AO174" i="39"/>
  <c r="AP174" i="39" s="1"/>
  <c r="AF119" i="39"/>
  <c r="M120" i="39"/>
  <c r="AI117" i="39"/>
  <c r="AO175" i="39"/>
  <c r="AP175" i="39" s="1"/>
  <c r="AH119" i="39"/>
  <c r="AZ171" i="39"/>
  <c r="AL114" i="39"/>
  <c r="AO172" i="39"/>
  <c r="AP172" i="39" s="1"/>
  <c r="AG119" i="39"/>
  <c r="AI113" i="39"/>
  <c r="AC120" i="39"/>
  <c r="AA177" i="39"/>
  <c r="AB120" i="39"/>
  <c r="Z120" i="39"/>
  <c r="AO173" i="39"/>
  <c r="AP173" i="39" s="1"/>
  <c r="AI114" i="38"/>
  <c r="AY172" i="8"/>
  <c r="AK115" i="8"/>
  <c r="R69" i="4"/>
  <c r="V69" i="4" s="1"/>
  <c r="I72" i="4"/>
  <c r="AY175" i="3"/>
  <c r="AK118" i="3"/>
  <c r="C72" i="4"/>
  <c r="AN117" i="38"/>
  <c r="AQ117" i="38" s="1"/>
  <c r="I69" i="4"/>
  <c r="C69" i="4"/>
  <c r="AY172" i="3"/>
  <c r="AK115" i="3"/>
  <c r="AY175" i="6"/>
  <c r="K72" i="4"/>
  <c r="O72" i="4" s="1"/>
  <c r="AK118" i="6"/>
  <c r="K69" i="4"/>
  <c r="O69" i="4" s="1"/>
  <c r="AK115" i="6"/>
  <c r="AY172" i="6"/>
  <c r="AY175" i="8"/>
  <c r="R72" i="4"/>
  <c r="V72" i="4" s="1"/>
  <c r="AK118" i="8"/>
  <c r="AY172" i="38"/>
  <c r="AK115" i="38"/>
  <c r="AY175" i="38"/>
  <c r="AK118" i="38"/>
  <c r="V176" i="38"/>
  <c r="V175" i="38"/>
  <c r="AZ171" i="38"/>
  <c r="AL114" i="38"/>
  <c r="AI117" i="38"/>
  <c r="AO114" i="38"/>
  <c r="AR114" i="38" s="1"/>
  <c r="AZ174" i="38"/>
  <c r="AL117" i="38"/>
  <c r="AM117" i="38"/>
  <c r="AP117" i="38" s="1"/>
  <c r="AI115" i="38"/>
  <c r="AG113" i="38"/>
  <c r="AI113" i="38" s="1"/>
  <c r="V172" i="38"/>
  <c r="V171" i="38"/>
  <c r="AI118" i="38"/>
  <c r="L120" i="38"/>
  <c r="N120" i="38"/>
  <c r="AN114" i="38"/>
  <c r="AQ114" i="38" s="1"/>
  <c r="V170" i="38"/>
  <c r="AA177" i="38"/>
  <c r="AC120" i="38"/>
  <c r="AB120" i="38"/>
  <c r="Z120" i="38"/>
  <c r="AI119" i="38"/>
  <c r="V174" i="38"/>
  <c r="G122" i="3"/>
  <c r="G122" i="38"/>
  <c r="AC178" i="38"/>
  <c r="AU178" i="38" s="1"/>
  <c r="X121" i="38"/>
  <c r="H121" i="38"/>
  <c r="V121" i="38"/>
  <c r="K121" i="38"/>
  <c r="M121" i="38" s="1"/>
  <c r="AA120" i="38"/>
  <c r="AM177" i="38"/>
  <c r="AN177" i="38" s="1"/>
  <c r="CD51" i="37"/>
  <c r="CD70" i="37"/>
  <c r="CD75" i="37"/>
  <c r="CD58" i="37"/>
  <c r="CD74" i="37"/>
  <c r="CT472" i="34"/>
  <c r="CT257" i="34"/>
  <c r="CT447" i="34"/>
  <c r="CD95" i="37"/>
  <c r="CD80" i="37"/>
  <c r="CD93" i="37"/>
  <c r="CD77" i="37"/>
  <c r="CD79" i="37"/>
  <c r="CT456" i="34"/>
  <c r="CT455" i="34"/>
  <c r="CT463" i="34"/>
  <c r="CD62" i="37"/>
  <c r="CT431" i="34"/>
  <c r="CT444" i="34"/>
  <c r="CT452" i="34"/>
  <c r="CD94" i="37"/>
  <c r="CD64" i="37"/>
  <c r="CD54" i="37"/>
  <c r="CD50" i="37"/>
  <c r="CD56" i="37"/>
  <c r="CD78" i="37"/>
  <c r="CD63" i="37"/>
  <c r="CD61" i="37"/>
  <c r="CT263" i="34"/>
  <c r="CD303" i="34"/>
  <c r="CD314" i="34"/>
  <c r="CD300" i="34"/>
  <c r="CT272" i="34"/>
  <c r="CD90" i="37"/>
  <c r="CD88" i="37"/>
  <c r="CD85" i="37"/>
  <c r="CD55" i="37"/>
  <c r="CD83" i="37"/>
  <c r="CD301" i="34"/>
  <c r="CT243" i="34"/>
  <c r="CT433" i="34"/>
  <c r="CD53" i="37"/>
  <c r="CD69" i="37"/>
  <c r="CT271" i="34"/>
  <c r="CT426" i="34"/>
  <c r="CT440" i="34"/>
  <c r="CD82" i="37"/>
  <c r="CD71" i="37"/>
  <c r="CT434" i="34"/>
  <c r="CD72" i="37"/>
  <c r="CD67" i="37"/>
  <c r="CM52" i="37"/>
  <c r="DW47" i="37" s="1"/>
  <c r="CM94" i="37"/>
  <c r="DW89" i="37" s="1"/>
  <c r="CM63" i="37"/>
  <c r="DW58" i="37" s="1"/>
  <c r="CM79" i="37"/>
  <c r="DW74" i="37" s="1"/>
  <c r="CM60" i="37"/>
  <c r="DW55" i="37" s="1"/>
  <c r="CM76" i="37"/>
  <c r="DW71" i="37" s="1"/>
  <c r="CM92" i="37"/>
  <c r="DW87" i="37" s="1"/>
  <c r="CM65" i="37"/>
  <c r="DW60" i="37" s="1"/>
  <c r="CM81" i="37"/>
  <c r="DW76" i="37" s="1"/>
  <c r="CM62" i="37"/>
  <c r="DW57" i="37" s="1"/>
  <c r="CM78" i="37"/>
  <c r="DW73" i="37" s="1"/>
  <c r="CM53" i="37"/>
  <c r="DW48" i="37" s="1"/>
  <c r="CM51" i="37"/>
  <c r="DW46" i="37" s="1"/>
  <c r="CM50" i="37"/>
  <c r="DW45" i="37" s="1"/>
  <c r="CM67" i="37"/>
  <c r="DW62" i="37" s="1"/>
  <c r="CM83" i="37"/>
  <c r="DW78" i="37" s="1"/>
  <c r="CM64" i="37"/>
  <c r="DW59" i="37" s="1"/>
  <c r="CM80" i="37"/>
  <c r="DW75" i="37" s="1"/>
  <c r="CM96" i="37"/>
  <c r="DW91" i="37" s="1"/>
  <c r="CM69" i="37"/>
  <c r="DW64" i="37" s="1"/>
  <c r="CM85" i="37"/>
  <c r="DW80" i="37" s="1"/>
  <c r="CM66" i="37"/>
  <c r="DW61" i="37" s="1"/>
  <c r="CM82" i="37"/>
  <c r="DW77" i="37" s="1"/>
  <c r="CM93" i="37"/>
  <c r="DW88" i="37" s="1"/>
  <c r="CM55" i="37"/>
  <c r="DW50" i="37" s="1"/>
  <c r="CM56" i="37"/>
  <c r="DW51" i="37" s="1"/>
  <c r="CM71" i="37"/>
  <c r="DW66" i="37" s="1"/>
  <c r="CM87" i="37"/>
  <c r="DW82" i="37" s="1"/>
  <c r="CM68" i="37"/>
  <c r="DW63" i="37" s="1"/>
  <c r="CM84" i="37"/>
  <c r="DW79" i="37" s="1"/>
  <c r="CM57" i="37"/>
  <c r="DW52" i="37" s="1"/>
  <c r="CM73" i="37"/>
  <c r="DW68" i="37" s="1"/>
  <c r="CM89" i="37"/>
  <c r="DW84" i="37" s="1"/>
  <c r="CM70" i="37"/>
  <c r="DW65" i="37" s="1"/>
  <c r="CM86" i="37"/>
  <c r="DW81" i="37" s="1"/>
  <c r="CM54" i="37"/>
  <c r="DW49" i="37" s="1"/>
  <c r="CM95" i="37"/>
  <c r="DW90" i="37" s="1"/>
  <c r="CM59" i="37"/>
  <c r="DW54" i="37" s="1"/>
  <c r="CM75" i="37"/>
  <c r="DW70" i="37" s="1"/>
  <c r="CM91" i="37"/>
  <c r="DW86" i="37" s="1"/>
  <c r="CM72" i="37"/>
  <c r="DW67" i="37" s="1"/>
  <c r="CM88" i="37"/>
  <c r="DW83" i="37" s="1"/>
  <c r="CM61" i="37"/>
  <c r="DW56" i="37" s="1"/>
  <c r="CM77" i="37"/>
  <c r="DW72" i="37" s="1"/>
  <c r="CM58" i="37"/>
  <c r="DW53" i="37" s="1"/>
  <c r="CM74" i="37"/>
  <c r="DW69" i="37" s="1"/>
  <c r="CM90" i="37"/>
  <c r="DW85" i="37" s="1"/>
  <c r="CD316" i="34"/>
  <c r="CD338" i="34"/>
  <c r="CD344" i="34"/>
  <c r="CD341" i="34"/>
  <c r="CD312" i="34"/>
  <c r="CT261" i="34"/>
  <c r="CD335" i="34"/>
  <c r="CD330" i="34"/>
  <c r="CD306" i="34"/>
  <c r="CD308" i="34"/>
  <c r="CD307" i="34"/>
  <c r="CD320" i="34"/>
  <c r="CD313" i="34"/>
  <c r="CD329" i="34"/>
  <c r="CD310" i="34"/>
  <c r="CD333" i="34"/>
  <c r="CD311" i="34"/>
  <c r="CD326" i="34"/>
  <c r="CD302" i="34"/>
  <c r="CD322" i="34"/>
  <c r="CD336" i="34"/>
  <c r="CD327" i="34"/>
  <c r="CD346" i="34"/>
  <c r="CD332" i="34"/>
  <c r="CD325" i="34"/>
  <c r="CD345" i="34"/>
  <c r="CD304" i="34"/>
  <c r="CD309" i="34"/>
  <c r="CD318" i="34"/>
  <c r="CT250" i="34"/>
  <c r="CD340" i="34"/>
  <c r="CD319" i="34"/>
  <c r="CD339" i="34"/>
  <c r="CD328" i="34"/>
  <c r="CD334" i="34"/>
  <c r="CD343" i="34"/>
  <c r="CD337" i="34"/>
  <c r="CD342" i="34"/>
  <c r="CD331" i="34"/>
  <c r="CD305" i="34"/>
  <c r="CD321" i="34"/>
  <c r="CD315" i="34"/>
  <c r="CT253" i="34"/>
  <c r="CT459" i="34"/>
  <c r="CM283" i="34"/>
  <c r="DW278" i="34" s="1"/>
  <c r="CM261" i="34"/>
  <c r="DW256" i="34" s="1"/>
  <c r="CM277" i="34"/>
  <c r="DW272" i="34" s="1"/>
  <c r="CM267" i="34"/>
  <c r="DW262" i="34" s="1"/>
  <c r="CM453" i="34"/>
  <c r="DW448" i="34" s="1"/>
  <c r="CM444" i="34"/>
  <c r="DW439" i="34" s="1"/>
  <c r="CD248" i="34"/>
  <c r="CD281" i="34"/>
  <c r="CD272" i="34"/>
  <c r="CD239" i="34"/>
  <c r="CD274" i="34"/>
  <c r="CM266" i="34"/>
  <c r="DW261" i="34" s="1"/>
  <c r="CM255" i="34"/>
  <c r="DW250" i="34" s="1"/>
  <c r="CM252" i="34"/>
  <c r="DW247" i="34" s="1"/>
  <c r="CM259" i="34"/>
  <c r="DW254" i="34" s="1"/>
  <c r="CM238" i="34"/>
  <c r="DW233" i="34" s="1"/>
  <c r="CM462" i="34"/>
  <c r="DW457" i="34" s="1"/>
  <c r="CD241" i="34"/>
  <c r="CD242" i="34"/>
  <c r="CD250" i="34"/>
  <c r="CM256" i="34"/>
  <c r="DW251" i="34" s="1"/>
  <c r="CM276" i="34"/>
  <c r="DW271" i="34" s="1"/>
  <c r="CM260" i="34"/>
  <c r="DW255" i="34" s="1"/>
  <c r="CM242" i="34"/>
  <c r="DW237" i="34" s="1"/>
  <c r="CM467" i="34"/>
  <c r="DW462" i="34" s="1"/>
  <c r="CM440" i="34"/>
  <c r="DW435" i="34" s="1"/>
  <c r="CM436" i="34"/>
  <c r="DW431" i="34" s="1"/>
  <c r="CM470" i="34"/>
  <c r="DW465" i="34" s="1"/>
  <c r="CD256" i="34"/>
  <c r="CD279" i="34"/>
  <c r="CD265" i="34"/>
  <c r="CL499" i="2"/>
  <c r="CL509" i="2"/>
  <c r="CL494" i="2"/>
  <c r="CL510" i="2"/>
  <c r="CL498" i="2"/>
  <c r="CL508" i="2"/>
  <c r="CL506" i="2"/>
  <c r="CL521" i="2"/>
  <c r="CL526" i="2"/>
  <c r="CL528" i="2"/>
  <c r="CL491" i="2"/>
  <c r="CL495" i="2"/>
  <c r="CL520" i="2"/>
  <c r="CL532" i="2"/>
  <c r="CL533" i="2"/>
  <c r="CL511" i="2"/>
  <c r="CL505" i="2"/>
  <c r="CL500" i="2"/>
  <c r="CL490" i="2"/>
  <c r="CL507" i="2"/>
  <c r="CL516" i="2"/>
  <c r="CL502" i="2"/>
  <c r="CL497" i="2"/>
  <c r="CL529" i="2"/>
  <c r="CL515" i="2"/>
  <c r="CL501" i="2"/>
  <c r="CL530" i="2"/>
  <c r="CL527" i="2"/>
  <c r="CL513" i="2"/>
  <c r="CL518" i="2"/>
  <c r="CL519" i="2"/>
  <c r="CL492" i="2"/>
  <c r="CL525" i="2"/>
  <c r="CL517" i="2"/>
  <c r="ED491" i="2"/>
  <c r="CL504" i="2"/>
  <c r="CL496" i="2"/>
  <c r="CL535" i="2"/>
  <c r="CL514" i="2"/>
  <c r="CL512" i="2"/>
  <c r="CL531" i="2"/>
  <c r="CL522" i="2"/>
  <c r="CL493" i="2"/>
  <c r="CL524" i="2"/>
  <c r="CL536" i="2"/>
  <c r="CL523" i="2"/>
  <c r="CL503" i="2"/>
  <c r="CL534" i="2"/>
  <c r="ED49" i="34"/>
  <c r="ED619" i="34"/>
  <c r="EC111" i="34"/>
  <c r="CK133" i="34"/>
  <c r="CK127" i="34"/>
  <c r="CK125" i="34"/>
  <c r="CK118" i="34"/>
  <c r="CK116" i="34"/>
  <c r="CK117" i="34"/>
  <c r="CK110" i="34"/>
  <c r="CK153" i="34"/>
  <c r="CK128" i="34"/>
  <c r="CK151" i="34"/>
  <c r="CK119" i="34"/>
  <c r="CK152" i="34"/>
  <c r="CK134" i="34"/>
  <c r="CK137" i="34"/>
  <c r="CK114" i="34"/>
  <c r="CK140" i="34"/>
  <c r="CK150" i="34"/>
  <c r="CK143" i="34"/>
  <c r="CK148" i="34"/>
  <c r="CK132" i="34"/>
  <c r="CK136" i="34"/>
  <c r="CK156" i="34"/>
  <c r="CK130" i="34"/>
  <c r="CK113" i="34"/>
  <c r="CK112" i="34"/>
  <c r="CK147" i="34"/>
  <c r="CK115" i="34"/>
  <c r="CK121" i="34"/>
  <c r="CK144" i="34"/>
  <c r="CK146" i="34"/>
  <c r="CK129" i="34"/>
  <c r="CK155" i="34"/>
  <c r="CK135" i="34"/>
  <c r="CK154" i="34"/>
  <c r="CK111" i="34"/>
  <c r="CK123" i="34"/>
  <c r="CK142" i="34"/>
  <c r="CK139" i="34"/>
  <c r="CK145" i="34"/>
  <c r="CK120" i="34"/>
  <c r="CK126" i="34"/>
  <c r="CK149" i="34"/>
  <c r="CK141" i="34"/>
  <c r="CK122" i="34"/>
  <c r="CK138" i="34"/>
  <c r="CK131" i="34"/>
  <c r="CK124" i="34"/>
  <c r="CC110" i="34"/>
  <c r="CC111" i="34" s="1"/>
  <c r="CC112" i="34" s="1"/>
  <c r="CC113" i="34" s="1"/>
  <c r="CC114" i="34" s="1"/>
  <c r="CC115" i="34" s="1"/>
  <c r="CC116" i="34" s="1"/>
  <c r="CC117" i="34" s="1"/>
  <c r="CC118" i="34" s="1"/>
  <c r="CC119" i="34" s="1"/>
  <c r="CC120" i="34" s="1"/>
  <c r="CC121" i="34" s="1"/>
  <c r="CC122" i="34" s="1"/>
  <c r="CC123" i="34" s="1"/>
  <c r="CC124" i="34" s="1"/>
  <c r="CC125" i="34" s="1"/>
  <c r="CC126" i="34" s="1"/>
  <c r="CC127" i="34" s="1"/>
  <c r="CC128" i="34" s="1"/>
  <c r="CC129" i="34" s="1"/>
  <c r="CC130" i="34" s="1"/>
  <c r="CC131" i="34" s="1"/>
  <c r="CC132" i="34" s="1"/>
  <c r="CC133" i="34" s="1"/>
  <c r="CC134" i="34" s="1"/>
  <c r="CC135" i="34" s="1"/>
  <c r="CC136" i="34" s="1"/>
  <c r="CC137" i="34" s="1"/>
  <c r="CC138" i="34" s="1"/>
  <c r="CC139" i="34" s="1"/>
  <c r="CC140" i="34" s="1"/>
  <c r="CC141" i="34" s="1"/>
  <c r="CC142" i="34" s="1"/>
  <c r="CC143" i="34" s="1"/>
  <c r="CC144" i="34" s="1"/>
  <c r="CC145" i="34" s="1"/>
  <c r="CC146" i="34" s="1"/>
  <c r="CC147" i="34" s="1"/>
  <c r="CC148" i="34" s="1"/>
  <c r="CC149" i="34" s="1"/>
  <c r="CC150" i="34" s="1"/>
  <c r="CC151" i="34" s="1"/>
  <c r="CC152" i="34" s="1"/>
  <c r="CC153" i="34" s="1"/>
  <c r="CC154" i="34" s="1"/>
  <c r="CC155" i="34" s="1"/>
  <c r="CC156" i="34" s="1"/>
  <c r="CI566" i="34"/>
  <c r="CI554" i="34"/>
  <c r="CI559" i="34"/>
  <c r="CI595" i="34"/>
  <c r="CI563" i="34"/>
  <c r="CI573" i="34"/>
  <c r="CI556" i="34"/>
  <c r="CI575" i="34"/>
  <c r="CI586" i="34"/>
  <c r="CI592" i="34"/>
  <c r="CI561" i="34"/>
  <c r="CI584" i="34"/>
  <c r="CI587" i="34"/>
  <c r="CI576" i="34"/>
  <c r="CI574" i="34"/>
  <c r="CI564" i="34"/>
  <c r="CI568" i="34"/>
  <c r="CI577" i="34"/>
  <c r="CI560" i="34"/>
  <c r="CI590" i="34"/>
  <c r="CI596" i="34"/>
  <c r="CI585" i="34"/>
  <c r="CI565" i="34"/>
  <c r="CI589" i="34"/>
  <c r="CI569" i="34"/>
  <c r="CI581" i="34"/>
  <c r="CI593" i="34"/>
  <c r="CI600" i="34"/>
  <c r="CI583" i="34"/>
  <c r="CI588" i="34"/>
  <c r="CI572" i="34"/>
  <c r="CI555" i="34"/>
  <c r="CI571" i="34"/>
  <c r="CI558" i="34"/>
  <c r="CI579" i="34"/>
  <c r="CI578" i="34"/>
  <c r="CI580" i="34"/>
  <c r="CI562" i="34"/>
  <c r="CI594" i="34"/>
  <c r="CI557" i="34"/>
  <c r="EA555" i="34"/>
  <c r="CI591" i="34"/>
  <c r="CI597" i="34"/>
  <c r="CI598" i="34"/>
  <c r="CI567" i="34"/>
  <c r="CI599" i="34"/>
  <c r="CI570" i="34"/>
  <c r="CI582" i="34"/>
  <c r="CL572" i="34"/>
  <c r="CL569" i="34"/>
  <c r="CL557" i="34"/>
  <c r="CL598" i="34"/>
  <c r="CL582" i="34"/>
  <c r="CL570" i="34"/>
  <c r="CL589" i="34"/>
  <c r="ED555" i="34"/>
  <c r="CL562" i="34"/>
  <c r="CL594" i="34"/>
  <c r="CL593" i="34"/>
  <c r="CL567" i="34"/>
  <c r="CL587" i="34"/>
  <c r="CL585" i="34"/>
  <c r="CL580" i="34"/>
  <c r="CL581" i="34"/>
  <c r="CL579" i="34"/>
  <c r="CL560" i="34"/>
  <c r="CL554" i="34"/>
  <c r="CL599" i="34"/>
  <c r="CL584" i="34"/>
  <c r="CL558" i="34"/>
  <c r="CL555" i="34"/>
  <c r="CL573" i="34"/>
  <c r="CL565" i="34"/>
  <c r="CL586" i="34"/>
  <c r="CL583" i="34"/>
  <c r="CL577" i="34"/>
  <c r="CL597" i="34"/>
  <c r="CL592" i="34"/>
  <c r="CL564" i="34"/>
  <c r="CL578" i="34"/>
  <c r="CL568" i="34"/>
  <c r="CL571" i="34"/>
  <c r="CL566" i="34"/>
  <c r="CL590" i="34"/>
  <c r="CL556" i="34"/>
  <c r="CL574" i="34"/>
  <c r="CL600" i="34"/>
  <c r="CL561" i="34"/>
  <c r="CL559" i="34"/>
  <c r="CL596" i="34"/>
  <c r="CL575" i="34"/>
  <c r="CL588" i="34"/>
  <c r="CL576" i="34"/>
  <c r="CL563" i="34"/>
  <c r="CL591" i="34"/>
  <c r="CL595" i="34"/>
  <c r="EB426" i="2"/>
  <c r="EC363" i="34"/>
  <c r="EC490" i="34"/>
  <c r="ED490" i="34"/>
  <c r="EC554" i="34"/>
  <c r="ED554" i="2"/>
  <c r="CL626" i="34"/>
  <c r="CL633" i="34"/>
  <c r="CL664" i="34"/>
  <c r="CL663" i="34"/>
  <c r="CL659" i="34"/>
  <c r="CL639" i="34"/>
  <c r="CL623" i="34"/>
  <c r="CL642" i="34"/>
  <c r="CL662" i="34"/>
  <c r="CL651" i="34"/>
  <c r="CL661" i="34"/>
  <c r="CL627" i="34"/>
  <c r="CL634" i="34"/>
  <c r="CL658" i="34"/>
  <c r="CL630" i="34"/>
  <c r="CL624" i="34"/>
  <c r="CL645" i="34"/>
  <c r="CL619" i="34"/>
  <c r="CL652" i="34"/>
  <c r="CL649" i="34"/>
  <c r="CL641" i="34"/>
  <c r="CL665" i="34"/>
  <c r="ED620" i="34"/>
  <c r="CL650" i="34"/>
  <c r="CL620" i="34"/>
  <c r="CL643" i="34"/>
  <c r="CL654" i="34"/>
  <c r="CL632" i="34"/>
  <c r="CL638" i="34"/>
  <c r="CL625" i="34"/>
  <c r="CL656" i="34"/>
  <c r="CL646" i="34"/>
  <c r="CL628" i="34"/>
  <c r="CL657" i="34"/>
  <c r="CL631" i="34"/>
  <c r="CL637" i="34"/>
  <c r="CL621" i="34"/>
  <c r="CL629" i="34"/>
  <c r="CL644" i="34"/>
  <c r="CL647" i="34"/>
  <c r="CL655" i="34"/>
  <c r="CL635" i="34"/>
  <c r="CL622" i="34"/>
  <c r="CL640" i="34"/>
  <c r="CL636" i="34"/>
  <c r="CL648" i="34"/>
  <c r="CL660" i="34"/>
  <c r="CL653" i="34"/>
  <c r="CR627" i="34"/>
  <c r="CR653" i="34"/>
  <c r="CR645" i="34"/>
  <c r="CR649" i="34"/>
  <c r="CR633" i="34"/>
  <c r="CR634" i="34"/>
  <c r="CR654" i="34"/>
  <c r="CR628" i="34"/>
  <c r="CR635" i="34"/>
  <c r="CR638" i="34"/>
  <c r="CR665" i="34"/>
  <c r="CR629" i="34"/>
  <c r="CR663" i="34"/>
  <c r="CR660" i="34"/>
  <c r="CR647" i="34"/>
  <c r="CR619" i="34"/>
  <c r="CR641" i="34"/>
  <c r="CR637" i="34"/>
  <c r="CR631" i="34"/>
  <c r="CR636" i="34"/>
  <c r="CR624" i="34"/>
  <c r="CR657" i="34"/>
  <c r="CR620" i="34"/>
  <c r="CR659" i="34"/>
  <c r="CR646" i="34"/>
  <c r="CR642" i="34"/>
  <c r="CR639" i="34"/>
  <c r="CR656" i="34"/>
  <c r="CR662" i="34"/>
  <c r="CR651" i="34"/>
  <c r="CR661" i="34"/>
  <c r="CR640" i="34"/>
  <c r="CR632" i="34"/>
  <c r="CR652" i="34"/>
  <c r="CR664" i="34"/>
  <c r="CR648" i="34"/>
  <c r="CR626" i="34"/>
  <c r="CR655" i="34"/>
  <c r="CR622" i="34"/>
  <c r="CR625" i="34"/>
  <c r="CR630" i="34"/>
  <c r="CR643" i="34"/>
  <c r="CR623" i="34"/>
  <c r="CR650" i="34"/>
  <c r="CR658" i="34"/>
  <c r="CR621" i="34"/>
  <c r="CR644" i="34"/>
  <c r="CC363" i="34"/>
  <c r="CC364" i="34" s="1"/>
  <c r="CC365" i="34" s="1"/>
  <c r="CC366" i="34" s="1"/>
  <c r="CC367" i="34" s="1"/>
  <c r="CC368" i="34" s="1"/>
  <c r="CC369" i="34" s="1"/>
  <c r="CC370" i="34" s="1"/>
  <c r="CC371" i="34" s="1"/>
  <c r="CC372" i="34" s="1"/>
  <c r="CC373" i="34" s="1"/>
  <c r="CC374" i="34" s="1"/>
  <c r="CC375" i="34" s="1"/>
  <c r="CC376" i="34" s="1"/>
  <c r="CC377" i="34" s="1"/>
  <c r="CC378" i="34" s="1"/>
  <c r="CC379" i="34" s="1"/>
  <c r="CC380" i="34" s="1"/>
  <c r="CC381" i="34" s="1"/>
  <c r="CC382" i="34" s="1"/>
  <c r="CC383" i="34" s="1"/>
  <c r="CC384" i="34" s="1"/>
  <c r="CC385" i="34" s="1"/>
  <c r="CC386" i="34" s="1"/>
  <c r="CC387" i="34" s="1"/>
  <c r="CC388" i="34" s="1"/>
  <c r="CC389" i="34" s="1"/>
  <c r="CC390" i="34" s="1"/>
  <c r="CC391" i="34" s="1"/>
  <c r="CC392" i="34" s="1"/>
  <c r="CC393" i="34" s="1"/>
  <c r="CC394" i="34" s="1"/>
  <c r="CC395" i="34" s="1"/>
  <c r="CC396" i="34" s="1"/>
  <c r="CC397" i="34" s="1"/>
  <c r="CC398" i="34" s="1"/>
  <c r="CC399" i="34" s="1"/>
  <c r="CC400" i="34" s="1"/>
  <c r="CC401" i="34" s="1"/>
  <c r="CC402" i="34" s="1"/>
  <c r="CC403" i="34" s="1"/>
  <c r="CC404" i="34" s="1"/>
  <c r="CC405" i="34" s="1"/>
  <c r="CC406" i="34" s="1"/>
  <c r="CC407" i="34" s="1"/>
  <c r="CC408" i="34" s="1"/>
  <c r="CC409" i="34" s="1"/>
  <c r="CK399" i="34"/>
  <c r="CK374" i="34"/>
  <c r="CK396" i="34"/>
  <c r="CK406" i="34"/>
  <c r="CK365" i="34"/>
  <c r="CK367" i="34"/>
  <c r="CK404" i="34"/>
  <c r="CK384" i="34"/>
  <c r="CK389" i="34"/>
  <c r="CK364" i="34"/>
  <c r="CK383" i="34"/>
  <c r="CK405" i="34"/>
  <c r="CK397" i="34"/>
  <c r="CK387" i="34"/>
  <c r="CK373" i="34"/>
  <c r="CK402" i="34"/>
  <c r="CK376" i="34"/>
  <c r="CK385" i="34"/>
  <c r="CK381" i="34"/>
  <c r="CK379" i="34"/>
  <c r="CK371" i="34"/>
  <c r="CK407" i="34"/>
  <c r="CK390" i="34"/>
  <c r="CK401" i="34"/>
  <c r="CK408" i="34"/>
  <c r="CK400" i="34"/>
  <c r="CK409" i="34"/>
  <c r="CK369" i="34"/>
  <c r="CK372" i="34"/>
  <c r="CK393" i="34"/>
  <c r="CK363" i="34"/>
  <c r="CK377" i="34"/>
  <c r="CK368" i="34"/>
  <c r="CK398" i="34"/>
  <c r="CK388" i="34"/>
  <c r="CK403" i="34"/>
  <c r="CK395" i="34"/>
  <c r="CK375" i="34"/>
  <c r="CK366" i="34"/>
  <c r="CK380" i="34"/>
  <c r="CK382" i="34"/>
  <c r="CK386" i="34"/>
  <c r="CK392" i="34"/>
  <c r="CK378" i="34"/>
  <c r="CK370" i="34"/>
  <c r="EC364" i="34"/>
  <c r="CK394" i="34"/>
  <c r="CK391" i="34"/>
  <c r="EA556" i="34"/>
  <c r="EC110" i="2"/>
  <c r="ED621" i="34"/>
  <c r="ED365" i="34"/>
  <c r="EB365" i="34"/>
  <c r="EB49" i="34"/>
  <c r="EA49" i="34"/>
  <c r="CA150" i="34"/>
  <c r="CA127" i="34"/>
  <c r="CA123" i="34"/>
  <c r="CA130" i="34"/>
  <c r="CA144" i="34"/>
  <c r="CA139" i="34"/>
  <c r="CA140" i="34"/>
  <c r="CA121" i="34"/>
  <c r="CA111" i="34"/>
  <c r="CA117" i="34"/>
  <c r="CA148" i="34"/>
  <c r="CA146" i="34"/>
  <c r="CA149" i="34"/>
  <c r="CA156" i="34"/>
  <c r="CA151" i="34"/>
  <c r="CA112" i="34"/>
  <c r="CA129" i="34"/>
  <c r="CA132" i="34"/>
  <c r="CA153" i="34"/>
  <c r="CA135" i="34"/>
  <c r="CA136" i="34"/>
  <c r="CA155" i="34"/>
  <c r="CA128" i="34"/>
  <c r="CA126" i="34"/>
  <c r="CA134" i="34"/>
  <c r="CA124" i="34"/>
  <c r="CA110" i="34"/>
  <c r="CA141" i="34"/>
  <c r="CA119" i="34"/>
  <c r="CA137" i="34"/>
  <c r="CA145" i="34"/>
  <c r="CA138" i="34"/>
  <c r="CA113" i="34"/>
  <c r="CA131" i="34"/>
  <c r="CA115" i="34"/>
  <c r="CA133" i="34"/>
  <c r="CA142" i="34"/>
  <c r="CA125" i="34"/>
  <c r="CA122" i="34"/>
  <c r="CA152" i="34"/>
  <c r="CA147" i="34"/>
  <c r="CA118" i="34"/>
  <c r="CA143" i="34"/>
  <c r="CA154" i="34"/>
  <c r="CA116" i="34"/>
  <c r="CA120" i="34"/>
  <c r="CA114" i="34"/>
  <c r="CL132" i="34"/>
  <c r="CL110" i="34"/>
  <c r="CL117" i="34"/>
  <c r="CL147" i="34"/>
  <c r="CL131" i="34"/>
  <c r="CL116" i="34"/>
  <c r="CL128" i="34"/>
  <c r="CL154" i="34"/>
  <c r="CL124" i="34"/>
  <c r="CL118" i="34"/>
  <c r="CL137" i="34"/>
  <c r="CL119" i="34"/>
  <c r="CL138" i="34"/>
  <c r="CL139" i="34"/>
  <c r="CL141" i="34"/>
  <c r="CL148" i="34"/>
  <c r="CL143" i="34"/>
  <c r="CL149" i="34"/>
  <c r="CL151" i="34"/>
  <c r="CL152" i="34"/>
  <c r="CL114" i="34"/>
  <c r="CL146" i="34"/>
  <c r="CL112" i="34"/>
  <c r="CL153" i="34"/>
  <c r="CL134" i="34"/>
  <c r="CL126" i="34"/>
  <c r="CL150" i="34"/>
  <c r="CL136" i="34"/>
  <c r="CL113" i="34"/>
  <c r="ED111" i="34"/>
  <c r="CL125" i="34"/>
  <c r="CL121" i="34"/>
  <c r="CL140" i="34"/>
  <c r="CL115" i="34"/>
  <c r="CL123" i="34"/>
  <c r="CL156" i="34"/>
  <c r="CL155" i="34"/>
  <c r="CL135" i="34"/>
  <c r="CL122" i="34"/>
  <c r="CL129" i="34"/>
  <c r="CL127" i="34"/>
  <c r="CL111" i="34"/>
  <c r="CL133" i="34"/>
  <c r="CL145" i="34"/>
  <c r="CL130" i="34"/>
  <c r="CL120" i="34"/>
  <c r="CL144" i="34"/>
  <c r="CL142" i="34"/>
  <c r="CC554" i="34"/>
  <c r="CC555" i="34" s="1"/>
  <c r="CC556" i="34" s="1"/>
  <c r="CC557" i="34" s="1"/>
  <c r="CC558" i="34" s="1"/>
  <c r="CC559" i="34" s="1"/>
  <c r="CC560" i="34" s="1"/>
  <c r="CC561" i="34" s="1"/>
  <c r="CC562" i="34" s="1"/>
  <c r="CC563" i="34" s="1"/>
  <c r="CC564" i="34" s="1"/>
  <c r="CC565" i="34" s="1"/>
  <c r="CC566" i="34" s="1"/>
  <c r="CC567" i="34" s="1"/>
  <c r="CC568" i="34" s="1"/>
  <c r="CC569" i="34" s="1"/>
  <c r="CC570" i="34" s="1"/>
  <c r="CC571" i="34" s="1"/>
  <c r="CC572" i="34" s="1"/>
  <c r="CC573" i="34" s="1"/>
  <c r="CC574" i="34" s="1"/>
  <c r="CC575" i="34" s="1"/>
  <c r="CC576" i="34" s="1"/>
  <c r="CC577" i="34" s="1"/>
  <c r="CC578" i="34" s="1"/>
  <c r="CC579" i="34" s="1"/>
  <c r="CC580" i="34" s="1"/>
  <c r="CC581" i="34" s="1"/>
  <c r="CC582" i="34" s="1"/>
  <c r="CC583" i="34" s="1"/>
  <c r="CC584" i="34" s="1"/>
  <c r="CC585" i="34" s="1"/>
  <c r="CC586" i="34" s="1"/>
  <c r="CC587" i="34" s="1"/>
  <c r="CC588" i="34" s="1"/>
  <c r="CC589" i="34" s="1"/>
  <c r="CC590" i="34" s="1"/>
  <c r="CC591" i="34" s="1"/>
  <c r="CC592" i="34" s="1"/>
  <c r="CC593" i="34" s="1"/>
  <c r="CC594" i="34" s="1"/>
  <c r="CC595" i="34" s="1"/>
  <c r="CC596" i="34" s="1"/>
  <c r="CC597" i="34" s="1"/>
  <c r="CC598" i="34" s="1"/>
  <c r="CC599" i="34" s="1"/>
  <c r="CC600" i="34" s="1"/>
  <c r="CA555" i="34"/>
  <c r="CA595" i="34"/>
  <c r="CA594" i="34"/>
  <c r="CA589" i="34"/>
  <c r="CA561" i="34"/>
  <c r="CA554" i="34"/>
  <c r="CA593" i="34"/>
  <c r="CA567" i="34"/>
  <c r="CA596" i="34"/>
  <c r="CA592" i="34"/>
  <c r="CA597" i="34"/>
  <c r="CA565" i="34"/>
  <c r="CA587" i="34"/>
  <c r="CA572" i="34"/>
  <c r="CA588" i="34"/>
  <c r="CA591" i="34"/>
  <c r="CA568" i="34"/>
  <c r="CA590" i="34"/>
  <c r="CA573" i="34"/>
  <c r="CA583" i="34"/>
  <c r="CA600" i="34"/>
  <c r="CA563" i="34"/>
  <c r="CA575" i="34"/>
  <c r="CA564" i="34"/>
  <c r="CA581" i="34"/>
  <c r="CA558" i="34"/>
  <c r="CA586" i="34"/>
  <c r="CA566" i="34"/>
  <c r="CA580" i="34"/>
  <c r="CA571" i="34"/>
  <c r="CA569" i="34"/>
  <c r="CA574" i="34"/>
  <c r="CA578" i="34"/>
  <c r="CA599" i="34"/>
  <c r="CA562" i="34"/>
  <c r="CA582" i="34"/>
  <c r="CA559" i="34"/>
  <c r="CA556" i="34"/>
  <c r="CA598" i="34"/>
  <c r="CA577" i="34"/>
  <c r="CA570" i="34"/>
  <c r="CA579" i="34"/>
  <c r="CA557" i="34"/>
  <c r="CA576" i="34"/>
  <c r="CA560" i="34"/>
  <c r="CA584" i="34"/>
  <c r="CA585" i="34"/>
  <c r="EC426" i="2"/>
  <c r="ED426" i="2"/>
  <c r="ED363" i="34"/>
  <c r="ED174" i="34"/>
  <c r="EA554" i="34"/>
  <c r="EB554" i="2"/>
  <c r="EA554" i="2"/>
  <c r="CS620" i="34"/>
  <c r="CS635" i="34"/>
  <c r="CS627" i="34"/>
  <c r="CS660" i="34"/>
  <c r="CS631" i="34"/>
  <c r="CS622" i="34"/>
  <c r="CS665" i="34"/>
  <c r="CS629" i="34"/>
  <c r="CS625" i="34"/>
  <c r="CS641" i="34"/>
  <c r="CS649" i="34"/>
  <c r="CS646" i="34"/>
  <c r="CS648" i="34"/>
  <c r="CS630" i="34"/>
  <c r="CS632" i="34"/>
  <c r="CS634" i="34"/>
  <c r="CS628" i="34"/>
  <c r="CS647" i="34"/>
  <c r="CS619" i="34"/>
  <c r="CS638" i="34"/>
  <c r="CS623" i="34"/>
  <c r="CS655" i="34"/>
  <c r="CS661" i="34"/>
  <c r="CS637" i="34"/>
  <c r="CS644" i="34"/>
  <c r="CS621" i="34"/>
  <c r="CS650" i="34"/>
  <c r="CS639" i="34"/>
  <c r="CS659" i="34"/>
  <c r="CS640" i="34"/>
  <c r="CS654" i="34"/>
  <c r="CS653" i="34"/>
  <c r="CS651" i="34"/>
  <c r="CS642" i="34"/>
  <c r="CS652" i="34"/>
  <c r="CS645" i="34"/>
  <c r="CS662" i="34"/>
  <c r="CS636" i="34"/>
  <c r="CS624" i="34"/>
  <c r="CS626" i="34"/>
  <c r="CS657" i="34"/>
  <c r="CS633" i="34"/>
  <c r="CS643" i="34"/>
  <c r="CS658" i="34"/>
  <c r="CS663" i="34"/>
  <c r="CS664" i="34"/>
  <c r="CS656" i="34"/>
  <c r="CB620" i="34"/>
  <c r="CB638" i="34"/>
  <c r="CB636" i="34"/>
  <c r="CB662" i="34"/>
  <c r="CB628" i="34"/>
  <c r="CB623" i="34"/>
  <c r="CB651" i="34"/>
  <c r="CB624" i="34"/>
  <c r="CB652" i="34"/>
  <c r="CB642" i="34"/>
  <c r="CB654" i="34"/>
  <c r="CB657" i="34"/>
  <c r="CB659" i="34"/>
  <c r="CB629" i="34"/>
  <c r="CB631" i="34"/>
  <c r="CB644" i="34"/>
  <c r="CB633" i="34"/>
  <c r="CB626" i="34"/>
  <c r="CB632" i="34"/>
  <c r="CB634" i="34"/>
  <c r="CB635" i="34"/>
  <c r="CB653" i="34"/>
  <c r="CB640" i="34"/>
  <c r="CB625" i="34"/>
  <c r="CB647" i="34"/>
  <c r="CB643" i="34"/>
  <c r="CB649" i="34"/>
  <c r="CB660" i="34"/>
  <c r="CB630" i="34"/>
  <c r="CB622" i="34"/>
  <c r="CB637" i="34"/>
  <c r="CB650" i="34"/>
  <c r="CB619" i="34"/>
  <c r="CB621" i="34"/>
  <c r="CB641" i="34"/>
  <c r="CB639" i="34"/>
  <c r="CB665" i="34"/>
  <c r="CB627" i="34"/>
  <c r="CB646" i="34"/>
  <c r="CB664" i="34"/>
  <c r="CB661" i="34"/>
  <c r="CB648" i="34"/>
  <c r="CB645" i="34"/>
  <c r="CB658" i="34"/>
  <c r="CB655" i="34"/>
  <c r="CB663" i="34"/>
  <c r="CB656" i="34"/>
  <c r="CI662" i="34"/>
  <c r="CI637" i="34"/>
  <c r="CI622" i="34"/>
  <c r="CI629" i="34"/>
  <c r="EA620" i="34"/>
  <c r="CI623" i="34"/>
  <c r="CI645" i="34"/>
  <c r="CI620" i="34"/>
  <c r="CI663" i="34"/>
  <c r="CI621" i="34"/>
  <c r="CI649" i="34"/>
  <c r="CI647" i="34"/>
  <c r="CI619" i="34"/>
  <c r="CI630" i="34"/>
  <c r="CI640" i="34"/>
  <c r="CI631" i="34"/>
  <c r="CI639" i="34"/>
  <c r="CI632" i="34"/>
  <c r="CI624" i="34"/>
  <c r="CI641" i="34"/>
  <c r="CI644" i="34"/>
  <c r="CI665" i="34"/>
  <c r="CI636" i="34"/>
  <c r="CI633" i="34"/>
  <c r="CI653" i="34"/>
  <c r="CI664" i="34"/>
  <c r="CI648" i="34"/>
  <c r="CI654" i="34"/>
  <c r="CI661" i="34"/>
  <c r="CI656" i="34"/>
  <c r="CI626" i="34"/>
  <c r="CI659" i="34"/>
  <c r="CI655" i="34"/>
  <c r="CI652" i="34"/>
  <c r="CI625" i="34"/>
  <c r="CI634" i="34"/>
  <c r="CI658" i="34"/>
  <c r="CI650" i="34"/>
  <c r="CI635" i="34"/>
  <c r="CI638" i="34"/>
  <c r="CI642" i="34"/>
  <c r="CI660" i="34"/>
  <c r="CI646" i="34"/>
  <c r="CI657" i="34"/>
  <c r="CI628" i="34"/>
  <c r="CI627" i="34"/>
  <c r="CI643" i="34"/>
  <c r="CI651" i="34"/>
  <c r="CA401" i="34"/>
  <c r="CA373" i="34"/>
  <c r="CA395" i="34"/>
  <c r="CA409" i="34"/>
  <c r="CA372" i="34"/>
  <c r="CA369" i="34"/>
  <c r="CA397" i="34"/>
  <c r="CA407" i="34"/>
  <c r="CA381" i="34"/>
  <c r="CA384" i="34"/>
  <c r="CA391" i="34"/>
  <c r="CA375" i="34"/>
  <c r="CA399" i="34"/>
  <c r="CA374" i="34"/>
  <c r="CA392" i="34"/>
  <c r="CA408" i="34"/>
  <c r="CA380" i="34"/>
  <c r="CA389" i="34"/>
  <c r="CA367" i="34"/>
  <c r="CA387" i="34"/>
  <c r="CA368" i="34"/>
  <c r="CA378" i="34"/>
  <c r="CA398" i="34"/>
  <c r="CA363" i="34"/>
  <c r="CA365" i="34"/>
  <c r="CA370" i="34"/>
  <c r="CA390" i="34"/>
  <c r="CA403" i="34"/>
  <c r="CA396" i="34"/>
  <c r="CA393" i="34"/>
  <c r="CA385" i="34"/>
  <c r="CA379" i="34"/>
  <c r="CA376" i="34"/>
  <c r="CA383" i="34"/>
  <c r="CA400" i="34"/>
  <c r="CA404" i="34"/>
  <c r="CA366" i="34"/>
  <c r="CA402" i="34"/>
  <c r="CA388" i="34"/>
  <c r="CA371" i="34"/>
  <c r="CA386" i="34"/>
  <c r="CA406" i="34"/>
  <c r="CA364" i="34"/>
  <c r="CA405" i="34"/>
  <c r="CA377" i="34"/>
  <c r="CA382" i="34"/>
  <c r="CA394" i="34"/>
  <c r="CL406" i="34"/>
  <c r="CL366" i="34"/>
  <c r="CL398" i="34"/>
  <c r="CL381" i="34"/>
  <c r="CL369" i="34"/>
  <c r="CL393" i="34"/>
  <c r="CL384" i="34"/>
  <c r="CL401" i="34"/>
  <c r="CL399" i="34"/>
  <c r="CL371" i="34"/>
  <c r="CL392" i="34"/>
  <c r="CL387" i="34"/>
  <c r="CL407" i="34"/>
  <c r="CL400" i="34"/>
  <c r="CL372" i="34"/>
  <c r="CL403" i="34"/>
  <c r="CL396" i="34"/>
  <c r="CL408" i="34"/>
  <c r="CL405" i="34"/>
  <c r="CL375" i="34"/>
  <c r="CL364" i="34"/>
  <c r="CL365" i="34"/>
  <c r="CL363" i="34"/>
  <c r="CL391" i="34"/>
  <c r="CL402" i="34"/>
  <c r="CL367" i="34"/>
  <c r="CL373" i="34"/>
  <c r="CL409" i="34"/>
  <c r="CL376" i="34"/>
  <c r="CL386" i="34"/>
  <c r="CL389" i="34"/>
  <c r="CL388" i="34"/>
  <c r="CL397" i="34"/>
  <c r="CL395" i="34"/>
  <c r="CL394" i="34"/>
  <c r="CL374" i="34"/>
  <c r="CL382" i="34"/>
  <c r="CL370" i="34"/>
  <c r="CL377" i="34"/>
  <c r="CL368" i="34"/>
  <c r="CL390" i="34"/>
  <c r="CL380" i="34"/>
  <c r="CL378" i="34"/>
  <c r="CL385" i="34"/>
  <c r="CL404" i="34"/>
  <c r="CL383" i="34"/>
  <c r="ED364" i="34"/>
  <c r="CL379" i="34"/>
  <c r="EC556" i="34"/>
  <c r="EA110" i="2"/>
  <c r="EB621" i="34"/>
  <c r="EC621" i="34"/>
  <c r="EA365" i="34"/>
  <c r="EC365" i="34"/>
  <c r="EC49" i="34"/>
  <c r="EB619" i="34"/>
  <c r="CJ122" i="34"/>
  <c r="CJ119" i="34"/>
  <c r="CJ131" i="34"/>
  <c r="CJ110" i="34"/>
  <c r="CJ138" i="34"/>
  <c r="CJ126" i="34"/>
  <c r="CJ149" i="34"/>
  <c r="CJ135" i="34"/>
  <c r="CJ114" i="34"/>
  <c r="CJ130" i="34"/>
  <c r="CJ120" i="34"/>
  <c r="CJ142" i="34"/>
  <c r="CJ121" i="34"/>
  <c r="CJ115" i="34"/>
  <c r="CJ111" i="34"/>
  <c r="CJ151" i="34"/>
  <c r="CJ154" i="34"/>
  <c r="CJ129" i="34"/>
  <c r="CJ133" i="34"/>
  <c r="CJ116" i="34"/>
  <c r="CJ147" i="34"/>
  <c r="CJ156" i="34"/>
  <c r="CJ128" i="34"/>
  <c r="CJ118" i="34"/>
  <c r="CJ141" i="34"/>
  <c r="CJ136" i="34"/>
  <c r="CJ124" i="34"/>
  <c r="CJ113" i="34"/>
  <c r="CJ152" i="34"/>
  <c r="CJ125" i="34"/>
  <c r="CJ146" i="34"/>
  <c r="CJ117" i="34"/>
  <c r="CJ144" i="34"/>
  <c r="CJ153" i="34"/>
  <c r="CJ155" i="34"/>
  <c r="CJ134" i="34"/>
  <c r="CJ145" i="34"/>
  <c r="EB111" i="34"/>
  <c r="CJ112" i="34"/>
  <c r="CJ150" i="34"/>
  <c r="CJ139" i="34"/>
  <c r="CJ127" i="34"/>
  <c r="CJ143" i="34"/>
  <c r="CJ140" i="34"/>
  <c r="CJ148" i="34"/>
  <c r="CJ132" i="34"/>
  <c r="CJ137" i="34"/>
  <c r="CJ123" i="34"/>
  <c r="CR153" i="34"/>
  <c r="CR130" i="34"/>
  <c r="CR125" i="34"/>
  <c r="CR134" i="34"/>
  <c r="CR123" i="34"/>
  <c r="CR131" i="34"/>
  <c r="CR120" i="34"/>
  <c r="CR117" i="34"/>
  <c r="CR124" i="34"/>
  <c r="CR150" i="34"/>
  <c r="CR127" i="34"/>
  <c r="CR115" i="34"/>
  <c r="CR138" i="34"/>
  <c r="CR146" i="34"/>
  <c r="CR145" i="34"/>
  <c r="CR135" i="34"/>
  <c r="CR118" i="34"/>
  <c r="CR149" i="34"/>
  <c r="CR110" i="34"/>
  <c r="CR133" i="34"/>
  <c r="CR155" i="34"/>
  <c r="CR114" i="34"/>
  <c r="CR128" i="34"/>
  <c r="CR122" i="34"/>
  <c r="CR116" i="34"/>
  <c r="CR144" i="34"/>
  <c r="CR111" i="34"/>
  <c r="CR141" i="34"/>
  <c r="CR143" i="34"/>
  <c r="CR152" i="34"/>
  <c r="CR147" i="34"/>
  <c r="CR156" i="34"/>
  <c r="CR126" i="34"/>
  <c r="CR119" i="34"/>
  <c r="CR129" i="34"/>
  <c r="CR154" i="34"/>
  <c r="CR151" i="34"/>
  <c r="CR139" i="34"/>
  <c r="CR112" i="34"/>
  <c r="CR121" i="34"/>
  <c r="CR137" i="34"/>
  <c r="CR113" i="34"/>
  <c r="CR140" i="34"/>
  <c r="CR132" i="34"/>
  <c r="CR148" i="34"/>
  <c r="CR136" i="34"/>
  <c r="CR142" i="34"/>
  <c r="CK593" i="34"/>
  <c r="CK568" i="34"/>
  <c r="CK596" i="34"/>
  <c r="CK574" i="34"/>
  <c r="CK600" i="34"/>
  <c r="CK560" i="34"/>
  <c r="CK564" i="34"/>
  <c r="CK587" i="34"/>
  <c r="CK554" i="34"/>
  <c r="CK558" i="34"/>
  <c r="CK578" i="34"/>
  <c r="CK588" i="34"/>
  <c r="CK556" i="34"/>
  <c r="CK561" i="34"/>
  <c r="CK595" i="34"/>
  <c r="CK567" i="34"/>
  <c r="CK555" i="34"/>
  <c r="CK598" i="34"/>
  <c r="CK590" i="34"/>
  <c r="CK582" i="34"/>
  <c r="CK577" i="34"/>
  <c r="CK576" i="34"/>
  <c r="CK565" i="34"/>
  <c r="CK599" i="34"/>
  <c r="CK581" i="34"/>
  <c r="CK597" i="34"/>
  <c r="CK580" i="34"/>
  <c r="CK573" i="34"/>
  <c r="CK591" i="34"/>
  <c r="CK563" i="34"/>
  <c r="CK559" i="34"/>
  <c r="CK594" i="34"/>
  <c r="CK570" i="34"/>
  <c r="CK557" i="34"/>
  <c r="CK566" i="34"/>
  <c r="CK583" i="34"/>
  <c r="CK586" i="34"/>
  <c r="EC555" i="34"/>
  <c r="CK571" i="34"/>
  <c r="CK589" i="34"/>
  <c r="CK575" i="34"/>
  <c r="CK584" i="34"/>
  <c r="CK572" i="34"/>
  <c r="CK562" i="34"/>
  <c r="CK585" i="34"/>
  <c r="CK579" i="34"/>
  <c r="CK592" i="34"/>
  <c r="CK569" i="34"/>
  <c r="CR556" i="34"/>
  <c r="CR587" i="34"/>
  <c r="CR572" i="34"/>
  <c r="CR598" i="34"/>
  <c r="CR599" i="34"/>
  <c r="CR594" i="34"/>
  <c r="CR560" i="34"/>
  <c r="CR568" i="34"/>
  <c r="CR567" i="34"/>
  <c r="CR596" i="34"/>
  <c r="CR591" i="34"/>
  <c r="CR557" i="34"/>
  <c r="CR581" i="34"/>
  <c r="CR561" i="34"/>
  <c r="CR569" i="34"/>
  <c r="CR565" i="34"/>
  <c r="CR558" i="34"/>
  <c r="CR574" i="34"/>
  <c r="CR586" i="34"/>
  <c r="CR588" i="34"/>
  <c r="CR564" i="34"/>
  <c r="CR597" i="34"/>
  <c r="CR563" i="34"/>
  <c r="CR578" i="34"/>
  <c r="CR554" i="34"/>
  <c r="CR590" i="34"/>
  <c r="CR583" i="34"/>
  <c r="CR579" i="34"/>
  <c r="CR571" i="34"/>
  <c r="CR576" i="34"/>
  <c r="CR577" i="34"/>
  <c r="CR566" i="34"/>
  <c r="CR559" i="34"/>
  <c r="CR595" i="34"/>
  <c r="CR570" i="34"/>
  <c r="CR555" i="34"/>
  <c r="CR600" i="34"/>
  <c r="CR585" i="34"/>
  <c r="CR580" i="34"/>
  <c r="CR584" i="34"/>
  <c r="CR593" i="34"/>
  <c r="CR582" i="34"/>
  <c r="CR573" i="34"/>
  <c r="CR562" i="34"/>
  <c r="CR592" i="34"/>
  <c r="CR589" i="34"/>
  <c r="CR575" i="34"/>
  <c r="ED112" i="34"/>
  <c r="EC112" i="34"/>
  <c r="EA363" i="34"/>
  <c r="EB174" i="34"/>
  <c r="EB490" i="34"/>
  <c r="ED554" i="34"/>
  <c r="EC554" i="2"/>
  <c r="CJ654" i="34"/>
  <c r="CJ651" i="34"/>
  <c r="CJ635" i="34"/>
  <c r="CJ632" i="34"/>
  <c r="CJ662" i="34"/>
  <c r="CJ619" i="34"/>
  <c r="CJ628" i="34"/>
  <c r="CJ631" i="34"/>
  <c r="EB620" i="34"/>
  <c r="CJ647" i="34"/>
  <c r="CJ650" i="34"/>
  <c r="CJ624" i="34"/>
  <c r="CJ657" i="34"/>
  <c r="CJ629" i="34"/>
  <c r="CJ659" i="34"/>
  <c r="CJ633" i="34"/>
  <c r="CJ655" i="34"/>
  <c r="CJ630" i="34"/>
  <c r="CJ645" i="34"/>
  <c r="CJ664" i="34"/>
  <c r="CJ642" i="34"/>
  <c r="CJ625" i="34"/>
  <c r="CJ643" i="34"/>
  <c r="CJ656" i="34"/>
  <c r="CJ640" i="34"/>
  <c r="CJ634" i="34"/>
  <c r="CJ620" i="34"/>
  <c r="CJ636" i="34"/>
  <c r="CJ644" i="34"/>
  <c r="CJ660" i="34"/>
  <c r="CJ649" i="34"/>
  <c r="CJ661" i="34"/>
  <c r="CJ623" i="34"/>
  <c r="CJ663" i="34"/>
  <c r="CJ627" i="34"/>
  <c r="CJ626" i="34"/>
  <c r="CJ646" i="34"/>
  <c r="CJ638" i="34"/>
  <c r="CJ648" i="34"/>
  <c r="CJ653" i="34"/>
  <c r="CJ637" i="34"/>
  <c r="CJ658" i="34"/>
  <c r="CJ621" i="34"/>
  <c r="CJ622" i="34"/>
  <c r="CJ652" i="34"/>
  <c r="CJ641" i="34"/>
  <c r="CJ665" i="34"/>
  <c r="CJ639" i="34"/>
  <c r="CK644" i="34"/>
  <c r="CK652" i="34"/>
  <c r="CK655" i="34"/>
  <c r="CK630" i="34"/>
  <c r="CK643" i="34"/>
  <c r="CK642" i="34"/>
  <c r="CK657" i="34"/>
  <c r="CK651" i="34"/>
  <c r="CK664" i="34"/>
  <c r="CK623" i="34"/>
  <c r="CK645" i="34"/>
  <c r="CK648" i="34"/>
  <c r="CK640" i="34"/>
  <c r="CK654" i="34"/>
  <c r="CK650" i="34"/>
  <c r="CK647" i="34"/>
  <c r="CK631" i="34"/>
  <c r="CK662" i="34"/>
  <c r="CK622" i="34"/>
  <c r="CK659" i="34"/>
  <c r="CK633" i="34"/>
  <c r="CK658" i="34"/>
  <c r="CK641" i="34"/>
  <c r="CK636" i="34"/>
  <c r="CK628" i="34"/>
  <c r="CK637" i="34"/>
  <c r="CK627" i="34"/>
  <c r="CK646" i="34"/>
  <c r="CK649" i="34"/>
  <c r="CK638" i="34"/>
  <c r="CK653" i="34"/>
  <c r="CK634" i="34"/>
  <c r="CK621" i="34"/>
  <c r="CK656" i="34"/>
  <c r="CK635" i="34"/>
  <c r="CK626" i="34"/>
  <c r="CK660" i="34"/>
  <c r="CK639" i="34"/>
  <c r="EC620" i="34"/>
  <c r="CK620" i="34"/>
  <c r="CK624" i="34"/>
  <c r="CK619" i="34"/>
  <c r="CK625" i="34"/>
  <c r="CK629" i="34"/>
  <c r="CK661" i="34"/>
  <c r="CK663" i="34"/>
  <c r="CK632" i="34"/>
  <c r="CK665" i="34"/>
  <c r="CR393" i="34"/>
  <c r="CR365" i="34"/>
  <c r="CR387" i="34"/>
  <c r="CR363" i="34"/>
  <c r="CR408" i="34"/>
  <c r="CR391" i="34"/>
  <c r="CR371" i="34"/>
  <c r="CR407" i="34"/>
  <c r="CR402" i="34"/>
  <c r="CR374" i="34"/>
  <c r="CR392" i="34"/>
  <c r="CR384" i="34"/>
  <c r="CR400" i="34"/>
  <c r="CR381" i="34"/>
  <c r="CR405" i="34"/>
  <c r="CR397" i="34"/>
  <c r="CR383" i="34"/>
  <c r="CR385" i="34"/>
  <c r="CR368" i="34"/>
  <c r="CR404" i="34"/>
  <c r="CR398" i="34"/>
  <c r="CR396" i="34"/>
  <c r="CR390" i="34"/>
  <c r="CR367" i="34"/>
  <c r="CR386" i="34"/>
  <c r="CR366" i="34"/>
  <c r="CR406" i="34"/>
  <c r="CR375" i="34"/>
  <c r="CR389" i="34"/>
  <c r="CR409" i="34"/>
  <c r="CR380" i="34"/>
  <c r="CR373" i="34"/>
  <c r="CR370" i="34"/>
  <c r="CR378" i="34"/>
  <c r="CR399" i="34"/>
  <c r="CR394" i="34"/>
  <c r="CR379" i="34"/>
  <c r="CR364" i="34"/>
  <c r="CR395" i="34"/>
  <c r="CR372" i="34"/>
  <c r="CR377" i="34"/>
  <c r="CR376" i="34"/>
  <c r="CR388" i="34"/>
  <c r="CR401" i="34"/>
  <c r="CR403" i="34"/>
  <c r="CR369" i="34"/>
  <c r="CR382" i="34"/>
  <c r="CJ379" i="34"/>
  <c r="CJ372" i="34"/>
  <c r="CJ373" i="34"/>
  <c r="CJ375" i="34"/>
  <c r="CJ382" i="34"/>
  <c r="CJ384" i="34"/>
  <c r="CJ399" i="34"/>
  <c r="CJ403" i="34"/>
  <c r="CJ388" i="34"/>
  <c r="CJ390" i="34"/>
  <c r="CJ368" i="34"/>
  <c r="CJ370" i="34"/>
  <c r="CJ365" i="34"/>
  <c r="CJ366" i="34"/>
  <c r="CJ380" i="34"/>
  <c r="CJ367" i="34"/>
  <c r="CJ406" i="34"/>
  <c r="CJ405" i="34"/>
  <c r="EB364" i="34"/>
  <c r="CJ402" i="34"/>
  <c r="CJ364" i="34"/>
  <c r="CJ394" i="34"/>
  <c r="CJ407" i="34"/>
  <c r="CJ377" i="34"/>
  <c r="CJ395" i="34"/>
  <c r="CJ385" i="34"/>
  <c r="CJ389" i="34"/>
  <c r="CJ386" i="34"/>
  <c r="CJ398" i="34"/>
  <c r="CJ391" i="34"/>
  <c r="CJ400" i="34"/>
  <c r="CJ381" i="34"/>
  <c r="CJ392" i="34"/>
  <c r="CJ383" i="34"/>
  <c r="CJ376" i="34"/>
  <c r="CJ363" i="34"/>
  <c r="CJ387" i="34"/>
  <c r="CJ371" i="34"/>
  <c r="CJ378" i="34"/>
  <c r="CJ401" i="34"/>
  <c r="CJ408" i="34"/>
  <c r="CJ393" i="34"/>
  <c r="CJ404" i="34"/>
  <c r="CJ397" i="34"/>
  <c r="CJ374" i="34"/>
  <c r="CJ409" i="34"/>
  <c r="CJ396" i="34"/>
  <c r="CJ369" i="34"/>
  <c r="CI365" i="34"/>
  <c r="CI376" i="34"/>
  <c r="CI372" i="34"/>
  <c r="EA364" i="34"/>
  <c r="CI379" i="34"/>
  <c r="CI382" i="34"/>
  <c r="CI394" i="34"/>
  <c r="CI404" i="34"/>
  <c r="CI387" i="34"/>
  <c r="CI370" i="34"/>
  <c r="CI386" i="34"/>
  <c r="CI385" i="34"/>
  <c r="CI398" i="34"/>
  <c r="CI383" i="34"/>
  <c r="CI402" i="34"/>
  <c r="CI393" i="34"/>
  <c r="CI375" i="34"/>
  <c r="CI381" i="34"/>
  <c r="CI364" i="34"/>
  <c r="CI373" i="34"/>
  <c r="CI403" i="34"/>
  <c r="CI389" i="34"/>
  <c r="CI371" i="34"/>
  <c r="CI388" i="34"/>
  <c r="CI390" i="34"/>
  <c r="CI407" i="34"/>
  <c r="CI405" i="34"/>
  <c r="CI369" i="34"/>
  <c r="CI409" i="34"/>
  <c r="CI366" i="34"/>
  <c r="CI374" i="34"/>
  <c r="CI392" i="34"/>
  <c r="CI399" i="34"/>
  <c r="CI377" i="34"/>
  <c r="CI384" i="34"/>
  <c r="CI380" i="34"/>
  <c r="CI368" i="34"/>
  <c r="CI397" i="34"/>
  <c r="CI400" i="34"/>
  <c r="CI396" i="34"/>
  <c r="CI378" i="34"/>
  <c r="CI406" i="34"/>
  <c r="CI408" i="34"/>
  <c r="CI363" i="34"/>
  <c r="CI401" i="34"/>
  <c r="CI367" i="34"/>
  <c r="CI391" i="34"/>
  <c r="CI395" i="34"/>
  <c r="EB556" i="34"/>
  <c r="EA621" i="34"/>
  <c r="EA619" i="34"/>
  <c r="EC619" i="34"/>
  <c r="CI114" i="34"/>
  <c r="CI115" i="34"/>
  <c r="CI110" i="34"/>
  <c r="CI150" i="34"/>
  <c r="CI117" i="34"/>
  <c r="CI111" i="34"/>
  <c r="CI138" i="34"/>
  <c r="CI139" i="34"/>
  <c r="CI148" i="34"/>
  <c r="CI153" i="34"/>
  <c r="CI118" i="34"/>
  <c r="CI123" i="34"/>
  <c r="CI145" i="34"/>
  <c r="CI141" i="34"/>
  <c r="CI125" i="34"/>
  <c r="CI113" i="34"/>
  <c r="CI116" i="34"/>
  <c r="CI126" i="34"/>
  <c r="CI130" i="34"/>
  <c r="CI156" i="34"/>
  <c r="CI131" i="34"/>
  <c r="CI132" i="34"/>
  <c r="CI124" i="34"/>
  <c r="CI147" i="34"/>
  <c r="CI155" i="34"/>
  <c r="CI151" i="34"/>
  <c r="CI122" i="34"/>
  <c r="CI127" i="34"/>
  <c r="CI144" i="34"/>
  <c r="CI134" i="34"/>
  <c r="CI121" i="34"/>
  <c r="CI129" i="34"/>
  <c r="CI154" i="34"/>
  <c r="CI152" i="34"/>
  <c r="CI133" i="34"/>
  <c r="EA111" i="34"/>
  <c r="CI137" i="34"/>
  <c r="CI146" i="34"/>
  <c r="CI119" i="34"/>
  <c r="CI149" i="34"/>
  <c r="CI135" i="34"/>
  <c r="CI136" i="34"/>
  <c r="CI128" i="34"/>
  <c r="CI112" i="34"/>
  <c r="CI143" i="34"/>
  <c r="CI140" i="34"/>
  <c r="CI142" i="34"/>
  <c r="CI120" i="34"/>
  <c r="CB143" i="34"/>
  <c r="CB110" i="34"/>
  <c r="CB123" i="34"/>
  <c r="CB114" i="34"/>
  <c r="CB145" i="34"/>
  <c r="CB140" i="34"/>
  <c r="CB131" i="34"/>
  <c r="CB146" i="34"/>
  <c r="CB119" i="34"/>
  <c r="CB152" i="34"/>
  <c r="CB122" i="34"/>
  <c r="CB117" i="34"/>
  <c r="CB111" i="34"/>
  <c r="CB118" i="34"/>
  <c r="CB151" i="34"/>
  <c r="CB153" i="34"/>
  <c r="CB130" i="34"/>
  <c r="CB150" i="34"/>
  <c r="CB115" i="34"/>
  <c r="CB126" i="34"/>
  <c r="CB147" i="34"/>
  <c r="CB116" i="34"/>
  <c r="CB148" i="34"/>
  <c r="CB155" i="34"/>
  <c r="CB149" i="34"/>
  <c r="CB141" i="34"/>
  <c r="CB144" i="34"/>
  <c r="CB139" i="34"/>
  <c r="CB137" i="34"/>
  <c r="CB121" i="34"/>
  <c r="CB129" i="34"/>
  <c r="CB135" i="34"/>
  <c r="CB136" i="34"/>
  <c r="CB113" i="34"/>
  <c r="CB156" i="34"/>
  <c r="CB133" i="34"/>
  <c r="CB138" i="34"/>
  <c r="CB127" i="34"/>
  <c r="CB125" i="34"/>
  <c r="CB154" i="34"/>
  <c r="CB112" i="34"/>
  <c r="CB120" i="34"/>
  <c r="CB124" i="34"/>
  <c r="CB134" i="34"/>
  <c r="CB132" i="34"/>
  <c r="CB142" i="34"/>
  <c r="CB128" i="34"/>
  <c r="CS148" i="34"/>
  <c r="CS119" i="34"/>
  <c r="CS117" i="34"/>
  <c r="CS156" i="34"/>
  <c r="CS131" i="34"/>
  <c r="CS137" i="34"/>
  <c r="CS126" i="34"/>
  <c r="CS133" i="34"/>
  <c r="CS142" i="34"/>
  <c r="CS128" i="34"/>
  <c r="CS112" i="34"/>
  <c r="CS150" i="34"/>
  <c r="CS121" i="34"/>
  <c r="CS118" i="34"/>
  <c r="CS122" i="34"/>
  <c r="CS135" i="34"/>
  <c r="CS116" i="34"/>
  <c r="CS154" i="34"/>
  <c r="CS145" i="34"/>
  <c r="CS151" i="34"/>
  <c r="CS140" i="34"/>
  <c r="CS144" i="34"/>
  <c r="CS149" i="34"/>
  <c r="CS141" i="34"/>
  <c r="CS115" i="34"/>
  <c r="CS130" i="34"/>
  <c r="CS139" i="34"/>
  <c r="CS153" i="34"/>
  <c r="CS123" i="34"/>
  <c r="CS138" i="34"/>
  <c r="CS143" i="34"/>
  <c r="CS134" i="34"/>
  <c r="CS136" i="34"/>
  <c r="CS152" i="34"/>
  <c r="CS111" i="34"/>
  <c r="CS110" i="34"/>
  <c r="CS125" i="34"/>
  <c r="CS129" i="34"/>
  <c r="CS127" i="34"/>
  <c r="CS124" i="34"/>
  <c r="CS113" i="34"/>
  <c r="CS146" i="34"/>
  <c r="CS132" i="34"/>
  <c r="CS114" i="34"/>
  <c r="CS120" i="34"/>
  <c r="CS155" i="34"/>
  <c r="CS147" i="34"/>
  <c r="CS571" i="34"/>
  <c r="CS568" i="34"/>
  <c r="CS598" i="34"/>
  <c r="CS597" i="34"/>
  <c r="CS563" i="34"/>
  <c r="CS587" i="34"/>
  <c r="CS566" i="34"/>
  <c r="CS564" i="34"/>
  <c r="CS595" i="34"/>
  <c r="CS560" i="34"/>
  <c r="CS591" i="34"/>
  <c r="CS576" i="34"/>
  <c r="CS573" i="34"/>
  <c r="CS557" i="34"/>
  <c r="CS580" i="34"/>
  <c r="CS585" i="34"/>
  <c r="CS577" i="34"/>
  <c r="CS582" i="34"/>
  <c r="CS556" i="34"/>
  <c r="CS565" i="34"/>
  <c r="CS592" i="34"/>
  <c r="CS583" i="34"/>
  <c r="CS575" i="34"/>
  <c r="CS594" i="34"/>
  <c r="CS555" i="34"/>
  <c r="CS593" i="34"/>
  <c r="CS559" i="34"/>
  <c r="CS554" i="34"/>
  <c r="CS579" i="34"/>
  <c r="CS590" i="34"/>
  <c r="CS586" i="34"/>
  <c r="CS569" i="34"/>
  <c r="CS574" i="34"/>
  <c r="CS572" i="34"/>
  <c r="CS570" i="34"/>
  <c r="CS561" i="34"/>
  <c r="CS562" i="34"/>
  <c r="CS558" i="34"/>
  <c r="CS567" i="34"/>
  <c r="CS599" i="34"/>
  <c r="CS578" i="34"/>
  <c r="CS588" i="34"/>
  <c r="CS584" i="34"/>
  <c r="CS600" i="34"/>
  <c r="CS589" i="34"/>
  <c r="CS581" i="34"/>
  <c r="CS596" i="34"/>
  <c r="CJ561" i="34"/>
  <c r="CJ595" i="34"/>
  <c r="CJ581" i="34"/>
  <c r="CJ586" i="34"/>
  <c r="CJ579" i="34"/>
  <c r="CJ564" i="34"/>
  <c r="CJ578" i="34"/>
  <c r="CJ599" i="34"/>
  <c r="CJ570" i="34"/>
  <c r="CJ582" i="34"/>
  <c r="CJ565" i="34"/>
  <c r="CJ556" i="34"/>
  <c r="CJ592" i="34"/>
  <c r="CJ569" i="34"/>
  <c r="CJ563" i="34"/>
  <c r="CJ557" i="34"/>
  <c r="CJ594" i="34"/>
  <c r="CJ574" i="34"/>
  <c r="CJ590" i="34"/>
  <c r="CJ580" i="34"/>
  <c r="EB555" i="34"/>
  <c r="CJ571" i="34"/>
  <c r="CJ555" i="34"/>
  <c r="CJ562" i="34"/>
  <c r="CJ558" i="34"/>
  <c r="CJ584" i="34"/>
  <c r="CJ577" i="34"/>
  <c r="CJ567" i="34"/>
  <c r="CJ598" i="34"/>
  <c r="CJ573" i="34"/>
  <c r="CJ589" i="34"/>
  <c r="CJ560" i="34"/>
  <c r="CJ597" i="34"/>
  <c r="CJ587" i="34"/>
  <c r="CJ572" i="34"/>
  <c r="CJ554" i="34"/>
  <c r="CJ585" i="34"/>
  <c r="CJ566" i="34"/>
  <c r="CJ600" i="34"/>
  <c r="CJ593" i="34"/>
  <c r="CJ596" i="34"/>
  <c r="CJ576" i="34"/>
  <c r="CJ583" i="34"/>
  <c r="CJ559" i="34"/>
  <c r="CJ568" i="34"/>
  <c r="CJ588" i="34"/>
  <c r="CJ591" i="34"/>
  <c r="CJ575" i="34"/>
  <c r="CB577" i="34"/>
  <c r="CB560" i="34"/>
  <c r="CB568" i="34"/>
  <c r="CB563" i="34"/>
  <c r="CB597" i="34"/>
  <c r="CB587" i="34"/>
  <c r="CB590" i="34"/>
  <c r="CB592" i="34"/>
  <c r="CB593" i="34"/>
  <c r="CB559" i="34"/>
  <c r="CB579" i="34"/>
  <c r="CB562" i="34"/>
  <c r="CB581" i="34"/>
  <c r="CB557" i="34"/>
  <c r="CB591" i="34"/>
  <c r="CB572" i="34"/>
  <c r="CB566" i="34"/>
  <c r="CB585" i="34"/>
  <c r="CB567" i="34"/>
  <c r="CB588" i="34"/>
  <c r="CB565" i="34"/>
  <c r="CB589" i="34"/>
  <c r="CB558" i="34"/>
  <c r="CB595" i="34"/>
  <c r="CB569" i="34"/>
  <c r="CB571" i="34"/>
  <c r="CB582" i="34"/>
  <c r="CB576" i="34"/>
  <c r="CB578" i="34"/>
  <c r="CB575" i="34"/>
  <c r="CB594" i="34"/>
  <c r="CB554" i="34"/>
  <c r="CB600" i="34"/>
  <c r="CB596" i="34"/>
  <c r="CB555" i="34"/>
  <c r="CB598" i="34"/>
  <c r="CB583" i="34"/>
  <c r="CB580" i="34"/>
  <c r="CB573" i="34"/>
  <c r="CB599" i="34"/>
  <c r="CB574" i="34"/>
  <c r="CB561" i="34"/>
  <c r="CB564" i="34"/>
  <c r="CB570" i="34"/>
  <c r="CB584" i="34"/>
  <c r="CB556" i="34"/>
  <c r="CB586" i="34"/>
  <c r="EA426" i="2"/>
  <c r="EA112" i="34"/>
  <c r="EB112" i="34"/>
  <c r="EB363" i="34"/>
  <c r="EA174" i="34"/>
  <c r="EC174" i="34"/>
  <c r="EA490" i="34"/>
  <c r="EB554" i="34"/>
  <c r="CC619" i="34"/>
  <c r="CC620" i="34" s="1"/>
  <c r="CC621" i="34" s="1"/>
  <c r="CC622" i="34" s="1"/>
  <c r="CC623" i="34" s="1"/>
  <c r="CC624" i="34" s="1"/>
  <c r="CC625" i="34" s="1"/>
  <c r="CC626" i="34" s="1"/>
  <c r="CC627" i="34" s="1"/>
  <c r="CC628" i="34" s="1"/>
  <c r="CC629" i="34" s="1"/>
  <c r="CC630" i="34" s="1"/>
  <c r="CC631" i="34" s="1"/>
  <c r="CC632" i="34" s="1"/>
  <c r="CC633" i="34" s="1"/>
  <c r="CC634" i="34" s="1"/>
  <c r="CC635" i="34" s="1"/>
  <c r="CC636" i="34" s="1"/>
  <c r="CC637" i="34" s="1"/>
  <c r="CC638" i="34" s="1"/>
  <c r="CC639" i="34" s="1"/>
  <c r="CC640" i="34" s="1"/>
  <c r="CC641" i="34" s="1"/>
  <c r="CC642" i="34" s="1"/>
  <c r="CC643" i="34" s="1"/>
  <c r="CC644" i="34" s="1"/>
  <c r="CC645" i="34" s="1"/>
  <c r="CC646" i="34" s="1"/>
  <c r="CC647" i="34" s="1"/>
  <c r="CC648" i="34" s="1"/>
  <c r="CC649" i="34" s="1"/>
  <c r="CC650" i="34" s="1"/>
  <c r="CC651" i="34" s="1"/>
  <c r="CC652" i="34" s="1"/>
  <c r="CC653" i="34" s="1"/>
  <c r="CC654" i="34" s="1"/>
  <c r="CC655" i="34" s="1"/>
  <c r="CC656" i="34" s="1"/>
  <c r="CC657" i="34" s="1"/>
  <c r="CC658" i="34" s="1"/>
  <c r="CC659" i="34" s="1"/>
  <c r="CC660" i="34" s="1"/>
  <c r="CC661" i="34" s="1"/>
  <c r="CC662" i="34" s="1"/>
  <c r="CC663" i="34" s="1"/>
  <c r="CC664" i="34" s="1"/>
  <c r="CC665" i="34" s="1"/>
  <c r="CA663" i="34"/>
  <c r="CA643" i="34"/>
  <c r="CA636" i="34"/>
  <c r="CA657" i="34"/>
  <c r="CA651" i="34"/>
  <c r="CA619" i="34"/>
  <c r="CA654" i="34"/>
  <c r="CA632" i="34"/>
  <c r="CA646" i="34"/>
  <c r="CA649" i="34"/>
  <c r="CA659" i="34"/>
  <c r="CA620" i="34"/>
  <c r="CA624" i="34"/>
  <c r="CA661" i="34"/>
  <c r="CA650" i="34"/>
  <c r="CA638" i="34"/>
  <c r="CA641" i="34"/>
  <c r="CA637" i="34"/>
  <c r="CA652" i="34"/>
  <c r="CA644" i="34"/>
  <c r="CA635" i="34"/>
  <c r="CA627" i="34"/>
  <c r="CA642" i="34"/>
  <c r="CA631" i="34"/>
  <c r="CA626" i="34"/>
  <c r="CA633" i="34"/>
  <c r="CA640" i="34"/>
  <c r="CA629" i="34"/>
  <c r="CA664" i="34"/>
  <c r="CA625" i="34"/>
  <c r="CA645" i="34"/>
  <c r="CA653" i="34"/>
  <c r="CA658" i="34"/>
  <c r="CA648" i="34"/>
  <c r="CA630" i="34"/>
  <c r="CA639" i="34"/>
  <c r="CA660" i="34"/>
  <c r="CA656" i="34"/>
  <c r="CA655" i="34"/>
  <c r="CA621" i="34"/>
  <c r="CA634" i="34"/>
  <c r="CA662" i="34"/>
  <c r="CA628" i="34"/>
  <c r="CA622" i="34"/>
  <c r="CA623" i="34"/>
  <c r="CA665" i="34"/>
  <c r="CA647" i="34"/>
  <c r="CS374" i="34"/>
  <c r="CS398" i="34"/>
  <c r="CS399" i="34"/>
  <c r="CS401" i="34"/>
  <c r="CS382" i="34"/>
  <c r="CS392" i="34"/>
  <c r="CS368" i="34"/>
  <c r="CS380" i="34"/>
  <c r="CS388" i="34"/>
  <c r="CS381" i="34"/>
  <c r="CS383" i="34"/>
  <c r="CS390" i="34"/>
  <c r="CS407" i="34"/>
  <c r="CS395" i="34"/>
  <c r="CS397" i="34"/>
  <c r="CS389" i="34"/>
  <c r="CS384" i="34"/>
  <c r="CS393" i="34"/>
  <c r="CS367" i="34"/>
  <c r="CS400" i="34"/>
  <c r="CS364" i="34"/>
  <c r="CS370" i="34"/>
  <c r="CS404" i="34"/>
  <c r="CS365" i="34"/>
  <c r="CS387" i="34"/>
  <c r="CS385" i="34"/>
  <c r="CS403" i="34"/>
  <c r="CS371" i="34"/>
  <c r="CS375" i="34"/>
  <c r="CS373" i="34"/>
  <c r="CS391" i="34"/>
  <c r="CS394" i="34"/>
  <c r="CS366" i="34"/>
  <c r="CS386" i="34"/>
  <c r="CS405" i="34"/>
  <c r="CS396" i="34"/>
  <c r="CS406" i="34"/>
  <c r="CS379" i="34"/>
  <c r="CS372" i="34"/>
  <c r="CS376" i="34"/>
  <c r="CS369" i="34"/>
  <c r="CS409" i="34"/>
  <c r="CS363" i="34"/>
  <c r="CS402" i="34"/>
  <c r="CS378" i="34"/>
  <c r="CS377" i="34"/>
  <c r="CS408" i="34"/>
  <c r="CB387" i="34"/>
  <c r="CB370" i="34"/>
  <c r="CB391" i="34"/>
  <c r="CB380" i="34"/>
  <c r="CB377" i="34"/>
  <c r="CB404" i="34"/>
  <c r="CB376" i="34"/>
  <c r="CB390" i="34"/>
  <c r="CB406" i="34"/>
  <c r="CB392" i="34"/>
  <c r="CB405" i="34"/>
  <c r="CB400" i="34"/>
  <c r="CB388" i="34"/>
  <c r="CB398" i="34"/>
  <c r="CB408" i="34"/>
  <c r="CB397" i="34"/>
  <c r="CB389" i="34"/>
  <c r="CB384" i="34"/>
  <c r="CB385" i="34"/>
  <c r="CB403" i="34"/>
  <c r="CB375" i="34"/>
  <c r="CB367" i="34"/>
  <c r="CB402" i="34"/>
  <c r="CB365" i="34"/>
  <c r="CB409" i="34"/>
  <c r="CB401" i="34"/>
  <c r="CB393" i="34"/>
  <c r="CB364" i="34"/>
  <c r="CB407" i="34"/>
  <c r="CB371" i="34"/>
  <c r="CB386" i="34"/>
  <c r="CB374" i="34"/>
  <c r="CB381" i="34"/>
  <c r="CB366" i="34"/>
  <c r="CB382" i="34"/>
  <c r="CB372" i="34"/>
  <c r="CB379" i="34"/>
  <c r="CB399" i="34"/>
  <c r="CB369" i="34"/>
  <c r="CB373" i="34"/>
  <c r="CB363" i="34"/>
  <c r="CB394" i="34"/>
  <c r="CB383" i="34"/>
  <c r="CB395" i="34"/>
  <c r="CB396" i="34"/>
  <c r="CB378" i="34"/>
  <c r="CB368" i="34"/>
  <c r="ED556" i="34"/>
  <c r="ED110" i="2"/>
  <c r="EB110" i="2"/>
  <c r="AM179" i="8"/>
  <c r="AN179" i="8" s="1"/>
  <c r="AI120" i="6"/>
  <c r="M74" i="4" s="1"/>
  <c r="Z121" i="3"/>
  <c r="AF121" i="3" s="1"/>
  <c r="AC121" i="3"/>
  <c r="AA178" i="3"/>
  <c r="Y121" i="3"/>
  <c r="AB121" i="3" s="1"/>
  <c r="AH121" i="3" s="1"/>
  <c r="O178" i="3"/>
  <c r="B14" i="43" s="1"/>
  <c r="D14" i="43" s="1"/>
  <c r="E14" i="43" s="1"/>
  <c r="H14" i="43" s="1"/>
  <c r="J14" i="43" s="1"/>
  <c r="J62" i="36"/>
  <c r="AE171" i="6"/>
  <c r="AW171" i="6" s="1"/>
  <c r="AC121" i="8"/>
  <c r="AA178" i="8"/>
  <c r="Z121" i="8"/>
  <c r="AF121" i="8" s="1"/>
  <c r="DJ612" i="2"/>
  <c r="DI612" i="2"/>
  <c r="DI613" i="2"/>
  <c r="DJ613" i="2"/>
  <c r="M121" i="6"/>
  <c r="BF18" i="6"/>
  <c r="AN18" i="6"/>
  <c r="BG18" i="6" s="1"/>
  <c r="AB71" i="6"/>
  <c r="AN69" i="6"/>
  <c r="R122" i="6"/>
  <c r="H122" i="6"/>
  <c r="AC179" i="6"/>
  <c r="AU179" i="6" s="1"/>
  <c r="V122" i="6"/>
  <c r="K122" i="6"/>
  <c r="L122" i="6" s="1"/>
  <c r="C117" i="11"/>
  <c r="D117" i="11" s="1"/>
  <c r="E117" i="11" s="1"/>
  <c r="AM70" i="8"/>
  <c r="AE70" i="8"/>
  <c r="CR25" i="31"/>
  <c r="CO25" i="31"/>
  <c r="CK26" i="31"/>
  <c r="J65" i="36"/>
  <c r="AE174" i="6"/>
  <c r="AW174" i="6" s="1"/>
  <c r="V175" i="6"/>
  <c r="CM273" i="34"/>
  <c r="DW268" i="34" s="1"/>
  <c r="CM270" i="34"/>
  <c r="DW265" i="34" s="1"/>
  <c r="CM265" i="34"/>
  <c r="DW260" i="34" s="1"/>
  <c r="CM274" i="34"/>
  <c r="DW269" i="34" s="1"/>
  <c r="CM254" i="34"/>
  <c r="DW249" i="34" s="1"/>
  <c r="CM253" i="34"/>
  <c r="DW248" i="34" s="1"/>
  <c r="CM240" i="34"/>
  <c r="DW235" i="34" s="1"/>
  <c r="CM455" i="34"/>
  <c r="DW450" i="34" s="1"/>
  <c r="CM471" i="34"/>
  <c r="DW466" i="34" s="1"/>
  <c r="CM439" i="34"/>
  <c r="DW434" i="34" s="1"/>
  <c r="CM445" i="34"/>
  <c r="DW440" i="34" s="1"/>
  <c r="CM450" i="34"/>
  <c r="DW445" i="34" s="1"/>
  <c r="CM435" i="34"/>
  <c r="DW430" i="34" s="1"/>
  <c r="CM472" i="34"/>
  <c r="DW467" i="34" s="1"/>
  <c r="CM451" i="34"/>
  <c r="DW446" i="34" s="1"/>
  <c r="CT178" i="34"/>
  <c r="CT200" i="34"/>
  <c r="CT205" i="34"/>
  <c r="CT189" i="34"/>
  <c r="CT217" i="34"/>
  <c r="CT176" i="34"/>
  <c r="CT194" i="34"/>
  <c r="CT212" i="34"/>
  <c r="CT187" i="34"/>
  <c r="CT220" i="34"/>
  <c r="CT175" i="34"/>
  <c r="CT195" i="34"/>
  <c r="CD260" i="34"/>
  <c r="CD238" i="34"/>
  <c r="CD262" i="34"/>
  <c r="CD252" i="34"/>
  <c r="CD269" i="34"/>
  <c r="CD275" i="34"/>
  <c r="CD254" i="34"/>
  <c r="CD283" i="34"/>
  <c r="CM458" i="34"/>
  <c r="DW453" i="34" s="1"/>
  <c r="CT303" i="34"/>
  <c r="CT325" i="34"/>
  <c r="CT342" i="34"/>
  <c r="CT322" i="34"/>
  <c r="CT323" i="34"/>
  <c r="CT340" i="34"/>
  <c r="CT316" i="34"/>
  <c r="CT306" i="34"/>
  <c r="CT312" i="34"/>
  <c r="CT320" i="34"/>
  <c r="CT343" i="34"/>
  <c r="CT311" i="34"/>
  <c r="CT251" i="34"/>
  <c r="CT238" i="34"/>
  <c r="CT264" i="34"/>
  <c r="CT282" i="34"/>
  <c r="CT241" i="34"/>
  <c r="CD450" i="34"/>
  <c r="CD456" i="34"/>
  <c r="CD448" i="34"/>
  <c r="CD458" i="34"/>
  <c r="CD430" i="34"/>
  <c r="CD445" i="34"/>
  <c r="CD466" i="34"/>
  <c r="CD447" i="34"/>
  <c r="CD471" i="34"/>
  <c r="CD470" i="34"/>
  <c r="CD443" i="34"/>
  <c r="CD434" i="34"/>
  <c r="CM324" i="34"/>
  <c r="DW319" i="34" s="1"/>
  <c r="CM323" i="34"/>
  <c r="DW318" i="34" s="1"/>
  <c r="CM317" i="34"/>
  <c r="DW312" i="34" s="1"/>
  <c r="CM320" i="34"/>
  <c r="DW315" i="34" s="1"/>
  <c r="CM329" i="34"/>
  <c r="DW324" i="34" s="1"/>
  <c r="CM337" i="34"/>
  <c r="DW332" i="34" s="1"/>
  <c r="CM308" i="34"/>
  <c r="DW303" i="34" s="1"/>
  <c r="CM334" i="34"/>
  <c r="DW329" i="34" s="1"/>
  <c r="CM340" i="34"/>
  <c r="DW335" i="34" s="1"/>
  <c r="CM305" i="34"/>
  <c r="DW300" i="34" s="1"/>
  <c r="CM331" i="34"/>
  <c r="DW326" i="34" s="1"/>
  <c r="CM306" i="34"/>
  <c r="DW301" i="34" s="1"/>
  <c r="CD216" i="34"/>
  <c r="CD201" i="34"/>
  <c r="CD180" i="34"/>
  <c r="CD189" i="34"/>
  <c r="CD192" i="34"/>
  <c r="CD197" i="34"/>
  <c r="CD209" i="34"/>
  <c r="CD208" i="34"/>
  <c r="CD177" i="34"/>
  <c r="CD181" i="34"/>
  <c r="CD184" i="34"/>
  <c r="CM213" i="34"/>
  <c r="DW208" i="34" s="1"/>
  <c r="CM211" i="34"/>
  <c r="DW206" i="34" s="1"/>
  <c r="CM174" i="34"/>
  <c r="DW169" i="34" s="1"/>
  <c r="CM203" i="34"/>
  <c r="DW198" i="34" s="1"/>
  <c r="CM192" i="34"/>
  <c r="DW187" i="34" s="1"/>
  <c r="CM206" i="34"/>
  <c r="DW201" i="34" s="1"/>
  <c r="CM195" i="34"/>
  <c r="DW190" i="34" s="1"/>
  <c r="CM176" i="34"/>
  <c r="DW171" i="34" s="1"/>
  <c r="CM187" i="34"/>
  <c r="DW182" i="34" s="1"/>
  <c r="CM217" i="34"/>
  <c r="DW212" i="34" s="1"/>
  <c r="CM205" i="34"/>
  <c r="DW200" i="34" s="1"/>
  <c r="CM179" i="34"/>
  <c r="DW174" i="34" s="1"/>
  <c r="CD280" i="34"/>
  <c r="CT448" i="34"/>
  <c r="CT464" i="34"/>
  <c r="CT439" i="34"/>
  <c r="CT427" i="34"/>
  <c r="CT461" i="34"/>
  <c r="DM613" i="2"/>
  <c r="H116" i="36"/>
  <c r="AE170" i="40" s="1"/>
  <c r="AW170" i="40" s="1"/>
  <c r="S170" i="8"/>
  <c r="T170" i="8" s="1"/>
  <c r="AY29" i="31"/>
  <c r="Y121" i="8"/>
  <c r="AB121" i="8" s="1"/>
  <c r="AH121" i="8" s="1"/>
  <c r="O178" i="8"/>
  <c r="B124" i="43" s="1"/>
  <c r="N121" i="3"/>
  <c r="L121" i="3"/>
  <c r="AC179" i="3"/>
  <c r="AU179" i="3" s="1"/>
  <c r="H122" i="3"/>
  <c r="K122" i="3"/>
  <c r="N122" i="3" s="1"/>
  <c r="V122" i="3"/>
  <c r="G74" i="4"/>
  <c r="AE120" i="38" s="1"/>
  <c r="AY177" i="38" s="1"/>
  <c r="AN33" i="31"/>
  <c r="AM34" i="31"/>
  <c r="AT32" i="31"/>
  <c r="AU31" i="31"/>
  <c r="Z121" i="6"/>
  <c r="AF121" i="6" s="1"/>
  <c r="AC121" i="6"/>
  <c r="AA178" i="6"/>
  <c r="AA121" i="6"/>
  <c r="AG121" i="6" s="1"/>
  <c r="AM178" i="6"/>
  <c r="AN178" i="6" s="1"/>
  <c r="BF18" i="8"/>
  <c r="AN18" i="8"/>
  <c r="BG18" i="8" s="1"/>
  <c r="AB71" i="8"/>
  <c r="BP29" i="31"/>
  <c r="BN29" i="31"/>
  <c r="BO29" i="31" s="1"/>
  <c r="BC48" i="31"/>
  <c r="BB49" i="31"/>
  <c r="DJ43" i="34"/>
  <c r="DI43" i="34"/>
  <c r="DJ44" i="34"/>
  <c r="DI44" i="34"/>
  <c r="B13" i="36"/>
  <c r="D13" i="36" s="1"/>
  <c r="E13" i="36" s="1"/>
  <c r="S177" i="38" s="1"/>
  <c r="T177" i="38" s="1"/>
  <c r="R177" i="3"/>
  <c r="V170" i="6"/>
  <c r="AN69" i="8"/>
  <c r="S122" i="8"/>
  <c r="AC179" i="8"/>
  <c r="AU179" i="8" s="1"/>
  <c r="H122" i="8"/>
  <c r="V122" i="8"/>
  <c r="K122" i="8"/>
  <c r="L122" i="8" s="1"/>
  <c r="AA121" i="8"/>
  <c r="AG121" i="8" s="1"/>
  <c r="CM282" i="34"/>
  <c r="DW277" i="34" s="1"/>
  <c r="CM269" i="34"/>
  <c r="DW264" i="34" s="1"/>
  <c r="CM268" i="34"/>
  <c r="DW263" i="34" s="1"/>
  <c r="CM262" i="34"/>
  <c r="DW257" i="34" s="1"/>
  <c r="CM251" i="34"/>
  <c r="DW246" i="34" s="1"/>
  <c r="CM245" i="34"/>
  <c r="DW240" i="34" s="1"/>
  <c r="CM272" i="34"/>
  <c r="DW267" i="34" s="1"/>
  <c r="CM249" i="34"/>
  <c r="DW244" i="34" s="1"/>
  <c r="CM464" i="34"/>
  <c r="DW459" i="34" s="1"/>
  <c r="CM454" i="34"/>
  <c r="DW449" i="34" s="1"/>
  <c r="CM431" i="34"/>
  <c r="DW426" i="34" s="1"/>
  <c r="CM448" i="34"/>
  <c r="DW443" i="34" s="1"/>
  <c r="CM468" i="34"/>
  <c r="DW463" i="34" s="1"/>
  <c r="CM437" i="34"/>
  <c r="DW432" i="34" s="1"/>
  <c r="CM430" i="34"/>
  <c r="DW425" i="34" s="1"/>
  <c r="CT201" i="34"/>
  <c r="CT179" i="34"/>
  <c r="CT190" i="34"/>
  <c r="CT184" i="34"/>
  <c r="CT191" i="34"/>
  <c r="CT206" i="34"/>
  <c r="CT198" i="34"/>
  <c r="CT186" i="34"/>
  <c r="CT174" i="34"/>
  <c r="CT177" i="34"/>
  <c r="CT209" i="34"/>
  <c r="CD240" i="34"/>
  <c r="CD237" i="34"/>
  <c r="CD278" i="34"/>
  <c r="CD270" i="34"/>
  <c r="CD264" i="34"/>
  <c r="CD244" i="34"/>
  <c r="CD263" i="34"/>
  <c r="CD253" i="34"/>
  <c r="CD276" i="34"/>
  <c r="CM466" i="34"/>
  <c r="DW461" i="34" s="1"/>
  <c r="CT345" i="34"/>
  <c r="CT346" i="34"/>
  <c r="CT329" i="34"/>
  <c r="CT301" i="34"/>
  <c r="CT336" i="34"/>
  <c r="CT305" i="34"/>
  <c r="CT300" i="34"/>
  <c r="CT328" i="34"/>
  <c r="CT337" i="34"/>
  <c r="CT327" i="34"/>
  <c r="CT315" i="34"/>
  <c r="CT317" i="34"/>
  <c r="CT237" i="34"/>
  <c r="CT267" i="34"/>
  <c r="CT242" i="34"/>
  <c r="CT281" i="34"/>
  <c r="CT260" i="34"/>
  <c r="CT269" i="34"/>
  <c r="CT258" i="34"/>
  <c r="CD455" i="34"/>
  <c r="CD460" i="34"/>
  <c r="CD442" i="34"/>
  <c r="CD452" i="34"/>
  <c r="CD454" i="34"/>
  <c r="CD439" i="34"/>
  <c r="CD467" i="34"/>
  <c r="CD469" i="34"/>
  <c r="CD431" i="34"/>
  <c r="CD451" i="34"/>
  <c r="CD462" i="34"/>
  <c r="CD441" i="34"/>
  <c r="CM336" i="34"/>
  <c r="DW331" i="34" s="1"/>
  <c r="CM300" i="34"/>
  <c r="DW295" i="34" s="1"/>
  <c r="CM322" i="34"/>
  <c r="DW317" i="34" s="1"/>
  <c r="CM316" i="34"/>
  <c r="DW311" i="34" s="1"/>
  <c r="CM335" i="34"/>
  <c r="DW330" i="34" s="1"/>
  <c r="CM346" i="34"/>
  <c r="DW341" i="34" s="1"/>
  <c r="CM310" i="34"/>
  <c r="DW305" i="34" s="1"/>
  <c r="CM339" i="34"/>
  <c r="DW334" i="34" s="1"/>
  <c r="CM321" i="34"/>
  <c r="DW316" i="34" s="1"/>
  <c r="CM343" i="34"/>
  <c r="DW338" i="34" s="1"/>
  <c r="CM301" i="34"/>
  <c r="DW296" i="34" s="1"/>
  <c r="CD219" i="34"/>
  <c r="CD210" i="34"/>
  <c r="CD218" i="34"/>
  <c r="CD179" i="34"/>
  <c r="CD188" i="34"/>
  <c r="CD195" i="34"/>
  <c r="CD193" i="34"/>
  <c r="CD186" i="34"/>
  <c r="CD187" i="34"/>
  <c r="CD213" i="34"/>
  <c r="CD217" i="34"/>
  <c r="CD174" i="34"/>
  <c r="CM210" i="34"/>
  <c r="DW205" i="34" s="1"/>
  <c r="CM183" i="34"/>
  <c r="DW178" i="34" s="1"/>
  <c r="CM200" i="34"/>
  <c r="DW195" i="34" s="1"/>
  <c r="CM193" i="34"/>
  <c r="DW188" i="34" s="1"/>
  <c r="CM199" i="34"/>
  <c r="DW194" i="34" s="1"/>
  <c r="CM202" i="34"/>
  <c r="DW197" i="34" s="1"/>
  <c r="CM208" i="34"/>
  <c r="DW203" i="34" s="1"/>
  <c r="CM186" i="34"/>
  <c r="DW181" i="34" s="1"/>
  <c r="CM180" i="34"/>
  <c r="DW175" i="34" s="1"/>
  <c r="CM175" i="34"/>
  <c r="DW170" i="34" s="1"/>
  <c r="CM178" i="34"/>
  <c r="DW173" i="34" s="1"/>
  <c r="CD268" i="34"/>
  <c r="CT441" i="34"/>
  <c r="CT449" i="34"/>
  <c r="CT465" i="34"/>
  <c r="CT450" i="34"/>
  <c r="CT453" i="34"/>
  <c r="CT457" i="34"/>
  <c r="O178" i="6"/>
  <c r="B69" i="43" s="1"/>
  <c r="D69" i="43" s="1"/>
  <c r="E69" i="43" s="1"/>
  <c r="H69" i="43" s="1"/>
  <c r="J69" i="43" s="1"/>
  <c r="Y121" i="6"/>
  <c r="AB121" i="6" s="1"/>
  <c r="AH121" i="6" s="1"/>
  <c r="C66" i="11"/>
  <c r="D66" i="11" s="1"/>
  <c r="E66" i="11" s="1"/>
  <c r="AM70" i="6"/>
  <c r="AE70" i="6"/>
  <c r="BS31" i="31"/>
  <c r="BT30" i="31"/>
  <c r="BV30" i="31" s="1"/>
  <c r="BW30" i="31" s="1"/>
  <c r="R122" i="3"/>
  <c r="AN69" i="3"/>
  <c r="AR32" i="31"/>
  <c r="AO32" i="31"/>
  <c r="AQ32" i="31" s="1"/>
  <c r="CL27" i="31" s="1"/>
  <c r="G28" i="31" s="1"/>
  <c r="AZ30" i="31"/>
  <c r="AW30" i="31"/>
  <c r="AV30" i="31"/>
  <c r="BF18" i="3"/>
  <c r="AN18" i="3"/>
  <c r="BG18" i="3" s="1"/>
  <c r="AC18" i="3"/>
  <c r="AG18" i="3"/>
  <c r="AF18" i="3"/>
  <c r="AE18" i="3"/>
  <c r="AD18" i="3"/>
  <c r="AE23" i="9"/>
  <c r="AB71" i="3"/>
  <c r="BL30" i="31"/>
  <c r="BK31" i="31"/>
  <c r="AA122" i="6"/>
  <c r="AG122" i="6" s="1"/>
  <c r="BI47" i="31"/>
  <c r="BE47" i="31"/>
  <c r="BD47" i="31"/>
  <c r="BF47" i="31"/>
  <c r="DL43" i="34"/>
  <c r="DL44" i="34"/>
  <c r="DM44" i="34"/>
  <c r="DM43" i="34"/>
  <c r="J61" i="36"/>
  <c r="AE170" i="6"/>
  <c r="AW170" i="6" s="1"/>
  <c r="H119" i="36"/>
  <c r="AE173" i="40" s="1"/>
  <c r="AW173" i="40" s="1"/>
  <c r="S173" i="8"/>
  <c r="T173" i="8" s="1"/>
  <c r="AA121" i="3"/>
  <c r="AG121" i="3" s="1"/>
  <c r="CM247" i="34"/>
  <c r="DW242" i="34" s="1"/>
  <c r="CM243" i="34"/>
  <c r="DW238" i="34" s="1"/>
  <c r="CM257" i="34"/>
  <c r="DW252" i="34" s="1"/>
  <c r="CM263" i="34"/>
  <c r="DW258" i="34" s="1"/>
  <c r="CM258" i="34"/>
  <c r="DW253" i="34" s="1"/>
  <c r="CM264" i="34"/>
  <c r="DW259" i="34" s="1"/>
  <c r="CM246" i="34"/>
  <c r="DW241" i="34" s="1"/>
  <c r="CM443" i="34"/>
  <c r="DW438" i="34" s="1"/>
  <c r="CM465" i="34"/>
  <c r="DW460" i="34" s="1"/>
  <c r="CM447" i="34"/>
  <c r="DW442" i="34" s="1"/>
  <c r="CM442" i="34"/>
  <c r="DW437" i="34" s="1"/>
  <c r="CM456" i="34"/>
  <c r="DW451" i="34" s="1"/>
  <c r="CM463" i="34"/>
  <c r="DW458" i="34" s="1"/>
  <c r="CM461" i="34"/>
  <c r="DW456" i="34" s="1"/>
  <c r="CM469" i="34"/>
  <c r="DW464" i="34" s="1"/>
  <c r="CM433" i="34"/>
  <c r="DW428" i="34" s="1"/>
  <c r="CT197" i="34"/>
  <c r="CT208" i="34"/>
  <c r="CT188" i="34"/>
  <c r="CT193" i="34"/>
  <c r="CT196" i="34"/>
  <c r="CT181" i="34"/>
  <c r="CT185" i="34"/>
  <c r="CT183" i="34"/>
  <c r="CT199" i="34"/>
  <c r="CT204" i="34"/>
  <c r="CT192" i="34"/>
  <c r="CT218" i="34"/>
  <c r="CD243" i="34"/>
  <c r="CD282" i="34"/>
  <c r="CD247" i="34"/>
  <c r="CD266" i="34"/>
  <c r="CD261" i="34"/>
  <c r="CD246" i="34"/>
  <c r="CM446" i="34"/>
  <c r="DW441" i="34" s="1"/>
  <c r="CT330" i="34"/>
  <c r="CT318" i="34"/>
  <c r="CT332" i="34"/>
  <c r="CT314" i="34"/>
  <c r="CT333" i="34"/>
  <c r="CT338" i="34"/>
  <c r="CT308" i="34"/>
  <c r="CT319" i="34"/>
  <c r="CT331" i="34"/>
  <c r="CT309" i="34"/>
  <c r="CT313" i="34"/>
  <c r="CT249" i="34"/>
  <c r="CT275" i="34"/>
  <c r="CT266" i="34"/>
  <c r="CT276" i="34"/>
  <c r="CT268" i="34"/>
  <c r="CT265" i="34"/>
  <c r="CT239" i="34"/>
  <c r="CT274" i="34"/>
  <c r="CT280" i="34"/>
  <c r="CD428" i="34"/>
  <c r="CD464" i="34"/>
  <c r="CD432" i="34"/>
  <c r="CD427" i="34"/>
  <c r="CD472" i="34"/>
  <c r="CD437" i="34"/>
  <c r="CD444" i="34"/>
  <c r="CD449" i="34"/>
  <c r="CD426" i="34"/>
  <c r="CD438" i="34"/>
  <c r="CD436" i="34"/>
  <c r="CD465" i="34"/>
  <c r="CM345" i="34"/>
  <c r="DW340" i="34" s="1"/>
  <c r="CM315" i="34"/>
  <c r="DW310" i="34" s="1"/>
  <c r="CM333" i="34"/>
  <c r="DW328" i="34" s="1"/>
  <c r="CM338" i="34"/>
  <c r="DW333" i="34" s="1"/>
  <c r="CM332" i="34"/>
  <c r="DW327" i="34" s="1"/>
  <c r="CM344" i="34"/>
  <c r="DW339" i="34" s="1"/>
  <c r="CM327" i="34"/>
  <c r="DW322" i="34" s="1"/>
  <c r="CM312" i="34"/>
  <c r="DW307" i="34" s="1"/>
  <c r="CM325" i="34"/>
  <c r="DW320" i="34" s="1"/>
  <c r="CM309" i="34"/>
  <c r="DW304" i="34" s="1"/>
  <c r="CM302" i="34"/>
  <c r="DW297" i="34" s="1"/>
  <c r="CM342" i="34"/>
  <c r="DW337" i="34" s="1"/>
  <c r="CD215" i="34"/>
  <c r="CD178" i="34"/>
  <c r="CD200" i="34"/>
  <c r="CD182" i="34"/>
  <c r="CD190" i="34"/>
  <c r="CD203" i="34"/>
  <c r="CD185" i="34"/>
  <c r="CD212" i="34"/>
  <c r="CD207" i="34"/>
  <c r="CD206" i="34"/>
  <c r="CD205" i="34"/>
  <c r="CD194" i="34"/>
  <c r="CM196" i="34"/>
  <c r="DW191" i="34" s="1"/>
  <c r="CM220" i="34"/>
  <c r="DW215" i="34" s="1"/>
  <c r="CM191" i="34"/>
  <c r="DW186" i="34" s="1"/>
  <c r="CM198" i="34"/>
  <c r="DW193" i="34" s="1"/>
  <c r="CM212" i="34"/>
  <c r="DW207" i="34" s="1"/>
  <c r="CM177" i="34"/>
  <c r="DW172" i="34" s="1"/>
  <c r="CM216" i="34"/>
  <c r="DW211" i="34" s="1"/>
  <c r="CM209" i="34"/>
  <c r="DW204" i="34" s="1"/>
  <c r="CM218" i="34"/>
  <c r="DW213" i="34" s="1"/>
  <c r="CM184" i="34"/>
  <c r="DW179" i="34" s="1"/>
  <c r="CM182" i="34"/>
  <c r="DW177" i="34" s="1"/>
  <c r="CM219" i="34"/>
  <c r="DW214" i="34" s="1"/>
  <c r="CD245" i="34"/>
  <c r="CT454" i="34"/>
  <c r="CT446" i="34"/>
  <c r="CT437" i="34"/>
  <c r="CT438" i="34"/>
  <c r="CT468" i="34"/>
  <c r="CT435" i="34"/>
  <c r="CT458" i="34"/>
  <c r="CT462" i="34"/>
  <c r="D67" i="36"/>
  <c r="E67" i="36" s="1"/>
  <c r="S176" i="39" s="1"/>
  <c r="T176" i="39" s="1"/>
  <c r="B68" i="36"/>
  <c r="D68" i="36" s="1"/>
  <c r="E68" i="36" s="1"/>
  <c r="S177" i="39" s="1"/>
  <c r="T177" i="39" s="1"/>
  <c r="R177" i="6"/>
  <c r="M121" i="3"/>
  <c r="X122" i="3"/>
  <c r="C15" i="11"/>
  <c r="D15" i="11" s="1"/>
  <c r="E15" i="11" s="1"/>
  <c r="AM70" i="3"/>
  <c r="AE70" i="3"/>
  <c r="V171" i="6"/>
  <c r="AO171" i="6"/>
  <c r="AP171" i="6" s="1"/>
  <c r="L121" i="8"/>
  <c r="M121" i="8"/>
  <c r="BH46" i="31"/>
  <c r="DL613" i="2"/>
  <c r="DM612" i="2"/>
  <c r="DL612" i="2"/>
  <c r="M17" i="11"/>
  <c r="AB19" i="8"/>
  <c r="AB19" i="6"/>
  <c r="AB19" i="3"/>
  <c r="M122" i="6"/>
  <c r="B123" i="36"/>
  <c r="D123" i="36" s="1"/>
  <c r="E123" i="36" s="1"/>
  <c r="S177" i="40" s="1"/>
  <c r="T177" i="40" s="1"/>
  <c r="R177" i="8"/>
  <c r="CT24" i="31"/>
  <c r="V174" i="6"/>
  <c r="AO174" i="6"/>
  <c r="AP174" i="6" s="1"/>
  <c r="J66" i="36"/>
  <c r="AE175" i="6"/>
  <c r="AW175" i="6" s="1"/>
  <c r="AO173" i="3"/>
  <c r="AP173" i="3" s="1"/>
  <c r="CM241" i="34"/>
  <c r="DW236" i="34" s="1"/>
  <c r="CM280" i="34"/>
  <c r="DW275" i="34" s="1"/>
  <c r="CM275" i="34"/>
  <c r="DW270" i="34" s="1"/>
  <c r="CM237" i="34"/>
  <c r="DW232" i="34" s="1"/>
  <c r="CM279" i="34"/>
  <c r="DW274" i="34" s="1"/>
  <c r="CM281" i="34"/>
  <c r="DW276" i="34" s="1"/>
  <c r="CM244" i="34"/>
  <c r="DW239" i="34" s="1"/>
  <c r="CM239" i="34"/>
  <c r="DW234" i="34" s="1"/>
  <c r="CM248" i="34"/>
  <c r="DW243" i="34" s="1"/>
  <c r="CM250" i="34"/>
  <c r="DW245" i="34" s="1"/>
  <c r="CM271" i="34"/>
  <c r="DW266" i="34" s="1"/>
  <c r="CM278" i="34"/>
  <c r="DW273" i="34" s="1"/>
  <c r="CM460" i="34"/>
  <c r="DW455" i="34" s="1"/>
  <c r="CM434" i="34"/>
  <c r="DW429" i="34" s="1"/>
  <c r="CM438" i="34"/>
  <c r="DW433" i="34" s="1"/>
  <c r="CM452" i="34"/>
  <c r="DW447" i="34" s="1"/>
  <c r="CM429" i="34"/>
  <c r="DW424" i="34" s="1"/>
  <c r="CM459" i="34"/>
  <c r="DW454" i="34" s="1"/>
  <c r="CM449" i="34"/>
  <c r="DW444" i="34" s="1"/>
  <c r="CM441" i="34"/>
  <c r="DW436" i="34" s="1"/>
  <c r="CM457" i="34"/>
  <c r="DW452" i="34" s="1"/>
  <c r="CM432" i="34"/>
  <c r="DW427" i="34" s="1"/>
  <c r="CT215" i="34"/>
  <c r="CT207" i="34"/>
  <c r="CT203" i="34"/>
  <c r="CT182" i="34"/>
  <c r="CT210" i="34"/>
  <c r="CT202" i="34"/>
  <c r="CT180" i="34"/>
  <c r="CT211" i="34"/>
  <c r="CT219" i="34"/>
  <c r="CT213" i="34"/>
  <c r="CT214" i="34"/>
  <c r="CT216" i="34"/>
  <c r="CD277" i="34"/>
  <c r="CD273" i="34"/>
  <c r="CD255" i="34"/>
  <c r="CD251" i="34"/>
  <c r="CD259" i="34"/>
  <c r="CD267" i="34"/>
  <c r="CD258" i="34"/>
  <c r="CD271" i="34"/>
  <c r="CD249" i="34"/>
  <c r="CM427" i="34"/>
  <c r="DW422" i="34" s="1"/>
  <c r="CM428" i="34"/>
  <c r="DW423" i="34" s="1"/>
  <c r="CM426" i="34"/>
  <c r="DW421" i="34" s="1"/>
  <c r="CT321" i="34"/>
  <c r="CT304" i="34"/>
  <c r="CT324" i="34"/>
  <c r="CT344" i="34"/>
  <c r="CT310" i="34"/>
  <c r="CT335" i="34"/>
  <c r="CT307" i="34"/>
  <c r="CT339" i="34"/>
  <c r="CT326" i="34"/>
  <c r="CT302" i="34"/>
  <c r="CT341" i="34"/>
  <c r="CT334" i="34"/>
  <c r="CT259" i="34"/>
  <c r="CT270" i="34"/>
  <c r="CT247" i="34"/>
  <c r="CT273" i="34"/>
  <c r="CT256" i="34"/>
  <c r="CT254" i="34"/>
  <c r="CT252" i="34"/>
  <c r="CT283" i="34"/>
  <c r="CT244" i="34"/>
  <c r="CD446" i="34"/>
  <c r="CD459" i="34"/>
  <c r="CD453" i="34"/>
  <c r="CD440" i="34"/>
  <c r="CD461" i="34"/>
  <c r="CD433" i="34"/>
  <c r="CD468" i="34"/>
  <c r="CD429" i="34"/>
  <c r="CD435" i="34"/>
  <c r="CD463" i="34"/>
  <c r="CD457" i="34"/>
  <c r="CM330" i="34"/>
  <c r="DW325" i="34" s="1"/>
  <c r="CM318" i="34"/>
  <c r="DW313" i="34" s="1"/>
  <c r="CM311" i="34"/>
  <c r="DW306" i="34" s="1"/>
  <c r="CM314" i="34"/>
  <c r="DW309" i="34" s="1"/>
  <c r="CM313" i="34"/>
  <c r="DW308" i="34" s="1"/>
  <c r="CM303" i="34"/>
  <c r="DW298" i="34" s="1"/>
  <c r="CM307" i="34"/>
  <c r="DW302" i="34" s="1"/>
  <c r="CM341" i="34"/>
  <c r="DW336" i="34" s="1"/>
  <c r="CM304" i="34"/>
  <c r="DW299" i="34" s="1"/>
  <c r="CM328" i="34"/>
  <c r="DW323" i="34" s="1"/>
  <c r="CM319" i="34"/>
  <c r="DW314" i="34" s="1"/>
  <c r="CM326" i="34"/>
  <c r="DW321" i="34" s="1"/>
  <c r="CD211" i="34"/>
  <c r="CD175" i="34"/>
  <c r="CD202" i="34"/>
  <c r="CD198" i="34"/>
  <c r="CD199" i="34"/>
  <c r="CD220" i="34"/>
  <c r="CD176" i="34"/>
  <c r="CD191" i="34"/>
  <c r="CD183" i="34"/>
  <c r="CD196" i="34"/>
  <c r="CD214" i="34"/>
  <c r="CD204" i="34"/>
  <c r="CM204" i="34"/>
  <c r="DW199" i="34" s="1"/>
  <c r="CM185" i="34"/>
  <c r="DW180" i="34" s="1"/>
  <c r="CM201" i="34"/>
  <c r="DW196" i="34" s="1"/>
  <c r="CM194" i="34"/>
  <c r="DW189" i="34" s="1"/>
  <c r="CM215" i="34"/>
  <c r="DW210" i="34" s="1"/>
  <c r="CM189" i="34"/>
  <c r="DW184" i="34" s="1"/>
  <c r="CM197" i="34"/>
  <c r="DW192" i="34" s="1"/>
  <c r="CM190" i="34"/>
  <c r="DW185" i="34" s="1"/>
  <c r="CM207" i="34"/>
  <c r="DW202" i="34" s="1"/>
  <c r="CM214" i="34"/>
  <c r="DW209" i="34" s="1"/>
  <c r="CM188" i="34"/>
  <c r="DW183" i="34" s="1"/>
  <c r="CM181" i="34"/>
  <c r="DW176" i="34" s="1"/>
  <c r="CD257" i="34"/>
  <c r="CT432" i="34"/>
  <c r="CT471" i="34"/>
  <c r="CT442" i="34"/>
  <c r="CT466" i="34"/>
  <c r="CT430" i="34"/>
  <c r="CT467" i="34"/>
  <c r="J122" i="36"/>
  <c r="AE176" i="8"/>
  <c r="AW176" i="8" s="1"/>
  <c r="J117" i="36"/>
  <c r="AE171" i="8"/>
  <c r="AW171" i="8" s="1"/>
  <c r="J63" i="36"/>
  <c r="AE172" i="6"/>
  <c r="AW172" i="6" s="1"/>
  <c r="J64" i="36"/>
  <c r="AE173" i="6"/>
  <c r="AW173" i="6" s="1"/>
  <c r="J121" i="36"/>
  <c r="AE175" i="8"/>
  <c r="AW175" i="8" s="1"/>
  <c r="H7" i="36"/>
  <c r="AE171" i="38" s="1"/>
  <c r="AW171" i="38" s="1"/>
  <c r="S171" i="3"/>
  <c r="T171" i="3" s="1"/>
  <c r="AY171" i="6"/>
  <c r="AK114" i="6"/>
  <c r="K68" i="4"/>
  <c r="O68" i="4" s="1"/>
  <c r="I68" i="4"/>
  <c r="C68" i="4"/>
  <c r="AY171" i="3"/>
  <c r="AK114" i="3"/>
  <c r="V175" i="8"/>
  <c r="AO175" i="8"/>
  <c r="AP175" i="8" s="1"/>
  <c r="V171" i="8"/>
  <c r="H11" i="36"/>
  <c r="AE175" i="38" s="1"/>
  <c r="AW175" i="38" s="1"/>
  <c r="S175" i="3"/>
  <c r="T175" i="3" s="1"/>
  <c r="AY171" i="8"/>
  <c r="AK114" i="8"/>
  <c r="R68" i="4"/>
  <c r="V68" i="4" s="1"/>
  <c r="V172" i="6"/>
  <c r="H10" i="36"/>
  <c r="AE174" i="38" s="1"/>
  <c r="AW174" i="38" s="1"/>
  <c r="S174" i="3"/>
  <c r="T174" i="3" s="1"/>
  <c r="H118" i="36"/>
  <c r="AE172" i="40" s="1"/>
  <c r="AW172" i="40" s="1"/>
  <c r="S172" i="8"/>
  <c r="T172" i="8" s="1"/>
  <c r="H8" i="36"/>
  <c r="AE172" i="38" s="1"/>
  <c r="AW172" i="38" s="1"/>
  <c r="S172" i="3"/>
  <c r="T172" i="3" s="1"/>
  <c r="V172" i="3" s="1"/>
  <c r="AK117" i="8"/>
  <c r="AY174" i="8"/>
  <c r="R71" i="4"/>
  <c r="V71" i="4" s="1"/>
  <c r="H12" i="36"/>
  <c r="AE176" i="38" s="1"/>
  <c r="AW176" i="38" s="1"/>
  <c r="S176" i="3"/>
  <c r="T176" i="3" s="1"/>
  <c r="AK117" i="6"/>
  <c r="AY174" i="6"/>
  <c r="K71" i="4"/>
  <c r="O71" i="4" s="1"/>
  <c r="V173" i="6"/>
  <c r="V176" i="8"/>
  <c r="AO176" i="8"/>
  <c r="AP176" i="8" s="1"/>
  <c r="I71" i="4"/>
  <c r="AY174" i="3"/>
  <c r="C71" i="4"/>
  <c r="AK117" i="3"/>
  <c r="S170" i="3"/>
  <c r="T170" i="3" s="1"/>
  <c r="H6" i="36"/>
  <c r="AE170" i="38" s="1"/>
  <c r="AW170" i="38" s="1"/>
  <c r="AE113" i="8"/>
  <c r="AE113" i="6"/>
  <c r="AE113" i="3"/>
  <c r="AK113" i="3" s="1"/>
  <c r="AS119" i="6"/>
  <c r="AT119" i="6" s="1"/>
  <c r="I64" i="15"/>
  <c r="F64" i="15"/>
  <c r="J64" i="15"/>
  <c r="E64" i="15"/>
  <c r="F14" i="15"/>
  <c r="I14" i="15"/>
  <c r="E14" i="15"/>
  <c r="AS119" i="3"/>
  <c r="AT119" i="3" s="1"/>
  <c r="CI235" i="2"/>
  <c r="CR488" i="2"/>
  <c r="CS236" i="2"/>
  <c r="CL109" i="2"/>
  <c r="CI108" i="2"/>
  <c r="CK361" i="2"/>
  <c r="CC425" i="2"/>
  <c r="CC553" i="2"/>
  <c r="CJ361" i="2"/>
  <c r="CK488" i="2"/>
  <c r="CS425" i="2"/>
  <c r="CR362" i="2"/>
  <c r="CJ236" i="2"/>
  <c r="CK488" i="34"/>
  <c r="CK552" i="2"/>
  <c r="CS298" i="2"/>
  <c r="CS109" i="2"/>
  <c r="CB172" i="2"/>
  <c r="CL361" i="2"/>
  <c r="CR552" i="2"/>
  <c r="CA488" i="2"/>
  <c r="CS361" i="2"/>
  <c r="CL425" i="2"/>
  <c r="CL489" i="2"/>
  <c r="CB299" i="2"/>
  <c r="CK489" i="34"/>
  <c r="CI109" i="2"/>
  <c r="CL172" i="2"/>
  <c r="CS362" i="2"/>
  <c r="CR489" i="34"/>
  <c r="CB425" i="2"/>
  <c r="CC172" i="2"/>
  <c r="CI552" i="2"/>
  <c r="CL108" i="2"/>
  <c r="CB489" i="34"/>
  <c r="CJ489" i="2"/>
  <c r="CR235" i="2"/>
  <c r="CJ173" i="2"/>
  <c r="CS235" i="2"/>
  <c r="CI425" i="2"/>
  <c r="CC552" i="2"/>
  <c r="CB424" i="2"/>
  <c r="CA552" i="2"/>
  <c r="CC489" i="2"/>
  <c r="CB109" i="2"/>
  <c r="CK553" i="2"/>
  <c r="CL489" i="34"/>
  <c r="CJ109" i="2"/>
  <c r="CS489" i="34"/>
  <c r="CJ425" i="2"/>
  <c r="CA172" i="2"/>
  <c r="CK108" i="2"/>
  <c r="CC488" i="34"/>
  <c r="CB488" i="2"/>
  <c r="CR173" i="2"/>
  <c r="CL488" i="34"/>
  <c r="CI489" i="34"/>
  <c r="CL362" i="2"/>
  <c r="CS488" i="34"/>
  <c r="CI553" i="2"/>
  <c r="CC236" i="2"/>
  <c r="CA236" i="2"/>
  <c r="CC173" i="2"/>
  <c r="CA489" i="2"/>
  <c r="CA553" i="2"/>
  <c r="CL553" i="2"/>
  <c r="CR553" i="2"/>
  <c r="CC298" i="2"/>
  <c r="CC424" i="2"/>
  <c r="CJ488" i="2"/>
  <c r="CJ362" i="2"/>
  <c r="CI424" i="2"/>
  <c r="CL173" i="2"/>
  <c r="CC489" i="34"/>
  <c r="CK173" i="2"/>
  <c r="CI299" i="2"/>
  <c r="CJ172" i="2"/>
  <c r="CB362" i="2"/>
  <c r="CA173" i="2"/>
  <c r="CK425" i="2"/>
  <c r="CB489" i="2"/>
  <c r="CB236" i="2"/>
  <c r="CS172" i="2"/>
  <c r="CJ108" i="2"/>
  <c r="CK299" i="2"/>
  <c r="CA235" i="2"/>
  <c r="CB173" i="2"/>
  <c r="CA488" i="34"/>
  <c r="CJ298" i="2"/>
  <c r="CK236" i="2"/>
  <c r="CB361" i="2"/>
  <c r="CI488" i="2"/>
  <c r="CR109" i="2"/>
  <c r="CJ488" i="34"/>
  <c r="CA109" i="2"/>
  <c r="CL552" i="2"/>
  <c r="CB235" i="2"/>
  <c r="CC488" i="2"/>
  <c r="CS489" i="2"/>
  <c r="CR236" i="2"/>
  <c r="CR108" i="2"/>
  <c r="CS173" i="2"/>
  <c r="CC361" i="2"/>
  <c r="CB553" i="2"/>
  <c r="CL298" i="2"/>
  <c r="CS108" i="2"/>
  <c r="CJ553" i="2"/>
  <c r="CR361" i="2"/>
  <c r="CA489" i="34"/>
  <c r="CS553" i="2"/>
  <c r="CC109" i="2"/>
  <c r="CI361" i="2"/>
  <c r="CI362" i="2"/>
  <c r="CK362" i="2"/>
  <c r="CR489" i="2"/>
  <c r="CI236" i="2"/>
  <c r="CJ552" i="2"/>
  <c r="CL299" i="2"/>
  <c r="CA361" i="2"/>
  <c r="CJ489" i="34"/>
  <c r="CJ299" i="2"/>
  <c r="CC299" i="2"/>
  <c r="CK235" i="2"/>
  <c r="CB298" i="2"/>
  <c r="CS299" i="2"/>
  <c r="CB488" i="34"/>
  <c r="CI488" i="34"/>
  <c r="CL236" i="2"/>
  <c r="CR298" i="2"/>
  <c r="CI172" i="2"/>
  <c r="CL235" i="2"/>
  <c r="CA299" i="2"/>
  <c r="CS424" i="2"/>
  <c r="CK109" i="2"/>
  <c r="CS552" i="2"/>
  <c r="CI298" i="2"/>
  <c r="CC362" i="2"/>
  <c r="CJ424" i="2"/>
  <c r="CA424" i="2"/>
  <c r="CR425" i="2"/>
  <c r="CL424" i="2"/>
  <c r="CB108" i="2"/>
  <c r="CC108" i="2"/>
  <c r="CA108" i="2"/>
  <c r="CA298" i="2"/>
  <c r="CK424" i="2"/>
  <c r="CI173" i="2"/>
  <c r="CK298" i="2"/>
  <c r="CA362" i="2"/>
  <c r="CR424" i="2"/>
  <c r="CR488" i="34"/>
  <c r="CR299" i="2"/>
  <c r="CI489" i="2"/>
  <c r="CA425" i="2"/>
  <c r="CR172" i="2"/>
  <c r="CC235" i="2"/>
  <c r="CJ235" i="2"/>
  <c r="CB552" i="2"/>
  <c r="CK489" i="2"/>
  <c r="CK172" i="2"/>
  <c r="CS488" i="2"/>
  <c r="AL119" i="40" l="1"/>
  <c r="AS115" i="39"/>
  <c r="AT115" i="39" s="1"/>
  <c r="AS114" i="39"/>
  <c r="AT114" i="39" s="1"/>
  <c r="AI113" i="40"/>
  <c r="AO119" i="40"/>
  <c r="AR119" i="40" s="1"/>
  <c r="AS119" i="40" s="1"/>
  <c r="AT119" i="40" s="1"/>
  <c r="AZ176" i="40"/>
  <c r="AE113" i="38"/>
  <c r="AY170" i="38" s="1"/>
  <c r="AE113" i="40"/>
  <c r="AY170" i="40" s="1"/>
  <c r="D124" i="43"/>
  <c r="E124" i="43" s="1"/>
  <c r="H124" i="43" s="1"/>
  <c r="J124" i="43" s="1"/>
  <c r="AM119" i="39"/>
  <c r="AP119" i="39" s="1"/>
  <c r="R70" i="4"/>
  <c r="V70" i="4" s="1"/>
  <c r="AY173" i="8"/>
  <c r="AK116" i="8"/>
  <c r="I70" i="4"/>
  <c r="AY173" i="3"/>
  <c r="AK116" i="3"/>
  <c r="C70" i="4"/>
  <c r="AY173" i="39"/>
  <c r="AK116" i="39"/>
  <c r="AY173" i="6"/>
  <c r="AK116" i="6"/>
  <c r="K70" i="4"/>
  <c r="O70" i="4" s="1"/>
  <c r="AY173" i="40"/>
  <c r="AK116" i="40"/>
  <c r="AY173" i="38"/>
  <c r="AK116" i="38"/>
  <c r="AS114" i="38"/>
  <c r="AT114" i="38" s="1"/>
  <c r="AS118" i="39"/>
  <c r="AT118" i="39" s="1"/>
  <c r="AN119" i="39"/>
  <c r="AQ119" i="39" s="1"/>
  <c r="AS117" i="38"/>
  <c r="AT117" i="38" s="1"/>
  <c r="AO114" i="40"/>
  <c r="AR114" i="40" s="1"/>
  <c r="AN114" i="40"/>
  <c r="AQ114" i="40" s="1"/>
  <c r="AL114" i="40"/>
  <c r="CM128" i="34"/>
  <c r="DW123" i="34" s="1"/>
  <c r="CM133" i="34"/>
  <c r="DW128" i="34" s="1"/>
  <c r="AZ171" i="40"/>
  <c r="AO119" i="38"/>
  <c r="AR119" i="38" s="1"/>
  <c r="AL119" i="38"/>
  <c r="AN119" i="38"/>
  <c r="AQ119" i="38" s="1"/>
  <c r="AM119" i="38"/>
  <c r="AP119" i="38" s="1"/>
  <c r="AZ176" i="38"/>
  <c r="AL119" i="8"/>
  <c r="AZ176" i="8"/>
  <c r="AM119" i="8"/>
  <c r="AP119" i="8" s="1"/>
  <c r="B114" i="15"/>
  <c r="C114" i="15" s="1"/>
  <c r="AN119" i="8"/>
  <c r="AQ119" i="8" s="1"/>
  <c r="AO119" i="8"/>
  <c r="AR119" i="8" s="1"/>
  <c r="CM126" i="34"/>
  <c r="DW121" i="34" s="1"/>
  <c r="AL117" i="39"/>
  <c r="AO118" i="40"/>
  <c r="AR118" i="40" s="1"/>
  <c r="AM118" i="40"/>
  <c r="AP118" i="40" s="1"/>
  <c r="AZ175" i="40"/>
  <c r="AO173" i="6"/>
  <c r="AP173" i="6" s="1"/>
  <c r="AE120" i="40"/>
  <c r="AY177" i="40" s="1"/>
  <c r="AM115" i="40"/>
  <c r="AP115" i="40" s="1"/>
  <c r="AZ172" i="40"/>
  <c r="AO115" i="40"/>
  <c r="AR115" i="40" s="1"/>
  <c r="AN115" i="40"/>
  <c r="AQ115" i="40" s="1"/>
  <c r="AL115" i="40"/>
  <c r="AE120" i="39"/>
  <c r="AO117" i="39"/>
  <c r="AR117" i="39" s="1"/>
  <c r="AM117" i="39"/>
  <c r="AP117" i="39" s="1"/>
  <c r="AZ174" i="39"/>
  <c r="AN117" i="40"/>
  <c r="AQ117" i="40" s="1"/>
  <c r="AL117" i="40"/>
  <c r="AZ174" i="40"/>
  <c r="AO117" i="40"/>
  <c r="AR117" i="40" s="1"/>
  <c r="AM117" i="40"/>
  <c r="AP117" i="40" s="1"/>
  <c r="AY170" i="39"/>
  <c r="AK113" i="39"/>
  <c r="CD631" i="34"/>
  <c r="CM124" i="34"/>
  <c r="DW119" i="34" s="1"/>
  <c r="AC179" i="40"/>
  <c r="AU179" i="40" s="1"/>
  <c r="X122" i="40"/>
  <c r="H122" i="40"/>
  <c r="K122" i="40"/>
  <c r="M122" i="40" s="1"/>
  <c r="V122" i="40"/>
  <c r="AA178" i="40"/>
  <c r="AC121" i="40"/>
  <c r="AB121" i="40"/>
  <c r="Z121" i="40"/>
  <c r="AA121" i="40"/>
  <c r="AM178" i="40"/>
  <c r="AN178" i="40" s="1"/>
  <c r="AO170" i="40"/>
  <c r="AP170" i="40" s="1"/>
  <c r="V177" i="40"/>
  <c r="M122" i="8"/>
  <c r="G123" i="8"/>
  <c r="G123" i="40"/>
  <c r="AF120" i="40"/>
  <c r="AO171" i="8"/>
  <c r="AP171" i="8" s="1"/>
  <c r="AO172" i="40"/>
  <c r="AP172" i="40" s="1"/>
  <c r="N121" i="40"/>
  <c r="L121" i="40"/>
  <c r="AH120" i="40"/>
  <c r="AO173" i="40"/>
  <c r="AP173" i="40" s="1"/>
  <c r="G123" i="6"/>
  <c r="X123" i="6" s="1"/>
  <c r="G123" i="39"/>
  <c r="AH120" i="39"/>
  <c r="AA178" i="39"/>
  <c r="AC121" i="39"/>
  <c r="AB121" i="39"/>
  <c r="Z121" i="39"/>
  <c r="AG120" i="39"/>
  <c r="AZ176" i="39"/>
  <c r="AL119" i="39"/>
  <c r="AI119" i="39"/>
  <c r="AM178" i="39"/>
  <c r="AN178" i="39" s="1"/>
  <c r="AA121" i="39"/>
  <c r="AC179" i="39"/>
  <c r="AU179" i="39" s="1"/>
  <c r="H122" i="39"/>
  <c r="X122" i="39"/>
  <c r="K122" i="39"/>
  <c r="V122" i="39"/>
  <c r="V176" i="39"/>
  <c r="V177" i="39"/>
  <c r="AF120" i="39"/>
  <c r="M121" i="39"/>
  <c r="N121" i="39"/>
  <c r="L121" i="39"/>
  <c r="CD622" i="34"/>
  <c r="CD621" i="34"/>
  <c r="CD629" i="34"/>
  <c r="AO115" i="38"/>
  <c r="AR115" i="38" s="1"/>
  <c r="AM115" i="38"/>
  <c r="AP115" i="38" s="1"/>
  <c r="AN115" i="38"/>
  <c r="AQ115" i="38" s="1"/>
  <c r="AL115" i="38"/>
  <c r="AZ172" i="38"/>
  <c r="AO118" i="6"/>
  <c r="AR118" i="6" s="1"/>
  <c r="AL118" i="6"/>
  <c r="AN118" i="6"/>
  <c r="AQ118" i="6" s="1"/>
  <c r="AM118" i="6"/>
  <c r="AP118" i="6" s="1"/>
  <c r="AZ175" i="6"/>
  <c r="B63" i="15"/>
  <c r="C63" i="15" s="1"/>
  <c r="AO118" i="3"/>
  <c r="AR118" i="3" s="1"/>
  <c r="B13" i="15"/>
  <c r="C13" i="15" s="1"/>
  <c r="J13" i="15" s="1"/>
  <c r="AZ175" i="3"/>
  <c r="AL118" i="3"/>
  <c r="AM118" i="3"/>
  <c r="AP118" i="3" s="1"/>
  <c r="AN118" i="3"/>
  <c r="AQ118" i="3" s="1"/>
  <c r="AL115" i="8"/>
  <c r="AZ172" i="8"/>
  <c r="AN115" i="8"/>
  <c r="AQ115" i="8" s="1"/>
  <c r="B110" i="15"/>
  <c r="C110" i="15" s="1"/>
  <c r="AO115" i="8"/>
  <c r="AR115" i="8" s="1"/>
  <c r="AM115" i="8"/>
  <c r="AP115" i="8" s="1"/>
  <c r="AZ175" i="38"/>
  <c r="AM118" i="38"/>
  <c r="AP118" i="38" s="1"/>
  <c r="AN118" i="38"/>
  <c r="AQ118" i="38" s="1"/>
  <c r="AL118" i="38"/>
  <c r="AO118" i="38"/>
  <c r="AR118" i="38" s="1"/>
  <c r="AM118" i="8"/>
  <c r="AP118" i="8" s="1"/>
  <c r="AL118" i="8"/>
  <c r="AN118" i="8"/>
  <c r="AQ118" i="8" s="1"/>
  <c r="B113" i="15"/>
  <c r="C113" i="15" s="1"/>
  <c r="AZ175" i="8"/>
  <c r="AO118" i="8"/>
  <c r="AR118" i="8" s="1"/>
  <c r="B60" i="15"/>
  <c r="C60" i="15" s="1"/>
  <c r="AO115" i="6"/>
  <c r="AR115" i="6" s="1"/>
  <c r="AZ172" i="6"/>
  <c r="AL115" i="6"/>
  <c r="AN115" i="6"/>
  <c r="AQ115" i="6" s="1"/>
  <c r="AM115" i="6"/>
  <c r="AP115" i="6" s="1"/>
  <c r="AM115" i="3"/>
  <c r="AP115" i="3" s="1"/>
  <c r="AZ172" i="3"/>
  <c r="AL115" i="3"/>
  <c r="B10" i="15"/>
  <c r="C10" i="15" s="1"/>
  <c r="J10" i="15" s="1"/>
  <c r="AO115" i="3"/>
  <c r="AR115" i="3" s="1"/>
  <c r="AN115" i="3"/>
  <c r="AQ115" i="3" s="1"/>
  <c r="AG120" i="38"/>
  <c r="AC179" i="38"/>
  <c r="AU179" i="38" s="1"/>
  <c r="H122" i="38"/>
  <c r="X122" i="38"/>
  <c r="V122" i="38"/>
  <c r="K122" i="38"/>
  <c r="AF120" i="38"/>
  <c r="G123" i="3"/>
  <c r="X123" i="3" s="1"/>
  <c r="G123" i="38"/>
  <c r="L121" i="38"/>
  <c r="N121" i="38"/>
  <c r="AA121" i="38"/>
  <c r="AM178" i="38"/>
  <c r="AN178" i="38" s="1"/>
  <c r="AH120" i="38"/>
  <c r="AO170" i="38"/>
  <c r="AP170" i="38" s="1"/>
  <c r="AO172" i="38"/>
  <c r="AP172" i="38" s="1"/>
  <c r="AO175" i="38"/>
  <c r="AP175" i="38" s="1"/>
  <c r="V177" i="38"/>
  <c r="AC121" i="38"/>
  <c r="AA178" i="38"/>
  <c r="AB121" i="38"/>
  <c r="Z121" i="38"/>
  <c r="AK120" i="38"/>
  <c r="AO120" i="38" s="1"/>
  <c r="AR120" i="38" s="1"/>
  <c r="AO174" i="38"/>
  <c r="AP174" i="38" s="1"/>
  <c r="AO171" i="38"/>
  <c r="AP171" i="38" s="1"/>
  <c r="AO176" i="38"/>
  <c r="AP176" i="38" s="1"/>
  <c r="CD653" i="34"/>
  <c r="CD632" i="34"/>
  <c r="CD638" i="34"/>
  <c r="CM138" i="34"/>
  <c r="DW133" i="34" s="1"/>
  <c r="CM366" i="34"/>
  <c r="DW361" i="34" s="1"/>
  <c r="CM383" i="34"/>
  <c r="DW378" i="34" s="1"/>
  <c r="CM113" i="34"/>
  <c r="DW108" i="34" s="1"/>
  <c r="CM146" i="34"/>
  <c r="DW141" i="34" s="1"/>
  <c r="CM141" i="34"/>
  <c r="DW136" i="34" s="1"/>
  <c r="CM111" i="34"/>
  <c r="DW106" i="34" s="1"/>
  <c r="CM115" i="34"/>
  <c r="DW110" i="34" s="1"/>
  <c r="CD620" i="34"/>
  <c r="CM144" i="34"/>
  <c r="DW139" i="34" s="1"/>
  <c r="CM114" i="34"/>
  <c r="DW109" i="34" s="1"/>
  <c r="CM399" i="34"/>
  <c r="DW394" i="34" s="1"/>
  <c r="CM112" i="34"/>
  <c r="DW107" i="34" s="1"/>
  <c r="CM123" i="34"/>
  <c r="DW118" i="34" s="1"/>
  <c r="CM150" i="34"/>
  <c r="DW145" i="34" s="1"/>
  <c r="CM363" i="34"/>
  <c r="DW358" i="34" s="1"/>
  <c r="CM142" i="34"/>
  <c r="DW137" i="34" s="1"/>
  <c r="CM121" i="34"/>
  <c r="DW116" i="34" s="1"/>
  <c r="CM122" i="34"/>
  <c r="DW117" i="34" s="1"/>
  <c r="CM140" i="34"/>
  <c r="DW135" i="34" s="1"/>
  <c r="CM136" i="34"/>
  <c r="DW131" i="34" s="1"/>
  <c r="CM152" i="34"/>
  <c r="DW147" i="34" s="1"/>
  <c r="CM134" i="34"/>
  <c r="DW129" i="34" s="1"/>
  <c r="CM151" i="34"/>
  <c r="DW146" i="34" s="1"/>
  <c r="CM132" i="34"/>
  <c r="DW127" i="34" s="1"/>
  <c r="CM153" i="34"/>
  <c r="DW148" i="34" s="1"/>
  <c r="CM155" i="34"/>
  <c r="DW150" i="34" s="1"/>
  <c r="CM145" i="34"/>
  <c r="DW140" i="34" s="1"/>
  <c r="CM148" i="34"/>
  <c r="DW143" i="34" s="1"/>
  <c r="CM368" i="34"/>
  <c r="DW363" i="34" s="1"/>
  <c r="CM375" i="34"/>
  <c r="DW370" i="34" s="1"/>
  <c r="CM398" i="34"/>
  <c r="DW393" i="34" s="1"/>
  <c r="CM387" i="34"/>
  <c r="DW382" i="34" s="1"/>
  <c r="AY30" i="31"/>
  <c r="CM396" i="34"/>
  <c r="DW391" i="34" s="1"/>
  <c r="CM373" i="34"/>
  <c r="DW368" i="34" s="1"/>
  <c r="CM404" i="34"/>
  <c r="DW399" i="34" s="1"/>
  <c r="CD639" i="34"/>
  <c r="CD644" i="34"/>
  <c r="CD657" i="34"/>
  <c r="CM143" i="34"/>
  <c r="DW138" i="34" s="1"/>
  <c r="CM135" i="34"/>
  <c r="DW130" i="34" s="1"/>
  <c r="CM137" i="34"/>
  <c r="DW132" i="34" s="1"/>
  <c r="CM154" i="34"/>
  <c r="DW149" i="34" s="1"/>
  <c r="CM131" i="34"/>
  <c r="DW126" i="34" s="1"/>
  <c r="CM116" i="34"/>
  <c r="DW111" i="34" s="1"/>
  <c r="CM117" i="34"/>
  <c r="DW112" i="34" s="1"/>
  <c r="CM401" i="34"/>
  <c r="DW396" i="34" s="1"/>
  <c r="CM378" i="34"/>
  <c r="DW373" i="34" s="1"/>
  <c r="CM409" i="34"/>
  <c r="DW404" i="34" s="1"/>
  <c r="CM390" i="34"/>
  <c r="DW385" i="34" s="1"/>
  <c r="CM403" i="34"/>
  <c r="DW398" i="34" s="1"/>
  <c r="CM379" i="34"/>
  <c r="DW374" i="34" s="1"/>
  <c r="CM365" i="34"/>
  <c r="DW360" i="34" s="1"/>
  <c r="CM120" i="34"/>
  <c r="DW115" i="34" s="1"/>
  <c r="CM149" i="34"/>
  <c r="DW144" i="34" s="1"/>
  <c r="CM129" i="34"/>
  <c r="DW124" i="34" s="1"/>
  <c r="CM127" i="34"/>
  <c r="DW122" i="34" s="1"/>
  <c r="CM147" i="34"/>
  <c r="DW142" i="34" s="1"/>
  <c r="CM156" i="34"/>
  <c r="DW151" i="34" s="1"/>
  <c r="CM139" i="34"/>
  <c r="DW134" i="34" s="1"/>
  <c r="CM395" i="34"/>
  <c r="DW390" i="34" s="1"/>
  <c r="CM380" i="34"/>
  <c r="DW375" i="34" s="1"/>
  <c r="CM392" i="34"/>
  <c r="DW387" i="34" s="1"/>
  <c r="CM369" i="34"/>
  <c r="DW364" i="34" s="1"/>
  <c r="CM388" i="34"/>
  <c r="DW383" i="34" s="1"/>
  <c r="CM119" i="34"/>
  <c r="DW114" i="34" s="1"/>
  <c r="CM130" i="34"/>
  <c r="DW125" i="34" s="1"/>
  <c r="CM125" i="34"/>
  <c r="DW120" i="34" s="1"/>
  <c r="CM118" i="34"/>
  <c r="DW113" i="34" s="1"/>
  <c r="CM110" i="34"/>
  <c r="DW105" i="34" s="1"/>
  <c r="CM400" i="34"/>
  <c r="DW395" i="34" s="1"/>
  <c r="CD647" i="34"/>
  <c r="CD628" i="34"/>
  <c r="CD630" i="34"/>
  <c r="CM393" i="34"/>
  <c r="DW388" i="34" s="1"/>
  <c r="CM385" i="34"/>
  <c r="DW380" i="34" s="1"/>
  <c r="CM391" i="34"/>
  <c r="DW386" i="34" s="1"/>
  <c r="CM408" i="34"/>
  <c r="DW403" i="34" s="1"/>
  <c r="CM384" i="34"/>
  <c r="DW379" i="34" s="1"/>
  <c r="CM405" i="34"/>
  <c r="DW400" i="34" s="1"/>
  <c r="CM371" i="34"/>
  <c r="DW366" i="34" s="1"/>
  <c r="CM394" i="34"/>
  <c r="DW389" i="34" s="1"/>
  <c r="CM372" i="34"/>
  <c r="DW367" i="34" s="1"/>
  <c r="CD655" i="34"/>
  <c r="CD645" i="34"/>
  <c r="CD640" i="34"/>
  <c r="CD642" i="34"/>
  <c r="CC490" i="2"/>
  <c r="CC491" i="2" s="1"/>
  <c r="CC492" i="2" s="1"/>
  <c r="CC493" i="2" s="1"/>
  <c r="CC494" i="2" s="1"/>
  <c r="CC495" i="2" s="1"/>
  <c r="CC496" i="2" s="1"/>
  <c r="CC497" i="2" s="1"/>
  <c r="CC498" i="2" s="1"/>
  <c r="CC499" i="2" s="1"/>
  <c r="CC500" i="2" s="1"/>
  <c r="CC501" i="2" s="1"/>
  <c r="CC502" i="2" s="1"/>
  <c r="CC503" i="2" s="1"/>
  <c r="CC504" i="2" s="1"/>
  <c r="CC505" i="2" s="1"/>
  <c r="CC506" i="2" s="1"/>
  <c r="CC507" i="2" s="1"/>
  <c r="CC508" i="2" s="1"/>
  <c r="CC509" i="2" s="1"/>
  <c r="CC510" i="2" s="1"/>
  <c r="CC511" i="2" s="1"/>
  <c r="CC512" i="2" s="1"/>
  <c r="CC513" i="2" s="1"/>
  <c r="CC514" i="2" s="1"/>
  <c r="CC515" i="2" s="1"/>
  <c r="CC516" i="2" s="1"/>
  <c r="CC517" i="2" s="1"/>
  <c r="CC518" i="2" s="1"/>
  <c r="CC519" i="2" s="1"/>
  <c r="CC520" i="2" s="1"/>
  <c r="CC521" i="2" s="1"/>
  <c r="CC522" i="2" s="1"/>
  <c r="CC523" i="2" s="1"/>
  <c r="CC524" i="2" s="1"/>
  <c r="CC525" i="2" s="1"/>
  <c r="CC526" i="2" s="1"/>
  <c r="CC527" i="2" s="1"/>
  <c r="CC528" i="2" s="1"/>
  <c r="CC529" i="2" s="1"/>
  <c r="CC530" i="2" s="1"/>
  <c r="CC531" i="2" s="1"/>
  <c r="CC532" i="2" s="1"/>
  <c r="CC533" i="2" s="1"/>
  <c r="CC534" i="2" s="1"/>
  <c r="CC535" i="2" s="1"/>
  <c r="CC536" i="2" s="1"/>
  <c r="CA468" i="2"/>
  <c r="CA458" i="2"/>
  <c r="CA440" i="2"/>
  <c r="CA452" i="2"/>
  <c r="CA462" i="2"/>
  <c r="CA451" i="2"/>
  <c r="CA428" i="2"/>
  <c r="CA444" i="2"/>
  <c r="CA472" i="2"/>
  <c r="CA430" i="2"/>
  <c r="CA456" i="2"/>
  <c r="CA463" i="2"/>
  <c r="CA429" i="2"/>
  <c r="CA461" i="2"/>
  <c r="CA446" i="2"/>
  <c r="CA448" i="2"/>
  <c r="CA455" i="2"/>
  <c r="CA450" i="2"/>
  <c r="CA471" i="2"/>
  <c r="CA459" i="2"/>
  <c r="CA445" i="2"/>
  <c r="CA442" i="2"/>
  <c r="CA466" i="2"/>
  <c r="CA457" i="2"/>
  <c r="CA447" i="2"/>
  <c r="CA436" i="2"/>
  <c r="CA439" i="2"/>
  <c r="CA438" i="2"/>
  <c r="CA454" i="2"/>
  <c r="CA433" i="2"/>
  <c r="CA465" i="2"/>
  <c r="CA437" i="2"/>
  <c r="CA453" i="2"/>
  <c r="CA449" i="2"/>
  <c r="CA469" i="2"/>
  <c r="CA434" i="2"/>
  <c r="CA441" i="2"/>
  <c r="CA432" i="2"/>
  <c r="CA470" i="2"/>
  <c r="CA467" i="2"/>
  <c r="CA460" i="2"/>
  <c r="CA431" i="2"/>
  <c r="CA427" i="2"/>
  <c r="CA443" i="2"/>
  <c r="CA435" i="2"/>
  <c r="CA426" i="2"/>
  <c r="CA464" i="2"/>
  <c r="CC426" i="2"/>
  <c r="CC427" i="2" s="1"/>
  <c r="CC428" i="2" s="1"/>
  <c r="CC429" i="2" s="1"/>
  <c r="CC430" i="2" s="1"/>
  <c r="CC431" i="2" s="1"/>
  <c r="CA174" i="2"/>
  <c r="CA195" i="2"/>
  <c r="CA203" i="2"/>
  <c r="CA186" i="2"/>
  <c r="CA191" i="2"/>
  <c r="CA214" i="2"/>
  <c r="CA207" i="2"/>
  <c r="CA217" i="2"/>
  <c r="CA190" i="2"/>
  <c r="CA189" i="2"/>
  <c r="CA181" i="2"/>
  <c r="CA176" i="2"/>
  <c r="CA209" i="2"/>
  <c r="CA193" i="2"/>
  <c r="CA179" i="2"/>
  <c r="CA215" i="2"/>
  <c r="CA204" i="2"/>
  <c r="CA210" i="2"/>
  <c r="CA188" i="2"/>
  <c r="CA187" i="2"/>
  <c r="CA177" i="2"/>
  <c r="CA199" i="2"/>
  <c r="CA192" i="2"/>
  <c r="CA184" i="2"/>
  <c r="CA178" i="2"/>
  <c r="CA175" i="2"/>
  <c r="CA198" i="2"/>
  <c r="CA182" i="2"/>
  <c r="CA218" i="2"/>
  <c r="CA211" i="2"/>
  <c r="CA200" i="2"/>
  <c r="CA180" i="2"/>
  <c r="CA219" i="2"/>
  <c r="CA216" i="2"/>
  <c r="CA194" i="2"/>
  <c r="CA206" i="2"/>
  <c r="CA196" i="2"/>
  <c r="CA202" i="2"/>
  <c r="CA212" i="2"/>
  <c r="CA185" i="2"/>
  <c r="CA205" i="2"/>
  <c r="CA220" i="2"/>
  <c r="CA183" i="2"/>
  <c r="CA213" i="2"/>
  <c r="CA197" i="2"/>
  <c r="CA208" i="2"/>
  <c r="CA201" i="2"/>
  <c r="CS183" i="2"/>
  <c r="CS199" i="2"/>
  <c r="CS191" i="2"/>
  <c r="CS178" i="2"/>
  <c r="CS192" i="2"/>
  <c r="CS176" i="2"/>
  <c r="CS212" i="2"/>
  <c r="CS220" i="2"/>
  <c r="CS184" i="2"/>
  <c r="CS198" i="2"/>
  <c r="CS205" i="2"/>
  <c r="CS179" i="2"/>
  <c r="CS203" i="2"/>
  <c r="CS185" i="2"/>
  <c r="CS209" i="2"/>
  <c r="CS215" i="2"/>
  <c r="CS207" i="2"/>
  <c r="CS174" i="2"/>
  <c r="CS180" i="2"/>
  <c r="CS187" i="2"/>
  <c r="CS200" i="2"/>
  <c r="CS218" i="2"/>
  <c r="CS216" i="2"/>
  <c r="CS195" i="2"/>
  <c r="CS188" i="2"/>
  <c r="CS196" i="2"/>
  <c r="CS210" i="2"/>
  <c r="CS217" i="2"/>
  <c r="CS186" i="2"/>
  <c r="CS182" i="2"/>
  <c r="CS193" i="2"/>
  <c r="CS202" i="2"/>
  <c r="CS208" i="2"/>
  <c r="CS214" i="2"/>
  <c r="CS201" i="2"/>
  <c r="CS190" i="2"/>
  <c r="CS213" i="2"/>
  <c r="CS204" i="2"/>
  <c r="CS206" i="2"/>
  <c r="CS177" i="2"/>
  <c r="CS219" i="2"/>
  <c r="CS181" i="2"/>
  <c r="CS211" i="2"/>
  <c r="CS194" i="2"/>
  <c r="CS175" i="2"/>
  <c r="CS197" i="2"/>
  <c r="CS189" i="2"/>
  <c r="ED365" i="2"/>
  <c r="EC365" i="2"/>
  <c r="CS503" i="2"/>
  <c r="CS528" i="2"/>
  <c r="CS493" i="2"/>
  <c r="CS534" i="2"/>
  <c r="CS516" i="2"/>
  <c r="CS505" i="2"/>
  <c r="CS536" i="2"/>
  <c r="CS507" i="2"/>
  <c r="CS495" i="2"/>
  <c r="CS491" i="2"/>
  <c r="CS515" i="2"/>
  <c r="CS499" i="2"/>
  <c r="CS525" i="2"/>
  <c r="CS518" i="2"/>
  <c r="CS533" i="2"/>
  <c r="CS529" i="2"/>
  <c r="CS497" i="2"/>
  <c r="CS494" i="2"/>
  <c r="CS521" i="2"/>
  <c r="CS530" i="2"/>
  <c r="CS511" i="2"/>
  <c r="CS523" i="2"/>
  <c r="CS498" i="2"/>
  <c r="CS526" i="2"/>
  <c r="CS510" i="2"/>
  <c r="CS504" i="2"/>
  <c r="CS512" i="2"/>
  <c r="CS500" i="2"/>
  <c r="CS509" i="2"/>
  <c r="CS492" i="2"/>
  <c r="CS517" i="2"/>
  <c r="CS532" i="2"/>
  <c r="CS501" i="2"/>
  <c r="CS527" i="2"/>
  <c r="CS513" i="2"/>
  <c r="CS514" i="2"/>
  <c r="CS524" i="2"/>
  <c r="CS496" i="2"/>
  <c r="CS531" i="2"/>
  <c r="CS490" i="2"/>
  <c r="CS506" i="2"/>
  <c r="CS508" i="2"/>
  <c r="CS522" i="2"/>
  <c r="CS535" i="2"/>
  <c r="CS520" i="2"/>
  <c r="CS502" i="2"/>
  <c r="CS519" i="2"/>
  <c r="CC490" i="34"/>
  <c r="CC491" i="34" s="1"/>
  <c r="CC492" i="34" s="1"/>
  <c r="CC493" i="34" s="1"/>
  <c r="CC494" i="34" s="1"/>
  <c r="CC495" i="34" s="1"/>
  <c r="CC496" i="34" s="1"/>
  <c r="CC497" i="34" s="1"/>
  <c r="CC498" i="34" s="1"/>
  <c r="CC499" i="34" s="1"/>
  <c r="CC500" i="34" s="1"/>
  <c r="CC501" i="34" s="1"/>
  <c r="CC502" i="34" s="1"/>
  <c r="CC503" i="34" s="1"/>
  <c r="CC504" i="34" s="1"/>
  <c r="CC505" i="34" s="1"/>
  <c r="CC506" i="34" s="1"/>
  <c r="CC507" i="34" s="1"/>
  <c r="CC508" i="34" s="1"/>
  <c r="CC509" i="34" s="1"/>
  <c r="CC510" i="34" s="1"/>
  <c r="CC511" i="34" s="1"/>
  <c r="CC512" i="34" s="1"/>
  <c r="CC513" i="34" s="1"/>
  <c r="CC514" i="34" s="1"/>
  <c r="CC515" i="34" s="1"/>
  <c r="CC516" i="34" s="1"/>
  <c r="CC517" i="34" s="1"/>
  <c r="CC518" i="34" s="1"/>
  <c r="CC519" i="34" s="1"/>
  <c r="CC520" i="34" s="1"/>
  <c r="CC521" i="34" s="1"/>
  <c r="CC522" i="34" s="1"/>
  <c r="CC523" i="34" s="1"/>
  <c r="CC524" i="34" s="1"/>
  <c r="CC525" i="34" s="1"/>
  <c r="CC526" i="34" s="1"/>
  <c r="CC527" i="34" s="1"/>
  <c r="CC528" i="34" s="1"/>
  <c r="CC529" i="34" s="1"/>
  <c r="CC530" i="34" s="1"/>
  <c r="CC531" i="34" s="1"/>
  <c r="CC532" i="34" s="1"/>
  <c r="CC533" i="34" s="1"/>
  <c r="CC534" i="34" s="1"/>
  <c r="CC535" i="34" s="1"/>
  <c r="CC536" i="34" s="1"/>
  <c r="CI491" i="34"/>
  <c r="CI503" i="34"/>
  <c r="CI518" i="34"/>
  <c r="EA491" i="34"/>
  <c r="CI493" i="34"/>
  <c r="CI494" i="34"/>
  <c r="CI521" i="34"/>
  <c r="CI531" i="34"/>
  <c r="CI516" i="34"/>
  <c r="CI528" i="34"/>
  <c r="CI519" i="34"/>
  <c r="CI510" i="34"/>
  <c r="CI509" i="34"/>
  <c r="CI527" i="34"/>
  <c r="CI490" i="34"/>
  <c r="CI496" i="34"/>
  <c r="CI511" i="34"/>
  <c r="CI520" i="34"/>
  <c r="CI529" i="34"/>
  <c r="CI535" i="34"/>
  <c r="CI500" i="34"/>
  <c r="CI522" i="34"/>
  <c r="CI507" i="34"/>
  <c r="CI495" i="34"/>
  <c r="CI502" i="34"/>
  <c r="CI532" i="34"/>
  <c r="CI526" i="34"/>
  <c r="CI523" i="34"/>
  <c r="CI517" i="34"/>
  <c r="CI525" i="34"/>
  <c r="CI512" i="34"/>
  <c r="CI508" i="34"/>
  <c r="CI533" i="34"/>
  <c r="CI506" i="34"/>
  <c r="CI501" i="34"/>
  <c r="CI514" i="34"/>
  <c r="CI505" i="34"/>
  <c r="CI497" i="34"/>
  <c r="CI499" i="34"/>
  <c r="CI536" i="34"/>
  <c r="CI515" i="34"/>
  <c r="CI492" i="34"/>
  <c r="CI504" i="34"/>
  <c r="CI498" i="34"/>
  <c r="CI524" i="34"/>
  <c r="CI530" i="34"/>
  <c r="CI513" i="34"/>
  <c r="CI534" i="34"/>
  <c r="CB499" i="2"/>
  <c r="CB507" i="2"/>
  <c r="CB516" i="2"/>
  <c r="CB523" i="2"/>
  <c r="CB521" i="2"/>
  <c r="CB517" i="2"/>
  <c r="CB520" i="2"/>
  <c r="CB533" i="2"/>
  <c r="CB525" i="2"/>
  <c r="CB518" i="2"/>
  <c r="CB496" i="2"/>
  <c r="CB505" i="2"/>
  <c r="CB504" i="2"/>
  <c r="CB529" i="2"/>
  <c r="CB519" i="2"/>
  <c r="CB512" i="2"/>
  <c r="CB526" i="2"/>
  <c r="CB509" i="2"/>
  <c r="CB511" i="2"/>
  <c r="CB501" i="2"/>
  <c r="CB502" i="2"/>
  <c r="CB495" i="2"/>
  <c r="CB510" i="2"/>
  <c r="CB500" i="2"/>
  <c r="CB497" i="2"/>
  <c r="CB514" i="2"/>
  <c r="CB490" i="2"/>
  <c r="CB535" i="2"/>
  <c r="CB522" i="2"/>
  <c r="CB498" i="2"/>
  <c r="CB515" i="2"/>
  <c r="CB527" i="2"/>
  <c r="CB530" i="2"/>
  <c r="CB492" i="2"/>
  <c r="CB536" i="2"/>
  <c r="CB506" i="2"/>
  <c r="CB532" i="2"/>
  <c r="CB494" i="2"/>
  <c r="CB534" i="2"/>
  <c r="CB524" i="2"/>
  <c r="CB531" i="2"/>
  <c r="CB493" i="2"/>
  <c r="CB503" i="2"/>
  <c r="CB508" i="2"/>
  <c r="CB513" i="2"/>
  <c r="CB491" i="2"/>
  <c r="CB528" i="2"/>
  <c r="CS260" i="2"/>
  <c r="CS269" i="2"/>
  <c r="CS253" i="2"/>
  <c r="CS254" i="2"/>
  <c r="CS264" i="2"/>
  <c r="CS267" i="2"/>
  <c r="CS257" i="2"/>
  <c r="CS246" i="2"/>
  <c r="CS262" i="2"/>
  <c r="CS245" i="2"/>
  <c r="CS281" i="2"/>
  <c r="CS278" i="2"/>
  <c r="CS261" i="2"/>
  <c r="CS250" i="2"/>
  <c r="CS275" i="2"/>
  <c r="CS279" i="2"/>
  <c r="CS238" i="2"/>
  <c r="CS265" i="2"/>
  <c r="CS241" i="2"/>
  <c r="CS283" i="2"/>
  <c r="CS266" i="2"/>
  <c r="CS263" i="2"/>
  <c r="CS268" i="2"/>
  <c r="CS248" i="2"/>
  <c r="CS256" i="2"/>
  <c r="CS272" i="2"/>
  <c r="CS239" i="2"/>
  <c r="CS243" i="2"/>
  <c r="CS251" i="2"/>
  <c r="CS259" i="2"/>
  <c r="CS242" i="2"/>
  <c r="CS244" i="2"/>
  <c r="CS247" i="2"/>
  <c r="CS282" i="2"/>
  <c r="CS237" i="2"/>
  <c r="CS277" i="2"/>
  <c r="CS274" i="2"/>
  <c r="CS252" i="2"/>
  <c r="CS276" i="2"/>
  <c r="CS249" i="2"/>
  <c r="CS240" i="2"/>
  <c r="CS273" i="2"/>
  <c r="CS258" i="2"/>
  <c r="CS255" i="2"/>
  <c r="CS271" i="2"/>
  <c r="CS280" i="2"/>
  <c r="CS270" i="2"/>
  <c r="CK239" i="2"/>
  <c r="CK271" i="2"/>
  <c r="CK282" i="2"/>
  <c r="CK248" i="2"/>
  <c r="CK280" i="2"/>
  <c r="CK251" i="2"/>
  <c r="CK253" i="2"/>
  <c r="CK237" i="2"/>
  <c r="CK263" i="2"/>
  <c r="CK247" i="2"/>
  <c r="CK281" i="2"/>
  <c r="CK255" i="2"/>
  <c r="CK256" i="2"/>
  <c r="CK265" i="2"/>
  <c r="CK261" i="2"/>
  <c r="CK270" i="2"/>
  <c r="CK250" i="2"/>
  <c r="CK276" i="2"/>
  <c r="CK241" i="2"/>
  <c r="CK259" i="2"/>
  <c r="CK275" i="2"/>
  <c r="CK283" i="2"/>
  <c r="CK266" i="2"/>
  <c r="CK260" i="2"/>
  <c r="CK278" i="2"/>
  <c r="CK274" i="2"/>
  <c r="CK244" i="2"/>
  <c r="CK257" i="2"/>
  <c r="CK246" i="2"/>
  <c r="CK279" i="2"/>
  <c r="CK267" i="2"/>
  <c r="CK242" i="2"/>
  <c r="EC238" i="2"/>
  <c r="CK277" i="2"/>
  <c r="CK268" i="2"/>
  <c r="CK245" i="2"/>
  <c r="CK254" i="2"/>
  <c r="CK238" i="2"/>
  <c r="CK243" i="2"/>
  <c r="CK272" i="2"/>
  <c r="CK264" i="2"/>
  <c r="CK262" i="2"/>
  <c r="CK252" i="2"/>
  <c r="CK240" i="2"/>
  <c r="CK249" i="2"/>
  <c r="CK273" i="2"/>
  <c r="CK269" i="2"/>
  <c r="CK258" i="2"/>
  <c r="ED302" i="2"/>
  <c r="CS312" i="2"/>
  <c r="CS334" i="2"/>
  <c r="CS323" i="2"/>
  <c r="CS322" i="2"/>
  <c r="CS310" i="2"/>
  <c r="CS335" i="2"/>
  <c r="CS326" i="2"/>
  <c r="CS306" i="2"/>
  <c r="CS345" i="2"/>
  <c r="CS319" i="2"/>
  <c r="CS333" i="2"/>
  <c r="CS305" i="2"/>
  <c r="CS309" i="2"/>
  <c r="CS302" i="2"/>
  <c r="CS320" i="2"/>
  <c r="CS341" i="2"/>
  <c r="CS331" i="2"/>
  <c r="CS330" i="2"/>
  <c r="CS340" i="2"/>
  <c r="CS332" i="2"/>
  <c r="CS315" i="2"/>
  <c r="CS304" i="2"/>
  <c r="CS301" i="2"/>
  <c r="CS311" i="2"/>
  <c r="CS336" i="2"/>
  <c r="CS316" i="2"/>
  <c r="CS317" i="2"/>
  <c r="CS329" i="2"/>
  <c r="CS328" i="2"/>
  <c r="CS308" i="2"/>
  <c r="CS343" i="2"/>
  <c r="CS338" i="2"/>
  <c r="CS344" i="2"/>
  <c r="CS307" i="2"/>
  <c r="CS313" i="2"/>
  <c r="CS339" i="2"/>
  <c r="CS314" i="2"/>
  <c r="CS325" i="2"/>
  <c r="CS327" i="2"/>
  <c r="CS324" i="2"/>
  <c r="CS321" i="2"/>
  <c r="CS337" i="2"/>
  <c r="CS303" i="2"/>
  <c r="CS342" i="2"/>
  <c r="CS346" i="2"/>
  <c r="CS318" i="2"/>
  <c r="CS300" i="2"/>
  <c r="CR325" i="2"/>
  <c r="CR303" i="2"/>
  <c r="CR317" i="2"/>
  <c r="CR332" i="2"/>
  <c r="CR321" i="2"/>
  <c r="CR310" i="2"/>
  <c r="CT310" i="2" s="1"/>
  <c r="CR343" i="2"/>
  <c r="CR331" i="2"/>
  <c r="CR316" i="2"/>
  <c r="CR342" i="2"/>
  <c r="CR334" i="2"/>
  <c r="CT334" i="2" s="1"/>
  <c r="CR302" i="2"/>
  <c r="CR308" i="2"/>
  <c r="CR304" i="2"/>
  <c r="CR312" i="2"/>
  <c r="CR337" i="2"/>
  <c r="CR311" i="2"/>
  <c r="CT311" i="2" s="1"/>
  <c r="CR326" i="2"/>
  <c r="CR300" i="2"/>
  <c r="CR341" i="2"/>
  <c r="CR319" i="2"/>
  <c r="CR322" i="2"/>
  <c r="CR306" i="2"/>
  <c r="CR339" i="2"/>
  <c r="CR309" i="2"/>
  <c r="CR340" i="2"/>
  <c r="CR313" i="2"/>
  <c r="CR327" i="2"/>
  <c r="CT327" i="2" s="1"/>
  <c r="CR330" i="2"/>
  <c r="CR320" i="2"/>
  <c r="CR324" i="2"/>
  <c r="CR333" i="2"/>
  <c r="CT333" i="2" s="1"/>
  <c r="CR314" i="2"/>
  <c r="CR336" i="2"/>
  <c r="CT336" i="2" s="1"/>
  <c r="CR305" i="2"/>
  <c r="CR328" i="2"/>
  <c r="CR307" i="2"/>
  <c r="CR329" i="2"/>
  <c r="CR301" i="2"/>
  <c r="CR323" i="2"/>
  <c r="CT323" i="2" s="1"/>
  <c r="CR318" i="2"/>
  <c r="CR338" i="2"/>
  <c r="CR335" i="2"/>
  <c r="CT335" i="2" s="1"/>
  <c r="CR346" i="2"/>
  <c r="CR315" i="2"/>
  <c r="CR345" i="2"/>
  <c r="CT345" i="2" s="1"/>
  <c r="CR344" i="2"/>
  <c r="CI118" i="2"/>
  <c r="CI131" i="2"/>
  <c r="CI145" i="2"/>
  <c r="CI132" i="2"/>
  <c r="CI129" i="2"/>
  <c r="CI149" i="2"/>
  <c r="CI155" i="2"/>
  <c r="CI113" i="2"/>
  <c r="CI125" i="2"/>
  <c r="CI151" i="2"/>
  <c r="CI141" i="2"/>
  <c r="CI153" i="2"/>
  <c r="CI124" i="2"/>
  <c r="CI112" i="2"/>
  <c r="CI122" i="2"/>
  <c r="EA111" i="2"/>
  <c r="CI114" i="2"/>
  <c r="CI147" i="2"/>
  <c r="CI119" i="2"/>
  <c r="CI128" i="2"/>
  <c r="CI111" i="2"/>
  <c r="CI154" i="2"/>
  <c r="CI150" i="2"/>
  <c r="CI140" i="2"/>
  <c r="CI137" i="2"/>
  <c r="CI136" i="2"/>
  <c r="CI116" i="2"/>
  <c r="CI144" i="2"/>
  <c r="CI139" i="2"/>
  <c r="CI110" i="2"/>
  <c r="CI148" i="2"/>
  <c r="CI152" i="2"/>
  <c r="CI143" i="2"/>
  <c r="CI126" i="2"/>
  <c r="CI121" i="2"/>
  <c r="CI115" i="2"/>
  <c r="CI127" i="2"/>
  <c r="CI123" i="2"/>
  <c r="CI142" i="2"/>
  <c r="CI134" i="2"/>
  <c r="CI117" i="2"/>
  <c r="CI130" i="2"/>
  <c r="CI156" i="2"/>
  <c r="CI120" i="2"/>
  <c r="CI133" i="2"/>
  <c r="CI146" i="2"/>
  <c r="CI138" i="2"/>
  <c r="CI135" i="2"/>
  <c r="CK142" i="2"/>
  <c r="CK138" i="2"/>
  <c r="CK149" i="2"/>
  <c r="CK129" i="2"/>
  <c r="CK140" i="2"/>
  <c r="CK147" i="2"/>
  <c r="CK112" i="2"/>
  <c r="CK136" i="2"/>
  <c r="CK130" i="2"/>
  <c r="CK119" i="2"/>
  <c r="CK125" i="2"/>
  <c r="CK146" i="2"/>
  <c r="EC111" i="2"/>
  <c r="CK118" i="2"/>
  <c r="CK148" i="2"/>
  <c r="CK113" i="2"/>
  <c r="CK111" i="2"/>
  <c r="CK132" i="2"/>
  <c r="CK124" i="2"/>
  <c r="CK133" i="2"/>
  <c r="CK123" i="2"/>
  <c r="CK122" i="2"/>
  <c r="CK114" i="2"/>
  <c r="CK152" i="2"/>
  <c r="CK128" i="2"/>
  <c r="CK139" i="2"/>
  <c r="CK110" i="2"/>
  <c r="CK153" i="2"/>
  <c r="CK141" i="2"/>
  <c r="CK115" i="2"/>
  <c r="CK121" i="2"/>
  <c r="CK154" i="2"/>
  <c r="CK126" i="2"/>
  <c r="CK116" i="2"/>
  <c r="CK127" i="2"/>
  <c r="CK117" i="2"/>
  <c r="CK134" i="2"/>
  <c r="CK135" i="2"/>
  <c r="CK156" i="2"/>
  <c r="CK150" i="2"/>
  <c r="CK145" i="2"/>
  <c r="CK155" i="2"/>
  <c r="CK151" i="2"/>
  <c r="CK137" i="2"/>
  <c r="CK131" i="2"/>
  <c r="CK144" i="2"/>
  <c r="CK120" i="2"/>
  <c r="CK143" i="2"/>
  <c r="EA176" i="2"/>
  <c r="CR530" i="2"/>
  <c r="CR536" i="2"/>
  <c r="CR520" i="2"/>
  <c r="CT520" i="2" s="1"/>
  <c r="CR532" i="2"/>
  <c r="CR519" i="2"/>
  <c r="CT519" i="2" s="1"/>
  <c r="CR521" i="2"/>
  <c r="CR534" i="2"/>
  <c r="CR508" i="2"/>
  <c r="CR503" i="2"/>
  <c r="CR513" i="2"/>
  <c r="CR529" i="2"/>
  <c r="CR533" i="2"/>
  <c r="CR516" i="2"/>
  <c r="CR495" i="2"/>
  <c r="CR526" i="2"/>
  <c r="CR494" i="2"/>
  <c r="CT494" i="2" s="1"/>
  <c r="CR490" i="2"/>
  <c r="CR496" i="2"/>
  <c r="CR492" i="2"/>
  <c r="CR523" i="2"/>
  <c r="CT523" i="2" s="1"/>
  <c r="CR524" i="2"/>
  <c r="CR531" i="2"/>
  <c r="CR512" i="2"/>
  <c r="CR498" i="2"/>
  <c r="CR491" i="2"/>
  <c r="CR499" i="2"/>
  <c r="CT499" i="2" s="1"/>
  <c r="CR528" i="2"/>
  <c r="CR515" i="2"/>
  <c r="CR502" i="2"/>
  <c r="CR500" i="2"/>
  <c r="CT500" i="2" s="1"/>
  <c r="CR501" i="2"/>
  <c r="CT501" i="2" s="1"/>
  <c r="CR525" i="2"/>
  <c r="CR514" i="2"/>
  <c r="CR497" i="2"/>
  <c r="CR517" i="2"/>
  <c r="CR535" i="2"/>
  <c r="CR505" i="2"/>
  <c r="CR509" i="2"/>
  <c r="CR527" i="2"/>
  <c r="CR506" i="2"/>
  <c r="CR518" i="2"/>
  <c r="CR493" i="2"/>
  <c r="CR504" i="2"/>
  <c r="CR507" i="2"/>
  <c r="CR511" i="2"/>
  <c r="CR522" i="2"/>
  <c r="CR510" i="2"/>
  <c r="CT510" i="2" s="1"/>
  <c r="CI369" i="2"/>
  <c r="CI407" i="2"/>
  <c r="CI377" i="2"/>
  <c r="CI383" i="2"/>
  <c r="CI388" i="2"/>
  <c r="CI365" i="2"/>
  <c r="CI390" i="2"/>
  <c r="CI399" i="2"/>
  <c r="CI401" i="2"/>
  <c r="CI409" i="2"/>
  <c r="CI402" i="2"/>
  <c r="CI395" i="2"/>
  <c r="CI376" i="2"/>
  <c r="CI408" i="2"/>
  <c r="CI370" i="2"/>
  <c r="CI364" i="2"/>
  <c r="CI387" i="2"/>
  <c r="CI366" i="2"/>
  <c r="CI400" i="2"/>
  <c r="EA364" i="2"/>
  <c r="CI385" i="2"/>
  <c r="CI375" i="2"/>
  <c r="CI368" i="2"/>
  <c r="CI398" i="2"/>
  <c r="CI372" i="2"/>
  <c r="CI406" i="2"/>
  <c r="CI396" i="2"/>
  <c r="CI374" i="2"/>
  <c r="CI397" i="2"/>
  <c r="CI378" i="2"/>
  <c r="CI381" i="2"/>
  <c r="CI363" i="2"/>
  <c r="CI367" i="2"/>
  <c r="CI382" i="2"/>
  <c r="CI373" i="2"/>
  <c r="CI392" i="2"/>
  <c r="CI393" i="2"/>
  <c r="CI384" i="2"/>
  <c r="CI404" i="2"/>
  <c r="CI380" i="2"/>
  <c r="CI389" i="2"/>
  <c r="CI379" i="2"/>
  <c r="CI394" i="2"/>
  <c r="CI405" i="2"/>
  <c r="CI403" i="2"/>
  <c r="CI371" i="2"/>
  <c r="CI386" i="2"/>
  <c r="CI391" i="2"/>
  <c r="CL372" i="2"/>
  <c r="CL406" i="2"/>
  <c r="CL393" i="2"/>
  <c r="CL368" i="2"/>
  <c r="CL384" i="2"/>
  <c r="ED364" i="2"/>
  <c r="CL370" i="2"/>
  <c r="CL401" i="2"/>
  <c r="CL394" i="2"/>
  <c r="CL382" i="2"/>
  <c r="CL380" i="2"/>
  <c r="CL378" i="2"/>
  <c r="CL367" i="2"/>
  <c r="CL390" i="2"/>
  <c r="CL391" i="2"/>
  <c r="CL388" i="2"/>
  <c r="CL369" i="2"/>
  <c r="CL379" i="2"/>
  <c r="CL408" i="2"/>
  <c r="CL405" i="2"/>
  <c r="CL398" i="2"/>
  <c r="CL387" i="2"/>
  <c r="CL377" i="2"/>
  <c r="CL389" i="2"/>
  <c r="CL396" i="2"/>
  <c r="CL381" i="2"/>
  <c r="CL363" i="2"/>
  <c r="CL371" i="2"/>
  <c r="CL400" i="2"/>
  <c r="CL375" i="2"/>
  <c r="CL385" i="2"/>
  <c r="CL386" i="2"/>
  <c r="CL376" i="2"/>
  <c r="CL374" i="2"/>
  <c r="CL399" i="2"/>
  <c r="CL397" i="2"/>
  <c r="CL364" i="2"/>
  <c r="CL392" i="2"/>
  <c r="CL365" i="2"/>
  <c r="CL409" i="2"/>
  <c r="CL407" i="2"/>
  <c r="CL366" i="2"/>
  <c r="CL403" i="2"/>
  <c r="CL373" i="2"/>
  <c r="CL383" i="2"/>
  <c r="CL402" i="2"/>
  <c r="CL404" i="2"/>
  <c r="CL395" i="2"/>
  <c r="CS588" i="2"/>
  <c r="CS592" i="2"/>
  <c r="CS598" i="2"/>
  <c r="CS555" i="2"/>
  <c r="CS569" i="2"/>
  <c r="CS578" i="2"/>
  <c r="CS571" i="2"/>
  <c r="CS575" i="2"/>
  <c r="CS576" i="2"/>
  <c r="CS557" i="2"/>
  <c r="CS593" i="2"/>
  <c r="CS570" i="2"/>
  <c r="CS582" i="2"/>
  <c r="CS599" i="2"/>
  <c r="CS564" i="2"/>
  <c r="CS568" i="2"/>
  <c r="CS572" i="2"/>
  <c r="CS596" i="2"/>
  <c r="CS574" i="2"/>
  <c r="CS561" i="2"/>
  <c r="CS560" i="2"/>
  <c r="CS589" i="2"/>
  <c r="CS583" i="2"/>
  <c r="CS586" i="2"/>
  <c r="CS591" i="2"/>
  <c r="CS580" i="2"/>
  <c r="CS584" i="2"/>
  <c r="CS577" i="2"/>
  <c r="CS567" i="2"/>
  <c r="CS579" i="2"/>
  <c r="CS597" i="2"/>
  <c r="CS573" i="2"/>
  <c r="CS554" i="2"/>
  <c r="CS590" i="2"/>
  <c r="CS563" i="2"/>
  <c r="CS594" i="2"/>
  <c r="CS600" i="2"/>
  <c r="CS566" i="2"/>
  <c r="CS587" i="2"/>
  <c r="CS565" i="2"/>
  <c r="CS556" i="2"/>
  <c r="CS585" i="2"/>
  <c r="CS581" i="2"/>
  <c r="CS559" i="2"/>
  <c r="CS595" i="2"/>
  <c r="CS562" i="2"/>
  <c r="CS558" i="2"/>
  <c r="CK590" i="2"/>
  <c r="CK600" i="2"/>
  <c r="CK576" i="2"/>
  <c r="CK592" i="2"/>
  <c r="CK578" i="2"/>
  <c r="CK557" i="2"/>
  <c r="CK556" i="2"/>
  <c r="CK564" i="2"/>
  <c r="EC555" i="2"/>
  <c r="CK572" i="2"/>
  <c r="CK596" i="2"/>
  <c r="CK574" i="2"/>
  <c r="CK584" i="2"/>
  <c r="CK583" i="2"/>
  <c r="CK580" i="2"/>
  <c r="CK599" i="2"/>
  <c r="CK589" i="2"/>
  <c r="CK563" i="2"/>
  <c r="CK585" i="2"/>
  <c r="CK586" i="2"/>
  <c r="CK579" i="2"/>
  <c r="CK562" i="2"/>
  <c r="CK568" i="2"/>
  <c r="CK588" i="2"/>
  <c r="CK559" i="2"/>
  <c r="CK566" i="2"/>
  <c r="CK555" i="2"/>
  <c r="CK577" i="2"/>
  <c r="CK571" i="2"/>
  <c r="CK595" i="2"/>
  <c r="CK567" i="2"/>
  <c r="CK573" i="2"/>
  <c r="CK565" i="2"/>
  <c r="CK594" i="2"/>
  <c r="CK575" i="2"/>
  <c r="CK569" i="2"/>
  <c r="CK581" i="2"/>
  <c r="CK587" i="2"/>
  <c r="CK570" i="2"/>
  <c r="CK582" i="2"/>
  <c r="CK598" i="2"/>
  <c r="CK554" i="2"/>
  <c r="CK591" i="2"/>
  <c r="CK560" i="2"/>
  <c r="CK593" i="2"/>
  <c r="CK558" i="2"/>
  <c r="CK597" i="2"/>
  <c r="CK561" i="2"/>
  <c r="CA514" i="2"/>
  <c r="CA492" i="2"/>
  <c r="CA504" i="2"/>
  <c r="CA530" i="2"/>
  <c r="CA515" i="2"/>
  <c r="CA529" i="2"/>
  <c r="CA531" i="2"/>
  <c r="CA506" i="2"/>
  <c r="CD506" i="2" s="1"/>
  <c r="CA522" i="2"/>
  <c r="CA526" i="2"/>
  <c r="CA535" i="2"/>
  <c r="CA500" i="2"/>
  <c r="CD500" i="2" s="1"/>
  <c r="CA519" i="2"/>
  <c r="CA491" i="2"/>
  <c r="CA497" i="2"/>
  <c r="CA490" i="2"/>
  <c r="CA501" i="2"/>
  <c r="CA495" i="2"/>
  <c r="CA502" i="2"/>
  <c r="CA509" i="2"/>
  <c r="CA510" i="2"/>
  <c r="CA498" i="2"/>
  <c r="CA525" i="2"/>
  <c r="CA508" i="2"/>
  <c r="CD508" i="2" s="1"/>
  <c r="CA503" i="2"/>
  <c r="CA496" i="2"/>
  <c r="CA527" i="2"/>
  <c r="CA499" i="2"/>
  <c r="CA520" i="2"/>
  <c r="CA516" i="2"/>
  <c r="CA534" i="2"/>
  <c r="CA536" i="2"/>
  <c r="CA518" i="2"/>
  <c r="CA505" i="2"/>
  <c r="CA523" i="2"/>
  <c r="CA528" i="2"/>
  <c r="CA511" i="2"/>
  <c r="CA521" i="2"/>
  <c r="CA513" i="2"/>
  <c r="CA517" i="2"/>
  <c r="CA533" i="2"/>
  <c r="CA524" i="2"/>
  <c r="CA494" i="2"/>
  <c r="CA532" i="2"/>
  <c r="CA512" i="2"/>
  <c r="CA507" i="2"/>
  <c r="CA493" i="2"/>
  <c r="CB435" i="2"/>
  <c r="CB450" i="2"/>
  <c r="CB467" i="2"/>
  <c r="CB459" i="2"/>
  <c r="CB462" i="2"/>
  <c r="CB442" i="2"/>
  <c r="CB466" i="2"/>
  <c r="CB456" i="2"/>
  <c r="CB453" i="2"/>
  <c r="CB445" i="2"/>
  <c r="CB433" i="2"/>
  <c r="CB429" i="2"/>
  <c r="CB439" i="2"/>
  <c r="CB427" i="2"/>
  <c r="CB430" i="2"/>
  <c r="CB431" i="2"/>
  <c r="CB437" i="2"/>
  <c r="CB436" i="2"/>
  <c r="CB457" i="2"/>
  <c r="CB460" i="2"/>
  <c r="CB434" i="2"/>
  <c r="CB451" i="2"/>
  <c r="CB458" i="2"/>
  <c r="CB452" i="2"/>
  <c r="CB428" i="2"/>
  <c r="CB472" i="2"/>
  <c r="CB470" i="2"/>
  <c r="CB469" i="2"/>
  <c r="CB448" i="2"/>
  <c r="CB426" i="2"/>
  <c r="CB446" i="2"/>
  <c r="CB461" i="2"/>
  <c r="CB432" i="2"/>
  <c r="CB455" i="2"/>
  <c r="CB447" i="2"/>
  <c r="CB443" i="2"/>
  <c r="CB440" i="2"/>
  <c r="CB465" i="2"/>
  <c r="CB471" i="2"/>
  <c r="CB468" i="2"/>
  <c r="CB438" i="2"/>
  <c r="CB454" i="2"/>
  <c r="CB463" i="2"/>
  <c r="CB441" i="2"/>
  <c r="CB464" i="2"/>
  <c r="CB444" i="2"/>
  <c r="CB449" i="2"/>
  <c r="CJ428" i="2"/>
  <c r="CJ467" i="2"/>
  <c r="CJ465" i="2"/>
  <c r="CJ440" i="2"/>
  <c r="CJ435" i="2"/>
  <c r="CJ454" i="2"/>
  <c r="CJ470" i="2"/>
  <c r="CJ462" i="2"/>
  <c r="CJ469" i="2"/>
  <c r="CJ448" i="2"/>
  <c r="CJ439" i="2"/>
  <c r="CJ429" i="2"/>
  <c r="CJ455" i="2"/>
  <c r="CJ468" i="2"/>
  <c r="CJ459" i="2"/>
  <c r="CJ437" i="2"/>
  <c r="CJ447" i="2"/>
  <c r="CJ433" i="2"/>
  <c r="CJ430" i="2"/>
  <c r="CJ432" i="2"/>
  <c r="CJ452" i="2"/>
  <c r="CJ431" i="2"/>
  <c r="CJ450" i="2"/>
  <c r="CJ445" i="2"/>
  <c r="CJ449" i="2"/>
  <c r="CJ441" i="2"/>
  <c r="CJ460" i="2"/>
  <c r="CJ436" i="2"/>
  <c r="CJ471" i="2"/>
  <c r="CJ426" i="2"/>
  <c r="CJ472" i="2"/>
  <c r="CJ457" i="2"/>
  <c r="CJ438" i="2"/>
  <c r="CJ466" i="2"/>
  <c r="EB427" i="2"/>
  <c r="CJ443" i="2"/>
  <c r="CJ442" i="2"/>
  <c r="CJ458" i="2"/>
  <c r="CJ464" i="2"/>
  <c r="CJ461" i="2"/>
  <c r="CJ446" i="2"/>
  <c r="CJ434" i="2"/>
  <c r="CJ451" i="2"/>
  <c r="CJ427" i="2"/>
  <c r="CJ453" i="2"/>
  <c r="CJ456" i="2"/>
  <c r="CJ463" i="2"/>
  <c r="CJ444" i="2"/>
  <c r="EC492" i="2"/>
  <c r="CR199" i="2"/>
  <c r="CR211" i="2"/>
  <c r="CR219" i="2"/>
  <c r="CR216" i="2"/>
  <c r="CR183" i="2"/>
  <c r="CT183" i="2" s="1"/>
  <c r="CR195" i="2"/>
  <c r="CR217" i="2"/>
  <c r="CR206" i="2"/>
  <c r="CR208" i="2"/>
  <c r="CT208" i="2" s="1"/>
  <c r="CR213" i="2"/>
  <c r="CR194" i="2"/>
  <c r="CR218" i="2"/>
  <c r="CR179" i="2"/>
  <c r="CR212" i="2"/>
  <c r="CR202" i="2"/>
  <c r="CR186" i="2"/>
  <c r="CR175" i="2"/>
  <c r="CT175" i="2" s="1"/>
  <c r="CR209" i="2"/>
  <c r="CR192" i="2"/>
  <c r="CR174" i="2"/>
  <c r="CR176" i="2"/>
  <c r="CR220" i="2"/>
  <c r="CR185" i="2"/>
  <c r="CR203" i="2"/>
  <c r="CR196" i="2"/>
  <c r="CR178" i="2"/>
  <c r="CR201" i="2"/>
  <c r="CT201" i="2" s="1"/>
  <c r="CR184" i="2"/>
  <c r="CR198" i="2"/>
  <c r="CR197" i="2"/>
  <c r="CT197" i="2" s="1"/>
  <c r="CR187" i="2"/>
  <c r="CR205" i="2"/>
  <c r="CR214" i="2"/>
  <c r="CR193" i="2"/>
  <c r="CR190" i="2"/>
  <c r="CR188" i="2"/>
  <c r="CR215" i="2"/>
  <c r="CR204" i="2"/>
  <c r="CT204" i="2" s="1"/>
  <c r="CR181" i="2"/>
  <c r="CR200" i="2"/>
  <c r="CR189" i="2"/>
  <c r="CR177" i="2"/>
  <c r="CR191" i="2"/>
  <c r="CT191" i="2" s="1"/>
  <c r="CR180" i="2"/>
  <c r="CR182" i="2"/>
  <c r="CR210" i="2"/>
  <c r="CR207" i="2"/>
  <c r="CB211" i="2"/>
  <c r="CB183" i="2"/>
  <c r="CB200" i="2"/>
  <c r="CB196" i="2"/>
  <c r="CB195" i="2"/>
  <c r="CB187" i="2"/>
  <c r="CB214" i="2"/>
  <c r="CB203" i="2"/>
  <c r="CB188" i="2"/>
  <c r="CB192" i="2"/>
  <c r="CB215" i="2"/>
  <c r="CB212" i="2"/>
  <c r="CB194" i="2"/>
  <c r="CB213" i="2"/>
  <c r="CB182" i="2"/>
  <c r="CB204" i="2"/>
  <c r="CB191" i="2"/>
  <c r="CB206" i="2"/>
  <c r="CB189" i="2"/>
  <c r="CB175" i="2"/>
  <c r="CB207" i="2"/>
  <c r="CB179" i="2"/>
  <c r="CB186" i="2"/>
  <c r="CB220" i="2"/>
  <c r="CB199" i="2"/>
  <c r="CB176" i="2"/>
  <c r="CB202" i="2"/>
  <c r="CB181" i="2"/>
  <c r="CB193" i="2"/>
  <c r="CB174" i="2"/>
  <c r="CB198" i="2"/>
  <c r="CB219" i="2"/>
  <c r="CB217" i="2"/>
  <c r="CB208" i="2"/>
  <c r="CB201" i="2"/>
  <c r="CB180" i="2"/>
  <c r="CB177" i="2"/>
  <c r="CB190" i="2"/>
  <c r="CB178" i="2"/>
  <c r="CB210" i="2"/>
  <c r="CB216" i="2"/>
  <c r="CB184" i="2"/>
  <c r="CB218" i="2"/>
  <c r="CB209" i="2"/>
  <c r="CB205" i="2"/>
  <c r="CB185" i="2"/>
  <c r="CB197" i="2"/>
  <c r="CB492" i="34"/>
  <c r="CB535" i="34"/>
  <c r="CB536" i="34"/>
  <c r="CB506" i="34"/>
  <c r="CB504" i="34"/>
  <c r="CB500" i="34"/>
  <c r="CB508" i="34"/>
  <c r="CB511" i="34"/>
  <c r="CB529" i="34"/>
  <c r="CB499" i="34"/>
  <c r="CB498" i="34"/>
  <c r="CB520" i="34"/>
  <c r="CB530" i="34"/>
  <c r="CB515" i="34"/>
  <c r="CB494" i="34"/>
  <c r="CB490" i="34"/>
  <c r="CB491" i="34"/>
  <c r="CB528" i="34"/>
  <c r="CB501" i="34"/>
  <c r="CB509" i="34"/>
  <c r="CB518" i="34"/>
  <c r="CB527" i="34"/>
  <c r="CB531" i="34"/>
  <c r="CB533" i="34"/>
  <c r="CB522" i="34"/>
  <c r="CB496" i="34"/>
  <c r="CB524" i="34"/>
  <c r="CB493" i="34"/>
  <c r="CB503" i="34"/>
  <c r="CB519" i="34"/>
  <c r="CB517" i="34"/>
  <c r="CB523" i="34"/>
  <c r="CB497" i="34"/>
  <c r="CB521" i="34"/>
  <c r="CB525" i="34"/>
  <c r="CB495" i="34"/>
  <c r="CB516" i="34"/>
  <c r="CB534" i="34"/>
  <c r="CB507" i="34"/>
  <c r="CB526" i="34"/>
  <c r="CB514" i="34"/>
  <c r="CB502" i="34"/>
  <c r="CB512" i="34"/>
  <c r="CB505" i="34"/>
  <c r="CB513" i="34"/>
  <c r="CB532" i="34"/>
  <c r="CB510" i="34"/>
  <c r="CL512" i="34"/>
  <c r="CL509" i="34"/>
  <c r="CL499" i="34"/>
  <c r="CL492" i="34"/>
  <c r="CL504" i="34"/>
  <c r="CL535" i="34"/>
  <c r="CL515" i="34"/>
  <c r="CL495" i="34"/>
  <c r="CL501" i="34"/>
  <c r="CL513" i="34"/>
  <c r="CL503" i="34"/>
  <c r="CL530" i="34"/>
  <c r="CL523" i="34"/>
  <c r="CL524" i="34"/>
  <c r="CL500" i="34"/>
  <c r="CL494" i="34"/>
  <c r="CL518" i="34"/>
  <c r="ED491" i="34"/>
  <c r="CL502" i="34"/>
  <c r="CL527" i="34"/>
  <c r="CL508" i="34"/>
  <c r="CL510" i="34"/>
  <c r="CL526" i="34"/>
  <c r="CL525" i="34"/>
  <c r="CL529" i="34"/>
  <c r="CL505" i="34"/>
  <c r="CL511" i="34"/>
  <c r="CL516" i="34"/>
  <c r="CL521" i="34"/>
  <c r="CL507" i="34"/>
  <c r="CL519" i="34"/>
  <c r="CL528" i="34"/>
  <c r="CL532" i="34"/>
  <c r="CL496" i="34"/>
  <c r="CL514" i="34"/>
  <c r="CL493" i="34"/>
  <c r="CL497" i="34"/>
  <c r="CL534" i="34"/>
  <c r="CL490" i="34"/>
  <c r="CL536" i="34"/>
  <c r="CL491" i="34"/>
  <c r="CL522" i="34"/>
  <c r="CL506" i="34"/>
  <c r="CL520" i="34"/>
  <c r="CL498" i="34"/>
  <c r="CL517" i="34"/>
  <c r="CL531" i="34"/>
  <c r="CL533" i="34"/>
  <c r="CK510" i="2"/>
  <c r="CK496" i="2"/>
  <c r="CK515" i="2"/>
  <c r="CK520" i="2"/>
  <c r="CK526" i="2"/>
  <c r="CK533" i="2"/>
  <c r="CK500" i="2"/>
  <c r="CK498" i="2"/>
  <c r="CK522" i="2"/>
  <c r="CK514" i="2"/>
  <c r="CK494" i="2"/>
  <c r="CK506" i="2"/>
  <c r="CK521" i="2"/>
  <c r="CK508" i="2"/>
  <c r="CK492" i="2"/>
  <c r="CK516" i="2"/>
  <c r="CK529" i="2"/>
  <c r="CK504" i="2"/>
  <c r="CK530" i="2"/>
  <c r="CK499" i="2"/>
  <c r="CK490" i="2"/>
  <c r="CK524" i="2"/>
  <c r="CK527" i="2"/>
  <c r="CK519" i="2"/>
  <c r="CK507" i="2"/>
  <c r="CK531" i="2"/>
  <c r="CK497" i="2"/>
  <c r="CK502" i="2"/>
  <c r="CK493" i="2"/>
  <c r="CK528" i="2"/>
  <c r="CK503" i="2"/>
  <c r="CK512" i="2"/>
  <c r="CK509" i="2"/>
  <c r="CK518" i="2"/>
  <c r="CK536" i="2"/>
  <c r="CK532" i="2"/>
  <c r="CK525" i="2"/>
  <c r="CK495" i="2"/>
  <c r="CK517" i="2"/>
  <c r="CK491" i="2"/>
  <c r="CK534" i="2"/>
  <c r="CK511" i="2"/>
  <c r="CK501" i="2"/>
  <c r="CK523" i="2"/>
  <c r="EC491" i="2"/>
  <c r="CK535" i="2"/>
  <c r="CK513" i="2"/>
  <c r="CK505" i="2"/>
  <c r="CC238" i="2"/>
  <c r="CC248" i="2"/>
  <c r="CC281" i="2"/>
  <c r="CC255" i="2"/>
  <c r="CC251" i="2"/>
  <c r="CC271" i="2"/>
  <c r="CC253" i="2"/>
  <c r="CC242" i="2"/>
  <c r="CC266" i="2"/>
  <c r="CC269" i="2"/>
  <c r="CC264" i="2"/>
  <c r="CC240" i="2"/>
  <c r="CC239" i="2"/>
  <c r="CC237" i="2"/>
  <c r="CC241" i="2"/>
  <c r="CC280" i="2"/>
  <c r="CC268" i="2"/>
  <c r="CC274" i="2"/>
  <c r="CC244" i="2"/>
  <c r="CC270" i="2"/>
  <c r="CC243" i="2"/>
  <c r="CC258" i="2"/>
  <c r="CC254" i="2"/>
  <c r="CC279" i="2"/>
  <c r="CC257" i="2"/>
  <c r="CC256" i="2"/>
  <c r="CC263" i="2"/>
  <c r="CC252" i="2"/>
  <c r="CC260" i="2"/>
  <c r="CC265" i="2"/>
  <c r="CC246" i="2"/>
  <c r="CC276" i="2"/>
  <c r="CC277" i="2"/>
  <c r="CC272" i="2"/>
  <c r="CC267" i="2"/>
  <c r="CC247" i="2"/>
  <c r="CC282" i="2"/>
  <c r="CC273" i="2"/>
  <c r="CC259" i="2"/>
  <c r="CC283" i="2"/>
  <c r="CC250" i="2"/>
  <c r="CC278" i="2"/>
  <c r="CC261" i="2"/>
  <c r="CC245" i="2"/>
  <c r="CC275" i="2"/>
  <c r="CC249" i="2"/>
  <c r="CC262" i="2"/>
  <c r="CJ276" i="2"/>
  <c r="CJ253" i="2"/>
  <c r="CJ256" i="2"/>
  <c r="CJ281" i="2"/>
  <c r="CJ247" i="2"/>
  <c r="CJ262" i="2"/>
  <c r="CJ246" i="2"/>
  <c r="CJ277" i="2"/>
  <c r="CJ280" i="2"/>
  <c r="CJ267" i="2"/>
  <c r="CJ271" i="2"/>
  <c r="CJ257" i="2"/>
  <c r="CJ261" i="2"/>
  <c r="CJ259" i="2"/>
  <c r="CJ279" i="2"/>
  <c r="CJ283" i="2"/>
  <c r="CJ239" i="2"/>
  <c r="CJ264" i="2"/>
  <c r="CJ237" i="2"/>
  <c r="CJ263" i="2"/>
  <c r="CJ270" i="2"/>
  <c r="CJ248" i="2"/>
  <c r="CJ275" i="2"/>
  <c r="CJ265" i="2"/>
  <c r="CJ245" i="2"/>
  <c r="CJ282" i="2"/>
  <c r="CJ249" i="2"/>
  <c r="CJ252" i="2"/>
  <c r="CJ244" i="2"/>
  <c r="CJ278" i="2"/>
  <c r="CJ258" i="2"/>
  <c r="EB238" i="2"/>
  <c r="CJ243" i="2"/>
  <c r="CJ242" i="2"/>
  <c r="CJ269" i="2"/>
  <c r="CJ273" i="2"/>
  <c r="CJ238" i="2"/>
  <c r="CJ272" i="2"/>
  <c r="CJ241" i="2"/>
  <c r="CJ268" i="2"/>
  <c r="CJ250" i="2"/>
  <c r="CJ274" i="2"/>
  <c r="CJ260" i="2"/>
  <c r="CJ266" i="2"/>
  <c r="CJ255" i="2"/>
  <c r="CJ254" i="2"/>
  <c r="CJ251" i="2"/>
  <c r="CJ240" i="2"/>
  <c r="EB239" i="2"/>
  <c r="EC239" i="2"/>
  <c r="CA339" i="2"/>
  <c r="CA314" i="2"/>
  <c r="CA328" i="2"/>
  <c r="CA312" i="2"/>
  <c r="CA334" i="2"/>
  <c r="CA335" i="2"/>
  <c r="CA331" i="2"/>
  <c r="CA346" i="2"/>
  <c r="CA340" i="2"/>
  <c r="CA317" i="2"/>
  <c r="CA338" i="2"/>
  <c r="CA329" i="2"/>
  <c r="CA311" i="2"/>
  <c r="CA305" i="2"/>
  <c r="CA326" i="2"/>
  <c r="CA318" i="2"/>
  <c r="CA315" i="2"/>
  <c r="CA337" i="2"/>
  <c r="CA301" i="2"/>
  <c r="CA321" i="2"/>
  <c r="CA307" i="2"/>
  <c r="CA300" i="2"/>
  <c r="CA330" i="2"/>
  <c r="CA320" i="2"/>
  <c r="CA322" i="2"/>
  <c r="CA327" i="2"/>
  <c r="CA325" i="2"/>
  <c r="CA324" i="2"/>
  <c r="CA313" i="2"/>
  <c r="CA332" i="2"/>
  <c r="CA343" i="2"/>
  <c r="CA342" i="2"/>
  <c r="CA336" i="2"/>
  <c r="CA310" i="2"/>
  <c r="CA333" i="2"/>
  <c r="CA309" i="2"/>
  <c r="CA303" i="2"/>
  <c r="CA341" i="2"/>
  <c r="CA345" i="2"/>
  <c r="CA319" i="2"/>
  <c r="CA304" i="2"/>
  <c r="CA306" i="2"/>
  <c r="CA323" i="2"/>
  <c r="CA316" i="2"/>
  <c r="CA344" i="2"/>
  <c r="CA302" i="2"/>
  <c r="CA308" i="2"/>
  <c r="CB310" i="2"/>
  <c r="CB320" i="2"/>
  <c r="CB306" i="2"/>
  <c r="CB341" i="2"/>
  <c r="CB314" i="2"/>
  <c r="CB332" i="2"/>
  <c r="CB304" i="2"/>
  <c r="CB337" i="2"/>
  <c r="CB317" i="2"/>
  <c r="CB344" i="2"/>
  <c r="CB336" i="2"/>
  <c r="CB326" i="2"/>
  <c r="CB300" i="2"/>
  <c r="CB316" i="2"/>
  <c r="CB318" i="2"/>
  <c r="CB330" i="2"/>
  <c r="CB303" i="2"/>
  <c r="CB346" i="2"/>
  <c r="CB311" i="2"/>
  <c r="CB305" i="2"/>
  <c r="CB339" i="2"/>
  <c r="CB342" i="2"/>
  <c r="CB340" i="2"/>
  <c r="CB328" i="2"/>
  <c r="CB323" i="2"/>
  <c r="CB345" i="2"/>
  <c r="CB331" i="2"/>
  <c r="CB309" i="2"/>
  <c r="CB335" i="2"/>
  <c r="CB301" i="2"/>
  <c r="CB338" i="2"/>
  <c r="CB313" i="2"/>
  <c r="CB307" i="2"/>
  <c r="CB343" i="2"/>
  <c r="CB302" i="2"/>
  <c r="CB321" i="2"/>
  <c r="CB315" i="2"/>
  <c r="CB312" i="2"/>
  <c r="CB308" i="2"/>
  <c r="CB333" i="2"/>
  <c r="CB327" i="2"/>
  <c r="CB329" i="2"/>
  <c r="CB324" i="2"/>
  <c r="CB334" i="2"/>
  <c r="CB322" i="2"/>
  <c r="CB325" i="2"/>
  <c r="CB319" i="2"/>
  <c r="CL323" i="2"/>
  <c r="CL342" i="2"/>
  <c r="CL303" i="2"/>
  <c r="CL345" i="2"/>
  <c r="CL343" i="2"/>
  <c r="CL312" i="2"/>
  <c r="CL328" i="2"/>
  <c r="CL306" i="2"/>
  <c r="CL329" i="2"/>
  <c r="CL339" i="2"/>
  <c r="CL346" i="2"/>
  <c r="CL313" i="2"/>
  <c r="CL334" i="2"/>
  <c r="CL325" i="2"/>
  <c r="CL336" i="2"/>
  <c r="CL314" i="2"/>
  <c r="CL311" i="2"/>
  <c r="CL304" i="2"/>
  <c r="CL319" i="2"/>
  <c r="CL316" i="2"/>
  <c r="CL330" i="2"/>
  <c r="CL309" i="2"/>
  <c r="CL344" i="2"/>
  <c r="CL324" i="2"/>
  <c r="CL340" i="2"/>
  <c r="CL333" i="2"/>
  <c r="CL301" i="2"/>
  <c r="CL320" i="2"/>
  <c r="CL305" i="2"/>
  <c r="CL341" i="2"/>
  <c r="ED301" i="2"/>
  <c r="CL308" i="2"/>
  <c r="CL322" i="2"/>
  <c r="CL326" i="2"/>
  <c r="CL321" i="2"/>
  <c r="CL300" i="2"/>
  <c r="CL332" i="2"/>
  <c r="CL307" i="2"/>
  <c r="CL338" i="2"/>
  <c r="CL310" i="2"/>
  <c r="CL317" i="2"/>
  <c r="CL315" i="2"/>
  <c r="CL302" i="2"/>
  <c r="CL331" i="2"/>
  <c r="CL335" i="2"/>
  <c r="CL318" i="2"/>
  <c r="CL337" i="2"/>
  <c r="CL327" i="2"/>
  <c r="CC110" i="2"/>
  <c r="CC111" i="2" s="1"/>
  <c r="CC112" i="2" s="1"/>
  <c r="CC113" i="2" s="1"/>
  <c r="CC114" i="2" s="1"/>
  <c r="CC115" i="2" s="1"/>
  <c r="CC116" i="2" s="1"/>
  <c r="CC117" i="2" s="1"/>
  <c r="CC118" i="2" s="1"/>
  <c r="CC119" i="2" s="1"/>
  <c r="CC120" i="2" s="1"/>
  <c r="CC121" i="2" s="1"/>
  <c r="CC122" i="2" s="1"/>
  <c r="CC123" i="2" s="1"/>
  <c r="CC124" i="2" s="1"/>
  <c r="CC125" i="2" s="1"/>
  <c r="CC126" i="2" s="1"/>
  <c r="CC127" i="2" s="1"/>
  <c r="CC128" i="2" s="1"/>
  <c r="CC129" i="2" s="1"/>
  <c r="CC130" i="2" s="1"/>
  <c r="CC131" i="2" s="1"/>
  <c r="CC132" i="2" s="1"/>
  <c r="CC133" i="2" s="1"/>
  <c r="CC134" i="2" s="1"/>
  <c r="CC135" i="2" s="1"/>
  <c r="CC136" i="2" s="1"/>
  <c r="CC137" i="2" s="1"/>
  <c r="CC138" i="2" s="1"/>
  <c r="CC139" i="2" s="1"/>
  <c r="CC140" i="2" s="1"/>
  <c r="CC141" i="2" s="1"/>
  <c r="CC142" i="2" s="1"/>
  <c r="CC143" i="2" s="1"/>
  <c r="CC144" i="2" s="1"/>
  <c r="CC145" i="2" s="1"/>
  <c r="CC146" i="2" s="1"/>
  <c r="CC147" i="2" s="1"/>
  <c r="CC148" i="2" s="1"/>
  <c r="CC149" i="2" s="1"/>
  <c r="CC150" i="2" s="1"/>
  <c r="CC151" i="2" s="1"/>
  <c r="CC152" i="2" s="1"/>
  <c r="CC153" i="2" s="1"/>
  <c r="CC154" i="2" s="1"/>
  <c r="CC155" i="2" s="1"/>
  <c r="CC156" i="2" s="1"/>
  <c r="CB126" i="2"/>
  <c r="CB113" i="2"/>
  <c r="CB153" i="2"/>
  <c r="CB123" i="2"/>
  <c r="CB120" i="2"/>
  <c r="CB129" i="2"/>
  <c r="CB118" i="2"/>
  <c r="CB131" i="2"/>
  <c r="CB145" i="2"/>
  <c r="CB115" i="2"/>
  <c r="CB130" i="2"/>
  <c r="CB142" i="2"/>
  <c r="CB146" i="2"/>
  <c r="CB150" i="2"/>
  <c r="CB154" i="2"/>
  <c r="CB140" i="2"/>
  <c r="CB137" i="2"/>
  <c r="CB121" i="2"/>
  <c r="CB151" i="2"/>
  <c r="CB122" i="2"/>
  <c r="CB111" i="2"/>
  <c r="CB148" i="2"/>
  <c r="CB134" i="2"/>
  <c r="CB112" i="2"/>
  <c r="CB143" i="2"/>
  <c r="CB141" i="2"/>
  <c r="CB152" i="2"/>
  <c r="CB124" i="2"/>
  <c r="CB136" i="2"/>
  <c r="CB110" i="2"/>
  <c r="CB117" i="2"/>
  <c r="CB119" i="2"/>
  <c r="CB149" i="2"/>
  <c r="CB127" i="2"/>
  <c r="CB128" i="2"/>
  <c r="CB138" i="2"/>
  <c r="CB156" i="2"/>
  <c r="CB125" i="2"/>
  <c r="CB116" i="2"/>
  <c r="CB132" i="2"/>
  <c r="CB133" i="2"/>
  <c r="CB135" i="2"/>
  <c r="CB114" i="2"/>
  <c r="CB139" i="2"/>
  <c r="CB147" i="2"/>
  <c r="CB144" i="2"/>
  <c r="CB155" i="2"/>
  <c r="CR134" i="2"/>
  <c r="CR146" i="2"/>
  <c r="CR117" i="2"/>
  <c r="CR145" i="2"/>
  <c r="CR119" i="2"/>
  <c r="CR135" i="2"/>
  <c r="CR122" i="2"/>
  <c r="CR121" i="2"/>
  <c r="CR131" i="2"/>
  <c r="CR129" i="2"/>
  <c r="CR143" i="2"/>
  <c r="CR144" i="2"/>
  <c r="CR149" i="2"/>
  <c r="CR124" i="2"/>
  <c r="CR138" i="2"/>
  <c r="CR137" i="2"/>
  <c r="CR118" i="2"/>
  <c r="CR154" i="2"/>
  <c r="CR128" i="2"/>
  <c r="CR156" i="2"/>
  <c r="CR110" i="2"/>
  <c r="CR112" i="2"/>
  <c r="CR141" i="2"/>
  <c r="CR147" i="2"/>
  <c r="CR132" i="2"/>
  <c r="CR136" i="2"/>
  <c r="CR113" i="2"/>
  <c r="CR148" i="2"/>
  <c r="CR139" i="2"/>
  <c r="CR127" i="2"/>
  <c r="CR114" i="2"/>
  <c r="CR125" i="2"/>
  <c r="CR133" i="2"/>
  <c r="CR116" i="2"/>
  <c r="CR115" i="2"/>
  <c r="CR140" i="2"/>
  <c r="CR142" i="2"/>
  <c r="CR130" i="2"/>
  <c r="CR150" i="2"/>
  <c r="CR155" i="2"/>
  <c r="CR120" i="2"/>
  <c r="CR151" i="2"/>
  <c r="CR152" i="2"/>
  <c r="CR123" i="2"/>
  <c r="CR126" i="2"/>
  <c r="CR111" i="2"/>
  <c r="CR153" i="2"/>
  <c r="EB176" i="2"/>
  <c r="CI496" i="2"/>
  <c r="CI530" i="2"/>
  <c r="CI515" i="2"/>
  <c r="CI499" i="2"/>
  <c r="CI520" i="2"/>
  <c r="EA491" i="2"/>
  <c r="CI514" i="2"/>
  <c r="CI525" i="2"/>
  <c r="CI500" i="2"/>
  <c r="CI529" i="2"/>
  <c r="CI512" i="2"/>
  <c r="CI501" i="2"/>
  <c r="CI503" i="2"/>
  <c r="CI506" i="2"/>
  <c r="CI517" i="2"/>
  <c r="CI523" i="2"/>
  <c r="CI509" i="2"/>
  <c r="CI510" i="2"/>
  <c r="CI493" i="2"/>
  <c r="CI495" i="2"/>
  <c r="CI528" i="2"/>
  <c r="CI505" i="2"/>
  <c r="CI521" i="2"/>
  <c r="CI536" i="2"/>
  <c r="CI535" i="2"/>
  <c r="CI519" i="2"/>
  <c r="CI494" i="2"/>
  <c r="CI526" i="2"/>
  <c r="CI516" i="2"/>
  <c r="CI508" i="2"/>
  <c r="CI533" i="2"/>
  <c r="CI522" i="2"/>
  <c r="CI518" i="2"/>
  <c r="CI532" i="2"/>
  <c r="CI502" i="2"/>
  <c r="CI534" i="2"/>
  <c r="CI513" i="2"/>
  <c r="CI490" i="2"/>
  <c r="CI507" i="2"/>
  <c r="CI491" i="2"/>
  <c r="CI498" i="2"/>
  <c r="CI524" i="2"/>
  <c r="CI492" i="2"/>
  <c r="CI504" i="2"/>
  <c r="CI531" i="2"/>
  <c r="CI497" i="2"/>
  <c r="CI527" i="2"/>
  <c r="CI511" i="2"/>
  <c r="CK409" i="2"/>
  <c r="CK370" i="2"/>
  <c r="CK371" i="2"/>
  <c r="CK388" i="2"/>
  <c r="CK397" i="2"/>
  <c r="CK383" i="2"/>
  <c r="CK372" i="2"/>
  <c r="CK394" i="2"/>
  <c r="CK376" i="2"/>
  <c r="CK378" i="2"/>
  <c r="CK398" i="2"/>
  <c r="CK385" i="2"/>
  <c r="CK373" i="2"/>
  <c r="CK379" i="2"/>
  <c r="CK365" i="2"/>
  <c r="CK381" i="2"/>
  <c r="CK406" i="2"/>
  <c r="CK374" i="2"/>
  <c r="CK395" i="2"/>
  <c r="CK382" i="2"/>
  <c r="CK377" i="2"/>
  <c r="CK405" i="2"/>
  <c r="EC364" i="2"/>
  <c r="CK400" i="2"/>
  <c r="CK387" i="2"/>
  <c r="CK369" i="2"/>
  <c r="CK407" i="2"/>
  <c r="CK399" i="2"/>
  <c r="CK403" i="2"/>
  <c r="CK396" i="2"/>
  <c r="CK392" i="2"/>
  <c r="CK389" i="2"/>
  <c r="CK393" i="2"/>
  <c r="CK375" i="2"/>
  <c r="CK364" i="2"/>
  <c r="CK404" i="2"/>
  <c r="CK368" i="2"/>
  <c r="CK367" i="2"/>
  <c r="CK366" i="2"/>
  <c r="CK386" i="2"/>
  <c r="CK401" i="2"/>
  <c r="CK408" i="2"/>
  <c r="CK384" i="2"/>
  <c r="CK390" i="2"/>
  <c r="CK380" i="2"/>
  <c r="CK363" i="2"/>
  <c r="CK402" i="2"/>
  <c r="CK391" i="2"/>
  <c r="CC363" i="2"/>
  <c r="CC364" i="2" s="1"/>
  <c r="CC365" i="2" s="1"/>
  <c r="CC366" i="2" s="1"/>
  <c r="CC367" i="2" s="1"/>
  <c r="CC368" i="2" s="1"/>
  <c r="CC369" i="2" s="1"/>
  <c r="CC370" i="2" s="1"/>
  <c r="CC371" i="2" s="1"/>
  <c r="CC372" i="2" s="1"/>
  <c r="CC373" i="2" s="1"/>
  <c r="CC374" i="2" s="1"/>
  <c r="CC375" i="2" s="1"/>
  <c r="CC376" i="2" s="1"/>
  <c r="CC377" i="2" s="1"/>
  <c r="CC378" i="2" s="1"/>
  <c r="CC379" i="2" s="1"/>
  <c r="CC380" i="2" s="1"/>
  <c r="CC381" i="2" s="1"/>
  <c r="CC382" i="2" s="1"/>
  <c r="CC383" i="2" s="1"/>
  <c r="CC384" i="2" s="1"/>
  <c r="CC385" i="2" s="1"/>
  <c r="CC386" i="2" s="1"/>
  <c r="CC387" i="2" s="1"/>
  <c r="CC388" i="2" s="1"/>
  <c r="CC389" i="2" s="1"/>
  <c r="CC390" i="2" s="1"/>
  <c r="CC391" i="2" s="1"/>
  <c r="CC392" i="2" s="1"/>
  <c r="CC393" i="2" s="1"/>
  <c r="CC394" i="2" s="1"/>
  <c r="CC395" i="2" s="1"/>
  <c r="CC396" i="2" s="1"/>
  <c r="CC397" i="2" s="1"/>
  <c r="CC398" i="2" s="1"/>
  <c r="CC399" i="2" s="1"/>
  <c r="CC400" i="2" s="1"/>
  <c r="CC401" i="2" s="1"/>
  <c r="CC402" i="2" s="1"/>
  <c r="CC403" i="2" s="1"/>
  <c r="CC404" i="2" s="1"/>
  <c r="CC405" i="2" s="1"/>
  <c r="CC406" i="2" s="1"/>
  <c r="CC407" i="2" s="1"/>
  <c r="CC408" i="2" s="1"/>
  <c r="CC409" i="2" s="1"/>
  <c r="CJ376" i="2"/>
  <c r="CJ389" i="2"/>
  <c r="CJ379" i="2"/>
  <c r="CJ395" i="2"/>
  <c r="CJ374" i="2"/>
  <c r="CJ398" i="2"/>
  <c r="CJ393" i="2"/>
  <c r="CJ400" i="2"/>
  <c r="CJ387" i="2"/>
  <c r="CJ384" i="2"/>
  <c r="CJ408" i="2"/>
  <c r="CJ409" i="2"/>
  <c r="CJ397" i="2"/>
  <c r="CJ372" i="2"/>
  <c r="CJ367" i="2"/>
  <c r="CJ391" i="2"/>
  <c r="CJ383" i="2"/>
  <c r="CJ396" i="2"/>
  <c r="CJ382" i="2"/>
  <c r="CJ406" i="2"/>
  <c r="CJ390" i="2"/>
  <c r="CJ377" i="2"/>
  <c r="CJ403" i="2"/>
  <c r="CJ363" i="2"/>
  <c r="CJ371" i="2"/>
  <c r="CJ381" i="2"/>
  <c r="CJ375" i="2"/>
  <c r="CJ407" i="2"/>
  <c r="CJ388" i="2"/>
  <c r="CJ364" i="2"/>
  <c r="CJ368" i="2"/>
  <c r="CJ401" i="2"/>
  <c r="CJ380" i="2"/>
  <c r="CJ392" i="2"/>
  <c r="EB364" i="2"/>
  <c r="CJ386" i="2"/>
  <c r="CJ385" i="2"/>
  <c r="CJ378" i="2"/>
  <c r="CJ369" i="2"/>
  <c r="CJ394" i="2"/>
  <c r="CJ399" i="2"/>
  <c r="CJ365" i="2"/>
  <c r="CJ402" i="2"/>
  <c r="CJ405" i="2"/>
  <c r="CJ366" i="2"/>
  <c r="CJ370" i="2"/>
  <c r="CJ404" i="2"/>
  <c r="CJ373" i="2"/>
  <c r="EA556" i="2"/>
  <c r="CB595" i="2"/>
  <c r="CB584" i="2"/>
  <c r="CB574" i="2"/>
  <c r="CB565" i="2"/>
  <c r="CB597" i="2"/>
  <c r="CB580" i="2"/>
  <c r="CB567" i="2"/>
  <c r="CB585" i="2"/>
  <c r="CB576" i="2"/>
  <c r="CB590" i="2"/>
  <c r="CB587" i="2"/>
  <c r="CB592" i="2"/>
  <c r="CB569" i="2"/>
  <c r="CB593" i="2"/>
  <c r="CB568" i="2"/>
  <c r="CB583" i="2"/>
  <c r="CB600" i="2"/>
  <c r="CB586" i="2"/>
  <c r="CB578" i="2"/>
  <c r="CB556" i="2"/>
  <c r="CB563" i="2"/>
  <c r="CB559" i="2"/>
  <c r="CB588" i="2"/>
  <c r="CB562" i="2"/>
  <c r="CB566" i="2"/>
  <c r="CB594" i="2"/>
  <c r="CB554" i="2"/>
  <c r="CB573" i="2"/>
  <c r="CB579" i="2"/>
  <c r="CB598" i="2"/>
  <c r="CB582" i="2"/>
  <c r="CB577" i="2"/>
  <c r="CB599" i="2"/>
  <c r="CB561" i="2"/>
  <c r="CB581" i="2"/>
  <c r="CB564" i="2"/>
  <c r="CB575" i="2"/>
  <c r="CB557" i="2"/>
  <c r="CB596" i="2"/>
  <c r="CB572" i="2"/>
  <c r="CB591" i="2"/>
  <c r="CB560" i="2"/>
  <c r="CB589" i="2"/>
  <c r="CB558" i="2"/>
  <c r="CB571" i="2"/>
  <c r="CB570" i="2"/>
  <c r="CB555" i="2"/>
  <c r="CI586" i="2"/>
  <c r="CI566" i="2"/>
  <c r="CI580" i="2"/>
  <c r="CI569" i="2"/>
  <c r="CI581" i="2"/>
  <c r="CI600" i="2"/>
  <c r="CI561" i="2"/>
  <c r="CI592" i="2"/>
  <c r="CI598" i="2"/>
  <c r="CI585" i="2"/>
  <c r="CI584" i="2"/>
  <c r="CI579" i="2"/>
  <c r="CI577" i="2"/>
  <c r="CI557" i="2"/>
  <c r="CI571" i="2"/>
  <c r="CI554" i="2"/>
  <c r="CI591" i="2"/>
  <c r="CI563" i="2"/>
  <c r="CI560" i="2"/>
  <c r="CI572" i="2"/>
  <c r="CI555" i="2"/>
  <c r="CI595" i="2"/>
  <c r="CI575" i="2"/>
  <c r="CI589" i="2"/>
  <c r="CI576" i="2"/>
  <c r="CI573" i="2"/>
  <c r="CI568" i="2"/>
  <c r="CI559" i="2"/>
  <c r="CI565" i="2"/>
  <c r="CI562" i="2"/>
  <c r="CI583" i="2"/>
  <c r="CI582" i="2"/>
  <c r="CI597" i="2"/>
  <c r="CI594" i="2"/>
  <c r="EA555" i="2"/>
  <c r="CI588" i="2"/>
  <c r="CI587" i="2"/>
  <c r="CI567" i="2"/>
  <c r="CI570" i="2"/>
  <c r="CI578" i="2"/>
  <c r="CI558" i="2"/>
  <c r="CI564" i="2"/>
  <c r="CI599" i="2"/>
  <c r="CI593" i="2"/>
  <c r="CI556" i="2"/>
  <c r="CI596" i="2"/>
  <c r="CI574" i="2"/>
  <c r="CI590" i="2"/>
  <c r="EB492" i="34"/>
  <c r="EA492" i="34"/>
  <c r="ED492" i="34"/>
  <c r="CR438" i="2"/>
  <c r="CR447" i="2"/>
  <c r="CR444" i="2"/>
  <c r="CR460" i="2"/>
  <c r="CR467" i="2"/>
  <c r="CR439" i="2"/>
  <c r="CR427" i="2"/>
  <c r="CR429" i="2"/>
  <c r="CR462" i="2"/>
  <c r="CR433" i="2"/>
  <c r="CR470" i="2"/>
  <c r="CR472" i="2"/>
  <c r="CR469" i="2"/>
  <c r="CR471" i="2"/>
  <c r="CR468" i="2"/>
  <c r="CR465" i="2"/>
  <c r="CR443" i="2"/>
  <c r="CR464" i="2"/>
  <c r="CR440" i="2"/>
  <c r="CR448" i="2"/>
  <c r="CR450" i="2"/>
  <c r="CR431" i="2"/>
  <c r="CR445" i="2"/>
  <c r="CR442" i="2"/>
  <c r="CR446" i="2"/>
  <c r="CR466" i="2"/>
  <c r="CR451" i="2"/>
  <c r="CR432" i="2"/>
  <c r="CR455" i="2"/>
  <c r="CR428" i="2"/>
  <c r="CR452" i="2"/>
  <c r="CR459" i="2"/>
  <c r="CR461" i="2"/>
  <c r="CR458" i="2"/>
  <c r="CR453" i="2"/>
  <c r="CR463" i="2"/>
  <c r="CR436" i="2"/>
  <c r="CR441" i="2"/>
  <c r="CR457" i="2"/>
  <c r="CR437" i="2"/>
  <c r="CR430" i="2"/>
  <c r="CR426" i="2"/>
  <c r="CR449" i="2"/>
  <c r="CR434" i="2"/>
  <c r="CR435" i="2"/>
  <c r="CR454" i="2"/>
  <c r="CR456" i="2"/>
  <c r="CL467" i="2"/>
  <c r="CL466" i="2"/>
  <c r="CL436" i="2"/>
  <c r="CL463" i="2"/>
  <c r="CL431" i="2"/>
  <c r="CL443" i="2"/>
  <c r="CL435" i="2"/>
  <c r="CL458" i="2"/>
  <c r="CL430" i="2"/>
  <c r="ED427" i="2"/>
  <c r="CL433" i="2"/>
  <c r="CL438" i="2"/>
  <c r="CL434" i="2"/>
  <c r="CL459" i="2"/>
  <c r="CL470" i="2"/>
  <c r="CL442" i="2"/>
  <c r="CL428" i="2"/>
  <c r="CL444" i="2"/>
  <c r="CL472" i="2"/>
  <c r="CL437" i="2"/>
  <c r="CL457" i="2"/>
  <c r="CL460" i="2"/>
  <c r="CL429" i="2"/>
  <c r="CL468" i="2"/>
  <c r="CL461" i="2"/>
  <c r="CL447" i="2"/>
  <c r="CL464" i="2"/>
  <c r="CL456" i="2"/>
  <c r="CL446" i="2"/>
  <c r="CL449" i="2"/>
  <c r="CL471" i="2"/>
  <c r="CL452" i="2"/>
  <c r="CL455" i="2"/>
  <c r="CL445" i="2"/>
  <c r="CL426" i="2"/>
  <c r="CL440" i="2"/>
  <c r="CL454" i="2"/>
  <c r="CL469" i="2"/>
  <c r="CL439" i="2"/>
  <c r="CL451" i="2"/>
  <c r="CL450" i="2"/>
  <c r="CL432" i="2"/>
  <c r="CL462" i="2"/>
  <c r="CL453" i="2"/>
  <c r="CL441" i="2"/>
  <c r="CL465" i="2"/>
  <c r="CL427" i="2"/>
  <c r="CL448" i="2"/>
  <c r="CS443" i="2"/>
  <c r="CS461" i="2"/>
  <c r="CS459" i="2"/>
  <c r="CS455" i="2"/>
  <c r="CS460" i="2"/>
  <c r="CS447" i="2"/>
  <c r="CS428" i="2"/>
  <c r="CS454" i="2"/>
  <c r="CS427" i="2"/>
  <c r="CS463" i="2"/>
  <c r="CS430" i="2"/>
  <c r="CS462" i="2"/>
  <c r="CS464" i="2"/>
  <c r="CS436" i="2"/>
  <c r="CS448" i="2"/>
  <c r="CS434" i="2"/>
  <c r="CS449" i="2"/>
  <c r="CS437" i="2"/>
  <c r="CS440" i="2"/>
  <c r="CS426" i="2"/>
  <c r="CS441" i="2"/>
  <c r="CS450" i="2"/>
  <c r="CS444" i="2"/>
  <c r="CS466" i="2"/>
  <c r="CS445" i="2"/>
  <c r="CS470" i="2"/>
  <c r="CS439" i="2"/>
  <c r="CS431" i="2"/>
  <c r="CS432" i="2"/>
  <c r="CS433" i="2"/>
  <c r="CS456" i="2"/>
  <c r="CS472" i="2"/>
  <c r="CS469" i="2"/>
  <c r="CS465" i="2"/>
  <c r="CS435" i="2"/>
  <c r="CS429" i="2"/>
  <c r="CS453" i="2"/>
  <c r="CS442" i="2"/>
  <c r="CS438" i="2"/>
  <c r="CS468" i="2"/>
  <c r="CS446" i="2"/>
  <c r="CS458" i="2"/>
  <c r="CS457" i="2"/>
  <c r="CS467" i="2"/>
  <c r="CS451" i="2"/>
  <c r="CS471" i="2"/>
  <c r="CS452" i="2"/>
  <c r="EB492" i="2"/>
  <c r="CJ174" i="2"/>
  <c r="CJ183" i="2"/>
  <c r="CJ191" i="2"/>
  <c r="CJ217" i="2"/>
  <c r="CJ219" i="2"/>
  <c r="CJ202" i="2"/>
  <c r="CJ200" i="2"/>
  <c r="CJ198" i="2"/>
  <c r="CJ212" i="2"/>
  <c r="CJ218" i="2"/>
  <c r="EB175" i="2"/>
  <c r="CJ180" i="2"/>
  <c r="CJ205" i="2"/>
  <c r="CJ190" i="2"/>
  <c r="CJ209" i="2"/>
  <c r="CJ197" i="2"/>
  <c r="CJ187" i="2"/>
  <c r="CJ207" i="2"/>
  <c r="CJ195" i="2"/>
  <c r="CJ188" i="2"/>
  <c r="CJ181" i="2"/>
  <c r="CJ220" i="2"/>
  <c r="CJ192" i="2"/>
  <c r="CJ184" i="2"/>
  <c r="CJ206" i="2"/>
  <c r="CJ175" i="2"/>
  <c r="CJ196" i="2"/>
  <c r="CJ176" i="2"/>
  <c r="CJ182" i="2"/>
  <c r="CJ214" i="2"/>
  <c r="CJ189" i="2"/>
  <c r="CJ179" i="2"/>
  <c r="CJ215" i="2"/>
  <c r="CJ177" i="2"/>
  <c r="CJ193" i="2"/>
  <c r="CJ213" i="2"/>
  <c r="CJ185" i="2"/>
  <c r="CJ204" i="2"/>
  <c r="CJ203" i="2"/>
  <c r="CJ210" i="2"/>
  <c r="CJ178" i="2"/>
  <c r="CJ199" i="2"/>
  <c r="CJ216" i="2"/>
  <c r="CJ211" i="2"/>
  <c r="CJ208" i="2"/>
  <c r="CJ194" i="2"/>
  <c r="CJ201" i="2"/>
  <c r="CJ186" i="2"/>
  <c r="CI203" i="2"/>
  <c r="CI219" i="2"/>
  <c r="CI215" i="2"/>
  <c r="CI218" i="2"/>
  <c r="CI199" i="2"/>
  <c r="CI198" i="2"/>
  <c r="CI197" i="2"/>
  <c r="EA175" i="2"/>
  <c r="CI185" i="2"/>
  <c r="CI174" i="2"/>
  <c r="CI186" i="2"/>
  <c r="CI211" i="2"/>
  <c r="CI204" i="2"/>
  <c r="CI213" i="2"/>
  <c r="CI206" i="2"/>
  <c r="CI181" i="2"/>
  <c r="CI191" i="2"/>
  <c r="CI216" i="2"/>
  <c r="CI196" i="2"/>
  <c r="CI195" i="2"/>
  <c r="CI175" i="2"/>
  <c r="CI217" i="2"/>
  <c r="CI193" i="2"/>
  <c r="CI176" i="2"/>
  <c r="CI187" i="2"/>
  <c r="CI183" i="2"/>
  <c r="CI192" i="2"/>
  <c r="CI188" i="2"/>
  <c r="CI179" i="2"/>
  <c r="CI190" i="2"/>
  <c r="CI207" i="2"/>
  <c r="CI209" i="2"/>
  <c r="CI208" i="2"/>
  <c r="CI177" i="2"/>
  <c r="CI212" i="2"/>
  <c r="CI220" i="2"/>
  <c r="CI189" i="2"/>
  <c r="CI182" i="2"/>
  <c r="CI200" i="2"/>
  <c r="CI205" i="2"/>
  <c r="CI210" i="2"/>
  <c r="CI184" i="2"/>
  <c r="CI178" i="2"/>
  <c r="CI194" i="2"/>
  <c r="CI214" i="2"/>
  <c r="CI180" i="2"/>
  <c r="CI202" i="2"/>
  <c r="CI201" i="2"/>
  <c r="EB365" i="2"/>
  <c r="CR499" i="34"/>
  <c r="CR525" i="34"/>
  <c r="CR514" i="34"/>
  <c r="CR515" i="34"/>
  <c r="CR498" i="34"/>
  <c r="CR532" i="34"/>
  <c r="CR530" i="34"/>
  <c r="CR513" i="34"/>
  <c r="CR497" i="34"/>
  <c r="CR531" i="34"/>
  <c r="CR526" i="34"/>
  <c r="CR491" i="34"/>
  <c r="CR506" i="34"/>
  <c r="CR529" i="34"/>
  <c r="CR533" i="34"/>
  <c r="CR534" i="34"/>
  <c r="CR524" i="34"/>
  <c r="CR522" i="34"/>
  <c r="CR505" i="34"/>
  <c r="CR494" i="34"/>
  <c r="CR511" i="34"/>
  <c r="CR535" i="34"/>
  <c r="CR500" i="34"/>
  <c r="CR518" i="34"/>
  <c r="CR492" i="34"/>
  <c r="CR490" i="34"/>
  <c r="CR521" i="34"/>
  <c r="CR501" i="34"/>
  <c r="CR520" i="34"/>
  <c r="CR509" i="34"/>
  <c r="CR504" i="34"/>
  <c r="CR508" i="34"/>
  <c r="CR523" i="34"/>
  <c r="CR536" i="34"/>
  <c r="CR503" i="34"/>
  <c r="CR496" i="34"/>
  <c r="CR519" i="34"/>
  <c r="CR512" i="34"/>
  <c r="CR507" i="34"/>
  <c r="CR510" i="34"/>
  <c r="CR517" i="34"/>
  <c r="CR528" i="34"/>
  <c r="CR527" i="34"/>
  <c r="CR493" i="34"/>
  <c r="CR502" i="34"/>
  <c r="CR516" i="34"/>
  <c r="CR495" i="34"/>
  <c r="CS501" i="34"/>
  <c r="CS492" i="34"/>
  <c r="CS533" i="34"/>
  <c r="CS525" i="34"/>
  <c r="CS512" i="34"/>
  <c r="CS526" i="34"/>
  <c r="CS504" i="34"/>
  <c r="CS498" i="34"/>
  <c r="CS531" i="34"/>
  <c r="CS516" i="34"/>
  <c r="CS535" i="34"/>
  <c r="CS530" i="34"/>
  <c r="CS527" i="34"/>
  <c r="CS500" i="34"/>
  <c r="CS491" i="34"/>
  <c r="CS507" i="34"/>
  <c r="CS502" i="34"/>
  <c r="CS518" i="34"/>
  <c r="CS506" i="34"/>
  <c r="CS513" i="34"/>
  <c r="CS503" i="34"/>
  <c r="CS534" i="34"/>
  <c r="CS528" i="34"/>
  <c r="CS490" i="34"/>
  <c r="CS514" i="34"/>
  <c r="CS497" i="34"/>
  <c r="CS508" i="34"/>
  <c r="CS521" i="34"/>
  <c r="CS517" i="34"/>
  <c r="CS536" i="34"/>
  <c r="CS496" i="34"/>
  <c r="CS524" i="34"/>
  <c r="CS511" i="34"/>
  <c r="CS522" i="34"/>
  <c r="CS494" i="34"/>
  <c r="CS519" i="34"/>
  <c r="CS520" i="34"/>
  <c r="CS529" i="34"/>
  <c r="CS515" i="34"/>
  <c r="CS509" i="34"/>
  <c r="CS510" i="34"/>
  <c r="CS495" i="34"/>
  <c r="CS493" i="34"/>
  <c r="CS523" i="34"/>
  <c r="CS532" i="34"/>
  <c r="CS505" i="34"/>
  <c r="CS499" i="34"/>
  <c r="CB242" i="2"/>
  <c r="CB275" i="2"/>
  <c r="CB255" i="2"/>
  <c r="CB263" i="2"/>
  <c r="CB252" i="2"/>
  <c r="CB274" i="2"/>
  <c r="CB281" i="2"/>
  <c r="CB250" i="2"/>
  <c r="CB280" i="2"/>
  <c r="CB259" i="2"/>
  <c r="CB262" i="2"/>
  <c r="CB251" i="2"/>
  <c r="CB279" i="2"/>
  <c r="CB237" i="2"/>
  <c r="CB282" i="2"/>
  <c r="CB238" i="2"/>
  <c r="CB269" i="2"/>
  <c r="CB283" i="2"/>
  <c r="CB253" i="2"/>
  <c r="CB240" i="2"/>
  <c r="CB247" i="2"/>
  <c r="CB246" i="2"/>
  <c r="CB260" i="2"/>
  <c r="CB245" i="2"/>
  <c r="CB267" i="2"/>
  <c r="CB244" i="2"/>
  <c r="CB254" i="2"/>
  <c r="CB266" i="2"/>
  <c r="CB241" i="2"/>
  <c r="CB270" i="2"/>
  <c r="CB264" i="2"/>
  <c r="CB272" i="2"/>
  <c r="CB261" i="2"/>
  <c r="CB268" i="2"/>
  <c r="CB257" i="2"/>
  <c r="CB239" i="2"/>
  <c r="CB256" i="2"/>
  <c r="CB277" i="2"/>
  <c r="CB273" i="2"/>
  <c r="CB271" i="2"/>
  <c r="CB276" i="2"/>
  <c r="CB248" i="2"/>
  <c r="CB249" i="2"/>
  <c r="CB265" i="2"/>
  <c r="CB258" i="2"/>
  <c r="CB243" i="2"/>
  <c r="CB278" i="2"/>
  <c r="CR238" i="2"/>
  <c r="CR276" i="2"/>
  <c r="CT276" i="2" s="1"/>
  <c r="CR264" i="2"/>
  <c r="CR266" i="2"/>
  <c r="CT266" i="2" s="1"/>
  <c r="CR281" i="2"/>
  <c r="CR251" i="2"/>
  <c r="CR270" i="2"/>
  <c r="CR239" i="2"/>
  <c r="CR273" i="2"/>
  <c r="CT273" i="2" s="1"/>
  <c r="CR237" i="2"/>
  <c r="CT237" i="2" s="1"/>
  <c r="CR242" i="2"/>
  <c r="CR257" i="2"/>
  <c r="CR265" i="2"/>
  <c r="CT265" i="2" s="1"/>
  <c r="CR268" i="2"/>
  <c r="CT268" i="2" s="1"/>
  <c r="CR262" i="2"/>
  <c r="CR274" i="2"/>
  <c r="CT274" i="2" s="1"/>
  <c r="CR243" i="2"/>
  <c r="CR254" i="2"/>
  <c r="CR249" i="2"/>
  <c r="CT249" i="2" s="1"/>
  <c r="CR280" i="2"/>
  <c r="CR277" i="2"/>
  <c r="CR272" i="2"/>
  <c r="CR240" i="2"/>
  <c r="CR267" i="2"/>
  <c r="CR248" i="2"/>
  <c r="CR241" i="2"/>
  <c r="CT241" i="2" s="1"/>
  <c r="CR244" i="2"/>
  <c r="CT244" i="2" s="1"/>
  <c r="CR246" i="2"/>
  <c r="CR260" i="2"/>
  <c r="CR252" i="2"/>
  <c r="CR263" i="2"/>
  <c r="CR261" i="2"/>
  <c r="CT261" i="2" s="1"/>
  <c r="CR269" i="2"/>
  <c r="CT269" i="2" s="1"/>
  <c r="CR250" i="2"/>
  <c r="CR278" i="2"/>
  <c r="CT278" i="2" s="1"/>
  <c r="CR259" i="2"/>
  <c r="CR283" i="2"/>
  <c r="CR271" i="2"/>
  <c r="CR247" i="2"/>
  <c r="CR245" i="2"/>
  <c r="CR253" i="2"/>
  <c r="CR279" i="2"/>
  <c r="CR282" i="2"/>
  <c r="CR256" i="2"/>
  <c r="CT256" i="2" s="1"/>
  <c r="CR255" i="2"/>
  <c r="CR258" i="2"/>
  <c r="CT258" i="2" s="1"/>
  <c r="CR275" i="2"/>
  <c r="CI259" i="2"/>
  <c r="CI266" i="2"/>
  <c r="CI238" i="2"/>
  <c r="CI240" i="2"/>
  <c r="CI245" i="2"/>
  <c r="EA238" i="2"/>
  <c r="CI253" i="2"/>
  <c r="CI272" i="2"/>
  <c r="CI269" i="2"/>
  <c r="CI268" i="2"/>
  <c r="CI256" i="2"/>
  <c r="CI254" i="2"/>
  <c r="CI250" i="2"/>
  <c r="CI252" i="2"/>
  <c r="CI261" i="2"/>
  <c r="CI258" i="2"/>
  <c r="CI260" i="2"/>
  <c r="CI257" i="2"/>
  <c r="CI273" i="2"/>
  <c r="CI249" i="2"/>
  <c r="CI277" i="2"/>
  <c r="CI265" i="2"/>
  <c r="CI270" i="2"/>
  <c r="CI267" i="2"/>
  <c r="CI239" i="2"/>
  <c r="CI282" i="2"/>
  <c r="CI275" i="2"/>
  <c r="CI280" i="2"/>
  <c r="CI242" i="2"/>
  <c r="CI248" i="2"/>
  <c r="CI271" i="2"/>
  <c r="CI247" i="2"/>
  <c r="CI274" i="2"/>
  <c r="CI279" i="2"/>
  <c r="CI241" i="2"/>
  <c r="CI251" i="2"/>
  <c r="CI255" i="2"/>
  <c r="CI237" i="2"/>
  <c r="CI246" i="2"/>
  <c r="CI281" i="2"/>
  <c r="CI278" i="2"/>
  <c r="CI244" i="2"/>
  <c r="CI263" i="2"/>
  <c r="CI283" i="2"/>
  <c r="CI264" i="2"/>
  <c r="CI276" i="2"/>
  <c r="CI262" i="2"/>
  <c r="CI243" i="2"/>
  <c r="EB302" i="2"/>
  <c r="EA302" i="2"/>
  <c r="EC302" i="2"/>
  <c r="ED239" i="2"/>
  <c r="CK324" i="2"/>
  <c r="CK330" i="2"/>
  <c r="CK340" i="2"/>
  <c r="CK316" i="2"/>
  <c r="CK332" i="2"/>
  <c r="CK315" i="2"/>
  <c r="CK334" i="2"/>
  <c r="CK327" i="2"/>
  <c r="CK305" i="2"/>
  <c r="CK319" i="2"/>
  <c r="CK308" i="2"/>
  <c r="CK328" i="2"/>
  <c r="EC301" i="2"/>
  <c r="CK303" i="2"/>
  <c r="CK309" i="2"/>
  <c r="CK329" i="2"/>
  <c r="CK342" i="2"/>
  <c r="CK321" i="2"/>
  <c r="CK300" i="2"/>
  <c r="CK337" i="2"/>
  <c r="CK302" i="2"/>
  <c r="CK304" i="2"/>
  <c r="CK325" i="2"/>
  <c r="CK317" i="2"/>
  <c r="CK326" i="2"/>
  <c r="CK313" i="2"/>
  <c r="CK312" i="2"/>
  <c r="CK345" i="2"/>
  <c r="CK307" i="2"/>
  <c r="CK341" i="2"/>
  <c r="CK336" i="2"/>
  <c r="CK318" i="2"/>
  <c r="CK314" i="2"/>
  <c r="CK323" i="2"/>
  <c r="CK306" i="2"/>
  <c r="CK322" i="2"/>
  <c r="CK344" i="2"/>
  <c r="CK311" i="2"/>
  <c r="CK333" i="2"/>
  <c r="CK320" i="2"/>
  <c r="CK339" i="2"/>
  <c r="CK310" i="2"/>
  <c r="CK331" i="2"/>
  <c r="CK343" i="2"/>
  <c r="CK335" i="2"/>
  <c r="CK301" i="2"/>
  <c r="CK346" i="2"/>
  <c r="CK338" i="2"/>
  <c r="CJ321" i="2"/>
  <c r="CJ308" i="2"/>
  <c r="CJ305" i="2"/>
  <c r="CJ315" i="2"/>
  <c r="CJ329" i="2"/>
  <c r="CJ312" i="2"/>
  <c r="CJ324" i="2"/>
  <c r="CJ337" i="2"/>
  <c r="CJ318" i="2"/>
  <c r="CJ310" i="2"/>
  <c r="CJ319" i="2"/>
  <c r="CJ332" i="2"/>
  <c r="CJ335" i="2"/>
  <c r="CJ340" i="2"/>
  <c r="CJ307" i="2"/>
  <c r="CJ341" i="2"/>
  <c r="CJ346" i="2"/>
  <c r="CJ306" i="2"/>
  <c r="CJ330" i="2"/>
  <c r="CJ302" i="2"/>
  <c r="CJ309" i="2"/>
  <c r="CJ326" i="2"/>
  <c r="CJ311" i="2"/>
  <c r="CJ316" i="2"/>
  <c r="EB301" i="2"/>
  <c r="CJ301" i="2"/>
  <c r="CJ334" i="2"/>
  <c r="CJ336" i="2"/>
  <c r="CJ314" i="2"/>
  <c r="CJ339" i="2"/>
  <c r="CJ325" i="2"/>
  <c r="CJ320" i="2"/>
  <c r="CJ300" i="2"/>
  <c r="CJ317" i="2"/>
  <c r="CJ343" i="2"/>
  <c r="CJ304" i="2"/>
  <c r="CJ333" i="2"/>
  <c r="CJ303" i="2"/>
  <c r="CJ323" i="2"/>
  <c r="CJ344" i="2"/>
  <c r="CJ342" i="2"/>
  <c r="CJ331" i="2"/>
  <c r="CJ322" i="2"/>
  <c r="CJ338" i="2"/>
  <c r="CJ313" i="2"/>
  <c r="CJ345" i="2"/>
  <c r="CJ327" i="2"/>
  <c r="CJ328" i="2"/>
  <c r="CA155" i="2"/>
  <c r="CA137" i="2"/>
  <c r="CA121" i="2"/>
  <c r="CA116" i="2"/>
  <c r="CA120" i="2"/>
  <c r="CA112" i="2"/>
  <c r="CA146" i="2"/>
  <c r="CA136" i="2"/>
  <c r="CA115" i="2"/>
  <c r="CA154" i="2"/>
  <c r="CA150" i="2"/>
  <c r="CA117" i="2"/>
  <c r="CA113" i="2"/>
  <c r="CA151" i="2"/>
  <c r="CA147" i="2"/>
  <c r="CA110" i="2"/>
  <c r="CA133" i="2"/>
  <c r="CA130" i="2"/>
  <c r="CA128" i="2"/>
  <c r="CA119" i="2"/>
  <c r="CA139" i="2"/>
  <c r="CA145" i="2"/>
  <c r="CA125" i="2"/>
  <c r="CA141" i="2"/>
  <c r="CA153" i="2"/>
  <c r="CA142" i="2"/>
  <c r="CA126" i="2"/>
  <c r="CA111" i="2"/>
  <c r="CA140" i="2"/>
  <c r="CA114" i="2"/>
  <c r="CA123" i="2"/>
  <c r="CA129" i="2"/>
  <c r="CA144" i="2"/>
  <c r="CA132" i="2"/>
  <c r="CA127" i="2"/>
  <c r="CA152" i="2"/>
  <c r="CA138" i="2"/>
  <c r="CD138" i="2" s="1"/>
  <c r="CA143" i="2"/>
  <c r="CA131" i="2"/>
  <c r="CA148" i="2"/>
  <c r="CA149" i="2"/>
  <c r="CA124" i="2"/>
  <c r="CA122" i="2"/>
  <c r="CA156" i="2"/>
  <c r="CA134" i="2"/>
  <c r="CA135" i="2"/>
  <c r="CA118" i="2"/>
  <c r="CS137" i="2"/>
  <c r="CS126" i="2"/>
  <c r="CS151" i="2"/>
  <c r="CS145" i="2"/>
  <c r="CS113" i="2"/>
  <c r="CS124" i="2"/>
  <c r="CS125" i="2"/>
  <c r="CS131" i="2"/>
  <c r="CS155" i="2"/>
  <c r="CS111" i="2"/>
  <c r="CS153" i="2"/>
  <c r="CS121" i="2"/>
  <c r="CS143" i="2"/>
  <c r="CS136" i="2"/>
  <c r="CS144" i="2"/>
  <c r="CS119" i="2"/>
  <c r="CS138" i="2"/>
  <c r="CS152" i="2"/>
  <c r="CS135" i="2"/>
  <c r="CS123" i="2"/>
  <c r="CS132" i="2"/>
  <c r="CS110" i="2"/>
  <c r="CS117" i="2"/>
  <c r="CS133" i="2"/>
  <c r="CS154" i="2"/>
  <c r="CS116" i="2"/>
  <c r="CS128" i="2"/>
  <c r="CS146" i="2"/>
  <c r="CS141" i="2"/>
  <c r="CS115" i="2"/>
  <c r="CS120" i="2"/>
  <c r="CS114" i="2"/>
  <c r="CS150" i="2"/>
  <c r="CS156" i="2"/>
  <c r="CS122" i="2"/>
  <c r="CS147" i="2"/>
  <c r="CS140" i="2"/>
  <c r="CS139" i="2"/>
  <c r="CS129" i="2"/>
  <c r="CS148" i="2"/>
  <c r="CS118" i="2"/>
  <c r="CS130" i="2"/>
  <c r="CS112" i="2"/>
  <c r="CS127" i="2"/>
  <c r="CS134" i="2"/>
  <c r="CS142" i="2"/>
  <c r="CS149" i="2"/>
  <c r="ED176" i="2"/>
  <c r="EA112" i="2"/>
  <c r="CB379" i="2"/>
  <c r="CB364" i="2"/>
  <c r="CB373" i="2"/>
  <c r="CB407" i="2"/>
  <c r="CB400" i="2"/>
  <c r="CB409" i="2"/>
  <c r="CB395" i="2"/>
  <c r="CB393" i="2"/>
  <c r="CB391" i="2"/>
  <c r="CB384" i="2"/>
  <c r="CB365" i="2"/>
  <c r="CB369" i="2"/>
  <c r="CB398" i="2"/>
  <c r="CB402" i="2"/>
  <c r="CB374" i="2"/>
  <c r="CB396" i="2"/>
  <c r="CB405" i="2"/>
  <c r="CB381" i="2"/>
  <c r="CB408" i="2"/>
  <c r="CB403" i="2"/>
  <c r="CB375" i="2"/>
  <c r="CB394" i="2"/>
  <c r="CB371" i="2"/>
  <c r="CB367" i="2"/>
  <c r="CB392" i="2"/>
  <c r="CB401" i="2"/>
  <c r="CB378" i="2"/>
  <c r="CB387" i="2"/>
  <c r="CB372" i="2"/>
  <c r="CB386" i="2"/>
  <c r="CB366" i="2"/>
  <c r="CB380" i="2"/>
  <c r="CB382" i="2"/>
  <c r="CB399" i="2"/>
  <c r="CB389" i="2"/>
  <c r="CB388" i="2"/>
  <c r="CB397" i="2"/>
  <c r="CB368" i="2"/>
  <c r="CB377" i="2"/>
  <c r="CB383" i="2"/>
  <c r="CB363" i="2"/>
  <c r="CB390" i="2"/>
  <c r="CB385" i="2"/>
  <c r="CB406" i="2"/>
  <c r="CB376" i="2"/>
  <c r="CB370" i="2"/>
  <c r="CB404" i="2"/>
  <c r="CR372" i="2"/>
  <c r="CR384" i="2"/>
  <c r="CR363" i="2"/>
  <c r="CR365" i="2"/>
  <c r="CR400" i="2"/>
  <c r="CR404" i="2"/>
  <c r="CR392" i="2"/>
  <c r="CR377" i="2"/>
  <c r="CR383" i="2"/>
  <c r="CR379" i="2"/>
  <c r="CR368" i="2"/>
  <c r="CR391" i="2"/>
  <c r="CR386" i="2"/>
  <c r="CR373" i="2"/>
  <c r="CR390" i="2"/>
  <c r="CR388" i="2"/>
  <c r="CR389" i="2"/>
  <c r="CR406" i="2"/>
  <c r="CR371" i="2"/>
  <c r="CR370" i="2"/>
  <c r="CR378" i="2"/>
  <c r="CR399" i="2"/>
  <c r="CR398" i="2"/>
  <c r="CR402" i="2"/>
  <c r="CR407" i="2"/>
  <c r="CR408" i="2"/>
  <c r="CR364" i="2"/>
  <c r="CR376" i="2"/>
  <c r="CR395" i="2"/>
  <c r="CR387" i="2"/>
  <c r="CR367" i="2"/>
  <c r="CR403" i="2"/>
  <c r="CR375" i="2"/>
  <c r="CR382" i="2"/>
  <c r="CR374" i="2"/>
  <c r="CR393" i="2"/>
  <c r="CR369" i="2"/>
  <c r="CR397" i="2"/>
  <c r="CR394" i="2"/>
  <c r="CR385" i="2"/>
  <c r="CR366" i="2"/>
  <c r="CR401" i="2"/>
  <c r="CR409" i="2"/>
  <c r="CR380" i="2"/>
  <c r="CR405" i="2"/>
  <c r="CR396" i="2"/>
  <c r="CR381" i="2"/>
  <c r="EC428" i="2"/>
  <c r="ED428" i="2"/>
  <c r="EB428" i="2"/>
  <c r="EC556" i="2"/>
  <c r="EB556" i="2"/>
  <c r="CL567" i="2"/>
  <c r="CL578" i="2"/>
  <c r="CL592" i="2"/>
  <c r="CL575" i="2"/>
  <c r="ED555" i="2"/>
  <c r="CL600" i="2"/>
  <c r="CL571" i="2"/>
  <c r="CL570" i="2"/>
  <c r="CL561" i="2"/>
  <c r="CL591" i="2"/>
  <c r="CL555" i="2"/>
  <c r="CL596" i="2"/>
  <c r="CL556" i="2"/>
  <c r="CL581" i="2"/>
  <c r="CL560" i="2"/>
  <c r="CL589" i="2"/>
  <c r="CL590" i="2"/>
  <c r="CL576" i="2"/>
  <c r="CL599" i="2"/>
  <c r="CL577" i="2"/>
  <c r="CL572" i="2"/>
  <c r="CL573" i="2"/>
  <c r="CL594" i="2"/>
  <c r="CL580" i="2"/>
  <c r="CL568" i="2"/>
  <c r="CL563" i="2"/>
  <c r="CL583" i="2"/>
  <c r="CL598" i="2"/>
  <c r="CL597" i="2"/>
  <c r="CL558" i="2"/>
  <c r="CL564" i="2"/>
  <c r="CL579" i="2"/>
  <c r="CL566" i="2"/>
  <c r="CL574" i="2"/>
  <c r="CL588" i="2"/>
  <c r="CL585" i="2"/>
  <c r="CL582" i="2"/>
  <c r="CL569" i="2"/>
  <c r="CL559" i="2"/>
  <c r="CL557" i="2"/>
  <c r="CL587" i="2"/>
  <c r="CL562" i="2"/>
  <c r="CL554" i="2"/>
  <c r="CL565" i="2"/>
  <c r="CL595" i="2"/>
  <c r="CL584" i="2"/>
  <c r="CL586" i="2"/>
  <c r="CL593" i="2"/>
  <c r="CJ556" i="2"/>
  <c r="CJ584" i="2"/>
  <c r="CJ595" i="2"/>
  <c r="CJ594" i="2"/>
  <c r="EB555" i="2"/>
  <c r="CJ585" i="2"/>
  <c r="CJ560" i="2"/>
  <c r="CJ583" i="2"/>
  <c r="CJ554" i="2"/>
  <c r="CJ599" i="2"/>
  <c r="CJ561" i="2"/>
  <c r="CJ576" i="2"/>
  <c r="CJ559" i="2"/>
  <c r="CJ600" i="2"/>
  <c r="CJ597" i="2"/>
  <c r="CJ588" i="2"/>
  <c r="CJ568" i="2"/>
  <c r="CJ581" i="2"/>
  <c r="CJ580" i="2"/>
  <c r="CJ590" i="2"/>
  <c r="CJ569" i="2"/>
  <c r="CJ563" i="2"/>
  <c r="CJ593" i="2"/>
  <c r="CJ573" i="2"/>
  <c r="CJ589" i="2"/>
  <c r="CJ578" i="2"/>
  <c r="CJ586" i="2"/>
  <c r="CJ587" i="2"/>
  <c r="CJ571" i="2"/>
  <c r="CJ579" i="2"/>
  <c r="CJ570" i="2"/>
  <c r="CJ565" i="2"/>
  <c r="CJ575" i="2"/>
  <c r="CJ567" i="2"/>
  <c r="CJ557" i="2"/>
  <c r="CJ592" i="2"/>
  <c r="CJ574" i="2"/>
  <c r="CJ562" i="2"/>
  <c r="CJ564" i="2"/>
  <c r="CJ577" i="2"/>
  <c r="CJ555" i="2"/>
  <c r="CJ596" i="2"/>
  <c r="CJ591" i="2"/>
  <c r="CJ582" i="2"/>
  <c r="CJ558" i="2"/>
  <c r="CJ572" i="2"/>
  <c r="CJ598" i="2"/>
  <c r="CJ566" i="2"/>
  <c r="CI431" i="2"/>
  <c r="CI463" i="2"/>
  <c r="CI466" i="2"/>
  <c r="CI441" i="2"/>
  <c r="CI459" i="2"/>
  <c r="CI446" i="2"/>
  <c r="CI472" i="2"/>
  <c r="CI437" i="2"/>
  <c r="CI439" i="2"/>
  <c r="CI451" i="2"/>
  <c r="CI468" i="2"/>
  <c r="CI432" i="2"/>
  <c r="CI444" i="2"/>
  <c r="CI461" i="2"/>
  <c r="CI460" i="2"/>
  <c r="CI449" i="2"/>
  <c r="EA427" i="2"/>
  <c r="CI429" i="2"/>
  <c r="CI447" i="2"/>
  <c r="CI458" i="2"/>
  <c r="CI448" i="2"/>
  <c r="CI471" i="2"/>
  <c r="CI443" i="2"/>
  <c r="CI442" i="2"/>
  <c r="CI440" i="2"/>
  <c r="CI427" i="2"/>
  <c r="CI428" i="2"/>
  <c r="CI454" i="2"/>
  <c r="CI470" i="2"/>
  <c r="CI426" i="2"/>
  <c r="CI436" i="2"/>
  <c r="CI469" i="2"/>
  <c r="CI456" i="2"/>
  <c r="CI445" i="2"/>
  <c r="CI457" i="2"/>
  <c r="CI433" i="2"/>
  <c r="CI434" i="2"/>
  <c r="CI462" i="2"/>
  <c r="CI467" i="2"/>
  <c r="CI438" i="2"/>
  <c r="CI455" i="2"/>
  <c r="CI435" i="2"/>
  <c r="CI464" i="2"/>
  <c r="CI465" i="2"/>
  <c r="CI453" i="2"/>
  <c r="CI450" i="2"/>
  <c r="CI452" i="2"/>
  <c r="CI430" i="2"/>
  <c r="CK454" i="2"/>
  <c r="CK461" i="2"/>
  <c r="CK427" i="2"/>
  <c r="CK434" i="2"/>
  <c r="CK457" i="2"/>
  <c r="CK470" i="2"/>
  <c r="CK440" i="2"/>
  <c r="CK428" i="2"/>
  <c r="CK453" i="2"/>
  <c r="CK432" i="2"/>
  <c r="CK468" i="2"/>
  <c r="CK445" i="2"/>
  <c r="CK447" i="2"/>
  <c r="CK448" i="2"/>
  <c r="CK451" i="2"/>
  <c r="CK435" i="2"/>
  <c r="CK426" i="2"/>
  <c r="CK462" i="2"/>
  <c r="CK466" i="2"/>
  <c r="CK437" i="2"/>
  <c r="CK446" i="2"/>
  <c r="EC427" i="2"/>
  <c r="CK455" i="2"/>
  <c r="CK456" i="2"/>
  <c r="CK431" i="2"/>
  <c r="CK438" i="2"/>
  <c r="CK465" i="2"/>
  <c r="CK469" i="2"/>
  <c r="CK452" i="2"/>
  <c r="CK433" i="2"/>
  <c r="CK430" i="2"/>
  <c r="CK450" i="2"/>
  <c r="CK436" i="2"/>
  <c r="CK460" i="2"/>
  <c r="CK439" i="2"/>
  <c r="CK472" i="2"/>
  <c r="CK463" i="2"/>
  <c r="CK429" i="2"/>
  <c r="CK443" i="2"/>
  <c r="CK467" i="2"/>
  <c r="CK441" i="2"/>
  <c r="CK458" i="2"/>
  <c r="CK471" i="2"/>
  <c r="CK442" i="2"/>
  <c r="CK444" i="2"/>
  <c r="CK449" i="2"/>
  <c r="CK459" i="2"/>
  <c r="CK464" i="2"/>
  <c r="ED492" i="2"/>
  <c r="EA492" i="2"/>
  <c r="CC174" i="2"/>
  <c r="CC175" i="2" s="1"/>
  <c r="CC176" i="2" s="1"/>
  <c r="CC177" i="2" s="1"/>
  <c r="CC178" i="2" s="1"/>
  <c r="CC179" i="2" s="1"/>
  <c r="CC180" i="2" s="1"/>
  <c r="CC181" i="2" s="1"/>
  <c r="CC182" i="2" s="1"/>
  <c r="CC183" i="2" s="1"/>
  <c r="CC184" i="2" s="1"/>
  <c r="CC185" i="2" s="1"/>
  <c r="CC186" i="2" s="1"/>
  <c r="CC187" i="2" s="1"/>
  <c r="CC188" i="2" s="1"/>
  <c r="CC189" i="2" s="1"/>
  <c r="CC190" i="2" s="1"/>
  <c r="CC191" i="2" s="1"/>
  <c r="CC192" i="2" s="1"/>
  <c r="CC193" i="2" s="1"/>
  <c r="CC194" i="2" s="1"/>
  <c r="CC195" i="2" s="1"/>
  <c r="CC196" i="2" s="1"/>
  <c r="CC197" i="2" s="1"/>
  <c r="CC198" i="2" s="1"/>
  <c r="CC199" i="2" s="1"/>
  <c r="CC200" i="2" s="1"/>
  <c r="CC201" i="2" s="1"/>
  <c r="CC202" i="2" s="1"/>
  <c r="CC203" i="2" s="1"/>
  <c r="CC204" i="2" s="1"/>
  <c r="CC205" i="2" s="1"/>
  <c r="CC206" i="2" s="1"/>
  <c r="CC207" i="2" s="1"/>
  <c r="CC208" i="2" s="1"/>
  <c r="CC209" i="2" s="1"/>
  <c r="CC210" i="2" s="1"/>
  <c r="CC211" i="2" s="1"/>
  <c r="CC212" i="2" s="1"/>
  <c r="CC213" i="2" s="1"/>
  <c r="CC214" i="2" s="1"/>
  <c r="CC215" i="2" s="1"/>
  <c r="CC216" i="2" s="1"/>
  <c r="CC217" i="2" s="1"/>
  <c r="CC218" i="2" s="1"/>
  <c r="CC219" i="2" s="1"/>
  <c r="CC220" i="2" s="1"/>
  <c r="CL210" i="2"/>
  <c r="CL199" i="2"/>
  <c r="CL194" i="2"/>
  <c r="CL214" i="2"/>
  <c r="ED175" i="2"/>
  <c r="CL175" i="2"/>
  <c r="CL186" i="2"/>
  <c r="CL203" i="2"/>
  <c r="CL207" i="2"/>
  <c r="CL179" i="2"/>
  <c r="CL209" i="2"/>
  <c r="CL202" i="2"/>
  <c r="CL185" i="2"/>
  <c r="CL190" i="2"/>
  <c r="CL192" i="2"/>
  <c r="CL176" i="2"/>
  <c r="CL178" i="2"/>
  <c r="CL187" i="2"/>
  <c r="CL206" i="2"/>
  <c r="CL211" i="2"/>
  <c r="CL183" i="2"/>
  <c r="CL204" i="2"/>
  <c r="CL213" i="2"/>
  <c r="CL182" i="2"/>
  <c r="CL219" i="2"/>
  <c r="CL188" i="2"/>
  <c r="CL218" i="2"/>
  <c r="CL198" i="2"/>
  <c r="CL180" i="2"/>
  <c r="CL196" i="2"/>
  <c r="CL193" i="2"/>
  <c r="CL200" i="2"/>
  <c r="CL212" i="2"/>
  <c r="CL205" i="2"/>
  <c r="CL197" i="2"/>
  <c r="CL208" i="2"/>
  <c r="CL195" i="2"/>
  <c r="CL216" i="2"/>
  <c r="CL215" i="2"/>
  <c r="CL177" i="2"/>
  <c r="CL220" i="2"/>
  <c r="CL174" i="2"/>
  <c r="CL189" i="2"/>
  <c r="CL217" i="2"/>
  <c r="CL184" i="2"/>
  <c r="CL181" i="2"/>
  <c r="CL201" i="2"/>
  <c r="CL191" i="2"/>
  <c r="CK220" i="2"/>
  <c r="CK201" i="2"/>
  <c r="CK178" i="2"/>
  <c r="CK184" i="2"/>
  <c r="CK177" i="2"/>
  <c r="CK203" i="2"/>
  <c r="CK205" i="2"/>
  <c r="CK192" i="2"/>
  <c r="CK195" i="2"/>
  <c r="CK219" i="2"/>
  <c r="CK213" i="2"/>
  <c r="CK185" i="2"/>
  <c r="CK214" i="2"/>
  <c r="CK215" i="2"/>
  <c r="CK175" i="2"/>
  <c r="CK197" i="2"/>
  <c r="CK182" i="2"/>
  <c r="CK198" i="2"/>
  <c r="CK202" i="2"/>
  <c r="CK189" i="2"/>
  <c r="EC175" i="2"/>
  <c r="CK211" i="2"/>
  <c r="CK181" i="2"/>
  <c r="CK217" i="2"/>
  <c r="CK191" i="2"/>
  <c r="CK179" i="2"/>
  <c r="CK180" i="2"/>
  <c r="CK210" i="2"/>
  <c r="CK208" i="2"/>
  <c r="CK174" i="2"/>
  <c r="CK194" i="2"/>
  <c r="CK200" i="2"/>
  <c r="CK193" i="2"/>
  <c r="CK206" i="2"/>
  <c r="CK207" i="2"/>
  <c r="CK199" i="2"/>
  <c r="CK216" i="2"/>
  <c r="CK183" i="2"/>
  <c r="CK190" i="2"/>
  <c r="CK209" i="2"/>
  <c r="CK204" i="2"/>
  <c r="CK186" i="2"/>
  <c r="CK212" i="2"/>
  <c r="CK218" i="2"/>
  <c r="CK196" i="2"/>
  <c r="CK176" i="2"/>
  <c r="CK188" i="2"/>
  <c r="CK187" i="2"/>
  <c r="EA365" i="2"/>
  <c r="CJ514" i="2"/>
  <c r="CJ513" i="2"/>
  <c r="CJ501" i="2"/>
  <c r="CJ505" i="2"/>
  <c r="CJ497" i="2"/>
  <c r="CJ522" i="2"/>
  <c r="CJ491" i="2"/>
  <c r="CJ535" i="2"/>
  <c r="CJ516" i="2"/>
  <c r="CJ530" i="2"/>
  <c r="CJ525" i="2"/>
  <c r="CJ511" i="2"/>
  <c r="CJ510" i="2"/>
  <c r="CJ526" i="2"/>
  <c r="CJ495" i="2"/>
  <c r="CJ500" i="2"/>
  <c r="CJ515" i="2"/>
  <c r="CJ534" i="2"/>
  <c r="CJ509" i="2"/>
  <c r="CJ499" i="2"/>
  <c r="CJ512" i="2"/>
  <c r="CJ517" i="2"/>
  <c r="CJ498" i="2"/>
  <c r="CJ504" i="2"/>
  <c r="CJ518" i="2"/>
  <c r="CJ529" i="2"/>
  <c r="CJ506" i="2"/>
  <c r="CJ493" i="2"/>
  <c r="CJ492" i="2"/>
  <c r="CJ502" i="2"/>
  <c r="CJ519" i="2"/>
  <c r="CJ524" i="2"/>
  <c r="CJ536" i="2"/>
  <c r="CJ531" i="2"/>
  <c r="CJ507" i="2"/>
  <c r="CJ520" i="2"/>
  <c r="EB491" i="2"/>
  <c r="CJ496" i="2"/>
  <c r="CJ521" i="2"/>
  <c r="CJ523" i="2"/>
  <c r="CJ532" i="2"/>
  <c r="CJ503" i="2"/>
  <c r="CJ508" i="2"/>
  <c r="CJ527" i="2"/>
  <c r="CJ528" i="2"/>
  <c r="CJ490" i="2"/>
  <c r="CJ494" i="2"/>
  <c r="CJ533" i="2"/>
  <c r="CJ497" i="34"/>
  <c r="CJ524" i="34"/>
  <c r="CJ512" i="34"/>
  <c r="CJ515" i="34"/>
  <c r="CJ531" i="34"/>
  <c r="CJ495" i="34"/>
  <c r="CJ505" i="34"/>
  <c r="CJ532" i="34"/>
  <c r="CJ529" i="34"/>
  <c r="CJ518" i="34"/>
  <c r="CJ490" i="34"/>
  <c r="CJ509" i="34"/>
  <c r="CJ500" i="34"/>
  <c r="CJ534" i="34"/>
  <c r="CJ504" i="34"/>
  <c r="CJ513" i="34"/>
  <c r="CJ493" i="34"/>
  <c r="CJ535" i="34"/>
  <c r="CJ520" i="34"/>
  <c r="CJ496" i="34"/>
  <c r="CJ508" i="34"/>
  <c r="CJ503" i="34"/>
  <c r="CJ514" i="34"/>
  <c r="CJ501" i="34"/>
  <c r="CJ528" i="34"/>
  <c r="CJ526" i="34"/>
  <c r="CJ527" i="34"/>
  <c r="CJ494" i="34"/>
  <c r="CJ507" i="34"/>
  <c r="CJ530" i="34"/>
  <c r="CJ498" i="34"/>
  <c r="CJ492" i="34"/>
  <c r="CJ491" i="34"/>
  <c r="CJ521" i="34"/>
  <c r="CJ499" i="34"/>
  <c r="CJ522" i="34"/>
  <c r="EB491" i="34"/>
  <c r="CJ502" i="34"/>
  <c r="CJ525" i="34"/>
  <c r="CJ533" i="34"/>
  <c r="CJ510" i="34"/>
  <c r="CJ511" i="34"/>
  <c r="CJ516" i="34"/>
  <c r="CJ536" i="34"/>
  <c r="CJ523" i="34"/>
  <c r="CJ517" i="34"/>
  <c r="CJ506" i="34"/>
  <c r="CJ519" i="34"/>
  <c r="CK500" i="34"/>
  <c r="CK528" i="34"/>
  <c r="CK517" i="34"/>
  <c r="CK511" i="34"/>
  <c r="CK515" i="34"/>
  <c r="CK492" i="34"/>
  <c r="CK524" i="34"/>
  <c r="CK493" i="34"/>
  <c r="CK502" i="34"/>
  <c r="CK497" i="34"/>
  <c r="CK490" i="34"/>
  <c r="CK504" i="34"/>
  <c r="CK522" i="34"/>
  <c r="CK508" i="34"/>
  <c r="CK494" i="34"/>
  <c r="CK516" i="34"/>
  <c r="CK529" i="34"/>
  <c r="CK495" i="34"/>
  <c r="CK525" i="34"/>
  <c r="CK523" i="34"/>
  <c r="CK532" i="34"/>
  <c r="CK535" i="34"/>
  <c r="CK521" i="34"/>
  <c r="EC491" i="34"/>
  <c r="CK501" i="34"/>
  <c r="CK503" i="34"/>
  <c r="CK518" i="34"/>
  <c r="CK507" i="34"/>
  <c r="CK530" i="34"/>
  <c r="CK520" i="34"/>
  <c r="CK505" i="34"/>
  <c r="CK536" i="34"/>
  <c r="CK510" i="34"/>
  <c r="CK509" i="34"/>
  <c r="CK506" i="34"/>
  <c r="CK491" i="34"/>
  <c r="CK513" i="34"/>
  <c r="CK527" i="34"/>
  <c r="CK512" i="34"/>
  <c r="CK496" i="34"/>
  <c r="CK534" i="34"/>
  <c r="CK499" i="34"/>
  <c r="CK514" i="34"/>
  <c r="CK533" i="34"/>
  <c r="CK498" i="34"/>
  <c r="CK526" i="34"/>
  <c r="CK531" i="34"/>
  <c r="CK519" i="34"/>
  <c r="CA511" i="34"/>
  <c r="CA494" i="34"/>
  <c r="CD494" i="34" s="1"/>
  <c r="CA500" i="34"/>
  <c r="CA533" i="34"/>
  <c r="CA525" i="34"/>
  <c r="CA502" i="34"/>
  <c r="CA496" i="34"/>
  <c r="CA521" i="34"/>
  <c r="CA493" i="34"/>
  <c r="CA509" i="34"/>
  <c r="CA526" i="34"/>
  <c r="CA497" i="34"/>
  <c r="CA507" i="34"/>
  <c r="CA491" i="34"/>
  <c r="CA523" i="34"/>
  <c r="CA524" i="34"/>
  <c r="CA536" i="34"/>
  <c r="CA527" i="34"/>
  <c r="CA495" i="34"/>
  <c r="CA501" i="34"/>
  <c r="CA515" i="34"/>
  <c r="CA520" i="34"/>
  <c r="CA492" i="34"/>
  <c r="CA530" i="34"/>
  <c r="CA535" i="34"/>
  <c r="CA522" i="34"/>
  <c r="CA499" i="34"/>
  <c r="CA510" i="34"/>
  <c r="CA513" i="34"/>
  <c r="CA506" i="34"/>
  <c r="CA517" i="34"/>
  <c r="CA529" i="34"/>
  <c r="CA504" i="34"/>
  <c r="CA528" i="34"/>
  <c r="CA516" i="34"/>
  <c r="CA531" i="34"/>
  <c r="CA532" i="34"/>
  <c r="CA512" i="34"/>
  <c r="CD512" i="34" s="1"/>
  <c r="CA534" i="34"/>
  <c r="CA505" i="34"/>
  <c r="CA490" i="34"/>
  <c r="CA503" i="34"/>
  <c r="CA518" i="34"/>
  <c r="CA514" i="34"/>
  <c r="CA508" i="34"/>
  <c r="CA498" i="34"/>
  <c r="CD498" i="34" s="1"/>
  <c r="CA519" i="34"/>
  <c r="CL282" i="2"/>
  <c r="CL250" i="2"/>
  <c r="CL267" i="2"/>
  <c r="CL258" i="2"/>
  <c r="CL243" i="2"/>
  <c r="CL247" i="2"/>
  <c r="CL240" i="2"/>
  <c r="CL271" i="2"/>
  <c r="CL265" i="2"/>
  <c r="CL257" i="2"/>
  <c r="CL275" i="2"/>
  <c r="ED238" i="2"/>
  <c r="CL269" i="2"/>
  <c r="CL260" i="2"/>
  <c r="CL251" i="2"/>
  <c r="CL281" i="2"/>
  <c r="CL248" i="2"/>
  <c r="CL277" i="2"/>
  <c r="CL242" i="2"/>
  <c r="CL279" i="2"/>
  <c r="CL241" i="2"/>
  <c r="CL266" i="2"/>
  <c r="CL244" i="2"/>
  <c r="CL280" i="2"/>
  <c r="CL263" i="2"/>
  <c r="CL262" i="2"/>
  <c r="CL274" i="2"/>
  <c r="CL264" i="2"/>
  <c r="CL245" i="2"/>
  <c r="CL276" i="2"/>
  <c r="CL278" i="2"/>
  <c r="CL270" i="2"/>
  <c r="CL283" i="2"/>
  <c r="CL261" i="2"/>
  <c r="CL239" i="2"/>
  <c r="CL253" i="2"/>
  <c r="CL246" i="2"/>
  <c r="CL256" i="2"/>
  <c r="CL238" i="2"/>
  <c r="CL272" i="2"/>
  <c r="CL252" i="2"/>
  <c r="CL268" i="2"/>
  <c r="CL259" i="2"/>
  <c r="CL249" i="2"/>
  <c r="CL254" i="2"/>
  <c r="CL273" i="2"/>
  <c r="CL237" i="2"/>
  <c r="CL255" i="2"/>
  <c r="CA248" i="2"/>
  <c r="CA275" i="2"/>
  <c r="CA261" i="2"/>
  <c r="CA260" i="2"/>
  <c r="CA250" i="2"/>
  <c r="CA245" i="2"/>
  <c r="CA283" i="2"/>
  <c r="CA238" i="2"/>
  <c r="CD238" i="2" s="1"/>
  <c r="CA258" i="2"/>
  <c r="CD258" i="2" s="1"/>
  <c r="CA259" i="2"/>
  <c r="CD259" i="2" s="1"/>
  <c r="CA251" i="2"/>
  <c r="CA278" i="2"/>
  <c r="CA274" i="2"/>
  <c r="CA239" i="2"/>
  <c r="CA271" i="2"/>
  <c r="CA269" i="2"/>
  <c r="CA256" i="2"/>
  <c r="CD256" i="2" s="1"/>
  <c r="CA273" i="2"/>
  <c r="CA267" i="2"/>
  <c r="CA249" i="2"/>
  <c r="CA240" i="2"/>
  <c r="CA266" i="2"/>
  <c r="CA254" i="2"/>
  <c r="CA246" i="2"/>
  <c r="CA255" i="2"/>
  <c r="CA242" i="2"/>
  <c r="CA237" i="2"/>
  <c r="CA262" i="2"/>
  <c r="CA270" i="2"/>
  <c r="CA279" i="2"/>
  <c r="CA244" i="2"/>
  <c r="CA247" i="2"/>
  <c r="CA243" i="2"/>
  <c r="CA257" i="2"/>
  <c r="CA276" i="2"/>
  <c r="CA264" i="2"/>
  <c r="CA282" i="2"/>
  <c r="CA277" i="2"/>
  <c r="CA241" i="2"/>
  <c r="CA268" i="2"/>
  <c r="CA272" i="2"/>
  <c r="CA253" i="2"/>
  <c r="CA263" i="2"/>
  <c r="CA252" i="2"/>
  <c r="CA281" i="2"/>
  <c r="CA280" i="2"/>
  <c r="CA265" i="2"/>
  <c r="EA239" i="2"/>
  <c r="CI303" i="2"/>
  <c r="EA301" i="2"/>
  <c r="CI346" i="2"/>
  <c r="CI304" i="2"/>
  <c r="CI313" i="2"/>
  <c r="CI310" i="2"/>
  <c r="CI317" i="2"/>
  <c r="CI328" i="2"/>
  <c r="CI307" i="2"/>
  <c r="CI332" i="2"/>
  <c r="CI315" i="2"/>
  <c r="CI311" i="2"/>
  <c r="CI309" i="2"/>
  <c r="CI305" i="2"/>
  <c r="CI339" i="2"/>
  <c r="CI316" i="2"/>
  <c r="CI301" i="2"/>
  <c r="CI312" i="2"/>
  <c r="CI331" i="2"/>
  <c r="CI341" i="2"/>
  <c r="CI333" i="2"/>
  <c r="CI302" i="2"/>
  <c r="CI334" i="2"/>
  <c r="CI329" i="2"/>
  <c r="CI337" i="2"/>
  <c r="CI338" i="2"/>
  <c r="CI325" i="2"/>
  <c r="CI308" i="2"/>
  <c r="CI322" i="2"/>
  <c r="CI344" i="2"/>
  <c r="CI340" i="2"/>
  <c r="CI324" i="2"/>
  <c r="CI314" i="2"/>
  <c r="CI320" i="2"/>
  <c r="CM320" i="2" s="1"/>
  <c r="DW315" i="2" s="1"/>
  <c r="CI342" i="2"/>
  <c r="CI343" i="2"/>
  <c r="CI336" i="2"/>
  <c r="CI345" i="2"/>
  <c r="CI306" i="2"/>
  <c r="CI323" i="2"/>
  <c r="CI327" i="2"/>
  <c r="CI326" i="2"/>
  <c r="CI335" i="2"/>
  <c r="CM335" i="2" s="1"/>
  <c r="DW330" i="2" s="1"/>
  <c r="CI321" i="2"/>
  <c r="CI319" i="2"/>
  <c r="CI330" i="2"/>
  <c r="CI300" i="2"/>
  <c r="CI318" i="2"/>
  <c r="CC300" i="2"/>
  <c r="CC301" i="2" s="1"/>
  <c r="CC302" i="2" s="1"/>
  <c r="CC303" i="2" s="1"/>
  <c r="CC304" i="2" s="1"/>
  <c r="CC305" i="2" s="1"/>
  <c r="CC306" i="2" s="1"/>
  <c r="CC307" i="2" s="1"/>
  <c r="CC308" i="2" s="1"/>
  <c r="CC309" i="2" s="1"/>
  <c r="CC310" i="2" s="1"/>
  <c r="CC311" i="2" s="1"/>
  <c r="CC312" i="2" s="1"/>
  <c r="CC313" i="2" s="1"/>
  <c r="CC314" i="2" s="1"/>
  <c r="CC315" i="2" s="1"/>
  <c r="CC316" i="2" s="1"/>
  <c r="CC317" i="2" s="1"/>
  <c r="CC318" i="2" s="1"/>
  <c r="CC319" i="2" s="1"/>
  <c r="CC320" i="2" s="1"/>
  <c r="CC321" i="2" s="1"/>
  <c r="CC322" i="2" s="1"/>
  <c r="CC323" i="2" s="1"/>
  <c r="CC324" i="2" s="1"/>
  <c r="CC325" i="2" s="1"/>
  <c r="CC326" i="2" s="1"/>
  <c r="CC327" i="2" s="1"/>
  <c r="CC328" i="2" s="1"/>
  <c r="CC329" i="2" s="1"/>
  <c r="CC330" i="2" s="1"/>
  <c r="CC331" i="2" s="1"/>
  <c r="CC332" i="2" s="1"/>
  <c r="CC333" i="2" s="1"/>
  <c r="CC334" i="2" s="1"/>
  <c r="CC335" i="2" s="1"/>
  <c r="CC336" i="2" s="1"/>
  <c r="CC337" i="2" s="1"/>
  <c r="CC338" i="2" s="1"/>
  <c r="CC339" i="2" s="1"/>
  <c r="CC340" i="2" s="1"/>
  <c r="CC341" i="2" s="1"/>
  <c r="CC342" i="2" s="1"/>
  <c r="CC343" i="2" s="1"/>
  <c r="CC344" i="2" s="1"/>
  <c r="CC345" i="2" s="1"/>
  <c r="CC346" i="2" s="1"/>
  <c r="CJ149" i="2"/>
  <c r="CJ121" i="2"/>
  <c r="CJ128" i="2"/>
  <c r="CJ132" i="2"/>
  <c r="CJ133" i="2"/>
  <c r="CJ142" i="2"/>
  <c r="CJ110" i="2"/>
  <c r="CJ131" i="2"/>
  <c r="CJ115" i="2"/>
  <c r="CJ152" i="2"/>
  <c r="CJ143" i="2"/>
  <c r="EB111" i="2"/>
  <c r="CJ120" i="2"/>
  <c r="CJ112" i="2"/>
  <c r="CJ153" i="2"/>
  <c r="CJ114" i="2"/>
  <c r="CJ155" i="2"/>
  <c r="CJ137" i="2"/>
  <c r="CJ144" i="2"/>
  <c r="CJ126" i="2"/>
  <c r="CJ117" i="2"/>
  <c r="CJ125" i="2"/>
  <c r="CJ150" i="2"/>
  <c r="CJ122" i="2"/>
  <c r="CJ156" i="2"/>
  <c r="CJ119" i="2"/>
  <c r="CJ140" i="2"/>
  <c r="CJ116" i="2"/>
  <c r="CJ127" i="2"/>
  <c r="CJ139" i="2"/>
  <c r="CJ141" i="2"/>
  <c r="CJ151" i="2"/>
  <c r="CJ145" i="2"/>
  <c r="CJ118" i="2"/>
  <c r="CJ129" i="2"/>
  <c r="CJ148" i="2"/>
  <c r="CJ146" i="2"/>
  <c r="CJ136" i="2"/>
  <c r="CJ135" i="2"/>
  <c r="CJ123" i="2"/>
  <c r="CJ130" i="2"/>
  <c r="CJ147" i="2"/>
  <c r="CJ138" i="2"/>
  <c r="CJ113" i="2"/>
  <c r="CJ124" i="2"/>
  <c r="CJ111" i="2"/>
  <c r="CJ134" i="2"/>
  <c r="CJ154" i="2"/>
  <c r="CL116" i="2"/>
  <c r="CL141" i="2"/>
  <c r="CL111" i="2"/>
  <c r="CL115" i="2"/>
  <c r="CL156" i="2"/>
  <c r="CL148" i="2"/>
  <c r="CL110" i="2"/>
  <c r="CL149" i="2"/>
  <c r="CL124" i="2"/>
  <c r="CL131" i="2"/>
  <c r="CL126" i="2"/>
  <c r="CL127" i="2"/>
  <c r="CL121" i="2"/>
  <c r="CL150" i="2"/>
  <c r="CL113" i="2"/>
  <c r="CL155" i="2"/>
  <c r="CL139" i="2"/>
  <c r="CL147" i="2"/>
  <c r="CL132" i="2"/>
  <c r="CL129" i="2"/>
  <c r="CL123" i="2"/>
  <c r="CL144" i="2"/>
  <c r="CL120" i="2"/>
  <c r="CL143" i="2"/>
  <c r="CL154" i="2"/>
  <c r="CL122" i="2"/>
  <c r="CL145" i="2"/>
  <c r="CL118" i="2"/>
  <c r="CL138" i="2"/>
  <c r="CL146" i="2"/>
  <c r="ED111" i="2"/>
  <c r="CL112" i="2"/>
  <c r="CL114" i="2"/>
  <c r="CL119" i="2"/>
  <c r="CL130" i="2"/>
  <c r="CL152" i="2"/>
  <c r="CL136" i="2"/>
  <c r="CL140" i="2"/>
  <c r="CL153" i="2"/>
  <c r="CL128" i="2"/>
  <c r="CL133" i="2"/>
  <c r="CL135" i="2"/>
  <c r="CL134" i="2"/>
  <c r="CL137" i="2"/>
  <c r="CL125" i="2"/>
  <c r="CL142" i="2"/>
  <c r="CL151" i="2"/>
  <c r="CL117" i="2"/>
  <c r="EC176" i="2"/>
  <c r="EB112" i="2"/>
  <c r="ED112" i="2"/>
  <c r="EC112" i="2"/>
  <c r="CA396" i="2"/>
  <c r="CA381" i="2"/>
  <c r="CA408" i="2"/>
  <c r="CA365" i="2"/>
  <c r="CA374" i="2"/>
  <c r="CA376" i="2"/>
  <c r="CA403" i="2"/>
  <c r="CA407" i="2"/>
  <c r="CA384" i="2"/>
  <c r="CA392" i="2"/>
  <c r="CD392" i="2" s="1"/>
  <c r="CA388" i="2"/>
  <c r="CA401" i="2"/>
  <c r="CA398" i="2"/>
  <c r="CA385" i="2"/>
  <c r="CA369" i="2"/>
  <c r="CA372" i="2"/>
  <c r="CA405" i="2"/>
  <c r="CA378" i="2"/>
  <c r="CA375" i="2"/>
  <c r="CA366" i="2"/>
  <c r="CA395" i="2"/>
  <c r="CA379" i="2"/>
  <c r="CD379" i="2" s="1"/>
  <c r="CA373" i="2"/>
  <c r="CA393" i="2"/>
  <c r="CA368" i="2"/>
  <c r="CA383" i="2"/>
  <c r="CA402" i="2"/>
  <c r="CA406" i="2"/>
  <c r="CA363" i="2"/>
  <c r="CA370" i="2"/>
  <c r="CA397" i="2"/>
  <c r="CA380" i="2"/>
  <c r="CA387" i="2"/>
  <c r="CA386" i="2"/>
  <c r="CA377" i="2"/>
  <c r="CA389" i="2"/>
  <c r="CA399" i="2"/>
  <c r="CA367" i="2"/>
  <c r="CA390" i="2"/>
  <c r="CA394" i="2"/>
  <c r="CA391" i="2"/>
  <c r="CA382" i="2"/>
  <c r="CD382" i="2" s="1"/>
  <c r="CA364" i="2"/>
  <c r="CA404" i="2"/>
  <c r="CA400" i="2"/>
  <c r="CA409" i="2"/>
  <c r="CA371" i="2"/>
  <c r="CS397" i="2"/>
  <c r="CS393" i="2"/>
  <c r="CS398" i="2"/>
  <c r="CS367" i="2"/>
  <c r="CS400" i="2"/>
  <c r="CS375" i="2"/>
  <c r="CS404" i="2"/>
  <c r="CS391" i="2"/>
  <c r="CS376" i="2"/>
  <c r="CS385" i="2"/>
  <c r="CS366" i="2"/>
  <c r="CS379" i="2"/>
  <c r="CS364" i="2"/>
  <c r="CS373" i="2"/>
  <c r="CS383" i="2"/>
  <c r="CS392" i="2"/>
  <c r="CS380" i="2"/>
  <c r="CS386" i="2"/>
  <c r="CS395" i="2"/>
  <c r="CS382" i="2"/>
  <c r="CS389" i="2"/>
  <c r="CS406" i="2"/>
  <c r="CS371" i="2"/>
  <c r="CS390" i="2"/>
  <c r="CS402" i="2"/>
  <c r="CS378" i="2"/>
  <c r="CS396" i="2"/>
  <c r="CS405" i="2"/>
  <c r="CS409" i="2"/>
  <c r="CS377" i="2"/>
  <c r="CS365" i="2"/>
  <c r="CS369" i="2"/>
  <c r="CS407" i="2"/>
  <c r="CS372" i="2"/>
  <c r="CS401" i="2"/>
  <c r="CS384" i="2"/>
  <c r="CS403" i="2"/>
  <c r="CS381" i="2"/>
  <c r="CS387" i="2"/>
  <c r="CS363" i="2"/>
  <c r="CS408" i="2"/>
  <c r="CS374" i="2"/>
  <c r="CS370" i="2"/>
  <c r="CS388" i="2"/>
  <c r="CS394" i="2"/>
  <c r="CS399" i="2"/>
  <c r="CS368" i="2"/>
  <c r="EA428" i="2"/>
  <c r="ED556" i="2"/>
  <c r="CA556" i="2"/>
  <c r="CA597" i="2"/>
  <c r="CA588" i="2"/>
  <c r="CA564" i="2"/>
  <c r="CA584" i="2"/>
  <c r="CA593" i="2"/>
  <c r="CA571" i="2"/>
  <c r="CA559" i="2"/>
  <c r="CA554" i="2"/>
  <c r="CA578" i="2"/>
  <c r="CA583" i="2"/>
  <c r="CA585" i="2"/>
  <c r="CA561" i="2"/>
  <c r="CA572" i="2"/>
  <c r="CA590" i="2"/>
  <c r="CA573" i="2"/>
  <c r="CA587" i="2"/>
  <c r="CA589" i="2"/>
  <c r="CA567" i="2"/>
  <c r="CA562" i="2"/>
  <c r="CA598" i="2"/>
  <c r="CA594" i="2"/>
  <c r="CA568" i="2"/>
  <c r="CA581" i="2"/>
  <c r="CA579" i="2"/>
  <c r="CA575" i="2"/>
  <c r="CA576" i="2"/>
  <c r="CA600" i="2"/>
  <c r="CA558" i="2"/>
  <c r="CA566" i="2"/>
  <c r="CA560" i="2"/>
  <c r="CA569" i="2"/>
  <c r="CA565" i="2"/>
  <c r="CA574" i="2"/>
  <c r="CA591" i="2"/>
  <c r="CA599" i="2"/>
  <c r="CA580" i="2"/>
  <c r="CA577" i="2"/>
  <c r="CA586" i="2"/>
  <c r="CA563" i="2"/>
  <c r="CA570" i="2"/>
  <c r="CA555" i="2"/>
  <c r="CA595" i="2"/>
  <c r="CA582" i="2"/>
  <c r="CA557" i="2"/>
  <c r="CA592" i="2"/>
  <c r="CA596" i="2"/>
  <c r="CC554" i="2"/>
  <c r="CC555" i="2" s="1"/>
  <c r="CC556" i="2" s="1"/>
  <c r="CC557" i="2" s="1"/>
  <c r="CC558" i="2" s="1"/>
  <c r="CC559" i="2" s="1"/>
  <c r="CC560" i="2" s="1"/>
  <c r="CC561" i="2" s="1"/>
  <c r="CC562" i="2" s="1"/>
  <c r="CC563" i="2" s="1"/>
  <c r="CC564" i="2" s="1"/>
  <c r="CC565" i="2" s="1"/>
  <c r="CC566" i="2" s="1"/>
  <c r="CC567" i="2" s="1"/>
  <c r="CC568" i="2" s="1"/>
  <c r="CC569" i="2" s="1"/>
  <c r="CC570" i="2" s="1"/>
  <c r="CC571" i="2" s="1"/>
  <c r="CC572" i="2" s="1"/>
  <c r="CC573" i="2" s="1"/>
  <c r="CC574" i="2" s="1"/>
  <c r="CC575" i="2" s="1"/>
  <c r="CC576" i="2" s="1"/>
  <c r="CC577" i="2" s="1"/>
  <c r="CC578" i="2" s="1"/>
  <c r="CC579" i="2" s="1"/>
  <c r="CC580" i="2" s="1"/>
  <c r="CC581" i="2" s="1"/>
  <c r="CC582" i="2" s="1"/>
  <c r="CC583" i="2" s="1"/>
  <c r="CC584" i="2" s="1"/>
  <c r="CC585" i="2" s="1"/>
  <c r="CC586" i="2" s="1"/>
  <c r="CC587" i="2" s="1"/>
  <c r="CC588" i="2" s="1"/>
  <c r="CC589" i="2" s="1"/>
  <c r="CC590" i="2" s="1"/>
  <c r="CC591" i="2" s="1"/>
  <c r="CC592" i="2" s="1"/>
  <c r="CC593" i="2" s="1"/>
  <c r="CC594" i="2" s="1"/>
  <c r="CC595" i="2" s="1"/>
  <c r="CC596" i="2" s="1"/>
  <c r="CC597" i="2" s="1"/>
  <c r="CC598" i="2" s="1"/>
  <c r="CC599" i="2" s="1"/>
  <c r="CC600" i="2" s="1"/>
  <c r="CR570" i="2"/>
  <c r="CR592" i="2"/>
  <c r="CR554" i="2"/>
  <c r="CR563" i="2"/>
  <c r="CR572" i="2"/>
  <c r="CR566" i="2"/>
  <c r="CR590" i="2"/>
  <c r="CR599" i="2"/>
  <c r="CR561" i="2"/>
  <c r="CR568" i="2"/>
  <c r="CR579" i="2"/>
  <c r="CR588" i="2"/>
  <c r="CR597" i="2"/>
  <c r="CR559" i="2"/>
  <c r="CR587" i="2"/>
  <c r="CR577" i="2"/>
  <c r="CR586" i="2"/>
  <c r="CR595" i="2"/>
  <c r="CR557" i="2"/>
  <c r="CR583" i="2"/>
  <c r="CR575" i="2"/>
  <c r="CR584" i="2"/>
  <c r="CT584" i="2" s="1"/>
  <c r="CR593" i="2"/>
  <c r="CR585" i="2"/>
  <c r="CR564" i="2"/>
  <c r="CR573" i="2"/>
  <c r="CR582" i="2"/>
  <c r="CR591" i="2"/>
  <c r="CR581" i="2"/>
  <c r="CR562" i="2"/>
  <c r="CR571" i="2"/>
  <c r="CR580" i="2"/>
  <c r="CR589" i="2"/>
  <c r="CR600" i="2"/>
  <c r="CR560" i="2"/>
  <c r="CR569" i="2"/>
  <c r="CR578" i="2"/>
  <c r="CR555" i="2"/>
  <c r="CR596" i="2"/>
  <c r="CR558" i="2"/>
  <c r="CR567" i="2"/>
  <c r="CR576" i="2"/>
  <c r="CR598" i="2"/>
  <c r="CR594" i="2"/>
  <c r="CR556" i="2"/>
  <c r="CR565" i="2"/>
  <c r="CR574" i="2"/>
  <c r="EC492" i="34"/>
  <c r="AB20" i="3"/>
  <c r="AB20" i="8"/>
  <c r="AB20" i="6"/>
  <c r="M18" i="11"/>
  <c r="AA122" i="3"/>
  <c r="AG122" i="3" s="1"/>
  <c r="AM179" i="3"/>
  <c r="AN179" i="3" s="1"/>
  <c r="S177" i="6"/>
  <c r="T177" i="6" s="1"/>
  <c r="H68" i="36"/>
  <c r="AE177" i="39" s="1"/>
  <c r="AW177" i="39" s="1"/>
  <c r="BP30" i="31"/>
  <c r="BN30" i="31"/>
  <c r="BO30" i="31" s="1"/>
  <c r="BS32" i="31"/>
  <c r="BT31" i="31"/>
  <c r="BV31" i="31" s="1"/>
  <c r="BW31" i="31" s="1"/>
  <c r="B69" i="36"/>
  <c r="D69" i="36" s="1"/>
  <c r="E69" i="36" s="1"/>
  <c r="S178" i="39" s="1"/>
  <c r="T178" i="39" s="1"/>
  <c r="R178" i="6"/>
  <c r="AC122" i="8"/>
  <c r="AA179" i="8"/>
  <c r="Z122" i="8"/>
  <c r="Y122" i="8"/>
  <c r="AB122" i="8" s="1"/>
  <c r="O179" i="8"/>
  <c r="B125" i="43" s="1"/>
  <c r="D125" i="43" s="1"/>
  <c r="E125" i="43" s="1"/>
  <c r="H125" i="43" s="1"/>
  <c r="J125" i="43" s="1"/>
  <c r="AO170" i="6"/>
  <c r="AP170" i="6" s="1"/>
  <c r="BI48" i="31"/>
  <c r="BE48" i="31"/>
  <c r="BD48" i="31"/>
  <c r="BF48" i="31"/>
  <c r="C118" i="11"/>
  <c r="D118" i="11" s="1"/>
  <c r="E118" i="11" s="1"/>
  <c r="AM71" i="8"/>
  <c r="AE71" i="8"/>
  <c r="AI121" i="6"/>
  <c r="M75" i="4" s="1"/>
  <c r="AR33" i="31"/>
  <c r="AO33" i="31"/>
  <c r="AQ33" i="31" s="1"/>
  <c r="CL28" i="31" s="1"/>
  <c r="G29" i="31" s="1"/>
  <c r="M122" i="3"/>
  <c r="L122" i="3"/>
  <c r="CK27" i="31"/>
  <c r="CR26" i="31"/>
  <c r="CO26" i="31"/>
  <c r="AC180" i="8"/>
  <c r="AU180" i="8" s="1"/>
  <c r="H123" i="8"/>
  <c r="V123" i="8"/>
  <c r="K123" i="8"/>
  <c r="CT401" i="34"/>
  <c r="CT372" i="34"/>
  <c r="CT394" i="34"/>
  <c r="CT373" i="34"/>
  <c r="CT375" i="34"/>
  <c r="CT367" i="34"/>
  <c r="CT404" i="34"/>
  <c r="CT397" i="34"/>
  <c r="CT384" i="34"/>
  <c r="CT407" i="34"/>
  <c r="CT363" i="34"/>
  <c r="CT589" i="34"/>
  <c r="CT582" i="34"/>
  <c r="CT585" i="34"/>
  <c r="CT595" i="34"/>
  <c r="CT576" i="34"/>
  <c r="CT590" i="34"/>
  <c r="CT597" i="34"/>
  <c r="CT574" i="34"/>
  <c r="CT561" i="34"/>
  <c r="CT596" i="34"/>
  <c r="CT594" i="34"/>
  <c r="CT587" i="34"/>
  <c r="CT148" i="34"/>
  <c r="CT137" i="34"/>
  <c r="CT151" i="34"/>
  <c r="CT126" i="34"/>
  <c r="CT143" i="34"/>
  <c r="CT116" i="34"/>
  <c r="CT155" i="34"/>
  <c r="CT118" i="34"/>
  <c r="CT138" i="34"/>
  <c r="CT124" i="34"/>
  <c r="CT123" i="34"/>
  <c r="CT153" i="34"/>
  <c r="CD405" i="34"/>
  <c r="CD371" i="34"/>
  <c r="CD404" i="34"/>
  <c r="CD379" i="34"/>
  <c r="CD403" i="34"/>
  <c r="CD363" i="34"/>
  <c r="CD387" i="34"/>
  <c r="CD408" i="34"/>
  <c r="CD375" i="34"/>
  <c r="CD407" i="34"/>
  <c r="CD409" i="34"/>
  <c r="CM651" i="34"/>
  <c r="DW646" i="34" s="1"/>
  <c r="CM657" i="34"/>
  <c r="DW652" i="34" s="1"/>
  <c r="CM638" i="34"/>
  <c r="DW633" i="34" s="1"/>
  <c r="CM634" i="34"/>
  <c r="DW629" i="34" s="1"/>
  <c r="CM659" i="34"/>
  <c r="DW654" i="34" s="1"/>
  <c r="CM654" i="34"/>
  <c r="DW649" i="34" s="1"/>
  <c r="CM633" i="34"/>
  <c r="DW628" i="34" s="1"/>
  <c r="CM641" i="34"/>
  <c r="DW636" i="34" s="1"/>
  <c r="CM631" i="34"/>
  <c r="DW626" i="34" s="1"/>
  <c r="CM647" i="34"/>
  <c r="DW642" i="34" s="1"/>
  <c r="CM620" i="34"/>
  <c r="DW615" i="34" s="1"/>
  <c r="CM629" i="34"/>
  <c r="DW624" i="34" s="1"/>
  <c r="CD576" i="34"/>
  <c r="CD577" i="34"/>
  <c r="CD582" i="34"/>
  <c r="CD574" i="34"/>
  <c r="CD566" i="34"/>
  <c r="CD564" i="34"/>
  <c r="CD583" i="34"/>
  <c r="CD591" i="34"/>
  <c r="CD565" i="34"/>
  <c r="CD567" i="34"/>
  <c r="CD589" i="34"/>
  <c r="CD154" i="34"/>
  <c r="CD152" i="34"/>
  <c r="CD133" i="34"/>
  <c r="CD138" i="34"/>
  <c r="CD141" i="34"/>
  <c r="CD126" i="34"/>
  <c r="CD135" i="34"/>
  <c r="CD112" i="34"/>
  <c r="CD146" i="34"/>
  <c r="CD121" i="34"/>
  <c r="CD130" i="34"/>
  <c r="CT644" i="34"/>
  <c r="CT623" i="34"/>
  <c r="CT622" i="34"/>
  <c r="CT664" i="34"/>
  <c r="CT661" i="34"/>
  <c r="CT639" i="34"/>
  <c r="CT620" i="34"/>
  <c r="CT631" i="34"/>
  <c r="CT647" i="34"/>
  <c r="CT665" i="34"/>
  <c r="CT654" i="34"/>
  <c r="CT645" i="34"/>
  <c r="CM567" i="34"/>
  <c r="DW562" i="34" s="1"/>
  <c r="CM580" i="34"/>
  <c r="DW575" i="34" s="1"/>
  <c r="CM571" i="34"/>
  <c r="DW566" i="34" s="1"/>
  <c r="CM583" i="34"/>
  <c r="DW578" i="34" s="1"/>
  <c r="CM569" i="34"/>
  <c r="DW564" i="34" s="1"/>
  <c r="CM596" i="34"/>
  <c r="DW591" i="34" s="1"/>
  <c r="CM568" i="34"/>
  <c r="DW563" i="34" s="1"/>
  <c r="CM587" i="34"/>
  <c r="DW582" i="34" s="1"/>
  <c r="CM586" i="34"/>
  <c r="DW581" i="34" s="1"/>
  <c r="CM563" i="34"/>
  <c r="DW558" i="34" s="1"/>
  <c r="CM566" i="34"/>
  <c r="DW561" i="34" s="1"/>
  <c r="H123" i="36"/>
  <c r="AE177" i="40" s="1"/>
  <c r="AW177" i="40" s="1"/>
  <c r="S177" i="8"/>
  <c r="T177" i="8" s="1"/>
  <c r="AE24" i="9"/>
  <c r="BF19" i="3"/>
  <c r="AN19" i="3"/>
  <c r="BG19" i="3" s="1"/>
  <c r="AC19" i="3"/>
  <c r="AG19" i="3"/>
  <c r="AE19" i="3"/>
  <c r="AD19" i="3"/>
  <c r="AF19" i="3"/>
  <c r="AB72" i="3"/>
  <c r="S176" i="6"/>
  <c r="T176" i="6" s="1"/>
  <c r="H67" i="36"/>
  <c r="AE176" i="39" s="1"/>
  <c r="AW176" i="39" s="1"/>
  <c r="C16" i="11"/>
  <c r="D16" i="11" s="1"/>
  <c r="E16" i="11" s="1"/>
  <c r="AM71" i="3"/>
  <c r="AE71" i="3"/>
  <c r="AZ31" i="31"/>
  <c r="AV31" i="31"/>
  <c r="AW31" i="31"/>
  <c r="S123" i="8"/>
  <c r="AN70" i="8"/>
  <c r="C67" i="11"/>
  <c r="D67" i="11" s="1"/>
  <c r="E67" i="11" s="1"/>
  <c r="AM71" i="6"/>
  <c r="AE71" i="6"/>
  <c r="CD652" i="34"/>
  <c r="CD650" i="34"/>
  <c r="CD659" i="34"/>
  <c r="CD654" i="34"/>
  <c r="CD636" i="34"/>
  <c r="CT382" i="34"/>
  <c r="CT388" i="34"/>
  <c r="CT395" i="34"/>
  <c r="CT399" i="34"/>
  <c r="CT380" i="34"/>
  <c r="CT406" i="34"/>
  <c r="CT390" i="34"/>
  <c r="CT368" i="34"/>
  <c r="CT405" i="34"/>
  <c r="CT392" i="34"/>
  <c r="CT371" i="34"/>
  <c r="CT387" i="34"/>
  <c r="CT592" i="34"/>
  <c r="CT593" i="34"/>
  <c r="CT600" i="34"/>
  <c r="CT559" i="34"/>
  <c r="CT571" i="34"/>
  <c r="CT554" i="34"/>
  <c r="CT564" i="34"/>
  <c r="CT558" i="34"/>
  <c r="CT581" i="34"/>
  <c r="CT567" i="34"/>
  <c r="CT599" i="34"/>
  <c r="CT556" i="34"/>
  <c r="CT132" i="34"/>
  <c r="CT121" i="34"/>
  <c r="CT154" i="34"/>
  <c r="CT156" i="34"/>
  <c r="CT141" i="34"/>
  <c r="CT122" i="34"/>
  <c r="CT133" i="34"/>
  <c r="CT135" i="34"/>
  <c r="CT115" i="34"/>
  <c r="CT117" i="34"/>
  <c r="CT134" i="34"/>
  <c r="CD394" i="34"/>
  <c r="CD364" i="34"/>
  <c r="CD388" i="34"/>
  <c r="CD400" i="34"/>
  <c r="CD385" i="34"/>
  <c r="CD390" i="34"/>
  <c r="CD398" i="34"/>
  <c r="CD367" i="34"/>
  <c r="CD392" i="34"/>
  <c r="CD391" i="34"/>
  <c r="CD397" i="34"/>
  <c r="CD395" i="34"/>
  <c r="CM643" i="34"/>
  <c r="DW638" i="34" s="1"/>
  <c r="CM646" i="34"/>
  <c r="DW641" i="34" s="1"/>
  <c r="CM635" i="34"/>
  <c r="DW630" i="34" s="1"/>
  <c r="CM625" i="34"/>
  <c r="DW620" i="34" s="1"/>
  <c r="CM626" i="34"/>
  <c r="DW621" i="34" s="1"/>
  <c r="CM648" i="34"/>
  <c r="DW643" i="34" s="1"/>
  <c r="CM636" i="34"/>
  <c r="DW631" i="34" s="1"/>
  <c r="CM624" i="34"/>
  <c r="DW619" i="34" s="1"/>
  <c r="CM640" i="34"/>
  <c r="DW635" i="34" s="1"/>
  <c r="CM649" i="34"/>
  <c r="DW644" i="34" s="1"/>
  <c r="CM645" i="34"/>
  <c r="DW640" i="34" s="1"/>
  <c r="CM622" i="34"/>
  <c r="DW617" i="34" s="1"/>
  <c r="CD585" i="34"/>
  <c r="CD557" i="34"/>
  <c r="CD598" i="34"/>
  <c r="CD562" i="34"/>
  <c r="CD569" i="34"/>
  <c r="CD586" i="34"/>
  <c r="CD575" i="34"/>
  <c r="CD573" i="34"/>
  <c r="CD588" i="34"/>
  <c r="CD597" i="34"/>
  <c r="CD593" i="34"/>
  <c r="CD594" i="34"/>
  <c r="CD114" i="34"/>
  <c r="CD143" i="34"/>
  <c r="CD122" i="34"/>
  <c r="CD115" i="34"/>
  <c r="CD145" i="34"/>
  <c r="CD110" i="34"/>
  <c r="CD128" i="34"/>
  <c r="CD153" i="34"/>
  <c r="CD151" i="34"/>
  <c r="CD148" i="34"/>
  <c r="CD140" i="34"/>
  <c r="CD123" i="34"/>
  <c r="CT621" i="34"/>
  <c r="CT643" i="34"/>
  <c r="CT655" i="34"/>
  <c r="CT652" i="34"/>
  <c r="CT651" i="34"/>
  <c r="CT642" i="34"/>
  <c r="CT657" i="34"/>
  <c r="CT637" i="34"/>
  <c r="CT660" i="34"/>
  <c r="CT638" i="34"/>
  <c r="CT634" i="34"/>
  <c r="CT653" i="34"/>
  <c r="CM582" i="34"/>
  <c r="DW577" i="34" s="1"/>
  <c r="CM598" i="34"/>
  <c r="DW593" i="34" s="1"/>
  <c r="CM557" i="34"/>
  <c r="DW552" i="34" s="1"/>
  <c r="CM578" i="34"/>
  <c r="DW573" i="34" s="1"/>
  <c r="CM555" i="34"/>
  <c r="DW550" i="34" s="1"/>
  <c r="CM600" i="34"/>
  <c r="DW595" i="34" s="1"/>
  <c r="CM589" i="34"/>
  <c r="DW584" i="34" s="1"/>
  <c r="CM590" i="34"/>
  <c r="DW585" i="34" s="1"/>
  <c r="CM564" i="34"/>
  <c r="DW559" i="34" s="1"/>
  <c r="CM584" i="34"/>
  <c r="DW579" i="34" s="1"/>
  <c r="CM575" i="34"/>
  <c r="DW570" i="34" s="1"/>
  <c r="CM595" i="34"/>
  <c r="DW590" i="34" s="1"/>
  <c r="BF19" i="6"/>
  <c r="AN19" i="6"/>
  <c r="BG19" i="6" s="1"/>
  <c r="AB72" i="6"/>
  <c r="R123" i="3"/>
  <c r="AN70" i="3"/>
  <c r="AC180" i="3"/>
  <c r="AU180" i="3" s="1"/>
  <c r="H123" i="3"/>
  <c r="K123" i="3"/>
  <c r="N123" i="3" s="1"/>
  <c r="V123" i="3"/>
  <c r="AA123" i="3" s="1"/>
  <c r="V173" i="8"/>
  <c r="O179" i="3"/>
  <c r="B15" i="43" s="1"/>
  <c r="Y122" i="3"/>
  <c r="AB122" i="3" s="1"/>
  <c r="AH122" i="3" s="1"/>
  <c r="AM180" i="6"/>
  <c r="AN180" i="6" s="1"/>
  <c r="AC180" i="6"/>
  <c r="AU180" i="6" s="1"/>
  <c r="H123" i="6"/>
  <c r="K123" i="6"/>
  <c r="V123" i="6"/>
  <c r="H13" i="36"/>
  <c r="AE177" i="38" s="1"/>
  <c r="AW177" i="38" s="1"/>
  <c r="S177" i="3"/>
  <c r="T177" i="3" s="1"/>
  <c r="AT33" i="31"/>
  <c r="AU32" i="31"/>
  <c r="AE120" i="8"/>
  <c r="AE120" i="3"/>
  <c r="AE120" i="6"/>
  <c r="R178" i="8"/>
  <c r="B124" i="36"/>
  <c r="D124" i="36" s="1"/>
  <c r="E124" i="36" s="1"/>
  <c r="S178" i="40" s="1"/>
  <c r="T178" i="40" s="1"/>
  <c r="V170" i="8"/>
  <c r="AO175" i="6"/>
  <c r="AP175" i="6" s="1"/>
  <c r="CT25" i="31"/>
  <c r="CV25" i="31" s="1"/>
  <c r="N122" i="6"/>
  <c r="B14" i="36"/>
  <c r="D14" i="36" s="1"/>
  <c r="E14" i="36" s="1"/>
  <c r="S178" i="38" s="1"/>
  <c r="T178" i="38" s="1"/>
  <c r="R178" i="3"/>
  <c r="AI121" i="3"/>
  <c r="E75" i="4" s="1"/>
  <c r="CD665" i="34"/>
  <c r="CD662" i="34"/>
  <c r="CD656" i="34"/>
  <c r="CD648" i="34"/>
  <c r="CD625" i="34"/>
  <c r="CD633" i="34"/>
  <c r="CD627" i="34"/>
  <c r="CD637" i="34"/>
  <c r="CD661" i="34"/>
  <c r="CD649" i="34"/>
  <c r="CD619" i="34"/>
  <c r="CD643" i="34"/>
  <c r="CM374" i="34"/>
  <c r="DW369" i="34" s="1"/>
  <c r="CM364" i="34"/>
  <c r="DW359" i="34" s="1"/>
  <c r="CM402" i="34"/>
  <c r="DW397" i="34" s="1"/>
  <c r="CM386" i="34"/>
  <c r="DW381" i="34" s="1"/>
  <c r="CT369" i="34"/>
  <c r="CT376" i="34"/>
  <c r="CT364" i="34"/>
  <c r="CT378" i="34"/>
  <c r="CT409" i="34"/>
  <c r="CT366" i="34"/>
  <c r="CT396" i="34"/>
  <c r="CT385" i="34"/>
  <c r="CT381" i="34"/>
  <c r="CT374" i="34"/>
  <c r="CT391" i="34"/>
  <c r="CT365" i="34"/>
  <c r="CT562" i="34"/>
  <c r="CT584" i="34"/>
  <c r="CT555" i="34"/>
  <c r="CT566" i="34"/>
  <c r="CT579" i="34"/>
  <c r="CT578" i="34"/>
  <c r="CT588" i="34"/>
  <c r="CT565" i="34"/>
  <c r="CT557" i="34"/>
  <c r="CT568" i="34"/>
  <c r="CT598" i="34"/>
  <c r="CT142" i="34"/>
  <c r="CT140" i="34"/>
  <c r="CT112" i="34"/>
  <c r="CT129" i="34"/>
  <c r="CT147" i="34"/>
  <c r="CT111" i="34"/>
  <c r="CT128" i="34"/>
  <c r="CT110" i="34"/>
  <c r="CT145" i="34"/>
  <c r="CT127" i="34"/>
  <c r="CT120" i="34"/>
  <c r="CT125" i="34"/>
  <c r="CD382" i="34"/>
  <c r="CD406" i="34"/>
  <c r="CD402" i="34"/>
  <c r="CD383" i="34"/>
  <c r="CD393" i="34"/>
  <c r="CD370" i="34"/>
  <c r="CD378" i="34"/>
  <c r="CD389" i="34"/>
  <c r="CD374" i="34"/>
  <c r="CD384" i="34"/>
  <c r="CD369" i="34"/>
  <c r="CD373" i="34"/>
  <c r="CM627" i="34"/>
  <c r="DW622" i="34" s="1"/>
  <c r="CM660" i="34"/>
  <c r="DW655" i="34" s="1"/>
  <c r="CM650" i="34"/>
  <c r="DW645" i="34" s="1"/>
  <c r="CM652" i="34"/>
  <c r="DW647" i="34" s="1"/>
  <c r="CM656" i="34"/>
  <c r="DW651" i="34" s="1"/>
  <c r="CM664" i="34"/>
  <c r="DW659" i="34" s="1"/>
  <c r="CM665" i="34"/>
  <c r="DW660" i="34" s="1"/>
  <c r="CM632" i="34"/>
  <c r="DW627" i="34" s="1"/>
  <c r="CM630" i="34"/>
  <c r="DW625" i="34" s="1"/>
  <c r="CM621" i="34"/>
  <c r="DW616" i="34" s="1"/>
  <c r="CM623" i="34"/>
  <c r="DW618" i="34" s="1"/>
  <c r="CM637" i="34"/>
  <c r="DW632" i="34" s="1"/>
  <c r="CD584" i="34"/>
  <c r="CD579" i="34"/>
  <c r="CD556" i="34"/>
  <c r="CD599" i="34"/>
  <c r="CD571" i="34"/>
  <c r="CD558" i="34"/>
  <c r="CD563" i="34"/>
  <c r="CD590" i="34"/>
  <c r="CD572" i="34"/>
  <c r="CD592" i="34"/>
  <c r="CD554" i="34"/>
  <c r="CD595" i="34"/>
  <c r="CD120" i="34"/>
  <c r="CD118" i="34"/>
  <c r="CD125" i="34"/>
  <c r="CD131" i="34"/>
  <c r="CD137" i="34"/>
  <c r="CD124" i="34"/>
  <c r="CD155" i="34"/>
  <c r="CD132" i="34"/>
  <c r="CD156" i="34"/>
  <c r="CD117" i="34"/>
  <c r="CD139" i="34"/>
  <c r="CD127" i="34"/>
  <c r="CT658" i="34"/>
  <c r="CT630" i="34"/>
  <c r="CT626" i="34"/>
  <c r="CT632" i="34"/>
  <c r="CT662" i="34"/>
  <c r="CT646" i="34"/>
  <c r="CT624" i="34"/>
  <c r="CT641" i="34"/>
  <c r="CT663" i="34"/>
  <c r="CT635" i="34"/>
  <c r="CT633" i="34"/>
  <c r="CT627" i="34"/>
  <c r="CM570" i="34"/>
  <c r="DW565" i="34" s="1"/>
  <c r="CM597" i="34"/>
  <c r="DW592" i="34" s="1"/>
  <c r="CM594" i="34"/>
  <c r="DW589" i="34" s="1"/>
  <c r="CM579" i="34"/>
  <c r="DW574" i="34" s="1"/>
  <c r="CM572" i="34"/>
  <c r="DW567" i="34" s="1"/>
  <c r="CM593" i="34"/>
  <c r="DW588" i="34" s="1"/>
  <c r="CM565" i="34"/>
  <c r="DW560" i="34" s="1"/>
  <c r="CM560" i="34"/>
  <c r="DW555" i="34" s="1"/>
  <c r="CM574" i="34"/>
  <c r="DW569" i="34" s="1"/>
  <c r="CM561" i="34"/>
  <c r="DW556" i="34" s="1"/>
  <c r="CM556" i="34"/>
  <c r="DW551" i="34" s="1"/>
  <c r="CM559" i="34"/>
  <c r="DW554" i="34" s="1"/>
  <c r="AO172" i="6"/>
  <c r="AP172" i="6" s="1"/>
  <c r="CV24" i="31"/>
  <c r="BF19" i="8"/>
  <c r="AN19" i="8"/>
  <c r="BG19" i="8" s="1"/>
  <c r="AB72" i="8"/>
  <c r="AM180" i="3"/>
  <c r="AN180" i="3" s="1"/>
  <c r="J119" i="36"/>
  <c r="AE173" i="8"/>
  <c r="AW173" i="8" s="1"/>
  <c r="BH47" i="31"/>
  <c r="BK32" i="31"/>
  <c r="BL31" i="31"/>
  <c r="R123" i="6"/>
  <c r="AN70" i="6"/>
  <c r="N122" i="8"/>
  <c r="BC49" i="31"/>
  <c r="BB50" i="31"/>
  <c r="AN34" i="31"/>
  <c r="AM35" i="31"/>
  <c r="AC122" i="3"/>
  <c r="AA179" i="3"/>
  <c r="Z122" i="3"/>
  <c r="AF122" i="3" s="1"/>
  <c r="AE170" i="8"/>
  <c r="AW170" i="8" s="1"/>
  <c r="J116" i="36"/>
  <c r="X123" i="8"/>
  <c r="AC122" i="6"/>
  <c r="AA179" i="6"/>
  <c r="Z122" i="6"/>
  <c r="AF122" i="6" s="1"/>
  <c r="O179" i="6"/>
  <c r="B70" i="43" s="1"/>
  <c r="Y122" i="6"/>
  <c r="AB122" i="6" s="1"/>
  <c r="AH122" i="6" s="1"/>
  <c r="AI121" i="8"/>
  <c r="T75" i="4" s="1"/>
  <c r="AA122" i="8"/>
  <c r="CD623" i="34"/>
  <c r="CD634" i="34"/>
  <c r="CD660" i="34"/>
  <c r="CD658" i="34"/>
  <c r="CD664" i="34"/>
  <c r="CD626" i="34"/>
  <c r="CD635" i="34"/>
  <c r="CD641" i="34"/>
  <c r="CD624" i="34"/>
  <c r="CD646" i="34"/>
  <c r="CD651" i="34"/>
  <c r="CD663" i="34"/>
  <c r="CM367" i="34"/>
  <c r="DW362" i="34" s="1"/>
  <c r="CM406" i="34"/>
  <c r="DW401" i="34" s="1"/>
  <c r="CM397" i="34"/>
  <c r="DW392" i="34" s="1"/>
  <c r="CM377" i="34"/>
  <c r="DW372" i="34" s="1"/>
  <c r="CM407" i="34"/>
  <c r="DW402" i="34" s="1"/>
  <c r="CM389" i="34"/>
  <c r="DW384" i="34" s="1"/>
  <c r="CM381" i="34"/>
  <c r="DW376" i="34" s="1"/>
  <c r="CM370" i="34"/>
  <c r="DW365" i="34" s="1"/>
  <c r="CM382" i="34"/>
  <c r="DW377" i="34" s="1"/>
  <c r="CM376" i="34"/>
  <c r="DW371" i="34" s="1"/>
  <c r="CT403" i="34"/>
  <c r="CT377" i="34"/>
  <c r="CT379" i="34"/>
  <c r="CT370" i="34"/>
  <c r="CT389" i="34"/>
  <c r="CT386" i="34"/>
  <c r="CT398" i="34"/>
  <c r="CT383" i="34"/>
  <c r="CT400" i="34"/>
  <c r="CT402" i="34"/>
  <c r="CT408" i="34"/>
  <c r="CT393" i="34"/>
  <c r="CT575" i="34"/>
  <c r="CT573" i="34"/>
  <c r="CT580" i="34"/>
  <c r="CT570" i="34"/>
  <c r="CT577" i="34"/>
  <c r="CT583" i="34"/>
  <c r="CT563" i="34"/>
  <c r="CT586" i="34"/>
  <c r="CT569" i="34"/>
  <c r="CT591" i="34"/>
  <c r="CT560" i="34"/>
  <c r="CT572" i="34"/>
  <c r="CT136" i="34"/>
  <c r="CT113" i="34"/>
  <c r="CT139" i="34"/>
  <c r="CT119" i="34"/>
  <c r="CT152" i="34"/>
  <c r="CT144" i="34"/>
  <c r="CT114" i="34"/>
  <c r="CT149" i="34"/>
  <c r="CT146" i="34"/>
  <c r="CT150" i="34"/>
  <c r="CT131" i="34"/>
  <c r="CT130" i="34"/>
  <c r="CD377" i="34"/>
  <c r="CD386" i="34"/>
  <c r="CD366" i="34"/>
  <c r="CD376" i="34"/>
  <c r="CD396" i="34"/>
  <c r="CD365" i="34"/>
  <c r="CD368" i="34"/>
  <c r="CD380" i="34"/>
  <c r="CD399" i="34"/>
  <c r="CD381" i="34"/>
  <c r="CD372" i="34"/>
  <c r="CD401" i="34"/>
  <c r="CM628" i="34"/>
  <c r="DW623" i="34" s="1"/>
  <c r="CM642" i="34"/>
  <c r="DW637" i="34" s="1"/>
  <c r="CM658" i="34"/>
  <c r="DW653" i="34" s="1"/>
  <c r="CM655" i="34"/>
  <c r="DW650" i="34" s="1"/>
  <c r="CM661" i="34"/>
  <c r="DW656" i="34" s="1"/>
  <c r="CM653" i="34"/>
  <c r="DW648" i="34" s="1"/>
  <c r="CM644" i="34"/>
  <c r="DW639" i="34" s="1"/>
  <c r="CM639" i="34"/>
  <c r="DW634" i="34" s="1"/>
  <c r="CM619" i="34"/>
  <c r="DW614" i="34" s="1"/>
  <c r="CM663" i="34"/>
  <c r="DW658" i="34" s="1"/>
  <c r="CM662" i="34"/>
  <c r="DW657" i="34" s="1"/>
  <c r="CD560" i="34"/>
  <c r="CD570" i="34"/>
  <c r="CD559" i="34"/>
  <c r="CD578" i="34"/>
  <c r="CD580" i="34"/>
  <c r="CD581" i="34"/>
  <c r="CD600" i="34"/>
  <c r="CD568" i="34"/>
  <c r="CD587" i="34"/>
  <c r="CD596" i="34"/>
  <c r="CD561" i="34"/>
  <c r="CD555" i="34"/>
  <c r="CD116" i="34"/>
  <c r="CD147" i="34"/>
  <c r="CD142" i="34"/>
  <c r="CD113" i="34"/>
  <c r="CD119" i="34"/>
  <c r="CD134" i="34"/>
  <c r="CD136" i="34"/>
  <c r="CD129" i="34"/>
  <c r="CD149" i="34"/>
  <c r="CD111" i="34"/>
  <c r="CD144" i="34"/>
  <c r="CD150" i="34"/>
  <c r="CT650" i="34"/>
  <c r="CT625" i="34"/>
  <c r="CT648" i="34"/>
  <c r="CT640" i="34"/>
  <c r="CT656" i="34"/>
  <c r="CT659" i="34"/>
  <c r="CT636" i="34"/>
  <c r="CT619" i="34"/>
  <c r="CT629" i="34"/>
  <c r="CT628" i="34"/>
  <c r="CT649" i="34"/>
  <c r="CM599" i="34"/>
  <c r="DW594" i="34" s="1"/>
  <c r="CM591" i="34"/>
  <c r="DW586" i="34" s="1"/>
  <c r="CM562" i="34"/>
  <c r="DW557" i="34" s="1"/>
  <c r="CM558" i="34"/>
  <c r="DW553" i="34" s="1"/>
  <c r="CM588" i="34"/>
  <c r="DW583" i="34" s="1"/>
  <c r="CM581" i="34"/>
  <c r="DW576" i="34" s="1"/>
  <c r="CM585" i="34"/>
  <c r="DW580" i="34" s="1"/>
  <c r="CM577" i="34"/>
  <c r="DW572" i="34" s="1"/>
  <c r="CM576" i="34"/>
  <c r="DW571" i="34" s="1"/>
  <c r="CM592" i="34"/>
  <c r="DW587" i="34" s="1"/>
  <c r="CM573" i="34"/>
  <c r="DW568" i="34" s="1"/>
  <c r="CM554" i="34"/>
  <c r="DW549" i="34" s="1"/>
  <c r="J118" i="36"/>
  <c r="AE172" i="8"/>
  <c r="AW172" i="8" s="1"/>
  <c r="B109" i="15"/>
  <c r="C109" i="15" s="1"/>
  <c r="AO114" i="8"/>
  <c r="AR114" i="8" s="1"/>
  <c r="AL114" i="8"/>
  <c r="AZ171" i="8"/>
  <c r="AM114" i="8"/>
  <c r="AP114" i="8" s="1"/>
  <c r="AN114" i="8"/>
  <c r="AQ114" i="8" s="1"/>
  <c r="AM114" i="3"/>
  <c r="AP114" i="3" s="1"/>
  <c r="AZ171" i="3"/>
  <c r="AO114" i="3"/>
  <c r="AR114" i="3" s="1"/>
  <c r="AN114" i="3"/>
  <c r="AQ114" i="3" s="1"/>
  <c r="AL114" i="3"/>
  <c r="B9" i="15"/>
  <c r="C9" i="15" s="1"/>
  <c r="J9" i="15" s="1"/>
  <c r="AO114" i="6"/>
  <c r="AR114" i="6" s="1"/>
  <c r="AL114" i="6"/>
  <c r="AM114" i="6"/>
  <c r="AP114" i="6" s="1"/>
  <c r="AN114" i="6"/>
  <c r="AQ114" i="6" s="1"/>
  <c r="AZ171" i="6"/>
  <c r="B59" i="15"/>
  <c r="C59" i="15" s="1"/>
  <c r="V175" i="3"/>
  <c r="V171" i="3"/>
  <c r="J11" i="36"/>
  <c r="AE175" i="3"/>
  <c r="AW175" i="3" s="1"/>
  <c r="AE171" i="3"/>
  <c r="AW171" i="3" s="1"/>
  <c r="J7" i="36"/>
  <c r="J12" i="36"/>
  <c r="AE176" i="3"/>
  <c r="AW176" i="3" s="1"/>
  <c r="J8" i="36"/>
  <c r="AE172" i="3"/>
  <c r="AL117" i="3"/>
  <c r="AZ174" i="3"/>
  <c r="AO117" i="3"/>
  <c r="AR117" i="3" s="1"/>
  <c r="AN117" i="3"/>
  <c r="AQ117" i="3" s="1"/>
  <c r="B12" i="15"/>
  <c r="C12" i="15" s="1"/>
  <c r="J12" i="15" s="1"/>
  <c r="AM117" i="3"/>
  <c r="AP117" i="3" s="1"/>
  <c r="J10" i="36"/>
  <c r="AE174" i="3"/>
  <c r="AW174" i="3" s="1"/>
  <c r="AZ174" i="6"/>
  <c r="AM117" i="6"/>
  <c r="AP117" i="6" s="1"/>
  <c r="AL117" i="6"/>
  <c r="AN117" i="6"/>
  <c r="AQ117" i="6" s="1"/>
  <c r="B62" i="15"/>
  <c r="C62" i="15" s="1"/>
  <c r="AO117" i="6"/>
  <c r="AR117" i="6" s="1"/>
  <c r="V174" i="3"/>
  <c r="V176" i="3"/>
  <c r="AZ174" i="8"/>
  <c r="AL117" i="8"/>
  <c r="AN117" i="8"/>
  <c r="AQ117" i="8" s="1"/>
  <c r="AO117" i="8"/>
  <c r="AR117" i="8" s="1"/>
  <c r="B112" i="15"/>
  <c r="C112" i="15" s="1"/>
  <c r="AM117" i="8"/>
  <c r="AP117" i="8" s="1"/>
  <c r="AO172" i="8"/>
  <c r="AP172" i="8" s="1"/>
  <c r="V172" i="8"/>
  <c r="K67" i="4"/>
  <c r="O67" i="4" s="1"/>
  <c r="AK113" i="6"/>
  <c r="AY170" i="6"/>
  <c r="AE170" i="3"/>
  <c r="AW170" i="3" s="1"/>
  <c r="J6" i="36"/>
  <c r="AY170" i="8"/>
  <c r="AK113" i="8"/>
  <c r="R67" i="4"/>
  <c r="V67" i="4" s="1"/>
  <c r="V170" i="3"/>
  <c r="I67" i="4"/>
  <c r="AY170" i="3"/>
  <c r="C67" i="4"/>
  <c r="CK48" i="34"/>
  <c r="CS618" i="2"/>
  <c r="CC617" i="2"/>
  <c r="CB617" i="2"/>
  <c r="CS48" i="34"/>
  <c r="CB618" i="2"/>
  <c r="CA49" i="34"/>
  <c r="CS49" i="34"/>
  <c r="CJ618" i="2"/>
  <c r="CC49" i="34"/>
  <c r="CS617" i="2"/>
  <c r="CR49" i="34"/>
  <c r="CJ49" i="34"/>
  <c r="CI49" i="34"/>
  <c r="CR617" i="2"/>
  <c r="CA618" i="2"/>
  <c r="CK618" i="2"/>
  <c r="CI618" i="2"/>
  <c r="CL617" i="2"/>
  <c r="CB49" i="34"/>
  <c r="CK617" i="2"/>
  <c r="CA617" i="2"/>
  <c r="CR48" i="34"/>
  <c r="CK49" i="34"/>
  <c r="CI617" i="2"/>
  <c r="CR618" i="2"/>
  <c r="CA48" i="34"/>
  <c r="CL48" i="34"/>
  <c r="CI48" i="34"/>
  <c r="CB48" i="34"/>
  <c r="CL618" i="2"/>
  <c r="CJ48" i="34"/>
  <c r="CL49" i="34"/>
  <c r="CC618" i="2"/>
  <c r="CJ617" i="2"/>
  <c r="CC48" i="34"/>
  <c r="AS119" i="39" l="1"/>
  <c r="AT119" i="39" s="1"/>
  <c r="AK113" i="40"/>
  <c r="AZ170" i="40" s="1"/>
  <c r="AK113" i="38"/>
  <c r="AM113" i="38" s="1"/>
  <c r="AP113" i="38" s="1"/>
  <c r="CD139" i="2"/>
  <c r="CD140" i="2"/>
  <c r="D70" i="43"/>
  <c r="E70" i="43" s="1"/>
  <c r="H70" i="43" s="1"/>
  <c r="J70" i="43" s="1"/>
  <c r="AZ173" i="38"/>
  <c r="AL116" i="38"/>
  <c r="AM116" i="38"/>
  <c r="AP116" i="38" s="1"/>
  <c r="AN116" i="38"/>
  <c r="AQ116" i="38" s="1"/>
  <c r="AO116" i="38"/>
  <c r="AR116" i="38" s="1"/>
  <c r="AL116" i="6"/>
  <c r="AZ173" i="6"/>
  <c r="AN116" i="6"/>
  <c r="AQ116" i="6" s="1"/>
  <c r="B61" i="15"/>
  <c r="C61" i="15" s="1"/>
  <c r="AO116" i="6"/>
  <c r="AR116" i="6" s="1"/>
  <c r="AM116" i="6"/>
  <c r="AP116" i="6" s="1"/>
  <c r="B111" i="15"/>
  <c r="C111" i="15" s="1"/>
  <c r="AZ173" i="8"/>
  <c r="AM116" i="8"/>
  <c r="AP116" i="8" s="1"/>
  <c r="AO116" i="8"/>
  <c r="AR116" i="8" s="1"/>
  <c r="AL116" i="8"/>
  <c r="AN116" i="8"/>
  <c r="AQ116" i="8" s="1"/>
  <c r="AZ173" i="40"/>
  <c r="AO116" i="40"/>
  <c r="AR116" i="40" s="1"/>
  <c r="AL116" i="40"/>
  <c r="AM116" i="40"/>
  <c r="AP116" i="40" s="1"/>
  <c r="AN116" i="40"/>
  <c r="AQ116" i="40" s="1"/>
  <c r="AO116" i="3"/>
  <c r="AR116" i="3" s="1"/>
  <c r="AZ173" i="3"/>
  <c r="B11" i="15"/>
  <c r="C11" i="15" s="1"/>
  <c r="J11" i="15" s="1"/>
  <c r="AL116" i="3"/>
  <c r="AN116" i="3"/>
  <c r="AQ116" i="3" s="1"/>
  <c r="AM116" i="3"/>
  <c r="AP116" i="3" s="1"/>
  <c r="AN116" i="39"/>
  <c r="AQ116" i="39" s="1"/>
  <c r="AM116" i="39"/>
  <c r="AP116" i="39" s="1"/>
  <c r="AZ173" i="39"/>
  <c r="AO116" i="39"/>
  <c r="AR116" i="39" s="1"/>
  <c r="AL116" i="39"/>
  <c r="D15" i="43"/>
  <c r="E15" i="43" s="1"/>
  <c r="H15" i="43" s="1"/>
  <c r="J15" i="43" s="1"/>
  <c r="CD532" i="34"/>
  <c r="CD535" i="34"/>
  <c r="CD515" i="34"/>
  <c r="CT247" i="2"/>
  <c r="CT240" i="2"/>
  <c r="CT262" i="2"/>
  <c r="CT264" i="2"/>
  <c r="AS117" i="40"/>
  <c r="AT117" i="40" s="1"/>
  <c r="AL113" i="38"/>
  <c r="AS118" i="40"/>
  <c r="AT118" i="40" s="1"/>
  <c r="CD536" i="34"/>
  <c r="CD525" i="34"/>
  <c r="CT563" i="2"/>
  <c r="CD514" i="34"/>
  <c r="CD531" i="34"/>
  <c r="CD529" i="34"/>
  <c r="CD510" i="34"/>
  <c r="CD530" i="34"/>
  <c r="CD501" i="34"/>
  <c r="CD524" i="34"/>
  <c r="CD497" i="34"/>
  <c r="CT271" i="2"/>
  <c r="CT251" i="2"/>
  <c r="CD430" i="2"/>
  <c r="AS117" i="39"/>
  <c r="AT117" i="39" s="1"/>
  <c r="AS114" i="40"/>
  <c r="AT114" i="40" s="1"/>
  <c r="CD508" i="34"/>
  <c r="CD507" i="34"/>
  <c r="CD495" i="34"/>
  <c r="CD523" i="34"/>
  <c r="CD526" i="34"/>
  <c r="CT260" i="2"/>
  <c r="CT238" i="2"/>
  <c r="I114" i="15"/>
  <c r="J114" i="15"/>
  <c r="E114" i="15"/>
  <c r="F114" i="15"/>
  <c r="AS119" i="8"/>
  <c r="AT119" i="8" s="1"/>
  <c r="AS119" i="38"/>
  <c r="AT119" i="38" s="1"/>
  <c r="CT586" i="2"/>
  <c r="CD275" i="2"/>
  <c r="CD490" i="34"/>
  <c r="CT594" i="2"/>
  <c r="CD272" i="2"/>
  <c r="CD240" i="2"/>
  <c r="CD505" i="34"/>
  <c r="CD533" i="34"/>
  <c r="CT250" i="2"/>
  <c r="CT252" i="2"/>
  <c r="CT272" i="2"/>
  <c r="CT573" i="2"/>
  <c r="CM342" i="2"/>
  <c r="DW337" i="2" s="1"/>
  <c r="CD506" i="34"/>
  <c r="CD520" i="34"/>
  <c r="CD509" i="34"/>
  <c r="CT245" i="2"/>
  <c r="CT259" i="2"/>
  <c r="CT267" i="2"/>
  <c r="CT280" i="2"/>
  <c r="CD277" i="2"/>
  <c r="CD493" i="34"/>
  <c r="CD511" i="34"/>
  <c r="CT282" i="2"/>
  <c r="CT263" i="2"/>
  <c r="CM319" i="2"/>
  <c r="DW314" i="2" s="1"/>
  <c r="CD250" i="2"/>
  <c r="CT181" i="2"/>
  <c r="CT185" i="2"/>
  <c r="CD517" i="34"/>
  <c r="AK120" i="40"/>
  <c r="AO120" i="40" s="1"/>
  <c r="AR120" i="40" s="1"/>
  <c r="AS115" i="8"/>
  <c r="AT115" i="8" s="1"/>
  <c r="AI120" i="40"/>
  <c r="AI120" i="38"/>
  <c r="AS118" i="38"/>
  <c r="AT118" i="38" s="1"/>
  <c r="AS118" i="6"/>
  <c r="AT118" i="6" s="1"/>
  <c r="AY177" i="39"/>
  <c r="AK120" i="39"/>
  <c r="AO113" i="39"/>
  <c r="AR113" i="39" s="1"/>
  <c r="AZ170" i="39"/>
  <c r="AM113" i="39"/>
  <c r="AP113" i="39" s="1"/>
  <c r="AN113" i="39"/>
  <c r="AQ113" i="39" s="1"/>
  <c r="AL113" i="39"/>
  <c r="AS115" i="40"/>
  <c r="AT115" i="40" s="1"/>
  <c r="CT508" i="2"/>
  <c r="CT275" i="2"/>
  <c r="CT180" i="2"/>
  <c r="CT205" i="2"/>
  <c r="CT206" i="2"/>
  <c r="CT216" i="2"/>
  <c r="CM338" i="2"/>
  <c r="DW333" i="2" s="1"/>
  <c r="CD504" i="34"/>
  <c r="CD513" i="34"/>
  <c r="CT242" i="2"/>
  <c r="CT270" i="2"/>
  <c r="CD280" i="2"/>
  <c r="CD279" i="2"/>
  <c r="CD242" i="2"/>
  <c r="CT518" i="2"/>
  <c r="CT505" i="2"/>
  <c r="CT502" i="2"/>
  <c r="CT491" i="2"/>
  <c r="CT554" i="2"/>
  <c r="CD518" i="34"/>
  <c r="CD516" i="34"/>
  <c r="CD492" i="34"/>
  <c r="CT253" i="2"/>
  <c r="CT281" i="2"/>
  <c r="CT210" i="2"/>
  <c r="CT193" i="2"/>
  <c r="CT209" i="2"/>
  <c r="CT212" i="2"/>
  <c r="CT211" i="2"/>
  <c r="CT504" i="2"/>
  <c r="CT527" i="2"/>
  <c r="CT528" i="2"/>
  <c r="CT492" i="2"/>
  <c r="CD503" i="34"/>
  <c r="CD522" i="34"/>
  <c r="CD491" i="34"/>
  <c r="CT257" i="2"/>
  <c r="CT239" i="2"/>
  <c r="CT189" i="2"/>
  <c r="CT496" i="2"/>
  <c r="AF121" i="40"/>
  <c r="AS118" i="8"/>
  <c r="AT118" i="8" s="1"/>
  <c r="AH121" i="40"/>
  <c r="V178" i="40"/>
  <c r="G124" i="8"/>
  <c r="X124" i="8" s="1"/>
  <c r="G124" i="40"/>
  <c r="AA179" i="40"/>
  <c r="AC122" i="40"/>
  <c r="AB122" i="40"/>
  <c r="Z122" i="40"/>
  <c r="AA122" i="40"/>
  <c r="AM179" i="40"/>
  <c r="AN179" i="40" s="1"/>
  <c r="AO173" i="8"/>
  <c r="AP173" i="8" s="1"/>
  <c r="X123" i="40"/>
  <c r="H123" i="40"/>
  <c r="AC180" i="40"/>
  <c r="AU180" i="40" s="1"/>
  <c r="M123" i="40"/>
  <c r="K123" i="40"/>
  <c r="V123" i="40"/>
  <c r="AO177" i="40"/>
  <c r="AP177" i="40" s="1"/>
  <c r="AG121" i="40"/>
  <c r="L122" i="40"/>
  <c r="N122" i="40"/>
  <c r="AC122" i="39"/>
  <c r="AA179" i="39"/>
  <c r="AB122" i="39"/>
  <c r="Z122" i="39"/>
  <c r="AI120" i="39"/>
  <c r="AO177" i="39"/>
  <c r="AP177" i="39" s="1"/>
  <c r="M122" i="39"/>
  <c r="N122" i="39"/>
  <c r="L122" i="39"/>
  <c r="AG121" i="39"/>
  <c r="AF121" i="39"/>
  <c r="V178" i="39"/>
  <c r="AO176" i="39"/>
  <c r="AP176" i="39" s="1"/>
  <c r="AA122" i="39"/>
  <c r="AM179" i="39"/>
  <c r="AN179" i="39" s="1"/>
  <c r="AH121" i="39"/>
  <c r="AC180" i="39"/>
  <c r="AU180" i="39" s="1"/>
  <c r="H123" i="39"/>
  <c r="X123" i="39"/>
  <c r="V123" i="39"/>
  <c r="K123" i="39"/>
  <c r="M123" i="39" s="1"/>
  <c r="AI122" i="6"/>
  <c r="M76" i="4" s="1"/>
  <c r="G124" i="6"/>
  <c r="X124" i="6" s="1"/>
  <c r="G124" i="39"/>
  <c r="I10" i="15"/>
  <c r="E10" i="15"/>
  <c r="F10" i="15"/>
  <c r="AS115" i="6"/>
  <c r="AT115" i="6" s="1"/>
  <c r="J113" i="15"/>
  <c r="F113" i="15"/>
  <c r="I113" i="15"/>
  <c r="E113" i="15"/>
  <c r="AS118" i="3"/>
  <c r="AT118" i="3" s="1"/>
  <c r="I60" i="15"/>
  <c r="J60" i="15"/>
  <c r="E60" i="15"/>
  <c r="F60" i="15"/>
  <c r="J63" i="15"/>
  <c r="F63" i="15"/>
  <c r="E63" i="15"/>
  <c r="I63" i="15"/>
  <c r="AS115" i="38"/>
  <c r="AT115" i="38" s="1"/>
  <c r="AS115" i="3"/>
  <c r="AT115" i="3" s="1"/>
  <c r="I110" i="15"/>
  <c r="F110" i="15"/>
  <c r="J110" i="15"/>
  <c r="E110" i="15"/>
  <c r="F13" i="15"/>
  <c r="I13" i="15"/>
  <c r="E13" i="15"/>
  <c r="AI122" i="3"/>
  <c r="E76" i="4" s="1"/>
  <c r="AH121" i="38"/>
  <c r="AO177" i="38"/>
  <c r="AP177" i="38" s="1"/>
  <c r="AG121" i="38"/>
  <c r="L122" i="38"/>
  <c r="N122" i="38"/>
  <c r="G124" i="3"/>
  <c r="X124" i="3" s="1"/>
  <c r="G124" i="38"/>
  <c r="AA179" i="38"/>
  <c r="AC122" i="38"/>
  <c r="AB122" i="38"/>
  <c r="Z122" i="38"/>
  <c r="AL120" i="38"/>
  <c r="AZ177" i="38"/>
  <c r="AM120" i="38"/>
  <c r="AP120" i="38" s="1"/>
  <c r="M122" i="38"/>
  <c r="AN120" i="38"/>
  <c r="AQ120" i="38" s="1"/>
  <c r="V178" i="38"/>
  <c r="AF121" i="38"/>
  <c r="AC180" i="38"/>
  <c r="AU180" i="38" s="1"/>
  <c r="X123" i="38"/>
  <c r="H123" i="38"/>
  <c r="V123" i="38"/>
  <c r="K123" i="38"/>
  <c r="M123" i="38" s="1"/>
  <c r="AA122" i="38"/>
  <c r="AM179" i="38"/>
  <c r="AN179" i="38" s="1"/>
  <c r="CD378" i="2"/>
  <c r="CD385" i="2"/>
  <c r="CM325" i="2"/>
  <c r="DW320" i="2" s="1"/>
  <c r="CM334" i="2"/>
  <c r="DW329" i="2" s="1"/>
  <c r="CM346" i="2"/>
  <c r="DW341" i="2" s="1"/>
  <c r="CD276" i="2"/>
  <c r="CD144" i="2"/>
  <c r="CD113" i="2"/>
  <c r="CD115" i="2"/>
  <c r="CD517" i="2"/>
  <c r="CD509" i="2"/>
  <c r="CD252" i="2"/>
  <c r="CD247" i="2"/>
  <c r="CD269" i="2"/>
  <c r="CD364" i="2"/>
  <c r="CD390" i="2"/>
  <c r="CD402" i="2"/>
  <c r="CD409" i="2"/>
  <c r="CD386" i="2"/>
  <c r="CD370" i="2"/>
  <c r="CD381" i="2"/>
  <c r="CM340" i="2"/>
  <c r="DW335" i="2" s="1"/>
  <c r="CM339" i="2"/>
  <c r="DW334" i="2" s="1"/>
  <c r="CD265" i="2"/>
  <c r="CD271" i="2"/>
  <c r="CD251" i="2"/>
  <c r="CD149" i="2"/>
  <c r="CD133" i="2"/>
  <c r="CD120" i="2"/>
  <c r="CT182" i="2"/>
  <c r="CT214" i="2"/>
  <c r="CT198" i="2"/>
  <c r="CT196" i="2"/>
  <c r="CT176" i="2"/>
  <c r="CT199" i="2"/>
  <c r="CD532" i="2"/>
  <c r="CD499" i="2"/>
  <c r="CD530" i="2"/>
  <c r="CT509" i="2"/>
  <c r="CT497" i="2"/>
  <c r="CT495" i="2"/>
  <c r="CM345" i="2"/>
  <c r="DW340" i="2" s="1"/>
  <c r="CM310" i="2"/>
  <c r="DW305" i="2" s="1"/>
  <c r="CD266" i="2"/>
  <c r="CD239" i="2"/>
  <c r="CD245" i="2"/>
  <c r="CT174" i="2"/>
  <c r="CT218" i="2"/>
  <c r="CT511" i="2"/>
  <c r="CT524" i="2"/>
  <c r="CT516" i="2"/>
  <c r="CT503" i="2"/>
  <c r="CM301" i="2"/>
  <c r="DW296" i="2" s="1"/>
  <c r="CM303" i="2"/>
  <c r="DW298" i="2" s="1"/>
  <c r="CT506" i="2"/>
  <c r="CT525" i="2"/>
  <c r="CT304" i="2"/>
  <c r="CT307" i="2"/>
  <c r="CT330" i="2"/>
  <c r="CT319" i="2"/>
  <c r="CT302" i="2"/>
  <c r="CD399" i="2"/>
  <c r="CD387" i="2"/>
  <c r="CD368" i="2"/>
  <c r="CD384" i="2"/>
  <c r="CD396" i="2"/>
  <c r="CD156" i="2"/>
  <c r="CD148" i="2"/>
  <c r="CD152" i="2"/>
  <c r="CD129" i="2"/>
  <c r="CD111" i="2"/>
  <c r="CD141" i="2"/>
  <c r="CD119" i="2"/>
  <c r="CD110" i="2"/>
  <c r="CD117" i="2"/>
  <c r="CD136" i="2"/>
  <c r="CD116" i="2"/>
  <c r="CT200" i="2"/>
  <c r="CT188" i="2"/>
  <c r="CT184" i="2"/>
  <c r="CT203" i="2"/>
  <c r="CT186" i="2"/>
  <c r="CD493" i="2"/>
  <c r="CD494" i="2"/>
  <c r="CD513" i="2"/>
  <c r="CD534" i="2"/>
  <c r="CD525" i="2"/>
  <c r="CD502" i="2"/>
  <c r="CD497" i="2"/>
  <c r="CD531" i="2"/>
  <c r="CD504" i="2"/>
  <c r="CD404" i="2"/>
  <c r="CD394" i="2"/>
  <c r="CD389" i="2"/>
  <c r="CD366" i="2"/>
  <c r="CD401" i="2"/>
  <c r="CD365" i="2"/>
  <c r="CD122" i="2"/>
  <c r="CD131" i="2"/>
  <c r="CD127" i="2"/>
  <c r="CD123" i="2"/>
  <c r="CD126" i="2"/>
  <c r="CD125" i="2"/>
  <c r="CD147" i="2"/>
  <c r="CD150" i="2"/>
  <c r="CD146" i="2"/>
  <c r="CD121" i="2"/>
  <c r="CT207" i="2"/>
  <c r="CT192" i="2"/>
  <c r="CT219" i="2"/>
  <c r="CD507" i="2"/>
  <c r="CD521" i="2"/>
  <c r="CD498" i="2"/>
  <c r="CD495" i="2"/>
  <c r="CD491" i="2"/>
  <c r="CD526" i="2"/>
  <c r="CD529" i="2"/>
  <c r="CD492" i="2"/>
  <c r="CD135" i="2"/>
  <c r="CD124" i="2"/>
  <c r="CD143" i="2"/>
  <c r="CD132" i="2"/>
  <c r="CD142" i="2"/>
  <c r="CD145" i="2"/>
  <c r="CD112" i="2"/>
  <c r="CD137" i="2"/>
  <c r="CT213" i="2"/>
  <c r="CD512" i="2"/>
  <c r="CD533" i="2"/>
  <c r="CD518" i="2"/>
  <c r="CD501" i="2"/>
  <c r="CD522" i="2"/>
  <c r="CD514" i="2"/>
  <c r="CD253" i="2"/>
  <c r="CD257" i="2"/>
  <c r="CD273" i="2"/>
  <c r="CD523" i="2"/>
  <c r="CD527" i="2"/>
  <c r="CD535" i="2"/>
  <c r="CT514" i="2"/>
  <c r="CT490" i="2"/>
  <c r="CT530" i="2"/>
  <c r="CT318" i="2"/>
  <c r="CT308" i="2"/>
  <c r="CT316" i="2"/>
  <c r="CT325" i="2"/>
  <c r="CD372" i="2"/>
  <c r="CM333" i="2"/>
  <c r="DW328" i="2" s="1"/>
  <c r="CM309" i="2"/>
  <c r="DW304" i="2" s="1"/>
  <c r="CM307" i="2"/>
  <c r="DW302" i="2" s="1"/>
  <c r="CD282" i="2"/>
  <c r="CD255" i="2"/>
  <c r="CD524" i="2"/>
  <c r="CD505" i="2"/>
  <c r="CT507" i="2"/>
  <c r="CT535" i="2"/>
  <c r="CT532" i="2"/>
  <c r="CT337" i="2"/>
  <c r="CD249" i="2"/>
  <c r="CD278" i="2"/>
  <c r="CD260" i="2"/>
  <c r="CT526" i="2"/>
  <c r="CT529" i="2"/>
  <c r="CT534" i="2"/>
  <c r="CD400" i="2"/>
  <c r="CD391" i="2"/>
  <c r="CD363" i="2"/>
  <c r="CD395" i="2"/>
  <c r="CD405" i="2"/>
  <c r="CD398" i="2"/>
  <c r="CD374" i="2"/>
  <c r="CM330" i="2"/>
  <c r="DW325" i="2" s="1"/>
  <c r="CM326" i="2"/>
  <c r="DW321" i="2" s="1"/>
  <c r="CM344" i="2"/>
  <c r="DW339" i="2" s="1"/>
  <c r="CM302" i="2"/>
  <c r="DW297" i="2" s="1"/>
  <c r="CM312" i="2"/>
  <c r="DW307" i="2" s="1"/>
  <c r="CM305" i="2"/>
  <c r="DW300" i="2" s="1"/>
  <c r="CM332" i="2"/>
  <c r="DW327" i="2" s="1"/>
  <c r="CD371" i="2"/>
  <c r="CD377" i="2"/>
  <c r="CD397" i="2"/>
  <c r="CD373" i="2"/>
  <c r="CD375" i="2"/>
  <c r="CD408" i="2"/>
  <c r="CM321" i="2"/>
  <c r="DW316" i="2" s="1"/>
  <c r="CM323" i="2"/>
  <c r="DW318" i="2" s="1"/>
  <c r="CM311" i="2"/>
  <c r="DW306" i="2" s="1"/>
  <c r="CT580" i="2"/>
  <c r="CD380" i="2"/>
  <c r="CD406" i="2"/>
  <c r="CD393" i="2"/>
  <c r="CD407" i="2"/>
  <c r="CM327" i="2"/>
  <c r="DW322" i="2" s="1"/>
  <c r="CM336" i="2"/>
  <c r="DW331" i="2" s="1"/>
  <c r="CM314" i="2"/>
  <c r="DW309" i="2" s="1"/>
  <c r="CM322" i="2"/>
  <c r="DW317" i="2" s="1"/>
  <c r="CM337" i="2"/>
  <c r="DW332" i="2" s="1"/>
  <c r="CM313" i="2"/>
  <c r="DW308" i="2" s="1"/>
  <c r="CD281" i="2"/>
  <c r="CD243" i="2"/>
  <c r="CD270" i="2"/>
  <c r="CD274" i="2"/>
  <c r="CD248" i="2"/>
  <c r="CD521" i="34"/>
  <c r="CD118" i="2"/>
  <c r="CD128" i="2"/>
  <c r="CT279" i="2"/>
  <c r="CT254" i="2"/>
  <c r="CT190" i="2"/>
  <c r="CT187" i="2"/>
  <c r="CT202" i="2"/>
  <c r="CT194" i="2"/>
  <c r="CT217" i="2"/>
  <c r="CD516" i="2"/>
  <c r="CD496" i="2"/>
  <c r="CT515" i="2"/>
  <c r="CT498" i="2"/>
  <c r="CT533" i="2"/>
  <c r="CD369" i="2"/>
  <c r="CD403" i="2"/>
  <c r="CM318" i="2"/>
  <c r="DW313" i="2" s="1"/>
  <c r="CM308" i="2"/>
  <c r="DW303" i="2" s="1"/>
  <c r="CM304" i="2"/>
  <c r="DW299" i="2" s="1"/>
  <c r="CD264" i="2"/>
  <c r="CD262" i="2"/>
  <c r="CD500" i="34"/>
  <c r="CD114" i="2"/>
  <c r="CD130" i="2"/>
  <c r="CD151" i="2"/>
  <c r="CD154" i="2"/>
  <c r="CT255" i="2"/>
  <c r="CT283" i="2"/>
  <c r="CT248" i="2"/>
  <c r="CT277" i="2"/>
  <c r="CT243" i="2"/>
  <c r="CT177" i="2"/>
  <c r="CT178" i="2"/>
  <c r="CT220" i="2"/>
  <c r="CT195" i="2"/>
  <c r="CD511" i="2"/>
  <c r="CD520" i="2"/>
  <c r="CD503" i="2"/>
  <c r="CD510" i="2"/>
  <c r="CD519" i="2"/>
  <c r="CD515" i="2"/>
  <c r="CT517" i="2"/>
  <c r="CT512" i="2"/>
  <c r="CT579" i="2"/>
  <c r="CM343" i="2"/>
  <c r="DW338" i="2" s="1"/>
  <c r="CM324" i="2"/>
  <c r="DW319" i="2" s="1"/>
  <c r="CM329" i="2"/>
  <c r="DW324" i="2" s="1"/>
  <c r="CM341" i="2"/>
  <c r="DW336" i="2" s="1"/>
  <c r="CM316" i="2"/>
  <c r="DW311" i="2" s="1"/>
  <c r="CM328" i="2"/>
  <c r="DW323" i="2" s="1"/>
  <c r="CD268" i="2"/>
  <c r="CD246" i="2"/>
  <c r="CD519" i="34"/>
  <c r="CD534" i="34"/>
  <c r="CD499" i="34"/>
  <c r="CD496" i="34"/>
  <c r="CD367" i="2"/>
  <c r="CD383" i="2"/>
  <c r="CM300" i="2"/>
  <c r="DW295" i="2" s="1"/>
  <c r="CM306" i="2"/>
  <c r="DW301" i="2" s="1"/>
  <c r="CM331" i="2"/>
  <c r="DW326" i="2" s="1"/>
  <c r="CM315" i="2"/>
  <c r="DW310" i="2" s="1"/>
  <c r="CM317" i="2"/>
  <c r="DW312" i="2" s="1"/>
  <c r="CD263" i="2"/>
  <c r="CD241" i="2"/>
  <c r="CD244" i="2"/>
  <c r="CD237" i="2"/>
  <c r="CD254" i="2"/>
  <c r="CD267" i="2"/>
  <c r="CD283" i="2"/>
  <c r="CD261" i="2"/>
  <c r="CD528" i="34"/>
  <c r="CD527" i="34"/>
  <c r="CD502" i="34"/>
  <c r="CD134" i="2"/>
  <c r="CD153" i="2"/>
  <c r="CD155" i="2"/>
  <c r="CT246" i="2"/>
  <c r="CT215" i="2"/>
  <c r="CT179" i="2"/>
  <c r="CD528" i="2"/>
  <c r="CD536" i="2"/>
  <c r="CD490" i="2"/>
  <c r="CT522" i="2"/>
  <c r="CT493" i="2"/>
  <c r="CT531" i="2"/>
  <c r="CT513" i="2"/>
  <c r="CT521" i="2"/>
  <c r="CT536" i="2"/>
  <c r="CT320" i="2"/>
  <c r="CT340" i="2"/>
  <c r="CT326" i="2"/>
  <c r="CT301" i="2"/>
  <c r="CT313" i="2"/>
  <c r="CT315" i="2"/>
  <c r="CT314" i="2"/>
  <c r="CT309" i="2"/>
  <c r="CT328" i="2"/>
  <c r="CT312" i="2"/>
  <c r="CT341" i="2"/>
  <c r="CT344" i="2"/>
  <c r="CM455" i="2"/>
  <c r="DW450" i="2" s="1"/>
  <c r="CM470" i="2"/>
  <c r="DW465" i="2" s="1"/>
  <c r="CM448" i="2"/>
  <c r="DW443" i="2" s="1"/>
  <c r="CT518" i="34"/>
  <c r="CT534" i="34"/>
  <c r="CT321" i="2"/>
  <c r="CM430" i="2"/>
  <c r="DW425" i="2" s="1"/>
  <c r="CM465" i="2"/>
  <c r="DW460" i="2" s="1"/>
  <c r="CM438" i="2"/>
  <c r="DW433" i="2" s="1"/>
  <c r="CM433" i="2"/>
  <c r="DW428" i="2" s="1"/>
  <c r="CM458" i="2"/>
  <c r="DW453" i="2" s="1"/>
  <c r="CM449" i="2"/>
  <c r="DW444" i="2" s="1"/>
  <c r="CM432" i="2"/>
  <c r="DW427" i="2" s="1"/>
  <c r="CT495" i="34"/>
  <c r="CT500" i="34"/>
  <c r="CT526" i="34"/>
  <c r="CT346" i="2"/>
  <c r="CT331" i="2"/>
  <c r="CM460" i="2"/>
  <c r="DW455" i="2" s="1"/>
  <c r="CT516" i="34"/>
  <c r="CT536" i="34"/>
  <c r="EA51" i="34"/>
  <c r="ED51" i="34"/>
  <c r="CR85" i="34"/>
  <c r="CR88" i="34"/>
  <c r="CR58" i="34"/>
  <c r="CR96" i="34"/>
  <c r="CR90" i="34"/>
  <c r="CR91" i="34"/>
  <c r="CR78" i="34"/>
  <c r="CR68" i="34"/>
  <c r="CR89" i="34"/>
  <c r="CR52" i="34"/>
  <c r="CR73" i="34"/>
  <c r="CR50" i="34"/>
  <c r="CR56" i="34"/>
  <c r="CR82" i="34"/>
  <c r="CR63" i="34"/>
  <c r="CR53" i="34"/>
  <c r="CR54" i="34"/>
  <c r="CR83" i="34"/>
  <c r="CR87" i="34"/>
  <c r="CR72" i="34"/>
  <c r="CR62" i="34"/>
  <c r="CR51" i="34"/>
  <c r="CR65" i="34"/>
  <c r="CR77" i="34"/>
  <c r="CR93" i="34"/>
  <c r="CR92" i="34"/>
  <c r="CR75" i="34"/>
  <c r="CR79" i="34"/>
  <c r="CR61" i="34"/>
  <c r="CR59" i="34"/>
  <c r="CR64" i="34"/>
  <c r="CR76" i="34"/>
  <c r="CR66" i="34"/>
  <c r="CR55" i="34"/>
  <c r="CR57" i="34"/>
  <c r="CR69" i="34"/>
  <c r="CR95" i="34"/>
  <c r="CR94" i="34"/>
  <c r="CR67" i="34"/>
  <c r="CR71" i="34"/>
  <c r="CR86" i="34"/>
  <c r="CR70" i="34"/>
  <c r="CR60" i="34"/>
  <c r="CR84" i="34"/>
  <c r="CR80" i="34"/>
  <c r="CR74" i="34"/>
  <c r="CR81" i="34"/>
  <c r="CA57" i="34"/>
  <c r="CA89" i="34"/>
  <c r="CA69" i="34"/>
  <c r="CA78" i="34"/>
  <c r="CA59" i="34"/>
  <c r="CA58" i="34"/>
  <c r="CA68" i="34"/>
  <c r="CA83" i="34"/>
  <c r="CA82" i="34"/>
  <c r="CA94" i="34"/>
  <c r="CA92" i="34"/>
  <c r="CA71" i="34"/>
  <c r="CA90" i="34"/>
  <c r="CA55" i="34"/>
  <c r="CA81" i="34"/>
  <c r="CA54" i="34"/>
  <c r="CA50" i="34"/>
  <c r="CA61" i="34"/>
  <c r="CA62" i="34"/>
  <c r="CA72" i="34"/>
  <c r="CA85" i="34"/>
  <c r="CA87" i="34"/>
  <c r="CA88" i="34"/>
  <c r="CA84" i="34"/>
  <c r="CA73" i="34"/>
  <c r="CA95" i="34"/>
  <c r="CA63" i="34"/>
  <c r="CA66" i="34"/>
  <c r="CA76" i="34"/>
  <c r="CA77" i="34"/>
  <c r="CA74" i="34"/>
  <c r="CA51" i="34"/>
  <c r="CA53" i="34"/>
  <c r="CA96" i="34"/>
  <c r="CA80" i="34"/>
  <c r="CA52" i="34"/>
  <c r="CA75" i="34"/>
  <c r="CA56" i="34"/>
  <c r="CA65" i="34"/>
  <c r="CA70" i="34"/>
  <c r="CA86" i="34"/>
  <c r="CA93" i="34"/>
  <c r="CA60" i="34"/>
  <c r="CA91" i="34"/>
  <c r="CA67" i="34"/>
  <c r="CA64" i="34"/>
  <c r="CA79" i="34"/>
  <c r="CB632" i="2"/>
  <c r="CB650" i="2"/>
  <c r="CB660" i="2"/>
  <c r="CB627" i="2"/>
  <c r="CB641" i="2"/>
  <c r="CB623" i="2"/>
  <c r="CB622" i="2"/>
  <c r="CB636" i="2"/>
  <c r="CB654" i="2"/>
  <c r="CB664" i="2"/>
  <c r="CB635" i="2"/>
  <c r="CB645" i="2"/>
  <c r="CB659" i="2"/>
  <c r="CB626" i="2"/>
  <c r="CB640" i="2"/>
  <c r="CB644" i="2"/>
  <c r="CB621" i="2"/>
  <c r="CB647" i="2"/>
  <c r="CB649" i="2"/>
  <c r="CB620" i="2"/>
  <c r="CB631" i="2"/>
  <c r="CB648" i="2"/>
  <c r="CB658" i="2"/>
  <c r="CB625" i="2"/>
  <c r="CB662" i="2"/>
  <c r="CB653" i="2"/>
  <c r="CB629" i="2"/>
  <c r="CB634" i="2"/>
  <c r="CB652" i="2"/>
  <c r="CB639" i="2"/>
  <c r="CB633" i="2"/>
  <c r="CB643" i="2"/>
  <c r="CB657" i="2"/>
  <c r="CB624" i="2"/>
  <c r="CB663" i="2"/>
  <c r="CB655" i="2"/>
  <c r="CB619" i="2"/>
  <c r="CB637" i="2"/>
  <c r="CB638" i="2"/>
  <c r="CB665" i="2"/>
  <c r="CB628" i="2"/>
  <c r="CB642" i="2"/>
  <c r="CB656" i="2"/>
  <c r="CB630" i="2"/>
  <c r="CB661" i="2"/>
  <c r="CB651" i="2"/>
  <c r="CB646" i="2"/>
  <c r="CR653" i="2"/>
  <c r="CR627" i="2"/>
  <c r="CR637" i="2"/>
  <c r="CR659" i="2"/>
  <c r="CR621" i="2"/>
  <c r="CR641" i="2"/>
  <c r="CR633" i="2"/>
  <c r="CR661" i="2"/>
  <c r="CR643" i="2"/>
  <c r="CR646" i="2"/>
  <c r="CR649" i="2"/>
  <c r="CR626" i="2"/>
  <c r="CR662" i="2"/>
  <c r="CR655" i="2"/>
  <c r="CR657" i="2"/>
  <c r="CR663" i="2"/>
  <c r="CR644" i="2"/>
  <c r="CR631" i="2"/>
  <c r="CR619" i="2"/>
  <c r="CR632" i="2"/>
  <c r="CR665" i="2"/>
  <c r="CR647" i="2"/>
  <c r="CR634" i="2"/>
  <c r="CR628" i="2"/>
  <c r="CR623" i="2"/>
  <c r="CR656" i="2"/>
  <c r="CR638" i="2"/>
  <c r="CR640" i="2"/>
  <c r="CR639" i="2"/>
  <c r="CR624" i="2"/>
  <c r="CR620" i="2"/>
  <c r="CR651" i="2"/>
  <c r="CR645" i="2"/>
  <c r="CR629" i="2"/>
  <c r="CR654" i="2"/>
  <c r="CR660" i="2"/>
  <c r="CR650" i="2"/>
  <c r="CR622" i="2"/>
  <c r="CR625" i="2"/>
  <c r="CR652" i="2"/>
  <c r="CR658" i="2"/>
  <c r="CR648" i="2"/>
  <c r="CR642" i="2"/>
  <c r="CR630" i="2"/>
  <c r="CR635" i="2"/>
  <c r="CR664" i="2"/>
  <c r="CR636" i="2"/>
  <c r="CL635" i="2"/>
  <c r="CL633" i="2"/>
  <c r="CL650" i="2"/>
  <c r="CL661" i="2"/>
  <c r="CL632" i="2"/>
  <c r="CL642" i="2"/>
  <c r="CL629" i="2"/>
  <c r="CL639" i="2"/>
  <c r="CL654" i="2"/>
  <c r="CL640" i="2"/>
  <c r="CL649" i="2"/>
  <c r="CL623" i="2"/>
  <c r="CL634" i="2"/>
  <c r="CL622" i="2"/>
  <c r="CL665" i="2"/>
  <c r="CL627" i="2"/>
  <c r="CL652" i="2"/>
  <c r="CL641" i="2"/>
  <c r="CL625" i="2"/>
  <c r="CL653" i="2"/>
  <c r="CL626" i="2"/>
  <c r="CL658" i="2"/>
  <c r="CL664" i="2"/>
  <c r="CL648" i="2"/>
  <c r="CL646" i="2"/>
  <c r="CL645" i="2"/>
  <c r="CL663" i="2"/>
  <c r="CL659" i="2"/>
  <c r="CL638" i="2"/>
  <c r="CL624" i="2"/>
  <c r="CL644" i="2"/>
  <c r="CL621" i="2"/>
  <c r="CL656" i="2"/>
  <c r="CL631" i="2"/>
  <c r="CL637" i="2"/>
  <c r="CL647" i="2"/>
  <c r="CL630" i="2"/>
  <c r="CL660" i="2"/>
  <c r="CL655" i="2"/>
  <c r="CL636" i="2"/>
  <c r="ED620" i="2"/>
  <c r="CL619" i="2"/>
  <c r="CL657" i="2"/>
  <c r="CL643" i="2"/>
  <c r="CL651" i="2"/>
  <c r="CL662" i="2"/>
  <c r="CL620" i="2"/>
  <c r="CL628" i="2"/>
  <c r="EB51" i="34"/>
  <c r="CJ90" i="34"/>
  <c r="CJ77" i="34"/>
  <c r="CJ93" i="34"/>
  <c r="CJ85" i="34"/>
  <c r="CJ92" i="34"/>
  <c r="CJ86" i="34"/>
  <c r="CJ78" i="34"/>
  <c r="CJ60" i="34"/>
  <c r="CJ58" i="34"/>
  <c r="CJ71" i="34"/>
  <c r="CJ73" i="34"/>
  <c r="CJ91" i="34"/>
  <c r="CJ54" i="34"/>
  <c r="CJ79" i="34"/>
  <c r="CJ51" i="34"/>
  <c r="CJ74" i="34"/>
  <c r="CJ75" i="34"/>
  <c r="CJ55" i="34"/>
  <c r="CJ95" i="34"/>
  <c r="EB50" i="34"/>
  <c r="CJ64" i="34"/>
  <c r="CJ62" i="34"/>
  <c r="CJ88" i="34"/>
  <c r="CJ69" i="34"/>
  <c r="CJ87" i="34"/>
  <c r="CJ67" i="34"/>
  <c r="CJ82" i="34"/>
  <c r="CJ80" i="34"/>
  <c r="CJ50" i="34"/>
  <c r="CJ61" i="34"/>
  <c r="CJ96" i="34"/>
  <c r="CJ76" i="34"/>
  <c r="CJ57" i="34"/>
  <c r="CJ68" i="34"/>
  <c r="CJ66" i="34"/>
  <c r="CJ56" i="34"/>
  <c r="CJ65" i="34"/>
  <c r="CJ83" i="34"/>
  <c r="CJ63" i="34"/>
  <c r="CJ84" i="34"/>
  <c r="CJ94" i="34"/>
  <c r="CJ53" i="34"/>
  <c r="CJ72" i="34"/>
  <c r="CJ70" i="34"/>
  <c r="CJ81" i="34"/>
  <c r="CJ59" i="34"/>
  <c r="CJ52" i="34"/>
  <c r="CJ89" i="34"/>
  <c r="CK65" i="34"/>
  <c r="CK81" i="34"/>
  <c r="CK84" i="34"/>
  <c r="CK70" i="34"/>
  <c r="CK52" i="34"/>
  <c r="CK61" i="34"/>
  <c r="CK89" i="34"/>
  <c r="CK87" i="34"/>
  <c r="CK77" i="34"/>
  <c r="CK95" i="34"/>
  <c r="CK72" i="34"/>
  <c r="CK76" i="34"/>
  <c r="CK94" i="34"/>
  <c r="CK71" i="34"/>
  <c r="CK74" i="34"/>
  <c r="CK60" i="34"/>
  <c r="CK88" i="34"/>
  <c r="CK66" i="34"/>
  <c r="CK86" i="34"/>
  <c r="CK57" i="34"/>
  <c r="CK90" i="34"/>
  <c r="CK80" i="34"/>
  <c r="CK73" i="34"/>
  <c r="CK55" i="34"/>
  <c r="CK68" i="34"/>
  <c r="CK93" i="34"/>
  <c r="CK56" i="34"/>
  <c r="CK67" i="34"/>
  <c r="CK83" i="34"/>
  <c r="CK85" i="34"/>
  <c r="CK96" i="34"/>
  <c r="CK59" i="34"/>
  <c r="CK62" i="34"/>
  <c r="CK79" i="34"/>
  <c r="CK92" i="34"/>
  <c r="CK78" i="34"/>
  <c r="EC50" i="34"/>
  <c r="CK69" i="34"/>
  <c r="CK51" i="34"/>
  <c r="CK64" i="34"/>
  <c r="CK50" i="34"/>
  <c r="CK53" i="34"/>
  <c r="CK63" i="34"/>
  <c r="CK82" i="34"/>
  <c r="CK75" i="34"/>
  <c r="CK54" i="34"/>
  <c r="CK91" i="34"/>
  <c r="CK58" i="34"/>
  <c r="CC50" i="34"/>
  <c r="CC51" i="34" s="1"/>
  <c r="CC52" i="34" s="1"/>
  <c r="CC53" i="34" s="1"/>
  <c r="CC54" i="34" s="1"/>
  <c r="CC55" i="34" s="1"/>
  <c r="CC56" i="34" s="1"/>
  <c r="CC57" i="34" s="1"/>
  <c r="CC58" i="34" s="1"/>
  <c r="CC59" i="34" s="1"/>
  <c r="CC60" i="34" s="1"/>
  <c r="CC61" i="34" s="1"/>
  <c r="CC62" i="34" s="1"/>
  <c r="CC63" i="34" s="1"/>
  <c r="CC64" i="34" s="1"/>
  <c r="CC65" i="34" s="1"/>
  <c r="CC66" i="34" s="1"/>
  <c r="CC67" i="34" s="1"/>
  <c r="CC68" i="34" s="1"/>
  <c r="CC69" i="34" s="1"/>
  <c r="CC70" i="34" s="1"/>
  <c r="CC71" i="34" s="1"/>
  <c r="CC72" i="34" s="1"/>
  <c r="CC73" i="34" s="1"/>
  <c r="CC74" i="34" s="1"/>
  <c r="CC75" i="34" s="1"/>
  <c r="CC76" i="34" s="1"/>
  <c r="CC77" i="34" s="1"/>
  <c r="CC78" i="34" s="1"/>
  <c r="CC79" i="34" s="1"/>
  <c r="CC80" i="34" s="1"/>
  <c r="CC81" i="34" s="1"/>
  <c r="CC82" i="34" s="1"/>
  <c r="CC83" i="34" s="1"/>
  <c r="CC84" i="34" s="1"/>
  <c r="CC85" i="34" s="1"/>
  <c r="CC86" i="34" s="1"/>
  <c r="CC87" i="34" s="1"/>
  <c r="CC88" i="34" s="1"/>
  <c r="CC89" i="34" s="1"/>
  <c r="CC90" i="34" s="1"/>
  <c r="CC91" i="34" s="1"/>
  <c r="CC92" i="34" s="1"/>
  <c r="CC93" i="34" s="1"/>
  <c r="CC94" i="34" s="1"/>
  <c r="CC95" i="34" s="1"/>
  <c r="CC96" i="34" s="1"/>
  <c r="CK624" i="2"/>
  <c r="CK656" i="2"/>
  <c r="CK634" i="2"/>
  <c r="CK637" i="2"/>
  <c r="CK663" i="2"/>
  <c r="CK639" i="2"/>
  <c r="CK619" i="2"/>
  <c r="CK625" i="2"/>
  <c r="CK628" i="2"/>
  <c r="CK635" i="2"/>
  <c r="CK622" i="2"/>
  <c r="CK650" i="2"/>
  <c r="CK649" i="2"/>
  <c r="CK621" i="2"/>
  <c r="CK643" i="2"/>
  <c r="EC620" i="2"/>
  <c r="CK646" i="2"/>
  <c r="CK660" i="2"/>
  <c r="CK633" i="2"/>
  <c r="CK626" i="2"/>
  <c r="CK636" i="2"/>
  <c r="CK630" i="2"/>
  <c r="CK645" i="2"/>
  <c r="CK642" i="2"/>
  <c r="CK644" i="2"/>
  <c r="CK631" i="2"/>
  <c r="CK632" i="2"/>
  <c r="CK657" i="2"/>
  <c r="CK665" i="2"/>
  <c r="CK647" i="2"/>
  <c r="CK654" i="2"/>
  <c r="CK655" i="2"/>
  <c r="CK640" i="2"/>
  <c r="CK658" i="2"/>
  <c r="CK653" i="2"/>
  <c r="CK641" i="2"/>
  <c r="CK652" i="2"/>
  <c r="CK661" i="2"/>
  <c r="CK664" i="2"/>
  <c r="CK620" i="2"/>
  <c r="CK629" i="2"/>
  <c r="CK651" i="2"/>
  <c r="CK662" i="2"/>
  <c r="CK623" i="2"/>
  <c r="CK659" i="2"/>
  <c r="CK638" i="2"/>
  <c r="CK627" i="2"/>
  <c r="CK648" i="2"/>
  <c r="CA663" i="2"/>
  <c r="CA643" i="2"/>
  <c r="CA623" i="2"/>
  <c r="CA645" i="2"/>
  <c r="CA641" i="2"/>
  <c r="CA650" i="2"/>
  <c r="CA627" i="2"/>
  <c r="CA652" i="2"/>
  <c r="CA661" i="2"/>
  <c r="CA656" i="2"/>
  <c r="CA647" i="2"/>
  <c r="CA649" i="2"/>
  <c r="CA619" i="2"/>
  <c r="CA636" i="2"/>
  <c r="CA664" i="2"/>
  <c r="CA638" i="2"/>
  <c r="CA665" i="2"/>
  <c r="CA640" i="2"/>
  <c r="CA620" i="2"/>
  <c r="CA629" i="2"/>
  <c r="CA654" i="2"/>
  <c r="CA634" i="2"/>
  <c r="CA639" i="2"/>
  <c r="CA658" i="2"/>
  <c r="CA653" i="2"/>
  <c r="CA624" i="2"/>
  <c r="CA655" i="2"/>
  <c r="CA635" i="2"/>
  <c r="CA660" i="2"/>
  <c r="CA637" i="2"/>
  <c r="CA662" i="2"/>
  <c r="CA622" i="2"/>
  <c r="CA651" i="2"/>
  <c r="CA631" i="2"/>
  <c r="CA657" i="2"/>
  <c r="CA621" i="2"/>
  <c r="CA646" i="2"/>
  <c r="CA626" i="2"/>
  <c r="CA633" i="2"/>
  <c r="CA628" i="2"/>
  <c r="CA632" i="2"/>
  <c r="CA630" i="2"/>
  <c r="CA659" i="2"/>
  <c r="CA648" i="2"/>
  <c r="CA644" i="2"/>
  <c r="CA642" i="2"/>
  <c r="CA625" i="2"/>
  <c r="ED621" i="2"/>
  <c r="EB621" i="2"/>
  <c r="EC51" i="34"/>
  <c r="CL82" i="34"/>
  <c r="CL74" i="34"/>
  <c r="ED50" i="34"/>
  <c r="CL75" i="34"/>
  <c r="CL70" i="34"/>
  <c r="CL89" i="34"/>
  <c r="CL52" i="34"/>
  <c r="CL56" i="34"/>
  <c r="CL60" i="34"/>
  <c r="CL68" i="34"/>
  <c r="CL55" i="34"/>
  <c r="CL67" i="34"/>
  <c r="CL80" i="34"/>
  <c r="CL77" i="34"/>
  <c r="CL59" i="34"/>
  <c r="CL69" i="34"/>
  <c r="CL54" i="34"/>
  <c r="CL64" i="34"/>
  <c r="CL94" i="34"/>
  <c r="CL53" i="34"/>
  <c r="CL63" i="34"/>
  <c r="CL83" i="34"/>
  <c r="CL90" i="34"/>
  <c r="CL51" i="34"/>
  <c r="CL87" i="34"/>
  <c r="CL66" i="34"/>
  <c r="CL93" i="34"/>
  <c r="CL71" i="34"/>
  <c r="CL50" i="34"/>
  <c r="CL58" i="34"/>
  <c r="CL79" i="34"/>
  <c r="CL92" i="34"/>
  <c r="CL86" i="34"/>
  <c r="CL62" i="34"/>
  <c r="CL61" i="34"/>
  <c r="CL84" i="34"/>
  <c r="CL91" i="34"/>
  <c r="CL78" i="34"/>
  <c r="CL65" i="34"/>
  <c r="CL72" i="34"/>
  <c r="CL96" i="34"/>
  <c r="CL76" i="34"/>
  <c r="CL95" i="34"/>
  <c r="CL81" i="34"/>
  <c r="CL88" i="34"/>
  <c r="CL73" i="34"/>
  <c r="CL85" i="34"/>
  <c r="CL57" i="34"/>
  <c r="CS77" i="34"/>
  <c r="CS96" i="34"/>
  <c r="CS78" i="34"/>
  <c r="CS75" i="34"/>
  <c r="CS69" i="34"/>
  <c r="CS64" i="34"/>
  <c r="CS58" i="34"/>
  <c r="CS84" i="34"/>
  <c r="CS91" i="34"/>
  <c r="CS81" i="34"/>
  <c r="CS52" i="34"/>
  <c r="CS90" i="34"/>
  <c r="CS76" i="34"/>
  <c r="CS50" i="34"/>
  <c r="CS66" i="34"/>
  <c r="CS56" i="34"/>
  <c r="CS70" i="34"/>
  <c r="CS67" i="34"/>
  <c r="CS61" i="34"/>
  <c r="CS94" i="34"/>
  <c r="CS54" i="34"/>
  <c r="CS93" i="34"/>
  <c r="CS80" i="34"/>
  <c r="CS82" i="34"/>
  <c r="CS79" i="34"/>
  <c r="CS73" i="34"/>
  <c r="CS68" i="34"/>
  <c r="CS62" i="34"/>
  <c r="CS53" i="34"/>
  <c r="CS63" i="34"/>
  <c r="CS85" i="34"/>
  <c r="CS59" i="34"/>
  <c r="CS87" i="34"/>
  <c r="CS83" i="34"/>
  <c r="CS51" i="34"/>
  <c r="CS95" i="34"/>
  <c r="CS86" i="34"/>
  <c r="CS74" i="34"/>
  <c r="CS71" i="34"/>
  <c r="CS65" i="34"/>
  <c r="CS60" i="34"/>
  <c r="CS92" i="34"/>
  <c r="CS55" i="34"/>
  <c r="CS88" i="34"/>
  <c r="CS72" i="34"/>
  <c r="CS57" i="34"/>
  <c r="CS89" i="34"/>
  <c r="CS635" i="2"/>
  <c r="CS646" i="2"/>
  <c r="CS663" i="2"/>
  <c r="CS626" i="2"/>
  <c r="CS656" i="2"/>
  <c r="CS636" i="2"/>
  <c r="CS632" i="2"/>
  <c r="CS644" i="2"/>
  <c r="CS624" i="2"/>
  <c r="CS645" i="2"/>
  <c r="CS639" i="2"/>
  <c r="CS648" i="2"/>
  <c r="CS655" i="2"/>
  <c r="CS629" i="2"/>
  <c r="CS653" i="2"/>
  <c r="CS658" i="2"/>
  <c r="CS640" i="2"/>
  <c r="CS662" i="2"/>
  <c r="CS625" i="2"/>
  <c r="CS651" i="2"/>
  <c r="CS638" i="2"/>
  <c r="CS652" i="2"/>
  <c r="CS661" i="2"/>
  <c r="CS660" i="2"/>
  <c r="CS642" i="2"/>
  <c r="CS633" i="2"/>
  <c r="CS665" i="2"/>
  <c r="CS637" i="2"/>
  <c r="CS621" i="2"/>
  <c r="CS634" i="2"/>
  <c r="CS630" i="2"/>
  <c r="CS643" i="2"/>
  <c r="CS649" i="2"/>
  <c r="CS627" i="2"/>
  <c r="CS654" i="2"/>
  <c r="CS657" i="2"/>
  <c r="CS622" i="2"/>
  <c r="CS641" i="2"/>
  <c r="CS650" i="2"/>
  <c r="CS647" i="2"/>
  <c r="CS623" i="2"/>
  <c r="CS664" i="2"/>
  <c r="CS620" i="2"/>
  <c r="CS631" i="2"/>
  <c r="CS628" i="2"/>
  <c r="CS659" i="2"/>
  <c r="CS619" i="2"/>
  <c r="CJ663" i="2"/>
  <c r="CJ630" i="2"/>
  <c r="CJ636" i="2"/>
  <c r="CJ662" i="2"/>
  <c r="CJ627" i="2"/>
  <c r="CJ658" i="2"/>
  <c r="CJ660" i="2"/>
  <c r="CJ638" i="2"/>
  <c r="CJ649" i="2"/>
  <c r="CJ621" i="2"/>
  <c r="CJ648" i="2"/>
  <c r="CJ634" i="2"/>
  <c r="CJ620" i="2"/>
  <c r="CJ644" i="2"/>
  <c r="CJ654" i="2"/>
  <c r="CJ623" i="2"/>
  <c r="CJ619" i="2"/>
  <c r="CJ665" i="2"/>
  <c r="CJ622" i="2"/>
  <c r="CJ640" i="2"/>
  <c r="CJ639" i="2"/>
  <c r="CJ661" i="2"/>
  <c r="CJ642" i="2"/>
  <c r="CJ659" i="2"/>
  <c r="CJ637" i="2"/>
  <c r="CJ645" i="2"/>
  <c r="CJ625" i="2"/>
  <c r="CJ635" i="2"/>
  <c r="CJ653" i="2"/>
  <c r="CJ655" i="2"/>
  <c r="EB620" i="2"/>
  <c r="CJ650" i="2"/>
  <c r="CJ646" i="2"/>
  <c r="CJ664" i="2"/>
  <c r="CJ632" i="2"/>
  <c r="CJ626" i="2"/>
  <c r="CJ643" i="2"/>
  <c r="CJ631" i="2"/>
  <c r="CJ647" i="2"/>
  <c r="CJ652" i="2"/>
  <c r="CJ633" i="2"/>
  <c r="CJ656" i="2"/>
  <c r="CJ657" i="2"/>
  <c r="CJ651" i="2"/>
  <c r="CJ629" i="2"/>
  <c r="CJ641" i="2"/>
  <c r="CJ628" i="2"/>
  <c r="CJ624" i="2"/>
  <c r="CB86" i="34"/>
  <c r="CB83" i="34"/>
  <c r="CB65" i="34"/>
  <c r="CB96" i="34"/>
  <c r="CB92" i="34"/>
  <c r="CB95" i="34"/>
  <c r="CB72" i="34"/>
  <c r="CB90" i="34"/>
  <c r="CB62" i="34"/>
  <c r="CB84" i="34"/>
  <c r="CB75" i="34"/>
  <c r="CB57" i="34"/>
  <c r="CB54" i="34"/>
  <c r="CB58" i="34"/>
  <c r="CB73" i="34"/>
  <c r="CB70" i="34"/>
  <c r="CB82" i="34"/>
  <c r="CB94" i="34"/>
  <c r="CB77" i="34"/>
  <c r="CB74" i="34"/>
  <c r="CB53" i="34"/>
  <c r="CB64" i="34"/>
  <c r="CB87" i="34"/>
  <c r="CB67" i="34"/>
  <c r="CB52" i="34"/>
  <c r="CB56" i="34"/>
  <c r="CB50" i="34"/>
  <c r="CB69" i="34"/>
  <c r="CB76" i="34"/>
  <c r="CB91" i="34"/>
  <c r="CB85" i="34"/>
  <c r="CB60" i="34"/>
  <c r="CB55" i="34"/>
  <c r="CB66" i="34"/>
  <c r="CB79" i="34"/>
  <c r="CB59" i="34"/>
  <c r="CB89" i="34"/>
  <c r="CB81" i="34"/>
  <c r="CB88" i="34"/>
  <c r="CB61" i="34"/>
  <c r="CB78" i="34"/>
  <c r="CB93" i="34"/>
  <c r="CB68" i="34"/>
  <c r="CB71" i="34"/>
  <c r="CB51" i="34"/>
  <c r="CB80" i="34"/>
  <c r="CB63" i="34"/>
  <c r="CI71" i="34"/>
  <c r="CI82" i="34"/>
  <c r="CI75" i="34"/>
  <c r="CI85" i="34"/>
  <c r="CI57" i="34"/>
  <c r="CI84" i="34"/>
  <c r="CI53" i="34"/>
  <c r="CI88" i="34"/>
  <c r="CI72" i="34"/>
  <c r="CI59" i="34"/>
  <c r="CI68" i="34"/>
  <c r="CI65" i="34"/>
  <c r="CI56" i="34"/>
  <c r="CI95" i="34"/>
  <c r="CI80" i="34"/>
  <c r="CI73" i="34"/>
  <c r="CI91" i="34"/>
  <c r="CI50" i="34"/>
  <c r="CI55" i="34"/>
  <c r="CI83" i="34"/>
  <c r="CI76" i="34"/>
  <c r="CI78" i="34"/>
  <c r="CI81" i="34"/>
  <c r="CI69" i="34"/>
  <c r="CI79" i="34"/>
  <c r="CI93" i="34"/>
  <c r="CI52" i="34"/>
  <c r="CI51" i="34"/>
  <c r="CI96" i="34"/>
  <c r="CI86" i="34"/>
  <c r="CI90" i="34"/>
  <c r="CI58" i="34"/>
  <c r="CI94" i="34"/>
  <c r="CI62" i="34"/>
  <c r="CI66" i="34"/>
  <c r="CI89" i="34"/>
  <c r="CI63" i="34"/>
  <c r="CI67" i="34"/>
  <c r="EA50" i="34"/>
  <c r="CI87" i="34"/>
  <c r="CI60" i="34"/>
  <c r="CI92" i="34"/>
  <c r="CI77" i="34"/>
  <c r="CI70" i="34"/>
  <c r="CM70" i="34" s="1"/>
  <c r="DW65" i="34" s="1"/>
  <c r="CI64" i="34"/>
  <c r="CI54" i="34"/>
  <c r="CI74" i="34"/>
  <c r="CI61" i="34"/>
  <c r="CC619" i="2"/>
  <c r="CC620" i="2" s="1"/>
  <c r="CC621" i="2" s="1"/>
  <c r="CC622" i="2" s="1"/>
  <c r="CC623" i="2" s="1"/>
  <c r="CC624" i="2" s="1"/>
  <c r="CC625" i="2" s="1"/>
  <c r="CC626" i="2" s="1"/>
  <c r="CC627" i="2" s="1"/>
  <c r="CC628" i="2" s="1"/>
  <c r="CC629" i="2" s="1"/>
  <c r="CC630" i="2" s="1"/>
  <c r="CC631" i="2" s="1"/>
  <c r="CC632" i="2" s="1"/>
  <c r="CC633" i="2" s="1"/>
  <c r="CC634" i="2" s="1"/>
  <c r="CC635" i="2" s="1"/>
  <c r="CC636" i="2" s="1"/>
  <c r="CC637" i="2" s="1"/>
  <c r="CC638" i="2" s="1"/>
  <c r="CC639" i="2" s="1"/>
  <c r="CC640" i="2" s="1"/>
  <c r="CC641" i="2" s="1"/>
  <c r="CC642" i="2" s="1"/>
  <c r="CC643" i="2" s="1"/>
  <c r="CC644" i="2" s="1"/>
  <c r="CC645" i="2" s="1"/>
  <c r="CC646" i="2" s="1"/>
  <c r="CC647" i="2" s="1"/>
  <c r="CC648" i="2" s="1"/>
  <c r="CC649" i="2" s="1"/>
  <c r="CC650" i="2" s="1"/>
  <c r="CC651" i="2" s="1"/>
  <c r="CC652" i="2" s="1"/>
  <c r="CC653" i="2" s="1"/>
  <c r="CC654" i="2" s="1"/>
  <c r="CC655" i="2" s="1"/>
  <c r="CC656" i="2" s="1"/>
  <c r="CC657" i="2" s="1"/>
  <c r="CC658" i="2" s="1"/>
  <c r="CC659" i="2" s="1"/>
  <c r="CC660" i="2" s="1"/>
  <c r="CC661" i="2" s="1"/>
  <c r="CC662" i="2" s="1"/>
  <c r="CC663" i="2" s="1"/>
  <c r="CC664" i="2" s="1"/>
  <c r="CC665" i="2" s="1"/>
  <c r="CI649" i="2"/>
  <c r="CM649" i="2" s="1"/>
  <c r="DW644" i="2" s="1"/>
  <c r="CI643" i="2"/>
  <c r="CI659" i="2"/>
  <c r="CI628" i="2"/>
  <c r="CI641" i="2"/>
  <c r="CI629" i="2"/>
  <c r="CI630" i="2"/>
  <c r="EA620" i="2"/>
  <c r="CI620" i="2"/>
  <c r="CI639" i="2"/>
  <c r="CI646" i="2"/>
  <c r="CI660" i="2"/>
  <c r="CI623" i="2"/>
  <c r="CI625" i="2"/>
  <c r="CI658" i="2"/>
  <c r="CI651" i="2"/>
  <c r="CI627" i="2"/>
  <c r="CI626" i="2"/>
  <c r="CI663" i="2"/>
  <c r="CI661" i="2"/>
  <c r="CI655" i="2"/>
  <c r="CI621" i="2"/>
  <c r="CM621" i="2" s="1"/>
  <c r="DW616" i="2" s="1"/>
  <c r="CI656" i="2"/>
  <c r="CI665" i="2"/>
  <c r="CI642" i="2"/>
  <c r="CI624" i="2"/>
  <c r="CI647" i="2"/>
  <c r="CI636" i="2"/>
  <c r="CI664" i="2"/>
  <c r="CI648" i="2"/>
  <c r="CI635" i="2"/>
  <c r="CI652" i="2"/>
  <c r="CI645" i="2"/>
  <c r="CI634" i="2"/>
  <c r="CI657" i="2"/>
  <c r="CI638" i="2"/>
  <c r="CI650" i="2"/>
  <c r="CI619" i="2"/>
  <c r="CI632" i="2"/>
  <c r="CM632" i="2" s="1"/>
  <c r="DW627" i="2" s="1"/>
  <c r="CI644" i="2"/>
  <c r="CI633" i="2"/>
  <c r="CI622" i="2"/>
  <c r="CI637" i="2"/>
  <c r="CI640" i="2"/>
  <c r="CI662" i="2"/>
  <c r="CI653" i="2"/>
  <c r="CI631" i="2"/>
  <c r="CI654" i="2"/>
  <c r="EA621" i="2"/>
  <c r="EC621" i="2"/>
  <c r="AM181" i="8"/>
  <c r="AN181" i="8" s="1"/>
  <c r="AG123" i="3"/>
  <c r="AG122" i="8"/>
  <c r="BI49" i="31"/>
  <c r="BE49" i="31"/>
  <c r="BF49" i="31"/>
  <c r="BD49" i="31"/>
  <c r="BP31" i="31"/>
  <c r="BN31" i="31"/>
  <c r="BO31" i="31" s="1"/>
  <c r="G75" i="4"/>
  <c r="H124" i="36"/>
  <c r="AE178" i="40" s="1"/>
  <c r="AW178" i="40" s="1"/>
  <c r="S178" i="8"/>
  <c r="T178" i="8" s="1"/>
  <c r="AY177" i="8"/>
  <c r="R74" i="4"/>
  <c r="V74" i="4" s="1"/>
  <c r="AK120" i="8"/>
  <c r="AE177" i="3"/>
  <c r="AW177" i="3" s="1"/>
  <c r="J13" i="36"/>
  <c r="R124" i="3"/>
  <c r="AN71" i="3"/>
  <c r="AH122" i="8"/>
  <c r="AE177" i="6"/>
  <c r="AW177" i="6" s="1"/>
  <c r="J68" i="36"/>
  <c r="BF20" i="3"/>
  <c r="AE25" i="9"/>
  <c r="AN20" i="3"/>
  <c r="BG20" i="3" s="1"/>
  <c r="AF20" i="3"/>
  <c r="AE20" i="3"/>
  <c r="AD20" i="3"/>
  <c r="AG20" i="3"/>
  <c r="AC20" i="3"/>
  <c r="AB73" i="3"/>
  <c r="CD557" i="2"/>
  <c r="CD570" i="2"/>
  <c r="CD580" i="2"/>
  <c r="CD565" i="2"/>
  <c r="CD558" i="2"/>
  <c r="CD579" i="2"/>
  <c r="CD598" i="2"/>
  <c r="CD587" i="2"/>
  <c r="CD561" i="2"/>
  <c r="CD554" i="2"/>
  <c r="CD584" i="2"/>
  <c r="CD556" i="2"/>
  <c r="CM453" i="2"/>
  <c r="DW448" i="2" s="1"/>
  <c r="CM434" i="2"/>
  <c r="DW429" i="2" s="1"/>
  <c r="CM456" i="2"/>
  <c r="DW451" i="2" s="1"/>
  <c r="CM440" i="2"/>
  <c r="DW435" i="2" s="1"/>
  <c r="CM444" i="2"/>
  <c r="DW439" i="2" s="1"/>
  <c r="CM439" i="2"/>
  <c r="DW434" i="2" s="1"/>
  <c r="CM459" i="2"/>
  <c r="DW454" i="2" s="1"/>
  <c r="CM431" i="2"/>
  <c r="DW426" i="2" s="1"/>
  <c r="CT405" i="2"/>
  <c r="CT366" i="2"/>
  <c r="CT369" i="2"/>
  <c r="CT375" i="2"/>
  <c r="CT395" i="2"/>
  <c r="CT407" i="2"/>
  <c r="CT378" i="2"/>
  <c r="CT389" i="2"/>
  <c r="CT386" i="2"/>
  <c r="CT383" i="2"/>
  <c r="CT400" i="2"/>
  <c r="CT372" i="2"/>
  <c r="CD388" i="2"/>
  <c r="CM243" i="2"/>
  <c r="DW238" i="2" s="1"/>
  <c r="CM283" i="2"/>
  <c r="DW278" i="2" s="1"/>
  <c r="CM281" i="2"/>
  <c r="DW276" i="2" s="1"/>
  <c r="CM251" i="2"/>
  <c r="DW246" i="2" s="1"/>
  <c r="CM247" i="2"/>
  <c r="DW242" i="2" s="1"/>
  <c r="CM280" i="2"/>
  <c r="DW275" i="2" s="1"/>
  <c r="CM267" i="2"/>
  <c r="DW262" i="2" s="1"/>
  <c r="CM249" i="2"/>
  <c r="DW244" i="2" s="1"/>
  <c r="CM258" i="2"/>
  <c r="DW253" i="2" s="1"/>
  <c r="CM254" i="2"/>
  <c r="DW249" i="2" s="1"/>
  <c r="CM272" i="2"/>
  <c r="DW267" i="2" s="1"/>
  <c r="CM240" i="2"/>
  <c r="DW235" i="2" s="1"/>
  <c r="CT493" i="34"/>
  <c r="CT510" i="34"/>
  <c r="CT496" i="34"/>
  <c r="CT508" i="34"/>
  <c r="CT501" i="34"/>
  <c r="CT494" i="34"/>
  <c r="CT491" i="34"/>
  <c r="CT513" i="34"/>
  <c r="CT515" i="34"/>
  <c r="CM214" i="2"/>
  <c r="DW209" i="2" s="1"/>
  <c r="CM210" i="2"/>
  <c r="DW205" i="2" s="1"/>
  <c r="CM189" i="2"/>
  <c r="DW184" i="2" s="1"/>
  <c r="CM208" i="2"/>
  <c r="DW203" i="2" s="1"/>
  <c r="CM179" i="2"/>
  <c r="DW174" i="2" s="1"/>
  <c r="CM187" i="2"/>
  <c r="DW182" i="2" s="1"/>
  <c r="CM175" i="2"/>
  <c r="DW170" i="2" s="1"/>
  <c r="CM191" i="2"/>
  <c r="DW186" i="2" s="1"/>
  <c r="CM204" i="2"/>
  <c r="DW199" i="2" s="1"/>
  <c r="CM185" i="2"/>
  <c r="DW180" i="2" s="1"/>
  <c r="CM199" i="2"/>
  <c r="DW194" i="2" s="1"/>
  <c r="CM203" i="2"/>
  <c r="DW198" i="2" s="1"/>
  <c r="CT434" i="2"/>
  <c r="CT437" i="2"/>
  <c r="CT463" i="2"/>
  <c r="CT459" i="2"/>
  <c r="CT432" i="2"/>
  <c r="CT442" i="2"/>
  <c r="CT448" i="2"/>
  <c r="CT465" i="2"/>
  <c r="CT472" i="2"/>
  <c r="CT429" i="2"/>
  <c r="CT460" i="2"/>
  <c r="CM570" i="2"/>
  <c r="DW565" i="2" s="1"/>
  <c r="CM583" i="2"/>
  <c r="DW578" i="2" s="1"/>
  <c r="CM568" i="2"/>
  <c r="DW563" i="2" s="1"/>
  <c r="CM575" i="2"/>
  <c r="DW570" i="2" s="1"/>
  <c r="CM560" i="2"/>
  <c r="DW555" i="2" s="1"/>
  <c r="CM571" i="2"/>
  <c r="DW566" i="2" s="1"/>
  <c r="CM584" i="2"/>
  <c r="DW579" i="2" s="1"/>
  <c r="CM561" i="2"/>
  <c r="DW556" i="2" s="1"/>
  <c r="CM511" i="2"/>
  <c r="DW506" i="2" s="1"/>
  <c r="CM504" i="2"/>
  <c r="DW499" i="2" s="1"/>
  <c r="CM491" i="2"/>
  <c r="DW486" i="2" s="1"/>
  <c r="CM534" i="2"/>
  <c r="DW529" i="2" s="1"/>
  <c r="CM522" i="2"/>
  <c r="DW517" i="2" s="1"/>
  <c r="CM526" i="2"/>
  <c r="DW521" i="2" s="1"/>
  <c r="CM536" i="2"/>
  <c r="DW531" i="2" s="1"/>
  <c r="CM495" i="2"/>
  <c r="DW490" i="2" s="1"/>
  <c r="CM523" i="2"/>
  <c r="DW518" i="2" s="1"/>
  <c r="CM501" i="2"/>
  <c r="DW496" i="2" s="1"/>
  <c r="CM525" i="2"/>
  <c r="DW520" i="2" s="1"/>
  <c r="CM499" i="2"/>
  <c r="DW494" i="2" s="1"/>
  <c r="CT123" i="2"/>
  <c r="CT155" i="2"/>
  <c r="CT140" i="2"/>
  <c r="CT125" i="2"/>
  <c r="CT148" i="2"/>
  <c r="CT147" i="2"/>
  <c r="CT156" i="2"/>
  <c r="CT137" i="2"/>
  <c r="CT144" i="2"/>
  <c r="CT121" i="2"/>
  <c r="CT145" i="2"/>
  <c r="CD302" i="2"/>
  <c r="CD306" i="2"/>
  <c r="CD341" i="2"/>
  <c r="CD310" i="2"/>
  <c r="CD332" i="2"/>
  <c r="CD327" i="2"/>
  <c r="CD300" i="2"/>
  <c r="CD337" i="2"/>
  <c r="CD305" i="2"/>
  <c r="CD317" i="2"/>
  <c r="CD335" i="2"/>
  <c r="CD314" i="2"/>
  <c r="CM580" i="2"/>
  <c r="DW575" i="2" s="1"/>
  <c r="CM596" i="2"/>
  <c r="DW591" i="2" s="1"/>
  <c r="CT562" i="2"/>
  <c r="CT585" i="2"/>
  <c r="CT566" i="2"/>
  <c r="CT590" i="2"/>
  <c r="CT589" i="2"/>
  <c r="CT596" i="2"/>
  <c r="CT599" i="2"/>
  <c r="CT557" i="2"/>
  <c r="CT578" i="2"/>
  <c r="CT592" i="2"/>
  <c r="CM371" i="2"/>
  <c r="DW366" i="2" s="1"/>
  <c r="CM379" i="2"/>
  <c r="DW374" i="2" s="1"/>
  <c r="CM384" i="2"/>
  <c r="DW379" i="2" s="1"/>
  <c r="CM382" i="2"/>
  <c r="DW377" i="2" s="1"/>
  <c r="CM378" i="2"/>
  <c r="DW373" i="2" s="1"/>
  <c r="CM406" i="2"/>
  <c r="DW401" i="2" s="1"/>
  <c r="CM375" i="2"/>
  <c r="DW370" i="2" s="1"/>
  <c r="CM366" i="2"/>
  <c r="DW361" i="2" s="1"/>
  <c r="CM408" i="2"/>
  <c r="DW403" i="2" s="1"/>
  <c r="CM409" i="2"/>
  <c r="DW404" i="2" s="1"/>
  <c r="CM365" i="2"/>
  <c r="DW360" i="2" s="1"/>
  <c r="CM407" i="2"/>
  <c r="DW402" i="2" s="1"/>
  <c r="CM146" i="2"/>
  <c r="DW141" i="2" s="1"/>
  <c r="CM130" i="2"/>
  <c r="DW125" i="2" s="1"/>
  <c r="CM123" i="2"/>
  <c r="DW118" i="2" s="1"/>
  <c r="CM126" i="2"/>
  <c r="DW121" i="2" s="1"/>
  <c r="CM110" i="2"/>
  <c r="DW105" i="2" s="1"/>
  <c r="CM136" i="2"/>
  <c r="DW131" i="2" s="1"/>
  <c r="CM154" i="2"/>
  <c r="DW149" i="2" s="1"/>
  <c r="CM147" i="2"/>
  <c r="DW142" i="2" s="1"/>
  <c r="CM112" i="2"/>
  <c r="DW107" i="2" s="1"/>
  <c r="CM151" i="2"/>
  <c r="DW146" i="2" s="1"/>
  <c r="CM149" i="2"/>
  <c r="DW144" i="2" s="1"/>
  <c r="CM131" i="2"/>
  <c r="DW126" i="2" s="1"/>
  <c r="CM513" i="34"/>
  <c r="DW508" i="34" s="1"/>
  <c r="CM504" i="34"/>
  <c r="DW499" i="34" s="1"/>
  <c r="CM499" i="34"/>
  <c r="DW494" i="34" s="1"/>
  <c r="CM501" i="34"/>
  <c r="DW496" i="34" s="1"/>
  <c r="CM512" i="34"/>
  <c r="DW507" i="34" s="1"/>
  <c r="CM526" i="34"/>
  <c r="DW521" i="34" s="1"/>
  <c r="CM507" i="34"/>
  <c r="DW502" i="34" s="1"/>
  <c r="CM529" i="34"/>
  <c r="DW524" i="34" s="1"/>
  <c r="CM490" i="34"/>
  <c r="DW485" i="34" s="1"/>
  <c r="CM519" i="34"/>
  <c r="DW514" i="34" s="1"/>
  <c r="CM521" i="34"/>
  <c r="DW516" i="34" s="1"/>
  <c r="CM518" i="34"/>
  <c r="DW513" i="34" s="1"/>
  <c r="CD201" i="2"/>
  <c r="CD183" i="2"/>
  <c r="CD212" i="2"/>
  <c r="CD194" i="2"/>
  <c r="CD200" i="2"/>
  <c r="CD198" i="2"/>
  <c r="CD192" i="2"/>
  <c r="CD188" i="2"/>
  <c r="CD179" i="2"/>
  <c r="CD181" i="2"/>
  <c r="CD207" i="2"/>
  <c r="CD203" i="2"/>
  <c r="CD427" i="2"/>
  <c r="CD428" i="2"/>
  <c r="AN35" i="31"/>
  <c r="AM36" i="31"/>
  <c r="BK33" i="31"/>
  <c r="BL32" i="31"/>
  <c r="AZ32" i="31"/>
  <c r="AW32" i="31"/>
  <c r="AV32" i="31"/>
  <c r="Z123" i="6"/>
  <c r="AA180" i="6"/>
  <c r="AC123" i="6"/>
  <c r="C68" i="11"/>
  <c r="D68" i="11" s="1"/>
  <c r="E68" i="11" s="1"/>
  <c r="AM72" i="6"/>
  <c r="AE72" i="6"/>
  <c r="O180" i="8"/>
  <c r="B126" i="43" s="1"/>
  <c r="D126" i="43" s="1"/>
  <c r="E126" i="43" s="1"/>
  <c r="H126" i="43" s="1"/>
  <c r="J126" i="43" s="1"/>
  <c r="Y123" i="8"/>
  <c r="AB123" i="8" s="1"/>
  <c r="C17" i="11"/>
  <c r="D17" i="11" s="1"/>
  <c r="E17" i="11" s="1"/>
  <c r="AM72" i="3"/>
  <c r="AE72" i="3"/>
  <c r="L123" i="8"/>
  <c r="M123" i="8"/>
  <c r="H124" i="8"/>
  <c r="AC181" i="8"/>
  <c r="AU181" i="8" s="1"/>
  <c r="K124" i="8"/>
  <c r="V124" i="8"/>
  <c r="AA124" i="8" s="1"/>
  <c r="BS33" i="31"/>
  <c r="BT32" i="31"/>
  <c r="BV32" i="31" s="1"/>
  <c r="BW32" i="31" s="1"/>
  <c r="AO177" i="6"/>
  <c r="AP177" i="6" s="1"/>
  <c r="V177" i="6"/>
  <c r="M19" i="11"/>
  <c r="AB21" i="8"/>
  <c r="AB21" i="6"/>
  <c r="AB21" i="3"/>
  <c r="CD582" i="2"/>
  <c r="CD563" i="2"/>
  <c r="CD599" i="2"/>
  <c r="CD569" i="2"/>
  <c r="CD600" i="2"/>
  <c r="CD581" i="2"/>
  <c r="CD562" i="2"/>
  <c r="CD573" i="2"/>
  <c r="CD585" i="2"/>
  <c r="CD559" i="2"/>
  <c r="CD564" i="2"/>
  <c r="CM469" i="2"/>
  <c r="DW464" i="2" s="1"/>
  <c r="CM454" i="2"/>
  <c r="DW449" i="2" s="1"/>
  <c r="CM442" i="2"/>
  <c r="DW437" i="2" s="1"/>
  <c r="CM437" i="2"/>
  <c r="DW432" i="2" s="1"/>
  <c r="CM441" i="2"/>
  <c r="DW436" i="2" s="1"/>
  <c r="CT380" i="2"/>
  <c r="CT385" i="2"/>
  <c r="CT393" i="2"/>
  <c r="CT403" i="2"/>
  <c r="CT376" i="2"/>
  <c r="CT402" i="2"/>
  <c r="CT370" i="2"/>
  <c r="CT388" i="2"/>
  <c r="CT391" i="2"/>
  <c r="CT377" i="2"/>
  <c r="CT365" i="2"/>
  <c r="CM262" i="2"/>
  <c r="DW257" i="2" s="1"/>
  <c r="CM263" i="2"/>
  <c r="DW258" i="2" s="1"/>
  <c r="CM246" i="2"/>
  <c r="DW241" i="2" s="1"/>
  <c r="CM241" i="2"/>
  <c r="DW236" i="2" s="1"/>
  <c r="CM271" i="2"/>
  <c r="DW266" i="2" s="1"/>
  <c r="CM275" i="2"/>
  <c r="DW270" i="2" s="1"/>
  <c r="CM270" i="2"/>
  <c r="DW265" i="2" s="1"/>
  <c r="CM273" i="2"/>
  <c r="DW268" i="2" s="1"/>
  <c r="CM261" i="2"/>
  <c r="DW256" i="2" s="1"/>
  <c r="CM256" i="2"/>
  <c r="DW251" i="2" s="1"/>
  <c r="CM253" i="2"/>
  <c r="DW248" i="2" s="1"/>
  <c r="CM238" i="2"/>
  <c r="DW233" i="2" s="1"/>
  <c r="CT527" i="34"/>
  <c r="CT507" i="34"/>
  <c r="CT503" i="34"/>
  <c r="CT504" i="34"/>
  <c r="CT521" i="34"/>
  <c r="CT505" i="34"/>
  <c r="CT533" i="34"/>
  <c r="CT530" i="34"/>
  <c r="CT514" i="34"/>
  <c r="CM201" i="2"/>
  <c r="DW196" i="2" s="1"/>
  <c r="CM194" i="2"/>
  <c r="DW189" i="2" s="1"/>
  <c r="CM205" i="2"/>
  <c r="DW200" i="2" s="1"/>
  <c r="CM220" i="2"/>
  <c r="DW215" i="2" s="1"/>
  <c r="CM209" i="2"/>
  <c r="DW204" i="2" s="1"/>
  <c r="CM188" i="2"/>
  <c r="DW183" i="2" s="1"/>
  <c r="CM176" i="2"/>
  <c r="DW171" i="2" s="1"/>
  <c r="CM195" i="2"/>
  <c r="DW190" i="2" s="1"/>
  <c r="CM181" i="2"/>
  <c r="DW176" i="2" s="1"/>
  <c r="CM211" i="2"/>
  <c r="DW206" i="2" s="1"/>
  <c r="CM218" i="2"/>
  <c r="DW213" i="2" s="1"/>
  <c r="CT456" i="2"/>
  <c r="CT449" i="2"/>
  <c r="CT457" i="2"/>
  <c r="CT453" i="2"/>
  <c r="CT452" i="2"/>
  <c r="CT451" i="2"/>
  <c r="CT445" i="2"/>
  <c r="CT440" i="2"/>
  <c r="CT468" i="2"/>
  <c r="CT470" i="2"/>
  <c r="CT427" i="2"/>
  <c r="CT444" i="2"/>
  <c r="CM567" i="2"/>
  <c r="DW562" i="2" s="1"/>
  <c r="CM594" i="2"/>
  <c r="DW589" i="2" s="1"/>
  <c r="CM562" i="2"/>
  <c r="DW557" i="2" s="1"/>
  <c r="CM573" i="2"/>
  <c r="DW568" i="2" s="1"/>
  <c r="CM595" i="2"/>
  <c r="DW590" i="2" s="1"/>
  <c r="CM563" i="2"/>
  <c r="DW558" i="2" s="1"/>
  <c r="CM557" i="2"/>
  <c r="DW552" i="2" s="1"/>
  <c r="CM585" i="2"/>
  <c r="DW580" i="2" s="1"/>
  <c r="CM527" i="2"/>
  <c r="DW522" i="2" s="1"/>
  <c r="CM492" i="2"/>
  <c r="DW487" i="2" s="1"/>
  <c r="CM507" i="2"/>
  <c r="DW502" i="2" s="1"/>
  <c r="CM502" i="2"/>
  <c r="DW497" i="2" s="1"/>
  <c r="CM533" i="2"/>
  <c r="DW528" i="2" s="1"/>
  <c r="CM494" i="2"/>
  <c r="DW489" i="2" s="1"/>
  <c r="CM521" i="2"/>
  <c r="DW516" i="2" s="1"/>
  <c r="CM493" i="2"/>
  <c r="DW488" i="2" s="1"/>
  <c r="CM517" i="2"/>
  <c r="DW512" i="2" s="1"/>
  <c r="CM512" i="2"/>
  <c r="DW507" i="2" s="1"/>
  <c r="CM514" i="2"/>
  <c r="DW509" i="2" s="1"/>
  <c r="CM515" i="2"/>
  <c r="DW510" i="2" s="1"/>
  <c r="CT153" i="2"/>
  <c r="CT152" i="2"/>
  <c r="CT150" i="2"/>
  <c r="CT115" i="2"/>
  <c r="CT114" i="2"/>
  <c r="CT113" i="2"/>
  <c r="CT141" i="2"/>
  <c r="CT128" i="2"/>
  <c r="CT138" i="2"/>
  <c r="CT143" i="2"/>
  <c r="CT122" i="2"/>
  <c r="CT117" i="2"/>
  <c r="CD344" i="2"/>
  <c r="CD304" i="2"/>
  <c r="CD303" i="2"/>
  <c r="CD336" i="2"/>
  <c r="CD313" i="2"/>
  <c r="CD322" i="2"/>
  <c r="CD307" i="2"/>
  <c r="CD315" i="2"/>
  <c r="CD311" i="2"/>
  <c r="CD340" i="2"/>
  <c r="CD334" i="2"/>
  <c r="CD339" i="2"/>
  <c r="CM554" i="2"/>
  <c r="DW549" i="2" s="1"/>
  <c r="CM587" i="2"/>
  <c r="DW582" i="2" s="1"/>
  <c r="CM566" i="2"/>
  <c r="DW561" i="2" s="1"/>
  <c r="CM600" i="2"/>
  <c r="DW595" i="2" s="1"/>
  <c r="CT595" i="2"/>
  <c r="CT556" i="2"/>
  <c r="CT600" i="2"/>
  <c r="CT567" i="2"/>
  <c r="CT591" i="2"/>
  <c r="CT560" i="2"/>
  <c r="CT572" i="2"/>
  <c r="CT582" i="2"/>
  <c r="CT576" i="2"/>
  <c r="CT569" i="2"/>
  <c r="CT588" i="2"/>
  <c r="CM403" i="2"/>
  <c r="DW398" i="2" s="1"/>
  <c r="CM389" i="2"/>
  <c r="DW384" i="2" s="1"/>
  <c r="CM393" i="2"/>
  <c r="DW388" i="2" s="1"/>
  <c r="CM367" i="2"/>
  <c r="DW362" i="2" s="1"/>
  <c r="CM397" i="2"/>
  <c r="DW392" i="2" s="1"/>
  <c r="CM372" i="2"/>
  <c r="DW367" i="2" s="1"/>
  <c r="CM385" i="2"/>
  <c r="DW380" i="2" s="1"/>
  <c r="CM387" i="2"/>
  <c r="DW382" i="2" s="1"/>
  <c r="CM376" i="2"/>
  <c r="DW371" i="2" s="1"/>
  <c r="CM401" i="2"/>
  <c r="DW396" i="2" s="1"/>
  <c r="CM388" i="2"/>
  <c r="DW383" i="2" s="1"/>
  <c r="CM369" i="2"/>
  <c r="DW364" i="2" s="1"/>
  <c r="CM133" i="2"/>
  <c r="DW128" i="2" s="1"/>
  <c r="CM117" i="2"/>
  <c r="DW112" i="2" s="1"/>
  <c r="CM127" i="2"/>
  <c r="DW122" i="2" s="1"/>
  <c r="CM143" i="2"/>
  <c r="DW138" i="2" s="1"/>
  <c r="CM139" i="2"/>
  <c r="DW134" i="2" s="1"/>
  <c r="CM137" i="2"/>
  <c r="DW132" i="2" s="1"/>
  <c r="CM111" i="2"/>
  <c r="DW106" i="2" s="1"/>
  <c r="CM114" i="2"/>
  <c r="DW109" i="2" s="1"/>
  <c r="CM124" i="2"/>
  <c r="DW119" i="2" s="1"/>
  <c r="CM125" i="2"/>
  <c r="DW120" i="2" s="1"/>
  <c r="CM129" i="2"/>
  <c r="DW124" i="2" s="1"/>
  <c r="CM118" i="2"/>
  <c r="DW113" i="2" s="1"/>
  <c r="CT339" i="2"/>
  <c r="CT332" i="2"/>
  <c r="CM530" i="34"/>
  <c r="DW525" i="34" s="1"/>
  <c r="CM492" i="34"/>
  <c r="DW487" i="34" s="1"/>
  <c r="CM497" i="34"/>
  <c r="DW492" i="34" s="1"/>
  <c r="CM506" i="34"/>
  <c r="DW501" i="34" s="1"/>
  <c r="CM525" i="34"/>
  <c r="DW520" i="34" s="1"/>
  <c r="CM532" i="34"/>
  <c r="DW527" i="34" s="1"/>
  <c r="CM522" i="34"/>
  <c r="DW517" i="34" s="1"/>
  <c r="CM520" i="34"/>
  <c r="DW515" i="34" s="1"/>
  <c r="CM527" i="34"/>
  <c r="DW522" i="34" s="1"/>
  <c r="CM528" i="34"/>
  <c r="DW523" i="34" s="1"/>
  <c r="CM494" i="34"/>
  <c r="DW489" i="34" s="1"/>
  <c r="CM503" i="34"/>
  <c r="DW498" i="34" s="1"/>
  <c r="CD208" i="2"/>
  <c r="CD220" i="2"/>
  <c r="CD202" i="2"/>
  <c r="CD216" i="2"/>
  <c r="CD211" i="2"/>
  <c r="CD175" i="2"/>
  <c r="CD199" i="2"/>
  <c r="CD210" i="2"/>
  <c r="CD193" i="2"/>
  <c r="CD189" i="2"/>
  <c r="CD214" i="2"/>
  <c r="CD195" i="2"/>
  <c r="CD426" i="2"/>
  <c r="G76" i="4"/>
  <c r="AE122" i="38" s="1"/>
  <c r="AY179" i="38" s="1"/>
  <c r="AR34" i="31"/>
  <c r="AO34" i="31"/>
  <c r="AQ34" i="31" s="1"/>
  <c r="CL29" i="31" s="1"/>
  <c r="C119" i="11"/>
  <c r="D119" i="11" s="1"/>
  <c r="E119" i="11" s="1"/>
  <c r="AM72" i="8"/>
  <c r="AE72" i="8"/>
  <c r="S178" i="3"/>
  <c r="T178" i="3" s="1"/>
  <c r="V178" i="3" s="1"/>
  <c r="H14" i="36"/>
  <c r="AE178" i="38" s="1"/>
  <c r="AW178" i="38" s="1"/>
  <c r="AK120" i="6"/>
  <c r="K74" i="4"/>
  <c r="O74" i="4" s="1"/>
  <c r="AY177" i="6"/>
  <c r="AU33" i="31"/>
  <c r="AT34" i="31"/>
  <c r="N123" i="6"/>
  <c r="L123" i="6"/>
  <c r="M123" i="6"/>
  <c r="Z123" i="3"/>
  <c r="AA180" i="3"/>
  <c r="AC123" i="3"/>
  <c r="R124" i="6"/>
  <c r="AN71" i="6"/>
  <c r="AC181" i="6"/>
  <c r="AU181" i="6" s="1"/>
  <c r="H124" i="6"/>
  <c r="V124" i="6"/>
  <c r="K124" i="6"/>
  <c r="J67" i="36"/>
  <c r="AE176" i="6"/>
  <c r="AW176" i="6" s="1"/>
  <c r="V177" i="8"/>
  <c r="AC123" i="8"/>
  <c r="AA180" i="8"/>
  <c r="Z123" i="8"/>
  <c r="CT26" i="31"/>
  <c r="S124" i="8"/>
  <c r="AN71" i="8"/>
  <c r="N124" i="8"/>
  <c r="AF122" i="8"/>
  <c r="S178" i="6"/>
  <c r="T178" i="6" s="1"/>
  <c r="H69" i="36"/>
  <c r="AE178" i="39" s="1"/>
  <c r="AW178" i="39" s="1"/>
  <c r="AN20" i="6"/>
  <c r="BG20" i="6" s="1"/>
  <c r="BF20" i="6"/>
  <c r="AB73" i="6"/>
  <c r="CD596" i="2"/>
  <c r="CD595" i="2"/>
  <c r="CD586" i="2"/>
  <c r="CD591" i="2"/>
  <c r="CD560" i="2"/>
  <c r="CD576" i="2"/>
  <c r="CD568" i="2"/>
  <c r="CD567" i="2"/>
  <c r="CD590" i="2"/>
  <c r="CD583" i="2"/>
  <c r="CD571" i="2"/>
  <c r="CD588" i="2"/>
  <c r="CM452" i="2"/>
  <c r="DW447" i="2" s="1"/>
  <c r="CM464" i="2"/>
  <c r="DW459" i="2" s="1"/>
  <c r="CM467" i="2"/>
  <c r="DW462" i="2" s="1"/>
  <c r="CM457" i="2"/>
  <c r="DW452" i="2" s="1"/>
  <c r="CM436" i="2"/>
  <c r="DW431" i="2" s="1"/>
  <c r="CM428" i="2"/>
  <c r="DW423" i="2" s="1"/>
  <c r="CM443" i="2"/>
  <c r="DW438" i="2" s="1"/>
  <c r="CM447" i="2"/>
  <c r="DW442" i="2" s="1"/>
  <c r="CM468" i="2"/>
  <c r="DW463" i="2" s="1"/>
  <c r="CM472" i="2"/>
  <c r="DW467" i="2" s="1"/>
  <c r="CM466" i="2"/>
  <c r="DW461" i="2" s="1"/>
  <c r="CT381" i="2"/>
  <c r="CT409" i="2"/>
  <c r="CT394" i="2"/>
  <c r="CT374" i="2"/>
  <c r="CT367" i="2"/>
  <c r="CT364" i="2"/>
  <c r="CT398" i="2"/>
  <c r="CT371" i="2"/>
  <c r="CT390" i="2"/>
  <c r="CT368" i="2"/>
  <c r="CT392" i="2"/>
  <c r="CT363" i="2"/>
  <c r="CM276" i="2"/>
  <c r="DW271" i="2" s="1"/>
  <c r="CM244" i="2"/>
  <c r="DW239" i="2" s="1"/>
  <c r="CM237" i="2"/>
  <c r="DW232" i="2" s="1"/>
  <c r="CM279" i="2"/>
  <c r="DW274" i="2" s="1"/>
  <c r="CM248" i="2"/>
  <c r="DW243" i="2" s="1"/>
  <c r="CM282" i="2"/>
  <c r="DW277" i="2" s="1"/>
  <c r="CM265" i="2"/>
  <c r="DW260" i="2" s="1"/>
  <c r="CM257" i="2"/>
  <c r="DW252" i="2" s="1"/>
  <c r="CM252" i="2"/>
  <c r="DW247" i="2" s="1"/>
  <c r="CM268" i="2"/>
  <c r="DW263" i="2" s="1"/>
  <c r="CM266" i="2"/>
  <c r="DW261" i="2" s="1"/>
  <c r="CT528" i="34"/>
  <c r="CT512" i="34"/>
  <c r="CT509" i="34"/>
  <c r="CT490" i="34"/>
  <c r="CT535" i="34"/>
  <c r="CT522" i="34"/>
  <c r="CT529" i="34"/>
  <c r="CT531" i="34"/>
  <c r="CT532" i="34"/>
  <c r="CT525" i="34"/>
  <c r="CM202" i="2"/>
  <c r="DW197" i="2" s="1"/>
  <c r="CM178" i="2"/>
  <c r="DW173" i="2" s="1"/>
  <c r="CM200" i="2"/>
  <c r="DW195" i="2" s="1"/>
  <c r="CM212" i="2"/>
  <c r="DW207" i="2" s="1"/>
  <c r="CM207" i="2"/>
  <c r="DW202" i="2" s="1"/>
  <c r="CM192" i="2"/>
  <c r="DW187" i="2" s="1"/>
  <c r="CM193" i="2"/>
  <c r="DW188" i="2" s="1"/>
  <c r="CM196" i="2"/>
  <c r="DW191" i="2" s="1"/>
  <c r="CM206" i="2"/>
  <c r="DW201" i="2" s="1"/>
  <c r="CM186" i="2"/>
  <c r="DW181" i="2" s="1"/>
  <c r="CM197" i="2"/>
  <c r="DW192" i="2" s="1"/>
  <c r="CM215" i="2"/>
  <c r="DW210" i="2" s="1"/>
  <c r="CT454" i="2"/>
  <c r="CT426" i="2"/>
  <c r="CT441" i="2"/>
  <c r="CT458" i="2"/>
  <c r="CT428" i="2"/>
  <c r="CT466" i="2"/>
  <c r="CT431" i="2"/>
  <c r="CT464" i="2"/>
  <c r="CT471" i="2"/>
  <c r="CT433" i="2"/>
  <c r="CT439" i="2"/>
  <c r="CT447" i="2"/>
  <c r="CM556" i="2"/>
  <c r="DW551" i="2" s="1"/>
  <c r="CM558" i="2"/>
  <c r="DW553" i="2" s="1"/>
  <c r="CM597" i="2"/>
  <c r="DW592" i="2" s="1"/>
  <c r="CM565" i="2"/>
  <c r="DW560" i="2" s="1"/>
  <c r="CM576" i="2"/>
  <c r="DW571" i="2" s="1"/>
  <c r="CM555" i="2"/>
  <c r="DW550" i="2" s="1"/>
  <c r="CM591" i="2"/>
  <c r="DW586" i="2" s="1"/>
  <c r="CM577" i="2"/>
  <c r="DW572" i="2" s="1"/>
  <c r="CM598" i="2"/>
  <c r="DW593" i="2" s="1"/>
  <c r="CM581" i="2"/>
  <c r="DW576" i="2" s="1"/>
  <c r="CM586" i="2"/>
  <c r="DW581" i="2" s="1"/>
  <c r="CM497" i="2"/>
  <c r="DW492" i="2" s="1"/>
  <c r="CM524" i="2"/>
  <c r="DW519" i="2" s="1"/>
  <c r="CM490" i="2"/>
  <c r="DW485" i="2" s="1"/>
  <c r="CM532" i="2"/>
  <c r="DW527" i="2" s="1"/>
  <c r="CM508" i="2"/>
  <c r="DW503" i="2" s="1"/>
  <c r="CM519" i="2"/>
  <c r="DW514" i="2" s="1"/>
  <c r="CM505" i="2"/>
  <c r="DW500" i="2" s="1"/>
  <c r="CM510" i="2"/>
  <c r="DW505" i="2" s="1"/>
  <c r="CM506" i="2"/>
  <c r="DW501" i="2" s="1"/>
  <c r="CM529" i="2"/>
  <c r="DW524" i="2" s="1"/>
  <c r="CM530" i="2"/>
  <c r="DW525" i="2" s="1"/>
  <c r="CT111" i="2"/>
  <c r="CT151" i="2"/>
  <c r="CT130" i="2"/>
  <c r="CT116" i="2"/>
  <c r="CT127" i="2"/>
  <c r="CT136" i="2"/>
  <c r="CT112" i="2"/>
  <c r="CT154" i="2"/>
  <c r="CT124" i="2"/>
  <c r="CT129" i="2"/>
  <c r="CT135" i="2"/>
  <c r="CT146" i="2"/>
  <c r="CD316" i="2"/>
  <c r="CD319" i="2"/>
  <c r="CD309" i="2"/>
  <c r="CD342" i="2"/>
  <c r="CD324" i="2"/>
  <c r="CD320" i="2"/>
  <c r="CD321" i="2"/>
  <c r="CD318" i="2"/>
  <c r="CD329" i="2"/>
  <c r="CD346" i="2"/>
  <c r="CD312" i="2"/>
  <c r="CM593" i="2"/>
  <c r="DW588" i="2" s="1"/>
  <c r="CM589" i="2"/>
  <c r="DW584" i="2" s="1"/>
  <c r="CM578" i="2"/>
  <c r="DW573" i="2" s="1"/>
  <c r="CT559" i="2"/>
  <c r="CT565" i="2"/>
  <c r="CT577" i="2"/>
  <c r="CT561" i="2"/>
  <c r="CT568" i="2"/>
  <c r="CT570" i="2"/>
  <c r="CT575" i="2"/>
  <c r="CT555" i="2"/>
  <c r="CM391" i="2"/>
  <c r="DW386" i="2" s="1"/>
  <c r="CM405" i="2"/>
  <c r="DW400" i="2" s="1"/>
  <c r="CM380" i="2"/>
  <c r="DW375" i="2" s="1"/>
  <c r="CM392" i="2"/>
  <c r="DW387" i="2" s="1"/>
  <c r="CM363" i="2"/>
  <c r="DW358" i="2" s="1"/>
  <c r="CM374" i="2"/>
  <c r="DW369" i="2" s="1"/>
  <c r="CM398" i="2"/>
  <c r="DW393" i="2" s="1"/>
  <c r="CM364" i="2"/>
  <c r="DW359" i="2" s="1"/>
  <c r="CM395" i="2"/>
  <c r="DW390" i="2" s="1"/>
  <c r="CM399" i="2"/>
  <c r="DW394" i="2" s="1"/>
  <c r="CM383" i="2"/>
  <c r="DW378" i="2" s="1"/>
  <c r="CM135" i="2"/>
  <c r="DW130" i="2" s="1"/>
  <c r="CM120" i="2"/>
  <c r="DW115" i="2" s="1"/>
  <c r="CM134" i="2"/>
  <c r="DW129" i="2" s="1"/>
  <c r="CM115" i="2"/>
  <c r="DW110" i="2" s="1"/>
  <c r="CM152" i="2"/>
  <c r="DW147" i="2" s="1"/>
  <c r="CM144" i="2"/>
  <c r="DW139" i="2" s="1"/>
  <c r="CM140" i="2"/>
  <c r="DW135" i="2" s="1"/>
  <c r="CM128" i="2"/>
  <c r="DW123" i="2" s="1"/>
  <c r="CM153" i="2"/>
  <c r="DW148" i="2" s="1"/>
  <c r="CM113" i="2"/>
  <c r="DW108" i="2" s="1"/>
  <c r="CM132" i="2"/>
  <c r="DW127" i="2" s="1"/>
  <c r="CT305" i="2"/>
  <c r="CT324" i="2"/>
  <c r="CT306" i="2"/>
  <c r="CT300" i="2"/>
  <c r="CT343" i="2"/>
  <c r="CT317" i="2"/>
  <c r="CM524" i="34"/>
  <c r="DW519" i="34" s="1"/>
  <c r="CM515" i="34"/>
  <c r="DW510" i="34" s="1"/>
  <c r="CM505" i="34"/>
  <c r="DW500" i="34" s="1"/>
  <c r="CM533" i="34"/>
  <c r="DW528" i="34" s="1"/>
  <c r="CM517" i="34"/>
  <c r="DW512" i="34" s="1"/>
  <c r="CM502" i="34"/>
  <c r="DW497" i="34" s="1"/>
  <c r="CM500" i="34"/>
  <c r="DW495" i="34" s="1"/>
  <c r="CM511" i="34"/>
  <c r="DW506" i="34" s="1"/>
  <c r="CM509" i="34"/>
  <c r="DW504" i="34" s="1"/>
  <c r="CM516" i="34"/>
  <c r="DW511" i="34" s="1"/>
  <c r="CM493" i="34"/>
  <c r="DW488" i="34" s="1"/>
  <c r="CM491" i="34"/>
  <c r="DW486" i="34" s="1"/>
  <c r="CD197" i="2"/>
  <c r="CD205" i="2"/>
  <c r="CD196" i="2"/>
  <c r="CD219" i="2"/>
  <c r="CD218" i="2"/>
  <c r="CD178" i="2"/>
  <c r="CD177" i="2"/>
  <c r="CD204" i="2"/>
  <c r="CD209" i="2"/>
  <c r="CD190" i="2"/>
  <c r="CD191" i="2"/>
  <c r="CD174" i="2"/>
  <c r="CD429" i="2"/>
  <c r="R179" i="6"/>
  <c r="B70" i="36"/>
  <c r="D70" i="36" s="1"/>
  <c r="E70" i="36" s="1"/>
  <c r="S179" i="39" s="1"/>
  <c r="T179" i="39" s="1"/>
  <c r="AA123" i="8"/>
  <c r="AM180" i="8"/>
  <c r="AN180" i="8" s="1"/>
  <c r="BB51" i="31"/>
  <c r="BC50" i="31"/>
  <c r="O180" i="6"/>
  <c r="B71" i="43" s="1"/>
  <c r="Y123" i="6"/>
  <c r="AB123" i="6" s="1"/>
  <c r="AO170" i="8"/>
  <c r="AP170" i="8" s="1"/>
  <c r="I74" i="4"/>
  <c r="AY177" i="3"/>
  <c r="AK120" i="3"/>
  <c r="C74" i="4"/>
  <c r="V177" i="3"/>
  <c r="AO177" i="3"/>
  <c r="AP177" i="3" s="1"/>
  <c r="R179" i="3"/>
  <c r="B15" i="36"/>
  <c r="D15" i="36" s="1"/>
  <c r="E15" i="36" s="1"/>
  <c r="S179" i="38" s="1"/>
  <c r="T179" i="38" s="1"/>
  <c r="L123" i="3"/>
  <c r="M123" i="3"/>
  <c r="O180" i="3"/>
  <c r="B16" i="43" s="1"/>
  <c r="Y123" i="3"/>
  <c r="AB123" i="3" s="1"/>
  <c r="AM181" i="6"/>
  <c r="AN181" i="6" s="1"/>
  <c r="N123" i="8"/>
  <c r="AY31" i="31"/>
  <c r="AM181" i="3"/>
  <c r="AN181" i="3" s="1"/>
  <c r="H124" i="3"/>
  <c r="AC181" i="3"/>
  <c r="AU181" i="3" s="1"/>
  <c r="V124" i="3"/>
  <c r="K124" i="3"/>
  <c r="V176" i="6"/>
  <c r="AE177" i="8"/>
  <c r="AW177" i="8" s="1"/>
  <c r="J123" i="36"/>
  <c r="CR27" i="31"/>
  <c r="CO27" i="31"/>
  <c r="CK28" i="31"/>
  <c r="BH48" i="31"/>
  <c r="R179" i="8"/>
  <c r="B125" i="36"/>
  <c r="D125" i="36" s="1"/>
  <c r="E125" i="36" s="1"/>
  <c r="S179" i="40" s="1"/>
  <c r="T179" i="40" s="1"/>
  <c r="AA123" i="6"/>
  <c r="BF20" i="8"/>
  <c r="AN20" i="8"/>
  <c r="BG20" i="8" s="1"/>
  <c r="AB73" i="8"/>
  <c r="CD592" i="2"/>
  <c r="CD555" i="2"/>
  <c r="CD577" i="2"/>
  <c r="CD574" i="2"/>
  <c r="CD566" i="2"/>
  <c r="CD575" i="2"/>
  <c r="CD594" i="2"/>
  <c r="CD589" i="2"/>
  <c r="CD572" i="2"/>
  <c r="CD578" i="2"/>
  <c r="CD593" i="2"/>
  <c r="CD597" i="2"/>
  <c r="CM450" i="2"/>
  <c r="DW445" i="2" s="1"/>
  <c r="CM435" i="2"/>
  <c r="DW430" i="2" s="1"/>
  <c r="CM462" i="2"/>
  <c r="DW457" i="2" s="1"/>
  <c r="CM445" i="2"/>
  <c r="DW440" i="2" s="1"/>
  <c r="CM426" i="2"/>
  <c r="DW421" i="2" s="1"/>
  <c r="CM427" i="2"/>
  <c r="DW422" i="2" s="1"/>
  <c r="CM471" i="2"/>
  <c r="DW466" i="2" s="1"/>
  <c r="CM429" i="2"/>
  <c r="DW424" i="2" s="1"/>
  <c r="CM461" i="2"/>
  <c r="DW456" i="2" s="1"/>
  <c r="CM451" i="2"/>
  <c r="DW446" i="2" s="1"/>
  <c r="CM446" i="2"/>
  <c r="DW441" i="2" s="1"/>
  <c r="CM463" i="2"/>
  <c r="DW458" i="2" s="1"/>
  <c r="CT396" i="2"/>
  <c r="CT401" i="2"/>
  <c r="CT397" i="2"/>
  <c r="CT382" i="2"/>
  <c r="CT387" i="2"/>
  <c r="CT408" i="2"/>
  <c r="CT399" i="2"/>
  <c r="CT406" i="2"/>
  <c r="CT373" i="2"/>
  <c r="CT379" i="2"/>
  <c r="CT404" i="2"/>
  <c r="CT384" i="2"/>
  <c r="CD376" i="2"/>
  <c r="CM264" i="2"/>
  <c r="DW259" i="2" s="1"/>
  <c r="CM278" i="2"/>
  <c r="DW273" i="2" s="1"/>
  <c r="CM255" i="2"/>
  <c r="DW250" i="2" s="1"/>
  <c r="CM274" i="2"/>
  <c r="DW269" i="2" s="1"/>
  <c r="CM242" i="2"/>
  <c r="DW237" i="2" s="1"/>
  <c r="CM239" i="2"/>
  <c r="DW234" i="2" s="1"/>
  <c r="CM277" i="2"/>
  <c r="DW272" i="2" s="1"/>
  <c r="CM260" i="2"/>
  <c r="DW255" i="2" s="1"/>
  <c r="CM250" i="2"/>
  <c r="DW245" i="2" s="1"/>
  <c r="CM269" i="2"/>
  <c r="DW264" i="2" s="1"/>
  <c r="CM245" i="2"/>
  <c r="DW240" i="2" s="1"/>
  <c r="CM259" i="2"/>
  <c r="DW254" i="2" s="1"/>
  <c r="CT502" i="34"/>
  <c r="CT517" i="34"/>
  <c r="CT519" i="34"/>
  <c r="CT523" i="34"/>
  <c r="CT520" i="34"/>
  <c r="CT492" i="34"/>
  <c r="CT511" i="34"/>
  <c r="CT524" i="34"/>
  <c r="CT506" i="34"/>
  <c r="CT497" i="34"/>
  <c r="CT498" i="34"/>
  <c r="CT499" i="34"/>
  <c r="CM180" i="2"/>
  <c r="DW175" i="2" s="1"/>
  <c r="CM184" i="2"/>
  <c r="DW179" i="2" s="1"/>
  <c r="CM182" i="2"/>
  <c r="DW177" i="2" s="1"/>
  <c r="CM177" i="2"/>
  <c r="DW172" i="2" s="1"/>
  <c r="CM190" i="2"/>
  <c r="DW185" i="2" s="1"/>
  <c r="CM183" i="2"/>
  <c r="DW178" i="2" s="1"/>
  <c r="CM217" i="2"/>
  <c r="DW212" i="2" s="1"/>
  <c r="CM216" i="2"/>
  <c r="DW211" i="2" s="1"/>
  <c r="CM213" i="2"/>
  <c r="DW208" i="2" s="1"/>
  <c r="CM174" i="2"/>
  <c r="DW169" i="2" s="1"/>
  <c r="CM198" i="2"/>
  <c r="DW193" i="2" s="1"/>
  <c r="CM219" i="2"/>
  <c r="DW214" i="2" s="1"/>
  <c r="CT435" i="2"/>
  <c r="CT430" i="2"/>
  <c r="CT436" i="2"/>
  <c r="CT461" i="2"/>
  <c r="CT455" i="2"/>
  <c r="CT446" i="2"/>
  <c r="CT450" i="2"/>
  <c r="CT443" i="2"/>
  <c r="CT469" i="2"/>
  <c r="CT462" i="2"/>
  <c r="CT467" i="2"/>
  <c r="CT438" i="2"/>
  <c r="CM590" i="2"/>
  <c r="DW585" i="2" s="1"/>
  <c r="CM588" i="2"/>
  <c r="DW583" i="2" s="1"/>
  <c r="CM559" i="2"/>
  <c r="DW554" i="2" s="1"/>
  <c r="CM572" i="2"/>
  <c r="DW567" i="2" s="1"/>
  <c r="CM579" i="2"/>
  <c r="DW574" i="2" s="1"/>
  <c r="CM569" i="2"/>
  <c r="DW564" i="2" s="1"/>
  <c r="CM531" i="2"/>
  <c r="DW526" i="2" s="1"/>
  <c r="CM498" i="2"/>
  <c r="DW493" i="2" s="1"/>
  <c r="CM513" i="2"/>
  <c r="DW508" i="2" s="1"/>
  <c r="CM518" i="2"/>
  <c r="DW513" i="2" s="1"/>
  <c r="CM516" i="2"/>
  <c r="DW511" i="2" s="1"/>
  <c r="CM535" i="2"/>
  <c r="DW530" i="2" s="1"/>
  <c r="CM528" i="2"/>
  <c r="DW523" i="2" s="1"/>
  <c r="CM509" i="2"/>
  <c r="DW504" i="2" s="1"/>
  <c r="CM503" i="2"/>
  <c r="DW498" i="2" s="1"/>
  <c r="CM500" i="2"/>
  <c r="DW495" i="2" s="1"/>
  <c r="CM520" i="2"/>
  <c r="DW515" i="2" s="1"/>
  <c r="CM496" i="2"/>
  <c r="DW491" i="2" s="1"/>
  <c r="CT126" i="2"/>
  <c r="CT120" i="2"/>
  <c r="CT142" i="2"/>
  <c r="CT133" i="2"/>
  <c r="CT139" i="2"/>
  <c r="CT132" i="2"/>
  <c r="CT110" i="2"/>
  <c r="CT118" i="2"/>
  <c r="CT149" i="2"/>
  <c r="CT131" i="2"/>
  <c r="CT119" i="2"/>
  <c r="CT134" i="2"/>
  <c r="CD308" i="2"/>
  <c r="CD323" i="2"/>
  <c r="CD345" i="2"/>
  <c r="CD333" i="2"/>
  <c r="CD343" i="2"/>
  <c r="CD325" i="2"/>
  <c r="CD330" i="2"/>
  <c r="CD301" i="2"/>
  <c r="CD326" i="2"/>
  <c r="CD338" i="2"/>
  <c r="CD331" i="2"/>
  <c r="CD328" i="2"/>
  <c r="CM582" i="2"/>
  <c r="DW577" i="2" s="1"/>
  <c r="CM599" i="2"/>
  <c r="DW594" i="2" s="1"/>
  <c r="CM574" i="2"/>
  <c r="DW569" i="2" s="1"/>
  <c r="CM564" i="2"/>
  <c r="DW559" i="2" s="1"/>
  <c r="CM592" i="2"/>
  <c r="DW587" i="2" s="1"/>
  <c r="CT558" i="2"/>
  <c r="CT581" i="2"/>
  <c r="CT587" i="2"/>
  <c r="CT597" i="2"/>
  <c r="CT583" i="2"/>
  <c r="CT574" i="2"/>
  <c r="CT564" i="2"/>
  <c r="CT593" i="2"/>
  <c r="CT571" i="2"/>
  <c r="CT598" i="2"/>
  <c r="CM386" i="2"/>
  <c r="DW381" i="2" s="1"/>
  <c r="CM394" i="2"/>
  <c r="DW389" i="2" s="1"/>
  <c r="CM404" i="2"/>
  <c r="DW399" i="2" s="1"/>
  <c r="CM373" i="2"/>
  <c r="DW368" i="2" s="1"/>
  <c r="CM381" i="2"/>
  <c r="DW376" i="2" s="1"/>
  <c r="CM396" i="2"/>
  <c r="DW391" i="2" s="1"/>
  <c r="CM368" i="2"/>
  <c r="DW363" i="2" s="1"/>
  <c r="CM400" i="2"/>
  <c r="DW395" i="2" s="1"/>
  <c r="CM370" i="2"/>
  <c r="DW365" i="2" s="1"/>
  <c r="CM402" i="2"/>
  <c r="DW397" i="2" s="1"/>
  <c r="CM390" i="2"/>
  <c r="DW385" i="2" s="1"/>
  <c r="CM377" i="2"/>
  <c r="DW372" i="2" s="1"/>
  <c r="CM138" i="2"/>
  <c r="DW133" i="2" s="1"/>
  <c r="CM156" i="2"/>
  <c r="DW151" i="2" s="1"/>
  <c r="CM142" i="2"/>
  <c r="DW137" i="2" s="1"/>
  <c r="CM121" i="2"/>
  <c r="DW116" i="2" s="1"/>
  <c r="CM148" i="2"/>
  <c r="DW143" i="2" s="1"/>
  <c r="CM116" i="2"/>
  <c r="DW111" i="2" s="1"/>
  <c r="CM150" i="2"/>
  <c r="DW145" i="2" s="1"/>
  <c r="CM119" i="2"/>
  <c r="DW114" i="2" s="1"/>
  <c r="CM122" i="2"/>
  <c r="DW117" i="2" s="1"/>
  <c r="CM141" i="2"/>
  <c r="DW136" i="2" s="1"/>
  <c r="CM155" i="2"/>
  <c r="DW150" i="2" s="1"/>
  <c r="CM145" i="2"/>
  <c r="DW140" i="2" s="1"/>
  <c r="CT338" i="2"/>
  <c r="CT329" i="2"/>
  <c r="CT322" i="2"/>
  <c r="CT342" i="2"/>
  <c r="CT303" i="2"/>
  <c r="CM534" i="34"/>
  <c r="DW529" i="34" s="1"/>
  <c r="CM498" i="34"/>
  <c r="DW493" i="34" s="1"/>
  <c r="CM536" i="34"/>
  <c r="DW531" i="34" s="1"/>
  <c r="CM514" i="34"/>
  <c r="DW509" i="34" s="1"/>
  <c r="CM508" i="34"/>
  <c r="DW503" i="34" s="1"/>
  <c r="CM523" i="34"/>
  <c r="DW518" i="34" s="1"/>
  <c r="CM495" i="34"/>
  <c r="DW490" i="34" s="1"/>
  <c r="CM535" i="34"/>
  <c r="DW530" i="34" s="1"/>
  <c r="CM496" i="34"/>
  <c r="DW491" i="34" s="1"/>
  <c r="CM510" i="34"/>
  <c r="DW505" i="34" s="1"/>
  <c r="CM531" i="34"/>
  <c r="DW526" i="34" s="1"/>
  <c r="CD213" i="2"/>
  <c r="CD185" i="2"/>
  <c r="CD206" i="2"/>
  <c r="CD180" i="2"/>
  <c r="CD182" i="2"/>
  <c r="CD184" i="2"/>
  <c r="CD187" i="2"/>
  <c r="CD215" i="2"/>
  <c r="CD176" i="2"/>
  <c r="CD217" i="2"/>
  <c r="CD186" i="2"/>
  <c r="AO176" i="3"/>
  <c r="AP176" i="3" s="1"/>
  <c r="AO171" i="3"/>
  <c r="AP171" i="3" s="1"/>
  <c r="AS114" i="3"/>
  <c r="AT114" i="3" s="1"/>
  <c r="AS117" i="8"/>
  <c r="AT117" i="8" s="1"/>
  <c r="AO175" i="3"/>
  <c r="AP175" i="3" s="1"/>
  <c r="AS114" i="6"/>
  <c r="AT114" i="6" s="1"/>
  <c r="AS114" i="8"/>
  <c r="AT114" i="8" s="1"/>
  <c r="I109" i="15"/>
  <c r="F109" i="15"/>
  <c r="E109" i="15"/>
  <c r="J109" i="15"/>
  <c r="I59" i="15"/>
  <c r="E59" i="15"/>
  <c r="F59" i="15"/>
  <c r="J59" i="15"/>
  <c r="AO174" i="3"/>
  <c r="AP174" i="3" s="1"/>
  <c r="E9" i="15"/>
  <c r="I9" i="15"/>
  <c r="F9" i="15"/>
  <c r="I112" i="15"/>
  <c r="F112" i="15"/>
  <c r="E112" i="15"/>
  <c r="J112" i="15"/>
  <c r="AW172" i="3"/>
  <c r="AO172" i="3"/>
  <c r="AP172" i="3" s="1"/>
  <c r="AS117" i="6"/>
  <c r="AT117" i="6" s="1"/>
  <c r="AS117" i="3"/>
  <c r="AT117" i="3" s="1"/>
  <c r="AO170" i="3"/>
  <c r="AP170" i="3" s="1"/>
  <c r="E62" i="15"/>
  <c r="J62" i="15"/>
  <c r="F62" i="15"/>
  <c r="I62" i="15"/>
  <c r="F12" i="15"/>
  <c r="E12" i="15"/>
  <c r="I12" i="15"/>
  <c r="AL113" i="6"/>
  <c r="AM113" i="6"/>
  <c r="AP113" i="6" s="1"/>
  <c r="AN113" i="6"/>
  <c r="AQ113" i="6" s="1"/>
  <c r="AO113" i="6"/>
  <c r="AR113" i="6" s="1"/>
  <c r="B58" i="15"/>
  <c r="C58" i="15" s="1"/>
  <c r="AZ170" i="6"/>
  <c r="B8" i="15"/>
  <c r="C8" i="15" s="1"/>
  <c r="J8" i="15" s="1"/>
  <c r="AN113" i="3"/>
  <c r="AQ113" i="3" s="1"/>
  <c r="AM113" i="3"/>
  <c r="AP113" i="3" s="1"/>
  <c r="AZ170" i="3"/>
  <c r="AL113" i="3"/>
  <c r="AO113" i="3"/>
  <c r="AR113" i="3" s="1"/>
  <c r="B108" i="15"/>
  <c r="C108" i="15" s="1"/>
  <c r="AO113" i="8"/>
  <c r="AR113" i="8" s="1"/>
  <c r="AM113" i="8"/>
  <c r="AP113" i="8" s="1"/>
  <c r="AL113" i="8"/>
  <c r="AN113" i="8"/>
  <c r="AQ113" i="8" s="1"/>
  <c r="AZ170" i="8"/>
  <c r="CC432" i="2"/>
  <c r="CD431" i="2"/>
  <c r="AO113" i="38" l="1"/>
  <c r="AR113" i="38" s="1"/>
  <c r="AN113" i="40"/>
  <c r="AQ113" i="40" s="1"/>
  <c r="AM113" i="40"/>
  <c r="AP113" i="40" s="1"/>
  <c r="AO113" i="40"/>
  <c r="AR113" i="40" s="1"/>
  <c r="AL113" i="40"/>
  <c r="AN113" i="38"/>
  <c r="AQ113" i="38" s="1"/>
  <c r="AZ170" i="38"/>
  <c r="AS116" i="3"/>
  <c r="AT116" i="3" s="1"/>
  <c r="AI121" i="39"/>
  <c r="D71" i="43"/>
  <c r="E71" i="43"/>
  <c r="H71" i="43" s="1"/>
  <c r="J71" i="43" s="1"/>
  <c r="J111" i="15"/>
  <c r="E111" i="15"/>
  <c r="I111" i="15"/>
  <c r="F111" i="15"/>
  <c r="AS116" i="6"/>
  <c r="AT116" i="6" s="1"/>
  <c r="AS116" i="38"/>
  <c r="AT116" i="38" s="1"/>
  <c r="AS116" i="39"/>
  <c r="AT116" i="39" s="1"/>
  <c r="AS116" i="8"/>
  <c r="AT116" i="8" s="1"/>
  <c r="E11" i="15"/>
  <c r="I11" i="15"/>
  <c r="F11" i="15"/>
  <c r="AS116" i="40"/>
  <c r="AT116" i="40" s="1"/>
  <c r="E61" i="15"/>
  <c r="F61" i="15"/>
  <c r="I61" i="15"/>
  <c r="J61" i="15"/>
  <c r="D16" i="43"/>
  <c r="E16" i="43" s="1"/>
  <c r="H16" i="43" s="1"/>
  <c r="J16" i="43" s="1"/>
  <c r="AS113" i="40"/>
  <c r="AT113" i="40" s="1"/>
  <c r="AL120" i="40"/>
  <c r="AZ177" i="40"/>
  <c r="AO176" i="6"/>
  <c r="AP176" i="6" s="1"/>
  <c r="AN120" i="40"/>
  <c r="AQ120" i="40" s="1"/>
  <c r="AM120" i="40"/>
  <c r="AP120" i="40" s="1"/>
  <c r="AE122" i="39"/>
  <c r="AY179" i="39" s="1"/>
  <c r="AL120" i="39"/>
  <c r="AM120" i="39"/>
  <c r="AP120" i="39" s="1"/>
  <c r="AO120" i="39"/>
  <c r="AR120" i="39" s="1"/>
  <c r="AN120" i="39"/>
  <c r="AQ120" i="39" s="1"/>
  <c r="AZ177" i="39"/>
  <c r="AE122" i="40"/>
  <c r="AY179" i="40" s="1"/>
  <c r="AS113" i="39"/>
  <c r="AT113" i="39" s="1"/>
  <c r="AE121" i="38"/>
  <c r="AK121" i="38" s="1"/>
  <c r="AE121" i="40"/>
  <c r="AE121" i="39"/>
  <c r="L123" i="40"/>
  <c r="N123" i="40"/>
  <c r="AM180" i="40"/>
  <c r="AN180" i="40" s="1"/>
  <c r="AA123" i="40"/>
  <c r="AG123" i="40" s="1"/>
  <c r="AF122" i="40"/>
  <c r="AI121" i="40"/>
  <c r="AH122" i="40"/>
  <c r="AO178" i="40"/>
  <c r="AP178" i="40" s="1"/>
  <c r="V179" i="40"/>
  <c r="G125" i="8"/>
  <c r="X125" i="8" s="1"/>
  <c r="G125" i="40"/>
  <c r="AA180" i="40"/>
  <c r="AC123" i="40"/>
  <c r="AB123" i="40"/>
  <c r="Z123" i="40"/>
  <c r="AG122" i="40"/>
  <c r="AC181" i="40"/>
  <c r="AU181" i="40" s="1"/>
  <c r="X124" i="40"/>
  <c r="H124" i="40"/>
  <c r="K124" i="40"/>
  <c r="M124" i="40" s="1"/>
  <c r="V124" i="40"/>
  <c r="G125" i="6"/>
  <c r="X125" i="6" s="1"/>
  <c r="AM182" i="6" s="1"/>
  <c r="AN182" i="6" s="1"/>
  <c r="G125" i="39"/>
  <c r="AC181" i="39"/>
  <c r="AU181" i="39" s="1"/>
  <c r="X124" i="39"/>
  <c r="H124" i="39"/>
  <c r="V124" i="39"/>
  <c r="K124" i="39"/>
  <c r="M124" i="39" s="1"/>
  <c r="AC123" i="39"/>
  <c r="AA180" i="39"/>
  <c r="AB123" i="39"/>
  <c r="Z123" i="39"/>
  <c r="AO178" i="39"/>
  <c r="AP178" i="39" s="1"/>
  <c r="V179" i="39"/>
  <c r="AA123" i="39"/>
  <c r="AM180" i="39"/>
  <c r="AN180" i="39" s="1"/>
  <c r="AG122" i="39"/>
  <c r="AF122" i="39"/>
  <c r="N123" i="39"/>
  <c r="L123" i="39"/>
  <c r="AH122" i="39"/>
  <c r="AI121" i="38"/>
  <c r="AG122" i="38"/>
  <c r="AF122" i="38"/>
  <c r="G125" i="3"/>
  <c r="X125" i="3" s="1"/>
  <c r="AM182" i="3" s="1"/>
  <c r="AN182" i="3" s="1"/>
  <c r="G125" i="38"/>
  <c r="L123" i="38"/>
  <c r="N123" i="38"/>
  <c r="AA123" i="38"/>
  <c r="AM180" i="38"/>
  <c r="AN180" i="38" s="1"/>
  <c r="AS120" i="38"/>
  <c r="AT120" i="38" s="1"/>
  <c r="AH122" i="38"/>
  <c r="V179" i="38"/>
  <c r="AC123" i="38"/>
  <c r="AA180" i="38"/>
  <c r="AB123" i="38"/>
  <c r="Z123" i="38"/>
  <c r="AO178" i="38"/>
  <c r="AP178" i="38" s="1"/>
  <c r="AK122" i="38"/>
  <c r="AN122" i="38" s="1"/>
  <c r="AQ122" i="38" s="1"/>
  <c r="H124" i="38"/>
  <c r="AC181" i="38"/>
  <c r="AU181" i="38" s="1"/>
  <c r="X124" i="38"/>
  <c r="V124" i="38"/>
  <c r="K124" i="38"/>
  <c r="M124" i="38" s="1"/>
  <c r="CM93" i="34"/>
  <c r="DW88" i="34" s="1"/>
  <c r="CM95" i="34"/>
  <c r="DW90" i="34" s="1"/>
  <c r="CM647" i="2"/>
  <c r="DW642" i="2" s="1"/>
  <c r="CM661" i="2"/>
  <c r="DW656" i="2" s="1"/>
  <c r="CM72" i="34"/>
  <c r="DW67" i="34" s="1"/>
  <c r="Q93" i="2"/>
  <c r="S93" i="2" s="1"/>
  <c r="CM51" i="34"/>
  <c r="DW46" i="34" s="1"/>
  <c r="Q86" i="2"/>
  <c r="S86" i="2" s="1"/>
  <c r="CM664" i="2"/>
  <c r="DW659" i="2" s="1"/>
  <c r="CM627" i="2"/>
  <c r="DW622" i="2" s="1"/>
  <c r="CM67" i="34"/>
  <c r="DW62" i="34" s="1"/>
  <c r="CM86" i="34"/>
  <c r="DW81" i="34" s="1"/>
  <c r="CM59" i="34"/>
  <c r="DW54" i="34" s="1"/>
  <c r="CM84" i="34"/>
  <c r="DW79" i="34" s="1"/>
  <c r="CM82" i="34"/>
  <c r="DW77" i="34" s="1"/>
  <c r="CM654" i="2"/>
  <c r="DW649" i="2" s="1"/>
  <c r="CM638" i="2"/>
  <c r="DW633" i="2" s="1"/>
  <c r="CM651" i="2"/>
  <c r="DW646" i="2" s="1"/>
  <c r="CM64" i="34"/>
  <c r="DW59" i="34" s="1"/>
  <c r="CM60" i="34"/>
  <c r="DW55" i="34" s="1"/>
  <c r="CM63" i="34"/>
  <c r="DW58" i="34" s="1"/>
  <c r="CM96" i="34"/>
  <c r="DW91" i="34" s="1"/>
  <c r="CM76" i="34"/>
  <c r="DW71" i="34" s="1"/>
  <c r="CM91" i="34"/>
  <c r="DW86" i="34" s="1"/>
  <c r="CM56" i="34"/>
  <c r="DW51" i="34" s="1"/>
  <c r="CM57" i="34"/>
  <c r="DW52" i="34" s="1"/>
  <c r="CM660" i="2"/>
  <c r="DW655" i="2" s="1"/>
  <c r="Q73" i="2"/>
  <c r="T73" i="2" s="1"/>
  <c r="U73" i="2" s="1"/>
  <c r="Q59" i="2"/>
  <c r="T59" i="2" s="1"/>
  <c r="U59" i="2" s="1"/>
  <c r="CM663" i="2"/>
  <c r="DW658" i="2" s="1"/>
  <c r="CM61" i="34"/>
  <c r="DW56" i="34" s="1"/>
  <c r="CM69" i="34"/>
  <c r="DW64" i="34" s="1"/>
  <c r="CM85" i="34"/>
  <c r="DW80" i="34" s="1"/>
  <c r="Q83" i="2"/>
  <c r="T83" i="2" s="1"/>
  <c r="U83" i="2" s="1"/>
  <c r="Q79" i="2"/>
  <c r="T79" i="2" s="1"/>
  <c r="U79" i="2" s="1"/>
  <c r="Q82" i="2"/>
  <c r="S82" i="2" s="1"/>
  <c r="CM653" i="2"/>
  <c r="DW648" i="2" s="1"/>
  <c r="CM639" i="2"/>
  <c r="DW634" i="2" s="1"/>
  <c r="CM629" i="2"/>
  <c r="DW624" i="2" s="1"/>
  <c r="CM643" i="2"/>
  <c r="DW638" i="2" s="1"/>
  <c r="CM55" i="34"/>
  <c r="DW50" i="34" s="1"/>
  <c r="CM80" i="34"/>
  <c r="DW75" i="34" s="1"/>
  <c r="CM53" i="34"/>
  <c r="DW48" i="34" s="1"/>
  <c r="CM640" i="2"/>
  <c r="DW635" i="2" s="1"/>
  <c r="CM644" i="2"/>
  <c r="DW639" i="2" s="1"/>
  <c r="CM652" i="2"/>
  <c r="DW647" i="2" s="1"/>
  <c r="CM636" i="2"/>
  <c r="DW631" i="2" s="1"/>
  <c r="CM665" i="2"/>
  <c r="DW660" i="2" s="1"/>
  <c r="CM628" i="2"/>
  <c r="DW623" i="2" s="1"/>
  <c r="CM94" i="34"/>
  <c r="DW89" i="34" s="1"/>
  <c r="CM79" i="34"/>
  <c r="DW74" i="34" s="1"/>
  <c r="CM71" i="34"/>
  <c r="DW66" i="34" s="1"/>
  <c r="CM646" i="2"/>
  <c r="DW641" i="2" s="1"/>
  <c r="Q76" i="2"/>
  <c r="S76" i="2" s="1"/>
  <c r="CM656" i="2"/>
  <c r="DW651" i="2" s="1"/>
  <c r="CM630" i="2"/>
  <c r="DW625" i="2" s="1"/>
  <c r="Q78" i="2"/>
  <c r="S78" i="2" s="1"/>
  <c r="CM631" i="2"/>
  <c r="DW626" i="2" s="1"/>
  <c r="CM637" i="2"/>
  <c r="DW632" i="2" s="1"/>
  <c r="CM657" i="2"/>
  <c r="DW652" i="2" s="1"/>
  <c r="CM635" i="2"/>
  <c r="DW630" i="2" s="1"/>
  <c r="CM658" i="2"/>
  <c r="DW653" i="2" s="1"/>
  <c r="CM659" i="2"/>
  <c r="DW654" i="2" s="1"/>
  <c r="CM87" i="34"/>
  <c r="DW82" i="34" s="1"/>
  <c r="CM89" i="34"/>
  <c r="DW84" i="34" s="1"/>
  <c r="CM58" i="34"/>
  <c r="DW53" i="34" s="1"/>
  <c r="CM83" i="34"/>
  <c r="DW78" i="34" s="1"/>
  <c r="CM73" i="34"/>
  <c r="DW68" i="34" s="1"/>
  <c r="CM65" i="34"/>
  <c r="DW60" i="34" s="1"/>
  <c r="CM88" i="34"/>
  <c r="DW83" i="34" s="1"/>
  <c r="Q94" i="2"/>
  <c r="T94" i="2" s="1"/>
  <c r="U94" i="2" s="1"/>
  <c r="CM622" i="2"/>
  <c r="DW617" i="2" s="1"/>
  <c r="CM619" i="2"/>
  <c r="DW614" i="2" s="1"/>
  <c r="CM634" i="2"/>
  <c r="DW629" i="2" s="1"/>
  <c r="CM648" i="2"/>
  <c r="DW643" i="2" s="1"/>
  <c r="CM624" i="2"/>
  <c r="DW619" i="2" s="1"/>
  <c r="CM626" i="2"/>
  <c r="DW621" i="2" s="1"/>
  <c r="CM625" i="2"/>
  <c r="DW620" i="2" s="1"/>
  <c r="CM74" i="34"/>
  <c r="DW69" i="34" s="1"/>
  <c r="CM77" i="34"/>
  <c r="DW72" i="34" s="1"/>
  <c r="CM66" i="34"/>
  <c r="DW61" i="34" s="1"/>
  <c r="CM90" i="34"/>
  <c r="DW85" i="34" s="1"/>
  <c r="CM52" i="34"/>
  <c r="DW47" i="34" s="1"/>
  <c r="CM81" i="34"/>
  <c r="DW76" i="34" s="1"/>
  <c r="CM68" i="34"/>
  <c r="DW63" i="34" s="1"/>
  <c r="CM75" i="34"/>
  <c r="DW70" i="34" s="1"/>
  <c r="Q88" i="2"/>
  <c r="T88" i="2" s="1"/>
  <c r="U88" i="2" s="1"/>
  <c r="Q60" i="2"/>
  <c r="S60" i="2" s="1"/>
  <c r="CM662" i="2"/>
  <c r="DW657" i="2" s="1"/>
  <c r="CM633" i="2"/>
  <c r="DW628" i="2" s="1"/>
  <c r="CM650" i="2"/>
  <c r="DW645" i="2" s="1"/>
  <c r="CM645" i="2"/>
  <c r="DW640" i="2" s="1"/>
  <c r="CM642" i="2"/>
  <c r="DW637" i="2" s="1"/>
  <c r="CM655" i="2"/>
  <c r="DW650" i="2" s="1"/>
  <c r="CM623" i="2"/>
  <c r="DW618" i="2" s="1"/>
  <c r="CM620" i="2"/>
  <c r="DW615" i="2" s="1"/>
  <c r="CM641" i="2"/>
  <c r="DW636" i="2" s="1"/>
  <c r="CM54" i="34"/>
  <c r="DW49" i="34" s="1"/>
  <c r="CM92" i="34"/>
  <c r="DW87" i="34" s="1"/>
  <c r="CM62" i="34"/>
  <c r="DW57" i="34" s="1"/>
  <c r="CM78" i="34"/>
  <c r="DW73" i="34" s="1"/>
  <c r="CM50" i="34"/>
  <c r="DW45" i="34" s="1"/>
  <c r="Q54" i="2"/>
  <c r="S54" i="2" s="1"/>
  <c r="BH49" i="31"/>
  <c r="Q69" i="2"/>
  <c r="T69" i="2" s="1"/>
  <c r="U69" i="2" s="1"/>
  <c r="Q52" i="2"/>
  <c r="T52" i="2" s="1"/>
  <c r="U52" i="2" s="1"/>
  <c r="AM182" i="8"/>
  <c r="AN182" i="8" s="1"/>
  <c r="AG124" i="8"/>
  <c r="H125" i="36"/>
  <c r="AE179" i="40" s="1"/>
  <c r="AW179" i="40" s="1"/>
  <c r="S179" i="8"/>
  <c r="T179" i="8" s="1"/>
  <c r="R180" i="6"/>
  <c r="B71" i="36"/>
  <c r="AG123" i="8"/>
  <c r="Q91" i="2"/>
  <c r="Q90" i="2"/>
  <c r="C69" i="11"/>
  <c r="D69" i="11" s="1"/>
  <c r="E69" i="11" s="1"/>
  <c r="AM73" i="6"/>
  <c r="AE73" i="6"/>
  <c r="J69" i="36"/>
  <c r="AE178" i="6"/>
  <c r="AW178" i="6" s="1"/>
  <c r="CV26" i="31"/>
  <c r="AZ33" i="31"/>
  <c r="AW33" i="31"/>
  <c r="AV33" i="31"/>
  <c r="AE178" i="3"/>
  <c r="J14" i="36"/>
  <c r="AE122" i="8"/>
  <c r="AE122" i="3"/>
  <c r="AE122" i="6"/>
  <c r="Q56" i="2"/>
  <c r="Q81" i="2"/>
  <c r="BF21" i="8"/>
  <c r="AN21" i="8"/>
  <c r="BG21" i="8" s="1"/>
  <c r="AB74" i="8"/>
  <c r="AH123" i="8"/>
  <c r="R125" i="6"/>
  <c r="AN72" i="6"/>
  <c r="AN36" i="31"/>
  <c r="AM37" i="31"/>
  <c r="Q85" i="2"/>
  <c r="Q64" i="2"/>
  <c r="C18" i="11"/>
  <c r="D18" i="11" s="1"/>
  <c r="E18" i="11" s="1"/>
  <c r="AM73" i="3"/>
  <c r="AE73" i="3"/>
  <c r="AI122" i="8"/>
  <c r="T76" i="4" s="1"/>
  <c r="CD648" i="2"/>
  <c r="CD628" i="2"/>
  <c r="CD621" i="2"/>
  <c r="CD622" i="2"/>
  <c r="CD635" i="2"/>
  <c r="CD658" i="2"/>
  <c r="CD629" i="2"/>
  <c r="CD638" i="2"/>
  <c r="CD649" i="2"/>
  <c r="CD652" i="2"/>
  <c r="CD645" i="2"/>
  <c r="CT635" i="2"/>
  <c r="CT658" i="2"/>
  <c r="CT650" i="2"/>
  <c r="CT645" i="2"/>
  <c r="CT639" i="2"/>
  <c r="CT623" i="2"/>
  <c r="CT665" i="2"/>
  <c r="CT644" i="2"/>
  <c r="CT662" i="2"/>
  <c r="CT643" i="2"/>
  <c r="CT621" i="2"/>
  <c r="CT653" i="2"/>
  <c r="CD79" i="34"/>
  <c r="CD60" i="34"/>
  <c r="CD65" i="34"/>
  <c r="CD80" i="34"/>
  <c r="CD74" i="34"/>
  <c r="CD63" i="34"/>
  <c r="CD88" i="34"/>
  <c r="CD62" i="34"/>
  <c r="CD81" i="34"/>
  <c r="CD92" i="34"/>
  <c r="CD68" i="34"/>
  <c r="CD69" i="34"/>
  <c r="CT74" i="34"/>
  <c r="CT70" i="34"/>
  <c r="CT94" i="34"/>
  <c r="CT55" i="34"/>
  <c r="CT59" i="34"/>
  <c r="CT92" i="34"/>
  <c r="CT51" i="34"/>
  <c r="CT83" i="34"/>
  <c r="CT82" i="34"/>
  <c r="CT52" i="34"/>
  <c r="CT91" i="34"/>
  <c r="CT88" i="34"/>
  <c r="Q57" i="2"/>
  <c r="CT27" i="31"/>
  <c r="CV27" i="31" s="1"/>
  <c r="BI50" i="31"/>
  <c r="BE50" i="31"/>
  <c r="BF50" i="31"/>
  <c r="BD50" i="31"/>
  <c r="H70" i="36"/>
  <c r="AE179" i="39" s="1"/>
  <c r="AW179" i="39" s="1"/>
  <c r="S179" i="6"/>
  <c r="T179" i="6" s="1"/>
  <c r="Q66" i="2"/>
  <c r="Q53" i="2"/>
  <c r="V178" i="6"/>
  <c r="AO177" i="8"/>
  <c r="AP177" i="8" s="1"/>
  <c r="L124" i="6"/>
  <c r="M124" i="6"/>
  <c r="N124" i="6"/>
  <c r="Q67" i="2"/>
  <c r="Q49" i="2"/>
  <c r="Q65" i="2"/>
  <c r="AB22" i="6"/>
  <c r="M20" i="11"/>
  <c r="AB22" i="3"/>
  <c r="AB22" i="8"/>
  <c r="BT33" i="31"/>
  <c r="BV33" i="31" s="1"/>
  <c r="BW33" i="31" s="1"/>
  <c r="BS34" i="31"/>
  <c r="AN72" i="3"/>
  <c r="R125" i="3"/>
  <c r="R180" i="8"/>
  <c r="B126" i="36"/>
  <c r="D126" i="36" s="1"/>
  <c r="E126" i="36" s="1"/>
  <c r="S180" i="40" s="1"/>
  <c r="T180" i="40" s="1"/>
  <c r="AR35" i="31"/>
  <c r="AO35" i="31"/>
  <c r="AQ35" i="31" s="1"/>
  <c r="CL30" i="31" s="1"/>
  <c r="G31" i="31" s="1"/>
  <c r="Q87" i="2"/>
  <c r="Q92" i="2"/>
  <c r="Q61" i="2"/>
  <c r="V178" i="8"/>
  <c r="AE121" i="6"/>
  <c r="AE121" i="8"/>
  <c r="AE121" i="3"/>
  <c r="CD625" i="2"/>
  <c r="CD659" i="2"/>
  <c r="CD633" i="2"/>
  <c r="CD657" i="2"/>
  <c r="CD662" i="2"/>
  <c r="CD655" i="2"/>
  <c r="CD639" i="2"/>
  <c r="CD620" i="2"/>
  <c r="CD664" i="2"/>
  <c r="CD647" i="2"/>
  <c r="CD627" i="2"/>
  <c r="CD623" i="2"/>
  <c r="CT630" i="2"/>
  <c r="CT652" i="2"/>
  <c r="CT660" i="2"/>
  <c r="CT651" i="2"/>
  <c r="CT640" i="2"/>
  <c r="CT628" i="2"/>
  <c r="CT632" i="2"/>
  <c r="CT663" i="2"/>
  <c r="CT626" i="2"/>
  <c r="CT661" i="2"/>
  <c r="CT659" i="2"/>
  <c r="CD64" i="34"/>
  <c r="CD93" i="34"/>
  <c r="CD56" i="34"/>
  <c r="CD96" i="34"/>
  <c r="CD77" i="34"/>
  <c r="CD95" i="34"/>
  <c r="CD87" i="34"/>
  <c r="CD61" i="34"/>
  <c r="CD55" i="34"/>
  <c r="CD94" i="34"/>
  <c r="CD58" i="34"/>
  <c r="CD89" i="34"/>
  <c r="CT80" i="34"/>
  <c r="CT86" i="34"/>
  <c r="CT95" i="34"/>
  <c r="CT66" i="34"/>
  <c r="CT61" i="34"/>
  <c r="CT93" i="34"/>
  <c r="CT62" i="34"/>
  <c r="CT54" i="34"/>
  <c r="CT56" i="34"/>
  <c r="CT89" i="34"/>
  <c r="CT90" i="34"/>
  <c r="CT85" i="34"/>
  <c r="Q80" i="2"/>
  <c r="N124" i="3"/>
  <c r="L124" i="3"/>
  <c r="M124" i="3"/>
  <c r="AH123" i="3"/>
  <c r="H15" i="36"/>
  <c r="AE179" i="38" s="1"/>
  <c r="AW179" i="38" s="1"/>
  <c r="S179" i="3"/>
  <c r="T179" i="3" s="1"/>
  <c r="BB52" i="31"/>
  <c r="BC51" i="31"/>
  <c r="Q70" i="2"/>
  <c r="Q72" i="2"/>
  <c r="O181" i="8"/>
  <c r="B127" i="43" s="1"/>
  <c r="D127" i="43" s="1"/>
  <c r="E127" i="43" s="1"/>
  <c r="H127" i="43" s="1"/>
  <c r="J127" i="43" s="1"/>
  <c r="Y124" i="8"/>
  <c r="AB124" i="8" s="1"/>
  <c r="AF123" i="8"/>
  <c r="AC124" i="6"/>
  <c r="Z124" i="6"/>
  <c r="AA181" i="6"/>
  <c r="Q63" i="2"/>
  <c r="Q75" i="2"/>
  <c r="Q55" i="2"/>
  <c r="BF21" i="3"/>
  <c r="AN21" i="3"/>
  <c r="BG21" i="3" s="1"/>
  <c r="AE26" i="9"/>
  <c r="AE21" i="3"/>
  <c r="AF21" i="3"/>
  <c r="AG21" i="3"/>
  <c r="AC21" i="3"/>
  <c r="AD21" i="3"/>
  <c r="AB74" i="3"/>
  <c r="Z124" i="8"/>
  <c r="AC124" i="8"/>
  <c r="AA181" i="8"/>
  <c r="H125" i="3"/>
  <c r="AC182" i="3"/>
  <c r="AU182" i="3" s="1"/>
  <c r="K125" i="3"/>
  <c r="V125" i="3"/>
  <c r="H125" i="6"/>
  <c r="AC182" i="6"/>
  <c r="AU182" i="6" s="1"/>
  <c r="K125" i="6"/>
  <c r="V125" i="6"/>
  <c r="AF123" i="6"/>
  <c r="BP32" i="31"/>
  <c r="BN32" i="31"/>
  <c r="BO32" i="31" s="1"/>
  <c r="Q89" i="2"/>
  <c r="Q74" i="2"/>
  <c r="Q68" i="2"/>
  <c r="O181" i="3"/>
  <c r="B17" i="43" s="1"/>
  <c r="Y124" i="3"/>
  <c r="AB124" i="3" s="1"/>
  <c r="AN120" i="8"/>
  <c r="AQ120" i="8" s="1"/>
  <c r="B115" i="15"/>
  <c r="C115" i="15" s="1"/>
  <c r="AZ177" i="8"/>
  <c r="AM120" i="8"/>
  <c r="AP120" i="8" s="1"/>
  <c r="AO120" i="8"/>
  <c r="AR120" i="8" s="1"/>
  <c r="AL120" i="8"/>
  <c r="J124" i="36"/>
  <c r="AE178" i="8"/>
  <c r="AW178" i="8" s="1"/>
  <c r="CD642" i="2"/>
  <c r="CD630" i="2"/>
  <c r="CD626" i="2"/>
  <c r="CD631" i="2"/>
  <c r="CD637" i="2"/>
  <c r="CD624" i="2"/>
  <c r="CD634" i="2"/>
  <c r="CD640" i="2"/>
  <c r="CD636" i="2"/>
  <c r="CD656" i="2"/>
  <c r="CD650" i="2"/>
  <c r="CD643" i="2"/>
  <c r="CT636" i="2"/>
  <c r="CT642" i="2"/>
  <c r="CT625" i="2"/>
  <c r="CT654" i="2"/>
  <c r="CT620" i="2"/>
  <c r="CT638" i="2"/>
  <c r="CT634" i="2"/>
  <c r="CT619" i="2"/>
  <c r="CT657" i="2"/>
  <c r="CT649" i="2"/>
  <c r="CT633" i="2"/>
  <c r="CT637" i="2"/>
  <c r="CD67" i="34"/>
  <c r="CD86" i="34"/>
  <c r="CD75" i="34"/>
  <c r="CD53" i="34"/>
  <c r="CD76" i="34"/>
  <c r="CD73" i="34"/>
  <c r="CD85" i="34"/>
  <c r="CD50" i="34"/>
  <c r="CD90" i="34"/>
  <c r="CD82" i="34"/>
  <c r="CD59" i="34"/>
  <c r="CD57" i="34"/>
  <c r="CT84" i="34"/>
  <c r="CT71" i="34"/>
  <c r="CT69" i="34"/>
  <c r="CT76" i="34"/>
  <c r="CT79" i="34"/>
  <c r="CT77" i="34"/>
  <c r="CT72" i="34"/>
  <c r="CT53" i="34"/>
  <c r="CT50" i="34"/>
  <c r="CT68" i="34"/>
  <c r="CT96" i="34"/>
  <c r="C120" i="11"/>
  <c r="D120" i="11" s="1"/>
  <c r="E120" i="11" s="1"/>
  <c r="AM73" i="8"/>
  <c r="AE73" i="8"/>
  <c r="AG123" i="6"/>
  <c r="CO28" i="31"/>
  <c r="CK29" i="31"/>
  <c r="CR28" i="31"/>
  <c r="AC124" i="3"/>
  <c r="Z124" i="3"/>
  <c r="AA181" i="3"/>
  <c r="B16" i="36"/>
  <c r="D16" i="36" s="1"/>
  <c r="E16" i="36" s="1"/>
  <c r="S180" i="38" s="1"/>
  <c r="T180" i="38" s="1"/>
  <c r="R180" i="3"/>
  <c r="AN120" i="3"/>
  <c r="AQ120" i="3" s="1"/>
  <c r="AM120" i="3"/>
  <c r="AP120" i="3" s="1"/>
  <c r="AL120" i="3"/>
  <c r="AO120" i="3"/>
  <c r="AR120" i="3" s="1"/>
  <c r="B15" i="15"/>
  <c r="C15" i="15" s="1"/>
  <c r="J15" i="15" s="1"/>
  <c r="AZ177" i="3"/>
  <c r="AH123" i="6"/>
  <c r="Q51" i="2"/>
  <c r="Q58" i="2"/>
  <c r="Y124" i="6"/>
  <c r="AB124" i="6" s="1"/>
  <c r="O181" i="6"/>
  <c r="B72" i="43" s="1"/>
  <c r="AF123" i="3"/>
  <c r="AT35" i="31"/>
  <c r="AU34" i="31"/>
  <c r="AM120" i="6"/>
  <c r="AP120" i="6" s="1"/>
  <c r="AL120" i="6"/>
  <c r="B65" i="15"/>
  <c r="C65" i="15" s="1"/>
  <c r="AN120" i="6"/>
  <c r="AQ120" i="6" s="1"/>
  <c r="AO120" i="6"/>
  <c r="AR120" i="6" s="1"/>
  <c r="AZ177" i="6"/>
  <c r="AN72" i="8"/>
  <c r="S125" i="8"/>
  <c r="H125" i="8"/>
  <c r="AC182" i="8"/>
  <c r="AU182" i="8" s="1"/>
  <c r="V125" i="8"/>
  <c r="K125" i="8"/>
  <c r="N125" i="8" s="1"/>
  <c r="Q62" i="2"/>
  <c r="Q77" i="2"/>
  <c r="Q71" i="2"/>
  <c r="BF21" i="6"/>
  <c r="AN21" i="6"/>
  <c r="BG21" i="6" s="1"/>
  <c r="AB74" i="6"/>
  <c r="M124" i="8"/>
  <c r="L124" i="8"/>
  <c r="AA124" i="3"/>
  <c r="AA125" i="6"/>
  <c r="AY32" i="31"/>
  <c r="BK34" i="31"/>
  <c r="BL33" i="31"/>
  <c r="Q50" i="2"/>
  <c r="Q48" i="2"/>
  <c r="Q84" i="2"/>
  <c r="AA124" i="6"/>
  <c r="AI123" i="3"/>
  <c r="E77" i="4" s="1"/>
  <c r="CD644" i="2"/>
  <c r="CD632" i="2"/>
  <c r="CD646" i="2"/>
  <c r="CD651" i="2"/>
  <c r="CD660" i="2"/>
  <c r="CD653" i="2"/>
  <c r="CD654" i="2"/>
  <c r="CD665" i="2"/>
  <c r="CD619" i="2"/>
  <c r="CD661" i="2"/>
  <c r="CD641" i="2"/>
  <c r="CD663" i="2"/>
  <c r="CT664" i="2"/>
  <c r="CT648" i="2"/>
  <c r="CT622" i="2"/>
  <c r="CT629" i="2"/>
  <c r="CT624" i="2"/>
  <c r="CT656" i="2"/>
  <c r="CT647" i="2"/>
  <c r="CT631" i="2"/>
  <c r="CT655" i="2"/>
  <c r="CT646" i="2"/>
  <c r="CT641" i="2"/>
  <c r="CT627" i="2"/>
  <c r="CD91" i="34"/>
  <c r="CD70" i="34"/>
  <c r="CD52" i="34"/>
  <c r="CD51" i="34"/>
  <c r="CD66" i="34"/>
  <c r="CD84" i="34"/>
  <c r="CD72" i="34"/>
  <c r="CD54" i="34"/>
  <c r="CD71" i="34"/>
  <c r="CD83" i="34"/>
  <c r="CD78" i="34"/>
  <c r="CT81" i="34"/>
  <c r="CT60" i="34"/>
  <c r="CT67" i="34"/>
  <c r="CT57" i="34"/>
  <c r="CT64" i="34"/>
  <c r="CT75" i="34"/>
  <c r="CT65" i="34"/>
  <c r="CT87" i="34"/>
  <c r="CT63" i="34"/>
  <c r="CT73" i="34"/>
  <c r="CT78" i="34"/>
  <c r="CT58" i="34"/>
  <c r="AS113" i="6"/>
  <c r="AT113" i="6" s="1"/>
  <c r="F58" i="15"/>
  <c r="I58" i="15"/>
  <c r="J58" i="15"/>
  <c r="E58" i="15"/>
  <c r="E108" i="15"/>
  <c r="J108" i="15"/>
  <c r="F108" i="15"/>
  <c r="I108" i="15"/>
  <c r="AS113" i="3"/>
  <c r="AT113" i="3" s="1"/>
  <c r="AS113" i="8"/>
  <c r="AT113" i="8" s="1"/>
  <c r="F8" i="15"/>
  <c r="E8" i="15"/>
  <c r="I8" i="15"/>
  <c r="CC433" i="2"/>
  <c r="CD432" i="2"/>
  <c r="AS113" i="38" l="1"/>
  <c r="AT113" i="38" s="1"/>
  <c r="AI122" i="39"/>
  <c r="D72" i="43"/>
  <c r="E72" i="43" s="1"/>
  <c r="H72" i="43" s="1"/>
  <c r="J72" i="43" s="1"/>
  <c r="D17" i="43"/>
  <c r="E17" i="43" s="1"/>
  <c r="H17" i="43" s="1"/>
  <c r="J17" i="43" s="1"/>
  <c r="T93" i="2"/>
  <c r="U93" i="2" s="1"/>
  <c r="X93" i="2" s="1"/>
  <c r="DA93" i="2" s="1"/>
  <c r="AY178" i="38"/>
  <c r="AI123" i="8"/>
  <c r="T77" i="4" s="1"/>
  <c r="AS120" i="40"/>
  <c r="AT120" i="40" s="1"/>
  <c r="AK122" i="39"/>
  <c r="AL122" i="39" s="1"/>
  <c r="AK122" i="40"/>
  <c r="AL122" i="40" s="1"/>
  <c r="AY178" i="39"/>
  <c r="AK121" i="39"/>
  <c r="AS120" i="39"/>
  <c r="AT120" i="39" s="1"/>
  <c r="AY178" i="40"/>
  <c r="AK121" i="40"/>
  <c r="S79" i="2"/>
  <c r="S59" i="2"/>
  <c r="AM181" i="40"/>
  <c r="AN181" i="40" s="1"/>
  <c r="AA124" i="40"/>
  <c r="X125" i="40"/>
  <c r="H125" i="40"/>
  <c r="AC182" i="40"/>
  <c r="AU182" i="40" s="1"/>
  <c r="V125" i="40"/>
  <c r="K125" i="40"/>
  <c r="AA181" i="40"/>
  <c r="AC124" i="40"/>
  <c r="AB124" i="40"/>
  <c r="Z124" i="40"/>
  <c r="AF123" i="40"/>
  <c r="G126" i="8"/>
  <c r="G126" i="40"/>
  <c r="V180" i="40"/>
  <c r="L124" i="40"/>
  <c r="N124" i="40"/>
  <c r="AH123" i="40"/>
  <c r="AO178" i="8"/>
  <c r="AP178" i="8" s="1"/>
  <c r="AO179" i="40"/>
  <c r="AP179" i="40" s="1"/>
  <c r="AI122" i="40"/>
  <c r="G126" i="6"/>
  <c r="X126" i="6" s="1"/>
  <c r="AM183" i="6" s="1"/>
  <c r="AN183" i="6" s="1"/>
  <c r="G126" i="39"/>
  <c r="AZ179" i="39"/>
  <c r="N124" i="39"/>
  <c r="L124" i="39"/>
  <c r="AA124" i="39"/>
  <c r="AM181" i="39"/>
  <c r="AN181" i="39" s="1"/>
  <c r="AG123" i="39"/>
  <c r="AC124" i="39"/>
  <c r="AA181" i="39"/>
  <c r="AB124" i="39"/>
  <c r="Z124" i="39"/>
  <c r="AF123" i="39"/>
  <c r="AC182" i="39"/>
  <c r="AU182" i="39" s="1"/>
  <c r="H125" i="39"/>
  <c r="X125" i="39"/>
  <c r="V125" i="39"/>
  <c r="K125" i="39"/>
  <c r="AO179" i="39"/>
  <c r="AP179" i="39" s="1"/>
  <c r="AH123" i="39"/>
  <c r="G126" i="3"/>
  <c r="X126" i="3" s="1"/>
  <c r="G126" i="38"/>
  <c r="AA124" i="38"/>
  <c r="AM181" i="38"/>
  <c r="AN181" i="38" s="1"/>
  <c r="AI122" i="38"/>
  <c r="AG123" i="38"/>
  <c r="V180" i="38"/>
  <c r="L124" i="38"/>
  <c r="N124" i="38"/>
  <c r="AF123" i="38"/>
  <c r="AO122" i="38"/>
  <c r="AR122" i="38" s="1"/>
  <c r="AC182" i="38"/>
  <c r="AU182" i="38" s="1"/>
  <c r="X125" i="38"/>
  <c r="H125" i="38"/>
  <c r="K125" i="38"/>
  <c r="M125" i="38" s="1"/>
  <c r="V125" i="38"/>
  <c r="AM122" i="38"/>
  <c r="AP122" i="38" s="1"/>
  <c r="AA181" i="38"/>
  <c r="AC124" i="38"/>
  <c r="AB124" i="38"/>
  <c r="Z124" i="38"/>
  <c r="AF124" i="38" s="1"/>
  <c r="AH123" i="38"/>
  <c r="AL122" i="38"/>
  <c r="AZ179" i="38"/>
  <c r="AO179" i="38"/>
  <c r="AP179" i="38" s="1"/>
  <c r="AZ178" i="38"/>
  <c r="AL121" i="38"/>
  <c r="AN121" i="38"/>
  <c r="AQ121" i="38" s="1"/>
  <c r="AM121" i="38"/>
  <c r="AP121" i="38" s="1"/>
  <c r="AO121" i="38"/>
  <c r="AR121" i="38" s="1"/>
  <c r="T82" i="2"/>
  <c r="U82" i="2" s="1"/>
  <c r="X82" i="2" s="1"/>
  <c r="DA82" i="2" s="1"/>
  <c r="S73" i="2"/>
  <c r="T86" i="2"/>
  <c r="U86" i="2" s="1"/>
  <c r="X86" i="2" s="1"/>
  <c r="DA86" i="2" s="1"/>
  <c r="S94" i="2"/>
  <c r="T54" i="2"/>
  <c r="U54" i="2" s="1"/>
  <c r="X54" i="2" s="1"/>
  <c r="DA54" i="2" s="1"/>
  <c r="S88" i="2"/>
  <c r="S83" i="2"/>
  <c r="T76" i="2"/>
  <c r="U76" i="2" s="1"/>
  <c r="X76" i="2" s="1"/>
  <c r="DA76" i="2" s="1"/>
  <c r="T78" i="2"/>
  <c r="U78" i="2" s="1"/>
  <c r="X78" i="2" s="1"/>
  <c r="DA78" i="2" s="1"/>
  <c r="T60" i="2"/>
  <c r="U60" i="2" s="1"/>
  <c r="X60" i="2" s="1"/>
  <c r="DA60" i="2" s="1"/>
  <c r="S69" i="2"/>
  <c r="S52" i="2"/>
  <c r="T84" i="2"/>
  <c r="U84" i="2" s="1"/>
  <c r="S84" i="2"/>
  <c r="H126" i="8"/>
  <c r="AC183" i="8"/>
  <c r="AU183" i="8" s="1"/>
  <c r="K126" i="8"/>
  <c r="M126" i="8" s="1"/>
  <c r="V126" i="8"/>
  <c r="S68" i="2"/>
  <c r="T68" i="2"/>
  <c r="U68" i="2" s="1"/>
  <c r="L125" i="3"/>
  <c r="M125" i="3"/>
  <c r="BI51" i="31"/>
  <c r="BF51" i="31"/>
  <c r="BD51" i="31"/>
  <c r="BE51" i="31"/>
  <c r="BT34" i="31"/>
  <c r="BV34" i="31" s="1"/>
  <c r="BW34" i="31" s="1"/>
  <c r="BX34" i="31" s="1"/>
  <c r="BS35" i="31"/>
  <c r="AR36" i="31"/>
  <c r="AO36" i="31"/>
  <c r="AQ36" i="31" s="1"/>
  <c r="CL31" i="31" s="1"/>
  <c r="G32" i="31" s="1"/>
  <c r="V179" i="8"/>
  <c r="S48" i="2"/>
  <c r="T48" i="2"/>
  <c r="U48" i="2" s="1"/>
  <c r="L125" i="8"/>
  <c r="M125" i="8"/>
  <c r="Y125" i="8"/>
  <c r="AB125" i="8" s="1"/>
  <c r="O182" i="8"/>
  <c r="B128" i="43" s="1"/>
  <c r="AS120" i="6"/>
  <c r="AT120" i="6" s="1"/>
  <c r="S180" i="3"/>
  <c r="T180" i="3" s="1"/>
  <c r="H16" i="36"/>
  <c r="AE180" i="38" s="1"/>
  <c r="AW180" i="38" s="1"/>
  <c r="X94" i="2"/>
  <c r="DA94" i="2" s="1"/>
  <c r="S74" i="2"/>
  <c r="T74" i="2"/>
  <c r="U74" i="2" s="1"/>
  <c r="S55" i="2"/>
  <c r="T55" i="2"/>
  <c r="U55" i="2" s="1"/>
  <c r="BC52" i="31"/>
  <c r="BB53" i="31"/>
  <c r="S80" i="2"/>
  <c r="T80" i="2"/>
  <c r="U80" i="2" s="1"/>
  <c r="AY178" i="3"/>
  <c r="AK121" i="3"/>
  <c r="I75" i="4"/>
  <c r="C75" i="4"/>
  <c r="N125" i="3"/>
  <c r="AN22" i="6"/>
  <c r="BG22" i="6" s="1"/>
  <c r="BF22" i="6"/>
  <c r="AB75" i="6"/>
  <c r="V179" i="6"/>
  <c r="X59" i="2"/>
  <c r="DA59" i="2" s="1"/>
  <c r="S56" i="2"/>
  <c r="T56" i="2"/>
  <c r="U56" i="2" s="1"/>
  <c r="J125" i="36"/>
  <c r="AE179" i="8"/>
  <c r="AW179" i="8" s="1"/>
  <c r="J115" i="15"/>
  <c r="E115" i="15"/>
  <c r="F115" i="15"/>
  <c r="I115" i="15"/>
  <c r="M125" i="6"/>
  <c r="L125" i="6"/>
  <c r="M21" i="11"/>
  <c r="AB23" i="8"/>
  <c r="AB23" i="3"/>
  <c r="AB23" i="6"/>
  <c r="S66" i="2"/>
  <c r="T66" i="2"/>
  <c r="U66" i="2" s="1"/>
  <c r="S85" i="2"/>
  <c r="T85" i="2"/>
  <c r="U85" i="2" s="1"/>
  <c r="AY179" i="8"/>
  <c r="R76" i="4"/>
  <c r="V76" i="4" s="1"/>
  <c r="AK122" i="8"/>
  <c r="X73" i="2"/>
  <c r="DA73" i="2" s="1"/>
  <c r="G77" i="4"/>
  <c r="S50" i="2"/>
  <c r="T50" i="2"/>
  <c r="U50" i="2" s="1"/>
  <c r="AG125" i="6"/>
  <c r="C70" i="11"/>
  <c r="D70" i="11" s="1"/>
  <c r="E70" i="11" s="1"/>
  <c r="AM74" i="6"/>
  <c r="AE74" i="6"/>
  <c r="S71" i="2"/>
  <c r="T71" i="2"/>
  <c r="U71" i="2" s="1"/>
  <c r="AC125" i="8"/>
  <c r="Z125" i="8"/>
  <c r="AA182" i="8"/>
  <c r="AZ34" i="31"/>
  <c r="AV34" i="31"/>
  <c r="AW34" i="31"/>
  <c r="B72" i="36"/>
  <c r="R181" i="6"/>
  <c r="AS120" i="3"/>
  <c r="AT120" i="3" s="1"/>
  <c r="CT28" i="31"/>
  <c r="CV28" i="31" s="1"/>
  <c r="X79" i="2"/>
  <c r="DA79" i="2" s="1"/>
  <c r="AS120" i="8"/>
  <c r="AT120" i="8" s="1"/>
  <c r="AH124" i="3"/>
  <c r="T89" i="2"/>
  <c r="U89" i="2" s="1"/>
  <c r="S89" i="2"/>
  <c r="AI123" i="6"/>
  <c r="M77" i="4" s="1"/>
  <c r="T75" i="2"/>
  <c r="U75" i="2" s="1"/>
  <c r="S75" i="2"/>
  <c r="AF124" i="6"/>
  <c r="AH124" i="8"/>
  <c r="V179" i="3"/>
  <c r="X88" i="2"/>
  <c r="DA88" i="2" s="1"/>
  <c r="AY178" i="8"/>
  <c r="R75" i="4"/>
  <c r="V75" i="4" s="1"/>
  <c r="AK121" i="8"/>
  <c r="S61" i="2"/>
  <c r="T61" i="2"/>
  <c r="U61" i="2" s="1"/>
  <c r="O182" i="3"/>
  <c r="B18" i="43" s="1"/>
  <c r="Y125" i="3"/>
  <c r="AB125" i="3" s="1"/>
  <c r="AN22" i="8"/>
  <c r="BG22" i="8" s="1"/>
  <c r="BF22" i="8"/>
  <c r="AB75" i="8"/>
  <c r="T65" i="2"/>
  <c r="U65" i="2" s="1"/>
  <c r="S65" i="2"/>
  <c r="AO178" i="6"/>
  <c r="AP178" i="6" s="1"/>
  <c r="AE179" i="6"/>
  <c r="AW179" i="6" s="1"/>
  <c r="J70" i="36"/>
  <c r="T57" i="2"/>
  <c r="U57" i="2" s="1"/>
  <c r="S57" i="2"/>
  <c r="AN73" i="3"/>
  <c r="R126" i="3"/>
  <c r="AC183" i="3"/>
  <c r="AU183" i="3" s="1"/>
  <c r="H126" i="3"/>
  <c r="V126" i="3"/>
  <c r="K126" i="3"/>
  <c r="L126" i="3" s="1"/>
  <c r="X69" i="2"/>
  <c r="DA69" i="2" s="1"/>
  <c r="N125" i="6"/>
  <c r="C121" i="11"/>
  <c r="D121" i="11" s="1"/>
  <c r="E121" i="11" s="1"/>
  <c r="AM74" i="8"/>
  <c r="AE74" i="8"/>
  <c r="S81" i="2"/>
  <c r="T81" i="2"/>
  <c r="U81" i="2" s="1"/>
  <c r="AY179" i="6"/>
  <c r="K76" i="4"/>
  <c r="O76" i="4" s="1"/>
  <c r="AK122" i="6"/>
  <c r="AW178" i="3"/>
  <c r="AO178" i="3"/>
  <c r="AP178" i="3" s="1"/>
  <c r="T90" i="2"/>
  <c r="U90" i="2" s="1"/>
  <c r="S90" i="2"/>
  <c r="D71" i="36"/>
  <c r="E71" i="36" s="1"/>
  <c r="S180" i="39" s="1"/>
  <c r="T180" i="39" s="1"/>
  <c r="BK35" i="31"/>
  <c r="BL34" i="31"/>
  <c r="S62" i="2"/>
  <c r="T62" i="2"/>
  <c r="U62" i="2" s="1"/>
  <c r="T58" i="2"/>
  <c r="U58" i="2" s="1"/>
  <c r="S58" i="2"/>
  <c r="AF124" i="3"/>
  <c r="S126" i="8"/>
  <c r="AN73" i="8"/>
  <c r="C19" i="11"/>
  <c r="D19" i="11" s="1"/>
  <c r="E19" i="11" s="1"/>
  <c r="AM74" i="3"/>
  <c r="AE74" i="3"/>
  <c r="S72" i="2"/>
  <c r="T72" i="2"/>
  <c r="U72" i="2" s="1"/>
  <c r="T87" i="2"/>
  <c r="U87" i="2" s="1"/>
  <c r="S87" i="2"/>
  <c r="S67" i="2"/>
  <c r="T67" i="2"/>
  <c r="U67" i="2" s="1"/>
  <c r="X83" i="2"/>
  <c r="DA83" i="2" s="1"/>
  <c r="AA126" i="3"/>
  <c r="X52" i="2"/>
  <c r="DA52" i="2" s="1"/>
  <c r="R126" i="6"/>
  <c r="AN73" i="6"/>
  <c r="AG124" i="6"/>
  <c r="BP33" i="31"/>
  <c r="BN33" i="31"/>
  <c r="BO33" i="31" s="1"/>
  <c r="AG124" i="3"/>
  <c r="S77" i="2"/>
  <c r="T77" i="2"/>
  <c r="U77" i="2" s="1"/>
  <c r="J65" i="15"/>
  <c r="F65" i="15"/>
  <c r="I65" i="15"/>
  <c r="E65" i="15"/>
  <c r="AT36" i="31"/>
  <c r="AU35" i="31"/>
  <c r="AH124" i="6"/>
  <c r="T51" i="2"/>
  <c r="U51" i="2" s="1"/>
  <c r="S51" i="2"/>
  <c r="F15" i="15"/>
  <c r="I15" i="15"/>
  <c r="E15" i="15"/>
  <c r="CR29" i="31"/>
  <c r="CO29" i="31"/>
  <c r="CK30" i="31"/>
  <c r="X126" i="8"/>
  <c r="B17" i="36"/>
  <c r="D17" i="36" s="1"/>
  <c r="E17" i="36" s="1"/>
  <c r="S181" i="38" s="1"/>
  <c r="T181" i="38" s="1"/>
  <c r="R181" i="3"/>
  <c r="AC125" i="6"/>
  <c r="Z125" i="6"/>
  <c r="AA182" i="6"/>
  <c r="AA182" i="3"/>
  <c r="AC125" i="3"/>
  <c r="Z125" i="3"/>
  <c r="AA125" i="3"/>
  <c r="AF124" i="8"/>
  <c r="AI124" i="8" s="1"/>
  <c r="T78" i="4" s="1"/>
  <c r="T63" i="2"/>
  <c r="U63" i="2" s="1"/>
  <c r="S63" i="2"/>
  <c r="B127" i="36"/>
  <c r="D127" i="36" s="1"/>
  <c r="E127" i="36" s="1"/>
  <c r="S181" i="40" s="1"/>
  <c r="T181" i="40" s="1"/>
  <c r="R181" i="8"/>
  <c r="S70" i="2"/>
  <c r="T70" i="2"/>
  <c r="U70" i="2" s="1"/>
  <c r="J15" i="36"/>
  <c r="AE179" i="3"/>
  <c r="AW179" i="3" s="1"/>
  <c r="K75" i="4"/>
  <c r="O75" i="4" s="1"/>
  <c r="AK121" i="6"/>
  <c r="AY178" i="6"/>
  <c r="S92" i="2"/>
  <c r="T92" i="2"/>
  <c r="U92" i="2" s="1"/>
  <c r="H126" i="36"/>
  <c r="AE180" i="40" s="1"/>
  <c r="AW180" i="40" s="1"/>
  <c r="S180" i="8"/>
  <c r="T180" i="8" s="1"/>
  <c r="AE27" i="9"/>
  <c r="BF22" i="3"/>
  <c r="AN22" i="3"/>
  <c r="BG22" i="3" s="1"/>
  <c r="AD22" i="3"/>
  <c r="AF22" i="3"/>
  <c r="AC22" i="3"/>
  <c r="AE22" i="3"/>
  <c r="AG22" i="3"/>
  <c r="AB75" i="3"/>
  <c r="S49" i="2"/>
  <c r="T49" i="2"/>
  <c r="U49" i="2" s="1"/>
  <c r="S53" i="2"/>
  <c r="T53" i="2"/>
  <c r="U53" i="2" s="1"/>
  <c r="BH50" i="31"/>
  <c r="AM183" i="3"/>
  <c r="AN183" i="3" s="1"/>
  <c r="S64" i="2"/>
  <c r="T64" i="2"/>
  <c r="U64" i="2" s="1"/>
  <c r="AN37" i="31"/>
  <c r="AM38" i="31"/>
  <c r="O182" i="6"/>
  <c r="B73" i="43" s="1"/>
  <c r="Y125" i="6"/>
  <c r="AB125" i="6" s="1"/>
  <c r="AK122" i="3"/>
  <c r="AY179" i="3"/>
  <c r="C76" i="4"/>
  <c r="I76" i="4"/>
  <c r="AY33" i="31"/>
  <c r="V126" i="6"/>
  <c r="K126" i="6"/>
  <c r="N126" i="6" s="1"/>
  <c r="H126" i="6"/>
  <c r="AC183" i="6"/>
  <c r="AU183" i="6" s="1"/>
  <c r="S91" i="2"/>
  <c r="T91" i="2"/>
  <c r="U91" i="2" s="1"/>
  <c r="AA125" i="8"/>
  <c r="CC434" i="2"/>
  <c r="CD433" i="2"/>
  <c r="D128" i="43" l="1"/>
  <c r="E128" i="43" s="1"/>
  <c r="H128" i="43" s="1"/>
  <c r="J128" i="43" s="1"/>
  <c r="D73" i="43"/>
  <c r="E73" i="43"/>
  <c r="H73" i="43" s="1"/>
  <c r="J73" i="43" s="1"/>
  <c r="D18" i="43"/>
  <c r="E18" i="43" s="1"/>
  <c r="H18" i="43" s="1"/>
  <c r="J18" i="43" s="1"/>
  <c r="AS122" i="38"/>
  <c r="AT122" i="38" s="1"/>
  <c r="AZ179" i="40"/>
  <c r="AO179" i="8"/>
  <c r="AP179" i="8" s="1"/>
  <c r="AO122" i="40"/>
  <c r="AR122" i="40" s="1"/>
  <c r="AI123" i="40"/>
  <c r="AO122" i="39"/>
  <c r="AR122" i="39" s="1"/>
  <c r="AM122" i="39"/>
  <c r="AP122" i="39" s="1"/>
  <c r="AN122" i="39"/>
  <c r="AQ122" i="39" s="1"/>
  <c r="AM121" i="39"/>
  <c r="AP121" i="39" s="1"/>
  <c r="AL121" i="39"/>
  <c r="AO121" i="39"/>
  <c r="AR121" i="39" s="1"/>
  <c r="AN121" i="39"/>
  <c r="AQ121" i="39" s="1"/>
  <c r="AZ178" i="39"/>
  <c r="AO121" i="40"/>
  <c r="AR121" i="40" s="1"/>
  <c r="AL121" i="40"/>
  <c r="AN121" i="40"/>
  <c r="AQ121" i="40" s="1"/>
  <c r="AM121" i="40"/>
  <c r="AP121" i="40" s="1"/>
  <c r="AZ178" i="40"/>
  <c r="AE123" i="38"/>
  <c r="AY180" i="38" s="1"/>
  <c r="AE123" i="40"/>
  <c r="AE123" i="39"/>
  <c r="AM122" i="40"/>
  <c r="AP122" i="40" s="1"/>
  <c r="AN122" i="40"/>
  <c r="AQ122" i="40" s="1"/>
  <c r="AH124" i="40"/>
  <c r="G127" i="8"/>
  <c r="G127" i="40"/>
  <c r="AO180" i="40"/>
  <c r="AP180" i="40" s="1"/>
  <c r="M125" i="40"/>
  <c r="N125" i="40"/>
  <c r="L125" i="40"/>
  <c r="AA125" i="40"/>
  <c r="AG125" i="40" s="1"/>
  <c r="AM182" i="40"/>
  <c r="AN182" i="40" s="1"/>
  <c r="V181" i="40"/>
  <c r="AC125" i="40"/>
  <c r="AA182" i="40"/>
  <c r="AB125" i="40"/>
  <c r="Z125" i="40"/>
  <c r="AG124" i="40"/>
  <c r="AC183" i="40"/>
  <c r="AU183" i="40" s="1"/>
  <c r="X126" i="40"/>
  <c r="H126" i="40"/>
  <c r="K126" i="40"/>
  <c r="M126" i="40" s="1"/>
  <c r="V126" i="40"/>
  <c r="AF124" i="40"/>
  <c r="V180" i="39"/>
  <c r="AI123" i="39"/>
  <c r="AC125" i="39"/>
  <c r="AA182" i="39"/>
  <c r="AB125" i="39"/>
  <c r="Z125" i="39"/>
  <c r="AH124" i="39"/>
  <c r="AG124" i="39"/>
  <c r="G127" i="6"/>
  <c r="X127" i="6" s="1"/>
  <c r="G127" i="39"/>
  <c r="AA125" i="39"/>
  <c r="AM182" i="39"/>
  <c r="AN182" i="39" s="1"/>
  <c r="AC183" i="39"/>
  <c r="AU183" i="39" s="1"/>
  <c r="H126" i="39"/>
  <c r="X126" i="39"/>
  <c r="K126" i="39"/>
  <c r="V126" i="39"/>
  <c r="M125" i="39"/>
  <c r="N125" i="39"/>
  <c r="L125" i="39"/>
  <c r="AF124" i="39"/>
  <c r="AS121" i="38"/>
  <c r="AT121" i="38" s="1"/>
  <c r="AG124" i="38"/>
  <c r="AH124" i="38"/>
  <c r="AI123" i="38"/>
  <c r="AO180" i="38"/>
  <c r="AP180" i="38" s="1"/>
  <c r="AC183" i="38"/>
  <c r="AU183" i="38" s="1"/>
  <c r="H126" i="38"/>
  <c r="X126" i="38"/>
  <c r="K126" i="38"/>
  <c r="V126" i="38"/>
  <c r="AC125" i="38"/>
  <c r="AA182" i="38"/>
  <c r="AB125" i="38"/>
  <c r="Z125" i="38"/>
  <c r="AA125" i="38"/>
  <c r="AM182" i="38"/>
  <c r="AN182" i="38" s="1"/>
  <c r="V181" i="38"/>
  <c r="G127" i="3"/>
  <c r="X127" i="3" s="1"/>
  <c r="AM184" i="3" s="1"/>
  <c r="AN184" i="3" s="1"/>
  <c r="G127" i="38"/>
  <c r="N125" i="38"/>
  <c r="L125" i="38"/>
  <c r="W59" i="2"/>
  <c r="CZ59" i="2" s="1"/>
  <c r="DC59" i="2" s="1"/>
  <c r="Y76" i="2"/>
  <c r="DB76" i="2" s="1"/>
  <c r="DH76" i="2" s="1"/>
  <c r="W78" i="2"/>
  <c r="CZ78" i="2" s="1"/>
  <c r="DC78" i="2" s="1"/>
  <c r="Y59" i="2"/>
  <c r="DB59" i="2" s="1"/>
  <c r="DG59" i="2" s="1"/>
  <c r="W94" i="2"/>
  <c r="CZ94" i="2" s="1"/>
  <c r="DC94" i="2" s="1"/>
  <c r="W76" i="2"/>
  <c r="CZ76" i="2" s="1"/>
  <c r="DC76" i="2" s="1"/>
  <c r="Y86" i="2"/>
  <c r="DB86" i="2" s="1"/>
  <c r="DG86" i="2" s="1"/>
  <c r="W82" i="2"/>
  <c r="CZ82" i="2" s="1"/>
  <c r="DD82" i="2" s="1"/>
  <c r="W86" i="2"/>
  <c r="CZ86" i="2" s="1"/>
  <c r="DC86" i="2" s="1"/>
  <c r="Y73" i="2"/>
  <c r="DB73" i="2" s="1"/>
  <c r="DG73" i="2" s="1"/>
  <c r="Y54" i="2"/>
  <c r="DB54" i="2" s="1"/>
  <c r="DH54" i="2" s="1"/>
  <c r="W83" i="2"/>
  <c r="CZ83" i="2" s="1"/>
  <c r="DD83" i="2" s="1"/>
  <c r="CT29" i="31"/>
  <c r="CV29" i="31" s="1"/>
  <c r="W54" i="2"/>
  <c r="CZ54" i="2" s="1"/>
  <c r="DC54" i="2" s="1"/>
  <c r="W52" i="2"/>
  <c r="CZ52" i="2" s="1"/>
  <c r="DC52" i="2" s="1"/>
  <c r="W73" i="2"/>
  <c r="CZ73" i="2" s="1"/>
  <c r="DC73" i="2" s="1"/>
  <c r="DF69" i="2"/>
  <c r="DE69" i="2"/>
  <c r="X91" i="2"/>
  <c r="DA91" i="2" s="1"/>
  <c r="H127" i="36"/>
  <c r="AE181" i="40" s="1"/>
  <c r="AW181" i="40" s="1"/>
  <c r="S181" i="8"/>
  <c r="T181" i="8" s="1"/>
  <c r="AF125" i="6"/>
  <c r="AZ35" i="31"/>
  <c r="AW35" i="31"/>
  <c r="AV35" i="31"/>
  <c r="O183" i="6"/>
  <c r="B74" i="43" s="1"/>
  <c r="Y126" i="6"/>
  <c r="AB126" i="6" s="1"/>
  <c r="AG126" i="3"/>
  <c r="X72" i="2"/>
  <c r="DA72" i="2" s="1"/>
  <c r="DE88" i="2"/>
  <c r="DF88" i="2"/>
  <c r="AE123" i="6"/>
  <c r="AE123" i="3"/>
  <c r="AE123" i="8"/>
  <c r="X66" i="2"/>
  <c r="DA66" i="2" s="1"/>
  <c r="AA183" i="6"/>
  <c r="AC126" i="6"/>
  <c r="Z126" i="6"/>
  <c r="AN38" i="31"/>
  <c r="AM39" i="31"/>
  <c r="X49" i="2"/>
  <c r="DA49" i="2" s="1"/>
  <c r="AE180" i="8"/>
  <c r="AW180" i="8" s="1"/>
  <c r="J126" i="36"/>
  <c r="AZ178" i="6"/>
  <c r="AN121" i="6"/>
  <c r="AQ121" i="6" s="1"/>
  <c r="AM121" i="6"/>
  <c r="AP121" i="6" s="1"/>
  <c r="B66" i="15"/>
  <c r="C66" i="15" s="1"/>
  <c r="AL121" i="6"/>
  <c r="AO121" i="6"/>
  <c r="AR121" i="6" s="1"/>
  <c r="X70" i="2"/>
  <c r="DA70" i="2" s="1"/>
  <c r="AG125" i="3"/>
  <c r="CK31" i="31"/>
  <c r="CR30" i="31"/>
  <c r="CO30" i="31"/>
  <c r="X51" i="2"/>
  <c r="DA51" i="2" s="1"/>
  <c r="AU36" i="31"/>
  <c r="AT37" i="31"/>
  <c r="Y126" i="8"/>
  <c r="AB126" i="8" s="1"/>
  <c r="O183" i="8"/>
  <c r="B129" i="43" s="1"/>
  <c r="D129" i="43" s="1"/>
  <c r="E129" i="43" s="1"/>
  <c r="H129" i="43" s="1"/>
  <c r="J129" i="43" s="1"/>
  <c r="X58" i="2"/>
  <c r="DA58" i="2" s="1"/>
  <c r="BK36" i="31"/>
  <c r="BL35" i="31"/>
  <c r="X81" i="2"/>
  <c r="DA81" i="2" s="1"/>
  <c r="S127" i="8"/>
  <c r="AN74" i="8"/>
  <c r="N126" i="3"/>
  <c r="X57" i="2"/>
  <c r="DA57" i="2" s="1"/>
  <c r="X61" i="2"/>
  <c r="DA61" i="2" s="1"/>
  <c r="AO179" i="3"/>
  <c r="AP179" i="3" s="1"/>
  <c r="DE78" i="2"/>
  <c r="DF78" i="2"/>
  <c r="AI124" i="6"/>
  <c r="M78" i="4" s="1"/>
  <c r="DF82" i="2"/>
  <c r="DE82" i="2"/>
  <c r="AY34" i="31"/>
  <c r="AF125" i="8"/>
  <c r="R127" i="6"/>
  <c r="AN74" i="6"/>
  <c r="X50" i="2"/>
  <c r="DA50" i="2" s="1"/>
  <c r="AB24" i="3"/>
  <c r="AB24" i="8"/>
  <c r="AB24" i="6"/>
  <c r="M22" i="11"/>
  <c r="AA126" i="6"/>
  <c r="C71" i="11"/>
  <c r="D71" i="11" s="1"/>
  <c r="E71" i="11" s="1"/>
  <c r="AM75" i="6"/>
  <c r="AE75" i="6"/>
  <c r="BI52" i="31"/>
  <c r="BD52" i="31"/>
  <c r="BF52" i="31"/>
  <c r="BE52" i="31"/>
  <c r="X74" i="2"/>
  <c r="DA74" i="2" s="1"/>
  <c r="DE94" i="2"/>
  <c r="DF94" i="2"/>
  <c r="B128" i="36"/>
  <c r="D128" i="36" s="1"/>
  <c r="E128" i="36" s="1"/>
  <c r="S182" i="40" s="1"/>
  <c r="T182" i="40" s="1"/>
  <c r="R182" i="8"/>
  <c r="X48" i="2"/>
  <c r="DA48" i="2" s="1"/>
  <c r="Z126" i="8"/>
  <c r="AC126" i="8"/>
  <c r="AA183" i="8"/>
  <c r="DF60" i="2"/>
  <c r="DE60" i="2"/>
  <c r="H71" i="36"/>
  <c r="AE180" i="39" s="1"/>
  <c r="AW180" i="39" s="1"/>
  <c r="S180" i="6"/>
  <c r="T180" i="6" s="1"/>
  <c r="DF79" i="2"/>
  <c r="DE79" i="2"/>
  <c r="AN23" i="8"/>
  <c r="BG23" i="8" s="1"/>
  <c r="BF23" i="8"/>
  <c r="AB76" i="8"/>
  <c r="BC53" i="31"/>
  <c r="BB54" i="31"/>
  <c r="AL122" i="3"/>
  <c r="AM122" i="3"/>
  <c r="AP122" i="3" s="1"/>
  <c r="AZ179" i="3"/>
  <c r="AO122" i="3"/>
  <c r="AR122" i="3" s="1"/>
  <c r="B17" i="15"/>
  <c r="C17" i="15" s="1"/>
  <c r="J17" i="15" s="1"/>
  <c r="AN122" i="3"/>
  <c r="AQ122" i="3" s="1"/>
  <c r="AR37" i="31"/>
  <c r="AO37" i="31"/>
  <c r="AQ37" i="31" s="1"/>
  <c r="CL32" i="31" s="1"/>
  <c r="G33" i="31" s="1"/>
  <c r="X92" i="2"/>
  <c r="DA92" i="2" s="1"/>
  <c r="X63" i="2"/>
  <c r="DA63" i="2" s="1"/>
  <c r="DE54" i="2"/>
  <c r="DF54" i="2"/>
  <c r="X77" i="2"/>
  <c r="DA77" i="2" s="1"/>
  <c r="Y52" i="2"/>
  <c r="DB52" i="2" s="1"/>
  <c r="Y83" i="2"/>
  <c r="DB83" i="2" s="1"/>
  <c r="X62" i="2"/>
  <c r="DA62" i="2" s="1"/>
  <c r="W60" i="2"/>
  <c r="CZ60" i="2" s="1"/>
  <c r="AL122" i="6"/>
  <c r="AO122" i="6"/>
  <c r="AR122" i="6" s="1"/>
  <c r="AZ179" i="6"/>
  <c r="AM122" i="6"/>
  <c r="AP122" i="6" s="1"/>
  <c r="AN122" i="6"/>
  <c r="AQ122" i="6" s="1"/>
  <c r="B67" i="15"/>
  <c r="C67" i="15" s="1"/>
  <c r="Y69" i="2"/>
  <c r="DB69" i="2" s="1"/>
  <c r="Z126" i="3"/>
  <c r="AA183" i="3"/>
  <c r="AC126" i="3"/>
  <c r="Y126" i="3"/>
  <c r="AB126" i="3" s="1"/>
  <c r="O183" i="3"/>
  <c r="B19" i="43" s="1"/>
  <c r="X65" i="2"/>
  <c r="DA65" i="2" s="1"/>
  <c r="Y88" i="2"/>
  <c r="DB88" i="2" s="1"/>
  <c r="X89" i="2"/>
  <c r="DA89" i="2" s="1"/>
  <c r="Y79" i="2"/>
  <c r="DB79" i="2" s="1"/>
  <c r="AC184" i="6"/>
  <c r="AU184" i="6" s="1"/>
  <c r="H127" i="6"/>
  <c r="K127" i="6"/>
  <c r="V127" i="6"/>
  <c r="AA127" i="6" s="1"/>
  <c r="DE73" i="2"/>
  <c r="DF73" i="2"/>
  <c r="X85" i="2"/>
  <c r="DA85" i="2" s="1"/>
  <c r="AN23" i="6"/>
  <c r="BG23" i="6" s="1"/>
  <c r="BF23" i="6"/>
  <c r="AB76" i="6"/>
  <c r="W93" i="2"/>
  <c r="CZ93" i="2" s="1"/>
  <c r="X56" i="2"/>
  <c r="DA56" i="2" s="1"/>
  <c r="DE59" i="2"/>
  <c r="DF59" i="2"/>
  <c r="X80" i="2"/>
  <c r="DA80" i="2" s="1"/>
  <c r="X55" i="2"/>
  <c r="DA55" i="2" s="1"/>
  <c r="J16" i="36"/>
  <c r="AE180" i="3"/>
  <c r="AW180" i="3" s="1"/>
  <c r="AH125" i="8"/>
  <c r="BH51" i="31"/>
  <c r="N126" i="8"/>
  <c r="L126" i="8"/>
  <c r="X84" i="2"/>
  <c r="DA84" i="2" s="1"/>
  <c r="L126" i="6"/>
  <c r="M126" i="6"/>
  <c r="R182" i="6"/>
  <c r="B73" i="36"/>
  <c r="AO180" i="8"/>
  <c r="AP180" i="8" s="1"/>
  <c r="V180" i="8"/>
  <c r="X67" i="2"/>
  <c r="DA67" i="2" s="1"/>
  <c r="BP34" i="31"/>
  <c r="BN34" i="31"/>
  <c r="BO34" i="31" s="1"/>
  <c r="H127" i="8"/>
  <c r="AC184" i="8"/>
  <c r="AU184" i="8" s="1"/>
  <c r="V127" i="8"/>
  <c r="K127" i="8"/>
  <c r="B18" i="36"/>
  <c r="D18" i="36" s="1"/>
  <c r="E18" i="36" s="1"/>
  <c r="S182" i="38" s="1"/>
  <c r="T182" i="38" s="1"/>
  <c r="R182" i="3"/>
  <c r="DE93" i="2"/>
  <c r="DF93" i="2"/>
  <c r="AN121" i="3"/>
  <c r="AQ121" i="3" s="1"/>
  <c r="B16" i="15"/>
  <c r="C16" i="15" s="1"/>
  <c r="J16" i="15" s="1"/>
  <c r="AZ178" i="3"/>
  <c r="AO121" i="3"/>
  <c r="AR121" i="3" s="1"/>
  <c r="AM121" i="3"/>
  <c r="AP121" i="3" s="1"/>
  <c r="AL121" i="3"/>
  <c r="AG125" i="8"/>
  <c r="AH125" i="6"/>
  <c r="X64" i="2"/>
  <c r="DA64" i="2" s="1"/>
  <c r="X53" i="2"/>
  <c r="DA53" i="2" s="1"/>
  <c r="C20" i="11"/>
  <c r="D20" i="11" s="1"/>
  <c r="E20" i="11" s="1"/>
  <c r="AM75" i="3"/>
  <c r="AE75" i="3"/>
  <c r="AF125" i="3"/>
  <c r="H17" i="36"/>
  <c r="AE181" i="38" s="1"/>
  <c r="AW181" i="38" s="1"/>
  <c r="S181" i="3"/>
  <c r="T181" i="3" s="1"/>
  <c r="AA126" i="8"/>
  <c r="AM183" i="8"/>
  <c r="AN183" i="8" s="1"/>
  <c r="DE52" i="2"/>
  <c r="DF52" i="2"/>
  <c r="DE83" i="2"/>
  <c r="DF83" i="2"/>
  <c r="X87" i="2"/>
  <c r="DA87" i="2" s="1"/>
  <c r="R127" i="3"/>
  <c r="AN74" i="3"/>
  <c r="H127" i="3"/>
  <c r="AC184" i="3"/>
  <c r="AU184" i="3" s="1"/>
  <c r="V127" i="3"/>
  <c r="AA127" i="3" s="1"/>
  <c r="K127" i="3"/>
  <c r="AI124" i="3"/>
  <c r="E78" i="4" s="1"/>
  <c r="Y60" i="2"/>
  <c r="DB60" i="2" s="1"/>
  <c r="DE76" i="2"/>
  <c r="DF76" i="2"/>
  <c r="X90" i="2"/>
  <c r="DA90" i="2" s="1"/>
  <c r="X127" i="8"/>
  <c r="W69" i="2"/>
  <c r="CZ69" i="2" s="1"/>
  <c r="C122" i="11"/>
  <c r="D122" i="11" s="1"/>
  <c r="E122" i="11" s="1"/>
  <c r="AM75" i="8"/>
  <c r="AE75" i="8"/>
  <c r="AH125" i="3"/>
  <c r="AZ178" i="8"/>
  <c r="AO121" i="8"/>
  <c r="AR121" i="8" s="1"/>
  <c r="AN121" i="8"/>
  <c r="AQ121" i="8" s="1"/>
  <c r="AM121" i="8"/>
  <c r="AP121" i="8" s="1"/>
  <c r="B116" i="15"/>
  <c r="C116" i="15" s="1"/>
  <c r="AL121" i="8"/>
  <c r="W88" i="2"/>
  <c r="CZ88" i="2" s="1"/>
  <c r="Y78" i="2"/>
  <c r="DB78" i="2" s="1"/>
  <c r="X75" i="2"/>
  <c r="DA75" i="2" s="1"/>
  <c r="W79" i="2"/>
  <c r="CZ79" i="2" s="1"/>
  <c r="Y82" i="2"/>
  <c r="DB82" i="2" s="1"/>
  <c r="D72" i="36"/>
  <c r="E72" i="36" s="1"/>
  <c r="S181" i="39" s="1"/>
  <c r="T181" i="39" s="1"/>
  <c r="X71" i="2"/>
  <c r="DA71" i="2" s="1"/>
  <c r="AM184" i="6"/>
  <c r="AN184" i="6" s="1"/>
  <c r="DF86" i="2"/>
  <c r="DE86" i="2"/>
  <c r="AZ179" i="8"/>
  <c r="AL122" i="8"/>
  <c r="B117" i="15"/>
  <c r="C117" i="15" s="1"/>
  <c r="AO122" i="8"/>
  <c r="AR122" i="8" s="1"/>
  <c r="AM122" i="8"/>
  <c r="AP122" i="8" s="1"/>
  <c r="AN122" i="8"/>
  <c r="AQ122" i="8" s="1"/>
  <c r="AE28" i="9"/>
  <c r="BF23" i="3"/>
  <c r="AN23" i="3"/>
  <c r="BG23" i="3" s="1"/>
  <c r="AC23" i="3"/>
  <c r="AG23" i="3"/>
  <c r="AF23" i="3"/>
  <c r="AD23" i="3"/>
  <c r="AE23" i="3"/>
  <c r="AB76" i="3"/>
  <c r="Y93" i="2"/>
  <c r="DB93" i="2" s="1"/>
  <c r="AO179" i="6"/>
  <c r="AP179" i="6" s="1"/>
  <c r="Y94" i="2"/>
  <c r="DB94" i="2" s="1"/>
  <c r="V180" i="3"/>
  <c r="BS36" i="31"/>
  <c r="BT35" i="31"/>
  <c r="BV35" i="31" s="1"/>
  <c r="BW35" i="31" s="1"/>
  <c r="X68" i="2"/>
  <c r="DA68" i="2" s="1"/>
  <c r="M126" i="3"/>
  <c r="CC435" i="2"/>
  <c r="CD434" i="2"/>
  <c r="D74" i="43" l="1"/>
  <c r="E74" i="43" s="1"/>
  <c r="H74" i="43" s="1"/>
  <c r="J74" i="43" s="1"/>
  <c r="AO180" i="3"/>
  <c r="AP180" i="3" s="1"/>
  <c r="D19" i="43"/>
  <c r="E19" i="43" s="1"/>
  <c r="H19" i="43" s="1"/>
  <c r="J19" i="43" s="1"/>
  <c r="AK123" i="38"/>
  <c r="AS121" i="40"/>
  <c r="AT121" i="40" s="1"/>
  <c r="AS122" i="39"/>
  <c r="AT122" i="39" s="1"/>
  <c r="AS122" i="40"/>
  <c r="AT122" i="40" s="1"/>
  <c r="AO181" i="40"/>
  <c r="AP181" i="40" s="1"/>
  <c r="AI124" i="40"/>
  <c r="AI124" i="39"/>
  <c r="AS121" i="39"/>
  <c r="AT121" i="39" s="1"/>
  <c r="AS122" i="6"/>
  <c r="AT122" i="6" s="1"/>
  <c r="AY180" i="40"/>
  <c r="AK123" i="40"/>
  <c r="AY180" i="39"/>
  <c r="AK123" i="39"/>
  <c r="DG54" i="2"/>
  <c r="DH86" i="2"/>
  <c r="G128" i="8"/>
  <c r="X128" i="8" s="1"/>
  <c r="G128" i="40"/>
  <c r="AA183" i="40"/>
  <c r="AC126" i="40"/>
  <c r="AB126" i="40"/>
  <c r="Z126" i="40"/>
  <c r="AF125" i="40"/>
  <c r="X127" i="40"/>
  <c r="H127" i="40"/>
  <c r="AC184" i="40"/>
  <c r="AU184" i="40" s="1"/>
  <c r="V127" i="40"/>
  <c r="K127" i="40"/>
  <c r="V182" i="40"/>
  <c r="N126" i="40"/>
  <c r="L126" i="40"/>
  <c r="AH125" i="40"/>
  <c r="AM183" i="40"/>
  <c r="AN183" i="40" s="1"/>
  <c r="AA126" i="40"/>
  <c r="V181" i="39"/>
  <c r="AM183" i="39"/>
  <c r="AN183" i="39" s="1"/>
  <c r="AA126" i="39"/>
  <c r="AH125" i="39"/>
  <c r="AC184" i="39"/>
  <c r="AU184" i="39" s="1"/>
  <c r="H127" i="39"/>
  <c r="X127" i="39"/>
  <c r="V127" i="39"/>
  <c r="K127" i="39"/>
  <c r="AC126" i="39"/>
  <c r="AA183" i="39"/>
  <c r="AB126" i="39"/>
  <c r="Z126" i="39"/>
  <c r="AO180" i="39"/>
  <c r="AP180" i="39" s="1"/>
  <c r="G128" i="6"/>
  <c r="X128" i="6" s="1"/>
  <c r="AM185" i="6" s="1"/>
  <c r="AN185" i="6" s="1"/>
  <c r="G128" i="39"/>
  <c r="M126" i="39"/>
  <c r="N126" i="39"/>
  <c r="L126" i="39"/>
  <c r="AG125" i="39"/>
  <c r="AF125" i="39"/>
  <c r="AH125" i="38"/>
  <c r="AC126" i="38"/>
  <c r="AA183" i="38"/>
  <c r="AB126" i="38"/>
  <c r="Z126" i="38"/>
  <c r="AI125" i="3"/>
  <c r="E79" i="4" s="1"/>
  <c r="G128" i="3"/>
  <c r="X128" i="3" s="1"/>
  <c r="G128" i="38"/>
  <c r="AC184" i="38"/>
  <c r="AU184" i="38" s="1"/>
  <c r="X127" i="38"/>
  <c r="H127" i="38"/>
  <c r="K127" i="38"/>
  <c r="V127" i="38"/>
  <c r="L126" i="38"/>
  <c r="N126" i="38"/>
  <c r="AS121" i="8"/>
  <c r="AT121" i="8" s="1"/>
  <c r="AG125" i="38"/>
  <c r="AA126" i="38"/>
  <c r="AM183" i="38"/>
  <c r="AN183" i="38" s="1"/>
  <c r="AI124" i="38"/>
  <c r="AL123" i="38"/>
  <c r="AZ180" i="38"/>
  <c r="AM123" i="38"/>
  <c r="AP123" i="38" s="1"/>
  <c r="AO123" i="38"/>
  <c r="AR123" i="38" s="1"/>
  <c r="AN123" i="38"/>
  <c r="AQ123" i="38" s="1"/>
  <c r="AS121" i="3"/>
  <c r="AT121" i="3" s="1"/>
  <c r="V182" i="38"/>
  <c r="AO181" i="38"/>
  <c r="AP181" i="38" s="1"/>
  <c r="AF125" i="38"/>
  <c r="M126" i="38"/>
  <c r="DD94" i="2"/>
  <c r="DD76" i="2"/>
  <c r="DG76" i="2"/>
  <c r="DD59" i="2"/>
  <c r="DD78" i="2"/>
  <c r="DH73" i="2"/>
  <c r="DD73" i="2"/>
  <c r="W63" i="2"/>
  <c r="CZ63" i="2" s="1"/>
  <c r="DC63" i="2" s="1"/>
  <c r="DH59" i="2"/>
  <c r="DD52" i="2"/>
  <c r="Y70" i="2"/>
  <c r="DB70" i="2" s="1"/>
  <c r="DH70" i="2" s="1"/>
  <c r="AY35" i="31"/>
  <c r="DD86" i="2"/>
  <c r="DC83" i="2"/>
  <c r="W81" i="2"/>
  <c r="CZ81" i="2" s="1"/>
  <c r="DC81" i="2" s="1"/>
  <c r="W70" i="2"/>
  <c r="CZ70" i="2" s="1"/>
  <c r="DC70" i="2" s="1"/>
  <c r="Y68" i="2"/>
  <c r="DB68" i="2" s="1"/>
  <c r="DH68" i="2" s="1"/>
  <c r="DC82" i="2"/>
  <c r="W65" i="2"/>
  <c r="CZ65" i="2" s="1"/>
  <c r="DC65" i="2" s="1"/>
  <c r="W49" i="2"/>
  <c r="CZ49" i="2" s="1"/>
  <c r="DC49" i="2" s="1"/>
  <c r="Y53" i="2"/>
  <c r="DB53" i="2" s="1"/>
  <c r="DH53" i="2" s="1"/>
  <c r="Y89" i="2"/>
  <c r="DB89" i="2" s="1"/>
  <c r="DG89" i="2" s="1"/>
  <c r="Y62" i="2"/>
  <c r="DB62" i="2" s="1"/>
  <c r="DH62" i="2" s="1"/>
  <c r="Y85" i="2"/>
  <c r="DB85" i="2" s="1"/>
  <c r="DG85" i="2" s="1"/>
  <c r="DD54" i="2"/>
  <c r="W66" i="2"/>
  <c r="CZ66" i="2" s="1"/>
  <c r="DD66" i="2" s="1"/>
  <c r="W48" i="2"/>
  <c r="CZ48" i="2" s="1"/>
  <c r="DC48" i="2" s="1"/>
  <c r="W71" i="2"/>
  <c r="CZ71" i="2" s="1"/>
  <c r="DC71" i="2" s="1"/>
  <c r="W67" i="2"/>
  <c r="CZ67" i="2" s="1"/>
  <c r="DD67" i="2" s="1"/>
  <c r="Y80" i="2"/>
  <c r="DB80" i="2" s="1"/>
  <c r="DG80" i="2" s="1"/>
  <c r="W56" i="2"/>
  <c r="CZ56" i="2" s="1"/>
  <c r="DD56" i="2" s="1"/>
  <c r="W85" i="2"/>
  <c r="CZ85" i="2" s="1"/>
  <c r="DD85" i="2" s="1"/>
  <c r="W89" i="2"/>
  <c r="CZ89" i="2" s="1"/>
  <c r="DC89" i="2" s="1"/>
  <c r="Y65" i="2"/>
  <c r="DB65" i="2" s="1"/>
  <c r="DG65" i="2" s="1"/>
  <c r="Y48" i="2"/>
  <c r="DB48" i="2" s="1"/>
  <c r="DG48" i="2" s="1"/>
  <c r="W50" i="2"/>
  <c r="CZ50" i="2" s="1"/>
  <c r="DD50" i="2" s="1"/>
  <c r="Y81" i="2"/>
  <c r="DB81" i="2" s="1"/>
  <c r="DH81" i="2" s="1"/>
  <c r="W51" i="2"/>
  <c r="CZ51" i="2" s="1"/>
  <c r="DD51" i="2" s="1"/>
  <c r="Y49" i="2"/>
  <c r="DB49" i="2" s="1"/>
  <c r="DH49" i="2" s="1"/>
  <c r="Y66" i="2"/>
  <c r="DB66" i="2" s="1"/>
  <c r="DH66" i="2" s="1"/>
  <c r="Y87" i="2"/>
  <c r="DB87" i="2" s="1"/>
  <c r="DH87" i="2" s="1"/>
  <c r="Y55" i="2"/>
  <c r="DB55" i="2" s="1"/>
  <c r="DG55" i="2" s="1"/>
  <c r="Y57" i="2"/>
  <c r="DB57" i="2" s="1"/>
  <c r="DH57" i="2" s="1"/>
  <c r="Y91" i="2"/>
  <c r="DB91" i="2" s="1"/>
  <c r="DH91" i="2" s="1"/>
  <c r="W77" i="2"/>
  <c r="CZ77" i="2" s="1"/>
  <c r="DD77" i="2" s="1"/>
  <c r="W92" i="2"/>
  <c r="CZ92" i="2" s="1"/>
  <c r="DC92" i="2" s="1"/>
  <c r="W87" i="2"/>
  <c r="CZ87" i="2" s="1"/>
  <c r="DC87" i="2" s="1"/>
  <c r="W55" i="2"/>
  <c r="CZ55" i="2" s="1"/>
  <c r="DD55" i="2" s="1"/>
  <c r="Y77" i="2"/>
  <c r="DB77" i="2" s="1"/>
  <c r="DG77" i="2" s="1"/>
  <c r="Y63" i="2"/>
  <c r="DB63" i="2" s="1"/>
  <c r="DH63" i="2" s="1"/>
  <c r="Y92" i="2"/>
  <c r="DB92" i="2" s="1"/>
  <c r="DH92" i="2" s="1"/>
  <c r="Y74" i="2"/>
  <c r="DB74" i="2" s="1"/>
  <c r="DG74" i="2" s="1"/>
  <c r="BH52" i="31"/>
  <c r="W57" i="2"/>
  <c r="CZ57" i="2" s="1"/>
  <c r="DD57" i="2" s="1"/>
  <c r="Y58" i="2"/>
  <c r="DB58" i="2" s="1"/>
  <c r="DG58" i="2" s="1"/>
  <c r="W91" i="2"/>
  <c r="CZ91" i="2" s="1"/>
  <c r="DD91" i="2" s="1"/>
  <c r="AG127" i="3"/>
  <c r="AG127" i="6"/>
  <c r="DE90" i="2"/>
  <c r="DF90" i="2"/>
  <c r="G79" i="4"/>
  <c r="BI53" i="31"/>
  <c r="BD53" i="31"/>
  <c r="BE53" i="31"/>
  <c r="BF53" i="31"/>
  <c r="J71" i="36"/>
  <c r="AE180" i="6"/>
  <c r="AW180" i="6" s="1"/>
  <c r="S182" i="8"/>
  <c r="T182" i="8" s="1"/>
  <c r="H128" i="36"/>
  <c r="AE182" i="40" s="1"/>
  <c r="AW182" i="40" s="1"/>
  <c r="AN24" i="6"/>
  <c r="BG24" i="6" s="1"/>
  <c r="BF24" i="6"/>
  <c r="AB77" i="6"/>
  <c r="Y127" i="6"/>
  <c r="AB127" i="6" s="1"/>
  <c r="O184" i="6"/>
  <c r="B75" i="43" s="1"/>
  <c r="DF61" i="2"/>
  <c r="DE61" i="2"/>
  <c r="CR31" i="31"/>
  <c r="CO31" i="31"/>
  <c r="CK32" i="31"/>
  <c r="AR38" i="31"/>
  <c r="AO38" i="31"/>
  <c r="AQ38" i="31" s="1"/>
  <c r="CL33" i="31" s="1"/>
  <c r="G34" i="31" s="1"/>
  <c r="AY180" i="8"/>
  <c r="R77" i="4"/>
  <c r="V77" i="4" s="1"/>
  <c r="AK123" i="8"/>
  <c r="DF72" i="2"/>
  <c r="DE72" i="2"/>
  <c r="B74" i="36"/>
  <c r="D74" i="36" s="1"/>
  <c r="E74" i="36" s="1"/>
  <c r="S183" i="39" s="1"/>
  <c r="T183" i="39" s="1"/>
  <c r="R183" i="6"/>
  <c r="DG82" i="2"/>
  <c r="DH82" i="2"/>
  <c r="DE84" i="2"/>
  <c r="DF84" i="2"/>
  <c r="M127" i="6"/>
  <c r="L127" i="6"/>
  <c r="DF68" i="2"/>
  <c r="DE68" i="2"/>
  <c r="C21" i="11"/>
  <c r="D21" i="11" s="1"/>
  <c r="E21" i="11" s="1"/>
  <c r="AM76" i="3"/>
  <c r="AE76" i="3"/>
  <c r="F117" i="15"/>
  <c r="I117" i="15"/>
  <c r="J117" i="15"/>
  <c r="E117" i="15"/>
  <c r="DC79" i="2"/>
  <c r="DD79" i="2"/>
  <c r="DH78" i="2"/>
  <c r="DG78" i="2"/>
  <c r="L127" i="3"/>
  <c r="M127" i="3"/>
  <c r="AN75" i="3"/>
  <c r="R128" i="3"/>
  <c r="M127" i="8"/>
  <c r="L127" i="8"/>
  <c r="DF67" i="2"/>
  <c r="DE67" i="2"/>
  <c r="DE80" i="2"/>
  <c r="DF80" i="2"/>
  <c r="Y56" i="2"/>
  <c r="DB56" i="2" s="1"/>
  <c r="DH69" i="2"/>
  <c r="DG69" i="2"/>
  <c r="DF62" i="2"/>
  <c r="DE62" i="2"/>
  <c r="AS122" i="3"/>
  <c r="AT122" i="3" s="1"/>
  <c r="DF74" i="2"/>
  <c r="DE74" i="2"/>
  <c r="BF24" i="8"/>
  <c r="AN24" i="8"/>
  <c r="BG24" i="8" s="1"/>
  <c r="AB77" i="8"/>
  <c r="DF50" i="2"/>
  <c r="DE50" i="2"/>
  <c r="N127" i="8"/>
  <c r="BP35" i="31"/>
  <c r="BN35" i="31"/>
  <c r="BO35" i="31" s="1"/>
  <c r="DE58" i="2"/>
  <c r="DF58" i="2"/>
  <c r="AU37" i="31"/>
  <c r="AT38" i="31"/>
  <c r="DF51" i="2"/>
  <c r="DE51" i="2"/>
  <c r="I77" i="4"/>
  <c r="AY180" i="3"/>
  <c r="AK123" i="3"/>
  <c r="C77" i="4"/>
  <c r="AI125" i="6"/>
  <c r="M79" i="4" s="1"/>
  <c r="DF75" i="2"/>
  <c r="DE75" i="2"/>
  <c r="I116" i="15"/>
  <c r="F116" i="15"/>
  <c r="J116" i="15"/>
  <c r="E116" i="15"/>
  <c r="DD69" i="2"/>
  <c r="DC69" i="2"/>
  <c r="G78" i="4"/>
  <c r="AG126" i="8"/>
  <c r="S182" i="3"/>
  <c r="T182" i="3" s="1"/>
  <c r="H18" i="36"/>
  <c r="AE182" i="38" s="1"/>
  <c r="AW182" i="38" s="1"/>
  <c r="DF71" i="2"/>
  <c r="DE71" i="2"/>
  <c r="AA127" i="8"/>
  <c r="AM184" i="8"/>
  <c r="AN184" i="8" s="1"/>
  <c r="N127" i="3"/>
  <c r="V181" i="3"/>
  <c r="DH94" i="2"/>
  <c r="DG94" i="2"/>
  <c r="H72" i="36"/>
  <c r="AE181" i="39" s="1"/>
  <c r="AW181" i="39" s="1"/>
  <c r="S181" i="6"/>
  <c r="T181" i="6" s="1"/>
  <c r="W75" i="2"/>
  <c r="CZ75" i="2" s="1"/>
  <c r="DC88" i="2"/>
  <c r="DD88" i="2"/>
  <c r="AM185" i="8"/>
  <c r="AN185" i="8" s="1"/>
  <c r="Y90" i="2"/>
  <c r="DB90" i="2" s="1"/>
  <c r="Z127" i="3"/>
  <c r="AA184" i="3"/>
  <c r="AC127" i="3"/>
  <c r="J17" i="36"/>
  <c r="AE181" i="3"/>
  <c r="AW181" i="3" s="1"/>
  <c r="Z127" i="8"/>
  <c r="AC127" i="8"/>
  <c r="AA184" i="8"/>
  <c r="DE55" i="2"/>
  <c r="DF55" i="2"/>
  <c r="DF85" i="2"/>
  <c r="DE85" i="2"/>
  <c r="DE89" i="2"/>
  <c r="DF89" i="2"/>
  <c r="DE65" i="2"/>
  <c r="DF65" i="2"/>
  <c r="F67" i="15"/>
  <c r="I67" i="15"/>
  <c r="J67" i="15"/>
  <c r="E67" i="15"/>
  <c r="DC60" i="2"/>
  <c r="DD60" i="2"/>
  <c r="DG83" i="2"/>
  <c r="DH83" i="2"/>
  <c r="DF77" i="2"/>
  <c r="DE77" i="2"/>
  <c r="DF92" i="2"/>
  <c r="DE92" i="2"/>
  <c r="F17" i="15"/>
  <c r="I17" i="15"/>
  <c r="E17" i="15"/>
  <c r="AF126" i="8"/>
  <c r="DE48" i="2"/>
  <c r="DF48" i="2"/>
  <c r="AG126" i="6"/>
  <c r="BF24" i="3"/>
  <c r="AE29" i="9"/>
  <c r="AN24" i="3"/>
  <c r="BG24" i="3" s="1"/>
  <c r="AF24" i="3"/>
  <c r="AG24" i="3"/>
  <c r="AE24" i="3"/>
  <c r="AC24" i="3"/>
  <c r="AD24" i="3"/>
  <c r="AB77" i="3"/>
  <c r="N127" i="6"/>
  <c r="AI125" i="8"/>
  <c r="T79" i="4" s="1"/>
  <c r="Y61" i="2"/>
  <c r="DB61" i="2" s="1"/>
  <c r="DE81" i="2"/>
  <c r="DF81" i="2"/>
  <c r="BL36" i="31"/>
  <c r="BK37" i="31"/>
  <c r="B129" i="36"/>
  <c r="D129" i="36" s="1"/>
  <c r="E129" i="36" s="1"/>
  <c r="S183" i="40" s="1"/>
  <c r="T183" i="40" s="1"/>
  <c r="R183" i="8"/>
  <c r="AZ36" i="31"/>
  <c r="AW36" i="31"/>
  <c r="AV36" i="31"/>
  <c r="F66" i="15"/>
  <c r="I66" i="15"/>
  <c r="E66" i="15"/>
  <c r="J66" i="15"/>
  <c r="DF49" i="2"/>
  <c r="DE49" i="2"/>
  <c r="AF126" i="6"/>
  <c r="K77" i="4"/>
  <c r="O77" i="4" s="1"/>
  <c r="AY180" i="6"/>
  <c r="AK123" i="6"/>
  <c r="Y72" i="2"/>
  <c r="DB72" i="2" s="1"/>
  <c r="V181" i="8"/>
  <c r="DE91" i="2"/>
  <c r="DF91" i="2"/>
  <c r="DG93" i="2"/>
  <c r="DH93" i="2"/>
  <c r="DE64" i="2"/>
  <c r="DF64" i="2"/>
  <c r="C72" i="11"/>
  <c r="D72" i="11" s="1"/>
  <c r="E72" i="11" s="1"/>
  <c r="AE76" i="6"/>
  <c r="AM76" i="6"/>
  <c r="AH126" i="3"/>
  <c r="AF126" i="3"/>
  <c r="DE53" i="2"/>
  <c r="DF53" i="2"/>
  <c r="DE87" i="2"/>
  <c r="DF87" i="2"/>
  <c r="AC185" i="3"/>
  <c r="AU185" i="3" s="1"/>
  <c r="H128" i="3"/>
  <c r="K128" i="3"/>
  <c r="N128" i="3" s="1"/>
  <c r="V128" i="3"/>
  <c r="AA128" i="3" s="1"/>
  <c r="Y64" i="2"/>
  <c r="DB64" i="2" s="1"/>
  <c r="D73" i="36"/>
  <c r="E73" i="36" s="1"/>
  <c r="S182" i="39" s="1"/>
  <c r="T182" i="39" s="1"/>
  <c r="W84" i="2"/>
  <c r="CZ84" i="2" s="1"/>
  <c r="DF56" i="2"/>
  <c r="DE56" i="2"/>
  <c r="W68" i="2"/>
  <c r="CZ68" i="2" s="1"/>
  <c r="BS37" i="31"/>
  <c r="BT36" i="31"/>
  <c r="BV36" i="31" s="1"/>
  <c r="BW36" i="31" s="1"/>
  <c r="AS122" i="8"/>
  <c r="AT122" i="8" s="1"/>
  <c r="Y71" i="2"/>
  <c r="DB71" i="2" s="1"/>
  <c r="Y75" i="2"/>
  <c r="DB75" i="2" s="1"/>
  <c r="S128" i="8"/>
  <c r="AN75" i="8"/>
  <c r="H128" i="8"/>
  <c r="AC185" i="8"/>
  <c r="AU185" i="8" s="1"/>
  <c r="V128" i="8"/>
  <c r="K128" i="8"/>
  <c r="W90" i="2"/>
  <c r="CZ90" i="2" s="1"/>
  <c r="DH60" i="2"/>
  <c r="DG60" i="2"/>
  <c r="O184" i="3"/>
  <c r="B20" i="43" s="1"/>
  <c r="Y127" i="3"/>
  <c r="AB127" i="3" s="1"/>
  <c r="AM185" i="3"/>
  <c r="AN185" i="3" s="1"/>
  <c r="W53" i="2"/>
  <c r="CZ53" i="2" s="1"/>
  <c r="W64" i="2"/>
  <c r="CZ64" i="2" s="1"/>
  <c r="F16" i="15"/>
  <c r="I16" i="15"/>
  <c r="E16" i="15"/>
  <c r="Y67" i="2"/>
  <c r="DB67" i="2" s="1"/>
  <c r="Y84" i="2"/>
  <c r="DB84" i="2" s="1"/>
  <c r="W80" i="2"/>
  <c r="CZ80" i="2" s="1"/>
  <c r="DC93" i="2"/>
  <c r="DD93" i="2"/>
  <c r="Z127" i="6"/>
  <c r="AC127" i="6"/>
  <c r="AA184" i="6"/>
  <c r="DH79" i="2"/>
  <c r="DG79" i="2"/>
  <c r="DH88" i="2"/>
  <c r="DG88" i="2"/>
  <c r="R183" i="3"/>
  <c r="B19" i="36"/>
  <c r="D19" i="36" s="1"/>
  <c r="E19" i="36" s="1"/>
  <c r="S183" i="38" s="1"/>
  <c r="T183" i="38" s="1"/>
  <c r="W62" i="2"/>
  <c r="CZ62" i="2" s="1"/>
  <c r="DG52" i="2"/>
  <c r="DH52" i="2"/>
  <c r="DE63" i="2"/>
  <c r="DF63" i="2"/>
  <c r="BC54" i="31"/>
  <c r="BB55" i="31"/>
  <c r="C123" i="11"/>
  <c r="D123" i="11" s="1"/>
  <c r="E123" i="11" s="1"/>
  <c r="AM76" i="8"/>
  <c r="AE76" i="8"/>
  <c r="V180" i="6"/>
  <c r="W74" i="2"/>
  <c r="CZ74" i="2" s="1"/>
  <c r="R128" i="6"/>
  <c r="AN75" i="6"/>
  <c r="AC185" i="6"/>
  <c r="AU185" i="6" s="1"/>
  <c r="H128" i="6"/>
  <c r="V128" i="6"/>
  <c r="K128" i="6"/>
  <c r="M23" i="11"/>
  <c r="AB25" i="8"/>
  <c r="AB25" i="6"/>
  <c r="AB25" i="3"/>
  <c r="Y50" i="2"/>
  <c r="DB50" i="2" s="1"/>
  <c r="W61" i="2"/>
  <c r="CZ61" i="2" s="1"/>
  <c r="DE57" i="2"/>
  <c r="DF57" i="2"/>
  <c r="O184" i="8"/>
  <c r="B130" i="43" s="1"/>
  <c r="D130" i="43" s="1"/>
  <c r="E130" i="43" s="1"/>
  <c r="H130" i="43" s="1"/>
  <c r="J130" i="43" s="1"/>
  <c r="Y127" i="8"/>
  <c r="AB127" i="8" s="1"/>
  <c r="W58" i="2"/>
  <c r="CZ58" i="2" s="1"/>
  <c r="AH126" i="8"/>
  <c r="Y51" i="2"/>
  <c r="DB51" i="2" s="1"/>
  <c r="CT30" i="31"/>
  <c r="CV30" i="31" s="1"/>
  <c r="DE70" i="2"/>
  <c r="DF70" i="2"/>
  <c r="AS121" i="6"/>
  <c r="AT121" i="6" s="1"/>
  <c r="AN39" i="31"/>
  <c r="AM40" i="31"/>
  <c r="DF66" i="2"/>
  <c r="DE66" i="2"/>
  <c r="W72" i="2"/>
  <c r="CZ72" i="2" s="1"/>
  <c r="AH126" i="6"/>
  <c r="J127" i="36"/>
  <c r="AE181" i="8"/>
  <c r="AW181" i="8" s="1"/>
  <c r="CC436" i="2"/>
  <c r="CD435" i="2"/>
  <c r="AO180" i="6" l="1"/>
  <c r="AP180" i="6" s="1"/>
  <c r="D75" i="43"/>
  <c r="E75" i="43"/>
  <c r="H75" i="43" s="1"/>
  <c r="J75" i="43" s="1"/>
  <c r="AI125" i="39"/>
  <c r="D20" i="43"/>
  <c r="E20" i="43" s="1"/>
  <c r="H20" i="43" s="1"/>
  <c r="J20" i="43" s="1"/>
  <c r="AI126" i="8"/>
  <c r="T80" i="4" s="1"/>
  <c r="AE124" i="38"/>
  <c r="AK124" i="38" s="1"/>
  <c r="AE124" i="40"/>
  <c r="AE124" i="39"/>
  <c r="AE125" i="38"/>
  <c r="AY182" i="38" s="1"/>
  <c r="AE125" i="40"/>
  <c r="AE125" i="39"/>
  <c r="AZ180" i="40"/>
  <c r="AL123" i="40"/>
  <c r="AN123" i="40"/>
  <c r="AQ123" i="40" s="1"/>
  <c r="AM123" i="40"/>
  <c r="AP123" i="40" s="1"/>
  <c r="AO123" i="40"/>
  <c r="AR123" i="40" s="1"/>
  <c r="AN123" i="39"/>
  <c r="AQ123" i="39" s="1"/>
  <c r="AO123" i="39"/>
  <c r="AR123" i="39" s="1"/>
  <c r="AL123" i="39"/>
  <c r="AM123" i="39"/>
  <c r="AP123" i="39" s="1"/>
  <c r="AZ180" i="39"/>
  <c r="V183" i="40"/>
  <c r="G129" i="8"/>
  <c r="G129" i="40"/>
  <c r="AO182" i="40"/>
  <c r="AP182" i="40" s="1"/>
  <c r="AF126" i="40"/>
  <c r="AG126" i="40"/>
  <c r="M127" i="40"/>
  <c r="N127" i="40"/>
  <c r="L127" i="40"/>
  <c r="AM184" i="40"/>
  <c r="AN184" i="40" s="1"/>
  <c r="AA127" i="40"/>
  <c r="AH126" i="40"/>
  <c r="AC127" i="40"/>
  <c r="AA184" i="40"/>
  <c r="AB127" i="40"/>
  <c r="Z127" i="40"/>
  <c r="AI125" i="40"/>
  <c r="AC185" i="40"/>
  <c r="AU185" i="40" s="1"/>
  <c r="X128" i="40"/>
  <c r="H128" i="40"/>
  <c r="K128" i="40"/>
  <c r="M128" i="40" s="1"/>
  <c r="V128" i="40"/>
  <c r="V182" i="39"/>
  <c r="G129" i="6"/>
  <c r="X129" i="6" s="1"/>
  <c r="AM186" i="6" s="1"/>
  <c r="AN186" i="6" s="1"/>
  <c r="G129" i="39"/>
  <c r="AA127" i="39"/>
  <c r="AM184" i="39"/>
  <c r="AN184" i="39" s="1"/>
  <c r="AG126" i="39"/>
  <c r="V183" i="39"/>
  <c r="AC185" i="39"/>
  <c r="AU185" i="39" s="1"/>
  <c r="X128" i="39"/>
  <c r="H128" i="39"/>
  <c r="V128" i="39"/>
  <c r="K128" i="39"/>
  <c r="M128" i="39" s="1"/>
  <c r="AF126" i="39"/>
  <c r="M127" i="39"/>
  <c r="N127" i="39"/>
  <c r="L127" i="39"/>
  <c r="AH126" i="39"/>
  <c r="AI126" i="39" s="1"/>
  <c r="AC127" i="39"/>
  <c r="AA184" i="39"/>
  <c r="AB127" i="39"/>
  <c r="Z127" i="39"/>
  <c r="AO181" i="39"/>
  <c r="AP181" i="39" s="1"/>
  <c r="V183" i="38"/>
  <c r="AI126" i="3"/>
  <c r="E80" i="4" s="1"/>
  <c r="AO182" i="38"/>
  <c r="AP182" i="38" s="1"/>
  <c r="AS123" i="38"/>
  <c r="AT123" i="38" s="1"/>
  <c r="AA127" i="38"/>
  <c r="AM184" i="38"/>
  <c r="AN184" i="38" s="1"/>
  <c r="AC127" i="38"/>
  <c r="AA184" i="38"/>
  <c r="AB127" i="38"/>
  <c r="Z127" i="38"/>
  <c r="AF126" i="38"/>
  <c r="G129" i="3"/>
  <c r="X129" i="3" s="1"/>
  <c r="AM186" i="3" s="1"/>
  <c r="AN186" i="3" s="1"/>
  <c r="G129" i="38"/>
  <c r="AG126" i="38"/>
  <c r="M127" i="38"/>
  <c r="N127" i="38"/>
  <c r="L127" i="38"/>
  <c r="H128" i="38"/>
  <c r="AC185" i="38"/>
  <c r="AU185" i="38" s="1"/>
  <c r="X128" i="38"/>
  <c r="V128" i="38"/>
  <c r="K128" i="38"/>
  <c r="AH126" i="38"/>
  <c r="AI125" i="38"/>
  <c r="AY181" i="38"/>
  <c r="DD63" i="2"/>
  <c r="DD81" i="2"/>
  <c r="DH48" i="2"/>
  <c r="DC67" i="2"/>
  <c r="DG49" i="2"/>
  <c r="DD89" i="2"/>
  <c r="DD65" i="2"/>
  <c r="DG57" i="2"/>
  <c r="DC85" i="2"/>
  <c r="DC55" i="2"/>
  <c r="DG68" i="2"/>
  <c r="DG53" i="2"/>
  <c r="DH55" i="2"/>
  <c r="DG87" i="2"/>
  <c r="DD92" i="2"/>
  <c r="DG81" i="2"/>
  <c r="DG66" i="2"/>
  <c r="DH85" i="2"/>
  <c r="DG70" i="2"/>
  <c r="DG62" i="2"/>
  <c r="DC56" i="2"/>
  <c r="DD70" i="2"/>
  <c r="DC50" i="2"/>
  <c r="DD49" i="2"/>
  <c r="DH58" i="2"/>
  <c r="DC91" i="2"/>
  <c r="DG92" i="2"/>
  <c r="DG91" i="2"/>
  <c r="DD48" i="2"/>
  <c r="DG63" i="2"/>
  <c r="DH80" i="2"/>
  <c r="DH77" i="2"/>
  <c r="DD71" i="2"/>
  <c r="DC77" i="2"/>
  <c r="DC57" i="2"/>
  <c r="DC66" i="2"/>
  <c r="DC51" i="2"/>
  <c r="DH89" i="2"/>
  <c r="DH74" i="2"/>
  <c r="DD87" i="2"/>
  <c r="AY36" i="31"/>
  <c r="DH65" i="2"/>
  <c r="BH53" i="31"/>
  <c r="G80" i="4"/>
  <c r="AG128" i="3"/>
  <c r="AH127" i="8"/>
  <c r="L128" i="8"/>
  <c r="M128" i="8"/>
  <c r="DH72" i="2"/>
  <c r="DG72" i="2"/>
  <c r="AF127" i="3"/>
  <c r="J72" i="36"/>
  <c r="AE181" i="6"/>
  <c r="AW181" i="6" s="1"/>
  <c r="J18" i="36"/>
  <c r="AE182" i="3"/>
  <c r="AW182" i="3" s="1"/>
  <c r="B118" i="15"/>
  <c r="C118" i="15" s="1"/>
  <c r="AL123" i="8"/>
  <c r="AZ180" i="8"/>
  <c r="AN123" i="8"/>
  <c r="AQ123" i="8" s="1"/>
  <c r="AO123" i="8"/>
  <c r="AR123" i="8" s="1"/>
  <c r="AM123" i="8"/>
  <c r="AP123" i="8" s="1"/>
  <c r="J128" i="36"/>
  <c r="AE182" i="8"/>
  <c r="AW182" i="8" s="1"/>
  <c r="DD61" i="2"/>
  <c r="DC61" i="2"/>
  <c r="AN76" i="8"/>
  <c r="S129" i="8"/>
  <c r="DC68" i="2"/>
  <c r="DD68" i="2"/>
  <c r="S183" i="8"/>
  <c r="T183" i="8" s="1"/>
  <c r="H129" i="36"/>
  <c r="AE183" i="40" s="1"/>
  <c r="AW183" i="40" s="1"/>
  <c r="B130" i="36"/>
  <c r="D130" i="36" s="1"/>
  <c r="E130" i="36" s="1"/>
  <c r="S184" i="40" s="1"/>
  <c r="T184" i="40" s="1"/>
  <c r="R184" i="8"/>
  <c r="BC55" i="31"/>
  <c r="BB56" i="31"/>
  <c r="AA185" i="8"/>
  <c r="AC128" i="8"/>
  <c r="Z128" i="8"/>
  <c r="AL123" i="6"/>
  <c r="AZ180" i="6"/>
  <c r="B68" i="15"/>
  <c r="C68" i="15" s="1"/>
  <c r="AM123" i="6"/>
  <c r="AP123" i="6" s="1"/>
  <c r="AN123" i="6"/>
  <c r="AQ123" i="6" s="1"/>
  <c r="AO123" i="6"/>
  <c r="AR123" i="6" s="1"/>
  <c r="BL37" i="31"/>
  <c r="BK38" i="31"/>
  <c r="DM52" i="2"/>
  <c r="DM84" i="2"/>
  <c r="DM59" i="2"/>
  <c r="DM75" i="2"/>
  <c r="DM80" i="2"/>
  <c r="DM61" i="2"/>
  <c r="DM77" i="2"/>
  <c r="DM71" i="2"/>
  <c r="DM82" i="2"/>
  <c r="DM68" i="2"/>
  <c r="DM50" i="2"/>
  <c r="DM86" i="2"/>
  <c r="DM72" i="2"/>
  <c r="DM60" i="2"/>
  <c r="DM92" i="2"/>
  <c r="DM63" i="2"/>
  <c r="DM56" i="2"/>
  <c r="DM88" i="2"/>
  <c r="DM65" i="2"/>
  <c r="DM81" i="2"/>
  <c r="DM91" i="2"/>
  <c r="DM90" i="2"/>
  <c r="DM76" i="2"/>
  <c r="DM58" i="2"/>
  <c r="DM62" i="2"/>
  <c r="DM48" i="2"/>
  <c r="DM64" i="2"/>
  <c r="DM46" i="2"/>
  <c r="DM78" i="2"/>
  <c r="DM51" i="2"/>
  <c r="DM93" i="2"/>
  <c r="DM47" i="2"/>
  <c r="DM53" i="2"/>
  <c r="DM79" i="2"/>
  <c r="DM49" i="2"/>
  <c r="DM66" i="2"/>
  <c r="DM69" i="2"/>
  <c r="DM85" i="2"/>
  <c r="DM70" i="2"/>
  <c r="DM89" i="2"/>
  <c r="DM54" i="2"/>
  <c r="DM94" i="2"/>
  <c r="DM55" i="2"/>
  <c r="BT48" i="2"/>
  <c r="DM87" i="2"/>
  <c r="DM57" i="2"/>
  <c r="DM67" i="2"/>
  <c r="DM83" i="2"/>
  <c r="DM74" i="2"/>
  <c r="DM73" i="2"/>
  <c r="DG90" i="2"/>
  <c r="DH90" i="2"/>
  <c r="V182" i="3"/>
  <c r="AO182" i="3"/>
  <c r="AP182" i="3" s="1"/>
  <c r="DG56" i="2"/>
  <c r="DH56" i="2"/>
  <c r="S183" i="6"/>
  <c r="T183" i="6" s="1"/>
  <c r="H74" i="36"/>
  <c r="AE183" i="39" s="1"/>
  <c r="AW183" i="39" s="1"/>
  <c r="CT31" i="31"/>
  <c r="CV31" i="31" s="1"/>
  <c r="V182" i="8"/>
  <c r="AO182" i="8"/>
  <c r="AP182" i="8" s="1"/>
  <c r="AE125" i="3"/>
  <c r="AE125" i="8"/>
  <c r="AE125" i="6"/>
  <c r="X129" i="8"/>
  <c r="AC186" i="8"/>
  <c r="AU186" i="8" s="1"/>
  <c r="H129" i="8"/>
  <c r="K129" i="8"/>
  <c r="L129" i="8" s="1"/>
  <c r="V129" i="8"/>
  <c r="DD64" i="2"/>
  <c r="DC64" i="2"/>
  <c r="DH71" i="2"/>
  <c r="DG71" i="2"/>
  <c r="M128" i="3"/>
  <c r="L128" i="3"/>
  <c r="AB26" i="6"/>
  <c r="M24" i="11"/>
  <c r="AB26" i="3"/>
  <c r="AB26" i="8"/>
  <c r="S183" i="3"/>
  <c r="T183" i="3" s="1"/>
  <c r="H19" i="36"/>
  <c r="AE183" i="38" s="1"/>
  <c r="AW183" i="38" s="1"/>
  <c r="DC80" i="2"/>
  <c r="DD80" i="2"/>
  <c r="DD53" i="2"/>
  <c r="DC53" i="2"/>
  <c r="AN40" i="31"/>
  <c r="AM41" i="31"/>
  <c r="BI54" i="31"/>
  <c r="BE54" i="31"/>
  <c r="BF54" i="31"/>
  <c r="BD54" i="31"/>
  <c r="AF127" i="6"/>
  <c r="DG64" i="2"/>
  <c r="DH64" i="2"/>
  <c r="H129" i="6"/>
  <c r="AC186" i="6"/>
  <c r="AU186" i="6" s="1"/>
  <c r="V129" i="6"/>
  <c r="K129" i="6"/>
  <c r="AO181" i="8"/>
  <c r="AP181" i="8" s="1"/>
  <c r="BP36" i="31"/>
  <c r="BN36" i="31"/>
  <c r="BO36" i="31" s="1"/>
  <c r="C22" i="11"/>
  <c r="D22" i="11" s="1"/>
  <c r="E22" i="11" s="1"/>
  <c r="AM77" i="3"/>
  <c r="AE77" i="3"/>
  <c r="DL66" i="2"/>
  <c r="DQ66" i="2" s="1"/>
  <c r="DL74" i="2"/>
  <c r="DQ74" i="2" s="1"/>
  <c r="DL82" i="2"/>
  <c r="DQ82" i="2" s="1"/>
  <c r="DL63" i="2"/>
  <c r="DQ63" i="2" s="1"/>
  <c r="DL67" i="2"/>
  <c r="DQ67" i="2" s="1"/>
  <c r="DL71" i="2"/>
  <c r="DQ71" i="2" s="1"/>
  <c r="DL86" i="2"/>
  <c r="DQ86" i="2" s="1"/>
  <c r="DL49" i="2"/>
  <c r="DQ49" i="2" s="1"/>
  <c r="DL53" i="2"/>
  <c r="DQ53" i="2" s="1"/>
  <c r="DL58" i="2"/>
  <c r="DQ58" i="2" s="1"/>
  <c r="DL52" i="2"/>
  <c r="DQ52" i="2" s="1"/>
  <c r="DL60" i="2"/>
  <c r="DQ60" i="2" s="1"/>
  <c r="DL70" i="2"/>
  <c r="DQ70" i="2" s="1"/>
  <c r="DL78" i="2"/>
  <c r="DQ78" i="2" s="1"/>
  <c r="DL47" i="2"/>
  <c r="DQ47" i="2" s="1"/>
  <c r="DL88" i="2"/>
  <c r="DQ88" i="2" s="1"/>
  <c r="DL50" i="2"/>
  <c r="DQ50" i="2" s="1"/>
  <c r="DL54" i="2"/>
  <c r="DQ54" i="2" s="1"/>
  <c r="DL51" i="2"/>
  <c r="DQ51" i="2" s="1"/>
  <c r="DL55" i="2"/>
  <c r="DQ55" i="2" s="1"/>
  <c r="DL72" i="2"/>
  <c r="DQ72" i="2" s="1"/>
  <c r="DL93" i="2"/>
  <c r="DQ93" i="2" s="1"/>
  <c r="DL94" i="2"/>
  <c r="DQ94" i="2" s="1"/>
  <c r="DL89" i="2"/>
  <c r="DQ89" i="2" s="1"/>
  <c r="DL57" i="2"/>
  <c r="DQ57" i="2" s="1"/>
  <c r="DL77" i="2"/>
  <c r="DQ77" i="2" s="1"/>
  <c r="DL56" i="2"/>
  <c r="DQ56" i="2" s="1"/>
  <c r="DL46" i="2"/>
  <c r="DQ46" i="2" s="1"/>
  <c r="DL76" i="2"/>
  <c r="DQ76" i="2" s="1"/>
  <c r="DL81" i="2"/>
  <c r="DQ81" i="2" s="1"/>
  <c r="DL64" i="2"/>
  <c r="DQ64" i="2" s="1"/>
  <c r="DL91" i="2"/>
  <c r="DQ91" i="2" s="1"/>
  <c r="DL62" i="2"/>
  <c r="DQ62" i="2" s="1"/>
  <c r="DL85" i="2"/>
  <c r="DQ85" i="2" s="1"/>
  <c r="DL73" i="2"/>
  <c r="DQ73" i="2" s="1"/>
  <c r="DL80" i="2"/>
  <c r="DQ80" i="2" s="1"/>
  <c r="DL59" i="2"/>
  <c r="DQ59" i="2" s="1"/>
  <c r="DL79" i="2"/>
  <c r="DQ79" i="2" s="1"/>
  <c r="DL83" i="2"/>
  <c r="DQ83" i="2" s="1"/>
  <c r="DL68" i="2"/>
  <c r="DQ68" i="2" s="1"/>
  <c r="DL61" i="2"/>
  <c r="DQ61" i="2" s="1"/>
  <c r="DL65" i="2"/>
  <c r="DQ65" i="2" s="1"/>
  <c r="DL87" i="2"/>
  <c r="DQ87" i="2" s="1"/>
  <c r="DL90" i="2"/>
  <c r="DQ90" i="2" s="1"/>
  <c r="DL84" i="2"/>
  <c r="DQ84" i="2" s="1"/>
  <c r="DL69" i="2"/>
  <c r="DQ69" i="2" s="1"/>
  <c r="DL75" i="2"/>
  <c r="DQ75" i="2" s="1"/>
  <c r="DL48" i="2"/>
  <c r="DQ48" i="2" s="1"/>
  <c r="DL92" i="2"/>
  <c r="DQ92" i="2" s="1"/>
  <c r="AF127" i="8"/>
  <c r="AA128" i="8"/>
  <c r="DD75" i="2"/>
  <c r="DC75" i="2"/>
  <c r="AE124" i="3"/>
  <c r="AE124" i="6"/>
  <c r="AE124" i="8"/>
  <c r="AU38" i="31"/>
  <c r="AT39" i="31"/>
  <c r="B75" i="36"/>
  <c r="D75" i="36" s="1"/>
  <c r="E75" i="36" s="1"/>
  <c r="S184" i="39" s="1"/>
  <c r="T184" i="39" s="1"/>
  <c r="R184" i="6"/>
  <c r="C73" i="11"/>
  <c r="D73" i="11" s="1"/>
  <c r="E73" i="11" s="1"/>
  <c r="AM77" i="6"/>
  <c r="AE77" i="6"/>
  <c r="DH51" i="2"/>
  <c r="DG51" i="2"/>
  <c r="BF25" i="8"/>
  <c r="AN25" i="8"/>
  <c r="BG25" i="8" s="1"/>
  <c r="AB78" i="8"/>
  <c r="Y128" i="6"/>
  <c r="AB128" i="6" s="1"/>
  <c r="O185" i="6"/>
  <c r="B76" i="43" s="1"/>
  <c r="DC62" i="2"/>
  <c r="DD62" i="2"/>
  <c r="B20" i="36"/>
  <c r="D20" i="36" s="1"/>
  <c r="E20" i="36" s="1"/>
  <c r="S184" i="38" s="1"/>
  <c r="T184" i="38" s="1"/>
  <c r="R184" i="3"/>
  <c r="N128" i="8"/>
  <c r="S182" i="6"/>
  <c r="T182" i="6" s="1"/>
  <c r="H73" i="36"/>
  <c r="AE182" i="39" s="1"/>
  <c r="AW182" i="39" s="1"/>
  <c r="AA129" i="6"/>
  <c r="DH50" i="2"/>
  <c r="DG50" i="2"/>
  <c r="DC74" i="2"/>
  <c r="DD74" i="2"/>
  <c r="R129" i="6"/>
  <c r="N129" i="6"/>
  <c r="AN76" i="6"/>
  <c r="BF25" i="3"/>
  <c r="AN25" i="3"/>
  <c r="BG25" i="3" s="1"/>
  <c r="AE30" i="9"/>
  <c r="AE25" i="3"/>
  <c r="AG25" i="3"/>
  <c r="AC25" i="3"/>
  <c r="AD25" i="3"/>
  <c r="AF25" i="3"/>
  <c r="AB78" i="3"/>
  <c r="L128" i="6"/>
  <c r="M128" i="6"/>
  <c r="N128" i="6"/>
  <c r="M129" i="8"/>
  <c r="DG84" i="2"/>
  <c r="DH84" i="2"/>
  <c r="Y128" i="8"/>
  <c r="AB128" i="8" s="1"/>
  <c r="O185" i="8"/>
  <c r="B131" i="43" s="1"/>
  <c r="D131" i="43" s="1"/>
  <c r="E131" i="43" s="1"/>
  <c r="H131" i="43" s="1"/>
  <c r="J131" i="43" s="1"/>
  <c r="DD72" i="2"/>
  <c r="DC72" i="2"/>
  <c r="AR39" i="31"/>
  <c r="AO39" i="31"/>
  <c r="AQ39" i="31" s="1"/>
  <c r="CL34" i="31" s="1"/>
  <c r="G35" i="31" s="1"/>
  <c r="DD58" i="2"/>
  <c r="DC58" i="2"/>
  <c r="AN25" i="6"/>
  <c r="BG25" i="6" s="1"/>
  <c r="BF25" i="6"/>
  <c r="AB78" i="6"/>
  <c r="Z128" i="6"/>
  <c r="AC128" i="6"/>
  <c r="AA185" i="6"/>
  <c r="DH67" i="2"/>
  <c r="DG67" i="2"/>
  <c r="AH127" i="3"/>
  <c r="DC90" i="2"/>
  <c r="DD90" i="2"/>
  <c r="DH75" i="2"/>
  <c r="DG75" i="2"/>
  <c r="BS38" i="31"/>
  <c r="BT37" i="31"/>
  <c r="BV37" i="31" s="1"/>
  <c r="BW37" i="31" s="1"/>
  <c r="DD84" i="2"/>
  <c r="DC84" i="2"/>
  <c r="AC128" i="3"/>
  <c r="Z128" i="3"/>
  <c r="AA185" i="3"/>
  <c r="AI126" i="6"/>
  <c r="M80" i="4" s="1"/>
  <c r="DG61" i="2"/>
  <c r="DH61" i="2"/>
  <c r="V181" i="6"/>
  <c r="AO181" i="6"/>
  <c r="AP181" i="6" s="1"/>
  <c r="AO181" i="3"/>
  <c r="AP181" i="3" s="1"/>
  <c r="AG127" i="8"/>
  <c r="AL123" i="3"/>
  <c r="AZ180" i="3"/>
  <c r="B18" i="15"/>
  <c r="C18" i="15" s="1"/>
  <c r="J18" i="15" s="1"/>
  <c r="AN123" i="3"/>
  <c r="AQ123" i="3" s="1"/>
  <c r="AO123" i="3"/>
  <c r="AR123" i="3" s="1"/>
  <c r="AM123" i="3"/>
  <c r="AP123" i="3" s="1"/>
  <c r="AZ37" i="31"/>
  <c r="AW37" i="31"/>
  <c r="AV37" i="31"/>
  <c r="C124" i="11"/>
  <c r="D124" i="11" s="1"/>
  <c r="E124" i="11" s="1"/>
  <c r="AM77" i="8"/>
  <c r="AE77" i="8"/>
  <c r="AA128" i="6"/>
  <c r="Y128" i="3"/>
  <c r="AB128" i="3" s="1"/>
  <c r="O185" i="3"/>
  <c r="B21" i="43" s="1"/>
  <c r="R129" i="3"/>
  <c r="AN76" i="3"/>
  <c r="AC186" i="3"/>
  <c r="AU186" i="3" s="1"/>
  <c r="H129" i="3"/>
  <c r="V129" i="3"/>
  <c r="AA129" i="3" s="1"/>
  <c r="K129" i="3"/>
  <c r="CO32" i="31"/>
  <c r="CK33" i="31"/>
  <c r="CR32" i="31"/>
  <c r="AH127" i="6"/>
  <c r="CC437" i="2"/>
  <c r="CD436" i="2"/>
  <c r="AK125" i="38" l="1"/>
  <c r="AZ182" i="38" s="1"/>
  <c r="D76" i="43"/>
  <c r="E76" i="43"/>
  <c r="H76" i="43" s="1"/>
  <c r="J76" i="43" s="1"/>
  <c r="D21" i="43"/>
  <c r="E21" i="43" s="1"/>
  <c r="H21" i="43" s="1"/>
  <c r="J21" i="43" s="1"/>
  <c r="AI127" i="8"/>
  <c r="T81" i="4" s="1"/>
  <c r="AS123" i="39"/>
  <c r="AT123" i="39" s="1"/>
  <c r="AE126" i="38"/>
  <c r="AK126" i="38" s="1"/>
  <c r="AE126" i="39"/>
  <c r="AE126" i="40"/>
  <c r="AY181" i="39"/>
  <c r="AK124" i="39"/>
  <c r="AS123" i="40"/>
  <c r="AT123" i="40" s="1"/>
  <c r="AY182" i="39"/>
  <c r="AK125" i="39"/>
  <c r="AY181" i="40"/>
  <c r="AK124" i="40"/>
  <c r="AY182" i="40"/>
  <c r="AK125" i="40"/>
  <c r="G130" i="8"/>
  <c r="X130" i="8" s="1"/>
  <c r="G130" i="40"/>
  <c r="AH127" i="40"/>
  <c r="AG127" i="40"/>
  <c r="AC186" i="40"/>
  <c r="AU186" i="40" s="1"/>
  <c r="H129" i="40"/>
  <c r="X129" i="40"/>
  <c r="K129" i="40"/>
  <c r="M129" i="40" s="1"/>
  <c r="V129" i="40"/>
  <c r="V184" i="40"/>
  <c r="AC128" i="40"/>
  <c r="AA185" i="40"/>
  <c r="AB128" i="40"/>
  <c r="Z128" i="40"/>
  <c r="AA128" i="40"/>
  <c r="AM185" i="40"/>
  <c r="AN185" i="40" s="1"/>
  <c r="AI126" i="40"/>
  <c r="L128" i="40"/>
  <c r="N128" i="40"/>
  <c r="AF127" i="40"/>
  <c r="AO183" i="40"/>
  <c r="AP183" i="40" s="1"/>
  <c r="AC128" i="39"/>
  <c r="AA185" i="39"/>
  <c r="AB128" i="39"/>
  <c r="Z128" i="39"/>
  <c r="AC186" i="39"/>
  <c r="AU186" i="39" s="1"/>
  <c r="H129" i="39"/>
  <c r="X129" i="39"/>
  <c r="V129" i="39"/>
  <c r="K129" i="39"/>
  <c r="M129" i="39" s="1"/>
  <c r="AF127" i="39"/>
  <c r="AH127" i="39"/>
  <c r="AO183" i="39"/>
  <c r="AP183" i="39" s="1"/>
  <c r="AG127" i="39"/>
  <c r="G130" i="6"/>
  <c r="X130" i="6" s="1"/>
  <c r="G130" i="39"/>
  <c r="V184" i="39"/>
  <c r="N128" i="39"/>
  <c r="L128" i="39"/>
  <c r="AA128" i="39"/>
  <c r="AM185" i="39"/>
  <c r="AN185" i="39" s="1"/>
  <c r="AO182" i="39"/>
  <c r="AP182" i="39" s="1"/>
  <c r="AS123" i="3"/>
  <c r="AT123" i="3" s="1"/>
  <c r="V184" i="38"/>
  <c r="AS123" i="8"/>
  <c r="AT123" i="8" s="1"/>
  <c r="AM124" i="38"/>
  <c r="AP124" i="38" s="1"/>
  <c r="AZ181" i="38"/>
  <c r="AL124" i="38"/>
  <c r="AN124" i="38"/>
  <c r="AQ124" i="38" s="1"/>
  <c r="AO124" i="38"/>
  <c r="AR124" i="38" s="1"/>
  <c r="AA128" i="38"/>
  <c r="AM185" i="38"/>
  <c r="AN185" i="38" s="1"/>
  <c r="AC186" i="38"/>
  <c r="AU186" i="38" s="1"/>
  <c r="X129" i="38"/>
  <c r="H129" i="38"/>
  <c r="K129" i="38"/>
  <c r="M129" i="38" s="1"/>
  <c r="V129" i="38"/>
  <c r="AF127" i="38"/>
  <c r="G130" i="3"/>
  <c r="G130" i="38"/>
  <c r="L128" i="38"/>
  <c r="N128" i="38"/>
  <c r="AH127" i="38"/>
  <c r="AA185" i="38"/>
  <c r="AC128" i="38"/>
  <c r="AB128" i="38"/>
  <c r="Z128" i="38"/>
  <c r="AI126" i="38"/>
  <c r="AG127" i="38"/>
  <c r="AO183" i="38"/>
  <c r="AP183" i="38" s="1"/>
  <c r="M128" i="38"/>
  <c r="DJ51" i="2"/>
  <c r="DJ80" i="2"/>
  <c r="DP85" i="2"/>
  <c r="DJ65" i="2"/>
  <c r="DJ88" i="2"/>
  <c r="DP90" i="2"/>
  <c r="DJ52" i="2"/>
  <c r="DJ50" i="2"/>
  <c r="DJ60" i="2"/>
  <c r="DJ79" i="2"/>
  <c r="DJ74" i="2"/>
  <c r="DJ73" i="2"/>
  <c r="DJ83" i="2"/>
  <c r="DJ81" i="2"/>
  <c r="DJ94" i="2"/>
  <c r="DJ56" i="2"/>
  <c r="DJ46" i="2"/>
  <c r="DJ78" i="2"/>
  <c r="DJ75" i="2"/>
  <c r="DJ57" i="2"/>
  <c r="DJ49" i="2"/>
  <c r="DJ63" i="2"/>
  <c r="DP46" i="2"/>
  <c r="DJ90" i="2"/>
  <c r="DP72" i="2"/>
  <c r="DJ61" i="2"/>
  <c r="DJ72" i="2"/>
  <c r="DJ87" i="2"/>
  <c r="DJ89" i="2"/>
  <c r="DJ70" i="2"/>
  <c r="DJ62" i="2"/>
  <c r="DJ82" i="2"/>
  <c r="DJ93" i="2"/>
  <c r="DJ69" i="2"/>
  <c r="DJ68" i="2"/>
  <c r="DJ55" i="2"/>
  <c r="DJ76" i="2"/>
  <c r="DJ84" i="2"/>
  <c r="DJ59" i="2"/>
  <c r="DP58" i="2"/>
  <c r="DP89" i="2"/>
  <c r="DJ67" i="2"/>
  <c r="DJ86" i="2"/>
  <c r="DJ53" i="2"/>
  <c r="DJ47" i="2"/>
  <c r="BT49" i="2"/>
  <c r="DJ54" i="2"/>
  <c r="DJ64" i="2"/>
  <c r="DJ66" i="2"/>
  <c r="DJ77" i="2"/>
  <c r="DJ71" i="2"/>
  <c r="DJ92" i="2"/>
  <c r="DJ48" i="2"/>
  <c r="DJ91" i="2"/>
  <c r="DJ58" i="2"/>
  <c r="BT47" i="2"/>
  <c r="DP51" i="2"/>
  <c r="DJ85" i="2"/>
  <c r="DP83" i="2"/>
  <c r="DP84" i="2"/>
  <c r="DP57" i="2"/>
  <c r="DP48" i="2"/>
  <c r="DP73" i="2"/>
  <c r="DP79" i="2"/>
  <c r="DP50" i="2"/>
  <c r="DP77" i="2"/>
  <c r="DP55" i="2"/>
  <c r="DP93" i="2"/>
  <c r="DP61" i="2"/>
  <c r="DP59" i="2"/>
  <c r="DP49" i="2"/>
  <c r="DP60" i="2"/>
  <c r="DP74" i="2"/>
  <c r="DP78" i="2"/>
  <c r="DP81" i="2"/>
  <c r="DP53" i="2"/>
  <c r="DP52" i="2"/>
  <c r="DP71" i="2"/>
  <c r="DP94" i="2"/>
  <c r="DP76" i="2"/>
  <c r="DP86" i="2"/>
  <c r="DP80" i="2"/>
  <c r="DP88" i="2"/>
  <c r="DP92" i="2"/>
  <c r="DP56" i="2"/>
  <c r="DP82" i="2"/>
  <c r="DP66" i="2"/>
  <c r="DP70" i="2"/>
  <c r="DP63" i="2"/>
  <c r="DP47" i="2"/>
  <c r="DP67" i="2"/>
  <c r="DP87" i="2"/>
  <c r="DP54" i="2"/>
  <c r="DI49" i="2"/>
  <c r="DK49" i="2" s="1"/>
  <c r="DP68" i="2"/>
  <c r="DP91" i="2"/>
  <c r="DP69" i="2"/>
  <c r="DP75" i="2"/>
  <c r="DI82" i="2"/>
  <c r="DN82" i="2" s="1"/>
  <c r="DO75" i="2"/>
  <c r="DP65" i="2"/>
  <c r="DI70" i="2"/>
  <c r="DN70" i="2" s="1"/>
  <c r="DP62" i="2"/>
  <c r="DI66" i="2"/>
  <c r="DN66" i="2" s="1"/>
  <c r="AG129" i="3"/>
  <c r="AM187" i="8"/>
  <c r="AN187" i="8" s="1"/>
  <c r="CR33" i="31"/>
  <c r="CK34" i="31"/>
  <c r="CO33" i="31"/>
  <c r="O186" i="3"/>
  <c r="B22" i="43" s="1"/>
  <c r="D22" i="43" s="1"/>
  <c r="E22" i="43" s="1"/>
  <c r="H22" i="43" s="1"/>
  <c r="J22" i="43" s="1"/>
  <c r="Y129" i="3"/>
  <c r="AB129" i="3" s="1"/>
  <c r="DP64" i="2"/>
  <c r="C74" i="11"/>
  <c r="D74" i="11" s="1"/>
  <c r="E74" i="11" s="1"/>
  <c r="AM78" i="6"/>
  <c r="AE78" i="6"/>
  <c r="V182" i="6"/>
  <c r="C125" i="11"/>
  <c r="D125" i="11" s="1"/>
  <c r="E125" i="11" s="1"/>
  <c r="AE78" i="8"/>
  <c r="AM78" i="8"/>
  <c r="DI71" i="2"/>
  <c r="DI81" i="2"/>
  <c r="DI47" i="2"/>
  <c r="DI55" i="2"/>
  <c r="DI86" i="2"/>
  <c r="DI56" i="2"/>
  <c r="DI72" i="2"/>
  <c r="DI69" i="2"/>
  <c r="DI51" i="2"/>
  <c r="DI65" i="2"/>
  <c r="DI89" i="2"/>
  <c r="DI78" i="2"/>
  <c r="AN77" i="6"/>
  <c r="R130" i="6"/>
  <c r="DO48" i="2"/>
  <c r="DO60" i="2"/>
  <c r="DO94" i="2"/>
  <c r="DO89" i="2"/>
  <c r="DO71" i="2"/>
  <c r="DO92" i="2"/>
  <c r="DO79" i="2"/>
  <c r="DO76" i="2"/>
  <c r="DO88" i="2"/>
  <c r="DO53" i="2"/>
  <c r="DO93" i="2"/>
  <c r="DO54" i="2"/>
  <c r="AU39" i="31"/>
  <c r="AT40" i="31"/>
  <c r="AY181" i="3"/>
  <c r="AK124" i="3"/>
  <c r="I78" i="4"/>
  <c r="C78" i="4"/>
  <c r="R130" i="3"/>
  <c r="AN77" i="3"/>
  <c r="AC187" i="3"/>
  <c r="AU187" i="3" s="1"/>
  <c r="H130" i="3"/>
  <c r="V130" i="3"/>
  <c r="K130" i="3"/>
  <c r="L129" i="6"/>
  <c r="M129" i="6"/>
  <c r="BH54" i="31"/>
  <c r="AN41" i="31"/>
  <c r="AM42" i="31"/>
  <c r="AN26" i="8"/>
  <c r="BG26" i="8" s="1"/>
  <c r="BF26" i="8"/>
  <c r="AB79" i="8"/>
  <c r="R79" i="4"/>
  <c r="V79" i="4" s="1"/>
  <c r="AY182" i="8"/>
  <c r="AK125" i="8"/>
  <c r="BP37" i="31"/>
  <c r="BN37" i="31"/>
  <c r="BO37" i="31" s="1"/>
  <c r="E68" i="15"/>
  <c r="F68" i="15"/>
  <c r="I68" i="15"/>
  <c r="J68" i="15"/>
  <c r="AF128" i="8"/>
  <c r="BI55" i="31"/>
  <c r="BE55" i="31"/>
  <c r="BD55" i="31"/>
  <c r="BF55" i="31"/>
  <c r="V183" i="8"/>
  <c r="O186" i="8"/>
  <c r="B132" i="43" s="1"/>
  <c r="Y129" i="8"/>
  <c r="AB129" i="8" s="1"/>
  <c r="R185" i="3"/>
  <c r="B21" i="36"/>
  <c r="D21" i="36" s="1"/>
  <c r="E21" i="36" s="1"/>
  <c r="S185" i="38" s="1"/>
  <c r="T185" i="38" s="1"/>
  <c r="AG128" i="6"/>
  <c r="F18" i="15"/>
  <c r="I18" i="15"/>
  <c r="E18" i="15"/>
  <c r="Y129" i="6"/>
  <c r="AB129" i="6" s="1"/>
  <c r="O186" i="6"/>
  <c r="B77" i="43" s="1"/>
  <c r="DI57" i="2"/>
  <c r="DI48" i="2"/>
  <c r="DI75" i="2"/>
  <c r="DI91" i="2"/>
  <c r="DI80" i="2"/>
  <c r="DI61" i="2"/>
  <c r="DI93" i="2"/>
  <c r="DI85" i="2"/>
  <c r="DI50" i="2"/>
  <c r="DI74" i="2"/>
  <c r="DI90" i="2"/>
  <c r="DI92" i="2"/>
  <c r="H75" i="36"/>
  <c r="AE184" i="39" s="1"/>
  <c r="AW184" i="39" s="1"/>
  <c r="S184" i="6"/>
  <c r="T184" i="6" s="1"/>
  <c r="DO56" i="2"/>
  <c r="DO68" i="2"/>
  <c r="DO86" i="2"/>
  <c r="DO51" i="2"/>
  <c r="DO90" i="2"/>
  <c r="DO74" i="2"/>
  <c r="DO85" i="2"/>
  <c r="DO49" i="2"/>
  <c r="DO65" i="2"/>
  <c r="DO62" i="2"/>
  <c r="DO55" i="2"/>
  <c r="DO52" i="2"/>
  <c r="AZ38" i="31"/>
  <c r="AW38" i="31"/>
  <c r="AV38" i="31"/>
  <c r="AC129" i="6"/>
  <c r="AA186" i="6"/>
  <c r="Z129" i="6"/>
  <c r="AR40" i="31"/>
  <c r="AO40" i="31"/>
  <c r="AQ40" i="31" s="1"/>
  <c r="CL35" i="31" s="1"/>
  <c r="G36" i="31" s="1"/>
  <c r="AF26" i="3"/>
  <c r="AC26" i="3"/>
  <c r="AG26" i="3"/>
  <c r="AE31" i="9"/>
  <c r="AE26" i="3"/>
  <c r="AN26" i="3"/>
  <c r="BG26" i="3" s="1"/>
  <c r="AD26" i="3"/>
  <c r="BF26" i="3"/>
  <c r="AB79" i="3"/>
  <c r="I79" i="4"/>
  <c r="AY182" i="3"/>
  <c r="AK125" i="3"/>
  <c r="C79" i="4"/>
  <c r="J74" i="36"/>
  <c r="AE183" i="6"/>
  <c r="AW183" i="6" s="1"/>
  <c r="AI127" i="3"/>
  <c r="E81" i="4" s="1"/>
  <c r="L129" i="3"/>
  <c r="M129" i="3"/>
  <c r="N129" i="3"/>
  <c r="AH128" i="3"/>
  <c r="H130" i="8"/>
  <c r="AC187" i="8"/>
  <c r="AU187" i="8" s="1"/>
  <c r="V130" i="8"/>
  <c r="AA130" i="8" s="1"/>
  <c r="K130" i="8"/>
  <c r="AF128" i="3"/>
  <c r="B131" i="36"/>
  <c r="D131" i="36" s="1"/>
  <c r="E131" i="36" s="1"/>
  <c r="S185" i="40" s="1"/>
  <c r="T185" i="40" s="1"/>
  <c r="R185" i="8"/>
  <c r="C23" i="11"/>
  <c r="D23" i="11" s="1"/>
  <c r="E23" i="11" s="1"/>
  <c r="AM78" i="3"/>
  <c r="AE78" i="3"/>
  <c r="AG129" i="6"/>
  <c r="B76" i="36"/>
  <c r="D76" i="36" s="1"/>
  <c r="E76" i="36" s="1"/>
  <c r="S185" i="39" s="1"/>
  <c r="T185" i="39" s="1"/>
  <c r="R185" i="6"/>
  <c r="DI67" i="2"/>
  <c r="DI83" i="2"/>
  <c r="DI60" i="2"/>
  <c r="DI63" i="2"/>
  <c r="DI88" i="2"/>
  <c r="DI73" i="2"/>
  <c r="DI79" i="2"/>
  <c r="DI76" i="2"/>
  <c r="DI87" i="2"/>
  <c r="DI94" i="2"/>
  <c r="DO47" i="2"/>
  <c r="DO59" i="2"/>
  <c r="DO61" i="2"/>
  <c r="DO82" i="2"/>
  <c r="DO78" i="2"/>
  <c r="DO83" i="2"/>
  <c r="DO69" i="2"/>
  <c r="DO58" i="2"/>
  <c r="DO77" i="2"/>
  <c r="DO81" i="2"/>
  <c r="DO70" i="2"/>
  <c r="DO67" i="2"/>
  <c r="R78" i="4"/>
  <c r="V78" i="4" s="1"/>
  <c r="AY181" i="8"/>
  <c r="AK124" i="8"/>
  <c r="J19" i="36"/>
  <c r="AE183" i="3"/>
  <c r="AW183" i="3" s="1"/>
  <c r="M25" i="11"/>
  <c r="AB27" i="8"/>
  <c r="AB27" i="6"/>
  <c r="AB27" i="3"/>
  <c r="AC129" i="8"/>
  <c r="AA186" i="8"/>
  <c r="Z129" i="8"/>
  <c r="AA129" i="8"/>
  <c r="AM186" i="8"/>
  <c r="AN186" i="8" s="1"/>
  <c r="V183" i="6"/>
  <c r="AO183" i="6"/>
  <c r="AP183" i="6" s="1"/>
  <c r="S184" i="8"/>
  <c r="T184" i="8" s="1"/>
  <c r="H130" i="36"/>
  <c r="AE184" i="40" s="1"/>
  <c r="AW184" i="40" s="1"/>
  <c r="CT32" i="31"/>
  <c r="CV32" i="31" s="1"/>
  <c r="AC129" i="3"/>
  <c r="AA186" i="3"/>
  <c r="Z129" i="3"/>
  <c r="AN77" i="8"/>
  <c r="S130" i="8"/>
  <c r="N130" i="8"/>
  <c r="AY37" i="31"/>
  <c r="BS39" i="31"/>
  <c r="BT38" i="31"/>
  <c r="BV38" i="31" s="1"/>
  <c r="BW38" i="31" s="1"/>
  <c r="AF128" i="6"/>
  <c r="AH128" i="8"/>
  <c r="J73" i="36"/>
  <c r="AE182" i="6"/>
  <c r="AW182" i="6" s="1"/>
  <c r="S184" i="3"/>
  <c r="T184" i="3" s="1"/>
  <c r="H20" i="36"/>
  <c r="AE184" i="38" s="1"/>
  <c r="AW184" i="38" s="1"/>
  <c r="AH128" i="6"/>
  <c r="DI62" i="2"/>
  <c r="DI77" i="2"/>
  <c r="DI54" i="2"/>
  <c r="DI58" i="2"/>
  <c r="DI52" i="2"/>
  <c r="DI68" i="2"/>
  <c r="DI53" i="2"/>
  <c r="DI84" i="2"/>
  <c r="DI64" i="2"/>
  <c r="DI59" i="2"/>
  <c r="DI46" i="2"/>
  <c r="AM187" i="6"/>
  <c r="AN187" i="6" s="1"/>
  <c r="AC187" i="6"/>
  <c r="AU187" i="6" s="1"/>
  <c r="H130" i="6"/>
  <c r="V130" i="6"/>
  <c r="K130" i="6"/>
  <c r="DO84" i="2"/>
  <c r="DO73" i="2"/>
  <c r="DO72" i="2"/>
  <c r="DO91" i="2"/>
  <c r="DO63" i="2"/>
  <c r="DO80" i="2"/>
  <c r="DO87" i="2"/>
  <c r="DO64" i="2"/>
  <c r="DO66" i="2"/>
  <c r="DO50" i="2"/>
  <c r="DO57" i="2"/>
  <c r="DO46" i="2"/>
  <c r="K78" i="4"/>
  <c r="O78" i="4" s="1"/>
  <c r="AY181" i="6"/>
  <c r="AK124" i="6"/>
  <c r="AG128" i="8"/>
  <c r="DP43" i="2"/>
  <c r="DO43" i="2"/>
  <c r="DP44" i="2"/>
  <c r="DO44" i="2"/>
  <c r="M130" i="3"/>
  <c r="X130" i="3"/>
  <c r="AI127" i="6"/>
  <c r="M81" i="4" s="1"/>
  <c r="V183" i="3"/>
  <c r="AN26" i="6"/>
  <c r="BG26" i="6" s="1"/>
  <c r="BF26" i="6"/>
  <c r="AB79" i="6"/>
  <c r="AY182" i="6"/>
  <c r="K79" i="4"/>
  <c r="O79" i="4" s="1"/>
  <c r="AK125" i="6"/>
  <c r="BT61" i="2"/>
  <c r="BT86" i="2"/>
  <c r="BT71" i="2"/>
  <c r="BT84" i="2"/>
  <c r="BT89" i="2"/>
  <c r="BT96" i="2"/>
  <c r="BT58" i="2"/>
  <c r="BT59" i="2"/>
  <c r="BT54" i="2"/>
  <c r="BT77" i="2"/>
  <c r="BT69" i="2"/>
  <c r="BT87" i="2"/>
  <c r="BT72" i="2"/>
  <c r="BT80" i="2"/>
  <c r="BT94" i="2"/>
  <c r="BT70" i="2"/>
  <c r="BT68" i="2"/>
  <c r="BT82" i="2"/>
  <c r="BT67" i="2"/>
  <c r="BT83" i="2"/>
  <c r="BT50" i="2"/>
  <c r="BT60" i="2"/>
  <c r="BT65" i="2"/>
  <c r="BT74" i="2"/>
  <c r="BT75" i="2"/>
  <c r="BT53" i="2"/>
  <c r="BT93" i="2"/>
  <c r="BT56" i="2"/>
  <c r="BT62" i="2"/>
  <c r="BT63" i="2"/>
  <c r="BT76" i="2"/>
  <c r="BT51" i="2"/>
  <c r="BT55" i="2"/>
  <c r="BT73" i="2"/>
  <c r="BT95" i="2"/>
  <c r="BT81" i="2"/>
  <c r="BT90" i="2"/>
  <c r="BT91" i="2"/>
  <c r="BT85" i="2"/>
  <c r="BT64" i="2"/>
  <c r="BT88" i="2"/>
  <c r="BT78" i="2"/>
  <c r="BT79" i="2"/>
  <c r="BT92" i="2"/>
  <c r="BT52" i="2"/>
  <c r="BT57" i="2"/>
  <c r="BT66" i="2"/>
  <c r="BU48" i="2"/>
  <c r="BL38" i="31"/>
  <c r="BK39" i="31"/>
  <c r="AS123" i="6"/>
  <c r="AT123" i="6" s="1"/>
  <c r="BB57" i="31"/>
  <c r="BC56" i="31"/>
  <c r="J129" i="36"/>
  <c r="AE183" i="8"/>
  <c r="AW183" i="8" s="1"/>
  <c r="N129" i="8"/>
  <c r="E118" i="15"/>
  <c r="F118" i="15"/>
  <c r="I118" i="15"/>
  <c r="J118" i="15"/>
  <c r="AE126" i="3"/>
  <c r="AE126" i="8"/>
  <c r="AE126" i="6"/>
  <c r="CC438" i="2"/>
  <c r="CD437" i="2"/>
  <c r="AL125" i="38" l="1"/>
  <c r="AN125" i="38"/>
  <c r="AQ125" i="38" s="1"/>
  <c r="AM125" i="38"/>
  <c r="AP125" i="38" s="1"/>
  <c r="AO125" i="38"/>
  <c r="AR125" i="38" s="1"/>
  <c r="D132" i="43"/>
  <c r="E132" i="43" s="1"/>
  <c r="H132" i="43" s="1"/>
  <c r="J132" i="43" s="1"/>
  <c r="D77" i="43"/>
  <c r="E77" i="43"/>
  <c r="H77" i="43" s="1"/>
  <c r="J77" i="43" s="1"/>
  <c r="AY183" i="38"/>
  <c r="AO183" i="3"/>
  <c r="AP183" i="3" s="1"/>
  <c r="AO125" i="40"/>
  <c r="AR125" i="40" s="1"/>
  <c r="AN125" i="40"/>
  <c r="AQ125" i="40" s="1"/>
  <c r="AZ182" i="40"/>
  <c r="AM125" i="40"/>
  <c r="AP125" i="40" s="1"/>
  <c r="AL125" i="40"/>
  <c r="AN125" i="39"/>
  <c r="AQ125" i="39" s="1"/>
  <c r="AO125" i="39"/>
  <c r="AR125" i="39" s="1"/>
  <c r="AL125" i="39"/>
  <c r="AM125" i="39"/>
  <c r="AP125" i="39" s="1"/>
  <c r="AZ182" i="39"/>
  <c r="AY183" i="40"/>
  <c r="AK126" i="40"/>
  <c r="AN124" i="40"/>
  <c r="AQ124" i="40" s="1"/>
  <c r="AL124" i="40"/>
  <c r="AM124" i="40"/>
  <c r="AP124" i="40" s="1"/>
  <c r="AO124" i="40"/>
  <c r="AR124" i="40" s="1"/>
  <c r="AZ181" i="40"/>
  <c r="AY183" i="39"/>
  <c r="AK126" i="39"/>
  <c r="AN124" i="39"/>
  <c r="AQ124" i="39" s="1"/>
  <c r="AM124" i="39"/>
  <c r="AP124" i="39" s="1"/>
  <c r="AZ181" i="39"/>
  <c r="AL124" i="39"/>
  <c r="AO124" i="39"/>
  <c r="AR124" i="39" s="1"/>
  <c r="G131" i="8"/>
  <c r="X131" i="8" s="1"/>
  <c r="AM188" i="8" s="1"/>
  <c r="AN188" i="8" s="1"/>
  <c r="G131" i="40"/>
  <c r="AG128" i="40"/>
  <c r="AC129" i="40"/>
  <c r="AA186" i="40"/>
  <c r="AB129" i="40"/>
  <c r="Z129" i="40"/>
  <c r="AF128" i="40"/>
  <c r="L129" i="40"/>
  <c r="N129" i="40"/>
  <c r="AI127" i="40"/>
  <c r="V185" i="40"/>
  <c r="AH128" i="40"/>
  <c r="AM186" i="40"/>
  <c r="AN186" i="40" s="1"/>
  <c r="AA129" i="40"/>
  <c r="AC187" i="40"/>
  <c r="AU187" i="40" s="1"/>
  <c r="X130" i="40"/>
  <c r="H130" i="40"/>
  <c r="V130" i="40"/>
  <c r="K130" i="40"/>
  <c r="AO184" i="40"/>
  <c r="AP184" i="40" s="1"/>
  <c r="AO184" i="39"/>
  <c r="AP184" i="39" s="1"/>
  <c r="AA129" i="39"/>
  <c r="AG129" i="39" s="1"/>
  <c r="AM186" i="39"/>
  <c r="AN186" i="39" s="1"/>
  <c r="AF128" i="39"/>
  <c r="AI127" i="39"/>
  <c r="AH128" i="39"/>
  <c r="V185" i="39"/>
  <c r="AC187" i="39"/>
  <c r="AU187" i="39" s="1"/>
  <c r="H130" i="39"/>
  <c r="X130" i="39"/>
  <c r="V130" i="39"/>
  <c r="K130" i="39"/>
  <c r="M130" i="39" s="1"/>
  <c r="L129" i="39"/>
  <c r="N129" i="39"/>
  <c r="G131" i="6"/>
  <c r="G131" i="39"/>
  <c r="AG128" i="39"/>
  <c r="AC129" i="39"/>
  <c r="AA186" i="39"/>
  <c r="AB129" i="39"/>
  <c r="Z129" i="39"/>
  <c r="V185" i="38"/>
  <c r="AH128" i="38"/>
  <c r="L129" i="38"/>
  <c r="N129" i="38"/>
  <c r="AS124" i="38"/>
  <c r="AT124" i="38" s="1"/>
  <c r="AI127" i="38"/>
  <c r="AZ183" i="38"/>
  <c r="AL126" i="38"/>
  <c r="AM126" i="38"/>
  <c r="AP126" i="38" s="1"/>
  <c r="AN126" i="38"/>
  <c r="AQ126" i="38" s="1"/>
  <c r="AO126" i="38"/>
  <c r="AR126" i="38" s="1"/>
  <c r="AO184" i="38"/>
  <c r="AP184" i="38" s="1"/>
  <c r="AG128" i="38"/>
  <c r="G131" i="3"/>
  <c r="X131" i="3" s="1"/>
  <c r="G131" i="38"/>
  <c r="AF128" i="38"/>
  <c r="AC187" i="38"/>
  <c r="AU187" i="38" s="1"/>
  <c r="H130" i="38"/>
  <c r="X130" i="38"/>
  <c r="V130" i="38"/>
  <c r="K130" i="38"/>
  <c r="M130" i="38" s="1"/>
  <c r="AC129" i="38"/>
  <c r="AA186" i="38"/>
  <c r="AB129" i="38"/>
  <c r="Z129" i="38"/>
  <c r="AA129" i="38"/>
  <c r="AM186" i="38"/>
  <c r="AN186" i="38" s="1"/>
  <c r="DK66" i="2"/>
  <c r="DN49" i="2"/>
  <c r="DK70" i="2"/>
  <c r="DK82" i="2"/>
  <c r="BU47" i="2"/>
  <c r="BH55" i="31"/>
  <c r="AG130" i="8"/>
  <c r="AY183" i="6"/>
  <c r="K80" i="4"/>
  <c r="O80" i="4" s="1"/>
  <c r="AK126" i="6"/>
  <c r="M130" i="6"/>
  <c r="L130" i="6"/>
  <c r="DK84" i="2"/>
  <c r="DN84" i="2"/>
  <c r="DK58" i="2"/>
  <c r="DN58" i="2"/>
  <c r="AE32" i="9"/>
  <c r="BF27" i="3"/>
  <c r="AN27" i="3"/>
  <c r="BG27" i="3" s="1"/>
  <c r="AE27" i="3"/>
  <c r="AD27" i="3"/>
  <c r="AG27" i="3"/>
  <c r="AC27" i="3"/>
  <c r="AF27" i="3"/>
  <c r="AB80" i="3"/>
  <c r="DK79" i="2"/>
  <c r="DN79" i="2"/>
  <c r="DK60" i="2"/>
  <c r="DN60" i="2"/>
  <c r="S185" i="6"/>
  <c r="T185" i="6" s="1"/>
  <c r="H76" i="36"/>
  <c r="AE185" i="39" s="1"/>
  <c r="AW185" i="39" s="1"/>
  <c r="R131" i="3"/>
  <c r="AN78" i="3"/>
  <c r="AI128" i="3"/>
  <c r="E82" i="4" s="1"/>
  <c r="V184" i="6"/>
  <c r="DN90" i="2"/>
  <c r="DK90" i="2"/>
  <c r="DK93" i="2"/>
  <c r="DN93" i="2"/>
  <c r="DK75" i="2"/>
  <c r="DN75" i="2"/>
  <c r="AH129" i="6"/>
  <c r="AO183" i="8"/>
  <c r="AP183" i="8" s="1"/>
  <c r="C126" i="11"/>
  <c r="D126" i="11" s="1"/>
  <c r="E126" i="11" s="1"/>
  <c r="AM79" i="8"/>
  <c r="AE79" i="8"/>
  <c r="AN42" i="31"/>
  <c r="AM43" i="31"/>
  <c r="AZ39" i="31"/>
  <c r="AV39" i="31"/>
  <c r="AW39" i="31"/>
  <c r="DK78" i="2"/>
  <c r="DN78" i="2"/>
  <c r="DK69" i="2"/>
  <c r="DN69" i="2"/>
  <c r="DN55" i="2"/>
  <c r="DK55" i="2"/>
  <c r="R186" i="3"/>
  <c r="B22" i="36"/>
  <c r="D22" i="36" s="1"/>
  <c r="E22" i="36" s="1"/>
  <c r="S186" i="38" s="1"/>
  <c r="T186" i="38" s="1"/>
  <c r="AY183" i="8"/>
  <c r="R80" i="4"/>
  <c r="V80" i="4" s="1"/>
  <c r="AK126" i="8"/>
  <c r="BK40" i="31"/>
  <c r="BL39" i="31"/>
  <c r="AA130" i="3"/>
  <c r="AM187" i="3"/>
  <c r="AN187" i="3" s="1"/>
  <c r="B69" i="15"/>
  <c r="C69" i="15" s="1"/>
  <c r="AZ181" i="6"/>
  <c r="AL124" i="6"/>
  <c r="AN124" i="6"/>
  <c r="AQ124" i="6" s="1"/>
  <c r="AO124" i="6"/>
  <c r="AR124" i="6" s="1"/>
  <c r="AM124" i="6"/>
  <c r="AP124" i="6" s="1"/>
  <c r="AA187" i="6"/>
  <c r="Z130" i="6"/>
  <c r="AC130" i="6"/>
  <c r="DK46" i="2"/>
  <c r="DN46" i="2"/>
  <c r="DK53" i="2"/>
  <c r="DN53" i="2"/>
  <c r="DN54" i="2"/>
  <c r="DK54" i="2"/>
  <c r="AF129" i="8"/>
  <c r="BF27" i="6"/>
  <c r="AN27" i="6"/>
  <c r="BG27" i="6" s="1"/>
  <c r="AB80" i="6"/>
  <c r="DK94" i="2"/>
  <c r="DN94" i="2"/>
  <c r="DN73" i="2"/>
  <c r="DK73" i="2"/>
  <c r="DN83" i="2"/>
  <c r="DK83" i="2"/>
  <c r="H131" i="36"/>
  <c r="AE185" i="40" s="1"/>
  <c r="AW185" i="40" s="1"/>
  <c r="S185" i="8"/>
  <c r="T185" i="8" s="1"/>
  <c r="M130" i="8"/>
  <c r="L130" i="8"/>
  <c r="AY38" i="31"/>
  <c r="J75" i="36"/>
  <c r="AE184" i="6"/>
  <c r="AW184" i="6" s="1"/>
  <c r="DK74" i="2"/>
  <c r="DN74" i="2"/>
  <c r="DK61" i="2"/>
  <c r="DN61" i="2"/>
  <c r="DN48" i="2"/>
  <c r="DK48" i="2"/>
  <c r="AH129" i="8"/>
  <c r="AL125" i="8"/>
  <c r="B120" i="15"/>
  <c r="C120" i="15" s="1"/>
  <c r="AZ182" i="8"/>
  <c r="AN125" i="8"/>
  <c r="AQ125" i="8" s="1"/>
  <c r="AM125" i="8"/>
  <c r="AP125" i="8" s="1"/>
  <c r="AO125" i="8"/>
  <c r="AR125" i="8" s="1"/>
  <c r="AR41" i="31"/>
  <c r="AO41" i="31"/>
  <c r="AQ41" i="31" s="1"/>
  <c r="CL36" i="31" s="1"/>
  <c r="G37" i="31" s="1"/>
  <c r="N130" i="3"/>
  <c r="L130" i="3"/>
  <c r="AZ181" i="3"/>
  <c r="AL124" i="3"/>
  <c r="B19" i="15"/>
  <c r="C19" i="15" s="1"/>
  <c r="J19" i="15" s="1"/>
  <c r="AO124" i="3"/>
  <c r="AR124" i="3" s="1"/>
  <c r="AM124" i="3"/>
  <c r="AP124" i="3" s="1"/>
  <c r="AN124" i="3"/>
  <c r="AQ124" i="3" s="1"/>
  <c r="O187" i="6"/>
  <c r="B78" i="43" s="1"/>
  <c r="Y130" i="6"/>
  <c r="AB130" i="6" s="1"/>
  <c r="DN89" i="2"/>
  <c r="DK89" i="2"/>
  <c r="DK72" i="2"/>
  <c r="DN72" i="2"/>
  <c r="DK47" i="2"/>
  <c r="DN47" i="2"/>
  <c r="AC188" i="8"/>
  <c r="AU188" i="8" s="1"/>
  <c r="H131" i="8"/>
  <c r="K131" i="8"/>
  <c r="V131" i="8"/>
  <c r="AA131" i="8" s="1"/>
  <c r="AN78" i="6"/>
  <c r="R131" i="6"/>
  <c r="H131" i="6"/>
  <c r="AC188" i="6"/>
  <c r="AU188" i="6" s="1"/>
  <c r="K131" i="6"/>
  <c r="V131" i="6"/>
  <c r="BP38" i="31"/>
  <c r="BN38" i="31"/>
  <c r="BO38" i="31" s="1"/>
  <c r="DN59" i="2"/>
  <c r="DK59" i="2"/>
  <c r="DK68" i="2"/>
  <c r="DN68" i="2"/>
  <c r="DN77" i="2"/>
  <c r="DK77" i="2"/>
  <c r="J20" i="36"/>
  <c r="AE184" i="3"/>
  <c r="AW184" i="3" s="1"/>
  <c r="O187" i="8"/>
  <c r="B133" i="43" s="1"/>
  <c r="D133" i="43" s="1"/>
  <c r="E133" i="43" s="1"/>
  <c r="H133" i="43" s="1"/>
  <c r="J133" i="43" s="1"/>
  <c r="Y130" i="8"/>
  <c r="AB130" i="8" s="1"/>
  <c r="AF129" i="3"/>
  <c r="J130" i="36"/>
  <c r="AE184" i="8"/>
  <c r="AW184" i="8" s="1"/>
  <c r="BF27" i="8"/>
  <c r="AN27" i="8"/>
  <c r="BG27" i="8" s="1"/>
  <c r="AB80" i="8"/>
  <c r="AL124" i="8"/>
  <c r="AZ181" i="8"/>
  <c r="B119" i="15"/>
  <c r="C119" i="15" s="1"/>
  <c r="AN124" i="8"/>
  <c r="AQ124" i="8" s="1"/>
  <c r="AM124" i="8"/>
  <c r="AP124" i="8" s="1"/>
  <c r="AO124" i="8"/>
  <c r="AR124" i="8" s="1"/>
  <c r="DK87" i="2"/>
  <c r="DN87" i="2"/>
  <c r="DN88" i="2"/>
  <c r="DK88" i="2"/>
  <c r="DN67" i="2"/>
  <c r="DK67" i="2"/>
  <c r="AC130" i="8"/>
  <c r="AA187" i="8"/>
  <c r="Z130" i="8"/>
  <c r="BU49" i="2"/>
  <c r="C24" i="11"/>
  <c r="D24" i="11" s="1"/>
  <c r="E24" i="11" s="1"/>
  <c r="AM79" i="3"/>
  <c r="AE79" i="3"/>
  <c r="AF129" i="6"/>
  <c r="AA130" i="6"/>
  <c r="DK50" i="2"/>
  <c r="DN50" i="2"/>
  <c r="DN80" i="2"/>
  <c r="DK80" i="2"/>
  <c r="DN57" i="2"/>
  <c r="DK57" i="2"/>
  <c r="AI128" i="6"/>
  <c r="M82" i="4" s="1"/>
  <c r="B132" i="36"/>
  <c r="D132" i="36" s="1"/>
  <c r="E132" i="36" s="1"/>
  <c r="S186" i="40" s="1"/>
  <c r="T186" i="40" s="1"/>
  <c r="R186" i="8"/>
  <c r="AI128" i="8"/>
  <c r="T82" i="4" s="1"/>
  <c r="AC130" i="3"/>
  <c r="AA187" i="3"/>
  <c r="Z130" i="3"/>
  <c r="Y130" i="3"/>
  <c r="AB130" i="3" s="1"/>
  <c r="O187" i="3"/>
  <c r="B23" i="43" s="1"/>
  <c r="N130" i="6"/>
  <c r="DK65" i="2"/>
  <c r="DN65" i="2"/>
  <c r="DK56" i="2"/>
  <c r="DN56" i="2"/>
  <c r="DK81" i="2"/>
  <c r="DN81" i="2"/>
  <c r="AO182" i="6"/>
  <c r="AP182" i="6" s="1"/>
  <c r="CK35" i="31"/>
  <c r="CR34" i="31"/>
  <c r="CO34" i="31"/>
  <c r="I80" i="4"/>
  <c r="AY183" i="3"/>
  <c r="AK126" i="3"/>
  <c r="C80" i="4"/>
  <c r="BI56" i="31"/>
  <c r="BE56" i="31"/>
  <c r="BD56" i="31"/>
  <c r="BF56" i="31"/>
  <c r="C75" i="11"/>
  <c r="D75" i="11" s="1"/>
  <c r="E75" i="11" s="1"/>
  <c r="AM79" i="6"/>
  <c r="AE79" i="6"/>
  <c r="BC57" i="31"/>
  <c r="BB58" i="31"/>
  <c r="BU94" i="2"/>
  <c r="BV94" i="2" s="1"/>
  <c r="BU88" i="2"/>
  <c r="BV88" i="2" s="1"/>
  <c r="BU81" i="2"/>
  <c r="BV81" i="2" s="1"/>
  <c r="BU79" i="2"/>
  <c r="BV79" i="2" s="1"/>
  <c r="BU95" i="2"/>
  <c r="BV95" i="2" s="1"/>
  <c r="BU96" i="2"/>
  <c r="BV96" i="2" s="1"/>
  <c r="BU84" i="2"/>
  <c r="BV84" i="2" s="1"/>
  <c r="BU62" i="2"/>
  <c r="BV62" i="2" s="1"/>
  <c r="BU75" i="2"/>
  <c r="BV75" i="2" s="1"/>
  <c r="BU78" i="2"/>
  <c r="BV78" i="2" s="1"/>
  <c r="BU58" i="2"/>
  <c r="BV58" i="2" s="1"/>
  <c r="BU89" i="2"/>
  <c r="BV89" i="2" s="1"/>
  <c r="BU80" i="2"/>
  <c r="BV80" i="2" s="1"/>
  <c r="BU54" i="2"/>
  <c r="BV54" i="2" s="1"/>
  <c r="BU67" i="2"/>
  <c r="BV67" i="2" s="1"/>
  <c r="BU86" i="2"/>
  <c r="BV86" i="2" s="1"/>
  <c r="BU77" i="2"/>
  <c r="BV77" i="2" s="1"/>
  <c r="BU83" i="2"/>
  <c r="BV83" i="2" s="1"/>
  <c r="BU74" i="2"/>
  <c r="BV74" i="2" s="1"/>
  <c r="BU82" i="2"/>
  <c r="BV82" i="2" s="1"/>
  <c r="BU57" i="2"/>
  <c r="BV57" i="2" s="1"/>
  <c r="BU92" i="2"/>
  <c r="BV92" i="2" s="1"/>
  <c r="BU53" i="2"/>
  <c r="BV53" i="2" s="1"/>
  <c r="BU66" i="2"/>
  <c r="BV66" i="2" s="1"/>
  <c r="BU51" i="2"/>
  <c r="BV51" i="2" s="1"/>
  <c r="BU68" i="2"/>
  <c r="BV68" i="2" s="1"/>
  <c r="BU56" i="2"/>
  <c r="BV56" i="2" s="1"/>
  <c r="BU63" i="2"/>
  <c r="BV63" i="2" s="1"/>
  <c r="BU61" i="2"/>
  <c r="BV61" i="2" s="1"/>
  <c r="BU50" i="2"/>
  <c r="BV50" i="2" s="1"/>
  <c r="BU93" i="2"/>
  <c r="BV93" i="2" s="1"/>
  <c r="BU59" i="2"/>
  <c r="BV59" i="2" s="1"/>
  <c r="BU70" i="2"/>
  <c r="BV70" i="2" s="1"/>
  <c r="BU85" i="2"/>
  <c r="BV85" i="2" s="1"/>
  <c r="BU71" i="2"/>
  <c r="BV71" i="2" s="1"/>
  <c r="BU91" i="2"/>
  <c r="BV91" i="2" s="1"/>
  <c r="BU65" i="2"/>
  <c r="BV65" i="2" s="1"/>
  <c r="BU73" i="2"/>
  <c r="BV73" i="2" s="1"/>
  <c r="BU52" i="2"/>
  <c r="BV52" i="2" s="1"/>
  <c r="BU76" i="2"/>
  <c r="BV76" i="2" s="1"/>
  <c r="BU72" i="2"/>
  <c r="BV72" i="2" s="1"/>
  <c r="BU87" i="2"/>
  <c r="BV87" i="2" s="1"/>
  <c r="BU55" i="2"/>
  <c r="BV55" i="2" s="1"/>
  <c r="BU69" i="2"/>
  <c r="BV69" i="2" s="1"/>
  <c r="BU60" i="2"/>
  <c r="BV60" i="2" s="1"/>
  <c r="BU90" i="2"/>
  <c r="BV90" i="2" s="1"/>
  <c r="BU64" i="2"/>
  <c r="BV64" i="2" s="1"/>
  <c r="B70" i="15"/>
  <c r="C70" i="15" s="1"/>
  <c r="AL125" i="6"/>
  <c r="AZ182" i="6"/>
  <c r="AN125" i="6"/>
  <c r="AQ125" i="6" s="1"/>
  <c r="AO125" i="6"/>
  <c r="AR125" i="6" s="1"/>
  <c r="AM125" i="6"/>
  <c r="AP125" i="6" s="1"/>
  <c r="DK64" i="2"/>
  <c r="DN64" i="2"/>
  <c r="DN52" i="2"/>
  <c r="DK52" i="2"/>
  <c r="DK62" i="2"/>
  <c r="DN62" i="2"/>
  <c r="V184" i="3"/>
  <c r="BS40" i="31"/>
  <c r="BT39" i="31"/>
  <c r="BV39" i="31" s="1"/>
  <c r="BW39" i="31" s="1"/>
  <c r="V184" i="8"/>
  <c r="AG129" i="8"/>
  <c r="AB28" i="3"/>
  <c r="AB28" i="8"/>
  <c r="AB28" i="6"/>
  <c r="M26" i="11"/>
  <c r="DK76" i="2"/>
  <c r="DN76" i="2"/>
  <c r="DK63" i="2"/>
  <c r="DN63" i="2"/>
  <c r="AM188" i="3"/>
  <c r="AN188" i="3" s="1"/>
  <c r="AC188" i="3"/>
  <c r="AU188" i="3" s="1"/>
  <c r="H131" i="3"/>
  <c r="V131" i="3"/>
  <c r="K131" i="3"/>
  <c r="N131" i="3" s="1"/>
  <c r="G81" i="4"/>
  <c r="AZ182" i="3"/>
  <c r="B20" i="15"/>
  <c r="C20" i="15" s="1"/>
  <c r="J20" i="15" s="1"/>
  <c r="AL125" i="3"/>
  <c r="AN125" i="3"/>
  <c r="AQ125" i="3" s="1"/>
  <c r="AM125" i="3"/>
  <c r="AP125" i="3" s="1"/>
  <c r="AO125" i="3"/>
  <c r="AR125" i="3" s="1"/>
  <c r="DN92" i="2"/>
  <c r="DK92" i="2"/>
  <c r="DK85" i="2"/>
  <c r="DN85" i="2"/>
  <c r="DN91" i="2"/>
  <c r="DK91" i="2"/>
  <c r="B77" i="36"/>
  <c r="R186" i="6"/>
  <c r="H21" i="36"/>
  <c r="AE185" i="38" s="1"/>
  <c r="AW185" i="38" s="1"/>
  <c r="S185" i="3"/>
  <c r="T185" i="3" s="1"/>
  <c r="AU40" i="31"/>
  <c r="AT41" i="31"/>
  <c r="DK51" i="2"/>
  <c r="DN51" i="2"/>
  <c r="DK86" i="2"/>
  <c r="DN86" i="2"/>
  <c r="DK71" i="2"/>
  <c r="DN71" i="2"/>
  <c r="S131" i="8"/>
  <c r="AN78" i="8"/>
  <c r="N131" i="8"/>
  <c r="X131" i="6"/>
  <c r="AH129" i="3"/>
  <c r="CT33" i="31"/>
  <c r="CV33" i="31" s="1"/>
  <c r="CC439" i="2"/>
  <c r="CD438" i="2"/>
  <c r="CI47" i="2"/>
  <c r="CK47" i="2"/>
  <c r="CJ47" i="2"/>
  <c r="CB47" i="2"/>
  <c r="CS47" i="2"/>
  <c r="CL47" i="2"/>
  <c r="CA47" i="2"/>
  <c r="CR47" i="2"/>
  <c r="CC47" i="2"/>
  <c r="AS125" i="38" l="1"/>
  <c r="AT125" i="38" s="1"/>
  <c r="AI128" i="40"/>
  <c r="AO184" i="8"/>
  <c r="AP184" i="8" s="1"/>
  <c r="D78" i="43"/>
  <c r="E78" i="43" s="1"/>
  <c r="H78" i="43" s="1"/>
  <c r="J78" i="43" s="1"/>
  <c r="D23" i="43"/>
  <c r="E23" i="43" s="1"/>
  <c r="H23" i="43" s="1"/>
  <c r="J23" i="43" s="1"/>
  <c r="AS125" i="39"/>
  <c r="AT125" i="39" s="1"/>
  <c r="AO184" i="3"/>
  <c r="AP184" i="3" s="1"/>
  <c r="AI129" i="6"/>
  <c r="M83" i="4" s="1"/>
  <c r="AI128" i="39"/>
  <c r="AM126" i="39"/>
  <c r="AP126" i="39" s="1"/>
  <c r="AZ183" i="39"/>
  <c r="AO126" i="39"/>
  <c r="AR126" i="39" s="1"/>
  <c r="AL126" i="39"/>
  <c r="AN126" i="39"/>
  <c r="AQ126" i="39" s="1"/>
  <c r="AS124" i="40"/>
  <c r="AT124" i="40" s="1"/>
  <c r="AO126" i="40"/>
  <c r="AR126" i="40" s="1"/>
  <c r="AZ183" i="40"/>
  <c r="AM126" i="40"/>
  <c r="AP126" i="40" s="1"/>
  <c r="AL126" i="40"/>
  <c r="AN126" i="40"/>
  <c r="AQ126" i="40" s="1"/>
  <c r="AS125" i="40"/>
  <c r="AT125" i="40" s="1"/>
  <c r="AE127" i="38"/>
  <c r="AY184" i="38" s="1"/>
  <c r="AE127" i="40"/>
  <c r="AE127" i="39"/>
  <c r="AS124" i="39"/>
  <c r="AT124" i="39" s="1"/>
  <c r="G132" i="8"/>
  <c r="X132" i="8" s="1"/>
  <c r="G132" i="40"/>
  <c r="N130" i="40"/>
  <c r="L130" i="40"/>
  <c r="M130" i="40"/>
  <c r="V186" i="40"/>
  <c r="AC130" i="40"/>
  <c r="AA187" i="40"/>
  <c r="AB130" i="40"/>
  <c r="Z130" i="40"/>
  <c r="AG129" i="40"/>
  <c r="AO185" i="40"/>
  <c r="AP185" i="40" s="1"/>
  <c r="AF129" i="40"/>
  <c r="H131" i="40"/>
  <c r="AC188" i="40"/>
  <c r="AU188" i="40" s="1"/>
  <c r="X131" i="40"/>
  <c r="V131" i="40"/>
  <c r="K131" i="40"/>
  <c r="M131" i="40" s="1"/>
  <c r="AM187" i="40"/>
  <c r="AN187" i="40" s="1"/>
  <c r="AA130" i="40"/>
  <c r="AH129" i="40"/>
  <c r="AO185" i="39"/>
  <c r="AP185" i="39" s="1"/>
  <c r="G132" i="6"/>
  <c r="X132" i="6" s="1"/>
  <c r="G132" i="39"/>
  <c r="AF129" i="39"/>
  <c r="AC188" i="39"/>
  <c r="AU188" i="39" s="1"/>
  <c r="H131" i="39"/>
  <c r="X131" i="39"/>
  <c r="K131" i="39"/>
  <c r="M131" i="39" s="1"/>
  <c r="V131" i="39"/>
  <c r="AA130" i="39"/>
  <c r="AM187" i="39"/>
  <c r="AN187" i="39" s="1"/>
  <c r="AH129" i="39"/>
  <c r="N130" i="39"/>
  <c r="L130" i="39"/>
  <c r="AC130" i="39"/>
  <c r="AA187" i="39"/>
  <c r="AB130" i="39"/>
  <c r="Z130" i="39"/>
  <c r="G132" i="3"/>
  <c r="H132" i="3" s="1"/>
  <c r="G132" i="38"/>
  <c r="AF129" i="38"/>
  <c r="AA130" i="38"/>
  <c r="AM187" i="38"/>
  <c r="AN187" i="38" s="1"/>
  <c r="V186" i="38"/>
  <c r="AH129" i="38"/>
  <c r="L130" i="38"/>
  <c r="N130" i="38"/>
  <c r="AC188" i="38"/>
  <c r="AU188" i="38" s="1"/>
  <c r="X131" i="38"/>
  <c r="H131" i="38"/>
  <c r="V131" i="38"/>
  <c r="K131" i="38"/>
  <c r="AS126" i="38"/>
  <c r="AT126" i="38" s="1"/>
  <c r="AI128" i="38"/>
  <c r="AA187" i="38"/>
  <c r="AC130" i="38"/>
  <c r="AB130" i="38"/>
  <c r="Z130" i="38"/>
  <c r="AO185" i="38"/>
  <c r="AP185" i="38" s="1"/>
  <c r="AG129" i="38"/>
  <c r="EA49" i="2"/>
  <c r="EB49" i="2"/>
  <c r="EC49" i="2"/>
  <c r="ED49" i="2"/>
  <c r="AG131" i="8"/>
  <c r="M27" i="11"/>
  <c r="AB29" i="8"/>
  <c r="AB29" i="6"/>
  <c r="AB29" i="3"/>
  <c r="BI57" i="31"/>
  <c r="BF57" i="31"/>
  <c r="BE57" i="31"/>
  <c r="BD57" i="31"/>
  <c r="CR35" i="31"/>
  <c r="CO35" i="31"/>
  <c r="CK36" i="31"/>
  <c r="AF130" i="3"/>
  <c r="AF130" i="8"/>
  <c r="C127" i="11"/>
  <c r="D127" i="11" s="1"/>
  <c r="E127" i="11" s="1"/>
  <c r="AM80" i="8"/>
  <c r="AE80" i="8"/>
  <c r="AH130" i="8"/>
  <c r="AC131" i="6"/>
  <c r="Z131" i="6"/>
  <c r="AA188" i="6"/>
  <c r="O188" i="6"/>
  <c r="B79" i="43" s="1"/>
  <c r="Y131" i="6"/>
  <c r="AB131" i="6" s="1"/>
  <c r="AH130" i="6"/>
  <c r="F120" i="15"/>
  <c r="I120" i="15"/>
  <c r="J120" i="15"/>
  <c r="E120" i="15"/>
  <c r="J131" i="36"/>
  <c r="AE185" i="8"/>
  <c r="AW185" i="8" s="1"/>
  <c r="AI129" i="8"/>
  <c r="T83" i="4" s="1"/>
  <c r="F69" i="15"/>
  <c r="J69" i="15"/>
  <c r="E69" i="15"/>
  <c r="I69" i="15"/>
  <c r="BP39" i="31"/>
  <c r="BN39" i="31"/>
  <c r="BO39" i="31" s="1"/>
  <c r="AM44" i="31"/>
  <c r="AN43" i="31"/>
  <c r="S132" i="8"/>
  <c r="AN79" i="8"/>
  <c r="V185" i="6"/>
  <c r="AL126" i="6"/>
  <c r="B71" i="15"/>
  <c r="C71" i="15" s="1"/>
  <c r="AZ183" i="6"/>
  <c r="AN126" i="6"/>
  <c r="AQ126" i="6" s="1"/>
  <c r="AM126" i="6"/>
  <c r="AP126" i="6" s="1"/>
  <c r="AO126" i="6"/>
  <c r="AR126" i="6" s="1"/>
  <c r="BF28" i="6"/>
  <c r="AN28" i="6"/>
  <c r="BG28" i="6" s="1"/>
  <c r="AB81" i="6"/>
  <c r="BS41" i="31"/>
  <c r="BT40" i="31"/>
  <c r="BV40" i="31" s="1"/>
  <c r="BW40" i="31" s="1"/>
  <c r="AN79" i="6"/>
  <c r="R132" i="6"/>
  <c r="AC189" i="6"/>
  <c r="AU189" i="6" s="1"/>
  <c r="V132" i="6"/>
  <c r="AA132" i="6" s="1"/>
  <c r="B23" i="36"/>
  <c r="D23" i="36" s="1"/>
  <c r="E23" i="36" s="1"/>
  <c r="S187" i="38" s="1"/>
  <c r="T187" i="38" s="1"/>
  <c r="R187" i="3"/>
  <c r="S186" i="8"/>
  <c r="T186" i="8" s="1"/>
  <c r="H132" i="36"/>
  <c r="AE186" i="40" s="1"/>
  <c r="AW186" i="40" s="1"/>
  <c r="AG130" i="6"/>
  <c r="AC189" i="3"/>
  <c r="AU189" i="3" s="1"/>
  <c r="V132" i="3"/>
  <c r="K132" i="3"/>
  <c r="I119" i="15"/>
  <c r="E119" i="15"/>
  <c r="F119" i="15"/>
  <c r="J119" i="15"/>
  <c r="B133" i="36"/>
  <c r="D133" i="36" s="1"/>
  <c r="E133" i="36" s="1"/>
  <c r="S187" i="40" s="1"/>
  <c r="T187" i="40" s="1"/>
  <c r="R187" i="8"/>
  <c r="N131" i="6"/>
  <c r="L131" i="6"/>
  <c r="B78" i="36"/>
  <c r="D78" i="36" s="1"/>
  <c r="E78" i="36" s="1"/>
  <c r="S187" i="39" s="1"/>
  <c r="T187" i="39" s="1"/>
  <c r="R187" i="6"/>
  <c r="F19" i="15"/>
  <c r="I19" i="15"/>
  <c r="E19" i="15"/>
  <c r="AS125" i="8"/>
  <c r="AT125" i="8" s="1"/>
  <c r="DL44" i="2"/>
  <c r="DM43" i="2"/>
  <c r="DM44" i="2"/>
  <c r="DL43" i="2"/>
  <c r="AF130" i="6"/>
  <c r="BL40" i="31"/>
  <c r="BK41" i="31"/>
  <c r="S186" i="3"/>
  <c r="T186" i="3" s="1"/>
  <c r="H22" i="36"/>
  <c r="AE186" i="38" s="1"/>
  <c r="AW186" i="38" s="1"/>
  <c r="AR42" i="31"/>
  <c r="AO42" i="31"/>
  <c r="AQ42" i="31" s="1"/>
  <c r="CL37" i="31" s="1"/>
  <c r="G38" i="31" s="1"/>
  <c r="C25" i="11"/>
  <c r="D25" i="11" s="1"/>
  <c r="E25" i="11" s="1"/>
  <c r="AM80" i="3"/>
  <c r="AE80" i="3"/>
  <c r="J21" i="36"/>
  <c r="AE185" i="3"/>
  <c r="AW185" i="3" s="1"/>
  <c r="AC131" i="3"/>
  <c r="AA188" i="3"/>
  <c r="Z131" i="3"/>
  <c r="AT42" i="31"/>
  <c r="AU41" i="31"/>
  <c r="O188" i="8"/>
  <c r="B134" i="43" s="1"/>
  <c r="D134" i="43" s="1"/>
  <c r="E134" i="43" s="1"/>
  <c r="H134" i="43" s="1"/>
  <c r="J134" i="43" s="1"/>
  <c r="Y131" i="8"/>
  <c r="AB131" i="8" s="1"/>
  <c r="D77" i="36"/>
  <c r="E77" i="36" s="1"/>
  <c r="S186" i="39" s="1"/>
  <c r="T186" i="39" s="1"/>
  <c r="F20" i="15"/>
  <c r="I20" i="15"/>
  <c r="E20" i="15"/>
  <c r="AM189" i="6"/>
  <c r="AN189" i="6" s="1"/>
  <c r="AH130" i="3"/>
  <c r="R132" i="3"/>
  <c r="AN79" i="3"/>
  <c r="AA188" i="8"/>
  <c r="AC131" i="8"/>
  <c r="Z131" i="8"/>
  <c r="DI44" i="2"/>
  <c r="DJ43" i="2"/>
  <c r="DJ44" i="2"/>
  <c r="DI43" i="2"/>
  <c r="AZ183" i="8"/>
  <c r="AL126" i="8"/>
  <c r="B121" i="15"/>
  <c r="C121" i="15" s="1"/>
  <c r="AM126" i="8"/>
  <c r="AP126" i="8" s="1"/>
  <c r="AO126" i="8"/>
  <c r="AR126" i="8" s="1"/>
  <c r="AN126" i="8"/>
  <c r="AQ126" i="8" s="1"/>
  <c r="AY39" i="31"/>
  <c r="AO184" i="6"/>
  <c r="AP184" i="6" s="1"/>
  <c r="O188" i="3"/>
  <c r="B24" i="43" s="1"/>
  <c r="Y131" i="3"/>
  <c r="AB131" i="3" s="1"/>
  <c r="AZ40" i="31"/>
  <c r="AV40" i="31"/>
  <c r="AW40" i="31"/>
  <c r="AE127" i="3"/>
  <c r="AE127" i="8"/>
  <c r="AE127" i="6"/>
  <c r="BF28" i="8"/>
  <c r="AN28" i="8"/>
  <c r="BG28" i="8" s="1"/>
  <c r="AB81" i="8"/>
  <c r="AS125" i="6"/>
  <c r="AT125" i="6" s="1"/>
  <c r="AA131" i="6"/>
  <c r="AM188" i="6"/>
  <c r="AN188" i="6" s="1"/>
  <c r="V185" i="3"/>
  <c r="AS125" i="3"/>
  <c r="AT125" i="3" s="1"/>
  <c r="M131" i="3"/>
  <c r="L131" i="3"/>
  <c r="AE33" i="9"/>
  <c r="BF28" i="3"/>
  <c r="AN28" i="3"/>
  <c r="BG28" i="3" s="1"/>
  <c r="AD28" i="3"/>
  <c r="AE28" i="3"/>
  <c r="AC28" i="3"/>
  <c r="AF28" i="3"/>
  <c r="AG28" i="3"/>
  <c r="AB81" i="3"/>
  <c r="I70" i="15"/>
  <c r="J70" i="15"/>
  <c r="E70" i="15"/>
  <c r="F70" i="15"/>
  <c r="BC58" i="31"/>
  <c r="BB59" i="31"/>
  <c r="BH56" i="31"/>
  <c r="AZ183" i="3"/>
  <c r="B21" i="15"/>
  <c r="C21" i="15" s="1"/>
  <c r="J21" i="15" s="1"/>
  <c r="AL126" i="3"/>
  <c r="AN126" i="3"/>
  <c r="AQ126" i="3" s="1"/>
  <c r="AO126" i="3"/>
  <c r="AR126" i="3" s="1"/>
  <c r="AM126" i="3"/>
  <c r="AP126" i="3" s="1"/>
  <c r="CT34" i="31"/>
  <c r="CV34" i="31" s="1"/>
  <c r="X132" i="3"/>
  <c r="AA131" i="3"/>
  <c r="AS124" i="8"/>
  <c r="AT124" i="8" s="1"/>
  <c r="AI129" i="3"/>
  <c r="E83" i="4" s="1"/>
  <c r="L131" i="8"/>
  <c r="M131" i="8"/>
  <c r="AS124" i="3"/>
  <c r="AT124" i="3" s="1"/>
  <c r="V185" i="8"/>
  <c r="AO185" i="8"/>
  <c r="AP185" i="8" s="1"/>
  <c r="C76" i="11"/>
  <c r="D76" i="11" s="1"/>
  <c r="E76" i="11" s="1"/>
  <c r="AM80" i="6"/>
  <c r="AE80" i="6"/>
  <c r="AS124" i="6"/>
  <c r="AT124" i="6" s="1"/>
  <c r="AG130" i="3"/>
  <c r="AM189" i="8"/>
  <c r="AN189" i="8" s="1"/>
  <c r="AC189" i="8"/>
  <c r="AU189" i="8" s="1"/>
  <c r="H132" i="8"/>
  <c r="V132" i="8"/>
  <c r="AA132" i="8" s="1"/>
  <c r="K132" i="8"/>
  <c r="G82" i="4"/>
  <c r="J76" i="36"/>
  <c r="AE185" i="6"/>
  <c r="AW185" i="6" s="1"/>
  <c r="M131" i="6"/>
  <c r="CC440" i="2"/>
  <c r="CD439" i="2"/>
  <c r="AK127" i="38" l="1"/>
  <c r="AO127" i="38" s="1"/>
  <c r="AR127" i="38" s="1"/>
  <c r="K132" i="6"/>
  <c r="N132" i="6" s="1"/>
  <c r="H132" i="6"/>
  <c r="D79" i="43"/>
  <c r="E79" i="43" s="1"/>
  <c r="H79" i="43" s="1"/>
  <c r="J79" i="43" s="1"/>
  <c r="D24" i="43"/>
  <c r="E24" i="43" s="1"/>
  <c r="H24" i="43" s="1"/>
  <c r="J24" i="43" s="1"/>
  <c r="AS126" i="40"/>
  <c r="AT126" i="40" s="1"/>
  <c r="AI129" i="39"/>
  <c r="AE128" i="38"/>
  <c r="AK128" i="38" s="1"/>
  <c r="AE128" i="40"/>
  <c r="AE128" i="39"/>
  <c r="AY184" i="39"/>
  <c r="AK127" i="39"/>
  <c r="AS126" i="39"/>
  <c r="AT126" i="39" s="1"/>
  <c r="AY184" i="40"/>
  <c r="AK127" i="40"/>
  <c r="N131" i="40"/>
  <c r="L131" i="40"/>
  <c r="AO186" i="40"/>
  <c r="AP186" i="40" s="1"/>
  <c r="AA188" i="40"/>
  <c r="AC131" i="40"/>
  <c r="AB131" i="40"/>
  <c r="Z131" i="40"/>
  <c r="V187" i="40"/>
  <c r="AG130" i="40"/>
  <c r="AF130" i="40"/>
  <c r="AC189" i="40"/>
  <c r="AU189" i="40" s="1"/>
  <c r="X132" i="40"/>
  <c r="H132" i="40"/>
  <c r="V132" i="40"/>
  <c r="K132" i="40"/>
  <c r="G133" i="8"/>
  <c r="K133" i="8" s="1"/>
  <c r="L133" i="8" s="1"/>
  <c r="G133" i="40"/>
  <c r="AA131" i="40"/>
  <c r="AM188" i="40"/>
  <c r="AN188" i="40" s="1"/>
  <c r="AI129" i="40"/>
  <c r="AH130" i="40"/>
  <c r="AI130" i="6"/>
  <c r="M84" i="4" s="1"/>
  <c r="AF130" i="39"/>
  <c r="AC131" i="39"/>
  <c r="AA188" i="39"/>
  <c r="AB131" i="39"/>
  <c r="Z131" i="39"/>
  <c r="AC189" i="39"/>
  <c r="AU189" i="39" s="1"/>
  <c r="H132" i="39"/>
  <c r="X132" i="39"/>
  <c r="V132" i="39"/>
  <c r="K132" i="39"/>
  <c r="G133" i="6"/>
  <c r="AC190" i="6" s="1"/>
  <c r="AU190" i="6" s="1"/>
  <c r="G133" i="39"/>
  <c r="V186" i="39"/>
  <c r="AS126" i="6"/>
  <c r="AT126" i="6" s="1"/>
  <c r="AH130" i="39"/>
  <c r="N131" i="39"/>
  <c r="L131" i="39"/>
  <c r="V187" i="39"/>
  <c r="AG130" i="39"/>
  <c r="AA131" i="39"/>
  <c r="AM188" i="39"/>
  <c r="AN188" i="39" s="1"/>
  <c r="AS126" i="3"/>
  <c r="AT126" i="3" s="1"/>
  <c r="G133" i="3"/>
  <c r="V133" i="3" s="1"/>
  <c r="G133" i="38"/>
  <c r="AF130" i="38"/>
  <c r="L131" i="38"/>
  <c r="N131" i="38"/>
  <c r="AA131" i="38"/>
  <c r="AM188" i="38"/>
  <c r="AN188" i="38" s="1"/>
  <c r="AC189" i="38"/>
  <c r="AU189" i="38" s="1"/>
  <c r="H132" i="38"/>
  <c r="X132" i="38"/>
  <c r="V132" i="38"/>
  <c r="K132" i="38"/>
  <c r="M132" i="38" s="1"/>
  <c r="AY185" i="38"/>
  <c r="AS126" i="8"/>
  <c r="AT126" i="8" s="1"/>
  <c r="AH130" i="38"/>
  <c r="AA188" i="38"/>
  <c r="AC131" i="38"/>
  <c r="AB131" i="38"/>
  <c r="Z131" i="38"/>
  <c r="AI129" i="38"/>
  <c r="AG130" i="38"/>
  <c r="AI130" i="3"/>
  <c r="E84" i="4" s="1"/>
  <c r="G84" i="4" s="1"/>
  <c r="M131" i="38"/>
  <c r="V187" i="38"/>
  <c r="AO186" i="38"/>
  <c r="AP186" i="38" s="1"/>
  <c r="CT35" i="31"/>
  <c r="CV35" i="31" s="1"/>
  <c r="S186" i="6"/>
  <c r="T186" i="6" s="1"/>
  <c r="H77" i="36"/>
  <c r="AE186" i="39" s="1"/>
  <c r="AW186" i="39" s="1"/>
  <c r="AG132" i="6"/>
  <c r="BC59" i="31"/>
  <c r="BB60" i="31"/>
  <c r="AG132" i="8"/>
  <c r="AU42" i="31"/>
  <c r="AT43" i="31"/>
  <c r="H133" i="3"/>
  <c r="K133" i="3"/>
  <c r="N133" i="3" s="1"/>
  <c r="V186" i="3"/>
  <c r="L132" i="3"/>
  <c r="M132" i="3"/>
  <c r="R188" i="6"/>
  <c r="B79" i="36"/>
  <c r="D79" i="36" s="1"/>
  <c r="E79" i="36" s="1"/>
  <c r="S188" i="39" s="1"/>
  <c r="T188" i="39" s="1"/>
  <c r="BF29" i="8"/>
  <c r="AN29" i="8"/>
  <c r="BG29" i="8" s="1"/>
  <c r="AB82" i="8"/>
  <c r="AE128" i="3"/>
  <c r="AE128" i="8"/>
  <c r="AE128" i="6"/>
  <c r="AY184" i="8"/>
  <c r="R81" i="4"/>
  <c r="V81" i="4" s="1"/>
  <c r="AK127" i="8"/>
  <c r="AG131" i="6"/>
  <c r="AH131" i="3"/>
  <c r="AC132" i="3"/>
  <c r="Z132" i="3"/>
  <c r="AA189" i="3"/>
  <c r="H23" i="36"/>
  <c r="AE187" i="38" s="1"/>
  <c r="AW187" i="38" s="1"/>
  <c r="S187" i="3"/>
  <c r="T187" i="3" s="1"/>
  <c r="AO185" i="6"/>
  <c r="AP185" i="6" s="1"/>
  <c r="O189" i="8"/>
  <c r="B135" i="43" s="1"/>
  <c r="D135" i="43" s="1"/>
  <c r="E135" i="43" s="1"/>
  <c r="H135" i="43" s="1"/>
  <c r="J135" i="43" s="1"/>
  <c r="Y132" i="8"/>
  <c r="AB132" i="8" s="1"/>
  <c r="V133" i="8"/>
  <c r="AB30" i="6"/>
  <c r="M28" i="11"/>
  <c r="AB30" i="3"/>
  <c r="AB30" i="8"/>
  <c r="G83" i="4"/>
  <c r="L132" i="8"/>
  <c r="M132" i="8"/>
  <c r="I21" i="15"/>
  <c r="E21" i="15"/>
  <c r="F21" i="15"/>
  <c r="AY184" i="3"/>
  <c r="AK127" i="3"/>
  <c r="C81" i="4"/>
  <c r="I81" i="4"/>
  <c r="F121" i="15"/>
  <c r="I121" i="15"/>
  <c r="E121" i="15"/>
  <c r="J121" i="15"/>
  <c r="R133" i="3"/>
  <c r="AN80" i="3"/>
  <c r="V133" i="6"/>
  <c r="H133" i="6"/>
  <c r="AG131" i="3"/>
  <c r="AO185" i="3"/>
  <c r="AP185" i="3" s="1"/>
  <c r="AF131" i="8"/>
  <c r="B134" i="36"/>
  <c r="R188" i="8"/>
  <c r="AF131" i="3"/>
  <c r="BP40" i="31"/>
  <c r="BN40" i="31"/>
  <c r="BO40" i="31" s="1"/>
  <c r="J132" i="36"/>
  <c r="AE186" i="8"/>
  <c r="AW186" i="8" s="1"/>
  <c r="Z132" i="6"/>
  <c r="AA189" i="6"/>
  <c r="AC132" i="6"/>
  <c r="BS42" i="31"/>
  <c r="BT41" i="31"/>
  <c r="BV41" i="31" s="1"/>
  <c r="BW41" i="31" s="1"/>
  <c r="AR43" i="31"/>
  <c r="AO43" i="31"/>
  <c r="AQ43" i="31" s="1"/>
  <c r="CL38" i="31" s="1"/>
  <c r="G39" i="31" s="1"/>
  <c r="S133" i="8"/>
  <c r="AN80" i="8"/>
  <c r="CK37" i="31"/>
  <c r="CO36" i="31"/>
  <c r="CR36" i="31"/>
  <c r="BH57" i="31"/>
  <c r="BF29" i="3"/>
  <c r="AE34" i="9"/>
  <c r="AN29" i="3"/>
  <c r="BG29" i="3" s="1"/>
  <c r="AC29" i="3"/>
  <c r="AG29" i="3"/>
  <c r="AE29" i="3"/>
  <c r="AD29" i="3"/>
  <c r="AF29" i="3"/>
  <c r="AB82" i="3"/>
  <c r="R133" i="6"/>
  <c r="AN80" i="6"/>
  <c r="BI58" i="31"/>
  <c r="BD58" i="31"/>
  <c r="BF58" i="31"/>
  <c r="BE58" i="31"/>
  <c r="AH131" i="8"/>
  <c r="BK42" i="31"/>
  <c r="BL41" i="31"/>
  <c r="AA189" i="8"/>
  <c r="AC132" i="8"/>
  <c r="Z132" i="8"/>
  <c r="C26" i="11"/>
  <c r="D26" i="11" s="1"/>
  <c r="E26" i="11" s="1"/>
  <c r="AM81" i="3"/>
  <c r="AE81" i="3"/>
  <c r="B24" i="36"/>
  <c r="D24" i="36" s="1"/>
  <c r="E24" i="36" s="1"/>
  <c r="S188" i="38" s="1"/>
  <c r="T188" i="38" s="1"/>
  <c r="R188" i="3"/>
  <c r="N132" i="3"/>
  <c r="X133" i="6"/>
  <c r="AA132" i="3"/>
  <c r="AM189" i="3"/>
  <c r="AN189" i="3" s="1"/>
  <c r="C128" i="11"/>
  <c r="D128" i="11" s="1"/>
  <c r="E128" i="11" s="1"/>
  <c r="AM81" i="8"/>
  <c r="AE81" i="8"/>
  <c r="AY184" i="6"/>
  <c r="K81" i="4"/>
  <c r="O81" i="4" s="1"/>
  <c r="AK127" i="6"/>
  <c r="AY40" i="31"/>
  <c r="O189" i="3"/>
  <c r="B25" i="43" s="1"/>
  <c r="Y132" i="3"/>
  <c r="AB132" i="3" s="1"/>
  <c r="AZ41" i="31"/>
  <c r="AV41" i="31"/>
  <c r="AW41" i="31"/>
  <c r="X133" i="3"/>
  <c r="J22" i="36"/>
  <c r="AE186" i="3"/>
  <c r="AW186" i="3" s="1"/>
  <c r="H78" i="36"/>
  <c r="AE187" i="39" s="1"/>
  <c r="AW187" i="39" s="1"/>
  <c r="S187" i="6"/>
  <c r="T187" i="6" s="1"/>
  <c r="S187" i="8"/>
  <c r="T187" i="8" s="1"/>
  <c r="H133" i="36"/>
  <c r="AE187" i="40" s="1"/>
  <c r="AW187" i="40" s="1"/>
  <c r="AO186" i="8"/>
  <c r="AP186" i="8" s="1"/>
  <c r="V186" i="8"/>
  <c r="M132" i="6"/>
  <c r="O189" i="6"/>
  <c r="B80" i="43" s="1"/>
  <c r="Y132" i="6"/>
  <c r="AB132" i="6" s="1"/>
  <c r="C77" i="11"/>
  <c r="D77" i="11" s="1"/>
  <c r="E77" i="11" s="1"/>
  <c r="AM81" i="6"/>
  <c r="AE81" i="6"/>
  <c r="I71" i="15"/>
  <c r="J71" i="15"/>
  <c r="E71" i="15"/>
  <c r="F71" i="15"/>
  <c r="N132" i="8"/>
  <c r="AN44" i="31"/>
  <c r="AM45" i="31"/>
  <c r="AH131" i="6"/>
  <c r="AF131" i="6"/>
  <c r="AI130" i="8"/>
  <c r="T84" i="4" s="1"/>
  <c r="BF29" i="6"/>
  <c r="AN29" i="6"/>
  <c r="BG29" i="6" s="1"/>
  <c r="AB82" i="6"/>
  <c r="CC441" i="2"/>
  <c r="CD440" i="2"/>
  <c r="CI49" i="2"/>
  <c r="CC48" i="2"/>
  <c r="CS48" i="2"/>
  <c r="CJ48" i="2"/>
  <c r="CK48" i="2"/>
  <c r="CR48" i="2"/>
  <c r="CB48" i="2"/>
  <c r="CC49" i="2"/>
  <c r="CB49" i="2"/>
  <c r="CI48" i="2"/>
  <c r="CJ49" i="2"/>
  <c r="CK49" i="2"/>
  <c r="CL49" i="2"/>
  <c r="CR49" i="2"/>
  <c r="CS49" i="2"/>
  <c r="CA49" i="2"/>
  <c r="CL48" i="2"/>
  <c r="CA48" i="2"/>
  <c r="AN127" i="38" l="1"/>
  <c r="AQ127" i="38" s="1"/>
  <c r="AM127" i="38"/>
  <c r="AP127" i="38" s="1"/>
  <c r="AS127" i="38" s="1"/>
  <c r="AT127" i="38" s="1"/>
  <c r="AZ184" i="38"/>
  <c r="AL127" i="38"/>
  <c r="X133" i="8"/>
  <c r="H133" i="8"/>
  <c r="AC190" i="8"/>
  <c r="AU190" i="8" s="1"/>
  <c r="L132" i="6"/>
  <c r="K133" i="6"/>
  <c r="M133" i="6" s="1"/>
  <c r="D80" i="43"/>
  <c r="E80" i="43" s="1"/>
  <c r="H80" i="43" s="1"/>
  <c r="J80" i="43" s="1"/>
  <c r="D25" i="43"/>
  <c r="E25" i="43" s="1"/>
  <c r="H25" i="43" s="1"/>
  <c r="J25" i="43" s="1"/>
  <c r="AI130" i="39"/>
  <c r="AZ184" i="39"/>
  <c r="AM127" i="39"/>
  <c r="AP127" i="39" s="1"/>
  <c r="AL127" i="39"/>
  <c r="AO127" i="39"/>
  <c r="AR127" i="39" s="1"/>
  <c r="AN127" i="39"/>
  <c r="AQ127" i="39" s="1"/>
  <c r="AE129" i="38"/>
  <c r="AK129" i="38" s="1"/>
  <c r="AE129" i="39"/>
  <c r="AE129" i="40"/>
  <c r="AN127" i="40"/>
  <c r="AQ127" i="40" s="1"/>
  <c r="AZ184" i="40"/>
  <c r="AL127" i="40"/>
  <c r="AM127" i="40"/>
  <c r="AP127" i="40" s="1"/>
  <c r="AO127" i="40"/>
  <c r="AR127" i="40" s="1"/>
  <c r="AE130" i="38"/>
  <c r="AK130" i="38" s="1"/>
  <c r="AE130" i="40"/>
  <c r="AE130" i="39"/>
  <c r="AY185" i="39"/>
  <c r="AK128" i="39"/>
  <c r="AY185" i="40"/>
  <c r="AK128" i="40"/>
  <c r="G134" i="8"/>
  <c r="X134" i="8" s="1"/>
  <c r="G134" i="40"/>
  <c r="M133" i="8"/>
  <c r="AC190" i="40"/>
  <c r="AU190" i="40" s="1"/>
  <c r="X133" i="40"/>
  <c r="H133" i="40"/>
  <c r="V133" i="40"/>
  <c r="K133" i="40"/>
  <c r="AO187" i="40"/>
  <c r="AP187" i="40" s="1"/>
  <c r="AH131" i="40"/>
  <c r="AG131" i="40"/>
  <c r="N133" i="8"/>
  <c r="AA132" i="40"/>
  <c r="AM189" i="40"/>
  <c r="AN189" i="40" s="1"/>
  <c r="AI130" i="40"/>
  <c r="N132" i="40"/>
  <c r="L132" i="40"/>
  <c r="M132" i="40"/>
  <c r="AA189" i="40"/>
  <c r="AC132" i="40"/>
  <c r="AB132" i="40"/>
  <c r="Z132" i="40"/>
  <c r="AF131" i="40"/>
  <c r="G134" i="6"/>
  <c r="G134" i="39"/>
  <c r="V188" i="39"/>
  <c r="AO186" i="39"/>
  <c r="AP186" i="39" s="1"/>
  <c r="M132" i="39"/>
  <c r="N132" i="39"/>
  <c r="L132" i="39"/>
  <c r="AG131" i="39"/>
  <c r="AO187" i="39"/>
  <c r="AP187" i="39" s="1"/>
  <c r="AA189" i="39"/>
  <c r="AC132" i="39"/>
  <c r="AB132" i="39"/>
  <c r="Z132" i="39"/>
  <c r="AF131" i="39"/>
  <c r="AC190" i="39"/>
  <c r="AU190" i="39" s="1"/>
  <c r="H133" i="39"/>
  <c r="X133" i="39"/>
  <c r="K133" i="39"/>
  <c r="M133" i="39" s="1"/>
  <c r="V133" i="39"/>
  <c r="AM189" i="39"/>
  <c r="AN189" i="39" s="1"/>
  <c r="AA132" i="39"/>
  <c r="AH131" i="39"/>
  <c r="AY187" i="38"/>
  <c r="AC190" i="3"/>
  <c r="AU190" i="3" s="1"/>
  <c r="AO187" i="38"/>
  <c r="AP187" i="38" s="1"/>
  <c r="AF131" i="38"/>
  <c r="AZ185" i="38"/>
  <c r="AL128" i="38"/>
  <c r="AN128" i="38"/>
  <c r="AQ128" i="38" s="1"/>
  <c r="AO128" i="38"/>
  <c r="AR128" i="38" s="1"/>
  <c r="AM128" i="38"/>
  <c r="AP128" i="38" s="1"/>
  <c r="AA132" i="38"/>
  <c r="AM189" i="38"/>
  <c r="AN189" i="38" s="1"/>
  <c r="AI130" i="38"/>
  <c r="AH131" i="38"/>
  <c r="AG131" i="38"/>
  <c r="V188" i="38"/>
  <c r="L132" i="38"/>
  <c r="N132" i="38"/>
  <c r="AC190" i="38"/>
  <c r="AU190" i="38" s="1"/>
  <c r="X133" i="38"/>
  <c r="H133" i="38"/>
  <c r="V133" i="38"/>
  <c r="K133" i="38"/>
  <c r="M133" i="38" s="1"/>
  <c r="G134" i="3"/>
  <c r="X134" i="3" s="1"/>
  <c r="G134" i="38"/>
  <c r="AY186" i="38"/>
  <c r="AC132" i="38"/>
  <c r="AA189" i="38"/>
  <c r="AB132" i="38"/>
  <c r="Z132" i="38"/>
  <c r="AF132" i="38" s="1"/>
  <c r="AY41" i="31"/>
  <c r="CI58" i="2"/>
  <c r="CI62" i="2"/>
  <c r="CI67" i="2"/>
  <c r="CI72" i="2"/>
  <c r="CI69" i="2"/>
  <c r="CI86" i="2"/>
  <c r="CI92" i="2"/>
  <c r="CI89" i="2"/>
  <c r="CI88" i="2"/>
  <c r="CI53" i="2"/>
  <c r="CI51" i="2"/>
  <c r="CI52" i="2"/>
  <c r="CI75" i="2"/>
  <c r="CI70" i="2"/>
  <c r="CI82" i="2"/>
  <c r="CI57" i="2"/>
  <c r="CI87" i="2"/>
  <c r="CI54" i="2"/>
  <c r="CI83" i="2"/>
  <c r="CI91" i="2"/>
  <c r="CI80" i="2"/>
  <c r="CI64" i="2"/>
  <c r="CI60" i="2"/>
  <c r="CI74" i="2"/>
  <c r="CI50" i="2"/>
  <c r="CI56" i="2"/>
  <c r="CI85" i="2"/>
  <c r="CI93" i="2"/>
  <c r="CI55" i="2"/>
  <c r="CI66" i="2"/>
  <c r="CI71" i="2"/>
  <c r="CI90" i="2"/>
  <c r="EA50" i="2"/>
  <c r="CI59" i="2"/>
  <c r="CI65" i="2"/>
  <c r="CI96" i="2"/>
  <c r="CI84" i="2"/>
  <c r="CI81" i="2"/>
  <c r="CI76" i="2"/>
  <c r="CI79" i="2"/>
  <c r="CI78" i="2"/>
  <c r="CI94" i="2"/>
  <c r="CI61" i="2"/>
  <c r="CI73" i="2"/>
  <c r="CI95" i="2"/>
  <c r="CI63" i="2"/>
  <c r="CI77" i="2"/>
  <c r="CI68" i="2"/>
  <c r="CK83" i="2"/>
  <c r="CK86" i="2"/>
  <c r="CK53" i="2"/>
  <c r="EC50" i="2"/>
  <c r="CK66" i="2"/>
  <c r="CK69" i="2"/>
  <c r="CK78" i="2"/>
  <c r="CK92" i="2"/>
  <c r="CK75" i="2"/>
  <c r="CK95" i="2"/>
  <c r="CK68" i="2"/>
  <c r="CK90" i="2"/>
  <c r="CK81" i="2"/>
  <c r="CK88" i="2"/>
  <c r="CK70" i="2"/>
  <c r="CK54" i="2"/>
  <c r="CK79" i="2"/>
  <c r="CK64" i="2"/>
  <c r="CK87" i="2"/>
  <c r="CK52" i="2"/>
  <c r="CK60" i="2"/>
  <c r="CK85" i="2"/>
  <c r="CK57" i="2"/>
  <c r="CK82" i="2"/>
  <c r="CK77" i="2"/>
  <c r="CK67" i="2"/>
  <c r="CK71" i="2"/>
  <c r="CK73" i="2"/>
  <c r="CK58" i="2"/>
  <c r="CK89" i="2"/>
  <c r="CK61" i="2"/>
  <c r="CK50" i="2"/>
  <c r="CK93" i="2"/>
  <c r="CK56" i="2"/>
  <c r="CK84" i="2"/>
  <c r="CK62" i="2"/>
  <c r="CK51" i="2"/>
  <c r="CK76" i="2"/>
  <c r="CK63" i="2"/>
  <c r="CK72" i="2"/>
  <c r="CK94" i="2"/>
  <c r="CK96" i="2"/>
  <c r="CK80" i="2"/>
  <c r="CK55" i="2"/>
  <c r="CK59" i="2"/>
  <c r="CK65" i="2"/>
  <c r="CK74" i="2"/>
  <c r="CK91" i="2"/>
  <c r="CC50" i="2"/>
  <c r="CC51" i="2" s="1"/>
  <c r="CC52" i="2" s="1"/>
  <c r="CC53" i="2" s="1"/>
  <c r="CC54" i="2" s="1"/>
  <c r="CC55" i="2" s="1"/>
  <c r="CC56" i="2" s="1"/>
  <c r="CC57" i="2" s="1"/>
  <c r="CC58" i="2" s="1"/>
  <c r="CC59" i="2" s="1"/>
  <c r="CC60" i="2" s="1"/>
  <c r="CC61" i="2" s="1"/>
  <c r="CC62" i="2" s="1"/>
  <c r="CC63" i="2" s="1"/>
  <c r="CC64" i="2" s="1"/>
  <c r="CC65" i="2" s="1"/>
  <c r="CC66" i="2" s="1"/>
  <c r="CC67" i="2" s="1"/>
  <c r="CC68" i="2" s="1"/>
  <c r="CC69" i="2" s="1"/>
  <c r="CC70" i="2" s="1"/>
  <c r="CC71" i="2" s="1"/>
  <c r="CC72" i="2" s="1"/>
  <c r="CC73" i="2" s="1"/>
  <c r="CC74" i="2" s="1"/>
  <c r="CC75" i="2" s="1"/>
  <c r="CC76" i="2" s="1"/>
  <c r="CC77" i="2" s="1"/>
  <c r="CC78" i="2" s="1"/>
  <c r="CC79" i="2" s="1"/>
  <c r="CC80" i="2" s="1"/>
  <c r="CC81" i="2" s="1"/>
  <c r="CC82" i="2" s="1"/>
  <c r="CC83" i="2" s="1"/>
  <c r="CC84" i="2" s="1"/>
  <c r="CC85" i="2" s="1"/>
  <c r="CC86" i="2" s="1"/>
  <c r="CC87" i="2" s="1"/>
  <c r="CC88" i="2" s="1"/>
  <c r="CC89" i="2" s="1"/>
  <c r="CC90" i="2" s="1"/>
  <c r="CC91" i="2" s="1"/>
  <c r="CC92" i="2" s="1"/>
  <c r="CC93" i="2" s="1"/>
  <c r="CC94" i="2" s="1"/>
  <c r="CC95" i="2" s="1"/>
  <c r="CC96" i="2" s="1"/>
  <c r="EC51" i="2"/>
  <c r="CR60" i="2"/>
  <c r="CR55" i="2"/>
  <c r="CR51" i="2"/>
  <c r="CR59" i="2"/>
  <c r="CR68" i="2"/>
  <c r="CR85" i="2"/>
  <c r="CR64" i="2"/>
  <c r="CR71" i="2"/>
  <c r="CR56" i="2"/>
  <c r="CR90" i="2"/>
  <c r="CR61" i="2"/>
  <c r="CR91" i="2"/>
  <c r="CR88" i="2"/>
  <c r="CR96" i="2"/>
  <c r="CR73" i="2"/>
  <c r="CR67" i="2"/>
  <c r="CR82" i="2"/>
  <c r="CR92" i="2"/>
  <c r="CR84" i="2"/>
  <c r="CR76" i="2"/>
  <c r="CR93" i="2"/>
  <c r="CR74" i="2"/>
  <c r="CR78" i="2"/>
  <c r="CR70" i="2"/>
  <c r="CR65" i="2"/>
  <c r="CR58" i="2"/>
  <c r="CR94" i="2"/>
  <c r="CR89" i="2"/>
  <c r="CR87" i="2"/>
  <c r="CR69" i="2"/>
  <c r="CR77" i="2"/>
  <c r="CR81" i="2"/>
  <c r="CR80" i="2"/>
  <c r="CR86" i="2"/>
  <c r="CR54" i="2"/>
  <c r="CR52" i="2"/>
  <c r="CR57" i="2"/>
  <c r="CR83" i="2"/>
  <c r="CR79" i="2"/>
  <c r="CR50" i="2"/>
  <c r="CR95" i="2"/>
  <c r="CR53" i="2"/>
  <c r="CR63" i="2"/>
  <c r="CR62" i="2"/>
  <c r="CR72" i="2"/>
  <c r="CR66" i="2"/>
  <c r="CR75" i="2"/>
  <c r="CA77" i="2"/>
  <c r="CA75" i="2"/>
  <c r="CA64" i="2"/>
  <c r="CA63" i="2"/>
  <c r="CA53" i="2"/>
  <c r="CA80" i="2"/>
  <c r="CA83" i="2"/>
  <c r="CA90" i="2"/>
  <c r="CA71" i="2"/>
  <c r="CA62" i="2"/>
  <c r="CA50" i="2"/>
  <c r="CA67" i="2"/>
  <c r="CA54" i="2"/>
  <c r="CA88" i="2"/>
  <c r="CA85" i="2"/>
  <c r="CA92" i="2"/>
  <c r="CA79" i="2"/>
  <c r="CA76" i="2"/>
  <c r="CA91" i="2"/>
  <c r="CA84" i="2"/>
  <c r="CA94" i="2"/>
  <c r="CA78" i="2"/>
  <c r="CA56" i="2"/>
  <c r="CA70" i="2"/>
  <c r="CA61" i="2"/>
  <c r="CA52" i="2"/>
  <c r="CA96" i="2"/>
  <c r="CA95" i="2"/>
  <c r="CA86" i="2"/>
  <c r="CA58" i="2"/>
  <c r="CA51" i="2"/>
  <c r="CA74" i="2"/>
  <c r="CA72" i="2"/>
  <c r="CA66" i="2"/>
  <c r="CA82" i="2"/>
  <c r="CA87" i="2"/>
  <c r="CA69" i="2"/>
  <c r="CA60" i="2"/>
  <c r="CA65" i="2"/>
  <c r="CA57" i="2"/>
  <c r="CA73" i="2"/>
  <c r="CA93" i="2"/>
  <c r="CA81" i="2"/>
  <c r="CA89" i="2"/>
  <c r="CA55" i="2"/>
  <c r="CA59" i="2"/>
  <c r="CA68" i="2"/>
  <c r="EA51" i="2"/>
  <c r="ED51" i="2"/>
  <c r="CS55" i="2"/>
  <c r="CS94" i="2"/>
  <c r="CS57" i="2"/>
  <c r="CS73" i="2"/>
  <c r="CS92" i="2"/>
  <c r="CS72" i="2"/>
  <c r="CS90" i="2"/>
  <c r="CS95" i="2"/>
  <c r="CS51" i="2"/>
  <c r="CS61" i="2"/>
  <c r="CS96" i="2"/>
  <c r="CS59" i="2"/>
  <c r="CS69" i="2"/>
  <c r="CS74" i="2"/>
  <c r="CS71" i="2"/>
  <c r="CS64" i="2"/>
  <c r="CS86" i="2"/>
  <c r="CS82" i="2"/>
  <c r="CS76" i="2"/>
  <c r="CS65" i="2"/>
  <c r="CS50" i="2"/>
  <c r="CS80" i="2"/>
  <c r="CS68" i="2"/>
  <c r="CS60" i="2"/>
  <c r="CS83" i="2"/>
  <c r="CS89" i="2"/>
  <c r="CS62" i="2"/>
  <c r="CS91" i="2"/>
  <c r="CS84" i="2"/>
  <c r="CS56" i="2"/>
  <c r="CS77" i="2"/>
  <c r="CS81" i="2"/>
  <c r="CS54" i="2"/>
  <c r="CS78" i="2"/>
  <c r="CS75" i="2"/>
  <c r="CS53" i="2"/>
  <c r="CS88" i="2"/>
  <c r="CS87" i="2"/>
  <c r="CS63" i="2"/>
  <c r="CS85" i="2"/>
  <c r="CS67" i="2"/>
  <c r="CS58" i="2"/>
  <c r="CS66" i="2"/>
  <c r="CS93" i="2"/>
  <c r="CS79" i="2"/>
  <c r="CS70" i="2"/>
  <c r="CS52" i="2"/>
  <c r="CB84" i="2"/>
  <c r="CB52" i="2"/>
  <c r="CB88" i="2"/>
  <c r="CB73" i="2"/>
  <c r="CB80" i="2"/>
  <c r="CB67" i="2"/>
  <c r="CB93" i="2"/>
  <c r="CB85" i="2"/>
  <c r="CB51" i="2"/>
  <c r="CB59" i="2"/>
  <c r="CB72" i="2"/>
  <c r="CB57" i="2"/>
  <c r="CB65" i="2"/>
  <c r="CB60" i="2"/>
  <c r="CB78" i="2"/>
  <c r="CB66" i="2"/>
  <c r="CB50" i="2"/>
  <c r="CB91" i="2"/>
  <c r="CB54" i="2"/>
  <c r="CB63" i="2"/>
  <c r="CB74" i="2"/>
  <c r="CB87" i="2"/>
  <c r="CB68" i="2"/>
  <c r="CB86" i="2"/>
  <c r="CB62" i="2"/>
  <c r="CB77" i="2"/>
  <c r="CB82" i="2"/>
  <c r="CB96" i="2"/>
  <c r="CB75" i="2"/>
  <c r="CB92" i="2"/>
  <c r="CB61" i="2"/>
  <c r="CB64" i="2"/>
  <c r="CB83" i="2"/>
  <c r="CB53" i="2"/>
  <c r="CB71" i="2"/>
  <c r="CB79" i="2"/>
  <c r="CB95" i="2"/>
  <c r="CB55" i="2"/>
  <c r="CB70" i="2"/>
  <c r="CB76" i="2"/>
  <c r="CB58" i="2"/>
  <c r="CB56" i="2"/>
  <c r="CB69" i="2"/>
  <c r="CB81" i="2"/>
  <c r="CB89" i="2"/>
  <c r="CB94" i="2"/>
  <c r="CB90" i="2"/>
  <c r="EB51" i="2"/>
  <c r="CJ77" i="2"/>
  <c r="CJ70" i="2"/>
  <c r="CJ87" i="2"/>
  <c r="CJ55" i="2"/>
  <c r="CJ78" i="2"/>
  <c r="CJ92" i="2"/>
  <c r="CJ51" i="2"/>
  <c r="CJ52" i="2"/>
  <c r="CJ66" i="2"/>
  <c r="CJ73" i="2"/>
  <c r="CJ83" i="2"/>
  <c r="CJ72" i="2"/>
  <c r="CJ67" i="2"/>
  <c r="CJ69" i="2"/>
  <c r="CJ79" i="2"/>
  <c r="CJ53" i="2"/>
  <c r="CJ86" i="2"/>
  <c r="CJ57" i="2"/>
  <c r="CJ59" i="2"/>
  <c r="CJ63" i="2"/>
  <c r="CJ81" i="2"/>
  <c r="CJ76" i="2"/>
  <c r="CJ56" i="2"/>
  <c r="CJ94" i="2"/>
  <c r="CJ74" i="2"/>
  <c r="CJ95" i="2"/>
  <c r="CJ82" i="2"/>
  <c r="CJ68" i="2"/>
  <c r="CJ75" i="2"/>
  <c r="CJ65" i="2"/>
  <c r="CJ85" i="2"/>
  <c r="CJ84" i="2"/>
  <c r="EB50" i="2"/>
  <c r="CJ58" i="2"/>
  <c r="CJ60" i="2"/>
  <c r="CJ61" i="2"/>
  <c r="CJ71" i="2"/>
  <c r="CJ96" i="2"/>
  <c r="CJ62" i="2"/>
  <c r="CJ50" i="2"/>
  <c r="CJ91" i="2"/>
  <c r="CJ88" i="2"/>
  <c r="CJ90" i="2"/>
  <c r="CJ80" i="2"/>
  <c r="CJ54" i="2"/>
  <c r="CJ64" i="2"/>
  <c r="CJ89" i="2"/>
  <c r="CJ93" i="2"/>
  <c r="CL83" i="2"/>
  <c r="CL66" i="2"/>
  <c r="CL71" i="2"/>
  <c r="CL59" i="2"/>
  <c r="CL50" i="2"/>
  <c r="CL91" i="2"/>
  <c r="ED50" i="2"/>
  <c r="CL60" i="2"/>
  <c r="CL79" i="2"/>
  <c r="CL84" i="2"/>
  <c r="CL61" i="2"/>
  <c r="CL67" i="2"/>
  <c r="CL70" i="2"/>
  <c r="CL77" i="2"/>
  <c r="CL53" i="2"/>
  <c r="CL54" i="2"/>
  <c r="CL82" i="2"/>
  <c r="CL57" i="2"/>
  <c r="CL94" i="2"/>
  <c r="CL55" i="2"/>
  <c r="CL63" i="2"/>
  <c r="CL64" i="2"/>
  <c r="CL86" i="2"/>
  <c r="CL68" i="2"/>
  <c r="CL93" i="2"/>
  <c r="CL72" i="2"/>
  <c r="CL81" i="2"/>
  <c r="CL62" i="2"/>
  <c r="CL80" i="2"/>
  <c r="CL76" i="2"/>
  <c r="CL73" i="2"/>
  <c r="CL90" i="2"/>
  <c r="CL88" i="2"/>
  <c r="CL85" i="2"/>
  <c r="CL56" i="2"/>
  <c r="CL74" i="2"/>
  <c r="CL52" i="2"/>
  <c r="CL65" i="2"/>
  <c r="CL69" i="2"/>
  <c r="CL78" i="2"/>
  <c r="CL92" i="2"/>
  <c r="CL75" i="2"/>
  <c r="CL58" i="2"/>
  <c r="CL87" i="2"/>
  <c r="CL95" i="2"/>
  <c r="CL89" i="2"/>
  <c r="CL51" i="2"/>
  <c r="CL96" i="2"/>
  <c r="J133" i="36"/>
  <c r="AE187" i="8"/>
  <c r="AW187" i="8" s="1"/>
  <c r="D134" i="36"/>
  <c r="E134" i="36" s="1"/>
  <c r="S188" i="40" s="1"/>
  <c r="T188" i="40" s="1"/>
  <c r="BF30" i="3"/>
  <c r="AN30" i="3"/>
  <c r="BG30" i="3" s="1"/>
  <c r="AE35" i="9"/>
  <c r="AF30" i="3"/>
  <c r="AE30" i="3"/>
  <c r="AG30" i="3"/>
  <c r="AC30" i="3"/>
  <c r="AD30" i="3"/>
  <c r="AB83" i="3"/>
  <c r="Z133" i="8"/>
  <c r="AA190" i="8"/>
  <c r="AC133" i="8"/>
  <c r="R189" i="8"/>
  <c r="B135" i="36"/>
  <c r="D135" i="36" s="1"/>
  <c r="E135" i="36" s="1"/>
  <c r="S189" i="40" s="1"/>
  <c r="T189" i="40" s="1"/>
  <c r="K82" i="4"/>
  <c r="O82" i="4" s="1"/>
  <c r="AY185" i="6"/>
  <c r="AK128" i="6"/>
  <c r="O190" i="8"/>
  <c r="B136" i="43" s="1"/>
  <c r="Y133" i="8"/>
  <c r="AB133" i="8" s="1"/>
  <c r="AF132" i="6"/>
  <c r="Y133" i="3"/>
  <c r="AB133" i="3" s="1"/>
  <c r="O190" i="3"/>
  <c r="B26" i="43" s="1"/>
  <c r="AN45" i="31"/>
  <c r="AM46" i="31"/>
  <c r="V187" i="8"/>
  <c r="AC191" i="8"/>
  <c r="AU191" i="8" s="1"/>
  <c r="H134" i="8"/>
  <c r="K134" i="8"/>
  <c r="N134" i="8" s="1"/>
  <c r="V134" i="8"/>
  <c r="AN81" i="3"/>
  <c r="R134" i="3"/>
  <c r="BH58" i="31"/>
  <c r="C27" i="11"/>
  <c r="D27" i="11" s="1"/>
  <c r="E27" i="11" s="1"/>
  <c r="AM82" i="3"/>
  <c r="AE82" i="3"/>
  <c r="CK38" i="31"/>
  <c r="CO37" i="31"/>
  <c r="CR37" i="31"/>
  <c r="AC133" i="6"/>
  <c r="Z133" i="6"/>
  <c r="AA190" i="6"/>
  <c r="B22" i="15"/>
  <c r="C22" i="15" s="1"/>
  <c r="J22" i="15" s="1"/>
  <c r="AL127" i="3"/>
  <c r="AZ184" i="3"/>
  <c r="AN127" i="3"/>
  <c r="AQ127" i="3" s="1"/>
  <c r="AM127" i="3"/>
  <c r="AP127" i="3" s="1"/>
  <c r="AO127" i="3"/>
  <c r="AR127" i="3" s="1"/>
  <c r="M29" i="11"/>
  <c r="AB31" i="8"/>
  <c r="AB31" i="3"/>
  <c r="AB31" i="6"/>
  <c r="AL127" i="8"/>
  <c r="AZ184" i="8"/>
  <c r="B122" i="15"/>
  <c r="C122" i="15" s="1"/>
  <c r="AO127" i="8"/>
  <c r="AR127" i="8" s="1"/>
  <c r="AM127" i="8"/>
  <c r="AP127" i="8" s="1"/>
  <c r="AN127" i="8"/>
  <c r="AQ127" i="8" s="1"/>
  <c r="AY185" i="8"/>
  <c r="R82" i="4"/>
  <c r="V82" i="4" s="1"/>
  <c r="AK128" i="8"/>
  <c r="AA190" i="3"/>
  <c r="AC133" i="3"/>
  <c r="Z133" i="3"/>
  <c r="AU43" i="31"/>
  <c r="AT44" i="31"/>
  <c r="AA133" i="6"/>
  <c r="AM190" i="6"/>
  <c r="AN190" i="6" s="1"/>
  <c r="AF132" i="8"/>
  <c r="BK43" i="31"/>
  <c r="BL42" i="31"/>
  <c r="O190" i="6"/>
  <c r="B81" i="43" s="1"/>
  <c r="Y133" i="6"/>
  <c r="AB133" i="6" s="1"/>
  <c r="BS43" i="31"/>
  <c r="BT42" i="31"/>
  <c r="BV42" i="31" s="1"/>
  <c r="BW42" i="31" s="1"/>
  <c r="AC191" i="6"/>
  <c r="AU191" i="6" s="1"/>
  <c r="H134" i="6"/>
  <c r="K134" i="6"/>
  <c r="L134" i="6" s="1"/>
  <c r="V134" i="6"/>
  <c r="AZ184" i="6"/>
  <c r="AL127" i="6"/>
  <c r="B72" i="15"/>
  <c r="C72" i="15" s="1"/>
  <c r="AN127" i="6"/>
  <c r="AQ127" i="6" s="1"/>
  <c r="AM127" i="6"/>
  <c r="AP127" i="6" s="1"/>
  <c r="AO127" i="6"/>
  <c r="AR127" i="6" s="1"/>
  <c r="S134" i="8"/>
  <c r="AN81" i="8"/>
  <c r="K134" i="3"/>
  <c r="C78" i="11"/>
  <c r="D78" i="11" s="1"/>
  <c r="E78" i="11" s="1"/>
  <c r="AM82" i="6"/>
  <c r="AE82" i="6"/>
  <c r="AI131" i="6"/>
  <c r="M85" i="4" s="1"/>
  <c r="AR44" i="31"/>
  <c r="AO44" i="31"/>
  <c r="AQ44" i="31" s="1"/>
  <c r="CL39" i="31" s="1"/>
  <c r="G40" i="31" s="1"/>
  <c r="X134" i="6"/>
  <c r="AH132" i="6"/>
  <c r="V187" i="6"/>
  <c r="AA133" i="3"/>
  <c r="AM190" i="3"/>
  <c r="AN190" i="3" s="1"/>
  <c r="AH132" i="3"/>
  <c r="AM191" i="8"/>
  <c r="AN191" i="8" s="1"/>
  <c r="AI131" i="3"/>
  <c r="E85" i="4" s="1"/>
  <c r="AI131" i="8"/>
  <c r="T85" i="4" s="1"/>
  <c r="N133" i="6"/>
  <c r="L133" i="6"/>
  <c r="AE130" i="6"/>
  <c r="AE130" i="8"/>
  <c r="AE130" i="3"/>
  <c r="AE129" i="8"/>
  <c r="AE129" i="3"/>
  <c r="AE129" i="6"/>
  <c r="BF30" i="6"/>
  <c r="AN30" i="6"/>
  <c r="BG30" i="6" s="1"/>
  <c r="AB83" i="6"/>
  <c r="V187" i="3"/>
  <c r="AF132" i="3"/>
  <c r="AY185" i="3"/>
  <c r="AK128" i="3"/>
  <c r="C82" i="4"/>
  <c r="I82" i="4"/>
  <c r="M133" i="3"/>
  <c r="L133" i="3"/>
  <c r="AZ42" i="31"/>
  <c r="AW42" i="31"/>
  <c r="AV42" i="31"/>
  <c r="BC60" i="31"/>
  <c r="BB61" i="31"/>
  <c r="AE186" i="6"/>
  <c r="AW186" i="6" s="1"/>
  <c r="J77" i="36"/>
  <c r="AA133" i="8"/>
  <c r="AM190" i="8"/>
  <c r="AN190" i="8" s="1"/>
  <c r="R134" i="6"/>
  <c r="AN81" i="6"/>
  <c r="R189" i="6"/>
  <c r="B80" i="36"/>
  <c r="D80" i="36" s="1"/>
  <c r="E80" i="36" s="1"/>
  <c r="S189" i="39" s="1"/>
  <c r="T189" i="39" s="1"/>
  <c r="AE187" i="6"/>
  <c r="AW187" i="6" s="1"/>
  <c r="J78" i="36"/>
  <c r="B25" i="36"/>
  <c r="D25" i="36" s="1"/>
  <c r="E25" i="36" s="1"/>
  <c r="S189" i="38" s="1"/>
  <c r="T189" i="38" s="1"/>
  <c r="R189" i="3"/>
  <c r="AG132" i="3"/>
  <c r="S188" i="3"/>
  <c r="T188" i="3" s="1"/>
  <c r="H24" i="36"/>
  <c r="AE188" i="38" s="1"/>
  <c r="AW188" i="38" s="1"/>
  <c r="AM191" i="3"/>
  <c r="AN191" i="3" s="1"/>
  <c r="BP41" i="31"/>
  <c r="BN41" i="31"/>
  <c r="BO41" i="31" s="1"/>
  <c r="CT36" i="31"/>
  <c r="CV36" i="31" s="1"/>
  <c r="AN30" i="8"/>
  <c r="BG30" i="8" s="1"/>
  <c r="BF30" i="8"/>
  <c r="AB83" i="8"/>
  <c r="AH132" i="8"/>
  <c r="AE187" i="3"/>
  <c r="AW187" i="3" s="1"/>
  <c r="J23" i="36"/>
  <c r="C129" i="11"/>
  <c r="D129" i="11" s="1"/>
  <c r="E129" i="11" s="1"/>
  <c r="AM82" i="8"/>
  <c r="AE82" i="8"/>
  <c r="S188" i="6"/>
  <c r="T188" i="6" s="1"/>
  <c r="H79" i="36"/>
  <c r="AE188" i="39" s="1"/>
  <c r="AW188" i="39" s="1"/>
  <c r="AO186" i="3"/>
  <c r="AP186" i="3" s="1"/>
  <c r="BI59" i="31"/>
  <c r="BD59" i="31"/>
  <c r="BF59" i="31"/>
  <c r="BE59" i="31"/>
  <c r="V186" i="6"/>
  <c r="CC442" i="2"/>
  <c r="CD441" i="2"/>
  <c r="H134" i="3" l="1"/>
  <c r="AC191" i="3"/>
  <c r="AU191" i="3" s="1"/>
  <c r="V134" i="3"/>
  <c r="D136" i="43"/>
  <c r="E136" i="43" s="1"/>
  <c r="H136" i="43" s="1"/>
  <c r="J136" i="43" s="1"/>
  <c r="D81" i="43"/>
  <c r="E81" i="43" s="1"/>
  <c r="H81" i="43" s="1"/>
  <c r="J81" i="43" s="1"/>
  <c r="D26" i="43"/>
  <c r="E26" i="43" s="1"/>
  <c r="H26" i="43" s="1"/>
  <c r="J26" i="43" s="1"/>
  <c r="AS127" i="40"/>
  <c r="AT127" i="40" s="1"/>
  <c r="AI131" i="39"/>
  <c r="AY187" i="40"/>
  <c r="AK130" i="40"/>
  <c r="AY186" i="39"/>
  <c r="AK129" i="39"/>
  <c r="AI132" i="3"/>
  <c r="E86" i="4" s="1"/>
  <c r="AO128" i="39"/>
  <c r="AR128" i="39" s="1"/>
  <c r="AN128" i="39"/>
  <c r="AQ128" i="39" s="1"/>
  <c r="AM128" i="39"/>
  <c r="AP128" i="39" s="1"/>
  <c r="AZ185" i="39"/>
  <c r="AL128" i="39"/>
  <c r="AS127" i="39"/>
  <c r="AT127" i="39" s="1"/>
  <c r="AS128" i="38"/>
  <c r="AT128" i="38" s="1"/>
  <c r="AN128" i="40"/>
  <c r="AQ128" i="40" s="1"/>
  <c r="AO128" i="40"/>
  <c r="AR128" i="40" s="1"/>
  <c r="AL128" i="40"/>
  <c r="AM128" i="40"/>
  <c r="AP128" i="40" s="1"/>
  <c r="AZ185" i="40"/>
  <c r="AY187" i="39"/>
  <c r="AK130" i="39"/>
  <c r="AY186" i="40"/>
  <c r="AK129" i="40"/>
  <c r="CD94" i="2"/>
  <c r="AI132" i="8"/>
  <c r="T86" i="4" s="1"/>
  <c r="AF132" i="40"/>
  <c r="V189" i="40"/>
  <c r="AH132" i="40"/>
  <c r="AM190" i="40"/>
  <c r="AN190" i="40" s="1"/>
  <c r="AA133" i="40"/>
  <c r="AC191" i="40"/>
  <c r="AU191" i="40" s="1"/>
  <c r="H134" i="40"/>
  <c r="X134" i="40"/>
  <c r="K134" i="40"/>
  <c r="V134" i="40"/>
  <c r="AG132" i="40"/>
  <c r="M133" i="40"/>
  <c r="N133" i="40"/>
  <c r="L133" i="40"/>
  <c r="G135" i="8"/>
  <c r="X135" i="8" s="1"/>
  <c r="G135" i="40"/>
  <c r="V188" i="40"/>
  <c r="AI131" i="40"/>
  <c r="AA190" i="40"/>
  <c r="AC133" i="40"/>
  <c r="AB133" i="40"/>
  <c r="Z133" i="40"/>
  <c r="V189" i="39"/>
  <c r="AF132" i="39"/>
  <c r="AC191" i="39"/>
  <c r="AU191" i="39" s="1"/>
  <c r="X134" i="39"/>
  <c r="H134" i="39"/>
  <c r="K134" i="39"/>
  <c r="V134" i="39"/>
  <c r="G135" i="6"/>
  <c r="X135" i="6" s="1"/>
  <c r="AM192" i="6" s="1"/>
  <c r="AN192" i="6" s="1"/>
  <c r="G135" i="39"/>
  <c r="AO186" i="6"/>
  <c r="AP186" i="6" s="1"/>
  <c r="N134" i="6"/>
  <c r="AA190" i="39"/>
  <c r="AC133" i="39"/>
  <c r="AB133" i="39"/>
  <c r="Z133" i="39"/>
  <c r="AH132" i="39"/>
  <c r="L133" i="39"/>
  <c r="N133" i="39"/>
  <c r="AG132" i="39"/>
  <c r="AA133" i="39"/>
  <c r="AM190" i="39"/>
  <c r="AN190" i="39" s="1"/>
  <c r="AO188" i="39"/>
  <c r="AP188" i="39" s="1"/>
  <c r="V189" i="38"/>
  <c r="AZ186" i="38"/>
  <c r="AL129" i="38"/>
  <c r="AM129" i="38"/>
  <c r="AP129" i="38" s="1"/>
  <c r="AN129" i="38"/>
  <c r="AQ129" i="38" s="1"/>
  <c r="AO129" i="38"/>
  <c r="AR129" i="38" s="1"/>
  <c r="L133" i="38"/>
  <c r="N133" i="38"/>
  <c r="AA133" i="38"/>
  <c r="AM190" i="38"/>
  <c r="AN190" i="38" s="1"/>
  <c r="AO188" i="38"/>
  <c r="AP188" i="38" s="1"/>
  <c r="AG132" i="38"/>
  <c r="AC133" i="38"/>
  <c r="AA190" i="38"/>
  <c r="AB133" i="38"/>
  <c r="Z133" i="38"/>
  <c r="AC191" i="38"/>
  <c r="AU191" i="38" s="1"/>
  <c r="H134" i="38"/>
  <c r="X134" i="38"/>
  <c r="V134" i="38"/>
  <c r="K134" i="38"/>
  <c r="M134" i="38" s="1"/>
  <c r="AI131" i="38"/>
  <c r="AZ187" i="38"/>
  <c r="AL130" i="38"/>
  <c r="AN130" i="38"/>
  <c r="AQ130" i="38" s="1"/>
  <c r="AM130" i="38"/>
  <c r="AP130" i="38" s="1"/>
  <c r="AO130" i="38"/>
  <c r="AR130" i="38" s="1"/>
  <c r="G135" i="3"/>
  <c r="X135" i="3" s="1"/>
  <c r="G135" i="38"/>
  <c r="AH132" i="38"/>
  <c r="AI132" i="38" s="1"/>
  <c r="CD55" i="2"/>
  <c r="CD91" i="2"/>
  <c r="CD80" i="2"/>
  <c r="CD74" i="2"/>
  <c r="CT57" i="2"/>
  <c r="CD79" i="2"/>
  <c r="CT62" i="2"/>
  <c r="CT76" i="2"/>
  <c r="CT71" i="2"/>
  <c r="AY42" i="31"/>
  <c r="CD69" i="2"/>
  <c r="CD54" i="2"/>
  <c r="CD78" i="2"/>
  <c r="CD93" i="2"/>
  <c r="CD76" i="2"/>
  <c r="CT68" i="2"/>
  <c r="CT52" i="2"/>
  <c r="BH59" i="31"/>
  <c r="CT37" i="31"/>
  <c r="CV37" i="31" s="1"/>
  <c r="CD96" i="2"/>
  <c r="CD85" i="2"/>
  <c r="CD64" i="2"/>
  <c r="CT66" i="2"/>
  <c r="CT96" i="2"/>
  <c r="H25" i="36"/>
  <c r="AE189" i="38" s="1"/>
  <c r="AW189" i="38" s="1"/>
  <c r="S189" i="3"/>
  <c r="T189" i="3" s="1"/>
  <c r="AY187" i="6"/>
  <c r="K84" i="4"/>
  <c r="O84" i="4" s="1"/>
  <c r="AK130" i="6"/>
  <c r="G85" i="4"/>
  <c r="AC134" i="3"/>
  <c r="Z134" i="3"/>
  <c r="AA191" i="3"/>
  <c r="AS127" i="6"/>
  <c r="AT127" i="6" s="1"/>
  <c r="R190" i="6"/>
  <c r="B81" i="36"/>
  <c r="D81" i="36" s="1"/>
  <c r="E81" i="36" s="1"/>
  <c r="S190" i="39" s="1"/>
  <c r="T190" i="39" s="1"/>
  <c r="AU44" i="31"/>
  <c r="AT45" i="31"/>
  <c r="F122" i="15"/>
  <c r="I122" i="15"/>
  <c r="J122" i="15"/>
  <c r="E122" i="15"/>
  <c r="AE36" i="9"/>
  <c r="BF31" i="3"/>
  <c r="AN31" i="3"/>
  <c r="BG31" i="3" s="1"/>
  <c r="AE31" i="3"/>
  <c r="AF31" i="3"/>
  <c r="AC31" i="3"/>
  <c r="AD31" i="3"/>
  <c r="AG31" i="3"/>
  <c r="AB84" i="3"/>
  <c r="AS127" i="3"/>
  <c r="AT127" i="3" s="1"/>
  <c r="E22" i="15"/>
  <c r="I22" i="15"/>
  <c r="F22" i="15"/>
  <c r="AR45" i="31"/>
  <c r="AO45" i="31"/>
  <c r="AQ45" i="31" s="1"/>
  <c r="CL40" i="31" s="1"/>
  <c r="G41" i="31" s="1"/>
  <c r="AI132" i="6"/>
  <c r="M86" i="4" s="1"/>
  <c r="C28" i="11"/>
  <c r="D28" i="11" s="1"/>
  <c r="E28" i="11" s="1"/>
  <c r="AM83" i="3"/>
  <c r="AE83" i="3"/>
  <c r="CD68" i="2"/>
  <c r="CD65" i="2"/>
  <c r="CD82" i="2"/>
  <c r="CD51" i="2"/>
  <c r="CD56" i="2"/>
  <c r="CD50" i="2"/>
  <c r="CD83" i="2"/>
  <c r="CT53" i="2"/>
  <c r="CT83" i="2"/>
  <c r="CT86" i="2"/>
  <c r="CT69" i="2"/>
  <c r="CT58" i="2"/>
  <c r="CT74" i="2"/>
  <c r="CT92" i="2"/>
  <c r="CT85" i="2"/>
  <c r="CT55" i="2"/>
  <c r="CM54" i="2"/>
  <c r="DW49" i="2" s="1"/>
  <c r="CM68" i="2"/>
  <c r="DW63" i="2" s="1"/>
  <c r="CM73" i="2"/>
  <c r="DW68" i="2" s="1"/>
  <c r="CM79" i="2"/>
  <c r="DW74" i="2" s="1"/>
  <c r="CM96" i="2"/>
  <c r="DW91" i="2" s="1"/>
  <c r="CM90" i="2"/>
  <c r="DW85" i="2" s="1"/>
  <c r="CM93" i="2"/>
  <c r="DW88" i="2" s="1"/>
  <c r="CM74" i="2"/>
  <c r="DW69" i="2" s="1"/>
  <c r="CM91" i="2"/>
  <c r="DW86" i="2" s="1"/>
  <c r="CM57" i="2"/>
  <c r="DW52" i="2" s="1"/>
  <c r="CM52" i="2"/>
  <c r="DW47" i="2" s="1"/>
  <c r="CM89" i="2"/>
  <c r="DW84" i="2" s="1"/>
  <c r="CM72" i="2"/>
  <c r="DW67" i="2" s="1"/>
  <c r="V188" i="3"/>
  <c r="BC61" i="31"/>
  <c r="BB62" i="31"/>
  <c r="BP42" i="31"/>
  <c r="BN42" i="31"/>
  <c r="BO42" i="31" s="1"/>
  <c r="AZ43" i="31"/>
  <c r="AV43" i="31"/>
  <c r="AW43" i="31"/>
  <c r="BF31" i="8"/>
  <c r="AN31" i="8"/>
  <c r="BG31" i="8" s="1"/>
  <c r="AB84" i="8"/>
  <c r="R135" i="3"/>
  <c r="AN82" i="3"/>
  <c r="AC192" i="3"/>
  <c r="AU192" i="3" s="1"/>
  <c r="H135" i="3"/>
  <c r="V135" i="3"/>
  <c r="AA135" i="3" s="1"/>
  <c r="K135" i="3"/>
  <c r="AC134" i="8"/>
  <c r="Z134" i="8"/>
  <c r="AA191" i="8"/>
  <c r="B26" i="36"/>
  <c r="D26" i="36" s="1"/>
  <c r="E26" i="36" s="1"/>
  <c r="S190" i="38" s="1"/>
  <c r="T190" i="38" s="1"/>
  <c r="R190" i="3"/>
  <c r="AH133" i="8"/>
  <c r="H134" i="36"/>
  <c r="AE188" i="40" s="1"/>
  <c r="AW188" i="40" s="1"/>
  <c r="S188" i="8"/>
  <c r="T188" i="8" s="1"/>
  <c r="CD59" i="2"/>
  <c r="CD60" i="2"/>
  <c r="CD58" i="2"/>
  <c r="CD52" i="2"/>
  <c r="CD88" i="2"/>
  <c r="CD62" i="2"/>
  <c r="CD75" i="2"/>
  <c r="CT72" i="2"/>
  <c r="CT95" i="2"/>
  <c r="CT80" i="2"/>
  <c r="CT87" i="2"/>
  <c r="CT65" i="2"/>
  <c r="CT93" i="2"/>
  <c r="CT82" i="2"/>
  <c r="CT88" i="2"/>
  <c r="CT56" i="2"/>
  <c r="CT60" i="2"/>
  <c r="CM77" i="2"/>
  <c r="DW72" i="2" s="1"/>
  <c r="CM61" i="2"/>
  <c r="DW56" i="2" s="1"/>
  <c r="CM76" i="2"/>
  <c r="DW71" i="2" s="1"/>
  <c r="CM65" i="2"/>
  <c r="DW60" i="2" s="1"/>
  <c r="CM71" i="2"/>
  <c r="DW66" i="2" s="1"/>
  <c r="CM85" i="2"/>
  <c r="DW80" i="2" s="1"/>
  <c r="CM60" i="2"/>
  <c r="DW55" i="2" s="1"/>
  <c r="CM83" i="2"/>
  <c r="DW78" i="2" s="1"/>
  <c r="CM82" i="2"/>
  <c r="DW77" i="2" s="1"/>
  <c r="CM51" i="2"/>
  <c r="DW46" i="2" s="1"/>
  <c r="CM92" i="2"/>
  <c r="DW87" i="2" s="1"/>
  <c r="CM67" i="2"/>
  <c r="DW62" i="2" s="1"/>
  <c r="V188" i="6"/>
  <c r="AG133" i="8"/>
  <c r="AG133" i="3"/>
  <c r="AM192" i="8"/>
  <c r="AN192" i="8" s="1"/>
  <c r="I84" i="4"/>
  <c r="AY187" i="3"/>
  <c r="AK130" i="3"/>
  <c r="C84" i="4"/>
  <c r="AA134" i="6"/>
  <c r="AM191" i="6"/>
  <c r="AN191" i="6" s="1"/>
  <c r="AM192" i="3"/>
  <c r="AN192" i="3" s="1"/>
  <c r="L134" i="8"/>
  <c r="M134" i="8"/>
  <c r="AO187" i="8"/>
  <c r="AP187" i="8" s="1"/>
  <c r="AH133" i="3"/>
  <c r="B136" i="36"/>
  <c r="D136" i="36" s="1"/>
  <c r="E136" i="36" s="1"/>
  <c r="S190" i="40" s="1"/>
  <c r="T190" i="40" s="1"/>
  <c r="R190" i="8"/>
  <c r="S189" i="8"/>
  <c r="T189" i="8" s="1"/>
  <c r="H135" i="36"/>
  <c r="AE189" i="40" s="1"/>
  <c r="AW189" i="40" s="1"/>
  <c r="M134" i="6"/>
  <c r="CD72" i="2"/>
  <c r="CD61" i="2"/>
  <c r="CD71" i="2"/>
  <c r="CD53" i="2"/>
  <c r="CD77" i="2"/>
  <c r="CT50" i="2"/>
  <c r="CT81" i="2"/>
  <c r="CT89" i="2"/>
  <c r="CT70" i="2"/>
  <c r="CT67" i="2"/>
  <c r="CT91" i="2"/>
  <c r="CT59" i="2"/>
  <c r="CM63" i="2"/>
  <c r="DW58" i="2" s="1"/>
  <c r="CM94" i="2"/>
  <c r="DW89" i="2" s="1"/>
  <c r="CM81" i="2"/>
  <c r="DW76" i="2" s="1"/>
  <c r="CM59" i="2"/>
  <c r="DW54" i="2" s="1"/>
  <c r="CM66" i="2"/>
  <c r="DW61" i="2" s="1"/>
  <c r="CM56" i="2"/>
  <c r="DW51" i="2" s="1"/>
  <c r="CM64" i="2"/>
  <c r="DW59" i="2" s="1"/>
  <c r="CM70" i="2"/>
  <c r="DW65" i="2" s="1"/>
  <c r="CM53" i="2"/>
  <c r="DW48" i="2" s="1"/>
  <c r="CM86" i="2"/>
  <c r="DW81" i="2" s="1"/>
  <c r="CM62" i="2"/>
  <c r="DW57" i="2" s="1"/>
  <c r="G86" i="4"/>
  <c r="I83" i="4"/>
  <c r="AY186" i="3"/>
  <c r="AK129" i="3"/>
  <c r="C83" i="4"/>
  <c r="BI60" i="31"/>
  <c r="BF60" i="31"/>
  <c r="BD60" i="31"/>
  <c r="BE60" i="31"/>
  <c r="AZ185" i="3"/>
  <c r="B23" i="15"/>
  <c r="C23" i="15" s="1"/>
  <c r="J23" i="15" s="1"/>
  <c r="AL128" i="3"/>
  <c r="AN128" i="3"/>
  <c r="AQ128" i="3" s="1"/>
  <c r="AM128" i="3"/>
  <c r="AP128" i="3" s="1"/>
  <c r="AO128" i="3"/>
  <c r="AR128" i="3" s="1"/>
  <c r="AY186" i="8"/>
  <c r="R83" i="4"/>
  <c r="V83" i="4" s="1"/>
  <c r="AK129" i="8"/>
  <c r="N134" i="3"/>
  <c r="L134" i="3"/>
  <c r="M134" i="3"/>
  <c r="Z134" i="6"/>
  <c r="AA191" i="6"/>
  <c r="AC134" i="6"/>
  <c r="H135" i="8"/>
  <c r="V135" i="8"/>
  <c r="AO187" i="3"/>
  <c r="AP187" i="3" s="1"/>
  <c r="AO187" i="6"/>
  <c r="AP187" i="6" s="1"/>
  <c r="O191" i="8"/>
  <c r="B137" i="43" s="1"/>
  <c r="D137" i="43" s="1"/>
  <c r="E137" i="43" s="1"/>
  <c r="H137" i="43" s="1"/>
  <c r="J137" i="43" s="1"/>
  <c r="Y134" i="8"/>
  <c r="AB134" i="8" s="1"/>
  <c r="E72" i="15"/>
  <c r="J72" i="15"/>
  <c r="I72" i="15"/>
  <c r="F72" i="15"/>
  <c r="BS44" i="31"/>
  <c r="BT43" i="31"/>
  <c r="BV43" i="31" s="1"/>
  <c r="BW43" i="31" s="1"/>
  <c r="BK44" i="31"/>
  <c r="BL43" i="31"/>
  <c r="AG133" i="6"/>
  <c r="B123" i="15"/>
  <c r="C123" i="15" s="1"/>
  <c r="AZ185" i="8"/>
  <c r="AL128" i="8"/>
  <c r="AN128" i="8"/>
  <c r="AQ128" i="8" s="1"/>
  <c r="AO128" i="8"/>
  <c r="AR128" i="8" s="1"/>
  <c r="AM128" i="8"/>
  <c r="AP128" i="8" s="1"/>
  <c r="AS127" i="8"/>
  <c r="AT127" i="8" s="1"/>
  <c r="AB32" i="3"/>
  <c r="AB32" i="8"/>
  <c r="AB32" i="6"/>
  <c r="M30" i="11"/>
  <c r="J79" i="36"/>
  <c r="AE188" i="6"/>
  <c r="AW188" i="6" s="1"/>
  <c r="S135" i="8"/>
  <c r="AN82" i="8"/>
  <c r="C130" i="11"/>
  <c r="D130" i="11" s="1"/>
  <c r="E130" i="11" s="1"/>
  <c r="AM83" i="8"/>
  <c r="AE83" i="8"/>
  <c r="J24" i="36"/>
  <c r="AE188" i="3"/>
  <c r="AW188" i="3" s="1"/>
  <c r="H80" i="36"/>
  <c r="AE189" i="39" s="1"/>
  <c r="AW189" i="39" s="1"/>
  <c r="S189" i="6"/>
  <c r="T189" i="6" s="1"/>
  <c r="O191" i="6"/>
  <c r="B82" i="43" s="1"/>
  <c r="Y134" i="6"/>
  <c r="AB134" i="6" s="1"/>
  <c r="C79" i="11"/>
  <c r="D79" i="11" s="1"/>
  <c r="E79" i="11" s="1"/>
  <c r="AM83" i="6"/>
  <c r="AE83" i="6"/>
  <c r="K83" i="4"/>
  <c r="O83" i="4" s="1"/>
  <c r="AY186" i="6"/>
  <c r="AK129" i="6"/>
  <c r="R84" i="4"/>
  <c r="V84" i="4" s="1"/>
  <c r="AY187" i="8"/>
  <c r="AK130" i="8"/>
  <c r="AN82" i="6"/>
  <c r="R135" i="6"/>
  <c r="K135" i="6"/>
  <c r="N135" i="6" s="1"/>
  <c r="H135" i="6"/>
  <c r="AH133" i="6"/>
  <c r="AA134" i="8"/>
  <c r="AF133" i="3"/>
  <c r="AI133" i="3" s="1"/>
  <c r="E87" i="4" s="1"/>
  <c r="BF31" i="6"/>
  <c r="AN31" i="6"/>
  <c r="BG31" i="6" s="1"/>
  <c r="AB84" i="6"/>
  <c r="AF133" i="6"/>
  <c r="CO38" i="31"/>
  <c r="CR38" i="31"/>
  <c r="CK39" i="31"/>
  <c r="O191" i="3"/>
  <c r="B27" i="43" s="1"/>
  <c r="Y134" i="3"/>
  <c r="AB134" i="3" s="1"/>
  <c r="AM47" i="31"/>
  <c r="AN46" i="31"/>
  <c r="AZ185" i="6"/>
  <c r="B73" i="15"/>
  <c r="C73" i="15" s="1"/>
  <c r="AL128" i="6"/>
  <c r="AN128" i="6"/>
  <c r="AQ128" i="6" s="1"/>
  <c r="AM128" i="6"/>
  <c r="AP128" i="6" s="1"/>
  <c r="AO128" i="6"/>
  <c r="AR128" i="6" s="1"/>
  <c r="AF133" i="8"/>
  <c r="AA134" i="3"/>
  <c r="CD81" i="2"/>
  <c r="CD86" i="2"/>
  <c r="CD66" i="2"/>
  <c r="CD73" i="2"/>
  <c r="CT90" i="2"/>
  <c r="CD89" i="2"/>
  <c r="CD57" i="2"/>
  <c r="CD87" i="2"/>
  <c r="CD95" i="2"/>
  <c r="CD70" i="2"/>
  <c r="CD84" i="2"/>
  <c r="CD92" i="2"/>
  <c r="CD67" i="2"/>
  <c r="CD90" i="2"/>
  <c r="CD63" i="2"/>
  <c r="CT75" i="2"/>
  <c r="CT63" i="2"/>
  <c r="CT79" i="2"/>
  <c r="CT54" i="2"/>
  <c r="CT77" i="2"/>
  <c r="CT94" i="2"/>
  <c r="CT78" i="2"/>
  <c r="CT84" i="2"/>
  <c r="CT73" i="2"/>
  <c r="CT61" i="2"/>
  <c r="CT64" i="2"/>
  <c r="CT51" i="2"/>
  <c r="CM95" i="2"/>
  <c r="DW90" i="2" s="1"/>
  <c r="CM78" i="2"/>
  <c r="DW73" i="2" s="1"/>
  <c r="CM84" i="2"/>
  <c r="DW79" i="2" s="1"/>
  <c r="CM55" i="2"/>
  <c r="DW50" i="2" s="1"/>
  <c r="CM50" i="2"/>
  <c r="DW45" i="2" s="1"/>
  <c r="CM80" i="2"/>
  <c r="DW75" i="2" s="1"/>
  <c r="CM87" i="2"/>
  <c r="DW82" i="2" s="1"/>
  <c r="CM75" i="2"/>
  <c r="DW70" i="2" s="1"/>
  <c r="CM88" i="2"/>
  <c r="DW83" i="2" s="1"/>
  <c r="CM69" i="2"/>
  <c r="DW64" i="2" s="1"/>
  <c r="CM58" i="2"/>
  <c r="DW53" i="2" s="1"/>
  <c r="CC443" i="2"/>
  <c r="CD442" i="2"/>
  <c r="K135" i="8" l="1"/>
  <c r="N135" i="8" s="1"/>
  <c r="AC192" i="8"/>
  <c r="AU192" i="8" s="1"/>
  <c r="V135" i="6"/>
  <c r="AA135" i="6" s="1"/>
  <c r="AC192" i="6"/>
  <c r="AU192" i="6" s="1"/>
  <c r="D82" i="43"/>
  <c r="E82" i="43" s="1"/>
  <c r="H82" i="43" s="1"/>
  <c r="J82" i="43" s="1"/>
  <c r="D27" i="43"/>
  <c r="E27" i="43" s="1"/>
  <c r="H27" i="43" s="1"/>
  <c r="J27" i="43" s="1"/>
  <c r="AS128" i="40"/>
  <c r="AT128" i="40" s="1"/>
  <c r="AS128" i="39"/>
  <c r="AT128" i="39" s="1"/>
  <c r="AI132" i="40"/>
  <c r="AI133" i="6"/>
  <c r="M87" i="4" s="1"/>
  <c r="AO129" i="39"/>
  <c r="AR129" i="39" s="1"/>
  <c r="AM129" i="39"/>
  <c r="AP129" i="39" s="1"/>
  <c r="AZ186" i="39"/>
  <c r="AN129" i="39"/>
  <c r="AQ129" i="39" s="1"/>
  <c r="AL129" i="39"/>
  <c r="AM130" i="39"/>
  <c r="AP130" i="39" s="1"/>
  <c r="AN130" i="39"/>
  <c r="AQ130" i="39" s="1"/>
  <c r="AZ187" i="39"/>
  <c r="AL130" i="39"/>
  <c r="AO130" i="39"/>
  <c r="AR130" i="39" s="1"/>
  <c r="AE131" i="38"/>
  <c r="AE131" i="40"/>
  <c r="AE131" i="39"/>
  <c r="AM130" i="40"/>
  <c r="AP130" i="40" s="1"/>
  <c r="AN130" i="40"/>
  <c r="AQ130" i="40" s="1"/>
  <c r="AO130" i="40"/>
  <c r="AR130" i="40" s="1"/>
  <c r="AZ187" i="40"/>
  <c r="AL130" i="40"/>
  <c r="AE132" i="38"/>
  <c r="AK132" i="38" s="1"/>
  <c r="AE132" i="40"/>
  <c r="AE132" i="39"/>
  <c r="AS130" i="38"/>
  <c r="AT130" i="38" s="1"/>
  <c r="AM129" i="40"/>
  <c r="AP129" i="40" s="1"/>
  <c r="AN129" i="40"/>
  <c r="AQ129" i="40" s="1"/>
  <c r="AO129" i="40"/>
  <c r="AR129" i="40" s="1"/>
  <c r="AZ186" i="40"/>
  <c r="AL129" i="40"/>
  <c r="G136" i="8"/>
  <c r="X136" i="8" s="1"/>
  <c r="AM193" i="8" s="1"/>
  <c r="AN193" i="8" s="1"/>
  <c r="G136" i="40"/>
  <c r="V190" i="40"/>
  <c r="AO188" i="40"/>
  <c r="AP188" i="40" s="1"/>
  <c r="L134" i="40"/>
  <c r="N134" i="40"/>
  <c r="AC192" i="40"/>
  <c r="AU192" i="40" s="1"/>
  <c r="H135" i="40"/>
  <c r="X135" i="40"/>
  <c r="K135" i="40"/>
  <c r="M135" i="40" s="1"/>
  <c r="V135" i="40"/>
  <c r="M134" i="40"/>
  <c r="AG133" i="40"/>
  <c r="AF133" i="40"/>
  <c r="AA134" i="40"/>
  <c r="AG134" i="40" s="1"/>
  <c r="AM191" i="40"/>
  <c r="AN191" i="40" s="1"/>
  <c r="AO189" i="40"/>
  <c r="AP189" i="40" s="1"/>
  <c r="AH133" i="40"/>
  <c r="AC134" i="40"/>
  <c r="AA191" i="40"/>
  <c r="AB134" i="40"/>
  <c r="Z134" i="40"/>
  <c r="G136" i="6"/>
  <c r="X136" i="6" s="1"/>
  <c r="AM193" i="6" s="1"/>
  <c r="AN193" i="6" s="1"/>
  <c r="G136" i="39"/>
  <c r="AH133" i="39"/>
  <c r="AM191" i="39"/>
  <c r="AN191" i="39" s="1"/>
  <c r="AA134" i="39"/>
  <c r="AI132" i="39"/>
  <c r="AC134" i="39"/>
  <c r="AA191" i="39"/>
  <c r="AB134" i="39"/>
  <c r="Z134" i="39"/>
  <c r="M134" i="39"/>
  <c r="N134" i="39"/>
  <c r="L134" i="39"/>
  <c r="AO189" i="39"/>
  <c r="AP189" i="39" s="1"/>
  <c r="V190" i="39"/>
  <c r="AG133" i="39"/>
  <c r="AF133" i="39"/>
  <c r="AC192" i="39"/>
  <c r="AU192" i="39" s="1"/>
  <c r="H135" i="39"/>
  <c r="X135" i="39"/>
  <c r="K135" i="39"/>
  <c r="M135" i="39" s="1"/>
  <c r="V135" i="39"/>
  <c r="AY189" i="38"/>
  <c r="AF133" i="38"/>
  <c r="V190" i="38"/>
  <c r="AY188" i="38"/>
  <c r="AK131" i="38"/>
  <c r="AC192" i="38"/>
  <c r="AU192" i="38" s="1"/>
  <c r="X135" i="38"/>
  <c r="H135" i="38"/>
  <c r="V135" i="38"/>
  <c r="K135" i="38"/>
  <c r="M135" i="38" s="1"/>
  <c r="L134" i="38"/>
  <c r="N134" i="38"/>
  <c r="AH133" i="38"/>
  <c r="AS129" i="38"/>
  <c r="AT129" i="38" s="1"/>
  <c r="G136" i="3"/>
  <c r="AC193" i="3" s="1"/>
  <c r="AU193" i="3" s="1"/>
  <c r="G136" i="38"/>
  <c r="AC134" i="38"/>
  <c r="AA191" i="38"/>
  <c r="AB134" i="38"/>
  <c r="Z134" i="38"/>
  <c r="AG133" i="38"/>
  <c r="AA134" i="38"/>
  <c r="AM191" i="38"/>
  <c r="AN191" i="38" s="1"/>
  <c r="AO189" i="38"/>
  <c r="AP189" i="38" s="1"/>
  <c r="BH60" i="31"/>
  <c r="AG135" i="6"/>
  <c r="G87" i="4"/>
  <c r="AL130" i="8"/>
  <c r="B125" i="15"/>
  <c r="C125" i="15" s="1"/>
  <c r="AZ187" i="8"/>
  <c r="AN130" i="8"/>
  <c r="AQ130" i="8" s="1"/>
  <c r="AM130" i="8"/>
  <c r="AP130" i="8" s="1"/>
  <c r="AO130" i="8"/>
  <c r="AR130" i="8" s="1"/>
  <c r="AH134" i="6"/>
  <c r="BF32" i="8"/>
  <c r="AN32" i="8"/>
  <c r="BG32" i="8" s="1"/>
  <c r="AB85" i="8"/>
  <c r="J123" i="15"/>
  <c r="E123" i="15"/>
  <c r="F123" i="15"/>
  <c r="I123" i="15"/>
  <c r="BL44" i="31"/>
  <c r="BK45" i="31"/>
  <c r="B137" i="36"/>
  <c r="D137" i="36" s="1"/>
  <c r="E137" i="36" s="1"/>
  <c r="S191" i="40" s="1"/>
  <c r="T191" i="40" s="1"/>
  <c r="R191" i="8"/>
  <c r="AA192" i="8"/>
  <c r="Z135" i="8"/>
  <c r="AC135" i="8"/>
  <c r="V189" i="8"/>
  <c r="AZ187" i="3"/>
  <c r="AL130" i="3"/>
  <c r="B25" i="15"/>
  <c r="C25" i="15" s="1"/>
  <c r="J25" i="15" s="1"/>
  <c r="AN130" i="3"/>
  <c r="AQ130" i="3" s="1"/>
  <c r="AM130" i="3"/>
  <c r="AP130" i="3" s="1"/>
  <c r="AO130" i="3"/>
  <c r="AR130" i="3" s="1"/>
  <c r="AA135" i="8"/>
  <c r="V188" i="8"/>
  <c r="AF134" i="8"/>
  <c r="Y135" i="3"/>
  <c r="AB135" i="3" s="1"/>
  <c r="O192" i="3"/>
  <c r="B28" i="43" s="1"/>
  <c r="AO188" i="3"/>
  <c r="AP188" i="3" s="1"/>
  <c r="H136" i="3"/>
  <c r="K136" i="3"/>
  <c r="L136" i="3" s="1"/>
  <c r="AG135" i="3"/>
  <c r="AZ44" i="31"/>
  <c r="AW44" i="31"/>
  <c r="AV44" i="31"/>
  <c r="J73" i="15"/>
  <c r="I73" i="15"/>
  <c r="F73" i="15"/>
  <c r="E73" i="15"/>
  <c r="B27" i="36"/>
  <c r="D27" i="36" s="1"/>
  <c r="E27" i="36" s="1"/>
  <c r="S191" i="38" s="1"/>
  <c r="T191" i="38" s="1"/>
  <c r="R191" i="3"/>
  <c r="AG134" i="8"/>
  <c r="B82" i="36"/>
  <c r="D82" i="36" s="1"/>
  <c r="E82" i="36" s="1"/>
  <c r="S191" i="39" s="1"/>
  <c r="T191" i="39" s="1"/>
  <c r="R191" i="6"/>
  <c r="BF32" i="3"/>
  <c r="AE37" i="9"/>
  <c r="AN32" i="3"/>
  <c r="BG32" i="3" s="1"/>
  <c r="AD32" i="3"/>
  <c r="AF32" i="3"/>
  <c r="AC32" i="3"/>
  <c r="AE32" i="3"/>
  <c r="AG32" i="3"/>
  <c r="AB85" i="3"/>
  <c r="AZ186" i="3"/>
  <c r="AL129" i="3"/>
  <c r="B24" i="15"/>
  <c r="C24" i="15" s="1"/>
  <c r="J24" i="15" s="1"/>
  <c r="AN129" i="3"/>
  <c r="AQ129" i="3" s="1"/>
  <c r="AM129" i="3"/>
  <c r="AP129" i="3" s="1"/>
  <c r="AO129" i="3"/>
  <c r="AR129" i="3" s="1"/>
  <c r="J134" i="36"/>
  <c r="AE188" i="8"/>
  <c r="AW188" i="8" s="1"/>
  <c r="S190" i="3"/>
  <c r="T190" i="3" s="1"/>
  <c r="H26" i="36"/>
  <c r="AE190" i="38" s="1"/>
  <c r="AW190" i="38" s="1"/>
  <c r="C131" i="11"/>
  <c r="D131" i="11" s="1"/>
  <c r="E131" i="11" s="1"/>
  <c r="AM84" i="8"/>
  <c r="AE84" i="8"/>
  <c r="R136" i="3"/>
  <c r="AN83" i="3"/>
  <c r="H81" i="36"/>
  <c r="AE190" i="39" s="1"/>
  <c r="AW190" i="39" s="1"/>
  <c r="S190" i="6"/>
  <c r="T190" i="6" s="1"/>
  <c r="AH134" i="3"/>
  <c r="AG134" i="3"/>
  <c r="L135" i="6"/>
  <c r="M135" i="6"/>
  <c r="O192" i="6"/>
  <c r="B83" i="43" s="1"/>
  <c r="Y135" i="6"/>
  <c r="AB135" i="6" s="1"/>
  <c r="AR46" i="31"/>
  <c r="AO46" i="31"/>
  <c r="AQ46" i="31" s="1"/>
  <c r="CL41" i="31" s="1"/>
  <c r="G42" i="31" s="1"/>
  <c r="AA192" i="6"/>
  <c r="Z135" i="6"/>
  <c r="V189" i="6"/>
  <c r="Y135" i="8"/>
  <c r="AB135" i="8" s="1"/>
  <c r="O192" i="8"/>
  <c r="B138" i="43" s="1"/>
  <c r="D138" i="43" s="1"/>
  <c r="E138" i="43" s="1"/>
  <c r="H138" i="43" s="1"/>
  <c r="J138" i="43" s="1"/>
  <c r="M31" i="11"/>
  <c r="AB33" i="8"/>
  <c r="AB33" i="6"/>
  <c r="AB33" i="3"/>
  <c r="BS45" i="31"/>
  <c r="BT44" i="31"/>
  <c r="BV44" i="31" s="1"/>
  <c r="BW44" i="31" s="1"/>
  <c r="I23" i="15"/>
  <c r="E23" i="15"/>
  <c r="F23" i="15"/>
  <c r="AE132" i="3"/>
  <c r="AE132" i="6"/>
  <c r="AE132" i="8"/>
  <c r="S190" i="8"/>
  <c r="T190" i="8" s="1"/>
  <c r="H136" i="36"/>
  <c r="AE190" i="40" s="1"/>
  <c r="AW190" i="40" s="1"/>
  <c r="AG134" i="6"/>
  <c r="AO188" i="6"/>
  <c r="AP188" i="6" s="1"/>
  <c r="L135" i="3"/>
  <c r="M135" i="3"/>
  <c r="N135" i="3"/>
  <c r="AY43" i="31"/>
  <c r="BC62" i="31"/>
  <c r="BB63" i="31"/>
  <c r="C29" i="11"/>
  <c r="D29" i="11" s="1"/>
  <c r="E29" i="11" s="1"/>
  <c r="AM84" i="3"/>
  <c r="AE84" i="3"/>
  <c r="AF134" i="3"/>
  <c r="AE131" i="3"/>
  <c r="AE131" i="6"/>
  <c r="AE131" i="8"/>
  <c r="V189" i="3"/>
  <c r="AS128" i="6"/>
  <c r="AT128" i="6" s="1"/>
  <c r="CK40" i="31"/>
  <c r="CR39" i="31"/>
  <c r="CO39" i="31"/>
  <c r="AN47" i="31"/>
  <c r="AM48" i="31"/>
  <c r="CT38" i="31"/>
  <c r="CV38" i="31" s="1"/>
  <c r="C80" i="11"/>
  <c r="D80" i="11" s="1"/>
  <c r="E80" i="11" s="1"/>
  <c r="AM84" i="6"/>
  <c r="AE84" i="6"/>
  <c r="B74" i="15"/>
  <c r="C74" i="15" s="1"/>
  <c r="AZ186" i="6"/>
  <c r="AL129" i="6"/>
  <c r="AN129" i="6"/>
  <c r="AQ129" i="6" s="1"/>
  <c r="AM129" i="6"/>
  <c r="AP129" i="6" s="1"/>
  <c r="AO129" i="6"/>
  <c r="AR129" i="6" s="1"/>
  <c r="R136" i="6"/>
  <c r="AN83" i="6"/>
  <c r="H136" i="6"/>
  <c r="AC193" i="6"/>
  <c r="AU193" i="6" s="1"/>
  <c r="K136" i="6"/>
  <c r="N136" i="6" s="1"/>
  <c r="V136" i="6"/>
  <c r="J80" i="36"/>
  <c r="AE189" i="6"/>
  <c r="AW189" i="6" s="1"/>
  <c r="S136" i="8"/>
  <c r="AN83" i="8"/>
  <c r="AC193" i="8"/>
  <c r="AU193" i="8" s="1"/>
  <c r="H136" i="8"/>
  <c r="V136" i="8"/>
  <c r="K136" i="8"/>
  <c r="BF32" i="6"/>
  <c r="AN32" i="6"/>
  <c r="BG32" i="6" s="1"/>
  <c r="AB85" i="6"/>
  <c r="AS128" i="8"/>
  <c r="AT128" i="8" s="1"/>
  <c r="BP43" i="31"/>
  <c r="BN43" i="31"/>
  <c r="BO43" i="31" s="1"/>
  <c r="AH134" i="8"/>
  <c r="AF134" i="6"/>
  <c r="B124" i="15"/>
  <c r="C124" i="15" s="1"/>
  <c r="AZ186" i="8"/>
  <c r="AL129" i="8"/>
  <c r="AM129" i="8"/>
  <c r="AP129" i="8" s="1"/>
  <c r="AO129" i="8"/>
  <c r="AR129" i="8" s="1"/>
  <c r="AN129" i="8"/>
  <c r="AQ129" i="8" s="1"/>
  <c r="AS128" i="3"/>
  <c r="AT128" i="3" s="1"/>
  <c r="J135" i="36"/>
  <c r="AE189" i="8"/>
  <c r="AW189" i="8" s="1"/>
  <c r="AI133" i="8"/>
  <c r="T87" i="4" s="1"/>
  <c r="AA192" i="3"/>
  <c r="AC135" i="3"/>
  <c r="Z135" i="3"/>
  <c r="BI61" i="31"/>
  <c r="BE61" i="31"/>
  <c r="BF61" i="31"/>
  <c r="BD61" i="31"/>
  <c r="M136" i="3"/>
  <c r="X136" i="3"/>
  <c r="AU45" i="31"/>
  <c r="AT46" i="31"/>
  <c r="AZ187" i="6"/>
  <c r="B75" i="15"/>
  <c r="C75" i="15" s="1"/>
  <c r="AL130" i="6"/>
  <c r="AM130" i="6"/>
  <c r="AP130" i="6" s="1"/>
  <c r="AO130" i="6"/>
  <c r="AR130" i="6" s="1"/>
  <c r="AN130" i="6"/>
  <c r="AQ130" i="6" s="1"/>
  <c r="AE189" i="3"/>
  <c r="AW189" i="3" s="1"/>
  <c r="J25" i="36"/>
  <c r="CC444" i="2"/>
  <c r="CD443" i="2"/>
  <c r="M135" i="8" l="1"/>
  <c r="L135" i="8"/>
  <c r="AC135" i="6"/>
  <c r="D83" i="43"/>
  <c r="E83" i="43" s="1"/>
  <c r="H83" i="43" s="1"/>
  <c r="J83" i="43" s="1"/>
  <c r="D28" i="43"/>
  <c r="E28" i="43" s="1"/>
  <c r="H28" i="43" s="1"/>
  <c r="J28" i="43" s="1"/>
  <c r="AI133" i="39"/>
  <c r="AS130" i="40"/>
  <c r="AT130" i="40" s="1"/>
  <c r="AY189" i="40"/>
  <c r="AK132" i="40"/>
  <c r="AY188" i="40"/>
  <c r="AK131" i="40"/>
  <c r="AS129" i="40"/>
  <c r="AT129" i="40" s="1"/>
  <c r="AS130" i="39"/>
  <c r="AT130" i="39" s="1"/>
  <c r="AS129" i="39"/>
  <c r="AT129" i="39" s="1"/>
  <c r="AE133" i="38"/>
  <c r="AY190" i="38" s="1"/>
  <c r="AE133" i="39"/>
  <c r="AE133" i="40"/>
  <c r="AY189" i="39"/>
  <c r="AK132" i="39"/>
  <c r="AY188" i="39"/>
  <c r="AK131" i="39"/>
  <c r="AO189" i="8"/>
  <c r="AP189" i="8" s="1"/>
  <c r="AI133" i="40"/>
  <c r="AO190" i="40"/>
  <c r="AP190" i="40" s="1"/>
  <c r="AS129" i="8"/>
  <c r="AT129" i="8" s="1"/>
  <c r="AF134" i="40"/>
  <c r="AA135" i="40"/>
  <c r="AM192" i="40"/>
  <c r="AN192" i="40" s="1"/>
  <c r="V191" i="40"/>
  <c r="AH134" i="40"/>
  <c r="AI134" i="40" s="1"/>
  <c r="AC135" i="40"/>
  <c r="AA192" i="40"/>
  <c r="AB135" i="40"/>
  <c r="Z135" i="40"/>
  <c r="AC193" i="40"/>
  <c r="AU193" i="40" s="1"/>
  <c r="X136" i="40"/>
  <c r="H136" i="40"/>
  <c r="K136" i="40"/>
  <c r="M136" i="40" s="1"/>
  <c r="V136" i="40"/>
  <c r="G137" i="8"/>
  <c r="X137" i="8" s="1"/>
  <c r="G137" i="40"/>
  <c r="N135" i="40"/>
  <c r="L135" i="40"/>
  <c r="G137" i="6"/>
  <c r="X137" i="6" s="1"/>
  <c r="AM194" i="6" s="1"/>
  <c r="AN194" i="6" s="1"/>
  <c r="G137" i="39"/>
  <c r="AO190" i="39"/>
  <c r="AP190" i="39" s="1"/>
  <c r="AI134" i="6"/>
  <c r="M88" i="4" s="1"/>
  <c r="Z135" i="39"/>
  <c r="AC135" i="39"/>
  <c r="AA192" i="39"/>
  <c r="AB135" i="39"/>
  <c r="AF134" i="39"/>
  <c r="AG134" i="39"/>
  <c r="V191" i="39"/>
  <c r="L135" i="39"/>
  <c r="N135" i="39"/>
  <c r="AH134" i="39"/>
  <c r="AC193" i="39"/>
  <c r="AU193" i="39" s="1"/>
  <c r="H136" i="39"/>
  <c r="X136" i="39"/>
  <c r="AM193" i="39" s="1"/>
  <c r="AN193" i="39" s="1"/>
  <c r="V136" i="39"/>
  <c r="K136" i="39"/>
  <c r="AA135" i="39"/>
  <c r="AG135" i="39" s="1"/>
  <c r="AM192" i="39"/>
  <c r="AN192" i="39" s="1"/>
  <c r="V136" i="3"/>
  <c r="AO189" i="3"/>
  <c r="AP189" i="3" s="1"/>
  <c r="G137" i="3"/>
  <c r="AC194" i="3" s="1"/>
  <c r="AU194" i="3" s="1"/>
  <c r="G137" i="38"/>
  <c r="N136" i="3"/>
  <c r="AS129" i="3"/>
  <c r="AT129" i="3" s="1"/>
  <c r="V191" i="38"/>
  <c r="AS130" i="3"/>
  <c r="AT130" i="3" s="1"/>
  <c r="AZ188" i="38"/>
  <c r="AL131" i="38"/>
  <c r="AM131" i="38"/>
  <c r="AP131" i="38" s="1"/>
  <c r="AN131" i="38"/>
  <c r="AQ131" i="38" s="1"/>
  <c r="AO131" i="38"/>
  <c r="AR131" i="38" s="1"/>
  <c r="AI133" i="38"/>
  <c r="AF134" i="38"/>
  <c r="L135" i="38"/>
  <c r="N135" i="38"/>
  <c r="AA135" i="38"/>
  <c r="AM192" i="38"/>
  <c r="AN192" i="38" s="1"/>
  <c r="AO190" i="38"/>
  <c r="AP190" i="38" s="1"/>
  <c r="AM132" i="38"/>
  <c r="AP132" i="38" s="1"/>
  <c r="AZ189" i="38"/>
  <c r="AL132" i="38"/>
  <c r="AN132" i="38"/>
  <c r="AQ132" i="38" s="1"/>
  <c r="AO132" i="38"/>
  <c r="AR132" i="38" s="1"/>
  <c r="AG134" i="38"/>
  <c r="AH134" i="38"/>
  <c r="H136" i="38"/>
  <c r="AC193" i="38"/>
  <c r="AU193" i="38" s="1"/>
  <c r="X136" i="38"/>
  <c r="K136" i="38"/>
  <c r="M136" i="38" s="1"/>
  <c r="V136" i="38"/>
  <c r="AC135" i="38"/>
  <c r="AA192" i="38"/>
  <c r="AB135" i="38"/>
  <c r="Z135" i="38"/>
  <c r="AY44" i="31"/>
  <c r="AC136" i="8"/>
  <c r="Z136" i="8"/>
  <c r="AA193" i="8"/>
  <c r="AA193" i="6"/>
  <c r="AC136" i="6"/>
  <c r="Z136" i="6"/>
  <c r="AS129" i="6"/>
  <c r="AT129" i="6" s="1"/>
  <c r="F74" i="15"/>
  <c r="E74" i="15"/>
  <c r="I74" i="15"/>
  <c r="J74" i="15"/>
  <c r="AR47" i="31"/>
  <c r="AO47" i="31"/>
  <c r="AQ47" i="31" s="1"/>
  <c r="CL42" i="31" s="1"/>
  <c r="G43" i="31" s="1"/>
  <c r="K85" i="4"/>
  <c r="O85" i="4" s="1"/>
  <c r="AY188" i="6"/>
  <c r="AK131" i="6"/>
  <c r="BI62" i="31"/>
  <c r="BE62" i="31"/>
  <c r="BD62" i="31"/>
  <c r="BF62" i="31"/>
  <c r="J136" i="36"/>
  <c r="AE190" i="8"/>
  <c r="AW190" i="8" s="1"/>
  <c r="AY189" i="3"/>
  <c r="AK132" i="3"/>
  <c r="I86" i="4"/>
  <c r="C86" i="4"/>
  <c r="BF33" i="3"/>
  <c r="AE38" i="9"/>
  <c r="AC33" i="3"/>
  <c r="AG33" i="3"/>
  <c r="AF33" i="3"/>
  <c r="AN33" i="3"/>
  <c r="BG33" i="3" s="1"/>
  <c r="AE33" i="3"/>
  <c r="AD33" i="3"/>
  <c r="AB86" i="3"/>
  <c r="R192" i="8"/>
  <c r="B138" i="36"/>
  <c r="D138" i="36" s="1"/>
  <c r="E138" i="36" s="1"/>
  <c r="S192" i="40" s="1"/>
  <c r="T192" i="40" s="1"/>
  <c r="AH135" i="6"/>
  <c r="V190" i="6"/>
  <c r="O193" i="3"/>
  <c r="B29" i="43" s="1"/>
  <c r="Y136" i="3"/>
  <c r="AB136" i="3" s="1"/>
  <c r="V190" i="3"/>
  <c r="AC136" i="3"/>
  <c r="AA193" i="3"/>
  <c r="Z136" i="3"/>
  <c r="R192" i="3"/>
  <c r="B28" i="36"/>
  <c r="D28" i="36" s="1"/>
  <c r="E28" i="36" s="1"/>
  <c r="S192" i="38" s="1"/>
  <c r="T192" i="38" s="1"/>
  <c r="S191" i="8"/>
  <c r="T191" i="8" s="1"/>
  <c r="H137" i="36"/>
  <c r="AE191" i="40" s="1"/>
  <c r="AW191" i="40" s="1"/>
  <c r="C85" i="4"/>
  <c r="AY188" i="3"/>
  <c r="AK131" i="3"/>
  <c r="I85" i="4"/>
  <c r="K137" i="3"/>
  <c r="L137" i="3" s="1"/>
  <c r="V190" i="8"/>
  <c r="BF33" i="6"/>
  <c r="AN33" i="6"/>
  <c r="BG33" i="6" s="1"/>
  <c r="AB86" i="6"/>
  <c r="AH135" i="8"/>
  <c r="R192" i="6"/>
  <c r="B83" i="36"/>
  <c r="D83" i="36" s="1"/>
  <c r="E83" i="36" s="1"/>
  <c r="S192" i="39" s="1"/>
  <c r="T192" i="39" s="1"/>
  <c r="AE190" i="6"/>
  <c r="AW190" i="6" s="1"/>
  <c r="J81" i="36"/>
  <c r="H82" i="36"/>
  <c r="AE191" i="39" s="1"/>
  <c r="AW191" i="39" s="1"/>
  <c r="S191" i="6"/>
  <c r="T191" i="6" s="1"/>
  <c r="S191" i="3"/>
  <c r="T191" i="3" s="1"/>
  <c r="H27" i="36"/>
  <c r="AE191" i="38" s="1"/>
  <c r="AW191" i="38" s="1"/>
  <c r="AH135" i="3"/>
  <c r="AO188" i="8"/>
  <c r="AP188" i="8" s="1"/>
  <c r="AF135" i="8"/>
  <c r="BL45" i="31"/>
  <c r="BK46" i="31"/>
  <c r="I125" i="15"/>
  <c r="F125" i="15"/>
  <c r="J125" i="15"/>
  <c r="E125" i="15"/>
  <c r="AE133" i="8"/>
  <c r="AE133" i="6"/>
  <c r="AE133" i="3"/>
  <c r="AA136" i="3"/>
  <c r="AM193" i="3"/>
  <c r="AN193" i="3" s="1"/>
  <c r="L136" i="6"/>
  <c r="M136" i="6"/>
  <c r="AN84" i="6"/>
  <c r="R137" i="6"/>
  <c r="CT39" i="31"/>
  <c r="CV39" i="31" s="1"/>
  <c r="AY189" i="8"/>
  <c r="R86" i="4"/>
  <c r="V86" i="4" s="1"/>
  <c r="AK132" i="8"/>
  <c r="AM194" i="8"/>
  <c r="AN194" i="8" s="1"/>
  <c r="F25" i="15"/>
  <c r="E25" i="15"/>
  <c r="I25" i="15"/>
  <c r="BP44" i="31"/>
  <c r="BN44" i="31"/>
  <c r="BO44" i="31" s="1"/>
  <c r="AS130" i="8"/>
  <c r="AT130" i="8" s="1"/>
  <c r="F75" i="15"/>
  <c r="I75" i="15"/>
  <c r="E75" i="15"/>
  <c r="J75" i="15"/>
  <c r="Y136" i="8"/>
  <c r="AB136" i="8" s="1"/>
  <c r="O193" i="8"/>
  <c r="B139" i="43" s="1"/>
  <c r="D139" i="43" s="1"/>
  <c r="E139" i="43" s="1"/>
  <c r="H139" i="43" s="1"/>
  <c r="J139" i="43" s="1"/>
  <c r="N137" i="3"/>
  <c r="R137" i="3"/>
  <c r="AN84" i="3"/>
  <c r="AS130" i="6"/>
  <c r="AT130" i="6" s="1"/>
  <c r="AU46" i="31"/>
  <c r="AT47" i="31"/>
  <c r="BH61" i="31"/>
  <c r="Y136" i="6"/>
  <c r="AB136" i="6" s="1"/>
  <c r="O193" i="6"/>
  <c r="B84" i="43" s="1"/>
  <c r="BF33" i="8"/>
  <c r="AN33" i="8"/>
  <c r="BG33" i="8" s="1"/>
  <c r="AB86" i="8"/>
  <c r="AA136" i="8"/>
  <c r="AF135" i="6"/>
  <c r="AI135" i="6" s="1"/>
  <c r="M89" i="4" s="1"/>
  <c r="AC194" i="8"/>
  <c r="AU194" i="8" s="1"/>
  <c r="H137" i="8"/>
  <c r="V137" i="8"/>
  <c r="K137" i="8"/>
  <c r="N137" i="8" s="1"/>
  <c r="E24" i="15"/>
  <c r="F24" i="15"/>
  <c r="I24" i="15"/>
  <c r="AG135" i="8"/>
  <c r="AZ45" i="31"/>
  <c r="AV45" i="31"/>
  <c r="AW45" i="31"/>
  <c r="AF135" i="3"/>
  <c r="F124" i="15"/>
  <c r="J124" i="15"/>
  <c r="I124" i="15"/>
  <c r="E124" i="15"/>
  <c r="C81" i="11"/>
  <c r="D81" i="11" s="1"/>
  <c r="E81" i="11" s="1"/>
  <c r="AM85" i="6"/>
  <c r="AE85" i="6"/>
  <c r="L136" i="8"/>
  <c r="M136" i="8"/>
  <c r="N136" i="8"/>
  <c r="AN48" i="31"/>
  <c r="AM49" i="31"/>
  <c r="CR40" i="31"/>
  <c r="CO40" i="31"/>
  <c r="CK41" i="31"/>
  <c r="AY188" i="8"/>
  <c r="R85" i="4"/>
  <c r="V85" i="4" s="1"/>
  <c r="AK131" i="8"/>
  <c r="AI134" i="3"/>
  <c r="E88" i="4" s="1"/>
  <c r="BC63" i="31"/>
  <c r="BB64" i="31"/>
  <c r="K86" i="4"/>
  <c r="O86" i="4" s="1"/>
  <c r="AY189" i="6"/>
  <c r="AK132" i="6"/>
  <c r="BS46" i="31"/>
  <c r="BT45" i="31"/>
  <c r="BV45" i="31" s="1"/>
  <c r="BW45" i="31" s="1"/>
  <c r="AB34" i="6"/>
  <c r="M32" i="11"/>
  <c r="AB34" i="3"/>
  <c r="AB34" i="8"/>
  <c r="AO189" i="6"/>
  <c r="AP189" i="6" s="1"/>
  <c r="AA136" i="6"/>
  <c r="S137" i="8"/>
  <c r="AN84" i="8"/>
  <c r="J26" i="36"/>
  <c r="AE190" i="3"/>
  <c r="AW190" i="3" s="1"/>
  <c r="C30" i="11"/>
  <c r="D30" i="11" s="1"/>
  <c r="E30" i="11" s="1"/>
  <c r="AM85" i="3"/>
  <c r="AE85" i="3"/>
  <c r="AI134" i="8"/>
  <c r="T88" i="4" s="1"/>
  <c r="C132" i="11"/>
  <c r="D132" i="11" s="1"/>
  <c r="E132" i="11" s="1"/>
  <c r="AM85" i="8"/>
  <c r="AE85" i="8"/>
  <c r="CC445" i="2"/>
  <c r="CD444" i="2"/>
  <c r="K137" i="6" l="1"/>
  <c r="L137" i="6" s="1"/>
  <c r="V137" i="6"/>
  <c r="AC137" i="6" s="1"/>
  <c r="V137" i="3"/>
  <c r="AK133" i="38"/>
  <c r="AM133" i="38" s="1"/>
  <c r="AP133" i="38" s="1"/>
  <c r="X137" i="3"/>
  <c r="H137" i="3"/>
  <c r="D84" i="43"/>
  <c r="E84" i="43" s="1"/>
  <c r="H84" i="43" s="1"/>
  <c r="J84" i="43" s="1"/>
  <c r="D29" i="43"/>
  <c r="E29" i="43" s="1"/>
  <c r="H29" i="43" s="1"/>
  <c r="J29" i="43" s="1"/>
  <c r="AO190" i="8"/>
  <c r="AP190" i="8" s="1"/>
  <c r="AM132" i="39"/>
  <c r="AP132" i="39" s="1"/>
  <c r="AO132" i="39"/>
  <c r="AR132" i="39" s="1"/>
  <c r="AZ189" i="39"/>
  <c r="AL132" i="39"/>
  <c r="AN132" i="39"/>
  <c r="AQ132" i="39" s="1"/>
  <c r="AO131" i="40"/>
  <c r="AR131" i="40" s="1"/>
  <c r="AM131" i="40"/>
  <c r="AP131" i="40" s="1"/>
  <c r="AZ188" i="40"/>
  <c r="AN131" i="40"/>
  <c r="AQ131" i="40" s="1"/>
  <c r="AL131" i="40"/>
  <c r="AO131" i="39"/>
  <c r="AR131" i="39" s="1"/>
  <c r="AM131" i="39"/>
  <c r="AP131" i="39" s="1"/>
  <c r="AL131" i="39"/>
  <c r="AN131" i="39"/>
  <c r="AQ131" i="39" s="1"/>
  <c r="AZ188" i="39"/>
  <c r="AY190" i="40"/>
  <c r="AK133" i="40"/>
  <c r="AL132" i="40"/>
  <c r="AZ189" i="40"/>
  <c r="AM132" i="40"/>
  <c r="AP132" i="40" s="1"/>
  <c r="AO132" i="40"/>
  <c r="AR132" i="40" s="1"/>
  <c r="AN132" i="40"/>
  <c r="AQ132" i="40" s="1"/>
  <c r="AY190" i="39"/>
  <c r="AK133" i="39"/>
  <c r="AA136" i="40"/>
  <c r="AG136" i="40" s="1"/>
  <c r="AM193" i="40"/>
  <c r="AN193" i="40" s="1"/>
  <c r="AH135" i="40"/>
  <c r="AO191" i="40"/>
  <c r="AP191" i="40" s="1"/>
  <c r="V192" i="40"/>
  <c r="AA193" i="40"/>
  <c r="AC136" i="40"/>
  <c r="AB136" i="40"/>
  <c r="Z136" i="40"/>
  <c r="L136" i="40"/>
  <c r="N136" i="40"/>
  <c r="AG135" i="40"/>
  <c r="G138" i="8"/>
  <c r="X138" i="8" s="1"/>
  <c r="G138" i="40"/>
  <c r="AC194" i="40"/>
  <c r="AU194" i="40" s="1"/>
  <c r="H137" i="40"/>
  <c r="X137" i="40"/>
  <c r="AM194" i="40" s="1"/>
  <c r="AN194" i="40" s="1"/>
  <c r="V137" i="40"/>
  <c r="K137" i="40"/>
  <c r="AF135" i="40"/>
  <c r="H137" i="6"/>
  <c r="V192" i="39"/>
  <c r="M136" i="39"/>
  <c r="N136" i="39"/>
  <c r="L136" i="39"/>
  <c r="AC194" i="39"/>
  <c r="AU194" i="39" s="1"/>
  <c r="H137" i="39"/>
  <c r="X137" i="39"/>
  <c r="K137" i="39"/>
  <c r="M137" i="39" s="1"/>
  <c r="V137" i="39"/>
  <c r="G138" i="6"/>
  <c r="AC195" i="6" s="1"/>
  <c r="AU195" i="6" s="1"/>
  <c r="G138" i="39"/>
  <c r="AC194" i="6"/>
  <c r="AU194" i="6" s="1"/>
  <c r="AA136" i="39"/>
  <c r="AC136" i="39"/>
  <c r="AA193" i="39"/>
  <c r="AB136" i="39"/>
  <c r="Z136" i="39"/>
  <c r="AI134" i="39"/>
  <c r="AO191" i="39"/>
  <c r="AP191" i="39" s="1"/>
  <c r="AH135" i="39"/>
  <c r="AF135" i="39"/>
  <c r="AF135" i="38"/>
  <c r="AS132" i="38"/>
  <c r="AT132" i="38" s="1"/>
  <c r="AO133" i="38"/>
  <c r="AR133" i="38" s="1"/>
  <c r="AH135" i="38"/>
  <c r="AC136" i="38"/>
  <c r="AA193" i="38"/>
  <c r="AB136" i="38"/>
  <c r="Z136" i="38"/>
  <c r="H137" i="38"/>
  <c r="AC194" i="38"/>
  <c r="AU194" i="38" s="1"/>
  <c r="X137" i="38"/>
  <c r="K137" i="38"/>
  <c r="V137" i="38"/>
  <c r="G138" i="3"/>
  <c r="G138" i="38"/>
  <c r="AI135" i="3"/>
  <c r="E89" i="4" s="1"/>
  <c r="G89" i="4" s="1"/>
  <c r="L136" i="38"/>
  <c r="N136" i="38"/>
  <c r="AI134" i="38"/>
  <c r="AG135" i="38"/>
  <c r="AS131" i="38"/>
  <c r="AT131" i="38" s="1"/>
  <c r="AO191" i="38"/>
  <c r="AP191" i="38" s="1"/>
  <c r="V192" i="38"/>
  <c r="AA136" i="38"/>
  <c r="AM193" i="38"/>
  <c r="AN193" i="38" s="1"/>
  <c r="BH62" i="31"/>
  <c r="CT40" i="31"/>
  <c r="CV40" i="31" s="1"/>
  <c r="AM195" i="8"/>
  <c r="AN195" i="8" s="1"/>
  <c r="R87" i="4"/>
  <c r="V87" i="4" s="1"/>
  <c r="AY190" i="8"/>
  <c r="AK133" i="8"/>
  <c r="AI135" i="8"/>
  <c r="T89" i="4" s="1"/>
  <c r="J27" i="36"/>
  <c r="AE191" i="3"/>
  <c r="AW191" i="3" s="1"/>
  <c r="AH136" i="3"/>
  <c r="C31" i="11"/>
  <c r="D31" i="11" s="1"/>
  <c r="E31" i="11" s="1"/>
  <c r="AM86" i="3"/>
  <c r="AE86" i="3"/>
  <c r="S138" i="8"/>
  <c r="AN85" i="8"/>
  <c r="AA137" i="3"/>
  <c r="AM194" i="3"/>
  <c r="AN194" i="3" s="1"/>
  <c r="G88" i="4"/>
  <c r="CO41" i="31"/>
  <c r="CK42" i="31"/>
  <c r="CR41" i="31"/>
  <c r="AR48" i="31"/>
  <c r="AO48" i="31"/>
  <c r="AQ48" i="31" s="1"/>
  <c r="CL43" i="31" s="1"/>
  <c r="K138" i="6"/>
  <c r="V138" i="6"/>
  <c r="AY45" i="31"/>
  <c r="L137" i="8"/>
  <c r="M137" i="8"/>
  <c r="AH136" i="6"/>
  <c r="M137" i="6"/>
  <c r="R193" i="8"/>
  <c r="B139" i="36"/>
  <c r="D139" i="36" s="1"/>
  <c r="E139" i="36" s="1"/>
  <c r="S193" i="40" s="1"/>
  <c r="T193" i="40" s="1"/>
  <c r="AG136" i="3"/>
  <c r="BK47" i="31"/>
  <c r="BL46" i="31"/>
  <c r="V191" i="3"/>
  <c r="AO191" i="3"/>
  <c r="AP191" i="3" s="1"/>
  <c r="J137" i="36"/>
  <c r="AE191" i="8"/>
  <c r="AW191" i="8" s="1"/>
  <c r="AO190" i="3"/>
  <c r="AP190" i="3" s="1"/>
  <c r="B29" i="36"/>
  <c r="D29" i="36" s="1"/>
  <c r="E29" i="36" s="1"/>
  <c r="S193" i="38" s="1"/>
  <c r="T193" i="38" s="1"/>
  <c r="R193" i="3"/>
  <c r="M137" i="3"/>
  <c r="C133" i="11"/>
  <c r="D133" i="11" s="1"/>
  <c r="E133" i="11" s="1"/>
  <c r="AM86" i="8"/>
  <c r="AE86" i="8"/>
  <c r="R193" i="6"/>
  <c r="B84" i="36"/>
  <c r="D84" i="36" s="1"/>
  <c r="E84" i="36" s="1"/>
  <c r="S193" i="39" s="1"/>
  <c r="T193" i="39" s="1"/>
  <c r="O194" i="6"/>
  <c r="B85" i="43" s="1"/>
  <c r="Y137" i="6"/>
  <c r="X138" i="3"/>
  <c r="V138" i="3"/>
  <c r="AC195" i="3"/>
  <c r="AU195" i="3" s="1"/>
  <c r="K138" i="3"/>
  <c r="L138" i="3" s="1"/>
  <c r="H138" i="3"/>
  <c r="BF34" i="8"/>
  <c r="AN34" i="8"/>
  <c r="BG34" i="8" s="1"/>
  <c r="AB87" i="8"/>
  <c r="Y137" i="8"/>
  <c r="AB137" i="8" s="1"/>
  <c r="O194" i="8"/>
  <c r="B140" i="43" s="1"/>
  <c r="AE39" i="9"/>
  <c r="BF34" i="3"/>
  <c r="AF34" i="3"/>
  <c r="AN34" i="3"/>
  <c r="BG34" i="3" s="1"/>
  <c r="AG34" i="3"/>
  <c r="AC34" i="3"/>
  <c r="AD34" i="3"/>
  <c r="AE34" i="3"/>
  <c r="AB87" i="3"/>
  <c r="BS47" i="31"/>
  <c r="BT46" i="31"/>
  <c r="BV46" i="31" s="1"/>
  <c r="BW46" i="31" s="1"/>
  <c r="BC64" i="31"/>
  <c r="BB65" i="31"/>
  <c r="AL131" i="8"/>
  <c r="AZ188" i="8"/>
  <c r="B126" i="15"/>
  <c r="C126" i="15" s="1"/>
  <c r="AN131" i="8"/>
  <c r="AQ131" i="8" s="1"/>
  <c r="AM131" i="8"/>
  <c r="AP131" i="8" s="1"/>
  <c r="AO131" i="8"/>
  <c r="AR131" i="8" s="1"/>
  <c r="R138" i="6"/>
  <c r="AN85" i="6"/>
  <c r="AA194" i="8"/>
  <c r="Z137" i="8"/>
  <c r="AC137" i="8"/>
  <c r="AA194" i="6"/>
  <c r="AH136" i="8"/>
  <c r="AY190" i="3"/>
  <c r="AK133" i="3"/>
  <c r="C87" i="4"/>
  <c r="I87" i="4"/>
  <c r="BP45" i="31"/>
  <c r="BN45" i="31"/>
  <c r="BO45" i="31" s="1"/>
  <c r="V191" i="6"/>
  <c r="S192" i="6"/>
  <c r="T192" i="6" s="1"/>
  <c r="H83" i="36"/>
  <c r="AE192" i="39" s="1"/>
  <c r="AW192" i="39" s="1"/>
  <c r="Z137" i="3"/>
  <c r="AC137" i="3"/>
  <c r="AA194" i="3"/>
  <c r="AZ188" i="3"/>
  <c r="B26" i="15"/>
  <c r="C26" i="15" s="1"/>
  <c r="J26" i="15" s="1"/>
  <c r="AL131" i="3"/>
  <c r="AO131" i="3"/>
  <c r="AR131" i="3" s="1"/>
  <c r="AM131" i="3"/>
  <c r="AP131" i="3" s="1"/>
  <c r="AN131" i="3"/>
  <c r="AQ131" i="3" s="1"/>
  <c r="V191" i="8"/>
  <c r="AF136" i="3"/>
  <c r="AO190" i="6"/>
  <c r="AP190" i="6" s="1"/>
  <c r="H138" i="36"/>
  <c r="AE192" i="40" s="1"/>
  <c r="AW192" i="40" s="1"/>
  <c r="S192" i="8"/>
  <c r="T192" i="8" s="1"/>
  <c r="AF136" i="6"/>
  <c r="BF34" i="6"/>
  <c r="AN34" i="6"/>
  <c r="BG34" i="6" s="1"/>
  <c r="AB87" i="6"/>
  <c r="AN49" i="31"/>
  <c r="AM50" i="31"/>
  <c r="AZ46" i="31"/>
  <c r="AV46" i="31"/>
  <c r="AW46" i="31"/>
  <c r="AC195" i="8"/>
  <c r="AU195" i="8" s="1"/>
  <c r="H138" i="8"/>
  <c r="V138" i="8"/>
  <c r="K138" i="8"/>
  <c r="L138" i="8" s="1"/>
  <c r="AN85" i="3"/>
  <c r="R138" i="3"/>
  <c r="AG136" i="6"/>
  <c r="M33" i="11"/>
  <c r="AB35" i="8"/>
  <c r="AB35" i="6"/>
  <c r="AB35" i="3"/>
  <c r="B77" i="15"/>
  <c r="C77" i="15" s="1"/>
  <c r="AL132" i="6"/>
  <c r="AZ189" i="6"/>
  <c r="AN132" i="6"/>
  <c r="AQ132" i="6" s="1"/>
  <c r="AM132" i="6"/>
  <c r="AP132" i="6" s="1"/>
  <c r="AO132" i="6"/>
  <c r="AR132" i="6" s="1"/>
  <c r="BI63" i="31"/>
  <c r="BD63" i="31"/>
  <c r="BF63" i="31"/>
  <c r="BE63" i="31"/>
  <c r="X138" i="6"/>
  <c r="AG136" i="8"/>
  <c r="AU47" i="31"/>
  <c r="AT48" i="31"/>
  <c r="Y137" i="3"/>
  <c r="AB137" i="3" s="1"/>
  <c r="O194" i="3"/>
  <c r="B30" i="43" s="1"/>
  <c r="D30" i="43" s="1"/>
  <c r="E30" i="43" s="1"/>
  <c r="H30" i="43" s="1"/>
  <c r="J30" i="43" s="1"/>
  <c r="AL132" i="8"/>
  <c r="B127" i="15"/>
  <c r="C127" i="15" s="1"/>
  <c r="AZ189" i="8"/>
  <c r="AN132" i="8"/>
  <c r="AQ132" i="8" s="1"/>
  <c r="AM132" i="8"/>
  <c r="AP132" i="8" s="1"/>
  <c r="AO132" i="8"/>
  <c r="AR132" i="8" s="1"/>
  <c r="AY190" i="6"/>
  <c r="K87" i="4"/>
  <c r="O87" i="4" s="1"/>
  <c r="AK133" i="6"/>
  <c r="J82" i="36"/>
  <c r="AE191" i="6"/>
  <c r="AW191" i="6" s="1"/>
  <c r="C82" i="11"/>
  <c r="D82" i="11" s="1"/>
  <c r="E82" i="11" s="1"/>
  <c r="AM86" i="6"/>
  <c r="AE86" i="6"/>
  <c r="H28" i="36"/>
  <c r="AE192" i="38" s="1"/>
  <c r="AW192" i="38" s="1"/>
  <c r="S192" i="3"/>
  <c r="T192" i="3" s="1"/>
  <c r="AA137" i="8"/>
  <c r="AL132" i="3"/>
  <c r="AZ189" i="3"/>
  <c r="B27" i="15"/>
  <c r="C27" i="15" s="1"/>
  <c r="J27" i="15" s="1"/>
  <c r="AM132" i="3"/>
  <c r="AP132" i="3" s="1"/>
  <c r="AO132" i="3"/>
  <c r="AR132" i="3" s="1"/>
  <c r="AN132" i="3"/>
  <c r="AQ132" i="3" s="1"/>
  <c r="B76" i="15"/>
  <c r="C76" i="15" s="1"/>
  <c r="AZ188" i="6"/>
  <c r="AL131" i="6"/>
  <c r="AN131" i="6"/>
  <c r="AQ131" i="6" s="1"/>
  <c r="AO131" i="6"/>
  <c r="AR131" i="6" s="1"/>
  <c r="AM131" i="6"/>
  <c r="AP131" i="6" s="1"/>
  <c r="AF136" i="8"/>
  <c r="CC446" i="2"/>
  <c r="CD445" i="2"/>
  <c r="AL133" i="38" l="1"/>
  <c r="AN133" i="38"/>
  <c r="AQ133" i="38" s="1"/>
  <c r="AS133" i="38" s="1"/>
  <c r="AT133" i="38" s="1"/>
  <c r="AZ190" i="38"/>
  <c r="AA137" i="6"/>
  <c r="Z137" i="6"/>
  <c r="N137" i="6"/>
  <c r="AB137" i="6"/>
  <c r="AS131" i="40"/>
  <c r="AT131" i="40" s="1"/>
  <c r="AO191" i="8"/>
  <c r="AP191" i="8" s="1"/>
  <c r="D140" i="43"/>
  <c r="E140" i="43" s="1"/>
  <c r="H140" i="43" s="1"/>
  <c r="J140" i="43" s="1"/>
  <c r="D85" i="43"/>
  <c r="E85" i="43" s="1"/>
  <c r="H85" i="43" s="1"/>
  <c r="J85" i="43" s="1"/>
  <c r="AI135" i="39"/>
  <c r="AE134" i="38"/>
  <c r="AY191" i="38" s="1"/>
  <c r="AE134" i="39"/>
  <c r="AE134" i="40"/>
  <c r="AO133" i="39"/>
  <c r="AR133" i="39" s="1"/>
  <c r="AM133" i="39"/>
  <c r="AP133" i="39" s="1"/>
  <c r="AZ190" i="39"/>
  <c r="AN133" i="39"/>
  <c r="AQ133" i="39" s="1"/>
  <c r="AL133" i="39"/>
  <c r="AE135" i="38"/>
  <c r="AY192" i="38" s="1"/>
  <c r="AE135" i="40"/>
  <c r="AE135" i="39"/>
  <c r="AS132" i="40"/>
  <c r="AT132" i="40" s="1"/>
  <c r="AS131" i="39"/>
  <c r="AT131" i="39" s="1"/>
  <c r="AM133" i="40"/>
  <c r="AP133" i="40" s="1"/>
  <c r="AN133" i="40"/>
  <c r="AQ133" i="40" s="1"/>
  <c r="AO133" i="40"/>
  <c r="AR133" i="40" s="1"/>
  <c r="AZ190" i="40"/>
  <c r="AL133" i="40"/>
  <c r="AS132" i="39"/>
  <c r="AT132" i="39" s="1"/>
  <c r="M137" i="40"/>
  <c r="N137" i="40"/>
  <c r="L137" i="40"/>
  <c r="AA137" i="40"/>
  <c r="AG137" i="40" s="1"/>
  <c r="AA194" i="40"/>
  <c r="AC137" i="40"/>
  <c r="AB137" i="40"/>
  <c r="Z137" i="40"/>
  <c r="AC195" i="40"/>
  <c r="AU195" i="40" s="1"/>
  <c r="X138" i="40"/>
  <c r="H138" i="40"/>
  <c r="K138" i="40"/>
  <c r="M138" i="40" s="1"/>
  <c r="V138" i="40"/>
  <c r="AI135" i="40"/>
  <c r="V193" i="40"/>
  <c r="AF136" i="40"/>
  <c r="AH136" i="40"/>
  <c r="AO192" i="40"/>
  <c r="AP192" i="40" s="1"/>
  <c r="G139" i="8"/>
  <c r="X139" i="8" s="1"/>
  <c r="G139" i="40"/>
  <c r="V193" i="39"/>
  <c r="H138" i="6"/>
  <c r="AA194" i="39"/>
  <c r="AC137" i="39"/>
  <c r="AB137" i="39"/>
  <c r="Z137" i="39"/>
  <c r="G139" i="6"/>
  <c r="X139" i="6" s="1"/>
  <c r="G139" i="39"/>
  <c r="AF136" i="39"/>
  <c r="AC195" i="39"/>
  <c r="AU195" i="39" s="1"/>
  <c r="X138" i="39"/>
  <c r="H138" i="39"/>
  <c r="K138" i="39"/>
  <c r="V138" i="39"/>
  <c r="L137" i="39"/>
  <c r="N137" i="39"/>
  <c r="AH136" i="39"/>
  <c r="AM194" i="39"/>
  <c r="AN194" i="39" s="1"/>
  <c r="AA137" i="39"/>
  <c r="AG137" i="39" s="1"/>
  <c r="AO192" i="39"/>
  <c r="AP192" i="39" s="1"/>
  <c r="AG136" i="39"/>
  <c r="V193" i="38"/>
  <c r="AO192" i="38"/>
  <c r="AP192" i="38" s="1"/>
  <c r="L137" i="38"/>
  <c r="N137" i="38"/>
  <c r="G139" i="3"/>
  <c r="K139" i="3" s="1"/>
  <c r="N139" i="3" s="1"/>
  <c r="G139" i="38"/>
  <c r="AG136" i="38"/>
  <c r="H138" i="38"/>
  <c r="AC195" i="38"/>
  <c r="AU195" i="38" s="1"/>
  <c r="X138" i="38"/>
  <c r="V138" i="38"/>
  <c r="K138" i="38"/>
  <c r="AA137" i="38"/>
  <c r="AM194" i="38"/>
  <c r="AN194" i="38" s="1"/>
  <c r="AF136" i="38"/>
  <c r="M137" i="38"/>
  <c r="AH136" i="38"/>
  <c r="AI135" i="38"/>
  <c r="AA194" i="38"/>
  <c r="AC137" i="38"/>
  <c r="AB137" i="38"/>
  <c r="Z137" i="38"/>
  <c r="CT41" i="31"/>
  <c r="CV41" i="31" s="1"/>
  <c r="BH63" i="31"/>
  <c r="AM196" i="8"/>
  <c r="AN196" i="8" s="1"/>
  <c r="I76" i="15"/>
  <c r="E76" i="15"/>
  <c r="J76" i="15"/>
  <c r="F76" i="15"/>
  <c r="AE135" i="8"/>
  <c r="AE135" i="3"/>
  <c r="AE135" i="6"/>
  <c r="AM51" i="31"/>
  <c r="AN50" i="31"/>
  <c r="S193" i="3"/>
  <c r="T193" i="3" s="1"/>
  <c r="H29" i="36"/>
  <c r="AE193" i="38" s="1"/>
  <c r="AW193" i="38" s="1"/>
  <c r="M138" i="6"/>
  <c r="L138" i="6"/>
  <c r="AG137" i="3"/>
  <c r="V139" i="3"/>
  <c r="I26" i="15"/>
  <c r="E26" i="15"/>
  <c r="F26" i="15"/>
  <c r="E126" i="15"/>
  <c r="J126" i="15"/>
  <c r="F126" i="15"/>
  <c r="I126" i="15"/>
  <c r="B140" i="36"/>
  <c r="D140" i="36" s="1"/>
  <c r="E140" i="36" s="1"/>
  <c r="S194" i="40" s="1"/>
  <c r="T194" i="40" s="1"/>
  <c r="R194" i="8"/>
  <c r="AH137" i="6"/>
  <c r="V192" i="3"/>
  <c r="AO191" i="6"/>
  <c r="AP191" i="6" s="1"/>
  <c r="N138" i="8"/>
  <c r="AN86" i="3"/>
  <c r="R139" i="3"/>
  <c r="M138" i="3"/>
  <c r="E27" i="15"/>
  <c r="I27" i="15"/>
  <c r="F27" i="15"/>
  <c r="R139" i="6"/>
  <c r="AN86" i="6"/>
  <c r="R194" i="3"/>
  <c r="B30" i="36"/>
  <c r="D30" i="36" s="1"/>
  <c r="E30" i="36" s="1"/>
  <c r="S194" i="38" s="1"/>
  <c r="T194" i="38" s="1"/>
  <c r="AE40" i="9"/>
  <c r="BF35" i="3"/>
  <c r="AE35" i="3"/>
  <c r="AG35" i="3"/>
  <c r="AN35" i="3"/>
  <c r="BG35" i="3" s="1"/>
  <c r="AC35" i="3"/>
  <c r="AD35" i="3"/>
  <c r="AF35" i="3"/>
  <c r="AB88" i="3"/>
  <c r="AF137" i="8"/>
  <c r="BF35" i="6"/>
  <c r="AN35" i="6"/>
  <c r="BG35" i="6" s="1"/>
  <c r="AB88" i="6"/>
  <c r="AR49" i="31"/>
  <c r="AO49" i="31"/>
  <c r="AQ49" i="31" s="1"/>
  <c r="CL44" i="31" s="1"/>
  <c r="G45" i="31" s="1"/>
  <c r="AS131" i="3"/>
  <c r="AT131" i="3" s="1"/>
  <c r="AF137" i="3"/>
  <c r="AH137" i="8"/>
  <c r="R194" i="6"/>
  <c r="B85" i="36"/>
  <c r="D85" i="36" s="1"/>
  <c r="E85" i="36" s="1"/>
  <c r="S194" i="39" s="1"/>
  <c r="T194" i="39" s="1"/>
  <c r="S139" i="8"/>
  <c r="AN86" i="8"/>
  <c r="AI136" i="3"/>
  <c r="E90" i="4" s="1"/>
  <c r="AE192" i="3"/>
  <c r="AW192" i="3" s="1"/>
  <c r="J28" i="36"/>
  <c r="J127" i="15"/>
  <c r="E127" i="15"/>
  <c r="I127" i="15"/>
  <c r="F127" i="15"/>
  <c r="BF35" i="8"/>
  <c r="AN35" i="8"/>
  <c r="BG35" i="8" s="1"/>
  <c r="AB88" i="8"/>
  <c r="N138" i="3"/>
  <c r="AA195" i="8"/>
  <c r="Z138" i="8"/>
  <c r="AC138" i="8"/>
  <c r="AY46" i="31"/>
  <c r="C83" i="11"/>
  <c r="D83" i="11" s="1"/>
  <c r="E83" i="11" s="1"/>
  <c r="AM87" i="6"/>
  <c r="AE87" i="6"/>
  <c r="J138" i="36"/>
  <c r="AE192" i="8"/>
  <c r="AW192" i="8" s="1"/>
  <c r="J83" i="36"/>
  <c r="AE192" i="6"/>
  <c r="AW192" i="6" s="1"/>
  <c r="AZ190" i="3"/>
  <c r="AL133" i="3"/>
  <c r="B28" i="15"/>
  <c r="C28" i="15" s="1"/>
  <c r="J28" i="15" s="1"/>
  <c r="AO133" i="3"/>
  <c r="AR133" i="3" s="1"/>
  <c r="AM133" i="3"/>
  <c r="AP133" i="3" s="1"/>
  <c r="AN133" i="3"/>
  <c r="AQ133" i="3" s="1"/>
  <c r="N138" i="6"/>
  <c r="AS131" i="8"/>
  <c r="AT131" i="8" s="1"/>
  <c r="BS48" i="31"/>
  <c r="BT47" i="31"/>
  <c r="BV47" i="31" s="1"/>
  <c r="BW47" i="31" s="1"/>
  <c r="M138" i="8"/>
  <c r="Z138" i="3"/>
  <c r="AA195" i="3"/>
  <c r="AC138" i="3"/>
  <c r="H84" i="36"/>
  <c r="AE193" i="39" s="1"/>
  <c r="AW193" i="39" s="1"/>
  <c r="S193" i="6"/>
  <c r="T193" i="6" s="1"/>
  <c r="BP46" i="31"/>
  <c r="BN46" i="31"/>
  <c r="BO46" i="31" s="1"/>
  <c r="H139" i="36"/>
  <c r="AE193" i="40" s="1"/>
  <c r="AW193" i="40" s="1"/>
  <c r="S193" i="8"/>
  <c r="T193" i="8" s="1"/>
  <c r="CR42" i="31"/>
  <c r="CK43" i="31"/>
  <c r="CO42" i="31"/>
  <c r="AE134" i="6"/>
  <c r="AE134" i="3"/>
  <c r="AE134" i="8"/>
  <c r="AL133" i="8"/>
  <c r="AZ190" i="8"/>
  <c r="B128" i="15"/>
  <c r="C128" i="15" s="1"/>
  <c r="AO133" i="8"/>
  <c r="AR133" i="8" s="1"/>
  <c r="AN133" i="8"/>
  <c r="AQ133" i="8" s="1"/>
  <c r="AM133" i="8"/>
  <c r="AP133" i="8" s="1"/>
  <c r="AG137" i="6"/>
  <c r="Y138" i="6"/>
  <c r="AB138" i="6" s="1"/>
  <c r="O195" i="6"/>
  <c r="B86" i="43" s="1"/>
  <c r="BI64" i="31"/>
  <c r="BF64" i="31"/>
  <c r="BE64" i="31"/>
  <c r="BD64" i="31"/>
  <c r="AM196" i="6"/>
  <c r="AN196" i="6" s="1"/>
  <c r="AH137" i="3"/>
  <c r="AA138" i="6"/>
  <c r="AM195" i="6"/>
  <c r="AN195" i="6" s="1"/>
  <c r="AO192" i="8"/>
  <c r="AP192" i="8" s="1"/>
  <c r="V192" i="8"/>
  <c r="K139" i="8"/>
  <c r="N139" i="8" s="1"/>
  <c r="H139" i="8"/>
  <c r="AC196" i="8"/>
  <c r="AU196" i="8" s="1"/>
  <c r="V139" i="8"/>
  <c r="AI136" i="8"/>
  <c r="T90" i="4" s="1"/>
  <c r="AL133" i="6"/>
  <c r="B78" i="15"/>
  <c r="C78" i="15" s="1"/>
  <c r="AZ190" i="6"/>
  <c r="AN133" i="6"/>
  <c r="AQ133" i="6" s="1"/>
  <c r="AO133" i="6"/>
  <c r="AR133" i="6" s="1"/>
  <c r="AM133" i="6"/>
  <c r="AP133" i="6" s="1"/>
  <c r="AT49" i="31"/>
  <c r="AU48" i="31"/>
  <c r="AS131" i="6"/>
  <c r="AT131" i="6" s="1"/>
  <c r="AS132" i="3"/>
  <c r="AT132" i="3" s="1"/>
  <c r="AG137" i="8"/>
  <c r="AC196" i="6"/>
  <c r="AU196" i="6" s="1"/>
  <c r="H139" i="6"/>
  <c r="K139" i="6"/>
  <c r="N139" i="6" s="1"/>
  <c r="V139" i="6"/>
  <c r="AA139" i="6" s="1"/>
  <c r="AS132" i="8"/>
  <c r="AT132" i="8" s="1"/>
  <c r="AZ47" i="31"/>
  <c r="AW47" i="31"/>
  <c r="AV47" i="31"/>
  <c r="AS132" i="6"/>
  <c r="AT132" i="6" s="1"/>
  <c r="J77" i="15"/>
  <c r="E77" i="15"/>
  <c r="F77" i="15"/>
  <c r="I77" i="15"/>
  <c r="AB36" i="3"/>
  <c r="AB36" i="8"/>
  <c r="AB36" i="6"/>
  <c r="M34" i="11"/>
  <c r="O195" i="3"/>
  <c r="B31" i="43" s="1"/>
  <c r="Y138" i="3"/>
  <c r="AB138" i="3" s="1"/>
  <c r="AI136" i="6"/>
  <c r="M90" i="4" s="1"/>
  <c r="V192" i="6"/>
  <c r="AO192" i="6"/>
  <c r="AP192" i="6" s="1"/>
  <c r="AF137" i="6"/>
  <c r="BC65" i="31"/>
  <c r="BB66" i="31"/>
  <c r="C32" i="11"/>
  <c r="D32" i="11" s="1"/>
  <c r="E32" i="11" s="1"/>
  <c r="AM87" i="3"/>
  <c r="AE87" i="3"/>
  <c r="C134" i="11"/>
  <c r="D134" i="11" s="1"/>
  <c r="E134" i="11" s="1"/>
  <c r="AM87" i="8"/>
  <c r="AE87" i="8"/>
  <c r="AA138" i="3"/>
  <c r="AG138" i="3" s="1"/>
  <c r="AM195" i="3"/>
  <c r="AN195" i="3" s="1"/>
  <c r="BL47" i="31"/>
  <c r="BK48" i="31"/>
  <c r="AC138" i="6"/>
  <c r="AA195" i="6"/>
  <c r="Z138" i="6"/>
  <c r="Y138" i="8"/>
  <c r="AB138" i="8" s="1"/>
  <c r="O195" i="8"/>
  <c r="B141" i="43" s="1"/>
  <c r="D141" i="43" s="1"/>
  <c r="E141" i="43" s="1"/>
  <c r="H141" i="43" s="1"/>
  <c r="J141" i="43" s="1"/>
  <c r="X139" i="3"/>
  <c r="AA138" i="8"/>
  <c r="CC447" i="2"/>
  <c r="CD446" i="2"/>
  <c r="AK134" i="38" l="1"/>
  <c r="AO134" i="38" s="1"/>
  <c r="AR134" i="38" s="1"/>
  <c r="AK135" i="38"/>
  <c r="AL135" i="38" s="1"/>
  <c r="D86" i="43"/>
  <c r="E86" i="43" s="1"/>
  <c r="H86" i="43" s="1"/>
  <c r="J86" i="43" s="1"/>
  <c r="D31" i="43"/>
  <c r="E31" i="43" s="1"/>
  <c r="H31" i="43" s="1"/>
  <c r="J31" i="43" s="1"/>
  <c r="AS133" i="40"/>
  <c r="AT133" i="40" s="1"/>
  <c r="AI136" i="39"/>
  <c r="AY192" i="39"/>
  <c r="AK135" i="39"/>
  <c r="AY191" i="40"/>
  <c r="AK134" i="40"/>
  <c r="AY192" i="40"/>
  <c r="AK135" i="40"/>
  <c r="AY191" i="39"/>
  <c r="AK134" i="39"/>
  <c r="AS133" i="39"/>
  <c r="AT133" i="39" s="1"/>
  <c r="G140" i="8"/>
  <c r="X140" i="8" s="1"/>
  <c r="AM197" i="8" s="1"/>
  <c r="AN197" i="8" s="1"/>
  <c r="G140" i="40"/>
  <c r="AI137" i="8"/>
  <c r="T91" i="4" s="1"/>
  <c r="AI136" i="40"/>
  <c r="L138" i="40"/>
  <c r="N138" i="40"/>
  <c r="AF137" i="40"/>
  <c r="V194" i="40"/>
  <c r="AA138" i="40"/>
  <c r="AM195" i="40"/>
  <c r="AN195" i="40" s="1"/>
  <c r="AH137" i="40"/>
  <c r="AC196" i="40"/>
  <c r="AU196" i="40" s="1"/>
  <c r="X139" i="40"/>
  <c r="H139" i="40"/>
  <c r="K139" i="40"/>
  <c r="M139" i="40" s="1"/>
  <c r="V139" i="40"/>
  <c r="AO193" i="40"/>
  <c r="AP193" i="40" s="1"/>
  <c r="AA195" i="40"/>
  <c r="AC138" i="40"/>
  <c r="AB138" i="40"/>
  <c r="Z138" i="40"/>
  <c r="AA138" i="39"/>
  <c r="AM195" i="39"/>
  <c r="AN195" i="39" s="1"/>
  <c r="AC196" i="39"/>
  <c r="AU196" i="39" s="1"/>
  <c r="H139" i="39"/>
  <c r="X139" i="39"/>
  <c r="K139" i="39"/>
  <c r="M139" i="39" s="1"/>
  <c r="V139" i="39"/>
  <c r="AA195" i="39"/>
  <c r="AC138" i="39"/>
  <c r="AB138" i="39"/>
  <c r="Z138" i="39"/>
  <c r="V194" i="39"/>
  <c r="M138" i="39"/>
  <c r="N138" i="39"/>
  <c r="L138" i="39"/>
  <c r="AF137" i="39"/>
  <c r="AO193" i="39"/>
  <c r="AP193" i="39" s="1"/>
  <c r="G140" i="6"/>
  <c r="X140" i="6" s="1"/>
  <c r="G140" i="39"/>
  <c r="AH137" i="39"/>
  <c r="AI137" i="39" s="1"/>
  <c r="AC196" i="3"/>
  <c r="AU196" i="3" s="1"/>
  <c r="AS133" i="6"/>
  <c r="AT133" i="6" s="1"/>
  <c r="V194" i="38"/>
  <c r="H139" i="3"/>
  <c r="AH137" i="38"/>
  <c r="AZ192" i="38"/>
  <c r="AO135" i="38"/>
  <c r="AR135" i="38" s="1"/>
  <c r="AN135" i="38"/>
  <c r="AQ135" i="38" s="1"/>
  <c r="AI136" i="38"/>
  <c r="L138" i="38"/>
  <c r="N138" i="38"/>
  <c r="AC196" i="38"/>
  <c r="AU196" i="38" s="1"/>
  <c r="X139" i="38"/>
  <c r="H139" i="38"/>
  <c r="K139" i="38"/>
  <c r="V139" i="38"/>
  <c r="G140" i="3"/>
  <c r="X140" i="3" s="1"/>
  <c r="AM197" i="3" s="1"/>
  <c r="AN197" i="3" s="1"/>
  <c r="G140" i="38"/>
  <c r="AA195" i="38"/>
  <c r="AC138" i="38"/>
  <c r="AB138" i="38"/>
  <c r="Z138" i="38"/>
  <c r="AL134" i="38"/>
  <c r="AZ191" i="38"/>
  <c r="AN134" i="38"/>
  <c r="AQ134" i="38" s="1"/>
  <c r="M138" i="38"/>
  <c r="AO193" i="38"/>
  <c r="AP193" i="38" s="1"/>
  <c r="AF137" i="38"/>
  <c r="AG137" i="38"/>
  <c r="AA138" i="38"/>
  <c r="AM195" i="38"/>
  <c r="AN195" i="38" s="1"/>
  <c r="AY47" i="31"/>
  <c r="J139" i="36"/>
  <c r="AE193" i="8"/>
  <c r="AW193" i="8" s="1"/>
  <c r="J84" i="36"/>
  <c r="AE193" i="6"/>
  <c r="AW193" i="6" s="1"/>
  <c r="AF138" i="3"/>
  <c r="C135" i="11"/>
  <c r="D135" i="11" s="1"/>
  <c r="E135" i="11" s="1"/>
  <c r="AM88" i="8"/>
  <c r="AE88" i="8"/>
  <c r="O196" i="8"/>
  <c r="B142" i="43" s="1"/>
  <c r="D142" i="43" s="1"/>
  <c r="E142" i="43" s="1"/>
  <c r="H142" i="43" s="1"/>
  <c r="J142" i="43" s="1"/>
  <c r="Y139" i="8"/>
  <c r="AB139" i="8" s="1"/>
  <c r="AA196" i="3"/>
  <c r="Z139" i="3"/>
  <c r="AC139" i="3"/>
  <c r="AI137" i="3"/>
  <c r="E91" i="4" s="1"/>
  <c r="V193" i="3"/>
  <c r="AY192" i="3"/>
  <c r="AK135" i="3"/>
  <c r="C89" i="4"/>
  <c r="I89" i="4"/>
  <c r="F78" i="15"/>
  <c r="E78" i="15"/>
  <c r="I78" i="15"/>
  <c r="J78" i="15"/>
  <c r="AH138" i="6"/>
  <c r="H140" i="8"/>
  <c r="V140" i="8"/>
  <c r="M35" i="11"/>
  <c r="AB37" i="8"/>
  <c r="AB37" i="6"/>
  <c r="AB37" i="3"/>
  <c r="AG139" i="6"/>
  <c r="R88" i="4"/>
  <c r="V88" i="4" s="1"/>
  <c r="AY191" i="8"/>
  <c r="AK134" i="8"/>
  <c r="CK44" i="31"/>
  <c r="CR43" i="31"/>
  <c r="CO43" i="31"/>
  <c r="I28" i="15"/>
  <c r="F28" i="15"/>
  <c r="E28" i="15"/>
  <c r="AM197" i="6"/>
  <c r="AN197" i="6" s="1"/>
  <c r="AC197" i="6"/>
  <c r="AU197" i="6" s="1"/>
  <c r="H140" i="6"/>
  <c r="V140" i="6"/>
  <c r="K140" i="6"/>
  <c r="N140" i="6" s="1"/>
  <c r="AF138" i="8"/>
  <c r="C33" i="11"/>
  <c r="D33" i="11" s="1"/>
  <c r="E33" i="11" s="1"/>
  <c r="AM88" i="3"/>
  <c r="AE88" i="3"/>
  <c r="Y139" i="6"/>
  <c r="AB139" i="6" s="1"/>
  <c r="O196" i="6"/>
  <c r="B87" i="43" s="1"/>
  <c r="O196" i="3"/>
  <c r="B32" i="43" s="1"/>
  <c r="Y139" i="3"/>
  <c r="AB139" i="3" s="1"/>
  <c r="AO192" i="3"/>
  <c r="AP192" i="3" s="1"/>
  <c r="AR50" i="31"/>
  <c r="AO50" i="31"/>
  <c r="AQ50" i="31" s="1"/>
  <c r="CL45" i="31" s="1"/>
  <c r="G46" i="31" s="1"/>
  <c r="AY192" i="8"/>
  <c r="R89" i="4"/>
  <c r="V89" i="4" s="1"/>
  <c r="AK135" i="8"/>
  <c r="AN87" i="3"/>
  <c r="R140" i="3"/>
  <c r="BB67" i="31"/>
  <c r="BC66" i="31"/>
  <c r="B31" i="36"/>
  <c r="D31" i="36" s="1"/>
  <c r="E31" i="36" s="1"/>
  <c r="S195" i="38" s="1"/>
  <c r="T195" i="38" s="1"/>
  <c r="R195" i="3"/>
  <c r="AA139" i="3"/>
  <c r="AM196" i="3"/>
  <c r="AN196" i="3" s="1"/>
  <c r="BP47" i="31"/>
  <c r="BN47" i="31"/>
  <c r="BO47" i="31" s="1"/>
  <c r="BI65" i="31"/>
  <c r="BF65" i="31"/>
  <c r="BE65" i="31"/>
  <c r="BD65" i="31"/>
  <c r="B141" i="36"/>
  <c r="D141" i="36" s="1"/>
  <c r="E141" i="36" s="1"/>
  <c r="S195" i="40" s="1"/>
  <c r="T195" i="40" s="1"/>
  <c r="R195" i="8"/>
  <c r="AN36" i="6"/>
  <c r="BG36" i="6" s="1"/>
  <c r="BF36" i="6"/>
  <c r="AB89" i="6"/>
  <c r="AZ48" i="31"/>
  <c r="AV48" i="31"/>
  <c r="AW48" i="31"/>
  <c r="L139" i="8"/>
  <c r="M139" i="8"/>
  <c r="AG138" i="6"/>
  <c r="F128" i="15"/>
  <c r="I128" i="15"/>
  <c r="E128" i="15"/>
  <c r="J128" i="15"/>
  <c r="AY191" i="3"/>
  <c r="AK134" i="3"/>
  <c r="C88" i="4"/>
  <c r="I88" i="4"/>
  <c r="AN87" i="6"/>
  <c r="R140" i="6"/>
  <c r="G90" i="4"/>
  <c r="S194" i="6"/>
  <c r="T194" i="6" s="1"/>
  <c r="H85" i="36"/>
  <c r="AE194" i="39" s="1"/>
  <c r="AW194" i="39" s="1"/>
  <c r="H30" i="36"/>
  <c r="AE194" i="38" s="1"/>
  <c r="AW194" i="38" s="1"/>
  <c r="S194" i="3"/>
  <c r="T194" i="3" s="1"/>
  <c r="S194" i="8"/>
  <c r="T194" i="8" s="1"/>
  <c r="H140" i="36"/>
  <c r="AE194" i="40" s="1"/>
  <c r="AW194" i="40" s="1"/>
  <c r="AM52" i="31"/>
  <c r="AN51" i="31"/>
  <c r="AG138" i="8"/>
  <c r="BK49" i="31"/>
  <c r="BL48" i="31"/>
  <c r="AE41" i="9"/>
  <c r="BF36" i="3"/>
  <c r="AD36" i="3"/>
  <c r="AG36" i="3"/>
  <c r="AN36" i="3"/>
  <c r="BG36" i="3" s="1"/>
  <c r="AE36" i="3"/>
  <c r="AF36" i="3"/>
  <c r="AC36" i="3"/>
  <c r="AB89" i="3"/>
  <c r="AF138" i="6"/>
  <c r="AN87" i="8"/>
  <c r="S140" i="8"/>
  <c r="Z139" i="6"/>
  <c r="AC139" i="6"/>
  <c r="AA196" i="6"/>
  <c r="CT42" i="31"/>
  <c r="CV42" i="31" s="1"/>
  <c r="AH138" i="8"/>
  <c r="H140" i="3"/>
  <c r="V140" i="3"/>
  <c r="AA140" i="3" s="1"/>
  <c r="AI137" i="6"/>
  <c r="M91" i="4" s="1"/>
  <c r="AH138" i="3"/>
  <c r="BF36" i="8"/>
  <c r="AN36" i="8"/>
  <c r="BG36" i="8" s="1"/>
  <c r="AB89" i="8"/>
  <c r="L139" i="6"/>
  <c r="M139" i="6"/>
  <c r="AU49" i="31"/>
  <c r="AT50" i="31"/>
  <c r="AA196" i="8"/>
  <c r="AC139" i="8"/>
  <c r="Z139" i="8"/>
  <c r="BH64" i="31"/>
  <c r="R195" i="6"/>
  <c r="B86" i="36"/>
  <c r="D86" i="36" s="1"/>
  <c r="E86" i="36" s="1"/>
  <c r="S195" i="39" s="1"/>
  <c r="T195" i="39" s="1"/>
  <c r="AS133" i="8"/>
  <c r="AT133" i="8" s="1"/>
  <c r="AY191" i="6"/>
  <c r="K88" i="4"/>
  <c r="O88" i="4" s="1"/>
  <c r="AK134" i="6"/>
  <c r="V193" i="8"/>
  <c r="V193" i="6"/>
  <c r="BS49" i="31"/>
  <c r="BT48" i="31"/>
  <c r="BV48" i="31" s="1"/>
  <c r="BW48" i="31" s="1"/>
  <c r="BX48" i="31" s="1"/>
  <c r="AS133" i="3"/>
  <c r="AT133" i="3" s="1"/>
  <c r="C84" i="11"/>
  <c r="D84" i="11" s="1"/>
  <c r="E84" i="11" s="1"/>
  <c r="AM88" i="6"/>
  <c r="AE88" i="6"/>
  <c r="M139" i="3"/>
  <c r="L139" i="3"/>
  <c r="AE193" i="3"/>
  <c r="AW193" i="3" s="1"/>
  <c r="J29" i="36"/>
  <c r="K89" i="4"/>
  <c r="O89" i="4" s="1"/>
  <c r="AY192" i="6"/>
  <c r="AK135" i="6"/>
  <c r="AA139" i="8"/>
  <c r="CC448" i="2"/>
  <c r="CD447" i="2"/>
  <c r="AM134" i="38" l="1"/>
  <c r="AP134" i="38" s="1"/>
  <c r="AM135" i="38"/>
  <c r="AP135" i="38" s="1"/>
  <c r="D87" i="43"/>
  <c r="E87" i="43" s="1"/>
  <c r="H87" i="43" s="1"/>
  <c r="J87" i="43" s="1"/>
  <c r="D32" i="43"/>
  <c r="E32" i="43" s="1"/>
  <c r="H32" i="43" s="1"/>
  <c r="J32" i="43" s="1"/>
  <c r="AO193" i="8"/>
  <c r="AP193" i="8" s="1"/>
  <c r="AO193" i="6"/>
  <c r="AP193" i="6" s="1"/>
  <c r="AM134" i="39"/>
  <c r="AP134" i="39" s="1"/>
  <c r="AZ191" i="39"/>
  <c r="AN134" i="39"/>
  <c r="AQ134" i="39" s="1"/>
  <c r="AO134" i="39"/>
  <c r="AR134" i="39" s="1"/>
  <c r="AL134" i="39"/>
  <c r="AO134" i="40"/>
  <c r="AR134" i="40" s="1"/>
  <c r="AN134" i="40"/>
  <c r="AQ134" i="40" s="1"/>
  <c r="AM134" i="40"/>
  <c r="AP134" i="40" s="1"/>
  <c r="AZ191" i="40"/>
  <c r="AL134" i="40"/>
  <c r="AL135" i="40"/>
  <c r="AZ192" i="40"/>
  <c r="AO135" i="40"/>
  <c r="AR135" i="40" s="1"/>
  <c r="AN135" i="40"/>
  <c r="AQ135" i="40" s="1"/>
  <c r="AM135" i="40"/>
  <c r="AP135" i="40" s="1"/>
  <c r="AN135" i="39"/>
  <c r="AQ135" i="39" s="1"/>
  <c r="AM135" i="39"/>
  <c r="AP135" i="39" s="1"/>
  <c r="AZ192" i="39"/>
  <c r="AO135" i="39"/>
  <c r="AR135" i="39" s="1"/>
  <c r="AL135" i="39"/>
  <c r="AE136" i="38"/>
  <c r="AK136" i="38" s="1"/>
  <c r="AE136" i="40"/>
  <c r="AE136" i="39"/>
  <c r="G141" i="8"/>
  <c r="V141" i="8" s="1"/>
  <c r="G141" i="40"/>
  <c r="V195" i="40"/>
  <c r="AC197" i="8"/>
  <c r="AU197" i="8" s="1"/>
  <c r="AA139" i="40"/>
  <c r="AM196" i="40"/>
  <c r="AN196" i="40" s="1"/>
  <c r="AI137" i="40"/>
  <c r="K140" i="8"/>
  <c r="AF138" i="40"/>
  <c r="AA196" i="40"/>
  <c r="AC139" i="40"/>
  <c r="AB139" i="40"/>
  <c r="Z139" i="40"/>
  <c r="AG138" i="40"/>
  <c r="AO194" i="40"/>
  <c r="AP194" i="40" s="1"/>
  <c r="AH138" i="40"/>
  <c r="N139" i="40"/>
  <c r="L139" i="40"/>
  <c r="AC197" i="40"/>
  <c r="AU197" i="40" s="1"/>
  <c r="H140" i="40"/>
  <c r="X140" i="40"/>
  <c r="K140" i="40"/>
  <c r="M140" i="40" s="1"/>
  <c r="V140" i="40"/>
  <c r="AO194" i="39"/>
  <c r="AP194" i="39" s="1"/>
  <c r="Z139" i="39"/>
  <c r="AA196" i="39"/>
  <c r="AC139" i="39"/>
  <c r="AB139" i="39"/>
  <c r="L139" i="39"/>
  <c r="N139" i="39"/>
  <c r="V195" i="39"/>
  <c r="AF138" i="39"/>
  <c r="G141" i="6"/>
  <c r="X141" i="6" s="1"/>
  <c r="AM198" i="6" s="1"/>
  <c r="AN198" i="6" s="1"/>
  <c r="G141" i="39"/>
  <c r="AC197" i="39"/>
  <c r="AU197" i="39" s="1"/>
  <c r="H140" i="39"/>
  <c r="X140" i="39"/>
  <c r="V140" i="39"/>
  <c r="K140" i="39"/>
  <c r="AH138" i="39"/>
  <c r="AA139" i="39"/>
  <c r="AM196" i="39"/>
  <c r="AN196" i="39" s="1"/>
  <c r="AG138" i="39"/>
  <c r="AC197" i="3"/>
  <c r="AU197" i="3" s="1"/>
  <c r="AS135" i="38"/>
  <c r="AT135" i="38" s="1"/>
  <c r="K140" i="3"/>
  <c r="N140" i="3" s="1"/>
  <c r="V195" i="38"/>
  <c r="AS134" i="38"/>
  <c r="AT134" i="38" s="1"/>
  <c r="AA139" i="38"/>
  <c r="AM196" i="38"/>
  <c r="AN196" i="38" s="1"/>
  <c r="AG138" i="38"/>
  <c r="AA196" i="38"/>
  <c r="AC139" i="38"/>
  <c r="AB139" i="38"/>
  <c r="Z139" i="38"/>
  <c r="G141" i="3"/>
  <c r="X141" i="3" s="1"/>
  <c r="AM198" i="3" s="1"/>
  <c r="AN198" i="3" s="1"/>
  <c r="G141" i="38"/>
  <c r="AF138" i="38"/>
  <c r="M139" i="38"/>
  <c r="N139" i="38"/>
  <c r="L139" i="38"/>
  <c r="AO194" i="38"/>
  <c r="AP194" i="38" s="1"/>
  <c r="AH138" i="38"/>
  <c r="AC197" i="38"/>
  <c r="AU197" i="38" s="1"/>
  <c r="H140" i="38"/>
  <c r="X140" i="38"/>
  <c r="K140" i="38"/>
  <c r="M140" i="38" s="1"/>
  <c r="V140" i="38"/>
  <c r="AI137" i="38"/>
  <c r="BH65" i="31"/>
  <c r="AG140" i="3"/>
  <c r="AE136" i="8"/>
  <c r="AE136" i="3"/>
  <c r="AE136" i="6"/>
  <c r="B32" i="36"/>
  <c r="D32" i="36" s="1"/>
  <c r="E32" i="36" s="1"/>
  <c r="S196" i="38" s="1"/>
  <c r="T196" i="38" s="1"/>
  <c r="R196" i="3"/>
  <c r="AA197" i="6"/>
  <c r="Z140" i="6"/>
  <c r="AC140" i="6"/>
  <c r="AE42" i="9"/>
  <c r="BF37" i="3"/>
  <c r="AC37" i="3"/>
  <c r="AG37" i="3"/>
  <c r="AN37" i="3"/>
  <c r="BG37" i="3" s="1"/>
  <c r="AF37" i="3"/>
  <c r="AD37" i="3"/>
  <c r="AE37" i="3"/>
  <c r="AB90" i="3"/>
  <c r="AZ192" i="3"/>
  <c r="B30" i="15"/>
  <c r="C30" i="15" s="1"/>
  <c r="J30" i="15" s="1"/>
  <c r="AL135" i="3"/>
  <c r="AN135" i="3"/>
  <c r="AQ135" i="3" s="1"/>
  <c r="AO135" i="3"/>
  <c r="AR135" i="3" s="1"/>
  <c r="AM135" i="3"/>
  <c r="AP135" i="3" s="1"/>
  <c r="G91" i="4"/>
  <c r="AN88" i="8"/>
  <c r="S141" i="8"/>
  <c r="H141" i="8"/>
  <c r="K141" i="8"/>
  <c r="L141" i="8" s="1"/>
  <c r="BK50" i="31"/>
  <c r="BL49" i="31"/>
  <c r="S195" i="8"/>
  <c r="T195" i="8" s="1"/>
  <c r="H141" i="36"/>
  <c r="AE195" i="40" s="1"/>
  <c r="AW195" i="40" s="1"/>
  <c r="BI66" i="31"/>
  <c r="BE66" i="31"/>
  <c r="BD66" i="31"/>
  <c r="BF66" i="31"/>
  <c r="R141" i="3"/>
  <c r="AN88" i="3"/>
  <c r="B87" i="36"/>
  <c r="R196" i="6"/>
  <c r="CT43" i="31"/>
  <c r="CV43" i="31" s="1"/>
  <c r="AN37" i="6"/>
  <c r="BG37" i="6" s="1"/>
  <c r="BF37" i="6"/>
  <c r="AB90" i="6"/>
  <c r="AA140" i="8"/>
  <c r="AC140" i="8"/>
  <c r="AA197" i="8"/>
  <c r="Z140" i="8"/>
  <c r="AH139" i="8"/>
  <c r="AA140" i="6"/>
  <c r="AM53" i="31"/>
  <c r="AN52" i="31"/>
  <c r="AU50" i="31"/>
  <c r="AT51" i="31"/>
  <c r="C136" i="11"/>
  <c r="D136" i="11" s="1"/>
  <c r="E136" i="11" s="1"/>
  <c r="AM89" i="8"/>
  <c r="AE89" i="8"/>
  <c r="J85" i="36"/>
  <c r="AE194" i="6"/>
  <c r="AW194" i="6" s="1"/>
  <c r="AI138" i="6"/>
  <c r="M92" i="4" s="1"/>
  <c r="AY48" i="31"/>
  <c r="AG139" i="3"/>
  <c r="BC67" i="31"/>
  <c r="BB68" i="31"/>
  <c r="AL135" i="8"/>
  <c r="AZ192" i="8"/>
  <c r="B130" i="15"/>
  <c r="C130" i="15" s="1"/>
  <c r="AM135" i="8"/>
  <c r="AP135" i="8" s="1"/>
  <c r="AN135" i="8"/>
  <c r="AQ135" i="8" s="1"/>
  <c r="AO135" i="8"/>
  <c r="AR135" i="8" s="1"/>
  <c r="AL135" i="6"/>
  <c r="B80" i="15"/>
  <c r="C80" i="15" s="1"/>
  <c r="AZ192" i="6"/>
  <c r="AN135" i="6"/>
  <c r="AQ135" i="6" s="1"/>
  <c r="AM135" i="6"/>
  <c r="AP135" i="6" s="1"/>
  <c r="AO135" i="6"/>
  <c r="AR135" i="6" s="1"/>
  <c r="AN88" i="6"/>
  <c r="R141" i="6"/>
  <c r="H141" i="6"/>
  <c r="AC198" i="6"/>
  <c r="AU198" i="6" s="1"/>
  <c r="K141" i="6"/>
  <c r="N141" i="6" s="1"/>
  <c r="V141" i="6"/>
  <c r="B79" i="15"/>
  <c r="C79" i="15" s="1"/>
  <c r="AZ191" i="6"/>
  <c r="AL134" i="6"/>
  <c r="AO134" i="6"/>
  <c r="AR134" i="6" s="1"/>
  <c r="AN134" i="6"/>
  <c r="AQ134" i="6" s="1"/>
  <c r="AM134" i="6"/>
  <c r="AP134" i="6" s="1"/>
  <c r="H86" i="36"/>
  <c r="AE195" i="39" s="1"/>
  <c r="AW195" i="39" s="1"/>
  <c r="S195" i="6"/>
  <c r="T195" i="6" s="1"/>
  <c r="AF139" i="8"/>
  <c r="AZ49" i="31"/>
  <c r="AW49" i="31"/>
  <c r="AV49" i="31"/>
  <c r="C34" i="11"/>
  <c r="D34" i="11" s="1"/>
  <c r="E34" i="11" s="1"/>
  <c r="AM89" i="3"/>
  <c r="AE89" i="3"/>
  <c r="V194" i="8"/>
  <c r="AO194" i="6"/>
  <c r="AP194" i="6" s="1"/>
  <c r="V194" i="6"/>
  <c r="Y140" i="6"/>
  <c r="AB140" i="6" s="1"/>
  <c r="O197" i="6"/>
  <c r="B88" i="43" s="1"/>
  <c r="AZ191" i="3"/>
  <c r="B29" i="15"/>
  <c r="C29" i="15" s="1"/>
  <c r="J29" i="15" s="1"/>
  <c r="AL134" i="3"/>
  <c r="AO134" i="3"/>
  <c r="AR134" i="3" s="1"/>
  <c r="AM134" i="3"/>
  <c r="AP134" i="3" s="1"/>
  <c r="AN134" i="3"/>
  <c r="AQ134" i="3" s="1"/>
  <c r="AH139" i="6"/>
  <c r="AI138" i="8"/>
  <c r="T92" i="4" s="1"/>
  <c r="CK45" i="31"/>
  <c r="CO44" i="31"/>
  <c r="CR44" i="31"/>
  <c r="BF37" i="8"/>
  <c r="AN37" i="8"/>
  <c r="BG37" i="8" s="1"/>
  <c r="AB90" i="8"/>
  <c r="AO193" i="3"/>
  <c r="AP193" i="3" s="1"/>
  <c r="B142" i="36"/>
  <c r="D142" i="36" s="1"/>
  <c r="E142" i="36" s="1"/>
  <c r="S196" i="40" s="1"/>
  <c r="T196" i="40" s="1"/>
  <c r="R196" i="8"/>
  <c r="M140" i="3"/>
  <c r="O197" i="8"/>
  <c r="B143" i="43" s="1"/>
  <c r="D143" i="43" s="1"/>
  <c r="E143" i="43" s="1"/>
  <c r="H143" i="43" s="1"/>
  <c r="J143" i="43" s="1"/>
  <c r="Y140" i="8"/>
  <c r="AB140" i="8" s="1"/>
  <c r="AE194" i="3"/>
  <c r="AW194" i="3" s="1"/>
  <c r="J30" i="36"/>
  <c r="AG139" i="8"/>
  <c r="AA141" i="6"/>
  <c r="BT49" i="31"/>
  <c r="BV49" i="31" s="1"/>
  <c r="BW49" i="31" s="1"/>
  <c r="BS50" i="31"/>
  <c r="Z140" i="3"/>
  <c r="AC140" i="3"/>
  <c r="AA197" i="3"/>
  <c r="J140" i="36"/>
  <c r="AE194" i="8"/>
  <c r="AW194" i="8" s="1"/>
  <c r="AF139" i="6"/>
  <c r="M140" i="8"/>
  <c r="BP48" i="31"/>
  <c r="BN48" i="31"/>
  <c r="BO48" i="31" s="1"/>
  <c r="AR51" i="31"/>
  <c r="AO51" i="31"/>
  <c r="AQ51" i="31" s="1"/>
  <c r="CL46" i="31" s="1"/>
  <c r="G47" i="31" s="1"/>
  <c r="V194" i="3"/>
  <c r="C85" i="11"/>
  <c r="D85" i="11" s="1"/>
  <c r="E85" i="11" s="1"/>
  <c r="AM89" i="6"/>
  <c r="AE89" i="6"/>
  <c r="S195" i="3"/>
  <c r="T195" i="3" s="1"/>
  <c r="H31" i="36"/>
  <c r="AE195" i="38" s="1"/>
  <c r="AW195" i="38" s="1"/>
  <c r="O197" i="3"/>
  <c r="B33" i="43" s="1"/>
  <c r="D33" i="43" s="1"/>
  <c r="E33" i="43" s="1"/>
  <c r="H33" i="43" s="1"/>
  <c r="J33" i="43" s="1"/>
  <c r="Y140" i="3"/>
  <c r="AB140" i="3" s="1"/>
  <c r="AH139" i="3"/>
  <c r="AC198" i="3"/>
  <c r="AU198" i="3" s="1"/>
  <c r="V141" i="3"/>
  <c r="AA141" i="3" s="1"/>
  <c r="L140" i="6"/>
  <c r="M140" i="6"/>
  <c r="AZ191" i="8"/>
  <c r="AL134" i="8"/>
  <c r="B129" i="15"/>
  <c r="C129" i="15" s="1"/>
  <c r="AN134" i="8"/>
  <c r="AQ134" i="8" s="1"/>
  <c r="AO134" i="8"/>
  <c r="AR134" i="8" s="1"/>
  <c r="AM134" i="8"/>
  <c r="AP134" i="8" s="1"/>
  <c r="AB38" i="6"/>
  <c r="M36" i="11"/>
  <c r="AB38" i="3"/>
  <c r="AB38" i="8"/>
  <c r="AF139" i="3"/>
  <c r="X141" i="8"/>
  <c r="AI138" i="3"/>
  <c r="E92" i="4" s="1"/>
  <c r="CC449" i="2"/>
  <c r="CD448" i="2"/>
  <c r="AY193" i="38" l="1"/>
  <c r="D88" i="43"/>
  <c r="E88" i="43" s="1"/>
  <c r="H88" i="43" s="1"/>
  <c r="J88" i="43" s="1"/>
  <c r="AS134" i="40"/>
  <c r="AT134" i="40" s="1"/>
  <c r="AS135" i="40"/>
  <c r="AT135" i="40" s="1"/>
  <c r="AI139" i="8"/>
  <c r="T93" i="4" s="1"/>
  <c r="AI139" i="6"/>
  <c r="M93" i="4" s="1"/>
  <c r="AE137" i="38"/>
  <c r="AK137" i="38" s="1"/>
  <c r="AE137" i="40"/>
  <c r="AE137" i="39"/>
  <c r="AY193" i="39"/>
  <c r="AK136" i="39"/>
  <c r="AY193" i="40"/>
  <c r="AK136" i="40"/>
  <c r="AS135" i="39"/>
  <c r="AT135" i="39" s="1"/>
  <c r="AS134" i="39"/>
  <c r="AT134" i="39" s="1"/>
  <c r="V196" i="40"/>
  <c r="AC198" i="8"/>
  <c r="AU198" i="8" s="1"/>
  <c r="AA197" i="40"/>
  <c r="AC140" i="40"/>
  <c r="AB140" i="40"/>
  <c r="Z140" i="40"/>
  <c r="AF140" i="40" s="1"/>
  <c r="AO195" i="40"/>
  <c r="AP195" i="40" s="1"/>
  <c r="L140" i="40"/>
  <c r="N140" i="40"/>
  <c r="AI138" i="40"/>
  <c r="G142" i="8"/>
  <c r="X142" i="8" s="1"/>
  <c r="AM199" i="8" s="1"/>
  <c r="AN199" i="8" s="1"/>
  <c r="G142" i="40"/>
  <c r="AF139" i="40"/>
  <c r="AG139" i="40"/>
  <c r="AC198" i="40"/>
  <c r="AU198" i="40" s="1"/>
  <c r="H141" i="40"/>
  <c r="X141" i="40"/>
  <c r="K141" i="40"/>
  <c r="V141" i="40"/>
  <c r="AM197" i="40"/>
  <c r="AN197" i="40" s="1"/>
  <c r="AA140" i="40"/>
  <c r="AH139" i="40"/>
  <c r="L140" i="8"/>
  <c r="N140" i="8"/>
  <c r="AI138" i="39"/>
  <c r="AM197" i="39"/>
  <c r="AN197" i="39" s="1"/>
  <c r="AA140" i="39"/>
  <c r="AO195" i="39"/>
  <c r="AP195" i="39" s="1"/>
  <c r="AH139" i="39"/>
  <c r="AF139" i="39"/>
  <c r="M140" i="39"/>
  <c r="N140" i="39"/>
  <c r="L140" i="39"/>
  <c r="G142" i="6"/>
  <c r="X142" i="6" s="1"/>
  <c r="AM199" i="6" s="1"/>
  <c r="AN199" i="6" s="1"/>
  <c r="G142" i="39"/>
  <c r="AG139" i="39"/>
  <c r="AC140" i="39"/>
  <c r="AA197" i="39"/>
  <c r="AB140" i="39"/>
  <c r="Z140" i="39"/>
  <c r="AC198" i="39"/>
  <c r="AU198" i="39" s="1"/>
  <c r="H141" i="39"/>
  <c r="X141" i="39"/>
  <c r="K141" i="39"/>
  <c r="V141" i="39"/>
  <c r="K141" i="3"/>
  <c r="N141" i="3" s="1"/>
  <c r="H141" i="3"/>
  <c r="L140" i="3"/>
  <c r="AS135" i="3"/>
  <c r="AT135" i="3" s="1"/>
  <c r="G142" i="3"/>
  <c r="AC199" i="3" s="1"/>
  <c r="AU199" i="3" s="1"/>
  <c r="G142" i="38"/>
  <c r="AS135" i="8"/>
  <c r="AT135" i="8" s="1"/>
  <c r="AC198" i="38"/>
  <c r="AU198" i="38" s="1"/>
  <c r="M141" i="38"/>
  <c r="H141" i="38"/>
  <c r="X141" i="38"/>
  <c r="K141" i="38"/>
  <c r="V141" i="38"/>
  <c r="AI138" i="38"/>
  <c r="AY194" i="38"/>
  <c r="V196" i="38"/>
  <c r="AA197" i="38"/>
  <c r="AC140" i="38"/>
  <c r="AB140" i="38"/>
  <c r="Z140" i="38"/>
  <c r="AO195" i="38"/>
  <c r="AP195" i="38" s="1"/>
  <c r="L140" i="38"/>
  <c r="N140" i="38"/>
  <c r="AF139" i="38"/>
  <c r="AG139" i="38"/>
  <c r="AZ193" i="38"/>
  <c r="AL136" i="38"/>
  <c r="AO136" i="38"/>
  <c r="AR136" i="38" s="1"/>
  <c r="AN136" i="38"/>
  <c r="AQ136" i="38" s="1"/>
  <c r="AM136" i="38"/>
  <c r="AP136" i="38" s="1"/>
  <c r="AA140" i="38"/>
  <c r="AM197" i="38"/>
  <c r="AN197" i="38" s="1"/>
  <c r="AH139" i="38"/>
  <c r="BH66" i="31"/>
  <c r="AY49" i="31"/>
  <c r="CT44" i="31"/>
  <c r="CV44" i="31" s="1"/>
  <c r="AG141" i="3"/>
  <c r="R142" i="6"/>
  <c r="AN89" i="6"/>
  <c r="I79" i="15"/>
  <c r="J79" i="15"/>
  <c r="E79" i="15"/>
  <c r="F79" i="15"/>
  <c r="E80" i="15"/>
  <c r="J80" i="15"/>
  <c r="F80" i="15"/>
  <c r="I80" i="15"/>
  <c r="BC68" i="31"/>
  <c r="BB69" i="31"/>
  <c r="AR52" i="31"/>
  <c r="AO52" i="31"/>
  <c r="AQ52" i="31" s="1"/>
  <c r="CL47" i="31" s="1"/>
  <c r="G48" i="31" s="1"/>
  <c r="AG140" i="6"/>
  <c r="AG140" i="8"/>
  <c r="V195" i="8"/>
  <c r="Y141" i="8"/>
  <c r="AB141" i="8" s="1"/>
  <c r="O198" i="8"/>
  <c r="B144" i="43" s="1"/>
  <c r="F30" i="15"/>
  <c r="E30" i="15"/>
  <c r="I30" i="15"/>
  <c r="H32" i="36"/>
  <c r="AE196" i="38" s="1"/>
  <c r="AW196" i="38" s="1"/>
  <c r="S196" i="3"/>
  <c r="T196" i="3" s="1"/>
  <c r="AE43" i="9"/>
  <c r="BF38" i="3"/>
  <c r="AF38" i="3"/>
  <c r="AN38" i="3"/>
  <c r="BG38" i="3" s="1"/>
  <c r="AC38" i="3"/>
  <c r="AD38" i="3"/>
  <c r="AE38" i="3"/>
  <c r="AG38" i="3"/>
  <c r="AB91" i="3"/>
  <c r="AG141" i="6"/>
  <c r="C137" i="11"/>
  <c r="D137" i="11" s="1"/>
  <c r="E137" i="11" s="1"/>
  <c r="AM90" i="8"/>
  <c r="AE90" i="8"/>
  <c r="AH140" i="3"/>
  <c r="AH140" i="6"/>
  <c r="AO194" i="8"/>
  <c r="AP194" i="8" s="1"/>
  <c r="X142" i="3"/>
  <c r="V195" i="6"/>
  <c r="AC141" i="6"/>
  <c r="AA198" i="6"/>
  <c r="Z141" i="6"/>
  <c r="AS135" i="6"/>
  <c r="AT135" i="6" s="1"/>
  <c r="I130" i="15"/>
  <c r="E130" i="15"/>
  <c r="F130" i="15"/>
  <c r="J130" i="15"/>
  <c r="BI67" i="31"/>
  <c r="BD67" i="31"/>
  <c r="BF67" i="31"/>
  <c r="BE67" i="31"/>
  <c r="AN89" i="8"/>
  <c r="S142" i="8"/>
  <c r="H142" i="8"/>
  <c r="V142" i="8"/>
  <c r="AM54" i="31"/>
  <c r="AN53" i="31"/>
  <c r="M141" i="8"/>
  <c r="AF140" i="8"/>
  <c r="C86" i="11"/>
  <c r="D86" i="11" s="1"/>
  <c r="E86" i="11" s="1"/>
  <c r="AM90" i="6"/>
  <c r="AE90" i="6"/>
  <c r="Y141" i="3"/>
  <c r="AB141" i="3" s="1"/>
  <c r="O198" i="3"/>
  <c r="B34" i="43" s="1"/>
  <c r="BP49" i="31"/>
  <c r="BN49" i="31"/>
  <c r="BO49" i="31" s="1"/>
  <c r="AF140" i="6"/>
  <c r="AY193" i="6"/>
  <c r="K90" i="4"/>
  <c r="O90" i="4" s="1"/>
  <c r="AK136" i="6"/>
  <c r="B88" i="36"/>
  <c r="D88" i="36" s="1"/>
  <c r="E88" i="36" s="1"/>
  <c r="S197" i="39" s="1"/>
  <c r="T197" i="39" s="1"/>
  <c r="R197" i="6"/>
  <c r="R142" i="3"/>
  <c r="AN89" i="3"/>
  <c r="M37" i="11"/>
  <c r="AB39" i="8"/>
  <c r="AB39" i="3"/>
  <c r="AB39" i="6"/>
  <c r="AF140" i="3"/>
  <c r="AH140" i="8"/>
  <c r="AI139" i="3"/>
  <c r="E93" i="4" s="1"/>
  <c r="AN38" i="6"/>
  <c r="BG38" i="6" s="1"/>
  <c r="BF38" i="6"/>
  <c r="AB91" i="6"/>
  <c r="E129" i="15"/>
  <c r="I129" i="15"/>
  <c r="J129" i="15"/>
  <c r="F129" i="15"/>
  <c r="R197" i="3"/>
  <c r="B33" i="36"/>
  <c r="H142" i="6"/>
  <c r="K142" i="6"/>
  <c r="V142" i="6"/>
  <c r="AA142" i="6" s="1"/>
  <c r="BS51" i="31"/>
  <c r="BT50" i="31"/>
  <c r="BV50" i="31" s="1"/>
  <c r="BW50" i="31" s="1"/>
  <c r="R197" i="8"/>
  <c r="B143" i="36"/>
  <c r="D143" i="36" s="1"/>
  <c r="E143" i="36" s="1"/>
  <c r="S197" i="40" s="1"/>
  <c r="T197" i="40" s="1"/>
  <c r="S196" i="8"/>
  <c r="T196" i="8" s="1"/>
  <c r="H142" i="36"/>
  <c r="AE196" i="40" s="1"/>
  <c r="AW196" i="40" s="1"/>
  <c r="CK46" i="31"/>
  <c r="CO45" i="31"/>
  <c r="CR45" i="31"/>
  <c r="I29" i="15"/>
  <c r="E29" i="15"/>
  <c r="F29" i="15"/>
  <c r="AE195" i="6"/>
  <c r="AW195" i="6" s="1"/>
  <c r="J86" i="36"/>
  <c r="L141" i="6"/>
  <c r="M141" i="6"/>
  <c r="O198" i="6"/>
  <c r="B89" i="43" s="1"/>
  <c r="Y141" i="6"/>
  <c r="AB141" i="6" s="1"/>
  <c r="AU51" i="31"/>
  <c r="AT52" i="31"/>
  <c r="BK51" i="31"/>
  <c r="BL50" i="31"/>
  <c r="C35" i="11"/>
  <c r="D35" i="11" s="1"/>
  <c r="E35" i="11" s="1"/>
  <c r="AM90" i="3"/>
  <c r="AE90" i="3"/>
  <c r="I90" i="4"/>
  <c r="AY193" i="3"/>
  <c r="AK136" i="3"/>
  <c r="C90" i="4"/>
  <c r="AA141" i="8"/>
  <c r="AM198" i="8"/>
  <c r="AN198" i="8" s="1"/>
  <c r="Z141" i="3"/>
  <c r="AC141" i="3"/>
  <c r="AA198" i="3"/>
  <c r="V195" i="3"/>
  <c r="G92" i="4"/>
  <c r="BF38" i="8"/>
  <c r="AN38" i="8"/>
  <c r="BG38" i="8" s="1"/>
  <c r="AB91" i="8"/>
  <c r="AS134" i="8"/>
  <c r="AT134" i="8" s="1"/>
  <c r="L141" i="3"/>
  <c r="M141" i="3"/>
  <c r="J31" i="36"/>
  <c r="AE195" i="3"/>
  <c r="AW195" i="3" s="1"/>
  <c r="AO194" i="3"/>
  <c r="AP194" i="3" s="1"/>
  <c r="AS134" i="3"/>
  <c r="AT134" i="3" s="1"/>
  <c r="V142" i="3"/>
  <c r="K142" i="3"/>
  <c r="AS134" i="6"/>
  <c r="AT134" i="6" s="1"/>
  <c r="AZ50" i="31"/>
  <c r="AW50" i="31"/>
  <c r="AV50" i="31"/>
  <c r="D87" i="36"/>
  <c r="E87" i="36" s="1"/>
  <c r="S196" i="39" s="1"/>
  <c r="T196" i="39" s="1"/>
  <c r="J141" i="36"/>
  <c r="AE195" i="8"/>
  <c r="AW195" i="8" s="1"/>
  <c r="AA198" i="8"/>
  <c r="AC141" i="8"/>
  <c r="Z141" i="8"/>
  <c r="N141" i="8"/>
  <c r="AE137" i="6"/>
  <c r="AE137" i="8"/>
  <c r="AE137" i="3"/>
  <c r="R90" i="4"/>
  <c r="V90" i="4" s="1"/>
  <c r="AY193" i="8"/>
  <c r="AK136" i="8"/>
  <c r="CC450" i="2"/>
  <c r="CD449" i="2"/>
  <c r="AC199" i="8" l="1"/>
  <c r="AU199" i="8" s="1"/>
  <c r="AI139" i="40"/>
  <c r="K142" i="8"/>
  <c r="N142" i="8" s="1"/>
  <c r="D144" i="43"/>
  <c r="E144" i="43"/>
  <c r="H144" i="43" s="1"/>
  <c r="J144" i="43" s="1"/>
  <c r="D89" i="43"/>
  <c r="E89" i="43" s="1"/>
  <c r="H89" i="43" s="1"/>
  <c r="J89" i="43" s="1"/>
  <c r="D34" i="43"/>
  <c r="E34" i="43" s="1"/>
  <c r="H34" i="43" s="1"/>
  <c r="J34" i="43" s="1"/>
  <c r="AI140" i="3"/>
  <c r="E94" i="4" s="1"/>
  <c r="AM136" i="40"/>
  <c r="AP136" i="40" s="1"/>
  <c r="AO136" i="40"/>
  <c r="AR136" i="40" s="1"/>
  <c r="AZ193" i="40"/>
  <c r="AN136" i="40"/>
  <c r="AQ136" i="40" s="1"/>
  <c r="AL136" i="40"/>
  <c r="AY194" i="39"/>
  <c r="AK137" i="39"/>
  <c r="AY194" i="40"/>
  <c r="AK137" i="40"/>
  <c r="AE138" i="38"/>
  <c r="AY195" i="38" s="1"/>
  <c r="AE138" i="40"/>
  <c r="AE138" i="39"/>
  <c r="AN136" i="39"/>
  <c r="AQ136" i="39" s="1"/>
  <c r="AZ193" i="39"/>
  <c r="AM136" i="39"/>
  <c r="AP136" i="39" s="1"/>
  <c r="AL136" i="39"/>
  <c r="AO136" i="39"/>
  <c r="AR136" i="39" s="1"/>
  <c r="V197" i="40"/>
  <c r="AG140" i="40"/>
  <c r="AM198" i="40"/>
  <c r="AN198" i="40" s="1"/>
  <c r="AA141" i="40"/>
  <c r="AC199" i="40"/>
  <c r="AU199" i="40" s="1"/>
  <c r="H142" i="40"/>
  <c r="X142" i="40"/>
  <c r="V142" i="40"/>
  <c r="K142" i="40"/>
  <c r="AH140" i="40"/>
  <c r="AI140" i="8"/>
  <c r="T94" i="4" s="1"/>
  <c r="AA198" i="40"/>
  <c r="AC141" i="40"/>
  <c r="AB141" i="40"/>
  <c r="Z141" i="40"/>
  <c r="G143" i="8"/>
  <c r="X143" i="8" s="1"/>
  <c r="AM200" i="8" s="1"/>
  <c r="AN200" i="8" s="1"/>
  <c r="G143" i="40"/>
  <c r="M141" i="40"/>
  <c r="N141" i="40"/>
  <c r="L141" i="40"/>
  <c r="AO196" i="40"/>
  <c r="AP196" i="40" s="1"/>
  <c r="AC199" i="6"/>
  <c r="AU199" i="6" s="1"/>
  <c r="V197" i="39"/>
  <c r="AI140" i="6"/>
  <c r="M94" i="4" s="1"/>
  <c r="L141" i="39"/>
  <c r="N141" i="39"/>
  <c r="AI139" i="39"/>
  <c r="V196" i="39"/>
  <c r="G143" i="6"/>
  <c r="X143" i="6" s="1"/>
  <c r="AM200" i="6" s="1"/>
  <c r="AN200" i="6" s="1"/>
  <c r="G143" i="39"/>
  <c r="M141" i="39"/>
  <c r="AF140" i="39"/>
  <c r="AC199" i="39"/>
  <c r="AU199" i="39" s="1"/>
  <c r="H142" i="39"/>
  <c r="X142" i="39"/>
  <c r="K142" i="39"/>
  <c r="V142" i="39"/>
  <c r="AA141" i="39"/>
  <c r="AM198" i="39"/>
  <c r="AN198" i="39" s="1"/>
  <c r="AH140" i="39"/>
  <c r="AC141" i="39"/>
  <c r="AA198" i="39"/>
  <c r="AB141" i="39"/>
  <c r="Z141" i="39"/>
  <c r="AG140" i="39"/>
  <c r="AO195" i="3"/>
  <c r="AP195" i="3" s="1"/>
  <c r="AS136" i="38"/>
  <c r="AT136" i="38" s="1"/>
  <c r="AO196" i="38"/>
  <c r="AP196" i="38" s="1"/>
  <c r="AG140" i="38"/>
  <c r="AA198" i="38"/>
  <c r="AC141" i="38"/>
  <c r="AB141" i="38"/>
  <c r="Z141" i="38"/>
  <c r="H142" i="3"/>
  <c r="AZ194" i="38"/>
  <c r="AL137" i="38"/>
  <c r="AO137" i="38"/>
  <c r="AR137" i="38" s="1"/>
  <c r="AN137" i="38"/>
  <c r="AQ137" i="38" s="1"/>
  <c r="AM137" i="38"/>
  <c r="AP137" i="38" s="1"/>
  <c r="L141" i="38"/>
  <c r="N141" i="38"/>
  <c r="G143" i="3"/>
  <c r="X143" i="3" s="1"/>
  <c r="AM200" i="3" s="1"/>
  <c r="AN200" i="3" s="1"/>
  <c r="G143" i="38"/>
  <c r="AI139" i="38"/>
  <c r="AF140" i="38"/>
  <c r="AA141" i="38"/>
  <c r="AM198" i="38"/>
  <c r="AN198" i="38" s="1"/>
  <c r="AK138" i="38"/>
  <c r="AH140" i="38"/>
  <c r="AC199" i="38"/>
  <c r="AU199" i="38" s="1"/>
  <c r="H142" i="38"/>
  <c r="X142" i="38"/>
  <c r="V142" i="38"/>
  <c r="K142" i="38"/>
  <c r="CT45" i="31"/>
  <c r="CV45" i="31" s="1"/>
  <c r="AY50" i="31"/>
  <c r="S196" i="6"/>
  <c r="T196" i="6" s="1"/>
  <c r="H87" i="36"/>
  <c r="AE196" i="39" s="1"/>
  <c r="AW196" i="39" s="1"/>
  <c r="I91" i="4"/>
  <c r="AY194" i="3"/>
  <c r="AK137" i="3"/>
  <c r="C91" i="4"/>
  <c r="AF141" i="8"/>
  <c r="Z142" i="3"/>
  <c r="AA199" i="3"/>
  <c r="AC142" i="3"/>
  <c r="AG141" i="8"/>
  <c r="AY194" i="6"/>
  <c r="K91" i="4"/>
  <c r="O91" i="4" s="1"/>
  <c r="AK137" i="6"/>
  <c r="R143" i="3"/>
  <c r="AN90" i="3"/>
  <c r="AC200" i="3"/>
  <c r="AU200" i="3" s="1"/>
  <c r="AZ51" i="31"/>
  <c r="AV51" i="31"/>
  <c r="AW51" i="31"/>
  <c r="H143" i="36"/>
  <c r="AE197" i="40" s="1"/>
  <c r="AW197" i="40" s="1"/>
  <c r="S197" i="8"/>
  <c r="T197" i="8" s="1"/>
  <c r="AC142" i="6"/>
  <c r="AA199" i="6"/>
  <c r="Z142" i="6"/>
  <c r="D33" i="36"/>
  <c r="E33" i="36" s="1"/>
  <c r="S197" i="38" s="1"/>
  <c r="T197" i="38" s="1"/>
  <c r="AE44" i="9"/>
  <c r="BF39" i="3"/>
  <c r="AE39" i="3"/>
  <c r="AC39" i="3"/>
  <c r="AN39" i="3"/>
  <c r="BG39" i="3" s="1"/>
  <c r="AD39" i="3"/>
  <c r="AF39" i="3"/>
  <c r="AG39" i="3"/>
  <c r="AB92" i="3"/>
  <c r="Y142" i="3"/>
  <c r="AB142" i="3" s="1"/>
  <c r="O199" i="3"/>
  <c r="B35" i="43" s="1"/>
  <c r="D35" i="43" s="1"/>
  <c r="E35" i="43" s="1"/>
  <c r="H35" i="43" s="1"/>
  <c r="J35" i="43" s="1"/>
  <c r="AC142" i="8"/>
  <c r="AA199" i="8"/>
  <c r="Z142" i="8"/>
  <c r="BH67" i="31"/>
  <c r="AA142" i="3"/>
  <c r="AM199" i="3"/>
  <c r="AN199" i="3" s="1"/>
  <c r="J32" i="36"/>
  <c r="AE196" i="3"/>
  <c r="AW196" i="3" s="1"/>
  <c r="BC69" i="31"/>
  <c r="BB70" i="31"/>
  <c r="O199" i="6"/>
  <c r="B90" i="43" s="1"/>
  <c r="Y142" i="6"/>
  <c r="AB142" i="6" s="1"/>
  <c r="N142" i="3"/>
  <c r="L142" i="3"/>
  <c r="B131" i="15"/>
  <c r="C131" i="15" s="1"/>
  <c r="AZ193" i="8"/>
  <c r="AL136" i="8"/>
  <c r="AM136" i="8"/>
  <c r="AP136" i="8" s="1"/>
  <c r="AN136" i="8"/>
  <c r="AQ136" i="8" s="1"/>
  <c r="AO136" i="8"/>
  <c r="AR136" i="8" s="1"/>
  <c r="AE138" i="3"/>
  <c r="AE138" i="6"/>
  <c r="AE138" i="8"/>
  <c r="AG142" i="6"/>
  <c r="AF141" i="3"/>
  <c r="B31" i="15"/>
  <c r="C31" i="15" s="1"/>
  <c r="J31" i="15" s="1"/>
  <c r="AL136" i="3"/>
  <c r="AZ193" i="3"/>
  <c r="AO136" i="3"/>
  <c r="AR136" i="3" s="1"/>
  <c r="AN136" i="3"/>
  <c r="AQ136" i="3" s="1"/>
  <c r="AM136" i="3"/>
  <c r="AP136" i="3" s="1"/>
  <c r="BP50" i="31"/>
  <c r="BN50" i="31"/>
  <c r="BO50" i="31" s="1"/>
  <c r="AH141" i="6"/>
  <c r="CO46" i="31"/>
  <c r="CR46" i="31"/>
  <c r="CK47" i="31"/>
  <c r="L142" i="6"/>
  <c r="M142" i="6"/>
  <c r="BF39" i="8"/>
  <c r="AN39" i="8"/>
  <c r="BG39" i="8" s="1"/>
  <c r="AB92" i="8"/>
  <c r="R143" i="6"/>
  <c r="AN90" i="6"/>
  <c r="H143" i="6"/>
  <c r="V143" i="6"/>
  <c r="AR53" i="31"/>
  <c r="AO53" i="31"/>
  <c r="AQ53" i="31" s="1"/>
  <c r="CL48" i="31" s="1"/>
  <c r="G49" i="31" s="1"/>
  <c r="R198" i="8"/>
  <c r="B144" i="36"/>
  <c r="D144" i="36" s="1"/>
  <c r="E144" i="36" s="1"/>
  <c r="S198" i="40" s="1"/>
  <c r="T198" i="40" s="1"/>
  <c r="BI68" i="31"/>
  <c r="BE68" i="31"/>
  <c r="BF68" i="31"/>
  <c r="BD68" i="31"/>
  <c r="C138" i="11"/>
  <c r="D138" i="11" s="1"/>
  <c r="E138" i="11" s="1"/>
  <c r="AM91" i="8"/>
  <c r="AE91" i="8"/>
  <c r="BL51" i="31"/>
  <c r="BK52" i="31"/>
  <c r="R198" i="6"/>
  <c r="B89" i="36"/>
  <c r="D89" i="36" s="1"/>
  <c r="E89" i="36" s="1"/>
  <c r="S198" i="39" s="1"/>
  <c r="T198" i="39" s="1"/>
  <c r="AE196" i="8"/>
  <c r="AW196" i="8" s="1"/>
  <c r="J142" i="36"/>
  <c r="C87" i="11"/>
  <c r="D87" i="11" s="1"/>
  <c r="E87" i="11" s="1"/>
  <c r="AM91" i="6"/>
  <c r="AE91" i="6"/>
  <c r="G93" i="4"/>
  <c r="G94" i="4"/>
  <c r="AB40" i="3"/>
  <c r="AB40" i="8"/>
  <c r="AB40" i="6"/>
  <c r="M38" i="11"/>
  <c r="S197" i="6"/>
  <c r="T197" i="6" s="1"/>
  <c r="H88" i="36"/>
  <c r="AE197" i="39" s="1"/>
  <c r="AW197" i="39" s="1"/>
  <c r="B34" i="36"/>
  <c r="D34" i="36" s="1"/>
  <c r="E34" i="36" s="1"/>
  <c r="S198" i="38" s="1"/>
  <c r="T198" i="38" s="1"/>
  <c r="R198" i="3"/>
  <c r="AN54" i="31"/>
  <c r="AM55" i="31"/>
  <c r="AO195" i="6"/>
  <c r="AP195" i="6" s="1"/>
  <c r="C36" i="11"/>
  <c r="D36" i="11" s="1"/>
  <c r="E36" i="11" s="1"/>
  <c r="AM91" i="3"/>
  <c r="AE91" i="3"/>
  <c r="AH141" i="8"/>
  <c r="N142" i="6"/>
  <c r="R91" i="4"/>
  <c r="V91" i="4" s="1"/>
  <c r="AY194" i="8"/>
  <c r="AK137" i="8"/>
  <c r="AU52" i="31"/>
  <c r="AT53" i="31"/>
  <c r="AO196" i="8"/>
  <c r="AP196" i="8" s="1"/>
  <c r="V196" i="8"/>
  <c r="BT51" i="31"/>
  <c r="BV51" i="31" s="1"/>
  <c r="BW51" i="31" s="1"/>
  <c r="BS52" i="31"/>
  <c r="BF39" i="6"/>
  <c r="AN39" i="6"/>
  <c r="BG39" i="6" s="1"/>
  <c r="AB92" i="6"/>
  <c r="AL136" i="6"/>
  <c r="AZ193" i="6"/>
  <c r="B81" i="15"/>
  <c r="C81" i="15" s="1"/>
  <c r="AO136" i="6"/>
  <c r="AR136" i="6" s="1"/>
  <c r="AM136" i="6"/>
  <c r="AP136" i="6" s="1"/>
  <c r="AN136" i="6"/>
  <c r="AQ136" i="6" s="1"/>
  <c r="AH141" i="3"/>
  <c r="L142" i="8"/>
  <c r="M142" i="8"/>
  <c r="O199" i="8"/>
  <c r="B145" i="43" s="1"/>
  <c r="D145" i="43" s="1"/>
  <c r="E145" i="43" s="1"/>
  <c r="H145" i="43" s="1"/>
  <c r="J145" i="43" s="1"/>
  <c r="Y142" i="8"/>
  <c r="AB142" i="8" s="1"/>
  <c r="AF141" i="6"/>
  <c r="AI141" i="6" s="1"/>
  <c r="M95" i="4" s="1"/>
  <c r="S143" i="8"/>
  <c r="AN90" i="8"/>
  <c r="AC200" i="8"/>
  <c r="AU200" i="8" s="1"/>
  <c r="H143" i="8"/>
  <c r="K143" i="8"/>
  <c r="V196" i="3"/>
  <c r="AO195" i="8"/>
  <c r="AP195" i="8" s="1"/>
  <c r="AA142" i="8"/>
  <c r="M142" i="3"/>
  <c r="CC451" i="2"/>
  <c r="CD450" i="2"/>
  <c r="V143" i="8" l="1"/>
  <c r="AA143" i="8" s="1"/>
  <c r="K143" i="6"/>
  <c r="M143" i="6" s="1"/>
  <c r="AC200" i="6"/>
  <c r="AU200" i="6" s="1"/>
  <c r="K143" i="3"/>
  <c r="N143" i="3" s="1"/>
  <c r="AI140" i="40"/>
  <c r="D90" i="43"/>
  <c r="E90" i="43" s="1"/>
  <c r="H90" i="43" s="1"/>
  <c r="J90" i="43" s="1"/>
  <c r="AS136" i="39"/>
  <c r="AT136" i="39" s="1"/>
  <c r="AY195" i="39"/>
  <c r="AK138" i="39"/>
  <c r="AE139" i="38"/>
  <c r="AE139" i="40"/>
  <c r="AE139" i="39"/>
  <c r="AY195" i="40"/>
  <c r="AK138" i="40"/>
  <c r="AO137" i="39"/>
  <c r="AR137" i="39" s="1"/>
  <c r="AM137" i="39"/>
  <c r="AP137" i="39" s="1"/>
  <c r="AZ194" i="39"/>
  <c r="AL137" i="39"/>
  <c r="AN137" i="39"/>
  <c r="AQ137" i="39" s="1"/>
  <c r="AE140" i="38"/>
  <c r="AK140" i="38" s="1"/>
  <c r="AE140" i="40"/>
  <c r="AE140" i="39"/>
  <c r="AM137" i="40"/>
  <c r="AP137" i="40" s="1"/>
  <c r="AN137" i="40"/>
  <c r="AQ137" i="40" s="1"/>
  <c r="AZ194" i="40"/>
  <c r="AO137" i="40"/>
  <c r="AR137" i="40" s="1"/>
  <c r="AL137" i="40"/>
  <c r="AS136" i="40"/>
  <c r="AT136" i="40" s="1"/>
  <c r="L142" i="40"/>
  <c r="N142" i="40"/>
  <c r="G144" i="8"/>
  <c r="X144" i="8" s="1"/>
  <c r="AM201" i="8" s="1"/>
  <c r="AN201" i="8" s="1"/>
  <c r="G144" i="40"/>
  <c r="AC142" i="40"/>
  <c r="AA199" i="40"/>
  <c r="AB142" i="40"/>
  <c r="Z142" i="40"/>
  <c r="V198" i="40"/>
  <c r="AC200" i="40"/>
  <c r="AU200" i="40" s="1"/>
  <c r="X143" i="40"/>
  <c r="H143" i="40"/>
  <c r="V143" i="40"/>
  <c r="K143" i="40"/>
  <c r="AF141" i="40"/>
  <c r="M142" i="40"/>
  <c r="AG141" i="40"/>
  <c r="AH141" i="40"/>
  <c r="AA142" i="40"/>
  <c r="AM199" i="40"/>
  <c r="AN199" i="40" s="1"/>
  <c r="AO197" i="40"/>
  <c r="AP197" i="40" s="1"/>
  <c r="AF141" i="39"/>
  <c r="M142" i="39"/>
  <c r="N142" i="39"/>
  <c r="L142" i="39"/>
  <c r="AC200" i="39"/>
  <c r="AU200" i="39" s="1"/>
  <c r="H143" i="39"/>
  <c r="X143" i="39"/>
  <c r="K143" i="39"/>
  <c r="V143" i="39"/>
  <c r="AH141" i="39"/>
  <c r="AG141" i="39"/>
  <c r="AM199" i="39"/>
  <c r="AN199" i="39" s="1"/>
  <c r="AA142" i="39"/>
  <c r="AO197" i="39"/>
  <c r="AP197" i="39" s="1"/>
  <c r="V198" i="39"/>
  <c r="G144" i="6"/>
  <c r="H144" i="6" s="1"/>
  <c r="G144" i="39"/>
  <c r="AI140" i="39"/>
  <c r="AC142" i="39"/>
  <c r="AA199" i="39"/>
  <c r="AB142" i="39"/>
  <c r="Z142" i="39"/>
  <c r="AO196" i="39"/>
  <c r="AP196" i="39" s="1"/>
  <c r="AS136" i="3"/>
  <c r="AT136" i="3" s="1"/>
  <c r="H143" i="3"/>
  <c r="AI141" i="3"/>
  <c r="E95" i="4" s="1"/>
  <c r="V143" i="3"/>
  <c r="AA143" i="3" s="1"/>
  <c r="AS137" i="38"/>
  <c r="AT137" i="38" s="1"/>
  <c r="V197" i="38"/>
  <c r="G144" i="3"/>
  <c r="X144" i="3" s="1"/>
  <c r="G144" i="38"/>
  <c r="AO196" i="3"/>
  <c r="AP196" i="3" s="1"/>
  <c r="L142" i="38"/>
  <c r="N142" i="38"/>
  <c r="AL138" i="38"/>
  <c r="AZ195" i="38"/>
  <c r="AN138" i="38"/>
  <c r="AQ138" i="38" s="1"/>
  <c r="AM138" i="38"/>
  <c r="AP138" i="38" s="1"/>
  <c r="AO138" i="38"/>
  <c r="AR138" i="38" s="1"/>
  <c r="AC200" i="38"/>
  <c r="AU200" i="38" s="1"/>
  <c r="X143" i="38"/>
  <c r="H143" i="38"/>
  <c r="K143" i="38"/>
  <c r="M143" i="38" s="1"/>
  <c r="V143" i="38"/>
  <c r="AS136" i="8"/>
  <c r="AT136" i="8" s="1"/>
  <c r="AC142" i="38"/>
  <c r="AA199" i="38"/>
  <c r="AB142" i="38"/>
  <c r="Z142" i="38"/>
  <c r="AY196" i="38"/>
  <c r="AK139" i="38"/>
  <c r="M142" i="38"/>
  <c r="AI140" i="38"/>
  <c r="AF141" i="38"/>
  <c r="AY197" i="38"/>
  <c r="AA142" i="38"/>
  <c r="AM199" i="38"/>
  <c r="AN199" i="38" s="1"/>
  <c r="AG141" i="38"/>
  <c r="AH141" i="38"/>
  <c r="V198" i="38"/>
  <c r="CT46" i="31"/>
  <c r="CV46" i="31" s="1"/>
  <c r="BH68" i="31"/>
  <c r="AG143" i="8"/>
  <c r="G95" i="4"/>
  <c r="J88" i="36"/>
  <c r="AE197" i="6"/>
  <c r="AW197" i="6" s="1"/>
  <c r="R144" i="6"/>
  <c r="AN91" i="6"/>
  <c r="S198" i="8"/>
  <c r="T198" i="8" s="1"/>
  <c r="H144" i="36"/>
  <c r="AE198" i="40" s="1"/>
  <c r="AW198" i="40" s="1"/>
  <c r="Z143" i="6"/>
  <c r="AA200" i="6"/>
  <c r="AC143" i="6"/>
  <c r="AY195" i="6"/>
  <c r="K92" i="4"/>
  <c r="O92" i="4" s="1"/>
  <c r="AK138" i="6"/>
  <c r="BB71" i="31"/>
  <c r="BC70" i="31"/>
  <c r="AF142" i="8"/>
  <c r="AH142" i="3"/>
  <c r="V197" i="8"/>
  <c r="B82" i="15"/>
  <c r="C82" i="15" s="1"/>
  <c r="AL137" i="6"/>
  <c r="AZ194" i="6"/>
  <c r="AO137" i="6"/>
  <c r="AR137" i="6" s="1"/>
  <c r="AM137" i="6"/>
  <c r="AP137" i="6" s="1"/>
  <c r="AN137" i="6"/>
  <c r="AQ137" i="6" s="1"/>
  <c r="AF142" i="3"/>
  <c r="AZ194" i="3"/>
  <c r="B32" i="15"/>
  <c r="C32" i="15" s="1"/>
  <c r="J32" i="15" s="1"/>
  <c r="AL137" i="3"/>
  <c r="AN137" i="3"/>
  <c r="AQ137" i="3" s="1"/>
  <c r="AO137" i="3"/>
  <c r="AR137" i="3" s="1"/>
  <c r="AM137" i="3"/>
  <c r="AP137" i="3" s="1"/>
  <c r="AC201" i="6"/>
  <c r="AU201" i="6" s="1"/>
  <c r="K144" i="6"/>
  <c r="M144" i="6" s="1"/>
  <c r="V197" i="6"/>
  <c r="AE45" i="9"/>
  <c r="BF40" i="3"/>
  <c r="AD40" i="3"/>
  <c r="AC40" i="3"/>
  <c r="AN40" i="3"/>
  <c r="BG40" i="3" s="1"/>
  <c r="AF40" i="3"/>
  <c r="AG40" i="3"/>
  <c r="AE40" i="3"/>
  <c r="AB93" i="3"/>
  <c r="BK53" i="31"/>
  <c r="BL52" i="31"/>
  <c r="CR47" i="31"/>
  <c r="CK48" i="31"/>
  <c r="CO47" i="31"/>
  <c r="F31" i="15"/>
  <c r="I31" i="15"/>
  <c r="E31" i="15"/>
  <c r="I92" i="4"/>
  <c r="AY195" i="3"/>
  <c r="AK138" i="3"/>
  <c r="C92" i="4"/>
  <c r="BI69" i="31"/>
  <c r="BD69" i="31"/>
  <c r="BE69" i="31"/>
  <c r="BF69" i="31"/>
  <c r="AG142" i="3"/>
  <c r="C37" i="11"/>
  <c r="D37" i="11" s="1"/>
  <c r="E37" i="11" s="1"/>
  <c r="AM92" i="3"/>
  <c r="AE92" i="3"/>
  <c r="AF142" i="6"/>
  <c r="J143" i="36"/>
  <c r="AE197" i="8"/>
  <c r="AW197" i="8" s="1"/>
  <c r="Z143" i="3"/>
  <c r="AC143" i="3"/>
  <c r="AA200" i="3"/>
  <c r="AN55" i="31"/>
  <c r="AM56" i="31"/>
  <c r="AN91" i="8"/>
  <c r="S144" i="8"/>
  <c r="L143" i="8"/>
  <c r="M143" i="8"/>
  <c r="AG143" i="3"/>
  <c r="AC143" i="8"/>
  <c r="AA200" i="8"/>
  <c r="Z143" i="8"/>
  <c r="AH142" i="8"/>
  <c r="AA143" i="6"/>
  <c r="AS136" i="6"/>
  <c r="AT136" i="6" s="1"/>
  <c r="AL137" i="8"/>
  <c r="B132" i="15"/>
  <c r="C132" i="15" s="1"/>
  <c r="AZ194" i="8"/>
  <c r="AM137" i="8"/>
  <c r="AP137" i="8" s="1"/>
  <c r="AN137" i="8"/>
  <c r="AQ137" i="8" s="1"/>
  <c r="AO137" i="8"/>
  <c r="AR137" i="8" s="1"/>
  <c r="AN91" i="3"/>
  <c r="R144" i="3"/>
  <c r="AC201" i="3"/>
  <c r="AU201" i="3" s="1"/>
  <c r="H144" i="3"/>
  <c r="V144" i="3"/>
  <c r="K144" i="3"/>
  <c r="M39" i="11"/>
  <c r="AB41" i="8"/>
  <c r="AB41" i="6"/>
  <c r="AB41" i="3"/>
  <c r="AE139" i="3"/>
  <c r="AE139" i="8"/>
  <c r="AE139" i="6"/>
  <c r="X144" i="6"/>
  <c r="BP51" i="31"/>
  <c r="BN51" i="31"/>
  <c r="BO51" i="31" s="1"/>
  <c r="O200" i="6"/>
  <c r="B91" i="43" s="1"/>
  <c r="Y143" i="6"/>
  <c r="AB143" i="6" s="1"/>
  <c r="AH142" i="6"/>
  <c r="H33" i="36"/>
  <c r="AE197" i="38" s="1"/>
  <c r="AW197" i="38" s="1"/>
  <c r="S197" i="3"/>
  <c r="T197" i="3" s="1"/>
  <c r="M143" i="3"/>
  <c r="L143" i="3"/>
  <c r="AI141" i="8"/>
  <c r="T95" i="4" s="1"/>
  <c r="J87" i="36"/>
  <c r="AE196" i="6"/>
  <c r="AW196" i="6" s="1"/>
  <c r="F81" i="15"/>
  <c r="I81" i="15"/>
  <c r="J81" i="15"/>
  <c r="E81" i="15"/>
  <c r="AZ52" i="31"/>
  <c r="AW52" i="31"/>
  <c r="AV52" i="31"/>
  <c r="BF40" i="8"/>
  <c r="AN40" i="8"/>
  <c r="BG40" i="8" s="1"/>
  <c r="AB93" i="8"/>
  <c r="AG142" i="8"/>
  <c r="N143" i="8"/>
  <c r="AR54" i="31"/>
  <c r="AO54" i="31"/>
  <c r="AQ54" i="31" s="1"/>
  <c r="CL49" i="31" s="1"/>
  <c r="G50" i="31" s="1"/>
  <c r="Y143" i="8"/>
  <c r="AB143" i="8" s="1"/>
  <c r="O200" i="8"/>
  <c r="B146" i="43" s="1"/>
  <c r="D146" i="43" s="1"/>
  <c r="E146" i="43" s="1"/>
  <c r="H146" i="43" s="1"/>
  <c r="J146" i="43" s="1"/>
  <c r="R199" i="8"/>
  <c r="B145" i="36"/>
  <c r="D145" i="36" s="1"/>
  <c r="E145" i="36" s="1"/>
  <c r="S199" i="40" s="1"/>
  <c r="T199" i="40" s="1"/>
  <c r="C88" i="11"/>
  <c r="D88" i="11" s="1"/>
  <c r="E88" i="11" s="1"/>
  <c r="AM92" i="6"/>
  <c r="AE92" i="6"/>
  <c r="BS53" i="31"/>
  <c r="BT52" i="31"/>
  <c r="BV52" i="31" s="1"/>
  <c r="BW52" i="31" s="1"/>
  <c r="AT54" i="31"/>
  <c r="AU53" i="31"/>
  <c r="AM201" i="3"/>
  <c r="AN201" i="3" s="1"/>
  <c r="H34" i="36"/>
  <c r="AE198" i="38" s="1"/>
  <c r="AW198" i="38" s="1"/>
  <c r="S198" i="3"/>
  <c r="T198" i="3" s="1"/>
  <c r="BF40" i="6"/>
  <c r="AN40" i="6"/>
  <c r="BG40" i="6" s="1"/>
  <c r="AB93" i="6"/>
  <c r="AE140" i="6"/>
  <c r="AE140" i="3"/>
  <c r="AE140" i="8"/>
  <c r="S198" i="6"/>
  <c r="T198" i="6" s="1"/>
  <c r="H89" i="36"/>
  <c r="AE198" i="39" s="1"/>
  <c r="AW198" i="39" s="1"/>
  <c r="AC201" i="8"/>
  <c r="AU201" i="8" s="1"/>
  <c r="H144" i="8"/>
  <c r="K144" i="8"/>
  <c r="V144" i="8"/>
  <c r="C139" i="11"/>
  <c r="D139" i="11" s="1"/>
  <c r="E139" i="11" s="1"/>
  <c r="AM92" i="8"/>
  <c r="AE92" i="8"/>
  <c r="AY195" i="8"/>
  <c r="R92" i="4"/>
  <c r="V92" i="4" s="1"/>
  <c r="AK138" i="8"/>
  <c r="F131" i="15"/>
  <c r="E131" i="15"/>
  <c r="I131" i="15"/>
  <c r="J131" i="15"/>
  <c r="R199" i="6"/>
  <c r="B90" i="36"/>
  <c r="R199" i="3"/>
  <c r="B35" i="36"/>
  <c r="D35" i="36" s="1"/>
  <c r="E35" i="36" s="1"/>
  <c r="S199" i="38" s="1"/>
  <c r="T199" i="38" s="1"/>
  <c r="AY51" i="31"/>
  <c r="O200" i="3"/>
  <c r="B36" i="43" s="1"/>
  <c r="Y143" i="3"/>
  <c r="AB143" i="3" s="1"/>
  <c r="V196" i="6"/>
  <c r="CC452" i="2"/>
  <c r="CD451" i="2"/>
  <c r="L143" i="6" l="1"/>
  <c r="N143" i="6"/>
  <c r="D91" i="43"/>
  <c r="E91" i="43" s="1"/>
  <c r="H91" i="43" s="1"/>
  <c r="J91" i="43" s="1"/>
  <c r="D36" i="43"/>
  <c r="E36" i="43" s="1"/>
  <c r="H36" i="43" s="1"/>
  <c r="J36" i="43" s="1"/>
  <c r="AS137" i="40"/>
  <c r="AT137" i="40" s="1"/>
  <c r="AO196" i="6"/>
  <c r="AP196" i="6" s="1"/>
  <c r="AS137" i="39"/>
  <c r="AT137" i="39" s="1"/>
  <c r="AI141" i="39"/>
  <c r="AY196" i="40"/>
  <c r="AK139" i="40"/>
  <c r="AY197" i="39"/>
  <c r="AK140" i="39"/>
  <c r="AO138" i="40"/>
  <c r="AR138" i="40" s="1"/>
  <c r="AM138" i="40"/>
  <c r="AP138" i="40" s="1"/>
  <c r="AZ195" i="40"/>
  <c r="AL138" i="40"/>
  <c r="AN138" i="40"/>
  <c r="AQ138" i="40" s="1"/>
  <c r="AY197" i="40"/>
  <c r="AK140" i="40"/>
  <c r="AM138" i="39"/>
  <c r="AP138" i="39" s="1"/>
  <c r="AN138" i="39"/>
  <c r="AQ138" i="39" s="1"/>
  <c r="AZ195" i="39"/>
  <c r="AL138" i="39"/>
  <c r="AO138" i="39"/>
  <c r="AR138" i="39" s="1"/>
  <c r="AE141" i="38"/>
  <c r="AY198" i="38" s="1"/>
  <c r="AE141" i="39"/>
  <c r="AE141" i="40"/>
  <c r="AY196" i="39"/>
  <c r="AK139" i="39"/>
  <c r="V199" i="40"/>
  <c r="AC143" i="40"/>
  <c r="AA200" i="40"/>
  <c r="AB143" i="40"/>
  <c r="Z143" i="40"/>
  <c r="AH142" i="40"/>
  <c r="AI141" i="40"/>
  <c r="AO198" i="40"/>
  <c r="AP198" i="40" s="1"/>
  <c r="G145" i="8"/>
  <c r="G145" i="40"/>
  <c r="AG142" i="40"/>
  <c r="AA143" i="40"/>
  <c r="AM200" i="40"/>
  <c r="AN200" i="40" s="1"/>
  <c r="N143" i="40"/>
  <c r="L143" i="40"/>
  <c r="M143" i="40"/>
  <c r="AF142" i="40"/>
  <c r="AC201" i="40"/>
  <c r="AU201" i="40" s="1"/>
  <c r="X144" i="40"/>
  <c r="H144" i="40"/>
  <c r="V144" i="40"/>
  <c r="K144" i="40"/>
  <c r="M144" i="40" s="1"/>
  <c r="G145" i="6"/>
  <c r="X145" i="6" s="1"/>
  <c r="AM202" i="6" s="1"/>
  <c r="AN202" i="6" s="1"/>
  <c r="G145" i="39"/>
  <c r="V144" i="6"/>
  <c r="Z144" i="6" s="1"/>
  <c r="L143" i="39"/>
  <c r="N143" i="39"/>
  <c r="AF142" i="39"/>
  <c r="AC201" i="39"/>
  <c r="AU201" i="39" s="1"/>
  <c r="H144" i="39"/>
  <c r="X144" i="39"/>
  <c r="K144" i="39"/>
  <c r="V144" i="39"/>
  <c r="AG142" i="39"/>
  <c r="M143" i="39"/>
  <c r="AH142" i="39"/>
  <c r="AA143" i="39"/>
  <c r="AM200" i="39"/>
  <c r="AN200" i="39" s="1"/>
  <c r="AO198" i="39"/>
  <c r="AP198" i="39" s="1"/>
  <c r="AA200" i="39"/>
  <c r="AC143" i="39"/>
  <c r="AB143" i="39"/>
  <c r="Z143" i="39"/>
  <c r="V199" i="38"/>
  <c r="G145" i="3"/>
  <c r="G145" i="38"/>
  <c r="AS137" i="6"/>
  <c r="AT137" i="6" s="1"/>
  <c r="AF142" i="38"/>
  <c r="AS138" i="38"/>
  <c r="AT138" i="38" s="1"/>
  <c r="H144" i="38"/>
  <c r="AC201" i="38"/>
  <c r="AU201" i="38" s="1"/>
  <c r="X144" i="38"/>
  <c r="K144" i="38"/>
  <c r="M144" i="38" s="1"/>
  <c r="V144" i="38"/>
  <c r="AI141" i="38"/>
  <c r="AH142" i="38"/>
  <c r="AG142" i="38"/>
  <c r="AZ196" i="38"/>
  <c r="AL139" i="38"/>
  <c r="AN139" i="38"/>
  <c r="AQ139" i="38" s="1"/>
  <c r="AO139" i="38"/>
  <c r="AR139" i="38" s="1"/>
  <c r="AM139" i="38"/>
  <c r="AP139" i="38" s="1"/>
  <c r="AC143" i="38"/>
  <c r="AA200" i="38"/>
  <c r="AB143" i="38"/>
  <c r="Z143" i="38"/>
  <c r="AA143" i="38"/>
  <c r="AM200" i="38"/>
  <c r="AN200" i="38" s="1"/>
  <c r="AO198" i="38"/>
  <c r="AP198" i="38" s="1"/>
  <c r="AZ197" i="38"/>
  <c r="AL140" i="38"/>
  <c r="AN140" i="38"/>
  <c r="AQ140" i="38" s="1"/>
  <c r="AO140" i="38"/>
  <c r="AR140" i="38" s="1"/>
  <c r="AM140" i="38"/>
  <c r="AP140" i="38" s="1"/>
  <c r="N143" i="38"/>
  <c r="L143" i="38"/>
  <c r="AO197" i="38"/>
  <c r="AP197" i="38" s="1"/>
  <c r="AY52" i="31"/>
  <c r="CT47" i="31"/>
  <c r="CV47" i="31" s="1"/>
  <c r="B133" i="15"/>
  <c r="C133" i="15" s="1"/>
  <c r="AL138" i="8"/>
  <c r="AZ195" i="8"/>
  <c r="AO138" i="8"/>
  <c r="AR138" i="8" s="1"/>
  <c r="AN138" i="8"/>
  <c r="AQ138" i="8" s="1"/>
  <c r="AM138" i="8"/>
  <c r="AP138" i="8" s="1"/>
  <c r="R94" i="4"/>
  <c r="V94" i="4" s="1"/>
  <c r="AY197" i="8"/>
  <c r="AK140" i="8"/>
  <c r="R145" i="6"/>
  <c r="AN92" i="6"/>
  <c r="AM201" i="6"/>
  <c r="AN201" i="6" s="1"/>
  <c r="AC202" i="3"/>
  <c r="AU202" i="3" s="1"/>
  <c r="H145" i="3"/>
  <c r="V145" i="3"/>
  <c r="K145" i="3"/>
  <c r="N145" i="3" s="1"/>
  <c r="AN138" i="3"/>
  <c r="AQ138" i="3" s="1"/>
  <c r="B33" i="15"/>
  <c r="C33" i="15" s="1"/>
  <c r="J33" i="15" s="1"/>
  <c r="AL138" i="3"/>
  <c r="AZ195" i="3"/>
  <c r="AM138" i="3"/>
  <c r="AP138" i="3" s="1"/>
  <c r="AO138" i="3"/>
  <c r="AR138" i="3" s="1"/>
  <c r="CK49" i="31"/>
  <c r="CO48" i="31"/>
  <c r="CR48" i="31"/>
  <c r="C38" i="11"/>
  <c r="D38" i="11" s="1"/>
  <c r="E38" i="11" s="1"/>
  <c r="AM93" i="3"/>
  <c r="AE93" i="3"/>
  <c r="AC144" i="6"/>
  <c r="J82" i="15"/>
  <c r="F82" i="15"/>
  <c r="E82" i="15"/>
  <c r="I82" i="15"/>
  <c r="BB72" i="31"/>
  <c r="BC71" i="31"/>
  <c r="J144" i="36"/>
  <c r="AE198" i="8"/>
  <c r="AW198" i="8" s="1"/>
  <c r="C140" i="11"/>
  <c r="D140" i="11" s="1"/>
  <c r="E140" i="11" s="1"/>
  <c r="AM93" i="8"/>
  <c r="AE93" i="8"/>
  <c r="V197" i="3"/>
  <c r="L144" i="3"/>
  <c r="M144" i="3"/>
  <c r="AH143" i="3"/>
  <c r="S145" i="8"/>
  <c r="AN92" i="8"/>
  <c r="J89" i="36"/>
  <c r="AE198" i="6"/>
  <c r="AW198" i="6" s="1"/>
  <c r="K93" i="4"/>
  <c r="O93" i="4" s="1"/>
  <c r="AY196" i="6"/>
  <c r="AK139" i="6"/>
  <c r="AS137" i="8"/>
  <c r="AT137" i="8" s="1"/>
  <c r="R145" i="3"/>
  <c r="AN92" i="3"/>
  <c r="BH69" i="31"/>
  <c r="AZ195" i="6"/>
  <c r="AL138" i="6"/>
  <c r="B83" i="15"/>
  <c r="C83" i="15" s="1"/>
  <c r="AN138" i="6"/>
  <c r="AQ138" i="6" s="1"/>
  <c r="AM138" i="6"/>
  <c r="AP138" i="6" s="1"/>
  <c r="AO138" i="6"/>
  <c r="AR138" i="6" s="1"/>
  <c r="V198" i="8"/>
  <c r="AC202" i="8"/>
  <c r="AU202" i="8" s="1"/>
  <c r="H145" i="8"/>
  <c r="K145" i="8"/>
  <c r="L145" i="8" s="1"/>
  <c r="V145" i="8"/>
  <c r="AE198" i="3"/>
  <c r="AW198" i="3" s="1"/>
  <c r="J34" i="36"/>
  <c r="AH143" i="6"/>
  <c r="AE46" i="9"/>
  <c r="BF41" i="3"/>
  <c r="AC41" i="3"/>
  <c r="AG41" i="3"/>
  <c r="AD41" i="3"/>
  <c r="AN41" i="3"/>
  <c r="BG41" i="3" s="1"/>
  <c r="AE41" i="3"/>
  <c r="AF41" i="3"/>
  <c r="AB94" i="3"/>
  <c r="N144" i="3"/>
  <c r="AA201" i="8"/>
  <c r="Z144" i="8"/>
  <c r="AC144" i="8"/>
  <c r="C94" i="4"/>
  <c r="AY197" i="3"/>
  <c r="AK140" i="3"/>
  <c r="I94" i="4"/>
  <c r="BS54" i="31"/>
  <c r="BT53" i="31"/>
  <c r="BV53" i="31" s="1"/>
  <c r="BW53" i="31" s="1"/>
  <c r="R200" i="8"/>
  <c r="B146" i="36"/>
  <c r="D146" i="36" s="1"/>
  <c r="E146" i="36" s="1"/>
  <c r="S200" i="40" s="1"/>
  <c r="T200" i="40" s="1"/>
  <c r="J33" i="36"/>
  <c r="AE197" i="3"/>
  <c r="AW197" i="3" s="1"/>
  <c r="R200" i="6"/>
  <c r="B91" i="36"/>
  <c r="D91" i="36" s="1"/>
  <c r="E91" i="36" s="1"/>
  <c r="S200" i="39" s="1"/>
  <c r="T200" i="39" s="1"/>
  <c r="BF41" i="6"/>
  <c r="AN41" i="6"/>
  <c r="BG41" i="6" s="1"/>
  <c r="AB94" i="6"/>
  <c r="AC144" i="3"/>
  <c r="Z144" i="3"/>
  <c r="AA201" i="3"/>
  <c r="O201" i="3"/>
  <c r="B37" i="43" s="1"/>
  <c r="D37" i="43" s="1"/>
  <c r="E37" i="43" s="1"/>
  <c r="H37" i="43" s="1"/>
  <c r="J37" i="43" s="1"/>
  <c r="Y144" i="3"/>
  <c r="AB144" i="3" s="1"/>
  <c r="AA144" i="3"/>
  <c r="AM57" i="31"/>
  <c r="AN56" i="31"/>
  <c r="R200" i="3"/>
  <c r="B36" i="36"/>
  <c r="D36" i="36" s="1"/>
  <c r="E36" i="36" s="1"/>
  <c r="S200" i="38" s="1"/>
  <c r="T200" i="38" s="1"/>
  <c r="D90" i="36"/>
  <c r="E90" i="36" s="1"/>
  <c r="S199" i="39" s="1"/>
  <c r="T199" i="39" s="1"/>
  <c r="M144" i="8"/>
  <c r="L144" i="8"/>
  <c r="V198" i="6"/>
  <c r="AO198" i="6"/>
  <c r="AP198" i="6" s="1"/>
  <c r="K94" i="4"/>
  <c r="O94" i="4" s="1"/>
  <c r="AY197" i="6"/>
  <c r="AK140" i="6"/>
  <c r="AZ53" i="31"/>
  <c r="AW53" i="31"/>
  <c r="AV53" i="31"/>
  <c r="H145" i="6"/>
  <c r="V145" i="6"/>
  <c r="AA145" i="6" s="1"/>
  <c r="K145" i="6"/>
  <c r="AC202" i="6"/>
  <c r="AU202" i="6" s="1"/>
  <c r="AH143" i="8"/>
  <c r="R93" i="4"/>
  <c r="V93" i="4" s="1"/>
  <c r="AY196" i="8"/>
  <c r="AK139" i="8"/>
  <c r="AN41" i="8"/>
  <c r="BG41" i="8" s="1"/>
  <c r="BF41" i="8"/>
  <c r="AB94" i="8"/>
  <c r="AG143" i="6"/>
  <c r="AF143" i="8"/>
  <c r="N144" i="8"/>
  <c r="AR55" i="31"/>
  <c r="AO55" i="31"/>
  <c r="AQ55" i="31" s="1"/>
  <c r="CL50" i="31" s="1"/>
  <c r="G51" i="31" s="1"/>
  <c r="BP52" i="31"/>
  <c r="BN52" i="31"/>
  <c r="BO52" i="31" s="1"/>
  <c r="AO197" i="6"/>
  <c r="AP197" i="6" s="1"/>
  <c r="AI142" i="3"/>
  <c r="E96" i="4" s="1"/>
  <c r="AO197" i="8"/>
  <c r="AP197" i="8" s="1"/>
  <c r="AI142" i="8"/>
  <c r="T96" i="4" s="1"/>
  <c r="H35" i="36"/>
  <c r="AE199" i="38" s="1"/>
  <c r="AW199" i="38" s="1"/>
  <c r="S199" i="3"/>
  <c r="T199" i="3" s="1"/>
  <c r="X145" i="8"/>
  <c r="C89" i="11"/>
  <c r="D89" i="11" s="1"/>
  <c r="E89" i="11" s="1"/>
  <c r="AM93" i="6"/>
  <c r="AE93" i="6"/>
  <c r="V198" i="3"/>
  <c r="AO198" i="3"/>
  <c r="AP198" i="3" s="1"/>
  <c r="AU54" i="31"/>
  <c r="AT55" i="31"/>
  <c r="H145" i="36"/>
  <c r="AE199" i="40" s="1"/>
  <c r="AW199" i="40" s="1"/>
  <c r="S199" i="8"/>
  <c r="T199" i="8" s="1"/>
  <c r="AY196" i="3"/>
  <c r="AK139" i="3"/>
  <c r="C93" i="4"/>
  <c r="I93" i="4"/>
  <c r="AB42" i="6"/>
  <c r="M40" i="11"/>
  <c r="AB42" i="3"/>
  <c r="AB42" i="8"/>
  <c r="F132" i="15"/>
  <c r="J132" i="15"/>
  <c r="I132" i="15"/>
  <c r="E132" i="15"/>
  <c r="Y144" i="8"/>
  <c r="AB144" i="8" s="1"/>
  <c r="O201" i="8"/>
  <c r="B147" i="43" s="1"/>
  <c r="AF143" i="3"/>
  <c r="AI142" i="6"/>
  <c r="M96" i="4" s="1"/>
  <c r="X145" i="3"/>
  <c r="BL53" i="31"/>
  <c r="BK54" i="31"/>
  <c r="N144" i="6"/>
  <c r="L144" i="6"/>
  <c r="AS137" i="3"/>
  <c r="AT137" i="3" s="1"/>
  <c r="F32" i="15"/>
  <c r="E32" i="15"/>
  <c r="I32" i="15"/>
  <c r="BI70" i="31"/>
  <c r="BF70" i="31"/>
  <c r="BD70" i="31"/>
  <c r="BE70" i="31"/>
  <c r="AF143" i="6"/>
  <c r="Y144" i="6"/>
  <c r="O201" i="6"/>
  <c r="B92" i="43" s="1"/>
  <c r="AE141" i="3"/>
  <c r="AE141" i="8"/>
  <c r="AE141" i="6"/>
  <c r="AA144" i="8"/>
  <c r="CC453" i="2"/>
  <c r="CD452" i="2"/>
  <c r="AA144" i="6" l="1"/>
  <c r="AG144" i="6" s="1"/>
  <c r="D147" i="43"/>
  <c r="E147" i="43" s="1"/>
  <c r="H147" i="43" s="1"/>
  <c r="J147" i="43" s="1"/>
  <c r="M145" i="8"/>
  <c r="D92" i="43"/>
  <c r="E92" i="43" s="1"/>
  <c r="H92" i="43" s="1"/>
  <c r="J92" i="43" s="1"/>
  <c r="AK141" i="38"/>
  <c r="AZ198" i="38" s="1"/>
  <c r="AI142" i="40"/>
  <c r="AS138" i="40"/>
  <c r="AT138" i="40" s="1"/>
  <c r="AA201" i="6"/>
  <c r="AB144" i="6"/>
  <c r="AH144" i="6" s="1"/>
  <c r="AM140" i="39"/>
  <c r="AP140" i="39" s="1"/>
  <c r="AL140" i="39"/>
  <c r="AO140" i="39"/>
  <c r="AR140" i="39" s="1"/>
  <c r="AN140" i="39"/>
  <c r="AQ140" i="39" s="1"/>
  <c r="AZ197" i="39"/>
  <c r="AY198" i="40"/>
  <c r="AK141" i="40"/>
  <c r="AN140" i="40"/>
  <c r="AQ140" i="40" s="1"/>
  <c r="AM140" i="40"/>
  <c r="AP140" i="40" s="1"/>
  <c r="AL140" i="40"/>
  <c r="AO140" i="40"/>
  <c r="AR140" i="40" s="1"/>
  <c r="AZ197" i="40"/>
  <c r="AY198" i="39"/>
  <c r="AK141" i="39"/>
  <c r="AN139" i="40"/>
  <c r="AQ139" i="40" s="1"/>
  <c r="AZ196" i="40"/>
  <c r="AO139" i="40"/>
  <c r="AR139" i="40" s="1"/>
  <c r="AM139" i="40"/>
  <c r="AP139" i="40" s="1"/>
  <c r="AL139" i="40"/>
  <c r="AO139" i="39"/>
  <c r="AR139" i="39" s="1"/>
  <c r="AM139" i="39"/>
  <c r="AP139" i="39" s="1"/>
  <c r="AL139" i="39"/>
  <c r="AN139" i="39"/>
  <c r="AQ139" i="39" s="1"/>
  <c r="AZ196" i="39"/>
  <c r="AS138" i="39"/>
  <c r="AT138" i="39" s="1"/>
  <c r="AA201" i="40"/>
  <c r="AC144" i="40"/>
  <c r="AB144" i="40"/>
  <c r="Z144" i="40"/>
  <c r="V200" i="40"/>
  <c r="G146" i="8"/>
  <c r="K146" i="8" s="1"/>
  <c r="N146" i="8" s="1"/>
  <c r="G146" i="40"/>
  <c r="AG143" i="40"/>
  <c r="AC202" i="40"/>
  <c r="AU202" i="40" s="1"/>
  <c r="X145" i="40"/>
  <c r="H145" i="40"/>
  <c r="K145" i="40"/>
  <c r="V145" i="40"/>
  <c r="AF143" i="40"/>
  <c r="AO199" i="40"/>
  <c r="AP199" i="40" s="1"/>
  <c r="N144" i="40"/>
  <c r="L144" i="40"/>
  <c r="AA144" i="40"/>
  <c r="AM201" i="40"/>
  <c r="AN201" i="40" s="1"/>
  <c r="AH143" i="40"/>
  <c r="AI142" i="39"/>
  <c r="G146" i="6"/>
  <c r="K146" i="6" s="1"/>
  <c r="G146" i="39"/>
  <c r="AF143" i="39"/>
  <c r="AC144" i="39"/>
  <c r="AA201" i="39"/>
  <c r="AB144" i="39"/>
  <c r="Z144" i="39"/>
  <c r="V200" i="39"/>
  <c r="AH143" i="39"/>
  <c r="M144" i="39"/>
  <c r="N144" i="39"/>
  <c r="L144" i="39"/>
  <c r="AC202" i="39"/>
  <c r="AU202" i="39" s="1"/>
  <c r="X145" i="39"/>
  <c r="H145" i="39"/>
  <c r="K145" i="39"/>
  <c r="M145" i="39" s="1"/>
  <c r="V145" i="39"/>
  <c r="V199" i="39"/>
  <c r="AG143" i="39"/>
  <c r="AM201" i="39"/>
  <c r="AN201" i="39" s="1"/>
  <c r="AA144" i="39"/>
  <c r="AI143" i="3"/>
  <c r="E97" i="4" s="1"/>
  <c r="G97" i="4" s="1"/>
  <c r="AS140" i="38"/>
  <c r="AT140" i="38" s="1"/>
  <c r="G146" i="3"/>
  <c r="AC203" i="3" s="1"/>
  <c r="AU203" i="3" s="1"/>
  <c r="G146" i="38"/>
  <c r="AG143" i="38"/>
  <c r="H145" i="38"/>
  <c r="AC202" i="38"/>
  <c r="AU202" i="38" s="1"/>
  <c r="X145" i="38"/>
  <c r="K145" i="38"/>
  <c r="V145" i="38"/>
  <c r="V200" i="38"/>
  <c r="AS138" i="3"/>
  <c r="AT138" i="3" s="1"/>
  <c r="AF143" i="38"/>
  <c r="AL141" i="38"/>
  <c r="AO141" i="38"/>
  <c r="AR141" i="38" s="1"/>
  <c r="AA144" i="38"/>
  <c r="AM201" i="38"/>
  <c r="AN201" i="38" s="1"/>
  <c r="AO197" i="3"/>
  <c r="AP197" i="3" s="1"/>
  <c r="AH143" i="38"/>
  <c r="AS139" i="38"/>
  <c r="AT139" i="38" s="1"/>
  <c r="AC144" i="38"/>
  <c r="AA201" i="38"/>
  <c r="AB144" i="38"/>
  <c r="Z144" i="38"/>
  <c r="AI142" i="38"/>
  <c r="L144" i="38"/>
  <c r="N144" i="38"/>
  <c r="AO199" i="38"/>
  <c r="AP199" i="38" s="1"/>
  <c r="CT48" i="31"/>
  <c r="CV48" i="31" s="1"/>
  <c r="AG145" i="6"/>
  <c r="R201" i="6"/>
  <c r="B92" i="36"/>
  <c r="D92" i="36" s="1"/>
  <c r="E92" i="36" s="1"/>
  <c r="S201" i="39" s="1"/>
  <c r="T201" i="39" s="1"/>
  <c r="AK141" i="6"/>
  <c r="K95" i="4"/>
  <c r="O95" i="4" s="1"/>
  <c r="AY198" i="6"/>
  <c r="I95" i="4"/>
  <c r="AY198" i="3"/>
  <c r="AK141" i="3"/>
  <c r="C95" i="4"/>
  <c r="AI143" i="6"/>
  <c r="M97" i="4" s="1"/>
  <c r="BK55" i="31"/>
  <c r="BL54" i="31"/>
  <c r="BF42" i="8"/>
  <c r="AN42" i="8"/>
  <c r="BG42" i="8" s="1"/>
  <c r="AB95" i="8"/>
  <c r="V199" i="8"/>
  <c r="AZ54" i="31"/>
  <c r="AV54" i="31"/>
  <c r="AW54" i="31"/>
  <c r="V146" i="6"/>
  <c r="H146" i="6"/>
  <c r="AE199" i="3"/>
  <c r="AW199" i="3" s="1"/>
  <c r="J35" i="36"/>
  <c r="M145" i="6"/>
  <c r="L145" i="6"/>
  <c r="AH144" i="3"/>
  <c r="AF144" i="3"/>
  <c r="AF144" i="8"/>
  <c r="Z145" i="8"/>
  <c r="AC145" i="8"/>
  <c r="AA202" i="8"/>
  <c r="AO198" i="8"/>
  <c r="AP198" i="8" s="1"/>
  <c r="Y145" i="8"/>
  <c r="AB145" i="8" s="1"/>
  <c r="O202" i="8"/>
  <c r="B148" i="43" s="1"/>
  <c r="AC203" i="8"/>
  <c r="AU203" i="8" s="1"/>
  <c r="H146" i="8"/>
  <c r="V146" i="8"/>
  <c r="BB73" i="31"/>
  <c r="BC72" i="31"/>
  <c r="AF144" i="6"/>
  <c r="K146" i="3"/>
  <c r="N146" i="3" s="1"/>
  <c r="E33" i="15"/>
  <c r="F33" i="15"/>
  <c r="I33" i="15"/>
  <c r="AE199" i="8"/>
  <c r="AW199" i="8" s="1"/>
  <c r="J145" i="36"/>
  <c r="R146" i="6"/>
  <c r="AN93" i="6"/>
  <c r="H90" i="36"/>
  <c r="AE199" i="39" s="1"/>
  <c r="AW199" i="39" s="1"/>
  <c r="S199" i="6"/>
  <c r="T199" i="6" s="1"/>
  <c r="AR56" i="31"/>
  <c r="AO56" i="31"/>
  <c r="AQ56" i="31" s="1"/>
  <c r="CL51" i="31" s="1"/>
  <c r="G52" i="31" s="1"/>
  <c r="R201" i="3"/>
  <c r="B37" i="36"/>
  <c r="D37" i="36" s="1"/>
  <c r="E37" i="36" s="1"/>
  <c r="S201" i="38" s="1"/>
  <c r="T201" i="38" s="1"/>
  <c r="BT54" i="31"/>
  <c r="BV54" i="31" s="1"/>
  <c r="BW54" i="31" s="1"/>
  <c r="BS55" i="31"/>
  <c r="F83" i="15"/>
  <c r="J83" i="15"/>
  <c r="I83" i="15"/>
  <c r="E83" i="15"/>
  <c r="AZ196" i="6"/>
  <c r="B84" i="15"/>
  <c r="C84" i="15" s="1"/>
  <c r="AL139" i="6"/>
  <c r="AN139" i="6"/>
  <c r="AQ139" i="6" s="1"/>
  <c r="AM139" i="6"/>
  <c r="AP139" i="6" s="1"/>
  <c r="AO139" i="6"/>
  <c r="AR139" i="6" s="1"/>
  <c r="S146" i="8"/>
  <c r="AN93" i="8"/>
  <c r="AN93" i="3"/>
  <c r="R146" i="3"/>
  <c r="N145" i="6"/>
  <c r="AE47" i="9"/>
  <c r="BF42" i="3"/>
  <c r="AF42" i="3"/>
  <c r="AN42" i="3"/>
  <c r="BG42" i="3" s="1"/>
  <c r="AD42" i="3"/>
  <c r="AC42" i="3"/>
  <c r="AE42" i="3"/>
  <c r="AG42" i="3"/>
  <c r="AB95" i="3"/>
  <c r="AA145" i="3"/>
  <c r="AM202" i="3"/>
  <c r="AN202" i="3" s="1"/>
  <c r="M41" i="11"/>
  <c r="AB43" i="8"/>
  <c r="AB43" i="6"/>
  <c r="AB43" i="3"/>
  <c r="B34" i="15"/>
  <c r="C34" i="15" s="1"/>
  <c r="J34" i="15" s="1"/>
  <c r="AL139" i="3"/>
  <c r="AZ196" i="3"/>
  <c r="AO139" i="3"/>
  <c r="AR139" i="3" s="1"/>
  <c r="AN139" i="3"/>
  <c r="AQ139" i="3" s="1"/>
  <c r="AM139" i="3"/>
  <c r="AP139" i="3" s="1"/>
  <c r="C141" i="11"/>
  <c r="D141" i="11" s="1"/>
  <c r="E141" i="11" s="1"/>
  <c r="AM94" i="8"/>
  <c r="AE94" i="8"/>
  <c r="AZ196" i="8"/>
  <c r="B134" i="15"/>
  <c r="C134" i="15" s="1"/>
  <c r="AL139" i="8"/>
  <c r="AM139" i="8"/>
  <c r="AP139" i="8" s="1"/>
  <c r="AO139" i="8"/>
  <c r="AR139" i="8" s="1"/>
  <c r="AN139" i="8"/>
  <c r="AQ139" i="8" s="1"/>
  <c r="AZ197" i="6"/>
  <c r="AL140" i="6"/>
  <c r="B85" i="15"/>
  <c r="C85" i="15" s="1"/>
  <c r="AN140" i="6"/>
  <c r="AQ140" i="6" s="1"/>
  <c r="AO140" i="6"/>
  <c r="AR140" i="6" s="1"/>
  <c r="AM140" i="6"/>
  <c r="AP140" i="6" s="1"/>
  <c r="AM58" i="31"/>
  <c r="AN57" i="31"/>
  <c r="C90" i="11"/>
  <c r="D90" i="11" s="1"/>
  <c r="E90" i="11" s="1"/>
  <c r="AM94" i="6"/>
  <c r="AE94" i="6"/>
  <c r="H91" i="36"/>
  <c r="AE200" i="39" s="1"/>
  <c r="AW200" i="39" s="1"/>
  <c r="S200" i="6"/>
  <c r="T200" i="6" s="1"/>
  <c r="S200" i="8"/>
  <c r="T200" i="8" s="1"/>
  <c r="H146" i="36"/>
  <c r="AE200" i="40" s="1"/>
  <c r="AW200" i="40" s="1"/>
  <c r="N145" i="8"/>
  <c r="M145" i="3"/>
  <c r="L145" i="3"/>
  <c r="Y145" i="6"/>
  <c r="AB145" i="6" s="1"/>
  <c r="O202" i="6"/>
  <c r="B93" i="43" s="1"/>
  <c r="AS138" i="8"/>
  <c r="AT138" i="8" s="1"/>
  <c r="AG144" i="8"/>
  <c r="BP53" i="31"/>
  <c r="BN53" i="31"/>
  <c r="BO53" i="31" s="1"/>
  <c r="AA145" i="8"/>
  <c r="AM202" i="8"/>
  <c r="AN202" i="8" s="1"/>
  <c r="AC145" i="6"/>
  <c r="AA202" i="6"/>
  <c r="Z145" i="6"/>
  <c r="BH70" i="31"/>
  <c r="B147" i="36"/>
  <c r="D147" i="36" s="1"/>
  <c r="E147" i="36" s="1"/>
  <c r="S201" i="40" s="1"/>
  <c r="T201" i="40" s="1"/>
  <c r="R201" i="8"/>
  <c r="R95" i="4"/>
  <c r="V95" i="4" s="1"/>
  <c r="AY198" i="8"/>
  <c r="AK141" i="8"/>
  <c r="AH144" i="8"/>
  <c r="BF42" i="6"/>
  <c r="AN42" i="6"/>
  <c r="BG42" i="6" s="1"/>
  <c r="AB95" i="6"/>
  <c r="AU55" i="31"/>
  <c r="AT56" i="31"/>
  <c r="X146" i="6"/>
  <c r="V199" i="3"/>
  <c r="AO199" i="3"/>
  <c r="AP199" i="3" s="1"/>
  <c r="G96" i="4"/>
  <c r="AI143" i="8"/>
  <c r="T97" i="4" s="1"/>
  <c r="AY53" i="31"/>
  <c r="H36" i="36"/>
  <c r="AE200" i="38" s="1"/>
  <c r="AW200" i="38" s="1"/>
  <c r="S200" i="3"/>
  <c r="T200" i="3" s="1"/>
  <c r="AG144" i="3"/>
  <c r="B35" i="15"/>
  <c r="C35" i="15" s="1"/>
  <c r="J35" i="15" s="1"/>
  <c r="AL140" i="3"/>
  <c r="AZ197" i="3"/>
  <c r="AN140" i="3"/>
  <c r="AQ140" i="3" s="1"/>
  <c r="AM140" i="3"/>
  <c r="AP140" i="3" s="1"/>
  <c r="AO140" i="3"/>
  <c r="AR140" i="3" s="1"/>
  <c r="C39" i="11"/>
  <c r="D39" i="11" s="1"/>
  <c r="E39" i="11" s="1"/>
  <c r="AE94" i="3"/>
  <c r="AM94" i="3"/>
  <c r="AS138" i="6"/>
  <c r="AT138" i="6" s="1"/>
  <c r="O202" i="3"/>
  <c r="B38" i="43" s="1"/>
  <c r="Y145" i="3"/>
  <c r="AB145" i="3" s="1"/>
  <c r="X146" i="8"/>
  <c r="BI71" i="31"/>
  <c r="BF71" i="31"/>
  <c r="BE71" i="31"/>
  <c r="BD71" i="31"/>
  <c r="X146" i="3"/>
  <c r="CK50" i="31"/>
  <c r="CO49" i="31"/>
  <c r="CR49" i="31"/>
  <c r="Z145" i="3"/>
  <c r="AC145" i="3"/>
  <c r="AA202" i="3"/>
  <c r="AL140" i="8"/>
  <c r="B135" i="15"/>
  <c r="C135" i="15" s="1"/>
  <c r="AZ197" i="8"/>
  <c r="AO140" i="8"/>
  <c r="AR140" i="8" s="1"/>
  <c r="AM140" i="8"/>
  <c r="AP140" i="8" s="1"/>
  <c r="AN140" i="8"/>
  <c r="AQ140" i="8" s="1"/>
  <c r="I133" i="15"/>
  <c r="J133" i="15"/>
  <c r="E133" i="15"/>
  <c r="F133" i="15"/>
  <c r="CC454" i="2"/>
  <c r="CD453" i="2"/>
  <c r="AM141" i="38" l="1"/>
  <c r="AP141" i="38" s="1"/>
  <c r="AN141" i="38"/>
  <c r="AQ141" i="38" s="1"/>
  <c r="D148" i="43"/>
  <c r="E148" i="43"/>
  <c r="H148" i="43" s="1"/>
  <c r="J148" i="43" s="1"/>
  <c r="D93" i="43"/>
  <c r="E93" i="43" s="1"/>
  <c r="H93" i="43" s="1"/>
  <c r="J93" i="43" s="1"/>
  <c r="D38" i="43"/>
  <c r="E38" i="43" s="1"/>
  <c r="H38" i="43" s="1"/>
  <c r="J38" i="43" s="1"/>
  <c r="AI143" i="40"/>
  <c r="AE143" i="38"/>
  <c r="AK143" i="38" s="1"/>
  <c r="AE143" i="40"/>
  <c r="AE143" i="39"/>
  <c r="AM141" i="40"/>
  <c r="AP141" i="40" s="1"/>
  <c r="AZ198" i="40"/>
  <c r="AL141" i="40"/>
  <c r="AO141" i="40"/>
  <c r="AR141" i="40" s="1"/>
  <c r="AN141" i="40"/>
  <c r="AQ141" i="40" s="1"/>
  <c r="AS140" i="39"/>
  <c r="AT140" i="39" s="1"/>
  <c r="AS139" i="40"/>
  <c r="AT139" i="40" s="1"/>
  <c r="AN141" i="39"/>
  <c r="AQ141" i="39" s="1"/>
  <c r="AO141" i="39"/>
  <c r="AR141" i="39" s="1"/>
  <c r="AM141" i="39"/>
  <c r="AP141" i="39" s="1"/>
  <c r="AZ198" i="39"/>
  <c r="AL141" i="39"/>
  <c r="AE142" i="38"/>
  <c r="AY199" i="38" s="1"/>
  <c r="AE142" i="40"/>
  <c r="AE142" i="39"/>
  <c r="AS139" i="39"/>
  <c r="AT139" i="39" s="1"/>
  <c r="AS140" i="40"/>
  <c r="AT140" i="40" s="1"/>
  <c r="N145" i="40"/>
  <c r="L145" i="40"/>
  <c r="AC203" i="40"/>
  <c r="AU203" i="40" s="1"/>
  <c r="H146" i="40"/>
  <c r="X146" i="40"/>
  <c r="V146" i="40"/>
  <c r="K146" i="40"/>
  <c r="AG144" i="40"/>
  <c r="M145" i="40"/>
  <c r="G147" i="8"/>
  <c r="H147" i="8" s="1"/>
  <c r="G147" i="40"/>
  <c r="AF144" i="40"/>
  <c r="V201" i="40"/>
  <c r="AI144" i="8"/>
  <c r="T98" i="4" s="1"/>
  <c r="AA202" i="40"/>
  <c r="AC145" i="40"/>
  <c r="AB145" i="40"/>
  <c r="Z145" i="40"/>
  <c r="AF145" i="40" s="1"/>
  <c r="AM202" i="40"/>
  <c r="AN202" i="40" s="1"/>
  <c r="AA145" i="40"/>
  <c r="AO200" i="40"/>
  <c r="AP200" i="40" s="1"/>
  <c r="AH144" i="40"/>
  <c r="AC203" i="6"/>
  <c r="AU203" i="6" s="1"/>
  <c r="AG144" i="39"/>
  <c r="AO199" i="39"/>
  <c r="AP199" i="39" s="1"/>
  <c r="AF144" i="39"/>
  <c r="V201" i="39"/>
  <c r="AI143" i="39"/>
  <c r="AH144" i="39"/>
  <c r="G147" i="6"/>
  <c r="G147" i="39"/>
  <c r="AC145" i="39"/>
  <c r="AA202" i="39"/>
  <c r="AB145" i="39"/>
  <c r="Z145" i="39"/>
  <c r="AM202" i="39"/>
  <c r="AN202" i="39" s="1"/>
  <c r="AA145" i="39"/>
  <c r="AC203" i="39"/>
  <c r="AU203" i="39" s="1"/>
  <c r="X146" i="39"/>
  <c r="H146" i="39"/>
  <c r="V146" i="39"/>
  <c r="K146" i="39"/>
  <c r="M146" i="39" s="1"/>
  <c r="N145" i="39"/>
  <c r="L145" i="39"/>
  <c r="AO200" i="39"/>
  <c r="AP200" i="39" s="1"/>
  <c r="V146" i="3"/>
  <c r="AA203" i="3" s="1"/>
  <c r="AS139" i="3"/>
  <c r="AT139" i="3" s="1"/>
  <c r="AI143" i="38"/>
  <c r="G147" i="3"/>
  <c r="G147" i="38"/>
  <c r="AK142" i="38"/>
  <c r="AS140" i="6"/>
  <c r="AT140" i="6" s="1"/>
  <c r="AS139" i="8"/>
  <c r="AT139" i="8" s="1"/>
  <c r="V201" i="38"/>
  <c r="H146" i="3"/>
  <c r="AY200" i="38"/>
  <c r="AO200" i="38"/>
  <c r="AP200" i="38" s="1"/>
  <c r="AA145" i="38"/>
  <c r="AM202" i="38"/>
  <c r="AN202" i="38" s="1"/>
  <c r="AS139" i="6"/>
  <c r="AT139" i="6" s="1"/>
  <c r="AF144" i="38"/>
  <c r="AH144" i="38"/>
  <c r="AC145" i="38"/>
  <c r="AA202" i="38"/>
  <c r="AB145" i="38"/>
  <c r="Z145" i="38"/>
  <c r="AC203" i="38"/>
  <c r="AU203" i="38" s="1"/>
  <c r="X146" i="38"/>
  <c r="H146" i="38"/>
  <c r="V146" i="38"/>
  <c r="K146" i="38"/>
  <c r="AG144" i="38"/>
  <c r="M145" i="38"/>
  <c r="N145" i="38"/>
  <c r="L145" i="38"/>
  <c r="CT49" i="31"/>
  <c r="CV49" i="31" s="1"/>
  <c r="BH71" i="31"/>
  <c r="AM203" i="3"/>
  <c r="AN203" i="3" s="1"/>
  <c r="AA146" i="3"/>
  <c r="S201" i="8"/>
  <c r="T201" i="8" s="1"/>
  <c r="H147" i="36"/>
  <c r="AE201" i="40" s="1"/>
  <c r="AW201" i="40" s="1"/>
  <c r="V200" i="6"/>
  <c r="S147" i="8"/>
  <c r="AN94" i="8"/>
  <c r="AC204" i="8"/>
  <c r="AU204" i="8" s="1"/>
  <c r="V147" i="8"/>
  <c r="K147" i="8"/>
  <c r="L147" i="8" s="1"/>
  <c r="BF43" i="6"/>
  <c r="AN43" i="6"/>
  <c r="BG43" i="6" s="1"/>
  <c r="AB96" i="6"/>
  <c r="AG145" i="3"/>
  <c r="J90" i="36"/>
  <c r="AE199" i="6"/>
  <c r="AW199" i="6" s="1"/>
  <c r="BC73" i="31"/>
  <c r="BB74" i="31"/>
  <c r="N146" i="6"/>
  <c r="L146" i="6"/>
  <c r="M146" i="6"/>
  <c r="BK56" i="31"/>
  <c r="BL55" i="31"/>
  <c r="AL141" i="6"/>
  <c r="AZ198" i="6"/>
  <c r="B86" i="15"/>
  <c r="C86" i="15" s="1"/>
  <c r="AN141" i="6"/>
  <c r="AQ141" i="6" s="1"/>
  <c r="AO141" i="6"/>
  <c r="AR141" i="6" s="1"/>
  <c r="AM141" i="6"/>
  <c r="AP141" i="6" s="1"/>
  <c r="H92" i="36"/>
  <c r="AE201" i="39" s="1"/>
  <c r="AW201" i="39" s="1"/>
  <c r="S201" i="6"/>
  <c r="T201" i="6" s="1"/>
  <c r="AE142" i="6"/>
  <c r="AE142" i="3"/>
  <c r="AE142" i="8"/>
  <c r="J135" i="15"/>
  <c r="F135" i="15"/>
  <c r="I135" i="15"/>
  <c r="E135" i="15"/>
  <c r="AA146" i="8"/>
  <c r="AM203" i="8"/>
  <c r="AN203" i="8" s="1"/>
  <c r="AZ55" i="31"/>
  <c r="AW55" i="31"/>
  <c r="AV55" i="31"/>
  <c r="BF43" i="8"/>
  <c r="AN43" i="8"/>
  <c r="BG43" i="8" s="1"/>
  <c r="AB96" i="8"/>
  <c r="BS56" i="31"/>
  <c r="BT55" i="31"/>
  <c r="BV55" i="31" s="1"/>
  <c r="BW55" i="31" s="1"/>
  <c r="AC146" i="3"/>
  <c r="Z146" i="8"/>
  <c r="AC146" i="8"/>
  <c r="AA203" i="8"/>
  <c r="B148" i="36"/>
  <c r="D148" i="36" s="1"/>
  <c r="E148" i="36" s="1"/>
  <c r="S202" i="40" s="1"/>
  <c r="T202" i="40" s="1"/>
  <c r="R202" i="8"/>
  <c r="AA203" i="6"/>
  <c r="AC146" i="6"/>
  <c r="Z146" i="6"/>
  <c r="AO199" i="8"/>
  <c r="AP199" i="8" s="1"/>
  <c r="AF145" i="3"/>
  <c r="V200" i="3"/>
  <c r="AC204" i="6"/>
  <c r="AU204" i="6" s="1"/>
  <c r="H147" i="6"/>
  <c r="V147" i="6"/>
  <c r="K147" i="6"/>
  <c r="N147" i="6" s="1"/>
  <c r="AS140" i="8"/>
  <c r="AT140" i="8" s="1"/>
  <c r="AS140" i="3"/>
  <c r="AT140" i="3" s="1"/>
  <c r="C91" i="11"/>
  <c r="D91" i="11" s="1"/>
  <c r="E91" i="11" s="1"/>
  <c r="AM95" i="6"/>
  <c r="AE95" i="6"/>
  <c r="AH145" i="6"/>
  <c r="J146" i="36"/>
  <c r="AE200" i="8"/>
  <c r="AW200" i="8" s="1"/>
  <c r="AN94" i="6"/>
  <c r="R147" i="6"/>
  <c r="AR57" i="31"/>
  <c r="AO57" i="31"/>
  <c r="AQ57" i="31" s="1"/>
  <c r="CL52" i="31" s="1"/>
  <c r="G53" i="31" s="1"/>
  <c r="E134" i="15"/>
  <c r="J134" i="15"/>
  <c r="F134" i="15"/>
  <c r="I134" i="15"/>
  <c r="I34" i="15"/>
  <c r="E34" i="15"/>
  <c r="F34" i="15"/>
  <c r="AB44" i="3"/>
  <c r="AB44" i="8"/>
  <c r="AB44" i="6"/>
  <c r="M42" i="11"/>
  <c r="Y146" i="3"/>
  <c r="AB146" i="3" s="1"/>
  <c r="O203" i="3"/>
  <c r="B39" i="43" s="1"/>
  <c r="D39" i="43" s="1"/>
  <c r="E39" i="43" s="1"/>
  <c r="H39" i="43" s="1"/>
  <c r="J39" i="43" s="1"/>
  <c r="Y146" i="8"/>
  <c r="AB146" i="8" s="1"/>
  <c r="O203" i="8"/>
  <c r="B149" i="43" s="1"/>
  <c r="D149" i="43" s="1"/>
  <c r="E149" i="43" s="1"/>
  <c r="H149" i="43" s="1"/>
  <c r="J149" i="43" s="1"/>
  <c r="O203" i="6"/>
  <c r="B94" i="43" s="1"/>
  <c r="Y146" i="6"/>
  <c r="AB146" i="6" s="1"/>
  <c r="M146" i="3"/>
  <c r="L146" i="3"/>
  <c r="AI144" i="6"/>
  <c r="M98" i="4" s="1"/>
  <c r="L146" i="8"/>
  <c r="M146" i="8"/>
  <c r="AH145" i="8"/>
  <c r="AC204" i="3"/>
  <c r="AU204" i="3" s="1"/>
  <c r="H147" i="3"/>
  <c r="K147" i="3"/>
  <c r="N147" i="3" s="1"/>
  <c r="V147" i="3"/>
  <c r="AU56" i="31"/>
  <c r="AT57" i="31"/>
  <c r="AZ198" i="8"/>
  <c r="B136" i="15"/>
  <c r="C136" i="15" s="1"/>
  <c r="AL141" i="8"/>
  <c r="AN141" i="8"/>
  <c r="AQ141" i="8" s="1"/>
  <c r="AO141" i="8"/>
  <c r="AR141" i="8" s="1"/>
  <c r="AM141" i="8"/>
  <c r="AP141" i="8" s="1"/>
  <c r="R202" i="6"/>
  <c r="B93" i="36"/>
  <c r="D93" i="36" s="1"/>
  <c r="E93" i="36" s="1"/>
  <c r="S202" i="39" s="1"/>
  <c r="T202" i="39" s="1"/>
  <c r="J91" i="36"/>
  <c r="AE200" i="6"/>
  <c r="AW200" i="6" s="1"/>
  <c r="M147" i="8"/>
  <c r="AH145" i="3"/>
  <c r="X147" i="3"/>
  <c r="E35" i="15"/>
  <c r="I35" i="15"/>
  <c r="F35" i="15"/>
  <c r="AE200" i="3"/>
  <c r="AW200" i="3" s="1"/>
  <c r="J36" i="36"/>
  <c r="CK51" i="31"/>
  <c r="CR50" i="31"/>
  <c r="CO50" i="31"/>
  <c r="B38" i="36"/>
  <c r="D38" i="36" s="1"/>
  <c r="E38" i="36" s="1"/>
  <c r="S202" i="38" s="1"/>
  <c r="T202" i="38" s="1"/>
  <c r="R202" i="3"/>
  <c r="AN94" i="3"/>
  <c r="R147" i="3"/>
  <c r="AA146" i="6"/>
  <c r="AM203" i="6"/>
  <c r="AN203" i="6" s="1"/>
  <c r="AF145" i="6"/>
  <c r="AI145" i="6" s="1"/>
  <c r="M99" i="4" s="1"/>
  <c r="AG145" i="8"/>
  <c r="AO200" i="8"/>
  <c r="AP200" i="8" s="1"/>
  <c r="V200" i="8"/>
  <c r="X147" i="6"/>
  <c r="AN58" i="31"/>
  <c r="AM59" i="31"/>
  <c r="F85" i="15"/>
  <c r="J85" i="15"/>
  <c r="I85" i="15"/>
  <c r="E85" i="15"/>
  <c r="X147" i="8"/>
  <c r="AE48" i="9"/>
  <c r="BF43" i="3"/>
  <c r="AE43" i="3"/>
  <c r="AD43" i="3"/>
  <c r="AN43" i="3"/>
  <c r="BG43" i="3" s="1"/>
  <c r="AF43" i="3"/>
  <c r="AG43" i="3"/>
  <c r="AC43" i="3"/>
  <c r="AB96" i="3"/>
  <c r="C40" i="11"/>
  <c r="D40" i="11" s="1"/>
  <c r="E40" i="11" s="1"/>
  <c r="AM95" i="3"/>
  <c r="AE95" i="3"/>
  <c r="J84" i="15"/>
  <c r="F84" i="15"/>
  <c r="I84" i="15"/>
  <c r="E84" i="15"/>
  <c r="S201" i="3"/>
  <c r="T201" i="3" s="1"/>
  <c r="H37" i="36"/>
  <c r="AE201" i="38" s="1"/>
  <c r="AW201" i="38" s="1"/>
  <c r="V199" i="6"/>
  <c r="BI72" i="31"/>
  <c r="BF72" i="31"/>
  <c r="BE72" i="31"/>
  <c r="BD72" i="31"/>
  <c r="AF145" i="8"/>
  <c r="AI144" i="3"/>
  <c r="E98" i="4" s="1"/>
  <c r="AY54" i="31"/>
  <c r="C142" i="11"/>
  <c r="D142" i="11" s="1"/>
  <c r="E142" i="11" s="1"/>
  <c r="AE95" i="8"/>
  <c r="AM95" i="8"/>
  <c r="BP54" i="31"/>
  <c r="BN54" i="31"/>
  <c r="BO54" i="31" s="1"/>
  <c r="B36" i="15"/>
  <c r="C36" i="15" s="1"/>
  <c r="J36" i="15" s="1"/>
  <c r="AL141" i="3"/>
  <c r="AZ198" i="3"/>
  <c r="AN141" i="3"/>
  <c r="AQ141" i="3" s="1"/>
  <c r="AO141" i="3"/>
  <c r="AR141" i="3" s="1"/>
  <c r="AM141" i="3"/>
  <c r="AP141" i="3" s="1"/>
  <c r="AE143" i="8"/>
  <c r="AE143" i="3"/>
  <c r="AE143" i="6"/>
  <c r="CC455" i="2"/>
  <c r="CD454" i="2"/>
  <c r="AS141" i="38" l="1"/>
  <c r="AT141" i="38" s="1"/>
  <c r="D94" i="43"/>
  <c r="E94" i="43" s="1"/>
  <c r="H94" i="43" s="1"/>
  <c r="J94" i="43" s="1"/>
  <c r="AI144" i="39"/>
  <c r="AS141" i="40"/>
  <c r="AT141" i="40" s="1"/>
  <c r="AY200" i="39"/>
  <c r="AK143" i="39"/>
  <c r="AY199" i="39"/>
  <c r="AK142" i="39"/>
  <c r="AY200" i="40"/>
  <c r="AK143" i="40"/>
  <c r="AY199" i="40"/>
  <c r="AK142" i="40"/>
  <c r="AS141" i="39"/>
  <c r="AT141" i="39" s="1"/>
  <c r="AI145" i="8"/>
  <c r="T99" i="4" s="1"/>
  <c r="G148" i="8"/>
  <c r="G148" i="40"/>
  <c r="V202" i="40"/>
  <c r="AH145" i="40"/>
  <c r="AC204" i="40"/>
  <c r="AU204" i="40" s="1"/>
  <c r="M147" i="40"/>
  <c r="X147" i="40"/>
  <c r="H147" i="40"/>
  <c r="K147" i="40"/>
  <c r="V147" i="40"/>
  <c r="M146" i="40"/>
  <c r="N146" i="40"/>
  <c r="L146" i="40"/>
  <c r="N147" i="8"/>
  <c r="AG145" i="40"/>
  <c r="AA203" i="40"/>
  <c r="AC146" i="40"/>
  <c r="AB146" i="40"/>
  <c r="Z146" i="40"/>
  <c r="AI144" i="40"/>
  <c r="AO201" i="40"/>
  <c r="AP201" i="40" s="1"/>
  <c r="AA146" i="40"/>
  <c r="AM203" i="40"/>
  <c r="AN203" i="40" s="1"/>
  <c r="AO199" i="6"/>
  <c r="AP199" i="6" s="1"/>
  <c r="AG145" i="39"/>
  <c r="X147" i="39"/>
  <c r="AM204" i="39" s="1"/>
  <c r="AN204" i="39" s="1"/>
  <c r="AC204" i="39"/>
  <c r="AU204" i="39" s="1"/>
  <c r="H147" i="39"/>
  <c r="K147" i="39"/>
  <c r="V147" i="39"/>
  <c r="G148" i="6"/>
  <c r="G148" i="39"/>
  <c r="AO201" i="39"/>
  <c r="AP201" i="39" s="1"/>
  <c r="N146" i="39"/>
  <c r="L146" i="39"/>
  <c r="AM203" i="39"/>
  <c r="AN203" i="39" s="1"/>
  <c r="AA146" i="39"/>
  <c r="AF145" i="39"/>
  <c r="V202" i="39"/>
  <c r="Z146" i="39"/>
  <c r="AA203" i="39"/>
  <c r="AC146" i="39"/>
  <c r="AB146" i="39"/>
  <c r="AH145" i="39"/>
  <c r="Z146" i="3"/>
  <c r="AF146" i="3" s="1"/>
  <c r="N146" i="38"/>
  <c r="L146" i="38"/>
  <c r="AA146" i="38"/>
  <c r="AM203" i="38"/>
  <c r="AN203" i="38" s="1"/>
  <c r="AZ199" i="38"/>
  <c r="AL142" i="38"/>
  <c r="AM142" i="38"/>
  <c r="AP142" i="38" s="1"/>
  <c r="AO142" i="38"/>
  <c r="AR142" i="38" s="1"/>
  <c r="AN142" i="38"/>
  <c r="AQ142" i="38" s="1"/>
  <c r="V202" i="38"/>
  <c r="AC146" i="38"/>
  <c r="AA203" i="38"/>
  <c r="AB146" i="38"/>
  <c r="Z146" i="38"/>
  <c r="AZ200" i="38"/>
  <c r="AL143" i="38"/>
  <c r="AM143" i="38"/>
  <c r="AP143" i="38" s="1"/>
  <c r="AN143" i="38"/>
  <c r="AQ143" i="38" s="1"/>
  <c r="AO143" i="38"/>
  <c r="AR143" i="38" s="1"/>
  <c r="AO201" i="38"/>
  <c r="AP201" i="38" s="1"/>
  <c r="M146" i="38"/>
  <c r="AF145" i="38"/>
  <c r="AG145" i="38"/>
  <c r="AC204" i="38"/>
  <c r="AU204" i="38" s="1"/>
  <c r="X147" i="38"/>
  <c r="H147" i="38"/>
  <c r="V147" i="38"/>
  <c r="K147" i="38"/>
  <c r="M147" i="38" s="1"/>
  <c r="G148" i="3"/>
  <c r="V148" i="3" s="1"/>
  <c r="G148" i="38"/>
  <c r="AH145" i="38"/>
  <c r="AI144" i="38"/>
  <c r="BH72" i="31"/>
  <c r="AY55" i="31"/>
  <c r="B39" i="36"/>
  <c r="D39" i="36" s="1"/>
  <c r="E39" i="36" s="1"/>
  <c r="S203" i="38" s="1"/>
  <c r="T203" i="38" s="1"/>
  <c r="R203" i="3"/>
  <c r="Y147" i="6"/>
  <c r="AB147" i="6" s="1"/>
  <c r="O204" i="6"/>
  <c r="B95" i="43" s="1"/>
  <c r="AN95" i="6"/>
  <c r="R148" i="6"/>
  <c r="AF146" i="6"/>
  <c r="S202" i="8"/>
  <c r="T202" i="8" s="1"/>
  <c r="H148" i="36"/>
  <c r="AE202" i="40" s="1"/>
  <c r="AW202" i="40" s="1"/>
  <c r="AF146" i="8"/>
  <c r="C143" i="11"/>
  <c r="D143" i="11" s="1"/>
  <c r="E143" i="11" s="1"/>
  <c r="AM96" i="8"/>
  <c r="AE96" i="8"/>
  <c r="AG146" i="8"/>
  <c r="V201" i="6"/>
  <c r="BP55" i="31"/>
  <c r="BN55" i="31"/>
  <c r="BO55" i="31" s="1"/>
  <c r="Z147" i="8"/>
  <c r="AC147" i="8"/>
  <c r="AA204" i="8"/>
  <c r="Y147" i="8"/>
  <c r="AB147" i="8" s="1"/>
  <c r="O204" i="8"/>
  <c r="B150" i="43" s="1"/>
  <c r="D150" i="43" s="1"/>
  <c r="E150" i="43" s="1"/>
  <c r="H150" i="43" s="1"/>
  <c r="J150" i="43" s="1"/>
  <c r="AE201" i="8"/>
  <c r="AW201" i="8" s="1"/>
  <c r="J147" i="36"/>
  <c r="AC205" i="8"/>
  <c r="AU205" i="8" s="1"/>
  <c r="H148" i="8"/>
  <c r="V148" i="8"/>
  <c r="K148" i="8"/>
  <c r="L148" i="8" s="1"/>
  <c r="AZ56" i="31"/>
  <c r="AW56" i="31"/>
  <c r="AV56" i="31"/>
  <c r="BF44" i="8"/>
  <c r="AN44" i="8"/>
  <c r="BG44" i="8" s="1"/>
  <c r="AB97" i="8"/>
  <c r="H148" i="3"/>
  <c r="CT50" i="31"/>
  <c r="CV50" i="31" s="1"/>
  <c r="AM204" i="3"/>
  <c r="AN204" i="3" s="1"/>
  <c r="AA147" i="3"/>
  <c r="AS141" i="8"/>
  <c r="AT141" i="8" s="1"/>
  <c r="J136" i="15"/>
  <c r="E136" i="15"/>
  <c r="I136" i="15"/>
  <c r="F136" i="15"/>
  <c r="AC147" i="3"/>
  <c r="AA204" i="3"/>
  <c r="Z147" i="3"/>
  <c r="R203" i="6"/>
  <c r="B94" i="36"/>
  <c r="AH146" i="3"/>
  <c r="AE49" i="9"/>
  <c r="AD44" i="3"/>
  <c r="AE44" i="3"/>
  <c r="BF44" i="3"/>
  <c r="AG44" i="3"/>
  <c r="AC44" i="3"/>
  <c r="AF44" i="3"/>
  <c r="AN44" i="3"/>
  <c r="BG44" i="3" s="1"/>
  <c r="AB97" i="3"/>
  <c r="AY199" i="8"/>
  <c r="R96" i="4"/>
  <c r="V96" i="4" s="1"/>
  <c r="AK142" i="8"/>
  <c r="J92" i="36"/>
  <c r="AE201" i="6"/>
  <c r="AW201" i="6" s="1"/>
  <c r="I86" i="15"/>
  <c r="E86" i="15"/>
  <c r="F86" i="15"/>
  <c r="J86" i="15"/>
  <c r="BL56" i="31"/>
  <c r="BK57" i="31"/>
  <c r="BB75" i="31"/>
  <c r="BC74" i="31"/>
  <c r="V201" i="8"/>
  <c r="AY200" i="6"/>
  <c r="K97" i="4"/>
  <c r="O97" i="4" s="1"/>
  <c r="AK143" i="6"/>
  <c r="AY200" i="3"/>
  <c r="AK143" i="3"/>
  <c r="I97" i="4"/>
  <c r="C97" i="4"/>
  <c r="M148" i="8"/>
  <c r="AR58" i="31"/>
  <c r="AO58" i="31"/>
  <c r="AQ58" i="31" s="1"/>
  <c r="CL53" i="31" s="1"/>
  <c r="G54" i="31" s="1"/>
  <c r="AY200" i="8"/>
  <c r="R97" i="4"/>
  <c r="V97" i="4" s="1"/>
  <c r="AK143" i="8"/>
  <c r="AN95" i="8"/>
  <c r="N148" i="8"/>
  <c r="S148" i="8"/>
  <c r="G98" i="4"/>
  <c r="R148" i="3"/>
  <c r="AN95" i="3"/>
  <c r="C41" i="11"/>
  <c r="D41" i="11" s="1"/>
  <c r="E41" i="11" s="1"/>
  <c r="AM96" i="3"/>
  <c r="AE96" i="3"/>
  <c r="AM204" i="6"/>
  <c r="AN204" i="6" s="1"/>
  <c r="AA147" i="6"/>
  <c r="AG146" i="6"/>
  <c r="CK52" i="31"/>
  <c r="CR51" i="31"/>
  <c r="CO51" i="31"/>
  <c r="M147" i="3"/>
  <c r="L147" i="3"/>
  <c r="B149" i="36"/>
  <c r="R203" i="8"/>
  <c r="M43" i="11"/>
  <c r="AB45" i="8"/>
  <c r="AB45" i="6"/>
  <c r="AB45" i="3"/>
  <c r="M147" i="6"/>
  <c r="L147" i="6"/>
  <c r="AO200" i="3"/>
  <c r="AP200" i="3" s="1"/>
  <c r="AY199" i="3"/>
  <c r="AK142" i="3"/>
  <c r="C96" i="4"/>
  <c r="I96" i="4"/>
  <c r="AS141" i="6"/>
  <c r="AT141" i="6" s="1"/>
  <c r="BI73" i="31"/>
  <c r="BF73" i="31"/>
  <c r="BE73" i="31"/>
  <c r="BD73" i="31"/>
  <c r="AI145" i="3"/>
  <c r="E99" i="4" s="1"/>
  <c r="AO200" i="6"/>
  <c r="AP200" i="6" s="1"/>
  <c r="AG146" i="3"/>
  <c r="E36" i="15"/>
  <c r="F36" i="15"/>
  <c r="I36" i="15"/>
  <c r="V201" i="3"/>
  <c r="AN59" i="31"/>
  <c r="AM60" i="31"/>
  <c r="AH146" i="6"/>
  <c r="AS141" i="3"/>
  <c r="AT141" i="3" s="1"/>
  <c r="X148" i="8"/>
  <c r="AE201" i="3"/>
  <c r="AW201" i="3" s="1"/>
  <c r="J37" i="36"/>
  <c r="X148" i="3"/>
  <c r="AM204" i="8"/>
  <c r="AN204" i="8" s="1"/>
  <c r="AA147" i="8"/>
  <c r="Y147" i="3"/>
  <c r="AB147" i="3" s="1"/>
  <c r="O204" i="3"/>
  <c r="B40" i="43" s="1"/>
  <c r="S202" i="3"/>
  <c r="T202" i="3" s="1"/>
  <c r="H38" i="36"/>
  <c r="AE202" i="38" s="1"/>
  <c r="AW202" i="38" s="1"/>
  <c r="H93" i="36"/>
  <c r="AE202" i="39" s="1"/>
  <c r="AW202" i="39" s="1"/>
  <c r="S202" i="6"/>
  <c r="T202" i="6" s="1"/>
  <c r="AU57" i="31"/>
  <c r="AT58" i="31"/>
  <c r="AH146" i="8"/>
  <c r="BF44" i="6"/>
  <c r="AN44" i="6"/>
  <c r="BG44" i="6" s="1"/>
  <c r="AB97" i="6"/>
  <c r="X148" i="6"/>
  <c r="H148" i="6"/>
  <c r="AC205" i="6"/>
  <c r="AU205" i="6" s="1"/>
  <c r="K148" i="6"/>
  <c r="N148" i="6" s="1"/>
  <c r="V148" i="6"/>
  <c r="AA204" i="6"/>
  <c r="AC147" i="6"/>
  <c r="Z147" i="6"/>
  <c r="BS57" i="31"/>
  <c r="BT56" i="31"/>
  <c r="BV56" i="31" s="1"/>
  <c r="BW56" i="31" s="1"/>
  <c r="AY199" i="6"/>
  <c r="K96" i="4"/>
  <c r="O96" i="4" s="1"/>
  <c r="AK142" i="6"/>
  <c r="C92" i="11"/>
  <c r="D92" i="11" s="1"/>
  <c r="E92" i="11" s="1"/>
  <c r="AE96" i="6"/>
  <c r="AM96" i="6"/>
  <c r="CC456" i="2"/>
  <c r="CD455" i="2"/>
  <c r="D95" i="43" l="1"/>
  <c r="E95" i="43" s="1"/>
  <c r="H95" i="43" s="1"/>
  <c r="J95" i="43" s="1"/>
  <c r="D40" i="43"/>
  <c r="E40" i="43" s="1"/>
  <c r="H40" i="43" s="1"/>
  <c r="J40" i="43" s="1"/>
  <c r="AI145" i="39"/>
  <c r="AO202" i="40"/>
  <c r="AP202" i="40" s="1"/>
  <c r="AL143" i="40"/>
  <c r="AM143" i="40"/>
  <c r="AP143" i="40" s="1"/>
  <c r="AO143" i="40"/>
  <c r="AR143" i="40" s="1"/>
  <c r="AZ200" i="40"/>
  <c r="AN143" i="40"/>
  <c r="AQ143" i="40" s="1"/>
  <c r="AM143" i="39"/>
  <c r="AP143" i="39" s="1"/>
  <c r="AN143" i="39"/>
  <c r="AQ143" i="39" s="1"/>
  <c r="AL143" i="39"/>
  <c r="AO143" i="39"/>
  <c r="AR143" i="39" s="1"/>
  <c r="AZ200" i="39"/>
  <c r="AE144" i="38"/>
  <c r="AK144" i="38" s="1"/>
  <c r="AE144" i="39"/>
  <c r="AE144" i="40"/>
  <c r="AM142" i="40"/>
  <c r="AP142" i="40" s="1"/>
  <c r="AL142" i="40"/>
  <c r="AO142" i="40"/>
  <c r="AR142" i="40" s="1"/>
  <c r="AZ199" i="40"/>
  <c r="AN142" i="40"/>
  <c r="AQ142" i="40" s="1"/>
  <c r="AM142" i="39"/>
  <c r="AP142" i="39" s="1"/>
  <c r="AN142" i="39"/>
  <c r="AQ142" i="39" s="1"/>
  <c r="AZ199" i="39"/>
  <c r="AO142" i="39"/>
  <c r="AR142" i="39" s="1"/>
  <c r="AL142" i="39"/>
  <c r="N147" i="40"/>
  <c r="L147" i="40"/>
  <c r="AI145" i="40"/>
  <c r="H148" i="40"/>
  <c r="AC205" i="40"/>
  <c r="AU205" i="40" s="1"/>
  <c r="X148" i="40"/>
  <c r="V148" i="40"/>
  <c r="K148" i="40"/>
  <c r="M148" i="40" s="1"/>
  <c r="AO201" i="8"/>
  <c r="AP201" i="8" s="1"/>
  <c r="G149" i="8"/>
  <c r="K149" i="8" s="1"/>
  <c r="G149" i="40"/>
  <c r="AG146" i="40"/>
  <c r="AF146" i="40"/>
  <c r="AA147" i="40"/>
  <c r="AM204" i="40"/>
  <c r="AN204" i="40" s="1"/>
  <c r="AH146" i="40"/>
  <c r="AA204" i="40"/>
  <c r="AC147" i="40"/>
  <c r="AB147" i="40"/>
  <c r="Z147" i="40"/>
  <c r="G149" i="6"/>
  <c r="X149" i="6" s="1"/>
  <c r="AM206" i="6" s="1"/>
  <c r="AN206" i="6" s="1"/>
  <c r="G149" i="39"/>
  <c r="AH146" i="39"/>
  <c r="AC205" i="39"/>
  <c r="AU205" i="39" s="1"/>
  <c r="X148" i="39"/>
  <c r="H148" i="39"/>
  <c r="V148" i="39"/>
  <c r="K148" i="39"/>
  <c r="N147" i="39"/>
  <c r="L147" i="39"/>
  <c r="AF146" i="39"/>
  <c r="M147" i="39"/>
  <c r="AG146" i="39"/>
  <c r="AO202" i="39"/>
  <c r="AP202" i="39" s="1"/>
  <c r="AA147" i="39"/>
  <c r="AA204" i="39"/>
  <c r="AC147" i="39"/>
  <c r="AB147" i="39"/>
  <c r="Z147" i="39"/>
  <c r="K148" i="3"/>
  <c r="AC205" i="38"/>
  <c r="AU205" i="38" s="1"/>
  <c r="H148" i="38"/>
  <c r="X148" i="38"/>
  <c r="K148" i="38"/>
  <c r="M148" i="38" s="1"/>
  <c r="V148" i="38"/>
  <c r="AF146" i="38"/>
  <c r="AH146" i="38"/>
  <c r="AO202" i="38"/>
  <c r="AP202" i="38" s="1"/>
  <c r="AS142" i="38"/>
  <c r="AT142" i="38" s="1"/>
  <c r="AG146" i="38"/>
  <c r="AC205" i="3"/>
  <c r="AU205" i="3" s="1"/>
  <c r="V203" i="38"/>
  <c r="AI145" i="38"/>
  <c r="L147" i="38"/>
  <c r="N147" i="38"/>
  <c r="AA147" i="38"/>
  <c r="AM204" i="38"/>
  <c r="AN204" i="38" s="1"/>
  <c r="AS143" i="38"/>
  <c r="AT143" i="38" s="1"/>
  <c r="G149" i="3"/>
  <c r="X149" i="3" s="1"/>
  <c r="AM206" i="3" s="1"/>
  <c r="AN206" i="3" s="1"/>
  <c r="G149" i="38"/>
  <c r="AY201" i="38"/>
  <c r="AA204" i="38"/>
  <c r="AC147" i="38"/>
  <c r="AB147" i="38"/>
  <c r="Z147" i="38"/>
  <c r="BH73" i="31"/>
  <c r="AY56" i="31"/>
  <c r="AA205" i="6"/>
  <c r="Z148" i="6"/>
  <c r="AC148" i="6"/>
  <c r="AL142" i="6"/>
  <c r="B87" i="15"/>
  <c r="C87" i="15" s="1"/>
  <c r="AZ199" i="6"/>
  <c r="AN142" i="6"/>
  <c r="AQ142" i="6" s="1"/>
  <c r="AM142" i="6"/>
  <c r="AP142" i="6" s="1"/>
  <c r="AO142" i="6"/>
  <c r="AR142" i="6" s="1"/>
  <c r="BS58" i="31"/>
  <c r="BT57" i="31"/>
  <c r="BV57" i="31" s="1"/>
  <c r="BW57" i="31" s="1"/>
  <c r="AT59" i="31"/>
  <c r="AU58" i="31"/>
  <c r="J38" i="36"/>
  <c r="AE202" i="3"/>
  <c r="AW202" i="3" s="1"/>
  <c r="AG147" i="8"/>
  <c r="G99" i="4"/>
  <c r="AL142" i="3"/>
  <c r="AZ199" i="3"/>
  <c r="B37" i="15"/>
  <c r="C37" i="15" s="1"/>
  <c r="J37" i="15" s="1"/>
  <c r="AO142" i="3"/>
  <c r="AR142" i="3" s="1"/>
  <c r="AN142" i="3"/>
  <c r="AQ142" i="3" s="1"/>
  <c r="AM142" i="3"/>
  <c r="AP142" i="3" s="1"/>
  <c r="AB46" i="6"/>
  <c r="M44" i="11"/>
  <c r="AB46" i="3"/>
  <c r="AB46" i="8"/>
  <c r="O205" i="8"/>
  <c r="B151" i="43" s="1"/>
  <c r="D151" i="43" s="1"/>
  <c r="E151" i="43" s="1"/>
  <c r="H151" i="43" s="1"/>
  <c r="J151" i="43" s="1"/>
  <c r="Y148" i="8"/>
  <c r="AB148" i="8" s="1"/>
  <c r="B38" i="15"/>
  <c r="C38" i="15" s="1"/>
  <c r="J38" i="15" s="1"/>
  <c r="AZ200" i="3"/>
  <c r="AL143" i="3"/>
  <c r="AN143" i="3"/>
  <c r="AQ143" i="3" s="1"/>
  <c r="AO143" i="3"/>
  <c r="AR143" i="3" s="1"/>
  <c r="AM143" i="3"/>
  <c r="AP143" i="3" s="1"/>
  <c r="BC75" i="31"/>
  <c r="BB76" i="31"/>
  <c r="C42" i="11"/>
  <c r="D42" i="11" s="1"/>
  <c r="E42" i="11" s="1"/>
  <c r="AM97" i="3"/>
  <c r="AE97" i="3"/>
  <c r="AC206" i="8"/>
  <c r="AU206" i="8" s="1"/>
  <c r="H149" i="8"/>
  <c r="AI146" i="8"/>
  <c r="T100" i="4" s="1"/>
  <c r="AI146" i="6"/>
  <c r="M100" i="4" s="1"/>
  <c r="R204" i="6"/>
  <c r="B95" i="36"/>
  <c r="D95" i="36" s="1"/>
  <c r="E95" i="36" s="1"/>
  <c r="S204" i="39" s="1"/>
  <c r="T204" i="39" s="1"/>
  <c r="AE50" i="9"/>
  <c r="AN45" i="3"/>
  <c r="BG45" i="3" s="1"/>
  <c r="AC45" i="3"/>
  <c r="AG45" i="3"/>
  <c r="AE45" i="3"/>
  <c r="BF45" i="3"/>
  <c r="AD45" i="3"/>
  <c r="AF45" i="3"/>
  <c r="AB98" i="3"/>
  <c r="AC206" i="3"/>
  <c r="AU206" i="3" s="1"/>
  <c r="H149" i="3"/>
  <c r="BK58" i="31"/>
  <c r="BL57" i="31"/>
  <c r="AZ199" i="8"/>
  <c r="B137" i="15"/>
  <c r="C137" i="15" s="1"/>
  <c r="AL142" i="8"/>
  <c r="AO142" i="8"/>
  <c r="AR142" i="8" s="1"/>
  <c r="AN142" i="8"/>
  <c r="AQ142" i="8" s="1"/>
  <c r="AM142" i="8"/>
  <c r="AP142" i="8" s="1"/>
  <c r="AA205" i="3"/>
  <c r="Z148" i="3"/>
  <c r="AC148" i="3"/>
  <c r="C144" i="11"/>
  <c r="D144" i="11" s="1"/>
  <c r="E144" i="11" s="1"/>
  <c r="AM97" i="8"/>
  <c r="AE97" i="8"/>
  <c r="Z148" i="8"/>
  <c r="AC148" i="8"/>
  <c r="AA205" i="8"/>
  <c r="J148" i="36"/>
  <c r="AE202" i="8"/>
  <c r="AW202" i="8" s="1"/>
  <c r="AH147" i="6"/>
  <c r="AZ57" i="31"/>
  <c r="AW57" i="31"/>
  <c r="AV57" i="31"/>
  <c r="AA148" i="8"/>
  <c r="AM205" i="8"/>
  <c r="AN205" i="8" s="1"/>
  <c r="AM61" i="31"/>
  <c r="AN60" i="31"/>
  <c r="R149" i="6"/>
  <c r="AN96" i="6"/>
  <c r="AF147" i="6"/>
  <c r="C93" i="11"/>
  <c r="D93" i="11" s="1"/>
  <c r="E93" i="11" s="1"/>
  <c r="AM97" i="6"/>
  <c r="AE97" i="6"/>
  <c r="R204" i="3"/>
  <c r="B40" i="36"/>
  <c r="D40" i="36" s="1"/>
  <c r="E40" i="36" s="1"/>
  <c r="S204" i="38" s="1"/>
  <c r="T204" i="38" s="1"/>
  <c r="AR59" i="31"/>
  <c r="AO59" i="31"/>
  <c r="AQ59" i="31" s="1"/>
  <c r="CL54" i="31" s="1"/>
  <c r="G55" i="31" s="1"/>
  <c r="CT51" i="31"/>
  <c r="CV51" i="31" s="1"/>
  <c r="AG147" i="6"/>
  <c r="R149" i="3"/>
  <c r="AN96" i="3"/>
  <c r="B88" i="15"/>
  <c r="C88" i="15" s="1"/>
  <c r="AZ200" i="6"/>
  <c r="AL143" i="6"/>
  <c r="AM143" i="6"/>
  <c r="AP143" i="6" s="1"/>
  <c r="AO143" i="6"/>
  <c r="AR143" i="6" s="1"/>
  <c r="AN143" i="6"/>
  <c r="AQ143" i="6" s="1"/>
  <c r="BP56" i="31"/>
  <c r="BN56" i="31"/>
  <c r="BO56" i="31" s="1"/>
  <c r="AF147" i="3"/>
  <c r="AG147" i="3"/>
  <c r="R204" i="8"/>
  <c r="B150" i="36"/>
  <c r="D150" i="36" s="1"/>
  <c r="E150" i="36" s="1"/>
  <c r="S204" i="40" s="1"/>
  <c r="T204" i="40" s="1"/>
  <c r="AO201" i="6"/>
  <c r="AP201" i="6" s="1"/>
  <c r="AI146" i="3"/>
  <c r="E100" i="4" s="1"/>
  <c r="V202" i="8"/>
  <c r="AO202" i="8"/>
  <c r="AP202" i="8" s="1"/>
  <c r="O205" i="6"/>
  <c r="B96" i="43" s="1"/>
  <c r="Y148" i="6"/>
  <c r="AB148" i="6" s="1"/>
  <c r="AA148" i="6"/>
  <c r="AM205" i="6"/>
  <c r="AN205" i="6" s="1"/>
  <c r="V202" i="3"/>
  <c r="L148" i="6"/>
  <c r="M148" i="6"/>
  <c r="V202" i="6"/>
  <c r="AM205" i="3"/>
  <c r="AN205" i="3" s="1"/>
  <c r="AA148" i="3"/>
  <c r="BF45" i="6"/>
  <c r="AN45" i="6"/>
  <c r="BG45" i="6" s="1"/>
  <c r="AB98" i="6"/>
  <c r="D149" i="36"/>
  <c r="E149" i="36" s="1"/>
  <c r="S203" i="40" s="1"/>
  <c r="T203" i="40" s="1"/>
  <c r="AC206" i="6"/>
  <c r="AU206" i="6" s="1"/>
  <c r="K149" i="6"/>
  <c r="V149" i="6"/>
  <c r="AA149" i="6" s="1"/>
  <c r="H149" i="6"/>
  <c r="J93" i="36"/>
  <c r="AE202" i="6"/>
  <c r="AW202" i="6" s="1"/>
  <c r="AH147" i="3"/>
  <c r="AO201" i="3"/>
  <c r="AP201" i="3" s="1"/>
  <c r="BF45" i="8"/>
  <c r="AN45" i="8"/>
  <c r="BG45" i="8" s="1"/>
  <c r="AB98" i="8"/>
  <c r="CR52" i="31"/>
  <c r="CO52" i="31"/>
  <c r="CK53" i="31"/>
  <c r="Y148" i="3"/>
  <c r="AB148" i="3" s="1"/>
  <c r="O205" i="3"/>
  <c r="B41" i="43" s="1"/>
  <c r="D41" i="43" s="1"/>
  <c r="E41" i="43" s="1"/>
  <c r="H41" i="43" s="1"/>
  <c r="J41" i="43" s="1"/>
  <c r="AE144" i="8"/>
  <c r="AE144" i="3"/>
  <c r="AE144" i="6"/>
  <c r="AL143" i="8"/>
  <c r="AZ200" i="8"/>
  <c r="B138" i="15"/>
  <c r="C138" i="15" s="1"/>
  <c r="AN143" i="8"/>
  <c r="AQ143" i="8" s="1"/>
  <c r="AM143" i="8"/>
  <c r="AP143" i="8" s="1"/>
  <c r="AO143" i="8"/>
  <c r="AR143" i="8" s="1"/>
  <c r="BI74" i="31"/>
  <c r="BF74" i="31"/>
  <c r="BD74" i="31"/>
  <c r="BE74" i="31"/>
  <c r="D94" i="36"/>
  <c r="E94" i="36" s="1"/>
  <c r="S203" i="39" s="1"/>
  <c r="T203" i="39" s="1"/>
  <c r="AH147" i="8"/>
  <c r="AF147" i="8"/>
  <c r="AN96" i="8"/>
  <c r="S149" i="8"/>
  <c r="X149" i="8"/>
  <c r="S203" i="3"/>
  <c r="T203" i="3" s="1"/>
  <c r="H39" i="36"/>
  <c r="AE203" i="38" s="1"/>
  <c r="AW203" i="38" s="1"/>
  <c r="CC457" i="2"/>
  <c r="CD456" i="2"/>
  <c r="D96" i="43" l="1"/>
  <c r="E96" i="43" s="1"/>
  <c r="H96" i="43" s="1"/>
  <c r="J96" i="43" s="1"/>
  <c r="AY201" i="39"/>
  <c r="AK144" i="39"/>
  <c r="AE145" i="38"/>
  <c r="AK145" i="38" s="1"/>
  <c r="AE145" i="40"/>
  <c r="AE145" i="39"/>
  <c r="AS142" i="39"/>
  <c r="AT142" i="39" s="1"/>
  <c r="AS142" i="40"/>
  <c r="AT142" i="40" s="1"/>
  <c r="AS143" i="40"/>
  <c r="AT143" i="40" s="1"/>
  <c r="AY201" i="40"/>
  <c r="AK144" i="40"/>
  <c r="AS143" i="39"/>
  <c r="AT143" i="39" s="1"/>
  <c r="L149" i="8"/>
  <c r="M149" i="8"/>
  <c r="N149" i="8"/>
  <c r="V204" i="40"/>
  <c r="V149" i="8"/>
  <c r="AG147" i="40"/>
  <c r="N148" i="40"/>
  <c r="L148" i="40"/>
  <c r="V203" i="40"/>
  <c r="G150" i="8"/>
  <c r="X150" i="8" s="1"/>
  <c r="G150" i="40"/>
  <c r="AI146" i="40"/>
  <c r="AC206" i="40"/>
  <c r="AU206" i="40" s="1"/>
  <c r="X149" i="40"/>
  <c r="H149" i="40"/>
  <c r="V149" i="40"/>
  <c r="K149" i="40"/>
  <c r="AC148" i="40"/>
  <c r="AA205" i="40"/>
  <c r="AB148" i="40"/>
  <c r="Z148" i="40"/>
  <c r="AF147" i="40"/>
  <c r="AA148" i="40"/>
  <c r="AM205" i="40"/>
  <c r="AN205" i="40" s="1"/>
  <c r="AH147" i="40"/>
  <c r="V203" i="39"/>
  <c r="AF147" i="39"/>
  <c r="G150" i="6"/>
  <c r="X150" i="6" s="1"/>
  <c r="G150" i="39"/>
  <c r="AH147" i="39"/>
  <c r="N148" i="39"/>
  <c r="L148" i="39"/>
  <c r="AM205" i="39"/>
  <c r="AN205" i="39" s="1"/>
  <c r="AA148" i="39"/>
  <c r="AI146" i="39"/>
  <c r="AO202" i="6"/>
  <c r="AP202" i="6" s="1"/>
  <c r="AI147" i="6"/>
  <c r="M101" i="4" s="1"/>
  <c r="AG147" i="39"/>
  <c r="AA205" i="39"/>
  <c r="AC148" i="39"/>
  <c r="AB148" i="39"/>
  <c r="Z148" i="39"/>
  <c r="X149" i="39"/>
  <c r="AC206" i="39"/>
  <c r="AU206" i="39" s="1"/>
  <c r="H149" i="39"/>
  <c r="K149" i="39"/>
  <c r="V149" i="39"/>
  <c r="V204" i="39"/>
  <c r="M148" i="39"/>
  <c r="V149" i="3"/>
  <c r="AC149" i="3" s="1"/>
  <c r="AO202" i="3"/>
  <c r="AP202" i="3" s="1"/>
  <c r="K149" i="3"/>
  <c r="L149" i="3" s="1"/>
  <c r="AS142" i="6"/>
  <c r="AT142" i="6" s="1"/>
  <c r="L148" i="3"/>
  <c r="M148" i="3"/>
  <c r="N148" i="3"/>
  <c r="AH147" i="38"/>
  <c r="AL144" i="38"/>
  <c r="AZ201" i="38"/>
  <c r="AN144" i="38"/>
  <c r="AQ144" i="38" s="1"/>
  <c r="AM144" i="38"/>
  <c r="AP144" i="38" s="1"/>
  <c r="AO144" i="38"/>
  <c r="AR144" i="38" s="1"/>
  <c r="AA148" i="38"/>
  <c r="AM205" i="38"/>
  <c r="AN205" i="38" s="1"/>
  <c r="G150" i="3"/>
  <c r="X150" i="3" s="1"/>
  <c r="AM207" i="3" s="1"/>
  <c r="AN207" i="3" s="1"/>
  <c r="G150" i="38"/>
  <c r="X149" i="38"/>
  <c r="AC206" i="38"/>
  <c r="AU206" i="38" s="1"/>
  <c r="H149" i="38"/>
  <c r="K149" i="38"/>
  <c r="V149" i="38"/>
  <c r="AC148" i="38"/>
  <c r="AA205" i="38"/>
  <c r="AB148" i="38"/>
  <c r="Z148" i="38"/>
  <c r="V204" i="38"/>
  <c r="AF147" i="38"/>
  <c r="AG147" i="38"/>
  <c r="AO203" i="38"/>
  <c r="AP203" i="38" s="1"/>
  <c r="AI146" i="38"/>
  <c r="L148" i="38"/>
  <c r="N148" i="38"/>
  <c r="AY57" i="31"/>
  <c r="N149" i="3"/>
  <c r="S203" i="8"/>
  <c r="T203" i="8" s="1"/>
  <c r="H149" i="36"/>
  <c r="AE203" i="40" s="1"/>
  <c r="AW203" i="40" s="1"/>
  <c r="AM207" i="6"/>
  <c r="AN207" i="6" s="1"/>
  <c r="AM207" i="8"/>
  <c r="AN207" i="8" s="1"/>
  <c r="AG149" i="6"/>
  <c r="BH74" i="31"/>
  <c r="AS143" i="8"/>
  <c r="AT143" i="8" s="1"/>
  <c r="R205" i="3"/>
  <c r="B41" i="36"/>
  <c r="D41" i="36" s="1"/>
  <c r="E41" i="36" s="1"/>
  <c r="S205" i="38" s="1"/>
  <c r="T205" i="38" s="1"/>
  <c r="CT52" i="31"/>
  <c r="CV52" i="31" s="1"/>
  <c r="L149" i="6"/>
  <c r="M149" i="6"/>
  <c r="C94" i="11"/>
  <c r="D94" i="11" s="1"/>
  <c r="E94" i="11" s="1"/>
  <c r="AM98" i="6"/>
  <c r="AE98" i="6"/>
  <c r="AG148" i="3"/>
  <c r="AI147" i="3"/>
  <c r="E101" i="4" s="1"/>
  <c r="S204" i="3"/>
  <c r="T204" i="3" s="1"/>
  <c r="H40" i="36"/>
  <c r="AE204" i="38" s="1"/>
  <c r="AW204" i="38" s="1"/>
  <c r="AN97" i="6"/>
  <c r="R150" i="6"/>
  <c r="O206" i="6"/>
  <c r="B97" i="43" s="1"/>
  <c r="Y149" i="6"/>
  <c r="AB149" i="6" s="1"/>
  <c r="AG148" i="8"/>
  <c r="AF148" i="3"/>
  <c r="BP57" i="31"/>
  <c r="BN57" i="31"/>
  <c r="BO57" i="31" s="1"/>
  <c r="BC76" i="31"/>
  <c r="BB77" i="31"/>
  <c r="AH148" i="8"/>
  <c r="AE51" i="9"/>
  <c r="AF46" i="3"/>
  <c r="BF46" i="3"/>
  <c r="AE46" i="3"/>
  <c r="AD46" i="3"/>
  <c r="AG46" i="3"/>
  <c r="AC46" i="3"/>
  <c r="AN46" i="3"/>
  <c r="BG46" i="3" s="1"/>
  <c r="AB99" i="3"/>
  <c r="AU59" i="31"/>
  <c r="AT60" i="31"/>
  <c r="AF148" i="6"/>
  <c r="AY201" i="8"/>
  <c r="R98" i="4"/>
  <c r="V98" i="4" s="1"/>
  <c r="AK144" i="8"/>
  <c r="S203" i="6"/>
  <c r="T203" i="6" s="1"/>
  <c r="H94" i="36"/>
  <c r="AE203" i="39" s="1"/>
  <c r="AW203" i="39" s="1"/>
  <c r="AH148" i="3"/>
  <c r="AG148" i="6"/>
  <c r="H150" i="36"/>
  <c r="AE204" i="40" s="1"/>
  <c r="AW204" i="40" s="1"/>
  <c r="S204" i="8"/>
  <c r="T204" i="8" s="1"/>
  <c r="AR60" i="31"/>
  <c r="AO60" i="31"/>
  <c r="AQ60" i="31" s="1"/>
  <c r="CL55" i="31" s="1"/>
  <c r="G56" i="31" s="1"/>
  <c r="S150" i="8"/>
  <c r="AN97" i="8"/>
  <c r="H150" i="8"/>
  <c r="K150" i="8"/>
  <c r="L150" i="8" s="1"/>
  <c r="V150" i="8"/>
  <c r="BL58" i="31"/>
  <c r="BK59" i="31"/>
  <c r="BI75" i="31"/>
  <c r="BF75" i="31"/>
  <c r="BE75" i="31"/>
  <c r="BD75" i="31"/>
  <c r="R205" i="8"/>
  <c r="B151" i="36"/>
  <c r="D151" i="36" s="1"/>
  <c r="E151" i="36" s="1"/>
  <c r="S205" i="40" s="1"/>
  <c r="T205" i="40" s="1"/>
  <c r="M45" i="11"/>
  <c r="AB47" i="8"/>
  <c r="AB47" i="3"/>
  <c r="AB47" i="6"/>
  <c r="AE203" i="3"/>
  <c r="AW203" i="3" s="1"/>
  <c r="J39" i="36"/>
  <c r="V203" i="3"/>
  <c r="AA149" i="8"/>
  <c r="AM206" i="8"/>
  <c r="AN206" i="8" s="1"/>
  <c r="AY201" i="6"/>
  <c r="K98" i="4"/>
  <c r="O98" i="4" s="1"/>
  <c r="AK144" i="6"/>
  <c r="C145" i="11"/>
  <c r="D145" i="11" s="1"/>
  <c r="E145" i="11" s="1"/>
  <c r="AM98" i="8"/>
  <c r="AE98" i="8"/>
  <c r="AV206" i="8"/>
  <c r="O206" i="8"/>
  <c r="B152" i="43" s="1"/>
  <c r="Y149" i="8"/>
  <c r="AB149" i="8" s="1"/>
  <c r="AI147" i="8"/>
  <c r="T101" i="4" s="1"/>
  <c r="J138" i="15"/>
  <c r="E138" i="15"/>
  <c r="I138" i="15"/>
  <c r="F138" i="15"/>
  <c r="AY201" i="3"/>
  <c r="AK144" i="3"/>
  <c r="C98" i="4"/>
  <c r="I98" i="4"/>
  <c r="CK54" i="31"/>
  <c r="CR53" i="31"/>
  <c r="CO53" i="31"/>
  <c r="AH148" i="6"/>
  <c r="G100" i="4"/>
  <c r="F88" i="15"/>
  <c r="J88" i="15"/>
  <c r="E88" i="15"/>
  <c r="I88" i="15"/>
  <c r="Y149" i="3"/>
  <c r="AB149" i="3" s="1"/>
  <c r="O206" i="3"/>
  <c r="B42" i="43" s="1"/>
  <c r="N149" i="6"/>
  <c r="AN61" i="31"/>
  <c r="AM62" i="31"/>
  <c r="AS142" i="8"/>
  <c r="AT142" i="8" s="1"/>
  <c r="J137" i="15"/>
  <c r="F137" i="15"/>
  <c r="E137" i="15"/>
  <c r="I137" i="15"/>
  <c r="AA206" i="3"/>
  <c r="Z149" i="3"/>
  <c r="C43" i="11"/>
  <c r="D43" i="11" s="1"/>
  <c r="E43" i="11" s="1"/>
  <c r="AM98" i="3"/>
  <c r="AE98" i="3"/>
  <c r="AS143" i="3"/>
  <c r="AT143" i="3" s="1"/>
  <c r="M149" i="3"/>
  <c r="AN46" i="6"/>
  <c r="BG46" i="6" s="1"/>
  <c r="BF46" i="6"/>
  <c r="AB99" i="6"/>
  <c r="I37" i="15"/>
  <c r="F37" i="15"/>
  <c r="E37" i="15"/>
  <c r="AE145" i="6"/>
  <c r="AE145" i="8"/>
  <c r="AE145" i="3"/>
  <c r="BS59" i="31"/>
  <c r="BT58" i="31"/>
  <c r="BV58" i="31" s="1"/>
  <c r="BW58" i="31" s="1"/>
  <c r="AA206" i="6"/>
  <c r="AC149" i="6"/>
  <c r="Z149" i="6"/>
  <c r="R205" i="6"/>
  <c r="B96" i="36"/>
  <c r="D96" i="36" s="1"/>
  <c r="E96" i="36" s="1"/>
  <c r="S205" i="39" s="1"/>
  <c r="T205" i="39" s="1"/>
  <c r="AS143" i="6"/>
  <c r="AT143" i="6" s="1"/>
  <c r="V150" i="6"/>
  <c r="AA150" i="6" s="1"/>
  <c r="H150" i="6"/>
  <c r="AC207" i="6"/>
  <c r="AU207" i="6" s="1"/>
  <c r="K150" i="6"/>
  <c r="N150" i="6" s="1"/>
  <c r="AF148" i="8"/>
  <c r="S204" i="6"/>
  <c r="T204" i="6" s="1"/>
  <c r="H95" i="36"/>
  <c r="AE204" i="39" s="1"/>
  <c r="AW204" i="39" s="1"/>
  <c r="AC149" i="8"/>
  <c r="AA206" i="8"/>
  <c r="Z149" i="8"/>
  <c r="AN97" i="3"/>
  <c r="R150" i="3"/>
  <c r="AC207" i="3"/>
  <c r="AU207" i="3" s="1"/>
  <c r="H150" i="3"/>
  <c r="V150" i="3"/>
  <c r="AA150" i="3" s="1"/>
  <c r="K150" i="3"/>
  <c r="F38" i="15"/>
  <c r="E38" i="15"/>
  <c r="I38" i="15"/>
  <c r="BF46" i="8"/>
  <c r="AN46" i="8"/>
  <c r="BG46" i="8" s="1"/>
  <c r="AB99" i="8"/>
  <c r="AS142" i="3"/>
  <c r="AT142" i="3" s="1"/>
  <c r="AZ58" i="31"/>
  <c r="AV58" i="31"/>
  <c r="AW58" i="31"/>
  <c r="J87" i="15"/>
  <c r="F87" i="15"/>
  <c r="I87" i="15"/>
  <c r="E87" i="15"/>
  <c r="AA149" i="3"/>
  <c r="CC458" i="2"/>
  <c r="CD457" i="2"/>
  <c r="AY202" i="38" l="1"/>
  <c r="D152" i="43"/>
  <c r="E152" i="43"/>
  <c r="H152" i="43" s="1"/>
  <c r="J152" i="43" s="1"/>
  <c r="D97" i="43"/>
  <c r="E97" i="43" s="1"/>
  <c r="H97" i="43" s="1"/>
  <c r="J97" i="43" s="1"/>
  <c r="D42" i="43"/>
  <c r="E42" i="43" s="1"/>
  <c r="H42" i="43" s="1"/>
  <c r="J42" i="43" s="1"/>
  <c r="AI147" i="40"/>
  <c r="AI148" i="8"/>
  <c r="T102" i="4" s="1"/>
  <c r="AE146" i="38"/>
  <c r="AK146" i="38" s="1"/>
  <c r="AE146" i="39"/>
  <c r="AE146" i="40"/>
  <c r="AY202" i="40"/>
  <c r="AK145" i="40"/>
  <c r="AI147" i="38"/>
  <c r="AS144" i="38"/>
  <c r="AT144" i="38" s="1"/>
  <c r="AO144" i="40"/>
  <c r="AR144" i="40" s="1"/>
  <c r="AL144" i="40"/>
  <c r="AN144" i="40"/>
  <c r="AQ144" i="40" s="1"/>
  <c r="AM144" i="40"/>
  <c r="AP144" i="40" s="1"/>
  <c r="AZ201" i="40"/>
  <c r="AN144" i="39"/>
  <c r="AQ144" i="39" s="1"/>
  <c r="AO144" i="39"/>
  <c r="AR144" i="39" s="1"/>
  <c r="AM144" i="39"/>
  <c r="AP144" i="39" s="1"/>
  <c r="AZ201" i="39"/>
  <c r="AL144" i="39"/>
  <c r="AY202" i="39"/>
  <c r="AK145" i="39"/>
  <c r="V205" i="40"/>
  <c r="AF148" i="40"/>
  <c r="AO203" i="40"/>
  <c r="AP203" i="40" s="1"/>
  <c r="AO204" i="40"/>
  <c r="AP204" i="40" s="1"/>
  <c r="AC207" i="8"/>
  <c r="AU207" i="8" s="1"/>
  <c r="AG148" i="40"/>
  <c r="AH148" i="40"/>
  <c r="AM206" i="40"/>
  <c r="AN206" i="40" s="1"/>
  <c r="AA149" i="40"/>
  <c r="AC207" i="40"/>
  <c r="AU207" i="40" s="1"/>
  <c r="X150" i="40"/>
  <c r="H150" i="40"/>
  <c r="K150" i="40"/>
  <c r="V150" i="40"/>
  <c r="G151" i="8"/>
  <c r="K151" i="8" s="1"/>
  <c r="N151" i="8" s="1"/>
  <c r="G151" i="40"/>
  <c r="M149" i="40"/>
  <c r="N149" i="40"/>
  <c r="L149" i="40"/>
  <c r="AA206" i="40"/>
  <c r="AC149" i="40"/>
  <c r="AB149" i="40"/>
  <c r="Z149" i="40"/>
  <c r="AH148" i="39"/>
  <c r="AC149" i="39"/>
  <c r="AA206" i="39"/>
  <c r="AB149" i="39"/>
  <c r="Z149" i="39"/>
  <c r="AI147" i="39"/>
  <c r="N149" i="39"/>
  <c r="L149" i="39"/>
  <c r="AM206" i="39"/>
  <c r="AN206" i="39" s="1"/>
  <c r="AA149" i="39"/>
  <c r="AC207" i="39"/>
  <c r="AU207" i="39" s="1"/>
  <c r="X150" i="39"/>
  <c r="H150" i="39"/>
  <c r="K150" i="39"/>
  <c r="M150" i="39" s="1"/>
  <c r="V150" i="39"/>
  <c r="AO203" i="39"/>
  <c r="AP203" i="39" s="1"/>
  <c r="V205" i="39"/>
  <c r="G151" i="6"/>
  <c r="H151" i="6" s="1"/>
  <c r="G151" i="39"/>
  <c r="AO204" i="39"/>
  <c r="AP204" i="39" s="1"/>
  <c r="M149" i="39"/>
  <c r="AF148" i="39"/>
  <c r="AG148" i="39"/>
  <c r="AH148" i="38"/>
  <c r="AC149" i="38"/>
  <c r="AA206" i="38"/>
  <c r="AB149" i="38"/>
  <c r="Z149" i="38"/>
  <c r="AF149" i="38" s="1"/>
  <c r="AA149" i="38"/>
  <c r="AM206" i="38"/>
  <c r="AN206" i="38" s="1"/>
  <c r="AG148" i="38"/>
  <c r="AO204" i="38"/>
  <c r="AP204" i="38" s="1"/>
  <c r="M149" i="38"/>
  <c r="N149" i="38"/>
  <c r="L149" i="38"/>
  <c r="AC207" i="38"/>
  <c r="AU207" i="38" s="1"/>
  <c r="X150" i="38"/>
  <c r="H150" i="38"/>
  <c r="V150" i="38"/>
  <c r="K150" i="38"/>
  <c r="G151" i="3"/>
  <c r="X151" i="3" s="1"/>
  <c r="G151" i="38"/>
  <c r="V205" i="38"/>
  <c r="AZ202" i="38"/>
  <c r="AL145" i="38"/>
  <c r="AM145" i="38"/>
  <c r="AP145" i="38" s="1"/>
  <c r="AO145" i="38"/>
  <c r="AR145" i="38" s="1"/>
  <c r="AN145" i="38"/>
  <c r="AQ145" i="38" s="1"/>
  <c r="AF148" i="38"/>
  <c r="BH75" i="31"/>
  <c r="AG150" i="3"/>
  <c r="AG150" i="6"/>
  <c r="AM208" i="3"/>
  <c r="AN208" i="3" s="1"/>
  <c r="M150" i="3"/>
  <c r="L150" i="3"/>
  <c r="N150" i="3"/>
  <c r="AF149" i="8"/>
  <c r="V204" i="6"/>
  <c r="S205" i="6"/>
  <c r="T205" i="6" s="1"/>
  <c r="H96" i="36"/>
  <c r="AE205" i="39" s="1"/>
  <c r="AW205" i="39" s="1"/>
  <c r="I99" i="4"/>
  <c r="AY202" i="3"/>
  <c r="AK145" i="3"/>
  <c r="C99" i="4"/>
  <c r="AR61" i="31"/>
  <c r="AO61" i="31"/>
  <c r="AQ61" i="31" s="1"/>
  <c r="CL56" i="31" s="1"/>
  <c r="G57" i="31" s="1"/>
  <c r="AH149" i="3"/>
  <c r="V151" i="8"/>
  <c r="BF47" i="8"/>
  <c r="AN47" i="8"/>
  <c r="BG47" i="8" s="1"/>
  <c r="AB100" i="8"/>
  <c r="V204" i="8"/>
  <c r="B139" i="15"/>
  <c r="C139" i="15" s="1"/>
  <c r="AZ201" i="8"/>
  <c r="AL144" i="8"/>
  <c r="AN144" i="8"/>
  <c r="AQ144" i="8" s="1"/>
  <c r="AO144" i="8"/>
  <c r="AR144" i="8" s="1"/>
  <c r="AM144" i="8"/>
  <c r="AP144" i="8" s="1"/>
  <c r="AI148" i="6"/>
  <c r="M102" i="4" s="1"/>
  <c r="M150" i="8"/>
  <c r="B97" i="36"/>
  <c r="R206" i="6"/>
  <c r="J40" i="36"/>
  <c r="AE204" i="3"/>
  <c r="AW204" i="3" s="1"/>
  <c r="AI148" i="3"/>
  <c r="E102" i="4" s="1"/>
  <c r="H41" i="36"/>
  <c r="AE205" i="38" s="1"/>
  <c r="AW205" i="38" s="1"/>
  <c r="S205" i="3"/>
  <c r="T205" i="3" s="1"/>
  <c r="Z150" i="3"/>
  <c r="AA207" i="3"/>
  <c r="AC150" i="3"/>
  <c r="R99" i="4"/>
  <c r="V99" i="4" s="1"/>
  <c r="AY202" i="8"/>
  <c r="AK145" i="8"/>
  <c r="AC208" i="3"/>
  <c r="AU208" i="3" s="1"/>
  <c r="H151" i="3"/>
  <c r="V151" i="3"/>
  <c r="K151" i="3"/>
  <c r="AH149" i="8"/>
  <c r="S151" i="8"/>
  <c r="AN98" i="8"/>
  <c r="B89" i="15"/>
  <c r="C89" i="15" s="1"/>
  <c r="AZ201" i="6"/>
  <c r="AL144" i="6"/>
  <c r="AN144" i="6"/>
  <c r="AQ144" i="6" s="1"/>
  <c r="AO144" i="6"/>
  <c r="AR144" i="6" s="1"/>
  <c r="AM144" i="6"/>
  <c r="AP144" i="6" s="1"/>
  <c r="AG149" i="8"/>
  <c r="AB48" i="3"/>
  <c r="AB48" i="8"/>
  <c r="AB48" i="6"/>
  <c r="M46" i="11"/>
  <c r="BL59" i="31"/>
  <c r="BK60" i="31"/>
  <c r="Y150" i="8"/>
  <c r="AB150" i="8" s="1"/>
  <c r="O207" i="8"/>
  <c r="B153" i="43" s="1"/>
  <c r="D153" i="43" s="1"/>
  <c r="E153" i="43" s="1"/>
  <c r="H153" i="43" s="1"/>
  <c r="J153" i="43" s="1"/>
  <c r="J150" i="36"/>
  <c r="AE204" i="8"/>
  <c r="AW204" i="8" s="1"/>
  <c r="AT61" i="31"/>
  <c r="AU60" i="31"/>
  <c r="Y150" i="6"/>
  <c r="AB150" i="6" s="1"/>
  <c r="O207" i="6"/>
  <c r="B98" i="43" s="1"/>
  <c r="V204" i="3"/>
  <c r="AO204" i="3"/>
  <c r="AP204" i="3" s="1"/>
  <c r="C146" i="11"/>
  <c r="D146" i="11" s="1"/>
  <c r="E146" i="11" s="1"/>
  <c r="AM99" i="8"/>
  <c r="AE99" i="8"/>
  <c r="CT53" i="31"/>
  <c r="CV53" i="31" s="1"/>
  <c r="B39" i="15"/>
  <c r="C39" i="15" s="1"/>
  <c r="J39" i="15" s="1"/>
  <c r="AZ201" i="3"/>
  <c r="AL144" i="3"/>
  <c r="AN144" i="3"/>
  <c r="AQ144" i="3" s="1"/>
  <c r="AM144" i="3"/>
  <c r="AP144" i="3" s="1"/>
  <c r="AO144" i="3"/>
  <c r="AR144" i="3" s="1"/>
  <c r="R206" i="8"/>
  <c r="B152" i="36"/>
  <c r="D152" i="36" s="1"/>
  <c r="E152" i="36" s="1"/>
  <c r="S206" i="40" s="1"/>
  <c r="T206" i="40" s="1"/>
  <c r="AO203" i="3"/>
  <c r="AP203" i="3" s="1"/>
  <c r="AN47" i="6"/>
  <c r="BG47" i="6" s="1"/>
  <c r="BF47" i="6"/>
  <c r="AB100" i="6"/>
  <c r="S205" i="8"/>
  <c r="T205" i="8" s="1"/>
  <c r="H151" i="36"/>
  <c r="AE205" i="40" s="1"/>
  <c r="AW205" i="40" s="1"/>
  <c r="BP58" i="31"/>
  <c r="BN58" i="31"/>
  <c r="BO58" i="31" s="1"/>
  <c r="J94" i="36"/>
  <c r="AE203" i="6"/>
  <c r="AW203" i="6" s="1"/>
  <c r="AZ59" i="31"/>
  <c r="AW59" i="31"/>
  <c r="AV59" i="31"/>
  <c r="BB78" i="31"/>
  <c r="BC78" i="31" s="1"/>
  <c r="BC77" i="31"/>
  <c r="G101" i="4"/>
  <c r="R151" i="6"/>
  <c r="AN98" i="6"/>
  <c r="J149" i="36"/>
  <c r="AE203" i="8"/>
  <c r="AW203" i="8" s="1"/>
  <c r="AY58" i="31"/>
  <c r="O207" i="3"/>
  <c r="B43" i="43" s="1"/>
  <c r="D43" i="43" s="1"/>
  <c r="E43" i="43" s="1"/>
  <c r="H43" i="43" s="1"/>
  <c r="J43" i="43" s="1"/>
  <c r="Y150" i="3"/>
  <c r="AB150" i="3" s="1"/>
  <c r="AA207" i="6"/>
  <c r="AC150" i="6"/>
  <c r="Z150" i="6"/>
  <c r="K99" i="4"/>
  <c r="O99" i="4" s="1"/>
  <c r="AY202" i="6"/>
  <c r="AK145" i="6"/>
  <c r="R151" i="3"/>
  <c r="N151" i="3"/>
  <c r="AN98" i="3"/>
  <c r="AE146" i="6"/>
  <c r="AE146" i="3"/>
  <c r="AE146" i="8"/>
  <c r="AG149" i="3"/>
  <c r="J95" i="36"/>
  <c r="AE204" i="6"/>
  <c r="AW204" i="6" s="1"/>
  <c r="L150" i="6"/>
  <c r="M150" i="6"/>
  <c r="AF149" i="6"/>
  <c r="BT59" i="31"/>
  <c r="BV59" i="31" s="1"/>
  <c r="BW59" i="31" s="1"/>
  <c r="BS60" i="31"/>
  <c r="C95" i="11"/>
  <c r="D95" i="11" s="1"/>
  <c r="E95" i="11" s="1"/>
  <c r="AM99" i="6"/>
  <c r="AE99" i="6"/>
  <c r="AF149" i="3"/>
  <c r="AM63" i="31"/>
  <c r="AN62" i="31"/>
  <c r="B42" i="36"/>
  <c r="D42" i="36" s="1"/>
  <c r="E42" i="36" s="1"/>
  <c r="S206" i="38" s="1"/>
  <c r="T206" i="38" s="1"/>
  <c r="R206" i="3"/>
  <c r="CK55" i="31"/>
  <c r="CO54" i="31"/>
  <c r="CR54" i="31"/>
  <c r="X151" i="8"/>
  <c r="AE52" i="9"/>
  <c r="AN47" i="3"/>
  <c r="BG47" i="3" s="1"/>
  <c r="AE47" i="3"/>
  <c r="AF47" i="3"/>
  <c r="BF47" i="3"/>
  <c r="AG47" i="3"/>
  <c r="AC47" i="3"/>
  <c r="AD47" i="3"/>
  <c r="AB100" i="3"/>
  <c r="Z150" i="8"/>
  <c r="AA207" i="8"/>
  <c r="AC150" i="8"/>
  <c r="N150" i="8"/>
  <c r="V203" i="6"/>
  <c r="C44" i="11"/>
  <c r="D44" i="11" s="1"/>
  <c r="E44" i="11" s="1"/>
  <c r="AM99" i="3"/>
  <c r="AE99" i="3"/>
  <c r="BI76" i="31"/>
  <c r="BF76" i="31"/>
  <c r="BD76" i="31"/>
  <c r="BE76" i="31"/>
  <c r="AH149" i="6"/>
  <c r="AA150" i="8"/>
  <c r="V203" i="8"/>
  <c r="AO203" i="8"/>
  <c r="AP203" i="8" s="1"/>
  <c r="CC459" i="2"/>
  <c r="CD458" i="2"/>
  <c r="AY203" i="38" l="1"/>
  <c r="H151" i="8"/>
  <c r="K151" i="6"/>
  <c r="M151" i="6" s="1"/>
  <c r="D98" i="43"/>
  <c r="E98" i="43"/>
  <c r="H98" i="43" s="1"/>
  <c r="J98" i="43" s="1"/>
  <c r="AS144" i="39"/>
  <c r="AT144" i="39" s="1"/>
  <c r="AS145" i="38"/>
  <c r="AT145" i="38" s="1"/>
  <c r="AM145" i="39"/>
  <c r="AP145" i="39" s="1"/>
  <c r="AL145" i="39"/>
  <c r="AN145" i="39"/>
  <c r="AQ145" i="39" s="1"/>
  <c r="AO145" i="39"/>
  <c r="AR145" i="39" s="1"/>
  <c r="AZ202" i="39"/>
  <c r="AS144" i="40"/>
  <c r="AT144" i="40" s="1"/>
  <c r="AY203" i="40"/>
  <c r="AK146" i="40"/>
  <c r="AY203" i="39"/>
  <c r="AK146" i="39"/>
  <c r="AE147" i="38"/>
  <c r="AK147" i="38" s="1"/>
  <c r="AE147" i="40"/>
  <c r="AE147" i="39"/>
  <c r="AO145" i="40"/>
  <c r="AR145" i="40" s="1"/>
  <c r="AN145" i="40"/>
  <c r="AQ145" i="40" s="1"/>
  <c r="AM145" i="40"/>
  <c r="AP145" i="40" s="1"/>
  <c r="AZ202" i="40"/>
  <c r="AL145" i="40"/>
  <c r="G152" i="8"/>
  <c r="X152" i="8" s="1"/>
  <c r="G152" i="40"/>
  <c r="V206" i="40"/>
  <c r="AC208" i="8"/>
  <c r="AU208" i="8" s="1"/>
  <c r="AM207" i="40"/>
  <c r="AN207" i="40" s="1"/>
  <c r="AA150" i="40"/>
  <c r="AI148" i="40"/>
  <c r="AF149" i="40"/>
  <c r="AC208" i="40"/>
  <c r="AU208" i="40" s="1"/>
  <c r="X151" i="40"/>
  <c r="H151" i="40"/>
  <c r="K151" i="40"/>
  <c r="M151" i="40" s="1"/>
  <c r="V151" i="40"/>
  <c r="AC150" i="40"/>
  <c r="AA207" i="40"/>
  <c r="AB150" i="40"/>
  <c r="Z150" i="40"/>
  <c r="AF150" i="40" s="1"/>
  <c r="AO205" i="40"/>
  <c r="AP205" i="40" s="1"/>
  <c r="AH149" i="40"/>
  <c r="M150" i="40"/>
  <c r="N150" i="40"/>
  <c r="L150" i="40"/>
  <c r="AG149" i="40"/>
  <c r="AA207" i="39"/>
  <c r="AC150" i="39"/>
  <c r="AB150" i="39"/>
  <c r="Z150" i="39"/>
  <c r="AM207" i="39"/>
  <c r="AN207" i="39" s="1"/>
  <c r="AA150" i="39"/>
  <c r="AF149" i="39"/>
  <c r="AI148" i="39"/>
  <c r="AO203" i="6"/>
  <c r="AP203" i="6" s="1"/>
  <c r="AC208" i="6"/>
  <c r="AU208" i="6" s="1"/>
  <c r="AO205" i="39"/>
  <c r="AP205" i="39" s="1"/>
  <c r="N150" i="39"/>
  <c r="L150" i="39"/>
  <c r="AH149" i="39"/>
  <c r="G152" i="6"/>
  <c r="H152" i="6" s="1"/>
  <c r="G152" i="39"/>
  <c r="X151" i="6"/>
  <c r="V151" i="6"/>
  <c r="AA208" i="6" s="1"/>
  <c r="AG149" i="39"/>
  <c r="AC208" i="39"/>
  <c r="AU208" i="39" s="1"/>
  <c r="H151" i="39"/>
  <c r="X151" i="39"/>
  <c r="V151" i="39"/>
  <c r="K151" i="39"/>
  <c r="M151" i="39" s="1"/>
  <c r="AS144" i="3"/>
  <c r="AT144" i="3" s="1"/>
  <c r="AO205" i="38"/>
  <c r="AP205" i="38" s="1"/>
  <c r="AG149" i="38"/>
  <c r="G152" i="3"/>
  <c r="X152" i="3" s="1"/>
  <c r="AM209" i="3" s="1"/>
  <c r="AN209" i="3" s="1"/>
  <c r="G152" i="38"/>
  <c r="L150" i="38"/>
  <c r="N150" i="38"/>
  <c r="AA150" i="38"/>
  <c r="AM207" i="38"/>
  <c r="AN207" i="38" s="1"/>
  <c r="V206" i="38"/>
  <c r="AC208" i="38"/>
  <c r="AU208" i="38" s="1"/>
  <c r="H151" i="38"/>
  <c r="X151" i="38"/>
  <c r="K151" i="38"/>
  <c r="V151" i="38"/>
  <c r="AC150" i="38"/>
  <c r="AA207" i="38"/>
  <c r="AB150" i="38"/>
  <c r="Z150" i="38"/>
  <c r="AH149" i="38"/>
  <c r="AI148" i="38"/>
  <c r="M150" i="38"/>
  <c r="AZ203" i="38"/>
  <c r="AL146" i="38"/>
  <c r="AO146" i="38"/>
  <c r="AR146" i="38" s="1"/>
  <c r="AN146" i="38"/>
  <c r="AQ146" i="38" s="1"/>
  <c r="AM146" i="38"/>
  <c r="AP146" i="38" s="1"/>
  <c r="AY59" i="31"/>
  <c r="AM209" i="8"/>
  <c r="AN209" i="8" s="1"/>
  <c r="AF150" i="8"/>
  <c r="AR62" i="31"/>
  <c r="AO62" i="31"/>
  <c r="AQ62" i="31" s="1"/>
  <c r="CL57" i="31" s="1"/>
  <c r="G58" i="31" s="1"/>
  <c r="AI149" i="6"/>
  <c r="M103" i="4" s="1"/>
  <c r="O208" i="3"/>
  <c r="B44" i="43" s="1"/>
  <c r="Y151" i="3"/>
  <c r="AB151" i="3" s="1"/>
  <c r="AH150" i="3"/>
  <c r="AE205" i="8"/>
  <c r="AW205" i="8" s="1"/>
  <c r="J151" i="36"/>
  <c r="AZ60" i="31"/>
  <c r="AW60" i="31"/>
  <c r="AV60" i="31"/>
  <c r="B153" i="36"/>
  <c r="D153" i="36" s="1"/>
  <c r="E153" i="36" s="1"/>
  <c r="S207" i="40" s="1"/>
  <c r="T207" i="40" s="1"/>
  <c r="R207" i="8"/>
  <c r="M47" i="11"/>
  <c r="AB49" i="8"/>
  <c r="AB49" i="6"/>
  <c r="AB49" i="3"/>
  <c r="V205" i="3"/>
  <c r="X152" i="6"/>
  <c r="AC209" i="6"/>
  <c r="AU209" i="6" s="1"/>
  <c r="V152" i="6"/>
  <c r="I100" i="4"/>
  <c r="AY203" i="3"/>
  <c r="AK146" i="3"/>
  <c r="C100" i="4"/>
  <c r="AG150" i="8"/>
  <c r="BH76" i="31"/>
  <c r="R152" i="3"/>
  <c r="AN99" i="3"/>
  <c r="AC209" i="3"/>
  <c r="AU209" i="3" s="1"/>
  <c r="H152" i="3"/>
  <c r="V152" i="3"/>
  <c r="AA152" i="3" s="1"/>
  <c r="K152" i="3"/>
  <c r="C45" i="11"/>
  <c r="D45" i="11" s="1"/>
  <c r="E45" i="11" s="1"/>
  <c r="AM100" i="3"/>
  <c r="AE100" i="3"/>
  <c r="CK56" i="31"/>
  <c r="CR55" i="31"/>
  <c r="CO55" i="31"/>
  <c r="AM64" i="31"/>
  <c r="AN63" i="31"/>
  <c r="R152" i="6"/>
  <c r="AN99" i="6"/>
  <c r="BS61" i="31"/>
  <c r="BT60" i="31"/>
  <c r="BV60" i="31" s="1"/>
  <c r="BW60" i="31" s="1"/>
  <c r="K100" i="4"/>
  <c r="O100" i="4" s="1"/>
  <c r="AY203" i="6"/>
  <c r="AK146" i="6"/>
  <c r="AL145" i="6"/>
  <c r="AZ202" i="6"/>
  <c r="B90" i="15"/>
  <c r="C90" i="15" s="1"/>
  <c r="AN145" i="6"/>
  <c r="AQ145" i="6" s="1"/>
  <c r="AM145" i="6"/>
  <c r="AP145" i="6" s="1"/>
  <c r="AO145" i="6"/>
  <c r="AR145" i="6" s="1"/>
  <c r="AF150" i="6"/>
  <c r="R207" i="3"/>
  <c r="B43" i="36"/>
  <c r="D43" i="36" s="1"/>
  <c r="E43" i="36" s="1"/>
  <c r="S207" i="38" s="1"/>
  <c r="T207" i="38" s="1"/>
  <c r="AE147" i="3"/>
  <c r="AE147" i="8"/>
  <c r="AE147" i="6"/>
  <c r="AO205" i="8"/>
  <c r="AP205" i="8" s="1"/>
  <c r="V205" i="8"/>
  <c r="AT62" i="31"/>
  <c r="AU61" i="31"/>
  <c r="AH150" i="8"/>
  <c r="AN48" i="6"/>
  <c r="BG48" i="6" s="1"/>
  <c r="BF48" i="6"/>
  <c r="AB101" i="6"/>
  <c r="M151" i="3"/>
  <c r="L151" i="3"/>
  <c r="AZ202" i="8"/>
  <c r="AL145" i="8"/>
  <c r="B140" i="15"/>
  <c r="C140" i="15" s="1"/>
  <c r="AM145" i="8"/>
  <c r="AP145" i="8" s="1"/>
  <c r="AN145" i="8"/>
  <c r="AQ145" i="8" s="1"/>
  <c r="AO145" i="8"/>
  <c r="AR145" i="8" s="1"/>
  <c r="AE205" i="3"/>
  <c r="AW205" i="3" s="1"/>
  <c r="J41" i="36"/>
  <c r="AS144" i="8"/>
  <c r="AT144" i="8" s="1"/>
  <c r="C147" i="11"/>
  <c r="D147" i="11" s="1"/>
  <c r="E147" i="11" s="1"/>
  <c r="AM100" i="8"/>
  <c r="AE100" i="8"/>
  <c r="L151" i="8"/>
  <c r="M151" i="8"/>
  <c r="J96" i="36"/>
  <c r="AE205" i="6"/>
  <c r="AW205" i="6" s="1"/>
  <c r="AM208" i="8"/>
  <c r="AN208" i="8" s="1"/>
  <c r="AA151" i="8"/>
  <c r="BI77" i="31"/>
  <c r="BE77" i="31"/>
  <c r="BF77" i="31"/>
  <c r="BD77" i="31"/>
  <c r="C96" i="11"/>
  <c r="D96" i="11" s="1"/>
  <c r="E96" i="11" s="1"/>
  <c r="AM100" i="6"/>
  <c r="AE100" i="6"/>
  <c r="I39" i="15"/>
  <c r="E39" i="15"/>
  <c r="F39" i="15"/>
  <c r="S152" i="8"/>
  <c r="AN99" i="8"/>
  <c r="AC209" i="8"/>
  <c r="AU209" i="8" s="1"/>
  <c r="H152" i="8"/>
  <c r="K152" i="8"/>
  <c r="L152" i="8" s="1"/>
  <c r="V152" i="8"/>
  <c r="B98" i="36"/>
  <c r="D98" i="36" s="1"/>
  <c r="E98" i="36" s="1"/>
  <c r="S207" i="39" s="1"/>
  <c r="T207" i="39" s="1"/>
  <c r="R207" i="6"/>
  <c r="BL60" i="31"/>
  <c r="BK61" i="31"/>
  <c r="BF48" i="8"/>
  <c r="AN48" i="8"/>
  <c r="BG48" i="8" s="1"/>
  <c r="AB101" i="8"/>
  <c r="AS144" i="6"/>
  <c r="AT144" i="6" s="1"/>
  <c r="Y151" i="8"/>
  <c r="AB151" i="8" s="1"/>
  <c r="O208" i="8"/>
  <c r="B154" i="43" s="1"/>
  <c r="D154" i="43" s="1"/>
  <c r="E154" i="43" s="1"/>
  <c r="H154" i="43" s="1"/>
  <c r="J154" i="43" s="1"/>
  <c r="Z151" i="3"/>
  <c r="AC151" i="3"/>
  <c r="AA208" i="3"/>
  <c r="Z151" i="6"/>
  <c r="AC151" i="6"/>
  <c r="G102" i="4"/>
  <c r="D97" i="36"/>
  <c r="E97" i="36" s="1"/>
  <c r="S206" i="39" s="1"/>
  <c r="T206" i="39" s="1"/>
  <c r="J139" i="15"/>
  <c r="I139" i="15"/>
  <c r="E139" i="15"/>
  <c r="F139" i="15"/>
  <c r="Z151" i="8"/>
  <c r="AA208" i="8"/>
  <c r="AC151" i="8"/>
  <c r="B40" i="15"/>
  <c r="C40" i="15" s="1"/>
  <c r="J40" i="15" s="1"/>
  <c r="AL145" i="3"/>
  <c r="AZ202" i="3"/>
  <c r="AO145" i="3"/>
  <c r="AR145" i="3" s="1"/>
  <c r="AN145" i="3"/>
  <c r="AQ145" i="3" s="1"/>
  <c r="AM145" i="3"/>
  <c r="AP145" i="3" s="1"/>
  <c r="V205" i="6"/>
  <c r="AI149" i="8"/>
  <c r="T103" i="4" s="1"/>
  <c r="CT54" i="31"/>
  <c r="CV54" i="31" s="1"/>
  <c r="S206" i="3"/>
  <c r="T206" i="3" s="1"/>
  <c r="H42" i="36"/>
  <c r="AE206" i="38" s="1"/>
  <c r="AW206" i="38" s="1"/>
  <c r="AI149" i="3"/>
  <c r="E103" i="4" s="1"/>
  <c r="R100" i="4"/>
  <c r="V100" i="4" s="1"/>
  <c r="AY203" i="8"/>
  <c r="AK146" i="8"/>
  <c r="Y151" i="6"/>
  <c r="AB151" i="6" s="1"/>
  <c r="O208" i="6"/>
  <c r="B99" i="43" s="1"/>
  <c r="BI78" i="31"/>
  <c r="BI18" i="31" s="1"/>
  <c r="BE78" i="31"/>
  <c r="BD78" i="31"/>
  <c r="BF78" i="31"/>
  <c r="S206" i="8"/>
  <c r="T206" i="8" s="1"/>
  <c r="H152" i="36"/>
  <c r="AE206" i="40" s="1"/>
  <c r="AW206" i="40" s="1"/>
  <c r="AM208" i="6"/>
  <c r="AN208" i="6" s="1"/>
  <c r="AH150" i="6"/>
  <c r="BP59" i="31"/>
  <c r="BN59" i="31"/>
  <c r="BO59" i="31" s="1"/>
  <c r="AE53" i="9"/>
  <c r="AN48" i="3"/>
  <c r="BG48" i="3" s="1"/>
  <c r="AD48" i="3"/>
  <c r="AF48" i="3"/>
  <c r="BF48" i="3"/>
  <c r="AC48" i="3"/>
  <c r="AE48" i="3"/>
  <c r="AG48" i="3"/>
  <c r="AB101" i="3"/>
  <c r="I89" i="15"/>
  <c r="J89" i="15"/>
  <c r="E89" i="15"/>
  <c r="F89" i="15"/>
  <c r="AF150" i="3"/>
  <c r="AO204" i="8"/>
  <c r="AP204" i="8" s="1"/>
  <c r="AO204" i="6"/>
  <c r="AP204" i="6" s="1"/>
  <c r="AA151" i="3"/>
  <c r="CC460" i="2"/>
  <c r="CD459" i="2"/>
  <c r="K152" i="6" l="1"/>
  <c r="L151" i="6"/>
  <c r="N151" i="6"/>
  <c r="AY204" i="38"/>
  <c r="D99" i="43"/>
  <c r="E99" i="43"/>
  <c r="H99" i="43" s="1"/>
  <c r="J99" i="43" s="1"/>
  <c r="AI150" i="3"/>
  <c r="E104" i="4" s="1"/>
  <c r="D44" i="43"/>
  <c r="E44" i="43" s="1"/>
  <c r="H44" i="43" s="1"/>
  <c r="J44" i="43" s="1"/>
  <c r="AI149" i="39"/>
  <c r="AO205" i="6"/>
  <c r="AP205" i="6" s="1"/>
  <c r="M152" i="8"/>
  <c r="AA151" i="6"/>
  <c r="AE148" i="38"/>
  <c r="AK148" i="38" s="1"/>
  <c r="AE148" i="39"/>
  <c r="AE148" i="40"/>
  <c r="AN146" i="39"/>
  <c r="AQ146" i="39" s="1"/>
  <c r="AM146" i="39"/>
  <c r="AP146" i="39" s="1"/>
  <c r="AO146" i="39"/>
  <c r="AR146" i="39" s="1"/>
  <c r="AZ203" i="39"/>
  <c r="AL146" i="39"/>
  <c r="AY204" i="39"/>
  <c r="AK147" i="39"/>
  <c r="AS145" i="39"/>
  <c r="AT145" i="39" s="1"/>
  <c r="AS145" i="40"/>
  <c r="AT145" i="40" s="1"/>
  <c r="AY204" i="40"/>
  <c r="AK147" i="40"/>
  <c r="AL146" i="40"/>
  <c r="AM146" i="40"/>
  <c r="AP146" i="40" s="1"/>
  <c r="AO146" i="40"/>
  <c r="AR146" i="40" s="1"/>
  <c r="AN146" i="40"/>
  <c r="AQ146" i="40" s="1"/>
  <c r="AZ203" i="40"/>
  <c r="N151" i="40"/>
  <c r="L151" i="40"/>
  <c r="AG150" i="40"/>
  <c r="AO206" i="40"/>
  <c r="AP206" i="40" s="1"/>
  <c r="V207" i="40"/>
  <c r="AH150" i="40"/>
  <c r="AI149" i="40"/>
  <c r="AC209" i="40"/>
  <c r="AU209" i="40" s="1"/>
  <c r="H152" i="40"/>
  <c r="X152" i="40"/>
  <c r="V152" i="40"/>
  <c r="K152" i="40"/>
  <c r="G153" i="8"/>
  <c r="X153" i="8" s="1"/>
  <c r="AM210" i="8" s="1"/>
  <c r="AN210" i="8" s="1"/>
  <c r="G153" i="40"/>
  <c r="AA208" i="40"/>
  <c r="AC151" i="40"/>
  <c r="AB151" i="40"/>
  <c r="Z151" i="40"/>
  <c r="AA151" i="40"/>
  <c r="AM208" i="40"/>
  <c r="AN208" i="40" s="1"/>
  <c r="V206" i="39"/>
  <c r="N151" i="39"/>
  <c r="L151" i="39"/>
  <c r="AC209" i="39"/>
  <c r="AU209" i="39" s="1"/>
  <c r="H152" i="39"/>
  <c r="X152" i="39"/>
  <c r="V152" i="39"/>
  <c r="K152" i="39"/>
  <c r="M152" i="39" s="1"/>
  <c r="AG150" i="39"/>
  <c r="Z151" i="39"/>
  <c r="AC151" i="39"/>
  <c r="AA208" i="39"/>
  <c r="AB151" i="39"/>
  <c r="V207" i="39"/>
  <c r="AF150" i="39"/>
  <c r="G153" i="6"/>
  <c r="G153" i="39"/>
  <c r="AM208" i="39"/>
  <c r="AN208" i="39" s="1"/>
  <c r="AA151" i="39"/>
  <c r="AH150" i="39"/>
  <c r="AS145" i="6"/>
  <c r="AT145" i="6" s="1"/>
  <c r="AI149" i="38"/>
  <c r="V207" i="38"/>
  <c r="G153" i="3"/>
  <c r="G153" i="38"/>
  <c r="L151" i="38"/>
  <c r="N151" i="38"/>
  <c r="AG150" i="38"/>
  <c r="M151" i="38"/>
  <c r="AY205" i="38"/>
  <c r="AF150" i="38"/>
  <c r="AA151" i="38"/>
  <c r="AM208" i="38"/>
  <c r="AN208" i="38" s="1"/>
  <c r="AO206" i="38"/>
  <c r="AP206" i="38" s="1"/>
  <c r="AZ204" i="38"/>
  <c r="AL147" i="38"/>
  <c r="AN147" i="38"/>
  <c r="AQ147" i="38" s="1"/>
  <c r="AO147" i="38"/>
  <c r="AR147" i="38" s="1"/>
  <c r="AM147" i="38"/>
  <c r="AP147" i="38" s="1"/>
  <c r="AS146" i="38"/>
  <c r="AT146" i="38" s="1"/>
  <c r="AH150" i="38"/>
  <c r="AA208" i="38"/>
  <c r="AC151" i="38"/>
  <c r="AB151" i="38"/>
  <c r="Z151" i="38"/>
  <c r="AF151" i="38" s="1"/>
  <c r="AC209" i="38"/>
  <c r="AU209" i="38" s="1"/>
  <c r="X152" i="38"/>
  <c r="H152" i="38"/>
  <c r="V152" i="38"/>
  <c r="K152" i="38"/>
  <c r="BH77" i="31"/>
  <c r="CT55" i="31"/>
  <c r="CV55" i="31" s="1"/>
  <c r="AY60" i="31"/>
  <c r="AG152" i="3"/>
  <c r="S206" i="6"/>
  <c r="T206" i="6" s="1"/>
  <c r="H97" i="36"/>
  <c r="AE206" i="39" s="1"/>
  <c r="AW206" i="39" s="1"/>
  <c r="C46" i="11"/>
  <c r="D46" i="11" s="1"/>
  <c r="E46" i="11" s="1"/>
  <c r="AM101" i="3"/>
  <c r="AE101" i="3"/>
  <c r="F40" i="15"/>
  <c r="E40" i="15"/>
  <c r="I40" i="15"/>
  <c r="AF151" i="8"/>
  <c r="AE148" i="3"/>
  <c r="AE148" i="8"/>
  <c r="AE148" i="6"/>
  <c r="AF151" i="6"/>
  <c r="AF151" i="3"/>
  <c r="C148" i="11"/>
  <c r="D148" i="11" s="1"/>
  <c r="E148" i="11" s="1"/>
  <c r="AM101" i="8"/>
  <c r="AE101" i="8"/>
  <c r="BK62" i="31"/>
  <c r="BL61" i="31"/>
  <c r="Z152" i="8"/>
  <c r="AC152" i="8"/>
  <c r="AA209" i="8"/>
  <c r="R153" i="6"/>
  <c r="AN100" i="6"/>
  <c r="H153" i="6"/>
  <c r="AC210" i="6"/>
  <c r="AU210" i="6" s="1"/>
  <c r="V153" i="6"/>
  <c r="K153" i="6"/>
  <c r="L153" i="6" s="1"/>
  <c r="F140" i="15"/>
  <c r="J140" i="15"/>
  <c r="I140" i="15"/>
  <c r="E140" i="15"/>
  <c r="AU62" i="31"/>
  <c r="AT63" i="31"/>
  <c r="R101" i="4"/>
  <c r="V101" i="4" s="1"/>
  <c r="AY204" i="8"/>
  <c r="AK147" i="8"/>
  <c r="O209" i="6"/>
  <c r="B100" i="43" s="1"/>
  <c r="Y152" i="6"/>
  <c r="AB152" i="6" s="1"/>
  <c r="AC210" i="3"/>
  <c r="AU210" i="3" s="1"/>
  <c r="H153" i="3"/>
  <c r="V153" i="3"/>
  <c r="K153" i="3"/>
  <c r="L153" i="3" s="1"/>
  <c r="AL146" i="3"/>
  <c r="AZ203" i="3"/>
  <c r="B41" i="15"/>
  <c r="C41" i="15" s="1"/>
  <c r="J41" i="15" s="1"/>
  <c r="AM146" i="3"/>
  <c r="AP146" i="3" s="1"/>
  <c r="AO146" i="3"/>
  <c r="AR146" i="3" s="1"/>
  <c r="AN146" i="3"/>
  <c r="AQ146" i="3" s="1"/>
  <c r="AE54" i="9"/>
  <c r="AN49" i="3"/>
  <c r="BG49" i="3" s="1"/>
  <c r="AC49" i="3"/>
  <c r="AG49" i="3"/>
  <c r="AF49" i="3"/>
  <c r="BF49" i="3"/>
  <c r="AD49" i="3"/>
  <c r="AE49" i="3"/>
  <c r="AB102" i="3"/>
  <c r="B141" i="15"/>
  <c r="C141" i="15" s="1"/>
  <c r="AL146" i="8"/>
  <c r="AZ203" i="8"/>
  <c r="AM146" i="8"/>
  <c r="AP146" i="8" s="1"/>
  <c r="AO146" i="8"/>
  <c r="AR146" i="8" s="1"/>
  <c r="AN146" i="8"/>
  <c r="AQ146" i="8" s="1"/>
  <c r="J42" i="36"/>
  <c r="AE206" i="3"/>
  <c r="AW206" i="3" s="1"/>
  <c r="R208" i="8"/>
  <c r="B154" i="36"/>
  <c r="D154" i="36" s="1"/>
  <c r="E154" i="36" s="1"/>
  <c r="S208" i="40" s="1"/>
  <c r="T208" i="40" s="1"/>
  <c r="BP60" i="31"/>
  <c r="BN60" i="31"/>
  <c r="BO60" i="31" s="1"/>
  <c r="O209" i="8"/>
  <c r="B155" i="43" s="1"/>
  <c r="D155" i="43" s="1"/>
  <c r="E155" i="43" s="1"/>
  <c r="H155" i="43" s="1"/>
  <c r="J155" i="43" s="1"/>
  <c r="Y152" i="8"/>
  <c r="AB152" i="8" s="1"/>
  <c r="AG151" i="8"/>
  <c r="S153" i="8"/>
  <c r="AN100" i="8"/>
  <c r="H153" i="8"/>
  <c r="AC210" i="8"/>
  <c r="AU210" i="8" s="1"/>
  <c r="K153" i="8"/>
  <c r="L153" i="8" s="1"/>
  <c r="V153" i="8"/>
  <c r="C97" i="11"/>
  <c r="D97" i="11" s="1"/>
  <c r="E97" i="11" s="1"/>
  <c r="AM101" i="6"/>
  <c r="AE101" i="6"/>
  <c r="I101" i="4"/>
  <c r="AY204" i="3"/>
  <c r="AK147" i="3"/>
  <c r="C101" i="4"/>
  <c r="AZ203" i="6"/>
  <c r="AL146" i="6"/>
  <c r="B91" i="15"/>
  <c r="C91" i="15" s="1"/>
  <c r="AM146" i="6"/>
  <c r="AP146" i="6" s="1"/>
  <c r="AO146" i="6"/>
  <c r="AR146" i="6" s="1"/>
  <c r="AN146" i="6"/>
  <c r="AQ146" i="6" s="1"/>
  <c r="BS62" i="31"/>
  <c r="BT61" i="31"/>
  <c r="BV61" i="31" s="1"/>
  <c r="BW61" i="31" s="1"/>
  <c r="AR63" i="31"/>
  <c r="AO63" i="31"/>
  <c r="AQ63" i="31" s="1"/>
  <c r="CL58" i="31" s="1"/>
  <c r="G59" i="31" s="1"/>
  <c r="CO56" i="31"/>
  <c r="CR56" i="31"/>
  <c r="CK57" i="31"/>
  <c r="L152" i="3"/>
  <c r="M152" i="3"/>
  <c r="N152" i="3"/>
  <c r="AN49" i="6"/>
  <c r="BG49" i="6" s="1"/>
  <c r="BF49" i="6"/>
  <c r="AB102" i="6"/>
  <c r="H153" i="36"/>
  <c r="AE207" i="40" s="1"/>
  <c r="AW207" i="40" s="1"/>
  <c r="S207" i="8"/>
  <c r="T207" i="8" s="1"/>
  <c r="AH151" i="3"/>
  <c r="M152" i="6"/>
  <c r="J152" i="36"/>
  <c r="AE206" i="8"/>
  <c r="AW206" i="8" s="1"/>
  <c r="G104" i="4"/>
  <c r="AG151" i="6"/>
  <c r="AG151" i="3"/>
  <c r="R208" i="6"/>
  <c r="B99" i="36"/>
  <c r="D99" i="36" s="1"/>
  <c r="E99" i="36" s="1"/>
  <c r="S208" i="39" s="1"/>
  <c r="T208" i="39" s="1"/>
  <c r="V206" i="3"/>
  <c r="AH151" i="8"/>
  <c r="N152" i="8"/>
  <c r="X153" i="6"/>
  <c r="M153" i="8"/>
  <c r="AI150" i="6"/>
  <c r="M104" i="4" s="1"/>
  <c r="J90" i="15"/>
  <c r="F90" i="15"/>
  <c r="I90" i="15"/>
  <c r="E90" i="15"/>
  <c r="AM65" i="31"/>
  <c r="AN64" i="31"/>
  <c r="X153" i="3"/>
  <c r="Z152" i="3"/>
  <c r="AA209" i="3"/>
  <c r="AC152" i="3"/>
  <c r="AO205" i="3"/>
  <c r="AP205" i="3" s="1"/>
  <c r="BF49" i="8"/>
  <c r="AN49" i="8"/>
  <c r="BG49" i="8" s="1"/>
  <c r="AB102" i="8"/>
  <c r="R208" i="3"/>
  <c r="B44" i="36"/>
  <c r="D44" i="36" s="1"/>
  <c r="E44" i="36" s="1"/>
  <c r="S208" i="38" s="1"/>
  <c r="T208" i="38" s="1"/>
  <c r="G103" i="4"/>
  <c r="V206" i="8"/>
  <c r="BH78" i="31"/>
  <c r="AH151" i="6"/>
  <c r="AS145" i="3"/>
  <c r="AT145" i="3" s="1"/>
  <c r="H98" i="36"/>
  <c r="AE207" i="39" s="1"/>
  <c r="AW207" i="39" s="1"/>
  <c r="S207" i="6"/>
  <c r="T207" i="6" s="1"/>
  <c r="M153" i="6"/>
  <c r="AS145" i="8"/>
  <c r="AT145" i="8" s="1"/>
  <c r="AZ61" i="31"/>
  <c r="AW61" i="31"/>
  <c r="AV61" i="31"/>
  <c r="AY204" i="6"/>
  <c r="K101" i="4"/>
  <c r="O101" i="4" s="1"/>
  <c r="AK147" i="6"/>
  <c r="H43" i="36"/>
  <c r="AE207" i="38" s="1"/>
  <c r="AW207" i="38" s="1"/>
  <c r="S207" i="3"/>
  <c r="T207" i="3" s="1"/>
  <c r="AN100" i="3"/>
  <c r="R153" i="3"/>
  <c r="Y152" i="3"/>
  <c r="AB152" i="3" s="1"/>
  <c r="O209" i="3"/>
  <c r="B45" i="43" s="1"/>
  <c r="D45" i="43" s="1"/>
  <c r="E45" i="43" s="1"/>
  <c r="H45" i="43" s="1"/>
  <c r="J45" i="43" s="1"/>
  <c r="AC152" i="6"/>
  <c r="AA209" i="6"/>
  <c r="Z152" i="6"/>
  <c r="AA152" i="6"/>
  <c r="AM209" i="6"/>
  <c r="AN209" i="6" s="1"/>
  <c r="AB50" i="6"/>
  <c r="M48" i="11"/>
  <c r="AB50" i="3"/>
  <c r="AB50" i="8"/>
  <c r="AI150" i="8"/>
  <c r="T104" i="4" s="1"/>
  <c r="AA152" i="8"/>
  <c r="CC461" i="2"/>
  <c r="CD460" i="2"/>
  <c r="L152" i="6" l="1"/>
  <c r="N152" i="6"/>
  <c r="AO206" i="8"/>
  <c r="AP206" i="8" s="1"/>
  <c r="N153" i="8"/>
  <c r="D100" i="43"/>
  <c r="E100" i="43"/>
  <c r="H100" i="43" s="1"/>
  <c r="J100" i="43" s="1"/>
  <c r="AS146" i="40"/>
  <c r="AT146" i="40" s="1"/>
  <c r="AI150" i="40"/>
  <c r="AY205" i="40"/>
  <c r="AK148" i="40"/>
  <c r="AE150" i="38"/>
  <c r="AY207" i="38" s="1"/>
  <c r="AE150" i="39"/>
  <c r="AE150" i="40"/>
  <c r="AM147" i="40"/>
  <c r="AP147" i="40" s="1"/>
  <c r="AN147" i="40"/>
  <c r="AQ147" i="40" s="1"/>
  <c r="AO147" i="40"/>
  <c r="AR147" i="40" s="1"/>
  <c r="AZ204" i="40"/>
  <c r="AL147" i="40"/>
  <c r="AO147" i="39"/>
  <c r="AR147" i="39" s="1"/>
  <c r="AM147" i="39"/>
  <c r="AP147" i="39" s="1"/>
  <c r="AN147" i="39"/>
  <c r="AQ147" i="39" s="1"/>
  <c r="AZ204" i="39"/>
  <c r="AL147" i="39"/>
  <c r="AY205" i="39"/>
  <c r="AK148" i="39"/>
  <c r="AE149" i="38"/>
  <c r="AK149" i="38" s="1"/>
  <c r="AE149" i="39"/>
  <c r="AE149" i="40"/>
  <c r="AS146" i="39"/>
  <c r="AT146" i="39" s="1"/>
  <c r="AH151" i="40"/>
  <c r="N152" i="40"/>
  <c r="L152" i="40"/>
  <c r="V208" i="40"/>
  <c r="AC152" i="40"/>
  <c r="AA209" i="40"/>
  <c r="AB152" i="40"/>
  <c r="Z152" i="40"/>
  <c r="AO207" i="40"/>
  <c r="AP207" i="40" s="1"/>
  <c r="G154" i="8"/>
  <c r="G154" i="40"/>
  <c r="AG151" i="40"/>
  <c r="AC210" i="40"/>
  <c r="AU210" i="40" s="1"/>
  <c r="X153" i="40"/>
  <c r="H153" i="40"/>
  <c r="K153" i="40"/>
  <c r="V153" i="40"/>
  <c r="AA152" i="40"/>
  <c r="AM209" i="40"/>
  <c r="AN209" i="40" s="1"/>
  <c r="AF151" i="40"/>
  <c r="M152" i="40"/>
  <c r="X153" i="39"/>
  <c r="AM210" i="39" s="1"/>
  <c r="AN210" i="39" s="1"/>
  <c r="AC210" i="39"/>
  <c r="AU210" i="39" s="1"/>
  <c r="H153" i="39"/>
  <c r="K153" i="39"/>
  <c r="V153" i="39"/>
  <c r="AH151" i="39"/>
  <c r="L152" i="39"/>
  <c r="N152" i="39"/>
  <c r="V208" i="39"/>
  <c r="G154" i="6"/>
  <c r="X154" i="6" s="1"/>
  <c r="AM211" i="6" s="1"/>
  <c r="AN211" i="6" s="1"/>
  <c r="G154" i="39"/>
  <c r="AI150" i="39"/>
  <c r="AF151" i="39"/>
  <c r="AC152" i="39"/>
  <c r="AA209" i="39"/>
  <c r="AB152" i="39"/>
  <c r="Z152" i="39"/>
  <c r="AG151" i="39"/>
  <c r="AO207" i="39"/>
  <c r="AP207" i="39" s="1"/>
  <c r="AM209" i="39"/>
  <c r="AN209" i="39" s="1"/>
  <c r="AA152" i="39"/>
  <c r="AG152" i="39" s="1"/>
  <c r="AO206" i="39"/>
  <c r="AP206" i="39" s="1"/>
  <c r="N153" i="3"/>
  <c r="L152" i="38"/>
  <c r="N152" i="38"/>
  <c r="AM209" i="38"/>
  <c r="AN209" i="38" s="1"/>
  <c r="AA152" i="38"/>
  <c r="AL148" i="38"/>
  <c r="AZ205" i="38"/>
  <c r="AO148" i="38"/>
  <c r="AR148" i="38" s="1"/>
  <c r="AN148" i="38"/>
  <c r="AQ148" i="38" s="1"/>
  <c r="AM148" i="38"/>
  <c r="AP148" i="38" s="1"/>
  <c r="X153" i="38"/>
  <c r="AC210" i="38"/>
  <c r="AU210" i="38" s="1"/>
  <c r="H153" i="38"/>
  <c r="K153" i="38"/>
  <c r="V153" i="38"/>
  <c r="AS146" i="8"/>
  <c r="AT146" i="8" s="1"/>
  <c r="G154" i="3"/>
  <c r="X154" i="3" s="1"/>
  <c r="G154" i="38"/>
  <c r="AC152" i="38"/>
  <c r="AA209" i="38"/>
  <c r="AB152" i="38"/>
  <c r="Z152" i="38"/>
  <c r="AG151" i="38"/>
  <c r="M152" i="38"/>
  <c r="AS147" i="38"/>
  <c r="AT147" i="38" s="1"/>
  <c r="V208" i="38"/>
  <c r="M153" i="3"/>
  <c r="AO206" i="3"/>
  <c r="AP206" i="3" s="1"/>
  <c r="AH151" i="38"/>
  <c r="AI150" i="38"/>
  <c r="AO207" i="38"/>
  <c r="AP207" i="38" s="1"/>
  <c r="AY61" i="31"/>
  <c r="AM211" i="3"/>
  <c r="AN211" i="3" s="1"/>
  <c r="M49" i="11"/>
  <c r="AB51" i="8"/>
  <c r="AB51" i="6"/>
  <c r="AB51" i="3"/>
  <c r="AH152" i="3"/>
  <c r="H44" i="36"/>
  <c r="AE208" i="38" s="1"/>
  <c r="AW208" i="38" s="1"/>
  <c r="S208" i="3"/>
  <c r="T208" i="3" s="1"/>
  <c r="V207" i="8"/>
  <c r="AN101" i="6"/>
  <c r="R154" i="6"/>
  <c r="AC153" i="8"/>
  <c r="Z153" i="8"/>
  <c r="AA210" i="8"/>
  <c r="AZ204" i="8"/>
  <c r="B142" i="15"/>
  <c r="C142" i="15" s="1"/>
  <c r="AL147" i="8"/>
  <c r="AN147" i="8"/>
  <c r="AQ147" i="8" s="1"/>
  <c r="AM147" i="8"/>
  <c r="AP147" i="8" s="1"/>
  <c r="AO147" i="8"/>
  <c r="AR147" i="8" s="1"/>
  <c r="AZ62" i="31"/>
  <c r="AV62" i="31"/>
  <c r="AW62" i="31"/>
  <c r="O210" i="6"/>
  <c r="B101" i="43" s="1"/>
  <c r="Y153" i="6"/>
  <c r="AB153" i="6" s="1"/>
  <c r="AF152" i="8"/>
  <c r="AN101" i="8"/>
  <c r="S154" i="8"/>
  <c r="AC211" i="8"/>
  <c r="AU211" i="8" s="1"/>
  <c r="H154" i="8"/>
  <c r="K154" i="8"/>
  <c r="V154" i="8"/>
  <c r="AI151" i="6"/>
  <c r="M105" i="4" s="1"/>
  <c r="J97" i="36"/>
  <c r="AE206" i="6"/>
  <c r="AW206" i="6" s="1"/>
  <c r="AF152" i="6"/>
  <c r="AE149" i="6"/>
  <c r="AE149" i="8"/>
  <c r="AE149" i="3"/>
  <c r="AN50" i="6"/>
  <c r="BG50" i="6" s="1"/>
  <c r="BF50" i="6"/>
  <c r="AB103" i="6"/>
  <c r="J43" i="36"/>
  <c r="AE207" i="3"/>
  <c r="AW207" i="3" s="1"/>
  <c r="BF50" i="8"/>
  <c r="AN50" i="8"/>
  <c r="BG50" i="8" s="1"/>
  <c r="AB103" i="8"/>
  <c r="O210" i="3"/>
  <c r="B46" i="43" s="1"/>
  <c r="Y153" i="3"/>
  <c r="AB153" i="3" s="1"/>
  <c r="AL147" i="6"/>
  <c r="AZ204" i="6"/>
  <c r="B92" i="15"/>
  <c r="C92" i="15" s="1"/>
  <c r="AN147" i="6"/>
  <c r="AQ147" i="6" s="1"/>
  <c r="AO147" i="6"/>
  <c r="AR147" i="6" s="1"/>
  <c r="AM147" i="6"/>
  <c r="AP147" i="6" s="1"/>
  <c r="V207" i="6"/>
  <c r="AR64" i="31"/>
  <c r="AO64" i="31"/>
  <c r="AQ64" i="31" s="1"/>
  <c r="CL59" i="31" s="1"/>
  <c r="G60" i="31" s="1"/>
  <c r="AA153" i="6"/>
  <c r="AM210" i="6"/>
  <c r="AN210" i="6" s="1"/>
  <c r="AE207" i="8"/>
  <c r="AW207" i="8" s="1"/>
  <c r="J153" i="36"/>
  <c r="CR57" i="31"/>
  <c r="CO57" i="31"/>
  <c r="CK58" i="31"/>
  <c r="AH152" i="8"/>
  <c r="H154" i="36"/>
  <c r="AE208" i="40" s="1"/>
  <c r="AW208" i="40" s="1"/>
  <c r="S208" i="8"/>
  <c r="T208" i="8" s="1"/>
  <c r="AA153" i="8"/>
  <c r="BP61" i="31"/>
  <c r="BN61" i="31"/>
  <c r="BO61" i="31" s="1"/>
  <c r="K102" i="4"/>
  <c r="O102" i="4" s="1"/>
  <c r="AY205" i="6"/>
  <c r="AK148" i="6"/>
  <c r="AI151" i="8"/>
  <c r="T105" i="4" s="1"/>
  <c r="AO206" i="6"/>
  <c r="AP206" i="6" s="1"/>
  <c r="V206" i="6"/>
  <c r="AE55" i="9"/>
  <c r="AF50" i="3"/>
  <c r="BF50" i="3"/>
  <c r="AG50" i="3"/>
  <c r="AN50" i="3"/>
  <c r="BG50" i="3" s="1"/>
  <c r="AE50" i="3"/>
  <c r="AC50" i="3"/>
  <c r="AD50" i="3"/>
  <c r="AB103" i="3"/>
  <c r="AG152" i="6"/>
  <c r="R209" i="3"/>
  <c r="B45" i="36"/>
  <c r="D45" i="36" s="1"/>
  <c r="E45" i="36" s="1"/>
  <c r="S209" i="38" s="1"/>
  <c r="T209" i="38" s="1"/>
  <c r="J98" i="36"/>
  <c r="AE207" i="6"/>
  <c r="AW207" i="6" s="1"/>
  <c r="C149" i="11"/>
  <c r="D149" i="11" s="1"/>
  <c r="E149" i="11" s="1"/>
  <c r="AE102" i="8"/>
  <c r="AM102" i="8"/>
  <c r="AF152" i="3"/>
  <c r="AI152" i="3" s="1"/>
  <c r="E106" i="4" s="1"/>
  <c r="AM66" i="31"/>
  <c r="AN65" i="31"/>
  <c r="AE150" i="6"/>
  <c r="AE150" i="8"/>
  <c r="AE150" i="3"/>
  <c r="C98" i="11"/>
  <c r="D98" i="11" s="1"/>
  <c r="E98" i="11" s="1"/>
  <c r="AM102" i="6"/>
  <c r="AE102" i="6"/>
  <c r="CT56" i="31"/>
  <c r="CV56" i="31" s="1"/>
  <c r="AS146" i="6"/>
  <c r="AT146" i="6" s="1"/>
  <c r="Y153" i="8"/>
  <c r="AB153" i="8" s="1"/>
  <c r="O210" i="8"/>
  <c r="B156" i="43" s="1"/>
  <c r="R209" i="8"/>
  <c r="B155" i="36"/>
  <c r="D155" i="36" s="1"/>
  <c r="E155" i="36" s="1"/>
  <c r="S209" i="40" s="1"/>
  <c r="T209" i="40" s="1"/>
  <c r="J141" i="15"/>
  <c r="E141" i="15"/>
  <c r="F141" i="15"/>
  <c r="I141" i="15"/>
  <c r="AS146" i="3"/>
  <c r="AT146" i="3" s="1"/>
  <c r="AH152" i="6"/>
  <c r="N153" i="6"/>
  <c r="BK63" i="31"/>
  <c r="BL62" i="31"/>
  <c r="AI151" i="3"/>
  <c r="E105" i="4" s="1"/>
  <c r="AY205" i="8"/>
  <c r="R102" i="4"/>
  <c r="V102" i="4" s="1"/>
  <c r="AK148" i="8"/>
  <c r="AN101" i="3"/>
  <c r="R154" i="3"/>
  <c r="AG152" i="8"/>
  <c r="V207" i="3"/>
  <c r="AA153" i="3"/>
  <c r="AM210" i="3"/>
  <c r="AN210" i="3" s="1"/>
  <c r="H99" i="36"/>
  <c r="AE208" i="39" s="1"/>
  <c r="AW208" i="39" s="1"/>
  <c r="S208" i="6"/>
  <c r="T208" i="6" s="1"/>
  <c r="BT62" i="31"/>
  <c r="BV62" i="31" s="1"/>
  <c r="BW62" i="31" s="1"/>
  <c r="BS63" i="31"/>
  <c r="J91" i="15"/>
  <c r="F91" i="15"/>
  <c r="I91" i="15"/>
  <c r="E91" i="15"/>
  <c r="B42" i="15"/>
  <c r="C42" i="15" s="1"/>
  <c r="J42" i="15" s="1"/>
  <c r="AL147" i="3"/>
  <c r="AZ204" i="3"/>
  <c r="AN147" i="3"/>
  <c r="AQ147" i="3" s="1"/>
  <c r="AO147" i="3"/>
  <c r="AR147" i="3" s="1"/>
  <c r="AM147" i="3"/>
  <c r="AP147" i="3" s="1"/>
  <c r="AC211" i="6"/>
  <c r="AU211" i="6" s="1"/>
  <c r="H154" i="6"/>
  <c r="K154" i="6"/>
  <c r="L154" i="6" s="1"/>
  <c r="C47" i="11"/>
  <c r="D47" i="11" s="1"/>
  <c r="E47" i="11" s="1"/>
  <c r="AM102" i="3"/>
  <c r="AE102" i="3"/>
  <c r="E41" i="15"/>
  <c r="F41" i="15"/>
  <c r="I41" i="15"/>
  <c r="AC153" i="3"/>
  <c r="Z153" i="3"/>
  <c r="AA210" i="3"/>
  <c r="B100" i="36"/>
  <c r="D100" i="36" s="1"/>
  <c r="E100" i="36" s="1"/>
  <c r="S209" i="39" s="1"/>
  <c r="T209" i="39" s="1"/>
  <c r="R209" i="6"/>
  <c r="AT64" i="31"/>
  <c r="AU63" i="31"/>
  <c r="Z153" i="6"/>
  <c r="AC153" i="6"/>
  <c r="AA210" i="6"/>
  <c r="X154" i="8"/>
  <c r="I102" i="4"/>
  <c r="AY205" i="3"/>
  <c r="AK148" i="3"/>
  <c r="C102" i="4"/>
  <c r="AC211" i="3"/>
  <c r="AU211" i="3" s="1"/>
  <c r="H154" i="3"/>
  <c r="V154" i="3"/>
  <c r="K154" i="3"/>
  <c r="N154" i="3" s="1"/>
  <c r="CC462" i="2"/>
  <c r="CD461" i="2"/>
  <c r="AY206" i="38" l="1"/>
  <c r="D156" i="43"/>
  <c r="E156" i="43"/>
  <c r="H156" i="43" s="1"/>
  <c r="J156" i="43" s="1"/>
  <c r="D101" i="43"/>
  <c r="E101" i="43"/>
  <c r="H101" i="43" s="1"/>
  <c r="J101" i="43" s="1"/>
  <c r="D46" i="43"/>
  <c r="E46" i="43" s="1"/>
  <c r="H46" i="43" s="1"/>
  <c r="J46" i="43" s="1"/>
  <c r="AK150" i="38"/>
  <c r="AM150" i="38" s="1"/>
  <c r="AP150" i="38" s="1"/>
  <c r="AO207" i="3"/>
  <c r="AP207" i="3" s="1"/>
  <c r="AS147" i="40"/>
  <c r="AT147" i="40" s="1"/>
  <c r="AS147" i="39"/>
  <c r="AT147" i="39" s="1"/>
  <c r="AY206" i="40"/>
  <c r="AK149" i="40"/>
  <c r="AY207" i="39"/>
  <c r="AK150" i="39"/>
  <c r="AY206" i="39"/>
  <c r="AK149" i="39"/>
  <c r="AI151" i="38"/>
  <c r="AZ205" i="40"/>
  <c r="AM148" i="40"/>
  <c r="AP148" i="40" s="1"/>
  <c r="AL148" i="40"/>
  <c r="AN148" i="40"/>
  <c r="AQ148" i="40" s="1"/>
  <c r="AO148" i="40"/>
  <c r="AR148" i="40" s="1"/>
  <c r="AM148" i="39"/>
  <c r="AP148" i="39" s="1"/>
  <c r="AN148" i="39"/>
  <c r="AQ148" i="39" s="1"/>
  <c r="AZ205" i="39"/>
  <c r="AL148" i="39"/>
  <c r="AO148" i="39"/>
  <c r="AR148" i="39" s="1"/>
  <c r="AY207" i="40"/>
  <c r="AK150" i="40"/>
  <c r="V209" i="40"/>
  <c r="AC153" i="40"/>
  <c r="AA210" i="40"/>
  <c r="AB153" i="40"/>
  <c r="Z153" i="40"/>
  <c r="G155" i="8"/>
  <c r="G155" i="40"/>
  <c r="M153" i="40"/>
  <c r="N153" i="40"/>
  <c r="L153" i="40"/>
  <c r="AO208" i="40"/>
  <c r="AP208" i="40" s="1"/>
  <c r="AF152" i="40"/>
  <c r="AI151" i="40"/>
  <c r="AG152" i="40"/>
  <c r="AM210" i="40"/>
  <c r="AN210" i="40" s="1"/>
  <c r="AA153" i="40"/>
  <c r="AG153" i="40" s="1"/>
  <c r="AC211" i="40"/>
  <c r="AU211" i="40" s="1"/>
  <c r="H154" i="40"/>
  <c r="X154" i="40"/>
  <c r="K154" i="40"/>
  <c r="M154" i="40" s="1"/>
  <c r="V154" i="40"/>
  <c r="AH152" i="40"/>
  <c r="AI151" i="39"/>
  <c r="V209" i="39"/>
  <c r="AF152" i="39"/>
  <c r="AO208" i="39"/>
  <c r="AP208" i="39" s="1"/>
  <c r="V154" i="6"/>
  <c r="G155" i="6"/>
  <c r="X155" i="6" s="1"/>
  <c r="AM212" i="6" s="1"/>
  <c r="AN212" i="6" s="1"/>
  <c r="G155" i="39"/>
  <c r="AH152" i="39"/>
  <c r="AC211" i="39"/>
  <c r="AU211" i="39" s="1"/>
  <c r="H154" i="39"/>
  <c r="X154" i="39"/>
  <c r="V154" i="39"/>
  <c r="K154" i="39"/>
  <c r="M154" i="39" s="1"/>
  <c r="AA153" i="39"/>
  <c r="AA210" i="39"/>
  <c r="AC153" i="39"/>
  <c r="AB153" i="39"/>
  <c r="Z153" i="39"/>
  <c r="M153" i="39"/>
  <c r="N153" i="39"/>
  <c r="L153" i="39"/>
  <c r="AS147" i="6"/>
  <c r="AT147" i="6" s="1"/>
  <c r="AG152" i="38"/>
  <c r="AM149" i="38"/>
  <c r="AP149" i="38" s="1"/>
  <c r="AL149" i="38"/>
  <c r="AZ206" i="38"/>
  <c r="AN149" i="38"/>
  <c r="AQ149" i="38" s="1"/>
  <c r="AO149" i="38"/>
  <c r="AR149" i="38" s="1"/>
  <c r="AZ207" i="38"/>
  <c r="AN150" i="38"/>
  <c r="AQ150" i="38" s="1"/>
  <c r="AF152" i="38"/>
  <c r="AA210" i="38"/>
  <c r="AC153" i="38"/>
  <c r="AB153" i="38"/>
  <c r="Z153" i="38"/>
  <c r="AS148" i="38"/>
  <c r="AT148" i="38" s="1"/>
  <c r="G155" i="3"/>
  <c r="AC212" i="3" s="1"/>
  <c r="AU212" i="3" s="1"/>
  <c r="G155" i="38"/>
  <c r="V209" i="38"/>
  <c r="AH152" i="38"/>
  <c r="AC211" i="38"/>
  <c r="AU211" i="38" s="1"/>
  <c r="X154" i="38"/>
  <c r="H154" i="38"/>
  <c r="K154" i="38"/>
  <c r="V154" i="38"/>
  <c r="N153" i="38"/>
  <c r="L153" i="38"/>
  <c r="AA153" i="38"/>
  <c r="AG153" i="38" s="1"/>
  <c r="AM210" i="38"/>
  <c r="AN210" i="38" s="1"/>
  <c r="AO208" i="38"/>
  <c r="AP208" i="38" s="1"/>
  <c r="M153" i="38"/>
  <c r="Z154" i="3"/>
  <c r="AC154" i="3"/>
  <c r="AA211" i="3"/>
  <c r="AL148" i="3"/>
  <c r="B43" i="15"/>
  <c r="C43" i="15" s="1"/>
  <c r="J43" i="15" s="1"/>
  <c r="AZ205" i="3"/>
  <c r="AN148" i="3"/>
  <c r="AQ148" i="3" s="1"/>
  <c r="AM148" i="3"/>
  <c r="AP148" i="3" s="1"/>
  <c r="AO148" i="3"/>
  <c r="AR148" i="3" s="1"/>
  <c r="AZ63" i="31"/>
  <c r="AW63" i="31"/>
  <c r="AV63" i="31"/>
  <c r="R155" i="3"/>
  <c r="AN102" i="3"/>
  <c r="BS64" i="31"/>
  <c r="BT63" i="31"/>
  <c r="BV63" i="31" s="1"/>
  <c r="BW63" i="31" s="1"/>
  <c r="G105" i="4"/>
  <c r="I104" i="4"/>
  <c r="AY207" i="3"/>
  <c r="AK150" i="3"/>
  <c r="C104" i="4"/>
  <c r="AM67" i="31"/>
  <c r="AN66" i="31"/>
  <c r="AC212" i="8"/>
  <c r="AU212" i="8" s="1"/>
  <c r="H155" i="8"/>
  <c r="V155" i="8"/>
  <c r="K155" i="8"/>
  <c r="AG153" i="8"/>
  <c r="C150" i="11"/>
  <c r="D150" i="11" s="1"/>
  <c r="E150" i="11" s="1"/>
  <c r="AM103" i="8"/>
  <c r="AE103" i="8"/>
  <c r="AY206" i="6"/>
  <c r="K103" i="4"/>
  <c r="O103" i="4" s="1"/>
  <c r="AK149" i="6"/>
  <c r="R210" i="6"/>
  <c r="B101" i="36"/>
  <c r="D101" i="36" s="1"/>
  <c r="E101" i="36" s="1"/>
  <c r="S210" i="39" s="1"/>
  <c r="T210" i="39" s="1"/>
  <c r="E142" i="15"/>
  <c r="F142" i="15"/>
  <c r="I142" i="15"/>
  <c r="J142" i="15"/>
  <c r="AF153" i="8"/>
  <c r="N154" i="6"/>
  <c r="V208" i="3"/>
  <c r="AE56" i="9"/>
  <c r="AE51" i="3"/>
  <c r="AN51" i="3"/>
  <c r="BG51" i="3" s="1"/>
  <c r="AG51" i="3"/>
  <c r="BF51" i="3"/>
  <c r="AC51" i="3"/>
  <c r="AD51" i="3"/>
  <c r="AF51" i="3"/>
  <c r="AB104" i="3"/>
  <c r="AG153" i="3"/>
  <c r="AL148" i="8"/>
  <c r="B143" i="15"/>
  <c r="C143" i="15" s="1"/>
  <c r="AZ205" i="8"/>
  <c r="AM148" i="8"/>
  <c r="AP148" i="8" s="1"/>
  <c r="AN148" i="8"/>
  <c r="AQ148" i="8" s="1"/>
  <c r="AO148" i="8"/>
  <c r="AR148" i="8" s="1"/>
  <c r="BP62" i="31"/>
  <c r="BN62" i="31"/>
  <c r="BO62" i="31" s="1"/>
  <c r="R210" i="8"/>
  <c r="B156" i="36"/>
  <c r="D156" i="36" s="1"/>
  <c r="E156" i="36" s="1"/>
  <c r="S210" i="40" s="1"/>
  <c r="T210" i="40" s="1"/>
  <c r="AY207" i="8"/>
  <c r="R104" i="4"/>
  <c r="V104" i="4" s="1"/>
  <c r="AK150" i="8"/>
  <c r="AN102" i="8"/>
  <c r="S155" i="8"/>
  <c r="V208" i="8"/>
  <c r="CO58" i="31"/>
  <c r="CK59" i="31"/>
  <c r="CR58" i="31"/>
  <c r="AS147" i="8"/>
  <c r="AT147" i="8" s="1"/>
  <c r="AE208" i="3"/>
  <c r="AW208" i="3" s="1"/>
  <c r="J44" i="36"/>
  <c r="BF51" i="6"/>
  <c r="AN51" i="6"/>
  <c r="BG51" i="6" s="1"/>
  <c r="AB104" i="6"/>
  <c r="AA154" i="3"/>
  <c r="AT65" i="31"/>
  <c r="AU64" i="31"/>
  <c r="G106" i="4"/>
  <c r="AF153" i="3"/>
  <c r="AC154" i="6"/>
  <c r="Z154" i="6"/>
  <c r="AA211" i="6"/>
  <c r="AS147" i="3"/>
  <c r="AT147" i="3" s="1"/>
  <c r="V208" i="6"/>
  <c r="BL63" i="31"/>
  <c r="BK64" i="31"/>
  <c r="AH153" i="8"/>
  <c r="K104" i="4"/>
  <c r="O104" i="4" s="1"/>
  <c r="AY207" i="6"/>
  <c r="AK150" i="6"/>
  <c r="J154" i="36"/>
  <c r="AE208" i="8"/>
  <c r="AW208" i="8" s="1"/>
  <c r="AO207" i="6"/>
  <c r="AP207" i="6" s="1"/>
  <c r="AH153" i="3"/>
  <c r="C99" i="11"/>
  <c r="D99" i="11" s="1"/>
  <c r="E99" i="11" s="1"/>
  <c r="AM103" i="6"/>
  <c r="AE103" i="6"/>
  <c r="AY206" i="3"/>
  <c r="AK149" i="3"/>
  <c r="I103" i="4"/>
  <c r="C103" i="4"/>
  <c r="AI152" i="6"/>
  <c r="M106" i="4" s="1"/>
  <c r="AA211" i="8"/>
  <c r="Z154" i="8"/>
  <c r="AC154" i="8"/>
  <c r="Y154" i="8"/>
  <c r="AB154" i="8" s="1"/>
  <c r="O211" i="8"/>
  <c r="B157" i="43" s="1"/>
  <c r="D157" i="43" s="1"/>
  <c r="E157" i="43" s="1"/>
  <c r="H157" i="43" s="1"/>
  <c r="J157" i="43" s="1"/>
  <c r="AI152" i="8"/>
  <c r="T106" i="4" s="1"/>
  <c r="AY62" i="31"/>
  <c r="Y154" i="6"/>
  <c r="AB154" i="6" s="1"/>
  <c r="O211" i="6"/>
  <c r="B102" i="43" s="1"/>
  <c r="BF51" i="8"/>
  <c r="AN51" i="8"/>
  <c r="BG51" i="8" s="1"/>
  <c r="AB104" i="8"/>
  <c r="H155" i="3"/>
  <c r="K155" i="3"/>
  <c r="L155" i="3" s="1"/>
  <c r="M154" i="3"/>
  <c r="L154" i="3"/>
  <c r="AA154" i="8"/>
  <c r="AM211" i="8"/>
  <c r="AN211" i="8" s="1"/>
  <c r="AF153" i="6"/>
  <c r="S209" i="6"/>
  <c r="T209" i="6" s="1"/>
  <c r="H100" i="36"/>
  <c r="AE209" i="39" s="1"/>
  <c r="AW209" i="39" s="1"/>
  <c r="F42" i="15"/>
  <c r="E42" i="15"/>
  <c r="I42" i="15"/>
  <c r="J99" i="36"/>
  <c r="AE208" i="6"/>
  <c r="AW208" i="6" s="1"/>
  <c r="O211" i="3"/>
  <c r="B47" i="43" s="1"/>
  <c r="D47" i="43" s="1"/>
  <c r="E47" i="43" s="1"/>
  <c r="H47" i="43" s="1"/>
  <c r="J47" i="43" s="1"/>
  <c r="Y154" i="3"/>
  <c r="AB154" i="3" s="1"/>
  <c r="S209" i="8"/>
  <c r="T209" i="8" s="1"/>
  <c r="H155" i="36"/>
  <c r="AE209" i="40" s="1"/>
  <c r="AW209" i="40" s="1"/>
  <c r="M154" i="6"/>
  <c r="R155" i="6"/>
  <c r="AN102" i="6"/>
  <c r="AC212" i="6"/>
  <c r="AU212" i="6" s="1"/>
  <c r="H155" i="6"/>
  <c r="K155" i="6"/>
  <c r="N155" i="6" s="1"/>
  <c r="V155" i="6"/>
  <c r="AA155" i="6" s="1"/>
  <c r="AR65" i="31"/>
  <c r="AO65" i="31"/>
  <c r="AQ65" i="31" s="1"/>
  <c r="CL60" i="31" s="1"/>
  <c r="G61" i="31" s="1"/>
  <c r="M155" i="8"/>
  <c r="X155" i="8"/>
  <c r="H45" i="36"/>
  <c r="AE209" i="38" s="1"/>
  <c r="AW209" i="38" s="1"/>
  <c r="S209" i="3"/>
  <c r="T209" i="3" s="1"/>
  <c r="C48" i="11"/>
  <c r="D48" i="11" s="1"/>
  <c r="E48" i="11" s="1"/>
  <c r="AM103" i="3"/>
  <c r="AE103" i="3"/>
  <c r="B93" i="15"/>
  <c r="C93" i="15" s="1"/>
  <c r="AL148" i="6"/>
  <c r="AZ205" i="6"/>
  <c r="AM148" i="6"/>
  <c r="AP148" i="6" s="1"/>
  <c r="AO148" i="6"/>
  <c r="AR148" i="6" s="1"/>
  <c r="AN148" i="6"/>
  <c r="AQ148" i="6" s="1"/>
  <c r="CT57" i="31"/>
  <c r="CV57" i="31" s="1"/>
  <c r="AG153" i="6"/>
  <c r="F92" i="15"/>
  <c r="I92" i="15"/>
  <c r="J92" i="15"/>
  <c r="E92" i="15"/>
  <c r="R210" i="3"/>
  <c r="B46" i="36"/>
  <c r="D46" i="36" s="1"/>
  <c r="E46" i="36" s="1"/>
  <c r="S210" i="38" s="1"/>
  <c r="T210" i="38" s="1"/>
  <c r="R103" i="4"/>
  <c r="V103" i="4" s="1"/>
  <c r="AY206" i="8"/>
  <c r="AK149" i="8"/>
  <c r="M154" i="8"/>
  <c r="L154" i="8"/>
  <c r="N154" i="8"/>
  <c r="AH153" i="6"/>
  <c r="AO207" i="8"/>
  <c r="AP207" i="8" s="1"/>
  <c r="AB52" i="3"/>
  <c r="AB52" i="8"/>
  <c r="AB52" i="6"/>
  <c r="M50" i="11"/>
  <c r="AA154" i="6"/>
  <c r="CC463" i="2"/>
  <c r="CD462" i="2"/>
  <c r="AO150" i="38" l="1"/>
  <c r="AR150" i="38" s="1"/>
  <c r="AS150" i="38" s="1"/>
  <c r="AT150" i="38" s="1"/>
  <c r="AL150" i="38"/>
  <c r="D102" i="43"/>
  <c r="E102" i="43" s="1"/>
  <c r="H102" i="43" s="1"/>
  <c r="J102" i="43" s="1"/>
  <c r="AI152" i="39"/>
  <c r="AI152" i="40"/>
  <c r="AS148" i="40"/>
  <c r="AT148" i="40" s="1"/>
  <c r="AM150" i="39"/>
  <c r="AP150" i="39" s="1"/>
  <c r="AO150" i="39"/>
  <c r="AR150" i="39" s="1"/>
  <c r="AZ207" i="39"/>
  <c r="AL150" i="39"/>
  <c r="AN150" i="39"/>
  <c r="AQ150" i="39" s="1"/>
  <c r="AE152" i="38"/>
  <c r="AE152" i="39"/>
  <c r="AE152" i="40"/>
  <c r="AM150" i="40"/>
  <c r="AP150" i="40" s="1"/>
  <c r="AO150" i="40"/>
  <c r="AR150" i="40" s="1"/>
  <c r="AN150" i="40"/>
  <c r="AQ150" i="40" s="1"/>
  <c r="AL150" i="40"/>
  <c r="AZ207" i="40"/>
  <c r="AE151" i="38"/>
  <c r="AY208" i="38" s="1"/>
  <c r="AE151" i="40"/>
  <c r="AE151" i="39"/>
  <c r="AO149" i="39"/>
  <c r="AR149" i="39" s="1"/>
  <c r="AN149" i="39"/>
  <c r="AQ149" i="39" s="1"/>
  <c r="AZ206" i="39"/>
  <c r="AL149" i="39"/>
  <c r="AM149" i="39"/>
  <c r="AP149" i="39" s="1"/>
  <c r="AM149" i="40"/>
  <c r="AP149" i="40" s="1"/>
  <c r="AO149" i="40"/>
  <c r="AR149" i="40" s="1"/>
  <c r="AN149" i="40"/>
  <c r="AQ149" i="40" s="1"/>
  <c r="AL149" i="40"/>
  <c r="AZ206" i="40"/>
  <c r="AS148" i="39"/>
  <c r="AT148" i="39" s="1"/>
  <c r="AA154" i="40"/>
  <c r="AM211" i="40"/>
  <c r="AN211" i="40" s="1"/>
  <c r="AF153" i="40"/>
  <c r="G156" i="8"/>
  <c r="G156" i="40"/>
  <c r="AH153" i="40"/>
  <c r="AC154" i="40"/>
  <c r="AA211" i="40"/>
  <c r="AB154" i="40"/>
  <c r="Z154" i="40"/>
  <c r="AC212" i="40"/>
  <c r="AU212" i="40" s="1"/>
  <c r="X155" i="40"/>
  <c r="H155" i="40"/>
  <c r="K155" i="40"/>
  <c r="M155" i="40" s="1"/>
  <c r="V155" i="40"/>
  <c r="V210" i="40"/>
  <c r="N154" i="40"/>
  <c r="L154" i="40"/>
  <c r="AO209" i="40"/>
  <c r="AP209" i="40" s="1"/>
  <c r="G156" i="6"/>
  <c r="X156" i="6" s="1"/>
  <c r="AM213" i="6" s="1"/>
  <c r="AN213" i="6" s="1"/>
  <c r="G156" i="39"/>
  <c r="AG153" i="39"/>
  <c r="L154" i="39"/>
  <c r="N154" i="39"/>
  <c r="H155" i="39"/>
  <c r="X155" i="39"/>
  <c r="AC212" i="39"/>
  <c r="AU212" i="39" s="1"/>
  <c r="K155" i="39"/>
  <c r="V155" i="39"/>
  <c r="AO209" i="39"/>
  <c r="AP209" i="39" s="1"/>
  <c r="AF153" i="39"/>
  <c r="Z154" i="39"/>
  <c r="AA211" i="39"/>
  <c r="AC154" i="39"/>
  <c r="AB154" i="39"/>
  <c r="V210" i="39"/>
  <c r="AH153" i="39"/>
  <c r="AA154" i="39"/>
  <c r="AM211" i="39"/>
  <c r="AN211" i="39" s="1"/>
  <c r="V155" i="3"/>
  <c r="AA212" i="3" s="1"/>
  <c r="X155" i="3"/>
  <c r="AI152" i="38"/>
  <c r="L154" i="38"/>
  <c r="N154" i="38"/>
  <c r="AF153" i="38"/>
  <c r="AY209" i="38"/>
  <c r="AK152" i="38"/>
  <c r="M154" i="38"/>
  <c r="AC212" i="38"/>
  <c r="AU212" i="38" s="1"/>
  <c r="X155" i="38"/>
  <c r="H155" i="38"/>
  <c r="K155" i="38"/>
  <c r="M155" i="38" s="1"/>
  <c r="V155" i="38"/>
  <c r="AH153" i="38"/>
  <c r="AS149" i="38"/>
  <c r="AT149" i="38" s="1"/>
  <c r="V210" i="38"/>
  <c r="G156" i="3"/>
  <c r="X156" i="3" s="1"/>
  <c r="G156" i="38"/>
  <c r="AC154" i="38"/>
  <c r="AA211" i="38"/>
  <c r="AB154" i="38"/>
  <c r="Z154" i="38"/>
  <c r="AA154" i="38"/>
  <c r="AM211" i="38"/>
  <c r="AN211" i="38" s="1"/>
  <c r="AO209" i="38"/>
  <c r="AP209" i="38" s="1"/>
  <c r="AY63" i="31"/>
  <c r="AM213" i="3"/>
  <c r="AN213" i="3" s="1"/>
  <c r="AE209" i="3"/>
  <c r="AW209" i="3" s="1"/>
  <c r="J45" i="36"/>
  <c r="AC155" i="3"/>
  <c r="AH154" i="8"/>
  <c r="AZ206" i="3"/>
  <c r="AL149" i="3"/>
  <c r="B44" i="15"/>
  <c r="C44" i="15" s="1"/>
  <c r="J44" i="15" s="1"/>
  <c r="AM149" i="3"/>
  <c r="AP149" i="3" s="1"/>
  <c r="AO149" i="3"/>
  <c r="AR149" i="3" s="1"/>
  <c r="AN149" i="3"/>
  <c r="AQ149" i="3" s="1"/>
  <c r="AG155" i="6"/>
  <c r="BP63" i="31"/>
  <c r="BN63" i="31"/>
  <c r="BO63" i="31" s="1"/>
  <c r="AZ64" i="31"/>
  <c r="AW64" i="31"/>
  <c r="AV64" i="31"/>
  <c r="H156" i="36"/>
  <c r="AE210" i="40" s="1"/>
  <c r="AW210" i="40" s="1"/>
  <c r="S210" i="8"/>
  <c r="T210" i="8" s="1"/>
  <c r="E143" i="15"/>
  <c r="I143" i="15"/>
  <c r="J143" i="15"/>
  <c r="F143" i="15"/>
  <c r="C49" i="11"/>
  <c r="D49" i="11" s="1"/>
  <c r="E49" i="11" s="1"/>
  <c r="AM104" i="3"/>
  <c r="AE104" i="3"/>
  <c r="AZ206" i="6"/>
  <c r="AL149" i="6"/>
  <c r="B94" i="15"/>
  <c r="C94" i="15" s="1"/>
  <c r="AN149" i="6"/>
  <c r="AQ149" i="6" s="1"/>
  <c r="AM149" i="6"/>
  <c r="AP149" i="6" s="1"/>
  <c r="AO149" i="6"/>
  <c r="AR149" i="6" s="1"/>
  <c r="S156" i="8"/>
  <c r="AN103" i="8"/>
  <c r="H156" i="8"/>
  <c r="AC213" i="8"/>
  <c r="AU213" i="8" s="1"/>
  <c r="K156" i="8"/>
  <c r="L156" i="8" s="1"/>
  <c r="V156" i="8"/>
  <c r="AA212" i="8"/>
  <c r="AC155" i="8"/>
  <c r="Z155" i="8"/>
  <c r="AM68" i="31"/>
  <c r="AN67" i="31"/>
  <c r="Y155" i="3"/>
  <c r="AB155" i="3" s="1"/>
  <c r="O212" i="3"/>
  <c r="B48" i="43" s="1"/>
  <c r="B144" i="15"/>
  <c r="C144" i="15" s="1"/>
  <c r="AL149" i="8"/>
  <c r="AZ206" i="8"/>
  <c r="AO149" i="8"/>
  <c r="AR149" i="8" s="1"/>
  <c r="AM149" i="8"/>
  <c r="AP149" i="8" s="1"/>
  <c r="AN149" i="8"/>
  <c r="AQ149" i="8" s="1"/>
  <c r="B47" i="36"/>
  <c r="D47" i="36" s="1"/>
  <c r="E47" i="36" s="1"/>
  <c r="S211" i="38" s="1"/>
  <c r="T211" i="38" s="1"/>
  <c r="R211" i="3"/>
  <c r="V209" i="6"/>
  <c r="AG154" i="8"/>
  <c r="AH154" i="6"/>
  <c r="AG154" i="6"/>
  <c r="AE57" i="9"/>
  <c r="AF52" i="3"/>
  <c r="BF52" i="3"/>
  <c r="AN52" i="3"/>
  <c r="BG52" i="3" s="1"/>
  <c r="AC52" i="3"/>
  <c r="AD52" i="3"/>
  <c r="AE52" i="3"/>
  <c r="AG52" i="3"/>
  <c r="AB105" i="3"/>
  <c r="J93" i="15"/>
  <c r="E93" i="15"/>
  <c r="I93" i="15"/>
  <c r="F93" i="15"/>
  <c r="AA155" i="8"/>
  <c r="AM212" i="8"/>
  <c r="AN212" i="8" s="1"/>
  <c r="AA212" i="6"/>
  <c r="AC155" i="6"/>
  <c r="Z155" i="6"/>
  <c r="J155" i="36"/>
  <c r="AE209" i="8"/>
  <c r="AW209" i="8" s="1"/>
  <c r="AZ207" i="6"/>
  <c r="AL150" i="6"/>
  <c r="B95" i="15"/>
  <c r="C95" i="15" s="1"/>
  <c r="AN150" i="6"/>
  <c r="AQ150" i="6" s="1"/>
  <c r="AO150" i="6"/>
  <c r="AR150" i="6" s="1"/>
  <c r="AM150" i="6"/>
  <c r="AP150" i="6" s="1"/>
  <c r="AO208" i="6"/>
  <c r="AP208" i="6" s="1"/>
  <c r="AI153" i="3"/>
  <c r="E107" i="4" s="1"/>
  <c r="AT66" i="31"/>
  <c r="AU65" i="31"/>
  <c r="AO208" i="8"/>
  <c r="AP208" i="8" s="1"/>
  <c r="AZ207" i="8"/>
  <c r="AL150" i="8"/>
  <c r="B145" i="15"/>
  <c r="C145" i="15" s="1"/>
  <c r="AM150" i="8"/>
  <c r="AP150" i="8" s="1"/>
  <c r="AN150" i="8"/>
  <c r="AQ150" i="8" s="1"/>
  <c r="AO150" i="8"/>
  <c r="AR150" i="8" s="1"/>
  <c r="AO208" i="3"/>
  <c r="AP208" i="3" s="1"/>
  <c r="AI153" i="8"/>
  <c r="T107" i="4" s="1"/>
  <c r="M156" i="8"/>
  <c r="BS65" i="31"/>
  <c r="BT64" i="31"/>
  <c r="BV64" i="31" s="1"/>
  <c r="BW64" i="31" s="1"/>
  <c r="N155" i="3"/>
  <c r="F43" i="15"/>
  <c r="E43" i="15"/>
  <c r="I43" i="15"/>
  <c r="BF52" i="8"/>
  <c r="AN52" i="8"/>
  <c r="BG52" i="8" s="1"/>
  <c r="AB105" i="8"/>
  <c r="AB53" i="8"/>
  <c r="AB53" i="6"/>
  <c r="AB53" i="3"/>
  <c r="AI153" i="6"/>
  <c r="M107" i="4" s="1"/>
  <c r="AS148" i="6"/>
  <c r="AT148" i="6" s="1"/>
  <c r="H156" i="3"/>
  <c r="AC213" i="3"/>
  <c r="AU213" i="3" s="1"/>
  <c r="V156" i="3"/>
  <c r="K156" i="3"/>
  <c r="L155" i="6"/>
  <c r="M155" i="6"/>
  <c r="V209" i="8"/>
  <c r="AO209" i="8"/>
  <c r="AP209" i="8" s="1"/>
  <c r="AF154" i="6"/>
  <c r="AG154" i="3"/>
  <c r="CT58" i="31"/>
  <c r="CV58" i="31" s="1"/>
  <c r="AS148" i="8"/>
  <c r="AT148" i="8" s="1"/>
  <c r="S210" i="6"/>
  <c r="T210" i="6" s="1"/>
  <c r="H101" i="36"/>
  <c r="AE210" i="39" s="1"/>
  <c r="AW210" i="39" s="1"/>
  <c r="AL150" i="3"/>
  <c r="AZ207" i="3"/>
  <c r="B45" i="15"/>
  <c r="C45" i="15" s="1"/>
  <c r="J45" i="15" s="1"/>
  <c r="AN150" i="3"/>
  <c r="AQ150" i="3" s="1"/>
  <c r="AO150" i="3"/>
  <c r="AR150" i="3" s="1"/>
  <c r="AM150" i="3"/>
  <c r="AP150" i="3" s="1"/>
  <c r="AA155" i="3"/>
  <c r="AM212" i="3"/>
  <c r="AN212" i="3" s="1"/>
  <c r="AS148" i="3"/>
  <c r="AT148" i="3" s="1"/>
  <c r="AF154" i="3"/>
  <c r="BF52" i="6"/>
  <c r="AN52" i="6"/>
  <c r="BG52" i="6" s="1"/>
  <c r="AB105" i="6"/>
  <c r="S210" i="3"/>
  <c r="T210" i="3" s="1"/>
  <c r="H46" i="36"/>
  <c r="AE210" i="38" s="1"/>
  <c r="AW210" i="38" s="1"/>
  <c r="R156" i="3"/>
  <c r="AN103" i="3"/>
  <c r="N156" i="3"/>
  <c r="V209" i="3"/>
  <c r="AO209" i="3"/>
  <c r="AP209" i="3" s="1"/>
  <c r="O212" i="6"/>
  <c r="B103" i="43" s="1"/>
  <c r="D103" i="43" s="1"/>
  <c r="E103" i="43" s="1"/>
  <c r="H103" i="43" s="1"/>
  <c r="J103" i="43" s="1"/>
  <c r="Y155" i="6"/>
  <c r="AB155" i="6" s="1"/>
  <c r="AH154" i="3"/>
  <c r="J100" i="36"/>
  <c r="AE209" i="6"/>
  <c r="AW209" i="6" s="1"/>
  <c r="C151" i="11"/>
  <c r="D151" i="11" s="1"/>
  <c r="E151" i="11" s="1"/>
  <c r="AM104" i="8"/>
  <c r="AE104" i="8"/>
  <c r="R211" i="6"/>
  <c r="B102" i="36"/>
  <c r="D102" i="36" s="1"/>
  <c r="E102" i="36" s="1"/>
  <c r="S211" i="39" s="1"/>
  <c r="T211" i="39" s="1"/>
  <c r="R211" i="8"/>
  <c r="B157" i="36"/>
  <c r="D157" i="36" s="1"/>
  <c r="E157" i="36" s="1"/>
  <c r="S211" i="40" s="1"/>
  <c r="T211" i="40" s="1"/>
  <c r="AF154" i="8"/>
  <c r="R156" i="6"/>
  <c r="AN103" i="6"/>
  <c r="AC213" i="6"/>
  <c r="AU213" i="6" s="1"/>
  <c r="V156" i="6"/>
  <c r="BL64" i="31"/>
  <c r="BK65" i="31"/>
  <c r="AE152" i="8"/>
  <c r="AE152" i="6"/>
  <c r="AE152" i="3"/>
  <c r="C100" i="11"/>
  <c r="D100" i="11" s="1"/>
  <c r="E100" i="11" s="1"/>
  <c r="AE104" i="6"/>
  <c r="AM104" i="6"/>
  <c r="CR59" i="31"/>
  <c r="CK60" i="31"/>
  <c r="CO59" i="31"/>
  <c r="O212" i="8"/>
  <c r="B158" i="43" s="1"/>
  <c r="D158" i="43" s="1"/>
  <c r="E158" i="43" s="1"/>
  <c r="H158" i="43" s="1"/>
  <c r="J158" i="43" s="1"/>
  <c r="Y155" i="8"/>
  <c r="AB155" i="8" s="1"/>
  <c r="X156" i="8"/>
  <c r="N155" i="8"/>
  <c r="L155" i="8"/>
  <c r="AR66" i="31"/>
  <c r="AO66" i="31"/>
  <c r="AQ66" i="31" s="1"/>
  <c r="CL61" i="31" s="1"/>
  <c r="G62" i="31" s="1"/>
  <c r="AE151" i="3"/>
  <c r="AE151" i="8"/>
  <c r="AE151" i="6"/>
  <c r="M155" i="3"/>
  <c r="CC464" i="2"/>
  <c r="CD463" i="2"/>
  <c r="AK151" i="38" l="1"/>
  <c r="AM151" i="38" s="1"/>
  <c r="AP151" i="38" s="1"/>
  <c r="AI153" i="38"/>
  <c r="D48" i="43"/>
  <c r="E48" i="43" s="1"/>
  <c r="H48" i="43" s="1"/>
  <c r="J48" i="43" s="1"/>
  <c r="AS149" i="39"/>
  <c r="AT149" i="39" s="1"/>
  <c r="AI154" i="6"/>
  <c r="M108" i="4" s="1"/>
  <c r="AI153" i="39"/>
  <c r="AY208" i="39"/>
  <c r="AK151" i="39"/>
  <c r="AY209" i="40"/>
  <c r="AK152" i="40"/>
  <c r="Z155" i="3"/>
  <c r="AY208" i="40"/>
  <c r="AK151" i="40"/>
  <c r="AS150" i="40"/>
  <c r="AT150" i="40" s="1"/>
  <c r="AY209" i="39"/>
  <c r="AK152" i="39"/>
  <c r="AS149" i="40"/>
  <c r="AT149" i="40" s="1"/>
  <c r="AS150" i="39"/>
  <c r="AT150" i="39" s="1"/>
  <c r="V211" i="40"/>
  <c r="AA212" i="40"/>
  <c r="AC155" i="40"/>
  <c r="AB155" i="40"/>
  <c r="Z155" i="40"/>
  <c r="AF155" i="40" s="1"/>
  <c r="AA155" i="40"/>
  <c r="AM212" i="40"/>
  <c r="AN212" i="40" s="1"/>
  <c r="AF154" i="40"/>
  <c r="AC213" i="40"/>
  <c r="AU213" i="40" s="1"/>
  <c r="H156" i="40"/>
  <c r="X156" i="40"/>
  <c r="K156" i="40"/>
  <c r="M156" i="40" s="1"/>
  <c r="V156" i="40"/>
  <c r="AI153" i="40"/>
  <c r="N155" i="40"/>
  <c r="L155" i="40"/>
  <c r="AH154" i="40"/>
  <c r="G157" i="8"/>
  <c r="X157" i="8" s="1"/>
  <c r="G157" i="40"/>
  <c r="AS150" i="8"/>
  <c r="AT150" i="8" s="1"/>
  <c r="AO210" i="40"/>
  <c r="AP210" i="40" s="1"/>
  <c r="AG154" i="40"/>
  <c r="K156" i="6"/>
  <c r="AG154" i="39"/>
  <c r="AO210" i="39"/>
  <c r="AP210" i="39" s="1"/>
  <c r="AF154" i="39"/>
  <c r="AM212" i="39"/>
  <c r="AN212" i="39" s="1"/>
  <c r="AA155" i="39"/>
  <c r="AA212" i="39"/>
  <c r="AC155" i="39"/>
  <c r="AB155" i="39"/>
  <c r="Z155" i="39"/>
  <c r="V211" i="39"/>
  <c r="G157" i="6"/>
  <c r="X157" i="6" s="1"/>
  <c r="AM214" i="6" s="1"/>
  <c r="AN214" i="6" s="1"/>
  <c r="G157" i="39"/>
  <c r="H156" i="6"/>
  <c r="M155" i="39"/>
  <c r="N155" i="39"/>
  <c r="L155" i="39"/>
  <c r="AC213" i="39"/>
  <c r="AU213" i="39" s="1"/>
  <c r="X156" i="39"/>
  <c r="H156" i="39"/>
  <c r="K156" i="39"/>
  <c r="M156" i="39" s="1"/>
  <c r="V156" i="39"/>
  <c r="AH154" i="39"/>
  <c r="AS150" i="6"/>
  <c r="AT150" i="6" s="1"/>
  <c r="V211" i="38"/>
  <c r="AH154" i="38"/>
  <c r="G157" i="3"/>
  <c r="X157" i="3" s="1"/>
  <c r="G157" i="38"/>
  <c r="AO210" i="38"/>
  <c r="AP210" i="38" s="1"/>
  <c r="AL152" i="38"/>
  <c r="AZ209" i="38"/>
  <c r="AN152" i="38"/>
  <c r="AQ152" i="38" s="1"/>
  <c r="AM152" i="38"/>
  <c r="AP152" i="38" s="1"/>
  <c r="AO152" i="38"/>
  <c r="AR152" i="38" s="1"/>
  <c r="AG154" i="38"/>
  <c r="AC213" i="38"/>
  <c r="AU213" i="38" s="1"/>
  <c r="X156" i="38"/>
  <c r="H156" i="38"/>
  <c r="V156" i="38"/>
  <c r="K156" i="38"/>
  <c r="M156" i="38" s="1"/>
  <c r="AC155" i="38"/>
  <c r="AA212" i="38"/>
  <c r="AB155" i="38"/>
  <c r="Z155" i="38"/>
  <c r="AF155" i="38" s="1"/>
  <c r="AA155" i="38"/>
  <c r="AM212" i="38"/>
  <c r="AN212" i="38" s="1"/>
  <c r="AS150" i="3"/>
  <c r="AT150" i="3" s="1"/>
  <c r="AF154" i="38"/>
  <c r="N155" i="38"/>
  <c r="L155" i="38"/>
  <c r="AY64" i="31"/>
  <c r="AS149" i="6"/>
  <c r="AT149" i="6" s="1"/>
  <c r="AY209" i="8"/>
  <c r="R106" i="4"/>
  <c r="V106" i="4" s="1"/>
  <c r="AK152" i="8"/>
  <c r="AC156" i="6"/>
  <c r="AA213" i="6"/>
  <c r="Z156" i="6"/>
  <c r="S211" i="8"/>
  <c r="T211" i="8" s="1"/>
  <c r="H157" i="36"/>
  <c r="AE211" i="40" s="1"/>
  <c r="AW211" i="40" s="1"/>
  <c r="O213" i="3"/>
  <c r="B49" i="43" s="1"/>
  <c r="D49" i="43" s="1"/>
  <c r="E49" i="43" s="1"/>
  <c r="H49" i="43" s="1"/>
  <c r="J49" i="43" s="1"/>
  <c r="Y156" i="3"/>
  <c r="AB156" i="3" s="1"/>
  <c r="AI154" i="3"/>
  <c r="E108" i="4" s="1"/>
  <c r="Z156" i="3"/>
  <c r="AA213" i="3"/>
  <c r="AC156" i="3"/>
  <c r="C152" i="11"/>
  <c r="D152" i="11" s="1"/>
  <c r="E152" i="11" s="1"/>
  <c r="AM105" i="8"/>
  <c r="AE105" i="8"/>
  <c r="E95" i="15"/>
  <c r="I95" i="15"/>
  <c r="J95" i="15"/>
  <c r="F95" i="15"/>
  <c r="B48" i="36"/>
  <c r="D48" i="36" s="1"/>
  <c r="E48" i="36" s="1"/>
  <c r="S212" i="38" s="1"/>
  <c r="T212" i="38" s="1"/>
  <c r="R212" i="3"/>
  <c r="AA213" i="8"/>
  <c r="Z156" i="8"/>
  <c r="AC156" i="8"/>
  <c r="J156" i="36"/>
  <c r="AE210" i="8"/>
  <c r="AW210" i="8" s="1"/>
  <c r="R105" i="4"/>
  <c r="V105" i="4" s="1"/>
  <c r="AY208" i="8"/>
  <c r="AK151" i="8"/>
  <c r="B158" i="36"/>
  <c r="D158" i="36" s="1"/>
  <c r="E158" i="36" s="1"/>
  <c r="S212" i="40" s="1"/>
  <c r="T212" i="40" s="1"/>
  <c r="R212" i="8"/>
  <c r="AY208" i="3"/>
  <c r="AK151" i="3"/>
  <c r="I105" i="4"/>
  <c r="C105" i="4"/>
  <c r="H157" i="6"/>
  <c r="AC214" i="6"/>
  <c r="AU214" i="6" s="1"/>
  <c r="V157" i="6"/>
  <c r="AA157" i="6" s="1"/>
  <c r="K157" i="6"/>
  <c r="O213" i="6"/>
  <c r="B104" i="43" s="1"/>
  <c r="Y156" i="6"/>
  <c r="AB156" i="6" s="1"/>
  <c r="H157" i="8"/>
  <c r="AC214" i="8"/>
  <c r="AU214" i="8" s="1"/>
  <c r="K157" i="8"/>
  <c r="N157" i="8" s="1"/>
  <c r="V157" i="8"/>
  <c r="J46" i="36"/>
  <c r="AE210" i="3"/>
  <c r="AW210" i="3" s="1"/>
  <c r="AE58" i="9"/>
  <c r="AE53" i="3"/>
  <c r="BF53" i="3"/>
  <c r="AN53" i="3"/>
  <c r="BG53" i="3" s="1"/>
  <c r="AC53" i="3"/>
  <c r="AD53" i="3"/>
  <c r="AF53" i="3"/>
  <c r="AG53" i="3"/>
  <c r="AB106" i="3"/>
  <c r="F145" i="15"/>
  <c r="E145" i="15"/>
  <c r="I145" i="15"/>
  <c r="J145" i="15"/>
  <c r="AZ65" i="31"/>
  <c r="AW65" i="31"/>
  <c r="AV65" i="31"/>
  <c r="AI154" i="8"/>
  <c r="T108" i="4" s="1"/>
  <c r="S211" i="3"/>
  <c r="T211" i="3" s="1"/>
  <c r="H47" i="36"/>
  <c r="AE211" i="38" s="1"/>
  <c r="AW211" i="38" s="1"/>
  <c r="AH155" i="3"/>
  <c r="AF155" i="8"/>
  <c r="N156" i="8"/>
  <c r="AF155" i="3"/>
  <c r="BL65" i="31"/>
  <c r="BK66" i="31"/>
  <c r="AM214" i="8"/>
  <c r="AN214" i="8" s="1"/>
  <c r="AA156" i="8"/>
  <c r="AM213" i="8"/>
  <c r="AN213" i="8" s="1"/>
  <c r="CR60" i="31"/>
  <c r="CK61" i="31"/>
  <c r="CO60" i="31"/>
  <c r="I106" i="4"/>
  <c r="AY209" i="3"/>
  <c r="AK152" i="3"/>
  <c r="C106" i="4"/>
  <c r="BP64" i="31"/>
  <c r="BN64" i="31"/>
  <c r="BO64" i="31" s="1"/>
  <c r="S211" i="6"/>
  <c r="T211" i="6" s="1"/>
  <c r="H102" i="36"/>
  <c r="AE211" i="39" s="1"/>
  <c r="AW211" i="39" s="1"/>
  <c r="S157" i="8"/>
  <c r="AN104" i="8"/>
  <c r="AH155" i="6"/>
  <c r="V210" i="3"/>
  <c r="J101" i="36"/>
  <c r="AE210" i="6"/>
  <c r="AW210" i="6" s="1"/>
  <c r="AA156" i="6"/>
  <c r="BF53" i="6"/>
  <c r="AN53" i="6"/>
  <c r="BG53" i="6" s="1"/>
  <c r="AB106" i="6"/>
  <c r="BS66" i="31"/>
  <c r="BT65" i="31"/>
  <c r="BV65" i="31" s="1"/>
  <c r="BW65" i="31" s="1"/>
  <c r="AT67" i="31"/>
  <c r="AU66" i="31"/>
  <c r="AF155" i="6"/>
  <c r="AG155" i="8"/>
  <c r="AR67" i="31"/>
  <c r="AO67" i="31"/>
  <c r="AQ67" i="31" s="1"/>
  <c r="CL62" i="31" s="1"/>
  <c r="G63" i="31" s="1"/>
  <c r="O213" i="8"/>
  <c r="B159" i="43" s="1"/>
  <c r="D159" i="43" s="1"/>
  <c r="E159" i="43" s="1"/>
  <c r="H159" i="43" s="1"/>
  <c r="J159" i="43" s="1"/>
  <c r="Y156" i="8"/>
  <c r="AB156" i="8" s="1"/>
  <c r="I94" i="15"/>
  <c r="J94" i="15"/>
  <c r="E94" i="15"/>
  <c r="F94" i="15"/>
  <c r="AM214" i="3"/>
  <c r="AN214" i="3" s="1"/>
  <c r="AC214" i="3"/>
  <c r="AU214" i="3" s="1"/>
  <c r="H157" i="3"/>
  <c r="V157" i="3"/>
  <c r="AA157" i="3" s="1"/>
  <c r="K157" i="3"/>
  <c r="AS149" i="3"/>
  <c r="AT149" i="3" s="1"/>
  <c r="AA156" i="3"/>
  <c r="K105" i="4"/>
  <c r="O105" i="4" s="1"/>
  <c r="AY208" i="6"/>
  <c r="AK151" i="6"/>
  <c r="AH155" i="8"/>
  <c r="CT59" i="31"/>
  <c r="CV59" i="31" s="1"/>
  <c r="R157" i="6"/>
  <c r="AN104" i="6"/>
  <c r="N157" i="6"/>
  <c r="AK152" i="6"/>
  <c r="K106" i="4"/>
  <c r="O106" i="4" s="1"/>
  <c r="AY209" i="6"/>
  <c r="L156" i="6"/>
  <c r="M156" i="6"/>
  <c r="N156" i="6"/>
  <c r="B103" i="36"/>
  <c r="D103" i="36" s="1"/>
  <c r="E103" i="36" s="1"/>
  <c r="S212" i="39" s="1"/>
  <c r="T212" i="39" s="1"/>
  <c r="R212" i="6"/>
  <c r="C101" i="11"/>
  <c r="D101" i="11" s="1"/>
  <c r="E101" i="11" s="1"/>
  <c r="AM105" i="6"/>
  <c r="AE105" i="6"/>
  <c r="AG155" i="3"/>
  <c r="AI155" i="3" s="1"/>
  <c r="E109" i="4" s="1"/>
  <c r="I45" i="15"/>
  <c r="E45" i="15"/>
  <c r="F45" i="15"/>
  <c r="AO210" i="6"/>
  <c r="AP210" i="6" s="1"/>
  <c r="V210" i="6"/>
  <c r="L156" i="3"/>
  <c r="M156" i="3"/>
  <c r="BF53" i="8"/>
  <c r="AN53" i="8"/>
  <c r="BG53" i="8" s="1"/>
  <c r="AB106" i="8"/>
  <c r="G107" i="4"/>
  <c r="C50" i="11"/>
  <c r="D50" i="11" s="1"/>
  <c r="E50" i="11" s="1"/>
  <c r="AM105" i="3"/>
  <c r="AE105" i="3"/>
  <c r="AO209" i="6"/>
  <c r="AP209" i="6" s="1"/>
  <c r="AS149" i="8"/>
  <c r="AT149" i="8" s="1"/>
  <c r="F144" i="15"/>
  <c r="I144" i="15"/>
  <c r="J144" i="15"/>
  <c r="E144" i="15"/>
  <c r="AM69" i="31"/>
  <c r="AN68" i="31"/>
  <c r="R157" i="3"/>
  <c r="AN104" i="3"/>
  <c r="N157" i="3"/>
  <c r="AO210" i="8"/>
  <c r="AP210" i="8" s="1"/>
  <c r="V210" i="8"/>
  <c r="E44" i="15"/>
  <c r="F44" i="15"/>
  <c r="I44" i="15"/>
  <c r="CC465" i="2"/>
  <c r="CD464" i="2"/>
  <c r="AO151" i="38" l="1"/>
  <c r="AR151" i="38" s="1"/>
  <c r="AS151" i="38" s="1"/>
  <c r="AT151" i="38" s="1"/>
  <c r="AZ208" i="38"/>
  <c r="AL151" i="38"/>
  <c r="AN151" i="38"/>
  <c r="AQ151" i="38" s="1"/>
  <c r="D104" i="43"/>
  <c r="E104" i="43" s="1"/>
  <c r="H104" i="43" s="1"/>
  <c r="J104" i="43" s="1"/>
  <c r="AS152" i="38"/>
  <c r="AT152" i="38" s="1"/>
  <c r="AN152" i="40"/>
  <c r="AQ152" i="40" s="1"/>
  <c r="AM152" i="40"/>
  <c r="AP152" i="40" s="1"/>
  <c r="AO152" i="40"/>
  <c r="AR152" i="40" s="1"/>
  <c r="AZ209" i="40"/>
  <c r="AL152" i="40"/>
  <c r="AN151" i="40"/>
  <c r="AQ151" i="40" s="1"/>
  <c r="AO151" i="40"/>
  <c r="AR151" i="40" s="1"/>
  <c r="AZ208" i="40"/>
  <c r="AM151" i="40"/>
  <c r="AP151" i="40" s="1"/>
  <c r="AL151" i="40"/>
  <c r="AE153" i="38"/>
  <c r="AY210" i="38" s="1"/>
  <c r="AE153" i="40"/>
  <c r="AE153" i="39"/>
  <c r="AO152" i="39"/>
  <c r="AR152" i="39" s="1"/>
  <c r="AZ209" i="39"/>
  <c r="AM152" i="39"/>
  <c r="AP152" i="39" s="1"/>
  <c r="AN152" i="39"/>
  <c r="AQ152" i="39" s="1"/>
  <c r="AL152" i="39"/>
  <c r="AL151" i="39"/>
  <c r="AO151" i="39"/>
  <c r="AR151" i="39" s="1"/>
  <c r="AM151" i="39"/>
  <c r="AP151" i="39" s="1"/>
  <c r="AN151" i="39"/>
  <c r="AQ151" i="39" s="1"/>
  <c r="AZ208" i="39"/>
  <c r="G158" i="8"/>
  <c r="X158" i="8" s="1"/>
  <c r="G158" i="40"/>
  <c r="AI154" i="40"/>
  <c r="AA156" i="40"/>
  <c r="AM213" i="40"/>
  <c r="AN213" i="40" s="1"/>
  <c r="AH155" i="40"/>
  <c r="AC214" i="40"/>
  <c r="AU214" i="40" s="1"/>
  <c r="X157" i="40"/>
  <c r="H157" i="40"/>
  <c r="V157" i="40"/>
  <c r="K157" i="40"/>
  <c r="AA213" i="40"/>
  <c r="AC156" i="40"/>
  <c r="AB156" i="40"/>
  <c r="Z156" i="40"/>
  <c r="V212" i="40"/>
  <c r="L156" i="40"/>
  <c r="N156" i="40"/>
  <c r="AG155" i="40"/>
  <c r="AO211" i="40"/>
  <c r="AP211" i="40" s="1"/>
  <c r="AC214" i="39"/>
  <c r="AU214" i="39" s="1"/>
  <c r="X157" i="39"/>
  <c r="H157" i="39"/>
  <c r="V157" i="39"/>
  <c r="K157" i="39"/>
  <c r="AF155" i="39"/>
  <c r="AI154" i="39"/>
  <c r="L156" i="39"/>
  <c r="N156" i="39"/>
  <c r="AH155" i="39"/>
  <c r="AG155" i="39"/>
  <c r="AO211" i="39"/>
  <c r="AP211" i="39" s="1"/>
  <c r="V212" i="39"/>
  <c r="AA156" i="39"/>
  <c r="AM213" i="39"/>
  <c r="AN213" i="39" s="1"/>
  <c r="G158" i="6"/>
  <c r="AC215" i="6" s="1"/>
  <c r="AU215" i="6" s="1"/>
  <c r="G158" i="39"/>
  <c r="AA213" i="39"/>
  <c r="AC156" i="39"/>
  <c r="AB156" i="39"/>
  <c r="Z156" i="39"/>
  <c r="AO210" i="3"/>
  <c r="AP210" i="3" s="1"/>
  <c r="AK153" i="38"/>
  <c r="AG155" i="38"/>
  <c r="V212" i="38"/>
  <c r="X157" i="38"/>
  <c r="AC214" i="38"/>
  <c r="AU214" i="38" s="1"/>
  <c r="H157" i="38"/>
  <c r="M157" i="38"/>
  <c r="K157" i="38"/>
  <c r="V157" i="38"/>
  <c r="AI154" i="38"/>
  <c r="G158" i="3"/>
  <c r="X158" i="3" s="1"/>
  <c r="G158" i="38"/>
  <c r="AH155" i="38"/>
  <c r="AI155" i="38" s="1"/>
  <c r="N156" i="38"/>
  <c r="L156" i="38"/>
  <c r="AA156" i="38"/>
  <c r="AM213" i="38"/>
  <c r="AN213" i="38" s="1"/>
  <c r="AO211" i="38"/>
  <c r="AP211" i="38" s="1"/>
  <c r="AC156" i="38"/>
  <c r="AA213" i="38"/>
  <c r="AB156" i="38"/>
  <c r="Z156" i="38"/>
  <c r="AY65" i="31"/>
  <c r="AG157" i="3"/>
  <c r="AE153" i="8"/>
  <c r="AE153" i="6"/>
  <c r="AE153" i="3"/>
  <c r="J102" i="36"/>
  <c r="AE211" i="6"/>
  <c r="AW211" i="6" s="1"/>
  <c r="AG156" i="8"/>
  <c r="AI155" i="8"/>
  <c r="T109" i="4" s="1"/>
  <c r="V211" i="3"/>
  <c r="AC157" i="8"/>
  <c r="Z157" i="8"/>
  <c r="AA214" i="8"/>
  <c r="AH156" i="6"/>
  <c r="B46" i="15"/>
  <c r="C46" i="15" s="1"/>
  <c r="J46" i="15" s="1"/>
  <c r="AZ208" i="3"/>
  <c r="AL151" i="3"/>
  <c r="AO151" i="3"/>
  <c r="AR151" i="3" s="1"/>
  <c r="AM151" i="3"/>
  <c r="AP151" i="3" s="1"/>
  <c r="AN151" i="3"/>
  <c r="AQ151" i="3" s="1"/>
  <c r="B146" i="15"/>
  <c r="C146" i="15" s="1"/>
  <c r="AZ208" i="8"/>
  <c r="AL151" i="8"/>
  <c r="AN151" i="8"/>
  <c r="AQ151" i="8" s="1"/>
  <c r="AO151" i="8"/>
  <c r="AR151" i="8" s="1"/>
  <c r="AM151" i="8"/>
  <c r="AP151" i="8" s="1"/>
  <c r="AF156" i="8"/>
  <c r="AH156" i="3"/>
  <c r="V211" i="8"/>
  <c r="O214" i="3"/>
  <c r="B50" i="43" s="1"/>
  <c r="Y157" i="3"/>
  <c r="AB157" i="3" s="1"/>
  <c r="AR68" i="31"/>
  <c r="AO68" i="31"/>
  <c r="AQ68" i="31" s="1"/>
  <c r="CL63" i="31" s="1"/>
  <c r="C153" i="11"/>
  <c r="D153" i="11" s="1"/>
  <c r="E153" i="11" s="1"/>
  <c r="AM106" i="8"/>
  <c r="AE106" i="8"/>
  <c r="L157" i="3"/>
  <c r="M157" i="3"/>
  <c r="AI155" i="6"/>
  <c r="M109" i="4" s="1"/>
  <c r="BS67" i="31"/>
  <c r="BT66" i="31"/>
  <c r="BV66" i="31" s="1"/>
  <c r="BW66" i="31" s="1"/>
  <c r="V211" i="6"/>
  <c r="B47" i="15"/>
  <c r="C47" i="15" s="1"/>
  <c r="J47" i="15" s="1"/>
  <c r="AL152" i="3"/>
  <c r="AZ209" i="3"/>
  <c r="AN152" i="3"/>
  <c r="AQ152" i="3" s="1"/>
  <c r="AO152" i="3"/>
  <c r="AR152" i="3" s="1"/>
  <c r="AM152" i="3"/>
  <c r="AP152" i="3" s="1"/>
  <c r="CR61" i="31"/>
  <c r="CO61" i="31"/>
  <c r="CK62" i="31"/>
  <c r="C51" i="11"/>
  <c r="D51" i="11" s="1"/>
  <c r="E51" i="11" s="1"/>
  <c r="AM106" i="3"/>
  <c r="AE106" i="3"/>
  <c r="L157" i="8"/>
  <c r="M157" i="8"/>
  <c r="B104" i="36"/>
  <c r="D104" i="36" s="1"/>
  <c r="E104" i="36" s="1"/>
  <c r="S213" i="39" s="1"/>
  <c r="T213" i="39" s="1"/>
  <c r="R213" i="6"/>
  <c r="R213" i="3"/>
  <c r="B49" i="36"/>
  <c r="D49" i="36" s="1"/>
  <c r="E49" i="36" s="1"/>
  <c r="S213" i="38" s="1"/>
  <c r="T213" i="38" s="1"/>
  <c r="AL152" i="8"/>
  <c r="AZ209" i="8"/>
  <c r="B147" i="15"/>
  <c r="C147" i="15" s="1"/>
  <c r="AO152" i="8"/>
  <c r="AR152" i="8" s="1"/>
  <c r="AM152" i="8"/>
  <c r="AP152" i="8" s="1"/>
  <c r="AN152" i="8"/>
  <c r="AQ152" i="8" s="1"/>
  <c r="AN105" i="6"/>
  <c r="R158" i="6"/>
  <c r="B97" i="15"/>
  <c r="C97" i="15" s="1"/>
  <c r="AL152" i="6"/>
  <c r="AZ209" i="6"/>
  <c r="AM152" i="6"/>
  <c r="AP152" i="6" s="1"/>
  <c r="AN152" i="6"/>
  <c r="AQ152" i="6" s="1"/>
  <c r="AO152" i="6"/>
  <c r="AR152" i="6" s="1"/>
  <c r="AC215" i="3"/>
  <c r="AU215" i="3" s="1"/>
  <c r="H158" i="3"/>
  <c r="K158" i="3"/>
  <c r="L158" i="3" s="1"/>
  <c r="V158" i="3"/>
  <c r="AA158" i="3" s="1"/>
  <c r="G109" i="4"/>
  <c r="S212" i="6"/>
  <c r="T212" i="6" s="1"/>
  <c r="H103" i="36"/>
  <c r="AE212" i="39" s="1"/>
  <c r="AW212" i="39" s="1"/>
  <c r="AG157" i="6"/>
  <c r="AC157" i="3"/>
  <c r="Z157" i="3"/>
  <c r="AA214" i="3"/>
  <c r="AH156" i="8"/>
  <c r="AZ66" i="31"/>
  <c r="AW66" i="31"/>
  <c r="AV66" i="31"/>
  <c r="C102" i="11"/>
  <c r="D102" i="11" s="1"/>
  <c r="E102" i="11" s="1"/>
  <c r="AE106" i="6"/>
  <c r="AM106" i="6"/>
  <c r="AG156" i="6"/>
  <c r="CT60" i="31"/>
  <c r="CV60" i="31" s="1"/>
  <c r="BK67" i="31"/>
  <c r="BL66" i="31"/>
  <c r="L157" i="6"/>
  <c r="M157" i="6"/>
  <c r="S158" i="8"/>
  <c r="AN105" i="8"/>
  <c r="N158" i="8"/>
  <c r="H158" i="8"/>
  <c r="AC215" i="8"/>
  <c r="AU215" i="8" s="1"/>
  <c r="K158" i="8"/>
  <c r="V158" i="8"/>
  <c r="AF156" i="3"/>
  <c r="AA157" i="8"/>
  <c r="AF156" i="6"/>
  <c r="H158" i="6"/>
  <c r="K158" i="6"/>
  <c r="M158" i="6" s="1"/>
  <c r="AM70" i="31"/>
  <c r="AN69" i="31"/>
  <c r="R158" i="3"/>
  <c r="AN105" i="3"/>
  <c r="AM215" i="3"/>
  <c r="AN215" i="3" s="1"/>
  <c r="O214" i="6"/>
  <c r="B105" i="43" s="1"/>
  <c r="D105" i="43" s="1"/>
  <c r="E105" i="43" s="1"/>
  <c r="H105" i="43" s="1"/>
  <c r="J105" i="43" s="1"/>
  <c r="Y157" i="6"/>
  <c r="AB157" i="6" s="1"/>
  <c r="AL151" i="6"/>
  <c r="B96" i="15"/>
  <c r="C96" i="15" s="1"/>
  <c r="AZ208" i="6"/>
  <c r="AM151" i="6"/>
  <c r="AP151" i="6" s="1"/>
  <c r="AN151" i="6"/>
  <c r="AQ151" i="6" s="1"/>
  <c r="AO151" i="6"/>
  <c r="AR151" i="6" s="1"/>
  <c r="AG156" i="3"/>
  <c r="B159" i="36"/>
  <c r="D159" i="36" s="1"/>
  <c r="E159" i="36" s="1"/>
  <c r="S213" i="40" s="1"/>
  <c r="T213" i="40" s="1"/>
  <c r="R213" i="8"/>
  <c r="AT68" i="31"/>
  <c r="AU67" i="31"/>
  <c r="Y157" i="8"/>
  <c r="AB157" i="8" s="1"/>
  <c r="O214" i="8"/>
  <c r="B160" i="43" s="1"/>
  <c r="BP65" i="31"/>
  <c r="BN65" i="31"/>
  <c r="BO65" i="31" s="1"/>
  <c r="J47" i="36"/>
  <c r="AE211" i="3"/>
  <c r="AW211" i="3" s="1"/>
  <c r="AA214" i="6"/>
  <c r="Z157" i="6"/>
  <c r="AC157" i="6"/>
  <c r="S212" i="8"/>
  <c r="T212" i="8" s="1"/>
  <c r="H158" i="36"/>
  <c r="AE212" i="40" s="1"/>
  <c r="AW212" i="40" s="1"/>
  <c r="H48" i="36"/>
  <c r="AE212" i="38" s="1"/>
  <c r="AW212" i="38" s="1"/>
  <c r="S212" i="3"/>
  <c r="T212" i="3" s="1"/>
  <c r="AM215" i="8"/>
  <c r="AN215" i="8" s="1"/>
  <c r="G108" i="4"/>
  <c r="J157" i="36"/>
  <c r="AE211" i="8"/>
  <c r="AW211" i="8" s="1"/>
  <c r="CC466" i="2"/>
  <c r="CD465" i="2"/>
  <c r="D160" i="43" l="1"/>
  <c r="E160" i="43" s="1"/>
  <c r="H160" i="43" s="1"/>
  <c r="J160" i="43" s="1"/>
  <c r="AS152" i="40"/>
  <c r="AT152" i="40" s="1"/>
  <c r="D50" i="43"/>
  <c r="E50" i="43" s="1"/>
  <c r="H50" i="43" s="1"/>
  <c r="J50" i="43" s="1"/>
  <c r="AO211" i="6"/>
  <c r="AP211" i="6" s="1"/>
  <c r="AI156" i="6"/>
  <c r="M110" i="4" s="1"/>
  <c r="AI155" i="39"/>
  <c r="AS152" i="8"/>
  <c r="AT152" i="8" s="1"/>
  <c r="AS151" i="39"/>
  <c r="AT151" i="39" s="1"/>
  <c r="AY210" i="39"/>
  <c r="AK153" i="39"/>
  <c r="AS151" i="40"/>
  <c r="AT151" i="40" s="1"/>
  <c r="AE154" i="38"/>
  <c r="AY211" i="38" s="1"/>
  <c r="AE154" i="40"/>
  <c r="AE154" i="39"/>
  <c r="AE155" i="38"/>
  <c r="AK155" i="38" s="1"/>
  <c r="AE155" i="40"/>
  <c r="AE155" i="39"/>
  <c r="AS152" i="39"/>
  <c r="AT152" i="39" s="1"/>
  <c r="AY210" i="40"/>
  <c r="AK153" i="40"/>
  <c r="AO212" i="40"/>
  <c r="AP212" i="40" s="1"/>
  <c r="AH156" i="40"/>
  <c r="AI155" i="40"/>
  <c r="AG156" i="40"/>
  <c r="V213" i="40"/>
  <c r="AM214" i="40"/>
  <c r="AN214" i="40" s="1"/>
  <c r="AA157" i="40"/>
  <c r="G159" i="8"/>
  <c r="X159" i="8" s="1"/>
  <c r="G159" i="40"/>
  <c r="M157" i="40"/>
  <c r="N157" i="40"/>
  <c r="L157" i="40"/>
  <c r="AF156" i="40"/>
  <c r="AC157" i="40"/>
  <c r="AA214" i="40"/>
  <c r="AB157" i="40"/>
  <c r="Z157" i="40"/>
  <c r="H158" i="40"/>
  <c r="AC215" i="40"/>
  <c r="AU215" i="40" s="1"/>
  <c r="X158" i="40"/>
  <c r="V158" i="40"/>
  <c r="K158" i="40"/>
  <c r="V213" i="39"/>
  <c r="AH156" i="39"/>
  <c r="V158" i="6"/>
  <c r="Z158" i="6" s="1"/>
  <c r="AC215" i="39"/>
  <c r="AU215" i="39" s="1"/>
  <c r="X158" i="39"/>
  <c r="H158" i="39"/>
  <c r="K158" i="39"/>
  <c r="M158" i="39" s="1"/>
  <c r="V158" i="39"/>
  <c r="AA214" i="39"/>
  <c r="AC157" i="39"/>
  <c r="AB157" i="39"/>
  <c r="Z157" i="39"/>
  <c r="AG156" i="39"/>
  <c r="X158" i="6"/>
  <c r="G159" i="6"/>
  <c r="X159" i="6" s="1"/>
  <c r="G159" i="39"/>
  <c r="AF156" i="39"/>
  <c r="AM214" i="39"/>
  <c r="AN214" i="39" s="1"/>
  <c r="AA157" i="39"/>
  <c r="AO212" i="39"/>
  <c r="AP212" i="39" s="1"/>
  <c r="M157" i="39"/>
  <c r="N157" i="39"/>
  <c r="L157" i="39"/>
  <c r="AI156" i="3"/>
  <c r="E110" i="4" s="1"/>
  <c r="G110" i="4" s="1"/>
  <c r="AS152" i="3"/>
  <c r="AT152" i="3" s="1"/>
  <c r="AH156" i="38"/>
  <c r="V213" i="38"/>
  <c r="G159" i="3"/>
  <c r="AC216" i="3" s="1"/>
  <c r="AU216" i="3" s="1"/>
  <c r="G159" i="38"/>
  <c r="AO212" i="38"/>
  <c r="AP212" i="38" s="1"/>
  <c r="AG156" i="38"/>
  <c r="AC157" i="38"/>
  <c r="AA214" i="38"/>
  <c r="AB157" i="38"/>
  <c r="Z157" i="38"/>
  <c r="AN153" i="38"/>
  <c r="AQ153" i="38" s="1"/>
  <c r="AL153" i="38"/>
  <c r="AZ210" i="38"/>
  <c r="AM153" i="38"/>
  <c r="AP153" i="38" s="1"/>
  <c r="AO153" i="38"/>
  <c r="AR153" i="38" s="1"/>
  <c r="AF156" i="38"/>
  <c r="AC215" i="38"/>
  <c r="AU215" i="38" s="1"/>
  <c r="X158" i="38"/>
  <c r="H158" i="38"/>
  <c r="K158" i="38"/>
  <c r="V158" i="38"/>
  <c r="N157" i="38"/>
  <c r="L157" i="38"/>
  <c r="AA157" i="38"/>
  <c r="AM214" i="38"/>
  <c r="AN214" i="38" s="1"/>
  <c r="AY66" i="31"/>
  <c r="CT61" i="31"/>
  <c r="CV61" i="31" s="1"/>
  <c r="AG158" i="3"/>
  <c r="J96" i="15"/>
  <c r="F96" i="15"/>
  <c r="E96" i="15"/>
  <c r="I96" i="15"/>
  <c r="AC158" i="8"/>
  <c r="AA215" i="8"/>
  <c r="Z158" i="8"/>
  <c r="AF158" i="8" s="1"/>
  <c r="V212" i="6"/>
  <c r="I97" i="15"/>
  <c r="E97" i="15"/>
  <c r="J97" i="15"/>
  <c r="F97" i="15"/>
  <c r="R214" i="3"/>
  <c r="B50" i="36"/>
  <c r="D50" i="36" s="1"/>
  <c r="E50" i="36" s="1"/>
  <c r="S214" i="38" s="1"/>
  <c r="T214" i="38" s="1"/>
  <c r="E146" i="15"/>
  <c r="F146" i="15"/>
  <c r="I146" i="15"/>
  <c r="J146" i="15"/>
  <c r="V212" i="3"/>
  <c r="O215" i="3"/>
  <c r="B51" i="43" s="1"/>
  <c r="D51" i="43" s="1"/>
  <c r="E51" i="43" s="1"/>
  <c r="H51" i="43" s="1"/>
  <c r="J51" i="43" s="1"/>
  <c r="Y158" i="3"/>
  <c r="AB158" i="3" s="1"/>
  <c r="J48" i="36"/>
  <c r="AE212" i="3"/>
  <c r="AW212" i="3" s="1"/>
  <c r="AH157" i="8"/>
  <c r="AR69" i="31"/>
  <c r="AO69" i="31"/>
  <c r="AQ69" i="31" s="1"/>
  <c r="CL64" i="31" s="1"/>
  <c r="G65" i="31" s="1"/>
  <c r="AG157" i="8"/>
  <c r="L158" i="8"/>
  <c r="M158" i="8"/>
  <c r="BP66" i="31"/>
  <c r="BN66" i="31"/>
  <c r="BO66" i="31" s="1"/>
  <c r="AS152" i="6"/>
  <c r="AT152" i="6" s="1"/>
  <c r="O215" i="6"/>
  <c r="B106" i="43" s="1"/>
  <c r="D106" i="43" s="1"/>
  <c r="E106" i="43" s="1"/>
  <c r="H106" i="43" s="1"/>
  <c r="J106" i="43" s="1"/>
  <c r="Y158" i="6"/>
  <c r="S213" i="3"/>
  <c r="T213" i="3" s="1"/>
  <c r="H49" i="36"/>
  <c r="AE213" i="38" s="1"/>
  <c r="AW213" i="38" s="1"/>
  <c r="S213" i="6"/>
  <c r="T213" i="6" s="1"/>
  <c r="H104" i="36"/>
  <c r="AE213" i="39" s="1"/>
  <c r="AW213" i="39" s="1"/>
  <c r="R159" i="3"/>
  <c r="AN106" i="3"/>
  <c r="H159" i="3"/>
  <c r="V159" i="3"/>
  <c r="AO211" i="8"/>
  <c r="AP211" i="8" s="1"/>
  <c r="C107" i="4"/>
  <c r="AY210" i="3"/>
  <c r="AK153" i="3"/>
  <c r="I107" i="4"/>
  <c r="M158" i="3"/>
  <c r="S213" i="8"/>
  <c r="T213" i="8" s="1"/>
  <c r="H159" i="36"/>
  <c r="AE213" i="40" s="1"/>
  <c r="AW213" i="40" s="1"/>
  <c r="AE154" i="8"/>
  <c r="AE154" i="6"/>
  <c r="AE154" i="3"/>
  <c r="J158" i="36"/>
  <c r="AE212" i="8"/>
  <c r="AW212" i="8" s="1"/>
  <c r="AF157" i="6"/>
  <c r="AZ67" i="31"/>
  <c r="AW67" i="31"/>
  <c r="AV67" i="31"/>
  <c r="AS151" i="6"/>
  <c r="AT151" i="6" s="1"/>
  <c r="AH157" i="6"/>
  <c r="N158" i="3"/>
  <c r="AM71" i="31"/>
  <c r="AN70" i="31"/>
  <c r="Y158" i="8"/>
  <c r="AB158" i="8" s="1"/>
  <c r="O215" i="8"/>
  <c r="B161" i="43" s="1"/>
  <c r="D161" i="43" s="1"/>
  <c r="E161" i="43" s="1"/>
  <c r="H161" i="43" s="1"/>
  <c r="J161" i="43" s="1"/>
  <c r="BL67" i="31"/>
  <c r="BK68" i="31"/>
  <c r="AM216" i="6"/>
  <c r="AN216" i="6" s="1"/>
  <c r="AN106" i="6"/>
  <c r="R159" i="6"/>
  <c r="AE155" i="6"/>
  <c r="AE155" i="8"/>
  <c r="AE155" i="3"/>
  <c r="F147" i="15"/>
  <c r="I147" i="15"/>
  <c r="E147" i="15"/>
  <c r="J147" i="15"/>
  <c r="CK63" i="31"/>
  <c r="CR62" i="31"/>
  <c r="CO62" i="31"/>
  <c r="I47" i="15"/>
  <c r="E47" i="15"/>
  <c r="F47" i="15"/>
  <c r="BS68" i="31"/>
  <c r="BT67" i="31"/>
  <c r="BV67" i="31" s="1"/>
  <c r="BW67" i="31" s="1"/>
  <c r="AM216" i="8"/>
  <c r="AN216" i="8" s="1"/>
  <c r="AI156" i="8"/>
  <c r="T110" i="4" s="1"/>
  <c r="AS151" i="3"/>
  <c r="AT151" i="3" s="1"/>
  <c r="E46" i="15"/>
  <c r="I46" i="15"/>
  <c r="F46" i="15"/>
  <c r="AO211" i="3"/>
  <c r="AP211" i="3" s="1"/>
  <c r="K107" i="4"/>
  <c r="O107" i="4" s="1"/>
  <c r="AY210" i="6"/>
  <c r="AK153" i="6"/>
  <c r="B160" i="36"/>
  <c r="D160" i="36" s="1"/>
  <c r="E160" i="36" s="1"/>
  <c r="S214" i="40" s="1"/>
  <c r="T214" i="40" s="1"/>
  <c r="R214" i="8"/>
  <c r="AA215" i="6"/>
  <c r="AC158" i="6"/>
  <c r="V212" i="8"/>
  <c r="AU68" i="31"/>
  <c r="AT69" i="31"/>
  <c r="R214" i="6"/>
  <c r="B105" i="36"/>
  <c r="D105" i="36" s="1"/>
  <c r="E105" i="36" s="1"/>
  <c r="S214" i="39" s="1"/>
  <c r="T214" i="39" s="1"/>
  <c r="N158" i="6"/>
  <c r="L158" i="6"/>
  <c r="H159" i="6"/>
  <c r="V159" i="6"/>
  <c r="K159" i="6"/>
  <c r="AC216" i="6"/>
  <c r="AU216" i="6" s="1"/>
  <c r="AF157" i="3"/>
  <c r="J103" i="36"/>
  <c r="AE212" i="6"/>
  <c r="AW212" i="6" s="1"/>
  <c r="Z158" i="3"/>
  <c r="AA215" i="3"/>
  <c r="AC158" i="3"/>
  <c r="AA158" i="8"/>
  <c r="X159" i="3"/>
  <c r="S159" i="8"/>
  <c r="AN106" i="8"/>
  <c r="H159" i="8"/>
  <c r="AC216" i="8"/>
  <c r="AU216" i="8" s="1"/>
  <c r="K159" i="8"/>
  <c r="V159" i="8"/>
  <c r="AA159" i="8" s="1"/>
  <c r="AH157" i="3"/>
  <c r="AS151" i="8"/>
  <c r="AT151" i="8" s="1"/>
  <c r="AF157" i="8"/>
  <c r="AY210" i="8"/>
  <c r="R107" i="4"/>
  <c r="V107" i="4" s="1"/>
  <c r="AK153" i="8"/>
  <c r="CC467" i="2"/>
  <c r="CD466" i="2"/>
  <c r="AY212" i="38" l="1"/>
  <c r="AK154" i="38"/>
  <c r="AZ211" i="38" s="1"/>
  <c r="AA158" i="6"/>
  <c r="AO212" i="8"/>
  <c r="AP212" i="8" s="1"/>
  <c r="AO213" i="39"/>
  <c r="AP213" i="39" s="1"/>
  <c r="AI157" i="8"/>
  <c r="T111" i="4" s="1"/>
  <c r="AI156" i="39"/>
  <c r="AE156" i="38"/>
  <c r="AE156" i="39"/>
  <c r="AE156" i="40"/>
  <c r="AY211" i="39"/>
  <c r="AK154" i="39"/>
  <c r="AN153" i="39"/>
  <c r="AQ153" i="39" s="1"/>
  <c r="AO153" i="39"/>
  <c r="AR153" i="39" s="1"/>
  <c r="AZ210" i="39"/>
  <c r="AM153" i="39"/>
  <c r="AP153" i="39" s="1"/>
  <c r="AL153" i="39"/>
  <c r="AY212" i="39"/>
  <c r="AK155" i="39"/>
  <c r="AY211" i="40"/>
  <c r="AK154" i="40"/>
  <c r="AN153" i="40"/>
  <c r="AQ153" i="40" s="1"/>
  <c r="AO153" i="40"/>
  <c r="AR153" i="40" s="1"/>
  <c r="AL153" i="40"/>
  <c r="AZ210" i="40"/>
  <c r="AM153" i="40"/>
  <c r="AP153" i="40" s="1"/>
  <c r="AY212" i="40"/>
  <c r="AK155" i="40"/>
  <c r="V214" i="40"/>
  <c r="AM215" i="40"/>
  <c r="AN215" i="40" s="1"/>
  <c r="AA158" i="40"/>
  <c r="AG158" i="40" s="1"/>
  <c r="AH157" i="40"/>
  <c r="AC216" i="40"/>
  <c r="AU216" i="40" s="1"/>
  <c r="X159" i="40"/>
  <c r="H159" i="40"/>
  <c r="V159" i="40"/>
  <c r="K159" i="40"/>
  <c r="AI156" i="40"/>
  <c r="M158" i="40"/>
  <c r="N158" i="40"/>
  <c r="L158" i="40"/>
  <c r="AC158" i="40"/>
  <c r="AA215" i="40"/>
  <c r="AB158" i="40"/>
  <c r="Z158" i="40"/>
  <c r="AF157" i="40"/>
  <c r="AG157" i="40"/>
  <c r="AO213" i="40"/>
  <c r="AP213" i="40" s="1"/>
  <c r="V214" i="39"/>
  <c r="AM215" i="6"/>
  <c r="AN215" i="6" s="1"/>
  <c r="AH157" i="39"/>
  <c r="L158" i="39"/>
  <c r="N158" i="39"/>
  <c r="AC216" i="39"/>
  <c r="AU216" i="39" s="1"/>
  <c r="H159" i="39"/>
  <c r="X159" i="39"/>
  <c r="K159" i="39"/>
  <c r="M159" i="39" s="1"/>
  <c r="V159" i="39"/>
  <c r="AG157" i="39"/>
  <c r="AB158" i="6"/>
  <c r="AF157" i="39"/>
  <c r="AA215" i="39"/>
  <c r="AC158" i="39"/>
  <c r="AB158" i="39"/>
  <c r="Z158" i="39"/>
  <c r="AA158" i="39"/>
  <c r="AM215" i="39"/>
  <c r="AN215" i="39" s="1"/>
  <c r="K159" i="3"/>
  <c r="AC158" i="38"/>
  <c r="AA215" i="38"/>
  <c r="AB158" i="38"/>
  <c r="Z158" i="38"/>
  <c r="AA158" i="38"/>
  <c r="AM215" i="38"/>
  <c r="AN215" i="38" s="1"/>
  <c r="AM155" i="38"/>
  <c r="AP155" i="38" s="1"/>
  <c r="AZ212" i="38"/>
  <c r="AL155" i="38"/>
  <c r="AO155" i="38"/>
  <c r="AR155" i="38" s="1"/>
  <c r="AN155" i="38"/>
  <c r="AQ155" i="38" s="1"/>
  <c r="AG157" i="38"/>
  <c r="N158" i="38"/>
  <c r="L158" i="38"/>
  <c r="AS153" i="38"/>
  <c r="AT153" i="38" s="1"/>
  <c r="AF157" i="38"/>
  <c r="AO213" i="38"/>
  <c r="AP213" i="38" s="1"/>
  <c r="AY213" i="38"/>
  <c r="AK156" i="38"/>
  <c r="M158" i="38"/>
  <c r="AH157" i="38"/>
  <c r="AL154" i="38"/>
  <c r="AO154" i="38"/>
  <c r="AR154" i="38" s="1"/>
  <c r="AC216" i="38"/>
  <c r="AU216" i="38" s="1"/>
  <c r="X159" i="38"/>
  <c r="H159" i="38"/>
  <c r="V159" i="38"/>
  <c r="K159" i="38"/>
  <c r="V214" i="38"/>
  <c r="AI156" i="38"/>
  <c r="AY67" i="31"/>
  <c r="AG159" i="8"/>
  <c r="L159" i="8"/>
  <c r="M159" i="8"/>
  <c r="AF158" i="6"/>
  <c r="AL153" i="6"/>
  <c r="B98" i="15"/>
  <c r="C98" i="15" s="1"/>
  <c r="AZ210" i="6"/>
  <c r="AO153" i="6"/>
  <c r="AR153" i="6" s="1"/>
  <c r="AM153" i="6"/>
  <c r="AP153" i="6" s="1"/>
  <c r="AN153" i="6"/>
  <c r="AQ153" i="6" s="1"/>
  <c r="CO63" i="31"/>
  <c r="CR63" i="31"/>
  <c r="CK64" i="31"/>
  <c r="O216" i="6"/>
  <c r="B107" i="43" s="1"/>
  <c r="Y159" i="6"/>
  <c r="AB159" i="6" s="1"/>
  <c r="BL68" i="31"/>
  <c r="BK69" i="31"/>
  <c r="AR70" i="31"/>
  <c r="AO70" i="31"/>
  <c r="AQ70" i="31" s="1"/>
  <c r="CL65" i="31" s="1"/>
  <c r="G66" i="31" s="1"/>
  <c r="J159" i="36"/>
  <c r="AE213" i="8"/>
  <c r="AW213" i="8" s="1"/>
  <c r="AL153" i="3"/>
  <c r="B48" i="15"/>
  <c r="C48" i="15" s="1"/>
  <c r="J48" i="15" s="1"/>
  <c r="AZ210" i="3"/>
  <c r="AN153" i="3"/>
  <c r="AQ153" i="3" s="1"/>
  <c r="AM153" i="3"/>
  <c r="AP153" i="3" s="1"/>
  <c r="AO153" i="3"/>
  <c r="AR153" i="3" s="1"/>
  <c r="J104" i="36"/>
  <c r="AE213" i="6"/>
  <c r="AW213" i="6" s="1"/>
  <c r="AH158" i="6"/>
  <c r="AO212" i="3"/>
  <c r="AP212" i="3" s="1"/>
  <c r="AO212" i="6"/>
  <c r="AP212" i="6" s="1"/>
  <c r="O216" i="8"/>
  <c r="B162" i="43" s="1"/>
  <c r="D162" i="43" s="1"/>
  <c r="E162" i="43" s="1"/>
  <c r="H162" i="43" s="1"/>
  <c r="J162" i="43" s="1"/>
  <c r="Y159" i="8"/>
  <c r="AB159" i="8" s="1"/>
  <c r="L159" i="6"/>
  <c r="M159" i="6"/>
  <c r="AE156" i="6"/>
  <c r="AE156" i="3"/>
  <c r="AE156" i="8"/>
  <c r="BS69" i="31"/>
  <c r="BT68" i="31"/>
  <c r="BV68" i="31" s="1"/>
  <c r="BW68" i="31" s="1"/>
  <c r="BX68" i="31" s="1"/>
  <c r="I109" i="4"/>
  <c r="AY212" i="3"/>
  <c r="AK155" i="3"/>
  <c r="C109" i="4"/>
  <c r="N159" i="6"/>
  <c r="BP67" i="31"/>
  <c r="BN67" i="31"/>
  <c r="BO67" i="31" s="1"/>
  <c r="AN71" i="31"/>
  <c r="AM72" i="31"/>
  <c r="AY211" i="3"/>
  <c r="AK154" i="3"/>
  <c r="C108" i="4"/>
  <c r="I108" i="4"/>
  <c r="V213" i="8"/>
  <c r="AO213" i="8"/>
  <c r="AP213" i="8" s="1"/>
  <c r="L159" i="3"/>
  <c r="M159" i="3"/>
  <c r="N159" i="3"/>
  <c r="V213" i="6"/>
  <c r="R215" i="6"/>
  <c r="B106" i="36"/>
  <c r="D106" i="36" s="1"/>
  <c r="E106" i="36" s="1"/>
  <c r="S215" i="39" s="1"/>
  <c r="T215" i="39" s="1"/>
  <c r="AG158" i="6"/>
  <c r="AA159" i="3"/>
  <c r="AM216" i="3"/>
  <c r="AN216" i="3" s="1"/>
  <c r="AC159" i="6"/>
  <c r="AA216" i="6"/>
  <c r="Z159" i="6"/>
  <c r="S214" i="6"/>
  <c r="T214" i="6" s="1"/>
  <c r="H105" i="36"/>
  <c r="AE214" i="39" s="1"/>
  <c r="AW214" i="39" s="1"/>
  <c r="AT70" i="31"/>
  <c r="AU69" i="31"/>
  <c r="R109" i="4"/>
  <c r="V109" i="4" s="1"/>
  <c r="AY212" i="8"/>
  <c r="AK155" i="8"/>
  <c r="R215" i="8"/>
  <c r="B161" i="36"/>
  <c r="AI157" i="6"/>
  <c r="M111" i="4" s="1"/>
  <c r="AY211" i="6"/>
  <c r="K108" i="4"/>
  <c r="O108" i="4" s="1"/>
  <c r="AK154" i="6"/>
  <c r="AC159" i="3"/>
  <c r="AA216" i="3"/>
  <c r="Z159" i="3"/>
  <c r="AE213" i="3"/>
  <c r="AW213" i="3" s="1"/>
  <c r="J49" i="36"/>
  <c r="AH158" i="3"/>
  <c r="H50" i="36"/>
  <c r="AE214" i="38" s="1"/>
  <c r="AW214" i="38" s="1"/>
  <c r="S214" i="3"/>
  <c r="T214" i="3" s="1"/>
  <c r="AL153" i="8"/>
  <c r="B148" i="15"/>
  <c r="C148" i="15" s="1"/>
  <c r="AZ210" i="8"/>
  <c r="AN153" i="8"/>
  <c r="AQ153" i="8" s="1"/>
  <c r="AO153" i="8"/>
  <c r="AR153" i="8" s="1"/>
  <c r="AM153" i="8"/>
  <c r="AP153" i="8" s="1"/>
  <c r="AC159" i="8"/>
  <c r="Z159" i="8"/>
  <c r="AA216" i="8"/>
  <c r="N159" i="8"/>
  <c r="AG158" i="8"/>
  <c r="AF158" i="3"/>
  <c r="AI157" i="3"/>
  <c r="E111" i="4" s="1"/>
  <c r="AZ68" i="31"/>
  <c r="AW68" i="31"/>
  <c r="AV68" i="31"/>
  <c r="S214" i="8"/>
  <c r="T214" i="8" s="1"/>
  <c r="H160" i="36"/>
  <c r="AE214" i="40" s="1"/>
  <c r="AW214" i="40" s="1"/>
  <c r="CT62" i="31"/>
  <c r="CV62" i="31" s="1"/>
  <c r="K109" i="4"/>
  <c r="O109" i="4" s="1"/>
  <c r="AY212" i="6"/>
  <c r="AK155" i="6"/>
  <c r="AH158" i="8"/>
  <c r="AY211" i="8"/>
  <c r="R108" i="4"/>
  <c r="V108" i="4" s="1"/>
  <c r="AK154" i="8"/>
  <c r="O216" i="3"/>
  <c r="B52" i="43" s="1"/>
  <c r="Y159" i="3"/>
  <c r="AB159" i="3" s="1"/>
  <c r="V213" i="3"/>
  <c r="AO213" i="3"/>
  <c r="AP213" i="3" s="1"/>
  <c r="AA159" i="6"/>
  <c r="B51" i="36"/>
  <c r="D51" i="36" s="1"/>
  <c r="E51" i="36" s="1"/>
  <c r="S215" i="38" s="1"/>
  <c r="T215" i="38" s="1"/>
  <c r="R215" i="3"/>
  <c r="CC468" i="2"/>
  <c r="CD467" i="2"/>
  <c r="AN154" i="38" l="1"/>
  <c r="AQ154" i="38" s="1"/>
  <c r="AM154" i="38"/>
  <c r="AP154" i="38" s="1"/>
  <c r="AS154" i="38" s="1"/>
  <c r="AT154" i="38" s="1"/>
  <c r="AI158" i="8"/>
  <c r="T112" i="4" s="1"/>
  <c r="D107" i="43"/>
  <c r="E107" i="43" s="1"/>
  <c r="H107" i="43" s="1"/>
  <c r="J107" i="43" s="1"/>
  <c r="D52" i="43"/>
  <c r="E52" i="43" s="1"/>
  <c r="H52" i="43" s="1"/>
  <c r="J52" i="43" s="1"/>
  <c r="AS153" i="40"/>
  <c r="AT153" i="40" s="1"/>
  <c r="AO213" i="6"/>
  <c r="AP213" i="6" s="1"/>
  <c r="AM155" i="39"/>
  <c r="AP155" i="39" s="1"/>
  <c r="AO155" i="39"/>
  <c r="AR155" i="39" s="1"/>
  <c r="AN155" i="39"/>
  <c r="AQ155" i="39" s="1"/>
  <c r="AZ212" i="39"/>
  <c r="AL155" i="39"/>
  <c r="AY213" i="40"/>
  <c r="AK156" i="40"/>
  <c r="AZ211" i="40"/>
  <c r="AO154" i="40"/>
  <c r="AR154" i="40" s="1"/>
  <c r="AL154" i="40"/>
  <c r="AN154" i="40"/>
  <c r="AQ154" i="40" s="1"/>
  <c r="AM154" i="40"/>
  <c r="AP154" i="40" s="1"/>
  <c r="AY213" i="39"/>
  <c r="AK156" i="39"/>
  <c r="AS153" i="8"/>
  <c r="AT153" i="8" s="1"/>
  <c r="AO155" i="40"/>
  <c r="AR155" i="40" s="1"/>
  <c r="AN155" i="40"/>
  <c r="AQ155" i="40" s="1"/>
  <c r="AZ212" i="40"/>
  <c r="AL155" i="40"/>
  <c r="AM155" i="40"/>
  <c r="AP155" i="40" s="1"/>
  <c r="AS153" i="39"/>
  <c r="AT153" i="39" s="1"/>
  <c r="AO154" i="39"/>
  <c r="AR154" i="39" s="1"/>
  <c r="AZ211" i="39"/>
  <c r="AN154" i="39"/>
  <c r="AQ154" i="39" s="1"/>
  <c r="AL154" i="39"/>
  <c r="AM154" i="39"/>
  <c r="AP154" i="39" s="1"/>
  <c r="N159" i="40"/>
  <c r="L159" i="40"/>
  <c r="AA159" i="40"/>
  <c r="AM216" i="40"/>
  <c r="AN216" i="40" s="1"/>
  <c r="AF158" i="40"/>
  <c r="AC159" i="40"/>
  <c r="AA216" i="40"/>
  <c r="AB159" i="40"/>
  <c r="Z159" i="40"/>
  <c r="AF159" i="40" s="1"/>
  <c r="AH158" i="40"/>
  <c r="M159" i="40"/>
  <c r="AO214" i="40"/>
  <c r="AP214" i="40" s="1"/>
  <c r="AI157" i="40"/>
  <c r="AI157" i="39"/>
  <c r="AG158" i="39"/>
  <c r="AM216" i="39"/>
  <c r="AN216" i="39" s="1"/>
  <c r="AA159" i="39"/>
  <c r="V215" i="39"/>
  <c r="AF158" i="39"/>
  <c r="AC159" i="39"/>
  <c r="AA216" i="39"/>
  <c r="AB159" i="39"/>
  <c r="Z159" i="39"/>
  <c r="AO214" i="39"/>
  <c r="AP214" i="39" s="1"/>
  <c r="AH158" i="39"/>
  <c r="N159" i="39"/>
  <c r="L159" i="39"/>
  <c r="AS155" i="38"/>
  <c r="AT155" i="38" s="1"/>
  <c r="M159" i="38"/>
  <c r="N159" i="38"/>
  <c r="L159" i="38"/>
  <c r="AH158" i="38"/>
  <c r="AC159" i="38"/>
  <c r="AA216" i="38"/>
  <c r="AB159" i="38"/>
  <c r="Z159" i="38"/>
  <c r="AZ213" i="38"/>
  <c r="AL156" i="38"/>
  <c r="AN156" i="38"/>
  <c r="AQ156" i="38" s="1"/>
  <c r="AO156" i="38"/>
  <c r="AR156" i="38" s="1"/>
  <c r="AM156" i="38"/>
  <c r="AP156" i="38" s="1"/>
  <c r="V215" i="38"/>
  <c r="AI158" i="3"/>
  <c r="E112" i="4" s="1"/>
  <c r="G112" i="4" s="1"/>
  <c r="AS153" i="3"/>
  <c r="AT153" i="3" s="1"/>
  <c r="AG158" i="38"/>
  <c r="AO214" i="38"/>
  <c r="AP214" i="38" s="1"/>
  <c r="AA159" i="38"/>
  <c r="AM216" i="38"/>
  <c r="AN216" i="38" s="1"/>
  <c r="AI157" i="38"/>
  <c r="AF158" i="38"/>
  <c r="CT63" i="31"/>
  <c r="CV63" i="31" s="1"/>
  <c r="AZ211" i="8"/>
  <c r="B149" i="15"/>
  <c r="C149" i="15" s="1"/>
  <c r="AL154" i="8"/>
  <c r="AO154" i="8"/>
  <c r="AR154" i="8" s="1"/>
  <c r="AM154" i="8"/>
  <c r="AP154" i="8" s="1"/>
  <c r="AN154" i="8"/>
  <c r="AQ154" i="8" s="1"/>
  <c r="J148" i="15"/>
  <c r="E148" i="15"/>
  <c r="F148" i="15"/>
  <c r="I148" i="15"/>
  <c r="J105" i="36"/>
  <c r="AE214" i="6"/>
  <c r="AW214" i="6" s="1"/>
  <c r="AR71" i="31"/>
  <c r="AO71" i="31"/>
  <c r="AQ71" i="31" s="1"/>
  <c r="CL66" i="31" s="1"/>
  <c r="G67" i="31" s="1"/>
  <c r="BX19" i="31"/>
  <c r="BU19" i="31"/>
  <c r="K110" i="4"/>
  <c r="O110" i="4" s="1"/>
  <c r="AY213" i="6"/>
  <c r="AK156" i="6"/>
  <c r="B162" i="36"/>
  <c r="D162" i="36" s="1"/>
  <c r="E162" i="36" s="1"/>
  <c r="S216" i="40" s="1"/>
  <c r="T216" i="40" s="1"/>
  <c r="R216" i="8"/>
  <c r="B107" i="36"/>
  <c r="D107" i="36" s="1"/>
  <c r="E107" i="36" s="1"/>
  <c r="S216" i="39" s="1"/>
  <c r="T216" i="39" s="1"/>
  <c r="R216" i="6"/>
  <c r="J98" i="15"/>
  <c r="I98" i="15"/>
  <c r="F98" i="15"/>
  <c r="E98" i="15"/>
  <c r="AZ212" i="6"/>
  <c r="B100" i="15"/>
  <c r="C100" i="15" s="1"/>
  <c r="AL155" i="6"/>
  <c r="AN155" i="6"/>
  <c r="AQ155" i="6" s="1"/>
  <c r="AO155" i="6"/>
  <c r="AR155" i="6" s="1"/>
  <c r="AM155" i="6"/>
  <c r="AP155" i="6" s="1"/>
  <c r="J160" i="36"/>
  <c r="AE214" i="8"/>
  <c r="AW214" i="8" s="1"/>
  <c r="AL154" i="6"/>
  <c r="B99" i="15"/>
  <c r="C99" i="15" s="1"/>
  <c r="AZ211" i="6"/>
  <c r="AO154" i="6"/>
  <c r="AR154" i="6" s="1"/>
  <c r="AN154" i="6"/>
  <c r="AQ154" i="6" s="1"/>
  <c r="AM154" i="6"/>
  <c r="AP154" i="6" s="1"/>
  <c r="D161" i="36"/>
  <c r="E161" i="36" s="1"/>
  <c r="S215" i="40" s="1"/>
  <c r="T215" i="40" s="1"/>
  <c r="AO214" i="6"/>
  <c r="AP214" i="6" s="1"/>
  <c r="V214" i="6"/>
  <c r="AZ211" i="3"/>
  <c r="AL154" i="3"/>
  <c r="B49" i="15"/>
  <c r="C49" i="15" s="1"/>
  <c r="J49" i="15" s="1"/>
  <c r="AM154" i="3"/>
  <c r="AP154" i="3" s="1"/>
  <c r="AN154" i="3"/>
  <c r="AQ154" i="3" s="1"/>
  <c r="AO154" i="3"/>
  <c r="AR154" i="3" s="1"/>
  <c r="AL155" i="3"/>
  <c r="B50" i="15"/>
  <c r="C50" i="15" s="1"/>
  <c r="J50" i="15" s="1"/>
  <c r="AZ212" i="3"/>
  <c r="AO155" i="3"/>
  <c r="AR155" i="3" s="1"/>
  <c r="AN155" i="3"/>
  <c r="AQ155" i="3" s="1"/>
  <c r="AM155" i="3"/>
  <c r="AP155" i="3" s="1"/>
  <c r="BS70" i="31"/>
  <c r="BT69" i="31"/>
  <c r="BV69" i="31" s="1"/>
  <c r="BW69" i="31" s="1"/>
  <c r="BL69" i="31"/>
  <c r="BK70" i="31"/>
  <c r="CK65" i="31"/>
  <c r="CR64" i="31"/>
  <c r="CO64" i="31"/>
  <c r="AS153" i="6"/>
  <c r="AT153" i="6" s="1"/>
  <c r="AH159" i="3"/>
  <c r="V214" i="8"/>
  <c r="AF159" i="8"/>
  <c r="V214" i="3"/>
  <c r="AF159" i="3"/>
  <c r="AZ69" i="31"/>
  <c r="AW69" i="31"/>
  <c r="AV69" i="31"/>
  <c r="H106" i="36"/>
  <c r="AE215" i="39" s="1"/>
  <c r="AW215" i="39" s="1"/>
  <c r="S215" i="6"/>
  <c r="T215" i="6" s="1"/>
  <c r="AY213" i="8"/>
  <c r="R110" i="4"/>
  <c r="V110" i="4" s="1"/>
  <c r="AK156" i="8"/>
  <c r="BP68" i="31"/>
  <c r="BN68" i="31"/>
  <c r="BO68" i="31" s="1"/>
  <c r="S215" i="3"/>
  <c r="T215" i="3" s="1"/>
  <c r="H51" i="36"/>
  <c r="AE215" i="38" s="1"/>
  <c r="AW215" i="38" s="1"/>
  <c r="G111" i="4"/>
  <c r="AG159" i="6"/>
  <c r="R216" i="3"/>
  <c r="B52" i="36"/>
  <c r="D52" i="36" s="1"/>
  <c r="E52" i="36" s="1"/>
  <c r="S216" i="38" s="1"/>
  <c r="T216" i="38" s="1"/>
  <c r="AY68" i="31"/>
  <c r="J50" i="36"/>
  <c r="AE214" i="3"/>
  <c r="AW214" i="3" s="1"/>
  <c r="AZ212" i="8"/>
  <c r="B150" i="15"/>
  <c r="C150" i="15" s="1"/>
  <c r="AL155" i="8"/>
  <c r="AM155" i="8"/>
  <c r="AP155" i="8" s="1"/>
  <c r="AN155" i="8"/>
  <c r="AQ155" i="8" s="1"/>
  <c r="AO155" i="8"/>
  <c r="AR155" i="8" s="1"/>
  <c r="AT71" i="31"/>
  <c r="AU70" i="31"/>
  <c r="AF159" i="6"/>
  <c r="AG159" i="3"/>
  <c r="AN72" i="31"/>
  <c r="AM73" i="31"/>
  <c r="I110" i="4"/>
  <c r="AY213" i="3"/>
  <c r="AK156" i="3"/>
  <c r="C110" i="4"/>
  <c r="AH159" i="8"/>
  <c r="E48" i="15"/>
  <c r="I48" i="15"/>
  <c r="F48" i="15"/>
  <c r="AH159" i="6"/>
  <c r="AI158" i="6"/>
  <c r="M112" i="4" s="1"/>
  <c r="CC469" i="2"/>
  <c r="CD468" i="2"/>
  <c r="AO214" i="8" l="1"/>
  <c r="AP214" i="8" s="1"/>
  <c r="AI158" i="40"/>
  <c r="AS155" i="40"/>
  <c r="AT155" i="40" s="1"/>
  <c r="AS154" i="39"/>
  <c r="AT154" i="39" s="1"/>
  <c r="AE158" i="38"/>
  <c r="AK158" i="38" s="1"/>
  <c r="AE158" i="40"/>
  <c r="AE158" i="39"/>
  <c r="AE157" i="38"/>
  <c r="AY214" i="38" s="1"/>
  <c r="AE157" i="39"/>
  <c r="AE157" i="40"/>
  <c r="AL156" i="40"/>
  <c r="AN156" i="40"/>
  <c r="AQ156" i="40" s="1"/>
  <c r="AZ213" i="40"/>
  <c r="AM156" i="40"/>
  <c r="AP156" i="40" s="1"/>
  <c r="AO156" i="40"/>
  <c r="AR156" i="40" s="1"/>
  <c r="AS156" i="38"/>
  <c r="AT156" i="38" s="1"/>
  <c r="AO156" i="39"/>
  <c r="AR156" i="39" s="1"/>
  <c r="AM156" i="39"/>
  <c r="AP156" i="39" s="1"/>
  <c r="AZ213" i="39"/>
  <c r="AN156" i="39"/>
  <c r="AQ156" i="39" s="1"/>
  <c r="AL156" i="39"/>
  <c r="AS154" i="40"/>
  <c r="AT154" i="40" s="1"/>
  <c r="AS155" i="39"/>
  <c r="AT155" i="39" s="1"/>
  <c r="AH159" i="40"/>
  <c r="V215" i="40"/>
  <c r="AG159" i="40"/>
  <c r="V216" i="40"/>
  <c r="V216" i="39"/>
  <c r="AF159" i="39"/>
  <c r="AO215" i="39"/>
  <c r="AP215" i="39" s="1"/>
  <c r="AH159" i="39"/>
  <c r="AG159" i="39"/>
  <c r="AI158" i="39"/>
  <c r="AI159" i="3"/>
  <c r="E113" i="4" s="1"/>
  <c r="G113" i="4" s="1"/>
  <c r="V216" i="38"/>
  <c r="AG159" i="38"/>
  <c r="AY215" i="38"/>
  <c r="AF159" i="38"/>
  <c r="AO215" i="38"/>
  <c r="AP215" i="38" s="1"/>
  <c r="AH159" i="38"/>
  <c r="AI158" i="38"/>
  <c r="AY69" i="31"/>
  <c r="H161" i="36"/>
  <c r="AE215" i="40" s="1"/>
  <c r="AW215" i="40" s="1"/>
  <c r="S215" i="8"/>
  <c r="T215" i="8" s="1"/>
  <c r="I49" i="15"/>
  <c r="E49" i="15"/>
  <c r="F49" i="15"/>
  <c r="AR72" i="31"/>
  <c r="AO72" i="31"/>
  <c r="AQ72" i="31" s="1"/>
  <c r="CL67" i="31" s="1"/>
  <c r="G68" i="31" s="1"/>
  <c r="AZ70" i="31"/>
  <c r="AV70" i="31"/>
  <c r="AW70" i="31"/>
  <c r="AS155" i="8"/>
  <c r="AT155" i="8" s="1"/>
  <c r="AI159" i="8"/>
  <c r="T113" i="4" s="1"/>
  <c r="CR65" i="31"/>
  <c r="CO65" i="31"/>
  <c r="CK66" i="31"/>
  <c r="BT70" i="31"/>
  <c r="BV70" i="31" s="1"/>
  <c r="BW70" i="31" s="1"/>
  <c r="BS71" i="31"/>
  <c r="H107" i="36"/>
  <c r="AE216" i="39" s="1"/>
  <c r="AW216" i="39" s="1"/>
  <c r="S216" i="6"/>
  <c r="T216" i="6" s="1"/>
  <c r="I149" i="15"/>
  <c r="J149" i="15"/>
  <c r="F149" i="15"/>
  <c r="E149" i="15"/>
  <c r="J150" i="15"/>
  <c r="F150" i="15"/>
  <c r="I150" i="15"/>
  <c r="E150" i="15"/>
  <c r="BP69" i="31"/>
  <c r="BN69" i="31"/>
  <c r="BO69" i="31" s="1"/>
  <c r="S216" i="8"/>
  <c r="T216" i="8" s="1"/>
  <c r="H162" i="36"/>
  <c r="AE216" i="40" s="1"/>
  <c r="AW216" i="40" s="1"/>
  <c r="AI159" i="6"/>
  <c r="M113" i="4" s="1"/>
  <c r="AU71" i="31"/>
  <c r="AT72" i="31"/>
  <c r="AE157" i="6"/>
  <c r="AE157" i="3"/>
  <c r="AE157" i="8"/>
  <c r="AO214" i="3"/>
  <c r="AP214" i="3" s="1"/>
  <c r="BK71" i="31"/>
  <c r="BL70" i="31"/>
  <c r="AS155" i="3"/>
  <c r="AT155" i="3" s="1"/>
  <c r="I50" i="15"/>
  <c r="E50" i="15"/>
  <c r="F50" i="15"/>
  <c r="AS154" i="3"/>
  <c r="AT154" i="3" s="1"/>
  <c r="AS154" i="6"/>
  <c r="AT154" i="6" s="1"/>
  <c r="I99" i="15"/>
  <c r="E99" i="15"/>
  <c r="F99" i="15"/>
  <c r="J99" i="15"/>
  <c r="AS155" i="6"/>
  <c r="AT155" i="6" s="1"/>
  <c r="J100" i="15"/>
  <c r="E100" i="15"/>
  <c r="I100" i="15"/>
  <c r="F100" i="15"/>
  <c r="AS154" i="8"/>
  <c r="AT154" i="8" s="1"/>
  <c r="AN73" i="31"/>
  <c r="AM74" i="31"/>
  <c r="AE215" i="3"/>
  <c r="AW215" i="3" s="1"/>
  <c r="J51" i="36"/>
  <c r="V215" i="6"/>
  <c r="AZ213" i="3"/>
  <c r="AL156" i="3"/>
  <c r="B51" i="15"/>
  <c r="C51" i="15" s="1"/>
  <c r="J51" i="15" s="1"/>
  <c r="AO156" i="3"/>
  <c r="AR156" i="3" s="1"/>
  <c r="AM156" i="3"/>
  <c r="AP156" i="3" s="1"/>
  <c r="AN156" i="3"/>
  <c r="AQ156" i="3" s="1"/>
  <c r="H52" i="36"/>
  <c r="AE216" i="38" s="1"/>
  <c r="AW216" i="38" s="1"/>
  <c r="S216" i="3"/>
  <c r="T216" i="3" s="1"/>
  <c r="V215" i="3"/>
  <c r="AL156" i="8"/>
  <c r="B151" i="15"/>
  <c r="C151" i="15" s="1"/>
  <c r="AZ213" i="8"/>
  <c r="AO156" i="8"/>
  <c r="AR156" i="8" s="1"/>
  <c r="AM156" i="8"/>
  <c r="AP156" i="8" s="1"/>
  <c r="AN156" i="8"/>
  <c r="AQ156" i="8" s="1"/>
  <c r="AE215" i="6"/>
  <c r="AW215" i="6" s="1"/>
  <c r="J106" i="36"/>
  <c r="CT64" i="31"/>
  <c r="CV64" i="31" s="1"/>
  <c r="AZ213" i="6"/>
  <c r="AL156" i="6"/>
  <c r="B101" i="15"/>
  <c r="C101" i="15" s="1"/>
  <c r="AO156" i="6"/>
  <c r="AR156" i="6" s="1"/>
  <c r="AM156" i="6"/>
  <c r="AP156" i="6" s="1"/>
  <c r="AN156" i="6"/>
  <c r="AQ156" i="6" s="1"/>
  <c r="AE158" i="3"/>
  <c r="AE158" i="8"/>
  <c r="AE158" i="6"/>
  <c r="CC470" i="2"/>
  <c r="CD469" i="2"/>
  <c r="AK157" i="38" l="1"/>
  <c r="AN157" i="38" s="1"/>
  <c r="AQ157" i="38" s="1"/>
  <c r="AY215" i="39"/>
  <c r="AK158" i="39"/>
  <c r="AS156" i="39"/>
  <c r="AT156" i="39" s="1"/>
  <c r="AS156" i="40"/>
  <c r="AT156" i="40" s="1"/>
  <c r="AY214" i="40"/>
  <c r="AK157" i="40"/>
  <c r="AY215" i="40"/>
  <c r="AK158" i="40"/>
  <c r="AE159" i="38"/>
  <c r="AY216" i="38" s="1"/>
  <c r="AE159" i="40"/>
  <c r="AE159" i="39"/>
  <c r="AY214" i="39"/>
  <c r="AK157" i="39"/>
  <c r="AI159" i="40"/>
  <c r="AO216" i="40"/>
  <c r="AP216" i="40" s="1"/>
  <c r="AO215" i="40"/>
  <c r="AP215" i="40" s="1"/>
  <c r="AI159" i="39"/>
  <c r="AO216" i="39"/>
  <c r="AP216" i="39" s="1"/>
  <c r="AS156" i="8"/>
  <c r="AT156" i="8" s="1"/>
  <c r="AL157" i="38"/>
  <c r="AZ214" i="38"/>
  <c r="AS156" i="3"/>
  <c r="AT156" i="3" s="1"/>
  <c r="AI159" i="38"/>
  <c r="AL158" i="38"/>
  <c r="AZ215" i="38"/>
  <c r="AO158" i="38"/>
  <c r="AR158" i="38" s="1"/>
  <c r="AN158" i="38"/>
  <c r="AQ158" i="38" s="1"/>
  <c r="AM158" i="38"/>
  <c r="AP158" i="38" s="1"/>
  <c r="AO216" i="38"/>
  <c r="AP216" i="38" s="1"/>
  <c r="AY70" i="31"/>
  <c r="CT65" i="31"/>
  <c r="CV65" i="31" s="1"/>
  <c r="BP70" i="31"/>
  <c r="BN70" i="31"/>
  <c r="BO70" i="31" s="1"/>
  <c r="AY214" i="3"/>
  <c r="AK157" i="3"/>
  <c r="C111" i="4"/>
  <c r="I111" i="4"/>
  <c r="V216" i="8"/>
  <c r="V216" i="6"/>
  <c r="CK67" i="31"/>
  <c r="CR66" i="31"/>
  <c r="CO66" i="31"/>
  <c r="AY215" i="6"/>
  <c r="K112" i="4"/>
  <c r="O112" i="4" s="1"/>
  <c r="AK158" i="6"/>
  <c r="AS156" i="6"/>
  <c r="AT156" i="6" s="1"/>
  <c r="J151" i="15"/>
  <c r="I151" i="15"/>
  <c r="E151" i="15"/>
  <c r="F151" i="15"/>
  <c r="V216" i="3"/>
  <c r="AO215" i="6"/>
  <c r="AP215" i="6" s="1"/>
  <c r="AM75" i="31"/>
  <c r="AN74" i="31"/>
  <c r="BL71" i="31"/>
  <c r="BK72" i="31"/>
  <c r="AY214" i="6"/>
  <c r="K111" i="4"/>
  <c r="O111" i="4" s="1"/>
  <c r="AK157" i="6"/>
  <c r="AE159" i="8"/>
  <c r="AE159" i="3"/>
  <c r="AE159" i="6"/>
  <c r="J107" i="36"/>
  <c r="AE216" i="6"/>
  <c r="AW216" i="6" s="1"/>
  <c r="R112" i="4"/>
  <c r="V112" i="4" s="1"/>
  <c r="AY215" i="8"/>
  <c r="AK158" i="8"/>
  <c r="E51" i="15"/>
  <c r="I51" i="15"/>
  <c r="F51" i="15"/>
  <c r="AR73" i="31"/>
  <c r="AO73" i="31"/>
  <c r="AQ73" i="31" s="1"/>
  <c r="CL68" i="31" s="1"/>
  <c r="G69" i="31" s="1"/>
  <c r="AT73" i="31"/>
  <c r="AU72" i="31"/>
  <c r="BS72" i="31"/>
  <c r="BT71" i="31"/>
  <c r="BV71" i="31" s="1"/>
  <c r="BW71" i="31" s="1"/>
  <c r="V215" i="8"/>
  <c r="AE216" i="3"/>
  <c r="AW216" i="3" s="1"/>
  <c r="J52" i="36"/>
  <c r="I112" i="4"/>
  <c r="AY215" i="3"/>
  <c r="AK158" i="3"/>
  <c r="C112" i="4"/>
  <c r="J101" i="15"/>
  <c r="E101" i="15"/>
  <c r="I101" i="15"/>
  <c r="F101" i="15"/>
  <c r="AO215" i="3"/>
  <c r="AP215" i="3" s="1"/>
  <c r="R111" i="4"/>
  <c r="V111" i="4" s="1"/>
  <c r="AY214" i="8"/>
  <c r="AK157" i="8"/>
  <c r="AZ71" i="31"/>
  <c r="AW71" i="31"/>
  <c r="AV71" i="31"/>
  <c r="J162" i="36"/>
  <c r="AE216" i="8"/>
  <c r="AW216" i="8" s="1"/>
  <c r="J161" i="36"/>
  <c r="AE215" i="8"/>
  <c r="AW215" i="8" s="1"/>
  <c r="CC471" i="2"/>
  <c r="CD470" i="2"/>
  <c r="AM157" i="38" l="1"/>
  <c r="AP157" i="38" s="1"/>
  <c r="AO157" i="38"/>
  <c r="AR157" i="38" s="1"/>
  <c r="AS157" i="38" s="1"/>
  <c r="AT157" i="38" s="1"/>
  <c r="AK159" i="38"/>
  <c r="AL159" i="38" s="1"/>
  <c r="AS158" i="38"/>
  <c r="AT158" i="38" s="1"/>
  <c r="AM158" i="40"/>
  <c r="AP158" i="40" s="1"/>
  <c r="AO158" i="40"/>
  <c r="AR158" i="40" s="1"/>
  <c r="AN158" i="40"/>
  <c r="AQ158" i="40" s="1"/>
  <c r="AL158" i="40"/>
  <c r="AZ215" i="40"/>
  <c r="AY216" i="39"/>
  <c r="AK159" i="39"/>
  <c r="AY216" i="40"/>
  <c r="AK159" i="40"/>
  <c r="AM157" i="40"/>
  <c r="AP157" i="40" s="1"/>
  <c r="AN157" i="40"/>
  <c r="AQ157" i="40" s="1"/>
  <c r="AL157" i="40"/>
  <c r="AZ214" i="40"/>
  <c r="AO157" i="40"/>
  <c r="AR157" i="40" s="1"/>
  <c r="AM158" i="39"/>
  <c r="AP158" i="39" s="1"/>
  <c r="AO158" i="39"/>
  <c r="AR158" i="39" s="1"/>
  <c r="AL158" i="39"/>
  <c r="AN158" i="39"/>
  <c r="AQ158" i="39" s="1"/>
  <c r="AZ215" i="39"/>
  <c r="AN157" i="39"/>
  <c r="AQ157" i="39" s="1"/>
  <c r="AZ214" i="39"/>
  <c r="AM157" i="39"/>
  <c r="AP157" i="39" s="1"/>
  <c r="AL157" i="39"/>
  <c r="AO157" i="39"/>
  <c r="AR157" i="39" s="1"/>
  <c r="AO215" i="8"/>
  <c r="AP215" i="8" s="1"/>
  <c r="AO216" i="3"/>
  <c r="AP216" i="3" s="1"/>
  <c r="AM159" i="38"/>
  <c r="AP159" i="38" s="1"/>
  <c r="CT66" i="31"/>
  <c r="CV66" i="31" s="1"/>
  <c r="AZ72" i="31"/>
  <c r="AW72" i="31"/>
  <c r="AV72" i="31"/>
  <c r="AM158" i="8"/>
  <c r="AP158" i="8" s="1"/>
  <c r="B153" i="15"/>
  <c r="C153" i="15" s="1"/>
  <c r="AZ215" i="8"/>
  <c r="AL158" i="8"/>
  <c r="AO158" i="8"/>
  <c r="AR158" i="8" s="1"/>
  <c r="AN158" i="8"/>
  <c r="AQ158" i="8" s="1"/>
  <c r="AL157" i="6"/>
  <c r="AZ214" i="6"/>
  <c r="B102" i="15"/>
  <c r="C102" i="15" s="1"/>
  <c r="AN157" i="6"/>
  <c r="AQ157" i="6" s="1"/>
  <c r="AO157" i="6"/>
  <c r="AR157" i="6" s="1"/>
  <c r="AM157" i="6"/>
  <c r="AP157" i="6" s="1"/>
  <c r="BP71" i="31"/>
  <c r="BN71" i="31"/>
  <c r="BO71" i="31" s="1"/>
  <c r="AL157" i="3"/>
  <c r="AZ214" i="3"/>
  <c r="B52" i="15"/>
  <c r="C52" i="15" s="1"/>
  <c r="J52" i="15" s="1"/>
  <c r="AN157" i="3"/>
  <c r="AQ157" i="3" s="1"/>
  <c r="AM157" i="3"/>
  <c r="AP157" i="3" s="1"/>
  <c r="AO157" i="3"/>
  <c r="AR157" i="3" s="1"/>
  <c r="AT74" i="31"/>
  <c r="AU73" i="31"/>
  <c r="AY216" i="6"/>
  <c r="K113" i="4"/>
  <c r="O113" i="4" s="1"/>
  <c r="AK159" i="6"/>
  <c r="AR74" i="31"/>
  <c r="AO74" i="31"/>
  <c r="AQ74" i="31" s="1"/>
  <c r="CL69" i="31" s="1"/>
  <c r="G70" i="31" s="1"/>
  <c r="CR67" i="31"/>
  <c r="CK68" i="31"/>
  <c r="CO67" i="31"/>
  <c r="AO216" i="8"/>
  <c r="AP216" i="8" s="1"/>
  <c r="I113" i="4"/>
  <c r="AY216" i="3"/>
  <c r="AK159" i="3"/>
  <c r="C113" i="4"/>
  <c r="AM76" i="31"/>
  <c r="AN75" i="31"/>
  <c r="AO216" i="6"/>
  <c r="AP216" i="6" s="1"/>
  <c r="AL157" i="8"/>
  <c r="B152" i="15"/>
  <c r="C152" i="15" s="1"/>
  <c r="AZ214" i="8"/>
  <c r="AO157" i="8"/>
  <c r="AR157" i="8" s="1"/>
  <c r="AM157" i="8"/>
  <c r="AP157" i="8" s="1"/>
  <c r="AN157" i="8"/>
  <c r="AQ157" i="8" s="1"/>
  <c r="AY71" i="31"/>
  <c r="AZ215" i="3"/>
  <c r="AL158" i="3"/>
  <c r="B53" i="15"/>
  <c r="C53" i="15" s="1"/>
  <c r="J53" i="15" s="1"/>
  <c r="AN158" i="3"/>
  <c r="AQ158" i="3" s="1"/>
  <c r="AM158" i="3"/>
  <c r="AP158" i="3" s="1"/>
  <c r="AO158" i="3"/>
  <c r="AR158" i="3" s="1"/>
  <c r="BS73" i="31"/>
  <c r="BT72" i="31"/>
  <c r="BV72" i="31" s="1"/>
  <c r="BW72" i="31" s="1"/>
  <c r="R113" i="4"/>
  <c r="V113" i="4" s="1"/>
  <c r="AY216" i="8"/>
  <c r="AK159" i="8"/>
  <c r="BK73" i="31"/>
  <c r="BL72" i="31"/>
  <c r="B103" i="15"/>
  <c r="C103" i="15" s="1"/>
  <c r="AL158" i="6"/>
  <c r="AZ215" i="6"/>
  <c r="AO158" i="6"/>
  <c r="AR158" i="6" s="1"/>
  <c r="AM158" i="6"/>
  <c r="AP158" i="6" s="1"/>
  <c r="AN158" i="6"/>
  <c r="AQ158" i="6" s="1"/>
  <c r="CC472" i="2"/>
  <c r="CD472" i="2" s="1"/>
  <c r="CD471" i="2"/>
  <c r="AO159" i="38" l="1"/>
  <c r="AR159" i="38" s="1"/>
  <c r="AZ216" i="38"/>
  <c r="AN159" i="38"/>
  <c r="AQ159" i="38" s="1"/>
  <c r="AS158" i="40"/>
  <c r="AT158" i="40" s="1"/>
  <c r="AM159" i="39"/>
  <c r="AP159" i="39" s="1"/>
  <c r="AN159" i="39"/>
  <c r="AQ159" i="39" s="1"/>
  <c r="AO159" i="39"/>
  <c r="AR159" i="39" s="1"/>
  <c r="AZ216" i="39"/>
  <c r="AL159" i="39"/>
  <c r="AS158" i="39"/>
  <c r="AT158" i="39" s="1"/>
  <c r="AS157" i="40"/>
  <c r="AT157" i="40" s="1"/>
  <c r="AS157" i="39"/>
  <c r="AT157" i="39" s="1"/>
  <c r="AN159" i="40"/>
  <c r="AQ159" i="40" s="1"/>
  <c r="AZ216" i="40"/>
  <c r="AL159" i="40"/>
  <c r="AO159" i="40"/>
  <c r="AR159" i="40" s="1"/>
  <c r="AM159" i="40"/>
  <c r="AP159" i="40" s="1"/>
  <c r="AS158" i="8"/>
  <c r="AT158" i="8" s="1"/>
  <c r="AS157" i="6"/>
  <c r="AT157" i="6" s="1"/>
  <c r="AY72" i="31"/>
  <c r="CT67" i="31"/>
  <c r="CV67" i="31" s="1"/>
  <c r="E102" i="15"/>
  <c r="F102" i="15"/>
  <c r="J102" i="15"/>
  <c r="I102" i="15"/>
  <c r="CR68" i="31"/>
  <c r="CO68" i="31"/>
  <c r="CK69" i="31"/>
  <c r="AL159" i="8"/>
  <c r="B154" i="15"/>
  <c r="C154" i="15" s="1"/>
  <c r="AZ216" i="8"/>
  <c r="AN159" i="8"/>
  <c r="AQ159" i="8" s="1"/>
  <c r="AM159" i="8"/>
  <c r="AP159" i="8" s="1"/>
  <c r="AO159" i="8"/>
  <c r="AR159" i="8" s="1"/>
  <c r="BT73" i="31"/>
  <c r="BV73" i="31" s="1"/>
  <c r="BW73" i="31" s="1"/>
  <c r="BS74" i="31"/>
  <c r="E53" i="15"/>
  <c r="F53" i="15"/>
  <c r="I53" i="15"/>
  <c r="F152" i="15"/>
  <c r="I152" i="15"/>
  <c r="E152" i="15"/>
  <c r="J152" i="15"/>
  <c r="AM77" i="31"/>
  <c r="AN76" i="31"/>
  <c r="E52" i="15"/>
  <c r="F52" i="15"/>
  <c r="I52" i="15"/>
  <c r="AS158" i="6"/>
  <c r="AT158" i="6" s="1"/>
  <c r="J103" i="15"/>
  <c r="E103" i="15"/>
  <c r="F103" i="15"/>
  <c r="I103" i="15"/>
  <c r="AS157" i="8"/>
  <c r="AT157" i="8" s="1"/>
  <c r="AS157" i="3"/>
  <c r="AT157" i="3" s="1"/>
  <c r="BK74" i="31"/>
  <c r="BL73" i="31"/>
  <c r="AR75" i="31"/>
  <c r="AO75" i="31"/>
  <c r="AQ75" i="31" s="1"/>
  <c r="CL70" i="31" s="1"/>
  <c r="G71" i="31" s="1"/>
  <c r="AL159" i="6"/>
  <c r="B104" i="15"/>
  <c r="C104" i="15" s="1"/>
  <c r="AZ216" i="6"/>
  <c r="AN159" i="6"/>
  <c r="AQ159" i="6" s="1"/>
  <c r="AM159" i="6"/>
  <c r="AP159" i="6" s="1"/>
  <c r="AO159" i="6"/>
  <c r="AR159" i="6" s="1"/>
  <c r="AT75" i="31"/>
  <c r="AU74" i="31"/>
  <c r="BP72" i="31"/>
  <c r="BN72" i="31"/>
  <c r="BO72" i="31" s="1"/>
  <c r="AS158" i="3"/>
  <c r="AT158" i="3" s="1"/>
  <c r="AZ216" i="3"/>
  <c r="B54" i="15"/>
  <c r="C54" i="15" s="1"/>
  <c r="J54" i="15" s="1"/>
  <c r="AL159" i="3"/>
  <c r="AO159" i="3"/>
  <c r="AR159" i="3" s="1"/>
  <c r="AM159" i="3"/>
  <c r="AP159" i="3" s="1"/>
  <c r="AN159" i="3"/>
  <c r="AQ159" i="3" s="1"/>
  <c r="AZ73" i="31"/>
  <c r="AW73" i="31"/>
  <c r="AV73" i="31"/>
  <c r="F153" i="15"/>
  <c r="J153" i="15"/>
  <c r="I153" i="15"/>
  <c r="E153" i="15"/>
  <c r="AS159" i="38" l="1"/>
  <c r="AT159" i="38" s="1"/>
  <c r="AS159" i="39"/>
  <c r="AT159" i="39" s="1"/>
  <c r="AS159" i="40"/>
  <c r="AT159" i="40" s="1"/>
  <c r="AS159" i="3"/>
  <c r="AT159" i="3" s="1"/>
  <c r="AS159" i="8"/>
  <c r="AT159" i="8" s="1"/>
  <c r="AY73" i="31"/>
  <c r="CT68" i="31"/>
  <c r="CV68" i="31" s="1"/>
  <c r="AU75" i="31"/>
  <c r="AT76" i="31"/>
  <c r="AN77" i="31"/>
  <c r="AM78" i="31"/>
  <c r="AN78" i="31" s="1"/>
  <c r="F104" i="15"/>
  <c r="I104" i="15"/>
  <c r="J104" i="15"/>
  <c r="E104" i="15"/>
  <c r="BP73" i="31"/>
  <c r="BN73" i="31"/>
  <c r="BO73" i="31" s="1"/>
  <c r="BS75" i="31"/>
  <c r="BT74" i="31"/>
  <c r="BV74" i="31" s="1"/>
  <c r="BW74" i="31" s="1"/>
  <c r="CK70" i="31"/>
  <c r="CO69" i="31"/>
  <c r="CR69" i="31"/>
  <c r="F54" i="15"/>
  <c r="E54" i="15"/>
  <c r="I54" i="15"/>
  <c r="AS159" i="6"/>
  <c r="AT159" i="6" s="1"/>
  <c r="BK75" i="31"/>
  <c r="BL74" i="31"/>
  <c r="AZ74" i="31"/>
  <c r="AV74" i="31"/>
  <c r="AW74" i="31"/>
  <c r="AR76" i="31"/>
  <c r="AO76" i="31"/>
  <c r="AQ76" i="31" s="1"/>
  <c r="CL71" i="31" s="1"/>
  <c r="G72" i="31" s="1"/>
  <c r="J154" i="15"/>
  <c r="E154" i="15"/>
  <c r="F154" i="15"/>
  <c r="I154" i="15"/>
  <c r="CT69" i="31" l="1"/>
  <c r="CV69" i="31" s="1"/>
  <c r="AY74" i="31"/>
  <c r="AR78" i="31"/>
  <c r="AO78" i="31"/>
  <c r="AQ78" i="31" s="1"/>
  <c r="CL73" i="31" s="1"/>
  <c r="G74" i="31" s="1"/>
  <c r="BS76" i="31"/>
  <c r="BT75" i="31"/>
  <c r="BV75" i="31" s="1"/>
  <c r="BW75" i="31" s="1"/>
  <c r="AR77" i="31"/>
  <c r="AO77" i="31"/>
  <c r="AQ77" i="31" s="1"/>
  <c r="CL72" i="31" s="1"/>
  <c r="G73" i="31" s="1"/>
  <c r="BP74" i="31"/>
  <c r="BN74" i="31"/>
  <c r="BO74" i="31" s="1"/>
  <c r="AT77" i="31"/>
  <c r="AU76" i="31"/>
  <c r="BK76" i="31"/>
  <c r="BL75" i="31"/>
  <c r="CO70" i="31"/>
  <c r="CK71" i="31"/>
  <c r="CR70" i="31"/>
  <c r="AZ75" i="31"/>
  <c r="AW75" i="31"/>
  <c r="AV75" i="31"/>
  <c r="CT70" i="31" l="1"/>
  <c r="CV70" i="31" s="1"/>
  <c r="BP75" i="31"/>
  <c r="BN75" i="31"/>
  <c r="BO75" i="31" s="1"/>
  <c r="AT78" i="31"/>
  <c r="AU78" i="31" s="1"/>
  <c r="AU77" i="31"/>
  <c r="BL76" i="31"/>
  <c r="BK77" i="31"/>
  <c r="AY75" i="31"/>
  <c r="CO71" i="31"/>
  <c r="CR71" i="31"/>
  <c r="CK72" i="31"/>
  <c r="BS77" i="31"/>
  <c r="BT76" i="31"/>
  <c r="BV76" i="31" s="1"/>
  <c r="BW76" i="31" s="1"/>
  <c r="AZ76" i="31"/>
  <c r="AW76" i="31"/>
  <c r="AV76" i="31"/>
  <c r="AR18" i="31"/>
  <c r="AY76" i="31" l="1"/>
  <c r="AZ77" i="31"/>
  <c r="AW77" i="31"/>
  <c r="AV77" i="31"/>
  <c r="BS78" i="31"/>
  <c r="BT78" i="31" s="1"/>
  <c r="BV78" i="31" s="1"/>
  <c r="BW78" i="31" s="1"/>
  <c r="BT77" i="31"/>
  <c r="BV77" i="31" s="1"/>
  <c r="BW77" i="31" s="1"/>
  <c r="AZ78" i="31"/>
  <c r="AZ18" i="31" s="1"/>
  <c r="AW78" i="31"/>
  <c r="AV78" i="31"/>
  <c r="CO72" i="31"/>
  <c r="CK73" i="31"/>
  <c r="CR72" i="31"/>
  <c r="BL77" i="31"/>
  <c r="BK78" i="31"/>
  <c r="BL78" i="31" s="1"/>
  <c r="CT71" i="31"/>
  <c r="CV71" i="31" s="1"/>
  <c r="BP76" i="31"/>
  <c r="BN76" i="31"/>
  <c r="BO76" i="31" s="1"/>
  <c r="CT72" i="31" l="1"/>
  <c r="CV72" i="31" s="1"/>
  <c r="AY78" i="31"/>
  <c r="AY77" i="31"/>
  <c r="BP77" i="31"/>
  <c r="BN77" i="31"/>
  <c r="BO77" i="31" s="1"/>
  <c r="CO73" i="31"/>
  <c r="CR73" i="31"/>
  <c r="BP78" i="31"/>
  <c r="BP18" i="31" s="1"/>
  <c r="BN78" i="31"/>
  <c r="BO78" i="31" s="1"/>
  <c r="CT73" i="31" l="1"/>
  <c r="CY24" i="31" s="1"/>
  <c r="CV73" i="3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tc={A4F76B41-ADE6-4845-8C6E-765E38CC86AF}</author>
  </authors>
  <commentList>
    <comment ref="N3" authorId="0" shapeId="0" xr:uid="{A4F76B41-ADE6-4845-8C6E-765E38CC86AF}">
      <text>
        <t>[Threaded comment]
Your version of Excel allows you to read this threaded comment; however, any edits to it will get removed if the file is opened in a newer version of Excel. Learn more: https://go.microsoft.com/fwlink/?linkid=870924
Comment:
    Updated 4/23</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tc={CB8AD749-74C1-4F16-B972-84511BCC5523}</author>
  </authors>
  <commentList>
    <comment ref="N3" authorId="0" shapeId="0" xr:uid="{CB8AD749-74C1-4F16-B972-84511BCC5523}">
      <text>
        <t>[Threaded comment]
Your version of Excel allows you to read this threaded comment; however, any edits to it will get removed if the file is opened in a newer version of Excel. Learn more: https://go.microsoft.com/fwlink/?linkid=870924
Comment:
    Updated 4/23</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Furness</author>
    <author>Chad</author>
  </authors>
  <commentList>
    <comment ref="H16" authorId="0" shapeId="0" xr:uid="{77D154BC-2B97-5D47-8947-6187ECE95574}">
      <text>
        <r>
          <rPr>
            <b/>
            <sz val="9"/>
            <color rgb="FF000000"/>
            <rFont val="Tahoma"/>
            <family val="2"/>
          </rPr>
          <t>Furness:</t>
        </r>
        <r>
          <rPr>
            <sz val="9"/>
            <color rgb="FF000000"/>
            <rFont val="Tahoma"/>
            <family val="2"/>
          </rPr>
          <t xml:space="preserve">
</t>
        </r>
        <r>
          <rPr>
            <sz val="11"/>
            <color rgb="FF000000"/>
            <rFont val="Tahoma"/>
            <family val="2"/>
          </rPr>
          <t xml:space="preserve">If "Yes" - the raw data you pasted will always be used in output.
</t>
        </r>
        <r>
          <rPr>
            <sz val="11"/>
            <color rgb="FF000000"/>
            <rFont val="Tahoma"/>
            <family val="2"/>
          </rPr>
          <t xml:space="preserve">
</t>
        </r>
        <r>
          <rPr>
            <sz val="11"/>
            <color rgb="FF000000"/>
            <rFont val="Tahoma"/>
            <family val="2"/>
          </rPr>
          <t>If "No" - the curve fit data is always used in output.</t>
        </r>
      </text>
    </comment>
    <comment ref="A22" authorId="1" shapeId="0" xr:uid="{7F54B4FA-C5E9-A44C-8D96-7E746A7301F9}">
      <text>
        <r>
          <rPr>
            <b/>
            <sz val="12"/>
            <color indexed="81"/>
            <rFont val="Arial"/>
            <family val="2"/>
          </rPr>
          <t xml:space="preserve">CLEARLY REFERENCE THE SOURCE
</t>
        </r>
        <r>
          <rPr>
            <sz val="12"/>
            <color indexed="81"/>
            <rFont val="Arial"/>
            <family val="2"/>
          </rPr>
          <t xml:space="preserve">If you have created a customized prognostication, please be sure to reference your work here.
E.G. "Custom prognostication by FELLOW NAME, 2015. See XYZ Sheet"
</t>
        </r>
      </text>
    </comment>
    <comment ref="A28" authorId="0" shapeId="0" xr:uid="{45D2C159-9CBB-D64D-B7A8-F1214AA75683}">
      <text>
        <r>
          <rPr>
            <b/>
            <sz val="12"/>
            <color rgb="FF000000"/>
            <rFont val="Tahoma"/>
            <family val="2"/>
          </rPr>
          <t>NOTE:</t>
        </r>
        <r>
          <rPr>
            <sz val="12"/>
            <color rgb="FF000000"/>
            <rFont val="Tahoma"/>
            <family val="2"/>
          </rPr>
          <t xml:space="preserve">
</t>
        </r>
        <r>
          <rPr>
            <sz val="14"/>
            <color rgb="FF000000"/>
            <rFont val="Tahoma"/>
            <family val="2"/>
          </rPr>
          <t xml:space="preserve">Please Enter Either:
</t>
        </r>
        <r>
          <rPr>
            <sz val="14"/>
            <color rgb="FF000000"/>
            <rFont val="Tahoma"/>
            <family val="2"/>
          </rPr>
          <t xml:space="preserve">1- The year that the underlying UN population Data used for this projection were published (if available) OR
</t>
        </r>
        <r>
          <rPr>
            <sz val="14"/>
            <color rgb="FF000000"/>
            <rFont val="Tahoma"/>
            <family val="2"/>
          </rPr>
          <t>2- The year the data were published.</t>
        </r>
        <r>
          <rPr>
            <sz val="12"/>
            <color rgb="FF000000"/>
            <rFont val="Tahoma"/>
            <family val="2"/>
          </rPr>
          <t xml:space="preserve">
</t>
        </r>
        <r>
          <rPr>
            <b/>
            <sz val="12"/>
            <color rgb="FF000000"/>
            <rFont val="Tahoma"/>
            <family val="2"/>
          </rPr>
          <t xml:space="preserve">
</t>
        </r>
        <r>
          <rPr>
            <b/>
            <sz val="12"/>
            <color rgb="FF000000"/>
            <rFont val="Tahoma"/>
            <family val="2"/>
          </rPr>
          <t>Background:</t>
        </r>
        <r>
          <rPr>
            <sz val="12"/>
            <color rgb="FF000000"/>
            <rFont val="Tahoma"/>
            <family val="2"/>
          </rPr>
          <t xml:space="preserve">
</t>
        </r>
        <r>
          <rPr>
            <sz val="12"/>
            <color rgb="FF000000"/>
            <rFont val="Tahoma"/>
            <family val="2"/>
          </rPr>
          <t xml:space="preserve">We assume that the data are based on population,  and hence changes in population can change the data. If the projection of these data was performed using old population data, we would like to adjust it to the newest population estimates to improve accuracy.
</t>
        </r>
        <r>
          <rPr>
            <sz val="12"/>
            <color rgb="FF000000"/>
            <rFont val="Tahoma"/>
            <family val="2"/>
          </rPr>
          <t xml:space="preserve">
</t>
        </r>
        <r>
          <rPr>
            <sz val="12"/>
            <color rgb="FF000000"/>
            <rFont val="Tahoma"/>
            <family val="2"/>
          </rPr>
          <t xml:space="preserve">To do this, we harmonize or scale the data to UN 2015 Population Data </t>
        </r>
        <r>
          <rPr>
            <b/>
            <sz val="12"/>
            <color rgb="FF000000"/>
            <rFont val="Tahoma"/>
            <family val="2"/>
          </rPr>
          <t>using a simple ratio</t>
        </r>
        <r>
          <rPr>
            <sz val="12"/>
            <color rgb="FF000000"/>
            <rFont val="Tahoma"/>
            <family val="2"/>
          </rPr>
          <t xml:space="preserve"> between the population (of that region) in 2015 and the population (of that region) in the most recent UN population calculations. This assumes that the data/capita are fixed.
</t>
        </r>
        <r>
          <rPr>
            <sz val="12"/>
            <color rgb="FF000000"/>
            <rFont val="Tahoma"/>
            <family val="2"/>
          </rPr>
          <t xml:space="preserve">
</t>
        </r>
        <r>
          <rPr>
            <sz val="12"/>
            <color rgb="FF000000"/>
            <rFont val="Tahoma"/>
            <family val="2"/>
          </rPr>
          <t xml:space="preserve">For Data from a </t>
        </r>
        <r>
          <rPr>
            <b/>
            <sz val="12"/>
            <color rgb="FF000000"/>
            <rFont val="Tahoma"/>
            <family val="2"/>
          </rPr>
          <t>Combination of Sources,</t>
        </r>
        <r>
          <rPr>
            <sz val="12"/>
            <color rgb="FF000000"/>
            <rFont val="Tahoma"/>
            <family val="2"/>
          </rPr>
          <t xml:space="preserve"> use the year of the most dominant source (the one that provided the largest share of data).
</t>
        </r>
        <r>
          <rPr>
            <sz val="12"/>
            <color rgb="FF000000"/>
            <rFont val="Tahoma"/>
            <family val="2"/>
          </rPr>
          <t xml:space="preserve">
</t>
        </r>
        <r>
          <rPr>
            <sz val="12"/>
            <color rgb="FF000000"/>
            <rFont val="Tahoma"/>
            <family val="2"/>
          </rPr>
          <t xml:space="preserve">This adjustment </t>
        </r>
        <r>
          <rPr>
            <b/>
            <sz val="12"/>
            <color rgb="FF000000"/>
            <rFont val="Tahoma"/>
            <family val="2"/>
          </rPr>
          <t>only happens when you click on the Store Button.</t>
        </r>
      </text>
    </comment>
    <comment ref="A147" authorId="1" shapeId="0" xr:uid="{AE7A8370-55BB-9743-935D-E24B7990A77F}">
      <text>
        <r>
          <rPr>
            <b/>
            <sz val="12"/>
            <color indexed="81"/>
            <rFont val="Arial"/>
            <family val="2"/>
          </rPr>
          <t xml:space="preserve">CLEARLY REFERENCE THE SOURCE FOR EACH DATA POINT.
</t>
        </r>
        <r>
          <rPr>
            <sz val="12"/>
            <color indexed="81"/>
            <rFont val="Arial"/>
            <family val="2"/>
          </rPr>
          <t xml:space="preserve">If you have created a customized prognostication, please be sure to reference your work here.
E.G. "Custom prognostication by FELLOW NAME, 2015. See XYZ Sheet"
</t>
        </r>
      </text>
    </comment>
  </commentList>
</comments>
</file>

<file path=xl/sharedStrings.xml><?xml version="1.0" encoding="utf-8"?>
<sst xmlns="http://schemas.openxmlformats.org/spreadsheetml/2006/main" count="8571" uniqueCount="1151">
  <si>
    <t>Source IPCC</t>
  </si>
  <si>
    <t>Source: World Bank, What a Waste</t>
  </si>
  <si>
    <t>Source: Bahor et al (2009) DOI: 10.1177/0734242X09350485</t>
  </si>
  <si>
    <t>Source: Hoornweg et al (2014) doi/10.1111/jiec.12165</t>
  </si>
  <si>
    <t>Table 1: MSW generation 2004 and 2054 and management practices by region in 2004.</t>
  </si>
  <si>
    <t>Figure 7: Waste Generation per Capita By Region</t>
  </si>
  <si>
    <t>This is created by using the IPCC Waste Generation per capita figures from 2000 and multiplying those by regional urban populataion, based on UN 2015 Mediam Variant</t>
  </si>
  <si>
    <t>This is created by using theWorld Bank, What a Waste,  Waste Generation per capita figures from 2010 and 2025 (interpolated and extrapolated) and multiplying those by regional urban populataion, based on UN 2015 Mediam Variant.</t>
  </si>
  <si>
    <t>This is created by using the Figures reported in Bahor et al (2009) in Table 1.  Bahor, et al. uses IPCC 2006 data for waste generation and population. "The waste generation rate for 2054 was determined by assuming linear growth until reaching 900 kg year–1 capita–1 when the country’s inflation adjusted GDP per capita is predicted, as described above, to reach the 2004 US GDP per capita. Countries with per capita GDP exceeding that of the US were assumed to have no growth in their waste generation rates."  This data has been interpolated between the 2004 and 2054 data points</t>
  </si>
  <si>
    <t>This is created by a linear interpolation from a 2013 estimate to a 2050 estimate provided by IEA for Urban MSW.  Re-aggregation from IEA regions to Drawdown regions was required for Asia (sans Japan) and Eastern Europe.  This was done for 2013 by factoring the urban population of Eastern Europe as a percentage of urban population of Asia (less China and India urban population) and multiplying that by the remainder non-OECD regional category provided by IEA  - both for 2013 and 2050.</t>
  </si>
  <si>
    <t>.</t>
  </si>
  <si>
    <t>Terms</t>
  </si>
  <si>
    <t>Sheet contents links</t>
  </si>
  <si>
    <t>Marginal</t>
  </si>
  <si>
    <t>Y</t>
  </si>
  <si>
    <t>Low</t>
  </si>
  <si>
    <t>Linear</t>
  </si>
  <si>
    <t>Global Adoption Growth Trends</t>
  </si>
  <si>
    <t>Override main controls?</t>
  </si>
  <si>
    <t>Cumulative</t>
  </si>
  <si>
    <t>N</t>
  </si>
  <si>
    <t>Medium</t>
  </si>
  <si>
    <t>2nd Poly</t>
  </si>
  <si>
    <t>Trend</t>
  </si>
  <si>
    <t>Mixed</t>
  </si>
  <si>
    <t>High</t>
  </si>
  <si>
    <t>3rd Poly</t>
  </si>
  <si>
    <t>Rate</t>
  </si>
  <si>
    <t>Exp</t>
  </si>
  <si>
    <t>Active</t>
  </si>
  <si>
    <t>Use Adoption Data?</t>
  </si>
  <si>
    <t>Includes Replacements</t>
  </si>
  <si>
    <t>CORE GLOBAL ASSUMPTIONS</t>
  </si>
  <si>
    <t>REGIONAL ASSUMPTIONS</t>
  </si>
  <si>
    <t>Assumption 1 : Trend &amp; Growth</t>
  </si>
  <si>
    <t>Assumption 2 : Sensitivity around mean</t>
  </si>
  <si>
    <t>OECD90</t>
  </si>
  <si>
    <t>Include?</t>
  </si>
  <si>
    <t>Growth</t>
  </si>
  <si>
    <t>NOTE</t>
  </si>
  <si>
    <t>High =</t>
  </si>
  <si>
    <t>S.D.</t>
  </si>
  <si>
    <t>Low =</t>
  </si>
  <si>
    <t>Select GLOBAL trend and rate of TAM growth:</t>
  </si>
  <si>
    <t>Eastern Europe</t>
  </si>
  <si>
    <t>Assumption 2 : Create High and Low Scenarios</t>
  </si>
  <si>
    <t>Asia (sans Japan)</t>
  </si>
  <si>
    <t>Adjust the sensitivity around the mean to create High and Low growth scenarios derived from multiple data sets:</t>
  </si>
  <si>
    <t>Sensitvity around mean</t>
  </si>
  <si>
    <t>Middle East &amp; Africa</t>
  </si>
  <si>
    <t>Assumption 3 : Using Regional Data</t>
  </si>
  <si>
    <t>Y/N</t>
  </si>
  <si>
    <t>Latin America</t>
  </si>
  <si>
    <t>Data for ALL regions present?</t>
  </si>
  <si>
    <t>Include regional data in Global Data Set?</t>
  </si>
  <si>
    <t>China</t>
  </si>
  <si>
    <t>Assumption 4 : Choose Data Source for TAM</t>
  </si>
  <si>
    <t>Select GLOBAL source of 2014 TAM:</t>
  </si>
  <si>
    <t>India</t>
  </si>
  <si>
    <t>Select GLOBAL source of 2015-2045 TAM:</t>
  </si>
  <si>
    <t>EU</t>
  </si>
  <si>
    <t>USA</t>
  </si>
  <si>
    <t>Input Global Data</t>
  </si>
  <si>
    <t>GLOBAL TAM FORECAST</t>
  </si>
  <si>
    <t>GLOBAL ADOPTION FORECAST</t>
  </si>
  <si>
    <t>LIST REFERENCES BELOW</t>
  </si>
  <si>
    <t>Scenarios</t>
  </si>
  <si>
    <t>Linear Growth</t>
  </si>
  <si>
    <t>2nd Order Polynomial</t>
  </si>
  <si>
    <t>3rd Order Polynomial</t>
  </si>
  <si>
    <t>Exponential</t>
  </si>
  <si>
    <t>Adoption</t>
  </si>
  <si>
    <t>Choices:</t>
  </si>
  <si>
    <t>ALL SOURCES</t>
  </si>
  <si>
    <t>Functional Unit</t>
  </si>
  <si>
    <t>Regional Data</t>
  </si>
  <si>
    <t>Years</t>
  </si>
  <si>
    <t>Min</t>
  </si>
  <si>
    <t>Max</t>
  </si>
  <si>
    <t>S.D</t>
  </si>
  <si>
    <t>[Source 1]</t>
  </si>
  <si>
    <t>Choice:</t>
  </si>
  <si>
    <t>x</t>
  </si>
  <si>
    <t>constant</t>
  </si>
  <si>
    <t>x^2</t>
  </si>
  <si>
    <t>x^3</t>
  </si>
  <si>
    <t>Coeff</t>
  </si>
  <si>
    <t>e^x</t>
  </si>
  <si>
    <t>[Source 2]</t>
  </si>
  <si>
    <t>Equation:</t>
  </si>
  <si>
    <t>[Source 3]</t>
  </si>
  <si>
    <t>Med</t>
  </si>
  <si>
    <t xml:space="preserve">y = </t>
  </si>
  <si>
    <t>Base Cases</t>
  </si>
  <si>
    <t>Conservative Cases</t>
  </si>
  <si>
    <t>Ambitious Cases</t>
  </si>
  <si>
    <t>Maximum Cases</t>
  </si>
  <si>
    <t>Input Intra-Regional Variations</t>
  </si>
  <si>
    <t>REGION 1: OECD90</t>
  </si>
  <si>
    <t>REGION 2: Eastern Europe</t>
  </si>
  <si>
    <t>REGION 3: Asia (sans Japan)</t>
  </si>
  <si>
    <t>REGION 4: Middle East &amp; Africa</t>
  </si>
  <si>
    <t>REGION 5: Latin America</t>
  </si>
  <si>
    <t>COUNTRY 1: China</t>
  </si>
  <si>
    <t>COUNTRY 2: India</t>
  </si>
  <si>
    <t>COUNTRY 3: EU (region)</t>
  </si>
  <si>
    <t>COUNTRY 4 : USA</t>
  </si>
  <si>
    <t>TAM Data Factoring</t>
  </si>
  <si>
    <t>IPCC</t>
  </si>
  <si>
    <t>World Bank, What a Waste</t>
  </si>
  <si>
    <t>Bahor et al (2009)</t>
  </si>
  <si>
    <t>Hoornweg et al (2014)</t>
  </si>
  <si>
    <t>SOURCE:  IEA Annex I – Municipal solid waste potential in cities; Table I.1</t>
  </si>
  <si>
    <t>Total MSW  ( MMT/year)</t>
  </si>
  <si>
    <t>Year</t>
  </si>
  <si>
    <t>World</t>
  </si>
  <si>
    <t xml:space="preserve"> IEA Annex I – Municipal solid waste potential in cities; Table I.1</t>
  </si>
  <si>
    <t>Total Global Mt MSW (TAM derived from multiple sources See: Total MSW TAM Data)</t>
  </si>
  <si>
    <t>Total MSW by Region from What a aWaste</t>
  </si>
  <si>
    <t>[enter functional unit]</t>
  </si>
  <si>
    <t>Organic Fraction Mt MSW</t>
  </si>
  <si>
    <t>PRE-INTEGRATION</t>
  </si>
  <si>
    <t>Remainder Fraction Mt MSW</t>
  </si>
  <si>
    <t>Plastic Fraction</t>
  </si>
  <si>
    <t>Recycleable Fraction Mt MSW (NOT including paper)</t>
  </si>
  <si>
    <t>1st Order Total MSW</t>
  </si>
  <si>
    <t>1st Order Total MSW Organic Fraction</t>
  </si>
  <si>
    <t>% of Bioplastics non-durable to compost/organic fraction</t>
  </si>
  <si>
    <t>2nd Order Total MSW</t>
  </si>
  <si>
    <t>2nd Order Total MSW Organic Fraction</t>
  </si>
  <si>
    <t>2nd Order: Recycleable Fraction Mt MSW (NOT including paper)</t>
  </si>
  <si>
    <t>2nd Order Plastic Fraction</t>
  </si>
  <si>
    <t xml:space="preserve">Compost Adoption </t>
  </si>
  <si>
    <t>% of Organics - Integrated TAM</t>
  </si>
  <si>
    <t>% of Recycleables - Integrated TAM</t>
  </si>
  <si>
    <t>% of Total MSW</t>
  </si>
  <si>
    <t>Total Bioplastics as part of Organic Fraction</t>
  </si>
  <si>
    <t>Yard Waste + Trimmings + Wood + Soiled Paper + other Organics</t>
  </si>
  <si>
    <t>% of total MSW</t>
  </si>
  <si>
    <t>Organic Fraction Analysis(post 2nd Order)</t>
  </si>
  <si>
    <t>2nd Order Remainder Fraction (included Paper)</t>
  </si>
  <si>
    <t>Bioplastics as part of Remainder</t>
  </si>
  <si>
    <t>Paper recycled (assumes recycled paper this year =  paper produced with no loss)</t>
  </si>
  <si>
    <t>% of Organics (Yard Trimmings +  wood + etc)</t>
  </si>
  <si>
    <t>Food Waste as % of Organics</t>
  </si>
  <si>
    <t>Assumption:</t>
  </si>
  <si>
    <t>INTEGRATION -  1st Order and 2nd Order</t>
  </si>
  <si>
    <t xml:space="preserve">World </t>
  </si>
  <si>
    <t>1st Order Interaction:  Reduced Food Waste Reduces Total MSW (Organic Fraction Reduction) (Mt)</t>
  </si>
  <si>
    <t>Mt</t>
  </si>
  <si>
    <t>2nd Order Remainder Fraction (including Paper) Mt</t>
  </si>
  <si>
    <t>Household and Commercial Recycling Adoption (Mt)</t>
  </si>
  <si>
    <t>Total Remainder Waste not Composted or Recycled (including Paper) Mt</t>
  </si>
  <si>
    <t>Total Remainder Available for Landfill (Mt)</t>
  </si>
  <si>
    <t>INTEGRATION -  MSW Fraction Analysis with Attention to Paper fraction, Organic fraction/Degradable Carbon Fraction</t>
  </si>
  <si>
    <t>% Organic</t>
  </si>
  <si>
    <t>Organic</t>
  </si>
  <si>
    <t>Recycleable</t>
  </si>
  <si>
    <t>Remainder</t>
  </si>
  <si>
    <t xml:space="preserve">Organic </t>
  </si>
  <si>
    <t>Remainder portion of Global MSW that contains Recovered Paper for Recycled Paper Production</t>
  </si>
  <si>
    <t>% Recycleable</t>
  </si>
  <si>
    <t>% Remainder</t>
  </si>
  <si>
    <t>Total Diversion Rate</t>
  </si>
  <si>
    <t xml:space="preserve">Total Other Remainder </t>
  </si>
  <si>
    <t>Avg. LHV</t>
  </si>
  <si>
    <t>Average Lower Heating Value - IPCC Composition Projections</t>
  </si>
  <si>
    <t>MWh/tonne</t>
  </si>
  <si>
    <t>Conversion Equation: MWh_Output)/(WTE_EfficiencytoElectricity*LowerHeatingValue)</t>
  </si>
  <si>
    <t>IPCC waste guidelines Ch 2 (Table 2.4) - Used to Calculate DOC value based on Composition</t>
  </si>
  <si>
    <t>Waste component</t>
  </si>
  <si>
    <t>Dry matter content, % of wet weight</t>
  </si>
  <si>
    <t>DOC content in % of wet waste</t>
  </si>
  <si>
    <t>DOC content in % of dry waste</t>
  </si>
  <si>
    <t>Total C content, % dry weight</t>
  </si>
  <si>
    <t>Fossil carbon fraction, % total carbon</t>
  </si>
  <si>
    <t>Paper/cardboard</t>
  </si>
  <si>
    <t>Textiles</t>
  </si>
  <si>
    <t>Food waste</t>
  </si>
  <si>
    <t>Wood</t>
  </si>
  <si>
    <t>Garden and Park waste</t>
  </si>
  <si>
    <t>Nappies</t>
  </si>
  <si>
    <t>Rubber and leather</t>
  </si>
  <si>
    <t>Plastics</t>
  </si>
  <si>
    <t>Metal</t>
  </si>
  <si>
    <t>Glass</t>
  </si>
  <si>
    <t>Other inert waste</t>
  </si>
  <si>
    <t>Average DOC Fraction</t>
  </si>
  <si>
    <t>Average C Fraction</t>
  </si>
  <si>
    <t>Fossil C Fraction</t>
  </si>
  <si>
    <t>Fossil carbon as % of total waste mass</t>
  </si>
  <si>
    <t>Heating Values - kWh/kg - see WTE Heating_Values_Factoring Tab for Calculations</t>
  </si>
  <si>
    <t>MIT</t>
  </si>
  <si>
    <t>EIA</t>
  </si>
  <si>
    <t>Bhada</t>
  </si>
  <si>
    <t>Low Estimate</t>
  </si>
  <si>
    <t>High Estimate</t>
  </si>
  <si>
    <t>Average Estimate</t>
  </si>
  <si>
    <t>Drawdown Waste Fraction</t>
  </si>
  <si>
    <t>Organics</t>
  </si>
  <si>
    <t>Plastic</t>
  </si>
  <si>
    <t>Recycleables</t>
  </si>
  <si>
    <t>Paper</t>
  </si>
  <si>
    <t>Textile</t>
  </si>
  <si>
    <t>Rubber</t>
  </si>
  <si>
    <t>Other</t>
  </si>
  <si>
    <t>Other (Includes Textile and Rubber)</t>
  </si>
  <si>
    <t>Average Lower Heating Value</t>
  </si>
  <si>
    <t xml:space="preserve">Weighted Average LHV </t>
  </si>
  <si>
    <t>[Choose Fit]</t>
  </si>
  <si>
    <t>[Select Region]</t>
  </si>
  <si>
    <t>Global</t>
  </si>
  <si>
    <t>S-Curve</t>
  </si>
  <si>
    <t xml:space="preserve">China </t>
  </si>
  <si>
    <t>EU(27)</t>
  </si>
  <si>
    <t>1. Select Variable</t>
  </si>
  <si>
    <t>7. Enter Raw Data Below</t>
  </si>
  <si>
    <t>8. Select Trend Line:</t>
  </si>
  <si>
    <t>9. Use Raw Data When Avail?</t>
  </si>
  <si>
    <t>Note:</t>
  </si>
  <si>
    <t xml:space="preserve"> </t>
  </si>
  <si>
    <t>Population Adjustment (Harmonization)</t>
  </si>
  <si>
    <t>Original Units</t>
  </si>
  <si>
    <t xml:space="preserve">Use R2 value in Graphs to Right </t>
  </si>
  <si>
    <t>No negative Values Are included (0 used instead)</t>
  </si>
  <si>
    <t>2015 UN Medium Variant Population</t>
  </si>
  <si>
    <t>Ratio Multiplier</t>
  </si>
  <si>
    <t>Harmonized Fit Data</t>
  </si>
  <si>
    <t>Yes</t>
  </si>
  <si>
    <t>Data Harmonized?</t>
  </si>
  <si>
    <t>2. Select Region</t>
  </si>
  <si>
    <t>(if not, then output is same as Curve Fit Data)</t>
  </si>
  <si>
    <t>Manually Adjusted Shift</t>
  </si>
  <si>
    <t>Region:</t>
  </si>
  <si>
    <t>3. Enter Source</t>
  </si>
  <si>
    <t>Prediction</t>
  </si>
  <si>
    <t>Data -Base Year:</t>
  </si>
  <si>
    <t>UN Base Year:</t>
  </si>
  <si>
    <t>Average Ratio:</t>
  </si>
  <si>
    <t>Perform UN-Population Harmonization?</t>
  </si>
  <si>
    <t>Auto Clear Inputs when Storing?</t>
  </si>
  <si>
    <t>Offset:</t>
  </si>
  <si>
    <t>Ordered Available  Years- UN Pop Data</t>
  </si>
  <si>
    <t>Yr</t>
  </si>
  <si>
    <t>Offfst</t>
  </si>
  <si>
    <t>4. Year (See Comments)</t>
  </si>
  <si>
    <t>5. Enter Original Unit</t>
  </si>
  <si>
    <t>2000 -Medium Variant (OPT)</t>
  </si>
  <si>
    <t>POPULATION DATA (UN Population Prospects)</t>
  </si>
  <si>
    <t>2001 -Medium Variant (OPT)</t>
  </si>
  <si>
    <t>2005 -Medium Variant (OPT)</t>
  </si>
  <si>
    <t>2010 -Medium Variant (OPT)</t>
  </si>
  <si>
    <t>2012 -Medium Variant (OPT)</t>
  </si>
  <si>
    <t>2014 -Real Estimates</t>
  </si>
  <si>
    <t>POPULATION DATA (UN Urban Population Prospects)</t>
  </si>
  <si>
    <t>2015 -Medium Variant (OPT)</t>
  </si>
  <si>
    <t>Need Correct DATA - uses 2010</t>
  </si>
  <si>
    <t>Is the Same as 2012 (World Urban Prospects, not World Pop Prospects)</t>
  </si>
  <si>
    <t>2010 - 2013 Data copied from 2014 Estimates at left.</t>
  </si>
  <si>
    <t>Note: These Global values do not match the UN Source data perfectly because we do not include all territories. Some smaller territories afre excluded with total  population about 17 million</t>
  </si>
  <si>
    <t>Variable</t>
  </si>
  <si>
    <t>TrendLine</t>
  </si>
  <si>
    <t>Adoption Data</t>
  </si>
  <si>
    <t>[Enter Original Unit to Left]</t>
  </si>
  <si>
    <t>[enter functional unit on MainC]</t>
  </si>
  <si>
    <t>Population-Harmonized Fit Data (2010-&gt;2015)</t>
  </si>
  <si>
    <t>Raw Data Kept</t>
  </si>
  <si>
    <t>11. NOW COPY SELECTED TRENDLINE RESULTS TO INPUT SHEET</t>
  </si>
  <si>
    <t>Region</t>
  </si>
  <si>
    <t>DO NOT COPY pre-2012 Values. Leave them here for record keeping.</t>
  </si>
  <si>
    <t>Source</t>
  </si>
  <si>
    <t>Drawdown (2017), Format Template Layout Structure, Pergamon, NYC.</t>
  </si>
  <si>
    <t>Copy under this line</t>
  </si>
  <si>
    <t>Base Year</t>
  </si>
  <si>
    <t>Original Unit</t>
  </si>
  <si>
    <t>Multiplier</t>
  </si>
  <si>
    <t>Weighted Avg. DOC Fraction</t>
  </si>
  <si>
    <t>Recyclables</t>
  </si>
  <si>
    <t>Total Waste DOC Mt to Landfill</t>
  </si>
  <si>
    <t>Total DOC Fraction over time</t>
  </si>
  <si>
    <t>[Enter Solution]</t>
  </si>
  <si>
    <t>No</t>
  </si>
  <si>
    <t>%Organic</t>
  </si>
  <si>
    <t>%Paper</t>
  </si>
  <si>
    <t>%Wood</t>
  </si>
  <si>
    <t>%Textiles</t>
  </si>
  <si>
    <t>%Rubber/Leather</t>
  </si>
  <si>
    <t>%Plastic</t>
  </si>
  <si>
    <t>%Metal</t>
  </si>
  <si>
    <t>%Glass</t>
  </si>
  <si>
    <t>%Other</t>
  </si>
  <si>
    <t>50% Plant Rich Diet</t>
  </si>
  <si>
    <t>75% Plant Rich Diet</t>
  </si>
  <si>
    <t>100% Plant Rich Diet</t>
  </si>
  <si>
    <t>Include in MSW?</t>
  </si>
  <si>
    <t>Agricultural Production</t>
  </si>
  <si>
    <t>Postharvest handling and storage</t>
  </si>
  <si>
    <t>Processing</t>
  </si>
  <si>
    <t>Packaging</t>
  </si>
  <si>
    <t>Distribution</t>
  </si>
  <si>
    <t>Consumption</t>
  </si>
  <si>
    <t>% of MSW</t>
  </si>
  <si>
    <t>% of Recycleables</t>
  </si>
  <si>
    <t>Calc. % of Plastics TAM (plastic production in MSW for that same year)</t>
  </si>
  <si>
    <t>Calc Plastic in MSW based on 12% 2016 estimate (What a Waste 2.0)</t>
  </si>
  <si>
    <t>Conversion yield Cellulose to Bioplastic</t>
  </si>
  <si>
    <t>Number</t>
  </si>
  <si>
    <t>Sources</t>
  </si>
  <si>
    <t>SOURCE ID: Author/Org, Date, Info</t>
  </si>
  <si>
    <t>Link</t>
  </si>
  <si>
    <t>World / Drawdown Region</t>
  </si>
  <si>
    <t>Specific Geographic Location</t>
  </si>
  <si>
    <t>Peer Reviewed / Reliable?</t>
  </si>
  <si>
    <t>Year / Date</t>
  </si>
  <si>
    <t>In Zotero?</t>
  </si>
  <si>
    <t xml:space="preserve">Raw Data Input </t>
  </si>
  <si>
    <t>Conversion calculation**</t>
  </si>
  <si>
    <t>Common Units</t>
  </si>
  <si>
    <t>Assumptions</t>
  </si>
  <si>
    <t>Exclude Data?</t>
  </si>
  <si>
    <t>Data</t>
  </si>
  <si>
    <t>Units of measure</t>
  </si>
  <si>
    <t>**Add calc above</t>
  </si>
  <si>
    <t>Average</t>
  </si>
  <si>
    <t>Explanation:</t>
  </si>
  <si>
    <t>Confidence?</t>
  </si>
  <si>
    <t>Standard Dev.</t>
  </si>
  <si>
    <t>Source Count</t>
  </si>
  <si>
    <t>Use weight?</t>
  </si>
  <si>
    <t>%</t>
  </si>
  <si>
    <t>https://cordis.europa.eu/project/rcn/199219/brief/en</t>
  </si>
  <si>
    <t>Feedstock efficiency yield of Poplar to PET</t>
  </si>
  <si>
    <t>Akanuma et al. (2014)</t>
  </si>
  <si>
    <t>Flax to cellulose acetate</t>
  </si>
  <si>
    <t>Cotton linters to cellulose acetate</t>
  </si>
  <si>
    <t>Production of biodegradable plastic from agricultural wastes (Mostafa, et al)</t>
  </si>
  <si>
    <t>Saratale and Oh, 2015</t>
  </si>
  <si>
    <t>Rice Paddy Straw chemical conversion</t>
  </si>
  <si>
    <t>Sindhu et al., 2013</t>
  </si>
  <si>
    <t>Rice straw</t>
  </si>
  <si>
    <t>https://www.sciencedirect.com/science/article/pii/S0160412019301357</t>
  </si>
  <si>
    <t>Conversion yield Algae to Bioplastic (PHA)</t>
  </si>
  <si>
    <t>S.S. Costa, A.L. Miranda, M.G. de Morais, et al., Microalgae as source of polyhydroxyalkanoates (PHAs) — A review, International Journal of Biological Macromolecules</t>
  </si>
  <si>
    <t>Potential Marine Algae Bioplastic yield MMT</t>
  </si>
  <si>
    <t>Algae Feedstock utilized</t>
  </si>
  <si>
    <t xml:space="preserve">Need from Woody Biomass </t>
  </si>
  <si>
    <t>Woody Biomass required for Bioplastic</t>
  </si>
  <si>
    <t>PDS2 Drawdown Scenario</t>
  </si>
  <si>
    <t>PDS1 Plausible Scenario</t>
  </si>
  <si>
    <t>Cordis EU Commission Horizon 2020 Re-Think All Plastic Packaging: Bioplastics sourced from wood</t>
  </si>
  <si>
    <t xml:space="preserve"> Biomass Herbeaceous shortfall </t>
  </si>
  <si>
    <t>PDS3 Optimum Scenario</t>
  </si>
  <si>
    <t>% of TAM Adopted</t>
  </si>
  <si>
    <t>Pre-integration Adoption</t>
  </si>
  <si>
    <t>Compost Overshoot</t>
  </si>
  <si>
    <t>Revised TAM</t>
  </si>
  <si>
    <t>Feedstock Limited Adoption</t>
  </si>
  <si>
    <t>PDS2 Plausible Scenario</t>
  </si>
  <si>
    <t>Recycling Overshoot</t>
  </si>
  <si>
    <t>Estimated  Paper in MSW</t>
  </si>
  <si>
    <t>Exess Paper Not Recycled</t>
  </si>
  <si>
    <t>Waste Paper needed to Insulation</t>
  </si>
  <si>
    <t>Remainder Paper after Insulation</t>
  </si>
  <si>
    <t>Assumptions and Overview</t>
  </si>
  <si>
    <t>COLOR SCHEME:</t>
  </si>
  <si>
    <t>Solution Adoption Projections</t>
  </si>
  <si>
    <t>Integration Inputs and Outputs for PDS1 (Plausible Scenario)</t>
  </si>
  <si>
    <t>Integration Inputs and Outputs for PDS2 (Drawdown Scenario)</t>
  </si>
  <si>
    <t>Integration Inputs and Outputs for PDS3 (Optimum Scenario)</t>
  </si>
  <si>
    <t>Grid Demand Reduction Estimates</t>
  </si>
  <si>
    <t>GENERAL ASSUMPTIONS AND APPROACH:</t>
  </si>
  <si>
    <t>Jump Back to Table of Contents Sheet</t>
  </si>
  <si>
    <t>SCOPE OF MODELED SOLUTIONS:</t>
  </si>
  <si>
    <t>Adoption of building automation systems for commercial buildings</t>
  </si>
  <si>
    <t>Replacement of traditional firewood/charcoal stoves with solar, kerosene, LPG, or improved wood stoves</t>
  </si>
  <si>
    <t>Adoption of cool roof systems</t>
  </si>
  <si>
    <t>Adoption of district heating systems using renewable heat sources</t>
  </si>
  <si>
    <t>Adoption of green roof systems</t>
  </si>
  <si>
    <t>Replacement of fuel and resistance heaters with heat pumps with high COP</t>
  </si>
  <si>
    <t>Insulation</t>
  </si>
  <si>
    <t>Adoption of climate-appropriate insulation to achieve passive house in residential buildings</t>
  </si>
  <si>
    <t>Replacement of less efficient lighting system with LEDs (only commercial buildingsi integrated here)</t>
  </si>
  <si>
    <t>PRIORITIZATION &amp; RESIDENTIAL/COMMERCIAL SPLIT:</t>
  </si>
  <si>
    <t>Prioritization of Solutions:</t>
  </si>
  <si>
    <t>Maximum Bioplastic Production MMT (from INT Food Supply Model - land use change sheet)</t>
  </si>
  <si>
    <t>% allocation needed for Bioplastic</t>
  </si>
  <si>
    <t>Need from surplus Biomass MMT</t>
  </si>
  <si>
    <t>PDS1</t>
  </si>
  <si>
    <t>PDS2</t>
  </si>
  <si>
    <t>PDS3</t>
  </si>
  <si>
    <t>Average Composition Based on AdPDSion (see WTE Waste_Composition_Factoring Tab)</t>
  </si>
  <si>
    <t>Avg. LHV Waste Mix PDS 1</t>
  </si>
  <si>
    <t>Mt Waste -WTE PDS 1</t>
  </si>
  <si>
    <t>Mt Waste WTE PDS 2</t>
  </si>
  <si>
    <t>Avg. LHV Waste Mix PDS 2</t>
  </si>
  <si>
    <t>Twh Output  - WTE PDS 2</t>
  </si>
  <si>
    <t>Mt Waste WTE PDS 3</t>
  </si>
  <si>
    <t>Avg. LHV Waste Mix PDS 3</t>
  </si>
  <si>
    <t>Twh Output  - WTE PDS 3</t>
  </si>
  <si>
    <t>TWh</t>
  </si>
  <si>
    <t>Waste to Energy</t>
  </si>
  <si>
    <t>Landfill Methane Capture</t>
  </si>
  <si>
    <t>WTE</t>
  </si>
  <si>
    <t>Waste to Energy AVERAGE OF BASELINE CASES</t>
  </si>
  <si>
    <t>PDS 1</t>
  </si>
  <si>
    <t>Pre-Integration TWh Output -WTE PDS 1</t>
  </si>
  <si>
    <t>Post Integration TWh Output -WTE PDS 1</t>
  </si>
  <si>
    <t>PDS 2</t>
  </si>
  <si>
    <t>PDS 3</t>
  </si>
  <si>
    <t>Landfill Methane AVERAGE OF AMBITIOUS CASES</t>
  </si>
  <si>
    <t>Lanfill Methane Analysis</t>
  </si>
  <si>
    <t>MMT Waste to Landfill by Year</t>
  </si>
  <si>
    <t>Tonnage Conversion Factor</t>
  </si>
  <si>
    <t>Total Possible TWh Generation based on MMT Waste</t>
  </si>
  <si>
    <t>Ambitious Case Shortfall (if any)</t>
  </si>
  <si>
    <t>Landfill Methane AVERAGE OF BASELINE CASES</t>
  </si>
  <si>
    <t xml:space="preserve">AMBITIOUS CASE WTE -&gt; AMBITIOUS CASE LANDFILL METHANE ANALYSIS </t>
  </si>
  <si>
    <t>Adjusted PDS2 Ambitious Case</t>
  </si>
  <si>
    <t>Adjusted PDS3 Ambitious Case</t>
  </si>
  <si>
    <t>WTE to Landfill Methane Capture</t>
  </si>
  <si>
    <t>Ambitious</t>
  </si>
  <si>
    <t>Adjusted for Waste Feedstock Limitations</t>
  </si>
  <si>
    <t xml:space="preserve">Then </t>
  </si>
  <si>
    <t>Landfill Methane</t>
  </si>
  <si>
    <t>All TWh</t>
  </si>
  <si>
    <t>Or</t>
  </si>
  <si>
    <t>OR</t>
  </si>
  <si>
    <t>WTE Summary by Case</t>
  </si>
  <si>
    <t>Landfill Methane Capture Summary By Case</t>
  </si>
  <si>
    <t>WTE -&gt; Landfill Methane Scenarios</t>
  </si>
  <si>
    <t>Scenario Summary</t>
  </si>
  <si>
    <t>or</t>
  </si>
  <si>
    <t>This is the Integration Model for Project Drawdown's Waste and Materials Modeling which has data on outputs from the Food System Model, Bioplastics, Compost, Recycling, Paper Recycling, Waste to Energy and Landfill Methane Capture. Specifically, it has 1) A composite forecast of Global Municipal Solid Waste (MSW) allocated into fractions (Organics, Recycleables, etc.) 2) Projections of Project Drawdown's scenarios for most of the Materials Sector solutions along with the adjusted inputs and documented integration process.</t>
  </si>
  <si>
    <t>Integration sub sheets for the following:</t>
  </si>
  <si>
    <t>Food System</t>
  </si>
  <si>
    <t>Bioplastics</t>
  </si>
  <si>
    <t>Compost</t>
  </si>
  <si>
    <t>Household and Commercial Recycling</t>
  </si>
  <si>
    <t>Recycled Paper</t>
  </si>
  <si>
    <t>Landfill Methance Capture</t>
  </si>
  <si>
    <t>Analysis of Waste to Energy and Landfill Methane</t>
  </si>
  <si>
    <t>Reduced Food Waste</t>
  </si>
  <si>
    <t>WASTE</t>
  </si>
  <si>
    <t>HH&amp;C Recycling</t>
  </si>
  <si>
    <t>OTHER MATERIALS</t>
  </si>
  <si>
    <t>Refrigerant Management</t>
  </si>
  <si>
    <t>Alternative Cement</t>
  </si>
  <si>
    <t>Recycling is split evenly (50/50) between Household recycling and commercial recycling</t>
  </si>
  <si>
    <t xml:space="preserve">Integration starts with a  compositve forecast of global MSW.  As each solution is adopted according to the Prioritization listed below, the feedstock of MSW and its fractionation (e.g., Organics vs. Recycleables) is adjusted.  The next solution adoption is then adjusted IF there is a limitation in feedstock availability. </t>
  </si>
  <si>
    <t xml:space="preserve">Additional analysis is performed to understand the global understanding of MSW and rationalize fractionation. </t>
  </si>
  <si>
    <t>REF2 - PDS1</t>
  </si>
  <si>
    <t>REF2 - PDS2</t>
  </si>
  <si>
    <t>REF - PDS3</t>
  </si>
  <si>
    <t>&lt;---João see here</t>
  </si>
  <si>
    <t>Total Food Waste (PDS 1)</t>
  </si>
  <si>
    <t>2nd Order Interaction:  PDS 1 Bioplastics Adoption (Mt)</t>
  </si>
  <si>
    <t>Integrated PDS 1 Adoptions in Consideration of Integrated MSW TAM (post 2nd Order Integration)</t>
  </si>
  <si>
    <t>Table 1: Composite Mt MSW from multiples sources: Using data from the Intergovernmental Panel on Climate Change (IPCC), 2006; Hoornweg &amp; Bhada-Tata (2012);Bahor, et al(2009); Hoornweg et al (2015); and the International Energy Agency (IEA),2016, using a best fit trend analysis and extrapolation, a composite measure of prognosticated MSW from 2015-2060</t>
  </si>
  <si>
    <t>Table 2: Composite Mt MSW Organic Fraction: Using waste fraction data from the Intergovernmental Panel on Climate Change (IPCC), 2006 and Hoornweg &amp; Bhada-Tata (2012) a forecast for the organic fraction of MSW is devloped for Drawdown regions and the World.  Food waste and "green material" is considered organic fraction.  Soiled paper may be considered "green material" in some regions, but paper waste is allocated elsewhere.  Green material includes landscape waste and certain debris.  This forecast becomes the TAM for Composting and is directly affected by reductions in food waste and an increase in Bioplastics production and a simulataneous, but distinct forecast in compostability of bioplastic.  When bioplastic is considered compostable it moves to the organic fraction.</t>
  </si>
  <si>
    <t>Table 3: Composite Mt MSW Recycleable Fraction (This is TAM for Recycling); Does NOT Include Paper. This is developed from multiple sources including  the Intergovernmental Panel on Climate Change (IPCC), 2006; Hoornweg &amp; Bhada-Tata (2012);Bahor, et al(2009); Hoornweg et al (2015).</t>
  </si>
  <si>
    <t>Table 4: Composite Mt MSW Remainder Fraction (This should include Paper + others not included in Recyclable).  This is calculated by subtracting Table 2 and Table 3 values from Table 1 values. I.e., Total MSW - Organic fraction - Recycleable fraction = Remainder fraction.</t>
  </si>
  <si>
    <t>Plastics calcs</t>
  </si>
  <si>
    <t>See for more detail</t>
  </si>
  <si>
    <t>PLASTICS Calcs</t>
  </si>
  <si>
    <t>Table 5: Plastic Fraction:  Not all plastic produced each year enters MSW.  This estimates plastic in MSW based on benchmark from World Bank 2018</t>
  </si>
  <si>
    <t>Table 6: Global Waste fractions Pre-Integration:  This is calculated by dividing each table of values corresponding to each MSW fraction by the table of values in Table 1.  It is presented here for benchmarking and callibration</t>
  </si>
  <si>
    <t>Table 7: Reduction in Food Waste: This is the adoption of reduction of food waste measure in Mt (includes only food waste reduction in 'Distribution' and 'Consumption' stages of Food System</t>
  </si>
  <si>
    <t>Table 8: Reduce Total MSW by Reduction in Food Waste: First step in Waste and Materials integration is to subtract reduction in food waste from total MSW forecast. Table 1 - Table 7 values.</t>
  </si>
  <si>
    <t>Table 9: Reduce Organic MSW by Reduction in Food Waste: Substracting the reduction in food waste from the organic fraction revises the TAM for Composting by limiting the amount of organic material in MSW that can be composted. Table2 - Table 7 values.</t>
  </si>
  <si>
    <t>Table 10. World Adoption of Bioplastics: This is the global adoption of bioplastics.  Each year bioplastics are produced it is assumed that an equivalent amount will enter MSW.</t>
  </si>
  <si>
    <t>Table 12: Total World MSW after reduction in Food Waste:  Restatement of Table 8.</t>
  </si>
  <si>
    <t>Table 13: Total World Organic MSW after reduction in Food Waste and with addition of a % of Bioplastics.  Add compostable Bioplastics disposed into MSW into Organic Fraction.  This impacts the TAM for Composting.  The calculation is Table 9 + Table 10 multiplied by values in Table 11</t>
  </si>
  <si>
    <t>Table 16: Total World Plastic MSW (after subtraction of Bioplastics).  Table 5 - Table 10. Assumption - equivalent amount of bioplastics would make it to MSW (**this might be revised in the future to assume same MSW rate as plastics).</t>
  </si>
  <si>
    <t>Table 17: Global Waste fractions Post-1st and 2nd Order Integration.  Characterizing world MSW fractions after subtraction of reduced food waste and mix shift from Bioplastics.  Used for benchmarking and calibration.</t>
  </si>
  <si>
    <t>Table 18: PDS 1 Adoption of Compost.  If % of Organic MSW fraction exceeds 100% than feedstock limitation applied and adoption is curtailed to match available feedstock.  % is calculated by Table 18 / Table 13.</t>
  </si>
  <si>
    <t>Table 19: PDS 1 Adoption of Commercial and Household Recycling.   If % of Recycleable MSW fraction exceeds 100% than feedstock limitation applied and adoption is curtailed to match available feedstock.  % is calculated by Table 19 / Table 14.</t>
  </si>
  <si>
    <t>Table 21: PDS 1 Recycled Paper Adoption.  Benchmark of Remainder Portion of Global MSW presented to benchmark that Adoption of Recycled Paper does not exceed paper available in anuual MSW.</t>
  </si>
  <si>
    <t xml:space="preserve">Table 26 Analysis of 'Remainder' Fraction post 2nd Order Integration to evaluate possible 'TAM' for Recycle Paper.  </t>
  </si>
  <si>
    <t>AMBITIOUS</t>
  </si>
  <si>
    <t>BASELINE</t>
  </si>
  <si>
    <t xml:space="preserve">Active WTE Scenario </t>
  </si>
  <si>
    <t xml:space="preserve">Table 20: Global MSW Fractions after Composting, Household and Commercial Recycling, but before Paper Recycling.  Used for Benchmarking. </t>
  </si>
  <si>
    <t>Table 22: Remaining MSW (Mt) after PDS 1 Composting, Household and Commercial Recycling and Recycled Paper adoption have reduced amount of global MSW.  Fractions are used for benchmarking as percentages and for adjusting LHV for WTE.</t>
  </si>
  <si>
    <t>&lt;-- Avg. LHV Assumptions per fraction</t>
  </si>
  <si>
    <t>Table 23: MSW to WtE - Pre-Integration.  These are inputs to sheet WTE Tonnes and Composition.  The available world waste feedstock for Waste to Energy conversaion is determined as the minimum of the results from calculations on sheet WTE Tonnes and Composition based on TWh adoption scenarios for WTE or the remaining waste available per table 22.  The average LHV is calculated per the changing mix of waste materials calculated in table 22</t>
  </si>
  <si>
    <t>Assumed Avg. Degradable Carbon (DOC) per fraction -&gt;</t>
  </si>
  <si>
    <t xml:space="preserve">Table 24: Remaining MSW (Mt) to be Landfilled.  The amount of material landfilled is calculated be subtracting the values in Table 23 from the values in Table 22.  </t>
  </si>
  <si>
    <t>Table 25: Take total food waste as a % of organic fraction.  Add in Bioplastics.  Assess the remainder.  This table is used for benchmarking.</t>
  </si>
  <si>
    <t>2nd Order Interaction:  PDS 2 Bioplastics Adoption (Mt)</t>
  </si>
  <si>
    <t>Integrated PDS 2 Adoptions in Consideration of Integrated MSW TAM (post 2nd Order Integration)</t>
  </si>
  <si>
    <t>Table 18: PDS 2 Adoption of Compost.  If % of Organic MSW fraction exceeds 100% than feedstock limitation applied and adoption is curtailed to match available feedstock.  % is calculated by Table 18 / Table 13.</t>
  </si>
  <si>
    <t>Table 19: PDS 2 Adoption of Commercial and Household Recycling.   If % of Recycleable MSW fraction exceeds 100% than feedstock limitation applied and adoption is curtailed to match available feedstock.  % is calculated by Table 19 / Table 14.</t>
  </si>
  <si>
    <t>Table 21: PDS 2 Recycled Paper Adoption.  Benchmark of Remainder Portion of Global MSW presented to benchmark that Adoption of Recycled Paper does not exceed paper available in anuual MSW.</t>
  </si>
  <si>
    <t>Table 22: Remaining MSW (Mt) after PDS 2 Composting, Household and Commercial Recycling and Recycled Paper adoption have reduced amount of global MSW.  Fractions are used for benchmarking as percentages and for adjusting LHV for WTE.</t>
  </si>
  <si>
    <t>Total Food Waste (PDS 2)</t>
  </si>
  <si>
    <t>PDS 1 Waste not Recycled (not Including Paper) and Not Composted</t>
  </si>
  <si>
    <t>PDS 2 Waste not Recycled (not Including Paper) and Not Composted</t>
  </si>
  <si>
    <t>PDS 3 Waste not Recycled (not Including Paper) and Not Composted</t>
  </si>
  <si>
    <t>Total Food Waste (PDS 3)</t>
  </si>
  <si>
    <t>2nd Order Interaction:  PDS 3 Bioplastics Adoption (Mt)</t>
  </si>
  <si>
    <t>Integrated PDS 3 Adoptions in Consideration of Integrated MSW TAM (post 2nd Order Integration)</t>
  </si>
  <si>
    <t>Table 18: PDS 3 Adoption of Compost.  If % of Organic MSW fraction exceeds 100% than feedstock limitation applied and adoption is curtailed to match available feedstock.  % is calculated by Table 18 / Table 13.</t>
  </si>
  <si>
    <t>Table 19: PDS 3 Adoption of Commercial and Household Recycling.   If % of Recycleable MSW fraction exceeds 100% than feedstock limitation applied and adoption is curtailed to match available feedstock.  % is calculated by Table 19 / Table 14.</t>
  </si>
  <si>
    <t>Table 21: PDS 3 Recycled Paper Adoption.  Benchmark of Remainder Portion of Global MSW presented to benchmark that Adoption of Recycled Paper does not exceed paper available in anuual MSW.</t>
  </si>
  <si>
    <t>Table 22: Remaining MSW (Mt) after PDS 3 Composting, Household and Commercial Recycling and Recycled Paper adoption have reduced amount of global MSW.  Fractions are used for benchmarking as percentages and for adjusting LHV for WTE.</t>
  </si>
  <si>
    <t>HFC Replacement Model</t>
  </si>
  <si>
    <t>Total</t>
  </si>
  <si>
    <t>-</t>
  </si>
  <si>
    <t>kton HFC replaced</t>
  </si>
  <si>
    <t>kton refrigerant</t>
  </si>
  <si>
    <t>Preliminary Financial Results (in billions US$2014)</t>
  </si>
  <si>
    <t>Adoption Results</t>
  </si>
  <si>
    <t>Approximate PPM Equivalent (PPM)</t>
  </si>
  <si>
    <t>Approximate PPM rate of change in 2050</t>
  </si>
  <si>
    <t>Cumulative First Cost (Install/Implementation + Replacement)</t>
  </si>
  <si>
    <t>Marginal First Cost (Install/Implementation + Replacement)</t>
  </si>
  <si>
    <t>Net Operating Savings 2020-2050</t>
  </si>
  <si>
    <t>Lifetime Savings</t>
  </si>
  <si>
    <t>Lifetime Savings NPV</t>
  </si>
  <si>
    <t>Global Units of Measure Installed by 2050 (billions)</t>
  </si>
  <si>
    <t>Implementation Unit</t>
  </si>
  <si>
    <t>Functional Unit Adoption by 2050 (e.g., Twh)</t>
  </si>
  <si>
    <t>% Adoption in 2050</t>
  </si>
  <si>
    <t>Kilo Tonnes (Refrigerant destroyed and avoided)</t>
  </si>
  <si>
    <t>Kilo Tonnes (Recoverable refrigerant)</t>
  </si>
  <si>
    <t>Kilo Tonnes (Refrigerant replaced, destroyed and avoided)</t>
  </si>
  <si>
    <t>Kilo Tonnes (Replaceable HFC and Recoverable refrigerant)</t>
  </si>
  <si>
    <t>Total MSW TAM</t>
  </si>
  <si>
    <t>Compostable Bioplastics</t>
  </si>
  <si>
    <t>Recycleable Plastics</t>
  </si>
  <si>
    <t>Used Paper</t>
  </si>
  <si>
    <t>Glass, Metal +  Other Recycleables</t>
  </si>
  <si>
    <t xml:space="preserve"> Food Waste</t>
  </si>
  <si>
    <t xml:space="preserve">Compost </t>
  </si>
  <si>
    <t>Recycling</t>
  </si>
  <si>
    <t>Paper Recycling</t>
  </si>
  <si>
    <t>Used Paper to Insulation</t>
  </si>
  <si>
    <t>Table 27: Solutions Impact on MSW</t>
  </si>
  <si>
    <t>Bioplastics Waste as % of Organic Fraction</t>
  </si>
  <si>
    <t>Table 28: MSW Fraction Detail Post Materials Solutions</t>
  </si>
  <si>
    <t>Composting</t>
  </si>
  <si>
    <t>Table 29: Solutions Impact on MSW</t>
  </si>
  <si>
    <t>2020-2050 in Gt</t>
  </si>
  <si>
    <t>Has not been updated (Jan 2020).</t>
  </si>
  <si>
    <t>Twh Output  - WTE PDS 1</t>
  </si>
  <si>
    <t>CONSERVATIVE</t>
  </si>
  <si>
    <t>Waste to Energy AVERAGE OF CONSERVATIVE CASES</t>
  </si>
  <si>
    <t>Waste to Energy AVERAGE OF CONSERVATIVE</t>
  </si>
  <si>
    <t>Adjusted PDS1 Conservative Case</t>
  </si>
  <si>
    <t>World Bank, What a Waste 2.0</t>
  </si>
  <si>
    <t>EPA Sustainable Materials Management- Materials and Wate Management in the US</t>
  </si>
  <si>
    <t>Materials</t>
  </si>
  <si>
    <t>Products - Paper and Paperboard</t>
  </si>
  <si>
    <t>Products - Glass</t>
  </si>
  <si>
    <t>Products - Metals - Ferrous</t>
  </si>
  <si>
    <t>Products - Metals - Aluminum</t>
  </si>
  <si>
    <t>Products - Metals - OtherNonferrous</t>
  </si>
  <si>
    <t>Products - Metals - Total</t>
  </si>
  <si>
    <t>Products - Plastics</t>
  </si>
  <si>
    <t>Products - Rubber and Leather</t>
  </si>
  <si>
    <t>Products - Textiles</t>
  </si>
  <si>
    <t>Products - Wood</t>
  </si>
  <si>
    <t>Products - Other</t>
  </si>
  <si>
    <t>Products - Total Materials</t>
  </si>
  <si>
    <t>Other Wastes - Food Waste</t>
  </si>
  <si>
    <t>Other Wastes - Yard Trimmings</t>
  </si>
  <si>
    <t>Other Wastes - Miscellaneous Inorganic Wastes</t>
  </si>
  <si>
    <t>Other Wastes - Total</t>
  </si>
  <si>
    <t>2005</t>
  </si>
  <si>
    <t>Materials Generated in the US Municipal Waste Stream (in tons)</t>
  </si>
  <si>
    <t>Also have decades: 1960, 1970, 1980, 1990, 2000</t>
  </si>
  <si>
    <t>Materials Landfilled in the U.S. Municipal Waste Stream (in tons)</t>
  </si>
  <si>
    <t xml:space="preserve">Total MSW Landfilled – Weight </t>
  </si>
  <si>
    <t>Total MSW Recycled and Composted – Weight</t>
  </si>
  <si>
    <t>Materials Recycled and Composted in the U.S. Municipal Waste Stream (in tons)</t>
  </si>
  <si>
    <t>Materials Combusted with Energy Recovery in the U.S. Municipal Waste Stream (in tons)</t>
  </si>
  <si>
    <t>Total MSW Combusted - Weight</t>
  </si>
  <si>
    <t>Management of MSW in US in 2017</t>
  </si>
  <si>
    <t>Landfilling</t>
  </si>
  <si>
    <t>Combustion with energy recovery</t>
  </si>
  <si>
    <t>TOTAL RECYCLING</t>
  </si>
  <si>
    <t>COMPOSTING</t>
  </si>
  <si>
    <t>Composting of yard trimmings, food and other MSW organic material. Does not include bacyard composting.</t>
  </si>
  <si>
    <t xml:space="preserve">Included combustion of MSW in mass burn or refuse-derived fuel form and combustion with energy recovery of source seperated materials in MSW </t>
  </si>
  <si>
    <t xml:space="preserve">Landilling after recyling, compsoting and combustion wit energy recovery. Includes combustion without energy recovery. </t>
  </si>
  <si>
    <t>Total MSW Generation by Material, 2017</t>
  </si>
  <si>
    <t>Food</t>
  </si>
  <si>
    <t>Metals</t>
  </si>
  <si>
    <t>Rubber, leather &amp; textiles</t>
  </si>
  <si>
    <t>Yard trimmings</t>
  </si>
  <si>
    <t>Paper &amp; paperboard</t>
  </si>
  <si>
    <t>Wod</t>
  </si>
  <si>
    <t>Total MSW recycling by material (2017)</t>
  </si>
  <si>
    <t>Total MSW Composting by material (2017)</t>
  </si>
  <si>
    <t>Total MSW landfilled by material (2017)</t>
  </si>
  <si>
    <t>Total MSW Combusted with Energy Recovery by material (2017)</t>
  </si>
  <si>
    <t>Waste generation by region (millions of tonnes per year)</t>
  </si>
  <si>
    <t>Latin America &amp; the Carribbean</t>
  </si>
  <si>
    <t>Sub Saharan Africa</t>
  </si>
  <si>
    <t>North America</t>
  </si>
  <si>
    <t>Europe &amp; Central Asia</t>
  </si>
  <si>
    <t>South Asia</t>
  </si>
  <si>
    <t>Projected Global Waste Generation (billions of tonnes)</t>
  </si>
  <si>
    <t>TAM</t>
  </si>
  <si>
    <t>What a Waste 2.0</t>
  </si>
  <si>
    <t>Interpolation for TAM (Global) -What a Waste 2.0</t>
  </si>
  <si>
    <t>Global Waste composition:</t>
  </si>
  <si>
    <t>Food &amp; green</t>
  </si>
  <si>
    <t>Paper &amp; cardboard</t>
  </si>
  <si>
    <t>Rubber &amp; leather</t>
  </si>
  <si>
    <t>Global Waste Treatment &amp; Disposal</t>
  </si>
  <si>
    <t>Incineration</t>
  </si>
  <si>
    <t>Controlled Landfill</t>
  </si>
  <si>
    <t>Landfill (unspecified)</t>
  </si>
  <si>
    <t>Sanitary landfill (with landfill gas collection)</t>
  </si>
  <si>
    <t>Open dump</t>
  </si>
  <si>
    <t>&lt;1%</t>
  </si>
  <si>
    <t>Industrial Waste</t>
  </si>
  <si>
    <t>Agricultural waste</t>
  </si>
  <si>
    <t>Construction &amp; demolition waste</t>
  </si>
  <si>
    <t>Hazardous waste</t>
  </si>
  <si>
    <t>Medical waste</t>
  </si>
  <si>
    <t>Electronic Wate</t>
  </si>
  <si>
    <t>Global Average Special Waste Generation [kg/capita/day]</t>
  </si>
  <si>
    <t>Disposal Methods by Region</t>
  </si>
  <si>
    <t>Middle East &amp; North Africa</t>
  </si>
  <si>
    <t>Sub-Saharn Africa</t>
  </si>
  <si>
    <t>Latin America &amp; Carribean</t>
  </si>
  <si>
    <t>East Asia &amp; Pacific</t>
  </si>
  <si>
    <t>Open Dump</t>
  </si>
  <si>
    <t>Anerobic digestion</t>
  </si>
  <si>
    <t>Landfill</t>
  </si>
  <si>
    <t>Typical Waste Management Costs by Disposal Typ [US$/tonne]</t>
  </si>
  <si>
    <t>Collection &amp; transfer</t>
  </si>
  <si>
    <t>Cotrolled landfill to sanitary landfill</t>
  </si>
  <si>
    <t>Open dumping</t>
  </si>
  <si>
    <t>Low income countries</t>
  </si>
  <si>
    <t>Lower-middle income countries</t>
  </si>
  <si>
    <t>Upper-middle income countries</t>
  </si>
  <si>
    <t>High income countries</t>
  </si>
  <si>
    <t>30-75</t>
  </si>
  <si>
    <t>50-100</t>
  </si>
  <si>
    <t>90-200</t>
  </si>
  <si>
    <t>15-40</t>
  </si>
  <si>
    <t>20-65</t>
  </si>
  <si>
    <t>40-100</t>
  </si>
  <si>
    <t>2 to 8</t>
  </si>
  <si>
    <t>0-25</t>
  </si>
  <si>
    <t>5 to 30</t>
  </si>
  <si>
    <t>20-75</t>
  </si>
  <si>
    <t>35-90</t>
  </si>
  <si>
    <t>10 to 40</t>
  </si>
  <si>
    <t>3 to 10</t>
  </si>
  <si>
    <t>30-80</t>
  </si>
  <si>
    <t>5 to 50</t>
  </si>
  <si>
    <t>10 to 20</t>
  </si>
  <si>
    <t>20-50</t>
  </si>
  <si>
    <t>Asia</t>
  </si>
  <si>
    <t>Central Asia</t>
  </si>
  <si>
    <t>Eastern Asia</t>
  </si>
  <si>
    <t>Version 1.45</t>
  </si>
  <si>
    <t>For Goal Seek:</t>
  </si>
  <si>
    <t>If your conversion is more complex than a multiplier, please leave cell above blank and convert on a separate sheet before using this interpolator sheet.</t>
  </si>
  <si>
    <t>R2 = 1.000</t>
  </si>
  <si>
    <t>In Functional Units</t>
  </si>
  <si>
    <t>R2 = 1.0000</t>
  </si>
  <si>
    <t>Raw Values Used When Avail</t>
  </si>
  <si>
    <t>Fit Data Harmonized with UN Pop Data (     2015-&gt;2015)</t>
  </si>
  <si>
    <t>11. NOW COPY SELECTED TRENDLINE RESULTS TO YOUR "TAM" INPUT SHEET (only 2012 onwards)</t>
  </si>
  <si>
    <t>Source: IPCC 2019 Refinement to the 2006 IPCC Guidelines for National Greenhouse Gas Inventories; Volume 5: Waste</t>
  </si>
  <si>
    <t>MSW Generation Rate IPCC-1996 Values [tonnes/ cap/yr]</t>
  </si>
  <si>
    <t>MSW Generation Rate IPCC-2006 Values [tonnes/ cap/yr]</t>
  </si>
  <si>
    <t>MSW Generation Rate IPCC-2019 Values [tonnes/ cap/yr]</t>
  </si>
  <si>
    <t>South-Eastern Asia</t>
  </si>
  <si>
    <t>Southern Asia</t>
  </si>
  <si>
    <t>Western Asia</t>
  </si>
  <si>
    <t>Africa</t>
  </si>
  <si>
    <t>Northern Africa</t>
  </si>
  <si>
    <t>Eastern Africa</t>
  </si>
  <si>
    <t>Middle Africa</t>
  </si>
  <si>
    <t>Southern Africa</t>
  </si>
  <si>
    <t>Western Africa</t>
  </si>
  <si>
    <t>Europe</t>
  </si>
  <si>
    <t>Northern Europe</t>
  </si>
  <si>
    <t>Southern Europe</t>
  </si>
  <si>
    <t>Western Europe</t>
  </si>
  <si>
    <t>America</t>
  </si>
  <si>
    <t>Carribean</t>
  </si>
  <si>
    <t>Central America</t>
  </si>
  <si>
    <t>South America</t>
  </si>
  <si>
    <t>Northern America</t>
  </si>
  <si>
    <t>Oceania</t>
  </si>
  <si>
    <t>Australia &amp; New Zealand</t>
  </si>
  <si>
    <t>Melanesia</t>
  </si>
  <si>
    <t>Polynesia</t>
  </si>
  <si>
    <t>UN 2018 Urban Population at Mid-Year by region (thousands)</t>
  </si>
  <si>
    <t>ASIA</t>
  </si>
  <si>
    <t>AFRICA</t>
  </si>
  <si>
    <t>EUROPE</t>
  </si>
  <si>
    <t>LATIN AMERICA AND THE CARIBBEAN</t>
  </si>
  <si>
    <t>Caribbean</t>
  </si>
  <si>
    <t>OCEANIA</t>
  </si>
  <si>
    <t>Australia/New Zealand</t>
  </si>
  <si>
    <t>MSW Generation Rate IPCC-1996 Values [tonnes/ yr]</t>
  </si>
  <si>
    <t>MSW Generation Rate IPCC-2006 Values [tonnes/ yr]</t>
  </si>
  <si>
    <t>MSW Generation Rate IPCC-2019 Values [tonnes/ yr]</t>
  </si>
  <si>
    <t>https://www.ipcc-nggip.iges.or.jp/public/2019rf/pdf/5_Volume5/19R_V5_2_Ch02_Waste_Data.pdf</t>
  </si>
  <si>
    <t>https://population.un.org/wup/Download/</t>
  </si>
  <si>
    <t>BASED ON UN 2018 URBAN POPULATION</t>
  </si>
  <si>
    <t>ZOTERO</t>
  </si>
  <si>
    <t>Waste Generation by Region:</t>
  </si>
  <si>
    <t>Millions of tonnes per year</t>
  </si>
  <si>
    <t>Drawdown Regions</t>
  </si>
  <si>
    <t>Asia (Sans Japan)</t>
  </si>
  <si>
    <t>Middle East and Africa</t>
  </si>
  <si>
    <t>Special Countries</t>
  </si>
  <si>
    <t>EU27</t>
  </si>
  <si>
    <t>FROM REGROUP TOOL</t>
  </si>
  <si>
    <t>TOTAL</t>
  </si>
  <si>
    <t>OUTPUT: GDP 2014 (millions)</t>
  </si>
  <si>
    <t>Totals</t>
  </si>
  <si>
    <t>Regional Projections</t>
  </si>
  <si>
    <t>Billion Tonnes</t>
  </si>
  <si>
    <t>Trendline:2nd Poly</t>
  </si>
  <si>
    <t>Million Tonnes</t>
  </si>
  <si>
    <t>IPCC 2019 Refinement</t>
  </si>
  <si>
    <t xml:space="preserve">MSW Production in China, India and Pakistan, 2010-2023. </t>
  </si>
  <si>
    <t>IEA: https://www.iea.org/articles/will-energy-from-waste-become-the-key-form-of-bioenergy-in-asia</t>
  </si>
  <si>
    <t>MSW in Million Tonnes</t>
  </si>
  <si>
    <t>Pakistan</t>
  </si>
  <si>
    <t>World GNI per capita (from UN)</t>
  </si>
  <si>
    <t>Global Waste Management Outlook (2015)</t>
  </si>
  <si>
    <t>Regression:</t>
  </si>
  <si>
    <t>y=109.67ln(x)-651.45</t>
  </si>
  <si>
    <t>R2= 0.72</t>
  </si>
  <si>
    <t>MSW Generation per capita</t>
  </si>
  <si>
    <t>Annual Urban Population at Mid-Year (thousands)</t>
  </si>
  <si>
    <t>Interpolation for TAM (Global) -IPCC 2019 Refinement</t>
  </si>
  <si>
    <t>Trendline:Linear</t>
  </si>
  <si>
    <t>MSW Generation (million tonnes)</t>
  </si>
  <si>
    <t>https://wedocs.unep.org/bitstream/handle/20.500.11822/9672/-Global_Waste_Management_Outlook-2015Global_Waste_Management_Outlook.pdf.pdf?sequence=3&amp;amp%3BisAllowed=</t>
  </si>
  <si>
    <t>y= MSW generation per capita (kg/year)</t>
  </si>
  <si>
    <t>x= GNI per capita (USD)</t>
  </si>
  <si>
    <t>Source for GNI data: http://data.un.org/Data.aspx?d=WDI&amp;f=Indicator_Code%3ANY.GNP.PCAP.PP.CD</t>
  </si>
  <si>
    <t>OR:</t>
  </si>
  <si>
    <t>Annual Total Population at Mid-Year (thousands)</t>
  </si>
  <si>
    <t>PROJECTIONS</t>
  </si>
  <si>
    <t>Source for Population data: https://www.un.org/en/development/desa/population/publications/database/index.asp</t>
  </si>
  <si>
    <t xml:space="preserve">World GDP long-term forecast (Total, Million US dollars) </t>
  </si>
  <si>
    <t>Source for GDP forecast: https://data.oecd.org/gdp/real-gdp-long-term-forecast.htm#indicator-chart</t>
  </si>
  <si>
    <t>Or more detailed projections:</t>
  </si>
  <si>
    <t>GNI reported as per capita, PPP (current international $). Other options include: GNI, Atlas method (current US$ or constant 2010 US$)</t>
  </si>
  <si>
    <t xml:space="preserve">Interpolation for TAM (Global) -UNEP Global Waste Management Report </t>
  </si>
  <si>
    <t>R2 = 0.9989</t>
  </si>
  <si>
    <t>UNEP Global Waste Management Report (Total Population)</t>
  </si>
  <si>
    <t>UNEP Global Waste Management Report (Urban Population)</t>
  </si>
  <si>
    <t>Interpolation for TAM (Global) -UNEP Global Waste Management Report (Total Population)</t>
  </si>
  <si>
    <t>R2 = 0.9983</t>
  </si>
  <si>
    <t>Million tonnes generated</t>
  </si>
  <si>
    <t>Solid Waste Generated:</t>
  </si>
  <si>
    <t>6 million tonnes</t>
  </si>
  <si>
    <t>48 million tonnes</t>
  </si>
  <si>
    <t>300 million tonnes</t>
  </si>
  <si>
    <t>Waste Generated:</t>
  </si>
  <si>
    <t>(expected)</t>
  </si>
  <si>
    <t>Growth rate:</t>
  </si>
  <si>
    <t>4.25% annual</t>
  </si>
  <si>
    <t>Waste generated per capita:</t>
  </si>
  <si>
    <t>1% to 1.33% annual increase</t>
  </si>
  <si>
    <t>In 2004:</t>
  </si>
  <si>
    <t>City</t>
  </si>
  <si>
    <t>Population</t>
  </si>
  <si>
    <t>Kavaratti</t>
  </si>
  <si>
    <t>Gangtok</t>
  </si>
  <si>
    <t>Itanagar</t>
  </si>
  <si>
    <t>Daman</t>
  </si>
  <si>
    <t>Silvassa</t>
  </si>
  <si>
    <t>Panjim</t>
  </si>
  <si>
    <t>Kohima</t>
  </si>
  <si>
    <t>Shillong</t>
  </si>
  <si>
    <t>Shimla</t>
  </si>
  <si>
    <t>Agartala</t>
  </si>
  <si>
    <t>Gandhinagar</t>
  </si>
  <si>
    <t>Dhanbad</t>
  </si>
  <si>
    <t>Pondicherry</t>
  </si>
  <si>
    <t>Imphal</t>
  </si>
  <si>
    <t>Aizwal</t>
  </si>
  <si>
    <t>Jammu</t>
  </si>
  <si>
    <t>Dehradun</t>
  </si>
  <si>
    <t>Asansol</t>
  </si>
  <si>
    <t>Kochi</t>
  </si>
  <si>
    <t>Raipur</t>
  </si>
  <si>
    <t>Bhubaneswar</t>
  </si>
  <si>
    <t>Tiruvanantapuram</t>
  </si>
  <si>
    <t>Chandigarh</t>
  </si>
  <si>
    <t>Guwahati</t>
  </si>
  <si>
    <t>Ranchi</t>
  </si>
  <si>
    <t>Vijaywada</t>
  </si>
  <si>
    <t>Srinagar</t>
  </si>
  <si>
    <t>Madurai</t>
  </si>
  <si>
    <t>Coimbatore</t>
  </si>
  <si>
    <t>Port Blair</t>
  </si>
  <si>
    <t>Area (km2)</t>
  </si>
  <si>
    <t>C/N ratio</t>
  </si>
  <si>
    <t>HCV* (kcal/kg)</t>
  </si>
  <si>
    <t>Moisture (%)</t>
  </si>
  <si>
    <t>Compostable (%)</t>
  </si>
  <si>
    <t>Recyclables (%)</t>
  </si>
  <si>
    <t>Waste Quanitity (TPD)</t>
  </si>
  <si>
    <t>Waste Generation Rate (kg/capita/day)</t>
  </si>
  <si>
    <t>Jabalpur</t>
  </si>
  <si>
    <t>Amritsar</t>
  </si>
  <si>
    <t>Rajkot</t>
  </si>
  <si>
    <t>Allahabad</t>
  </si>
  <si>
    <t>Vishakhapatnam</t>
  </si>
  <si>
    <t>Faridabad</t>
  </si>
  <si>
    <t>Meerut</t>
  </si>
  <si>
    <t>Nashik</t>
  </si>
  <si>
    <t>Varanasi</t>
  </si>
  <si>
    <t>Jamshedpur</t>
  </si>
  <si>
    <t>Agra</t>
  </si>
  <si>
    <t>Vadodara</t>
  </si>
  <si>
    <t>Patna</t>
  </si>
  <si>
    <t>Ludhiyana</t>
  </si>
  <si>
    <t>Mumbai</t>
  </si>
  <si>
    <t>Indore</t>
  </si>
  <si>
    <t>Nagpur</t>
  </si>
  <si>
    <t>Lucknow</t>
  </si>
  <si>
    <t>Jaipur</t>
  </si>
  <si>
    <t>Surat</t>
  </si>
  <si>
    <t>Pune</t>
  </si>
  <si>
    <t>Kanpur</t>
  </si>
  <si>
    <t>Ahmedabad</t>
  </si>
  <si>
    <t>Hyderabad</t>
  </si>
  <si>
    <t>Bangalore</t>
  </si>
  <si>
    <t>Chennai</t>
  </si>
  <si>
    <t>Kolkata</t>
  </si>
  <si>
    <t>Delhi</t>
  </si>
  <si>
    <t>Greater Mumbai</t>
  </si>
  <si>
    <t>Waste Generation (tonnes/year)</t>
  </si>
  <si>
    <t>TOTAL:</t>
  </si>
  <si>
    <t>MSW Generated Million Tonnes</t>
  </si>
  <si>
    <t>Municipal Solid Waste Generation and current Scenario of its Management in India</t>
  </si>
  <si>
    <t>By Bhat et al. April 2018</t>
  </si>
  <si>
    <t>Overview of Municipal Solid Waste Generation, Composition, and Management in India</t>
  </si>
  <si>
    <t>By Kapil Dev Sharma and Siddharth Jain, 2019</t>
  </si>
  <si>
    <t>Urban India generated waste in million tonnes</t>
  </si>
  <si>
    <t>MSW composition (%)</t>
  </si>
  <si>
    <t>Biodegradable</t>
  </si>
  <si>
    <t>paper</t>
  </si>
  <si>
    <t>Plastics/Rubber</t>
  </si>
  <si>
    <t>rags</t>
  </si>
  <si>
    <t>Others</t>
  </si>
  <si>
    <t>Inerts</t>
  </si>
  <si>
    <t>Nil</t>
  </si>
  <si>
    <t>Challendges and opportunities associated with waste management in India</t>
  </si>
  <si>
    <t>By Kumar et all. February 2017: https://royalsocietypublishing.org/doi/pdf/10.1098/rsos.160764</t>
  </si>
  <si>
    <t>Waste generation rate (kg per capita per day)</t>
  </si>
  <si>
    <t># of cities</t>
  </si>
  <si>
    <t>population &lt; 0.1 million</t>
  </si>
  <si>
    <t>0.17-0.54</t>
  </si>
  <si>
    <t>0.22-0.59</t>
  </si>
  <si>
    <t>1-2 million</t>
  </si>
  <si>
    <t>0.15- 0.5 million</t>
  </si>
  <si>
    <t>0.19-0.53</t>
  </si>
  <si>
    <t>0.22-0.62</t>
  </si>
  <si>
    <t>State level MSW generation (MT per day) in India (2009-2012) FIGURE 1</t>
  </si>
  <si>
    <t>Percentage by weight in Indian Metro cities</t>
  </si>
  <si>
    <t>Compostable</t>
  </si>
  <si>
    <t>Inert</t>
  </si>
  <si>
    <t>Leather</t>
  </si>
  <si>
    <t>Solid waste production rates:</t>
  </si>
  <si>
    <t>200-300 g/capita/day</t>
  </si>
  <si>
    <t>Population&lt; 0.2 million</t>
  </si>
  <si>
    <t>Small cities/towns</t>
  </si>
  <si>
    <t>300-350</t>
  </si>
  <si>
    <t>350-400</t>
  </si>
  <si>
    <t>400-600</t>
  </si>
  <si>
    <t>Population &gt; 1 million</t>
  </si>
  <si>
    <t>200,000-500,000</t>
  </si>
  <si>
    <t>500,000- 1 million</t>
  </si>
  <si>
    <t>Urban population (millions)</t>
  </si>
  <si>
    <t>Per capita waste generation rate (kg/day)</t>
  </si>
  <si>
    <t>National Waste generation rate (million tons/year)</t>
  </si>
  <si>
    <t>Poland</t>
  </si>
  <si>
    <t>Bosnia and Herzegovina</t>
  </si>
  <si>
    <t>Former Yugoslav Republic of Macedonia, the</t>
  </si>
  <si>
    <t>Serbia</t>
  </si>
  <si>
    <t>Albania</t>
  </si>
  <si>
    <t>Austria</t>
  </si>
  <si>
    <t>Belgium</t>
  </si>
  <si>
    <t>Bulgaria</t>
  </si>
  <si>
    <t>Croatia</t>
  </si>
  <si>
    <t>Cyprus</t>
  </si>
  <si>
    <t>Czech Republic</t>
  </si>
  <si>
    <t>Denmark</t>
  </si>
  <si>
    <t>Estonia</t>
  </si>
  <si>
    <t>European Union (27 countries)</t>
  </si>
  <si>
    <t>Finland</t>
  </si>
  <si>
    <t>France</t>
  </si>
  <si>
    <t>Germany</t>
  </si>
  <si>
    <t>Greece</t>
  </si>
  <si>
    <t>Hungary</t>
  </si>
  <si>
    <t>Iceland</t>
  </si>
  <si>
    <t>Ireland</t>
  </si>
  <si>
    <t>Italy</t>
  </si>
  <si>
    <t>Latvia</t>
  </si>
  <si>
    <t>Lithuania</t>
  </si>
  <si>
    <t>Luxembourg</t>
  </si>
  <si>
    <t>Malta</t>
  </si>
  <si>
    <t>Netherlands</t>
  </si>
  <si>
    <t>Norway</t>
  </si>
  <si>
    <t>Portugal</t>
  </si>
  <si>
    <t>Romania</t>
  </si>
  <si>
    <t>Slovakia</t>
  </si>
  <si>
    <t>Slovenia</t>
  </si>
  <si>
    <t>Spain</t>
  </si>
  <si>
    <t>Sweden</t>
  </si>
  <si>
    <t>Switzerland</t>
  </si>
  <si>
    <t>Turkey</t>
  </si>
  <si>
    <t>United Kingdom</t>
  </si>
  <si>
    <t>Kosovo (under United Nations Security Council Resolution 1244/99)</t>
  </si>
  <si>
    <t>Montenegro</t>
  </si>
  <si>
    <t>Waste generated (kg/capita)</t>
  </si>
  <si>
    <t>Agriculture, forestry and fishing</t>
  </si>
  <si>
    <t>Construction</t>
  </si>
  <si>
    <t>Energy and extraction</t>
  </si>
  <si>
    <t>Households</t>
  </si>
  <si>
    <t>Manufacturing</t>
  </si>
  <si>
    <t>Services</t>
  </si>
  <si>
    <t>Water and waste sector</t>
  </si>
  <si>
    <t>Generation of waste, excluding major mineral wastes, EU (million tonnes)</t>
  </si>
  <si>
    <t>European Envrionment Agency</t>
  </si>
  <si>
    <t>Czechia</t>
  </si>
  <si>
    <t>European Union</t>
  </si>
  <si>
    <t>Liechtenstein</t>
  </si>
  <si>
    <t>2016 gap-filled with  2014 data</t>
  </si>
  <si>
    <t>2016 data gap-filled with 2014 data</t>
  </si>
  <si>
    <t>Source: https://www.eea.europa.eu/airs/2018/resource-efficiency-and-low-carbon-economy/waste-generation &amp; https://www.eea.europa.eu/soer-2015/countries-comparison/waste</t>
  </si>
  <si>
    <t>Table 3 Generation and treatment of MSW in 2015 (thousands tonnes) [31]</t>
  </si>
  <si>
    <t>From: Status and Opportunities for Energy Recovery from Municipal Solid Waste in Europe</t>
  </si>
  <si>
    <t>Generated</t>
  </si>
  <si>
    <t>FYROM</t>
  </si>
  <si>
    <t>EEA</t>
  </si>
  <si>
    <t>Status and Opportunities for Energy Recovery fro Municpal Solid Waste in Europe</t>
  </si>
  <si>
    <t>By Scarlat et al. 2019: https://link.springer.com/article/10.1007/s12649-018-0297-7</t>
  </si>
  <si>
    <t>EUROSTAT Statistics: Generation of Municipal Waste (Last Update Feb 5, 2020)</t>
  </si>
  <si>
    <t>Source: https://ec.europa.eu/eurostat/databrowser/view/cei_pc031/default/table?lang=en</t>
  </si>
  <si>
    <t>GEO/TIME</t>
  </si>
  <si>
    <t>2009</t>
  </si>
  <si>
    <t>2010</t>
  </si>
  <si>
    <t>2011</t>
  </si>
  <si>
    <t>2012</t>
  </si>
  <si>
    <t>2013</t>
  </si>
  <si>
    <t>2014</t>
  </si>
  <si>
    <t>2015</t>
  </si>
  <si>
    <t>2016</t>
  </si>
  <si>
    <t>2017</t>
  </si>
  <si>
    <t>2018</t>
  </si>
  <si>
    <t>European Union - 27 countries (from 2020)</t>
  </si>
  <si>
    <t>European Union - 28 countries (2013-2020)</t>
  </si>
  <si>
    <t>European Union - 27 countries (2007-2013)</t>
  </si>
  <si>
    <t>:</t>
  </si>
  <si>
    <t>Germany (until 1990 former territory of the FRG)</t>
  </si>
  <si>
    <t>North Macedonia</t>
  </si>
  <si>
    <t>UNIT: kg/capita</t>
  </si>
  <si>
    <t>UNIT: thousand tonnes</t>
  </si>
  <si>
    <t>Interpolation for TAM (OECD90) -What a Waste 2.0</t>
  </si>
  <si>
    <t>R2 = 0.9879</t>
  </si>
  <si>
    <t>Interpolation for TAM (Eastern Europe) -What a Waste 2.0</t>
  </si>
  <si>
    <t>R2 = 0.9924</t>
  </si>
  <si>
    <t>Interpolation for TAM (Asia (sans Japan)) -What a Waste 2.0</t>
  </si>
  <si>
    <t>R2 = 0.9978</t>
  </si>
  <si>
    <t>Interpolation for TAM (Middle East &amp; Africa) -What a Waste 2.0</t>
  </si>
  <si>
    <t>Interpolation for TAM (Latin America) -What a Waste 2.0</t>
  </si>
  <si>
    <t>R2 = 0.9997</t>
  </si>
  <si>
    <t>R2 = 0.9858</t>
  </si>
  <si>
    <t>Million Tonne</t>
  </si>
  <si>
    <t>Interpolation for TAM (OECD90) -IPCC 2019 Refinement</t>
  </si>
  <si>
    <t>Interpolation for TAM (Eastern Europe) -IPCC 2019 Refinement</t>
  </si>
  <si>
    <t>Interpolation for TAM (Asia (sans Japan)) -IPCC 2019 Refinement</t>
  </si>
  <si>
    <t>Interpolation for TAM (Middle East &amp; Africa) -IPCC 2019 Refinement</t>
  </si>
  <si>
    <t>Interpolation for TAM (Latin America) -IPCC 2019 Refinement</t>
  </si>
  <si>
    <t>Tons</t>
  </si>
  <si>
    <t>US EPA: Advancing Sustainable Materials Management</t>
  </si>
  <si>
    <t>Interpolation for TAM (USA) -US EPA: Advancing Sustainable Materials Management</t>
  </si>
  <si>
    <t>R2 = 0.9773</t>
  </si>
  <si>
    <t xml:space="preserve">US EPA: Advancing Sustainable Materials Management
</t>
  </si>
  <si>
    <t>Kapil Dev Sharma and Siddharth Jain (2019)</t>
  </si>
  <si>
    <t>Interpolation for TAM (India) -Kapil Dev Sharma and Siddharth Jain (2019)</t>
  </si>
  <si>
    <t>R2 = 0.9923</t>
  </si>
  <si>
    <t>Trendline:3rd Poly</t>
  </si>
  <si>
    <t xml:space="preserve">Kapil Dev Sharma and Siddharth Jain (2019)
</t>
  </si>
  <si>
    <t>population &gt; 2 million</t>
  </si>
  <si>
    <t>Bhat et al (2018)</t>
  </si>
  <si>
    <t>Interpolation for TAM (India) -Bhat et al (2018)</t>
  </si>
  <si>
    <t>Study conducted in 2012 by Annepu: Sustainable Solid Waste Management in India- Total waste generated in 366 Indian Cities</t>
  </si>
  <si>
    <t>Annepu (2012): Sustainable Solid Waste Management in India</t>
  </si>
  <si>
    <t>http://www.seas.columbia.edu/earth/wtert/sofos/Sustainable%20Solid%20Waste%20Management%20in%20India_Final.pdf</t>
  </si>
  <si>
    <t>Million Tons</t>
  </si>
  <si>
    <t>Interpolation for TAM (India) -Annepu (2012): Sustainable Solid Waste Management in India</t>
  </si>
  <si>
    <t>Fit Data Harmonized with UN Pop Data (     2012-&gt;2015)</t>
  </si>
  <si>
    <t>Great Paper:</t>
  </si>
  <si>
    <t>Towards a circular economy- Waste management in the EU</t>
  </si>
  <si>
    <t>https://www.europarl.europa.eu/RegData/etudes/STUD/2017/581913/EPRS_STU(2017)581913_EN.pdf</t>
  </si>
  <si>
    <t>EEA Report No 3/ 2011</t>
  </si>
  <si>
    <t>Waste Opportunities: Pas and future climate beneftis from better municpal waste management in Europe</t>
  </si>
  <si>
    <t>kg MSW/ EU citizen</t>
  </si>
  <si>
    <t>Thousand Tonnes</t>
  </si>
  <si>
    <t xml:space="preserve">Minumum </t>
  </si>
  <si>
    <t>Maximum</t>
  </si>
  <si>
    <t>Largest Population in 1 city</t>
  </si>
  <si>
    <t>Smallest population in 1 city</t>
  </si>
  <si>
    <t>Waste Generation Range: million tonnes/year</t>
  </si>
  <si>
    <t>(Mumbai)</t>
  </si>
  <si>
    <t>(Gangtok)</t>
  </si>
  <si>
    <t>IPCC (2019 Refinement) bounded by Whate a Waste 2.0</t>
  </si>
  <si>
    <t>Interpolation for TAM (Global) -IPCC (2019 Refinement) bounded by Whate a Waste 2.0</t>
  </si>
  <si>
    <t>Only Trend Values Used</t>
  </si>
  <si>
    <t>IPCC (2019 Refinement)- bounded by What a Waste 2.0</t>
  </si>
  <si>
    <t>2050 (from What a Waste 2.0)</t>
  </si>
  <si>
    <t>Interpolation for TAM (OECD90) -IPCC (2019 Refinement)- bounded by What a Waste 2.0</t>
  </si>
  <si>
    <t>Interpolation for TAM (Eastern Europe) -IPCC (2019 Refinement)- bounded by What a Waste 2.0</t>
  </si>
  <si>
    <t>Interpolation for TAM (Asia (sans Japan)) -IPCC (2019 Refinement)- bounded by What a Waste 2.0</t>
  </si>
  <si>
    <t>Interpolation for TAM (Middle East &amp; Africa) -IPCC (2019 Refinement)- bounded by What a Waste 2.0</t>
  </si>
  <si>
    <t>Interpolation for TAM (Latin America) -IPCC (2019 Refinement)- bounded by What a Waste 2.0</t>
  </si>
  <si>
    <t>This is created by a 3rd polynomial interpolation.</t>
  </si>
  <si>
    <t>Source: World Bank, What a Waste 2.0</t>
  </si>
  <si>
    <t>Source IPCC 2019 Refinement (bounded by 2050 What a Waste 2.0)</t>
  </si>
  <si>
    <t>SOURCE:  UNEP Global Waste Management Report (2015)</t>
  </si>
  <si>
    <t>This was created by using the linear regression provided in the document and using data points for world GNI per capita from 2005 to 2018 and annual world urban population data at mid year from 2005 to 2018. The data was then linerally extrapolated.</t>
  </si>
  <si>
    <t>Table 14: Total world recyblable MSW after subraction of % bioplasitcs (assumes material would otherwise have been recylable plastic)</t>
  </si>
  <si>
    <t>Based on World Bank, What a Waste 2.0</t>
  </si>
  <si>
    <t>Plastic Production</t>
  </si>
  <si>
    <t>What % of production in MSW?</t>
  </si>
  <si>
    <t>FOR BENCHMARKING</t>
  </si>
  <si>
    <t>ONLY FOR BENCHMARKING</t>
  </si>
  <si>
    <t>Based on Hoornweg et al (2014)</t>
  </si>
  <si>
    <t>Based on UNEP Global Waste Management (Urban Population)</t>
  </si>
  <si>
    <t>Based on  IEA Annex I – Municipal solid waste potential in cities; Table I.1</t>
  </si>
  <si>
    <t>TOTAL MSW METRIC TONNES</t>
  </si>
  <si>
    <t>This is created by using the IPCC Waste Generation per capita figures from 2000 and 2010, then multiplying those by their respective year's regional urban populataion, based on UN 2018 Mediam Variant. In addition, the IPCC data was bounded by the World Bank's What a Waste 2.0, 2050 data. 
A 2nd order polynomial was used for extrapolation without using raw values when available. 
IPCC data was not icluded in the Total MSW Tam as it was based on past data and had no future predictions</t>
  </si>
  <si>
    <t xml:space="preserve">Source: Interpolated and Extrapolated (s-curve)  from What a Waste 1.0 &amp; 2.0 data </t>
  </si>
  <si>
    <t>GNI</t>
  </si>
  <si>
    <t>MSW/capita</t>
  </si>
  <si>
    <t>2nd poly all</t>
  </si>
  <si>
    <t>3rd poly all</t>
  </si>
  <si>
    <t>Linear Fit</t>
  </si>
  <si>
    <t>UN POPULATION</t>
  </si>
  <si>
    <t>Using fit line</t>
  </si>
  <si>
    <t>DESCRITIZED FIT</t>
  </si>
  <si>
    <t>Total WASTE</t>
  </si>
  <si>
    <t>2016 Regrouped WaW % of Total World Organic Waste for Each Region</t>
  </si>
  <si>
    <t>Urban population in india in 2017: 34%</t>
  </si>
  <si>
    <t>USE UN Urban Population Data for Future</t>
  </si>
  <si>
    <t>Based on Hoornweg et al (2014)- 3rd poly between 2012-2016 + 2050</t>
  </si>
  <si>
    <t>% Recyclable</t>
  </si>
  <si>
    <t xml:space="preserve">What a Waste 1 &amp; 2 </t>
  </si>
  <si>
    <t>Total Waste Generation</t>
  </si>
  <si>
    <t>Recyclable</t>
  </si>
  <si>
    <t>Recycling (% of Total)</t>
  </si>
  <si>
    <t>Scenarios without Ambitious IEA Data:</t>
  </si>
  <si>
    <t>This is created by using theWorld Bank, What a Waste 2.0,  Waste Generation per year figures from 2016, 2030 and 2050 ( linerally interpolated and extrapolated). For country specific data, a linear interpolation was done between 2016 to 2030, then another linear interpolation between 2030 to 2050. Data was regrouped from WorldBank to Drawdown regions using a population split.</t>
  </si>
  <si>
    <t>OUTPUT: Population (2014)</t>
  </si>
  <si>
    <t>Actual 2016 Data:</t>
  </si>
  <si>
    <t>Total MSW Generated - Weight (imperial tons)</t>
  </si>
  <si>
    <t>33% of recycleables%</t>
  </si>
  <si>
    <r>
      <t xml:space="preserve">Table 5: Plastic Fraction:  Not all plastic produced each year enters MSW.  This estimates plastic in MSW based on benchmark from World Bank 2018. </t>
    </r>
    <r>
      <rPr>
        <b/>
        <i/>
        <sz val="10"/>
        <rFont val="Arial"/>
        <family val="2"/>
      </rPr>
      <t>12% of MSW is plastics.</t>
    </r>
  </si>
  <si>
    <t>2016 benchmark 12% of Global MSW is Plastics</t>
  </si>
  <si>
    <t>According to What a Waste 2.0, in 2016, plastics in MSW = 12%</t>
  </si>
  <si>
    <r>
      <t>Pre-integration</t>
    </r>
    <r>
      <rPr>
        <b/>
        <sz val="10"/>
        <rFont val="Arial"/>
        <family val="2"/>
      </rPr>
      <t xml:space="preserve"> Adoption</t>
    </r>
  </si>
  <si>
    <t>PDS3 Plausible Scenario</t>
  </si>
  <si>
    <t>THIS IS THE WASTE TAM (Updated June 2020):</t>
  </si>
  <si>
    <t>Updated June 2020</t>
  </si>
  <si>
    <t>Updated June 2020 From Newest Compost Model: TAM %</t>
  </si>
  <si>
    <t>Updated June 2020 From Newest Recycling Model: TAM %</t>
  </si>
  <si>
    <t>Adoption Scenario (without feedstock limit) from bioplastic model</t>
  </si>
  <si>
    <t>If no surplus is identified in column D, then the model is good as is.</t>
  </si>
  <si>
    <t>If surplus is needed, need to turn to the biomass model for allocation needs.</t>
  </si>
  <si>
    <t>Typically other woody mass is not needed to achieve demand.</t>
  </si>
  <si>
    <r>
      <t xml:space="preserve">Surplus Herbaeceous Biomass MMT (from Biomass Model- </t>
    </r>
    <r>
      <rPr>
        <i/>
        <sz val="10"/>
        <rFont val="Arial"/>
        <family val="2"/>
      </rPr>
      <t>column U</t>
    </r>
    <r>
      <rPr>
        <sz val="10"/>
        <rFont val="Arial"/>
        <family val="2"/>
      </rPr>
      <t>)</t>
    </r>
  </si>
  <si>
    <t xml:space="preserve">Surplus Herbaceous Biomass Allocate to Bioplastics MMT </t>
  </si>
  <si>
    <t>Total Plastics TAM from latest model (Updated June 2020)</t>
  </si>
  <si>
    <r>
      <t xml:space="preserve">The main aim of the integration analysis was to remove </t>
    </r>
    <r>
      <rPr>
        <i/>
        <sz val="11"/>
        <rFont val="Calibri"/>
        <family val="2"/>
      </rPr>
      <t>double counting. Double counting</t>
    </r>
    <r>
      <rPr>
        <sz val="11"/>
        <rFont val="Calibri"/>
        <family val="2"/>
      </rPr>
      <t xml:space="preserve"> was possible when a solution reduced emissions from a waste material feedstock that might have already been removed from the waste stream by another solution.  The emphasis of this integration is to determine the limitations imposed on any one solution by a consolidated view of waste as a feedstock.  When a solution adoption forecast encounters a limitation in feedstock, then the adoption forecast is adjusted to the limit of the avialable feedstock.</t>
    </r>
  </si>
  <si>
    <t>MSW Remainder (MSW total- food reduction- organic MSW - recyclable MSW)</t>
  </si>
  <si>
    <t>From Integration</t>
  </si>
  <si>
    <t>On recycled paper model</t>
  </si>
  <si>
    <t>Amount of recovered paper require to produce 1 unit of recycled paper product</t>
  </si>
  <si>
    <t>Waste paper that’s collected in a given a year</t>
  </si>
  <si>
    <t>How much paper remains</t>
  </si>
  <si>
    <t>Remainder after insulation</t>
  </si>
  <si>
    <t>Demand for Insulation from Insulation Model (from Insulation Model)</t>
  </si>
  <si>
    <t>Material that is collected from Recycled Paper model  (TAM sheet)</t>
  </si>
  <si>
    <t xml:space="preserve">Table 11: % of Bioplastics assumed to be compostable:  </t>
  </si>
  <si>
    <t>Table 15: Total World Remainder MSW after subtraction of reduced food waste and fraction mix change due to bioplastics (not Organics and Not Recyclables) DOES include Paper.  Table 12- Table 13 - Table 14</t>
  </si>
  <si>
    <t>Table 15: Total World Remainder MSW after subtraction of reduced food waste and fraction mix change due to bioplastics (not Organics and Not Recyclables) DOES include Paper.  Table 12 - Table 13 - Table 14</t>
  </si>
  <si>
    <t>PDS1 Recycled Paper Adoption (Mt)</t>
  </si>
  <si>
    <t>PDS1- Amount of MSW paper waste used in order to create recycled paper in adoption scenario</t>
  </si>
  <si>
    <t>PDS3 Recycled Paper Adoption (Mt)</t>
  </si>
  <si>
    <t>PDS3- Amount of MSW paper waste used in order to create recycled paper in adoption scenario</t>
  </si>
  <si>
    <t>Amount of MSW paper waste used in order to create recycled paper in adoption scenario</t>
  </si>
  <si>
    <t>PDS2 Recycled Paper Adoption (Mt)</t>
  </si>
  <si>
    <t>PDS2- Amount of MSW paper waste used in order to create recycled paper in adoption scenario</t>
  </si>
  <si>
    <t>Amount of MSW paper waste used in order to create recycled paper</t>
  </si>
  <si>
    <t>%of waste paper in MSW</t>
  </si>
  <si>
    <t>Paper (Mt) in MSW</t>
  </si>
  <si>
    <t>Conservative Case</t>
  </si>
  <si>
    <t>Conservative Case Shortfall (if any)</t>
  </si>
  <si>
    <t>95% Plant Rich Diet</t>
  </si>
  <si>
    <t>PDS1 regional municipal food waste (Tonnes)- inclusive of both reduced food waste and adoption of plant rich diet</t>
  </si>
  <si>
    <t>PDS2 regional municipal food waste (Tonnes)- inclusive of both reduced food waste and adoption of plant rich diet</t>
  </si>
  <si>
    <t>PDS3 regional municipal food waste (Tonnes)- inclusive of both reduced food waste and adoption of plant rich diet</t>
  </si>
  <si>
    <t>Food Waste Reduced - 50% (from reduced food waste and adoption of plant rich diet)</t>
  </si>
  <si>
    <t>Food Waste Reduced - 75% (from reduced food waste and adoption of plant rich diet)</t>
  </si>
  <si>
    <t>Food Waste Reduced - 100% (from reduced food waste and adoption of plant rich diet)</t>
  </si>
  <si>
    <r>
      <t xml:space="preserve">Surplus Herbaeceous Biomass MMT (from Biomass Model- </t>
    </r>
    <r>
      <rPr>
        <b/>
        <i/>
        <sz val="10"/>
        <rFont val="Arial"/>
        <family val="2"/>
      </rPr>
      <t>column U</t>
    </r>
    <r>
      <rPr>
        <b/>
        <sz val="10"/>
        <rFont val="Arial"/>
        <family val="2"/>
      </rPr>
      <t>)</t>
    </r>
  </si>
  <si>
    <t>Surplus Herbaceous Biomass Allocated to Bioplastics MMT from Biomass Model- IF NEEDED (column AK+AM in sheet "herbaceous biomass model)</t>
  </si>
  <si>
    <t>Other Woody Biomas Feedstock MMT Available from Biomass Model (column DC +DE+DG+DI+DLK+DM+DO+DQ+DS+DU in sheet "other woody biomass surplus")</t>
  </si>
  <si>
    <t>Marine Algae Feedstock MMT Available for Bioplastics from Biomass Model (column P in sheet "algae,cork &amp; hemp surplus" )</t>
  </si>
  <si>
    <t>Previous: PDS 1 Paper Recycled (assumes Recycled Paper produced per year = amount Paper Recycled per year)</t>
  </si>
  <si>
    <t>Start with BASELINE, CONSERVATIVE or AMBITIOUS</t>
  </si>
  <si>
    <t>Net Electrical Efficiency of WTE Plants</t>
  </si>
  <si>
    <t>Landfill Methane AVERAGE OF CONSERVATIVE CASES</t>
  </si>
  <si>
    <t>Ambitous Case</t>
  </si>
  <si>
    <t>PRE: WTE</t>
  </si>
  <si>
    <t xml:space="preserve">CONSERVATIVE CASE WTE -&gt; AMBITIOUS CASE LANDFILL METHANE ANALYSIS </t>
  </si>
  <si>
    <t xml:space="preserve">AMBITIOUS CASE WTE -&gt; CONSERVATIVE CASE LANDFILL METHANE ANALYSIS </t>
  </si>
  <si>
    <t xml:space="preserve">CONSERVATIVE CASE WTE -&gt; CONSERVATIVE CASE LANDFILL METHANE ANALYSIS </t>
  </si>
  <si>
    <t>Copy of all results here</t>
  </si>
  <si>
    <t>Conservative</t>
  </si>
  <si>
    <t>Adjusted PDS1 Ambitious Case</t>
  </si>
  <si>
    <t>Adjusted PDS2 Conservative Case</t>
  </si>
  <si>
    <t>Adjusted PDS3 Conservative Case</t>
  </si>
  <si>
    <t>Total  PDS 1  MSW Remainder</t>
  </si>
  <si>
    <t>Total  PDS 2 MSW Remainder</t>
  </si>
  <si>
    <t>Total  PDS 3  MSW Remainder</t>
  </si>
  <si>
    <t>Adoption from Recycled Paper Model- How much recycled paper is actually produced (Updated June 2020)</t>
  </si>
  <si>
    <t>PDS1 Adoption</t>
  </si>
  <si>
    <t>PDS2 Adoption</t>
  </si>
  <si>
    <t>PDS3 Adoption</t>
  </si>
  <si>
    <t>PRE INTEGRATION</t>
  </si>
  <si>
    <t>Organic Fraction Over time</t>
  </si>
  <si>
    <t xml:space="preserve">Use these columns if you want o input the raw data from WTE model:
AMBITIOUS CASE ANALYSIS </t>
  </si>
  <si>
    <t xml:space="preserve">Use these columns if you want o input the raw data from WTE model:
BASELINE CASE ANALYSIS </t>
  </si>
  <si>
    <t xml:space="preserve">Use these columns if you want o input the raw data from WTE model:
CONSERVATIVE CASE ANALYSIS </t>
  </si>
  <si>
    <t xml:space="preserve">Use these columns if you want o input the raw data from Landfill Methane model:
AMBITIOUS CASE ANALYSIS </t>
  </si>
  <si>
    <t xml:space="preserve">Use these columns if you want o input the raw data from Landfill Methane model:
BASELINE CASE ANALYSIS </t>
  </si>
  <si>
    <t xml:space="preserve">Use these columns if you want o input the raw data from Landfill Methane model:
CONSERVATIVE CASE ANALYSIS </t>
  </si>
  <si>
    <t>POST WTE- Copy results from "Landfill Methane" sheet here</t>
  </si>
  <si>
    <t>REF2 - PDS3</t>
  </si>
  <si>
    <t>THIS IS THE WASTE TAM (Updated Aug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</si>
</sst>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4" formatCode="_(&quot;$&quot;* #,##0.00_);_(&quot;$&quot;* \(#,##0.00\);_(&quot;$&quot;* &quot;-&quot;??_);_(@_)"/>
    <numFmt numFmtId="43" formatCode="_(* #,##0.00_);_(* \(#,##0.00\);_(* &quot;-&quot;??_);_(@_)"/>
    <numFmt numFmtId="164" formatCode="0.000"/>
    <numFmt numFmtId="165" formatCode="_-* #,##0.00_-;\-* #,##0.00_-;_-* &quot;-&quot;??_-;_-@_-"/>
    <numFmt numFmtId="166" formatCode="_-* #,##0_-;\-* #,##0_-;_-* &quot;-&quot;??_-;_-@_-"/>
    <numFmt numFmtId="167" formatCode="_-* #,##0.00000_-;\-* #,##0.00000_-;_-* &quot;-&quot;??_-;_-@_-"/>
    <numFmt numFmtId="168" formatCode="_-* #,##0.0_-;\-* #,##0.0_-;_-* &quot;-&quot;??_-;_-@_-"/>
    <numFmt numFmtId="169" formatCode="_-* #,##0.0000_-;\-* #,##0.0000_-;_-* &quot;-&quot;??_-;_-@_-"/>
    <numFmt numFmtId="170" formatCode="_-* #,##0.0000\ _€_-;\-* #,##0.0000\ _€_-;_-* &quot;-&quot;????\ _€_-;_-@_-"/>
    <numFmt numFmtId="171" formatCode="0.0"/>
    <numFmt numFmtId="172" formatCode="0.00000"/>
    <numFmt numFmtId="173" formatCode="_-* #,##0.000_-;\-* #,##0.000_-;_-* &quot;-&quot;??_-;_-@_-"/>
    <numFmt numFmtId="174" formatCode="_(* #,##0_);_(* \(#,##0\);_(* &quot;-&quot;??_);_(@_)"/>
    <numFmt numFmtId="175" formatCode="0.0%"/>
    <numFmt numFmtId="176" formatCode="_-* #,##0.00\ _€_-;\-* #,##0.00\ _€_-;_-* &quot;-&quot;??\ _€_-;_-@_-"/>
    <numFmt numFmtId="177" formatCode="#,##0.00\ ;&quot;  (&quot;#,##0.00\);&quot; - &quot;;@\ "/>
    <numFmt numFmtId="178" formatCode="#,###,##0"/>
    <numFmt numFmtId="179" formatCode="#\ ###\ ###\ ##0;\-#\ ###\ ###\ ##0;0"/>
    <numFmt numFmtId="180" formatCode="_-* #,##0.0\ _€_-;\-* #,##0.0\ _€_-;_-* &quot;-&quot;??\ _€_-;_-@_-"/>
    <numFmt numFmtId="181" formatCode="###\ ###\ ###\ ###\ ##0"/>
    <numFmt numFmtId="182" formatCode="#,##0_ ;\-#,##0\ "/>
  </numFmts>
  <fonts count="12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0"/>
      <name val="Arial"/>
      <family val="2"/>
    </font>
    <font>
      <sz val="10"/>
      <name val="Arial"/>
      <family val="2"/>
    </font>
    <font>
      <b/>
      <sz val="16"/>
      <color indexed="8"/>
      <name val="Arial"/>
      <family val="2"/>
    </font>
    <font>
      <b/>
      <sz val="16"/>
      <name val="Arial"/>
      <family val="2"/>
    </font>
    <font>
      <b/>
      <sz val="16"/>
      <color theme="2"/>
      <name val="Arial"/>
      <family val="2"/>
    </font>
    <font>
      <b/>
      <u/>
      <sz val="16"/>
      <color theme="2"/>
      <name val="Arial"/>
      <family val="2"/>
    </font>
    <font>
      <b/>
      <i/>
      <sz val="12"/>
      <name val="Arial"/>
      <family val="2"/>
    </font>
    <font>
      <b/>
      <i/>
      <sz val="10"/>
      <name val="Arial"/>
      <family val="2"/>
    </font>
    <font>
      <b/>
      <sz val="14"/>
      <name val="Arial"/>
      <family val="2"/>
    </font>
    <font>
      <b/>
      <sz val="14"/>
      <color theme="2"/>
      <name val="Arial"/>
      <family val="2"/>
    </font>
    <font>
      <b/>
      <sz val="10"/>
      <color theme="2"/>
      <name val="Arial"/>
      <family val="2"/>
    </font>
    <font>
      <sz val="10"/>
      <color theme="2"/>
      <name val="Arial"/>
      <family val="2"/>
    </font>
    <font>
      <u/>
      <sz val="12"/>
      <color theme="10"/>
      <name val="Arial"/>
      <family val="2"/>
    </font>
    <font>
      <u/>
      <sz val="10"/>
      <color theme="10"/>
      <name val="Arial"/>
      <family val="2"/>
    </font>
    <font>
      <b/>
      <i/>
      <u/>
      <sz val="12"/>
      <name val="Arial"/>
      <family val="2"/>
    </font>
    <font>
      <b/>
      <u/>
      <sz val="10"/>
      <name val="Arial"/>
      <family val="2"/>
    </font>
    <font>
      <b/>
      <u/>
      <sz val="10"/>
      <color theme="2"/>
      <name val="Arial"/>
      <family val="2"/>
    </font>
    <font>
      <b/>
      <u/>
      <sz val="14"/>
      <name val="Arial"/>
      <family val="2"/>
    </font>
    <font>
      <sz val="10"/>
      <color indexed="8"/>
      <name val="Arial"/>
      <family val="2"/>
    </font>
    <font>
      <b/>
      <u/>
      <sz val="12"/>
      <name val="Arial"/>
      <family val="2"/>
    </font>
    <font>
      <sz val="12"/>
      <name val="Arial"/>
      <family val="2"/>
    </font>
    <font>
      <b/>
      <i/>
      <sz val="12"/>
      <color theme="3"/>
      <name val="Arial"/>
      <family val="2"/>
    </font>
    <font>
      <b/>
      <sz val="12"/>
      <color theme="3"/>
      <name val="Arial"/>
      <family val="2"/>
    </font>
    <font>
      <b/>
      <sz val="12"/>
      <name val="Arial"/>
      <family val="2"/>
    </font>
    <font>
      <sz val="12"/>
      <color rgb="FF000000"/>
      <name val="Arial"/>
      <family val="2"/>
    </font>
    <font>
      <b/>
      <sz val="8"/>
      <color rgb="FFFF0000"/>
      <name val="Arial"/>
      <family val="2"/>
    </font>
    <font>
      <b/>
      <sz val="10"/>
      <color rgb="FFFF0000"/>
      <name val="Arial"/>
      <family val="2"/>
    </font>
    <font>
      <b/>
      <sz val="12"/>
      <color indexed="8"/>
      <name val="Arial"/>
      <family val="2"/>
    </font>
    <font>
      <sz val="10"/>
      <color theme="0" tint="-4.9989318521683403E-2"/>
      <name val="Arial"/>
      <family val="2"/>
    </font>
    <font>
      <i/>
      <sz val="12"/>
      <color theme="3"/>
      <name val="Arial"/>
      <family val="2"/>
    </font>
    <font>
      <sz val="12"/>
      <color theme="3"/>
      <name val="Arial"/>
      <family val="2"/>
    </font>
    <font>
      <b/>
      <sz val="12"/>
      <color theme="8" tint="-0.499984740745262"/>
      <name val="Arial"/>
      <family val="2"/>
    </font>
    <font>
      <b/>
      <u/>
      <sz val="12"/>
      <color rgb="FFFF0000"/>
      <name val="Arial"/>
      <family val="2"/>
    </font>
    <font>
      <sz val="10"/>
      <color rgb="FFFF0000"/>
      <name val="Arial"/>
      <family val="2"/>
    </font>
    <font>
      <b/>
      <sz val="12"/>
      <color rgb="FFFF0000"/>
      <name val="Arial"/>
      <family val="2"/>
    </font>
    <font>
      <sz val="11"/>
      <color rgb="FFFF0000"/>
      <name val="Arial"/>
      <family val="2"/>
    </font>
    <font>
      <sz val="12"/>
      <color rgb="FFFF0000"/>
      <name val="Arial"/>
      <family val="2"/>
    </font>
    <font>
      <sz val="10"/>
      <color rgb="FF000000"/>
      <name val="Arial"/>
      <family val="2"/>
    </font>
    <font>
      <b/>
      <i/>
      <sz val="14"/>
      <color theme="3"/>
      <name val="Arial"/>
      <family val="2"/>
    </font>
    <font>
      <b/>
      <i/>
      <sz val="10"/>
      <color theme="3"/>
      <name val="Arial"/>
      <family val="2"/>
    </font>
    <font>
      <b/>
      <u/>
      <sz val="10"/>
      <color theme="1"/>
      <name val="Arial"/>
      <family val="2"/>
    </font>
    <font>
      <sz val="11"/>
      <name val="Arial"/>
      <family val="2"/>
    </font>
    <font>
      <b/>
      <sz val="10"/>
      <color theme="1"/>
      <name val="Arial"/>
      <family val="2"/>
    </font>
    <font>
      <sz val="11"/>
      <color rgb="FF333333"/>
      <name val="Arial"/>
      <family val="2"/>
    </font>
    <font>
      <b/>
      <i/>
      <u/>
      <sz val="10"/>
      <color theme="3"/>
      <name val="Arial"/>
      <family val="2"/>
    </font>
    <font>
      <sz val="10"/>
      <color rgb="FF333333"/>
      <name val="Arial"/>
      <family val="2"/>
    </font>
    <font>
      <b/>
      <sz val="18"/>
      <name val="Arial"/>
      <family val="2"/>
    </font>
    <font>
      <sz val="8"/>
      <color theme="2"/>
      <name val="Arial"/>
      <family val="2"/>
    </font>
    <font>
      <sz val="8"/>
      <name val="Arial"/>
      <family val="2"/>
    </font>
    <font>
      <b/>
      <sz val="11"/>
      <name val="Arial"/>
      <family val="2"/>
    </font>
    <font>
      <i/>
      <sz val="11"/>
      <name val="Arial"/>
      <family val="2"/>
    </font>
    <font>
      <b/>
      <u/>
      <sz val="11"/>
      <name val="Arial"/>
      <family val="2"/>
    </font>
    <font>
      <b/>
      <i/>
      <sz val="11"/>
      <name val="Arial"/>
      <family val="2"/>
    </font>
    <font>
      <b/>
      <sz val="11"/>
      <color theme="0" tint="-0.499984740745262"/>
      <name val="Arial"/>
      <family val="2"/>
    </font>
    <font>
      <u/>
      <sz val="11"/>
      <color theme="10"/>
      <name val="Arial"/>
      <family val="2"/>
    </font>
    <font>
      <sz val="10"/>
      <color theme="0" tint="-0.249977111117893"/>
      <name val="Arial"/>
      <family val="2"/>
    </font>
    <font>
      <b/>
      <i/>
      <sz val="10"/>
      <color theme="0" tint="-0.499984740745262"/>
      <name val="Arial"/>
      <family val="2"/>
    </font>
    <font>
      <sz val="10"/>
      <color theme="0" tint="-0.499984740745262"/>
      <name val="Arial"/>
      <family val="2"/>
    </font>
    <font>
      <b/>
      <i/>
      <sz val="11"/>
      <name val="Calibri"/>
      <family val="2"/>
      <scheme val="minor"/>
    </font>
    <font>
      <sz val="11"/>
      <name val="Calibri"/>
      <family val="2"/>
      <scheme val="minor"/>
    </font>
    <font>
      <sz val="11"/>
      <color theme="0" tint="-0.499984740745262"/>
      <name val="Arial"/>
      <family val="2"/>
    </font>
    <font>
      <b/>
      <sz val="11"/>
      <color theme="0" tint="-0.499984740745262"/>
      <name val="Calibri"/>
      <family val="2"/>
      <scheme val="minor"/>
    </font>
    <font>
      <sz val="11"/>
      <color theme="0" tint="-0.499984740745262"/>
      <name val="Calibri"/>
      <family val="2"/>
      <scheme val="minor"/>
    </font>
    <font>
      <b/>
      <sz val="11"/>
      <name val="Calibri"/>
      <family val="2"/>
      <scheme val="minor"/>
    </font>
    <font>
      <b/>
      <sz val="14"/>
      <color rgb="FFFF0000"/>
      <name val="Arial"/>
      <family val="2"/>
    </font>
    <font>
      <sz val="11"/>
      <color theme="2"/>
      <name val="Arial"/>
      <family val="2"/>
    </font>
    <font>
      <b/>
      <sz val="11"/>
      <color rgb="FF000000"/>
      <name val="Arial"/>
      <family val="2"/>
    </font>
    <font>
      <b/>
      <sz val="11"/>
      <color theme="1"/>
      <name val="Arial"/>
      <family val="2"/>
    </font>
    <font>
      <sz val="12"/>
      <color theme="1"/>
      <name val="Calibri"/>
      <family val="2"/>
      <scheme val="minor"/>
    </font>
    <font>
      <sz val="11"/>
      <color rgb="FF000000"/>
      <name val="Arial"/>
      <family val="2"/>
    </font>
    <font>
      <sz val="11"/>
      <color theme="1"/>
      <name val="Arial"/>
      <family val="2"/>
    </font>
    <font>
      <sz val="11"/>
      <color rgb="FF000000"/>
      <name val="Calibri"/>
      <family val="2"/>
    </font>
    <font>
      <b/>
      <sz val="11"/>
      <color rgb="FF000000"/>
      <name val="Calibri"/>
      <family val="2"/>
    </font>
    <font>
      <sz val="11"/>
      <name val="Calibri"/>
      <family val="2"/>
    </font>
    <font>
      <vertAlign val="superscript"/>
      <sz val="11"/>
      <color rgb="FF000000"/>
      <name val="Calibri"/>
      <family val="2"/>
    </font>
    <font>
      <sz val="11"/>
      <color rgb="FFA5A5A5"/>
      <name val="Calibri"/>
      <family val="2"/>
    </font>
    <font>
      <sz val="10"/>
      <color rgb="FF000000"/>
      <name val="Arial"/>
      <family val="2"/>
    </font>
    <font>
      <sz val="12"/>
      <color indexed="8"/>
      <name val="Calibri"/>
      <family val="2"/>
    </font>
    <font>
      <sz val="11"/>
      <color indexed="62"/>
      <name val="Calibri"/>
      <family val="2"/>
    </font>
    <font>
      <b/>
      <sz val="11"/>
      <color indexed="53"/>
      <name val="Calibri"/>
      <family val="2"/>
    </font>
    <font>
      <u/>
      <sz val="11"/>
      <color theme="10"/>
      <name val="Calibri"/>
      <family val="2"/>
      <scheme val="minor"/>
    </font>
    <font>
      <sz val="9"/>
      <color theme="1"/>
      <name val="Calibri"/>
      <family val="2"/>
      <scheme val="minor"/>
    </font>
    <font>
      <sz val="12"/>
      <color rgb="FF9C0006"/>
      <name val="Calibri"/>
      <family val="2"/>
      <scheme val="minor"/>
    </font>
    <font>
      <b/>
      <sz val="26"/>
      <name val="Arial"/>
      <family val="2"/>
    </font>
    <font>
      <b/>
      <sz val="10"/>
      <color rgb="FFFFFFFF"/>
      <name val="Arial"/>
      <family val="2"/>
    </font>
    <font>
      <sz val="12"/>
      <color rgb="FF000000"/>
      <name val="Calibri"/>
      <family val="2"/>
    </font>
    <font>
      <b/>
      <sz val="12"/>
      <color rgb="FF000000"/>
      <name val="Calibri"/>
      <family val="2"/>
    </font>
    <font>
      <sz val="10"/>
      <color theme="1"/>
      <name val="Arial"/>
      <family val="2"/>
    </font>
    <font>
      <i/>
      <sz val="10"/>
      <color rgb="FFFF0000"/>
      <name val="Arial"/>
      <family val="2"/>
    </font>
    <font>
      <b/>
      <sz val="12"/>
      <color rgb="FF000000"/>
      <name val="Arial"/>
      <family val="2"/>
    </font>
    <font>
      <b/>
      <sz val="12"/>
      <color indexed="81"/>
      <name val="Arial"/>
      <family val="2"/>
    </font>
    <font>
      <sz val="12"/>
      <color indexed="81"/>
      <name val="Arial"/>
      <family val="2"/>
    </font>
    <font>
      <i/>
      <sz val="10"/>
      <name val="Arial"/>
      <family val="2"/>
    </font>
    <font>
      <sz val="9"/>
      <color indexed="8"/>
      <name val="Arial"/>
      <family val="2"/>
    </font>
    <font>
      <sz val="9"/>
      <name val="Arial"/>
      <family val="2"/>
    </font>
    <font>
      <b/>
      <i/>
      <sz val="9"/>
      <name val="Arial"/>
      <family val="2"/>
    </font>
    <font>
      <b/>
      <sz val="9"/>
      <color indexed="8"/>
      <name val="Arial"/>
      <family val="2"/>
    </font>
    <font>
      <sz val="10"/>
      <color rgb="FF2E2E2E"/>
      <name val="Arial"/>
      <family val="2"/>
    </font>
    <font>
      <b/>
      <sz val="12"/>
      <color rgb="FF000000"/>
      <name val="Tahoma"/>
      <family val="2"/>
    </font>
    <font>
      <sz val="12"/>
      <color rgb="FF000000"/>
      <name val="Tahoma"/>
      <family val="2"/>
    </font>
    <font>
      <sz val="14"/>
      <color rgb="FF000000"/>
      <name val="Tahoma"/>
      <family val="2"/>
    </font>
    <font>
      <sz val="10"/>
      <name val="Helvetica"/>
      <family val="2"/>
    </font>
    <font>
      <sz val="12"/>
      <name val="Helvetica"/>
      <family val="2"/>
    </font>
    <font>
      <sz val="14"/>
      <name val="Helvetica"/>
      <family val="2"/>
    </font>
    <font>
      <sz val="9"/>
      <name val="Times"/>
      <family val="1"/>
    </font>
    <font>
      <sz val="18"/>
      <color rgb="FF333333"/>
      <name val="Georgia"/>
      <family val="1"/>
    </font>
    <font>
      <b/>
      <sz val="10"/>
      <name val="Roboto"/>
    </font>
    <font>
      <sz val="10"/>
      <name val="Roboto"/>
    </font>
    <font>
      <sz val="10"/>
      <color rgb="FF222222"/>
      <name val="Arial"/>
      <family val="2"/>
    </font>
    <font>
      <b/>
      <sz val="9"/>
      <color rgb="FF000000"/>
      <name val="Tahoma"/>
      <family val="2"/>
    </font>
    <font>
      <sz val="9"/>
      <color rgb="FF000000"/>
      <name val="Tahoma"/>
      <family val="2"/>
    </font>
    <font>
      <sz val="11"/>
      <color rgb="FF000000"/>
      <name val="Tahoma"/>
      <family val="2"/>
    </font>
    <font>
      <b/>
      <sz val="12"/>
      <color theme="1"/>
      <name val="Calibri"/>
      <family val="2"/>
      <scheme val="minor"/>
    </font>
    <font>
      <b/>
      <i/>
      <sz val="12"/>
      <color theme="1"/>
      <name val="Calibri"/>
      <family val="2"/>
      <scheme val="minor"/>
    </font>
    <font>
      <b/>
      <i/>
      <sz val="10"/>
      <color theme="1"/>
      <name val="Arial"/>
      <family val="2"/>
    </font>
    <font>
      <i/>
      <sz val="11"/>
      <name val="Calibri"/>
      <family val="2"/>
    </font>
    <font>
      <b/>
      <i/>
      <sz val="14"/>
      <name val="Arial"/>
      <family val="2"/>
    </font>
    <font>
      <b/>
      <i/>
      <sz val="12"/>
      <color theme="1"/>
      <name val="Arial"/>
      <family val="2"/>
    </font>
  </fonts>
  <fills count="51">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
      <patternFill patternType="solid">
        <fgColor indexed="27"/>
        <bgColor indexed="26"/>
      </patternFill>
    </fill>
    <fill>
      <patternFill patternType="solid">
        <fgColor theme="2"/>
        <bgColor indexed="26"/>
      </patternFill>
    </fill>
    <fill>
      <patternFill patternType="solid">
        <fgColor theme="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indexed="42"/>
        <bgColor indexed="41"/>
      </patternFill>
    </fill>
    <fill>
      <patternFill patternType="solid">
        <fgColor theme="5" tint="0.59999389629810485"/>
        <bgColor indexed="47"/>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0"/>
        <bgColor indexed="64"/>
      </patternFill>
    </fill>
    <fill>
      <patternFill patternType="solid">
        <fgColor theme="5" tint="0.59999389629810485"/>
        <bgColor indexed="41"/>
      </patternFill>
    </fill>
    <fill>
      <patternFill patternType="solid">
        <fgColor rgb="FFFFFF99"/>
        <bgColor indexed="41"/>
      </patternFill>
    </fill>
    <fill>
      <patternFill patternType="solid">
        <fgColor rgb="FFC6E0B4"/>
        <bgColor rgb="FF000000"/>
      </patternFill>
    </fill>
    <fill>
      <patternFill patternType="solid">
        <fgColor rgb="FFF8CBAD"/>
        <bgColor rgb="FF000000"/>
      </patternFill>
    </fill>
    <fill>
      <patternFill patternType="solid">
        <fgColor rgb="FFC5E0B3"/>
        <bgColor indexed="64"/>
      </patternFill>
    </fill>
    <fill>
      <patternFill patternType="solid">
        <fgColor rgb="FFFFC000"/>
        <bgColor rgb="FFFFC000"/>
      </patternFill>
    </fill>
    <fill>
      <patternFill patternType="solid">
        <fgColor theme="8" tint="0.39997558519241921"/>
        <bgColor indexed="64"/>
      </patternFill>
    </fill>
    <fill>
      <patternFill patternType="solid">
        <fgColor rgb="FFFFFF9B"/>
        <bgColor indexed="64"/>
      </patternFill>
    </fill>
    <fill>
      <patternFill patternType="solid">
        <fgColor rgb="FFFF0000"/>
        <bgColor indexed="64"/>
      </patternFill>
    </fill>
    <fill>
      <patternFill patternType="solid">
        <fgColor theme="8" tint="0.59999389629810485"/>
        <bgColor indexed="64"/>
      </patternFill>
    </fill>
    <fill>
      <patternFill patternType="solid">
        <fgColor indexed="47"/>
        <bgColor indexed="45"/>
      </patternFill>
    </fill>
    <fill>
      <patternFill patternType="solid">
        <fgColor indexed="26"/>
        <bgColor indexed="27"/>
      </patternFill>
    </fill>
    <fill>
      <patternFill patternType="solid">
        <fgColor indexed="9"/>
        <bgColor indexed="9"/>
      </patternFill>
    </fill>
    <fill>
      <patternFill patternType="solid">
        <fgColor rgb="FFFFFFFF"/>
        <bgColor indexed="9"/>
      </patternFill>
    </fill>
    <fill>
      <patternFill patternType="solid">
        <fgColor rgb="FFFFC7CE"/>
      </patternFill>
    </fill>
    <fill>
      <patternFill patternType="solid">
        <fgColor rgb="FFFFFFCC"/>
      </patternFill>
    </fill>
    <fill>
      <patternFill patternType="solid">
        <fgColor theme="5" tint="0.39997558519241921"/>
        <bgColor indexed="64"/>
      </patternFill>
    </fill>
    <fill>
      <patternFill patternType="solid">
        <fgColor rgb="FF00B0F0"/>
        <bgColor indexed="64"/>
      </patternFill>
    </fill>
    <fill>
      <patternFill patternType="solid">
        <fgColor rgb="FFFFC000"/>
        <bgColor indexed="64"/>
      </patternFill>
    </fill>
    <fill>
      <patternFill patternType="solid">
        <fgColor rgb="FF7030A0"/>
        <bgColor indexed="64"/>
      </patternFill>
    </fill>
    <fill>
      <patternFill patternType="solid">
        <fgColor rgb="FFED7D31"/>
        <bgColor indexed="64"/>
      </patternFill>
    </fill>
    <fill>
      <patternFill patternType="solid">
        <fgColor theme="9" tint="0.59999389629810485"/>
        <bgColor indexed="47"/>
      </patternFill>
    </fill>
    <fill>
      <patternFill patternType="solid">
        <fgColor theme="7"/>
        <bgColor indexed="64"/>
      </patternFill>
    </fill>
    <fill>
      <patternFill patternType="solid">
        <fgColor indexed="22"/>
      </patternFill>
    </fill>
    <fill>
      <patternFill patternType="solid">
        <fgColor rgb="FFFFFF99"/>
        <bgColor indexed="64"/>
      </patternFill>
    </fill>
    <fill>
      <patternFill patternType="solid">
        <fgColor indexed="44"/>
        <bgColor indexed="64"/>
      </patternFill>
    </fill>
    <fill>
      <patternFill patternType="solid">
        <fgColor theme="6" tint="0.59999389629810485"/>
        <bgColor indexed="41"/>
      </patternFill>
    </fill>
    <fill>
      <patternFill patternType="solid">
        <fgColor theme="6" tint="0.59999389629810485"/>
        <bgColor indexed="64"/>
      </patternFill>
    </fill>
    <fill>
      <patternFill patternType="solid">
        <fgColor theme="9"/>
        <bgColor indexed="64"/>
      </patternFill>
    </fill>
    <fill>
      <patternFill patternType="solid">
        <fgColor theme="2" tint="-9.9978637043366805E-2"/>
        <bgColor indexed="64"/>
      </patternFill>
    </fill>
    <fill>
      <patternFill patternType="solid">
        <fgColor theme="2" tint="-9.9978637043366805E-2"/>
        <bgColor indexed="41"/>
      </patternFill>
    </fill>
  </fills>
  <borders count="210">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top style="thin">
        <color auto="1"/>
      </top>
      <bottom style="thin">
        <color auto="1"/>
      </bottom>
      <diagonal/>
    </border>
    <border>
      <left style="thin">
        <color auto="1"/>
      </left>
      <right/>
      <top/>
      <bottom style="thin">
        <color auto="1"/>
      </bottom>
      <diagonal/>
    </border>
    <border>
      <left/>
      <right style="thin">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diagonal/>
    </border>
    <border>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style="thin">
        <color auto="1"/>
      </right>
      <top/>
      <bottom style="thin">
        <color auto="1"/>
      </bottom>
      <diagonal/>
    </border>
    <border>
      <left style="medium">
        <color indexed="64"/>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medium">
        <color auto="1"/>
      </right>
      <top style="thin">
        <color auto="1"/>
      </top>
      <bottom style="thin">
        <color auto="1"/>
      </bottom>
      <diagonal/>
    </border>
    <border>
      <left style="medium">
        <color indexed="64"/>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8"/>
      </right>
      <top/>
      <bottom style="thin">
        <color indexed="8"/>
      </bottom>
      <diagonal/>
    </border>
    <border>
      <left style="thin">
        <color indexed="8"/>
      </left>
      <right style="thin">
        <color indexed="8"/>
      </right>
      <top/>
      <bottom/>
      <diagonal/>
    </border>
    <border>
      <left style="thin">
        <color indexed="8"/>
      </left>
      <right style="medium">
        <color indexed="64"/>
      </right>
      <top/>
      <bottom/>
      <diagonal/>
    </border>
    <border>
      <left style="medium">
        <color indexed="64"/>
      </left>
      <right style="thin">
        <color indexed="8"/>
      </right>
      <top/>
      <bottom/>
      <diagonal/>
    </border>
    <border>
      <left style="medium">
        <color indexed="64"/>
      </left>
      <right style="thin">
        <color indexed="8"/>
      </right>
      <top style="thin">
        <color indexed="8"/>
      </top>
      <bottom style="thin">
        <color indexed="8"/>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bottom style="thin">
        <color indexed="8"/>
      </bottom>
      <diagonal/>
    </border>
    <border>
      <left style="thin">
        <color indexed="8"/>
      </left>
      <right style="medium">
        <color indexed="64"/>
      </right>
      <top/>
      <bottom style="thin">
        <color indexed="8"/>
      </bottom>
      <diagonal/>
    </border>
    <border>
      <left style="medium">
        <color auto="1"/>
      </left>
      <right style="medium">
        <color auto="1"/>
      </right>
      <top style="medium">
        <color auto="1"/>
      </top>
      <bottom style="thin">
        <color auto="1"/>
      </bottom>
      <diagonal/>
    </border>
    <border>
      <left style="thin">
        <color indexed="8"/>
      </left>
      <right style="medium">
        <color indexed="64"/>
      </right>
      <top style="thin">
        <color indexed="8"/>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8"/>
      </right>
      <top style="thin">
        <color indexed="8"/>
      </top>
      <bottom style="medium">
        <color indexed="64"/>
      </bottom>
      <diagonal/>
    </border>
    <border>
      <left style="thin">
        <color indexed="8"/>
      </left>
      <right style="thin">
        <color indexed="8"/>
      </right>
      <top/>
      <bottom style="medium">
        <color indexed="64"/>
      </bottom>
      <diagonal/>
    </border>
    <border>
      <left style="thin">
        <color indexed="8"/>
      </left>
      <right style="medium">
        <color indexed="64"/>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auto="1"/>
      </left>
      <right style="medium">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64"/>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64"/>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medium">
        <color indexed="64"/>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n">
        <color auto="1"/>
      </bottom>
      <diagonal/>
    </border>
    <border>
      <left style="thin">
        <color indexed="8"/>
      </left>
      <right style="thin">
        <color indexed="8"/>
      </right>
      <top style="thin">
        <color indexed="8"/>
      </top>
      <bottom/>
      <diagonal/>
    </border>
    <border>
      <left style="thin">
        <color indexed="8"/>
      </left>
      <right style="thin">
        <color indexed="8"/>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64"/>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indexed="8"/>
      </left>
      <right style="thin">
        <color indexed="8"/>
      </right>
      <top style="thin">
        <color indexed="8"/>
      </top>
      <bottom/>
      <diagonal/>
    </border>
    <border>
      <left style="thin">
        <color indexed="8"/>
      </left>
      <right style="thin">
        <color indexed="8"/>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auto="1"/>
      </left>
      <right/>
      <top style="medium">
        <color auto="1"/>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style="thin">
        <color indexed="8"/>
      </bottom>
      <diagonal/>
    </border>
    <border>
      <left/>
      <right/>
      <top/>
      <bottom style="medium">
        <color auto="1"/>
      </bottom>
      <diagonal/>
    </border>
    <border diagonalDown="1">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dashed">
        <color theme="0" tint="-0.24994659260841701"/>
      </bottom>
      <diagonal/>
    </border>
    <border>
      <left style="thin">
        <color indexed="23"/>
      </left>
      <right style="thin">
        <color indexed="23"/>
      </right>
      <top style="thin">
        <color indexed="23"/>
      </top>
      <bottom style="thin">
        <color indexed="23"/>
      </bottom>
      <diagonal/>
    </border>
    <border>
      <left style="thin">
        <color rgb="FFB2B2B2"/>
      </left>
      <right style="thin">
        <color rgb="FFB2B2B2"/>
      </right>
      <top style="thin">
        <color rgb="FFB2B2B2"/>
      </top>
      <bottom style="thin">
        <color rgb="FFB2B2B2"/>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auto="1"/>
      </left>
      <right style="thin">
        <color auto="1"/>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bottom style="thin">
        <color indexed="64"/>
      </bottom>
      <diagonal/>
    </border>
    <border>
      <left style="thin">
        <color indexed="8"/>
      </left>
      <right style="thin">
        <color auto="1"/>
      </right>
      <top/>
      <bottom style="thin">
        <color indexed="8"/>
      </bottom>
      <diagonal/>
    </border>
    <border>
      <left/>
      <right/>
      <top/>
      <bottom style="thin">
        <color indexed="64"/>
      </bottom>
      <diagonal/>
    </border>
    <border>
      <left style="thin">
        <color auto="1"/>
      </left>
      <right/>
      <top/>
      <bottom style="thin">
        <color auto="1"/>
      </bottom>
      <diagonal/>
    </border>
    <border>
      <left style="thin">
        <color auto="1"/>
      </left>
      <right style="thin">
        <color indexed="8"/>
      </right>
      <top style="thin">
        <color indexed="8"/>
      </top>
      <bottom style="thin">
        <color indexed="8"/>
      </bottom>
      <diagonal/>
    </border>
    <border>
      <left style="thin">
        <color indexed="8"/>
      </left>
      <right style="thin">
        <color auto="1"/>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8"/>
      </left>
      <right style="thin">
        <color indexed="8"/>
      </right>
      <top style="thin">
        <color indexed="8"/>
      </top>
      <bottom style="thin">
        <color indexed="8"/>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8"/>
      </bottom>
      <diagonal/>
    </border>
    <border>
      <left style="thin">
        <color indexed="8"/>
      </left>
      <right/>
      <top/>
      <bottom style="thin">
        <color indexed="8"/>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rgb="FFC0C0C0"/>
      </left>
      <right style="thin">
        <color rgb="FFC0C0C0"/>
      </right>
      <top style="thin">
        <color rgb="FFC0C0C0"/>
      </top>
      <bottom style="thin">
        <color rgb="FFC0C0C0"/>
      </bottom>
      <diagonal/>
    </border>
    <border>
      <left/>
      <right style="thin">
        <color indexed="8"/>
      </right>
      <top style="thin">
        <color indexed="8"/>
      </top>
      <bottom style="thin">
        <color indexed="8"/>
      </bottom>
      <diagonal/>
    </border>
    <border>
      <left/>
      <right style="thin">
        <color indexed="64"/>
      </right>
      <top style="thin">
        <color indexed="64"/>
      </top>
      <bottom style="thin">
        <color indexed="64"/>
      </bottom>
      <diagonal/>
    </border>
    <border>
      <left/>
      <right style="thin">
        <color indexed="8"/>
      </right>
      <top/>
      <bottom/>
      <diagonal/>
    </border>
    <border>
      <left style="medium">
        <color indexed="64"/>
      </left>
      <right style="thin">
        <color auto="1"/>
      </right>
      <top style="medium">
        <color indexed="64"/>
      </top>
      <bottom/>
      <diagonal/>
    </border>
    <border>
      <left/>
      <right style="thin">
        <color indexed="8"/>
      </right>
      <top/>
      <bottom style="thin">
        <color indexed="8"/>
      </bottom>
      <diagonal/>
    </border>
    <border>
      <left/>
      <right style="thin">
        <color indexed="8"/>
      </right>
      <top style="thin">
        <color indexed="8"/>
      </top>
      <bottom style="medium">
        <color indexed="64"/>
      </bottom>
      <diagonal/>
    </border>
    <border>
      <left style="thin">
        <color auto="1"/>
      </left>
      <right style="thin">
        <color auto="1"/>
      </right>
      <top style="medium">
        <color indexed="64"/>
      </top>
      <bottom/>
      <diagonal/>
    </border>
    <border>
      <left style="thin">
        <color auto="1"/>
      </left>
      <right style="medium">
        <color auto="1"/>
      </right>
      <top style="medium">
        <color indexed="64"/>
      </top>
      <bottom/>
      <diagonal/>
    </border>
    <border>
      <left/>
      <right style="thin">
        <color indexed="64"/>
      </right>
      <top style="medium">
        <color indexed="64"/>
      </top>
      <bottom style="thin">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8"/>
      </top>
      <bottom style="thin">
        <color indexed="8"/>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style="medium">
        <color indexed="64"/>
      </right>
      <top style="thin">
        <color indexed="8"/>
      </top>
      <bottom style="thin">
        <color indexed="8"/>
      </bottom>
      <diagonal/>
    </border>
    <border>
      <left/>
      <right/>
      <top style="thin">
        <color indexed="64"/>
      </top>
      <bottom style="thin">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medium">
        <color indexed="64"/>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style="medium">
        <color indexed="64"/>
      </right>
      <top/>
      <bottom style="thin">
        <color indexed="8"/>
      </bottom>
      <diagonal/>
    </border>
    <border>
      <left style="medium">
        <color indexed="64"/>
      </left>
      <right/>
      <top style="thin">
        <color auto="1"/>
      </top>
      <bottom style="thin">
        <color auto="1"/>
      </bottom>
      <diagonal/>
    </border>
    <border>
      <left/>
      <right style="medium">
        <color indexed="64"/>
      </right>
      <top style="thin">
        <color indexed="8"/>
      </top>
      <bottom style="thin">
        <color indexed="8"/>
      </bottom>
      <diagonal/>
    </border>
    <border>
      <left style="medium">
        <color indexed="64"/>
      </left>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8"/>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bottom style="thin">
        <color indexed="8"/>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8"/>
      </top>
      <bottom style="medium">
        <color indexed="64"/>
      </bottom>
      <diagonal/>
    </border>
    <border>
      <left style="medium">
        <color indexed="64"/>
      </left>
      <right/>
      <top style="medium">
        <color indexed="64"/>
      </top>
      <bottom style="thin">
        <color indexed="8"/>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thin">
        <color indexed="8"/>
      </top>
      <bottom style="thin">
        <color indexed="8"/>
      </bottom>
      <diagonal/>
    </border>
    <border>
      <left style="medium">
        <color indexed="64"/>
      </left>
      <right style="thin">
        <color auto="1"/>
      </right>
      <top style="thin">
        <color auto="1"/>
      </top>
      <bottom style="thin">
        <color auto="1"/>
      </bottom>
      <diagonal/>
    </border>
    <border>
      <left style="medium">
        <color indexed="64"/>
      </left>
      <right style="thin">
        <color indexed="8"/>
      </right>
      <top style="thin">
        <color indexed="8"/>
      </top>
      <bottom style="thin">
        <color indexed="8"/>
      </bottom>
      <diagonal/>
    </border>
    <border>
      <left/>
      <right style="medium">
        <color indexed="64"/>
      </right>
      <top style="thin">
        <color indexed="8"/>
      </top>
      <bottom style="medium">
        <color indexed="64"/>
      </bottom>
      <diagonal/>
    </border>
    <border>
      <left style="medium">
        <color indexed="64"/>
      </left>
      <right style="thin">
        <color indexed="8"/>
      </right>
      <top style="thin">
        <color indexed="8"/>
      </top>
      <bottom style="medium">
        <color indexed="64"/>
      </bottom>
      <diagonal/>
    </border>
    <border>
      <left style="medium">
        <color indexed="64"/>
      </left>
      <right/>
      <top style="thin">
        <color indexed="8"/>
      </top>
      <bottom style="thin">
        <color indexed="8"/>
      </bottom>
      <diagonal/>
    </border>
    <border>
      <left style="medium">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style="thin">
        <color indexed="8"/>
      </right>
      <top style="thin">
        <color indexed="8"/>
      </top>
      <bottom style="thin">
        <color indexed="8"/>
      </bottom>
      <diagonal/>
    </border>
    <border>
      <left style="thin">
        <color auto="1"/>
      </left>
      <right/>
      <top style="thin">
        <color auto="1"/>
      </top>
      <bottom style="thin">
        <color auto="1"/>
      </bottom>
      <diagonal/>
    </border>
    <border>
      <left/>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s>
  <cellStyleXfs count="233">
    <xf numFmtId="0" fontId="0" fillId="0" borderId="0"/>
    <xf numFmtId="0" fontId="9" fillId="0" borderId="0"/>
    <xf numFmtId="0" fontId="20" fillId="0" borderId="0" applyNumberFormat="0" applyFill="0" applyBorder="0" applyAlignment="0" applyProtection="0"/>
    <xf numFmtId="0" fontId="6" fillId="0" borderId="0"/>
    <xf numFmtId="165" fontId="9" fillId="0" borderId="0" applyFont="0" applyFill="0" applyBorder="0" applyAlignment="0" applyProtection="0"/>
    <xf numFmtId="9" fontId="9" fillId="0" borderId="0" applyBorder="0"/>
    <xf numFmtId="9" fontId="9" fillId="0" borderId="0" applyFont="0" applyFill="0" applyBorder="0" applyAlignment="0" applyProtection="0"/>
    <xf numFmtId="0" fontId="5" fillId="0" borderId="0"/>
    <xf numFmtId="0" fontId="4" fillId="0" borderId="0"/>
    <xf numFmtId="43" fontId="4" fillId="0" borderId="0" applyFont="0" applyFill="0" applyBorder="0" applyAlignment="0" applyProtection="0"/>
    <xf numFmtId="0" fontId="3" fillId="0" borderId="0"/>
    <xf numFmtId="0" fontId="76" fillId="0" borderId="0"/>
    <xf numFmtId="0" fontId="3" fillId="0" borderId="0"/>
    <xf numFmtId="0" fontId="79" fillId="0" borderId="0"/>
    <xf numFmtId="0" fontId="21" fillId="0" borderId="0" applyNumberFormat="0" applyFill="0" applyBorder="0" applyAlignment="0" applyProtection="0"/>
    <xf numFmtId="0" fontId="84" fillId="0" borderId="0"/>
    <xf numFmtId="177" fontId="9" fillId="0" borderId="0" applyBorder="0"/>
    <xf numFmtId="0" fontId="86" fillId="30" borderId="112" applyNumberFormat="0" applyAlignment="0" applyProtection="0"/>
    <xf numFmtId="0" fontId="87" fillId="31" borderId="112" applyNumberFormat="0" applyAlignment="0" applyProtection="0"/>
    <xf numFmtId="0" fontId="85" fillId="0" borderId="0"/>
    <xf numFmtId="0" fontId="76" fillId="0" borderId="0"/>
    <xf numFmtId="44" fontId="76" fillId="0" borderId="0" applyFont="0" applyFill="0" applyBorder="0" applyAlignment="0" applyProtection="0"/>
    <xf numFmtId="43" fontId="76"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88" fillId="0" borderId="0" applyNumberFormat="0" applyFill="0" applyBorder="0" applyAlignment="0" applyProtection="0"/>
    <xf numFmtId="178" fontId="26" fillId="32" borderId="0" applyNumberFormat="0" applyBorder="0">
      <alignment horizontal="left"/>
      <protection locked="0"/>
    </xf>
    <xf numFmtId="0" fontId="2" fillId="0" borderId="0"/>
    <xf numFmtId="43" fontId="2" fillId="0" borderId="0" applyFont="0" applyFill="0" applyBorder="0" applyAlignment="0" applyProtection="0"/>
    <xf numFmtId="0" fontId="45" fillId="0" borderId="0"/>
    <xf numFmtId="43" fontId="45" fillId="0" borderId="0" applyFont="0" applyFill="0" applyBorder="0" applyAlignment="0" applyProtection="0"/>
    <xf numFmtId="9" fontId="45" fillId="0" borderId="0"/>
    <xf numFmtId="0" fontId="2" fillId="0" borderId="0"/>
    <xf numFmtId="178" fontId="45" fillId="33" borderId="0">
      <alignment horizontal="right"/>
      <protection locked="0"/>
    </xf>
    <xf numFmtId="178" fontId="45" fillId="33" borderId="0">
      <alignment horizontal="left"/>
      <protection locked="0"/>
    </xf>
    <xf numFmtId="0" fontId="2" fillId="0" borderId="0"/>
    <xf numFmtId="0" fontId="76" fillId="0" borderId="0"/>
    <xf numFmtId="0" fontId="2" fillId="0" borderId="0"/>
    <xf numFmtId="0" fontId="9" fillId="0" borderId="0"/>
    <xf numFmtId="44" fontId="76" fillId="0" borderId="0" applyFont="0" applyFill="0" applyBorder="0" applyAlignment="0" applyProtection="0"/>
    <xf numFmtId="43" fontId="76" fillId="0" borderId="0" applyFont="0" applyFill="0" applyBorder="0" applyAlignment="0" applyProtection="0"/>
    <xf numFmtId="0" fontId="2" fillId="0" borderId="0"/>
    <xf numFmtId="0" fontId="76"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86" fillId="30" borderId="113" applyNumberFormat="0" applyAlignment="0" applyProtection="0"/>
    <xf numFmtId="0" fontId="87" fillId="31" borderId="113" applyNumberFormat="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87" fillId="31" borderId="113" applyNumberFormat="0" applyAlignment="0" applyProtection="0"/>
    <xf numFmtId="0" fontId="86" fillId="30" borderId="113" applyNumberFormat="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177" fontId="9" fillId="0" borderId="0" applyBorder="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76" fontId="2" fillId="0" borderId="0" applyFont="0" applyFill="0" applyBorder="0" applyAlignment="0" applyProtection="0"/>
    <xf numFmtId="43" fontId="2" fillId="0" borderId="0" applyFont="0" applyFill="0" applyBorder="0" applyAlignment="0" applyProtection="0"/>
    <xf numFmtId="0" fontId="2" fillId="0" borderId="0"/>
    <xf numFmtId="0" fontId="89" fillId="0" borderId="114" applyNumberFormat="0" applyFont="0" applyProtection="0">
      <alignment wrapText="1"/>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6" fontId="2" fillId="0" borderId="0" applyFont="0" applyFill="0" applyBorder="0" applyAlignment="0" applyProtection="0"/>
    <xf numFmtId="0" fontId="87" fillId="31" borderId="115" applyNumberFormat="0" applyAlignment="0" applyProtection="0"/>
    <xf numFmtId="0" fontId="87" fillId="31" borderId="115" applyNumberFormat="0" applyAlignment="0" applyProtection="0"/>
    <xf numFmtId="0" fontId="87" fillId="31" borderId="115" applyNumberFormat="0" applyAlignment="0" applyProtection="0"/>
    <xf numFmtId="0" fontId="86" fillId="30" borderId="115" applyNumberFormat="0" applyAlignment="0" applyProtection="0"/>
    <xf numFmtId="0" fontId="86" fillId="30" borderId="115" applyNumberFormat="0" applyAlignment="0" applyProtection="0"/>
    <xf numFmtId="0" fontId="86" fillId="30" borderId="115" applyNumberFormat="0" applyAlignment="0" applyProtection="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90" fillId="34" borderId="0" applyNumberFormat="0" applyBorder="0" applyAlignment="0" applyProtection="0"/>
    <xf numFmtId="0" fontId="1" fillId="0" borderId="0"/>
    <xf numFmtId="0" fontId="9" fillId="35" borderId="116" applyNumberFormat="0" applyFont="0" applyAlignment="0" applyProtection="0"/>
    <xf numFmtId="0" fontId="1" fillId="0" borderId="0"/>
    <xf numFmtId="43" fontId="1" fillId="0" borderId="0" applyFont="0" applyFill="0" applyBorder="0" applyAlignment="0" applyProtection="0"/>
    <xf numFmtId="43" fontId="9" fillId="0" borderId="0" applyFont="0" applyFill="0" applyBorder="0" applyAlignment="0" applyProtection="0"/>
  </cellStyleXfs>
  <cellXfs count="1326">
    <xf numFmtId="0" fontId="0" fillId="0" borderId="0" xfId="0"/>
    <xf numFmtId="0" fontId="8" fillId="0" borderId="0" xfId="0" applyFont="1"/>
    <xf numFmtId="0" fontId="0" fillId="2" borderId="1" xfId="0" applyFill="1" applyBorder="1"/>
    <xf numFmtId="0" fontId="7" fillId="0" borderId="1" xfId="0" applyFont="1" applyBorder="1"/>
    <xf numFmtId="0" fontId="10" fillId="4" borderId="0" xfId="0" applyFont="1" applyFill="1" applyProtection="1"/>
    <xf numFmtId="0" fontId="10" fillId="4" borderId="0" xfId="0" applyFont="1" applyFill="1" applyBorder="1" applyProtection="1"/>
    <xf numFmtId="2" fontId="10" fillId="4" borderId="0" xfId="0" applyNumberFormat="1" applyFont="1" applyFill="1" applyProtection="1"/>
    <xf numFmtId="2" fontId="12" fillId="5" borderId="0" xfId="0" applyNumberFormat="1" applyFont="1" applyFill="1" applyProtection="1"/>
    <xf numFmtId="0" fontId="12" fillId="5" borderId="0" xfId="0" applyFont="1" applyFill="1" applyProtection="1"/>
    <xf numFmtId="0" fontId="12" fillId="4" borderId="0" xfId="0" applyFont="1" applyFill="1" applyProtection="1"/>
    <xf numFmtId="164" fontId="11" fillId="4" borderId="0" xfId="0" applyNumberFormat="1" applyFont="1" applyFill="1" applyBorder="1" applyProtection="1"/>
    <xf numFmtId="0" fontId="11" fillId="4" borderId="0" xfId="0" applyFont="1" applyFill="1" applyAlignment="1" applyProtection="1">
      <alignment horizontal="center" vertical="center"/>
    </xf>
    <xf numFmtId="0" fontId="14" fillId="0" borderId="0" xfId="1" applyFont="1" applyBorder="1" applyProtection="1"/>
    <xf numFmtId="0" fontId="15" fillId="0" borderId="0" xfId="1" applyFont="1" applyBorder="1" applyProtection="1"/>
    <xf numFmtId="0" fontId="0" fillId="0" borderId="0" xfId="0" applyFont="1" applyFill="1" applyBorder="1" applyAlignment="1" applyProtection="1">
      <alignment wrapText="1"/>
    </xf>
    <xf numFmtId="0" fontId="16" fillId="0" borderId="0" xfId="0" applyFont="1" applyBorder="1" applyAlignment="1" applyProtection="1">
      <alignment vertical="center" wrapText="1"/>
    </xf>
    <xf numFmtId="0" fontId="16" fillId="0" borderId="0" xfId="0" applyFont="1" applyBorder="1" applyAlignment="1" applyProtection="1">
      <alignment vertical="center"/>
    </xf>
    <xf numFmtId="0" fontId="17" fillId="6" borderId="0" xfId="0" applyFont="1" applyFill="1" applyBorder="1" applyAlignment="1" applyProtection="1">
      <alignment vertical="center"/>
    </xf>
    <xf numFmtId="0" fontId="18" fillId="6" borderId="0" xfId="0" applyFont="1" applyFill="1" applyBorder="1" applyAlignment="1" applyProtection="1">
      <alignment vertical="center"/>
    </xf>
    <xf numFmtId="0" fontId="19" fillId="6" borderId="0" xfId="0" applyFont="1" applyFill="1" applyBorder="1" applyProtection="1"/>
    <xf numFmtId="0" fontId="0" fillId="0" borderId="0" xfId="0" applyFont="1" applyBorder="1" applyProtection="1"/>
    <xf numFmtId="164" fontId="0" fillId="0" borderId="0" xfId="0" applyNumberFormat="1" applyFont="1" applyBorder="1" applyProtection="1"/>
    <xf numFmtId="0" fontId="0" fillId="0" borderId="0" xfId="0" applyFont="1" applyBorder="1" applyAlignment="1" applyProtection="1">
      <alignment horizontal="center" vertical="center"/>
    </xf>
    <xf numFmtId="0" fontId="20" fillId="0" borderId="0" xfId="2" applyAlignment="1" applyProtection="1">
      <alignment horizontal="left" indent="1"/>
    </xf>
    <xf numFmtId="0" fontId="21" fillId="0" borderId="0" xfId="2" applyFont="1" applyProtection="1"/>
    <xf numFmtId="0" fontId="0" fillId="0" borderId="0" xfId="0" applyFont="1" applyAlignment="1" applyProtection="1">
      <alignment wrapText="1"/>
    </xf>
    <xf numFmtId="0" fontId="22" fillId="0" borderId="0" xfId="0" applyFont="1" applyBorder="1" applyAlignment="1" applyProtection="1">
      <alignment horizontal="right" wrapText="1"/>
    </xf>
    <xf numFmtId="0" fontId="22" fillId="0" borderId="0" xfId="0" applyFont="1" applyBorder="1" applyAlignment="1" applyProtection="1">
      <alignment wrapText="1"/>
    </xf>
    <xf numFmtId="0" fontId="23" fillId="0" borderId="0" xfId="0" applyFont="1" applyAlignment="1" applyProtection="1">
      <alignment horizontal="left" vertical="center" wrapText="1"/>
    </xf>
    <xf numFmtId="0" fontId="0" fillId="0" borderId="0" xfId="0" applyFont="1" applyProtection="1"/>
    <xf numFmtId="0" fontId="24" fillId="6" borderId="0" xfId="0" applyFont="1" applyFill="1" applyBorder="1" applyAlignment="1" applyProtection="1">
      <alignment horizontal="left" vertical="center"/>
    </xf>
    <xf numFmtId="0" fontId="18" fillId="6" borderId="0" xfId="0" applyFont="1" applyFill="1" applyBorder="1" applyAlignment="1" applyProtection="1">
      <alignment horizontal="right"/>
    </xf>
    <xf numFmtId="0" fontId="19" fillId="6" borderId="0" xfId="0" applyFont="1" applyFill="1" applyProtection="1"/>
    <xf numFmtId="0" fontId="0" fillId="0" borderId="0" xfId="0" applyFont="1" applyAlignment="1" applyProtection="1">
      <alignment horizontal="center" vertical="center"/>
    </xf>
    <xf numFmtId="0" fontId="20" fillId="0" borderId="0" xfId="2" applyAlignment="1" applyProtection="1">
      <alignment horizontal="left" indent="2"/>
    </xf>
    <xf numFmtId="0" fontId="0" fillId="0" borderId="0" xfId="0" applyFont="1" applyAlignment="1" applyProtection="1">
      <alignment horizontal="right" wrapText="1"/>
    </xf>
    <xf numFmtId="0" fontId="0" fillId="3" borderId="0" xfId="0" applyFont="1" applyFill="1" applyProtection="1"/>
    <xf numFmtId="0" fontId="0" fillId="0" borderId="0" xfId="0" applyFont="1" applyBorder="1" applyAlignment="1" applyProtection="1">
      <alignment wrapText="1"/>
    </xf>
    <xf numFmtId="0" fontId="21" fillId="0" borderId="0" xfId="2" applyFont="1" applyBorder="1" applyAlignment="1" applyProtection="1">
      <alignment wrapText="1"/>
    </xf>
    <xf numFmtId="0" fontId="18" fillId="6" borderId="0" xfId="0" applyFont="1" applyFill="1" applyBorder="1" applyProtection="1"/>
    <xf numFmtId="0" fontId="24" fillId="6" borderId="0" xfId="0" applyFont="1" applyFill="1" applyAlignment="1" applyProtection="1"/>
    <xf numFmtId="0" fontId="24" fillId="6" borderId="0" xfId="0" applyFont="1" applyFill="1" applyBorder="1" applyAlignment="1" applyProtection="1"/>
    <xf numFmtId="0" fontId="26" fillId="6" borderId="0" xfId="0" applyFont="1" applyFill="1" applyAlignment="1" applyProtection="1">
      <alignment wrapText="1"/>
    </xf>
    <xf numFmtId="2" fontId="0" fillId="6" borderId="0" xfId="0" applyNumberFormat="1" applyFont="1" applyFill="1" applyProtection="1"/>
    <xf numFmtId="2" fontId="19" fillId="6" borderId="0" xfId="0" applyNumberFormat="1" applyFont="1" applyFill="1" applyAlignment="1" applyProtection="1">
      <alignment horizontal="center" vertical="center"/>
    </xf>
    <xf numFmtId="2" fontId="19" fillId="6" borderId="0" xfId="0" applyNumberFormat="1" applyFont="1" applyFill="1" applyProtection="1"/>
    <xf numFmtId="0" fontId="0" fillId="6" borderId="0" xfId="0" applyFont="1" applyFill="1" applyProtection="1"/>
    <xf numFmtId="164" fontId="0" fillId="6" borderId="0" xfId="0" applyNumberFormat="1" applyFont="1" applyFill="1" applyBorder="1" applyProtection="1"/>
    <xf numFmtId="0" fontId="0" fillId="6" borderId="0" xfId="0" applyFont="1" applyFill="1" applyAlignment="1" applyProtection="1">
      <alignment horizontal="center" vertical="center"/>
    </xf>
    <xf numFmtId="0" fontId="0" fillId="0" borderId="0" xfId="0" applyFont="1" applyFill="1" applyProtection="1"/>
    <xf numFmtId="0" fontId="0" fillId="0" borderId="0" xfId="0" applyFont="1" applyFill="1" applyAlignment="1" applyProtection="1">
      <alignment wrapText="1"/>
    </xf>
    <xf numFmtId="0" fontId="28" fillId="0" borderId="0" xfId="0" applyFont="1" applyFill="1" applyProtection="1"/>
    <xf numFmtId="0" fontId="27" fillId="0" borderId="0" xfId="0" applyFont="1" applyFill="1" applyAlignment="1" applyProtection="1">
      <alignment horizontal="left" vertical="center"/>
    </xf>
    <xf numFmtId="0" fontId="27" fillId="0" borderId="0" xfId="0" applyFont="1" applyFill="1" applyAlignment="1" applyProtection="1">
      <alignment horizontal="center" vertical="center"/>
    </xf>
    <xf numFmtId="164" fontId="0" fillId="0" borderId="0" xfId="0" applyNumberFormat="1" applyFont="1" applyFill="1" applyBorder="1" applyProtection="1"/>
    <xf numFmtId="0" fontId="0" fillId="0" borderId="0" xfId="0" applyFont="1" applyFill="1" applyAlignment="1" applyProtection="1">
      <alignment horizontal="center" vertical="center"/>
    </xf>
    <xf numFmtId="0" fontId="30" fillId="0" borderId="4" xfId="0" applyFont="1" applyBorder="1" applyAlignment="1" applyProtection="1">
      <alignment horizontal="center" vertical="center" wrapText="1"/>
      <protection locked="0"/>
    </xf>
    <xf numFmtId="0" fontId="0" fillId="0" borderId="4" xfId="0" applyFont="1" applyBorder="1" applyAlignment="1" applyProtection="1">
      <alignment wrapText="1"/>
    </xf>
    <xf numFmtId="0" fontId="30" fillId="0" borderId="5" xfId="0" applyFont="1" applyBorder="1" applyAlignment="1" applyProtection="1">
      <alignment horizontal="center" vertical="center" wrapText="1"/>
      <protection locked="0"/>
    </xf>
    <xf numFmtId="0" fontId="31" fillId="3" borderId="1" xfId="0" applyFont="1" applyFill="1" applyBorder="1" applyAlignment="1" applyProtection="1">
      <alignment horizontal="center" vertical="center" wrapText="1"/>
      <protection locked="0"/>
    </xf>
    <xf numFmtId="0" fontId="32" fillId="0" borderId="4" xfId="0" applyFont="1" applyFill="1" applyBorder="1" applyProtection="1"/>
    <xf numFmtId="0" fontId="30" fillId="0" borderId="4" xfId="0" applyFont="1" applyBorder="1" applyAlignment="1" applyProtection="1">
      <alignment horizontal="right"/>
    </xf>
    <xf numFmtId="0" fontId="28" fillId="7" borderId="1" xfId="0" applyFont="1" applyFill="1" applyBorder="1" applyAlignment="1" applyProtection="1">
      <alignment horizontal="center" vertical="center"/>
      <protection locked="0"/>
    </xf>
    <xf numFmtId="0" fontId="28" fillId="0" borderId="4" xfId="0" applyFont="1" applyBorder="1" applyProtection="1">
      <protection locked="0"/>
    </xf>
    <xf numFmtId="0" fontId="31" fillId="3" borderId="1" xfId="0" applyFont="1" applyFill="1" applyBorder="1" applyAlignment="1" applyProtection="1">
      <alignment horizontal="center" vertical="center"/>
      <protection locked="0"/>
    </xf>
    <xf numFmtId="0" fontId="0" fillId="0" borderId="0" xfId="0" applyFont="1" applyAlignment="1" applyProtection="1">
      <alignment horizontal="center"/>
    </xf>
    <xf numFmtId="0" fontId="34" fillId="0" borderId="0" xfId="0" applyFont="1" applyAlignment="1" applyProtection="1">
      <alignment vertical="center" wrapText="1"/>
    </xf>
    <xf numFmtId="0" fontId="28" fillId="8" borderId="1" xfId="0" applyFont="1" applyFill="1" applyBorder="1" applyAlignment="1" applyProtection="1">
      <alignment horizontal="center" vertical="center" wrapText="1"/>
      <protection locked="0"/>
    </xf>
    <xf numFmtId="0" fontId="0" fillId="0" borderId="2" xfId="0" applyFont="1" applyBorder="1" applyAlignment="1" applyProtection="1">
      <alignment wrapText="1"/>
    </xf>
    <xf numFmtId="0" fontId="32" fillId="0" borderId="2" xfId="0" applyFont="1" applyFill="1" applyBorder="1" applyProtection="1"/>
    <xf numFmtId="0" fontId="30" fillId="0" borderId="2" xfId="0" applyFont="1" applyBorder="1" applyAlignment="1" applyProtection="1">
      <alignment horizontal="right"/>
    </xf>
    <xf numFmtId="0" fontId="28" fillId="0" borderId="2" xfId="0" applyFont="1" applyBorder="1" applyProtection="1">
      <protection locked="0"/>
    </xf>
    <xf numFmtId="0" fontId="35" fillId="0" borderId="0" xfId="0" applyFont="1" applyAlignment="1" applyProtection="1">
      <alignment horizontal="center" vertical="center"/>
    </xf>
    <xf numFmtId="0" fontId="35" fillId="0" borderId="0" xfId="0" applyFont="1" applyFill="1" applyBorder="1" applyAlignment="1" applyProtection="1">
      <alignment horizontal="center" vertical="center" wrapText="1"/>
    </xf>
    <xf numFmtId="0" fontId="36" fillId="6" borderId="0" xfId="0" applyFont="1" applyFill="1" applyAlignment="1" applyProtection="1">
      <alignment wrapText="1"/>
    </xf>
    <xf numFmtId="0" fontId="29" fillId="0" borderId="0" xfId="0" applyFont="1" applyAlignment="1" applyProtection="1">
      <alignment horizontal="right" vertical="center" wrapText="1"/>
    </xf>
    <xf numFmtId="0" fontId="37" fillId="0" borderId="0" xfId="0" applyFont="1" applyAlignment="1" applyProtection="1">
      <alignment horizontal="right" vertical="center" wrapText="1"/>
    </xf>
    <xf numFmtId="0" fontId="28" fillId="0" borderId="0" xfId="0" applyFont="1" applyAlignment="1" applyProtection="1">
      <alignment horizontal="right" vertical="center" wrapText="1"/>
    </xf>
    <xf numFmtId="0" fontId="28" fillId="0" borderId="0" xfId="0" applyFont="1" applyAlignment="1" applyProtection="1">
      <alignment horizontal="center" vertical="center" wrapText="1"/>
      <protection locked="0"/>
    </xf>
    <xf numFmtId="0" fontId="28" fillId="0" borderId="0" xfId="0" applyFont="1" applyFill="1" applyAlignment="1" applyProtection="1">
      <alignment wrapText="1"/>
      <protection locked="0"/>
    </xf>
    <xf numFmtId="0" fontId="38" fillId="0" borderId="0" xfId="0" applyFont="1" applyProtection="1"/>
    <xf numFmtId="0" fontId="28" fillId="0" borderId="0" xfId="0" applyFont="1" applyAlignment="1" applyProtection="1">
      <alignment horizontal="center" vertical="center"/>
      <protection locked="0"/>
    </xf>
    <xf numFmtId="0" fontId="28" fillId="0" borderId="0" xfId="0" applyFont="1" applyProtection="1">
      <protection locked="0"/>
    </xf>
    <xf numFmtId="0" fontId="28" fillId="0" borderId="0" xfId="0" applyFont="1" applyFill="1" applyProtection="1">
      <protection locked="0"/>
    </xf>
    <xf numFmtId="0" fontId="39" fillId="0" borderId="0" xfId="0" applyFont="1" applyAlignment="1" applyProtection="1">
      <alignment horizontal="right" vertical="center" wrapText="1"/>
    </xf>
    <xf numFmtId="0" fontId="31" fillId="8" borderId="1" xfId="0" applyFont="1" applyFill="1" applyBorder="1" applyAlignment="1" applyProtection="1">
      <alignment horizontal="center" vertical="center"/>
      <protection locked="0"/>
    </xf>
    <xf numFmtId="0" fontId="31" fillId="8" borderId="1" xfId="0" applyFont="1" applyFill="1" applyBorder="1" applyAlignment="1" applyProtection="1">
      <alignment horizontal="center" vertical="center" wrapText="1"/>
      <protection locked="0"/>
    </xf>
    <xf numFmtId="0" fontId="36" fillId="6" borderId="0" xfId="0" applyFont="1" applyFill="1" applyBorder="1" applyAlignment="1" applyProtection="1">
      <alignment wrapText="1"/>
    </xf>
    <xf numFmtId="0" fontId="32" fillId="0" borderId="0" xfId="0" applyFont="1" applyFill="1" applyProtection="1"/>
    <xf numFmtId="0" fontId="0" fillId="0" borderId="0" xfId="0" applyFont="1" applyFill="1" applyBorder="1" applyProtection="1"/>
    <xf numFmtId="0" fontId="8" fillId="0" borderId="0" xfId="0" applyFont="1" applyFill="1" applyBorder="1" applyAlignment="1" applyProtection="1">
      <alignment horizontal="left" vertical="center"/>
    </xf>
    <xf numFmtId="0" fontId="30" fillId="0" borderId="0" xfId="0" applyFont="1" applyAlignment="1" applyProtection="1">
      <alignment wrapText="1"/>
    </xf>
    <xf numFmtId="0" fontId="0" fillId="0" borderId="0" xfId="0" applyFont="1" applyFill="1" applyBorder="1" applyAlignment="1" applyProtection="1">
      <alignment horizontal="left" vertical="center"/>
    </xf>
    <xf numFmtId="0" fontId="31" fillId="0" borderId="0" xfId="0" applyFont="1" applyAlignment="1" applyProtection="1">
      <alignment horizontal="right"/>
    </xf>
    <xf numFmtId="0" fontId="28" fillId="0" borderId="0" xfId="0" applyFont="1" applyAlignment="1" applyProtection="1">
      <alignment wrapText="1"/>
    </xf>
    <xf numFmtId="0" fontId="31" fillId="0" borderId="0" xfId="0" applyFont="1" applyAlignment="1" applyProtection="1">
      <alignment horizontal="center" vertical="center"/>
    </xf>
    <xf numFmtId="0" fontId="30" fillId="0" borderId="0" xfId="0" applyFont="1" applyFill="1" applyBorder="1" applyAlignment="1" applyProtection="1">
      <alignment horizontal="right" vertical="center"/>
    </xf>
    <xf numFmtId="0" fontId="31" fillId="7" borderId="1" xfId="0" applyFont="1" applyFill="1" applyBorder="1" applyAlignment="1" applyProtection="1">
      <alignment horizontal="center" vertical="center"/>
      <protection locked="0"/>
    </xf>
    <xf numFmtId="0" fontId="30" fillId="8" borderId="1" xfId="0" applyFont="1" applyFill="1" applyBorder="1" applyAlignment="1" applyProtection="1">
      <alignment horizontal="center" vertical="center" wrapText="1"/>
      <protection locked="0"/>
    </xf>
    <xf numFmtId="0" fontId="30" fillId="0" borderId="0" xfId="0" applyFont="1" applyAlignment="1" applyProtection="1">
      <alignment horizontal="right" vertical="center"/>
    </xf>
    <xf numFmtId="0" fontId="41" fillId="6" borderId="0" xfId="0" applyFont="1" applyFill="1" applyBorder="1" applyAlignment="1" applyProtection="1">
      <alignment wrapText="1"/>
    </xf>
    <xf numFmtId="0" fontId="41" fillId="6" borderId="0" xfId="0" applyFont="1" applyFill="1" applyAlignment="1" applyProtection="1">
      <alignment wrapText="1"/>
    </xf>
    <xf numFmtId="0" fontId="41" fillId="6" borderId="0" xfId="0" applyFont="1" applyFill="1" applyBorder="1" applyProtection="1"/>
    <xf numFmtId="0" fontId="42" fillId="6" borderId="0" xfId="0" applyFont="1" applyFill="1" applyBorder="1" applyAlignment="1" applyProtection="1">
      <alignment vertical="center" wrapText="1"/>
    </xf>
    <xf numFmtId="0" fontId="42" fillId="6" borderId="0" xfId="0" applyFont="1" applyFill="1" applyBorder="1" applyAlignment="1" applyProtection="1">
      <alignment horizontal="right" vertical="center"/>
    </xf>
    <xf numFmtId="0" fontId="44" fillId="6" borderId="0" xfId="0" applyFont="1" applyFill="1" applyBorder="1" applyAlignment="1" applyProtection="1">
      <alignment vertical="center" wrapText="1"/>
    </xf>
    <xf numFmtId="0" fontId="0" fillId="0" borderId="0" xfId="0" applyFont="1" applyBorder="1" applyAlignment="1" applyProtection="1">
      <alignment vertical="center" wrapText="1"/>
    </xf>
    <xf numFmtId="0" fontId="8" fillId="0" borderId="0" xfId="0" applyFont="1" applyFill="1" applyProtection="1"/>
    <xf numFmtId="0" fontId="45" fillId="0" borderId="0" xfId="0" applyFont="1" applyFill="1" applyProtection="1"/>
    <xf numFmtId="0" fontId="27" fillId="6" borderId="0" xfId="0" applyFont="1" applyFill="1" applyAlignment="1" applyProtection="1">
      <alignment horizontal="left" vertical="top"/>
    </xf>
    <xf numFmtId="0" fontId="0" fillId="6" borderId="0" xfId="0" applyFont="1" applyFill="1" applyAlignment="1" applyProtection="1">
      <alignment wrapText="1"/>
    </xf>
    <xf numFmtId="0" fontId="0" fillId="6" borderId="0" xfId="0" applyFont="1" applyFill="1" applyBorder="1" applyProtection="1"/>
    <xf numFmtId="0" fontId="46" fillId="0" borderId="0" xfId="0" applyFont="1" applyAlignment="1" applyProtection="1">
      <alignment horizontal="center"/>
    </xf>
    <xf numFmtId="0" fontId="8" fillId="0" borderId="0" xfId="0" applyFont="1" applyFill="1" applyBorder="1" applyAlignment="1" applyProtection="1">
      <alignment horizontal="center" wrapText="1"/>
    </xf>
    <xf numFmtId="0" fontId="8" fillId="0" borderId="0" xfId="0" applyFont="1" applyFill="1" applyBorder="1" applyAlignment="1" applyProtection="1">
      <alignment horizontal="center"/>
    </xf>
    <xf numFmtId="0" fontId="47" fillId="0" borderId="0" xfId="0" applyFont="1" applyAlignment="1" applyProtection="1">
      <alignment horizontal="left"/>
    </xf>
    <xf numFmtId="0" fontId="0" fillId="0" borderId="0" xfId="0" applyFont="1" applyAlignment="1">
      <alignment horizontal="center"/>
    </xf>
    <xf numFmtId="0" fontId="0" fillId="0" borderId="3" xfId="0" applyFont="1" applyBorder="1"/>
    <xf numFmtId="0" fontId="0" fillId="0" borderId="7" xfId="0" applyFont="1" applyBorder="1"/>
    <xf numFmtId="164" fontId="0" fillId="0" borderId="0" xfId="0" applyNumberFormat="1" applyFont="1" applyBorder="1" applyAlignment="1" applyProtection="1">
      <alignment horizontal="center"/>
    </xf>
    <xf numFmtId="1" fontId="0" fillId="0" borderId="0" xfId="0" applyNumberFormat="1" applyFont="1" applyFill="1" applyBorder="1" applyProtection="1"/>
    <xf numFmtId="0" fontId="8" fillId="12" borderId="0" xfId="0" applyFont="1" applyFill="1" applyAlignment="1" applyProtection="1"/>
    <xf numFmtId="0" fontId="8" fillId="0" borderId="0" xfId="0" applyFont="1" applyFill="1" applyBorder="1" applyAlignment="1" applyProtection="1"/>
    <xf numFmtId="0" fontId="49" fillId="0" borderId="0" xfId="0" applyFont="1"/>
    <xf numFmtId="0" fontId="49" fillId="0" borderId="11" xfId="0" applyFont="1" applyBorder="1"/>
    <xf numFmtId="0" fontId="49" fillId="0" borderId="12" xfId="0" applyFont="1" applyBorder="1"/>
    <xf numFmtId="0" fontId="8" fillId="0" borderId="0" xfId="0" applyFont="1" applyProtection="1"/>
    <xf numFmtId="0" fontId="8" fillId="0" borderId="0" xfId="0" applyFont="1" applyAlignment="1" applyProtection="1">
      <alignment horizontal="right"/>
    </xf>
    <xf numFmtId="0" fontId="8" fillId="0" borderId="0" xfId="0" applyFont="1" applyAlignment="1" applyProtection="1">
      <alignment horizontal="right" vertical="center"/>
    </xf>
    <xf numFmtId="0" fontId="0" fillId="2" borderId="13" xfId="0" applyFont="1" applyFill="1" applyBorder="1" applyAlignment="1" applyProtection="1">
      <alignment horizontal="center" vertical="center" wrapText="1"/>
    </xf>
    <xf numFmtId="0" fontId="0" fillId="2" borderId="14" xfId="0" applyFont="1" applyFill="1" applyBorder="1" applyAlignment="1" applyProtection="1">
      <alignment horizontal="center" vertical="center" wrapText="1"/>
    </xf>
    <xf numFmtId="0" fontId="0" fillId="2" borderId="15" xfId="0" applyFont="1" applyFill="1" applyBorder="1" applyAlignment="1" applyProtection="1">
      <alignment horizontal="center" vertical="center" wrapText="1"/>
    </xf>
    <xf numFmtId="0" fontId="8" fillId="2" borderId="10" xfId="0" applyFont="1" applyFill="1" applyBorder="1" applyAlignment="1" applyProtection="1">
      <alignment horizontal="center" vertical="center" wrapText="1"/>
    </xf>
    <xf numFmtId="0" fontId="0" fillId="0" borderId="0" xfId="0" applyFont="1" applyFill="1" applyBorder="1" applyAlignment="1" applyProtection="1">
      <alignment horizontal="center"/>
    </xf>
    <xf numFmtId="0" fontId="8" fillId="0" borderId="0" xfId="0" applyFont="1" applyAlignment="1" applyProtection="1">
      <alignment horizontal="center" wrapText="1"/>
    </xf>
    <xf numFmtId="0" fontId="0" fillId="0" borderId="0" xfId="0" applyFont="1" applyAlignment="1" applyProtection="1">
      <alignment horizontal="right"/>
    </xf>
    <xf numFmtId="0" fontId="50" fillId="0" borderId="0" xfId="3" applyFont="1" applyBorder="1" applyAlignment="1" applyProtection="1">
      <alignment horizontal="center" wrapText="1"/>
    </xf>
    <xf numFmtId="0" fontId="8" fillId="0" borderId="0" xfId="0" applyFont="1" applyAlignment="1" applyProtection="1">
      <alignment horizontal="center"/>
    </xf>
    <xf numFmtId="1" fontId="0" fillId="0" borderId="0" xfId="0" applyNumberFormat="1" applyFont="1" applyFill="1" applyBorder="1" applyAlignment="1" applyProtection="1">
      <alignment horizontal="center"/>
    </xf>
    <xf numFmtId="0" fontId="8" fillId="0" borderId="0" xfId="0" applyFont="1" applyBorder="1" applyAlignment="1" applyProtection="1"/>
    <xf numFmtId="0" fontId="49" fillId="0" borderId="0" xfId="0" applyFont="1" applyAlignment="1">
      <alignment horizontal="center"/>
    </xf>
    <xf numFmtId="2" fontId="49" fillId="0" borderId="0" xfId="0" applyNumberFormat="1" applyFont="1" applyAlignment="1">
      <alignment horizontal="center"/>
    </xf>
    <xf numFmtId="0" fontId="51" fillId="0" borderId="6" xfId="0" applyFont="1" applyBorder="1"/>
    <xf numFmtId="2" fontId="49" fillId="0" borderId="16" xfId="0" applyNumberFormat="1" applyFont="1" applyBorder="1" applyAlignment="1">
      <alignment horizontal="center"/>
    </xf>
    <xf numFmtId="0" fontId="51" fillId="0" borderId="0" xfId="0" applyFont="1"/>
    <xf numFmtId="0" fontId="0" fillId="2" borderId="0" xfId="0" applyFont="1" applyFill="1" applyBorder="1" applyAlignment="1" applyProtection="1">
      <alignment horizontal="center"/>
    </xf>
    <xf numFmtId="2" fontId="0" fillId="2" borderId="0" xfId="4" applyNumberFormat="1" applyFont="1" applyFill="1" applyBorder="1" applyAlignment="1" applyProtection="1">
      <alignment horizontal="center" vertical="center"/>
    </xf>
    <xf numFmtId="1" fontId="0" fillId="0" borderId="0" xfId="0" applyNumberFormat="1" applyFont="1" applyAlignment="1" applyProtection="1">
      <alignment horizontal="center"/>
    </xf>
    <xf numFmtId="0" fontId="0" fillId="8" borderId="1" xfId="0" applyFont="1" applyFill="1" applyBorder="1" applyAlignment="1" applyProtection="1">
      <alignment horizontal="center" vertical="center"/>
      <protection locked="0"/>
    </xf>
    <xf numFmtId="166" fontId="0" fillId="13" borderId="17" xfId="4" applyNumberFormat="1" applyFont="1" applyFill="1" applyBorder="1" applyAlignment="1" applyProtection="1">
      <alignment wrapText="1"/>
      <protection locked="0"/>
    </xf>
    <xf numFmtId="0" fontId="0" fillId="13" borderId="18" xfId="0" applyFont="1" applyFill="1" applyBorder="1" applyAlignment="1" applyProtection="1">
      <alignment wrapText="1"/>
      <protection locked="0"/>
    </xf>
    <xf numFmtId="0" fontId="0" fillId="13" borderId="19" xfId="0" applyFont="1" applyFill="1" applyBorder="1" applyAlignment="1" applyProtection="1">
      <alignment wrapText="1"/>
      <protection locked="0"/>
    </xf>
    <xf numFmtId="0" fontId="0" fillId="13" borderId="20" xfId="0" applyFont="1" applyFill="1" applyBorder="1" applyAlignment="1" applyProtection="1">
      <alignment wrapText="1"/>
      <protection locked="0"/>
    </xf>
    <xf numFmtId="0" fontId="8" fillId="0" borderId="0" xfId="0" applyFont="1" applyBorder="1" applyAlignment="1" applyProtection="1">
      <alignment horizontal="right" vertical="center"/>
    </xf>
    <xf numFmtId="1" fontId="0" fillId="14" borderId="21" xfId="0" applyNumberFormat="1" applyFont="1" applyFill="1" applyBorder="1" applyProtection="1"/>
    <xf numFmtId="0" fontId="49" fillId="0" borderId="3" xfId="0" applyFont="1" applyBorder="1" applyAlignment="1">
      <alignment horizontal="center"/>
    </xf>
    <xf numFmtId="0" fontId="49" fillId="0" borderId="4" xfId="0" applyFont="1" applyBorder="1" applyAlignment="1">
      <alignment horizontal="center"/>
    </xf>
    <xf numFmtId="0" fontId="49" fillId="0" borderId="7" xfId="0" applyFont="1" applyBorder="1" applyAlignment="1">
      <alignment horizontal="center"/>
    </xf>
    <xf numFmtId="166" fontId="0" fillId="13" borderId="20" xfId="4" applyNumberFormat="1" applyFont="1" applyFill="1" applyBorder="1" applyAlignment="1" applyProtection="1">
      <alignment wrapText="1"/>
      <protection locked="0"/>
    </xf>
    <xf numFmtId="0" fontId="0" fillId="13" borderId="1" xfId="0" applyFont="1" applyFill="1" applyBorder="1" applyAlignment="1" applyProtection="1">
      <alignment wrapText="1"/>
      <protection locked="0"/>
    </xf>
    <xf numFmtId="0" fontId="15" fillId="0" borderId="0" xfId="0" applyFont="1" applyAlignment="1" applyProtection="1">
      <alignment horizontal="right" vertical="center"/>
    </xf>
    <xf numFmtId="0" fontId="0" fillId="15" borderId="22" xfId="0" applyFont="1" applyFill="1" applyBorder="1" applyProtection="1"/>
    <xf numFmtId="0" fontId="0" fillId="15" borderId="23" xfId="0" applyFont="1" applyFill="1" applyBorder="1" applyProtection="1"/>
    <xf numFmtId="0" fontId="0" fillId="15" borderId="24" xfId="0" applyFont="1" applyFill="1" applyBorder="1" applyProtection="1"/>
    <xf numFmtId="0" fontId="49" fillId="0" borderId="11" xfId="0" applyFont="1" applyBorder="1" applyAlignment="1">
      <alignment horizontal="center"/>
    </xf>
    <xf numFmtId="0" fontId="49" fillId="0" borderId="0" xfId="0" applyFont="1" applyBorder="1" applyAlignment="1">
      <alignment horizontal="center"/>
    </xf>
    <xf numFmtId="0" fontId="49" fillId="0" borderId="12" xfId="0" applyFont="1" applyBorder="1" applyAlignment="1">
      <alignment horizontal="center"/>
    </xf>
    <xf numFmtId="166" fontId="0" fillId="13" borderId="25" xfId="4" applyNumberFormat="1" applyFont="1" applyFill="1" applyBorder="1" applyAlignment="1" applyProtection="1">
      <alignment wrapText="1"/>
      <protection locked="0"/>
    </xf>
    <xf numFmtId="0" fontId="0" fillId="13" borderId="26" xfId="0" applyFont="1" applyFill="1" applyBorder="1" applyAlignment="1" applyProtection="1">
      <alignment wrapText="1"/>
      <protection locked="0"/>
    </xf>
    <xf numFmtId="0" fontId="0" fillId="13" borderId="27" xfId="0" applyFont="1" applyFill="1" applyBorder="1" applyAlignment="1" applyProtection="1">
      <alignment wrapText="1"/>
      <protection locked="0"/>
    </xf>
    <xf numFmtId="0" fontId="0" fillId="13" borderId="28" xfId="0" applyFont="1" applyFill="1" applyBorder="1" applyAlignment="1" applyProtection="1">
      <alignment wrapText="1"/>
      <protection locked="0"/>
    </xf>
    <xf numFmtId="1" fontId="0" fillId="2" borderId="1" xfId="0" applyNumberFormat="1" applyFont="1" applyFill="1" applyBorder="1" applyProtection="1"/>
    <xf numFmtId="0" fontId="0" fillId="15" borderId="20" xfId="0" applyFont="1" applyFill="1" applyBorder="1" applyProtection="1"/>
    <xf numFmtId="0" fontId="0" fillId="15" borderId="19" xfId="0" applyFont="1" applyFill="1" applyBorder="1" applyProtection="1"/>
    <xf numFmtId="0" fontId="0" fillId="15" borderId="1" xfId="0" applyFont="1" applyFill="1" applyBorder="1" applyProtection="1"/>
    <xf numFmtId="166" fontId="0" fillId="13" borderId="29" xfId="4" applyNumberFormat="1" applyFont="1" applyFill="1" applyBorder="1" applyAlignment="1" applyProtection="1">
      <alignment wrapText="1"/>
      <protection locked="0"/>
    </xf>
    <xf numFmtId="1" fontId="0" fillId="2" borderId="30" xfId="0" applyNumberFormat="1" applyFont="1" applyFill="1" applyBorder="1" applyProtection="1"/>
    <xf numFmtId="0" fontId="0" fillId="15" borderId="31" xfId="0" applyFont="1" applyFill="1" applyBorder="1" applyProtection="1"/>
    <xf numFmtId="0" fontId="0" fillId="15" borderId="32" xfId="0" applyFont="1" applyFill="1" applyBorder="1" applyProtection="1"/>
    <xf numFmtId="0" fontId="0" fillId="15" borderId="33" xfId="0" applyFont="1" applyFill="1" applyBorder="1" applyProtection="1"/>
    <xf numFmtId="0" fontId="0" fillId="0" borderId="0" xfId="0" applyFont="1" applyBorder="1" applyAlignment="1" applyProtection="1">
      <alignment horizontal="center"/>
    </xf>
    <xf numFmtId="0" fontId="0" fillId="2" borderId="30" xfId="0" applyFont="1" applyFill="1" applyBorder="1" applyProtection="1"/>
    <xf numFmtId="0" fontId="0" fillId="2" borderId="6" xfId="0" applyFont="1" applyFill="1" applyBorder="1" applyProtection="1"/>
    <xf numFmtId="0" fontId="8" fillId="15" borderId="34" xfId="0" applyFont="1" applyFill="1" applyBorder="1" applyProtection="1"/>
    <xf numFmtId="0" fontId="0" fillId="8" borderId="34" xfId="0" applyFont="1" applyFill="1" applyBorder="1" applyAlignment="1" applyProtection="1">
      <alignment horizontal="center" vertical="center"/>
      <protection locked="0"/>
    </xf>
    <xf numFmtId="0" fontId="0" fillId="2" borderId="34" xfId="0" applyFont="1" applyFill="1" applyBorder="1" applyProtection="1"/>
    <xf numFmtId="0" fontId="0" fillId="2" borderId="35" xfId="0" applyFont="1" applyFill="1" applyBorder="1" applyProtection="1"/>
    <xf numFmtId="166" fontId="0" fillId="13" borderId="36" xfId="4" applyNumberFormat="1" applyFont="1" applyFill="1" applyBorder="1" applyAlignment="1" applyProtection="1">
      <alignment wrapText="1"/>
      <protection locked="0"/>
    </xf>
    <xf numFmtId="0" fontId="0" fillId="13" borderId="34" xfId="0" applyFont="1" applyFill="1" applyBorder="1" applyAlignment="1" applyProtection="1">
      <alignment wrapText="1"/>
      <protection locked="0"/>
    </xf>
    <xf numFmtId="0" fontId="0" fillId="13" borderId="37" xfId="0" applyFont="1" applyFill="1" applyBorder="1" applyAlignment="1" applyProtection="1">
      <alignment wrapText="1"/>
      <protection locked="0"/>
    </xf>
    <xf numFmtId="0" fontId="0" fillId="13" borderId="36" xfId="0" applyFont="1" applyFill="1" applyBorder="1" applyAlignment="1" applyProtection="1">
      <alignment wrapText="1"/>
      <protection locked="0"/>
    </xf>
    <xf numFmtId="1" fontId="0" fillId="14" borderId="38" xfId="0" applyNumberFormat="1" applyFont="1" applyFill="1" applyBorder="1" applyProtection="1"/>
    <xf numFmtId="0" fontId="8" fillId="15" borderId="39" xfId="0" applyFont="1" applyFill="1" applyBorder="1" applyProtection="1"/>
    <xf numFmtId="0" fontId="0" fillId="2" borderId="39" xfId="0" applyFont="1" applyFill="1" applyBorder="1" applyProtection="1"/>
    <xf numFmtId="0" fontId="0" fillId="8" borderId="39" xfId="0" applyFont="1" applyFill="1" applyBorder="1" applyAlignment="1" applyProtection="1">
      <alignment horizontal="center" vertical="center"/>
      <protection locked="0"/>
    </xf>
    <xf numFmtId="1" fontId="0" fillId="14" borderId="40" xfId="0" applyNumberFormat="1" applyFont="1" applyFill="1" applyBorder="1" applyProtection="1"/>
    <xf numFmtId="1" fontId="0" fillId="14" borderId="41" xfId="0" applyNumberFormat="1" applyFont="1" applyFill="1" applyBorder="1" applyProtection="1"/>
    <xf numFmtId="0" fontId="8" fillId="15" borderId="42" xfId="0" applyFont="1" applyFill="1" applyBorder="1" applyProtection="1"/>
    <xf numFmtId="0" fontId="0" fillId="2" borderId="1" xfId="0" applyFont="1" applyFill="1" applyBorder="1" applyProtection="1"/>
    <xf numFmtId="0" fontId="0" fillId="13" borderId="43" xfId="0" applyFont="1" applyFill="1" applyBorder="1" applyAlignment="1" applyProtection="1">
      <alignment wrapText="1"/>
      <protection locked="0"/>
    </xf>
    <xf numFmtId="0" fontId="0" fillId="13" borderId="44" xfId="0" applyFont="1" applyFill="1" applyBorder="1" applyAlignment="1" applyProtection="1">
      <alignment wrapText="1"/>
      <protection locked="0"/>
    </xf>
    <xf numFmtId="0" fontId="0" fillId="13" borderId="25" xfId="0" applyFont="1" applyFill="1" applyBorder="1" applyAlignment="1" applyProtection="1">
      <alignment wrapText="1"/>
      <protection locked="0"/>
    </xf>
    <xf numFmtId="1" fontId="0" fillId="14" borderId="43" xfId="0" applyNumberFormat="1" applyFont="1" applyFill="1" applyBorder="1" applyProtection="1"/>
    <xf numFmtId="0" fontId="8" fillId="15" borderId="45" xfId="0" applyFont="1" applyFill="1" applyBorder="1" applyProtection="1"/>
    <xf numFmtId="0" fontId="0" fillId="13" borderId="46" xfId="0" applyFont="1" applyFill="1" applyBorder="1" applyAlignment="1" applyProtection="1">
      <alignment wrapText="1"/>
      <protection locked="0"/>
    </xf>
    <xf numFmtId="0" fontId="8" fillId="15" borderId="47" xfId="0" applyFont="1" applyFill="1" applyBorder="1" applyProtection="1"/>
    <xf numFmtId="0" fontId="0" fillId="13" borderId="29" xfId="0" applyFont="1" applyFill="1" applyBorder="1" applyAlignment="1" applyProtection="1">
      <alignment wrapText="1"/>
      <protection locked="0"/>
    </xf>
    <xf numFmtId="0" fontId="0" fillId="13" borderId="21" xfId="0" applyFont="1" applyFill="1" applyBorder="1" applyAlignment="1" applyProtection="1">
      <alignment wrapText="1"/>
      <protection locked="0"/>
    </xf>
    <xf numFmtId="0" fontId="0" fillId="9" borderId="1" xfId="0" applyFont="1" applyFill="1" applyBorder="1" applyProtection="1"/>
    <xf numFmtId="0" fontId="0" fillId="10" borderId="1" xfId="0" applyFont="1" applyFill="1" applyBorder="1" applyProtection="1"/>
    <xf numFmtId="0" fontId="0" fillId="11" borderId="1" xfId="0" applyFont="1" applyFill="1" applyBorder="1" applyProtection="1"/>
    <xf numFmtId="0" fontId="0" fillId="0" borderId="1" xfId="0" applyFont="1" applyBorder="1" applyProtection="1"/>
    <xf numFmtId="0" fontId="8" fillId="15" borderId="48" xfId="0" applyFont="1" applyFill="1" applyBorder="1" applyProtection="1"/>
    <xf numFmtId="0" fontId="8" fillId="15" borderId="30" xfId="0" applyFont="1" applyFill="1" applyBorder="1" applyProtection="1"/>
    <xf numFmtId="0" fontId="8" fillId="0" borderId="0" xfId="0" applyFont="1" applyFill="1" applyAlignment="1" applyProtection="1">
      <alignment horizontal="right" vertical="center"/>
    </xf>
    <xf numFmtId="0" fontId="0" fillId="13" borderId="50" xfId="0" applyFont="1" applyFill="1" applyBorder="1" applyAlignment="1" applyProtection="1">
      <alignment wrapText="1"/>
      <protection locked="0"/>
    </xf>
    <xf numFmtId="0" fontId="0" fillId="13" borderId="51" xfId="0" applyFont="1" applyFill="1" applyBorder="1" applyAlignment="1" applyProtection="1">
      <alignment wrapText="1"/>
      <protection locked="0"/>
    </xf>
    <xf numFmtId="0" fontId="0" fillId="13" borderId="49" xfId="0" applyFont="1" applyFill="1" applyBorder="1" applyAlignment="1" applyProtection="1">
      <alignment wrapText="1"/>
      <protection locked="0"/>
    </xf>
    <xf numFmtId="0" fontId="0" fillId="13" borderId="52" xfId="0" applyFont="1" applyFill="1" applyBorder="1" applyAlignment="1" applyProtection="1">
      <alignment wrapText="1"/>
      <protection locked="0"/>
    </xf>
    <xf numFmtId="0" fontId="8" fillId="0" borderId="0" xfId="0" applyFont="1" applyFill="1" applyBorder="1" applyAlignment="1" applyProtection="1">
      <alignment horizontal="right"/>
    </xf>
    <xf numFmtId="0" fontId="0" fillId="0" borderId="0" xfId="0" applyFont="1" applyFill="1" applyBorder="1" applyAlignment="1" applyProtection="1">
      <alignment horizontal="right"/>
    </xf>
    <xf numFmtId="0" fontId="21" fillId="0" borderId="0" xfId="2" applyFont="1" applyAlignment="1" applyProtection="1">
      <alignment horizontal="left" indent="1"/>
    </xf>
    <xf numFmtId="0" fontId="0" fillId="0" borderId="0" xfId="1" applyFont="1" applyFill="1" applyBorder="1" applyAlignment="1" applyProtection="1">
      <alignment horizontal="right" vertical="center"/>
    </xf>
    <xf numFmtId="0" fontId="8" fillId="0" borderId="0" xfId="0" applyFont="1" applyFill="1" applyBorder="1" applyAlignment="1" applyProtection="1">
      <alignment horizontal="center" vertical="center"/>
    </xf>
    <xf numFmtId="9" fontId="8" fillId="0" borderId="0" xfId="5" applyFont="1" applyFill="1" applyBorder="1" applyAlignment="1" applyProtection="1">
      <alignment horizontal="center"/>
    </xf>
    <xf numFmtId="0" fontId="23" fillId="16" borderId="0" xfId="0" applyFont="1" applyFill="1" applyAlignment="1" applyProtection="1">
      <alignment horizontal="left" vertical="center"/>
    </xf>
    <xf numFmtId="0" fontId="0" fillId="16" borderId="0" xfId="0" applyFont="1" applyFill="1" applyAlignment="1" applyProtection="1">
      <alignment wrapText="1"/>
    </xf>
    <xf numFmtId="0" fontId="0" fillId="16" borderId="0" xfId="0" applyFont="1" applyFill="1" applyBorder="1" applyAlignment="1" applyProtection="1">
      <alignment wrapText="1"/>
    </xf>
    <xf numFmtId="0" fontId="0" fillId="16" borderId="0" xfId="0" applyFont="1" applyFill="1" applyBorder="1" applyProtection="1"/>
    <xf numFmtId="164" fontId="0" fillId="16" borderId="0" xfId="0" applyNumberFormat="1" applyFont="1" applyFill="1" applyBorder="1" applyProtection="1"/>
    <xf numFmtId="0" fontId="0" fillId="16" borderId="0" xfId="0" applyFont="1" applyFill="1" applyAlignment="1" applyProtection="1">
      <alignment horizontal="center" vertical="center"/>
    </xf>
    <xf numFmtId="0" fontId="8" fillId="0" borderId="0" xfId="0" applyFont="1" applyAlignment="1" applyProtection="1">
      <alignment horizontal="left" vertical="center"/>
    </xf>
    <xf numFmtId="0" fontId="8" fillId="0" borderId="0" xfId="0" applyFont="1" applyAlignment="1" applyProtection="1">
      <alignment horizontal="center" vertical="center"/>
    </xf>
    <xf numFmtId="0" fontId="47" fillId="0" borderId="0" xfId="0" applyFont="1" applyAlignment="1" applyProtection="1">
      <alignment horizontal="center"/>
    </xf>
    <xf numFmtId="0" fontId="8" fillId="2" borderId="15" xfId="0" applyFont="1" applyFill="1" applyBorder="1" applyAlignment="1" applyProtection="1">
      <alignment horizontal="center" vertical="center" wrapText="1"/>
    </xf>
    <xf numFmtId="164" fontId="0" fillId="2" borderId="0" xfId="0" applyNumberFormat="1" applyFont="1" applyFill="1" applyBorder="1" applyAlignment="1" applyProtection="1">
      <alignment horizontal="center"/>
    </xf>
    <xf numFmtId="0" fontId="0" fillId="13" borderId="53" xfId="0" applyFont="1" applyFill="1" applyBorder="1" applyAlignment="1" applyProtection="1">
      <alignment wrapText="1"/>
      <protection locked="0"/>
    </xf>
    <xf numFmtId="0" fontId="0" fillId="13" borderId="39" xfId="0" applyFont="1" applyFill="1" applyBorder="1" applyAlignment="1" applyProtection="1">
      <alignment wrapText="1"/>
      <protection locked="0"/>
    </xf>
    <xf numFmtId="1" fontId="0" fillId="14" borderId="54" xfId="0" applyNumberFormat="1" applyFont="1" applyFill="1" applyBorder="1" applyProtection="1"/>
    <xf numFmtId="0" fontId="0" fillId="13" borderId="55" xfId="0" applyFont="1" applyFill="1" applyBorder="1" applyAlignment="1" applyProtection="1">
      <alignment wrapText="1"/>
      <protection locked="0"/>
    </xf>
    <xf numFmtId="0" fontId="0" fillId="13" borderId="56" xfId="0" applyFont="1" applyFill="1" applyBorder="1" applyAlignment="1" applyProtection="1">
      <alignment wrapText="1"/>
      <protection locked="0"/>
    </xf>
    <xf numFmtId="0" fontId="8" fillId="15" borderId="1" xfId="0" applyFont="1" applyFill="1" applyBorder="1" applyProtection="1"/>
    <xf numFmtId="0" fontId="8" fillId="15" borderId="57" xfId="0" applyFont="1" applyFill="1" applyBorder="1" applyProtection="1"/>
    <xf numFmtId="0" fontId="0" fillId="2" borderId="57" xfId="0" applyFont="1" applyFill="1" applyBorder="1" applyProtection="1"/>
    <xf numFmtId="166" fontId="0" fillId="13" borderId="58" xfId="4" applyNumberFormat="1" applyFont="1" applyFill="1" applyBorder="1" applyAlignment="1" applyProtection="1">
      <alignment wrapText="1"/>
      <protection locked="0"/>
    </xf>
    <xf numFmtId="0" fontId="0" fillId="13" borderId="59" xfId="0" applyFont="1" applyFill="1" applyBorder="1" applyAlignment="1" applyProtection="1">
      <alignment wrapText="1"/>
      <protection locked="0"/>
    </xf>
    <xf numFmtId="0" fontId="0" fillId="13" borderId="58" xfId="0" applyFont="1" applyFill="1" applyBorder="1" applyAlignment="1" applyProtection="1">
      <alignment wrapText="1"/>
      <protection locked="0"/>
    </xf>
    <xf numFmtId="0" fontId="0" fillId="13" borderId="54" xfId="0" applyFont="1" applyFill="1" applyBorder="1" applyAlignment="1" applyProtection="1">
      <alignment wrapText="1"/>
      <protection locked="0"/>
    </xf>
    <xf numFmtId="166" fontId="0" fillId="13" borderId="60" xfId="4" applyNumberFormat="1" applyFont="1" applyFill="1" applyBorder="1" applyAlignment="1" applyProtection="1">
      <alignment wrapText="1"/>
      <protection locked="0"/>
    </xf>
    <xf numFmtId="0" fontId="0" fillId="13" borderId="61" xfId="0" applyFont="1" applyFill="1" applyBorder="1" applyAlignment="1" applyProtection="1">
      <alignment wrapText="1"/>
      <protection locked="0"/>
    </xf>
    <xf numFmtId="0" fontId="0" fillId="13" borderId="60" xfId="0" applyFont="1" applyFill="1" applyBorder="1" applyAlignment="1" applyProtection="1">
      <alignment wrapText="1"/>
      <protection locked="0"/>
    </xf>
    <xf numFmtId="0" fontId="0" fillId="13" borderId="62" xfId="0" applyFont="1" applyFill="1" applyBorder="1" applyAlignment="1" applyProtection="1">
      <alignment wrapText="1"/>
      <protection locked="0"/>
    </xf>
    <xf numFmtId="0" fontId="0" fillId="0" borderId="4" xfId="0" applyFont="1" applyFill="1" applyBorder="1" applyProtection="1"/>
    <xf numFmtId="0" fontId="8" fillId="17" borderId="0" xfId="0" applyFont="1" applyFill="1" applyAlignment="1" applyProtection="1">
      <alignment horizontal="right" vertical="center"/>
    </xf>
    <xf numFmtId="0" fontId="0" fillId="17" borderId="0" xfId="0" applyFont="1" applyFill="1" applyBorder="1" applyProtection="1"/>
    <xf numFmtId="0" fontId="0" fillId="17" borderId="0" xfId="0" applyFont="1" applyFill="1" applyBorder="1" applyAlignment="1" applyProtection="1">
      <alignment wrapText="1"/>
    </xf>
    <xf numFmtId="0" fontId="0" fillId="17" borderId="0" xfId="0" applyFont="1" applyFill="1" applyAlignment="1" applyProtection="1">
      <alignment wrapText="1"/>
    </xf>
    <xf numFmtId="1" fontId="0" fillId="17" borderId="0" xfId="0" applyNumberFormat="1" applyFont="1" applyFill="1" applyBorder="1" applyProtection="1"/>
    <xf numFmtId="164" fontId="0" fillId="17" borderId="0" xfId="0" applyNumberFormat="1" applyFont="1" applyFill="1" applyBorder="1" applyProtection="1"/>
    <xf numFmtId="0" fontId="0" fillId="17" borderId="0" xfId="0" applyFont="1" applyFill="1" applyAlignment="1" applyProtection="1">
      <alignment horizontal="center" vertical="center"/>
    </xf>
    <xf numFmtId="0" fontId="8" fillId="0" borderId="0" xfId="0" applyFont="1" applyFill="1" applyAlignment="1" applyProtection="1">
      <alignment horizontal="left" vertical="top"/>
    </xf>
    <xf numFmtId="0" fontId="8" fillId="0" borderId="0" xfId="0" applyFont="1" applyFill="1" applyAlignment="1" applyProtection="1">
      <alignment horizontal="left" vertical="center"/>
    </xf>
    <xf numFmtId="0" fontId="0" fillId="8" borderId="57" xfId="0" applyFont="1" applyFill="1" applyBorder="1" applyAlignment="1" applyProtection="1">
      <alignment horizontal="center" vertical="center"/>
      <protection locked="0"/>
    </xf>
    <xf numFmtId="166" fontId="0" fillId="13" borderId="63" xfId="4" applyNumberFormat="1" applyFont="1" applyFill="1" applyBorder="1" applyAlignment="1" applyProtection="1">
      <alignment wrapText="1"/>
      <protection locked="0"/>
    </xf>
    <xf numFmtId="0" fontId="0" fillId="13" borderId="57" xfId="0" applyFont="1" applyFill="1" applyBorder="1" applyAlignment="1" applyProtection="1">
      <alignment wrapText="1"/>
      <protection locked="0"/>
    </xf>
    <xf numFmtId="1" fontId="0" fillId="14" borderId="64" xfId="0" applyNumberFormat="1" applyFont="1" applyFill="1" applyBorder="1" applyProtection="1"/>
    <xf numFmtId="0" fontId="0" fillId="8" borderId="65" xfId="0" applyFont="1" applyFill="1" applyBorder="1" applyAlignment="1" applyProtection="1">
      <alignment horizontal="center" vertical="center"/>
      <protection locked="0"/>
    </xf>
    <xf numFmtId="0" fontId="0" fillId="13" borderId="65" xfId="0" applyFont="1" applyFill="1" applyBorder="1" applyAlignment="1" applyProtection="1">
      <alignment wrapText="1"/>
      <protection locked="0"/>
    </xf>
    <xf numFmtId="0" fontId="0" fillId="15" borderId="66" xfId="0" applyFont="1" applyFill="1" applyBorder="1" applyProtection="1"/>
    <xf numFmtId="0" fontId="0" fillId="15" borderId="67" xfId="0" applyFont="1" applyFill="1" applyBorder="1" applyProtection="1"/>
    <xf numFmtId="0" fontId="0" fillId="15" borderId="65" xfId="0" applyFont="1" applyFill="1" applyBorder="1" applyProtection="1"/>
    <xf numFmtId="0" fontId="0" fillId="13" borderId="67" xfId="0" applyFont="1" applyFill="1" applyBorder="1" applyAlignment="1" applyProtection="1">
      <alignment wrapText="1"/>
      <protection locked="0"/>
    </xf>
    <xf numFmtId="0" fontId="0" fillId="13" borderId="66" xfId="0" applyFont="1" applyFill="1" applyBorder="1" applyAlignment="1" applyProtection="1">
      <alignment wrapText="1"/>
      <protection locked="0"/>
    </xf>
    <xf numFmtId="0" fontId="0" fillId="15" borderId="68" xfId="0" applyFont="1" applyFill="1" applyBorder="1" applyProtection="1"/>
    <xf numFmtId="0" fontId="0" fillId="15" borderId="69" xfId="0" applyFont="1" applyFill="1" applyBorder="1" applyProtection="1"/>
    <xf numFmtId="0" fontId="0" fillId="15" borderId="70" xfId="0" applyFont="1" applyFill="1" applyBorder="1" applyProtection="1"/>
    <xf numFmtId="0" fontId="0" fillId="2" borderId="71" xfId="0" applyFont="1" applyFill="1" applyBorder="1" applyProtection="1"/>
    <xf numFmtId="0" fontId="8" fillId="15" borderId="65" xfId="0" applyFont="1" applyFill="1" applyBorder="1" applyProtection="1"/>
    <xf numFmtId="0" fontId="0" fillId="2" borderId="65" xfId="0" applyFont="1" applyFill="1" applyBorder="1" applyProtection="1"/>
    <xf numFmtId="1" fontId="0" fillId="14" borderId="72" xfId="0" applyNumberFormat="1" applyFont="1" applyFill="1" applyBorder="1" applyProtection="1"/>
    <xf numFmtId="1" fontId="0" fillId="14" borderId="73" xfId="0" applyNumberFormat="1" applyFont="1" applyFill="1" applyBorder="1" applyProtection="1"/>
    <xf numFmtId="0" fontId="8" fillId="0" borderId="0" xfId="0" applyFont="1" applyFill="1" applyAlignment="1" applyProtection="1">
      <alignment horizontal="center"/>
    </xf>
    <xf numFmtId="164" fontId="8" fillId="0" borderId="0" xfId="0" applyNumberFormat="1" applyFont="1" applyBorder="1" applyProtection="1"/>
    <xf numFmtId="0" fontId="8" fillId="15" borderId="74" xfId="0" applyFont="1" applyFill="1" applyBorder="1" applyProtection="1"/>
    <xf numFmtId="1" fontId="0" fillId="0" borderId="0" xfId="0" applyNumberFormat="1" applyFont="1" applyAlignment="1" applyProtection="1">
      <alignment horizontal="center" vertical="center"/>
    </xf>
    <xf numFmtId="0" fontId="8" fillId="15" borderId="75" xfId="0" applyFont="1" applyFill="1" applyBorder="1" applyProtection="1"/>
    <xf numFmtId="0" fontId="0" fillId="0" borderId="0" xfId="0" applyFont="1" applyFill="1" applyBorder="1" applyAlignment="1" applyProtection="1">
      <alignment horizontal="center" vertical="center"/>
    </xf>
    <xf numFmtId="0" fontId="8" fillId="0" borderId="0" xfId="0" applyFont="1" applyFill="1" applyAlignment="1" applyProtection="1">
      <alignment vertical="center"/>
    </xf>
    <xf numFmtId="1" fontId="0" fillId="14" borderId="76" xfId="0" applyNumberFormat="1" applyFont="1" applyFill="1" applyBorder="1" applyProtection="1"/>
    <xf numFmtId="0" fontId="0" fillId="2" borderId="77" xfId="0" applyFont="1" applyFill="1" applyBorder="1" applyProtection="1"/>
    <xf numFmtId="0" fontId="0" fillId="2" borderId="78" xfId="0" applyFont="1" applyFill="1" applyBorder="1" applyProtection="1"/>
    <xf numFmtId="166" fontId="0" fillId="13" borderId="79" xfId="4" applyNumberFormat="1" applyFont="1" applyFill="1" applyBorder="1" applyAlignment="1" applyProtection="1">
      <alignment wrapText="1"/>
      <protection locked="0"/>
    </xf>
    <xf numFmtId="0" fontId="0" fillId="13" borderId="80" xfId="0" applyFont="1" applyFill="1" applyBorder="1" applyAlignment="1" applyProtection="1">
      <alignment wrapText="1"/>
      <protection locked="0"/>
    </xf>
    <xf numFmtId="0" fontId="0" fillId="13" borderId="79" xfId="0" applyFont="1" applyFill="1" applyBorder="1" applyAlignment="1" applyProtection="1">
      <alignment wrapText="1"/>
      <protection locked="0"/>
    </xf>
    <xf numFmtId="0" fontId="0" fillId="13" borderId="76" xfId="0" applyFont="1" applyFill="1" applyBorder="1" applyAlignment="1" applyProtection="1">
      <alignment wrapText="1"/>
      <protection locked="0"/>
    </xf>
    <xf numFmtId="0" fontId="0" fillId="9" borderId="77" xfId="0" applyFont="1" applyFill="1" applyBorder="1" applyProtection="1"/>
    <xf numFmtId="0" fontId="0" fillId="10" borderId="77" xfId="0" applyFont="1" applyFill="1" applyBorder="1" applyProtection="1"/>
    <xf numFmtId="0" fontId="0" fillId="11" borderId="77" xfId="0" applyFont="1" applyFill="1" applyBorder="1" applyProtection="1"/>
    <xf numFmtId="0" fontId="0" fillId="0" borderId="77" xfId="0" applyFont="1" applyBorder="1" applyProtection="1"/>
    <xf numFmtId="0" fontId="8" fillId="15" borderId="77" xfId="0" applyFont="1" applyFill="1" applyBorder="1" applyProtection="1"/>
    <xf numFmtId="0" fontId="0" fillId="13" borderId="82" xfId="0" applyFont="1" applyFill="1" applyBorder="1" applyAlignment="1" applyProtection="1">
      <alignment wrapText="1"/>
      <protection locked="0"/>
    </xf>
    <xf numFmtId="0" fontId="0" fillId="13" borderId="81" xfId="0" applyFont="1" applyFill="1" applyBorder="1" applyAlignment="1" applyProtection="1">
      <alignment wrapText="1"/>
      <protection locked="0"/>
    </xf>
    <xf numFmtId="0" fontId="0" fillId="13" borderId="83" xfId="0" applyFont="1" applyFill="1" applyBorder="1" applyAlignment="1" applyProtection="1">
      <alignment wrapText="1"/>
      <protection locked="0"/>
    </xf>
    <xf numFmtId="0" fontId="0" fillId="8" borderId="77" xfId="0" applyFont="1" applyFill="1" applyBorder="1" applyAlignment="1" applyProtection="1">
      <alignment horizontal="center" vertical="center"/>
      <protection locked="0"/>
    </xf>
    <xf numFmtId="0" fontId="0" fillId="15" borderId="84" xfId="0" applyFont="1" applyFill="1" applyBorder="1" applyProtection="1"/>
    <xf numFmtId="0" fontId="0" fillId="15" borderId="85" xfId="0" applyFont="1" applyFill="1" applyBorder="1" applyProtection="1"/>
    <xf numFmtId="0" fontId="0" fillId="15" borderId="77" xfId="0" applyFont="1" applyFill="1" applyBorder="1" applyProtection="1"/>
    <xf numFmtId="0" fontId="0" fillId="13" borderId="77" xfId="0" applyFont="1" applyFill="1" applyBorder="1" applyAlignment="1" applyProtection="1">
      <alignment wrapText="1"/>
      <protection locked="0"/>
    </xf>
    <xf numFmtId="0" fontId="0" fillId="13" borderId="85" xfId="0" applyFont="1" applyFill="1" applyBorder="1" applyAlignment="1" applyProtection="1">
      <alignment wrapText="1"/>
      <protection locked="0"/>
    </xf>
    <xf numFmtId="0" fontId="0" fillId="13" borderId="84" xfId="0" applyFont="1" applyFill="1" applyBorder="1" applyAlignment="1" applyProtection="1">
      <alignment wrapText="1"/>
      <protection locked="0"/>
    </xf>
    <xf numFmtId="0" fontId="0" fillId="15" borderId="86" xfId="0" applyFont="1" applyFill="1" applyBorder="1" applyProtection="1"/>
    <xf numFmtId="0" fontId="0" fillId="15" borderId="87" xfId="0" applyFont="1" applyFill="1" applyBorder="1" applyProtection="1"/>
    <xf numFmtId="0" fontId="0" fillId="15" borderId="88" xfId="0" applyFont="1" applyFill="1" applyBorder="1" applyProtection="1"/>
    <xf numFmtId="1" fontId="0" fillId="14" borderId="89" xfId="0" applyNumberFormat="1" applyFont="1" applyFill="1" applyBorder="1" applyProtection="1"/>
    <xf numFmtId="1" fontId="0" fillId="14" borderId="90" xfId="0" applyNumberFormat="1" applyFont="1" applyFill="1" applyBorder="1" applyProtection="1"/>
    <xf numFmtId="0" fontId="8" fillId="15" borderId="91" xfId="0" applyFont="1" applyFill="1" applyBorder="1" applyProtection="1"/>
    <xf numFmtId="0" fontId="15" fillId="0" borderId="0" xfId="0" applyFont="1" applyFill="1" applyProtection="1"/>
    <xf numFmtId="1" fontId="0" fillId="14" borderId="92" xfId="0" applyNumberFormat="1" applyFont="1" applyFill="1" applyBorder="1" applyProtection="1"/>
    <xf numFmtId="0" fontId="0" fillId="2" borderId="93" xfId="0" applyFont="1" applyFill="1" applyBorder="1" applyProtection="1"/>
    <xf numFmtId="0" fontId="0" fillId="2" borderId="94" xfId="0" applyFont="1" applyFill="1" applyBorder="1" applyProtection="1"/>
    <xf numFmtId="0" fontId="0" fillId="13" borderId="92" xfId="0" applyFont="1" applyFill="1" applyBorder="1" applyAlignment="1" applyProtection="1">
      <alignment wrapText="1"/>
      <protection locked="0"/>
    </xf>
    <xf numFmtId="0" fontId="0" fillId="9" borderId="93" xfId="0" applyFont="1" applyFill="1" applyBorder="1" applyProtection="1"/>
    <xf numFmtId="0" fontId="0" fillId="10" borderId="93" xfId="0" applyFont="1" applyFill="1" applyBorder="1" applyProtection="1"/>
    <xf numFmtId="0" fontId="0" fillId="11" borderId="93" xfId="0" applyFont="1" applyFill="1" applyBorder="1" applyProtection="1"/>
    <xf numFmtId="0" fontId="0" fillId="0" borderId="93" xfId="0" applyFont="1" applyBorder="1" applyProtection="1"/>
    <xf numFmtId="0" fontId="8" fillId="15" borderId="93" xfId="0" applyFont="1" applyFill="1" applyBorder="1" applyProtection="1"/>
    <xf numFmtId="0" fontId="53" fillId="0" borderId="0" xfId="0" applyFont="1" applyProtection="1"/>
    <xf numFmtId="1" fontId="53" fillId="0" borderId="0" xfId="0" applyNumberFormat="1" applyFont="1" applyProtection="1"/>
    <xf numFmtId="1" fontId="0" fillId="17" borderId="0" xfId="0" applyNumberFormat="1" applyFont="1" applyFill="1" applyBorder="1" applyAlignment="1" applyProtection="1">
      <alignment wrapText="1"/>
    </xf>
    <xf numFmtId="0" fontId="0" fillId="0" borderId="0" xfId="0" applyFont="1" applyAlignment="1" applyProtection="1">
      <alignment wrapText="1"/>
      <protection locked="0"/>
    </xf>
    <xf numFmtId="0" fontId="0" fillId="0" borderId="0" xfId="0" applyFont="1" applyFill="1" applyBorder="1" applyProtection="1">
      <protection locked="0"/>
    </xf>
    <xf numFmtId="164" fontId="0" fillId="0" borderId="0" xfId="0" applyNumberFormat="1" applyFont="1" applyBorder="1" applyProtection="1">
      <protection locked="0"/>
    </xf>
    <xf numFmtId="0" fontId="0" fillId="0" borderId="0" xfId="0" applyFont="1" applyAlignment="1" applyProtection="1">
      <alignment horizontal="center" vertical="center"/>
      <protection locked="0"/>
    </xf>
    <xf numFmtId="0" fontId="8" fillId="0" borderId="0" xfId="0" applyFont="1" applyFill="1" applyAlignment="1" applyProtection="1">
      <alignment horizontal="left" vertical="center"/>
      <protection locked="0"/>
    </xf>
    <xf numFmtId="0" fontId="8" fillId="2" borderId="1" xfId="0" applyFont="1" applyFill="1" applyBorder="1"/>
    <xf numFmtId="2" fontId="8" fillId="2" borderId="1" xfId="0" applyNumberFormat="1" applyFont="1" applyFill="1" applyBorder="1"/>
    <xf numFmtId="0" fontId="54" fillId="0" borderId="0" xfId="0" applyFont="1"/>
    <xf numFmtId="9" fontId="0" fillId="8" borderId="0" xfId="6" applyFont="1" applyFill="1"/>
    <xf numFmtId="10" fontId="8" fillId="2" borderId="1" xfId="0" applyNumberFormat="1" applyFont="1" applyFill="1" applyBorder="1"/>
    <xf numFmtId="10" fontId="8" fillId="8" borderId="1" xfId="0" applyNumberFormat="1" applyFont="1" applyFill="1" applyBorder="1"/>
    <xf numFmtId="0" fontId="8" fillId="0" borderId="0" xfId="0" applyFont="1" applyAlignment="1">
      <alignment wrapText="1"/>
    </xf>
    <xf numFmtId="0" fontId="0" fillId="0" borderId="0" xfId="0" applyAlignment="1">
      <alignment wrapText="1"/>
    </xf>
    <xf numFmtId="0" fontId="0" fillId="2" borderId="57" xfId="0" applyFill="1" applyBorder="1"/>
    <xf numFmtId="0" fontId="7" fillId="0" borderId="57" xfId="0" applyFont="1" applyBorder="1"/>
    <xf numFmtId="0" fontId="8" fillId="2" borderId="1" xfId="0" applyFont="1" applyFill="1" applyBorder="1" applyAlignment="1">
      <alignment horizontal="center"/>
    </xf>
    <xf numFmtId="0" fontId="8" fillId="0" borderId="0" xfId="0" applyFont="1" applyAlignment="1">
      <alignment horizontal="center" wrapText="1"/>
    </xf>
    <xf numFmtId="2" fontId="8" fillId="18" borderId="1" xfId="0" applyNumberFormat="1" applyFont="1" applyFill="1" applyBorder="1"/>
    <xf numFmtId="0" fontId="8" fillId="2" borderId="97" xfId="0" applyFont="1" applyFill="1" applyBorder="1"/>
    <xf numFmtId="0" fontId="8" fillId="2" borderId="57" xfId="1" applyFont="1" applyFill="1" applyBorder="1"/>
    <xf numFmtId="0" fontId="8" fillId="2" borderId="57" xfId="1" applyFont="1" applyFill="1" applyBorder="1" applyAlignment="1">
      <alignment wrapText="1"/>
    </xf>
    <xf numFmtId="0" fontId="9" fillId="0" borderId="0" xfId="1"/>
    <xf numFmtId="0" fontId="8" fillId="0" borderId="57" xfId="1" applyFont="1" applyBorder="1" applyAlignment="1">
      <alignment wrapText="1"/>
    </xf>
    <xf numFmtId="0" fontId="9" fillId="0" borderId="57" xfId="1" applyBorder="1"/>
    <xf numFmtId="0" fontId="8" fillId="0" borderId="0" xfId="1" applyFont="1" applyAlignment="1">
      <alignment wrapText="1"/>
    </xf>
    <xf numFmtId="0" fontId="8" fillId="0" borderId="57" xfId="1" applyFont="1" applyBorder="1"/>
    <xf numFmtId="0" fontId="9" fillId="2" borderId="57" xfId="1" applyFill="1" applyBorder="1"/>
    <xf numFmtId="0" fontId="8" fillId="0" borderId="0" xfId="1" applyFont="1"/>
    <xf numFmtId="0" fontId="9" fillId="0" borderId="0" xfId="1" applyFill="1"/>
    <xf numFmtId="0" fontId="4" fillId="0" borderId="0" xfId="8"/>
    <xf numFmtId="0" fontId="9" fillId="0" borderId="57" xfId="1" applyFill="1" applyBorder="1" applyAlignment="1">
      <alignment wrapText="1"/>
    </xf>
    <xf numFmtId="0" fontId="9" fillId="0" borderId="57" xfId="1" applyNumberFormat="1" applyBorder="1"/>
    <xf numFmtId="0" fontId="9" fillId="0" borderId="0" xfId="1" applyNumberFormat="1"/>
    <xf numFmtId="0" fontId="4" fillId="0" borderId="57" xfId="8" applyBorder="1"/>
    <xf numFmtId="0" fontId="4" fillId="0" borderId="57" xfId="8" applyFont="1" applyBorder="1"/>
    <xf numFmtId="0" fontId="4" fillId="2" borderId="57" xfId="8" applyFill="1" applyBorder="1"/>
    <xf numFmtId="0" fontId="9" fillId="8" borderId="57" xfId="1" applyFill="1" applyBorder="1"/>
    <xf numFmtId="0" fontId="4" fillId="0" borderId="57" xfId="8" applyFont="1" applyBorder="1" applyAlignment="1">
      <alignment wrapText="1"/>
    </xf>
    <xf numFmtId="0" fontId="9" fillId="0" borderId="0" xfId="1" applyAlignment="1">
      <alignment horizontal="right"/>
    </xf>
    <xf numFmtId="0" fontId="10" fillId="4" borderId="0" xfId="0" applyFont="1" applyFill="1"/>
    <xf numFmtId="2" fontId="10" fillId="4" borderId="0" xfId="0" applyNumberFormat="1" applyFont="1" applyFill="1"/>
    <xf numFmtId="0" fontId="11" fillId="4" borderId="0" xfId="0" applyFont="1" applyFill="1"/>
    <xf numFmtId="0" fontId="0" fillId="0" borderId="0" xfId="0" applyFont="1"/>
    <xf numFmtId="0" fontId="14" fillId="0" borderId="0" xfId="1" applyFont="1" applyBorder="1"/>
    <xf numFmtId="0" fontId="15" fillId="0" borderId="0" xfId="1" applyFont="1" applyBorder="1"/>
    <xf numFmtId="0" fontId="0" fillId="0" borderId="0" xfId="0" applyFont="1" applyFill="1" applyBorder="1"/>
    <xf numFmtId="0" fontId="16" fillId="0" borderId="0" xfId="0" applyFont="1" applyBorder="1" applyAlignment="1">
      <alignment horizontal="center" vertical="center"/>
    </xf>
    <xf numFmtId="0" fontId="16" fillId="0" borderId="0" xfId="0" applyFont="1" applyBorder="1" applyAlignment="1">
      <alignment vertical="center"/>
    </xf>
    <xf numFmtId="0" fontId="55" fillId="6" borderId="3" xfId="0" applyFont="1" applyFill="1" applyBorder="1"/>
    <xf numFmtId="0" fontId="55" fillId="6" borderId="7" xfId="0" applyFont="1" applyFill="1" applyBorder="1"/>
    <xf numFmtId="0" fontId="55" fillId="6" borderId="0" xfId="0" applyFont="1" applyFill="1"/>
    <xf numFmtId="0" fontId="55" fillId="6" borderId="4" xfId="0" applyFont="1" applyFill="1" applyBorder="1"/>
    <xf numFmtId="0" fontId="19" fillId="6" borderId="7" xfId="0" applyFont="1" applyFill="1" applyBorder="1"/>
    <xf numFmtId="0" fontId="20" fillId="0" borderId="0" xfId="2" applyAlignment="1">
      <alignment horizontal="left" indent="1"/>
    </xf>
    <xf numFmtId="0" fontId="21" fillId="0" borderId="0" xfId="2" applyFont="1"/>
    <xf numFmtId="0" fontId="0" fillId="0" borderId="0" xfId="0" applyFont="1" applyAlignment="1">
      <alignment horizontal="center" vertical="center"/>
    </xf>
    <xf numFmtId="0" fontId="22" fillId="0" borderId="0" xfId="0" applyFont="1" applyBorder="1" applyAlignment="1">
      <alignment horizontal="right"/>
    </xf>
    <xf numFmtId="0" fontId="22" fillId="0" borderId="0" xfId="0" applyFont="1" applyBorder="1" applyAlignment="1"/>
    <xf numFmtId="0" fontId="23" fillId="0" borderId="0" xfId="0" applyFont="1" applyAlignment="1">
      <alignment horizontal="left" vertical="center"/>
    </xf>
    <xf numFmtId="0" fontId="55" fillId="6" borderId="11" xfId="0" applyFont="1" applyFill="1" applyBorder="1"/>
    <xf numFmtId="0" fontId="55" fillId="6" borderId="12" xfId="0" applyFont="1" applyFill="1" applyBorder="1"/>
    <xf numFmtId="0" fontId="55" fillId="6" borderId="11" xfId="0" applyFont="1" applyFill="1" applyBorder="1" applyAlignment="1">
      <alignment horizontal="left" vertical="center"/>
    </xf>
    <xf numFmtId="0" fontId="55" fillId="6" borderId="0" xfId="0" applyFont="1" applyFill="1" applyBorder="1"/>
    <xf numFmtId="0" fontId="19" fillId="6" borderId="12" xfId="0" applyFont="1" applyFill="1" applyBorder="1"/>
    <xf numFmtId="0" fontId="0" fillId="0" borderId="0" xfId="0" applyFont="1" applyBorder="1"/>
    <xf numFmtId="0" fontId="21" fillId="0" borderId="0" xfId="2" applyFont="1" applyBorder="1"/>
    <xf numFmtId="0" fontId="56" fillId="0" borderId="0" xfId="0" applyFont="1" applyFill="1" applyBorder="1" applyAlignment="1">
      <alignment horizontal="center" vertical="center" wrapText="1"/>
    </xf>
    <xf numFmtId="0" fontId="19" fillId="6" borderId="0" xfId="0" applyFont="1" applyFill="1"/>
    <xf numFmtId="0" fontId="28" fillId="6" borderId="0" xfId="0" applyFont="1" applyFill="1"/>
    <xf numFmtId="0" fontId="0" fillId="6" borderId="0" xfId="0" applyFill="1" applyAlignment="1">
      <alignment horizontal="center" vertical="center"/>
    </xf>
    <xf numFmtId="0" fontId="31" fillId="6" borderId="0" xfId="0" applyFont="1" applyFill="1" applyAlignment="1">
      <alignment horizontal="left" vertical="center"/>
    </xf>
    <xf numFmtId="0" fontId="31" fillId="6" borderId="0" xfId="0" applyFont="1" applyFill="1"/>
    <xf numFmtId="0" fontId="31" fillId="0" borderId="0" xfId="0" applyFont="1" applyAlignment="1">
      <alignment horizontal="center"/>
    </xf>
    <xf numFmtId="0" fontId="47" fillId="0" borderId="0" xfId="0" applyFont="1" applyFill="1" applyBorder="1" applyAlignment="1"/>
    <xf numFmtId="0" fontId="8" fillId="0" borderId="0" xfId="0" applyFont="1" applyFill="1" applyBorder="1" applyAlignment="1">
      <alignment horizontal="center" vertical="center"/>
    </xf>
    <xf numFmtId="0" fontId="31" fillId="0" borderId="0" xfId="0" applyFont="1" applyFill="1" applyBorder="1" applyAlignment="1">
      <alignment horizontal="center" wrapText="1"/>
    </xf>
    <xf numFmtId="0" fontId="57" fillId="3" borderId="0" xfId="0" applyFont="1" applyFill="1" applyAlignment="1">
      <alignment horizontal="center"/>
    </xf>
    <xf numFmtId="0" fontId="0" fillId="0" borderId="0" xfId="0" applyFont="1" applyFill="1"/>
    <xf numFmtId="0" fontId="8" fillId="0" borderId="0" xfId="0" applyFont="1" applyFill="1" applyBorder="1" applyAlignment="1">
      <alignment horizontal="center"/>
    </xf>
    <xf numFmtId="0" fontId="47" fillId="0" borderId="0" xfId="0" applyFont="1" applyAlignment="1">
      <alignment horizontal="left"/>
    </xf>
    <xf numFmtId="164" fontId="0" fillId="0" borderId="0" xfId="0" applyNumberFormat="1" applyFont="1" applyBorder="1" applyAlignment="1">
      <alignment horizontal="center"/>
    </xf>
    <xf numFmtId="0" fontId="49" fillId="0" borderId="0" xfId="0" applyFont="1" applyAlignment="1">
      <alignment horizontal="center" vertical="center"/>
    </xf>
    <xf numFmtId="0" fontId="57" fillId="2" borderId="98" xfId="0" applyFont="1" applyFill="1" applyBorder="1" applyAlignment="1">
      <alignment horizontal="center" vertical="center" wrapText="1"/>
    </xf>
    <xf numFmtId="0" fontId="59" fillId="0" borderId="0" xfId="0" applyFont="1" applyAlignment="1"/>
    <xf numFmtId="1" fontId="49" fillId="0" borderId="0" xfId="0" applyNumberFormat="1" applyFont="1" applyFill="1" applyBorder="1"/>
    <xf numFmtId="0" fontId="57" fillId="0" borderId="0" xfId="0" applyFont="1" applyFill="1" applyBorder="1" applyAlignment="1"/>
    <xf numFmtId="0" fontId="57" fillId="0" borderId="3" xfId="0" applyFont="1" applyBorder="1"/>
    <xf numFmtId="0" fontId="57" fillId="0" borderId="7" xfId="0" applyFont="1" applyBorder="1"/>
    <xf numFmtId="0" fontId="57" fillId="0" borderId="0" xfId="0" applyFont="1" applyAlignment="1">
      <alignment vertical="center"/>
    </xf>
    <xf numFmtId="0" fontId="31" fillId="0" borderId="0" xfId="0" applyFont="1" applyFill="1" applyBorder="1" applyAlignment="1">
      <alignment horizontal="right" vertical="center"/>
    </xf>
    <xf numFmtId="1" fontId="49" fillId="0" borderId="0" xfId="0" applyNumberFormat="1" applyFont="1" applyFill="1" applyBorder="1" applyAlignment="1">
      <alignment horizontal="center"/>
    </xf>
    <xf numFmtId="0" fontId="57" fillId="0" borderId="0" xfId="0" applyFont="1" applyBorder="1" applyAlignment="1"/>
    <xf numFmtId="0" fontId="49" fillId="0" borderId="4" xfId="0" applyFont="1" applyFill="1" applyBorder="1" applyAlignment="1">
      <alignment horizontal="right" vertical="center"/>
    </xf>
    <xf numFmtId="0" fontId="49" fillId="0" borderId="4" xfId="0" applyFont="1" applyFill="1" applyBorder="1" applyAlignment="1">
      <alignment vertical="center"/>
    </xf>
    <xf numFmtId="0" fontId="49" fillId="0" borderId="4" xfId="0" applyFont="1" applyFill="1" applyBorder="1" applyAlignment="1">
      <alignment horizontal="center"/>
    </xf>
    <xf numFmtId="0" fontId="57" fillId="0" borderId="4" xfId="0" applyFont="1" applyFill="1" applyBorder="1" applyAlignment="1"/>
    <xf numFmtId="0" fontId="49" fillId="0" borderId="98" xfId="0" applyFont="1" applyFill="1" applyBorder="1" applyAlignment="1">
      <alignment horizontal="center" wrapText="1"/>
    </xf>
    <xf numFmtId="166" fontId="49" fillId="0" borderId="98" xfId="4" applyNumberFormat="1" applyFont="1" applyBorder="1"/>
    <xf numFmtId="169" fontId="49" fillId="0" borderId="98" xfId="4" applyNumberFormat="1" applyFont="1" applyBorder="1" applyAlignment="1">
      <alignment horizontal="center"/>
    </xf>
    <xf numFmtId="170" fontId="49" fillId="0" borderId="98" xfId="0" applyNumberFormat="1" applyFont="1" applyBorder="1" applyAlignment="1">
      <alignment horizontal="center"/>
    </xf>
    <xf numFmtId="0" fontId="57" fillId="0" borderId="0" xfId="0" applyFont="1" applyAlignment="1">
      <alignment horizontal="left" vertical="center" wrapText="1"/>
    </xf>
    <xf numFmtId="0" fontId="57" fillId="0" borderId="0" xfId="0" applyFont="1" applyAlignment="1">
      <alignment horizontal="right" vertical="center"/>
    </xf>
    <xf numFmtId="0" fontId="57" fillId="0" borderId="0" xfId="0" applyFont="1" applyAlignment="1">
      <alignment horizontal="center"/>
    </xf>
    <xf numFmtId="0" fontId="49" fillId="0" borderId="6" xfId="0" applyFont="1" applyBorder="1" applyAlignment="1">
      <alignment horizontal="center"/>
    </xf>
    <xf numFmtId="0" fontId="49" fillId="0" borderId="2" xfId="0" applyFont="1" applyFill="1" applyBorder="1" applyAlignment="1">
      <alignment horizontal="right"/>
    </xf>
    <xf numFmtId="0" fontId="49" fillId="0" borderId="2" xfId="0" applyFont="1" applyFill="1" applyBorder="1"/>
    <xf numFmtId="0" fontId="49" fillId="0" borderId="2" xfId="0" applyFont="1" applyFill="1" applyBorder="1" applyAlignment="1">
      <alignment horizontal="center"/>
    </xf>
    <xf numFmtId="0" fontId="51" fillId="0" borderId="11" xfId="0" applyFont="1" applyBorder="1"/>
    <xf numFmtId="0" fontId="51" fillId="0" borderId="0" xfId="0" applyFont="1" applyBorder="1"/>
    <xf numFmtId="0" fontId="49" fillId="0" borderId="0" xfId="0" applyFont="1" applyAlignment="1">
      <alignment horizontal="left"/>
    </xf>
    <xf numFmtId="0" fontId="57" fillId="0" borderId="0" xfId="0" applyFont="1" applyAlignment="1">
      <alignment horizontal="left"/>
    </xf>
    <xf numFmtId="0" fontId="57" fillId="0" borderId="0" xfId="0" applyFont="1" applyAlignment="1">
      <alignment horizontal="right"/>
    </xf>
    <xf numFmtId="0" fontId="31" fillId="0" borderId="0" xfId="0" applyFont="1" applyAlignment="1">
      <alignment horizontal="center" vertical="center"/>
    </xf>
    <xf numFmtId="0" fontId="60" fillId="0" borderId="0" xfId="0" applyFont="1" applyAlignment="1">
      <alignment horizontal="right" vertical="center"/>
    </xf>
    <xf numFmtId="0" fontId="31" fillId="0" borderId="0" xfId="0" applyFont="1" applyAlignment="1">
      <alignment vertical="center" wrapText="1"/>
    </xf>
    <xf numFmtId="0" fontId="49" fillId="0" borderId="0" xfId="0" applyFont="1" applyBorder="1" applyAlignment="1">
      <alignment horizontal="center" vertical="center"/>
    </xf>
    <xf numFmtId="0" fontId="49" fillId="2" borderId="6" xfId="0" applyFont="1" applyFill="1" applyBorder="1"/>
    <xf numFmtId="173" fontId="57" fillId="0" borderId="0" xfId="4" applyNumberFormat="1" applyFont="1" applyAlignment="1">
      <alignment horizontal="right"/>
    </xf>
    <xf numFmtId="171" fontId="57" fillId="15" borderId="96" xfId="0" applyNumberFormat="1" applyFont="1" applyFill="1" applyBorder="1"/>
    <xf numFmtId="0" fontId="61" fillId="0" borderId="0" xfId="0" applyFont="1" applyAlignment="1">
      <alignment horizontal="left"/>
    </xf>
    <xf numFmtId="0" fontId="61" fillId="0" borderId="0" xfId="0" applyFont="1" applyAlignment="1">
      <alignment horizontal="right"/>
    </xf>
    <xf numFmtId="0" fontId="49" fillId="0" borderId="0" xfId="0" applyFont="1" applyBorder="1" applyAlignment="1">
      <alignment vertical="top" wrapText="1"/>
    </xf>
    <xf numFmtId="0" fontId="49" fillId="0" borderId="0" xfId="0" applyFont="1" applyFill="1" applyBorder="1"/>
    <xf numFmtId="0" fontId="57" fillId="0" borderId="0" xfId="0" applyFont="1" applyFill="1" applyBorder="1" applyAlignment="1">
      <alignment horizontal="center"/>
    </xf>
    <xf numFmtId="0" fontId="57" fillId="0" borderId="0" xfId="0" applyFont="1" applyFill="1" applyAlignment="1">
      <alignment horizontal="right" vertical="center"/>
    </xf>
    <xf numFmtId="0" fontId="62" fillId="0" borderId="0" xfId="2" applyFont="1" applyAlignment="1">
      <alignment horizontal="left" indent="1"/>
    </xf>
    <xf numFmtId="1" fontId="49" fillId="0" borderId="0" xfId="0" applyNumberFormat="1" applyFont="1" applyFill="1" applyBorder="1" applyProtection="1"/>
    <xf numFmtId="0" fontId="0" fillId="0" borderId="4" xfId="0" applyBorder="1" applyProtection="1"/>
    <xf numFmtId="0" fontId="0" fillId="0" borderId="0" xfId="0" applyAlignment="1" applyProtection="1">
      <alignment horizontal="center" vertical="center"/>
    </xf>
    <xf numFmtId="0" fontId="0" fillId="16" borderId="0" xfId="0" applyFill="1" applyAlignment="1" applyProtection="1">
      <alignment horizontal="center" vertical="center"/>
    </xf>
    <xf numFmtId="0" fontId="63" fillId="16" borderId="0" xfId="0" applyFont="1" applyFill="1" applyProtection="1"/>
    <xf numFmtId="0" fontId="64" fillId="0" borderId="3" xfId="0" applyFont="1" applyBorder="1" applyAlignment="1">
      <alignment horizontal="left"/>
    </xf>
    <xf numFmtId="0" fontId="64" fillId="0" borderId="4" xfId="0" applyFont="1" applyBorder="1" applyAlignment="1">
      <alignment horizontal="left"/>
    </xf>
    <xf numFmtId="0" fontId="65" fillId="0" borderId="4" xfId="0" applyFont="1" applyBorder="1" applyAlignment="1">
      <alignment horizontal="left" vertical="center"/>
    </xf>
    <xf numFmtId="0" fontId="65" fillId="0" borderId="4" xfId="0" applyFont="1" applyBorder="1" applyAlignment="1">
      <alignment horizontal="left"/>
    </xf>
    <xf numFmtId="0" fontId="64" fillId="0" borderId="7" xfId="0" applyFont="1" applyBorder="1" applyAlignment="1">
      <alignment horizontal="left"/>
    </xf>
    <xf numFmtId="0" fontId="65" fillId="0" borderId="4" xfId="0" applyFont="1" applyBorder="1" applyAlignment="1" applyProtection="1">
      <alignment horizontal="left"/>
    </xf>
    <xf numFmtId="0" fontId="66" fillId="0" borderId="3" xfId="0" applyFont="1" applyBorder="1" applyAlignment="1">
      <alignment horizontal="left"/>
    </xf>
    <xf numFmtId="0" fontId="67" fillId="0" borderId="4" xfId="0" applyFont="1" applyBorder="1" applyAlignment="1" applyProtection="1">
      <alignment horizontal="left"/>
    </xf>
    <xf numFmtId="0" fontId="67" fillId="0" borderId="4" xfId="0" applyFont="1" applyBorder="1" applyAlignment="1">
      <alignment horizontal="left" vertical="center"/>
    </xf>
    <xf numFmtId="0" fontId="66" fillId="0" borderId="4" xfId="0" applyFont="1" applyBorder="1" applyAlignment="1">
      <alignment horizontal="left"/>
    </xf>
    <xf numFmtId="0" fontId="67" fillId="0" borderId="4" xfId="0" applyFont="1" applyBorder="1" applyAlignment="1">
      <alignment horizontal="left"/>
    </xf>
    <xf numFmtId="0" fontId="67" fillId="0" borderId="0" xfId="0" applyFont="1" applyAlignment="1" applyProtection="1">
      <alignment horizontal="left"/>
    </xf>
    <xf numFmtId="0" fontId="66" fillId="0" borderId="7" xfId="0" applyFont="1" applyBorder="1" applyAlignment="1">
      <alignment horizontal="left"/>
    </xf>
    <xf numFmtId="0" fontId="47" fillId="0" borderId="0" xfId="0" applyFont="1" applyBorder="1" applyAlignment="1">
      <alignment horizontal="left"/>
    </xf>
    <xf numFmtId="0" fontId="68" fillId="0" borderId="11" xfId="0" applyFont="1" applyBorder="1" applyAlignment="1">
      <alignment horizontal="center"/>
    </xf>
    <xf numFmtId="0" fontId="68" fillId="0" borderId="12" xfId="0" applyFont="1" applyBorder="1" applyAlignment="1">
      <alignment horizontal="center"/>
    </xf>
    <xf numFmtId="0" fontId="67" fillId="0" borderId="12" xfId="0" applyFont="1" applyBorder="1" applyAlignment="1">
      <alignment horizontal="center"/>
    </xf>
    <xf numFmtId="0" fontId="67" fillId="0" borderId="0" xfId="0" applyFont="1" applyBorder="1" applyAlignment="1">
      <alignment horizontal="center"/>
    </xf>
    <xf numFmtId="0" fontId="49" fillId="0" borderId="0" xfId="0" applyFont="1" applyBorder="1"/>
    <xf numFmtId="0" fontId="0" fillId="0" borderId="0" xfId="0" applyBorder="1" applyProtection="1"/>
    <xf numFmtId="0" fontId="68" fillId="0" borderId="0" xfId="0" applyFont="1" applyBorder="1" applyAlignment="1">
      <alignment horizontal="center"/>
    </xf>
    <xf numFmtId="0" fontId="67" fillId="0" borderId="11" xfId="0" applyFont="1" applyBorder="1" applyAlignment="1">
      <alignment horizontal="center"/>
    </xf>
    <xf numFmtId="0" fontId="72" fillId="0" borderId="0" xfId="0" applyFont="1" applyBorder="1" applyAlignment="1">
      <alignment horizontal="center"/>
    </xf>
    <xf numFmtId="0" fontId="72" fillId="0" borderId="0" xfId="0" applyFont="1" applyBorder="1" applyAlignment="1">
      <alignment horizontal="left"/>
    </xf>
    <xf numFmtId="0" fontId="67" fillId="0" borderId="0" xfId="0" applyFont="1" applyAlignment="1">
      <alignment horizontal="center"/>
    </xf>
    <xf numFmtId="1" fontId="67" fillId="0" borderId="0" xfId="0" applyNumberFormat="1" applyFont="1" applyAlignment="1">
      <alignment horizontal="center"/>
    </xf>
    <xf numFmtId="0" fontId="71" fillId="0" borderId="11" xfId="0" applyFont="1" applyBorder="1" applyAlignment="1">
      <alignment horizontal="center"/>
    </xf>
    <xf numFmtId="174" fontId="67" fillId="0" borderId="0" xfId="4" applyNumberFormat="1" applyFont="1" applyBorder="1" applyAlignment="1">
      <alignment horizontal="center"/>
    </xf>
    <xf numFmtId="1" fontId="67" fillId="0" borderId="0" xfId="0" applyNumberFormat="1" applyFont="1" applyBorder="1" applyAlignment="1">
      <alignment horizontal="center"/>
    </xf>
    <xf numFmtId="0" fontId="68" fillId="0" borderId="12" xfId="0" applyFont="1" applyFill="1" applyBorder="1" applyAlignment="1">
      <alignment horizontal="center"/>
    </xf>
    <xf numFmtId="0" fontId="68" fillId="0" borderId="0" xfId="0" applyFont="1" applyFill="1" applyBorder="1" applyAlignment="1">
      <alignment horizontal="center"/>
    </xf>
    <xf numFmtId="0" fontId="67" fillId="0" borderId="12" xfId="0" applyFont="1" applyFill="1" applyBorder="1" applyAlignment="1">
      <alignment horizontal="center"/>
    </xf>
    <xf numFmtId="0" fontId="67" fillId="0" borderId="0" xfId="0" applyFont="1" applyFill="1" applyBorder="1" applyAlignment="1">
      <alignment horizontal="center"/>
    </xf>
    <xf numFmtId="0" fontId="65" fillId="0" borderId="12" xfId="0" applyFont="1" applyBorder="1" applyAlignment="1">
      <alignment horizontal="center"/>
    </xf>
    <xf numFmtId="0" fontId="65" fillId="0" borderId="0" xfId="0" applyFont="1" applyBorder="1" applyAlignment="1">
      <alignment horizontal="center"/>
    </xf>
    <xf numFmtId="0" fontId="0" fillId="0" borderId="0" xfId="0" applyBorder="1"/>
    <xf numFmtId="0" fontId="65" fillId="0" borderId="12" xfId="0" applyFont="1" applyBorder="1" applyAlignment="1" applyProtection="1">
      <alignment horizontal="center"/>
    </xf>
    <xf numFmtId="0" fontId="65" fillId="0" borderId="0" xfId="0" applyFont="1" applyBorder="1" applyAlignment="1" applyProtection="1">
      <alignment horizontal="center"/>
    </xf>
    <xf numFmtId="0" fontId="67" fillId="0" borderId="12" xfId="0" applyFont="1" applyBorder="1" applyAlignment="1" applyProtection="1">
      <alignment horizontal="center"/>
    </xf>
    <xf numFmtId="0" fontId="67" fillId="0" borderId="0" xfId="0" applyFont="1" applyBorder="1" applyAlignment="1" applyProtection="1">
      <alignment horizontal="center"/>
    </xf>
    <xf numFmtId="0" fontId="65" fillId="0" borderId="6" xfId="0" applyFont="1" applyBorder="1" applyProtection="1"/>
    <xf numFmtId="0" fontId="65" fillId="0" borderId="2" xfId="0" applyFont="1" applyBorder="1" applyAlignment="1" applyProtection="1">
      <alignment horizontal="center" vertical="center"/>
    </xf>
    <xf numFmtId="0" fontId="65" fillId="0" borderId="2" xfId="0" applyFont="1" applyBorder="1" applyProtection="1"/>
    <xf numFmtId="0" fontId="65" fillId="0" borderId="16" xfId="0" applyFont="1" applyBorder="1" applyProtection="1"/>
    <xf numFmtId="0" fontId="67" fillId="0" borderId="6" xfId="0" applyFont="1" applyBorder="1" applyAlignment="1" applyProtection="1">
      <alignment horizontal="center"/>
    </xf>
    <xf numFmtId="0" fontId="67" fillId="0" borderId="2" xfId="0" applyFont="1" applyBorder="1" applyAlignment="1" applyProtection="1">
      <alignment horizontal="center"/>
    </xf>
    <xf numFmtId="0" fontId="67" fillId="0" borderId="16" xfId="0" applyFont="1" applyBorder="1" applyAlignment="1" applyProtection="1">
      <alignment horizontal="center"/>
    </xf>
    <xf numFmtId="0" fontId="0" fillId="3" borderId="0" xfId="0" applyFont="1" applyFill="1"/>
    <xf numFmtId="0" fontId="31" fillId="6" borderId="0" xfId="0" applyFont="1" applyFill="1" applyAlignment="1" applyProtection="1">
      <alignment horizontal="left" vertical="center"/>
    </xf>
    <xf numFmtId="0" fontId="31" fillId="6" borderId="0" xfId="0" applyFont="1" applyFill="1" applyProtection="1"/>
    <xf numFmtId="0" fontId="31" fillId="0" borderId="0" xfId="0" applyFont="1" applyAlignment="1" applyProtection="1">
      <alignment horizontal="center"/>
    </xf>
    <xf numFmtId="0" fontId="47" fillId="0" borderId="0" xfId="0" applyFont="1" applyFill="1" applyBorder="1" applyAlignment="1" applyProtection="1"/>
    <xf numFmtId="0" fontId="31" fillId="0" borderId="0" xfId="0" applyFont="1" applyFill="1" applyBorder="1" applyAlignment="1" applyProtection="1">
      <alignment horizontal="center" wrapText="1"/>
    </xf>
    <xf numFmtId="0" fontId="8" fillId="0" borderId="0" xfId="0" applyFont="1" applyAlignment="1" applyProtection="1">
      <alignment horizontal="center" vertical="top" wrapText="1"/>
    </xf>
    <xf numFmtId="0" fontId="49" fillId="0" borderId="0" xfId="0" applyFont="1" applyProtection="1"/>
    <xf numFmtId="0" fontId="49" fillId="0" borderId="0" xfId="0" applyFont="1" applyAlignment="1" applyProtection="1">
      <alignment horizontal="center" vertical="center"/>
    </xf>
    <xf numFmtId="0" fontId="57" fillId="2" borderId="98" xfId="0" applyFont="1" applyFill="1" applyBorder="1" applyAlignment="1" applyProtection="1">
      <alignment horizontal="center" vertical="center" wrapText="1"/>
    </xf>
    <xf numFmtId="0" fontId="49" fillId="0" borderId="0" xfId="0" applyFont="1" applyAlignment="1" applyProtection="1">
      <alignment horizontal="center"/>
    </xf>
    <xf numFmtId="0" fontId="31" fillId="0" borderId="0" xfId="0" applyFont="1" applyFill="1" applyBorder="1" applyAlignment="1" applyProtection="1">
      <alignment horizontal="right" vertical="center"/>
    </xf>
    <xf numFmtId="0" fontId="73" fillId="2" borderId="7" xfId="0" applyFont="1" applyFill="1" applyBorder="1" applyAlignment="1" applyProtection="1">
      <alignment horizontal="center" vertical="center"/>
    </xf>
    <xf numFmtId="0" fontId="73" fillId="2" borderId="12" xfId="0" applyFont="1" applyFill="1" applyBorder="1" applyAlignment="1" applyProtection="1">
      <alignment horizontal="center" vertical="center"/>
    </xf>
    <xf numFmtId="0" fontId="31" fillId="0" borderId="0" xfId="0" applyFont="1" applyAlignment="1" applyProtection="1">
      <alignment horizontal="center" wrapText="1"/>
    </xf>
    <xf numFmtId="0" fontId="49" fillId="0" borderId="0" xfId="0" applyFont="1" applyFill="1" applyProtection="1"/>
    <xf numFmtId="0" fontId="57" fillId="0" borderId="0" xfId="0" applyFont="1" applyFill="1" applyAlignment="1" applyProtection="1">
      <alignment horizontal="right" vertical="center"/>
    </xf>
    <xf numFmtId="0" fontId="49" fillId="0" borderId="0" xfId="0" applyFont="1" applyFill="1" applyBorder="1" applyProtection="1"/>
    <xf numFmtId="0" fontId="62" fillId="0" borderId="0" xfId="2" applyFont="1" applyAlignment="1" applyProtection="1">
      <alignment horizontal="left" indent="1"/>
    </xf>
    <xf numFmtId="0" fontId="9" fillId="8" borderId="102" xfId="1" applyFill="1" applyBorder="1"/>
    <xf numFmtId="0" fontId="8" fillId="2" borderId="99" xfId="0" applyFont="1" applyFill="1" applyBorder="1"/>
    <xf numFmtId="2" fontId="0" fillId="2" borderId="1" xfId="0" applyNumberFormat="1" applyFont="1" applyFill="1" applyBorder="1"/>
    <xf numFmtId="1" fontId="7" fillId="2" borderId="102" xfId="0" applyNumberFormat="1" applyFont="1" applyFill="1" applyBorder="1" applyAlignment="1">
      <alignment vertical="center"/>
    </xf>
    <xf numFmtId="1" fontId="0" fillId="0" borderId="0" xfId="0" applyNumberFormat="1"/>
    <xf numFmtId="171" fontId="7" fillId="2" borderId="102" xfId="0" applyNumberFormat="1" applyFont="1" applyFill="1" applyBorder="1" applyAlignment="1">
      <alignment vertical="center"/>
    </xf>
    <xf numFmtId="1" fontId="8" fillId="2" borderId="1" xfId="0" applyNumberFormat="1" applyFont="1" applyFill="1" applyBorder="1"/>
    <xf numFmtId="2" fontId="0" fillId="0" borderId="0" xfId="0" applyNumberFormat="1"/>
    <xf numFmtId="2" fontId="9" fillId="2" borderId="57" xfId="1" applyNumberFormat="1" applyFill="1" applyBorder="1"/>
    <xf numFmtId="9" fontId="0" fillId="0" borderId="0" xfId="6" applyFont="1"/>
    <xf numFmtId="9" fontId="0" fillId="2" borderId="102" xfId="6" applyFont="1" applyFill="1" applyBorder="1"/>
    <xf numFmtId="0" fontId="57" fillId="0" borderId="0" xfId="10" applyFont="1" applyProtection="1">
      <protection locked="0"/>
    </xf>
    <xf numFmtId="0" fontId="57" fillId="0" borderId="0" xfId="0" applyFont="1"/>
    <xf numFmtId="0" fontId="57" fillId="0" borderId="0" xfId="0" applyFont="1" applyAlignment="1" applyProtection="1">
      <alignment horizontal="center" vertical="center" wrapText="1"/>
      <protection locked="0"/>
    </xf>
    <xf numFmtId="0" fontId="57" fillId="0" borderId="0" xfId="0" applyFont="1" applyAlignment="1" applyProtection="1">
      <alignment horizontal="left" vertical="center"/>
      <protection locked="0"/>
    </xf>
    <xf numFmtId="0" fontId="74" fillId="22" borderId="104" xfId="0" applyFont="1" applyFill="1" applyBorder="1" applyAlignment="1" applyProtection="1">
      <alignment horizontal="center" vertical="center" wrapText="1"/>
      <protection locked="0"/>
    </xf>
    <xf numFmtId="0" fontId="74" fillId="0" borderId="104" xfId="0" applyFont="1" applyBorder="1" applyAlignment="1" applyProtection="1">
      <alignment horizontal="left" vertical="center" wrapText="1"/>
      <protection locked="0"/>
    </xf>
    <xf numFmtId="0" fontId="74" fillId="23" borderId="104" xfId="0" applyFont="1" applyFill="1" applyBorder="1" applyAlignment="1" applyProtection="1">
      <alignment horizontal="left" vertical="center" wrapText="1"/>
      <protection locked="0"/>
    </xf>
    <xf numFmtId="0" fontId="74" fillId="0" borderId="104" xfId="0" applyFont="1" applyBorder="1" applyAlignment="1" applyProtection="1">
      <alignment horizontal="left" vertical="center"/>
      <protection locked="0"/>
    </xf>
    <xf numFmtId="0" fontId="75" fillId="0" borderId="0" xfId="10" applyFont="1" applyAlignment="1" applyProtection="1">
      <alignment horizontal="left" vertical="center"/>
      <protection locked="0"/>
    </xf>
    <xf numFmtId="0" fontId="75" fillId="0" borderId="0" xfId="10" applyFont="1" applyAlignment="1" applyProtection="1">
      <alignment horizontal="left" vertical="center" wrapText="1"/>
      <protection locked="0"/>
    </xf>
    <xf numFmtId="0" fontId="57" fillId="0" borderId="0" xfId="11" applyFont="1" applyAlignment="1">
      <alignment horizontal="left" vertical="center" wrapText="1"/>
    </xf>
    <xf numFmtId="0" fontId="75" fillId="0" borderId="0" xfId="11" applyFont="1" applyAlignment="1" applyProtection="1">
      <alignment horizontal="left" vertical="center" wrapText="1"/>
      <protection locked="0"/>
    </xf>
    <xf numFmtId="0" fontId="49" fillId="0" borderId="0" xfId="0" applyFont="1" applyProtection="1">
      <protection locked="0"/>
    </xf>
    <xf numFmtId="0" fontId="49" fillId="0" borderId="0" xfId="10" applyFont="1" applyProtection="1">
      <protection locked="0"/>
    </xf>
    <xf numFmtId="0" fontId="77" fillId="2" borderId="105" xfId="0" applyFont="1" applyFill="1" applyBorder="1"/>
    <xf numFmtId="0" fontId="77" fillId="24" borderId="105" xfId="0" applyFont="1" applyFill="1" applyBorder="1" applyProtection="1">
      <protection locked="0"/>
    </xf>
    <xf numFmtId="1" fontId="77" fillId="8" borderId="105" xfId="0" applyNumberFormat="1" applyFont="1" applyFill="1" applyBorder="1" applyAlignment="1" applyProtection="1">
      <alignment horizontal="center"/>
      <protection locked="0"/>
    </xf>
    <xf numFmtId="0" fontId="49" fillId="8" borderId="102" xfId="10" applyFont="1" applyFill="1" applyBorder="1" applyProtection="1">
      <protection locked="0"/>
    </xf>
    <xf numFmtId="0" fontId="77" fillId="8" borderId="102" xfId="0" applyFont="1" applyFill="1" applyBorder="1" applyProtection="1">
      <protection locked="0"/>
    </xf>
    <xf numFmtId="0" fontId="77" fillId="8" borderId="101" xfId="0" applyFont="1" applyFill="1" applyBorder="1" applyProtection="1">
      <protection locked="0"/>
    </xf>
    <xf numFmtId="165" fontId="78" fillId="0" borderId="102" xfId="10" applyNumberFormat="1" applyFont="1" applyBorder="1" applyProtection="1">
      <protection locked="0"/>
    </xf>
    <xf numFmtId="0" fontId="78" fillId="0" borderId="0" xfId="10" applyFont="1" applyProtection="1">
      <protection locked="0"/>
    </xf>
    <xf numFmtId="0" fontId="49" fillId="7" borderId="102" xfId="0" applyFont="1" applyFill="1" applyBorder="1" applyAlignment="1" applyProtection="1">
      <alignment wrapText="1"/>
      <protection locked="0"/>
    </xf>
    <xf numFmtId="165" fontId="77" fillId="2" borderId="105" xfId="0" applyNumberFormat="1" applyFont="1" applyFill="1" applyBorder="1"/>
    <xf numFmtId="165" fontId="77" fillId="2" borderId="105" xfId="0" applyNumberFormat="1" applyFont="1" applyFill="1" applyBorder="1" applyProtection="1">
      <protection locked="0"/>
    </xf>
    <xf numFmtId="0" fontId="75" fillId="0" borderId="0" xfId="10" applyFont="1" applyProtection="1">
      <protection locked="0"/>
    </xf>
    <xf numFmtId="1" fontId="49" fillId="8" borderId="102" xfId="11" applyNumberFormat="1" applyFont="1" applyFill="1" applyBorder="1" applyAlignment="1" applyProtection="1">
      <alignment horizontal="center"/>
      <protection locked="0"/>
    </xf>
    <xf numFmtId="0" fontId="78" fillId="8" borderId="102" xfId="10" applyFont="1" applyFill="1" applyBorder="1" applyProtection="1">
      <protection locked="0"/>
    </xf>
    <xf numFmtId="0" fontId="78" fillId="0" borderId="102" xfId="10" applyFont="1" applyBorder="1" applyProtection="1">
      <protection locked="0"/>
    </xf>
    <xf numFmtId="0" fontId="57" fillId="0" borderId="0" xfId="10" applyFont="1" applyAlignment="1" applyProtection="1">
      <alignment horizontal="right"/>
      <protection locked="0"/>
    </xf>
    <xf numFmtId="0" fontId="57" fillId="0" borderId="0" xfId="10" applyFont="1" applyAlignment="1" applyProtection="1">
      <alignment horizontal="right" wrapText="1"/>
      <protection locked="0"/>
    </xf>
    <xf numFmtId="164" fontId="57" fillId="2" borderId="102" xfId="10" applyNumberFormat="1" applyFont="1" applyFill="1" applyBorder="1" applyAlignment="1">
      <alignment horizontal="center"/>
    </xf>
    <xf numFmtId="0" fontId="49" fillId="0" borderId="0" xfId="10" applyFont="1" applyAlignment="1" applyProtection="1">
      <alignment horizontal="right" wrapText="1"/>
      <protection locked="0"/>
    </xf>
    <xf numFmtId="164" fontId="49" fillId="2" borderId="102" xfId="10" applyNumberFormat="1" applyFont="1" applyFill="1" applyBorder="1" applyAlignment="1">
      <alignment horizontal="center"/>
    </xf>
    <xf numFmtId="0" fontId="49" fillId="0" borderId="0" xfId="10" applyFont="1"/>
    <xf numFmtId="0" fontId="78" fillId="0" borderId="0" xfId="10" applyFont="1"/>
    <xf numFmtId="0" fontId="78" fillId="0" borderId="0" xfId="10" applyFont="1" applyAlignment="1" applyProtection="1">
      <alignment horizontal="right" wrapText="1"/>
      <protection locked="0"/>
    </xf>
    <xf numFmtId="0" fontId="49" fillId="2" borderId="102" xfId="10" applyFont="1" applyFill="1" applyBorder="1"/>
    <xf numFmtId="0" fontId="78" fillId="0" borderId="0" xfId="10" applyFont="1" applyAlignment="1" applyProtection="1">
      <alignment wrapText="1"/>
      <protection locked="0"/>
    </xf>
    <xf numFmtId="0" fontId="77" fillId="0" borderId="0" xfId="0" applyFont="1"/>
    <xf numFmtId="0" fontId="74" fillId="0" borderId="0" xfId="0" applyFont="1" applyAlignment="1" applyProtection="1">
      <alignment horizontal="center" vertical="center"/>
      <protection locked="0"/>
    </xf>
    <xf numFmtId="0" fontId="78" fillId="7" borderId="102" xfId="10" applyFont="1" applyFill="1" applyBorder="1" applyAlignment="1" applyProtection="1">
      <alignment horizontal="center" vertical="center"/>
      <protection locked="0"/>
    </xf>
    <xf numFmtId="0" fontId="49" fillId="0" borderId="0" xfId="0" applyFont="1" applyAlignment="1" applyProtection="1">
      <alignment wrapText="1"/>
      <protection locked="0"/>
    </xf>
    <xf numFmtId="0" fontId="49" fillId="8" borderId="102" xfId="10" applyFont="1" applyFill="1" applyBorder="1" applyAlignment="1" applyProtection="1">
      <alignment wrapText="1"/>
      <protection locked="0"/>
    </xf>
    <xf numFmtId="0" fontId="20" fillId="24" borderId="105" xfId="2" applyFill="1" applyBorder="1" applyProtection="1">
      <protection locked="0"/>
    </xf>
    <xf numFmtId="0" fontId="20" fillId="8" borderId="102" xfId="2" applyFill="1" applyBorder="1" applyProtection="1">
      <protection locked="0"/>
    </xf>
    <xf numFmtId="0" fontId="8" fillId="2" borderId="11" xfId="0" applyFont="1" applyFill="1" applyBorder="1"/>
    <xf numFmtId="0" fontId="8" fillId="2" borderId="0" xfId="0" applyFont="1" applyFill="1" applyBorder="1"/>
    <xf numFmtId="0" fontId="79" fillId="0" borderId="0" xfId="13"/>
    <xf numFmtId="0" fontId="80" fillId="0" borderId="0" xfId="13" applyFont="1"/>
    <xf numFmtId="0" fontId="21" fillId="3" borderId="0" xfId="14" applyFill="1"/>
    <xf numFmtId="0" fontId="79" fillId="25" borderId="0" xfId="13" applyFill="1"/>
    <xf numFmtId="0" fontId="21" fillId="26" borderId="0" xfId="14" applyFill="1"/>
    <xf numFmtId="0" fontId="21" fillId="8" borderId="0" xfId="14" applyFill="1"/>
    <xf numFmtId="0" fontId="21" fillId="27" borderId="0" xfId="14" applyFill="1"/>
    <xf numFmtId="0" fontId="82" fillId="0" borderId="0" xfId="13" applyFont="1"/>
    <xf numFmtId="0" fontId="82" fillId="0" borderId="0" xfId="13" applyFont="1" applyAlignment="1">
      <alignment horizontal="right"/>
    </xf>
    <xf numFmtId="0" fontId="79" fillId="0" borderId="0" xfId="13" applyAlignment="1">
      <alignment horizontal="left" vertical="center" wrapText="1"/>
    </xf>
    <xf numFmtId="0" fontId="80" fillId="3" borderId="0" xfId="13" applyFont="1" applyFill="1"/>
    <xf numFmtId="0" fontId="79" fillId="3" borderId="0" xfId="13" applyFill="1"/>
    <xf numFmtId="0" fontId="79" fillId="29" borderId="0" xfId="13" applyFill="1"/>
    <xf numFmtId="0" fontId="80" fillId="29" borderId="0" xfId="13" applyFont="1" applyFill="1"/>
    <xf numFmtId="0" fontId="83" fillId="29" borderId="0" xfId="13" applyFont="1" applyFill="1"/>
    <xf numFmtId="0" fontId="8" fillId="0" borderId="0" xfId="15" applyFont="1"/>
    <xf numFmtId="0" fontId="84" fillId="0" borderId="0" xfId="15"/>
    <xf numFmtId="0" fontId="57" fillId="0" borderId="0" xfId="15" applyFont="1"/>
    <xf numFmtId="0" fontId="83" fillId="0" borderId="0" xfId="13" applyFont="1"/>
    <xf numFmtId="0" fontId="9" fillId="0" borderId="0" xfId="15" applyFont="1"/>
    <xf numFmtId="0" fontId="8" fillId="0" borderId="0" xfId="15" applyFont="1" applyAlignment="1">
      <alignment horizontal="right"/>
    </xf>
    <xf numFmtId="9" fontId="7" fillId="2" borderId="102" xfId="6" applyFont="1" applyFill="1" applyBorder="1" applyAlignment="1">
      <alignment vertical="center"/>
    </xf>
    <xf numFmtId="175" fontId="7" fillId="2" borderId="102" xfId="6" applyNumberFormat="1" applyFont="1" applyFill="1" applyBorder="1" applyAlignment="1">
      <alignment vertical="center"/>
    </xf>
    <xf numFmtId="2" fontId="7" fillId="2" borderId="102" xfId="6" applyNumberFormat="1" applyFont="1" applyFill="1" applyBorder="1" applyAlignment="1">
      <alignment vertical="center"/>
    </xf>
    <xf numFmtId="0" fontId="0" fillId="0" borderId="0" xfId="0"/>
    <xf numFmtId="2" fontId="8" fillId="36" borderId="1" xfId="0" applyNumberFormat="1" applyFont="1" applyFill="1" applyBorder="1"/>
    <xf numFmtId="0" fontId="9" fillId="8" borderId="0" xfId="1" applyFill="1"/>
    <xf numFmtId="0" fontId="57" fillId="0" borderId="0" xfId="0" applyFont="1" applyAlignment="1">
      <alignment horizontal="center" vertical="center"/>
    </xf>
    <xf numFmtId="0" fontId="91" fillId="0" borderId="0" xfId="0" applyFont="1"/>
    <xf numFmtId="165" fontId="0" fillId="2" borderId="124" xfId="0" applyNumberFormat="1" applyFill="1" applyBorder="1" applyAlignment="1">
      <alignment horizontal="right"/>
    </xf>
    <xf numFmtId="165" fontId="0" fillId="2" borderId="124" xfId="0" applyNumberFormat="1" applyFill="1" applyBorder="1"/>
    <xf numFmtId="2" fontId="0" fillId="2" borderId="124" xfId="0" applyNumberFormat="1" applyFill="1" applyBorder="1"/>
    <xf numFmtId="0" fontId="0" fillId="2" borderId="124" xfId="0" applyFill="1" applyBorder="1"/>
    <xf numFmtId="0" fontId="0" fillId="0" borderId="0" xfId="0" applyAlignment="1">
      <alignment horizontal="center"/>
    </xf>
    <xf numFmtId="0" fontId="8" fillId="0" borderId="0" xfId="0" applyFont="1" applyAlignment="1">
      <alignment horizontal="center"/>
    </xf>
    <xf numFmtId="0" fontId="16" fillId="0" borderId="0" xfId="0" applyFont="1"/>
    <xf numFmtId="0" fontId="20" fillId="0" borderId="0" xfId="2"/>
    <xf numFmtId="0" fontId="20" fillId="8" borderId="0" xfId="2" applyFill="1"/>
    <xf numFmtId="0" fontId="20" fillId="26" borderId="0" xfId="2" applyFill="1"/>
    <xf numFmtId="9" fontId="0" fillId="2" borderId="0" xfId="6" applyFont="1" applyFill="1"/>
    <xf numFmtId="0" fontId="20" fillId="2" borderId="99" xfId="2" applyFill="1" applyBorder="1"/>
    <xf numFmtId="0" fontId="8" fillId="37" borderId="128" xfId="0" applyFont="1" applyFill="1" applyBorder="1" applyAlignment="1">
      <alignment horizontal="center" vertical="center" wrapText="1"/>
    </xf>
    <xf numFmtId="0" fontId="8" fillId="38" borderId="128" xfId="0" applyFont="1" applyFill="1" applyBorder="1" applyAlignment="1">
      <alignment horizontal="center" vertical="center" wrapText="1"/>
    </xf>
    <xf numFmtId="0" fontId="92" fillId="40" borderId="128" xfId="0" applyFont="1" applyFill="1" applyBorder="1" applyAlignment="1">
      <alignment horizontal="center" vertical="center" wrapText="1"/>
    </xf>
    <xf numFmtId="0" fontId="92" fillId="39" borderId="128" xfId="0" applyFont="1" applyFill="1" applyBorder="1" applyAlignment="1">
      <alignment horizontal="center" vertical="center" wrapText="1"/>
    </xf>
    <xf numFmtId="4" fontId="0" fillId="0" borderId="124" xfId="0" applyNumberFormat="1" applyBorder="1"/>
    <xf numFmtId="10" fontId="0" fillId="0" borderId="124" xfId="0" applyNumberFormat="1" applyBorder="1"/>
    <xf numFmtId="0" fontId="8" fillId="2" borderId="99" xfId="0" applyFont="1" applyFill="1" applyBorder="1" applyAlignment="1">
      <alignment horizontal="center"/>
    </xf>
    <xf numFmtId="171" fontId="7" fillId="8" borderId="102" xfId="0" applyNumberFormat="1" applyFont="1" applyFill="1" applyBorder="1" applyAlignment="1">
      <alignment vertical="center"/>
    </xf>
    <xf numFmtId="0" fontId="79" fillId="28" borderId="4" xfId="13" applyFill="1" applyBorder="1" applyAlignment="1">
      <alignment horizontal="left" vertical="center" wrapText="1"/>
    </xf>
    <xf numFmtId="0" fontId="79" fillId="28" borderId="0" xfId="13" applyFill="1" applyAlignment="1">
      <alignment horizontal="left" vertical="center" wrapText="1"/>
    </xf>
    <xf numFmtId="0" fontId="81" fillId="28" borderId="111" xfId="13" applyFont="1" applyFill="1" applyBorder="1" applyAlignment="1">
      <alignment horizontal="left" wrapText="1"/>
    </xf>
    <xf numFmtId="0" fontId="8" fillId="3" borderId="0" xfId="0" applyFont="1" applyFill="1" applyBorder="1" applyAlignment="1" applyProtection="1">
      <alignment horizontal="center" vertical="center" wrapText="1"/>
      <protection locked="0"/>
    </xf>
    <xf numFmtId="0" fontId="0" fillId="19" borderId="2" xfId="0" applyFill="1" applyBorder="1" applyAlignment="1">
      <alignment horizontal="center" wrapText="1"/>
    </xf>
    <xf numFmtId="0" fontId="8" fillId="3" borderId="94" xfId="0" applyFont="1" applyFill="1" applyBorder="1" applyAlignment="1" applyProtection="1">
      <alignment horizontal="center" vertical="center" wrapText="1"/>
      <protection locked="0"/>
    </xf>
    <xf numFmtId="0" fontId="8" fillId="3" borderId="95" xfId="0" applyFont="1" applyFill="1" applyBorder="1" applyAlignment="1" applyProtection="1">
      <alignment horizontal="center" vertical="center" wrapText="1"/>
      <protection locked="0"/>
    </xf>
    <xf numFmtId="0" fontId="8" fillId="0" borderId="2" xfId="0" applyFont="1" applyBorder="1" applyAlignment="1">
      <alignment horizontal="center" wrapText="1"/>
    </xf>
    <xf numFmtId="0" fontId="8" fillId="0" borderId="95" xfId="0" applyFont="1" applyBorder="1" applyAlignment="1">
      <alignment horizontal="center" wrapText="1"/>
    </xf>
    <xf numFmtId="0" fontId="9" fillId="2" borderId="57" xfId="1" applyFill="1" applyBorder="1" applyAlignment="1">
      <alignment horizontal="center"/>
    </xf>
    <xf numFmtId="0" fontId="9" fillId="0" borderId="57" xfId="1" applyBorder="1" applyAlignment="1">
      <alignment horizontal="center"/>
    </xf>
    <xf numFmtId="0" fontId="9" fillId="0" borderId="57" xfId="1" applyFill="1" applyBorder="1" applyAlignment="1">
      <alignment horizontal="center"/>
    </xf>
    <xf numFmtId="0" fontId="49" fillId="3" borderId="3" xfId="10" applyFont="1" applyFill="1" applyBorder="1" applyAlignment="1" applyProtection="1">
      <alignment horizontal="center"/>
      <protection locked="0"/>
    </xf>
    <xf numFmtId="0" fontId="49" fillId="3" borderId="4" xfId="10" applyFont="1" applyFill="1" applyBorder="1" applyAlignment="1" applyProtection="1">
      <alignment horizontal="center"/>
      <protection locked="0"/>
    </xf>
    <xf numFmtId="0" fontId="49" fillId="3" borderId="7" xfId="10" applyFont="1" applyFill="1" applyBorder="1" applyAlignment="1" applyProtection="1">
      <alignment horizontal="center"/>
      <protection locked="0"/>
    </xf>
    <xf numFmtId="0" fontId="49" fillId="3" borderId="11" xfId="10" applyFont="1" applyFill="1" applyBorder="1" applyAlignment="1" applyProtection="1">
      <alignment horizontal="center"/>
      <protection locked="0"/>
    </xf>
    <xf numFmtId="0" fontId="49" fillId="3" borderId="0" xfId="10" applyFont="1" applyFill="1" applyAlignment="1" applyProtection="1">
      <alignment horizontal="center"/>
      <protection locked="0"/>
    </xf>
    <xf numFmtId="0" fontId="49" fillId="3" borderId="12" xfId="10" applyFont="1" applyFill="1" applyBorder="1" applyAlignment="1" applyProtection="1">
      <alignment horizontal="center"/>
      <protection locked="0"/>
    </xf>
    <xf numFmtId="0" fontId="49" fillId="3" borderId="6" xfId="10" applyFont="1" applyFill="1" applyBorder="1" applyAlignment="1" applyProtection="1">
      <alignment horizontal="center"/>
      <protection locked="0"/>
    </xf>
    <xf numFmtId="0" fontId="49" fillId="3" borderId="2" xfId="10" applyFont="1" applyFill="1" applyBorder="1" applyAlignment="1" applyProtection="1">
      <alignment horizontal="center"/>
      <protection locked="0"/>
    </xf>
    <xf numFmtId="0" fontId="49" fillId="3" borderId="16" xfId="10" applyFont="1" applyFill="1" applyBorder="1" applyAlignment="1" applyProtection="1">
      <alignment horizontal="center"/>
      <protection locked="0"/>
    </xf>
    <xf numFmtId="0" fontId="0" fillId="3" borderId="0" xfId="0" applyFill="1" applyAlignment="1">
      <alignment horizontal="center" wrapText="1"/>
    </xf>
    <xf numFmtId="0" fontId="8" fillId="37" borderId="125" xfId="0" applyFont="1" applyFill="1" applyBorder="1" applyAlignment="1">
      <alignment horizontal="center" vertical="center" wrapText="1"/>
    </xf>
    <xf numFmtId="0" fontId="8" fillId="37" borderId="126" xfId="0" applyFont="1" applyFill="1" applyBorder="1" applyAlignment="1">
      <alignment horizontal="center" vertical="center" wrapText="1"/>
    </xf>
    <xf numFmtId="0" fontId="8" fillId="38" borderId="127" xfId="0" applyFont="1" applyFill="1" applyBorder="1" applyAlignment="1">
      <alignment horizontal="center" vertical="center" wrapText="1"/>
    </xf>
    <xf numFmtId="0" fontId="8" fillId="38" borderId="125" xfId="0" applyFont="1" applyFill="1" applyBorder="1" applyAlignment="1">
      <alignment horizontal="center" vertical="center" wrapText="1"/>
    </xf>
    <xf numFmtId="0" fontId="8" fillId="38" borderId="126" xfId="0" applyFont="1" applyFill="1" applyBorder="1" applyAlignment="1">
      <alignment horizontal="center" vertical="center" wrapText="1"/>
    </xf>
    <xf numFmtId="0" fontId="92" fillId="39" borderId="127" xfId="0" applyFont="1" applyFill="1" applyBorder="1" applyAlignment="1">
      <alignment horizontal="center" vertical="center" wrapText="1"/>
    </xf>
    <xf numFmtId="0" fontId="92" fillId="39" borderId="125" xfId="0" applyFont="1" applyFill="1" applyBorder="1" applyAlignment="1">
      <alignment horizontal="center" vertical="center" wrapText="1"/>
    </xf>
    <xf numFmtId="0" fontId="92" fillId="39" borderId="126" xfId="0" applyFont="1" applyFill="1" applyBorder="1" applyAlignment="1">
      <alignment horizontal="center" vertical="center" wrapText="1"/>
    </xf>
    <xf numFmtId="0" fontId="29" fillId="0" borderId="3" xfId="0" applyFont="1" applyBorder="1" applyAlignment="1" applyProtection="1">
      <alignment horizontal="center" vertical="center" wrapText="1"/>
    </xf>
    <xf numFmtId="0" fontId="29" fillId="0" borderId="4" xfId="0" applyFont="1" applyBorder="1" applyAlignment="1" applyProtection="1">
      <alignment horizontal="center" vertical="center" wrapText="1"/>
    </xf>
    <xf numFmtId="0" fontId="29" fillId="0" borderId="6" xfId="0" applyFont="1" applyBorder="1" applyAlignment="1" applyProtection="1">
      <alignment horizontal="center" vertical="center" wrapText="1"/>
    </xf>
    <xf numFmtId="0" fontId="29" fillId="0" borderId="2" xfId="0" applyFont="1" applyBorder="1" applyAlignment="1" applyProtection="1">
      <alignment horizontal="center" vertical="center" wrapText="1"/>
    </xf>
    <xf numFmtId="0" fontId="27" fillId="0" borderId="0" xfId="0" applyFont="1" applyAlignment="1" applyProtection="1">
      <alignment horizontal="left" vertical="center"/>
    </xf>
    <xf numFmtId="0" fontId="33" fillId="0" borderId="0" xfId="0" applyFont="1" applyAlignment="1" applyProtection="1">
      <alignment horizontal="center" vertical="center" wrapText="1"/>
    </xf>
    <xf numFmtId="0" fontId="10" fillId="4" borderId="0" xfId="0" applyFont="1" applyFill="1" applyBorder="1" applyAlignment="1" applyProtection="1">
      <alignment wrapText="1"/>
    </xf>
    <xf numFmtId="0" fontId="13" fillId="4" borderId="0" xfId="0" applyFont="1" applyFill="1" applyAlignment="1" applyProtection="1">
      <alignment horizontal="center" vertical="center"/>
    </xf>
    <xf numFmtId="0" fontId="25" fillId="6" borderId="0" xfId="0" applyFont="1" applyFill="1" applyAlignment="1" applyProtection="1">
      <alignment horizontal="center" vertical="center"/>
    </xf>
    <xf numFmtId="0" fontId="27" fillId="0" borderId="2" xfId="0" applyFont="1" applyFill="1" applyBorder="1" applyAlignment="1" applyProtection="1">
      <alignment horizontal="center" vertical="center" wrapText="1"/>
    </xf>
    <xf numFmtId="0" fontId="40" fillId="6" borderId="0" xfId="0" applyFont="1" applyFill="1" applyBorder="1" applyAlignment="1" applyProtection="1">
      <alignment horizontal="left" vertical="center"/>
    </xf>
    <xf numFmtId="0" fontId="42" fillId="6" borderId="0" xfId="0" applyFont="1" applyFill="1" applyBorder="1" applyAlignment="1" applyProtection="1">
      <alignment horizontal="center" vertical="center" wrapText="1"/>
    </xf>
    <xf numFmtId="0" fontId="31" fillId="0" borderId="0" xfId="0" applyFont="1" applyAlignment="1" applyProtection="1">
      <alignment horizontal="center" vertical="center"/>
    </xf>
    <xf numFmtId="0" fontId="43" fillId="6" borderId="0" xfId="0" applyFont="1" applyFill="1" applyBorder="1" applyAlignment="1" applyProtection="1">
      <alignment horizontal="left" vertical="center"/>
    </xf>
    <xf numFmtId="0" fontId="43" fillId="6" borderId="0" xfId="0" applyFont="1" applyFill="1" applyBorder="1" applyAlignment="1" applyProtection="1">
      <alignment horizontal="left" vertical="top"/>
    </xf>
    <xf numFmtId="0" fontId="47" fillId="0" borderId="0" xfId="0" applyFont="1" applyFill="1" applyBorder="1" applyAlignment="1" applyProtection="1">
      <alignment horizontal="center"/>
    </xf>
    <xf numFmtId="0" fontId="48" fillId="9" borderId="8" xfId="3" applyFont="1" applyFill="1" applyBorder="1" applyAlignment="1" applyProtection="1">
      <alignment horizontal="center" vertical="center" wrapText="1"/>
    </xf>
    <xf numFmtId="0" fontId="48" fillId="9" borderId="9" xfId="3" applyFont="1" applyFill="1" applyBorder="1" applyAlignment="1" applyProtection="1">
      <alignment horizontal="center" vertical="center" wrapText="1"/>
    </xf>
    <xf numFmtId="0" fontId="48" fillId="9" borderId="10" xfId="3" applyFont="1" applyFill="1" applyBorder="1" applyAlignment="1" applyProtection="1">
      <alignment horizontal="center" vertical="center" wrapText="1"/>
    </xf>
    <xf numFmtId="0" fontId="48" fillId="10" borderId="8" xfId="3" applyFont="1" applyFill="1" applyBorder="1" applyAlignment="1" applyProtection="1">
      <alignment horizontal="center" vertical="center" wrapText="1"/>
    </xf>
    <xf numFmtId="0" fontId="48" fillId="10" borderId="9" xfId="3" applyFont="1" applyFill="1" applyBorder="1" applyAlignment="1" applyProtection="1">
      <alignment horizontal="center" vertical="center" wrapText="1"/>
    </xf>
    <xf numFmtId="0" fontId="48" fillId="10" borderId="10" xfId="3" applyFont="1" applyFill="1" applyBorder="1" applyAlignment="1" applyProtection="1">
      <alignment horizontal="center" vertical="center" wrapText="1"/>
    </xf>
    <xf numFmtId="0" fontId="48" fillId="11" borderId="8" xfId="3" applyFont="1" applyFill="1" applyBorder="1" applyAlignment="1" applyProtection="1">
      <alignment horizontal="center" vertical="center" wrapText="1"/>
    </xf>
    <xf numFmtId="0" fontId="48" fillId="11" borderId="9" xfId="3" applyFont="1" applyFill="1" applyBorder="1" applyAlignment="1" applyProtection="1">
      <alignment horizontal="center" vertical="center" wrapText="1"/>
    </xf>
    <xf numFmtId="0" fontId="48" fillId="11" borderId="10" xfId="3" applyFont="1" applyFill="1" applyBorder="1" applyAlignment="1" applyProtection="1">
      <alignment horizontal="center" vertical="center" wrapText="1"/>
    </xf>
    <xf numFmtId="0" fontId="23" fillId="0" borderId="0" xfId="0" applyFont="1" applyAlignment="1" applyProtection="1">
      <alignment horizontal="center"/>
    </xf>
    <xf numFmtId="0" fontId="50" fillId="0" borderId="0" xfId="3" applyFont="1" applyBorder="1" applyAlignment="1" applyProtection="1">
      <alignment horizontal="center"/>
    </xf>
    <xf numFmtId="0" fontId="8" fillId="0" borderId="0" xfId="0" applyFont="1" applyAlignment="1" applyProtection="1">
      <alignment horizontal="center"/>
    </xf>
    <xf numFmtId="0" fontId="48" fillId="0" borderId="8" xfId="3" applyFont="1" applyBorder="1" applyAlignment="1" applyProtection="1">
      <alignment horizontal="center" vertical="center" wrapText="1"/>
    </xf>
    <xf numFmtId="0" fontId="48" fillId="0" borderId="10" xfId="3" applyFont="1" applyBorder="1" applyAlignment="1" applyProtection="1">
      <alignment horizontal="center" vertical="center" wrapText="1"/>
    </xf>
    <xf numFmtId="0" fontId="52" fillId="0" borderId="0" xfId="1" applyFont="1" applyFill="1" applyBorder="1" applyAlignment="1" applyProtection="1">
      <alignment horizontal="center"/>
    </xf>
    <xf numFmtId="0" fontId="52" fillId="0" borderId="0" xfId="0" applyFont="1" applyFill="1" applyBorder="1" applyAlignment="1" applyProtection="1">
      <alignment horizontal="center"/>
    </xf>
    <xf numFmtId="3" fontId="7" fillId="8" borderId="124" xfId="0" applyNumberFormat="1" applyFont="1" applyFill="1" applyBorder="1" applyAlignment="1">
      <alignment vertical="center"/>
    </xf>
    <xf numFmtId="0" fontId="0" fillId="8" borderId="124" xfId="0" applyFill="1" applyBorder="1"/>
    <xf numFmtId="4" fontId="0" fillId="8" borderId="124" xfId="0" applyNumberFormat="1" applyFill="1" applyBorder="1"/>
    <xf numFmtId="0" fontId="93" fillId="8" borderId="124" xfId="0" applyFont="1" applyFill="1" applyBorder="1"/>
    <xf numFmtId="0" fontId="94" fillId="8" borderId="124" xfId="0" applyFont="1" applyFill="1" applyBorder="1"/>
    <xf numFmtId="4" fontId="93" fillId="8" borderId="124" xfId="0" applyNumberFormat="1" applyFont="1" applyFill="1" applyBorder="1"/>
    <xf numFmtId="4" fontId="94" fillId="8" borderId="124" xfId="0" applyNumberFormat="1" applyFont="1" applyFill="1" applyBorder="1"/>
    <xf numFmtId="0" fontId="15" fillId="0" borderId="0" xfId="0" applyFont="1"/>
    <xf numFmtId="171" fontId="7" fillId="8" borderId="124" xfId="0" applyNumberFormat="1" applyFont="1" applyFill="1" applyBorder="1" applyAlignment="1">
      <alignment vertical="center"/>
    </xf>
    <xf numFmtId="0" fontId="8" fillId="8" borderId="0" xfId="0" applyFont="1" applyFill="1"/>
    <xf numFmtId="2" fontId="0" fillId="8" borderId="1" xfId="0" applyNumberFormat="1" applyFont="1" applyFill="1" applyBorder="1"/>
    <xf numFmtId="2" fontId="8" fillId="8" borderId="1" xfId="0" applyNumberFormat="1" applyFont="1" applyFill="1" applyBorder="1"/>
    <xf numFmtId="1" fontId="7" fillId="8" borderId="102" xfId="0" applyNumberFormat="1" applyFont="1" applyFill="1" applyBorder="1" applyAlignment="1">
      <alignment vertical="center"/>
    </xf>
    <xf numFmtId="0" fontId="0" fillId="8" borderId="1" xfId="0" applyFill="1" applyBorder="1"/>
    <xf numFmtId="2" fontId="0" fillId="8" borderId="124" xfId="0" applyNumberFormat="1" applyFill="1" applyBorder="1"/>
    <xf numFmtId="172" fontId="8" fillId="2" borderId="1" xfId="0" applyNumberFormat="1" applyFont="1" applyFill="1" applyBorder="1"/>
    <xf numFmtId="172" fontId="8" fillId="36" borderId="1" xfId="0" applyNumberFormat="1" applyFont="1" applyFill="1" applyBorder="1"/>
    <xf numFmtId="0" fontId="8" fillId="43" borderId="0" xfId="0" applyFont="1" applyFill="1" applyAlignment="1">
      <alignment horizontal="center"/>
    </xf>
    <xf numFmtId="0" fontId="9" fillId="0" borderId="0" xfId="0" applyFont="1" applyFill="1"/>
    <xf numFmtId="1" fontId="9" fillId="0" borderId="0" xfId="0" applyNumberFormat="1" applyFont="1" applyFill="1"/>
    <xf numFmtId="0" fontId="95" fillId="0" borderId="0" xfId="0" applyFont="1" applyFill="1"/>
    <xf numFmtId="1" fontId="9" fillId="0" borderId="0" xfId="0" applyNumberFormat="1" applyFont="1" applyFill="1" applyAlignment="1">
      <alignment horizontal="center"/>
    </xf>
    <xf numFmtId="0" fontId="95" fillId="0" borderId="0" xfId="0" applyFont="1" applyFill="1" applyAlignment="1">
      <alignment horizontal="center"/>
    </xf>
    <xf numFmtId="0" fontId="96" fillId="0" borderId="0" xfId="0" applyFont="1"/>
    <xf numFmtId="0" fontId="50" fillId="0" borderId="0" xfId="0" applyFont="1"/>
    <xf numFmtId="0" fontId="8" fillId="43" borderId="0" xfId="0" applyFont="1" applyFill="1" applyAlignment="1">
      <alignment horizontal="right"/>
    </xf>
    <xf numFmtId="1" fontId="9" fillId="0" borderId="0" xfId="0" applyNumberFormat="1" applyFont="1" applyFill="1" applyAlignment="1">
      <alignment horizontal="right"/>
    </xf>
    <xf numFmtId="10" fontId="0" fillId="0" borderId="0" xfId="0" applyNumberFormat="1"/>
    <xf numFmtId="0" fontId="9" fillId="29" borderId="0" xfId="0" applyFont="1" applyFill="1"/>
    <xf numFmtId="1" fontId="9" fillId="29" borderId="0" xfId="0" applyNumberFormat="1" applyFont="1" applyFill="1" applyAlignment="1">
      <alignment horizontal="right"/>
    </xf>
    <xf numFmtId="0" fontId="95" fillId="29" borderId="0" xfId="0" applyFont="1" applyFill="1"/>
    <xf numFmtId="171" fontId="0" fillId="0" borderId="0" xfId="0" applyNumberFormat="1"/>
    <xf numFmtId="1" fontId="9" fillId="8" borderId="0" xfId="0" applyNumberFormat="1" applyFont="1" applyFill="1" applyAlignment="1">
      <alignment horizontal="right"/>
    </xf>
    <xf numFmtId="0" fontId="95" fillId="8" borderId="0" xfId="0" applyFont="1" applyFill="1"/>
    <xf numFmtId="9" fontId="0" fillId="0" borderId="0" xfId="0" applyNumberFormat="1"/>
    <xf numFmtId="0" fontId="0" fillId="2" borderId="129" xfId="0" applyFill="1" applyBorder="1"/>
    <xf numFmtId="0" fontId="0" fillId="0" borderId="0" xfId="0" applyAlignment="1">
      <alignment horizontal="left"/>
    </xf>
    <xf numFmtId="10" fontId="0" fillId="0" borderId="0" xfId="0" applyNumberFormat="1" applyAlignment="1">
      <alignment horizontal="center"/>
    </xf>
    <xf numFmtId="9" fontId="0" fillId="0" borderId="0" xfId="0" applyNumberFormat="1" applyAlignment="1">
      <alignment horizontal="center"/>
    </xf>
    <xf numFmtId="0" fontId="0" fillId="0" borderId="0" xfId="0" applyAlignment="1">
      <alignment vertical="center" wrapText="1"/>
    </xf>
    <xf numFmtId="0" fontId="0" fillId="0" borderId="0" xfId="0" applyNumberFormat="1"/>
    <xf numFmtId="17" fontId="0" fillId="0" borderId="0" xfId="0" applyNumberFormat="1"/>
    <xf numFmtId="0" fontId="0" fillId="6" borderId="0" xfId="0" applyFill="1"/>
    <xf numFmtId="0" fontId="57" fillId="12" borderId="0" xfId="0" applyFont="1" applyFill="1" applyAlignment="1"/>
    <xf numFmtId="168" fontId="49" fillId="0" borderId="12" xfId="4" applyNumberFormat="1" applyFont="1" applyBorder="1" applyAlignment="1">
      <alignment horizontal="center"/>
    </xf>
    <xf numFmtId="1" fontId="49" fillId="0" borderId="0" xfId="0" applyNumberFormat="1" applyFont="1" applyAlignment="1">
      <alignment horizontal="center"/>
    </xf>
    <xf numFmtId="0" fontId="49" fillId="0" borderId="0" xfId="0" applyFont="1" applyFill="1" applyAlignment="1">
      <alignment horizontal="center"/>
    </xf>
    <xf numFmtId="0" fontId="49" fillId="0" borderId="0" xfId="0" applyFont="1" applyFill="1"/>
    <xf numFmtId="1" fontId="57" fillId="15" borderId="98" xfId="0" applyNumberFormat="1" applyFont="1" applyFill="1" applyBorder="1"/>
    <xf numFmtId="1" fontId="57" fillId="15" borderId="45" xfId="0" applyNumberFormat="1" applyFont="1" applyFill="1" applyBorder="1"/>
    <xf numFmtId="0" fontId="0" fillId="0" borderId="0" xfId="0" applyProtection="1"/>
    <xf numFmtId="0" fontId="0" fillId="16" borderId="0" xfId="0" applyFill="1" applyProtection="1"/>
    <xf numFmtId="0" fontId="65" fillId="0" borderId="4" xfId="0" applyFont="1" applyBorder="1" applyAlignment="1">
      <alignment horizontal="center" vertical="center"/>
    </xf>
    <xf numFmtId="0" fontId="65" fillId="0" borderId="4" xfId="0" applyFont="1" applyBorder="1" applyAlignment="1">
      <alignment horizontal="center"/>
    </xf>
    <xf numFmtId="0" fontId="0" fillId="0" borderId="0" xfId="0" applyAlignment="1" applyProtection="1">
      <alignment horizontal="left"/>
    </xf>
    <xf numFmtId="0" fontId="65" fillId="0" borderId="4" xfId="0" applyFont="1" applyBorder="1" applyProtection="1"/>
    <xf numFmtId="0" fontId="47" fillId="0" borderId="3" xfId="0" applyFont="1" applyBorder="1" applyAlignment="1">
      <alignment horizontal="left"/>
    </xf>
    <xf numFmtId="0" fontId="0" fillId="0" borderId="4" xfId="0" applyFont="1" applyBorder="1" applyAlignment="1">
      <alignment horizontal="center" vertical="center"/>
    </xf>
    <xf numFmtId="0" fontId="47" fillId="0" borderId="4" xfId="0" applyFont="1" applyBorder="1" applyAlignment="1">
      <alignment horizontal="left"/>
    </xf>
    <xf numFmtId="0" fontId="0" fillId="0" borderId="4" xfId="0" applyFont="1" applyBorder="1" applyAlignment="1">
      <alignment horizontal="center"/>
    </xf>
    <xf numFmtId="0" fontId="47" fillId="0" borderId="7" xfId="0" applyFont="1" applyBorder="1" applyAlignment="1">
      <alignment horizontal="left"/>
    </xf>
    <xf numFmtId="0" fontId="0" fillId="0" borderId="0" xfId="0" applyFont="1" applyBorder="1" applyAlignment="1">
      <alignment horizontal="center"/>
    </xf>
    <xf numFmtId="0" fontId="0" fillId="0" borderId="0" xfId="0" applyFont="1" applyBorder="1" applyAlignment="1">
      <alignment horizontal="center" vertical="center"/>
    </xf>
    <xf numFmtId="0" fontId="69" fillId="0" borderId="0" xfId="230" applyFont="1" applyBorder="1" applyAlignment="1">
      <alignment horizontal="center"/>
    </xf>
    <xf numFmtId="0" fontId="70" fillId="0" borderId="11" xfId="230" applyFont="1" applyBorder="1" applyAlignment="1">
      <alignment horizontal="center"/>
    </xf>
    <xf numFmtId="0" fontId="71" fillId="0" borderId="11" xfId="230" applyFont="1" applyBorder="1" applyAlignment="1">
      <alignment horizontal="center"/>
    </xf>
    <xf numFmtId="0" fontId="71" fillId="0" borderId="0" xfId="230" applyFont="1" applyBorder="1" applyAlignment="1">
      <alignment horizontal="center"/>
    </xf>
    <xf numFmtId="0" fontId="67" fillId="0" borderId="11" xfId="230" applyFont="1" applyBorder="1" applyAlignment="1">
      <alignment horizontal="center"/>
    </xf>
    <xf numFmtId="0" fontId="67" fillId="0" borderId="0" xfId="230" applyFont="1" applyBorder="1" applyAlignment="1">
      <alignment horizontal="center"/>
    </xf>
    <xf numFmtId="0" fontId="1" fillId="0" borderId="0" xfId="230" applyBorder="1"/>
    <xf numFmtId="0" fontId="7" fillId="0" borderId="0" xfId="230" applyFont="1" applyBorder="1"/>
    <xf numFmtId="0" fontId="69" fillId="0" borderId="11" xfId="230" applyFont="1" applyBorder="1" applyAlignment="1">
      <alignment horizontal="center"/>
    </xf>
    <xf numFmtId="1" fontId="70" fillId="0" borderId="0" xfId="230" applyNumberFormat="1" applyFont="1" applyBorder="1" applyAlignment="1">
      <alignment horizontal="center"/>
    </xf>
    <xf numFmtId="0" fontId="7" fillId="0" borderId="0" xfId="230" applyFont="1" applyAlignment="1">
      <alignment horizontal="center"/>
    </xf>
    <xf numFmtId="1" fontId="1" fillId="0" borderId="0" xfId="230" applyNumberFormat="1" applyAlignment="1">
      <alignment horizontal="center"/>
    </xf>
    <xf numFmtId="0" fontId="7" fillId="18" borderId="11" xfId="230" applyFont="1" applyFill="1" applyBorder="1" applyAlignment="1">
      <alignment horizontal="center"/>
    </xf>
    <xf numFmtId="1" fontId="1" fillId="18" borderId="0" xfId="230" applyNumberFormat="1" applyFill="1" applyBorder="1" applyAlignment="1">
      <alignment horizontal="center"/>
    </xf>
    <xf numFmtId="174" fontId="1" fillId="0" borderId="0" xfId="231" applyNumberFormat="1" applyFont="1" applyBorder="1"/>
    <xf numFmtId="1" fontId="1" fillId="0" borderId="0" xfId="230" applyNumberFormat="1" applyFont="1" applyBorder="1"/>
    <xf numFmtId="1" fontId="1" fillId="0" borderId="0" xfId="230" applyNumberFormat="1" applyBorder="1"/>
    <xf numFmtId="0" fontId="49" fillId="0" borderId="12" xfId="0" applyFont="1" applyFill="1" applyBorder="1" applyAlignment="1">
      <alignment horizontal="center"/>
    </xf>
    <xf numFmtId="0" fontId="49" fillId="0" borderId="12" xfId="0" applyFont="1" applyFill="1" applyBorder="1"/>
    <xf numFmtId="0" fontId="0" fillId="0" borderId="12" xfId="0" applyBorder="1" applyAlignment="1">
      <alignment horizontal="center"/>
    </xf>
    <xf numFmtId="0" fontId="0" fillId="0" borderId="12" xfId="0" applyBorder="1"/>
    <xf numFmtId="0" fontId="0" fillId="0" borderId="12" xfId="0" applyBorder="1" applyAlignment="1" applyProtection="1">
      <alignment horizontal="center"/>
    </xf>
    <xf numFmtId="0" fontId="0" fillId="0" borderId="12" xfId="0" applyBorder="1" applyProtection="1"/>
    <xf numFmtId="0" fontId="0" fillId="0" borderId="6" xfId="0" applyBorder="1" applyProtection="1"/>
    <xf numFmtId="0" fontId="0" fillId="0" borderId="2" xfId="0" applyBorder="1" applyProtection="1"/>
    <xf numFmtId="1" fontId="49" fillId="0" borderId="2" xfId="0" applyNumberFormat="1" applyFont="1" applyFill="1" applyBorder="1" applyProtection="1"/>
    <xf numFmtId="0" fontId="0" fillId="0" borderId="16" xfId="0" applyBorder="1" applyProtection="1"/>
    <xf numFmtId="165" fontId="0" fillId="0" borderId="0" xfId="4" applyFont="1" applyBorder="1" applyProtection="1"/>
    <xf numFmtId="0" fontId="0" fillId="6" borderId="0" xfId="0" applyFill="1" applyProtection="1"/>
    <xf numFmtId="0" fontId="57" fillId="2" borderId="98" xfId="0" applyFont="1" applyFill="1" applyBorder="1" applyAlignment="1" applyProtection="1">
      <alignment horizontal="right" vertical="center"/>
    </xf>
    <xf numFmtId="0" fontId="49" fillId="3" borderId="0" xfId="0" applyFont="1" applyFill="1" applyAlignment="1" applyProtection="1">
      <alignment horizontal="center"/>
    </xf>
    <xf numFmtId="0" fontId="31" fillId="0" borderId="0" xfId="0" applyFont="1" applyAlignment="1" applyProtection="1">
      <alignment wrapText="1"/>
    </xf>
    <xf numFmtId="0" fontId="31" fillId="0" borderId="0" xfId="0" applyFont="1" applyAlignment="1" applyProtection="1">
      <alignment vertical="center" wrapText="1"/>
    </xf>
    <xf numFmtId="0" fontId="0" fillId="0" borderId="0" xfId="0" applyAlignment="1">
      <alignment horizontal="center" vertical="center"/>
    </xf>
    <xf numFmtId="0" fontId="0" fillId="17" borderId="0" xfId="0" applyFill="1"/>
    <xf numFmtId="0" fontId="0" fillId="17" borderId="0" xfId="0" applyFill="1" applyAlignment="1">
      <alignment horizontal="center" vertical="center"/>
    </xf>
    <xf numFmtId="2" fontId="0" fillId="13" borderId="1" xfId="0" applyNumberFormat="1" applyFont="1" applyFill="1" applyBorder="1" applyAlignment="1" applyProtection="1">
      <alignment horizontal="center" wrapText="1"/>
      <protection locked="0"/>
    </xf>
    <xf numFmtId="0" fontId="100" fillId="0" borderId="0" xfId="0" applyFont="1"/>
    <xf numFmtId="0" fontId="102" fillId="0" borderId="0" xfId="0" applyFont="1" applyAlignment="1"/>
    <xf numFmtId="0" fontId="103" fillId="0" borderId="0" xfId="0" applyFont="1" applyAlignment="1"/>
    <xf numFmtId="0" fontId="0" fillId="8" borderId="124" xfId="0" applyFont="1" applyFill="1" applyBorder="1" applyAlignment="1">
      <alignment horizontal="center" wrapText="1"/>
    </xf>
    <xf numFmtId="0" fontId="0" fillId="8" borderId="124" xfId="0" applyFont="1" applyFill="1" applyBorder="1" applyAlignment="1">
      <alignment horizontal="center"/>
    </xf>
    <xf numFmtId="0" fontId="0" fillId="8" borderId="124" xfId="0" applyFill="1" applyBorder="1" applyAlignment="1">
      <alignment horizontal="center"/>
    </xf>
    <xf numFmtId="179" fontId="101" fillId="8" borderId="124" xfId="0" applyNumberFormat="1" applyFont="1" applyFill="1" applyBorder="1" applyAlignment="1">
      <alignment horizontal="right"/>
    </xf>
    <xf numFmtId="0" fontId="0" fillId="2" borderId="124" xfId="0" applyFill="1" applyBorder="1" applyAlignment="1">
      <alignment horizontal="center"/>
    </xf>
    <xf numFmtId="0" fontId="62" fillId="0" borderId="0" xfId="2" applyFont="1"/>
    <xf numFmtId="0" fontId="104" fillId="0" borderId="124" xfId="0" applyFont="1" applyFill="1" applyBorder="1" applyAlignment="1">
      <alignment horizontal="center" vertical="center"/>
    </xf>
    <xf numFmtId="0" fontId="104" fillId="0" borderId="75" xfId="0" quotePrefix="1" applyFont="1" applyFill="1" applyBorder="1" applyAlignment="1">
      <alignment horizontal="left" vertical="center"/>
    </xf>
    <xf numFmtId="0" fontId="0" fillId="42" borderId="0" xfId="0" applyFill="1"/>
    <xf numFmtId="0" fontId="8" fillId="42" borderId="0" xfId="0" applyFont="1" applyFill="1"/>
    <xf numFmtId="0" fontId="15" fillId="0" borderId="0" xfId="0" applyFont="1" applyFill="1"/>
    <xf numFmtId="0" fontId="8" fillId="0" borderId="0" xfId="0" applyFont="1" applyFill="1" applyBorder="1" applyAlignment="1">
      <alignment wrapText="1"/>
    </xf>
    <xf numFmtId="0" fontId="0" fillId="0" borderId="0" xfId="0" applyFill="1" applyBorder="1" applyAlignment="1">
      <alignment horizontal="center"/>
    </xf>
    <xf numFmtId="0" fontId="0" fillId="0" borderId="106" xfId="0" applyBorder="1"/>
    <xf numFmtId="0" fontId="0" fillId="0" borderId="107" xfId="0" applyBorder="1"/>
    <xf numFmtId="0" fontId="0" fillId="0" borderId="108" xfId="0" applyBorder="1"/>
    <xf numFmtId="0" fontId="15" fillId="0" borderId="132" xfId="0" applyFont="1" applyBorder="1"/>
    <xf numFmtId="0" fontId="0" fillId="0" borderId="133" xfId="0" applyBorder="1"/>
    <xf numFmtId="0" fontId="0" fillId="0" borderId="132" xfId="0" applyBorder="1"/>
    <xf numFmtId="0" fontId="0" fillId="0" borderId="104" xfId="0" applyBorder="1"/>
    <xf numFmtId="0" fontId="0" fillId="0" borderId="110" xfId="0" applyBorder="1"/>
    <xf numFmtId="0" fontId="100" fillId="0" borderId="0" xfId="0" applyFont="1" applyAlignment="1">
      <alignment horizontal="right"/>
    </xf>
    <xf numFmtId="0" fontId="15" fillId="0" borderId="106" xfId="0" applyFont="1" applyFill="1" applyBorder="1"/>
    <xf numFmtId="0" fontId="0" fillId="0" borderId="107" xfId="0" applyFill="1" applyBorder="1"/>
    <xf numFmtId="0" fontId="8" fillId="0" borderId="132" xfId="0" applyFont="1" applyFill="1" applyBorder="1" applyAlignment="1">
      <alignment wrapText="1"/>
    </xf>
    <xf numFmtId="43" fontId="0" fillId="0" borderId="0" xfId="232" applyFont="1" applyAlignment="1">
      <alignment horizontal="left" vertical="center"/>
    </xf>
    <xf numFmtId="0" fontId="0" fillId="0" borderId="0" xfId="0" applyAlignment="1">
      <alignment horizontal="center"/>
    </xf>
    <xf numFmtId="0" fontId="0" fillId="0" borderId="0" xfId="0" applyFill="1" applyBorder="1"/>
    <xf numFmtId="0" fontId="8" fillId="0" borderId="0" xfId="0" applyFont="1" applyFill="1" applyBorder="1" applyAlignment="1">
      <alignment horizontal="left"/>
    </xf>
    <xf numFmtId="180" fontId="95" fillId="0" borderId="0" xfId="127" applyNumberFormat="1" applyFont="1" applyFill="1" applyBorder="1"/>
    <xf numFmtId="0" fontId="0" fillId="0" borderId="109" xfId="0" applyBorder="1"/>
    <xf numFmtId="0" fontId="15" fillId="0" borderId="0" xfId="0" applyFont="1" applyFill="1" applyBorder="1"/>
    <xf numFmtId="0" fontId="0" fillId="2" borderId="122" xfId="0" applyFill="1" applyBorder="1"/>
    <xf numFmtId="171" fontId="0" fillId="20" borderId="135" xfId="0" applyNumberFormat="1" applyFont="1" applyFill="1" applyBorder="1" applyProtection="1">
      <protection locked="0"/>
    </xf>
    <xf numFmtId="166" fontId="49" fillId="0" borderId="129" xfId="4" applyNumberFormat="1" applyFont="1" applyBorder="1"/>
    <xf numFmtId="169" fontId="49" fillId="0" borderId="129" xfId="4" applyNumberFormat="1" applyFont="1" applyBorder="1" applyAlignment="1">
      <alignment horizontal="center"/>
    </xf>
    <xf numFmtId="170" fontId="49" fillId="0" borderId="129" xfId="0" applyNumberFormat="1" applyFont="1" applyBorder="1" applyAlignment="1">
      <alignment horizontal="center"/>
    </xf>
    <xf numFmtId="0" fontId="57" fillId="2" borderId="129" xfId="0" applyFont="1" applyFill="1" applyBorder="1" applyAlignment="1" applyProtection="1">
      <alignment horizontal="right" vertical="center"/>
    </xf>
    <xf numFmtId="0" fontId="0" fillId="20" borderId="138" xfId="0" applyFont="1" applyFill="1" applyBorder="1" applyProtection="1"/>
    <xf numFmtId="171" fontId="65" fillId="20" borderId="139" xfId="0" applyNumberFormat="1" applyFont="1" applyFill="1" applyBorder="1" applyProtection="1"/>
    <xf numFmtId="171" fontId="65" fillId="21" borderId="139" xfId="0" applyNumberFormat="1" applyFont="1" applyFill="1" applyBorder="1" applyProtection="1"/>
    <xf numFmtId="171" fontId="0" fillId="20" borderId="139" xfId="0" applyNumberFormat="1" applyFont="1" applyFill="1" applyBorder="1" applyProtection="1"/>
    <xf numFmtId="171" fontId="0" fillId="21" borderId="139" xfId="0" applyNumberFormat="1" applyFont="1" applyFill="1" applyBorder="1" applyProtection="1"/>
    <xf numFmtId="0" fontId="31" fillId="20" borderId="138" xfId="0" applyFont="1" applyFill="1" applyBorder="1" applyAlignment="1" applyProtection="1">
      <alignment horizontal="center" vertical="center"/>
    </xf>
    <xf numFmtId="0" fontId="57" fillId="2" borderId="130" xfId="0" applyFont="1" applyFill="1" applyBorder="1" applyAlignment="1" applyProtection="1">
      <alignment horizontal="right" vertical="center"/>
    </xf>
    <xf numFmtId="0" fontId="0" fillId="0" borderId="0" xfId="0" applyAlignment="1">
      <alignment horizontal="center"/>
    </xf>
    <xf numFmtId="1" fontId="57" fillId="15" borderId="140" xfId="0" applyNumberFormat="1" applyFont="1" applyFill="1" applyBorder="1"/>
    <xf numFmtId="171" fontId="57" fillId="15" borderId="140" xfId="0" applyNumberFormat="1" applyFont="1" applyFill="1" applyBorder="1"/>
    <xf numFmtId="0" fontId="0" fillId="0" borderId="0" xfId="0" applyAlignment="1">
      <alignment horizontal="center"/>
    </xf>
    <xf numFmtId="0" fontId="55" fillId="6" borderId="137" xfId="0" applyFont="1" applyFill="1" applyBorder="1"/>
    <xf numFmtId="0" fontId="55" fillId="6" borderId="131" xfId="0" applyFont="1" applyFill="1" applyBorder="1"/>
    <xf numFmtId="0" fontId="55" fillId="6" borderId="137" xfId="0" applyFont="1" applyFill="1" applyBorder="1" applyAlignment="1">
      <alignment horizontal="left" vertical="center"/>
    </xf>
    <xf numFmtId="0" fontId="55" fillId="6" borderId="136" xfId="0" applyFont="1" applyFill="1" applyBorder="1"/>
    <xf numFmtId="0" fontId="19" fillId="6" borderId="131" xfId="0" applyFont="1" applyFill="1" applyBorder="1"/>
    <xf numFmtId="0" fontId="0" fillId="0" borderId="140" xfId="0" applyFont="1" applyBorder="1"/>
    <xf numFmtId="0" fontId="31" fillId="8" borderId="140" xfId="0" applyFont="1" applyFill="1" applyBorder="1" applyAlignment="1" applyProtection="1">
      <alignment horizontal="center" vertical="center"/>
      <protection locked="0"/>
    </xf>
    <xf numFmtId="0" fontId="49" fillId="0" borderId="140" xfId="0" applyFont="1" applyBorder="1"/>
    <xf numFmtId="0" fontId="8" fillId="2" borderId="141" xfId="0" applyFont="1" applyFill="1" applyBorder="1" applyAlignment="1" applyProtection="1">
      <alignment horizontal="center" vertical="center" wrapText="1"/>
      <protection locked="0"/>
    </xf>
    <xf numFmtId="0" fontId="8" fillId="8" borderId="141" xfId="0" applyFont="1" applyFill="1" applyBorder="1" applyAlignment="1" applyProtection="1">
      <alignment horizontal="center" vertical="center"/>
      <protection locked="0"/>
    </xf>
    <xf numFmtId="167" fontId="49" fillId="0" borderId="140" xfId="4" applyNumberFormat="1" applyFont="1" applyBorder="1" applyAlignment="1"/>
    <xf numFmtId="0" fontId="49" fillId="0" borderId="136" xfId="0" applyFont="1" applyBorder="1" applyAlignment="1">
      <alignment horizontal="center"/>
    </xf>
    <xf numFmtId="2" fontId="49" fillId="0" borderId="136" xfId="0" applyNumberFormat="1" applyFont="1" applyBorder="1" applyAlignment="1">
      <alignment horizontal="center"/>
    </xf>
    <xf numFmtId="0" fontId="51" fillId="0" borderId="136" xfId="0" applyFont="1" applyBorder="1"/>
    <xf numFmtId="0" fontId="49" fillId="0" borderId="101" xfId="4" applyNumberFormat="1" applyFont="1" applyFill="1" applyBorder="1" applyAlignment="1">
      <alignment horizontal="left"/>
    </xf>
    <xf numFmtId="0" fontId="49" fillId="12" borderId="140" xfId="0" applyFont="1" applyFill="1" applyBorder="1" applyAlignment="1">
      <alignment horizontal="center"/>
    </xf>
    <xf numFmtId="0" fontId="49" fillId="15" borderId="143" xfId="0" applyFont="1" applyFill="1" applyBorder="1"/>
    <xf numFmtId="0" fontId="49" fillId="15" borderId="144" xfId="0" applyFont="1" applyFill="1" applyBorder="1"/>
    <xf numFmtId="0" fontId="49" fillId="15" borderId="141" xfId="0" applyFont="1" applyFill="1" applyBorder="1"/>
    <xf numFmtId="0" fontId="49" fillId="2" borderId="101" xfId="0" applyFont="1" applyFill="1" applyBorder="1"/>
    <xf numFmtId="0" fontId="57" fillId="29" borderId="140" xfId="0" applyFont="1" applyFill="1" applyBorder="1" applyAlignment="1">
      <alignment horizontal="center"/>
    </xf>
    <xf numFmtId="1" fontId="57" fillId="15" borderId="145" xfId="0" applyNumberFormat="1" applyFont="1" applyFill="1" applyBorder="1"/>
    <xf numFmtId="1" fontId="57" fillId="15" borderId="146" xfId="0" applyNumberFormat="1" applyFont="1" applyFill="1" applyBorder="1"/>
    <xf numFmtId="1" fontId="57" fillId="15" borderId="101" xfId="0" applyNumberFormat="1" applyFont="1" applyFill="1" applyBorder="1"/>
    <xf numFmtId="0" fontId="31" fillId="2" borderId="140" xfId="0" applyFont="1" applyFill="1" applyBorder="1" applyAlignment="1" applyProtection="1">
      <alignment horizontal="center" vertical="center"/>
    </xf>
    <xf numFmtId="0" fontId="8" fillId="2" borderId="141" xfId="0" applyFont="1" applyFill="1" applyBorder="1" applyAlignment="1" applyProtection="1">
      <alignment horizontal="center" vertical="center" wrapText="1"/>
    </xf>
    <xf numFmtId="0" fontId="8" fillId="2" borderId="141" xfId="0" applyFont="1" applyFill="1" applyBorder="1" applyAlignment="1" applyProtection="1">
      <alignment horizontal="center" vertical="center"/>
    </xf>
    <xf numFmtId="0" fontId="0" fillId="20" borderId="101" xfId="0" applyFont="1" applyFill="1" applyBorder="1" applyProtection="1"/>
    <xf numFmtId="171" fontId="0" fillId="20" borderId="135" xfId="0" applyNumberFormat="1" applyFont="1" applyFill="1" applyBorder="1" applyProtection="1"/>
    <xf numFmtId="171" fontId="65" fillId="20" borderId="135" xfId="0" applyNumberFormat="1" applyFont="1" applyFill="1" applyBorder="1" applyProtection="1"/>
    <xf numFmtId="171" fontId="65" fillId="21" borderId="135" xfId="0" applyNumberFormat="1" applyFont="1" applyFill="1" applyBorder="1" applyProtection="1"/>
    <xf numFmtId="0" fontId="31" fillId="0" borderId="0" xfId="0" applyFont="1" applyAlignment="1" applyProtection="1">
      <alignment horizontal="center" vertical="center" wrapText="1"/>
    </xf>
    <xf numFmtId="0" fontId="58" fillId="3" borderId="0" xfId="0" applyFont="1" applyFill="1" applyAlignment="1">
      <alignment horizontal="center" vertical="center" wrapText="1"/>
    </xf>
    <xf numFmtId="0" fontId="10" fillId="4" borderId="0" xfId="0" applyFont="1" applyFill="1" applyBorder="1"/>
    <xf numFmtId="0" fontId="31" fillId="0" borderId="0" xfId="0" applyFont="1" applyAlignment="1">
      <alignment horizontal="center" vertical="center" wrapText="1"/>
    </xf>
    <xf numFmtId="0" fontId="57" fillId="0" borderId="0" xfId="0" applyFont="1" applyAlignment="1">
      <alignment horizontal="center" vertical="center" wrapText="1"/>
    </xf>
    <xf numFmtId="181" fontId="0" fillId="0" borderId="0" xfId="0" applyNumberFormat="1" applyFont="1" applyAlignment="1">
      <alignment horizontal="center" wrapText="1"/>
    </xf>
    <xf numFmtId="3" fontId="0" fillId="0" borderId="0" xfId="0" applyNumberFormat="1" applyAlignment="1">
      <alignment horizontal="center"/>
    </xf>
    <xf numFmtId="2" fontId="0" fillId="0" borderId="0" xfId="232" applyNumberFormat="1" applyFont="1" applyAlignment="1">
      <alignment horizontal="center"/>
    </xf>
    <xf numFmtId="1" fontId="0" fillId="0" borderId="0" xfId="232" applyNumberFormat="1" applyFont="1" applyAlignment="1">
      <alignment horizontal="center" vertical="center" wrapText="1"/>
    </xf>
    <xf numFmtId="2" fontId="0" fillId="0" borderId="0" xfId="0" applyNumberFormat="1" applyAlignment="1">
      <alignment horizontal="center"/>
    </xf>
    <xf numFmtId="0" fontId="81" fillId="0" borderId="0" xfId="0" applyNumberFormat="1" applyFont="1" applyAlignment="1">
      <alignment horizontal="right" wrapText="1"/>
    </xf>
    <xf numFmtId="3" fontId="105" fillId="0" borderId="0" xfId="0" applyNumberFormat="1" applyFont="1" applyAlignment="1">
      <alignment horizontal="center"/>
    </xf>
    <xf numFmtId="0" fontId="0" fillId="0" borderId="0" xfId="0" applyAlignment="1">
      <alignment horizontal="center"/>
    </xf>
    <xf numFmtId="0" fontId="31" fillId="0" borderId="147" xfId="0" applyFont="1" applyBorder="1" applyAlignment="1" applyProtection="1">
      <alignment vertical="center" wrapText="1"/>
    </xf>
    <xf numFmtId="180" fontId="45" fillId="0" borderId="0" xfId="0" applyNumberFormat="1" applyFont="1" applyFill="1" applyBorder="1"/>
    <xf numFmtId="2" fontId="0" fillId="13" borderId="20" xfId="0" applyNumberFormat="1" applyFont="1" applyFill="1" applyBorder="1" applyAlignment="1" applyProtection="1">
      <alignment horizontal="center" wrapText="1"/>
      <protection locked="0"/>
    </xf>
    <xf numFmtId="0" fontId="31" fillId="0" borderId="0" xfId="0" applyFont="1" applyAlignment="1" applyProtection="1">
      <alignment horizontal="center" vertical="center" wrapText="1"/>
    </xf>
    <xf numFmtId="0" fontId="0" fillId="0" borderId="0" xfId="0" applyAlignment="1">
      <alignment horizontal="right"/>
    </xf>
    <xf numFmtId="0" fontId="109" fillId="0" borderId="0" xfId="0" applyFont="1"/>
    <xf numFmtId="0" fontId="110" fillId="0" borderId="0" xfId="0" applyFont="1"/>
    <xf numFmtId="0" fontId="0" fillId="0" borderId="0" xfId="0" applyAlignment="1">
      <alignment horizontal="center" vertical="center" wrapText="1"/>
    </xf>
    <xf numFmtId="0" fontId="111" fillId="0" borderId="0" xfId="0" applyFont="1"/>
    <xf numFmtId="0" fontId="112" fillId="0" borderId="0" xfId="0" applyFont="1"/>
    <xf numFmtId="0" fontId="93" fillId="0" borderId="0" xfId="0" applyFont="1"/>
    <xf numFmtId="0" fontId="15" fillId="0" borderId="0" xfId="0" applyFont="1" applyAlignment="1">
      <alignment horizontal="center"/>
    </xf>
    <xf numFmtId="0" fontId="100" fillId="0" borderId="0" xfId="0" applyFont="1" applyAlignment="1">
      <alignment horizontal="center"/>
    </xf>
    <xf numFmtId="0" fontId="113" fillId="0" borderId="0" xfId="0" applyFont="1"/>
    <xf numFmtId="0" fontId="114" fillId="0" borderId="0" xfId="0" applyFont="1"/>
    <xf numFmtId="0" fontId="115" fillId="0" borderId="0" xfId="0" applyFont="1"/>
    <xf numFmtId="3" fontId="115" fillId="0" borderId="0" xfId="0" applyNumberFormat="1" applyFont="1"/>
    <xf numFmtId="0" fontId="9" fillId="45" borderId="142" xfId="0" applyNumberFormat="1" applyFont="1" applyFill="1" applyBorder="1" applyAlignment="1"/>
    <xf numFmtId="3" fontId="9" fillId="0" borderId="142" xfId="0" applyNumberFormat="1" applyFont="1" applyFill="1" applyBorder="1" applyAlignment="1"/>
    <xf numFmtId="0" fontId="9" fillId="0" borderId="142" xfId="0" applyNumberFormat="1" applyFont="1" applyFill="1" applyBorder="1" applyAlignment="1"/>
    <xf numFmtId="165" fontId="0" fillId="13" borderId="79" xfId="4" applyNumberFormat="1" applyFont="1" applyFill="1" applyBorder="1" applyAlignment="1" applyProtection="1">
      <alignment wrapText="1"/>
      <protection locked="0"/>
    </xf>
    <xf numFmtId="11" fontId="31" fillId="7" borderId="140" xfId="0" applyNumberFormat="1" applyFont="1" applyFill="1" applyBorder="1" applyAlignment="1" applyProtection="1">
      <alignment horizontal="center" vertical="center"/>
      <protection locked="0"/>
    </xf>
    <xf numFmtId="2" fontId="0" fillId="13" borderId="79" xfId="0" applyNumberFormat="1" applyFont="1" applyFill="1" applyBorder="1" applyAlignment="1" applyProtection="1">
      <alignment horizontal="center" wrapText="1"/>
      <protection locked="0"/>
    </xf>
    <xf numFmtId="2" fontId="0" fillId="13" borderId="81" xfId="0" applyNumberFormat="1" applyFont="1" applyFill="1" applyBorder="1" applyAlignment="1" applyProtection="1">
      <alignment horizontal="center" wrapText="1"/>
      <protection locked="0"/>
    </xf>
    <xf numFmtId="2" fontId="0" fillId="13" borderId="57" xfId="0" applyNumberFormat="1" applyFont="1" applyFill="1" applyBorder="1" applyAlignment="1" applyProtection="1">
      <alignment horizontal="center" wrapText="1"/>
      <protection locked="0"/>
    </xf>
    <xf numFmtId="2" fontId="0" fillId="13" borderId="26" xfId="0" applyNumberFormat="1" applyFont="1" applyFill="1" applyBorder="1" applyAlignment="1" applyProtection="1">
      <alignment horizontal="center" wrapText="1"/>
      <protection locked="0"/>
    </xf>
    <xf numFmtId="2" fontId="0" fillId="13" borderId="43" xfId="0" applyNumberFormat="1" applyFont="1" applyFill="1" applyBorder="1" applyAlignment="1" applyProtection="1">
      <alignment horizontal="center" wrapText="1"/>
      <protection locked="0"/>
    </xf>
    <xf numFmtId="2" fontId="0" fillId="13" borderId="76" xfId="0" applyNumberFormat="1" applyFont="1" applyFill="1" applyBorder="1" applyAlignment="1" applyProtection="1">
      <alignment horizontal="center" wrapText="1"/>
      <protection locked="0"/>
    </xf>
    <xf numFmtId="2" fontId="0" fillId="13" borderId="83" xfId="0" applyNumberFormat="1" applyFont="1" applyFill="1" applyBorder="1" applyAlignment="1" applyProtection="1">
      <alignment horizontal="center" wrapText="1"/>
      <protection locked="0"/>
    </xf>
    <xf numFmtId="2" fontId="0" fillId="13" borderId="50" xfId="0" applyNumberFormat="1" applyFont="1" applyFill="1" applyBorder="1" applyAlignment="1" applyProtection="1">
      <alignment horizontal="center" wrapText="1"/>
      <protection locked="0"/>
    </xf>
    <xf numFmtId="3" fontId="9" fillId="3" borderId="142" xfId="0" applyNumberFormat="1" applyFont="1" applyFill="1" applyBorder="1" applyAlignment="1"/>
    <xf numFmtId="0" fontId="8" fillId="0" borderId="0" xfId="0" applyFont="1" applyAlignment="1">
      <alignment horizontal="center"/>
    </xf>
    <xf numFmtId="0" fontId="31" fillId="0" borderId="0" xfId="0" applyFont="1" applyAlignment="1" applyProtection="1">
      <alignment horizontal="center" vertical="center" wrapText="1"/>
    </xf>
    <xf numFmtId="0" fontId="0" fillId="3" borderId="124" xfId="0" applyFill="1" applyBorder="1" applyAlignment="1">
      <alignment horizontal="center"/>
    </xf>
    <xf numFmtId="9" fontId="9" fillId="3" borderId="57" xfId="1" applyNumberFormat="1" applyFill="1" applyBorder="1"/>
    <xf numFmtId="3" fontId="116" fillId="0" borderId="0" xfId="0" applyNumberFormat="1" applyFont="1"/>
    <xf numFmtId="0" fontId="0" fillId="0" borderId="0" xfId="0" applyFill="1" applyAlignment="1">
      <alignment horizontal="left"/>
    </xf>
    <xf numFmtId="0" fontId="0" fillId="0" borderId="0" xfId="0" applyFill="1"/>
    <xf numFmtId="2" fontId="0" fillId="13" borderId="27" xfId="0" applyNumberFormat="1" applyFont="1" applyFill="1" applyBorder="1" applyAlignment="1" applyProtection="1">
      <alignment horizontal="center" wrapText="1"/>
      <protection locked="0"/>
    </xf>
    <xf numFmtId="2" fontId="0" fillId="13" borderId="28" xfId="0" applyNumberFormat="1" applyFont="1" applyFill="1" applyBorder="1" applyAlignment="1" applyProtection="1">
      <alignment horizontal="center" wrapText="1"/>
      <protection locked="0"/>
    </xf>
    <xf numFmtId="171" fontId="0" fillId="20" borderId="148" xfId="0" applyNumberFormat="1" applyFont="1" applyFill="1" applyBorder="1" applyProtection="1">
      <protection locked="0"/>
    </xf>
    <xf numFmtId="0" fontId="0" fillId="2" borderId="149" xfId="0" applyFill="1" applyBorder="1" applyAlignment="1">
      <alignment horizontal="center"/>
    </xf>
    <xf numFmtId="0" fontId="0" fillId="2" borderId="150" xfId="0" applyFill="1" applyBorder="1" applyAlignment="1">
      <alignment horizontal="center"/>
    </xf>
    <xf numFmtId="180" fontId="95" fillId="44" borderId="130" xfId="127" applyNumberFormat="1" applyFont="1" applyFill="1" applyBorder="1" applyAlignment="1">
      <alignment horizontal="center"/>
    </xf>
    <xf numFmtId="180" fontId="95" fillId="44" borderId="131" xfId="127" applyNumberFormat="1" applyFont="1" applyFill="1" applyBorder="1" applyAlignment="1">
      <alignment horizontal="center"/>
    </xf>
    <xf numFmtId="180" fontId="95" fillId="44" borderId="134" xfId="127" applyNumberFormat="1" applyFont="1" applyFill="1" applyBorder="1" applyAlignment="1">
      <alignment horizontal="center"/>
    </xf>
    <xf numFmtId="2" fontId="0" fillId="13" borderId="55" xfId="0" applyNumberFormat="1" applyFont="1" applyFill="1" applyBorder="1" applyAlignment="1" applyProtection="1">
      <alignment horizontal="center" wrapText="1"/>
      <protection locked="0"/>
    </xf>
    <xf numFmtId="2" fontId="0" fillId="13" borderId="36" xfId="0" applyNumberFormat="1" applyFont="1" applyFill="1" applyBorder="1" applyAlignment="1" applyProtection="1">
      <alignment horizontal="center" wrapText="1"/>
      <protection locked="0"/>
    </xf>
    <xf numFmtId="2" fontId="0" fillId="13" borderId="29" xfId="0" applyNumberFormat="1" applyFont="1" applyFill="1" applyBorder="1" applyAlignment="1" applyProtection="1">
      <alignment horizontal="center" wrapText="1"/>
      <protection locked="0"/>
    </xf>
    <xf numFmtId="2" fontId="0" fillId="13" borderId="58" xfId="0" applyNumberFormat="1" applyFont="1" applyFill="1" applyBorder="1" applyAlignment="1" applyProtection="1">
      <alignment horizontal="center" wrapText="1"/>
      <protection locked="0"/>
    </xf>
    <xf numFmtId="2" fontId="0" fillId="13" borderId="60" xfId="0" applyNumberFormat="1" applyFont="1" applyFill="1" applyBorder="1" applyAlignment="1" applyProtection="1">
      <alignment horizontal="center" wrapText="1"/>
      <protection locked="0"/>
    </xf>
    <xf numFmtId="0" fontId="31" fillId="0" borderId="0" xfId="0" applyFont="1" applyAlignment="1" applyProtection="1">
      <alignment horizontal="center" vertical="center" wrapText="1"/>
    </xf>
    <xf numFmtId="2" fontId="0" fillId="13" borderId="65" xfId="0" applyNumberFormat="1" applyFont="1" applyFill="1" applyBorder="1" applyAlignment="1" applyProtection="1">
      <alignment horizontal="center" wrapText="1"/>
      <protection locked="0"/>
    </xf>
    <xf numFmtId="2" fontId="0" fillId="13" borderId="67" xfId="0" applyNumberFormat="1" applyFont="1" applyFill="1" applyBorder="1" applyAlignment="1" applyProtection="1">
      <alignment horizontal="center" wrapText="1"/>
      <protection locked="0"/>
    </xf>
    <xf numFmtId="0" fontId="0" fillId="0" borderId="11" xfId="0" applyFont="1" applyFill="1" applyBorder="1" applyAlignment="1" applyProtection="1">
      <alignment horizontal="left" wrapText="1"/>
      <protection locked="0"/>
    </xf>
    <xf numFmtId="2" fontId="0" fillId="13" borderId="77" xfId="0" applyNumberFormat="1" applyFont="1" applyFill="1" applyBorder="1" applyAlignment="1" applyProtection="1">
      <alignment horizontal="center" wrapText="1"/>
      <protection locked="0"/>
    </xf>
    <xf numFmtId="0" fontId="0" fillId="8" borderId="124" xfId="0" applyFont="1" applyFill="1" applyBorder="1" applyAlignment="1" applyProtection="1">
      <alignment horizontal="center" vertical="center"/>
      <protection locked="0"/>
    </xf>
    <xf numFmtId="0" fontId="0" fillId="8" borderId="124" xfId="0" applyFont="1" applyFill="1" applyBorder="1" applyAlignment="1" applyProtection="1">
      <alignment horizontal="left" vertical="center"/>
      <protection locked="0"/>
    </xf>
    <xf numFmtId="2" fontId="0" fillId="13" borderId="25" xfId="0" applyNumberFormat="1" applyFont="1" applyFill="1" applyBorder="1" applyAlignment="1" applyProtection="1">
      <alignment horizontal="center" wrapText="1"/>
      <protection locked="0"/>
    </xf>
    <xf numFmtId="165" fontId="0" fillId="13" borderId="58" xfId="4" applyNumberFormat="1" applyFont="1" applyFill="1" applyBorder="1" applyAlignment="1" applyProtection="1">
      <alignment horizontal="center" wrapText="1"/>
      <protection locked="0"/>
    </xf>
    <xf numFmtId="2" fontId="0" fillId="13" borderId="56" xfId="0" applyNumberFormat="1" applyFont="1" applyFill="1" applyBorder="1" applyAlignment="1" applyProtection="1">
      <alignment horizontal="center" wrapText="1"/>
      <protection locked="0"/>
    </xf>
    <xf numFmtId="165" fontId="0" fillId="13" borderId="63" xfId="4" applyNumberFormat="1" applyFont="1" applyFill="1" applyBorder="1" applyAlignment="1" applyProtection="1">
      <alignment horizontal="center" wrapText="1"/>
      <protection locked="0"/>
    </xf>
    <xf numFmtId="2" fontId="0" fillId="13" borderId="66" xfId="0" applyNumberFormat="1" applyFont="1" applyFill="1" applyBorder="1" applyAlignment="1" applyProtection="1">
      <alignment horizontal="center" wrapText="1"/>
      <protection locked="0"/>
    </xf>
    <xf numFmtId="0" fontId="0" fillId="8" borderId="124" xfId="0" applyFont="1" applyFill="1" applyBorder="1" applyAlignment="1" applyProtection="1">
      <alignment horizontal="left" vertical="top" wrapText="1"/>
      <protection locked="0"/>
    </xf>
    <xf numFmtId="0" fontId="0" fillId="8" borderId="124" xfId="0" applyFont="1" applyFill="1" applyBorder="1" applyAlignment="1" applyProtection="1">
      <alignment horizontal="center" vertical="center" wrapText="1"/>
      <protection locked="0"/>
    </xf>
    <xf numFmtId="165" fontId="0" fillId="13" borderId="79" xfId="4" applyNumberFormat="1" applyFont="1" applyFill="1" applyBorder="1" applyAlignment="1" applyProtection="1">
      <alignment horizontal="center" wrapText="1"/>
      <protection locked="0"/>
    </xf>
    <xf numFmtId="2" fontId="0" fillId="13" borderId="84" xfId="0" applyNumberFormat="1" applyFont="1" applyFill="1" applyBorder="1" applyAlignment="1" applyProtection="1">
      <alignment horizontal="center" wrapText="1"/>
      <protection locked="0"/>
    </xf>
    <xf numFmtId="0" fontId="0" fillId="8" borderId="124" xfId="0" applyFont="1" applyFill="1" applyBorder="1" applyAlignment="1" applyProtection="1">
      <alignment horizontal="center" vertical="top" wrapText="1"/>
      <protection locked="0"/>
    </xf>
    <xf numFmtId="165" fontId="0" fillId="13" borderId="77" xfId="0" applyNumberFormat="1" applyFont="1" applyFill="1" applyBorder="1" applyAlignment="1" applyProtection="1">
      <alignment horizontal="center" wrapText="1"/>
      <protection locked="0"/>
    </xf>
    <xf numFmtId="0" fontId="0" fillId="0" borderId="0" xfId="0" applyFill="1" applyAlignment="1">
      <alignment horizontal="center" wrapText="1"/>
    </xf>
    <xf numFmtId="0" fontId="8" fillId="0" borderId="140" xfId="0" applyFont="1" applyFill="1" applyBorder="1"/>
    <xf numFmtId="0" fontId="8" fillId="0" borderId="0" xfId="0" applyFont="1" applyFill="1"/>
    <xf numFmtId="2" fontId="0" fillId="8" borderId="1" xfId="0" applyNumberFormat="1" applyFill="1" applyBorder="1" applyAlignment="1">
      <alignment horizontal="center"/>
    </xf>
    <xf numFmtId="2" fontId="0" fillId="2" borderId="1" xfId="0" applyNumberFormat="1" applyFill="1" applyBorder="1" applyAlignment="1">
      <alignment horizontal="center"/>
    </xf>
    <xf numFmtId="0" fontId="0" fillId="0" borderId="0" xfId="0" applyAlignment="1">
      <alignment horizontal="center"/>
    </xf>
    <xf numFmtId="0" fontId="8" fillId="0" borderId="0" xfId="0" applyFont="1" applyAlignment="1">
      <alignment horizontal="center"/>
    </xf>
    <xf numFmtId="43" fontId="0" fillId="0" borderId="0" xfId="0" applyNumberFormat="1"/>
    <xf numFmtId="2" fontId="0" fillId="46" borderId="27" xfId="0" applyNumberFormat="1" applyFont="1" applyFill="1" applyBorder="1" applyAlignment="1" applyProtection="1">
      <alignment horizontal="center" wrapText="1"/>
      <protection locked="0"/>
    </xf>
    <xf numFmtId="0" fontId="0" fillId="46" borderId="18" xfId="0" applyFont="1" applyFill="1" applyBorder="1" applyAlignment="1" applyProtection="1">
      <alignment wrapText="1"/>
      <protection locked="0"/>
    </xf>
    <xf numFmtId="0" fontId="0" fillId="46" borderId="19" xfId="0" applyFont="1" applyFill="1" applyBorder="1" applyAlignment="1" applyProtection="1">
      <alignment wrapText="1"/>
      <protection locked="0"/>
    </xf>
    <xf numFmtId="0" fontId="0" fillId="46" borderId="20" xfId="0" applyFont="1" applyFill="1" applyBorder="1" applyAlignment="1" applyProtection="1">
      <alignment wrapText="1"/>
      <protection locked="0"/>
    </xf>
    <xf numFmtId="0" fontId="0" fillId="46" borderId="1" xfId="0" applyFont="1" applyFill="1" applyBorder="1" applyAlignment="1" applyProtection="1">
      <alignment wrapText="1"/>
      <protection locked="0"/>
    </xf>
    <xf numFmtId="0" fontId="0" fillId="46" borderId="26" xfId="0" applyFont="1" applyFill="1" applyBorder="1" applyAlignment="1" applyProtection="1">
      <alignment wrapText="1"/>
      <protection locked="0"/>
    </xf>
    <xf numFmtId="0" fontId="0" fillId="46" borderId="27" xfId="0" applyFont="1" applyFill="1" applyBorder="1" applyAlignment="1" applyProtection="1">
      <alignment wrapText="1"/>
      <protection locked="0"/>
    </xf>
    <xf numFmtId="0" fontId="0" fillId="46" borderId="28" xfId="0" applyFont="1" applyFill="1" applyBorder="1" applyAlignment="1" applyProtection="1">
      <alignment wrapText="1"/>
      <protection locked="0"/>
    </xf>
    <xf numFmtId="2" fontId="0" fillId="47" borderId="1" xfId="0" applyNumberFormat="1" applyFill="1" applyBorder="1" applyAlignment="1">
      <alignment horizontal="center"/>
    </xf>
    <xf numFmtId="43" fontId="0" fillId="0" borderId="0" xfId="0" applyNumberFormat="1" applyFont="1" applyFill="1" applyBorder="1" applyAlignment="1" applyProtection="1">
      <alignment wrapText="1"/>
    </xf>
    <xf numFmtId="0" fontId="8" fillId="0" borderId="0" xfId="0" applyFont="1" applyFill="1" applyAlignment="1">
      <alignment horizontal="right"/>
    </xf>
    <xf numFmtId="182" fontId="56" fillId="0" borderId="151" xfId="1" applyNumberFormat="1" applyFont="1" applyBorder="1" applyAlignment="1">
      <alignment horizontal="right"/>
    </xf>
    <xf numFmtId="0" fontId="0" fillId="13" borderId="124" xfId="0" applyFont="1" applyFill="1" applyBorder="1" applyAlignment="1" applyProtection="1">
      <alignment wrapText="1"/>
      <protection locked="0"/>
    </xf>
    <xf numFmtId="2" fontId="0" fillId="13" borderId="124" xfId="0" applyNumberFormat="1" applyFont="1" applyFill="1" applyBorder="1" applyAlignment="1" applyProtection="1">
      <alignment horizontal="center" wrapText="1"/>
      <protection locked="0"/>
    </xf>
    <xf numFmtId="2" fontId="0" fillId="0" borderId="0" xfId="0" applyNumberFormat="1" applyFill="1" applyBorder="1" applyAlignment="1">
      <alignment horizontal="center"/>
    </xf>
    <xf numFmtId="0" fontId="0" fillId="0" borderId="0" xfId="0" applyFill="1" applyBorder="1" applyAlignment="1">
      <alignment horizontal="center" vertical="top" wrapText="1"/>
    </xf>
    <xf numFmtId="0" fontId="0" fillId="13" borderId="153" xfId="0" applyFont="1" applyFill="1" applyBorder="1" applyAlignment="1" applyProtection="1">
      <alignment wrapText="1"/>
      <protection locked="0"/>
    </xf>
    <xf numFmtId="0" fontId="0" fillId="13" borderId="154" xfId="0" applyFont="1" applyFill="1" applyBorder="1" applyAlignment="1" applyProtection="1">
      <alignment wrapText="1"/>
      <protection locked="0"/>
    </xf>
    <xf numFmtId="166" fontId="0" fillId="13" borderId="152" xfId="4" applyNumberFormat="1" applyFont="1" applyFill="1" applyBorder="1" applyAlignment="1" applyProtection="1">
      <alignment wrapText="1"/>
      <protection locked="0"/>
    </xf>
    <xf numFmtId="0" fontId="0" fillId="2" borderId="155" xfId="0" applyFont="1" applyFill="1" applyBorder="1" applyAlignment="1" applyProtection="1">
      <alignment horizontal="center" vertical="center" wrapText="1"/>
    </xf>
    <xf numFmtId="2" fontId="0" fillId="47" borderId="124" xfId="0" applyNumberFormat="1" applyFill="1" applyBorder="1" applyAlignment="1">
      <alignment horizontal="center"/>
    </xf>
    <xf numFmtId="2" fontId="0" fillId="13" borderId="153" xfId="0" applyNumberFormat="1" applyFont="1" applyFill="1" applyBorder="1" applyAlignment="1" applyProtection="1">
      <alignment horizontal="center" wrapText="1"/>
      <protection locked="0"/>
    </xf>
    <xf numFmtId="2" fontId="0" fillId="13" borderId="154" xfId="0" applyNumberFormat="1" applyFont="1" applyFill="1" applyBorder="1" applyAlignment="1" applyProtection="1">
      <alignment horizontal="center" wrapText="1"/>
      <protection locked="0"/>
    </xf>
    <xf numFmtId="2" fontId="0" fillId="13" borderId="156" xfId="0" applyNumberFormat="1" applyFont="1" applyFill="1" applyBorder="1" applyAlignment="1" applyProtection="1">
      <alignment horizontal="center" wrapText="1"/>
      <protection locked="0"/>
    </xf>
    <xf numFmtId="2" fontId="0" fillId="13" borderId="152" xfId="0" applyNumberFormat="1" applyFont="1" applyFill="1" applyBorder="1" applyAlignment="1" applyProtection="1">
      <alignment horizontal="center" wrapText="1"/>
      <protection locked="0"/>
    </xf>
    <xf numFmtId="0" fontId="0" fillId="13" borderId="152" xfId="0" applyFont="1" applyFill="1" applyBorder="1" applyAlignment="1" applyProtection="1">
      <alignment wrapText="1"/>
      <protection locked="0"/>
    </xf>
    <xf numFmtId="0" fontId="0" fillId="13" borderId="157" xfId="0" applyFont="1" applyFill="1" applyBorder="1" applyAlignment="1" applyProtection="1">
      <alignment wrapText="1"/>
      <protection locked="0"/>
    </xf>
    <xf numFmtId="0" fontId="0" fillId="2" borderId="158" xfId="0" applyFont="1" applyFill="1" applyBorder="1" applyAlignment="1" applyProtection="1">
      <alignment horizontal="center" vertical="center" wrapText="1"/>
    </xf>
    <xf numFmtId="0" fontId="0" fillId="2" borderId="159" xfId="0" applyFont="1" applyFill="1" applyBorder="1" applyAlignment="1" applyProtection="1">
      <alignment horizontal="center" vertical="center" wrapText="1"/>
    </xf>
    <xf numFmtId="2" fontId="0" fillId="47" borderId="22" xfId="0" applyNumberFormat="1" applyFill="1" applyBorder="1" applyAlignment="1">
      <alignment horizontal="center"/>
    </xf>
    <xf numFmtId="0" fontId="0" fillId="13" borderId="160" xfId="0" applyFont="1" applyFill="1" applyBorder="1" applyAlignment="1" applyProtection="1">
      <alignment wrapText="1"/>
      <protection locked="0"/>
    </xf>
    <xf numFmtId="0" fontId="0" fillId="13" borderId="23" xfId="0" applyFont="1" applyFill="1" applyBorder="1" applyAlignment="1" applyProtection="1">
      <alignment wrapText="1"/>
      <protection locked="0"/>
    </xf>
    <xf numFmtId="2" fontId="0" fillId="47" borderId="122" xfId="0" applyNumberFormat="1" applyFill="1" applyBorder="1" applyAlignment="1">
      <alignment horizontal="center"/>
    </xf>
    <xf numFmtId="0" fontId="0" fillId="13" borderId="123" xfId="0" applyFont="1" applyFill="1" applyBorder="1" applyAlignment="1" applyProtection="1">
      <alignment wrapText="1"/>
      <protection locked="0"/>
    </xf>
    <xf numFmtId="0" fontId="0" fillId="13" borderId="150" xfId="0" applyFont="1" applyFill="1" applyBorder="1" applyAlignment="1" applyProtection="1">
      <alignment wrapText="1"/>
      <protection locked="0"/>
    </xf>
    <xf numFmtId="165" fontId="0" fillId="13" borderId="122" xfId="4" applyNumberFormat="1" applyFont="1" applyFill="1" applyBorder="1" applyAlignment="1" applyProtection="1">
      <alignment horizontal="center" wrapText="1"/>
      <protection locked="0"/>
    </xf>
    <xf numFmtId="0" fontId="0" fillId="13" borderId="161" xfId="0" applyFont="1" applyFill="1" applyBorder="1" applyAlignment="1" applyProtection="1">
      <alignment wrapText="1"/>
      <protection locked="0"/>
    </xf>
    <xf numFmtId="0" fontId="0" fillId="13" borderId="162" xfId="0" applyFont="1" applyFill="1" applyBorder="1" applyAlignment="1" applyProtection="1">
      <alignment wrapText="1"/>
      <protection locked="0"/>
    </xf>
    <xf numFmtId="165" fontId="0" fillId="13" borderId="118" xfId="4" applyNumberFormat="1" applyFont="1" applyFill="1" applyBorder="1" applyAlignment="1" applyProtection="1">
      <alignment horizontal="center" wrapText="1"/>
      <protection locked="0"/>
    </xf>
    <xf numFmtId="166" fontId="0" fillId="13" borderId="163" xfId="4" applyNumberFormat="1" applyFont="1" applyFill="1" applyBorder="1" applyAlignment="1" applyProtection="1">
      <alignment wrapText="1"/>
      <protection locked="0"/>
    </xf>
    <xf numFmtId="0" fontId="0" fillId="13" borderId="164" xfId="0" applyFont="1" applyFill="1" applyBorder="1" applyAlignment="1" applyProtection="1">
      <alignment wrapText="1"/>
      <protection locked="0"/>
    </xf>
    <xf numFmtId="166" fontId="0" fillId="13" borderId="165" xfId="4" applyNumberFormat="1" applyFont="1" applyFill="1" applyBorder="1" applyAlignment="1" applyProtection="1">
      <alignment wrapText="1"/>
      <protection locked="0"/>
    </xf>
    <xf numFmtId="166" fontId="0" fillId="13" borderId="156" xfId="4" applyNumberFormat="1" applyFont="1" applyFill="1" applyBorder="1" applyAlignment="1" applyProtection="1">
      <alignment wrapText="1"/>
      <protection locked="0"/>
    </xf>
    <xf numFmtId="166" fontId="0" fillId="13" borderId="124" xfId="4" applyNumberFormat="1" applyFont="1" applyFill="1" applyBorder="1" applyAlignment="1" applyProtection="1">
      <alignment wrapText="1"/>
      <protection locked="0"/>
    </xf>
    <xf numFmtId="2" fontId="0" fillId="47" borderId="24" xfId="0" applyNumberFormat="1" applyFill="1" applyBorder="1" applyAlignment="1">
      <alignment horizontal="center"/>
    </xf>
    <xf numFmtId="2" fontId="0" fillId="46" borderId="23" xfId="0" applyNumberFormat="1" applyFont="1" applyFill="1" applyBorder="1" applyAlignment="1" applyProtection="1">
      <alignment horizontal="center" wrapText="1"/>
      <protection locked="0"/>
    </xf>
    <xf numFmtId="2" fontId="0" fillId="46" borderId="123" xfId="0" applyNumberFormat="1" applyFont="1" applyFill="1" applyBorder="1" applyAlignment="1" applyProtection="1">
      <alignment horizontal="center" wrapText="1"/>
      <protection locked="0"/>
    </xf>
    <xf numFmtId="2" fontId="0" fillId="13" borderId="122" xfId="0" applyNumberFormat="1" applyFont="1" applyFill="1" applyBorder="1" applyAlignment="1" applyProtection="1">
      <alignment horizontal="center" wrapText="1"/>
      <protection locked="0"/>
    </xf>
    <xf numFmtId="2" fontId="0" fillId="13" borderId="123" xfId="0" applyNumberFormat="1" applyFont="1" applyFill="1" applyBorder="1" applyAlignment="1" applyProtection="1">
      <alignment horizontal="center" wrapText="1"/>
      <protection locked="0"/>
    </xf>
    <xf numFmtId="2" fontId="0" fillId="13" borderId="118" xfId="0" applyNumberFormat="1" applyFont="1" applyFill="1" applyBorder="1" applyAlignment="1" applyProtection="1">
      <alignment horizontal="center" wrapText="1"/>
      <protection locked="0"/>
    </xf>
    <xf numFmtId="2" fontId="0" fillId="13" borderId="120" xfId="0" applyNumberFormat="1" applyFont="1" applyFill="1" applyBorder="1" applyAlignment="1" applyProtection="1">
      <alignment horizontal="center" wrapText="1"/>
      <protection locked="0"/>
    </xf>
    <xf numFmtId="2" fontId="0" fillId="13" borderId="119" xfId="0" applyNumberFormat="1" applyFont="1" applyFill="1" applyBorder="1" applyAlignment="1" applyProtection="1">
      <alignment horizontal="center" wrapText="1"/>
      <protection locked="0"/>
    </xf>
    <xf numFmtId="165" fontId="0" fillId="13" borderId="167" xfId="4" applyNumberFormat="1" applyFont="1" applyFill="1" applyBorder="1" applyAlignment="1" applyProtection="1">
      <alignment horizontal="center" wrapText="1"/>
      <protection locked="0"/>
    </xf>
    <xf numFmtId="2" fontId="0" fillId="13" borderId="23" xfId="0" applyNumberFormat="1" applyFont="1" applyFill="1" applyBorder="1" applyAlignment="1" applyProtection="1">
      <alignment horizontal="center" wrapText="1"/>
      <protection locked="0"/>
    </xf>
    <xf numFmtId="165" fontId="0" fillId="13" borderId="168" xfId="4" applyNumberFormat="1" applyFont="1" applyFill="1" applyBorder="1" applyAlignment="1" applyProtection="1">
      <alignment horizontal="center" wrapText="1"/>
      <protection locked="0"/>
    </xf>
    <xf numFmtId="2" fontId="0" fillId="13" borderId="140" xfId="0" applyNumberFormat="1" applyFont="1" applyFill="1" applyBorder="1" applyAlignment="1" applyProtection="1">
      <alignment horizontal="center" wrapText="1"/>
      <protection locked="0"/>
    </xf>
    <xf numFmtId="2" fontId="0" fillId="13" borderId="150" xfId="0" applyNumberFormat="1" applyFont="1" applyFill="1" applyBorder="1" applyAlignment="1" applyProtection="1">
      <alignment horizontal="center" wrapText="1"/>
      <protection locked="0"/>
    </xf>
    <xf numFmtId="2" fontId="0" fillId="13" borderId="169" xfId="0" applyNumberFormat="1" applyFont="1" applyFill="1" applyBorder="1" applyAlignment="1" applyProtection="1">
      <alignment horizontal="center" wrapText="1"/>
      <protection locked="0"/>
    </xf>
    <xf numFmtId="2" fontId="0" fillId="13" borderId="162" xfId="0" applyNumberFormat="1" applyFont="1" applyFill="1" applyBorder="1" applyAlignment="1" applyProtection="1">
      <alignment horizontal="center" wrapText="1"/>
      <protection locked="0"/>
    </xf>
    <xf numFmtId="165" fontId="0" fillId="13" borderId="170" xfId="4" applyNumberFormat="1" applyFont="1" applyFill="1" applyBorder="1" applyAlignment="1" applyProtection="1">
      <alignment horizontal="center" wrapText="1"/>
      <protection locked="0"/>
    </xf>
    <xf numFmtId="2" fontId="0" fillId="13" borderId="171" xfId="0" applyNumberFormat="1" applyFont="1" applyFill="1" applyBorder="1" applyAlignment="1" applyProtection="1">
      <alignment horizontal="center" wrapText="1"/>
      <protection locked="0"/>
    </xf>
    <xf numFmtId="165" fontId="0" fillId="46" borderId="63" xfId="4" applyNumberFormat="1" applyFont="1" applyFill="1" applyBorder="1" applyAlignment="1" applyProtection="1">
      <alignment horizontal="center" wrapText="1"/>
      <protection locked="0"/>
    </xf>
    <xf numFmtId="165" fontId="0" fillId="46" borderId="36" xfId="4" applyNumberFormat="1" applyFont="1" applyFill="1" applyBorder="1" applyAlignment="1" applyProtection="1">
      <alignment horizontal="center" wrapText="1"/>
      <protection locked="0"/>
    </xf>
    <xf numFmtId="165" fontId="0" fillId="46" borderId="25" xfId="4" applyNumberFormat="1" applyFont="1" applyFill="1" applyBorder="1" applyAlignment="1" applyProtection="1">
      <alignment horizontal="center" wrapText="1"/>
      <protection locked="0"/>
    </xf>
    <xf numFmtId="0" fontId="0" fillId="13" borderId="121" xfId="0" applyFont="1" applyFill="1" applyBorder="1" applyAlignment="1" applyProtection="1">
      <alignment wrapText="1"/>
      <protection locked="0"/>
    </xf>
    <xf numFmtId="0" fontId="0" fillId="13" borderId="133" xfId="0" applyFont="1" applyFill="1" applyBorder="1" applyAlignment="1" applyProtection="1">
      <alignment wrapText="1"/>
      <protection locked="0"/>
    </xf>
    <xf numFmtId="0" fontId="0" fillId="13" borderId="172" xfId="0" applyFont="1" applyFill="1" applyBorder="1" applyAlignment="1" applyProtection="1">
      <alignment wrapText="1"/>
      <protection locked="0"/>
    </xf>
    <xf numFmtId="0" fontId="0" fillId="13" borderId="165" xfId="0" applyFont="1" applyFill="1" applyBorder="1" applyAlignment="1" applyProtection="1">
      <alignment wrapText="1"/>
      <protection locked="0"/>
    </xf>
    <xf numFmtId="2" fontId="0" fillId="13" borderId="22" xfId="0" applyNumberFormat="1" applyFont="1" applyFill="1" applyBorder="1" applyAlignment="1" applyProtection="1">
      <alignment horizontal="center" wrapText="1"/>
      <protection locked="0"/>
    </xf>
    <xf numFmtId="0" fontId="0" fillId="13" borderId="24" xfId="0" applyFont="1" applyFill="1" applyBorder="1" applyAlignment="1" applyProtection="1">
      <alignment wrapText="1"/>
      <protection locked="0"/>
    </xf>
    <xf numFmtId="2" fontId="0" fillId="13" borderId="173" xfId="0" applyNumberFormat="1" applyFont="1" applyFill="1" applyBorder="1" applyAlignment="1" applyProtection="1">
      <alignment horizontal="center" wrapText="1"/>
      <protection locked="0"/>
    </xf>
    <xf numFmtId="0" fontId="0" fillId="13" borderId="174" xfId="0" applyFont="1" applyFill="1" applyBorder="1" applyAlignment="1" applyProtection="1">
      <alignment wrapText="1"/>
      <protection locked="0"/>
    </xf>
    <xf numFmtId="2" fontId="0" fillId="13" borderId="175" xfId="0" applyNumberFormat="1" applyFont="1" applyFill="1" applyBorder="1" applyAlignment="1" applyProtection="1">
      <alignment horizontal="center" wrapText="1"/>
      <protection locked="0"/>
    </xf>
    <xf numFmtId="0" fontId="0" fillId="13" borderId="176" xfId="0" applyFont="1" applyFill="1" applyBorder="1" applyAlignment="1" applyProtection="1">
      <alignment wrapText="1"/>
      <protection locked="0"/>
    </xf>
    <xf numFmtId="0" fontId="0" fillId="13" borderId="177" xfId="0" applyFont="1" applyFill="1" applyBorder="1" applyAlignment="1" applyProtection="1">
      <alignment wrapText="1"/>
      <protection locked="0"/>
    </xf>
    <xf numFmtId="165" fontId="0" fillId="46" borderId="179" xfId="4" applyNumberFormat="1" applyFont="1" applyFill="1" applyBorder="1" applyAlignment="1" applyProtection="1">
      <alignment horizontal="center" wrapText="1"/>
      <protection locked="0"/>
    </xf>
    <xf numFmtId="165" fontId="0" fillId="46" borderId="180" xfId="4" applyNumberFormat="1" applyFont="1" applyFill="1" applyBorder="1" applyAlignment="1" applyProtection="1">
      <alignment horizontal="center" wrapText="1"/>
      <protection locked="0"/>
    </xf>
    <xf numFmtId="165" fontId="0" fillId="46" borderId="181" xfId="4" applyNumberFormat="1" applyFont="1" applyFill="1" applyBorder="1" applyAlignment="1" applyProtection="1">
      <alignment horizontal="center" wrapText="1"/>
      <protection locked="0"/>
    </xf>
    <xf numFmtId="165" fontId="0" fillId="13" borderId="179" xfId="4" applyNumberFormat="1" applyFont="1" applyFill="1" applyBorder="1" applyAlignment="1" applyProtection="1">
      <alignment horizontal="center" wrapText="1"/>
      <protection locked="0"/>
    </xf>
    <xf numFmtId="2" fontId="0" fillId="13" borderId="182" xfId="0" applyNumberFormat="1" applyFont="1" applyFill="1" applyBorder="1" applyAlignment="1" applyProtection="1">
      <alignment horizontal="center" wrapText="1"/>
      <protection locked="0"/>
    </xf>
    <xf numFmtId="2" fontId="0" fillId="13" borderId="133" xfId="0" applyNumberFormat="1" applyFont="1" applyFill="1" applyBorder="1" applyAlignment="1" applyProtection="1">
      <alignment horizontal="center" wrapText="1"/>
      <protection locked="0"/>
    </xf>
    <xf numFmtId="2" fontId="0" fillId="13" borderId="178" xfId="4" applyNumberFormat="1" applyFont="1" applyFill="1" applyBorder="1" applyAlignment="1" applyProtection="1">
      <alignment horizontal="center" wrapText="1"/>
      <protection locked="0"/>
    </xf>
    <xf numFmtId="2" fontId="0" fillId="13" borderId="179" xfId="4" applyNumberFormat="1" applyFont="1" applyFill="1" applyBorder="1" applyAlignment="1" applyProtection="1">
      <alignment horizontal="center" wrapText="1"/>
      <protection locked="0"/>
    </xf>
    <xf numFmtId="166" fontId="0" fillId="13" borderId="178" xfId="4" applyNumberFormat="1" applyFont="1" applyFill="1" applyBorder="1" applyAlignment="1" applyProtection="1">
      <alignment wrapText="1"/>
      <protection locked="0"/>
    </xf>
    <xf numFmtId="2" fontId="0" fillId="13" borderId="183" xfId="0" applyNumberFormat="1" applyFont="1" applyFill="1" applyBorder="1" applyAlignment="1" applyProtection="1">
      <alignment horizontal="center" wrapText="1"/>
      <protection locked="0"/>
    </xf>
    <xf numFmtId="0" fontId="0" fillId="13" borderId="178" xfId="0" applyFont="1" applyFill="1" applyBorder="1" applyAlignment="1" applyProtection="1">
      <alignment wrapText="1"/>
      <protection locked="0"/>
    </xf>
    <xf numFmtId="0" fontId="0" fillId="13" borderId="184" xfId="0" applyFont="1" applyFill="1" applyBorder="1" applyAlignment="1" applyProtection="1">
      <alignment wrapText="1"/>
      <protection locked="0"/>
    </xf>
    <xf numFmtId="2" fontId="0" fillId="13" borderId="185" xfId="4" applyNumberFormat="1" applyFont="1" applyFill="1" applyBorder="1" applyAlignment="1" applyProtection="1">
      <alignment horizontal="center" wrapText="1"/>
      <protection locked="0"/>
    </xf>
    <xf numFmtId="166" fontId="0" fillId="13" borderId="176" xfId="4" applyNumberFormat="1" applyFont="1" applyFill="1" applyBorder="1" applyAlignment="1" applyProtection="1">
      <alignment wrapText="1"/>
      <protection locked="0"/>
    </xf>
    <xf numFmtId="165" fontId="0" fillId="46" borderId="186" xfId="4" applyNumberFormat="1" applyFont="1" applyFill="1" applyBorder="1" applyAlignment="1" applyProtection="1">
      <alignment horizontal="center" wrapText="1"/>
      <protection locked="0"/>
    </xf>
    <xf numFmtId="2" fontId="0" fillId="13" borderId="188" xfId="0" applyNumberFormat="1" applyFont="1" applyFill="1" applyBorder="1" applyAlignment="1" applyProtection="1">
      <alignment horizontal="center" wrapText="1"/>
      <protection locked="0"/>
    </xf>
    <xf numFmtId="2" fontId="0" fillId="13" borderId="165" xfId="4" applyNumberFormat="1" applyFont="1" applyFill="1" applyBorder="1" applyAlignment="1" applyProtection="1">
      <alignment horizontal="center" wrapText="1"/>
      <protection locked="0"/>
    </xf>
    <xf numFmtId="165" fontId="0" fillId="13" borderId="185" xfId="4" applyNumberFormat="1" applyFont="1" applyFill="1" applyBorder="1" applyAlignment="1" applyProtection="1">
      <alignment horizontal="center" wrapText="1"/>
      <protection locked="0"/>
    </xf>
    <xf numFmtId="2" fontId="0" fillId="13" borderId="176" xfId="4" applyNumberFormat="1" applyFont="1" applyFill="1" applyBorder="1" applyAlignment="1" applyProtection="1">
      <alignment horizontal="center" wrapText="1"/>
      <protection locked="0"/>
    </xf>
    <xf numFmtId="2" fontId="0" fillId="13" borderId="177" xfId="4" applyNumberFormat="1" applyFont="1" applyFill="1" applyBorder="1" applyAlignment="1" applyProtection="1">
      <alignment horizontal="center" wrapText="1"/>
      <protection locked="0"/>
    </xf>
    <xf numFmtId="0" fontId="0" fillId="13" borderId="182" xfId="0" applyFont="1" applyFill="1" applyBorder="1" applyAlignment="1" applyProtection="1">
      <alignment wrapText="1"/>
      <protection locked="0"/>
    </xf>
    <xf numFmtId="165" fontId="0" fillId="46" borderId="189" xfId="4" applyNumberFormat="1" applyFont="1" applyFill="1" applyBorder="1" applyAlignment="1" applyProtection="1">
      <alignment horizontal="center" wrapText="1"/>
      <protection locked="0"/>
    </xf>
    <xf numFmtId="2" fontId="0" fillId="13" borderId="190" xfId="0" applyNumberFormat="1" applyFont="1" applyFill="1" applyBorder="1" applyAlignment="1" applyProtection="1">
      <alignment horizontal="center" wrapText="1"/>
      <protection locked="0"/>
    </xf>
    <xf numFmtId="165" fontId="0" fillId="46" borderId="183" xfId="4" applyNumberFormat="1" applyFont="1" applyFill="1" applyBorder="1" applyAlignment="1" applyProtection="1">
      <alignment horizontal="center" wrapText="1"/>
      <protection locked="0"/>
    </xf>
    <xf numFmtId="2" fontId="0" fillId="13" borderId="184" xfId="0" applyNumberFormat="1" applyFont="1" applyFill="1" applyBorder="1" applyAlignment="1" applyProtection="1">
      <alignment horizontal="center" wrapText="1"/>
      <protection locked="0"/>
    </xf>
    <xf numFmtId="2" fontId="0" fillId="13" borderId="184" xfId="4" applyNumberFormat="1" applyFont="1" applyFill="1" applyBorder="1" applyAlignment="1" applyProtection="1">
      <alignment horizontal="center" wrapText="1"/>
      <protection locked="0"/>
    </xf>
    <xf numFmtId="165" fontId="0" fillId="13" borderId="183" xfId="4" applyNumberFormat="1" applyFont="1" applyFill="1" applyBorder="1" applyAlignment="1" applyProtection="1">
      <alignment horizontal="center" wrapText="1"/>
      <protection locked="0"/>
    </xf>
    <xf numFmtId="2" fontId="0" fillId="13" borderId="119" xfId="4" applyNumberFormat="1" applyFont="1" applyFill="1" applyBorder="1" applyAlignment="1" applyProtection="1">
      <alignment horizontal="center" wrapText="1"/>
      <protection locked="0"/>
    </xf>
    <xf numFmtId="2" fontId="0" fillId="13" borderId="189" xfId="0" applyNumberFormat="1" applyFont="1" applyFill="1" applyBorder="1" applyAlignment="1" applyProtection="1">
      <alignment horizontal="center" wrapText="1"/>
      <protection locked="0"/>
    </xf>
    <xf numFmtId="0" fontId="0" fillId="13" borderId="187" xfId="0" applyFont="1" applyFill="1" applyBorder="1" applyAlignment="1" applyProtection="1">
      <alignment wrapText="1"/>
      <protection locked="0"/>
    </xf>
    <xf numFmtId="0" fontId="0" fillId="13" borderId="188" xfId="0" applyFont="1" applyFill="1" applyBorder="1" applyAlignment="1" applyProtection="1">
      <alignment wrapText="1"/>
      <protection locked="0"/>
    </xf>
    <xf numFmtId="2" fontId="0" fillId="13" borderId="183" xfId="4" applyNumberFormat="1" applyFont="1" applyFill="1" applyBorder="1" applyAlignment="1" applyProtection="1">
      <alignment horizontal="center" wrapText="1"/>
      <protection locked="0"/>
    </xf>
    <xf numFmtId="2" fontId="0" fillId="13" borderId="118" xfId="4" applyNumberFormat="1" applyFont="1" applyFill="1" applyBorder="1" applyAlignment="1" applyProtection="1">
      <alignment horizontal="center" wrapText="1"/>
      <protection locked="0"/>
    </xf>
    <xf numFmtId="2" fontId="0" fillId="13" borderId="149" xfId="0" applyNumberFormat="1" applyFont="1" applyFill="1" applyBorder="1" applyAlignment="1" applyProtection="1">
      <alignment horizontal="center" wrapText="1"/>
      <protection locked="0"/>
    </xf>
    <xf numFmtId="2" fontId="0" fillId="13" borderId="143" xfId="0" applyNumberFormat="1" applyFont="1" applyFill="1" applyBorder="1" applyAlignment="1" applyProtection="1">
      <alignment horizontal="center" wrapText="1"/>
      <protection locked="0"/>
    </xf>
    <xf numFmtId="2" fontId="0" fillId="46" borderId="188" xfId="0" applyNumberFormat="1" applyFont="1" applyFill="1" applyBorder="1" applyAlignment="1" applyProtection="1">
      <alignment horizontal="center" wrapText="1"/>
      <protection locked="0"/>
    </xf>
    <xf numFmtId="165" fontId="0" fillId="46" borderId="121" xfId="4" applyNumberFormat="1" applyFont="1" applyFill="1" applyBorder="1" applyAlignment="1" applyProtection="1">
      <alignment horizontal="left" wrapText="1"/>
      <protection locked="0"/>
    </xf>
    <xf numFmtId="165" fontId="0" fillId="46" borderId="172" xfId="4" applyNumberFormat="1" applyFont="1" applyFill="1" applyBorder="1" applyAlignment="1" applyProtection="1">
      <alignment horizontal="left" wrapText="1"/>
      <protection locked="0"/>
    </xf>
    <xf numFmtId="165" fontId="0" fillId="46" borderId="165" xfId="4" applyNumberFormat="1" applyFont="1" applyFill="1" applyBorder="1" applyAlignment="1" applyProtection="1">
      <alignment horizontal="left" wrapText="1"/>
      <protection locked="0"/>
    </xf>
    <xf numFmtId="165" fontId="0" fillId="46" borderId="178" xfId="4" applyNumberFormat="1" applyFont="1" applyFill="1" applyBorder="1" applyAlignment="1" applyProtection="1">
      <alignment horizontal="left" wrapText="1"/>
      <protection locked="0"/>
    </xf>
    <xf numFmtId="165" fontId="0" fillId="46" borderId="187" xfId="4" applyNumberFormat="1" applyFont="1" applyFill="1" applyBorder="1" applyAlignment="1" applyProtection="1">
      <alignment horizontal="left" wrapText="1"/>
      <protection locked="0"/>
    </xf>
    <xf numFmtId="2" fontId="0" fillId="20" borderId="101" xfId="0" applyNumberFormat="1" applyFont="1" applyFill="1" applyBorder="1" applyAlignment="1" applyProtection="1">
      <alignment horizontal="center"/>
    </xf>
    <xf numFmtId="2" fontId="0" fillId="20" borderId="138" xfId="0" applyNumberFormat="1" applyFont="1" applyFill="1" applyBorder="1" applyAlignment="1" applyProtection="1">
      <alignment horizontal="center"/>
    </xf>
    <xf numFmtId="2" fontId="41" fillId="20" borderId="138" xfId="0" applyNumberFormat="1" applyFont="1" applyFill="1" applyBorder="1" applyAlignment="1" applyProtection="1">
      <alignment horizontal="center"/>
    </xf>
    <xf numFmtId="0" fontId="57" fillId="2" borderId="98" xfId="0" applyFont="1" applyFill="1" applyBorder="1" applyAlignment="1">
      <alignment horizontal="right" vertical="center"/>
    </xf>
    <xf numFmtId="0" fontId="57" fillId="2" borderId="129" xfId="0" applyFont="1" applyFill="1" applyBorder="1" applyAlignment="1">
      <alignment horizontal="right" vertical="center"/>
    </xf>
    <xf numFmtId="0" fontId="57" fillId="2" borderId="130" xfId="0" applyFont="1" applyFill="1" applyBorder="1" applyAlignment="1">
      <alignment horizontal="right" vertical="center"/>
    </xf>
    <xf numFmtId="2" fontId="0" fillId="46" borderId="191" xfId="0" applyNumberFormat="1" applyFont="1" applyFill="1" applyBorder="1" applyAlignment="1" applyProtection="1">
      <alignment horizontal="center" wrapText="1"/>
      <protection locked="0"/>
    </xf>
    <xf numFmtId="2" fontId="0" fillId="46" borderId="180" xfId="0" applyNumberFormat="1" applyFont="1" applyFill="1" applyBorder="1" applyAlignment="1" applyProtection="1">
      <alignment horizontal="center" wrapText="1"/>
      <protection locked="0"/>
    </xf>
    <xf numFmtId="2" fontId="0" fillId="47" borderId="153" xfId="0" applyNumberFormat="1" applyFont="1" applyFill="1" applyBorder="1" applyAlignment="1">
      <alignment horizontal="center"/>
    </xf>
    <xf numFmtId="2" fontId="0" fillId="47" borderId="166" xfId="0" applyNumberFormat="1" applyFont="1" applyFill="1" applyBorder="1" applyAlignment="1">
      <alignment horizontal="center"/>
    </xf>
    <xf numFmtId="2" fontId="0" fillId="47" borderId="1" xfId="0" applyNumberFormat="1" applyFont="1" applyFill="1" applyBorder="1" applyAlignment="1">
      <alignment horizontal="center"/>
    </xf>
    <xf numFmtId="0" fontId="8" fillId="48" borderId="0" xfId="0" applyFont="1" applyFill="1"/>
    <xf numFmtId="0" fontId="0" fillId="48" borderId="0" xfId="0" applyFill="1"/>
    <xf numFmtId="0" fontId="0" fillId="2" borderId="192" xfId="0" applyFill="1" applyBorder="1"/>
    <xf numFmtId="2" fontId="9" fillId="9" borderId="192" xfId="6" applyNumberFormat="1" applyFill="1" applyBorder="1"/>
    <xf numFmtId="0" fontId="41" fillId="2" borderId="13" xfId="0" applyFont="1" applyFill="1" applyBorder="1" applyAlignment="1" applyProtection="1">
      <alignment horizontal="center" vertical="center" wrapText="1"/>
    </xf>
    <xf numFmtId="0" fontId="0" fillId="0" borderId="196" xfId="0" applyBorder="1" applyAlignment="1">
      <alignment horizontal="center"/>
    </xf>
    <xf numFmtId="0" fontId="8" fillId="0" borderId="196" xfId="0" applyFont="1" applyBorder="1" applyAlignment="1">
      <alignment horizontal="center"/>
    </xf>
    <xf numFmtId="0" fontId="50" fillId="0" borderId="196" xfId="0" applyFont="1" applyBorder="1" applyAlignment="1">
      <alignment horizontal="center"/>
    </xf>
    <xf numFmtId="0" fontId="95" fillId="0" borderId="196" xfId="0" applyFont="1" applyBorder="1" applyAlignment="1">
      <alignment horizontal="center"/>
    </xf>
    <xf numFmtId="0" fontId="95" fillId="0" borderId="195" xfId="0" applyFont="1" applyBorder="1" applyAlignment="1">
      <alignment horizontal="center"/>
    </xf>
    <xf numFmtId="2" fontId="95" fillId="13" borderId="192" xfId="0" applyNumberFormat="1" applyFont="1" applyFill="1" applyBorder="1" applyAlignment="1" applyProtection="1">
      <alignment horizontal="center" wrapText="1"/>
      <protection locked="0"/>
    </xf>
    <xf numFmtId="165" fontId="0" fillId="13" borderId="197" xfId="4" applyNumberFormat="1" applyFont="1" applyFill="1" applyBorder="1" applyAlignment="1" applyProtection="1">
      <alignment horizontal="left" wrapText="1"/>
      <protection locked="0"/>
    </xf>
    <xf numFmtId="2" fontId="95" fillId="13" borderId="28" xfId="0" applyNumberFormat="1" applyFont="1" applyFill="1" applyBorder="1" applyAlignment="1" applyProtection="1">
      <alignment horizontal="center" wrapText="1"/>
      <protection locked="0"/>
    </xf>
    <xf numFmtId="2" fontId="0" fillId="13" borderId="192" xfId="0" applyNumberFormat="1" applyFont="1" applyFill="1" applyBorder="1" applyAlignment="1" applyProtection="1">
      <alignment horizontal="center" wrapText="1"/>
      <protection locked="0"/>
    </xf>
    <xf numFmtId="2" fontId="0" fillId="13" borderId="198" xfId="0" applyNumberFormat="1" applyFont="1" applyFill="1" applyBorder="1" applyAlignment="1" applyProtection="1">
      <alignment horizontal="center" wrapText="1"/>
      <protection locked="0"/>
    </xf>
    <xf numFmtId="2" fontId="0" fillId="13" borderId="167" xfId="0" applyNumberFormat="1" applyFont="1" applyFill="1" applyBorder="1" applyAlignment="1" applyProtection="1">
      <alignment horizontal="center" wrapText="1"/>
      <protection locked="0"/>
    </xf>
    <xf numFmtId="2" fontId="0" fillId="13" borderId="199" xfId="0" applyNumberFormat="1" applyFont="1" applyFill="1" applyBorder="1" applyAlignment="1" applyProtection="1">
      <alignment horizontal="center" wrapText="1"/>
      <protection locked="0"/>
    </xf>
    <xf numFmtId="2" fontId="0" fillId="13" borderId="193" xfId="0" applyNumberFormat="1" applyFont="1" applyFill="1" applyBorder="1" applyAlignment="1" applyProtection="1">
      <alignment horizontal="center" wrapText="1"/>
      <protection locked="0"/>
    </xf>
    <xf numFmtId="165" fontId="0" fillId="13" borderId="200" xfId="4" applyNumberFormat="1" applyFont="1" applyFill="1" applyBorder="1" applyAlignment="1" applyProtection="1">
      <alignment horizontal="left" wrapText="1"/>
      <protection locked="0"/>
    </xf>
    <xf numFmtId="2" fontId="0" fillId="13" borderId="201" xfId="0" applyNumberFormat="1" applyFont="1" applyFill="1" applyBorder="1" applyAlignment="1" applyProtection="1">
      <alignment horizontal="center" wrapText="1"/>
      <protection locked="0"/>
    </xf>
    <xf numFmtId="43" fontId="0" fillId="2" borderId="1" xfId="0" applyNumberFormat="1" applyFill="1" applyBorder="1"/>
    <xf numFmtId="43" fontId="0" fillId="0" borderId="1" xfId="0" applyNumberFormat="1" applyFill="1" applyBorder="1"/>
    <xf numFmtId="0" fontId="95" fillId="2" borderId="158" xfId="0" applyFont="1" applyFill="1" applyBorder="1" applyAlignment="1" applyProtection="1">
      <alignment horizontal="center" vertical="center" wrapText="1"/>
    </xf>
    <xf numFmtId="0" fontId="95" fillId="2" borderId="13" xfId="0" applyFont="1" applyFill="1" applyBorder="1" applyAlignment="1" applyProtection="1">
      <alignment horizontal="center" vertical="center" wrapText="1"/>
    </xf>
    <xf numFmtId="0" fontId="41" fillId="2" borderId="14" xfId="0" applyFont="1" applyFill="1" applyBorder="1" applyAlignment="1" applyProtection="1">
      <alignment horizontal="center" vertical="center" wrapText="1"/>
    </xf>
    <xf numFmtId="2" fontId="0" fillId="49" borderId="1" xfId="0" applyNumberFormat="1" applyFill="1" applyBorder="1" applyAlignment="1">
      <alignment horizontal="center"/>
    </xf>
    <xf numFmtId="0" fontId="41" fillId="2" borderId="1" xfId="0" applyFont="1" applyFill="1" applyBorder="1"/>
    <xf numFmtId="0" fontId="95" fillId="2" borderId="159" xfId="0" applyFont="1" applyFill="1" applyBorder="1" applyAlignment="1" applyProtection="1">
      <alignment horizontal="center" vertical="center" wrapText="1"/>
    </xf>
    <xf numFmtId="0" fontId="96" fillId="2" borderId="159" xfId="0" applyFont="1" applyFill="1" applyBorder="1" applyAlignment="1" applyProtection="1">
      <alignment horizontal="center" vertical="center" wrapText="1"/>
    </xf>
    <xf numFmtId="2" fontId="8" fillId="2" borderId="0" xfId="0" applyNumberFormat="1" applyFont="1" applyFill="1" applyBorder="1"/>
    <xf numFmtId="0" fontId="120" fillId="0" borderId="0" xfId="0" applyFont="1" applyAlignment="1">
      <alignment wrapText="1"/>
    </xf>
    <xf numFmtId="2" fontId="120" fillId="0" borderId="0" xfId="0" applyNumberFormat="1" applyFont="1"/>
    <xf numFmtId="164" fontId="0" fillId="0" borderId="0" xfId="0" applyNumberFormat="1"/>
    <xf numFmtId="2" fontId="0" fillId="2" borderId="192" xfId="0" applyNumberFormat="1" applyFill="1" applyBorder="1" applyAlignment="1">
      <alignment horizontal="center"/>
    </xf>
    <xf numFmtId="43" fontId="0" fillId="2" borderId="1" xfId="0" applyNumberFormat="1" applyFill="1" applyBorder="1" applyAlignment="1">
      <alignment horizontal="center"/>
    </xf>
    <xf numFmtId="175" fontId="8" fillId="2" borderId="192" xfId="6" applyNumberFormat="1" applyFont="1" applyFill="1" applyBorder="1"/>
    <xf numFmtId="10" fontId="8" fillId="0" borderId="1" xfId="0" applyNumberFormat="1" applyFont="1" applyFill="1" applyBorder="1"/>
    <xf numFmtId="171" fontId="0" fillId="0" borderId="0" xfId="0" applyNumberFormat="1" applyFont="1" applyFill="1" applyBorder="1" applyAlignment="1" applyProtection="1">
      <alignment horizontal="center"/>
    </xf>
    <xf numFmtId="165" fontId="0" fillId="46" borderId="199" xfId="4" applyNumberFormat="1" applyFont="1" applyFill="1" applyBorder="1" applyAlignment="1" applyProtection="1">
      <alignment horizontal="left" wrapText="1"/>
      <protection locked="0"/>
    </xf>
    <xf numFmtId="165" fontId="0" fillId="46" borderId="167" xfId="4" applyNumberFormat="1" applyFont="1" applyFill="1" applyBorder="1" applyAlignment="1" applyProtection="1">
      <alignment horizontal="left" wrapText="1"/>
      <protection locked="0"/>
    </xf>
    <xf numFmtId="165" fontId="0" fillId="46" borderId="198" xfId="4" applyNumberFormat="1" applyFont="1" applyFill="1" applyBorder="1" applyAlignment="1" applyProtection="1">
      <alignment horizontal="left" wrapText="1"/>
      <protection locked="0"/>
    </xf>
    <xf numFmtId="2" fontId="0" fillId="47" borderId="189" xfId="0" applyNumberFormat="1" applyFill="1" applyBorder="1" applyAlignment="1">
      <alignment horizontal="center"/>
    </xf>
    <xf numFmtId="165" fontId="0" fillId="46" borderId="199" xfId="4" applyNumberFormat="1" applyFont="1" applyFill="1" applyBorder="1" applyAlignment="1" applyProtection="1">
      <alignment horizontal="center" wrapText="1"/>
      <protection locked="0"/>
    </xf>
    <xf numFmtId="165" fontId="0" fillId="46" borderId="167" xfId="4" applyNumberFormat="1" applyFont="1" applyFill="1" applyBorder="1" applyAlignment="1" applyProtection="1">
      <alignment horizontal="center" wrapText="1"/>
      <protection locked="0"/>
    </xf>
    <xf numFmtId="165" fontId="0" fillId="46" borderId="198" xfId="4" applyNumberFormat="1" applyFont="1" applyFill="1" applyBorder="1" applyAlignment="1" applyProtection="1">
      <alignment horizontal="center" wrapText="1"/>
      <protection locked="0"/>
    </xf>
    <xf numFmtId="165" fontId="0" fillId="46" borderId="202" xfId="4" applyNumberFormat="1" applyFont="1" applyFill="1" applyBorder="1" applyAlignment="1" applyProtection="1">
      <alignment horizontal="center" wrapText="1"/>
      <protection locked="0"/>
    </xf>
    <xf numFmtId="165" fontId="0" fillId="46" borderId="203" xfId="4" applyNumberFormat="1" applyFont="1" applyFill="1" applyBorder="1" applyAlignment="1" applyProtection="1">
      <alignment horizontal="center" wrapText="1"/>
      <protection locked="0"/>
    </xf>
    <xf numFmtId="165" fontId="0" fillId="46" borderId="122" xfId="4" applyNumberFormat="1" applyFont="1" applyFill="1" applyBorder="1" applyAlignment="1" applyProtection="1">
      <alignment horizontal="center" wrapText="1"/>
      <protection locked="0"/>
    </xf>
    <xf numFmtId="165" fontId="0" fillId="50" borderId="58" xfId="4" applyNumberFormat="1" applyFont="1" applyFill="1" applyBorder="1" applyAlignment="1" applyProtection="1">
      <alignment horizontal="center" wrapText="1"/>
      <protection locked="0"/>
    </xf>
    <xf numFmtId="165" fontId="0" fillId="50" borderId="36" xfId="4" applyNumberFormat="1" applyFont="1" applyFill="1" applyBorder="1" applyAlignment="1" applyProtection="1">
      <alignment horizontal="center" wrapText="1"/>
      <protection locked="0"/>
    </xf>
    <xf numFmtId="165" fontId="0" fillId="50" borderId="25" xfId="4" applyNumberFormat="1" applyFont="1" applyFill="1" applyBorder="1" applyAlignment="1" applyProtection="1">
      <alignment horizontal="center" wrapText="1"/>
      <protection locked="0"/>
    </xf>
    <xf numFmtId="165" fontId="0" fillId="50" borderId="199" xfId="4" applyNumberFormat="1" applyFont="1" applyFill="1" applyBorder="1" applyAlignment="1" applyProtection="1">
      <alignment horizontal="center" wrapText="1"/>
      <protection locked="0"/>
    </xf>
    <xf numFmtId="165" fontId="0" fillId="50" borderId="167" xfId="4" applyNumberFormat="1" applyFont="1" applyFill="1" applyBorder="1" applyAlignment="1" applyProtection="1">
      <alignment horizontal="center" wrapText="1"/>
      <protection locked="0"/>
    </xf>
    <xf numFmtId="2" fontId="0" fillId="13" borderId="204" xfId="0" applyNumberFormat="1" applyFont="1" applyFill="1" applyBorder="1" applyAlignment="1" applyProtection="1">
      <alignment horizontal="center" wrapText="1"/>
      <protection locked="0"/>
    </xf>
    <xf numFmtId="2" fontId="0" fillId="13" borderId="205" xfId="0" applyNumberFormat="1" applyFont="1" applyFill="1" applyBorder="1" applyAlignment="1" applyProtection="1">
      <alignment horizontal="center" wrapText="1"/>
      <protection locked="0"/>
    </xf>
    <xf numFmtId="165" fontId="0" fillId="50" borderId="122" xfId="4" applyNumberFormat="1" applyFont="1" applyFill="1" applyBorder="1" applyAlignment="1" applyProtection="1">
      <alignment horizontal="center" wrapText="1"/>
      <protection locked="0"/>
    </xf>
    <xf numFmtId="2" fontId="0" fillId="47" borderId="192" xfId="0" applyNumberFormat="1" applyFill="1" applyBorder="1" applyAlignment="1">
      <alignment horizontal="center"/>
    </xf>
    <xf numFmtId="0" fontId="0" fillId="2" borderId="0" xfId="0" applyFill="1" applyBorder="1"/>
    <xf numFmtId="180" fontId="95" fillId="44" borderId="0" xfId="127" applyNumberFormat="1" applyFont="1" applyFill="1" applyBorder="1"/>
    <xf numFmtId="0" fontId="121" fillId="0" borderId="132" xfId="0" applyFont="1" applyFill="1" applyBorder="1"/>
    <xf numFmtId="0" fontId="0" fillId="2" borderId="132" xfId="0" applyFill="1" applyBorder="1"/>
    <xf numFmtId="0" fontId="0" fillId="2" borderId="133" xfId="0" applyFill="1" applyBorder="1"/>
    <xf numFmtId="180" fontId="95" fillId="44" borderId="133" xfId="127" applyNumberFormat="1" applyFont="1" applyFill="1" applyBorder="1"/>
    <xf numFmtId="0" fontId="8" fillId="0" borderId="0" xfId="0" applyFont="1" applyFill="1" applyBorder="1"/>
    <xf numFmtId="180" fontId="50" fillId="0" borderId="0" xfId="127" applyNumberFormat="1" applyFont="1" applyFill="1" applyBorder="1"/>
    <xf numFmtId="171" fontId="8" fillId="0" borderId="0" xfId="0" applyNumberFormat="1" applyFont="1" applyAlignment="1">
      <alignment horizontal="center"/>
    </xf>
    <xf numFmtId="2" fontId="8" fillId="0" borderId="0" xfId="0" applyNumberFormat="1" applyFont="1" applyAlignment="1">
      <alignment horizontal="center"/>
    </xf>
    <xf numFmtId="0" fontId="0" fillId="2" borderId="0" xfId="0" applyFill="1" applyAlignment="1">
      <alignment horizontal="center"/>
    </xf>
    <xf numFmtId="0" fontId="0" fillId="0" borderId="0" xfId="0" applyAlignment="1">
      <alignment vertical="center"/>
    </xf>
    <xf numFmtId="9" fontId="0" fillId="0" borderId="0" xfId="6" applyFont="1" applyAlignment="1">
      <alignment horizontal="center"/>
    </xf>
    <xf numFmtId="2" fontId="0" fillId="2" borderId="1"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8" fillId="0" borderId="0" xfId="0" applyFont="1" applyAlignment="1">
      <alignment horizontal="center"/>
    </xf>
    <xf numFmtId="2" fontId="8" fillId="41" borderId="103" xfId="4" applyNumberFormat="1" applyFont="1" applyFill="1" applyBorder="1"/>
    <xf numFmtId="0" fontId="8" fillId="0" borderId="0" xfId="0" applyFont="1" applyFill="1" applyBorder="1" applyAlignment="1" applyProtection="1">
      <alignment horizontal="center" vertical="center" wrapText="1"/>
      <protection locked="0"/>
    </xf>
    <xf numFmtId="0" fontId="0" fillId="0" borderId="0" xfId="0" applyFill="1" applyAlignment="1">
      <alignment wrapText="1"/>
    </xf>
    <xf numFmtId="0" fontId="50" fillId="0" borderId="0" xfId="0" applyFont="1" applyAlignment="1">
      <alignment wrapText="1"/>
    </xf>
    <xf numFmtId="2" fontId="8" fillId="0" borderId="0" xfId="0" applyNumberFormat="1" applyFont="1" applyFill="1" applyBorder="1"/>
    <xf numFmtId="0" fontId="122" fillId="0" borderId="0" xfId="0" applyFont="1" applyAlignment="1">
      <alignment horizontal="center"/>
    </xf>
    <xf numFmtId="9" fontId="0" fillId="0" borderId="0" xfId="6" applyFont="1" applyFill="1" applyBorder="1"/>
    <xf numFmtId="171" fontId="7" fillId="0" borderId="0" xfId="0" applyNumberFormat="1" applyFont="1" applyFill="1" applyBorder="1" applyAlignment="1">
      <alignment vertical="center"/>
    </xf>
    <xf numFmtId="10" fontId="7" fillId="0" borderId="0" xfId="6" applyNumberFormat="1" applyFont="1" applyFill="1" applyBorder="1" applyAlignment="1">
      <alignment vertical="center"/>
    </xf>
    <xf numFmtId="0" fontId="79" fillId="0" borderId="0" xfId="13" applyFill="1" applyAlignment="1">
      <alignment horizontal="center" vertical="center" wrapText="1"/>
    </xf>
    <xf numFmtId="0" fontId="79" fillId="0" borderId="0" xfId="13" applyAlignment="1">
      <alignment vertical="center"/>
    </xf>
    <xf numFmtId="0" fontId="21" fillId="0" borderId="0" xfId="14" applyFill="1" applyBorder="1" applyAlignment="1">
      <alignment vertical="center" wrapText="1"/>
    </xf>
    <xf numFmtId="0" fontId="80" fillId="0" borderId="0" xfId="13" applyFont="1" applyAlignment="1">
      <alignment horizontal="left"/>
    </xf>
    <xf numFmtId="0" fontId="82" fillId="0" borderId="0" xfId="13" applyFont="1" applyAlignment="1">
      <alignment horizontal="right" vertical="top"/>
    </xf>
    <xf numFmtId="0" fontId="8" fillId="0" borderId="0" xfId="0" applyFont="1" applyAlignment="1">
      <alignment horizontal="center" vertical="center" wrapText="1"/>
    </xf>
    <xf numFmtId="0" fontId="96" fillId="0" borderId="0" xfId="0" applyFont="1" applyAlignment="1">
      <alignment horizontal="center" vertical="center"/>
    </xf>
    <xf numFmtId="0" fontId="96"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wrapText="1"/>
    </xf>
    <xf numFmtId="0" fontId="50" fillId="2" borderId="0" xfId="0" applyFont="1" applyFill="1" applyBorder="1"/>
    <xf numFmtId="0" fontId="8" fillId="3" borderId="0" xfId="0" applyFont="1" applyFill="1" applyAlignment="1">
      <alignment horizontal="center" vertical="center" wrapText="1"/>
    </xf>
    <xf numFmtId="0" fontId="0" fillId="8" borderId="192" xfId="0" applyFill="1" applyBorder="1"/>
    <xf numFmtId="9" fontId="45" fillId="0" borderId="0" xfId="38" applyFill="1" applyBorder="1" applyAlignment="1" applyProtection="1">
      <alignment horizontal="center" vertical="center"/>
      <protection locked="0"/>
    </xf>
    <xf numFmtId="0" fontId="8" fillId="0" borderId="0" xfId="0" applyFont="1" applyFill="1" applyAlignment="1">
      <alignment horizontal="center" vertical="center" wrapText="1"/>
    </xf>
    <xf numFmtId="0" fontId="0" fillId="0" borderId="0" xfId="0" applyAlignment="1">
      <alignment horizontal="center"/>
    </xf>
    <xf numFmtId="0" fontId="0" fillId="8" borderId="140" xfId="0" applyFill="1" applyBorder="1"/>
    <xf numFmtId="0" fontId="100" fillId="0" borderId="0" xfId="0" applyFont="1" applyAlignment="1">
      <alignment horizontal="center" wrapText="1"/>
    </xf>
    <xf numFmtId="10" fontId="50" fillId="8" borderId="1" xfId="0" applyNumberFormat="1" applyFont="1" applyFill="1" applyBorder="1"/>
    <xf numFmtId="0" fontId="50" fillId="0" borderId="2" xfId="0" applyFont="1" applyBorder="1" applyAlignment="1">
      <alignment horizontal="center" wrapText="1"/>
    </xf>
    <xf numFmtId="2" fontId="0" fillId="2" borderId="96" xfId="0" applyNumberFormat="1" applyFont="1" applyFill="1" applyBorder="1" applyAlignment="1">
      <alignment horizontal="center"/>
    </xf>
    <xf numFmtId="9" fontId="0" fillId="2" borderId="96" xfId="6" applyFont="1" applyFill="1" applyBorder="1" applyAlignment="1">
      <alignment horizontal="center"/>
    </xf>
    <xf numFmtId="4" fontId="94" fillId="8" borderId="140" xfId="0" applyNumberFormat="1" applyFont="1" applyFill="1" applyBorder="1"/>
    <xf numFmtId="0" fontId="94" fillId="8" borderId="140" xfId="0" applyFont="1" applyFill="1" applyBorder="1" applyAlignment="1">
      <alignment horizontal="center"/>
    </xf>
    <xf numFmtId="4" fontId="94" fillId="8" borderId="140" xfId="0" applyNumberFormat="1" applyFont="1" applyFill="1" applyBorder="1" applyAlignment="1">
      <alignment horizontal="center"/>
    </xf>
    <xf numFmtId="0" fontId="95" fillId="0" borderId="0" xfId="0" applyFont="1" applyAlignment="1">
      <alignment vertical="center" wrapText="1"/>
    </xf>
    <xf numFmtId="2" fontId="8" fillId="2" borderId="1" xfId="0" applyNumberFormat="1" applyFont="1" applyFill="1" applyBorder="1" applyAlignment="1">
      <alignment horizontal="center"/>
    </xf>
    <xf numFmtId="2" fontId="8" fillId="8" borderId="1" xfId="0" applyNumberFormat="1" applyFont="1" applyFill="1" applyBorder="1" applyAlignment="1">
      <alignment horizontal="center"/>
    </xf>
    <xf numFmtId="9" fontId="8" fillId="8" borderId="1" xfId="6" applyFont="1" applyFill="1" applyBorder="1"/>
    <xf numFmtId="2" fontId="9" fillId="8" borderId="140" xfId="1" applyNumberFormat="1" applyFill="1" applyBorder="1" applyAlignment="1">
      <alignment horizontal="center"/>
    </xf>
    <xf numFmtId="0" fontId="8" fillId="0" borderId="0" xfId="0" applyFont="1" applyAlignment="1">
      <alignment vertical="center" wrapText="1"/>
    </xf>
    <xf numFmtId="0" fontId="0" fillId="0" borderId="0" xfId="0" applyFont="1" applyAlignment="1">
      <alignment vertical="center" wrapText="1"/>
    </xf>
    <xf numFmtId="0" fontId="94" fillId="8" borderId="140" xfId="0" applyFont="1" applyFill="1" applyBorder="1"/>
    <xf numFmtId="0" fontId="100" fillId="0" borderId="0" xfId="0" applyFont="1" applyAlignment="1">
      <alignment horizontal="left"/>
    </xf>
    <xf numFmtId="0" fontId="8" fillId="8" borderId="57" xfId="1" applyFont="1" applyFill="1" applyBorder="1" applyAlignment="1">
      <alignment wrapText="1"/>
    </xf>
    <xf numFmtId="0" fontId="100" fillId="0" borderId="0" xfId="0" applyFont="1" applyFill="1" applyBorder="1" applyAlignment="1"/>
    <xf numFmtId="0" fontId="0" fillId="0" borderId="0" xfId="0" applyAlignment="1">
      <alignment horizontal="center"/>
    </xf>
    <xf numFmtId="0" fontId="8" fillId="0" borderId="0" xfId="0" applyFont="1" applyAlignment="1">
      <alignment horizontal="center" wrapText="1"/>
    </xf>
    <xf numFmtId="0" fontId="8" fillId="8" borderId="140" xfId="0" applyFont="1" applyFill="1" applyBorder="1" applyAlignment="1">
      <alignment vertical="center" wrapText="1"/>
    </xf>
    <xf numFmtId="0" fontId="0" fillId="8" borderId="129" xfId="0" applyFont="1" applyFill="1" applyBorder="1"/>
    <xf numFmtId="0" fontId="0" fillId="8" borderId="130" xfId="0" applyFont="1" applyFill="1" applyBorder="1"/>
    <xf numFmtId="2" fontId="9" fillId="2" borderId="57" xfId="1" applyNumberFormat="1" applyFill="1" applyBorder="1" applyAlignment="1">
      <alignment horizontal="center"/>
    </xf>
    <xf numFmtId="0" fontId="8" fillId="2" borderId="57" xfId="1" applyFont="1" applyFill="1" applyBorder="1" applyAlignment="1">
      <alignment vertical="center" wrapText="1"/>
    </xf>
    <xf numFmtId="0" fontId="8" fillId="2" borderId="45" xfId="1" applyFont="1" applyFill="1" applyBorder="1" applyAlignment="1">
      <alignment vertical="center" wrapText="1"/>
    </xf>
    <xf numFmtId="2" fontId="9" fillId="8" borderId="57" xfId="1" applyNumberFormat="1" applyFill="1" applyBorder="1" applyAlignment="1">
      <alignment horizontal="center"/>
    </xf>
    <xf numFmtId="2" fontId="0" fillId="8" borderId="140" xfId="0" applyNumberFormat="1" applyFont="1" applyFill="1" applyBorder="1" applyAlignment="1">
      <alignment horizontal="center"/>
    </xf>
    <xf numFmtId="0" fontId="9" fillId="2" borderId="45" xfId="1" applyFont="1" applyFill="1" applyBorder="1" applyAlignment="1">
      <alignment vertical="center" wrapText="1"/>
    </xf>
    <xf numFmtId="2" fontId="8" fillId="2" borderId="209" xfId="1" applyNumberFormat="1" applyFont="1" applyFill="1" applyBorder="1" applyAlignment="1">
      <alignment horizontal="center"/>
    </xf>
    <xf numFmtId="2" fontId="8" fillId="2" borderId="48" xfId="1" applyNumberFormat="1" applyFont="1" applyFill="1" applyBorder="1" applyAlignment="1">
      <alignment horizontal="center"/>
    </xf>
    <xf numFmtId="2" fontId="0" fillId="2" borderId="124" xfId="0" applyNumberFormat="1" applyFill="1" applyBorder="1" applyAlignment="1">
      <alignment horizontal="center"/>
    </xf>
    <xf numFmtId="0" fontId="124" fillId="0" borderId="0" xfId="0" applyFont="1"/>
    <xf numFmtId="0" fontId="8" fillId="0" borderId="0" xfId="1" applyFont="1" applyFill="1" applyBorder="1"/>
    <xf numFmtId="0" fontId="8" fillId="0" borderId="0" xfId="1" applyFont="1" applyFill="1" applyBorder="1" applyAlignment="1">
      <alignment wrapText="1"/>
    </xf>
    <xf numFmtId="0" fontId="9" fillId="0" borderId="0" xfId="1" applyFill="1" applyBorder="1"/>
    <xf numFmtId="0" fontId="31" fillId="0" borderId="0" xfId="1" applyFont="1"/>
    <xf numFmtId="0" fontId="28" fillId="9" borderId="0" xfId="1" applyFont="1" applyFill="1"/>
    <xf numFmtId="2" fontId="8" fillId="0" borderId="0" xfId="1" applyNumberFormat="1" applyFont="1" applyFill="1" applyBorder="1" applyAlignment="1">
      <alignment horizontal="center"/>
    </xf>
    <xf numFmtId="0" fontId="9" fillId="0" borderId="0" xfId="1" applyFill="1" applyBorder="1" applyAlignment="1">
      <alignment horizontal="center"/>
    </xf>
    <xf numFmtId="0" fontId="8" fillId="0" borderId="0" xfId="1" applyFont="1" applyAlignment="1">
      <alignment horizontal="center" wrapText="1"/>
    </xf>
    <xf numFmtId="0" fontId="9" fillId="0" borderId="0" xfId="1" applyAlignment="1">
      <alignment horizontal="center"/>
    </xf>
    <xf numFmtId="0" fontId="31" fillId="8" borderId="117" xfId="1" applyFont="1" applyFill="1" applyBorder="1" applyAlignment="1">
      <alignment vertical="center" wrapText="1"/>
    </xf>
    <xf numFmtId="0" fontId="28" fillId="0" borderId="0" xfId="0" applyFont="1"/>
    <xf numFmtId="0" fontId="31" fillId="0" borderId="0" xfId="0" applyFont="1"/>
    <xf numFmtId="0" fontId="8" fillId="0" borderId="0" xfId="0" applyFont="1" applyAlignment="1">
      <alignment horizontal="center"/>
    </xf>
    <xf numFmtId="2" fontId="8" fillId="8" borderId="192" xfId="0" applyNumberFormat="1" applyFont="1" applyFill="1" applyBorder="1" applyAlignment="1">
      <alignment horizontal="center"/>
    </xf>
    <xf numFmtId="0" fontId="0" fillId="0" borderId="0" xfId="0" applyAlignment="1">
      <alignment horizontal="center" wrapText="1"/>
    </xf>
    <xf numFmtId="0" fontId="125" fillId="0" borderId="0" xfId="2" applyFont="1"/>
    <xf numFmtId="9" fontId="0" fillId="8" borderId="1" xfId="6" applyFont="1" applyFill="1" applyBorder="1" applyAlignment="1">
      <alignment horizontal="center"/>
    </xf>
    <xf numFmtId="0" fontId="8" fillId="3" borderId="0" xfId="0" applyFont="1" applyFill="1" applyBorder="1" applyAlignment="1" applyProtection="1">
      <alignment horizontal="center" vertical="center" wrapText="1"/>
      <protection locked="0"/>
    </xf>
    <xf numFmtId="0" fontId="8" fillId="3" borderId="95" xfId="0" applyFont="1" applyFill="1" applyBorder="1" applyAlignment="1" applyProtection="1">
      <alignment horizontal="center" vertical="center" wrapText="1"/>
      <protection locked="0"/>
    </xf>
    <xf numFmtId="0" fontId="8" fillId="0" borderId="0" xfId="0" applyFont="1" applyAlignment="1">
      <alignment horizontal="center" wrapText="1"/>
    </xf>
    <xf numFmtId="0" fontId="0" fillId="28" borderId="13" xfId="0" applyFont="1" applyFill="1" applyBorder="1" applyAlignment="1" applyProtection="1">
      <alignment horizontal="center" vertical="center" wrapText="1"/>
    </xf>
    <xf numFmtId="0" fontId="0" fillId="0" borderId="0" xfId="0" applyAlignment="1">
      <alignment horizontal="center"/>
    </xf>
    <xf numFmtId="0" fontId="0" fillId="0" borderId="0" xfId="0" applyAlignment="1">
      <alignment horizontal="center" wrapText="1"/>
    </xf>
    <xf numFmtId="0" fontId="8"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wrapText="1"/>
    </xf>
    <xf numFmtId="0" fontId="0" fillId="0" borderId="0" xfId="0" applyAlignment="1">
      <alignment horizontal="center"/>
    </xf>
    <xf numFmtId="0" fontId="8" fillId="0" borderId="0" xfId="0" applyFont="1" applyAlignment="1">
      <alignment horizontal="center"/>
    </xf>
    <xf numFmtId="0" fontId="34" fillId="3" borderId="0" xfId="0" applyFont="1" applyFill="1" applyAlignment="1">
      <alignment horizontal="center" vertical="center" wrapText="1"/>
    </xf>
    <xf numFmtId="0" fontId="42" fillId="0" borderId="0" xfId="0" applyFont="1" applyFill="1"/>
    <xf numFmtId="2" fontId="0" fillId="8" borderId="102" xfId="0" applyNumberFormat="1" applyFont="1" applyFill="1" applyBorder="1" applyAlignment="1">
      <alignment horizontal="center"/>
    </xf>
    <xf numFmtId="0" fontId="79" fillId="3" borderId="0" xfId="13" applyFill="1" applyAlignment="1">
      <alignment horizontal="center" vertical="center" wrapText="1"/>
    </xf>
    <xf numFmtId="0" fontId="80" fillId="0" borderId="0" xfId="13" applyFont="1" applyAlignment="1">
      <alignment horizontal="left"/>
    </xf>
    <xf numFmtId="0" fontId="79" fillId="25" borderId="0" xfId="13" applyFill="1" applyAlignment="1">
      <alignment horizontal="left" vertical="center"/>
    </xf>
    <xf numFmtId="0" fontId="80" fillId="0" borderId="0" xfId="13" applyFont="1" applyAlignment="1">
      <alignment horizontal="left" vertical="center" wrapText="1"/>
    </xf>
    <xf numFmtId="0" fontId="80" fillId="0" borderId="0" xfId="13" applyFont="1" applyAlignment="1">
      <alignment horizontal="left" vertical="center"/>
    </xf>
    <xf numFmtId="0" fontId="21" fillId="3" borderId="8" xfId="14" applyFill="1" applyBorder="1" applyAlignment="1">
      <alignment horizontal="center" vertical="center" wrapText="1"/>
    </xf>
    <xf numFmtId="0" fontId="21" fillId="3" borderId="9" xfId="14" applyFill="1" applyBorder="1" applyAlignment="1">
      <alignment horizontal="center" vertical="center" wrapText="1"/>
    </xf>
    <xf numFmtId="0" fontId="21" fillId="3" borderId="10" xfId="14" applyFill="1" applyBorder="1" applyAlignment="1">
      <alignment horizontal="center" vertical="center" wrapText="1"/>
    </xf>
    <xf numFmtId="0" fontId="81" fillId="28" borderId="4" xfId="13" applyFont="1" applyFill="1" applyBorder="1" applyAlignment="1">
      <alignment horizontal="left" vertical="center" wrapText="1"/>
    </xf>
    <xf numFmtId="0" fontId="81" fillId="28" borderId="0" xfId="13" applyFont="1" applyFill="1" applyAlignment="1">
      <alignment horizontal="left" vertical="center" wrapText="1"/>
    </xf>
    <xf numFmtId="0" fontId="81" fillId="28" borderId="207" xfId="13" applyFont="1" applyFill="1" applyBorder="1" applyAlignment="1">
      <alignment horizontal="left" vertical="center" wrapText="1"/>
    </xf>
    <xf numFmtId="0" fontId="81" fillId="28" borderId="4" xfId="13" applyFont="1" applyFill="1" applyBorder="1" applyAlignment="1">
      <alignment horizontal="left" wrapText="1"/>
    </xf>
    <xf numFmtId="0" fontId="79" fillId="0" borderId="0" xfId="13" applyAlignment="1">
      <alignment horizontal="right" vertical="center"/>
    </xf>
    <xf numFmtId="1" fontId="8" fillId="0" borderId="0" xfId="0" applyNumberFormat="1" applyFont="1" applyFill="1" applyBorder="1" applyAlignment="1" applyProtection="1">
      <alignment horizontal="center" vertical="center" wrapText="1"/>
    </xf>
    <xf numFmtId="0" fontId="8" fillId="3" borderId="11" xfId="0" applyFont="1" applyFill="1" applyBorder="1" applyAlignment="1" applyProtection="1">
      <alignment horizontal="center" vertical="center" wrapText="1"/>
      <protection locked="0"/>
    </xf>
    <xf numFmtId="0" fontId="8" fillId="3" borderId="0" xfId="0" applyFont="1" applyFill="1" applyBorder="1" applyAlignment="1" applyProtection="1">
      <alignment horizontal="center" vertical="center" wrapText="1"/>
      <protection locked="0"/>
    </xf>
    <xf numFmtId="0" fontId="31" fillId="3" borderId="11" xfId="0" applyFont="1" applyFill="1" applyBorder="1" applyAlignment="1" applyProtection="1">
      <alignment horizontal="center" vertical="center" wrapText="1"/>
      <protection locked="0"/>
    </xf>
    <xf numFmtId="0" fontId="31" fillId="3" borderId="0" xfId="0" applyFont="1" applyFill="1" applyBorder="1" applyAlignment="1" applyProtection="1">
      <alignment horizontal="center" vertical="center" wrapText="1"/>
      <protection locked="0"/>
    </xf>
    <xf numFmtId="0" fontId="8" fillId="3" borderId="0" xfId="0" applyFont="1" applyFill="1" applyAlignment="1">
      <alignment horizontal="center" vertical="center"/>
    </xf>
    <xf numFmtId="0" fontId="8" fillId="3" borderId="206" xfId="0" applyFont="1" applyFill="1" applyBorder="1" applyAlignment="1" applyProtection="1">
      <alignment horizontal="center" vertical="center" wrapText="1"/>
      <protection locked="0"/>
    </xf>
    <xf numFmtId="0" fontId="8" fillId="3" borderId="95" xfId="0" applyFont="1" applyFill="1" applyBorder="1" applyAlignment="1" applyProtection="1">
      <alignment horizontal="center" vertical="center" wrapText="1"/>
      <protection locked="0"/>
    </xf>
    <xf numFmtId="0" fontId="0" fillId="0" borderId="0" xfId="0" applyAlignment="1">
      <alignment horizontal="center"/>
    </xf>
    <xf numFmtId="0" fontId="31" fillId="8" borderId="8" xfId="1" applyFont="1" applyFill="1" applyBorder="1" applyAlignment="1">
      <alignment horizontal="center" wrapText="1"/>
    </xf>
    <xf numFmtId="0" fontId="31" fillId="8" borderId="208" xfId="1" applyFont="1" applyFill="1" applyBorder="1" applyAlignment="1">
      <alignment horizontal="center" wrapText="1"/>
    </xf>
    <xf numFmtId="0" fontId="0" fillId="0" borderId="0" xfId="0" applyAlignment="1">
      <alignment horizontal="center" wrapText="1"/>
    </xf>
    <xf numFmtId="0" fontId="0" fillId="0" borderId="207" xfId="0" applyBorder="1" applyAlignment="1">
      <alignment horizontal="center" wrapText="1"/>
    </xf>
    <xf numFmtId="0" fontId="8" fillId="0" borderId="0" xfId="0" applyFont="1" applyAlignment="1">
      <alignment horizontal="center" vertical="center" wrapText="1"/>
    </xf>
    <xf numFmtId="0" fontId="8" fillId="0" borderId="0" xfId="0" applyFont="1" applyAlignment="1">
      <alignment horizontal="center"/>
    </xf>
    <xf numFmtId="0" fontId="15" fillId="0" borderId="0" xfId="0" applyFont="1" applyAlignment="1">
      <alignment horizontal="center" wrapText="1"/>
    </xf>
    <xf numFmtId="0" fontId="0" fillId="3" borderId="0" xfId="0" applyFill="1" applyAlignment="1">
      <alignment horizontal="left" vertical="top" wrapText="1"/>
    </xf>
    <xf numFmtId="0" fontId="0" fillId="3" borderId="0" xfId="0" applyFill="1" applyAlignment="1">
      <alignment horizontal="left" vertical="top"/>
    </xf>
    <xf numFmtId="0" fontId="0" fillId="3" borderId="4" xfId="0" applyFill="1" applyBorder="1" applyAlignment="1">
      <alignment horizontal="center" vertical="top" wrapText="1"/>
    </xf>
    <xf numFmtId="0" fontId="0" fillId="3" borderId="0" xfId="0" applyFill="1" applyBorder="1" applyAlignment="1">
      <alignment horizontal="center" vertical="top" wrapText="1"/>
    </xf>
    <xf numFmtId="0" fontId="8" fillId="0" borderId="0" xfId="0" applyFont="1" applyAlignment="1">
      <alignment horizontal="center" wrapText="1"/>
    </xf>
    <xf numFmtId="0" fontId="8" fillId="0" borderId="194" xfId="0" applyFont="1" applyBorder="1" applyAlignment="1">
      <alignment horizontal="center" wrapText="1"/>
    </xf>
    <xf numFmtId="0" fontId="8" fillId="0" borderId="195" xfId="0" applyFont="1" applyBorder="1" applyAlignment="1">
      <alignment horizontal="center" wrapText="1"/>
    </xf>
    <xf numFmtId="0" fontId="31" fillId="3" borderId="3" xfId="0" applyFont="1" applyFill="1" applyBorder="1" applyAlignment="1" applyProtection="1">
      <alignment horizontal="center" vertical="center" wrapText="1"/>
    </xf>
    <xf numFmtId="0" fontId="31" fillId="3" borderId="7" xfId="0" applyFont="1" applyFill="1" applyBorder="1" applyAlignment="1" applyProtection="1">
      <alignment horizontal="center" vertical="center" wrapText="1"/>
    </xf>
    <xf numFmtId="0" fontId="31" fillId="3" borderId="11" xfId="0" applyFont="1" applyFill="1" applyBorder="1" applyAlignment="1" applyProtection="1">
      <alignment horizontal="center" vertical="center" wrapText="1"/>
    </xf>
    <xf numFmtId="0" fontId="31" fillId="3" borderId="12" xfId="0" applyFont="1" applyFill="1" applyBorder="1" applyAlignment="1" applyProtection="1">
      <alignment horizontal="center" vertical="center" wrapText="1"/>
    </xf>
    <xf numFmtId="0" fontId="31" fillId="3" borderId="6" xfId="0" applyFont="1" applyFill="1" applyBorder="1" applyAlignment="1" applyProtection="1">
      <alignment horizontal="center" vertical="center" wrapText="1"/>
    </xf>
    <xf numFmtId="0" fontId="31" fillId="3" borderId="16" xfId="0" applyFont="1" applyFill="1" applyBorder="1" applyAlignment="1" applyProtection="1">
      <alignment horizontal="center" vertical="center" wrapText="1"/>
    </xf>
    <xf numFmtId="0" fontId="57" fillId="3" borderId="100" xfId="0" applyFont="1" applyFill="1" applyBorder="1" applyAlignment="1" applyProtection="1">
      <alignment horizontal="center" vertical="center" wrapText="1"/>
    </xf>
    <xf numFmtId="0" fontId="57" fillId="3" borderId="11" xfId="0" applyFont="1" applyFill="1" applyBorder="1" applyAlignment="1" applyProtection="1">
      <alignment horizontal="center" vertical="center" wrapText="1"/>
    </xf>
    <xf numFmtId="0" fontId="57" fillId="3" borderId="6" xfId="0" applyFont="1" applyFill="1" applyBorder="1" applyAlignment="1" applyProtection="1">
      <alignment horizontal="center" vertical="center" wrapText="1"/>
    </xf>
    <xf numFmtId="0" fontId="49" fillId="2" borderId="98" xfId="0" applyFont="1" applyFill="1" applyBorder="1" applyAlignment="1" applyProtection="1">
      <alignment horizontal="center" vertical="center" wrapText="1"/>
    </xf>
    <xf numFmtId="0" fontId="49" fillId="2" borderId="129" xfId="0" applyFont="1" applyFill="1" applyBorder="1" applyAlignment="1" applyProtection="1">
      <alignment horizontal="center" vertical="center" wrapText="1"/>
    </xf>
    <xf numFmtId="0" fontId="49" fillId="2" borderId="101" xfId="0" applyFont="1" applyFill="1" applyBorder="1" applyAlignment="1" applyProtection="1">
      <alignment horizontal="center" vertical="center" wrapText="1"/>
    </xf>
    <xf numFmtId="0" fontId="31" fillId="0" borderId="0" xfId="0" applyFont="1" applyAlignment="1" applyProtection="1">
      <alignment horizontal="center" vertical="center" wrapText="1"/>
    </xf>
    <xf numFmtId="0" fontId="31" fillId="0" borderId="2" xfId="0" applyFont="1" applyBorder="1" applyAlignment="1" applyProtection="1">
      <alignment horizontal="center" vertical="center" wrapText="1"/>
    </xf>
    <xf numFmtId="0" fontId="0" fillId="0" borderId="0" xfId="0" applyFont="1" applyAlignment="1">
      <alignment horizontal="center" vertical="top" wrapText="1"/>
    </xf>
    <xf numFmtId="0" fontId="49" fillId="0" borderId="0" xfId="0" applyFont="1" applyAlignment="1">
      <alignment horizontal="center" vertical="center" wrapText="1"/>
    </xf>
    <xf numFmtId="0" fontId="49" fillId="0" borderId="136" xfId="0" applyFont="1" applyBorder="1" applyAlignment="1">
      <alignment horizontal="center" vertical="center" wrapText="1"/>
    </xf>
    <xf numFmtId="0" fontId="61" fillId="0" borderId="0" xfId="0" applyFont="1" applyAlignment="1">
      <alignment horizontal="left" vertical="center" wrapText="1"/>
    </xf>
    <xf numFmtId="0" fontId="31" fillId="0" borderId="0" xfId="0" applyFont="1" applyAlignment="1">
      <alignment horizontal="center" wrapText="1"/>
    </xf>
    <xf numFmtId="0" fontId="31" fillId="0" borderId="2" xfId="0" applyFont="1" applyBorder="1" applyAlignment="1">
      <alignment horizontal="center" wrapText="1"/>
    </xf>
    <xf numFmtId="0" fontId="58" fillId="3" borderId="0" xfId="0" applyFont="1" applyFill="1" applyAlignment="1">
      <alignment horizontal="center" vertical="center" wrapText="1"/>
    </xf>
    <xf numFmtId="0" fontId="57" fillId="0" borderId="0" xfId="0" applyFont="1" applyAlignment="1">
      <alignment horizontal="center" wrapText="1"/>
    </xf>
    <xf numFmtId="0" fontId="10" fillId="4" borderId="0" xfId="0" applyFont="1" applyFill="1" applyBorder="1"/>
    <xf numFmtId="0" fontId="31" fillId="0" borderId="0" xfId="0" applyFont="1" applyAlignment="1">
      <alignment horizontal="center" vertical="center" wrapText="1"/>
    </xf>
    <xf numFmtId="0" fontId="31" fillId="0" borderId="136" xfId="0" applyFont="1" applyBorder="1" applyAlignment="1">
      <alignment horizontal="center" vertical="center" wrapText="1"/>
    </xf>
    <xf numFmtId="0" fontId="49" fillId="3" borderId="0" xfId="0" applyFont="1" applyFill="1" applyBorder="1" applyAlignment="1">
      <alignment horizontal="center" vertical="top" wrapText="1"/>
    </xf>
    <xf numFmtId="0" fontId="57" fillId="0" borderId="0" xfId="0" applyFont="1" applyAlignment="1">
      <alignment horizontal="center" vertical="center" wrapText="1"/>
    </xf>
    <xf numFmtId="0" fontId="0" fillId="0" borderId="147" xfId="0" applyBorder="1" applyAlignment="1">
      <alignment horizontal="center"/>
    </xf>
    <xf numFmtId="1" fontId="0" fillId="8" borderId="1" xfId="0" applyNumberFormat="1" applyFont="1" applyFill="1" applyBorder="1"/>
  </cellXfs>
  <cellStyles count="233">
    <cellStyle name="Bad 2" xfId="227" xr:uid="{DBED4655-C41D-40B7-BD71-ADCB616CE4C3}"/>
    <cellStyle name="Body: normal cell" xfId="130" xr:uid="{7B6AA042-44A7-4B77-A356-0621403F61CF}"/>
    <cellStyle name="Comma" xfId="232" builtinId="3"/>
    <cellStyle name="Comma 2" xfId="4" xr:uid="{00000000-0005-0000-0000-000000000000}"/>
    <cellStyle name="Comma 2 2" xfId="47" xr:uid="{958CD31D-7D89-4DB6-812B-908C4EFABC71}"/>
    <cellStyle name="Comma 2 3" xfId="22" xr:uid="{ECD0925A-6C99-46C7-A89F-34663812A386}"/>
    <cellStyle name="Comma 3" xfId="27" xr:uid="{6BEA923E-3468-4426-B6FC-D50EDD4CFF9B}"/>
    <cellStyle name="Comma 3 2" xfId="30" xr:uid="{18D5806B-35C6-4F0A-80DC-78758A167916}"/>
    <cellStyle name="Comma 3 2 2" xfId="56" xr:uid="{82919868-5C36-4CF4-848E-26F4D7F903D1}"/>
    <cellStyle name="Comma 3 2 2 2" xfId="118" xr:uid="{64619715-709D-43C7-B672-27C703F69E9E}"/>
    <cellStyle name="Comma 3 2 2 2 2" xfId="131" xr:uid="{77006A43-C3C2-41F0-A07B-D92980D98479}"/>
    <cellStyle name="Comma 3 2 2 3" xfId="89" xr:uid="{45C95F41-24FD-406B-9C7C-28B915DC9A84}"/>
    <cellStyle name="Comma 3 2 2 3 2" xfId="132" xr:uid="{B4850B1A-C88C-4829-888F-AB6E0C4B4A70}"/>
    <cellStyle name="Comma 3 2 2 4" xfId="133" xr:uid="{7492CADB-683A-4692-81E3-50A105E0729C}"/>
    <cellStyle name="Comma 3 2 3" xfId="104" xr:uid="{807E0BF5-7689-4BA1-885E-F561054B55A2}"/>
    <cellStyle name="Comma 3 2 3 2" xfId="134" xr:uid="{E3FCECEA-D5A4-4C17-8C0B-BB295B29374D}"/>
    <cellStyle name="Comma 3 2 4" xfId="73" xr:uid="{AF867BEB-FDF9-4AE4-9E97-AC721DC0D262}"/>
    <cellStyle name="Comma 3 2 4 2" xfId="135" xr:uid="{1F6F198C-6BD4-4BA2-81D2-E4228948BC6B}"/>
    <cellStyle name="Comma 3 2 5" xfId="136" xr:uid="{3E12E74B-800A-4F01-9646-77CF04B56BF9}"/>
    <cellStyle name="Comma 3 3" xfId="35" xr:uid="{17D99C25-DE15-4255-83DE-280D4DD5713A}"/>
    <cellStyle name="Comma 3 3 2" xfId="59" xr:uid="{4736DF33-3D6A-4947-8ECB-FA11A5046F6E}"/>
    <cellStyle name="Comma 3 3 2 2" xfId="121" xr:uid="{9A5CD08C-69B4-4BFD-913A-C249A46B0674}"/>
    <cellStyle name="Comma 3 3 2 2 2" xfId="137" xr:uid="{2658B306-2232-46A9-BD00-C66803CFE7DF}"/>
    <cellStyle name="Comma 3 3 2 3" xfId="92" xr:uid="{9AB214D5-4A55-4914-A5D2-D60AC57B9AB6}"/>
    <cellStyle name="Comma 3 3 2 3 2" xfId="138" xr:uid="{71137969-3757-4A65-9A31-BC468EECBCFF}"/>
    <cellStyle name="Comma 3 3 2 4" xfId="139" xr:uid="{CA931CC3-B393-49C7-97A3-59B82181B7E9}"/>
    <cellStyle name="Comma 3 3 3" xfId="107" xr:uid="{9304B07A-812F-455C-AF4B-C4688CCB5C54}"/>
    <cellStyle name="Comma 3 3 3 2" xfId="140" xr:uid="{8170F07F-CD9A-4322-88BA-7C711278C908}"/>
    <cellStyle name="Comma 3 3 4" xfId="76" xr:uid="{8137AF52-D5C1-4EE0-AB5C-F3663B2F1931}"/>
    <cellStyle name="Comma 3 3 4 2" xfId="141" xr:uid="{53D96975-185B-4F1B-8F8E-A27E77E9D079}"/>
    <cellStyle name="Comma 3 3 5" xfId="142" xr:uid="{C335781B-61A1-4020-9B29-4B6084B8998A}"/>
    <cellStyle name="Comma 3 4" xfId="53" xr:uid="{B7354108-6414-4CFA-A87F-1274363E4590}"/>
    <cellStyle name="Comma 3 4 2" xfId="115" xr:uid="{9619A508-9B93-4057-AA11-A43C55C43715}"/>
    <cellStyle name="Comma 3 4 2 2" xfId="143" xr:uid="{36165C6E-1CF8-4351-B908-215315254932}"/>
    <cellStyle name="Comma 3 4 3" xfId="86" xr:uid="{C53DA115-C3C6-40D3-B21A-20E73FFC2E56}"/>
    <cellStyle name="Comma 3 4 3 2" xfId="144" xr:uid="{08B86FB8-3223-4892-9448-10E64DE0E0B1}"/>
    <cellStyle name="Comma 3 4 4" xfId="145" xr:uid="{BE6ED947-AFE8-46D0-8887-E9107EBDBD04}"/>
    <cellStyle name="Comma 3 5" xfId="101" xr:uid="{620ED256-2BFC-4D3C-A9C7-11F1BC1555E0}"/>
    <cellStyle name="Comma 3 5 2" xfId="146" xr:uid="{94096EA1-AD19-4768-A717-337A7F0D79F9}"/>
    <cellStyle name="Comma 3 6" xfId="70" xr:uid="{5738C6F4-96E6-4262-9146-8A90C32A100B}"/>
    <cellStyle name="Comma 3 6 2" xfId="147" xr:uid="{5D6A15FD-EFBD-4F66-B981-15A2B8D858C0}"/>
    <cellStyle name="Comma 3 7" xfId="148" xr:uid="{CD2E554E-F4F6-48F7-B21F-4679CDA9B28D}"/>
    <cellStyle name="Comma 4" xfId="37" xr:uid="{5FFE3CA4-E6A9-4E21-8C78-4A6FCDD87501}"/>
    <cellStyle name="Comma 5" xfId="9" xr:uid="{00000000-0005-0000-0000-000001000000}"/>
    <cellStyle name="Comma 5 2" xfId="149" xr:uid="{9CA16EF9-44F8-490D-B84E-48713436953A}"/>
    <cellStyle name="Comma 5 3" xfId="128" xr:uid="{7BCCE657-F954-45FF-BD1D-53C161C8D3A6}"/>
    <cellStyle name="Comma 5 4" xfId="231" xr:uid="{25A2FCDB-036C-2F45-8E90-E39029A15264}"/>
    <cellStyle name="Comma 7" xfId="127" xr:uid="{BD6B149F-B9A5-4223-AE65-A2B885729EA5}"/>
    <cellStyle name="Comma 7 2" xfId="150" xr:uid="{A3258763-C6F9-43B6-A703-DEACBC82BF0C}"/>
    <cellStyle name="Currency 2" xfId="21" xr:uid="{8E417B0D-9C77-417C-96E5-64F4F511005A}"/>
    <cellStyle name="Currency 2 2" xfId="46" xr:uid="{CA99A147-2E4E-4FFF-BD87-3802E6F459F0}"/>
    <cellStyle name="Currency 3" xfId="96" xr:uid="{CC185EDE-44F9-45CC-ACFD-C21459880F05}"/>
    <cellStyle name="Currency 4" xfId="16" xr:uid="{953EBBEF-3540-4D1E-866C-77B0E08E1F71}"/>
    <cellStyle name="Excel Built-in Calculation" xfId="18" xr:uid="{AC8E9C41-33C3-41F2-A86E-D5FCFD621118}"/>
    <cellStyle name="Excel Built-in Calculation 2" xfId="65" xr:uid="{22F955E2-B0F6-4878-A2AD-2DC3F81756EC}"/>
    <cellStyle name="Excel Built-in Calculation 2 2" xfId="151" xr:uid="{20C5F0AD-EFEC-43B8-AE14-8CEFC6DA71EC}"/>
    <cellStyle name="Excel Built-in Calculation 3" xfId="80" xr:uid="{BBF5665F-A06F-4DB0-BE9F-62A520863033}"/>
    <cellStyle name="Excel Built-in Calculation 3 2" xfId="152" xr:uid="{197C496F-9BEB-41A0-9C0F-17ACB861F383}"/>
    <cellStyle name="Excel Built-in Calculation 4" xfId="153" xr:uid="{552ACC78-B938-48C9-BCC5-F045FCC14902}"/>
    <cellStyle name="Excel Built-in Input" xfId="17" xr:uid="{AD9BECCF-3AA0-4E8F-BA75-AEC0B185C77D}"/>
    <cellStyle name="Excel Built-in Input 2" xfId="64" xr:uid="{0D335851-4273-4691-BBF4-81570618C2C0}"/>
    <cellStyle name="Excel Built-in Input 2 2" xfId="154" xr:uid="{7FD8DE40-25E2-4FFE-ABF0-981613D3F0EC}"/>
    <cellStyle name="Excel Built-in Input 3" xfId="81" xr:uid="{C6D97D48-9259-4779-8751-38D595EE441F}"/>
    <cellStyle name="Excel Built-in Input 3 2" xfId="155" xr:uid="{7933EAAF-6518-4C96-AAF1-444A8A44A9FF}"/>
    <cellStyle name="Excel Built-in Input 4" xfId="156" xr:uid="{F027C7FC-EF50-45B8-BB6F-BFC800A9330B}"/>
    <cellStyle name="Excel Built-in Normal" xfId="19" xr:uid="{2E36C1A5-B1D9-4166-885B-0FE4C341B1E2}"/>
    <cellStyle name="Hyperlink" xfId="2" builtinId="8" customBuiltin="1"/>
    <cellStyle name="Hyperlink 2" xfId="14" xr:uid="{DA333640-576D-4BC1-A6E3-AFB3BB16C903}"/>
    <cellStyle name="Hyperlink 2 2" xfId="32" xr:uid="{E2C41480-7CDB-4BA8-A2F6-A54BF4BF2B6E}"/>
    <cellStyle name="Ligne détail" xfId="40" xr:uid="{36D07FFB-4AF8-4656-BCD7-85049AA3C780}"/>
    <cellStyle name="Normal" xfId="0" builtinId="0"/>
    <cellStyle name="Normal 10" xfId="157" xr:uid="{0AC8B2B3-B61C-4AB0-A1B0-2041EBF4D18A}"/>
    <cellStyle name="Normal 2" xfId="1" xr:uid="{00000000-0005-0000-0000-000004000000}"/>
    <cellStyle name="Normal 2 2" xfId="11" xr:uid="{BDD4B146-2CDE-4B1F-B1A2-7D6549C43416}"/>
    <cellStyle name="Normal 2 2 2" xfId="49" xr:uid="{691C5542-741C-40EB-A416-E7AFA6D22E99}"/>
    <cellStyle name="Normal 2 3" xfId="13" xr:uid="{265EA4DF-EF77-4ADD-893F-E6E7820F4E96}"/>
    <cellStyle name="Normal 3" xfId="15" xr:uid="{0E50FE1A-2BB9-4253-90E6-6E7BA5302698}"/>
    <cellStyle name="Normal 3 2" xfId="43" xr:uid="{40688FC2-BA5D-4157-B0C5-CDF043AD4D32}"/>
    <cellStyle name="Normal 3 3" xfId="45" xr:uid="{76C129CD-30AE-4FBD-959E-C7948EDDC925}"/>
    <cellStyle name="Normal 3 4" xfId="20" xr:uid="{921BA182-BDA5-4FA9-BECF-E70CA765D0B5}"/>
    <cellStyle name="Normal 4" xfId="23" xr:uid="{8DA9C8AC-F735-4987-BDB3-1CF06A712412}"/>
    <cellStyle name="Normal 4 2" xfId="28" xr:uid="{30C8CE62-FC3A-4B6E-9B35-DE08464730D2}"/>
    <cellStyle name="Normal 4 2 2" xfId="3" xr:uid="{00000000-0005-0000-0000-000005000000}"/>
    <cellStyle name="Normal 4 2 2 2" xfId="61" xr:uid="{48E9383F-8E4F-4B6C-9D84-EB28C3B80431}"/>
    <cellStyle name="Normal 4 2 2 2 2" xfId="123" xr:uid="{7F63AAFF-9CE9-4613-9016-7536DC47DA3E}"/>
    <cellStyle name="Normal 4 2 2 2 2 2" xfId="158" xr:uid="{C9344726-DD41-4566-9209-0D22A6C7DCB7}"/>
    <cellStyle name="Normal 4 2 2 2 3" xfId="94" xr:uid="{A60C3AA2-4F79-4B99-9CD3-D68735E120BC}"/>
    <cellStyle name="Normal 4 2 2 2 3 2" xfId="159" xr:uid="{80963AE7-8BAE-478C-8546-C435111B04A2}"/>
    <cellStyle name="Normal 4 2 2 2 4" xfId="160" xr:uid="{676468DC-73AC-41F7-AFDC-0D616B551530}"/>
    <cellStyle name="Normal 4 2 2 3" xfId="109" xr:uid="{F7FA98A8-85A4-4853-BE5D-A5FC3A2D65D7}"/>
    <cellStyle name="Normal 4 2 2 3 2" xfId="161" xr:uid="{ADB8D2A6-F241-4844-90EE-8090F5E43151}"/>
    <cellStyle name="Normal 4 2 2 4" xfId="78" xr:uid="{6827485F-780E-4D9E-B0E0-A78F3ADA398F}"/>
    <cellStyle name="Normal 4 2 2 4 2" xfId="162" xr:uid="{942288DF-05D1-4723-B15D-D0BF75C5A1CF}"/>
    <cellStyle name="Normal 4 2 2 5" xfId="163" xr:uid="{73462727-4628-413D-85EE-BA40DE941847}"/>
    <cellStyle name="Normal 4 2 2 6" xfId="42" xr:uid="{843D83CA-CE70-4B17-A98E-8F18DC30D897}"/>
    <cellStyle name="Normal 4 2 2 7" xfId="228" xr:uid="{2336899E-3E1C-423D-95D1-29EFDDF4E3F2}"/>
    <cellStyle name="Normal 4 2 3" xfId="54" xr:uid="{CDB04E22-BF54-4428-8199-138A1EC15E8C}"/>
    <cellStyle name="Normal 4 2 3 2" xfId="116" xr:uid="{E002D950-2457-411D-B9A7-F17BB8F3A9C7}"/>
    <cellStyle name="Normal 4 2 3 2 2" xfId="164" xr:uid="{21588ED3-80F1-4FD4-A1EA-6B485ABC0C8D}"/>
    <cellStyle name="Normal 4 2 3 3" xfId="87" xr:uid="{D6F8A31C-33C4-45B5-B19F-4472E57B03C3}"/>
    <cellStyle name="Normal 4 2 3 3 2" xfId="165" xr:uid="{61828BE4-66BA-4510-80C2-DF3753CBEE2F}"/>
    <cellStyle name="Normal 4 2 3 4" xfId="166" xr:uid="{CF7674C6-EA80-4D6B-ADFA-FAA8C0839C3C}"/>
    <cellStyle name="Normal 4 2 4" xfId="102" xr:uid="{AFFD82D7-CF13-4BED-844F-1F9E8BEE7874}"/>
    <cellStyle name="Normal 4 2 4 2" xfId="167" xr:uid="{E2F3ADF1-3B3A-4C0E-9250-6138BF000FB0}"/>
    <cellStyle name="Normal 4 2 5" xfId="71" xr:uid="{94CC1C31-E4B4-492B-A56C-4F18A02A9AD4}"/>
    <cellStyle name="Normal 4 2 5 2" xfId="168" xr:uid="{14D5A4EA-EDBC-4A5E-AADE-FEEF83B11DBD}"/>
    <cellStyle name="Normal 4 2 6" xfId="169" xr:uid="{E1F8A438-AFB0-4BA6-81B3-524A9971AC2E}"/>
    <cellStyle name="Normal 4 3" xfId="48" xr:uid="{F3699C6D-1F90-4E0F-AC1C-5177FF575991}"/>
    <cellStyle name="Normal 4 3 2" xfId="111" xr:uid="{FF6434BC-CF6B-47AE-B452-6A5EBDA0E067}"/>
    <cellStyle name="Normal 4 3 2 2" xfId="170" xr:uid="{03506F34-D5F1-486D-AC73-6E95802ACEC2}"/>
    <cellStyle name="Normal 4 3 3" xfId="82" xr:uid="{07F01FDA-0E04-46CD-8B8E-24EE5F3EF34E}"/>
    <cellStyle name="Normal 4 3 3 2" xfId="171" xr:uid="{3FF85BBE-6DF8-43AA-A912-1B5C3011F84B}"/>
    <cellStyle name="Normal 4 3 4" xfId="172" xr:uid="{6D30B2BB-256F-4095-8EDC-FE8BE7B62A3E}"/>
    <cellStyle name="Normal 4 4" xfId="97" xr:uid="{95D423DE-913B-4E3D-937C-E974B8F9C7AB}"/>
    <cellStyle name="Normal 4 4 2" xfId="173" xr:uid="{F96F5332-F16A-4A8F-9317-77E9E2C4C24E}"/>
    <cellStyle name="Normal 4 5" xfId="66" xr:uid="{503033FA-C3C1-410D-AE40-C8B0007981D4}"/>
    <cellStyle name="Normal 4 5 2" xfId="174" xr:uid="{4D84A6D1-38DD-4B92-B7C0-FB9AFFB436A1}"/>
    <cellStyle name="Normal 4 6" xfId="175" xr:uid="{F62C7C6B-F13C-4F8B-A8F0-7608558E1FC3}"/>
    <cellStyle name="Normal 5" xfId="25" xr:uid="{74EF6E76-E0AE-4D0B-A587-7F4E0E801628}"/>
    <cellStyle name="Normal 5 2" xfId="29" xr:uid="{4FAC17FB-6270-49EE-BE80-80FEC249DA54}"/>
    <cellStyle name="Normal 5 2 2" xfId="55" xr:uid="{0EE7A3FF-EABC-4420-A2E3-A51D5C034C58}"/>
    <cellStyle name="Normal 5 2 2 2" xfId="117" xr:uid="{24915C61-3A1A-43D0-8ED3-036C550FACCC}"/>
    <cellStyle name="Normal 5 2 2 2 2" xfId="176" xr:uid="{1EA4CCE5-C6A3-4580-8614-B54F67D34647}"/>
    <cellStyle name="Normal 5 2 2 3" xfId="88" xr:uid="{1689167F-FD8A-4480-970A-5C58063DDE39}"/>
    <cellStyle name="Normal 5 2 2 3 2" xfId="177" xr:uid="{640B1040-3721-4649-A17F-1ADB36119AFC}"/>
    <cellStyle name="Normal 5 2 2 4" xfId="178" xr:uid="{65AA7990-8986-407E-814C-32B5B8931F5B}"/>
    <cellStyle name="Normal 5 2 3" xfId="103" xr:uid="{AA46A626-20D7-42FB-96AF-7506CD00E15E}"/>
    <cellStyle name="Normal 5 2 3 2" xfId="179" xr:uid="{D0591E52-556C-4F48-8DC4-4EC425C792C2}"/>
    <cellStyle name="Normal 5 2 4" xfId="72" xr:uid="{01A46FC0-42AC-4158-B054-4A3FF8A6517B}"/>
    <cellStyle name="Normal 5 2 4 2" xfId="180" xr:uid="{D88C66AB-80AB-48B8-9C1D-10B363BDF498}"/>
    <cellStyle name="Normal 5 2 5" xfId="181" xr:uid="{08E0CF9E-F24B-4A3E-89A4-1A543FE7A83F}"/>
    <cellStyle name="Normal 5 3" xfId="34" xr:uid="{E7688A7E-2486-4386-80E5-EE06D3482ED3}"/>
    <cellStyle name="Normal 5 3 2" xfId="58" xr:uid="{8F51FC33-2EB5-464E-A421-BDC5FFB17B15}"/>
    <cellStyle name="Normal 5 3 2 2" xfId="120" xr:uid="{8EBA2DE1-551C-4748-93BE-1DCD47E2A1CC}"/>
    <cellStyle name="Normal 5 3 2 2 2" xfId="182" xr:uid="{AE0D4D6B-4523-4914-BE79-E208BBD6543B}"/>
    <cellStyle name="Normal 5 3 2 3" xfId="91" xr:uid="{2ABFF15B-6788-44E8-BF64-851BFBA92D9C}"/>
    <cellStyle name="Normal 5 3 2 3 2" xfId="183" xr:uid="{71D01BEA-D28F-4155-BAE9-D79F6074BB8E}"/>
    <cellStyle name="Normal 5 3 2 4" xfId="184" xr:uid="{48C48E36-D859-4B66-9103-1AAD9170AB0A}"/>
    <cellStyle name="Normal 5 3 3" xfId="106" xr:uid="{1EAABA79-36F9-4362-8185-D3E0673D4EB6}"/>
    <cellStyle name="Normal 5 3 3 2" xfId="185" xr:uid="{A9836F11-BB26-4D4F-8713-414FA0376BBF}"/>
    <cellStyle name="Normal 5 3 4" xfId="75" xr:uid="{534CA865-6061-417E-BE52-D8DEC10578BC}"/>
    <cellStyle name="Normal 5 3 4 2" xfId="186" xr:uid="{6FD3E992-2D4C-4AD5-B446-4CF496D72BC8}"/>
    <cellStyle name="Normal 5 3 5" xfId="187" xr:uid="{3E03FEAD-4DD3-4D21-A53D-61504B20D77D}"/>
    <cellStyle name="Normal 5 4" xfId="51" xr:uid="{3A8570A6-9231-4338-92D0-7ACC72F3A43A}"/>
    <cellStyle name="Normal 5 4 2" xfId="113" xr:uid="{8E88A8C5-68F5-4E6B-99FC-D4FFC0E5CF09}"/>
    <cellStyle name="Normal 5 4 2 2" xfId="188" xr:uid="{57BC401C-AE0E-4E0B-AAE9-B1558E5E49D4}"/>
    <cellStyle name="Normal 5 4 3" xfId="84" xr:uid="{12D416B6-C017-4079-88A9-4881E469EB73}"/>
    <cellStyle name="Normal 5 4 3 2" xfId="189" xr:uid="{0C8CD7C8-512A-4A99-8FD7-BFF563383D3C}"/>
    <cellStyle name="Normal 5 4 4" xfId="190" xr:uid="{52822C92-E4F4-4A46-9F02-311714EB8172}"/>
    <cellStyle name="Normal 5 5" xfId="99" xr:uid="{D9F3327E-746B-43B9-8F3E-CB984471F3A1}"/>
    <cellStyle name="Normal 5 5 2" xfId="191" xr:uid="{6DAF9646-F829-48FF-A5A0-BA68760E8548}"/>
    <cellStyle name="Normal 5 6" xfId="68" xr:uid="{A16AD34F-5C86-410E-9E7C-56EC3E1E3655}"/>
    <cellStyle name="Normal 5 6 2" xfId="192" xr:uid="{3E2B313E-52EB-4379-BF8C-8834D6C86AD0}"/>
    <cellStyle name="Normal 5 7" xfId="193" xr:uid="{36FC87EC-9E96-4775-95E4-DC6E7935B35B}"/>
    <cellStyle name="Normal 6" xfId="10" xr:uid="{2A2796B8-05F6-4F7C-876D-23ACA3BA4BCA}"/>
    <cellStyle name="Normal 6 2" xfId="57" xr:uid="{0B20582B-D215-445C-B616-D0CC3968BDB8}"/>
    <cellStyle name="Normal 6 2 2" xfId="119" xr:uid="{2CEF9BB3-A722-42A0-9C3D-B0851C531C5D}"/>
    <cellStyle name="Normal 6 2 2 2" xfId="194" xr:uid="{292B9BCF-77FC-4DCF-9DC4-D6E40A176F39}"/>
    <cellStyle name="Normal 6 2 3" xfId="90" xr:uid="{F3C3CBBC-848B-4417-A55E-714343582A93}"/>
    <cellStyle name="Normal 6 2 3 2" xfId="195" xr:uid="{ED9FCA69-4795-44AD-B9EF-4FF02861D479}"/>
    <cellStyle name="Normal 6 2 4" xfId="196" xr:uid="{F92013F4-14B8-4D7D-9EF8-B403766B0B82}"/>
    <cellStyle name="Normal 6 3" xfId="12" xr:uid="{7246AC71-E78A-47AB-A172-908BA7308EB7}"/>
    <cellStyle name="Normal 6 3 2" xfId="62" xr:uid="{F27344B8-3FC9-461F-BF0D-AE970D92FB7A}"/>
    <cellStyle name="Normal 6 3 2 2" xfId="124" xr:uid="{CF4C4021-4CA9-4C93-8829-4691ADA5E0A5}"/>
    <cellStyle name="Normal 6 3 2 2 2" xfId="197" xr:uid="{8B3DED29-B49C-4C6E-A5F2-E480CE09085A}"/>
    <cellStyle name="Normal 6 3 2 3" xfId="95" xr:uid="{B4477586-D191-4BC5-9090-FE342507E1B3}"/>
    <cellStyle name="Normal 6 3 2 3 2" xfId="198" xr:uid="{5F5F29DA-5170-44C4-90D7-36751C80EF8B}"/>
    <cellStyle name="Normal 6 3 2 4" xfId="199" xr:uid="{4ECFB788-978B-400D-9AA8-5A8555C3C989}"/>
    <cellStyle name="Normal 6 3 3" xfId="110" xr:uid="{9B97B7A4-A3F6-4641-9B3F-6D4EF2737EDF}"/>
    <cellStyle name="Normal 6 3 3 2" xfId="200" xr:uid="{C389935C-00B5-4145-A1EE-D6F936EC8500}"/>
    <cellStyle name="Normal 6 3 4" xfId="79" xr:uid="{EEA1863E-71E2-4B70-A299-A4C931D814AA}"/>
    <cellStyle name="Normal 6 3 4 2" xfId="201" xr:uid="{844B988F-0C9B-4477-B70F-E0B926ECBE00}"/>
    <cellStyle name="Normal 6 3 5" xfId="202" xr:uid="{35FDB02E-AADD-43D2-B5FA-5A30D7BA2519}"/>
    <cellStyle name="Normal 6 3 6" xfId="44" xr:uid="{22E20F06-5EF6-483D-AFFC-4BBE324C6A02}"/>
    <cellStyle name="Normal 6 4" xfId="105" xr:uid="{DCAE8727-5495-400C-AB4F-922601DAF99C}"/>
    <cellStyle name="Normal 6 4 2" xfId="203" xr:uid="{C9554446-ADC7-4A88-BEE1-E77AD4DD4D32}"/>
    <cellStyle name="Normal 6 5" xfId="74" xr:uid="{F5437DA6-B13C-4D29-8F53-1580253FFB44}"/>
    <cellStyle name="Normal 6 5 2" xfId="204" xr:uid="{24F515B6-BEAE-4FBD-ABFB-94A3AFDE68E9}"/>
    <cellStyle name="Normal 6 6" xfId="129" xr:uid="{F5B4B0C9-D9CC-4772-988B-A76B27B23C00}"/>
    <cellStyle name="Normal 6 6 2" xfId="226" xr:uid="{9B5AAF6B-1E1B-4470-B7AC-BC9FE2990CF5}"/>
    <cellStyle name="Normal 6 7" xfId="31" xr:uid="{2E3B23BF-67F6-4D0B-8601-9F8EA1718799}"/>
    <cellStyle name="Normal 7" xfId="36" xr:uid="{CA27D274-B7C7-4C20-B127-517E23A0C154}"/>
    <cellStyle name="Normal 7 2" xfId="39" xr:uid="{1FC55E64-EC06-4D37-9106-7C413E0AC8DD}"/>
    <cellStyle name="Normal 7 2 2" xfId="60" xr:uid="{7CCF98EF-84ED-48EA-BF29-18B4096EA6E6}"/>
    <cellStyle name="Normal 7 2 2 2" xfId="122" xr:uid="{7FDB8B76-9358-429F-B72C-2D55E9134E0B}"/>
    <cellStyle name="Normal 7 2 2 2 2" xfId="205" xr:uid="{A948086E-49BB-4A3A-A69C-AEE67BA75280}"/>
    <cellStyle name="Normal 7 2 2 3" xfId="93" xr:uid="{F812D015-34F1-4FBC-91EB-15BFE4ABFF89}"/>
    <cellStyle name="Normal 7 2 2 3 2" xfId="206" xr:uid="{C27AC4A9-4F0A-40B5-91F7-A038FC923B7A}"/>
    <cellStyle name="Normal 7 2 2 4" xfId="207" xr:uid="{7B99F2AF-4ADB-406F-A08D-E2778772100A}"/>
    <cellStyle name="Normal 7 2 3" xfId="108" xr:uid="{0A5BA0C3-8F00-4583-BE9F-C4BC3E740B6D}"/>
    <cellStyle name="Normal 7 2 3 2" xfId="208" xr:uid="{0331730B-DEDF-4E9F-B8DA-25A1E5800F52}"/>
    <cellStyle name="Normal 7 2 4" xfId="77" xr:uid="{A5711B9A-ECC1-4761-AC23-990D91B75134}"/>
    <cellStyle name="Normal 7 2 4 2" xfId="209" xr:uid="{132A658B-7ABF-4615-AC7B-C0DD3EF5A554}"/>
    <cellStyle name="Normal 7 2 5" xfId="210" xr:uid="{E2E78EF0-DBEF-4BF0-9B9B-73A9C3DE71AD}"/>
    <cellStyle name="Normal 8" xfId="63" xr:uid="{53FF0F2C-4D35-4A8C-BCAE-2D4B35BBE0AC}"/>
    <cellStyle name="Normal 8 2" xfId="125" xr:uid="{32E97CE4-1DB6-4754-8FC1-4BCB75BCED4A}"/>
    <cellStyle name="Normal 8 2 2" xfId="211" xr:uid="{D6898F73-0571-4AB5-8F98-A295F6B0817B}"/>
    <cellStyle name="Normal 8 3" xfId="212" xr:uid="{7E25A26D-4B47-4979-8501-54DD2C969538}"/>
    <cellStyle name="Normal 9" xfId="7" xr:uid="{00000000-0005-0000-0000-000006000000}"/>
    <cellStyle name="Normal 9 2" xfId="8" xr:uid="{00000000-0005-0000-0000-000007000000}"/>
    <cellStyle name="Normal 9 2 2" xfId="213" xr:uid="{7DC178A6-A85E-41FB-9F04-BDC580DC0E55}"/>
    <cellStyle name="Normal 9 3" xfId="126" xr:uid="{B91FDC2E-56E5-4FFB-B2EB-79E829AF0110}"/>
    <cellStyle name="Normal 9 4" xfId="230" xr:uid="{A5F3ACE3-3513-854C-96BD-7F5875A4F24B}"/>
    <cellStyle name="Note 2" xfId="229" xr:uid="{DE5F557E-677D-4430-902D-28C403869C93}"/>
    <cellStyle name="Percent" xfId="6" builtinId="5"/>
    <cellStyle name="Percent 2" xfId="5" xr:uid="{00000000-0005-0000-0000-000009000000}"/>
    <cellStyle name="Percent 2 2" xfId="50" xr:uid="{6B0EA93D-E97D-486A-B230-5E64D2729024}"/>
    <cellStyle name="Percent 2 2 2" xfId="112" xr:uid="{805D3D54-0F41-4A2B-9980-AD6E7015B57C}"/>
    <cellStyle name="Percent 2 2 2 2" xfId="214" xr:uid="{CBC905C5-3EBD-4179-B55C-07EA3CFFA117}"/>
    <cellStyle name="Percent 2 2 3" xfId="83" xr:uid="{20384414-D615-4441-B184-3C9343259CFE}"/>
    <cellStyle name="Percent 2 2 3 2" xfId="215" xr:uid="{4FE360CE-8E79-4282-A520-4CEA017B626E}"/>
    <cellStyle name="Percent 2 2 4" xfId="216" xr:uid="{2ABB06B8-2A8C-4A35-A7D2-BB3894DEF014}"/>
    <cellStyle name="Percent 2 3" xfId="98" xr:uid="{13E46F08-6A7E-4EE2-9440-DC56C66FD44A}"/>
    <cellStyle name="Percent 2 3 2" xfId="217" xr:uid="{955B18E7-0D9C-469B-B086-BA8F977F37CF}"/>
    <cellStyle name="Percent 2 4" xfId="67" xr:uid="{2DAF62C8-3526-4F6F-AF15-770BC60F8193}"/>
    <cellStyle name="Percent 2 4 2" xfId="218" xr:uid="{E94B1AD5-1373-4781-B2E6-415D6896D87D}"/>
    <cellStyle name="Percent 2 5" xfId="219" xr:uid="{FF9CFF80-EF4A-4350-9A2F-40E62F7385FF}"/>
    <cellStyle name="Percent 2 6" xfId="24" xr:uid="{B04247FA-33E7-41AE-BBD3-47B28E425010}"/>
    <cellStyle name="Percent 3" xfId="26" xr:uid="{7E1FA72F-8DD4-4643-B0CC-503E0BBF1DFA}"/>
    <cellStyle name="Percent 3 2" xfId="52" xr:uid="{D6BB4F10-3459-4625-8CDA-EC2EDFA42C03}"/>
    <cellStyle name="Percent 3 2 2" xfId="114" xr:uid="{9D3C63CF-D4FE-4993-AECB-DD62CD7A2A7D}"/>
    <cellStyle name="Percent 3 2 2 2" xfId="220" xr:uid="{A40294C1-5E58-4ED6-BEAE-FE71040969E7}"/>
    <cellStyle name="Percent 3 2 3" xfId="85" xr:uid="{1B89F913-2277-45A7-BE6B-E98AB9806E75}"/>
    <cellStyle name="Percent 3 2 3 2" xfId="221" xr:uid="{80603142-6284-449E-940F-5B6A832AFE74}"/>
    <cellStyle name="Percent 3 2 4" xfId="222" xr:uid="{E6455BE9-53F0-4C3E-BC70-8509276D365A}"/>
    <cellStyle name="Percent 3 3" xfId="100" xr:uid="{1C9021F4-8D21-4EBE-87E9-5353E97B612C}"/>
    <cellStyle name="Percent 3 3 2" xfId="223" xr:uid="{125013B5-1ABB-4BDA-96C7-B5C967932370}"/>
    <cellStyle name="Percent 3 4" xfId="69" xr:uid="{7EE9EE7F-DC45-438C-9246-C3C8F212A9C0}"/>
    <cellStyle name="Percent 3 4 2" xfId="224" xr:uid="{E91F418B-8DA0-42C4-86CF-9FC387128E45}"/>
    <cellStyle name="Percent 3 5" xfId="225" xr:uid="{64F2C106-4790-4F3E-B317-952934F9C236}"/>
    <cellStyle name="Percent 4" xfId="38" xr:uid="{598A5312-FB28-45EF-8051-DADCDCA71E03}"/>
    <cellStyle name="Titre colonnes" xfId="41" xr:uid="{207D94A0-786C-42B8-8448-DCF889C9169B}"/>
    <cellStyle name="Titre lignes" xfId="33" xr:uid="{833BE0CA-9ACC-4D5D-9321-FE893CF6C0E9}"/>
  </cellStyles>
  <dxfs count="28">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theme="5" tint="0.59996337778862885"/>
      </font>
    </dxf>
  </dxfs>
  <tableStyles count="0" defaultTableStyle="TableStyleMedium2" defaultPivotStyle="PivotStyleLight16"/>
  <colors>
    <mruColors>
      <color rgb="FFFFCCCC"/>
      <color rgb="FFFF99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WTE TWh</a:t>
            </a:r>
            <a:r>
              <a:rPr lang="en-US" baseline="0"/>
              <a:t> Output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PDS2</c:v>
          </c:tx>
          <c:spPr>
            <a:ln w="28575" cap="rnd">
              <a:solidFill>
                <a:schemeClr val="accent1"/>
              </a:solidFill>
              <a:round/>
            </a:ln>
            <a:effectLst/>
          </c:spPr>
          <c:marker>
            <c:symbol val="none"/>
          </c:marker>
          <c:cat>
            <c:numRef>
              <c:f>'WTE Tonnes and Composition'!$A$67:$A$103</c:f>
              <c:numCache>
                <c:formatCode>General</c:formatCode>
                <c:ptCount val="37"/>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pt idx="14">
                  <c:v>2028</c:v>
                </c:pt>
                <c:pt idx="15">
                  <c:v>2029</c:v>
                </c:pt>
                <c:pt idx="16">
                  <c:v>2030</c:v>
                </c:pt>
                <c:pt idx="17">
                  <c:v>2031</c:v>
                </c:pt>
                <c:pt idx="18">
                  <c:v>2032</c:v>
                </c:pt>
                <c:pt idx="19">
                  <c:v>2033</c:v>
                </c:pt>
                <c:pt idx="20">
                  <c:v>2034</c:v>
                </c:pt>
                <c:pt idx="21">
                  <c:v>2035</c:v>
                </c:pt>
                <c:pt idx="22">
                  <c:v>2036</c:v>
                </c:pt>
                <c:pt idx="23">
                  <c:v>2037</c:v>
                </c:pt>
                <c:pt idx="24">
                  <c:v>2038</c:v>
                </c:pt>
                <c:pt idx="25">
                  <c:v>2039</c:v>
                </c:pt>
                <c:pt idx="26">
                  <c:v>2040</c:v>
                </c:pt>
                <c:pt idx="27">
                  <c:v>2041</c:v>
                </c:pt>
                <c:pt idx="28">
                  <c:v>2042</c:v>
                </c:pt>
                <c:pt idx="29">
                  <c:v>2043</c:v>
                </c:pt>
                <c:pt idx="30">
                  <c:v>2044</c:v>
                </c:pt>
                <c:pt idx="31">
                  <c:v>2045</c:v>
                </c:pt>
                <c:pt idx="32">
                  <c:v>2046</c:v>
                </c:pt>
                <c:pt idx="33">
                  <c:v>2047</c:v>
                </c:pt>
                <c:pt idx="34">
                  <c:v>2048</c:v>
                </c:pt>
                <c:pt idx="35">
                  <c:v>2049</c:v>
                </c:pt>
                <c:pt idx="36">
                  <c:v>2050</c:v>
                </c:pt>
              </c:numCache>
            </c:numRef>
          </c:cat>
          <c:val>
            <c:numRef>
              <c:f>'WTE Tonnes and Composition'!$O$67:$O$103</c:f>
              <c:numCache>
                <c:formatCode>0.00</c:formatCode>
                <c:ptCount val="37"/>
                <c:pt idx="0">
                  <c:v>76.323108000000005</c:v>
                </c:pt>
                <c:pt idx="1">
                  <c:v>80.271139379481653</c:v>
                </c:pt>
                <c:pt idx="2">
                  <c:v>83.437779223420307</c:v>
                </c:pt>
                <c:pt idx="3">
                  <c:v>85.221794520996085</c:v>
                </c:pt>
                <c:pt idx="4">
                  <c:v>86.229277120852331</c:v>
                </c:pt>
                <c:pt idx="5">
                  <c:v>130.1163538982359</c:v>
                </c:pt>
                <c:pt idx="6">
                  <c:v>145.59696878701959</c:v>
                </c:pt>
                <c:pt idx="7">
                  <c:v>160.21331393696698</c:v>
                </c:pt>
                <c:pt idx="8">
                  <c:v>175.95981380964645</c:v>
                </c:pt>
                <c:pt idx="9">
                  <c:v>192.20758674080884</c:v>
                </c:pt>
                <c:pt idx="10">
                  <c:v>208.73720271915653</c:v>
                </c:pt>
                <c:pt idx="11">
                  <c:v>224.84784774558278</c:v>
                </c:pt>
                <c:pt idx="12">
                  <c:v>243.21774850673285</c:v>
                </c:pt>
                <c:pt idx="13">
                  <c:v>261.049331019931</c:v>
                </c:pt>
                <c:pt idx="14">
                  <c:v>279.82459083807203</c:v>
                </c:pt>
                <c:pt idx="15">
                  <c:v>298.11505682098505</c:v>
                </c:pt>
                <c:pt idx="16">
                  <c:v>317.20169613966686</c:v>
                </c:pt>
                <c:pt idx="17">
                  <c:v>337.32108482407136</c:v>
                </c:pt>
                <c:pt idx="18">
                  <c:v>357.95132735174451</c:v>
                </c:pt>
                <c:pt idx="19">
                  <c:v>379.52948742065297</c:v>
                </c:pt>
                <c:pt idx="20">
                  <c:v>401.6979374520858</c:v>
                </c:pt>
                <c:pt idx="21">
                  <c:v>399.30869630324696</c:v>
                </c:pt>
                <c:pt idx="22">
                  <c:v>378.98963465301517</c:v>
                </c:pt>
                <c:pt idx="23">
                  <c:v>359.15449600840702</c:v>
                </c:pt>
                <c:pt idx="24">
                  <c:v>338.51623885568102</c:v>
                </c:pt>
                <c:pt idx="25">
                  <c:v>314.8076739070579</c:v>
                </c:pt>
                <c:pt idx="26">
                  <c:v>300.38283277956452</c:v>
                </c:pt>
                <c:pt idx="27">
                  <c:v>286.4588677628451</c:v>
                </c:pt>
                <c:pt idx="28">
                  <c:v>270.48688375807086</c:v>
                </c:pt>
                <c:pt idx="29">
                  <c:v>253.49381887061571</c:v>
                </c:pt>
                <c:pt idx="30">
                  <c:v>235.4775635355135</c:v>
                </c:pt>
                <c:pt idx="31">
                  <c:v>216.45873479746567</c:v>
                </c:pt>
                <c:pt idx="32">
                  <c:v>196.34575827443999</c:v>
                </c:pt>
                <c:pt idx="33">
                  <c:v>175.14339725404238</c:v>
                </c:pt>
                <c:pt idx="34">
                  <c:v>152.86380451033244</c:v>
                </c:pt>
                <c:pt idx="35">
                  <c:v>129.50314312951471</c:v>
                </c:pt>
                <c:pt idx="36">
                  <c:v>104.92354182197434</c:v>
                </c:pt>
              </c:numCache>
            </c:numRef>
          </c:val>
          <c:smooth val="0"/>
          <c:extLst>
            <c:ext xmlns:c16="http://schemas.microsoft.com/office/drawing/2014/chart" uri="{C3380CC4-5D6E-409C-BE32-E72D297353CC}">
              <c16:uniqueId val="{00000000-87BC-5344-8411-DAE8281FBA32}"/>
            </c:ext>
          </c:extLst>
        </c:ser>
        <c:ser>
          <c:idx val="1"/>
          <c:order val="1"/>
          <c:spPr>
            <a:ln w="28575" cap="rnd">
              <a:solidFill>
                <a:schemeClr val="accent2"/>
              </a:solidFill>
              <a:round/>
            </a:ln>
            <a:effectLst/>
          </c:spPr>
          <c:marker>
            <c:symbol val="none"/>
          </c:marker>
          <c:cat>
            <c:numRef>
              <c:f>'WTE Tonnes and Composition'!$A$67:$A$103</c:f>
              <c:numCache>
                <c:formatCode>General</c:formatCode>
                <c:ptCount val="37"/>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pt idx="14">
                  <c:v>2028</c:v>
                </c:pt>
                <c:pt idx="15">
                  <c:v>2029</c:v>
                </c:pt>
                <c:pt idx="16">
                  <c:v>2030</c:v>
                </c:pt>
                <c:pt idx="17">
                  <c:v>2031</c:v>
                </c:pt>
                <c:pt idx="18">
                  <c:v>2032</c:v>
                </c:pt>
                <c:pt idx="19">
                  <c:v>2033</c:v>
                </c:pt>
                <c:pt idx="20">
                  <c:v>2034</c:v>
                </c:pt>
                <c:pt idx="21">
                  <c:v>2035</c:v>
                </c:pt>
                <c:pt idx="22">
                  <c:v>2036</c:v>
                </c:pt>
                <c:pt idx="23">
                  <c:v>2037</c:v>
                </c:pt>
                <c:pt idx="24">
                  <c:v>2038</c:v>
                </c:pt>
                <c:pt idx="25">
                  <c:v>2039</c:v>
                </c:pt>
                <c:pt idx="26">
                  <c:v>2040</c:v>
                </c:pt>
                <c:pt idx="27">
                  <c:v>2041</c:v>
                </c:pt>
                <c:pt idx="28">
                  <c:v>2042</c:v>
                </c:pt>
                <c:pt idx="29">
                  <c:v>2043</c:v>
                </c:pt>
                <c:pt idx="30">
                  <c:v>2044</c:v>
                </c:pt>
                <c:pt idx="31">
                  <c:v>2045</c:v>
                </c:pt>
                <c:pt idx="32">
                  <c:v>2046</c:v>
                </c:pt>
                <c:pt idx="33">
                  <c:v>2047</c:v>
                </c:pt>
                <c:pt idx="34">
                  <c:v>2048</c:v>
                </c:pt>
                <c:pt idx="35">
                  <c:v>2049</c:v>
                </c:pt>
                <c:pt idx="36">
                  <c:v>2050</c:v>
                </c:pt>
              </c:numCache>
            </c:numRef>
          </c:cat>
          <c:val>
            <c:numRef>
              <c:f>'WTE Tonnes and Composition'!$V$67:$V$103</c:f>
              <c:numCache>
                <c:formatCode>0.00</c:formatCode>
                <c:ptCount val="37"/>
                <c:pt idx="0">
                  <c:v>76.323108000000005</c:v>
                </c:pt>
                <c:pt idx="1">
                  <c:v>80.335080494170171</c:v>
                </c:pt>
                <c:pt idx="2">
                  <c:v>83.466650346129754</c:v>
                </c:pt>
                <c:pt idx="3">
                  <c:v>85.247302300478623</c:v>
                </c:pt>
                <c:pt idx="4">
                  <c:v>86.252348650452873</c:v>
                </c:pt>
                <c:pt idx="5">
                  <c:v>131.53695343821437</c:v>
                </c:pt>
                <c:pt idx="6">
                  <c:v>148.43143605503346</c:v>
                </c:pt>
                <c:pt idx="7">
                  <c:v>164.98401716621134</c:v>
                </c:pt>
                <c:pt idx="8">
                  <c:v>183.40806169463895</c:v>
                </c:pt>
                <c:pt idx="9">
                  <c:v>203.32153126290891</c:v>
                </c:pt>
                <c:pt idx="10">
                  <c:v>225.20239623539939</c:v>
                </c:pt>
                <c:pt idx="11">
                  <c:v>248.58232340051248</c:v>
                </c:pt>
                <c:pt idx="12">
                  <c:v>276.88886641160354</c:v>
                </c:pt>
                <c:pt idx="13">
                  <c:v>307.68385996448245</c:v>
                </c:pt>
                <c:pt idx="14">
                  <c:v>342.16106824460803</c:v>
                </c:pt>
                <c:pt idx="15">
                  <c:v>372.92057190687314</c:v>
                </c:pt>
                <c:pt idx="16">
                  <c:v>387.1049898910918</c:v>
                </c:pt>
                <c:pt idx="17">
                  <c:v>397.46321728603868</c:v>
                </c:pt>
                <c:pt idx="18">
                  <c:v>390.20232271675826</c:v>
                </c:pt>
                <c:pt idx="19">
                  <c:v>381.42951880879912</c:v>
                </c:pt>
                <c:pt idx="20">
                  <c:v>371.02955894876277</c:v>
                </c:pt>
                <c:pt idx="21">
                  <c:v>358.9081586214146</c:v>
                </c:pt>
                <c:pt idx="22">
                  <c:v>344.84728474333753</c:v>
                </c:pt>
                <c:pt idx="23">
                  <c:v>328.80315073117202</c:v>
                </c:pt>
                <c:pt idx="24">
                  <c:v>310.61100238144354</c:v>
                </c:pt>
                <c:pt idx="25">
                  <c:v>290.1288940801229</c:v>
                </c:pt>
                <c:pt idx="26">
                  <c:v>266.49325872509718</c:v>
                </c:pt>
                <c:pt idx="27">
                  <c:v>241.69619278750528</c:v>
                </c:pt>
                <c:pt idx="28">
                  <c:v>213.22553710973645</c:v>
                </c:pt>
                <c:pt idx="29">
                  <c:v>181.89085726213784</c:v>
                </c:pt>
                <c:pt idx="30">
                  <c:v>147.54238498046163</c:v>
                </c:pt>
                <c:pt idx="31">
                  <c:v>110.04909245932629</c:v>
                </c:pt>
                <c:pt idx="32">
                  <c:v>91.573869357201886</c:v>
                </c:pt>
                <c:pt idx="33">
                  <c:v>90.146697198857453</c:v>
                </c:pt>
                <c:pt idx="34">
                  <c:v>89.3005912350025</c:v>
                </c:pt>
                <c:pt idx="35">
                  <c:v>88.255666080740525</c:v>
                </c:pt>
                <c:pt idx="36">
                  <c:v>86.931262340745945</c:v>
                </c:pt>
              </c:numCache>
            </c:numRef>
          </c:val>
          <c:smooth val="0"/>
          <c:extLst>
            <c:ext xmlns:c16="http://schemas.microsoft.com/office/drawing/2014/chart" uri="{C3380CC4-5D6E-409C-BE32-E72D297353CC}">
              <c16:uniqueId val="{00000001-87BC-5344-8411-DAE8281FBA32}"/>
            </c:ext>
          </c:extLst>
        </c:ser>
        <c:ser>
          <c:idx val="2"/>
          <c:order val="2"/>
          <c:tx>
            <c:v>PDS1</c:v>
          </c:tx>
          <c:spPr>
            <a:ln w="28575" cap="rnd">
              <a:solidFill>
                <a:schemeClr val="accent3"/>
              </a:solidFill>
              <a:round/>
            </a:ln>
            <a:effectLst/>
          </c:spPr>
          <c:marker>
            <c:symbol val="none"/>
          </c:marker>
          <c:cat>
            <c:numRef>
              <c:f>'WTE Tonnes and Composition'!$A$67:$A$103</c:f>
              <c:numCache>
                <c:formatCode>General</c:formatCode>
                <c:ptCount val="37"/>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pt idx="14">
                  <c:v>2028</c:v>
                </c:pt>
                <c:pt idx="15">
                  <c:v>2029</c:v>
                </c:pt>
                <c:pt idx="16">
                  <c:v>2030</c:v>
                </c:pt>
                <c:pt idx="17">
                  <c:v>2031</c:v>
                </c:pt>
                <c:pt idx="18">
                  <c:v>2032</c:v>
                </c:pt>
                <c:pt idx="19">
                  <c:v>2033</c:v>
                </c:pt>
                <c:pt idx="20">
                  <c:v>2034</c:v>
                </c:pt>
                <c:pt idx="21">
                  <c:v>2035</c:v>
                </c:pt>
                <c:pt idx="22">
                  <c:v>2036</c:v>
                </c:pt>
                <c:pt idx="23">
                  <c:v>2037</c:v>
                </c:pt>
                <c:pt idx="24">
                  <c:v>2038</c:v>
                </c:pt>
                <c:pt idx="25">
                  <c:v>2039</c:v>
                </c:pt>
                <c:pt idx="26">
                  <c:v>2040</c:v>
                </c:pt>
                <c:pt idx="27">
                  <c:v>2041</c:v>
                </c:pt>
                <c:pt idx="28">
                  <c:v>2042</c:v>
                </c:pt>
                <c:pt idx="29">
                  <c:v>2043</c:v>
                </c:pt>
                <c:pt idx="30">
                  <c:v>2044</c:v>
                </c:pt>
                <c:pt idx="31">
                  <c:v>2045</c:v>
                </c:pt>
                <c:pt idx="32">
                  <c:v>2046</c:v>
                </c:pt>
                <c:pt idx="33">
                  <c:v>2047</c:v>
                </c:pt>
                <c:pt idx="34">
                  <c:v>2048</c:v>
                </c:pt>
                <c:pt idx="35">
                  <c:v>2049</c:v>
                </c:pt>
                <c:pt idx="36">
                  <c:v>2050</c:v>
                </c:pt>
              </c:numCache>
            </c:numRef>
          </c:cat>
          <c:val>
            <c:numRef>
              <c:f>'WTE Tonnes and Composition'!$I$67:$I$103</c:f>
              <c:numCache>
                <c:formatCode>0.00</c:formatCode>
                <c:ptCount val="37"/>
                <c:pt idx="0">
                  <c:v>76.323108000000005</c:v>
                </c:pt>
                <c:pt idx="1">
                  <c:v>80.232839999999996</c:v>
                </c:pt>
                <c:pt idx="2">
                  <c:v>83.422407999999976</c:v>
                </c:pt>
                <c:pt idx="3">
                  <c:v>85.207939999999994</c:v>
                </c:pt>
                <c:pt idx="4">
                  <c:v>86.215309599999983</c:v>
                </c:pt>
                <c:pt idx="5">
                  <c:v>129.37856472251593</c:v>
                </c:pt>
                <c:pt idx="6">
                  <c:v>144.0416802970156</c:v>
                </c:pt>
                <c:pt idx="7">
                  <c:v>157.62642664569816</c:v>
                </c:pt>
                <c:pt idx="8">
                  <c:v>172.06861478672792</c:v>
                </c:pt>
                <c:pt idx="9">
                  <c:v>186.69853638922703</c:v>
                </c:pt>
                <c:pt idx="10">
                  <c:v>201.47341938957669</c:v>
                </c:pt>
                <c:pt idx="11">
                  <c:v>215.43680029047999</c:v>
                </c:pt>
                <c:pt idx="12">
                  <c:v>231.29191898601778</c:v>
                </c:pt>
                <c:pt idx="13">
                  <c:v>246.25991135655431</c:v>
                </c:pt>
                <c:pt idx="14">
                  <c:v>261.21698930026662</c:v>
                </c:pt>
                <c:pt idx="15">
                  <c:v>276.12587090018138</c:v>
                </c:pt>
                <c:pt idx="16">
                  <c:v>290.78015707271987</c:v>
                </c:pt>
                <c:pt idx="17">
                  <c:v>305.65066042381898</c:v>
                </c:pt>
                <c:pt idx="18">
                  <c:v>320.19366961767741</c:v>
                </c:pt>
                <c:pt idx="19">
                  <c:v>334.54563085505566</c:v>
                </c:pt>
                <c:pt idx="20">
                  <c:v>348.67551759312306</c:v>
                </c:pt>
                <c:pt idx="21">
                  <c:v>362.55173611836597</c:v>
                </c:pt>
                <c:pt idx="22">
                  <c:v>376.14144168527906</c:v>
                </c:pt>
                <c:pt idx="23">
                  <c:v>389.40936442882105</c:v>
                </c:pt>
                <c:pt idx="24">
                  <c:v>402.31863012704804</c:v>
                </c:pt>
                <c:pt idx="25">
                  <c:v>414.83068593390345</c:v>
                </c:pt>
                <c:pt idx="26">
                  <c:v>427.6361813945071</c:v>
                </c:pt>
                <c:pt idx="27">
                  <c:v>438.51451242894115</c:v>
                </c:pt>
                <c:pt idx="28">
                  <c:v>449.61728247462941</c:v>
                </c:pt>
                <c:pt idx="29">
                  <c:v>460.18112979764055</c:v>
                </c:pt>
                <c:pt idx="30">
                  <c:v>446.7458437771802</c:v>
                </c:pt>
                <c:pt idx="31">
                  <c:v>430.23250514045816</c:v>
                </c:pt>
                <c:pt idx="32">
                  <c:v>413.21137450035491</c:v>
                </c:pt>
                <c:pt idx="33">
                  <c:v>395.70628329978683</c:v>
                </c:pt>
                <c:pt idx="34">
                  <c:v>377.75365761955339</c:v>
                </c:pt>
                <c:pt idx="35">
                  <c:v>359.363280150457</c:v>
                </c:pt>
                <c:pt idx="36">
                  <c:v>340.32236487313185</c:v>
                </c:pt>
              </c:numCache>
            </c:numRef>
          </c:val>
          <c:smooth val="0"/>
          <c:extLst>
            <c:ext xmlns:c16="http://schemas.microsoft.com/office/drawing/2014/chart" uri="{C3380CC4-5D6E-409C-BE32-E72D297353CC}">
              <c16:uniqueId val="{00000002-87BC-5344-8411-DAE8281FBA32}"/>
            </c:ext>
          </c:extLst>
        </c:ser>
        <c:dLbls>
          <c:showLegendKey val="0"/>
          <c:showVal val="0"/>
          <c:showCatName val="0"/>
          <c:showSerName val="0"/>
          <c:showPercent val="0"/>
          <c:showBubbleSize val="0"/>
        </c:dLbls>
        <c:smooth val="0"/>
        <c:axId val="1781789567"/>
        <c:axId val="1414138575"/>
      </c:lineChart>
      <c:catAx>
        <c:axId val="178178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138575"/>
        <c:crosses val="autoZero"/>
        <c:auto val="1"/>
        <c:lblAlgn val="ctr"/>
        <c:lblOffset val="100"/>
        <c:noMultiLvlLbl val="0"/>
      </c:catAx>
      <c:valAx>
        <c:axId val="141413857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78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Ambitous Cases- TWh Output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PDS1</c:v>
          </c:tx>
          <c:spPr>
            <a:ln w="28575" cap="rnd">
              <a:solidFill>
                <a:schemeClr val="accent1"/>
              </a:solidFill>
              <a:round/>
            </a:ln>
            <a:effectLst/>
          </c:spPr>
          <c:marker>
            <c:symbol val="none"/>
          </c:marker>
          <c:val>
            <c:numRef>
              <c:f>'Landfill Methane'!$J$8:$J$44</c:f>
              <c:numCache>
                <c:formatCode>0.00</c:formatCode>
                <c:ptCount val="37"/>
                <c:pt idx="0">
                  <c:v>23.802159959999997</c:v>
                </c:pt>
                <c:pt idx="1">
                  <c:v>25.0214508</c:v>
                </c:pt>
                <c:pt idx="2">
                  <c:v>26.016150959999997</c:v>
                </c:pt>
                <c:pt idx="3">
                  <c:v>26.572987800000003</c:v>
                </c:pt>
                <c:pt idx="4">
                  <c:v>26.887146552000008</c:v>
                </c:pt>
                <c:pt idx="5">
                  <c:v>38.983440300426977</c:v>
                </c:pt>
                <c:pt idx="6">
                  <c:v>42.798705434678645</c:v>
                </c:pt>
                <c:pt idx="7">
                  <c:v>46.736252265010435</c:v>
                </c:pt>
                <c:pt idx="8">
                  <c:v>50.806377378688339</c:v>
                </c:pt>
                <c:pt idx="9">
                  <c:v>54.993820099953695</c:v>
                </c:pt>
                <c:pt idx="10">
                  <c:v>59.282446062561277</c:v>
                </c:pt>
                <c:pt idx="11">
                  <c:v>63.656241688118101</c:v>
                </c:pt>
                <c:pt idx="12">
                  <c:v>68.100112894931939</c:v>
                </c:pt>
                <c:pt idx="13">
                  <c:v>72.599686544155418</c:v>
                </c:pt>
                <c:pt idx="14">
                  <c:v>77.140250356915004</c:v>
                </c:pt>
                <c:pt idx="15">
                  <c:v>81.707294426274828</c:v>
                </c:pt>
                <c:pt idx="16">
                  <c:v>86.286367400519538</c:v>
                </c:pt>
                <c:pt idx="17">
                  <c:v>90.862998276895667</c:v>
                </c:pt>
                <c:pt idx="18">
                  <c:v>95.423100541453977</c:v>
                </c:pt>
                <c:pt idx="19">
                  <c:v>94.696250653577181</c:v>
                </c:pt>
                <c:pt idx="20">
                  <c:v>84.281703360354783</c:v>
                </c:pt>
                <c:pt idx="21">
                  <c:v>74.421817381751339</c:v>
                </c:pt>
                <c:pt idx="22">
                  <c:v>64.29640922441763</c:v>
                </c:pt>
                <c:pt idx="23">
                  <c:v>54.246488485382926</c:v>
                </c:pt>
                <c:pt idx="24">
                  <c:v>44.508006007394641</c:v>
                </c:pt>
                <c:pt idx="25">
                  <c:v>35.55399534105166</c:v>
                </c:pt>
                <c:pt idx="26">
                  <c:v>26.053832100882342</c:v>
                </c:pt>
                <c:pt idx="27">
                  <c:v>18.007236718506022</c:v>
                </c:pt>
                <c:pt idx="28">
                  <c:v>9.3326949870325642</c:v>
                </c:pt>
                <c:pt idx="29">
                  <c:v>0.86106544127762796</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2FF5-1A4C-BE33-0FEF3D5F7DA5}"/>
            </c:ext>
          </c:extLst>
        </c:ser>
        <c:ser>
          <c:idx val="1"/>
          <c:order val="1"/>
          <c:tx>
            <c:v>PDS2</c:v>
          </c:tx>
          <c:spPr>
            <a:ln w="28575" cap="rnd">
              <a:solidFill>
                <a:schemeClr val="accent2"/>
              </a:solidFill>
              <a:round/>
            </a:ln>
            <a:effectLst/>
          </c:spPr>
          <c:marker>
            <c:symbol val="none"/>
          </c:marker>
          <c:val>
            <c:numRef>
              <c:f>'Landfill Methane'!$J$58:$J$94</c:f>
              <c:numCache>
                <c:formatCode>0.00</c:formatCode>
                <c:ptCount val="37"/>
                <c:pt idx="0">
                  <c:v>23.802159959999997</c:v>
                </c:pt>
                <c:pt idx="1">
                  <c:v>25.0214508</c:v>
                </c:pt>
                <c:pt idx="2">
                  <c:v>26.016150959999997</c:v>
                </c:pt>
                <c:pt idx="3">
                  <c:v>26.572987800000003</c:v>
                </c:pt>
                <c:pt idx="4">
                  <c:v>26.887146552000008</c:v>
                </c:pt>
                <c:pt idx="5">
                  <c:v>38.983440300426977</c:v>
                </c:pt>
                <c:pt idx="6">
                  <c:v>42.798705434678645</c:v>
                </c:pt>
                <c:pt idx="7">
                  <c:v>46.736252265010435</c:v>
                </c:pt>
                <c:pt idx="8">
                  <c:v>50.806377378688339</c:v>
                </c:pt>
                <c:pt idx="9">
                  <c:v>54.993820099953695</c:v>
                </c:pt>
                <c:pt idx="10">
                  <c:v>59.282446062561277</c:v>
                </c:pt>
                <c:pt idx="11">
                  <c:v>63.656241688118101</c:v>
                </c:pt>
                <c:pt idx="12">
                  <c:v>68.100112894931939</c:v>
                </c:pt>
                <c:pt idx="13">
                  <c:v>72.599686544155418</c:v>
                </c:pt>
                <c:pt idx="14">
                  <c:v>77.140250356915004</c:v>
                </c:pt>
                <c:pt idx="15">
                  <c:v>79.587608277057555</c:v>
                </c:pt>
                <c:pt idx="16">
                  <c:v>65.119478625174821</c:v>
                </c:pt>
                <c:pt idx="17">
                  <c:v>49.908168329842702</c:v>
                </c:pt>
                <c:pt idx="18">
                  <c:v>34.967652313585589</c:v>
                </c:pt>
                <c:pt idx="19">
                  <c:v>19.970710360039988</c:v>
                </c:pt>
                <c:pt idx="20">
                  <c:v>5.7017403551625945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2FF5-1A4C-BE33-0FEF3D5F7DA5}"/>
            </c:ext>
          </c:extLst>
        </c:ser>
        <c:ser>
          <c:idx val="2"/>
          <c:order val="2"/>
          <c:tx>
            <c:v>PDS3</c:v>
          </c:tx>
          <c:spPr>
            <a:ln w="28575" cap="rnd">
              <a:solidFill>
                <a:schemeClr val="accent3"/>
              </a:solidFill>
              <a:round/>
            </a:ln>
            <a:effectLst/>
          </c:spPr>
          <c:marker>
            <c:symbol val="none"/>
          </c:marker>
          <c:val>
            <c:numRef>
              <c:f>'Landfill Methane'!$J$108:$J$144</c:f>
              <c:numCache>
                <c:formatCode>0.00</c:formatCode>
                <c:ptCount val="37"/>
                <c:pt idx="0">
                  <c:v>23.802159959999997</c:v>
                </c:pt>
                <c:pt idx="1">
                  <c:v>25.0214508</c:v>
                </c:pt>
                <c:pt idx="2">
                  <c:v>26.016150959999997</c:v>
                </c:pt>
                <c:pt idx="3">
                  <c:v>26.572987800000003</c:v>
                </c:pt>
                <c:pt idx="4">
                  <c:v>26.887146552000008</c:v>
                </c:pt>
                <c:pt idx="5">
                  <c:v>38.983440300426977</c:v>
                </c:pt>
                <c:pt idx="6">
                  <c:v>42.798705434678645</c:v>
                </c:pt>
                <c:pt idx="7">
                  <c:v>46.736252265010435</c:v>
                </c:pt>
                <c:pt idx="8">
                  <c:v>50.806377378688339</c:v>
                </c:pt>
                <c:pt idx="9">
                  <c:v>54.993820099953695</c:v>
                </c:pt>
                <c:pt idx="10">
                  <c:v>59.282446062561277</c:v>
                </c:pt>
                <c:pt idx="11">
                  <c:v>63.656241688118101</c:v>
                </c:pt>
                <c:pt idx="12">
                  <c:v>61.366106233369443</c:v>
                </c:pt>
                <c:pt idx="13">
                  <c:v>40.927035526691306</c:v>
                </c:pt>
                <c:pt idx="14">
                  <c:v>22.205157647442583</c:v>
                </c:pt>
                <c:pt idx="15">
                  <c:v>8.557968155218008</c:v>
                </c:pt>
                <c:pt idx="16">
                  <c:v>4.4591084581720555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2-2FF5-1A4C-BE33-0FEF3D5F7DA5}"/>
            </c:ext>
          </c:extLst>
        </c:ser>
        <c:dLbls>
          <c:showLegendKey val="0"/>
          <c:showVal val="0"/>
          <c:showCatName val="0"/>
          <c:showSerName val="0"/>
          <c:showPercent val="0"/>
          <c:showBubbleSize val="0"/>
        </c:dLbls>
        <c:smooth val="0"/>
        <c:axId val="1416674367"/>
        <c:axId val="1789465855"/>
      </c:lineChart>
      <c:catAx>
        <c:axId val="14166743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9465855"/>
        <c:crosses val="autoZero"/>
        <c:auto val="1"/>
        <c:lblAlgn val="ctr"/>
        <c:lblOffset val="100"/>
        <c:noMultiLvlLbl val="0"/>
      </c:catAx>
      <c:valAx>
        <c:axId val="178946585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4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Conservative Cases- TWh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PDS1</c:v>
          </c:tx>
          <c:spPr>
            <a:ln w="28575" cap="rnd">
              <a:solidFill>
                <a:schemeClr val="accent1"/>
              </a:solidFill>
              <a:round/>
            </a:ln>
            <a:effectLst/>
          </c:spPr>
          <c:marker>
            <c:symbol val="none"/>
          </c:marker>
          <c:val>
            <c:numRef>
              <c:f>'Landfill Methane'!$F$8:$F$44</c:f>
              <c:numCache>
                <c:formatCode>0.00</c:formatCode>
                <c:ptCount val="37"/>
                <c:pt idx="0">
                  <c:v>23.802159959999997</c:v>
                </c:pt>
                <c:pt idx="1">
                  <c:v>25.0214508</c:v>
                </c:pt>
                <c:pt idx="2">
                  <c:v>26.016150960000001</c:v>
                </c:pt>
                <c:pt idx="3">
                  <c:v>26.572987800000003</c:v>
                </c:pt>
                <c:pt idx="4">
                  <c:v>26.887146552000008</c:v>
                </c:pt>
                <c:pt idx="5">
                  <c:v>35.379666328291968</c:v>
                </c:pt>
                <c:pt idx="6">
                  <c:v>37.779549996075865</c:v>
                </c:pt>
                <c:pt idx="7">
                  <c:v>40.134486518956166</c:v>
                </c:pt>
                <c:pt idx="8">
                  <c:v>42.467287212187713</c:v>
                </c:pt>
                <c:pt idx="9">
                  <c:v>44.777644097613653</c:v>
                </c:pt>
                <c:pt idx="10">
                  <c:v>47.064543134140642</c:v>
                </c:pt>
                <c:pt idx="11">
                  <c:v>49.327123690130321</c:v>
                </c:pt>
                <c:pt idx="12">
                  <c:v>51.565269208172893</c:v>
                </c:pt>
                <c:pt idx="13">
                  <c:v>53.779365719005682</c:v>
                </c:pt>
                <c:pt idx="14">
                  <c:v>55.969462539469063</c:v>
                </c:pt>
                <c:pt idx="15">
                  <c:v>58.135696878401376</c:v>
                </c:pt>
                <c:pt idx="16">
                  <c:v>60.27818525089446</c:v>
                </c:pt>
                <c:pt idx="17">
                  <c:v>62.396968005469226</c:v>
                </c:pt>
                <c:pt idx="18">
                  <c:v>64.492293701644826</c:v>
                </c:pt>
                <c:pt idx="19">
                  <c:v>66.56496996371942</c:v>
                </c:pt>
                <c:pt idx="20">
                  <c:v>68.616088975991673</c:v>
                </c:pt>
                <c:pt idx="21">
                  <c:v>70.646529676721855</c:v>
                </c:pt>
                <c:pt idx="22">
                  <c:v>64.29640922441763</c:v>
                </c:pt>
                <c:pt idx="23">
                  <c:v>54.246488485382926</c:v>
                </c:pt>
                <c:pt idx="24">
                  <c:v>44.508006007394641</c:v>
                </c:pt>
                <c:pt idx="25">
                  <c:v>35.55399534105166</c:v>
                </c:pt>
                <c:pt idx="26">
                  <c:v>26.053832100882342</c:v>
                </c:pt>
                <c:pt idx="27">
                  <c:v>18.007236718506022</c:v>
                </c:pt>
                <c:pt idx="28">
                  <c:v>9.3326949870325642</c:v>
                </c:pt>
                <c:pt idx="29">
                  <c:v>0.86106544127762796</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B387-EA46-B48B-096AF89F2226}"/>
            </c:ext>
          </c:extLst>
        </c:ser>
        <c:ser>
          <c:idx val="1"/>
          <c:order val="1"/>
          <c:tx>
            <c:v>PDS2</c:v>
          </c:tx>
          <c:spPr>
            <a:ln w="28575" cap="rnd">
              <a:solidFill>
                <a:schemeClr val="accent2"/>
              </a:solidFill>
              <a:round/>
            </a:ln>
            <a:effectLst/>
          </c:spPr>
          <c:marker>
            <c:symbol val="none"/>
          </c:marker>
          <c:val>
            <c:numRef>
              <c:f>'Landfill Methane'!$F$58:$F$94</c:f>
              <c:numCache>
                <c:formatCode>0.00</c:formatCode>
                <c:ptCount val="37"/>
                <c:pt idx="0">
                  <c:v>23.802159959999997</c:v>
                </c:pt>
                <c:pt idx="1">
                  <c:v>25.0214508</c:v>
                </c:pt>
                <c:pt idx="2">
                  <c:v>26.016150960000001</c:v>
                </c:pt>
                <c:pt idx="3">
                  <c:v>26.572987800000003</c:v>
                </c:pt>
                <c:pt idx="4">
                  <c:v>26.887146552000008</c:v>
                </c:pt>
                <c:pt idx="5">
                  <c:v>35.379666328291968</c:v>
                </c:pt>
                <c:pt idx="6">
                  <c:v>37.779549996075865</c:v>
                </c:pt>
                <c:pt idx="7">
                  <c:v>40.134486518956166</c:v>
                </c:pt>
                <c:pt idx="8">
                  <c:v>42.467287212187713</c:v>
                </c:pt>
                <c:pt idx="9">
                  <c:v>44.777644097613653</c:v>
                </c:pt>
                <c:pt idx="10">
                  <c:v>47.064543134140642</c:v>
                </c:pt>
                <c:pt idx="11">
                  <c:v>49.327123690130321</c:v>
                </c:pt>
                <c:pt idx="12">
                  <c:v>51.565269208172893</c:v>
                </c:pt>
                <c:pt idx="13">
                  <c:v>53.779365719005682</c:v>
                </c:pt>
                <c:pt idx="14">
                  <c:v>55.969462539469063</c:v>
                </c:pt>
                <c:pt idx="15">
                  <c:v>58.135696878401376</c:v>
                </c:pt>
                <c:pt idx="16">
                  <c:v>60.27818525089446</c:v>
                </c:pt>
                <c:pt idx="17">
                  <c:v>49.908168329842702</c:v>
                </c:pt>
                <c:pt idx="18">
                  <c:v>34.967652313585589</c:v>
                </c:pt>
                <c:pt idx="19">
                  <c:v>19.970710360039988</c:v>
                </c:pt>
                <c:pt idx="20">
                  <c:v>5.7017403551625945</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387-EA46-B48B-096AF89F2226}"/>
            </c:ext>
          </c:extLst>
        </c:ser>
        <c:ser>
          <c:idx val="2"/>
          <c:order val="2"/>
          <c:tx>
            <c:v>PDS3</c:v>
          </c:tx>
          <c:spPr>
            <a:ln w="28575" cap="rnd">
              <a:solidFill>
                <a:schemeClr val="accent3"/>
              </a:solidFill>
              <a:round/>
            </a:ln>
            <a:effectLst/>
          </c:spPr>
          <c:marker>
            <c:symbol val="none"/>
          </c:marker>
          <c:val>
            <c:numRef>
              <c:f>'Landfill Methane'!$F$108:$F$144</c:f>
              <c:numCache>
                <c:formatCode>0.00</c:formatCode>
                <c:ptCount val="37"/>
                <c:pt idx="0">
                  <c:v>23.802159959999997</c:v>
                </c:pt>
                <c:pt idx="1">
                  <c:v>25.0214508</c:v>
                </c:pt>
                <c:pt idx="2">
                  <c:v>26.016150960000001</c:v>
                </c:pt>
                <c:pt idx="3">
                  <c:v>26.572987800000003</c:v>
                </c:pt>
                <c:pt idx="4">
                  <c:v>26.887146552000008</c:v>
                </c:pt>
                <c:pt idx="5">
                  <c:v>35.379666328291968</c:v>
                </c:pt>
                <c:pt idx="6">
                  <c:v>37.779549996075865</c:v>
                </c:pt>
                <c:pt idx="7">
                  <c:v>40.134486518956166</c:v>
                </c:pt>
                <c:pt idx="8">
                  <c:v>42.467287212187713</c:v>
                </c:pt>
                <c:pt idx="9">
                  <c:v>44.777644097613653</c:v>
                </c:pt>
                <c:pt idx="10">
                  <c:v>47.064543134140642</c:v>
                </c:pt>
                <c:pt idx="11">
                  <c:v>49.327123690130321</c:v>
                </c:pt>
                <c:pt idx="12">
                  <c:v>51.565269208172893</c:v>
                </c:pt>
                <c:pt idx="13">
                  <c:v>40.927035526691306</c:v>
                </c:pt>
                <c:pt idx="14">
                  <c:v>22.205157647442583</c:v>
                </c:pt>
                <c:pt idx="15">
                  <c:v>8.557968155218008</c:v>
                </c:pt>
                <c:pt idx="16">
                  <c:v>4.4591084581720555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2-B387-EA46-B48B-096AF89F2226}"/>
            </c:ext>
          </c:extLst>
        </c:ser>
        <c:dLbls>
          <c:showLegendKey val="0"/>
          <c:showVal val="0"/>
          <c:showCatName val="0"/>
          <c:showSerName val="0"/>
          <c:showPercent val="0"/>
          <c:showBubbleSize val="0"/>
        </c:dLbls>
        <c:smooth val="0"/>
        <c:axId val="1416674367"/>
        <c:axId val="1789465855"/>
      </c:lineChart>
      <c:catAx>
        <c:axId val="14166743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9465855"/>
        <c:crosses val="autoZero"/>
        <c:auto val="1"/>
        <c:lblAlgn val="ctr"/>
        <c:lblOffset val="100"/>
        <c:noMultiLvlLbl val="0"/>
      </c:catAx>
      <c:valAx>
        <c:axId val="178946585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4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'UNEP Global Waste Management'!$N$20:$N$64</c:f>
              <c:numCache>
                <c:formatCode>General</c:formatCode>
                <c:ptCount val="45"/>
                <c:pt idx="0">
                  <c:v>2010</c:v>
                </c:pt>
                <c:pt idx="1">
                  <c:v>2021.6666666666667</c:v>
                </c:pt>
                <c:pt idx="2">
                  <c:v>2033.3333333333335</c:v>
                </c:pt>
                <c:pt idx="3">
                  <c:v>2045</c:v>
                </c:pt>
                <c:pt idx="4">
                  <c:v>2056.666666666667</c:v>
                </c:pt>
                <c:pt idx="5">
                  <c:v>2068.3333333333335</c:v>
                </c:pt>
                <c:pt idx="6">
                  <c:v>2080</c:v>
                </c:pt>
                <c:pt idx="7">
                  <c:v>2091.666666666667</c:v>
                </c:pt>
                <c:pt idx="8">
                  <c:v>2103.3333333333335</c:v>
                </c:pt>
                <c:pt idx="9">
                  <c:v>2115</c:v>
                </c:pt>
                <c:pt idx="10">
                  <c:v>2163.9399999999996</c:v>
                </c:pt>
                <c:pt idx="11">
                  <c:v>2212.8799999999997</c:v>
                </c:pt>
                <c:pt idx="12">
                  <c:v>2261.8199999999997</c:v>
                </c:pt>
                <c:pt idx="13">
                  <c:v>2310.7599999999998</c:v>
                </c:pt>
                <c:pt idx="14">
                  <c:v>2359.6999999999998</c:v>
                </c:pt>
                <c:pt idx="15">
                  <c:v>2408.62</c:v>
                </c:pt>
                <c:pt idx="16">
                  <c:v>2457.54</c:v>
                </c:pt>
                <c:pt idx="17">
                  <c:v>2506.46</c:v>
                </c:pt>
                <c:pt idx="18">
                  <c:v>2555.38</c:v>
                </c:pt>
                <c:pt idx="19">
                  <c:v>2604.3000000000002</c:v>
                </c:pt>
                <c:pt idx="20">
                  <c:v>2653.08</c:v>
                </c:pt>
                <c:pt idx="21">
                  <c:v>2701.86</c:v>
                </c:pt>
                <c:pt idx="22">
                  <c:v>2750.6400000000003</c:v>
                </c:pt>
                <c:pt idx="23">
                  <c:v>2799.42</c:v>
                </c:pt>
                <c:pt idx="24">
                  <c:v>2848.2</c:v>
                </c:pt>
                <c:pt idx="25">
                  <c:v>2896.6</c:v>
                </c:pt>
                <c:pt idx="26">
                  <c:v>2945</c:v>
                </c:pt>
                <c:pt idx="27">
                  <c:v>2993.3999999999996</c:v>
                </c:pt>
                <c:pt idx="28">
                  <c:v>3041.8</c:v>
                </c:pt>
                <c:pt idx="29">
                  <c:v>3090.2</c:v>
                </c:pt>
                <c:pt idx="30">
                  <c:v>3138.16</c:v>
                </c:pt>
                <c:pt idx="31">
                  <c:v>3186.12</c:v>
                </c:pt>
                <c:pt idx="32">
                  <c:v>3234.08</c:v>
                </c:pt>
                <c:pt idx="33">
                  <c:v>3282.04</c:v>
                </c:pt>
                <c:pt idx="34">
                  <c:v>3330</c:v>
                </c:pt>
                <c:pt idx="35">
                  <c:v>3377.96</c:v>
                </c:pt>
                <c:pt idx="36">
                  <c:v>3425.92</c:v>
                </c:pt>
                <c:pt idx="37">
                  <c:v>3473.88</c:v>
                </c:pt>
                <c:pt idx="38">
                  <c:v>3521.84</c:v>
                </c:pt>
                <c:pt idx="39">
                  <c:v>3569.8</c:v>
                </c:pt>
                <c:pt idx="40">
                  <c:v>3617.76</c:v>
                </c:pt>
                <c:pt idx="41">
                  <c:v>3665.7200000000003</c:v>
                </c:pt>
                <c:pt idx="42">
                  <c:v>3713.6800000000003</c:v>
                </c:pt>
                <c:pt idx="43">
                  <c:v>3761.6400000000003</c:v>
                </c:pt>
                <c:pt idx="44">
                  <c:v>3809.6000000000004</c:v>
                </c:pt>
              </c:numCache>
            </c:numRef>
          </c:val>
          <c:smooth val="0"/>
          <c:extLst>
            <c:ext xmlns:c16="http://schemas.microsoft.com/office/drawing/2014/chart" uri="{C3380CC4-5D6E-409C-BE32-E72D297353CC}">
              <c16:uniqueId val="{00000000-23F1-D94E-AAC3-B7FB71498D5E}"/>
            </c:ext>
          </c:extLst>
        </c:ser>
        <c:dLbls>
          <c:showLegendKey val="0"/>
          <c:showVal val="0"/>
          <c:showCatName val="0"/>
          <c:showSerName val="0"/>
          <c:showPercent val="0"/>
          <c:showBubbleSize val="0"/>
        </c:dLbls>
        <c:smooth val="0"/>
        <c:axId val="521465311"/>
        <c:axId val="501893391"/>
      </c:lineChart>
      <c:catAx>
        <c:axId val="52146531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893391"/>
        <c:crosses val="autoZero"/>
        <c:auto val="1"/>
        <c:lblAlgn val="ctr"/>
        <c:lblOffset val="100"/>
        <c:noMultiLvlLbl val="0"/>
      </c:catAx>
      <c:valAx>
        <c:axId val="501893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465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3rd Order Polynomial</a:t>
            </a:r>
          </a:p>
        </c:rich>
      </c:tx>
      <c:overlay val="0"/>
      <c:spPr>
        <a:noFill/>
        <a:ln>
          <a:noFill/>
        </a:ln>
        <a:effectLst/>
      </c:spPr>
    </c:title>
    <c:autoTitleDeleted val="0"/>
    <c:plotArea>
      <c:layout>
        <c:manualLayout>
          <c:layoutTarget val="inner"/>
          <c:xMode val="edge"/>
          <c:yMode val="edge"/>
          <c:x val="7.6958231649233003E-2"/>
          <c:y val="9.9754101880806301E-2"/>
          <c:w val="0.89262453845246603"/>
          <c:h val="0.72206042307963603"/>
        </c:manualLayout>
      </c:layout>
      <c:scatterChart>
        <c:scatterStyle val="lineMarker"/>
        <c:varyColors val="0"/>
        <c:ser>
          <c:idx val="1"/>
          <c:order val="0"/>
          <c:tx>
            <c:strRef>
              <c:f>'Data Interpolator'!$B$15</c:f>
              <c:strCache>
                <c:ptCount val="1"/>
                <c:pt idx="0">
                  <c:v>Interpolation for TAM (Global) -What a Waste 2.0</c:v>
                </c:pt>
              </c:strCache>
            </c:strRef>
          </c:tx>
          <c:spPr>
            <a:ln w="19050" cap="rnd">
              <a:noFill/>
              <a:round/>
            </a:ln>
            <a:effectLst/>
          </c:spPr>
          <c:marker>
            <c:symbol val="circle"/>
            <c:size val="5"/>
            <c:spPr>
              <a:solidFill>
                <a:srgbClr val="00B050"/>
              </a:solidFill>
              <a:ln w="9525">
                <a:solidFill>
                  <a:srgbClr val="00B050"/>
                </a:solidFill>
              </a:ln>
              <a:effectLst/>
            </c:spPr>
          </c:marker>
          <c:trendline>
            <c:spPr>
              <a:ln w="19050" cap="rnd">
                <a:solidFill>
                  <a:srgbClr val="00B050"/>
                </a:solidFill>
                <a:prstDash val="sysDot"/>
              </a:ln>
              <a:effectLst/>
            </c:spPr>
            <c:trendlineType val="poly"/>
            <c:order val="3"/>
            <c:forward val="10"/>
            <c:dispRSqr val="1"/>
            <c:dispEq val="1"/>
            <c:trendlineLbl>
              <c:layout>
                <c:manualLayout>
                  <c:x val="6.7054909471309598E-2"/>
                  <c:y val="-2.1273829379948001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trendlineLbl>
          </c:trendline>
          <c:xVal>
            <c:numRef>
              <c:f>'Data Interpolator'!$D$19:$D$74</c:f>
              <c:numCache>
                <c:formatCode>General</c:formatCode>
                <c:ptCount val="56"/>
                <c:pt idx="0">
                  <c:v>-14</c:v>
                </c:pt>
                <c:pt idx="1">
                  <c:v>-13</c:v>
                </c:pt>
                <c:pt idx="2">
                  <c:v>-12</c:v>
                </c:pt>
                <c:pt idx="3">
                  <c:v>-11</c:v>
                </c:pt>
                <c:pt idx="4">
                  <c:v>-10</c:v>
                </c:pt>
                <c:pt idx="5">
                  <c:v>-9</c:v>
                </c:pt>
                <c:pt idx="6">
                  <c:v>-8</c:v>
                </c:pt>
                <c:pt idx="7">
                  <c:v>-7</c:v>
                </c:pt>
                <c:pt idx="8">
                  <c:v>-6</c:v>
                </c:pt>
                <c:pt idx="9">
                  <c:v>-5</c:v>
                </c:pt>
                <c:pt idx="10">
                  <c:v>-4</c:v>
                </c:pt>
                <c:pt idx="11">
                  <c:v>-3</c:v>
                </c:pt>
                <c:pt idx="12">
                  <c:v>-2</c:v>
                </c:pt>
                <c:pt idx="13">
                  <c:v>-1</c:v>
                </c:pt>
                <c:pt idx="14">
                  <c:v>0</c:v>
                </c:pt>
                <c:pt idx="15">
                  <c:v>1</c:v>
                </c:pt>
                <c:pt idx="16">
                  <c:v>2</c:v>
                </c:pt>
                <c:pt idx="17">
                  <c:v>3</c:v>
                </c:pt>
                <c:pt idx="18">
                  <c:v>4</c:v>
                </c:pt>
                <c:pt idx="19">
                  <c:v>5</c:v>
                </c:pt>
                <c:pt idx="20">
                  <c:v>6</c:v>
                </c:pt>
                <c:pt idx="21">
                  <c:v>7</c:v>
                </c:pt>
                <c:pt idx="22">
                  <c:v>8</c:v>
                </c:pt>
                <c:pt idx="23">
                  <c:v>9</c:v>
                </c:pt>
                <c:pt idx="24">
                  <c:v>10</c:v>
                </c:pt>
                <c:pt idx="25">
                  <c:v>11</c:v>
                </c:pt>
                <c:pt idx="26">
                  <c:v>12</c:v>
                </c:pt>
                <c:pt idx="27">
                  <c:v>13</c:v>
                </c:pt>
                <c:pt idx="28">
                  <c:v>14</c:v>
                </c:pt>
                <c:pt idx="29">
                  <c:v>15</c:v>
                </c:pt>
                <c:pt idx="30">
                  <c:v>16</c:v>
                </c:pt>
                <c:pt idx="31">
                  <c:v>17</c:v>
                </c:pt>
                <c:pt idx="32">
                  <c:v>18</c:v>
                </c:pt>
                <c:pt idx="33">
                  <c:v>19</c:v>
                </c:pt>
                <c:pt idx="34">
                  <c:v>20</c:v>
                </c:pt>
                <c:pt idx="35">
                  <c:v>21</c:v>
                </c:pt>
                <c:pt idx="36">
                  <c:v>22</c:v>
                </c:pt>
                <c:pt idx="37">
                  <c:v>23</c:v>
                </c:pt>
                <c:pt idx="38">
                  <c:v>24</c:v>
                </c:pt>
                <c:pt idx="39">
                  <c:v>25</c:v>
                </c:pt>
                <c:pt idx="40">
                  <c:v>26</c:v>
                </c:pt>
                <c:pt idx="41">
                  <c:v>27</c:v>
                </c:pt>
                <c:pt idx="42">
                  <c:v>28</c:v>
                </c:pt>
                <c:pt idx="43">
                  <c:v>29</c:v>
                </c:pt>
                <c:pt idx="44">
                  <c:v>30</c:v>
                </c:pt>
                <c:pt idx="45">
                  <c:v>31</c:v>
                </c:pt>
                <c:pt idx="46">
                  <c:v>32</c:v>
                </c:pt>
                <c:pt idx="47">
                  <c:v>33</c:v>
                </c:pt>
                <c:pt idx="48">
                  <c:v>34</c:v>
                </c:pt>
                <c:pt idx="49">
                  <c:v>35</c:v>
                </c:pt>
                <c:pt idx="50">
                  <c:v>36</c:v>
                </c:pt>
                <c:pt idx="51">
                  <c:v>37</c:v>
                </c:pt>
                <c:pt idx="52">
                  <c:v>38</c:v>
                </c:pt>
                <c:pt idx="53">
                  <c:v>39</c:v>
                </c:pt>
                <c:pt idx="54">
                  <c:v>40</c:v>
                </c:pt>
                <c:pt idx="55">
                  <c:v>41</c:v>
                </c:pt>
              </c:numCache>
            </c:numRef>
          </c:xVal>
          <c:yVal>
            <c:numRef>
              <c:f>'Data Interpolator'!$F$19:$F$74</c:f>
              <c:numCache>
                <c:formatCode>0.0</c:formatCode>
                <c:ptCount val="56"/>
                <c:pt idx="0">
                  <c:v>#N/A</c:v>
                </c:pt>
                <c:pt idx="1">
                  <c:v>#N/A</c:v>
                </c:pt>
                <c:pt idx="2">
                  <c:v>#N/A</c:v>
                </c:pt>
                <c:pt idx="3">
                  <c:v>#N/A</c:v>
                </c:pt>
                <c:pt idx="4">
                  <c:v>#N/A</c:v>
                </c:pt>
                <c:pt idx="5">
                  <c:v>1300</c:v>
                </c:pt>
                <c:pt idx="6">
                  <c:v>#N/A</c:v>
                </c:pt>
                <c:pt idx="7">
                  <c:v>#N/A</c:v>
                </c:pt>
                <c:pt idx="8">
                  <c:v>#N/A</c:v>
                </c:pt>
                <c:pt idx="9">
                  <c:v>#N/A</c:v>
                </c:pt>
                <c:pt idx="10">
                  <c:v>#N/A</c:v>
                </c:pt>
                <c:pt idx="11">
                  <c:v>2009.9999999999998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2590</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3400</c:v>
                </c:pt>
                <c:pt idx="46">
                  <c:v>#N/A</c:v>
                </c:pt>
                <c:pt idx="47">
                  <c:v>#N/A</c:v>
                </c:pt>
                <c:pt idx="48">
                  <c:v>#N/A</c:v>
                </c:pt>
                <c:pt idx="49">
                  <c:v>#N/A</c:v>
                </c:pt>
                <c:pt idx="50">
                  <c:v>#N/A</c:v>
                </c:pt>
                <c:pt idx="51">
                  <c:v>#N/A</c:v>
                </c:pt>
                <c:pt idx="52">
                  <c:v>#N/A</c:v>
                </c:pt>
                <c:pt idx="53">
                  <c:v>#N/A</c:v>
                </c:pt>
                <c:pt idx="54">
                  <c:v>#N/A</c:v>
                </c:pt>
                <c:pt idx="55">
                  <c:v>#N/A</c:v>
                </c:pt>
              </c:numCache>
            </c:numRef>
          </c:yVal>
          <c:smooth val="0"/>
          <c:extLst>
            <c:ext xmlns:c16="http://schemas.microsoft.com/office/drawing/2014/chart" uri="{C3380CC4-5D6E-409C-BE32-E72D297353CC}">
              <c16:uniqueId val="{00000001-0DC5-634B-AF76-FCFA42C3A322}"/>
            </c:ext>
          </c:extLst>
        </c:ser>
        <c:dLbls>
          <c:showLegendKey val="0"/>
          <c:showVal val="0"/>
          <c:showCatName val="0"/>
          <c:showSerName val="0"/>
          <c:showPercent val="0"/>
          <c:showBubbleSize val="0"/>
        </c:dLbls>
        <c:axId val="366125440"/>
        <c:axId val="366127360"/>
      </c:scatterChart>
      <c:valAx>
        <c:axId val="366125440"/>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127360"/>
        <c:crosses val="autoZero"/>
        <c:crossBetween val="midCat"/>
      </c:valAx>
      <c:valAx>
        <c:axId val="36612736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UNITS ADOPTED</a:t>
                </a:r>
              </a:p>
            </c:rich>
          </c:tx>
          <c:overlay val="0"/>
          <c:spPr>
            <a:noFill/>
            <a:ln>
              <a:noFill/>
            </a:ln>
            <a:effectLst/>
          </c:sp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125440"/>
        <c:crosses val="autoZero"/>
        <c:crossBetween val="midCat"/>
      </c:valAx>
      <c:spPr>
        <a:noFill/>
        <a:ln>
          <a:noFill/>
        </a:ln>
        <a:effectLst/>
      </c:spPr>
    </c:plotArea>
    <c:legend>
      <c:legendPos val="b"/>
      <c:legendEntry>
        <c:idx val="1"/>
        <c:delete val="1"/>
      </c:legendEntry>
      <c:layout>
        <c:manualLayout>
          <c:xMode val="edge"/>
          <c:yMode val="edge"/>
          <c:x val="0.18260821688718001"/>
          <c:y val="0.91891183707097801"/>
          <c:w val="0.69607098837399295"/>
          <c:h val="6.704698002901550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Exponential</a:t>
            </a:r>
            <a:r>
              <a:rPr lang="en-US" baseline="0"/>
              <a:t> Trend</a:t>
            </a:r>
            <a:endParaRPr lang="en-US"/>
          </a:p>
        </c:rich>
      </c:tx>
      <c:overlay val="0"/>
      <c:spPr>
        <a:noFill/>
        <a:ln>
          <a:noFill/>
        </a:ln>
        <a:effectLst/>
      </c:spPr>
    </c:title>
    <c:autoTitleDeleted val="0"/>
    <c:plotArea>
      <c:layout>
        <c:manualLayout>
          <c:layoutTarget val="inner"/>
          <c:xMode val="edge"/>
          <c:yMode val="edge"/>
          <c:x val="0.15664337697764699"/>
          <c:y val="0.104416225819931"/>
          <c:w val="0.79846467972815705"/>
          <c:h val="0.72033346814343102"/>
        </c:manualLayout>
      </c:layout>
      <c:scatterChart>
        <c:scatterStyle val="lineMarker"/>
        <c:varyColors val="0"/>
        <c:ser>
          <c:idx val="0"/>
          <c:order val="0"/>
          <c:tx>
            <c:strRef>
              <c:f>'Data Interpolator'!$B$15</c:f>
              <c:strCache>
                <c:ptCount val="1"/>
                <c:pt idx="0">
                  <c:v>Interpolation for TAM (Global) -What a Waste 2.0</c:v>
                </c:pt>
              </c:strCache>
            </c:strRef>
          </c:tx>
          <c:spPr>
            <a:ln w="19050" cap="rnd">
              <a:noFill/>
              <a:round/>
            </a:ln>
            <a:effectLst/>
          </c:spPr>
          <c:marker>
            <c:symbol val="circle"/>
            <c:size val="5"/>
            <c:spPr>
              <a:solidFill>
                <a:srgbClr val="00B050"/>
              </a:solidFill>
              <a:ln w="9525">
                <a:solidFill>
                  <a:srgbClr val="00B050"/>
                </a:solidFill>
              </a:ln>
              <a:effectLst/>
            </c:spPr>
          </c:marker>
          <c:trendline>
            <c:spPr>
              <a:ln w="19050" cap="rnd">
                <a:solidFill>
                  <a:srgbClr val="00B050"/>
                </a:solidFill>
                <a:prstDash val="sysDot"/>
              </a:ln>
              <a:effectLst/>
            </c:spPr>
            <c:trendlineType val="exp"/>
            <c:forward val="10"/>
            <c:dispRSqr val="1"/>
            <c:dispEq val="1"/>
            <c:trendlineLbl>
              <c:layout>
                <c:manualLayout>
                  <c:x val="-0.22068357932576499"/>
                  <c:y val="1.7131560828745101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trendlineLbl>
          </c:trendline>
          <c:xVal>
            <c:numRef>
              <c:f>'Data Interpolator'!$D$19:$D$74</c:f>
              <c:numCache>
                <c:formatCode>General</c:formatCode>
                <c:ptCount val="56"/>
                <c:pt idx="0">
                  <c:v>-14</c:v>
                </c:pt>
                <c:pt idx="1">
                  <c:v>-13</c:v>
                </c:pt>
                <c:pt idx="2">
                  <c:v>-12</c:v>
                </c:pt>
                <c:pt idx="3">
                  <c:v>-11</c:v>
                </c:pt>
                <c:pt idx="4">
                  <c:v>-10</c:v>
                </c:pt>
                <c:pt idx="5">
                  <c:v>-9</c:v>
                </c:pt>
                <c:pt idx="6">
                  <c:v>-8</c:v>
                </c:pt>
                <c:pt idx="7">
                  <c:v>-7</c:v>
                </c:pt>
                <c:pt idx="8">
                  <c:v>-6</c:v>
                </c:pt>
                <c:pt idx="9">
                  <c:v>-5</c:v>
                </c:pt>
                <c:pt idx="10">
                  <c:v>-4</c:v>
                </c:pt>
                <c:pt idx="11">
                  <c:v>-3</c:v>
                </c:pt>
                <c:pt idx="12">
                  <c:v>-2</c:v>
                </c:pt>
                <c:pt idx="13">
                  <c:v>-1</c:v>
                </c:pt>
                <c:pt idx="14">
                  <c:v>0</c:v>
                </c:pt>
                <c:pt idx="15">
                  <c:v>1</c:v>
                </c:pt>
                <c:pt idx="16">
                  <c:v>2</c:v>
                </c:pt>
                <c:pt idx="17">
                  <c:v>3</c:v>
                </c:pt>
                <c:pt idx="18">
                  <c:v>4</c:v>
                </c:pt>
                <c:pt idx="19">
                  <c:v>5</c:v>
                </c:pt>
                <c:pt idx="20">
                  <c:v>6</c:v>
                </c:pt>
                <c:pt idx="21">
                  <c:v>7</c:v>
                </c:pt>
                <c:pt idx="22">
                  <c:v>8</c:v>
                </c:pt>
                <c:pt idx="23">
                  <c:v>9</c:v>
                </c:pt>
                <c:pt idx="24">
                  <c:v>10</c:v>
                </c:pt>
                <c:pt idx="25">
                  <c:v>11</c:v>
                </c:pt>
                <c:pt idx="26">
                  <c:v>12</c:v>
                </c:pt>
                <c:pt idx="27">
                  <c:v>13</c:v>
                </c:pt>
                <c:pt idx="28">
                  <c:v>14</c:v>
                </c:pt>
                <c:pt idx="29">
                  <c:v>15</c:v>
                </c:pt>
                <c:pt idx="30">
                  <c:v>16</c:v>
                </c:pt>
                <c:pt idx="31">
                  <c:v>17</c:v>
                </c:pt>
                <c:pt idx="32">
                  <c:v>18</c:v>
                </c:pt>
                <c:pt idx="33">
                  <c:v>19</c:v>
                </c:pt>
                <c:pt idx="34">
                  <c:v>20</c:v>
                </c:pt>
                <c:pt idx="35">
                  <c:v>21</c:v>
                </c:pt>
                <c:pt idx="36">
                  <c:v>22</c:v>
                </c:pt>
                <c:pt idx="37">
                  <c:v>23</c:v>
                </c:pt>
                <c:pt idx="38">
                  <c:v>24</c:v>
                </c:pt>
                <c:pt idx="39">
                  <c:v>25</c:v>
                </c:pt>
                <c:pt idx="40">
                  <c:v>26</c:v>
                </c:pt>
                <c:pt idx="41">
                  <c:v>27</c:v>
                </c:pt>
                <c:pt idx="42">
                  <c:v>28</c:v>
                </c:pt>
                <c:pt idx="43">
                  <c:v>29</c:v>
                </c:pt>
                <c:pt idx="44">
                  <c:v>30</c:v>
                </c:pt>
                <c:pt idx="45">
                  <c:v>31</c:v>
                </c:pt>
                <c:pt idx="46">
                  <c:v>32</c:v>
                </c:pt>
                <c:pt idx="47">
                  <c:v>33</c:v>
                </c:pt>
                <c:pt idx="48">
                  <c:v>34</c:v>
                </c:pt>
                <c:pt idx="49">
                  <c:v>35</c:v>
                </c:pt>
                <c:pt idx="50">
                  <c:v>36</c:v>
                </c:pt>
                <c:pt idx="51">
                  <c:v>37</c:v>
                </c:pt>
                <c:pt idx="52">
                  <c:v>38</c:v>
                </c:pt>
                <c:pt idx="53">
                  <c:v>39</c:v>
                </c:pt>
                <c:pt idx="54">
                  <c:v>40</c:v>
                </c:pt>
                <c:pt idx="55">
                  <c:v>41</c:v>
                </c:pt>
              </c:numCache>
            </c:numRef>
          </c:xVal>
          <c:yVal>
            <c:numRef>
              <c:f>'Data Interpolator'!$F$19:$F$74</c:f>
              <c:numCache>
                <c:formatCode>0.0</c:formatCode>
                <c:ptCount val="56"/>
                <c:pt idx="0">
                  <c:v>#N/A</c:v>
                </c:pt>
                <c:pt idx="1">
                  <c:v>#N/A</c:v>
                </c:pt>
                <c:pt idx="2">
                  <c:v>#N/A</c:v>
                </c:pt>
                <c:pt idx="3">
                  <c:v>#N/A</c:v>
                </c:pt>
                <c:pt idx="4">
                  <c:v>#N/A</c:v>
                </c:pt>
                <c:pt idx="5">
                  <c:v>1300</c:v>
                </c:pt>
                <c:pt idx="6">
                  <c:v>#N/A</c:v>
                </c:pt>
                <c:pt idx="7">
                  <c:v>#N/A</c:v>
                </c:pt>
                <c:pt idx="8">
                  <c:v>#N/A</c:v>
                </c:pt>
                <c:pt idx="9">
                  <c:v>#N/A</c:v>
                </c:pt>
                <c:pt idx="10">
                  <c:v>#N/A</c:v>
                </c:pt>
                <c:pt idx="11">
                  <c:v>2009.9999999999998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2590</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3400</c:v>
                </c:pt>
                <c:pt idx="46">
                  <c:v>#N/A</c:v>
                </c:pt>
                <c:pt idx="47">
                  <c:v>#N/A</c:v>
                </c:pt>
                <c:pt idx="48">
                  <c:v>#N/A</c:v>
                </c:pt>
                <c:pt idx="49">
                  <c:v>#N/A</c:v>
                </c:pt>
                <c:pt idx="50">
                  <c:v>#N/A</c:v>
                </c:pt>
                <c:pt idx="51">
                  <c:v>#N/A</c:v>
                </c:pt>
                <c:pt idx="52">
                  <c:v>#N/A</c:v>
                </c:pt>
                <c:pt idx="53">
                  <c:v>#N/A</c:v>
                </c:pt>
                <c:pt idx="54">
                  <c:v>#N/A</c:v>
                </c:pt>
                <c:pt idx="55">
                  <c:v>#N/A</c:v>
                </c:pt>
              </c:numCache>
            </c:numRef>
          </c:yVal>
          <c:smooth val="0"/>
          <c:extLst>
            <c:ext xmlns:c16="http://schemas.microsoft.com/office/drawing/2014/chart" uri="{C3380CC4-5D6E-409C-BE32-E72D297353CC}">
              <c16:uniqueId val="{00000001-08DF-0044-85EC-5EFEB72556B0}"/>
            </c:ext>
          </c:extLst>
        </c:ser>
        <c:dLbls>
          <c:showLegendKey val="0"/>
          <c:showVal val="0"/>
          <c:showCatName val="0"/>
          <c:showSerName val="0"/>
          <c:showPercent val="0"/>
          <c:showBubbleSize val="0"/>
        </c:dLbls>
        <c:axId val="398340480"/>
        <c:axId val="398342400"/>
      </c:scatterChart>
      <c:valAx>
        <c:axId val="398340480"/>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342400"/>
        <c:crosses val="autoZero"/>
        <c:crossBetween val="midCat"/>
      </c:valAx>
      <c:valAx>
        <c:axId val="39834240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UNITS</a:t>
                </a:r>
                <a:r>
                  <a:rPr lang="en-US" baseline="0"/>
                  <a:t> ADOPTED</a:t>
                </a:r>
                <a:endParaRPr lang="en-US"/>
              </a:p>
            </c:rich>
          </c:tx>
          <c:overlay val="0"/>
          <c:spPr>
            <a:noFill/>
            <a:ln>
              <a:noFill/>
            </a:ln>
            <a:effectLst/>
          </c:sp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340480"/>
        <c:crosses val="autoZero"/>
        <c:crossBetween val="midCat"/>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Linear </a:t>
            </a:r>
            <a:r>
              <a:rPr lang="en-US" baseline="0"/>
              <a:t>Trend</a:t>
            </a:r>
            <a:endParaRPr lang="en-US"/>
          </a:p>
        </c:rich>
      </c:tx>
      <c:overlay val="0"/>
      <c:spPr>
        <a:noFill/>
        <a:ln>
          <a:noFill/>
        </a:ln>
        <a:effectLst/>
      </c:spPr>
    </c:title>
    <c:autoTitleDeleted val="0"/>
    <c:plotArea>
      <c:layout>
        <c:manualLayout>
          <c:layoutTarget val="inner"/>
          <c:xMode val="edge"/>
          <c:yMode val="edge"/>
          <c:x val="7.3002048112772805E-2"/>
          <c:y val="9.0262728709378001E-2"/>
          <c:w val="0.88365087453340596"/>
          <c:h val="0.74922761511423497"/>
        </c:manualLayout>
      </c:layout>
      <c:scatterChart>
        <c:scatterStyle val="lineMarker"/>
        <c:varyColors val="0"/>
        <c:ser>
          <c:idx val="2"/>
          <c:order val="0"/>
          <c:tx>
            <c:strRef>
              <c:f>'Data Interpolator'!$B$15</c:f>
              <c:strCache>
                <c:ptCount val="1"/>
                <c:pt idx="0">
                  <c:v>Interpolation for TAM (Global) -What a Waste 2.0</c:v>
                </c:pt>
              </c:strCache>
            </c:strRef>
          </c:tx>
          <c:spPr>
            <a:ln w="25400" cap="rnd">
              <a:noFill/>
              <a:round/>
            </a:ln>
            <a:effectLst/>
          </c:spPr>
          <c:marker>
            <c:symbol val="circle"/>
            <c:size val="5"/>
            <c:spPr>
              <a:solidFill>
                <a:srgbClr val="00B050"/>
              </a:solidFill>
              <a:ln w="9525">
                <a:solidFill>
                  <a:srgbClr val="00B050"/>
                </a:solidFill>
              </a:ln>
              <a:effectLst/>
            </c:spPr>
          </c:marker>
          <c:trendline>
            <c:spPr>
              <a:ln w="19050" cap="rnd">
                <a:solidFill>
                  <a:srgbClr val="00B050"/>
                </a:solidFill>
                <a:prstDash val="sysDot"/>
              </a:ln>
              <a:effectLst/>
            </c:spPr>
            <c:trendlineType val="linear"/>
            <c:forward val="10"/>
            <c:dispRSqr val="1"/>
            <c:dispEq val="1"/>
            <c:trendlineLbl>
              <c:layout>
                <c:manualLayout>
                  <c:x val="5.9225722389297198E-4"/>
                  <c:y val="-6.2034952107983599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accent5"/>
                      </a:solidFill>
                      <a:latin typeface="+mn-lt"/>
                      <a:ea typeface="+mn-ea"/>
                      <a:cs typeface="+mn-cs"/>
                    </a:defRPr>
                  </a:pPr>
                  <a:endParaRPr lang="en-US"/>
                </a:p>
              </c:txPr>
            </c:trendlineLbl>
          </c:trendline>
          <c:xVal>
            <c:numRef>
              <c:f>'Data Interpolator'!$D$19:$D$74</c:f>
              <c:numCache>
                <c:formatCode>General</c:formatCode>
                <c:ptCount val="56"/>
                <c:pt idx="0">
                  <c:v>-14</c:v>
                </c:pt>
                <c:pt idx="1">
                  <c:v>-13</c:v>
                </c:pt>
                <c:pt idx="2">
                  <c:v>-12</c:v>
                </c:pt>
                <c:pt idx="3">
                  <c:v>-11</c:v>
                </c:pt>
                <c:pt idx="4">
                  <c:v>-10</c:v>
                </c:pt>
                <c:pt idx="5">
                  <c:v>-9</c:v>
                </c:pt>
                <c:pt idx="6">
                  <c:v>-8</c:v>
                </c:pt>
                <c:pt idx="7">
                  <c:v>-7</c:v>
                </c:pt>
                <c:pt idx="8">
                  <c:v>-6</c:v>
                </c:pt>
                <c:pt idx="9">
                  <c:v>-5</c:v>
                </c:pt>
                <c:pt idx="10">
                  <c:v>-4</c:v>
                </c:pt>
                <c:pt idx="11">
                  <c:v>-3</c:v>
                </c:pt>
                <c:pt idx="12">
                  <c:v>-2</c:v>
                </c:pt>
                <c:pt idx="13">
                  <c:v>-1</c:v>
                </c:pt>
                <c:pt idx="14">
                  <c:v>0</c:v>
                </c:pt>
                <c:pt idx="15">
                  <c:v>1</c:v>
                </c:pt>
                <c:pt idx="16">
                  <c:v>2</c:v>
                </c:pt>
                <c:pt idx="17">
                  <c:v>3</c:v>
                </c:pt>
                <c:pt idx="18">
                  <c:v>4</c:v>
                </c:pt>
                <c:pt idx="19">
                  <c:v>5</c:v>
                </c:pt>
                <c:pt idx="20">
                  <c:v>6</c:v>
                </c:pt>
                <c:pt idx="21">
                  <c:v>7</c:v>
                </c:pt>
                <c:pt idx="22">
                  <c:v>8</c:v>
                </c:pt>
                <c:pt idx="23">
                  <c:v>9</c:v>
                </c:pt>
                <c:pt idx="24">
                  <c:v>10</c:v>
                </c:pt>
                <c:pt idx="25">
                  <c:v>11</c:v>
                </c:pt>
                <c:pt idx="26">
                  <c:v>12</c:v>
                </c:pt>
                <c:pt idx="27">
                  <c:v>13</c:v>
                </c:pt>
                <c:pt idx="28">
                  <c:v>14</c:v>
                </c:pt>
                <c:pt idx="29">
                  <c:v>15</c:v>
                </c:pt>
                <c:pt idx="30">
                  <c:v>16</c:v>
                </c:pt>
                <c:pt idx="31">
                  <c:v>17</c:v>
                </c:pt>
                <c:pt idx="32">
                  <c:v>18</c:v>
                </c:pt>
                <c:pt idx="33">
                  <c:v>19</c:v>
                </c:pt>
                <c:pt idx="34">
                  <c:v>20</c:v>
                </c:pt>
                <c:pt idx="35">
                  <c:v>21</c:v>
                </c:pt>
                <c:pt idx="36">
                  <c:v>22</c:v>
                </c:pt>
                <c:pt idx="37">
                  <c:v>23</c:v>
                </c:pt>
                <c:pt idx="38">
                  <c:v>24</c:v>
                </c:pt>
                <c:pt idx="39">
                  <c:v>25</c:v>
                </c:pt>
                <c:pt idx="40">
                  <c:v>26</c:v>
                </c:pt>
                <c:pt idx="41">
                  <c:v>27</c:v>
                </c:pt>
                <c:pt idx="42">
                  <c:v>28</c:v>
                </c:pt>
                <c:pt idx="43">
                  <c:v>29</c:v>
                </c:pt>
                <c:pt idx="44">
                  <c:v>30</c:v>
                </c:pt>
                <c:pt idx="45">
                  <c:v>31</c:v>
                </c:pt>
                <c:pt idx="46">
                  <c:v>32</c:v>
                </c:pt>
                <c:pt idx="47">
                  <c:v>33</c:v>
                </c:pt>
                <c:pt idx="48">
                  <c:v>34</c:v>
                </c:pt>
                <c:pt idx="49">
                  <c:v>35</c:v>
                </c:pt>
                <c:pt idx="50">
                  <c:v>36</c:v>
                </c:pt>
                <c:pt idx="51">
                  <c:v>37</c:v>
                </c:pt>
                <c:pt idx="52">
                  <c:v>38</c:v>
                </c:pt>
                <c:pt idx="53">
                  <c:v>39</c:v>
                </c:pt>
                <c:pt idx="54">
                  <c:v>40</c:v>
                </c:pt>
                <c:pt idx="55">
                  <c:v>41</c:v>
                </c:pt>
              </c:numCache>
            </c:numRef>
          </c:xVal>
          <c:yVal>
            <c:numRef>
              <c:f>'Data Interpolator'!$F$19:$F$74</c:f>
              <c:numCache>
                <c:formatCode>0.0</c:formatCode>
                <c:ptCount val="56"/>
                <c:pt idx="0">
                  <c:v>#N/A</c:v>
                </c:pt>
                <c:pt idx="1">
                  <c:v>#N/A</c:v>
                </c:pt>
                <c:pt idx="2">
                  <c:v>#N/A</c:v>
                </c:pt>
                <c:pt idx="3">
                  <c:v>#N/A</c:v>
                </c:pt>
                <c:pt idx="4">
                  <c:v>#N/A</c:v>
                </c:pt>
                <c:pt idx="5">
                  <c:v>1300</c:v>
                </c:pt>
                <c:pt idx="6">
                  <c:v>#N/A</c:v>
                </c:pt>
                <c:pt idx="7">
                  <c:v>#N/A</c:v>
                </c:pt>
                <c:pt idx="8">
                  <c:v>#N/A</c:v>
                </c:pt>
                <c:pt idx="9">
                  <c:v>#N/A</c:v>
                </c:pt>
                <c:pt idx="10">
                  <c:v>#N/A</c:v>
                </c:pt>
                <c:pt idx="11">
                  <c:v>2009.9999999999998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2590</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3400</c:v>
                </c:pt>
                <c:pt idx="46">
                  <c:v>#N/A</c:v>
                </c:pt>
                <c:pt idx="47">
                  <c:v>#N/A</c:v>
                </c:pt>
                <c:pt idx="48">
                  <c:v>#N/A</c:v>
                </c:pt>
                <c:pt idx="49">
                  <c:v>#N/A</c:v>
                </c:pt>
                <c:pt idx="50">
                  <c:v>#N/A</c:v>
                </c:pt>
                <c:pt idx="51">
                  <c:v>#N/A</c:v>
                </c:pt>
                <c:pt idx="52">
                  <c:v>#N/A</c:v>
                </c:pt>
                <c:pt idx="53">
                  <c:v>#N/A</c:v>
                </c:pt>
                <c:pt idx="54">
                  <c:v>#N/A</c:v>
                </c:pt>
                <c:pt idx="55">
                  <c:v>#N/A</c:v>
                </c:pt>
              </c:numCache>
            </c:numRef>
          </c:yVal>
          <c:smooth val="0"/>
          <c:extLst>
            <c:ext xmlns:c16="http://schemas.microsoft.com/office/drawing/2014/chart" uri="{C3380CC4-5D6E-409C-BE32-E72D297353CC}">
              <c16:uniqueId val="{00000001-5BA6-7A49-9784-E2E51E4175EC}"/>
            </c:ext>
          </c:extLst>
        </c:ser>
        <c:dLbls>
          <c:showLegendKey val="0"/>
          <c:showVal val="0"/>
          <c:showCatName val="0"/>
          <c:showSerName val="0"/>
          <c:showPercent val="0"/>
          <c:showBubbleSize val="0"/>
        </c:dLbls>
        <c:axId val="398385536"/>
        <c:axId val="398387456"/>
      </c:scatterChart>
      <c:valAx>
        <c:axId val="39838553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387456"/>
        <c:crosses val="autoZero"/>
        <c:crossBetween val="midCat"/>
      </c:valAx>
      <c:valAx>
        <c:axId val="3983874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UNITS</a:t>
                </a:r>
                <a:r>
                  <a:rPr lang="en-US" baseline="0"/>
                  <a:t> ADOPTED</a:t>
                </a:r>
                <a:endParaRPr lang="en-US"/>
              </a:p>
            </c:rich>
          </c:tx>
          <c:overlay val="0"/>
          <c:spPr>
            <a:noFill/>
            <a:ln>
              <a:noFill/>
            </a:ln>
            <a:effectLst/>
          </c:sp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385536"/>
        <c:crosses val="autoZero"/>
        <c:crossBetween val="midCat"/>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2nd Order Polynomial</a:t>
            </a:r>
          </a:p>
        </c:rich>
      </c:tx>
      <c:overlay val="0"/>
      <c:spPr>
        <a:noFill/>
        <a:ln>
          <a:noFill/>
        </a:ln>
        <a:effectLst/>
      </c:spPr>
    </c:title>
    <c:autoTitleDeleted val="0"/>
    <c:plotArea>
      <c:layout>
        <c:manualLayout>
          <c:layoutTarget val="inner"/>
          <c:xMode val="edge"/>
          <c:yMode val="edge"/>
          <c:x val="7.5481523465558198E-2"/>
          <c:y val="9.8828496179504802E-2"/>
          <c:w val="0.87969913898118002"/>
          <c:h val="0.73504443835934596"/>
        </c:manualLayout>
      </c:layout>
      <c:scatterChart>
        <c:scatterStyle val="lineMarker"/>
        <c:varyColors val="0"/>
        <c:ser>
          <c:idx val="1"/>
          <c:order val="0"/>
          <c:tx>
            <c:strRef>
              <c:f>'Data Interpolator'!$B$15</c:f>
              <c:strCache>
                <c:ptCount val="1"/>
                <c:pt idx="0">
                  <c:v>Interpolation for TAM (Global) -What a Waste 2.0</c:v>
                </c:pt>
              </c:strCache>
            </c:strRef>
          </c:tx>
          <c:spPr>
            <a:ln w="19050" cap="rnd">
              <a:noFill/>
              <a:round/>
            </a:ln>
            <a:effectLst/>
          </c:spPr>
          <c:marker>
            <c:symbol val="circle"/>
            <c:size val="5"/>
            <c:spPr>
              <a:solidFill>
                <a:srgbClr val="00B050"/>
              </a:solidFill>
              <a:ln w="9525">
                <a:solidFill>
                  <a:srgbClr val="00B050"/>
                </a:solidFill>
              </a:ln>
              <a:effectLst/>
            </c:spPr>
          </c:marker>
          <c:trendline>
            <c:spPr>
              <a:ln w="19050" cap="rnd">
                <a:solidFill>
                  <a:srgbClr val="00B050"/>
                </a:solidFill>
                <a:prstDash val="sysDot"/>
              </a:ln>
              <a:effectLst/>
            </c:spPr>
            <c:trendlineType val="poly"/>
            <c:order val="2"/>
            <c:forward val="10"/>
            <c:dispRSqr val="1"/>
            <c:dispEq val="1"/>
            <c:trendlineLbl>
              <c:layout>
                <c:manualLayout>
                  <c:x val="0.15345335357349299"/>
                  <c:y val="4.2694414181334399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trendlineLbl>
          </c:trendline>
          <c:xVal>
            <c:numRef>
              <c:f>'Data Interpolator'!$D$19:$D$74</c:f>
              <c:numCache>
                <c:formatCode>General</c:formatCode>
                <c:ptCount val="56"/>
                <c:pt idx="0">
                  <c:v>-14</c:v>
                </c:pt>
                <c:pt idx="1">
                  <c:v>-13</c:v>
                </c:pt>
                <c:pt idx="2">
                  <c:v>-12</c:v>
                </c:pt>
                <c:pt idx="3">
                  <c:v>-11</c:v>
                </c:pt>
                <c:pt idx="4">
                  <c:v>-10</c:v>
                </c:pt>
                <c:pt idx="5">
                  <c:v>-9</c:v>
                </c:pt>
                <c:pt idx="6">
                  <c:v>-8</c:v>
                </c:pt>
                <c:pt idx="7">
                  <c:v>-7</c:v>
                </c:pt>
                <c:pt idx="8">
                  <c:v>-6</c:v>
                </c:pt>
                <c:pt idx="9">
                  <c:v>-5</c:v>
                </c:pt>
                <c:pt idx="10">
                  <c:v>-4</c:v>
                </c:pt>
                <c:pt idx="11">
                  <c:v>-3</c:v>
                </c:pt>
                <c:pt idx="12">
                  <c:v>-2</c:v>
                </c:pt>
                <c:pt idx="13">
                  <c:v>-1</c:v>
                </c:pt>
                <c:pt idx="14">
                  <c:v>0</c:v>
                </c:pt>
                <c:pt idx="15">
                  <c:v>1</c:v>
                </c:pt>
                <c:pt idx="16">
                  <c:v>2</c:v>
                </c:pt>
                <c:pt idx="17">
                  <c:v>3</c:v>
                </c:pt>
                <c:pt idx="18">
                  <c:v>4</c:v>
                </c:pt>
                <c:pt idx="19">
                  <c:v>5</c:v>
                </c:pt>
                <c:pt idx="20">
                  <c:v>6</c:v>
                </c:pt>
                <c:pt idx="21">
                  <c:v>7</c:v>
                </c:pt>
                <c:pt idx="22">
                  <c:v>8</c:v>
                </c:pt>
                <c:pt idx="23">
                  <c:v>9</c:v>
                </c:pt>
                <c:pt idx="24">
                  <c:v>10</c:v>
                </c:pt>
                <c:pt idx="25">
                  <c:v>11</c:v>
                </c:pt>
                <c:pt idx="26">
                  <c:v>12</c:v>
                </c:pt>
                <c:pt idx="27">
                  <c:v>13</c:v>
                </c:pt>
                <c:pt idx="28">
                  <c:v>14</c:v>
                </c:pt>
                <c:pt idx="29">
                  <c:v>15</c:v>
                </c:pt>
                <c:pt idx="30">
                  <c:v>16</c:v>
                </c:pt>
                <c:pt idx="31">
                  <c:v>17</c:v>
                </c:pt>
                <c:pt idx="32">
                  <c:v>18</c:v>
                </c:pt>
                <c:pt idx="33">
                  <c:v>19</c:v>
                </c:pt>
                <c:pt idx="34">
                  <c:v>20</c:v>
                </c:pt>
                <c:pt idx="35">
                  <c:v>21</c:v>
                </c:pt>
                <c:pt idx="36">
                  <c:v>22</c:v>
                </c:pt>
                <c:pt idx="37">
                  <c:v>23</c:v>
                </c:pt>
                <c:pt idx="38">
                  <c:v>24</c:v>
                </c:pt>
                <c:pt idx="39">
                  <c:v>25</c:v>
                </c:pt>
                <c:pt idx="40">
                  <c:v>26</c:v>
                </c:pt>
                <c:pt idx="41">
                  <c:v>27</c:v>
                </c:pt>
                <c:pt idx="42">
                  <c:v>28</c:v>
                </c:pt>
                <c:pt idx="43">
                  <c:v>29</c:v>
                </c:pt>
                <c:pt idx="44">
                  <c:v>30</c:v>
                </c:pt>
                <c:pt idx="45">
                  <c:v>31</c:v>
                </c:pt>
                <c:pt idx="46">
                  <c:v>32</c:v>
                </c:pt>
                <c:pt idx="47">
                  <c:v>33</c:v>
                </c:pt>
                <c:pt idx="48">
                  <c:v>34</c:v>
                </c:pt>
                <c:pt idx="49">
                  <c:v>35</c:v>
                </c:pt>
                <c:pt idx="50">
                  <c:v>36</c:v>
                </c:pt>
                <c:pt idx="51">
                  <c:v>37</c:v>
                </c:pt>
                <c:pt idx="52">
                  <c:v>38</c:v>
                </c:pt>
                <c:pt idx="53">
                  <c:v>39</c:v>
                </c:pt>
                <c:pt idx="54">
                  <c:v>40</c:v>
                </c:pt>
                <c:pt idx="55">
                  <c:v>41</c:v>
                </c:pt>
              </c:numCache>
            </c:numRef>
          </c:xVal>
          <c:yVal>
            <c:numRef>
              <c:f>'Data Interpolator'!$F$19:$F$74</c:f>
              <c:numCache>
                <c:formatCode>0.0</c:formatCode>
                <c:ptCount val="56"/>
                <c:pt idx="0">
                  <c:v>#N/A</c:v>
                </c:pt>
                <c:pt idx="1">
                  <c:v>#N/A</c:v>
                </c:pt>
                <c:pt idx="2">
                  <c:v>#N/A</c:v>
                </c:pt>
                <c:pt idx="3">
                  <c:v>#N/A</c:v>
                </c:pt>
                <c:pt idx="4">
                  <c:v>#N/A</c:v>
                </c:pt>
                <c:pt idx="5">
                  <c:v>1300</c:v>
                </c:pt>
                <c:pt idx="6">
                  <c:v>#N/A</c:v>
                </c:pt>
                <c:pt idx="7">
                  <c:v>#N/A</c:v>
                </c:pt>
                <c:pt idx="8">
                  <c:v>#N/A</c:v>
                </c:pt>
                <c:pt idx="9">
                  <c:v>#N/A</c:v>
                </c:pt>
                <c:pt idx="10">
                  <c:v>#N/A</c:v>
                </c:pt>
                <c:pt idx="11">
                  <c:v>2009.9999999999998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2590</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3400</c:v>
                </c:pt>
                <c:pt idx="46">
                  <c:v>#N/A</c:v>
                </c:pt>
                <c:pt idx="47">
                  <c:v>#N/A</c:v>
                </c:pt>
                <c:pt idx="48">
                  <c:v>#N/A</c:v>
                </c:pt>
                <c:pt idx="49">
                  <c:v>#N/A</c:v>
                </c:pt>
                <c:pt idx="50">
                  <c:v>#N/A</c:v>
                </c:pt>
                <c:pt idx="51">
                  <c:v>#N/A</c:v>
                </c:pt>
                <c:pt idx="52">
                  <c:v>#N/A</c:v>
                </c:pt>
                <c:pt idx="53">
                  <c:v>#N/A</c:v>
                </c:pt>
                <c:pt idx="54">
                  <c:v>#N/A</c:v>
                </c:pt>
                <c:pt idx="55">
                  <c:v>#N/A</c:v>
                </c:pt>
              </c:numCache>
            </c:numRef>
          </c:yVal>
          <c:smooth val="0"/>
          <c:extLst>
            <c:ext xmlns:c16="http://schemas.microsoft.com/office/drawing/2014/chart" uri="{C3380CC4-5D6E-409C-BE32-E72D297353CC}">
              <c16:uniqueId val="{00000001-2433-FD4C-8E18-B523D57E5CE1}"/>
            </c:ext>
          </c:extLst>
        </c:ser>
        <c:dLbls>
          <c:showLegendKey val="0"/>
          <c:showVal val="0"/>
          <c:showCatName val="0"/>
          <c:showSerName val="0"/>
          <c:showPercent val="0"/>
          <c:showBubbleSize val="0"/>
        </c:dLbls>
        <c:axId val="398446976"/>
        <c:axId val="398448896"/>
      </c:scatterChart>
      <c:valAx>
        <c:axId val="39844697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48896"/>
        <c:crosses val="autoZero"/>
        <c:crossBetween val="midCat"/>
      </c:valAx>
      <c:valAx>
        <c:axId val="39844889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UNITS ADOPTED</a:t>
                </a:r>
              </a:p>
            </c:rich>
          </c:tx>
          <c:overlay val="0"/>
          <c:spPr>
            <a:noFill/>
            <a:ln>
              <a:noFill/>
            </a:ln>
            <a:effectLst/>
          </c:sp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46976"/>
        <c:crosses val="autoZero"/>
        <c:crossBetween val="midCat"/>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S-Curve (Logistic Function)</a:t>
            </a:r>
          </a:p>
        </c:rich>
      </c:tx>
      <c:overlay val="0"/>
      <c:spPr>
        <a:noFill/>
        <a:ln>
          <a:noFill/>
        </a:ln>
        <a:effectLst/>
      </c:spPr>
    </c:title>
    <c:autoTitleDeleted val="0"/>
    <c:plotArea>
      <c:layout>
        <c:manualLayout>
          <c:layoutTarget val="inner"/>
          <c:xMode val="edge"/>
          <c:yMode val="edge"/>
          <c:x val="0.15664337697764699"/>
          <c:y val="0.104416225819931"/>
          <c:w val="0.79846467972815705"/>
          <c:h val="0.72033346814343102"/>
        </c:manualLayout>
      </c:layout>
      <c:scatterChart>
        <c:scatterStyle val="lineMarker"/>
        <c:varyColors val="0"/>
        <c:ser>
          <c:idx val="0"/>
          <c:order val="0"/>
          <c:tx>
            <c:strRef>
              <c:f>'Data Interpolator'!$B$15</c:f>
              <c:strCache>
                <c:ptCount val="1"/>
                <c:pt idx="0">
                  <c:v>Interpolation for TAM (Global) -What a Waste 2.0</c:v>
                </c:pt>
              </c:strCache>
            </c:strRef>
          </c:tx>
          <c:spPr>
            <a:ln w="19050" cap="rnd">
              <a:noFill/>
              <a:round/>
            </a:ln>
            <a:effectLst/>
          </c:spPr>
          <c:marker>
            <c:symbol val="circle"/>
            <c:size val="5"/>
            <c:spPr>
              <a:solidFill>
                <a:srgbClr val="00B050"/>
              </a:solidFill>
              <a:ln w="9525">
                <a:solidFill>
                  <a:srgbClr val="00B050"/>
                </a:solidFill>
              </a:ln>
              <a:effectLst/>
            </c:spPr>
          </c:marker>
          <c:trendline>
            <c:spPr>
              <a:ln w="19050" cap="rnd">
                <a:solidFill>
                  <a:srgbClr val="00B050"/>
                </a:solidFill>
                <a:prstDash val="sysDot"/>
              </a:ln>
              <a:effectLst/>
            </c:spPr>
            <c:trendlineType val="log"/>
            <c:forward val="10"/>
            <c:dispRSqr val="1"/>
            <c:dispEq val="1"/>
            <c:trendlineLbl>
              <c:layout>
                <c:manualLayout>
                  <c:x val="-0.221797585783648"/>
                  <c:y val="3.0771798664605901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rgbClr val="00B050"/>
                      </a:solidFill>
                      <a:latin typeface="+mn-lt"/>
                      <a:ea typeface="+mn-ea"/>
                      <a:cs typeface="+mn-cs"/>
                    </a:defRPr>
                  </a:pPr>
                  <a:endParaRPr lang="en-US"/>
                </a:p>
              </c:txPr>
            </c:trendlineLbl>
          </c:trendline>
          <c:xVal>
            <c:numRef>
              <c:f>'Data Interpolator'!$D$19:$D$74</c:f>
              <c:numCache>
                <c:formatCode>General</c:formatCode>
                <c:ptCount val="56"/>
                <c:pt idx="0">
                  <c:v>-14</c:v>
                </c:pt>
                <c:pt idx="1">
                  <c:v>-13</c:v>
                </c:pt>
                <c:pt idx="2">
                  <c:v>-12</c:v>
                </c:pt>
                <c:pt idx="3">
                  <c:v>-11</c:v>
                </c:pt>
                <c:pt idx="4">
                  <c:v>-10</c:v>
                </c:pt>
                <c:pt idx="5">
                  <c:v>-9</c:v>
                </c:pt>
                <c:pt idx="6">
                  <c:v>-8</c:v>
                </c:pt>
                <c:pt idx="7">
                  <c:v>-7</c:v>
                </c:pt>
                <c:pt idx="8">
                  <c:v>-6</c:v>
                </c:pt>
                <c:pt idx="9">
                  <c:v>-5</c:v>
                </c:pt>
                <c:pt idx="10">
                  <c:v>-4</c:v>
                </c:pt>
                <c:pt idx="11">
                  <c:v>-3</c:v>
                </c:pt>
                <c:pt idx="12">
                  <c:v>-2</c:v>
                </c:pt>
                <c:pt idx="13">
                  <c:v>-1</c:v>
                </c:pt>
                <c:pt idx="14">
                  <c:v>0</c:v>
                </c:pt>
                <c:pt idx="15">
                  <c:v>1</c:v>
                </c:pt>
                <c:pt idx="16">
                  <c:v>2</c:v>
                </c:pt>
                <c:pt idx="17">
                  <c:v>3</c:v>
                </c:pt>
                <c:pt idx="18">
                  <c:v>4</c:v>
                </c:pt>
                <c:pt idx="19">
                  <c:v>5</c:v>
                </c:pt>
                <c:pt idx="20">
                  <c:v>6</c:v>
                </c:pt>
                <c:pt idx="21">
                  <c:v>7</c:v>
                </c:pt>
                <c:pt idx="22">
                  <c:v>8</c:v>
                </c:pt>
                <c:pt idx="23">
                  <c:v>9</c:v>
                </c:pt>
                <c:pt idx="24">
                  <c:v>10</c:v>
                </c:pt>
                <c:pt idx="25">
                  <c:v>11</c:v>
                </c:pt>
                <c:pt idx="26">
                  <c:v>12</c:v>
                </c:pt>
                <c:pt idx="27">
                  <c:v>13</c:v>
                </c:pt>
                <c:pt idx="28">
                  <c:v>14</c:v>
                </c:pt>
                <c:pt idx="29">
                  <c:v>15</c:v>
                </c:pt>
                <c:pt idx="30">
                  <c:v>16</c:v>
                </c:pt>
                <c:pt idx="31">
                  <c:v>17</c:v>
                </c:pt>
                <c:pt idx="32">
                  <c:v>18</c:v>
                </c:pt>
                <c:pt idx="33">
                  <c:v>19</c:v>
                </c:pt>
                <c:pt idx="34">
                  <c:v>20</c:v>
                </c:pt>
                <c:pt idx="35">
                  <c:v>21</c:v>
                </c:pt>
                <c:pt idx="36">
                  <c:v>22</c:v>
                </c:pt>
                <c:pt idx="37">
                  <c:v>23</c:v>
                </c:pt>
                <c:pt idx="38">
                  <c:v>24</c:v>
                </c:pt>
                <c:pt idx="39">
                  <c:v>25</c:v>
                </c:pt>
                <c:pt idx="40">
                  <c:v>26</c:v>
                </c:pt>
                <c:pt idx="41">
                  <c:v>27</c:v>
                </c:pt>
                <c:pt idx="42">
                  <c:v>28</c:v>
                </c:pt>
                <c:pt idx="43">
                  <c:v>29</c:v>
                </c:pt>
                <c:pt idx="44">
                  <c:v>30</c:v>
                </c:pt>
                <c:pt idx="45">
                  <c:v>31</c:v>
                </c:pt>
                <c:pt idx="46">
                  <c:v>32</c:v>
                </c:pt>
                <c:pt idx="47">
                  <c:v>33</c:v>
                </c:pt>
                <c:pt idx="48">
                  <c:v>34</c:v>
                </c:pt>
                <c:pt idx="49">
                  <c:v>35</c:v>
                </c:pt>
                <c:pt idx="50">
                  <c:v>36</c:v>
                </c:pt>
                <c:pt idx="51">
                  <c:v>37</c:v>
                </c:pt>
                <c:pt idx="52">
                  <c:v>38</c:v>
                </c:pt>
                <c:pt idx="53">
                  <c:v>39</c:v>
                </c:pt>
                <c:pt idx="54">
                  <c:v>40</c:v>
                </c:pt>
                <c:pt idx="55">
                  <c:v>41</c:v>
                </c:pt>
              </c:numCache>
            </c:numRef>
          </c:xVal>
          <c:yVal>
            <c:numRef>
              <c:f>'Data Interpolator'!$F$19:$F$74</c:f>
              <c:numCache>
                <c:formatCode>0.0</c:formatCode>
                <c:ptCount val="56"/>
                <c:pt idx="0">
                  <c:v>#N/A</c:v>
                </c:pt>
                <c:pt idx="1">
                  <c:v>#N/A</c:v>
                </c:pt>
                <c:pt idx="2">
                  <c:v>#N/A</c:v>
                </c:pt>
                <c:pt idx="3">
                  <c:v>#N/A</c:v>
                </c:pt>
                <c:pt idx="4">
                  <c:v>#N/A</c:v>
                </c:pt>
                <c:pt idx="5">
                  <c:v>1300</c:v>
                </c:pt>
                <c:pt idx="6">
                  <c:v>#N/A</c:v>
                </c:pt>
                <c:pt idx="7">
                  <c:v>#N/A</c:v>
                </c:pt>
                <c:pt idx="8">
                  <c:v>#N/A</c:v>
                </c:pt>
                <c:pt idx="9">
                  <c:v>#N/A</c:v>
                </c:pt>
                <c:pt idx="10">
                  <c:v>#N/A</c:v>
                </c:pt>
                <c:pt idx="11">
                  <c:v>2009.9999999999998</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2590</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3400</c:v>
                </c:pt>
                <c:pt idx="46">
                  <c:v>#N/A</c:v>
                </c:pt>
                <c:pt idx="47">
                  <c:v>#N/A</c:v>
                </c:pt>
                <c:pt idx="48">
                  <c:v>#N/A</c:v>
                </c:pt>
                <c:pt idx="49">
                  <c:v>#N/A</c:v>
                </c:pt>
                <c:pt idx="50">
                  <c:v>#N/A</c:v>
                </c:pt>
                <c:pt idx="51">
                  <c:v>#N/A</c:v>
                </c:pt>
                <c:pt idx="52">
                  <c:v>#N/A</c:v>
                </c:pt>
                <c:pt idx="53">
                  <c:v>#N/A</c:v>
                </c:pt>
                <c:pt idx="54">
                  <c:v>#N/A</c:v>
                </c:pt>
                <c:pt idx="55">
                  <c:v>#N/A</c:v>
                </c:pt>
              </c:numCache>
            </c:numRef>
          </c:yVal>
          <c:smooth val="0"/>
          <c:extLst>
            <c:ext xmlns:c16="http://schemas.microsoft.com/office/drawing/2014/chart" uri="{C3380CC4-5D6E-409C-BE32-E72D297353CC}">
              <c16:uniqueId val="{00000001-04AB-0042-A55A-F1CFDA0632FB}"/>
            </c:ext>
          </c:extLst>
        </c:ser>
        <c:ser>
          <c:idx val="1"/>
          <c:order val="1"/>
          <c:tx>
            <c:v>Curve Fit</c:v>
          </c:tx>
          <c:spPr>
            <a:ln w="19050" cmpd="sng">
              <a:solidFill>
                <a:srgbClr val="00B050"/>
              </a:solidFill>
              <a:prstDash val="sysDot"/>
            </a:ln>
          </c:spPr>
          <c:marker>
            <c:symbol val="none"/>
          </c:marker>
          <c:xVal>
            <c:numRef>
              <c:f>'Data Interpolator'!$D$19:$D$74</c:f>
              <c:numCache>
                <c:formatCode>General</c:formatCode>
                <c:ptCount val="56"/>
                <c:pt idx="0">
                  <c:v>-14</c:v>
                </c:pt>
                <c:pt idx="1">
                  <c:v>-13</c:v>
                </c:pt>
                <c:pt idx="2">
                  <c:v>-12</c:v>
                </c:pt>
                <c:pt idx="3">
                  <c:v>-11</c:v>
                </c:pt>
                <c:pt idx="4">
                  <c:v>-10</c:v>
                </c:pt>
                <c:pt idx="5">
                  <c:v>-9</c:v>
                </c:pt>
                <c:pt idx="6">
                  <c:v>-8</c:v>
                </c:pt>
                <c:pt idx="7">
                  <c:v>-7</c:v>
                </c:pt>
                <c:pt idx="8">
                  <c:v>-6</c:v>
                </c:pt>
                <c:pt idx="9">
                  <c:v>-5</c:v>
                </c:pt>
                <c:pt idx="10">
                  <c:v>-4</c:v>
                </c:pt>
                <c:pt idx="11">
                  <c:v>-3</c:v>
                </c:pt>
                <c:pt idx="12">
                  <c:v>-2</c:v>
                </c:pt>
                <c:pt idx="13">
                  <c:v>-1</c:v>
                </c:pt>
                <c:pt idx="14">
                  <c:v>0</c:v>
                </c:pt>
                <c:pt idx="15">
                  <c:v>1</c:v>
                </c:pt>
                <c:pt idx="16">
                  <c:v>2</c:v>
                </c:pt>
                <c:pt idx="17">
                  <c:v>3</c:v>
                </c:pt>
                <c:pt idx="18">
                  <c:v>4</c:v>
                </c:pt>
                <c:pt idx="19">
                  <c:v>5</c:v>
                </c:pt>
                <c:pt idx="20">
                  <c:v>6</c:v>
                </c:pt>
                <c:pt idx="21">
                  <c:v>7</c:v>
                </c:pt>
                <c:pt idx="22">
                  <c:v>8</c:v>
                </c:pt>
                <c:pt idx="23">
                  <c:v>9</c:v>
                </c:pt>
                <c:pt idx="24">
                  <c:v>10</c:v>
                </c:pt>
                <c:pt idx="25">
                  <c:v>11</c:v>
                </c:pt>
                <c:pt idx="26">
                  <c:v>12</c:v>
                </c:pt>
                <c:pt idx="27">
                  <c:v>13</c:v>
                </c:pt>
                <c:pt idx="28">
                  <c:v>14</c:v>
                </c:pt>
                <c:pt idx="29">
                  <c:v>15</c:v>
                </c:pt>
                <c:pt idx="30">
                  <c:v>16</c:v>
                </c:pt>
                <c:pt idx="31">
                  <c:v>17</c:v>
                </c:pt>
                <c:pt idx="32">
                  <c:v>18</c:v>
                </c:pt>
                <c:pt idx="33">
                  <c:v>19</c:v>
                </c:pt>
                <c:pt idx="34">
                  <c:v>20</c:v>
                </c:pt>
                <c:pt idx="35">
                  <c:v>21</c:v>
                </c:pt>
                <c:pt idx="36">
                  <c:v>22</c:v>
                </c:pt>
                <c:pt idx="37">
                  <c:v>23</c:v>
                </c:pt>
                <c:pt idx="38">
                  <c:v>24</c:v>
                </c:pt>
                <c:pt idx="39">
                  <c:v>25</c:v>
                </c:pt>
                <c:pt idx="40">
                  <c:v>26</c:v>
                </c:pt>
                <c:pt idx="41">
                  <c:v>27</c:v>
                </c:pt>
                <c:pt idx="42">
                  <c:v>28</c:v>
                </c:pt>
                <c:pt idx="43">
                  <c:v>29</c:v>
                </c:pt>
                <c:pt idx="44">
                  <c:v>30</c:v>
                </c:pt>
                <c:pt idx="45">
                  <c:v>31</c:v>
                </c:pt>
                <c:pt idx="46">
                  <c:v>32</c:v>
                </c:pt>
                <c:pt idx="47">
                  <c:v>33</c:v>
                </c:pt>
                <c:pt idx="48">
                  <c:v>34</c:v>
                </c:pt>
                <c:pt idx="49">
                  <c:v>35</c:v>
                </c:pt>
                <c:pt idx="50">
                  <c:v>36</c:v>
                </c:pt>
                <c:pt idx="51">
                  <c:v>37</c:v>
                </c:pt>
                <c:pt idx="52">
                  <c:v>38</c:v>
                </c:pt>
                <c:pt idx="53">
                  <c:v>39</c:v>
                </c:pt>
                <c:pt idx="54">
                  <c:v>40</c:v>
                </c:pt>
                <c:pt idx="55">
                  <c:v>41</c:v>
                </c:pt>
              </c:numCache>
            </c:numRef>
          </c:xVal>
          <c:yVal>
            <c:numRef>
              <c:f>'Data Interpolator'!$BW$23:$BW$78</c:f>
              <c:numCache>
                <c:formatCode>0</c:formatCode>
                <c:ptCount val="56"/>
                <c:pt idx="0">
                  <c:v>1489.9124241831678</c:v>
                </c:pt>
                <c:pt idx="1">
                  <c:v>1538.3262641650426</c:v>
                </c:pt>
                <c:pt idx="2">
                  <c:v>1587.4551130313343</c:v>
                </c:pt>
                <c:pt idx="3">
                  <c:v>1637.2552894442254</c:v>
                </c:pt>
                <c:pt idx="4">
                  <c:v>1687.6802947341585</c:v>
                </c:pt>
                <c:pt idx="5">
                  <c:v>1738.6809543099864</c:v>
                </c:pt>
                <c:pt idx="6">
                  <c:v>1790.2055824117349</c:v>
                </c:pt>
                <c:pt idx="7">
                  <c:v>1842.2001693575762</c:v>
                </c:pt>
                <c:pt idx="8">
                  <c:v>1894.6085901041299</c:v>
                </c:pt>
                <c:pt idx="9">
                  <c:v>1947.37283261382</c:v>
                </c:pt>
                <c:pt idx="10">
                  <c:v>2000.4332442121402</c:v>
                </c:pt>
                <c:pt idx="11">
                  <c:v>2053.7287938284362</c:v>
                </c:pt>
                <c:pt idx="12">
                  <c:v>2107.1973477533516</c:v>
                </c:pt>
                <c:pt idx="13">
                  <c:v>2160.7759563206628</c:v>
                </c:pt>
                <c:pt idx="14">
                  <c:v>2214.4011487366665</c:v>
                </c:pt>
                <c:pt idx="15">
                  <c:v>2268.0092331412316</c:v>
                </c:pt>
                <c:pt idx="16">
                  <c:v>2321.5365988947619</c:v>
                </c:pt>
                <c:pt idx="17">
                  <c:v>2374.9200180468902</c:v>
                </c:pt>
                <c:pt idx="18">
                  <c:v>2428.0969429568827</c:v>
                </c:pt>
                <c:pt idx="19">
                  <c:v>2481.0057971019746</c:v>
                </c:pt>
                <c:pt idx="20">
                  <c:v>2533.5862562265133</c:v>
                </c:pt>
                <c:pt idx="21">
                  <c:v>2585.7795171488265</c:v>
                </c:pt>
                <c:pt idx="22">
                  <c:v>2637.5285517498646</c:v>
                </c:pt>
                <c:pt idx="23">
                  <c:v>2688.7783439126797</c:v>
                </c:pt>
                <c:pt idx="24">
                  <c:v>2739.4761074585672</c:v>
                </c:pt>
                <c:pt idx="25">
                  <c:v>2789.5714834274386</c:v>
                </c:pt>
                <c:pt idx="26">
                  <c:v>2839.0167153695784</c:v>
                </c:pt>
                <c:pt idx="27">
                  <c:v>2887.7668016460525</c:v>
                </c:pt>
                <c:pt idx="28">
                  <c:v>2935.7796240683533</c:v>
                </c:pt>
                <c:pt idx="29">
                  <c:v>2983.016052537489</c:v>
                </c:pt>
                <c:pt idx="30">
                  <c:v>3029.4400256620188</c:v>
                </c:pt>
                <c:pt idx="31">
                  <c:v>3075.0186076377076</c:v>
                </c:pt>
                <c:pt idx="32">
                  <c:v>3119.7220219533338</c:v>
                </c:pt>
                <c:pt idx="33">
                  <c:v>3163.5236627434838</c:v>
                </c:pt>
                <c:pt idx="34">
                  <c:v>3206.4000848366036</c:v>
                </c:pt>
                <c:pt idx="35">
                  <c:v>3248.3309737426453</c:v>
                </c:pt>
                <c:pt idx="36">
                  <c:v>3289.2990969880202</c:v>
                </c:pt>
                <c:pt idx="37">
                  <c:v>3329.2902383355249</c:v>
                </c:pt>
                <c:pt idx="38">
                  <c:v>3368.2931165237837</c:v>
                </c:pt>
                <c:pt idx="39">
                  <c:v>3406.2992902254978</c:v>
                </c:pt>
                <c:pt idx="40">
                  <c:v>3443.303050958014</c:v>
                </c:pt>
                <c:pt idx="41">
                  <c:v>3479.3013056856189</c:v>
                </c:pt>
                <c:pt idx="42">
                  <c:v>3514.2934508329986</c:v>
                </c:pt>
                <c:pt idx="43">
                  <c:v>3548.2812393864629</c:v>
                </c:pt>
                <c:pt idx="44">
                  <c:v>3581.2686426967443</c:v>
                </c:pt>
                <c:pt idx="45">
                  <c:v>3613.2617085176503</c:v>
                </c:pt>
                <c:pt idx="46">
                  <c:v>3644.268416721733</c:v>
                </c:pt>
                <c:pt idx="47">
                  <c:v>3674.2985340303862</c:v>
                </c:pt>
                <c:pt idx="48">
                  <c:v>3703.3634689844926</c:v>
                </c:pt>
                <c:pt idx="49">
                  <c:v>3731.4761282654008</c:v>
                </c:pt>
                <c:pt idx="50">
                  <c:v>3758.6507753573314</c:v>
                </c:pt>
                <c:pt idx="51">
                  <c:v>3784.902892423293</c:v>
                </c:pt>
                <c:pt idx="52">
                  <c:v>3810.2490461493503</c:v>
                </c:pt>
                <c:pt idx="53">
                  <c:v>3834.70675819813</c:v>
                </c:pt>
                <c:pt idx="54">
                  <c:v>3858.2943808032519</c:v>
                </c:pt>
                <c:pt idx="55">
                  <c:v>3881.03097793294</c:v>
                </c:pt>
              </c:numCache>
            </c:numRef>
          </c:yVal>
          <c:smooth val="0"/>
          <c:extLst>
            <c:ext xmlns:c16="http://schemas.microsoft.com/office/drawing/2014/chart" uri="{C3380CC4-5D6E-409C-BE32-E72D297353CC}">
              <c16:uniqueId val="{00000002-04AB-0042-A55A-F1CFDA0632FB}"/>
            </c:ext>
          </c:extLst>
        </c:ser>
        <c:dLbls>
          <c:showLegendKey val="0"/>
          <c:showVal val="0"/>
          <c:showCatName val="0"/>
          <c:showSerName val="0"/>
          <c:showPercent val="0"/>
          <c:showBubbleSize val="0"/>
        </c:dLbls>
        <c:axId val="398177408"/>
        <c:axId val="398179328"/>
      </c:scatterChart>
      <c:valAx>
        <c:axId val="398177408"/>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179328"/>
        <c:crosses val="autoZero"/>
        <c:crossBetween val="midCat"/>
      </c:valAx>
      <c:valAx>
        <c:axId val="39817932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UNITS</a:t>
                </a:r>
                <a:r>
                  <a:rPr lang="en-US" baseline="0"/>
                  <a:t> ADOPTED</a:t>
                </a:r>
                <a:endParaRPr lang="en-US"/>
              </a:p>
            </c:rich>
          </c:tx>
          <c:overlay val="0"/>
          <c:spPr>
            <a:noFill/>
            <a:ln>
              <a:noFill/>
            </a:ln>
            <a:effectLst/>
          </c:sp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177408"/>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2.emf"/><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11</xdr:col>
      <xdr:colOff>139700</xdr:colOff>
      <xdr:row>7</xdr:row>
      <xdr:rowOff>114300</xdr:rowOff>
    </xdr:from>
    <xdr:to>
      <xdr:col>13</xdr:col>
      <xdr:colOff>759653</xdr:colOff>
      <xdr:row>14</xdr:row>
      <xdr:rowOff>119187</xdr:rowOff>
    </xdr:to>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9220200" y="2717800"/>
          <a:ext cx="2270953" cy="1376487"/>
        </a:xfrm>
        <a:prstGeom prst="rect">
          <a:avLst/>
        </a:prstGeom>
        <a:noFill/>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23</xdr:col>
      <xdr:colOff>116824</xdr:colOff>
      <xdr:row>66</xdr:row>
      <xdr:rowOff>97642</xdr:rowOff>
    </xdr:from>
    <xdr:to>
      <xdr:col>30</xdr:col>
      <xdr:colOff>535543</xdr:colOff>
      <xdr:row>89</xdr:row>
      <xdr:rowOff>61205</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171515</xdr:colOff>
      <xdr:row>7</xdr:row>
      <xdr:rowOff>57936</xdr:rowOff>
    </xdr:from>
    <xdr:to>
      <xdr:col>18</xdr:col>
      <xdr:colOff>577914</xdr:colOff>
      <xdr:row>28</xdr:row>
      <xdr:rowOff>153186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31</xdr:row>
      <xdr:rowOff>0</xdr:rowOff>
    </xdr:from>
    <xdr:to>
      <xdr:col>18</xdr:col>
      <xdr:colOff>406399</xdr:colOff>
      <xdr:row>52</xdr:row>
      <xdr:rowOff>95249</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171450</xdr:colOff>
      <xdr:row>16</xdr:row>
      <xdr:rowOff>57150</xdr:rowOff>
    </xdr:from>
    <xdr:to>
      <xdr:col>19</xdr:col>
      <xdr:colOff>615950</xdr:colOff>
      <xdr:row>31</xdr:row>
      <xdr:rowOff>133350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561788</xdr:colOff>
      <xdr:row>1</xdr:row>
      <xdr:rowOff>139700</xdr:rowOff>
    </xdr:from>
    <xdr:to>
      <xdr:col>10</xdr:col>
      <xdr:colOff>265445</xdr:colOff>
      <xdr:row>12</xdr:row>
      <xdr:rowOff>127000</xdr:rowOff>
    </xdr:to>
    <xdr:sp macro="" textlink="">
      <xdr:nvSpPr>
        <xdr:cNvPr id="2" name="TextBox 1">
          <a:extLst>
            <a:ext uri="{FF2B5EF4-FFF2-40B4-BE49-F238E27FC236}">
              <a16:creationId xmlns:a16="http://schemas.microsoft.com/office/drawing/2014/main" id="{00000000-0008-0000-1F00-000002000000}"/>
            </a:ext>
          </a:extLst>
        </xdr:cNvPr>
        <xdr:cNvSpPr txBox="1"/>
      </xdr:nvSpPr>
      <xdr:spPr>
        <a:xfrm>
          <a:off x="561788" y="393700"/>
          <a:ext cx="11057457"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mn-lt"/>
              <a:cs typeface="Arial" pitchFamily="34" charset="0"/>
            </a:rPr>
            <a:t>Description of Usage</a:t>
          </a:r>
          <a:r>
            <a:rPr lang="en-US" sz="1200">
              <a:latin typeface="+mn-lt"/>
              <a:cs typeface="Arial" pitchFamily="34" charset="0"/>
            </a:rPr>
            <a:t>:</a:t>
          </a:r>
        </a:p>
        <a:p>
          <a:endParaRPr lang="en-US" sz="1200">
            <a:latin typeface="+mn-lt"/>
            <a:cs typeface="Arial" pitchFamily="34" charset="0"/>
          </a:endParaRPr>
        </a:p>
        <a:p>
          <a:r>
            <a:rPr lang="en-US" sz="1200">
              <a:latin typeface="+mn-lt"/>
              <a:cs typeface="Arial" pitchFamily="34" charset="0"/>
            </a:rPr>
            <a:t>This sheet is used ONLY</a:t>
          </a:r>
          <a:r>
            <a:rPr lang="en-US" sz="1200" baseline="0">
              <a:latin typeface="+mn-lt"/>
              <a:cs typeface="Arial" pitchFamily="34" charset="0"/>
            </a:rPr>
            <a:t> if you have TAM or Adoption Data with </a:t>
          </a:r>
          <a:r>
            <a:rPr lang="en-US" sz="1200" b="1" u="sng" baseline="0">
              <a:latin typeface="+mn-lt"/>
              <a:cs typeface="Arial" pitchFamily="34" charset="0"/>
            </a:rPr>
            <a:t>non-annual values </a:t>
          </a:r>
          <a:r>
            <a:rPr lang="en-US" sz="1200" baseline="0">
              <a:latin typeface="+mn-lt"/>
              <a:cs typeface="Arial" pitchFamily="34" charset="0"/>
            </a:rPr>
            <a:t>(i.e. values for every single year from 2014 to  2050)</a:t>
          </a:r>
        </a:p>
        <a:p>
          <a:r>
            <a:rPr lang="en-US" sz="1200" baseline="0">
              <a:latin typeface="+mn-lt"/>
              <a:cs typeface="Arial" pitchFamily="34" charset="0"/>
            </a:rPr>
            <a:t>We have found that incomplete datasets  pose a problem when combining several sources since the missing year of one dataset can skew the averages calculated if other datasets have data for that year. We therefore need to ensure that every dataset has data for exactly the same years...annually.</a:t>
          </a:r>
        </a:p>
        <a:p>
          <a:endParaRPr lang="en-US" sz="1200" baseline="0">
            <a:latin typeface="+mn-lt"/>
            <a:cs typeface="Arial" pitchFamily="34" charset="0"/>
          </a:endParaRPr>
        </a:p>
        <a:p>
          <a:r>
            <a:rPr lang="en-US" sz="1200" baseline="0">
              <a:latin typeface="+mn-lt"/>
              <a:cs typeface="Arial" pitchFamily="34" charset="0"/>
            </a:rPr>
            <a:t>This sheet allows you to simply select a best fit trendline for your dataset and estimate values only for the missing years. It is important that we only create data that are unavailable, we will always use the original data provided in each dataset.</a:t>
          </a:r>
        </a:p>
        <a:p>
          <a:endParaRPr lang="en-US" sz="500" baseline="0">
            <a:latin typeface="+mn-lt"/>
            <a:cs typeface="Arial" pitchFamily="34" charset="0"/>
          </a:endParaRPr>
        </a:p>
        <a:p>
          <a:r>
            <a:rPr lang="en-US" sz="1600" baseline="0">
              <a:solidFill>
                <a:srgbClr val="FF0000"/>
              </a:solidFill>
              <a:latin typeface="+mn-lt"/>
              <a:cs typeface="Arial" pitchFamily="34" charset="0"/>
            </a:rPr>
            <a:t>Follow all ordered steps [1 to 11] to ensure proper record keeping is done.</a:t>
          </a:r>
          <a:endParaRPr lang="en-US" sz="1600">
            <a:solidFill>
              <a:srgbClr val="FF0000"/>
            </a:solidFill>
            <a:latin typeface="+mn-lt"/>
            <a:cs typeface="Arial" pitchFamily="34" charset="0"/>
          </a:endParaRPr>
        </a:p>
      </xdr:txBody>
    </xdr:sp>
    <xdr:clientData/>
  </xdr:twoCellAnchor>
  <xdr:twoCellAnchor editAs="oneCell">
    <xdr:from>
      <xdr:col>14</xdr:col>
      <xdr:colOff>508747</xdr:colOff>
      <xdr:row>3</xdr:row>
      <xdr:rowOff>131779</xdr:rowOff>
    </xdr:from>
    <xdr:to>
      <xdr:col>16</xdr:col>
      <xdr:colOff>466352</xdr:colOff>
      <xdr:row>9</xdr:row>
      <xdr:rowOff>32343</xdr:rowOff>
    </xdr:to>
    <xdr:pic>
      <xdr:nvPicPr>
        <xdr:cNvPr id="3" name="Picture 2">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34347" y="817579"/>
          <a:ext cx="1303805" cy="1119764"/>
        </a:xfrm>
        <a:prstGeom prst="rect">
          <a:avLst/>
        </a:prstGeom>
        <a:noFill/>
        <a:ln>
          <a:noFill/>
        </a:ln>
      </xdr:spPr>
    </xdr:pic>
    <xdr:clientData/>
  </xdr:twoCellAnchor>
  <xdr:twoCellAnchor>
    <xdr:from>
      <xdr:col>10</xdr:col>
      <xdr:colOff>177683</xdr:colOff>
      <xdr:row>38</xdr:row>
      <xdr:rowOff>190377</xdr:rowOff>
    </xdr:from>
    <xdr:to>
      <xdr:col>17</xdr:col>
      <xdr:colOff>101101</xdr:colOff>
      <xdr:row>62</xdr:row>
      <xdr:rowOff>126852</xdr:rowOff>
    </xdr:to>
    <xdr:graphicFrame macro="">
      <xdr:nvGraphicFramePr>
        <xdr:cNvPr id="4" name="Chart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882591</xdr:colOff>
      <xdr:row>38</xdr:row>
      <xdr:rowOff>190377</xdr:rowOff>
    </xdr:from>
    <xdr:to>
      <xdr:col>24</xdr:col>
      <xdr:colOff>476964</xdr:colOff>
      <xdr:row>62</xdr:row>
      <xdr:rowOff>126852</xdr:rowOff>
    </xdr:to>
    <xdr:graphicFrame macro="">
      <xdr:nvGraphicFramePr>
        <xdr:cNvPr id="5" name="Chart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177683</xdr:colOff>
      <xdr:row>15</xdr:row>
      <xdr:rowOff>147078</xdr:rowOff>
    </xdr:from>
    <xdr:to>
      <xdr:col>17</xdr:col>
      <xdr:colOff>101101</xdr:colOff>
      <xdr:row>35</xdr:row>
      <xdr:rowOff>58441</xdr:rowOff>
    </xdr:to>
    <xdr:graphicFrame macro="">
      <xdr:nvGraphicFramePr>
        <xdr:cNvPr id="6" name="Chart 5">
          <a:extLst>
            <a:ext uri="{FF2B5EF4-FFF2-40B4-BE49-F238E27FC236}">
              <a16:creationId xmlns:a16="http://schemas.microsoft.com/office/drawing/2014/main" id="{00000000-0008-0000-1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882591</xdr:colOff>
      <xdr:row>15</xdr:row>
      <xdr:rowOff>147078</xdr:rowOff>
    </xdr:from>
    <xdr:to>
      <xdr:col>24</xdr:col>
      <xdr:colOff>476964</xdr:colOff>
      <xdr:row>35</xdr:row>
      <xdr:rowOff>58441</xdr:rowOff>
    </xdr:to>
    <xdr:graphicFrame macro="">
      <xdr:nvGraphicFramePr>
        <xdr:cNvPr id="7" name="Chart 6">
          <a:extLst>
            <a:ext uri="{FF2B5EF4-FFF2-40B4-BE49-F238E27FC236}">
              <a16:creationId xmlns:a16="http://schemas.microsoft.com/office/drawing/2014/main" id="{00000000-0008-0000-1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8</xdr:col>
          <xdr:colOff>102870</xdr:colOff>
          <xdr:row>19</xdr:row>
          <xdr:rowOff>190500</xdr:rowOff>
        </xdr:from>
        <xdr:to>
          <xdr:col>10</xdr:col>
          <xdr:colOff>152400</xdr:colOff>
          <xdr:row>25</xdr:row>
          <xdr:rowOff>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F00-0000016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200" b="1" i="0" u="none" strike="noStrike" baseline="0">
                  <a:solidFill>
                    <a:srgbClr val="000000"/>
                  </a:solidFill>
                  <a:latin typeface="Arial"/>
                  <a:cs typeface="Arial"/>
                </a:rPr>
                <a:t>10. Click to Store Values to Tables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64770</xdr:colOff>
          <xdr:row>30</xdr:row>
          <xdr:rowOff>102870</xdr:rowOff>
        </xdr:from>
        <xdr:to>
          <xdr:col>10</xdr:col>
          <xdr:colOff>140970</xdr:colOff>
          <xdr:row>35</xdr:row>
          <xdr:rowOff>49530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F00-0000026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200" b="1" i="0" u="none" strike="noStrike" baseline="0">
                  <a:solidFill>
                    <a:srgbClr val="000000"/>
                  </a:solidFill>
                  <a:latin typeface="Arial"/>
                  <a:cs typeface="Arial"/>
                </a:rPr>
                <a:t>Delete Most Recent record</a:t>
              </a:r>
            </a:p>
          </xdr:txBody>
        </xdr:sp>
        <xdr:clientData fPrintsWithSheet="0"/>
      </xdr:twoCellAnchor>
    </mc:Choice>
    <mc:Fallback/>
  </mc:AlternateContent>
  <xdr:twoCellAnchor>
    <xdr:from>
      <xdr:col>26</xdr:col>
      <xdr:colOff>80818</xdr:colOff>
      <xdr:row>15</xdr:row>
      <xdr:rowOff>161635</xdr:rowOff>
    </xdr:from>
    <xdr:to>
      <xdr:col>33</xdr:col>
      <xdr:colOff>246691</xdr:colOff>
      <xdr:row>35</xdr:row>
      <xdr:rowOff>72998</xdr:rowOff>
    </xdr:to>
    <xdr:graphicFrame macro="">
      <xdr:nvGraphicFramePr>
        <xdr:cNvPr id="10" name="Chart 9">
          <a:extLst>
            <a:ext uri="{FF2B5EF4-FFF2-40B4-BE49-F238E27FC236}">
              <a16:creationId xmlns:a16="http://schemas.microsoft.com/office/drawing/2014/main" id="{00000000-0008-0000-1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0.41187</cdr:x>
      <cdr:y>0.09767</cdr:y>
    </cdr:from>
    <cdr:to>
      <cdr:x>0.99503</cdr:x>
      <cdr:y>0.20165</cdr:y>
    </cdr:to>
    <cdr:sp macro="" textlink="'Data Interpolator'!$BU$18">
      <cdr:nvSpPr>
        <cdr:cNvPr id="2" name="TextBox 1"/>
        <cdr:cNvSpPr txBox="1"/>
      </cdr:nvSpPr>
      <cdr:spPr>
        <a:xfrm xmlns:a="http://schemas.openxmlformats.org/drawingml/2006/main">
          <a:off x="1780716" y="442124"/>
          <a:ext cx="2521323" cy="4706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176D3B6-EFB3-4BD6-A5F9-67667D35EE09}" type="TxLink">
            <a:rPr lang="en-US" sz="1050" b="0" i="0" u="none" strike="noStrike">
              <a:solidFill>
                <a:srgbClr val="00B050"/>
              </a:solidFill>
              <a:latin typeface="+mn-lt"/>
              <a:cs typeface="Arial"/>
            </a:rPr>
            <a:pPr/>
            <a:t>y = 4,400.0/ (1 + 1.259 * e ^ -0.0488x)</a:t>
          </a:fld>
          <a:endParaRPr lang="en-US" sz="1050" b="0">
            <a:solidFill>
              <a:srgbClr val="00B050"/>
            </a:solidFill>
            <a:latin typeface="+mn-lt"/>
          </a:endParaRPr>
        </a:p>
      </cdr:txBody>
    </cdr:sp>
  </cdr:relSizeAnchor>
  <cdr:relSizeAnchor xmlns:cdr="http://schemas.openxmlformats.org/drawingml/2006/chartDrawing">
    <cdr:from>
      <cdr:x>0.4326</cdr:x>
      <cdr:y>0.2066</cdr:y>
    </cdr:from>
    <cdr:to>
      <cdr:x>0.70734</cdr:x>
      <cdr:y>0.26107</cdr:y>
    </cdr:to>
    <cdr:sp macro="" textlink="'Data Interpolator'!$BU$19">
      <cdr:nvSpPr>
        <cdr:cNvPr id="3" name="TextBox 2"/>
        <cdr:cNvSpPr txBox="1"/>
      </cdr:nvSpPr>
      <cdr:spPr>
        <a:xfrm xmlns:a="http://schemas.openxmlformats.org/drawingml/2006/main">
          <a:off x="1870363" y="935183"/>
          <a:ext cx="1187824" cy="24652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9F34D10-E7AD-4C56-AFF6-D18FD032CAED}" type="TxLink">
            <a:rPr lang="en-US" sz="1100" b="0" i="0" u="none" strike="noStrike">
              <a:solidFill>
                <a:srgbClr val="00B050"/>
              </a:solidFill>
              <a:latin typeface="+mn-lt"/>
              <a:cs typeface="Arial"/>
            </a:rPr>
            <a:pPr/>
            <a:t>R2 = 0.969</a:t>
          </a:fld>
          <a:endParaRPr lang="en-US" sz="1100">
            <a:solidFill>
              <a:srgbClr val="00B050"/>
            </a:solidFill>
            <a:latin typeface="+mn-lt"/>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uest/Downloads/Carbon%20Sequestration%20Model%20v5.2%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aladaya/Downloads/Data_Interpolator_1.45%20(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aladaya/Downloads/Data_Interpolator_1.4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ristina_botero/Downloads/Biofuels%20GHG%20calculator%20-%20version%203_0_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taladaya/Desktop/Work/Drawdown/Bioplastics/Bioplastics-RRSv1.1c-14June201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taladaya/Desktop/Work/Drawdown/Waste/Group-Regroup_Tool_What%20a%20Was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 Adoption Curve"/>
      <sheetName val="Main Controls"/>
      <sheetName val="A. Calculations"/>
      <sheetName val="B. CO2 PPM Calculator"/>
      <sheetName val="D. Financial Analysis"/>
      <sheetName val="E. Cost&amp;Emissions"/>
      <sheetName val="F. Carbon Sequestration Data"/>
      <sheetName val="G. Cost &amp; Emisions Database"/>
      <sheetName val="H. Land Area"/>
      <sheetName val="I. References"/>
      <sheetName val="CO2-eq MMT Reduced"/>
      <sheetName val="CO2 MMT Reduced"/>
      <sheetName val="CH4 Tons Reduced"/>
      <sheetName val="N20 Tons Reduced"/>
      <sheetName val="Other GHG Tons Reduced"/>
      <sheetName val="AEZ Data"/>
    </sheetNames>
    <sheetDataSet>
      <sheetData sheetId="0" refreshError="1">
        <row r="113">
          <cell r="B113">
            <v>2050</v>
          </cell>
        </row>
        <row r="117">
          <cell r="B117">
            <v>1</v>
          </cell>
        </row>
        <row r="119">
          <cell r="B119">
            <v>0.27365548986539867</v>
          </cell>
        </row>
        <row r="120">
          <cell r="B120">
            <v>2061.5129154649203</v>
          </cell>
        </row>
        <row r="123">
          <cell r="A123">
            <v>2015</v>
          </cell>
        </row>
        <row r="124">
          <cell r="A124">
            <v>2016</v>
          </cell>
        </row>
        <row r="125">
          <cell r="A125">
            <v>2017</v>
          </cell>
        </row>
        <row r="126">
          <cell r="A126">
            <v>2018</v>
          </cell>
        </row>
        <row r="127">
          <cell r="A127">
            <v>2019</v>
          </cell>
        </row>
        <row r="128">
          <cell r="A128">
            <v>2020</v>
          </cell>
        </row>
        <row r="129">
          <cell r="A129">
            <v>2021</v>
          </cell>
        </row>
        <row r="130">
          <cell r="A130">
            <v>2022</v>
          </cell>
        </row>
        <row r="131">
          <cell r="A131">
            <v>2023</v>
          </cell>
        </row>
        <row r="132">
          <cell r="A132">
            <v>2024</v>
          </cell>
        </row>
        <row r="133">
          <cell r="A133">
            <v>2025</v>
          </cell>
        </row>
        <row r="134">
          <cell r="A134">
            <v>2026</v>
          </cell>
        </row>
        <row r="135">
          <cell r="A135">
            <v>2027</v>
          </cell>
        </row>
        <row r="136">
          <cell r="A136">
            <v>2028</v>
          </cell>
        </row>
        <row r="137">
          <cell r="A137">
            <v>2029</v>
          </cell>
        </row>
        <row r="138">
          <cell r="A138">
            <v>2030</v>
          </cell>
        </row>
        <row r="139">
          <cell r="A139">
            <v>2031</v>
          </cell>
        </row>
        <row r="140">
          <cell r="A140">
            <v>2032</v>
          </cell>
        </row>
        <row r="141">
          <cell r="A141">
            <v>2033</v>
          </cell>
        </row>
        <row r="142">
          <cell r="A142">
            <v>2034</v>
          </cell>
        </row>
        <row r="143">
          <cell r="A143">
            <v>2035</v>
          </cell>
        </row>
        <row r="144">
          <cell r="A144">
            <v>2036</v>
          </cell>
        </row>
        <row r="145">
          <cell r="A145">
            <v>2037</v>
          </cell>
        </row>
        <row r="146">
          <cell r="A146">
            <v>2038</v>
          </cell>
        </row>
        <row r="147">
          <cell r="A147">
            <v>2039</v>
          </cell>
        </row>
        <row r="148">
          <cell r="A148">
            <v>2040</v>
          </cell>
        </row>
        <row r="149">
          <cell r="A149">
            <v>2041</v>
          </cell>
        </row>
        <row r="150">
          <cell r="A150">
            <v>2042</v>
          </cell>
        </row>
        <row r="151">
          <cell r="A151">
            <v>2043</v>
          </cell>
        </row>
        <row r="152">
          <cell r="A152">
            <v>2044</v>
          </cell>
        </row>
        <row r="153">
          <cell r="A153">
            <v>2045</v>
          </cell>
        </row>
        <row r="154">
          <cell r="A154">
            <v>2046</v>
          </cell>
        </row>
        <row r="155">
          <cell r="A155">
            <v>2047</v>
          </cell>
        </row>
        <row r="156">
          <cell r="A156">
            <v>2048</v>
          </cell>
        </row>
        <row r="157">
          <cell r="A157">
            <v>2049</v>
          </cell>
        </row>
        <row r="158">
          <cell r="A158">
            <v>2050</v>
          </cell>
        </row>
        <row r="159">
          <cell r="A159">
            <v>2051</v>
          </cell>
        </row>
        <row r="160">
          <cell r="A160">
            <v>2052</v>
          </cell>
        </row>
        <row r="161">
          <cell r="A161">
            <v>2053</v>
          </cell>
        </row>
        <row r="162">
          <cell r="A162">
            <v>2054</v>
          </cell>
        </row>
        <row r="163">
          <cell r="A163">
            <v>2055</v>
          </cell>
        </row>
        <row r="164">
          <cell r="A164">
            <v>2056</v>
          </cell>
        </row>
        <row r="165">
          <cell r="A165">
            <v>2057</v>
          </cell>
        </row>
        <row r="166">
          <cell r="A166">
            <v>2058</v>
          </cell>
        </row>
        <row r="167">
          <cell r="A167">
            <v>2059</v>
          </cell>
        </row>
        <row r="168">
          <cell r="A168">
            <v>2060</v>
          </cell>
        </row>
        <row r="169">
          <cell r="A169">
            <v>2061</v>
          </cell>
        </row>
        <row r="170">
          <cell r="A170">
            <v>2062</v>
          </cell>
        </row>
        <row r="171">
          <cell r="A171">
            <v>2063</v>
          </cell>
        </row>
        <row r="172">
          <cell r="A172">
            <v>2064</v>
          </cell>
        </row>
        <row r="173">
          <cell r="A173">
            <v>2065</v>
          </cell>
        </row>
        <row r="174">
          <cell r="A174">
            <v>2066</v>
          </cell>
        </row>
        <row r="175">
          <cell r="A175">
            <v>2067</v>
          </cell>
        </row>
        <row r="176">
          <cell r="A176">
            <v>2068</v>
          </cell>
        </row>
        <row r="177">
          <cell r="A177">
            <v>2069</v>
          </cell>
        </row>
        <row r="178">
          <cell r="A178">
            <v>2070</v>
          </cell>
        </row>
        <row r="179">
          <cell r="A179">
            <v>2071</v>
          </cell>
        </row>
        <row r="180">
          <cell r="A180">
            <v>2072</v>
          </cell>
        </row>
        <row r="181">
          <cell r="A181">
            <v>2073</v>
          </cell>
        </row>
        <row r="182">
          <cell r="A182">
            <v>2074</v>
          </cell>
        </row>
        <row r="183">
          <cell r="A183">
            <v>2075</v>
          </cell>
        </row>
        <row r="184">
          <cell r="A184">
            <v>2076</v>
          </cell>
        </row>
        <row r="185">
          <cell r="A185">
            <v>2077</v>
          </cell>
        </row>
        <row r="186">
          <cell r="A186">
            <v>2078</v>
          </cell>
        </row>
        <row r="187">
          <cell r="A187">
            <v>2079</v>
          </cell>
        </row>
        <row r="188">
          <cell r="A188">
            <v>2080</v>
          </cell>
        </row>
        <row r="189">
          <cell r="A189">
            <v>2081</v>
          </cell>
        </row>
        <row r="190">
          <cell r="A190">
            <v>2082</v>
          </cell>
        </row>
        <row r="191">
          <cell r="A191">
            <v>2083</v>
          </cell>
        </row>
        <row r="192">
          <cell r="A192">
            <v>2084</v>
          </cell>
        </row>
        <row r="193">
          <cell r="A193">
            <v>2085</v>
          </cell>
        </row>
        <row r="194">
          <cell r="A194">
            <v>2086</v>
          </cell>
        </row>
        <row r="195">
          <cell r="A195">
            <v>2087</v>
          </cell>
        </row>
        <row r="196">
          <cell r="A196">
            <v>2088</v>
          </cell>
        </row>
        <row r="197">
          <cell r="A197">
            <v>2089</v>
          </cell>
        </row>
        <row r="198">
          <cell r="A198">
            <v>2090</v>
          </cell>
        </row>
        <row r="199">
          <cell r="A199">
            <v>2091</v>
          </cell>
        </row>
        <row r="200">
          <cell r="A200">
            <v>2092</v>
          </cell>
        </row>
        <row r="201">
          <cell r="A201">
            <v>2093</v>
          </cell>
        </row>
        <row r="202">
          <cell r="A202">
            <v>2094</v>
          </cell>
        </row>
        <row r="203">
          <cell r="A203">
            <v>2095</v>
          </cell>
        </row>
        <row r="204">
          <cell r="A204">
            <v>2096</v>
          </cell>
        </row>
        <row r="205">
          <cell r="A205">
            <v>2097</v>
          </cell>
        </row>
        <row r="206">
          <cell r="A206">
            <v>2098</v>
          </cell>
        </row>
        <row r="207">
          <cell r="A207">
            <v>2099</v>
          </cell>
        </row>
        <row r="208">
          <cell r="A208">
            <v>2100</v>
          </cell>
        </row>
      </sheetData>
      <sheetData sheetId="1"/>
      <sheetData sheetId="2" refreshError="1"/>
      <sheetData sheetId="3">
        <row r="113">
          <cell r="B113">
            <v>2050</v>
          </cell>
        </row>
      </sheetData>
      <sheetData sheetId="4" refreshError="1"/>
      <sheetData sheetId="5" refreshError="1"/>
      <sheetData sheetId="6">
        <row r="39">
          <cell r="D39" t="e">
            <v>#DIV/0!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4 Calcs"/>
      <sheetName val="Data_Interpolator_1.45 (2)"/>
    </sheetNames>
    <definedNames>
      <definedName name="delete_LastInterpolation"/>
      <definedName name="Macr_CopyInterpolations"/>
    </defined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4 Calc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in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vanced Controls"/>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 Data"/>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Miranda Gorman" id="{41B8B11A-E3AE-8C47-A368-987181E9B3A0}" userId="S::mgorman@andrew.cmu.edu::9b3a73ee-0dca-4e10-ba88-6a048e5f592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3" dT="2020-04-23T22:12:42.87" personId="{41B8B11A-E3AE-8C47-A368-987181E9B3A0}" id="{A4F76B41-ADE6-4845-8C6E-765E38CC86AF}">
    <text>Updated 4/23</text>
  </threadedComment>
</ThreadedComments>
</file>

<file path=xl/threadedComments/threadedComment2.xml><?xml version="1.0" encoding="utf-8"?>
<ThreadedComments xmlns="http://schemas.microsoft.com/office/spreadsheetml/2018/threadedcomments" xmlns:x="http://schemas.openxmlformats.org/spreadsheetml/2006/main">
  <threadedComment ref="N3" dT="2020-04-23T22:12:42.87" personId="{41B8B11A-E3AE-8C47-A368-987181E9B3A0}" id="{CB8AD749-74C1-4F16-B972-84511BCC5523}">
    <text>Updated 4/23</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8.xml.rels><?xml version="1.0" encoding="UTF-8" standalone="yes"?>
<Relationships xmlns="http://schemas.openxmlformats.org/package/2006/relationships"><Relationship Id="rId2" Type="http://schemas.openxmlformats.org/officeDocument/2006/relationships/hyperlink" Target="https://population.un.org/wup/Download/" TargetMode="External"/><Relationship Id="rId1" Type="http://schemas.openxmlformats.org/officeDocument/2006/relationships/hyperlink" Target="https://www.ipcc-nggip.iges.or.jp/public/2019rf/pdf/5_Volume5/19R_V5_2_Ch02_Waste_Data.pdf" TargetMode="Externa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edocs.unep.org/bitstream/handle/20.500.11822/9672/-Global_Waste_Management_Outlook-2015Global_Waste_Management_Outlook.pdf.pdf?sequence=3&amp;amp%3BisAllowed=" TargetMode="External"/></Relationships>
</file>

<file path=xl/worksheets/_rels/sheet31.xml.rels><?xml version="1.0" encoding="UTF-8" standalone="yes"?>
<Relationships xmlns="http://schemas.openxmlformats.org/package/2006/relationships"><Relationship Id="rId1" Type="http://schemas.openxmlformats.org/officeDocument/2006/relationships/hyperlink" Target="http://www.seas.columbia.edu/earth/wtert/sofos/Sustainable%20Solid%20Waste%20Management%20in%20India_Final.pdf"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3.xml.rels><?xml version="1.0" encoding="UTF-8" standalone="yes"?>
<Relationships xmlns="http://schemas.openxmlformats.org/package/2006/relationships"><Relationship Id="rId3" Type="http://schemas.openxmlformats.org/officeDocument/2006/relationships/hyperlink" Target="https://www.europarl.europa.eu/RegData/etudes/STUD/2017/581913/EPRS_STU(2017)581913_EN.pdf" TargetMode="External"/><Relationship Id="rId2" Type="http://schemas.openxmlformats.org/officeDocument/2006/relationships/hyperlink" Target="https://link.springer.com/article/10.1007/s12649-018-0297-7?shared-article-renderer" TargetMode="External"/><Relationship Id="rId1" Type="http://schemas.openxmlformats.org/officeDocument/2006/relationships/hyperlink" Target="https://link.springer.com/article/10.1007/s12649-018-0297-7?shared-article-render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Q26"/>
  <sheetViews>
    <sheetView topLeftCell="A3" workbookViewId="0">
      <selection activeCell="L9" sqref="L9"/>
    </sheetView>
  </sheetViews>
  <sheetFormatPr defaultColWidth="10.6640625" defaultRowHeight="12.3" x14ac:dyDescent="0.4"/>
  <sheetData>
    <row r="2" spans="2:17" ht="119.05" customHeight="1" x14ac:dyDescent="0.4">
      <c r="B2" s="1261" t="s">
        <v>432</v>
      </c>
      <c r="C2" s="1261"/>
      <c r="D2" s="1261"/>
      <c r="E2" s="1261"/>
      <c r="F2" s="1261"/>
      <c r="G2" s="1261"/>
      <c r="H2" s="1261"/>
      <c r="I2" s="1261"/>
      <c r="J2" s="1261"/>
      <c r="K2" s="1261"/>
      <c r="L2" s="1261"/>
      <c r="M2" s="1261"/>
      <c r="N2" s="1261"/>
      <c r="O2" s="1261"/>
      <c r="P2" s="1261"/>
      <c r="Q2" s="1261"/>
    </row>
    <row r="3" spans="2:17" ht="14.4" x14ac:dyDescent="0.4">
      <c r="B3" s="1179"/>
      <c r="C3" s="1179"/>
      <c r="D3" s="1179"/>
      <c r="E3" s="1179"/>
      <c r="F3" s="1179"/>
      <c r="G3" s="1179"/>
      <c r="H3" s="1179"/>
      <c r="I3" s="1179"/>
      <c r="J3" s="1179"/>
      <c r="K3" s="1179"/>
      <c r="L3" s="1179"/>
      <c r="M3" s="1179"/>
      <c r="N3" s="1179"/>
      <c r="O3" s="1179"/>
      <c r="P3" s="1179"/>
      <c r="Q3" s="1179"/>
    </row>
    <row r="4" spans="2:17" ht="14.4" x14ac:dyDescent="0.4">
      <c r="B4" s="1179"/>
      <c r="C4" s="1179"/>
      <c r="D4" s="1179"/>
      <c r="E4" s="1179"/>
      <c r="F4" s="1179"/>
      <c r="G4" s="1179"/>
      <c r="H4" s="1179"/>
      <c r="I4" s="1179"/>
      <c r="J4" s="1179"/>
      <c r="K4" s="1179"/>
      <c r="L4" s="1179"/>
      <c r="M4" s="1179"/>
      <c r="N4" s="1179"/>
      <c r="O4" s="1179"/>
      <c r="P4" s="1179"/>
      <c r="Q4" s="1179"/>
    </row>
    <row r="5" spans="2:17" ht="14.4" x14ac:dyDescent="0.4">
      <c r="B5" s="1179"/>
      <c r="C5" s="1179"/>
      <c r="D5" s="1179"/>
      <c r="E5" s="1179"/>
      <c r="F5" s="1179"/>
      <c r="G5" s="1179"/>
      <c r="H5" s="1179"/>
      <c r="I5" s="1179"/>
      <c r="J5" s="1179"/>
      <c r="K5" s="1179"/>
      <c r="L5" s="1179"/>
      <c r="M5" s="1179"/>
      <c r="N5" s="1179"/>
      <c r="O5" s="1179"/>
      <c r="P5" s="1179"/>
      <c r="Q5" s="1179"/>
    </row>
    <row r="7" spans="2:17" ht="14.4" x14ac:dyDescent="0.55000000000000004">
      <c r="B7" s="586">
        <v>0</v>
      </c>
      <c r="C7" s="587" t="s">
        <v>363</v>
      </c>
      <c r="D7" s="587"/>
      <c r="E7" s="587"/>
      <c r="F7" s="587"/>
      <c r="G7" s="587"/>
      <c r="H7" s="587"/>
      <c r="L7" s="588" t="s">
        <v>364</v>
      </c>
      <c r="M7" s="588"/>
      <c r="N7" s="588"/>
      <c r="O7" s="588"/>
      <c r="P7" s="588"/>
    </row>
    <row r="9" spans="2:17" ht="14.4" x14ac:dyDescent="0.55000000000000004">
      <c r="B9" s="586">
        <v>1</v>
      </c>
      <c r="C9" s="586" t="s">
        <v>433</v>
      </c>
      <c r="D9" s="586"/>
      <c r="E9" s="586"/>
      <c r="F9" s="586"/>
      <c r="G9" s="586"/>
      <c r="H9" s="586"/>
    </row>
    <row r="10" spans="2:17" ht="15" x14ac:dyDescent="0.5">
      <c r="C10" s="623" t="s">
        <v>434</v>
      </c>
      <c r="D10" s="589"/>
      <c r="E10" s="589"/>
      <c r="F10" s="589"/>
      <c r="G10" s="589"/>
      <c r="H10" s="589"/>
    </row>
    <row r="11" spans="2:17" ht="15" x14ac:dyDescent="0.5">
      <c r="C11" s="623" t="s">
        <v>435</v>
      </c>
      <c r="D11" s="589"/>
      <c r="E11" s="589"/>
      <c r="F11" s="589"/>
      <c r="G11" s="589"/>
      <c r="H11" s="589"/>
    </row>
    <row r="12" spans="2:17" ht="15" x14ac:dyDescent="0.5">
      <c r="C12" s="623" t="s">
        <v>436</v>
      </c>
      <c r="D12" s="589"/>
      <c r="E12" s="589"/>
      <c r="F12" s="589"/>
      <c r="G12" s="589"/>
      <c r="H12" s="589"/>
    </row>
    <row r="13" spans="2:17" ht="15" x14ac:dyDescent="0.5">
      <c r="C13" s="623" t="s">
        <v>437</v>
      </c>
      <c r="D13" s="589"/>
      <c r="E13" s="589"/>
      <c r="F13" s="589"/>
      <c r="G13" s="589"/>
      <c r="H13" s="589"/>
    </row>
    <row r="14" spans="2:17" ht="15" x14ac:dyDescent="0.5">
      <c r="C14" s="623" t="s">
        <v>438</v>
      </c>
      <c r="D14" s="589"/>
      <c r="E14" s="589"/>
      <c r="F14" s="589"/>
      <c r="G14" s="589"/>
      <c r="H14" s="589"/>
    </row>
    <row r="15" spans="2:17" ht="15" x14ac:dyDescent="0.5">
      <c r="C15" s="623" t="s">
        <v>400</v>
      </c>
      <c r="D15" s="589"/>
      <c r="E15" s="589"/>
      <c r="F15" s="589"/>
      <c r="G15" s="589"/>
      <c r="H15" s="589"/>
    </row>
    <row r="16" spans="2:17" ht="15" x14ac:dyDescent="0.5">
      <c r="C16" s="623" t="s">
        <v>439</v>
      </c>
      <c r="D16" s="589"/>
      <c r="E16" s="589"/>
      <c r="F16" s="589"/>
      <c r="G16" s="589"/>
      <c r="H16" s="589"/>
    </row>
    <row r="17" spans="2:8" ht="15" x14ac:dyDescent="0.5">
      <c r="C17" s="623" t="s">
        <v>440</v>
      </c>
      <c r="D17" s="589"/>
      <c r="E17" s="589"/>
      <c r="F17" s="589"/>
      <c r="G17" s="589"/>
      <c r="H17" s="589"/>
    </row>
    <row r="20" spans="2:8" ht="14.4" x14ac:dyDescent="0.55000000000000004">
      <c r="B20" s="586">
        <v>2</v>
      </c>
      <c r="C20" s="586" t="s">
        <v>365</v>
      </c>
      <c r="D20" s="586"/>
      <c r="E20" s="586"/>
      <c r="F20" s="586"/>
      <c r="G20" s="586"/>
    </row>
    <row r="21" spans="2:8" ht="15" x14ac:dyDescent="0.5">
      <c r="C21" s="622" t="s">
        <v>366</v>
      </c>
      <c r="D21" s="590"/>
      <c r="E21" s="590"/>
      <c r="F21" s="590"/>
      <c r="G21" s="590"/>
      <c r="H21" s="590"/>
    </row>
    <row r="22" spans="2:8" ht="15" x14ac:dyDescent="0.5">
      <c r="C22" s="622" t="s">
        <v>367</v>
      </c>
      <c r="D22" s="590"/>
      <c r="E22" s="590"/>
      <c r="F22" s="590"/>
      <c r="G22" s="590"/>
      <c r="H22" s="590"/>
    </row>
    <row r="23" spans="2:8" ht="15" x14ac:dyDescent="0.5">
      <c r="C23" s="622" t="s">
        <v>368</v>
      </c>
      <c r="D23" s="590"/>
      <c r="E23" s="590"/>
      <c r="F23" s="590"/>
      <c r="G23" s="590"/>
      <c r="H23" s="590"/>
    </row>
    <row r="25" spans="2:8" ht="14.4" x14ac:dyDescent="0.55000000000000004">
      <c r="B25" s="586">
        <v>3</v>
      </c>
      <c r="C25" s="591" t="s">
        <v>369</v>
      </c>
      <c r="D25" s="591"/>
      <c r="E25" s="591"/>
      <c r="F25" s="591"/>
      <c r="G25" s="591"/>
      <c r="H25" s="591"/>
    </row>
    <row r="26" spans="2:8" ht="14.4" x14ac:dyDescent="0.55000000000000004">
      <c r="B26" s="586"/>
    </row>
  </sheetData>
  <mergeCells count="1">
    <mergeCell ref="B2:Q2"/>
  </mergeCells>
  <pageMargins left="0.7" right="0.7" top="0.75" bottom="0.75" header="0.3" footer="0.3"/>
  <cellWatches>
    <cellWatch r="AZ151"/>
    <cellWatch r="AZ152"/>
    <cellWatch r="AZ153"/>
    <cellWatch r="AZ154"/>
    <cellWatch r="AZ155"/>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AZ137"/>
    <cellWatch r="AZ138"/>
    <cellWatch r="AZ139"/>
    <cellWatch r="AZ140"/>
    <cellWatch r="AZ141"/>
    <cellWatch r="AZ142"/>
    <cellWatch r="AZ143"/>
    <cellWatch r="AZ144"/>
    <cellWatch r="AZ145"/>
    <cellWatch r="AZ146"/>
    <cellWatch r="AZ147"/>
    <cellWatch r="AZ148"/>
    <cellWatch r="AZ149"/>
    <cellWatch r="AZ150"/>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322"/>
    <cellWatch r="AZ323"/>
    <cellWatch r="AZ242"/>
    <cellWatch r="AZ243"/>
    <cellWatch r="AZ244"/>
    <cellWatch r="AZ245"/>
    <cellWatch r="AZ246"/>
    <cellWatch r="AZ247"/>
    <cellWatch r="AZ174"/>
    <cellWatch r="AZ175"/>
    <cellWatch r="AZ176"/>
    <cellWatch r="AZ177"/>
    <cellWatch r="AZ178"/>
    <cellWatch r="AZ179"/>
    <cellWatch r="AZ180"/>
    <cellWatch r="AZ181"/>
    <cellWatch r="AZ182"/>
    <cellWatch r="AY139"/>
    <cellWatch r="AY140"/>
    <cellWatch r="AY141"/>
    <cellWatch r="AY142"/>
    <cellWatch r="AY143"/>
    <cellWatch r="AY144"/>
    <cellWatch r="AY145"/>
    <cellWatch r="AY146"/>
    <cellWatch r="AY147"/>
    <cellWatch r="AY135"/>
    <cellWatch r="AY136"/>
    <cellWatch r="AY137"/>
    <cellWatch r="AY138"/>
    <cellWatch r="BB172"/>
    <cellWatch r="AY183"/>
    <cellWatch r="AY184"/>
    <cellWatch r="AY185"/>
    <cellWatch r="AY186"/>
    <cellWatch r="AY187"/>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2"/>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e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J57"/>
  <sheetViews>
    <sheetView topLeftCell="A26" workbookViewId="0">
      <selection activeCell="R16" sqref="R16"/>
    </sheetView>
  </sheetViews>
  <sheetFormatPr defaultColWidth="10.6640625" defaultRowHeight="12.3" x14ac:dyDescent="0.4"/>
  <sheetData>
    <row r="1" spans="1:22" ht="29.05" customHeight="1" thickBot="1" x14ac:dyDescent="0.45">
      <c r="A1" s="1263" t="s">
        <v>370</v>
      </c>
      <c r="B1" s="1263"/>
      <c r="C1" s="1263"/>
      <c r="D1" s="1263"/>
      <c r="E1" s="1263"/>
      <c r="L1" s="1266" t="s">
        <v>371</v>
      </c>
      <c r="M1" s="1267"/>
      <c r="N1" s="1268"/>
      <c r="R1" s="1263" t="s">
        <v>372</v>
      </c>
      <c r="S1" s="1263"/>
      <c r="T1" s="1263"/>
      <c r="U1" s="1263"/>
      <c r="V1" s="1263"/>
    </row>
    <row r="2" spans="1:22" x14ac:dyDescent="0.4">
      <c r="L2" s="1181"/>
      <c r="M2" s="1181"/>
      <c r="N2" s="1181"/>
    </row>
    <row r="3" spans="1:22" ht="16.5" x14ac:dyDescent="0.55000000000000004">
      <c r="A3" s="1273">
        <v>1</v>
      </c>
      <c r="B3" s="1270" t="s">
        <v>1083</v>
      </c>
      <c r="C3" s="1270"/>
      <c r="D3" s="1270"/>
      <c r="E3" s="1270"/>
      <c r="F3" s="1270"/>
      <c r="G3" s="1270"/>
      <c r="H3" s="1270"/>
      <c r="I3" s="1270"/>
      <c r="J3" s="1270"/>
      <c r="K3" s="1270"/>
      <c r="L3" s="1270"/>
      <c r="M3" s="1270"/>
      <c r="N3" s="1270"/>
      <c r="O3" s="1270"/>
      <c r="P3" s="1270"/>
      <c r="Q3" s="592"/>
      <c r="R3" s="1262" t="s">
        <v>435</v>
      </c>
      <c r="S3" s="1262"/>
      <c r="U3" s="585" t="s">
        <v>373</v>
      </c>
    </row>
    <row r="4" spans="1:22" ht="14.4" x14ac:dyDescent="0.55000000000000004">
      <c r="A4" s="1273"/>
      <c r="B4" s="1270"/>
      <c r="C4" s="1270"/>
      <c r="D4" s="1270"/>
      <c r="E4" s="1270"/>
      <c r="F4" s="1270"/>
      <c r="G4" s="1270"/>
      <c r="H4" s="1270"/>
      <c r="I4" s="1270"/>
      <c r="J4" s="1270"/>
      <c r="K4" s="1270"/>
      <c r="L4" s="1270"/>
      <c r="M4" s="1270"/>
      <c r="N4" s="1270"/>
      <c r="O4" s="1270"/>
      <c r="P4" s="1270"/>
      <c r="R4" s="1262" t="s">
        <v>436</v>
      </c>
      <c r="S4" s="1262"/>
      <c r="U4" s="585" t="s">
        <v>374</v>
      </c>
    </row>
    <row r="5" spans="1:22" ht="37" customHeight="1" x14ac:dyDescent="0.55000000000000004">
      <c r="A5" s="1273"/>
      <c r="B5" s="1271"/>
      <c r="C5" s="1271"/>
      <c r="D5" s="1271"/>
      <c r="E5" s="1271"/>
      <c r="F5" s="1271"/>
      <c r="G5" s="1271"/>
      <c r="H5" s="1271"/>
      <c r="I5" s="1271"/>
      <c r="J5" s="1271"/>
      <c r="K5" s="1271"/>
      <c r="L5" s="1271"/>
      <c r="M5" s="1271"/>
      <c r="N5" s="1271"/>
      <c r="O5" s="1271"/>
      <c r="P5" s="1271"/>
      <c r="Q5" s="1183">
        <v>1</v>
      </c>
      <c r="R5" s="1264" t="s">
        <v>437</v>
      </c>
      <c r="S5" s="1264"/>
      <c r="U5" s="585" t="s">
        <v>375</v>
      </c>
    </row>
    <row r="6" spans="1:22" ht="41.05" customHeight="1" x14ac:dyDescent="0.55000000000000004">
      <c r="A6" s="1180">
        <v>2</v>
      </c>
      <c r="B6" s="1269" t="s">
        <v>448</v>
      </c>
      <c r="C6" s="1269"/>
      <c r="D6" s="1269"/>
      <c r="E6" s="1269"/>
      <c r="F6" s="1269"/>
      <c r="G6" s="1269"/>
      <c r="H6" s="1269"/>
      <c r="I6" s="1269"/>
      <c r="J6" s="1269"/>
      <c r="K6" s="1269"/>
      <c r="L6" s="1269"/>
      <c r="M6" s="1269"/>
      <c r="N6" s="1269"/>
      <c r="O6" s="1269"/>
      <c r="P6" s="1269"/>
      <c r="Q6" s="593"/>
      <c r="R6" s="1265" t="s">
        <v>438</v>
      </c>
      <c r="S6" s="1265"/>
      <c r="U6" s="585" t="s">
        <v>376</v>
      </c>
    </row>
    <row r="7" spans="1:22" ht="16.5" hidden="1" x14ac:dyDescent="0.55000000000000004">
      <c r="B7" s="636"/>
      <c r="C7" s="636"/>
      <c r="D7" s="636"/>
      <c r="E7" s="636"/>
      <c r="F7" s="636"/>
      <c r="G7" s="636"/>
      <c r="H7" s="636"/>
      <c r="I7" s="636"/>
      <c r="J7" s="636"/>
      <c r="K7" s="636"/>
      <c r="L7" s="636"/>
      <c r="M7" s="636"/>
      <c r="N7" s="636"/>
      <c r="O7" s="636"/>
      <c r="P7" s="636"/>
      <c r="Q7" s="593"/>
      <c r="R7" s="1182" t="s">
        <v>400</v>
      </c>
      <c r="S7" s="732"/>
      <c r="U7" s="585" t="s">
        <v>377</v>
      </c>
    </row>
    <row r="8" spans="1:22" ht="31" customHeight="1" x14ac:dyDescent="0.55000000000000004">
      <c r="A8" s="1273">
        <v>3</v>
      </c>
      <c r="B8" s="1272" t="s">
        <v>449</v>
      </c>
      <c r="C8" s="1272"/>
      <c r="D8" s="1272"/>
      <c r="E8" s="1272"/>
      <c r="F8" s="1272"/>
      <c r="G8" s="1272"/>
      <c r="H8" s="1272"/>
      <c r="I8" s="1272"/>
      <c r="J8" s="1272"/>
      <c r="K8" s="1272"/>
      <c r="L8" s="1272"/>
      <c r="M8" s="1272"/>
      <c r="N8" s="1272"/>
      <c r="O8" s="1272"/>
      <c r="P8" s="1272"/>
      <c r="Q8" s="593"/>
      <c r="R8" s="1265" t="s">
        <v>400</v>
      </c>
      <c r="S8" s="1265"/>
      <c r="T8" s="585"/>
      <c r="U8" s="585" t="s">
        <v>377</v>
      </c>
    </row>
    <row r="9" spans="1:22" ht="16.5" x14ac:dyDescent="0.55000000000000004">
      <c r="A9" s="1273"/>
      <c r="B9" s="636"/>
      <c r="C9" s="636"/>
      <c r="D9" s="636"/>
      <c r="E9" s="636"/>
      <c r="F9" s="636"/>
      <c r="G9" s="636"/>
      <c r="H9" s="636"/>
      <c r="I9" s="636"/>
      <c r="J9" s="636"/>
      <c r="K9" s="636"/>
      <c r="L9" s="636"/>
      <c r="M9" s="636"/>
      <c r="N9" s="636"/>
      <c r="O9" s="636"/>
      <c r="P9" s="636"/>
      <c r="Q9" s="593"/>
      <c r="R9" s="1262" t="s">
        <v>439</v>
      </c>
      <c r="S9" s="1262"/>
      <c r="U9" s="585" t="s">
        <v>378</v>
      </c>
    </row>
    <row r="10" spans="1:22" ht="16.5" x14ac:dyDescent="0.55000000000000004">
      <c r="B10" s="634"/>
      <c r="C10" s="634"/>
      <c r="D10" s="634"/>
      <c r="E10" s="634"/>
      <c r="F10" s="634"/>
      <c r="G10" s="634"/>
      <c r="H10" s="634"/>
      <c r="I10" s="634"/>
      <c r="J10" s="634"/>
      <c r="K10" s="634"/>
      <c r="L10" s="634"/>
      <c r="M10" s="634"/>
      <c r="N10" s="634"/>
      <c r="O10" s="634"/>
      <c r="P10" s="634"/>
      <c r="Q10" s="593"/>
      <c r="R10" s="1262" t="s">
        <v>446</v>
      </c>
      <c r="S10" s="1262"/>
      <c r="U10" s="585" t="s">
        <v>380</v>
      </c>
    </row>
    <row r="11" spans="1:22" ht="16.5" x14ac:dyDescent="0.55000000000000004">
      <c r="B11" s="635"/>
      <c r="C11" s="635"/>
      <c r="D11" s="635"/>
      <c r="E11" s="635"/>
      <c r="F11" s="635"/>
      <c r="G11" s="635"/>
      <c r="H11" s="635"/>
      <c r="I11" s="635"/>
      <c r="J11" s="635"/>
      <c r="K11" s="635"/>
      <c r="L11" s="635"/>
      <c r="M11" s="635"/>
      <c r="N11" s="635"/>
      <c r="O11" s="635"/>
      <c r="P11" s="635"/>
      <c r="Q11" s="593"/>
      <c r="R11" s="1262" t="s">
        <v>445</v>
      </c>
      <c r="S11" s="1262"/>
      <c r="T11" s="609"/>
      <c r="U11" s="585" t="s">
        <v>381</v>
      </c>
    </row>
    <row r="12" spans="1:22" ht="14.4" x14ac:dyDescent="0.55000000000000004">
      <c r="B12" s="634"/>
      <c r="C12" s="634"/>
      <c r="D12" s="634"/>
      <c r="E12" s="634"/>
      <c r="F12" s="634"/>
      <c r="G12" s="634"/>
      <c r="H12" s="634"/>
      <c r="I12" s="634"/>
      <c r="J12" s="634"/>
      <c r="K12" s="634"/>
      <c r="L12" s="634"/>
      <c r="M12" s="634"/>
      <c r="N12" s="634"/>
      <c r="O12" s="634"/>
      <c r="P12" s="634"/>
      <c r="R12" s="586"/>
      <c r="S12" s="609"/>
      <c r="T12" s="609"/>
      <c r="U12" s="609"/>
    </row>
    <row r="13" spans="1:22" ht="14.4" x14ac:dyDescent="0.55000000000000004">
      <c r="B13" s="635"/>
      <c r="C13" s="635"/>
      <c r="D13" s="635"/>
      <c r="E13" s="635"/>
      <c r="F13" s="635"/>
      <c r="G13" s="635"/>
      <c r="H13" s="635"/>
      <c r="I13" s="635"/>
      <c r="J13" s="635"/>
      <c r="K13" s="635"/>
      <c r="L13" s="635"/>
      <c r="M13" s="635"/>
      <c r="N13" s="635"/>
      <c r="O13" s="635"/>
      <c r="P13" s="635"/>
      <c r="R13" s="586"/>
    </row>
    <row r="14" spans="1:22" ht="14.4" x14ac:dyDescent="0.55000000000000004">
      <c r="B14" s="634"/>
      <c r="C14" s="634"/>
      <c r="D14" s="634"/>
      <c r="E14" s="634"/>
      <c r="F14" s="634"/>
      <c r="G14" s="634"/>
      <c r="H14" s="634"/>
      <c r="I14" s="634"/>
      <c r="J14" s="634"/>
      <c r="K14" s="634"/>
      <c r="L14" s="634"/>
      <c r="M14" s="634"/>
      <c r="N14" s="634"/>
      <c r="O14" s="634"/>
      <c r="P14" s="634"/>
      <c r="R14" s="586"/>
    </row>
    <row r="15" spans="1:22" ht="16.5" x14ac:dyDescent="0.55000000000000004">
      <c r="B15" s="635"/>
      <c r="C15" s="635"/>
      <c r="D15" s="635"/>
      <c r="E15" s="635"/>
      <c r="F15" s="635"/>
      <c r="G15" s="635"/>
      <c r="H15" s="635"/>
      <c r="I15" s="635"/>
      <c r="J15" s="635"/>
      <c r="K15" s="635"/>
      <c r="L15" s="635"/>
      <c r="M15" s="635"/>
      <c r="N15" s="635"/>
      <c r="O15" s="635"/>
      <c r="P15" s="635"/>
      <c r="Q15" s="593"/>
      <c r="R15" s="586"/>
    </row>
    <row r="16" spans="1:22" ht="16.5" x14ac:dyDescent="0.55000000000000004">
      <c r="B16" s="634"/>
      <c r="C16" s="634"/>
      <c r="D16" s="634"/>
      <c r="E16" s="634"/>
      <c r="F16" s="634"/>
      <c r="G16" s="634"/>
      <c r="H16" s="634"/>
      <c r="I16" s="634"/>
      <c r="J16" s="634"/>
      <c r="K16" s="634"/>
      <c r="L16" s="634"/>
      <c r="M16" s="634"/>
      <c r="N16" s="634"/>
      <c r="O16" s="634"/>
      <c r="P16" s="634"/>
      <c r="Q16" s="593"/>
      <c r="R16" s="586"/>
    </row>
    <row r="17" spans="1:36" ht="14.4" x14ac:dyDescent="0.4">
      <c r="B17" s="635"/>
      <c r="C17" s="635"/>
      <c r="D17" s="635"/>
      <c r="E17" s="635"/>
      <c r="F17" s="635"/>
      <c r="G17" s="635"/>
      <c r="H17" s="635"/>
      <c r="I17" s="635"/>
      <c r="J17" s="635"/>
      <c r="K17" s="635"/>
      <c r="L17" s="635"/>
      <c r="M17" s="635"/>
      <c r="N17" s="635"/>
      <c r="O17" s="635"/>
      <c r="P17" s="635"/>
    </row>
    <row r="18" spans="1:36" ht="16.5" x14ac:dyDescent="0.55000000000000004">
      <c r="B18" s="594"/>
      <c r="C18" s="594"/>
      <c r="D18" s="594"/>
      <c r="E18" s="594"/>
      <c r="F18" s="594"/>
      <c r="G18" s="594"/>
      <c r="H18" s="594"/>
      <c r="I18" s="594"/>
      <c r="J18" s="594"/>
      <c r="K18" s="594"/>
      <c r="L18" s="594"/>
      <c r="M18" s="594"/>
      <c r="N18" s="594"/>
      <c r="O18" s="594"/>
      <c r="P18" s="594"/>
      <c r="Q18" s="593">
        <v>1</v>
      </c>
      <c r="R18" s="595" t="s">
        <v>447</v>
      </c>
      <c r="S18" s="595"/>
      <c r="T18" s="595"/>
      <c r="U18" s="595"/>
      <c r="V18" s="595"/>
      <c r="W18" s="595"/>
      <c r="X18" s="595"/>
      <c r="Y18" s="595"/>
      <c r="Z18" s="595"/>
      <c r="AA18" s="595"/>
      <c r="AB18" s="596"/>
    </row>
    <row r="19" spans="1:36" ht="14.4" x14ac:dyDescent="0.55000000000000004">
      <c r="A19" s="588" t="s">
        <v>382</v>
      </c>
      <c r="B19" s="588"/>
      <c r="C19" s="588"/>
      <c r="D19" s="588"/>
      <c r="E19" s="588"/>
      <c r="F19" s="588"/>
    </row>
    <row r="20" spans="1:36" ht="14.4" x14ac:dyDescent="0.55000000000000004">
      <c r="B20" s="586" t="s">
        <v>383</v>
      </c>
    </row>
    <row r="21" spans="1:36" ht="14.4" x14ac:dyDescent="0.55000000000000004">
      <c r="B21" s="597"/>
      <c r="C21" s="598" t="s">
        <v>442</v>
      </c>
      <c r="D21" s="598"/>
      <c r="E21" s="598"/>
      <c r="F21" s="598"/>
      <c r="G21" s="598"/>
      <c r="H21" s="598" t="s">
        <v>444</v>
      </c>
      <c r="I21" s="598"/>
      <c r="J21" s="598"/>
      <c r="K21" s="598"/>
    </row>
    <row r="22" spans="1:36" ht="14.4" x14ac:dyDescent="0.55000000000000004">
      <c r="B22" s="597"/>
      <c r="C22" s="597"/>
      <c r="D22" s="597"/>
      <c r="E22" s="597"/>
      <c r="F22" s="597"/>
      <c r="G22" s="597"/>
      <c r="H22" s="597"/>
      <c r="I22" s="597"/>
      <c r="J22" s="597"/>
      <c r="K22" s="597"/>
    </row>
    <row r="23" spans="1:36" ht="14.4" x14ac:dyDescent="0.55000000000000004">
      <c r="B23" s="597">
        <v>1</v>
      </c>
      <c r="C23" s="597" t="s">
        <v>441</v>
      </c>
      <c r="D23" s="597"/>
      <c r="E23" s="597"/>
      <c r="F23" s="597"/>
      <c r="G23" s="597">
        <v>1</v>
      </c>
      <c r="H23" s="597" t="s">
        <v>446</v>
      </c>
      <c r="I23" s="597"/>
      <c r="J23" s="597"/>
      <c r="K23" s="597"/>
    </row>
    <row r="24" spans="1:36" ht="14.4" x14ac:dyDescent="0.55000000000000004">
      <c r="B24" s="597">
        <v>2</v>
      </c>
      <c r="C24" s="597" t="s">
        <v>435</v>
      </c>
      <c r="D24" s="597"/>
      <c r="E24" s="597"/>
      <c r="F24" s="597"/>
      <c r="G24" s="597">
        <v>2</v>
      </c>
      <c r="H24" s="597" t="s">
        <v>445</v>
      </c>
      <c r="I24" s="597"/>
      <c r="J24" s="597"/>
      <c r="K24" s="597"/>
    </row>
    <row r="25" spans="1:36" ht="14.4" x14ac:dyDescent="0.55000000000000004">
      <c r="B25" s="597">
        <v>3</v>
      </c>
      <c r="C25" s="597" t="s">
        <v>436</v>
      </c>
      <c r="D25" s="597"/>
      <c r="E25" s="597"/>
      <c r="F25" s="597"/>
      <c r="G25" s="597"/>
      <c r="H25" s="597"/>
      <c r="I25" s="597"/>
      <c r="J25" s="597"/>
      <c r="K25" s="597"/>
    </row>
    <row r="26" spans="1:36" ht="14.4" x14ac:dyDescent="0.55000000000000004">
      <c r="B26" s="597">
        <v>4</v>
      </c>
      <c r="C26" s="597" t="s">
        <v>443</v>
      </c>
      <c r="D26" s="597"/>
      <c r="E26" s="597"/>
      <c r="F26" s="597"/>
      <c r="G26" s="597"/>
      <c r="H26" s="597"/>
      <c r="I26" s="597"/>
      <c r="J26" s="597"/>
      <c r="K26" s="597"/>
    </row>
    <row r="27" spans="1:36" ht="14.4" x14ac:dyDescent="0.55000000000000004">
      <c r="B27" s="597">
        <v>5</v>
      </c>
      <c r="C27" s="597" t="s">
        <v>438</v>
      </c>
      <c r="D27" s="597"/>
      <c r="E27" s="597"/>
      <c r="F27" s="597"/>
      <c r="G27" s="597"/>
      <c r="H27" s="597"/>
      <c r="I27" s="597"/>
      <c r="J27" s="597"/>
      <c r="K27" s="597"/>
    </row>
    <row r="28" spans="1:36" ht="14.4" x14ac:dyDescent="0.55000000000000004">
      <c r="B28" s="597">
        <v>6</v>
      </c>
      <c r="C28" s="597" t="s">
        <v>379</v>
      </c>
      <c r="D28" s="597"/>
      <c r="E28" s="597"/>
      <c r="F28" s="597"/>
      <c r="G28" s="597"/>
      <c r="H28" s="599"/>
      <c r="I28" s="597"/>
      <c r="J28" s="597"/>
      <c r="K28" s="597"/>
      <c r="AB28" s="600"/>
      <c r="AC28" s="600"/>
      <c r="AD28" s="601"/>
      <c r="AE28" s="601"/>
      <c r="AF28" s="601"/>
      <c r="AG28" s="601"/>
      <c r="AH28" s="601"/>
      <c r="AI28" s="601"/>
      <c r="AJ28" s="601"/>
    </row>
    <row r="29" spans="1:36" ht="14.4" x14ac:dyDescent="0.55000000000000004">
      <c r="B29" s="597">
        <v>7</v>
      </c>
      <c r="C29" s="597" t="s">
        <v>400</v>
      </c>
      <c r="D29" s="597"/>
      <c r="E29" s="597"/>
      <c r="F29" s="597"/>
      <c r="G29" s="597"/>
      <c r="H29" s="597"/>
      <c r="I29" s="597"/>
      <c r="J29" s="597"/>
      <c r="K29" s="597"/>
      <c r="AB29" s="602"/>
      <c r="AC29" s="601"/>
      <c r="AD29" s="601"/>
      <c r="AE29" s="601"/>
      <c r="AF29" s="601"/>
      <c r="AG29" s="601"/>
      <c r="AH29" s="601"/>
      <c r="AI29" s="601"/>
      <c r="AJ29" s="601"/>
    </row>
    <row r="30" spans="1:36" ht="14.4" x14ac:dyDescent="0.55000000000000004">
      <c r="B30" s="597">
        <v>8</v>
      </c>
      <c r="C30" s="597" t="s">
        <v>423</v>
      </c>
      <c r="D30" s="597"/>
      <c r="E30" s="597"/>
      <c r="F30" s="597"/>
      <c r="G30" s="597"/>
      <c r="H30" s="597"/>
      <c r="I30" s="597"/>
      <c r="J30" s="597"/>
      <c r="K30" s="597"/>
      <c r="AH30" s="601"/>
      <c r="AI30" s="601"/>
      <c r="AJ30" s="601"/>
    </row>
    <row r="31" spans="1:36" x14ac:dyDescent="0.4">
      <c r="AH31" s="601"/>
      <c r="AI31" s="601"/>
      <c r="AJ31" s="601"/>
    </row>
    <row r="32" spans="1:36" ht="14.4" x14ac:dyDescent="0.55000000000000004">
      <c r="C32" s="603"/>
      <c r="AH32" s="601"/>
      <c r="AI32" s="601"/>
      <c r="AJ32" s="601"/>
    </row>
    <row r="33" spans="28:36" x14ac:dyDescent="0.4">
      <c r="AH33" s="601"/>
      <c r="AI33" s="601"/>
      <c r="AJ33" s="601"/>
    </row>
    <row r="34" spans="28:36" x14ac:dyDescent="0.4">
      <c r="AH34" s="601"/>
      <c r="AI34" s="601"/>
      <c r="AJ34" s="601"/>
    </row>
    <row r="35" spans="28:36" x14ac:dyDescent="0.4">
      <c r="AH35" s="601"/>
      <c r="AI35" s="601"/>
      <c r="AJ35" s="601"/>
    </row>
    <row r="36" spans="28:36" x14ac:dyDescent="0.4">
      <c r="AH36" s="601"/>
      <c r="AI36" s="601"/>
      <c r="AJ36" s="601"/>
    </row>
    <row r="37" spans="28:36" x14ac:dyDescent="0.4">
      <c r="AH37" s="601"/>
      <c r="AI37" s="601"/>
      <c r="AJ37" s="601"/>
    </row>
    <row r="38" spans="28:36" x14ac:dyDescent="0.4">
      <c r="AH38" s="601"/>
      <c r="AI38" s="601"/>
      <c r="AJ38" s="601"/>
    </row>
    <row r="39" spans="28:36" x14ac:dyDescent="0.4">
      <c r="AH39" s="601"/>
      <c r="AI39" s="601"/>
      <c r="AJ39" s="601"/>
    </row>
    <row r="40" spans="28:36" x14ac:dyDescent="0.4">
      <c r="AB40" s="600"/>
      <c r="AC40" s="600"/>
      <c r="AD40" s="601"/>
      <c r="AE40" s="601"/>
      <c r="AF40" s="601"/>
      <c r="AG40" s="601"/>
      <c r="AH40" s="601"/>
      <c r="AI40" s="601"/>
      <c r="AJ40" s="601"/>
    </row>
    <row r="41" spans="28:36" x14ac:dyDescent="0.4">
      <c r="AB41" s="600"/>
      <c r="AC41" s="600"/>
      <c r="AD41" s="601"/>
      <c r="AE41" s="601"/>
      <c r="AF41" s="601"/>
      <c r="AG41" s="601"/>
      <c r="AH41" s="601"/>
      <c r="AI41" s="601"/>
      <c r="AJ41" s="601"/>
    </row>
    <row r="42" spans="28:36" x14ac:dyDescent="0.4">
      <c r="AB42" s="604"/>
      <c r="AC42" s="604"/>
      <c r="AD42" s="601"/>
      <c r="AE42" s="601"/>
      <c r="AF42" s="601"/>
      <c r="AG42" s="601"/>
      <c r="AH42" s="601"/>
      <c r="AI42" s="601"/>
      <c r="AJ42" s="601"/>
    </row>
    <row r="43" spans="28:36" x14ac:dyDescent="0.4">
      <c r="AB43" s="604"/>
      <c r="AC43" s="604"/>
      <c r="AD43" s="601"/>
      <c r="AE43" s="601"/>
      <c r="AF43" s="601"/>
      <c r="AG43" s="601"/>
      <c r="AH43" s="601"/>
      <c r="AI43" s="601"/>
      <c r="AJ43" s="601"/>
    </row>
    <row r="44" spans="28:36" x14ac:dyDescent="0.4">
      <c r="AB44" s="604"/>
      <c r="AC44" s="604"/>
      <c r="AD44" s="601"/>
      <c r="AE44" s="601"/>
      <c r="AF44" s="601"/>
      <c r="AG44" s="601"/>
      <c r="AH44" s="601"/>
      <c r="AI44" s="601"/>
      <c r="AJ44" s="601"/>
    </row>
    <row r="45" spans="28:36" x14ac:dyDescent="0.4">
      <c r="AB45" s="601"/>
      <c r="AC45" s="601"/>
      <c r="AD45" s="601"/>
      <c r="AE45" s="601"/>
      <c r="AF45" s="601"/>
      <c r="AG45" s="601"/>
      <c r="AH45" s="601"/>
      <c r="AI45" s="601"/>
      <c r="AJ45" s="601"/>
    </row>
    <row r="46" spans="28:36" x14ac:dyDescent="0.4">
      <c r="AB46" s="601"/>
      <c r="AC46" s="601"/>
      <c r="AD46" s="601"/>
      <c r="AE46" s="601"/>
      <c r="AF46" s="601"/>
      <c r="AG46" s="601"/>
      <c r="AH46" s="601"/>
      <c r="AI46" s="601"/>
      <c r="AJ46" s="601"/>
    </row>
    <row r="47" spans="28:36" x14ac:dyDescent="0.4">
      <c r="AB47" s="605"/>
      <c r="AC47" s="604"/>
      <c r="AD47" s="604"/>
      <c r="AE47" s="601"/>
      <c r="AF47" s="601"/>
      <c r="AG47" s="601"/>
      <c r="AH47" s="601"/>
      <c r="AI47" s="601"/>
      <c r="AJ47" s="601"/>
    </row>
    <row r="48" spans="28:36" x14ac:dyDescent="0.4">
      <c r="AB48" s="601"/>
      <c r="AC48" s="604"/>
      <c r="AD48" s="604"/>
      <c r="AE48" s="601"/>
      <c r="AF48" s="601"/>
      <c r="AG48" s="601"/>
      <c r="AH48" s="601"/>
      <c r="AI48" s="601"/>
      <c r="AJ48" s="601"/>
    </row>
    <row r="49" spans="28:36" x14ac:dyDescent="0.4">
      <c r="AB49" s="601"/>
      <c r="AC49" s="604"/>
      <c r="AD49" s="604"/>
      <c r="AE49" s="601"/>
      <c r="AF49" s="601"/>
      <c r="AG49" s="601"/>
      <c r="AH49" s="601"/>
      <c r="AI49" s="601"/>
      <c r="AJ49" s="601"/>
    </row>
    <row r="50" spans="28:36" x14ac:dyDescent="0.4">
      <c r="AB50" s="601"/>
      <c r="AC50" s="604"/>
      <c r="AD50" s="604"/>
      <c r="AE50" s="601"/>
      <c r="AF50" s="601"/>
      <c r="AG50" s="601"/>
      <c r="AH50" s="601"/>
      <c r="AI50" s="601"/>
      <c r="AJ50" s="601"/>
    </row>
    <row r="51" spans="28:36" x14ac:dyDescent="0.4">
      <c r="AB51" s="601"/>
      <c r="AC51" s="601"/>
      <c r="AD51" s="601"/>
      <c r="AE51" s="601"/>
      <c r="AF51" s="601"/>
      <c r="AG51" s="601"/>
      <c r="AH51" s="601"/>
      <c r="AI51" s="601"/>
      <c r="AJ51" s="601"/>
    </row>
    <row r="52" spans="28:36" x14ac:dyDescent="0.4">
      <c r="AB52" s="601"/>
      <c r="AC52" s="601"/>
      <c r="AD52" s="601"/>
      <c r="AE52" s="601"/>
      <c r="AF52" s="601"/>
      <c r="AG52" s="601"/>
      <c r="AH52" s="601"/>
      <c r="AI52" s="601"/>
      <c r="AJ52" s="601"/>
    </row>
    <row r="53" spans="28:36" x14ac:dyDescent="0.4">
      <c r="AB53" s="601"/>
      <c r="AC53" s="601"/>
      <c r="AD53" s="601"/>
      <c r="AE53" s="601"/>
      <c r="AF53" s="601"/>
      <c r="AG53" s="601"/>
      <c r="AH53" s="601"/>
      <c r="AI53" s="601"/>
      <c r="AJ53" s="601"/>
    </row>
    <row r="54" spans="28:36" x14ac:dyDescent="0.4">
      <c r="AB54" s="601"/>
      <c r="AC54" s="601"/>
      <c r="AD54" s="601"/>
      <c r="AE54" s="601"/>
      <c r="AF54" s="601"/>
      <c r="AG54" s="601"/>
      <c r="AH54" s="601"/>
      <c r="AI54" s="601"/>
      <c r="AJ54" s="601"/>
    </row>
    <row r="55" spans="28:36" x14ac:dyDescent="0.4">
      <c r="AB55" s="601"/>
      <c r="AC55" s="601"/>
      <c r="AD55" s="601"/>
      <c r="AE55" s="601"/>
      <c r="AF55" s="601"/>
      <c r="AG55" s="601"/>
      <c r="AH55" s="601"/>
      <c r="AI55" s="601"/>
      <c r="AJ55" s="601"/>
    </row>
    <row r="56" spans="28:36" x14ac:dyDescent="0.4">
      <c r="AB56" s="601"/>
      <c r="AC56" s="601"/>
      <c r="AD56" s="601"/>
      <c r="AE56" s="601"/>
      <c r="AF56" s="601"/>
      <c r="AG56" s="601"/>
      <c r="AH56" s="601"/>
      <c r="AI56" s="601"/>
      <c r="AJ56" s="601"/>
    </row>
    <row r="57" spans="28:36" x14ac:dyDescent="0.4">
      <c r="AB57" s="601"/>
      <c r="AC57" s="601"/>
      <c r="AD57" s="601"/>
      <c r="AE57" s="601"/>
      <c r="AF57" s="601"/>
      <c r="AG57" s="601"/>
      <c r="AH57" s="601"/>
      <c r="AI57" s="601"/>
      <c r="AJ57" s="601"/>
    </row>
  </sheetData>
  <mergeCells count="16">
    <mergeCell ref="L1:N1"/>
    <mergeCell ref="A1:E1"/>
    <mergeCell ref="B6:P6"/>
    <mergeCell ref="B3:P5"/>
    <mergeCell ref="B8:P8"/>
    <mergeCell ref="A3:A5"/>
    <mergeCell ref="A8:A9"/>
    <mergeCell ref="R9:S9"/>
    <mergeCell ref="R10:S10"/>
    <mergeCell ref="R11:S11"/>
    <mergeCell ref="R1:V1"/>
    <mergeCell ref="R3:S3"/>
    <mergeCell ref="R4:S4"/>
    <mergeCell ref="R5:S5"/>
    <mergeCell ref="R6:S6"/>
    <mergeCell ref="R8:S8"/>
  </mergeCell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174"/>
    <cellWatch r="AZ175"/>
    <cellWatch r="AZ242"/>
    <cellWatch r="AZ243"/>
    <cellWatch r="AZ244"/>
    <cellWatch r="AZ245"/>
    <cellWatch r="AY139"/>
    <cellWatch r="AY140"/>
    <cellWatch r="AY141"/>
    <cellWatch r="AY142"/>
    <cellWatch r="AY143"/>
    <cellWatch r="AY144"/>
    <cellWatch r="AY145"/>
    <cellWatch r="AY146"/>
    <cellWatch r="AY147"/>
    <cellWatch r="AZ176"/>
    <cellWatch r="AZ177"/>
    <cellWatch r="AZ178"/>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Y135"/>
    <cellWatch r="AY136"/>
    <cellWatch r="AY137"/>
    <cellWatch r="AY138"/>
    <cellWatch r="AZ179"/>
    <cellWatch r="AZ180"/>
    <cellWatch r="AZ181"/>
    <cellWatch r="AZ182"/>
    <cellWatch r="BB172"/>
    <cellWatch r="AZ246"/>
    <cellWatch r="AY183"/>
    <cellWatch r="AY184"/>
    <cellWatch r="AY185"/>
    <cellWatch r="AY186"/>
    <cellWatch r="AY187"/>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2"/>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AZ322"/>
    <cellWatch r="BB173"/>
    <cellWatch r="AZ247"/>
    <cellWatch r="AY188"/>
    <cellWatch r="AZ248"/>
    <cellWatch r="AZ249"/>
    <cellWatch r="AZ250"/>
    <cellWatch r="AZ323"/>
    <cellWatch r="AZ324"/>
    <cellWatch r="AZ325"/>
    <cellWatch r="BB174"/>
    <cellWatch r="BB175"/>
    <cellWatch r="BB176"/>
    <cellWatch r="AY189"/>
    <cellWatch r="AY190"/>
    <cellWatch r="AY191"/>
  </cellWatch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8E34-18B1-954E-9724-FF656C9F8F70}">
  <dimension ref="A1:EV707"/>
  <sheetViews>
    <sheetView topLeftCell="C54" zoomScale="50" zoomScaleNormal="50" workbookViewId="0">
      <selection activeCell="P53" sqref="P53"/>
    </sheetView>
  </sheetViews>
  <sheetFormatPr defaultColWidth="10.83203125" defaultRowHeight="12.3" x14ac:dyDescent="0.4"/>
  <cols>
    <col min="1" max="1" width="27" style="609" customWidth="1"/>
    <col min="2" max="2" width="22.1640625" style="609" customWidth="1"/>
    <col min="3" max="3" width="24.33203125" style="609" customWidth="1"/>
    <col min="4" max="4" width="11.6640625" style="609" bestFit="1" customWidth="1"/>
    <col min="5" max="5" width="10.83203125" style="609"/>
    <col min="6" max="6" width="10.83203125" style="371"/>
    <col min="7" max="16384" width="10.83203125" style="609"/>
  </cols>
  <sheetData>
    <row r="1" spans="1:135" ht="20.100000000000001" x14ac:dyDescent="0.7">
      <c r="A1" s="4" t="str">
        <f ca="1">MID(CELL("filename",A1),FIND("]",CELL("filename",A1))+1,256)</f>
        <v>Total MSW TAM Data_Updated2020</v>
      </c>
      <c r="B1" s="4"/>
      <c r="C1" s="670" t="s">
        <v>280</v>
      </c>
      <c r="D1" s="670"/>
      <c r="E1" s="670"/>
      <c r="F1" s="670"/>
      <c r="G1" s="670"/>
      <c r="H1" s="670"/>
      <c r="I1" s="670"/>
      <c r="J1" s="670"/>
      <c r="K1" s="670"/>
      <c r="L1" s="670"/>
      <c r="M1" s="670"/>
      <c r="N1" s="5"/>
      <c r="O1" s="5"/>
      <c r="P1" s="5"/>
      <c r="Q1" s="6"/>
      <c r="S1" s="4"/>
      <c r="T1" s="4"/>
      <c r="U1" s="6"/>
      <c r="V1" s="7"/>
      <c r="W1" s="7"/>
      <c r="X1" s="8"/>
      <c r="Y1" s="8"/>
      <c r="Z1" s="8"/>
      <c r="AA1" s="8"/>
      <c r="AB1" s="8"/>
      <c r="AC1" s="8"/>
      <c r="AD1" s="8"/>
      <c r="AE1" s="8"/>
      <c r="AF1" s="9"/>
      <c r="AG1" s="671" t="s">
        <v>11</v>
      </c>
      <c r="AH1" s="671"/>
      <c r="AI1" s="671"/>
      <c r="AJ1" s="671"/>
      <c r="AK1" s="671"/>
      <c r="DW1" s="10"/>
      <c r="EA1" s="11"/>
      <c r="EB1" s="11"/>
      <c r="EC1" s="11"/>
      <c r="ED1" s="11"/>
      <c r="EE1" s="11"/>
    </row>
    <row r="2" spans="1:135" ht="17.7" x14ac:dyDescent="0.5">
      <c r="A2" s="12" t="s">
        <v>12</v>
      </c>
      <c r="B2" s="13"/>
      <c r="C2" s="14"/>
      <c r="D2" s="15"/>
      <c r="E2" s="15"/>
      <c r="F2" s="15"/>
      <c r="G2" s="15"/>
      <c r="H2" s="15"/>
      <c r="I2" s="15"/>
      <c r="J2" s="15"/>
      <c r="K2" s="15"/>
      <c r="L2" s="15"/>
      <c r="M2" s="15"/>
      <c r="N2" s="16"/>
      <c r="O2" s="16"/>
      <c r="P2" s="16"/>
      <c r="Q2" s="16"/>
      <c r="R2" s="16"/>
      <c r="S2" s="16"/>
      <c r="T2" s="16"/>
      <c r="U2" s="17"/>
      <c r="V2" s="18"/>
      <c r="W2" s="17"/>
      <c r="X2" s="17"/>
      <c r="Y2" s="17"/>
      <c r="Z2" s="17"/>
      <c r="AA2" s="17"/>
      <c r="AB2" s="17"/>
      <c r="AC2" s="17"/>
      <c r="AD2" s="17"/>
      <c r="AE2" s="17"/>
      <c r="AF2" s="17"/>
      <c r="AG2" s="19" t="s">
        <v>13</v>
      </c>
      <c r="AH2" s="19"/>
      <c r="AI2" s="19" t="s">
        <v>14</v>
      </c>
      <c r="AJ2" s="19" t="s">
        <v>15</v>
      </c>
      <c r="AK2" s="19" t="s">
        <v>16</v>
      </c>
      <c r="DW2" s="21"/>
      <c r="EA2" s="22"/>
      <c r="EB2" s="22"/>
      <c r="EC2" s="22"/>
      <c r="ED2" s="22"/>
      <c r="EE2" s="22"/>
    </row>
    <row r="3" spans="1:135" ht="17.7" x14ac:dyDescent="0.5">
      <c r="A3" s="23" t="str">
        <f ca="1">HYPERLINK("#"&amp;"'"&amp;A$1&amp;"'!TAMInputGlobalData","Input Global Data")</f>
        <v>Input Global Data</v>
      </c>
      <c r="B3" s="24"/>
      <c r="C3" s="14"/>
      <c r="G3" s="26"/>
      <c r="H3" s="27"/>
      <c r="I3" s="28"/>
      <c r="U3" s="17"/>
      <c r="V3" s="30" t="s">
        <v>17</v>
      </c>
      <c r="W3" s="19"/>
      <c r="X3" s="19"/>
      <c r="Y3" s="19"/>
      <c r="Z3" s="19"/>
      <c r="AA3" s="19"/>
      <c r="AB3" s="31" t="s">
        <v>18</v>
      </c>
      <c r="AC3" s="19" t="s">
        <v>14</v>
      </c>
      <c r="AD3" s="19"/>
      <c r="AE3" s="19"/>
      <c r="AF3" s="32"/>
      <c r="AG3" s="32" t="s">
        <v>19</v>
      </c>
      <c r="AH3" s="32"/>
      <c r="AI3" s="32" t="s">
        <v>20</v>
      </c>
      <c r="AJ3" s="32" t="s">
        <v>21</v>
      </c>
      <c r="AK3" s="32" t="s">
        <v>22</v>
      </c>
    </row>
    <row r="4" spans="1:135" ht="15" x14ac:dyDescent="0.5">
      <c r="A4" s="34" t="str">
        <f ca="1">HYPERLINK("#"&amp;"'"&amp;A$1&amp;"'!TAMInputOECD90","Input OECD90 Data")</f>
        <v>Input OECD90 Data</v>
      </c>
      <c r="B4" s="24"/>
      <c r="C4" s="14"/>
      <c r="D4" s="35"/>
      <c r="O4" s="36"/>
      <c r="P4" s="36"/>
      <c r="Q4" s="36"/>
      <c r="R4" s="36"/>
      <c r="U4" s="19" t="s">
        <v>23</v>
      </c>
      <c r="V4" s="19" t="str">
        <f>$B$19</f>
        <v>3rd Poly</v>
      </c>
      <c r="W4" s="19"/>
      <c r="X4" s="19"/>
      <c r="Y4" s="19"/>
      <c r="Z4" s="19"/>
      <c r="AA4" s="19"/>
      <c r="AB4" s="19" t="s">
        <v>23</v>
      </c>
      <c r="AC4" s="19"/>
      <c r="AD4" s="19"/>
      <c r="AE4" s="19"/>
      <c r="AF4" s="32"/>
      <c r="AG4" s="32" t="s">
        <v>24</v>
      </c>
      <c r="AH4" s="32"/>
      <c r="AI4" s="32"/>
      <c r="AJ4" s="32" t="s">
        <v>25</v>
      </c>
      <c r="AK4" s="32" t="s">
        <v>26</v>
      </c>
    </row>
    <row r="5" spans="1:135" ht="15" x14ac:dyDescent="0.5">
      <c r="A5" s="34" t="str">
        <f ca="1">HYPERLINK("#"&amp;"'"&amp;A$1&amp;"'!TAMInputEasternEurope","Input Eastern Europe Data")</f>
        <v>Input Eastern Europe Data</v>
      </c>
      <c r="B5" s="24"/>
      <c r="C5" s="37"/>
      <c r="D5" s="35"/>
      <c r="O5" s="36"/>
      <c r="P5" s="36"/>
      <c r="Q5" s="36"/>
      <c r="R5" s="36"/>
      <c r="U5" s="19" t="s">
        <v>27</v>
      </c>
      <c r="V5" s="19" t="str">
        <f>$C$19</f>
        <v>Medium</v>
      </c>
      <c r="W5" s="19"/>
      <c r="X5" s="19"/>
      <c r="Y5" s="19"/>
      <c r="Z5" s="19"/>
      <c r="AA5" s="19"/>
      <c r="AB5" s="19" t="s">
        <v>27</v>
      </c>
      <c r="AC5" s="19"/>
      <c r="AD5" s="19"/>
      <c r="AE5" s="19"/>
      <c r="AF5" s="32"/>
      <c r="AG5" s="32"/>
      <c r="AH5" s="32"/>
      <c r="AI5" s="32"/>
      <c r="AJ5" s="32"/>
      <c r="AK5" s="32" t="s">
        <v>28</v>
      </c>
    </row>
    <row r="6" spans="1:135" ht="15" x14ac:dyDescent="0.5">
      <c r="A6" s="34" t="str">
        <f ca="1">HYPERLINK("#"&amp;"'"&amp;A$1&amp;"'!TAMInputAsia","Input Asia (sans Japan) Data")</f>
        <v>Input Asia (sans Japan) Data</v>
      </c>
      <c r="B6" s="24"/>
      <c r="C6" s="37"/>
      <c r="U6" s="19"/>
      <c r="V6" s="19"/>
      <c r="W6" s="19"/>
      <c r="X6" s="19"/>
      <c r="Y6" s="19"/>
      <c r="Z6" s="19"/>
      <c r="AA6" s="19"/>
      <c r="AB6" s="19"/>
      <c r="AC6" s="19"/>
      <c r="AD6" s="19"/>
      <c r="AE6" s="19"/>
      <c r="AF6" s="32"/>
      <c r="AG6" s="32" t="s">
        <v>29</v>
      </c>
      <c r="AH6" s="32"/>
      <c r="AI6" s="32"/>
      <c r="AJ6" s="32"/>
      <c r="AK6" s="32"/>
    </row>
    <row r="7" spans="1:135" ht="15" x14ac:dyDescent="0.5">
      <c r="A7" s="34" t="str">
        <f ca="1">HYPERLINK("#"&amp;"'"&amp;A$1&amp;"'!TAMInputMiddleEastAfrica","Input Middle East &amp; Africa Data")</f>
        <v>Input Middle East &amp; Africa Data</v>
      </c>
      <c r="B7" s="24"/>
      <c r="C7" s="38"/>
      <c r="D7" s="35"/>
      <c r="U7" s="19"/>
      <c r="V7" s="19"/>
      <c r="W7" s="19"/>
      <c r="X7" s="39"/>
      <c r="Y7" s="19"/>
      <c r="Z7" s="19"/>
      <c r="AA7" s="32"/>
      <c r="AB7" s="31" t="s">
        <v>30</v>
      </c>
      <c r="AC7" s="19" t="s">
        <v>281</v>
      </c>
      <c r="AD7" s="19"/>
      <c r="AE7" s="19"/>
      <c r="AF7" s="32"/>
      <c r="AG7" s="32" t="s">
        <v>31</v>
      </c>
      <c r="AH7" s="32"/>
      <c r="AI7" s="32"/>
      <c r="AJ7" s="32"/>
      <c r="AK7" s="32"/>
    </row>
    <row r="8" spans="1:135" ht="15" x14ac:dyDescent="0.5">
      <c r="A8" s="34" t="str">
        <f ca="1">HYPERLINK("#"&amp;"'"&amp;A$1&amp;"'!TAMInputLatinAmerica","Input Latin America Data")</f>
        <v>Input Latin America Data</v>
      </c>
      <c r="B8" s="24"/>
      <c r="C8" s="37"/>
      <c r="U8" s="19"/>
      <c r="V8" s="19"/>
      <c r="W8" s="32"/>
      <c r="X8" s="32"/>
      <c r="Y8" s="19"/>
      <c r="Z8" s="19"/>
      <c r="AA8" s="19"/>
      <c r="AB8" s="19"/>
      <c r="AC8" s="19"/>
      <c r="AD8" s="19"/>
      <c r="AE8" s="19"/>
      <c r="AF8" s="32"/>
      <c r="AG8" s="32"/>
      <c r="AH8" s="32"/>
      <c r="AI8" s="32"/>
      <c r="AJ8" s="32"/>
      <c r="AK8" s="32"/>
    </row>
    <row r="9" spans="1:135" ht="15" x14ac:dyDescent="0.5">
      <c r="A9" s="34" t="str">
        <f ca="1">HYPERLINK("#"&amp;"'"&amp;A$1&amp;"'!TAMInputChina","Input China Data")</f>
        <v>Input China Data</v>
      </c>
      <c r="B9" s="24"/>
      <c r="C9" s="37"/>
      <c r="U9" s="32"/>
      <c r="V9" s="32"/>
      <c r="W9" s="32"/>
      <c r="X9" s="32"/>
      <c r="Y9" s="40"/>
      <c r="Z9" s="41"/>
      <c r="AA9" s="41"/>
      <c r="AB9" s="41"/>
      <c r="AC9" s="19"/>
      <c r="AD9" s="19"/>
      <c r="AE9" s="19"/>
      <c r="AF9" s="32"/>
      <c r="AG9" s="32"/>
      <c r="AH9" s="32"/>
      <c r="AI9" s="32"/>
      <c r="AJ9" s="32"/>
      <c r="AK9" s="32"/>
    </row>
    <row r="10" spans="1:135" ht="15" x14ac:dyDescent="0.5">
      <c r="A10" s="34" t="str">
        <f ca="1">HYPERLINK("#"&amp;"'"&amp;A$1&amp;"'!TAMInputIndia","Input India Data")</f>
        <v>Input India Data</v>
      </c>
      <c r="U10" s="32"/>
      <c r="V10" s="32"/>
      <c r="W10" s="32"/>
      <c r="X10" s="32"/>
      <c r="Y10" s="32"/>
      <c r="Z10" s="32"/>
      <c r="AA10" s="32"/>
      <c r="AB10" s="32"/>
      <c r="AC10" s="32"/>
      <c r="AD10" s="32"/>
      <c r="AE10" s="32"/>
      <c r="AF10" s="32"/>
      <c r="AG10" s="32"/>
      <c r="AH10" s="32"/>
      <c r="AI10" s="32"/>
      <c r="AJ10" s="32"/>
      <c r="AK10" s="32"/>
    </row>
    <row r="11" spans="1:135" ht="15" x14ac:dyDescent="0.5">
      <c r="A11" s="34" t="str">
        <f ca="1">HYPERLINK("#"&amp;"'"&amp;A$1&amp;"'!TAMInputEU","Input EU Data")</f>
        <v>Input EU Data</v>
      </c>
      <c r="U11" s="32"/>
      <c r="V11" s="32"/>
      <c r="W11" s="32"/>
      <c r="X11" s="32"/>
      <c r="Y11" s="32"/>
      <c r="Z11" s="32"/>
      <c r="AA11" s="32"/>
      <c r="AB11" s="32"/>
      <c r="AC11" s="32"/>
      <c r="AD11" s="32"/>
      <c r="AE11" s="32"/>
      <c r="AF11" s="19"/>
      <c r="AG11" s="32"/>
      <c r="AH11" s="32"/>
      <c r="AI11" s="32"/>
      <c r="AJ11" s="32"/>
      <c r="AK11" s="32"/>
    </row>
    <row r="12" spans="1:135" ht="15" x14ac:dyDescent="0.5">
      <c r="A12" s="34" t="str">
        <f ca="1">HYPERLINK("#"&amp;"'"&amp;A$1&amp;"'!TAMInputUSA","Input USA Data")</f>
        <v>Input USA Data</v>
      </c>
      <c r="U12" s="32"/>
      <c r="V12" s="32"/>
      <c r="W12" s="32"/>
      <c r="X12" s="32"/>
      <c r="Y12" s="32"/>
      <c r="Z12" s="32"/>
      <c r="AA12" s="32"/>
      <c r="AB12" s="32"/>
      <c r="AC12" s="32"/>
      <c r="AD12" s="32"/>
      <c r="AE12" s="32"/>
      <c r="AF12" s="19"/>
      <c r="AG12" s="32"/>
      <c r="AH12" s="32"/>
      <c r="AI12" s="32"/>
      <c r="AJ12" s="32"/>
      <c r="AK12" s="32"/>
    </row>
    <row r="13" spans="1:135" ht="15" x14ac:dyDescent="0.5">
      <c r="A13" s="34" t="str">
        <f ca="1">HYPERLINK("#"&amp;"'"&amp;A$1&amp;"'!TAMFactoring","TAM Calculations/Factoring")</f>
        <v>TAM Calculations/Factoring</v>
      </c>
      <c r="U13" s="32"/>
      <c r="V13" s="32"/>
      <c r="W13" s="32"/>
      <c r="X13" s="32"/>
      <c r="Y13" s="32"/>
      <c r="Z13" s="32"/>
      <c r="AA13" s="32"/>
      <c r="AB13" s="32"/>
      <c r="AC13" s="32"/>
      <c r="AD13" s="32"/>
      <c r="AE13" s="32"/>
      <c r="AF13" s="19"/>
      <c r="AG13" s="32"/>
      <c r="AH13" s="32"/>
      <c r="AI13" s="32"/>
      <c r="AJ13" s="32"/>
      <c r="AK13" s="32"/>
    </row>
    <row r="14" spans="1:135" ht="17.7" x14ac:dyDescent="0.4">
      <c r="A14" s="672" t="s">
        <v>32</v>
      </c>
      <c r="B14" s="672"/>
      <c r="C14" s="672"/>
      <c r="D14" s="672"/>
      <c r="E14" s="672"/>
      <c r="F14" s="42"/>
      <c r="G14" s="672" t="s">
        <v>33</v>
      </c>
      <c r="H14" s="672"/>
      <c r="I14" s="672"/>
      <c r="J14" s="672"/>
      <c r="K14" s="672"/>
      <c r="L14" s="672"/>
      <c r="M14" s="672"/>
      <c r="N14" s="672"/>
      <c r="O14" s="672"/>
      <c r="P14" s="672"/>
      <c r="Q14" s="672"/>
      <c r="R14" s="672"/>
      <c r="S14" s="672"/>
      <c r="T14" s="672"/>
      <c r="U14" s="43"/>
      <c r="V14" s="44"/>
      <c r="W14" s="45"/>
      <c r="X14" s="32"/>
      <c r="Y14" s="32"/>
      <c r="Z14" s="32"/>
      <c r="AA14" s="32"/>
      <c r="AB14" s="32"/>
      <c r="AC14" s="32"/>
      <c r="AD14" s="32"/>
      <c r="AE14" s="32"/>
      <c r="AF14" s="19"/>
      <c r="AG14" s="32"/>
      <c r="AH14" s="32"/>
      <c r="AI14" s="32"/>
      <c r="AJ14" s="32"/>
      <c r="AK14" s="32"/>
      <c r="DW14" s="47"/>
      <c r="EA14" s="48"/>
      <c r="EB14" s="48"/>
      <c r="EC14" s="48"/>
      <c r="ED14" s="48"/>
      <c r="EE14" s="48"/>
    </row>
    <row r="15" spans="1:135" ht="60" x14ac:dyDescent="0.5">
      <c r="C15" s="50"/>
      <c r="D15" s="50"/>
      <c r="E15" s="50"/>
      <c r="F15" s="42"/>
      <c r="G15" s="50"/>
      <c r="H15" s="673" t="s">
        <v>34</v>
      </c>
      <c r="I15" s="673"/>
      <c r="J15" s="673"/>
      <c r="K15" s="673"/>
      <c r="L15" s="673"/>
      <c r="M15" s="673"/>
      <c r="N15" s="51"/>
      <c r="O15" s="52"/>
      <c r="Q15" s="53" t="s">
        <v>35</v>
      </c>
      <c r="U15" s="46"/>
      <c r="DW15" s="54"/>
      <c r="EA15" s="55"/>
      <c r="EB15" s="55"/>
      <c r="EC15" s="55"/>
      <c r="ED15" s="55"/>
      <c r="EE15" s="55"/>
    </row>
    <row r="16" spans="1:135" ht="15" x14ac:dyDescent="0.5">
      <c r="F16" s="42"/>
      <c r="H16" s="664" t="s">
        <v>36</v>
      </c>
      <c r="I16" s="665"/>
      <c r="J16" s="56" t="s">
        <v>37</v>
      </c>
      <c r="K16" s="57"/>
      <c r="L16" s="56" t="s">
        <v>23</v>
      </c>
      <c r="M16" s="58" t="s">
        <v>38</v>
      </c>
      <c r="N16" s="59" t="s">
        <v>39</v>
      </c>
      <c r="O16" s="60"/>
      <c r="P16" s="61" t="s">
        <v>40</v>
      </c>
      <c r="Q16" s="62">
        <v>1</v>
      </c>
      <c r="R16" s="63" t="s">
        <v>41</v>
      </c>
      <c r="S16" s="64" t="s">
        <v>39</v>
      </c>
      <c r="U16" s="46"/>
      <c r="AH16" s="65"/>
    </row>
    <row r="17" spans="1:34" ht="15" x14ac:dyDescent="0.5">
      <c r="A17" s="668" t="s">
        <v>34</v>
      </c>
      <c r="B17" s="668"/>
      <c r="D17" s="669" t="str">
        <f>IF(C19="Medium","","**Adjust global sensitivity analysis below as necessary**")</f>
        <v/>
      </c>
      <c r="E17" s="66"/>
      <c r="F17" s="42"/>
      <c r="H17" s="666"/>
      <c r="I17" s="667"/>
      <c r="J17" s="67" t="s">
        <v>14</v>
      </c>
      <c r="K17" s="68"/>
      <c r="L17" s="67" t="s">
        <v>26</v>
      </c>
      <c r="M17" s="67" t="s">
        <v>21</v>
      </c>
      <c r="N17" s="59" t="s">
        <v>39</v>
      </c>
      <c r="O17" s="69"/>
      <c r="P17" s="70" t="s">
        <v>42</v>
      </c>
      <c r="Q17" s="62">
        <v>1</v>
      </c>
      <c r="R17" s="71" t="s">
        <v>41</v>
      </c>
      <c r="S17" s="64" t="s">
        <v>39</v>
      </c>
      <c r="U17" s="46"/>
      <c r="AH17" s="65"/>
    </row>
    <row r="18" spans="1:34" ht="15" x14ac:dyDescent="0.5">
      <c r="B18" s="72" t="s">
        <v>23</v>
      </c>
      <c r="C18" s="73" t="s">
        <v>38</v>
      </c>
      <c r="D18" s="669"/>
      <c r="E18" s="66"/>
      <c r="F18" s="74"/>
      <c r="H18" s="75"/>
      <c r="I18" s="76"/>
      <c r="J18" s="77"/>
      <c r="K18" s="77"/>
      <c r="L18" s="78"/>
      <c r="M18" s="78"/>
      <c r="N18" s="79"/>
      <c r="O18" s="51"/>
      <c r="P18" s="80"/>
      <c r="Q18" s="81"/>
      <c r="R18" s="82"/>
      <c r="S18" s="83"/>
      <c r="U18" s="46"/>
      <c r="AH18" s="65"/>
    </row>
    <row r="19" spans="1:34" ht="30" x14ac:dyDescent="0.5">
      <c r="A19" s="84" t="s">
        <v>43</v>
      </c>
      <c r="B19" s="85" t="s">
        <v>26</v>
      </c>
      <c r="C19" s="86" t="s">
        <v>21</v>
      </c>
      <c r="D19" s="669"/>
      <c r="E19" s="66"/>
      <c r="F19" s="74"/>
      <c r="H19" s="664" t="s">
        <v>44</v>
      </c>
      <c r="I19" s="665"/>
      <c r="J19" s="56" t="s">
        <v>37</v>
      </c>
      <c r="K19" s="57"/>
      <c r="L19" s="56" t="s">
        <v>23</v>
      </c>
      <c r="M19" s="58" t="s">
        <v>38</v>
      </c>
      <c r="N19" s="59" t="s">
        <v>39</v>
      </c>
      <c r="O19" s="60"/>
      <c r="P19" s="61" t="s">
        <v>40</v>
      </c>
      <c r="Q19" s="62">
        <v>1</v>
      </c>
      <c r="R19" s="63" t="s">
        <v>41</v>
      </c>
      <c r="S19" s="64" t="s">
        <v>39</v>
      </c>
      <c r="U19" s="46"/>
      <c r="AH19" s="65"/>
    </row>
    <row r="20" spans="1:34" ht="15" x14ac:dyDescent="0.5">
      <c r="D20" s="669"/>
      <c r="E20" s="66"/>
      <c r="F20" s="87"/>
      <c r="H20" s="666"/>
      <c r="I20" s="667"/>
      <c r="J20" s="67" t="s">
        <v>14</v>
      </c>
      <c r="K20" s="68"/>
      <c r="L20" s="67" t="s">
        <v>26</v>
      </c>
      <c r="M20" s="67" t="s">
        <v>21</v>
      </c>
      <c r="N20" s="59" t="s">
        <v>39</v>
      </c>
      <c r="O20" s="69"/>
      <c r="P20" s="70" t="s">
        <v>42</v>
      </c>
      <c r="Q20" s="62">
        <v>1</v>
      </c>
      <c r="R20" s="71" t="s">
        <v>41</v>
      </c>
      <c r="S20" s="64" t="s">
        <v>39</v>
      </c>
      <c r="U20" s="46"/>
      <c r="AH20" s="65"/>
    </row>
    <row r="21" spans="1:34" ht="15" x14ac:dyDescent="0.5">
      <c r="A21" s="668" t="s">
        <v>45</v>
      </c>
      <c r="B21" s="668"/>
      <c r="F21" s="74"/>
      <c r="H21" s="75"/>
      <c r="I21" s="76"/>
      <c r="J21" s="77"/>
      <c r="K21" s="77"/>
      <c r="L21" s="78"/>
      <c r="M21" s="78"/>
      <c r="N21" s="79"/>
      <c r="O21" s="88"/>
      <c r="P21" s="80"/>
      <c r="Q21" s="81"/>
      <c r="R21" s="82"/>
      <c r="S21" s="83"/>
      <c r="U21" s="46"/>
      <c r="AB21" s="89"/>
      <c r="AC21" s="89"/>
      <c r="AD21" s="89"/>
      <c r="AE21" s="89"/>
      <c r="AF21" s="89"/>
      <c r="AG21" s="65"/>
      <c r="AH21" s="65"/>
    </row>
    <row r="22" spans="1:34" ht="45" x14ac:dyDescent="0.5">
      <c r="F22" s="74"/>
      <c r="H22" s="664" t="s">
        <v>46</v>
      </c>
      <c r="I22" s="665"/>
      <c r="J22" s="56" t="s">
        <v>37</v>
      </c>
      <c r="K22" s="57"/>
      <c r="L22" s="56" t="s">
        <v>23</v>
      </c>
      <c r="M22" s="58" t="s">
        <v>38</v>
      </c>
      <c r="N22" s="59" t="s">
        <v>39</v>
      </c>
      <c r="O22" s="60"/>
      <c r="P22" s="61" t="s">
        <v>40</v>
      </c>
      <c r="Q22" s="62">
        <v>1</v>
      </c>
      <c r="R22" s="63" t="s">
        <v>41</v>
      </c>
      <c r="S22" s="64" t="s">
        <v>39</v>
      </c>
      <c r="U22" s="46"/>
      <c r="AB22" s="90"/>
      <c r="AC22" s="89"/>
      <c r="AD22" s="89"/>
      <c r="AE22" s="89"/>
      <c r="AF22" s="89"/>
      <c r="AG22" s="65"/>
      <c r="AH22" s="65"/>
    </row>
    <row r="23" spans="1:34" ht="90" x14ac:dyDescent="0.5">
      <c r="A23" s="91" t="s">
        <v>47</v>
      </c>
      <c r="B23" s="676" t="s">
        <v>48</v>
      </c>
      <c r="C23" s="676"/>
      <c r="F23" s="74"/>
      <c r="H23" s="666"/>
      <c r="I23" s="667"/>
      <c r="J23" s="67" t="s">
        <v>14</v>
      </c>
      <c r="K23" s="68"/>
      <c r="L23" s="67" t="s">
        <v>26</v>
      </c>
      <c r="M23" s="67" t="s">
        <v>21</v>
      </c>
      <c r="N23" s="59" t="s">
        <v>39</v>
      </c>
      <c r="O23" s="69"/>
      <c r="P23" s="70" t="s">
        <v>42</v>
      </c>
      <c r="Q23" s="62">
        <v>1</v>
      </c>
      <c r="R23" s="71" t="s">
        <v>41</v>
      </c>
      <c r="S23" s="64" t="s">
        <v>39</v>
      </c>
      <c r="U23" s="46"/>
      <c r="AB23" s="89"/>
      <c r="AC23" s="92"/>
      <c r="AD23" s="89"/>
      <c r="AE23" s="89"/>
      <c r="AF23" s="89"/>
    </row>
    <row r="24" spans="1:34" ht="15" x14ac:dyDescent="0.5">
      <c r="A24" s="93" t="s">
        <v>40</v>
      </c>
      <c r="B24" s="62">
        <v>1</v>
      </c>
      <c r="C24" s="94" t="s">
        <v>41</v>
      </c>
      <c r="D24" s="59" t="s">
        <v>39</v>
      </c>
      <c r="F24" s="74"/>
      <c r="H24" s="75"/>
      <c r="I24" s="76"/>
      <c r="J24" s="77"/>
      <c r="K24" s="77"/>
      <c r="L24" s="78"/>
      <c r="M24" s="78"/>
      <c r="N24" s="79"/>
      <c r="O24" s="51"/>
      <c r="P24" s="80"/>
      <c r="Q24" s="81"/>
      <c r="R24" s="82"/>
      <c r="S24" s="83"/>
      <c r="U24" s="46"/>
      <c r="AB24" s="89"/>
      <c r="AC24" s="89"/>
      <c r="AD24" s="89"/>
      <c r="AE24" s="89"/>
      <c r="AF24" s="89"/>
    </row>
    <row r="25" spans="1:34" ht="45" x14ac:dyDescent="0.5">
      <c r="A25" s="93" t="s">
        <v>42</v>
      </c>
      <c r="B25" s="62">
        <v>1</v>
      </c>
      <c r="C25" s="94" t="s">
        <v>41</v>
      </c>
      <c r="D25" s="59" t="s">
        <v>39</v>
      </c>
      <c r="F25" s="74"/>
      <c r="H25" s="664" t="s">
        <v>49</v>
      </c>
      <c r="I25" s="665"/>
      <c r="J25" s="56" t="s">
        <v>37</v>
      </c>
      <c r="K25" s="57"/>
      <c r="L25" s="56" t="s">
        <v>23</v>
      </c>
      <c r="M25" s="58" t="s">
        <v>38</v>
      </c>
      <c r="N25" s="59" t="s">
        <v>39</v>
      </c>
      <c r="O25" s="60"/>
      <c r="P25" s="61" t="s">
        <v>40</v>
      </c>
      <c r="Q25" s="62">
        <v>1</v>
      </c>
      <c r="R25" s="63" t="s">
        <v>41</v>
      </c>
      <c r="S25" s="64" t="s">
        <v>39</v>
      </c>
      <c r="U25" s="46"/>
      <c r="AB25" s="90"/>
      <c r="AC25" s="89"/>
      <c r="AD25" s="89"/>
      <c r="AE25" s="89"/>
      <c r="AF25" s="89"/>
    </row>
    <row r="26" spans="1:34" ht="15" x14ac:dyDescent="0.5">
      <c r="F26" s="74"/>
      <c r="H26" s="666"/>
      <c r="I26" s="667"/>
      <c r="J26" s="67" t="s">
        <v>14</v>
      </c>
      <c r="K26" s="68"/>
      <c r="L26" s="67" t="s">
        <v>26</v>
      </c>
      <c r="M26" s="67" t="s">
        <v>21</v>
      </c>
      <c r="N26" s="59" t="s">
        <v>39</v>
      </c>
      <c r="O26" s="69"/>
      <c r="P26" s="70" t="s">
        <v>42</v>
      </c>
      <c r="Q26" s="62">
        <v>1</v>
      </c>
      <c r="R26" s="71" t="s">
        <v>41</v>
      </c>
      <c r="S26" s="64" t="s">
        <v>39</v>
      </c>
      <c r="U26" s="46"/>
      <c r="AB26" s="89"/>
      <c r="AC26" s="92"/>
      <c r="AD26" s="89"/>
      <c r="AE26" s="89"/>
      <c r="AF26" s="89"/>
    </row>
    <row r="27" spans="1:34" ht="15" x14ac:dyDescent="0.5">
      <c r="A27" s="668" t="s">
        <v>50</v>
      </c>
      <c r="B27" s="668"/>
      <c r="F27" s="74"/>
      <c r="H27" s="75"/>
      <c r="I27" s="76"/>
      <c r="J27" s="77"/>
      <c r="K27" s="77"/>
      <c r="L27" s="78"/>
      <c r="M27" s="78"/>
      <c r="N27" s="79"/>
      <c r="O27" s="51"/>
      <c r="P27" s="80"/>
      <c r="Q27" s="81"/>
      <c r="R27" s="82"/>
      <c r="S27" s="83"/>
      <c r="U27" s="46"/>
      <c r="AB27" s="89"/>
      <c r="AC27" s="89"/>
      <c r="AD27" s="89"/>
      <c r="AE27" s="89"/>
      <c r="AF27" s="89"/>
      <c r="AG27" s="49"/>
      <c r="AH27" s="49"/>
    </row>
    <row r="28" spans="1:34" ht="30" x14ac:dyDescent="0.5">
      <c r="B28" s="676" t="s">
        <v>51</v>
      </c>
      <c r="F28" s="74"/>
      <c r="H28" s="664" t="s">
        <v>52</v>
      </c>
      <c r="I28" s="665"/>
      <c r="J28" s="56" t="s">
        <v>37</v>
      </c>
      <c r="K28" s="57"/>
      <c r="L28" s="56" t="s">
        <v>23</v>
      </c>
      <c r="M28" s="58" t="s">
        <v>38</v>
      </c>
      <c r="N28" s="59" t="s">
        <v>39</v>
      </c>
      <c r="O28" s="60"/>
      <c r="P28" s="61" t="s">
        <v>40</v>
      </c>
      <c r="Q28" s="62">
        <v>1</v>
      </c>
      <c r="R28" s="63" t="s">
        <v>41</v>
      </c>
      <c r="S28" s="64" t="s">
        <v>39</v>
      </c>
      <c r="U28" s="46"/>
      <c r="AB28" s="89"/>
      <c r="AC28" s="89"/>
      <c r="AD28" s="89"/>
      <c r="AE28" s="89"/>
      <c r="AF28" s="89"/>
    </row>
    <row r="29" spans="1:34" ht="15" x14ac:dyDescent="0.5">
      <c r="A29" s="96" t="s">
        <v>53</v>
      </c>
      <c r="B29" s="97" t="s">
        <v>14</v>
      </c>
      <c r="F29" s="74"/>
      <c r="H29" s="666"/>
      <c r="I29" s="667"/>
      <c r="J29" s="67" t="s">
        <v>14</v>
      </c>
      <c r="K29" s="68"/>
      <c r="L29" s="98" t="s">
        <v>26</v>
      </c>
      <c r="M29" s="98" t="s">
        <v>21</v>
      </c>
      <c r="N29" s="59" t="s">
        <v>39</v>
      </c>
      <c r="O29" s="69"/>
      <c r="P29" s="70" t="s">
        <v>42</v>
      </c>
      <c r="Q29" s="62">
        <v>1</v>
      </c>
      <c r="R29" s="71" t="s">
        <v>41</v>
      </c>
      <c r="S29" s="64" t="s">
        <v>39</v>
      </c>
      <c r="U29" s="46"/>
      <c r="AB29" s="90"/>
      <c r="AC29" s="92"/>
      <c r="AD29" s="89"/>
      <c r="AE29" s="89"/>
      <c r="AF29" s="89"/>
    </row>
    <row r="30" spans="1:34" ht="15" x14ac:dyDescent="0.5">
      <c r="A30" s="99" t="s">
        <v>54</v>
      </c>
      <c r="B30" s="97" t="s">
        <v>20</v>
      </c>
      <c r="F30" s="74"/>
      <c r="H30" s="75"/>
      <c r="I30" s="76"/>
      <c r="J30" s="77"/>
      <c r="K30" s="77"/>
      <c r="L30" s="78"/>
      <c r="M30" s="78"/>
      <c r="N30" s="79"/>
      <c r="O30" s="51"/>
      <c r="P30" s="80"/>
      <c r="Q30" s="81"/>
      <c r="R30" s="82"/>
      <c r="S30" s="83"/>
      <c r="U30" s="46"/>
      <c r="AB30" s="89"/>
      <c r="AC30" s="89"/>
      <c r="AD30" s="89"/>
      <c r="AE30" s="89"/>
      <c r="AF30" s="89"/>
    </row>
    <row r="31" spans="1:34" ht="15" x14ac:dyDescent="0.5">
      <c r="F31" s="74"/>
      <c r="H31" s="664" t="s">
        <v>55</v>
      </c>
      <c r="I31" s="665"/>
      <c r="J31" s="56" t="s">
        <v>37</v>
      </c>
      <c r="K31" s="57"/>
      <c r="L31" s="56" t="s">
        <v>23</v>
      </c>
      <c r="M31" s="58" t="s">
        <v>38</v>
      </c>
      <c r="N31" s="59" t="s">
        <v>39</v>
      </c>
      <c r="O31" s="60"/>
      <c r="P31" s="61" t="s">
        <v>40</v>
      </c>
      <c r="Q31" s="62">
        <v>1</v>
      </c>
      <c r="R31" s="63" t="s">
        <v>41</v>
      </c>
      <c r="S31" s="64" t="s">
        <v>39</v>
      </c>
      <c r="U31" s="46"/>
      <c r="AB31" s="90"/>
      <c r="AC31" s="89"/>
      <c r="AD31" s="89"/>
      <c r="AE31" s="89"/>
      <c r="AF31" s="89"/>
    </row>
    <row r="32" spans="1:34" ht="15" x14ac:dyDescent="0.5">
      <c r="A32" s="674" t="s">
        <v>56</v>
      </c>
      <c r="B32" s="674"/>
      <c r="C32" s="100"/>
      <c r="D32" s="100"/>
      <c r="E32" s="100"/>
      <c r="F32" s="101"/>
      <c r="H32" s="666"/>
      <c r="I32" s="667"/>
      <c r="J32" s="67" t="s">
        <v>14</v>
      </c>
      <c r="K32" s="68"/>
      <c r="L32" s="67" t="s">
        <v>26</v>
      </c>
      <c r="M32" s="67" t="s">
        <v>21</v>
      </c>
      <c r="N32" s="59" t="s">
        <v>39</v>
      </c>
      <c r="O32" s="69"/>
      <c r="P32" s="70" t="s">
        <v>42</v>
      </c>
      <c r="Q32" s="62">
        <v>1</v>
      </c>
      <c r="R32" s="71" t="s">
        <v>41</v>
      </c>
      <c r="S32" s="64" t="s">
        <v>39</v>
      </c>
      <c r="U32" s="46"/>
      <c r="AB32" s="89"/>
      <c r="AC32" s="92"/>
      <c r="AD32" s="89"/>
      <c r="AE32" s="89"/>
      <c r="AF32" s="89"/>
    </row>
    <row r="33" spans="1:152" ht="15" x14ac:dyDescent="0.5">
      <c r="A33" s="102"/>
      <c r="B33" s="102"/>
      <c r="C33" s="100"/>
      <c r="D33" s="103"/>
      <c r="E33" s="103"/>
      <c r="F33" s="101"/>
      <c r="H33" s="75"/>
      <c r="I33" s="76"/>
      <c r="J33" s="77"/>
      <c r="K33" s="77"/>
      <c r="L33" s="78"/>
      <c r="M33" s="78"/>
      <c r="N33" s="79"/>
      <c r="O33" s="51"/>
      <c r="P33" s="80"/>
      <c r="Q33" s="81"/>
      <c r="R33" s="82"/>
      <c r="S33" s="83"/>
      <c r="U33" s="46"/>
      <c r="AB33" s="89"/>
      <c r="AC33" s="89"/>
      <c r="AD33" s="89"/>
      <c r="AE33" s="89"/>
      <c r="AF33" s="89"/>
    </row>
    <row r="34" spans="1:152" ht="15" x14ac:dyDescent="0.5">
      <c r="A34" s="104" t="s">
        <v>57</v>
      </c>
      <c r="B34" s="677" t="s">
        <v>73</v>
      </c>
      <c r="C34" s="677"/>
      <c r="D34" s="677"/>
      <c r="E34" s="677"/>
      <c r="F34" s="101"/>
      <c r="H34" s="664" t="s">
        <v>58</v>
      </c>
      <c r="I34" s="665"/>
      <c r="J34" s="56" t="s">
        <v>37</v>
      </c>
      <c r="K34" s="57"/>
      <c r="L34" s="56" t="s">
        <v>23</v>
      </c>
      <c r="M34" s="58" t="s">
        <v>38</v>
      </c>
      <c r="N34" s="59" t="s">
        <v>39</v>
      </c>
      <c r="O34" s="60"/>
      <c r="P34" s="61" t="s">
        <v>40</v>
      </c>
      <c r="Q34" s="62">
        <v>1</v>
      </c>
      <c r="R34" s="63" t="s">
        <v>41</v>
      </c>
      <c r="S34" s="64" t="s">
        <v>39</v>
      </c>
      <c r="U34" s="46"/>
      <c r="AB34" s="90"/>
      <c r="AC34" s="89"/>
      <c r="AD34" s="89"/>
      <c r="AE34" s="89"/>
      <c r="AF34" s="89"/>
    </row>
    <row r="35" spans="1:152" ht="15" x14ac:dyDescent="0.5">
      <c r="A35" s="105"/>
      <c r="B35" s="105"/>
      <c r="C35" s="103"/>
      <c r="D35" s="103"/>
      <c r="E35" s="103"/>
      <c r="F35" s="101"/>
      <c r="H35" s="666"/>
      <c r="I35" s="667"/>
      <c r="J35" s="67" t="s">
        <v>14</v>
      </c>
      <c r="K35" s="68"/>
      <c r="L35" s="67" t="s">
        <v>26</v>
      </c>
      <c r="M35" s="67" t="s">
        <v>21</v>
      </c>
      <c r="N35" s="59" t="s">
        <v>39</v>
      </c>
      <c r="O35" s="69"/>
      <c r="P35" s="70" t="s">
        <v>42</v>
      </c>
      <c r="Q35" s="62">
        <v>1</v>
      </c>
      <c r="R35" s="71" t="s">
        <v>41</v>
      </c>
      <c r="S35" s="64" t="s">
        <v>39</v>
      </c>
      <c r="U35" s="46"/>
      <c r="AB35" s="89"/>
      <c r="AC35" s="92"/>
      <c r="AD35" s="89"/>
      <c r="AE35" s="89"/>
      <c r="AF35" s="89"/>
    </row>
    <row r="36" spans="1:152" ht="15" x14ac:dyDescent="0.5">
      <c r="A36" s="104" t="s">
        <v>59</v>
      </c>
      <c r="B36" s="678" t="s">
        <v>73</v>
      </c>
      <c r="C36" s="678"/>
      <c r="D36" s="678"/>
      <c r="E36" s="678"/>
      <c r="F36" s="101"/>
      <c r="H36" s="75"/>
      <c r="I36" s="76"/>
      <c r="J36" s="77"/>
      <c r="K36" s="77"/>
      <c r="L36" s="78"/>
      <c r="M36" s="78"/>
      <c r="N36" s="79"/>
      <c r="O36" s="51"/>
      <c r="P36" s="80"/>
      <c r="Q36" s="81"/>
      <c r="R36" s="82"/>
      <c r="S36" s="83"/>
      <c r="U36" s="46"/>
      <c r="AB36" s="89"/>
      <c r="AC36" s="89"/>
      <c r="AD36" s="89"/>
      <c r="AE36" s="89"/>
      <c r="AF36" s="89"/>
    </row>
    <row r="37" spans="1:152" ht="15" x14ac:dyDescent="0.5">
      <c r="A37" s="674"/>
      <c r="B37" s="674"/>
      <c r="C37" s="103"/>
      <c r="D37" s="103"/>
      <c r="E37" s="103"/>
      <c r="F37" s="101"/>
      <c r="H37" s="664" t="s">
        <v>60</v>
      </c>
      <c r="I37" s="665"/>
      <c r="J37" s="56" t="s">
        <v>37</v>
      </c>
      <c r="K37" s="57"/>
      <c r="L37" s="56" t="s">
        <v>23</v>
      </c>
      <c r="M37" s="58" t="s">
        <v>38</v>
      </c>
      <c r="N37" s="59" t="s">
        <v>39</v>
      </c>
      <c r="O37" s="60"/>
      <c r="P37" s="61" t="s">
        <v>40</v>
      </c>
      <c r="Q37" s="62">
        <v>1</v>
      </c>
      <c r="R37" s="63" t="s">
        <v>41</v>
      </c>
      <c r="S37" s="64" t="s">
        <v>39</v>
      </c>
      <c r="U37" s="46"/>
      <c r="AB37" s="90"/>
      <c r="AC37" s="89"/>
      <c r="AD37" s="89"/>
      <c r="AE37" s="89"/>
      <c r="AF37" s="89"/>
    </row>
    <row r="38" spans="1:152" ht="75" x14ac:dyDescent="0.5">
      <c r="A38" s="675" t="str">
        <f>IF(OR(B36="ALL SOURCES",B34="ALL SOURCES"),"* If you chose 'ALL SOURCES', an average of all source prognositcations is used.","")</f>
        <v>* If you chose 'ALL SOURCES', an average of all source prognositcations is used.</v>
      </c>
      <c r="B38" s="675"/>
      <c r="C38" s="675"/>
      <c r="D38" s="675"/>
      <c r="E38" s="103"/>
      <c r="F38" s="101"/>
      <c r="H38" s="666"/>
      <c r="I38" s="667"/>
      <c r="J38" s="67" t="s">
        <v>14</v>
      </c>
      <c r="K38" s="68"/>
      <c r="L38" s="67" t="s">
        <v>26</v>
      </c>
      <c r="M38" s="67" t="s">
        <v>21</v>
      </c>
      <c r="N38" s="59" t="s">
        <v>39</v>
      </c>
      <c r="O38" s="69"/>
      <c r="P38" s="70" t="s">
        <v>42</v>
      </c>
      <c r="Q38" s="62">
        <v>1</v>
      </c>
      <c r="R38" s="71" t="s">
        <v>41</v>
      </c>
      <c r="S38" s="64" t="s">
        <v>39</v>
      </c>
      <c r="U38" s="46"/>
      <c r="AB38" s="89"/>
      <c r="AC38" s="92"/>
      <c r="AD38" s="89"/>
      <c r="AE38" s="89"/>
      <c r="AF38" s="89"/>
    </row>
    <row r="39" spans="1:152" ht="15" x14ac:dyDescent="0.5">
      <c r="A39" s="102"/>
      <c r="B39" s="102"/>
      <c r="C39" s="103"/>
      <c r="D39" s="103"/>
      <c r="E39" s="103"/>
      <c r="F39" s="101"/>
      <c r="H39" s="75"/>
      <c r="I39" s="76"/>
      <c r="J39" s="77"/>
      <c r="K39" s="77"/>
      <c r="L39" s="78"/>
      <c r="M39" s="78"/>
      <c r="N39" s="79"/>
      <c r="O39" s="51"/>
      <c r="P39" s="80"/>
      <c r="Q39" s="81"/>
      <c r="R39" s="82"/>
      <c r="S39" s="83"/>
      <c r="U39" s="46"/>
      <c r="AB39" s="49"/>
      <c r="AC39" s="49"/>
      <c r="AD39" s="49"/>
      <c r="AE39" s="89"/>
      <c r="AF39" s="89"/>
    </row>
    <row r="40" spans="1:152" ht="15" x14ac:dyDescent="0.5">
      <c r="A40" s="105"/>
      <c r="B40" s="105"/>
      <c r="C40" s="103"/>
      <c r="D40" s="103"/>
      <c r="E40" s="103"/>
      <c r="F40" s="101"/>
      <c r="H40" s="664" t="s">
        <v>61</v>
      </c>
      <c r="I40" s="665"/>
      <c r="J40" s="56" t="s">
        <v>37</v>
      </c>
      <c r="K40" s="57"/>
      <c r="L40" s="56" t="s">
        <v>23</v>
      </c>
      <c r="M40" s="58" t="s">
        <v>38</v>
      </c>
      <c r="N40" s="59" t="s">
        <v>39</v>
      </c>
      <c r="O40" s="60"/>
      <c r="P40" s="61" t="s">
        <v>40</v>
      </c>
      <c r="Q40" s="62">
        <v>1</v>
      </c>
      <c r="R40" s="63" t="s">
        <v>41</v>
      </c>
      <c r="S40" s="64" t="s">
        <v>39</v>
      </c>
      <c r="U40" s="46"/>
      <c r="AB40" s="90"/>
      <c r="AC40" s="92"/>
      <c r="AD40" s="89"/>
      <c r="AE40" s="89"/>
      <c r="AF40" s="89"/>
    </row>
    <row r="41" spans="1:152" ht="15" x14ac:dyDescent="0.5">
      <c r="A41" s="102"/>
      <c r="B41" s="102"/>
      <c r="C41" s="103"/>
      <c r="D41" s="103"/>
      <c r="E41" s="103"/>
      <c r="F41" s="101"/>
      <c r="G41" s="106"/>
      <c r="H41" s="666"/>
      <c r="I41" s="667"/>
      <c r="J41" s="67" t="s">
        <v>14</v>
      </c>
      <c r="K41" s="68"/>
      <c r="L41" s="67" t="s">
        <v>26</v>
      </c>
      <c r="M41" s="67" t="s">
        <v>21</v>
      </c>
      <c r="N41" s="59" t="s">
        <v>39</v>
      </c>
      <c r="O41" s="69"/>
      <c r="P41" s="70" t="s">
        <v>42</v>
      </c>
      <c r="Q41" s="62">
        <v>1</v>
      </c>
      <c r="R41" s="71" t="s">
        <v>41</v>
      </c>
      <c r="S41" s="64" t="s">
        <v>39</v>
      </c>
      <c r="U41" s="46"/>
      <c r="X41" s="49"/>
      <c r="Y41" s="107"/>
      <c r="Z41" s="108"/>
      <c r="AA41" s="89"/>
      <c r="AB41" s="89"/>
      <c r="AC41" s="89"/>
      <c r="AD41" s="89"/>
      <c r="AE41" s="89"/>
      <c r="AF41" s="89"/>
      <c r="AG41" s="49"/>
      <c r="AH41" s="49"/>
    </row>
    <row r="42" spans="1:152" ht="15" x14ac:dyDescent="0.4">
      <c r="A42" s="109" t="s">
        <v>62</v>
      </c>
      <c r="C42" s="110"/>
      <c r="D42" s="110"/>
      <c r="E42" s="110"/>
      <c r="F42" s="110"/>
      <c r="G42" s="110"/>
      <c r="H42" s="110"/>
      <c r="I42" s="110"/>
      <c r="J42" s="110"/>
      <c r="K42" s="110"/>
      <c r="L42" s="110"/>
      <c r="M42" s="110"/>
      <c r="AE42" s="111"/>
      <c r="AF42" s="111"/>
      <c r="DW42" s="47"/>
      <c r="EA42" s="48"/>
      <c r="EB42" s="48"/>
      <c r="EC42" s="48"/>
      <c r="ED42" s="48"/>
      <c r="EE42" s="48"/>
    </row>
    <row r="43" spans="1:152" ht="17.7" thickBot="1" x14ac:dyDescent="0.6">
      <c r="A43" s="112" t="s">
        <v>63</v>
      </c>
      <c r="B43" s="679"/>
      <c r="C43" s="679"/>
      <c r="D43" s="113"/>
      <c r="E43" s="113"/>
      <c r="F43" s="113"/>
      <c r="G43" s="25"/>
      <c r="H43" s="25"/>
      <c r="I43" s="25"/>
      <c r="J43" s="25"/>
      <c r="K43" s="25"/>
      <c r="L43" s="25"/>
      <c r="M43" s="25"/>
      <c r="N43" s="29"/>
      <c r="O43" s="29"/>
      <c r="P43" s="29"/>
      <c r="Q43" s="29"/>
      <c r="R43" s="29"/>
      <c r="S43" s="29"/>
      <c r="T43" s="29"/>
      <c r="U43" s="29"/>
      <c r="V43" s="29"/>
      <c r="W43" s="29"/>
      <c r="X43" s="89"/>
      <c r="Y43" s="89"/>
      <c r="Z43" s="89"/>
      <c r="AA43" s="89"/>
      <c r="AB43" s="89"/>
      <c r="AC43" s="89"/>
      <c r="AD43" s="89"/>
      <c r="AE43" s="89"/>
      <c r="AF43" s="89"/>
      <c r="AG43" s="49"/>
      <c r="AH43" s="49"/>
      <c r="AI43" s="114"/>
      <c r="AJ43" s="114"/>
      <c r="AK43" s="114"/>
      <c r="AL43" s="114"/>
      <c r="AM43" s="114"/>
      <c r="AN43" s="115" t="s">
        <v>64</v>
      </c>
      <c r="AZ43" s="115" t="s">
        <v>64</v>
      </c>
      <c r="BJ43" s="115" t="s">
        <v>64</v>
      </c>
      <c r="BR43" s="115" t="s">
        <v>64</v>
      </c>
      <c r="BY43" s="115" t="s">
        <v>64</v>
      </c>
      <c r="CG43" s="115" t="s">
        <v>64</v>
      </c>
      <c r="CP43" s="115" t="s">
        <v>64</v>
      </c>
      <c r="CZ43" s="116"/>
      <c r="DA43" s="116"/>
      <c r="DB43" s="116"/>
      <c r="DC43" s="116"/>
      <c r="DD43" s="116"/>
      <c r="DE43" s="116"/>
      <c r="DF43" s="116"/>
      <c r="DG43" s="116"/>
      <c r="DH43" s="116"/>
      <c r="DI43" s="117" t="str">
        <f>"DJ"&amp;MIN(DK46:DK94)</f>
        <v>DJ46</v>
      </c>
      <c r="DJ43" s="118" t="str">
        <f>"DJ"&amp;MAX(DK46:DK94)</f>
        <v>DJ94</v>
      </c>
      <c r="DK43" s="116"/>
      <c r="DL43" s="117" t="str">
        <f>"DM"&amp;MIN(DN46:DN94)</f>
        <v>DM46</v>
      </c>
      <c r="DM43" s="118" t="str">
        <f>"DM"&amp;MAX(DN46:DN94)</f>
        <v>DM94</v>
      </c>
      <c r="DN43" s="116"/>
      <c r="DO43" s="117" t="str">
        <f>"DP"&amp;MIN(DQ46:DQ94)</f>
        <v>DP46</v>
      </c>
      <c r="DP43" s="118" t="str">
        <f>"DP"&amp;MAX(DQ46:DQ94)</f>
        <v>DP94</v>
      </c>
      <c r="DQ43" s="116"/>
      <c r="DV43" s="115" t="s">
        <v>64</v>
      </c>
      <c r="DW43" s="119"/>
      <c r="EA43" s="33"/>
      <c r="EB43" s="33"/>
      <c r="EC43" s="33"/>
      <c r="ED43" s="33"/>
      <c r="EE43" s="33"/>
      <c r="EF43" s="115"/>
      <c r="EU43" s="115"/>
    </row>
    <row r="44" spans="1:152" ht="24.9" thickBot="1" x14ac:dyDescent="0.5">
      <c r="A44" s="676" t="s">
        <v>65</v>
      </c>
      <c r="C44" s="680" t="str">
        <f>A62</f>
        <v>Base Cases</v>
      </c>
      <c r="D44" s="681"/>
      <c r="E44" s="682"/>
      <c r="F44" s="683" t="str">
        <f>A63</f>
        <v>Conservative Cases</v>
      </c>
      <c r="G44" s="684"/>
      <c r="H44" s="685"/>
      <c r="I44" s="686" t="str">
        <f>A64</f>
        <v>Ambitious Cases</v>
      </c>
      <c r="J44" s="687"/>
      <c r="K44" s="688"/>
      <c r="L44" s="692" t="str">
        <f>A65</f>
        <v>Maximum Cases</v>
      </c>
      <c r="M44" s="693"/>
      <c r="Q44" s="65"/>
      <c r="W44" s="689" t="s">
        <v>66</v>
      </c>
      <c r="X44" s="689"/>
      <c r="Y44" s="689"/>
      <c r="Z44" s="120"/>
      <c r="AA44" s="1274" t="s">
        <v>1061</v>
      </c>
      <c r="AB44" s="1274"/>
      <c r="AC44" s="1274"/>
      <c r="AD44" s="120"/>
      <c r="AE44" s="120"/>
      <c r="AF44" s="120"/>
      <c r="AG44" s="120"/>
      <c r="AH44" s="120"/>
      <c r="AI44" s="120"/>
      <c r="AJ44" s="120"/>
      <c r="AK44" s="120"/>
      <c r="AL44" s="120"/>
      <c r="AM44" s="120"/>
      <c r="AN44" s="120"/>
      <c r="BR44" s="121" t="s">
        <v>67</v>
      </c>
      <c r="BS44" s="121"/>
      <c r="BT44" s="121"/>
      <c r="BU44" s="121"/>
      <c r="BV44" s="121"/>
      <c r="BW44" s="122"/>
      <c r="BY44" s="121" t="s">
        <v>68</v>
      </c>
      <c r="BZ44" s="121"/>
      <c r="CA44" s="121"/>
      <c r="CB44" s="121"/>
      <c r="CC44" s="121"/>
      <c r="CD44" s="121"/>
      <c r="CG44" s="121" t="s">
        <v>69</v>
      </c>
      <c r="CH44" s="121"/>
      <c r="CI44" s="121"/>
      <c r="CJ44" s="121"/>
      <c r="CK44" s="121"/>
      <c r="CL44" s="121"/>
      <c r="CM44" s="121"/>
      <c r="CP44" s="121" t="s">
        <v>70</v>
      </c>
      <c r="CQ44" s="121"/>
      <c r="CR44" s="121"/>
      <c r="CS44" s="121"/>
      <c r="CT44" s="121"/>
      <c r="CU44" s="121"/>
      <c r="CZ44" s="123"/>
      <c r="DA44" s="123"/>
      <c r="DB44" s="123"/>
      <c r="DC44" s="123"/>
      <c r="DD44" s="123"/>
      <c r="DE44" s="123"/>
      <c r="DF44" s="123"/>
      <c r="DG44" s="123"/>
      <c r="DH44" s="123"/>
      <c r="DI44" s="124" t="str">
        <f>"DI"&amp;MIN(DK46:DK94)</f>
        <v>DI46</v>
      </c>
      <c r="DJ44" s="125" t="str">
        <f>"DI"&amp;MAX(DK46:DK94)</f>
        <v>DI94</v>
      </c>
      <c r="DK44" s="123"/>
      <c r="DL44" s="124" t="str">
        <f>"DL"&amp;MIN(DN46:DN94)</f>
        <v>DL46</v>
      </c>
      <c r="DM44" s="125" t="str">
        <f>"DL"&amp;MAX(DN46:DN94)</f>
        <v>DL94</v>
      </c>
      <c r="DN44" s="123"/>
      <c r="DO44" s="124" t="str">
        <f>"DO"&amp;MIN(DQ46:DQ94)</f>
        <v>DO46</v>
      </c>
      <c r="DP44" s="125" t="str">
        <f>"DO"&amp;MAX(DQ46:DQ94)</f>
        <v>DO94</v>
      </c>
      <c r="DQ44" s="123"/>
      <c r="DV44" s="126" t="s">
        <v>71</v>
      </c>
      <c r="DZ44" s="127" t="s">
        <v>72</v>
      </c>
      <c r="EA44" s="33" t="str">
        <f>$V$4</f>
        <v>3rd Poly</v>
      </c>
      <c r="EU44" s="126"/>
    </row>
    <row r="45" spans="1:152" ht="86.4" thickBot="1" x14ac:dyDescent="0.5">
      <c r="A45" s="676" t="s">
        <v>73</v>
      </c>
      <c r="B45" s="128"/>
      <c r="C45" s="129" t="str">
        <f>A46</f>
        <v>Based on World Bank, What a Waste 2.0</v>
      </c>
      <c r="D45" s="130" t="str">
        <f>A47</f>
        <v>Based on Hoornweg et al (2014)</v>
      </c>
      <c r="E45" s="131" t="str">
        <f>A48</f>
        <v>[Source 3]</v>
      </c>
      <c r="F45" s="988" t="str">
        <f>A49</f>
        <v>[Source 1]</v>
      </c>
      <c r="G45" s="996" t="str">
        <f>A50</f>
        <v>Based on UNEP Global Waste Management (Urban Population)</v>
      </c>
      <c r="H45" s="997" t="str">
        <f>A51</f>
        <v>[Source 3]</v>
      </c>
      <c r="I45" s="1250" t="str">
        <f>A52</f>
        <v>Based on  IEA Annex I – Municipal solid waste potential in cities; Table I.1</v>
      </c>
      <c r="J45" s="130" t="str">
        <f>A53</f>
        <v>[Source 2]</v>
      </c>
      <c r="K45" s="131" t="str">
        <f>A54</f>
        <v>[Source 3]</v>
      </c>
      <c r="L45" s="129" t="str">
        <f>A55</f>
        <v>[Source 1]</v>
      </c>
      <c r="M45" s="131" t="str">
        <f>A56</f>
        <v>[Source 2]</v>
      </c>
      <c r="N45" s="132" t="s">
        <v>74</v>
      </c>
      <c r="P45" s="133"/>
      <c r="Q45" s="134" t="s">
        <v>75</v>
      </c>
      <c r="R45" s="135" t="s">
        <v>76</v>
      </c>
      <c r="S45" s="134" t="s">
        <v>77</v>
      </c>
      <c r="T45" s="134" t="s">
        <v>78</v>
      </c>
      <c r="U45" s="136" t="s">
        <v>79</v>
      </c>
      <c r="V45" s="691"/>
      <c r="W45" s="136" t="s">
        <v>15</v>
      </c>
      <c r="X45" s="134" t="s">
        <v>21</v>
      </c>
      <c r="Y45" s="136" t="s">
        <v>25</v>
      </c>
      <c r="AA45" s="136" t="s">
        <v>15</v>
      </c>
      <c r="AB45" s="134" t="s">
        <v>21</v>
      </c>
      <c r="AC45" s="136" t="s">
        <v>25</v>
      </c>
      <c r="AD45" s="138"/>
      <c r="AE45" s="138"/>
      <c r="AF45" s="138"/>
      <c r="AG45" s="138"/>
      <c r="AH45" s="138"/>
      <c r="AI45" s="138"/>
      <c r="AJ45" s="138"/>
      <c r="AK45" s="138"/>
      <c r="AL45" s="138"/>
      <c r="AM45" s="138"/>
      <c r="AN45" s="138"/>
      <c r="BR45" s="139"/>
      <c r="BS45" s="139"/>
      <c r="BT45" s="139"/>
      <c r="BU45" s="139"/>
      <c r="BV45" s="139"/>
      <c r="BW45" s="122"/>
      <c r="BZ45" s="139"/>
      <c r="CA45" s="139"/>
      <c r="CB45" s="139"/>
      <c r="CC45" s="139"/>
      <c r="CD45" s="139"/>
      <c r="CH45" s="139"/>
      <c r="CI45" s="139"/>
      <c r="CJ45" s="139"/>
      <c r="CK45" s="139"/>
      <c r="CL45" s="139"/>
      <c r="CM45" s="139"/>
      <c r="CQ45" s="139"/>
      <c r="CR45" s="139"/>
      <c r="CS45" s="139"/>
      <c r="CT45" s="139"/>
      <c r="CU45" s="139"/>
      <c r="CZ45" s="140"/>
      <c r="DA45" s="140"/>
      <c r="DB45" s="140"/>
      <c r="DC45" s="140"/>
      <c r="DD45" s="141"/>
      <c r="DE45" s="141"/>
      <c r="DF45" s="141"/>
      <c r="DG45" s="141"/>
      <c r="DH45" s="140"/>
      <c r="DI45" s="142"/>
      <c r="DJ45" s="143"/>
      <c r="DK45" s="144"/>
      <c r="DL45" s="142"/>
      <c r="DM45" s="143"/>
      <c r="DN45" s="140"/>
      <c r="DO45" s="142"/>
      <c r="DP45" s="143"/>
      <c r="DQ45" s="140"/>
      <c r="DV45" s="145">
        <v>2014</v>
      </c>
      <c r="DW45" s="146">
        <f ca="1">IF($B$34=$A$46,IF(C55="",IF($B$19="Linear",BV50,IF($B$19="2nd Poly",CD50,IF($B$19="3rd Poly",CM50,IF($B$19="Exp",CT50)))),C55),IF($B$34=$A$47,IF(D55="",IF($B$19="Linear",BV50,IF($B$19="2nd Poly",CD50,IF($B$19="3rd Poly",CM50,IF($B$19="Exp",CT50)))),D55),IF($B$34=$A$48,IF(E55="",IF($B$19="Linear",BV50,IF($B$19="2nd Poly",CD50,IF($B$19="3rd Poly",CM50,IF($B$19="Exp",CT50)))),E55),IF($B$34=$A$49,IF(F55="",IF($B$19="Linear",BV50,IF($B$19="2nd Poly",CD50,IF($B$19="3rd Poly",CM50,IF($B$19="Exp",CT50)))),F55),IF($B$34=$A$50,IF(G55="",IF($B$19="Linear",BV50,IF($B$19="2nd Poly",CD50,IF($B$19="3rd Poly",CM50,IF($B$19="Exp",CT50)))),G55),IF($B$34=$A$51,IF(H55="",IF($B$19="Linear",BV50,IF($B$19="2nd Poly",CD50,IF($B$19="3rd Poly",CM50,IF($B$19="Exp",CT50)))),H55),IF($B$34=$A$52,IF('Total MSW TAM Data_Updated2020'!I55="",IF($B$19="Linear",BV50,IF($B$19="2nd Poly",CD50,IF($B$19="3rd Poly",CM50,IF($B$19="Exp",CT50)))),'Total MSW TAM Data_Updated2020'!I55),IF($B$34=$A$53,IF(J55="",IF($B$19="Linear",BV50,IF($B$19="2nd Poly",CD50,IF($B$19="3rd Poly",CM50,IF($B$19="Exp",CT50)))),J55),IF($B$34=$A$54,IF(K55="",IF($B$19="Linear",BV50,IF($B$19="2nd Poly",CD50,IF($B$19="3rd Poly",CM50,IF($B$19="Exp",CT50)))),K55),IF($B$34=$A$55,IF(L55="",IF($B$19="Linear",BV50,IF($B$19="2nd Poly",CD50,IF($B$19="3rd Poly",CM50,IF($B$19="Exp",CT50)))),L55),IF($B$34=$A$56,IF(M55="",IF($B$19="Linear",BV50,IF($B$19="2nd Poly",CD50,IF($B$19="3rd Poly",CM50,IF($B$19="Exp",CT50)))),M55),IF($B$19="Linear",BV50,IF($B$19="2nd Poly",CD50,IF($B$19="3rd Poly",CM50,IF($B$19="Exp",CT50)))))))))))))))</f>
        <v>1808.2106982169528</v>
      </c>
      <c r="EA45" s="33" t="str">
        <f>IF($B$36="ALL SOURCES",$V$5,"Medium")</f>
        <v>Medium</v>
      </c>
      <c r="EB45" s="33"/>
      <c r="EC45" s="33"/>
      <c r="ED45" s="33"/>
      <c r="EE45" s="33"/>
      <c r="EV45" s="147"/>
    </row>
    <row r="46" spans="1:152" ht="14.1" thickBot="1" x14ac:dyDescent="0.5">
      <c r="A46" s="948" t="s">
        <v>1032</v>
      </c>
      <c r="B46" s="128">
        <v>2012</v>
      </c>
      <c r="C46" s="998">
        <v>1536.6666666666667</v>
      </c>
      <c r="D46" s="1013">
        <v>1536.6666666666667</v>
      </c>
      <c r="E46" s="1014"/>
      <c r="F46" s="1091"/>
      <c r="G46" s="1084">
        <v>1536.6666666666667</v>
      </c>
      <c r="H46" s="1079"/>
      <c r="I46" s="1136"/>
      <c r="J46" s="970"/>
      <c r="K46" s="971"/>
      <c r="L46" s="972"/>
      <c r="M46" s="971"/>
      <c r="N46" s="29" t="s">
        <v>758</v>
      </c>
      <c r="P46" s="153"/>
      <c r="Q46" s="153"/>
      <c r="R46" s="29">
        <v>-2</v>
      </c>
      <c r="S46" s="154">
        <f t="shared" ref="S46:S77" si="0">IF(MIN(C46:Q46)=0,"",MIN(C46:Q46))</f>
        <v>1536.6666666666667</v>
      </c>
      <c r="T46" s="154">
        <f t="shared" ref="T46:T77" si="1">IF(MAX(C46:Q46)=0,"",MAX(C46:Q46))</f>
        <v>1536.6666666666667</v>
      </c>
      <c r="U46" s="154">
        <f t="shared" ref="U46:U77" si="2">IF(T46="","",IF($B$36=$A$45,_xlfn.STDEV.P(C46:Q46),IF($B$36=$A$62,_xlfn.STDEV.P(C46:E46),IF($B$36=$A$63,_xlfn.STDEV.P(F46:H46),IF($B$36=$A$64,_xlfn.STDEV.P(J46:K46),IF($B$36=$A$65,_xlfn.STDEV.P(L46:M46)))))))</f>
        <v>0</v>
      </c>
      <c r="V46" s="29"/>
      <c r="W46" s="154">
        <f>IF(U46="",#N/A,X46-(U46*$B$25))</f>
        <v>1536.6666666666667</v>
      </c>
      <c r="X46" s="154">
        <f>IF(U46="",#N/A,IF($B$36=$A$62,(SUM(C46:E46)/COUNTIF(C46:E46,"&gt;0")),IF($B$36=$A$63,(SUM(F46:H46)/COUNTIF(F46:H46,"&gt;0")),IF($B$36=$A$64,(SUM(J46:K46)/COUNTIF(J46:K46,"&gt;0")),IF($B$36=$A$65,(SUM(L46:M46)/COUNTIF(L46:M46,"&gt;0")),(IF($B$36=$A$46,IF(C46="",#N/A,C46),IF($B$36=$A$47,IF(D46="",#N/A,D46),IF($B$36=$A$48,IF(E46="",#N/A,E46),IF($B$36=$A$49,IF(F46="",#N/A,F46),IF($B$36=$A$50,IF(G46="",#N/A,G46),IF($B$36=$A$51,IF(H46="",#N/A,H46),IF($B$36=$A$52,IF('Total MSW TAM Data_Updated2020'!I46="",#N/A,'Total MSW TAM Data_Updated2020'!I46),IF($B$36=$A$53,IF(J46="",#N/A,J46),IF($B$36=$A$54,IF(K46="",#N/A,K46),IF($B$36=$A$55,IF(L46="",#N/A,L46),IF($B$36=$A$56,IF(M46="",#N/A,M46),IF(U46="",#N/A,(SUM(C46:Q46)/COUNTIFS(C46:Q46,"&gt;0"))))))))))))))))))))</f>
        <v>1536.6666666666667</v>
      </c>
      <c r="Y46" s="154">
        <f t="shared" ref="Y46:Y94" si="3">IF(U46="",#N/A,X46+(U46*$B$24))</f>
        <v>1536.6666666666667</v>
      </c>
      <c r="AA46" s="1133">
        <v>1536.6666666666667</v>
      </c>
      <c r="AB46" s="1133">
        <v>1536.6666666666667</v>
      </c>
      <c r="AC46" s="1133">
        <v>1536.6666666666667</v>
      </c>
      <c r="AD46" s="138"/>
      <c r="AE46" s="138"/>
      <c r="AF46" s="138"/>
      <c r="AG46" s="138"/>
      <c r="AH46" s="138"/>
      <c r="AI46" s="138"/>
      <c r="AJ46" s="138"/>
      <c r="AK46" s="138"/>
      <c r="AL46" s="138"/>
      <c r="AM46" s="138"/>
      <c r="AN46" s="138"/>
      <c r="BR46" s="691" t="s">
        <v>81</v>
      </c>
      <c r="BS46" s="65" t="str">
        <f>IF($AC$3="N",$V$5,$C$19)</f>
        <v>Medium</v>
      </c>
      <c r="BT46" s="691" t="s">
        <v>82</v>
      </c>
      <c r="BU46" s="691" t="s">
        <v>83</v>
      </c>
      <c r="BW46" s="133"/>
      <c r="BY46" s="691" t="s">
        <v>81</v>
      </c>
      <c r="BZ46" s="65" t="str">
        <f>IF($AC$3="N",$V$5,$C$19)</f>
        <v>Medium</v>
      </c>
      <c r="CA46" s="691" t="s">
        <v>84</v>
      </c>
      <c r="CB46" s="691" t="s">
        <v>82</v>
      </c>
      <c r="CC46" s="691" t="s">
        <v>83</v>
      </c>
      <c r="CG46" s="691" t="s">
        <v>81</v>
      </c>
      <c r="CH46" s="65" t="str">
        <f>IF($AC$3="N",$V$5,$C$19)</f>
        <v>Medium</v>
      </c>
      <c r="CI46" s="691" t="s">
        <v>85</v>
      </c>
      <c r="CJ46" s="691" t="s">
        <v>84</v>
      </c>
      <c r="CK46" s="691" t="s">
        <v>82</v>
      </c>
      <c r="CL46" s="691" t="s">
        <v>83</v>
      </c>
      <c r="CP46" s="691" t="s">
        <v>81</v>
      </c>
      <c r="CQ46" s="65" t="str">
        <f>IF($AC$3="N",$V$5,$C$19)</f>
        <v>Medium</v>
      </c>
      <c r="CR46" s="691" t="s">
        <v>86</v>
      </c>
      <c r="CS46" s="691" t="s">
        <v>87</v>
      </c>
      <c r="CZ46" s="155" t="b">
        <f t="shared" ref="CZ46:DB85" si="4">ISNUMBER(W46)</f>
        <v>1</v>
      </c>
      <c r="DA46" s="156" t="b">
        <f t="shared" si="4"/>
        <v>1</v>
      </c>
      <c r="DB46" s="157" t="b">
        <f t="shared" si="4"/>
        <v>1</v>
      </c>
      <c r="DC46" s="155">
        <f>IF(CZ46=TRUE,$R46,"")</f>
        <v>-2</v>
      </c>
      <c r="DD46" s="157">
        <f t="shared" ref="DD46:DD94" si="5">IF(CZ46=TRUE,W46,"")</f>
        <v>1536.6666666666667</v>
      </c>
      <c r="DE46" s="155">
        <f t="shared" ref="DE46:DE94" si="6">IF(DA46=TRUE,$R46,"")</f>
        <v>-2</v>
      </c>
      <c r="DF46" s="157">
        <f t="shared" ref="DF46:DF94" si="7">IF(DA46=TRUE,X46,"")</f>
        <v>1536.6666666666667</v>
      </c>
      <c r="DG46" s="155">
        <f t="shared" ref="DG46:DG94" si="8">IF(DB46=TRUE,$R46,"")</f>
        <v>-2</v>
      </c>
      <c r="DH46" s="157">
        <f t="shared" ref="DH46:DH94" si="9">IF(DB46=TRUE,Y46,"")</f>
        <v>1536.6666666666667</v>
      </c>
      <c r="DI46" s="155">
        <f>IFERROR(INDEX(DC$46:DC$94,_xlfn.AGGREGATE(15,6,(ROW(DC$46:DC$94)-ROW(DC$46)+1)/(DC$46:DC$94&lt;&gt;""),ROWS(DI$1:DI1))),"")</f>
        <v>-2</v>
      </c>
      <c r="DJ46" s="156">
        <f>IFERROR(INDEX(DD$46:DD$94,_xlfn.AGGREGATE(15,6,(ROW(DD$46:DD$94)-ROW(DD$46)+1)/(DD$46:DD$94&lt;&gt;""),ROWS(DJ$1:DJ1))),"")</f>
        <v>1536.6666666666667</v>
      </c>
      <c r="DK46" s="157">
        <f t="shared" ref="DK46:DK94" si="10">IF(ISNUMBER(DI46),ROW(DI46),"")</f>
        <v>46</v>
      </c>
      <c r="DL46" s="155">
        <f>IFERROR(INDEX(DE$46:DE$94,_xlfn.AGGREGATE(15,6,(ROW(DE$46:DE$94)-ROW(DE$46)+1)/(DE$46:DE$94&lt;&gt;""),ROWS(DL$1:DL1))),"")</f>
        <v>-2</v>
      </c>
      <c r="DM46" s="156">
        <f>IFERROR(INDEX(DF$46:DF$94,_xlfn.AGGREGATE(15,6,(ROW(DF$46:DF$94)-ROW(DF$46)+1)/(DF$46:DF$94&lt;&gt;""),ROWS(DM$1:DM1))),"")</f>
        <v>1536.6666666666667</v>
      </c>
      <c r="DN46" s="157">
        <f t="shared" ref="DN46:DN94" si="11">IF(ISNUMBER(DI46),ROW(DI46),"")</f>
        <v>46</v>
      </c>
      <c r="DO46" s="155">
        <f>IFERROR(INDEX(DG$46:DG$94,_xlfn.AGGREGATE(15,6,(ROW(DG$46:DG$94)-ROW(DG$46)+1)/(DG$46:DG$94&lt;&gt;""),ROWS(DO$1:DO1))),"")</f>
        <v>-2</v>
      </c>
      <c r="DP46" s="156">
        <f>IFERROR(INDEX(DH$46:DH$94,_xlfn.AGGREGATE(15,6,(ROW(DH$46:DH$94)-ROW(DH$46)+1)/(DH$46:DH$94&lt;&gt;""),ROWS(DP$1:DP1))),"")</f>
        <v>1536.6666666666667</v>
      </c>
      <c r="DQ46" s="157">
        <f t="shared" ref="DQ46:DQ94" si="12">IF(ISNUMBER(DL46),ROW(DL46),"")</f>
        <v>46</v>
      </c>
      <c r="DV46" s="145">
        <v>2015</v>
      </c>
      <c r="DW46" s="146">
        <f t="shared" ref="DW46:DW91" ca="1" si="13">IF($AC$3="N",IF($V$4="Linear",BV51,IF($V$4="2nd Poly",CD51,IF($V$4="3rd Poly",CM51,IF($V$4="Exp",CT51)))),IF($B$19="Linear",BV51,IF($B$19="2nd Poly",CD51,IF($B$19="3rd Poly",CM51,IF($B$19="Exp",CT51)))))</f>
        <v>1874.9636930648953</v>
      </c>
      <c r="EA46" s="33"/>
      <c r="EB46" s="33"/>
      <c r="EC46" s="33"/>
      <c r="ED46" s="33"/>
      <c r="EE46" s="33"/>
      <c r="EV46" s="147"/>
    </row>
    <row r="47" spans="1:152" ht="13.8" x14ac:dyDescent="0.45">
      <c r="A47" s="948" t="s">
        <v>1037</v>
      </c>
      <c r="B47" s="128">
        <v>2013</v>
      </c>
      <c r="C47" s="1001">
        <v>1655</v>
      </c>
      <c r="D47" s="989">
        <v>1655</v>
      </c>
      <c r="E47" s="1015"/>
      <c r="F47" s="1092"/>
      <c r="G47" s="1083">
        <v>1655</v>
      </c>
      <c r="H47" s="1080"/>
      <c r="I47" s="1136"/>
      <c r="J47" s="973"/>
      <c r="K47" s="971"/>
      <c r="L47" s="972"/>
      <c r="M47" s="971"/>
      <c r="N47" s="29" t="s">
        <v>758</v>
      </c>
      <c r="P47" s="153"/>
      <c r="Q47" s="153"/>
      <c r="R47" s="29">
        <v>-1</v>
      </c>
      <c r="S47" s="154">
        <f t="shared" si="0"/>
        <v>1655</v>
      </c>
      <c r="T47" s="154">
        <f t="shared" si="1"/>
        <v>1655</v>
      </c>
      <c r="U47" s="154">
        <f t="shared" si="2"/>
        <v>0</v>
      </c>
      <c r="V47" s="29"/>
      <c r="W47" s="154">
        <f t="shared" ref="W47:W94" si="14">IF(U47="",#N/A,X47-(U47*$B$25))</f>
        <v>1655</v>
      </c>
      <c r="X47" s="154">
        <f>IF(U47="",#N/A,IF($B$36=$A$62,(SUM(C47:E47)/COUNTIF(C47:E47,"&gt;0")),IF($B$36=$A$63,(SUM(F47:H47)/COUNTIF(F47:H47,"&gt;0")),IF($B$36=$A$64,(SUM(J47:K47)/COUNTIF(J47:K47,"&gt;0")),IF($B$36=$A$65,(SUM(L47:M47)/COUNTIF(L47:M47,"&gt;0")),(IF($B$36=$A$46,IF(C47="",#N/A,C47),IF($B$36=$A$47,IF(D47="",#N/A,D47),IF($B$36=$A$48,IF(E47="",#N/A,E47),IF($B$36=$A$49,IF(F47="",#N/A,F47),IF($B$36=$A$50,IF(G47="",#N/A,G47),IF($B$36=$A$51,IF(H47="",#N/A,H47),IF($B$36=$A$52,IF('Total MSW TAM Data_Updated2020'!I47="",#N/A,'Total MSW TAM Data_Updated2020'!I47),IF($B$36=$A$53,IF(J47="",#N/A,J47),IF($B$36=$A$54,IF(K47="",#N/A,K47),IF($B$36=$A$55,IF(L47="",#N/A,L47),IF($B$36=$A$56,IF(M47="",#N/A,M47),IF(U47="",#N/A,(SUM(C47:Q47)/COUNTIFS(C47:Q47,"&gt;0"))))))))))))))))))))</f>
        <v>1655</v>
      </c>
      <c r="Y47" s="154">
        <f t="shared" si="3"/>
        <v>1655</v>
      </c>
      <c r="AA47" s="1133">
        <v>1655</v>
      </c>
      <c r="AB47" s="1133">
        <v>1655</v>
      </c>
      <c r="AC47" s="1133">
        <v>1655</v>
      </c>
      <c r="AD47" s="138"/>
      <c r="AE47" s="138"/>
      <c r="AF47" s="138"/>
      <c r="AG47" s="138"/>
      <c r="AH47" s="138"/>
      <c r="AI47" s="138"/>
      <c r="AJ47" s="138"/>
      <c r="AK47" s="138"/>
      <c r="AL47" s="138"/>
      <c r="AM47" s="138"/>
      <c r="AN47" s="138"/>
      <c r="BS47" s="160" t="s">
        <v>25</v>
      </c>
      <c r="BT47" s="161">
        <f>SLOPE((DH46:DH94),($B$46:$B$94))</f>
        <v>44.060279521065205</v>
      </c>
      <c r="BU47" s="162">
        <f>INTERCEPT(DP46:DP94,DO46:DO94)</f>
        <v>2064.7500096029034</v>
      </c>
      <c r="BW47" s="133"/>
      <c r="BZ47" s="160" t="s">
        <v>25</v>
      </c>
      <c r="CA47" s="161">
        <f ca="1">INDEX(LINEST((INDIRECT(DO43):INDIRECT(DP43)),(INDIRECT(DO44):INDIRECT(DP44))^{1,2}),1)</f>
        <v>-0.60995916997756094</v>
      </c>
      <c r="CB47" s="163">
        <f ca="1">INDEX(LINEST((INDIRECT(DO43):INDIRECT(DP43)),(INDIRECT(DO44):INDIRECT(DP44))^{1,2}),1,2)</f>
        <v>70.898483000077889</v>
      </c>
      <c r="CC47" s="162">
        <f ca="1">INDEX(LINEST((INDIRECT(DO43):INDIRECT(DP43)),(INDIRECT(DO44):INDIRECT(DP44))^{1,2}),1,3)</f>
        <v>1891.5216053292759</v>
      </c>
      <c r="CH47" s="160" t="s">
        <v>25</v>
      </c>
      <c r="CI47" s="161">
        <f ca="1">INDEX(LINEST((INDIRECT(DO43):INDIRECT(DP43)),(INDIRECT(DO44):INDIRECT(DP44))^{1,2,3}),1)</f>
        <v>2.3425142317972381E-2</v>
      </c>
      <c r="CJ47" s="163">
        <f ca="1">INDEX(LINEST((INDIRECT(DO43):INDIRECT(DP43)),(INDIRECT(DO44):INDIRECT(DP44))^{1,2,3}),1,2)</f>
        <v>-2.1560185629637383</v>
      </c>
      <c r="CK47" s="163">
        <f ca="1">INDEX(LINEST((INDIRECT(DO43):INDIRECT(DP43)),(INDIRECT(DO44):INDIRECT(DP44))^{1,2,3}),1,3)</f>
        <v>96.48342343976735</v>
      </c>
      <c r="CL47" s="162">
        <f ca="1">INDEX(LINEST((INDIRECT(DO43):INDIRECT(DP43)),(INDIRECT(DO44):INDIRECT(DP44))^{1,2,3}),1,4)</f>
        <v>1827.5147464596475</v>
      </c>
      <c r="CQ47" s="160" t="s">
        <v>25</v>
      </c>
      <c r="CR47" s="161">
        <f ca="1">EXP(INDEX(LINEST(LN(INDIRECT(DO43):INDIRECT(DP43)),(INDIRECT(DO44):INDIRECT(DP44))),1,2))</f>
        <v>2096.7145316729125</v>
      </c>
      <c r="CS47" s="162">
        <f ca="1">INDEX(LINEST(LN(INDIRECT(DO43):INDIRECT(DP43)),(INDIRECT(DO44):INDIRECT(DP44))),1)</f>
        <v>1.5645579902700442E-2</v>
      </c>
      <c r="CZ47" s="164" t="b">
        <f t="shared" si="4"/>
        <v>1</v>
      </c>
      <c r="DA47" s="165" t="b">
        <f t="shared" si="4"/>
        <v>1</v>
      </c>
      <c r="DB47" s="166" t="b">
        <f t="shared" si="4"/>
        <v>1</v>
      </c>
      <c r="DC47" s="164">
        <f t="shared" ref="DC47:DC94" si="15">IF(CZ47=TRUE,R47,"")</f>
        <v>-1</v>
      </c>
      <c r="DD47" s="166">
        <f t="shared" si="5"/>
        <v>1655</v>
      </c>
      <c r="DE47" s="164">
        <f t="shared" si="6"/>
        <v>-1</v>
      </c>
      <c r="DF47" s="166">
        <f t="shared" si="7"/>
        <v>1655</v>
      </c>
      <c r="DG47" s="164">
        <f t="shared" si="8"/>
        <v>-1</v>
      </c>
      <c r="DH47" s="166">
        <f t="shared" si="9"/>
        <v>1655</v>
      </c>
      <c r="DI47" s="164">
        <f>IFERROR(INDEX(DC$46:DC$94,_xlfn.AGGREGATE(15,6,(ROW(DC$46:DC$94)-ROW(DC$46)+1)/(DC$46:DC$94&lt;&gt;""),ROWS(DI$1:DI2))),"")</f>
        <v>-1</v>
      </c>
      <c r="DJ47" s="165">
        <f>IFERROR(INDEX(DD$46:DD$94,_xlfn.AGGREGATE(15,6,(ROW(DD$46:DD$94)-ROW(DD$46)+1)/(DD$46:DD$94&lt;&gt;""),ROWS(DJ$1:DJ2))),"")</f>
        <v>1655</v>
      </c>
      <c r="DK47" s="166">
        <f t="shared" si="10"/>
        <v>47</v>
      </c>
      <c r="DL47" s="164">
        <f>IFERROR(INDEX(DE$46:DE$94,_xlfn.AGGREGATE(15,6,(ROW(DE$46:DE$94)-ROW(DE$46)+1)/(DE$46:DE$94&lt;&gt;""),ROWS(DL$1:DL2))),"")</f>
        <v>-1</v>
      </c>
      <c r="DM47" s="165">
        <f>IFERROR(INDEX(DF$46:DF$94,_xlfn.AGGREGATE(15,6,(ROW(DF$46:DF$94)-ROW(DF$46)+1)/(DF$46:DF$94&lt;&gt;""),ROWS(DM$1:DM2))),"")</f>
        <v>1655</v>
      </c>
      <c r="DN47" s="166">
        <f t="shared" si="11"/>
        <v>47</v>
      </c>
      <c r="DO47" s="164">
        <f>IFERROR(INDEX(DG$46:DG$94,_xlfn.AGGREGATE(15,6,(ROW(DG$46:DG$94)-ROW(DG$46)+1)/(DG$46:DG$94&lt;&gt;""),ROWS(DO$1:DO2))),"")</f>
        <v>-1</v>
      </c>
      <c r="DP47" s="165">
        <f>IFERROR(INDEX(DH$46:DH$94,_xlfn.AGGREGATE(15,6,(ROW(DH$46:DH$94)-ROW(DH$46)+1)/(DH$46:DH$94&lt;&gt;""),ROWS(DP$1:DP2))),"")</f>
        <v>1655</v>
      </c>
      <c r="DQ47" s="166">
        <f t="shared" si="12"/>
        <v>47</v>
      </c>
      <c r="DV47" s="145">
        <v>2016</v>
      </c>
      <c r="DW47" s="146">
        <f t="shared" ca="1" si="13"/>
        <v>1939.562098893362</v>
      </c>
      <c r="DZ47" s="65" t="s">
        <v>89</v>
      </c>
      <c r="EA47" s="33"/>
      <c r="EB47" s="33"/>
      <c r="EC47" s="33"/>
      <c r="ED47" s="33"/>
      <c r="EE47" s="33"/>
      <c r="EV47" s="147"/>
    </row>
    <row r="48" spans="1:152" ht="13.8" x14ac:dyDescent="0.45">
      <c r="A48" s="948" t="s">
        <v>90</v>
      </c>
      <c r="B48" s="128">
        <v>2014</v>
      </c>
      <c r="C48" s="1001">
        <v>1773.3333333333333</v>
      </c>
      <c r="D48" s="989">
        <v>1773.3333333333333</v>
      </c>
      <c r="E48" s="969"/>
      <c r="F48" s="1092"/>
      <c r="G48" s="1083">
        <v>1773.3333333333333</v>
      </c>
      <c r="H48" s="1081"/>
      <c r="I48" s="1135"/>
      <c r="J48" s="974"/>
      <c r="K48" s="975"/>
      <c r="L48" s="976"/>
      <c r="M48" s="975"/>
      <c r="N48" s="29" t="s">
        <v>758</v>
      </c>
      <c r="P48" s="153"/>
      <c r="Q48" s="171" t="str">
        <f>(IF($B$29="N","",IF($B$30="N","",SUM(DW105,DW169,DW232,DW295,DW358))))</f>
        <v/>
      </c>
      <c r="R48" s="29">
        <v>0</v>
      </c>
      <c r="S48" s="154">
        <f t="shared" si="0"/>
        <v>1773.3333333333333</v>
      </c>
      <c r="T48" s="154">
        <f t="shared" si="1"/>
        <v>1773.3333333333333</v>
      </c>
      <c r="U48" s="154">
        <f t="shared" si="2"/>
        <v>0</v>
      </c>
      <c r="V48" s="29"/>
      <c r="W48" s="154">
        <f>IF(U48="",#N/A,X48-(U48*$B$25))</f>
        <v>1773.3333333333333</v>
      </c>
      <c r="X48" s="154">
        <f>IF(U48="",#N/A,IF($B$36=$A$62,(SUM(C48:E48)/COUNTIF(C48:E48,"&gt;0")),IF($B$36=$A$63,(SUM(F48:H48)/COUNTIF(F48:H48,"&gt;0")),IF($B$36=$A$64,(SUM(J48:K48)/COUNTIF(J48:K48,"&gt;0")),IF($B$36=$A$65,(SUM(L48:M48)/COUNTIF(L48:M48,"&gt;0")),(IF($B$36=$A$46,IF(C48="",#N/A,C48),IF($B$36=$A$47,IF(D48="",#N/A,D48),IF($B$36=$A$48,IF(E48="",#N/A,E48),IF($B$36=$A$49,IF(F48="",#N/A,F48),IF($B$36=$A$50,IF(G48="",#N/A,G48),IF($B$36=$A$51,IF(H48="",#N/A,H48),IF($B$36=$A$52,IF('Total MSW TAM Data_Updated2020'!I48="",#N/A,'Total MSW TAM Data_Updated2020'!I48),IF($B$36=$A$53,IF(J48="",#N/A,J48),IF($B$36=$A$54,IF(K48="",#N/A,K48),IF($B$36=$A$55,IF(L48="",#N/A,L48),IF($B$36=$A$56,IF(M48="",#N/A,M48),IF(U48="",#N/A,(SUM(C48:Q48)/COUNTIFS(C48:Q48,"&gt;0"))))))))))))))))))))</f>
        <v>1773.3333333333333</v>
      </c>
      <c r="Y48" s="154">
        <f>IF(U48="",#N/A,X48+(U48*$B$24))</f>
        <v>1773.3333333333333</v>
      </c>
      <c r="AA48" s="1133">
        <v>1773.3333333333333</v>
      </c>
      <c r="AB48" s="1133">
        <v>1773.3333333333333</v>
      </c>
      <c r="AC48" s="1133">
        <v>1773.3333333333333</v>
      </c>
      <c r="AD48" s="138"/>
      <c r="AE48" s="138"/>
      <c r="AF48" s="138"/>
      <c r="AG48" s="138"/>
      <c r="AH48" s="138"/>
      <c r="AI48" s="138"/>
      <c r="AJ48" s="138"/>
      <c r="AK48" s="138"/>
      <c r="AL48" s="138"/>
      <c r="AM48" s="138"/>
      <c r="AN48" s="138"/>
      <c r="BS48" s="160" t="s">
        <v>91</v>
      </c>
      <c r="BT48" s="172">
        <f>SLOPE((DF46:DF94),($B$46:$B$94))</f>
        <v>41.516401075883877</v>
      </c>
      <c r="BU48" s="173">
        <f>INTERCEPT(DM46:DM94,DL46:DL94)</f>
        <v>1924.0853092551583</v>
      </c>
      <c r="BZ48" s="160" t="s">
        <v>91</v>
      </c>
      <c r="CA48" s="172">
        <f ca="1">INDEX(LINEST((INDIRECT(DL43):INDIRECT(DM43)),(INDIRECT(DL44):INDIRECT(DM44))^{1,2}),1)</f>
        <v>-0.28737572079732526</v>
      </c>
      <c r="CB48" s="174">
        <f ca="1">INDEX(LINEST((INDIRECT(DL43):INDIRECT(DM43)),(INDIRECT(DL44):INDIRECT(DM44))^{1,2}),1,2)</f>
        <v>54.160932790966193</v>
      </c>
      <c r="CC48" s="173">
        <f ca="1">INDEX(LINEST((INDIRECT(DL43):INDIRECT(DM43)),(INDIRECT(DL44):INDIRECT(DM44))^{1,2}),1,3)</f>
        <v>1842.470604548718</v>
      </c>
      <c r="CH48" s="160" t="s">
        <v>91</v>
      </c>
      <c r="CI48" s="172">
        <f ca="1">INDEX(LINEST((INDIRECT(DL43):INDIRECT(DM43)),(INDIRECT(DL44):INDIRECT(DM44))^{1,2,3}),1)</f>
        <v>1.2538393475246903E-2</v>
      </c>
      <c r="CJ48" s="174">
        <f ca="1">INDEX(LINEST((INDIRECT(DL43):INDIRECT(DM43)),(INDIRECT(DL44):INDIRECT(DM44))^{1,2,3}),1,2)</f>
        <v>-1.1149096901636211</v>
      </c>
      <c r="CK48" s="174">
        <f ca="1">INDEX(LINEST((INDIRECT(DL43):INDIRECT(DM43)),(INDIRECT(DL44):INDIRECT(DM44))^{1,2,3}),1,3)</f>
        <v>67.855366144630878</v>
      </c>
      <c r="CL48" s="173">
        <f ca="1">INDEX(LINEST((INDIRECT(DL43):INDIRECT(DM43)),(INDIRECT(DL44):INDIRECT(DM44))^{1,2,3}),1,4)</f>
        <v>1808.2106982169528</v>
      </c>
      <c r="CQ48" s="160" t="s">
        <v>91</v>
      </c>
      <c r="CR48" s="172">
        <f ca="1">EXP(INDEX(LINEST(LN(INDIRECT(DL43):INDIRECT(DM43)),(INDIRECT(DL44):INDIRECT(DM44))),1,2))</f>
        <v>1974.5373970287794</v>
      </c>
      <c r="CS48" s="173">
        <f ca="1">INDEX(LINEST(LN(INDIRECT(DL43):INDIRECT(DM43)),(INDIRECT(DL44):INDIRECT(DM44))),1)</f>
        <v>1.5397222676998806E-2</v>
      </c>
      <c r="CZ48" s="164" t="b">
        <f t="shared" si="4"/>
        <v>1</v>
      </c>
      <c r="DA48" s="165" t="b">
        <f t="shared" si="4"/>
        <v>1</v>
      </c>
      <c r="DB48" s="166" t="b">
        <f t="shared" si="4"/>
        <v>1</v>
      </c>
      <c r="DC48" s="164">
        <f t="shared" si="15"/>
        <v>0</v>
      </c>
      <c r="DD48" s="166">
        <f t="shared" si="5"/>
        <v>1773.3333333333333</v>
      </c>
      <c r="DE48" s="164">
        <f t="shared" si="6"/>
        <v>0</v>
      </c>
      <c r="DF48" s="166">
        <f t="shared" si="7"/>
        <v>1773.3333333333333</v>
      </c>
      <c r="DG48" s="164">
        <f t="shared" si="8"/>
        <v>0</v>
      </c>
      <c r="DH48" s="166">
        <f t="shared" si="9"/>
        <v>1773.3333333333333</v>
      </c>
      <c r="DI48" s="164">
        <f>IFERROR(INDEX(DC$46:DC$94,_xlfn.AGGREGATE(15,6,(ROW(DC$46:DC$94)-ROW(DC$46)+1)/(DC$46:DC$94&lt;&gt;""),ROWS(DI$1:DI3))),"")</f>
        <v>0</v>
      </c>
      <c r="DJ48" s="165">
        <f>IFERROR(INDEX(DD$46:DD$94,_xlfn.AGGREGATE(15,6,(ROW(DD$46:DD$94)-ROW(DD$46)+1)/(DD$46:DD$94&lt;&gt;""),ROWS(DJ$1:DJ3))),"")</f>
        <v>1773.3333333333333</v>
      </c>
      <c r="DK48" s="166">
        <f t="shared" si="10"/>
        <v>48</v>
      </c>
      <c r="DL48" s="164">
        <f>IFERROR(INDEX(DE$46:DE$94,_xlfn.AGGREGATE(15,6,(ROW(DE$46:DE$94)-ROW(DE$46)+1)/(DE$46:DE$94&lt;&gt;""),ROWS(DL$1:DL3))),"")</f>
        <v>0</v>
      </c>
      <c r="DM48" s="165">
        <f>IFERROR(INDEX(DF$46:DF$94,_xlfn.AGGREGATE(15,6,(ROW(DF$46:DF$94)-ROW(DF$46)+1)/(DF$46:DF$94&lt;&gt;""),ROWS(DM$1:DM3))),"")</f>
        <v>1773.3333333333333</v>
      </c>
      <c r="DN48" s="166">
        <f t="shared" si="11"/>
        <v>48</v>
      </c>
      <c r="DO48" s="164">
        <f>IFERROR(INDEX(DG$46:DG$94,_xlfn.AGGREGATE(15,6,(ROW(DG$46:DG$94)-ROW(DG$46)+1)/(DG$46:DG$94&lt;&gt;""),ROWS(DO$1:DO3))),"")</f>
        <v>0</v>
      </c>
      <c r="DP48" s="165">
        <f>IFERROR(INDEX(DH$46:DH$94,_xlfn.AGGREGATE(15,6,(ROW(DH$46:DH$94)-ROW(DH$46)+1)/(DH$46:DH$94&lt;&gt;""),ROWS(DP$1:DP3))),"")</f>
        <v>1773.3333333333333</v>
      </c>
      <c r="DQ48" s="166">
        <f t="shared" si="12"/>
        <v>48</v>
      </c>
      <c r="DV48" s="145">
        <v>2017</v>
      </c>
      <c r="DW48" s="146">
        <f t="shared" ca="1" si="13"/>
        <v>2002.0811460632044</v>
      </c>
      <c r="EA48" s="33" t="s">
        <v>85</v>
      </c>
      <c r="EB48" s="33" t="s">
        <v>84</v>
      </c>
      <c r="EC48" s="33" t="s">
        <v>82</v>
      </c>
      <c r="ED48" s="33" t="s">
        <v>83</v>
      </c>
      <c r="EE48" s="33"/>
      <c r="EV48" s="147"/>
    </row>
    <row r="49" spans="1:152" ht="14.1" thickBot="1" x14ac:dyDescent="0.5">
      <c r="A49" s="184" t="s">
        <v>80</v>
      </c>
      <c r="B49" s="128">
        <v>2015</v>
      </c>
      <c r="C49" s="1001">
        <v>1891.6666666666665</v>
      </c>
      <c r="D49" s="989">
        <v>1891.6666666666665</v>
      </c>
      <c r="E49" s="1015"/>
      <c r="F49" s="1092"/>
      <c r="G49" s="1083">
        <v>1891.6666666666665</v>
      </c>
      <c r="H49" s="1082"/>
      <c r="I49" s="1134"/>
      <c r="J49" s="973"/>
      <c r="K49" s="971"/>
      <c r="L49" s="972"/>
      <c r="M49" s="971"/>
      <c r="N49" s="29" t="s">
        <v>758</v>
      </c>
      <c r="P49" s="153"/>
      <c r="Q49" s="176" t="str">
        <f t="shared" ref="Q49:Q94" si="16">(IF($B$29="N","",IF($B$30="N","",SUM(DW106,DW170,DW233,DW296,DW359))))</f>
        <v/>
      </c>
      <c r="R49" s="29">
        <v>1</v>
      </c>
      <c r="S49" s="154">
        <f t="shared" si="0"/>
        <v>1891.6666666666665</v>
      </c>
      <c r="T49" s="154">
        <f t="shared" si="1"/>
        <v>1891.6666666666665</v>
      </c>
      <c r="U49" s="154">
        <f t="shared" si="2"/>
        <v>2.2737367544323206E-13</v>
      </c>
      <c r="V49" s="29"/>
      <c r="W49" s="154">
        <f t="shared" si="14"/>
        <v>1891.6666666666665</v>
      </c>
      <c r="X49" s="154">
        <f>IF(U49="",#N/A,IF($B$36=$A$62,(SUM(C49:E49)/COUNTIF(C49:E49,"&gt;0")),IF($B$36=$A$63,(SUM(F49:H49)/COUNTIF(F49:H49,"&gt;0")),IF($B$36=$A$64,(SUM(J49:K49)/COUNTIF(J49:K49,"&gt;0")),IF($B$36=$A$65,(SUM(L49:M49)/COUNTIF(L49:M49,"&gt;0")),(IF($B$36=$A$46,IF(C49="",#N/A,C49),IF($B$36=$A$47,IF(D49="",#N/A,D49),IF($B$36=$A$48,IF(E49="",#N/A,E49),IF($B$36=$A$49,IF(F49="",#N/A,F49),IF($B$36=$A$50,IF(G49="",#N/A,G49),IF($B$36=$A$51,IF(H49="",#N/A,H49),IF($B$36=$A$52,IF('Total MSW TAM Data_Updated2020'!I49="",#N/A,'Total MSW TAM Data_Updated2020'!I49),IF($B$36=$A$53,IF(J49="",#N/A,J49),IF($B$36=$A$54,IF(K49="",#N/A,K49),IF($B$36=$A$55,IF(L49="",#N/A,L49),IF($B$36=$A$56,IF(M49="",#N/A,M49),IF(U49="",#N/A,(SUM(C49:Q49)/COUNTIFS(C49:Q49,"&gt;0"))))))))))))))))))))</f>
        <v>1891.6666666666667</v>
      </c>
      <c r="Y49" s="154">
        <f t="shared" si="3"/>
        <v>1891.666666666667</v>
      </c>
      <c r="AA49" s="1133">
        <v>1891.6666666666665</v>
      </c>
      <c r="AB49" s="1133">
        <v>1891.6666666666667</v>
      </c>
      <c r="AC49" s="1133">
        <v>1891.666666666667</v>
      </c>
      <c r="AD49" s="138"/>
      <c r="AE49" s="138"/>
      <c r="AF49" s="138"/>
      <c r="AG49" s="138"/>
      <c r="AH49" s="138"/>
      <c r="AI49" s="138"/>
      <c r="AJ49" s="138"/>
      <c r="AK49" s="138"/>
      <c r="AL49" s="138"/>
      <c r="AM49" s="138"/>
      <c r="AN49" s="138"/>
      <c r="BR49" s="29"/>
      <c r="BS49" s="160" t="s">
        <v>15</v>
      </c>
      <c r="BT49" s="177">
        <f>SLOPE((DD46:DD94),($B$46:$B$94))</f>
        <v>38.972522630702542</v>
      </c>
      <c r="BU49" s="178">
        <f>INTERCEPT(DJ46:DJ94,DI46:DI94)</f>
        <v>1783.4206089074146</v>
      </c>
      <c r="BV49" s="691" t="s">
        <v>71</v>
      </c>
      <c r="BY49" s="29"/>
      <c r="BZ49" s="160" t="s">
        <v>15</v>
      </c>
      <c r="CA49" s="177">
        <f ca="1">INDEX(LINEST((INDIRECT(DI43):INDIRECT(DJ43)),(INDIRECT(DI44):INDIRECT(DJ44))^{1,2}),1)</f>
        <v>3.5207728382910378E-2</v>
      </c>
      <c r="CB49" s="179">
        <f ca="1">INDEX(LINEST((INDIRECT(DI43):INDIRECT(DJ43)),(INDIRECT(DI44):INDIRECT(DJ44))^{1,2}),1,2)</f>
        <v>37.42338258185449</v>
      </c>
      <c r="CC49" s="178">
        <f ca="1">INDEX(LINEST((INDIRECT(DI43):INDIRECT(DJ43)),(INDIRECT(DI44):INDIRECT(DJ44))^{1,2}),1,3)</f>
        <v>1793.4196037681609</v>
      </c>
      <c r="CD49" s="691" t="s">
        <v>71</v>
      </c>
      <c r="CG49" s="29"/>
      <c r="CH49" s="160" t="s">
        <v>15</v>
      </c>
      <c r="CI49" s="177">
        <f ca="1">INDEX(LINEST((INDIRECT(DI43):INDIRECT(DJ43)),(INDIRECT(DI44):INDIRECT(DJ44))^{1,2,3}),1)</f>
        <v>1.6516446325214641E-3</v>
      </c>
      <c r="CJ49" s="179">
        <f ca="1">INDEX(LINEST((INDIRECT(DI43):INDIRECT(DJ43)),(INDIRECT(DI44):INDIRECT(DJ44))^{1,2,3}),1,2)</f>
        <v>-7.3800817363506674E-2</v>
      </c>
      <c r="CK49" s="179">
        <f ca="1">INDEX(LINEST((INDIRECT(DI43):INDIRECT(DJ43)),(INDIRECT(DI44):INDIRECT(DJ44))^{1,2,3}),1,3)</f>
        <v>39.227308849494442</v>
      </c>
      <c r="CL49" s="178">
        <f ca="1">INDEX(LINEST((INDIRECT(DI43):INDIRECT(DJ43)),(INDIRECT(DI44):INDIRECT(DJ44))^{1,2,3}),1,4)</f>
        <v>1788.9066499742596</v>
      </c>
      <c r="CM49" s="691" t="s">
        <v>71</v>
      </c>
      <c r="CP49" s="29"/>
      <c r="CQ49" s="160" t="s">
        <v>15</v>
      </c>
      <c r="CR49" s="177">
        <f ca="1">EXP(INDEX(LINEST(LN(INDIRECT(DI43):INDIRECT(DJ43)),(INDIRECT(DI44):INDIRECT(DJ44))),1,2))</f>
        <v>1848.4366790353524</v>
      </c>
      <c r="CS49" s="178">
        <f ca="1">INDEX(LINEST(LN(INDIRECT(DI43):INDIRECT(DJ43)),(INDIRECT(DI44):INDIRECT(DJ44))),1)</f>
        <v>1.5173286748675168E-2</v>
      </c>
      <c r="CT49" s="691" t="s">
        <v>71</v>
      </c>
      <c r="CZ49" s="164" t="b">
        <f t="shared" si="4"/>
        <v>1</v>
      </c>
      <c r="DA49" s="165" t="b">
        <f t="shared" si="4"/>
        <v>1</v>
      </c>
      <c r="DB49" s="166" t="b">
        <f t="shared" si="4"/>
        <v>1</v>
      </c>
      <c r="DC49" s="164">
        <f t="shared" si="15"/>
        <v>1</v>
      </c>
      <c r="DD49" s="166">
        <f t="shared" si="5"/>
        <v>1891.6666666666665</v>
      </c>
      <c r="DE49" s="164">
        <f t="shared" si="6"/>
        <v>1</v>
      </c>
      <c r="DF49" s="166">
        <f t="shared" si="7"/>
        <v>1891.6666666666667</v>
      </c>
      <c r="DG49" s="164">
        <f t="shared" si="8"/>
        <v>1</v>
      </c>
      <c r="DH49" s="166">
        <f t="shared" si="9"/>
        <v>1891.666666666667</v>
      </c>
      <c r="DI49" s="164">
        <f>IFERROR(INDEX(DC$46:DC$94,_xlfn.AGGREGATE(15,6,(ROW(DC$46:DC$94)-ROW(DC$46)+1)/(DC$46:DC$94&lt;&gt;""),ROWS(DI$1:DI4))),"")</f>
        <v>1</v>
      </c>
      <c r="DJ49" s="165">
        <f>IFERROR(INDEX(DD$46:DD$94,_xlfn.AGGREGATE(15,6,(ROW(DD$46:DD$94)-ROW(DD$46)+1)/(DD$46:DD$94&lt;&gt;""),ROWS(DJ$1:DJ4))),"")</f>
        <v>1891.6666666666665</v>
      </c>
      <c r="DK49" s="166">
        <f t="shared" si="10"/>
        <v>49</v>
      </c>
      <c r="DL49" s="164">
        <f>IFERROR(INDEX(DE$46:DE$94,_xlfn.AGGREGATE(15,6,(ROW(DE$46:DE$94)-ROW(DE$46)+1)/(DE$46:DE$94&lt;&gt;""),ROWS(DL$1:DL4))),"")</f>
        <v>1</v>
      </c>
      <c r="DM49" s="165">
        <f>IFERROR(INDEX(DF$46:DF$94,_xlfn.AGGREGATE(15,6,(ROW(DF$46:DF$94)-ROW(DF$46)+1)/(DF$46:DF$94&lt;&gt;""),ROWS(DM$1:DM4))),"")</f>
        <v>1891.6666666666667</v>
      </c>
      <c r="DN49" s="166">
        <f t="shared" si="11"/>
        <v>49</v>
      </c>
      <c r="DO49" s="164">
        <f>IFERROR(INDEX(DG$46:DG$94,_xlfn.AGGREGATE(15,6,(ROW(DG$46:DG$94)-ROW(DG$46)+1)/(DG$46:DG$94&lt;&gt;""),ROWS(DO$1:DO4))),"")</f>
        <v>1</v>
      </c>
      <c r="DP49" s="165">
        <f>IFERROR(INDEX(DH$46:DH$94,_xlfn.AGGREGATE(15,6,(ROW(DH$46:DH$94)-ROW(DH$46)+1)/(DH$46:DH$94&lt;&gt;""),ROWS(DP$1:DP4))),"")</f>
        <v>1891.666666666667</v>
      </c>
      <c r="DQ49" s="166">
        <f t="shared" si="12"/>
        <v>49</v>
      </c>
      <c r="DV49" s="145">
        <v>2018</v>
      </c>
      <c r="DW49" s="146">
        <f t="shared" ca="1" si="13"/>
        <v>2062.5960649352742</v>
      </c>
      <c r="DZ49" s="135" t="s">
        <v>92</v>
      </c>
      <c r="EA49" s="33">
        <f ca="1">IF($V$4="Linear",0,IF($V$4="2nd Poly",0,IF($V$4="3rd Poly",CI47,IF($V$4="Exp",0))))</f>
        <v>2.3425142317972381E-2</v>
      </c>
      <c r="EB49" s="33">
        <f ca="1">IF($V$4="Linear",0,IF($V$4="2nd Poly",CA47,IF($V$4="3rd Poly",CJ47,IF($V$4="Exp",0))))</f>
        <v>-2.1560185629637383</v>
      </c>
      <c r="EC49" s="33">
        <f t="shared" ref="EC49:ED51" ca="1" si="17">IF($V$4="Linear",BT47,IF($V$4="2nd Poly",CB47,IF($V$4="3rd Poly",CK47,IF($V$4="Exp",0))))</f>
        <v>96.48342343976735</v>
      </c>
      <c r="ED49" s="33">
        <f t="shared" ca="1" si="17"/>
        <v>1827.5147464596475</v>
      </c>
      <c r="EE49" s="33" t="str">
        <f>IF($EA$44="Linear","High",IF($EA$44="2nd Poly","High",IF($EA$44="3rd Poly","High","N/A")))</f>
        <v>High</v>
      </c>
      <c r="EV49" s="147"/>
    </row>
    <row r="50" spans="1:152" ht="13.8" x14ac:dyDescent="0.45">
      <c r="A50" s="948" t="s">
        <v>1038</v>
      </c>
      <c r="B50" s="128">
        <v>2016</v>
      </c>
      <c r="C50" s="1001">
        <v>2009.9999999999998</v>
      </c>
      <c r="D50" s="989">
        <v>2009.9999999999998</v>
      </c>
      <c r="E50" s="1015"/>
      <c r="F50" s="1092"/>
      <c r="G50" s="1083">
        <v>2009.9999999999998</v>
      </c>
      <c r="H50" s="1082"/>
      <c r="I50" s="1134"/>
      <c r="J50" s="973"/>
      <c r="K50" s="971"/>
      <c r="L50" s="972"/>
      <c r="M50" s="971"/>
      <c r="N50" s="29" t="s">
        <v>758</v>
      </c>
      <c r="P50" s="153"/>
      <c r="Q50" s="176" t="str">
        <f t="shared" si="16"/>
        <v/>
      </c>
      <c r="R50" s="29">
        <v>2</v>
      </c>
      <c r="S50" s="154">
        <f t="shared" si="0"/>
        <v>2009.9999999999998</v>
      </c>
      <c r="T50" s="154">
        <f t="shared" si="1"/>
        <v>2009.9999999999998</v>
      </c>
      <c r="U50" s="154">
        <f t="shared" si="2"/>
        <v>0</v>
      </c>
      <c r="V50" s="29"/>
      <c r="W50" s="154">
        <f t="shared" si="14"/>
        <v>2009.9999999999998</v>
      </c>
      <c r="X50" s="154">
        <f>IF(U50="",#N/A,IF($B$36=$A$62,(SUM(C50:E50)/COUNTIF(C50:E50,"&gt;0")),IF($B$36=$A$63,(SUM(F50:H50)/COUNTIF(F50:H50,"&gt;0")),IF($B$36=$A$64,(SUM(J50:K50)/COUNTIF(J50:K50,"&gt;0")),IF($B$36=$A$65,(SUM(L50:M50)/COUNTIF(L50:M50,"&gt;0")),(IF($B$36=$A$46,IF(C50="",#N/A,C50),IF($B$36=$A$47,IF(D50="",#N/A,D50),IF($B$36=$A$48,IF(E50="",#N/A,E50),IF($B$36=$A$49,IF(F50="",#N/A,F50),IF($B$36=$A$50,IF(G50="",#N/A,G50),IF($B$36=$A$51,IF(H50="",#N/A,H50),IF($B$36=$A$52,IF('Total MSW TAM Data_Updated2020'!I50="",#N/A,'Total MSW TAM Data_Updated2020'!I50),IF($B$36=$A$53,IF(J50="",#N/A,J50),IF($B$36=$A$54,IF(K50="",#N/A,K50),IF($B$36=$A$55,IF(L50="",#N/A,L50),IF($B$36=$A$56,IF(M50="",#N/A,M50),IF(U50="",#N/A,(SUM(C50:Q50)/COUNTIFS(C50:Q50,"&gt;0"))))))))))))))))))))</f>
        <v>2009.9999999999998</v>
      </c>
      <c r="Y50" s="154">
        <f t="shared" si="3"/>
        <v>2009.9999999999998</v>
      </c>
      <c r="AA50" s="1133">
        <v>2009.9999999999998</v>
      </c>
      <c r="AB50" s="1133">
        <v>2009.9999999999998</v>
      </c>
      <c r="AC50" s="1133">
        <v>2009.9999999999998</v>
      </c>
      <c r="AD50" s="138"/>
      <c r="AE50" s="138"/>
      <c r="AF50" s="138"/>
      <c r="AG50" s="138"/>
      <c r="AH50" s="138"/>
      <c r="AI50" s="138"/>
      <c r="AJ50" s="138"/>
      <c r="AK50" s="138"/>
      <c r="AL50" s="138"/>
      <c r="AM50" s="138"/>
      <c r="AN50" s="138"/>
      <c r="BR50" s="180">
        <v>2014</v>
      </c>
      <c r="BS50" s="22">
        <v>0</v>
      </c>
      <c r="BT50" s="181">
        <f t="shared" ref="BT50:BT95" si="18">IF($BS$46="High",BS50*$BT$47,IF($BS$46="Medium",$BT$48*BS50,IF($BS$46="Low",$BT$49*BS50)))</f>
        <v>0</v>
      </c>
      <c r="BU50" s="182">
        <f t="shared" ref="BU50:BU96" si="19">IF($BS$46="High",$BU$47,IF($BS$46="Medium",$BU$48,IF($BS$46="Low",BU49)))</f>
        <v>1924.0853092551583</v>
      </c>
      <c r="BV50" s="183">
        <f t="shared" ref="BV50:BV96" si="20">BT50+BU50</f>
        <v>1924.0853092551583</v>
      </c>
      <c r="BY50" s="180">
        <v>2014</v>
      </c>
      <c r="BZ50" s="22">
        <v>0</v>
      </c>
      <c r="CA50" s="181">
        <f t="shared" ref="CA50:CA96" ca="1" si="21">IF($BZ$46="High",BZ50^2*$CA$47,IF($BZ$46="Medium",BZ50^2*$CA$48,IF($BZ$46="Low",BZ50^2*$CA$49)))</f>
        <v>0</v>
      </c>
      <c r="CB50" s="181">
        <f t="shared" ref="CB50:CB96" ca="1" si="22">IF($BZ$46="High",BZ50*$CB$47,IF($BZ$46="Medium",BZ50*$CB$48,IF($BZ$46="Low",BZ50*$CB$49)))</f>
        <v>0</v>
      </c>
      <c r="CC50" s="182">
        <f ca="1">IF($BZ$46="High",$CC$47,IF($BZ$46="Medium",$CC$48,IF($BZ$46="Low",$CC$49)))</f>
        <v>1842.470604548718</v>
      </c>
      <c r="CD50" s="183">
        <f t="shared" ref="CD50:CD96" ca="1" si="23">CA50+CB50+CC50</f>
        <v>1842.470604548718</v>
      </c>
      <c r="CG50" s="180">
        <v>2014</v>
      </c>
      <c r="CH50" s="22">
        <v>0</v>
      </c>
      <c r="CI50" s="181">
        <f t="shared" ref="CI50:CI96" ca="1" si="24">IF($CH$46="High",CH50^3*$CI$47,IF($CH$46="Medium",CH50^3*$CI$48,IF($CH$46="Low",CH50^3*$CI$49)))</f>
        <v>0</v>
      </c>
      <c r="CJ50" s="181">
        <f t="shared" ref="CJ50:CJ96" ca="1" si="25">IF($CH$46="High",CH50^2*$CJ$47,IF($CH$46="Medium",CH50^2*$CJ$48,IF($CH$46="Low",CH50^2*$CJ$49)))</f>
        <v>0</v>
      </c>
      <c r="CK50" s="181">
        <f t="shared" ref="CK50:CK96" ca="1" si="26">IF($CH$46="High",CH50*$CK$47,IF($CH$46="Medium",CH50*$CK$48,IF($CH$46="Low",CH50*$CK$49)))</f>
        <v>0</v>
      </c>
      <c r="CL50" s="182">
        <f t="shared" ref="CL50:CL96" ca="1" si="27">IF($CH$46="High",$CL$47,IF($CH$46="Medium",$CL$48,IF($CH$46="Low",$CL$49)))</f>
        <v>1808.2106982169528</v>
      </c>
      <c r="CM50" s="183">
        <f t="shared" ref="CM50:CM96" ca="1" si="28">CI50+CJ50+CK50+CL50</f>
        <v>1808.2106982169528</v>
      </c>
      <c r="CP50" s="180">
        <v>2014</v>
      </c>
      <c r="CQ50" s="22">
        <v>0</v>
      </c>
      <c r="CR50" s="181">
        <f t="shared" ref="CR50:CR96" ca="1" si="29">IF($CQ$46="High",$CR$47,IF($CQ$46="Medium",$CR$48,IF($CQ$46="Low",$CR$49)))</f>
        <v>1974.5373970287794</v>
      </c>
      <c r="CS50" s="182">
        <f t="shared" ref="CS50:CS96" ca="1" si="30">IF($CQ$46="High",EXP(1)^($CS$47*CQ50),IF($CQ$46="Medium",EXP(1)^($CS$48*CQ50),IF($CQ$46="Low",EXP(1)^($CS$49*CQ50))))</f>
        <v>1</v>
      </c>
      <c r="CT50" s="183">
        <f t="shared" ref="CT50:CT96" ca="1" si="31">(CR50*CS50)</f>
        <v>1974.5373970287794</v>
      </c>
      <c r="CZ50" s="164" t="b">
        <f t="shared" si="4"/>
        <v>1</v>
      </c>
      <c r="DA50" s="165" t="b">
        <f t="shared" si="4"/>
        <v>1</v>
      </c>
      <c r="DB50" s="166" t="b">
        <f t="shared" si="4"/>
        <v>1</v>
      </c>
      <c r="DC50" s="164">
        <f t="shared" si="15"/>
        <v>2</v>
      </c>
      <c r="DD50" s="166">
        <f t="shared" si="5"/>
        <v>2009.9999999999998</v>
      </c>
      <c r="DE50" s="164">
        <f t="shared" si="6"/>
        <v>2</v>
      </c>
      <c r="DF50" s="166">
        <f t="shared" si="7"/>
        <v>2009.9999999999998</v>
      </c>
      <c r="DG50" s="164">
        <f t="shared" si="8"/>
        <v>2</v>
      </c>
      <c r="DH50" s="166">
        <f t="shared" si="9"/>
        <v>2009.9999999999998</v>
      </c>
      <c r="DI50" s="164">
        <f>IFERROR(INDEX(DC$46:DC$94,_xlfn.AGGREGATE(15,6,(ROW(DC$46:DC$94)-ROW(DC$46)+1)/(DC$46:DC$94&lt;&gt;""),ROWS(DI$1:DI5))),"")</f>
        <v>2</v>
      </c>
      <c r="DJ50" s="165">
        <f>IFERROR(INDEX(DD$46:DD$94,_xlfn.AGGREGATE(15,6,(ROW(DD$46:DD$94)-ROW(DD$46)+1)/(DD$46:DD$94&lt;&gt;""),ROWS(DJ$1:DJ5))),"")</f>
        <v>2009.9999999999998</v>
      </c>
      <c r="DK50" s="166">
        <f t="shared" si="10"/>
        <v>50</v>
      </c>
      <c r="DL50" s="164">
        <f>IFERROR(INDEX(DE$46:DE$94,_xlfn.AGGREGATE(15,6,(ROW(DE$46:DE$94)-ROW(DE$46)+1)/(DE$46:DE$94&lt;&gt;""),ROWS(DL$1:DL5))),"")</f>
        <v>2</v>
      </c>
      <c r="DM50" s="165">
        <f>IFERROR(INDEX(DF$46:DF$94,_xlfn.AGGREGATE(15,6,(ROW(DF$46:DF$94)-ROW(DF$46)+1)/(DF$46:DF$94&lt;&gt;""),ROWS(DM$1:DM5))),"")</f>
        <v>2009.9999999999998</v>
      </c>
      <c r="DN50" s="166">
        <f t="shared" si="11"/>
        <v>50</v>
      </c>
      <c r="DO50" s="164">
        <f>IFERROR(INDEX(DG$46:DG$94,_xlfn.AGGREGATE(15,6,(ROW(DG$46:DG$94)-ROW(DG$46)+1)/(DG$46:DG$94&lt;&gt;""),ROWS(DO$1:DO5))),"")</f>
        <v>2</v>
      </c>
      <c r="DP50" s="165">
        <f>IFERROR(INDEX(DH$46:DH$94,_xlfn.AGGREGATE(15,6,(ROW(DH$46:DH$94)-ROW(DH$46)+1)/(DH$46:DH$94&lt;&gt;""),ROWS(DP$1:DP5))),"")</f>
        <v>2009.9999999999998</v>
      </c>
      <c r="DQ50" s="166">
        <f t="shared" si="12"/>
        <v>50</v>
      </c>
      <c r="DV50" s="145">
        <v>2019</v>
      </c>
      <c r="DW50" s="146">
        <f t="shared" ca="1" si="13"/>
        <v>2121.1820858704223</v>
      </c>
      <c r="DZ50" s="135" t="s">
        <v>92</v>
      </c>
      <c r="EA50" s="33">
        <f ca="1">IF($V$4="Linear",0,IF($V$4="2nd Poly",0,IF($V$4="3rd Poly",CI48,IF($V$4="Exp",0))))</f>
        <v>1.2538393475246903E-2</v>
      </c>
      <c r="EB50" s="33">
        <f ca="1">IF($V$4="Linear",0,IF($V$4="2nd Poly",CA48,IF($V$4="3rd Poly",CJ48,IF($V$4="Exp",0))))</f>
        <v>-1.1149096901636211</v>
      </c>
      <c r="EC50" s="33">
        <f t="shared" ca="1" si="17"/>
        <v>67.855366144630878</v>
      </c>
      <c r="ED50" s="33">
        <f t="shared" ca="1" si="17"/>
        <v>1808.2106982169528</v>
      </c>
      <c r="EE50" s="33" t="str">
        <f>IF($EA$44="Linear","Medium",IF($EA$44="2nd Poly","Medium",IF($EA$44="3rd Poly","Medium","N/A")))</f>
        <v>Medium</v>
      </c>
      <c r="EV50" s="147"/>
    </row>
    <row r="51" spans="1:152" ht="13.8" x14ac:dyDescent="0.45">
      <c r="A51" s="184" t="s">
        <v>90</v>
      </c>
      <c r="B51" s="128">
        <v>2017</v>
      </c>
      <c r="C51" s="1016">
        <v>2053.0069356821837</v>
      </c>
      <c r="D51" s="982">
        <v>2282.0126340864017</v>
      </c>
      <c r="E51" s="1017"/>
      <c r="F51" s="1077"/>
      <c r="G51" s="1106">
        <v>2034.9530645538414</v>
      </c>
      <c r="H51" s="1107"/>
      <c r="I51" s="1108"/>
      <c r="J51" s="168"/>
      <c r="K51" s="169"/>
      <c r="L51" s="170"/>
      <c r="M51" s="169"/>
      <c r="N51" s="29" t="s">
        <v>758</v>
      </c>
      <c r="P51" s="153"/>
      <c r="Q51" s="176" t="str">
        <f t="shared" si="16"/>
        <v/>
      </c>
      <c r="R51" s="29">
        <v>3</v>
      </c>
      <c r="S51" s="154">
        <f t="shared" si="0"/>
        <v>2034.9530645538414</v>
      </c>
      <c r="T51" s="154">
        <f t="shared" si="1"/>
        <v>2282.0126340864017</v>
      </c>
      <c r="U51" s="154">
        <f t="shared" si="2"/>
        <v>112.45146264645149</v>
      </c>
      <c r="V51" s="29"/>
      <c r="W51" s="154">
        <f t="shared" si="14"/>
        <v>2010.8727487943574</v>
      </c>
      <c r="X51" s="154">
        <f>IF(U51="",#N/A,IF($B$36=$A$62,(SUM(C51:E51)/COUNTIF(C51:E51,"&gt;0")),IF($B$36=$A$63,(SUM(F51:H51)/COUNTIF(F51:H51,"&gt;0")),IF($B$36=$A$64,(SUM(J51:K51)/COUNTIF(J51:K51,"&gt;0")),IF($B$36=$A$65,(SUM(L51:M51)/COUNTIF(L51:M51,"&gt;0")),(IF($B$36=$A$46,IF(C51="",#N/A,C51),IF($B$36=$A$47,IF(D51="",#N/A,D51),IF($B$36=$A$48,IF(E51="",#N/A,E51),IF($B$36=$A$49,IF(F51="",#N/A,F51),IF($B$36=$A$50,IF(G51="",#N/A,G51),IF($B$36=$A$51,IF(H51="",#N/A,H51),IF($B$36=$A$52,IF('Total MSW TAM Data_Updated2020'!I51="",#N/A,'Total MSW TAM Data_Updated2020'!I51),IF($B$36=$A$53,IF(J51="",#N/A,J51),IF($B$36=$A$54,IF(K51="",#N/A,K51),IF($B$36=$A$55,IF(L51="",#N/A,L51),IF($B$36=$A$56,IF(M51="",#N/A,M51),IF(U51="",#N/A,(SUM(C51:Q51)/COUNTIFS(C51:Q51,"&gt;0"))))))))))))))))))))</f>
        <v>2123.324211440809</v>
      </c>
      <c r="Y51" s="154">
        <f t="shared" si="3"/>
        <v>2235.7756740872605</v>
      </c>
      <c r="AA51" s="1133">
        <v>2006.5367949409451</v>
      </c>
      <c r="AB51" s="1133">
        <v>2111.0920259528007</v>
      </c>
      <c r="AC51" s="1133">
        <v>2215.6472569646562</v>
      </c>
      <c r="AD51" s="138"/>
      <c r="AE51" s="138"/>
      <c r="AF51" s="138"/>
      <c r="AG51" s="138"/>
      <c r="AH51" s="138"/>
      <c r="AI51" s="138"/>
      <c r="AJ51" s="138"/>
      <c r="AK51" s="138"/>
      <c r="AL51" s="138"/>
      <c r="AM51" s="138"/>
      <c r="AN51" s="138"/>
      <c r="BR51" s="180">
        <v>2015</v>
      </c>
      <c r="BS51" s="22">
        <v>1</v>
      </c>
      <c r="BT51" s="181">
        <f t="shared" si="18"/>
        <v>41.516401075883877</v>
      </c>
      <c r="BU51" s="182">
        <f t="shared" si="19"/>
        <v>1924.0853092551583</v>
      </c>
      <c r="BV51" s="183">
        <f t="shared" si="20"/>
        <v>1965.6017103310421</v>
      </c>
      <c r="BY51" s="180">
        <v>2015</v>
      </c>
      <c r="BZ51" s="22">
        <v>1</v>
      </c>
      <c r="CA51" s="185">
        <f t="shared" ca="1" si="21"/>
        <v>-0.28737572079732526</v>
      </c>
      <c r="CB51" s="185">
        <f t="shared" ca="1" si="22"/>
        <v>54.160932790966193</v>
      </c>
      <c r="CC51" s="186">
        <f t="shared" ref="CC51:CC96" ca="1" si="32">CC50</f>
        <v>1842.470604548718</v>
      </c>
      <c r="CD51" s="183">
        <f t="shared" ca="1" si="23"/>
        <v>1896.3441616188868</v>
      </c>
      <c r="CG51" s="180">
        <v>2015</v>
      </c>
      <c r="CH51" s="22">
        <v>1</v>
      </c>
      <c r="CI51" s="185">
        <f t="shared" ca="1" si="24"/>
        <v>1.2538393475246903E-2</v>
      </c>
      <c r="CJ51" s="185">
        <f t="shared" ca="1" si="25"/>
        <v>-1.1149096901636211</v>
      </c>
      <c r="CK51" s="185">
        <f t="shared" ca="1" si="26"/>
        <v>67.855366144630878</v>
      </c>
      <c r="CL51" s="186">
        <f t="shared" ca="1" si="27"/>
        <v>1808.2106982169528</v>
      </c>
      <c r="CM51" s="183">
        <f t="shared" ca="1" si="28"/>
        <v>1874.9636930648953</v>
      </c>
      <c r="CP51" s="180">
        <v>2015</v>
      </c>
      <c r="CQ51" s="22">
        <v>1</v>
      </c>
      <c r="CR51" s="181">
        <f t="shared" ca="1" si="29"/>
        <v>1974.5373970287794</v>
      </c>
      <c r="CS51" s="182">
        <f t="shared" ca="1" si="30"/>
        <v>1.0155163706405486</v>
      </c>
      <c r="CT51" s="183">
        <f t="shared" ca="1" si="31"/>
        <v>2005.1750511247019</v>
      </c>
      <c r="CZ51" s="164" t="b">
        <f t="shared" si="4"/>
        <v>1</v>
      </c>
      <c r="DA51" s="165" t="b">
        <f t="shared" si="4"/>
        <v>1</v>
      </c>
      <c r="DB51" s="166" t="b">
        <f t="shared" si="4"/>
        <v>1</v>
      </c>
      <c r="DC51" s="164">
        <f t="shared" si="15"/>
        <v>3</v>
      </c>
      <c r="DD51" s="166">
        <f t="shared" si="5"/>
        <v>2010.8727487943574</v>
      </c>
      <c r="DE51" s="164">
        <f t="shared" si="6"/>
        <v>3</v>
      </c>
      <c r="DF51" s="166">
        <f t="shared" si="7"/>
        <v>2123.324211440809</v>
      </c>
      <c r="DG51" s="164">
        <f t="shared" si="8"/>
        <v>3</v>
      </c>
      <c r="DH51" s="166">
        <f t="shared" si="9"/>
        <v>2235.7756740872605</v>
      </c>
      <c r="DI51" s="164">
        <f>IFERROR(INDEX(DC$46:DC$94,_xlfn.AGGREGATE(15,6,(ROW(DC$46:DC$94)-ROW(DC$46)+1)/(DC$46:DC$94&lt;&gt;""),ROWS(DI$1:DI6))),"")</f>
        <v>3</v>
      </c>
      <c r="DJ51" s="165">
        <f>IFERROR(INDEX(DD$46:DD$94,_xlfn.AGGREGATE(15,6,(ROW(DD$46:DD$94)-ROW(DD$46)+1)/(DD$46:DD$94&lt;&gt;""),ROWS(DJ$1:DJ6))),"")</f>
        <v>2010.8727487943574</v>
      </c>
      <c r="DK51" s="166">
        <f t="shared" si="10"/>
        <v>51</v>
      </c>
      <c r="DL51" s="164">
        <f>IFERROR(INDEX(DE$46:DE$94,_xlfn.AGGREGATE(15,6,(ROW(DE$46:DE$94)-ROW(DE$46)+1)/(DE$46:DE$94&lt;&gt;""),ROWS(DL$1:DL6))),"")</f>
        <v>3</v>
      </c>
      <c r="DM51" s="165">
        <f>IFERROR(INDEX(DF$46:DF$94,_xlfn.AGGREGATE(15,6,(ROW(DF$46:DF$94)-ROW(DF$46)+1)/(DF$46:DF$94&lt;&gt;""),ROWS(DM$1:DM6))),"")</f>
        <v>2123.324211440809</v>
      </c>
      <c r="DN51" s="166">
        <f t="shared" si="11"/>
        <v>51</v>
      </c>
      <c r="DO51" s="164">
        <f>IFERROR(INDEX(DG$46:DG$94,_xlfn.AGGREGATE(15,6,(ROW(DG$46:DG$94)-ROW(DG$46)+1)/(DG$46:DG$94&lt;&gt;""),ROWS(DO$1:DO6))),"")</f>
        <v>3</v>
      </c>
      <c r="DP51" s="165">
        <f>IFERROR(INDEX(DH$46:DH$94,_xlfn.AGGREGATE(15,6,(ROW(DH$46:DH$94)-ROW(DH$46)+1)/(DH$46:DH$94&lt;&gt;""),ROWS(DP$1:DP6))),"")</f>
        <v>2235.7756740872605</v>
      </c>
      <c r="DQ51" s="166">
        <f t="shared" si="12"/>
        <v>51</v>
      </c>
      <c r="DV51" s="145">
        <v>2020</v>
      </c>
      <c r="DW51" s="146">
        <f t="shared" ca="1" si="13"/>
        <v>2177.9144392295011</v>
      </c>
      <c r="DZ51" s="135" t="s">
        <v>92</v>
      </c>
      <c r="EA51" s="33">
        <f ca="1">IF($V$4="Linear",0,IF($V$4="2nd Poly",0,IF($V$4="3rd Poly",CI49,IF($V$4="Exp",0))))</f>
        <v>1.6516446325214641E-3</v>
      </c>
      <c r="EB51" s="33">
        <f ca="1">IF($V$4="Linear",0,IF($V$4="2nd Poly",CA49,IF($V$4="3rd Poly",CJ49,IF($V$4="Exp",0))))</f>
        <v>-7.3800817363506674E-2</v>
      </c>
      <c r="EC51" s="33">
        <f t="shared" ca="1" si="17"/>
        <v>39.227308849494442</v>
      </c>
      <c r="ED51" s="33">
        <f t="shared" ca="1" si="17"/>
        <v>1788.9066499742596</v>
      </c>
      <c r="EE51" s="33" t="str">
        <f>IF($EA$44="Linear","Low",IF($EA$44="2nd Poly","Low",IF($EA$44="3rd Poly","Low","N/A")))</f>
        <v>Low</v>
      </c>
      <c r="EV51" s="147"/>
    </row>
    <row r="52" spans="1:152" ht="13.8" x14ac:dyDescent="0.45">
      <c r="A52" s="948" t="s">
        <v>1039</v>
      </c>
      <c r="B52" s="128">
        <v>2018</v>
      </c>
      <c r="C52" s="1016">
        <v>2094.0409840914472</v>
      </c>
      <c r="D52" s="982">
        <v>2341.0954693430631</v>
      </c>
      <c r="E52" s="1017"/>
      <c r="F52" s="1077"/>
      <c r="G52" s="1109">
        <v>2046.9765357524848</v>
      </c>
      <c r="H52" s="1107"/>
      <c r="I52" s="1110"/>
      <c r="J52" s="159"/>
      <c r="K52" s="151"/>
      <c r="L52" s="152"/>
      <c r="M52" s="151"/>
      <c r="N52" s="29" t="s">
        <v>758</v>
      </c>
      <c r="P52" s="153"/>
      <c r="Q52" s="176" t="str">
        <f t="shared" si="16"/>
        <v/>
      </c>
      <c r="R52" s="29">
        <v>4</v>
      </c>
      <c r="S52" s="154">
        <f t="shared" si="0"/>
        <v>2046.9765357524848</v>
      </c>
      <c r="T52" s="154">
        <f t="shared" si="1"/>
        <v>2341.0954693430631</v>
      </c>
      <c r="U52" s="154">
        <f t="shared" si="2"/>
        <v>128.9948009619211</v>
      </c>
      <c r="V52" s="20"/>
      <c r="W52" s="154">
        <f t="shared" si="14"/>
        <v>2031.7095287670772</v>
      </c>
      <c r="X52" s="154">
        <f>IF(U52="",#N/A,IF($B$36=$A$62,(SUM(C52:E52)/COUNTIF(C52:E52,"&gt;0")),IF($B$36=$A$63,(SUM(F52:H52)/COUNTIF(F52:H52,"&gt;0")),IF($B$36=$A$64,(SUM(J52:K52)/COUNTIF(J52:K52,"&gt;0")),IF($B$36=$A$65,(SUM(L52:M52)/COUNTIF(L52:M52,"&gt;0")),(IF($B$36=$A$46,IF(C52="",#N/A,C52),IF($B$36=$A$47,IF(D52="",#N/A,D52),IF($B$36=$A$48,IF(E52="",#N/A,E52),IF($B$36=$A$49,IF(F52="",#N/A,F52),IF($B$36=$A$50,IF(G52="",#N/A,G52),IF($B$36=$A$51,IF(H52="",#N/A,H52),IF($B$36=$A$52,IF('Total MSW TAM Data_Updated2020'!I52="",#N/A,'Total MSW TAM Data_Updated2020'!I52),IF($B$36=$A$53,IF(J52="",#N/A,J52),IF($B$36=$A$54,IF(K52="",#N/A,K52),IF($B$36=$A$55,IF(L52="",#N/A,L52),IF($B$36=$A$56,IF(M52="",#N/A,M52),IF(U52="",#N/A,(SUM(C52:Q52)/COUNTIFS(C52:Q52,"&gt;0"))))))))))))))))))))</f>
        <v>2160.7043297289983</v>
      </c>
      <c r="Y52" s="154">
        <f t="shared" si="3"/>
        <v>2289.6991306909194</v>
      </c>
      <c r="AA52" s="1133">
        <v>2026.7338752912733</v>
      </c>
      <c r="AB52" s="1133">
        <v>2147.6619980403138</v>
      </c>
      <c r="AC52" s="1133">
        <v>2268.5901207893544</v>
      </c>
      <c r="AD52" s="138"/>
      <c r="AE52" s="138"/>
      <c r="AF52" s="138"/>
      <c r="AG52" s="138"/>
      <c r="AH52" s="138"/>
      <c r="AI52" s="138"/>
      <c r="AJ52" s="138"/>
      <c r="AK52" s="138"/>
      <c r="AL52" s="138"/>
      <c r="AM52" s="138"/>
      <c r="AN52" s="138"/>
      <c r="BR52" s="180">
        <v>2016</v>
      </c>
      <c r="BS52" s="22">
        <v>2</v>
      </c>
      <c r="BT52" s="181">
        <f t="shared" si="18"/>
        <v>83.032802151767754</v>
      </c>
      <c r="BU52" s="182">
        <f t="shared" si="19"/>
        <v>1924.0853092551583</v>
      </c>
      <c r="BV52" s="183">
        <f t="shared" si="20"/>
        <v>2007.1181114069261</v>
      </c>
      <c r="BY52" s="180">
        <v>2016</v>
      </c>
      <c r="BZ52" s="22">
        <v>2</v>
      </c>
      <c r="CA52" s="185">
        <f t="shared" ca="1" si="21"/>
        <v>-1.1495028831893011</v>
      </c>
      <c r="CB52" s="185">
        <f t="shared" ca="1" si="22"/>
        <v>108.32186558193239</v>
      </c>
      <c r="CC52" s="186">
        <f t="shared" ca="1" si="32"/>
        <v>1842.470604548718</v>
      </c>
      <c r="CD52" s="183">
        <f t="shared" ca="1" si="23"/>
        <v>1949.642967247461</v>
      </c>
      <c r="CG52" s="180">
        <v>2016</v>
      </c>
      <c r="CH52" s="22">
        <v>2</v>
      </c>
      <c r="CI52" s="185">
        <f t="shared" ca="1" si="24"/>
        <v>0.10030714780197522</v>
      </c>
      <c r="CJ52" s="185">
        <f t="shared" ca="1" si="25"/>
        <v>-4.4596387606544843</v>
      </c>
      <c r="CK52" s="185">
        <f t="shared" ca="1" si="26"/>
        <v>135.71073228926176</v>
      </c>
      <c r="CL52" s="186">
        <f t="shared" ca="1" si="27"/>
        <v>1808.2106982169528</v>
      </c>
      <c r="CM52" s="183">
        <f t="shared" ca="1" si="28"/>
        <v>1939.562098893362</v>
      </c>
      <c r="CP52" s="180">
        <v>2016</v>
      </c>
      <c r="CQ52" s="22">
        <v>2</v>
      </c>
      <c r="CR52" s="181">
        <f t="shared" ca="1" si="29"/>
        <v>1974.5373970287794</v>
      </c>
      <c r="CS52" s="182">
        <f t="shared" ca="1" si="30"/>
        <v>1.0312734990389518</v>
      </c>
      <c r="CT52" s="183">
        <f t="shared" ca="1" si="31"/>
        <v>2036.2880904171334</v>
      </c>
      <c r="CZ52" s="164" t="b">
        <f t="shared" si="4"/>
        <v>1</v>
      </c>
      <c r="DA52" s="165" t="b">
        <f t="shared" si="4"/>
        <v>1</v>
      </c>
      <c r="DB52" s="166" t="b">
        <f t="shared" si="4"/>
        <v>1</v>
      </c>
      <c r="DC52" s="164">
        <f t="shared" si="15"/>
        <v>4</v>
      </c>
      <c r="DD52" s="166">
        <f t="shared" si="5"/>
        <v>2031.7095287670772</v>
      </c>
      <c r="DE52" s="164">
        <f t="shared" si="6"/>
        <v>4</v>
      </c>
      <c r="DF52" s="166">
        <f t="shared" si="7"/>
        <v>2160.7043297289983</v>
      </c>
      <c r="DG52" s="164">
        <f t="shared" si="8"/>
        <v>4</v>
      </c>
      <c r="DH52" s="166">
        <f t="shared" si="9"/>
        <v>2289.6991306909194</v>
      </c>
      <c r="DI52" s="164">
        <f>IFERROR(INDEX(DC$46:DC$94,_xlfn.AGGREGATE(15,6,(ROW(DC$46:DC$94)-ROW(DC$46)+1)/(DC$46:DC$94&lt;&gt;""),ROWS(DI$1:DI7))),"")</f>
        <v>4</v>
      </c>
      <c r="DJ52" s="165">
        <f>IFERROR(INDEX(DD$46:DD$94,_xlfn.AGGREGATE(15,6,(ROW(DD$46:DD$94)-ROW(DD$46)+1)/(DD$46:DD$94&lt;&gt;""),ROWS(DJ$1:DJ7))),"")</f>
        <v>2031.7095287670772</v>
      </c>
      <c r="DK52" s="166">
        <f t="shared" si="10"/>
        <v>52</v>
      </c>
      <c r="DL52" s="164">
        <f>IFERROR(INDEX(DE$46:DE$94,_xlfn.AGGREGATE(15,6,(ROW(DE$46:DE$94)-ROW(DE$46)+1)/(DE$46:DE$94&lt;&gt;""),ROWS(DL$1:DL7))),"")</f>
        <v>4</v>
      </c>
      <c r="DM52" s="165">
        <f>IFERROR(INDEX(DF$46:DF$94,_xlfn.AGGREGATE(15,6,(ROW(DF$46:DF$94)-ROW(DF$46)+1)/(DF$46:DF$94&lt;&gt;""),ROWS(DM$1:DM7))),"")</f>
        <v>2160.7043297289983</v>
      </c>
      <c r="DN52" s="166">
        <f t="shared" si="11"/>
        <v>52</v>
      </c>
      <c r="DO52" s="164">
        <f>IFERROR(INDEX(DG$46:DG$94,_xlfn.AGGREGATE(15,6,(ROW(DG$46:DG$94)-ROW(DG$46)+1)/(DG$46:DG$94&lt;&gt;""),ROWS(DO$1:DO7))),"")</f>
        <v>4</v>
      </c>
      <c r="DP52" s="165">
        <f>IFERROR(INDEX(DH$46:DH$94,_xlfn.AGGREGATE(15,6,(ROW(DH$46:DH$94)-ROW(DH$46)+1)/(DH$46:DH$94&lt;&gt;""),ROWS(DP$1:DP7))),"")</f>
        <v>2289.6991306909194</v>
      </c>
      <c r="DQ52" s="166">
        <f t="shared" si="12"/>
        <v>52</v>
      </c>
      <c r="DV52" s="145">
        <v>2021</v>
      </c>
      <c r="DW52" s="146">
        <f t="shared" ca="1" si="13"/>
        <v>2232.8683553733613</v>
      </c>
      <c r="DZ52" s="135"/>
      <c r="EA52" s="33"/>
      <c r="EB52" s="33"/>
      <c r="EC52" s="33"/>
      <c r="ED52" s="33"/>
      <c r="EE52" s="33"/>
      <c r="EV52" s="147"/>
    </row>
    <row r="53" spans="1:152" ht="13.8" x14ac:dyDescent="0.45">
      <c r="A53" s="184" t="s">
        <v>88</v>
      </c>
      <c r="B53" s="128">
        <v>2019</v>
      </c>
      <c r="C53" s="1016">
        <v>2135.0629850909609</v>
      </c>
      <c r="D53" s="982">
        <v>2399.6385286357613</v>
      </c>
      <c r="E53" s="1017"/>
      <c r="F53" s="1077"/>
      <c r="G53" s="1109">
        <v>2059.008747334035</v>
      </c>
      <c r="H53" s="1107"/>
      <c r="I53" s="1110"/>
      <c r="J53" s="188"/>
      <c r="K53" s="189"/>
      <c r="L53" s="190"/>
      <c r="M53" s="189"/>
      <c r="N53" s="29" t="s">
        <v>758</v>
      </c>
      <c r="P53" s="153"/>
      <c r="Q53" s="176" t="str">
        <f t="shared" si="16"/>
        <v/>
      </c>
      <c r="R53" s="29">
        <v>5</v>
      </c>
      <c r="S53" s="191">
        <f t="shared" si="0"/>
        <v>2059.008747334035</v>
      </c>
      <c r="T53" s="191">
        <f t="shared" si="1"/>
        <v>2399.6385286357613</v>
      </c>
      <c r="U53" s="191">
        <f t="shared" si="2"/>
        <v>145.98824657122822</v>
      </c>
      <c r="V53" s="20"/>
      <c r="W53" s="191">
        <f t="shared" si="14"/>
        <v>2051.9151737823581</v>
      </c>
      <c r="X53" s="191">
        <f>IF(U53="",#N/A,IF($B$36=$A$62,(SUM(C53:E53)/COUNTIF(C53:E53,"&gt;0")),IF($B$36=$A$63,(SUM(F53:H53)/COUNTIF(F53:H53,"&gt;0")),IF($B$36=$A$64,(SUM(J53:K53)/COUNTIF(J53:K53,"&gt;0")),IF($B$36=$A$65,(SUM(L53:M53)/COUNTIF(L53:M53,"&gt;0")),(IF($B$36=$A$46,IF(C53="",#N/A,C53),IF($B$36=$A$47,IF(D53="",#N/A,D53),IF($B$36=$A$48,IF(E53="",#N/A,E53),IF($B$36=$A$49,IF(F53="",#N/A,F53),IF($B$36=$A$50,IF(G53="",#N/A,G53),IF($B$36=$A$51,IF(H53="",#N/A,H53),IF($B$36=$A$52,IF('Total MSW TAM Data_Updated2020'!I53="",#N/A,'Total MSW TAM Data_Updated2020'!I53),IF($B$36=$A$53,IF(J53="",#N/A,J53),IF($B$36=$A$54,IF(K53="",#N/A,K53),IF($B$36=$A$55,IF(L53="",#N/A,L53),IF($B$36=$A$56,IF(M53="",#N/A,M53),IF(U53="",#N/A,(SUM(C53:Q53)/COUNTIFS(C53:Q53,"&gt;0"))))))))))))))))))))</f>
        <v>2197.9034203535862</v>
      </c>
      <c r="Y53" s="191">
        <f t="shared" si="3"/>
        <v>2343.8916669248142</v>
      </c>
      <c r="AA53" s="1133">
        <v>2046.3753501756373</v>
      </c>
      <c r="AB53" s="1133">
        <v>2184.0313313767401</v>
      </c>
      <c r="AC53" s="1133">
        <v>2321.6873125778429</v>
      </c>
      <c r="AD53" s="138"/>
      <c r="AE53" s="138"/>
      <c r="AF53" s="138"/>
      <c r="AG53" s="138"/>
      <c r="AH53" s="138"/>
      <c r="AI53" s="138"/>
      <c r="AJ53" s="138"/>
      <c r="AK53" s="138"/>
      <c r="AL53" s="138"/>
      <c r="AM53" s="138"/>
      <c r="AN53" s="138"/>
      <c r="BR53" s="180">
        <v>2017</v>
      </c>
      <c r="BS53" s="22">
        <v>3</v>
      </c>
      <c r="BT53" s="181">
        <f t="shared" si="18"/>
        <v>124.54920322765163</v>
      </c>
      <c r="BU53" s="182">
        <f t="shared" si="19"/>
        <v>1924.0853092551583</v>
      </c>
      <c r="BV53" s="192">
        <f t="shared" si="20"/>
        <v>2048.6345124828099</v>
      </c>
      <c r="BY53" s="180">
        <v>2017</v>
      </c>
      <c r="BZ53" s="22">
        <v>3</v>
      </c>
      <c r="CA53" s="193">
        <f t="shared" ca="1" si="21"/>
        <v>-2.5863814871759274</v>
      </c>
      <c r="CB53" s="193">
        <f t="shared" ca="1" si="22"/>
        <v>162.48279837289857</v>
      </c>
      <c r="CC53" s="186">
        <f t="shared" ca="1" si="32"/>
        <v>1842.470604548718</v>
      </c>
      <c r="CD53" s="192">
        <f t="shared" ca="1" si="23"/>
        <v>2002.3670214344406</v>
      </c>
      <c r="CG53" s="180">
        <v>2017</v>
      </c>
      <c r="CH53" s="22">
        <v>3</v>
      </c>
      <c r="CI53" s="193">
        <f t="shared" ca="1" si="24"/>
        <v>0.33853662383166638</v>
      </c>
      <c r="CJ53" s="193">
        <f t="shared" ca="1" si="25"/>
        <v>-10.03418721147259</v>
      </c>
      <c r="CK53" s="193">
        <f t="shared" ca="1" si="26"/>
        <v>203.56609843389265</v>
      </c>
      <c r="CL53" s="186">
        <f t="shared" ca="1" si="27"/>
        <v>1808.2106982169528</v>
      </c>
      <c r="CM53" s="192">
        <f t="shared" ca="1" si="28"/>
        <v>2002.0811460632044</v>
      </c>
      <c r="CP53" s="180">
        <v>2017</v>
      </c>
      <c r="CQ53" s="22">
        <v>3</v>
      </c>
      <c r="CR53" s="181">
        <f t="shared" ca="1" si="29"/>
        <v>1974.5373970287794</v>
      </c>
      <c r="CS53" s="182">
        <f t="shared" ca="1" si="30"/>
        <v>1.0472751208818156</v>
      </c>
      <c r="CT53" s="192">
        <f t="shared" ca="1" si="31"/>
        <v>2067.8838911589805</v>
      </c>
      <c r="CZ53" s="164" t="b">
        <f t="shared" si="4"/>
        <v>1</v>
      </c>
      <c r="DA53" s="165" t="b">
        <f t="shared" si="4"/>
        <v>1</v>
      </c>
      <c r="DB53" s="166" t="b">
        <f t="shared" si="4"/>
        <v>1</v>
      </c>
      <c r="DC53" s="164">
        <f t="shared" si="15"/>
        <v>5</v>
      </c>
      <c r="DD53" s="166">
        <f t="shared" si="5"/>
        <v>2051.9151737823581</v>
      </c>
      <c r="DE53" s="164">
        <f t="shared" si="6"/>
        <v>5</v>
      </c>
      <c r="DF53" s="166">
        <f t="shared" si="7"/>
        <v>2197.9034203535862</v>
      </c>
      <c r="DG53" s="164">
        <f t="shared" si="8"/>
        <v>5</v>
      </c>
      <c r="DH53" s="166">
        <f t="shared" si="9"/>
        <v>2343.8916669248142</v>
      </c>
      <c r="DI53" s="164">
        <f>IFERROR(INDEX(DC$46:DC$94,_xlfn.AGGREGATE(15,6,(ROW(DC$46:DC$94)-ROW(DC$46)+1)/(DC$46:DC$94&lt;&gt;""),ROWS(DI$1:DI8))),"")</f>
        <v>5</v>
      </c>
      <c r="DJ53" s="165">
        <f>IFERROR(INDEX(DD$46:DD$94,_xlfn.AGGREGATE(15,6,(ROW(DD$46:DD$94)-ROW(DD$46)+1)/(DD$46:DD$94&lt;&gt;""),ROWS(DJ$1:DJ8))),"")</f>
        <v>2051.9151737823581</v>
      </c>
      <c r="DK53" s="166">
        <f t="shared" si="10"/>
        <v>53</v>
      </c>
      <c r="DL53" s="164">
        <f>IFERROR(INDEX(DE$46:DE$94,_xlfn.AGGREGATE(15,6,(ROW(DE$46:DE$94)-ROW(DE$46)+1)/(DE$46:DE$94&lt;&gt;""),ROWS(DL$1:DL8))),"")</f>
        <v>5</v>
      </c>
      <c r="DM53" s="165">
        <f>IFERROR(INDEX(DF$46:DF$94,_xlfn.AGGREGATE(15,6,(ROW(DF$46:DF$94)-ROW(DF$46)+1)/(DF$46:DF$94&lt;&gt;""),ROWS(DM$1:DM8))),"")</f>
        <v>2197.9034203535862</v>
      </c>
      <c r="DN53" s="166">
        <f t="shared" si="11"/>
        <v>53</v>
      </c>
      <c r="DO53" s="164">
        <f>IFERROR(INDEX(DG$46:DG$94,_xlfn.AGGREGATE(15,6,(ROW(DG$46:DG$94)-ROW(DG$46)+1)/(DG$46:DG$94&lt;&gt;""),ROWS(DO$1:DO8))),"")</f>
        <v>5</v>
      </c>
      <c r="DP53" s="165">
        <f>IFERROR(INDEX(DH$46:DH$94,_xlfn.AGGREGATE(15,6,(ROW(DH$46:DH$94)-ROW(DH$46)+1)/(DH$46:DH$94&lt;&gt;""),ROWS(DP$1:DP8))),"")</f>
        <v>2343.8916669248142</v>
      </c>
      <c r="DQ53" s="166">
        <f t="shared" si="12"/>
        <v>53</v>
      </c>
      <c r="DV53" s="145">
        <v>2022</v>
      </c>
      <c r="DW53" s="146">
        <f t="shared" ca="1" si="13"/>
        <v>2286.1190646628547</v>
      </c>
      <c r="DZ53" s="135"/>
      <c r="EA53" s="33" t="s">
        <v>86</v>
      </c>
      <c r="EB53" s="33" t="s">
        <v>87</v>
      </c>
      <c r="EC53" s="33"/>
      <c r="ED53" s="33"/>
      <c r="EE53" s="33"/>
      <c r="EV53" s="147"/>
    </row>
    <row r="54" spans="1:152" ht="13.8" x14ac:dyDescent="0.45">
      <c r="A54" s="194" t="s">
        <v>90</v>
      </c>
      <c r="B54" s="128">
        <v>2020</v>
      </c>
      <c r="C54" s="1016">
        <v>2176.2076403013057</v>
      </c>
      <c r="D54" s="982">
        <v>2459.0584417390241</v>
      </c>
      <c r="E54" s="1017"/>
      <c r="F54" s="1077"/>
      <c r="G54" s="1109">
        <v>2071.1978861836901</v>
      </c>
      <c r="H54" s="1107"/>
      <c r="I54" s="931"/>
      <c r="J54" s="168"/>
      <c r="K54" s="169"/>
      <c r="L54" s="170"/>
      <c r="M54" s="169"/>
      <c r="N54" s="29" t="s">
        <v>758</v>
      </c>
      <c r="P54" s="153"/>
      <c r="Q54" s="176" t="str">
        <f t="shared" si="16"/>
        <v/>
      </c>
      <c r="R54" s="29">
        <v>6</v>
      </c>
      <c r="S54" s="195">
        <f t="shared" si="0"/>
        <v>2071.1978861836901</v>
      </c>
      <c r="T54" s="195">
        <f t="shared" si="1"/>
        <v>2459.0584417390241</v>
      </c>
      <c r="U54" s="154">
        <f t="shared" si="2"/>
        <v>163.79778688285617</v>
      </c>
      <c r="V54" s="20"/>
      <c r="W54" s="154">
        <f t="shared" si="14"/>
        <v>2071.6902025251502</v>
      </c>
      <c r="X54" s="154">
        <f>IF(U54="",#N/A,IF($B$36=$A$62,(SUM(C54:E54)/COUNTIF(C54:E54,"&gt;0")),IF($B$36=$A$63,(SUM(F54:H54)/COUNTIF(F54:H54,"&gt;0")),IF($B$36=$A$64,(SUM(J54:K54)/COUNTIF(J54:K54,"&gt;0")),IF($B$36=$A$65,(SUM(L54:M54)/COUNTIF(L54:M54,"&gt;0")),(IF($B$36=$A$46,IF(C54="",#N/A,C54),IF($B$36=$A$47,IF(D54="",#N/A,D54),IF($B$36=$A$48,IF(E54="",#N/A,E54),IF($B$36=$A$49,IF(F54="",#N/A,F54),IF($B$36=$A$50,IF(G54="",#N/A,G54),IF($B$36=$A$51,IF(H54="",#N/A,H54),IF($B$36=$A$52,IF('Total MSW TAM Data_Updated2020'!I54="",#N/A,'Total MSW TAM Data_Updated2020'!I54),IF($B$36=$A$53,IF(J54="",#N/A,J54),IF($B$36=$A$54,IF(K54="",#N/A,K54),IF($B$36=$A$55,IF(L54="",#N/A,L54),IF($B$36=$A$56,IF(M54="",#N/A,M54),IF(U54="",#N/A,(SUM(C54:Q54)/COUNTIFS(C54:Q54,"&gt;0"))))))))))))))))))))</f>
        <v>2235.4879894080063</v>
      </c>
      <c r="Y54" s="154">
        <f t="shared" si="3"/>
        <v>2399.2857762908625</v>
      </c>
      <c r="AA54" s="1133">
        <v>2065.5120561940339</v>
      </c>
      <c r="AB54" s="1133">
        <v>2220.6184110457084</v>
      </c>
      <c r="AC54" s="1133">
        <v>2375.7247658973829</v>
      </c>
      <c r="AD54" s="138"/>
      <c r="AE54" s="138"/>
      <c r="AF54" s="138"/>
      <c r="AG54" s="138"/>
      <c r="AH54" s="138"/>
      <c r="AI54" s="138"/>
      <c r="AJ54" s="138"/>
      <c r="AK54" s="138"/>
      <c r="AL54" s="138"/>
      <c r="AM54" s="138"/>
      <c r="AN54" s="138"/>
      <c r="BR54" s="180">
        <v>2018</v>
      </c>
      <c r="BS54" s="22">
        <v>4</v>
      </c>
      <c r="BT54" s="181">
        <f t="shared" si="18"/>
        <v>166.06560430353551</v>
      </c>
      <c r="BU54" s="182">
        <f t="shared" si="19"/>
        <v>1924.0853092551583</v>
      </c>
      <c r="BV54" s="183">
        <f t="shared" si="20"/>
        <v>2090.1509135586939</v>
      </c>
      <c r="BY54" s="180">
        <v>2018</v>
      </c>
      <c r="BZ54" s="22">
        <v>4</v>
      </c>
      <c r="CA54" s="185">
        <f t="shared" ca="1" si="21"/>
        <v>-4.5980115327572042</v>
      </c>
      <c r="CB54" s="185">
        <f t="shared" ca="1" si="22"/>
        <v>216.64373116386477</v>
      </c>
      <c r="CC54" s="186">
        <f t="shared" ca="1" si="32"/>
        <v>1842.470604548718</v>
      </c>
      <c r="CD54" s="183">
        <f t="shared" ca="1" si="23"/>
        <v>2054.5163241798255</v>
      </c>
      <c r="CG54" s="180">
        <v>2018</v>
      </c>
      <c r="CH54" s="22">
        <v>4</v>
      </c>
      <c r="CI54" s="185">
        <f t="shared" ca="1" si="24"/>
        <v>0.80245718241580177</v>
      </c>
      <c r="CJ54" s="185">
        <f t="shared" ca="1" si="25"/>
        <v>-17.838555042617937</v>
      </c>
      <c r="CK54" s="185">
        <f t="shared" ca="1" si="26"/>
        <v>271.42146457852351</v>
      </c>
      <c r="CL54" s="186">
        <f t="shared" ca="1" si="27"/>
        <v>1808.2106982169528</v>
      </c>
      <c r="CM54" s="183">
        <f t="shared" ca="1" si="28"/>
        <v>2062.5960649352742</v>
      </c>
      <c r="CP54" s="180">
        <v>2018</v>
      </c>
      <c r="CQ54" s="22">
        <v>4</v>
      </c>
      <c r="CR54" s="181">
        <f t="shared" ca="1" si="29"/>
        <v>1974.5373970287794</v>
      </c>
      <c r="CS54" s="182">
        <f t="shared" ca="1" si="30"/>
        <v>1.0635250298200432</v>
      </c>
      <c r="CT54" s="183">
        <f t="shared" ca="1" si="31"/>
        <v>2099.9699440558229</v>
      </c>
      <c r="CZ54" s="164" t="b">
        <f t="shared" si="4"/>
        <v>1</v>
      </c>
      <c r="DA54" s="165" t="b">
        <f t="shared" si="4"/>
        <v>1</v>
      </c>
      <c r="DB54" s="166" t="b">
        <f t="shared" si="4"/>
        <v>1</v>
      </c>
      <c r="DC54" s="164">
        <f t="shared" si="15"/>
        <v>6</v>
      </c>
      <c r="DD54" s="166">
        <f t="shared" si="5"/>
        <v>2071.6902025251502</v>
      </c>
      <c r="DE54" s="164">
        <f t="shared" si="6"/>
        <v>6</v>
      </c>
      <c r="DF54" s="166">
        <f t="shared" si="7"/>
        <v>2235.4879894080063</v>
      </c>
      <c r="DG54" s="164">
        <f t="shared" si="8"/>
        <v>6</v>
      </c>
      <c r="DH54" s="166">
        <f t="shared" si="9"/>
        <v>2399.2857762908625</v>
      </c>
      <c r="DI54" s="164">
        <f>IFERROR(INDEX(DC$46:DC$94,_xlfn.AGGREGATE(15,6,(ROW(DC$46:DC$94)-ROW(DC$46)+1)/(DC$46:DC$94&lt;&gt;""),ROWS(DI$1:DI9))),"")</f>
        <v>6</v>
      </c>
      <c r="DJ54" s="165">
        <f>IFERROR(INDEX(DD$46:DD$94,_xlfn.AGGREGATE(15,6,(ROW(DD$46:DD$94)-ROW(DD$46)+1)/(DD$46:DD$94&lt;&gt;""),ROWS(DJ$1:DJ9))),"")</f>
        <v>2071.6902025251502</v>
      </c>
      <c r="DK54" s="166">
        <f t="shared" si="10"/>
        <v>54</v>
      </c>
      <c r="DL54" s="164">
        <f>IFERROR(INDEX(DE$46:DE$94,_xlfn.AGGREGATE(15,6,(ROW(DE$46:DE$94)-ROW(DE$46)+1)/(DE$46:DE$94&lt;&gt;""),ROWS(DL$1:DL9))),"")</f>
        <v>6</v>
      </c>
      <c r="DM54" s="165">
        <f>IFERROR(INDEX(DF$46:DF$94,_xlfn.AGGREGATE(15,6,(ROW(DF$46:DF$94)-ROW(DF$46)+1)/(DF$46:DF$94&lt;&gt;""),ROWS(DM$1:DM9))),"")</f>
        <v>2235.4879894080063</v>
      </c>
      <c r="DN54" s="166">
        <f t="shared" si="11"/>
        <v>54</v>
      </c>
      <c r="DO54" s="164">
        <f>IFERROR(INDEX(DG$46:DG$94,_xlfn.AGGREGATE(15,6,(ROW(DG$46:DG$94)-ROW(DG$46)+1)/(DG$46:DG$94&lt;&gt;""),ROWS(DO$1:DO9))),"")</f>
        <v>6</v>
      </c>
      <c r="DP54" s="165">
        <f>IFERROR(INDEX(DH$46:DH$94,_xlfn.AGGREGATE(15,6,(ROW(DH$46:DH$94)-ROW(DH$46)+1)/(DH$46:DH$94&lt;&gt;""),ROWS(DP$1:DP9))),"")</f>
        <v>2399.2857762908625</v>
      </c>
      <c r="DQ54" s="166">
        <f t="shared" si="12"/>
        <v>54</v>
      </c>
      <c r="DV54" s="145">
        <v>2023</v>
      </c>
      <c r="DW54" s="146">
        <f t="shared" ca="1" si="13"/>
        <v>2337.7417974588325</v>
      </c>
      <c r="DZ54" s="135" t="s">
        <v>92</v>
      </c>
      <c r="EA54" s="33">
        <f>IF($V$4="Linear",0,IF($V$4="2nd Poly",0,IF($V$4="3rd Poly",0,IF($V$4="Exp",CR47))))</f>
        <v>0</v>
      </c>
      <c r="EB54" s="33">
        <f>IF($V$4="Linear",0,IF($V$4="2nd Poly",CA52,IF($V$4="3rd Poly",0,IF($V$4="Exp",CS47))))</f>
        <v>0</v>
      </c>
      <c r="EC54" s="33" t="str">
        <f>IF($EA$44="Linear","N/A",IF($EA$44="2nd Poly","N/A",IF($EA$44="3rd Poly","N/A","High")))</f>
        <v>N/A</v>
      </c>
      <c r="ED54" s="33"/>
      <c r="EE54" s="33"/>
      <c r="EV54" s="147"/>
    </row>
    <row r="55" spans="1:152" ht="14.1" thickBot="1" x14ac:dyDescent="0.5">
      <c r="A55" s="184" t="s">
        <v>80</v>
      </c>
      <c r="B55" s="128">
        <v>2021</v>
      </c>
      <c r="C55" s="1016">
        <v>2215.6993560702235</v>
      </c>
      <c r="D55" s="982">
        <v>2513.2797295733544</v>
      </c>
      <c r="E55" s="1017"/>
      <c r="F55" s="1077"/>
      <c r="G55" s="1109">
        <v>2081.8768969552611</v>
      </c>
      <c r="H55" s="1107"/>
      <c r="I55" s="1110"/>
      <c r="J55" s="159"/>
      <c r="K55" s="151"/>
      <c r="L55" s="152"/>
      <c r="M55" s="151"/>
      <c r="N55" s="29" t="s">
        <v>758</v>
      </c>
      <c r="P55" s="153"/>
      <c r="Q55" s="176" t="str">
        <f t="shared" si="16"/>
        <v/>
      </c>
      <c r="R55" s="29">
        <v>7</v>
      </c>
      <c r="S55" s="196">
        <f t="shared" si="0"/>
        <v>2081.8768969552611</v>
      </c>
      <c r="T55" s="196">
        <f t="shared" si="1"/>
        <v>2513.2797295733544</v>
      </c>
      <c r="U55" s="154">
        <f t="shared" si="2"/>
        <v>180.29942171866136</v>
      </c>
      <c r="V55" s="20"/>
      <c r="W55" s="154">
        <f t="shared" si="14"/>
        <v>2089.9859058142847</v>
      </c>
      <c r="X55" s="154">
        <f>IF(U55="",#N/A,IF($B$36=$A$62,(SUM(C55:E55)/COUNTIF(C55:E55,"&gt;0")),IF($B$36=$A$63,(SUM(F55:H55)/COUNTIF(F55:H55,"&gt;0")),IF($B$36=$A$64,(SUM(J55:K55)/COUNTIF(J55:K55,"&gt;0")),IF($B$36=$A$65,(SUM(L55:M55)/COUNTIF(L55:M55,"&gt;0")),(IF($B$36=$A$46,IF(C55="",#N/A,C55),IF($B$36=$A$47,IF(D55="",#N/A,D55),IF($B$36=$A$48,IF(E55="",#N/A,E55),IF($B$36=$A$49,IF(F55="",#N/A,F55),IF($B$36=$A$50,IF(G55="",#N/A,G55),IF($B$36=$A$51,IF(H55="",#N/A,H55),IF($B$36=$A$52,IF('Total MSW TAM Data_Updated2020'!I55="",#N/A,'Total MSW TAM Data_Updated2020'!I55),IF($B$36=$A$53,IF(J55="",#N/A,J55),IF($B$36=$A$54,IF(K55="",#N/A,K55),IF($B$36=$A$55,IF(L55="",#N/A,L55),IF($B$36=$A$56,IF(M55="",#N/A,M55),IF(U55="",#N/A,(SUM(C55:Q55)/COUNTIFS(C55:Q55,"&gt;0"))))))))))))))))))))</f>
        <v>2270.2853275329462</v>
      </c>
      <c r="Y55" s="154">
        <f t="shared" si="3"/>
        <v>2450.5847492516077</v>
      </c>
      <c r="AA55" s="1133">
        <v>2084.7166071211009</v>
      </c>
      <c r="AB55" s="1133">
        <v>2256.0862349785043</v>
      </c>
      <c r="AC55" s="1133">
        <v>2427.4558628359077</v>
      </c>
      <c r="AD55" s="138"/>
      <c r="AE55" s="138"/>
      <c r="AF55" s="138"/>
      <c r="AG55" s="138"/>
      <c r="AH55" s="138"/>
      <c r="AI55" s="138"/>
      <c r="AJ55" s="138"/>
      <c r="AK55" s="138"/>
      <c r="AL55" s="138"/>
      <c r="AM55" s="138"/>
      <c r="AN55" s="138"/>
      <c r="BR55" s="180">
        <v>2019</v>
      </c>
      <c r="BS55" s="22">
        <v>5</v>
      </c>
      <c r="BT55" s="181">
        <f t="shared" si="18"/>
        <v>207.5820053794194</v>
      </c>
      <c r="BU55" s="182">
        <f t="shared" si="19"/>
        <v>1924.0853092551583</v>
      </c>
      <c r="BV55" s="197">
        <f t="shared" si="20"/>
        <v>2131.6673146345779</v>
      </c>
      <c r="BY55" s="180">
        <v>2019</v>
      </c>
      <c r="BZ55" s="22">
        <v>5</v>
      </c>
      <c r="CA55" s="198">
        <f t="shared" ca="1" si="21"/>
        <v>-7.1843930199331316</v>
      </c>
      <c r="CB55" s="198">
        <f t="shared" ca="1" si="22"/>
        <v>270.80466395483097</v>
      </c>
      <c r="CC55" s="186">
        <f t="shared" ca="1" si="32"/>
        <v>1842.470604548718</v>
      </c>
      <c r="CD55" s="197">
        <f t="shared" ca="1" si="23"/>
        <v>2106.0908754836159</v>
      </c>
      <c r="CG55" s="180">
        <v>2019</v>
      </c>
      <c r="CH55" s="22">
        <v>5</v>
      </c>
      <c r="CI55" s="198">
        <f t="shared" ca="1" si="24"/>
        <v>1.5672991844058628</v>
      </c>
      <c r="CJ55" s="198">
        <f t="shared" ca="1" si="25"/>
        <v>-27.872742254090525</v>
      </c>
      <c r="CK55" s="198">
        <f t="shared" ca="1" si="26"/>
        <v>339.27683072315438</v>
      </c>
      <c r="CL55" s="186">
        <f t="shared" ca="1" si="27"/>
        <v>1808.2106982169528</v>
      </c>
      <c r="CM55" s="197">
        <f t="shared" ca="1" si="28"/>
        <v>2121.1820858704223</v>
      </c>
      <c r="CP55" s="180">
        <v>2019</v>
      </c>
      <c r="CQ55" s="22">
        <v>5</v>
      </c>
      <c r="CR55" s="181">
        <f t="shared" ca="1" si="29"/>
        <v>1974.5373970287794</v>
      </c>
      <c r="CS55" s="182">
        <f t="shared" ca="1" si="30"/>
        <v>1.0800270783682313</v>
      </c>
      <c r="CT55" s="197">
        <f t="shared" ca="1" si="31"/>
        <v>2132.5538560418049</v>
      </c>
      <c r="CZ55" s="164" t="b">
        <f t="shared" si="4"/>
        <v>1</v>
      </c>
      <c r="DA55" s="165" t="b">
        <f t="shared" si="4"/>
        <v>1</v>
      </c>
      <c r="DB55" s="166" t="b">
        <f t="shared" si="4"/>
        <v>1</v>
      </c>
      <c r="DC55" s="164">
        <f t="shared" si="15"/>
        <v>7</v>
      </c>
      <c r="DD55" s="166">
        <f t="shared" si="5"/>
        <v>2089.9859058142847</v>
      </c>
      <c r="DE55" s="164">
        <f t="shared" si="6"/>
        <v>7</v>
      </c>
      <c r="DF55" s="166">
        <f t="shared" si="7"/>
        <v>2270.2853275329462</v>
      </c>
      <c r="DG55" s="164">
        <f t="shared" si="8"/>
        <v>7</v>
      </c>
      <c r="DH55" s="166">
        <f t="shared" si="9"/>
        <v>2450.5847492516077</v>
      </c>
      <c r="DI55" s="164">
        <f>IFERROR(INDEX(DC$46:DC$94,_xlfn.AGGREGATE(15,6,(ROW(DC$46:DC$94)-ROW(DC$46)+1)/(DC$46:DC$94&lt;&gt;""),ROWS(DI$1:DI10))),"")</f>
        <v>7</v>
      </c>
      <c r="DJ55" s="165">
        <f>IFERROR(INDEX(DD$46:DD$94,_xlfn.AGGREGATE(15,6,(ROW(DD$46:DD$94)-ROW(DD$46)+1)/(DD$46:DD$94&lt;&gt;""),ROWS(DJ$1:DJ10))),"")</f>
        <v>2089.9859058142847</v>
      </c>
      <c r="DK55" s="166">
        <f t="shared" si="10"/>
        <v>55</v>
      </c>
      <c r="DL55" s="164">
        <f>IFERROR(INDEX(DE$46:DE$94,_xlfn.AGGREGATE(15,6,(ROW(DE$46:DE$94)-ROW(DE$46)+1)/(DE$46:DE$94&lt;&gt;""),ROWS(DL$1:DL10))),"")</f>
        <v>7</v>
      </c>
      <c r="DM55" s="165">
        <f>IFERROR(INDEX(DF$46:DF$94,_xlfn.AGGREGATE(15,6,(ROW(DF$46:DF$94)-ROW(DF$46)+1)/(DF$46:DF$94&lt;&gt;""),ROWS(DM$1:DM10))),"")</f>
        <v>2270.2853275329462</v>
      </c>
      <c r="DN55" s="166">
        <f t="shared" si="11"/>
        <v>55</v>
      </c>
      <c r="DO55" s="164">
        <f>IFERROR(INDEX(DG$46:DG$94,_xlfn.AGGREGATE(15,6,(ROW(DG$46:DG$94)-ROW(DG$46)+1)/(DG$46:DG$94&lt;&gt;""),ROWS(DO$1:DO10))),"")</f>
        <v>7</v>
      </c>
      <c r="DP55" s="165">
        <f>IFERROR(INDEX(DH$46:DH$94,_xlfn.AGGREGATE(15,6,(ROW(DH$46:DH$94)-ROW(DH$46)+1)/(DH$46:DH$94&lt;&gt;""),ROWS(DP$1:DP10))),"")</f>
        <v>2450.5847492516077</v>
      </c>
      <c r="DQ55" s="166">
        <f t="shared" si="12"/>
        <v>55</v>
      </c>
      <c r="DV55" s="145">
        <v>2024</v>
      </c>
      <c r="DW55" s="146">
        <f t="shared" ca="1" si="13"/>
        <v>2387.8117841221465</v>
      </c>
      <c r="DZ55" s="135" t="s">
        <v>92</v>
      </c>
      <c r="EA55" s="33">
        <f>IF($V$4="Linear",0,IF($V$4="2nd Poly",0,IF($V$4="3rd Poly",0,IF($V$4="Exp",CR48))))</f>
        <v>0</v>
      </c>
      <c r="EB55" s="33">
        <f>IF($V$4="Linear",0,IF($V$4="2nd Poly",CA53,IF($V$4="3rd Poly",0,IF($V$4="Exp",CS48))))</f>
        <v>0</v>
      </c>
      <c r="EC55" s="33" t="str">
        <f>IF($EA$44="Linear","N/A",IF($EA$44="2nd Poly","N/A",IF($EA$44="3rd Poly","N/A","Medium")))</f>
        <v>N/A</v>
      </c>
      <c r="ED55" s="33"/>
      <c r="EE55" s="33"/>
      <c r="EV55" s="147"/>
    </row>
    <row r="56" spans="1:152" ht="13.8" x14ac:dyDescent="0.45">
      <c r="A56" s="148" t="s">
        <v>88</v>
      </c>
      <c r="B56" s="128">
        <v>2022</v>
      </c>
      <c r="C56" s="1016">
        <v>2254.9780785808534</v>
      </c>
      <c r="D56" s="982">
        <v>2568.8743600896819</v>
      </c>
      <c r="E56" s="1017"/>
      <c r="F56" s="1077"/>
      <c r="G56" s="1109">
        <v>2092.4320766040532</v>
      </c>
      <c r="H56" s="1107"/>
      <c r="I56" s="1111"/>
      <c r="J56" s="199"/>
      <c r="K56" s="200"/>
      <c r="L56" s="201"/>
      <c r="M56" s="200"/>
      <c r="N56" s="29" t="s">
        <v>758</v>
      </c>
      <c r="P56" s="153"/>
      <c r="Q56" s="176" t="str">
        <f t="shared" si="16"/>
        <v/>
      </c>
      <c r="R56" s="29">
        <v>8</v>
      </c>
      <c r="S56" s="202">
        <f t="shared" si="0"/>
        <v>2092.4320766040532</v>
      </c>
      <c r="T56" s="202">
        <f t="shared" si="1"/>
        <v>2568.8743600896819</v>
      </c>
      <c r="U56" s="154">
        <f t="shared" si="2"/>
        <v>197.75105781335608</v>
      </c>
      <c r="V56" s="20"/>
      <c r="W56" s="154">
        <f t="shared" si="14"/>
        <v>2107.6771139448401</v>
      </c>
      <c r="X56" s="154">
        <f>IF(U56="",#N/A,IF($B$36=$A$62,(SUM(C56:E56)/COUNTIF(C56:E56,"&gt;0")),IF($B$36=$A$63,(SUM(F56:H56)/COUNTIF(F56:H56,"&gt;0")),IF($B$36=$A$64,(SUM(J56:K56)/COUNTIF(J56:K56,"&gt;0")),IF($B$36=$A$65,(SUM(L56:M56)/COUNTIF(L56:M56,"&gt;0")),(IF($B$36=$A$46,IF(C56="",#N/A,C56),IF($B$36=$A$47,IF(D56="",#N/A,D56),IF($B$36=$A$48,IF(E56="",#N/A,E56),IF($B$36=$A$49,IF(F56="",#N/A,F56),IF($B$36=$A$50,IF(G56="",#N/A,G56),IF($B$36=$A$51,IF(H56="",#N/A,H56),IF($B$36=$A$52,IF('Total MSW TAM Data_Updated2020'!I56="",#N/A,'Total MSW TAM Data_Updated2020'!I56),IF($B$36=$A$53,IF(J56="",#N/A,J56),IF($B$36=$A$54,IF(K56="",#N/A,K56),IF($B$36=$A$55,IF(L56="",#N/A,L56),IF($B$36=$A$56,IF(M56="",#N/A,M56),IF(U56="",#N/A,(SUM(C56:Q56)/COUNTIFS(C56:Q56,"&gt;0"))))))))))))))))))))</f>
        <v>2305.4281717581962</v>
      </c>
      <c r="Y56" s="154">
        <f t="shared" si="3"/>
        <v>2503.1792295715522</v>
      </c>
      <c r="AA56" s="1133">
        <v>2103.5145287718124</v>
      </c>
      <c r="AB56" s="1133">
        <v>2292.067049961684</v>
      </c>
      <c r="AC56" s="1133">
        <v>2480.6195711515556</v>
      </c>
      <c r="AD56" s="120"/>
      <c r="AE56" s="120"/>
      <c r="AF56" s="120"/>
      <c r="AG56" s="120"/>
      <c r="AH56" s="120"/>
      <c r="AI56" s="120"/>
      <c r="AJ56" s="120"/>
      <c r="AK56" s="120"/>
      <c r="AL56" s="120"/>
      <c r="AM56" s="120"/>
      <c r="AN56" s="120"/>
      <c r="BR56" s="180">
        <v>2020</v>
      </c>
      <c r="BS56" s="22">
        <v>6</v>
      </c>
      <c r="BT56" s="181">
        <f t="shared" si="18"/>
        <v>249.09840645530326</v>
      </c>
      <c r="BU56" s="182">
        <f t="shared" si="19"/>
        <v>1924.0853092551583</v>
      </c>
      <c r="BV56" s="203">
        <f t="shared" si="20"/>
        <v>2173.1837157104615</v>
      </c>
      <c r="BY56" s="180">
        <v>2020</v>
      </c>
      <c r="BZ56" s="22">
        <v>6</v>
      </c>
      <c r="CA56" s="198">
        <f t="shared" ca="1" si="21"/>
        <v>-10.34552594870371</v>
      </c>
      <c r="CB56" s="198">
        <f t="shared" ca="1" si="22"/>
        <v>324.96559674579714</v>
      </c>
      <c r="CC56" s="186">
        <f t="shared" ca="1" si="32"/>
        <v>1842.470604548718</v>
      </c>
      <c r="CD56" s="203">
        <f t="shared" ca="1" si="23"/>
        <v>2157.0906753458116</v>
      </c>
      <c r="CG56" s="180">
        <v>2020</v>
      </c>
      <c r="CH56" s="22">
        <v>6</v>
      </c>
      <c r="CI56" s="198">
        <f t="shared" ca="1" si="24"/>
        <v>2.7082929906533311</v>
      </c>
      <c r="CJ56" s="198">
        <f t="shared" ca="1" si="25"/>
        <v>-40.136748845890359</v>
      </c>
      <c r="CK56" s="198">
        <f t="shared" ca="1" si="26"/>
        <v>407.1321968677853</v>
      </c>
      <c r="CL56" s="186">
        <f t="shared" ca="1" si="27"/>
        <v>1808.2106982169528</v>
      </c>
      <c r="CM56" s="203">
        <f t="shared" ca="1" si="28"/>
        <v>2177.9144392295011</v>
      </c>
      <c r="CP56" s="180">
        <v>2020</v>
      </c>
      <c r="CQ56" s="22">
        <v>6</v>
      </c>
      <c r="CR56" s="181">
        <f t="shared" ca="1" si="29"/>
        <v>1974.5373970287794</v>
      </c>
      <c r="CS56" s="182">
        <f t="shared" ca="1" si="30"/>
        <v>1.0967851788180216</v>
      </c>
      <c r="CT56" s="203">
        <f t="shared" ca="1" si="31"/>
        <v>2165.6433520830806</v>
      </c>
      <c r="CZ56" s="164" t="b">
        <f t="shared" si="4"/>
        <v>1</v>
      </c>
      <c r="DA56" s="165" t="b">
        <f t="shared" si="4"/>
        <v>1</v>
      </c>
      <c r="DB56" s="166" t="b">
        <f t="shared" si="4"/>
        <v>1</v>
      </c>
      <c r="DC56" s="164">
        <f t="shared" si="15"/>
        <v>8</v>
      </c>
      <c r="DD56" s="166">
        <f t="shared" si="5"/>
        <v>2107.6771139448401</v>
      </c>
      <c r="DE56" s="164">
        <f t="shared" si="6"/>
        <v>8</v>
      </c>
      <c r="DF56" s="166">
        <f t="shared" si="7"/>
        <v>2305.4281717581962</v>
      </c>
      <c r="DG56" s="164">
        <f t="shared" si="8"/>
        <v>8</v>
      </c>
      <c r="DH56" s="166">
        <f t="shared" si="9"/>
        <v>2503.1792295715522</v>
      </c>
      <c r="DI56" s="164">
        <f>IFERROR(INDEX(DC$46:DC$94,_xlfn.AGGREGATE(15,6,(ROW(DC$46:DC$94)-ROW(DC$46)+1)/(DC$46:DC$94&lt;&gt;""),ROWS(DI$1:DI11))),"")</f>
        <v>8</v>
      </c>
      <c r="DJ56" s="165">
        <f>IFERROR(INDEX(DD$46:DD$94,_xlfn.AGGREGATE(15,6,(ROW(DD$46:DD$94)-ROW(DD$46)+1)/(DD$46:DD$94&lt;&gt;""),ROWS(DJ$1:DJ11))),"")</f>
        <v>2107.6771139448401</v>
      </c>
      <c r="DK56" s="166">
        <f t="shared" si="10"/>
        <v>56</v>
      </c>
      <c r="DL56" s="164">
        <f>IFERROR(INDEX(DE$46:DE$94,_xlfn.AGGREGATE(15,6,(ROW(DE$46:DE$94)-ROW(DE$46)+1)/(DE$46:DE$94&lt;&gt;""),ROWS(DL$1:DL11))),"")</f>
        <v>8</v>
      </c>
      <c r="DM56" s="165">
        <f>IFERROR(INDEX(DF$46:DF$94,_xlfn.AGGREGATE(15,6,(ROW(DF$46:DF$94)-ROW(DF$46)+1)/(DF$46:DF$94&lt;&gt;""),ROWS(DM$1:DM11))),"")</f>
        <v>2305.4281717581962</v>
      </c>
      <c r="DN56" s="166">
        <f t="shared" si="11"/>
        <v>56</v>
      </c>
      <c r="DO56" s="164">
        <f>IFERROR(INDEX(DG$46:DG$94,_xlfn.AGGREGATE(15,6,(ROW(DG$46:DG$94)-ROW(DG$46)+1)/(DG$46:DG$94&lt;&gt;""),ROWS(DO$1:DO11))),"")</f>
        <v>8</v>
      </c>
      <c r="DP56" s="165">
        <f>IFERROR(INDEX(DH$46:DH$94,_xlfn.AGGREGATE(15,6,(ROW(DH$46:DH$94)-ROW(DH$46)+1)/(DH$46:DH$94&lt;&gt;""),ROWS(DP$1:DP11))),"")</f>
        <v>2503.1792295715522</v>
      </c>
      <c r="DQ56" s="166">
        <f t="shared" si="12"/>
        <v>56</v>
      </c>
      <c r="DV56" s="145">
        <v>2025</v>
      </c>
      <c r="DW56" s="146">
        <f t="shared" ca="1" si="13"/>
        <v>2436.4042550136478</v>
      </c>
      <c r="DZ56" s="135" t="s">
        <v>92</v>
      </c>
      <c r="EA56" s="33">
        <f>IF($V$4="Linear",0,IF($V$4="2nd Poly",0,IF($V$4="3rd Poly",0,IF($V$4="Exp",CR49))))</f>
        <v>0</v>
      </c>
      <c r="EB56" s="33">
        <f>IF($V$4="Linear",0,IF($V$4="2nd Poly",CA54,IF($V$4="3rd Poly",0,IF($V$4="Exp",CS49))))</f>
        <v>0</v>
      </c>
      <c r="EC56" s="33" t="str">
        <f>IF($EA$44="Linear","N/A",IF($EA$44="2nd Poly","N/A",IF($EA$44="3rd Poly","N/A","Low")))</f>
        <v>N/A</v>
      </c>
      <c r="EU56" s="65"/>
      <c r="EV56" s="147"/>
    </row>
    <row r="57" spans="1:152" ht="13.8" x14ac:dyDescent="0.45">
      <c r="B57" s="128">
        <v>2023</v>
      </c>
      <c r="C57" s="1016">
        <v>2294.0453040680059</v>
      </c>
      <c r="D57" s="982">
        <v>2623.560812853173</v>
      </c>
      <c r="E57" s="1017"/>
      <c r="F57" s="1077"/>
      <c r="G57" s="1109">
        <v>2102.8584482231004</v>
      </c>
      <c r="H57" s="1107"/>
      <c r="I57" s="1111"/>
      <c r="J57" s="199"/>
      <c r="K57" s="200"/>
      <c r="L57" s="201"/>
      <c r="M57" s="200"/>
      <c r="N57" s="29" t="s">
        <v>758</v>
      </c>
      <c r="P57" s="153"/>
      <c r="Q57" s="176" t="str">
        <f t="shared" si="16"/>
        <v/>
      </c>
      <c r="R57" s="29">
        <v>9</v>
      </c>
      <c r="S57" s="202">
        <f t="shared" si="0"/>
        <v>2102.8584482231004</v>
      </c>
      <c r="T57" s="202">
        <f t="shared" si="1"/>
        <v>2623.560812853173</v>
      </c>
      <c r="U57" s="154">
        <f t="shared" si="2"/>
        <v>215.06170610862088</v>
      </c>
      <c r="V57" s="20"/>
      <c r="W57" s="154">
        <f t="shared" si="14"/>
        <v>2125.093148939472</v>
      </c>
      <c r="X57" s="154">
        <f>IF(U57="",#N/A,IF($B$36=$A$62,(SUM(C57:E57)/COUNTIF(C57:E57,"&gt;0")),IF($B$36=$A$63,(SUM(F57:H57)/COUNTIF(F57:H57,"&gt;0")),IF($B$36=$A$64,(SUM(J57:K57)/COUNTIF(J57:K57,"&gt;0")),IF($B$36=$A$65,(SUM(L57:M57)/COUNTIF(L57:M57,"&gt;0")),(IF($B$36=$A$46,IF(C57="",#N/A,C57),IF($B$36=$A$47,IF(D57="",#N/A,D57),IF($B$36=$A$48,IF(E57="",#N/A,E57),IF($B$36=$A$49,IF(F57="",#N/A,F57),IF($B$36=$A$50,IF(G57="",#N/A,G57),IF($B$36=$A$51,IF(H57="",#N/A,H57),IF($B$36=$A$52,IF('Total MSW TAM Data_Updated2020'!I57="",#N/A,'Total MSW TAM Data_Updated2020'!I57),IF($B$36=$A$53,IF(J57="",#N/A,J57),IF($B$36=$A$54,IF(K57="",#N/A,K57),IF($B$36=$A$55,IF(L57="",#N/A,L57),IF($B$36=$A$56,IF(M57="",#N/A,M57),IF(U57="",#N/A,(SUM(C57:Q57)/COUNTIFS(C57:Q57,"&gt;0"))))))))))))))))))))</f>
        <v>2340.1548550480929</v>
      </c>
      <c r="Y57" s="154">
        <f t="shared" si="3"/>
        <v>2555.2165611567139</v>
      </c>
      <c r="AA57" s="1133">
        <v>2122.2072011861396</v>
      </c>
      <c r="AB57" s="1133">
        <v>2327.8121531494985</v>
      </c>
      <c r="AC57" s="1133">
        <v>2533.4171051128574</v>
      </c>
      <c r="AD57" s="120"/>
      <c r="AE57" s="120"/>
      <c r="AF57" s="120"/>
      <c r="AG57" s="120"/>
      <c r="AH57" s="120"/>
      <c r="AI57" s="120"/>
      <c r="AJ57" s="120"/>
      <c r="AK57" s="120"/>
      <c r="AL57" s="120"/>
      <c r="AM57" s="120"/>
      <c r="AN57" s="120"/>
      <c r="BR57" s="180">
        <v>2021</v>
      </c>
      <c r="BS57" s="22">
        <v>7</v>
      </c>
      <c r="BT57" s="181">
        <f t="shared" si="18"/>
        <v>290.61480753118713</v>
      </c>
      <c r="BU57" s="182">
        <f t="shared" si="19"/>
        <v>1924.0853092551583</v>
      </c>
      <c r="BV57" s="205">
        <f t="shared" si="20"/>
        <v>2214.7001167863455</v>
      </c>
      <c r="BY57" s="180">
        <v>2021</v>
      </c>
      <c r="BZ57" s="22">
        <v>7</v>
      </c>
      <c r="CA57" s="198">
        <f t="shared" ca="1" si="21"/>
        <v>-14.081410319068938</v>
      </c>
      <c r="CB57" s="198">
        <f t="shared" ca="1" si="22"/>
        <v>379.12652953676337</v>
      </c>
      <c r="CC57" s="186">
        <f t="shared" ca="1" si="32"/>
        <v>1842.470604548718</v>
      </c>
      <c r="CD57" s="205">
        <f t="shared" ca="1" si="23"/>
        <v>2207.5157237664125</v>
      </c>
      <c r="CG57" s="180">
        <v>2021</v>
      </c>
      <c r="CH57" s="22">
        <v>7</v>
      </c>
      <c r="CI57" s="198">
        <f t="shared" ca="1" si="24"/>
        <v>4.3006689620096878</v>
      </c>
      <c r="CJ57" s="198">
        <f t="shared" ca="1" si="25"/>
        <v>-54.630574818017429</v>
      </c>
      <c r="CK57" s="198">
        <f t="shared" ca="1" si="26"/>
        <v>474.98756301241616</v>
      </c>
      <c r="CL57" s="186">
        <f t="shared" ca="1" si="27"/>
        <v>1808.2106982169528</v>
      </c>
      <c r="CM57" s="205">
        <f t="shared" ca="1" si="28"/>
        <v>2232.8683553733613</v>
      </c>
      <c r="CP57" s="180">
        <v>2021</v>
      </c>
      <c r="CQ57" s="22">
        <v>7</v>
      </c>
      <c r="CR57" s="181">
        <f t="shared" ca="1" si="29"/>
        <v>1974.5373970287794</v>
      </c>
      <c r="CS57" s="182">
        <f t="shared" ca="1" si="30"/>
        <v>1.1138033041656223</v>
      </c>
      <c r="CT57" s="205">
        <f t="shared" ca="1" si="31"/>
        <v>2199.246277009242</v>
      </c>
      <c r="CZ57" s="164" t="b">
        <f t="shared" si="4"/>
        <v>1</v>
      </c>
      <c r="DA57" s="165" t="b">
        <f t="shared" si="4"/>
        <v>1</v>
      </c>
      <c r="DB57" s="166" t="b">
        <f t="shared" si="4"/>
        <v>1</v>
      </c>
      <c r="DC57" s="164">
        <f t="shared" si="15"/>
        <v>9</v>
      </c>
      <c r="DD57" s="166">
        <f t="shared" si="5"/>
        <v>2125.093148939472</v>
      </c>
      <c r="DE57" s="164">
        <f t="shared" si="6"/>
        <v>9</v>
      </c>
      <c r="DF57" s="166">
        <f t="shared" si="7"/>
        <v>2340.1548550480929</v>
      </c>
      <c r="DG57" s="164">
        <f t="shared" si="8"/>
        <v>9</v>
      </c>
      <c r="DH57" s="166">
        <f t="shared" si="9"/>
        <v>2555.2165611567139</v>
      </c>
      <c r="DI57" s="164">
        <f>IFERROR(INDEX(DC$46:DC$94,_xlfn.AGGREGATE(15,6,(ROW(DC$46:DC$94)-ROW(DC$46)+1)/(DC$46:DC$94&lt;&gt;""),ROWS(DI$1:DI12))),"")</f>
        <v>9</v>
      </c>
      <c r="DJ57" s="165">
        <f>IFERROR(INDEX(DD$46:DD$94,_xlfn.AGGREGATE(15,6,(ROW(DD$46:DD$94)-ROW(DD$46)+1)/(DD$46:DD$94&lt;&gt;""),ROWS(DJ$1:DJ12))),"")</f>
        <v>2125.093148939472</v>
      </c>
      <c r="DK57" s="166">
        <f t="shared" si="10"/>
        <v>57</v>
      </c>
      <c r="DL57" s="164">
        <f>IFERROR(INDEX(DE$46:DE$94,_xlfn.AGGREGATE(15,6,(ROW(DE$46:DE$94)-ROW(DE$46)+1)/(DE$46:DE$94&lt;&gt;""),ROWS(DL$1:DL12))),"")</f>
        <v>9</v>
      </c>
      <c r="DM57" s="165">
        <f>IFERROR(INDEX(DF$46:DF$94,_xlfn.AGGREGATE(15,6,(ROW(DF$46:DF$94)-ROW(DF$46)+1)/(DF$46:DF$94&lt;&gt;""),ROWS(DM$1:DM12))),"")</f>
        <v>2340.1548550480929</v>
      </c>
      <c r="DN57" s="166">
        <f t="shared" si="11"/>
        <v>57</v>
      </c>
      <c r="DO57" s="164">
        <f>IFERROR(INDEX(DG$46:DG$94,_xlfn.AGGREGATE(15,6,(ROW(DG$46:DG$94)-ROW(DG$46)+1)/(DG$46:DG$94&lt;&gt;""),ROWS(DO$1:DO12))),"")</f>
        <v>9</v>
      </c>
      <c r="DP57" s="165">
        <f>IFERROR(INDEX(DH$46:DH$94,_xlfn.AGGREGATE(15,6,(ROW(DH$46:DH$94)-ROW(DH$46)+1)/(DH$46:DH$94&lt;&gt;""),ROWS(DP$1:DP12))),"")</f>
        <v>2555.2165611567139</v>
      </c>
      <c r="DQ57" s="166">
        <f t="shared" si="12"/>
        <v>57</v>
      </c>
      <c r="DV57" s="145">
        <v>2026</v>
      </c>
      <c r="DW57" s="146">
        <f t="shared" ca="1" si="13"/>
        <v>2483.5944404941883</v>
      </c>
      <c r="EU57" s="65"/>
      <c r="EV57" s="147"/>
    </row>
    <row r="58" spans="1:152" ht="13.8" x14ac:dyDescent="0.45">
      <c r="B58" s="128">
        <v>2024</v>
      </c>
      <c r="C58" s="1016">
        <v>2332.8689059415333</v>
      </c>
      <c r="D58" s="982">
        <v>2677.2973658787932</v>
      </c>
      <c r="E58" s="1017"/>
      <c r="F58" s="1077"/>
      <c r="G58" s="1109">
        <v>2113.1140023270586</v>
      </c>
      <c r="H58" s="1107"/>
      <c r="I58" s="1112"/>
      <c r="J58" s="207"/>
      <c r="K58" s="204"/>
      <c r="L58" s="206"/>
      <c r="M58" s="204"/>
      <c r="N58" s="29" t="s">
        <v>758</v>
      </c>
      <c r="P58" s="128"/>
      <c r="Q58" s="176" t="str">
        <f t="shared" si="16"/>
        <v/>
      </c>
      <c r="R58" s="29">
        <v>10</v>
      </c>
      <c r="S58" s="154">
        <f t="shared" si="0"/>
        <v>2113.1140023270586</v>
      </c>
      <c r="T58" s="154">
        <f t="shared" si="1"/>
        <v>2677.2973658787932</v>
      </c>
      <c r="U58" s="154">
        <f t="shared" si="2"/>
        <v>232.19389631797637</v>
      </c>
      <c r="V58" s="20"/>
      <c r="W58" s="154">
        <f t="shared" si="14"/>
        <v>2142.2328617311518</v>
      </c>
      <c r="X58" s="154">
        <f>IF(U58="",#N/A,IF($B$36=$A$62,(SUM(C58:E58)/COUNTIF(C58:E58,"&gt;0")),IF($B$36=$A$63,(SUM(F58:H58)/COUNTIF(F58:H58,"&gt;0")),IF($B$36=$A$64,(SUM(J58:K58)/COUNTIF(J58:K58,"&gt;0")),IF($B$36=$A$65,(SUM(L58:M58)/COUNTIF(L58:M58,"&gt;0")),(IF($B$36=$A$46,IF(C58="",#N/A,C58),IF($B$36=$A$47,IF(D58="",#N/A,D58),IF($B$36=$A$48,IF(E58="",#N/A,E58),IF($B$36=$A$49,IF(F58="",#N/A,F58),IF($B$36=$A$50,IF(G58="",#N/A,G58),IF($B$36=$A$51,IF(H58="",#N/A,H58),IF($B$36=$A$52,IF('Total MSW TAM Data_Updated2020'!I58="",#N/A,'Total MSW TAM Data_Updated2020'!I58),IF($B$36=$A$53,IF(J58="",#N/A,J58),IF($B$36=$A$54,IF(K58="",#N/A,K58),IF($B$36=$A$55,IF(L58="",#N/A,L58),IF($B$36=$A$56,IF(M58="",#N/A,M58),IF(U58="",#N/A,(SUM(C58:Q58)/COUNTIFS(C58:Q58,"&gt;0"))))))))))))))))))))</f>
        <v>2374.4267580491282</v>
      </c>
      <c r="Y58" s="154">
        <f t="shared" si="3"/>
        <v>2606.6206543671046</v>
      </c>
      <c r="AA58" s="1133">
        <v>2140.8243563009187</v>
      </c>
      <c r="AB58" s="1133">
        <v>2363.3235557594176</v>
      </c>
      <c r="AC58" s="1133">
        <v>2585.8227552179164</v>
      </c>
      <c r="AD58" s="120"/>
      <c r="AE58" s="120"/>
      <c r="AF58" s="120"/>
      <c r="AG58" s="120"/>
      <c r="AH58" s="120"/>
      <c r="AI58" s="120"/>
      <c r="AJ58" s="120"/>
      <c r="AK58" s="120"/>
      <c r="AL58" s="120"/>
      <c r="AM58" s="120"/>
      <c r="AN58" s="120"/>
      <c r="BR58" s="180">
        <v>2022</v>
      </c>
      <c r="BS58" s="22">
        <v>8</v>
      </c>
      <c r="BT58" s="181">
        <f t="shared" si="18"/>
        <v>332.13120860707102</v>
      </c>
      <c r="BU58" s="182">
        <f t="shared" si="19"/>
        <v>1924.0853092551583</v>
      </c>
      <c r="BV58" s="205">
        <f t="shared" si="20"/>
        <v>2256.2165178622295</v>
      </c>
      <c r="BY58" s="180">
        <v>2022</v>
      </c>
      <c r="BZ58" s="22">
        <v>8</v>
      </c>
      <c r="CA58" s="198">
        <f t="shared" ca="1" si="21"/>
        <v>-18.392046131028817</v>
      </c>
      <c r="CB58" s="198">
        <f t="shared" ca="1" si="22"/>
        <v>433.28746232772954</v>
      </c>
      <c r="CC58" s="186">
        <f t="shared" ca="1" si="32"/>
        <v>1842.470604548718</v>
      </c>
      <c r="CD58" s="205">
        <f t="shared" ca="1" si="23"/>
        <v>2257.3660207454186</v>
      </c>
      <c r="CG58" s="180">
        <v>2022</v>
      </c>
      <c r="CH58" s="22">
        <v>8</v>
      </c>
      <c r="CI58" s="198">
        <f t="shared" ca="1" si="24"/>
        <v>6.4196574593264142</v>
      </c>
      <c r="CJ58" s="198">
        <f t="shared" ca="1" si="25"/>
        <v>-71.354220170471748</v>
      </c>
      <c r="CK58" s="198">
        <f t="shared" ca="1" si="26"/>
        <v>542.84292915704702</v>
      </c>
      <c r="CL58" s="186">
        <f t="shared" ca="1" si="27"/>
        <v>1808.2106982169528</v>
      </c>
      <c r="CM58" s="205">
        <f t="shared" ca="1" si="28"/>
        <v>2286.1190646628547</v>
      </c>
      <c r="CP58" s="180">
        <v>2022</v>
      </c>
      <c r="CQ58" s="22">
        <v>8</v>
      </c>
      <c r="CR58" s="181">
        <f t="shared" ca="1" si="29"/>
        <v>1974.5373970287794</v>
      </c>
      <c r="CS58" s="182">
        <f t="shared" ca="1" si="30"/>
        <v>1.1310854890537236</v>
      </c>
      <c r="CT58" s="205">
        <f t="shared" ca="1" si="31"/>
        <v>2233.3705973731635</v>
      </c>
      <c r="CZ58" s="164" t="b">
        <f t="shared" si="4"/>
        <v>1</v>
      </c>
      <c r="DA58" s="165" t="b">
        <f t="shared" si="4"/>
        <v>1</v>
      </c>
      <c r="DB58" s="166" t="b">
        <f t="shared" si="4"/>
        <v>1</v>
      </c>
      <c r="DC58" s="164">
        <f t="shared" si="15"/>
        <v>10</v>
      </c>
      <c r="DD58" s="166">
        <f t="shared" si="5"/>
        <v>2142.2328617311518</v>
      </c>
      <c r="DE58" s="164">
        <f t="shared" si="6"/>
        <v>10</v>
      </c>
      <c r="DF58" s="166">
        <f t="shared" si="7"/>
        <v>2374.4267580491282</v>
      </c>
      <c r="DG58" s="164">
        <f t="shared" si="8"/>
        <v>10</v>
      </c>
      <c r="DH58" s="166">
        <f t="shared" si="9"/>
        <v>2606.6206543671046</v>
      </c>
      <c r="DI58" s="164">
        <f>IFERROR(INDEX(DC$46:DC$94,_xlfn.AGGREGATE(15,6,(ROW(DC$46:DC$94)-ROW(DC$46)+1)/(DC$46:DC$94&lt;&gt;""),ROWS(DI$1:DI13))),"")</f>
        <v>10</v>
      </c>
      <c r="DJ58" s="165">
        <f>IFERROR(INDEX(DD$46:DD$94,_xlfn.AGGREGATE(15,6,(ROW(DD$46:DD$94)-ROW(DD$46)+1)/(DD$46:DD$94&lt;&gt;""),ROWS(DJ$1:DJ13))),"")</f>
        <v>2142.2328617311518</v>
      </c>
      <c r="DK58" s="166">
        <f t="shared" si="10"/>
        <v>58</v>
      </c>
      <c r="DL58" s="164">
        <f>IFERROR(INDEX(DE$46:DE$94,_xlfn.AGGREGATE(15,6,(ROW(DE$46:DE$94)-ROW(DE$46)+1)/(DE$46:DE$94&lt;&gt;""),ROWS(DL$1:DL13))),"")</f>
        <v>10</v>
      </c>
      <c r="DM58" s="165">
        <f>IFERROR(INDEX(DF$46:DF$94,_xlfn.AGGREGATE(15,6,(ROW(DF$46:DF$94)-ROW(DF$46)+1)/(DF$46:DF$94&lt;&gt;""),ROWS(DM$1:DM13))),"")</f>
        <v>2374.4267580491282</v>
      </c>
      <c r="DN58" s="166">
        <f t="shared" si="11"/>
        <v>58</v>
      </c>
      <c r="DO58" s="164">
        <f>IFERROR(INDEX(DG$46:DG$94,_xlfn.AGGREGATE(15,6,(ROW(DG$46:DG$94)-ROW(DG$46)+1)/(DG$46:DG$94&lt;&gt;""),ROWS(DO$1:DO13))),"")</f>
        <v>10</v>
      </c>
      <c r="DP58" s="165">
        <f>IFERROR(INDEX(DH$46:DH$94,_xlfn.AGGREGATE(15,6,(ROW(DH$46:DH$94)-ROW(DH$46)+1)/(DH$46:DH$94&lt;&gt;""),ROWS(DP$1:DP13))),"")</f>
        <v>2606.6206543671046</v>
      </c>
      <c r="DQ58" s="166">
        <f t="shared" si="12"/>
        <v>58</v>
      </c>
      <c r="DV58" s="145">
        <v>2027</v>
      </c>
      <c r="DW58" s="146">
        <f t="shared" ca="1" si="13"/>
        <v>2529.4575709246196</v>
      </c>
      <c r="EU58" s="65"/>
      <c r="EV58" s="147"/>
    </row>
    <row r="59" spans="1:152" ht="13.8" x14ac:dyDescent="0.45">
      <c r="B59" s="128">
        <v>2025</v>
      </c>
      <c r="C59" s="1016">
        <v>2371.4260258502991</v>
      </c>
      <c r="D59" s="982">
        <v>2726.9349529499164</v>
      </c>
      <c r="E59" s="1017"/>
      <c r="F59" s="1077"/>
      <c r="G59" s="1109">
        <v>2123.1696839538549</v>
      </c>
      <c r="H59" s="1107"/>
      <c r="I59" s="1112"/>
      <c r="J59" s="207"/>
      <c r="K59" s="204"/>
      <c r="L59" s="206"/>
      <c r="M59" s="204"/>
      <c r="N59" s="29" t="s">
        <v>758</v>
      </c>
      <c r="P59" s="128"/>
      <c r="Q59" s="176" t="str">
        <f t="shared" si="16"/>
        <v/>
      </c>
      <c r="R59" s="29">
        <v>11</v>
      </c>
      <c r="S59" s="154">
        <f t="shared" si="0"/>
        <v>2123.1696839538549</v>
      </c>
      <c r="T59" s="154">
        <f t="shared" si="1"/>
        <v>2726.9349529499164</v>
      </c>
      <c r="U59" s="154">
        <f t="shared" si="2"/>
        <v>247.77909260405931</v>
      </c>
      <c r="W59" s="154">
        <f t="shared" si="14"/>
        <v>2159.3977949806308</v>
      </c>
      <c r="X59" s="154">
        <f>IF(U59="",#N/A,IF($B$36=$A$62,(SUM(C59:E59)/COUNTIF(C59:E59,"&gt;0")),IF($B$36=$A$63,(SUM(F59:H59)/COUNTIF(F59:H59,"&gt;0")),IF($B$36=$A$64,(SUM(J59:K59)/COUNTIF(J59:K59,"&gt;0")),IF($B$36=$A$65,(SUM(L59:M59)/COUNTIF(L59:M59,"&gt;0")),(IF($B$36=$A$46,IF(C59="",#N/A,C59),IF($B$36=$A$47,IF(D59="",#N/A,D59),IF($B$36=$A$48,IF(E59="",#N/A,E59),IF($B$36=$A$49,IF(F59="",#N/A,F59),IF($B$36=$A$50,IF(G59="",#N/A,G59),IF($B$36=$A$51,IF(H59="",#N/A,H59),IF($B$36=$A$52,IF('Total MSW TAM Data_Updated2020'!I59="",#N/A,'Total MSW TAM Data_Updated2020'!I59),IF($B$36=$A$53,IF(J59="",#N/A,J59),IF($B$36=$A$54,IF(K59="",#N/A,K59),IF($B$36=$A$55,IF(L59="",#N/A,L59),IF($B$36=$A$56,IF(M59="",#N/A,M59),IF(U59="",#N/A,(SUM(C59:Q59)/COUNTIFS(C59:Q59,"&gt;0"))))))))))))))))))))</f>
        <v>2407.1768875846901</v>
      </c>
      <c r="Y59" s="154">
        <f t="shared" si="3"/>
        <v>2654.9559801887494</v>
      </c>
      <c r="AA59" s="1133">
        <v>2159.6531339968342</v>
      </c>
      <c r="AB59" s="1133">
        <v>2397.5749666971119</v>
      </c>
      <c r="AC59" s="1133">
        <v>2635.4967993973896</v>
      </c>
      <c r="AD59" s="120"/>
      <c r="AE59" s="120"/>
      <c r="AF59" s="120"/>
      <c r="AG59" s="120"/>
      <c r="AH59" s="120"/>
      <c r="AI59" s="120"/>
      <c r="AJ59" s="120"/>
      <c r="AK59" s="120"/>
      <c r="AL59" s="120"/>
      <c r="AM59" s="120"/>
      <c r="AN59" s="120"/>
      <c r="BR59" s="180">
        <v>2023</v>
      </c>
      <c r="BS59" s="22">
        <v>9</v>
      </c>
      <c r="BT59" s="181">
        <f t="shared" si="18"/>
        <v>373.64760968295491</v>
      </c>
      <c r="BU59" s="182">
        <f t="shared" si="19"/>
        <v>1924.0853092551583</v>
      </c>
      <c r="BV59" s="205">
        <f t="shared" si="20"/>
        <v>2297.7329189381135</v>
      </c>
      <c r="BY59" s="180">
        <v>2023</v>
      </c>
      <c r="BZ59" s="22">
        <v>9</v>
      </c>
      <c r="CA59" s="198">
        <f t="shared" ca="1" si="21"/>
        <v>-23.277433384583347</v>
      </c>
      <c r="CB59" s="198">
        <f t="shared" ca="1" si="22"/>
        <v>487.44839511869571</v>
      </c>
      <c r="CC59" s="186">
        <f t="shared" ca="1" si="32"/>
        <v>1842.470604548718</v>
      </c>
      <c r="CD59" s="205">
        <f t="shared" ca="1" si="23"/>
        <v>2306.6415662828304</v>
      </c>
      <c r="CG59" s="180">
        <v>2023</v>
      </c>
      <c r="CH59" s="22">
        <v>9</v>
      </c>
      <c r="CI59" s="198">
        <f t="shared" ca="1" si="24"/>
        <v>9.1404888434549925</v>
      </c>
      <c r="CJ59" s="198">
        <f t="shared" ca="1" si="25"/>
        <v>-90.307684903253303</v>
      </c>
      <c r="CK59" s="198">
        <f t="shared" ca="1" si="26"/>
        <v>610.69829530167794</v>
      </c>
      <c r="CL59" s="186">
        <f t="shared" ca="1" si="27"/>
        <v>1808.2106982169528</v>
      </c>
      <c r="CM59" s="205">
        <f t="shared" ca="1" si="28"/>
        <v>2337.7417974588325</v>
      </c>
      <c r="CP59" s="180">
        <v>2023</v>
      </c>
      <c r="CQ59" s="22">
        <v>9</v>
      </c>
      <c r="CR59" s="181">
        <f t="shared" ca="1" si="29"/>
        <v>1974.5373970287794</v>
      </c>
      <c r="CS59" s="182">
        <f t="shared" ca="1" si="30"/>
        <v>1.1486358307280273</v>
      </c>
      <c r="CT59" s="205">
        <f t="shared" ca="1" si="31"/>
        <v>2268.0244033397089</v>
      </c>
      <c r="CZ59" s="164" t="b">
        <f t="shared" si="4"/>
        <v>1</v>
      </c>
      <c r="DA59" s="165" t="b">
        <f t="shared" si="4"/>
        <v>1</v>
      </c>
      <c r="DB59" s="166" t="b">
        <f t="shared" si="4"/>
        <v>1</v>
      </c>
      <c r="DC59" s="164">
        <f t="shared" si="15"/>
        <v>11</v>
      </c>
      <c r="DD59" s="166">
        <f t="shared" si="5"/>
        <v>2159.3977949806308</v>
      </c>
      <c r="DE59" s="164">
        <f t="shared" si="6"/>
        <v>11</v>
      </c>
      <c r="DF59" s="166">
        <f t="shared" si="7"/>
        <v>2407.1768875846901</v>
      </c>
      <c r="DG59" s="164">
        <f t="shared" si="8"/>
        <v>11</v>
      </c>
      <c r="DH59" s="166">
        <f t="shared" si="9"/>
        <v>2654.9559801887494</v>
      </c>
      <c r="DI59" s="164">
        <f>IFERROR(INDEX(DC$46:DC$94,_xlfn.AGGREGATE(15,6,(ROW(DC$46:DC$94)-ROW(DC$46)+1)/(DC$46:DC$94&lt;&gt;""),ROWS(DI$1:DI14))),"")</f>
        <v>11</v>
      </c>
      <c r="DJ59" s="165">
        <f>IFERROR(INDEX(DD$46:DD$94,_xlfn.AGGREGATE(15,6,(ROW(DD$46:DD$94)-ROW(DD$46)+1)/(DD$46:DD$94&lt;&gt;""),ROWS(DJ$1:DJ14))),"")</f>
        <v>2159.3977949806308</v>
      </c>
      <c r="DK59" s="166">
        <f t="shared" si="10"/>
        <v>59</v>
      </c>
      <c r="DL59" s="164">
        <f>IFERROR(INDEX(DE$46:DE$94,_xlfn.AGGREGATE(15,6,(ROW(DE$46:DE$94)-ROW(DE$46)+1)/(DE$46:DE$94&lt;&gt;""),ROWS(DL$1:DL14))),"")</f>
        <v>11</v>
      </c>
      <c r="DM59" s="165">
        <f>IFERROR(INDEX(DF$46:DF$94,_xlfn.AGGREGATE(15,6,(ROW(DF$46:DF$94)-ROW(DF$46)+1)/(DF$46:DF$94&lt;&gt;""),ROWS(DM$1:DM14))),"")</f>
        <v>2407.1768875846901</v>
      </c>
      <c r="DN59" s="166">
        <f t="shared" si="11"/>
        <v>59</v>
      </c>
      <c r="DO59" s="164">
        <f>IFERROR(INDEX(DG$46:DG$94,_xlfn.AGGREGATE(15,6,(ROW(DG$46:DG$94)-ROW(DG$46)+1)/(DG$46:DG$94&lt;&gt;""),ROWS(DO$1:DO14))),"")</f>
        <v>11</v>
      </c>
      <c r="DP59" s="165">
        <f>IFERROR(INDEX(DH$46:DH$94,_xlfn.AGGREGATE(15,6,(ROW(DH$46:DH$94)-ROW(DH$46)+1)/(DH$46:DH$94&lt;&gt;""),ROWS(DP$1:DP14))),"")</f>
        <v>2654.9559801887494</v>
      </c>
      <c r="DQ59" s="166">
        <f t="shared" si="12"/>
        <v>59</v>
      </c>
      <c r="DV59" s="145">
        <v>2028</v>
      </c>
      <c r="DW59" s="146">
        <f t="shared" ca="1" si="13"/>
        <v>2574.0688766657931</v>
      </c>
      <c r="EU59" s="65"/>
      <c r="EV59" s="147"/>
    </row>
    <row r="60" spans="1:152" ht="13.8" x14ac:dyDescent="0.45">
      <c r="B60" s="128">
        <v>2026</v>
      </c>
      <c r="C60" s="1016">
        <v>2409.7259425205925</v>
      </c>
      <c r="D60" s="982">
        <v>2769.6071220468484</v>
      </c>
      <c r="E60" s="1017"/>
      <c r="F60" s="1077"/>
      <c r="G60" s="1109">
        <v>2170.421160667132</v>
      </c>
      <c r="H60" s="1107"/>
      <c r="I60" s="1112"/>
      <c r="J60" s="207"/>
      <c r="K60" s="204"/>
      <c r="L60" s="206"/>
      <c r="M60" s="204"/>
      <c r="N60" s="29" t="s">
        <v>758</v>
      </c>
      <c r="P60" s="128"/>
      <c r="Q60" s="176" t="str">
        <f t="shared" si="16"/>
        <v/>
      </c>
      <c r="R60" s="29">
        <v>12</v>
      </c>
      <c r="S60" s="154">
        <f t="shared" si="0"/>
        <v>2170.421160667132</v>
      </c>
      <c r="T60" s="154">
        <f t="shared" si="1"/>
        <v>2769.6071220468484</v>
      </c>
      <c r="U60" s="154">
        <f t="shared" si="2"/>
        <v>246.26206869684958</v>
      </c>
      <c r="W60" s="154">
        <f t="shared" si="14"/>
        <v>2203.6560063813417</v>
      </c>
      <c r="X60" s="154">
        <f>IF(U60="",#N/A,IF($B$36=$A$62,(SUM(C60:E60)/COUNTIF(C60:E60,"&gt;0")),IF($B$36=$A$63,(SUM(F60:H60)/COUNTIF(F60:H60,"&gt;0")),IF($B$36=$A$64,(SUM(J60:K60)/COUNTIF(J60:K60,"&gt;0")),IF($B$36=$A$65,(SUM(L60:M60)/COUNTIF(L60:M60,"&gt;0")),(IF($B$36=$A$46,IF(C60="",#N/A,C60),IF($B$36=$A$47,IF(D60="",#N/A,D60),IF($B$36=$A$48,IF(E60="",#N/A,E60),IF($B$36=$A$49,IF(F60="",#N/A,F60),IF($B$36=$A$50,IF(G60="",#N/A,G60),IF($B$36=$A$51,IF(H60="",#N/A,H60),IF($B$36=$A$52,IF('Total MSW TAM Data_Updated2020'!I60="",#N/A,'Total MSW TAM Data_Updated2020'!I60),IF($B$36=$A$53,IF(J60="",#N/A,J60),IF($B$36=$A$54,IF(K60="",#N/A,K60),IF($B$36=$A$55,IF(L60="",#N/A,L60),IF($B$36=$A$56,IF(M60="",#N/A,M60),IF(U60="",#N/A,(SUM(C60:Q60)/COUNTIFS(C60:Q60,"&gt;0"))))))))))))))))))))</f>
        <v>2449.9180750781911</v>
      </c>
      <c r="Y60" s="154">
        <f t="shared" si="3"/>
        <v>2696.1801437750405</v>
      </c>
      <c r="AA60" s="1133">
        <v>2206.1522245167166</v>
      </c>
      <c r="AB60" s="1133">
        <v>2442.0419175786424</v>
      </c>
      <c r="AC60" s="1133">
        <v>2677.9316106405681</v>
      </c>
      <c r="AD60" s="120"/>
      <c r="AE60" s="120"/>
      <c r="AF60" s="120"/>
      <c r="AG60" s="120"/>
      <c r="AH60" s="120"/>
      <c r="AI60" s="120"/>
      <c r="AJ60" s="120"/>
      <c r="AK60" s="120"/>
      <c r="AL60" s="120"/>
      <c r="AM60" s="120"/>
      <c r="AN60" s="120"/>
      <c r="BR60" s="180">
        <v>2024</v>
      </c>
      <c r="BS60" s="22">
        <v>10</v>
      </c>
      <c r="BT60" s="181">
        <f t="shared" si="18"/>
        <v>415.1640107588388</v>
      </c>
      <c r="BU60" s="182">
        <f t="shared" si="19"/>
        <v>1924.0853092551583</v>
      </c>
      <c r="BV60" s="205">
        <f t="shared" si="20"/>
        <v>2339.249320013997</v>
      </c>
      <c r="BY60" s="180">
        <v>2024</v>
      </c>
      <c r="BZ60" s="22">
        <v>10</v>
      </c>
      <c r="CA60" s="198">
        <f t="shared" ca="1" si="21"/>
        <v>-28.737572079732526</v>
      </c>
      <c r="CB60" s="198">
        <f t="shared" ca="1" si="22"/>
        <v>541.60932790966194</v>
      </c>
      <c r="CC60" s="186">
        <f t="shared" ca="1" si="32"/>
        <v>1842.470604548718</v>
      </c>
      <c r="CD60" s="205">
        <f t="shared" ca="1" si="23"/>
        <v>2355.3423603786473</v>
      </c>
      <c r="CG60" s="180">
        <v>2024</v>
      </c>
      <c r="CH60" s="22">
        <v>10</v>
      </c>
      <c r="CI60" s="198">
        <f t="shared" ca="1" si="24"/>
        <v>12.538393475246902</v>
      </c>
      <c r="CJ60" s="198">
        <f t="shared" ca="1" si="25"/>
        <v>-111.4909690163621</v>
      </c>
      <c r="CK60" s="198">
        <f t="shared" ca="1" si="26"/>
        <v>678.55366144630875</v>
      </c>
      <c r="CL60" s="186">
        <f t="shared" ca="1" si="27"/>
        <v>1808.2106982169528</v>
      </c>
      <c r="CM60" s="205">
        <f t="shared" ca="1" si="28"/>
        <v>2387.8117841221465</v>
      </c>
      <c r="CP60" s="180">
        <v>2024</v>
      </c>
      <c r="CQ60" s="22">
        <v>10</v>
      </c>
      <c r="CR60" s="181">
        <f t="shared" ca="1" si="29"/>
        <v>1974.5373970287794</v>
      </c>
      <c r="CS60" s="182">
        <f t="shared" ca="1" si="30"/>
        <v>1.1664584900086177</v>
      </c>
      <c r="CT60" s="205">
        <f t="shared" ca="1" si="31"/>
        <v>2303.2159106037366</v>
      </c>
      <c r="CZ60" s="164" t="b">
        <f t="shared" si="4"/>
        <v>1</v>
      </c>
      <c r="DA60" s="165" t="b">
        <f t="shared" si="4"/>
        <v>1</v>
      </c>
      <c r="DB60" s="166" t="b">
        <f t="shared" si="4"/>
        <v>1</v>
      </c>
      <c r="DC60" s="164">
        <f t="shared" si="15"/>
        <v>12</v>
      </c>
      <c r="DD60" s="166">
        <f t="shared" si="5"/>
        <v>2203.6560063813417</v>
      </c>
      <c r="DE60" s="164">
        <f t="shared" si="6"/>
        <v>12</v>
      </c>
      <c r="DF60" s="166">
        <f t="shared" si="7"/>
        <v>2449.9180750781911</v>
      </c>
      <c r="DG60" s="164">
        <f t="shared" si="8"/>
        <v>12</v>
      </c>
      <c r="DH60" s="166">
        <f t="shared" si="9"/>
        <v>2696.1801437750405</v>
      </c>
      <c r="DI60" s="164">
        <f>IFERROR(INDEX(DC$46:DC$94,_xlfn.AGGREGATE(15,6,(ROW(DC$46:DC$94)-ROW(DC$46)+1)/(DC$46:DC$94&lt;&gt;""),ROWS(DI$1:DI15))),"")</f>
        <v>12</v>
      </c>
      <c r="DJ60" s="165">
        <f>IFERROR(INDEX(DD$46:DD$94,_xlfn.AGGREGATE(15,6,(ROW(DD$46:DD$94)-ROW(DD$46)+1)/(DD$46:DD$94&lt;&gt;""),ROWS(DJ$1:DJ15))),"")</f>
        <v>2203.6560063813417</v>
      </c>
      <c r="DK60" s="166">
        <f t="shared" si="10"/>
        <v>60</v>
      </c>
      <c r="DL60" s="164">
        <f>IFERROR(INDEX(DE$46:DE$94,_xlfn.AGGREGATE(15,6,(ROW(DE$46:DE$94)-ROW(DE$46)+1)/(DE$46:DE$94&lt;&gt;""),ROWS(DL$1:DL15))),"")</f>
        <v>12</v>
      </c>
      <c r="DM60" s="165">
        <f>IFERROR(INDEX(DF$46:DF$94,_xlfn.AGGREGATE(15,6,(ROW(DF$46:DF$94)-ROW(DF$46)+1)/(DF$46:DF$94&lt;&gt;""),ROWS(DM$1:DM15))),"")</f>
        <v>2449.9180750781911</v>
      </c>
      <c r="DN60" s="166">
        <f t="shared" si="11"/>
        <v>60</v>
      </c>
      <c r="DO60" s="164">
        <f>IFERROR(INDEX(DG$46:DG$94,_xlfn.AGGREGATE(15,6,(ROW(DG$46:DG$94)-ROW(DG$46)+1)/(DG$46:DG$94&lt;&gt;""),ROWS(DO$1:DO15))),"")</f>
        <v>12</v>
      </c>
      <c r="DP60" s="165">
        <f>IFERROR(INDEX(DH$46:DH$94,_xlfn.AGGREGATE(15,6,(ROW(DH$46:DH$94)-ROW(DH$46)+1)/(DH$46:DH$94&lt;&gt;""),ROWS(DP$1:DP15))),"")</f>
        <v>2696.1801437750405</v>
      </c>
      <c r="DQ60" s="166">
        <f t="shared" si="12"/>
        <v>60</v>
      </c>
      <c r="DV60" s="145">
        <v>2029</v>
      </c>
      <c r="DW60" s="146">
        <f t="shared" ca="1" si="13"/>
        <v>2617.5035880785595</v>
      </c>
      <c r="EA60" s="55"/>
      <c r="EB60" s="55"/>
      <c r="EC60" s="55"/>
      <c r="ED60" s="55"/>
      <c r="EE60" s="55"/>
      <c r="EU60" s="65"/>
      <c r="EV60" s="147"/>
    </row>
    <row r="61" spans="1:152" ht="13.8" x14ac:dyDescent="0.45">
      <c r="B61" s="128">
        <v>2027</v>
      </c>
      <c r="C61" s="1016">
        <v>2447.7966799821029</v>
      </c>
      <c r="D61" s="982">
        <v>2819.932961316239</v>
      </c>
      <c r="E61" s="1017"/>
      <c r="F61" s="1077"/>
      <c r="G61" s="1109">
        <v>2217.4431660152977</v>
      </c>
      <c r="H61" s="1107"/>
      <c r="I61" s="1112"/>
      <c r="J61" s="207"/>
      <c r="K61" s="204"/>
      <c r="L61" s="206"/>
      <c r="M61" s="204"/>
      <c r="N61" s="29" t="s">
        <v>758</v>
      </c>
      <c r="P61" s="128"/>
      <c r="Q61" s="176" t="str">
        <f t="shared" si="16"/>
        <v/>
      </c>
      <c r="R61" s="29">
        <v>13</v>
      </c>
      <c r="S61" s="154">
        <f t="shared" si="0"/>
        <v>2217.4431660152977</v>
      </c>
      <c r="T61" s="154">
        <f t="shared" si="1"/>
        <v>2819.932961316239</v>
      </c>
      <c r="U61" s="154">
        <f t="shared" si="2"/>
        <v>248.2252800098743</v>
      </c>
      <c r="W61" s="154">
        <f t="shared" si="14"/>
        <v>2246.8323224280052</v>
      </c>
      <c r="X61" s="154">
        <f>IF(U61="",#N/A,IF($B$36=$A$62,(SUM(C61:E61)/COUNTIF(C61:E61,"&gt;0")),IF($B$36=$A$63,(SUM(F61:H61)/COUNTIF(F61:H61,"&gt;0")),IF($B$36=$A$64,(SUM(J61:K61)/COUNTIF(J61:K61,"&gt;0")),IF($B$36=$A$65,(SUM(L61:M61)/COUNTIF(L61:M61,"&gt;0")),(IF($B$36=$A$46,IF(C61="",#N/A,C61),IF($B$36=$A$47,IF(D61="",#N/A,D61),IF($B$36=$A$48,IF(E61="",#N/A,E61),IF($B$36=$A$49,IF(F61="",#N/A,F61),IF($B$36=$A$50,IF(G61="",#N/A,G61),IF($B$36=$A$51,IF(H61="",#N/A,H61),IF($B$36=$A$52,IF('Total MSW TAM Data_Updated2020'!I61="",#N/A,'Total MSW TAM Data_Updated2020'!I61),IF($B$36=$A$53,IF(J61="",#N/A,J61),IF($B$36=$A$54,IF(K61="",#N/A,K61),IF($B$36=$A$55,IF(L61="",#N/A,L61),IF($B$36=$A$56,IF(M61="",#N/A,M61),IF(U61="",#N/A,(SUM(C61:Q61)/COUNTIFS(C61:Q61,"&gt;0"))))))))))))))))))))</f>
        <v>2495.0576024378797</v>
      </c>
      <c r="Y61" s="154">
        <f t="shared" si="3"/>
        <v>2743.2828824477542</v>
      </c>
      <c r="AA61" s="1133">
        <v>2251.9046560110232</v>
      </c>
      <c r="AB61" s="1133">
        <v>2489.1118050597343</v>
      </c>
      <c r="AC61" s="1133">
        <v>2726.3189541084453</v>
      </c>
      <c r="AD61" s="89"/>
      <c r="AE61" s="89"/>
      <c r="AF61" s="89"/>
      <c r="AG61" s="89"/>
      <c r="AH61" s="89"/>
      <c r="AI61" s="89"/>
      <c r="AJ61" s="89"/>
      <c r="AK61" s="89"/>
      <c r="AL61" s="89"/>
      <c r="AM61" s="89"/>
      <c r="AN61" s="89"/>
      <c r="BR61" s="180">
        <v>2025</v>
      </c>
      <c r="BS61" s="22">
        <v>11</v>
      </c>
      <c r="BT61" s="181">
        <f t="shared" si="18"/>
        <v>456.68041183472263</v>
      </c>
      <c r="BU61" s="182">
        <f t="shared" si="19"/>
        <v>1924.0853092551583</v>
      </c>
      <c r="BV61" s="205">
        <f t="shared" si="20"/>
        <v>2380.765721089881</v>
      </c>
      <c r="BY61" s="180">
        <v>2025</v>
      </c>
      <c r="BZ61" s="22">
        <v>11</v>
      </c>
      <c r="CA61" s="198">
        <f t="shared" ca="1" si="21"/>
        <v>-34.772462216476356</v>
      </c>
      <c r="CB61" s="198">
        <f t="shared" ca="1" si="22"/>
        <v>595.77026070062811</v>
      </c>
      <c r="CC61" s="186">
        <f t="shared" ca="1" si="32"/>
        <v>1842.470604548718</v>
      </c>
      <c r="CD61" s="205">
        <f t="shared" ca="1" si="23"/>
        <v>2403.4684030328699</v>
      </c>
      <c r="CG61" s="180">
        <v>2025</v>
      </c>
      <c r="CH61" s="22">
        <v>11</v>
      </c>
      <c r="CI61" s="198">
        <f t="shared" ca="1" si="24"/>
        <v>16.688601715553627</v>
      </c>
      <c r="CJ61" s="198">
        <f t="shared" ca="1" si="25"/>
        <v>-134.90407250979814</v>
      </c>
      <c r="CK61" s="198">
        <f t="shared" ca="1" si="26"/>
        <v>746.40902759093967</v>
      </c>
      <c r="CL61" s="186">
        <f t="shared" ca="1" si="27"/>
        <v>1808.2106982169528</v>
      </c>
      <c r="CM61" s="205">
        <f t="shared" ca="1" si="28"/>
        <v>2436.4042550136478</v>
      </c>
      <c r="CP61" s="180">
        <v>2025</v>
      </c>
      <c r="CQ61" s="22">
        <v>11</v>
      </c>
      <c r="CR61" s="181">
        <f t="shared" ca="1" si="29"/>
        <v>1974.5373970287794</v>
      </c>
      <c r="CS61" s="182">
        <f t="shared" ca="1" si="30"/>
        <v>1.1845576922764061</v>
      </c>
      <c r="CT61" s="205">
        <f t="shared" ca="1" si="31"/>
        <v>2338.9534623378727</v>
      </c>
      <c r="CZ61" s="164" t="b">
        <f t="shared" si="4"/>
        <v>1</v>
      </c>
      <c r="DA61" s="165" t="b">
        <f t="shared" si="4"/>
        <v>1</v>
      </c>
      <c r="DB61" s="166" t="b">
        <f t="shared" si="4"/>
        <v>1</v>
      </c>
      <c r="DC61" s="164">
        <f t="shared" si="15"/>
        <v>13</v>
      </c>
      <c r="DD61" s="166">
        <f t="shared" si="5"/>
        <v>2246.8323224280052</v>
      </c>
      <c r="DE61" s="164">
        <f t="shared" si="6"/>
        <v>13</v>
      </c>
      <c r="DF61" s="166">
        <f t="shared" si="7"/>
        <v>2495.0576024378797</v>
      </c>
      <c r="DG61" s="164">
        <f t="shared" si="8"/>
        <v>13</v>
      </c>
      <c r="DH61" s="166">
        <f t="shared" si="9"/>
        <v>2743.2828824477542</v>
      </c>
      <c r="DI61" s="164">
        <f>IFERROR(INDEX(DC$46:DC$94,_xlfn.AGGREGATE(15,6,(ROW(DC$46:DC$94)-ROW(DC$46)+1)/(DC$46:DC$94&lt;&gt;""),ROWS(DI$1:DI16))),"")</f>
        <v>13</v>
      </c>
      <c r="DJ61" s="165">
        <f>IFERROR(INDEX(DD$46:DD$94,_xlfn.AGGREGATE(15,6,(ROW(DD$46:DD$94)-ROW(DD$46)+1)/(DD$46:DD$94&lt;&gt;""),ROWS(DJ$1:DJ16))),"")</f>
        <v>2246.8323224280052</v>
      </c>
      <c r="DK61" s="166">
        <f t="shared" si="10"/>
        <v>61</v>
      </c>
      <c r="DL61" s="164">
        <f>IFERROR(INDEX(DE$46:DE$94,_xlfn.AGGREGATE(15,6,(ROW(DE$46:DE$94)-ROW(DE$46)+1)/(DE$46:DE$94&lt;&gt;""),ROWS(DL$1:DL16))),"")</f>
        <v>13</v>
      </c>
      <c r="DM61" s="165">
        <f>IFERROR(INDEX(DF$46:DF$94,_xlfn.AGGREGATE(15,6,(ROW(DF$46:DF$94)-ROW(DF$46)+1)/(DF$46:DF$94&lt;&gt;""),ROWS(DM$1:DM16))),"")</f>
        <v>2495.0576024378797</v>
      </c>
      <c r="DN61" s="166">
        <f t="shared" si="11"/>
        <v>61</v>
      </c>
      <c r="DO61" s="164">
        <f>IFERROR(INDEX(DG$46:DG$94,_xlfn.AGGREGATE(15,6,(ROW(DG$46:DG$94)-ROW(DG$46)+1)/(DG$46:DG$94&lt;&gt;""),ROWS(DO$1:DO16))),"")</f>
        <v>13</v>
      </c>
      <c r="DP61" s="165">
        <f>IFERROR(INDEX(DH$46:DH$94,_xlfn.AGGREGATE(15,6,(ROW(DH$46:DH$94)-ROW(DH$46)+1)/(DH$46:DH$94&lt;&gt;""),ROWS(DP$1:DP16))),"")</f>
        <v>2743.2828824477542</v>
      </c>
      <c r="DQ61" s="166">
        <f t="shared" si="12"/>
        <v>61</v>
      </c>
      <c r="DV61" s="145">
        <v>2030</v>
      </c>
      <c r="DW61" s="146">
        <f t="shared" ca="1" si="13"/>
        <v>2659.836935523771</v>
      </c>
      <c r="EU61" s="65"/>
      <c r="EV61" s="147"/>
    </row>
    <row r="62" spans="1:152" ht="13.8" x14ac:dyDescent="0.45">
      <c r="A62" s="208" t="s">
        <v>93</v>
      </c>
      <c r="B62" s="128">
        <v>2028</v>
      </c>
      <c r="C62" s="1016">
        <v>2485.6495387503819</v>
      </c>
      <c r="D62" s="982">
        <v>2869.3105753712266</v>
      </c>
      <c r="E62" s="1017"/>
      <c r="F62" s="1077"/>
      <c r="G62" s="1109">
        <v>2264.234535528019</v>
      </c>
      <c r="H62" s="1107"/>
      <c r="I62" s="1112"/>
      <c r="J62" s="207"/>
      <c r="K62" s="204"/>
      <c r="L62" s="206"/>
      <c r="M62" s="204"/>
      <c r="N62" s="29" t="s">
        <v>758</v>
      </c>
      <c r="P62" s="128"/>
      <c r="Q62" s="176" t="str">
        <f t="shared" si="16"/>
        <v/>
      </c>
      <c r="R62" s="29">
        <v>14</v>
      </c>
      <c r="S62" s="154">
        <f t="shared" si="0"/>
        <v>2264.234535528019</v>
      </c>
      <c r="T62" s="154">
        <f t="shared" si="1"/>
        <v>2869.3105753712266</v>
      </c>
      <c r="U62" s="154">
        <f t="shared" si="2"/>
        <v>249.96386598094955</v>
      </c>
      <c r="W62" s="154">
        <f t="shared" si="14"/>
        <v>2289.7676839022597</v>
      </c>
      <c r="X62" s="154">
        <f>IF(U62="",#N/A,IF($B$36=$A$62,(SUM(C62:E62)/COUNTIF(C62:E62,"&gt;0")),IF($B$36=$A$63,(SUM(F62:H62)/COUNTIF(F62:H62,"&gt;0")),IF($B$36=$A$64,(SUM(J62:K62)/COUNTIF(J62:K62,"&gt;0")),IF($B$36=$A$65,(SUM(L62:M62)/COUNTIF(L62:M62,"&gt;0")),(IF($B$36=$A$46,IF(C62="",#N/A,C62),IF($B$36=$A$47,IF(D62="",#N/A,D62),IF($B$36=$A$48,IF(E62="",#N/A,E62),IF($B$36=$A$49,IF(F62="",#N/A,F62),IF($B$36=$A$50,IF(G62="",#N/A,G62),IF($B$36=$A$51,IF(H62="",#N/A,H62),IF($B$36=$A$52,IF('Total MSW TAM Data_Updated2020'!I62="",#N/A,'Total MSW TAM Data_Updated2020'!I62),IF($B$36=$A$53,IF(J62="",#N/A,J62),IF($B$36=$A$54,IF(K62="",#N/A,K62),IF($B$36=$A$55,IF(L62="",#N/A,L62),IF($B$36=$A$56,IF(M62="",#N/A,M62),IF(U62="",#N/A,(SUM(C62:Q62)/COUNTIFS(C62:Q62,"&gt;0"))))))))))))))))))))</f>
        <v>2539.731549883209</v>
      </c>
      <c r="Y62" s="154">
        <f t="shared" si="3"/>
        <v>2789.6954158641583</v>
      </c>
      <c r="AA62" s="1133">
        <v>2297.6467451847061</v>
      </c>
      <c r="AB62" s="1133">
        <v>2535.9468423081339</v>
      </c>
      <c r="AC62" s="1133">
        <v>2774.2469394315617</v>
      </c>
      <c r="AD62" s="114"/>
      <c r="AE62" s="114"/>
      <c r="AF62" s="114"/>
      <c r="AG62" s="114"/>
      <c r="AH62" s="114"/>
      <c r="AI62" s="114"/>
      <c r="AJ62" s="114"/>
      <c r="AK62" s="114"/>
      <c r="AL62" s="114"/>
      <c r="AM62" s="114"/>
      <c r="AN62" s="114"/>
      <c r="BR62" s="180">
        <v>2026</v>
      </c>
      <c r="BS62" s="22">
        <v>12</v>
      </c>
      <c r="BT62" s="181">
        <f t="shared" si="18"/>
        <v>498.19681291060652</v>
      </c>
      <c r="BU62" s="182">
        <f t="shared" si="19"/>
        <v>1924.0853092551583</v>
      </c>
      <c r="BV62" s="205">
        <f t="shared" si="20"/>
        <v>2422.282122165765</v>
      </c>
      <c r="BY62" s="180">
        <v>2026</v>
      </c>
      <c r="BZ62" s="22">
        <v>12</v>
      </c>
      <c r="CA62" s="198">
        <f t="shared" ca="1" si="21"/>
        <v>-41.382103794814839</v>
      </c>
      <c r="CB62" s="198">
        <f t="shared" ca="1" si="22"/>
        <v>649.93119349159429</v>
      </c>
      <c r="CC62" s="186">
        <f t="shared" ca="1" si="32"/>
        <v>1842.470604548718</v>
      </c>
      <c r="CD62" s="205">
        <f t="shared" ca="1" si="23"/>
        <v>2451.0196942454977</v>
      </c>
      <c r="CG62" s="180">
        <v>2026</v>
      </c>
      <c r="CH62" s="22">
        <v>12</v>
      </c>
      <c r="CI62" s="198">
        <f t="shared" ca="1" si="24"/>
        <v>21.666343925226649</v>
      </c>
      <c r="CJ62" s="198">
        <f t="shared" ca="1" si="25"/>
        <v>-160.54699538356144</v>
      </c>
      <c r="CK62" s="198">
        <f t="shared" ca="1" si="26"/>
        <v>814.26439373557059</v>
      </c>
      <c r="CL62" s="186">
        <f t="shared" ca="1" si="27"/>
        <v>1808.2106982169528</v>
      </c>
      <c r="CM62" s="205">
        <f t="shared" ca="1" si="28"/>
        <v>2483.5944404941883</v>
      </c>
      <c r="CP62" s="180">
        <v>2026</v>
      </c>
      <c r="CQ62" s="22">
        <v>12</v>
      </c>
      <c r="CR62" s="181">
        <f t="shared" ca="1" si="29"/>
        <v>1974.5373970287794</v>
      </c>
      <c r="CS62" s="182">
        <f t="shared" ca="1" si="30"/>
        <v>1.2029377284748795</v>
      </c>
      <c r="CT62" s="205">
        <f t="shared" ca="1" si="31"/>
        <v>2375.2455311705012</v>
      </c>
      <c r="CZ62" s="164" t="b">
        <f t="shared" si="4"/>
        <v>1</v>
      </c>
      <c r="DA62" s="165" t="b">
        <f t="shared" si="4"/>
        <v>1</v>
      </c>
      <c r="DB62" s="166" t="b">
        <f t="shared" si="4"/>
        <v>1</v>
      </c>
      <c r="DC62" s="164">
        <f t="shared" si="15"/>
        <v>14</v>
      </c>
      <c r="DD62" s="166">
        <f t="shared" si="5"/>
        <v>2289.7676839022597</v>
      </c>
      <c r="DE62" s="164">
        <f t="shared" si="6"/>
        <v>14</v>
      </c>
      <c r="DF62" s="166">
        <f t="shared" si="7"/>
        <v>2539.731549883209</v>
      </c>
      <c r="DG62" s="164">
        <f t="shared" si="8"/>
        <v>14</v>
      </c>
      <c r="DH62" s="166">
        <f t="shared" si="9"/>
        <v>2789.6954158641583</v>
      </c>
      <c r="DI62" s="164">
        <f>IFERROR(INDEX(DC$46:DC$94,_xlfn.AGGREGATE(15,6,(ROW(DC$46:DC$94)-ROW(DC$46)+1)/(DC$46:DC$94&lt;&gt;""),ROWS(DI$1:DI17))),"")</f>
        <v>14</v>
      </c>
      <c r="DJ62" s="165">
        <f>IFERROR(INDEX(DD$46:DD$94,_xlfn.AGGREGATE(15,6,(ROW(DD$46:DD$94)-ROW(DD$46)+1)/(DD$46:DD$94&lt;&gt;""),ROWS(DJ$1:DJ17))),"")</f>
        <v>2289.7676839022597</v>
      </c>
      <c r="DK62" s="166">
        <f t="shared" si="10"/>
        <v>62</v>
      </c>
      <c r="DL62" s="164">
        <f>IFERROR(INDEX(DE$46:DE$94,_xlfn.AGGREGATE(15,6,(ROW(DE$46:DE$94)-ROW(DE$46)+1)/(DE$46:DE$94&lt;&gt;""),ROWS(DL$1:DL17))),"")</f>
        <v>14</v>
      </c>
      <c r="DM62" s="165">
        <f>IFERROR(INDEX(DF$46:DF$94,_xlfn.AGGREGATE(15,6,(ROW(DF$46:DF$94)-ROW(DF$46)+1)/(DF$46:DF$94&lt;&gt;""),ROWS(DM$1:DM17))),"")</f>
        <v>2539.731549883209</v>
      </c>
      <c r="DN62" s="166">
        <f t="shared" si="11"/>
        <v>62</v>
      </c>
      <c r="DO62" s="164">
        <f>IFERROR(INDEX(DG$46:DG$94,_xlfn.AGGREGATE(15,6,(ROW(DG$46:DG$94)-ROW(DG$46)+1)/(DG$46:DG$94&lt;&gt;""),ROWS(DO$1:DO17))),"")</f>
        <v>14</v>
      </c>
      <c r="DP62" s="165">
        <f>IFERROR(INDEX(DH$46:DH$94,_xlfn.AGGREGATE(15,6,(ROW(DH$46:DH$94)-ROW(DH$46)+1)/(DH$46:DH$94&lt;&gt;""),ROWS(DP$1:DP17))),"")</f>
        <v>2789.6954158641583</v>
      </c>
      <c r="DQ62" s="166">
        <f t="shared" si="12"/>
        <v>62</v>
      </c>
      <c r="DV62" s="145">
        <v>2031</v>
      </c>
      <c r="DW62" s="146">
        <f t="shared" ca="1" si="13"/>
        <v>2701.1441493622792</v>
      </c>
      <c r="EU62" s="65"/>
      <c r="EV62" s="147"/>
    </row>
    <row r="63" spans="1:152" ht="13.8" x14ac:dyDescent="0.45">
      <c r="A63" s="209" t="s">
        <v>94</v>
      </c>
      <c r="B63" s="128">
        <v>2029</v>
      </c>
      <c r="C63" s="1016">
        <v>2523.2977034894288</v>
      </c>
      <c r="D63" s="982">
        <v>2917.7624169615133</v>
      </c>
      <c r="E63" s="1017"/>
      <c r="F63" s="1077"/>
      <c r="G63" s="1109">
        <v>2310.7947877099041</v>
      </c>
      <c r="H63" s="1107"/>
      <c r="I63" s="1112"/>
      <c r="J63" s="207"/>
      <c r="K63" s="204"/>
      <c r="L63" s="206"/>
      <c r="M63" s="204"/>
      <c r="N63" s="29" t="s">
        <v>758</v>
      </c>
      <c r="P63" s="128"/>
      <c r="Q63" s="176" t="str">
        <f t="shared" si="16"/>
        <v/>
      </c>
      <c r="R63" s="29">
        <v>15</v>
      </c>
      <c r="S63" s="154">
        <f t="shared" si="0"/>
        <v>2310.7947877099041</v>
      </c>
      <c r="T63" s="154">
        <f t="shared" si="1"/>
        <v>2917.7624169615133</v>
      </c>
      <c r="U63" s="154">
        <f t="shared" si="2"/>
        <v>251.47776626898238</v>
      </c>
      <c r="W63" s="154">
        <f t="shared" si="14"/>
        <v>2332.4738697846328</v>
      </c>
      <c r="X63" s="154">
        <f>IF(U63="",#N/A,IF($B$36=$A$62,(SUM(C63:E63)/COUNTIF(C63:E63,"&gt;0")),IF($B$36=$A$63,(SUM(F63:H63)/COUNTIF(F63:H63,"&gt;0")),IF($B$36=$A$64,(SUM(J63:K63)/COUNTIF(J63:K63,"&gt;0")),IF($B$36=$A$65,(SUM(L63:M63)/COUNTIF(L63:M63,"&gt;0")),(IF($B$36=$A$46,IF(C63="",#N/A,C63),IF($B$36=$A$47,IF(D63="",#N/A,D63),IF($B$36=$A$48,IF(E63="",#N/A,E63),IF($B$36=$A$49,IF(F63="",#N/A,F63),IF($B$36=$A$50,IF(G63="",#N/A,G63),IF($B$36=$A$51,IF(H63="",#N/A,H63),IF($B$36=$A$52,IF('Total MSW TAM Data_Updated2020'!I63="",#N/A,'Total MSW TAM Data_Updated2020'!I63),IF($B$36=$A$53,IF(J63="",#N/A,J63),IF($B$36=$A$54,IF(K63="",#N/A,K63),IF($B$36=$A$55,IF(L63="",#N/A,L63),IF($B$36=$A$56,IF(M63="",#N/A,M63),IF(U63="",#N/A,(SUM(C63:Q63)/COUNTIFS(C63:Q63,"&gt;0"))))))))))))))))))))</f>
        <v>2583.9516360536154</v>
      </c>
      <c r="Y63" s="154">
        <f t="shared" si="3"/>
        <v>2835.429402322598</v>
      </c>
      <c r="AA63" s="1133">
        <v>2343.3853725697977</v>
      </c>
      <c r="AB63" s="1133">
        <v>2582.5519206119802</v>
      </c>
      <c r="AC63" s="1133">
        <v>2821.7184686541627</v>
      </c>
      <c r="AD63" s="89"/>
      <c r="AE63" s="89"/>
      <c r="AF63" s="89"/>
      <c r="AG63" s="89"/>
      <c r="AH63" s="89"/>
      <c r="AI63" s="89"/>
      <c r="AJ63" s="89"/>
      <c r="AK63" s="89"/>
      <c r="AL63" s="89"/>
      <c r="AM63" s="89"/>
      <c r="AN63" s="89"/>
      <c r="BR63" s="180">
        <v>2027</v>
      </c>
      <c r="BS63" s="22">
        <v>13</v>
      </c>
      <c r="BT63" s="181">
        <f t="shared" si="18"/>
        <v>539.71321398649036</v>
      </c>
      <c r="BU63" s="182">
        <f t="shared" si="19"/>
        <v>1924.0853092551583</v>
      </c>
      <c r="BV63" s="205">
        <f t="shared" si="20"/>
        <v>2463.7985232416486</v>
      </c>
      <c r="BY63" s="180">
        <v>2027</v>
      </c>
      <c r="BZ63" s="22">
        <v>13</v>
      </c>
      <c r="CA63" s="198">
        <f t="shared" ca="1" si="21"/>
        <v>-48.566496814747971</v>
      </c>
      <c r="CB63" s="198">
        <f t="shared" ca="1" si="22"/>
        <v>704.09212628256046</v>
      </c>
      <c r="CC63" s="186">
        <f t="shared" ca="1" si="32"/>
        <v>1842.470604548718</v>
      </c>
      <c r="CD63" s="205">
        <f t="shared" ca="1" si="23"/>
        <v>2497.9962340165303</v>
      </c>
      <c r="CG63" s="180">
        <v>2027</v>
      </c>
      <c r="CH63" s="22">
        <v>13</v>
      </c>
      <c r="CI63" s="198">
        <f t="shared" ca="1" si="24"/>
        <v>27.546850465117444</v>
      </c>
      <c r="CJ63" s="198">
        <f t="shared" ca="1" si="25"/>
        <v>-188.41973763765196</v>
      </c>
      <c r="CK63" s="198">
        <f t="shared" ca="1" si="26"/>
        <v>882.1197598802014</v>
      </c>
      <c r="CL63" s="186">
        <f t="shared" ca="1" si="27"/>
        <v>1808.2106982169528</v>
      </c>
      <c r="CM63" s="205">
        <f t="shared" ca="1" si="28"/>
        <v>2529.4575709246196</v>
      </c>
      <c r="CP63" s="180">
        <v>2027</v>
      </c>
      <c r="CQ63" s="22">
        <v>13</v>
      </c>
      <c r="CR63" s="181">
        <f t="shared" ca="1" si="29"/>
        <v>1974.5373970287794</v>
      </c>
      <c r="CS63" s="182">
        <f t="shared" ca="1" si="30"/>
        <v>1.2216029561273953</v>
      </c>
      <c r="CT63" s="205">
        <f t="shared" ca="1" si="31"/>
        <v>2412.1007211944493</v>
      </c>
      <c r="CZ63" s="164" t="b">
        <f t="shared" si="4"/>
        <v>1</v>
      </c>
      <c r="DA63" s="165" t="b">
        <f t="shared" si="4"/>
        <v>1</v>
      </c>
      <c r="DB63" s="166" t="b">
        <f t="shared" si="4"/>
        <v>1</v>
      </c>
      <c r="DC63" s="164">
        <f t="shared" si="15"/>
        <v>15</v>
      </c>
      <c r="DD63" s="166">
        <f t="shared" si="5"/>
        <v>2332.4738697846328</v>
      </c>
      <c r="DE63" s="164">
        <f t="shared" si="6"/>
        <v>15</v>
      </c>
      <c r="DF63" s="166">
        <f t="shared" si="7"/>
        <v>2583.9516360536154</v>
      </c>
      <c r="DG63" s="164">
        <f t="shared" si="8"/>
        <v>15</v>
      </c>
      <c r="DH63" s="166">
        <f t="shared" si="9"/>
        <v>2835.429402322598</v>
      </c>
      <c r="DI63" s="164">
        <f>IFERROR(INDEX(DC$46:DC$94,_xlfn.AGGREGATE(15,6,(ROW(DC$46:DC$94)-ROW(DC$46)+1)/(DC$46:DC$94&lt;&gt;""),ROWS(DI$1:DI18))),"")</f>
        <v>15</v>
      </c>
      <c r="DJ63" s="165">
        <f>IFERROR(INDEX(DD$46:DD$94,_xlfn.AGGREGATE(15,6,(ROW(DD$46:DD$94)-ROW(DD$46)+1)/(DD$46:DD$94&lt;&gt;""),ROWS(DJ$1:DJ18))),"")</f>
        <v>2332.4738697846328</v>
      </c>
      <c r="DK63" s="166">
        <f t="shared" si="10"/>
        <v>63</v>
      </c>
      <c r="DL63" s="164">
        <f>IFERROR(INDEX(DE$46:DE$94,_xlfn.AGGREGATE(15,6,(ROW(DE$46:DE$94)-ROW(DE$46)+1)/(DE$46:DE$94&lt;&gt;""),ROWS(DL$1:DL18))),"")</f>
        <v>15</v>
      </c>
      <c r="DM63" s="165">
        <f>IFERROR(INDEX(DF$46:DF$94,_xlfn.AGGREGATE(15,6,(ROW(DF$46:DF$94)-ROW(DF$46)+1)/(DF$46:DF$94&lt;&gt;""),ROWS(DM$1:DM18))),"")</f>
        <v>2583.9516360536154</v>
      </c>
      <c r="DN63" s="166">
        <f t="shared" si="11"/>
        <v>63</v>
      </c>
      <c r="DO63" s="164">
        <f>IFERROR(INDEX(DG$46:DG$94,_xlfn.AGGREGATE(15,6,(ROW(DG$46:DG$94)-ROW(DG$46)+1)/(DG$46:DG$94&lt;&gt;""),ROWS(DO$1:DO18))),"")</f>
        <v>15</v>
      </c>
      <c r="DP63" s="165">
        <f>IFERROR(INDEX(DH$46:DH$94,_xlfn.AGGREGATE(15,6,(ROW(DH$46:DH$94)-ROW(DH$46)+1)/(DH$46:DH$94&lt;&gt;""),ROWS(DP$1:DP18))),"")</f>
        <v>2835.429402322598</v>
      </c>
      <c r="DQ63" s="166">
        <f t="shared" si="12"/>
        <v>63</v>
      </c>
      <c r="DV63" s="145">
        <v>2032</v>
      </c>
      <c r="DW63" s="146">
        <f t="shared" ca="1" si="13"/>
        <v>2741.5004599549356</v>
      </c>
      <c r="EU63" s="65"/>
      <c r="EV63" s="147"/>
    </row>
    <row r="64" spans="1:152" ht="13.8" x14ac:dyDescent="0.45">
      <c r="A64" s="210" t="s">
        <v>95</v>
      </c>
      <c r="B64" s="128">
        <v>2030</v>
      </c>
      <c r="C64" s="1016">
        <v>2565.7495560591237</v>
      </c>
      <c r="D64" s="982">
        <v>2969.3928213314848</v>
      </c>
      <c r="E64" s="1017"/>
      <c r="F64" s="1077"/>
      <c r="G64" s="1109">
        <v>2357.1223285170486</v>
      </c>
      <c r="H64" s="1107"/>
      <c r="I64" s="1112"/>
      <c r="J64" s="207"/>
      <c r="K64" s="204"/>
      <c r="L64" s="206"/>
      <c r="M64" s="204"/>
      <c r="N64" s="29" t="s">
        <v>758</v>
      </c>
      <c r="P64" s="128"/>
      <c r="Q64" s="176" t="str">
        <f t="shared" si="16"/>
        <v/>
      </c>
      <c r="R64" s="29">
        <v>16</v>
      </c>
      <c r="S64" s="154">
        <f t="shared" si="0"/>
        <v>2357.1223285170486</v>
      </c>
      <c r="T64" s="154">
        <f t="shared" si="1"/>
        <v>2969.3928213314848</v>
      </c>
      <c r="U64" s="154">
        <f t="shared" si="2"/>
        <v>254.14964140636582</v>
      </c>
      <c r="W64" s="154">
        <f t="shared" si="14"/>
        <v>2376.6052605628533</v>
      </c>
      <c r="X64" s="154">
        <f>IF(U64="",#N/A,IF($B$36=$A$62,(SUM(C64:E64)/COUNTIF(C64:E64,"&gt;0")),IF($B$36=$A$63,(SUM(F64:H64)/COUNTIF(F64:H64,"&gt;0")),IF($B$36=$A$64,(SUM(J64:K64)/COUNTIF(J64:K64,"&gt;0")),IF($B$36=$A$65,(SUM(L64:M64)/COUNTIF(L64:M64,"&gt;0")),(IF($B$36=$A$46,IF(C64="",#N/A,C64),IF($B$36=$A$47,IF(D64="",#N/A,D64),IF($B$36=$A$48,IF(E64="",#N/A,E64),IF($B$36=$A$49,IF(F64="",#N/A,F64),IF($B$36=$A$50,IF(G64="",#N/A,G64),IF($B$36=$A$51,IF(H64="",#N/A,H64),IF($B$36=$A$52,IF('Total MSW TAM Data_Updated2020'!I64="",#N/A,'Total MSW TAM Data_Updated2020'!I64),IF($B$36=$A$53,IF(J64="",#N/A,J64),IF($B$36=$A$54,IF(K64="",#N/A,K64),IF($B$36=$A$55,IF(L64="",#N/A,L64),IF($B$36=$A$56,IF(M64="",#N/A,M64),IF(U64="",#N/A,(SUM(C64:Q64)/COUNTIFS(C64:Q64,"&gt;0"))))))))))))))))))))</f>
        <v>2630.7549019692192</v>
      </c>
      <c r="Y64" s="154">
        <f t="shared" si="3"/>
        <v>2884.904543375585</v>
      </c>
      <c r="AA64" s="1133">
        <v>2390.6978697124614</v>
      </c>
      <c r="AB64" s="1133">
        <v>2631.964314994379</v>
      </c>
      <c r="AC64" s="1133">
        <v>2873.2307602762967</v>
      </c>
      <c r="AD64" s="89"/>
      <c r="AE64" s="89"/>
      <c r="AF64" s="89"/>
      <c r="AG64" s="89"/>
      <c r="AH64" s="89"/>
      <c r="AI64" s="89"/>
      <c r="AJ64" s="89"/>
      <c r="AK64" s="89"/>
      <c r="AL64" s="89"/>
      <c r="AM64" s="89"/>
      <c r="AN64" s="89"/>
      <c r="BR64" s="180">
        <v>2028</v>
      </c>
      <c r="BS64" s="22">
        <v>14</v>
      </c>
      <c r="BT64" s="181">
        <f t="shared" si="18"/>
        <v>581.22961506237425</v>
      </c>
      <c r="BU64" s="182">
        <f t="shared" si="19"/>
        <v>1924.0853092551583</v>
      </c>
      <c r="BV64" s="205">
        <f t="shared" si="20"/>
        <v>2505.3149243175326</v>
      </c>
      <c r="BY64" s="180">
        <v>2028</v>
      </c>
      <c r="BZ64" s="22">
        <v>14</v>
      </c>
      <c r="CA64" s="198">
        <f t="shared" ca="1" si="21"/>
        <v>-56.325641276275753</v>
      </c>
      <c r="CB64" s="198">
        <f t="shared" ca="1" si="22"/>
        <v>758.25305907352674</v>
      </c>
      <c r="CC64" s="186">
        <f t="shared" ca="1" si="32"/>
        <v>1842.470604548718</v>
      </c>
      <c r="CD64" s="205">
        <f t="shared" ca="1" si="23"/>
        <v>2544.3980223459689</v>
      </c>
      <c r="CG64" s="180">
        <v>2028</v>
      </c>
      <c r="CH64" s="22">
        <v>14</v>
      </c>
      <c r="CI64" s="198">
        <f t="shared" ca="1" si="24"/>
        <v>34.405351696077503</v>
      </c>
      <c r="CJ64" s="198">
        <f t="shared" ca="1" si="25"/>
        <v>-218.52229927206972</v>
      </c>
      <c r="CK64" s="198">
        <f t="shared" ca="1" si="26"/>
        <v>949.97512602483232</v>
      </c>
      <c r="CL64" s="186">
        <f t="shared" ca="1" si="27"/>
        <v>1808.2106982169528</v>
      </c>
      <c r="CM64" s="205">
        <f t="shared" ca="1" si="28"/>
        <v>2574.0688766657931</v>
      </c>
      <c r="CP64" s="180">
        <v>2028</v>
      </c>
      <c r="CQ64" s="22">
        <v>14</v>
      </c>
      <c r="CR64" s="181">
        <f t="shared" ca="1" si="29"/>
        <v>1974.5373970287794</v>
      </c>
      <c r="CS64" s="182">
        <f t="shared" ca="1" si="30"/>
        <v>1.2405578003702578</v>
      </c>
      <c r="CT64" s="205">
        <f t="shared" ca="1" si="31"/>
        <v>2449.5277700068368</v>
      </c>
      <c r="CZ64" s="164" t="b">
        <f t="shared" si="4"/>
        <v>1</v>
      </c>
      <c r="DA64" s="165" t="b">
        <f t="shared" si="4"/>
        <v>1</v>
      </c>
      <c r="DB64" s="166" t="b">
        <f t="shared" si="4"/>
        <v>1</v>
      </c>
      <c r="DC64" s="164">
        <f t="shared" si="15"/>
        <v>16</v>
      </c>
      <c r="DD64" s="166">
        <f t="shared" si="5"/>
        <v>2376.6052605628533</v>
      </c>
      <c r="DE64" s="164">
        <f t="shared" si="6"/>
        <v>16</v>
      </c>
      <c r="DF64" s="166">
        <f t="shared" si="7"/>
        <v>2630.7549019692192</v>
      </c>
      <c r="DG64" s="164">
        <f t="shared" si="8"/>
        <v>16</v>
      </c>
      <c r="DH64" s="166">
        <f t="shared" si="9"/>
        <v>2884.904543375585</v>
      </c>
      <c r="DI64" s="164">
        <f>IFERROR(INDEX(DC$46:DC$94,_xlfn.AGGREGATE(15,6,(ROW(DC$46:DC$94)-ROW(DC$46)+1)/(DC$46:DC$94&lt;&gt;""),ROWS(DI$1:DI19))),"")</f>
        <v>16</v>
      </c>
      <c r="DJ64" s="165">
        <f>IFERROR(INDEX(DD$46:DD$94,_xlfn.AGGREGATE(15,6,(ROW(DD$46:DD$94)-ROW(DD$46)+1)/(DD$46:DD$94&lt;&gt;""),ROWS(DJ$1:DJ19))),"")</f>
        <v>2376.6052605628533</v>
      </c>
      <c r="DK64" s="166">
        <f t="shared" si="10"/>
        <v>64</v>
      </c>
      <c r="DL64" s="164">
        <f>IFERROR(INDEX(DE$46:DE$94,_xlfn.AGGREGATE(15,6,(ROW(DE$46:DE$94)-ROW(DE$46)+1)/(DE$46:DE$94&lt;&gt;""),ROWS(DL$1:DL19))),"")</f>
        <v>16</v>
      </c>
      <c r="DM64" s="165">
        <f>IFERROR(INDEX(DF$46:DF$94,_xlfn.AGGREGATE(15,6,(ROW(DF$46:DF$94)-ROW(DF$46)+1)/(DF$46:DF$94&lt;&gt;""),ROWS(DM$1:DM19))),"")</f>
        <v>2630.7549019692192</v>
      </c>
      <c r="DN64" s="166">
        <f t="shared" si="11"/>
        <v>64</v>
      </c>
      <c r="DO64" s="164">
        <f>IFERROR(INDEX(DG$46:DG$94,_xlfn.AGGREGATE(15,6,(ROW(DG$46:DG$94)-ROW(DG$46)+1)/(DG$46:DG$94&lt;&gt;""),ROWS(DO$1:DO19))),"")</f>
        <v>16</v>
      </c>
      <c r="DP64" s="165">
        <f>IFERROR(INDEX(DH$46:DH$94,_xlfn.AGGREGATE(15,6,(ROW(DH$46:DH$94)-ROW(DH$46)+1)/(DH$46:DH$94&lt;&gt;""),ROWS(DP$1:DP19))),"")</f>
        <v>2884.904543375585</v>
      </c>
      <c r="DQ64" s="166">
        <f t="shared" si="12"/>
        <v>64</v>
      </c>
      <c r="DV64" s="145">
        <v>2033</v>
      </c>
      <c r="DW64" s="146">
        <f t="shared" ca="1" si="13"/>
        <v>2780.9810976625909</v>
      </c>
      <c r="EU64" s="65"/>
      <c r="EV64" s="147"/>
    </row>
    <row r="65" spans="1:152" ht="13.8" x14ac:dyDescent="0.45">
      <c r="A65" s="211" t="s">
        <v>96</v>
      </c>
      <c r="B65" s="128">
        <v>2031</v>
      </c>
      <c r="C65" s="1016">
        <v>2598.0155026592201</v>
      </c>
      <c r="D65" s="982">
        <v>3011.9915738420514</v>
      </c>
      <c r="E65" s="1017"/>
      <c r="F65" s="1077"/>
      <c r="G65" s="1109">
        <v>2403.1959920154263</v>
      </c>
      <c r="H65" s="1107"/>
      <c r="I65" s="1112"/>
      <c r="J65" s="207"/>
      <c r="K65" s="204"/>
      <c r="L65" s="206"/>
      <c r="M65" s="204"/>
      <c r="N65" s="29" t="s">
        <v>758</v>
      </c>
      <c r="P65" s="128"/>
      <c r="Q65" s="176" t="str">
        <f t="shared" si="16"/>
        <v/>
      </c>
      <c r="R65" s="29">
        <v>17</v>
      </c>
      <c r="S65" s="154">
        <f t="shared" si="0"/>
        <v>2403.1959920154263</v>
      </c>
      <c r="T65" s="154">
        <f t="shared" si="1"/>
        <v>3011.9915738420514</v>
      </c>
      <c r="U65" s="154">
        <f t="shared" si="2"/>
        <v>253.85098202840683</v>
      </c>
      <c r="W65" s="154">
        <f t="shared" si="14"/>
        <v>2417.2167074771592</v>
      </c>
      <c r="X65" s="154">
        <f>IF(U65="",#N/A,IF($B$36=$A$62,(SUM(C65:E65)/COUNTIF(C65:E65,"&gt;0")),IF($B$36=$A$63,(SUM(F65:H65)/COUNTIF(F65:H65,"&gt;0")),IF($B$36=$A$64,(SUM(J65:K65)/COUNTIF(J65:K65,"&gt;0")),IF($B$36=$A$65,(SUM(L65:M65)/COUNTIF(L65:M65,"&gt;0")),(IF($B$36=$A$46,IF(C65="",#N/A,C65),IF($B$36=$A$47,IF(D65="",#N/A,D65),IF($B$36=$A$48,IF(E65="",#N/A,E65),IF($B$36=$A$49,IF(F65="",#N/A,F65),IF($B$36=$A$50,IF(G65="",#N/A,G65),IF($B$36=$A$51,IF(H65="",#N/A,H65),IF($B$36=$A$52,IF('Total MSW TAM Data_Updated2020'!I65="",#N/A,'Total MSW TAM Data_Updated2020'!I65),IF($B$36=$A$53,IF(J65="",#N/A,J65),IF($B$36=$A$54,IF(K65="",#N/A,K65),IF($B$36=$A$55,IF(L65="",#N/A,L65),IF($B$36=$A$56,IF(M65="",#N/A,M65),IF(U65="",#N/A,(SUM(C65:Q65)/COUNTIFS(C65:Q65,"&gt;0"))))))))))))))))))))</f>
        <v>2671.0676895055658</v>
      </c>
      <c r="Y65" s="154">
        <f t="shared" si="3"/>
        <v>2924.9186715339724</v>
      </c>
      <c r="AA65" s="1133">
        <v>2434.8586459234484</v>
      </c>
      <c r="AB65" s="1133">
        <v>2675.0918435535782</v>
      </c>
      <c r="AC65" s="1133">
        <v>2915.325041183708</v>
      </c>
      <c r="AD65" s="89"/>
      <c r="AE65" s="89"/>
      <c r="AF65" s="89"/>
      <c r="AG65" s="89"/>
      <c r="AH65" s="89"/>
      <c r="AI65" s="89"/>
      <c r="AJ65" s="89"/>
      <c r="AK65" s="89"/>
      <c r="AL65" s="89"/>
      <c r="AM65" s="89"/>
      <c r="AN65" s="89"/>
      <c r="BR65" s="180">
        <v>2029</v>
      </c>
      <c r="BS65" s="22">
        <v>15</v>
      </c>
      <c r="BT65" s="181">
        <f t="shared" si="18"/>
        <v>622.74601613825814</v>
      </c>
      <c r="BU65" s="182">
        <f t="shared" si="19"/>
        <v>1924.0853092551583</v>
      </c>
      <c r="BV65" s="205">
        <f t="shared" si="20"/>
        <v>2546.8313253934166</v>
      </c>
      <c r="BY65" s="180">
        <v>2029</v>
      </c>
      <c r="BZ65" s="22">
        <v>15</v>
      </c>
      <c r="CA65" s="198">
        <f t="shared" ca="1" si="21"/>
        <v>-64.659537179398185</v>
      </c>
      <c r="CB65" s="198">
        <f t="shared" ca="1" si="22"/>
        <v>812.41399186449291</v>
      </c>
      <c r="CC65" s="186">
        <f t="shared" ca="1" si="32"/>
        <v>1842.470604548718</v>
      </c>
      <c r="CD65" s="205">
        <f t="shared" ca="1" si="23"/>
        <v>2590.2250592338128</v>
      </c>
      <c r="CG65" s="180">
        <v>2029</v>
      </c>
      <c r="CH65" s="22">
        <v>15</v>
      </c>
      <c r="CI65" s="198">
        <f t="shared" ca="1" si="24"/>
        <v>42.317077978958295</v>
      </c>
      <c r="CJ65" s="198">
        <f t="shared" ca="1" si="25"/>
        <v>-250.85468028681473</v>
      </c>
      <c r="CK65" s="198">
        <f t="shared" ca="1" si="26"/>
        <v>1017.8304921694631</v>
      </c>
      <c r="CL65" s="186">
        <f t="shared" ca="1" si="27"/>
        <v>1808.2106982169528</v>
      </c>
      <c r="CM65" s="205">
        <f t="shared" ca="1" si="28"/>
        <v>2617.5035880785595</v>
      </c>
      <c r="CP65" s="180">
        <v>2029</v>
      </c>
      <c r="CQ65" s="22">
        <v>15</v>
      </c>
      <c r="CR65" s="181">
        <f t="shared" ca="1" si="29"/>
        <v>1974.5373970287794</v>
      </c>
      <c r="CS65" s="182">
        <f t="shared" ca="1" si="30"/>
        <v>1.2598067550018262</v>
      </c>
      <c r="CT65" s="205">
        <f t="shared" ca="1" si="31"/>
        <v>2487.5355507805789</v>
      </c>
      <c r="CZ65" s="164" t="b">
        <f t="shared" si="4"/>
        <v>1</v>
      </c>
      <c r="DA65" s="165" t="b">
        <f t="shared" si="4"/>
        <v>1</v>
      </c>
      <c r="DB65" s="166" t="b">
        <f t="shared" si="4"/>
        <v>1</v>
      </c>
      <c r="DC65" s="164">
        <f t="shared" si="15"/>
        <v>17</v>
      </c>
      <c r="DD65" s="166">
        <f t="shared" si="5"/>
        <v>2417.2167074771592</v>
      </c>
      <c r="DE65" s="164">
        <f t="shared" si="6"/>
        <v>17</v>
      </c>
      <c r="DF65" s="166">
        <f t="shared" si="7"/>
        <v>2671.0676895055658</v>
      </c>
      <c r="DG65" s="164">
        <f t="shared" si="8"/>
        <v>17</v>
      </c>
      <c r="DH65" s="166">
        <f t="shared" si="9"/>
        <v>2924.9186715339724</v>
      </c>
      <c r="DI65" s="164">
        <f>IFERROR(INDEX(DC$46:DC$94,_xlfn.AGGREGATE(15,6,(ROW(DC$46:DC$94)-ROW(DC$46)+1)/(DC$46:DC$94&lt;&gt;""),ROWS(DI$1:DI20))),"")</f>
        <v>17</v>
      </c>
      <c r="DJ65" s="165">
        <f>IFERROR(INDEX(DD$46:DD$94,_xlfn.AGGREGATE(15,6,(ROW(DD$46:DD$94)-ROW(DD$46)+1)/(DD$46:DD$94&lt;&gt;""),ROWS(DJ$1:DJ20))),"")</f>
        <v>2417.2167074771592</v>
      </c>
      <c r="DK65" s="166">
        <f t="shared" si="10"/>
        <v>65</v>
      </c>
      <c r="DL65" s="164">
        <f>IFERROR(INDEX(DE$46:DE$94,_xlfn.AGGREGATE(15,6,(ROW(DE$46:DE$94)-ROW(DE$46)+1)/(DE$46:DE$94&lt;&gt;""),ROWS(DL$1:DL20))),"")</f>
        <v>17</v>
      </c>
      <c r="DM65" s="165">
        <f>IFERROR(INDEX(DF$46:DF$94,_xlfn.AGGREGATE(15,6,(ROW(DF$46:DF$94)-ROW(DF$46)+1)/(DF$46:DF$94&lt;&gt;""),ROWS(DM$1:DM20))),"")</f>
        <v>2671.0676895055658</v>
      </c>
      <c r="DN65" s="166">
        <f t="shared" si="11"/>
        <v>65</v>
      </c>
      <c r="DO65" s="164">
        <f>IFERROR(INDEX(DG$46:DG$94,_xlfn.AGGREGATE(15,6,(ROW(DG$46:DG$94)-ROW(DG$46)+1)/(DG$46:DG$94&lt;&gt;""),ROWS(DO$1:DO20))),"")</f>
        <v>17</v>
      </c>
      <c r="DP65" s="165">
        <f>IFERROR(INDEX(DH$46:DH$94,_xlfn.AGGREGATE(15,6,(ROW(DH$46:DH$94)-ROW(DH$46)+1)/(DH$46:DH$94&lt;&gt;""),ROWS(DP$1:DP20))),"")</f>
        <v>2924.9186715339724</v>
      </c>
      <c r="DQ65" s="166">
        <f t="shared" si="12"/>
        <v>65</v>
      </c>
      <c r="DV65" s="145">
        <v>2034</v>
      </c>
      <c r="DW65" s="146">
        <f t="shared" ca="1" si="13"/>
        <v>2819.6612928460972</v>
      </c>
      <c r="EU65" s="65"/>
      <c r="EV65" s="147"/>
    </row>
    <row r="66" spans="1:152" ht="13.8" x14ac:dyDescent="0.45">
      <c r="B66" s="128">
        <v>2032</v>
      </c>
      <c r="C66" s="1016">
        <v>2635.1027112701395</v>
      </c>
      <c r="D66" s="982">
        <v>3054.9983747811611</v>
      </c>
      <c r="E66" s="1017"/>
      <c r="F66" s="1077"/>
      <c r="G66" s="1109">
        <v>2449.0420982261312</v>
      </c>
      <c r="H66" s="1107"/>
      <c r="I66" s="1112"/>
      <c r="J66" s="207"/>
      <c r="K66" s="204"/>
      <c r="L66" s="206"/>
      <c r="M66" s="204"/>
      <c r="N66" s="29" t="s">
        <v>758</v>
      </c>
      <c r="P66" s="128"/>
      <c r="Q66" s="176" t="str">
        <f t="shared" si="16"/>
        <v/>
      </c>
      <c r="R66" s="29">
        <v>18</v>
      </c>
      <c r="S66" s="154">
        <f t="shared" si="0"/>
        <v>2449.0420982261312</v>
      </c>
      <c r="T66" s="154">
        <f t="shared" si="1"/>
        <v>3054.9983747811611</v>
      </c>
      <c r="U66" s="154">
        <f t="shared" si="2"/>
        <v>253.44601201529406</v>
      </c>
      <c r="W66" s="154">
        <f t="shared" si="14"/>
        <v>2459.6017160771835</v>
      </c>
      <c r="X66" s="154">
        <f>IF(U66="",#N/A,IF($B$36=$A$62,(SUM(C66:E66)/COUNTIF(C66:E66,"&gt;0")),IF($B$36=$A$63,(SUM(F66:H66)/COUNTIF(F66:H66,"&gt;0")),IF($B$36=$A$64,(SUM(J66:K66)/COUNTIF(J66:K66,"&gt;0")),IF($B$36=$A$65,(SUM(L66:M66)/COUNTIF(L66:M66,"&gt;0")),(IF($B$36=$A$46,IF(C66="",#N/A,C66),IF($B$36=$A$47,IF(D66="",#N/A,D66),IF($B$36=$A$48,IF(E66="",#N/A,E66),IF($B$36=$A$49,IF(F66="",#N/A,F66),IF($B$36=$A$50,IF(G66="",#N/A,G66),IF($B$36=$A$51,IF(H66="",#N/A,H66),IF($B$36=$A$52,IF('Total MSW TAM Data_Updated2020'!I66="",#N/A,'Total MSW TAM Data_Updated2020'!I66),IF($B$36=$A$53,IF(J66="",#N/A,J66),IF($B$36=$A$54,IF(K66="",#N/A,K66),IF($B$36=$A$55,IF(L66="",#N/A,L66),IF($B$36=$A$56,IF(M66="",#N/A,M66),IF(U66="",#N/A,(SUM(C66:Q66)/COUNTIFS(C66:Q66,"&gt;0"))))))))))))))))))))</f>
        <v>2713.0477280924774</v>
      </c>
      <c r="Y66" s="154">
        <f t="shared" si="3"/>
        <v>2966.4937401077714</v>
      </c>
      <c r="AA66" s="1133">
        <v>2480.9028892292231</v>
      </c>
      <c r="AB66" s="1133">
        <v>2720.1024132340781</v>
      </c>
      <c r="AC66" s="1133">
        <v>2959.3019372389331</v>
      </c>
      <c r="AD66" s="89"/>
      <c r="AE66" s="89"/>
      <c r="AF66" s="89"/>
      <c r="AG66" s="89"/>
      <c r="AH66" s="89"/>
      <c r="AI66" s="89"/>
      <c r="AJ66" s="89"/>
      <c r="AK66" s="89"/>
      <c r="AL66" s="89"/>
      <c r="AM66" s="89"/>
      <c r="AN66" s="89"/>
      <c r="BR66" s="180">
        <v>2030</v>
      </c>
      <c r="BS66" s="22">
        <v>16</v>
      </c>
      <c r="BT66" s="181">
        <f t="shared" si="18"/>
        <v>664.26241721414203</v>
      </c>
      <c r="BU66" s="182">
        <f t="shared" si="19"/>
        <v>1924.0853092551583</v>
      </c>
      <c r="BV66" s="205">
        <f t="shared" si="20"/>
        <v>2588.3477264693001</v>
      </c>
      <c r="BY66" s="180">
        <v>2030</v>
      </c>
      <c r="BZ66" s="22">
        <v>16</v>
      </c>
      <c r="CA66" s="198">
        <f t="shared" ca="1" si="21"/>
        <v>-73.568184524115267</v>
      </c>
      <c r="CB66" s="198">
        <f t="shared" ca="1" si="22"/>
        <v>866.57492465545909</v>
      </c>
      <c r="CC66" s="186">
        <f t="shared" ca="1" si="32"/>
        <v>1842.470604548718</v>
      </c>
      <c r="CD66" s="205">
        <f t="shared" ca="1" si="23"/>
        <v>2635.4773446800618</v>
      </c>
      <c r="CG66" s="180">
        <v>2030</v>
      </c>
      <c r="CH66" s="22">
        <v>16</v>
      </c>
      <c r="CI66" s="198">
        <f t="shared" ca="1" si="24"/>
        <v>51.357259674611313</v>
      </c>
      <c r="CJ66" s="198">
        <f t="shared" ca="1" si="25"/>
        <v>-285.41688068188699</v>
      </c>
      <c r="CK66" s="198">
        <f t="shared" ca="1" si="26"/>
        <v>1085.685858314094</v>
      </c>
      <c r="CL66" s="186">
        <f t="shared" ca="1" si="27"/>
        <v>1808.2106982169528</v>
      </c>
      <c r="CM66" s="205">
        <f t="shared" ca="1" si="28"/>
        <v>2659.836935523771</v>
      </c>
      <c r="CP66" s="180">
        <v>2030</v>
      </c>
      <c r="CQ66" s="22">
        <v>16</v>
      </c>
      <c r="CR66" s="181">
        <f t="shared" ca="1" si="29"/>
        <v>1974.5373970287794</v>
      </c>
      <c r="CS66" s="182">
        <f t="shared" ca="1" si="30"/>
        <v>1.2793543835479011</v>
      </c>
      <c r="CT66" s="205">
        <f t="shared" ca="1" si="31"/>
        <v>2526.1330743680314</v>
      </c>
      <c r="CZ66" s="164" t="b">
        <f t="shared" si="4"/>
        <v>1</v>
      </c>
      <c r="DA66" s="165" t="b">
        <f t="shared" si="4"/>
        <v>1</v>
      </c>
      <c r="DB66" s="166" t="b">
        <f t="shared" si="4"/>
        <v>1</v>
      </c>
      <c r="DC66" s="164">
        <f t="shared" si="15"/>
        <v>18</v>
      </c>
      <c r="DD66" s="166">
        <f t="shared" si="5"/>
        <v>2459.6017160771835</v>
      </c>
      <c r="DE66" s="164">
        <f t="shared" si="6"/>
        <v>18</v>
      </c>
      <c r="DF66" s="166">
        <f t="shared" si="7"/>
        <v>2713.0477280924774</v>
      </c>
      <c r="DG66" s="164">
        <f t="shared" si="8"/>
        <v>18</v>
      </c>
      <c r="DH66" s="166">
        <f t="shared" si="9"/>
        <v>2966.4937401077714</v>
      </c>
      <c r="DI66" s="164">
        <f>IFERROR(INDEX(DC$46:DC$94,_xlfn.AGGREGATE(15,6,(ROW(DC$46:DC$94)-ROW(DC$46)+1)/(DC$46:DC$94&lt;&gt;""),ROWS(DI$1:DI21))),"")</f>
        <v>18</v>
      </c>
      <c r="DJ66" s="165">
        <f>IFERROR(INDEX(DD$46:DD$94,_xlfn.AGGREGATE(15,6,(ROW(DD$46:DD$94)-ROW(DD$46)+1)/(DD$46:DD$94&lt;&gt;""),ROWS(DJ$1:DJ21))),"")</f>
        <v>2459.6017160771835</v>
      </c>
      <c r="DK66" s="166">
        <f t="shared" si="10"/>
        <v>66</v>
      </c>
      <c r="DL66" s="164">
        <f>IFERROR(INDEX(DE$46:DE$94,_xlfn.AGGREGATE(15,6,(ROW(DE$46:DE$94)-ROW(DE$46)+1)/(DE$46:DE$94&lt;&gt;""),ROWS(DL$1:DL21))),"")</f>
        <v>18</v>
      </c>
      <c r="DM66" s="165">
        <f>IFERROR(INDEX(DF$46:DF$94,_xlfn.AGGREGATE(15,6,(ROW(DF$46:DF$94)-ROW(DF$46)+1)/(DF$46:DF$94&lt;&gt;""),ROWS(DM$1:DM21))),"")</f>
        <v>2713.0477280924774</v>
      </c>
      <c r="DN66" s="166">
        <f t="shared" si="11"/>
        <v>66</v>
      </c>
      <c r="DO66" s="164">
        <f>IFERROR(INDEX(DG$46:DG$94,_xlfn.AGGREGATE(15,6,(ROW(DG$46:DG$94)-ROW(DG$46)+1)/(DG$46:DG$94&lt;&gt;""),ROWS(DO$1:DO21))),"")</f>
        <v>18</v>
      </c>
      <c r="DP66" s="165">
        <f>IFERROR(INDEX(DH$46:DH$94,_xlfn.AGGREGATE(15,6,(ROW(DH$46:DH$94)-ROW(DH$46)+1)/(DH$46:DH$94&lt;&gt;""),ROWS(DP$1:DP21))),"")</f>
        <v>2966.4937401077714</v>
      </c>
      <c r="DQ66" s="166">
        <f t="shared" si="12"/>
        <v>66</v>
      </c>
      <c r="DV66" s="145">
        <v>2035</v>
      </c>
      <c r="DW66" s="146">
        <f t="shared" ca="1" si="13"/>
        <v>2857.6162758663058</v>
      </c>
      <c r="EU66" s="65"/>
      <c r="EV66" s="147"/>
    </row>
    <row r="67" spans="1:152" ht="13.8" x14ac:dyDescent="0.45">
      <c r="B67" s="128">
        <v>2033</v>
      </c>
      <c r="C67" s="1016">
        <v>2672.043815427789</v>
      </c>
      <c r="D67" s="982">
        <v>3097.2145663868691</v>
      </c>
      <c r="E67" s="1017"/>
      <c r="F67" s="1077"/>
      <c r="G67" s="1109">
        <v>2494.6831069573427</v>
      </c>
      <c r="H67" s="1107"/>
      <c r="I67" s="1112"/>
      <c r="J67" s="207"/>
      <c r="K67" s="204"/>
      <c r="L67" s="206"/>
      <c r="M67" s="204"/>
      <c r="N67" s="29" t="s">
        <v>758</v>
      </c>
      <c r="P67" s="128"/>
      <c r="Q67" s="176" t="str">
        <f t="shared" si="16"/>
        <v/>
      </c>
      <c r="R67" s="29">
        <v>19</v>
      </c>
      <c r="S67" s="154">
        <f t="shared" si="0"/>
        <v>2494.6831069573427</v>
      </c>
      <c r="T67" s="154">
        <f t="shared" si="1"/>
        <v>3097.2145663868691</v>
      </c>
      <c r="U67" s="154">
        <f t="shared" si="2"/>
        <v>252.82210433920216</v>
      </c>
      <c r="W67" s="154">
        <f t="shared" si="14"/>
        <v>2501.8250585847982</v>
      </c>
      <c r="X67" s="154">
        <f>IF(U67="",#N/A,IF($B$36=$A$62,(SUM(C67:E67)/COUNTIF(C67:E67,"&gt;0")),IF($B$36=$A$63,(SUM(F67:H67)/COUNTIF(F67:H67,"&gt;0")),IF($B$36=$A$64,(SUM(J67:K67)/COUNTIF(J67:K67,"&gt;0")),IF($B$36=$A$65,(SUM(L67:M67)/COUNTIF(L67:M67,"&gt;0")),(IF($B$36=$A$46,IF(C67="",#N/A,C67),IF($B$36=$A$47,IF(D67="",#N/A,D67),IF($B$36=$A$48,IF(E67="",#N/A,E67),IF($B$36=$A$49,IF(F67="",#N/A,F67),IF($B$36=$A$50,IF(G67="",#N/A,G67),IF($B$36=$A$51,IF(H67="",#N/A,H67),IF($B$36=$A$52,IF('Total MSW TAM Data_Updated2020'!I67="",#N/A,'Total MSW TAM Data_Updated2020'!I67),IF($B$36=$A$53,IF(J67="",#N/A,J67),IF($B$36=$A$54,IF(K67="",#N/A,K67),IF($B$36=$A$55,IF(L67="",#N/A,L67),IF($B$36=$A$56,IF(M67="",#N/A,M67),IF(U67="",#N/A,(SUM(C67:Q67)/COUNTIFS(C67:Q67,"&gt;0"))))))))))))))))))))</f>
        <v>2754.6471629240004</v>
      </c>
      <c r="Y67" s="154">
        <f t="shared" si="3"/>
        <v>3007.4692672632027</v>
      </c>
      <c r="AA67" s="1133">
        <v>2526.9740146359072</v>
      </c>
      <c r="AB67" s="1133">
        <v>2764.905276871817</v>
      </c>
      <c r="AC67" s="1133">
        <v>3002.8365391077268</v>
      </c>
      <c r="AD67" s="89"/>
      <c r="AE67" s="89"/>
      <c r="AF67" s="89"/>
      <c r="AG67" s="89"/>
      <c r="AH67" s="89"/>
      <c r="AI67" s="89"/>
      <c r="AJ67" s="89"/>
      <c r="AK67" s="89"/>
      <c r="AL67" s="89"/>
      <c r="AM67" s="89"/>
      <c r="AN67" s="89"/>
      <c r="BR67" s="180">
        <v>2031</v>
      </c>
      <c r="BS67" s="22">
        <v>17</v>
      </c>
      <c r="BT67" s="181">
        <f t="shared" si="18"/>
        <v>705.77881829002592</v>
      </c>
      <c r="BU67" s="182">
        <f t="shared" si="19"/>
        <v>1924.0853092551583</v>
      </c>
      <c r="BV67" s="205">
        <f t="shared" si="20"/>
        <v>2629.8641275451841</v>
      </c>
      <c r="BY67" s="180">
        <v>2031</v>
      </c>
      <c r="BZ67" s="22">
        <v>17</v>
      </c>
      <c r="CA67" s="198">
        <f t="shared" ca="1" si="21"/>
        <v>-83.051583310427006</v>
      </c>
      <c r="CB67" s="198">
        <f t="shared" ca="1" si="22"/>
        <v>920.73585744642526</v>
      </c>
      <c r="CC67" s="186">
        <f t="shared" ca="1" si="32"/>
        <v>1842.470604548718</v>
      </c>
      <c r="CD67" s="205">
        <f t="shared" ca="1" si="23"/>
        <v>2680.1548786847161</v>
      </c>
      <c r="CG67" s="180">
        <v>2031</v>
      </c>
      <c r="CH67" s="22">
        <v>17</v>
      </c>
      <c r="CI67" s="198">
        <f t="shared" ca="1" si="24"/>
        <v>61.601127143888036</v>
      </c>
      <c r="CJ67" s="198">
        <f t="shared" ca="1" si="25"/>
        <v>-322.20890045728646</v>
      </c>
      <c r="CK67" s="198">
        <f t="shared" ca="1" si="26"/>
        <v>1153.5412244587249</v>
      </c>
      <c r="CL67" s="186">
        <f t="shared" ca="1" si="27"/>
        <v>1808.2106982169528</v>
      </c>
      <c r="CM67" s="205">
        <f t="shared" ca="1" si="28"/>
        <v>2701.1441493622792</v>
      </c>
      <c r="CP67" s="180">
        <v>2031</v>
      </c>
      <c r="CQ67" s="22">
        <v>17</v>
      </c>
      <c r="CR67" s="181">
        <f t="shared" ca="1" si="29"/>
        <v>1974.5373970287794</v>
      </c>
      <c r="CS67" s="182">
        <f t="shared" ca="1" si="30"/>
        <v>1.2992053203436409</v>
      </c>
      <c r="CT67" s="205">
        <f t="shared" ca="1" si="31"/>
        <v>2565.3294914372741</v>
      </c>
      <c r="CZ67" s="164" t="b">
        <f t="shared" si="4"/>
        <v>1</v>
      </c>
      <c r="DA67" s="165" t="b">
        <f t="shared" si="4"/>
        <v>1</v>
      </c>
      <c r="DB67" s="166" t="b">
        <f t="shared" si="4"/>
        <v>1</v>
      </c>
      <c r="DC67" s="164">
        <f t="shared" si="15"/>
        <v>19</v>
      </c>
      <c r="DD67" s="166">
        <f t="shared" si="5"/>
        <v>2501.8250585847982</v>
      </c>
      <c r="DE67" s="164">
        <f t="shared" si="6"/>
        <v>19</v>
      </c>
      <c r="DF67" s="166">
        <f t="shared" si="7"/>
        <v>2754.6471629240004</v>
      </c>
      <c r="DG67" s="164">
        <f t="shared" si="8"/>
        <v>19</v>
      </c>
      <c r="DH67" s="166">
        <f t="shared" si="9"/>
        <v>3007.4692672632027</v>
      </c>
      <c r="DI67" s="164">
        <f>IFERROR(INDEX(DC$46:DC$94,_xlfn.AGGREGATE(15,6,(ROW(DC$46:DC$94)-ROW(DC$46)+1)/(DC$46:DC$94&lt;&gt;""),ROWS(DI$1:DI22))),"")</f>
        <v>19</v>
      </c>
      <c r="DJ67" s="165">
        <f>IFERROR(INDEX(DD$46:DD$94,_xlfn.AGGREGATE(15,6,(ROW(DD$46:DD$94)-ROW(DD$46)+1)/(DD$46:DD$94&lt;&gt;""),ROWS(DJ$1:DJ22))),"")</f>
        <v>2501.8250585847982</v>
      </c>
      <c r="DK67" s="166">
        <f t="shared" si="10"/>
        <v>67</v>
      </c>
      <c r="DL67" s="164">
        <f>IFERROR(INDEX(DE$46:DE$94,_xlfn.AGGREGATE(15,6,(ROW(DE$46:DE$94)-ROW(DE$46)+1)/(DE$46:DE$94&lt;&gt;""),ROWS(DL$1:DL22))),"")</f>
        <v>19</v>
      </c>
      <c r="DM67" s="165">
        <f>IFERROR(INDEX(DF$46:DF$94,_xlfn.AGGREGATE(15,6,(ROW(DF$46:DF$94)-ROW(DF$46)+1)/(DF$46:DF$94&lt;&gt;""),ROWS(DM$1:DM22))),"")</f>
        <v>2754.6471629240004</v>
      </c>
      <c r="DN67" s="166">
        <f t="shared" si="11"/>
        <v>67</v>
      </c>
      <c r="DO67" s="164">
        <f>IFERROR(INDEX(DG$46:DG$94,_xlfn.AGGREGATE(15,6,(ROW(DG$46:DG$94)-ROW(DG$46)+1)/(DG$46:DG$94&lt;&gt;""),ROWS(DO$1:DO22))),"")</f>
        <v>19</v>
      </c>
      <c r="DP67" s="165">
        <f>IFERROR(INDEX(DH$46:DH$94,_xlfn.AGGREGATE(15,6,(ROW(DH$46:DH$94)-ROW(DH$46)+1)/(DH$46:DH$94&lt;&gt;""),ROWS(DP$1:DP22))),"")</f>
        <v>3007.4692672632027</v>
      </c>
      <c r="DQ67" s="166">
        <f t="shared" si="12"/>
        <v>67</v>
      </c>
      <c r="DV67" s="145">
        <v>2036</v>
      </c>
      <c r="DW67" s="146">
        <f t="shared" ca="1" si="13"/>
        <v>2894.9212770840686</v>
      </c>
      <c r="EU67" s="65"/>
      <c r="EV67" s="147"/>
    </row>
    <row r="68" spans="1:152" ht="13.8" x14ac:dyDescent="0.45">
      <c r="B68" s="128">
        <v>2034</v>
      </c>
      <c r="C68" s="1016">
        <v>2708.8774027088093</v>
      </c>
      <c r="D68" s="982">
        <v>3138.727753281702</v>
      </c>
      <c r="E68" s="1017"/>
      <c r="F68" s="1077"/>
      <c r="G68" s="1109">
        <v>2540.1496501903011</v>
      </c>
      <c r="H68" s="1107"/>
      <c r="I68" s="1112"/>
      <c r="J68" s="207"/>
      <c r="K68" s="204"/>
      <c r="L68" s="206"/>
      <c r="M68" s="204"/>
      <c r="N68" s="29" t="s">
        <v>758</v>
      </c>
      <c r="P68" s="128"/>
      <c r="Q68" s="176" t="str">
        <f t="shared" si="16"/>
        <v/>
      </c>
      <c r="R68" s="29">
        <v>20</v>
      </c>
      <c r="S68" s="154">
        <f t="shared" si="0"/>
        <v>2540.1496501903011</v>
      </c>
      <c r="T68" s="154">
        <f t="shared" si="1"/>
        <v>3138.727753281702</v>
      </c>
      <c r="U68" s="154">
        <f t="shared" si="2"/>
        <v>252.0000273055729</v>
      </c>
      <c r="W68" s="154">
        <f t="shared" si="14"/>
        <v>2543.9182414213642</v>
      </c>
      <c r="X68" s="154">
        <f>IF(U68="",#N/A,IF($B$36=$A$62,(SUM(C68:E68)/COUNTIF(C68:E68,"&gt;0")),IF($B$36=$A$63,(SUM(F68:H68)/COUNTIF(F68:H68,"&gt;0")),IF($B$36=$A$64,(SUM(J68:K68)/COUNTIF(J68:K68,"&gt;0")),IF($B$36=$A$65,(SUM(L68:M68)/COUNTIF(L68:M68,"&gt;0")),(IF($B$36=$A$46,IF(C68="",#N/A,C68),IF($B$36=$A$47,IF(D68="",#N/A,D68),IF($B$36=$A$48,IF(E68="",#N/A,E68),IF($B$36=$A$49,IF(F68="",#N/A,F68),IF($B$36=$A$50,IF(G68="",#N/A,G68),IF($B$36=$A$51,IF(H68="",#N/A,H68),IF($B$36=$A$52,IF('Total MSW TAM Data_Updated2020'!I68="",#N/A,'Total MSW TAM Data_Updated2020'!I68),IF($B$36=$A$53,IF(J68="",#N/A,J68),IF($B$36=$A$54,IF(K68="",#N/A,K68),IF($B$36=$A$55,IF(L68="",#N/A,L68),IF($B$36=$A$56,IF(M68="",#N/A,M68),IF(U68="",#N/A,(SUM(C68:Q68)/COUNTIFS(C68:Q68,"&gt;0"))))))))))))))))))))</f>
        <v>2795.9182687269372</v>
      </c>
      <c r="Y68" s="154">
        <f t="shared" si="3"/>
        <v>3047.9182960325102</v>
      </c>
      <c r="AA68" s="1133">
        <v>2573.0709701633336</v>
      </c>
      <c r="AB68" s="1133">
        <v>2809.5135667565687</v>
      </c>
      <c r="AC68" s="1133">
        <v>3045.9561633498038</v>
      </c>
      <c r="AD68" s="89"/>
      <c r="AE68" s="89"/>
      <c r="AF68" s="89"/>
      <c r="AG68" s="89"/>
      <c r="AH68" s="89"/>
      <c r="AI68" s="89"/>
      <c r="AJ68" s="89"/>
      <c r="AK68" s="89"/>
      <c r="AL68" s="89"/>
      <c r="AM68" s="89"/>
      <c r="AN68" s="89"/>
      <c r="BR68" s="180">
        <v>2032</v>
      </c>
      <c r="BS68" s="22">
        <v>18</v>
      </c>
      <c r="BT68" s="181">
        <f t="shared" si="18"/>
        <v>747.29521936590982</v>
      </c>
      <c r="BU68" s="182">
        <f t="shared" si="19"/>
        <v>1924.0853092551583</v>
      </c>
      <c r="BV68" s="205">
        <f t="shared" si="20"/>
        <v>2671.3805286210682</v>
      </c>
      <c r="BY68" s="180">
        <v>2032</v>
      </c>
      <c r="BZ68" s="22">
        <v>18</v>
      </c>
      <c r="CA68" s="198">
        <f t="shared" ca="1" si="21"/>
        <v>-93.109733538333387</v>
      </c>
      <c r="CB68" s="198">
        <f t="shared" ca="1" si="22"/>
        <v>974.89679023739143</v>
      </c>
      <c r="CC68" s="186">
        <f t="shared" ca="1" si="32"/>
        <v>1842.470604548718</v>
      </c>
      <c r="CD68" s="205">
        <f t="shared" ca="1" si="23"/>
        <v>2724.257661247776</v>
      </c>
      <c r="CG68" s="180">
        <v>2032</v>
      </c>
      <c r="CH68" s="22">
        <v>18</v>
      </c>
      <c r="CI68" s="198">
        <f t="shared" ca="1" si="24"/>
        <v>73.12391074763994</v>
      </c>
      <c r="CJ68" s="198">
        <f t="shared" ca="1" si="25"/>
        <v>-361.23073961301321</v>
      </c>
      <c r="CK68" s="198">
        <f t="shared" ca="1" si="26"/>
        <v>1221.3965906033559</v>
      </c>
      <c r="CL68" s="186">
        <f t="shared" ca="1" si="27"/>
        <v>1808.2106982169528</v>
      </c>
      <c r="CM68" s="205">
        <f t="shared" ca="1" si="28"/>
        <v>2741.5004599549356</v>
      </c>
      <c r="CP68" s="180">
        <v>2032</v>
      </c>
      <c r="CQ68" s="22">
        <v>18</v>
      </c>
      <c r="CR68" s="181">
        <f t="shared" ca="1" si="29"/>
        <v>1974.5373970287794</v>
      </c>
      <c r="CS68" s="182">
        <f t="shared" ca="1" si="30"/>
        <v>1.3193642716322653</v>
      </c>
      <c r="CT68" s="205">
        <f t="shared" ca="1" si="31"/>
        <v>2605.1340946415448</v>
      </c>
      <c r="CZ68" s="164" t="b">
        <f t="shared" si="4"/>
        <v>1</v>
      </c>
      <c r="DA68" s="165" t="b">
        <f t="shared" si="4"/>
        <v>1</v>
      </c>
      <c r="DB68" s="166" t="b">
        <f t="shared" si="4"/>
        <v>1</v>
      </c>
      <c r="DC68" s="164">
        <f t="shared" si="15"/>
        <v>20</v>
      </c>
      <c r="DD68" s="166">
        <f t="shared" si="5"/>
        <v>2543.9182414213642</v>
      </c>
      <c r="DE68" s="164">
        <f t="shared" si="6"/>
        <v>20</v>
      </c>
      <c r="DF68" s="166">
        <f t="shared" si="7"/>
        <v>2795.9182687269372</v>
      </c>
      <c r="DG68" s="164">
        <f t="shared" si="8"/>
        <v>20</v>
      </c>
      <c r="DH68" s="166">
        <f t="shared" si="9"/>
        <v>3047.9182960325102</v>
      </c>
      <c r="DI68" s="164">
        <f>IFERROR(INDEX(DC$46:DC$94,_xlfn.AGGREGATE(15,6,(ROW(DC$46:DC$94)-ROW(DC$46)+1)/(DC$46:DC$94&lt;&gt;""),ROWS(DI$1:DI23))),"")</f>
        <v>20</v>
      </c>
      <c r="DJ68" s="165">
        <f>IFERROR(INDEX(DD$46:DD$94,_xlfn.AGGREGATE(15,6,(ROW(DD$46:DD$94)-ROW(DD$46)+1)/(DD$46:DD$94&lt;&gt;""),ROWS(DJ$1:DJ23))),"")</f>
        <v>2543.9182414213642</v>
      </c>
      <c r="DK68" s="166">
        <f t="shared" si="10"/>
        <v>68</v>
      </c>
      <c r="DL68" s="164">
        <f>IFERROR(INDEX(DE$46:DE$94,_xlfn.AGGREGATE(15,6,(ROW(DE$46:DE$94)-ROW(DE$46)+1)/(DE$46:DE$94&lt;&gt;""),ROWS(DL$1:DL23))),"")</f>
        <v>20</v>
      </c>
      <c r="DM68" s="165">
        <f>IFERROR(INDEX(DF$46:DF$94,_xlfn.AGGREGATE(15,6,(ROW(DF$46:DF$94)-ROW(DF$46)+1)/(DF$46:DF$94&lt;&gt;""),ROWS(DM$1:DM23))),"")</f>
        <v>2795.9182687269372</v>
      </c>
      <c r="DN68" s="166">
        <f t="shared" si="11"/>
        <v>68</v>
      </c>
      <c r="DO68" s="164">
        <f>IFERROR(INDEX(DG$46:DG$94,_xlfn.AGGREGATE(15,6,(ROW(DG$46:DG$94)-ROW(DG$46)+1)/(DG$46:DG$94&lt;&gt;""),ROWS(DO$1:DO23))),"")</f>
        <v>20</v>
      </c>
      <c r="DP68" s="165">
        <f>IFERROR(INDEX(DH$46:DH$94,_xlfn.AGGREGATE(15,6,(ROW(DH$46:DH$94)-ROW(DH$46)+1)/(DH$46:DH$94&lt;&gt;""),ROWS(DP$1:DP23))),"")</f>
        <v>3047.9182960325102</v>
      </c>
      <c r="DQ68" s="166">
        <f t="shared" si="12"/>
        <v>68</v>
      </c>
      <c r="DV68" s="145">
        <v>2037</v>
      </c>
      <c r="DW68" s="146">
        <f t="shared" ca="1" si="13"/>
        <v>2931.6515268602361</v>
      </c>
      <c r="EU68" s="65"/>
      <c r="EV68" s="147"/>
    </row>
    <row r="69" spans="1:152" ht="13.8" x14ac:dyDescent="0.45">
      <c r="B69" s="128">
        <v>2035</v>
      </c>
      <c r="C69" s="1016">
        <v>2745.6318196378375</v>
      </c>
      <c r="D69" s="982">
        <v>3179.985997315342</v>
      </c>
      <c r="E69" s="1017"/>
      <c r="F69" s="1077"/>
      <c r="G69" s="1109">
        <v>2585.4649696161327</v>
      </c>
      <c r="H69" s="1107"/>
      <c r="I69" s="1112"/>
      <c r="J69" s="207"/>
      <c r="K69" s="204"/>
      <c r="L69" s="206"/>
      <c r="M69" s="204"/>
      <c r="N69" s="29" t="s">
        <v>758</v>
      </c>
      <c r="P69" s="128"/>
      <c r="Q69" s="176" t="str">
        <f t="shared" si="16"/>
        <v/>
      </c>
      <c r="R69" s="29">
        <v>21</v>
      </c>
      <c r="S69" s="154">
        <f t="shared" si="0"/>
        <v>2585.4649696161327</v>
      </c>
      <c r="T69" s="154">
        <f t="shared" si="1"/>
        <v>3179.985997315342</v>
      </c>
      <c r="U69" s="154">
        <f t="shared" si="2"/>
        <v>251.16887278135326</v>
      </c>
      <c r="W69" s="154">
        <f t="shared" si="14"/>
        <v>2585.8587227417506</v>
      </c>
      <c r="X69" s="154">
        <f>IF(U69="",#N/A,IF($B$36=$A$62,(SUM(C69:E69)/COUNTIF(C69:E69,"&gt;0")),IF($B$36=$A$63,(SUM(F69:H69)/COUNTIF(F69:H69,"&gt;0")),IF($B$36=$A$64,(SUM(J69:K69)/COUNTIF(J69:K69,"&gt;0")),IF($B$36=$A$65,(SUM(L69:M69)/COUNTIF(L69:M69,"&gt;0")),(IF($B$36=$A$46,IF(C69="",#N/A,C69),IF($B$36=$A$47,IF(D69="",#N/A,D69),IF($B$36=$A$48,IF(E69="",#N/A,E69),IF($B$36=$A$49,IF(F69="",#N/A,F69),IF($B$36=$A$50,IF(G69="",#N/A,G69),IF($B$36=$A$51,IF(H69="",#N/A,H69),IF($B$36=$A$52,IF('Total MSW TAM Data_Updated2020'!I69="",#N/A,'Total MSW TAM Data_Updated2020'!I69),IF($B$36=$A$53,IF(J69="",#N/A,J69),IF($B$36=$A$54,IF(K69="",#N/A,K69),IF($B$36=$A$55,IF(L69="",#N/A,L69),IF($B$36=$A$56,IF(M69="",#N/A,M69),IF(U69="",#N/A,(SUM(C69:Q69)/COUNTIFS(C69:Q69,"&gt;0"))))))))))))))))))))</f>
        <v>2837.0275955231041</v>
      </c>
      <c r="Y69" s="154">
        <f t="shared" si="3"/>
        <v>3088.1964683044575</v>
      </c>
      <c r="AA69" s="1133">
        <v>2619.1502503359206</v>
      </c>
      <c r="AB69" s="1133">
        <v>2854.0638327332344</v>
      </c>
      <c r="AC69" s="1133">
        <v>3088.9774151305483</v>
      </c>
      <c r="AD69" s="89"/>
      <c r="AE69" s="89"/>
      <c r="AF69" s="89"/>
      <c r="AG69" s="89"/>
      <c r="AH69" s="89"/>
      <c r="AI69" s="89"/>
      <c r="AJ69" s="89"/>
      <c r="AK69" s="89"/>
      <c r="AL69" s="89"/>
      <c r="AM69" s="89"/>
      <c r="AN69" s="89"/>
      <c r="BR69" s="180">
        <v>2033</v>
      </c>
      <c r="BS69" s="22">
        <v>19</v>
      </c>
      <c r="BT69" s="181">
        <f t="shared" si="18"/>
        <v>788.81162044179371</v>
      </c>
      <c r="BU69" s="182">
        <f t="shared" si="19"/>
        <v>1924.0853092551583</v>
      </c>
      <c r="BV69" s="205">
        <f t="shared" si="20"/>
        <v>2712.8969296969522</v>
      </c>
      <c r="BY69" s="180">
        <v>2033</v>
      </c>
      <c r="BZ69" s="22">
        <v>19</v>
      </c>
      <c r="CA69" s="198">
        <f t="shared" ca="1" si="21"/>
        <v>-103.74263520783443</v>
      </c>
      <c r="CB69" s="198">
        <f t="shared" ca="1" si="22"/>
        <v>1029.0577230283577</v>
      </c>
      <c r="CC69" s="186">
        <f t="shared" ca="1" si="32"/>
        <v>1842.470604548718</v>
      </c>
      <c r="CD69" s="205">
        <f t="shared" ca="1" si="23"/>
        <v>2767.7856923692416</v>
      </c>
      <c r="CG69" s="180">
        <v>2033</v>
      </c>
      <c r="CH69" s="22">
        <v>19</v>
      </c>
      <c r="CI69" s="198">
        <f t="shared" ca="1" si="24"/>
        <v>86.000840846718503</v>
      </c>
      <c r="CJ69" s="198">
        <f t="shared" ca="1" si="25"/>
        <v>-402.48239814906719</v>
      </c>
      <c r="CK69" s="198">
        <f t="shared" ca="1" si="26"/>
        <v>1289.2519567479867</v>
      </c>
      <c r="CL69" s="186">
        <f t="shared" ca="1" si="27"/>
        <v>1808.2106982169528</v>
      </c>
      <c r="CM69" s="205">
        <f t="shared" ca="1" si="28"/>
        <v>2780.9810976625909</v>
      </c>
      <c r="CP69" s="180">
        <v>2033</v>
      </c>
      <c r="CQ69" s="22">
        <v>19</v>
      </c>
      <c r="CR69" s="181">
        <f t="shared" ca="1" si="29"/>
        <v>1974.5373970287794</v>
      </c>
      <c r="CS69" s="182">
        <f t="shared" ca="1" si="30"/>
        <v>1.339836016680809</v>
      </c>
      <c r="CT69" s="205">
        <f t="shared" ca="1" si="31"/>
        <v>2645.556320822333</v>
      </c>
      <c r="CZ69" s="164" t="b">
        <f t="shared" si="4"/>
        <v>1</v>
      </c>
      <c r="DA69" s="165" t="b">
        <f t="shared" si="4"/>
        <v>1</v>
      </c>
      <c r="DB69" s="166" t="b">
        <f t="shared" si="4"/>
        <v>1</v>
      </c>
      <c r="DC69" s="164">
        <f t="shared" si="15"/>
        <v>21</v>
      </c>
      <c r="DD69" s="166">
        <f t="shared" si="5"/>
        <v>2585.8587227417506</v>
      </c>
      <c r="DE69" s="164">
        <f t="shared" si="6"/>
        <v>21</v>
      </c>
      <c r="DF69" s="166">
        <f t="shared" si="7"/>
        <v>2837.0275955231041</v>
      </c>
      <c r="DG69" s="164">
        <f t="shared" si="8"/>
        <v>21</v>
      </c>
      <c r="DH69" s="166">
        <f t="shared" si="9"/>
        <v>3088.1964683044575</v>
      </c>
      <c r="DI69" s="164">
        <f>IFERROR(INDEX(DC$46:DC$94,_xlfn.AGGREGATE(15,6,(ROW(DC$46:DC$94)-ROW(DC$46)+1)/(DC$46:DC$94&lt;&gt;""),ROWS(DI$1:DI24))),"")</f>
        <v>21</v>
      </c>
      <c r="DJ69" s="165">
        <f>IFERROR(INDEX(DD$46:DD$94,_xlfn.AGGREGATE(15,6,(ROW(DD$46:DD$94)-ROW(DD$46)+1)/(DD$46:DD$94&lt;&gt;""),ROWS(DJ$1:DJ24))),"")</f>
        <v>2585.8587227417506</v>
      </c>
      <c r="DK69" s="166">
        <f t="shared" si="10"/>
        <v>69</v>
      </c>
      <c r="DL69" s="164">
        <f>IFERROR(INDEX(DE$46:DE$94,_xlfn.AGGREGATE(15,6,(ROW(DE$46:DE$94)-ROW(DE$46)+1)/(DE$46:DE$94&lt;&gt;""),ROWS(DL$1:DL24))),"")</f>
        <v>21</v>
      </c>
      <c r="DM69" s="165">
        <f>IFERROR(INDEX(DF$46:DF$94,_xlfn.AGGREGATE(15,6,(ROW(DF$46:DF$94)-ROW(DF$46)+1)/(DF$46:DF$94&lt;&gt;""),ROWS(DM$1:DM24))),"")</f>
        <v>2837.0275955231041</v>
      </c>
      <c r="DN69" s="166">
        <f t="shared" si="11"/>
        <v>69</v>
      </c>
      <c r="DO69" s="164">
        <f>IFERROR(INDEX(DG$46:DG$94,_xlfn.AGGREGATE(15,6,(ROW(DG$46:DG$94)-ROW(DG$46)+1)/(DG$46:DG$94&lt;&gt;""),ROWS(DO$1:DO24))),"")</f>
        <v>21</v>
      </c>
      <c r="DP69" s="165">
        <f>IFERROR(INDEX(DH$46:DH$94,_xlfn.AGGREGATE(15,6,(ROW(DH$46:DH$94)-ROW(DH$46)+1)/(DH$46:DH$94&lt;&gt;""),ROWS(DP$1:DP24))),"")</f>
        <v>3088.1964683044575</v>
      </c>
      <c r="DQ69" s="166">
        <f t="shared" si="12"/>
        <v>69</v>
      </c>
      <c r="DV69" s="145">
        <v>2038</v>
      </c>
      <c r="DW69" s="146">
        <f t="shared" ca="1" si="13"/>
        <v>2967.8822555556617</v>
      </c>
      <c r="EU69" s="65"/>
      <c r="EV69" s="147"/>
    </row>
    <row r="70" spans="1:152" ht="13.8" x14ac:dyDescent="0.45">
      <c r="B70" s="128">
        <v>2036</v>
      </c>
      <c r="C70" s="1016">
        <v>2782.323169330974</v>
      </c>
      <c r="D70" s="982">
        <v>3219.9543658074072</v>
      </c>
      <c r="E70" s="1017"/>
      <c r="F70" s="1077"/>
      <c r="G70" s="1109">
        <v>2630.5020112463303</v>
      </c>
      <c r="H70" s="1107"/>
      <c r="I70" s="1112"/>
      <c r="J70" s="207"/>
      <c r="K70" s="204"/>
      <c r="L70" s="206"/>
      <c r="M70" s="204"/>
      <c r="N70" s="29" t="s">
        <v>758</v>
      </c>
      <c r="P70" s="128"/>
      <c r="Q70" s="176" t="str">
        <f t="shared" si="16"/>
        <v/>
      </c>
      <c r="R70" s="29">
        <v>22</v>
      </c>
      <c r="S70" s="154">
        <f t="shared" si="0"/>
        <v>2630.5020112463303</v>
      </c>
      <c r="T70" s="154">
        <f t="shared" si="1"/>
        <v>3219.9543658074072</v>
      </c>
      <c r="U70" s="154">
        <f t="shared" si="2"/>
        <v>249.8943791260518</v>
      </c>
      <c r="W70" s="154">
        <f t="shared" si="14"/>
        <v>2627.6988030021853</v>
      </c>
      <c r="X70" s="154">
        <f>IF(U70="",#N/A,IF($B$36=$A$62,(SUM(C70:E70)/COUNTIF(C70:E70,"&gt;0")),IF($B$36=$A$63,(SUM(F70:H70)/COUNTIF(F70:H70,"&gt;0")),IF($B$36=$A$64,(SUM(J70:K70)/COUNTIF(J70:K70,"&gt;0")),IF($B$36=$A$65,(SUM(L70:M70)/COUNTIF(L70:M70,"&gt;0")),(IF($B$36=$A$46,IF(C70="",#N/A,C70),IF($B$36=$A$47,IF(D70="",#N/A,D70),IF($B$36=$A$48,IF(E70="",#N/A,E70),IF($B$36=$A$49,IF(F70="",#N/A,F70),IF($B$36=$A$50,IF(G70="",#N/A,G70),IF($B$36=$A$51,IF(H70="",#N/A,H70),IF($B$36=$A$52,IF('Total MSW TAM Data_Updated2020'!I70="",#N/A,'Total MSW TAM Data_Updated2020'!I70),IF($B$36=$A$53,IF(J70="",#N/A,J70),IF($B$36=$A$54,IF(K70="",#N/A,K70),IF($B$36=$A$55,IF(L70="",#N/A,L70),IF($B$36=$A$56,IF(M70="",#N/A,M70),IF(U70="",#N/A,(SUM(C70:Q70)/COUNTIFS(C70:Q70,"&gt;0"))))))))))))))))))))</f>
        <v>2877.593182128237</v>
      </c>
      <c r="Y70" s="154">
        <f t="shared" si="3"/>
        <v>3127.4875612542887</v>
      </c>
      <c r="AA70" s="1133">
        <v>2665.2369628074166</v>
      </c>
      <c r="AB70" s="1133">
        <v>2898.1595420928984</v>
      </c>
      <c r="AC70" s="1133">
        <v>3131.0821213783802</v>
      </c>
      <c r="AD70" s="89"/>
      <c r="AE70" s="89"/>
      <c r="AF70" s="89"/>
      <c r="AG70" s="89"/>
      <c r="AH70" s="89"/>
      <c r="AI70" s="89"/>
      <c r="AJ70" s="89"/>
      <c r="AK70" s="89"/>
      <c r="AL70" s="89"/>
      <c r="AM70" s="89"/>
      <c r="AN70" s="89"/>
      <c r="BR70" s="180">
        <v>2034</v>
      </c>
      <c r="BS70" s="22">
        <v>20</v>
      </c>
      <c r="BT70" s="181">
        <f t="shared" si="18"/>
        <v>830.3280215176776</v>
      </c>
      <c r="BU70" s="182">
        <f t="shared" si="19"/>
        <v>1924.0853092551583</v>
      </c>
      <c r="BV70" s="205">
        <f t="shared" si="20"/>
        <v>2754.4133307728362</v>
      </c>
      <c r="BY70" s="180">
        <v>2034</v>
      </c>
      <c r="BZ70" s="22">
        <v>20</v>
      </c>
      <c r="CA70" s="198">
        <f t="shared" ca="1" si="21"/>
        <v>-114.95028831893011</v>
      </c>
      <c r="CB70" s="198">
        <f t="shared" ca="1" si="22"/>
        <v>1083.2186558193239</v>
      </c>
      <c r="CC70" s="186">
        <f t="shared" ca="1" si="32"/>
        <v>1842.470604548718</v>
      </c>
      <c r="CD70" s="205">
        <f t="shared" ca="1" si="23"/>
        <v>2810.7389720491119</v>
      </c>
      <c r="CG70" s="180">
        <v>2034</v>
      </c>
      <c r="CH70" s="22">
        <v>20</v>
      </c>
      <c r="CI70" s="198">
        <f t="shared" ca="1" si="24"/>
        <v>100.30714780197522</v>
      </c>
      <c r="CJ70" s="198">
        <f t="shared" ca="1" si="25"/>
        <v>-445.9638760654484</v>
      </c>
      <c r="CK70" s="198">
        <f t="shared" ca="1" si="26"/>
        <v>1357.1073228926175</v>
      </c>
      <c r="CL70" s="186">
        <f t="shared" ca="1" si="27"/>
        <v>1808.2106982169528</v>
      </c>
      <c r="CM70" s="205">
        <f t="shared" ca="1" si="28"/>
        <v>2819.6612928460972</v>
      </c>
      <c r="CP70" s="180">
        <v>2034</v>
      </c>
      <c r="CQ70" s="22">
        <v>20</v>
      </c>
      <c r="CR70" s="181">
        <f t="shared" ca="1" si="29"/>
        <v>1974.5373970287794</v>
      </c>
      <c r="CS70" s="182">
        <f t="shared" ca="1" si="30"/>
        <v>1.3606254089131846</v>
      </c>
      <c r="CT70" s="205">
        <f t="shared" ca="1" si="31"/>
        <v>2686.605753246658</v>
      </c>
      <c r="CZ70" s="164" t="b">
        <f t="shared" si="4"/>
        <v>1</v>
      </c>
      <c r="DA70" s="165" t="b">
        <f t="shared" si="4"/>
        <v>1</v>
      </c>
      <c r="DB70" s="166" t="b">
        <f t="shared" si="4"/>
        <v>1</v>
      </c>
      <c r="DC70" s="164">
        <f t="shared" si="15"/>
        <v>22</v>
      </c>
      <c r="DD70" s="166">
        <f t="shared" si="5"/>
        <v>2627.6988030021853</v>
      </c>
      <c r="DE70" s="164">
        <f t="shared" si="6"/>
        <v>22</v>
      </c>
      <c r="DF70" s="166">
        <f t="shared" si="7"/>
        <v>2877.593182128237</v>
      </c>
      <c r="DG70" s="164">
        <f t="shared" si="8"/>
        <v>22</v>
      </c>
      <c r="DH70" s="166">
        <f t="shared" si="9"/>
        <v>3127.4875612542887</v>
      </c>
      <c r="DI70" s="164">
        <f>IFERROR(INDEX(DC$46:DC$94,_xlfn.AGGREGATE(15,6,(ROW(DC$46:DC$94)-ROW(DC$46)+1)/(DC$46:DC$94&lt;&gt;""),ROWS(DI$1:DI25))),"")</f>
        <v>22</v>
      </c>
      <c r="DJ70" s="165">
        <f>IFERROR(INDEX(DD$46:DD$94,_xlfn.AGGREGATE(15,6,(ROW(DD$46:DD$94)-ROW(DD$46)+1)/(DD$46:DD$94&lt;&gt;""),ROWS(DJ$1:DJ25))),"")</f>
        <v>2627.6988030021853</v>
      </c>
      <c r="DK70" s="166">
        <f t="shared" si="10"/>
        <v>70</v>
      </c>
      <c r="DL70" s="164">
        <f>IFERROR(INDEX(DE$46:DE$94,_xlfn.AGGREGATE(15,6,(ROW(DE$46:DE$94)-ROW(DE$46)+1)/(DE$46:DE$94&lt;&gt;""),ROWS(DL$1:DL25))),"")</f>
        <v>22</v>
      </c>
      <c r="DM70" s="165">
        <f>IFERROR(INDEX(DF$46:DF$94,_xlfn.AGGREGATE(15,6,(ROW(DF$46:DF$94)-ROW(DF$46)+1)/(DF$46:DF$94&lt;&gt;""),ROWS(DM$1:DM25))),"")</f>
        <v>2877.593182128237</v>
      </c>
      <c r="DN70" s="166">
        <f t="shared" si="11"/>
        <v>70</v>
      </c>
      <c r="DO70" s="164">
        <f>IFERROR(INDEX(DG$46:DG$94,_xlfn.AGGREGATE(15,6,(ROW(DG$46:DG$94)-ROW(DG$46)+1)/(DG$46:DG$94&lt;&gt;""),ROWS(DO$1:DO25))),"")</f>
        <v>22</v>
      </c>
      <c r="DP70" s="165">
        <f>IFERROR(INDEX(DH$46:DH$94,_xlfn.AGGREGATE(15,6,(ROW(DH$46:DH$94)-ROW(DH$46)+1)/(DH$46:DH$94&lt;&gt;""),ROWS(DP$1:DP25))),"")</f>
        <v>3127.4875612542887</v>
      </c>
      <c r="DQ70" s="166">
        <f t="shared" si="12"/>
        <v>70</v>
      </c>
      <c r="DV70" s="145">
        <v>2039</v>
      </c>
      <c r="DW70" s="146">
        <f t="shared" ca="1" si="13"/>
        <v>3003.6886935311945</v>
      </c>
      <c r="EU70" s="65"/>
      <c r="EV70" s="147"/>
    </row>
    <row r="71" spans="1:152" ht="13.8" x14ac:dyDescent="0.45">
      <c r="B71" s="128">
        <v>2037</v>
      </c>
      <c r="C71" s="1016">
        <v>2818.9469921496466</v>
      </c>
      <c r="D71" s="982">
        <v>3259.7860095229389</v>
      </c>
      <c r="E71" s="1017"/>
      <c r="F71" s="1077"/>
      <c r="G71" s="1109">
        <v>2675.3966276884958</v>
      </c>
      <c r="H71" s="1107"/>
      <c r="I71" s="1112"/>
      <c r="J71" s="207"/>
      <c r="K71" s="204"/>
      <c r="L71" s="206"/>
      <c r="M71" s="204"/>
      <c r="N71" s="29" t="s">
        <v>758</v>
      </c>
      <c r="P71" s="128"/>
      <c r="Q71" s="176" t="str">
        <f t="shared" si="16"/>
        <v/>
      </c>
      <c r="R71" s="29">
        <v>23</v>
      </c>
      <c r="S71" s="154">
        <f t="shared" si="0"/>
        <v>2675.3966276884958</v>
      </c>
      <c r="T71" s="154">
        <f t="shared" si="1"/>
        <v>3259.7860095229389</v>
      </c>
      <c r="U71" s="154">
        <f t="shared" si="2"/>
        <v>248.65341697864918</v>
      </c>
      <c r="W71" s="154">
        <f t="shared" si="14"/>
        <v>2669.3897928083779</v>
      </c>
      <c r="X71" s="154">
        <f>IF(U71="",#N/A,IF($B$36=$A$62,(SUM(C71:E71)/COUNTIF(C71:E71,"&gt;0")),IF($B$36=$A$63,(SUM(F71:H71)/COUNTIF(F71:H71,"&gt;0")),IF($B$36=$A$64,(SUM(J71:K71)/COUNTIF(J71:K71,"&gt;0")),IF($B$36=$A$65,(SUM(L71:M71)/COUNTIF(L71:M71,"&gt;0")),(IF($B$36=$A$46,IF(C71="",#N/A,C71),IF($B$36=$A$47,IF(D71="",#N/A,D71),IF($B$36=$A$48,IF(E71="",#N/A,E71),IF($B$36=$A$49,IF(F71="",#N/A,F71),IF($B$36=$A$50,IF(G71="",#N/A,G71),IF($B$36=$A$51,IF(H71="",#N/A,H71),IF($B$36=$A$52,IF('Total MSW TAM Data_Updated2020'!I71="",#N/A,'Total MSW TAM Data_Updated2020'!I71),IF($B$36=$A$53,IF(J71="",#N/A,J71),IF($B$36=$A$54,IF(K71="",#N/A,K71),IF($B$36=$A$55,IF(L71="",#N/A,L71),IF($B$36=$A$56,IF(M71="",#N/A,M71),IF(U71="",#N/A,(SUM(C71:Q71)/COUNTIFS(C71:Q71,"&gt;0"))))))))))))))))))))</f>
        <v>2918.0432097870271</v>
      </c>
      <c r="Y71" s="154">
        <f t="shared" si="3"/>
        <v>3166.6966267656762</v>
      </c>
      <c r="AA71" s="1133">
        <v>2711.2996097630389</v>
      </c>
      <c r="AB71" s="1133">
        <v>2942.2306487243113</v>
      </c>
      <c r="AC71" s="1133">
        <v>3173.1616876855837</v>
      </c>
      <c r="AD71" s="89"/>
      <c r="AE71" s="89"/>
      <c r="AF71" s="89"/>
      <c r="AG71" s="89"/>
      <c r="AH71" s="89"/>
      <c r="AI71" s="89"/>
      <c r="AJ71" s="89"/>
      <c r="AK71" s="89"/>
      <c r="AL71" s="89"/>
      <c r="AM71" s="89"/>
      <c r="AN71" s="89"/>
      <c r="BR71" s="180">
        <v>2035</v>
      </c>
      <c r="BS71" s="22">
        <v>21</v>
      </c>
      <c r="BT71" s="181">
        <f t="shared" si="18"/>
        <v>871.84442259356138</v>
      </c>
      <c r="BU71" s="182">
        <f t="shared" si="19"/>
        <v>1924.0853092551583</v>
      </c>
      <c r="BV71" s="205">
        <f t="shared" si="20"/>
        <v>2795.9297318487197</v>
      </c>
      <c r="BY71" s="180">
        <v>2035</v>
      </c>
      <c r="BZ71" s="22">
        <v>21</v>
      </c>
      <c r="CA71" s="198">
        <f t="shared" ca="1" si="21"/>
        <v>-126.73269287162044</v>
      </c>
      <c r="CB71" s="198">
        <f t="shared" ca="1" si="22"/>
        <v>1137.3795886102901</v>
      </c>
      <c r="CC71" s="186">
        <f t="shared" ca="1" si="32"/>
        <v>1842.470604548718</v>
      </c>
      <c r="CD71" s="205">
        <f t="shared" ca="1" si="23"/>
        <v>2853.1175002873879</v>
      </c>
      <c r="CG71" s="180">
        <v>2035</v>
      </c>
      <c r="CH71" s="22">
        <v>21</v>
      </c>
      <c r="CI71" s="198">
        <f t="shared" ca="1" si="24"/>
        <v>116.11806197426156</v>
      </c>
      <c r="CJ71" s="198">
        <f t="shared" ca="1" si="25"/>
        <v>-491.6751733621569</v>
      </c>
      <c r="CK71" s="198">
        <f t="shared" ca="1" si="26"/>
        <v>1424.9626890372485</v>
      </c>
      <c r="CL71" s="186">
        <f t="shared" ca="1" si="27"/>
        <v>1808.2106982169528</v>
      </c>
      <c r="CM71" s="205">
        <f t="shared" ca="1" si="28"/>
        <v>2857.6162758663058</v>
      </c>
      <c r="CP71" s="180">
        <v>2035</v>
      </c>
      <c r="CQ71" s="22">
        <v>21</v>
      </c>
      <c r="CR71" s="181">
        <f t="shared" ca="1" si="29"/>
        <v>1974.5373970287794</v>
      </c>
      <c r="CS71" s="182">
        <f t="shared" ca="1" si="30"/>
        <v>1.3817373770608294</v>
      </c>
      <c r="CT71" s="205">
        <f t="shared" ca="1" si="31"/>
        <v>2728.2921238790632</v>
      </c>
      <c r="CZ71" s="164" t="b">
        <f t="shared" si="4"/>
        <v>1</v>
      </c>
      <c r="DA71" s="165" t="b">
        <f t="shared" si="4"/>
        <v>1</v>
      </c>
      <c r="DB71" s="166" t="b">
        <f t="shared" si="4"/>
        <v>1</v>
      </c>
      <c r="DC71" s="164">
        <f t="shared" si="15"/>
        <v>23</v>
      </c>
      <c r="DD71" s="166">
        <f t="shared" si="5"/>
        <v>2669.3897928083779</v>
      </c>
      <c r="DE71" s="164">
        <f t="shared" si="6"/>
        <v>23</v>
      </c>
      <c r="DF71" s="166">
        <f t="shared" si="7"/>
        <v>2918.0432097870271</v>
      </c>
      <c r="DG71" s="164">
        <f t="shared" si="8"/>
        <v>23</v>
      </c>
      <c r="DH71" s="166">
        <f t="shared" si="9"/>
        <v>3166.6966267656762</v>
      </c>
      <c r="DI71" s="164">
        <f>IFERROR(INDEX(DC$46:DC$94,_xlfn.AGGREGATE(15,6,(ROW(DC$46:DC$94)-ROW(DC$46)+1)/(DC$46:DC$94&lt;&gt;""),ROWS(DI$1:DI26))),"")</f>
        <v>23</v>
      </c>
      <c r="DJ71" s="165">
        <f>IFERROR(INDEX(DD$46:DD$94,_xlfn.AGGREGATE(15,6,(ROW(DD$46:DD$94)-ROW(DD$46)+1)/(DD$46:DD$94&lt;&gt;""),ROWS(DJ$1:DJ26))),"")</f>
        <v>2669.3897928083779</v>
      </c>
      <c r="DK71" s="166">
        <f t="shared" si="10"/>
        <v>71</v>
      </c>
      <c r="DL71" s="164">
        <f>IFERROR(INDEX(DE$46:DE$94,_xlfn.AGGREGATE(15,6,(ROW(DE$46:DE$94)-ROW(DE$46)+1)/(DE$46:DE$94&lt;&gt;""),ROWS(DL$1:DL26))),"")</f>
        <v>23</v>
      </c>
      <c r="DM71" s="165">
        <f>IFERROR(INDEX(DF$46:DF$94,_xlfn.AGGREGATE(15,6,(ROW(DF$46:DF$94)-ROW(DF$46)+1)/(DF$46:DF$94&lt;&gt;""),ROWS(DM$1:DM26))),"")</f>
        <v>2918.0432097870271</v>
      </c>
      <c r="DN71" s="166">
        <f t="shared" si="11"/>
        <v>71</v>
      </c>
      <c r="DO71" s="164">
        <f>IFERROR(INDEX(DG$46:DG$94,_xlfn.AGGREGATE(15,6,(ROW(DG$46:DG$94)-ROW(DG$46)+1)/(DG$46:DG$94&lt;&gt;""),ROWS(DO$1:DO26))),"")</f>
        <v>23</v>
      </c>
      <c r="DP71" s="165">
        <f>IFERROR(INDEX(DH$46:DH$94,_xlfn.AGGREGATE(15,6,(ROW(DH$46:DH$94)-ROW(DH$46)+1)/(DH$46:DH$94&lt;&gt;""),ROWS(DP$1:DP26))),"")</f>
        <v>3166.6966267656762</v>
      </c>
      <c r="DQ71" s="166">
        <f t="shared" si="12"/>
        <v>71</v>
      </c>
      <c r="DV71" s="145">
        <v>2040</v>
      </c>
      <c r="DW71" s="146">
        <f t="shared" ca="1" si="13"/>
        <v>3039.1460711476875</v>
      </c>
      <c r="EU71" s="65"/>
      <c r="EV71" s="147"/>
    </row>
    <row r="72" spans="1:152" ht="13.8" x14ac:dyDescent="0.45">
      <c r="B72" s="128">
        <v>2038</v>
      </c>
      <c r="C72" s="1016">
        <v>2855.4847294156916</v>
      </c>
      <c r="D72" s="982">
        <v>3299.1639325679171</v>
      </c>
      <c r="E72" s="1017"/>
      <c r="F72" s="1077"/>
      <c r="G72" s="1109">
        <v>2720.1381367666472</v>
      </c>
      <c r="H72" s="1107"/>
      <c r="I72" s="1112"/>
      <c r="J72" s="207"/>
      <c r="K72" s="204"/>
      <c r="L72" s="206"/>
      <c r="M72" s="204"/>
      <c r="N72" s="29" t="s">
        <v>758</v>
      </c>
      <c r="P72" s="128"/>
      <c r="Q72" s="176" t="str">
        <f t="shared" si="16"/>
        <v/>
      </c>
      <c r="R72" s="29">
        <v>24</v>
      </c>
      <c r="S72" s="154">
        <f t="shared" si="0"/>
        <v>2720.1381367666472</v>
      </c>
      <c r="T72" s="154">
        <f t="shared" si="1"/>
        <v>3299.1639325679171</v>
      </c>
      <c r="U72" s="154">
        <f t="shared" si="2"/>
        <v>247.3056605486853</v>
      </c>
      <c r="W72" s="154">
        <f t="shared" si="14"/>
        <v>2710.9566057013999</v>
      </c>
      <c r="X72" s="154">
        <f>IF(U72="",#N/A,IF($B$36=$A$62,(SUM(C72:E72)/COUNTIF(C72:E72,"&gt;0")),IF($B$36=$A$63,(SUM(F72:H72)/COUNTIF(F72:H72,"&gt;0")),IF($B$36=$A$64,(SUM(J72:K72)/COUNTIF(J72:K72,"&gt;0")),IF($B$36=$A$65,(SUM(L72:M72)/COUNTIF(L72:M72,"&gt;0")),(IF($B$36=$A$46,IF(C72="",#N/A,C72),IF($B$36=$A$47,IF(D72="",#N/A,D72),IF($B$36=$A$48,IF(E72="",#N/A,E72),IF($B$36=$A$49,IF(F72="",#N/A,F72),IF($B$36=$A$50,IF(G72="",#N/A,G72),IF($B$36=$A$51,IF(H72="",#N/A,H72),IF($B$36=$A$52,IF('Total MSW TAM Data_Updated2020'!I72="",#N/A,'Total MSW TAM Data_Updated2020'!I72),IF($B$36=$A$53,IF(J72="",#N/A,J72),IF($B$36=$A$54,IF(K72="",#N/A,K72),IF($B$36=$A$55,IF(L72="",#N/A,L72),IF($B$36=$A$56,IF(M72="",#N/A,M72),IF(U72="",#N/A,(SUM(C72:Q72)/COUNTIFS(C72:Q72,"&gt;0"))))))))))))))))))))</f>
        <v>2958.2622662500853</v>
      </c>
      <c r="Y72" s="154">
        <f t="shared" si="3"/>
        <v>3205.5679267987707</v>
      </c>
      <c r="AA72" s="1133">
        <v>2757.3742318283789</v>
      </c>
      <c r="AB72" s="1133">
        <v>2986.1741721298445</v>
      </c>
      <c r="AC72" s="1133">
        <v>3214.97411243131</v>
      </c>
      <c r="AD72" s="89"/>
      <c r="AE72" s="89"/>
      <c r="AF72" s="89"/>
      <c r="AG72" s="89"/>
      <c r="AH72" s="89"/>
      <c r="AI72" s="89"/>
      <c r="AJ72" s="89"/>
      <c r="AK72" s="89"/>
      <c r="AL72" s="89"/>
      <c r="AM72" s="89"/>
      <c r="AN72" s="89"/>
      <c r="BR72" s="180">
        <v>2036</v>
      </c>
      <c r="BS72" s="22">
        <v>22</v>
      </c>
      <c r="BT72" s="181">
        <f t="shared" si="18"/>
        <v>913.36082366944527</v>
      </c>
      <c r="BU72" s="182">
        <f t="shared" si="19"/>
        <v>1924.0853092551583</v>
      </c>
      <c r="BV72" s="205">
        <f t="shared" si="20"/>
        <v>2837.4461329246037</v>
      </c>
      <c r="BY72" s="180">
        <v>2036</v>
      </c>
      <c r="BZ72" s="22">
        <v>22</v>
      </c>
      <c r="CA72" s="198">
        <f t="shared" ca="1" si="21"/>
        <v>-139.08984886590542</v>
      </c>
      <c r="CB72" s="198">
        <f t="shared" ca="1" si="22"/>
        <v>1191.5405214012562</v>
      </c>
      <c r="CC72" s="186">
        <f t="shared" ca="1" si="32"/>
        <v>1842.470604548718</v>
      </c>
      <c r="CD72" s="205">
        <f t="shared" ca="1" si="23"/>
        <v>2894.9212770840686</v>
      </c>
      <c r="CG72" s="180">
        <v>2036</v>
      </c>
      <c r="CH72" s="22">
        <v>22</v>
      </c>
      <c r="CI72" s="198">
        <f t="shared" ca="1" si="24"/>
        <v>133.50881372442902</v>
      </c>
      <c r="CJ72" s="198">
        <f t="shared" ca="1" si="25"/>
        <v>-539.61629003919256</v>
      </c>
      <c r="CK72" s="198">
        <f t="shared" ca="1" si="26"/>
        <v>1492.8180551818793</v>
      </c>
      <c r="CL72" s="186">
        <f t="shared" ca="1" si="27"/>
        <v>1808.2106982169528</v>
      </c>
      <c r="CM72" s="205">
        <f t="shared" ca="1" si="28"/>
        <v>2894.9212770840686</v>
      </c>
      <c r="CP72" s="180">
        <v>2036</v>
      </c>
      <c r="CQ72" s="22">
        <v>22</v>
      </c>
      <c r="CR72" s="181">
        <f t="shared" ca="1" si="29"/>
        <v>1974.5373970287794</v>
      </c>
      <c r="CS72" s="182">
        <f t="shared" ca="1" si="30"/>
        <v>1.4031769263312046</v>
      </c>
      <c r="CT72" s="205">
        <f t="shared" ca="1" si="31"/>
        <v>2770.6253156888602</v>
      </c>
      <c r="CZ72" s="164" t="b">
        <f t="shared" si="4"/>
        <v>1</v>
      </c>
      <c r="DA72" s="165" t="b">
        <f t="shared" si="4"/>
        <v>1</v>
      </c>
      <c r="DB72" s="166" t="b">
        <f t="shared" si="4"/>
        <v>1</v>
      </c>
      <c r="DC72" s="164">
        <f t="shared" si="15"/>
        <v>24</v>
      </c>
      <c r="DD72" s="166">
        <f t="shared" si="5"/>
        <v>2710.9566057013999</v>
      </c>
      <c r="DE72" s="164">
        <f t="shared" si="6"/>
        <v>24</v>
      </c>
      <c r="DF72" s="166">
        <f t="shared" si="7"/>
        <v>2958.2622662500853</v>
      </c>
      <c r="DG72" s="164">
        <f t="shared" si="8"/>
        <v>24</v>
      </c>
      <c r="DH72" s="166">
        <f t="shared" si="9"/>
        <v>3205.5679267987707</v>
      </c>
      <c r="DI72" s="164">
        <f>IFERROR(INDEX(DC$46:DC$94,_xlfn.AGGREGATE(15,6,(ROW(DC$46:DC$94)-ROW(DC$46)+1)/(DC$46:DC$94&lt;&gt;""),ROWS(DI$1:DI27))),"")</f>
        <v>24</v>
      </c>
      <c r="DJ72" s="165">
        <f>IFERROR(INDEX(DD$46:DD$94,_xlfn.AGGREGATE(15,6,(ROW(DD$46:DD$94)-ROW(DD$46)+1)/(DD$46:DD$94&lt;&gt;""),ROWS(DJ$1:DJ27))),"")</f>
        <v>2710.9566057013999</v>
      </c>
      <c r="DK72" s="166">
        <f t="shared" si="10"/>
        <v>72</v>
      </c>
      <c r="DL72" s="164">
        <f>IFERROR(INDEX(DE$46:DE$94,_xlfn.AGGREGATE(15,6,(ROW(DE$46:DE$94)-ROW(DE$46)+1)/(DE$46:DE$94&lt;&gt;""),ROWS(DL$1:DL27))),"")</f>
        <v>24</v>
      </c>
      <c r="DM72" s="165">
        <f>IFERROR(INDEX(DF$46:DF$94,_xlfn.AGGREGATE(15,6,(ROW(DF$46:DF$94)-ROW(DF$46)+1)/(DF$46:DF$94&lt;&gt;""),ROWS(DM$1:DM27))),"")</f>
        <v>2958.2622662500853</v>
      </c>
      <c r="DN72" s="166">
        <f t="shared" si="11"/>
        <v>72</v>
      </c>
      <c r="DO72" s="164">
        <f>IFERROR(INDEX(DG$46:DG$94,_xlfn.AGGREGATE(15,6,(ROW(DG$46:DG$94)-ROW(DG$46)+1)/(DG$46:DG$94&lt;&gt;""),ROWS(DO$1:DO27))),"")</f>
        <v>24</v>
      </c>
      <c r="DP72" s="165">
        <f>IFERROR(INDEX(DH$46:DH$94,_xlfn.AGGREGATE(15,6,(ROW(DH$46:DH$94)-ROW(DH$46)+1)/(DH$46:DH$94&lt;&gt;""),ROWS(DP$1:DP27))),"")</f>
        <v>3205.5679267987707</v>
      </c>
      <c r="DQ72" s="166">
        <f t="shared" si="12"/>
        <v>72</v>
      </c>
      <c r="DV72" s="145">
        <v>2041</v>
      </c>
      <c r="DW72" s="146">
        <f t="shared" ca="1" si="13"/>
        <v>3074.3296187659917</v>
      </c>
      <c r="EU72" s="65"/>
      <c r="EV72" s="147"/>
    </row>
    <row r="73" spans="1:152" ht="13.8" x14ac:dyDescent="0.45">
      <c r="B73" s="128">
        <v>2039</v>
      </c>
      <c r="C73" s="1016">
        <v>2891.9055884723339</v>
      </c>
      <c r="D73" s="982">
        <v>3338.1328270994823</v>
      </c>
      <c r="E73" s="1017"/>
      <c r="F73" s="1077"/>
      <c r="G73" s="1109">
        <v>2764.7075308472013</v>
      </c>
      <c r="H73" s="1107"/>
      <c r="I73" s="1112"/>
      <c r="J73" s="207"/>
      <c r="K73" s="204"/>
      <c r="L73" s="206"/>
      <c r="M73" s="204"/>
      <c r="N73" s="29" t="s">
        <v>758</v>
      </c>
      <c r="P73" s="128"/>
      <c r="Q73" s="176" t="str">
        <f t="shared" si="16"/>
        <v/>
      </c>
      <c r="R73" s="29">
        <v>25</v>
      </c>
      <c r="S73" s="154">
        <f t="shared" si="0"/>
        <v>2764.7075308472013</v>
      </c>
      <c r="T73" s="154">
        <f t="shared" si="1"/>
        <v>3338.1328270994823</v>
      </c>
      <c r="U73" s="154">
        <f t="shared" si="2"/>
        <v>245.88042819821379</v>
      </c>
      <c r="W73" s="154">
        <f t="shared" si="14"/>
        <v>2752.3682206081253</v>
      </c>
      <c r="X73" s="154">
        <f>IF(U73="",#N/A,IF($B$36=$A$62,(SUM(C73:E73)/COUNTIF(C73:E73,"&gt;0")),IF($B$36=$A$63,(SUM(F73:H73)/COUNTIF(F73:H73,"&gt;0")),IF($B$36=$A$64,(SUM(J73:K73)/COUNTIF(J73:K73,"&gt;0")),IF($B$36=$A$65,(SUM(L73:M73)/COUNTIF(L73:M73,"&gt;0")),(IF($B$36=$A$46,IF(C73="",#N/A,C73),IF($B$36=$A$47,IF(D73="",#N/A,D73),IF($B$36=$A$48,IF(E73="",#N/A,E73),IF($B$36=$A$49,IF(F73="",#N/A,F73),IF($B$36=$A$50,IF(G73="",#N/A,G73),IF($B$36=$A$51,IF(H73="",#N/A,H73),IF($B$36=$A$52,IF('Total MSW TAM Data_Updated2020'!I73="",#N/A,'Total MSW TAM Data_Updated2020'!I73),IF($B$36=$A$53,IF(J73="",#N/A,J73),IF($B$36=$A$54,IF(K73="",#N/A,K73),IF($B$36=$A$55,IF(L73="",#N/A,L73),IF($B$36=$A$56,IF(M73="",#N/A,M73),IF(U73="",#N/A,(SUM(C73:Q73)/COUNTIFS(C73:Q73,"&gt;0"))))))))))))))))))))</f>
        <v>2998.2486488063391</v>
      </c>
      <c r="Y73" s="154">
        <f t="shared" si="3"/>
        <v>3244.129077004553</v>
      </c>
      <c r="AA73" s="1133">
        <v>2803.4544911175799</v>
      </c>
      <c r="AB73" s="1133">
        <v>3030.0104932724716</v>
      </c>
      <c r="AC73" s="1133">
        <v>3256.5664954273634</v>
      </c>
      <c r="AD73" s="89"/>
      <c r="AE73" s="89"/>
      <c r="AF73" s="89"/>
      <c r="AG73" s="89"/>
      <c r="AH73" s="89"/>
      <c r="AI73" s="89"/>
      <c r="AJ73" s="89"/>
      <c r="AK73" s="89"/>
      <c r="AL73" s="89"/>
      <c r="AM73" s="89"/>
      <c r="AN73" s="89"/>
      <c r="BR73" s="180">
        <v>2037</v>
      </c>
      <c r="BS73" s="22">
        <v>23</v>
      </c>
      <c r="BT73" s="181">
        <f t="shared" si="18"/>
        <v>954.87722474532916</v>
      </c>
      <c r="BU73" s="182">
        <f t="shared" si="19"/>
        <v>1924.0853092551583</v>
      </c>
      <c r="BV73" s="205">
        <f t="shared" si="20"/>
        <v>2878.9625340004877</v>
      </c>
      <c r="BY73" s="180">
        <v>2037</v>
      </c>
      <c r="BZ73" s="22">
        <v>23</v>
      </c>
      <c r="CA73" s="198">
        <f t="shared" ca="1" si="21"/>
        <v>-152.02175630178508</v>
      </c>
      <c r="CB73" s="198">
        <f t="shared" ca="1" si="22"/>
        <v>1245.7014541922224</v>
      </c>
      <c r="CC73" s="186">
        <f t="shared" ca="1" si="32"/>
        <v>1842.470604548718</v>
      </c>
      <c r="CD73" s="205">
        <f t="shared" ca="1" si="23"/>
        <v>2936.1503024391554</v>
      </c>
      <c r="CG73" s="180">
        <v>2037</v>
      </c>
      <c r="CH73" s="22">
        <v>23</v>
      </c>
      <c r="CI73" s="198">
        <f t="shared" ca="1" si="24"/>
        <v>152.55463341332907</v>
      </c>
      <c r="CJ73" s="198">
        <f t="shared" ca="1" si="25"/>
        <v>-589.78722609655551</v>
      </c>
      <c r="CK73" s="198">
        <f t="shared" ca="1" si="26"/>
        <v>1560.6734213265102</v>
      </c>
      <c r="CL73" s="186">
        <f t="shared" ca="1" si="27"/>
        <v>1808.2106982169528</v>
      </c>
      <c r="CM73" s="205">
        <f t="shared" ca="1" si="28"/>
        <v>2931.6515268602361</v>
      </c>
      <c r="CP73" s="180">
        <v>2037</v>
      </c>
      <c r="CQ73" s="22">
        <v>23</v>
      </c>
      <c r="CR73" s="181">
        <f t="shared" ca="1" si="29"/>
        <v>1974.5373970287794</v>
      </c>
      <c r="CS73" s="182">
        <f t="shared" ca="1" si="30"/>
        <v>1.4249491395944252</v>
      </c>
      <c r="CT73" s="205">
        <f t="shared" ca="1" si="31"/>
        <v>2813.6153649931753</v>
      </c>
      <c r="CZ73" s="164" t="b">
        <f t="shared" si="4"/>
        <v>1</v>
      </c>
      <c r="DA73" s="165" t="b">
        <f t="shared" si="4"/>
        <v>1</v>
      </c>
      <c r="DB73" s="166" t="b">
        <f t="shared" si="4"/>
        <v>1</v>
      </c>
      <c r="DC73" s="164">
        <f t="shared" si="15"/>
        <v>25</v>
      </c>
      <c r="DD73" s="166">
        <f t="shared" si="5"/>
        <v>2752.3682206081253</v>
      </c>
      <c r="DE73" s="164">
        <f t="shared" si="6"/>
        <v>25</v>
      </c>
      <c r="DF73" s="166">
        <f t="shared" si="7"/>
        <v>2998.2486488063391</v>
      </c>
      <c r="DG73" s="164">
        <f t="shared" si="8"/>
        <v>25</v>
      </c>
      <c r="DH73" s="166">
        <f t="shared" si="9"/>
        <v>3244.129077004553</v>
      </c>
      <c r="DI73" s="164">
        <f>IFERROR(INDEX(DC$46:DC$94,_xlfn.AGGREGATE(15,6,(ROW(DC$46:DC$94)-ROW(DC$46)+1)/(DC$46:DC$94&lt;&gt;""),ROWS(DI$1:DI28))),"")</f>
        <v>25</v>
      </c>
      <c r="DJ73" s="165">
        <f>IFERROR(INDEX(DD$46:DD$94,_xlfn.AGGREGATE(15,6,(ROW(DD$46:DD$94)-ROW(DD$46)+1)/(DD$46:DD$94&lt;&gt;""),ROWS(DJ$1:DJ28))),"")</f>
        <v>2752.3682206081253</v>
      </c>
      <c r="DK73" s="166">
        <f t="shared" si="10"/>
        <v>73</v>
      </c>
      <c r="DL73" s="164">
        <f>IFERROR(INDEX(DE$46:DE$94,_xlfn.AGGREGATE(15,6,(ROW(DE$46:DE$94)-ROW(DE$46)+1)/(DE$46:DE$94&lt;&gt;""),ROWS(DL$1:DL28))),"")</f>
        <v>25</v>
      </c>
      <c r="DM73" s="165">
        <f>IFERROR(INDEX(DF$46:DF$94,_xlfn.AGGREGATE(15,6,(ROW(DF$46:DF$94)-ROW(DF$46)+1)/(DF$46:DF$94&lt;&gt;""),ROWS(DM$1:DM28))),"")</f>
        <v>2998.2486488063391</v>
      </c>
      <c r="DN73" s="166">
        <f t="shared" si="11"/>
        <v>73</v>
      </c>
      <c r="DO73" s="164">
        <f>IFERROR(INDEX(DG$46:DG$94,_xlfn.AGGREGATE(15,6,(ROW(DG$46:DG$94)-ROW(DG$46)+1)/(DG$46:DG$94&lt;&gt;""),ROWS(DO$1:DO28))),"")</f>
        <v>25</v>
      </c>
      <c r="DP73" s="165">
        <f>IFERROR(INDEX(DH$46:DH$94,_xlfn.AGGREGATE(15,6,(ROW(DH$46:DH$94)-ROW(DH$46)+1)/(DH$46:DH$94&lt;&gt;""),ROWS(DP$1:DP28))),"")</f>
        <v>3244.129077004553</v>
      </c>
      <c r="DQ73" s="166">
        <f t="shared" si="12"/>
        <v>73</v>
      </c>
      <c r="DV73" s="145">
        <v>2042</v>
      </c>
      <c r="DW73" s="146">
        <f t="shared" ca="1" si="13"/>
        <v>3109.3145667469589</v>
      </c>
      <c r="EU73" s="65"/>
      <c r="EV73" s="147"/>
    </row>
    <row r="74" spans="1:152" ht="13.8" x14ac:dyDescent="0.45">
      <c r="B74" s="128">
        <v>2040</v>
      </c>
      <c r="C74" s="1016">
        <v>2928.1850789522596</v>
      </c>
      <c r="D74" s="982">
        <v>3366.2735303173167</v>
      </c>
      <c r="E74" s="1017"/>
      <c r="F74" s="1077"/>
      <c r="G74" s="1109">
        <v>2809.0896049665503</v>
      </c>
      <c r="H74" s="1107"/>
      <c r="I74" s="1112"/>
      <c r="J74" s="207"/>
      <c r="K74" s="204"/>
      <c r="L74" s="206"/>
      <c r="M74" s="204"/>
      <c r="N74" s="29" t="s">
        <v>758</v>
      </c>
      <c r="P74" s="128"/>
      <c r="Q74" s="176" t="str">
        <f t="shared" si="16"/>
        <v/>
      </c>
      <c r="R74" s="29">
        <v>26</v>
      </c>
      <c r="S74" s="154">
        <f t="shared" si="0"/>
        <v>2809.0896049665503</v>
      </c>
      <c r="T74" s="154">
        <f t="shared" si="1"/>
        <v>3366.2735303173167</v>
      </c>
      <c r="U74" s="154">
        <f t="shared" si="2"/>
        <v>239.57349830540369</v>
      </c>
      <c r="W74" s="154">
        <f t="shared" si="14"/>
        <v>2794.942573106639</v>
      </c>
      <c r="X74" s="154">
        <f>IF(U74="",#N/A,IF($B$36=$A$62,(SUM(C74:E74)/COUNTIF(C74:E74,"&gt;0")),IF($B$36=$A$63,(SUM(F74:H74)/COUNTIF(F74:H74,"&gt;0")),IF($B$36=$A$64,(SUM(J74:K74)/COUNTIF(J74:K74,"&gt;0")),IF($B$36=$A$65,(SUM(L74:M74)/COUNTIF(L74:M74,"&gt;0")),(IF($B$36=$A$46,IF(C74="",#N/A,C74),IF($B$36=$A$47,IF(D74="",#N/A,D74),IF($B$36=$A$48,IF(E74="",#N/A,E74),IF($B$36=$A$49,IF(F74="",#N/A,F74),IF($B$36=$A$50,IF(G74="",#N/A,G74),IF($B$36=$A$51,IF(H74="",#N/A,H74),IF($B$36=$A$52,IF('Total MSW TAM Data_Updated2020'!I74="",#N/A,'Total MSW TAM Data_Updated2020'!I74),IF($B$36=$A$53,IF(J74="",#N/A,J74),IF($B$36=$A$54,IF(K74="",#N/A,K74),IF($B$36=$A$55,IF(L74="",#N/A,L74),IF($B$36=$A$56,IF(M74="",#N/A,M74),IF(U74="",#N/A,(SUM(C74:Q74)/COUNTIFS(C74:Q74,"&gt;0"))))))))))))))))))))</f>
        <v>3034.5160714120425</v>
      </c>
      <c r="Y74" s="154">
        <f t="shared" si="3"/>
        <v>3274.089569717446</v>
      </c>
      <c r="AA74" s="1133">
        <v>2850.800011138057</v>
      </c>
      <c r="AB74" s="1133">
        <v>3070.2682565731338</v>
      </c>
      <c r="AC74" s="1133">
        <v>3289.7365020082107</v>
      </c>
      <c r="AD74" s="89"/>
      <c r="AE74" s="89"/>
      <c r="AF74" s="89"/>
      <c r="AG74" s="89"/>
      <c r="AH74" s="89"/>
      <c r="AI74" s="89"/>
      <c r="AJ74" s="89"/>
      <c r="AK74" s="89"/>
      <c r="AL74" s="89"/>
      <c r="AM74" s="89"/>
      <c r="AN74" s="89"/>
      <c r="BR74" s="180">
        <v>2038</v>
      </c>
      <c r="BS74" s="22">
        <v>24</v>
      </c>
      <c r="BT74" s="181">
        <f t="shared" si="18"/>
        <v>996.39362582121305</v>
      </c>
      <c r="BU74" s="182">
        <f t="shared" si="19"/>
        <v>1924.0853092551583</v>
      </c>
      <c r="BV74" s="205">
        <f t="shared" si="20"/>
        <v>2920.4789350763713</v>
      </c>
      <c r="BY74" s="180">
        <v>2038</v>
      </c>
      <c r="BZ74" s="22">
        <v>24</v>
      </c>
      <c r="CA74" s="198">
        <f t="shared" ca="1" si="21"/>
        <v>-165.52841517925935</v>
      </c>
      <c r="CB74" s="198">
        <f t="shared" ca="1" si="22"/>
        <v>1299.8623869831886</v>
      </c>
      <c r="CC74" s="186">
        <f t="shared" ca="1" si="32"/>
        <v>1842.470604548718</v>
      </c>
      <c r="CD74" s="205">
        <f t="shared" ca="1" si="23"/>
        <v>2976.804576352647</v>
      </c>
      <c r="CG74" s="180">
        <v>2038</v>
      </c>
      <c r="CH74" s="22">
        <v>24</v>
      </c>
      <c r="CI74" s="198">
        <f t="shared" ca="1" si="24"/>
        <v>173.33075140181319</v>
      </c>
      <c r="CJ74" s="198">
        <f t="shared" ca="1" si="25"/>
        <v>-642.18798153424575</v>
      </c>
      <c r="CK74" s="198">
        <f t="shared" ca="1" si="26"/>
        <v>1628.5287874711412</v>
      </c>
      <c r="CL74" s="186">
        <f t="shared" ca="1" si="27"/>
        <v>1808.2106982169528</v>
      </c>
      <c r="CM74" s="205">
        <f t="shared" ca="1" si="28"/>
        <v>2967.8822555556617</v>
      </c>
      <c r="CP74" s="180">
        <v>2038</v>
      </c>
      <c r="CQ74" s="22">
        <v>24</v>
      </c>
      <c r="CR74" s="181">
        <f t="shared" ca="1" si="29"/>
        <v>1974.5373970287794</v>
      </c>
      <c r="CS74" s="182">
        <f t="shared" ca="1" si="30"/>
        <v>1.4470591785883029</v>
      </c>
      <c r="CT74" s="205">
        <f t="shared" ca="1" si="31"/>
        <v>2857.2724638363511</v>
      </c>
      <c r="CZ74" s="164" t="b">
        <f t="shared" si="4"/>
        <v>1</v>
      </c>
      <c r="DA74" s="165" t="b">
        <f t="shared" si="4"/>
        <v>1</v>
      </c>
      <c r="DB74" s="166" t="b">
        <f t="shared" si="4"/>
        <v>1</v>
      </c>
      <c r="DC74" s="164">
        <f t="shared" si="15"/>
        <v>26</v>
      </c>
      <c r="DD74" s="166">
        <f t="shared" si="5"/>
        <v>2794.942573106639</v>
      </c>
      <c r="DE74" s="164">
        <f t="shared" si="6"/>
        <v>26</v>
      </c>
      <c r="DF74" s="166">
        <f t="shared" si="7"/>
        <v>3034.5160714120425</v>
      </c>
      <c r="DG74" s="164">
        <f t="shared" si="8"/>
        <v>26</v>
      </c>
      <c r="DH74" s="166">
        <f t="shared" si="9"/>
        <v>3274.089569717446</v>
      </c>
      <c r="DI74" s="164">
        <f>IFERROR(INDEX(DC$46:DC$94,_xlfn.AGGREGATE(15,6,(ROW(DC$46:DC$94)-ROW(DC$46)+1)/(DC$46:DC$94&lt;&gt;""),ROWS(DI$1:DI29))),"")</f>
        <v>26</v>
      </c>
      <c r="DJ74" s="165">
        <f>IFERROR(INDEX(DD$46:DD$94,_xlfn.AGGREGATE(15,6,(ROW(DD$46:DD$94)-ROW(DD$46)+1)/(DD$46:DD$94&lt;&gt;""),ROWS(DJ$1:DJ29))),"")</f>
        <v>2794.942573106639</v>
      </c>
      <c r="DK74" s="166">
        <f t="shared" si="10"/>
        <v>74</v>
      </c>
      <c r="DL74" s="164">
        <f>IFERROR(INDEX(DE$46:DE$94,_xlfn.AGGREGATE(15,6,(ROW(DE$46:DE$94)-ROW(DE$46)+1)/(DE$46:DE$94&lt;&gt;""),ROWS(DL$1:DL29))),"")</f>
        <v>26</v>
      </c>
      <c r="DM74" s="165">
        <f>IFERROR(INDEX(DF$46:DF$94,_xlfn.AGGREGATE(15,6,(ROW(DF$46:DF$94)-ROW(DF$46)+1)/(DF$46:DF$94&lt;&gt;""),ROWS(DM$1:DM29))),"")</f>
        <v>3034.5160714120425</v>
      </c>
      <c r="DN74" s="166">
        <f t="shared" si="11"/>
        <v>74</v>
      </c>
      <c r="DO74" s="164">
        <f>IFERROR(INDEX(DG$46:DG$94,_xlfn.AGGREGATE(15,6,(ROW(DG$46:DG$94)-ROW(DG$46)+1)/(DG$46:DG$94&lt;&gt;""),ROWS(DO$1:DO29))),"")</f>
        <v>26</v>
      </c>
      <c r="DP74" s="165">
        <f>IFERROR(INDEX(DH$46:DH$94,_xlfn.AGGREGATE(15,6,(ROW(DH$46:DH$94)-ROW(DH$46)+1)/(DH$46:DH$94&lt;&gt;""),ROWS(DP$1:DP29))),"")</f>
        <v>3274.089569717446</v>
      </c>
      <c r="DQ74" s="166">
        <f t="shared" si="12"/>
        <v>74</v>
      </c>
      <c r="DV74" s="145">
        <v>2043</v>
      </c>
      <c r="DW74" s="146">
        <f t="shared" ca="1" si="13"/>
        <v>3144.1761454514399</v>
      </c>
      <c r="EA74" s="55"/>
      <c r="EB74" s="55"/>
      <c r="EC74" s="55"/>
      <c r="ED74" s="55"/>
      <c r="EE74" s="55"/>
      <c r="EU74" s="65"/>
      <c r="EV74" s="147"/>
    </row>
    <row r="75" spans="1:152" ht="13.8" x14ac:dyDescent="0.45">
      <c r="B75" s="128">
        <v>2041</v>
      </c>
      <c r="C75" s="1016">
        <v>2964.3172532738531</v>
      </c>
      <c r="D75" s="982">
        <v>3415.0669955812828</v>
      </c>
      <c r="E75" s="1017"/>
      <c r="F75" s="1077"/>
      <c r="G75" s="1109">
        <v>2852.9066141101607</v>
      </c>
      <c r="H75" s="1107"/>
      <c r="I75" s="1112"/>
      <c r="J75" s="207"/>
      <c r="K75" s="204"/>
      <c r="L75" s="206"/>
      <c r="M75" s="204"/>
      <c r="N75" s="29" t="s">
        <v>758</v>
      </c>
      <c r="P75" s="128"/>
      <c r="Q75" s="176" t="str">
        <f t="shared" si="16"/>
        <v/>
      </c>
      <c r="R75" s="29">
        <v>27</v>
      </c>
      <c r="S75" s="154">
        <f t="shared" si="0"/>
        <v>2852.9066141101607</v>
      </c>
      <c r="T75" s="154">
        <f t="shared" si="1"/>
        <v>3415.0669955812828</v>
      </c>
      <c r="U75" s="154">
        <f t="shared" si="2"/>
        <v>243.03908126628389</v>
      </c>
      <c r="W75" s="154">
        <f t="shared" si="14"/>
        <v>2834.3912063888151</v>
      </c>
      <c r="X75" s="154">
        <f>IF(U75="",#N/A,IF($B$36=$A$62,(SUM(C75:E75)/COUNTIF(C75:E75,"&gt;0")),IF($B$36=$A$63,(SUM(F75:H75)/COUNTIF(F75:H75,"&gt;0")),IF($B$36=$A$64,(SUM(J75:K75)/COUNTIF(J75:K75,"&gt;0")),IF($B$36=$A$65,(SUM(L75:M75)/COUNTIF(L75:M75,"&gt;0")),(IF($B$36=$A$46,IF(C75="",#N/A,C75),IF($B$36=$A$47,IF(D75="",#N/A,D75),IF($B$36=$A$48,IF(E75="",#N/A,E75),IF($B$36=$A$49,IF(F75="",#N/A,F75),IF($B$36=$A$50,IF(G75="",#N/A,G75),IF($B$36=$A$51,IF(H75="",#N/A,H75),IF($B$36=$A$52,IF('Total MSW TAM Data_Updated2020'!I75="",#N/A,'Total MSW TAM Data_Updated2020'!I75),IF($B$36=$A$53,IF(J75="",#N/A,J75),IF($B$36=$A$54,IF(K75="",#N/A,K75),IF($B$36=$A$55,IF(L75="",#N/A,L75),IF($B$36=$A$56,IF(M75="",#N/A,M75),IF(U75="",#N/A,(SUM(C75:Q75)/COUNTIFS(C75:Q75,"&gt;0"))))))))))))))))))))</f>
        <v>3077.4302876550992</v>
      </c>
      <c r="Y75" s="154">
        <f t="shared" si="3"/>
        <v>3320.4693689213832</v>
      </c>
      <c r="AA75" s="1133">
        <v>2895.3487701414533</v>
      </c>
      <c r="AB75" s="1133">
        <v>3117.3237746717477</v>
      </c>
      <c r="AC75" s="1133">
        <v>3339.2987792020422</v>
      </c>
      <c r="AD75" s="89"/>
      <c r="AE75" s="89"/>
      <c r="AF75" s="89"/>
      <c r="AG75" s="89"/>
      <c r="AH75" s="89"/>
      <c r="AI75" s="89"/>
      <c r="AJ75" s="89"/>
      <c r="AK75" s="89"/>
      <c r="AL75" s="89"/>
      <c r="AM75" s="89"/>
      <c r="AN75" s="89"/>
      <c r="BR75" s="180">
        <v>2039</v>
      </c>
      <c r="BS75" s="22">
        <v>25</v>
      </c>
      <c r="BT75" s="181">
        <f t="shared" si="18"/>
        <v>1037.9100268970969</v>
      </c>
      <c r="BU75" s="182">
        <f t="shared" si="19"/>
        <v>1924.0853092551583</v>
      </c>
      <c r="BV75" s="205">
        <f t="shared" si="20"/>
        <v>2961.9953361522553</v>
      </c>
      <c r="BY75" s="180">
        <v>2039</v>
      </c>
      <c r="BZ75" s="22">
        <v>25</v>
      </c>
      <c r="CA75" s="198">
        <f t="shared" ca="1" si="21"/>
        <v>-179.60982549832829</v>
      </c>
      <c r="CB75" s="198">
        <f t="shared" ca="1" si="22"/>
        <v>1354.0233197741547</v>
      </c>
      <c r="CC75" s="186">
        <f t="shared" ca="1" si="32"/>
        <v>1842.470604548718</v>
      </c>
      <c r="CD75" s="205">
        <f t="shared" ca="1" si="23"/>
        <v>3016.8840988245447</v>
      </c>
      <c r="CG75" s="180">
        <v>2039</v>
      </c>
      <c r="CH75" s="22">
        <v>25</v>
      </c>
      <c r="CI75" s="198">
        <f t="shared" ca="1" si="24"/>
        <v>195.91239805073286</v>
      </c>
      <c r="CJ75" s="198">
        <f t="shared" ca="1" si="25"/>
        <v>-696.81855635226316</v>
      </c>
      <c r="CK75" s="198">
        <f t="shared" ca="1" si="26"/>
        <v>1696.384153615772</v>
      </c>
      <c r="CL75" s="186">
        <f t="shared" ca="1" si="27"/>
        <v>1808.2106982169528</v>
      </c>
      <c r="CM75" s="205">
        <f t="shared" ca="1" si="28"/>
        <v>3003.6886935311945</v>
      </c>
      <c r="CP75" s="180">
        <v>2039</v>
      </c>
      <c r="CQ75" s="22">
        <v>25</v>
      </c>
      <c r="CR75" s="181">
        <f t="shared" ca="1" si="29"/>
        <v>1974.5373970287794</v>
      </c>
      <c r="CS75" s="182">
        <f t="shared" ca="1" si="30"/>
        <v>1.4695122851420868</v>
      </c>
      <c r="CT75" s="205">
        <f t="shared" ca="1" si="31"/>
        <v>2901.6069624062693</v>
      </c>
      <c r="CZ75" s="164" t="b">
        <f t="shared" si="4"/>
        <v>1</v>
      </c>
      <c r="DA75" s="165" t="b">
        <f t="shared" si="4"/>
        <v>1</v>
      </c>
      <c r="DB75" s="166" t="b">
        <f t="shared" si="4"/>
        <v>1</v>
      </c>
      <c r="DC75" s="164">
        <f t="shared" si="15"/>
        <v>27</v>
      </c>
      <c r="DD75" s="166">
        <f t="shared" si="5"/>
        <v>2834.3912063888151</v>
      </c>
      <c r="DE75" s="164">
        <f t="shared" si="6"/>
        <v>27</v>
      </c>
      <c r="DF75" s="166">
        <f t="shared" si="7"/>
        <v>3077.4302876550992</v>
      </c>
      <c r="DG75" s="164">
        <f t="shared" si="8"/>
        <v>27</v>
      </c>
      <c r="DH75" s="166">
        <f t="shared" si="9"/>
        <v>3320.4693689213832</v>
      </c>
      <c r="DI75" s="164">
        <f>IFERROR(INDEX(DC$46:DC$94,_xlfn.AGGREGATE(15,6,(ROW(DC$46:DC$94)-ROW(DC$46)+1)/(DC$46:DC$94&lt;&gt;""),ROWS(DI$1:DI30))),"")</f>
        <v>27</v>
      </c>
      <c r="DJ75" s="165">
        <f>IFERROR(INDEX(DD$46:DD$94,_xlfn.AGGREGATE(15,6,(ROW(DD$46:DD$94)-ROW(DD$46)+1)/(DD$46:DD$94&lt;&gt;""),ROWS(DJ$1:DJ30))),"")</f>
        <v>2834.3912063888151</v>
      </c>
      <c r="DK75" s="166">
        <f t="shared" si="10"/>
        <v>75</v>
      </c>
      <c r="DL75" s="164">
        <f>IFERROR(INDEX(DE$46:DE$94,_xlfn.AGGREGATE(15,6,(ROW(DE$46:DE$94)-ROW(DE$46)+1)/(DE$46:DE$94&lt;&gt;""),ROWS(DL$1:DL30))),"")</f>
        <v>27</v>
      </c>
      <c r="DM75" s="165">
        <f>IFERROR(INDEX(DF$46:DF$94,_xlfn.AGGREGATE(15,6,(ROW(DF$46:DF$94)-ROW(DF$46)+1)/(DF$46:DF$94&lt;&gt;""),ROWS(DM$1:DM30))),"")</f>
        <v>3077.4302876550992</v>
      </c>
      <c r="DN75" s="166">
        <f t="shared" si="11"/>
        <v>75</v>
      </c>
      <c r="DO75" s="164">
        <f>IFERROR(INDEX(DG$46:DG$94,_xlfn.AGGREGATE(15,6,(ROW(DG$46:DG$94)-ROW(DG$46)+1)/(DG$46:DG$94&lt;&gt;""),ROWS(DO$1:DO30))),"")</f>
        <v>27</v>
      </c>
      <c r="DP75" s="165">
        <f>IFERROR(INDEX(DH$46:DH$94,_xlfn.AGGREGATE(15,6,(ROW(DH$46:DH$94)-ROW(DH$46)+1)/(DH$46:DH$94&lt;&gt;""),ROWS(DP$1:DP30))),"")</f>
        <v>3320.4693689213832</v>
      </c>
      <c r="DQ75" s="166">
        <f t="shared" si="12"/>
        <v>75</v>
      </c>
      <c r="DV75" s="145">
        <v>2044</v>
      </c>
      <c r="DW75" s="146">
        <f t="shared" ca="1" si="13"/>
        <v>3178.9895852402865</v>
      </c>
      <c r="EA75" s="55"/>
      <c r="EB75" s="55"/>
      <c r="EC75" s="55"/>
      <c r="ED75" s="55"/>
      <c r="EE75" s="55"/>
      <c r="EU75" s="65"/>
      <c r="EV75" s="147"/>
    </row>
    <row r="76" spans="1:152" ht="13.8" x14ac:dyDescent="0.45">
      <c r="B76" s="128">
        <v>2042</v>
      </c>
      <c r="C76" s="1016">
        <v>3000.3054652886872</v>
      </c>
      <c r="D76" s="982">
        <v>3449.7078177061826</v>
      </c>
      <c r="E76" s="1017"/>
      <c r="F76" s="1077"/>
      <c r="G76" s="1109">
        <v>2896.5369091984771</v>
      </c>
      <c r="H76" s="1107"/>
      <c r="I76" s="1112"/>
      <c r="J76" s="207"/>
      <c r="K76" s="204"/>
      <c r="L76" s="206"/>
      <c r="M76" s="204"/>
      <c r="N76" s="29" t="s">
        <v>758</v>
      </c>
      <c r="P76" s="128"/>
      <c r="Q76" s="176" t="str">
        <f t="shared" si="16"/>
        <v/>
      </c>
      <c r="R76" s="29">
        <v>28</v>
      </c>
      <c r="S76" s="154">
        <f t="shared" si="0"/>
        <v>2896.5369091984771</v>
      </c>
      <c r="T76" s="154">
        <f t="shared" si="1"/>
        <v>3449.7078177061826</v>
      </c>
      <c r="U76" s="154">
        <f t="shared" si="2"/>
        <v>240.07601611218107</v>
      </c>
      <c r="W76" s="154">
        <f t="shared" si="14"/>
        <v>2875.4407146189342</v>
      </c>
      <c r="X76" s="154">
        <f>IF(U76="",#N/A,IF($B$36=$A$62,(SUM(C76:E76)/COUNTIF(C76:E76,"&gt;0")),IF($B$36=$A$63,(SUM(F76:H76)/COUNTIF(F76:H76,"&gt;0")),IF($B$36=$A$64,(SUM(J76:K76)/COUNTIF(J76:K76,"&gt;0")),IF($B$36=$A$65,(SUM(L76:M76)/COUNTIF(L76:M76,"&gt;0")),(IF($B$36=$A$46,IF(C76="",#N/A,C76),IF($B$36=$A$47,IF(D76="",#N/A,D76),IF($B$36=$A$48,IF(E76="",#N/A,E76),IF($B$36=$A$49,IF(F76="",#N/A,F76),IF($B$36=$A$50,IF(G76="",#N/A,G76),IF($B$36=$A$51,IF(H76="",#N/A,H76),IF($B$36=$A$52,IF('Total MSW TAM Data_Updated2020'!I76="",#N/A,'Total MSW TAM Data_Updated2020'!I76),IF($B$36=$A$53,IF(J76="",#N/A,J76),IF($B$36=$A$54,IF(K76="",#N/A,K76),IF($B$36=$A$55,IF(L76="",#N/A,L76),IF($B$36=$A$56,IF(M76="",#N/A,M76),IF(U76="",#N/A,(SUM(C76:Q76)/COUNTIFS(C76:Q76,"&gt;0"))))))))))))))))))))</f>
        <v>3115.5167307311153</v>
      </c>
      <c r="Y76" s="154">
        <f t="shared" si="3"/>
        <v>3355.5927468432965</v>
      </c>
      <c r="AA76" s="1133">
        <v>2941.5791395959536</v>
      </c>
      <c r="AB76" s="1133">
        <v>3159.6894567667218</v>
      </c>
      <c r="AC76" s="1133">
        <v>3377.79977393749</v>
      </c>
      <c r="AD76" s="89"/>
      <c r="AE76" s="89"/>
      <c r="AF76" s="89"/>
      <c r="AG76" s="89"/>
      <c r="AH76" s="89"/>
      <c r="AI76" s="89"/>
      <c r="AJ76" s="89"/>
      <c r="AK76" s="89"/>
      <c r="AL76" s="89"/>
      <c r="AM76" s="89"/>
      <c r="AN76" s="89"/>
      <c r="BR76" s="180">
        <v>2040</v>
      </c>
      <c r="BS76" s="22">
        <v>26</v>
      </c>
      <c r="BT76" s="181">
        <f t="shared" si="18"/>
        <v>1079.4264279729807</v>
      </c>
      <c r="BU76" s="182">
        <f t="shared" si="19"/>
        <v>1924.0853092551583</v>
      </c>
      <c r="BV76" s="205">
        <f t="shared" si="20"/>
        <v>3003.5117372281393</v>
      </c>
      <c r="BY76" s="180">
        <v>2040</v>
      </c>
      <c r="BZ76" s="22">
        <v>26</v>
      </c>
      <c r="CA76" s="198">
        <f t="shared" ca="1" si="21"/>
        <v>-194.26598725899188</v>
      </c>
      <c r="CB76" s="198">
        <f t="shared" ca="1" si="22"/>
        <v>1408.1842525651209</v>
      </c>
      <c r="CC76" s="186">
        <f t="shared" ca="1" si="32"/>
        <v>1842.470604548718</v>
      </c>
      <c r="CD76" s="205">
        <f t="shared" ca="1" si="23"/>
        <v>3056.3888698548471</v>
      </c>
      <c r="CG76" s="180">
        <v>2040</v>
      </c>
      <c r="CH76" s="22">
        <v>26</v>
      </c>
      <c r="CI76" s="198">
        <f t="shared" ca="1" si="24"/>
        <v>220.37480372093955</v>
      </c>
      <c r="CJ76" s="198">
        <f t="shared" ca="1" si="25"/>
        <v>-753.67895055060785</v>
      </c>
      <c r="CK76" s="198">
        <f t="shared" ca="1" si="26"/>
        <v>1764.2395197604028</v>
      </c>
      <c r="CL76" s="186">
        <f t="shared" ca="1" si="27"/>
        <v>1808.2106982169528</v>
      </c>
      <c r="CM76" s="205">
        <f t="shared" ca="1" si="28"/>
        <v>3039.1460711476875</v>
      </c>
      <c r="CP76" s="180">
        <v>2040</v>
      </c>
      <c r="CQ76" s="22">
        <v>26</v>
      </c>
      <c r="CR76" s="181">
        <f t="shared" ca="1" si="29"/>
        <v>1974.5373970287794</v>
      </c>
      <c r="CS76" s="182">
        <f t="shared" ca="1" si="30"/>
        <v>1.4923137824191908</v>
      </c>
      <c r="CT76" s="205">
        <f t="shared" ca="1" si="31"/>
        <v>2946.6293714881613</v>
      </c>
      <c r="CZ76" s="164" t="b">
        <f t="shared" si="4"/>
        <v>1</v>
      </c>
      <c r="DA76" s="165" t="b">
        <f t="shared" si="4"/>
        <v>1</v>
      </c>
      <c r="DB76" s="166" t="b">
        <f t="shared" si="4"/>
        <v>1</v>
      </c>
      <c r="DC76" s="164">
        <f t="shared" si="15"/>
        <v>28</v>
      </c>
      <c r="DD76" s="166">
        <f t="shared" si="5"/>
        <v>2875.4407146189342</v>
      </c>
      <c r="DE76" s="164">
        <f t="shared" si="6"/>
        <v>28</v>
      </c>
      <c r="DF76" s="166">
        <f t="shared" si="7"/>
        <v>3115.5167307311153</v>
      </c>
      <c r="DG76" s="164">
        <f t="shared" si="8"/>
        <v>28</v>
      </c>
      <c r="DH76" s="166">
        <f t="shared" si="9"/>
        <v>3355.5927468432965</v>
      </c>
      <c r="DI76" s="164">
        <f>IFERROR(INDEX(DC$46:DC$94,_xlfn.AGGREGATE(15,6,(ROW(DC$46:DC$94)-ROW(DC$46)+1)/(DC$46:DC$94&lt;&gt;""),ROWS(DI$1:DI31))),"")</f>
        <v>28</v>
      </c>
      <c r="DJ76" s="165">
        <f>IFERROR(INDEX(DD$46:DD$94,_xlfn.AGGREGATE(15,6,(ROW(DD$46:DD$94)-ROW(DD$46)+1)/(DD$46:DD$94&lt;&gt;""),ROWS(DJ$1:DJ31))),"")</f>
        <v>2875.4407146189342</v>
      </c>
      <c r="DK76" s="166">
        <f t="shared" si="10"/>
        <v>76</v>
      </c>
      <c r="DL76" s="164">
        <f>IFERROR(INDEX(DE$46:DE$94,_xlfn.AGGREGATE(15,6,(ROW(DE$46:DE$94)-ROW(DE$46)+1)/(DE$46:DE$94&lt;&gt;""),ROWS(DL$1:DL31))),"")</f>
        <v>28</v>
      </c>
      <c r="DM76" s="165">
        <f>IFERROR(INDEX(DF$46:DF$94,_xlfn.AGGREGATE(15,6,(ROW(DF$46:DF$94)-ROW(DF$46)+1)/(DF$46:DF$94&lt;&gt;""),ROWS(DM$1:DM31))),"")</f>
        <v>3115.5167307311153</v>
      </c>
      <c r="DN76" s="166">
        <f t="shared" si="11"/>
        <v>76</v>
      </c>
      <c r="DO76" s="164">
        <f>IFERROR(INDEX(DG$46:DG$94,_xlfn.AGGREGATE(15,6,(ROW(DG$46:DG$94)-ROW(DG$46)+1)/(DG$46:DG$94&lt;&gt;""),ROWS(DO$1:DO31))),"")</f>
        <v>28</v>
      </c>
      <c r="DP76" s="165">
        <f>IFERROR(INDEX(DH$46:DH$94,_xlfn.AGGREGATE(15,6,(ROW(DH$46:DH$94)-ROW(DH$46)+1)/(DH$46:DH$94&lt;&gt;""),ROWS(DP$1:DP31))),"")</f>
        <v>3355.5927468432965</v>
      </c>
      <c r="DQ76" s="166">
        <f t="shared" si="12"/>
        <v>76</v>
      </c>
      <c r="DV76" s="145">
        <v>2045</v>
      </c>
      <c r="DW76" s="146">
        <f t="shared" ca="1" si="13"/>
        <v>3213.8301164743507</v>
      </c>
      <c r="EA76" s="55"/>
      <c r="EB76" s="55"/>
      <c r="EC76" s="55"/>
      <c r="ED76" s="55"/>
      <c r="EE76" s="55"/>
      <c r="EU76" s="65"/>
      <c r="EV76" s="147"/>
    </row>
    <row r="77" spans="1:152" ht="13.8" x14ac:dyDescent="0.45">
      <c r="B77" s="128">
        <v>2043</v>
      </c>
      <c r="C77" s="1016">
        <v>3036.143593712346</v>
      </c>
      <c r="D77" s="982">
        <v>3484.183751702029</v>
      </c>
      <c r="E77" s="1017"/>
      <c r="F77" s="1077"/>
      <c r="G77" s="1109">
        <v>2939.9778502861759</v>
      </c>
      <c r="H77" s="1107"/>
      <c r="I77" s="1112"/>
      <c r="J77" s="207"/>
      <c r="K77" s="204"/>
      <c r="L77" s="206"/>
      <c r="M77" s="204"/>
      <c r="N77" s="29" t="s">
        <v>758</v>
      </c>
      <c r="P77" s="128"/>
      <c r="Q77" s="176" t="str">
        <f t="shared" si="16"/>
        <v/>
      </c>
      <c r="R77" s="29">
        <v>29</v>
      </c>
      <c r="S77" s="154">
        <f t="shared" si="0"/>
        <v>2939.9778502861759</v>
      </c>
      <c r="T77" s="154">
        <f t="shared" si="1"/>
        <v>3484.183751702029</v>
      </c>
      <c r="U77" s="154">
        <f t="shared" si="2"/>
        <v>237.14690630164466</v>
      </c>
      <c r="W77" s="154">
        <f t="shared" si="14"/>
        <v>2916.2881589318717</v>
      </c>
      <c r="X77" s="154">
        <f>IF(U77="",#N/A,IF($B$36=$A$62,(SUM(C77:E77)/COUNTIF(C77:E77,"&gt;0")),IF($B$36=$A$63,(SUM(F77:H77)/COUNTIF(F77:H77,"&gt;0")),IF($B$36=$A$64,(SUM(J77:K77)/COUNTIF(J77:K77,"&gt;0")),IF($B$36=$A$65,(SUM(L77:M77)/COUNTIF(L77:M77,"&gt;0")),(IF($B$36=$A$46,IF(C77="",#N/A,C77),IF($B$36=$A$47,IF(D77="",#N/A,D77),IF($B$36=$A$48,IF(E77="",#N/A,E77),IF($B$36=$A$49,IF(F77="",#N/A,F77),IF($B$36=$A$50,IF(G77="",#N/A,G77),IF($B$36=$A$51,IF(H77="",#N/A,H77),IF($B$36=$A$52,IF('Total MSW TAM Data_Updated2020'!I77="",#N/A,'Total MSW TAM Data_Updated2020'!I77),IF($B$36=$A$53,IF(J77="",#N/A,J77),IF($B$36=$A$54,IF(K77="",#N/A,K77),IF($B$36=$A$55,IF(L77="",#N/A,L77),IF($B$36=$A$56,IF(M77="",#N/A,M77),IF(U77="",#N/A,(SUM(C77:Q77)/COUNTIFS(C77:Q77,"&gt;0"))))))))))))))))))))</f>
        <v>3153.4350652335165</v>
      </c>
      <c r="Y77" s="154">
        <f t="shared" si="3"/>
        <v>3390.5819715351613</v>
      </c>
      <c r="AA77" s="1133">
        <v>2987.7948635795738</v>
      </c>
      <c r="AB77" s="1133">
        <v>3202.0346277752164</v>
      </c>
      <c r="AC77" s="1133">
        <v>3416.2743919708591</v>
      </c>
      <c r="AD77" s="89"/>
      <c r="AE77" s="89"/>
      <c r="AF77" s="89"/>
      <c r="AG77" s="89"/>
      <c r="AH77" s="89"/>
      <c r="AI77" s="89"/>
      <c r="AJ77" s="89"/>
      <c r="AK77" s="89"/>
      <c r="AL77" s="89"/>
      <c r="AM77" s="89"/>
      <c r="AN77" s="89"/>
      <c r="BR77" s="180">
        <v>2041</v>
      </c>
      <c r="BS77" s="22">
        <v>27</v>
      </c>
      <c r="BT77" s="181">
        <f t="shared" si="18"/>
        <v>1120.9428290488647</v>
      </c>
      <c r="BU77" s="182">
        <f t="shared" si="19"/>
        <v>1924.0853092551583</v>
      </c>
      <c r="BV77" s="205">
        <f t="shared" si="20"/>
        <v>3045.0281383040228</v>
      </c>
      <c r="BY77" s="180">
        <v>2041</v>
      </c>
      <c r="BZ77" s="22">
        <v>27</v>
      </c>
      <c r="CA77" s="198">
        <f t="shared" ca="1" si="21"/>
        <v>-209.49690046125011</v>
      </c>
      <c r="CB77" s="198">
        <f t="shared" ca="1" si="22"/>
        <v>1462.3451853560873</v>
      </c>
      <c r="CC77" s="186">
        <f t="shared" ca="1" si="32"/>
        <v>1842.470604548718</v>
      </c>
      <c r="CD77" s="205">
        <f t="shared" ca="1" si="23"/>
        <v>3095.3188894435552</v>
      </c>
      <c r="CG77" s="180">
        <v>2041</v>
      </c>
      <c r="CH77" s="22">
        <v>27</v>
      </c>
      <c r="CI77" s="198">
        <f t="shared" ca="1" si="24"/>
        <v>246.79319877328479</v>
      </c>
      <c r="CJ77" s="198">
        <f t="shared" ca="1" si="25"/>
        <v>-812.76916412927972</v>
      </c>
      <c r="CK77" s="198">
        <f t="shared" ca="1" si="26"/>
        <v>1832.0948859050336</v>
      </c>
      <c r="CL77" s="186">
        <f t="shared" ca="1" si="27"/>
        <v>1808.2106982169528</v>
      </c>
      <c r="CM77" s="205">
        <f t="shared" ca="1" si="28"/>
        <v>3074.3296187659917</v>
      </c>
      <c r="CP77" s="180">
        <v>2041</v>
      </c>
      <c r="CQ77" s="22">
        <v>27</v>
      </c>
      <c r="CR77" s="181">
        <f t="shared" ca="1" si="29"/>
        <v>1974.5373970287794</v>
      </c>
      <c r="CS77" s="182">
        <f t="shared" ca="1" si="30"/>
        <v>1.5154690761792058</v>
      </c>
      <c r="CT77" s="205">
        <f t="shared" ca="1" si="31"/>
        <v>2992.3503649564982</v>
      </c>
      <c r="CZ77" s="164" t="b">
        <f t="shared" si="4"/>
        <v>1</v>
      </c>
      <c r="DA77" s="165" t="b">
        <f t="shared" si="4"/>
        <v>1</v>
      </c>
      <c r="DB77" s="166" t="b">
        <f t="shared" si="4"/>
        <v>1</v>
      </c>
      <c r="DC77" s="164">
        <f t="shared" si="15"/>
        <v>29</v>
      </c>
      <c r="DD77" s="166">
        <f t="shared" si="5"/>
        <v>2916.2881589318717</v>
      </c>
      <c r="DE77" s="164">
        <f t="shared" si="6"/>
        <v>29</v>
      </c>
      <c r="DF77" s="166">
        <f t="shared" si="7"/>
        <v>3153.4350652335165</v>
      </c>
      <c r="DG77" s="164">
        <f t="shared" si="8"/>
        <v>29</v>
      </c>
      <c r="DH77" s="166">
        <f t="shared" si="9"/>
        <v>3390.5819715351613</v>
      </c>
      <c r="DI77" s="164">
        <f>IFERROR(INDEX(DC$46:DC$94,_xlfn.AGGREGATE(15,6,(ROW(DC$46:DC$94)-ROW(DC$46)+1)/(DC$46:DC$94&lt;&gt;""),ROWS(DI$1:DI32))),"")</f>
        <v>29</v>
      </c>
      <c r="DJ77" s="165">
        <f>IFERROR(INDEX(DD$46:DD$94,_xlfn.AGGREGATE(15,6,(ROW(DD$46:DD$94)-ROW(DD$46)+1)/(DD$46:DD$94&lt;&gt;""),ROWS(DJ$1:DJ32))),"")</f>
        <v>2916.2881589318717</v>
      </c>
      <c r="DK77" s="166">
        <f t="shared" si="10"/>
        <v>77</v>
      </c>
      <c r="DL77" s="164">
        <f>IFERROR(INDEX(DE$46:DE$94,_xlfn.AGGREGATE(15,6,(ROW(DE$46:DE$94)-ROW(DE$46)+1)/(DE$46:DE$94&lt;&gt;""),ROWS(DL$1:DL32))),"")</f>
        <v>29</v>
      </c>
      <c r="DM77" s="165">
        <f>IFERROR(INDEX(DF$46:DF$94,_xlfn.AGGREGATE(15,6,(ROW(DF$46:DF$94)-ROW(DF$46)+1)/(DF$46:DF$94&lt;&gt;""),ROWS(DM$1:DM32))),"")</f>
        <v>3153.4350652335165</v>
      </c>
      <c r="DN77" s="166">
        <f t="shared" si="11"/>
        <v>77</v>
      </c>
      <c r="DO77" s="164">
        <f>IFERROR(INDEX(DG$46:DG$94,_xlfn.AGGREGATE(15,6,(ROW(DG$46:DG$94)-ROW(DG$46)+1)/(DG$46:DG$94&lt;&gt;""),ROWS(DO$1:DO32))),"")</f>
        <v>29</v>
      </c>
      <c r="DP77" s="165">
        <f>IFERROR(INDEX(DH$46:DH$94,_xlfn.AGGREGATE(15,6,(ROW(DH$46:DH$94)-ROW(DH$46)+1)/(DH$46:DH$94&lt;&gt;""),ROWS(DP$1:DP32))),"")</f>
        <v>3390.5819715351613</v>
      </c>
      <c r="DQ77" s="166">
        <f t="shared" si="12"/>
        <v>77</v>
      </c>
      <c r="DV77" s="145">
        <v>2046</v>
      </c>
      <c r="DW77" s="146">
        <f t="shared" ca="1" si="13"/>
        <v>3248.7729695144835</v>
      </c>
      <c r="EA77" s="55"/>
      <c r="EB77" s="55"/>
      <c r="EC77" s="55"/>
      <c r="ED77" s="55"/>
      <c r="EE77" s="55"/>
      <c r="EU77" s="65"/>
      <c r="EV77" s="147"/>
    </row>
    <row r="78" spans="1:152" ht="13.8" x14ac:dyDescent="0.45">
      <c r="B78" s="128">
        <v>2044</v>
      </c>
      <c r="C78" s="1016">
        <v>3071.8267628022159</v>
      </c>
      <c r="D78" s="982">
        <v>3518.5607591305502</v>
      </c>
      <c r="E78" s="1017"/>
      <c r="F78" s="1077"/>
      <c r="G78" s="1109">
        <v>2983.2277902851424</v>
      </c>
      <c r="H78" s="1107"/>
      <c r="I78" s="1112"/>
      <c r="J78" s="207"/>
      <c r="K78" s="204"/>
      <c r="L78" s="206"/>
      <c r="M78" s="204"/>
      <c r="N78" s="29" t="s">
        <v>758</v>
      </c>
      <c r="P78" s="128"/>
      <c r="Q78" s="176" t="str">
        <f t="shared" si="16"/>
        <v/>
      </c>
      <c r="R78" s="29">
        <v>30</v>
      </c>
      <c r="S78" s="154">
        <f t="shared" ref="S78:S94" si="33">IF(MIN(C78:Q78)=0,"",MIN(C78:Q78))</f>
        <v>2983.2277902851424</v>
      </c>
      <c r="T78" s="154">
        <f t="shared" ref="T78:T94" si="34">IF(MAX(C78:Q78)=0,"",MAX(C78:Q78))</f>
        <v>3518.5607591305502</v>
      </c>
      <c r="U78" s="154">
        <f t="shared" ref="U78:U94" si="35">IF(T78="","",IF($B$36=$A$45,_xlfn.STDEV.P(C78:Q78),IF($B$36=$A$62,_xlfn.STDEV.P(C78:E78),IF($B$36=$A$63,_xlfn.STDEV.P(F78:H78),IF($B$36=$A$64,_xlfn.STDEV.P(J78:K78),IF($B$36=$A$65,_xlfn.STDEV.P(L78:M78)))))))</f>
        <v>234.28435451614104</v>
      </c>
      <c r="W78" s="154">
        <f t="shared" si="14"/>
        <v>2956.9207495564951</v>
      </c>
      <c r="X78" s="154">
        <f>IF(U78="",#N/A,IF($B$36=$A$62,(SUM(C78:E78)/COUNTIF(C78:E78,"&gt;0")),IF($B$36=$A$63,(SUM(F78:H78)/COUNTIF(F78:H78,"&gt;0")),IF($B$36=$A$64,(SUM(J78:K78)/COUNTIF(J78:K78,"&gt;0")),IF($B$36=$A$65,(SUM(L78:M78)/COUNTIF(L78:M78,"&gt;0")),(IF($B$36=$A$46,IF(C78="",#N/A,C78),IF($B$36=$A$47,IF(D78="",#N/A,D78),IF($B$36=$A$48,IF(E78="",#N/A,E78),IF($B$36=$A$49,IF(F78="",#N/A,F78),IF($B$36=$A$50,IF(G78="",#N/A,G78),IF($B$36=$A$51,IF(H78="",#N/A,H78),IF($B$36=$A$52,IF('Total MSW TAM Data_Updated2020'!I78="",#N/A,'Total MSW TAM Data_Updated2020'!I78),IF($B$36=$A$53,IF(J78="",#N/A,J78),IF($B$36=$A$54,IF(K78="",#N/A,K78),IF($B$36=$A$55,IF(L78="",#N/A,L78),IF($B$36=$A$56,IF(M78="",#N/A,M78),IF(U78="",#N/A,(SUM(C78:Q78)/COUNTIFS(C78:Q78,"&gt;0"))))))))))))))))))))</f>
        <v>3191.205104072636</v>
      </c>
      <c r="Y78" s="154">
        <f t="shared" si="3"/>
        <v>3425.4894585887769</v>
      </c>
      <c r="AA78" s="1133">
        <v>3033.9853086454095</v>
      </c>
      <c r="AB78" s="1133">
        <v>3244.3847108106588</v>
      </c>
      <c r="AC78" s="1133">
        <v>3454.7841129759081</v>
      </c>
      <c r="AD78" s="89"/>
      <c r="AE78" s="89"/>
      <c r="AF78" s="89"/>
      <c r="AG78" s="89"/>
      <c r="AH78" s="89"/>
      <c r="AI78" s="89"/>
      <c r="AJ78" s="89"/>
      <c r="AK78" s="89"/>
      <c r="AL78" s="89"/>
      <c r="AM78" s="89"/>
      <c r="AN78" s="89"/>
      <c r="BR78" s="180">
        <v>2042</v>
      </c>
      <c r="BS78" s="22">
        <v>28</v>
      </c>
      <c r="BT78" s="181">
        <f t="shared" si="18"/>
        <v>1162.4592301247485</v>
      </c>
      <c r="BU78" s="182">
        <f t="shared" si="19"/>
        <v>1924.0853092551583</v>
      </c>
      <c r="BV78" s="205">
        <f t="shared" si="20"/>
        <v>3086.5445393799068</v>
      </c>
      <c r="BY78" s="180">
        <v>2042</v>
      </c>
      <c r="BZ78" s="22">
        <v>28</v>
      </c>
      <c r="CA78" s="198">
        <f t="shared" ca="1" si="21"/>
        <v>-225.30256510510301</v>
      </c>
      <c r="CB78" s="198">
        <f t="shared" ca="1" si="22"/>
        <v>1516.5061181470535</v>
      </c>
      <c r="CC78" s="186">
        <f t="shared" ca="1" si="32"/>
        <v>1842.470604548718</v>
      </c>
      <c r="CD78" s="205">
        <f t="shared" ca="1" si="23"/>
        <v>3133.6741575906685</v>
      </c>
      <c r="CG78" s="180">
        <v>2042</v>
      </c>
      <c r="CH78" s="22">
        <v>28</v>
      </c>
      <c r="CI78" s="198">
        <f t="shared" ca="1" si="24"/>
        <v>275.24281356862002</v>
      </c>
      <c r="CJ78" s="198">
        <f t="shared" ca="1" si="25"/>
        <v>-874.08919708827887</v>
      </c>
      <c r="CK78" s="198">
        <f t="shared" ca="1" si="26"/>
        <v>1899.9502520496646</v>
      </c>
      <c r="CL78" s="186">
        <f t="shared" ca="1" si="27"/>
        <v>1808.2106982169528</v>
      </c>
      <c r="CM78" s="205">
        <f t="shared" ca="1" si="28"/>
        <v>3109.3145667469589</v>
      </c>
      <c r="CP78" s="180">
        <v>2042</v>
      </c>
      <c r="CQ78" s="22">
        <v>28</v>
      </c>
      <c r="CR78" s="181">
        <f t="shared" ca="1" si="29"/>
        <v>1974.5373970287794</v>
      </c>
      <c r="CS78" s="182">
        <f t="shared" ca="1" si="30"/>
        <v>1.5389836560594921</v>
      </c>
      <c r="CT78" s="205">
        <f t="shared" ca="1" si="31"/>
        <v>3038.7807823055437</v>
      </c>
      <c r="CZ78" s="164" t="b">
        <f t="shared" si="4"/>
        <v>1</v>
      </c>
      <c r="DA78" s="165" t="b">
        <f t="shared" si="4"/>
        <v>1</v>
      </c>
      <c r="DB78" s="166" t="b">
        <f t="shared" si="4"/>
        <v>1</v>
      </c>
      <c r="DC78" s="164">
        <f t="shared" si="15"/>
        <v>30</v>
      </c>
      <c r="DD78" s="166">
        <f t="shared" si="5"/>
        <v>2956.9207495564951</v>
      </c>
      <c r="DE78" s="164">
        <f t="shared" si="6"/>
        <v>30</v>
      </c>
      <c r="DF78" s="166">
        <f t="shared" si="7"/>
        <v>3191.205104072636</v>
      </c>
      <c r="DG78" s="164">
        <f t="shared" si="8"/>
        <v>30</v>
      </c>
      <c r="DH78" s="166">
        <f t="shared" si="9"/>
        <v>3425.4894585887769</v>
      </c>
      <c r="DI78" s="164">
        <f>IFERROR(INDEX(DC$46:DC$94,_xlfn.AGGREGATE(15,6,(ROW(DC$46:DC$94)-ROW(DC$46)+1)/(DC$46:DC$94&lt;&gt;""),ROWS(DI$1:DI33))),"")</f>
        <v>30</v>
      </c>
      <c r="DJ78" s="165">
        <f>IFERROR(INDEX(DD$46:DD$94,_xlfn.AGGREGATE(15,6,(ROW(DD$46:DD$94)-ROW(DD$46)+1)/(DD$46:DD$94&lt;&gt;""),ROWS(DJ$1:DJ33))),"")</f>
        <v>2956.9207495564951</v>
      </c>
      <c r="DK78" s="166">
        <f t="shared" si="10"/>
        <v>78</v>
      </c>
      <c r="DL78" s="164">
        <f>IFERROR(INDEX(DE$46:DE$94,_xlfn.AGGREGATE(15,6,(ROW(DE$46:DE$94)-ROW(DE$46)+1)/(DE$46:DE$94&lt;&gt;""),ROWS(DL$1:DL33))),"")</f>
        <v>30</v>
      </c>
      <c r="DM78" s="165">
        <f>IFERROR(INDEX(DF$46:DF$94,_xlfn.AGGREGATE(15,6,(ROW(DF$46:DF$94)-ROW(DF$46)+1)/(DF$46:DF$94&lt;&gt;""),ROWS(DM$1:DM33))),"")</f>
        <v>3191.205104072636</v>
      </c>
      <c r="DN78" s="166">
        <f t="shared" si="11"/>
        <v>78</v>
      </c>
      <c r="DO78" s="164">
        <f>IFERROR(INDEX(DG$46:DG$94,_xlfn.AGGREGATE(15,6,(ROW(DG$46:DG$94)-ROW(DG$46)+1)/(DG$46:DG$94&lt;&gt;""),ROWS(DO$1:DO33))),"")</f>
        <v>30</v>
      </c>
      <c r="DP78" s="165">
        <f>IFERROR(INDEX(DH$46:DH$94,_xlfn.AGGREGATE(15,6,(ROW(DH$46:DH$94)-ROW(DH$46)+1)/(DH$46:DH$94&lt;&gt;""),ROWS(DP$1:DP33))),"")</f>
        <v>3425.4894585887769</v>
      </c>
      <c r="DQ78" s="166">
        <f t="shared" si="12"/>
        <v>78</v>
      </c>
      <c r="DV78" s="145">
        <v>2047</v>
      </c>
      <c r="DW78" s="146">
        <f t="shared" ca="1" si="13"/>
        <v>3283.893374721536</v>
      </c>
      <c r="EA78" s="55"/>
      <c r="EB78" s="55"/>
      <c r="EC78" s="55"/>
      <c r="ED78" s="55"/>
      <c r="EE78" s="55"/>
      <c r="EU78" s="65"/>
      <c r="EV78" s="147"/>
    </row>
    <row r="79" spans="1:152" ht="13.8" x14ac:dyDescent="0.45">
      <c r="B79" s="128">
        <v>2045</v>
      </c>
      <c r="C79" s="1016">
        <v>3107.349881860293</v>
      </c>
      <c r="D79" s="982">
        <v>3553.2198974519392</v>
      </c>
      <c r="E79" s="1017"/>
      <c r="F79" s="1077"/>
      <c r="G79" s="1109">
        <v>3026.2842829749097</v>
      </c>
      <c r="H79" s="1107"/>
      <c r="I79" s="1112"/>
      <c r="J79" s="207"/>
      <c r="K79" s="204"/>
      <c r="L79" s="206"/>
      <c r="M79" s="204"/>
      <c r="N79" s="29" t="s">
        <v>758</v>
      </c>
      <c r="P79" s="128"/>
      <c r="Q79" s="176" t="str">
        <f t="shared" si="16"/>
        <v/>
      </c>
      <c r="R79" s="29">
        <v>31</v>
      </c>
      <c r="S79" s="154">
        <f t="shared" si="33"/>
        <v>3026.2842829749097</v>
      </c>
      <c r="T79" s="154">
        <f t="shared" si="34"/>
        <v>3553.2198974519392</v>
      </c>
      <c r="U79" s="154">
        <f t="shared" si="35"/>
        <v>231.6685476975494</v>
      </c>
      <c r="W79" s="154">
        <f t="shared" si="14"/>
        <v>2997.2828063981647</v>
      </c>
      <c r="X79" s="154">
        <f>IF(U79="",#N/A,IF($B$36=$A$62,(SUM(C79:E79)/COUNTIF(C79:E79,"&gt;0")),IF($B$36=$A$63,(SUM(F79:H79)/COUNTIF(F79:H79,"&gt;0")),IF($B$36=$A$64,(SUM(J79:K79)/COUNTIF(J79:K79,"&gt;0")),IF($B$36=$A$65,(SUM(L79:M79)/COUNTIF(L79:M79,"&gt;0")),(IF($B$36=$A$46,IF(C79="",#N/A,C79),IF($B$36=$A$47,IF(D79="",#N/A,D79),IF($B$36=$A$48,IF(E79="",#N/A,E79),IF($B$36=$A$49,IF(F79="",#N/A,F79),IF($B$36=$A$50,IF(G79="",#N/A,G79),IF($B$36=$A$51,IF(H79="",#N/A,H79),IF($B$36=$A$52,IF('Total MSW TAM Data_Updated2020'!I79="",#N/A,'Total MSW TAM Data_Updated2020'!I79),IF($B$36=$A$53,IF(J79="",#N/A,J79),IF($B$36=$A$54,IF(K79="",#N/A,K79),IF($B$36=$A$55,IF(L79="",#N/A,L79),IF($B$36=$A$56,IF(M79="",#N/A,M79),IF(U79="",#N/A,(SUM(C79:Q79)/COUNTIFS(C79:Q79,"&gt;0"))))))))))))))))))))</f>
        <v>3228.9513540957141</v>
      </c>
      <c r="Y79" s="154">
        <f t="shared" si="3"/>
        <v>3460.6199017932636</v>
      </c>
      <c r="AA79" s="1133">
        <v>3080.0990081584055</v>
      </c>
      <c r="AB79" s="1133">
        <v>3286.87091114945</v>
      </c>
      <c r="AC79" s="1133">
        <v>3493.6428141404945</v>
      </c>
      <c r="AD79" s="89"/>
      <c r="AE79" s="89"/>
      <c r="AF79" s="89"/>
      <c r="AG79" s="89"/>
      <c r="AH79" s="89"/>
      <c r="AI79" s="89"/>
      <c r="AJ79" s="89"/>
      <c r="AK79" s="89"/>
      <c r="AL79" s="89"/>
      <c r="AM79" s="89"/>
      <c r="AN79" s="89"/>
      <c r="BR79" s="180">
        <v>2043</v>
      </c>
      <c r="BS79" s="22">
        <v>29</v>
      </c>
      <c r="BT79" s="181">
        <f t="shared" si="18"/>
        <v>1203.9756312006325</v>
      </c>
      <c r="BU79" s="182">
        <f t="shared" si="19"/>
        <v>1924.0853092551583</v>
      </c>
      <c r="BV79" s="205">
        <f t="shared" si="20"/>
        <v>3128.0609404557908</v>
      </c>
      <c r="BY79" s="180">
        <v>2043</v>
      </c>
      <c r="BZ79" s="22">
        <v>29</v>
      </c>
      <c r="CA79" s="198">
        <f t="shared" ca="1" si="21"/>
        <v>-241.68298119055055</v>
      </c>
      <c r="CB79" s="198">
        <f t="shared" ca="1" si="22"/>
        <v>1570.6670509380197</v>
      </c>
      <c r="CC79" s="186">
        <f t="shared" ca="1" si="32"/>
        <v>1842.470604548718</v>
      </c>
      <c r="CD79" s="205">
        <f t="shared" ca="1" si="23"/>
        <v>3171.4546742961875</v>
      </c>
      <c r="CG79" s="180">
        <v>2043</v>
      </c>
      <c r="CH79" s="22">
        <v>29</v>
      </c>
      <c r="CI79" s="198">
        <f t="shared" ca="1" si="24"/>
        <v>305.79887846779673</v>
      </c>
      <c r="CJ79" s="198">
        <f t="shared" ca="1" si="25"/>
        <v>-937.6390494276053</v>
      </c>
      <c r="CK79" s="198">
        <f t="shared" ca="1" si="26"/>
        <v>1967.8056181942954</v>
      </c>
      <c r="CL79" s="186">
        <f t="shared" ca="1" si="27"/>
        <v>1808.2106982169528</v>
      </c>
      <c r="CM79" s="205">
        <f t="shared" ca="1" si="28"/>
        <v>3144.1761454514399</v>
      </c>
      <c r="CP79" s="180">
        <v>2043</v>
      </c>
      <c r="CQ79" s="22">
        <v>29</v>
      </c>
      <c r="CR79" s="181">
        <f t="shared" ca="1" si="29"/>
        <v>1974.5373970287794</v>
      </c>
      <c r="CS79" s="182">
        <f t="shared" ca="1" si="30"/>
        <v>1.5628630968766575</v>
      </c>
      <c r="CT79" s="205">
        <f t="shared" ca="1" si="31"/>
        <v>3085.9316312191722</v>
      </c>
      <c r="CZ79" s="164" t="b">
        <f t="shared" si="4"/>
        <v>1</v>
      </c>
      <c r="DA79" s="165" t="b">
        <f t="shared" si="4"/>
        <v>1</v>
      </c>
      <c r="DB79" s="166" t="b">
        <f t="shared" si="4"/>
        <v>1</v>
      </c>
      <c r="DC79" s="164">
        <f t="shared" si="15"/>
        <v>31</v>
      </c>
      <c r="DD79" s="166">
        <f t="shared" si="5"/>
        <v>2997.2828063981647</v>
      </c>
      <c r="DE79" s="164">
        <f t="shared" si="6"/>
        <v>31</v>
      </c>
      <c r="DF79" s="166">
        <f t="shared" si="7"/>
        <v>3228.9513540957141</v>
      </c>
      <c r="DG79" s="164">
        <f t="shared" si="8"/>
        <v>31</v>
      </c>
      <c r="DH79" s="166">
        <f t="shared" si="9"/>
        <v>3460.6199017932636</v>
      </c>
      <c r="DI79" s="164">
        <f>IFERROR(INDEX(DC$46:DC$94,_xlfn.AGGREGATE(15,6,(ROW(DC$46:DC$94)-ROW(DC$46)+1)/(DC$46:DC$94&lt;&gt;""),ROWS(DI$1:DI34))),"")</f>
        <v>31</v>
      </c>
      <c r="DJ79" s="165">
        <f>IFERROR(INDEX(DD$46:DD$94,_xlfn.AGGREGATE(15,6,(ROW(DD$46:DD$94)-ROW(DD$46)+1)/(DD$46:DD$94&lt;&gt;""),ROWS(DJ$1:DJ34))),"")</f>
        <v>2997.2828063981647</v>
      </c>
      <c r="DK79" s="166">
        <f t="shared" si="10"/>
        <v>79</v>
      </c>
      <c r="DL79" s="164">
        <f>IFERROR(INDEX(DE$46:DE$94,_xlfn.AGGREGATE(15,6,(ROW(DE$46:DE$94)-ROW(DE$46)+1)/(DE$46:DE$94&lt;&gt;""),ROWS(DL$1:DL34))),"")</f>
        <v>31</v>
      </c>
      <c r="DM79" s="165">
        <f>IFERROR(INDEX(DF$46:DF$94,_xlfn.AGGREGATE(15,6,(ROW(DF$46:DF$94)-ROW(DF$46)+1)/(DF$46:DF$94&lt;&gt;""),ROWS(DM$1:DM34))),"")</f>
        <v>3228.9513540957141</v>
      </c>
      <c r="DN79" s="166">
        <f t="shared" si="11"/>
        <v>79</v>
      </c>
      <c r="DO79" s="164">
        <f>IFERROR(INDEX(DG$46:DG$94,_xlfn.AGGREGATE(15,6,(ROW(DG$46:DG$94)-ROW(DG$46)+1)/(DG$46:DG$94&lt;&gt;""),ROWS(DO$1:DO34))),"")</f>
        <v>31</v>
      </c>
      <c r="DP79" s="165">
        <f>IFERROR(INDEX(DH$46:DH$94,_xlfn.AGGREGATE(15,6,(ROW(DH$46:DH$94)-ROW(DH$46)+1)/(DH$46:DH$94&lt;&gt;""),ROWS(DP$1:DP34))),"")</f>
        <v>3460.6199017932636</v>
      </c>
      <c r="DQ79" s="166">
        <f t="shared" si="12"/>
        <v>79</v>
      </c>
      <c r="DV79" s="145">
        <v>2048</v>
      </c>
      <c r="DW79" s="146">
        <f t="shared" ca="1" si="13"/>
        <v>3319.2665624563606</v>
      </c>
      <c r="EA79" s="55"/>
      <c r="EB79" s="55"/>
      <c r="EC79" s="55"/>
      <c r="ED79" s="55"/>
      <c r="EE79" s="55"/>
      <c r="EU79" s="65"/>
      <c r="EV79" s="147"/>
    </row>
    <row r="80" spans="1:152" ht="13.8" x14ac:dyDescent="0.45">
      <c r="B80" s="128">
        <v>2046</v>
      </c>
      <c r="C80" s="1016">
        <v>3142.7070352897722</v>
      </c>
      <c r="D80" s="982">
        <v>3587.378813276729</v>
      </c>
      <c r="E80" s="1017"/>
      <c r="F80" s="1077"/>
      <c r="G80" s="1109">
        <v>3068.7143422827298</v>
      </c>
      <c r="H80" s="1107"/>
      <c r="I80" s="1112"/>
      <c r="J80" s="207"/>
      <c r="K80" s="204"/>
      <c r="L80" s="206"/>
      <c r="M80" s="204"/>
      <c r="N80" s="29" t="s">
        <v>758</v>
      </c>
      <c r="P80" s="128"/>
      <c r="Q80" s="176" t="str">
        <f t="shared" si="16"/>
        <v/>
      </c>
      <c r="R80" s="29">
        <v>32</v>
      </c>
      <c r="S80" s="154">
        <f t="shared" si="33"/>
        <v>3068.7143422827298</v>
      </c>
      <c r="T80" s="154">
        <f t="shared" si="34"/>
        <v>3587.378813276729</v>
      </c>
      <c r="U80" s="154">
        <f t="shared" si="35"/>
        <v>229.06106469382084</v>
      </c>
      <c r="W80" s="154">
        <f t="shared" si="14"/>
        <v>3037.2056655892566</v>
      </c>
      <c r="X80" s="154">
        <f>IF(U80="",#N/A,IF($B$36=$A$62,(SUM(C80:E80)/COUNTIF(C80:E80,"&gt;0")),IF($B$36=$A$63,(SUM(F80:H80)/COUNTIF(F80:H80,"&gt;0")),IF($B$36=$A$64,(SUM(J80:K80)/COUNTIF(J80:K80,"&gt;0")),IF($B$36=$A$65,(SUM(L80:M80)/COUNTIF(L80:M80,"&gt;0")),(IF($B$36=$A$46,IF(C80="",#N/A,C80),IF($B$36=$A$47,IF(D80="",#N/A,D80),IF($B$36=$A$48,IF(E80="",#N/A,E80),IF($B$36=$A$49,IF(F80="",#N/A,F80),IF($B$36=$A$50,IF(G80="",#N/A,G80),IF($B$36=$A$51,IF(H80="",#N/A,H80),IF($B$36=$A$52,IF('Total MSW TAM Data_Updated2020'!I80="",#N/A,'Total MSW TAM Data_Updated2020'!I80),IF($B$36=$A$53,IF(J80="",#N/A,J80),IF($B$36=$A$54,IF(K80="",#N/A,K80),IF($B$36=$A$55,IF(L80="",#N/A,L80),IF($B$36=$A$56,IF(M80="",#N/A,M80),IF(U80="",#N/A,(SUM(C80:Q80)/COUNTIFS(C80:Q80,"&gt;0"))))))))))))))))))))</f>
        <v>3266.2667302830773</v>
      </c>
      <c r="Y80" s="154">
        <f t="shared" si="3"/>
        <v>3495.3277949768981</v>
      </c>
      <c r="AA80" s="1133">
        <v>3125.9487005032147</v>
      </c>
      <c r="AB80" s="1133">
        <v>3329.08709032667</v>
      </c>
      <c r="AC80" s="1133">
        <v>3532.2254801501253</v>
      </c>
      <c r="AD80" s="89"/>
      <c r="AE80" s="89"/>
      <c r="AF80" s="89"/>
      <c r="AG80" s="89"/>
      <c r="AH80" s="89"/>
      <c r="AI80" s="89"/>
      <c r="AJ80" s="89"/>
      <c r="AK80" s="89"/>
      <c r="AL80" s="89"/>
      <c r="AM80" s="89"/>
      <c r="AN80" s="89"/>
      <c r="BR80" s="180">
        <v>2044</v>
      </c>
      <c r="BS80" s="22">
        <v>30</v>
      </c>
      <c r="BT80" s="181">
        <f t="shared" si="18"/>
        <v>1245.4920322765163</v>
      </c>
      <c r="BU80" s="182">
        <f t="shared" si="19"/>
        <v>1924.0853092551583</v>
      </c>
      <c r="BV80" s="205">
        <f t="shared" si="20"/>
        <v>3169.5773415316744</v>
      </c>
      <c r="BY80" s="180">
        <v>2044</v>
      </c>
      <c r="BZ80" s="22">
        <v>30</v>
      </c>
      <c r="CA80" s="198">
        <f t="shared" ca="1" si="21"/>
        <v>-258.63814871759274</v>
      </c>
      <c r="CB80" s="198">
        <f t="shared" ca="1" si="22"/>
        <v>1624.8279837289858</v>
      </c>
      <c r="CC80" s="186">
        <f t="shared" ca="1" si="32"/>
        <v>1842.470604548718</v>
      </c>
      <c r="CD80" s="205">
        <f t="shared" ca="1" si="23"/>
        <v>3208.6604395601112</v>
      </c>
      <c r="CG80" s="180">
        <v>2044</v>
      </c>
      <c r="CH80" s="22">
        <v>30</v>
      </c>
      <c r="CI80" s="198">
        <f t="shared" ca="1" si="24"/>
        <v>338.53662383166636</v>
      </c>
      <c r="CJ80" s="198">
        <f t="shared" ca="1" si="25"/>
        <v>-1003.4187211472589</v>
      </c>
      <c r="CK80" s="198">
        <f t="shared" ca="1" si="26"/>
        <v>2035.6609843389263</v>
      </c>
      <c r="CL80" s="186">
        <f t="shared" ca="1" si="27"/>
        <v>1808.2106982169528</v>
      </c>
      <c r="CM80" s="205">
        <f t="shared" ca="1" si="28"/>
        <v>3178.9895852402865</v>
      </c>
      <c r="CP80" s="180">
        <v>2044</v>
      </c>
      <c r="CQ80" s="22">
        <v>30</v>
      </c>
      <c r="CR80" s="181">
        <f t="shared" ca="1" si="29"/>
        <v>1974.5373970287794</v>
      </c>
      <c r="CS80" s="182">
        <f t="shared" ca="1" si="30"/>
        <v>1.5871130599482313</v>
      </c>
      <c r="CT80" s="205">
        <f t="shared" ca="1" si="31"/>
        <v>3133.8140901805618</v>
      </c>
      <c r="CZ80" s="164" t="b">
        <f t="shared" si="4"/>
        <v>1</v>
      </c>
      <c r="DA80" s="165" t="b">
        <f t="shared" si="4"/>
        <v>1</v>
      </c>
      <c r="DB80" s="166" t="b">
        <f t="shared" si="4"/>
        <v>1</v>
      </c>
      <c r="DC80" s="164">
        <f t="shared" si="15"/>
        <v>32</v>
      </c>
      <c r="DD80" s="166">
        <f t="shared" si="5"/>
        <v>3037.2056655892566</v>
      </c>
      <c r="DE80" s="164">
        <f t="shared" si="6"/>
        <v>32</v>
      </c>
      <c r="DF80" s="166">
        <f t="shared" si="7"/>
        <v>3266.2667302830773</v>
      </c>
      <c r="DG80" s="164">
        <f t="shared" si="8"/>
        <v>32</v>
      </c>
      <c r="DH80" s="166">
        <f t="shared" si="9"/>
        <v>3495.3277949768981</v>
      </c>
      <c r="DI80" s="164">
        <f>IFERROR(INDEX(DC$46:DC$94,_xlfn.AGGREGATE(15,6,(ROW(DC$46:DC$94)-ROW(DC$46)+1)/(DC$46:DC$94&lt;&gt;""),ROWS(DI$1:DI35))),"")</f>
        <v>32</v>
      </c>
      <c r="DJ80" s="165">
        <f>IFERROR(INDEX(DD$46:DD$94,_xlfn.AGGREGATE(15,6,(ROW(DD$46:DD$94)-ROW(DD$46)+1)/(DD$46:DD$94&lt;&gt;""),ROWS(DJ$1:DJ35))),"")</f>
        <v>3037.2056655892566</v>
      </c>
      <c r="DK80" s="166">
        <f t="shared" si="10"/>
        <v>80</v>
      </c>
      <c r="DL80" s="164">
        <f>IFERROR(INDEX(DE$46:DE$94,_xlfn.AGGREGATE(15,6,(ROW(DE$46:DE$94)-ROW(DE$46)+1)/(DE$46:DE$94&lt;&gt;""),ROWS(DL$1:DL35))),"")</f>
        <v>32</v>
      </c>
      <c r="DM80" s="165">
        <f>IFERROR(INDEX(DF$46:DF$94,_xlfn.AGGREGATE(15,6,(ROW(DF$46:DF$94)-ROW(DF$46)+1)/(DF$46:DF$94&lt;&gt;""),ROWS(DM$1:DM35))),"")</f>
        <v>3266.2667302830773</v>
      </c>
      <c r="DN80" s="166">
        <f t="shared" si="11"/>
        <v>80</v>
      </c>
      <c r="DO80" s="164">
        <f>IFERROR(INDEX(DG$46:DG$94,_xlfn.AGGREGATE(15,6,(ROW(DG$46:DG$94)-ROW(DG$46)+1)/(DG$46:DG$94&lt;&gt;""),ROWS(DO$1:DO35))),"")</f>
        <v>32</v>
      </c>
      <c r="DP80" s="165">
        <f>IFERROR(INDEX(DH$46:DH$94,_xlfn.AGGREGATE(15,6,(ROW(DH$46:DH$94)-ROW(DH$46)+1)/(DH$46:DH$94&lt;&gt;""),ROWS(DP$1:DP35))),"")</f>
        <v>3495.3277949768981</v>
      </c>
      <c r="DQ80" s="166">
        <f t="shared" si="12"/>
        <v>80</v>
      </c>
      <c r="DV80" s="145">
        <v>2049</v>
      </c>
      <c r="DW80" s="146">
        <f t="shared" ca="1" si="13"/>
        <v>3354.9677630798087</v>
      </c>
      <c r="EA80" s="55"/>
      <c r="EB80" s="55"/>
      <c r="EC80" s="55"/>
      <c r="ED80" s="55"/>
      <c r="EE80" s="55"/>
      <c r="EU80" s="65"/>
      <c r="EV80" s="147"/>
    </row>
    <row r="81" spans="1:152" ht="13.8" x14ac:dyDescent="0.45">
      <c r="B81" s="128">
        <v>2047</v>
      </c>
      <c r="C81" s="1016">
        <v>3177.8927737549384</v>
      </c>
      <c r="D81" s="982">
        <v>3620.7376479208942</v>
      </c>
      <c r="E81" s="1017"/>
      <c r="F81" s="1077"/>
      <c r="G81" s="1109">
        <v>3110.9452637011555</v>
      </c>
      <c r="H81" s="1107"/>
      <c r="I81" s="1112"/>
      <c r="J81" s="207"/>
      <c r="K81" s="204"/>
      <c r="L81" s="206"/>
      <c r="M81" s="204"/>
      <c r="N81" s="29" t="s">
        <v>758</v>
      </c>
      <c r="P81" s="128"/>
      <c r="Q81" s="176" t="str">
        <f t="shared" si="16"/>
        <v/>
      </c>
      <c r="R81" s="29">
        <v>33</v>
      </c>
      <c r="S81" s="154">
        <f t="shared" si="33"/>
        <v>3110.9452637011555</v>
      </c>
      <c r="T81" s="154">
        <f t="shared" si="34"/>
        <v>3620.7376479208942</v>
      </c>
      <c r="U81" s="154">
        <f t="shared" si="35"/>
        <v>226.19603756375878</v>
      </c>
      <c r="W81" s="154">
        <f t="shared" si="14"/>
        <v>3076.9958575619044</v>
      </c>
      <c r="X81" s="154">
        <f>IF(U81="",#N/A,IF($B$36=$A$62,(SUM(C81:E81)/COUNTIF(C81:E81,"&gt;0")),IF($B$36=$A$63,(SUM(F81:H81)/COUNTIF(F81:H81,"&gt;0")),IF($B$36=$A$64,(SUM(J81:K81)/COUNTIF(J81:K81,"&gt;0")),IF($B$36=$A$65,(SUM(L81:M81)/COUNTIF(L81:M81,"&gt;0")),(IF($B$36=$A$46,IF(C81="",#N/A,C81),IF($B$36=$A$47,IF(D81="",#N/A,D81),IF($B$36=$A$48,IF(E81="",#N/A,E81),IF($B$36=$A$49,IF(F81="",#N/A,F81),IF($B$36=$A$50,IF(G81="",#N/A,G81),IF($B$36=$A$51,IF(H81="",#N/A,H81),IF($B$36=$A$52,IF('Total MSW TAM Data_Updated2020'!I81="",#N/A,'Total MSW TAM Data_Updated2020'!I81),IF($B$36=$A$53,IF(J81="",#N/A,J81),IF($B$36=$A$54,IF(K81="",#N/A,K81),IF($B$36=$A$55,IF(L81="",#N/A,L81),IF($B$36=$A$56,IF(M81="",#N/A,M81),IF(U81="",#N/A,(SUM(C81:Q81)/COUNTIFS(C81:Q81,"&gt;0"))))))))))))))))))))</f>
        <v>3303.191895125663</v>
      </c>
      <c r="Y81" s="154">
        <f t="shared" si="3"/>
        <v>3529.3879326894216</v>
      </c>
      <c r="AA81" s="1133">
        <v>3171.8602483512827</v>
      </c>
      <c r="AB81" s="1133">
        <v>3371.0816863003333</v>
      </c>
      <c r="AC81" s="1133">
        <v>3570.3031242493839</v>
      </c>
      <c r="AD81" s="89"/>
      <c r="AE81" s="89"/>
      <c r="AF81" s="89"/>
      <c r="AG81" s="89"/>
      <c r="AH81" s="89"/>
      <c r="AI81" s="89"/>
      <c r="AJ81" s="89"/>
      <c r="AK81" s="89"/>
      <c r="AL81" s="89"/>
      <c r="AM81" s="89"/>
      <c r="AN81" s="89"/>
      <c r="BR81" s="180">
        <v>2045</v>
      </c>
      <c r="BS81" s="22">
        <v>31</v>
      </c>
      <c r="BT81" s="181">
        <f t="shared" si="18"/>
        <v>1287.0084333524003</v>
      </c>
      <c r="BU81" s="182">
        <f t="shared" si="19"/>
        <v>1924.0853092551583</v>
      </c>
      <c r="BV81" s="205">
        <f t="shared" si="20"/>
        <v>3211.0937426075589</v>
      </c>
      <c r="BY81" s="180">
        <v>2045</v>
      </c>
      <c r="BZ81" s="22">
        <v>31</v>
      </c>
      <c r="CA81" s="198">
        <f t="shared" ca="1" si="21"/>
        <v>-276.16806768622956</v>
      </c>
      <c r="CB81" s="198">
        <f t="shared" ca="1" si="22"/>
        <v>1678.988916519952</v>
      </c>
      <c r="CC81" s="198">
        <f t="shared" ca="1" si="32"/>
        <v>1842.470604548718</v>
      </c>
      <c r="CD81" s="205">
        <f t="shared" ca="1" si="23"/>
        <v>3245.2914533824405</v>
      </c>
      <c r="CG81" s="180">
        <v>2045</v>
      </c>
      <c r="CH81" s="22">
        <v>31</v>
      </c>
      <c r="CI81" s="198">
        <f t="shared" ca="1" si="24"/>
        <v>373.53128002108048</v>
      </c>
      <c r="CJ81" s="198">
        <f t="shared" ca="1" si="25"/>
        <v>-1071.4282122472398</v>
      </c>
      <c r="CK81" s="198">
        <f t="shared" ca="1" si="26"/>
        <v>2103.5163504835573</v>
      </c>
      <c r="CL81" s="198">
        <f t="shared" ca="1" si="27"/>
        <v>1808.2106982169528</v>
      </c>
      <c r="CM81" s="205">
        <f t="shared" ca="1" si="28"/>
        <v>3213.8301164743507</v>
      </c>
      <c r="CP81" s="180">
        <v>2045</v>
      </c>
      <c r="CQ81" s="22">
        <v>31</v>
      </c>
      <c r="CR81" s="181">
        <f t="shared" ca="1" si="29"/>
        <v>1974.5373970287794</v>
      </c>
      <c r="CS81" s="182">
        <f t="shared" ca="1" si="30"/>
        <v>1.611739294434843</v>
      </c>
      <c r="CT81" s="205">
        <f t="shared" ca="1" si="31"/>
        <v>3182.4395111223762</v>
      </c>
      <c r="CZ81" s="164" t="b">
        <f t="shared" si="4"/>
        <v>1</v>
      </c>
      <c r="DA81" s="165" t="b">
        <f t="shared" si="4"/>
        <v>1</v>
      </c>
      <c r="DB81" s="166" t="b">
        <f t="shared" si="4"/>
        <v>1</v>
      </c>
      <c r="DC81" s="164">
        <f t="shared" si="15"/>
        <v>33</v>
      </c>
      <c r="DD81" s="166">
        <f t="shared" si="5"/>
        <v>3076.9958575619044</v>
      </c>
      <c r="DE81" s="164">
        <f t="shared" si="6"/>
        <v>33</v>
      </c>
      <c r="DF81" s="166">
        <f t="shared" si="7"/>
        <v>3303.191895125663</v>
      </c>
      <c r="DG81" s="164">
        <f t="shared" si="8"/>
        <v>33</v>
      </c>
      <c r="DH81" s="166">
        <f t="shared" si="9"/>
        <v>3529.3879326894216</v>
      </c>
      <c r="DI81" s="164">
        <f>IFERROR(INDEX(DC$46:DC$94,_xlfn.AGGREGATE(15,6,(ROW(DC$46:DC$94)-ROW(DC$46)+1)/(DC$46:DC$94&lt;&gt;""),ROWS(DI$1:DI36))),"")</f>
        <v>33</v>
      </c>
      <c r="DJ81" s="165">
        <f>IFERROR(INDEX(DD$46:DD$94,_xlfn.AGGREGATE(15,6,(ROW(DD$46:DD$94)-ROW(DD$46)+1)/(DD$46:DD$94&lt;&gt;""),ROWS(DJ$1:DJ36))),"")</f>
        <v>3076.9958575619044</v>
      </c>
      <c r="DK81" s="166">
        <f t="shared" si="10"/>
        <v>81</v>
      </c>
      <c r="DL81" s="164">
        <f>IFERROR(INDEX(DE$46:DE$94,_xlfn.AGGREGATE(15,6,(ROW(DE$46:DE$94)-ROW(DE$46)+1)/(DE$46:DE$94&lt;&gt;""),ROWS(DL$1:DL36))),"")</f>
        <v>33</v>
      </c>
      <c r="DM81" s="165">
        <f>IFERROR(INDEX(DF$46:DF$94,_xlfn.AGGREGATE(15,6,(ROW(DF$46:DF$94)-ROW(DF$46)+1)/(DF$46:DF$94&lt;&gt;""),ROWS(DM$1:DM36))),"")</f>
        <v>3303.191895125663</v>
      </c>
      <c r="DN81" s="166">
        <f t="shared" si="11"/>
        <v>81</v>
      </c>
      <c r="DO81" s="164">
        <f>IFERROR(INDEX(DG$46:DG$94,_xlfn.AGGREGATE(15,6,(ROW(DG$46:DG$94)-ROW(DG$46)+1)/(DG$46:DG$94&lt;&gt;""),ROWS(DO$1:DO36))),"")</f>
        <v>33</v>
      </c>
      <c r="DP81" s="165">
        <f>IFERROR(INDEX(DH$46:DH$94,_xlfn.AGGREGATE(15,6,(ROW(DH$46:DH$94)-ROW(DH$46)+1)/(DH$46:DH$94&lt;&gt;""),ROWS(DP$1:DP36))),"")</f>
        <v>3529.3879326894216</v>
      </c>
      <c r="DQ81" s="166">
        <f t="shared" si="12"/>
        <v>81</v>
      </c>
      <c r="DV81" s="145">
        <v>2050</v>
      </c>
      <c r="DW81" s="146">
        <f t="shared" ca="1" si="13"/>
        <v>3391.072206952731</v>
      </c>
      <c r="EA81" s="55"/>
      <c r="EB81" s="55"/>
      <c r="EC81" s="55"/>
      <c r="ED81" s="55"/>
      <c r="EE81" s="55"/>
      <c r="EU81" s="65"/>
      <c r="EV81" s="147"/>
    </row>
    <row r="82" spans="1:152" ht="13.8" x14ac:dyDescent="0.45">
      <c r="B82" s="128">
        <v>2048</v>
      </c>
      <c r="C82" s="1016">
        <v>3212.9033393290761</v>
      </c>
      <c r="D82" s="982">
        <v>3653.53365064735</v>
      </c>
      <c r="E82" s="1017"/>
      <c r="F82" s="1077"/>
      <c r="G82" s="1109">
        <v>3152.9712950024418</v>
      </c>
      <c r="H82" s="1107"/>
      <c r="I82" s="1112"/>
      <c r="J82" s="207"/>
      <c r="K82" s="204"/>
      <c r="L82" s="206"/>
      <c r="M82" s="204"/>
      <c r="N82" s="29" t="s">
        <v>758</v>
      </c>
      <c r="P82" s="128"/>
      <c r="Q82" s="176" t="str">
        <f t="shared" si="16"/>
        <v/>
      </c>
      <c r="R82" s="29">
        <v>34</v>
      </c>
      <c r="S82" s="154">
        <f t="shared" si="33"/>
        <v>3152.9712950024418</v>
      </c>
      <c r="T82" s="154">
        <f t="shared" si="34"/>
        <v>3653.53365064735</v>
      </c>
      <c r="U82" s="154">
        <f t="shared" si="35"/>
        <v>223.18641761699971</v>
      </c>
      <c r="W82" s="154">
        <f t="shared" si="14"/>
        <v>3116.616344042623</v>
      </c>
      <c r="X82" s="154">
        <f>IF(U82="",#N/A,IF($B$36=$A$62,(SUM(C82:E82)/COUNTIF(C82:E82,"&gt;0")),IF($B$36=$A$63,(SUM(F82:H82)/COUNTIF(F82:H82,"&gt;0")),IF($B$36=$A$64,(SUM(J82:K82)/COUNTIF(J82:K82,"&gt;0")),IF($B$36=$A$65,(SUM(L82:M82)/COUNTIF(L82:M82,"&gt;0")),(IF($B$36=$A$46,IF(C82="",#N/A,C82),IF($B$36=$A$47,IF(D82="",#N/A,D82),IF($B$36=$A$48,IF(E82="",#N/A,E82),IF($B$36=$A$49,IF(F82="",#N/A,F82),IF($B$36=$A$50,IF(G82="",#N/A,G82),IF($B$36=$A$51,IF(H82="",#N/A,H82),IF($B$36=$A$52,IF('Total MSW TAM Data_Updated2020'!I82="",#N/A,'Total MSW TAM Data_Updated2020'!I82),IF($B$36=$A$53,IF(J82="",#N/A,J82),IF($B$36=$A$54,IF(K82="",#N/A,K82),IF($B$36=$A$55,IF(L82="",#N/A,L82),IF($B$36=$A$56,IF(M82="",#N/A,M82),IF(U82="",#N/A,(SUM(C82:Q82)/COUNTIFS(C82:Q82,"&gt;0"))))))))))))))))))))</f>
        <v>3339.8027616596228</v>
      </c>
      <c r="Y82" s="154">
        <f t="shared" si="3"/>
        <v>3562.9891792766225</v>
      </c>
      <c r="AA82" s="1133">
        <v>3217.8017320549675</v>
      </c>
      <c r="AB82" s="1133">
        <v>3412.9379410699567</v>
      </c>
      <c r="AC82" s="1133">
        <v>3608.0741500849458</v>
      </c>
      <c r="AD82" s="89"/>
      <c r="AE82" s="89"/>
      <c r="AF82" s="89"/>
      <c r="AG82" s="89"/>
      <c r="AH82" s="89"/>
      <c r="AI82" s="89"/>
      <c r="AJ82" s="89"/>
      <c r="AK82" s="89"/>
      <c r="AL82" s="89"/>
      <c r="AM82" s="89"/>
      <c r="AN82" s="89"/>
      <c r="BR82" s="180">
        <v>2046</v>
      </c>
      <c r="BS82" s="22">
        <v>32</v>
      </c>
      <c r="BT82" s="181">
        <f t="shared" si="18"/>
        <v>1328.5248344282841</v>
      </c>
      <c r="BU82" s="182">
        <f t="shared" si="19"/>
        <v>1924.0853092551583</v>
      </c>
      <c r="BV82" s="205">
        <f t="shared" si="20"/>
        <v>3252.6101436834424</v>
      </c>
      <c r="BY82" s="180">
        <v>2046</v>
      </c>
      <c r="BZ82" s="22">
        <v>32</v>
      </c>
      <c r="CA82" s="198">
        <f t="shared" ca="1" si="21"/>
        <v>-294.27273809646107</v>
      </c>
      <c r="CB82" s="198">
        <f t="shared" ca="1" si="22"/>
        <v>1733.1498493109182</v>
      </c>
      <c r="CC82" s="198">
        <f t="shared" ca="1" si="32"/>
        <v>1842.470604548718</v>
      </c>
      <c r="CD82" s="205">
        <f t="shared" ca="1" si="23"/>
        <v>3281.3477157631751</v>
      </c>
      <c r="CG82" s="180">
        <v>2046</v>
      </c>
      <c r="CH82" s="22">
        <v>32</v>
      </c>
      <c r="CI82" s="198">
        <f t="shared" ca="1" si="24"/>
        <v>410.85807739689051</v>
      </c>
      <c r="CJ82" s="198">
        <f t="shared" ca="1" si="25"/>
        <v>-1141.667522727548</v>
      </c>
      <c r="CK82" s="198">
        <f t="shared" ca="1" si="26"/>
        <v>2171.3717166281881</v>
      </c>
      <c r="CL82" s="198">
        <f t="shared" ca="1" si="27"/>
        <v>1808.2106982169528</v>
      </c>
      <c r="CM82" s="205">
        <f t="shared" ca="1" si="28"/>
        <v>3248.7729695144835</v>
      </c>
      <c r="CP82" s="180">
        <v>2046</v>
      </c>
      <c r="CQ82" s="22">
        <v>32</v>
      </c>
      <c r="CR82" s="181">
        <f t="shared" ca="1" si="29"/>
        <v>1974.5373970287794</v>
      </c>
      <c r="CS82" s="182">
        <f t="shared" ca="1" si="30"/>
        <v>1.6367476387032303</v>
      </c>
      <c r="CT82" s="205">
        <f t="shared" ca="1" si="31"/>
        <v>3231.8194221180775</v>
      </c>
      <c r="CZ82" s="164" t="b">
        <f t="shared" si="4"/>
        <v>1</v>
      </c>
      <c r="DA82" s="165" t="b">
        <f t="shared" si="4"/>
        <v>1</v>
      </c>
      <c r="DB82" s="166" t="b">
        <f t="shared" si="4"/>
        <v>1</v>
      </c>
      <c r="DC82" s="164">
        <f t="shared" si="15"/>
        <v>34</v>
      </c>
      <c r="DD82" s="166">
        <f t="shared" si="5"/>
        <v>3116.616344042623</v>
      </c>
      <c r="DE82" s="164">
        <f t="shared" si="6"/>
        <v>34</v>
      </c>
      <c r="DF82" s="166">
        <f t="shared" si="7"/>
        <v>3339.8027616596228</v>
      </c>
      <c r="DG82" s="164">
        <f t="shared" si="8"/>
        <v>34</v>
      </c>
      <c r="DH82" s="166">
        <f t="shared" si="9"/>
        <v>3562.9891792766225</v>
      </c>
      <c r="DI82" s="164">
        <f>IFERROR(INDEX(DC$46:DC$94,_xlfn.AGGREGATE(15,6,(ROW(DC$46:DC$94)-ROW(DC$46)+1)/(DC$46:DC$94&lt;&gt;""),ROWS(DI$1:DI37))),"")</f>
        <v>34</v>
      </c>
      <c r="DJ82" s="165">
        <f>IFERROR(INDEX(DD$46:DD$94,_xlfn.AGGREGATE(15,6,(ROW(DD$46:DD$94)-ROW(DD$46)+1)/(DD$46:DD$94&lt;&gt;""),ROWS(DJ$1:DJ37))),"")</f>
        <v>3116.616344042623</v>
      </c>
      <c r="DK82" s="166">
        <f t="shared" si="10"/>
        <v>82</v>
      </c>
      <c r="DL82" s="164">
        <f>IFERROR(INDEX(DE$46:DE$94,_xlfn.AGGREGATE(15,6,(ROW(DE$46:DE$94)-ROW(DE$46)+1)/(DE$46:DE$94&lt;&gt;""),ROWS(DL$1:DL37))),"")</f>
        <v>34</v>
      </c>
      <c r="DM82" s="165">
        <f>IFERROR(INDEX(DF$46:DF$94,_xlfn.AGGREGATE(15,6,(ROW(DF$46:DF$94)-ROW(DF$46)+1)/(DF$46:DF$94&lt;&gt;""),ROWS(DM$1:DM37))),"")</f>
        <v>3339.8027616596228</v>
      </c>
      <c r="DN82" s="166">
        <f t="shared" si="11"/>
        <v>82</v>
      </c>
      <c r="DO82" s="164">
        <f>IFERROR(INDEX(DG$46:DG$94,_xlfn.AGGREGATE(15,6,(ROW(DG$46:DG$94)-ROW(DG$46)+1)/(DG$46:DG$94&lt;&gt;""),ROWS(DO$1:DO37))),"")</f>
        <v>34</v>
      </c>
      <c r="DP82" s="165">
        <f>IFERROR(INDEX(DH$46:DH$94,_xlfn.AGGREGATE(15,6,(ROW(DH$46:DH$94)-ROW(DH$46)+1)/(DH$46:DH$94&lt;&gt;""),ROWS(DP$1:DP37))),"")</f>
        <v>3562.9891792766225</v>
      </c>
      <c r="DQ82" s="166">
        <f t="shared" si="12"/>
        <v>82</v>
      </c>
      <c r="DV82" s="145">
        <v>2051</v>
      </c>
      <c r="DW82" s="146">
        <f t="shared" ca="1" si="13"/>
        <v>3427.6551244359794</v>
      </c>
      <c r="EA82" s="55"/>
      <c r="EB82" s="55"/>
      <c r="EC82" s="55"/>
      <c r="ED82" s="55"/>
      <c r="EE82" s="55"/>
      <c r="EU82" s="65"/>
      <c r="EV82" s="147"/>
    </row>
    <row r="83" spans="1:152" ht="13.8" x14ac:dyDescent="0.45">
      <c r="B83" s="128">
        <v>2049</v>
      </c>
      <c r="C83" s="1016">
        <v>3247.7358640842476</v>
      </c>
      <c r="D83" s="982">
        <v>3685.7758108610547</v>
      </c>
      <c r="E83" s="1017"/>
      <c r="F83" s="1077"/>
      <c r="G83" s="1109">
        <v>3194.7858824009277</v>
      </c>
      <c r="H83" s="1107"/>
      <c r="I83" s="1112"/>
      <c r="J83" s="207"/>
      <c r="K83" s="204"/>
      <c r="L83" s="206"/>
      <c r="M83" s="204"/>
      <c r="N83" s="29" t="s">
        <v>758</v>
      </c>
      <c r="P83" s="128"/>
      <c r="Q83" s="176" t="str">
        <f t="shared" si="16"/>
        <v/>
      </c>
      <c r="R83" s="29">
        <v>35</v>
      </c>
      <c r="S83" s="154">
        <f t="shared" si="33"/>
        <v>3194.7858824009277</v>
      </c>
      <c r="T83" s="154">
        <f t="shared" si="34"/>
        <v>3685.7758108610547</v>
      </c>
      <c r="U83" s="154">
        <f t="shared" si="35"/>
        <v>220.03883631500966</v>
      </c>
      <c r="W83" s="154">
        <f t="shared" si="14"/>
        <v>3156.0603494670672</v>
      </c>
      <c r="X83" s="154">
        <f>IF(U83="",#N/A,IF($B$36=$A$62,(SUM(C83:E83)/COUNTIF(C83:E83,"&gt;0")),IF($B$36=$A$63,(SUM(F83:H83)/COUNTIF(F83:H83,"&gt;0")),IF($B$36=$A$64,(SUM(J83:K83)/COUNTIF(J83:K83,"&gt;0")),IF($B$36=$A$65,(SUM(L83:M83)/COUNTIF(L83:M83,"&gt;0")),(IF($B$36=$A$46,IF(C83="",#N/A,C83),IF($B$36=$A$47,IF(D83="",#N/A,D83),IF($B$36=$A$48,IF(E83="",#N/A,E83),IF($B$36=$A$49,IF(F83="",#N/A,F83),IF($B$36=$A$50,IF(G83="",#N/A,G83),IF($B$36=$A$51,IF(H83="",#N/A,H83),IF($B$36=$A$52,IF('Total MSW TAM Data_Updated2020'!I83="",#N/A,'Total MSW TAM Data_Updated2020'!I83),IF($B$36=$A$53,IF(J83="",#N/A,J83),IF($B$36=$A$54,IF(K83="",#N/A,K83),IF($B$36=$A$55,IF(L83="",#N/A,L83),IF($B$36=$A$56,IF(M83="",#N/A,M83),IF(U83="",#N/A,(SUM(C83:Q83)/COUNTIFS(C83:Q83,"&gt;0"))))))))))))))))))))</f>
        <v>3376.0991857820768</v>
      </c>
      <c r="Y83" s="154">
        <f t="shared" si="3"/>
        <v>3596.1380220970864</v>
      </c>
      <c r="AA83" s="1133">
        <v>3263.7700362571536</v>
      </c>
      <c r="AB83" s="1133">
        <v>3454.663023726212</v>
      </c>
      <c r="AC83" s="1133">
        <v>3645.5560111952705</v>
      </c>
      <c r="AD83" s="89"/>
      <c r="AE83" s="89"/>
      <c r="AF83" s="89"/>
      <c r="AG83" s="89"/>
      <c r="AH83" s="89"/>
      <c r="AI83" s="89"/>
      <c r="AJ83" s="89"/>
      <c r="AK83" s="89"/>
      <c r="AL83" s="89"/>
      <c r="AM83" s="89"/>
      <c r="AN83" s="89"/>
      <c r="BR83" s="180">
        <v>2047</v>
      </c>
      <c r="BS83" s="22">
        <v>33</v>
      </c>
      <c r="BT83" s="181">
        <f t="shared" si="18"/>
        <v>1370.0412355041678</v>
      </c>
      <c r="BU83" s="182">
        <f t="shared" si="19"/>
        <v>1924.0853092551583</v>
      </c>
      <c r="BV83" s="205">
        <f t="shared" si="20"/>
        <v>3294.126544759326</v>
      </c>
      <c r="BY83" s="180">
        <v>2047</v>
      </c>
      <c r="BZ83" s="22">
        <v>33</v>
      </c>
      <c r="CA83" s="198">
        <f t="shared" ca="1" si="21"/>
        <v>-312.9521599482872</v>
      </c>
      <c r="CB83" s="198">
        <f t="shared" ca="1" si="22"/>
        <v>1787.3107821018843</v>
      </c>
      <c r="CC83" s="198">
        <f t="shared" ca="1" si="32"/>
        <v>1842.470604548718</v>
      </c>
      <c r="CD83" s="205">
        <f t="shared" ca="1" si="23"/>
        <v>3316.8292267023153</v>
      </c>
      <c r="CG83" s="180">
        <v>2047</v>
      </c>
      <c r="CH83" s="22">
        <v>33</v>
      </c>
      <c r="CI83" s="198">
        <f t="shared" ca="1" si="24"/>
        <v>450.59224631994795</v>
      </c>
      <c r="CJ83" s="198">
        <f t="shared" ca="1" si="25"/>
        <v>-1214.1366525881833</v>
      </c>
      <c r="CK83" s="198">
        <f t="shared" ca="1" si="26"/>
        <v>2239.2270827728189</v>
      </c>
      <c r="CL83" s="198">
        <f t="shared" ca="1" si="27"/>
        <v>1808.2106982169528</v>
      </c>
      <c r="CM83" s="205">
        <f t="shared" ca="1" si="28"/>
        <v>3283.893374721536</v>
      </c>
      <c r="CP83" s="180">
        <v>2047</v>
      </c>
      <c r="CQ83" s="22">
        <v>33</v>
      </c>
      <c r="CR83" s="181">
        <f t="shared" ca="1" si="29"/>
        <v>1974.5373970287794</v>
      </c>
      <c r="CS83" s="182">
        <f t="shared" ca="1" si="30"/>
        <v>1.6621440217103922</v>
      </c>
      <c r="CT83" s="205">
        <f t="shared" ca="1" si="31"/>
        <v>3281.9655301149851</v>
      </c>
      <c r="CZ83" s="164" t="b">
        <f t="shared" si="4"/>
        <v>1</v>
      </c>
      <c r="DA83" s="165" t="b">
        <f t="shared" si="4"/>
        <v>1</v>
      </c>
      <c r="DB83" s="166" t="b">
        <f t="shared" si="4"/>
        <v>1</v>
      </c>
      <c r="DC83" s="164">
        <f t="shared" si="15"/>
        <v>35</v>
      </c>
      <c r="DD83" s="166">
        <f t="shared" si="5"/>
        <v>3156.0603494670672</v>
      </c>
      <c r="DE83" s="164">
        <f t="shared" si="6"/>
        <v>35</v>
      </c>
      <c r="DF83" s="166">
        <f t="shared" si="7"/>
        <v>3376.0991857820768</v>
      </c>
      <c r="DG83" s="164">
        <f t="shared" si="8"/>
        <v>35</v>
      </c>
      <c r="DH83" s="166">
        <f t="shared" si="9"/>
        <v>3596.1380220970864</v>
      </c>
      <c r="DI83" s="164">
        <f>IFERROR(INDEX(DC$46:DC$94,_xlfn.AGGREGATE(15,6,(ROW(DC$46:DC$94)-ROW(DC$46)+1)/(DC$46:DC$94&lt;&gt;""),ROWS(DI$1:DI38))),"")</f>
        <v>35</v>
      </c>
      <c r="DJ83" s="165">
        <f>IFERROR(INDEX(DD$46:DD$94,_xlfn.AGGREGATE(15,6,(ROW(DD$46:DD$94)-ROW(DD$46)+1)/(DD$46:DD$94&lt;&gt;""),ROWS(DJ$1:DJ38))),"")</f>
        <v>3156.0603494670672</v>
      </c>
      <c r="DK83" s="166">
        <f t="shared" si="10"/>
        <v>83</v>
      </c>
      <c r="DL83" s="164">
        <f>IFERROR(INDEX(DE$46:DE$94,_xlfn.AGGREGATE(15,6,(ROW(DE$46:DE$94)-ROW(DE$46)+1)/(DE$46:DE$94&lt;&gt;""),ROWS(DL$1:DL38))),"")</f>
        <v>35</v>
      </c>
      <c r="DM83" s="165">
        <f>IFERROR(INDEX(DF$46:DF$94,_xlfn.AGGREGATE(15,6,(ROW(DF$46:DF$94)-ROW(DF$46)+1)/(DF$46:DF$94&lt;&gt;""),ROWS(DM$1:DM38))),"")</f>
        <v>3376.0991857820768</v>
      </c>
      <c r="DN83" s="166">
        <f t="shared" si="11"/>
        <v>83</v>
      </c>
      <c r="DO83" s="164">
        <f>IFERROR(INDEX(DG$46:DG$94,_xlfn.AGGREGATE(15,6,(ROW(DG$46:DG$94)-ROW(DG$46)+1)/(DG$46:DG$94&lt;&gt;""),ROWS(DO$1:DO38))),"")</f>
        <v>35</v>
      </c>
      <c r="DP83" s="165">
        <f>IFERROR(INDEX(DH$46:DH$94,_xlfn.AGGREGATE(15,6,(ROW(DH$46:DH$94)-ROW(DH$46)+1)/(DH$46:DH$94&lt;&gt;""),ROWS(DP$1:DP38))),"")</f>
        <v>3596.1380220970864</v>
      </c>
      <c r="DQ83" s="166">
        <f t="shared" si="12"/>
        <v>83</v>
      </c>
      <c r="DV83" s="145">
        <v>2052</v>
      </c>
      <c r="DW83" s="146">
        <f t="shared" ca="1" si="13"/>
        <v>3464.7917458904058</v>
      </c>
      <c r="EA83" s="55"/>
      <c r="EB83" s="55"/>
      <c r="EC83" s="55"/>
      <c r="ED83" s="55"/>
      <c r="EE83" s="55"/>
      <c r="EU83" s="65"/>
      <c r="EV83" s="147"/>
    </row>
    <row r="84" spans="1:152" ht="13.8" x14ac:dyDescent="0.45">
      <c r="B84" s="128">
        <v>2050</v>
      </c>
      <c r="C84" s="1016">
        <v>3280.382453615799</v>
      </c>
      <c r="D84" s="982">
        <v>3717.473679018954</v>
      </c>
      <c r="E84" s="1017"/>
      <c r="F84" s="1077"/>
      <c r="G84" s="1109">
        <v>3236.3833154761874</v>
      </c>
      <c r="H84" s="1107"/>
      <c r="I84" s="1112"/>
      <c r="J84" s="207"/>
      <c r="K84" s="204"/>
      <c r="L84" s="206"/>
      <c r="M84" s="204"/>
      <c r="N84" s="29" t="s">
        <v>758</v>
      </c>
      <c r="P84" s="128"/>
      <c r="Q84" s="176" t="str">
        <f t="shared" si="16"/>
        <v/>
      </c>
      <c r="R84" s="29">
        <v>36</v>
      </c>
      <c r="S84" s="154">
        <f t="shared" si="33"/>
        <v>3236.3833154761874</v>
      </c>
      <c r="T84" s="154">
        <f t="shared" si="34"/>
        <v>3717.473679018954</v>
      </c>
      <c r="U84" s="154">
        <f t="shared" si="35"/>
        <v>217.16164009920038</v>
      </c>
      <c r="W84" s="154">
        <f t="shared" si="14"/>
        <v>3194.2515092711133</v>
      </c>
      <c r="X84" s="154">
        <f>IF(U84="",#N/A,IF($B$36=$A$62,(SUM(C84:E84)/COUNTIF(C84:E84,"&gt;0")),IF($B$36=$A$63,(SUM(F84:H84)/COUNTIF(F84:H84,"&gt;0")),IF($B$36=$A$64,(SUM(J84:K84)/COUNTIF(J84:K84,"&gt;0")),IF($B$36=$A$65,(SUM(L84:M84)/COUNTIF(L84:M84,"&gt;0")),(IF($B$36=$A$46,IF(C84="",#N/A,C84),IF($B$36=$A$47,IF(D84="",#N/A,D84),IF($B$36=$A$48,IF(E84="",#N/A,E84),IF($B$36=$A$49,IF(F84="",#N/A,F84),IF($B$36=$A$50,IF(G84="",#N/A,G84),IF($B$36=$A$51,IF(H84="",#N/A,H84),IF($B$36=$A$52,IF('Total MSW TAM Data_Updated2020'!I84="",#N/A,'Total MSW TAM Data_Updated2020'!I84),IF($B$36=$A$53,IF(J84="",#N/A,J84),IF($B$36=$A$54,IF(K84="",#N/A,K84),IF($B$36=$A$55,IF(L84="",#N/A,L84),IF($B$36=$A$56,IF(M84="",#N/A,M84),IF(U84="",#N/A,(SUM(C84:Q84)/COUNTIFS(C84:Q84,"&gt;0"))))))))))))))))))))</f>
        <v>3411.4131493703135</v>
      </c>
      <c r="Y84" s="154">
        <f t="shared" si="3"/>
        <v>3628.5747894695137</v>
      </c>
      <c r="AA84" s="1133">
        <v>3308.7172545863345</v>
      </c>
      <c r="AB84" s="1133">
        <v>3495.5715615028471</v>
      </c>
      <c r="AC84" s="1133">
        <v>3682.4258684193596</v>
      </c>
      <c r="AD84" s="89"/>
      <c r="AE84" s="89"/>
      <c r="AF84" s="89"/>
      <c r="AG84" s="89"/>
      <c r="AH84" s="89"/>
      <c r="AI84" s="89"/>
      <c r="AJ84" s="89"/>
      <c r="AK84" s="89"/>
      <c r="AL84" s="89"/>
      <c r="AM84" s="89"/>
      <c r="AN84" s="89"/>
      <c r="BR84" s="180">
        <v>2048</v>
      </c>
      <c r="BS84" s="22">
        <v>34</v>
      </c>
      <c r="BT84" s="181">
        <f t="shared" si="18"/>
        <v>1411.5576365800518</v>
      </c>
      <c r="BU84" s="182">
        <f t="shared" si="19"/>
        <v>1924.0853092551583</v>
      </c>
      <c r="BV84" s="205">
        <f t="shared" si="20"/>
        <v>3335.6429458352104</v>
      </c>
      <c r="BY84" s="180">
        <v>2048</v>
      </c>
      <c r="BZ84" s="22">
        <v>34</v>
      </c>
      <c r="CA84" s="198">
        <f t="shared" ca="1" si="21"/>
        <v>-332.20633324170802</v>
      </c>
      <c r="CB84" s="198">
        <f t="shared" ca="1" si="22"/>
        <v>1841.4717148928505</v>
      </c>
      <c r="CC84" s="198">
        <f t="shared" ca="1" si="32"/>
        <v>1842.470604548718</v>
      </c>
      <c r="CD84" s="205">
        <f t="shared" ca="1" si="23"/>
        <v>3351.7359861998602</v>
      </c>
      <c r="CG84" s="180">
        <v>2048</v>
      </c>
      <c r="CH84" s="22">
        <v>34</v>
      </c>
      <c r="CI84" s="198">
        <f t="shared" ca="1" si="24"/>
        <v>492.80901715110429</v>
      </c>
      <c r="CJ84" s="198">
        <f t="shared" ca="1" si="25"/>
        <v>-1288.8356018291458</v>
      </c>
      <c r="CK84" s="198">
        <f t="shared" ca="1" si="26"/>
        <v>2307.0824489174497</v>
      </c>
      <c r="CL84" s="198">
        <f t="shared" ca="1" si="27"/>
        <v>1808.2106982169528</v>
      </c>
      <c r="CM84" s="205">
        <f t="shared" ca="1" si="28"/>
        <v>3319.2665624563606</v>
      </c>
      <c r="CP84" s="180">
        <v>2048</v>
      </c>
      <c r="CQ84" s="22">
        <v>34</v>
      </c>
      <c r="CR84" s="181">
        <f t="shared" ca="1" si="29"/>
        <v>1974.5373970287794</v>
      </c>
      <c r="CS84" s="182">
        <f t="shared" ca="1" si="30"/>
        <v>1.6879344644092227</v>
      </c>
      <c r="CT84" s="205">
        <f t="shared" ca="1" si="31"/>
        <v>3332.8897237097535</v>
      </c>
      <c r="CZ84" s="164" t="b">
        <f t="shared" si="4"/>
        <v>1</v>
      </c>
      <c r="DA84" s="165" t="b">
        <f t="shared" si="4"/>
        <v>1</v>
      </c>
      <c r="DB84" s="166" t="b">
        <f t="shared" si="4"/>
        <v>1</v>
      </c>
      <c r="DC84" s="164">
        <f t="shared" si="15"/>
        <v>36</v>
      </c>
      <c r="DD84" s="166">
        <f t="shared" si="5"/>
        <v>3194.2515092711133</v>
      </c>
      <c r="DE84" s="164">
        <f t="shared" si="6"/>
        <v>36</v>
      </c>
      <c r="DF84" s="166">
        <f t="shared" si="7"/>
        <v>3411.4131493703135</v>
      </c>
      <c r="DG84" s="164">
        <f t="shared" si="8"/>
        <v>36</v>
      </c>
      <c r="DH84" s="166">
        <f t="shared" si="9"/>
        <v>3628.5747894695137</v>
      </c>
      <c r="DI84" s="164">
        <f>IFERROR(INDEX(DC$46:DC$94,_xlfn.AGGREGATE(15,6,(ROW(DC$46:DC$94)-ROW(DC$46)+1)/(DC$46:DC$94&lt;&gt;""),ROWS(DI$1:DI39))),"")</f>
        <v>36</v>
      </c>
      <c r="DJ84" s="165">
        <f>IFERROR(INDEX(DD$46:DD$94,_xlfn.AGGREGATE(15,6,(ROW(DD$46:DD$94)-ROW(DD$46)+1)/(DD$46:DD$94&lt;&gt;""),ROWS(DJ$1:DJ39))),"")</f>
        <v>3194.2515092711133</v>
      </c>
      <c r="DK84" s="166">
        <f t="shared" si="10"/>
        <v>84</v>
      </c>
      <c r="DL84" s="164">
        <f>IFERROR(INDEX(DE$46:DE$94,_xlfn.AGGREGATE(15,6,(ROW(DE$46:DE$94)-ROW(DE$46)+1)/(DE$46:DE$94&lt;&gt;""),ROWS(DL$1:DL39))),"")</f>
        <v>36</v>
      </c>
      <c r="DM84" s="165">
        <f>IFERROR(INDEX(DF$46:DF$94,_xlfn.AGGREGATE(15,6,(ROW(DF$46:DF$94)-ROW(DF$46)+1)/(DF$46:DF$94&lt;&gt;""),ROWS(DM$1:DM39))),"")</f>
        <v>3411.4131493703135</v>
      </c>
      <c r="DN84" s="166">
        <f t="shared" si="11"/>
        <v>84</v>
      </c>
      <c r="DO84" s="164">
        <f>IFERROR(INDEX(DG$46:DG$94,_xlfn.AGGREGATE(15,6,(ROW(DG$46:DG$94)-ROW(DG$46)+1)/(DG$46:DG$94&lt;&gt;""),ROWS(DO$1:DO39))),"")</f>
        <v>36</v>
      </c>
      <c r="DP84" s="165">
        <f>IFERROR(INDEX(DH$46:DH$94,_xlfn.AGGREGATE(15,6,(ROW(DH$46:DH$94)-ROW(DH$46)+1)/(DH$46:DH$94&lt;&gt;""),ROWS(DP$1:DP39))),"")</f>
        <v>3628.5747894695137</v>
      </c>
      <c r="DQ84" s="166">
        <f t="shared" si="12"/>
        <v>84</v>
      </c>
      <c r="DV84" s="145">
        <v>2053</v>
      </c>
      <c r="DW84" s="146">
        <f t="shared" ca="1" si="13"/>
        <v>3502.5573016768603</v>
      </c>
      <c r="EA84" s="55"/>
      <c r="EB84" s="55"/>
      <c r="EC84" s="55"/>
      <c r="ED84" s="55"/>
      <c r="EE84" s="55"/>
      <c r="EU84" s="65"/>
      <c r="EV84" s="147"/>
    </row>
    <row r="85" spans="1:152" ht="13.8" x14ac:dyDescent="0.45">
      <c r="B85" s="128">
        <v>2051</v>
      </c>
      <c r="C85" s="1016">
        <v>3316.8530509556317</v>
      </c>
      <c r="D85" s="982">
        <v>3748.6421900998494</v>
      </c>
      <c r="E85" s="1017"/>
      <c r="F85" s="1077"/>
      <c r="G85" s="1109">
        <v>3277.759072818802</v>
      </c>
      <c r="H85" s="1107"/>
      <c r="I85" s="1112"/>
      <c r="J85" s="207"/>
      <c r="K85" s="204"/>
      <c r="L85" s="206"/>
      <c r="M85" s="204"/>
      <c r="N85" s="29" t="s">
        <v>758</v>
      </c>
      <c r="P85" s="128"/>
      <c r="Q85" s="176" t="str">
        <f t="shared" si="16"/>
        <v/>
      </c>
      <c r="R85" s="29">
        <v>37</v>
      </c>
      <c r="S85" s="154">
        <f t="shared" si="33"/>
        <v>3277.759072818802</v>
      </c>
      <c r="T85" s="154">
        <f t="shared" si="34"/>
        <v>3748.6421900998494</v>
      </c>
      <c r="U85" s="154">
        <f t="shared" si="35"/>
        <v>213.35966242468609</v>
      </c>
      <c r="W85" s="154">
        <f t="shared" si="14"/>
        <v>3234.3917755334087</v>
      </c>
      <c r="X85" s="154">
        <f>IF(U85="",#N/A,IF($B$36=$A$62,(SUM(C85:E85)/COUNTIF(C85:E85,"&gt;0")),IF($B$36=$A$63,(SUM(F85:H85)/COUNTIF(F85:H85,"&gt;0")),IF($B$36=$A$64,(SUM(J85:K85)/COUNTIF(J85:K85,"&gt;0")),IF($B$36=$A$65,(SUM(L85:M85)/COUNTIF(L85:M85,"&gt;0")),(IF($B$36=$A$46,IF(C85="",#N/A,C85),IF($B$36=$A$47,IF(D85="",#N/A,D85),IF($B$36=$A$48,IF(E85="",#N/A,E85),IF($B$36=$A$49,IF(F85="",#N/A,F85),IF($B$36=$A$50,IF(G85="",#N/A,G85),IF($B$36=$A$51,IF(H85="",#N/A,H85),IF($B$36=$A$52,IF('Total MSW TAM Data_Updated2020'!I85="",#N/A,'Total MSW TAM Data_Updated2020'!I85),IF($B$36=$A$53,IF(J85="",#N/A,J85),IF($B$36=$A$54,IF(K85="",#N/A,K85),IF($B$36=$A$55,IF(L85="",#N/A,L85),IF($B$36=$A$56,IF(M85="",#N/A,M85),IF(U85="",#N/A,(SUM(C85:Q85)/COUNTIFS(C85:Q85,"&gt;0"))))))))))))))))))))</f>
        <v>3447.7514379580948</v>
      </c>
      <c r="Y85" s="154">
        <f t="shared" si="3"/>
        <v>3661.1111003827809</v>
      </c>
      <c r="AA85" s="1133">
        <v>3355.7732976924144</v>
      </c>
      <c r="AB85" s="1133">
        <v>3537.7483490613135</v>
      </c>
      <c r="AC85" s="1133">
        <v>3719.7234004302127</v>
      </c>
      <c r="AD85" s="89"/>
      <c r="AE85" s="89"/>
      <c r="AF85" s="89"/>
      <c r="AG85" s="89"/>
      <c r="AH85" s="89"/>
      <c r="AI85" s="89"/>
      <c r="AJ85" s="89"/>
      <c r="AK85" s="89"/>
      <c r="AL85" s="89"/>
      <c r="AM85" s="89"/>
      <c r="AN85" s="89"/>
      <c r="BR85" s="180">
        <v>2049</v>
      </c>
      <c r="BS85" s="22">
        <v>35</v>
      </c>
      <c r="BT85" s="181">
        <f t="shared" si="18"/>
        <v>1453.0740376559356</v>
      </c>
      <c r="BU85" s="182">
        <f t="shared" si="19"/>
        <v>1924.0853092551583</v>
      </c>
      <c r="BV85" s="205">
        <f t="shared" si="20"/>
        <v>3377.159346911094</v>
      </c>
      <c r="BY85" s="180">
        <v>2049</v>
      </c>
      <c r="BZ85" s="22">
        <v>35</v>
      </c>
      <c r="CA85" s="198">
        <f t="shared" ca="1" si="21"/>
        <v>-352.03525797672347</v>
      </c>
      <c r="CB85" s="198">
        <f t="shared" ca="1" si="22"/>
        <v>1895.6326476838167</v>
      </c>
      <c r="CC85" s="198">
        <f t="shared" ca="1" si="32"/>
        <v>1842.470604548718</v>
      </c>
      <c r="CD85" s="205">
        <f t="shared" ca="1" si="23"/>
        <v>3386.0679942558113</v>
      </c>
      <c r="CG85" s="180">
        <v>2049</v>
      </c>
      <c r="CH85" s="22">
        <v>35</v>
      </c>
      <c r="CI85" s="198">
        <f t="shared" ca="1" si="24"/>
        <v>537.58362025121096</v>
      </c>
      <c r="CJ85" s="198">
        <f t="shared" ca="1" si="25"/>
        <v>-1365.7643704504358</v>
      </c>
      <c r="CK85" s="198">
        <f t="shared" ca="1" si="26"/>
        <v>2374.9378150620805</v>
      </c>
      <c r="CL85" s="198">
        <f t="shared" ca="1" si="27"/>
        <v>1808.2106982169528</v>
      </c>
      <c r="CM85" s="205">
        <f t="shared" ca="1" si="28"/>
        <v>3354.9677630798087</v>
      </c>
      <c r="CP85" s="180">
        <v>2049</v>
      </c>
      <c r="CQ85" s="22">
        <v>35</v>
      </c>
      <c r="CR85" s="181">
        <f t="shared" ca="1" si="29"/>
        <v>1974.5373970287794</v>
      </c>
      <c r="CS85" s="182">
        <f t="shared" ca="1" si="30"/>
        <v>1.7141250811759516</v>
      </c>
      <c r="CT85" s="205">
        <f t="shared" ca="1" si="31"/>
        <v>3384.6040759669086</v>
      </c>
      <c r="CZ85" s="164" t="b">
        <f t="shared" si="4"/>
        <v>1</v>
      </c>
      <c r="DA85" s="165" t="b">
        <f t="shared" si="4"/>
        <v>1</v>
      </c>
      <c r="DB85" s="166" t="b">
        <f t="shared" si="4"/>
        <v>1</v>
      </c>
      <c r="DC85" s="164">
        <f t="shared" si="15"/>
        <v>37</v>
      </c>
      <c r="DD85" s="166">
        <f t="shared" si="5"/>
        <v>3234.3917755334087</v>
      </c>
      <c r="DE85" s="164">
        <f t="shared" si="6"/>
        <v>37</v>
      </c>
      <c r="DF85" s="166">
        <f t="shared" si="7"/>
        <v>3447.7514379580948</v>
      </c>
      <c r="DG85" s="164">
        <f t="shared" si="8"/>
        <v>37</v>
      </c>
      <c r="DH85" s="166">
        <f t="shared" si="9"/>
        <v>3661.1111003827809</v>
      </c>
      <c r="DI85" s="164">
        <f>IFERROR(INDEX(DC$46:DC$94,_xlfn.AGGREGATE(15,6,(ROW(DC$46:DC$94)-ROW(DC$46)+1)/(DC$46:DC$94&lt;&gt;""),ROWS(DI$1:DI40))),"")</f>
        <v>37</v>
      </c>
      <c r="DJ85" s="165">
        <f>IFERROR(INDEX(DD$46:DD$94,_xlfn.AGGREGATE(15,6,(ROW(DD$46:DD$94)-ROW(DD$46)+1)/(DD$46:DD$94&lt;&gt;""),ROWS(DJ$1:DJ40))),"")</f>
        <v>3234.3917755334087</v>
      </c>
      <c r="DK85" s="166">
        <f t="shared" si="10"/>
        <v>85</v>
      </c>
      <c r="DL85" s="164">
        <f>IFERROR(INDEX(DE$46:DE$94,_xlfn.AGGREGATE(15,6,(ROW(DE$46:DE$94)-ROW(DE$46)+1)/(DE$46:DE$94&lt;&gt;""),ROWS(DL$1:DL40))),"")</f>
        <v>37</v>
      </c>
      <c r="DM85" s="165">
        <f>IFERROR(INDEX(DF$46:DF$94,_xlfn.AGGREGATE(15,6,(ROW(DF$46:DF$94)-ROW(DF$46)+1)/(DF$46:DF$94&lt;&gt;""),ROWS(DM$1:DM40))),"")</f>
        <v>3447.7514379580948</v>
      </c>
      <c r="DN85" s="166">
        <f t="shared" si="11"/>
        <v>85</v>
      </c>
      <c r="DO85" s="164">
        <f>IFERROR(INDEX(DG$46:DG$94,_xlfn.AGGREGATE(15,6,(ROW(DG$46:DG$94)-ROW(DG$46)+1)/(DG$46:DG$94&lt;&gt;""),ROWS(DO$1:DO40))),"")</f>
        <v>37</v>
      </c>
      <c r="DP85" s="165">
        <f>IFERROR(INDEX(DH$46:DH$94,_xlfn.AGGREGATE(15,6,(ROW(DH$46:DH$94)-ROW(DH$46)+1)/(DH$46:DH$94&lt;&gt;""),ROWS(DP$1:DP40))),"")</f>
        <v>3661.1111003827809</v>
      </c>
      <c r="DQ85" s="166">
        <f t="shared" si="12"/>
        <v>85</v>
      </c>
      <c r="DV85" s="145">
        <v>2054</v>
      </c>
      <c r="DW85" s="146">
        <f t="shared" ca="1" si="13"/>
        <v>3541.0270221561959</v>
      </c>
      <c r="EA85" s="55"/>
      <c r="EB85" s="55"/>
      <c r="EC85" s="55"/>
      <c r="ED85" s="55"/>
      <c r="EE85" s="55"/>
      <c r="EU85" s="65"/>
      <c r="EV85" s="147"/>
    </row>
    <row r="86" spans="1:152" ht="14.1" thickBot="1" x14ac:dyDescent="0.5">
      <c r="B86" s="128">
        <v>2052</v>
      </c>
      <c r="C86" s="1016">
        <v>3351.1298136578448</v>
      </c>
      <c r="D86" s="982">
        <v>3779.2952315566149</v>
      </c>
      <c r="E86" s="1017"/>
      <c r="F86" s="1077"/>
      <c r="G86" s="1109">
        <v>3318.9111387688126</v>
      </c>
      <c r="H86" s="1107"/>
      <c r="I86" s="1112"/>
      <c r="J86" s="207"/>
      <c r="K86" s="204"/>
      <c r="L86" s="206"/>
      <c r="M86" s="204"/>
      <c r="N86" s="29" t="s">
        <v>758</v>
      </c>
      <c r="P86" s="128"/>
      <c r="Q86" s="176" t="str">
        <f t="shared" si="16"/>
        <v/>
      </c>
      <c r="R86" s="29">
        <v>38</v>
      </c>
      <c r="S86" s="154">
        <f t="shared" si="33"/>
        <v>3318.9111387688126</v>
      </c>
      <c r="T86" s="154">
        <f t="shared" si="34"/>
        <v>3779.2952315566149</v>
      </c>
      <c r="U86" s="154">
        <f t="shared" si="35"/>
        <v>209.8457584322567</v>
      </c>
      <c r="W86" s="154">
        <f t="shared" si="14"/>
        <v>3273.2663028955008</v>
      </c>
      <c r="X86" s="154">
        <f>IF(U86="",#N/A,IF($B$36=$A$62,(SUM(C86:E86)/COUNTIF(C86:E86,"&gt;0")),IF($B$36=$A$63,(SUM(F86:H86)/COUNTIF(F86:H86,"&gt;0")),IF($B$36=$A$64,(SUM(J86:K86)/COUNTIF(J86:K86,"&gt;0")),IF($B$36=$A$65,(SUM(L86:M86)/COUNTIF(L86:M86,"&gt;0")),(IF($B$36=$A$46,IF(C86="",#N/A,C86),IF($B$36=$A$47,IF(D86="",#N/A,D86),IF($B$36=$A$48,IF(E86="",#N/A,E86),IF($B$36=$A$49,IF(F86="",#N/A,F86),IF($B$36=$A$50,IF(G86="",#N/A,G86),IF($B$36=$A$51,IF(H86="",#N/A,H86),IF($B$36=$A$52,IF('Total MSW TAM Data_Updated2020'!I86="",#N/A,'Total MSW TAM Data_Updated2020'!I86),IF($B$36=$A$53,IF(J86="",#N/A,J86),IF($B$36=$A$54,IF(K86="",#N/A,K86),IF($B$36=$A$55,IF(L86="",#N/A,L86),IF($B$36=$A$56,IF(M86="",#N/A,M86),IF(U86="",#N/A,(SUM(C86:Q86)/COUNTIFS(C86:Q86,"&gt;0"))))))))))))))))))))</f>
        <v>3483.1120613277576</v>
      </c>
      <c r="Y86" s="154">
        <f t="shared" si="3"/>
        <v>3692.9578197600144</v>
      </c>
      <c r="AA86" s="1133">
        <v>3401.8006148232603</v>
      </c>
      <c r="AB86" s="1133">
        <v>3579.1229299215083</v>
      </c>
      <c r="AC86" s="1133">
        <v>3756.4452450197564</v>
      </c>
      <c r="AD86" s="89"/>
      <c r="AE86" s="89"/>
      <c r="AF86" s="89"/>
      <c r="AG86" s="89"/>
      <c r="AH86" s="89"/>
      <c r="AI86" s="89"/>
      <c r="AJ86" s="89"/>
      <c r="AK86" s="89"/>
      <c r="AL86" s="89"/>
      <c r="AM86" s="89"/>
      <c r="AN86" s="89"/>
      <c r="BR86" s="180">
        <v>2050</v>
      </c>
      <c r="BS86" s="22">
        <v>36</v>
      </c>
      <c r="BT86" s="181">
        <f t="shared" si="18"/>
        <v>1494.5904387318196</v>
      </c>
      <c r="BU86" s="182">
        <f t="shared" si="19"/>
        <v>1924.0853092551583</v>
      </c>
      <c r="BV86" s="212">
        <f t="shared" si="20"/>
        <v>3418.675747986978</v>
      </c>
      <c r="BY86" s="180">
        <v>2050</v>
      </c>
      <c r="BZ86" s="22">
        <v>36</v>
      </c>
      <c r="CA86" s="198">
        <f t="shared" ca="1" si="21"/>
        <v>-372.43893415333355</v>
      </c>
      <c r="CB86" s="198">
        <f t="shared" ca="1" si="22"/>
        <v>1949.7935804747829</v>
      </c>
      <c r="CC86" s="198">
        <f t="shared" ca="1" si="32"/>
        <v>1842.470604548718</v>
      </c>
      <c r="CD86" s="212">
        <f t="shared" ca="1" si="23"/>
        <v>3419.8252508701671</v>
      </c>
      <c r="CG86" s="180">
        <v>2050</v>
      </c>
      <c r="CH86" s="22">
        <v>36</v>
      </c>
      <c r="CI86" s="198">
        <f t="shared" ca="1" si="24"/>
        <v>584.99128598111952</v>
      </c>
      <c r="CJ86" s="198">
        <f t="shared" ca="1" si="25"/>
        <v>-1444.9229584520529</v>
      </c>
      <c r="CK86" s="198">
        <f t="shared" ca="1" si="26"/>
        <v>2442.7931812067118</v>
      </c>
      <c r="CL86" s="198">
        <f t="shared" ca="1" si="27"/>
        <v>1808.2106982169528</v>
      </c>
      <c r="CM86" s="212">
        <f t="shared" ca="1" si="28"/>
        <v>3391.072206952731</v>
      </c>
      <c r="CP86" s="180">
        <v>2050</v>
      </c>
      <c r="CQ86" s="22">
        <v>36</v>
      </c>
      <c r="CR86" s="181">
        <f t="shared" ca="1" si="29"/>
        <v>1974.5373970287794</v>
      </c>
      <c r="CS86" s="182">
        <f t="shared" ca="1" si="30"/>
        <v>1.7407220812597382</v>
      </c>
      <c r="CT86" s="212">
        <f t="shared" ca="1" si="31"/>
        <v>3437.1208472811227</v>
      </c>
      <c r="CZ86" s="164" t="b">
        <f t="shared" ref="CZ86:DB94" si="36">ISNUMBER(W86)</f>
        <v>1</v>
      </c>
      <c r="DA86" s="165" t="b">
        <f t="shared" si="36"/>
        <v>1</v>
      </c>
      <c r="DB86" s="166" t="b">
        <f t="shared" si="36"/>
        <v>1</v>
      </c>
      <c r="DC86" s="164">
        <f t="shared" si="15"/>
        <v>38</v>
      </c>
      <c r="DD86" s="166">
        <f t="shared" si="5"/>
        <v>3273.2663028955008</v>
      </c>
      <c r="DE86" s="164">
        <f t="shared" si="6"/>
        <v>38</v>
      </c>
      <c r="DF86" s="166">
        <f t="shared" si="7"/>
        <v>3483.1120613277576</v>
      </c>
      <c r="DG86" s="164">
        <f t="shared" si="8"/>
        <v>38</v>
      </c>
      <c r="DH86" s="166">
        <f t="shared" si="9"/>
        <v>3692.9578197600144</v>
      </c>
      <c r="DI86" s="164">
        <f>IFERROR(INDEX(DC$46:DC$94,_xlfn.AGGREGATE(15,6,(ROW(DC$46:DC$94)-ROW(DC$46)+1)/(DC$46:DC$94&lt;&gt;""),ROWS(DI$1:DI41))),"")</f>
        <v>38</v>
      </c>
      <c r="DJ86" s="165">
        <f>IFERROR(INDEX(DD$46:DD$94,_xlfn.AGGREGATE(15,6,(ROW(DD$46:DD$94)-ROW(DD$46)+1)/(DD$46:DD$94&lt;&gt;""),ROWS(DJ$1:DJ41))),"")</f>
        <v>3273.2663028955008</v>
      </c>
      <c r="DK86" s="166">
        <f t="shared" si="10"/>
        <v>86</v>
      </c>
      <c r="DL86" s="164">
        <f>IFERROR(INDEX(DE$46:DE$94,_xlfn.AGGREGATE(15,6,(ROW(DE$46:DE$94)-ROW(DE$46)+1)/(DE$46:DE$94&lt;&gt;""),ROWS(DL$1:DL41))),"")</f>
        <v>38</v>
      </c>
      <c r="DM86" s="165">
        <f>IFERROR(INDEX(DF$46:DF$94,_xlfn.AGGREGATE(15,6,(ROW(DF$46:DF$94)-ROW(DF$46)+1)/(DF$46:DF$94&lt;&gt;""),ROWS(DM$1:DM41))),"")</f>
        <v>3483.1120613277576</v>
      </c>
      <c r="DN86" s="166">
        <f t="shared" si="11"/>
        <v>86</v>
      </c>
      <c r="DO86" s="164">
        <f>IFERROR(INDEX(DG$46:DG$94,_xlfn.AGGREGATE(15,6,(ROW(DG$46:DG$94)-ROW(DG$46)+1)/(DG$46:DG$94&lt;&gt;""),ROWS(DO$1:DO41))),"")</f>
        <v>38</v>
      </c>
      <c r="DP86" s="165">
        <f>IFERROR(INDEX(DH$46:DH$94,_xlfn.AGGREGATE(15,6,(ROW(DH$46:DH$94)-ROW(DH$46)+1)/(DH$46:DH$94&lt;&gt;""),ROWS(DP$1:DP41))),"")</f>
        <v>3692.9578197600144</v>
      </c>
      <c r="DQ86" s="166">
        <f t="shared" si="12"/>
        <v>86</v>
      </c>
      <c r="DV86" s="145">
        <v>2055</v>
      </c>
      <c r="DW86" s="146">
        <f t="shared" ca="1" si="13"/>
        <v>3580.2761376892631</v>
      </c>
      <c r="EA86" s="55"/>
      <c r="EB86" s="55"/>
      <c r="EC86" s="55"/>
      <c r="ED86" s="55"/>
      <c r="EE86" s="55"/>
    </row>
    <row r="87" spans="1:152" ht="13.8" x14ac:dyDescent="0.45">
      <c r="B87" s="128">
        <v>2053</v>
      </c>
      <c r="C87" s="1016">
        <v>3385.2126892165943</v>
      </c>
      <c r="D87" s="982">
        <v>3809.4403344939496</v>
      </c>
      <c r="E87" s="1017"/>
      <c r="F87" s="1077"/>
      <c r="G87" s="1109">
        <v>3359.8395018038532</v>
      </c>
      <c r="H87" s="1107"/>
      <c r="I87" s="1112"/>
      <c r="J87" s="207"/>
      <c r="K87" s="204"/>
      <c r="L87" s="206"/>
      <c r="M87" s="204"/>
      <c r="N87" s="29" t="s">
        <v>758</v>
      </c>
      <c r="P87" s="128"/>
      <c r="Q87" s="176" t="str">
        <f t="shared" si="16"/>
        <v/>
      </c>
      <c r="R87" s="29">
        <v>39</v>
      </c>
      <c r="S87" s="154">
        <f t="shared" si="33"/>
        <v>3359.8395018038532</v>
      </c>
      <c r="T87" s="154">
        <f t="shared" si="34"/>
        <v>3809.4403344939496</v>
      </c>
      <c r="U87" s="154">
        <f t="shared" si="35"/>
        <v>206.22366563533765</v>
      </c>
      <c r="W87" s="154">
        <f t="shared" si="14"/>
        <v>3311.940509536128</v>
      </c>
      <c r="X87" s="154">
        <f>IF(U87="",#N/A,IF($B$36=$A$62,(SUM(C87:E87)/COUNTIF(C87:E87,"&gt;0")),IF($B$36=$A$63,(SUM(F87:H87)/COUNTIF(F87:H87,"&gt;0")),IF($B$36=$A$64,(SUM(J87:K87)/COUNTIF(J87:K87,"&gt;0")),IF($B$36=$A$65,(SUM(L87:M87)/COUNTIF(L87:M87,"&gt;0")),(IF($B$36=$A$46,IF(C87="",#N/A,C87),IF($B$36=$A$47,IF(D87="",#N/A,D87),IF($B$36=$A$48,IF(E87="",#N/A,E87),IF($B$36=$A$49,IF(F87="",#N/A,F87),IF($B$36=$A$50,IF(G87="",#N/A,G87),IF($B$36=$A$51,IF(H87="",#N/A,H87),IF($B$36=$A$52,IF('Total MSW TAM Data_Updated2020'!I87="",#N/A,'Total MSW TAM Data_Updated2020'!I87),IF($B$36=$A$53,IF(J87="",#N/A,J87),IF($B$36=$A$54,IF(K87="",#N/A,K87),IF($B$36=$A$55,IF(L87="",#N/A,L87),IF($B$36=$A$56,IF(M87="",#N/A,M87),IF(U87="",#N/A,(SUM(C87:Q87)/COUNTIFS(C87:Q87,"&gt;0"))))))))))))))))))))</f>
        <v>3518.1641751714656</v>
      </c>
      <c r="Y87" s="154">
        <f t="shared" si="3"/>
        <v>3724.3878408068031</v>
      </c>
      <c r="AA87" s="1133">
        <v>3447.8394167328879</v>
      </c>
      <c r="AB87" s="1133">
        <v>3620.3950150310288</v>
      </c>
      <c r="AC87" s="1133">
        <v>3792.9506133291698</v>
      </c>
      <c r="AD87" s="89"/>
      <c r="AE87" s="89"/>
      <c r="AF87" s="89"/>
      <c r="AG87" s="89"/>
      <c r="AH87" s="89"/>
      <c r="AI87" s="89"/>
      <c r="AJ87" s="89"/>
      <c r="AK87" s="89"/>
      <c r="AL87" s="89"/>
      <c r="AM87" s="89"/>
      <c r="AN87" s="89"/>
      <c r="BR87" s="180">
        <v>2051</v>
      </c>
      <c r="BS87" s="22">
        <v>37</v>
      </c>
      <c r="BT87" s="181">
        <f t="shared" si="18"/>
        <v>1536.1068398077034</v>
      </c>
      <c r="BU87" s="182">
        <f t="shared" si="19"/>
        <v>1924.0853092551583</v>
      </c>
      <c r="BV87" s="213">
        <f t="shared" si="20"/>
        <v>3460.192149062862</v>
      </c>
      <c r="BY87" s="180">
        <v>2051</v>
      </c>
      <c r="BZ87" s="22">
        <v>37</v>
      </c>
      <c r="CA87" s="198">
        <f t="shared" ca="1" si="21"/>
        <v>-393.41736177153831</v>
      </c>
      <c r="CB87" s="198">
        <f t="shared" ca="1" si="22"/>
        <v>2003.954513265749</v>
      </c>
      <c r="CC87" s="198">
        <f t="shared" ca="1" si="32"/>
        <v>1842.470604548718</v>
      </c>
      <c r="CD87" s="213">
        <f t="shared" ca="1" si="23"/>
        <v>3453.007756042929</v>
      </c>
      <c r="CG87" s="180">
        <v>2051</v>
      </c>
      <c r="CH87" s="22">
        <v>37</v>
      </c>
      <c r="CI87" s="198">
        <f t="shared" ca="1" si="24"/>
        <v>635.10724470168134</v>
      </c>
      <c r="CJ87" s="198">
        <f t="shared" ca="1" si="25"/>
        <v>-1526.3113658339973</v>
      </c>
      <c r="CK87" s="198">
        <f t="shared" ca="1" si="26"/>
        <v>2510.6485473513426</v>
      </c>
      <c r="CL87" s="198">
        <f t="shared" ca="1" si="27"/>
        <v>1808.2106982169528</v>
      </c>
      <c r="CM87" s="213">
        <f t="shared" ca="1" si="28"/>
        <v>3427.6551244359794</v>
      </c>
      <c r="CP87" s="180">
        <v>2051</v>
      </c>
      <c r="CQ87" s="22">
        <v>37</v>
      </c>
      <c r="CR87" s="181">
        <f t="shared" ca="1" si="29"/>
        <v>1974.5373970287794</v>
      </c>
      <c r="CS87" s="182">
        <f t="shared" ca="1" si="30"/>
        <v>1.7677317702547513</v>
      </c>
      <c r="CT87" s="213">
        <f t="shared" ca="1" si="31"/>
        <v>3490.4524882838928</v>
      </c>
      <c r="CZ87" s="164" t="b">
        <f t="shared" si="36"/>
        <v>1</v>
      </c>
      <c r="DA87" s="165" t="b">
        <f t="shared" si="36"/>
        <v>1</v>
      </c>
      <c r="DB87" s="166" t="b">
        <f t="shared" si="36"/>
        <v>1</v>
      </c>
      <c r="DC87" s="164">
        <f t="shared" si="15"/>
        <v>39</v>
      </c>
      <c r="DD87" s="166">
        <f t="shared" si="5"/>
        <v>3311.940509536128</v>
      </c>
      <c r="DE87" s="164">
        <f t="shared" si="6"/>
        <v>39</v>
      </c>
      <c r="DF87" s="166">
        <f t="shared" si="7"/>
        <v>3518.1641751714656</v>
      </c>
      <c r="DG87" s="164">
        <f t="shared" si="8"/>
        <v>39</v>
      </c>
      <c r="DH87" s="166">
        <f t="shared" si="9"/>
        <v>3724.3878408068031</v>
      </c>
      <c r="DI87" s="164">
        <f>IFERROR(INDEX(DC$46:DC$94,_xlfn.AGGREGATE(15,6,(ROW(DC$46:DC$94)-ROW(DC$46)+1)/(DC$46:DC$94&lt;&gt;""),ROWS(DI$1:DI42))),"")</f>
        <v>39</v>
      </c>
      <c r="DJ87" s="165">
        <f>IFERROR(INDEX(DD$46:DD$94,_xlfn.AGGREGATE(15,6,(ROW(DD$46:DD$94)-ROW(DD$46)+1)/(DD$46:DD$94&lt;&gt;""),ROWS(DJ$1:DJ42))),"")</f>
        <v>3311.940509536128</v>
      </c>
      <c r="DK87" s="166">
        <f t="shared" si="10"/>
        <v>87</v>
      </c>
      <c r="DL87" s="164">
        <f>IFERROR(INDEX(DE$46:DE$94,_xlfn.AGGREGATE(15,6,(ROW(DE$46:DE$94)-ROW(DE$46)+1)/(DE$46:DE$94&lt;&gt;""),ROWS(DL$1:DL42))),"")</f>
        <v>39</v>
      </c>
      <c r="DM87" s="165">
        <f>IFERROR(INDEX(DF$46:DF$94,_xlfn.AGGREGATE(15,6,(ROW(DF$46:DF$94)-ROW(DF$46)+1)/(DF$46:DF$94&lt;&gt;""),ROWS(DM$1:DM42))),"")</f>
        <v>3518.1641751714656</v>
      </c>
      <c r="DN87" s="166">
        <f t="shared" si="11"/>
        <v>87</v>
      </c>
      <c r="DO87" s="164">
        <f>IFERROR(INDEX(DG$46:DG$94,_xlfn.AGGREGATE(15,6,(ROW(DG$46:DG$94)-ROW(DG$46)+1)/(DG$46:DG$94&lt;&gt;""),ROWS(DO$1:DO42))),"")</f>
        <v>39</v>
      </c>
      <c r="DP87" s="165">
        <f>IFERROR(INDEX(DH$46:DH$94,_xlfn.AGGREGATE(15,6,(ROW(DH$46:DH$94)-ROW(DH$46)+1)/(DH$46:DH$94&lt;&gt;""),ROWS(DP$1:DP42))),"")</f>
        <v>3724.3878408068031</v>
      </c>
      <c r="DQ87" s="166">
        <f t="shared" si="12"/>
        <v>87</v>
      </c>
      <c r="DV87" s="145">
        <v>2056</v>
      </c>
      <c r="DW87" s="146">
        <f t="shared" ca="1" si="13"/>
        <v>3620.3798786369148</v>
      </c>
      <c r="EA87" s="55"/>
      <c r="EB87" s="55"/>
      <c r="EC87" s="55"/>
      <c r="ED87" s="55"/>
      <c r="EE87" s="55"/>
    </row>
    <row r="88" spans="1:152" ht="13.8" x14ac:dyDescent="0.45">
      <c r="B88" s="128">
        <v>2054</v>
      </c>
      <c r="C88" s="1016">
        <v>3419.0969727192137</v>
      </c>
      <c r="D88" s="982">
        <v>3839.0833141739417</v>
      </c>
      <c r="E88" s="1017"/>
      <c r="F88" s="1077"/>
      <c r="G88" s="1109">
        <v>3400.5457276140373</v>
      </c>
      <c r="H88" s="1107"/>
      <c r="I88" s="1112"/>
      <c r="J88" s="207"/>
      <c r="K88" s="204"/>
      <c r="L88" s="206"/>
      <c r="M88" s="204"/>
      <c r="N88" s="29" t="s">
        <v>758</v>
      </c>
      <c r="P88" s="128"/>
      <c r="Q88" s="176" t="str">
        <f t="shared" si="16"/>
        <v/>
      </c>
      <c r="R88" s="29">
        <v>40</v>
      </c>
      <c r="S88" s="154">
        <f t="shared" si="33"/>
        <v>3400.5457276140373</v>
      </c>
      <c r="T88" s="154">
        <f t="shared" si="34"/>
        <v>3839.0833141739417</v>
      </c>
      <c r="U88" s="154">
        <f t="shared" si="35"/>
        <v>202.49770657940397</v>
      </c>
      <c r="W88" s="154">
        <f t="shared" si="14"/>
        <v>3350.4109649229931</v>
      </c>
      <c r="X88" s="154">
        <f>IF(U88="",#N/A,IF($B$36=$A$62,(SUM(C88:E88)/COUNTIF(C88:E88,"&gt;0")),IF($B$36=$A$63,(SUM(F88:H88)/COUNTIF(F88:H88,"&gt;0")),IF($B$36=$A$64,(SUM(J88:K88)/COUNTIF(J88:K88,"&gt;0")),IF($B$36=$A$65,(SUM(L88:M88)/COUNTIF(L88:M88,"&gt;0")),(IF($B$36=$A$46,IF(C88="",#N/A,C88),IF($B$36=$A$47,IF(D88="",#N/A,D88),IF($B$36=$A$48,IF(E88="",#N/A,E88),IF($B$36=$A$49,IF(F88="",#N/A,F88),IF($B$36=$A$50,IF(G88="",#N/A,G88),IF($B$36=$A$51,IF(H88="",#N/A,H88),IF($B$36=$A$52,IF('Total MSW TAM Data_Updated2020'!I88="",#N/A,'Total MSW TAM Data_Updated2020'!I88),IF($B$36=$A$53,IF(J88="",#N/A,J88),IF($B$36=$A$54,IF(K88="",#N/A,K88),IF($B$36=$A$55,IF(L88="",#N/A,L88),IF($B$36=$A$56,IF(M88="",#N/A,M88),IF(U88="",#N/A,(SUM(C88:Q88)/COUNTIFS(C88:Q88,"&gt;0"))))))))))))))))))))</f>
        <v>3552.9086715023973</v>
      </c>
      <c r="Y88" s="154">
        <f t="shared" si="3"/>
        <v>3755.4063780818014</v>
      </c>
      <c r="AA88" s="1133">
        <v>3493.8850104001394</v>
      </c>
      <c r="AB88" s="1133">
        <v>3661.5717734805517</v>
      </c>
      <c r="AC88" s="1133">
        <v>3829.2585365609639</v>
      </c>
      <c r="AD88" s="89"/>
      <c r="AE88" s="89"/>
      <c r="AF88" s="89"/>
      <c r="AG88" s="89"/>
      <c r="AH88" s="89"/>
      <c r="AI88" s="89"/>
      <c r="AJ88" s="89"/>
      <c r="AK88" s="89"/>
      <c r="AL88" s="89"/>
      <c r="AM88" s="89"/>
      <c r="AN88" s="89"/>
      <c r="BR88" s="180">
        <v>2052</v>
      </c>
      <c r="BS88" s="22">
        <v>38</v>
      </c>
      <c r="BT88" s="181">
        <f t="shared" si="18"/>
        <v>1577.6232408835874</v>
      </c>
      <c r="BU88" s="182">
        <f t="shared" si="19"/>
        <v>1924.0853092551583</v>
      </c>
      <c r="BV88" s="183">
        <f t="shared" si="20"/>
        <v>3501.7085501387455</v>
      </c>
      <c r="BY88" s="180">
        <v>2052</v>
      </c>
      <c r="BZ88" s="22">
        <v>38</v>
      </c>
      <c r="CA88" s="185">
        <f t="shared" ca="1" si="21"/>
        <v>-414.9705408313377</v>
      </c>
      <c r="CB88" s="185">
        <f t="shared" ca="1" si="22"/>
        <v>2058.1154460567154</v>
      </c>
      <c r="CC88" s="185">
        <f t="shared" ca="1" si="32"/>
        <v>1842.470604548718</v>
      </c>
      <c r="CD88" s="183">
        <f t="shared" ca="1" si="23"/>
        <v>3485.6155097740957</v>
      </c>
      <c r="CG88" s="180">
        <v>2052</v>
      </c>
      <c r="CH88" s="22">
        <v>38</v>
      </c>
      <c r="CI88" s="185">
        <f t="shared" ca="1" si="24"/>
        <v>688.00672677374803</v>
      </c>
      <c r="CJ88" s="185">
        <f t="shared" ca="1" si="25"/>
        <v>-1609.9295925962688</v>
      </c>
      <c r="CK88" s="185">
        <f t="shared" ca="1" si="26"/>
        <v>2578.5039134959734</v>
      </c>
      <c r="CL88" s="185">
        <f t="shared" ca="1" si="27"/>
        <v>1808.2106982169528</v>
      </c>
      <c r="CM88" s="183">
        <f t="shared" ca="1" si="28"/>
        <v>3464.7917458904058</v>
      </c>
      <c r="CP88" s="180">
        <v>2052</v>
      </c>
      <c r="CQ88" s="22">
        <v>38</v>
      </c>
      <c r="CR88" s="181">
        <f t="shared" ca="1" si="29"/>
        <v>1974.5373970287794</v>
      </c>
      <c r="CS88" s="182">
        <f t="shared" ca="1" si="30"/>
        <v>1.7951605515950968</v>
      </c>
      <c r="CT88" s="183">
        <f t="shared" ca="1" si="31"/>
        <v>3544.6116427953302</v>
      </c>
      <c r="CZ88" s="164" t="b">
        <f t="shared" si="36"/>
        <v>1</v>
      </c>
      <c r="DA88" s="165" t="b">
        <f t="shared" si="36"/>
        <v>1</v>
      </c>
      <c r="DB88" s="166" t="b">
        <f t="shared" si="36"/>
        <v>1</v>
      </c>
      <c r="DC88" s="164">
        <f t="shared" si="15"/>
        <v>40</v>
      </c>
      <c r="DD88" s="166">
        <f t="shared" si="5"/>
        <v>3350.4109649229931</v>
      </c>
      <c r="DE88" s="164">
        <f t="shared" si="6"/>
        <v>40</v>
      </c>
      <c r="DF88" s="166">
        <f t="shared" si="7"/>
        <v>3552.9086715023973</v>
      </c>
      <c r="DG88" s="164">
        <f t="shared" si="8"/>
        <v>40</v>
      </c>
      <c r="DH88" s="166">
        <f t="shared" si="9"/>
        <v>3755.4063780818014</v>
      </c>
      <c r="DI88" s="164">
        <f>IFERROR(INDEX(DC$46:DC$94,_xlfn.AGGREGATE(15,6,(ROW(DC$46:DC$94)-ROW(DC$46)+1)/(DC$46:DC$94&lt;&gt;""),ROWS(DI$1:DI43))),"")</f>
        <v>40</v>
      </c>
      <c r="DJ88" s="165">
        <f>IFERROR(INDEX(DD$46:DD$94,_xlfn.AGGREGATE(15,6,(ROW(DD$46:DD$94)-ROW(DD$46)+1)/(DD$46:DD$94&lt;&gt;""),ROWS(DJ$1:DJ43))),"")</f>
        <v>3350.4109649229931</v>
      </c>
      <c r="DK88" s="166">
        <f t="shared" si="10"/>
        <v>88</v>
      </c>
      <c r="DL88" s="164">
        <f>IFERROR(INDEX(DE$46:DE$94,_xlfn.AGGREGATE(15,6,(ROW(DE$46:DE$94)-ROW(DE$46)+1)/(DE$46:DE$94&lt;&gt;""),ROWS(DL$1:DL43))),"")</f>
        <v>40</v>
      </c>
      <c r="DM88" s="165">
        <f>IFERROR(INDEX(DF$46:DF$94,_xlfn.AGGREGATE(15,6,(ROW(DF$46:DF$94)-ROW(DF$46)+1)/(DF$46:DF$94&lt;&gt;""),ROWS(DM$1:DM43))),"")</f>
        <v>3552.9086715023973</v>
      </c>
      <c r="DN88" s="166">
        <f t="shared" si="11"/>
        <v>88</v>
      </c>
      <c r="DO88" s="164">
        <f>IFERROR(INDEX(DG$46:DG$94,_xlfn.AGGREGATE(15,6,(ROW(DG$46:DG$94)-ROW(DG$46)+1)/(DG$46:DG$94&lt;&gt;""),ROWS(DO$1:DO43))),"")</f>
        <v>40</v>
      </c>
      <c r="DP88" s="165">
        <f>IFERROR(INDEX(DH$46:DH$94,_xlfn.AGGREGATE(15,6,(ROW(DH$46:DH$94)-ROW(DH$46)+1)/(DH$46:DH$94&lt;&gt;""),ROWS(DP$1:DP43))),"")</f>
        <v>3755.4063780818014</v>
      </c>
      <c r="DQ88" s="166">
        <f t="shared" si="12"/>
        <v>88</v>
      </c>
      <c r="DV88" s="145">
        <v>2057</v>
      </c>
      <c r="DW88" s="146">
        <f t="shared" ca="1" si="13"/>
        <v>3661.4134753600006</v>
      </c>
      <c r="EA88" s="55"/>
      <c r="EB88" s="55"/>
      <c r="EC88" s="55"/>
      <c r="ED88" s="55"/>
      <c r="EE88" s="55"/>
    </row>
    <row r="89" spans="1:152" ht="13.8" x14ac:dyDescent="0.45">
      <c r="B89" s="128">
        <v>2055</v>
      </c>
      <c r="C89" s="1016">
        <v>3452.7786250809054</v>
      </c>
      <c r="D89" s="982">
        <v>3868.2336510281193</v>
      </c>
      <c r="E89" s="1017"/>
      <c r="F89" s="1077"/>
      <c r="G89" s="1109">
        <v>3441.0303593069002</v>
      </c>
      <c r="H89" s="1107"/>
      <c r="I89" s="1112"/>
      <c r="J89" s="207"/>
      <c r="K89" s="204"/>
      <c r="L89" s="206"/>
      <c r="M89" s="204"/>
      <c r="N89" s="29" t="s">
        <v>758</v>
      </c>
      <c r="P89" s="128"/>
      <c r="Q89" s="176" t="str">
        <f t="shared" si="16"/>
        <v/>
      </c>
      <c r="R89" s="29">
        <v>41</v>
      </c>
      <c r="S89" s="154">
        <f t="shared" si="33"/>
        <v>3441.0303593069002</v>
      </c>
      <c r="T89" s="154">
        <f t="shared" si="34"/>
        <v>3868.2336510281193</v>
      </c>
      <c r="U89" s="154">
        <f t="shared" si="35"/>
        <v>198.67437143642914</v>
      </c>
      <c r="W89" s="154">
        <f t="shared" si="14"/>
        <v>3388.6731737022124</v>
      </c>
      <c r="X89" s="154">
        <f>IF(U89="",#N/A,IF($B$36=$A$62,(SUM(C89:E89)/COUNTIF(C89:E89,"&gt;0")),IF($B$36=$A$63,(SUM(F89:H89)/COUNTIF(F89:H89,"&gt;0")),IF($B$36=$A$64,(SUM(J89:K89)/COUNTIF(J89:K89,"&gt;0")),IF($B$36=$A$65,(SUM(L89:M89)/COUNTIF(L89:M89,"&gt;0")),(IF($B$36=$A$46,IF(C89="",#N/A,C89),IF($B$36=$A$47,IF(D89="",#N/A,D89),IF($B$36=$A$48,IF(E89="",#N/A,E89),IF($B$36=$A$49,IF(F89="",#N/A,F89),IF($B$36=$A$50,IF(G89="",#N/A,G89),IF($B$36=$A$51,IF(H89="",#N/A,H89),IF($B$36=$A$52,IF('Total MSW TAM Data_Updated2020'!I89="",#N/A,'Total MSW TAM Data_Updated2020'!I89),IF($B$36=$A$53,IF(J89="",#N/A,J89),IF($B$36=$A$54,IF(K89="",#N/A,K89),IF($B$36=$A$55,IF(L89="",#N/A,L89),IF($B$36=$A$56,IF(M89="",#N/A,M89),IF(U89="",#N/A,(SUM(C89:Q89)/COUNTIFS(C89:Q89,"&gt;0"))))))))))))))))))))</f>
        <v>3587.3475451386416</v>
      </c>
      <c r="Y89" s="154">
        <f t="shared" si="3"/>
        <v>3786.0219165750709</v>
      </c>
      <c r="AA89" s="1133">
        <v>3539.9322775233818</v>
      </c>
      <c r="AB89" s="1133">
        <v>3702.6603743607484</v>
      </c>
      <c r="AC89" s="1133">
        <v>3865.388471198115</v>
      </c>
      <c r="AD89" s="89"/>
      <c r="AE89" s="89"/>
      <c r="AF89" s="89"/>
      <c r="AG89" s="89"/>
      <c r="AH89" s="89"/>
      <c r="AI89" s="89"/>
      <c r="AJ89" s="89"/>
      <c r="AK89" s="89"/>
      <c r="AL89" s="89"/>
      <c r="AM89" s="89"/>
      <c r="AN89" s="89"/>
      <c r="BR89" s="180">
        <v>2053</v>
      </c>
      <c r="BS89" s="22">
        <v>39</v>
      </c>
      <c r="BT89" s="181">
        <f t="shared" si="18"/>
        <v>1619.1396419594712</v>
      </c>
      <c r="BU89" s="182">
        <f t="shared" si="19"/>
        <v>1924.0853092551583</v>
      </c>
      <c r="BV89" s="183">
        <f t="shared" si="20"/>
        <v>3543.2249512146295</v>
      </c>
      <c r="BY89" s="180">
        <v>2053</v>
      </c>
      <c r="BZ89" s="22">
        <v>39</v>
      </c>
      <c r="CA89" s="185">
        <f t="shared" ca="1" si="21"/>
        <v>-437.09847133273172</v>
      </c>
      <c r="CB89" s="185">
        <f t="shared" ca="1" si="22"/>
        <v>2112.2763788476814</v>
      </c>
      <c r="CC89" s="185">
        <f t="shared" ca="1" si="32"/>
        <v>1842.470604548718</v>
      </c>
      <c r="CD89" s="183">
        <f t="shared" ca="1" si="23"/>
        <v>3517.648512063668</v>
      </c>
      <c r="CG89" s="180">
        <v>2053</v>
      </c>
      <c r="CH89" s="22">
        <v>39</v>
      </c>
      <c r="CI89" s="185">
        <f t="shared" ca="1" si="24"/>
        <v>743.76496255817108</v>
      </c>
      <c r="CJ89" s="185">
        <f t="shared" ca="1" si="25"/>
        <v>-1695.7776387388676</v>
      </c>
      <c r="CK89" s="185">
        <f t="shared" ca="1" si="26"/>
        <v>2646.3592796406042</v>
      </c>
      <c r="CL89" s="185">
        <f t="shared" ca="1" si="27"/>
        <v>1808.2106982169528</v>
      </c>
      <c r="CM89" s="183">
        <f t="shared" ca="1" si="28"/>
        <v>3502.5573016768603</v>
      </c>
      <c r="CP89" s="180">
        <v>2053</v>
      </c>
      <c r="CQ89" s="22">
        <v>39</v>
      </c>
      <c r="CR89" s="181">
        <f t="shared" ca="1" si="29"/>
        <v>1974.5373970287794</v>
      </c>
      <c r="CS89" s="182">
        <f t="shared" ca="1" si="30"/>
        <v>1.823014928072938</v>
      </c>
      <c r="CT89" s="183">
        <f t="shared" ca="1" si="31"/>
        <v>3599.6111508217464</v>
      </c>
      <c r="CZ89" s="164" t="b">
        <f t="shared" si="36"/>
        <v>1</v>
      </c>
      <c r="DA89" s="165" t="b">
        <f t="shared" si="36"/>
        <v>1</v>
      </c>
      <c r="DB89" s="166" t="b">
        <f t="shared" si="36"/>
        <v>1</v>
      </c>
      <c r="DC89" s="164">
        <f t="shared" si="15"/>
        <v>41</v>
      </c>
      <c r="DD89" s="166">
        <f t="shared" si="5"/>
        <v>3388.6731737022124</v>
      </c>
      <c r="DE89" s="164">
        <f t="shared" si="6"/>
        <v>41</v>
      </c>
      <c r="DF89" s="166">
        <f t="shared" si="7"/>
        <v>3587.3475451386416</v>
      </c>
      <c r="DG89" s="164">
        <f t="shared" si="8"/>
        <v>41</v>
      </c>
      <c r="DH89" s="166">
        <f t="shared" si="9"/>
        <v>3786.0219165750709</v>
      </c>
      <c r="DI89" s="164">
        <f>IFERROR(INDEX(DC$46:DC$94,_xlfn.AGGREGATE(15,6,(ROW(DC$46:DC$94)-ROW(DC$46)+1)/(DC$46:DC$94&lt;&gt;""),ROWS(DI$1:DI44))),"")</f>
        <v>41</v>
      </c>
      <c r="DJ89" s="165">
        <f>IFERROR(INDEX(DD$46:DD$94,_xlfn.AGGREGATE(15,6,(ROW(DD$46:DD$94)-ROW(DD$46)+1)/(DD$46:DD$94&lt;&gt;""),ROWS(DJ$1:DJ44))),"")</f>
        <v>3388.6731737022124</v>
      </c>
      <c r="DK89" s="166">
        <f t="shared" si="10"/>
        <v>89</v>
      </c>
      <c r="DL89" s="164">
        <f>IFERROR(INDEX(DE$46:DE$94,_xlfn.AGGREGATE(15,6,(ROW(DE$46:DE$94)-ROW(DE$46)+1)/(DE$46:DE$94&lt;&gt;""),ROWS(DL$1:DL44))),"")</f>
        <v>41</v>
      </c>
      <c r="DM89" s="165">
        <f>IFERROR(INDEX(DF$46:DF$94,_xlfn.AGGREGATE(15,6,(ROW(DF$46:DF$94)-ROW(DF$46)+1)/(DF$46:DF$94&lt;&gt;""),ROWS(DM$1:DM44))),"")</f>
        <v>3587.3475451386416</v>
      </c>
      <c r="DN89" s="166">
        <f t="shared" si="11"/>
        <v>89</v>
      </c>
      <c r="DO89" s="164">
        <f>IFERROR(INDEX(DG$46:DG$94,_xlfn.AGGREGATE(15,6,(ROW(DG$46:DG$94)-ROW(DG$46)+1)/(DG$46:DG$94&lt;&gt;""),ROWS(DO$1:DO44))),"")</f>
        <v>41</v>
      </c>
      <c r="DP89" s="165">
        <f>IFERROR(INDEX(DH$46:DH$94,_xlfn.AGGREGATE(15,6,(ROW(DH$46:DH$94)-ROW(DH$46)+1)/(DH$46:DH$94&lt;&gt;""),ROWS(DP$1:DP44))),"")</f>
        <v>3786.0219165750709</v>
      </c>
      <c r="DQ89" s="166">
        <f t="shared" si="12"/>
        <v>89</v>
      </c>
      <c r="DV89" s="145">
        <v>2058</v>
      </c>
      <c r="DW89" s="146">
        <f t="shared" ca="1" si="13"/>
        <v>3703.4521582193734</v>
      </c>
      <c r="EA89" s="55"/>
      <c r="EB89" s="55"/>
      <c r="EC89" s="55"/>
      <c r="ED89" s="55"/>
      <c r="EE89" s="55"/>
    </row>
    <row r="90" spans="1:152" ht="13.8" x14ac:dyDescent="0.45">
      <c r="B90" s="128">
        <v>2056</v>
      </c>
      <c r="C90" s="1016">
        <v>3486.2545836573504</v>
      </c>
      <c r="D90" s="982">
        <v>3896.9054426913017</v>
      </c>
      <c r="E90" s="1017"/>
      <c r="F90" s="1077"/>
      <c r="G90" s="1109">
        <v>3481.2904870703173</v>
      </c>
      <c r="H90" s="1107"/>
      <c r="I90" s="1112"/>
      <c r="J90" s="207"/>
      <c r="K90" s="204"/>
      <c r="L90" s="206"/>
      <c r="M90" s="204"/>
      <c r="N90" s="29" t="s">
        <v>758</v>
      </c>
      <c r="P90" s="128"/>
      <c r="Q90" s="176" t="str">
        <f t="shared" si="16"/>
        <v/>
      </c>
      <c r="R90" s="29">
        <v>42</v>
      </c>
      <c r="S90" s="154">
        <f t="shared" si="33"/>
        <v>3481.2904870703173</v>
      </c>
      <c r="T90" s="154">
        <f t="shared" si="34"/>
        <v>3896.9054426913017</v>
      </c>
      <c r="U90" s="154">
        <f t="shared" si="35"/>
        <v>194.76326416563614</v>
      </c>
      <c r="W90" s="154">
        <f t="shared" si="14"/>
        <v>3426.7202403073538</v>
      </c>
      <c r="X90" s="154">
        <f>IF(U90="",#N/A,IF($B$36=$A$62,(SUM(C90:E90)/COUNTIF(C90:E90,"&gt;0")),IF($B$36=$A$63,(SUM(F90:H90)/COUNTIF(F90:H90,"&gt;0")),IF($B$36=$A$64,(SUM(J90:K90)/COUNTIF(J90:K90,"&gt;0")),IF($B$36=$A$65,(SUM(L90:M90)/COUNTIF(L90:M90,"&gt;0")),(IF($B$36=$A$46,IF(C90="",#N/A,C90),IF($B$36=$A$47,IF(D90="",#N/A,D90),IF($B$36=$A$48,IF(E90="",#N/A,E90),IF($B$36=$A$49,IF(F90="",#N/A,F90),IF($B$36=$A$50,IF(G90="",#N/A,G90),IF($B$36=$A$51,IF(H90="",#N/A,H90),IF($B$36=$A$52,IF('Total MSW TAM Data_Updated2020'!I90="",#N/A,'Total MSW TAM Data_Updated2020'!I90),IF($B$36=$A$53,IF(J90="",#N/A,J90),IF($B$36=$A$54,IF(K90="",#N/A,K90),IF($B$36=$A$55,IF(L90="",#N/A,L90),IF($B$36=$A$56,IF(M90="",#N/A,M90),IF(U90="",#N/A,(SUM(C90:Q90)/COUNTIFS(C90:Q90,"&gt;0"))))))))))))))))))))</f>
        <v>3621.4835044729898</v>
      </c>
      <c r="Y90" s="154">
        <f t="shared" si="3"/>
        <v>3816.2467686386258</v>
      </c>
      <c r="AA90" s="1133">
        <v>3585.9756176654128</v>
      </c>
      <c r="AB90" s="1133">
        <v>3743.6679867622934</v>
      </c>
      <c r="AC90" s="1133">
        <v>3901.360355859174</v>
      </c>
      <c r="AD90" s="89"/>
      <c r="AE90" s="89"/>
      <c r="AF90" s="89"/>
      <c r="AG90" s="89"/>
      <c r="AH90" s="89"/>
      <c r="AI90" s="89"/>
      <c r="AJ90" s="89"/>
      <c r="AK90" s="89"/>
      <c r="AL90" s="89"/>
      <c r="AM90" s="89"/>
      <c r="AN90" s="89"/>
      <c r="BR90" s="180">
        <v>2054</v>
      </c>
      <c r="BS90" s="22">
        <v>40</v>
      </c>
      <c r="BT90" s="181">
        <f t="shared" si="18"/>
        <v>1660.6560430353552</v>
      </c>
      <c r="BU90" s="182">
        <f t="shared" si="19"/>
        <v>1924.0853092551583</v>
      </c>
      <c r="BV90" s="183">
        <f t="shared" si="20"/>
        <v>3584.7413522905135</v>
      </c>
      <c r="BY90" s="180">
        <v>2054</v>
      </c>
      <c r="BZ90" s="22">
        <v>40</v>
      </c>
      <c r="CA90" s="185">
        <f t="shared" ca="1" si="21"/>
        <v>-459.80115327572042</v>
      </c>
      <c r="CB90" s="185">
        <f t="shared" ca="1" si="22"/>
        <v>2166.4373116386478</v>
      </c>
      <c r="CC90" s="185">
        <f t="shared" ca="1" si="32"/>
        <v>1842.470604548718</v>
      </c>
      <c r="CD90" s="183">
        <f t="shared" ca="1" si="23"/>
        <v>3549.1067629116451</v>
      </c>
      <c r="CG90" s="180">
        <v>2054</v>
      </c>
      <c r="CH90" s="22">
        <v>40</v>
      </c>
      <c r="CI90" s="185">
        <f t="shared" ca="1" si="24"/>
        <v>802.45718241580175</v>
      </c>
      <c r="CJ90" s="185">
        <f t="shared" ca="1" si="25"/>
        <v>-1783.8555042617936</v>
      </c>
      <c r="CK90" s="185">
        <f t="shared" ca="1" si="26"/>
        <v>2714.214645785235</v>
      </c>
      <c r="CL90" s="185">
        <f t="shared" ca="1" si="27"/>
        <v>1808.2106982169528</v>
      </c>
      <c r="CM90" s="183">
        <f t="shared" ca="1" si="28"/>
        <v>3541.0270221561959</v>
      </c>
      <c r="CP90" s="180">
        <v>2054</v>
      </c>
      <c r="CQ90" s="22">
        <v>40</v>
      </c>
      <c r="CR90" s="181">
        <f t="shared" ca="1" si="29"/>
        <v>1974.5373970287794</v>
      </c>
      <c r="CS90" s="182">
        <f t="shared" ca="1" si="30"/>
        <v>1.8513015033801705</v>
      </c>
      <c r="CT90" s="183">
        <f t="shared" ca="1" si="31"/>
        <v>3655.464051599748</v>
      </c>
      <c r="CZ90" s="164" t="b">
        <f t="shared" si="36"/>
        <v>1</v>
      </c>
      <c r="DA90" s="165" t="b">
        <f t="shared" si="36"/>
        <v>1</v>
      </c>
      <c r="DB90" s="166" t="b">
        <f t="shared" si="36"/>
        <v>1</v>
      </c>
      <c r="DC90" s="164">
        <f t="shared" si="15"/>
        <v>42</v>
      </c>
      <c r="DD90" s="166">
        <f t="shared" si="5"/>
        <v>3426.7202403073538</v>
      </c>
      <c r="DE90" s="164">
        <f t="shared" si="6"/>
        <v>42</v>
      </c>
      <c r="DF90" s="166">
        <f t="shared" si="7"/>
        <v>3621.4835044729898</v>
      </c>
      <c r="DG90" s="164">
        <f t="shared" si="8"/>
        <v>42</v>
      </c>
      <c r="DH90" s="166">
        <f t="shared" si="9"/>
        <v>3816.2467686386258</v>
      </c>
      <c r="DI90" s="164">
        <f>IFERROR(INDEX(DC$46:DC$94,_xlfn.AGGREGATE(15,6,(ROW(DC$46:DC$94)-ROW(DC$46)+1)/(DC$46:DC$94&lt;&gt;""),ROWS(DI$1:DI45))),"")</f>
        <v>42</v>
      </c>
      <c r="DJ90" s="165">
        <f>IFERROR(INDEX(DD$46:DD$94,_xlfn.AGGREGATE(15,6,(ROW(DD$46:DD$94)-ROW(DD$46)+1)/(DD$46:DD$94&lt;&gt;""),ROWS(DJ$1:DJ45))),"")</f>
        <v>3426.7202403073538</v>
      </c>
      <c r="DK90" s="166">
        <f t="shared" si="10"/>
        <v>90</v>
      </c>
      <c r="DL90" s="164">
        <f>IFERROR(INDEX(DE$46:DE$94,_xlfn.AGGREGATE(15,6,(ROW(DE$46:DE$94)-ROW(DE$46)+1)/(DE$46:DE$94&lt;&gt;""),ROWS(DL$1:DL45))),"")</f>
        <v>42</v>
      </c>
      <c r="DM90" s="165">
        <f>IFERROR(INDEX(DF$46:DF$94,_xlfn.AGGREGATE(15,6,(ROW(DF$46:DF$94)-ROW(DF$46)+1)/(DF$46:DF$94&lt;&gt;""),ROWS(DM$1:DM45))),"")</f>
        <v>3621.4835044729898</v>
      </c>
      <c r="DN90" s="166">
        <f t="shared" si="11"/>
        <v>90</v>
      </c>
      <c r="DO90" s="164">
        <f>IFERROR(INDEX(DG$46:DG$94,_xlfn.AGGREGATE(15,6,(ROW(DG$46:DG$94)-ROW(DG$46)+1)/(DG$46:DG$94&lt;&gt;""),ROWS(DO$1:DO45))),"")</f>
        <v>42</v>
      </c>
      <c r="DP90" s="165">
        <f>IFERROR(INDEX(DH$46:DH$94,_xlfn.AGGREGATE(15,6,(ROW(DH$46:DH$94)-ROW(DH$46)+1)/(DH$46:DH$94&lt;&gt;""),ROWS(DP$1:DP45))),"")</f>
        <v>3816.2467686386258</v>
      </c>
      <c r="DQ90" s="166">
        <f t="shared" si="12"/>
        <v>90</v>
      </c>
      <c r="DV90" s="145">
        <v>2059</v>
      </c>
      <c r="DW90" s="146">
        <f t="shared" ca="1" si="13"/>
        <v>3746.5711575758837</v>
      </c>
      <c r="EA90" s="55"/>
      <c r="EB90" s="55"/>
      <c r="EC90" s="55"/>
      <c r="ED90" s="55"/>
      <c r="EE90" s="55"/>
    </row>
    <row r="91" spans="1:152" ht="13.8" x14ac:dyDescent="0.45">
      <c r="B91" s="128">
        <v>2057</v>
      </c>
      <c r="C91" s="1016">
        <v>3519.5227293537919</v>
      </c>
      <c r="D91" s="982">
        <v>3925.1186612337183</v>
      </c>
      <c r="E91" s="1017"/>
      <c r="F91" s="1077"/>
      <c r="G91" s="1109">
        <v>3521.3220286375868</v>
      </c>
      <c r="H91" s="1107"/>
      <c r="I91" s="1112"/>
      <c r="J91" s="207"/>
      <c r="K91" s="204"/>
      <c r="L91" s="206"/>
      <c r="M91" s="204"/>
      <c r="N91" s="29" t="s">
        <v>758</v>
      </c>
      <c r="P91" s="128"/>
      <c r="Q91" s="176" t="str">
        <f t="shared" si="16"/>
        <v/>
      </c>
      <c r="R91" s="29">
        <v>43</v>
      </c>
      <c r="S91" s="154">
        <f t="shared" si="33"/>
        <v>3519.5227293537919</v>
      </c>
      <c r="T91" s="154">
        <f t="shared" si="34"/>
        <v>3925.1186612337183</v>
      </c>
      <c r="U91" s="154">
        <f t="shared" si="35"/>
        <v>190.77707116231349</v>
      </c>
      <c r="W91" s="154">
        <f t="shared" si="14"/>
        <v>3464.544068579386</v>
      </c>
      <c r="X91" s="154">
        <f>IF(U91="",#N/A,IF($B$36=$A$62,(SUM(C91:E91)/COUNTIF(C91:E91,"&gt;0")),IF($B$36=$A$63,(SUM(F91:H91)/COUNTIF(F91:H91,"&gt;0")),IF($B$36=$A$64,(SUM(J91:K91)/COUNTIF(J91:K91,"&gt;0")),IF($B$36=$A$65,(SUM(L91:M91)/COUNTIF(L91:M91,"&gt;0")),(IF($B$36=$A$46,IF(C91="",#N/A,C91),IF($B$36=$A$47,IF(D91="",#N/A,D91),IF($B$36=$A$48,IF(E91="",#N/A,E91),IF($B$36=$A$49,IF(F91="",#N/A,F91),IF($B$36=$A$50,IF(G91="",#N/A,G91),IF($B$36=$A$51,IF(H91="",#N/A,H91),IF($B$36=$A$52,IF('Total MSW TAM Data_Updated2020'!I91="",#N/A,'Total MSW TAM Data_Updated2020'!I91),IF($B$36=$A$53,IF(J91="",#N/A,J91),IF($B$36=$A$54,IF(K91="",#N/A,K91),IF($B$36=$A$55,IF(L91="",#N/A,L91),IF($B$36=$A$56,IF(M91="",#N/A,M91),IF(U91="",#N/A,(SUM(C91:Q91)/COUNTIFS(C91:Q91,"&gt;0"))))))))))))))))))))</f>
        <v>3655.3211397416994</v>
      </c>
      <c r="Y91" s="154">
        <f t="shared" si="3"/>
        <v>3846.0982109040128</v>
      </c>
      <c r="AA91" s="1133">
        <v>3632.0088797546832</v>
      </c>
      <c r="AB91" s="1133">
        <v>3784.60177977586</v>
      </c>
      <c r="AC91" s="1133">
        <v>3937.1946797970368</v>
      </c>
      <c r="AD91" s="89"/>
      <c r="AE91" s="89"/>
      <c r="AF91" s="89"/>
      <c r="AG91" s="89"/>
      <c r="AH91" s="89"/>
      <c r="AI91" s="89"/>
      <c r="AJ91" s="89"/>
      <c r="AK91" s="89"/>
      <c r="AL91" s="89"/>
      <c r="AM91" s="89"/>
      <c r="AN91" s="89"/>
      <c r="BR91" s="180">
        <v>2055</v>
      </c>
      <c r="BS91" s="22">
        <v>41</v>
      </c>
      <c r="BT91" s="181">
        <f t="shared" si="18"/>
        <v>1702.172444111239</v>
      </c>
      <c r="BU91" s="182">
        <f t="shared" si="19"/>
        <v>1924.0853092551583</v>
      </c>
      <c r="BV91" s="183">
        <f t="shared" si="20"/>
        <v>3626.2577533663971</v>
      </c>
      <c r="BX91" s="29"/>
      <c r="BY91" s="180">
        <v>2055</v>
      </c>
      <c r="BZ91" s="22">
        <v>41</v>
      </c>
      <c r="CA91" s="185">
        <f t="shared" ca="1" si="21"/>
        <v>-483.07858666030376</v>
      </c>
      <c r="CB91" s="185">
        <f t="shared" ca="1" si="22"/>
        <v>2220.5982444296137</v>
      </c>
      <c r="CC91" s="185">
        <f t="shared" ca="1" si="32"/>
        <v>1842.470604548718</v>
      </c>
      <c r="CD91" s="183">
        <f t="shared" ca="1" si="23"/>
        <v>3579.9902623180278</v>
      </c>
      <c r="CG91" s="180">
        <v>2055</v>
      </c>
      <c r="CH91" s="22">
        <v>41</v>
      </c>
      <c r="CI91" s="185">
        <f t="shared" ca="1" si="24"/>
        <v>864.15861670749177</v>
      </c>
      <c r="CJ91" s="185">
        <f t="shared" ca="1" si="25"/>
        <v>-1874.163189165047</v>
      </c>
      <c r="CK91" s="185">
        <f t="shared" ca="1" si="26"/>
        <v>2782.0700119298658</v>
      </c>
      <c r="CL91" s="185">
        <f t="shared" ca="1" si="27"/>
        <v>1808.2106982169528</v>
      </c>
      <c r="CM91" s="183">
        <f t="shared" ca="1" si="28"/>
        <v>3580.2761376892631</v>
      </c>
      <c r="CP91" s="180">
        <v>2055</v>
      </c>
      <c r="CQ91" s="22">
        <v>41</v>
      </c>
      <c r="CR91" s="181">
        <f t="shared" ca="1" si="29"/>
        <v>1974.5373970287794</v>
      </c>
      <c r="CS91" s="182">
        <f t="shared" ca="1" si="30"/>
        <v>1.880026983674022</v>
      </c>
      <c r="CT91" s="183">
        <f t="shared" ca="1" si="31"/>
        <v>3712.1835866875708</v>
      </c>
      <c r="CZ91" s="164" t="b">
        <f t="shared" si="36"/>
        <v>1</v>
      </c>
      <c r="DA91" s="165" t="b">
        <f t="shared" si="36"/>
        <v>1</v>
      </c>
      <c r="DB91" s="166" t="b">
        <f t="shared" si="36"/>
        <v>1</v>
      </c>
      <c r="DC91" s="164">
        <f t="shared" si="15"/>
        <v>43</v>
      </c>
      <c r="DD91" s="166">
        <f t="shared" si="5"/>
        <v>3464.544068579386</v>
      </c>
      <c r="DE91" s="164">
        <f t="shared" si="6"/>
        <v>43</v>
      </c>
      <c r="DF91" s="166">
        <f t="shared" si="7"/>
        <v>3655.3211397416994</v>
      </c>
      <c r="DG91" s="164">
        <f t="shared" si="8"/>
        <v>43</v>
      </c>
      <c r="DH91" s="166">
        <f t="shared" si="9"/>
        <v>3846.0982109040128</v>
      </c>
      <c r="DI91" s="164">
        <f>IFERROR(INDEX(DC$46:DC$94,_xlfn.AGGREGATE(15,6,(ROW(DC$46:DC$94)-ROW(DC$46)+1)/(DC$46:DC$94&lt;&gt;""),ROWS(DI$1:DI46))),"")</f>
        <v>43</v>
      </c>
      <c r="DJ91" s="165">
        <f>IFERROR(INDEX(DD$46:DD$94,_xlfn.AGGREGATE(15,6,(ROW(DD$46:DD$94)-ROW(DD$46)+1)/(DD$46:DD$94&lt;&gt;""),ROWS(DJ$1:DJ46))),"")</f>
        <v>3464.544068579386</v>
      </c>
      <c r="DK91" s="166">
        <f t="shared" si="10"/>
        <v>91</v>
      </c>
      <c r="DL91" s="164">
        <f>IFERROR(INDEX(DE$46:DE$94,_xlfn.AGGREGATE(15,6,(ROW(DE$46:DE$94)-ROW(DE$46)+1)/(DE$46:DE$94&lt;&gt;""),ROWS(DL$1:DL46))),"")</f>
        <v>43</v>
      </c>
      <c r="DM91" s="165">
        <f>IFERROR(INDEX(DF$46:DF$94,_xlfn.AGGREGATE(15,6,(ROW(DF$46:DF$94)-ROW(DF$46)+1)/(DF$46:DF$94&lt;&gt;""),ROWS(DM$1:DM46))),"")</f>
        <v>3655.3211397416994</v>
      </c>
      <c r="DN91" s="166">
        <f t="shared" si="11"/>
        <v>91</v>
      </c>
      <c r="DO91" s="164">
        <f>IFERROR(INDEX(DG$46:DG$94,_xlfn.AGGREGATE(15,6,(ROW(DG$46:DG$94)-ROW(DG$46)+1)/(DG$46:DG$94&lt;&gt;""),ROWS(DO$1:DO46))),"")</f>
        <v>43</v>
      </c>
      <c r="DP91" s="165">
        <f>IFERROR(INDEX(DH$46:DH$94,_xlfn.AGGREGATE(15,6,(ROW(DH$46:DH$94)-ROW(DH$46)+1)/(DH$46:DH$94&lt;&gt;""),ROWS(DP$1:DP46))),"")</f>
        <v>3846.0982109040128</v>
      </c>
      <c r="DQ91" s="166">
        <f t="shared" si="12"/>
        <v>91</v>
      </c>
      <c r="DV91" s="145">
        <v>2060</v>
      </c>
      <c r="DW91" s="146">
        <f t="shared" ca="1" si="13"/>
        <v>3790.8457037903836</v>
      </c>
      <c r="EA91" s="55"/>
      <c r="EB91" s="55"/>
      <c r="EC91" s="55"/>
      <c r="ED91" s="55"/>
      <c r="EE91" s="55"/>
    </row>
    <row r="92" spans="1:152" ht="13.8" x14ac:dyDescent="0.45">
      <c r="A92" s="214"/>
      <c r="B92" s="128">
        <v>2058</v>
      </c>
      <c r="C92" s="1016">
        <v>3552.5819071733076</v>
      </c>
      <c r="D92" s="982">
        <v>3952.8967929249784</v>
      </c>
      <c r="E92" s="1017"/>
      <c r="F92" s="1077"/>
      <c r="G92" s="1109">
        <v>3561.1230729431959</v>
      </c>
      <c r="H92" s="1107"/>
      <c r="I92" s="1112"/>
      <c r="J92" s="207"/>
      <c r="K92" s="204"/>
      <c r="L92" s="206"/>
      <c r="M92" s="204"/>
      <c r="N92" s="29" t="s">
        <v>758</v>
      </c>
      <c r="Q92" s="176" t="str">
        <f t="shared" si="16"/>
        <v/>
      </c>
      <c r="R92" s="29">
        <v>44</v>
      </c>
      <c r="S92" s="154">
        <f t="shared" si="33"/>
        <v>3552.5819071733076</v>
      </c>
      <c r="T92" s="154">
        <f t="shared" si="34"/>
        <v>3952.8967929249784</v>
      </c>
      <c r="U92" s="154">
        <f t="shared" si="35"/>
        <v>186.72963430093435</v>
      </c>
      <c r="W92" s="154">
        <f t="shared" si="14"/>
        <v>3502.13762337956</v>
      </c>
      <c r="X92" s="154">
        <f>IF(U92="",#N/A,IF($B$36=$A$62,(SUM(C92:E92)/COUNTIF(C92:E92,"&gt;0")),IF($B$36=$A$63,(SUM(F92:H92)/COUNTIF(F92:H92,"&gt;0")),IF($B$36=$A$64,(SUM(J92:K92)/COUNTIF(J92:K92,"&gt;0")),IF($B$36=$A$65,(SUM(L92:M92)/COUNTIF(L92:M92,"&gt;0")),(IF($B$36=$A$46,IF(C92="",#N/A,C92),IF($B$36=$A$47,IF(D92="",#N/A,D92),IF($B$36=$A$48,IF(E92="",#N/A,E92),IF($B$36=$A$49,IF(F92="",#N/A,F92),IF($B$36=$A$50,IF(G92="",#N/A,G92),IF($B$36=$A$51,IF(H92="",#N/A,H92),IF($B$36=$A$52,IF('Total MSW TAM Data_Updated2020'!I92="",#N/A,'Total MSW TAM Data_Updated2020'!I92),IF($B$36=$A$53,IF(J92="",#N/A,J92),IF($B$36=$A$54,IF(K92="",#N/A,K92),IF($B$36=$A$55,IF(L92="",#N/A,L92),IF($B$36=$A$56,IF(M92="",#N/A,M92),IF(U92="",#N/A,(SUM(C92:Q92)/COUNTIFS(C92:Q92,"&gt;0"))))))))))))))))))))</f>
        <v>3688.8672576804943</v>
      </c>
      <c r="Y92" s="154">
        <f t="shared" si="3"/>
        <v>3875.5968919814286</v>
      </c>
      <c r="AA92" s="1133">
        <v>3678.02527997379</v>
      </c>
      <c r="AB92" s="1133">
        <v>3825.4689224921226</v>
      </c>
      <c r="AC92" s="1133">
        <v>3972.9125650104552</v>
      </c>
      <c r="AD92" s="89"/>
      <c r="AE92" s="89"/>
      <c r="AF92" s="89"/>
      <c r="AG92" s="89"/>
      <c r="AH92" s="89"/>
      <c r="AI92" s="89"/>
      <c r="AJ92" s="89"/>
      <c r="AK92" s="89"/>
      <c r="AL92" s="89"/>
      <c r="AM92" s="89"/>
      <c r="AN92" s="89"/>
      <c r="BR92" s="180">
        <v>2056</v>
      </c>
      <c r="BS92" s="22">
        <v>42</v>
      </c>
      <c r="BT92" s="181">
        <f t="shared" si="18"/>
        <v>1743.6888451871228</v>
      </c>
      <c r="BU92" s="182">
        <f t="shared" si="19"/>
        <v>1924.0853092551583</v>
      </c>
      <c r="BV92" s="183">
        <f t="shared" si="20"/>
        <v>3667.7741544422811</v>
      </c>
      <c r="BY92" s="180">
        <v>2056</v>
      </c>
      <c r="BZ92" s="22">
        <v>42</v>
      </c>
      <c r="CA92" s="185">
        <f t="shared" ca="1" si="21"/>
        <v>-506.93077148648177</v>
      </c>
      <c r="CB92" s="185">
        <f t="shared" ca="1" si="22"/>
        <v>2274.7591772205801</v>
      </c>
      <c r="CC92" s="185">
        <f t="shared" ca="1" si="32"/>
        <v>1842.470604548718</v>
      </c>
      <c r="CD92" s="183">
        <f t="shared" ca="1" si="23"/>
        <v>3610.2990102828162</v>
      </c>
      <c r="CG92" s="180">
        <v>2056</v>
      </c>
      <c r="CH92" s="22">
        <v>42</v>
      </c>
      <c r="CI92" s="185">
        <f t="shared" ca="1" si="24"/>
        <v>928.94449579409252</v>
      </c>
      <c r="CJ92" s="185">
        <f t="shared" ca="1" si="25"/>
        <v>-1966.7006934486276</v>
      </c>
      <c r="CK92" s="185">
        <f t="shared" ca="1" si="26"/>
        <v>2849.9253780744971</v>
      </c>
      <c r="CL92" s="185">
        <f t="shared" ca="1" si="27"/>
        <v>1808.2106982169528</v>
      </c>
      <c r="CM92" s="183">
        <f t="shared" ca="1" si="28"/>
        <v>3620.3798786369148</v>
      </c>
      <c r="CP92" s="180">
        <v>2056</v>
      </c>
      <c r="CQ92" s="22">
        <v>42</v>
      </c>
      <c r="CR92" s="181">
        <f t="shared" ca="1" si="29"/>
        <v>1974.5373970287794</v>
      </c>
      <c r="CS92" s="182">
        <f t="shared" ca="1" si="30"/>
        <v>1.9091981791669406</v>
      </c>
      <c r="CT92" s="183">
        <f t="shared" ca="1" si="31"/>
        <v>3769.7832031043763</v>
      </c>
      <c r="CZ92" s="164" t="b">
        <f t="shared" si="36"/>
        <v>1</v>
      </c>
      <c r="DA92" s="165" t="b">
        <f t="shared" si="36"/>
        <v>1</v>
      </c>
      <c r="DB92" s="166" t="b">
        <f t="shared" si="36"/>
        <v>1</v>
      </c>
      <c r="DC92" s="164">
        <f t="shared" si="15"/>
        <v>44</v>
      </c>
      <c r="DD92" s="166">
        <f t="shared" si="5"/>
        <v>3502.13762337956</v>
      </c>
      <c r="DE92" s="164">
        <f t="shared" si="6"/>
        <v>44</v>
      </c>
      <c r="DF92" s="166">
        <f t="shared" si="7"/>
        <v>3688.8672576804943</v>
      </c>
      <c r="DG92" s="164">
        <f t="shared" si="8"/>
        <v>44</v>
      </c>
      <c r="DH92" s="166">
        <f t="shared" si="9"/>
        <v>3875.5968919814286</v>
      </c>
      <c r="DI92" s="164">
        <f>IFERROR(INDEX(DC$46:DC$94,_xlfn.AGGREGATE(15,6,(ROW(DC$46:DC$94)-ROW(DC$46)+1)/(DC$46:DC$94&lt;&gt;""),ROWS(DI$1:DI47))),"")</f>
        <v>44</v>
      </c>
      <c r="DJ92" s="165">
        <f>IFERROR(INDEX(DD$46:DD$94,_xlfn.AGGREGATE(15,6,(ROW(DD$46:DD$94)-ROW(DD$46)+1)/(DD$46:DD$94&lt;&gt;""),ROWS(DJ$1:DJ47))),"")</f>
        <v>3502.13762337956</v>
      </c>
      <c r="DK92" s="166">
        <f t="shared" si="10"/>
        <v>92</v>
      </c>
      <c r="DL92" s="164">
        <f>IFERROR(INDEX(DE$46:DE$94,_xlfn.AGGREGATE(15,6,(ROW(DE$46:DE$94)-ROW(DE$46)+1)/(DE$46:DE$94&lt;&gt;""),ROWS(DL$1:DL47))),"")</f>
        <v>44</v>
      </c>
      <c r="DM92" s="165">
        <f>IFERROR(INDEX(DF$46:DF$94,_xlfn.AGGREGATE(15,6,(ROW(DF$46:DF$94)-ROW(DF$46)+1)/(DF$46:DF$94&lt;&gt;""),ROWS(DM$1:DM47))),"")</f>
        <v>3688.8672576804943</v>
      </c>
      <c r="DN92" s="166">
        <f t="shared" si="11"/>
        <v>92</v>
      </c>
      <c r="DO92" s="164">
        <f>IFERROR(INDEX(DG$46:DG$94,_xlfn.AGGREGATE(15,6,(ROW(DG$46:DG$94)-ROW(DG$46)+1)/(DG$46:DG$94&lt;&gt;""),ROWS(DO$1:DO47))),"")</f>
        <v>44</v>
      </c>
      <c r="DP92" s="165">
        <f>IFERROR(INDEX(DH$46:DH$94,_xlfn.AGGREGATE(15,6,(ROW(DH$46:DH$94)-ROW(DH$46)+1)/(DH$46:DH$94&lt;&gt;""),ROWS(DP$1:DP47))),"")</f>
        <v>3875.5968919814286</v>
      </c>
      <c r="DQ92" s="166">
        <f t="shared" si="12"/>
        <v>92</v>
      </c>
      <c r="DW92" s="54"/>
      <c r="EA92" s="55"/>
      <c r="EB92" s="55"/>
      <c r="EC92" s="55"/>
      <c r="ED92" s="55"/>
      <c r="EE92" s="55"/>
    </row>
    <row r="93" spans="1:152" ht="13.8" x14ac:dyDescent="0.45">
      <c r="A93" s="214"/>
      <c r="B93" s="128">
        <v>2059</v>
      </c>
      <c r="C93" s="1016">
        <v>3585.4318688291592</v>
      </c>
      <c r="D93" s="982">
        <v>3980.2669258146511</v>
      </c>
      <c r="E93" s="1017"/>
      <c r="F93" s="1077"/>
      <c r="G93" s="1109">
        <v>3600.6918700807987</v>
      </c>
      <c r="H93" s="1107"/>
      <c r="I93" s="1112"/>
      <c r="J93" s="207"/>
      <c r="K93" s="204"/>
      <c r="L93" s="206"/>
      <c r="M93" s="204"/>
      <c r="N93" s="29" t="s">
        <v>758</v>
      </c>
      <c r="Q93" s="176" t="str">
        <f t="shared" si="16"/>
        <v/>
      </c>
      <c r="R93" s="29">
        <v>45</v>
      </c>
      <c r="S93" s="154">
        <f t="shared" si="33"/>
        <v>3585.4318688291592</v>
      </c>
      <c r="T93" s="154">
        <f t="shared" si="34"/>
        <v>3980.2669258146511</v>
      </c>
      <c r="U93" s="154">
        <f t="shared" si="35"/>
        <v>182.63649775146681</v>
      </c>
      <c r="W93" s="154">
        <f t="shared" si="14"/>
        <v>3539.4937238234029</v>
      </c>
      <c r="X93" s="154">
        <f>IF(U93="",#N/A,IF($B$36=$A$62,(SUM(C93:E93)/COUNTIF(C93:E93,"&gt;0")),IF($B$36=$A$63,(SUM(F93:H93)/COUNTIF(F93:H93,"&gt;0")),IF($B$36=$A$64,(SUM(J93:K93)/COUNTIF(J93:K93,"&gt;0")),IF($B$36=$A$65,(SUM(L93:M93)/COUNTIF(L93:M93,"&gt;0")),(IF($B$36=$A$46,IF(C93="",#N/A,C93),IF($B$36=$A$47,IF(D93="",#N/A,D93),IF($B$36=$A$48,IF(E93="",#N/A,E93),IF($B$36=$A$49,IF(F93="",#N/A,F93),IF($B$36=$A$50,IF(G93="",#N/A,G93),IF($B$36=$A$51,IF(H93="",#N/A,H93),IF($B$36=$A$52,IF('Total MSW TAM Data_Updated2020'!I93="",#N/A,'Total MSW TAM Data_Updated2020'!I93),IF($B$36=$A$53,IF(J93="",#N/A,J93),IF($B$36=$A$54,IF(K93="",#N/A,K93),IF($B$36=$A$55,IF(L93="",#N/A,L93),IF($B$36=$A$56,IF(M93="",#N/A,M93),IF(U93="",#N/A,(SUM(C93:Q93)/COUNTIFS(C93:Q93,"&gt;0"))))))))))))))))))))</f>
        <v>3722.1302215748697</v>
      </c>
      <c r="Y93" s="154">
        <f t="shared" si="3"/>
        <v>3904.7667193263364</v>
      </c>
      <c r="AA93" s="1133">
        <v>3724.0173037753275</v>
      </c>
      <c r="AB93" s="1133">
        <v>3866.2765840017541</v>
      </c>
      <c r="AC93" s="1133">
        <v>4008.5358642281808</v>
      </c>
      <c r="AD93" s="89"/>
      <c r="AE93" s="89"/>
      <c r="AF93" s="89"/>
      <c r="AG93" s="89"/>
      <c r="AH93" s="89"/>
      <c r="AI93" s="89"/>
      <c r="AJ93" s="89"/>
      <c r="AK93" s="89"/>
      <c r="AL93" s="89"/>
      <c r="AM93" s="89"/>
      <c r="AN93" s="89"/>
      <c r="BR93" s="180">
        <v>2057</v>
      </c>
      <c r="BS93" s="22">
        <v>43</v>
      </c>
      <c r="BT93" s="181">
        <f t="shared" si="18"/>
        <v>1785.2052462630068</v>
      </c>
      <c r="BU93" s="182">
        <f t="shared" si="19"/>
        <v>1924.0853092551583</v>
      </c>
      <c r="BV93" s="183">
        <f t="shared" si="20"/>
        <v>3709.2905555181651</v>
      </c>
      <c r="BY93" s="180">
        <v>2057</v>
      </c>
      <c r="BZ93" s="22">
        <v>43</v>
      </c>
      <c r="CA93" s="185">
        <f t="shared" ca="1" si="21"/>
        <v>-531.35770775425442</v>
      </c>
      <c r="CB93" s="185">
        <f t="shared" ca="1" si="22"/>
        <v>2328.9201100115465</v>
      </c>
      <c r="CC93" s="185">
        <f t="shared" ca="1" si="32"/>
        <v>1842.470604548718</v>
      </c>
      <c r="CD93" s="183">
        <f t="shared" ca="1" si="23"/>
        <v>3640.0330068060102</v>
      </c>
      <c r="CG93" s="180">
        <v>2057</v>
      </c>
      <c r="CH93" s="22">
        <v>43</v>
      </c>
      <c r="CI93" s="185">
        <f t="shared" ca="1" si="24"/>
        <v>996.89005003645548</v>
      </c>
      <c r="CJ93" s="185">
        <f t="shared" ca="1" si="25"/>
        <v>-2061.4680171125356</v>
      </c>
      <c r="CK93" s="185">
        <f t="shared" ca="1" si="26"/>
        <v>2917.7807442191279</v>
      </c>
      <c r="CL93" s="185">
        <f t="shared" ca="1" si="27"/>
        <v>1808.2106982169528</v>
      </c>
      <c r="CM93" s="183">
        <f t="shared" ca="1" si="28"/>
        <v>3661.4134753600006</v>
      </c>
      <c r="CP93" s="180">
        <v>2057</v>
      </c>
      <c r="CQ93" s="22">
        <v>43</v>
      </c>
      <c r="CR93" s="181">
        <f t="shared" ca="1" si="29"/>
        <v>1974.5373970287794</v>
      </c>
      <c r="CS93" s="182">
        <f t="shared" ca="1" si="30"/>
        <v>1.9388220057411552</v>
      </c>
      <c r="CT93" s="183">
        <f t="shared" ca="1" si="31"/>
        <v>3828.2765565182576</v>
      </c>
      <c r="CZ93" s="164" t="b">
        <f t="shared" si="36"/>
        <v>1</v>
      </c>
      <c r="DA93" s="165" t="b">
        <f t="shared" si="36"/>
        <v>1</v>
      </c>
      <c r="DB93" s="166" t="b">
        <f t="shared" si="36"/>
        <v>1</v>
      </c>
      <c r="DC93" s="164">
        <f t="shared" si="15"/>
        <v>45</v>
      </c>
      <c r="DD93" s="166">
        <f t="shared" si="5"/>
        <v>3539.4937238234029</v>
      </c>
      <c r="DE93" s="164">
        <f t="shared" si="6"/>
        <v>45</v>
      </c>
      <c r="DF93" s="166">
        <f t="shared" si="7"/>
        <v>3722.1302215748697</v>
      </c>
      <c r="DG93" s="164">
        <f t="shared" si="8"/>
        <v>45</v>
      </c>
      <c r="DH93" s="166">
        <f t="shared" si="9"/>
        <v>3904.7667193263364</v>
      </c>
      <c r="DI93" s="164">
        <f>IFERROR(INDEX(DC$46:DC$94,_xlfn.AGGREGATE(15,6,(ROW(DC$46:DC$94)-ROW(DC$46)+1)/(DC$46:DC$94&lt;&gt;""),ROWS(DI$1:DI48))),"")</f>
        <v>45</v>
      </c>
      <c r="DJ93" s="165">
        <f>IFERROR(INDEX(DD$46:DD$94,_xlfn.AGGREGATE(15,6,(ROW(DD$46:DD$94)-ROW(DD$46)+1)/(DD$46:DD$94&lt;&gt;""),ROWS(DJ$1:DJ48))),"")</f>
        <v>3539.4937238234029</v>
      </c>
      <c r="DK93" s="166">
        <f t="shared" si="10"/>
        <v>93</v>
      </c>
      <c r="DL93" s="164">
        <f>IFERROR(INDEX(DE$46:DE$94,_xlfn.AGGREGATE(15,6,(ROW(DE$46:DE$94)-ROW(DE$46)+1)/(DE$46:DE$94&lt;&gt;""),ROWS(DL$1:DL48))),"")</f>
        <v>45</v>
      </c>
      <c r="DM93" s="165">
        <f>IFERROR(INDEX(DF$46:DF$94,_xlfn.AGGREGATE(15,6,(ROW(DF$46:DF$94)-ROW(DF$46)+1)/(DF$46:DF$94&lt;&gt;""),ROWS(DM$1:DM48))),"")</f>
        <v>3722.1302215748697</v>
      </c>
      <c r="DN93" s="166">
        <f t="shared" si="11"/>
        <v>93</v>
      </c>
      <c r="DO93" s="164">
        <f>IFERROR(INDEX(DG$46:DG$94,_xlfn.AGGREGATE(15,6,(ROW(DG$46:DG$94)-ROW(DG$46)+1)/(DG$46:DG$94&lt;&gt;""),ROWS(DO$1:DO48))),"")</f>
        <v>45</v>
      </c>
      <c r="DP93" s="165">
        <f>IFERROR(INDEX(DH$46:DH$94,_xlfn.AGGREGATE(15,6,(ROW(DH$46:DH$94)-ROW(DH$46)+1)/(DH$46:DH$94&lt;&gt;""),ROWS(DP$1:DP48))),"")</f>
        <v>3904.7667193263364</v>
      </c>
      <c r="DQ93" s="166">
        <f t="shared" si="12"/>
        <v>93</v>
      </c>
      <c r="DW93" s="54"/>
      <c r="EA93" s="55"/>
      <c r="EB93" s="55"/>
      <c r="EC93" s="55"/>
      <c r="ED93" s="55"/>
      <c r="EE93" s="55"/>
    </row>
    <row r="94" spans="1:152" ht="14.1" thickBot="1" x14ac:dyDescent="0.5">
      <c r="A94" s="214"/>
      <c r="B94" s="128">
        <v>2060</v>
      </c>
      <c r="C94" s="1018">
        <v>3618.0725228530405</v>
      </c>
      <c r="D94" s="1019">
        <v>4007.255538593045</v>
      </c>
      <c r="E94" s="1020"/>
      <c r="F94" s="1078"/>
      <c r="G94" s="1113">
        <v>3640.0260242917961</v>
      </c>
      <c r="H94" s="1114"/>
      <c r="I94" s="1115"/>
      <c r="J94" s="218"/>
      <c r="K94" s="216"/>
      <c r="L94" s="217"/>
      <c r="M94" s="216"/>
      <c r="N94" s="29" t="s">
        <v>758</v>
      </c>
      <c r="O94" s="219"/>
      <c r="P94" s="120"/>
      <c r="Q94" s="176" t="str">
        <f t="shared" si="16"/>
        <v/>
      </c>
      <c r="R94" s="29">
        <v>46</v>
      </c>
      <c r="S94" s="154">
        <f t="shared" si="33"/>
        <v>3618.0725228530405</v>
      </c>
      <c r="T94" s="154">
        <f t="shared" si="34"/>
        <v>4007.255538593045</v>
      </c>
      <c r="U94" s="154">
        <f t="shared" si="35"/>
        <v>178.51327125885479</v>
      </c>
      <c r="W94" s="154">
        <f t="shared" si="14"/>
        <v>3576.6047573204391</v>
      </c>
      <c r="X94" s="154">
        <f>IF(U94="",#N/A,IF($B$36=$A$62,(SUM(C94:E94)/COUNTIF(C94:E94,"&gt;0")),IF($B$36=$A$63,(SUM(F94:H94)/COUNTIF(F94:H94,"&gt;0")),IF($B$36=$A$64,(SUM(J94:K94)/COUNTIF(J94:K94,"&gt;0")),IF($B$36=$A$65,(SUM(L94:M94)/COUNTIF(L94:M94,"&gt;0")),(IF($B$36=$A$46,IF(C94="",#N/A,C94),IF($B$36=$A$47,IF(D94="",#N/A,D94),IF($B$36=$A$48,IF(E94="",#N/A,E94),IF($B$36=$A$49,IF(F94="",#N/A,F94),IF($B$36=$A$50,IF(G94="",#N/A,G94),IF($B$36=$A$51,IF(H94="",#N/A,H94),IF($B$36=$A$52,IF('Total MSW TAM Data_Updated2020'!I94="",#N/A,'Total MSW TAM Data_Updated2020'!I94),IF($B$36=$A$53,IF(J94="",#N/A,J94),IF($B$36=$A$54,IF(K94="",#N/A,K94),IF($B$36=$A$55,IF(L94="",#N/A,L94),IF($B$36=$A$56,IF(M94="",#N/A,M94),IF(U94="",#N/A,(SUM(C94:Q94)/COUNTIFS(C94:Q94,"&gt;0"))))))))))))))))))))</f>
        <v>3755.1180285792939</v>
      </c>
      <c r="Y94" s="154">
        <f t="shared" si="3"/>
        <v>3933.6312998381486</v>
      </c>
      <c r="AA94" s="1133">
        <v>3769.9765895043274</v>
      </c>
      <c r="AB94" s="1133">
        <v>3907.0319333954285</v>
      </c>
      <c r="AC94" s="1133">
        <v>4044.0872772865296</v>
      </c>
      <c r="AD94" s="89"/>
      <c r="AE94" s="89"/>
      <c r="AF94" s="89"/>
      <c r="AG94" s="89"/>
      <c r="AH94" s="89"/>
      <c r="AI94" s="89"/>
      <c r="AJ94" s="89"/>
      <c r="AK94" s="89"/>
      <c r="AL94" s="89"/>
      <c r="AM94" s="89"/>
      <c r="AN94" s="89"/>
      <c r="BR94" s="180">
        <v>2058</v>
      </c>
      <c r="BS94" s="22">
        <v>44</v>
      </c>
      <c r="BT94" s="181">
        <f t="shared" si="18"/>
        <v>1826.7216473388905</v>
      </c>
      <c r="BU94" s="182">
        <f t="shared" si="19"/>
        <v>1924.0853092551583</v>
      </c>
      <c r="BV94" s="183">
        <f t="shared" si="20"/>
        <v>3750.8069565940486</v>
      </c>
      <c r="BY94" s="180">
        <v>2058</v>
      </c>
      <c r="BZ94" s="22">
        <v>44</v>
      </c>
      <c r="CA94" s="185">
        <f t="shared" ca="1" si="21"/>
        <v>-556.35939546362169</v>
      </c>
      <c r="CB94" s="185">
        <f t="shared" ca="1" si="22"/>
        <v>2383.0810428025125</v>
      </c>
      <c r="CC94" s="185">
        <f t="shared" ca="1" si="32"/>
        <v>1842.470604548718</v>
      </c>
      <c r="CD94" s="183">
        <f t="shared" ca="1" si="23"/>
        <v>3669.192251887609</v>
      </c>
      <c r="CG94" s="180">
        <v>2058</v>
      </c>
      <c r="CH94" s="22">
        <v>44</v>
      </c>
      <c r="CI94" s="185">
        <f t="shared" ca="1" si="24"/>
        <v>1068.0705097954321</v>
      </c>
      <c r="CJ94" s="185">
        <f t="shared" ca="1" si="25"/>
        <v>-2158.4651601567703</v>
      </c>
      <c r="CK94" s="185">
        <f t="shared" ca="1" si="26"/>
        <v>2985.6361103637587</v>
      </c>
      <c r="CL94" s="185">
        <f t="shared" ca="1" si="27"/>
        <v>1808.2106982169528</v>
      </c>
      <c r="CM94" s="183">
        <f t="shared" ca="1" si="28"/>
        <v>3703.4521582193734</v>
      </c>
      <c r="CP94" s="180">
        <v>2058</v>
      </c>
      <c r="CQ94" s="22">
        <v>44</v>
      </c>
      <c r="CR94" s="181">
        <f t="shared" ca="1" si="29"/>
        <v>1974.5373970287794</v>
      </c>
      <c r="CS94" s="182">
        <f t="shared" ca="1" si="30"/>
        <v>1.9689054865882867</v>
      </c>
      <c r="CT94" s="183">
        <f t="shared" ca="1" si="31"/>
        <v>3887.6775144837179</v>
      </c>
      <c r="CZ94" s="164" t="b">
        <f t="shared" si="36"/>
        <v>1</v>
      </c>
      <c r="DA94" s="165" t="b">
        <f t="shared" si="36"/>
        <v>1</v>
      </c>
      <c r="DB94" s="166" t="b">
        <f t="shared" si="36"/>
        <v>1</v>
      </c>
      <c r="DC94" s="164">
        <f t="shared" si="15"/>
        <v>46</v>
      </c>
      <c r="DD94" s="166">
        <f t="shared" si="5"/>
        <v>3576.6047573204391</v>
      </c>
      <c r="DE94" s="164">
        <f t="shared" si="6"/>
        <v>46</v>
      </c>
      <c r="DF94" s="166">
        <f t="shared" si="7"/>
        <v>3755.1180285792939</v>
      </c>
      <c r="DG94" s="164">
        <f t="shared" si="8"/>
        <v>46</v>
      </c>
      <c r="DH94" s="166">
        <f t="shared" si="9"/>
        <v>3933.6312998381486</v>
      </c>
      <c r="DI94" s="164">
        <f>IFERROR(INDEX(DC$46:DC$94,_xlfn.AGGREGATE(15,6,(ROW(DC$46:DC$94)-ROW(DC$46)+1)/(DC$46:DC$94&lt;&gt;""),ROWS(DI$1:DI49))),"")</f>
        <v>46</v>
      </c>
      <c r="DJ94" s="165">
        <f>IFERROR(INDEX(DD$46:DD$94,_xlfn.AGGREGATE(15,6,(ROW(DD$46:DD$94)-ROW(DD$46)+1)/(DD$46:DD$94&lt;&gt;""),ROWS(DJ$1:DJ49))),"")</f>
        <v>3576.6047573204391</v>
      </c>
      <c r="DK94" s="166">
        <f t="shared" si="10"/>
        <v>94</v>
      </c>
      <c r="DL94" s="164">
        <f>IFERROR(INDEX(DE$46:DE$94,_xlfn.AGGREGATE(15,6,(ROW(DE$46:DE$94)-ROW(DE$46)+1)/(DE$46:DE$94&lt;&gt;""),ROWS(DL$1:DL49))),"")</f>
        <v>46</v>
      </c>
      <c r="DM94" s="165">
        <f>IFERROR(INDEX(DF$46:DF$94,_xlfn.AGGREGATE(15,6,(ROW(DF$46:DF$94)-ROW(DF$46)+1)/(DF$46:DF$94&lt;&gt;""),ROWS(DM$1:DM49))),"")</f>
        <v>3755.1180285792939</v>
      </c>
      <c r="DN94" s="166">
        <f t="shared" si="11"/>
        <v>94</v>
      </c>
      <c r="DO94" s="164">
        <f>IFERROR(INDEX(DG$46:DG$94,_xlfn.AGGREGATE(15,6,(ROW(DG$46:DG$94)-ROW(DG$46)+1)/(DG$46:DG$94&lt;&gt;""),ROWS(DO$1:DO49))),"")</f>
        <v>46</v>
      </c>
      <c r="DP94" s="165">
        <f>IFERROR(INDEX(DH$46:DH$94,_xlfn.AGGREGATE(15,6,(ROW(DH$46:DH$94)-ROW(DH$46)+1)/(DH$46:DH$94&lt;&gt;""),ROWS(DP$1:DP49))),"")</f>
        <v>3933.6312998381486</v>
      </c>
      <c r="DQ94" s="166">
        <f t="shared" si="12"/>
        <v>94</v>
      </c>
      <c r="DW94" s="54"/>
      <c r="EA94" s="55"/>
      <c r="EB94" s="55"/>
      <c r="EC94" s="55"/>
      <c r="ED94" s="55"/>
      <c r="EE94" s="55"/>
    </row>
    <row r="95" spans="1:152" ht="13.8" x14ac:dyDescent="0.45">
      <c r="A95" s="214"/>
      <c r="B95" s="89"/>
      <c r="C95" s="14"/>
      <c r="D95" s="14"/>
      <c r="E95" s="14"/>
      <c r="F95" s="14"/>
      <c r="G95" s="14"/>
      <c r="H95" s="14"/>
      <c r="I95" s="14"/>
      <c r="J95" s="14"/>
      <c r="K95" s="14"/>
      <c r="L95" s="14"/>
      <c r="M95" s="50"/>
      <c r="N95" s="29"/>
      <c r="O95" s="220"/>
      <c r="P95" s="120"/>
      <c r="Q95" s="120"/>
      <c r="R95" s="120"/>
      <c r="S95" s="120"/>
      <c r="T95" s="120"/>
      <c r="U95" s="120"/>
      <c r="V95" s="120"/>
      <c r="W95" s="120"/>
      <c r="X95" s="120"/>
      <c r="Y95" s="120"/>
      <c r="AA95" s="89"/>
      <c r="AB95" s="89"/>
      <c r="AC95" s="89"/>
      <c r="AD95" s="89"/>
      <c r="AE95" s="89"/>
      <c r="AF95" s="89"/>
      <c r="AG95" s="89"/>
      <c r="AH95" s="89"/>
      <c r="AI95" s="89"/>
      <c r="AJ95" s="89"/>
      <c r="AK95" s="89"/>
      <c r="AL95" s="89"/>
      <c r="AM95" s="89"/>
      <c r="AN95" s="89"/>
      <c r="BR95" s="180">
        <v>2059</v>
      </c>
      <c r="BS95" s="22">
        <v>45</v>
      </c>
      <c r="BT95" s="181">
        <f t="shared" si="18"/>
        <v>1868.2380484147745</v>
      </c>
      <c r="BU95" s="182">
        <f t="shared" si="19"/>
        <v>1924.0853092551583</v>
      </c>
      <c r="BV95" s="183">
        <f t="shared" si="20"/>
        <v>3792.3233576699331</v>
      </c>
      <c r="BX95" s="29"/>
      <c r="BY95" s="180">
        <v>2059</v>
      </c>
      <c r="BZ95" s="22">
        <v>45</v>
      </c>
      <c r="CA95" s="185">
        <f t="shared" ca="1" si="21"/>
        <v>-581.93583461458365</v>
      </c>
      <c r="CB95" s="185">
        <f t="shared" ca="1" si="22"/>
        <v>2437.2419755934789</v>
      </c>
      <c r="CC95" s="185">
        <f t="shared" ca="1" si="32"/>
        <v>1842.470604548718</v>
      </c>
      <c r="CD95" s="183">
        <f t="shared" ca="1" si="23"/>
        <v>3697.7767455276135</v>
      </c>
      <c r="CG95" s="180">
        <v>2059</v>
      </c>
      <c r="CH95" s="22">
        <v>45</v>
      </c>
      <c r="CI95" s="185">
        <f t="shared" ca="1" si="24"/>
        <v>1142.561105431874</v>
      </c>
      <c r="CJ95" s="185">
        <f t="shared" ca="1" si="25"/>
        <v>-2257.6921225813326</v>
      </c>
      <c r="CK95" s="185">
        <f t="shared" ca="1" si="26"/>
        <v>3053.4914765083895</v>
      </c>
      <c r="CL95" s="185">
        <f t="shared" ca="1" si="27"/>
        <v>1808.2106982169528</v>
      </c>
      <c r="CM95" s="183">
        <f t="shared" ca="1" si="28"/>
        <v>3746.5711575758837</v>
      </c>
      <c r="CP95" s="180">
        <v>2059</v>
      </c>
      <c r="CQ95" s="22">
        <v>45</v>
      </c>
      <c r="CR95" s="181">
        <f t="shared" ca="1" si="29"/>
        <v>1974.5373970287794</v>
      </c>
      <c r="CS95" s="182">
        <f t="shared" ca="1" si="30"/>
        <v>1.9994557538744</v>
      </c>
      <c r="CT95" s="183">
        <f t="shared" ca="1" si="31"/>
        <v>3948.0001597293735</v>
      </c>
      <c r="CZ95" s="156"/>
      <c r="DA95" s="156"/>
      <c r="DB95" s="156"/>
      <c r="DC95" s="156"/>
      <c r="DD95" s="156"/>
      <c r="DE95" s="156"/>
      <c r="DF95" s="156"/>
      <c r="DG95" s="156"/>
      <c r="DH95" s="156"/>
      <c r="DI95" s="156"/>
      <c r="DJ95" s="156"/>
      <c r="DK95" s="156"/>
      <c r="DL95" s="156"/>
      <c r="DM95" s="156"/>
      <c r="DN95" s="156"/>
      <c r="DO95" s="156"/>
      <c r="DP95" s="156"/>
      <c r="DQ95" s="156"/>
      <c r="DU95" s="65"/>
      <c r="DW95" s="54"/>
      <c r="EA95" s="55"/>
      <c r="EB95" s="55"/>
      <c r="EC95" s="55"/>
      <c r="ED95" s="55"/>
      <c r="EE95" s="55"/>
    </row>
    <row r="96" spans="1:152" ht="13.8" x14ac:dyDescent="0.45">
      <c r="A96" s="214"/>
      <c r="B96" s="89"/>
      <c r="C96" s="14"/>
      <c r="D96" s="14"/>
      <c r="E96" s="14"/>
      <c r="F96" s="14"/>
      <c r="G96" s="14"/>
      <c r="H96" s="14"/>
      <c r="I96" s="14"/>
      <c r="J96" s="14"/>
      <c r="K96" s="14"/>
      <c r="L96" s="14"/>
      <c r="M96" s="50"/>
      <c r="N96" s="29"/>
      <c r="O96" s="220"/>
      <c r="P96" s="120"/>
      <c r="Q96" s="120"/>
      <c r="R96" s="120"/>
      <c r="S96" s="120"/>
      <c r="T96" s="120"/>
      <c r="U96" s="120"/>
      <c r="V96" s="120"/>
      <c r="W96" s="120"/>
      <c r="X96" s="120"/>
      <c r="Y96" s="120"/>
      <c r="AA96" s="89"/>
      <c r="AB96" s="89"/>
      <c r="AC96" s="89"/>
      <c r="AD96" s="89"/>
      <c r="AE96" s="89"/>
      <c r="AF96" s="89"/>
      <c r="AG96" s="89"/>
      <c r="AH96" s="89"/>
      <c r="AI96" s="89"/>
      <c r="AJ96" s="89"/>
      <c r="AK96" s="89"/>
      <c r="AL96" s="89"/>
      <c r="AM96" s="89"/>
      <c r="AN96" s="89"/>
      <c r="BR96" s="180">
        <v>2060</v>
      </c>
      <c r="BS96" s="22">
        <v>46</v>
      </c>
      <c r="BT96" s="181">
        <f>IF($BS$46="High",BS96*$BT$47,IF($BS$46="Medium",$BT$48*BS96,IF($BS$46="Low",$BT$49*BS96)))</f>
        <v>1909.7544494906583</v>
      </c>
      <c r="BU96" s="182">
        <f t="shared" si="19"/>
        <v>1924.0853092551583</v>
      </c>
      <c r="BV96" s="183">
        <f t="shared" si="20"/>
        <v>3833.8397587458167</v>
      </c>
      <c r="BY96" s="180">
        <v>2060</v>
      </c>
      <c r="BZ96" s="22">
        <v>46</v>
      </c>
      <c r="CA96" s="185">
        <f t="shared" ca="1" si="21"/>
        <v>-608.0870252071403</v>
      </c>
      <c r="CB96" s="185">
        <f t="shared" ca="1" si="22"/>
        <v>2491.4029083844448</v>
      </c>
      <c r="CC96" s="185">
        <f t="shared" ca="1" si="32"/>
        <v>1842.470604548718</v>
      </c>
      <c r="CD96" s="183">
        <f t="shared" ca="1" si="23"/>
        <v>3725.7864877260226</v>
      </c>
      <c r="CG96" s="180">
        <v>2060</v>
      </c>
      <c r="CH96" s="22">
        <v>46</v>
      </c>
      <c r="CI96" s="185">
        <f t="shared" ca="1" si="24"/>
        <v>1220.4370673066326</v>
      </c>
      <c r="CJ96" s="185">
        <f t="shared" ca="1" si="25"/>
        <v>-2359.1489043862221</v>
      </c>
      <c r="CK96" s="185">
        <f t="shared" ca="1" si="26"/>
        <v>3121.3468426530203</v>
      </c>
      <c r="CL96" s="185">
        <f t="shared" ca="1" si="27"/>
        <v>1808.2106982169528</v>
      </c>
      <c r="CM96" s="183">
        <f t="shared" ca="1" si="28"/>
        <v>3790.8457037903836</v>
      </c>
      <c r="CP96" s="180">
        <v>2060</v>
      </c>
      <c r="CQ96" s="22">
        <v>46</v>
      </c>
      <c r="CR96" s="181">
        <f t="shared" ca="1" si="29"/>
        <v>1974.5373970287794</v>
      </c>
      <c r="CS96" s="182">
        <f t="shared" ca="1" si="30"/>
        <v>2.0304800504308922</v>
      </c>
      <c r="CT96" s="183">
        <f t="shared" ca="1" si="31"/>
        <v>4009.2587934966787</v>
      </c>
      <c r="CZ96" s="165"/>
      <c r="DA96" s="165"/>
      <c r="DB96" s="165"/>
      <c r="DC96" s="165"/>
      <c r="DD96" s="165"/>
      <c r="DE96" s="165"/>
      <c r="DF96" s="165"/>
      <c r="DG96" s="165"/>
      <c r="DH96" s="165"/>
      <c r="DI96" s="165"/>
      <c r="DJ96" s="165"/>
      <c r="DK96" s="165"/>
      <c r="DL96" s="165"/>
      <c r="DM96" s="165"/>
      <c r="DN96" s="165"/>
      <c r="DO96" s="165"/>
      <c r="DP96" s="165"/>
      <c r="DQ96" s="165"/>
      <c r="DW96" s="54"/>
      <c r="EA96" s="55"/>
      <c r="EB96" s="55"/>
      <c r="EC96" s="55"/>
      <c r="ED96" s="55"/>
      <c r="EE96" s="55"/>
    </row>
    <row r="97" spans="1:135" x14ac:dyDescent="0.4">
      <c r="A97" s="221" t="str">
        <f ca="1">HYPERLINK("#"&amp;"'"&amp;A$1&amp;"'!a1","Back to top")</f>
        <v>Back to top</v>
      </c>
      <c r="C97" s="50"/>
      <c r="D97" s="14"/>
      <c r="E97" s="14"/>
      <c r="F97" s="14"/>
      <c r="G97" s="14"/>
      <c r="H97" s="14"/>
      <c r="I97" s="14"/>
      <c r="J97" s="14"/>
      <c r="K97" s="14"/>
      <c r="L97" s="14"/>
      <c r="M97" s="14"/>
      <c r="N97" s="29"/>
      <c r="O97" s="222"/>
      <c r="P97" s="223"/>
      <c r="Q97" s="223"/>
      <c r="R97" s="223"/>
      <c r="S97" s="223"/>
      <c r="T97" s="223"/>
      <c r="U97" s="223"/>
      <c r="V97" s="223"/>
      <c r="W97" s="223"/>
      <c r="X97" s="223"/>
      <c r="Y97" s="223"/>
      <c r="Z97" s="89"/>
      <c r="AA97" s="89"/>
      <c r="AB97" s="89"/>
      <c r="AC97" s="89"/>
      <c r="AD97" s="89"/>
      <c r="AE97" s="89"/>
      <c r="AF97" s="89"/>
      <c r="AG97" s="89"/>
      <c r="AH97" s="89"/>
      <c r="AI97" s="89"/>
      <c r="AJ97" s="89"/>
      <c r="AK97" s="89"/>
      <c r="AL97" s="89"/>
      <c r="AM97" s="89"/>
      <c r="AN97" s="89"/>
      <c r="CZ97" s="89"/>
      <c r="DA97" s="89"/>
      <c r="DB97" s="89"/>
      <c r="DC97" s="89"/>
      <c r="DD97" s="89"/>
      <c r="DE97" s="89"/>
      <c r="DF97" s="89"/>
      <c r="DG97" s="89"/>
      <c r="DH97" s="89"/>
      <c r="DI97" s="89"/>
      <c r="DJ97" s="89"/>
      <c r="DK97" s="89"/>
      <c r="DL97" s="89"/>
      <c r="DM97" s="89"/>
      <c r="DN97" s="89"/>
      <c r="DO97" s="89"/>
      <c r="DP97" s="89"/>
      <c r="DQ97" s="89"/>
      <c r="DW97" s="54"/>
      <c r="EA97" s="55"/>
      <c r="EB97" s="55"/>
      <c r="EC97" s="55"/>
      <c r="ED97" s="55"/>
      <c r="EE97" s="55"/>
    </row>
    <row r="98" spans="1:135" x14ac:dyDescent="0.4">
      <c r="A98" s="221"/>
      <c r="C98" s="50"/>
      <c r="D98" s="14"/>
      <c r="E98" s="14"/>
      <c r="F98" s="14"/>
      <c r="G98" s="14"/>
      <c r="H98" s="14"/>
      <c r="I98" s="14"/>
      <c r="J98" s="14"/>
      <c r="K98" s="14"/>
      <c r="L98" s="14"/>
      <c r="M98" s="14"/>
      <c r="N98" s="29"/>
      <c r="O98" s="224"/>
      <c r="P98" s="89"/>
      <c r="Q98" s="89"/>
      <c r="R98" s="89"/>
      <c r="S98" s="89"/>
      <c r="T98" s="89"/>
      <c r="U98" s="89"/>
      <c r="V98" s="89"/>
      <c r="W98" s="89"/>
      <c r="X98" s="89"/>
      <c r="Y98" s="89"/>
      <c r="Z98" s="89"/>
      <c r="AA98" s="89"/>
      <c r="AB98" s="89"/>
      <c r="AC98" s="89"/>
      <c r="AD98" s="89"/>
      <c r="AE98" s="89"/>
      <c r="AF98" s="89"/>
      <c r="AG98" s="89"/>
      <c r="AH98" s="89"/>
      <c r="AI98" s="89"/>
      <c r="AJ98" s="89"/>
      <c r="AK98" s="89"/>
      <c r="AL98" s="89"/>
      <c r="AM98" s="89"/>
      <c r="AN98" s="89"/>
      <c r="DW98" s="54"/>
      <c r="EA98" s="55"/>
      <c r="EB98" s="55"/>
      <c r="EC98" s="55"/>
      <c r="ED98" s="55"/>
      <c r="EE98" s="55"/>
    </row>
    <row r="99" spans="1:135" x14ac:dyDescent="0.4">
      <c r="A99" s="221"/>
      <c r="C99" s="50"/>
      <c r="D99" s="14"/>
      <c r="E99" s="14"/>
      <c r="F99" s="14"/>
      <c r="G99" s="14"/>
      <c r="H99" s="14"/>
      <c r="I99" s="14"/>
      <c r="J99" s="14"/>
      <c r="K99" s="14"/>
      <c r="L99" s="14"/>
      <c r="M99" s="14"/>
      <c r="Z99" s="89"/>
      <c r="AA99" s="89"/>
      <c r="AB99" s="89"/>
      <c r="AC99" s="89"/>
      <c r="AD99" s="89"/>
      <c r="AE99" s="89"/>
      <c r="AF99" s="89"/>
      <c r="AG99" s="89"/>
      <c r="AH99" s="89"/>
      <c r="AI99" s="89"/>
      <c r="AJ99" s="89"/>
      <c r="AK99" s="89"/>
      <c r="AL99" s="89"/>
      <c r="AM99" s="89"/>
      <c r="AN99" s="89"/>
      <c r="DW99" s="54"/>
      <c r="EA99" s="55"/>
      <c r="EB99" s="55"/>
      <c r="EC99" s="55"/>
      <c r="ED99" s="55"/>
      <c r="EE99" s="55"/>
    </row>
    <row r="100" spans="1:135" x14ac:dyDescent="0.4">
      <c r="A100" s="225" t="s">
        <v>97</v>
      </c>
      <c r="B100" s="226"/>
      <c r="C100" s="226"/>
      <c r="D100" s="227"/>
      <c r="E100" s="227"/>
      <c r="F100" s="227"/>
      <c r="G100" s="227"/>
      <c r="H100" s="227"/>
      <c r="I100" s="227"/>
      <c r="J100" s="227"/>
      <c r="K100" s="227"/>
      <c r="L100" s="227"/>
      <c r="M100" s="227"/>
      <c r="N100" s="228"/>
      <c r="O100" s="228"/>
      <c r="P100" s="228"/>
      <c r="Q100" s="228"/>
      <c r="R100" s="228"/>
      <c r="S100" s="228"/>
      <c r="T100" s="228"/>
      <c r="U100" s="228"/>
      <c r="V100" s="228"/>
      <c r="W100" s="228"/>
      <c r="X100" s="228"/>
      <c r="Y100" s="228"/>
      <c r="Z100" s="228"/>
      <c r="AA100" s="228"/>
      <c r="AB100" s="228"/>
      <c r="AC100" s="228"/>
      <c r="AD100" s="228"/>
      <c r="AE100" s="228"/>
      <c r="AF100" s="228"/>
      <c r="AG100" s="228"/>
      <c r="AH100" s="228"/>
      <c r="AI100" s="228"/>
      <c r="AJ100" s="228"/>
      <c r="AK100" s="228"/>
      <c r="AL100" s="228"/>
      <c r="AM100" s="228"/>
      <c r="AN100" s="228"/>
      <c r="DW100" s="229"/>
      <c r="EA100" s="230"/>
      <c r="EB100" s="230"/>
      <c r="EC100" s="230"/>
      <c r="ED100" s="230"/>
      <c r="EE100" s="230"/>
    </row>
    <row r="101" spans="1:135" x14ac:dyDescent="0.4">
      <c r="C101" s="50"/>
      <c r="D101" s="14"/>
      <c r="E101" s="14"/>
      <c r="F101" s="14"/>
      <c r="G101" s="14"/>
      <c r="H101" s="14"/>
      <c r="I101" s="14"/>
      <c r="J101" s="14"/>
      <c r="K101" s="14"/>
      <c r="L101" s="14"/>
      <c r="M101" s="14"/>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DW101" s="54"/>
      <c r="EA101" s="55"/>
      <c r="EB101" s="55"/>
      <c r="EC101" s="55"/>
      <c r="ED101" s="55"/>
      <c r="EE101" s="55"/>
    </row>
    <row r="102" spans="1:135" x14ac:dyDescent="0.4">
      <c r="A102" s="231" t="s">
        <v>98</v>
      </c>
      <c r="B102" s="690"/>
      <c r="C102" s="690"/>
      <c r="D102" s="690"/>
      <c r="E102" s="690"/>
      <c r="F102" s="690"/>
      <c r="G102" s="690"/>
      <c r="H102" s="690"/>
      <c r="I102" s="690"/>
      <c r="J102" s="690"/>
      <c r="K102" s="690"/>
      <c r="L102" s="690"/>
      <c r="M102" s="25"/>
      <c r="N102" s="29"/>
      <c r="O102" s="29"/>
      <c r="P102" s="29"/>
      <c r="Q102" s="29"/>
      <c r="R102" s="29"/>
      <c r="S102" s="29"/>
      <c r="T102" s="29"/>
      <c r="U102" s="29"/>
      <c r="V102" s="29"/>
      <c r="W102" s="691"/>
      <c r="X102" s="691"/>
      <c r="Y102" s="691"/>
      <c r="Z102" s="89"/>
      <c r="AA102" s="89"/>
      <c r="AB102" s="232" t="s">
        <v>98</v>
      </c>
      <c r="AC102" s="89"/>
      <c r="AD102" s="89"/>
      <c r="AE102" s="89"/>
      <c r="AF102" s="89"/>
      <c r="AG102" s="89"/>
      <c r="AH102" s="89"/>
      <c r="AI102" s="89"/>
      <c r="AJ102" s="89"/>
      <c r="AK102" s="89"/>
      <c r="AL102" s="89"/>
      <c r="AM102" s="231" t="s">
        <v>98</v>
      </c>
      <c r="AN102" s="89"/>
      <c r="AZ102" s="231" t="s">
        <v>98</v>
      </c>
      <c r="BJ102" s="231" t="s">
        <v>98</v>
      </c>
      <c r="BR102" s="231" t="s">
        <v>98</v>
      </c>
      <c r="BY102" s="231" t="s">
        <v>98</v>
      </c>
      <c r="CG102" s="231" t="s">
        <v>98</v>
      </c>
      <c r="CP102" s="231" t="s">
        <v>98</v>
      </c>
      <c r="DV102" s="231" t="s">
        <v>98</v>
      </c>
      <c r="DW102" s="54"/>
      <c r="EA102" s="55"/>
      <c r="EB102" s="55"/>
      <c r="EC102" s="55"/>
      <c r="ED102" s="55"/>
      <c r="EE102" s="55"/>
    </row>
    <row r="103" spans="1:135" ht="12.6" thickBot="1" x14ac:dyDescent="0.45">
      <c r="A103" s="233"/>
      <c r="B103" s="679"/>
      <c r="C103" s="679"/>
      <c r="D103" s="113"/>
      <c r="E103" s="113"/>
      <c r="F103" s="113"/>
      <c r="G103" s="113"/>
      <c r="H103" s="113"/>
      <c r="I103" s="113"/>
      <c r="J103" s="113"/>
      <c r="K103" s="113"/>
      <c r="L103" s="113"/>
      <c r="M103" s="113"/>
      <c r="N103" s="114"/>
      <c r="O103" s="114"/>
      <c r="P103" s="114"/>
      <c r="Q103" s="114"/>
      <c r="R103" s="114"/>
      <c r="S103" s="114"/>
      <c r="T103" s="114"/>
      <c r="U103" s="114"/>
      <c r="V103" s="114"/>
      <c r="W103" s="114"/>
      <c r="X103" s="114"/>
      <c r="Y103" s="114"/>
      <c r="Z103" s="114"/>
      <c r="AA103" s="114"/>
      <c r="AB103" s="114"/>
      <c r="AC103" s="114"/>
      <c r="AD103" s="114"/>
      <c r="AE103" s="114"/>
      <c r="AF103" s="114"/>
      <c r="AG103" s="114"/>
      <c r="AH103" s="114"/>
      <c r="AI103" s="114"/>
      <c r="AJ103" s="114"/>
      <c r="AK103" s="114"/>
      <c r="AL103" s="114"/>
      <c r="AM103" s="114"/>
      <c r="CZ103" s="116"/>
      <c r="DA103" s="116"/>
      <c r="DB103" s="116"/>
      <c r="DC103" s="116"/>
      <c r="DD103" s="116"/>
      <c r="DE103" s="116"/>
      <c r="DF103" s="116"/>
      <c r="DG103" s="116"/>
      <c r="DH103" s="116"/>
      <c r="DI103" s="117" t="str">
        <f>"DJ"&amp;MIN(DK106:DK154)</f>
        <v>DJ0</v>
      </c>
      <c r="DJ103" s="118" t="str">
        <f>"DJ"&amp;MAX(DK106:DK154)</f>
        <v>DJ0</v>
      </c>
      <c r="DK103" s="116"/>
      <c r="DL103" s="117" t="str">
        <f>"DM"&amp;MIN(DN106:DN154)</f>
        <v>DM0</v>
      </c>
      <c r="DM103" s="118" t="str">
        <f>"DM"&amp;MAX(DN106:DN154)</f>
        <v>DM0</v>
      </c>
      <c r="DN103" s="116"/>
      <c r="DO103" s="117" t="str">
        <f>"DP"&amp;MIN(DQ106:DQ154)</f>
        <v>DP0</v>
      </c>
      <c r="DP103" s="118" t="str">
        <f>"DP"&amp;MAX(DQ106:DQ154)</f>
        <v>DP0</v>
      </c>
      <c r="DQ103" s="116"/>
      <c r="DW103" s="119"/>
      <c r="EA103" s="33"/>
      <c r="EB103" s="33"/>
      <c r="EC103" s="33"/>
      <c r="ED103" s="33"/>
      <c r="EE103" s="33"/>
    </row>
    <row r="104" spans="1:135" ht="24.9" thickBot="1" x14ac:dyDescent="0.5">
      <c r="A104" s="676" t="s">
        <v>65</v>
      </c>
      <c r="C104" s="680" t="str">
        <f>A122</f>
        <v>Base Cases</v>
      </c>
      <c r="D104" s="681"/>
      <c r="E104" s="682"/>
      <c r="F104" s="683" t="str">
        <f>A123</f>
        <v>Conservative Cases</v>
      </c>
      <c r="G104" s="684"/>
      <c r="H104" s="685"/>
      <c r="I104" s="686" t="str">
        <f>A124</f>
        <v>Ambitious Cases</v>
      </c>
      <c r="J104" s="687"/>
      <c r="K104" s="688"/>
      <c r="L104" s="692" t="str">
        <f>A125</f>
        <v>Maximum Cases</v>
      </c>
      <c r="M104" s="693"/>
      <c r="O104" s="122"/>
      <c r="P104" s="122"/>
      <c r="Q104" s="122"/>
      <c r="W104" s="691" t="s">
        <v>66</v>
      </c>
      <c r="X104" s="691"/>
      <c r="Y104" s="691"/>
      <c r="Z104" s="120"/>
      <c r="AA104" s="1274" t="s">
        <v>1061</v>
      </c>
      <c r="AB104" s="1274"/>
      <c r="AC104" s="1274"/>
      <c r="AD104" s="120"/>
      <c r="AE104" s="120"/>
      <c r="AF104" s="120"/>
      <c r="AG104" s="120"/>
      <c r="AH104" s="120"/>
      <c r="AI104" s="120"/>
      <c r="AJ104" s="120"/>
      <c r="AK104" s="120"/>
      <c r="AL104" s="120"/>
      <c r="AM104" s="120"/>
      <c r="AN104" s="120"/>
      <c r="BR104" s="121" t="s">
        <v>67</v>
      </c>
      <c r="BS104" s="121"/>
      <c r="BT104" s="121"/>
      <c r="BU104" s="121"/>
      <c r="BV104" s="121"/>
      <c r="BW104" s="122"/>
      <c r="BY104" s="121" t="s">
        <v>68</v>
      </c>
      <c r="BZ104" s="121"/>
      <c r="CA104" s="121"/>
      <c r="CB104" s="121"/>
      <c r="CC104" s="121"/>
      <c r="CD104" s="121"/>
      <c r="CG104" s="121" t="s">
        <v>69</v>
      </c>
      <c r="CH104" s="121"/>
      <c r="CI104" s="121"/>
      <c r="CJ104" s="121"/>
      <c r="CK104" s="121"/>
      <c r="CL104" s="121"/>
      <c r="CM104" s="121"/>
      <c r="CP104" s="121" t="s">
        <v>70</v>
      </c>
      <c r="CQ104" s="121"/>
      <c r="CR104" s="121"/>
      <c r="CS104" s="121"/>
      <c r="CT104" s="121"/>
      <c r="CU104" s="121"/>
      <c r="CZ104" s="123"/>
      <c r="DA104" s="123"/>
      <c r="DB104" s="123"/>
      <c r="DC104" s="123"/>
      <c r="DD104" s="123"/>
      <c r="DE104" s="123"/>
      <c r="DF104" s="123"/>
      <c r="DG104" s="123"/>
      <c r="DH104" s="123"/>
      <c r="DI104" s="124" t="str">
        <f>"DI"&amp;MIN(DK106:DK154)</f>
        <v>DI0</v>
      </c>
      <c r="DJ104" s="125" t="str">
        <f>"DI"&amp;MAX(DK106:DK154)</f>
        <v>DI0</v>
      </c>
      <c r="DK104" s="123"/>
      <c r="DL104" s="124" t="str">
        <f>"DL"&amp;MIN(DN106:DN154)</f>
        <v>DL0</v>
      </c>
      <c r="DM104" s="125" t="str">
        <f>"DL"&amp;MAX(DN106:DN154)</f>
        <v>DL0</v>
      </c>
      <c r="DN104" s="123"/>
      <c r="DO104" s="124" t="str">
        <f>"DO"&amp;MIN(DQ106:DQ154)</f>
        <v>DO0</v>
      </c>
      <c r="DP104" s="125" t="str">
        <f>"DO"&amp;MAX(DQ106:DQ154)</f>
        <v>DO0</v>
      </c>
      <c r="DQ104" s="123"/>
      <c r="DV104" s="126" t="s">
        <v>71</v>
      </c>
      <c r="DZ104" s="127" t="s">
        <v>72</v>
      </c>
      <c r="EA104" s="33" t="str">
        <f>$L$17</f>
        <v>3rd Poly</v>
      </c>
    </row>
    <row r="105" spans="1:135" ht="86.4" thickBot="1" x14ac:dyDescent="0.5">
      <c r="A105" s="676" t="s">
        <v>73</v>
      </c>
      <c r="B105" s="128"/>
      <c r="C105" s="988" t="str">
        <f>A106</f>
        <v>Based on World Bank, What a Waste 2.0</v>
      </c>
      <c r="D105" s="1118" t="str">
        <f>A107</f>
        <v>Based on Hoornweg et al (2014)</v>
      </c>
      <c r="E105" s="997" t="str">
        <f>A108</f>
        <v>[Source 3]</v>
      </c>
      <c r="F105" s="129" t="str">
        <f>A109</f>
        <v>[Source 1]</v>
      </c>
      <c r="G105" s="130" t="str">
        <f>A110</f>
        <v>[Source 2]</v>
      </c>
      <c r="H105" s="131" t="str">
        <f>A111</f>
        <v>[Source 3]</v>
      </c>
      <c r="I105" s="1119" t="str">
        <f>A112</f>
        <v>Based on  IEA Annex I – Municipal solid waste potential in cities; Table I.1</v>
      </c>
      <c r="J105" s="130" t="str">
        <f>A113</f>
        <v>[Source 2]</v>
      </c>
      <c r="K105" s="131" t="str">
        <f>A114</f>
        <v>[Source 3]</v>
      </c>
      <c r="L105" s="129" t="str">
        <f>A115</f>
        <v>[Source 1]</v>
      </c>
      <c r="M105" s="131" t="str">
        <f>A116</f>
        <v>[Source 2]</v>
      </c>
      <c r="N105" s="234" t="s">
        <v>74</v>
      </c>
      <c r="O105" s="133"/>
      <c r="P105" s="133"/>
      <c r="Q105" s="133"/>
      <c r="R105" s="135" t="s">
        <v>76</v>
      </c>
      <c r="S105" s="134" t="s">
        <v>77</v>
      </c>
      <c r="T105" s="134" t="s">
        <v>78</v>
      </c>
      <c r="U105" s="136" t="s">
        <v>79</v>
      </c>
      <c r="V105" s="691"/>
      <c r="W105" s="136" t="s">
        <v>15</v>
      </c>
      <c r="X105" s="134" t="s">
        <v>21</v>
      </c>
      <c r="Y105" s="136" t="s">
        <v>25</v>
      </c>
      <c r="AA105" s="136" t="s">
        <v>15</v>
      </c>
      <c r="AB105" s="134" t="s">
        <v>21</v>
      </c>
      <c r="AC105" s="136" t="s">
        <v>25</v>
      </c>
      <c r="AD105" s="138"/>
      <c r="AE105" s="138"/>
      <c r="AF105" s="138"/>
      <c r="AG105" s="138"/>
      <c r="AH105" s="138"/>
      <c r="AI105" s="138"/>
      <c r="AJ105" s="138"/>
      <c r="AK105" s="138"/>
      <c r="AL105" s="138"/>
      <c r="AM105" s="138"/>
      <c r="AN105" s="138"/>
      <c r="BR105" s="139"/>
      <c r="BS105" s="139"/>
      <c r="BT105" s="139"/>
      <c r="BU105" s="139"/>
      <c r="BV105" s="139"/>
      <c r="BW105" s="122"/>
      <c r="BZ105" s="139"/>
      <c r="CA105" s="139"/>
      <c r="CB105" s="139"/>
      <c r="CC105" s="139"/>
      <c r="CD105" s="139"/>
      <c r="CH105" s="139"/>
      <c r="CI105" s="139"/>
      <c r="CJ105" s="139"/>
      <c r="CK105" s="139"/>
      <c r="CL105" s="139"/>
      <c r="CM105" s="139"/>
      <c r="CQ105" s="139"/>
      <c r="CR105" s="139"/>
      <c r="CS105" s="139"/>
      <c r="CT105" s="139"/>
      <c r="CU105" s="139"/>
      <c r="CZ105" s="140"/>
      <c r="DA105" s="140"/>
      <c r="DB105" s="140"/>
      <c r="DC105" s="140"/>
      <c r="DD105" s="141"/>
      <c r="DE105" s="141"/>
      <c r="DF105" s="141"/>
      <c r="DG105" s="141"/>
      <c r="DH105" s="140"/>
      <c r="DI105" s="142"/>
      <c r="DJ105" s="143"/>
      <c r="DK105" s="144"/>
      <c r="DL105" s="142"/>
      <c r="DM105" s="143"/>
      <c r="DN105" s="140"/>
      <c r="DO105" s="142"/>
      <c r="DP105" s="143"/>
      <c r="DQ105" s="140"/>
      <c r="DV105" s="145">
        <v>2014</v>
      </c>
      <c r="DW105" s="235" t="e">
        <f t="shared" ref="DW105:DW151" ca="1" si="37">IF($J$17="N","",IF($L$17="Linear",BV110,IF($L$17="2nd Poly",CD110,IF($L$17="3rd Poly",CM110,IF($L$17="Exp",CT110)))))</f>
        <v>#REF!</v>
      </c>
      <c r="EA105" s="33" t="str">
        <f>$M$17</f>
        <v>Medium</v>
      </c>
      <c r="EB105" s="33"/>
      <c r="EC105" s="33"/>
      <c r="ED105" s="33"/>
      <c r="EE105" s="33"/>
    </row>
    <row r="106" spans="1:135" ht="14.1" thickBot="1" x14ac:dyDescent="0.5">
      <c r="A106" s="948" t="s">
        <v>1032</v>
      </c>
      <c r="B106" s="128">
        <v>2012</v>
      </c>
      <c r="C106" s="998"/>
      <c r="D106" s="998"/>
      <c r="E106" s="1022"/>
      <c r="F106" s="939"/>
      <c r="G106" s="237"/>
      <c r="H106" s="236"/>
      <c r="I106" s="1137"/>
      <c r="J106" s="237"/>
      <c r="K106" s="236"/>
      <c r="L106" s="190"/>
      <c r="M106" s="236"/>
      <c r="N106" s="29" t="s">
        <v>119</v>
      </c>
      <c r="O106" s="120"/>
      <c r="P106" s="120"/>
      <c r="Q106" s="120"/>
      <c r="R106" s="29">
        <v>-2</v>
      </c>
      <c r="S106" s="238" t="str">
        <f t="shared" ref="S106:S137" si="38">IF(MIN(C106:Q106)=0,"",MIN(C106:Q106))</f>
        <v/>
      </c>
      <c r="T106" s="238" t="str">
        <f t="shared" ref="T106:T137" si="39">IF(MAX(C106:Q106)=0,"",MAX(C106:Q106))</f>
        <v/>
      </c>
      <c r="U106" s="238" t="str">
        <f t="shared" ref="U106:U137" si="40">IF(T106="","",_xlfn.STDEV.P(C106:Q106))</f>
        <v/>
      </c>
      <c r="V106" s="29"/>
      <c r="W106" s="238" t="e">
        <f t="shared" ref="W106:W154" si="41">IF(U106="",#N/A,X106-(U106*$Q$17))</f>
        <v>#N/A</v>
      </c>
      <c r="X106" s="238" t="e">
        <f t="shared" ref="X106:X137" si="42">IF(U106="",#N/A,(SUM(C106:Q106)/COUNTIFS(C106:Q106,"&gt;0")))</f>
        <v>#N/A</v>
      </c>
      <c r="Y106" s="238" t="e">
        <f t="shared" ref="Y106:Y154" si="43">IF(U106="",#N/A,X106+(U106*$Q$16))</f>
        <v>#N/A</v>
      </c>
      <c r="AA106" s="1133">
        <v>520.99406392694073</v>
      </c>
      <c r="AB106" s="1133">
        <v>520.99406392694073</v>
      </c>
      <c r="AC106" s="1133">
        <v>520.99406392694073</v>
      </c>
      <c r="AD106" s="138"/>
      <c r="AE106" s="138"/>
      <c r="AF106" s="138"/>
      <c r="AG106" s="138"/>
      <c r="AH106" s="138"/>
      <c r="AI106" s="138"/>
      <c r="AJ106" s="138"/>
      <c r="AK106" s="138"/>
      <c r="AL106" s="138"/>
      <c r="AM106" s="138"/>
      <c r="AN106" s="138"/>
      <c r="BR106" s="691"/>
      <c r="BS106" s="65" t="str">
        <f>M17</f>
        <v>Medium</v>
      </c>
      <c r="BT106" s="691" t="s">
        <v>82</v>
      </c>
      <c r="BU106" s="691" t="s">
        <v>83</v>
      </c>
      <c r="BW106" s="133"/>
      <c r="BY106" s="691"/>
      <c r="BZ106" s="65" t="str">
        <f>$M$17</f>
        <v>Medium</v>
      </c>
      <c r="CA106" s="691" t="s">
        <v>84</v>
      </c>
      <c r="CB106" s="691" t="s">
        <v>82</v>
      </c>
      <c r="CC106" s="691" t="s">
        <v>83</v>
      </c>
      <c r="CG106" s="691"/>
      <c r="CH106" s="65" t="str">
        <f>$M$17</f>
        <v>Medium</v>
      </c>
      <c r="CI106" s="691" t="s">
        <v>85</v>
      </c>
      <c r="CJ106" s="691" t="s">
        <v>84</v>
      </c>
      <c r="CK106" s="691" t="s">
        <v>82</v>
      </c>
      <c r="CL106" s="691" t="s">
        <v>83</v>
      </c>
      <c r="CP106" s="691"/>
      <c r="CQ106" s="65" t="str">
        <f>$M$17</f>
        <v>Medium</v>
      </c>
      <c r="CR106" s="691" t="s">
        <v>86</v>
      </c>
      <c r="CS106" s="691" t="s">
        <v>87</v>
      </c>
      <c r="CZ106" s="155" t="b">
        <f t="shared" ref="CZ106:DB145" si="44">ISNUMBER(W106)</f>
        <v>0</v>
      </c>
      <c r="DA106" s="156" t="b">
        <f t="shared" si="44"/>
        <v>0</v>
      </c>
      <c r="DB106" s="157" t="b">
        <f t="shared" si="44"/>
        <v>0</v>
      </c>
      <c r="DC106" s="155" t="str">
        <f>IF(CZ106=TRUE,$R106,"")</f>
        <v/>
      </c>
      <c r="DD106" s="157" t="str">
        <f t="shared" ref="DD106:DD154" si="45">IF(CZ106=TRUE,W106,"")</f>
        <v/>
      </c>
      <c r="DE106" s="155" t="str">
        <f t="shared" ref="DE106:DE154" si="46">IF(DA106=TRUE,$R106,"")</f>
        <v/>
      </c>
      <c r="DF106" s="157" t="str">
        <f t="shared" ref="DF106:DF154" si="47">IF(DA106=TRUE,X106,"")</f>
        <v/>
      </c>
      <c r="DG106" s="155" t="str">
        <f t="shared" ref="DG106:DG154" si="48">IF(DB106=TRUE,$R106,"")</f>
        <v/>
      </c>
      <c r="DH106" s="157" t="str">
        <f t="shared" ref="DH106:DH154" si="49">IF(DB106=TRUE,Y106,"")</f>
        <v/>
      </c>
      <c r="DI106" s="155" t="str">
        <f>IFERROR(INDEX(DC$106:DC$154,_xlfn.AGGREGATE(15,6,(ROW(DC$106:DC$154)-ROW(DC$106)+1)/(DC$106:DC$154&lt;&gt;""),ROWS(DI$1:DI1))),"")</f>
        <v/>
      </c>
      <c r="DJ106" s="156" t="str">
        <f>IFERROR(INDEX(DD$106:DD$154,_xlfn.AGGREGATE(15,6,(ROW(DD$106:DD$154)-ROW(DD$106)+1)/(DD$106:DD$154&lt;&gt;""),ROWS(DJ$1:DJ1))),"")</f>
        <v/>
      </c>
      <c r="DK106" s="157" t="str">
        <f t="shared" ref="DK106:DK154" si="50">IF(ISNUMBER(DI106),ROW(DI106),"")</f>
        <v/>
      </c>
      <c r="DL106" s="155" t="str">
        <f>IFERROR(INDEX(DE$106:DE$154,_xlfn.AGGREGATE(15,6,(ROW(DE$106:DE$154)-ROW(DE$106)+1)/(DE$106:DE$154&lt;&gt;""),ROWS(DL$1:DL1))),"")</f>
        <v/>
      </c>
      <c r="DM106" s="156" t="str">
        <f>IFERROR(INDEX(DF$106:DF$154,_xlfn.AGGREGATE(15,6,(ROW(DF$106:DF$154)-ROW(DF$106)+1)/(DF$106:DF$154&lt;&gt;""),ROWS(DM$1:DM1))),"")</f>
        <v/>
      </c>
      <c r="DN106" s="157" t="str">
        <f t="shared" ref="DN106:DN154" si="51">IF(ISNUMBER(DI106),ROW(DI106),"")</f>
        <v/>
      </c>
      <c r="DO106" s="155" t="str">
        <f>IFERROR(INDEX(DG$106:DG$154,_xlfn.AGGREGATE(15,6,(ROW(DG$106:DG$154)-ROW(DG$106)+1)/(DG$106:DG$154&lt;&gt;""),ROWS(DO$1:DO1))),"")</f>
        <v/>
      </c>
      <c r="DP106" s="156" t="str">
        <f>IFERROR(INDEX(DH$106:DH$154,_xlfn.AGGREGATE(15,6,(ROW(DH$106:DH$154)-ROW(DH$106)+1)/(DH$106:DH$154&lt;&gt;""),ROWS(DP$1:DP1))),"")</f>
        <v/>
      </c>
      <c r="DQ106" s="157" t="str">
        <f t="shared" ref="DQ106:DQ154" si="52">IF(ISNUMBER(DL106),ROW(DL106),"")</f>
        <v/>
      </c>
      <c r="DV106" s="145">
        <v>2015</v>
      </c>
      <c r="DW106" s="235" t="e">
        <f t="shared" ca="1" si="37"/>
        <v>#REF!</v>
      </c>
      <c r="EA106" s="33"/>
      <c r="EB106" s="33"/>
      <c r="EC106" s="33"/>
      <c r="ED106" s="33"/>
      <c r="EE106" s="33"/>
    </row>
    <row r="107" spans="1:135" ht="13.8" x14ac:dyDescent="0.45">
      <c r="A107" s="948" t="s">
        <v>1037</v>
      </c>
      <c r="B107" s="128">
        <v>2013</v>
      </c>
      <c r="C107" s="1001"/>
      <c r="D107" s="1001"/>
      <c r="E107" s="1017"/>
      <c r="F107" s="939"/>
      <c r="G107" s="188"/>
      <c r="H107" s="236"/>
      <c r="I107" s="1001"/>
      <c r="J107" s="188"/>
      <c r="K107" s="236"/>
      <c r="L107" s="240"/>
      <c r="M107" s="236"/>
      <c r="N107" s="29" t="s">
        <v>119</v>
      </c>
      <c r="O107" s="120"/>
      <c r="P107" s="120"/>
      <c r="Q107" s="120"/>
      <c r="R107" s="29">
        <v>-1</v>
      </c>
      <c r="S107" s="238" t="str">
        <f t="shared" si="38"/>
        <v/>
      </c>
      <c r="T107" s="238" t="str">
        <f t="shared" si="39"/>
        <v/>
      </c>
      <c r="U107" s="238" t="str">
        <f t="shared" si="40"/>
        <v/>
      </c>
      <c r="V107" s="29"/>
      <c r="W107" s="238" t="e">
        <f t="shared" si="41"/>
        <v>#N/A</v>
      </c>
      <c r="X107" s="238" t="e">
        <f t="shared" si="42"/>
        <v>#N/A</v>
      </c>
      <c r="Y107" s="238" t="e">
        <f t="shared" si="43"/>
        <v>#N/A</v>
      </c>
      <c r="AA107" s="1133">
        <v>526.167694063927</v>
      </c>
      <c r="AB107" s="1133">
        <v>526.167694063927</v>
      </c>
      <c r="AC107" s="1133">
        <v>526.167694063927</v>
      </c>
      <c r="AD107" s="138"/>
      <c r="AE107" s="138"/>
      <c r="AF107" s="138"/>
      <c r="AG107" s="138"/>
      <c r="AH107" s="138"/>
      <c r="AI107" s="138"/>
      <c r="AJ107" s="138"/>
      <c r="AK107" s="138"/>
      <c r="AL107" s="138"/>
      <c r="AM107" s="138"/>
      <c r="AN107" s="138"/>
      <c r="BS107" s="160" t="s">
        <v>25</v>
      </c>
      <c r="BT107" s="161" t="e">
        <f>SLOPE((DH106:DH154),($B$46:$B$94))</f>
        <v>#DIV/0!</v>
      </c>
      <c r="BU107" s="162" t="e">
        <f>INTERCEPT(DP106:DP154,DO106:DO154)</f>
        <v>#DIV/0!</v>
      </c>
      <c r="BW107" s="133"/>
      <c r="BZ107" s="160" t="s">
        <v>25</v>
      </c>
      <c r="CA107" s="161" t="e">
        <f ca="1">INDEX(LINEST((INDIRECT(DO103):INDIRECT(DP103)),(INDIRECT(DO104):INDIRECT(DP104))^{1,2}),1)</f>
        <v>#REF!</v>
      </c>
      <c r="CB107" s="163" t="e">
        <f ca="1">INDEX(LINEST((INDIRECT(DO103):INDIRECT(DP103)),(INDIRECT(DO104):INDIRECT(DP104))^{1,2}),1,2)</f>
        <v>#REF!</v>
      </c>
      <c r="CC107" s="162" t="e">
        <f ca="1">INDEX(LINEST((INDIRECT(DO103):INDIRECT(DP103)),(INDIRECT(DO104):INDIRECT(DP104))^{1,2}),1,3)</f>
        <v>#REF!</v>
      </c>
      <c r="CH107" s="160" t="s">
        <v>25</v>
      </c>
      <c r="CI107" s="161" t="e">
        <f ca="1">INDEX(LINEST((INDIRECT(DO103):INDIRECT(DP103)),(INDIRECT(DO104):INDIRECT(DP104))^{1,2,3}),1)</f>
        <v>#REF!</v>
      </c>
      <c r="CJ107" s="163" t="e">
        <f ca="1">INDEX(LINEST((INDIRECT(DO103):INDIRECT(DP103)),(INDIRECT(DO104):INDIRECT(DP104))^{1,2,3}),1,2)</f>
        <v>#REF!</v>
      </c>
      <c r="CK107" s="163" t="e">
        <f ca="1">INDEX(LINEST((INDIRECT(DO103):INDIRECT(DP103)),(INDIRECT(DO104):INDIRECT(DP104))^{1,2,3}),1,3)</f>
        <v>#REF!</v>
      </c>
      <c r="CL107" s="162" t="e">
        <f ca="1">INDEX(LINEST((INDIRECT(DO103):INDIRECT(DP103)),(INDIRECT(DO104):INDIRECT(DP104))^{1,2,3}),1,4)</f>
        <v>#REF!</v>
      </c>
      <c r="CQ107" s="160" t="s">
        <v>25</v>
      </c>
      <c r="CR107" s="161" t="e">
        <f ca="1">EXP(INDEX(LINEST(LN(INDIRECT(DO103):INDIRECT(DP103)),(INDIRECT(DO104):INDIRECT(DP104))),1,2))</f>
        <v>#REF!</v>
      </c>
      <c r="CS107" s="162" t="e">
        <f ca="1">INDEX(LINEST(LN(INDIRECT(DO103):INDIRECT(DP103)),(INDIRECT(DO104):INDIRECT(DP104))),1)</f>
        <v>#REF!</v>
      </c>
      <c r="CZ107" s="164" t="b">
        <f t="shared" si="44"/>
        <v>0</v>
      </c>
      <c r="DA107" s="165" t="b">
        <f t="shared" si="44"/>
        <v>0</v>
      </c>
      <c r="DB107" s="166" t="b">
        <f t="shared" si="44"/>
        <v>0</v>
      </c>
      <c r="DC107" s="164" t="str">
        <f t="shared" ref="DC107:DC154" si="53">IF(CZ107=TRUE,R107,"")</f>
        <v/>
      </c>
      <c r="DD107" s="166" t="str">
        <f t="shared" si="45"/>
        <v/>
      </c>
      <c r="DE107" s="164" t="str">
        <f t="shared" si="46"/>
        <v/>
      </c>
      <c r="DF107" s="166" t="str">
        <f t="shared" si="47"/>
        <v/>
      </c>
      <c r="DG107" s="164" t="str">
        <f t="shared" si="48"/>
        <v/>
      </c>
      <c r="DH107" s="166" t="str">
        <f t="shared" si="49"/>
        <v/>
      </c>
      <c r="DI107" s="164" t="str">
        <f>IFERROR(INDEX(DC$106:DC$154,_xlfn.AGGREGATE(15,6,(ROW(DC$106:DC$154)-ROW(DC$106)+1)/(DC$106:DC$154&lt;&gt;""),ROWS(DI$1:DI2))),"")</f>
        <v/>
      </c>
      <c r="DJ107" s="165" t="str">
        <f>IFERROR(INDEX(DD$106:DD$154,_xlfn.AGGREGATE(15,6,(ROW(DD$106:DD$154)-ROW(DD$106)+1)/(DD$106:DD$154&lt;&gt;""),ROWS(DJ$1:DJ2))),"")</f>
        <v/>
      </c>
      <c r="DK107" s="166" t="str">
        <f t="shared" si="50"/>
        <v/>
      </c>
      <c r="DL107" s="164" t="str">
        <f>IFERROR(INDEX(DE$106:DE$154,_xlfn.AGGREGATE(15,6,(ROW(DE$106:DE$154)-ROW(DE$106)+1)/(DE$106:DE$154&lt;&gt;""),ROWS(DL$1:DL2))),"")</f>
        <v/>
      </c>
      <c r="DM107" s="165" t="str">
        <f>IFERROR(INDEX(DF$106:DF$154,_xlfn.AGGREGATE(15,6,(ROW(DF$106:DF$154)-ROW(DF$106)+1)/(DF$106:DF$154&lt;&gt;""),ROWS(DM$1:DM2))),"")</f>
        <v/>
      </c>
      <c r="DN107" s="166" t="str">
        <f t="shared" si="51"/>
        <v/>
      </c>
      <c r="DO107" s="164" t="str">
        <f>IFERROR(INDEX(DG$106:DG$154,_xlfn.AGGREGATE(15,6,(ROW(DG$106:DG$154)-ROW(DG$106)+1)/(DG$106:DG$154&lt;&gt;""),ROWS(DO$1:DO2))),"")</f>
        <v/>
      </c>
      <c r="DP107" s="165" t="str">
        <f>IFERROR(INDEX(DH$106:DH$154,_xlfn.AGGREGATE(15,6,(ROW(DH$106:DH$154)-ROW(DH$106)+1)/(DH$106:DH$154&lt;&gt;""),ROWS(DP$1:DP2))),"")</f>
        <v/>
      </c>
      <c r="DQ107" s="166" t="str">
        <f t="shared" si="52"/>
        <v/>
      </c>
      <c r="DV107" s="145">
        <v>2016</v>
      </c>
      <c r="DW107" s="235" t="e">
        <f t="shared" ca="1" si="37"/>
        <v>#REF!</v>
      </c>
      <c r="EA107" s="33"/>
      <c r="EB107" s="33"/>
      <c r="EC107" s="33"/>
      <c r="ED107" s="33"/>
      <c r="EE107" s="33"/>
    </row>
    <row r="108" spans="1:135" ht="13.8" x14ac:dyDescent="0.45">
      <c r="A108" s="948" t="s">
        <v>90</v>
      </c>
      <c r="B108" s="128">
        <v>2014</v>
      </c>
      <c r="C108" s="1001"/>
      <c r="D108" s="1001"/>
      <c r="E108" s="930"/>
      <c r="F108" s="931"/>
      <c r="G108" s="168"/>
      <c r="H108" s="169"/>
      <c r="I108" s="1001"/>
      <c r="J108" s="168"/>
      <c r="K108" s="169"/>
      <c r="L108" s="170"/>
      <c r="M108" s="169"/>
      <c r="N108" s="29" t="s">
        <v>119</v>
      </c>
      <c r="O108" s="120"/>
      <c r="P108" s="120"/>
      <c r="Q108" s="120"/>
      <c r="R108" s="29">
        <v>0</v>
      </c>
      <c r="S108" s="154" t="str">
        <f t="shared" si="38"/>
        <v/>
      </c>
      <c r="T108" s="154" t="str">
        <f t="shared" si="39"/>
        <v/>
      </c>
      <c r="U108" s="154" t="str">
        <f t="shared" si="40"/>
        <v/>
      </c>
      <c r="V108" s="29"/>
      <c r="W108" s="154" t="e">
        <f t="shared" si="41"/>
        <v>#N/A</v>
      </c>
      <c r="X108" s="154" t="e">
        <f t="shared" si="42"/>
        <v>#N/A</v>
      </c>
      <c r="Y108" s="154" t="e">
        <f t="shared" si="43"/>
        <v>#N/A</v>
      </c>
      <c r="AA108" s="1133">
        <v>531.34132420091328</v>
      </c>
      <c r="AB108" s="1133">
        <v>531.34132420091328</v>
      </c>
      <c r="AC108" s="1133">
        <v>531.34132420091328</v>
      </c>
      <c r="AD108" s="138"/>
      <c r="AE108" s="138"/>
      <c r="AF108" s="138"/>
      <c r="AG108" s="138"/>
      <c r="AH108" s="138"/>
      <c r="AI108" s="138"/>
      <c r="AJ108" s="138"/>
      <c r="AK108" s="138"/>
      <c r="AL108" s="138"/>
      <c r="AM108" s="138"/>
      <c r="AN108" s="138"/>
      <c r="BS108" s="160" t="s">
        <v>91</v>
      </c>
      <c r="BT108" s="172" t="e">
        <f>SLOPE((DF106:DF154),($B$46:$B$94))</f>
        <v>#DIV/0!</v>
      </c>
      <c r="BU108" s="173" t="e">
        <f>INTERCEPT(DM106:DM154,DL106:DL154)</f>
        <v>#DIV/0!</v>
      </c>
      <c r="BZ108" s="160" t="s">
        <v>91</v>
      </c>
      <c r="CA108" s="172" t="e">
        <f ca="1">INDEX(LINEST((INDIRECT(DL103):INDIRECT(DM103)),(INDIRECT(DL104):INDIRECT(DM104))^{1,2}),1)</f>
        <v>#REF!</v>
      </c>
      <c r="CB108" s="174" t="e">
        <f ca="1">INDEX(LINEST((INDIRECT(DL103):INDIRECT(DM103)),(INDIRECT(DL104):INDIRECT(DM104))^{1,2}),1,2)</f>
        <v>#REF!</v>
      </c>
      <c r="CC108" s="173" t="e">
        <f ca="1">INDEX(LINEST((INDIRECT(DL103):INDIRECT(DM103)),(INDIRECT(DL104):INDIRECT(DM104))^{1,2}),1,3)</f>
        <v>#REF!</v>
      </c>
      <c r="CH108" s="160" t="s">
        <v>91</v>
      </c>
      <c r="CI108" s="172" t="e">
        <f ca="1">INDEX(LINEST((INDIRECT(DL103):INDIRECT(DM103)),(INDIRECT(DL104):INDIRECT(DM104))^{1,2,3}),1)</f>
        <v>#REF!</v>
      </c>
      <c r="CJ108" s="174" t="e">
        <f ca="1">INDEX(LINEST((INDIRECT(DL103):INDIRECT(DM103)),(INDIRECT(DL104):INDIRECT(DM104))^{1,2,3}),1,2)</f>
        <v>#REF!</v>
      </c>
      <c r="CK108" s="174" t="e">
        <f ca="1">INDEX(LINEST((INDIRECT(DL103):INDIRECT(DM103)),(INDIRECT(DL104):INDIRECT(DM104))^{1,2,3}),1,3)</f>
        <v>#REF!</v>
      </c>
      <c r="CL108" s="173" t="e">
        <f ca="1">INDEX(LINEST((INDIRECT(DL103):INDIRECT(DM103)),(INDIRECT(DL104):INDIRECT(DM104))^{1,2,3}),1,4)</f>
        <v>#REF!</v>
      </c>
      <c r="CQ108" s="160" t="s">
        <v>91</v>
      </c>
      <c r="CR108" s="172" t="e">
        <f ca="1">EXP(INDEX(LINEST(LN(INDIRECT(DL103):INDIRECT(DM103)),(INDIRECT(DL104):INDIRECT(DM104))),1,2))</f>
        <v>#REF!</v>
      </c>
      <c r="CS108" s="173" t="e">
        <f ca="1">INDEX(LINEST(LN(INDIRECT(DL103):INDIRECT(DM103)),(INDIRECT(DL104):INDIRECT(DM104))),1)</f>
        <v>#REF!</v>
      </c>
      <c r="CZ108" s="164" t="b">
        <f t="shared" si="44"/>
        <v>0</v>
      </c>
      <c r="DA108" s="165" t="b">
        <f t="shared" si="44"/>
        <v>0</v>
      </c>
      <c r="DB108" s="166" t="b">
        <f t="shared" si="44"/>
        <v>0</v>
      </c>
      <c r="DC108" s="164" t="str">
        <f t="shared" si="53"/>
        <v/>
      </c>
      <c r="DD108" s="166" t="str">
        <f t="shared" si="45"/>
        <v/>
      </c>
      <c r="DE108" s="164" t="str">
        <f t="shared" si="46"/>
        <v/>
      </c>
      <c r="DF108" s="166" t="str">
        <f t="shared" si="47"/>
        <v/>
      </c>
      <c r="DG108" s="164" t="str">
        <f t="shared" si="48"/>
        <v/>
      </c>
      <c r="DH108" s="166" t="str">
        <f t="shared" si="49"/>
        <v/>
      </c>
      <c r="DI108" s="164" t="str">
        <f>IFERROR(INDEX(DC$106:DC$154,_xlfn.AGGREGATE(15,6,(ROW(DC$106:DC$154)-ROW(DC$106)+1)/(DC$106:DC$154&lt;&gt;""),ROWS(DI$1:DI3))),"")</f>
        <v/>
      </c>
      <c r="DJ108" s="165" t="str">
        <f>IFERROR(INDEX(DD$106:DD$154,_xlfn.AGGREGATE(15,6,(ROW(DD$106:DD$154)-ROW(DD$106)+1)/(DD$106:DD$154&lt;&gt;""),ROWS(DJ$1:DJ3))),"")</f>
        <v/>
      </c>
      <c r="DK108" s="166" t="str">
        <f t="shared" si="50"/>
        <v/>
      </c>
      <c r="DL108" s="164" t="str">
        <f>IFERROR(INDEX(DE$106:DE$154,_xlfn.AGGREGATE(15,6,(ROW(DE$106:DE$154)-ROW(DE$106)+1)/(DE$106:DE$154&lt;&gt;""),ROWS(DL$1:DL3))),"")</f>
        <v/>
      </c>
      <c r="DM108" s="165" t="str">
        <f>IFERROR(INDEX(DF$106:DF$154,_xlfn.AGGREGATE(15,6,(ROW(DF$106:DF$154)-ROW(DF$106)+1)/(DF$106:DF$154&lt;&gt;""),ROWS(DM$1:DM3))),"")</f>
        <v/>
      </c>
      <c r="DN108" s="166" t="str">
        <f t="shared" si="51"/>
        <v/>
      </c>
      <c r="DO108" s="164" t="str">
        <f>IFERROR(INDEX(DG$106:DG$154,_xlfn.AGGREGATE(15,6,(ROW(DG$106:DG$154)-ROW(DG$106)+1)/(DG$106:DG$154&lt;&gt;""),ROWS(DO$1:DO3))),"")</f>
        <v/>
      </c>
      <c r="DP108" s="165" t="str">
        <f>IFERROR(INDEX(DH$106:DH$154,_xlfn.AGGREGATE(15,6,(ROW(DH$106:DH$154)-ROW(DH$106)+1)/(DH$106:DH$154&lt;&gt;""),ROWS(DP$1:DP3))),"")</f>
        <v/>
      </c>
      <c r="DQ108" s="166" t="str">
        <f t="shared" si="52"/>
        <v/>
      </c>
      <c r="DV108" s="145">
        <v>2017</v>
      </c>
      <c r="DW108" s="235" t="e">
        <f t="shared" ca="1" si="37"/>
        <v>#REF!</v>
      </c>
      <c r="DZ108" s="65" t="s">
        <v>89</v>
      </c>
      <c r="EA108" s="33"/>
      <c r="EB108" s="33"/>
      <c r="EC108" s="33"/>
      <c r="ED108" s="33"/>
      <c r="EE108" s="33"/>
    </row>
    <row r="109" spans="1:135" ht="14.1" thickBot="1" x14ac:dyDescent="0.5">
      <c r="A109" s="184" t="s">
        <v>80</v>
      </c>
      <c r="B109" s="128">
        <v>2015</v>
      </c>
      <c r="C109" s="1001"/>
      <c r="D109" s="1001"/>
      <c r="E109" s="1017"/>
      <c r="F109" s="894"/>
      <c r="G109" s="159"/>
      <c r="H109" s="151"/>
      <c r="I109" s="1001"/>
      <c r="J109" s="159"/>
      <c r="K109" s="151"/>
      <c r="L109" s="152"/>
      <c r="M109" s="151"/>
      <c r="N109" s="29" t="s">
        <v>119</v>
      </c>
      <c r="O109" s="120"/>
      <c r="P109" s="120"/>
      <c r="Q109" s="120"/>
      <c r="R109" s="29">
        <v>1</v>
      </c>
      <c r="S109" s="154" t="str">
        <f t="shared" si="38"/>
        <v/>
      </c>
      <c r="T109" s="154" t="str">
        <f t="shared" si="39"/>
        <v/>
      </c>
      <c r="U109" s="154" t="str">
        <f t="shared" si="40"/>
        <v/>
      </c>
      <c r="V109" s="29"/>
      <c r="W109" s="154" t="e">
        <f t="shared" si="41"/>
        <v>#N/A</v>
      </c>
      <c r="X109" s="154" t="e">
        <f t="shared" si="42"/>
        <v>#N/A</v>
      </c>
      <c r="Y109" s="154" t="e">
        <f t="shared" si="43"/>
        <v>#N/A</v>
      </c>
      <c r="AA109" s="1133">
        <v>536.51495433789955</v>
      </c>
      <c r="AB109" s="1133">
        <v>536.51495433789955</v>
      </c>
      <c r="AC109" s="1133">
        <v>536.51495433789955</v>
      </c>
      <c r="AD109" s="138"/>
      <c r="AE109" s="138"/>
      <c r="AF109" s="138"/>
      <c r="AG109" s="138"/>
      <c r="AH109" s="138"/>
      <c r="AI109" s="138"/>
      <c r="AJ109" s="138"/>
      <c r="AK109" s="138"/>
      <c r="AL109" s="138"/>
      <c r="AM109" s="138"/>
      <c r="AN109" s="138"/>
      <c r="BR109" s="29"/>
      <c r="BS109" s="160" t="s">
        <v>15</v>
      </c>
      <c r="BT109" s="177" t="e">
        <f>SLOPE((DD106:DD154),($B$46:$B$94))</f>
        <v>#DIV/0!</v>
      </c>
      <c r="BU109" s="178" t="e">
        <f>INTERCEPT(DJ106:DJ154,DI106:DI154)</f>
        <v>#DIV/0!</v>
      </c>
      <c r="BV109" s="691" t="s">
        <v>71</v>
      </c>
      <c r="BY109" s="29"/>
      <c r="BZ109" s="160" t="s">
        <v>15</v>
      </c>
      <c r="CA109" s="177" t="e">
        <f ca="1">INDEX(LINEST((INDIRECT(DI103):INDIRECT(DJ103)),(INDIRECT(DI104):INDIRECT(DJ104))^{1,2}),1)</f>
        <v>#REF!</v>
      </c>
      <c r="CB109" s="179" t="e">
        <f ca="1">INDEX(LINEST((INDIRECT(DI103):INDIRECT(DJ103)),(INDIRECT(DI104):INDIRECT(DJ104))^{1,2}),1,2)</f>
        <v>#REF!</v>
      </c>
      <c r="CC109" s="178" t="e">
        <f ca="1">INDEX(LINEST((INDIRECT(DI103):INDIRECT(DJ103)),(INDIRECT(DI104):INDIRECT(DJ104))^{1,2}),1,3)</f>
        <v>#REF!</v>
      </c>
      <c r="CD109" s="691" t="s">
        <v>71</v>
      </c>
      <c r="CG109" s="29"/>
      <c r="CH109" s="160" t="s">
        <v>15</v>
      </c>
      <c r="CI109" s="177" t="e">
        <f ca="1">INDEX(LINEST((INDIRECT(DI103):INDIRECT(DJ103)),(INDIRECT(DI104):INDIRECT(DJ104))^{1,2,3}),1)</f>
        <v>#REF!</v>
      </c>
      <c r="CJ109" s="179" t="e">
        <f ca="1">INDEX(LINEST((INDIRECT(DI103):INDIRECT(DJ103)),(INDIRECT(DI104):INDIRECT(DJ104))^{1,2,3}),1,2)</f>
        <v>#REF!</v>
      </c>
      <c r="CK109" s="179" t="e">
        <f ca="1">INDEX(LINEST((INDIRECT(DI103):INDIRECT(DJ103)),(INDIRECT(DI104):INDIRECT(DJ104))^{1,2,3}),1,3)</f>
        <v>#REF!</v>
      </c>
      <c r="CL109" s="178" t="e">
        <f ca="1">INDEX(LINEST((INDIRECT(DI103):INDIRECT(DJ103)),(INDIRECT(DI104):INDIRECT(DJ104))^{1,2,3}),1,4)</f>
        <v>#REF!</v>
      </c>
      <c r="CM109" s="691" t="s">
        <v>71</v>
      </c>
      <c r="CP109" s="29"/>
      <c r="CQ109" s="160" t="s">
        <v>15</v>
      </c>
      <c r="CR109" s="177" t="e">
        <f ca="1">EXP(INDEX(LINEST(LN(INDIRECT(DI103):INDIRECT(DJ103)),(INDIRECT(DI104):INDIRECT(DJ104))),1,2))</f>
        <v>#REF!</v>
      </c>
      <c r="CS109" s="178" t="e">
        <f ca="1">INDEX(LINEST(LN(INDIRECT(DI103):INDIRECT(DJ103)),(INDIRECT(DI104):INDIRECT(DJ104))),1)</f>
        <v>#REF!</v>
      </c>
      <c r="CT109" s="691" t="s">
        <v>71</v>
      </c>
      <c r="CZ109" s="164" t="b">
        <f t="shared" si="44"/>
        <v>0</v>
      </c>
      <c r="DA109" s="165" t="b">
        <f t="shared" si="44"/>
        <v>0</v>
      </c>
      <c r="DB109" s="166" t="b">
        <f t="shared" si="44"/>
        <v>0</v>
      </c>
      <c r="DC109" s="164" t="str">
        <f t="shared" si="53"/>
        <v/>
      </c>
      <c r="DD109" s="166" t="str">
        <f t="shared" si="45"/>
        <v/>
      </c>
      <c r="DE109" s="164" t="str">
        <f t="shared" si="46"/>
        <v/>
      </c>
      <c r="DF109" s="166" t="str">
        <f t="shared" si="47"/>
        <v/>
      </c>
      <c r="DG109" s="164" t="str">
        <f t="shared" si="48"/>
        <v/>
      </c>
      <c r="DH109" s="166" t="str">
        <f t="shared" si="49"/>
        <v/>
      </c>
      <c r="DI109" s="164" t="str">
        <f>IFERROR(INDEX(DC$106:DC$154,_xlfn.AGGREGATE(15,6,(ROW(DC$106:DC$154)-ROW(DC$106)+1)/(DC$106:DC$154&lt;&gt;""),ROWS(DI$1:DI4))),"")</f>
        <v/>
      </c>
      <c r="DJ109" s="165" t="str">
        <f>IFERROR(INDEX(DD$106:DD$154,_xlfn.AGGREGATE(15,6,(ROW(DD$106:DD$154)-ROW(DD$106)+1)/(DD$106:DD$154&lt;&gt;""),ROWS(DJ$1:DJ4))),"")</f>
        <v/>
      </c>
      <c r="DK109" s="166" t="str">
        <f t="shared" si="50"/>
        <v/>
      </c>
      <c r="DL109" s="164" t="str">
        <f>IFERROR(INDEX(DE$106:DE$154,_xlfn.AGGREGATE(15,6,(ROW(DE$106:DE$154)-ROW(DE$106)+1)/(DE$106:DE$154&lt;&gt;""),ROWS(DL$1:DL4))),"")</f>
        <v/>
      </c>
      <c r="DM109" s="165" t="str">
        <f>IFERROR(INDEX(DF$106:DF$154,_xlfn.AGGREGATE(15,6,(ROW(DF$106:DF$154)-ROW(DF$106)+1)/(DF$106:DF$154&lt;&gt;""),ROWS(DM$1:DM4))),"")</f>
        <v/>
      </c>
      <c r="DN109" s="166" t="str">
        <f t="shared" si="51"/>
        <v/>
      </c>
      <c r="DO109" s="164" t="str">
        <f>IFERROR(INDEX(DG$106:DG$154,_xlfn.AGGREGATE(15,6,(ROW(DG$106:DG$154)-ROW(DG$106)+1)/(DG$106:DG$154&lt;&gt;""),ROWS(DO$1:DO4))),"")</f>
        <v/>
      </c>
      <c r="DP109" s="165" t="str">
        <f>IFERROR(INDEX(DH$106:DH$154,_xlfn.AGGREGATE(15,6,(ROW(DH$106:DH$154)-ROW(DH$106)+1)/(DH$106:DH$154&lt;&gt;""),ROWS(DP$1:DP4))),"")</f>
        <v/>
      </c>
      <c r="DQ109" s="166" t="str">
        <f t="shared" si="52"/>
        <v/>
      </c>
      <c r="DV109" s="145">
        <v>2018</v>
      </c>
      <c r="DW109" s="235" t="e">
        <f t="shared" ca="1" si="37"/>
        <v>#REF!</v>
      </c>
      <c r="EA109" s="33" t="s">
        <v>85</v>
      </c>
      <c r="EB109" s="33" t="s">
        <v>84</v>
      </c>
      <c r="EC109" s="33" t="s">
        <v>82</v>
      </c>
      <c r="ED109" s="33" t="s">
        <v>83</v>
      </c>
      <c r="EE109" s="33"/>
    </row>
    <row r="110" spans="1:135" ht="13.8" x14ac:dyDescent="0.45">
      <c r="A110" s="184" t="s">
        <v>88</v>
      </c>
      <c r="B110" s="128">
        <v>2016</v>
      </c>
      <c r="C110" s="1001"/>
      <c r="D110" s="1001"/>
      <c r="E110" s="1017"/>
      <c r="F110" s="894"/>
      <c r="G110" s="159"/>
      <c r="H110" s="151"/>
      <c r="I110" s="1001"/>
      <c r="J110" s="159"/>
      <c r="K110" s="151"/>
      <c r="L110" s="152"/>
      <c r="M110" s="151"/>
      <c r="N110" s="29" t="s">
        <v>119</v>
      </c>
      <c r="O110" s="120"/>
      <c r="P110" s="120"/>
      <c r="Q110" s="120"/>
      <c r="R110" s="29">
        <v>2</v>
      </c>
      <c r="S110" s="154" t="str">
        <f t="shared" si="38"/>
        <v/>
      </c>
      <c r="T110" s="154" t="str">
        <f t="shared" si="39"/>
        <v/>
      </c>
      <c r="U110" s="154" t="str">
        <f t="shared" si="40"/>
        <v/>
      </c>
      <c r="V110" s="29"/>
      <c r="W110" s="154" t="e">
        <f t="shared" si="41"/>
        <v>#N/A</v>
      </c>
      <c r="X110" s="154" t="e">
        <f t="shared" si="42"/>
        <v>#N/A</v>
      </c>
      <c r="Y110" s="154" t="e">
        <f t="shared" si="43"/>
        <v>#N/A</v>
      </c>
      <c r="AA110" s="1133">
        <v>535.70000000000005</v>
      </c>
      <c r="AB110" s="1133">
        <v>535.70000000000005</v>
      </c>
      <c r="AC110" s="1133">
        <v>535.70000000000005</v>
      </c>
      <c r="AD110" s="138"/>
      <c r="AE110" s="138"/>
      <c r="AF110" s="138"/>
      <c r="AG110" s="138"/>
      <c r="AH110" s="138"/>
      <c r="AI110" s="138"/>
      <c r="AJ110" s="138"/>
      <c r="AK110" s="138"/>
      <c r="AL110" s="138"/>
      <c r="AM110" s="138"/>
      <c r="AN110" s="138"/>
      <c r="BR110" s="180">
        <v>2014</v>
      </c>
      <c r="BS110" s="22">
        <v>0</v>
      </c>
      <c r="BT110" s="181" t="e">
        <f t="shared" ref="BT110:BT156" si="54">IF($BS$106="High",BS110*$BT$107,IF($BS$106="Medium",$BT$108*BS110,IF($BS$106="Low",$BT$109*BS110)))</f>
        <v>#DIV/0!</v>
      </c>
      <c r="BU110" s="182" t="e">
        <f t="shared" ref="BU110:BU156" si="55">IF($BS$106="High",$BU$107,IF($BS$106="Medium",$BU$108,IF($BS$106="Low",BU109)))</f>
        <v>#DIV/0!</v>
      </c>
      <c r="BV110" s="241" t="e">
        <f t="shared" ref="BV110:BV156" si="56">BT110+BU110</f>
        <v>#DIV/0!</v>
      </c>
      <c r="BY110" s="180">
        <v>2014</v>
      </c>
      <c r="BZ110" s="22">
        <v>0</v>
      </c>
      <c r="CA110" s="181" t="e">
        <f t="shared" ref="CA110:CA156" ca="1" si="57">IF($BZ$106="High",BZ110^2*$CA$107,IF($BZ$106="Medium",BZ110^2*$CA$108,IF($BZ$106="Low",BZ110^2*$CA$109)))</f>
        <v>#REF!</v>
      </c>
      <c r="CB110" s="181" t="e">
        <f t="shared" ref="CB110:CB156" ca="1" si="58">IF($BZ$106="High",BZ110*$CB$107,IF($BZ$106="Medium",BZ110*$CB$108,IF($BZ$106="Low",BZ110*$CB$109)))</f>
        <v>#REF!</v>
      </c>
      <c r="CC110" s="182" t="e">
        <f ca="1">IF($BZ$106="High",$CC$107,IF($BZ$106="Medium",$CC$108,IF($BZ$106="Low",$CC$109)))</f>
        <v>#REF!</v>
      </c>
      <c r="CD110" s="241" t="e">
        <f t="shared" ref="CD110:CD156" ca="1" si="59">CA110+CB110+CC110</f>
        <v>#REF!</v>
      </c>
      <c r="CG110" s="180">
        <v>2014</v>
      </c>
      <c r="CH110" s="22">
        <v>0</v>
      </c>
      <c r="CI110" s="181" t="e">
        <f t="shared" ref="CI110:CI156" ca="1" si="60">IF($CH$106="High",CH110^3*$CI$107,IF($CH$106="Medium",CH110^3*$CI$108,IF($CH$106="Low",CH110^3*$CI$109)))</f>
        <v>#REF!</v>
      </c>
      <c r="CJ110" s="181" t="e">
        <f t="shared" ref="CJ110:CJ156" ca="1" si="61">IF($CH$106="High",CH110^2*$CJ$107,IF($CH$106="Medium",CH110^2*$CJ$108,IF($CH$106="Low",CH110^2*$CJ$109)))</f>
        <v>#REF!</v>
      </c>
      <c r="CK110" s="181" t="e">
        <f t="shared" ref="CK110:CK156" ca="1" si="62">IF($CH$106="High",CH110*$CK$107,IF($CH$106="Medium",CH110*$CK$108,IF($CH$106="Low",CH110*$CK$109)))</f>
        <v>#REF!</v>
      </c>
      <c r="CL110" s="182" t="e">
        <f t="shared" ref="CL110:CL156" ca="1" si="63">IF($CH$106="High",$CL$107,IF($CH$106="Medium",$CL$108,IF($CH$106="Low",$CL$109)))</f>
        <v>#REF!</v>
      </c>
      <c r="CM110" s="241" t="e">
        <f t="shared" ref="CM110:CM156" ca="1" si="64">CI110+CJ110+CK110+CL110</f>
        <v>#REF!</v>
      </c>
      <c r="CP110" s="180">
        <v>2014</v>
      </c>
      <c r="CQ110" s="22">
        <v>0</v>
      </c>
      <c r="CR110" s="181" t="e">
        <f t="shared" ref="CR110:CR156" ca="1" si="65">IF($CQ$106="High",$CR$107,IF($CQ$106="Medium",$CR$108,IF($CQ$106="Low",$CR$109)))</f>
        <v>#REF!</v>
      </c>
      <c r="CS110" s="182" t="e">
        <f t="shared" ref="CS110:CS156" ca="1" si="66">IF($CQ$106="High",EXP(1)^($CS$107*CQ110),IF($CQ$106="Medium",EXP(1)^($CS$108*CQ110),IF($CQ$106="Low",EXP(1)^($CS$109*CQ110))))</f>
        <v>#REF!</v>
      </c>
      <c r="CT110" s="241" t="e">
        <f t="shared" ref="CT110:CT156" ca="1" si="67">(CR110*CS110)</f>
        <v>#REF!</v>
      </c>
      <c r="CZ110" s="164" t="b">
        <f t="shared" si="44"/>
        <v>0</v>
      </c>
      <c r="DA110" s="165" t="b">
        <f t="shared" si="44"/>
        <v>0</v>
      </c>
      <c r="DB110" s="166" t="b">
        <f t="shared" si="44"/>
        <v>0</v>
      </c>
      <c r="DC110" s="164" t="str">
        <f t="shared" si="53"/>
        <v/>
      </c>
      <c r="DD110" s="166" t="str">
        <f t="shared" si="45"/>
        <v/>
      </c>
      <c r="DE110" s="164" t="str">
        <f t="shared" si="46"/>
        <v/>
      </c>
      <c r="DF110" s="166" t="str">
        <f t="shared" si="47"/>
        <v/>
      </c>
      <c r="DG110" s="164" t="str">
        <f t="shared" si="48"/>
        <v/>
      </c>
      <c r="DH110" s="166" t="str">
        <f t="shared" si="49"/>
        <v/>
      </c>
      <c r="DI110" s="164" t="str">
        <f>IFERROR(INDEX(DC$106:DC$154,_xlfn.AGGREGATE(15,6,(ROW(DC$106:DC$154)-ROW(DC$106)+1)/(DC$106:DC$154&lt;&gt;""),ROWS(DI$1:DI5))),"")</f>
        <v/>
      </c>
      <c r="DJ110" s="165" t="str">
        <f>IFERROR(INDEX(DD$106:DD$154,_xlfn.AGGREGATE(15,6,(ROW(DD$106:DD$154)-ROW(DD$106)+1)/(DD$106:DD$154&lt;&gt;""),ROWS(DJ$1:DJ5))),"")</f>
        <v/>
      </c>
      <c r="DK110" s="166" t="str">
        <f t="shared" si="50"/>
        <v/>
      </c>
      <c r="DL110" s="164" t="str">
        <f>IFERROR(INDEX(DE$106:DE$154,_xlfn.AGGREGATE(15,6,(ROW(DE$106:DE$154)-ROW(DE$106)+1)/(DE$106:DE$154&lt;&gt;""),ROWS(DL$1:DL5))),"")</f>
        <v/>
      </c>
      <c r="DM110" s="165" t="str">
        <f>IFERROR(INDEX(DF$106:DF$154,_xlfn.AGGREGATE(15,6,(ROW(DF$106:DF$154)-ROW(DF$106)+1)/(DF$106:DF$154&lt;&gt;""),ROWS(DM$1:DM5))),"")</f>
        <v/>
      </c>
      <c r="DN110" s="166" t="str">
        <f t="shared" si="51"/>
        <v/>
      </c>
      <c r="DO110" s="164" t="str">
        <f>IFERROR(INDEX(DG$106:DG$154,_xlfn.AGGREGATE(15,6,(ROW(DG$106:DG$154)-ROW(DG$106)+1)/(DG$106:DG$154&lt;&gt;""),ROWS(DO$1:DO5))),"")</f>
        <v/>
      </c>
      <c r="DP110" s="165" t="str">
        <f>IFERROR(INDEX(DH$106:DH$154,_xlfn.AGGREGATE(15,6,(ROW(DH$106:DH$154)-ROW(DH$106)+1)/(DH$106:DH$154&lt;&gt;""),ROWS(DP$1:DP5))),"")</f>
        <v/>
      </c>
      <c r="DQ110" s="166" t="str">
        <f t="shared" si="52"/>
        <v/>
      </c>
      <c r="DV110" s="145">
        <v>2019</v>
      </c>
      <c r="DW110" s="235" t="e">
        <f t="shared" ca="1" si="37"/>
        <v>#REF!</v>
      </c>
      <c r="DZ110" s="135" t="s">
        <v>92</v>
      </c>
      <c r="EA110" s="33" t="e">
        <f ca="1">IF($EA$104="Linear",0,IF($EA$104="2nd Poly",0,IF($EA$104="3rd Poly",CI107,IF($EA$104="Exp",0))))</f>
        <v>#REF!</v>
      </c>
      <c r="EB110" s="33" t="e">
        <f ca="1">IF($EA$104="Linear",0,IF($EA$104="2nd Poly",CA107,IF($EA$104="3rd Poly",CJ107,IF($EA$104="Exp",0))))</f>
        <v>#REF!</v>
      </c>
      <c r="EC110" s="33" t="e">
        <f t="shared" ref="EC110:ED112" ca="1" si="68">IF($EA$104="Linear",BT107,IF($EA$104="2nd Poly",CB107,IF($EA$104="3rd Poly",CK107,IF($EA$104="Exp",0))))</f>
        <v>#REF!</v>
      </c>
      <c r="ED110" s="33" t="e">
        <f t="shared" ca="1" si="68"/>
        <v>#REF!</v>
      </c>
      <c r="EE110" s="33" t="str">
        <f>IF($EA$104="Linear","High",IF($EA$104="2nd Poly","High",IF($EA$104="3rd Poly","High","N/A")))</f>
        <v>High</v>
      </c>
    </row>
    <row r="111" spans="1:135" ht="13.8" x14ac:dyDescent="0.45">
      <c r="A111" s="184" t="s">
        <v>90</v>
      </c>
      <c r="B111" s="128">
        <v>2017</v>
      </c>
      <c r="C111" s="1021"/>
      <c r="D111" s="982"/>
      <c r="E111" s="1017"/>
      <c r="F111" s="894"/>
      <c r="G111" s="159"/>
      <c r="H111" s="169"/>
      <c r="I111" s="931"/>
      <c r="J111" s="168"/>
      <c r="K111" s="169"/>
      <c r="L111" s="170"/>
      <c r="M111" s="169"/>
      <c r="N111" s="29" t="s">
        <v>119</v>
      </c>
      <c r="O111" s="120"/>
      <c r="P111" s="120"/>
      <c r="Q111" s="120"/>
      <c r="R111" s="29">
        <v>3</v>
      </c>
      <c r="S111" s="154" t="str">
        <f t="shared" si="38"/>
        <v/>
      </c>
      <c r="T111" s="154" t="str">
        <f t="shared" si="39"/>
        <v/>
      </c>
      <c r="U111" s="154" t="str">
        <f t="shared" si="40"/>
        <v/>
      </c>
      <c r="V111" s="29"/>
      <c r="W111" s="154" t="e">
        <f t="shared" si="41"/>
        <v>#N/A</v>
      </c>
      <c r="X111" s="154" t="e">
        <f t="shared" si="42"/>
        <v>#N/A</v>
      </c>
      <c r="Y111" s="154" t="e">
        <f t="shared" si="43"/>
        <v>#N/A</v>
      </c>
      <c r="AA111" s="1133">
        <v>546.86221461187222</v>
      </c>
      <c r="AB111" s="1133">
        <v>612.4452342779241</v>
      </c>
      <c r="AC111" s="1133">
        <v>678.02825394397598</v>
      </c>
      <c r="AD111" s="138"/>
      <c r="AE111" s="138"/>
      <c r="AF111" s="138"/>
      <c r="AG111" s="138"/>
      <c r="AH111" s="138"/>
      <c r="AI111" s="138"/>
      <c r="AJ111" s="138"/>
      <c r="AK111" s="138"/>
      <c r="AL111" s="138"/>
      <c r="AM111" s="138"/>
      <c r="AN111" s="138"/>
      <c r="BR111" s="180">
        <v>2015</v>
      </c>
      <c r="BS111" s="22">
        <v>1</v>
      </c>
      <c r="BT111" s="181" t="e">
        <f t="shared" si="54"/>
        <v>#DIV/0!</v>
      </c>
      <c r="BU111" s="182" t="e">
        <f t="shared" si="55"/>
        <v>#DIV/0!</v>
      </c>
      <c r="BV111" s="183" t="e">
        <f t="shared" si="56"/>
        <v>#DIV/0!</v>
      </c>
      <c r="BY111" s="180">
        <v>2015</v>
      </c>
      <c r="BZ111" s="22">
        <v>1</v>
      </c>
      <c r="CA111" s="185" t="e">
        <f t="shared" ca="1" si="57"/>
        <v>#REF!</v>
      </c>
      <c r="CB111" s="185" t="e">
        <f t="shared" ca="1" si="58"/>
        <v>#REF!</v>
      </c>
      <c r="CC111" s="186" t="e">
        <f t="shared" ref="CC111:CC156" ca="1" si="69">CC110</f>
        <v>#REF!</v>
      </c>
      <c r="CD111" s="183" t="e">
        <f t="shared" ca="1" si="59"/>
        <v>#REF!</v>
      </c>
      <c r="CG111" s="180">
        <v>2015</v>
      </c>
      <c r="CH111" s="22">
        <v>1</v>
      </c>
      <c r="CI111" s="185" t="e">
        <f t="shared" ca="1" si="60"/>
        <v>#REF!</v>
      </c>
      <c r="CJ111" s="185" t="e">
        <f t="shared" ca="1" si="61"/>
        <v>#REF!</v>
      </c>
      <c r="CK111" s="185" t="e">
        <f t="shared" ca="1" si="62"/>
        <v>#REF!</v>
      </c>
      <c r="CL111" s="186" t="e">
        <f t="shared" ca="1" si="63"/>
        <v>#REF!</v>
      </c>
      <c r="CM111" s="183" t="e">
        <f t="shared" ca="1" si="64"/>
        <v>#REF!</v>
      </c>
      <c r="CP111" s="180">
        <v>2015</v>
      </c>
      <c r="CQ111" s="22">
        <v>1</v>
      </c>
      <c r="CR111" s="185" t="e">
        <f t="shared" ca="1" si="65"/>
        <v>#REF!</v>
      </c>
      <c r="CS111" s="186" t="e">
        <f t="shared" ca="1" si="66"/>
        <v>#REF!</v>
      </c>
      <c r="CT111" s="183" t="e">
        <f t="shared" ca="1" si="67"/>
        <v>#REF!</v>
      </c>
      <c r="CZ111" s="164" t="b">
        <f t="shared" si="44"/>
        <v>0</v>
      </c>
      <c r="DA111" s="165" t="b">
        <f t="shared" si="44"/>
        <v>0</v>
      </c>
      <c r="DB111" s="166" t="b">
        <f t="shared" si="44"/>
        <v>0</v>
      </c>
      <c r="DC111" s="164" t="str">
        <f t="shared" si="53"/>
        <v/>
      </c>
      <c r="DD111" s="166" t="str">
        <f t="shared" si="45"/>
        <v/>
      </c>
      <c r="DE111" s="164" t="str">
        <f t="shared" si="46"/>
        <v/>
      </c>
      <c r="DF111" s="166" t="str">
        <f t="shared" si="47"/>
        <v/>
      </c>
      <c r="DG111" s="164" t="str">
        <f t="shared" si="48"/>
        <v/>
      </c>
      <c r="DH111" s="166" t="str">
        <f t="shared" si="49"/>
        <v/>
      </c>
      <c r="DI111" s="164" t="str">
        <f>IFERROR(INDEX(DC$106:DC$154,_xlfn.AGGREGATE(15,6,(ROW(DC$106:DC$154)-ROW(DC$106)+1)/(DC$106:DC$154&lt;&gt;""),ROWS(DI$1:DI6))),"")</f>
        <v/>
      </c>
      <c r="DJ111" s="165" t="str">
        <f>IFERROR(INDEX(DD$106:DD$154,_xlfn.AGGREGATE(15,6,(ROW(DD$106:DD$154)-ROW(DD$106)+1)/(DD$106:DD$154&lt;&gt;""),ROWS(DJ$1:DJ6))),"")</f>
        <v/>
      </c>
      <c r="DK111" s="166" t="str">
        <f t="shared" si="50"/>
        <v/>
      </c>
      <c r="DL111" s="164" t="str">
        <f>IFERROR(INDEX(DE$106:DE$154,_xlfn.AGGREGATE(15,6,(ROW(DE$106:DE$154)-ROW(DE$106)+1)/(DE$106:DE$154&lt;&gt;""),ROWS(DL$1:DL6))),"")</f>
        <v/>
      </c>
      <c r="DM111" s="165" t="str">
        <f>IFERROR(INDEX(DF$106:DF$154,_xlfn.AGGREGATE(15,6,(ROW(DF$106:DF$154)-ROW(DF$106)+1)/(DF$106:DF$154&lt;&gt;""),ROWS(DM$1:DM6))),"")</f>
        <v/>
      </c>
      <c r="DN111" s="166" t="str">
        <f t="shared" si="51"/>
        <v/>
      </c>
      <c r="DO111" s="164" t="str">
        <f>IFERROR(INDEX(DG$106:DG$154,_xlfn.AGGREGATE(15,6,(ROW(DG$106:DG$154)-ROW(DG$106)+1)/(DG$106:DG$154&lt;&gt;""),ROWS(DO$1:DO6))),"")</f>
        <v/>
      </c>
      <c r="DP111" s="165" t="str">
        <f>IFERROR(INDEX(DH$106:DH$154,_xlfn.AGGREGATE(15,6,(ROW(DH$106:DH$154)-ROW(DH$106)+1)/(DH$106:DH$154&lt;&gt;""),ROWS(DP$1:DP6))),"")</f>
        <v/>
      </c>
      <c r="DQ111" s="166" t="str">
        <f t="shared" si="52"/>
        <v/>
      </c>
      <c r="DV111" s="145">
        <v>2020</v>
      </c>
      <c r="DW111" s="235" t="e">
        <f t="shared" ca="1" si="37"/>
        <v>#REF!</v>
      </c>
      <c r="DZ111" s="135" t="s">
        <v>92</v>
      </c>
      <c r="EA111" s="33" t="e">
        <f ca="1">IF($EA$104="Linear",0,IF($EA$104="2nd Poly",0,IF($EA$104="3rd Poly",CI108,IF($EA$104="Exp",0))))</f>
        <v>#REF!</v>
      </c>
      <c r="EB111" s="33" t="e">
        <f ca="1">IF($EA$104="Linear",0,IF($EA$104="2nd Poly",CA108,IF($EA$104="3rd Poly",CJ108,IF($EA$104="Exp",0))))</f>
        <v>#REF!</v>
      </c>
      <c r="EC111" s="33" t="e">
        <f t="shared" ca="1" si="68"/>
        <v>#REF!</v>
      </c>
      <c r="ED111" s="33" t="e">
        <f t="shared" ca="1" si="68"/>
        <v>#REF!</v>
      </c>
      <c r="EE111" s="33" t="str">
        <f>IF($EA$104="Linear","Medium",IF($EA$104="2nd Poly","Medium",IF($EA$104="3rd Poly","Medium","N/A")))</f>
        <v>Medium</v>
      </c>
    </row>
    <row r="112" spans="1:135" ht="13.8" x14ac:dyDescent="0.45">
      <c r="A112" s="948" t="s">
        <v>1039</v>
      </c>
      <c r="B112" s="128">
        <v>2018</v>
      </c>
      <c r="C112" s="1023"/>
      <c r="D112" s="1024"/>
      <c r="E112" s="1025"/>
      <c r="F112" s="894"/>
      <c r="G112" s="159"/>
      <c r="H112" s="151"/>
      <c r="I112" s="1016"/>
      <c r="J112" s="159"/>
      <c r="K112" s="151"/>
      <c r="L112" s="152"/>
      <c r="M112" s="151"/>
      <c r="N112" s="29" t="s">
        <v>119</v>
      </c>
      <c r="O112" s="120"/>
      <c r="P112" s="120"/>
      <c r="Q112" s="120"/>
      <c r="R112" s="29">
        <v>4</v>
      </c>
      <c r="S112" s="154" t="str">
        <f t="shared" si="38"/>
        <v/>
      </c>
      <c r="T112" s="154" t="str">
        <f t="shared" si="39"/>
        <v/>
      </c>
      <c r="U112" s="154" t="str">
        <f t="shared" si="40"/>
        <v/>
      </c>
      <c r="V112" s="20"/>
      <c r="W112" s="154" t="e">
        <f t="shared" si="41"/>
        <v>#N/A</v>
      </c>
      <c r="X112" s="154" t="e">
        <f t="shared" si="42"/>
        <v>#N/A</v>
      </c>
      <c r="Y112" s="154" t="e">
        <f t="shared" si="43"/>
        <v>#N/A</v>
      </c>
      <c r="AA112" s="1133">
        <v>552.03584474885861</v>
      </c>
      <c r="AB112" s="1133">
        <v>616.65469522192245</v>
      </c>
      <c r="AC112" s="1133">
        <v>681.2735456949863</v>
      </c>
      <c r="AD112" s="138"/>
      <c r="AE112" s="138"/>
      <c r="AF112" s="138"/>
      <c r="AG112" s="138"/>
      <c r="AH112" s="138"/>
      <c r="AI112" s="138"/>
      <c r="AJ112" s="138"/>
      <c r="AK112" s="138"/>
      <c r="AL112" s="138"/>
      <c r="AM112" s="138"/>
      <c r="AN112" s="138"/>
      <c r="BR112" s="180">
        <v>2016</v>
      </c>
      <c r="BS112" s="22">
        <v>2</v>
      </c>
      <c r="BT112" s="181" t="e">
        <f t="shared" si="54"/>
        <v>#DIV/0!</v>
      </c>
      <c r="BU112" s="182" t="e">
        <f t="shared" si="55"/>
        <v>#DIV/0!</v>
      </c>
      <c r="BV112" s="183" t="e">
        <f t="shared" si="56"/>
        <v>#DIV/0!</v>
      </c>
      <c r="BY112" s="180">
        <v>2016</v>
      </c>
      <c r="BZ112" s="22">
        <v>2</v>
      </c>
      <c r="CA112" s="185" t="e">
        <f t="shared" ca="1" si="57"/>
        <v>#REF!</v>
      </c>
      <c r="CB112" s="185" t="e">
        <f t="shared" ca="1" si="58"/>
        <v>#REF!</v>
      </c>
      <c r="CC112" s="186" t="e">
        <f t="shared" ca="1" si="69"/>
        <v>#REF!</v>
      </c>
      <c r="CD112" s="183" t="e">
        <f t="shared" ca="1" si="59"/>
        <v>#REF!</v>
      </c>
      <c r="CG112" s="180">
        <v>2016</v>
      </c>
      <c r="CH112" s="22">
        <v>2</v>
      </c>
      <c r="CI112" s="185" t="e">
        <f t="shared" ca="1" si="60"/>
        <v>#REF!</v>
      </c>
      <c r="CJ112" s="185" t="e">
        <f t="shared" ca="1" si="61"/>
        <v>#REF!</v>
      </c>
      <c r="CK112" s="185" t="e">
        <f t="shared" ca="1" si="62"/>
        <v>#REF!</v>
      </c>
      <c r="CL112" s="186" t="e">
        <f t="shared" ca="1" si="63"/>
        <v>#REF!</v>
      </c>
      <c r="CM112" s="183" t="e">
        <f t="shared" ca="1" si="64"/>
        <v>#REF!</v>
      </c>
      <c r="CP112" s="180">
        <v>2016</v>
      </c>
      <c r="CQ112" s="22">
        <v>2</v>
      </c>
      <c r="CR112" s="185" t="e">
        <f t="shared" ca="1" si="65"/>
        <v>#REF!</v>
      </c>
      <c r="CS112" s="186" t="e">
        <f t="shared" ca="1" si="66"/>
        <v>#REF!</v>
      </c>
      <c r="CT112" s="183" t="e">
        <f t="shared" ca="1" si="67"/>
        <v>#REF!</v>
      </c>
      <c r="CZ112" s="164" t="b">
        <f t="shared" si="44"/>
        <v>0</v>
      </c>
      <c r="DA112" s="165" t="b">
        <f t="shared" si="44"/>
        <v>0</v>
      </c>
      <c r="DB112" s="166" t="b">
        <f t="shared" si="44"/>
        <v>0</v>
      </c>
      <c r="DC112" s="164" t="str">
        <f t="shared" si="53"/>
        <v/>
      </c>
      <c r="DD112" s="166" t="str">
        <f t="shared" si="45"/>
        <v/>
      </c>
      <c r="DE112" s="164" t="str">
        <f t="shared" si="46"/>
        <v/>
      </c>
      <c r="DF112" s="166" t="str">
        <f t="shared" si="47"/>
        <v/>
      </c>
      <c r="DG112" s="164" t="str">
        <f t="shared" si="48"/>
        <v/>
      </c>
      <c r="DH112" s="166" t="str">
        <f t="shared" si="49"/>
        <v/>
      </c>
      <c r="DI112" s="164" t="str">
        <f>IFERROR(INDEX(DC$106:DC$154,_xlfn.AGGREGATE(15,6,(ROW(DC$106:DC$154)-ROW(DC$106)+1)/(DC$106:DC$154&lt;&gt;""),ROWS(DI$1:DI7))),"")</f>
        <v/>
      </c>
      <c r="DJ112" s="165" t="str">
        <f>IFERROR(INDEX(DD$106:DD$154,_xlfn.AGGREGATE(15,6,(ROW(DD$106:DD$154)-ROW(DD$106)+1)/(DD$106:DD$154&lt;&gt;""),ROWS(DJ$1:DJ7))),"")</f>
        <v/>
      </c>
      <c r="DK112" s="166" t="str">
        <f t="shared" si="50"/>
        <v/>
      </c>
      <c r="DL112" s="164" t="str">
        <f>IFERROR(INDEX(DE$106:DE$154,_xlfn.AGGREGATE(15,6,(ROW(DE$106:DE$154)-ROW(DE$106)+1)/(DE$106:DE$154&lt;&gt;""),ROWS(DL$1:DL7))),"")</f>
        <v/>
      </c>
      <c r="DM112" s="165" t="str">
        <f>IFERROR(INDEX(DF$106:DF$154,_xlfn.AGGREGATE(15,6,(ROW(DF$106:DF$154)-ROW(DF$106)+1)/(DF$106:DF$154&lt;&gt;""),ROWS(DM$1:DM7))),"")</f>
        <v/>
      </c>
      <c r="DN112" s="166" t="str">
        <f t="shared" si="51"/>
        <v/>
      </c>
      <c r="DO112" s="164" t="str">
        <f>IFERROR(INDEX(DG$106:DG$154,_xlfn.AGGREGATE(15,6,(ROW(DG$106:DG$154)-ROW(DG$106)+1)/(DG$106:DG$154&lt;&gt;""),ROWS(DO$1:DO7))),"")</f>
        <v/>
      </c>
      <c r="DP112" s="165" t="str">
        <f>IFERROR(INDEX(DH$106:DH$154,_xlfn.AGGREGATE(15,6,(ROW(DH$106:DH$154)-ROW(DH$106)+1)/(DH$106:DH$154&lt;&gt;""),ROWS(DP$1:DP7))),"")</f>
        <v/>
      </c>
      <c r="DQ112" s="166" t="str">
        <f t="shared" si="52"/>
        <v/>
      </c>
      <c r="DV112" s="145">
        <v>2021</v>
      </c>
      <c r="DW112" s="235" t="e">
        <f t="shared" ca="1" si="37"/>
        <v>#REF!</v>
      </c>
      <c r="DZ112" s="135" t="s">
        <v>92</v>
      </c>
      <c r="EA112" s="33" t="e">
        <f ca="1">IF($EA$104="Linear",0,IF($EA$104="2nd Poly",0,IF($EA$104="3rd Poly",CI109,IF($EA$104="Exp",0))))</f>
        <v>#REF!</v>
      </c>
      <c r="EB112" s="33" t="e">
        <f ca="1">IF($EA$104="Linear",0,IF($EA$104="2nd Poly",CA109,IF($EA$104="3rd Poly",CJ109,IF($EA$104="Exp",0))))</f>
        <v>#REF!</v>
      </c>
      <c r="EC112" s="33" t="e">
        <f t="shared" ca="1" si="68"/>
        <v>#REF!</v>
      </c>
      <c r="ED112" s="33" t="e">
        <f t="shared" ca="1" si="68"/>
        <v>#REF!</v>
      </c>
      <c r="EE112" s="33" t="str">
        <f>IF($EA$104="Linear","Low",IF($EA$104="2nd Poly","Low",IF($EA$104="3rd Poly","Low","N/A")))</f>
        <v>Low</v>
      </c>
    </row>
    <row r="113" spans="1:135" ht="13.8" x14ac:dyDescent="0.45">
      <c r="A113" s="184" t="s">
        <v>88</v>
      </c>
      <c r="B113" s="128">
        <v>2019</v>
      </c>
      <c r="C113" s="1023"/>
      <c r="D113" s="1024"/>
      <c r="E113" s="1025"/>
      <c r="F113" s="894"/>
      <c r="G113" s="159"/>
      <c r="H113" s="236"/>
      <c r="I113" s="1016"/>
      <c r="J113" s="188"/>
      <c r="K113" s="236"/>
      <c r="L113" s="240"/>
      <c r="M113" s="236"/>
      <c r="N113" s="29" t="s">
        <v>119</v>
      </c>
      <c r="O113" s="120"/>
      <c r="P113" s="120"/>
      <c r="Q113" s="120"/>
      <c r="R113" s="29">
        <v>5</v>
      </c>
      <c r="S113" s="154" t="str">
        <f t="shared" si="38"/>
        <v/>
      </c>
      <c r="T113" s="154" t="str">
        <f t="shared" si="39"/>
        <v/>
      </c>
      <c r="U113" s="154" t="str">
        <f t="shared" si="40"/>
        <v/>
      </c>
      <c r="V113" s="20"/>
      <c r="W113" s="154" t="e">
        <f t="shared" si="41"/>
        <v>#N/A</v>
      </c>
      <c r="X113" s="154" t="e">
        <f t="shared" si="42"/>
        <v>#N/A</v>
      </c>
      <c r="Y113" s="154" t="e">
        <f t="shared" si="43"/>
        <v>#N/A</v>
      </c>
      <c r="AA113" s="1133">
        <v>557.20947488584432</v>
      </c>
      <c r="AB113" s="1133">
        <v>620.86697520238636</v>
      </c>
      <c r="AC113" s="1133">
        <v>684.5244755189284</v>
      </c>
      <c r="AD113" s="138"/>
      <c r="AE113" s="138"/>
      <c r="AF113" s="138"/>
      <c r="AG113" s="138"/>
      <c r="AH113" s="138"/>
      <c r="AI113" s="138"/>
      <c r="AJ113" s="138"/>
      <c r="AK113" s="138"/>
      <c r="AL113" s="138"/>
      <c r="AM113" s="138"/>
      <c r="AN113" s="138"/>
      <c r="BR113" s="180">
        <v>2017</v>
      </c>
      <c r="BS113" s="22">
        <v>3</v>
      </c>
      <c r="BT113" s="181" t="e">
        <f t="shared" si="54"/>
        <v>#DIV/0!</v>
      </c>
      <c r="BU113" s="182" t="e">
        <f t="shared" si="55"/>
        <v>#DIV/0!</v>
      </c>
      <c r="BV113" s="183" t="e">
        <f t="shared" si="56"/>
        <v>#DIV/0!</v>
      </c>
      <c r="BY113" s="180">
        <v>2017</v>
      </c>
      <c r="BZ113" s="22">
        <v>3</v>
      </c>
      <c r="CA113" s="185" t="e">
        <f t="shared" ca="1" si="57"/>
        <v>#REF!</v>
      </c>
      <c r="CB113" s="185" t="e">
        <f t="shared" ca="1" si="58"/>
        <v>#REF!</v>
      </c>
      <c r="CC113" s="186" t="e">
        <f t="shared" ca="1" si="69"/>
        <v>#REF!</v>
      </c>
      <c r="CD113" s="183" t="e">
        <f t="shared" ca="1" si="59"/>
        <v>#REF!</v>
      </c>
      <c r="CG113" s="180">
        <v>2017</v>
      </c>
      <c r="CH113" s="22">
        <v>3</v>
      </c>
      <c r="CI113" s="185" t="e">
        <f t="shared" ca="1" si="60"/>
        <v>#REF!</v>
      </c>
      <c r="CJ113" s="185" t="e">
        <f t="shared" ca="1" si="61"/>
        <v>#REF!</v>
      </c>
      <c r="CK113" s="185" t="e">
        <f t="shared" ca="1" si="62"/>
        <v>#REF!</v>
      </c>
      <c r="CL113" s="186" t="e">
        <f t="shared" ca="1" si="63"/>
        <v>#REF!</v>
      </c>
      <c r="CM113" s="183" t="e">
        <f t="shared" ca="1" si="64"/>
        <v>#REF!</v>
      </c>
      <c r="CP113" s="180">
        <v>2017</v>
      </c>
      <c r="CQ113" s="22">
        <v>3</v>
      </c>
      <c r="CR113" s="185" t="e">
        <f t="shared" ca="1" si="65"/>
        <v>#REF!</v>
      </c>
      <c r="CS113" s="186" t="e">
        <f t="shared" ca="1" si="66"/>
        <v>#REF!</v>
      </c>
      <c r="CT113" s="183" t="e">
        <f t="shared" ca="1" si="67"/>
        <v>#REF!</v>
      </c>
      <c r="CZ113" s="164" t="b">
        <f t="shared" si="44"/>
        <v>0</v>
      </c>
      <c r="DA113" s="165" t="b">
        <f t="shared" si="44"/>
        <v>0</v>
      </c>
      <c r="DB113" s="166" t="b">
        <f t="shared" si="44"/>
        <v>0</v>
      </c>
      <c r="DC113" s="164" t="str">
        <f t="shared" si="53"/>
        <v/>
      </c>
      <c r="DD113" s="166" t="str">
        <f t="shared" si="45"/>
        <v/>
      </c>
      <c r="DE113" s="164" t="str">
        <f t="shared" si="46"/>
        <v/>
      </c>
      <c r="DF113" s="166" t="str">
        <f t="shared" si="47"/>
        <v/>
      </c>
      <c r="DG113" s="164" t="str">
        <f t="shared" si="48"/>
        <v/>
      </c>
      <c r="DH113" s="166" t="str">
        <f t="shared" si="49"/>
        <v/>
      </c>
      <c r="DI113" s="164" t="str">
        <f>IFERROR(INDEX(DC$106:DC$154,_xlfn.AGGREGATE(15,6,(ROW(DC$106:DC$154)-ROW(DC$106)+1)/(DC$106:DC$154&lt;&gt;""),ROWS(DI$1:DI8))),"")</f>
        <v/>
      </c>
      <c r="DJ113" s="165" t="str">
        <f>IFERROR(INDEX(DD$106:DD$154,_xlfn.AGGREGATE(15,6,(ROW(DD$106:DD$154)-ROW(DD$106)+1)/(DD$106:DD$154&lt;&gt;""),ROWS(DJ$1:DJ8))),"")</f>
        <v/>
      </c>
      <c r="DK113" s="166" t="str">
        <f t="shared" si="50"/>
        <v/>
      </c>
      <c r="DL113" s="164" t="str">
        <f>IFERROR(INDEX(DE$106:DE$154,_xlfn.AGGREGATE(15,6,(ROW(DE$106:DE$154)-ROW(DE$106)+1)/(DE$106:DE$154&lt;&gt;""),ROWS(DL$1:DL8))),"")</f>
        <v/>
      </c>
      <c r="DM113" s="165" t="str">
        <f>IFERROR(INDEX(DF$106:DF$154,_xlfn.AGGREGATE(15,6,(ROW(DF$106:DF$154)-ROW(DF$106)+1)/(DF$106:DF$154&lt;&gt;""),ROWS(DM$1:DM8))),"")</f>
        <v/>
      </c>
      <c r="DN113" s="166" t="str">
        <f t="shared" si="51"/>
        <v/>
      </c>
      <c r="DO113" s="164" t="str">
        <f>IFERROR(INDEX(DG$106:DG$154,_xlfn.AGGREGATE(15,6,(ROW(DG$106:DG$154)-ROW(DG$106)+1)/(DG$106:DG$154&lt;&gt;""),ROWS(DO$1:DO8))),"")</f>
        <v/>
      </c>
      <c r="DP113" s="165" t="str">
        <f>IFERROR(INDEX(DH$106:DH$154,_xlfn.AGGREGATE(15,6,(ROW(DH$106:DH$154)-ROW(DH$106)+1)/(DH$106:DH$154&lt;&gt;""),ROWS(DP$1:DP8))),"")</f>
        <v/>
      </c>
      <c r="DQ113" s="166" t="str">
        <f t="shared" si="52"/>
        <v/>
      </c>
      <c r="DV113" s="145">
        <v>2022</v>
      </c>
      <c r="DW113" s="235" t="e">
        <f t="shared" ca="1" si="37"/>
        <v>#REF!</v>
      </c>
      <c r="DZ113" s="135"/>
      <c r="EA113" s="33"/>
      <c r="EB113" s="33"/>
      <c r="EC113" s="33"/>
      <c r="ED113" s="33"/>
      <c r="EE113" s="33"/>
    </row>
    <row r="114" spans="1:135" ht="13.8" x14ac:dyDescent="0.45">
      <c r="A114" s="194" t="s">
        <v>90</v>
      </c>
      <c r="B114" s="128">
        <v>2020</v>
      </c>
      <c r="C114" s="1023"/>
      <c r="D114" s="1024"/>
      <c r="E114" s="1025"/>
      <c r="F114" s="894"/>
      <c r="G114" s="159"/>
      <c r="H114" s="169"/>
      <c r="I114" s="931"/>
      <c r="J114" s="168"/>
      <c r="K114" s="169"/>
      <c r="L114" s="170"/>
      <c r="M114" s="169"/>
      <c r="N114" s="29" t="s">
        <v>119</v>
      </c>
      <c r="O114" s="120"/>
      <c r="P114" s="120"/>
      <c r="Q114" s="120"/>
      <c r="R114" s="29">
        <v>6</v>
      </c>
      <c r="S114" s="195" t="str">
        <f t="shared" si="38"/>
        <v/>
      </c>
      <c r="T114" s="195" t="str">
        <f t="shared" si="39"/>
        <v/>
      </c>
      <c r="U114" s="195" t="str">
        <f t="shared" si="40"/>
        <v/>
      </c>
      <c r="V114" s="20"/>
      <c r="W114" s="154" t="e">
        <f t="shared" si="41"/>
        <v>#N/A</v>
      </c>
      <c r="X114" s="154" t="e">
        <f t="shared" si="42"/>
        <v>#N/A</v>
      </c>
      <c r="Y114" s="154" t="e">
        <f t="shared" si="43"/>
        <v>#N/A</v>
      </c>
      <c r="AA114" s="1133">
        <v>562.38310502283116</v>
      </c>
      <c r="AB114" s="1133">
        <v>625.17687311497821</v>
      </c>
      <c r="AC114" s="1133">
        <v>687.97064120712525</v>
      </c>
      <c r="AD114" s="138"/>
      <c r="AE114" s="138"/>
      <c r="AF114" s="138"/>
      <c r="AG114" s="138"/>
      <c r="AH114" s="138"/>
      <c r="AI114" s="138"/>
      <c r="AJ114" s="138"/>
      <c r="AK114" s="138"/>
      <c r="AL114" s="138"/>
      <c r="AM114" s="138"/>
      <c r="AN114" s="138"/>
      <c r="BR114" s="180">
        <v>2018</v>
      </c>
      <c r="BS114" s="22">
        <v>4</v>
      </c>
      <c r="BT114" s="181" t="e">
        <f t="shared" si="54"/>
        <v>#DIV/0!</v>
      </c>
      <c r="BU114" s="182" t="e">
        <f t="shared" si="55"/>
        <v>#DIV/0!</v>
      </c>
      <c r="BV114" s="183" t="e">
        <f t="shared" si="56"/>
        <v>#DIV/0!</v>
      </c>
      <c r="BY114" s="180">
        <v>2018</v>
      </c>
      <c r="BZ114" s="22">
        <v>4</v>
      </c>
      <c r="CA114" s="185" t="e">
        <f t="shared" ca="1" si="57"/>
        <v>#REF!</v>
      </c>
      <c r="CB114" s="185" t="e">
        <f t="shared" ca="1" si="58"/>
        <v>#REF!</v>
      </c>
      <c r="CC114" s="186" t="e">
        <f t="shared" ca="1" si="69"/>
        <v>#REF!</v>
      </c>
      <c r="CD114" s="183" t="e">
        <f t="shared" ca="1" si="59"/>
        <v>#REF!</v>
      </c>
      <c r="CG114" s="180">
        <v>2018</v>
      </c>
      <c r="CH114" s="22">
        <v>4</v>
      </c>
      <c r="CI114" s="185" t="e">
        <f t="shared" ca="1" si="60"/>
        <v>#REF!</v>
      </c>
      <c r="CJ114" s="185" t="e">
        <f t="shared" ca="1" si="61"/>
        <v>#REF!</v>
      </c>
      <c r="CK114" s="185" t="e">
        <f t="shared" ca="1" si="62"/>
        <v>#REF!</v>
      </c>
      <c r="CL114" s="186" t="e">
        <f t="shared" ca="1" si="63"/>
        <v>#REF!</v>
      </c>
      <c r="CM114" s="183" t="e">
        <f t="shared" ca="1" si="64"/>
        <v>#REF!</v>
      </c>
      <c r="CP114" s="180">
        <v>2018</v>
      </c>
      <c r="CQ114" s="22">
        <v>4</v>
      </c>
      <c r="CR114" s="185" t="e">
        <f t="shared" ca="1" si="65"/>
        <v>#REF!</v>
      </c>
      <c r="CS114" s="186" t="e">
        <f t="shared" ca="1" si="66"/>
        <v>#REF!</v>
      </c>
      <c r="CT114" s="183" t="e">
        <f t="shared" ca="1" si="67"/>
        <v>#REF!</v>
      </c>
      <c r="CZ114" s="164" t="b">
        <f t="shared" si="44"/>
        <v>0</v>
      </c>
      <c r="DA114" s="165" t="b">
        <f t="shared" si="44"/>
        <v>0</v>
      </c>
      <c r="DB114" s="166" t="b">
        <f t="shared" si="44"/>
        <v>0</v>
      </c>
      <c r="DC114" s="164" t="str">
        <f t="shared" si="53"/>
        <v/>
      </c>
      <c r="DD114" s="166" t="str">
        <f t="shared" si="45"/>
        <v/>
      </c>
      <c r="DE114" s="164" t="str">
        <f t="shared" si="46"/>
        <v/>
      </c>
      <c r="DF114" s="166" t="str">
        <f t="shared" si="47"/>
        <v/>
      </c>
      <c r="DG114" s="164" t="str">
        <f t="shared" si="48"/>
        <v/>
      </c>
      <c r="DH114" s="166" t="str">
        <f t="shared" si="49"/>
        <v/>
      </c>
      <c r="DI114" s="164" t="str">
        <f>IFERROR(INDEX(DC$106:DC$154,_xlfn.AGGREGATE(15,6,(ROW(DC$106:DC$154)-ROW(DC$106)+1)/(DC$106:DC$154&lt;&gt;""),ROWS(DI$1:DI9))),"")</f>
        <v/>
      </c>
      <c r="DJ114" s="165" t="str">
        <f>IFERROR(INDEX(DD$106:DD$154,_xlfn.AGGREGATE(15,6,(ROW(DD$106:DD$154)-ROW(DD$106)+1)/(DD$106:DD$154&lt;&gt;""),ROWS(DJ$1:DJ9))),"")</f>
        <v/>
      </c>
      <c r="DK114" s="166" t="str">
        <f t="shared" si="50"/>
        <v/>
      </c>
      <c r="DL114" s="164" t="str">
        <f>IFERROR(INDEX(DE$106:DE$154,_xlfn.AGGREGATE(15,6,(ROW(DE$106:DE$154)-ROW(DE$106)+1)/(DE$106:DE$154&lt;&gt;""),ROWS(DL$1:DL9))),"")</f>
        <v/>
      </c>
      <c r="DM114" s="165" t="str">
        <f>IFERROR(INDEX(DF$106:DF$154,_xlfn.AGGREGATE(15,6,(ROW(DF$106:DF$154)-ROW(DF$106)+1)/(DF$106:DF$154&lt;&gt;""),ROWS(DM$1:DM9))),"")</f>
        <v/>
      </c>
      <c r="DN114" s="166" t="str">
        <f t="shared" si="51"/>
        <v/>
      </c>
      <c r="DO114" s="164" t="str">
        <f>IFERROR(INDEX(DG$106:DG$154,_xlfn.AGGREGATE(15,6,(ROW(DG$106:DG$154)-ROW(DG$106)+1)/(DG$106:DG$154&lt;&gt;""),ROWS(DO$1:DO9))),"")</f>
        <v/>
      </c>
      <c r="DP114" s="165" t="str">
        <f>IFERROR(INDEX(DH$106:DH$154,_xlfn.AGGREGATE(15,6,(ROW(DH$106:DH$154)-ROW(DH$106)+1)/(DH$106:DH$154&lt;&gt;""),ROWS(DP$1:DP9))),"")</f>
        <v/>
      </c>
      <c r="DQ114" s="166" t="str">
        <f t="shared" si="52"/>
        <v/>
      </c>
      <c r="DV114" s="145">
        <v>2023</v>
      </c>
      <c r="DW114" s="235" t="e">
        <f t="shared" ca="1" si="37"/>
        <v>#REF!</v>
      </c>
      <c r="DZ114" s="135"/>
      <c r="EA114" s="33" t="s">
        <v>86</v>
      </c>
      <c r="EB114" s="33" t="s">
        <v>87</v>
      </c>
      <c r="EC114" s="33"/>
      <c r="ED114" s="33"/>
      <c r="EE114" s="33"/>
    </row>
    <row r="115" spans="1:135" ht="14.1" thickBot="1" x14ac:dyDescent="0.5">
      <c r="A115" s="184" t="s">
        <v>80</v>
      </c>
      <c r="B115" s="128">
        <v>2021</v>
      </c>
      <c r="C115" s="1023"/>
      <c r="D115" s="1024"/>
      <c r="E115" s="1025"/>
      <c r="F115" s="894"/>
      <c r="G115" s="159"/>
      <c r="H115" s="151"/>
      <c r="I115" s="1016"/>
      <c r="J115" s="159"/>
      <c r="K115" s="151"/>
      <c r="L115" s="152"/>
      <c r="M115" s="151"/>
      <c r="N115" s="29" t="s">
        <v>119</v>
      </c>
      <c r="O115" s="120"/>
      <c r="P115" s="120"/>
      <c r="Q115" s="120"/>
      <c r="R115" s="29">
        <v>7</v>
      </c>
      <c r="S115" s="196" t="str">
        <f t="shared" si="38"/>
        <v/>
      </c>
      <c r="T115" s="196" t="str">
        <f t="shared" si="39"/>
        <v/>
      </c>
      <c r="U115" s="196" t="str">
        <f t="shared" si="40"/>
        <v/>
      </c>
      <c r="V115" s="20"/>
      <c r="W115" s="154" t="e">
        <f t="shared" si="41"/>
        <v>#N/A</v>
      </c>
      <c r="X115" s="154" t="e">
        <f t="shared" si="42"/>
        <v>#N/A</v>
      </c>
      <c r="Y115" s="154" t="e">
        <f t="shared" si="43"/>
        <v>#N/A</v>
      </c>
      <c r="AA115" s="1133">
        <v>567.55673515981744</v>
      </c>
      <c r="AB115" s="1133">
        <v>629.30320601969402</v>
      </c>
      <c r="AC115" s="1133">
        <v>691.0496768795706</v>
      </c>
      <c r="AD115" s="138"/>
      <c r="AE115" s="138"/>
      <c r="AF115" s="138"/>
      <c r="AG115" s="138"/>
      <c r="AH115" s="138"/>
      <c r="AI115" s="138"/>
      <c r="AJ115" s="138"/>
      <c r="AK115" s="138"/>
      <c r="AL115" s="138"/>
      <c r="AM115" s="138"/>
      <c r="AN115" s="138"/>
      <c r="BR115" s="180">
        <v>2019</v>
      </c>
      <c r="BS115" s="22">
        <v>5</v>
      </c>
      <c r="BT115" s="181" t="e">
        <f t="shared" si="54"/>
        <v>#DIV/0!</v>
      </c>
      <c r="BU115" s="182" t="e">
        <f t="shared" si="55"/>
        <v>#DIV/0!</v>
      </c>
      <c r="BV115" s="197" t="e">
        <f t="shared" si="56"/>
        <v>#DIV/0!</v>
      </c>
      <c r="BY115" s="180">
        <v>2019</v>
      </c>
      <c r="BZ115" s="22">
        <v>5</v>
      </c>
      <c r="CA115" s="198" t="e">
        <f t="shared" ca="1" si="57"/>
        <v>#REF!</v>
      </c>
      <c r="CB115" s="198" t="e">
        <f t="shared" ca="1" si="58"/>
        <v>#REF!</v>
      </c>
      <c r="CC115" s="186" t="e">
        <f t="shared" ca="1" si="69"/>
        <v>#REF!</v>
      </c>
      <c r="CD115" s="197" t="e">
        <f t="shared" ca="1" si="59"/>
        <v>#REF!</v>
      </c>
      <c r="CG115" s="180">
        <v>2019</v>
      </c>
      <c r="CH115" s="22">
        <v>5</v>
      </c>
      <c r="CI115" s="198" t="e">
        <f t="shared" ca="1" si="60"/>
        <v>#REF!</v>
      </c>
      <c r="CJ115" s="198" t="e">
        <f t="shared" ca="1" si="61"/>
        <v>#REF!</v>
      </c>
      <c r="CK115" s="198" t="e">
        <f t="shared" ca="1" si="62"/>
        <v>#REF!</v>
      </c>
      <c r="CL115" s="186" t="e">
        <f t="shared" ca="1" si="63"/>
        <v>#REF!</v>
      </c>
      <c r="CM115" s="197" t="e">
        <f t="shared" ca="1" si="64"/>
        <v>#REF!</v>
      </c>
      <c r="CP115" s="180">
        <v>2019</v>
      </c>
      <c r="CQ115" s="22">
        <v>5</v>
      </c>
      <c r="CR115" s="198" t="e">
        <f t="shared" ca="1" si="65"/>
        <v>#REF!</v>
      </c>
      <c r="CS115" s="186" t="e">
        <f t="shared" ca="1" si="66"/>
        <v>#REF!</v>
      </c>
      <c r="CT115" s="197" t="e">
        <f t="shared" ca="1" si="67"/>
        <v>#REF!</v>
      </c>
      <c r="CZ115" s="164" t="b">
        <f t="shared" si="44"/>
        <v>0</v>
      </c>
      <c r="DA115" s="165" t="b">
        <f t="shared" si="44"/>
        <v>0</v>
      </c>
      <c r="DB115" s="166" t="b">
        <f t="shared" si="44"/>
        <v>0</v>
      </c>
      <c r="DC115" s="164" t="str">
        <f t="shared" si="53"/>
        <v/>
      </c>
      <c r="DD115" s="166" t="str">
        <f t="shared" si="45"/>
        <v/>
      </c>
      <c r="DE115" s="164" t="str">
        <f t="shared" si="46"/>
        <v/>
      </c>
      <c r="DF115" s="166" t="str">
        <f t="shared" si="47"/>
        <v/>
      </c>
      <c r="DG115" s="164" t="str">
        <f t="shared" si="48"/>
        <v/>
      </c>
      <c r="DH115" s="166" t="str">
        <f t="shared" si="49"/>
        <v/>
      </c>
      <c r="DI115" s="164" t="str">
        <f>IFERROR(INDEX(DC$106:DC$154,_xlfn.AGGREGATE(15,6,(ROW(DC$106:DC$154)-ROW(DC$106)+1)/(DC$106:DC$154&lt;&gt;""),ROWS(DI$1:DI10))),"")</f>
        <v/>
      </c>
      <c r="DJ115" s="165" t="str">
        <f>IFERROR(INDEX(DD$106:DD$154,_xlfn.AGGREGATE(15,6,(ROW(DD$106:DD$154)-ROW(DD$106)+1)/(DD$106:DD$154&lt;&gt;""),ROWS(DJ$1:DJ10))),"")</f>
        <v/>
      </c>
      <c r="DK115" s="166" t="str">
        <f t="shared" si="50"/>
        <v/>
      </c>
      <c r="DL115" s="164" t="str">
        <f>IFERROR(INDEX(DE$106:DE$154,_xlfn.AGGREGATE(15,6,(ROW(DE$106:DE$154)-ROW(DE$106)+1)/(DE$106:DE$154&lt;&gt;""),ROWS(DL$1:DL10))),"")</f>
        <v/>
      </c>
      <c r="DM115" s="165" t="str">
        <f>IFERROR(INDEX(DF$106:DF$154,_xlfn.AGGREGATE(15,6,(ROW(DF$106:DF$154)-ROW(DF$106)+1)/(DF$106:DF$154&lt;&gt;""),ROWS(DM$1:DM10))),"")</f>
        <v/>
      </c>
      <c r="DN115" s="166" t="str">
        <f t="shared" si="51"/>
        <v/>
      </c>
      <c r="DO115" s="164" t="str">
        <f>IFERROR(INDEX(DG$106:DG$154,_xlfn.AGGREGATE(15,6,(ROW(DG$106:DG$154)-ROW(DG$106)+1)/(DG$106:DG$154&lt;&gt;""),ROWS(DO$1:DO10))),"")</f>
        <v/>
      </c>
      <c r="DP115" s="165" t="str">
        <f>IFERROR(INDEX(DH$106:DH$154,_xlfn.AGGREGATE(15,6,(ROW(DH$106:DH$154)-ROW(DH$106)+1)/(DH$106:DH$154&lt;&gt;""),ROWS(DP$1:DP10))),"")</f>
        <v/>
      </c>
      <c r="DQ115" s="166" t="str">
        <f t="shared" si="52"/>
        <v/>
      </c>
      <c r="DV115" s="145">
        <v>2024</v>
      </c>
      <c r="DW115" s="235" t="e">
        <f t="shared" ca="1" si="37"/>
        <v>#REF!</v>
      </c>
      <c r="DZ115" s="135" t="s">
        <v>92</v>
      </c>
      <c r="EA115" s="33">
        <f t="shared" ref="EA115:EB117" si="70">IF($EA$104="Linear",0,IF($EA$104="2nd Poly",0,IF($EA$104="3rd Poly",0,IF($EA$104="Exp",CR107))))</f>
        <v>0</v>
      </c>
      <c r="EB115" s="33">
        <f t="shared" si="70"/>
        <v>0</v>
      </c>
      <c r="EC115" s="33" t="str">
        <f>IF($EA$104="Linear","N/A",IF($EA$104="2nd Poly","N/A",IF($EA$104="3rd Poly","N/A","High")))</f>
        <v>N/A</v>
      </c>
      <c r="ED115" s="33"/>
      <c r="EE115" s="33"/>
    </row>
    <row r="116" spans="1:135" ht="13.8" x14ac:dyDescent="0.45">
      <c r="A116" s="148" t="s">
        <v>88</v>
      </c>
      <c r="B116" s="128">
        <v>2022</v>
      </c>
      <c r="C116" s="1023"/>
      <c r="D116" s="1024"/>
      <c r="E116" s="1025"/>
      <c r="F116" s="894"/>
      <c r="G116" s="159"/>
      <c r="H116" s="200"/>
      <c r="I116" s="1111"/>
      <c r="J116" s="199"/>
      <c r="K116" s="200"/>
      <c r="L116" s="201"/>
      <c r="M116" s="200"/>
      <c r="N116" s="29" t="s">
        <v>119</v>
      </c>
      <c r="O116" s="120"/>
      <c r="P116" s="120"/>
      <c r="Q116" s="120"/>
      <c r="R116" s="29">
        <v>8</v>
      </c>
      <c r="S116" s="202" t="str">
        <f t="shared" si="38"/>
        <v/>
      </c>
      <c r="T116" s="202" t="str">
        <f t="shared" si="39"/>
        <v/>
      </c>
      <c r="U116" s="202" t="str">
        <f t="shared" si="40"/>
        <v/>
      </c>
      <c r="V116" s="20"/>
      <c r="W116" s="154" t="e">
        <f t="shared" si="41"/>
        <v>#N/A</v>
      </c>
      <c r="X116" s="154" t="e">
        <f t="shared" si="42"/>
        <v>#N/A</v>
      </c>
      <c r="Y116" s="154" t="e">
        <f t="shared" si="43"/>
        <v>#N/A</v>
      </c>
      <c r="AA116" s="1133">
        <v>572.73036529680371</v>
      </c>
      <c r="AB116" s="1133">
        <v>633.45069028043122</v>
      </c>
      <c r="AC116" s="1133">
        <v>694.17101526405872</v>
      </c>
      <c r="AD116" s="120"/>
      <c r="AE116" s="120"/>
      <c r="AF116" s="120"/>
      <c r="AG116" s="120"/>
      <c r="AH116" s="120"/>
      <c r="AI116" s="120"/>
      <c r="AJ116" s="120"/>
      <c r="AK116" s="120"/>
      <c r="AL116" s="120"/>
      <c r="AM116" s="120"/>
      <c r="AN116" s="120"/>
      <c r="BR116" s="180">
        <v>2020</v>
      </c>
      <c r="BS116" s="22">
        <v>6</v>
      </c>
      <c r="BT116" s="181" t="e">
        <f t="shared" si="54"/>
        <v>#DIV/0!</v>
      </c>
      <c r="BU116" s="182" t="e">
        <f t="shared" si="55"/>
        <v>#DIV/0!</v>
      </c>
      <c r="BV116" s="203" t="e">
        <f t="shared" si="56"/>
        <v>#DIV/0!</v>
      </c>
      <c r="BY116" s="180">
        <v>2020</v>
      </c>
      <c r="BZ116" s="22">
        <v>6</v>
      </c>
      <c r="CA116" s="198" t="e">
        <f t="shared" ca="1" si="57"/>
        <v>#REF!</v>
      </c>
      <c r="CB116" s="198" t="e">
        <f t="shared" ca="1" si="58"/>
        <v>#REF!</v>
      </c>
      <c r="CC116" s="186" t="e">
        <f t="shared" ca="1" si="69"/>
        <v>#REF!</v>
      </c>
      <c r="CD116" s="203" t="e">
        <f t="shared" ca="1" si="59"/>
        <v>#REF!</v>
      </c>
      <c r="CG116" s="180">
        <v>2020</v>
      </c>
      <c r="CH116" s="22">
        <v>6</v>
      </c>
      <c r="CI116" s="198" t="e">
        <f t="shared" ca="1" si="60"/>
        <v>#REF!</v>
      </c>
      <c r="CJ116" s="198" t="e">
        <f t="shared" ca="1" si="61"/>
        <v>#REF!</v>
      </c>
      <c r="CK116" s="198" t="e">
        <f t="shared" ca="1" si="62"/>
        <v>#REF!</v>
      </c>
      <c r="CL116" s="186" t="e">
        <f t="shared" ca="1" si="63"/>
        <v>#REF!</v>
      </c>
      <c r="CM116" s="203" t="e">
        <f t="shared" ca="1" si="64"/>
        <v>#REF!</v>
      </c>
      <c r="CP116" s="180">
        <v>2020</v>
      </c>
      <c r="CQ116" s="22">
        <v>6</v>
      </c>
      <c r="CR116" s="198" t="e">
        <f t="shared" ca="1" si="65"/>
        <v>#REF!</v>
      </c>
      <c r="CS116" s="186" t="e">
        <f t="shared" ca="1" si="66"/>
        <v>#REF!</v>
      </c>
      <c r="CT116" s="203" t="e">
        <f t="shared" ca="1" si="67"/>
        <v>#REF!</v>
      </c>
      <c r="CZ116" s="164" t="b">
        <f t="shared" si="44"/>
        <v>0</v>
      </c>
      <c r="DA116" s="165" t="b">
        <f t="shared" si="44"/>
        <v>0</v>
      </c>
      <c r="DB116" s="166" t="b">
        <f t="shared" si="44"/>
        <v>0</v>
      </c>
      <c r="DC116" s="164" t="str">
        <f t="shared" si="53"/>
        <v/>
      </c>
      <c r="DD116" s="166" t="str">
        <f t="shared" si="45"/>
        <v/>
      </c>
      <c r="DE116" s="164" t="str">
        <f t="shared" si="46"/>
        <v/>
      </c>
      <c r="DF116" s="166" t="str">
        <f t="shared" si="47"/>
        <v/>
      </c>
      <c r="DG116" s="164" t="str">
        <f t="shared" si="48"/>
        <v/>
      </c>
      <c r="DH116" s="166" t="str">
        <f t="shared" si="49"/>
        <v/>
      </c>
      <c r="DI116" s="164" t="str">
        <f>IFERROR(INDEX(DC$106:DC$154,_xlfn.AGGREGATE(15,6,(ROW(DC$106:DC$154)-ROW(DC$106)+1)/(DC$106:DC$154&lt;&gt;""),ROWS(DI$1:DI11))),"")</f>
        <v/>
      </c>
      <c r="DJ116" s="165" t="str">
        <f>IFERROR(INDEX(DD$106:DD$154,_xlfn.AGGREGATE(15,6,(ROW(DD$106:DD$154)-ROW(DD$106)+1)/(DD$106:DD$154&lt;&gt;""),ROWS(DJ$1:DJ11))),"")</f>
        <v/>
      </c>
      <c r="DK116" s="166" t="str">
        <f t="shared" si="50"/>
        <v/>
      </c>
      <c r="DL116" s="164" t="str">
        <f>IFERROR(INDEX(DE$106:DE$154,_xlfn.AGGREGATE(15,6,(ROW(DE$106:DE$154)-ROW(DE$106)+1)/(DE$106:DE$154&lt;&gt;""),ROWS(DL$1:DL11))),"")</f>
        <v/>
      </c>
      <c r="DM116" s="165" t="str">
        <f>IFERROR(INDEX(DF$106:DF$154,_xlfn.AGGREGATE(15,6,(ROW(DF$106:DF$154)-ROW(DF$106)+1)/(DF$106:DF$154&lt;&gt;""),ROWS(DM$1:DM11))),"")</f>
        <v/>
      </c>
      <c r="DN116" s="166" t="str">
        <f t="shared" si="51"/>
        <v/>
      </c>
      <c r="DO116" s="164" t="str">
        <f>IFERROR(INDEX(DG$106:DG$154,_xlfn.AGGREGATE(15,6,(ROW(DG$106:DG$154)-ROW(DG$106)+1)/(DG$106:DG$154&lt;&gt;""),ROWS(DO$1:DO11))),"")</f>
        <v/>
      </c>
      <c r="DP116" s="165" t="str">
        <f>IFERROR(INDEX(DH$106:DH$154,_xlfn.AGGREGATE(15,6,(ROW(DH$106:DH$154)-ROW(DH$106)+1)/(DH$106:DH$154&lt;&gt;""),ROWS(DP$1:DP11))),"")</f>
        <v/>
      </c>
      <c r="DQ116" s="166" t="str">
        <f t="shared" si="52"/>
        <v/>
      </c>
      <c r="DV116" s="145">
        <v>2025</v>
      </c>
      <c r="DW116" s="235" t="e">
        <f t="shared" ca="1" si="37"/>
        <v>#REF!</v>
      </c>
      <c r="DZ116" s="135" t="s">
        <v>92</v>
      </c>
      <c r="EA116" s="33">
        <f t="shared" si="70"/>
        <v>0</v>
      </c>
      <c r="EB116" s="33">
        <f t="shared" si="70"/>
        <v>0</v>
      </c>
      <c r="EC116" s="33" t="str">
        <f>IF($EA$104="Linear","N/A",IF($EA$104="2nd Poly","N/A",IF($EA$104="3rd Poly","N/A","Medium")))</f>
        <v>N/A</v>
      </c>
    </row>
    <row r="117" spans="1:135" ht="13.8" x14ac:dyDescent="0.45">
      <c r="B117" s="128">
        <v>2023</v>
      </c>
      <c r="C117" s="1023"/>
      <c r="D117" s="1024"/>
      <c r="E117" s="1025"/>
      <c r="F117" s="894"/>
      <c r="G117" s="159"/>
      <c r="H117" s="200"/>
      <c r="I117" s="1111"/>
      <c r="J117" s="199"/>
      <c r="K117" s="200"/>
      <c r="L117" s="201"/>
      <c r="M117" s="200"/>
      <c r="N117" s="29" t="s">
        <v>119</v>
      </c>
      <c r="O117" s="120"/>
      <c r="P117" s="120"/>
      <c r="Q117" s="120"/>
      <c r="R117" s="29">
        <v>9</v>
      </c>
      <c r="S117" s="202" t="str">
        <f t="shared" si="38"/>
        <v/>
      </c>
      <c r="T117" s="202" t="str">
        <f t="shared" si="39"/>
        <v/>
      </c>
      <c r="U117" s="202" t="str">
        <f t="shared" si="40"/>
        <v/>
      </c>
      <c r="V117" s="20"/>
      <c r="W117" s="154" t="e">
        <f t="shared" si="41"/>
        <v>#N/A</v>
      </c>
      <c r="X117" s="154" t="e">
        <f t="shared" si="42"/>
        <v>#N/A</v>
      </c>
      <c r="Y117" s="154" t="e">
        <f t="shared" si="43"/>
        <v>#N/A</v>
      </c>
      <c r="AA117" s="1133">
        <v>577.90399543378999</v>
      </c>
      <c r="AB117" s="1133">
        <v>637.60454708429847</v>
      </c>
      <c r="AC117" s="1133">
        <v>697.30509873480696</v>
      </c>
      <c r="AD117" s="120"/>
      <c r="AE117" s="120"/>
      <c r="AF117" s="120"/>
      <c r="AG117" s="120"/>
      <c r="AH117" s="120"/>
      <c r="AI117" s="120"/>
      <c r="AJ117" s="120"/>
      <c r="AK117" s="120"/>
      <c r="AL117" s="120"/>
      <c r="AM117" s="120"/>
      <c r="AN117" s="120"/>
      <c r="BR117" s="180">
        <v>2021</v>
      </c>
      <c r="BS117" s="22">
        <v>7</v>
      </c>
      <c r="BT117" s="181" t="e">
        <f t="shared" si="54"/>
        <v>#DIV/0!</v>
      </c>
      <c r="BU117" s="182" t="e">
        <f t="shared" si="55"/>
        <v>#DIV/0!</v>
      </c>
      <c r="BV117" s="205" t="e">
        <f t="shared" si="56"/>
        <v>#DIV/0!</v>
      </c>
      <c r="BY117" s="180">
        <v>2021</v>
      </c>
      <c r="BZ117" s="22">
        <v>7</v>
      </c>
      <c r="CA117" s="198" t="e">
        <f t="shared" ca="1" si="57"/>
        <v>#REF!</v>
      </c>
      <c r="CB117" s="198" t="e">
        <f t="shared" ca="1" si="58"/>
        <v>#REF!</v>
      </c>
      <c r="CC117" s="186" t="e">
        <f t="shared" ca="1" si="69"/>
        <v>#REF!</v>
      </c>
      <c r="CD117" s="205" t="e">
        <f t="shared" ca="1" si="59"/>
        <v>#REF!</v>
      </c>
      <c r="CG117" s="180">
        <v>2021</v>
      </c>
      <c r="CH117" s="22">
        <v>7</v>
      </c>
      <c r="CI117" s="198" t="e">
        <f t="shared" ca="1" si="60"/>
        <v>#REF!</v>
      </c>
      <c r="CJ117" s="198" t="e">
        <f t="shared" ca="1" si="61"/>
        <v>#REF!</v>
      </c>
      <c r="CK117" s="198" t="e">
        <f t="shared" ca="1" si="62"/>
        <v>#REF!</v>
      </c>
      <c r="CL117" s="186" t="e">
        <f t="shared" ca="1" si="63"/>
        <v>#REF!</v>
      </c>
      <c r="CM117" s="205" t="e">
        <f t="shared" ca="1" si="64"/>
        <v>#REF!</v>
      </c>
      <c r="CP117" s="180">
        <v>2021</v>
      </c>
      <c r="CQ117" s="22">
        <v>7</v>
      </c>
      <c r="CR117" s="198" t="e">
        <f t="shared" ca="1" si="65"/>
        <v>#REF!</v>
      </c>
      <c r="CS117" s="186" t="e">
        <f t="shared" ca="1" si="66"/>
        <v>#REF!</v>
      </c>
      <c r="CT117" s="205" t="e">
        <f t="shared" ca="1" si="67"/>
        <v>#REF!</v>
      </c>
      <c r="CZ117" s="164" t="b">
        <f t="shared" si="44"/>
        <v>0</v>
      </c>
      <c r="DA117" s="165" t="b">
        <f t="shared" si="44"/>
        <v>0</v>
      </c>
      <c r="DB117" s="166" t="b">
        <f t="shared" si="44"/>
        <v>0</v>
      </c>
      <c r="DC117" s="164" t="str">
        <f t="shared" si="53"/>
        <v/>
      </c>
      <c r="DD117" s="166" t="str">
        <f t="shared" si="45"/>
        <v/>
      </c>
      <c r="DE117" s="164" t="str">
        <f t="shared" si="46"/>
        <v/>
      </c>
      <c r="DF117" s="166" t="str">
        <f t="shared" si="47"/>
        <v/>
      </c>
      <c r="DG117" s="164" t="str">
        <f t="shared" si="48"/>
        <v/>
      </c>
      <c r="DH117" s="166" t="str">
        <f t="shared" si="49"/>
        <v/>
      </c>
      <c r="DI117" s="164" t="str">
        <f>IFERROR(INDEX(DC$106:DC$154,_xlfn.AGGREGATE(15,6,(ROW(DC$106:DC$154)-ROW(DC$106)+1)/(DC$106:DC$154&lt;&gt;""),ROWS(DI$1:DI12))),"")</f>
        <v/>
      </c>
      <c r="DJ117" s="165" t="str">
        <f>IFERROR(INDEX(DD$106:DD$154,_xlfn.AGGREGATE(15,6,(ROW(DD$106:DD$154)-ROW(DD$106)+1)/(DD$106:DD$154&lt;&gt;""),ROWS(DJ$1:DJ12))),"")</f>
        <v/>
      </c>
      <c r="DK117" s="166" t="str">
        <f t="shared" si="50"/>
        <v/>
      </c>
      <c r="DL117" s="164" t="str">
        <f>IFERROR(INDEX(DE$106:DE$154,_xlfn.AGGREGATE(15,6,(ROW(DE$106:DE$154)-ROW(DE$106)+1)/(DE$106:DE$154&lt;&gt;""),ROWS(DL$1:DL12))),"")</f>
        <v/>
      </c>
      <c r="DM117" s="165" t="str">
        <f>IFERROR(INDEX(DF$106:DF$154,_xlfn.AGGREGATE(15,6,(ROW(DF$106:DF$154)-ROW(DF$106)+1)/(DF$106:DF$154&lt;&gt;""),ROWS(DM$1:DM12))),"")</f>
        <v/>
      </c>
      <c r="DN117" s="166" t="str">
        <f t="shared" si="51"/>
        <v/>
      </c>
      <c r="DO117" s="164" t="str">
        <f>IFERROR(INDEX(DG$106:DG$154,_xlfn.AGGREGATE(15,6,(ROW(DG$106:DG$154)-ROW(DG$106)+1)/(DG$106:DG$154&lt;&gt;""),ROWS(DO$1:DO12))),"")</f>
        <v/>
      </c>
      <c r="DP117" s="165" t="str">
        <f>IFERROR(INDEX(DH$106:DH$154,_xlfn.AGGREGATE(15,6,(ROW(DH$106:DH$154)-ROW(DH$106)+1)/(DH$106:DH$154&lt;&gt;""),ROWS(DP$1:DP12))),"")</f>
        <v/>
      </c>
      <c r="DQ117" s="166" t="str">
        <f t="shared" si="52"/>
        <v/>
      </c>
      <c r="DV117" s="145">
        <v>2026</v>
      </c>
      <c r="DW117" s="235" t="e">
        <f t="shared" ca="1" si="37"/>
        <v>#REF!</v>
      </c>
      <c r="DZ117" s="135" t="s">
        <v>92</v>
      </c>
      <c r="EA117" s="33">
        <f t="shared" si="70"/>
        <v>0</v>
      </c>
      <c r="EB117" s="33">
        <f t="shared" si="70"/>
        <v>0</v>
      </c>
      <c r="EC117" s="33" t="str">
        <f>IF($EA$104="Linear","N/A",IF($EA$104="2nd Poly","N/A",IF($EA$104="3rd Poly","N/A","Low")))</f>
        <v>N/A</v>
      </c>
    </row>
    <row r="118" spans="1:135" ht="13.8" x14ac:dyDescent="0.45">
      <c r="B118" s="128">
        <v>2024</v>
      </c>
      <c r="C118" s="1023"/>
      <c r="D118" s="1024"/>
      <c r="E118" s="1025"/>
      <c r="F118" s="894"/>
      <c r="G118" s="159"/>
      <c r="H118" s="204"/>
      <c r="I118" s="1112"/>
      <c r="J118" s="207"/>
      <c r="K118" s="204"/>
      <c r="L118" s="206"/>
      <c r="M118" s="204"/>
      <c r="N118" s="29" t="s">
        <v>119</v>
      </c>
      <c r="O118" s="120"/>
      <c r="P118" s="120"/>
      <c r="Q118" s="120"/>
      <c r="R118" s="29">
        <v>10</v>
      </c>
      <c r="S118" s="154" t="str">
        <f t="shared" si="38"/>
        <v/>
      </c>
      <c r="T118" s="154" t="str">
        <f t="shared" si="39"/>
        <v/>
      </c>
      <c r="U118" s="154" t="str">
        <f t="shared" si="40"/>
        <v/>
      </c>
      <c r="V118" s="20"/>
      <c r="W118" s="154" t="e">
        <f t="shared" si="41"/>
        <v>#N/A</v>
      </c>
      <c r="X118" s="154" t="e">
        <f t="shared" si="42"/>
        <v>#N/A</v>
      </c>
      <c r="Y118" s="154" t="e">
        <f t="shared" si="43"/>
        <v>#N/A</v>
      </c>
      <c r="AA118" s="1133">
        <v>583.07762557077626</v>
      </c>
      <c r="AB118" s="1133">
        <v>641.76803572153256</v>
      </c>
      <c r="AC118" s="1133">
        <v>700.45844587228885</v>
      </c>
      <c r="AD118" s="120"/>
      <c r="AE118" s="120"/>
      <c r="AF118" s="120"/>
      <c r="AG118" s="120"/>
      <c r="AH118" s="120"/>
      <c r="AI118" s="120"/>
      <c r="AJ118" s="120"/>
      <c r="AK118" s="120"/>
      <c r="AL118" s="120"/>
      <c r="AM118" s="120"/>
      <c r="AN118" s="120"/>
      <c r="BR118" s="180">
        <v>2022</v>
      </c>
      <c r="BS118" s="22">
        <v>8</v>
      </c>
      <c r="BT118" s="181" t="e">
        <f t="shared" si="54"/>
        <v>#DIV/0!</v>
      </c>
      <c r="BU118" s="182" t="e">
        <f t="shared" si="55"/>
        <v>#DIV/0!</v>
      </c>
      <c r="BV118" s="205" t="e">
        <f t="shared" si="56"/>
        <v>#DIV/0!</v>
      </c>
      <c r="BY118" s="180">
        <v>2022</v>
      </c>
      <c r="BZ118" s="22">
        <v>8</v>
      </c>
      <c r="CA118" s="198" t="e">
        <f t="shared" ca="1" si="57"/>
        <v>#REF!</v>
      </c>
      <c r="CB118" s="198" t="e">
        <f t="shared" ca="1" si="58"/>
        <v>#REF!</v>
      </c>
      <c r="CC118" s="186" t="e">
        <f t="shared" ca="1" si="69"/>
        <v>#REF!</v>
      </c>
      <c r="CD118" s="205" t="e">
        <f t="shared" ca="1" si="59"/>
        <v>#REF!</v>
      </c>
      <c r="CG118" s="180">
        <v>2022</v>
      </c>
      <c r="CH118" s="22">
        <v>8</v>
      </c>
      <c r="CI118" s="198" t="e">
        <f t="shared" ca="1" si="60"/>
        <v>#REF!</v>
      </c>
      <c r="CJ118" s="198" t="e">
        <f t="shared" ca="1" si="61"/>
        <v>#REF!</v>
      </c>
      <c r="CK118" s="198" t="e">
        <f t="shared" ca="1" si="62"/>
        <v>#REF!</v>
      </c>
      <c r="CL118" s="186" t="e">
        <f t="shared" ca="1" si="63"/>
        <v>#REF!</v>
      </c>
      <c r="CM118" s="205" t="e">
        <f t="shared" ca="1" si="64"/>
        <v>#REF!</v>
      </c>
      <c r="CP118" s="180">
        <v>2022</v>
      </c>
      <c r="CQ118" s="22">
        <v>8</v>
      </c>
      <c r="CR118" s="198" t="e">
        <f t="shared" ca="1" si="65"/>
        <v>#REF!</v>
      </c>
      <c r="CS118" s="186" t="e">
        <f t="shared" ca="1" si="66"/>
        <v>#REF!</v>
      </c>
      <c r="CT118" s="205" t="e">
        <f t="shared" ca="1" si="67"/>
        <v>#REF!</v>
      </c>
      <c r="CZ118" s="164" t="b">
        <f t="shared" si="44"/>
        <v>0</v>
      </c>
      <c r="DA118" s="165" t="b">
        <f t="shared" si="44"/>
        <v>0</v>
      </c>
      <c r="DB118" s="166" t="b">
        <f t="shared" si="44"/>
        <v>0</v>
      </c>
      <c r="DC118" s="164" t="str">
        <f t="shared" si="53"/>
        <v/>
      </c>
      <c r="DD118" s="166" t="str">
        <f t="shared" si="45"/>
        <v/>
      </c>
      <c r="DE118" s="164" t="str">
        <f t="shared" si="46"/>
        <v/>
      </c>
      <c r="DF118" s="166" t="str">
        <f t="shared" si="47"/>
        <v/>
      </c>
      <c r="DG118" s="164" t="str">
        <f t="shared" si="48"/>
        <v/>
      </c>
      <c r="DH118" s="166" t="str">
        <f t="shared" si="49"/>
        <v/>
      </c>
      <c r="DI118" s="164" t="str">
        <f>IFERROR(INDEX(DC$106:DC$154,_xlfn.AGGREGATE(15,6,(ROW(DC$106:DC$154)-ROW(DC$106)+1)/(DC$106:DC$154&lt;&gt;""),ROWS(DI$1:DI13))),"")</f>
        <v/>
      </c>
      <c r="DJ118" s="165" t="str">
        <f>IFERROR(INDEX(DD$106:DD$154,_xlfn.AGGREGATE(15,6,(ROW(DD$106:DD$154)-ROW(DD$106)+1)/(DD$106:DD$154&lt;&gt;""),ROWS(DJ$1:DJ13))),"")</f>
        <v/>
      </c>
      <c r="DK118" s="166" t="str">
        <f t="shared" si="50"/>
        <v/>
      </c>
      <c r="DL118" s="164" t="str">
        <f>IFERROR(INDEX(DE$106:DE$154,_xlfn.AGGREGATE(15,6,(ROW(DE$106:DE$154)-ROW(DE$106)+1)/(DE$106:DE$154&lt;&gt;""),ROWS(DL$1:DL13))),"")</f>
        <v/>
      </c>
      <c r="DM118" s="165" t="str">
        <f>IFERROR(INDEX(DF$106:DF$154,_xlfn.AGGREGATE(15,6,(ROW(DF$106:DF$154)-ROW(DF$106)+1)/(DF$106:DF$154&lt;&gt;""),ROWS(DM$1:DM13))),"")</f>
        <v/>
      </c>
      <c r="DN118" s="166" t="str">
        <f t="shared" si="51"/>
        <v/>
      </c>
      <c r="DO118" s="164" t="str">
        <f>IFERROR(INDEX(DG$106:DG$154,_xlfn.AGGREGATE(15,6,(ROW(DG$106:DG$154)-ROW(DG$106)+1)/(DG$106:DG$154&lt;&gt;""),ROWS(DO$1:DO13))),"")</f>
        <v/>
      </c>
      <c r="DP118" s="165" t="str">
        <f>IFERROR(INDEX(DH$106:DH$154,_xlfn.AGGREGATE(15,6,(ROW(DH$106:DH$154)-ROW(DH$106)+1)/(DH$106:DH$154&lt;&gt;""),ROWS(DP$1:DP13))),"")</f>
        <v/>
      </c>
      <c r="DQ118" s="166" t="str">
        <f t="shared" si="52"/>
        <v/>
      </c>
      <c r="DV118" s="145">
        <v>2027</v>
      </c>
      <c r="DW118" s="235" t="e">
        <f t="shared" ca="1" si="37"/>
        <v>#REF!</v>
      </c>
    </row>
    <row r="119" spans="1:135" ht="13.8" x14ac:dyDescent="0.45">
      <c r="B119" s="128">
        <v>2025</v>
      </c>
      <c r="C119" s="1023"/>
      <c r="D119" s="1024"/>
      <c r="E119" s="1025"/>
      <c r="F119" s="894"/>
      <c r="G119" s="159"/>
      <c r="H119" s="204"/>
      <c r="I119" s="1112"/>
      <c r="J119" s="207"/>
      <c r="K119" s="204"/>
      <c r="L119" s="206"/>
      <c r="M119" s="204"/>
      <c r="N119" s="29" t="s">
        <v>119</v>
      </c>
      <c r="O119" s="120"/>
      <c r="P119" s="120"/>
      <c r="Q119" s="120"/>
      <c r="R119" s="29">
        <v>11</v>
      </c>
      <c r="S119" s="154" t="str">
        <f t="shared" si="38"/>
        <v/>
      </c>
      <c r="T119" s="154" t="str">
        <f t="shared" si="39"/>
        <v/>
      </c>
      <c r="U119" s="154" t="str">
        <f t="shared" si="40"/>
        <v/>
      </c>
      <c r="W119" s="154" t="e">
        <f t="shared" si="41"/>
        <v>#N/A</v>
      </c>
      <c r="X119" s="154" t="e">
        <f t="shared" si="42"/>
        <v>#N/A</v>
      </c>
      <c r="Y119" s="154" t="e">
        <f t="shared" si="43"/>
        <v>#N/A</v>
      </c>
      <c r="AA119" s="1133">
        <v>588.25125570776254</v>
      </c>
      <c r="AB119" s="1133">
        <v>645.33761464870258</v>
      </c>
      <c r="AC119" s="1133">
        <v>702.42397358964263</v>
      </c>
      <c r="AD119" s="120"/>
      <c r="AE119" s="120"/>
      <c r="AF119" s="120"/>
      <c r="AG119" s="120"/>
      <c r="AH119" s="120"/>
      <c r="AI119" s="120"/>
      <c r="AJ119" s="120"/>
      <c r="AK119" s="120"/>
      <c r="AL119" s="120"/>
      <c r="AM119" s="120"/>
      <c r="AN119" s="120"/>
      <c r="BR119" s="180">
        <v>2023</v>
      </c>
      <c r="BS119" s="22">
        <v>9</v>
      </c>
      <c r="BT119" s="181" t="e">
        <f t="shared" si="54"/>
        <v>#DIV/0!</v>
      </c>
      <c r="BU119" s="182" t="e">
        <f t="shared" si="55"/>
        <v>#DIV/0!</v>
      </c>
      <c r="BV119" s="205" t="e">
        <f t="shared" si="56"/>
        <v>#DIV/0!</v>
      </c>
      <c r="BY119" s="180">
        <v>2023</v>
      </c>
      <c r="BZ119" s="22">
        <v>9</v>
      </c>
      <c r="CA119" s="198" t="e">
        <f t="shared" ca="1" si="57"/>
        <v>#REF!</v>
      </c>
      <c r="CB119" s="198" t="e">
        <f t="shared" ca="1" si="58"/>
        <v>#REF!</v>
      </c>
      <c r="CC119" s="186" t="e">
        <f t="shared" ca="1" si="69"/>
        <v>#REF!</v>
      </c>
      <c r="CD119" s="205" t="e">
        <f t="shared" ca="1" si="59"/>
        <v>#REF!</v>
      </c>
      <c r="CG119" s="180">
        <v>2023</v>
      </c>
      <c r="CH119" s="22">
        <v>9</v>
      </c>
      <c r="CI119" s="198" t="e">
        <f t="shared" ca="1" si="60"/>
        <v>#REF!</v>
      </c>
      <c r="CJ119" s="198" t="e">
        <f t="shared" ca="1" si="61"/>
        <v>#REF!</v>
      </c>
      <c r="CK119" s="198" t="e">
        <f t="shared" ca="1" si="62"/>
        <v>#REF!</v>
      </c>
      <c r="CL119" s="186" t="e">
        <f t="shared" ca="1" si="63"/>
        <v>#REF!</v>
      </c>
      <c r="CM119" s="205" t="e">
        <f t="shared" ca="1" si="64"/>
        <v>#REF!</v>
      </c>
      <c r="CP119" s="180">
        <v>2023</v>
      </c>
      <c r="CQ119" s="22">
        <v>9</v>
      </c>
      <c r="CR119" s="198" t="e">
        <f t="shared" ca="1" si="65"/>
        <v>#REF!</v>
      </c>
      <c r="CS119" s="186" t="e">
        <f t="shared" ca="1" si="66"/>
        <v>#REF!</v>
      </c>
      <c r="CT119" s="205" t="e">
        <f t="shared" ca="1" si="67"/>
        <v>#REF!</v>
      </c>
      <c r="CZ119" s="164" t="b">
        <f t="shared" si="44"/>
        <v>0</v>
      </c>
      <c r="DA119" s="165" t="b">
        <f t="shared" si="44"/>
        <v>0</v>
      </c>
      <c r="DB119" s="166" t="b">
        <f t="shared" si="44"/>
        <v>0</v>
      </c>
      <c r="DC119" s="164" t="str">
        <f t="shared" si="53"/>
        <v/>
      </c>
      <c r="DD119" s="166" t="str">
        <f t="shared" si="45"/>
        <v/>
      </c>
      <c r="DE119" s="164" t="str">
        <f t="shared" si="46"/>
        <v/>
      </c>
      <c r="DF119" s="166" t="str">
        <f t="shared" si="47"/>
        <v/>
      </c>
      <c r="DG119" s="164" t="str">
        <f t="shared" si="48"/>
        <v/>
      </c>
      <c r="DH119" s="166" t="str">
        <f t="shared" si="49"/>
        <v/>
      </c>
      <c r="DI119" s="164" t="str">
        <f>IFERROR(INDEX(DC$106:DC$154,_xlfn.AGGREGATE(15,6,(ROW(DC$106:DC$154)-ROW(DC$106)+1)/(DC$106:DC$154&lt;&gt;""),ROWS(DI$1:DI14))),"")</f>
        <v/>
      </c>
      <c r="DJ119" s="165" t="str">
        <f>IFERROR(INDEX(DD$106:DD$154,_xlfn.AGGREGATE(15,6,(ROW(DD$106:DD$154)-ROW(DD$106)+1)/(DD$106:DD$154&lt;&gt;""),ROWS(DJ$1:DJ14))),"")</f>
        <v/>
      </c>
      <c r="DK119" s="166" t="str">
        <f t="shared" si="50"/>
        <v/>
      </c>
      <c r="DL119" s="164" t="str">
        <f>IFERROR(INDEX(DE$106:DE$154,_xlfn.AGGREGATE(15,6,(ROW(DE$106:DE$154)-ROW(DE$106)+1)/(DE$106:DE$154&lt;&gt;""),ROWS(DL$1:DL14))),"")</f>
        <v/>
      </c>
      <c r="DM119" s="165" t="str">
        <f>IFERROR(INDEX(DF$106:DF$154,_xlfn.AGGREGATE(15,6,(ROW(DF$106:DF$154)-ROW(DF$106)+1)/(DF$106:DF$154&lt;&gt;""),ROWS(DM$1:DM14))),"")</f>
        <v/>
      </c>
      <c r="DN119" s="166" t="str">
        <f t="shared" si="51"/>
        <v/>
      </c>
      <c r="DO119" s="164" t="str">
        <f>IFERROR(INDEX(DG$106:DG$154,_xlfn.AGGREGATE(15,6,(ROW(DG$106:DG$154)-ROW(DG$106)+1)/(DG$106:DG$154&lt;&gt;""),ROWS(DO$1:DO14))),"")</f>
        <v/>
      </c>
      <c r="DP119" s="165" t="str">
        <f>IFERROR(INDEX(DH$106:DH$154,_xlfn.AGGREGATE(15,6,(ROW(DH$106:DH$154)-ROW(DH$106)+1)/(DH$106:DH$154&lt;&gt;""),ROWS(DP$1:DP14))),"")</f>
        <v/>
      </c>
      <c r="DQ119" s="166" t="str">
        <f t="shared" si="52"/>
        <v/>
      </c>
      <c r="DV119" s="145">
        <v>2028</v>
      </c>
      <c r="DW119" s="235" t="e">
        <f t="shared" ca="1" si="37"/>
        <v>#REF!</v>
      </c>
    </row>
    <row r="120" spans="1:135" ht="13.8" x14ac:dyDescent="0.45">
      <c r="B120" s="128">
        <v>2026</v>
      </c>
      <c r="C120" s="1023"/>
      <c r="D120" s="1024"/>
      <c r="E120" s="1025"/>
      <c r="F120" s="894"/>
      <c r="G120" s="159"/>
      <c r="H120" s="204"/>
      <c r="I120" s="1112"/>
      <c r="J120" s="207"/>
      <c r="K120" s="204"/>
      <c r="L120" s="206"/>
      <c r="M120" s="204"/>
      <c r="N120" s="29" t="s">
        <v>119</v>
      </c>
      <c r="O120" s="120"/>
      <c r="P120" s="120"/>
      <c r="Q120" s="120"/>
      <c r="R120" s="29">
        <v>12</v>
      </c>
      <c r="S120" s="154" t="str">
        <f t="shared" si="38"/>
        <v/>
      </c>
      <c r="T120" s="154" t="str">
        <f t="shared" si="39"/>
        <v/>
      </c>
      <c r="U120" s="154" t="str">
        <f t="shared" si="40"/>
        <v/>
      </c>
      <c r="W120" s="154" t="e">
        <f t="shared" si="41"/>
        <v>#N/A</v>
      </c>
      <c r="X120" s="154" t="e">
        <f t="shared" si="42"/>
        <v>#N/A</v>
      </c>
      <c r="Y120" s="154" t="e">
        <f t="shared" si="43"/>
        <v>#N/A</v>
      </c>
      <c r="AA120" s="1133">
        <v>593.42488584474881</v>
      </c>
      <c r="AB120" s="1133">
        <v>650.12912558417747</v>
      </c>
      <c r="AC120" s="1133">
        <v>706.83336532360613</v>
      </c>
      <c r="AD120" s="120"/>
      <c r="AE120" s="120"/>
      <c r="AF120" s="120"/>
      <c r="AG120" s="120"/>
      <c r="AH120" s="120"/>
      <c r="AI120" s="120"/>
      <c r="AJ120" s="120"/>
      <c r="AK120" s="120"/>
      <c r="AL120" s="120"/>
      <c r="AM120" s="120"/>
      <c r="AN120" s="120"/>
      <c r="BR120" s="180">
        <v>2024</v>
      </c>
      <c r="BS120" s="22">
        <v>10</v>
      </c>
      <c r="BT120" s="181" t="e">
        <f t="shared" si="54"/>
        <v>#DIV/0!</v>
      </c>
      <c r="BU120" s="182" t="e">
        <f t="shared" si="55"/>
        <v>#DIV/0!</v>
      </c>
      <c r="BV120" s="205" t="e">
        <f t="shared" si="56"/>
        <v>#DIV/0!</v>
      </c>
      <c r="BY120" s="180">
        <v>2024</v>
      </c>
      <c r="BZ120" s="22">
        <v>10</v>
      </c>
      <c r="CA120" s="198" t="e">
        <f t="shared" ca="1" si="57"/>
        <v>#REF!</v>
      </c>
      <c r="CB120" s="198" t="e">
        <f t="shared" ca="1" si="58"/>
        <v>#REF!</v>
      </c>
      <c r="CC120" s="186" t="e">
        <f t="shared" ca="1" si="69"/>
        <v>#REF!</v>
      </c>
      <c r="CD120" s="205" t="e">
        <f t="shared" ca="1" si="59"/>
        <v>#REF!</v>
      </c>
      <c r="CG120" s="180">
        <v>2024</v>
      </c>
      <c r="CH120" s="22">
        <v>10</v>
      </c>
      <c r="CI120" s="198" t="e">
        <f t="shared" ca="1" si="60"/>
        <v>#REF!</v>
      </c>
      <c r="CJ120" s="198" t="e">
        <f t="shared" ca="1" si="61"/>
        <v>#REF!</v>
      </c>
      <c r="CK120" s="198" t="e">
        <f t="shared" ca="1" si="62"/>
        <v>#REF!</v>
      </c>
      <c r="CL120" s="186" t="e">
        <f t="shared" ca="1" si="63"/>
        <v>#REF!</v>
      </c>
      <c r="CM120" s="205" t="e">
        <f t="shared" ca="1" si="64"/>
        <v>#REF!</v>
      </c>
      <c r="CP120" s="180">
        <v>2024</v>
      </c>
      <c r="CQ120" s="22">
        <v>10</v>
      </c>
      <c r="CR120" s="198" t="e">
        <f t="shared" ca="1" si="65"/>
        <v>#REF!</v>
      </c>
      <c r="CS120" s="186" t="e">
        <f t="shared" ca="1" si="66"/>
        <v>#REF!</v>
      </c>
      <c r="CT120" s="205" t="e">
        <f t="shared" ca="1" si="67"/>
        <v>#REF!</v>
      </c>
      <c r="CZ120" s="164" t="b">
        <f t="shared" si="44"/>
        <v>0</v>
      </c>
      <c r="DA120" s="165" t="b">
        <f t="shared" si="44"/>
        <v>0</v>
      </c>
      <c r="DB120" s="166" t="b">
        <f t="shared" si="44"/>
        <v>0</v>
      </c>
      <c r="DC120" s="164" t="str">
        <f t="shared" si="53"/>
        <v/>
      </c>
      <c r="DD120" s="166" t="str">
        <f t="shared" si="45"/>
        <v/>
      </c>
      <c r="DE120" s="164" t="str">
        <f t="shared" si="46"/>
        <v/>
      </c>
      <c r="DF120" s="166" t="str">
        <f t="shared" si="47"/>
        <v/>
      </c>
      <c r="DG120" s="164" t="str">
        <f t="shared" si="48"/>
        <v/>
      </c>
      <c r="DH120" s="166" t="str">
        <f t="shared" si="49"/>
        <v/>
      </c>
      <c r="DI120" s="164" t="str">
        <f>IFERROR(INDEX(DC$106:DC$154,_xlfn.AGGREGATE(15,6,(ROW(DC$106:DC$154)-ROW(DC$106)+1)/(DC$106:DC$154&lt;&gt;""),ROWS(DI$1:DI15))),"")</f>
        <v/>
      </c>
      <c r="DJ120" s="165" t="str">
        <f>IFERROR(INDEX(DD$106:DD$154,_xlfn.AGGREGATE(15,6,(ROW(DD$106:DD$154)-ROW(DD$106)+1)/(DD$106:DD$154&lt;&gt;""),ROWS(DJ$1:DJ15))),"")</f>
        <v/>
      </c>
      <c r="DK120" s="166" t="str">
        <f t="shared" si="50"/>
        <v/>
      </c>
      <c r="DL120" s="164" t="str">
        <f>IFERROR(INDEX(DE$106:DE$154,_xlfn.AGGREGATE(15,6,(ROW(DE$106:DE$154)-ROW(DE$106)+1)/(DE$106:DE$154&lt;&gt;""),ROWS(DL$1:DL15))),"")</f>
        <v/>
      </c>
      <c r="DM120" s="165" t="str">
        <f>IFERROR(INDEX(DF$106:DF$154,_xlfn.AGGREGATE(15,6,(ROW(DF$106:DF$154)-ROW(DF$106)+1)/(DF$106:DF$154&lt;&gt;""),ROWS(DM$1:DM15))),"")</f>
        <v/>
      </c>
      <c r="DN120" s="166" t="str">
        <f t="shared" si="51"/>
        <v/>
      </c>
      <c r="DO120" s="164" t="str">
        <f>IFERROR(INDEX(DG$106:DG$154,_xlfn.AGGREGATE(15,6,(ROW(DG$106:DG$154)-ROW(DG$106)+1)/(DG$106:DG$154&lt;&gt;""),ROWS(DO$1:DO15))),"")</f>
        <v/>
      </c>
      <c r="DP120" s="165" t="str">
        <f>IFERROR(INDEX(DH$106:DH$154,_xlfn.AGGREGATE(15,6,(ROW(DH$106:DH$154)-ROW(DH$106)+1)/(DH$106:DH$154&lt;&gt;""),ROWS(DP$1:DP15))),"")</f>
        <v/>
      </c>
      <c r="DQ120" s="166" t="str">
        <f t="shared" si="52"/>
        <v/>
      </c>
      <c r="DV120" s="145">
        <v>2029</v>
      </c>
      <c r="DW120" s="235" t="e">
        <f t="shared" ca="1" si="37"/>
        <v>#REF!</v>
      </c>
      <c r="EA120" s="55"/>
      <c r="EB120" s="55"/>
      <c r="EC120" s="55"/>
      <c r="ED120" s="55"/>
      <c r="EE120" s="55"/>
    </row>
    <row r="121" spans="1:135" ht="13.8" x14ac:dyDescent="0.45">
      <c r="B121" s="128">
        <v>2027</v>
      </c>
      <c r="C121" s="1023"/>
      <c r="D121" s="1024"/>
      <c r="E121" s="1025"/>
      <c r="F121" s="894"/>
      <c r="G121" s="159"/>
      <c r="H121" s="204"/>
      <c r="I121" s="1112"/>
      <c r="J121" s="207"/>
      <c r="K121" s="204"/>
      <c r="L121" s="206"/>
      <c r="M121" s="204"/>
      <c r="N121" s="29" t="s">
        <v>119</v>
      </c>
      <c r="O121" s="120"/>
      <c r="P121" s="120"/>
      <c r="Q121" s="120"/>
      <c r="R121" s="29">
        <v>13</v>
      </c>
      <c r="S121" s="154" t="str">
        <f t="shared" si="38"/>
        <v/>
      </c>
      <c r="T121" s="154" t="str">
        <f t="shared" si="39"/>
        <v/>
      </c>
      <c r="U121" s="154" t="str">
        <f t="shared" si="40"/>
        <v/>
      </c>
      <c r="W121" s="154" t="e">
        <f t="shared" si="41"/>
        <v>#N/A</v>
      </c>
      <c r="X121" s="154" t="e">
        <f t="shared" si="42"/>
        <v>#N/A</v>
      </c>
      <c r="Y121" s="154" t="e">
        <f t="shared" si="43"/>
        <v>#N/A</v>
      </c>
      <c r="AA121" s="1133">
        <v>598.59851598173532</v>
      </c>
      <c r="AB121" s="1133">
        <v>654.32417528593624</v>
      </c>
      <c r="AC121" s="1133">
        <v>710.04983459013715</v>
      </c>
      <c r="AD121" s="89"/>
      <c r="AE121" s="89"/>
      <c r="AF121" s="89"/>
      <c r="AG121" s="89"/>
      <c r="AH121" s="89"/>
      <c r="AI121" s="89"/>
      <c r="AJ121" s="89"/>
      <c r="AK121" s="89"/>
      <c r="AL121" s="89"/>
      <c r="AM121" s="89"/>
      <c r="AN121" s="89"/>
      <c r="BR121" s="180">
        <v>2025</v>
      </c>
      <c r="BS121" s="22">
        <v>11</v>
      </c>
      <c r="BT121" s="181" t="e">
        <f t="shared" si="54"/>
        <v>#DIV/0!</v>
      </c>
      <c r="BU121" s="182" t="e">
        <f t="shared" si="55"/>
        <v>#DIV/0!</v>
      </c>
      <c r="BV121" s="205" t="e">
        <f t="shared" si="56"/>
        <v>#DIV/0!</v>
      </c>
      <c r="BY121" s="180">
        <v>2025</v>
      </c>
      <c r="BZ121" s="22">
        <v>11</v>
      </c>
      <c r="CA121" s="198" t="e">
        <f t="shared" ca="1" si="57"/>
        <v>#REF!</v>
      </c>
      <c r="CB121" s="198" t="e">
        <f t="shared" ca="1" si="58"/>
        <v>#REF!</v>
      </c>
      <c r="CC121" s="186" t="e">
        <f t="shared" ca="1" si="69"/>
        <v>#REF!</v>
      </c>
      <c r="CD121" s="205" t="e">
        <f t="shared" ca="1" si="59"/>
        <v>#REF!</v>
      </c>
      <c r="CG121" s="180">
        <v>2025</v>
      </c>
      <c r="CH121" s="22">
        <v>11</v>
      </c>
      <c r="CI121" s="198" t="e">
        <f t="shared" ca="1" si="60"/>
        <v>#REF!</v>
      </c>
      <c r="CJ121" s="198" t="e">
        <f t="shared" ca="1" si="61"/>
        <v>#REF!</v>
      </c>
      <c r="CK121" s="198" t="e">
        <f t="shared" ca="1" si="62"/>
        <v>#REF!</v>
      </c>
      <c r="CL121" s="186" t="e">
        <f t="shared" ca="1" si="63"/>
        <v>#REF!</v>
      </c>
      <c r="CM121" s="205" t="e">
        <f t="shared" ca="1" si="64"/>
        <v>#REF!</v>
      </c>
      <c r="CP121" s="180">
        <v>2025</v>
      </c>
      <c r="CQ121" s="22">
        <v>11</v>
      </c>
      <c r="CR121" s="198" t="e">
        <f t="shared" ca="1" si="65"/>
        <v>#REF!</v>
      </c>
      <c r="CS121" s="186" t="e">
        <f t="shared" ca="1" si="66"/>
        <v>#REF!</v>
      </c>
      <c r="CT121" s="205" t="e">
        <f t="shared" ca="1" si="67"/>
        <v>#REF!</v>
      </c>
      <c r="CZ121" s="164" t="b">
        <f t="shared" si="44"/>
        <v>0</v>
      </c>
      <c r="DA121" s="165" t="b">
        <f t="shared" si="44"/>
        <v>0</v>
      </c>
      <c r="DB121" s="166" t="b">
        <f t="shared" si="44"/>
        <v>0</v>
      </c>
      <c r="DC121" s="164" t="str">
        <f t="shared" si="53"/>
        <v/>
      </c>
      <c r="DD121" s="166" t="str">
        <f t="shared" si="45"/>
        <v/>
      </c>
      <c r="DE121" s="164" t="str">
        <f t="shared" si="46"/>
        <v/>
      </c>
      <c r="DF121" s="166" t="str">
        <f t="shared" si="47"/>
        <v/>
      </c>
      <c r="DG121" s="164" t="str">
        <f t="shared" si="48"/>
        <v/>
      </c>
      <c r="DH121" s="166" t="str">
        <f t="shared" si="49"/>
        <v/>
      </c>
      <c r="DI121" s="164" t="str">
        <f>IFERROR(INDEX(DC$106:DC$154,_xlfn.AGGREGATE(15,6,(ROW(DC$106:DC$154)-ROW(DC$106)+1)/(DC$106:DC$154&lt;&gt;""),ROWS(DI$1:DI16))),"")</f>
        <v/>
      </c>
      <c r="DJ121" s="165" t="str">
        <f>IFERROR(INDEX(DD$106:DD$154,_xlfn.AGGREGATE(15,6,(ROW(DD$106:DD$154)-ROW(DD$106)+1)/(DD$106:DD$154&lt;&gt;""),ROWS(DJ$1:DJ16))),"")</f>
        <v/>
      </c>
      <c r="DK121" s="166" t="str">
        <f t="shared" si="50"/>
        <v/>
      </c>
      <c r="DL121" s="164" t="str">
        <f>IFERROR(INDEX(DE$106:DE$154,_xlfn.AGGREGATE(15,6,(ROW(DE$106:DE$154)-ROW(DE$106)+1)/(DE$106:DE$154&lt;&gt;""),ROWS(DL$1:DL16))),"")</f>
        <v/>
      </c>
      <c r="DM121" s="165" t="str">
        <f>IFERROR(INDEX(DF$106:DF$154,_xlfn.AGGREGATE(15,6,(ROW(DF$106:DF$154)-ROW(DF$106)+1)/(DF$106:DF$154&lt;&gt;""),ROWS(DM$1:DM16))),"")</f>
        <v/>
      </c>
      <c r="DN121" s="166" t="str">
        <f t="shared" si="51"/>
        <v/>
      </c>
      <c r="DO121" s="164" t="str">
        <f>IFERROR(INDEX(DG$106:DG$154,_xlfn.AGGREGATE(15,6,(ROW(DG$106:DG$154)-ROW(DG$106)+1)/(DG$106:DG$154&lt;&gt;""),ROWS(DO$1:DO16))),"")</f>
        <v/>
      </c>
      <c r="DP121" s="165" t="str">
        <f>IFERROR(INDEX(DH$106:DH$154,_xlfn.AGGREGATE(15,6,(ROW(DH$106:DH$154)-ROW(DH$106)+1)/(DH$106:DH$154&lt;&gt;""),ROWS(DP$1:DP16))),"")</f>
        <v/>
      </c>
      <c r="DQ121" s="166" t="str">
        <f t="shared" si="52"/>
        <v/>
      </c>
      <c r="DV121" s="145">
        <v>2030</v>
      </c>
      <c r="DW121" s="235" t="e">
        <f t="shared" ca="1" si="37"/>
        <v>#REF!</v>
      </c>
    </row>
    <row r="122" spans="1:135" ht="13.8" x14ac:dyDescent="0.45">
      <c r="A122" s="208" t="str">
        <f>$A$62</f>
        <v>Base Cases</v>
      </c>
      <c r="B122" s="128">
        <v>2028</v>
      </c>
      <c r="C122" s="1023"/>
      <c r="D122" s="1024"/>
      <c r="E122" s="1025"/>
      <c r="F122" s="894"/>
      <c r="G122" s="159"/>
      <c r="H122" s="204"/>
      <c r="I122" s="1112"/>
      <c r="J122" s="207"/>
      <c r="K122" s="204"/>
      <c r="L122" s="206"/>
      <c r="M122" s="204"/>
      <c r="N122" s="29" t="s">
        <v>119</v>
      </c>
      <c r="O122" s="120"/>
      <c r="P122" s="120"/>
      <c r="Q122" s="120"/>
      <c r="R122" s="29">
        <v>14</v>
      </c>
      <c r="S122" s="154" t="str">
        <f t="shared" si="38"/>
        <v/>
      </c>
      <c r="T122" s="154" t="str">
        <f t="shared" si="39"/>
        <v/>
      </c>
      <c r="U122" s="154" t="str">
        <f t="shared" si="40"/>
        <v/>
      </c>
      <c r="W122" s="154" t="e">
        <f t="shared" si="41"/>
        <v>#N/A</v>
      </c>
      <c r="X122" s="154" t="e">
        <f t="shared" si="42"/>
        <v>#N/A</v>
      </c>
      <c r="Y122" s="154" t="e">
        <f t="shared" si="43"/>
        <v>#N/A</v>
      </c>
      <c r="AA122" s="1133">
        <v>603.77214611872137</v>
      </c>
      <c r="AB122" s="1133">
        <v>658.52255454040869</v>
      </c>
      <c r="AC122" s="1133">
        <v>713.27296296209602</v>
      </c>
      <c r="AD122" s="114"/>
      <c r="AE122" s="114"/>
      <c r="AF122" s="114"/>
      <c r="AG122" s="114"/>
      <c r="AH122" s="114"/>
      <c r="AI122" s="114"/>
      <c r="AJ122" s="114"/>
      <c r="AK122" s="114"/>
      <c r="AL122" s="114"/>
      <c r="AM122" s="114"/>
      <c r="AN122" s="114"/>
      <c r="BR122" s="180">
        <v>2026</v>
      </c>
      <c r="BS122" s="22">
        <v>12</v>
      </c>
      <c r="BT122" s="181" t="e">
        <f t="shared" si="54"/>
        <v>#DIV/0!</v>
      </c>
      <c r="BU122" s="182" t="e">
        <f t="shared" si="55"/>
        <v>#DIV/0!</v>
      </c>
      <c r="BV122" s="205" t="e">
        <f t="shared" si="56"/>
        <v>#DIV/0!</v>
      </c>
      <c r="BY122" s="180">
        <v>2026</v>
      </c>
      <c r="BZ122" s="22">
        <v>12</v>
      </c>
      <c r="CA122" s="198" t="e">
        <f t="shared" ca="1" si="57"/>
        <v>#REF!</v>
      </c>
      <c r="CB122" s="198" t="e">
        <f t="shared" ca="1" si="58"/>
        <v>#REF!</v>
      </c>
      <c r="CC122" s="186" t="e">
        <f t="shared" ca="1" si="69"/>
        <v>#REF!</v>
      </c>
      <c r="CD122" s="205" t="e">
        <f t="shared" ca="1" si="59"/>
        <v>#REF!</v>
      </c>
      <c r="CG122" s="180">
        <v>2026</v>
      </c>
      <c r="CH122" s="22">
        <v>12</v>
      </c>
      <c r="CI122" s="198" t="e">
        <f t="shared" ca="1" si="60"/>
        <v>#REF!</v>
      </c>
      <c r="CJ122" s="198" t="e">
        <f t="shared" ca="1" si="61"/>
        <v>#REF!</v>
      </c>
      <c r="CK122" s="198" t="e">
        <f t="shared" ca="1" si="62"/>
        <v>#REF!</v>
      </c>
      <c r="CL122" s="186" t="e">
        <f t="shared" ca="1" si="63"/>
        <v>#REF!</v>
      </c>
      <c r="CM122" s="205" t="e">
        <f t="shared" ca="1" si="64"/>
        <v>#REF!</v>
      </c>
      <c r="CP122" s="180">
        <v>2026</v>
      </c>
      <c r="CQ122" s="22">
        <v>12</v>
      </c>
      <c r="CR122" s="198" t="e">
        <f t="shared" ca="1" si="65"/>
        <v>#REF!</v>
      </c>
      <c r="CS122" s="186" t="e">
        <f t="shared" ca="1" si="66"/>
        <v>#REF!</v>
      </c>
      <c r="CT122" s="205" t="e">
        <f t="shared" ca="1" si="67"/>
        <v>#REF!</v>
      </c>
      <c r="CZ122" s="164" t="b">
        <f t="shared" si="44"/>
        <v>0</v>
      </c>
      <c r="DA122" s="165" t="b">
        <f t="shared" si="44"/>
        <v>0</v>
      </c>
      <c r="DB122" s="166" t="b">
        <f t="shared" si="44"/>
        <v>0</v>
      </c>
      <c r="DC122" s="164" t="str">
        <f t="shared" si="53"/>
        <v/>
      </c>
      <c r="DD122" s="166" t="str">
        <f t="shared" si="45"/>
        <v/>
      </c>
      <c r="DE122" s="164" t="str">
        <f t="shared" si="46"/>
        <v/>
      </c>
      <c r="DF122" s="166" t="str">
        <f t="shared" si="47"/>
        <v/>
      </c>
      <c r="DG122" s="164" t="str">
        <f t="shared" si="48"/>
        <v/>
      </c>
      <c r="DH122" s="166" t="str">
        <f t="shared" si="49"/>
        <v/>
      </c>
      <c r="DI122" s="164" t="str">
        <f>IFERROR(INDEX(DC$106:DC$154,_xlfn.AGGREGATE(15,6,(ROW(DC$106:DC$154)-ROW(DC$106)+1)/(DC$106:DC$154&lt;&gt;""),ROWS(DI$1:DI17))),"")</f>
        <v/>
      </c>
      <c r="DJ122" s="165" t="str">
        <f>IFERROR(INDEX(DD$106:DD$154,_xlfn.AGGREGATE(15,6,(ROW(DD$106:DD$154)-ROW(DD$106)+1)/(DD$106:DD$154&lt;&gt;""),ROWS(DJ$1:DJ17))),"")</f>
        <v/>
      </c>
      <c r="DK122" s="166" t="str">
        <f t="shared" si="50"/>
        <v/>
      </c>
      <c r="DL122" s="164" t="str">
        <f>IFERROR(INDEX(DE$106:DE$154,_xlfn.AGGREGATE(15,6,(ROW(DE$106:DE$154)-ROW(DE$106)+1)/(DE$106:DE$154&lt;&gt;""),ROWS(DL$1:DL17))),"")</f>
        <v/>
      </c>
      <c r="DM122" s="165" t="str">
        <f>IFERROR(INDEX(DF$106:DF$154,_xlfn.AGGREGATE(15,6,(ROW(DF$106:DF$154)-ROW(DF$106)+1)/(DF$106:DF$154&lt;&gt;""),ROWS(DM$1:DM17))),"")</f>
        <v/>
      </c>
      <c r="DN122" s="166" t="str">
        <f t="shared" si="51"/>
        <v/>
      </c>
      <c r="DO122" s="164" t="str">
        <f>IFERROR(INDEX(DG$106:DG$154,_xlfn.AGGREGATE(15,6,(ROW(DG$106:DG$154)-ROW(DG$106)+1)/(DG$106:DG$154&lt;&gt;""),ROWS(DO$1:DO17))),"")</f>
        <v/>
      </c>
      <c r="DP122" s="165" t="str">
        <f>IFERROR(INDEX(DH$106:DH$154,_xlfn.AGGREGATE(15,6,(ROW(DH$106:DH$154)-ROW(DH$106)+1)/(DH$106:DH$154&lt;&gt;""),ROWS(DP$1:DP17))),"")</f>
        <v/>
      </c>
      <c r="DQ122" s="166" t="str">
        <f t="shared" si="52"/>
        <v/>
      </c>
      <c r="DV122" s="145">
        <v>2031</v>
      </c>
      <c r="DW122" s="235" t="e">
        <f t="shared" ca="1" si="37"/>
        <v>#REF!</v>
      </c>
    </row>
    <row r="123" spans="1:135" ht="13.8" x14ac:dyDescent="0.45">
      <c r="A123" s="209" t="str">
        <f>$A$63</f>
        <v>Conservative Cases</v>
      </c>
      <c r="B123" s="128">
        <v>2029</v>
      </c>
      <c r="C123" s="1023"/>
      <c r="D123" s="1024"/>
      <c r="E123" s="1025"/>
      <c r="F123" s="894"/>
      <c r="G123" s="159"/>
      <c r="H123" s="204"/>
      <c r="I123" s="1112"/>
      <c r="J123" s="207"/>
      <c r="K123" s="204"/>
      <c r="L123" s="206"/>
      <c r="M123" s="204"/>
      <c r="N123" s="29" t="s">
        <v>119</v>
      </c>
      <c r="O123" s="120"/>
      <c r="P123" s="120"/>
      <c r="Q123" s="120"/>
      <c r="R123" s="29">
        <v>15</v>
      </c>
      <c r="S123" s="154" t="str">
        <f t="shared" si="38"/>
        <v/>
      </c>
      <c r="T123" s="154" t="str">
        <f t="shared" si="39"/>
        <v/>
      </c>
      <c r="U123" s="154" t="str">
        <f t="shared" si="40"/>
        <v/>
      </c>
      <c r="W123" s="154" t="e">
        <f t="shared" si="41"/>
        <v>#N/A</v>
      </c>
      <c r="X123" s="154" t="e">
        <f t="shared" si="42"/>
        <v>#N/A</v>
      </c>
      <c r="Y123" s="154" t="e">
        <f t="shared" si="43"/>
        <v>#N/A</v>
      </c>
      <c r="AA123" s="1133">
        <v>608.94577625570776</v>
      </c>
      <c r="AB123" s="1133">
        <v>662.71694470772582</v>
      </c>
      <c r="AC123" s="1133">
        <v>716.48811315974388</v>
      </c>
      <c r="AD123" s="89"/>
      <c r="AE123" s="89"/>
      <c r="AF123" s="89"/>
      <c r="AG123" s="89"/>
      <c r="AH123" s="89"/>
      <c r="AI123" s="89"/>
      <c r="AJ123" s="89"/>
      <c r="AK123" s="89"/>
      <c r="AL123" s="89"/>
      <c r="AM123" s="89"/>
      <c r="AN123" s="89"/>
      <c r="BR123" s="180">
        <v>2027</v>
      </c>
      <c r="BS123" s="22">
        <v>13</v>
      </c>
      <c r="BT123" s="181" t="e">
        <f t="shared" si="54"/>
        <v>#DIV/0!</v>
      </c>
      <c r="BU123" s="182" t="e">
        <f t="shared" si="55"/>
        <v>#DIV/0!</v>
      </c>
      <c r="BV123" s="205" t="e">
        <f t="shared" si="56"/>
        <v>#DIV/0!</v>
      </c>
      <c r="BY123" s="180">
        <v>2027</v>
      </c>
      <c r="BZ123" s="22">
        <v>13</v>
      </c>
      <c r="CA123" s="198" t="e">
        <f t="shared" ca="1" si="57"/>
        <v>#REF!</v>
      </c>
      <c r="CB123" s="198" t="e">
        <f t="shared" ca="1" si="58"/>
        <v>#REF!</v>
      </c>
      <c r="CC123" s="186" t="e">
        <f t="shared" ca="1" si="69"/>
        <v>#REF!</v>
      </c>
      <c r="CD123" s="205" t="e">
        <f t="shared" ca="1" si="59"/>
        <v>#REF!</v>
      </c>
      <c r="CG123" s="180">
        <v>2027</v>
      </c>
      <c r="CH123" s="22">
        <v>13</v>
      </c>
      <c r="CI123" s="198" t="e">
        <f t="shared" ca="1" si="60"/>
        <v>#REF!</v>
      </c>
      <c r="CJ123" s="198" t="e">
        <f t="shared" ca="1" si="61"/>
        <v>#REF!</v>
      </c>
      <c r="CK123" s="198" t="e">
        <f t="shared" ca="1" si="62"/>
        <v>#REF!</v>
      </c>
      <c r="CL123" s="186" t="e">
        <f t="shared" ca="1" si="63"/>
        <v>#REF!</v>
      </c>
      <c r="CM123" s="205" t="e">
        <f t="shared" ca="1" si="64"/>
        <v>#REF!</v>
      </c>
      <c r="CP123" s="180">
        <v>2027</v>
      </c>
      <c r="CQ123" s="22">
        <v>13</v>
      </c>
      <c r="CR123" s="198" t="e">
        <f t="shared" ca="1" si="65"/>
        <v>#REF!</v>
      </c>
      <c r="CS123" s="186" t="e">
        <f t="shared" ca="1" si="66"/>
        <v>#REF!</v>
      </c>
      <c r="CT123" s="205" t="e">
        <f t="shared" ca="1" si="67"/>
        <v>#REF!</v>
      </c>
      <c r="CZ123" s="164" t="b">
        <f t="shared" si="44"/>
        <v>0</v>
      </c>
      <c r="DA123" s="165" t="b">
        <f t="shared" si="44"/>
        <v>0</v>
      </c>
      <c r="DB123" s="166" t="b">
        <f t="shared" si="44"/>
        <v>0</v>
      </c>
      <c r="DC123" s="164" t="str">
        <f t="shared" si="53"/>
        <v/>
      </c>
      <c r="DD123" s="166" t="str">
        <f t="shared" si="45"/>
        <v/>
      </c>
      <c r="DE123" s="164" t="str">
        <f t="shared" si="46"/>
        <v/>
      </c>
      <c r="DF123" s="166" t="str">
        <f t="shared" si="47"/>
        <v/>
      </c>
      <c r="DG123" s="164" t="str">
        <f t="shared" si="48"/>
        <v/>
      </c>
      <c r="DH123" s="166" t="str">
        <f t="shared" si="49"/>
        <v/>
      </c>
      <c r="DI123" s="164" t="str">
        <f>IFERROR(INDEX(DC$106:DC$154,_xlfn.AGGREGATE(15,6,(ROW(DC$106:DC$154)-ROW(DC$106)+1)/(DC$106:DC$154&lt;&gt;""),ROWS(DI$1:DI18))),"")</f>
        <v/>
      </c>
      <c r="DJ123" s="165" t="str">
        <f>IFERROR(INDEX(DD$106:DD$154,_xlfn.AGGREGATE(15,6,(ROW(DD$106:DD$154)-ROW(DD$106)+1)/(DD$106:DD$154&lt;&gt;""),ROWS(DJ$1:DJ18))),"")</f>
        <v/>
      </c>
      <c r="DK123" s="166" t="str">
        <f t="shared" si="50"/>
        <v/>
      </c>
      <c r="DL123" s="164" t="str">
        <f>IFERROR(INDEX(DE$106:DE$154,_xlfn.AGGREGATE(15,6,(ROW(DE$106:DE$154)-ROW(DE$106)+1)/(DE$106:DE$154&lt;&gt;""),ROWS(DL$1:DL18))),"")</f>
        <v/>
      </c>
      <c r="DM123" s="165" t="str">
        <f>IFERROR(INDEX(DF$106:DF$154,_xlfn.AGGREGATE(15,6,(ROW(DF$106:DF$154)-ROW(DF$106)+1)/(DF$106:DF$154&lt;&gt;""),ROWS(DM$1:DM18))),"")</f>
        <v/>
      </c>
      <c r="DN123" s="166" t="str">
        <f t="shared" si="51"/>
        <v/>
      </c>
      <c r="DO123" s="164" t="str">
        <f>IFERROR(INDEX(DG$106:DG$154,_xlfn.AGGREGATE(15,6,(ROW(DG$106:DG$154)-ROW(DG$106)+1)/(DG$106:DG$154&lt;&gt;""),ROWS(DO$1:DO18))),"")</f>
        <v/>
      </c>
      <c r="DP123" s="165" t="str">
        <f>IFERROR(INDEX(DH$106:DH$154,_xlfn.AGGREGATE(15,6,(ROW(DH$106:DH$154)-ROW(DH$106)+1)/(DH$106:DH$154&lt;&gt;""),ROWS(DP$1:DP18))),"")</f>
        <v/>
      </c>
      <c r="DQ123" s="166" t="str">
        <f t="shared" si="52"/>
        <v/>
      </c>
      <c r="DV123" s="145">
        <v>2032</v>
      </c>
      <c r="DW123" s="235" t="e">
        <f t="shared" ca="1" si="37"/>
        <v>#REF!</v>
      </c>
    </row>
    <row r="124" spans="1:135" ht="13.8" x14ac:dyDescent="0.45">
      <c r="A124" s="210" t="str">
        <f>$A$64</f>
        <v>Ambitious Cases</v>
      </c>
      <c r="B124" s="128">
        <v>2030</v>
      </c>
      <c r="C124" s="1023"/>
      <c r="D124" s="1024"/>
      <c r="E124" s="1025"/>
      <c r="F124" s="894"/>
      <c r="G124" s="159"/>
      <c r="H124" s="204"/>
      <c r="I124" s="1112"/>
      <c r="J124" s="207"/>
      <c r="K124" s="204"/>
      <c r="L124" s="206"/>
      <c r="M124" s="204"/>
      <c r="N124" s="29" t="s">
        <v>119</v>
      </c>
      <c r="O124" s="120"/>
      <c r="P124" s="120"/>
      <c r="Q124" s="120"/>
      <c r="R124" s="29">
        <v>16</v>
      </c>
      <c r="S124" s="154" t="str">
        <f t="shared" si="38"/>
        <v/>
      </c>
      <c r="T124" s="154" t="str">
        <f t="shared" si="39"/>
        <v/>
      </c>
      <c r="U124" s="154" t="str">
        <f t="shared" si="40"/>
        <v/>
      </c>
      <c r="W124" s="154" t="e">
        <f t="shared" si="41"/>
        <v>#N/A</v>
      </c>
      <c r="X124" s="154" t="e">
        <f t="shared" si="42"/>
        <v>#N/A</v>
      </c>
      <c r="Y124" s="154" t="e">
        <f t="shared" si="43"/>
        <v>#N/A</v>
      </c>
      <c r="AA124" s="1133">
        <v>624.29999999999995</v>
      </c>
      <c r="AB124" s="1133">
        <v>671.07859175619342</v>
      </c>
      <c r="AC124" s="1133">
        <v>717.85718351238688</v>
      </c>
      <c r="AD124" s="89"/>
      <c r="AE124" s="89"/>
      <c r="AF124" s="89"/>
      <c r="AG124" s="89"/>
      <c r="AH124" s="89"/>
      <c r="AI124" s="89"/>
      <c r="AJ124" s="89"/>
      <c r="AK124" s="89"/>
      <c r="AL124" s="89"/>
      <c r="AM124" s="89"/>
      <c r="AN124" s="89"/>
      <c r="BR124" s="180">
        <v>2028</v>
      </c>
      <c r="BS124" s="22">
        <v>14</v>
      </c>
      <c r="BT124" s="181" t="e">
        <f t="shared" si="54"/>
        <v>#DIV/0!</v>
      </c>
      <c r="BU124" s="182" t="e">
        <f t="shared" si="55"/>
        <v>#DIV/0!</v>
      </c>
      <c r="BV124" s="205" t="e">
        <f t="shared" si="56"/>
        <v>#DIV/0!</v>
      </c>
      <c r="BY124" s="180">
        <v>2028</v>
      </c>
      <c r="BZ124" s="22">
        <v>14</v>
      </c>
      <c r="CA124" s="198" t="e">
        <f t="shared" ca="1" si="57"/>
        <v>#REF!</v>
      </c>
      <c r="CB124" s="198" t="e">
        <f t="shared" ca="1" si="58"/>
        <v>#REF!</v>
      </c>
      <c r="CC124" s="186" t="e">
        <f t="shared" ca="1" si="69"/>
        <v>#REF!</v>
      </c>
      <c r="CD124" s="205" t="e">
        <f t="shared" ca="1" si="59"/>
        <v>#REF!</v>
      </c>
      <c r="CG124" s="180">
        <v>2028</v>
      </c>
      <c r="CH124" s="22">
        <v>14</v>
      </c>
      <c r="CI124" s="198" t="e">
        <f t="shared" ca="1" si="60"/>
        <v>#REF!</v>
      </c>
      <c r="CJ124" s="198" t="e">
        <f t="shared" ca="1" si="61"/>
        <v>#REF!</v>
      </c>
      <c r="CK124" s="198" t="e">
        <f t="shared" ca="1" si="62"/>
        <v>#REF!</v>
      </c>
      <c r="CL124" s="186" t="e">
        <f t="shared" ca="1" si="63"/>
        <v>#REF!</v>
      </c>
      <c r="CM124" s="205" t="e">
        <f t="shared" ca="1" si="64"/>
        <v>#REF!</v>
      </c>
      <c r="CP124" s="180">
        <v>2028</v>
      </c>
      <c r="CQ124" s="22">
        <v>14</v>
      </c>
      <c r="CR124" s="198" t="e">
        <f t="shared" ca="1" si="65"/>
        <v>#REF!</v>
      </c>
      <c r="CS124" s="186" t="e">
        <f t="shared" ca="1" si="66"/>
        <v>#REF!</v>
      </c>
      <c r="CT124" s="205" t="e">
        <f t="shared" ca="1" si="67"/>
        <v>#REF!</v>
      </c>
      <c r="CZ124" s="164" t="b">
        <f t="shared" si="44"/>
        <v>0</v>
      </c>
      <c r="DA124" s="165" t="b">
        <f t="shared" si="44"/>
        <v>0</v>
      </c>
      <c r="DB124" s="166" t="b">
        <f t="shared" si="44"/>
        <v>0</v>
      </c>
      <c r="DC124" s="164" t="str">
        <f t="shared" si="53"/>
        <v/>
      </c>
      <c r="DD124" s="166" t="str">
        <f t="shared" si="45"/>
        <v/>
      </c>
      <c r="DE124" s="164" t="str">
        <f t="shared" si="46"/>
        <v/>
      </c>
      <c r="DF124" s="166" t="str">
        <f t="shared" si="47"/>
        <v/>
      </c>
      <c r="DG124" s="164" t="str">
        <f t="shared" si="48"/>
        <v/>
      </c>
      <c r="DH124" s="166" t="str">
        <f t="shared" si="49"/>
        <v/>
      </c>
      <c r="DI124" s="164" t="str">
        <f>IFERROR(INDEX(DC$106:DC$154,_xlfn.AGGREGATE(15,6,(ROW(DC$106:DC$154)-ROW(DC$106)+1)/(DC$106:DC$154&lt;&gt;""),ROWS(DI$1:DI19))),"")</f>
        <v/>
      </c>
      <c r="DJ124" s="165" t="str">
        <f>IFERROR(INDEX(DD$106:DD$154,_xlfn.AGGREGATE(15,6,(ROW(DD$106:DD$154)-ROW(DD$106)+1)/(DD$106:DD$154&lt;&gt;""),ROWS(DJ$1:DJ19))),"")</f>
        <v/>
      </c>
      <c r="DK124" s="166" t="str">
        <f t="shared" si="50"/>
        <v/>
      </c>
      <c r="DL124" s="164" t="str">
        <f>IFERROR(INDEX(DE$106:DE$154,_xlfn.AGGREGATE(15,6,(ROW(DE$106:DE$154)-ROW(DE$106)+1)/(DE$106:DE$154&lt;&gt;""),ROWS(DL$1:DL19))),"")</f>
        <v/>
      </c>
      <c r="DM124" s="165" t="str">
        <f>IFERROR(INDEX(DF$106:DF$154,_xlfn.AGGREGATE(15,6,(ROW(DF$106:DF$154)-ROW(DF$106)+1)/(DF$106:DF$154&lt;&gt;""),ROWS(DM$1:DM19))),"")</f>
        <v/>
      </c>
      <c r="DN124" s="166" t="str">
        <f t="shared" si="51"/>
        <v/>
      </c>
      <c r="DO124" s="164" t="str">
        <f>IFERROR(INDEX(DG$106:DG$154,_xlfn.AGGREGATE(15,6,(ROW(DG$106:DG$154)-ROW(DG$106)+1)/(DG$106:DG$154&lt;&gt;""),ROWS(DO$1:DO19))),"")</f>
        <v/>
      </c>
      <c r="DP124" s="165" t="str">
        <f>IFERROR(INDEX(DH$106:DH$154,_xlfn.AGGREGATE(15,6,(ROW(DH$106:DH$154)-ROW(DH$106)+1)/(DH$106:DH$154&lt;&gt;""),ROWS(DP$1:DP19))),"")</f>
        <v/>
      </c>
      <c r="DQ124" s="166" t="str">
        <f t="shared" si="52"/>
        <v/>
      </c>
      <c r="DV124" s="145">
        <v>2033</v>
      </c>
      <c r="DW124" s="235" t="e">
        <f t="shared" ca="1" si="37"/>
        <v>#REF!</v>
      </c>
    </row>
    <row r="125" spans="1:135" ht="13.8" x14ac:dyDescent="0.45">
      <c r="A125" s="211" t="str">
        <f>$A$65</f>
        <v>Maximum Cases</v>
      </c>
      <c r="B125" s="128">
        <v>2031</v>
      </c>
      <c r="C125" s="1023"/>
      <c r="D125" s="1024"/>
      <c r="E125" s="1025"/>
      <c r="F125" s="894"/>
      <c r="G125" s="159"/>
      <c r="H125" s="204"/>
      <c r="I125" s="1112"/>
      <c r="J125" s="207"/>
      <c r="K125" s="204"/>
      <c r="L125" s="206"/>
      <c r="M125" s="204"/>
      <c r="N125" s="29" t="s">
        <v>119</v>
      </c>
      <c r="O125" s="120"/>
      <c r="P125" s="120"/>
      <c r="Q125" s="120"/>
      <c r="R125" s="29">
        <v>17</v>
      </c>
      <c r="S125" s="154" t="str">
        <f t="shared" si="38"/>
        <v/>
      </c>
      <c r="T125" s="154" t="str">
        <f t="shared" si="39"/>
        <v/>
      </c>
      <c r="U125" s="154" t="str">
        <f t="shared" si="40"/>
        <v/>
      </c>
      <c r="W125" s="154" t="e">
        <f t="shared" si="41"/>
        <v>#N/A</v>
      </c>
      <c r="X125" s="154" t="e">
        <f t="shared" si="42"/>
        <v>#N/A</v>
      </c>
      <c r="Y125" s="154" t="e">
        <f t="shared" si="43"/>
        <v>#N/A</v>
      </c>
      <c r="AA125" s="1133">
        <v>624.38333333333333</v>
      </c>
      <c r="AB125" s="1133">
        <v>673.6172807220504</v>
      </c>
      <c r="AC125" s="1133">
        <v>722.85122811076747</v>
      </c>
      <c r="AD125" s="89"/>
      <c r="AE125" s="89"/>
      <c r="AF125" s="89"/>
      <c r="AG125" s="89"/>
      <c r="AH125" s="89"/>
      <c r="AI125" s="89"/>
      <c r="AJ125" s="89"/>
      <c r="AK125" s="89"/>
      <c r="AL125" s="89"/>
      <c r="AM125" s="89"/>
      <c r="AN125" s="89"/>
      <c r="BR125" s="180">
        <v>2029</v>
      </c>
      <c r="BS125" s="22">
        <v>15</v>
      </c>
      <c r="BT125" s="181" t="e">
        <f t="shared" si="54"/>
        <v>#DIV/0!</v>
      </c>
      <c r="BU125" s="182" t="e">
        <f t="shared" si="55"/>
        <v>#DIV/0!</v>
      </c>
      <c r="BV125" s="205" t="e">
        <f t="shared" si="56"/>
        <v>#DIV/0!</v>
      </c>
      <c r="BY125" s="180">
        <v>2029</v>
      </c>
      <c r="BZ125" s="22">
        <v>15</v>
      </c>
      <c r="CA125" s="198" t="e">
        <f t="shared" ca="1" si="57"/>
        <v>#REF!</v>
      </c>
      <c r="CB125" s="198" t="e">
        <f t="shared" ca="1" si="58"/>
        <v>#REF!</v>
      </c>
      <c r="CC125" s="186" t="e">
        <f t="shared" ca="1" si="69"/>
        <v>#REF!</v>
      </c>
      <c r="CD125" s="205" t="e">
        <f t="shared" ca="1" si="59"/>
        <v>#REF!</v>
      </c>
      <c r="CG125" s="180">
        <v>2029</v>
      </c>
      <c r="CH125" s="22">
        <v>15</v>
      </c>
      <c r="CI125" s="198" t="e">
        <f t="shared" ca="1" si="60"/>
        <v>#REF!</v>
      </c>
      <c r="CJ125" s="198" t="e">
        <f t="shared" ca="1" si="61"/>
        <v>#REF!</v>
      </c>
      <c r="CK125" s="198" t="e">
        <f t="shared" ca="1" si="62"/>
        <v>#REF!</v>
      </c>
      <c r="CL125" s="186" t="e">
        <f t="shared" ca="1" si="63"/>
        <v>#REF!</v>
      </c>
      <c r="CM125" s="205" t="e">
        <f t="shared" ca="1" si="64"/>
        <v>#REF!</v>
      </c>
      <c r="CP125" s="180">
        <v>2029</v>
      </c>
      <c r="CQ125" s="22">
        <v>15</v>
      </c>
      <c r="CR125" s="198" t="e">
        <f t="shared" ca="1" si="65"/>
        <v>#REF!</v>
      </c>
      <c r="CS125" s="186" t="e">
        <f t="shared" ca="1" si="66"/>
        <v>#REF!</v>
      </c>
      <c r="CT125" s="205" t="e">
        <f t="shared" ca="1" si="67"/>
        <v>#REF!</v>
      </c>
      <c r="CZ125" s="164" t="b">
        <f t="shared" si="44"/>
        <v>0</v>
      </c>
      <c r="DA125" s="165" t="b">
        <f t="shared" si="44"/>
        <v>0</v>
      </c>
      <c r="DB125" s="166" t="b">
        <f t="shared" si="44"/>
        <v>0</v>
      </c>
      <c r="DC125" s="164" t="str">
        <f t="shared" si="53"/>
        <v/>
      </c>
      <c r="DD125" s="166" t="str">
        <f t="shared" si="45"/>
        <v/>
      </c>
      <c r="DE125" s="164" t="str">
        <f t="shared" si="46"/>
        <v/>
      </c>
      <c r="DF125" s="166" t="str">
        <f t="shared" si="47"/>
        <v/>
      </c>
      <c r="DG125" s="164" t="str">
        <f t="shared" si="48"/>
        <v/>
      </c>
      <c r="DH125" s="166" t="str">
        <f t="shared" si="49"/>
        <v/>
      </c>
      <c r="DI125" s="164" t="str">
        <f>IFERROR(INDEX(DC$106:DC$154,_xlfn.AGGREGATE(15,6,(ROW(DC$106:DC$154)-ROW(DC$106)+1)/(DC$106:DC$154&lt;&gt;""),ROWS(DI$1:DI20))),"")</f>
        <v/>
      </c>
      <c r="DJ125" s="165" t="str">
        <f>IFERROR(INDEX(DD$106:DD$154,_xlfn.AGGREGATE(15,6,(ROW(DD$106:DD$154)-ROW(DD$106)+1)/(DD$106:DD$154&lt;&gt;""),ROWS(DJ$1:DJ20))),"")</f>
        <v/>
      </c>
      <c r="DK125" s="166" t="str">
        <f t="shared" si="50"/>
        <v/>
      </c>
      <c r="DL125" s="164" t="str">
        <f>IFERROR(INDEX(DE$106:DE$154,_xlfn.AGGREGATE(15,6,(ROW(DE$106:DE$154)-ROW(DE$106)+1)/(DE$106:DE$154&lt;&gt;""),ROWS(DL$1:DL20))),"")</f>
        <v/>
      </c>
      <c r="DM125" s="165" t="str">
        <f>IFERROR(INDEX(DF$106:DF$154,_xlfn.AGGREGATE(15,6,(ROW(DF$106:DF$154)-ROW(DF$106)+1)/(DF$106:DF$154&lt;&gt;""),ROWS(DM$1:DM20))),"")</f>
        <v/>
      </c>
      <c r="DN125" s="166" t="str">
        <f t="shared" si="51"/>
        <v/>
      </c>
      <c r="DO125" s="164" t="str">
        <f>IFERROR(INDEX(DG$106:DG$154,_xlfn.AGGREGATE(15,6,(ROW(DG$106:DG$154)-ROW(DG$106)+1)/(DG$106:DG$154&lt;&gt;""),ROWS(DO$1:DO20))),"")</f>
        <v/>
      </c>
      <c r="DP125" s="165" t="str">
        <f>IFERROR(INDEX(DH$106:DH$154,_xlfn.AGGREGATE(15,6,(ROW(DH$106:DH$154)-ROW(DH$106)+1)/(DH$106:DH$154&lt;&gt;""),ROWS(DP$1:DP20))),"")</f>
        <v/>
      </c>
      <c r="DQ125" s="166" t="str">
        <f t="shared" si="52"/>
        <v/>
      </c>
      <c r="DV125" s="145">
        <v>2034</v>
      </c>
      <c r="DW125" s="235" t="e">
        <f t="shared" ca="1" si="37"/>
        <v>#REF!</v>
      </c>
    </row>
    <row r="126" spans="1:135" ht="13.8" x14ac:dyDescent="0.45">
      <c r="B126" s="128">
        <v>2032</v>
      </c>
      <c r="C126" s="1023"/>
      <c r="D126" s="1024"/>
      <c r="E126" s="1025"/>
      <c r="F126" s="894"/>
      <c r="G126" s="159"/>
      <c r="H126" s="204"/>
      <c r="I126" s="1112"/>
      <c r="J126" s="207"/>
      <c r="K126" s="204"/>
      <c r="L126" s="206"/>
      <c r="M126" s="204"/>
      <c r="N126" s="29" t="s">
        <v>119</v>
      </c>
      <c r="O126" s="120"/>
      <c r="P126" s="120"/>
      <c r="Q126" s="120"/>
      <c r="R126" s="29">
        <v>18</v>
      </c>
      <c r="S126" s="154" t="str">
        <f t="shared" si="38"/>
        <v/>
      </c>
      <c r="T126" s="154" t="str">
        <f t="shared" si="39"/>
        <v/>
      </c>
      <c r="U126" s="154" t="str">
        <f t="shared" si="40"/>
        <v/>
      </c>
      <c r="W126" s="154" t="e">
        <f t="shared" si="41"/>
        <v>#N/A</v>
      </c>
      <c r="X126" s="154" t="e">
        <f t="shared" si="42"/>
        <v>#N/A</v>
      </c>
      <c r="Y126" s="154" t="e">
        <f t="shared" si="43"/>
        <v>#N/A</v>
      </c>
      <c r="AA126" s="1133">
        <v>624.4666666666667</v>
      </c>
      <c r="AB126" s="1133">
        <v>675.03466669669638</v>
      </c>
      <c r="AC126" s="1133">
        <v>725.60266672672606</v>
      </c>
      <c r="AD126" s="89"/>
      <c r="AE126" s="89"/>
      <c r="AF126" s="89"/>
      <c r="AG126" s="89"/>
      <c r="AH126" s="89"/>
      <c r="AI126" s="89"/>
      <c r="AJ126" s="89"/>
      <c r="AK126" s="89"/>
      <c r="AL126" s="89"/>
      <c r="AM126" s="89"/>
      <c r="AN126" s="89"/>
      <c r="BR126" s="180">
        <v>2030</v>
      </c>
      <c r="BS126" s="22">
        <v>16</v>
      </c>
      <c r="BT126" s="181" t="e">
        <f t="shared" si="54"/>
        <v>#DIV/0!</v>
      </c>
      <c r="BU126" s="182" t="e">
        <f t="shared" si="55"/>
        <v>#DIV/0!</v>
      </c>
      <c r="BV126" s="205" t="e">
        <f t="shared" si="56"/>
        <v>#DIV/0!</v>
      </c>
      <c r="BY126" s="180">
        <v>2030</v>
      </c>
      <c r="BZ126" s="22">
        <v>16</v>
      </c>
      <c r="CA126" s="198" t="e">
        <f t="shared" ca="1" si="57"/>
        <v>#REF!</v>
      </c>
      <c r="CB126" s="198" t="e">
        <f t="shared" ca="1" si="58"/>
        <v>#REF!</v>
      </c>
      <c r="CC126" s="186" t="e">
        <f t="shared" ca="1" si="69"/>
        <v>#REF!</v>
      </c>
      <c r="CD126" s="205" t="e">
        <f t="shared" ca="1" si="59"/>
        <v>#REF!</v>
      </c>
      <c r="CG126" s="180">
        <v>2030</v>
      </c>
      <c r="CH126" s="22">
        <v>16</v>
      </c>
      <c r="CI126" s="198" t="e">
        <f t="shared" ca="1" si="60"/>
        <v>#REF!</v>
      </c>
      <c r="CJ126" s="198" t="e">
        <f t="shared" ca="1" si="61"/>
        <v>#REF!</v>
      </c>
      <c r="CK126" s="198" t="e">
        <f t="shared" ca="1" si="62"/>
        <v>#REF!</v>
      </c>
      <c r="CL126" s="186" t="e">
        <f t="shared" ca="1" si="63"/>
        <v>#REF!</v>
      </c>
      <c r="CM126" s="205" t="e">
        <f t="shared" ca="1" si="64"/>
        <v>#REF!</v>
      </c>
      <c r="CP126" s="180">
        <v>2030</v>
      </c>
      <c r="CQ126" s="22">
        <v>16</v>
      </c>
      <c r="CR126" s="198" t="e">
        <f t="shared" ca="1" si="65"/>
        <v>#REF!</v>
      </c>
      <c r="CS126" s="186" t="e">
        <f t="shared" ca="1" si="66"/>
        <v>#REF!</v>
      </c>
      <c r="CT126" s="205" t="e">
        <f t="shared" ca="1" si="67"/>
        <v>#REF!</v>
      </c>
      <c r="CZ126" s="164" t="b">
        <f t="shared" si="44"/>
        <v>0</v>
      </c>
      <c r="DA126" s="165" t="b">
        <f t="shared" si="44"/>
        <v>0</v>
      </c>
      <c r="DB126" s="166" t="b">
        <f t="shared" si="44"/>
        <v>0</v>
      </c>
      <c r="DC126" s="164" t="str">
        <f t="shared" si="53"/>
        <v/>
      </c>
      <c r="DD126" s="166" t="str">
        <f t="shared" si="45"/>
        <v/>
      </c>
      <c r="DE126" s="164" t="str">
        <f t="shared" si="46"/>
        <v/>
      </c>
      <c r="DF126" s="166" t="str">
        <f t="shared" si="47"/>
        <v/>
      </c>
      <c r="DG126" s="164" t="str">
        <f t="shared" si="48"/>
        <v/>
      </c>
      <c r="DH126" s="166" t="str">
        <f t="shared" si="49"/>
        <v/>
      </c>
      <c r="DI126" s="164" t="str">
        <f>IFERROR(INDEX(DC$106:DC$154,_xlfn.AGGREGATE(15,6,(ROW(DC$106:DC$154)-ROW(DC$106)+1)/(DC$106:DC$154&lt;&gt;""),ROWS(DI$1:DI21))),"")</f>
        <v/>
      </c>
      <c r="DJ126" s="165" t="str">
        <f>IFERROR(INDEX(DD$106:DD$154,_xlfn.AGGREGATE(15,6,(ROW(DD$106:DD$154)-ROW(DD$106)+1)/(DD$106:DD$154&lt;&gt;""),ROWS(DJ$1:DJ21))),"")</f>
        <v/>
      </c>
      <c r="DK126" s="166" t="str">
        <f t="shared" si="50"/>
        <v/>
      </c>
      <c r="DL126" s="164" t="str">
        <f>IFERROR(INDEX(DE$106:DE$154,_xlfn.AGGREGATE(15,6,(ROW(DE$106:DE$154)-ROW(DE$106)+1)/(DE$106:DE$154&lt;&gt;""),ROWS(DL$1:DL21))),"")</f>
        <v/>
      </c>
      <c r="DM126" s="165" t="str">
        <f>IFERROR(INDEX(DF$106:DF$154,_xlfn.AGGREGATE(15,6,(ROW(DF$106:DF$154)-ROW(DF$106)+1)/(DF$106:DF$154&lt;&gt;""),ROWS(DM$1:DM21))),"")</f>
        <v/>
      </c>
      <c r="DN126" s="166" t="str">
        <f t="shared" si="51"/>
        <v/>
      </c>
      <c r="DO126" s="164" t="str">
        <f>IFERROR(INDEX(DG$106:DG$154,_xlfn.AGGREGATE(15,6,(ROW(DG$106:DG$154)-ROW(DG$106)+1)/(DG$106:DG$154&lt;&gt;""),ROWS(DO$1:DO21))),"")</f>
        <v/>
      </c>
      <c r="DP126" s="165" t="str">
        <f>IFERROR(INDEX(DH$106:DH$154,_xlfn.AGGREGATE(15,6,(ROW(DH$106:DH$154)-ROW(DH$106)+1)/(DH$106:DH$154&lt;&gt;""),ROWS(DP$1:DP21))),"")</f>
        <v/>
      </c>
      <c r="DQ126" s="166" t="str">
        <f t="shared" si="52"/>
        <v/>
      </c>
      <c r="DV126" s="145">
        <v>2035</v>
      </c>
      <c r="DW126" s="235" t="e">
        <f t="shared" ca="1" si="37"/>
        <v>#REF!</v>
      </c>
    </row>
    <row r="127" spans="1:135" ht="13.8" x14ac:dyDescent="0.45">
      <c r="B127" s="128">
        <v>2033</v>
      </c>
      <c r="C127" s="1023"/>
      <c r="D127" s="1024"/>
      <c r="E127" s="1025"/>
      <c r="F127" s="894"/>
      <c r="G127" s="159"/>
      <c r="H127" s="204"/>
      <c r="I127" s="1112"/>
      <c r="J127" s="207"/>
      <c r="K127" s="204"/>
      <c r="L127" s="206"/>
      <c r="M127" s="204"/>
      <c r="N127" s="29" t="s">
        <v>119</v>
      </c>
      <c r="O127" s="120"/>
      <c r="P127" s="120"/>
      <c r="Q127" s="120"/>
      <c r="R127" s="29">
        <v>19</v>
      </c>
      <c r="S127" s="154" t="str">
        <f t="shared" si="38"/>
        <v/>
      </c>
      <c r="T127" s="154" t="str">
        <f t="shared" si="39"/>
        <v/>
      </c>
      <c r="U127" s="154" t="str">
        <f t="shared" si="40"/>
        <v/>
      </c>
      <c r="W127" s="154" t="e">
        <f t="shared" si="41"/>
        <v>#N/A</v>
      </c>
      <c r="X127" s="154" t="e">
        <f t="shared" si="42"/>
        <v>#N/A</v>
      </c>
      <c r="Y127" s="154" t="e">
        <f t="shared" si="43"/>
        <v>#N/A</v>
      </c>
      <c r="AA127" s="1133">
        <v>629.64029680365297</v>
      </c>
      <c r="AB127" s="1133">
        <v>678.97857490345075</v>
      </c>
      <c r="AC127" s="1133">
        <v>728.31685300324853</v>
      </c>
      <c r="AD127" s="89"/>
      <c r="AE127" s="89"/>
      <c r="AF127" s="89"/>
      <c r="AG127" s="89"/>
      <c r="AH127" s="89"/>
      <c r="AI127" s="89"/>
      <c r="AJ127" s="89"/>
      <c r="AK127" s="89"/>
      <c r="AL127" s="89"/>
      <c r="AM127" s="89"/>
      <c r="AN127" s="89"/>
      <c r="BR127" s="180">
        <v>2031</v>
      </c>
      <c r="BS127" s="22">
        <v>17</v>
      </c>
      <c r="BT127" s="181" t="e">
        <f t="shared" si="54"/>
        <v>#DIV/0!</v>
      </c>
      <c r="BU127" s="182" t="e">
        <f t="shared" si="55"/>
        <v>#DIV/0!</v>
      </c>
      <c r="BV127" s="205" t="e">
        <f t="shared" si="56"/>
        <v>#DIV/0!</v>
      </c>
      <c r="BY127" s="180">
        <v>2031</v>
      </c>
      <c r="BZ127" s="22">
        <v>17</v>
      </c>
      <c r="CA127" s="198" t="e">
        <f t="shared" ca="1" si="57"/>
        <v>#REF!</v>
      </c>
      <c r="CB127" s="198" t="e">
        <f t="shared" ca="1" si="58"/>
        <v>#REF!</v>
      </c>
      <c r="CC127" s="186" t="e">
        <f t="shared" ca="1" si="69"/>
        <v>#REF!</v>
      </c>
      <c r="CD127" s="205" t="e">
        <f t="shared" ca="1" si="59"/>
        <v>#REF!</v>
      </c>
      <c r="CG127" s="180">
        <v>2031</v>
      </c>
      <c r="CH127" s="22">
        <v>17</v>
      </c>
      <c r="CI127" s="198" t="e">
        <f t="shared" ca="1" si="60"/>
        <v>#REF!</v>
      </c>
      <c r="CJ127" s="198" t="e">
        <f t="shared" ca="1" si="61"/>
        <v>#REF!</v>
      </c>
      <c r="CK127" s="198" t="e">
        <f t="shared" ca="1" si="62"/>
        <v>#REF!</v>
      </c>
      <c r="CL127" s="186" t="e">
        <f t="shared" ca="1" si="63"/>
        <v>#REF!</v>
      </c>
      <c r="CM127" s="205" t="e">
        <f t="shared" ca="1" si="64"/>
        <v>#REF!</v>
      </c>
      <c r="CP127" s="180">
        <v>2031</v>
      </c>
      <c r="CQ127" s="22">
        <v>17</v>
      </c>
      <c r="CR127" s="198" t="e">
        <f t="shared" ca="1" si="65"/>
        <v>#REF!</v>
      </c>
      <c r="CS127" s="186" t="e">
        <f t="shared" ca="1" si="66"/>
        <v>#REF!</v>
      </c>
      <c r="CT127" s="205" t="e">
        <f t="shared" ca="1" si="67"/>
        <v>#REF!</v>
      </c>
      <c r="CZ127" s="164" t="b">
        <f t="shared" si="44"/>
        <v>0</v>
      </c>
      <c r="DA127" s="165" t="b">
        <f t="shared" si="44"/>
        <v>0</v>
      </c>
      <c r="DB127" s="166" t="b">
        <f t="shared" si="44"/>
        <v>0</v>
      </c>
      <c r="DC127" s="164" t="str">
        <f t="shared" si="53"/>
        <v/>
      </c>
      <c r="DD127" s="166" t="str">
        <f t="shared" si="45"/>
        <v/>
      </c>
      <c r="DE127" s="164" t="str">
        <f t="shared" si="46"/>
        <v/>
      </c>
      <c r="DF127" s="166" t="str">
        <f t="shared" si="47"/>
        <v/>
      </c>
      <c r="DG127" s="164" t="str">
        <f t="shared" si="48"/>
        <v/>
      </c>
      <c r="DH127" s="166" t="str">
        <f t="shared" si="49"/>
        <v/>
      </c>
      <c r="DI127" s="164" t="str">
        <f>IFERROR(INDEX(DC$106:DC$154,_xlfn.AGGREGATE(15,6,(ROW(DC$106:DC$154)-ROW(DC$106)+1)/(DC$106:DC$154&lt;&gt;""),ROWS(DI$1:DI22))),"")</f>
        <v/>
      </c>
      <c r="DJ127" s="165" t="str">
        <f>IFERROR(INDEX(DD$106:DD$154,_xlfn.AGGREGATE(15,6,(ROW(DD$106:DD$154)-ROW(DD$106)+1)/(DD$106:DD$154&lt;&gt;""),ROWS(DJ$1:DJ22))),"")</f>
        <v/>
      </c>
      <c r="DK127" s="166" t="str">
        <f t="shared" si="50"/>
        <v/>
      </c>
      <c r="DL127" s="164" t="str">
        <f>IFERROR(INDEX(DE$106:DE$154,_xlfn.AGGREGATE(15,6,(ROW(DE$106:DE$154)-ROW(DE$106)+1)/(DE$106:DE$154&lt;&gt;""),ROWS(DL$1:DL22))),"")</f>
        <v/>
      </c>
      <c r="DM127" s="165" t="str">
        <f>IFERROR(INDEX(DF$106:DF$154,_xlfn.AGGREGATE(15,6,(ROW(DF$106:DF$154)-ROW(DF$106)+1)/(DF$106:DF$154&lt;&gt;""),ROWS(DM$1:DM22))),"")</f>
        <v/>
      </c>
      <c r="DN127" s="166" t="str">
        <f t="shared" si="51"/>
        <v/>
      </c>
      <c r="DO127" s="164" t="str">
        <f>IFERROR(INDEX(DG$106:DG$154,_xlfn.AGGREGATE(15,6,(ROW(DG$106:DG$154)-ROW(DG$106)+1)/(DG$106:DG$154&lt;&gt;""),ROWS(DO$1:DO22))),"")</f>
        <v/>
      </c>
      <c r="DP127" s="165" t="str">
        <f>IFERROR(INDEX(DH$106:DH$154,_xlfn.AGGREGATE(15,6,(ROW(DH$106:DH$154)-ROW(DH$106)+1)/(DH$106:DH$154&lt;&gt;""),ROWS(DP$1:DP22))),"")</f>
        <v/>
      </c>
      <c r="DQ127" s="166" t="str">
        <f t="shared" si="52"/>
        <v/>
      </c>
      <c r="DV127" s="145">
        <v>2036</v>
      </c>
      <c r="DW127" s="235" t="e">
        <f t="shared" ca="1" si="37"/>
        <v>#REF!</v>
      </c>
    </row>
    <row r="128" spans="1:135" ht="13.8" x14ac:dyDescent="0.45">
      <c r="B128" s="128">
        <v>2034</v>
      </c>
      <c r="C128" s="1023"/>
      <c r="D128" s="1024"/>
      <c r="E128" s="1025"/>
      <c r="F128" s="894"/>
      <c r="G128" s="159"/>
      <c r="H128" s="204"/>
      <c r="I128" s="1112"/>
      <c r="J128" s="207"/>
      <c r="K128" s="204"/>
      <c r="L128" s="206"/>
      <c r="M128" s="204"/>
      <c r="N128" s="29" t="s">
        <v>119</v>
      </c>
      <c r="O128" s="120"/>
      <c r="P128" s="120"/>
      <c r="Q128" s="120"/>
      <c r="R128" s="29">
        <v>20</v>
      </c>
      <c r="S128" s="154" t="str">
        <f t="shared" si="38"/>
        <v/>
      </c>
      <c r="T128" s="154" t="str">
        <f t="shared" si="39"/>
        <v/>
      </c>
      <c r="U128" s="154" t="str">
        <f t="shared" si="40"/>
        <v/>
      </c>
      <c r="W128" s="154" t="e">
        <f t="shared" si="41"/>
        <v>#N/A</v>
      </c>
      <c r="X128" s="154" t="e">
        <f t="shared" si="42"/>
        <v>#N/A</v>
      </c>
      <c r="Y128" s="154" t="e">
        <f t="shared" si="43"/>
        <v>#N/A</v>
      </c>
      <c r="AA128" s="1133">
        <v>634.81392694063925</v>
      </c>
      <c r="AB128" s="1133">
        <v>682.90037147244834</v>
      </c>
      <c r="AC128" s="1133">
        <v>730.98681600425743</v>
      </c>
      <c r="AD128" s="89"/>
      <c r="AE128" s="89"/>
      <c r="AF128" s="89"/>
      <c r="AG128" s="89"/>
      <c r="AH128" s="89"/>
      <c r="AI128" s="89"/>
      <c r="AJ128" s="89"/>
      <c r="AK128" s="89"/>
      <c r="AL128" s="89"/>
      <c r="AM128" s="89"/>
      <c r="AN128" s="89"/>
      <c r="BR128" s="180">
        <v>2032</v>
      </c>
      <c r="BS128" s="22">
        <v>18</v>
      </c>
      <c r="BT128" s="181" t="e">
        <f t="shared" si="54"/>
        <v>#DIV/0!</v>
      </c>
      <c r="BU128" s="182" t="e">
        <f t="shared" si="55"/>
        <v>#DIV/0!</v>
      </c>
      <c r="BV128" s="205" t="e">
        <f t="shared" si="56"/>
        <v>#DIV/0!</v>
      </c>
      <c r="BY128" s="180">
        <v>2032</v>
      </c>
      <c r="BZ128" s="22">
        <v>18</v>
      </c>
      <c r="CA128" s="198" t="e">
        <f t="shared" ca="1" si="57"/>
        <v>#REF!</v>
      </c>
      <c r="CB128" s="198" t="e">
        <f t="shared" ca="1" si="58"/>
        <v>#REF!</v>
      </c>
      <c r="CC128" s="186" t="e">
        <f t="shared" ca="1" si="69"/>
        <v>#REF!</v>
      </c>
      <c r="CD128" s="205" t="e">
        <f t="shared" ca="1" si="59"/>
        <v>#REF!</v>
      </c>
      <c r="CG128" s="180">
        <v>2032</v>
      </c>
      <c r="CH128" s="22">
        <v>18</v>
      </c>
      <c r="CI128" s="198" t="e">
        <f t="shared" ca="1" si="60"/>
        <v>#REF!</v>
      </c>
      <c r="CJ128" s="198" t="e">
        <f t="shared" ca="1" si="61"/>
        <v>#REF!</v>
      </c>
      <c r="CK128" s="198" t="e">
        <f t="shared" ca="1" si="62"/>
        <v>#REF!</v>
      </c>
      <c r="CL128" s="186" t="e">
        <f t="shared" ca="1" si="63"/>
        <v>#REF!</v>
      </c>
      <c r="CM128" s="205" t="e">
        <f t="shared" ca="1" si="64"/>
        <v>#REF!</v>
      </c>
      <c r="CP128" s="180">
        <v>2032</v>
      </c>
      <c r="CQ128" s="22">
        <v>18</v>
      </c>
      <c r="CR128" s="198" t="e">
        <f t="shared" ca="1" si="65"/>
        <v>#REF!</v>
      </c>
      <c r="CS128" s="186" t="e">
        <f t="shared" ca="1" si="66"/>
        <v>#REF!</v>
      </c>
      <c r="CT128" s="205" t="e">
        <f t="shared" ca="1" si="67"/>
        <v>#REF!</v>
      </c>
      <c r="CZ128" s="164" t="b">
        <f t="shared" si="44"/>
        <v>0</v>
      </c>
      <c r="DA128" s="165" t="b">
        <f t="shared" si="44"/>
        <v>0</v>
      </c>
      <c r="DB128" s="166" t="b">
        <f t="shared" si="44"/>
        <v>0</v>
      </c>
      <c r="DC128" s="164" t="str">
        <f t="shared" si="53"/>
        <v/>
      </c>
      <c r="DD128" s="166" t="str">
        <f t="shared" si="45"/>
        <v/>
      </c>
      <c r="DE128" s="164" t="str">
        <f t="shared" si="46"/>
        <v/>
      </c>
      <c r="DF128" s="166" t="str">
        <f t="shared" si="47"/>
        <v/>
      </c>
      <c r="DG128" s="164" t="str">
        <f t="shared" si="48"/>
        <v/>
      </c>
      <c r="DH128" s="166" t="str">
        <f t="shared" si="49"/>
        <v/>
      </c>
      <c r="DI128" s="164" t="str">
        <f>IFERROR(INDEX(DC$106:DC$154,_xlfn.AGGREGATE(15,6,(ROW(DC$106:DC$154)-ROW(DC$106)+1)/(DC$106:DC$154&lt;&gt;""),ROWS(DI$1:DI23))),"")</f>
        <v/>
      </c>
      <c r="DJ128" s="165" t="str">
        <f>IFERROR(INDEX(DD$106:DD$154,_xlfn.AGGREGATE(15,6,(ROW(DD$106:DD$154)-ROW(DD$106)+1)/(DD$106:DD$154&lt;&gt;""),ROWS(DJ$1:DJ23))),"")</f>
        <v/>
      </c>
      <c r="DK128" s="166" t="str">
        <f t="shared" si="50"/>
        <v/>
      </c>
      <c r="DL128" s="164" t="str">
        <f>IFERROR(INDEX(DE$106:DE$154,_xlfn.AGGREGATE(15,6,(ROW(DE$106:DE$154)-ROW(DE$106)+1)/(DE$106:DE$154&lt;&gt;""),ROWS(DL$1:DL23))),"")</f>
        <v/>
      </c>
      <c r="DM128" s="165" t="str">
        <f>IFERROR(INDEX(DF$106:DF$154,_xlfn.AGGREGATE(15,6,(ROW(DF$106:DF$154)-ROW(DF$106)+1)/(DF$106:DF$154&lt;&gt;""),ROWS(DM$1:DM23))),"")</f>
        <v/>
      </c>
      <c r="DN128" s="166" t="str">
        <f t="shared" si="51"/>
        <v/>
      </c>
      <c r="DO128" s="164" t="str">
        <f>IFERROR(INDEX(DG$106:DG$154,_xlfn.AGGREGATE(15,6,(ROW(DG$106:DG$154)-ROW(DG$106)+1)/(DG$106:DG$154&lt;&gt;""),ROWS(DO$1:DO23))),"")</f>
        <v/>
      </c>
      <c r="DP128" s="165" t="str">
        <f>IFERROR(INDEX(DH$106:DH$154,_xlfn.AGGREGATE(15,6,(ROW(DH$106:DH$154)-ROW(DH$106)+1)/(DH$106:DH$154&lt;&gt;""),ROWS(DP$1:DP23))),"")</f>
        <v/>
      </c>
      <c r="DQ128" s="166" t="str">
        <f t="shared" si="52"/>
        <v/>
      </c>
      <c r="DV128" s="145">
        <v>2037</v>
      </c>
      <c r="DW128" s="235" t="e">
        <f t="shared" ca="1" si="37"/>
        <v>#REF!</v>
      </c>
    </row>
    <row r="129" spans="2:135" ht="13.8" x14ac:dyDescent="0.45">
      <c r="B129" s="128">
        <v>2035</v>
      </c>
      <c r="C129" s="1023"/>
      <c r="D129" s="1024"/>
      <c r="E129" s="1025"/>
      <c r="F129" s="894"/>
      <c r="G129" s="159"/>
      <c r="H129" s="204"/>
      <c r="I129" s="1112"/>
      <c r="J129" s="207"/>
      <c r="K129" s="204"/>
      <c r="L129" s="206"/>
      <c r="M129" s="204"/>
      <c r="N129" s="29" t="s">
        <v>119</v>
      </c>
      <c r="O129" s="120"/>
      <c r="P129" s="120"/>
      <c r="Q129" s="120"/>
      <c r="R129" s="29">
        <v>21</v>
      </c>
      <c r="S129" s="154" t="str">
        <f t="shared" si="38"/>
        <v/>
      </c>
      <c r="T129" s="154" t="str">
        <f t="shared" si="39"/>
        <v/>
      </c>
      <c r="U129" s="154" t="str">
        <f t="shared" si="40"/>
        <v/>
      </c>
      <c r="W129" s="154" t="e">
        <f t="shared" si="41"/>
        <v>#N/A</v>
      </c>
      <c r="X129" s="154" t="e">
        <f t="shared" si="42"/>
        <v>#N/A</v>
      </c>
      <c r="Y129" s="154" t="e">
        <f t="shared" si="43"/>
        <v>#N/A</v>
      </c>
      <c r="AA129" s="1133">
        <v>639.98755707762552</v>
      </c>
      <c r="AB129" s="1133">
        <v>687.45041571051388</v>
      </c>
      <c r="AC129" s="1133">
        <v>734.91327434340224</v>
      </c>
      <c r="AD129" s="89"/>
      <c r="AE129" s="89"/>
      <c r="AF129" s="89"/>
      <c r="AG129" s="89"/>
      <c r="AH129" s="89"/>
      <c r="AI129" s="89"/>
      <c r="AJ129" s="89"/>
      <c r="AK129" s="89"/>
      <c r="AL129" s="89"/>
      <c r="AM129" s="89"/>
      <c r="AN129" s="89"/>
      <c r="BR129" s="180">
        <v>2033</v>
      </c>
      <c r="BS129" s="22">
        <v>19</v>
      </c>
      <c r="BT129" s="181" t="e">
        <f t="shared" si="54"/>
        <v>#DIV/0!</v>
      </c>
      <c r="BU129" s="182" t="e">
        <f t="shared" si="55"/>
        <v>#DIV/0!</v>
      </c>
      <c r="BV129" s="205" t="e">
        <f t="shared" si="56"/>
        <v>#DIV/0!</v>
      </c>
      <c r="BY129" s="180">
        <v>2033</v>
      </c>
      <c r="BZ129" s="22">
        <v>19</v>
      </c>
      <c r="CA129" s="198" t="e">
        <f t="shared" ca="1" si="57"/>
        <v>#REF!</v>
      </c>
      <c r="CB129" s="198" t="e">
        <f t="shared" ca="1" si="58"/>
        <v>#REF!</v>
      </c>
      <c r="CC129" s="186" t="e">
        <f t="shared" ca="1" si="69"/>
        <v>#REF!</v>
      </c>
      <c r="CD129" s="205" t="e">
        <f t="shared" ca="1" si="59"/>
        <v>#REF!</v>
      </c>
      <c r="CG129" s="180">
        <v>2033</v>
      </c>
      <c r="CH129" s="22">
        <v>19</v>
      </c>
      <c r="CI129" s="198" t="e">
        <f t="shared" ca="1" si="60"/>
        <v>#REF!</v>
      </c>
      <c r="CJ129" s="198" t="e">
        <f t="shared" ca="1" si="61"/>
        <v>#REF!</v>
      </c>
      <c r="CK129" s="198" t="e">
        <f t="shared" ca="1" si="62"/>
        <v>#REF!</v>
      </c>
      <c r="CL129" s="186" t="e">
        <f t="shared" ca="1" si="63"/>
        <v>#REF!</v>
      </c>
      <c r="CM129" s="205" t="e">
        <f t="shared" ca="1" si="64"/>
        <v>#REF!</v>
      </c>
      <c r="CP129" s="180">
        <v>2033</v>
      </c>
      <c r="CQ129" s="22">
        <v>19</v>
      </c>
      <c r="CR129" s="198" t="e">
        <f t="shared" ca="1" si="65"/>
        <v>#REF!</v>
      </c>
      <c r="CS129" s="186" t="e">
        <f t="shared" ca="1" si="66"/>
        <v>#REF!</v>
      </c>
      <c r="CT129" s="205" t="e">
        <f t="shared" ca="1" si="67"/>
        <v>#REF!</v>
      </c>
      <c r="CZ129" s="164" t="b">
        <f t="shared" si="44"/>
        <v>0</v>
      </c>
      <c r="DA129" s="165" t="b">
        <f t="shared" si="44"/>
        <v>0</v>
      </c>
      <c r="DB129" s="166" t="b">
        <f t="shared" si="44"/>
        <v>0</v>
      </c>
      <c r="DC129" s="164" t="str">
        <f t="shared" si="53"/>
        <v/>
      </c>
      <c r="DD129" s="166" t="str">
        <f t="shared" si="45"/>
        <v/>
      </c>
      <c r="DE129" s="164" t="str">
        <f t="shared" si="46"/>
        <v/>
      </c>
      <c r="DF129" s="166" t="str">
        <f t="shared" si="47"/>
        <v/>
      </c>
      <c r="DG129" s="164" t="str">
        <f t="shared" si="48"/>
        <v/>
      </c>
      <c r="DH129" s="166" t="str">
        <f t="shared" si="49"/>
        <v/>
      </c>
      <c r="DI129" s="164" t="str">
        <f>IFERROR(INDEX(DC$106:DC$154,_xlfn.AGGREGATE(15,6,(ROW(DC$106:DC$154)-ROW(DC$106)+1)/(DC$106:DC$154&lt;&gt;""),ROWS(DI$1:DI24))),"")</f>
        <v/>
      </c>
      <c r="DJ129" s="165" t="str">
        <f>IFERROR(INDEX(DD$106:DD$154,_xlfn.AGGREGATE(15,6,(ROW(DD$106:DD$154)-ROW(DD$106)+1)/(DD$106:DD$154&lt;&gt;""),ROWS(DJ$1:DJ24))),"")</f>
        <v/>
      </c>
      <c r="DK129" s="166" t="str">
        <f t="shared" si="50"/>
        <v/>
      </c>
      <c r="DL129" s="164" t="str">
        <f>IFERROR(INDEX(DE$106:DE$154,_xlfn.AGGREGATE(15,6,(ROW(DE$106:DE$154)-ROW(DE$106)+1)/(DE$106:DE$154&lt;&gt;""),ROWS(DL$1:DL24))),"")</f>
        <v/>
      </c>
      <c r="DM129" s="165" t="str">
        <f>IFERROR(INDEX(DF$106:DF$154,_xlfn.AGGREGATE(15,6,(ROW(DF$106:DF$154)-ROW(DF$106)+1)/(DF$106:DF$154&lt;&gt;""),ROWS(DM$1:DM24))),"")</f>
        <v/>
      </c>
      <c r="DN129" s="166" t="str">
        <f t="shared" si="51"/>
        <v/>
      </c>
      <c r="DO129" s="164" t="str">
        <f>IFERROR(INDEX(DG$106:DG$154,_xlfn.AGGREGATE(15,6,(ROW(DG$106:DG$154)-ROW(DG$106)+1)/(DG$106:DG$154&lt;&gt;""),ROWS(DO$1:DO24))),"")</f>
        <v/>
      </c>
      <c r="DP129" s="165" t="str">
        <f>IFERROR(INDEX(DH$106:DH$154,_xlfn.AGGREGATE(15,6,(ROW(DH$106:DH$154)-ROW(DH$106)+1)/(DH$106:DH$154&lt;&gt;""),ROWS(DP$1:DP24))),"")</f>
        <v/>
      </c>
      <c r="DQ129" s="166" t="str">
        <f t="shared" si="52"/>
        <v/>
      </c>
      <c r="DV129" s="145">
        <v>2038</v>
      </c>
      <c r="DW129" s="235" t="e">
        <f t="shared" ca="1" si="37"/>
        <v>#REF!</v>
      </c>
    </row>
    <row r="130" spans="2:135" ht="13.8" x14ac:dyDescent="0.45">
      <c r="B130" s="128">
        <v>2036</v>
      </c>
      <c r="C130" s="1023"/>
      <c r="D130" s="1024"/>
      <c r="E130" s="1025"/>
      <c r="F130" s="894"/>
      <c r="G130" s="159"/>
      <c r="H130" s="204"/>
      <c r="I130" s="1112"/>
      <c r="J130" s="207"/>
      <c r="K130" s="204"/>
      <c r="L130" s="206"/>
      <c r="M130" s="204"/>
      <c r="N130" s="29" t="s">
        <v>119</v>
      </c>
      <c r="O130" s="120"/>
      <c r="P130" s="120"/>
      <c r="Q130" s="120"/>
      <c r="R130" s="29">
        <v>22</v>
      </c>
      <c r="S130" s="154" t="str">
        <f t="shared" si="38"/>
        <v/>
      </c>
      <c r="T130" s="154" t="str">
        <f t="shared" si="39"/>
        <v/>
      </c>
      <c r="U130" s="154" t="str">
        <f t="shared" si="40"/>
        <v/>
      </c>
      <c r="W130" s="154" t="e">
        <f t="shared" si="41"/>
        <v>#N/A</v>
      </c>
      <c r="X130" s="154" t="e">
        <f t="shared" si="42"/>
        <v>#N/A</v>
      </c>
      <c r="Y130" s="154" t="e">
        <f t="shared" si="43"/>
        <v>#N/A</v>
      </c>
      <c r="AA130" s="1133">
        <v>645.1611872146118</v>
      </c>
      <c r="AB130" s="1133">
        <v>690.66495132921341</v>
      </c>
      <c r="AC130" s="1133">
        <v>736.16871544381502</v>
      </c>
      <c r="AD130" s="89"/>
      <c r="AE130" s="89"/>
      <c r="AF130" s="89"/>
      <c r="AG130" s="89"/>
      <c r="AH130" s="89"/>
      <c r="AI130" s="89"/>
      <c r="AJ130" s="89"/>
      <c r="AK130" s="89"/>
      <c r="AL130" s="89"/>
      <c r="AM130" s="89"/>
      <c r="AN130" s="89"/>
      <c r="BR130" s="180">
        <v>2034</v>
      </c>
      <c r="BS130" s="22">
        <v>20</v>
      </c>
      <c r="BT130" s="181" t="e">
        <f t="shared" si="54"/>
        <v>#DIV/0!</v>
      </c>
      <c r="BU130" s="182" t="e">
        <f t="shared" si="55"/>
        <v>#DIV/0!</v>
      </c>
      <c r="BV130" s="205" t="e">
        <f t="shared" si="56"/>
        <v>#DIV/0!</v>
      </c>
      <c r="BY130" s="180">
        <v>2034</v>
      </c>
      <c r="BZ130" s="22">
        <v>20</v>
      </c>
      <c r="CA130" s="198" t="e">
        <f t="shared" ca="1" si="57"/>
        <v>#REF!</v>
      </c>
      <c r="CB130" s="198" t="e">
        <f t="shared" ca="1" si="58"/>
        <v>#REF!</v>
      </c>
      <c r="CC130" s="186" t="e">
        <f t="shared" ca="1" si="69"/>
        <v>#REF!</v>
      </c>
      <c r="CD130" s="205" t="e">
        <f t="shared" ca="1" si="59"/>
        <v>#REF!</v>
      </c>
      <c r="CG130" s="180">
        <v>2034</v>
      </c>
      <c r="CH130" s="22">
        <v>20</v>
      </c>
      <c r="CI130" s="198" t="e">
        <f t="shared" ca="1" si="60"/>
        <v>#REF!</v>
      </c>
      <c r="CJ130" s="198" t="e">
        <f t="shared" ca="1" si="61"/>
        <v>#REF!</v>
      </c>
      <c r="CK130" s="198" t="e">
        <f t="shared" ca="1" si="62"/>
        <v>#REF!</v>
      </c>
      <c r="CL130" s="186" t="e">
        <f t="shared" ca="1" si="63"/>
        <v>#REF!</v>
      </c>
      <c r="CM130" s="205" t="e">
        <f t="shared" ca="1" si="64"/>
        <v>#REF!</v>
      </c>
      <c r="CP130" s="180">
        <v>2034</v>
      </c>
      <c r="CQ130" s="22">
        <v>20</v>
      </c>
      <c r="CR130" s="198" t="e">
        <f t="shared" ca="1" si="65"/>
        <v>#REF!</v>
      </c>
      <c r="CS130" s="186" t="e">
        <f t="shared" ca="1" si="66"/>
        <v>#REF!</v>
      </c>
      <c r="CT130" s="205" t="e">
        <f t="shared" ca="1" si="67"/>
        <v>#REF!</v>
      </c>
      <c r="CZ130" s="164" t="b">
        <f t="shared" si="44"/>
        <v>0</v>
      </c>
      <c r="DA130" s="165" t="b">
        <f t="shared" si="44"/>
        <v>0</v>
      </c>
      <c r="DB130" s="166" t="b">
        <f t="shared" si="44"/>
        <v>0</v>
      </c>
      <c r="DC130" s="164" t="str">
        <f t="shared" si="53"/>
        <v/>
      </c>
      <c r="DD130" s="166" t="str">
        <f t="shared" si="45"/>
        <v/>
      </c>
      <c r="DE130" s="164" t="str">
        <f t="shared" si="46"/>
        <v/>
      </c>
      <c r="DF130" s="166" t="str">
        <f t="shared" si="47"/>
        <v/>
      </c>
      <c r="DG130" s="164" t="str">
        <f t="shared" si="48"/>
        <v/>
      </c>
      <c r="DH130" s="166" t="str">
        <f t="shared" si="49"/>
        <v/>
      </c>
      <c r="DI130" s="164" t="str">
        <f>IFERROR(INDEX(DC$106:DC$154,_xlfn.AGGREGATE(15,6,(ROW(DC$106:DC$154)-ROW(DC$106)+1)/(DC$106:DC$154&lt;&gt;""),ROWS(DI$1:DI25))),"")</f>
        <v/>
      </c>
      <c r="DJ130" s="165" t="str">
        <f>IFERROR(INDEX(DD$106:DD$154,_xlfn.AGGREGATE(15,6,(ROW(DD$106:DD$154)-ROW(DD$106)+1)/(DD$106:DD$154&lt;&gt;""),ROWS(DJ$1:DJ25))),"")</f>
        <v/>
      </c>
      <c r="DK130" s="166" t="str">
        <f t="shared" si="50"/>
        <v/>
      </c>
      <c r="DL130" s="164" t="str">
        <f>IFERROR(INDEX(DE$106:DE$154,_xlfn.AGGREGATE(15,6,(ROW(DE$106:DE$154)-ROW(DE$106)+1)/(DE$106:DE$154&lt;&gt;""),ROWS(DL$1:DL25))),"")</f>
        <v/>
      </c>
      <c r="DM130" s="165" t="str">
        <f>IFERROR(INDEX(DF$106:DF$154,_xlfn.AGGREGATE(15,6,(ROW(DF$106:DF$154)-ROW(DF$106)+1)/(DF$106:DF$154&lt;&gt;""),ROWS(DM$1:DM25))),"")</f>
        <v/>
      </c>
      <c r="DN130" s="166" t="str">
        <f t="shared" si="51"/>
        <v/>
      </c>
      <c r="DO130" s="164" t="str">
        <f>IFERROR(INDEX(DG$106:DG$154,_xlfn.AGGREGATE(15,6,(ROW(DG$106:DG$154)-ROW(DG$106)+1)/(DG$106:DG$154&lt;&gt;""),ROWS(DO$1:DO25))),"")</f>
        <v/>
      </c>
      <c r="DP130" s="165" t="str">
        <f>IFERROR(INDEX(DH$106:DH$154,_xlfn.AGGREGATE(15,6,(ROW(DH$106:DH$154)-ROW(DH$106)+1)/(DH$106:DH$154&lt;&gt;""),ROWS(DP$1:DP25))),"")</f>
        <v/>
      </c>
      <c r="DQ130" s="166" t="str">
        <f t="shared" si="52"/>
        <v/>
      </c>
      <c r="DV130" s="145">
        <v>2039</v>
      </c>
      <c r="DW130" s="235" t="e">
        <f t="shared" ca="1" si="37"/>
        <v>#REF!</v>
      </c>
    </row>
    <row r="131" spans="2:135" ht="13.8" x14ac:dyDescent="0.45">
      <c r="B131" s="128">
        <v>2037</v>
      </c>
      <c r="C131" s="1023"/>
      <c r="D131" s="1024"/>
      <c r="E131" s="1025"/>
      <c r="F131" s="894"/>
      <c r="G131" s="159"/>
      <c r="H131" s="204"/>
      <c r="I131" s="1112"/>
      <c r="J131" s="207"/>
      <c r="K131" s="204"/>
      <c r="L131" s="206"/>
      <c r="M131" s="204"/>
      <c r="N131" s="29" t="s">
        <v>119</v>
      </c>
      <c r="O131" s="120"/>
      <c r="P131" s="120"/>
      <c r="Q131" s="120"/>
      <c r="R131" s="29">
        <v>23</v>
      </c>
      <c r="S131" s="154" t="str">
        <f t="shared" si="38"/>
        <v/>
      </c>
      <c r="T131" s="154" t="str">
        <f t="shared" si="39"/>
        <v/>
      </c>
      <c r="U131" s="154" t="str">
        <f t="shared" si="40"/>
        <v/>
      </c>
      <c r="W131" s="154" t="e">
        <f t="shared" si="41"/>
        <v>#N/A</v>
      </c>
      <c r="X131" s="154" t="e">
        <f t="shared" si="42"/>
        <v>#N/A</v>
      </c>
      <c r="Y131" s="154" t="e">
        <f t="shared" si="43"/>
        <v>#N/A</v>
      </c>
      <c r="AA131" s="1133">
        <v>650.33481735159819</v>
      </c>
      <c r="AB131" s="1133">
        <v>694.50218260989516</v>
      </c>
      <c r="AC131" s="1133">
        <v>738.66954786819213</v>
      </c>
      <c r="AD131" s="89"/>
      <c r="AE131" s="89"/>
      <c r="AF131" s="89"/>
      <c r="AG131" s="89"/>
      <c r="AH131" s="89"/>
      <c r="AI131" s="89"/>
      <c r="AJ131" s="89"/>
      <c r="AK131" s="89"/>
      <c r="AL131" s="89"/>
      <c r="AM131" s="89"/>
      <c r="AN131" s="89"/>
      <c r="BR131" s="180">
        <v>2035</v>
      </c>
      <c r="BS131" s="22">
        <v>21</v>
      </c>
      <c r="BT131" s="181" t="e">
        <f t="shared" si="54"/>
        <v>#DIV/0!</v>
      </c>
      <c r="BU131" s="182" t="e">
        <f t="shared" si="55"/>
        <v>#DIV/0!</v>
      </c>
      <c r="BV131" s="205" t="e">
        <f t="shared" si="56"/>
        <v>#DIV/0!</v>
      </c>
      <c r="BY131" s="180">
        <v>2035</v>
      </c>
      <c r="BZ131" s="22">
        <v>21</v>
      </c>
      <c r="CA131" s="198" t="e">
        <f t="shared" ca="1" si="57"/>
        <v>#REF!</v>
      </c>
      <c r="CB131" s="198" t="e">
        <f t="shared" ca="1" si="58"/>
        <v>#REF!</v>
      </c>
      <c r="CC131" s="186" t="e">
        <f t="shared" ca="1" si="69"/>
        <v>#REF!</v>
      </c>
      <c r="CD131" s="205" t="e">
        <f t="shared" ca="1" si="59"/>
        <v>#REF!</v>
      </c>
      <c r="CG131" s="180">
        <v>2035</v>
      </c>
      <c r="CH131" s="22">
        <v>21</v>
      </c>
      <c r="CI131" s="198" t="e">
        <f t="shared" ca="1" si="60"/>
        <v>#REF!</v>
      </c>
      <c r="CJ131" s="198" t="e">
        <f t="shared" ca="1" si="61"/>
        <v>#REF!</v>
      </c>
      <c r="CK131" s="198" t="e">
        <f t="shared" ca="1" si="62"/>
        <v>#REF!</v>
      </c>
      <c r="CL131" s="186" t="e">
        <f t="shared" ca="1" si="63"/>
        <v>#REF!</v>
      </c>
      <c r="CM131" s="205" t="e">
        <f t="shared" ca="1" si="64"/>
        <v>#REF!</v>
      </c>
      <c r="CP131" s="180">
        <v>2035</v>
      </c>
      <c r="CQ131" s="22">
        <v>21</v>
      </c>
      <c r="CR131" s="198" t="e">
        <f t="shared" ca="1" si="65"/>
        <v>#REF!</v>
      </c>
      <c r="CS131" s="186" t="e">
        <f t="shared" ca="1" si="66"/>
        <v>#REF!</v>
      </c>
      <c r="CT131" s="205" t="e">
        <f t="shared" ca="1" si="67"/>
        <v>#REF!</v>
      </c>
      <c r="CZ131" s="164" t="b">
        <f t="shared" si="44"/>
        <v>0</v>
      </c>
      <c r="DA131" s="165" t="b">
        <f t="shared" si="44"/>
        <v>0</v>
      </c>
      <c r="DB131" s="166" t="b">
        <f t="shared" si="44"/>
        <v>0</v>
      </c>
      <c r="DC131" s="164" t="str">
        <f t="shared" si="53"/>
        <v/>
      </c>
      <c r="DD131" s="166" t="str">
        <f t="shared" si="45"/>
        <v/>
      </c>
      <c r="DE131" s="164" t="str">
        <f t="shared" si="46"/>
        <v/>
      </c>
      <c r="DF131" s="166" t="str">
        <f t="shared" si="47"/>
        <v/>
      </c>
      <c r="DG131" s="164" t="str">
        <f t="shared" si="48"/>
        <v/>
      </c>
      <c r="DH131" s="166" t="str">
        <f t="shared" si="49"/>
        <v/>
      </c>
      <c r="DI131" s="164" t="str">
        <f>IFERROR(INDEX(DC$106:DC$154,_xlfn.AGGREGATE(15,6,(ROW(DC$106:DC$154)-ROW(DC$106)+1)/(DC$106:DC$154&lt;&gt;""),ROWS(DI$1:DI26))),"")</f>
        <v/>
      </c>
      <c r="DJ131" s="165" t="str">
        <f>IFERROR(INDEX(DD$106:DD$154,_xlfn.AGGREGATE(15,6,(ROW(DD$106:DD$154)-ROW(DD$106)+1)/(DD$106:DD$154&lt;&gt;""),ROWS(DJ$1:DJ26))),"")</f>
        <v/>
      </c>
      <c r="DK131" s="166" t="str">
        <f t="shared" si="50"/>
        <v/>
      </c>
      <c r="DL131" s="164" t="str">
        <f>IFERROR(INDEX(DE$106:DE$154,_xlfn.AGGREGATE(15,6,(ROW(DE$106:DE$154)-ROW(DE$106)+1)/(DE$106:DE$154&lt;&gt;""),ROWS(DL$1:DL26))),"")</f>
        <v/>
      </c>
      <c r="DM131" s="165" t="str">
        <f>IFERROR(INDEX(DF$106:DF$154,_xlfn.AGGREGATE(15,6,(ROW(DF$106:DF$154)-ROW(DF$106)+1)/(DF$106:DF$154&lt;&gt;""),ROWS(DM$1:DM26))),"")</f>
        <v/>
      </c>
      <c r="DN131" s="166" t="str">
        <f t="shared" si="51"/>
        <v/>
      </c>
      <c r="DO131" s="164" t="str">
        <f>IFERROR(INDEX(DG$106:DG$154,_xlfn.AGGREGATE(15,6,(ROW(DG$106:DG$154)-ROW(DG$106)+1)/(DG$106:DG$154&lt;&gt;""),ROWS(DO$1:DO26))),"")</f>
        <v/>
      </c>
      <c r="DP131" s="165" t="str">
        <f>IFERROR(INDEX(DH$106:DH$154,_xlfn.AGGREGATE(15,6,(ROW(DH$106:DH$154)-ROW(DH$106)+1)/(DH$106:DH$154&lt;&gt;""),ROWS(DP$1:DP26))),"")</f>
        <v/>
      </c>
      <c r="DQ131" s="166" t="str">
        <f t="shared" si="52"/>
        <v/>
      </c>
      <c r="DV131" s="145">
        <v>2040</v>
      </c>
      <c r="DW131" s="235" t="e">
        <f t="shared" ca="1" si="37"/>
        <v>#REF!</v>
      </c>
    </row>
    <row r="132" spans="2:135" ht="13.8" x14ac:dyDescent="0.45">
      <c r="B132" s="128">
        <v>2038</v>
      </c>
      <c r="C132" s="1023"/>
      <c r="D132" s="1024"/>
      <c r="E132" s="1025"/>
      <c r="F132" s="894"/>
      <c r="G132" s="159"/>
      <c r="H132" s="204"/>
      <c r="I132" s="1112"/>
      <c r="J132" s="207"/>
      <c r="K132" s="204"/>
      <c r="L132" s="206"/>
      <c r="M132" s="204"/>
      <c r="N132" s="29" t="s">
        <v>119</v>
      </c>
      <c r="O132" s="120"/>
      <c r="P132" s="120"/>
      <c r="Q132" s="120"/>
      <c r="R132" s="29">
        <v>24</v>
      </c>
      <c r="S132" s="154" t="str">
        <f t="shared" si="38"/>
        <v/>
      </c>
      <c r="T132" s="154" t="str">
        <f t="shared" si="39"/>
        <v/>
      </c>
      <c r="U132" s="154" t="str">
        <f t="shared" si="40"/>
        <v/>
      </c>
      <c r="W132" s="154" t="e">
        <f t="shared" si="41"/>
        <v>#N/A</v>
      </c>
      <c r="X132" s="154" t="e">
        <f t="shared" si="42"/>
        <v>#N/A</v>
      </c>
      <c r="Y132" s="154" t="e">
        <f t="shared" si="43"/>
        <v>#N/A</v>
      </c>
      <c r="AA132" s="1133">
        <v>655.50844748858447</v>
      </c>
      <c r="AB132" s="1133">
        <v>698.3069148581211</v>
      </c>
      <c r="AC132" s="1133">
        <v>741.10538222765774</v>
      </c>
      <c r="AD132" s="89"/>
      <c r="AE132" s="89"/>
      <c r="AF132" s="89"/>
      <c r="AG132" s="89"/>
      <c r="AH132" s="89"/>
      <c r="AI132" s="89"/>
      <c r="AJ132" s="89"/>
      <c r="AK132" s="89"/>
      <c r="AL132" s="89"/>
      <c r="AM132" s="89"/>
      <c r="AN132" s="89"/>
      <c r="BR132" s="180">
        <v>2036</v>
      </c>
      <c r="BS132" s="22">
        <v>22</v>
      </c>
      <c r="BT132" s="181" t="e">
        <f t="shared" si="54"/>
        <v>#DIV/0!</v>
      </c>
      <c r="BU132" s="182" t="e">
        <f t="shared" si="55"/>
        <v>#DIV/0!</v>
      </c>
      <c r="BV132" s="205" t="e">
        <f t="shared" si="56"/>
        <v>#DIV/0!</v>
      </c>
      <c r="BY132" s="180">
        <v>2036</v>
      </c>
      <c r="BZ132" s="22">
        <v>22</v>
      </c>
      <c r="CA132" s="198" t="e">
        <f t="shared" ca="1" si="57"/>
        <v>#REF!</v>
      </c>
      <c r="CB132" s="198" t="e">
        <f t="shared" ca="1" si="58"/>
        <v>#REF!</v>
      </c>
      <c r="CC132" s="186" t="e">
        <f t="shared" ca="1" si="69"/>
        <v>#REF!</v>
      </c>
      <c r="CD132" s="205" t="e">
        <f t="shared" ca="1" si="59"/>
        <v>#REF!</v>
      </c>
      <c r="CG132" s="180">
        <v>2036</v>
      </c>
      <c r="CH132" s="22">
        <v>22</v>
      </c>
      <c r="CI132" s="198" t="e">
        <f t="shared" ca="1" si="60"/>
        <v>#REF!</v>
      </c>
      <c r="CJ132" s="198" t="e">
        <f t="shared" ca="1" si="61"/>
        <v>#REF!</v>
      </c>
      <c r="CK132" s="198" t="e">
        <f t="shared" ca="1" si="62"/>
        <v>#REF!</v>
      </c>
      <c r="CL132" s="186" t="e">
        <f t="shared" ca="1" si="63"/>
        <v>#REF!</v>
      </c>
      <c r="CM132" s="205" t="e">
        <f t="shared" ca="1" si="64"/>
        <v>#REF!</v>
      </c>
      <c r="CP132" s="180">
        <v>2036</v>
      </c>
      <c r="CQ132" s="22">
        <v>22</v>
      </c>
      <c r="CR132" s="198" t="e">
        <f t="shared" ca="1" si="65"/>
        <v>#REF!</v>
      </c>
      <c r="CS132" s="186" t="e">
        <f t="shared" ca="1" si="66"/>
        <v>#REF!</v>
      </c>
      <c r="CT132" s="205" t="e">
        <f t="shared" ca="1" si="67"/>
        <v>#REF!</v>
      </c>
      <c r="CZ132" s="164" t="b">
        <f t="shared" si="44"/>
        <v>0</v>
      </c>
      <c r="DA132" s="165" t="b">
        <f t="shared" si="44"/>
        <v>0</v>
      </c>
      <c r="DB132" s="166" t="b">
        <f t="shared" si="44"/>
        <v>0</v>
      </c>
      <c r="DC132" s="164" t="str">
        <f t="shared" si="53"/>
        <v/>
      </c>
      <c r="DD132" s="166" t="str">
        <f t="shared" si="45"/>
        <v/>
      </c>
      <c r="DE132" s="164" t="str">
        <f t="shared" si="46"/>
        <v/>
      </c>
      <c r="DF132" s="166" t="str">
        <f t="shared" si="47"/>
        <v/>
      </c>
      <c r="DG132" s="164" t="str">
        <f t="shared" si="48"/>
        <v/>
      </c>
      <c r="DH132" s="166" t="str">
        <f t="shared" si="49"/>
        <v/>
      </c>
      <c r="DI132" s="164" t="str">
        <f>IFERROR(INDEX(DC$106:DC$154,_xlfn.AGGREGATE(15,6,(ROW(DC$106:DC$154)-ROW(DC$106)+1)/(DC$106:DC$154&lt;&gt;""),ROWS(DI$1:DI27))),"")</f>
        <v/>
      </c>
      <c r="DJ132" s="165" t="str">
        <f>IFERROR(INDEX(DD$106:DD$154,_xlfn.AGGREGATE(15,6,(ROW(DD$106:DD$154)-ROW(DD$106)+1)/(DD$106:DD$154&lt;&gt;""),ROWS(DJ$1:DJ27))),"")</f>
        <v/>
      </c>
      <c r="DK132" s="166" t="str">
        <f t="shared" si="50"/>
        <v/>
      </c>
      <c r="DL132" s="164" t="str">
        <f>IFERROR(INDEX(DE$106:DE$154,_xlfn.AGGREGATE(15,6,(ROW(DE$106:DE$154)-ROW(DE$106)+1)/(DE$106:DE$154&lt;&gt;""),ROWS(DL$1:DL27))),"")</f>
        <v/>
      </c>
      <c r="DM132" s="165" t="str">
        <f>IFERROR(INDEX(DF$106:DF$154,_xlfn.AGGREGATE(15,6,(ROW(DF$106:DF$154)-ROW(DF$106)+1)/(DF$106:DF$154&lt;&gt;""),ROWS(DM$1:DM27))),"")</f>
        <v/>
      </c>
      <c r="DN132" s="166" t="str">
        <f t="shared" si="51"/>
        <v/>
      </c>
      <c r="DO132" s="164" t="str">
        <f>IFERROR(INDEX(DG$106:DG$154,_xlfn.AGGREGATE(15,6,(ROW(DG$106:DG$154)-ROW(DG$106)+1)/(DG$106:DG$154&lt;&gt;""),ROWS(DO$1:DO27))),"")</f>
        <v/>
      </c>
      <c r="DP132" s="165" t="str">
        <f>IFERROR(INDEX(DH$106:DH$154,_xlfn.AGGREGATE(15,6,(ROW(DH$106:DH$154)-ROW(DH$106)+1)/(DH$106:DH$154&lt;&gt;""),ROWS(DP$1:DP27))),"")</f>
        <v/>
      </c>
      <c r="DQ132" s="166" t="str">
        <f t="shared" si="52"/>
        <v/>
      </c>
      <c r="DV132" s="145">
        <v>2041</v>
      </c>
      <c r="DW132" s="235" t="e">
        <f t="shared" ca="1" si="37"/>
        <v>#REF!</v>
      </c>
    </row>
    <row r="133" spans="2:135" ht="13.8" x14ac:dyDescent="0.45">
      <c r="B133" s="128">
        <v>2039</v>
      </c>
      <c r="C133" s="1023"/>
      <c r="D133" s="1024"/>
      <c r="E133" s="1025"/>
      <c r="F133" s="894"/>
      <c r="G133" s="159"/>
      <c r="H133" s="204"/>
      <c r="I133" s="1112"/>
      <c r="J133" s="207"/>
      <c r="K133" s="204"/>
      <c r="L133" s="206"/>
      <c r="M133" s="204"/>
      <c r="N133" s="29" t="s">
        <v>119</v>
      </c>
      <c r="O133" s="120"/>
      <c r="P133" s="120"/>
      <c r="Q133" s="120"/>
      <c r="R133" s="29">
        <v>25</v>
      </c>
      <c r="S133" s="154" t="str">
        <f t="shared" si="38"/>
        <v/>
      </c>
      <c r="T133" s="154" t="str">
        <f t="shared" si="39"/>
        <v/>
      </c>
      <c r="U133" s="154" t="str">
        <f t="shared" si="40"/>
        <v/>
      </c>
      <c r="W133" s="154" t="e">
        <f t="shared" si="41"/>
        <v>#N/A</v>
      </c>
      <c r="X133" s="154" t="e">
        <f t="shared" si="42"/>
        <v>#N/A</v>
      </c>
      <c r="Y133" s="154" t="e">
        <f t="shared" si="43"/>
        <v>#N/A</v>
      </c>
      <c r="AA133" s="1133">
        <v>660.68207762557063</v>
      </c>
      <c r="AB133" s="1133">
        <v>702.07799575612376</v>
      </c>
      <c r="AC133" s="1133">
        <v>743.47391388667688</v>
      </c>
      <c r="AD133" s="89"/>
      <c r="AE133" s="89"/>
      <c r="AF133" s="89"/>
      <c r="AG133" s="89"/>
      <c r="AH133" s="89"/>
      <c r="AI133" s="89"/>
      <c r="AJ133" s="89"/>
      <c r="AK133" s="89"/>
      <c r="AL133" s="89"/>
      <c r="AM133" s="89"/>
      <c r="AN133" s="89"/>
      <c r="BR133" s="180">
        <v>2037</v>
      </c>
      <c r="BS133" s="22">
        <v>23</v>
      </c>
      <c r="BT133" s="181" t="e">
        <f t="shared" si="54"/>
        <v>#DIV/0!</v>
      </c>
      <c r="BU133" s="182" t="e">
        <f t="shared" si="55"/>
        <v>#DIV/0!</v>
      </c>
      <c r="BV133" s="205" t="e">
        <f t="shared" si="56"/>
        <v>#DIV/0!</v>
      </c>
      <c r="BY133" s="180">
        <v>2037</v>
      </c>
      <c r="BZ133" s="22">
        <v>23</v>
      </c>
      <c r="CA133" s="198" t="e">
        <f t="shared" ca="1" si="57"/>
        <v>#REF!</v>
      </c>
      <c r="CB133" s="198" t="e">
        <f t="shared" ca="1" si="58"/>
        <v>#REF!</v>
      </c>
      <c r="CC133" s="186" t="e">
        <f t="shared" ca="1" si="69"/>
        <v>#REF!</v>
      </c>
      <c r="CD133" s="205" t="e">
        <f t="shared" ca="1" si="59"/>
        <v>#REF!</v>
      </c>
      <c r="CG133" s="180">
        <v>2037</v>
      </c>
      <c r="CH133" s="22">
        <v>23</v>
      </c>
      <c r="CI133" s="198" t="e">
        <f t="shared" ca="1" si="60"/>
        <v>#REF!</v>
      </c>
      <c r="CJ133" s="198" t="e">
        <f t="shared" ca="1" si="61"/>
        <v>#REF!</v>
      </c>
      <c r="CK133" s="198" t="e">
        <f t="shared" ca="1" si="62"/>
        <v>#REF!</v>
      </c>
      <c r="CL133" s="186" t="e">
        <f t="shared" ca="1" si="63"/>
        <v>#REF!</v>
      </c>
      <c r="CM133" s="205" t="e">
        <f t="shared" ca="1" si="64"/>
        <v>#REF!</v>
      </c>
      <c r="CP133" s="180">
        <v>2037</v>
      </c>
      <c r="CQ133" s="22">
        <v>23</v>
      </c>
      <c r="CR133" s="198" t="e">
        <f t="shared" ca="1" si="65"/>
        <v>#REF!</v>
      </c>
      <c r="CS133" s="186" t="e">
        <f t="shared" ca="1" si="66"/>
        <v>#REF!</v>
      </c>
      <c r="CT133" s="205" t="e">
        <f t="shared" ca="1" si="67"/>
        <v>#REF!</v>
      </c>
      <c r="CZ133" s="164" t="b">
        <f t="shared" si="44"/>
        <v>0</v>
      </c>
      <c r="DA133" s="165" t="b">
        <f t="shared" si="44"/>
        <v>0</v>
      </c>
      <c r="DB133" s="166" t="b">
        <f t="shared" si="44"/>
        <v>0</v>
      </c>
      <c r="DC133" s="164" t="str">
        <f t="shared" si="53"/>
        <v/>
      </c>
      <c r="DD133" s="166" t="str">
        <f t="shared" si="45"/>
        <v/>
      </c>
      <c r="DE133" s="164" t="str">
        <f t="shared" si="46"/>
        <v/>
      </c>
      <c r="DF133" s="166" t="str">
        <f t="shared" si="47"/>
        <v/>
      </c>
      <c r="DG133" s="164" t="str">
        <f t="shared" si="48"/>
        <v/>
      </c>
      <c r="DH133" s="166" t="str">
        <f t="shared" si="49"/>
        <v/>
      </c>
      <c r="DI133" s="164" t="str">
        <f>IFERROR(INDEX(DC$106:DC$154,_xlfn.AGGREGATE(15,6,(ROW(DC$106:DC$154)-ROW(DC$106)+1)/(DC$106:DC$154&lt;&gt;""),ROWS(DI$1:DI28))),"")</f>
        <v/>
      </c>
      <c r="DJ133" s="165" t="str">
        <f>IFERROR(INDEX(DD$106:DD$154,_xlfn.AGGREGATE(15,6,(ROW(DD$106:DD$154)-ROW(DD$106)+1)/(DD$106:DD$154&lt;&gt;""),ROWS(DJ$1:DJ28))),"")</f>
        <v/>
      </c>
      <c r="DK133" s="166" t="str">
        <f t="shared" si="50"/>
        <v/>
      </c>
      <c r="DL133" s="164" t="str">
        <f>IFERROR(INDEX(DE$106:DE$154,_xlfn.AGGREGATE(15,6,(ROW(DE$106:DE$154)-ROW(DE$106)+1)/(DE$106:DE$154&lt;&gt;""),ROWS(DL$1:DL28))),"")</f>
        <v/>
      </c>
      <c r="DM133" s="165" t="str">
        <f>IFERROR(INDEX(DF$106:DF$154,_xlfn.AGGREGATE(15,6,(ROW(DF$106:DF$154)-ROW(DF$106)+1)/(DF$106:DF$154&lt;&gt;""),ROWS(DM$1:DM28))),"")</f>
        <v/>
      </c>
      <c r="DN133" s="166" t="str">
        <f t="shared" si="51"/>
        <v/>
      </c>
      <c r="DO133" s="164" t="str">
        <f>IFERROR(INDEX(DG$106:DG$154,_xlfn.AGGREGATE(15,6,(ROW(DG$106:DG$154)-ROW(DG$106)+1)/(DG$106:DG$154&lt;&gt;""),ROWS(DO$1:DO28))),"")</f>
        <v/>
      </c>
      <c r="DP133" s="165" t="str">
        <f>IFERROR(INDEX(DH$106:DH$154,_xlfn.AGGREGATE(15,6,(ROW(DH$106:DH$154)-ROW(DH$106)+1)/(DH$106:DH$154&lt;&gt;""),ROWS(DP$1:DP28))),"")</f>
        <v/>
      </c>
      <c r="DQ133" s="166" t="str">
        <f t="shared" si="52"/>
        <v/>
      </c>
      <c r="DV133" s="145">
        <v>2042</v>
      </c>
      <c r="DW133" s="235" t="e">
        <f t="shared" ca="1" si="37"/>
        <v>#REF!</v>
      </c>
    </row>
    <row r="134" spans="2:135" ht="13.8" x14ac:dyDescent="0.45">
      <c r="B134" s="128">
        <v>2040</v>
      </c>
      <c r="C134" s="1023"/>
      <c r="D134" s="1024"/>
      <c r="E134" s="1025"/>
      <c r="F134" s="894"/>
      <c r="G134" s="159"/>
      <c r="H134" s="204"/>
      <c r="I134" s="1112"/>
      <c r="J134" s="207"/>
      <c r="K134" s="204"/>
      <c r="L134" s="206"/>
      <c r="M134" s="204"/>
      <c r="N134" s="29" t="s">
        <v>119</v>
      </c>
      <c r="O134" s="120"/>
      <c r="P134" s="120"/>
      <c r="Q134" s="120"/>
      <c r="R134" s="29">
        <v>26</v>
      </c>
      <c r="S134" s="154" t="str">
        <f t="shared" si="38"/>
        <v/>
      </c>
      <c r="T134" s="154" t="str">
        <f t="shared" si="39"/>
        <v/>
      </c>
      <c r="U134" s="154" t="str">
        <f t="shared" si="40"/>
        <v/>
      </c>
      <c r="W134" s="154" t="e">
        <f t="shared" si="41"/>
        <v>#N/A</v>
      </c>
      <c r="X134" s="154" t="e">
        <f t="shared" si="42"/>
        <v>#N/A</v>
      </c>
      <c r="Y134" s="154" t="e">
        <f t="shared" si="43"/>
        <v>#N/A</v>
      </c>
      <c r="AA134" s="1133">
        <v>665.85570776255702</v>
      </c>
      <c r="AB134" s="1133">
        <v>705.68365117188807</v>
      </c>
      <c r="AC134" s="1133">
        <v>745.51159458121913</v>
      </c>
      <c r="AD134" s="89"/>
      <c r="AE134" s="89"/>
      <c r="AF134" s="89"/>
      <c r="AG134" s="89"/>
      <c r="AH134" s="89"/>
      <c r="AI134" s="89"/>
      <c r="AJ134" s="89"/>
      <c r="AK134" s="89"/>
      <c r="AL134" s="89"/>
      <c r="AM134" s="89"/>
      <c r="AN134" s="89"/>
      <c r="BR134" s="180">
        <v>2038</v>
      </c>
      <c r="BS134" s="22">
        <v>24</v>
      </c>
      <c r="BT134" s="181" t="e">
        <f t="shared" si="54"/>
        <v>#DIV/0!</v>
      </c>
      <c r="BU134" s="182" t="e">
        <f t="shared" si="55"/>
        <v>#DIV/0!</v>
      </c>
      <c r="BV134" s="205" t="e">
        <f t="shared" si="56"/>
        <v>#DIV/0!</v>
      </c>
      <c r="BY134" s="180">
        <v>2038</v>
      </c>
      <c r="BZ134" s="22">
        <v>24</v>
      </c>
      <c r="CA134" s="198" t="e">
        <f t="shared" ca="1" si="57"/>
        <v>#REF!</v>
      </c>
      <c r="CB134" s="198" t="e">
        <f t="shared" ca="1" si="58"/>
        <v>#REF!</v>
      </c>
      <c r="CC134" s="186" t="e">
        <f t="shared" ca="1" si="69"/>
        <v>#REF!</v>
      </c>
      <c r="CD134" s="205" t="e">
        <f t="shared" ca="1" si="59"/>
        <v>#REF!</v>
      </c>
      <c r="CG134" s="180">
        <v>2038</v>
      </c>
      <c r="CH134" s="22">
        <v>24</v>
      </c>
      <c r="CI134" s="198" t="e">
        <f t="shared" ca="1" si="60"/>
        <v>#REF!</v>
      </c>
      <c r="CJ134" s="198" t="e">
        <f t="shared" ca="1" si="61"/>
        <v>#REF!</v>
      </c>
      <c r="CK134" s="198" t="e">
        <f t="shared" ca="1" si="62"/>
        <v>#REF!</v>
      </c>
      <c r="CL134" s="186" t="e">
        <f t="shared" ca="1" si="63"/>
        <v>#REF!</v>
      </c>
      <c r="CM134" s="205" t="e">
        <f t="shared" ca="1" si="64"/>
        <v>#REF!</v>
      </c>
      <c r="CP134" s="180">
        <v>2038</v>
      </c>
      <c r="CQ134" s="22">
        <v>24</v>
      </c>
      <c r="CR134" s="198" t="e">
        <f t="shared" ca="1" si="65"/>
        <v>#REF!</v>
      </c>
      <c r="CS134" s="186" t="e">
        <f t="shared" ca="1" si="66"/>
        <v>#REF!</v>
      </c>
      <c r="CT134" s="205" t="e">
        <f t="shared" ca="1" si="67"/>
        <v>#REF!</v>
      </c>
      <c r="CZ134" s="164" t="b">
        <f t="shared" si="44"/>
        <v>0</v>
      </c>
      <c r="DA134" s="165" t="b">
        <f t="shared" si="44"/>
        <v>0</v>
      </c>
      <c r="DB134" s="166" t="b">
        <f t="shared" si="44"/>
        <v>0</v>
      </c>
      <c r="DC134" s="164" t="str">
        <f t="shared" si="53"/>
        <v/>
      </c>
      <c r="DD134" s="166" t="str">
        <f t="shared" si="45"/>
        <v/>
      </c>
      <c r="DE134" s="164" t="str">
        <f t="shared" si="46"/>
        <v/>
      </c>
      <c r="DF134" s="166" t="str">
        <f t="shared" si="47"/>
        <v/>
      </c>
      <c r="DG134" s="164" t="str">
        <f t="shared" si="48"/>
        <v/>
      </c>
      <c r="DH134" s="166" t="str">
        <f t="shared" si="49"/>
        <v/>
      </c>
      <c r="DI134" s="164" t="str">
        <f>IFERROR(INDEX(DC$106:DC$154,_xlfn.AGGREGATE(15,6,(ROW(DC$106:DC$154)-ROW(DC$106)+1)/(DC$106:DC$154&lt;&gt;""),ROWS(DI$1:DI29))),"")</f>
        <v/>
      </c>
      <c r="DJ134" s="165" t="str">
        <f>IFERROR(INDEX(DD$106:DD$154,_xlfn.AGGREGATE(15,6,(ROW(DD$106:DD$154)-ROW(DD$106)+1)/(DD$106:DD$154&lt;&gt;""),ROWS(DJ$1:DJ29))),"")</f>
        <v/>
      </c>
      <c r="DK134" s="166" t="str">
        <f t="shared" si="50"/>
        <v/>
      </c>
      <c r="DL134" s="164" t="str">
        <f>IFERROR(INDEX(DE$106:DE$154,_xlfn.AGGREGATE(15,6,(ROW(DE$106:DE$154)-ROW(DE$106)+1)/(DE$106:DE$154&lt;&gt;""),ROWS(DL$1:DL29))),"")</f>
        <v/>
      </c>
      <c r="DM134" s="165" t="str">
        <f>IFERROR(INDEX(DF$106:DF$154,_xlfn.AGGREGATE(15,6,(ROW(DF$106:DF$154)-ROW(DF$106)+1)/(DF$106:DF$154&lt;&gt;""),ROWS(DM$1:DM29))),"")</f>
        <v/>
      </c>
      <c r="DN134" s="166" t="str">
        <f t="shared" si="51"/>
        <v/>
      </c>
      <c r="DO134" s="164" t="str">
        <f>IFERROR(INDEX(DG$106:DG$154,_xlfn.AGGREGATE(15,6,(ROW(DG$106:DG$154)-ROW(DG$106)+1)/(DG$106:DG$154&lt;&gt;""),ROWS(DO$1:DO29))),"")</f>
        <v/>
      </c>
      <c r="DP134" s="165" t="str">
        <f>IFERROR(INDEX(DH$106:DH$154,_xlfn.AGGREGATE(15,6,(ROW(DH$106:DH$154)-ROW(DH$106)+1)/(DH$106:DH$154&lt;&gt;""),ROWS(DP$1:DP29))),"")</f>
        <v/>
      </c>
      <c r="DQ134" s="166" t="str">
        <f t="shared" si="52"/>
        <v/>
      </c>
      <c r="DV134" s="145">
        <v>2043</v>
      </c>
      <c r="DW134" s="235" t="e">
        <f t="shared" ca="1" si="37"/>
        <v>#REF!</v>
      </c>
      <c r="EA134" s="55"/>
      <c r="EB134" s="55"/>
      <c r="EC134" s="55"/>
      <c r="ED134" s="55"/>
      <c r="EE134" s="55"/>
    </row>
    <row r="135" spans="2:135" ht="13.8" x14ac:dyDescent="0.45">
      <c r="B135" s="128">
        <v>2041</v>
      </c>
      <c r="C135" s="1023"/>
      <c r="D135" s="1024"/>
      <c r="E135" s="1025"/>
      <c r="F135" s="894"/>
      <c r="G135" s="159"/>
      <c r="H135" s="204"/>
      <c r="I135" s="1112"/>
      <c r="J135" s="207"/>
      <c r="K135" s="204"/>
      <c r="L135" s="206"/>
      <c r="M135" s="204"/>
      <c r="N135" s="29" t="s">
        <v>119</v>
      </c>
      <c r="O135" s="120"/>
      <c r="P135" s="120"/>
      <c r="Q135" s="120"/>
      <c r="R135" s="29">
        <v>27</v>
      </c>
      <c r="S135" s="154" t="str">
        <f t="shared" si="38"/>
        <v/>
      </c>
      <c r="T135" s="154" t="str">
        <f t="shared" si="39"/>
        <v/>
      </c>
      <c r="U135" s="154" t="str">
        <f t="shared" si="40"/>
        <v/>
      </c>
      <c r="W135" s="154" t="e">
        <f t="shared" si="41"/>
        <v>#N/A</v>
      </c>
      <c r="X135" s="154" t="e">
        <f t="shared" si="42"/>
        <v>#N/A</v>
      </c>
      <c r="Y135" s="154" t="e">
        <f t="shared" si="43"/>
        <v>#N/A</v>
      </c>
      <c r="AA135" s="1133">
        <v>671.02933789954341</v>
      </c>
      <c r="AB135" s="1133">
        <v>709.51237059419577</v>
      </c>
      <c r="AC135" s="1133">
        <v>747.99540328884814</v>
      </c>
      <c r="AD135" s="89"/>
      <c r="AE135" s="89"/>
      <c r="AF135" s="89"/>
      <c r="AG135" s="89"/>
      <c r="AH135" s="89"/>
      <c r="AI135" s="89"/>
      <c r="AJ135" s="89"/>
      <c r="AK135" s="89"/>
      <c r="AL135" s="89"/>
      <c r="AM135" s="89"/>
      <c r="AN135" s="89"/>
      <c r="BR135" s="180">
        <v>2039</v>
      </c>
      <c r="BS135" s="22">
        <v>25</v>
      </c>
      <c r="BT135" s="181" t="e">
        <f t="shared" si="54"/>
        <v>#DIV/0!</v>
      </c>
      <c r="BU135" s="182" t="e">
        <f t="shared" si="55"/>
        <v>#DIV/0!</v>
      </c>
      <c r="BV135" s="205" t="e">
        <f t="shared" si="56"/>
        <v>#DIV/0!</v>
      </c>
      <c r="BY135" s="180">
        <v>2039</v>
      </c>
      <c r="BZ135" s="22">
        <v>25</v>
      </c>
      <c r="CA135" s="198" t="e">
        <f t="shared" ca="1" si="57"/>
        <v>#REF!</v>
      </c>
      <c r="CB135" s="198" t="e">
        <f t="shared" ca="1" si="58"/>
        <v>#REF!</v>
      </c>
      <c r="CC135" s="186" t="e">
        <f t="shared" ca="1" si="69"/>
        <v>#REF!</v>
      </c>
      <c r="CD135" s="205" t="e">
        <f t="shared" ca="1" si="59"/>
        <v>#REF!</v>
      </c>
      <c r="CG135" s="180">
        <v>2039</v>
      </c>
      <c r="CH135" s="22">
        <v>25</v>
      </c>
      <c r="CI135" s="198" t="e">
        <f t="shared" ca="1" si="60"/>
        <v>#REF!</v>
      </c>
      <c r="CJ135" s="198" t="e">
        <f t="shared" ca="1" si="61"/>
        <v>#REF!</v>
      </c>
      <c r="CK135" s="198" t="e">
        <f t="shared" ca="1" si="62"/>
        <v>#REF!</v>
      </c>
      <c r="CL135" s="186" t="e">
        <f t="shared" ca="1" si="63"/>
        <v>#REF!</v>
      </c>
      <c r="CM135" s="205" t="e">
        <f t="shared" ca="1" si="64"/>
        <v>#REF!</v>
      </c>
      <c r="CP135" s="180">
        <v>2039</v>
      </c>
      <c r="CQ135" s="22">
        <v>25</v>
      </c>
      <c r="CR135" s="198" t="e">
        <f t="shared" ca="1" si="65"/>
        <v>#REF!</v>
      </c>
      <c r="CS135" s="186" t="e">
        <f t="shared" ca="1" si="66"/>
        <v>#REF!</v>
      </c>
      <c r="CT135" s="205" t="e">
        <f t="shared" ca="1" si="67"/>
        <v>#REF!</v>
      </c>
      <c r="CZ135" s="164" t="b">
        <f t="shared" si="44"/>
        <v>0</v>
      </c>
      <c r="DA135" s="165" t="b">
        <f t="shared" si="44"/>
        <v>0</v>
      </c>
      <c r="DB135" s="166" t="b">
        <f t="shared" si="44"/>
        <v>0</v>
      </c>
      <c r="DC135" s="164" t="str">
        <f t="shared" si="53"/>
        <v/>
      </c>
      <c r="DD135" s="166" t="str">
        <f t="shared" si="45"/>
        <v/>
      </c>
      <c r="DE135" s="164" t="str">
        <f t="shared" si="46"/>
        <v/>
      </c>
      <c r="DF135" s="166" t="str">
        <f t="shared" si="47"/>
        <v/>
      </c>
      <c r="DG135" s="164" t="str">
        <f t="shared" si="48"/>
        <v/>
      </c>
      <c r="DH135" s="166" t="str">
        <f t="shared" si="49"/>
        <v/>
      </c>
      <c r="DI135" s="164" t="str">
        <f>IFERROR(INDEX(DC$106:DC$154,_xlfn.AGGREGATE(15,6,(ROW(DC$106:DC$154)-ROW(DC$106)+1)/(DC$106:DC$154&lt;&gt;""),ROWS(DI$1:DI30))),"")</f>
        <v/>
      </c>
      <c r="DJ135" s="165" t="str">
        <f>IFERROR(INDEX(DD$106:DD$154,_xlfn.AGGREGATE(15,6,(ROW(DD$106:DD$154)-ROW(DD$106)+1)/(DD$106:DD$154&lt;&gt;""),ROWS(DJ$1:DJ30))),"")</f>
        <v/>
      </c>
      <c r="DK135" s="166" t="str">
        <f t="shared" si="50"/>
        <v/>
      </c>
      <c r="DL135" s="164" t="str">
        <f>IFERROR(INDEX(DE$106:DE$154,_xlfn.AGGREGATE(15,6,(ROW(DE$106:DE$154)-ROW(DE$106)+1)/(DE$106:DE$154&lt;&gt;""),ROWS(DL$1:DL30))),"")</f>
        <v/>
      </c>
      <c r="DM135" s="165" t="str">
        <f>IFERROR(INDEX(DF$106:DF$154,_xlfn.AGGREGATE(15,6,(ROW(DF$106:DF$154)-ROW(DF$106)+1)/(DF$106:DF$154&lt;&gt;""),ROWS(DM$1:DM30))),"")</f>
        <v/>
      </c>
      <c r="DN135" s="166" t="str">
        <f t="shared" si="51"/>
        <v/>
      </c>
      <c r="DO135" s="164" t="str">
        <f>IFERROR(INDEX(DG$106:DG$154,_xlfn.AGGREGATE(15,6,(ROW(DG$106:DG$154)-ROW(DG$106)+1)/(DG$106:DG$154&lt;&gt;""),ROWS(DO$1:DO30))),"")</f>
        <v/>
      </c>
      <c r="DP135" s="165" t="str">
        <f>IFERROR(INDEX(DH$106:DH$154,_xlfn.AGGREGATE(15,6,(ROW(DH$106:DH$154)-ROW(DH$106)+1)/(DH$106:DH$154&lt;&gt;""),ROWS(DP$1:DP30))),"")</f>
        <v/>
      </c>
      <c r="DQ135" s="166" t="str">
        <f t="shared" si="52"/>
        <v/>
      </c>
      <c r="DV135" s="145">
        <v>2044</v>
      </c>
      <c r="DW135" s="235" t="e">
        <f t="shared" ca="1" si="37"/>
        <v>#REF!</v>
      </c>
      <c r="EA135" s="55"/>
      <c r="EB135" s="55"/>
      <c r="EC135" s="55"/>
      <c r="ED135" s="55"/>
      <c r="EE135" s="55"/>
    </row>
    <row r="136" spans="2:135" ht="13.8" x14ac:dyDescent="0.45">
      <c r="B136" s="128">
        <v>2042</v>
      </c>
      <c r="C136" s="1023"/>
      <c r="D136" s="1024"/>
      <c r="E136" s="1025"/>
      <c r="F136" s="894"/>
      <c r="G136" s="159"/>
      <c r="H136" s="204"/>
      <c r="I136" s="1112"/>
      <c r="J136" s="207"/>
      <c r="K136" s="204"/>
      <c r="L136" s="206"/>
      <c r="M136" s="204"/>
      <c r="N136" s="29" t="s">
        <v>119</v>
      </c>
      <c r="O136" s="120"/>
      <c r="P136" s="120"/>
      <c r="Q136" s="120"/>
      <c r="R136" s="29">
        <v>28</v>
      </c>
      <c r="S136" s="154" t="str">
        <f t="shared" si="38"/>
        <v/>
      </c>
      <c r="T136" s="154" t="str">
        <f t="shared" si="39"/>
        <v/>
      </c>
      <c r="U136" s="154" t="str">
        <f t="shared" si="40"/>
        <v/>
      </c>
      <c r="W136" s="154" t="e">
        <f t="shared" si="41"/>
        <v>#N/A</v>
      </c>
      <c r="X136" s="154" t="e">
        <f t="shared" si="42"/>
        <v>#N/A</v>
      </c>
      <c r="Y136" s="154" t="e">
        <f t="shared" si="43"/>
        <v>#N/A</v>
      </c>
      <c r="AA136" s="1133">
        <v>676.20296803652968</v>
      </c>
      <c r="AB136" s="1133">
        <v>712.99832549504788</v>
      </c>
      <c r="AC136" s="1133">
        <v>749.79368295356608</v>
      </c>
      <c r="AD136" s="89"/>
      <c r="AE136" s="89"/>
      <c r="AF136" s="89"/>
      <c r="AG136" s="89"/>
      <c r="AH136" s="89"/>
      <c r="AI136" s="89"/>
      <c r="AJ136" s="89"/>
      <c r="AK136" s="89"/>
      <c r="AL136" s="89"/>
      <c r="AM136" s="89"/>
      <c r="AN136" s="89"/>
      <c r="BR136" s="180">
        <v>2040</v>
      </c>
      <c r="BS136" s="22">
        <v>26</v>
      </c>
      <c r="BT136" s="181" t="e">
        <f t="shared" si="54"/>
        <v>#DIV/0!</v>
      </c>
      <c r="BU136" s="182" t="e">
        <f t="shared" si="55"/>
        <v>#DIV/0!</v>
      </c>
      <c r="BV136" s="205" t="e">
        <f t="shared" si="56"/>
        <v>#DIV/0!</v>
      </c>
      <c r="BY136" s="180">
        <v>2040</v>
      </c>
      <c r="BZ136" s="22">
        <v>26</v>
      </c>
      <c r="CA136" s="198" t="e">
        <f t="shared" ca="1" si="57"/>
        <v>#REF!</v>
      </c>
      <c r="CB136" s="198" t="e">
        <f t="shared" ca="1" si="58"/>
        <v>#REF!</v>
      </c>
      <c r="CC136" s="186" t="e">
        <f t="shared" ca="1" si="69"/>
        <v>#REF!</v>
      </c>
      <c r="CD136" s="205" t="e">
        <f t="shared" ca="1" si="59"/>
        <v>#REF!</v>
      </c>
      <c r="CG136" s="180">
        <v>2040</v>
      </c>
      <c r="CH136" s="22">
        <v>26</v>
      </c>
      <c r="CI136" s="198" t="e">
        <f t="shared" ca="1" si="60"/>
        <v>#REF!</v>
      </c>
      <c r="CJ136" s="198" t="e">
        <f t="shared" ca="1" si="61"/>
        <v>#REF!</v>
      </c>
      <c r="CK136" s="198" t="e">
        <f t="shared" ca="1" si="62"/>
        <v>#REF!</v>
      </c>
      <c r="CL136" s="186" t="e">
        <f t="shared" ca="1" si="63"/>
        <v>#REF!</v>
      </c>
      <c r="CM136" s="205" t="e">
        <f t="shared" ca="1" si="64"/>
        <v>#REF!</v>
      </c>
      <c r="CP136" s="180">
        <v>2040</v>
      </c>
      <c r="CQ136" s="22">
        <v>26</v>
      </c>
      <c r="CR136" s="198" t="e">
        <f t="shared" ca="1" si="65"/>
        <v>#REF!</v>
      </c>
      <c r="CS136" s="186" t="e">
        <f t="shared" ca="1" si="66"/>
        <v>#REF!</v>
      </c>
      <c r="CT136" s="205" t="e">
        <f t="shared" ca="1" si="67"/>
        <v>#REF!</v>
      </c>
      <c r="CZ136" s="164" t="b">
        <f t="shared" si="44"/>
        <v>0</v>
      </c>
      <c r="DA136" s="165" t="b">
        <f t="shared" si="44"/>
        <v>0</v>
      </c>
      <c r="DB136" s="166" t="b">
        <f t="shared" si="44"/>
        <v>0</v>
      </c>
      <c r="DC136" s="164" t="str">
        <f t="shared" si="53"/>
        <v/>
      </c>
      <c r="DD136" s="166" t="str">
        <f t="shared" si="45"/>
        <v/>
      </c>
      <c r="DE136" s="164" t="str">
        <f t="shared" si="46"/>
        <v/>
      </c>
      <c r="DF136" s="166" t="str">
        <f t="shared" si="47"/>
        <v/>
      </c>
      <c r="DG136" s="164" t="str">
        <f t="shared" si="48"/>
        <v/>
      </c>
      <c r="DH136" s="166" t="str">
        <f t="shared" si="49"/>
        <v/>
      </c>
      <c r="DI136" s="164" t="str">
        <f>IFERROR(INDEX(DC$106:DC$154,_xlfn.AGGREGATE(15,6,(ROW(DC$106:DC$154)-ROW(DC$106)+1)/(DC$106:DC$154&lt;&gt;""),ROWS(DI$1:DI31))),"")</f>
        <v/>
      </c>
      <c r="DJ136" s="165" t="str">
        <f>IFERROR(INDEX(DD$106:DD$154,_xlfn.AGGREGATE(15,6,(ROW(DD$106:DD$154)-ROW(DD$106)+1)/(DD$106:DD$154&lt;&gt;""),ROWS(DJ$1:DJ31))),"")</f>
        <v/>
      </c>
      <c r="DK136" s="166" t="str">
        <f t="shared" si="50"/>
        <v/>
      </c>
      <c r="DL136" s="164" t="str">
        <f>IFERROR(INDEX(DE$106:DE$154,_xlfn.AGGREGATE(15,6,(ROW(DE$106:DE$154)-ROW(DE$106)+1)/(DE$106:DE$154&lt;&gt;""),ROWS(DL$1:DL31))),"")</f>
        <v/>
      </c>
      <c r="DM136" s="165" t="str">
        <f>IFERROR(INDEX(DF$106:DF$154,_xlfn.AGGREGATE(15,6,(ROW(DF$106:DF$154)-ROW(DF$106)+1)/(DF$106:DF$154&lt;&gt;""),ROWS(DM$1:DM31))),"")</f>
        <v/>
      </c>
      <c r="DN136" s="166" t="str">
        <f t="shared" si="51"/>
        <v/>
      </c>
      <c r="DO136" s="164" t="str">
        <f>IFERROR(INDEX(DG$106:DG$154,_xlfn.AGGREGATE(15,6,(ROW(DG$106:DG$154)-ROW(DG$106)+1)/(DG$106:DG$154&lt;&gt;""),ROWS(DO$1:DO31))),"")</f>
        <v/>
      </c>
      <c r="DP136" s="165" t="str">
        <f>IFERROR(INDEX(DH$106:DH$154,_xlfn.AGGREGATE(15,6,(ROW(DH$106:DH$154)-ROW(DH$106)+1)/(DH$106:DH$154&lt;&gt;""),ROWS(DP$1:DP31))),"")</f>
        <v/>
      </c>
      <c r="DQ136" s="166" t="str">
        <f t="shared" si="52"/>
        <v/>
      </c>
      <c r="DV136" s="145">
        <v>2045</v>
      </c>
      <c r="DW136" s="235" t="e">
        <f t="shared" ca="1" si="37"/>
        <v>#REF!</v>
      </c>
      <c r="EA136" s="55"/>
      <c r="EB136" s="55"/>
      <c r="EC136" s="55"/>
      <c r="ED136" s="55"/>
      <c r="EE136" s="55"/>
    </row>
    <row r="137" spans="2:135" ht="13.8" x14ac:dyDescent="0.45">
      <c r="B137" s="128">
        <v>2043</v>
      </c>
      <c r="C137" s="1023"/>
      <c r="D137" s="1024"/>
      <c r="E137" s="1025"/>
      <c r="F137" s="894"/>
      <c r="G137" s="159"/>
      <c r="H137" s="204"/>
      <c r="I137" s="1112"/>
      <c r="J137" s="207"/>
      <c r="K137" s="204"/>
      <c r="L137" s="206"/>
      <c r="M137" s="204"/>
      <c r="N137" s="29" t="s">
        <v>119</v>
      </c>
      <c r="O137" s="120"/>
      <c r="P137" s="120"/>
      <c r="Q137" s="120"/>
      <c r="R137" s="29">
        <v>29</v>
      </c>
      <c r="S137" s="154" t="str">
        <f t="shared" si="38"/>
        <v/>
      </c>
      <c r="T137" s="154" t="str">
        <f t="shared" si="39"/>
        <v/>
      </c>
      <c r="U137" s="154" t="str">
        <f t="shared" si="40"/>
        <v/>
      </c>
      <c r="W137" s="154" t="e">
        <f t="shared" si="41"/>
        <v>#N/A</v>
      </c>
      <c r="X137" s="154" t="e">
        <f t="shared" si="42"/>
        <v>#N/A</v>
      </c>
      <c r="Y137" s="154" t="e">
        <f t="shared" si="43"/>
        <v>#N/A</v>
      </c>
      <c r="AA137" s="1133">
        <v>681.37659817351596</v>
      </c>
      <c r="AB137" s="1133">
        <v>716.44290495497853</v>
      </c>
      <c r="AC137" s="1133">
        <v>751.5092117364411</v>
      </c>
      <c r="AD137" s="89"/>
      <c r="AE137" s="89"/>
      <c r="AF137" s="89"/>
      <c r="AG137" s="89"/>
      <c r="AH137" s="89"/>
      <c r="AI137" s="89"/>
      <c r="AJ137" s="89"/>
      <c r="AK137" s="89"/>
      <c r="AL137" s="89"/>
      <c r="AM137" s="89"/>
      <c r="AN137" s="89"/>
      <c r="BR137" s="180">
        <v>2041</v>
      </c>
      <c r="BS137" s="22">
        <v>27</v>
      </c>
      <c r="BT137" s="181" t="e">
        <f t="shared" si="54"/>
        <v>#DIV/0!</v>
      </c>
      <c r="BU137" s="182" t="e">
        <f t="shared" si="55"/>
        <v>#DIV/0!</v>
      </c>
      <c r="BV137" s="205" t="e">
        <f t="shared" si="56"/>
        <v>#DIV/0!</v>
      </c>
      <c r="BY137" s="180">
        <v>2041</v>
      </c>
      <c r="BZ137" s="22">
        <v>27</v>
      </c>
      <c r="CA137" s="198" t="e">
        <f t="shared" ca="1" si="57"/>
        <v>#REF!</v>
      </c>
      <c r="CB137" s="198" t="e">
        <f t="shared" ca="1" si="58"/>
        <v>#REF!</v>
      </c>
      <c r="CC137" s="186" t="e">
        <f t="shared" ca="1" si="69"/>
        <v>#REF!</v>
      </c>
      <c r="CD137" s="205" t="e">
        <f t="shared" ca="1" si="59"/>
        <v>#REF!</v>
      </c>
      <c r="CG137" s="180">
        <v>2041</v>
      </c>
      <c r="CH137" s="22">
        <v>27</v>
      </c>
      <c r="CI137" s="198" t="e">
        <f t="shared" ca="1" si="60"/>
        <v>#REF!</v>
      </c>
      <c r="CJ137" s="198" t="e">
        <f t="shared" ca="1" si="61"/>
        <v>#REF!</v>
      </c>
      <c r="CK137" s="198" t="e">
        <f t="shared" ca="1" si="62"/>
        <v>#REF!</v>
      </c>
      <c r="CL137" s="186" t="e">
        <f t="shared" ca="1" si="63"/>
        <v>#REF!</v>
      </c>
      <c r="CM137" s="205" t="e">
        <f t="shared" ca="1" si="64"/>
        <v>#REF!</v>
      </c>
      <c r="CP137" s="180">
        <v>2041</v>
      </c>
      <c r="CQ137" s="22">
        <v>27</v>
      </c>
      <c r="CR137" s="198" t="e">
        <f t="shared" ca="1" si="65"/>
        <v>#REF!</v>
      </c>
      <c r="CS137" s="186" t="e">
        <f t="shared" ca="1" si="66"/>
        <v>#REF!</v>
      </c>
      <c r="CT137" s="205" t="e">
        <f t="shared" ca="1" si="67"/>
        <v>#REF!</v>
      </c>
      <c r="CZ137" s="164" t="b">
        <f t="shared" si="44"/>
        <v>0</v>
      </c>
      <c r="DA137" s="165" t="b">
        <f t="shared" si="44"/>
        <v>0</v>
      </c>
      <c r="DB137" s="166" t="b">
        <f t="shared" si="44"/>
        <v>0</v>
      </c>
      <c r="DC137" s="164" t="str">
        <f t="shared" si="53"/>
        <v/>
      </c>
      <c r="DD137" s="166" t="str">
        <f t="shared" si="45"/>
        <v/>
      </c>
      <c r="DE137" s="164" t="str">
        <f t="shared" si="46"/>
        <v/>
      </c>
      <c r="DF137" s="166" t="str">
        <f t="shared" si="47"/>
        <v/>
      </c>
      <c r="DG137" s="164" t="str">
        <f t="shared" si="48"/>
        <v/>
      </c>
      <c r="DH137" s="166" t="str">
        <f t="shared" si="49"/>
        <v/>
      </c>
      <c r="DI137" s="164" t="str">
        <f>IFERROR(INDEX(DC$106:DC$154,_xlfn.AGGREGATE(15,6,(ROW(DC$106:DC$154)-ROW(DC$106)+1)/(DC$106:DC$154&lt;&gt;""),ROWS(DI$1:DI32))),"")</f>
        <v/>
      </c>
      <c r="DJ137" s="165" t="str">
        <f>IFERROR(INDEX(DD$106:DD$154,_xlfn.AGGREGATE(15,6,(ROW(DD$106:DD$154)-ROW(DD$106)+1)/(DD$106:DD$154&lt;&gt;""),ROWS(DJ$1:DJ32))),"")</f>
        <v/>
      </c>
      <c r="DK137" s="166" t="str">
        <f t="shared" si="50"/>
        <v/>
      </c>
      <c r="DL137" s="164" t="str">
        <f>IFERROR(INDEX(DE$106:DE$154,_xlfn.AGGREGATE(15,6,(ROW(DE$106:DE$154)-ROW(DE$106)+1)/(DE$106:DE$154&lt;&gt;""),ROWS(DL$1:DL32))),"")</f>
        <v/>
      </c>
      <c r="DM137" s="165" t="str">
        <f>IFERROR(INDEX(DF$106:DF$154,_xlfn.AGGREGATE(15,6,(ROW(DF$106:DF$154)-ROW(DF$106)+1)/(DF$106:DF$154&lt;&gt;""),ROWS(DM$1:DM32))),"")</f>
        <v/>
      </c>
      <c r="DN137" s="166" t="str">
        <f t="shared" si="51"/>
        <v/>
      </c>
      <c r="DO137" s="164" t="str">
        <f>IFERROR(INDEX(DG$106:DG$154,_xlfn.AGGREGATE(15,6,(ROW(DG$106:DG$154)-ROW(DG$106)+1)/(DG$106:DG$154&lt;&gt;""),ROWS(DO$1:DO32))),"")</f>
        <v/>
      </c>
      <c r="DP137" s="165" t="str">
        <f>IFERROR(INDEX(DH$106:DH$154,_xlfn.AGGREGATE(15,6,(ROW(DH$106:DH$154)-ROW(DH$106)+1)/(DH$106:DH$154&lt;&gt;""),ROWS(DP$1:DP32))),"")</f>
        <v/>
      </c>
      <c r="DQ137" s="166" t="str">
        <f t="shared" si="52"/>
        <v/>
      </c>
      <c r="DV137" s="145">
        <v>2046</v>
      </c>
      <c r="DW137" s="235" t="e">
        <f t="shared" ca="1" si="37"/>
        <v>#REF!</v>
      </c>
      <c r="EA137" s="55"/>
      <c r="EB137" s="55"/>
      <c r="EC137" s="55"/>
      <c r="ED137" s="55"/>
      <c r="EE137" s="55"/>
    </row>
    <row r="138" spans="2:135" ht="13.8" x14ac:dyDescent="0.45">
      <c r="B138" s="128">
        <v>2044</v>
      </c>
      <c r="C138" s="1023"/>
      <c r="D138" s="1024"/>
      <c r="E138" s="1025"/>
      <c r="F138" s="894"/>
      <c r="G138" s="159"/>
      <c r="H138" s="204"/>
      <c r="I138" s="1112"/>
      <c r="J138" s="207"/>
      <c r="K138" s="204"/>
      <c r="L138" s="206"/>
      <c r="M138" s="204"/>
      <c r="N138" s="29" t="s">
        <v>119</v>
      </c>
      <c r="O138" s="120"/>
      <c r="P138" s="120"/>
      <c r="Q138" s="120"/>
      <c r="R138" s="29">
        <v>30</v>
      </c>
      <c r="S138" s="154" t="str">
        <f t="shared" ref="S138:S154" si="71">IF(MIN(C138:Q138)=0,"",MIN(C138:Q138))</f>
        <v/>
      </c>
      <c r="T138" s="154" t="str">
        <f t="shared" ref="T138:T154" si="72">IF(MAX(C138:Q138)=0,"",MAX(C138:Q138))</f>
        <v/>
      </c>
      <c r="U138" s="154" t="str">
        <f t="shared" ref="U138:U154" si="73">IF(T138="","",_xlfn.STDEV.P(C138:Q138))</f>
        <v/>
      </c>
      <c r="W138" s="154" t="e">
        <f t="shared" si="41"/>
        <v>#N/A</v>
      </c>
      <c r="X138" s="154" t="e">
        <f t="shared" ref="X138:X154" si="74">IF(U138="",#N/A,(SUM(C138:Q138)/COUNTIFS(C138:Q138,"&gt;0")))</f>
        <v>#N/A</v>
      </c>
      <c r="Y138" s="154" t="e">
        <f t="shared" si="43"/>
        <v>#N/A</v>
      </c>
      <c r="AA138" s="1133">
        <v>686.55022831050223</v>
      </c>
      <c r="AB138" s="1133">
        <v>719.84512989598704</v>
      </c>
      <c r="AC138" s="1133">
        <v>753.14003148147185</v>
      </c>
      <c r="AD138" s="89"/>
      <c r="AE138" s="89"/>
      <c r="AF138" s="89"/>
      <c r="AG138" s="89"/>
      <c r="AH138" s="89"/>
      <c r="AI138" s="89"/>
      <c r="AJ138" s="89"/>
      <c r="AK138" s="89"/>
      <c r="AL138" s="89"/>
      <c r="AM138" s="89"/>
      <c r="AN138" s="89"/>
      <c r="BR138" s="180">
        <v>2042</v>
      </c>
      <c r="BS138" s="22">
        <v>28</v>
      </c>
      <c r="BT138" s="181" t="e">
        <f t="shared" si="54"/>
        <v>#DIV/0!</v>
      </c>
      <c r="BU138" s="182" t="e">
        <f t="shared" si="55"/>
        <v>#DIV/0!</v>
      </c>
      <c r="BV138" s="205" t="e">
        <f t="shared" si="56"/>
        <v>#DIV/0!</v>
      </c>
      <c r="BY138" s="180">
        <v>2042</v>
      </c>
      <c r="BZ138" s="22">
        <v>28</v>
      </c>
      <c r="CA138" s="198" t="e">
        <f t="shared" ca="1" si="57"/>
        <v>#REF!</v>
      </c>
      <c r="CB138" s="198" t="e">
        <f t="shared" ca="1" si="58"/>
        <v>#REF!</v>
      </c>
      <c r="CC138" s="186" t="e">
        <f t="shared" ca="1" si="69"/>
        <v>#REF!</v>
      </c>
      <c r="CD138" s="205" t="e">
        <f t="shared" ca="1" si="59"/>
        <v>#REF!</v>
      </c>
      <c r="CG138" s="180">
        <v>2042</v>
      </c>
      <c r="CH138" s="22">
        <v>28</v>
      </c>
      <c r="CI138" s="198" t="e">
        <f t="shared" ca="1" si="60"/>
        <v>#REF!</v>
      </c>
      <c r="CJ138" s="198" t="e">
        <f t="shared" ca="1" si="61"/>
        <v>#REF!</v>
      </c>
      <c r="CK138" s="198" t="e">
        <f t="shared" ca="1" si="62"/>
        <v>#REF!</v>
      </c>
      <c r="CL138" s="186" t="e">
        <f t="shared" ca="1" si="63"/>
        <v>#REF!</v>
      </c>
      <c r="CM138" s="205" t="e">
        <f t="shared" ca="1" si="64"/>
        <v>#REF!</v>
      </c>
      <c r="CP138" s="180">
        <v>2042</v>
      </c>
      <c r="CQ138" s="22">
        <v>28</v>
      </c>
      <c r="CR138" s="198" t="e">
        <f t="shared" ca="1" si="65"/>
        <v>#REF!</v>
      </c>
      <c r="CS138" s="186" t="e">
        <f t="shared" ca="1" si="66"/>
        <v>#REF!</v>
      </c>
      <c r="CT138" s="205" t="e">
        <f t="shared" ca="1" si="67"/>
        <v>#REF!</v>
      </c>
      <c r="CZ138" s="164" t="b">
        <f t="shared" si="44"/>
        <v>0</v>
      </c>
      <c r="DA138" s="165" t="b">
        <f t="shared" si="44"/>
        <v>0</v>
      </c>
      <c r="DB138" s="166" t="b">
        <f t="shared" si="44"/>
        <v>0</v>
      </c>
      <c r="DC138" s="164" t="str">
        <f t="shared" si="53"/>
        <v/>
      </c>
      <c r="DD138" s="166" t="str">
        <f t="shared" si="45"/>
        <v/>
      </c>
      <c r="DE138" s="164" t="str">
        <f t="shared" si="46"/>
        <v/>
      </c>
      <c r="DF138" s="166" t="str">
        <f t="shared" si="47"/>
        <v/>
      </c>
      <c r="DG138" s="164" t="str">
        <f t="shared" si="48"/>
        <v/>
      </c>
      <c r="DH138" s="166" t="str">
        <f t="shared" si="49"/>
        <v/>
      </c>
      <c r="DI138" s="164" t="str">
        <f>IFERROR(INDEX(DC$106:DC$154,_xlfn.AGGREGATE(15,6,(ROW(DC$106:DC$154)-ROW(DC$106)+1)/(DC$106:DC$154&lt;&gt;""),ROWS(DI$1:DI33))),"")</f>
        <v/>
      </c>
      <c r="DJ138" s="165" t="str">
        <f>IFERROR(INDEX(DD$106:DD$154,_xlfn.AGGREGATE(15,6,(ROW(DD$106:DD$154)-ROW(DD$106)+1)/(DD$106:DD$154&lt;&gt;""),ROWS(DJ$1:DJ33))),"")</f>
        <v/>
      </c>
      <c r="DK138" s="166" t="str">
        <f t="shared" si="50"/>
        <v/>
      </c>
      <c r="DL138" s="164" t="str">
        <f>IFERROR(INDEX(DE$106:DE$154,_xlfn.AGGREGATE(15,6,(ROW(DE$106:DE$154)-ROW(DE$106)+1)/(DE$106:DE$154&lt;&gt;""),ROWS(DL$1:DL33))),"")</f>
        <v/>
      </c>
      <c r="DM138" s="165" t="str">
        <f>IFERROR(INDEX(DF$106:DF$154,_xlfn.AGGREGATE(15,6,(ROW(DF$106:DF$154)-ROW(DF$106)+1)/(DF$106:DF$154&lt;&gt;""),ROWS(DM$1:DM33))),"")</f>
        <v/>
      </c>
      <c r="DN138" s="166" t="str">
        <f t="shared" si="51"/>
        <v/>
      </c>
      <c r="DO138" s="164" t="str">
        <f>IFERROR(INDEX(DG$106:DG$154,_xlfn.AGGREGATE(15,6,(ROW(DG$106:DG$154)-ROW(DG$106)+1)/(DG$106:DG$154&lt;&gt;""),ROWS(DO$1:DO33))),"")</f>
        <v/>
      </c>
      <c r="DP138" s="165" t="str">
        <f>IFERROR(INDEX(DH$106:DH$154,_xlfn.AGGREGATE(15,6,(ROW(DH$106:DH$154)-ROW(DH$106)+1)/(DH$106:DH$154&lt;&gt;""),ROWS(DP$1:DP33))),"")</f>
        <v/>
      </c>
      <c r="DQ138" s="166" t="str">
        <f t="shared" si="52"/>
        <v/>
      </c>
      <c r="DV138" s="145">
        <v>2047</v>
      </c>
      <c r="DW138" s="235" t="e">
        <f t="shared" ca="1" si="37"/>
        <v>#REF!</v>
      </c>
      <c r="EA138" s="55"/>
      <c r="EB138" s="55"/>
      <c r="EC138" s="55"/>
      <c r="ED138" s="55"/>
      <c r="EE138" s="55"/>
    </row>
    <row r="139" spans="2:135" ht="13.8" x14ac:dyDescent="0.45">
      <c r="B139" s="128">
        <v>2045</v>
      </c>
      <c r="C139" s="1023"/>
      <c r="D139" s="1024"/>
      <c r="E139" s="1025"/>
      <c r="F139" s="894"/>
      <c r="G139" s="159"/>
      <c r="H139" s="204"/>
      <c r="I139" s="1112"/>
      <c r="J139" s="207"/>
      <c r="K139" s="204"/>
      <c r="L139" s="206"/>
      <c r="M139" s="204"/>
      <c r="N139" s="29" t="s">
        <v>119</v>
      </c>
      <c r="O139" s="120"/>
      <c r="P139" s="120"/>
      <c r="Q139" s="120"/>
      <c r="R139" s="29">
        <v>31</v>
      </c>
      <c r="S139" s="154" t="str">
        <f t="shared" si="71"/>
        <v/>
      </c>
      <c r="T139" s="154" t="str">
        <f t="shared" si="72"/>
        <v/>
      </c>
      <c r="U139" s="154" t="str">
        <f t="shared" si="73"/>
        <v/>
      </c>
      <c r="W139" s="154" t="e">
        <f t="shared" si="41"/>
        <v>#N/A</v>
      </c>
      <c r="X139" s="154" t="e">
        <f t="shared" si="74"/>
        <v>#N/A</v>
      </c>
      <c r="Y139" s="154" t="e">
        <f t="shared" si="43"/>
        <v>#N/A</v>
      </c>
      <c r="AA139" s="1133">
        <v>691.72385844748851</v>
      </c>
      <c r="AB139" s="1133">
        <v>723.9831674710947</v>
      </c>
      <c r="AC139" s="1133">
        <v>756.2424764947009</v>
      </c>
      <c r="AD139" s="89"/>
      <c r="AE139" s="89"/>
      <c r="AF139" s="89"/>
      <c r="AG139" s="89"/>
      <c r="AH139" s="89"/>
      <c r="AI139" s="89"/>
      <c r="AJ139" s="89"/>
      <c r="AK139" s="89"/>
      <c r="AL139" s="89"/>
      <c r="AM139" s="89"/>
      <c r="AN139" s="89"/>
      <c r="BR139" s="180">
        <v>2043</v>
      </c>
      <c r="BS139" s="22">
        <v>29</v>
      </c>
      <c r="BT139" s="181" t="e">
        <f t="shared" si="54"/>
        <v>#DIV/0!</v>
      </c>
      <c r="BU139" s="182" t="e">
        <f t="shared" si="55"/>
        <v>#DIV/0!</v>
      </c>
      <c r="BV139" s="205" t="e">
        <f t="shared" si="56"/>
        <v>#DIV/0!</v>
      </c>
      <c r="BY139" s="180">
        <v>2043</v>
      </c>
      <c r="BZ139" s="22">
        <v>29</v>
      </c>
      <c r="CA139" s="198" t="e">
        <f t="shared" ca="1" si="57"/>
        <v>#REF!</v>
      </c>
      <c r="CB139" s="198" t="e">
        <f t="shared" ca="1" si="58"/>
        <v>#REF!</v>
      </c>
      <c r="CC139" s="186" t="e">
        <f t="shared" ca="1" si="69"/>
        <v>#REF!</v>
      </c>
      <c r="CD139" s="205" t="e">
        <f t="shared" ca="1" si="59"/>
        <v>#REF!</v>
      </c>
      <c r="CG139" s="180">
        <v>2043</v>
      </c>
      <c r="CH139" s="22">
        <v>29</v>
      </c>
      <c r="CI139" s="198" t="e">
        <f t="shared" ca="1" si="60"/>
        <v>#REF!</v>
      </c>
      <c r="CJ139" s="198" t="e">
        <f t="shared" ca="1" si="61"/>
        <v>#REF!</v>
      </c>
      <c r="CK139" s="198" t="e">
        <f t="shared" ca="1" si="62"/>
        <v>#REF!</v>
      </c>
      <c r="CL139" s="186" t="e">
        <f t="shared" ca="1" si="63"/>
        <v>#REF!</v>
      </c>
      <c r="CM139" s="205" t="e">
        <f t="shared" ca="1" si="64"/>
        <v>#REF!</v>
      </c>
      <c r="CP139" s="180">
        <v>2043</v>
      </c>
      <c r="CQ139" s="22">
        <v>29</v>
      </c>
      <c r="CR139" s="198" t="e">
        <f t="shared" ca="1" si="65"/>
        <v>#REF!</v>
      </c>
      <c r="CS139" s="186" t="e">
        <f t="shared" ca="1" si="66"/>
        <v>#REF!</v>
      </c>
      <c r="CT139" s="205" t="e">
        <f t="shared" ca="1" si="67"/>
        <v>#REF!</v>
      </c>
      <c r="CZ139" s="164" t="b">
        <f t="shared" si="44"/>
        <v>0</v>
      </c>
      <c r="DA139" s="165" t="b">
        <f t="shared" si="44"/>
        <v>0</v>
      </c>
      <c r="DB139" s="166" t="b">
        <f t="shared" si="44"/>
        <v>0</v>
      </c>
      <c r="DC139" s="164" t="str">
        <f t="shared" si="53"/>
        <v/>
      </c>
      <c r="DD139" s="166" t="str">
        <f t="shared" si="45"/>
        <v/>
      </c>
      <c r="DE139" s="164" t="str">
        <f t="shared" si="46"/>
        <v/>
      </c>
      <c r="DF139" s="166" t="str">
        <f t="shared" si="47"/>
        <v/>
      </c>
      <c r="DG139" s="164" t="str">
        <f t="shared" si="48"/>
        <v/>
      </c>
      <c r="DH139" s="166" t="str">
        <f t="shared" si="49"/>
        <v/>
      </c>
      <c r="DI139" s="164" t="str">
        <f>IFERROR(INDEX(DC$106:DC$154,_xlfn.AGGREGATE(15,6,(ROW(DC$106:DC$154)-ROW(DC$106)+1)/(DC$106:DC$154&lt;&gt;""),ROWS(DI$1:DI34))),"")</f>
        <v/>
      </c>
      <c r="DJ139" s="165" t="str">
        <f>IFERROR(INDEX(DD$106:DD$154,_xlfn.AGGREGATE(15,6,(ROW(DD$106:DD$154)-ROW(DD$106)+1)/(DD$106:DD$154&lt;&gt;""),ROWS(DJ$1:DJ34))),"")</f>
        <v/>
      </c>
      <c r="DK139" s="166" t="str">
        <f t="shared" si="50"/>
        <v/>
      </c>
      <c r="DL139" s="164" t="str">
        <f>IFERROR(INDEX(DE$106:DE$154,_xlfn.AGGREGATE(15,6,(ROW(DE$106:DE$154)-ROW(DE$106)+1)/(DE$106:DE$154&lt;&gt;""),ROWS(DL$1:DL34))),"")</f>
        <v/>
      </c>
      <c r="DM139" s="165" t="str">
        <f>IFERROR(INDEX(DF$106:DF$154,_xlfn.AGGREGATE(15,6,(ROW(DF$106:DF$154)-ROW(DF$106)+1)/(DF$106:DF$154&lt;&gt;""),ROWS(DM$1:DM34))),"")</f>
        <v/>
      </c>
      <c r="DN139" s="166" t="str">
        <f t="shared" si="51"/>
        <v/>
      </c>
      <c r="DO139" s="164" t="str">
        <f>IFERROR(INDEX(DG$106:DG$154,_xlfn.AGGREGATE(15,6,(ROW(DG$106:DG$154)-ROW(DG$106)+1)/(DG$106:DG$154&lt;&gt;""),ROWS(DO$1:DO34))),"")</f>
        <v/>
      </c>
      <c r="DP139" s="165" t="str">
        <f>IFERROR(INDEX(DH$106:DH$154,_xlfn.AGGREGATE(15,6,(ROW(DH$106:DH$154)-ROW(DH$106)+1)/(DH$106:DH$154&lt;&gt;""),ROWS(DP$1:DP34))),"")</f>
        <v/>
      </c>
      <c r="DQ139" s="166" t="str">
        <f t="shared" si="52"/>
        <v/>
      </c>
      <c r="DV139" s="145">
        <v>2048</v>
      </c>
      <c r="DW139" s="235" t="e">
        <f t="shared" ca="1" si="37"/>
        <v>#REF!</v>
      </c>
      <c r="EA139" s="55"/>
      <c r="EB139" s="55"/>
      <c r="EC139" s="55"/>
      <c r="ED139" s="55"/>
      <c r="EE139" s="55"/>
    </row>
    <row r="140" spans="2:135" ht="13.8" x14ac:dyDescent="0.45">
      <c r="B140" s="128">
        <v>2046</v>
      </c>
      <c r="C140" s="1023"/>
      <c r="D140" s="1026"/>
      <c r="E140" s="1027"/>
      <c r="F140" s="940"/>
      <c r="G140" s="207"/>
      <c r="H140" s="204"/>
      <c r="I140" s="1112"/>
      <c r="J140" s="207"/>
      <c r="K140" s="204"/>
      <c r="L140" s="206"/>
      <c r="M140" s="204"/>
      <c r="N140" s="29" t="s">
        <v>119</v>
      </c>
      <c r="O140" s="120"/>
      <c r="P140" s="120"/>
      <c r="Q140" s="120"/>
      <c r="R140" s="29">
        <v>32</v>
      </c>
      <c r="S140" s="154" t="str">
        <f t="shared" si="71"/>
        <v/>
      </c>
      <c r="T140" s="154" t="str">
        <f t="shared" si="72"/>
        <v/>
      </c>
      <c r="U140" s="154" t="str">
        <f t="shared" si="73"/>
        <v/>
      </c>
      <c r="W140" s="154" t="e">
        <f t="shared" si="41"/>
        <v>#N/A</v>
      </c>
      <c r="X140" s="154" t="e">
        <f t="shared" si="74"/>
        <v>#N/A</v>
      </c>
      <c r="Y140" s="154" t="e">
        <f t="shared" si="43"/>
        <v>#N/A</v>
      </c>
      <c r="AA140" s="1133">
        <v>696.89748858447479</v>
      </c>
      <c r="AB140" s="1133">
        <v>726.67485091643607</v>
      </c>
      <c r="AC140" s="1133">
        <v>756.45221324839736</v>
      </c>
      <c r="AD140" s="89"/>
      <c r="AE140" s="89"/>
      <c r="AF140" s="89"/>
      <c r="AG140" s="89"/>
      <c r="AH140" s="89"/>
      <c r="AI140" s="89"/>
      <c r="AJ140" s="89"/>
      <c r="AK140" s="89"/>
      <c r="AL140" s="89"/>
      <c r="AM140" s="89"/>
      <c r="AN140" s="89"/>
      <c r="BR140" s="180">
        <v>2044</v>
      </c>
      <c r="BS140" s="22">
        <v>30</v>
      </c>
      <c r="BT140" s="181" t="e">
        <f t="shared" si="54"/>
        <v>#DIV/0!</v>
      </c>
      <c r="BU140" s="182" t="e">
        <f t="shared" si="55"/>
        <v>#DIV/0!</v>
      </c>
      <c r="BV140" s="205" t="e">
        <f t="shared" si="56"/>
        <v>#DIV/0!</v>
      </c>
      <c r="BY140" s="180">
        <v>2044</v>
      </c>
      <c r="BZ140" s="22">
        <v>30</v>
      </c>
      <c r="CA140" s="198" t="e">
        <f t="shared" ca="1" si="57"/>
        <v>#REF!</v>
      </c>
      <c r="CB140" s="198" t="e">
        <f t="shared" ca="1" si="58"/>
        <v>#REF!</v>
      </c>
      <c r="CC140" s="186" t="e">
        <f t="shared" ca="1" si="69"/>
        <v>#REF!</v>
      </c>
      <c r="CD140" s="205" t="e">
        <f t="shared" ca="1" si="59"/>
        <v>#REF!</v>
      </c>
      <c r="CG140" s="180">
        <v>2044</v>
      </c>
      <c r="CH140" s="22">
        <v>30</v>
      </c>
      <c r="CI140" s="198" t="e">
        <f t="shared" ca="1" si="60"/>
        <v>#REF!</v>
      </c>
      <c r="CJ140" s="198" t="e">
        <f t="shared" ca="1" si="61"/>
        <v>#REF!</v>
      </c>
      <c r="CK140" s="198" t="e">
        <f t="shared" ca="1" si="62"/>
        <v>#REF!</v>
      </c>
      <c r="CL140" s="186" t="e">
        <f t="shared" ca="1" si="63"/>
        <v>#REF!</v>
      </c>
      <c r="CM140" s="205" t="e">
        <f t="shared" ca="1" si="64"/>
        <v>#REF!</v>
      </c>
      <c r="CP140" s="180">
        <v>2044</v>
      </c>
      <c r="CQ140" s="22">
        <v>30</v>
      </c>
      <c r="CR140" s="198" t="e">
        <f t="shared" ca="1" si="65"/>
        <v>#REF!</v>
      </c>
      <c r="CS140" s="186" t="e">
        <f t="shared" ca="1" si="66"/>
        <v>#REF!</v>
      </c>
      <c r="CT140" s="205" t="e">
        <f t="shared" ca="1" si="67"/>
        <v>#REF!</v>
      </c>
      <c r="CZ140" s="164" t="b">
        <f t="shared" si="44"/>
        <v>0</v>
      </c>
      <c r="DA140" s="165" t="b">
        <f t="shared" si="44"/>
        <v>0</v>
      </c>
      <c r="DB140" s="166" t="b">
        <f t="shared" si="44"/>
        <v>0</v>
      </c>
      <c r="DC140" s="164" t="str">
        <f t="shared" si="53"/>
        <v/>
      </c>
      <c r="DD140" s="166" t="str">
        <f t="shared" si="45"/>
        <v/>
      </c>
      <c r="DE140" s="164" t="str">
        <f t="shared" si="46"/>
        <v/>
      </c>
      <c r="DF140" s="166" t="str">
        <f t="shared" si="47"/>
        <v/>
      </c>
      <c r="DG140" s="164" t="str">
        <f t="shared" si="48"/>
        <v/>
      </c>
      <c r="DH140" s="166" t="str">
        <f t="shared" si="49"/>
        <v/>
      </c>
      <c r="DI140" s="164" t="str">
        <f>IFERROR(INDEX(DC$106:DC$154,_xlfn.AGGREGATE(15,6,(ROW(DC$106:DC$154)-ROW(DC$106)+1)/(DC$106:DC$154&lt;&gt;""),ROWS(DI$1:DI35))),"")</f>
        <v/>
      </c>
      <c r="DJ140" s="165" t="str">
        <f>IFERROR(INDEX(DD$106:DD$154,_xlfn.AGGREGATE(15,6,(ROW(DD$106:DD$154)-ROW(DD$106)+1)/(DD$106:DD$154&lt;&gt;""),ROWS(DJ$1:DJ35))),"")</f>
        <v/>
      </c>
      <c r="DK140" s="166" t="str">
        <f t="shared" si="50"/>
        <v/>
      </c>
      <c r="DL140" s="164" t="str">
        <f>IFERROR(INDEX(DE$106:DE$154,_xlfn.AGGREGATE(15,6,(ROW(DE$106:DE$154)-ROW(DE$106)+1)/(DE$106:DE$154&lt;&gt;""),ROWS(DL$1:DL35))),"")</f>
        <v/>
      </c>
      <c r="DM140" s="165" t="str">
        <f>IFERROR(INDEX(DF$106:DF$154,_xlfn.AGGREGATE(15,6,(ROW(DF$106:DF$154)-ROW(DF$106)+1)/(DF$106:DF$154&lt;&gt;""),ROWS(DM$1:DM35))),"")</f>
        <v/>
      </c>
      <c r="DN140" s="166" t="str">
        <f t="shared" si="51"/>
        <v/>
      </c>
      <c r="DO140" s="164" t="str">
        <f>IFERROR(INDEX(DG$106:DG$154,_xlfn.AGGREGATE(15,6,(ROW(DG$106:DG$154)-ROW(DG$106)+1)/(DG$106:DG$154&lt;&gt;""),ROWS(DO$1:DO35))),"")</f>
        <v/>
      </c>
      <c r="DP140" s="165" t="str">
        <f>IFERROR(INDEX(DH$106:DH$154,_xlfn.AGGREGATE(15,6,(ROW(DH$106:DH$154)-ROW(DH$106)+1)/(DH$106:DH$154&lt;&gt;""),ROWS(DP$1:DP35))),"")</f>
        <v/>
      </c>
      <c r="DQ140" s="166" t="str">
        <f t="shared" si="52"/>
        <v/>
      </c>
      <c r="DV140" s="145">
        <v>2049</v>
      </c>
      <c r="DW140" s="235" t="e">
        <f t="shared" ca="1" si="37"/>
        <v>#REF!</v>
      </c>
      <c r="EA140" s="55"/>
      <c r="EB140" s="55"/>
      <c r="EC140" s="55"/>
      <c r="ED140" s="55"/>
      <c r="EE140" s="55"/>
    </row>
    <row r="141" spans="2:135" ht="13.8" x14ac:dyDescent="0.45">
      <c r="B141" s="128">
        <v>2047</v>
      </c>
      <c r="C141" s="1023"/>
      <c r="D141" s="1026"/>
      <c r="E141" s="1027"/>
      <c r="F141" s="940"/>
      <c r="G141" s="207"/>
      <c r="H141" s="204"/>
      <c r="I141" s="1112"/>
      <c r="J141" s="207"/>
      <c r="K141" s="204"/>
      <c r="L141" s="206"/>
      <c r="M141" s="204"/>
      <c r="N141" s="29" t="s">
        <v>119</v>
      </c>
      <c r="O141" s="120"/>
      <c r="P141" s="120"/>
      <c r="Q141" s="120"/>
      <c r="R141" s="29">
        <v>33</v>
      </c>
      <c r="S141" s="154" t="str">
        <f t="shared" si="71"/>
        <v/>
      </c>
      <c r="T141" s="154" t="str">
        <f t="shared" si="72"/>
        <v/>
      </c>
      <c r="U141" s="154" t="str">
        <f t="shared" si="73"/>
        <v/>
      </c>
      <c r="W141" s="154" t="e">
        <f t="shared" si="41"/>
        <v>#N/A</v>
      </c>
      <c r="X141" s="154" t="e">
        <f t="shared" si="74"/>
        <v>#N/A</v>
      </c>
      <c r="Y141" s="154" t="e">
        <f t="shared" si="43"/>
        <v>#N/A</v>
      </c>
      <c r="AA141" s="1133">
        <v>702.07111872146129</v>
      </c>
      <c r="AB141" s="1133">
        <v>729.85095808262213</v>
      </c>
      <c r="AC141" s="1133">
        <v>757.63079744378297</v>
      </c>
      <c r="AD141" s="89"/>
      <c r="AE141" s="89"/>
      <c r="AF141" s="89"/>
      <c r="AG141" s="89"/>
      <c r="AH141" s="89"/>
      <c r="AI141" s="89"/>
      <c r="AJ141" s="89"/>
      <c r="AK141" s="89"/>
      <c r="AL141" s="89"/>
      <c r="AM141" s="89"/>
      <c r="AN141" s="89"/>
      <c r="BR141" s="180">
        <v>2045</v>
      </c>
      <c r="BS141" s="22">
        <v>31</v>
      </c>
      <c r="BT141" s="181" t="e">
        <f t="shared" si="54"/>
        <v>#DIV/0!</v>
      </c>
      <c r="BU141" s="182" t="e">
        <f t="shared" si="55"/>
        <v>#DIV/0!</v>
      </c>
      <c r="BV141" s="205" t="e">
        <f t="shared" si="56"/>
        <v>#DIV/0!</v>
      </c>
      <c r="BY141" s="180">
        <v>2045</v>
      </c>
      <c r="BZ141" s="22">
        <v>31</v>
      </c>
      <c r="CA141" s="198" t="e">
        <f t="shared" ca="1" si="57"/>
        <v>#REF!</v>
      </c>
      <c r="CB141" s="198" t="e">
        <f t="shared" ca="1" si="58"/>
        <v>#REF!</v>
      </c>
      <c r="CC141" s="198" t="e">
        <f t="shared" ca="1" si="69"/>
        <v>#REF!</v>
      </c>
      <c r="CD141" s="205" t="e">
        <f t="shared" ca="1" si="59"/>
        <v>#REF!</v>
      </c>
      <c r="CG141" s="180">
        <v>2045</v>
      </c>
      <c r="CH141" s="22">
        <v>31</v>
      </c>
      <c r="CI141" s="198" t="e">
        <f t="shared" ca="1" si="60"/>
        <v>#REF!</v>
      </c>
      <c r="CJ141" s="198" t="e">
        <f t="shared" ca="1" si="61"/>
        <v>#REF!</v>
      </c>
      <c r="CK141" s="198" t="e">
        <f t="shared" ca="1" si="62"/>
        <v>#REF!</v>
      </c>
      <c r="CL141" s="198" t="e">
        <f t="shared" ca="1" si="63"/>
        <v>#REF!</v>
      </c>
      <c r="CM141" s="205" t="e">
        <f t="shared" ca="1" si="64"/>
        <v>#REF!</v>
      </c>
      <c r="CP141" s="180">
        <v>2045</v>
      </c>
      <c r="CQ141" s="22">
        <v>31</v>
      </c>
      <c r="CR141" s="198" t="e">
        <f t="shared" ca="1" si="65"/>
        <v>#REF!</v>
      </c>
      <c r="CS141" s="198" t="e">
        <f t="shared" ca="1" si="66"/>
        <v>#REF!</v>
      </c>
      <c r="CT141" s="205" t="e">
        <f t="shared" ca="1" si="67"/>
        <v>#REF!</v>
      </c>
      <c r="CZ141" s="164" t="b">
        <f t="shared" si="44"/>
        <v>0</v>
      </c>
      <c r="DA141" s="165" t="b">
        <f t="shared" si="44"/>
        <v>0</v>
      </c>
      <c r="DB141" s="166" t="b">
        <f t="shared" si="44"/>
        <v>0</v>
      </c>
      <c r="DC141" s="164" t="str">
        <f t="shared" si="53"/>
        <v/>
      </c>
      <c r="DD141" s="166" t="str">
        <f t="shared" si="45"/>
        <v/>
      </c>
      <c r="DE141" s="164" t="str">
        <f t="shared" si="46"/>
        <v/>
      </c>
      <c r="DF141" s="166" t="str">
        <f t="shared" si="47"/>
        <v/>
      </c>
      <c r="DG141" s="164" t="str">
        <f t="shared" si="48"/>
        <v/>
      </c>
      <c r="DH141" s="166" t="str">
        <f t="shared" si="49"/>
        <v/>
      </c>
      <c r="DI141" s="164" t="str">
        <f>IFERROR(INDEX(DC$106:DC$154,_xlfn.AGGREGATE(15,6,(ROW(DC$106:DC$154)-ROW(DC$106)+1)/(DC$106:DC$154&lt;&gt;""),ROWS(DI$1:DI36))),"")</f>
        <v/>
      </c>
      <c r="DJ141" s="165" t="str">
        <f>IFERROR(INDEX(DD$106:DD$154,_xlfn.AGGREGATE(15,6,(ROW(DD$106:DD$154)-ROW(DD$106)+1)/(DD$106:DD$154&lt;&gt;""),ROWS(DJ$1:DJ36))),"")</f>
        <v/>
      </c>
      <c r="DK141" s="166" t="str">
        <f t="shared" si="50"/>
        <v/>
      </c>
      <c r="DL141" s="164" t="str">
        <f>IFERROR(INDEX(DE$106:DE$154,_xlfn.AGGREGATE(15,6,(ROW(DE$106:DE$154)-ROW(DE$106)+1)/(DE$106:DE$154&lt;&gt;""),ROWS(DL$1:DL36))),"")</f>
        <v/>
      </c>
      <c r="DM141" s="165" t="str">
        <f>IFERROR(INDEX(DF$106:DF$154,_xlfn.AGGREGATE(15,6,(ROW(DF$106:DF$154)-ROW(DF$106)+1)/(DF$106:DF$154&lt;&gt;""),ROWS(DM$1:DM36))),"")</f>
        <v/>
      </c>
      <c r="DN141" s="166" t="str">
        <f t="shared" si="51"/>
        <v/>
      </c>
      <c r="DO141" s="164" t="str">
        <f>IFERROR(INDEX(DG$106:DG$154,_xlfn.AGGREGATE(15,6,(ROW(DG$106:DG$154)-ROW(DG$106)+1)/(DG$106:DG$154&lt;&gt;""),ROWS(DO$1:DO36))),"")</f>
        <v/>
      </c>
      <c r="DP141" s="165" t="str">
        <f>IFERROR(INDEX(DH$106:DH$154,_xlfn.AGGREGATE(15,6,(ROW(DH$106:DH$154)-ROW(DH$106)+1)/(DH$106:DH$154&lt;&gt;""),ROWS(DP$1:DP36))),"")</f>
        <v/>
      </c>
      <c r="DQ141" s="166" t="str">
        <f t="shared" si="52"/>
        <v/>
      </c>
      <c r="DV141" s="145">
        <v>2050</v>
      </c>
      <c r="DW141" s="235" t="e">
        <f t="shared" ca="1" si="37"/>
        <v>#REF!</v>
      </c>
      <c r="EA141" s="55"/>
      <c r="EB141" s="55"/>
      <c r="EC141" s="55"/>
      <c r="ED141" s="55"/>
      <c r="EE141" s="55"/>
    </row>
    <row r="142" spans="2:135" ht="13.8" x14ac:dyDescent="0.45">
      <c r="B142" s="128">
        <v>2048</v>
      </c>
      <c r="C142" s="1023"/>
      <c r="D142" s="1026"/>
      <c r="E142" s="1027"/>
      <c r="F142" s="940"/>
      <c r="G142" s="207"/>
      <c r="H142" s="204"/>
      <c r="I142" s="1112"/>
      <c r="J142" s="207"/>
      <c r="K142" s="204"/>
      <c r="L142" s="206"/>
      <c r="M142" s="204"/>
      <c r="N142" s="29" t="s">
        <v>119</v>
      </c>
      <c r="O142" s="120"/>
      <c r="P142" s="120"/>
      <c r="Q142" s="120"/>
      <c r="R142" s="29">
        <v>34</v>
      </c>
      <c r="S142" s="154" t="str">
        <f t="shared" si="71"/>
        <v/>
      </c>
      <c r="T142" s="154" t="str">
        <f t="shared" si="72"/>
        <v/>
      </c>
      <c r="U142" s="154" t="str">
        <f t="shared" si="73"/>
        <v/>
      </c>
      <c r="W142" s="154" t="e">
        <f t="shared" si="41"/>
        <v>#N/A</v>
      </c>
      <c r="X142" s="154" t="e">
        <f t="shared" si="74"/>
        <v>#N/A</v>
      </c>
      <c r="Y142" s="154" t="e">
        <f t="shared" si="43"/>
        <v>#N/A</v>
      </c>
      <c r="AA142" s="1133">
        <v>707.24474885844756</v>
      </c>
      <c r="AB142" s="1133">
        <v>732.93522009747676</v>
      </c>
      <c r="AC142" s="1133">
        <v>758.62569133650595</v>
      </c>
      <c r="AD142" s="89"/>
      <c r="AE142" s="89"/>
      <c r="AF142" s="89"/>
      <c r="AG142" s="89"/>
      <c r="AH142" s="89"/>
      <c r="AI142" s="89"/>
      <c r="AJ142" s="89"/>
      <c r="AK142" s="89"/>
      <c r="AL142" s="89"/>
      <c r="AM142" s="89"/>
      <c r="AN142" s="89"/>
      <c r="BR142" s="180">
        <v>2046</v>
      </c>
      <c r="BS142" s="22">
        <v>32</v>
      </c>
      <c r="BT142" s="181" t="e">
        <f t="shared" si="54"/>
        <v>#DIV/0!</v>
      </c>
      <c r="BU142" s="182" t="e">
        <f t="shared" si="55"/>
        <v>#DIV/0!</v>
      </c>
      <c r="BV142" s="205" t="e">
        <f t="shared" si="56"/>
        <v>#DIV/0!</v>
      </c>
      <c r="BY142" s="180">
        <v>2046</v>
      </c>
      <c r="BZ142" s="22">
        <v>32</v>
      </c>
      <c r="CA142" s="198" t="e">
        <f t="shared" ca="1" si="57"/>
        <v>#REF!</v>
      </c>
      <c r="CB142" s="198" t="e">
        <f t="shared" ca="1" si="58"/>
        <v>#REF!</v>
      </c>
      <c r="CC142" s="198" t="e">
        <f t="shared" ca="1" si="69"/>
        <v>#REF!</v>
      </c>
      <c r="CD142" s="205" t="e">
        <f t="shared" ca="1" si="59"/>
        <v>#REF!</v>
      </c>
      <c r="CG142" s="180">
        <v>2046</v>
      </c>
      <c r="CH142" s="22">
        <v>32</v>
      </c>
      <c r="CI142" s="198" t="e">
        <f t="shared" ca="1" si="60"/>
        <v>#REF!</v>
      </c>
      <c r="CJ142" s="198" t="e">
        <f t="shared" ca="1" si="61"/>
        <v>#REF!</v>
      </c>
      <c r="CK142" s="198" t="e">
        <f t="shared" ca="1" si="62"/>
        <v>#REF!</v>
      </c>
      <c r="CL142" s="198" t="e">
        <f t="shared" ca="1" si="63"/>
        <v>#REF!</v>
      </c>
      <c r="CM142" s="205" t="e">
        <f t="shared" ca="1" si="64"/>
        <v>#REF!</v>
      </c>
      <c r="CP142" s="180">
        <v>2046</v>
      </c>
      <c r="CQ142" s="22">
        <v>32</v>
      </c>
      <c r="CR142" s="198" t="e">
        <f t="shared" ca="1" si="65"/>
        <v>#REF!</v>
      </c>
      <c r="CS142" s="198" t="e">
        <f t="shared" ca="1" si="66"/>
        <v>#REF!</v>
      </c>
      <c r="CT142" s="205" t="e">
        <f t="shared" ca="1" si="67"/>
        <v>#REF!</v>
      </c>
      <c r="CZ142" s="164" t="b">
        <f t="shared" si="44"/>
        <v>0</v>
      </c>
      <c r="DA142" s="165" t="b">
        <f t="shared" si="44"/>
        <v>0</v>
      </c>
      <c r="DB142" s="166" t="b">
        <f t="shared" si="44"/>
        <v>0</v>
      </c>
      <c r="DC142" s="164" t="str">
        <f t="shared" si="53"/>
        <v/>
      </c>
      <c r="DD142" s="166" t="str">
        <f t="shared" si="45"/>
        <v/>
      </c>
      <c r="DE142" s="164" t="str">
        <f t="shared" si="46"/>
        <v/>
      </c>
      <c r="DF142" s="166" t="str">
        <f t="shared" si="47"/>
        <v/>
      </c>
      <c r="DG142" s="164" t="str">
        <f t="shared" si="48"/>
        <v/>
      </c>
      <c r="DH142" s="166" t="str">
        <f t="shared" si="49"/>
        <v/>
      </c>
      <c r="DI142" s="164" t="str">
        <f>IFERROR(INDEX(DC$106:DC$154,_xlfn.AGGREGATE(15,6,(ROW(DC$106:DC$154)-ROW(DC$106)+1)/(DC$106:DC$154&lt;&gt;""),ROWS(DI$1:DI37))),"")</f>
        <v/>
      </c>
      <c r="DJ142" s="165" t="str">
        <f>IFERROR(INDEX(DD$106:DD$154,_xlfn.AGGREGATE(15,6,(ROW(DD$106:DD$154)-ROW(DD$106)+1)/(DD$106:DD$154&lt;&gt;""),ROWS(DJ$1:DJ37))),"")</f>
        <v/>
      </c>
      <c r="DK142" s="166" t="str">
        <f t="shared" si="50"/>
        <v/>
      </c>
      <c r="DL142" s="164" t="str">
        <f>IFERROR(INDEX(DE$106:DE$154,_xlfn.AGGREGATE(15,6,(ROW(DE$106:DE$154)-ROW(DE$106)+1)/(DE$106:DE$154&lt;&gt;""),ROWS(DL$1:DL37))),"")</f>
        <v/>
      </c>
      <c r="DM142" s="165" t="str">
        <f>IFERROR(INDEX(DF$106:DF$154,_xlfn.AGGREGATE(15,6,(ROW(DF$106:DF$154)-ROW(DF$106)+1)/(DF$106:DF$154&lt;&gt;""),ROWS(DM$1:DM37))),"")</f>
        <v/>
      </c>
      <c r="DN142" s="166" t="str">
        <f t="shared" si="51"/>
        <v/>
      </c>
      <c r="DO142" s="164" t="str">
        <f>IFERROR(INDEX(DG$106:DG$154,_xlfn.AGGREGATE(15,6,(ROW(DG$106:DG$154)-ROW(DG$106)+1)/(DG$106:DG$154&lt;&gt;""),ROWS(DO$1:DO37))),"")</f>
        <v/>
      </c>
      <c r="DP142" s="165" t="str">
        <f>IFERROR(INDEX(DH$106:DH$154,_xlfn.AGGREGATE(15,6,(ROW(DH$106:DH$154)-ROW(DH$106)+1)/(DH$106:DH$154&lt;&gt;""),ROWS(DP$1:DP37))),"")</f>
        <v/>
      </c>
      <c r="DQ142" s="166" t="str">
        <f t="shared" si="52"/>
        <v/>
      </c>
      <c r="DV142" s="145">
        <v>2051</v>
      </c>
      <c r="DW142" s="235" t="e">
        <f t="shared" ca="1" si="37"/>
        <v>#REF!</v>
      </c>
      <c r="EA142" s="55"/>
      <c r="EB142" s="55"/>
      <c r="EC142" s="55"/>
      <c r="ED142" s="55"/>
      <c r="EE142" s="55"/>
    </row>
    <row r="143" spans="2:135" ht="13.8" x14ac:dyDescent="0.45">
      <c r="B143" s="128">
        <v>2049</v>
      </c>
      <c r="C143" s="1023"/>
      <c r="D143" s="1026"/>
      <c r="E143" s="1027"/>
      <c r="F143" s="940"/>
      <c r="G143" s="207"/>
      <c r="H143" s="204"/>
      <c r="I143" s="1112"/>
      <c r="J143" s="207"/>
      <c r="K143" s="204"/>
      <c r="L143" s="206"/>
      <c r="M143" s="204"/>
      <c r="N143" s="29" t="s">
        <v>119</v>
      </c>
      <c r="O143" s="120"/>
      <c r="P143" s="120"/>
      <c r="Q143" s="120"/>
      <c r="R143" s="29">
        <v>35</v>
      </c>
      <c r="S143" s="154" t="str">
        <f t="shared" si="71"/>
        <v/>
      </c>
      <c r="T143" s="154" t="str">
        <f t="shared" si="72"/>
        <v/>
      </c>
      <c r="U143" s="154" t="str">
        <f t="shared" si="73"/>
        <v/>
      </c>
      <c r="W143" s="154" t="e">
        <f t="shared" si="41"/>
        <v>#N/A</v>
      </c>
      <c r="X143" s="154" t="e">
        <f t="shared" si="74"/>
        <v>#N/A</v>
      </c>
      <c r="Y143" s="154" t="e">
        <f t="shared" si="43"/>
        <v>#N/A</v>
      </c>
      <c r="AA143" s="1133">
        <v>712.41837899543373</v>
      </c>
      <c r="AB143" s="1133">
        <v>735.92360942219148</v>
      </c>
      <c r="AC143" s="1133">
        <v>759.42883984894922</v>
      </c>
      <c r="AD143" s="89"/>
      <c r="AE143" s="89"/>
      <c r="AF143" s="89"/>
      <c r="AG143" s="89"/>
      <c r="AH143" s="89"/>
      <c r="AI143" s="89"/>
      <c r="AJ143" s="89"/>
      <c r="AK143" s="89"/>
      <c r="AL143" s="89"/>
      <c r="AM143" s="89"/>
      <c r="AN143" s="89"/>
      <c r="BR143" s="180">
        <v>2047</v>
      </c>
      <c r="BS143" s="22">
        <v>33</v>
      </c>
      <c r="BT143" s="181" t="e">
        <f t="shared" si="54"/>
        <v>#DIV/0!</v>
      </c>
      <c r="BU143" s="182" t="e">
        <f t="shared" si="55"/>
        <v>#DIV/0!</v>
      </c>
      <c r="BV143" s="205" t="e">
        <f t="shared" si="56"/>
        <v>#DIV/0!</v>
      </c>
      <c r="BY143" s="180">
        <v>2047</v>
      </c>
      <c r="BZ143" s="22">
        <v>33</v>
      </c>
      <c r="CA143" s="198" t="e">
        <f t="shared" ca="1" si="57"/>
        <v>#REF!</v>
      </c>
      <c r="CB143" s="198" t="e">
        <f t="shared" ca="1" si="58"/>
        <v>#REF!</v>
      </c>
      <c r="CC143" s="198" t="e">
        <f t="shared" ca="1" si="69"/>
        <v>#REF!</v>
      </c>
      <c r="CD143" s="205" t="e">
        <f t="shared" ca="1" si="59"/>
        <v>#REF!</v>
      </c>
      <c r="CG143" s="180">
        <v>2047</v>
      </c>
      <c r="CH143" s="22">
        <v>33</v>
      </c>
      <c r="CI143" s="198" t="e">
        <f t="shared" ca="1" si="60"/>
        <v>#REF!</v>
      </c>
      <c r="CJ143" s="198" t="e">
        <f t="shared" ca="1" si="61"/>
        <v>#REF!</v>
      </c>
      <c r="CK143" s="198" t="e">
        <f t="shared" ca="1" si="62"/>
        <v>#REF!</v>
      </c>
      <c r="CL143" s="198" t="e">
        <f t="shared" ca="1" si="63"/>
        <v>#REF!</v>
      </c>
      <c r="CM143" s="205" t="e">
        <f t="shared" ca="1" si="64"/>
        <v>#REF!</v>
      </c>
      <c r="CP143" s="180">
        <v>2047</v>
      </c>
      <c r="CQ143" s="22">
        <v>33</v>
      </c>
      <c r="CR143" s="198" t="e">
        <f t="shared" ca="1" si="65"/>
        <v>#REF!</v>
      </c>
      <c r="CS143" s="198" t="e">
        <f t="shared" ca="1" si="66"/>
        <v>#REF!</v>
      </c>
      <c r="CT143" s="205" t="e">
        <f t="shared" ca="1" si="67"/>
        <v>#REF!</v>
      </c>
      <c r="CZ143" s="164" t="b">
        <f t="shared" si="44"/>
        <v>0</v>
      </c>
      <c r="DA143" s="165" t="b">
        <f t="shared" si="44"/>
        <v>0</v>
      </c>
      <c r="DB143" s="166" t="b">
        <f t="shared" si="44"/>
        <v>0</v>
      </c>
      <c r="DC143" s="164" t="str">
        <f t="shared" si="53"/>
        <v/>
      </c>
      <c r="DD143" s="166" t="str">
        <f t="shared" si="45"/>
        <v/>
      </c>
      <c r="DE143" s="164" t="str">
        <f t="shared" si="46"/>
        <v/>
      </c>
      <c r="DF143" s="166" t="str">
        <f t="shared" si="47"/>
        <v/>
      </c>
      <c r="DG143" s="164" t="str">
        <f t="shared" si="48"/>
        <v/>
      </c>
      <c r="DH143" s="166" t="str">
        <f t="shared" si="49"/>
        <v/>
      </c>
      <c r="DI143" s="164" t="str">
        <f>IFERROR(INDEX(DC$106:DC$154,_xlfn.AGGREGATE(15,6,(ROW(DC$106:DC$154)-ROW(DC$106)+1)/(DC$106:DC$154&lt;&gt;""),ROWS(DI$1:DI38))),"")</f>
        <v/>
      </c>
      <c r="DJ143" s="165" t="str">
        <f>IFERROR(INDEX(DD$106:DD$154,_xlfn.AGGREGATE(15,6,(ROW(DD$106:DD$154)-ROW(DD$106)+1)/(DD$106:DD$154&lt;&gt;""),ROWS(DJ$1:DJ38))),"")</f>
        <v/>
      </c>
      <c r="DK143" s="166" t="str">
        <f t="shared" si="50"/>
        <v/>
      </c>
      <c r="DL143" s="164" t="str">
        <f>IFERROR(INDEX(DE$106:DE$154,_xlfn.AGGREGATE(15,6,(ROW(DE$106:DE$154)-ROW(DE$106)+1)/(DE$106:DE$154&lt;&gt;""),ROWS(DL$1:DL38))),"")</f>
        <v/>
      </c>
      <c r="DM143" s="165" t="str">
        <f>IFERROR(INDEX(DF$106:DF$154,_xlfn.AGGREGATE(15,6,(ROW(DF$106:DF$154)-ROW(DF$106)+1)/(DF$106:DF$154&lt;&gt;""),ROWS(DM$1:DM38))),"")</f>
        <v/>
      </c>
      <c r="DN143" s="166" t="str">
        <f t="shared" si="51"/>
        <v/>
      </c>
      <c r="DO143" s="164" t="str">
        <f>IFERROR(INDEX(DG$106:DG$154,_xlfn.AGGREGATE(15,6,(ROW(DG$106:DG$154)-ROW(DG$106)+1)/(DG$106:DG$154&lt;&gt;""),ROWS(DO$1:DO38))),"")</f>
        <v/>
      </c>
      <c r="DP143" s="165" t="str">
        <f>IFERROR(INDEX(DH$106:DH$154,_xlfn.AGGREGATE(15,6,(ROW(DH$106:DH$154)-ROW(DH$106)+1)/(DH$106:DH$154&lt;&gt;""),ROWS(DP$1:DP38))),"")</f>
        <v/>
      </c>
      <c r="DQ143" s="166" t="str">
        <f t="shared" si="52"/>
        <v/>
      </c>
      <c r="DV143" s="145">
        <v>2052</v>
      </c>
      <c r="DW143" s="235" t="e">
        <f t="shared" ca="1" si="37"/>
        <v>#REF!</v>
      </c>
      <c r="EA143" s="55"/>
      <c r="EB143" s="55"/>
      <c r="EC143" s="55"/>
      <c r="ED143" s="55"/>
      <c r="EE143" s="55"/>
    </row>
    <row r="144" spans="2:135" ht="13.8" x14ac:dyDescent="0.45">
      <c r="B144" s="128">
        <v>2050</v>
      </c>
      <c r="C144" s="1023"/>
      <c r="D144" s="1026"/>
      <c r="E144" s="1027"/>
      <c r="F144" s="940"/>
      <c r="G144" s="207"/>
      <c r="H144" s="204"/>
      <c r="I144" s="1112"/>
      <c r="J144" s="207"/>
      <c r="K144" s="204"/>
      <c r="L144" s="206"/>
      <c r="M144" s="204"/>
      <c r="N144" s="29" t="s">
        <v>119</v>
      </c>
      <c r="O144" s="120"/>
      <c r="P144" s="120"/>
      <c r="Q144" s="120"/>
      <c r="R144" s="29">
        <v>36</v>
      </c>
      <c r="S144" s="154" t="str">
        <f t="shared" si="71"/>
        <v/>
      </c>
      <c r="T144" s="154" t="str">
        <f t="shared" si="72"/>
        <v/>
      </c>
      <c r="U144" s="154" t="str">
        <f t="shared" si="73"/>
        <v/>
      </c>
      <c r="W144" s="154" t="e">
        <f t="shared" si="41"/>
        <v>#N/A</v>
      </c>
      <c r="X144" s="154" t="e">
        <f t="shared" si="74"/>
        <v>#N/A</v>
      </c>
      <c r="Y144" s="154" t="e">
        <f t="shared" si="43"/>
        <v>#N/A</v>
      </c>
      <c r="AA144" s="1133">
        <v>713.39999999999986</v>
      </c>
      <c r="AB144" s="1133">
        <v>736.71609395174778</v>
      </c>
      <c r="AC144" s="1133">
        <v>760.0321879034957</v>
      </c>
      <c r="AD144" s="89"/>
      <c r="AE144" s="89"/>
      <c r="AF144" s="89"/>
      <c r="AG144" s="89"/>
      <c r="AH144" s="89"/>
      <c r="AI144" s="89"/>
      <c r="AJ144" s="89"/>
      <c r="AK144" s="89"/>
      <c r="AL144" s="89"/>
      <c r="AM144" s="89"/>
      <c r="AN144" s="89"/>
      <c r="BR144" s="180">
        <v>2048</v>
      </c>
      <c r="BS144" s="22">
        <v>34</v>
      </c>
      <c r="BT144" s="181" t="e">
        <f t="shared" si="54"/>
        <v>#DIV/0!</v>
      </c>
      <c r="BU144" s="182" t="e">
        <f t="shared" si="55"/>
        <v>#DIV/0!</v>
      </c>
      <c r="BV144" s="205" t="e">
        <f t="shared" si="56"/>
        <v>#DIV/0!</v>
      </c>
      <c r="BY144" s="180">
        <v>2048</v>
      </c>
      <c r="BZ144" s="22">
        <v>34</v>
      </c>
      <c r="CA144" s="198" t="e">
        <f t="shared" ca="1" si="57"/>
        <v>#REF!</v>
      </c>
      <c r="CB144" s="198" t="e">
        <f t="shared" ca="1" si="58"/>
        <v>#REF!</v>
      </c>
      <c r="CC144" s="198" t="e">
        <f t="shared" ca="1" si="69"/>
        <v>#REF!</v>
      </c>
      <c r="CD144" s="205" t="e">
        <f t="shared" ca="1" si="59"/>
        <v>#REF!</v>
      </c>
      <c r="CG144" s="180">
        <v>2048</v>
      </c>
      <c r="CH144" s="22">
        <v>34</v>
      </c>
      <c r="CI144" s="198" t="e">
        <f t="shared" ca="1" si="60"/>
        <v>#REF!</v>
      </c>
      <c r="CJ144" s="198" t="e">
        <f t="shared" ca="1" si="61"/>
        <v>#REF!</v>
      </c>
      <c r="CK144" s="198" t="e">
        <f t="shared" ca="1" si="62"/>
        <v>#REF!</v>
      </c>
      <c r="CL144" s="198" t="e">
        <f t="shared" ca="1" si="63"/>
        <v>#REF!</v>
      </c>
      <c r="CM144" s="205" t="e">
        <f t="shared" ca="1" si="64"/>
        <v>#REF!</v>
      </c>
      <c r="CP144" s="180">
        <v>2048</v>
      </c>
      <c r="CQ144" s="22">
        <v>34</v>
      </c>
      <c r="CR144" s="198" t="e">
        <f t="shared" ca="1" si="65"/>
        <v>#REF!</v>
      </c>
      <c r="CS144" s="198" t="e">
        <f t="shared" ca="1" si="66"/>
        <v>#REF!</v>
      </c>
      <c r="CT144" s="205" t="e">
        <f t="shared" ca="1" si="67"/>
        <v>#REF!</v>
      </c>
      <c r="CZ144" s="164" t="b">
        <f t="shared" si="44"/>
        <v>0</v>
      </c>
      <c r="DA144" s="165" t="b">
        <f t="shared" si="44"/>
        <v>0</v>
      </c>
      <c r="DB144" s="166" t="b">
        <f t="shared" si="44"/>
        <v>0</v>
      </c>
      <c r="DC144" s="164" t="str">
        <f t="shared" si="53"/>
        <v/>
      </c>
      <c r="DD144" s="166" t="str">
        <f t="shared" si="45"/>
        <v/>
      </c>
      <c r="DE144" s="164" t="str">
        <f t="shared" si="46"/>
        <v/>
      </c>
      <c r="DF144" s="166" t="str">
        <f t="shared" si="47"/>
        <v/>
      </c>
      <c r="DG144" s="164" t="str">
        <f t="shared" si="48"/>
        <v/>
      </c>
      <c r="DH144" s="166" t="str">
        <f t="shared" si="49"/>
        <v/>
      </c>
      <c r="DI144" s="164" t="str">
        <f>IFERROR(INDEX(DC$106:DC$154,_xlfn.AGGREGATE(15,6,(ROW(DC$106:DC$154)-ROW(DC$106)+1)/(DC$106:DC$154&lt;&gt;""),ROWS(DI$1:DI39))),"")</f>
        <v/>
      </c>
      <c r="DJ144" s="165" t="str">
        <f>IFERROR(INDEX(DD$106:DD$154,_xlfn.AGGREGATE(15,6,(ROW(DD$106:DD$154)-ROW(DD$106)+1)/(DD$106:DD$154&lt;&gt;""),ROWS(DJ$1:DJ39))),"")</f>
        <v/>
      </c>
      <c r="DK144" s="166" t="str">
        <f t="shared" si="50"/>
        <v/>
      </c>
      <c r="DL144" s="164" t="str">
        <f>IFERROR(INDEX(DE$106:DE$154,_xlfn.AGGREGATE(15,6,(ROW(DE$106:DE$154)-ROW(DE$106)+1)/(DE$106:DE$154&lt;&gt;""),ROWS(DL$1:DL39))),"")</f>
        <v/>
      </c>
      <c r="DM144" s="165" t="str">
        <f>IFERROR(INDEX(DF$106:DF$154,_xlfn.AGGREGATE(15,6,(ROW(DF$106:DF$154)-ROW(DF$106)+1)/(DF$106:DF$154&lt;&gt;""),ROWS(DM$1:DM39))),"")</f>
        <v/>
      </c>
      <c r="DN144" s="166" t="str">
        <f t="shared" si="51"/>
        <v/>
      </c>
      <c r="DO144" s="164" t="str">
        <f>IFERROR(INDEX(DG$106:DG$154,_xlfn.AGGREGATE(15,6,(ROW(DG$106:DG$154)-ROW(DG$106)+1)/(DG$106:DG$154&lt;&gt;""),ROWS(DO$1:DO39))),"")</f>
        <v/>
      </c>
      <c r="DP144" s="165" t="str">
        <f>IFERROR(INDEX(DH$106:DH$154,_xlfn.AGGREGATE(15,6,(ROW(DH$106:DH$154)-ROW(DH$106)+1)/(DH$106:DH$154&lt;&gt;""),ROWS(DP$1:DP39))),"")</f>
        <v/>
      </c>
      <c r="DQ144" s="166" t="str">
        <f t="shared" si="52"/>
        <v/>
      </c>
      <c r="DV144" s="145">
        <v>2053</v>
      </c>
      <c r="DW144" s="235" t="e">
        <f t="shared" ca="1" si="37"/>
        <v>#REF!</v>
      </c>
      <c r="EA144" s="55"/>
      <c r="EB144" s="55"/>
      <c r="EC144" s="55"/>
      <c r="ED144" s="55"/>
      <c r="EE144" s="55"/>
    </row>
    <row r="145" spans="1:135" ht="13.8" x14ac:dyDescent="0.45">
      <c r="B145" s="128">
        <v>2051</v>
      </c>
      <c r="C145" s="1023"/>
      <c r="D145" s="1026"/>
      <c r="E145" s="1027"/>
      <c r="F145" s="940"/>
      <c r="G145" s="207"/>
      <c r="H145" s="204"/>
      <c r="I145" s="1112"/>
      <c r="J145" s="207"/>
      <c r="K145" s="204"/>
      <c r="L145" s="206"/>
      <c r="M145" s="204"/>
      <c r="N145" s="29" t="s">
        <v>119</v>
      </c>
      <c r="O145" s="120"/>
      <c r="P145" s="120"/>
      <c r="Q145" s="120"/>
      <c r="R145" s="29">
        <v>37</v>
      </c>
      <c r="S145" s="154" t="str">
        <f t="shared" si="71"/>
        <v/>
      </c>
      <c r="T145" s="154" t="str">
        <f t="shared" si="72"/>
        <v/>
      </c>
      <c r="U145" s="154" t="str">
        <f t="shared" si="73"/>
        <v/>
      </c>
      <c r="W145" s="154" t="e">
        <f t="shared" si="41"/>
        <v>#N/A</v>
      </c>
      <c r="X145" s="154" t="e">
        <f t="shared" si="74"/>
        <v>#N/A</v>
      </c>
      <c r="Y145" s="154" t="e">
        <f t="shared" si="43"/>
        <v>#N/A</v>
      </c>
      <c r="AA145" s="1133">
        <v>722.76563926940639</v>
      </c>
      <c r="AB145" s="1133">
        <v>741.59665984596722</v>
      </c>
      <c r="AC145" s="1133">
        <v>760.42768042252806</v>
      </c>
      <c r="AD145" s="89"/>
      <c r="AE145" s="89"/>
      <c r="AF145" s="89"/>
      <c r="AG145" s="89"/>
      <c r="AH145" s="89"/>
      <c r="AI145" s="89"/>
      <c r="AJ145" s="89"/>
      <c r="AK145" s="89"/>
      <c r="AL145" s="89"/>
      <c r="AM145" s="89"/>
      <c r="AN145" s="89"/>
      <c r="BR145" s="180">
        <v>2049</v>
      </c>
      <c r="BS145" s="22">
        <v>35</v>
      </c>
      <c r="BT145" s="181" t="e">
        <f t="shared" si="54"/>
        <v>#DIV/0!</v>
      </c>
      <c r="BU145" s="182" t="e">
        <f t="shared" si="55"/>
        <v>#DIV/0!</v>
      </c>
      <c r="BV145" s="205" t="e">
        <f t="shared" si="56"/>
        <v>#DIV/0!</v>
      </c>
      <c r="BY145" s="180">
        <v>2049</v>
      </c>
      <c r="BZ145" s="22">
        <v>35</v>
      </c>
      <c r="CA145" s="198" t="e">
        <f t="shared" ca="1" si="57"/>
        <v>#REF!</v>
      </c>
      <c r="CB145" s="198" t="e">
        <f t="shared" ca="1" si="58"/>
        <v>#REF!</v>
      </c>
      <c r="CC145" s="198" t="e">
        <f t="shared" ca="1" si="69"/>
        <v>#REF!</v>
      </c>
      <c r="CD145" s="205" t="e">
        <f t="shared" ca="1" si="59"/>
        <v>#REF!</v>
      </c>
      <c r="CG145" s="180">
        <v>2049</v>
      </c>
      <c r="CH145" s="22">
        <v>35</v>
      </c>
      <c r="CI145" s="198" t="e">
        <f t="shared" ca="1" si="60"/>
        <v>#REF!</v>
      </c>
      <c r="CJ145" s="198" t="e">
        <f t="shared" ca="1" si="61"/>
        <v>#REF!</v>
      </c>
      <c r="CK145" s="198" t="e">
        <f t="shared" ca="1" si="62"/>
        <v>#REF!</v>
      </c>
      <c r="CL145" s="198" t="e">
        <f t="shared" ca="1" si="63"/>
        <v>#REF!</v>
      </c>
      <c r="CM145" s="205" t="e">
        <f t="shared" ca="1" si="64"/>
        <v>#REF!</v>
      </c>
      <c r="CP145" s="180">
        <v>2049</v>
      </c>
      <c r="CQ145" s="22">
        <v>35</v>
      </c>
      <c r="CR145" s="198" t="e">
        <f t="shared" ca="1" si="65"/>
        <v>#REF!</v>
      </c>
      <c r="CS145" s="198" t="e">
        <f t="shared" ca="1" si="66"/>
        <v>#REF!</v>
      </c>
      <c r="CT145" s="205" t="e">
        <f t="shared" ca="1" si="67"/>
        <v>#REF!</v>
      </c>
      <c r="CZ145" s="164" t="b">
        <f t="shared" si="44"/>
        <v>0</v>
      </c>
      <c r="DA145" s="165" t="b">
        <f t="shared" si="44"/>
        <v>0</v>
      </c>
      <c r="DB145" s="166" t="b">
        <f t="shared" si="44"/>
        <v>0</v>
      </c>
      <c r="DC145" s="164" t="str">
        <f t="shared" si="53"/>
        <v/>
      </c>
      <c r="DD145" s="166" t="str">
        <f t="shared" si="45"/>
        <v/>
      </c>
      <c r="DE145" s="164" t="str">
        <f t="shared" si="46"/>
        <v/>
      </c>
      <c r="DF145" s="166" t="str">
        <f t="shared" si="47"/>
        <v/>
      </c>
      <c r="DG145" s="164" t="str">
        <f t="shared" si="48"/>
        <v/>
      </c>
      <c r="DH145" s="166" t="str">
        <f t="shared" si="49"/>
        <v/>
      </c>
      <c r="DI145" s="164" t="str">
        <f>IFERROR(INDEX(DC$106:DC$154,_xlfn.AGGREGATE(15,6,(ROW(DC$106:DC$154)-ROW(DC$106)+1)/(DC$106:DC$154&lt;&gt;""),ROWS(DI$1:DI40))),"")</f>
        <v/>
      </c>
      <c r="DJ145" s="165" t="str">
        <f>IFERROR(INDEX(DD$106:DD$154,_xlfn.AGGREGATE(15,6,(ROW(DD$106:DD$154)-ROW(DD$106)+1)/(DD$106:DD$154&lt;&gt;""),ROWS(DJ$1:DJ40))),"")</f>
        <v/>
      </c>
      <c r="DK145" s="166" t="str">
        <f t="shared" si="50"/>
        <v/>
      </c>
      <c r="DL145" s="164" t="str">
        <f>IFERROR(INDEX(DE$106:DE$154,_xlfn.AGGREGATE(15,6,(ROW(DE$106:DE$154)-ROW(DE$106)+1)/(DE$106:DE$154&lt;&gt;""),ROWS(DL$1:DL40))),"")</f>
        <v/>
      </c>
      <c r="DM145" s="165" t="str">
        <f>IFERROR(INDEX(DF$106:DF$154,_xlfn.AGGREGATE(15,6,(ROW(DF$106:DF$154)-ROW(DF$106)+1)/(DF$106:DF$154&lt;&gt;""),ROWS(DM$1:DM40))),"")</f>
        <v/>
      </c>
      <c r="DN145" s="166" t="str">
        <f t="shared" si="51"/>
        <v/>
      </c>
      <c r="DO145" s="164" t="str">
        <f>IFERROR(INDEX(DG$106:DG$154,_xlfn.AGGREGATE(15,6,(ROW(DG$106:DG$154)-ROW(DG$106)+1)/(DG$106:DG$154&lt;&gt;""),ROWS(DO$1:DO40))),"")</f>
        <v/>
      </c>
      <c r="DP145" s="165" t="str">
        <f>IFERROR(INDEX(DH$106:DH$154,_xlfn.AGGREGATE(15,6,(ROW(DH$106:DH$154)-ROW(DH$106)+1)/(DH$106:DH$154&lt;&gt;""),ROWS(DP$1:DP40))),"")</f>
        <v/>
      </c>
      <c r="DQ145" s="166" t="str">
        <f t="shared" si="52"/>
        <v/>
      </c>
      <c r="DV145" s="145">
        <v>2054</v>
      </c>
      <c r="DW145" s="235" t="e">
        <f t="shared" ca="1" si="37"/>
        <v>#REF!</v>
      </c>
      <c r="EA145" s="55"/>
      <c r="EB145" s="55"/>
      <c r="EC145" s="55"/>
      <c r="ED145" s="55"/>
      <c r="EE145" s="55"/>
    </row>
    <row r="146" spans="1:135" ht="14.1" thickBot="1" x14ac:dyDescent="0.5">
      <c r="B146" s="128">
        <v>2052</v>
      </c>
      <c r="C146" s="1023"/>
      <c r="D146" s="1026"/>
      <c r="E146" s="1027"/>
      <c r="F146" s="940"/>
      <c r="G146" s="207"/>
      <c r="H146" s="204"/>
      <c r="I146" s="1112"/>
      <c r="J146" s="207"/>
      <c r="K146" s="204"/>
      <c r="L146" s="206"/>
      <c r="M146" s="204"/>
      <c r="N146" s="29" t="s">
        <v>119</v>
      </c>
      <c r="O146" s="120"/>
      <c r="P146" s="120"/>
      <c r="Q146" s="120"/>
      <c r="R146" s="29">
        <v>38</v>
      </c>
      <c r="S146" s="154" t="str">
        <f t="shared" si="71"/>
        <v/>
      </c>
      <c r="T146" s="154" t="str">
        <f t="shared" si="72"/>
        <v/>
      </c>
      <c r="U146" s="154" t="str">
        <f t="shared" si="73"/>
        <v/>
      </c>
      <c r="W146" s="154" t="e">
        <f t="shared" si="41"/>
        <v>#N/A</v>
      </c>
      <c r="X146" s="154" t="e">
        <f t="shared" si="74"/>
        <v>#N/A</v>
      </c>
      <c r="Y146" s="154" t="e">
        <f t="shared" si="43"/>
        <v>#N/A</v>
      </c>
      <c r="AA146" s="1133">
        <v>727.93926940639267</v>
      </c>
      <c r="AB146" s="1133">
        <v>744.27326586741106</v>
      </c>
      <c r="AC146" s="1133">
        <v>760.60726232842944</v>
      </c>
      <c r="AD146" s="89"/>
      <c r="AE146" s="89"/>
      <c r="AF146" s="89"/>
      <c r="AG146" s="89"/>
      <c r="AH146" s="89"/>
      <c r="AI146" s="89"/>
      <c r="AJ146" s="89"/>
      <c r="AK146" s="89"/>
      <c r="AL146" s="89"/>
      <c r="AM146" s="89"/>
      <c r="AN146" s="89"/>
      <c r="BR146" s="180">
        <v>2050</v>
      </c>
      <c r="BS146" s="22">
        <v>36</v>
      </c>
      <c r="BT146" s="181" t="e">
        <f t="shared" si="54"/>
        <v>#DIV/0!</v>
      </c>
      <c r="BU146" s="182" t="e">
        <f t="shared" si="55"/>
        <v>#DIV/0!</v>
      </c>
      <c r="BV146" s="212" t="e">
        <f t="shared" si="56"/>
        <v>#DIV/0!</v>
      </c>
      <c r="BY146" s="180">
        <v>2050</v>
      </c>
      <c r="BZ146" s="22">
        <v>36</v>
      </c>
      <c r="CA146" s="198" t="e">
        <f t="shared" ca="1" si="57"/>
        <v>#REF!</v>
      </c>
      <c r="CB146" s="198" t="e">
        <f t="shared" ca="1" si="58"/>
        <v>#REF!</v>
      </c>
      <c r="CC146" s="198" t="e">
        <f t="shared" ca="1" si="69"/>
        <v>#REF!</v>
      </c>
      <c r="CD146" s="212" t="e">
        <f t="shared" ca="1" si="59"/>
        <v>#REF!</v>
      </c>
      <c r="CG146" s="180">
        <v>2050</v>
      </c>
      <c r="CH146" s="22">
        <v>36</v>
      </c>
      <c r="CI146" s="198" t="e">
        <f t="shared" ca="1" si="60"/>
        <v>#REF!</v>
      </c>
      <c r="CJ146" s="198" t="e">
        <f t="shared" ca="1" si="61"/>
        <v>#REF!</v>
      </c>
      <c r="CK146" s="198" t="e">
        <f t="shared" ca="1" si="62"/>
        <v>#REF!</v>
      </c>
      <c r="CL146" s="198" t="e">
        <f t="shared" ca="1" si="63"/>
        <v>#REF!</v>
      </c>
      <c r="CM146" s="212" t="e">
        <f t="shared" ca="1" si="64"/>
        <v>#REF!</v>
      </c>
      <c r="CP146" s="180">
        <v>2050</v>
      </c>
      <c r="CQ146" s="22">
        <v>36</v>
      </c>
      <c r="CR146" s="198" t="e">
        <f t="shared" ca="1" si="65"/>
        <v>#REF!</v>
      </c>
      <c r="CS146" s="198" t="e">
        <f t="shared" ca="1" si="66"/>
        <v>#REF!</v>
      </c>
      <c r="CT146" s="212" t="e">
        <f t="shared" ca="1" si="67"/>
        <v>#REF!</v>
      </c>
      <c r="CZ146" s="164" t="b">
        <f t="shared" ref="CZ146:DB154" si="75">ISNUMBER(W146)</f>
        <v>0</v>
      </c>
      <c r="DA146" s="165" t="b">
        <f t="shared" si="75"/>
        <v>0</v>
      </c>
      <c r="DB146" s="166" t="b">
        <f t="shared" si="75"/>
        <v>0</v>
      </c>
      <c r="DC146" s="164" t="str">
        <f t="shared" si="53"/>
        <v/>
      </c>
      <c r="DD146" s="166" t="str">
        <f t="shared" si="45"/>
        <v/>
      </c>
      <c r="DE146" s="164" t="str">
        <f t="shared" si="46"/>
        <v/>
      </c>
      <c r="DF146" s="166" t="str">
        <f t="shared" si="47"/>
        <v/>
      </c>
      <c r="DG146" s="164" t="str">
        <f t="shared" si="48"/>
        <v/>
      </c>
      <c r="DH146" s="166" t="str">
        <f t="shared" si="49"/>
        <v/>
      </c>
      <c r="DI146" s="164" t="str">
        <f>IFERROR(INDEX(DC$106:DC$154,_xlfn.AGGREGATE(15,6,(ROW(DC$106:DC$154)-ROW(DC$106)+1)/(DC$106:DC$154&lt;&gt;""),ROWS(DI$1:DI41))),"")</f>
        <v/>
      </c>
      <c r="DJ146" s="165" t="str">
        <f>IFERROR(INDEX(DD$106:DD$154,_xlfn.AGGREGATE(15,6,(ROW(DD$106:DD$154)-ROW(DD$106)+1)/(DD$106:DD$154&lt;&gt;""),ROWS(DJ$1:DJ41))),"")</f>
        <v/>
      </c>
      <c r="DK146" s="166" t="str">
        <f t="shared" si="50"/>
        <v/>
      </c>
      <c r="DL146" s="164" t="str">
        <f>IFERROR(INDEX(DE$106:DE$154,_xlfn.AGGREGATE(15,6,(ROW(DE$106:DE$154)-ROW(DE$106)+1)/(DE$106:DE$154&lt;&gt;""),ROWS(DL$1:DL41))),"")</f>
        <v/>
      </c>
      <c r="DM146" s="165" t="str">
        <f>IFERROR(INDEX(DF$106:DF$154,_xlfn.AGGREGATE(15,6,(ROW(DF$106:DF$154)-ROW(DF$106)+1)/(DF$106:DF$154&lt;&gt;""),ROWS(DM$1:DM41))),"")</f>
        <v/>
      </c>
      <c r="DN146" s="166" t="str">
        <f t="shared" si="51"/>
        <v/>
      </c>
      <c r="DO146" s="164" t="str">
        <f>IFERROR(INDEX(DG$106:DG$154,_xlfn.AGGREGATE(15,6,(ROW(DG$106:DG$154)-ROW(DG$106)+1)/(DG$106:DG$154&lt;&gt;""),ROWS(DO$1:DO41))),"")</f>
        <v/>
      </c>
      <c r="DP146" s="165" t="str">
        <f>IFERROR(INDEX(DH$106:DH$154,_xlfn.AGGREGATE(15,6,(ROW(DH$106:DH$154)-ROW(DH$106)+1)/(DH$106:DH$154&lt;&gt;""),ROWS(DP$1:DP41))),"")</f>
        <v/>
      </c>
      <c r="DQ146" s="166" t="str">
        <f t="shared" si="52"/>
        <v/>
      </c>
      <c r="DV146" s="145">
        <v>2055</v>
      </c>
      <c r="DW146" s="235" t="e">
        <f t="shared" ca="1" si="37"/>
        <v>#REF!</v>
      </c>
      <c r="EA146" s="55"/>
      <c r="EB146" s="55"/>
      <c r="EC146" s="55"/>
      <c r="ED146" s="55"/>
      <c r="EE146" s="55"/>
    </row>
    <row r="147" spans="1:135" ht="13.8" x14ac:dyDescent="0.45">
      <c r="B147" s="128">
        <v>2053</v>
      </c>
      <c r="C147" s="1023"/>
      <c r="D147" s="1026"/>
      <c r="E147" s="1027"/>
      <c r="F147" s="940"/>
      <c r="G147" s="207"/>
      <c r="H147" s="204"/>
      <c r="I147" s="1112"/>
      <c r="J147" s="207"/>
      <c r="K147" s="204"/>
      <c r="L147" s="206"/>
      <c r="M147" s="204"/>
      <c r="N147" s="29" t="s">
        <v>119</v>
      </c>
      <c r="O147" s="120"/>
      <c r="P147" s="120"/>
      <c r="Q147" s="120"/>
      <c r="R147" s="29">
        <v>39</v>
      </c>
      <c r="S147" s="154" t="str">
        <f t="shared" si="71"/>
        <v/>
      </c>
      <c r="T147" s="154" t="str">
        <f t="shared" si="72"/>
        <v/>
      </c>
      <c r="U147" s="154" t="str">
        <f t="shared" si="73"/>
        <v/>
      </c>
      <c r="W147" s="154" t="e">
        <f t="shared" si="41"/>
        <v>#N/A</v>
      </c>
      <c r="X147" s="154" t="e">
        <f t="shared" si="74"/>
        <v>#N/A</v>
      </c>
      <c r="Y147" s="154" t="e">
        <f t="shared" si="43"/>
        <v>#N/A</v>
      </c>
      <c r="AA147" s="1133">
        <v>733.11289954337894</v>
      </c>
      <c r="AB147" s="1133">
        <v>746.8378890434808</v>
      </c>
      <c r="AC147" s="1133">
        <v>760.56287854358266</v>
      </c>
      <c r="AD147" s="89"/>
      <c r="AE147" s="89"/>
      <c r="AF147" s="89"/>
      <c r="AG147" s="89"/>
      <c r="AH147" s="89"/>
      <c r="AI147" s="89"/>
      <c r="AJ147" s="89"/>
      <c r="AK147" s="89"/>
      <c r="AL147" s="89"/>
      <c r="AM147" s="89"/>
      <c r="AN147" s="89"/>
      <c r="BR147" s="180">
        <v>2051</v>
      </c>
      <c r="BS147" s="22">
        <v>37</v>
      </c>
      <c r="BT147" s="181" t="e">
        <f t="shared" si="54"/>
        <v>#DIV/0!</v>
      </c>
      <c r="BU147" s="182" t="e">
        <f t="shared" si="55"/>
        <v>#DIV/0!</v>
      </c>
      <c r="BV147" s="213" t="e">
        <f t="shared" si="56"/>
        <v>#DIV/0!</v>
      </c>
      <c r="BY147" s="180">
        <v>2051</v>
      </c>
      <c r="BZ147" s="22">
        <v>37</v>
      </c>
      <c r="CA147" s="198" t="e">
        <f t="shared" ca="1" si="57"/>
        <v>#REF!</v>
      </c>
      <c r="CB147" s="198" t="e">
        <f t="shared" ca="1" si="58"/>
        <v>#REF!</v>
      </c>
      <c r="CC147" s="198" t="e">
        <f t="shared" ca="1" si="69"/>
        <v>#REF!</v>
      </c>
      <c r="CD147" s="213" t="e">
        <f t="shared" ca="1" si="59"/>
        <v>#REF!</v>
      </c>
      <c r="CG147" s="180">
        <v>2051</v>
      </c>
      <c r="CH147" s="22">
        <v>37</v>
      </c>
      <c r="CI147" s="198" t="e">
        <f t="shared" ca="1" si="60"/>
        <v>#REF!</v>
      </c>
      <c r="CJ147" s="198" t="e">
        <f t="shared" ca="1" si="61"/>
        <v>#REF!</v>
      </c>
      <c r="CK147" s="198" t="e">
        <f t="shared" ca="1" si="62"/>
        <v>#REF!</v>
      </c>
      <c r="CL147" s="198" t="e">
        <f t="shared" ca="1" si="63"/>
        <v>#REF!</v>
      </c>
      <c r="CM147" s="213" t="e">
        <f t="shared" ca="1" si="64"/>
        <v>#REF!</v>
      </c>
      <c r="CP147" s="180">
        <v>2051</v>
      </c>
      <c r="CQ147" s="22">
        <v>37</v>
      </c>
      <c r="CR147" s="198" t="e">
        <f t="shared" ca="1" si="65"/>
        <v>#REF!</v>
      </c>
      <c r="CS147" s="198" t="e">
        <f t="shared" ca="1" si="66"/>
        <v>#REF!</v>
      </c>
      <c r="CT147" s="213" t="e">
        <f t="shared" ca="1" si="67"/>
        <v>#REF!</v>
      </c>
      <c r="CZ147" s="164" t="b">
        <f t="shared" si="75"/>
        <v>0</v>
      </c>
      <c r="DA147" s="165" t="b">
        <f t="shared" si="75"/>
        <v>0</v>
      </c>
      <c r="DB147" s="166" t="b">
        <f t="shared" si="75"/>
        <v>0</v>
      </c>
      <c r="DC147" s="164" t="str">
        <f t="shared" si="53"/>
        <v/>
      </c>
      <c r="DD147" s="166" t="str">
        <f t="shared" si="45"/>
        <v/>
      </c>
      <c r="DE147" s="164" t="str">
        <f t="shared" si="46"/>
        <v/>
      </c>
      <c r="DF147" s="166" t="str">
        <f t="shared" si="47"/>
        <v/>
      </c>
      <c r="DG147" s="164" t="str">
        <f t="shared" si="48"/>
        <v/>
      </c>
      <c r="DH147" s="166" t="str">
        <f t="shared" si="49"/>
        <v/>
      </c>
      <c r="DI147" s="164" t="str">
        <f>IFERROR(INDEX(DC$106:DC$154,_xlfn.AGGREGATE(15,6,(ROW(DC$106:DC$154)-ROW(DC$106)+1)/(DC$106:DC$154&lt;&gt;""),ROWS(DI$1:DI42))),"")</f>
        <v/>
      </c>
      <c r="DJ147" s="165" t="str">
        <f>IFERROR(INDEX(DD$106:DD$154,_xlfn.AGGREGATE(15,6,(ROW(DD$106:DD$154)-ROW(DD$106)+1)/(DD$106:DD$154&lt;&gt;""),ROWS(DJ$1:DJ42))),"")</f>
        <v/>
      </c>
      <c r="DK147" s="166" t="str">
        <f t="shared" si="50"/>
        <v/>
      </c>
      <c r="DL147" s="164" t="str">
        <f>IFERROR(INDEX(DE$106:DE$154,_xlfn.AGGREGATE(15,6,(ROW(DE$106:DE$154)-ROW(DE$106)+1)/(DE$106:DE$154&lt;&gt;""),ROWS(DL$1:DL42))),"")</f>
        <v/>
      </c>
      <c r="DM147" s="165" t="str">
        <f>IFERROR(INDEX(DF$106:DF$154,_xlfn.AGGREGATE(15,6,(ROW(DF$106:DF$154)-ROW(DF$106)+1)/(DF$106:DF$154&lt;&gt;""),ROWS(DM$1:DM42))),"")</f>
        <v/>
      </c>
      <c r="DN147" s="166" t="str">
        <f t="shared" si="51"/>
        <v/>
      </c>
      <c r="DO147" s="164" t="str">
        <f>IFERROR(INDEX(DG$106:DG$154,_xlfn.AGGREGATE(15,6,(ROW(DG$106:DG$154)-ROW(DG$106)+1)/(DG$106:DG$154&lt;&gt;""),ROWS(DO$1:DO42))),"")</f>
        <v/>
      </c>
      <c r="DP147" s="165" t="str">
        <f>IFERROR(INDEX(DH$106:DH$154,_xlfn.AGGREGATE(15,6,(ROW(DH$106:DH$154)-ROW(DH$106)+1)/(DH$106:DH$154&lt;&gt;""),ROWS(DP$1:DP42))),"")</f>
        <v/>
      </c>
      <c r="DQ147" s="166" t="str">
        <f t="shared" si="52"/>
        <v/>
      </c>
      <c r="DV147" s="145">
        <v>2056</v>
      </c>
      <c r="DW147" s="235" t="e">
        <f t="shared" ca="1" si="37"/>
        <v>#REF!</v>
      </c>
      <c r="EA147" s="55"/>
      <c r="EB147" s="55"/>
      <c r="EC147" s="55"/>
      <c r="ED147" s="55"/>
      <c r="EE147" s="55"/>
    </row>
    <row r="148" spans="1:135" ht="13.8" x14ac:dyDescent="0.45">
      <c r="B148" s="128">
        <v>2054</v>
      </c>
      <c r="C148" s="1023"/>
      <c r="D148" s="1026"/>
      <c r="E148" s="1027"/>
      <c r="F148" s="940"/>
      <c r="G148" s="207"/>
      <c r="H148" s="204"/>
      <c r="I148" s="1112"/>
      <c r="J148" s="207"/>
      <c r="K148" s="204"/>
      <c r="L148" s="206"/>
      <c r="M148" s="204"/>
      <c r="N148" s="29" t="s">
        <v>119</v>
      </c>
      <c r="O148" s="120"/>
      <c r="P148" s="120"/>
      <c r="Q148" s="120"/>
      <c r="R148" s="29">
        <v>40</v>
      </c>
      <c r="S148" s="154" t="str">
        <f t="shared" si="71"/>
        <v/>
      </c>
      <c r="T148" s="154" t="str">
        <f t="shared" si="72"/>
        <v/>
      </c>
      <c r="U148" s="154" t="str">
        <f t="shared" si="73"/>
        <v/>
      </c>
      <c r="W148" s="154" t="e">
        <f t="shared" si="41"/>
        <v>#N/A</v>
      </c>
      <c r="X148" s="154" t="e">
        <f t="shared" si="74"/>
        <v>#N/A</v>
      </c>
      <c r="Y148" s="154" t="e">
        <f t="shared" si="43"/>
        <v>#N/A</v>
      </c>
      <c r="AA148" s="1133">
        <v>738.28652968036522</v>
      </c>
      <c r="AB148" s="1133">
        <v>749.28650183536797</v>
      </c>
      <c r="AC148" s="1133">
        <v>760.28647399037072</v>
      </c>
      <c r="AD148" s="89"/>
      <c r="AE148" s="89"/>
      <c r="AF148" s="89"/>
      <c r="AG148" s="89"/>
      <c r="AH148" s="89"/>
      <c r="AI148" s="89"/>
      <c r="AJ148" s="89"/>
      <c r="AK148" s="89"/>
      <c r="AL148" s="89"/>
      <c r="AM148" s="89"/>
      <c r="AN148" s="89"/>
      <c r="BR148" s="180">
        <v>2052</v>
      </c>
      <c r="BS148" s="22">
        <v>38</v>
      </c>
      <c r="BT148" s="181" t="e">
        <f t="shared" si="54"/>
        <v>#DIV/0!</v>
      </c>
      <c r="BU148" s="182" t="e">
        <f t="shared" si="55"/>
        <v>#DIV/0!</v>
      </c>
      <c r="BV148" s="241" t="e">
        <f t="shared" si="56"/>
        <v>#DIV/0!</v>
      </c>
      <c r="BY148" s="180">
        <v>2052</v>
      </c>
      <c r="BZ148" s="22">
        <v>38</v>
      </c>
      <c r="CA148" s="198" t="e">
        <f t="shared" ca="1" si="57"/>
        <v>#REF!</v>
      </c>
      <c r="CB148" s="198" t="e">
        <f t="shared" ca="1" si="58"/>
        <v>#REF!</v>
      </c>
      <c r="CC148" s="198" t="e">
        <f t="shared" ca="1" si="69"/>
        <v>#REF!</v>
      </c>
      <c r="CD148" s="241" t="e">
        <f t="shared" ca="1" si="59"/>
        <v>#REF!</v>
      </c>
      <c r="CG148" s="180">
        <v>2052</v>
      </c>
      <c r="CH148" s="22">
        <v>38</v>
      </c>
      <c r="CI148" s="198" t="e">
        <f t="shared" ca="1" si="60"/>
        <v>#REF!</v>
      </c>
      <c r="CJ148" s="198" t="e">
        <f t="shared" ca="1" si="61"/>
        <v>#REF!</v>
      </c>
      <c r="CK148" s="198" t="e">
        <f t="shared" ca="1" si="62"/>
        <v>#REF!</v>
      </c>
      <c r="CL148" s="198" t="e">
        <f t="shared" ca="1" si="63"/>
        <v>#REF!</v>
      </c>
      <c r="CM148" s="241" t="e">
        <f t="shared" ca="1" si="64"/>
        <v>#REF!</v>
      </c>
      <c r="CP148" s="180">
        <v>2052</v>
      </c>
      <c r="CQ148" s="22">
        <v>38</v>
      </c>
      <c r="CR148" s="198" t="e">
        <f t="shared" ca="1" si="65"/>
        <v>#REF!</v>
      </c>
      <c r="CS148" s="198" t="e">
        <f t="shared" ca="1" si="66"/>
        <v>#REF!</v>
      </c>
      <c r="CT148" s="241" t="e">
        <f t="shared" ca="1" si="67"/>
        <v>#REF!</v>
      </c>
      <c r="CZ148" s="164" t="b">
        <f t="shared" si="75"/>
        <v>0</v>
      </c>
      <c r="DA148" s="165" t="b">
        <f t="shared" si="75"/>
        <v>0</v>
      </c>
      <c r="DB148" s="166" t="b">
        <f t="shared" si="75"/>
        <v>0</v>
      </c>
      <c r="DC148" s="164" t="str">
        <f t="shared" si="53"/>
        <v/>
      </c>
      <c r="DD148" s="166" t="str">
        <f t="shared" si="45"/>
        <v/>
      </c>
      <c r="DE148" s="164" t="str">
        <f t="shared" si="46"/>
        <v/>
      </c>
      <c r="DF148" s="166" t="str">
        <f t="shared" si="47"/>
        <v/>
      </c>
      <c r="DG148" s="164" t="str">
        <f t="shared" si="48"/>
        <v/>
      </c>
      <c r="DH148" s="166" t="str">
        <f t="shared" si="49"/>
        <v/>
      </c>
      <c r="DI148" s="164" t="str">
        <f>IFERROR(INDEX(DC$106:DC$154,_xlfn.AGGREGATE(15,6,(ROW(DC$106:DC$154)-ROW(DC$106)+1)/(DC$106:DC$154&lt;&gt;""),ROWS(DI$1:DI43))),"")</f>
        <v/>
      </c>
      <c r="DJ148" s="165" t="str">
        <f>IFERROR(INDEX(DD$106:DD$154,_xlfn.AGGREGATE(15,6,(ROW(DD$106:DD$154)-ROW(DD$106)+1)/(DD$106:DD$154&lt;&gt;""),ROWS(DJ$1:DJ43))),"")</f>
        <v/>
      </c>
      <c r="DK148" s="166" t="str">
        <f t="shared" si="50"/>
        <v/>
      </c>
      <c r="DL148" s="164" t="str">
        <f>IFERROR(INDEX(DE$106:DE$154,_xlfn.AGGREGATE(15,6,(ROW(DE$106:DE$154)-ROW(DE$106)+1)/(DE$106:DE$154&lt;&gt;""),ROWS(DL$1:DL43))),"")</f>
        <v/>
      </c>
      <c r="DM148" s="165" t="str">
        <f>IFERROR(INDEX(DF$106:DF$154,_xlfn.AGGREGATE(15,6,(ROW(DF$106:DF$154)-ROW(DF$106)+1)/(DF$106:DF$154&lt;&gt;""),ROWS(DM$1:DM43))),"")</f>
        <v/>
      </c>
      <c r="DN148" s="166" t="str">
        <f t="shared" si="51"/>
        <v/>
      </c>
      <c r="DO148" s="164" t="str">
        <f>IFERROR(INDEX(DG$106:DG$154,_xlfn.AGGREGATE(15,6,(ROW(DG$106:DG$154)-ROW(DG$106)+1)/(DG$106:DG$154&lt;&gt;""),ROWS(DO$1:DO43))),"")</f>
        <v/>
      </c>
      <c r="DP148" s="165" t="str">
        <f>IFERROR(INDEX(DH$106:DH$154,_xlfn.AGGREGATE(15,6,(ROW(DH$106:DH$154)-ROW(DH$106)+1)/(DH$106:DH$154&lt;&gt;""),ROWS(DP$1:DP43))),"")</f>
        <v/>
      </c>
      <c r="DQ148" s="166" t="str">
        <f t="shared" si="52"/>
        <v/>
      </c>
      <c r="DV148" s="145">
        <v>2057</v>
      </c>
      <c r="DW148" s="235" t="e">
        <f t="shared" ca="1" si="37"/>
        <v>#REF!</v>
      </c>
      <c r="EA148" s="55"/>
      <c r="EB148" s="55"/>
      <c r="EC148" s="55"/>
      <c r="ED148" s="55"/>
      <c r="EE148" s="55"/>
    </row>
    <row r="149" spans="1:135" ht="13.8" x14ac:dyDescent="0.45">
      <c r="B149" s="128">
        <v>2055</v>
      </c>
      <c r="C149" s="1023"/>
      <c r="D149" s="1026"/>
      <c r="E149" s="1027"/>
      <c r="F149" s="940"/>
      <c r="G149" s="207"/>
      <c r="H149" s="204"/>
      <c r="I149" s="1112"/>
      <c r="J149" s="207"/>
      <c r="K149" s="204"/>
      <c r="L149" s="206"/>
      <c r="M149" s="204"/>
      <c r="N149" s="29" t="s">
        <v>119</v>
      </c>
      <c r="O149" s="120"/>
      <c r="P149" s="120"/>
      <c r="Q149" s="120"/>
      <c r="R149" s="29">
        <v>41</v>
      </c>
      <c r="S149" s="154" t="str">
        <f t="shared" si="71"/>
        <v/>
      </c>
      <c r="T149" s="154" t="str">
        <f t="shared" si="72"/>
        <v/>
      </c>
      <c r="U149" s="154" t="str">
        <f t="shared" si="73"/>
        <v/>
      </c>
      <c r="W149" s="154" t="e">
        <f t="shared" si="41"/>
        <v>#N/A</v>
      </c>
      <c r="X149" s="154" t="e">
        <f t="shared" si="74"/>
        <v>#N/A</v>
      </c>
      <c r="Y149" s="154" t="e">
        <f t="shared" si="43"/>
        <v>#N/A</v>
      </c>
      <c r="AA149" s="1133">
        <v>743.4601598173515</v>
      </c>
      <c r="AB149" s="1133">
        <v>751.61507670426408</v>
      </c>
      <c r="AC149" s="1133">
        <v>759.76999359117667</v>
      </c>
      <c r="AD149" s="89"/>
      <c r="AE149" s="89"/>
      <c r="AF149" s="89"/>
      <c r="AG149" s="89"/>
      <c r="AH149" s="89"/>
      <c r="AI149" s="89"/>
      <c r="AJ149" s="89"/>
      <c r="AK149" s="89"/>
      <c r="AL149" s="89"/>
      <c r="AM149" s="89"/>
      <c r="AN149" s="89"/>
      <c r="BR149" s="180">
        <v>2053</v>
      </c>
      <c r="BS149" s="22">
        <v>39</v>
      </c>
      <c r="BT149" s="181" t="e">
        <f t="shared" si="54"/>
        <v>#DIV/0!</v>
      </c>
      <c r="BU149" s="182" t="e">
        <f t="shared" si="55"/>
        <v>#DIV/0!</v>
      </c>
      <c r="BV149" s="241" t="e">
        <f t="shared" si="56"/>
        <v>#DIV/0!</v>
      </c>
      <c r="BY149" s="180">
        <v>2053</v>
      </c>
      <c r="BZ149" s="22">
        <v>39</v>
      </c>
      <c r="CA149" s="198" t="e">
        <f t="shared" ca="1" si="57"/>
        <v>#REF!</v>
      </c>
      <c r="CB149" s="198" t="e">
        <f t="shared" ca="1" si="58"/>
        <v>#REF!</v>
      </c>
      <c r="CC149" s="198" t="e">
        <f t="shared" ca="1" si="69"/>
        <v>#REF!</v>
      </c>
      <c r="CD149" s="241" t="e">
        <f t="shared" ca="1" si="59"/>
        <v>#REF!</v>
      </c>
      <c r="CG149" s="180">
        <v>2053</v>
      </c>
      <c r="CH149" s="22">
        <v>39</v>
      </c>
      <c r="CI149" s="198" t="e">
        <f t="shared" ca="1" si="60"/>
        <v>#REF!</v>
      </c>
      <c r="CJ149" s="198" t="e">
        <f t="shared" ca="1" si="61"/>
        <v>#REF!</v>
      </c>
      <c r="CK149" s="198" t="e">
        <f t="shared" ca="1" si="62"/>
        <v>#REF!</v>
      </c>
      <c r="CL149" s="198" t="e">
        <f t="shared" ca="1" si="63"/>
        <v>#REF!</v>
      </c>
      <c r="CM149" s="241" t="e">
        <f t="shared" ca="1" si="64"/>
        <v>#REF!</v>
      </c>
      <c r="CP149" s="180">
        <v>2053</v>
      </c>
      <c r="CQ149" s="22">
        <v>39</v>
      </c>
      <c r="CR149" s="198" t="e">
        <f t="shared" ca="1" si="65"/>
        <v>#REF!</v>
      </c>
      <c r="CS149" s="198" t="e">
        <f t="shared" ca="1" si="66"/>
        <v>#REF!</v>
      </c>
      <c r="CT149" s="241" t="e">
        <f t="shared" ca="1" si="67"/>
        <v>#REF!</v>
      </c>
      <c r="CZ149" s="164" t="b">
        <f t="shared" si="75"/>
        <v>0</v>
      </c>
      <c r="DA149" s="165" t="b">
        <f t="shared" si="75"/>
        <v>0</v>
      </c>
      <c r="DB149" s="166" t="b">
        <f t="shared" si="75"/>
        <v>0</v>
      </c>
      <c r="DC149" s="164" t="str">
        <f t="shared" si="53"/>
        <v/>
      </c>
      <c r="DD149" s="166" t="str">
        <f t="shared" si="45"/>
        <v/>
      </c>
      <c r="DE149" s="164" t="str">
        <f t="shared" si="46"/>
        <v/>
      </c>
      <c r="DF149" s="166" t="str">
        <f t="shared" si="47"/>
        <v/>
      </c>
      <c r="DG149" s="164" t="str">
        <f t="shared" si="48"/>
        <v/>
      </c>
      <c r="DH149" s="166" t="str">
        <f t="shared" si="49"/>
        <v/>
      </c>
      <c r="DI149" s="164" t="str">
        <f>IFERROR(INDEX(DC$106:DC$154,_xlfn.AGGREGATE(15,6,(ROW(DC$106:DC$154)-ROW(DC$106)+1)/(DC$106:DC$154&lt;&gt;""),ROWS(DI$1:DI44))),"")</f>
        <v/>
      </c>
      <c r="DJ149" s="165" t="str">
        <f>IFERROR(INDEX(DD$106:DD$154,_xlfn.AGGREGATE(15,6,(ROW(DD$106:DD$154)-ROW(DD$106)+1)/(DD$106:DD$154&lt;&gt;""),ROWS(DJ$1:DJ44))),"")</f>
        <v/>
      </c>
      <c r="DK149" s="166" t="str">
        <f t="shared" si="50"/>
        <v/>
      </c>
      <c r="DL149" s="164" t="str">
        <f>IFERROR(INDEX(DE$106:DE$154,_xlfn.AGGREGATE(15,6,(ROW(DE$106:DE$154)-ROW(DE$106)+1)/(DE$106:DE$154&lt;&gt;""),ROWS(DL$1:DL44))),"")</f>
        <v/>
      </c>
      <c r="DM149" s="165" t="str">
        <f>IFERROR(INDEX(DF$106:DF$154,_xlfn.AGGREGATE(15,6,(ROW(DF$106:DF$154)-ROW(DF$106)+1)/(DF$106:DF$154&lt;&gt;""),ROWS(DM$1:DM44))),"")</f>
        <v/>
      </c>
      <c r="DN149" s="166" t="str">
        <f t="shared" si="51"/>
        <v/>
      </c>
      <c r="DO149" s="164" t="str">
        <f>IFERROR(INDEX(DG$106:DG$154,_xlfn.AGGREGATE(15,6,(ROW(DG$106:DG$154)-ROW(DG$106)+1)/(DG$106:DG$154&lt;&gt;""),ROWS(DO$1:DO44))),"")</f>
        <v/>
      </c>
      <c r="DP149" s="165" t="str">
        <f>IFERROR(INDEX(DH$106:DH$154,_xlfn.AGGREGATE(15,6,(ROW(DH$106:DH$154)-ROW(DH$106)+1)/(DH$106:DH$154&lt;&gt;""),ROWS(DP$1:DP44))),"")</f>
        <v/>
      </c>
      <c r="DQ149" s="166" t="str">
        <f t="shared" si="52"/>
        <v/>
      </c>
      <c r="DV149" s="145">
        <v>2058</v>
      </c>
      <c r="DW149" s="235" t="e">
        <f t="shared" ca="1" si="37"/>
        <v>#REF!</v>
      </c>
      <c r="EA149" s="55"/>
      <c r="EB149" s="55"/>
      <c r="EC149" s="55"/>
      <c r="ED149" s="55"/>
      <c r="EE149" s="55"/>
    </row>
    <row r="150" spans="1:135" ht="13.8" x14ac:dyDescent="0.45">
      <c r="B150" s="128">
        <v>2056</v>
      </c>
      <c r="C150" s="1023"/>
      <c r="D150" s="1026"/>
      <c r="E150" s="1027"/>
      <c r="F150" s="940"/>
      <c r="G150" s="207"/>
      <c r="H150" s="204"/>
      <c r="I150" s="1112"/>
      <c r="J150" s="207"/>
      <c r="K150" s="204"/>
      <c r="L150" s="206"/>
      <c r="M150" s="204"/>
      <c r="N150" s="29" t="s">
        <v>119</v>
      </c>
      <c r="O150" s="120"/>
      <c r="P150" s="120"/>
      <c r="Q150" s="120"/>
      <c r="R150" s="29">
        <v>42</v>
      </c>
      <c r="S150" s="154" t="str">
        <f t="shared" si="71"/>
        <v/>
      </c>
      <c r="T150" s="154" t="str">
        <f t="shared" si="72"/>
        <v/>
      </c>
      <c r="U150" s="154" t="str">
        <f t="shared" si="73"/>
        <v/>
      </c>
      <c r="W150" s="154" t="e">
        <f t="shared" si="41"/>
        <v>#N/A</v>
      </c>
      <c r="X150" s="154" t="e">
        <f t="shared" si="74"/>
        <v>#N/A</v>
      </c>
      <c r="Y150" s="154" t="e">
        <f t="shared" si="43"/>
        <v>#N/A</v>
      </c>
      <c r="AA150" s="1133">
        <v>748.63378995433777</v>
      </c>
      <c r="AB150" s="1133">
        <v>753.81958611136042</v>
      </c>
      <c r="AC150" s="1133">
        <v>759.00538226838307</v>
      </c>
      <c r="AD150" s="89"/>
      <c r="AE150" s="89"/>
      <c r="AF150" s="89"/>
      <c r="AG150" s="89"/>
      <c r="AH150" s="89"/>
      <c r="AI150" s="89"/>
      <c r="AJ150" s="89"/>
      <c r="AK150" s="89"/>
      <c r="AL150" s="89"/>
      <c r="AM150" s="89"/>
      <c r="AN150" s="89"/>
      <c r="BR150" s="180">
        <v>2054</v>
      </c>
      <c r="BS150" s="22">
        <v>40</v>
      </c>
      <c r="BT150" s="181" t="e">
        <f t="shared" si="54"/>
        <v>#DIV/0!</v>
      </c>
      <c r="BU150" s="182" t="e">
        <f t="shared" si="55"/>
        <v>#DIV/0!</v>
      </c>
      <c r="BV150" s="242" t="e">
        <f t="shared" si="56"/>
        <v>#DIV/0!</v>
      </c>
      <c r="BY150" s="180">
        <v>2054</v>
      </c>
      <c r="BZ150" s="22">
        <v>40</v>
      </c>
      <c r="CA150" s="243" t="e">
        <f t="shared" ca="1" si="57"/>
        <v>#REF!</v>
      </c>
      <c r="CB150" s="243" t="e">
        <f t="shared" ca="1" si="58"/>
        <v>#REF!</v>
      </c>
      <c r="CC150" s="243" t="e">
        <f t="shared" ca="1" si="69"/>
        <v>#REF!</v>
      </c>
      <c r="CD150" s="242" t="e">
        <f t="shared" ca="1" si="59"/>
        <v>#REF!</v>
      </c>
      <c r="CG150" s="180">
        <v>2054</v>
      </c>
      <c r="CH150" s="22">
        <v>40</v>
      </c>
      <c r="CI150" s="243" t="e">
        <f t="shared" ca="1" si="60"/>
        <v>#REF!</v>
      </c>
      <c r="CJ150" s="243" t="e">
        <f t="shared" ca="1" si="61"/>
        <v>#REF!</v>
      </c>
      <c r="CK150" s="243" t="e">
        <f t="shared" ca="1" si="62"/>
        <v>#REF!</v>
      </c>
      <c r="CL150" s="243" t="e">
        <f t="shared" ca="1" si="63"/>
        <v>#REF!</v>
      </c>
      <c r="CM150" s="242" t="e">
        <f t="shared" ca="1" si="64"/>
        <v>#REF!</v>
      </c>
      <c r="CP150" s="180">
        <v>2054</v>
      </c>
      <c r="CQ150" s="22">
        <v>40</v>
      </c>
      <c r="CR150" s="243" t="e">
        <f t="shared" ca="1" si="65"/>
        <v>#REF!</v>
      </c>
      <c r="CS150" s="243" t="e">
        <f t="shared" ca="1" si="66"/>
        <v>#REF!</v>
      </c>
      <c r="CT150" s="242" t="e">
        <f t="shared" ca="1" si="67"/>
        <v>#REF!</v>
      </c>
      <c r="CZ150" s="164" t="b">
        <f t="shared" si="75"/>
        <v>0</v>
      </c>
      <c r="DA150" s="165" t="b">
        <f t="shared" si="75"/>
        <v>0</v>
      </c>
      <c r="DB150" s="166" t="b">
        <f t="shared" si="75"/>
        <v>0</v>
      </c>
      <c r="DC150" s="164" t="str">
        <f t="shared" si="53"/>
        <v/>
      </c>
      <c r="DD150" s="166" t="str">
        <f t="shared" si="45"/>
        <v/>
      </c>
      <c r="DE150" s="164" t="str">
        <f t="shared" si="46"/>
        <v/>
      </c>
      <c r="DF150" s="166" t="str">
        <f t="shared" si="47"/>
        <v/>
      </c>
      <c r="DG150" s="164" t="str">
        <f t="shared" si="48"/>
        <v/>
      </c>
      <c r="DH150" s="166" t="str">
        <f t="shared" si="49"/>
        <v/>
      </c>
      <c r="DI150" s="164" t="str">
        <f>IFERROR(INDEX(DC$106:DC$154,_xlfn.AGGREGATE(15,6,(ROW(DC$106:DC$154)-ROW(DC$106)+1)/(DC$106:DC$154&lt;&gt;""),ROWS(DI$1:DI45))),"")</f>
        <v/>
      </c>
      <c r="DJ150" s="165" t="str">
        <f>IFERROR(INDEX(DD$106:DD$154,_xlfn.AGGREGATE(15,6,(ROW(DD$106:DD$154)-ROW(DD$106)+1)/(DD$106:DD$154&lt;&gt;""),ROWS(DJ$1:DJ45))),"")</f>
        <v/>
      </c>
      <c r="DK150" s="166" t="str">
        <f t="shared" si="50"/>
        <v/>
      </c>
      <c r="DL150" s="164" t="str">
        <f>IFERROR(INDEX(DE$106:DE$154,_xlfn.AGGREGATE(15,6,(ROW(DE$106:DE$154)-ROW(DE$106)+1)/(DE$106:DE$154&lt;&gt;""),ROWS(DL$1:DL45))),"")</f>
        <v/>
      </c>
      <c r="DM150" s="165" t="str">
        <f>IFERROR(INDEX(DF$106:DF$154,_xlfn.AGGREGATE(15,6,(ROW(DF$106:DF$154)-ROW(DF$106)+1)/(DF$106:DF$154&lt;&gt;""),ROWS(DM$1:DM45))),"")</f>
        <v/>
      </c>
      <c r="DN150" s="166" t="str">
        <f t="shared" si="51"/>
        <v/>
      </c>
      <c r="DO150" s="164" t="str">
        <f>IFERROR(INDEX(DG$106:DG$154,_xlfn.AGGREGATE(15,6,(ROW(DG$106:DG$154)-ROW(DG$106)+1)/(DG$106:DG$154&lt;&gt;""),ROWS(DO$1:DO45))),"")</f>
        <v/>
      </c>
      <c r="DP150" s="165" t="str">
        <f>IFERROR(INDEX(DH$106:DH$154,_xlfn.AGGREGATE(15,6,(ROW(DH$106:DH$154)-ROW(DH$106)+1)/(DH$106:DH$154&lt;&gt;""),ROWS(DP$1:DP45))),"")</f>
        <v/>
      </c>
      <c r="DQ150" s="166" t="str">
        <f t="shared" si="52"/>
        <v/>
      </c>
      <c r="DV150" s="145">
        <v>2059</v>
      </c>
      <c r="DW150" s="235" t="e">
        <f t="shared" ca="1" si="37"/>
        <v>#REF!</v>
      </c>
      <c r="EA150" s="55"/>
      <c r="EB150" s="55"/>
      <c r="EC150" s="55"/>
      <c r="ED150" s="55"/>
      <c r="EE150" s="55"/>
    </row>
    <row r="151" spans="1:135" ht="13.8" x14ac:dyDescent="0.45">
      <c r="B151" s="128">
        <v>2057</v>
      </c>
      <c r="C151" s="1023"/>
      <c r="D151" s="1026"/>
      <c r="E151" s="1027"/>
      <c r="F151" s="941"/>
      <c r="G151" s="247"/>
      <c r="H151" s="245"/>
      <c r="I151" s="1112"/>
      <c r="J151" s="247"/>
      <c r="K151" s="245"/>
      <c r="L151" s="246"/>
      <c r="M151" s="245"/>
      <c r="N151" s="29" t="s">
        <v>119</v>
      </c>
      <c r="O151" s="120"/>
      <c r="P151" s="120"/>
      <c r="Q151" s="120"/>
      <c r="R151" s="29">
        <v>43</v>
      </c>
      <c r="S151" s="238" t="str">
        <f t="shared" si="71"/>
        <v/>
      </c>
      <c r="T151" s="238" t="str">
        <f t="shared" si="72"/>
        <v/>
      </c>
      <c r="U151" s="238" t="str">
        <f t="shared" si="73"/>
        <v/>
      </c>
      <c r="W151" s="238" t="e">
        <f t="shared" si="41"/>
        <v>#N/A</v>
      </c>
      <c r="X151" s="238" t="e">
        <f t="shared" si="74"/>
        <v>#N/A</v>
      </c>
      <c r="Y151" s="238" t="e">
        <f t="shared" si="43"/>
        <v>#N/A</v>
      </c>
      <c r="AA151" s="1133">
        <v>753.80742009132405</v>
      </c>
      <c r="AB151" s="1133">
        <v>755.8960025178485</v>
      </c>
      <c r="AC151" s="1133">
        <v>757.98458494437295</v>
      </c>
      <c r="AD151" s="89"/>
      <c r="AE151" s="89"/>
      <c r="AF151" s="89"/>
      <c r="AG151" s="89"/>
      <c r="AH151" s="89"/>
      <c r="AI151" s="89"/>
      <c r="AJ151" s="89"/>
      <c r="AK151" s="89"/>
      <c r="AL151" s="89"/>
      <c r="AM151" s="89"/>
      <c r="AN151" s="89"/>
      <c r="BR151" s="180">
        <v>2055</v>
      </c>
      <c r="BS151" s="22">
        <v>41</v>
      </c>
      <c r="BT151" s="181" t="e">
        <f t="shared" si="54"/>
        <v>#DIV/0!</v>
      </c>
      <c r="BU151" s="182" t="e">
        <f t="shared" si="55"/>
        <v>#DIV/0!</v>
      </c>
      <c r="BV151" s="242" t="e">
        <f t="shared" si="56"/>
        <v>#DIV/0!</v>
      </c>
      <c r="BX151" s="29"/>
      <c r="BY151" s="180">
        <v>2055</v>
      </c>
      <c r="BZ151" s="22">
        <v>41</v>
      </c>
      <c r="CA151" s="243" t="e">
        <f t="shared" ca="1" si="57"/>
        <v>#REF!</v>
      </c>
      <c r="CB151" s="243" t="e">
        <f t="shared" ca="1" si="58"/>
        <v>#REF!</v>
      </c>
      <c r="CC151" s="243" t="e">
        <f t="shared" ca="1" si="69"/>
        <v>#REF!</v>
      </c>
      <c r="CD151" s="242" t="e">
        <f t="shared" ca="1" si="59"/>
        <v>#REF!</v>
      </c>
      <c r="CG151" s="180">
        <v>2055</v>
      </c>
      <c r="CH151" s="22">
        <v>41</v>
      </c>
      <c r="CI151" s="243" t="e">
        <f t="shared" ca="1" si="60"/>
        <v>#REF!</v>
      </c>
      <c r="CJ151" s="243" t="e">
        <f t="shared" ca="1" si="61"/>
        <v>#REF!</v>
      </c>
      <c r="CK151" s="243" t="e">
        <f t="shared" ca="1" si="62"/>
        <v>#REF!</v>
      </c>
      <c r="CL151" s="243" t="e">
        <f t="shared" ca="1" si="63"/>
        <v>#REF!</v>
      </c>
      <c r="CM151" s="242" t="e">
        <f t="shared" ca="1" si="64"/>
        <v>#REF!</v>
      </c>
      <c r="CP151" s="180">
        <v>2055</v>
      </c>
      <c r="CQ151" s="22">
        <v>41</v>
      </c>
      <c r="CR151" s="243" t="e">
        <f t="shared" ca="1" si="65"/>
        <v>#REF!</v>
      </c>
      <c r="CS151" s="243" t="e">
        <f t="shared" ca="1" si="66"/>
        <v>#REF!</v>
      </c>
      <c r="CT151" s="242" t="e">
        <f t="shared" ca="1" si="67"/>
        <v>#REF!</v>
      </c>
      <c r="CZ151" s="164" t="b">
        <f t="shared" si="75"/>
        <v>0</v>
      </c>
      <c r="DA151" s="165" t="b">
        <f t="shared" si="75"/>
        <v>0</v>
      </c>
      <c r="DB151" s="166" t="b">
        <f t="shared" si="75"/>
        <v>0</v>
      </c>
      <c r="DC151" s="164" t="str">
        <f t="shared" si="53"/>
        <v/>
      </c>
      <c r="DD151" s="166" t="str">
        <f t="shared" si="45"/>
        <v/>
      </c>
      <c r="DE151" s="164" t="str">
        <f t="shared" si="46"/>
        <v/>
      </c>
      <c r="DF151" s="166" t="str">
        <f t="shared" si="47"/>
        <v/>
      </c>
      <c r="DG151" s="164" t="str">
        <f t="shared" si="48"/>
        <v/>
      </c>
      <c r="DH151" s="166" t="str">
        <f t="shared" si="49"/>
        <v/>
      </c>
      <c r="DI151" s="164" t="str">
        <f>IFERROR(INDEX(DC$106:DC$154,_xlfn.AGGREGATE(15,6,(ROW(DC$106:DC$154)-ROW(DC$106)+1)/(DC$106:DC$154&lt;&gt;""),ROWS(DI$1:DI46))),"")</f>
        <v/>
      </c>
      <c r="DJ151" s="165" t="str">
        <f>IFERROR(INDEX(DD$106:DD$154,_xlfn.AGGREGATE(15,6,(ROW(DD$106:DD$154)-ROW(DD$106)+1)/(DD$106:DD$154&lt;&gt;""),ROWS(DJ$1:DJ46))),"")</f>
        <v/>
      </c>
      <c r="DK151" s="166" t="str">
        <f t="shared" si="50"/>
        <v/>
      </c>
      <c r="DL151" s="164" t="str">
        <f>IFERROR(INDEX(DE$106:DE$154,_xlfn.AGGREGATE(15,6,(ROW(DE$106:DE$154)-ROW(DE$106)+1)/(DE$106:DE$154&lt;&gt;""),ROWS(DL$1:DL46))),"")</f>
        <v/>
      </c>
      <c r="DM151" s="165" t="str">
        <f>IFERROR(INDEX(DF$106:DF$154,_xlfn.AGGREGATE(15,6,(ROW(DF$106:DF$154)-ROW(DF$106)+1)/(DF$106:DF$154&lt;&gt;""),ROWS(DM$1:DM46))),"")</f>
        <v/>
      </c>
      <c r="DN151" s="166" t="str">
        <f t="shared" si="51"/>
        <v/>
      </c>
      <c r="DO151" s="164" t="str">
        <f>IFERROR(INDEX(DG$106:DG$154,_xlfn.AGGREGATE(15,6,(ROW(DG$106:DG$154)-ROW(DG$106)+1)/(DG$106:DG$154&lt;&gt;""),ROWS(DO$1:DO46))),"")</f>
        <v/>
      </c>
      <c r="DP151" s="165" t="str">
        <f>IFERROR(INDEX(DH$106:DH$154,_xlfn.AGGREGATE(15,6,(ROW(DH$106:DH$154)-ROW(DH$106)+1)/(DH$106:DH$154&lt;&gt;""),ROWS(DP$1:DP46))),"")</f>
        <v/>
      </c>
      <c r="DQ151" s="166" t="str">
        <f t="shared" si="52"/>
        <v/>
      </c>
      <c r="DV151" s="145">
        <v>2060</v>
      </c>
      <c r="DW151" s="235" t="e">
        <f t="shared" ca="1" si="37"/>
        <v>#REF!</v>
      </c>
      <c r="EA151" s="55"/>
      <c r="EB151" s="55"/>
      <c r="EC151" s="55"/>
      <c r="ED151" s="55"/>
      <c r="EE151" s="55"/>
    </row>
    <row r="152" spans="1:135" ht="13.8" x14ac:dyDescent="0.45">
      <c r="A152" s="214"/>
      <c r="B152" s="128">
        <v>2058</v>
      </c>
      <c r="C152" s="1023"/>
      <c r="D152" s="1026"/>
      <c r="E152" s="1027"/>
      <c r="F152" s="941"/>
      <c r="G152" s="247"/>
      <c r="H152" s="245"/>
      <c r="I152" s="1112"/>
      <c r="J152" s="247"/>
      <c r="K152" s="245"/>
      <c r="L152" s="246"/>
      <c r="M152" s="245"/>
      <c r="N152" s="29" t="s">
        <v>119</v>
      </c>
      <c r="R152" s="29">
        <v>44</v>
      </c>
      <c r="S152" s="238" t="str">
        <f t="shared" si="71"/>
        <v/>
      </c>
      <c r="T152" s="238" t="str">
        <f t="shared" si="72"/>
        <v/>
      </c>
      <c r="U152" s="238" t="str">
        <f t="shared" si="73"/>
        <v/>
      </c>
      <c r="W152" s="238" t="e">
        <f t="shared" si="41"/>
        <v>#N/A</v>
      </c>
      <c r="X152" s="238" t="e">
        <f t="shared" si="74"/>
        <v>#N/A</v>
      </c>
      <c r="Y152" s="238" t="e">
        <f t="shared" si="43"/>
        <v>#N/A</v>
      </c>
      <c r="AA152" s="1133">
        <v>756.69954654152923</v>
      </c>
      <c r="AB152" s="1133">
        <v>757.84029838491983</v>
      </c>
      <c r="AC152" s="1133">
        <v>758.98105022831044</v>
      </c>
      <c r="AD152" s="89"/>
      <c r="AE152" s="89"/>
      <c r="AF152" s="89"/>
      <c r="AG152" s="89"/>
      <c r="AH152" s="89"/>
      <c r="AI152" s="89"/>
      <c r="AJ152" s="89"/>
      <c r="AK152" s="89"/>
      <c r="AL152" s="89"/>
      <c r="AM152" s="89"/>
      <c r="AN152" s="89"/>
      <c r="BR152" s="180">
        <v>2056</v>
      </c>
      <c r="BS152" s="22">
        <v>42</v>
      </c>
      <c r="BT152" s="181" t="e">
        <f t="shared" si="54"/>
        <v>#DIV/0!</v>
      </c>
      <c r="BU152" s="182" t="e">
        <f t="shared" si="55"/>
        <v>#DIV/0!</v>
      </c>
      <c r="BV152" s="242" t="e">
        <f t="shared" si="56"/>
        <v>#DIV/0!</v>
      </c>
      <c r="BY152" s="180">
        <v>2056</v>
      </c>
      <c r="BZ152" s="22">
        <v>42</v>
      </c>
      <c r="CA152" s="243" t="e">
        <f t="shared" ca="1" si="57"/>
        <v>#REF!</v>
      </c>
      <c r="CB152" s="243" t="e">
        <f t="shared" ca="1" si="58"/>
        <v>#REF!</v>
      </c>
      <c r="CC152" s="243" t="e">
        <f t="shared" ca="1" si="69"/>
        <v>#REF!</v>
      </c>
      <c r="CD152" s="242" t="e">
        <f t="shared" ca="1" si="59"/>
        <v>#REF!</v>
      </c>
      <c r="CG152" s="180">
        <v>2056</v>
      </c>
      <c r="CH152" s="22">
        <v>42</v>
      </c>
      <c r="CI152" s="243" t="e">
        <f t="shared" ca="1" si="60"/>
        <v>#REF!</v>
      </c>
      <c r="CJ152" s="243" t="e">
        <f t="shared" ca="1" si="61"/>
        <v>#REF!</v>
      </c>
      <c r="CK152" s="243" t="e">
        <f t="shared" ca="1" si="62"/>
        <v>#REF!</v>
      </c>
      <c r="CL152" s="243" t="e">
        <f t="shared" ca="1" si="63"/>
        <v>#REF!</v>
      </c>
      <c r="CM152" s="242" t="e">
        <f t="shared" ca="1" si="64"/>
        <v>#REF!</v>
      </c>
      <c r="CP152" s="180">
        <v>2056</v>
      </c>
      <c r="CQ152" s="22">
        <v>42</v>
      </c>
      <c r="CR152" s="243" t="e">
        <f t="shared" ca="1" si="65"/>
        <v>#REF!</v>
      </c>
      <c r="CS152" s="243" t="e">
        <f t="shared" ca="1" si="66"/>
        <v>#REF!</v>
      </c>
      <c r="CT152" s="242" t="e">
        <f t="shared" ca="1" si="67"/>
        <v>#REF!</v>
      </c>
      <c r="CZ152" s="164" t="b">
        <f t="shared" si="75"/>
        <v>0</v>
      </c>
      <c r="DA152" s="165" t="b">
        <f t="shared" si="75"/>
        <v>0</v>
      </c>
      <c r="DB152" s="166" t="b">
        <f t="shared" si="75"/>
        <v>0</v>
      </c>
      <c r="DC152" s="164" t="str">
        <f t="shared" si="53"/>
        <v/>
      </c>
      <c r="DD152" s="166" t="str">
        <f t="shared" si="45"/>
        <v/>
      </c>
      <c r="DE152" s="164" t="str">
        <f t="shared" si="46"/>
        <v/>
      </c>
      <c r="DF152" s="166" t="str">
        <f t="shared" si="47"/>
        <v/>
      </c>
      <c r="DG152" s="164" t="str">
        <f t="shared" si="48"/>
        <v/>
      </c>
      <c r="DH152" s="166" t="str">
        <f t="shared" si="49"/>
        <v/>
      </c>
      <c r="DI152" s="164" t="str">
        <f>IFERROR(INDEX(DC$106:DC$154,_xlfn.AGGREGATE(15,6,(ROW(DC$106:DC$154)-ROW(DC$106)+1)/(DC$106:DC$154&lt;&gt;""),ROWS(DI$1:DI47))),"")</f>
        <v/>
      </c>
      <c r="DJ152" s="165" t="str">
        <f>IFERROR(INDEX(DD$106:DD$154,_xlfn.AGGREGATE(15,6,(ROW(DD$106:DD$154)-ROW(DD$106)+1)/(DD$106:DD$154&lt;&gt;""),ROWS(DJ$1:DJ47))),"")</f>
        <v/>
      </c>
      <c r="DK152" s="166" t="str">
        <f t="shared" si="50"/>
        <v/>
      </c>
      <c r="DL152" s="164" t="str">
        <f>IFERROR(INDEX(DE$106:DE$154,_xlfn.AGGREGATE(15,6,(ROW(DE$106:DE$154)-ROW(DE$106)+1)/(DE$106:DE$154&lt;&gt;""),ROWS(DL$1:DL47))),"")</f>
        <v/>
      </c>
      <c r="DM152" s="165" t="str">
        <f>IFERROR(INDEX(DF$106:DF$154,_xlfn.AGGREGATE(15,6,(ROW(DF$106:DF$154)-ROW(DF$106)+1)/(DF$106:DF$154&lt;&gt;""),ROWS(DM$1:DM47))),"")</f>
        <v/>
      </c>
      <c r="DN152" s="166" t="str">
        <f t="shared" si="51"/>
        <v/>
      </c>
      <c r="DO152" s="164" t="str">
        <f>IFERROR(INDEX(DG$106:DG$154,_xlfn.AGGREGATE(15,6,(ROW(DG$106:DG$154)-ROW(DG$106)+1)/(DG$106:DG$154&lt;&gt;""),ROWS(DO$1:DO47))),"")</f>
        <v/>
      </c>
      <c r="DP152" s="165" t="str">
        <f>IFERROR(INDEX(DH$106:DH$154,_xlfn.AGGREGATE(15,6,(ROW(DH$106:DH$154)-ROW(DH$106)+1)/(DH$106:DH$154&lt;&gt;""),ROWS(DP$1:DP47))),"")</f>
        <v/>
      </c>
      <c r="DQ152" s="166" t="str">
        <f t="shared" si="52"/>
        <v/>
      </c>
      <c r="DW152" s="54"/>
      <c r="EA152" s="55"/>
      <c r="EB152" s="55"/>
      <c r="EC152" s="55"/>
      <c r="ED152" s="55"/>
      <c r="EE152" s="55"/>
    </row>
    <row r="153" spans="1:135" ht="13.8" x14ac:dyDescent="0.45">
      <c r="A153" s="214"/>
      <c r="B153" s="128">
        <v>2059</v>
      </c>
      <c r="C153" s="1023"/>
      <c r="D153" s="1026"/>
      <c r="E153" s="1027"/>
      <c r="F153" s="941"/>
      <c r="G153" s="247"/>
      <c r="H153" s="245"/>
      <c r="I153" s="1112"/>
      <c r="J153" s="247"/>
      <c r="K153" s="245"/>
      <c r="L153" s="246"/>
      <c r="M153" s="245"/>
      <c r="N153" s="29" t="s">
        <v>119</v>
      </c>
      <c r="R153" s="29">
        <v>45</v>
      </c>
      <c r="S153" s="238" t="str">
        <f t="shared" si="71"/>
        <v/>
      </c>
      <c r="T153" s="238" t="str">
        <f t="shared" si="72"/>
        <v/>
      </c>
      <c r="U153" s="238" t="str">
        <f t="shared" si="73"/>
        <v/>
      </c>
      <c r="W153" s="238" t="e">
        <f t="shared" si="41"/>
        <v>#N/A</v>
      </c>
      <c r="X153" s="238" t="e">
        <f t="shared" si="74"/>
        <v>#N/A</v>
      </c>
      <c r="Y153" s="238" t="e">
        <f t="shared" si="43"/>
        <v>#N/A</v>
      </c>
      <c r="AA153" s="1133">
        <v>755.14221198223493</v>
      </c>
      <c r="AB153" s="1133">
        <v>759.64844617376582</v>
      </c>
      <c r="AC153" s="1133">
        <v>764.15468036529671</v>
      </c>
      <c r="AD153" s="89"/>
      <c r="AE153" s="89"/>
      <c r="AF153" s="89"/>
      <c r="AG153" s="89"/>
      <c r="AH153" s="89"/>
      <c r="AI153" s="89"/>
      <c r="AJ153" s="89"/>
      <c r="AK153" s="89"/>
      <c r="AL153" s="89"/>
      <c r="AM153" s="89"/>
      <c r="AN153" s="89"/>
      <c r="BR153" s="180">
        <v>2057</v>
      </c>
      <c r="BS153" s="22">
        <v>43</v>
      </c>
      <c r="BT153" s="181" t="e">
        <f t="shared" si="54"/>
        <v>#DIV/0!</v>
      </c>
      <c r="BU153" s="182" t="e">
        <f t="shared" si="55"/>
        <v>#DIV/0!</v>
      </c>
      <c r="BV153" s="242" t="e">
        <f t="shared" si="56"/>
        <v>#DIV/0!</v>
      </c>
      <c r="BY153" s="180">
        <v>2057</v>
      </c>
      <c r="BZ153" s="22">
        <v>43</v>
      </c>
      <c r="CA153" s="243" t="e">
        <f t="shared" ca="1" si="57"/>
        <v>#REF!</v>
      </c>
      <c r="CB153" s="243" t="e">
        <f t="shared" ca="1" si="58"/>
        <v>#REF!</v>
      </c>
      <c r="CC153" s="243" t="e">
        <f t="shared" ca="1" si="69"/>
        <v>#REF!</v>
      </c>
      <c r="CD153" s="242" t="e">
        <f t="shared" ca="1" si="59"/>
        <v>#REF!</v>
      </c>
      <c r="CG153" s="180">
        <v>2057</v>
      </c>
      <c r="CH153" s="22">
        <v>43</v>
      </c>
      <c r="CI153" s="243" t="e">
        <f t="shared" ca="1" si="60"/>
        <v>#REF!</v>
      </c>
      <c r="CJ153" s="243" t="e">
        <f t="shared" ca="1" si="61"/>
        <v>#REF!</v>
      </c>
      <c r="CK153" s="243" t="e">
        <f t="shared" ca="1" si="62"/>
        <v>#REF!</v>
      </c>
      <c r="CL153" s="243" t="e">
        <f t="shared" ca="1" si="63"/>
        <v>#REF!</v>
      </c>
      <c r="CM153" s="242" t="e">
        <f t="shared" ca="1" si="64"/>
        <v>#REF!</v>
      </c>
      <c r="CP153" s="180">
        <v>2057</v>
      </c>
      <c r="CQ153" s="22">
        <v>43</v>
      </c>
      <c r="CR153" s="243" t="e">
        <f t="shared" ca="1" si="65"/>
        <v>#REF!</v>
      </c>
      <c r="CS153" s="243" t="e">
        <f t="shared" ca="1" si="66"/>
        <v>#REF!</v>
      </c>
      <c r="CT153" s="242" t="e">
        <f t="shared" ca="1" si="67"/>
        <v>#REF!</v>
      </c>
      <c r="CZ153" s="164" t="b">
        <f t="shared" si="75"/>
        <v>0</v>
      </c>
      <c r="DA153" s="165" t="b">
        <f t="shared" si="75"/>
        <v>0</v>
      </c>
      <c r="DB153" s="166" t="b">
        <f t="shared" si="75"/>
        <v>0</v>
      </c>
      <c r="DC153" s="164" t="str">
        <f t="shared" si="53"/>
        <v/>
      </c>
      <c r="DD153" s="166" t="str">
        <f t="shared" si="45"/>
        <v/>
      </c>
      <c r="DE153" s="164" t="str">
        <f t="shared" si="46"/>
        <v/>
      </c>
      <c r="DF153" s="166" t="str">
        <f t="shared" si="47"/>
        <v/>
      </c>
      <c r="DG153" s="164" t="str">
        <f t="shared" si="48"/>
        <v/>
      </c>
      <c r="DH153" s="166" t="str">
        <f t="shared" si="49"/>
        <v/>
      </c>
      <c r="DI153" s="164" t="str">
        <f>IFERROR(INDEX(DC$106:DC$154,_xlfn.AGGREGATE(15,6,(ROW(DC$106:DC$154)-ROW(DC$106)+1)/(DC$106:DC$154&lt;&gt;""),ROWS(DI$1:DI48))),"")</f>
        <v/>
      </c>
      <c r="DJ153" s="165" t="str">
        <f>IFERROR(INDEX(DD$106:DD$154,_xlfn.AGGREGATE(15,6,(ROW(DD$106:DD$154)-ROW(DD$106)+1)/(DD$106:DD$154&lt;&gt;""),ROWS(DJ$1:DJ48))),"")</f>
        <v/>
      </c>
      <c r="DK153" s="166" t="str">
        <f t="shared" si="50"/>
        <v/>
      </c>
      <c r="DL153" s="164" t="str">
        <f>IFERROR(INDEX(DE$106:DE$154,_xlfn.AGGREGATE(15,6,(ROW(DE$106:DE$154)-ROW(DE$106)+1)/(DE$106:DE$154&lt;&gt;""),ROWS(DL$1:DL48))),"")</f>
        <v/>
      </c>
      <c r="DM153" s="165" t="str">
        <f>IFERROR(INDEX(DF$106:DF$154,_xlfn.AGGREGATE(15,6,(ROW(DF$106:DF$154)-ROW(DF$106)+1)/(DF$106:DF$154&lt;&gt;""),ROWS(DM$1:DM48))),"")</f>
        <v/>
      </c>
      <c r="DN153" s="166" t="str">
        <f t="shared" si="51"/>
        <v/>
      </c>
      <c r="DO153" s="164" t="str">
        <f>IFERROR(INDEX(DG$106:DG$154,_xlfn.AGGREGATE(15,6,(ROW(DG$106:DG$154)-ROW(DG$106)+1)/(DG$106:DG$154&lt;&gt;""),ROWS(DO$1:DO48))),"")</f>
        <v/>
      </c>
      <c r="DP153" s="165" t="str">
        <f>IFERROR(INDEX(DH$106:DH$154,_xlfn.AGGREGATE(15,6,(ROW(DH$106:DH$154)-ROW(DH$106)+1)/(DH$106:DH$154&lt;&gt;""),ROWS(DP$1:DP48))),"")</f>
        <v/>
      </c>
      <c r="DQ153" s="166" t="str">
        <f t="shared" si="52"/>
        <v/>
      </c>
      <c r="DW153" s="54"/>
      <c r="EA153" s="55"/>
      <c r="EB153" s="55"/>
      <c r="EC153" s="55"/>
      <c r="ED153" s="55"/>
      <c r="EE153" s="55"/>
    </row>
    <row r="154" spans="1:135" ht="14.1" thickBot="1" x14ac:dyDescent="0.5">
      <c r="A154" s="214"/>
      <c r="B154" s="128">
        <v>2060</v>
      </c>
      <c r="C154" s="1028"/>
      <c r="D154" s="921"/>
      <c r="E154" s="1029"/>
      <c r="F154" s="942"/>
      <c r="G154" s="251"/>
      <c r="H154" s="249"/>
      <c r="I154" s="1115"/>
      <c r="J154" s="251"/>
      <c r="K154" s="249"/>
      <c r="L154" s="250"/>
      <c r="M154" s="249"/>
      <c r="N154" s="29" t="s">
        <v>119</v>
      </c>
      <c r="R154" s="29">
        <v>46</v>
      </c>
      <c r="S154" s="238" t="str">
        <f t="shared" si="71"/>
        <v/>
      </c>
      <c r="T154" s="238" t="str">
        <f t="shared" si="72"/>
        <v/>
      </c>
      <c r="U154" s="238" t="str">
        <f t="shared" si="73"/>
        <v/>
      </c>
      <c r="W154" s="238" t="e">
        <f t="shared" si="41"/>
        <v>#N/A</v>
      </c>
      <c r="X154" s="238" t="e">
        <f t="shared" si="74"/>
        <v>#N/A</v>
      </c>
      <c r="Y154" s="238" t="e">
        <f t="shared" si="43"/>
        <v>#N/A</v>
      </c>
      <c r="AA154" s="1133">
        <v>753.30452618887296</v>
      </c>
      <c r="AB154" s="1133">
        <v>761.31641834557797</v>
      </c>
      <c r="AC154" s="1133">
        <v>769.32831050228299</v>
      </c>
      <c r="AD154" s="89"/>
      <c r="AE154" s="89"/>
      <c r="AF154" s="89"/>
      <c r="AG154" s="89"/>
      <c r="AH154" s="89"/>
      <c r="AI154" s="89"/>
      <c r="AJ154" s="89"/>
      <c r="AK154" s="89"/>
      <c r="AL154" s="89"/>
      <c r="AM154" s="89"/>
      <c r="AN154" s="89"/>
      <c r="BR154" s="180">
        <v>2058</v>
      </c>
      <c r="BS154" s="22">
        <v>44</v>
      </c>
      <c r="BT154" s="181" t="e">
        <f t="shared" si="54"/>
        <v>#DIV/0!</v>
      </c>
      <c r="BU154" s="182" t="e">
        <f t="shared" si="55"/>
        <v>#DIV/0!</v>
      </c>
      <c r="BV154" s="242" t="e">
        <f t="shared" si="56"/>
        <v>#DIV/0!</v>
      </c>
      <c r="BY154" s="180">
        <v>2058</v>
      </c>
      <c r="BZ154" s="22">
        <v>44</v>
      </c>
      <c r="CA154" s="243" t="e">
        <f t="shared" ca="1" si="57"/>
        <v>#REF!</v>
      </c>
      <c r="CB154" s="243" t="e">
        <f t="shared" ca="1" si="58"/>
        <v>#REF!</v>
      </c>
      <c r="CC154" s="243" t="e">
        <f t="shared" ca="1" si="69"/>
        <v>#REF!</v>
      </c>
      <c r="CD154" s="242" t="e">
        <f t="shared" ca="1" si="59"/>
        <v>#REF!</v>
      </c>
      <c r="CG154" s="180">
        <v>2058</v>
      </c>
      <c r="CH154" s="22">
        <v>44</v>
      </c>
      <c r="CI154" s="243" t="e">
        <f t="shared" ca="1" si="60"/>
        <v>#REF!</v>
      </c>
      <c r="CJ154" s="243" t="e">
        <f t="shared" ca="1" si="61"/>
        <v>#REF!</v>
      </c>
      <c r="CK154" s="243" t="e">
        <f t="shared" ca="1" si="62"/>
        <v>#REF!</v>
      </c>
      <c r="CL154" s="243" t="e">
        <f t="shared" ca="1" si="63"/>
        <v>#REF!</v>
      </c>
      <c r="CM154" s="242" t="e">
        <f t="shared" ca="1" si="64"/>
        <v>#REF!</v>
      </c>
      <c r="CP154" s="180">
        <v>2058</v>
      </c>
      <c r="CQ154" s="22">
        <v>44</v>
      </c>
      <c r="CR154" s="243" t="e">
        <f t="shared" ca="1" si="65"/>
        <v>#REF!</v>
      </c>
      <c r="CS154" s="243" t="e">
        <f t="shared" ca="1" si="66"/>
        <v>#REF!</v>
      </c>
      <c r="CT154" s="242" t="e">
        <f t="shared" ca="1" si="67"/>
        <v>#REF!</v>
      </c>
      <c r="CZ154" s="164" t="b">
        <f t="shared" si="75"/>
        <v>0</v>
      </c>
      <c r="DA154" s="165" t="b">
        <f t="shared" si="75"/>
        <v>0</v>
      </c>
      <c r="DB154" s="166" t="b">
        <f t="shared" si="75"/>
        <v>0</v>
      </c>
      <c r="DC154" s="164" t="str">
        <f t="shared" si="53"/>
        <v/>
      </c>
      <c r="DD154" s="166" t="str">
        <f t="shared" si="45"/>
        <v/>
      </c>
      <c r="DE154" s="164" t="str">
        <f t="shared" si="46"/>
        <v/>
      </c>
      <c r="DF154" s="166" t="str">
        <f t="shared" si="47"/>
        <v/>
      </c>
      <c r="DG154" s="164" t="str">
        <f t="shared" si="48"/>
        <v/>
      </c>
      <c r="DH154" s="166" t="str">
        <f t="shared" si="49"/>
        <v/>
      </c>
      <c r="DI154" s="164" t="str">
        <f>IFERROR(INDEX(DC$106:DC$154,_xlfn.AGGREGATE(15,6,(ROW(DC$106:DC$154)-ROW(DC$106)+1)/(DC$106:DC$154&lt;&gt;""),ROWS(DI$1:DI49))),"")</f>
        <v/>
      </c>
      <c r="DJ154" s="165" t="str">
        <f>IFERROR(INDEX(DD$106:DD$154,_xlfn.AGGREGATE(15,6,(ROW(DD$106:DD$154)-ROW(DD$106)+1)/(DD$106:DD$154&lt;&gt;""),ROWS(DJ$1:DJ49))),"")</f>
        <v/>
      </c>
      <c r="DK154" s="166" t="str">
        <f t="shared" si="50"/>
        <v/>
      </c>
      <c r="DL154" s="164" t="str">
        <f>IFERROR(INDEX(DE$106:DE$154,_xlfn.AGGREGATE(15,6,(ROW(DE$106:DE$154)-ROW(DE$106)+1)/(DE$106:DE$154&lt;&gt;""),ROWS(DL$1:DL49))),"")</f>
        <v/>
      </c>
      <c r="DM154" s="165" t="str">
        <f>IFERROR(INDEX(DF$106:DF$154,_xlfn.AGGREGATE(15,6,(ROW(DF$106:DF$154)-ROW(DF$106)+1)/(DF$106:DF$154&lt;&gt;""),ROWS(DM$1:DM49))),"")</f>
        <v/>
      </c>
      <c r="DN154" s="166" t="str">
        <f t="shared" si="51"/>
        <v/>
      </c>
      <c r="DO154" s="164" t="str">
        <f>IFERROR(INDEX(DG$106:DG$154,_xlfn.AGGREGATE(15,6,(ROW(DG$106:DG$154)-ROW(DG$106)+1)/(DG$106:DG$154&lt;&gt;""),ROWS(DO$1:DO49))),"")</f>
        <v/>
      </c>
      <c r="DP154" s="165" t="str">
        <f>IFERROR(INDEX(DH$106:DH$154,_xlfn.AGGREGATE(15,6,(ROW(DH$106:DH$154)-ROW(DH$106)+1)/(DH$106:DH$154&lt;&gt;""),ROWS(DP$1:DP49))),"")</f>
        <v/>
      </c>
      <c r="DQ154" s="166" t="str">
        <f t="shared" si="52"/>
        <v/>
      </c>
      <c r="DW154" s="54"/>
      <c r="EA154" s="55"/>
      <c r="EB154" s="55"/>
      <c r="EC154" s="55"/>
      <c r="ED154" s="55"/>
      <c r="EE154" s="55"/>
    </row>
    <row r="155" spans="1:135" x14ac:dyDescent="0.4">
      <c r="A155" s="214"/>
      <c r="B155" s="89"/>
      <c r="C155" s="14"/>
      <c r="D155" s="14"/>
      <c r="E155" s="14"/>
      <c r="F155" s="14"/>
      <c r="G155" s="14"/>
      <c r="H155" s="14"/>
      <c r="I155" s="14"/>
      <c r="J155" s="14"/>
      <c r="K155" s="14"/>
      <c r="L155" s="14"/>
      <c r="M155" s="50"/>
      <c r="S155" s="120"/>
      <c r="T155" s="120"/>
      <c r="U155" s="120"/>
      <c r="W155" s="120"/>
      <c r="X155" s="120"/>
      <c r="Y155" s="120"/>
      <c r="AA155" s="89"/>
      <c r="AB155" s="89"/>
      <c r="AC155" s="89"/>
      <c r="AD155" s="89"/>
      <c r="AE155" s="89"/>
      <c r="AF155" s="89"/>
      <c r="AG155" s="89"/>
      <c r="AH155" s="89"/>
      <c r="AI155" s="89"/>
      <c r="AJ155" s="89"/>
      <c r="AK155" s="89"/>
      <c r="AL155" s="89"/>
      <c r="AM155" s="89"/>
      <c r="AN155" s="89"/>
      <c r="BR155" s="180">
        <v>2059</v>
      </c>
      <c r="BS155" s="22">
        <v>45</v>
      </c>
      <c r="BT155" s="181" t="e">
        <f t="shared" si="54"/>
        <v>#DIV/0!</v>
      </c>
      <c r="BU155" s="182" t="e">
        <f t="shared" si="55"/>
        <v>#DIV/0!</v>
      </c>
      <c r="BV155" s="242" t="e">
        <f t="shared" si="56"/>
        <v>#DIV/0!</v>
      </c>
      <c r="BY155" s="180">
        <v>2059</v>
      </c>
      <c r="BZ155" s="22">
        <v>45</v>
      </c>
      <c r="CA155" s="243" t="e">
        <f t="shared" ca="1" si="57"/>
        <v>#REF!</v>
      </c>
      <c r="CB155" s="243" t="e">
        <f t="shared" ca="1" si="58"/>
        <v>#REF!</v>
      </c>
      <c r="CC155" s="243" t="e">
        <f t="shared" ca="1" si="69"/>
        <v>#REF!</v>
      </c>
      <c r="CD155" s="242" t="e">
        <f t="shared" ca="1" si="59"/>
        <v>#REF!</v>
      </c>
      <c r="CG155" s="180">
        <v>2059</v>
      </c>
      <c r="CH155" s="22">
        <v>45</v>
      </c>
      <c r="CI155" s="243" t="e">
        <f t="shared" ca="1" si="60"/>
        <v>#REF!</v>
      </c>
      <c r="CJ155" s="243" t="e">
        <f t="shared" ca="1" si="61"/>
        <v>#REF!</v>
      </c>
      <c r="CK155" s="243" t="e">
        <f t="shared" ca="1" si="62"/>
        <v>#REF!</v>
      </c>
      <c r="CL155" s="243" t="e">
        <f t="shared" ca="1" si="63"/>
        <v>#REF!</v>
      </c>
      <c r="CM155" s="242" t="e">
        <f t="shared" ca="1" si="64"/>
        <v>#REF!</v>
      </c>
      <c r="CP155" s="180">
        <v>2059</v>
      </c>
      <c r="CQ155" s="22">
        <v>45</v>
      </c>
      <c r="CR155" s="243" t="e">
        <f t="shared" ca="1" si="65"/>
        <v>#REF!</v>
      </c>
      <c r="CS155" s="243" t="e">
        <f t="shared" ca="1" si="66"/>
        <v>#REF!</v>
      </c>
      <c r="CT155" s="242" t="e">
        <f t="shared" ca="1" si="67"/>
        <v>#REF!</v>
      </c>
      <c r="CZ155" s="252"/>
      <c r="DA155" s="252"/>
      <c r="DB155" s="252"/>
      <c r="DC155" s="252"/>
      <c r="DD155" s="252"/>
      <c r="DE155" s="252"/>
      <c r="DF155" s="252"/>
      <c r="DG155" s="252"/>
      <c r="DH155" s="252"/>
      <c r="DI155" s="252"/>
      <c r="DJ155" s="252"/>
      <c r="DK155" s="252"/>
      <c r="DL155" s="252"/>
      <c r="DM155" s="252"/>
      <c r="DN155" s="252"/>
      <c r="DO155" s="252"/>
      <c r="DP155" s="252"/>
      <c r="DQ155" s="252"/>
      <c r="DU155" s="65"/>
      <c r="DW155" s="54"/>
      <c r="EA155" s="55"/>
      <c r="EB155" s="55"/>
      <c r="EC155" s="55"/>
      <c r="ED155" s="55"/>
      <c r="EE155" s="55"/>
    </row>
    <row r="156" spans="1:135" x14ac:dyDescent="0.4">
      <c r="A156" s="214"/>
      <c r="B156" s="89"/>
      <c r="C156" s="14"/>
      <c r="D156" s="14"/>
      <c r="E156" s="14"/>
      <c r="F156" s="14"/>
      <c r="G156" s="14"/>
      <c r="H156" s="14"/>
      <c r="I156" s="14"/>
      <c r="J156" s="14"/>
      <c r="K156" s="14"/>
      <c r="L156" s="14"/>
      <c r="M156" s="50"/>
      <c r="S156" s="120"/>
      <c r="T156" s="120"/>
      <c r="U156" s="120"/>
      <c r="W156" s="120"/>
      <c r="X156" s="120"/>
      <c r="Y156" s="120"/>
      <c r="AA156" s="89"/>
      <c r="AB156" s="89"/>
      <c r="AC156" s="89"/>
      <c r="AD156" s="89"/>
      <c r="AE156" s="89"/>
      <c r="AF156" s="89"/>
      <c r="AG156" s="89"/>
      <c r="AH156" s="89"/>
      <c r="AI156" s="89"/>
      <c r="AJ156" s="89"/>
      <c r="AK156" s="89"/>
      <c r="AL156" s="89"/>
      <c r="AM156" s="89"/>
      <c r="AN156" s="89"/>
      <c r="BR156" s="180">
        <v>2060</v>
      </c>
      <c r="BS156" s="22">
        <v>46</v>
      </c>
      <c r="BT156" s="181" t="e">
        <f t="shared" si="54"/>
        <v>#DIV/0!</v>
      </c>
      <c r="BU156" s="182" t="e">
        <f t="shared" si="55"/>
        <v>#DIV/0!</v>
      </c>
      <c r="BV156" s="242" t="e">
        <f t="shared" si="56"/>
        <v>#DIV/0!</v>
      </c>
      <c r="BX156" s="29"/>
      <c r="BY156" s="180">
        <v>2060</v>
      </c>
      <c r="BZ156" s="22">
        <v>46</v>
      </c>
      <c r="CA156" s="243" t="e">
        <f t="shared" ca="1" si="57"/>
        <v>#REF!</v>
      </c>
      <c r="CB156" s="243" t="e">
        <f t="shared" ca="1" si="58"/>
        <v>#REF!</v>
      </c>
      <c r="CC156" s="243" t="e">
        <f t="shared" ca="1" si="69"/>
        <v>#REF!</v>
      </c>
      <c r="CD156" s="242" t="e">
        <f t="shared" ca="1" si="59"/>
        <v>#REF!</v>
      </c>
      <c r="CG156" s="180">
        <v>2060</v>
      </c>
      <c r="CH156" s="22">
        <v>46</v>
      </c>
      <c r="CI156" s="243" t="e">
        <f t="shared" ca="1" si="60"/>
        <v>#REF!</v>
      </c>
      <c r="CJ156" s="243" t="e">
        <f t="shared" ca="1" si="61"/>
        <v>#REF!</v>
      </c>
      <c r="CK156" s="243" t="e">
        <f t="shared" ca="1" si="62"/>
        <v>#REF!</v>
      </c>
      <c r="CL156" s="243" t="e">
        <f t="shared" ca="1" si="63"/>
        <v>#REF!</v>
      </c>
      <c r="CM156" s="242" t="e">
        <f t="shared" ca="1" si="64"/>
        <v>#REF!</v>
      </c>
      <c r="CP156" s="180">
        <v>2060</v>
      </c>
      <c r="CQ156" s="22">
        <v>46</v>
      </c>
      <c r="CR156" s="243" t="e">
        <f t="shared" ca="1" si="65"/>
        <v>#REF!</v>
      </c>
      <c r="CS156" s="243" t="e">
        <f t="shared" ca="1" si="66"/>
        <v>#REF!</v>
      </c>
      <c r="CT156" s="242" t="e">
        <f t="shared" ca="1" si="67"/>
        <v>#REF!</v>
      </c>
      <c r="DW156" s="54"/>
      <c r="EA156" s="55"/>
      <c r="EB156" s="55"/>
      <c r="EC156" s="55"/>
      <c r="ED156" s="55"/>
      <c r="EE156" s="55"/>
    </row>
    <row r="157" spans="1:135" x14ac:dyDescent="0.4">
      <c r="A157" s="221" t="str">
        <f ca="1">HYPERLINK("#"&amp;"'"&amp;A$1&amp;"'!a1","Back to top")</f>
        <v>Back to top</v>
      </c>
      <c r="C157" s="50"/>
      <c r="D157" s="14"/>
      <c r="E157" s="14"/>
      <c r="F157" s="14"/>
      <c r="G157" s="14"/>
      <c r="H157" s="14"/>
      <c r="I157" s="14"/>
      <c r="J157" s="14"/>
      <c r="K157" s="14"/>
      <c r="L157" s="14"/>
      <c r="M157" s="14"/>
      <c r="N157" s="89"/>
      <c r="O157" s="89"/>
      <c r="P157" s="89"/>
      <c r="Q157" s="89"/>
      <c r="R157" s="89"/>
      <c r="S157" s="89"/>
      <c r="T157" s="89"/>
      <c r="U157" s="89"/>
      <c r="V157" s="89"/>
      <c r="W157" s="89"/>
      <c r="X157" s="89"/>
      <c r="Y157" s="89"/>
      <c r="Z157" s="89"/>
      <c r="AA157" s="89"/>
      <c r="AB157" s="89"/>
      <c r="AC157" s="89"/>
      <c r="AD157" s="89"/>
      <c r="AE157" s="89"/>
      <c r="AF157" s="89"/>
      <c r="AG157" s="89"/>
      <c r="AH157" s="89"/>
      <c r="AI157" s="89"/>
      <c r="AJ157" s="89"/>
      <c r="AK157" s="89"/>
      <c r="AL157" s="89"/>
      <c r="AM157" s="89"/>
      <c r="AN157" s="89"/>
      <c r="DW157" s="54"/>
      <c r="EA157" s="55"/>
      <c r="EB157" s="55"/>
      <c r="EC157" s="55"/>
      <c r="ED157" s="55"/>
      <c r="EE157" s="55"/>
    </row>
    <row r="158" spans="1:135" x14ac:dyDescent="0.4">
      <c r="A158" s="221"/>
      <c r="C158" s="50"/>
      <c r="D158" s="14"/>
      <c r="E158" s="14"/>
      <c r="F158" s="14"/>
      <c r="G158" s="14"/>
      <c r="H158" s="14"/>
      <c r="I158" s="14"/>
      <c r="J158" s="14"/>
      <c r="K158" s="14"/>
      <c r="L158" s="14"/>
      <c r="M158" s="14"/>
      <c r="N158" s="89"/>
      <c r="O158" s="89"/>
      <c r="P158" s="89"/>
      <c r="Q158" s="89"/>
      <c r="R158" s="89"/>
      <c r="S158" s="89"/>
      <c r="T158" s="89"/>
      <c r="U158" s="89"/>
      <c r="V158" s="89"/>
      <c r="W158" s="89"/>
      <c r="X158" s="89"/>
      <c r="Y158" s="89"/>
      <c r="Z158" s="89"/>
      <c r="AA158" s="89"/>
      <c r="AB158" s="89"/>
      <c r="AC158" s="89"/>
      <c r="AD158" s="89"/>
      <c r="AE158" s="89"/>
      <c r="AF158" s="89"/>
      <c r="AG158" s="89"/>
      <c r="AH158" s="89"/>
      <c r="AI158" s="89"/>
      <c r="AJ158" s="89"/>
      <c r="AK158" s="89"/>
      <c r="AL158" s="89"/>
      <c r="AM158" s="89"/>
      <c r="AN158" s="89"/>
      <c r="DW158" s="54"/>
      <c r="EA158" s="55"/>
      <c r="EB158" s="55"/>
      <c r="EC158" s="55"/>
      <c r="ED158" s="55"/>
      <c r="EE158" s="55"/>
    </row>
    <row r="159" spans="1:135" x14ac:dyDescent="0.4">
      <c r="A159" s="214"/>
      <c r="B159" s="89"/>
      <c r="C159" s="14"/>
      <c r="D159" s="14"/>
      <c r="E159" s="14"/>
      <c r="F159" s="14"/>
      <c r="G159" s="14"/>
      <c r="H159" s="14"/>
      <c r="I159" s="14"/>
      <c r="J159" s="14"/>
      <c r="K159" s="14"/>
      <c r="L159" s="14"/>
      <c r="M159" s="50"/>
      <c r="N159" s="49"/>
      <c r="O159" s="49"/>
      <c r="P159" s="49"/>
      <c r="Q159" s="49"/>
      <c r="R159" s="49"/>
      <c r="S159" s="120"/>
      <c r="T159" s="120"/>
      <c r="U159" s="120"/>
      <c r="V159" s="49"/>
      <c r="W159" s="120"/>
      <c r="X159" s="120"/>
      <c r="Y159" s="120"/>
      <c r="Z159" s="89"/>
      <c r="AA159" s="89"/>
      <c r="AB159" s="89"/>
      <c r="AC159" s="89"/>
      <c r="AD159" s="89"/>
      <c r="AE159" s="89"/>
      <c r="AF159" s="89"/>
      <c r="AG159" s="89"/>
      <c r="AH159" s="89"/>
      <c r="AI159" s="89"/>
      <c r="AJ159" s="89"/>
      <c r="AK159" s="89"/>
      <c r="AL159" s="89"/>
      <c r="AM159" s="89"/>
      <c r="AN159" s="8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row>
    <row r="160" spans="1:135" x14ac:dyDescent="0.4">
      <c r="A160" s="253"/>
      <c r="B160" s="254"/>
      <c r="C160" s="255"/>
      <c r="D160" s="255"/>
      <c r="E160" s="255"/>
      <c r="F160" s="255"/>
      <c r="G160" s="255"/>
      <c r="H160" s="255"/>
      <c r="I160" s="255"/>
      <c r="J160" s="255"/>
      <c r="K160" s="255"/>
      <c r="L160" s="255"/>
      <c r="M160" s="256"/>
      <c r="S160" s="257"/>
      <c r="T160" s="257"/>
      <c r="U160" s="257"/>
      <c r="W160" s="257"/>
      <c r="X160" s="257"/>
      <c r="Y160" s="257"/>
      <c r="Z160" s="254"/>
      <c r="AA160" s="254"/>
      <c r="AB160" s="254"/>
      <c r="AC160" s="254"/>
      <c r="AD160" s="254"/>
      <c r="AE160" s="254"/>
      <c r="AF160" s="254"/>
      <c r="AG160" s="254"/>
      <c r="AH160" s="254"/>
      <c r="AI160" s="254"/>
      <c r="AJ160" s="254"/>
      <c r="AK160" s="254"/>
      <c r="AL160" s="254"/>
      <c r="AM160" s="254"/>
      <c r="AN160" s="254"/>
      <c r="DW160" s="258"/>
      <c r="EA160" s="259"/>
      <c r="EB160" s="259"/>
      <c r="EC160" s="259"/>
      <c r="ED160" s="259"/>
      <c r="EE160" s="259"/>
    </row>
    <row r="161" spans="1:135" x14ac:dyDescent="0.4">
      <c r="A161" s="253"/>
      <c r="B161" s="254"/>
      <c r="C161" s="255"/>
      <c r="D161" s="255"/>
      <c r="E161" s="255"/>
      <c r="F161" s="255"/>
      <c r="G161" s="255"/>
      <c r="H161" s="255"/>
      <c r="I161" s="255"/>
      <c r="J161" s="255"/>
      <c r="K161" s="255"/>
      <c r="L161" s="255"/>
      <c r="M161" s="256"/>
      <c r="S161" s="257"/>
      <c r="T161" s="257"/>
      <c r="U161" s="257"/>
      <c r="W161" s="257"/>
      <c r="X161" s="257"/>
      <c r="Y161" s="257"/>
      <c r="Z161" s="254"/>
      <c r="AA161" s="254"/>
      <c r="AB161" s="254"/>
      <c r="AC161" s="254"/>
      <c r="AD161" s="254"/>
      <c r="AE161" s="254"/>
      <c r="AF161" s="254"/>
      <c r="AG161" s="254"/>
      <c r="AH161" s="254"/>
      <c r="AI161" s="254"/>
      <c r="AJ161" s="254"/>
      <c r="AK161" s="254"/>
      <c r="AL161" s="254"/>
      <c r="AM161" s="254"/>
      <c r="AN161" s="254"/>
      <c r="DW161" s="258"/>
      <c r="EA161" s="259"/>
      <c r="EB161" s="259"/>
      <c r="EC161" s="259"/>
      <c r="ED161" s="259"/>
      <c r="EE161" s="259"/>
    </row>
    <row r="162" spans="1:135" x14ac:dyDescent="0.4">
      <c r="A162" s="214"/>
      <c r="B162" s="89"/>
      <c r="C162" s="14"/>
      <c r="D162" s="14"/>
      <c r="E162" s="14"/>
      <c r="F162" s="14"/>
      <c r="G162" s="14"/>
      <c r="H162" s="14"/>
      <c r="I162" s="14"/>
      <c r="J162" s="14"/>
      <c r="K162" s="14"/>
      <c r="L162" s="14"/>
      <c r="M162" s="50"/>
      <c r="N162" s="49"/>
      <c r="O162" s="49"/>
      <c r="P162" s="49"/>
      <c r="Q162" s="49"/>
      <c r="R162" s="49"/>
      <c r="S162" s="120"/>
      <c r="T162" s="120"/>
      <c r="U162" s="120"/>
      <c r="V162" s="49"/>
      <c r="W162" s="120"/>
      <c r="X162" s="120"/>
      <c r="Y162" s="120"/>
      <c r="Z162" s="89"/>
      <c r="AA162" s="89"/>
      <c r="AB162" s="89"/>
      <c r="AC162" s="89"/>
      <c r="AD162" s="89"/>
      <c r="AE162" s="89"/>
      <c r="AF162" s="89"/>
      <c r="AG162" s="89"/>
      <c r="AH162" s="89"/>
      <c r="AI162" s="89"/>
      <c r="AJ162" s="89"/>
      <c r="AK162" s="89"/>
      <c r="AL162" s="89"/>
      <c r="AM162" s="89"/>
      <c r="AN162" s="8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row>
    <row r="163" spans="1:135" x14ac:dyDescent="0.4">
      <c r="A163" s="214"/>
      <c r="B163" s="89"/>
      <c r="C163" s="14"/>
      <c r="D163" s="14"/>
      <c r="E163" s="14"/>
      <c r="F163" s="14"/>
      <c r="G163" s="14"/>
      <c r="H163" s="14"/>
      <c r="I163" s="14"/>
      <c r="J163" s="14"/>
      <c r="K163" s="14"/>
      <c r="L163" s="14"/>
      <c r="M163" s="50"/>
      <c r="N163" s="49"/>
      <c r="O163" s="49"/>
      <c r="P163" s="49"/>
      <c r="Q163" s="49"/>
      <c r="R163" s="49"/>
      <c r="S163" s="120"/>
      <c r="T163" s="120"/>
      <c r="U163" s="120"/>
      <c r="V163" s="49"/>
      <c r="W163" s="120"/>
      <c r="X163" s="120"/>
      <c r="Y163" s="120"/>
      <c r="Z163" s="89"/>
      <c r="AA163" s="89"/>
      <c r="AB163" s="89"/>
      <c r="AC163" s="89"/>
      <c r="AD163" s="89"/>
      <c r="AE163" s="89"/>
      <c r="AF163" s="89"/>
      <c r="AG163" s="89"/>
      <c r="AH163" s="89"/>
      <c r="AI163" s="89"/>
      <c r="AJ163" s="89"/>
      <c r="AK163" s="89"/>
      <c r="AL163" s="89"/>
      <c r="AM163" s="89"/>
      <c r="AN163" s="89"/>
      <c r="AO163" s="89"/>
    </row>
    <row r="164" spans="1:135" x14ac:dyDescent="0.4">
      <c r="A164" s="221"/>
      <c r="B164" s="49"/>
      <c r="C164" s="50"/>
      <c r="D164" s="14"/>
      <c r="E164" s="14"/>
      <c r="F164" s="14"/>
      <c r="G164" s="14"/>
      <c r="H164" s="14"/>
      <c r="I164" s="14"/>
      <c r="J164" s="14"/>
      <c r="K164" s="14"/>
      <c r="L164" s="14"/>
      <c r="M164" s="14"/>
      <c r="N164" s="89"/>
      <c r="O164" s="89"/>
      <c r="P164" s="89"/>
      <c r="Q164" s="89"/>
      <c r="R164" s="89"/>
      <c r="S164" s="89"/>
      <c r="T164" s="89"/>
      <c r="U164" s="89"/>
      <c r="V164" s="89"/>
      <c r="W164" s="89"/>
      <c r="X164" s="89"/>
      <c r="Y164" s="89"/>
      <c r="Z164" s="89"/>
      <c r="AA164" s="89"/>
      <c r="AB164" s="89"/>
      <c r="AC164" s="89"/>
      <c r="AD164" s="89"/>
      <c r="AE164" s="89"/>
      <c r="AF164" s="89"/>
      <c r="AG164" s="89"/>
      <c r="AH164" s="89"/>
      <c r="AI164" s="89"/>
      <c r="AJ164" s="89"/>
      <c r="AK164" s="89"/>
      <c r="AL164" s="89"/>
      <c r="AM164" s="89"/>
      <c r="AN164" s="89"/>
      <c r="AO164" s="89"/>
    </row>
    <row r="165" spans="1:135" x14ac:dyDescent="0.4">
      <c r="A165" s="260" t="s">
        <v>99</v>
      </c>
      <c r="B165" s="89"/>
      <c r="C165" s="14"/>
      <c r="D165" s="14"/>
      <c r="E165" s="14"/>
      <c r="F165" s="14"/>
      <c r="G165" s="14"/>
      <c r="H165" s="14"/>
      <c r="I165" s="14"/>
      <c r="J165" s="14"/>
      <c r="K165" s="14"/>
      <c r="L165" s="14"/>
      <c r="M165" s="14"/>
      <c r="N165" s="89"/>
      <c r="O165" s="89"/>
      <c r="P165" s="89"/>
      <c r="Q165" s="89"/>
      <c r="R165" s="89"/>
      <c r="S165" s="89"/>
      <c r="T165" s="89"/>
      <c r="U165" s="89"/>
      <c r="V165" s="89"/>
      <c r="W165" s="89"/>
      <c r="X165" s="89"/>
      <c r="Y165" s="89"/>
      <c r="Z165" s="89"/>
      <c r="AA165" s="261" t="s">
        <v>99</v>
      </c>
      <c r="AB165" s="89"/>
      <c r="AC165" s="89"/>
      <c r="AD165" s="89"/>
      <c r="AE165" s="89"/>
      <c r="AF165" s="89"/>
      <c r="AG165" s="89"/>
      <c r="AH165" s="89"/>
      <c r="AI165" s="89"/>
      <c r="AJ165" s="89"/>
      <c r="AK165" s="89"/>
      <c r="AL165" s="89"/>
      <c r="AM165" s="261" t="s">
        <v>99</v>
      </c>
      <c r="AN165" s="89"/>
      <c r="AO165" s="89"/>
      <c r="AZ165" s="261" t="s">
        <v>99</v>
      </c>
      <c r="BJ165" s="261" t="s">
        <v>99</v>
      </c>
      <c r="BR165" s="261" t="s">
        <v>99</v>
      </c>
      <c r="BY165" s="261" t="s">
        <v>99</v>
      </c>
      <c r="CG165" s="261" t="s">
        <v>99</v>
      </c>
      <c r="CP165" s="261" t="s">
        <v>99</v>
      </c>
      <c r="DV165" s="261" t="s">
        <v>99</v>
      </c>
    </row>
    <row r="166" spans="1:135" x14ac:dyDescent="0.4">
      <c r="B166" s="694"/>
      <c r="C166" s="694"/>
      <c r="D166" s="113"/>
      <c r="E166" s="113"/>
      <c r="F166" s="113"/>
      <c r="G166" s="113"/>
      <c r="H166" s="113"/>
      <c r="I166" s="113"/>
      <c r="J166" s="113"/>
      <c r="K166" s="113"/>
      <c r="L166" s="113"/>
      <c r="M166" s="113"/>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89"/>
      <c r="DW166" s="54"/>
      <c r="EA166" s="55"/>
      <c r="EB166" s="55"/>
      <c r="EC166" s="55"/>
      <c r="ED166" s="55"/>
      <c r="EE166" s="55"/>
    </row>
    <row r="167" spans="1:135" ht="12.6" thickBot="1" x14ac:dyDescent="0.45">
      <c r="A167" s="233"/>
      <c r="B167" s="679"/>
      <c r="C167" s="679"/>
      <c r="D167" s="113"/>
      <c r="E167" s="113"/>
      <c r="F167" s="113"/>
      <c r="G167" s="113"/>
      <c r="H167" s="113"/>
      <c r="I167" s="113"/>
      <c r="J167" s="113"/>
      <c r="K167" s="113"/>
      <c r="L167" s="113"/>
      <c r="M167" s="113"/>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CZ167" s="116"/>
      <c r="DA167" s="116"/>
      <c r="DB167" s="116"/>
      <c r="DC167" s="116"/>
      <c r="DD167" s="116"/>
      <c r="DE167" s="116"/>
      <c r="DF167" s="116"/>
      <c r="DG167" s="116"/>
      <c r="DH167" s="116"/>
      <c r="DI167" s="117" t="str">
        <f>"DJ"&amp;MIN(DK170:DK215)</f>
        <v>DJ0</v>
      </c>
      <c r="DJ167" s="118" t="str">
        <f>"DJ"&amp;MAX(DK170:DK215)</f>
        <v>DJ0</v>
      </c>
      <c r="DK167" s="116"/>
      <c r="DL167" s="117" t="str">
        <f>"DM"&amp;MIN(DN170:DN215)</f>
        <v>DM0</v>
      </c>
      <c r="DM167" s="118" t="str">
        <f>"DM"&amp;MAX(DN170:DN215)</f>
        <v>DM0</v>
      </c>
      <c r="DN167" s="116"/>
      <c r="DO167" s="117" t="str">
        <f>"DP"&amp;MIN(DQ170:DQ215)</f>
        <v>DP0</v>
      </c>
      <c r="DP167" s="118" t="str">
        <f>"DP"&amp;MAX(DQ170:DQ215)</f>
        <v>DP0</v>
      </c>
      <c r="DQ167" s="116"/>
      <c r="DW167" s="119"/>
      <c r="EA167" s="33"/>
      <c r="EB167" s="33"/>
      <c r="EC167" s="33"/>
      <c r="ED167" s="33"/>
      <c r="EE167" s="33"/>
    </row>
    <row r="168" spans="1:135" ht="24.9" thickBot="1" x14ac:dyDescent="0.5">
      <c r="A168" s="676" t="s">
        <v>65</v>
      </c>
      <c r="C168" s="680" t="str">
        <f>A186</f>
        <v>Base Cases</v>
      </c>
      <c r="D168" s="681"/>
      <c r="E168" s="682"/>
      <c r="F168" s="683" t="str">
        <f>A187</f>
        <v>Conservative Cases</v>
      </c>
      <c r="G168" s="684"/>
      <c r="H168" s="685"/>
      <c r="I168" s="686" t="str">
        <f>A188</f>
        <v>Ambitious Cases</v>
      </c>
      <c r="J168" s="687"/>
      <c r="K168" s="688"/>
      <c r="L168" s="692" t="str">
        <f>A189</f>
        <v>Maximum Cases</v>
      </c>
      <c r="M168" s="693"/>
      <c r="O168" s="122"/>
      <c r="P168" s="122"/>
      <c r="Q168" s="122"/>
      <c r="W168" s="691" t="s">
        <v>66</v>
      </c>
      <c r="X168" s="691"/>
      <c r="Y168" s="691"/>
      <c r="Z168" s="120"/>
      <c r="AA168" s="1274" t="s">
        <v>1061</v>
      </c>
      <c r="AB168" s="1274"/>
      <c r="AC168" s="1274"/>
      <c r="AD168" s="120"/>
      <c r="AE168" s="120"/>
      <c r="AF168" s="120"/>
      <c r="AG168" s="120"/>
      <c r="AH168" s="120"/>
      <c r="AI168" s="120"/>
      <c r="AJ168" s="120"/>
      <c r="AK168" s="120"/>
      <c r="AL168" s="120"/>
      <c r="AM168" s="120"/>
      <c r="AN168" s="120"/>
      <c r="BR168" s="121" t="s">
        <v>67</v>
      </c>
      <c r="BS168" s="121"/>
      <c r="BT168" s="121"/>
      <c r="BU168" s="121"/>
      <c r="BV168" s="121"/>
      <c r="BW168" s="122"/>
      <c r="BY168" s="121" t="s">
        <v>68</v>
      </c>
      <c r="BZ168" s="121"/>
      <c r="CA168" s="121"/>
      <c r="CB168" s="121"/>
      <c r="CC168" s="121"/>
      <c r="CD168" s="121"/>
      <c r="CG168" s="121" t="s">
        <v>69</v>
      </c>
      <c r="CH168" s="121"/>
      <c r="CI168" s="121"/>
      <c r="CJ168" s="121"/>
      <c r="CK168" s="121"/>
      <c r="CL168" s="121"/>
      <c r="CM168" s="121"/>
      <c r="CP168" s="121" t="s">
        <v>70</v>
      </c>
      <c r="CQ168" s="121"/>
      <c r="CR168" s="121"/>
      <c r="CS168" s="121"/>
      <c r="CT168" s="121"/>
      <c r="CU168" s="121"/>
      <c r="CZ168" s="123"/>
      <c r="DA168" s="123"/>
      <c r="DB168" s="123"/>
      <c r="DC168" s="123"/>
      <c r="DD168" s="123"/>
      <c r="DE168" s="123"/>
      <c r="DF168" s="123"/>
      <c r="DG168" s="123"/>
      <c r="DH168" s="123"/>
      <c r="DI168" s="124" t="str">
        <f>"DI"&amp;MIN(DK170:DK215)</f>
        <v>DI0</v>
      </c>
      <c r="DJ168" s="125" t="str">
        <f>"DI"&amp;MAX(DK170:DK215)</f>
        <v>DI0</v>
      </c>
      <c r="DK168" s="123"/>
      <c r="DL168" s="124" t="str">
        <f>"DL"&amp;MIN(DN170:DN215)</f>
        <v>DL0</v>
      </c>
      <c r="DM168" s="125" t="str">
        <f>"DL"&amp;MAX(DN170:DN215)</f>
        <v>DL0</v>
      </c>
      <c r="DN168" s="123"/>
      <c r="DO168" s="124" t="str">
        <f>"DO"&amp;MIN(DQ170:DQ215)</f>
        <v>DO0</v>
      </c>
      <c r="DP168" s="125" t="str">
        <f>"DO"&amp;MAX(DQ170:DQ215)</f>
        <v>DO0</v>
      </c>
      <c r="DQ168" s="123"/>
      <c r="DV168" s="126" t="s">
        <v>71</v>
      </c>
      <c r="DZ168" s="127" t="s">
        <v>72</v>
      </c>
      <c r="EA168" s="33" t="str">
        <f>$L$20</f>
        <v>3rd Poly</v>
      </c>
    </row>
    <row r="169" spans="1:135" ht="86.4" thickBot="1" x14ac:dyDescent="0.5">
      <c r="A169" s="676" t="s">
        <v>73</v>
      </c>
      <c r="B169" s="128"/>
      <c r="C169" s="129" t="str">
        <f>A170</f>
        <v>Based on World Bank, What a Waste 2.0</v>
      </c>
      <c r="D169" s="1120" t="str">
        <f>A171</f>
        <v>Based on Hoornweg et al (2014)</v>
      </c>
      <c r="E169" s="131" t="str">
        <f>A172</f>
        <v>[Source 3]</v>
      </c>
      <c r="F169" s="129" t="str">
        <f>A173</f>
        <v>[Source 1]</v>
      </c>
      <c r="G169" s="130" t="str">
        <f>A174</f>
        <v>[Source 2]</v>
      </c>
      <c r="H169" s="131" t="str">
        <f>A175</f>
        <v>[Source 3]</v>
      </c>
      <c r="I169" s="1100" t="str">
        <f>A176</f>
        <v>Based on  IEA Annex I – Municipal solid waste potential in cities; Table I.1</v>
      </c>
      <c r="J169" s="130" t="str">
        <f>A177</f>
        <v>[Source 2]</v>
      </c>
      <c r="K169" s="131" t="str">
        <f>A178</f>
        <v>[Source 3]</v>
      </c>
      <c r="L169" s="129" t="str">
        <f>A179</f>
        <v>[Source 1]</v>
      </c>
      <c r="M169" s="131" t="str">
        <f>A180</f>
        <v>[Source 2]</v>
      </c>
      <c r="N169" s="234" t="s">
        <v>74</v>
      </c>
      <c r="O169" s="133"/>
      <c r="P169" s="133"/>
      <c r="Q169" s="133"/>
      <c r="R169" s="135" t="s">
        <v>76</v>
      </c>
      <c r="S169" s="134" t="s">
        <v>77</v>
      </c>
      <c r="T169" s="134" t="s">
        <v>78</v>
      </c>
      <c r="U169" s="136" t="s">
        <v>79</v>
      </c>
      <c r="V169" s="691"/>
      <c r="W169" s="136" t="s">
        <v>15</v>
      </c>
      <c r="X169" s="134" t="s">
        <v>21</v>
      </c>
      <c r="Y169" s="136" t="s">
        <v>25</v>
      </c>
      <c r="AA169" s="136" t="s">
        <v>15</v>
      </c>
      <c r="AB169" s="134" t="s">
        <v>21</v>
      </c>
      <c r="AC169" s="136" t="s">
        <v>25</v>
      </c>
      <c r="AD169" s="138"/>
      <c r="AE169" s="138"/>
      <c r="AF169" s="138"/>
      <c r="AG169" s="138"/>
      <c r="AH169" s="138"/>
      <c r="AI169" s="138"/>
      <c r="AJ169" s="138"/>
      <c r="AK169" s="138"/>
      <c r="AL169" s="138"/>
      <c r="AM169" s="138"/>
      <c r="AN169" s="138"/>
      <c r="BR169" s="139"/>
      <c r="BS169" s="139"/>
      <c r="BT169" s="139"/>
      <c r="BU169" s="139"/>
      <c r="BV169" s="139"/>
      <c r="BW169" s="122"/>
      <c r="BZ169" s="139"/>
      <c r="CA169" s="139"/>
      <c r="CB169" s="139"/>
      <c r="CC169" s="139"/>
      <c r="CD169" s="139"/>
      <c r="CH169" s="139"/>
      <c r="CI169" s="139"/>
      <c r="CJ169" s="139"/>
      <c r="CK169" s="139"/>
      <c r="CL169" s="139"/>
      <c r="CM169" s="139"/>
      <c r="CQ169" s="139"/>
      <c r="CR169" s="139"/>
      <c r="CS169" s="139"/>
      <c r="CT169" s="139"/>
      <c r="CU169" s="139"/>
      <c r="CZ169" s="140"/>
      <c r="DA169" s="140"/>
      <c r="DB169" s="140"/>
      <c r="DC169" s="140"/>
      <c r="DD169" s="141"/>
      <c r="DE169" s="141"/>
      <c r="DF169" s="141"/>
      <c r="DG169" s="141"/>
      <c r="DH169" s="140"/>
      <c r="DI169" s="142"/>
      <c r="DJ169" s="143"/>
      <c r="DK169" s="144"/>
      <c r="DL169" s="142"/>
      <c r="DM169" s="143"/>
      <c r="DN169" s="140"/>
      <c r="DO169" s="142"/>
      <c r="DP169" s="143"/>
      <c r="DQ169" s="140"/>
      <c r="DV169" s="145">
        <v>2014</v>
      </c>
      <c r="DW169" s="235" t="e">
        <f t="shared" ref="DW169:DW215" ca="1" si="76">IF($J$20="N","",IF($L$20="Linear",BV174,IF($L$20="2nd Poly",CD174,IF($L$20="3rd Poly",CM174,IF($L$20="Exp",CT174)))))</f>
        <v>#REF!</v>
      </c>
      <c r="EA169" s="33" t="str">
        <f>$M$20</f>
        <v>Medium</v>
      </c>
      <c r="EB169" s="33"/>
      <c r="EC169" s="33"/>
      <c r="ED169" s="33"/>
      <c r="EE169" s="33"/>
    </row>
    <row r="170" spans="1:135" ht="14.1" thickBot="1" x14ac:dyDescent="0.5">
      <c r="A170" s="948" t="s">
        <v>1032</v>
      </c>
      <c r="B170" s="128">
        <v>2012</v>
      </c>
      <c r="C170" s="1030"/>
      <c r="D170" s="1030"/>
      <c r="E170" s="938"/>
      <c r="F170" s="1037"/>
      <c r="G170" s="1038"/>
      <c r="H170" s="1000"/>
      <c r="I170" s="1138"/>
      <c r="J170" s="264"/>
      <c r="K170" s="239"/>
      <c r="L170" s="190"/>
      <c r="M170" s="239"/>
      <c r="N170" s="29" t="s">
        <v>119</v>
      </c>
      <c r="O170" s="120"/>
      <c r="P170" s="120"/>
      <c r="Q170" s="120"/>
      <c r="R170" s="29">
        <v>-2</v>
      </c>
      <c r="S170" s="265" t="str">
        <f t="shared" ref="S170:S201" si="77">IF(MIN(C170:Q170)=0,"",MIN(C170:Q170))</f>
        <v/>
      </c>
      <c r="T170" s="265" t="str">
        <f t="shared" ref="T170:T201" si="78">IF(MAX(C170:Q170)=0,"",MAX(C170:Q170))</f>
        <v/>
      </c>
      <c r="U170" s="265" t="str">
        <f t="shared" ref="U170:U201" si="79">IF(T170="","",_xlfn.STDEV.P(C170:Q170))</f>
        <v/>
      </c>
      <c r="V170" s="29"/>
      <c r="W170" s="265" t="e">
        <f t="shared" ref="W170:W218" si="80">IF(U170="",#N/A,X170-(U170*$Q$20))</f>
        <v>#N/A</v>
      </c>
      <c r="X170" s="265" t="e">
        <f t="shared" ref="X170:X201" si="81">IF(U170="",#N/A,(SUM(C170:Q170)/COUNTIFS(C170:Q170,"&gt;0")))</f>
        <v>#N/A</v>
      </c>
      <c r="Y170" s="265" t="e">
        <f t="shared" ref="Y170:Y218" si="82">IF(U170="",#N/A,X170+(U170*$Q$19))</f>
        <v>#N/A</v>
      </c>
      <c r="AA170" s="1133">
        <v>174.33333333333334</v>
      </c>
      <c r="AB170" s="1133">
        <v>174.33333333333334</v>
      </c>
      <c r="AC170" s="1133">
        <v>174.33333333333334</v>
      </c>
      <c r="AD170" s="138"/>
      <c r="AE170" s="138"/>
      <c r="AF170" s="138"/>
      <c r="AG170" s="138"/>
      <c r="AH170" s="138"/>
      <c r="AI170" s="138"/>
      <c r="AJ170" s="138"/>
      <c r="AK170" s="138"/>
      <c r="AL170" s="138"/>
      <c r="AM170" s="138"/>
      <c r="AN170" s="138"/>
      <c r="BR170" s="691"/>
      <c r="BS170" s="65" t="str">
        <f>$M$20</f>
        <v>Medium</v>
      </c>
      <c r="BT170" s="691" t="s">
        <v>82</v>
      </c>
      <c r="BU170" s="691" t="s">
        <v>83</v>
      </c>
      <c r="BW170" s="133"/>
      <c r="BY170" s="691"/>
      <c r="BZ170" s="65" t="str">
        <f>$M$20</f>
        <v>Medium</v>
      </c>
      <c r="CA170" s="691" t="s">
        <v>84</v>
      </c>
      <c r="CB170" s="691" t="s">
        <v>82</v>
      </c>
      <c r="CC170" s="691" t="s">
        <v>83</v>
      </c>
      <c r="CG170" s="691"/>
      <c r="CH170" s="65" t="str">
        <f>$M$20</f>
        <v>Medium</v>
      </c>
      <c r="CI170" s="691" t="s">
        <v>85</v>
      </c>
      <c r="CJ170" s="691" t="s">
        <v>84</v>
      </c>
      <c r="CK170" s="691" t="s">
        <v>82</v>
      </c>
      <c r="CL170" s="691" t="s">
        <v>83</v>
      </c>
      <c r="CP170" s="691"/>
      <c r="CQ170" s="65" t="str">
        <f>$M$20</f>
        <v>Medium</v>
      </c>
      <c r="CR170" s="691" t="s">
        <v>86</v>
      </c>
      <c r="CS170" s="691" t="s">
        <v>87</v>
      </c>
      <c r="CZ170" s="155" t="b">
        <f t="shared" ref="CZ170:DB209" si="83">ISNUMBER(W170)</f>
        <v>0</v>
      </c>
      <c r="DA170" s="156" t="b">
        <f t="shared" si="83"/>
        <v>0</v>
      </c>
      <c r="DB170" s="157" t="b">
        <f t="shared" si="83"/>
        <v>0</v>
      </c>
      <c r="DC170" s="155" t="str">
        <f t="shared" ref="DC170:DC218" si="84">IF(CZ170=TRUE,$R170,"")</f>
        <v/>
      </c>
      <c r="DD170" s="157" t="str">
        <f t="shared" ref="DD170:DD218" si="85">IF(CZ170=TRUE,W170,"")</f>
        <v/>
      </c>
      <c r="DE170" s="155" t="str">
        <f t="shared" ref="DE170:DE218" si="86">IF(DA170=TRUE,$R170,"")</f>
        <v/>
      </c>
      <c r="DF170" s="157" t="str">
        <f t="shared" ref="DF170:DF218" si="87">IF(DA170=TRUE,X170,"")</f>
        <v/>
      </c>
      <c r="DG170" s="155" t="str">
        <f t="shared" ref="DG170:DG218" si="88">IF(DB170=TRUE,$R170,"")</f>
        <v/>
      </c>
      <c r="DH170" s="157" t="str">
        <f t="shared" ref="DH170:DH218" si="89">IF(DB170=TRUE,Y170,"")</f>
        <v/>
      </c>
      <c r="DI170" s="155" t="str">
        <f>IFERROR(INDEX(DC$170:DC$218,_xlfn.AGGREGATE(15,6,(ROW(DC$170:DC$218)-ROW(DC$170)+1)/(DC$170:DC$218&lt;&gt;""),ROWS(DI$1:DI1))),"")</f>
        <v/>
      </c>
      <c r="DJ170" s="156" t="str">
        <f>IFERROR(INDEX(DD$170:DD$218,_xlfn.AGGREGATE(15,6,(ROW(DD$170:DD$218)-ROW(DD$170)+1)/(DD$170:DD$218&lt;&gt;""),ROWS(DJ$1:DJ1))),"")</f>
        <v/>
      </c>
      <c r="DK170" s="157" t="str">
        <f t="shared" ref="DK170:DK218" si="90">IF(ISNUMBER(DI170),ROW(DI170),"")</f>
        <v/>
      </c>
      <c r="DL170" s="155" t="str">
        <f>IFERROR(INDEX(DE$170:DE$218,_xlfn.AGGREGATE(15,6,(ROW(DE$170:DE$218)-ROW(DE$170)+1)/(DE$170:DE$218&lt;&gt;""),ROWS(DL$1:DL1))),"")</f>
        <v/>
      </c>
      <c r="DM170" s="156" t="str">
        <f>IFERROR(INDEX(DF$170:DF$218,_xlfn.AGGREGATE(15,6,(ROW(DF$170:DF$218)-ROW(DF$170)+1)/(DF$170:DF$218&lt;&gt;""),ROWS(DM$1:DM1))),"")</f>
        <v/>
      </c>
      <c r="DN170" s="157" t="str">
        <f t="shared" ref="DN170:DN218" si="91">IF(ISNUMBER(DI170),ROW(DI170),"")</f>
        <v/>
      </c>
      <c r="DO170" s="155" t="str">
        <f>IFERROR(INDEX(DG$170:DG$218,_xlfn.AGGREGATE(15,6,(ROW(DG$170:DG$218)-ROW(DG$170)+1)/(DG$170:DG$218&lt;&gt;""),ROWS(DO$1:DO1))),"")</f>
        <v/>
      </c>
      <c r="DP170" s="156" t="str">
        <f>IFERROR(INDEX(DH$170:DH$218,_xlfn.AGGREGATE(15,6,(ROW(DH$170:DH$218)-ROW(DH$170)+1)/(DH$170:DH$218&lt;&gt;""),ROWS(DP$1:DP1))),"")</f>
        <v/>
      </c>
      <c r="DQ170" s="157" t="str">
        <f t="shared" ref="DQ170:DQ218" si="92">IF(ISNUMBER(DL170),ROW(DL170),"")</f>
        <v/>
      </c>
      <c r="DV170" s="145">
        <v>2015</v>
      </c>
      <c r="DW170" s="235" t="e">
        <f t="shared" ca="1" si="76"/>
        <v>#REF!</v>
      </c>
      <c r="EA170" s="33"/>
      <c r="EB170" s="33"/>
      <c r="EC170" s="33"/>
      <c r="ED170" s="33"/>
      <c r="EE170" s="33"/>
    </row>
    <row r="171" spans="1:135" ht="13.8" x14ac:dyDescent="0.45">
      <c r="A171" s="948" t="s">
        <v>1037</v>
      </c>
      <c r="B171" s="128">
        <v>2013</v>
      </c>
      <c r="C171" s="1031"/>
      <c r="D171" s="1031"/>
      <c r="E171" s="938"/>
      <c r="F171" s="1016"/>
      <c r="G171" s="981"/>
      <c r="H171" s="1002"/>
      <c r="I171" s="1140"/>
      <c r="J171" s="267"/>
      <c r="K171" s="239"/>
      <c r="L171" s="190"/>
      <c r="M171" s="239"/>
      <c r="N171" s="29" t="s">
        <v>119</v>
      </c>
      <c r="O171" s="120"/>
      <c r="P171" s="120"/>
      <c r="Q171" s="120"/>
      <c r="R171" s="29">
        <v>-1</v>
      </c>
      <c r="S171" s="265" t="str">
        <f t="shared" si="77"/>
        <v/>
      </c>
      <c r="T171" s="265" t="str">
        <f t="shared" si="78"/>
        <v/>
      </c>
      <c r="U171" s="265" t="str">
        <f t="shared" si="79"/>
        <v/>
      </c>
      <c r="V171" s="29"/>
      <c r="W171" s="265" t="e">
        <f t="shared" si="80"/>
        <v>#N/A</v>
      </c>
      <c r="X171" s="265" t="e">
        <f t="shared" si="81"/>
        <v>#N/A</v>
      </c>
      <c r="Y171" s="265" t="e">
        <f t="shared" si="82"/>
        <v>#N/A</v>
      </c>
      <c r="AA171" s="1133">
        <v>175.63333333333333</v>
      </c>
      <c r="AB171" s="1133">
        <v>175.63333333333333</v>
      </c>
      <c r="AC171" s="1133">
        <v>175.63333333333333</v>
      </c>
      <c r="AD171" s="138"/>
      <c r="AE171" s="138"/>
      <c r="AF171" s="138"/>
      <c r="AG171" s="138"/>
      <c r="AH171" s="138"/>
      <c r="AI171" s="138"/>
      <c r="AJ171" s="138"/>
      <c r="AK171" s="138"/>
      <c r="AL171" s="138"/>
      <c r="AM171" s="138"/>
      <c r="AN171" s="138"/>
      <c r="BS171" s="160" t="s">
        <v>25</v>
      </c>
      <c r="BT171" s="161" t="e">
        <f>SLOPE((DH170:DH218),($B$46:$B$94))</f>
        <v>#DIV/0!</v>
      </c>
      <c r="BU171" s="162" t="e">
        <f>INTERCEPT(DP170:DP218,DO170:DO218)</f>
        <v>#DIV/0!</v>
      </c>
      <c r="BW171" s="133"/>
      <c r="BZ171" s="160" t="s">
        <v>25</v>
      </c>
      <c r="CA171" s="161" t="e">
        <f ca="1">INDEX(LINEST((INDIRECT(DO167):INDIRECT(DP167)),(INDIRECT(DO168):INDIRECT(DP168))^{1,2}),1)</f>
        <v>#REF!</v>
      </c>
      <c r="CB171" s="163" t="e">
        <f ca="1">INDEX(LINEST((INDIRECT(DO167):INDIRECT(DP167)),(INDIRECT(DO168):INDIRECT(DP168))^{1,2}),1,2)</f>
        <v>#REF!</v>
      </c>
      <c r="CC171" s="162" t="e">
        <f ca="1">INDEX(LINEST((INDIRECT(DO167):INDIRECT(DP167)),(INDIRECT(DO168):INDIRECT(DP168))^{1,2}),1,3)</f>
        <v>#REF!</v>
      </c>
      <c r="CH171" s="160" t="s">
        <v>25</v>
      </c>
      <c r="CI171" s="161" t="e">
        <f ca="1">INDEX(LINEST((INDIRECT(DO167):INDIRECT(DP167)),(INDIRECT(DO168):INDIRECT(DP168))^{1,2,3}),1)</f>
        <v>#REF!</v>
      </c>
      <c r="CJ171" s="163" t="e">
        <f ca="1">INDEX(LINEST((INDIRECT(DO167):INDIRECT(DP167)),(INDIRECT(DO168):INDIRECT(DP168))^{1,2,3}),1,2)</f>
        <v>#REF!</v>
      </c>
      <c r="CK171" s="163" t="e">
        <f ca="1">INDEX(LINEST((INDIRECT(DO167):INDIRECT(DP167)),(INDIRECT(DO168):INDIRECT(DP168))^{1,2,3}),1,3)</f>
        <v>#REF!</v>
      </c>
      <c r="CL171" s="162" t="e">
        <f ca="1">INDEX(LINEST((INDIRECT(DO167):INDIRECT(DP167)),(INDIRECT(DO168):INDIRECT(DP168))^{1,2,3}),1,4)</f>
        <v>#REF!</v>
      </c>
      <c r="CQ171" s="160" t="s">
        <v>25</v>
      </c>
      <c r="CR171" s="161" t="e">
        <f ca="1">EXP(INDEX(LINEST(LN(INDIRECT(DO167):INDIRECT(DP167)),(INDIRECT(DO168):INDIRECT(DP168))),1,2))</f>
        <v>#REF!</v>
      </c>
      <c r="CS171" s="162" t="e">
        <f ca="1">INDEX(LINEST(LN(INDIRECT(DO167):INDIRECT(DP167)),(INDIRECT(DO168):INDIRECT(DP168))),1)</f>
        <v>#REF!</v>
      </c>
      <c r="CZ171" s="164" t="b">
        <f t="shared" si="83"/>
        <v>0</v>
      </c>
      <c r="DA171" s="165" t="b">
        <f t="shared" si="83"/>
        <v>0</v>
      </c>
      <c r="DB171" s="166" t="b">
        <f t="shared" si="83"/>
        <v>0</v>
      </c>
      <c r="DC171" s="164" t="str">
        <f t="shared" si="84"/>
        <v/>
      </c>
      <c r="DD171" s="166" t="str">
        <f t="shared" si="85"/>
        <v/>
      </c>
      <c r="DE171" s="164" t="str">
        <f t="shared" si="86"/>
        <v/>
      </c>
      <c r="DF171" s="166" t="str">
        <f t="shared" si="87"/>
        <v/>
      </c>
      <c r="DG171" s="164" t="str">
        <f t="shared" si="88"/>
        <v/>
      </c>
      <c r="DH171" s="166" t="str">
        <f t="shared" si="89"/>
        <v/>
      </c>
      <c r="DI171" s="164" t="str">
        <f>IFERROR(INDEX(DC$170:DC$218,_xlfn.AGGREGATE(15,6,(ROW(DC$170:DC$218)-ROW(DC$170)+1)/(DC$170:DC$218&lt;&gt;""),ROWS(DI$1:DI2))),"")</f>
        <v/>
      </c>
      <c r="DJ171" s="165" t="str">
        <f>IFERROR(INDEX(DD$170:DD$218,_xlfn.AGGREGATE(15,6,(ROW(DD$170:DD$218)-ROW(DD$170)+1)/(DD$170:DD$218&lt;&gt;""),ROWS(DJ$1:DJ2))),"")</f>
        <v/>
      </c>
      <c r="DK171" s="166" t="str">
        <f t="shared" si="90"/>
        <v/>
      </c>
      <c r="DL171" s="164" t="str">
        <f>IFERROR(INDEX(DE$170:DE$218,_xlfn.AGGREGATE(15,6,(ROW(DE$170:DE$218)-ROW(DE$170)+1)/(DE$170:DE$218&lt;&gt;""),ROWS(DL$1:DL2))),"")</f>
        <v/>
      </c>
      <c r="DM171" s="165" t="str">
        <f>IFERROR(INDEX(DF$170:DF$218,_xlfn.AGGREGATE(15,6,(ROW(DF$170:DF$218)-ROW(DF$170)+1)/(DF$170:DF$218&lt;&gt;""),ROWS(DM$1:DM2))),"")</f>
        <v/>
      </c>
      <c r="DN171" s="166" t="str">
        <f t="shared" si="91"/>
        <v/>
      </c>
      <c r="DO171" s="164" t="str">
        <f>IFERROR(INDEX(DG$170:DG$218,_xlfn.AGGREGATE(15,6,(ROW(DG$170:DG$218)-ROW(DG$170)+1)/(DG$170:DG$218&lt;&gt;""),ROWS(DO$1:DO2))),"")</f>
        <v/>
      </c>
      <c r="DP171" s="165" t="str">
        <f>IFERROR(INDEX(DH$170:DH$218,_xlfn.AGGREGATE(15,6,(ROW(DH$170:DH$218)-ROW(DH$170)+1)/(DH$170:DH$218&lt;&gt;""),ROWS(DP$1:DP2))),"")</f>
        <v/>
      </c>
      <c r="DQ171" s="166" t="str">
        <f t="shared" si="92"/>
        <v/>
      </c>
      <c r="DV171" s="145">
        <v>2016</v>
      </c>
      <c r="DW171" s="235" t="e">
        <f t="shared" ca="1" si="76"/>
        <v>#REF!</v>
      </c>
      <c r="EA171" s="33"/>
      <c r="EB171" s="33"/>
      <c r="EC171" s="33"/>
      <c r="ED171" s="33"/>
      <c r="EE171" s="33"/>
    </row>
    <row r="172" spans="1:135" ht="13.8" x14ac:dyDescent="0.45">
      <c r="A172" s="948" t="s">
        <v>90</v>
      </c>
      <c r="B172" s="128">
        <v>2014</v>
      </c>
      <c r="C172" s="1032"/>
      <c r="D172" s="1032"/>
      <c r="E172" s="930"/>
      <c r="F172" s="931"/>
      <c r="G172" s="168"/>
      <c r="H172" s="169"/>
      <c r="I172" s="1139"/>
      <c r="J172" s="168"/>
      <c r="K172" s="169"/>
      <c r="L172" s="170"/>
      <c r="M172" s="169"/>
      <c r="N172" s="29" t="s">
        <v>119</v>
      </c>
      <c r="O172" s="120"/>
      <c r="P172" s="120"/>
      <c r="Q172" s="120"/>
      <c r="R172" s="29">
        <v>0</v>
      </c>
      <c r="S172" s="265" t="str">
        <f t="shared" si="77"/>
        <v/>
      </c>
      <c r="T172" s="265" t="str">
        <f t="shared" si="78"/>
        <v/>
      </c>
      <c r="U172" s="265" t="str">
        <f t="shared" si="79"/>
        <v/>
      </c>
      <c r="V172" s="29"/>
      <c r="W172" s="265" t="e">
        <f t="shared" si="80"/>
        <v>#N/A</v>
      </c>
      <c r="X172" s="265" t="e">
        <f t="shared" si="81"/>
        <v>#N/A</v>
      </c>
      <c r="Y172" s="265" t="e">
        <f t="shared" si="82"/>
        <v>#N/A</v>
      </c>
      <c r="AA172" s="1133">
        <v>176.93333333333334</v>
      </c>
      <c r="AB172" s="1133">
        <v>176.93333333333334</v>
      </c>
      <c r="AC172" s="1133">
        <v>176.93333333333334</v>
      </c>
      <c r="AD172" s="138"/>
      <c r="AE172" s="138"/>
      <c r="AF172" s="138"/>
      <c r="AG172" s="138"/>
      <c r="AH172" s="138"/>
      <c r="AI172" s="138"/>
      <c r="AJ172" s="138"/>
      <c r="AK172" s="138"/>
      <c r="AL172" s="138"/>
      <c r="AM172" s="138"/>
      <c r="AN172" s="138"/>
      <c r="BS172" s="160" t="s">
        <v>91</v>
      </c>
      <c r="BT172" s="268" t="e">
        <f>SLOPE((DF170:DF218),($B$46:$B$94))</f>
        <v>#DIV/0!</v>
      </c>
      <c r="BU172" s="269" t="e">
        <f>INTERCEPT(DM170:DM218,DL170:DL218)</f>
        <v>#DIV/0!</v>
      </c>
      <c r="BZ172" s="160" t="s">
        <v>91</v>
      </c>
      <c r="CA172" s="268" t="e">
        <f ca="1">INDEX(LINEST((INDIRECT(DL167):INDIRECT(DM167)),(INDIRECT(DL168):INDIRECT(DM168))^{1,2}),1)</f>
        <v>#REF!</v>
      </c>
      <c r="CB172" s="270" t="e">
        <f ca="1">INDEX(LINEST((INDIRECT(DL167):INDIRECT(DM167)),(INDIRECT(DL168):INDIRECT(DM168))^{1,2}),1,2)</f>
        <v>#REF!</v>
      </c>
      <c r="CC172" s="269" t="e">
        <f ca="1">INDEX(LINEST((INDIRECT(DL167):INDIRECT(DM167)),(INDIRECT(DL168):INDIRECT(DM168))^{1,2}),1,3)</f>
        <v>#REF!</v>
      </c>
      <c r="CH172" s="160" t="s">
        <v>91</v>
      </c>
      <c r="CI172" s="268" t="e">
        <f ca="1">INDEX(LINEST((INDIRECT(DL167):INDIRECT(DM167)),(INDIRECT(DL168):INDIRECT(DM168))^{1,2,3}),1)</f>
        <v>#REF!</v>
      </c>
      <c r="CJ172" s="270" t="e">
        <f ca="1">INDEX(LINEST((INDIRECT(DL167):INDIRECT(DM167)),(INDIRECT(DL168):INDIRECT(DM168))^{1,2,3}),1,2)</f>
        <v>#REF!</v>
      </c>
      <c r="CK172" s="270" t="e">
        <f ca="1">INDEX(LINEST((INDIRECT(DL167):INDIRECT(DM167)),(INDIRECT(DL168):INDIRECT(DM168))^{1,2,3}),1,3)</f>
        <v>#REF!</v>
      </c>
      <c r="CL172" s="269" t="e">
        <f ca="1">INDEX(LINEST((INDIRECT(DL167):INDIRECT(DM167)),(INDIRECT(DL168):INDIRECT(DM168))^{1,2,3}),1,4)</f>
        <v>#REF!</v>
      </c>
      <c r="CQ172" s="160" t="s">
        <v>91</v>
      </c>
      <c r="CR172" s="268" t="e">
        <f ca="1">EXP(INDEX(LINEST(LN(INDIRECT(DL167):INDIRECT(DM167)),(INDIRECT(DL168):INDIRECT(DM168))),1,2))</f>
        <v>#REF!</v>
      </c>
      <c r="CS172" s="269" t="e">
        <f ca="1">INDEX(LINEST(LN(INDIRECT(DL167):INDIRECT(DM167)),(INDIRECT(DL168):INDIRECT(DM168))),1)</f>
        <v>#REF!</v>
      </c>
      <c r="CZ172" s="164" t="b">
        <f t="shared" si="83"/>
        <v>0</v>
      </c>
      <c r="DA172" s="165" t="b">
        <f t="shared" si="83"/>
        <v>0</v>
      </c>
      <c r="DB172" s="166" t="b">
        <f t="shared" si="83"/>
        <v>0</v>
      </c>
      <c r="DC172" s="164" t="str">
        <f t="shared" si="84"/>
        <v/>
      </c>
      <c r="DD172" s="166" t="str">
        <f t="shared" si="85"/>
        <v/>
      </c>
      <c r="DE172" s="164" t="str">
        <f t="shared" si="86"/>
        <v/>
      </c>
      <c r="DF172" s="166" t="str">
        <f t="shared" si="87"/>
        <v/>
      </c>
      <c r="DG172" s="164" t="str">
        <f t="shared" si="88"/>
        <v/>
      </c>
      <c r="DH172" s="166" t="str">
        <f t="shared" si="89"/>
        <v/>
      </c>
      <c r="DI172" s="164" t="str">
        <f>IFERROR(INDEX(DC$170:DC$218,_xlfn.AGGREGATE(15,6,(ROW(DC$170:DC$218)-ROW(DC$170)+1)/(DC$170:DC$218&lt;&gt;""),ROWS(DI$1:DI3))),"")</f>
        <v/>
      </c>
      <c r="DJ172" s="165" t="str">
        <f>IFERROR(INDEX(DD$170:DD$218,_xlfn.AGGREGATE(15,6,(ROW(DD$170:DD$218)-ROW(DD$170)+1)/(DD$170:DD$218&lt;&gt;""),ROWS(DJ$1:DJ3))),"")</f>
        <v/>
      </c>
      <c r="DK172" s="166" t="str">
        <f t="shared" si="90"/>
        <v/>
      </c>
      <c r="DL172" s="164" t="str">
        <f>IFERROR(INDEX(DE$170:DE$218,_xlfn.AGGREGATE(15,6,(ROW(DE$170:DE$218)-ROW(DE$170)+1)/(DE$170:DE$218&lt;&gt;""),ROWS(DL$1:DL3))),"")</f>
        <v/>
      </c>
      <c r="DM172" s="165" t="str">
        <f>IFERROR(INDEX(DF$170:DF$218,_xlfn.AGGREGATE(15,6,(ROW(DF$170:DF$218)-ROW(DF$170)+1)/(DF$170:DF$218&lt;&gt;""),ROWS(DM$1:DM3))),"")</f>
        <v/>
      </c>
      <c r="DN172" s="166" t="str">
        <f t="shared" si="91"/>
        <v/>
      </c>
      <c r="DO172" s="164" t="str">
        <f>IFERROR(INDEX(DG$170:DG$218,_xlfn.AGGREGATE(15,6,(ROW(DG$170:DG$218)-ROW(DG$170)+1)/(DG$170:DG$218&lt;&gt;""),ROWS(DO$1:DO3))),"")</f>
        <v/>
      </c>
      <c r="DP172" s="165" t="str">
        <f>IFERROR(INDEX(DH$170:DH$218,_xlfn.AGGREGATE(15,6,(ROW(DH$170:DH$218)-ROW(DH$170)+1)/(DH$170:DH$218&lt;&gt;""),ROWS(DP$1:DP3))),"")</f>
        <v/>
      </c>
      <c r="DQ172" s="166" t="str">
        <f t="shared" si="92"/>
        <v/>
      </c>
      <c r="DV172" s="145">
        <v>2017</v>
      </c>
      <c r="DW172" s="235" t="e">
        <f t="shared" ca="1" si="76"/>
        <v>#REF!</v>
      </c>
      <c r="DZ172" s="65" t="s">
        <v>89</v>
      </c>
      <c r="EA172" s="33"/>
      <c r="EB172" s="33"/>
      <c r="EC172" s="33"/>
      <c r="ED172" s="33"/>
      <c r="EE172" s="33"/>
    </row>
    <row r="173" spans="1:135" ht="14.1" thickBot="1" x14ac:dyDescent="0.5">
      <c r="A173" s="184" t="s">
        <v>80</v>
      </c>
      <c r="B173" s="128">
        <v>2015</v>
      </c>
      <c r="C173" s="1030"/>
      <c r="D173" s="1030"/>
      <c r="E173" s="945"/>
      <c r="F173" s="1039"/>
      <c r="G173" s="981"/>
      <c r="H173" s="1033"/>
      <c r="I173" s="1138"/>
      <c r="J173" s="267"/>
      <c r="K173" s="271"/>
      <c r="L173" s="272"/>
      <c r="M173" s="271"/>
      <c r="N173" s="29" t="s">
        <v>119</v>
      </c>
      <c r="O173" s="120"/>
      <c r="P173" s="120"/>
      <c r="Q173" s="120"/>
      <c r="R173" s="29">
        <v>1</v>
      </c>
      <c r="S173" s="265" t="str">
        <f t="shared" si="77"/>
        <v/>
      </c>
      <c r="T173" s="265" t="str">
        <f t="shared" si="78"/>
        <v/>
      </c>
      <c r="U173" s="265" t="str">
        <f t="shared" si="79"/>
        <v/>
      </c>
      <c r="V173" s="29"/>
      <c r="W173" s="265" t="e">
        <f t="shared" si="80"/>
        <v>#N/A</v>
      </c>
      <c r="X173" s="265" t="e">
        <f t="shared" si="81"/>
        <v>#N/A</v>
      </c>
      <c r="Y173" s="265" t="e">
        <f t="shared" si="82"/>
        <v>#N/A</v>
      </c>
      <c r="AA173" s="1133">
        <v>178.23333333333335</v>
      </c>
      <c r="AB173" s="1133">
        <v>178.23333333333335</v>
      </c>
      <c r="AC173" s="1133">
        <v>178.23333333333335</v>
      </c>
      <c r="AD173" s="138"/>
      <c r="AE173" s="138"/>
      <c r="AF173" s="138"/>
      <c r="AG173" s="138"/>
      <c r="AH173" s="138"/>
      <c r="AI173" s="138"/>
      <c r="AJ173" s="138"/>
      <c r="AK173" s="138"/>
      <c r="AL173" s="138"/>
      <c r="AM173" s="138"/>
      <c r="AN173" s="138"/>
      <c r="BR173" s="29"/>
      <c r="BS173" s="160" t="s">
        <v>15</v>
      </c>
      <c r="BT173" s="273" t="e">
        <f>SLOPE((DD170:DD218),($B$46:$B$94))</f>
        <v>#DIV/0!</v>
      </c>
      <c r="BU173" s="274" t="e">
        <f>INTERCEPT(DJ170:DJ218,DI170:DI218)</f>
        <v>#DIV/0!</v>
      </c>
      <c r="BV173" s="691" t="s">
        <v>71</v>
      </c>
      <c r="BY173" s="29"/>
      <c r="BZ173" s="160" t="s">
        <v>15</v>
      </c>
      <c r="CA173" s="273" t="e">
        <f ca="1">INDEX(LINEST((INDIRECT(DI167):INDIRECT(DJ167)),(INDIRECT(DI168):INDIRECT(DJ168))^{1,2}),1)</f>
        <v>#REF!</v>
      </c>
      <c r="CB173" s="275" t="e">
        <f ca="1">INDEX(LINEST((INDIRECT(DI167):INDIRECT(DJ167)),(INDIRECT(DI168):INDIRECT(DJ168))^{1,2}),1,2)</f>
        <v>#REF!</v>
      </c>
      <c r="CC173" s="274" t="e">
        <f ca="1">INDEX(LINEST((INDIRECT(DI167):INDIRECT(DJ167)),(INDIRECT(DI168):INDIRECT(DJ168))^{1,2}),1,3)</f>
        <v>#REF!</v>
      </c>
      <c r="CD173" s="691" t="s">
        <v>71</v>
      </c>
      <c r="CG173" s="29"/>
      <c r="CH173" s="160" t="s">
        <v>15</v>
      </c>
      <c r="CI173" s="273" t="e">
        <f ca="1">INDEX(LINEST((INDIRECT(DI167):INDIRECT(DJ167)),(INDIRECT(DI168):INDIRECT(DJ168))^{1,2,3}),1)</f>
        <v>#REF!</v>
      </c>
      <c r="CJ173" s="275" t="e">
        <f ca="1">INDEX(LINEST((INDIRECT(DI167):INDIRECT(DJ167)),(INDIRECT(DI168):INDIRECT(DJ168))^{1,2,3}),1,2)</f>
        <v>#REF!</v>
      </c>
      <c r="CK173" s="275" t="e">
        <f ca="1">INDEX(LINEST((INDIRECT(DI167):INDIRECT(DJ167)),(INDIRECT(DI168):INDIRECT(DJ168))^{1,2,3}),1,3)</f>
        <v>#REF!</v>
      </c>
      <c r="CL173" s="274" t="e">
        <f ca="1">INDEX(LINEST((INDIRECT(DI167):INDIRECT(DJ167)),(INDIRECT(DI168):INDIRECT(DJ168))^{1,2,3}),1,4)</f>
        <v>#REF!</v>
      </c>
      <c r="CM173" s="691" t="s">
        <v>71</v>
      </c>
      <c r="CP173" s="29"/>
      <c r="CQ173" s="160" t="s">
        <v>15</v>
      </c>
      <c r="CR173" s="273" t="e">
        <f ca="1">EXP(INDEX(LINEST(LN(INDIRECT(DI167):INDIRECT(DJ167)),(INDIRECT(DI168):INDIRECT(DJ168))),1,2))</f>
        <v>#REF!</v>
      </c>
      <c r="CS173" s="274" t="e">
        <f ca="1">INDEX(LINEST(LN(INDIRECT(DI167):INDIRECT(DJ167)),(INDIRECT(DI168):INDIRECT(DJ168))),1)</f>
        <v>#REF!</v>
      </c>
      <c r="CT173" s="691" t="s">
        <v>71</v>
      </c>
      <c r="CZ173" s="164" t="b">
        <f t="shared" si="83"/>
        <v>0</v>
      </c>
      <c r="DA173" s="165" t="b">
        <f t="shared" si="83"/>
        <v>0</v>
      </c>
      <c r="DB173" s="166" t="b">
        <f t="shared" si="83"/>
        <v>0</v>
      </c>
      <c r="DC173" s="164" t="str">
        <f t="shared" si="84"/>
        <v/>
      </c>
      <c r="DD173" s="166" t="str">
        <f t="shared" si="85"/>
        <v/>
      </c>
      <c r="DE173" s="164" t="str">
        <f t="shared" si="86"/>
        <v/>
      </c>
      <c r="DF173" s="166" t="str">
        <f t="shared" si="87"/>
        <v/>
      </c>
      <c r="DG173" s="164" t="str">
        <f t="shared" si="88"/>
        <v/>
      </c>
      <c r="DH173" s="166" t="str">
        <f t="shared" si="89"/>
        <v/>
      </c>
      <c r="DI173" s="164" t="str">
        <f>IFERROR(INDEX(DC$170:DC$218,_xlfn.AGGREGATE(15,6,(ROW(DC$170:DC$218)-ROW(DC$170)+1)/(DC$170:DC$218&lt;&gt;""),ROWS(DI$1:DI4))),"")</f>
        <v/>
      </c>
      <c r="DJ173" s="165" t="str">
        <f>IFERROR(INDEX(DD$170:DD$218,_xlfn.AGGREGATE(15,6,(ROW(DD$170:DD$218)-ROW(DD$170)+1)/(DD$170:DD$218&lt;&gt;""),ROWS(DJ$1:DJ4))),"")</f>
        <v/>
      </c>
      <c r="DK173" s="166" t="str">
        <f t="shared" si="90"/>
        <v/>
      </c>
      <c r="DL173" s="164" t="str">
        <f>IFERROR(INDEX(DE$170:DE$218,_xlfn.AGGREGATE(15,6,(ROW(DE$170:DE$218)-ROW(DE$170)+1)/(DE$170:DE$218&lt;&gt;""),ROWS(DL$1:DL4))),"")</f>
        <v/>
      </c>
      <c r="DM173" s="165" t="str">
        <f>IFERROR(INDEX(DF$170:DF$218,_xlfn.AGGREGATE(15,6,(ROW(DF$170:DF$218)-ROW(DF$170)+1)/(DF$170:DF$218&lt;&gt;""),ROWS(DM$1:DM4))),"")</f>
        <v/>
      </c>
      <c r="DN173" s="166" t="str">
        <f t="shared" si="91"/>
        <v/>
      </c>
      <c r="DO173" s="164" t="str">
        <f>IFERROR(INDEX(DG$170:DG$218,_xlfn.AGGREGATE(15,6,(ROW(DG$170:DG$218)-ROW(DG$170)+1)/(DG$170:DG$218&lt;&gt;""),ROWS(DO$1:DO4))),"")</f>
        <v/>
      </c>
      <c r="DP173" s="165" t="str">
        <f>IFERROR(INDEX(DH$170:DH$218,_xlfn.AGGREGATE(15,6,(ROW(DH$170:DH$218)-ROW(DH$170)+1)/(DH$170:DH$218&lt;&gt;""),ROWS(DP$1:DP4))),"")</f>
        <v/>
      </c>
      <c r="DQ173" s="166" t="str">
        <f t="shared" si="92"/>
        <v/>
      </c>
      <c r="DV173" s="145">
        <v>2018</v>
      </c>
      <c r="DW173" s="235" t="e">
        <f t="shared" ca="1" si="76"/>
        <v>#REF!</v>
      </c>
      <c r="EA173" s="33" t="s">
        <v>85</v>
      </c>
      <c r="EB173" s="33" t="s">
        <v>84</v>
      </c>
      <c r="EC173" s="33" t="s">
        <v>82</v>
      </c>
      <c r="ED173" s="33" t="s">
        <v>83</v>
      </c>
      <c r="EE173" s="33"/>
    </row>
    <row r="174" spans="1:135" ht="13.8" x14ac:dyDescent="0.45">
      <c r="A174" s="184" t="s">
        <v>88</v>
      </c>
      <c r="B174" s="128">
        <v>2016</v>
      </c>
      <c r="C174" s="1030"/>
      <c r="D174" s="1030"/>
      <c r="E174" s="945"/>
      <c r="F174" s="1039"/>
      <c r="G174" s="981"/>
      <c r="H174" s="1033"/>
      <c r="I174" s="1138"/>
      <c r="J174" s="267"/>
      <c r="K174" s="271"/>
      <c r="L174" s="272"/>
      <c r="M174" s="271"/>
      <c r="N174" s="29" t="s">
        <v>119</v>
      </c>
      <c r="O174" s="120"/>
      <c r="P174" s="120"/>
      <c r="Q174" s="120"/>
      <c r="R174" s="29">
        <v>2</v>
      </c>
      <c r="S174" s="265" t="str">
        <f t="shared" si="77"/>
        <v/>
      </c>
      <c r="T174" s="265" t="str">
        <f t="shared" si="78"/>
        <v/>
      </c>
      <c r="U174" s="265" t="str">
        <f t="shared" si="79"/>
        <v/>
      </c>
      <c r="V174" s="29"/>
      <c r="W174" s="265" t="e">
        <f t="shared" si="80"/>
        <v>#N/A</v>
      </c>
      <c r="X174" s="265" t="e">
        <f t="shared" si="81"/>
        <v>#N/A</v>
      </c>
      <c r="Y174" s="265" t="e">
        <f t="shared" si="82"/>
        <v>#N/A</v>
      </c>
      <c r="AA174" s="1133">
        <v>178.2</v>
      </c>
      <c r="AB174" s="1133">
        <v>178.2</v>
      </c>
      <c r="AC174" s="1133">
        <v>178.2</v>
      </c>
      <c r="AD174" s="138"/>
      <c r="AE174" s="138"/>
      <c r="AF174" s="138"/>
      <c r="AG174" s="138"/>
      <c r="AH174" s="138"/>
      <c r="AI174" s="138"/>
      <c r="AJ174" s="138"/>
      <c r="AK174" s="138"/>
      <c r="AL174" s="138"/>
      <c r="AM174" s="138"/>
      <c r="AN174" s="138"/>
      <c r="BR174" s="180">
        <v>2014</v>
      </c>
      <c r="BS174" s="22">
        <v>0</v>
      </c>
      <c r="BT174" s="181" t="e">
        <f t="shared" ref="BT174:BT220" si="93">IF($BS$170="High",BS174*$BT$171,IF($BS$170="Medium",$BT$172*BS174,IF($BS$170="Low",$BT$173*BS174)))</f>
        <v>#DIV/0!</v>
      </c>
      <c r="BU174" s="182" t="e">
        <f t="shared" ref="BU174:BU220" si="94">IF($BS$170="High",$BU$171,IF($BS$170="Medium",$BU$172,IF($BS$170="Low",BU173)))</f>
        <v>#DIV/0!</v>
      </c>
      <c r="BV174" s="242" t="e">
        <f t="shared" ref="BV174:BV220" si="95">BT174+BU174</f>
        <v>#DIV/0!</v>
      </c>
      <c r="BY174" s="180">
        <v>2014</v>
      </c>
      <c r="BZ174" s="22">
        <v>0</v>
      </c>
      <c r="CA174" s="181" t="e">
        <f t="shared" ref="CA174:CA220" ca="1" si="96">IF($BZ$170="High",BZ174^2*$CA$171,IF($BZ$170="Medium",BZ174^2*$CA$172,IF($BZ$170="Low",BZ174^2*$CA$173)))</f>
        <v>#REF!</v>
      </c>
      <c r="CB174" s="181" t="e">
        <f t="shared" ref="CB174:CB220" ca="1" si="97">IF($BZ$170="High",BZ174*$CB$171,IF($BZ$170="Medium",BZ174*$CB$172,IF($BZ$170="Low",BZ174*$CB$173)))</f>
        <v>#REF!</v>
      </c>
      <c r="CC174" s="182" t="e">
        <f ca="1">IF($BZ$170="High",$CC$171,IF($BZ$170="Medium",$CC$172,IF($BZ$170="Low",$CC$173)))</f>
        <v>#REF!</v>
      </c>
      <c r="CD174" s="242" t="e">
        <f t="shared" ref="CD174:CD220" ca="1" si="98">CA174+CB174+CC174</f>
        <v>#REF!</v>
      </c>
      <c r="CG174" s="180">
        <v>2014</v>
      </c>
      <c r="CH174" s="22">
        <v>0</v>
      </c>
      <c r="CI174" s="181" t="e">
        <f t="shared" ref="CI174:CI220" ca="1" si="99">IF($CH$170="High",CH174^3*$CI$171,IF($CH$170="Medium",CH174^3*$CI$172,IF($CH$170="Low",CH174^3*$CI$173)))</f>
        <v>#REF!</v>
      </c>
      <c r="CJ174" s="181" t="e">
        <f t="shared" ref="CJ174:CJ220" ca="1" si="100">IF($CH$170="High",CH174^2*$CJ$171,IF($CH$170="Medium",CH174^2*$CJ$172,IF($CH$170="Low",CH174^2*$CJ$173)))</f>
        <v>#REF!</v>
      </c>
      <c r="CK174" s="181" t="e">
        <f t="shared" ref="CK174:CK220" ca="1" si="101">IF($CH$170="High",CH174*$CK$171,IF($CH$170="Medium",CH174*$CK$172,IF($CH$170="Low",CH174*$CK$173)))</f>
        <v>#REF!</v>
      </c>
      <c r="CL174" s="182" t="e">
        <f t="shared" ref="CL174:CL220" ca="1" si="102">IF($CH$170="High",$CL$171,IF($CH$170="Medium",$CL$172,IF($CH$170="Low",$CL$173)))</f>
        <v>#REF!</v>
      </c>
      <c r="CM174" s="242" t="e">
        <f t="shared" ref="CM174:CM220" ca="1" si="103">CI174+CJ174+CK174+CL174</f>
        <v>#REF!</v>
      </c>
      <c r="CP174" s="180">
        <v>2014</v>
      </c>
      <c r="CQ174" s="22">
        <v>0</v>
      </c>
      <c r="CR174" s="181" t="e">
        <f t="shared" ref="CR174:CR220" ca="1" si="104">IF($CQ$170="High",$CR$171,IF($CQ$170="Medium",$CR$172,IF($CQ$170="Low",$CR$173)))</f>
        <v>#REF!</v>
      </c>
      <c r="CS174" s="182" t="e">
        <f t="shared" ref="CS174:CS220" ca="1" si="105">IF($CQ$170="High",EXP(1)^($CS$171*CQ174),IF($CQ$170="Medium",EXP(1)^($CS$172*CQ174),IF($CQ$170="Low",EXP(1)^($CS$173*CQ174))))</f>
        <v>#REF!</v>
      </c>
      <c r="CT174" s="242" t="e">
        <f t="shared" ref="CT174:CT220" ca="1" si="106">(CR174*CS174)</f>
        <v>#REF!</v>
      </c>
      <c r="CZ174" s="164" t="b">
        <f t="shared" si="83"/>
        <v>0</v>
      </c>
      <c r="DA174" s="165" t="b">
        <f t="shared" si="83"/>
        <v>0</v>
      </c>
      <c r="DB174" s="166" t="b">
        <f t="shared" si="83"/>
        <v>0</v>
      </c>
      <c r="DC174" s="164" t="str">
        <f t="shared" si="84"/>
        <v/>
      </c>
      <c r="DD174" s="166" t="str">
        <f t="shared" si="85"/>
        <v/>
      </c>
      <c r="DE174" s="164" t="str">
        <f t="shared" si="86"/>
        <v/>
      </c>
      <c r="DF174" s="166" t="str">
        <f t="shared" si="87"/>
        <v/>
      </c>
      <c r="DG174" s="164" t="str">
        <f t="shared" si="88"/>
        <v/>
      </c>
      <c r="DH174" s="166" t="str">
        <f t="shared" si="89"/>
        <v/>
      </c>
      <c r="DI174" s="164" t="str">
        <f>IFERROR(INDEX(DC$170:DC$218,_xlfn.AGGREGATE(15,6,(ROW(DC$170:DC$218)-ROW(DC$170)+1)/(DC$170:DC$218&lt;&gt;""),ROWS(DI$1:DI5))),"")</f>
        <v/>
      </c>
      <c r="DJ174" s="165" t="str">
        <f>IFERROR(INDEX(DD$170:DD$218,_xlfn.AGGREGATE(15,6,(ROW(DD$170:DD$218)-ROW(DD$170)+1)/(DD$170:DD$218&lt;&gt;""),ROWS(DJ$1:DJ5))),"")</f>
        <v/>
      </c>
      <c r="DK174" s="166" t="str">
        <f t="shared" si="90"/>
        <v/>
      </c>
      <c r="DL174" s="164" t="str">
        <f>IFERROR(INDEX(DE$170:DE$218,_xlfn.AGGREGATE(15,6,(ROW(DE$170:DE$218)-ROW(DE$170)+1)/(DE$170:DE$218&lt;&gt;""),ROWS(DL$1:DL5))),"")</f>
        <v/>
      </c>
      <c r="DM174" s="165" t="str">
        <f>IFERROR(INDEX(DF$170:DF$218,_xlfn.AGGREGATE(15,6,(ROW(DF$170:DF$218)-ROW(DF$170)+1)/(DF$170:DF$218&lt;&gt;""),ROWS(DM$1:DM5))),"")</f>
        <v/>
      </c>
      <c r="DN174" s="166" t="str">
        <f t="shared" si="91"/>
        <v/>
      </c>
      <c r="DO174" s="164" t="str">
        <f>IFERROR(INDEX(DG$170:DG$218,_xlfn.AGGREGATE(15,6,(ROW(DG$170:DG$218)-ROW(DG$170)+1)/(DG$170:DG$218&lt;&gt;""),ROWS(DO$1:DO5))),"")</f>
        <v/>
      </c>
      <c r="DP174" s="165" t="str">
        <f>IFERROR(INDEX(DH$170:DH$218,_xlfn.AGGREGATE(15,6,(ROW(DH$170:DH$218)-ROW(DH$170)+1)/(DH$170:DH$218&lt;&gt;""),ROWS(DP$1:DP5))),"")</f>
        <v/>
      </c>
      <c r="DQ174" s="166" t="str">
        <f t="shared" si="92"/>
        <v/>
      </c>
      <c r="DV174" s="145">
        <v>2019</v>
      </c>
      <c r="DW174" s="235" t="e">
        <f t="shared" ca="1" si="76"/>
        <v>#REF!</v>
      </c>
      <c r="DZ174" s="135" t="s">
        <v>92</v>
      </c>
      <c r="EA174" s="33" t="e">
        <f ca="1">IF($EA$168="Linear",0,IF($EA$168="2nd Poly",0,IF($EA$168="3rd Poly",CI171,IF($EA$168="Exp",0))))</f>
        <v>#REF!</v>
      </c>
      <c r="EB174" s="33" t="e">
        <f ca="1">IF($EA$168="Linear",0,IF($EA$168="2nd Poly",CA171,IF($EA$168="3rd Poly",CJ171,IF($EA$168="Exp",0))))</f>
        <v>#REF!</v>
      </c>
      <c r="EC174" s="33" t="e">
        <f t="shared" ref="EC174:ED176" ca="1" si="107">IF($EA$168="Linear",BT171,IF($EA$168="2nd Poly",CB171,IF($EA$168="3rd Poly",CK171,IF($EA$168="Exp",0))))</f>
        <v>#REF!</v>
      </c>
      <c r="ED174" s="33" t="e">
        <f t="shared" ca="1" si="107"/>
        <v>#REF!</v>
      </c>
      <c r="EE174" s="33" t="str">
        <f>IF($EA$168="Linear","High",IF($EA$168="2nd Poly","High",IF($EA$168="3rd Poly","High","N/A")))</f>
        <v>High</v>
      </c>
    </row>
    <row r="175" spans="1:135" ht="13.8" x14ac:dyDescent="0.45">
      <c r="A175" s="184" t="s">
        <v>90</v>
      </c>
      <c r="B175" s="128">
        <v>2017</v>
      </c>
      <c r="C175" s="953"/>
      <c r="D175" s="944"/>
      <c r="E175" s="945"/>
      <c r="F175" s="1039"/>
      <c r="G175" s="981"/>
      <c r="H175" s="1034"/>
      <c r="I175" s="931"/>
      <c r="J175" s="168"/>
      <c r="K175" s="169"/>
      <c r="L175" s="170"/>
      <c r="M175" s="169"/>
      <c r="N175" s="29" t="s">
        <v>119</v>
      </c>
      <c r="O175" s="120"/>
      <c r="P175" s="120"/>
      <c r="Q175" s="120"/>
      <c r="R175" s="29">
        <v>3</v>
      </c>
      <c r="S175" s="265" t="str">
        <f t="shared" si="77"/>
        <v/>
      </c>
      <c r="T175" s="265" t="str">
        <f t="shared" si="78"/>
        <v/>
      </c>
      <c r="U175" s="265" t="str">
        <f t="shared" si="79"/>
        <v/>
      </c>
      <c r="V175" s="29"/>
      <c r="W175" s="265" t="e">
        <f t="shared" si="80"/>
        <v>#N/A</v>
      </c>
      <c r="X175" s="265" t="e">
        <f t="shared" si="81"/>
        <v>#N/A</v>
      </c>
      <c r="Y175" s="265" t="e">
        <f t="shared" si="82"/>
        <v>#N/A</v>
      </c>
      <c r="AA175" s="1133">
        <v>115.10929669972124</v>
      </c>
      <c r="AB175" s="1133">
        <v>147.97131501652729</v>
      </c>
      <c r="AC175" s="1133">
        <v>180.83333333333331</v>
      </c>
      <c r="AD175" s="138"/>
      <c r="AE175" s="138"/>
      <c r="AF175" s="138"/>
      <c r="AG175" s="138"/>
      <c r="AH175" s="138"/>
      <c r="AI175" s="138"/>
      <c r="AJ175" s="138"/>
      <c r="AK175" s="138"/>
      <c r="AL175" s="138"/>
      <c r="AM175" s="138"/>
      <c r="AN175" s="138"/>
      <c r="BR175" s="180">
        <v>2015</v>
      </c>
      <c r="BS175" s="22">
        <v>1</v>
      </c>
      <c r="BT175" s="181" t="e">
        <f t="shared" si="93"/>
        <v>#DIV/0!</v>
      </c>
      <c r="BU175" s="182" t="e">
        <f t="shared" si="94"/>
        <v>#DIV/0!</v>
      </c>
      <c r="BV175" s="242" t="e">
        <f t="shared" si="95"/>
        <v>#DIV/0!</v>
      </c>
      <c r="BY175" s="180">
        <v>2015</v>
      </c>
      <c r="BZ175" s="22">
        <v>1</v>
      </c>
      <c r="CA175" s="243" t="e">
        <f t="shared" ca="1" si="96"/>
        <v>#REF!</v>
      </c>
      <c r="CB175" s="243" t="e">
        <f t="shared" ca="1" si="97"/>
        <v>#REF!</v>
      </c>
      <c r="CC175" s="276" t="e">
        <f t="shared" ref="CC175:CC220" ca="1" si="108">CC174</f>
        <v>#REF!</v>
      </c>
      <c r="CD175" s="242" t="e">
        <f t="shared" ca="1" si="98"/>
        <v>#REF!</v>
      </c>
      <c r="CG175" s="180">
        <v>2015</v>
      </c>
      <c r="CH175" s="22">
        <v>1</v>
      </c>
      <c r="CI175" s="243" t="e">
        <f t="shared" ca="1" si="99"/>
        <v>#REF!</v>
      </c>
      <c r="CJ175" s="243" t="e">
        <f t="shared" ca="1" si="100"/>
        <v>#REF!</v>
      </c>
      <c r="CK175" s="243" t="e">
        <f t="shared" ca="1" si="101"/>
        <v>#REF!</v>
      </c>
      <c r="CL175" s="276" t="e">
        <f t="shared" ca="1" si="102"/>
        <v>#REF!</v>
      </c>
      <c r="CM175" s="242" t="e">
        <f t="shared" ca="1" si="103"/>
        <v>#REF!</v>
      </c>
      <c r="CP175" s="180">
        <v>2015</v>
      </c>
      <c r="CQ175" s="22">
        <v>1</v>
      </c>
      <c r="CR175" s="243" t="e">
        <f t="shared" ca="1" si="104"/>
        <v>#REF!</v>
      </c>
      <c r="CS175" s="276" t="e">
        <f t="shared" ca="1" si="105"/>
        <v>#REF!</v>
      </c>
      <c r="CT175" s="242" t="e">
        <f t="shared" ca="1" si="106"/>
        <v>#REF!</v>
      </c>
      <c r="CZ175" s="164" t="b">
        <f t="shared" si="83"/>
        <v>0</v>
      </c>
      <c r="DA175" s="165" t="b">
        <f t="shared" si="83"/>
        <v>0</v>
      </c>
      <c r="DB175" s="166" t="b">
        <f t="shared" si="83"/>
        <v>0</v>
      </c>
      <c r="DC175" s="164" t="str">
        <f t="shared" si="84"/>
        <v/>
      </c>
      <c r="DD175" s="166" t="str">
        <f t="shared" si="85"/>
        <v/>
      </c>
      <c r="DE175" s="164" t="str">
        <f t="shared" si="86"/>
        <v/>
      </c>
      <c r="DF175" s="166" t="str">
        <f t="shared" si="87"/>
        <v/>
      </c>
      <c r="DG175" s="164" t="str">
        <f t="shared" si="88"/>
        <v/>
      </c>
      <c r="DH175" s="166" t="str">
        <f t="shared" si="89"/>
        <v/>
      </c>
      <c r="DI175" s="164" t="str">
        <f>IFERROR(INDEX(DC$170:DC$218,_xlfn.AGGREGATE(15,6,(ROW(DC$170:DC$218)-ROW(DC$170)+1)/(DC$170:DC$218&lt;&gt;""),ROWS(DI$1:DI6))),"")</f>
        <v/>
      </c>
      <c r="DJ175" s="165" t="str">
        <f>IFERROR(INDEX(DD$170:DD$218,_xlfn.AGGREGATE(15,6,(ROW(DD$170:DD$218)-ROW(DD$170)+1)/(DD$170:DD$218&lt;&gt;""),ROWS(DJ$1:DJ6))),"")</f>
        <v/>
      </c>
      <c r="DK175" s="166" t="str">
        <f t="shared" si="90"/>
        <v/>
      </c>
      <c r="DL175" s="164" t="str">
        <f>IFERROR(INDEX(DE$170:DE$218,_xlfn.AGGREGATE(15,6,(ROW(DE$170:DE$218)-ROW(DE$170)+1)/(DE$170:DE$218&lt;&gt;""),ROWS(DL$1:DL6))),"")</f>
        <v/>
      </c>
      <c r="DM175" s="165" t="str">
        <f>IFERROR(INDEX(DF$170:DF$218,_xlfn.AGGREGATE(15,6,(ROW(DF$170:DF$218)-ROW(DF$170)+1)/(DF$170:DF$218&lt;&gt;""),ROWS(DM$1:DM6))),"")</f>
        <v/>
      </c>
      <c r="DN175" s="166" t="str">
        <f t="shared" si="91"/>
        <v/>
      </c>
      <c r="DO175" s="164" t="str">
        <f>IFERROR(INDEX(DG$170:DG$218,_xlfn.AGGREGATE(15,6,(ROW(DG$170:DG$218)-ROW(DG$170)+1)/(DG$170:DG$218&lt;&gt;""),ROWS(DO$1:DO6))),"")</f>
        <v/>
      </c>
      <c r="DP175" s="165" t="str">
        <f>IFERROR(INDEX(DH$170:DH$218,_xlfn.AGGREGATE(15,6,(ROW(DH$170:DH$218)-ROW(DH$170)+1)/(DH$170:DH$218&lt;&gt;""),ROWS(DP$1:DP6))),"")</f>
        <v/>
      </c>
      <c r="DQ175" s="166" t="str">
        <f t="shared" si="92"/>
        <v/>
      </c>
      <c r="DV175" s="145">
        <v>2020</v>
      </c>
      <c r="DW175" s="235" t="e">
        <f t="shared" ca="1" si="76"/>
        <v>#REF!</v>
      </c>
      <c r="DZ175" s="135" t="s">
        <v>92</v>
      </c>
      <c r="EA175" s="33" t="e">
        <f ca="1">IF($EA$168="Linear",0,IF($EA$168="2nd Poly",0,IF($EA$168="3rd Poly",CI172,IF($EA$168="Exp",0))))</f>
        <v>#REF!</v>
      </c>
      <c r="EB175" s="33" t="e">
        <f ca="1">IF($EA$168="Linear",0,IF($EA$168="2nd Poly",CA172,IF($EA$168="3rd Poly",CJ172,IF($EA$168="Exp",0))))</f>
        <v>#REF!</v>
      </c>
      <c r="EC175" s="33" t="e">
        <f t="shared" ca="1" si="107"/>
        <v>#REF!</v>
      </c>
      <c r="ED175" s="33" t="e">
        <f t="shared" ca="1" si="107"/>
        <v>#REF!</v>
      </c>
      <c r="EE175" s="33" t="str">
        <f>IF($EA$168="Linear","Medium",IF($EA$168="2nd Poly","Medium",IF($EA$168="3rd Poly","Medium","N/A")))</f>
        <v>Medium</v>
      </c>
    </row>
    <row r="176" spans="1:135" ht="13.8" x14ac:dyDescent="0.45">
      <c r="A176" s="948" t="s">
        <v>1039</v>
      </c>
      <c r="B176" s="128">
        <v>2018</v>
      </c>
      <c r="C176" s="953"/>
      <c r="D176" s="944"/>
      <c r="E176" s="945"/>
      <c r="F176" s="1039"/>
      <c r="G176" s="981"/>
      <c r="H176" s="1033"/>
      <c r="I176" s="1110"/>
      <c r="J176" s="267"/>
      <c r="K176" s="271"/>
      <c r="L176" s="272"/>
      <c r="M176" s="271"/>
      <c r="N176" s="29" t="s">
        <v>119</v>
      </c>
      <c r="O176" s="120"/>
      <c r="P176" s="120"/>
      <c r="Q176" s="120"/>
      <c r="R176" s="29">
        <v>4</v>
      </c>
      <c r="S176" s="265" t="str">
        <f t="shared" si="77"/>
        <v/>
      </c>
      <c r="T176" s="265" t="str">
        <f t="shared" si="78"/>
        <v/>
      </c>
      <c r="U176" s="265" t="str">
        <f t="shared" si="79"/>
        <v/>
      </c>
      <c r="V176" s="20"/>
      <c r="W176" s="265" t="e">
        <f t="shared" si="80"/>
        <v>#N/A</v>
      </c>
      <c r="X176" s="265" t="e">
        <f t="shared" si="81"/>
        <v>#N/A</v>
      </c>
      <c r="Y176" s="265" t="e">
        <f t="shared" si="82"/>
        <v>#N/A</v>
      </c>
      <c r="AA176" s="1133">
        <v>117.77601295843979</v>
      </c>
      <c r="AB176" s="1133">
        <v>149.95467314588655</v>
      </c>
      <c r="AC176" s="1133">
        <v>182.1333333333333</v>
      </c>
      <c r="AD176" s="138"/>
      <c r="AE176" s="138"/>
      <c r="AF176" s="138"/>
      <c r="AG176" s="138"/>
      <c r="AH176" s="138"/>
      <c r="AI176" s="138"/>
      <c r="AJ176" s="138"/>
      <c r="AK176" s="138"/>
      <c r="AL176" s="138"/>
      <c r="AM176" s="138"/>
      <c r="AN176" s="138"/>
      <c r="BR176" s="180">
        <v>2016</v>
      </c>
      <c r="BS176" s="22">
        <v>2</v>
      </c>
      <c r="BT176" s="181" t="e">
        <f t="shared" si="93"/>
        <v>#DIV/0!</v>
      </c>
      <c r="BU176" s="182" t="e">
        <f t="shared" si="94"/>
        <v>#DIV/0!</v>
      </c>
      <c r="BV176" s="277" t="e">
        <f t="shared" si="95"/>
        <v>#DIV/0!</v>
      </c>
      <c r="BY176" s="180">
        <v>2016</v>
      </c>
      <c r="BZ176" s="22">
        <v>2</v>
      </c>
      <c r="CA176" s="278" t="e">
        <f t="shared" ca="1" si="96"/>
        <v>#REF!</v>
      </c>
      <c r="CB176" s="278" t="e">
        <f t="shared" ca="1" si="97"/>
        <v>#REF!</v>
      </c>
      <c r="CC176" s="276" t="e">
        <f t="shared" ca="1" si="108"/>
        <v>#REF!</v>
      </c>
      <c r="CD176" s="277" t="e">
        <f t="shared" ca="1" si="98"/>
        <v>#REF!</v>
      </c>
      <c r="CG176" s="180">
        <v>2016</v>
      </c>
      <c r="CH176" s="22">
        <v>2</v>
      </c>
      <c r="CI176" s="278" t="e">
        <f t="shared" ca="1" si="99"/>
        <v>#REF!</v>
      </c>
      <c r="CJ176" s="278" t="e">
        <f t="shared" ca="1" si="100"/>
        <v>#REF!</v>
      </c>
      <c r="CK176" s="278" t="e">
        <f t="shared" ca="1" si="101"/>
        <v>#REF!</v>
      </c>
      <c r="CL176" s="276" t="e">
        <f t="shared" ca="1" si="102"/>
        <v>#REF!</v>
      </c>
      <c r="CM176" s="277" t="e">
        <f t="shared" ca="1" si="103"/>
        <v>#REF!</v>
      </c>
      <c r="CP176" s="180">
        <v>2016</v>
      </c>
      <c r="CQ176" s="22">
        <v>2</v>
      </c>
      <c r="CR176" s="278" t="e">
        <f t="shared" ca="1" si="104"/>
        <v>#REF!</v>
      </c>
      <c r="CS176" s="276" t="e">
        <f t="shared" ca="1" si="105"/>
        <v>#REF!</v>
      </c>
      <c r="CT176" s="277" t="e">
        <f t="shared" ca="1" si="106"/>
        <v>#REF!</v>
      </c>
      <c r="CZ176" s="164" t="b">
        <f t="shared" si="83"/>
        <v>0</v>
      </c>
      <c r="DA176" s="165" t="b">
        <f t="shared" si="83"/>
        <v>0</v>
      </c>
      <c r="DB176" s="166" t="b">
        <f t="shared" si="83"/>
        <v>0</v>
      </c>
      <c r="DC176" s="164" t="str">
        <f t="shared" si="84"/>
        <v/>
      </c>
      <c r="DD176" s="166" t="str">
        <f t="shared" si="85"/>
        <v/>
      </c>
      <c r="DE176" s="164" t="str">
        <f t="shared" si="86"/>
        <v/>
      </c>
      <c r="DF176" s="166" t="str">
        <f t="shared" si="87"/>
        <v/>
      </c>
      <c r="DG176" s="164" t="str">
        <f t="shared" si="88"/>
        <v/>
      </c>
      <c r="DH176" s="166" t="str">
        <f t="shared" si="89"/>
        <v/>
      </c>
      <c r="DI176" s="164" t="str">
        <f>IFERROR(INDEX(DC$170:DC$218,_xlfn.AGGREGATE(15,6,(ROW(DC$170:DC$218)-ROW(DC$170)+1)/(DC$170:DC$218&lt;&gt;""),ROWS(DI$1:DI7))),"")</f>
        <v/>
      </c>
      <c r="DJ176" s="165" t="str">
        <f>IFERROR(INDEX(DD$170:DD$218,_xlfn.AGGREGATE(15,6,(ROW(DD$170:DD$218)-ROW(DD$170)+1)/(DD$170:DD$218&lt;&gt;""),ROWS(DJ$1:DJ7))),"")</f>
        <v/>
      </c>
      <c r="DK176" s="166" t="str">
        <f t="shared" si="90"/>
        <v/>
      </c>
      <c r="DL176" s="164" t="str">
        <f>IFERROR(INDEX(DE$170:DE$218,_xlfn.AGGREGATE(15,6,(ROW(DE$170:DE$218)-ROW(DE$170)+1)/(DE$170:DE$218&lt;&gt;""),ROWS(DL$1:DL7))),"")</f>
        <v/>
      </c>
      <c r="DM176" s="165" t="str">
        <f>IFERROR(INDEX(DF$170:DF$218,_xlfn.AGGREGATE(15,6,(ROW(DF$170:DF$218)-ROW(DF$170)+1)/(DF$170:DF$218&lt;&gt;""),ROWS(DM$1:DM7))),"")</f>
        <v/>
      </c>
      <c r="DN176" s="166" t="str">
        <f t="shared" si="91"/>
        <v/>
      </c>
      <c r="DO176" s="164" t="str">
        <f>IFERROR(INDEX(DG$170:DG$218,_xlfn.AGGREGATE(15,6,(ROW(DG$170:DG$218)-ROW(DG$170)+1)/(DG$170:DG$218&lt;&gt;""),ROWS(DO$1:DO7))),"")</f>
        <v/>
      </c>
      <c r="DP176" s="165" t="str">
        <f>IFERROR(INDEX(DH$170:DH$218,_xlfn.AGGREGATE(15,6,(ROW(DH$170:DH$218)-ROW(DH$170)+1)/(DH$170:DH$218&lt;&gt;""),ROWS(DP$1:DP7))),"")</f>
        <v/>
      </c>
      <c r="DQ176" s="166" t="str">
        <f t="shared" si="92"/>
        <v/>
      </c>
      <c r="DV176" s="145">
        <v>2021</v>
      </c>
      <c r="DW176" s="235" t="e">
        <f t="shared" ca="1" si="76"/>
        <v>#REF!</v>
      </c>
      <c r="DZ176" s="135" t="s">
        <v>92</v>
      </c>
      <c r="EA176" s="33" t="e">
        <f ca="1">IF($EA$168="Linear",0,IF($EA$168="2nd Poly",0,IF($EA$168="3rd Poly",CI173,IF($EA$168="Exp",0))))</f>
        <v>#REF!</v>
      </c>
      <c r="EB176" s="33" t="e">
        <f ca="1">IF($EA$168="Linear",0,IF($EA$168="2nd Poly",CA173,IF($EA$168="3rd Poly",CJ173,IF($EA$168="Exp",0))))</f>
        <v>#REF!</v>
      </c>
      <c r="EC176" s="33" t="e">
        <f t="shared" ca="1" si="107"/>
        <v>#REF!</v>
      </c>
      <c r="ED176" s="33" t="e">
        <f t="shared" ca="1" si="107"/>
        <v>#REF!</v>
      </c>
      <c r="EE176" s="33" t="str">
        <f>IF($EA$168="Linear","Low",IF($EA$168="2nd Poly","Low",IF($EA$168="3rd Poly","Low","N/A")))</f>
        <v>Low</v>
      </c>
    </row>
    <row r="177" spans="1:135" ht="13.8" x14ac:dyDescent="0.45">
      <c r="A177" s="184" t="s">
        <v>88</v>
      </c>
      <c r="B177" s="128">
        <v>2019</v>
      </c>
      <c r="C177" s="953"/>
      <c r="D177" s="944"/>
      <c r="E177" s="945"/>
      <c r="F177" s="1039"/>
      <c r="G177" s="981"/>
      <c r="H177" s="1033"/>
      <c r="I177" s="1110"/>
      <c r="J177" s="267"/>
      <c r="K177" s="271"/>
      <c r="L177" s="272"/>
      <c r="M177" s="271"/>
      <c r="N177" s="29" t="s">
        <v>119</v>
      </c>
      <c r="O177" s="120"/>
      <c r="P177" s="120"/>
      <c r="Q177" s="120"/>
      <c r="R177" s="29">
        <v>5</v>
      </c>
      <c r="S177" s="265" t="str">
        <f t="shared" si="77"/>
        <v/>
      </c>
      <c r="T177" s="265" t="str">
        <f t="shared" si="78"/>
        <v/>
      </c>
      <c r="U177" s="265" t="str">
        <f t="shared" si="79"/>
        <v/>
      </c>
      <c r="V177" s="20"/>
      <c r="W177" s="265" t="e">
        <f t="shared" si="80"/>
        <v>#N/A</v>
      </c>
      <c r="X177" s="265" t="e">
        <f t="shared" si="81"/>
        <v>#N/A</v>
      </c>
      <c r="Y177" s="265" t="e">
        <f t="shared" si="82"/>
        <v>#N/A</v>
      </c>
      <c r="AA177" s="1133">
        <v>120.26486955345436</v>
      </c>
      <c r="AB177" s="1133">
        <v>151.84910144339386</v>
      </c>
      <c r="AC177" s="1133">
        <v>183.43333333333337</v>
      </c>
      <c r="AD177" s="138"/>
      <c r="AE177" s="138"/>
      <c r="AF177" s="138"/>
      <c r="AG177" s="138"/>
      <c r="AH177" s="138"/>
      <c r="AI177" s="138"/>
      <c r="AJ177" s="138"/>
      <c r="AK177" s="138"/>
      <c r="AL177" s="138"/>
      <c r="AM177" s="138"/>
      <c r="AN177" s="138"/>
      <c r="BR177" s="180">
        <v>2017</v>
      </c>
      <c r="BS177" s="22">
        <v>3</v>
      </c>
      <c r="BT177" s="181" t="e">
        <f t="shared" si="93"/>
        <v>#DIV/0!</v>
      </c>
      <c r="BU177" s="182" t="e">
        <f t="shared" si="94"/>
        <v>#DIV/0!</v>
      </c>
      <c r="BV177" s="277" t="e">
        <f t="shared" si="95"/>
        <v>#DIV/0!</v>
      </c>
      <c r="BY177" s="180">
        <v>2017</v>
      </c>
      <c r="BZ177" s="22">
        <v>3</v>
      </c>
      <c r="CA177" s="278" t="e">
        <f t="shared" ca="1" si="96"/>
        <v>#REF!</v>
      </c>
      <c r="CB177" s="278" t="e">
        <f t="shared" ca="1" si="97"/>
        <v>#REF!</v>
      </c>
      <c r="CC177" s="276" t="e">
        <f t="shared" ca="1" si="108"/>
        <v>#REF!</v>
      </c>
      <c r="CD177" s="277" t="e">
        <f t="shared" ca="1" si="98"/>
        <v>#REF!</v>
      </c>
      <c r="CG177" s="180">
        <v>2017</v>
      </c>
      <c r="CH177" s="22">
        <v>3</v>
      </c>
      <c r="CI177" s="278" t="e">
        <f t="shared" ca="1" si="99"/>
        <v>#REF!</v>
      </c>
      <c r="CJ177" s="278" t="e">
        <f t="shared" ca="1" si="100"/>
        <v>#REF!</v>
      </c>
      <c r="CK177" s="278" t="e">
        <f t="shared" ca="1" si="101"/>
        <v>#REF!</v>
      </c>
      <c r="CL177" s="276" t="e">
        <f t="shared" ca="1" si="102"/>
        <v>#REF!</v>
      </c>
      <c r="CM177" s="277" t="e">
        <f t="shared" ca="1" si="103"/>
        <v>#REF!</v>
      </c>
      <c r="CP177" s="180">
        <v>2017</v>
      </c>
      <c r="CQ177" s="22">
        <v>3</v>
      </c>
      <c r="CR177" s="278" t="e">
        <f t="shared" ca="1" si="104"/>
        <v>#REF!</v>
      </c>
      <c r="CS177" s="276" t="e">
        <f t="shared" ca="1" si="105"/>
        <v>#REF!</v>
      </c>
      <c r="CT177" s="277" t="e">
        <f t="shared" ca="1" si="106"/>
        <v>#REF!</v>
      </c>
      <c r="CZ177" s="164" t="b">
        <f t="shared" si="83"/>
        <v>0</v>
      </c>
      <c r="DA177" s="165" t="b">
        <f t="shared" si="83"/>
        <v>0</v>
      </c>
      <c r="DB177" s="166" t="b">
        <f t="shared" si="83"/>
        <v>0</v>
      </c>
      <c r="DC177" s="164" t="str">
        <f t="shared" si="84"/>
        <v/>
      </c>
      <c r="DD177" s="166" t="str">
        <f t="shared" si="85"/>
        <v/>
      </c>
      <c r="DE177" s="164" t="str">
        <f t="shared" si="86"/>
        <v/>
      </c>
      <c r="DF177" s="166" t="str">
        <f t="shared" si="87"/>
        <v/>
      </c>
      <c r="DG177" s="164" t="str">
        <f t="shared" si="88"/>
        <v/>
      </c>
      <c r="DH177" s="166" t="str">
        <f t="shared" si="89"/>
        <v/>
      </c>
      <c r="DI177" s="164" t="str">
        <f>IFERROR(INDEX(DC$170:DC$218,_xlfn.AGGREGATE(15,6,(ROW(DC$170:DC$218)-ROW(DC$170)+1)/(DC$170:DC$218&lt;&gt;""),ROWS(DI$1:DI8))),"")</f>
        <v/>
      </c>
      <c r="DJ177" s="165" t="str">
        <f>IFERROR(INDEX(DD$170:DD$218,_xlfn.AGGREGATE(15,6,(ROW(DD$170:DD$218)-ROW(DD$170)+1)/(DD$170:DD$218&lt;&gt;""),ROWS(DJ$1:DJ8))),"")</f>
        <v/>
      </c>
      <c r="DK177" s="166" t="str">
        <f t="shared" si="90"/>
        <v/>
      </c>
      <c r="DL177" s="164" t="str">
        <f>IFERROR(INDEX(DE$170:DE$218,_xlfn.AGGREGATE(15,6,(ROW(DE$170:DE$218)-ROW(DE$170)+1)/(DE$170:DE$218&lt;&gt;""),ROWS(DL$1:DL8))),"")</f>
        <v/>
      </c>
      <c r="DM177" s="165" t="str">
        <f>IFERROR(INDEX(DF$170:DF$218,_xlfn.AGGREGATE(15,6,(ROW(DF$170:DF$218)-ROW(DF$170)+1)/(DF$170:DF$218&lt;&gt;""),ROWS(DM$1:DM8))),"")</f>
        <v/>
      </c>
      <c r="DN177" s="166" t="str">
        <f t="shared" si="91"/>
        <v/>
      </c>
      <c r="DO177" s="164" t="str">
        <f>IFERROR(INDEX(DG$170:DG$218,_xlfn.AGGREGATE(15,6,(ROW(DG$170:DG$218)-ROW(DG$170)+1)/(DG$170:DG$218&lt;&gt;""),ROWS(DO$1:DO8))),"")</f>
        <v/>
      </c>
      <c r="DP177" s="165" t="str">
        <f>IFERROR(INDEX(DH$170:DH$218,_xlfn.AGGREGATE(15,6,(ROW(DH$170:DH$218)-ROW(DH$170)+1)/(DH$170:DH$218&lt;&gt;""),ROWS(DP$1:DP8))),"")</f>
        <v/>
      </c>
      <c r="DQ177" s="166" t="str">
        <f t="shared" si="92"/>
        <v/>
      </c>
      <c r="DV177" s="145">
        <v>2022</v>
      </c>
      <c r="DW177" s="235" t="e">
        <f t="shared" ca="1" si="76"/>
        <v>#REF!</v>
      </c>
      <c r="DZ177" s="135"/>
      <c r="EA177" s="33"/>
      <c r="EB177" s="33"/>
      <c r="EC177" s="33"/>
      <c r="ED177" s="33"/>
      <c r="EE177" s="33"/>
    </row>
    <row r="178" spans="1:135" ht="13.8" x14ac:dyDescent="0.45">
      <c r="A178" s="194" t="s">
        <v>90</v>
      </c>
      <c r="B178" s="128">
        <v>2020</v>
      </c>
      <c r="C178" s="953"/>
      <c r="D178" s="944"/>
      <c r="E178" s="945"/>
      <c r="F178" s="1039"/>
      <c r="G178" s="981"/>
      <c r="H178" s="1034"/>
      <c r="I178" s="931"/>
      <c r="J178" s="168"/>
      <c r="K178" s="169"/>
      <c r="L178" s="170"/>
      <c r="M178" s="169"/>
      <c r="N178" s="29" t="s">
        <v>119</v>
      </c>
      <c r="O178" s="120"/>
      <c r="P178" s="120"/>
      <c r="Q178" s="120"/>
      <c r="R178" s="29">
        <v>6</v>
      </c>
      <c r="S178" s="279" t="str">
        <f t="shared" si="77"/>
        <v/>
      </c>
      <c r="T178" s="279" t="str">
        <f t="shared" si="78"/>
        <v/>
      </c>
      <c r="U178" s="279" t="str">
        <f t="shared" si="79"/>
        <v/>
      </c>
      <c r="V178" s="20"/>
      <c r="W178" s="265" t="e">
        <f t="shared" si="80"/>
        <v>#N/A</v>
      </c>
      <c r="X178" s="265" t="e">
        <f t="shared" si="81"/>
        <v>#N/A</v>
      </c>
      <c r="Y178" s="265" t="e">
        <f t="shared" si="82"/>
        <v>#N/A</v>
      </c>
      <c r="AA178" s="1133">
        <v>123.38474271020009</v>
      </c>
      <c r="AB178" s="1133">
        <v>154.05903802176672</v>
      </c>
      <c r="AC178" s="1133">
        <v>184.73333333333335</v>
      </c>
      <c r="AD178" s="138"/>
      <c r="AE178" s="138"/>
      <c r="AF178" s="138"/>
      <c r="AG178" s="138"/>
      <c r="AH178" s="138"/>
      <c r="AI178" s="138"/>
      <c r="AJ178" s="138"/>
      <c r="AK178" s="138"/>
      <c r="AL178" s="138"/>
      <c r="AM178" s="138"/>
      <c r="AN178" s="138"/>
      <c r="BR178" s="180">
        <v>2018</v>
      </c>
      <c r="BS178" s="22">
        <v>4</v>
      </c>
      <c r="BT178" s="181" t="e">
        <f t="shared" si="93"/>
        <v>#DIV/0!</v>
      </c>
      <c r="BU178" s="182" t="e">
        <f t="shared" si="94"/>
        <v>#DIV/0!</v>
      </c>
      <c r="BV178" s="242" t="e">
        <f t="shared" si="95"/>
        <v>#DIV/0!</v>
      </c>
      <c r="BY178" s="180">
        <v>2018</v>
      </c>
      <c r="BZ178" s="22">
        <v>4</v>
      </c>
      <c r="CA178" s="243" t="e">
        <f t="shared" ca="1" si="96"/>
        <v>#REF!</v>
      </c>
      <c r="CB178" s="243" t="e">
        <f t="shared" ca="1" si="97"/>
        <v>#REF!</v>
      </c>
      <c r="CC178" s="276" t="e">
        <f t="shared" ca="1" si="108"/>
        <v>#REF!</v>
      </c>
      <c r="CD178" s="242" t="e">
        <f t="shared" ca="1" si="98"/>
        <v>#REF!</v>
      </c>
      <c r="CG178" s="180">
        <v>2018</v>
      </c>
      <c r="CH178" s="22">
        <v>4</v>
      </c>
      <c r="CI178" s="243" t="e">
        <f t="shared" ca="1" si="99"/>
        <v>#REF!</v>
      </c>
      <c r="CJ178" s="243" t="e">
        <f t="shared" ca="1" si="100"/>
        <v>#REF!</v>
      </c>
      <c r="CK178" s="243" t="e">
        <f t="shared" ca="1" si="101"/>
        <v>#REF!</v>
      </c>
      <c r="CL178" s="276" t="e">
        <f t="shared" ca="1" si="102"/>
        <v>#REF!</v>
      </c>
      <c r="CM178" s="242" t="e">
        <f t="shared" ca="1" si="103"/>
        <v>#REF!</v>
      </c>
      <c r="CP178" s="180">
        <v>2018</v>
      </c>
      <c r="CQ178" s="22">
        <v>4</v>
      </c>
      <c r="CR178" s="243" t="e">
        <f t="shared" ca="1" si="104"/>
        <v>#REF!</v>
      </c>
      <c r="CS178" s="276" t="e">
        <f t="shared" ca="1" si="105"/>
        <v>#REF!</v>
      </c>
      <c r="CT178" s="242" t="e">
        <f t="shared" ca="1" si="106"/>
        <v>#REF!</v>
      </c>
      <c r="CZ178" s="164" t="b">
        <f t="shared" si="83"/>
        <v>0</v>
      </c>
      <c r="DA178" s="165" t="b">
        <f t="shared" si="83"/>
        <v>0</v>
      </c>
      <c r="DB178" s="166" t="b">
        <f t="shared" si="83"/>
        <v>0</v>
      </c>
      <c r="DC178" s="164" t="str">
        <f t="shared" si="84"/>
        <v/>
      </c>
      <c r="DD178" s="166" t="str">
        <f t="shared" si="85"/>
        <v/>
      </c>
      <c r="DE178" s="164" t="str">
        <f t="shared" si="86"/>
        <v/>
      </c>
      <c r="DF178" s="166" t="str">
        <f t="shared" si="87"/>
        <v/>
      </c>
      <c r="DG178" s="164" t="str">
        <f t="shared" si="88"/>
        <v/>
      </c>
      <c r="DH178" s="166" t="str">
        <f t="shared" si="89"/>
        <v/>
      </c>
      <c r="DI178" s="164" t="str">
        <f>IFERROR(INDEX(DC$170:DC$218,_xlfn.AGGREGATE(15,6,(ROW(DC$170:DC$218)-ROW(DC$170)+1)/(DC$170:DC$218&lt;&gt;""),ROWS(DI$1:DI9))),"")</f>
        <v/>
      </c>
      <c r="DJ178" s="165" t="str">
        <f>IFERROR(INDEX(DD$170:DD$218,_xlfn.AGGREGATE(15,6,(ROW(DD$170:DD$218)-ROW(DD$170)+1)/(DD$170:DD$218&lt;&gt;""),ROWS(DJ$1:DJ9))),"")</f>
        <v/>
      </c>
      <c r="DK178" s="166" t="str">
        <f t="shared" si="90"/>
        <v/>
      </c>
      <c r="DL178" s="164" t="str">
        <f>IFERROR(INDEX(DE$170:DE$218,_xlfn.AGGREGATE(15,6,(ROW(DE$170:DE$218)-ROW(DE$170)+1)/(DE$170:DE$218&lt;&gt;""),ROWS(DL$1:DL9))),"")</f>
        <v/>
      </c>
      <c r="DM178" s="165" t="str">
        <f>IFERROR(INDEX(DF$170:DF$218,_xlfn.AGGREGATE(15,6,(ROW(DF$170:DF$218)-ROW(DF$170)+1)/(DF$170:DF$218&lt;&gt;""),ROWS(DM$1:DM9))),"")</f>
        <v/>
      </c>
      <c r="DN178" s="166" t="str">
        <f t="shared" si="91"/>
        <v/>
      </c>
      <c r="DO178" s="164" t="str">
        <f>IFERROR(INDEX(DG$170:DG$218,_xlfn.AGGREGATE(15,6,(ROW(DG$170:DG$218)-ROW(DG$170)+1)/(DG$170:DG$218&lt;&gt;""),ROWS(DO$1:DO9))),"")</f>
        <v/>
      </c>
      <c r="DP178" s="165" t="str">
        <f>IFERROR(INDEX(DH$170:DH$218,_xlfn.AGGREGATE(15,6,(ROW(DH$170:DH$218)-ROW(DH$170)+1)/(DH$170:DH$218&lt;&gt;""),ROWS(DP$1:DP9))),"")</f>
        <v/>
      </c>
      <c r="DQ178" s="166" t="str">
        <f t="shared" si="92"/>
        <v/>
      </c>
      <c r="DV178" s="145">
        <v>2023</v>
      </c>
      <c r="DW178" s="235" t="e">
        <f t="shared" ca="1" si="76"/>
        <v>#REF!</v>
      </c>
      <c r="DZ178" s="135"/>
      <c r="EA178" s="33" t="s">
        <v>86</v>
      </c>
      <c r="EB178" s="33" t="s">
        <v>87</v>
      </c>
      <c r="EC178" s="33"/>
      <c r="ED178" s="33"/>
      <c r="EE178" s="33"/>
    </row>
    <row r="179" spans="1:135" ht="14.1" thickBot="1" x14ac:dyDescent="0.5">
      <c r="A179" s="184" t="s">
        <v>80</v>
      </c>
      <c r="B179" s="128">
        <v>2021</v>
      </c>
      <c r="C179" s="953"/>
      <c r="D179" s="944"/>
      <c r="E179" s="945"/>
      <c r="F179" s="1039"/>
      <c r="G179" s="981"/>
      <c r="H179" s="1033"/>
      <c r="I179" s="1110"/>
      <c r="J179" s="267"/>
      <c r="K179" s="271"/>
      <c r="L179" s="272"/>
      <c r="M179" s="271"/>
      <c r="N179" s="29" t="s">
        <v>119</v>
      </c>
      <c r="O179" s="120"/>
      <c r="P179" s="120"/>
      <c r="Q179" s="120"/>
      <c r="R179" s="29">
        <v>7</v>
      </c>
      <c r="S179" s="280" t="str">
        <f t="shared" si="77"/>
        <v/>
      </c>
      <c r="T179" s="280" t="str">
        <f t="shared" si="78"/>
        <v/>
      </c>
      <c r="U179" s="280" t="str">
        <f t="shared" si="79"/>
        <v/>
      </c>
      <c r="V179" s="20"/>
      <c r="W179" s="265" t="e">
        <f t="shared" si="80"/>
        <v>#N/A</v>
      </c>
      <c r="X179" s="265" t="e">
        <f t="shared" si="81"/>
        <v>#N/A</v>
      </c>
      <c r="Y179" s="265" t="e">
        <f t="shared" si="82"/>
        <v>#N/A</v>
      </c>
      <c r="AA179" s="1133">
        <v>124.72268580355069</v>
      </c>
      <c r="AB179" s="1133">
        <v>155.378009568442</v>
      </c>
      <c r="AC179" s="1133">
        <v>186.0333333333333</v>
      </c>
      <c r="AD179" s="138"/>
      <c r="AE179" s="138"/>
      <c r="AF179" s="138"/>
      <c r="AG179" s="138"/>
      <c r="AH179" s="138"/>
      <c r="AI179" s="138"/>
      <c r="AJ179" s="138"/>
      <c r="AK179" s="138"/>
      <c r="AL179" s="138"/>
      <c r="AM179" s="138"/>
      <c r="AN179" s="138"/>
      <c r="BR179" s="180">
        <v>2019</v>
      </c>
      <c r="BS179" s="22">
        <v>5</v>
      </c>
      <c r="BT179" s="181" t="e">
        <f t="shared" si="93"/>
        <v>#DIV/0!</v>
      </c>
      <c r="BU179" s="182" t="e">
        <f t="shared" si="94"/>
        <v>#DIV/0!</v>
      </c>
      <c r="BV179" s="197" t="e">
        <f t="shared" si="95"/>
        <v>#DIV/0!</v>
      </c>
      <c r="BY179" s="180">
        <v>2019</v>
      </c>
      <c r="BZ179" s="22">
        <v>5</v>
      </c>
      <c r="CA179" s="243" t="e">
        <f t="shared" ca="1" si="96"/>
        <v>#REF!</v>
      </c>
      <c r="CB179" s="243" t="e">
        <f t="shared" ca="1" si="97"/>
        <v>#REF!</v>
      </c>
      <c r="CC179" s="186" t="e">
        <f t="shared" ca="1" si="108"/>
        <v>#REF!</v>
      </c>
      <c r="CD179" s="197" t="e">
        <f t="shared" ca="1" si="98"/>
        <v>#REF!</v>
      </c>
      <c r="CG179" s="180">
        <v>2019</v>
      </c>
      <c r="CH179" s="22">
        <v>5</v>
      </c>
      <c r="CI179" s="243" t="e">
        <f t="shared" ca="1" si="99"/>
        <v>#REF!</v>
      </c>
      <c r="CJ179" s="243" t="e">
        <f t="shared" ca="1" si="100"/>
        <v>#REF!</v>
      </c>
      <c r="CK179" s="243" t="e">
        <f t="shared" ca="1" si="101"/>
        <v>#REF!</v>
      </c>
      <c r="CL179" s="186" t="e">
        <f t="shared" ca="1" si="102"/>
        <v>#REF!</v>
      </c>
      <c r="CM179" s="197" t="e">
        <f t="shared" ca="1" si="103"/>
        <v>#REF!</v>
      </c>
      <c r="CP179" s="180">
        <v>2019</v>
      </c>
      <c r="CQ179" s="22">
        <v>5</v>
      </c>
      <c r="CR179" s="243" t="e">
        <f t="shared" ca="1" si="104"/>
        <v>#REF!</v>
      </c>
      <c r="CS179" s="186" t="e">
        <f t="shared" ca="1" si="105"/>
        <v>#REF!</v>
      </c>
      <c r="CT179" s="197" t="e">
        <f t="shared" ca="1" si="106"/>
        <v>#REF!</v>
      </c>
      <c r="CZ179" s="164" t="b">
        <f t="shared" si="83"/>
        <v>0</v>
      </c>
      <c r="DA179" s="165" t="b">
        <f t="shared" si="83"/>
        <v>0</v>
      </c>
      <c r="DB179" s="166" t="b">
        <f t="shared" si="83"/>
        <v>0</v>
      </c>
      <c r="DC179" s="164" t="str">
        <f t="shared" si="84"/>
        <v/>
      </c>
      <c r="DD179" s="166" t="str">
        <f t="shared" si="85"/>
        <v/>
      </c>
      <c r="DE179" s="164" t="str">
        <f t="shared" si="86"/>
        <v/>
      </c>
      <c r="DF179" s="166" t="str">
        <f t="shared" si="87"/>
        <v/>
      </c>
      <c r="DG179" s="164" t="str">
        <f t="shared" si="88"/>
        <v/>
      </c>
      <c r="DH179" s="166" t="str">
        <f t="shared" si="89"/>
        <v/>
      </c>
      <c r="DI179" s="164" t="str">
        <f>IFERROR(INDEX(DC$170:DC$218,_xlfn.AGGREGATE(15,6,(ROW(DC$170:DC$218)-ROW(DC$170)+1)/(DC$170:DC$218&lt;&gt;""),ROWS(DI$1:DI10))),"")</f>
        <v/>
      </c>
      <c r="DJ179" s="165" t="str">
        <f>IFERROR(INDEX(DD$170:DD$218,_xlfn.AGGREGATE(15,6,(ROW(DD$170:DD$218)-ROW(DD$170)+1)/(DD$170:DD$218&lt;&gt;""),ROWS(DJ$1:DJ10))),"")</f>
        <v/>
      </c>
      <c r="DK179" s="166" t="str">
        <f t="shared" si="90"/>
        <v/>
      </c>
      <c r="DL179" s="164" t="str">
        <f>IFERROR(INDEX(DE$170:DE$218,_xlfn.AGGREGATE(15,6,(ROW(DE$170:DE$218)-ROW(DE$170)+1)/(DE$170:DE$218&lt;&gt;""),ROWS(DL$1:DL10))),"")</f>
        <v/>
      </c>
      <c r="DM179" s="165" t="str">
        <f>IFERROR(INDEX(DF$170:DF$218,_xlfn.AGGREGATE(15,6,(ROW(DF$170:DF$218)-ROW(DF$170)+1)/(DF$170:DF$218&lt;&gt;""),ROWS(DM$1:DM10))),"")</f>
        <v/>
      </c>
      <c r="DN179" s="166" t="str">
        <f t="shared" si="91"/>
        <v/>
      </c>
      <c r="DO179" s="164" t="str">
        <f>IFERROR(INDEX(DG$170:DG$218,_xlfn.AGGREGATE(15,6,(ROW(DG$170:DG$218)-ROW(DG$170)+1)/(DG$170:DG$218&lt;&gt;""),ROWS(DO$1:DO10))),"")</f>
        <v/>
      </c>
      <c r="DP179" s="165" t="str">
        <f>IFERROR(INDEX(DH$170:DH$218,_xlfn.AGGREGATE(15,6,(ROW(DH$170:DH$218)-ROW(DH$170)+1)/(DH$170:DH$218&lt;&gt;""),ROWS(DP$1:DP10))),"")</f>
        <v/>
      </c>
      <c r="DQ179" s="166" t="str">
        <f t="shared" si="92"/>
        <v/>
      </c>
      <c r="DV179" s="145">
        <v>2024</v>
      </c>
      <c r="DW179" s="235" t="e">
        <f t="shared" ca="1" si="76"/>
        <v>#REF!</v>
      </c>
      <c r="DZ179" s="135" t="s">
        <v>92</v>
      </c>
      <c r="EA179" s="33">
        <f t="shared" ref="EA179:EB181" si="109">IF($EA$168="Linear",0,IF($EA$168="2nd Poly",0,IF($EA$168="3rd Poly",0,IF($EA$168="Exp",CR171))))</f>
        <v>0</v>
      </c>
      <c r="EB179" s="33">
        <f t="shared" si="109"/>
        <v>0</v>
      </c>
      <c r="EC179" s="33" t="str">
        <f>IF($EA$168="Linear","N/A",IF($EA$168="2nd Poly","N/A",IF($EA$168="3rd Poly","N/A","High")))</f>
        <v>N/A</v>
      </c>
      <c r="ED179" s="33"/>
      <c r="EE179" s="33"/>
    </row>
    <row r="180" spans="1:135" ht="13.8" x14ac:dyDescent="0.45">
      <c r="A180" s="148" t="s">
        <v>88</v>
      </c>
      <c r="B180" s="128">
        <v>2022</v>
      </c>
      <c r="C180" s="953"/>
      <c r="D180" s="944"/>
      <c r="E180" s="945"/>
      <c r="F180" s="1039"/>
      <c r="G180" s="981"/>
      <c r="H180" s="1035"/>
      <c r="I180" s="1111"/>
      <c r="J180" s="199"/>
      <c r="K180" s="200"/>
      <c r="L180" s="201"/>
      <c r="M180" s="200"/>
      <c r="N180" s="29" t="s">
        <v>119</v>
      </c>
      <c r="O180" s="120"/>
      <c r="P180" s="120"/>
      <c r="Q180" s="120"/>
      <c r="R180" s="29">
        <v>8</v>
      </c>
      <c r="S180" s="202" t="str">
        <f t="shared" si="77"/>
        <v/>
      </c>
      <c r="T180" s="202" t="str">
        <f t="shared" si="78"/>
        <v/>
      </c>
      <c r="U180" s="202" t="str">
        <f t="shared" si="79"/>
        <v/>
      </c>
      <c r="V180" s="20"/>
      <c r="W180" s="265" t="e">
        <f t="shared" si="80"/>
        <v>#N/A</v>
      </c>
      <c r="X180" s="265" t="e">
        <f t="shared" si="81"/>
        <v>#N/A</v>
      </c>
      <c r="Y180" s="265" t="e">
        <f t="shared" si="82"/>
        <v>#N/A</v>
      </c>
      <c r="AA180" s="1133">
        <v>127.04715707798536</v>
      </c>
      <c r="AB180" s="1133">
        <v>157.19024520565935</v>
      </c>
      <c r="AC180" s="1133">
        <v>187.33333333333334</v>
      </c>
      <c r="AD180" s="120"/>
      <c r="AE180" s="120"/>
      <c r="AF180" s="120"/>
      <c r="AG180" s="120"/>
      <c r="AH180" s="120"/>
      <c r="AI180" s="120"/>
      <c r="AJ180" s="120"/>
      <c r="AK180" s="120"/>
      <c r="AL180" s="120"/>
      <c r="AM180" s="120"/>
      <c r="AN180" s="120"/>
      <c r="BR180" s="180">
        <v>2020</v>
      </c>
      <c r="BS180" s="22">
        <v>6</v>
      </c>
      <c r="BT180" s="181" t="e">
        <f t="shared" si="93"/>
        <v>#DIV/0!</v>
      </c>
      <c r="BU180" s="182" t="e">
        <f t="shared" si="94"/>
        <v>#DIV/0!</v>
      </c>
      <c r="BV180" s="203" t="e">
        <f t="shared" si="95"/>
        <v>#DIV/0!</v>
      </c>
      <c r="BY180" s="180">
        <v>2020</v>
      </c>
      <c r="BZ180" s="22">
        <v>6</v>
      </c>
      <c r="CA180" s="278" t="e">
        <f t="shared" ca="1" si="96"/>
        <v>#REF!</v>
      </c>
      <c r="CB180" s="278" t="e">
        <f t="shared" ca="1" si="97"/>
        <v>#REF!</v>
      </c>
      <c r="CC180" s="276" t="e">
        <f t="shared" ca="1" si="108"/>
        <v>#REF!</v>
      </c>
      <c r="CD180" s="203" t="e">
        <f t="shared" ca="1" si="98"/>
        <v>#REF!</v>
      </c>
      <c r="CG180" s="180">
        <v>2020</v>
      </c>
      <c r="CH180" s="22">
        <v>6</v>
      </c>
      <c r="CI180" s="278" t="e">
        <f t="shared" ca="1" si="99"/>
        <v>#REF!</v>
      </c>
      <c r="CJ180" s="278" t="e">
        <f t="shared" ca="1" si="100"/>
        <v>#REF!</v>
      </c>
      <c r="CK180" s="278" t="e">
        <f t="shared" ca="1" si="101"/>
        <v>#REF!</v>
      </c>
      <c r="CL180" s="276" t="e">
        <f t="shared" ca="1" si="102"/>
        <v>#REF!</v>
      </c>
      <c r="CM180" s="203" t="e">
        <f t="shared" ca="1" si="103"/>
        <v>#REF!</v>
      </c>
      <c r="CP180" s="180">
        <v>2020</v>
      </c>
      <c r="CQ180" s="22">
        <v>6</v>
      </c>
      <c r="CR180" s="278" t="e">
        <f t="shared" ca="1" si="104"/>
        <v>#REF!</v>
      </c>
      <c r="CS180" s="276" t="e">
        <f t="shared" ca="1" si="105"/>
        <v>#REF!</v>
      </c>
      <c r="CT180" s="203" t="e">
        <f t="shared" ca="1" si="106"/>
        <v>#REF!</v>
      </c>
      <c r="CZ180" s="164" t="b">
        <f t="shared" si="83"/>
        <v>0</v>
      </c>
      <c r="DA180" s="165" t="b">
        <f t="shared" si="83"/>
        <v>0</v>
      </c>
      <c r="DB180" s="166" t="b">
        <f t="shared" si="83"/>
        <v>0</v>
      </c>
      <c r="DC180" s="164" t="str">
        <f t="shared" si="84"/>
        <v/>
      </c>
      <c r="DD180" s="166" t="str">
        <f t="shared" si="85"/>
        <v/>
      </c>
      <c r="DE180" s="164" t="str">
        <f t="shared" si="86"/>
        <v/>
      </c>
      <c r="DF180" s="166" t="str">
        <f t="shared" si="87"/>
        <v/>
      </c>
      <c r="DG180" s="164" t="str">
        <f t="shared" si="88"/>
        <v/>
      </c>
      <c r="DH180" s="166" t="str">
        <f t="shared" si="89"/>
        <v/>
      </c>
      <c r="DI180" s="164" t="str">
        <f>IFERROR(INDEX(DC$170:DC$218,_xlfn.AGGREGATE(15,6,(ROW(DC$170:DC$218)-ROW(DC$170)+1)/(DC$170:DC$218&lt;&gt;""),ROWS(DI$1:DI11))),"")</f>
        <v/>
      </c>
      <c r="DJ180" s="165" t="str">
        <f>IFERROR(INDEX(DD$170:DD$218,_xlfn.AGGREGATE(15,6,(ROW(DD$170:DD$218)-ROW(DD$170)+1)/(DD$170:DD$218&lt;&gt;""),ROWS(DJ$1:DJ11))),"")</f>
        <v/>
      </c>
      <c r="DK180" s="166" t="str">
        <f t="shared" si="90"/>
        <v/>
      </c>
      <c r="DL180" s="164" t="str">
        <f>IFERROR(INDEX(DE$170:DE$218,_xlfn.AGGREGATE(15,6,(ROW(DE$170:DE$218)-ROW(DE$170)+1)/(DE$170:DE$218&lt;&gt;""),ROWS(DL$1:DL11))),"")</f>
        <v/>
      </c>
      <c r="DM180" s="165" t="str">
        <f>IFERROR(INDEX(DF$170:DF$218,_xlfn.AGGREGATE(15,6,(ROW(DF$170:DF$218)-ROW(DF$170)+1)/(DF$170:DF$218&lt;&gt;""),ROWS(DM$1:DM11))),"")</f>
        <v/>
      </c>
      <c r="DN180" s="166" t="str">
        <f t="shared" si="91"/>
        <v/>
      </c>
      <c r="DO180" s="164" t="str">
        <f>IFERROR(INDEX(DG$170:DG$218,_xlfn.AGGREGATE(15,6,(ROW(DG$170:DG$218)-ROW(DG$170)+1)/(DG$170:DG$218&lt;&gt;""),ROWS(DO$1:DO11))),"")</f>
        <v/>
      </c>
      <c r="DP180" s="165" t="str">
        <f>IFERROR(INDEX(DH$170:DH$218,_xlfn.AGGREGATE(15,6,(ROW(DH$170:DH$218)-ROW(DH$170)+1)/(DH$170:DH$218&lt;&gt;""),ROWS(DP$1:DP11))),"")</f>
        <v/>
      </c>
      <c r="DQ180" s="166" t="str">
        <f t="shared" si="92"/>
        <v/>
      </c>
      <c r="DV180" s="145">
        <v>2025</v>
      </c>
      <c r="DW180" s="235" t="e">
        <f t="shared" ca="1" si="76"/>
        <v>#REF!</v>
      </c>
      <c r="DZ180" s="135" t="s">
        <v>92</v>
      </c>
      <c r="EA180" s="33">
        <f t="shared" si="109"/>
        <v>0</v>
      </c>
      <c r="EB180" s="33">
        <f t="shared" si="109"/>
        <v>0</v>
      </c>
      <c r="EC180" s="33" t="str">
        <f>IF($EA$168="Linear","N/A",IF($EA$168="2nd Poly","N/A",IF($EA$168="3rd Poly","N/A","Medium")))</f>
        <v>N/A</v>
      </c>
    </row>
    <row r="181" spans="1:135" ht="13.8" x14ac:dyDescent="0.45">
      <c r="B181" s="128">
        <v>2023</v>
      </c>
      <c r="C181" s="953"/>
      <c r="D181" s="944"/>
      <c r="E181" s="945"/>
      <c r="F181" s="1039"/>
      <c r="G181" s="981"/>
      <c r="H181" s="1035"/>
      <c r="I181" s="1111"/>
      <c r="J181" s="199"/>
      <c r="K181" s="200"/>
      <c r="L181" s="201"/>
      <c r="M181" s="200"/>
      <c r="N181" s="29" t="s">
        <v>119</v>
      </c>
      <c r="O181" s="120"/>
      <c r="P181" s="120"/>
      <c r="Q181" s="120"/>
      <c r="R181" s="29">
        <v>9</v>
      </c>
      <c r="S181" s="202" t="str">
        <f t="shared" si="77"/>
        <v/>
      </c>
      <c r="T181" s="202" t="str">
        <f t="shared" si="78"/>
        <v/>
      </c>
      <c r="U181" s="202" t="str">
        <f t="shared" si="79"/>
        <v/>
      </c>
      <c r="V181" s="20"/>
      <c r="W181" s="238" t="e">
        <f t="shared" si="80"/>
        <v>#N/A</v>
      </c>
      <c r="X181" s="238" t="e">
        <f t="shared" si="81"/>
        <v>#N/A</v>
      </c>
      <c r="Y181" s="238" t="e">
        <f t="shared" si="82"/>
        <v>#N/A</v>
      </c>
      <c r="AA181" s="1133">
        <v>129.21347776167863</v>
      </c>
      <c r="AB181" s="1133">
        <v>158.92340554750592</v>
      </c>
      <c r="AC181" s="1133">
        <v>188.63333333333321</v>
      </c>
      <c r="AD181" s="120"/>
      <c r="AE181" s="120"/>
      <c r="AF181" s="120"/>
      <c r="AG181" s="120"/>
      <c r="AH181" s="120"/>
      <c r="AI181" s="120"/>
      <c r="AJ181" s="120"/>
      <c r="AK181" s="120"/>
      <c r="AL181" s="120"/>
      <c r="AM181" s="120"/>
      <c r="AN181" s="120"/>
      <c r="BR181" s="180">
        <v>2021</v>
      </c>
      <c r="BS181" s="22">
        <v>7</v>
      </c>
      <c r="BT181" s="181" t="e">
        <f t="shared" si="93"/>
        <v>#DIV/0!</v>
      </c>
      <c r="BU181" s="182" t="e">
        <f t="shared" si="94"/>
        <v>#DIV/0!</v>
      </c>
      <c r="BV181" s="205" t="e">
        <f t="shared" si="95"/>
        <v>#DIV/0!</v>
      </c>
      <c r="BY181" s="180">
        <v>2021</v>
      </c>
      <c r="BZ181" s="22">
        <v>7</v>
      </c>
      <c r="CA181" s="198" t="e">
        <f t="shared" ca="1" si="96"/>
        <v>#REF!</v>
      </c>
      <c r="CB181" s="198" t="e">
        <f t="shared" ca="1" si="97"/>
        <v>#REF!</v>
      </c>
      <c r="CC181" s="186" t="e">
        <f t="shared" ca="1" si="108"/>
        <v>#REF!</v>
      </c>
      <c r="CD181" s="205" t="e">
        <f t="shared" ca="1" si="98"/>
        <v>#REF!</v>
      </c>
      <c r="CG181" s="180">
        <v>2021</v>
      </c>
      <c r="CH181" s="22">
        <v>7</v>
      </c>
      <c r="CI181" s="198" t="e">
        <f t="shared" ca="1" si="99"/>
        <v>#REF!</v>
      </c>
      <c r="CJ181" s="198" t="e">
        <f t="shared" ca="1" si="100"/>
        <v>#REF!</v>
      </c>
      <c r="CK181" s="198" t="e">
        <f t="shared" ca="1" si="101"/>
        <v>#REF!</v>
      </c>
      <c r="CL181" s="186" t="e">
        <f t="shared" ca="1" si="102"/>
        <v>#REF!</v>
      </c>
      <c r="CM181" s="205" t="e">
        <f t="shared" ca="1" si="103"/>
        <v>#REF!</v>
      </c>
      <c r="CP181" s="180">
        <v>2021</v>
      </c>
      <c r="CQ181" s="22">
        <v>7</v>
      </c>
      <c r="CR181" s="198" t="e">
        <f t="shared" ca="1" si="104"/>
        <v>#REF!</v>
      </c>
      <c r="CS181" s="186" t="e">
        <f t="shared" ca="1" si="105"/>
        <v>#REF!</v>
      </c>
      <c r="CT181" s="205" t="e">
        <f t="shared" ca="1" si="106"/>
        <v>#REF!</v>
      </c>
      <c r="CZ181" s="164" t="b">
        <f t="shared" si="83"/>
        <v>0</v>
      </c>
      <c r="DA181" s="165" t="b">
        <f t="shared" si="83"/>
        <v>0</v>
      </c>
      <c r="DB181" s="166" t="b">
        <f t="shared" si="83"/>
        <v>0</v>
      </c>
      <c r="DC181" s="164" t="str">
        <f t="shared" si="84"/>
        <v/>
      </c>
      <c r="DD181" s="166" t="str">
        <f t="shared" si="85"/>
        <v/>
      </c>
      <c r="DE181" s="164" t="str">
        <f t="shared" si="86"/>
        <v/>
      </c>
      <c r="DF181" s="166" t="str">
        <f t="shared" si="87"/>
        <v/>
      </c>
      <c r="DG181" s="164" t="str">
        <f t="shared" si="88"/>
        <v/>
      </c>
      <c r="DH181" s="166" t="str">
        <f t="shared" si="89"/>
        <v/>
      </c>
      <c r="DI181" s="164" t="str">
        <f>IFERROR(INDEX(DC$170:DC$218,_xlfn.AGGREGATE(15,6,(ROW(DC$170:DC$218)-ROW(DC$170)+1)/(DC$170:DC$218&lt;&gt;""),ROWS(DI$1:DI12))),"")</f>
        <v/>
      </c>
      <c r="DJ181" s="165" t="str">
        <f>IFERROR(INDEX(DD$170:DD$218,_xlfn.AGGREGATE(15,6,(ROW(DD$170:DD$218)-ROW(DD$170)+1)/(DD$170:DD$218&lt;&gt;""),ROWS(DJ$1:DJ12))),"")</f>
        <v/>
      </c>
      <c r="DK181" s="166" t="str">
        <f t="shared" si="90"/>
        <v/>
      </c>
      <c r="DL181" s="164" t="str">
        <f>IFERROR(INDEX(DE$170:DE$218,_xlfn.AGGREGATE(15,6,(ROW(DE$170:DE$218)-ROW(DE$170)+1)/(DE$170:DE$218&lt;&gt;""),ROWS(DL$1:DL12))),"")</f>
        <v/>
      </c>
      <c r="DM181" s="165" t="str">
        <f>IFERROR(INDEX(DF$170:DF$218,_xlfn.AGGREGATE(15,6,(ROW(DF$170:DF$218)-ROW(DF$170)+1)/(DF$170:DF$218&lt;&gt;""),ROWS(DM$1:DM12))),"")</f>
        <v/>
      </c>
      <c r="DN181" s="166" t="str">
        <f t="shared" si="91"/>
        <v/>
      </c>
      <c r="DO181" s="164" t="str">
        <f>IFERROR(INDEX(DG$170:DG$218,_xlfn.AGGREGATE(15,6,(ROW(DG$170:DG$218)-ROW(DG$170)+1)/(DG$170:DG$218&lt;&gt;""),ROWS(DO$1:DO12))),"")</f>
        <v/>
      </c>
      <c r="DP181" s="165" t="str">
        <f>IFERROR(INDEX(DH$170:DH$218,_xlfn.AGGREGATE(15,6,(ROW(DH$170:DH$218)-ROW(DH$170)+1)/(DH$170:DH$218&lt;&gt;""),ROWS(DP$1:DP12))),"")</f>
        <v/>
      </c>
      <c r="DQ181" s="166" t="str">
        <f t="shared" si="92"/>
        <v/>
      </c>
      <c r="DV181" s="145">
        <v>2026</v>
      </c>
      <c r="DW181" s="235" t="e">
        <f t="shared" ca="1" si="76"/>
        <v>#REF!</v>
      </c>
      <c r="DZ181" s="135" t="s">
        <v>92</v>
      </c>
      <c r="EA181" s="33">
        <f t="shared" si="109"/>
        <v>0</v>
      </c>
      <c r="EB181" s="33">
        <f t="shared" si="109"/>
        <v>0</v>
      </c>
      <c r="EC181" s="33" t="str">
        <f>IF($EA$168="Linear","N/A",IF($EA$168="2nd Poly","N/A",IF($EA$168="3rd Poly","N/A","Low")))</f>
        <v>N/A</v>
      </c>
    </row>
    <row r="182" spans="1:135" ht="13.8" x14ac:dyDescent="0.45">
      <c r="B182" s="128">
        <v>2024</v>
      </c>
      <c r="C182" s="953"/>
      <c r="D182" s="944"/>
      <c r="E182" s="945"/>
      <c r="F182" s="1039"/>
      <c r="G182" s="981"/>
      <c r="H182" s="1040"/>
      <c r="I182" s="1112"/>
      <c r="J182" s="247"/>
      <c r="K182" s="245"/>
      <c r="L182" s="246"/>
      <c r="M182" s="245"/>
      <c r="N182" s="29" t="s">
        <v>119</v>
      </c>
      <c r="O182" s="120"/>
      <c r="P182" s="120"/>
      <c r="Q182" s="120"/>
      <c r="R182" s="29">
        <v>10</v>
      </c>
      <c r="S182" s="238" t="str">
        <f t="shared" si="77"/>
        <v/>
      </c>
      <c r="T182" s="238" t="str">
        <f t="shared" si="78"/>
        <v/>
      </c>
      <c r="U182" s="238" t="str">
        <f t="shared" si="79"/>
        <v/>
      </c>
      <c r="V182" s="20"/>
      <c r="W182" s="238" t="e">
        <f t="shared" si="80"/>
        <v>#N/A</v>
      </c>
      <c r="X182" s="238" t="e">
        <f t="shared" si="81"/>
        <v>#N/A</v>
      </c>
      <c r="Y182" s="238" t="e">
        <f t="shared" si="82"/>
        <v>#N/A</v>
      </c>
      <c r="AA182" s="1133">
        <v>131.22623812618053</v>
      </c>
      <c r="AB182" s="1133">
        <v>160.57978572975696</v>
      </c>
      <c r="AC182" s="1133">
        <v>189.93333333333339</v>
      </c>
      <c r="AD182" s="120"/>
      <c r="AE182" s="120"/>
      <c r="AF182" s="120"/>
      <c r="AG182" s="120"/>
      <c r="AH182" s="120"/>
      <c r="AI182" s="120"/>
      <c r="AJ182" s="120"/>
      <c r="AK182" s="120"/>
      <c r="AL182" s="120"/>
      <c r="AM182" s="120"/>
      <c r="AN182" s="120"/>
      <c r="BR182" s="180">
        <v>2022</v>
      </c>
      <c r="BS182" s="22">
        <v>8</v>
      </c>
      <c r="BT182" s="181" t="e">
        <f t="shared" si="93"/>
        <v>#DIV/0!</v>
      </c>
      <c r="BU182" s="182" t="e">
        <f t="shared" si="94"/>
        <v>#DIV/0!</v>
      </c>
      <c r="BV182" s="205" t="e">
        <f t="shared" si="95"/>
        <v>#DIV/0!</v>
      </c>
      <c r="BY182" s="180">
        <v>2022</v>
      </c>
      <c r="BZ182" s="22">
        <v>8</v>
      </c>
      <c r="CA182" s="198" t="e">
        <f t="shared" ca="1" si="96"/>
        <v>#REF!</v>
      </c>
      <c r="CB182" s="198" t="e">
        <f t="shared" ca="1" si="97"/>
        <v>#REF!</v>
      </c>
      <c r="CC182" s="186" t="e">
        <f t="shared" ca="1" si="108"/>
        <v>#REF!</v>
      </c>
      <c r="CD182" s="205" t="e">
        <f t="shared" ca="1" si="98"/>
        <v>#REF!</v>
      </c>
      <c r="CG182" s="180">
        <v>2022</v>
      </c>
      <c r="CH182" s="22">
        <v>8</v>
      </c>
      <c r="CI182" s="198" t="e">
        <f t="shared" ca="1" si="99"/>
        <v>#REF!</v>
      </c>
      <c r="CJ182" s="198" t="e">
        <f t="shared" ca="1" si="100"/>
        <v>#REF!</v>
      </c>
      <c r="CK182" s="198" t="e">
        <f t="shared" ca="1" si="101"/>
        <v>#REF!</v>
      </c>
      <c r="CL182" s="186" t="e">
        <f t="shared" ca="1" si="102"/>
        <v>#REF!</v>
      </c>
      <c r="CM182" s="205" t="e">
        <f t="shared" ca="1" si="103"/>
        <v>#REF!</v>
      </c>
      <c r="CP182" s="180">
        <v>2022</v>
      </c>
      <c r="CQ182" s="22">
        <v>8</v>
      </c>
      <c r="CR182" s="198" t="e">
        <f t="shared" ca="1" si="104"/>
        <v>#REF!</v>
      </c>
      <c r="CS182" s="186" t="e">
        <f t="shared" ca="1" si="105"/>
        <v>#REF!</v>
      </c>
      <c r="CT182" s="205" t="e">
        <f t="shared" ca="1" si="106"/>
        <v>#REF!</v>
      </c>
      <c r="CZ182" s="164" t="b">
        <f t="shared" si="83"/>
        <v>0</v>
      </c>
      <c r="DA182" s="165" t="b">
        <f t="shared" si="83"/>
        <v>0</v>
      </c>
      <c r="DB182" s="166" t="b">
        <f t="shared" si="83"/>
        <v>0</v>
      </c>
      <c r="DC182" s="164" t="str">
        <f t="shared" si="84"/>
        <v/>
      </c>
      <c r="DD182" s="166" t="str">
        <f t="shared" si="85"/>
        <v/>
      </c>
      <c r="DE182" s="164" t="str">
        <f t="shared" si="86"/>
        <v/>
      </c>
      <c r="DF182" s="166" t="str">
        <f t="shared" si="87"/>
        <v/>
      </c>
      <c r="DG182" s="164" t="str">
        <f t="shared" si="88"/>
        <v/>
      </c>
      <c r="DH182" s="166" t="str">
        <f t="shared" si="89"/>
        <v/>
      </c>
      <c r="DI182" s="164" t="str">
        <f>IFERROR(INDEX(DC$170:DC$218,_xlfn.AGGREGATE(15,6,(ROW(DC$170:DC$218)-ROW(DC$170)+1)/(DC$170:DC$218&lt;&gt;""),ROWS(DI$1:DI13))),"")</f>
        <v/>
      </c>
      <c r="DJ182" s="165" t="str">
        <f>IFERROR(INDEX(DD$170:DD$218,_xlfn.AGGREGATE(15,6,(ROW(DD$170:DD$218)-ROW(DD$170)+1)/(DD$170:DD$218&lt;&gt;""),ROWS(DJ$1:DJ13))),"")</f>
        <v/>
      </c>
      <c r="DK182" s="166" t="str">
        <f t="shared" si="90"/>
        <v/>
      </c>
      <c r="DL182" s="164" t="str">
        <f>IFERROR(INDEX(DE$170:DE$218,_xlfn.AGGREGATE(15,6,(ROW(DE$170:DE$218)-ROW(DE$170)+1)/(DE$170:DE$218&lt;&gt;""),ROWS(DL$1:DL13))),"")</f>
        <v/>
      </c>
      <c r="DM182" s="165" t="str">
        <f>IFERROR(INDEX(DF$170:DF$218,_xlfn.AGGREGATE(15,6,(ROW(DF$170:DF$218)-ROW(DF$170)+1)/(DF$170:DF$218&lt;&gt;""),ROWS(DM$1:DM13))),"")</f>
        <v/>
      </c>
      <c r="DN182" s="166" t="str">
        <f t="shared" si="91"/>
        <v/>
      </c>
      <c r="DO182" s="164" t="str">
        <f>IFERROR(INDEX(DG$170:DG$218,_xlfn.AGGREGATE(15,6,(ROW(DG$170:DG$218)-ROW(DG$170)+1)/(DG$170:DG$218&lt;&gt;""),ROWS(DO$1:DO13))),"")</f>
        <v/>
      </c>
      <c r="DP182" s="165" t="str">
        <f>IFERROR(INDEX(DH$170:DH$218,_xlfn.AGGREGATE(15,6,(ROW(DH$170:DH$218)-ROW(DH$170)+1)/(DH$170:DH$218&lt;&gt;""),ROWS(DP$1:DP13))),"")</f>
        <v/>
      </c>
      <c r="DQ182" s="166" t="str">
        <f t="shared" si="92"/>
        <v/>
      </c>
      <c r="DV182" s="145">
        <v>2027</v>
      </c>
      <c r="DW182" s="235" t="e">
        <f t="shared" ca="1" si="76"/>
        <v>#REF!</v>
      </c>
    </row>
    <row r="183" spans="1:135" ht="13.8" x14ac:dyDescent="0.45">
      <c r="B183" s="128">
        <v>2025</v>
      </c>
      <c r="C183" s="953"/>
      <c r="D183" s="944"/>
      <c r="E183" s="945"/>
      <c r="F183" s="1039"/>
      <c r="G183" s="981"/>
      <c r="H183" s="1040"/>
      <c r="I183" s="1112"/>
      <c r="J183" s="247"/>
      <c r="K183" s="245"/>
      <c r="L183" s="246"/>
      <c r="M183" s="245"/>
      <c r="N183" s="29" t="s">
        <v>119</v>
      </c>
      <c r="O183" s="120"/>
      <c r="P183" s="120"/>
      <c r="Q183" s="120"/>
      <c r="R183" s="29">
        <v>11</v>
      </c>
      <c r="S183" s="238" t="str">
        <f t="shared" si="77"/>
        <v/>
      </c>
      <c r="T183" s="238" t="str">
        <f t="shared" si="78"/>
        <v/>
      </c>
      <c r="U183" s="238" t="str">
        <f t="shared" si="79"/>
        <v/>
      </c>
      <c r="W183" s="238" t="e">
        <f t="shared" si="80"/>
        <v>#N/A</v>
      </c>
      <c r="X183" s="238" t="e">
        <f t="shared" si="81"/>
        <v>#N/A</v>
      </c>
      <c r="Y183" s="238" t="e">
        <f t="shared" si="82"/>
        <v>#N/A</v>
      </c>
      <c r="AA183" s="1133">
        <v>133.89572889365166</v>
      </c>
      <c r="AB183" s="1133">
        <v>162.56453111349254</v>
      </c>
      <c r="AC183" s="1133">
        <v>191.23333333333341</v>
      </c>
      <c r="AD183" s="120"/>
      <c r="AE183" s="120"/>
      <c r="AF183" s="120"/>
      <c r="AG183" s="120"/>
      <c r="AH183" s="120"/>
      <c r="AI183" s="120"/>
      <c r="AJ183" s="120"/>
      <c r="AK183" s="120"/>
      <c r="AL183" s="120"/>
      <c r="AM183" s="120"/>
      <c r="AN183" s="120"/>
      <c r="BR183" s="180">
        <v>2023</v>
      </c>
      <c r="BS183" s="22">
        <v>9</v>
      </c>
      <c r="BT183" s="181" t="e">
        <f t="shared" si="93"/>
        <v>#DIV/0!</v>
      </c>
      <c r="BU183" s="182" t="e">
        <f t="shared" si="94"/>
        <v>#DIV/0!</v>
      </c>
      <c r="BV183" s="205" t="e">
        <f t="shared" si="95"/>
        <v>#DIV/0!</v>
      </c>
      <c r="BY183" s="180">
        <v>2023</v>
      </c>
      <c r="BZ183" s="22">
        <v>9</v>
      </c>
      <c r="CA183" s="198" t="e">
        <f t="shared" ca="1" si="96"/>
        <v>#REF!</v>
      </c>
      <c r="CB183" s="198" t="e">
        <f t="shared" ca="1" si="97"/>
        <v>#REF!</v>
      </c>
      <c r="CC183" s="186" t="e">
        <f t="shared" ca="1" si="108"/>
        <v>#REF!</v>
      </c>
      <c r="CD183" s="205" t="e">
        <f t="shared" ca="1" si="98"/>
        <v>#REF!</v>
      </c>
      <c r="CG183" s="180">
        <v>2023</v>
      </c>
      <c r="CH183" s="22">
        <v>9</v>
      </c>
      <c r="CI183" s="198" t="e">
        <f t="shared" ca="1" si="99"/>
        <v>#REF!</v>
      </c>
      <c r="CJ183" s="198" t="e">
        <f t="shared" ca="1" si="100"/>
        <v>#REF!</v>
      </c>
      <c r="CK183" s="198" t="e">
        <f t="shared" ca="1" si="101"/>
        <v>#REF!</v>
      </c>
      <c r="CL183" s="186" t="e">
        <f t="shared" ca="1" si="102"/>
        <v>#REF!</v>
      </c>
      <c r="CM183" s="205" t="e">
        <f t="shared" ca="1" si="103"/>
        <v>#REF!</v>
      </c>
      <c r="CP183" s="180">
        <v>2023</v>
      </c>
      <c r="CQ183" s="22">
        <v>9</v>
      </c>
      <c r="CR183" s="198" t="e">
        <f t="shared" ca="1" si="104"/>
        <v>#REF!</v>
      </c>
      <c r="CS183" s="186" t="e">
        <f t="shared" ca="1" si="105"/>
        <v>#REF!</v>
      </c>
      <c r="CT183" s="205" t="e">
        <f t="shared" ca="1" si="106"/>
        <v>#REF!</v>
      </c>
      <c r="CZ183" s="164" t="b">
        <f t="shared" si="83"/>
        <v>0</v>
      </c>
      <c r="DA183" s="165" t="b">
        <f t="shared" si="83"/>
        <v>0</v>
      </c>
      <c r="DB183" s="166" t="b">
        <f t="shared" si="83"/>
        <v>0</v>
      </c>
      <c r="DC183" s="164" t="str">
        <f t="shared" si="84"/>
        <v/>
      </c>
      <c r="DD183" s="166" t="str">
        <f t="shared" si="85"/>
        <v/>
      </c>
      <c r="DE183" s="164" t="str">
        <f t="shared" si="86"/>
        <v/>
      </c>
      <c r="DF183" s="166" t="str">
        <f t="shared" si="87"/>
        <v/>
      </c>
      <c r="DG183" s="164" t="str">
        <f t="shared" si="88"/>
        <v/>
      </c>
      <c r="DH183" s="166" t="str">
        <f t="shared" si="89"/>
        <v/>
      </c>
      <c r="DI183" s="164" t="str">
        <f>IFERROR(INDEX(DC$170:DC$218,_xlfn.AGGREGATE(15,6,(ROW(DC$170:DC$218)-ROW(DC$170)+1)/(DC$170:DC$218&lt;&gt;""),ROWS(DI$1:DI14))),"")</f>
        <v/>
      </c>
      <c r="DJ183" s="165" t="str">
        <f>IFERROR(INDEX(DD$170:DD$218,_xlfn.AGGREGATE(15,6,(ROW(DD$170:DD$218)-ROW(DD$170)+1)/(DD$170:DD$218&lt;&gt;""),ROWS(DJ$1:DJ14))),"")</f>
        <v/>
      </c>
      <c r="DK183" s="166" t="str">
        <f t="shared" si="90"/>
        <v/>
      </c>
      <c r="DL183" s="164" t="str">
        <f>IFERROR(INDEX(DE$170:DE$218,_xlfn.AGGREGATE(15,6,(ROW(DE$170:DE$218)-ROW(DE$170)+1)/(DE$170:DE$218&lt;&gt;""),ROWS(DL$1:DL14))),"")</f>
        <v/>
      </c>
      <c r="DM183" s="165" t="str">
        <f>IFERROR(INDEX(DF$170:DF$218,_xlfn.AGGREGATE(15,6,(ROW(DF$170:DF$218)-ROW(DF$170)+1)/(DF$170:DF$218&lt;&gt;""),ROWS(DM$1:DM14))),"")</f>
        <v/>
      </c>
      <c r="DN183" s="166" t="str">
        <f t="shared" si="91"/>
        <v/>
      </c>
      <c r="DO183" s="164" t="str">
        <f>IFERROR(INDEX(DG$170:DG$218,_xlfn.AGGREGATE(15,6,(ROW(DG$170:DG$218)-ROW(DG$170)+1)/(DG$170:DG$218&lt;&gt;""),ROWS(DO$1:DO14))),"")</f>
        <v/>
      </c>
      <c r="DP183" s="165" t="str">
        <f>IFERROR(INDEX(DH$170:DH$218,_xlfn.AGGREGATE(15,6,(ROW(DH$170:DH$218)-ROW(DH$170)+1)/(DH$170:DH$218&lt;&gt;""),ROWS(DP$1:DP14))),"")</f>
        <v/>
      </c>
      <c r="DQ183" s="166" t="str">
        <f t="shared" si="92"/>
        <v/>
      </c>
      <c r="DV183" s="145">
        <v>2028</v>
      </c>
      <c r="DW183" s="235" t="e">
        <f t="shared" ca="1" si="76"/>
        <v>#REF!</v>
      </c>
    </row>
    <row r="184" spans="1:135" ht="13.8" x14ac:dyDescent="0.45">
      <c r="B184" s="128">
        <v>2026</v>
      </c>
      <c r="C184" s="953"/>
      <c r="D184" s="944"/>
      <c r="E184" s="945"/>
      <c r="F184" s="1039"/>
      <c r="G184" s="981"/>
      <c r="H184" s="1040"/>
      <c r="I184" s="1112"/>
      <c r="J184" s="247"/>
      <c r="K184" s="245"/>
      <c r="L184" s="246"/>
      <c r="M184" s="245"/>
      <c r="N184" s="29" t="s">
        <v>119</v>
      </c>
      <c r="O184" s="120"/>
      <c r="P184" s="120"/>
      <c r="Q184" s="120"/>
      <c r="R184" s="29">
        <v>12</v>
      </c>
      <c r="S184" s="238" t="str">
        <f t="shared" si="77"/>
        <v/>
      </c>
      <c r="T184" s="238" t="str">
        <f t="shared" si="78"/>
        <v/>
      </c>
      <c r="U184" s="238" t="str">
        <f t="shared" si="79"/>
        <v/>
      </c>
      <c r="W184" s="238" t="e">
        <f t="shared" si="80"/>
        <v>#N/A</v>
      </c>
      <c r="X184" s="238" t="e">
        <f t="shared" si="81"/>
        <v>#N/A</v>
      </c>
      <c r="Y184" s="238" t="e">
        <f t="shared" si="82"/>
        <v>#N/A</v>
      </c>
      <c r="AA184" s="1133">
        <v>134.81074299762676</v>
      </c>
      <c r="AB184" s="1133">
        <v>163.67203816548002</v>
      </c>
      <c r="AC184" s="1133">
        <v>192.53333333333327</v>
      </c>
      <c r="AD184" s="120"/>
      <c r="AE184" s="120"/>
      <c r="AF184" s="120"/>
      <c r="AG184" s="120"/>
      <c r="AH184" s="120"/>
      <c r="AI184" s="120"/>
      <c r="AJ184" s="120"/>
      <c r="AK184" s="120"/>
      <c r="AL184" s="120"/>
      <c r="AM184" s="120"/>
      <c r="AN184" s="120"/>
      <c r="BR184" s="180">
        <v>2024</v>
      </c>
      <c r="BS184" s="22">
        <v>10</v>
      </c>
      <c r="BT184" s="181" t="e">
        <f t="shared" si="93"/>
        <v>#DIV/0!</v>
      </c>
      <c r="BU184" s="182" t="e">
        <f t="shared" si="94"/>
        <v>#DIV/0!</v>
      </c>
      <c r="BV184" s="205" t="e">
        <f t="shared" si="95"/>
        <v>#DIV/0!</v>
      </c>
      <c r="BY184" s="180">
        <v>2024</v>
      </c>
      <c r="BZ184" s="22">
        <v>10</v>
      </c>
      <c r="CA184" s="198" t="e">
        <f t="shared" ca="1" si="96"/>
        <v>#REF!</v>
      </c>
      <c r="CB184" s="198" t="e">
        <f t="shared" ca="1" si="97"/>
        <v>#REF!</v>
      </c>
      <c r="CC184" s="186" t="e">
        <f t="shared" ca="1" si="108"/>
        <v>#REF!</v>
      </c>
      <c r="CD184" s="205" t="e">
        <f t="shared" ca="1" si="98"/>
        <v>#REF!</v>
      </c>
      <c r="CG184" s="180">
        <v>2024</v>
      </c>
      <c r="CH184" s="22">
        <v>10</v>
      </c>
      <c r="CI184" s="198" t="e">
        <f t="shared" ca="1" si="99"/>
        <v>#REF!</v>
      </c>
      <c r="CJ184" s="198" t="e">
        <f t="shared" ca="1" si="100"/>
        <v>#REF!</v>
      </c>
      <c r="CK184" s="198" t="e">
        <f t="shared" ca="1" si="101"/>
        <v>#REF!</v>
      </c>
      <c r="CL184" s="186" t="e">
        <f t="shared" ca="1" si="102"/>
        <v>#REF!</v>
      </c>
      <c r="CM184" s="205" t="e">
        <f t="shared" ca="1" si="103"/>
        <v>#REF!</v>
      </c>
      <c r="CP184" s="180">
        <v>2024</v>
      </c>
      <c r="CQ184" s="22">
        <v>10</v>
      </c>
      <c r="CR184" s="198" t="e">
        <f t="shared" ca="1" si="104"/>
        <v>#REF!</v>
      </c>
      <c r="CS184" s="186" t="e">
        <f t="shared" ca="1" si="105"/>
        <v>#REF!</v>
      </c>
      <c r="CT184" s="205" t="e">
        <f t="shared" ca="1" si="106"/>
        <v>#REF!</v>
      </c>
      <c r="CZ184" s="164" t="b">
        <f t="shared" si="83"/>
        <v>0</v>
      </c>
      <c r="DA184" s="165" t="b">
        <f t="shared" si="83"/>
        <v>0</v>
      </c>
      <c r="DB184" s="166" t="b">
        <f t="shared" si="83"/>
        <v>0</v>
      </c>
      <c r="DC184" s="164" t="str">
        <f t="shared" si="84"/>
        <v/>
      </c>
      <c r="DD184" s="166" t="str">
        <f t="shared" si="85"/>
        <v/>
      </c>
      <c r="DE184" s="164" t="str">
        <f t="shared" si="86"/>
        <v/>
      </c>
      <c r="DF184" s="166" t="str">
        <f t="shared" si="87"/>
        <v/>
      </c>
      <c r="DG184" s="164" t="str">
        <f t="shared" si="88"/>
        <v/>
      </c>
      <c r="DH184" s="166" t="str">
        <f t="shared" si="89"/>
        <v/>
      </c>
      <c r="DI184" s="164" t="str">
        <f>IFERROR(INDEX(DC$170:DC$218,_xlfn.AGGREGATE(15,6,(ROW(DC$170:DC$218)-ROW(DC$170)+1)/(DC$170:DC$218&lt;&gt;""),ROWS(DI$1:DI15))),"")</f>
        <v/>
      </c>
      <c r="DJ184" s="165" t="str">
        <f>IFERROR(INDEX(DD$170:DD$218,_xlfn.AGGREGATE(15,6,(ROW(DD$170:DD$218)-ROW(DD$170)+1)/(DD$170:DD$218&lt;&gt;""),ROWS(DJ$1:DJ15))),"")</f>
        <v/>
      </c>
      <c r="DK184" s="166" t="str">
        <f t="shared" si="90"/>
        <v/>
      </c>
      <c r="DL184" s="164" t="str">
        <f>IFERROR(INDEX(DE$170:DE$218,_xlfn.AGGREGATE(15,6,(ROW(DE$170:DE$218)-ROW(DE$170)+1)/(DE$170:DE$218&lt;&gt;""),ROWS(DL$1:DL15))),"")</f>
        <v/>
      </c>
      <c r="DM184" s="165" t="str">
        <f>IFERROR(INDEX(DF$170:DF$218,_xlfn.AGGREGATE(15,6,(ROW(DF$170:DF$218)-ROW(DF$170)+1)/(DF$170:DF$218&lt;&gt;""),ROWS(DM$1:DM15))),"")</f>
        <v/>
      </c>
      <c r="DN184" s="166" t="str">
        <f t="shared" si="91"/>
        <v/>
      </c>
      <c r="DO184" s="164" t="str">
        <f>IFERROR(INDEX(DG$170:DG$218,_xlfn.AGGREGATE(15,6,(ROW(DG$170:DG$218)-ROW(DG$170)+1)/(DG$170:DG$218&lt;&gt;""),ROWS(DO$1:DO15))),"")</f>
        <v/>
      </c>
      <c r="DP184" s="165" t="str">
        <f>IFERROR(INDEX(DH$170:DH$218,_xlfn.AGGREGATE(15,6,(ROW(DH$170:DH$218)-ROW(DH$170)+1)/(DH$170:DH$218&lt;&gt;""),ROWS(DP$1:DP15))),"")</f>
        <v/>
      </c>
      <c r="DQ184" s="166" t="str">
        <f t="shared" si="92"/>
        <v/>
      </c>
      <c r="DV184" s="145">
        <v>2029</v>
      </c>
      <c r="DW184" s="235" t="e">
        <f t="shared" ca="1" si="76"/>
        <v>#REF!</v>
      </c>
      <c r="EA184" s="55"/>
      <c r="EB184" s="55"/>
      <c r="EC184" s="55"/>
      <c r="ED184" s="55"/>
      <c r="EE184" s="55"/>
    </row>
    <row r="185" spans="1:135" ht="13.8" x14ac:dyDescent="0.45">
      <c r="B185" s="128">
        <v>2027</v>
      </c>
      <c r="C185" s="953"/>
      <c r="D185" s="944"/>
      <c r="E185" s="945"/>
      <c r="F185" s="1039"/>
      <c r="G185" s="981"/>
      <c r="H185" s="1040"/>
      <c r="I185" s="1112"/>
      <c r="J185" s="247"/>
      <c r="K185" s="245"/>
      <c r="L185" s="246"/>
      <c r="M185" s="245"/>
      <c r="N185" s="29" t="s">
        <v>119</v>
      </c>
      <c r="O185" s="120"/>
      <c r="P185" s="120"/>
      <c r="Q185" s="120"/>
      <c r="R185" s="29">
        <v>13</v>
      </c>
      <c r="S185" s="238" t="str">
        <f t="shared" si="77"/>
        <v/>
      </c>
      <c r="T185" s="238" t="str">
        <f t="shared" si="78"/>
        <v/>
      </c>
      <c r="U185" s="238" t="str">
        <f t="shared" si="79"/>
        <v/>
      </c>
      <c r="W185" s="238" t="e">
        <f t="shared" si="80"/>
        <v>#N/A</v>
      </c>
      <c r="X185" s="238" t="e">
        <f t="shared" si="81"/>
        <v>#N/A</v>
      </c>
      <c r="Y185" s="238" t="e">
        <f t="shared" si="82"/>
        <v>#N/A</v>
      </c>
      <c r="AA185" s="1133">
        <v>136.3920779035532</v>
      </c>
      <c r="AB185" s="1133">
        <v>165.11270561844327</v>
      </c>
      <c r="AC185" s="1133">
        <v>193.83333333333334</v>
      </c>
      <c r="AD185" s="89"/>
      <c r="AE185" s="89"/>
      <c r="AF185" s="89"/>
      <c r="AG185" s="89"/>
      <c r="AH185" s="89"/>
      <c r="AI185" s="89"/>
      <c r="AJ185" s="89"/>
      <c r="AK185" s="89"/>
      <c r="AL185" s="89"/>
      <c r="AM185" s="89"/>
      <c r="AN185" s="89"/>
      <c r="BR185" s="180">
        <v>2025</v>
      </c>
      <c r="BS185" s="22">
        <v>11</v>
      </c>
      <c r="BT185" s="181" t="e">
        <f t="shared" si="93"/>
        <v>#DIV/0!</v>
      </c>
      <c r="BU185" s="182" t="e">
        <f t="shared" si="94"/>
        <v>#DIV/0!</v>
      </c>
      <c r="BV185" s="205" t="e">
        <f t="shared" si="95"/>
        <v>#DIV/0!</v>
      </c>
      <c r="BY185" s="180">
        <v>2025</v>
      </c>
      <c r="BZ185" s="22">
        <v>11</v>
      </c>
      <c r="CA185" s="198" t="e">
        <f t="shared" ca="1" si="96"/>
        <v>#REF!</v>
      </c>
      <c r="CB185" s="198" t="e">
        <f t="shared" ca="1" si="97"/>
        <v>#REF!</v>
      </c>
      <c r="CC185" s="186" t="e">
        <f t="shared" ca="1" si="108"/>
        <v>#REF!</v>
      </c>
      <c r="CD185" s="205" t="e">
        <f t="shared" ca="1" si="98"/>
        <v>#REF!</v>
      </c>
      <c r="CG185" s="180">
        <v>2025</v>
      </c>
      <c r="CH185" s="22">
        <v>11</v>
      </c>
      <c r="CI185" s="198" t="e">
        <f t="shared" ca="1" si="99"/>
        <v>#REF!</v>
      </c>
      <c r="CJ185" s="198" t="e">
        <f t="shared" ca="1" si="100"/>
        <v>#REF!</v>
      </c>
      <c r="CK185" s="198" t="e">
        <f t="shared" ca="1" si="101"/>
        <v>#REF!</v>
      </c>
      <c r="CL185" s="186" t="e">
        <f t="shared" ca="1" si="102"/>
        <v>#REF!</v>
      </c>
      <c r="CM185" s="205" t="e">
        <f t="shared" ca="1" si="103"/>
        <v>#REF!</v>
      </c>
      <c r="CP185" s="180">
        <v>2025</v>
      </c>
      <c r="CQ185" s="22">
        <v>11</v>
      </c>
      <c r="CR185" s="198" t="e">
        <f t="shared" ca="1" si="104"/>
        <v>#REF!</v>
      </c>
      <c r="CS185" s="186" t="e">
        <f t="shared" ca="1" si="105"/>
        <v>#REF!</v>
      </c>
      <c r="CT185" s="205" t="e">
        <f t="shared" ca="1" si="106"/>
        <v>#REF!</v>
      </c>
      <c r="CZ185" s="164" t="b">
        <f t="shared" si="83"/>
        <v>0</v>
      </c>
      <c r="DA185" s="165" t="b">
        <f t="shared" si="83"/>
        <v>0</v>
      </c>
      <c r="DB185" s="166" t="b">
        <f t="shared" si="83"/>
        <v>0</v>
      </c>
      <c r="DC185" s="164" t="str">
        <f t="shared" si="84"/>
        <v/>
      </c>
      <c r="DD185" s="166" t="str">
        <f t="shared" si="85"/>
        <v/>
      </c>
      <c r="DE185" s="164" t="str">
        <f t="shared" si="86"/>
        <v/>
      </c>
      <c r="DF185" s="166" t="str">
        <f t="shared" si="87"/>
        <v/>
      </c>
      <c r="DG185" s="164" t="str">
        <f t="shared" si="88"/>
        <v/>
      </c>
      <c r="DH185" s="166" t="str">
        <f t="shared" si="89"/>
        <v/>
      </c>
      <c r="DI185" s="164" t="str">
        <f>IFERROR(INDEX(DC$170:DC$218,_xlfn.AGGREGATE(15,6,(ROW(DC$170:DC$218)-ROW(DC$170)+1)/(DC$170:DC$218&lt;&gt;""),ROWS(DI$1:DI16))),"")</f>
        <v/>
      </c>
      <c r="DJ185" s="165" t="str">
        <f>IFERROR(INDEX(DD$170:DD$218,_xlfn.AGGREGATE(15,6,(ROW(DD$170:DD$218)-ROW(DD$170)+1)/(DD$170:DD$218&lt;&gt;""),ROWS(DJ$1:DJ16))),"")</f>
        <v/>
      </c>
      <c r="DK185" s="166" t="str">
        <f t="shared" si="90"/>
        <v/>
      </c>
      <c r="DL185" s="164" t="str">
        <f>IFERROR(INDEX(DE$170:DE$218,_xlfn.AGGREGATE(15,6,(ROW(DE$170:DE$218)-ROW(DE$170)+1)/(DE$170:DE$218&lt;&gt;""),ROWS(DL$1:DL16))),"")</f>
        <v/>
      </c>
      <c r="DM185" s="165" t="str">
        <f>IFERROR(INDEX(DF$170:DF$218,_xlfn.AGGREGATE(15,6,(ROW(DF$170:DF$218)-ROW(DF$170)+1)/(DF$170:DF$218&lt;&gt;""),ROWS(DM$1:DM16))),"")</f>
        <v/>
      </c>
      <c r="DN185" s="166" t="str">
        <f t="shared" si="91"/>
        <v/>
      </c>
      <c r="DO185" s="164" t="str">
        <f>IFERROR(INDEX(DG$170:DG$218,_xlfn.AGGREGATE(15,6,(ROW(DG$170:DG$218)-ROW(DG$170)+1)/(DG$170:DG$218&lt;&gt;""),ROWS(DO$1:DO16))),"")</f>
        <v/>
      </c>
      <c r="DP185" s="165" t="str">
        <f>IFERROR(INDEX(DH$170:DH$218,_xlfn.AGGREGATE(15,6,(ROW(DH$170:DH$218)-ROW(DH$170)+1)/(DH$170:DH$218&lt;&gt;""),ROWS(DP$1:DP16))),"")</f>
        <v/>
      </c>
      <c r="DQ185" s="166" t="str">
        <f t="shared" si="92"/>
        <v/>
      </c>
      <c r="DV185" s="145">
        <v>2030</v>
      </c>
      <c r="DW185" s="235" t="e">
        <f t="shared" ca="1" si="76"/>
        <v>#REF!</v>
      </c>
    </row>
    <row r="186" spans="1:135" ht="13.8" x14ac:dyDescent="0.45">
      <c r="A186" s="208" t="str">
        <f>$A$62</f>
        <v>Base Cases</v>
      </c>
      <c r="B186" s="128">
        <v>2028</v>
      </c>
      <c r="C186" s="953"/>
      <c r="D186" s="944"/>
      <c r="E186" s="945"/>
      <c r="F186" s="1039"/>
      <c r="G186" s="981"/>
      <c r="H186" s="1040"/>
      <c r="I186" s="1112"/>
      <c r="J186" s="247"/>
      <c r="K186" s="245"/>
      <c r="L186" s="246"/>
      <c r="M186" s="245"/>
      <c r="N186" s="29" t="s">
        <v>119</v>
      </c>
      <c r="O186" s="120"/>
      <c r="P186" s="120"/>
      <c r="Q186" s="120"/>
      <c r="R186" s="29">
        <v>14</v>
      </c>
      <c r="S186" s="238" t="str">
        <f t="shared" si="77"/>
        <v/>
      </c>
      <c r="T186" s="238" t="str">
        <f t="shared" si="78"/>
        <v/>
      </c>
      <c r="U186" s="238" t="str">
        <f t="shared" si="79"/>
        <v/>
      </c>
      <c r="W186" s="238" t="e">
        <f t="shared" si="80"/>
        <v>#N/A</v>
      </c>
      <c r="X186" s="238" t="e">
        <f t="shared" si="81"/>
        <v>#N/A</v>
      </c>
      <c r="Y186" s="238" t="e">
        <f t="shared" si="82"/>
        <v>#N/A</v>
      </c>
      <c r="AA186" s="1133">
        <v>137.84157410179876</v>
      </c>
      <c r="AB186" s="1133">
        <v>166.48745371756607</v>
      </c>
      <c r="AC186" s="1133">
        <v>195.13333333333338</v>
      </c>
      <c r="AD186" s="114"/>
      <c r="AE186" s="114"/>
      <c r="AF186" s="114"/>
      <c r="AG186" s="114"/>
      <c r="AH186" s="114"/>
      <c r="AI186" s="114"/>
      <c r="AJ186" s="114"/>
      <c r="AK186" s="114"/>
      <c r="AL186" s="114"/>
      <c r="AM186" s="114"/>
      <c r="AN186" s="114"/>
      <c r="BR186" s="180">
        <v>2026</v>
      </c>
      <c r="BS186" s="22">
        <v>12</v>
      </c>
      <c r="BT186" s="181" t="e">
        <f t="shared" si="93"/>
        <v>#DIV/0!</v>
      </c>
      <c r="BU186" s="182" t="e">
        <f t="shared" si="94"/>
        <v>#DIV/0!</v>
      </c>
      <c r="BV186" s="205" t="e">
        <f t="shared" si="95"/>
        <v>#DIV/0!</v>
      </c>
      <c r="BY186" s="180">
        <v>2026</v>
      </c>
      <c r="BZ186" s="22">
        <v>12</v>
      </c>
      <c r="CA186" s="198" t="e">
        <f t="shared" ca="1" si="96"/>
        <v>#REF!</v>
      </c>
      <c r="CB186" s="198" t="e">
        <f t="shared" ca="1" si="97"/>
        <v>#REF!</v>
      </c>
      <c r="CC186" s="186" t="e">
        <f t="shared" ca="1" si="108"/>
        <v>#REF!</v>
      </c>
      <c r="CD186" s="205" t="e">
        <f t="shared" ca="1" si="98"/>
        <v>#REF!</v>
      </c>
      <c r="CG186" s="180">
        <v>2026</v>
      </c>
      <c r="CH186" s="22">
        <v>12</v>
      </c>
      <c r="CI186" s="198" t="e">
        <f t="shared" ca="1" si="99"/>
        <v>#REF!</v>
      </c>
      <c r="CJ186" s="198" t="e">
        <f t="shared" ca="1" si="100"/>
        <v>#REF!</v>
      </c>
      <c r="CK186" s="198" t="e">
        <f t="shared" ca="1" si="101"/>
        <v>#REF!</v>
      </c>
      <c r="CL186" s="186" t="e">
        <f t="shared" ca="1" si="102"/>
        <v>#REF!</v>
      </c>
      <c r="CM186" s="205" t="e">
        <f t="shared" ca="1" si="103"/>
        <v>#REF!</v>
      </c>
      <c r="CP186" s="180">
        <v>2026</v>
      </c>
      <c r="CQ186" s="22">
        <v>12</v>
      </c>
      <c r="CR186" s="198" t="e">
        <f t="shared" ca="1" si="104"/>
        <v>#REF!</v>
      </c>
      <c r="CS186" s="186" t="e">
        <f t="shared" ca="1" si="105"/>
        <v>#REF!</v>
      </c>
      <c r="CT186" s="205" t="e">
        <f t="shared" ca="1" si="106"/>
        <v>#REF!</v>
      </c>
      <c r="CZ186" s="164" t="b">
        <f t="shared" si="83"/>
        <v>0</v>
      </c>
      <c r="DA186" s="165" t="b">
        <f t="shared" si="83"/>
        <v>0</v>
      </c>
      <c r="DB186" s="166" t="b">
        <f t="shared" si="83"/>
        <v>0</v>
      </c>
      <c r="DC186" s="164" t="str">
        <f t="shared" si="84"/>
        <v/>
      </c>
      <c r="DD186" s="166" t="str">
        <f t="shared" si="85"/>
        <v/>
      </c>
      <c r="DE186" s="164" t="str">
        <f t="shared" si="86"/>
        <v/>
      </c>
      <c r="DF186" s="166" t="str">
        <f t="shared" si="87"/>
        <v/>
      </c>
      <c r="DG186" s="164" t="str">
        <f t="shared" si="88"/>
        <v/>
      </c>
      <c r="DH186" s="166" t="str">
        <f t="shared" si="89"/>
        <v/>
      </c>
      <c r="DI186" s="164" t="str">
        <f>IFERROR(INDEX(DC$170:DC$218,_xlfn.AGGREGATE(15,6,(ROW(DC$170:DC$218)-ROW(DC$170)+1)/(DC$170:DC$218&lt;&gt;""),ROWS(DI$1:DI17))),"")</f>
        <v/>
      </c>
      <c r="DJ186" s="165" t="str">
        <f>IFERROR(INDEX(DD$170:DD$218,_xlfn.AGGREGATE(15,6,(ROW(DD$170:DD$218)-ROW(DD$170)+1)/(DD$170:DD$218&lt;&gt;""),ROWS(DJ$1:DJ17))),"")</f>
        <v/>
      </c>
      <c r="DK186" s="166" t="str">
        <f t="shared" si="90"/>
        <v/>
      </c>
      <c r="DL186" s="164" t="str">
        <f>IFERROR(INDEX(DE$170:DE$218,_xlfn.AGGREGATE(15,6,(ROW(DE$170:DE$218)-ROW(DE$170)+1)/(DE$170:DE$218&lt;&gt;""),ROWS(DL$1:DL17))),"")</f>
        <v/>
      </c>
      <c r="DM186" s="165" t="str">
        <f>IFERROR(INDEX(DF$170:DF$218,_xlfn.AGGREGATE(15,6,(ROW(DF$170:DF$218)-ROW(DF$170)+1)/(DF$170:DF$218&lt;&gt;""),ROWS(DM$1:DM17))),"")</f>
        <v/>
      </c>
      <c r="DN186" s="166" t="str">
        <f t="shared" si="91"/>
        <v/>
      </c>
      <c r="DO186" s="164" t="str">
        <f>IFERROR(INDEX(DG$170:DG$218,_xlfn.AGGREGATE(15,6,(ROW(DG$170:DG$218)-ROW(DG$170)+1)/(DG$170:DG$218&lt;&gt;""),ROWS(DO$1:DO17))),"")</f>
        <v/>
      </c>
      <c r="DP186" s="165" t="str">
        <f>IFERROR(INDEX(DH$170:DH$218,_xlfn.AGGREGATE(15,6,(ROW(DH$170:DH$218)-ROW(DH$170)+1)/(DH$170:DH$218&lt;&gt;""),ROWS(DP$1:DP17))),"")</f>
        <v/>
      </c>
      <c r="DQ186" s="166" t="str">
        <f t="shared" si="92"/>
        <v/>
      </c>
      <c r="DV186" s="145">
        <v>2031</v>
      </c>
      <c r="DW186" s="235" t="e">
        <f t="shared" ca="1" si="76"/>
        <v>#REF!</v>
      </c>
    </row>
    <row r="187" spans="1:135" ht="13.8" x14ac:dyDescent="0.45">
      <c r="A187" s="209" t="str">
        <f>$A$63</f>
        <v>Conservative Cases</v>
      </c>
      <c r="B187" s="128">
        <v>2029</v>
      </c>
      <c r="C187" s="953"/>
      <c r="D187" s="944"/>
      <c r="E187" s="945"/>
      <c r="F187" s="1039"/>
      <c r="G187" s="981"/>
      <c r="H187" s="1040"/>
      <c r="I187" s="1112"/>
      <c r="J187" s="247"/>
      <c r="K187" s="245"/>
      <c r="L187" s="246"/>
      <c r="M187" s="245"/>
      <c r="N187" s="29" t="s">
        <v>119</v>
      </c>
      <c r="O187" s="120"/>
      <c r="P187" s="120"/>
      <c r="Q187" s="120"/>
      <c r="R187" s="29">
        <v>15</v>
      </c>
      <c r="S187" s="238" t="str">
        <f t="shared" si="77"/>
        <v/>
      </c>
      <c r="T187" s="238" t="str">
        <f t="shared" si="78"/>
        <v/>
      </c>
      <c r="U187" s="238" t="str">
        <f t="shared" si="79"/>
        <v/>
      </c>
      <c r="W187" s="238" t="e">
        <f t="shared" si="80"/>
        <v>#N/A</v>
      </c>
      <c r="X187" s="238" t="e">
        <f t="shared" si="81"/>
        <v>#N/A</v>
      </c>
      <c r="Y187" s="238" t="e">
        <f t="shared" si="82"/>
        <v>#N/A</v>
      </c>
      <c r="AA187" s="1133">
        <v>139.16732599467872</v>
      </c>
      <c r="AB187" s="1133">
        <v>167.80032966400597</v>
      </c>
      <c r="AC187" s="1133">
        <v>196.43333333333322</v>
      </c>
      <c r="AD187" s="89"/>
      <c r="AE187" s="89"/>
      <c r="AF187" s="89"/>
      <c r="AG187" s="89"/>
      <c r="AH187" s="89"/>
      <c r="AI187" s="89"/>
      <c r="AJ187" s="89"/>
      <c r="AK187" s="89"/>
      <c r="AL187" s="89"/>
      <c r="AM187" s="89"/>
      <c r="AN187" s="89"/>
      <c r="BR187" s="180">
        <v>2027</v>
      </c>
      <c r="BS187" s="22">
        <v>13</v>
      </c>
      <c r="BT187" s="181" t="e">
        <f t="shared" si="93"/>
        <v>#DIV/0!</v>
      </c>
      <c r="BU187" s="182" t="e">
        <f t="shared" si="94"/>
        <v>#DIV/0!</v>
      </c>
      <c r="BV187" s="205" t="e">
        <f t="shared" si="95"/>
        <v>#DIV/0!</v>
      </c>
      <c r="BY187" s="180">
        <v>2027</v>
      </c>
      <c r="BZ187" s="22">
        <v>13</v>
      </c>
      <c r="CA187" s="198" t="e">
        <f t="shared" ca="1" si="96"/>
        <v>#REF!</v>
      </c>
      <c r="CB187" s="198" t="e">
        <f t="shared" ca="1" si="97"/>
        <v>#REF!</v>
      </c>
      <c r="CC187" s="186" t="e">
        <f t="shared" ca="1" si="108"/>
        <v>#REF!</v>
      </c>
      <c r="CD187" s="205" t="e">
        <f t="shared" ca="1" si="98"/>
        <v>#REF!</v>
      </c>
      <c r="CG187" s="180">
        <v>2027</v>
      </c>
      <c r="CH187" s="22">
        <v>13</v>
      </c>
      <c r="CI187" s="198" t="e">
        <f t="shared" ca="1" si="99"/>
        <v>#REF!</v>
      </c>
      <c r="CJ187" s="198" t="e">
        <f t="shared" ca="1" si="100"/>
        <v>#REF!</v>
      </c>
      <c r="CK187" s="198" t="e">
        <f t="shared" ca="1" si="101"/>
        <v>#REF!</v>
      </c>
      <c r="CL187" s="186" t="e">
        <f t="shared" ca="1" si="102"/>
        <v>#REF!</v>
      </c>
      <c r="CM187" s="205" t="e">
        <f t="shared" ca="1" si="103"/>
        <v>#REF!</v>
      </c>
      <c r="CP187" s="180">
        <v>2027</v>
      </c>
      <c r="CQ187" s="22">
        <v>13</v>
      </c>
      <c r="CR187" s="198" t="e">
        <f t="shared" ca="1" si="104"/>
        <v>#REF!</v>
      </c>
      <c r="CS187" s="186" t="e">
        <f t="shared" ca="1" si="105"/>
        <v>#REF!</v>
      </c>
      <c r="CT187" s="205" t="e">
        <f t="shared" ca="1" si="106"/>
        <v>#REF!</v>
      </c>
      <c r="CZ187" s="164" t="b">
        <f t="shared" si="83"/>
        <v>0</v>
      </c>
      <c r="DA187" s="165" t="b">
        <f t="shared" si="83"/>
        <v>0</v>
      </c>
      <c r="DB187" s="166" t="b">
        <f t="shared" si="83"/>
        <v>0</v>
      </c>
      <c r="DC187" s="164" t="str">
        <f t="shared" si="84"/>
        <v/>
      </c>
      <c r="DD187" s="166" t="str">
        <f t="shared" si="85"/>
        <v/>
      </c>
      <c r="DE187" s="164" t="str">
        <f t="shared" si="86"/>
        <v/>
      </c>
      <c r="DF187" s="166" t="str">
        <f t="shared" si="87"/>
        <v/>
      </c>
      <c r="DG187" s="164" t="str">
        <f t="shared" si="88"/>
        <v/>
      </c>
      <c r="DH187" s="166" t="str">
        <f t="shared" si="89"/>
        <v/>
      </c>
      <c r="DI187" s="164" t="str">
        <f>IFERROR(INDEX(DC$170:DC$218,_xlfn.AGGREGATE(15,6,(ROW(DC$170:DC$218)-ROW(DC$170)+1)/(DC$170:DC$218&lt;&gt;""),ROWS(DI$1:DI18))),"")</f>
        <v/>
      </c>
      <c r="DJ187" s="165" t="str">
        <f>IFERROR(INDEX(DD$170:DD$218,_xlfn.AGGREGATE(15,6,(ROW(DD$170:DD$218)-ROW(DD$170)+1)/(DD$170:DD$218&lt;&gt;""),ROWS(DJ$1:DJ18))),"")</f>
        <v/>
      </c>
      <c r="DK187" s="166" t="str">
        <f t="shared" si="90"/>
        <v/>
      </c>
      <c r="DL187" s="164" t="str">
        <f>IFERROR(INDEX(DE$170:DE$218,_xlfn.AGGREGATE(15,6,(ROW(DE$170:DE$218)-ROW(DE$170)+1)/(DE$170:DE$218&lt;&gt;""),ROWS(DL$1:DL18))),"")</f>
        <v/>
      </c>
      <c r="DM187" s="165" t="str">
        <f>IFERROR(INDEX(DF$170:DF$218,_xlfn.AGGREGATE(15,6,(ROW(DF$170:DF$218)-ROW(DF$170)+1)/(DF$170:DF$218&lt;&gt;""),ROWS(DM$1:DM18))),"")</f>
        <v/>
      </c>
      <c r="DN187" s="166" t="str">
        <f t="shared" si="91"/>
        <v/>
      </c>
      <c r="DO187" s="164" t="str">
        <f>IFERROR(INDEX(DG$170:DG$218,_xlfn.AGGREGATE(15,6,(ROW(DG$170:DG$218)-ROW(DG$170)+1)/(DG$170:DG$218&lt;&gt;""),ROWS(DO$1:DO18))),"")</f>
        <v/>
      </c>
      <c r="DP187" s="165" t="str">
        <f>IFERROR(INDEX(DH$170:DH$218,_xlfn.AGGREGATE(15,6,(ROW(DH$170:DH$218)-ROW(DH$170)+1)/(DH$170:DH$218&lt;&gt;""),ROWS(DP$1:DP18))),"")</f>
        <v/>
      </c>
      <c r="DQ187" s="166" t="str">
        <f t="shared" si="92"/>
        <v/>
      </c>
      <c r="DV187" s="145">
        <v>2032</v>
      </c>
      <c r="DW187" s="235" t="e">
        <f t="shared" ca="1" si="76"/>
        <v>#REF!</v>
      </c>
    </row>
    <row r="188" spans="1:135" ht="13.8" x14ac:dyDescent="0.45">
      <c r="A188" s="210" t="str">
        <f>$A$64</f>
        <v>Ambitious Cases</v>
      </c>
      <c r="B188" s="128">
        <v>2030</v>
      </c>
      <c r="C188" s="953"/>
      <c r="D188" s="944"/>
      <c r="E188" s="945"/>
      <c r="F188" s="1039"/>
      <c r="G188" s="981"/>
      <c r="H188" s="1040"/>
      <c r="I188" s="1112"/>
      <c r="J188" s="247"/>
      <c r="K188" s="245"/>
      <c r="L188" s="246"/>
      <c r="M188" s="245"/>
      <c r="N188" s="29" t="s">
        <v>119</v>
      </c>
      <c r="O188" s="120"/>
      <c r="P188" s="120"/>
      <c r="Q188" s="120"/>
      <c r="R188" s="29">
        <v>16</v>
      </c>
      <c r="S188" s="238" t="str">
        <f t="shared" si="77"/>
        <v/>
      </c>
      <c r="T188" s="238" t="str">
        <f t="shared" si="78"/>
        <v/>
      </c>
      <c r="U188" s="238" t="str">
        <f t="shared" si="79"/>
        <v/>
      </c>
      <c r="W188" s="238" t="e">
        <f t="shared" si="80"/>
        <v>#N/A</v>
      </c>
      <c r="X188" s="238" t="e">
        <f t="shared" si="81"/>
        <v>#N/A</v>
      </c>
      <c r="Y188" s="238" t="e">
        <f t="shared" si="82"/>
        <v>#N/A</v>
      </c>
      <c r="AA188" s="1133">
        <v>140.78352471183331</v>
      </c>
      <c r="AB188" s="1133">
        <v>170.39176235591665</v>
      </c>
      <c r="AC188" s="1133">
        <v>200</v>
      </c>
      <c r="AD188" s="89"/>
      <c r="AE188" s="89"/>
      <c r="AF188" s="89"/>
      <c r="AG188" s="89"/>
      <c r="AH188" s="89"/>
      <c r="AI188" s="89"/>
      <c r="AJ188" s="89"/>
      <c r="AK188" s="89"/>
      <c r="AL188" s="89"/>
      <c r="AM188" s="89"/>
      <c r="AN188" s="89"/>
      <c r="BR188" s="180">
        <v>2028</v>
      </c>
      <c r="BS188" s="22">
        <v>14</v>
      </c>
      <c r="BT188" s="181" t="e">
        <f t="shared" si="93"/>
        <v>#DIV/0!</v>
      </c>
      <c r="BU188" s="182" t="e">
        <f t="shared" si="94"/>
        <v>#DIV/0!</v>
      </c>
      <c r="BV188" s="205" t="e">
        <f t="shared" si="95"/>
        <v>#DIV/0!</v>
      </c>
      <c r="BY188" s="180">
        <v>2028</v>
      </c>
      <c r="BZ188" s="22">
        <v>14</v>
      </c>
      <c r="CA188" s="198" t="e">
        <f t="shared" ca="1" si="96"/>
        <v>#REF!</v>
      </c>
      <c r="CB188" s="198" t="e">
        <f t="shared" ca="1" si="97"/>
        <v>#REF!</v>
      </c>
      <c r="CC188" s="186" t="e">
        <f t="shared" ca="1" si="108"/>
        <v>#REF!</v>
      </c>
      <c r="CD188" s="205" t="e">
        <f t="shared" ca="1" si="98"/>
        <v>#REF!</v>
      </c>
      <c r="CG188" s="180">
        <v>2028</v>
      </c>
      <c r="CH188" s="22">
        <v>14</v>
      </c>
      <c r="CI188" s="198" t="e">
        <f t="shared" ca="1" si="99"/>
        <v>#REF!</v>
      </c>
      <c r="CJ188" s="198" t="e">
        <f t="shared" ca="1" si="100"/>
        <v>#REF!</v>
      </c>
      <c r="CK188" s="198" t="e">
        <f t="shared" ca="1" si="101"/>
        <v>#REF!</v>
      </c>
      <c r="CL188" s="186" t="e">
        <f t="shared" ca="1" si="102"/>
        <v>#REF!</v>
      </c>
      <c r="CM188" s="205" t="e">
        <f t="shared" ca="1" si="103"/>
        <v>#REF!</v>
      </c>
      <c r="CP188" s="180">
        <v>2028</v>
      </c>
      <c r="CQ188" s="22">
        <v>14</v>
      </c>
      <c r="CR188" s="198" t="e">
        <f t="shared" ca="1" si="104"/>
        <v>#REF!</v>
      </c>
      <c r="CS188" s="186" t="e">
        <f t="shared" ca="1" si="105"/>
        <v>#REF!</v>
      </c>
      <c r="CT188" s="205" t="e">
        <f t="shared" ca="1" si="106"/>
        <v>#REF!</v>
      </c>
      <c r="CZ188" s="164" t="b">
        <f t="shared" si="83"/>
        <v>0</v>
      </c>
      <c r="DA188" s="165" t="b">
        <f t="shared" si="83"/>
        <v>0</v>
      </c>
      <c r="DB188" s="166" t="b">
        <f t="shared" si="83"/>
        <v>0</v>
      </c>
      <c r="DC188" s="164" t="str">
        <f t="shared" si="84"/>
        <v/>
      </c>
      <c r="DD188" s="166" t="str">
        <f t="shared" si="85"/>
        <v/>
      </c>
      <c r="DE188" s="164" t="str">
        <f t="shared" si="86"/>
        <v/>
      </c>
      <c r="DF188" s="166" t="str">
        <f t="shared" si="87"/>
        <v/>
      </c>
      <c r="DG188" s="164" t="str">
        <f t="shared" si="88"/>
        <v/>
      </c>
      <c r="DH188" s="166" t="str">
        <f t="shared" si="89"/>
        <v/>
      </c>
      <c r="DI188" s="164" t="str">
        <f>IFERROR(INDEX(DC$170:DC$218,_xlfn.AGGREGATE(15,6,(ROW(DC$170:DC$218)-ROW(DC$170)+1)/(DC$170:DC$218&lt;&gt;""),ROWS(DI$1:DI19))),"")</f>
        <v/>
      </c>
      <c r="DJ188" s="165" t="str">
        <f>IFERROR(INDEX(DD$170:DD$218,_xlfn.AGGREGATE(15,6,(ROW(DD$170:DD$218)-ROW(DD$170)+1)/(DD$170:DD$218&lt;&gt;""),ROWS(DJ$1:DJ19))),"")</f>
        <v/>
      </c>
      <c r="DK188" s="166" t="str">
        <f t="shared" si="90"/>
        <v/>
      </c>
      <c r="DL188" s="164" t="str">
        <f>IFERROR(INDEX(DE$170:DE$218,_xlfn.AGGREGATE(15,6,(ROW(DE$170:DE$218)-ROW(DE$170)+1)/(DE$170:DE$218&lt;&gt;""),ROWS(DL$1:DL19))),"")</f>
        <v/>
      </c>
      <c r="DM188" s="165" t="str">
        <f>IFERROR(INDEX(DF$170:DF$218,_xlfn.AGGREGATE(15,6,(ROW(DF$170:DF$218)-ROW(DF$170)+1)/(DF$170:DF$218&lt;&gt;""),ROWS(DM$1:DM19))),"")</f>
        <v/>
      </c>
      <c r="DN188" s="166" t="str">
        <f t="shared" si="91"/>
        <v/>
      </c>
      <c r="DO188" s="164" t="str">
        <f>IFERROR(INDEX(DG$170:DG$218,_xlfn.AGGREGATE(15,6,(ROW(DG$170:DG$218)-ROW(DG$170)+1)/(DG$170:DG$218&lt;&gt;""),ROWS(DO$1:DO19))),"")</f>
        <v/>
      </c>
      <c r="DP188" s="165" t="str">
        <f>IFERROR(INDEX(DH$170:DH$218,_xlfn.AGGREGATE(15,6,(ROW(DH$170:DH$218)-ROW(DH$170)+1)/(DH$170:DH$218&lt;&gt;""),ROWS(DP$1:DP19))),"")</f>
        <v/>
      </c>
      <c r="DQ188" s="166" t="str">
        <f t="shared" si="92"/>
        <v/>
      </c>
      <c r="DV188" s="145">
        <v>2033</v>
      </c>
      <c r="DW188" s="235" t="e">
        <f t="shared" ca="1" si="76"/>
        <v>#REF!</v>
      </c>
    </row>
    <row r="189" spans="1:135" ht="13.8" x14ac:dyDescent="0.45">
      <c r="A189" s="211" t="str">
        <f>$A$65</f>
        <v>Maximum Cases</v>
      </c>
      <c r="B189" s="128">
        <v>2031</v>
      </c>
      <c r="C189" s="953"/>
      <c r="D189" s="944"/>
      <c r="E189" s="945"/>
      <c r="F189" s="1039"/>
      <c r="G189" s="981"/>
      <c r="H189" s="1040"/>
      <c r="I189" s="1112"/>
      <c r="J189" s="247"/>
      <c r="K189" s="245"/>
      <c r="L189" s="246"/>
      <c r="M189" s="245"/>
      <c r="N189" s="29" t="s">
        <v>119</v>
      </c>
      <c r="O189" s="120"/>
      <c r="P189" s="120"/>
      <c r="Q189" s="120"/>
      <c r="R189" s="29">
        <v>17</v>
      </c>
      <c r="S189" s="238" t="str">
        <f t="shared" si="77"/>
        <v/>
      </c>
      <c r="T189" s="238" t="str">
        <f t="shared" si="78"/>
        <v/>
      </c>
      <c r="U189" s="238" t="str">
        <f t="shared" si="79"/>
        <v/>
      </c>
      <c r="W189" s="238" t="e">
        <f t="shared" si="80"/>
        <v>#N/A</v>
      </c>
      <c r="X189" s="238" t="e">
        <f t="shared" si="81"/>
        <v>#N/A</v>
      </c>
      <c r="Y189" s="238" t="e">
        <f t="shared" si="82"/>
        <v>#N/A</v>
      </c>
      <c r="AA189" s="1133">
        <v>141.47962117139659</v>
      </c>
      <c r="AB189" s="1133">
        <v>170.25647725236496</v>
      </c>
      <c r="AC189" s="1133">
        <v>199.03333333333333</v>
      </c>
      <c r="AD189" s="89"/>
      <c r="AE189" s="89"/>
      <c r="AF189" s="89"/>
      <c r="AG189" s="89"/>
      <c r="AH189" s="89"/>
      <c r="AI189" s="89"/>
      <c r="AJ189" s="89"/>
      <c r="AK189" s="89"/>
      <c r="AL189" s="89"/>
      <c r="AM189" s="89"/>
      <c r="AN189" s="89"/>
      <c r="BR189" s="180">
        <v>2029</v>
      </c>
      <c r="BS189" s="22">
        <v>15</v>
      </c>
      <c r="BT189" s="181" t="e">
        <f t="shared" si="93"/>
        <v>#DIV/0!</v>
      </c>
      <c r="BU189" s="182" t="e">
        <f t="shared" si="94"/>
        <v>#DIV/0!</v>
      </c>
      <c r="BV189" s="205" t="e">
        <f t="shared" si="95"/>
        <v>#DIV/0!</v>
      </c>
      <c r="BY189" s="180">
        <v>2029</v>
      </c>
      <c r="BZ189" s="22">
        <v>15</v>
      </c>
      <c r="CA189" s="198" t="e">
        <f t="shared" ca="1" si="96"/>
        <v>#REF!</v>
      </c>
      <c r="CB189" s="198" t="e">
        <f t="shared" ca="1" si="97"/>
        <v>#REF!</v>
      </c>
      <c r="CC189" s="186" t="e">
        <f t="shared" ca="1" si="108"/>
        <v>#REF!</v>
      </c>
      <c r="CD189" s="205" t="e">
        <f t="shared" ca="1" si="98"/>
        <v>#REF!</v>
      </c>
      <c r="CG189" s="180">
        <v>2029</v>
      </c>
      <c r="CH189" s="22">
        <v>15</v>
      </c>
      <c r="CI189" s="198" t="e">
        <f t="shared" ca="1" si="99"/>
        <v>#REF!</v>
      </c>
      <c r="CJ189" s="198" t="e">
        <f t="shared" ca="1" si="100"/>
        <v>#REF!</v>
      </c>
      <c r="CK189" s="198" t="e">
        <f t="shared" ca="1" si="101"/>
        <v>#REF!</v>
      </c>
      <c r="CL189" s="186" t="e">
        <f t="shared" ca="1" si="102"/>
        <v>#REF!</v>
      </c>
      <c r="CM189" s="205" t="e">
        <f t="shared" ca="1" si="103"/>
        <v>#REF!</v>
      </c>
      <c r="CP189" s="180">
        <v>2029</v>
      </c>
      <c r="CQ189" s="22">
        <v>15</v>
      </c>
      <c r="CR189" s="198" t="e">
        <f t="shared" ca="1" si="104"/>
        <v>#REF!</v>
      </c>
      <c r="CS189" s="186" t="e">
        <f t="shared" ca="1" si="105"/>
        <v>#REF!</v>
      </c>
      <c r="CT189" s="205" t="e">
        <f t="shared" ca="1" si="106"/>
        <v>#REF!</v>
      </c>
      <c r="CZ189" s="164" t="b">
        <f t="shared" si="83"/>
        <v>0</v>
      </c>
      <c r="DA189" s="165" t="b">
        <f t="shared" si="83"/>
        <v>0</v>
      </c>
      <c r="DB189" s="166" t="b">
        <f t="shared" si="83"/>
        <v>0</v>
      </c>
      <c r="DC189" s="164" t="str">
        <f t="shared" si="84"/>
        <v/>
      </c>
      <c r="DD189" s="166" t="str">
        <f t="shared" si="85"/>
        <v/>
      </c>
      <c r="DE189" s="164" t="str">
        <f t="shared" si="86"/>
        <v/>
      </c>
      <c r="DF189" s="166" t="str">
        <f t="shared" si="87"/>
        <v/>
      </c>
      <c r="DG189" s="164" t="str">
        <f t="shared" si="88"/>
        <v/>
      </c>
      <c r="DH189" s="166" t="str">
        <f t="shared" si="89"/>
        <v/>
      </c>
      <c r="DI189" s="164" t="str">
        <f>IFERROR(INDEX(DC$170:DC$218,_xlfn.AGGREGATE(15,6,(ROW(DC$170:DC$218)-ROW(DC$170)+1)/(DC$170:DC$218&lt;&gt;""),ROWS(DI$1:DI20))),"")</f>
        <v/>
      </c>
      <c r="DJ189" s="165" t="str">
        <f>IFERROR(INDEX(DD$170:DD$218,_xlfn.AGGREGATE(15,6,(ROW(DD$170:DD$218)-ROW(DD$170)+1)/(DD$170:DD$218&lt;&gt;""),ROWS(DJ$1:DJ20))),"")</f>
        <v/>
      </c>
      <c r="DK189" s="166" t="str">
        <f t="shared" si="90"/>
        <v/>
      </c>
      <c r="DL189" s="164" t="str">
        <f>IFERROR(INDEX(DE$170:DE$218,_xlfn.AGGREGATE(15,6,(ROW(DE$170:DE$218)-ROW(DE$170)+1)/(DE$170:DE$218&lt;&gt;""),ROWS(DL$1:DL20))),"")</f>
        <v/>
      </c>
      <c r="DM189" s="165" t="str">
        <f>IFERROR(INDEX(DF$170:DF$218,_xlfn.AGGREGATE(15,6,(ROW(DF$170:DF$218)-ROW(DF$170)+1)/(DF$170:DF$218&lt;&gt;""),ROWS(DM$1:DM20))),"")</f>
        <v/>
      </c>
      <c r="DN189" s="166" t="str">
        <f t="shared" si="91"/>
        <v/>
      </c>
      <c r="DO189" s="164" t="str">
        <f>IFERROR(INDEX(DG$170:DG$218,_xlfn.AGGREGATE(15,6,(ROW(DG$170:DG$218)-ROW(DG$170)+1)/(DG$170:DG$218&lt;&gt;""),ROWS(DO$1:DO20))),"")</f>
        <v/>
      </c>
      <c r="DP189" s="165" t="str">
        <f>IFERROR(INDEX(DH$170:DH$218,_xlfn.AGGREGATE(15,6,(ROW(DH$170:DH$218)-ROW(DH$170)+1)/(DH$170:DH$218&lt;&gt;""),ROWS(DP$1:DP20))),"")</f>
        <v/>
      </c>
      <c r="DQ189" s="166" t="str">
        <f t="shared" si="92"/>
        <v/>
      </c>
      <c r="DV189" s="145">
        <v>2034</v>
      </c>
      <c r="DW189" s="235" t="e">
        <f t="shared" ca="1" si="76"/>
        <v>#REF!</v>
      </c>
    </row>
    <row r="190" spans="1:135" ht="13.8" x14ac:dyDescent="0.45">
      <c r="B190" s="128">
        <v>2032</v>
      </c>
      <c r="C190" s="953"/>
      <c r="D190" s="944"/>
      <c r="E190" s="945"/>
      <c r="F190" s="1039"/>
      <c r="G190" s="981"/>
      <c r="H190" s="1040"/>
      <c r="I190" s="1112"/>
      <c r="J190" s="247"/>
      <c r="K190" s="245"/>
      <c r="L190" s="246"/>
      <c r="M190" s="245"/>
      <c r="N190" s="29" t="s">
        <v>119</v>
      </c>
      <c r="O190" s="120"/>
      <c r="P190" s="120"/>
      <c r="Q190" s="120"/>
      <c r="R190" s="29">
        <v>18</v>
      </c>
      <c r="S190" s="238" t="str">
        <f t="shared" si="77"/>
        <v/>
      </c>
      <c r="T190" s="238" t="str">
        <f t="shared" si="78"/>
        <v/>
      </c>
      <c r="U190" s="238" t="str">
        <f t="shared" si="79"/>
        <v/>
      </c>
      <c r="W190" s="238" t="e">
        <f t="shared" si="80"/>
        <v>#N/A</v>
      </c>
      <c r="X190" s="238" t="e">
        <f t="shared" si="81"/>
        <v>#N/A</v>
      </c>
      <c r="Y190" s="238" t="e">
        <f t="shared" si="82"/>
        <v>#N/A</v>
      </c>
      <c r="AA190" s="1133">
        <v>142.44818369868585</v>
      </c>
      <c r="AB190" s="1133">
        <v>171.39075851600956</v>
      </c>
      <c r="AC190" s="1133">
        <v>200.33333333333326</v>
      </c>
      <c r="AD190" s="89"/>
      <c r="AE190" s="89"/>
      <c r="AF190" s="89"/>
      <c r="AG190" s="89"/>
      <c r="AH190" s="89"/>
      <c r="AI190" s="89"/>
      <c r="AJ190" s="89"/>
      <c r="AK190" s="89"/>
      <c r="AL190" s="89"/>
      <c r="AM190" s="89"/>
      <c r="AN190" s="89"/>
      <c r="BR190" s="180">
        <v>2030</v>
      </c>
      <c r="BS190" s="22">
        <v>16</v>
      </c>
      <c r="BT190" s="181" t="e">
        <f t="shared" si="93"/>
        <v>#DIV/0!</v>
      </c>
      <c r="BU190" s="182" t="e">
        <f t="shared" si="94"/>
        <v>#DIV/0!</v>
      </c>
      <c r="BV190" s="205" t="e">
        <f t="shared" si="95"/>
        <v>#DIV/0!</v>
      </c>
      <c r="BY190" s="180">
        <v>2030</v>
      </c>
      <c r="BZ190" s="22">
        <v>16</v>
      </c>
      <c r="CA190" s="198" t="e">
        <f t="shared" ca="1" si="96"/>
        <v>#REF!</v>
      </c>
      <c r="CB190" s="198" t="e">
        <f t="shared" ca="1" si="97"/>
        <v>#REF!</v>
      </c>
      <c r="CC190" s="186" t="e">
        <f t="shared" ca="1" si="108"/>
        <v>#REF!</v>
      </c>
      <c r="CD190" s="205" t="e">
        <f t="shared" ca="1" si="98"/>
        <v>#REF!</v>
      </c>
      <c r="CG190" s="180">
        <v>2030</v>
      </c>
      <c r="CH190" s="22">
        <v>16</v>
      </c>
      <c r="CI190" s="198" t="e">
        <f t="shared" ca="1" si="99"/>
        <v>#REF!</v>
      </c>
      <c r="CJ190" s="198" t="e">
        <f t="shared" ca="1" si="100"/>
        <v>#REF!</v>
      </c>
      <c r="CK190" s="198" t="e">
        <f t="shared" ca="1" si="101"/>
        <v>#REF!</v>
      </c>
      <c r="CL190" s="186" t="e">
        <f t="shared" ca="1" si="102"/>
        <v>#REF!</v>
      </c>
      <c r="CM190" s="205" t="e">
        <f t="shared" ca="1" si="103"/>
        <v>#REF!</v>
      </c>
      <c r="CP190" s="180">
        <v>2030</v>
      </c>
      <c r="CQ190" s="22">
        <v>16</v>
      </c>
      <c r="CR190" s="198" t="e">
        <f t="shared" ca="1" si="104"/>
        <v>#REF!</v>
      </c>
      <c r="CS190" s="186" t="e">
        <f t="shared" ca="1" si="105"/>
        <v>#REF!</v>
      </c>
      <c r="CT190" s="205" t="e">
        <f t="shared" ca="1" si="106"/>
        <v>#REF!</v>
      </c>
      <c r="CZ190" s="164" t="b">
        <f t="shared" si="83"/>
        <v>0</v>
      </c>
      <c r="DA190" s="165" t="b">
        <f t="shared" si="83"/>
        <v>0</v>
      </c>
      <c r="DB190" s="166" t="b">
        <f t="shared" si="83"/>
        <v>0</v>
      </c>
      <c r="DC190" s="164" t="str">
        <f t="shared" si="84"/>
        <v/>
      </c>
      <c r="DD190" s="166" t="str">
        <f t="shared" si="85"/>
        <v/>
      </c>
      <c r="DE190" s="164" t="str">
        <f t="shared" si="86"/>
        <v/>
      </c>
      <c r="DF190" s="166" t="str">
        <f t="shared" si="87"/>
        <v/>
      </c>
      <c r="DG190" s="164" t="str">
        <f t="shared" si="88"/>
        <v/>
      </c>
      <c r="DH190" s="166" t="str">
        <f t="shared" si="89"/>
        <v/>
      </c>
      <c r="DI190" s="164" t="str">
        <f>IFERROR(INDEX(DC$170:DC$218,_xlfn.AGGREGATE(15,6,(ROW(DC$170:DC$218)-ROW(DC$170)+1)/(DC$170:DC$218&lt;&gt;""),ROWS(DI$1:DI21))),"")</f>
        <v/>
      </c>
      <c r="DJ190" s="165" t="str">
        <f>IFERROR(INDEX(DD$170:DD$218,_xlfn.AGGREGATE(15,6,(ROW(DD$170:DD$218)-ROW(DD$170)+1)/(DD$170:DD$218&lt;&gt;""),ROWS(DJ$1:DJ21))),"")</f>
        <v/>
      </c>
      <c r="DK190" s="166" t="str">
        <f t="shared" si="90"/>
        <v/>
      </c>
      <c r="DL190" s="164" t="str">
        <f>IFERROR(INDEX(DE$170:DE$218,_xlfn.AGGREGATE(15,6,(ROW(DE$170:DE$218)-ROW(DE$170)+1)/(DE$170:DE$218&lt;&gt;""),ROWS(DL$1:DL21))),"")</f>
        <v/>
      </c>
      <c r="DM190" s="165" t="str">
        <f>IFERROR(INDEX(DF$170:DF$218,_xlfn.AGGREGATE(15,6,(ROW(DF$170:DF$218)-ROW(DF$170)+1)/(DF$170:DF$218&lt;&gt;""),ROWS(DM$1:DM21))),"")</f>
        <v/>
      </c>
      <c r="DN190" s="166" t="str">
        <f t="shared" si="91"/>
        <v/>
      </c>
      <c r="DO190" s="164" t="str">
        <f>IFERROR(INDEX(DG$170:DG$218,_xlfn.AGGREGATE(15,6,(ROW(DG$170:DG$218)-ROW(DG$170)+1)/(DG$170:DG$218&lt;&gt;""),ROWS(DO$1:DO21))),"")</f>
        <v/>
      </c>
      <c r="DP190" s="165" t="str">
        <f>IFERROR(INDEX(DH$170:DH$218,_xlfn.AGGREGATE(15,6,(ROW(DH$170:DH$218)-ROW(DH$170)+1)/(DH$170:DH$218&lt;&gt;""),ROWS(DP$1:DP21))),"")</f>
        <v/>
      </c>
      <c r="DQ190" s="166" t="str">
        <f t="shared" si="92"/>
        <v/>
      </c>
      <c r="DV190" s="145">
        <v>2035</v>
      </c>
      <c r="DW190" s="235" t="e">
        <f t="shared" ca="1" si="76"/>
        <v>#REF!</v>
      </c>
    </row>
    <row r="191" spans="1:135" ht="13.8" x14ac:dyDescent="0.45">
      <c r="B191" s="128">
        <v>2033</v>
      </c>
      <c r="C191" s="953"/>
      <c r="D191" s="944"/>
      <c r="E191" s="945"/>
      <c r="F191" s="1039"/>
      <c r="G191" s="981"/>
      <c r="H191" s="1040"/>
      <c r="I191" s="1112"/>
      <c r="J191" s="247"/>
      <c r="K191" s="245"/>
      <c r="L191" s="246"/>
      <c r="M191" s="245"/>
      <c r="N191" s="29" t="s">
        <v>119</v>
      </c>
      <c r="O191" s="120"/>
      <c r="P191" s="120"/>
      <c r="Q191" s="120"/>
      <c r="R191" s="29">
        <v>19</v>
      </c>
      <c r="S191" s="238" t="str">
        <f t="shared" si="77"/>
        <v/>
      </c>
      <c r="T191" s="238" t="str">
        <f t="shared" si="78"/>
        <v/>
      </c>
      <c r="U191" s="238" t="str">
        <f t="shared" si="79"/>
        <v/>
      </c>
      <c r="W191" s="238" t="e">
        <f t="shared" si="80"/>
        <v>#N/A</v>
      </c>
      <c r="X191" s="238" t="e">
        <f t="shared" si="81"/>
        <v>#N/A</v>
      </c>
      <c r="Y191" s="238" t="e">
        <f t="shared" si="82"/>
        <v>#N/A</v>
      </c>
      <c r="AA191" s="1133">
        <v>143.32671985253563</v>
      </c>
      <c r="AB191" s="1133">
        <v>172.48002659293451</v>
      </c>
      <c r="AC191" s="1133">
        <v>201.63333333333338</v>
      </c>
      <c r="AD191" s="89"/>
      <c r="AE191" s="89"/>
      <c r="AF191" s="89"/>
      <c r="AG191" s="89"/>
      <c r="AH191" s="89"/>
      <c r="AI191" s="89"/>
      <c r="AJ191" s="89"/>
      <c r="AK191" s="89"/>
      <c r="AL191" s="89"/>
      <c r="AM191" s="89"/>
      <c r="AN191" s="89"/>
      <c r="BR191" s="180">
        <v>2031</v>
      </c>
      <c r="BS191" s="22">
        <v>17</v>
      </c>
      <c r="BT191" s="181" t="e">
        <f t="shared" si="93"/>
        <v>#DIV/0!</v>
      </c>
      <c r="BU191" s="182" t="e">
        <f t="shared" si="94"/>
        <v>#DIV/0!</v>
      </c>
      <c r="BV191" s="205" t="e">
        <f t="shared" si="95"/>
        <v>#DIV/0!</v>
      </c>
      <c r="BY191" s="180">
        <v>2031</v>
      </c>
      <c r="BZ191" s="22">
        <v>17</v>
      </c>
      <c r="CA191" s="198" t="e">
        <f t="shared" ca="1" si="96"/>
        <v>#REF!</v>
      </c>
      <c r="CB191" s="198" t="e">
        <f t="shared" ca="1" si="97"/>
        <v>#REF!</v>
      </c>
      <c r="CC191" s="186" t="e">
        <f t="shared" ca="1" si="108"/>
        <v>#REF!</v>
      </c>
      <c r="CD191" s="205" t="e">
        <f t="shared" ca="1" si="98"/>
        <v>#REF!</v>
      </c>
      <c r="CG191" s="180">
        <v>2031</v>
      </c>
      <c r="CH191" s="22">
        <v>17</v>
      </c>
      <c r="CI191" s="198" t="e">
        <f t="shared" ca="1" si="99"/>
        <v>#REF!</v>
      </c>
      <c r="CJ191" s="198" t="e">
        <f t="shared" ca="1" si="100"/>
        <v>#REF!</v>
      </c>
      <c r="CK191" s="198" t="e">
        <f t="shared" ca="1" si="101"/>
        <v>#REF!</v>
      </c>
      <c r="CL191" s="186" t="e">
        <f t="shared" ca="1" si="102"/>
        <v>#REF!</v>
      </c>
      <c r="CM191" s="205" t="e">
        <f t="shared" ca="1" si="103"/>
        <v>#REF!</v>
      </c>
      <c r="CP191" s="180">
        <v>2031</v>
      </c>
      <c r="CQ191" s="22">
        <v>17</v>
      </c>
      <c r="CR191" s="198" t="e">
        <f t="shared" ca="1" si="104"/>
        <v>#REF!</v>
      </c>
      <c r="CS191" s="186" t="e">
        <f t="shared" ca="1" si="105"/>
        <v>#REF!</v>
      </c>
      <c r="CT191" s="205" t="e">
        <f t="shared" ca="1" si="106"/>
        <v>#REF!</v>
      </c>
      <c r="CZ191" s="164" t="b">
        <f t="shared" si="83"/>
        <v>0</v>
      </c>
      <c r="DA191" s="165" t="b">
        <f t="shared" si="83"/>
        <v>0</v>
      </c>
      <c r="DB191" s="166" t="b">
        <f t="shared" si="83"/>
        <v>0</v>
      </c>
      <c r="DC191" s="164" t="str">
        <f t="shared" si="84"/>
        <v/>
      </c>
      <c r="DD191" s="166" t="str">
        <f t="shared" si="85"/>
        <v/>
      </c>
      <c r="DE191" s="164" t="str">
        <f t="shared" si="86"/>
        <v/>
      </c>
      <c r="DF191" s="166" t="str">
        <f t="shared" si="87"/>
        <v/>
      </c>
      <c r="DG191" s="164" t="str">
        <f t="shared" si="88"/>
        <v/>
      </c>
      <c r="DH191" s="166" t="str">
        <f t="shared" si="89"/>
        <v/>
      </c>
      <c r="DI191" s="164" t="str">
        <f>IFERROR(INDEX(DC$170:DC$218,_xlfn.AGGREGATE(15,6,(ROW(DC$170:DC$218)-ROW(DC$170)+1)/(DC$170:DC$218&lt;&gt;""),ROWS(DI$1:DI22))),"")</f>
        <v/>
      </c>
      <c r="DJ191" s="165" t="str">
        <f>IFERROR(INDEX(DD$170:DD$218,_xlfn.AGGREGATE(15,6,(ROW(DD$170:DD$218)-ROW(DD$170)+1)/(DD$170:DD$218&lt;&gt;""),ROWS(DJ$1:DJ22))),"")</f>
        <v/>
      </c>
      <c r="DK191" s="166" t="str">
        <f t="shared" si="90"/>
        <v/>
      </c>
      <c r="DL191" s="164" t="str">
        <f>IFERROR(INDEX(DE$170:DE$218,_xlfn.AGGREGATE(15,6,(ROW(DE$170:DE$218)-ROW(DE$170)+1)/(DE$170:DE$218&lt;&gt;""),ROWS(DL$1:DL22))),"")</f>
        <v/>
      </c>
      <c r="DM191" s="165" t="str">
        <f>IFERROR(INDEX(DF$170:DF$218,_xlfn.AGGREGATE(15,6,(ROW(DF$170:DF$218)-ROW(DF$170)+1)/(DF$170:DF$218&lt;&gt;""),ROWS(DM$1:DM22))),"")</f>
        <v/>
      </c>
      <c r="DN191" s="166" t="str">
        <f t="shared" si="91"/>
        <v/>
      </c>
      <c r="DO191" s="164" t="str">
        <f>IFERROR(INDEX(DG$170:DG$218,_xlfn.AGGREGATE(15,6,(ROW(DG$170:DG$218)-ROW(DG$170)+1)/(DG$170:DG$218&lt;&gt;""),ROWS(DO$1:DO22))),"")</f>
        <v/>
      </c>
      <c r="DP191" s="165" t="str">
        <f>IFERROR(INDEX(DH$170:DH$218,_xlfn.AGGREGATE(15,6,(ROW(DH$170:DH$218)-ROW(DH$170)+1)/(DH$170:DH$218&lt;&gt;""),ROWS(DP$1:DP22))),"")</f>
        <v/>
      </c>
      <c r="DQ191" s="166" t="str">
        <f t="shared" si="92"/>
        <v/>
      </c>
      <c r="DV191" s="145">
        <v>2036</v>
      </c>
      <c r="DW191" s="235" t="e">
        <f t="shared" ca="1" si="76"/>
        <v>#REF!</v>
      </c>
    </row>
    <row r="192" spans="1:135" ht="13.8" x14ac:dyDescent="0.45">
      <c r="B192" s="128">
        <v>2034</v>
      </c>
      <c r="C192" s="953"/>
      <c r="D192" s="944"/>
      <c r="E192" s="945"/>
      <c r="F192" s="1039"/>
      <c r="G192" s="981"/>
      <c r="H192" s="1040"/>
      <c r="I192" s="1112"/>
      <c r="J192" s="247"/>
      <c r="K192" s="245"/>
      <c r="L192" s="246"/>
      <c r="M192" s="245"/>
      <c r="N192" s="29" t="s">
        <v>119</v>
      </c>
      <c r="O192" s="120"/>
      <c r="P192" s="120"/>
      <c r="Q192" s="120"/>
      <c r="R192" s="29">
        <v>20</v>
      </c>
      <c r="S192" s="238" t="str">
        <f t="shared" si="77"/>
        <v/>
      </c>
      <c r="T192" s="238" t="str">
        <f t="shared" si="78"/>
        <v/>
      </c>
      <c r="U192" s="238" t="str">
        <f t="shared" si="79"/>
        <v/>
      </c>
      <c r="W192" s="238" t="e">
        <f t="shared" si="80"/>
        <v>#N/A</v>
      </c>
      <c r="X192" s="238" t="e">
        <f t="shared" si="81"/>
        <v>#N/A</v>
      </c>
      <c r="Y192" s="238" t="e">
        <f t="shared" si="82"/>
        <v>#N/A</v>
      </c>
      <c r="AA192" s="1133">
        <v>144.12699148794186</v>
      </c>
      <c r="AB192" s="1133">
        <v>173.53016241063759</v>
      </c>
      <c r="AC192" s="1133">
        <v>202.93333333333331</v>
      </c>
      <c r="AD192" s="89"/>
      <c r="AE192" s="89"/>
      <c r="AF192" s="89"/>
      <c r="AG192" s="89"/>
      <c r="AH192" s="89"/>
      <c r="AI192" s="89"/>
      <c r="AJ192" s="89"/>
      <c r="AK192" s="89"/>
      <c r="AL192" s="89"/>
      <c r="AM192" s="89"/>
      <c r="AN192" s="89"/>
      <c r="BR192" s="180">
        <v>2032</v>
      </c>
      <c r="BS192" s="22">
        <v>18</v>
      </c>
      <c r="BT192" s="181" t="e">
        <f t="shared" si="93"/>
        <v>#DIV/0!</v>
      </c>
      <c r="BU192" s="182" t="e">
        <f t="shared" si="94"/>
        <v>#DIV/0!</v>
      </c>
      <c r="BV192" s="205" t="e">
        <f t="shared" si="95"/>
        <v>#DIV/0!</v>
      </c>
      <c r="BY192" s="180">
        <v>2032</v>
      </c>
      <c r="BZ192" s="22">
        <v>18</v>
      </c>
      <c r="CA192" s="198" t="e">
        <f t="shared" ca="1" si="96"/>
        <v>#REF!</v>
      </c>
      <c r="CB192" s="198" t="e">
        <f t="shared" ca="1" si="97"/>
        <v>#REF!</v>
      </c>
      <c r="CC192" s="186" t="e">
        <f t="shared" ca="1" si="108"/>
        <v>#REF!</v>
      </c>
      <c r="CD192" s="205" t="e">
        <f t="shared" ca="1" si="98"/>
        <v>#REF!</v>
      </c>
      <c r="CG192" s="180">
        <v>2032</v>
      </c>
      <c r="CH192" s="22">
        <v>18</v>
      </c>
      <c r="CI192" s="198" t="e">
        <f t="shared" ca="1" si="99"/>
        <v>#REF!</v>
      </c>
      <c r="CJ192" s="198" t="e">
        <f t="shared" ca="1" si="100"/>
        <v>#REF!</v>
      </c>
      <c r="CK192" s="198" t="e">
        <f t="shared" ca="1" si="101"/>
        <v>#REF!</v>
      </c>
      <c r="CL192" s="186" t="e">
        <f t="shared" ca="1" si="102"/>
        <v>#REF!</v>
      </c>
      <c r="CM192" s="205" t="e">
        <f t="shared" ca="1" si="103"/>
        <v>#REF!</v>
      </c>
      <c r="CP192" s="180">
        <v>2032</v>
      </c>
      <c r="CQ192" s="22">
        <v>18</v>
      </c>
      <c r="CR192" s="198" t="e">
        <f t="shared" ca="1" si="104"/>
        <v>#REF!</v>
      </c>
      <c r="CS192" s="186" t="e">
        <f t="shared" ca="1" si="105"/>
        <v>#REF!</v>
      </c>
      <c r="CT192" s="205" t="e">
        <f t="shared" ca="1" si="106"/>
        <v>#REF!</v>
      </c>
      <c r="CZ192" s="164" t="b">
        <f t="shared" si="83"/>
        <v>0</v>
      </c>
      <c r="DA192" s="165" t="b">
        <f t="shared" si="83"/>
        <v>0</v>
      </c>
      <c r="DB192" s="166" t="b">
        <f t="shared" si="83"/>
        <v>0</v>
      </c>
      <c r="DC192" s="164" t="str">
        <f t="shared" si="84"/>
        <v/>
      </c>
      <c r="DD192" s="166" t="str">
        <f t="shared" si="85"/>
        <v/>
      </c>
      <c r="DE192" s="164" t="str">
        <f t="shared" si="86"/>
        <v/>
      </c>
      <c r="DF192" s="166" t="str">
        <f t="shared" si="87"/>
        <v/>
      </c>
      <c r="DG192" s="164" t="str">
        <f t="shared" si="88"/>
        <v/>
      </c>
      <c r="DH192" s="166" t="str">
        <f t="shared" si="89"/>
        <v/>
      </c>
      <c r="DI192" s="164" t="str">
        <f>IFERROR(INDEX(DC$170:DC$218,_xlfn.AGGREGATE(15,6,(ROW(DC$170:DC$218)-ROW(DC$170)+1)/(DC$170:DC$218&lt;&gt;""),ROWS(DI$1:DI23))),"")</f>
        <v/>
      </c>
      <c r="DJ192" s="165" t="str">
        <f>IFERROR(INDEX(DD$170:DD$218,_xlfn.AGGREGATE(15,6,(ROW(DD$170:DD$218)-ROW(DD$170)+1)/(DD$170:DD$218&lt;&gt;""),ROWS(DJ$1:DJ23))),"")</f>
        <v/>
      </c>
      <c r="DK192" s="166" t="str">
        <f t="shared" si="90"/>
        <v/>
      </c>
      <c r="DL192" s="164" t="str">
        <f>IFERROR(INDEX(DE$170:DE$218,_xlfn.AGGREGATE(15,6,(ROW(DE$170:DE$218)-ROW(DE$170)+1)/(DE$170:DE$218&lt;&gt;""),ROWS(DL$1:DL23))),"")</f>
        <v/>
      </c>
      <c r="DM192" s="165" t="str">
        <f>IFERROR(INDEX(DF$170:DF$218,_xlfn.AGGREGATE(15,6,(ROW(DF$170:DF$218)-ROW(DF$170)+1)/(DF$170:DF$218&lt;&gt;""),ROWS(DM$1:DM23))),"")</f>
        <v/>
      </c>
      <c r="DN192" s="166" t="str">
        <f t="shared" si="91"/>
        <v/>
      </c>
      <c r="DO192" s="164" t="str">
        <f>IFERROR(INDEX(DG$170:DG$218,_xlfn.AGGREGATE(15,6,(ROW(DG$170:DG$218)-ROW(DG$170)+1)/(DG$170:DG$218&lt;&gt;""),ROWS(DO$1:DO23))),"")</f>
        <v/>
      </c>
      <c r="DP192" s="165" t="str">
        <f>IFERROR(INDEX(DH$170:DH$218,_xlfn.AGGREGATE(15,6,(ROW(DH$170:DH$218)-ROW(DH$170)+1)/(DH$170:DH$218&lt;&gt;""),ROWS(DP$1:DP23))),"")</f>
        <v/>
      </c>
      <c r="DQ192" s="166" t="str">
        <f t="shared" si="92"/>
        <v/>
      </c>
      <c r="DV192" s="145">
        <v>2037</v>
      </c>
      <c r="DW192" s="235" t="e">
        <f t="shared" ca="1" si="76"/>
        <v>#REF!</v>
      </c>
    </row>
    <row r="193" spans="2:135" ht="13.8" x14ac:dyDescent="0.45">
      <c r="B193" s="128">
        <v>2035</v>
      </c>
      <c r="C193" s="953"/>
      <c r="D193" s="944"/>
      <c r="E193" s="945"/>
      <c r="F193" s="1039"/>
      <c r="G193" s="981"/>
      <c r="H193" s="1040"/>
      <c r="I193" s="1112"/>
      <c r="J193" s="247"/>
      <c r="K193" s="245"/>
      <c r="L193" s="246"/>
      <c r="M193" s="245"/>
      <c r="N193" s="29" t="s">
        <v>119</v>
      </c>
      <c r="O193" s="120"/>
      <c r="P193" s="120"/>
      <c r="Q193" s="120"/>
      <c r="R193" s="29">
        <v>21</v>
      </c>
      <c r="S193" s="238" t="str">
        <f t="shared" si="77"/>
        <v/>
      </c>
      <c r="T193" s="238" t="str">
        <f t="shared" si="78"/>
        <v/>
      </c>
      <c r="U193" s="238" t="str">
        <f t="shared" si="79"/>
        <v/>
      </c>
      <c r="W193" s="238" t="e">
        <f t="shared" si="80"/>
        <v>#N/A</v>
      </c>
      <c r="X193" s="238" t="e">
        <f t="shared" si="81"/>
        <v>#N/A</v>
      </c>
      <c r="Y193" s="238" t="e">
        <f t="shared" si="82"/>
        <v>#N/A</v>
      </c>
      <c r="AA193" s="1133">
        <v>144.57191689354099</v>
      </c>
      <c r="AB193" s="1133">
        <v>174.40262511343715</v>
      </c>
      <c r="AC193" s="1133">
        <v>204.23333333333332</v>
      </c>
      <c r="AD193" s="89"/>
      <c r="AE193" s="89"/>
      <c r="AF193" s="89"/>
      <c r="AG193" s="89"/>
      <c r="AH193" s="89"/>
      <c r="AI193" s="89"/>
      <c r="AJ193" s="89"/>
      <c r="AK193" s="89"/>
      <c r="AL193" s="89"/>
      <c r="AM193" s="89"/>
      <c r="AN193" s="89"/>
      <c r="BR193" s="180">
        <v>2033</v>
      </c>
      <c r="BS193" s="22">
        <v>19</v>
      </c>
      <c r="BT193" s="181" t="e">
        <f t="shared" si="93"/>
        <v>#DIV/0!</v>
      </c>
      <c r="BU193" s="182" t="e">
        <f t="shared" si="94"/>
        <v>#DIV/0!</v>
      </c>
      <c r="BV193" s="205" t="e">
        <f t="shared" si="95"/>
        <v>#DIV/0!</v>
      </c>
      <c r="BY193" s="180">
        <v>2033</v>
      </c>
      <c r="BZ193" s="22">
        <v>19</v>
      </c>
      <c r="CA193" s="198" t="e">
        <f t="shared" ca="1" si="96"/>
        <v>#REF!</v>
      </c>
      <c r="CB193" s="198" t="e">
        <f t="shared" ca="1" si="97"/>
        <v>#REF!</v>
      </c>
      <c r="CC193" s="186" t="e">
        <f t="shared" ca="1" si="108"/>
        <v>#REF!</v>
      </c>
      <c r="CD193" s="205" t="e">
        <f t="shared" ca="1" si="98"/>
        <v>#REF!</v>
      </c>
      <c r="CG193" s="180">
        <v>2033</v>
      </c>
      <c r="CH193" s="22">
        <v>19</v>
      </c>
      <c r="CI193" s="198" t="e">
        <f t="shared" ca="1" si="99"/>
        <v>#REF!</v>
      </c>
      <c r="CJ193" s="198" t="e">
        <f t="shared" ca="1" si="100"/>
        <v>#REF!</v>
      </c>
      <c r="CK193" s="198" t="e">
        <f t="shared" ca="1" si="101"/>
        <v>#REF!</v>
      </c>
      <c r="CL193" s="186" t="e">
        <f t="shared" ca="1" si="102"/>
        <v>#REF!</v>
      </c>
      <c r="CM193" s="205" t="e">
        <f t="shared" ca="1" si="103"/>
        <v>#REF!</v>
      </c>
      <c r="CP193" s="180">
        <v>2033</v>
      </c>
      <c r="CQ193" s="22">
        <v>19</v>
      </c>
      <c r="CR193" s="198" t="e">
        <f t="shared" ca="1" si="104"/>
        <v>#REF!</v>
      </c>
      <c r="CS193" s="186" t="e">
        <f t="shared" ca="1" si="105"/>
        <v>#REF!</v>
      </c>
      <c r="CT193" s="205" t="e">
        <f t="shared" ca="1" si="106"/>
        <v>#REF!</v>
      </c>
      <c r="CZ193" s="164" t="b">
        <f t="shared" si="83"/>
        <v>0</v>
      </c>
      <c r="DA193" s="165" t="b">
        <f t="shared" si="83"/>
        <v>0</v>
      </c>
      <c r="DB193" s="166" t="b">
        <f t="shared" si="83"/>
        <v>0</v>
      </c>
      <c r="DC193" s="164" t="str">
        <f t="shared" si="84"/>
        <v/>
      </c>
      <c r="DD193" s="166" t="str">
        <f t="shared" si="85"/>
        <v/>
      </c>
      <c r="DE193" s="164" t="str">
        <f t="shared" si="86"/>
        <v/>
      </c>
      <c r="DF193" s="166" t="str">
        <f t="shared" si="87"/>
        <v/>
      </c>
      <c r="DG193" s="164" t="str">
        <f t="shared" si="88"/>
        <v/>
      </c>
      <c r="DH193" s="166" t="str">
        <f t="shared" si="89"/>
        <v/>
      </c>
      <c r="DI193" s="164" t="str">
        <f>IFERROR(INDEX(DC$170:DC$218,_xlfn.AGGREGATE(15,6,(ROW(DC$170:DC$218)-ROW(DC$170)+1)/(DC$170:DC$218&lt;&gt;""),ROWS(DI$1:DI24))),"")</f>
        <v/>
      </c>
      <c r="DJ193" s="165" t="str">
        <f>IFERROR(INDEX(DD$170:DD$218,_xlfn.AGGREGATE(15,6,(ROW(DD$170:DD$218)-ROW(DD$170)+1)/(DD$170:DD$218&lt;&gt;""),ROWS(DJ$1:DJ24))),"")</f>
        <v/>
      </c>
      <c r="DK193" s="166" t="str">
        <f t="shared" si="90"/>
        <v/>
      </c>
      <c r="DL193" s="164" t="str">
        <f>IFERROR(INDEX(DE$170:DE$218,_xlfn.AGGREGATE(15,6,(ROW(DE$170:DE$218)-ROW(DE$170)+1)/(DE$170:DE$218&lt;&gt;""),ROWS(DL$1:DL24))),"")</f>
        <v/>
      </c>
      <c r="DM193" s="165" t="str">
        <f>IFERROR(INDEX(DF$170:DF$218,_xlfn.AGGREGATE(15,6,(ROW(DF$170:DF$218)-ROW(DF$170)+1)/(DF$170:DF$218&lt;&gt;""),ROWS(DM$1:DM24))),"")</f>
        <v/>
      </c>
      <c r="DN193" s="166" t="str">
        <f t="shared" si="91"/>
        <v/>
      </c>
      <c r="DO193" s="164" t="str">
        <f>IFERROR(INDEX(DG$170:DG$218,_xlfn.AGGREGATE(15,6,(ROW(DG$170:DG$218)-ROW(DG$170)+1)/(DG$170:DG$218&lt;&gt;""),ROWS(DO$1:DO24))),"")</f>
        <v/>
      </c>
      <c r="DP193" s="165" t="str">
        <f>IFERROR(INDEX(DH$170:DH$218,_xlfn.AGGREGATE(15,6,(ROW(DH$170:DH$218)-ROW(DH$170)+1)/(DH$170:DH$218&lt;&gt;""),ROWS(DP$1:DP24))),"")</f>
        <v/>
      </c>
      <c r="DQ193" s="166" t="str">
        <f t="shared" si="92"/>
        <v/>
      </c>
      <c r="DV193" s="145">
        <v>2038</v>
      </c>
      <c r="DW193" s="235" t="e">
        <f t="shared" ca="1" si="76"/>
        <v>#REF!</v>
      </c>
    </row>
    <row r="194" spans="2:135" ht="13.8" x14ac:dyDescent="0.45">
      <c r="B194" s="128">
        <v>2036</v>
      </c>
      <c r="C194" s="953"/>
      <c r="D194" s="944"/>
      <c r="E194" s="945"/>
      <c r="F194" s="1039"/>
      <c r="G194" s="981"/>
      <c r="H194" s="1040"/>
      <c r="I194" s="1112"/>
      <c r="J194" s="247"/>
      <c r="K194" s="245"/>
      <c r="L194" s="246"/>
      <c r="M194" s="245"/>
      <c r="N194" s="29" t="s">
        <v>119</v>
      </c>
      <c r="O194" s="120"/>
      <c r="P194" s="120"/>
      <c r="Q194" s="120"/>
      <c r="R194" s="29">
        <v>22</v>
      </c>
      <c r="S194" s="238" t="str">
        <f t="shared" si="77"/>
        <v/>
      </c>
      <c r="T194" s="238" t="str">
        <f t="shared" si="78"/>
        <v/>
      </c>
      <c r="U194" s="238" t="str">
        <f t="shared" si="79"/>
        <v/>
      </c>
      <c r="W194" s="238" t="e">
        <f t="shared" si="80"/>
        <v>#N/A</v>
      </c>
      <c r="X194" s="238" t="e">
        <f t="shared" si="81"/>
        <v>#N/A</v>
      </c>
      <c r="Y194" s="238" t="e">
        <f t="shared" si="82"/>
        <v>#N/A</v>
      </c>
      <c r="AA194" s="1133">
        <v>145.53402610057515</v>
      </c>
      <c r="AB194" s="1133">
        <v>175.53367971695428</v>
      </c>
      <c r="AC194" s="1133">
        <v>205.53333333333342</v>
      </c>
      <c r="AD194" s="89"/>
      <c r="AE194" s="89"/>
      <c r="AF194" s="89"/>
      <c r="AG194" s="89"/>
      <c r="AH194" s="89"/>
      <c r="AI194" s="89"/>
      <c r="AJ194" s="89"/>
      <c r="AK194" s="89"/>
      <c r="AL194" s="89"/>
      <c r="AM194" s="89"/>
      <c r="AN194" s="89"/>
      <c r="BR194" s="180">
        <v>2034</v>
      </c>
      <c r="BS194" s="22">
        <v>20</v>
      </c>
      <c r="BT194" s="181" t="e">
        <f t="shared" si="93"/>
        <v>#DIV/0!</v>
      </c>
      <c r="BU194" s="182" t="e">
        <f t="shared" si="94"/>
        <v>#DIV/0!</v>
      </c>
      <c r="BV194" s="205" t="e">
        <f t="shared" si="95"/>
        <v>#DIV/0!</v>
      </c>
      <c r="BY194" s="180">
        <v>2034</v>
      </c>
      <c r="BZ194" s="22">
        <v>20</v>
      </c>
      <c r="CA194" s="198" t="e">
        <f t="shared" ca="1" si="96"/>
        <v>#REF!</v>
      </c>
      <c r="CB194" s="198" t="e">
        <f t="shared" ca="1" si="97"/>
        <v>#REF!</v>
      </c>
      <c r="CC194" s="186" t="e">
        <f t="shared" ca="1" si="108"/>
        <v>#REF!</v>
      </c>
      <c r="CD194" s="205" t="e">
        <f t="shared" ca="1" si="98"/>
        <v>#REF!</v>
      </c>
      <c r="CG194" s="180">
        <v>2034</v>
      </c>
      <c r="CH194" s="22">
        <v>20</v>
      </c>
      <c r="CI194" s="198" t="e">
        <f t="shared" ca="1" si="99"/>
        <v>#REF!</v>
      </c>
      <c r="CJ194" s="198" t="e">
        <f t="shared" ca="1" si="100"/>
        <v>#REF!</v>
      </c>
      <c r="CK194" s="198" t="e">
        <f t="shared" ca="1" si="101"/>
        <v>#REF!</v>
      </c>
      <c r="CL194" s="186" t="e">
        <f t="shared" ca="1" si="102"/>
        <v>#REF!</v>
      </c>
      <c r="CM194" s="205" t="e">
        <f t="shared" ca="1" si="103"/>
        <v>#REF!</v>
      </c>
      <c r="CP194" s="180">
        <v>2034</v>
      </c>
      <c r="CQ194" s="22">
        <v>20</v>
      </c>
      <c r="CR194" s="198" t="e">
        <f t="shared" ca="1" si="104"/>
        <v>#REF!</v>
      </c>
      <c r="CS194" s="186" t="e">
        <f t="shared" ca="1" si="105"/>
        <v>#REF!</v>
      </c>
      <c r="CT194" s="205" t="e">
        <f t="shared" ca="1" si="106"/>
        <v>#REF!</v>
      </c>
      <c r="CZ194" s="164" t="b">
        <f t="shared" si="83"/>
        <v>0</v>
      </c>
      <c r="DA194" s="165" t="b">
        <f t="shared" si="83"/>
        <v>0</v>
      </c>
      <c r="DB194" s="166" t="b">
        <f t="shared" si="83"/>
        <v>0</v>
      </c>
      <c r="DC194" s="164" t="str">
        <f t="shared" si="84"/>
        <v/>
      </c>
      <c r="DD194" s="166" t="str">
        <f t="shared" si="85"/>
        <v/>
      </c>
      <c r="DE194" s="164" t="str">
        <f t="shared" si="86"/>
        <v/>
      </c>
      <c r="DF194" s="166" t="str">
        <f t="shared" si="87"/>
        <v/>
      </c>
      <c r="DG194" s="164" t="str">
        <f t="shared" si="88"/>
        <v/>
      </c>
      <c r="DH194" s="166" t="str">
        <f t="shared" si="89"/>
        <v/>
      </c>
      <c r="DI194" s="164" t="str">
        <f>IFERROR(INDEX(DC$170:DC$218,_xlfn.AGGREGATE(15,6,(ROW(DC$170:DC$218)-ROW(DC$170)+1)/(DC$170:DC$218&lt;&gt;""),ROWS(DI$1:DI25))),"")</f>
        <v/>
      </c>
      <c r="DJ194" s="165" t="str">
        <f>IFERROR(INDEX(DD$170:DD$218,_xlfn.AGGREGATE(15,6,(ROW(DD$170:DD$218)-ROW(DD$170)+1)/(DD$170:DD$218&lt;&gt;""),ROWS(DJ$1:DJ25))),"")</f>
        <v/>
      </c>
      <c r="DK194" s="166" t="str">
        <f t="shared" si="90"/>
        <v/>
      </c>
      <c r="DL194" s="164" t="str">
        <f>IFERROR(INDEX(DE$170:DE$218,_xlfn.AGGREGATE(15,6,(ROW(DE$170:DE$218)-ROW(DE$170)+1)/(DE$170:DE$218&lt;&gt;""),ROWS(DL$1:DL25))),"")</f>
        <v/>
      </c>
      <c r="DM194" s="165" t="str">
        <f>IFERROR(INDEX(DF$170:DF$218,_xlfn.AGGREGATE(15,6,(ROW(DF$170:DF$218)-ROW(DF$170)+1)/(DF$170:DF$218&lt;&gt;""),ROWS(DM$1:DM25))),"")</f>
        <v/>
      </c>
      <c r="DN194" s="166" t="str">
        <f t="shared" si="91"/>
        <v/>
      </c>
      <c r="DO194" s="164" t="str">
        <f>IFERROR(INDEX(DG$170:DG$218,_xlfn.AGGREGATE(15,6,(ROW(DG$170:DG$218)-ROW(DG$170)+1)/(DG$170:DG$218&lt;&gt;""),ROWS(DO$1:DO25))),"")</f>
        <v/>
      </c>
      <c r="DP194" s="165" t="str">
        <f>IFERROR(INDEX(DH$170:DH$218,_xlfn.AGGREGATE(15,6,(ROW(DH$170:DH$218)-ROW(DH$170)+1)/(DH$170:DH$218&lt;&gt;""),ROWS(DP$1:DP25))),"")</f>
        <v/>
      </c>
      <c r="DQ194" s="166" t="str">
        <f t="shared" si="92"/>
        <v/>
      </c>
      <c r="DV194" s="145">
        <v>2039</v>
      </c>
      <c r="DW194" s="235" t="e">
        <f t="shared" ca="1" si="76"/>
        <v>#REF!</v>
      </c>
    </row>
    <row r="195" spans="2:135" ht="13.8" x14ac:dyDescent="0.45">
      <c r="B195" s="128">
        <v>2037</v>
      </c>
      <c r="C195" s="953"/>
      <c r="D195" s="944"/>
      <c r="E195" s="945"/>
      <c r="F195" s="1039"/>
      <c r="G195" s="981"/>
      <c r="H195" s="1040"/>
      <c r="I195" s="1112"/>
      <c r="J195" s="247"/>
      <c r="K195" s="245"/>
      <c r="L195" s="246"/>
      <c r="M195" s="245"/>
      <c r="N195" s="29" t="s">
        <v>119</v>
      </c>
      <c r="O195" s="120"/>
      <c r="P195" s="120"/>
      <c r="Q195" s="120"/>
      <c r="R195" s="29">
        <v>23</v>
      </c>
      <c r="S195" s="238" t="str">
        <f t="shared" si="77"/>
        <v/>
      </c>
      <c r="T195" s="238" t="str">
        <f t="shared" si="78"/>
        <v/>
      </c>
      <c r="U195" s="238" t="str">
        <f t="shared" si="79"/>
        <v/>
      </c>
      <c r="W195" s="238" t="e">
        <f t="shared" si="80"/>
        <v>#N/A</v>
      </c>
      <c r="X195" s="238" t="e">
        <f t="shared" si="81"/>
        <v>#N/A</v>
      </c>
      <c r="Y195" s="238" t="e">
        <f t="shared" si="82"/>
        <v>#N/A</v>
      </c>
      <c r="AA195" s="1133">
        <v>146.15687270696623</v>
      </c>
      <c r="AB195" s="1133">
        <v>176.49510302014977</v>
      </c>
      <c r="AC195" s="1133">
        <v>206.83333333333331</v>
      </c>
      <c r="AD195" s="89"/>
      <c r="AE195" s="89"/>
      <c r="AF195" s="89"/>
      <c r="AG195" s="89"/>
      <c r="AH195" s="89"/>
      <c r="AI195" s="89"/>
      <c r="AJ195" s="89"/>
      <c r="AK195" s="89"/>
      <c r="AL195" s="89"/>
      <c r="AM195" s="89"/>
      <c r="AN195" s="89"/>
      <c r="BR195" s="180">
        <v>2035</v>
      </c>
      <c r="BS195" s="22">
        <v>21</v>
      </c>
      <c r="BT195" s="181" t="e">
        <f t="shared" si="93"/>
        <v>#DIV/0!</v>
      </c>
      <c r="BU195" s="182" t="e">
        <f t="shared" si="94"/>
        <v>#DIV/0!</v>
      </c>
      <c r="BV195" s="205" t="e">
        <f t="shared" si="95"/>
        <v>#DIV/0!</v>
      </c>
      <c r="BY195" s="180">
        <v>2035</v>
      </c>
      <c r="BZ195" s="22">
        <v>21</v>
      </c>
      <c r="CA195" s="198" t="e">
        <f t="shared" ca="1" si="96"/>
        <v>#REF!</v>
      </c>
      <c r="CB195" s="198" t="e">
        <f t="shared" ca="1" si="97"/>
        <v>#REF!</v>
      </c>
      <c r="CC195" s="186" t="e">
        <f t="shared" ca="1" si="108"/>
        <v>#REF!</v>
      </c>
      <c r="CD195" s="205" t="e">
        <f t="shared" ca="1" si="98"/>
        <v>#REF!</v>
      </c>
      <c r="CG195" s="180">
        <v>2035</v>
      </c>
      <c r="CH195" s="22">
        <v>21</v>
      </c>
      <c r="CI195" s="198" t="e">
        <f t="shared" ca="1" si="99"/>
        <v>#REF!</v>
      </c>
      <c r="CJ195" s="198" t="e">
        <f t="shared" ca="1" si="100"/>
        <v>#REF!</v>
      </c>
      <c r="CK195" s="198" t="e">
        <f t="shared" ca="1" si="101"/>
        <v>#REF!</v>
      </c>
      <c r="CL195" s="186" t="e">
        <f t="shared" ca="1" si="102"/>
        <v>#REF!</v>
      </c>
      <c r="CM195" s="205" t="e">
        <f t="shared" ca="1" si="103"/>
        <v>#REF!</v>
      </c>
      <c r="CP195" s="180">
        <v>2035</v>
      </c>
      <c r="CQ195" s="22">
        <v>21</v>
      </c>
      <c r="CR195" s="198" t="e">
        <f t="shared" ca="1" si="104"/>
        <v>#REF!</v>
      </c>
      <c r="CS195" s="186" t="e">
        <f t="shared" ca="1" si="105"/>
        <v>#REF!</v>
      </c>
      <c r="CT195" s="205" t="e">
        <f t="shared" ca="1" si="106"/>
        <v>#REF!</v>
      </c>
      <c r="CZ195" s="164" t="b">
        <f t="shared" si="83"/>
        <v>0</v>
      </c>
      <c r="DA195" s="165" t="b">
        <f t="shared" si="83"/>
        <v>0</v>
      </c>
      <c r="DB195" s="166" t="b">
        <f t="shared" si="83"/>
        <v>0</v>
      </c>
      <c r="DC195" s="164" t="str">
        <f t="shared" si="84"/>
        <v/>
      </c>
      <c r="DD195" s="166" t="str">
        <f t="shared" si="85"/>
        <v/>
      </c>
      <c r="DE195" s="164" t="str">
        <f t="shared" si="86"/>
        <v/>
      </c>
      <c r="DF195" s="166" t="str">
        <f t="shared" si="87"/>
        <v/>
      </c>
      <c r="DG195" s="164" t="str">
        <f t="shared" si="88"/>
        <v/>
      </c>
      <c r="DH195" s="166" t="str">
        <f t="shared" si="89"/>
        <v/>
      </c>
      <c r="DI195" s="164" t="str">
        <f>IFERROR(INDEX(DC$170:DC$218,_xlfn.AGGREGATE(15,6,(ROW(DC$170:DC$218)-ROW(DC$170)+1)/(DC$170:DC$218&lt;&gt;""),ROWS(DI$1:DI26))),"")</f>
        <v/>
      </c>
      <c r="DJ195" s="165" t="str">
        <f>IFERROR(INDEX(DD$170:DD$218,_xlfn.AGGREGATE(15,6,(ROW(DD$170:DD$218)-ROW(DD$170)+1)/(DD$170:DD$218&lt;&gt;""),ROWS(DJ$1:DJ26))),"")</f>
        <v/>
      </c>
      <c r="DK195" s="166" t="str">
        <f t="shared" si="90"/>
        <v/>
      </c>
      <c r="DL195" s="164" t="str">
        <f>IFERROR(INDEX(DE$170:DE$218,_xlfn.AGGREGATE(15,6,(ROW(DE$170:DE$218)-ROW(DE$170)+1)/(DE$170:DE$218&lt;&gt;""),ROWS(DL$1:DL26))),"")</f>
        <v/>
      </c>
      <c r="DM195" s="165" t="str">
        <f>IFERROR(INDEX(DF$170:DF$218,_xlfn.AGGREGATE(15,6,(ROW(DF$170:DF$218)-ROW(DF$170)+1)/(DF$170:DF$218&lt;&gt;""),ROWS(DM$1:DM26))),"")</f>
        <v/>
      </c>
      <c r="DN195" s="166" t="str">
        <f t="shared" si="91"/>
        <v/>
      </c>
      <c r="DO195" s="164" t="str">
        <f>IFERROR(INDEX(DG$170:DG$218,_xlfn.AGGREGATE(15,6,(ROW(DG$170:DG$218)-ROW(DG$170)+1)/(DG$170:DG$218&lt;&gt;""),ROWS(DO$1:DO26))),"")</f>
        <v/>
      </c>
      <c r="DP195" s="165" t="str">
        <f>IFERROR(INDEX(DH$170:DH$218,_xlfn.AGGREGATE(15,6,(ROW(DH$170:DH$218)-ROW(DH$170)+1)/(DH$170:DH$218&lt;&gt;""),ROWS(DP$1:DP26))),"")</f>
        <v/>
      </c>
      <c r="DQ195" s="166" t="str">
        <f t="shared" si="92"/>
        <v/>
      </c>
      <c r="DV195" s="145">
        <v>2040</v>
      </c>
      <c r="DW195" s="235" t="e">
        <f t="shared" ca="1" si="76"/>
        <v>#REF!</v>
      </c>
    </row>
    <row r="196" spans="2:135" ht="13.8" x14ac:dyDescent="0.45">
      <c r="B196" s="128">
        <v>2038</v>
      </c>
      <c r="C196" s="953"/>
      <c r="D196" s="944"/>
      <c r="E196" s="945"/>
      <c r="F196" s="1039"/>
      <c r="G196" s="981"/>
      <c r="H196" s="1040"/>
      <c r="I196" s="1112"/>
      <c r="J196" s="247"/>
      <c r="K196" s="245"/>
      <c r="L196" s="246"/>
      <c r="M196" s="245"/>
      <c r="N196" s="29" t="s">
        <v>119</v>
      </c>
      <c r="O196" s="120"/>
      <c r="P196" s="120"/>
      <c r="Q196" s="120"/>
      <c r="R196" s="29">
        <v>24</v>
      </c>
      <c r="S196" s="238" t="str">
        <f t="shared" si="77"/>
        <v/>
      </c>
      <c r="T196" s="238" t="str">
        <f t="shared" si="78"/>
        <v/>
      </c>
      <c r="U196" s="238" t="str">
        <f t="shared" si="79"/>
        <v/>
      </c>
      <c r="W196" s="238" t="e">
        <f t="shared" si="80"/>
        <v>#N/A</v>
      </c>
      <c r="X196" s="238" t="e">
        <f t="shared" si="81"/>
        <v>#N/A</v>
      </c>
      <c r="Y196" s="238" t="e">
        <f t="shared" si="82"/>
        <v>#N/A</v>
      </c>
      <c r="AA196" s="1133">
        <v>146.73652617575212</v>
      </c>
      <c r="AB196" s="1133">
        <v>177.43492975454276</v>
      </c>
      <c r="AC196" s="1133">
        <v>208.13333333333341</v>
      </c>
      <c r="AD196" s="89"/>
      <c r="AE196" s="89"/>
      <c r="AF196" s="89"/>
      <c r="AG196" s="89"/>
      <c r="AH196" s="89"/>
      <c r="AI196" s="89"/>
      <c r="AJ196" s="89"/>
      <c r="AK196" s="89"/>
      <c r="AL196" s="89"/>
      <c r="AM196" s="89"/>
      <c r="AN196" s="89"/>
      <c r="BR196" s="180">
        <v>2036</v>
      </c>
      <c r="BS196" s="22">
        <v>22</v>
      </c>
      <c r="BT196" s="181" t="e">
        <f t="shared" si="93"/>
        <v>#DIV/0!</v>
      </c>
      <c r="BU196" s="182" t="e">
        <f t="shared" si="94"/>
        <v>#DIV/0!</v>
      </c>
      <c r="BV196" s="205" t="e">
        <f t="shared" si="95"/>
        <v>#DIV/0!</v>
      </c>
      <c r="BY196" s="180">
        <v>2036</v>
      </c>
      <c r="BZ196" s="22">
        <v>22</v>
      </c>
      <c r="CA196" s="198" t="e">
        <f t="shared" ca="1" si="96"/>
        <v>#REF!</v>
      </c>
      <c r="CB196" s="198" t="e">
        <f t="shared" ca="1" si="97"/>
        <v>#REF!</v>
      </c>
      <c r="CC196" s="186" t="e">
        <f t="shared" ca="1" si="108"/>
        <v>#REF!</v>
      </c>
      <c r="CD196" s="205" t="e">
        <f t="shared" ca="1" si="98"/>
        <v>#REF!</v>
      </c>
      <c r="CG196" s="180">
        <v>2036</v>
      </c>
      <c r="CH196" s="22">
        <v>22</v>
      </c>
      <c r="CI196" s="198" t="e">
        <f t="shared" ca="1" si="99"/>
        <v>#REF!</v>
      </c>
      <c r="CJ196" s="198" t="e">
        <f t="shared" ca="1" si="100"/>
        <v>#REF!</v>
      </c>
      <c r="CK196" s="198" t="e">
        <f t="shared" ca="1" si="101"/>
        <v>#REF!</v>
      </c>
      <c r="CL196" s="186" t="e">
        <f t="shared" ca="1" si="102"/>
        <v>#REF!</v>
      </c>
      <c r="CM196" s="205" t="e">
        <f t="shared" ca="1" si="103"/>
        <v>#REF!</v>
      </c>
      <c r="CP196" s="180">
        <v>2036</v>
      </c>
      <c r="CQ196" s="22">
        <v>22</v>
      </c>
      <c r="CR196" s="198" t="e">
        <f t="shared" ca="1" si="104"/>
        <v>#REF!</v>
      </c>
      <c r="CS196" s="186" t="e">
        <f t="shared" ca="1" si="105"/>
        <v>#REF!</v>
      </c>
      <c r="CT196" s="205" t="e">
        <f t="shared" ca="1" si="106"/>
        <v>#REF!</v>
      </c>
      <c r="CZ196" s="164" t="b">
        <f t="shared" si="83"/>
        <v>0</v>
      </c>
      <c r="DA196" s="165" t="b">
        <f t="shared" si="83"/>
        <v>0</v>
      </c>
      <c r="DB196" s="166" t="b">
        <f t="shared" si="83"/>
        <v>0</v>
      </c>
      <c r="DC196" s="164" t="str">
        <f t="shared" si="84"/>
        <v/>
      </c>
      <c r="DD196" s="166" t="str">
        <f t="shared" si="85"/>
        <v/>
      </c>
      <c r="DE196" s="164" t="str">
        <f t="shared" si="86"/>
        <v/>
      </c>
      <c r="DF196" s="166" t="str">
        <f t="shared" si="87"/>
        <v/>
      </c>
      <c r="DG196" s="164" t="str">
        <f t="shared" si="88"/>
        <v/>
      </c>
      <c r="DH196" s="166" t="str">
        <f t="shared" si="89"/>
        <v/>
      </c>
      <c r="DI196" s="164" t="str">
        <f>IFERROR(INDEX(DC$170:DC$218,_xlfn.AGGREGATE(15,6,(ROW(DC$170:DC$218)-ROW(DC$170)+1)/(DC$170:DC$218&lt;&gt;""),ROWS(DI$1:DI27))),"")</f>
        <v/>
      </c>
      <c r="DJ196" s="165" t="str">
        <f>IFERROR(INDEX(DD$170:DD$218,_xlfn.AGGREGATE(15,6,(ROW(DD$170:DD$218)-ROW(DD$170)+1)/(DD$170:DD$218&lt;&gt;""),ROWS(DJ$1:DJ27))),"")</f>
        <v/>
      </c>
      <c r="DK196" s="166" t="str">
        <f t="shared" si="90"/>
        <v/>
      </c>
      <c r="DL196" s="164" t="str">
        <f>IFERROR(INDEX(DE$170:DE$218,_xlfn.AGGREGATE(15,6,(ROW(DE$170:DE$218)-ROW(DE$170)+1)/(DE$170:DE$218&lt;&gt;""),ROWS(DL$1:DL27))),"")</f>
        <v/>
      </c>
      <c r="DM196" s="165" t="str">
        <f>IFERROR(INDEX(DF$170:DF$218,_xlfn.AGGREGATE(15,6,(ROW(DF$170:DF$218)-ROW(DF$170)+1)/(DF$170:DF$218&lt;&gt;""),ROWS(DM$1:DM27))),"")</f>
        <v/>
      </c>
      <c r="DN196" s="166" t="str">
        <f t="shared" si="91"/>
        <v/>
      </c>
      <c r="DO196" s="164" t="str">
        <f>IFERROR(INDEX(DG$170:DG$218,_xlfn.AGGREGATE(15,6,(ROW(DG$170:DG$218)-ROW(DG$170)+1)/(DG$170:DG$218&lt;&gt;""),ROWS(DO$1:DO27))),"")</f>
        <v/>
      </c>
      <c r="DP196" s="165" t="str">
        <f>IFERROR(INDEX(DH$170:DH$218,_xlfn.AGGREGATE(15,6,(ROW(DH$170:DH$218)-ROW(DH$170)+1)/(DH$170:DH$218&lt;&gt;""),ROWS(DP$1:DP27))),"")</f>
        <v/>
      </c>
      <c r="DQ196" s="166" t="str">
        <f t="shared" si="92"/>
        <v/>
      </c>
      <c r="DV196" s="145">
        <v>2041</v>
      </c>
      <c r="DW196" s="235" t="e">
        <f t="shared" ca="1" si="76"/>
        <v>#REF!</v>
      </c>
    </row>
    <row r="197" spans="2:135" ht="13.8" x14ac:dyDescent="0.45">
      <c r="B197" s="128">
        <v>2039</v>
      </c>
      <c r="C197" s="953"/>
      <c r="D197" s="944"/>
      <c r="E197" s="945"/>
      <c r="F197" s="1039"/>
      <c r="G197" s="981"/>
      <c r="H197" s="1040"/>
      <c r="I197" s="1112"/>
      <c r="J197" s="247"/>
      <c r="K197" s="245"/>
      <c r="L197" s="246"/>
      <c r="M197" s="245"/>
      <c r="N197" s="29" t="s">
        <v>119</v>
      </c>
      <c r="O197" s="120"/>
      <c r="P197" s="120"/>
      <c r="Q197" s="120"/>
      <c r="R197" s="29">
        <v>25</v>
      </c>
      <c r="S197" s="238" t="str">
        <f t="shared" si="77"/>
        <v/>
      </c>
      <c r="T197" s="238" t="str">
        <f t="shared" si="78"/>
        <v/>
      </c>
      <c r="U197" s="238" t="str">
        <f t="shared" si="79"/>
        <v/>
      </c>
      <c r="W197" s="238" t="e">
        <f t="shared" si="80"/>
        <v>#N/A</v>
      </c>
      <c r="X197" s="238" t="e">
        <f t="shared" si="81"/>
        <v>#N/A</v>
      </c>
      <c r="Y197" s="238" t="e">
        <f t="shared" si="82"/>
        <v>#N/A</v>
      </c>
      <c r="AA197" s="1133">
        <v>147.28068913401398</v>
      </c>
      <c r="AB197" s="1133">
        <v>178.35701123367366</v>
      </c>
      <c r="AC197" s="1133">
        <v>209.43333333333334</v>
      </c>
      <c r="AD197" s="89"/>
      <c r="AE197" s="89"/>
      <c r="AF197" s="89"/>
      <c r="AG197" s="89"/>
      <c r="AH197" s="89"/>
      <c r="AI197" s="89"/>
      <c r="AJ197" s="89"/>
      <c r="AK197" s="89"/>
      <c r="AL197" s="89"/>
      <c r="AM197" s="89"/>
      <c r="AN197" s="89"/>
      <c r="BR197" s="180">
        <v>2037</v>
      </c>
      <c r="BS197" s="22">
        <v>23</v>
      </c>
      <c r="BT197" s="181" t="e">
        <f t="shared" si="93"/>
        <v>#DIV/0!</v>
      </c>
      <c r="BU197" s="182" t="e">
        <f t="shared" si="94"/>
        <v>#DIV/0!</v>
      </c>
      <c r="BV197" s="205" t="e">
        <f t="shared" si="95"/>
        <v>#DIV/0!</v>
      </c>
      <c r="BY197" s="180">
        <v>2037</v>
      </c>
      <c r="BZ197" s="22">
        <v>23</v>
      </c>
      <c r="CA197" s="198" t="e">
        <f t="shared" ca="1" si="96"/>
        <v>#REF!</v>
      </c>
      <c r="CB197" s="198" t="e">
        <f t="shared" ca="1" si="97"/>
        <v>#REF!</v>
      </c>
      <c r="CC197" s="186" t="e">
        <f t="shared" ca="1" si="108"/>
        <v>#REF!</v>
      </c>
      <c r="CD197" s="205" t="e">
        <f t="shared" ca="1" si="98"/>
        <v>#REF!</v>
      </c>
      <c r="CG197" s="180">
        <v>2037</v>
      </c>
      <c r="CH197" s="22">
        <v>23</v>
      </c>
      <c r="CI197" s="198" t="e">
        <f t="shared" ca="1" si="99"/>
        <v>#REF!</v>
      </c>
      <c r="CJ197" s="198" t="e">
        <f t="shared" ca="1" si="100"/>
        <v>#REF!</v>
      </c>
      <c r="CK197" s="198" t="e">
        <f t="shared" ca="1" si="101"/>
        <v>#REF!</v>
      </c>
      <c r="CL197" s="186" t="e">
        <f t="shared" ca="1" si="102"/>
        <v>#REF!</v>
      </c>
      <c r="CM197" s="205" t="e">
        <f t="shared" ca="1" si="103"/>
        <v>#REF!</v>
      </c>
      <c r="CP197" s="180">
        <v>2037</v>
      </c>
      <c r="CQ197" s="22">
        <v>23</v>
      </c>
      <c r="CR197" s="198" t="e">
        <f t="shared" ca="1" si="104"/>
        <v>#REF!</v>
      </c>
      <c r="CS197" s="186" t="e">
        <f t="shared" ca="1" si="105"/>
        <v>#REF!</v>
      </c>
      <c r="CT197" s="205" t="e">
        <f t="shared" ca="1" si="106"/>
        <v>#REF!</v>
      </c>
      <c r="CZ197" s="164" t="b">
        <f t="shared" si="83"/>
        <v>0</v>
      </c>
      <c r="DA197" s="165" t="b">
        <f t="shared" si="83"/>
        <v>0</v>
      </c>
      <c r="DB197" s="166" t="b">
        <f t="shared" si="83"/>
        <v>0</v>
      </c>
      <c r="DC197" s="164" t="str">
        <f t="shared" si="84"/>
        <v/>
      </c>
      <c r="DD197" s="166" t="str">
        <f t="shared" si="85"/>
        <v/>
      </c>
      <c r="DE197" s="164" t="str">
        <f t="shared" si="86"/>
        <v/>
      </c>
      <c r="DF197" s="166" t="str">
        <f t="shared" si="87"/>
        <v/>
      </c>
      <c r="DG197" s="164" t="str">
        <f t="shared" si="88"/>
        <v/>
      </c>
      <c r="DH197" s="166" t="str">
        <f t="shared" si="89"/>
        <v/>
      </c>
      <c r="DI197" s="164" t="str">
        <f>IFERROR(INDEX(DC$170:DC$218,_xlfn.AGGREGATE(15,6,(ROW(DC$170:DC$218)-ROW(DC$170)+1)/(DC$170:DC$218&lt;&gt;""),ROWS(DI$1:DI28))),"")</f>
        <v/>
      </c>
      <c r="DJ197" s="165" t="str">
        <f>IFERROR(INDEX(DD$170:DD$218,_xlfn.AGGREGATE(15,6,(ROW(DD$170:DD$218)-ROW(DD$170)+1)/(DD$170:DD$218&lt;&gt;""),ROWS(DJ$1:DJ28))),"")</f>
        <v/>
      </c>
      <c r="DK197" s="166" t="str">
        <f t="shared" si="90"/>
        <v/>
      </c>
      <c r="DL197" s="164" t="str">
        <f>IFERROR(INDEX(DE$170:DE$218,_xlfn.AGGREGATE(15,6,(ROW(DE$170:DE$218)-ROW(DE$170)+1)/(DE$170:DE$218&lt;&gt;""),ROWS(DL$1:DL28))),"")</f>
        <v/>
      </c>
      <c r="DM197" s="165" t="str">
        <f>IFERROR(INDEX(DF$170:DF$218,_xlfn.AGGREGATE(15,6,(ROW(DF$170:DF$218)-ROW(DF$170)+1)/(DF$170:DF$218&lt;&gt;""),ROWS(DM$1:DM28))),"")</f>
        <v/>
      </c>
      <c r="DN197" s="166" t="str">
        <f t="shared" si="91"/>
        <v/>
      </c>
      <c r="DO197" s="164" t="str">
        <f>IFERROR(INDEX(DG$170:DG$218,_xlfn.AGGREGATE(15,6,(ROW(DG$170:DG$218)-ROW(DG$170)+1)/(DG$170:DG$218&lt;&gt;""),ROWS(DO$1:DO28))),"")</f>
        <v/>
      </c>
      <c r="DP197" s="165" t="str">
        <f>IFERROR(INDEX(DH$170:DH$218,_xlfn.AGGREGATE(15,6,(ROW(DH$170:DH$218)-ROW(DH$170)+1)/(DH$170:DH$218&lt;&gt;""),ROWS(DP$1:DP28))),"")</f>
        <v/>
      </c>
      <c r="DQ197" s="166" t="str">
        <f t="shared" si="92"/>
        <v/>
      </c>
      <c r="DV197" s="145">
        <v>2042</v>
      </c>
      <c r="DW197" s="235" t="e">
        <f t="shared" ca="1" si="76"/>
        <v>#REF!</v>
      </c>
    </row>
    <row r="198" spans="2:135" ht="13.8" x14ac:dyDescent="0.45">
      <c r="B198" s="128">
        <v>2040</v>
      </c>
      <c r="C198" s="953"/>
      <c r="D198" s="944"/>
      <c r="E198" s="945"/>
      <c r="F198" s="1039"/>
      <c r="G198" s="981"/>
      <c r="H198" s="1040"/>
      <c r="I198" s="1112"/>
      <c r="J198" s="247"/>
      <c r="K198" s="245"/>
      <c r="L198" s="246"/>
      <c r="M198" s="245"/>
      <c r="N198" s="29" t="s">
        <v>119</v>
      </c>
      <c r="O198" s="120"/>
      <c r="P198" s="120"/>
      <c r="Q198" s="120"/>
      <c r="R198" s="29">
        <v>26</v>
      </c>
      <c r="S198" s="238" t="str">
        <f t="shared" si="77"/>
        <v/>
      </c>
      <c r="T198" s="238" t="str">
        <f t="shared" si="78"/>
        <v/>
      </c>
      <c r="U198" s="238" t="str">
        <f t="shared" si="79"/>
        <v/>
      </c>
      <c r="W198" s="238" t="e">
        <f t="shared" si="80"/>
        <v>#N/A</v>
      </c>
      <c r="X198" s="238" t="e">
        <f t="shared" si="81"/>
        <v>#N/A</v>
      </c>
      <c r="Y198" s="238" t="e">
        <f t="shared" si="82"/>
        <v>#N/A</v>
      </c>
      <c r="AA198" s="1133">
        <v>147.27581308147904</v>
      </c>
      <c r="AB198" s="1133">
        <v>179.0045732074062</v>
      </c>
      <c r="AC198" s="1133">
        <v>210.73333333333335</v>
      </c>
      <c r="AD198" s="89"/>
      <c r="AE198" s="89"/>
      <c r="AF198" s="89"/>
      <c r="AG198" s="89"/>
      <c r="AH198" s="89"/>
      <c r="AI198" s="89"/>
      <c r="AJ198" s="89"/>
      <c r="AK198" s="89"/>
      <c r="AL198" s="89"/>
      <c r="AM198" s="89"/>
      <c r="AN198" s="89"/>
      <c r="BR198" s="180">
        <v>2038</v>
      </c>
      <c r="BS198" s="22">
        <v>24</v>
      </c>
      <c r="BT198" s="181" t="e">
        <f t="shared" si="93"/>
        <v>#DIV/0!</v>
      </c>
      <c r="BU198" s="182" t="e">
        <f t="shared" si="94"/>
        <v>#DIV/0!</v>
      </c>
      <c r="BV198" s="205" t="e">
        <f t="shared" si="95"/>
        <v>#DIV/0!</v>
      </c>
      <c r="BY198" s="180">
        <v>2038</v>
      </c>
      <c r="BZ198" s="22">
        <v>24</v>
      </c>
      <c r="CA198" s="198" t="e">
        <f t="shared" ca="1" si="96"/>
        <v>#REF!</v>
      </c>
      <c r="CB198" s="198" t="e">
        <f t="shared" ca="1" si="97"/>
        <v>#REF!</v>
      </c>
      <c r="CC198" s="186" t="e">
        <f t="shared" ca="1" si="108"/>
        <v>#REF!</v>
      </c>
      <c r="CD198" s="205" t="e">
        <f t="shared" ca="1" si="98"/>
        <v>#REF!</v>
      </c>
      <c r="CG198" s="180">
        <v>2038</v>
      </c>
      <c r="CH198" s="22">
        <v>24</v>
      </c>
      <c r="CI198" s="198" t="e">
        <f t="shared" ca="1" si="99"/>
        <v>#REF!</v>
      </c>
      <c r="CJ198" s="198" t="e">
        <f t="shared" ca="1" si="100"/>
        <v>#REF!</v>
      </c>
      <c r="CK198" s="198" t="e">
        <f t="shared" ca="1" si="101"/>
        <v>#REF!</v>
      </c>
      <c r="CL198" s="186" t="e">
        <f t="shared" ca="1" si="102"/>
        <v>#REF!</v>
      </c>
      <c r="CM198" s="205" t="e">
        <f t="shared" ca="1" si="103"/>
        <v>#REF!</v>
      </c>
      <c r="CP198" s="180">
        <v>2038</v>
      </c>
      <c r="CQ198" s="22">
        <v>24</v>
      </c>
      <c r="CR198" s="198" t="e">
        <f t="shared" ca="1" si="104"/>
        <v>#REF!</v>
      </c>
      <c r="CS198" s="186" t="e">
        <f t="shared" ca="1" si="105"/>
        <v>#REF!</v>
      </c>
      <c r="CT198" s="205" t="e">
        <f t="shared" ca="1" si="106"/>
        <v>#REF!</v>
      </c>
      <c r="CZ198" s="164" t="b">
        <f t="shared" si="83"/>
        <v>0</v>
      </c>
      <c r="DA198" s="165" t="b">
        <f t="shared" si="83"/>
        <v>0</v>
      </c>
      <c r="DB198" s="166" t="b">
        <f t="shared" si="83"/>
        <v>0</v>
      </c>
      <c r="DC198" s="164" t="str">
        <f t="shared" si="84"/>
        <v/>
      </c>
      <c r="DD198" s="166" t="str">
        <f t="shared" si="85"/>
        <v/>
      </c>
      <c r="DE198" s="164" t="str">
        <f t="shared" si="86"/>
        <v/>
      </c>
      <c r="DF198" s="166" t="str">
        <f t="shared" si="87"/>
        <v/>
      </c>
      <c r="DG198" s="164" t="str">
        <f t="shared" si="88"/>
        <v/>
      </c>
      <c r="DH198" s="166" t="str">
        <f t="shared" si="89"/>
        <v/>
      </c>
      <c r="DI198" s="164" t="str">
        <f>IFERROR(INDEX(DC$170:DC$218,_xlfn.AGGREGATE(15,6,(ROW(DC$170:DC$218)-ROW(DC$170)+1)/(DC$170:DC$218&lt;&gt;""),ROWS(DI$1:DI29))),"")</f>
        <v/>
      </c>
      <c r="DJ198" s="165" t="str">
        <f>IFERROR(INDEX(DD$170:DD$218,_xlfn.AGGREGATE(15,6,(ROW(DD$170:DD$218)-ROW(DD$170)+1)/(DD$170:DD$218&lt;&gt;""),ROWS(DJ$1:DJ29))),"")</f>
        <v/>
      </c>
      <c r="DK198" s="166" t="str">
        <f t="shared" si="90"/>
        <v/>
      </c>
      <c r="DL198" s="164" t="str">
        <f>IFERROR(INDEX(DE$170:DE$218,_xlfn.AGGREGATE(15,6,(ROW(DE$170:DE$218)-ROW(DE$170)+1)/(DE$170:DE$218&lt;&gt;""),ROWS(DL$1:DL29))),"")</f>
        <v/>
      </c>
      <c r="DM198" s="165" t="str">
        <f>IFERROR(INDEX(DF$170:DF$218,_xlfn.AGGREGATE(15,6,(ROW(DF$170:DF$218)-ROW(DF$170)+1)/(DF$170:DF$218&lt;&gt;""),ROWS(DM$1:DM29))),"")</f>
        <v/>
      </c>
      <c r="DN198" s="166" t="str">
        <f t="shared" si="91"/>
        <v/>
      </c>
      <c r="DO198" s="164" t="str">
        <f>IFERROR(INDEX(DG$170:DG$218,_xlfn.AGGREGATE(15,6,(ROW(DG$170:DG$218)-ROW(DG$170)+1)/(DG$170:DG$218&lt;&gt;""),ROWS(DO$1:DO29))),"")</f>
        <v/>
      </c>
      <c r="DP198" s="165" t="str">
        <f>IFERROR(INDEX(DH$170:DH$218,_xlfn.AGGREGATE(15,6,(ROW(DH$170:DH$218)-ROW(DH$170)+1)/(DH$170:DH$218&lt;&gt;""),ROWS(DP$1:DP29))),"")</f>
        <v/>
      </c>
      <c r="DQ198" s="166" t="str">
        <f t="shared" si="92"/>
        <v/>
      </c>
      <c r="DV198" s="145">
        <v>2043</v>
      </c>
      <c r="DW198" s="235" t="e">
        <f t="shared" ca="1" si="76"/>
        <v>#REF!</v>
      </c>
      <c r="EA198" s="55"/>
      <c r="EB198" s="55"/>
      <c r="EC198" s="55"/>
      <c r="ED198" s="55"/>
      <c r="EE198" s="55"/>
    </row>
    <row r="199" spans="2:135" ht="13.8" x14ac:dyDescent="0.45">
      <c r="B199" s="128">
        <v>2041</v>
      </c>
      <c r="C199" s="953"/>
      <c r="D199" s="944"/>
      <c r="E199" s="945"/>
      <c r="F199" s="1039"/>
      <c r="G199" s="981"/>
      <c r="H199" s="1040"/>
      <c r="I199" s="1112"/>
      <c r="J199" s="247"/>
      <c r="K199" s="245"/>
      <c r="L199" s="246"/>
      <c r="M199" s="245"/>
      <c r="N199" s="29" t="s">
        <v>119</v>
      </c>
      <c r="O199" s="120"/>
      <c r="P199" s="120"/>
      <c r="Q199" s="120"/>
      <c r="R199" s="29">
        <v>27</v>
      </c>
      <c r="S199" s="238" t="str">
        <f t="shared" si="77"/>
        <v/>
      </c>
      <c r="T199" s="238" t="str">
        <f t="shared" si="78"/>
        <v/>
      </c>
      <c r="U199" s="238" t="str">
        <f t="shared" si="79"/>
        <v/>
      </c>
      <c r="W199" s="238" t="e">
        <f t="shared" si="80"/>
        <v>#N/A</v>
      </c>
      <c r="X199" s="238" t="e">
        <f t="shared" si="81"/>
        <v>#N/A</v>
      </c>
      <c r="Y199" s="238" t="e">
        <f t="shared" si="82"/>
        <v>#N/A</v>
      </c>
      <c r="AA199" s="1133">
        <v>148.29200140159784</v>
      </c>
      <c r="AB199" s="1133">
        <v>180.16266736746564</v>
      </c>
      <c r="AC199" s="1133">
        <v>212.03333333333345</v>
      </c>
      <c r="AD199" s="89"/>
      <c r="AE199" s="89"/>
      <c r="AF199" s="89"/>
      <c r="AG199" s="89"/>
      <c r="AH199" s="89"/>
      <c r="AI199" s="89"/>
      <c r="AJ199" s="89"/>
      <c r="AK199" s="89"/>
      <c r="AL199" s="89"/>
      <c r="AM199" s="89"/>
      <c r="AN199" s="89"/>
      <c r="BR199" s="180">
        <v>2039</v>
      </c>
      <c r="BS199" s="22">
        <v>25</v>
      </c>
      <c r="BT199" s="181" t="e">
        <f t="shared" si="93"/>
        <v>#DIV/0!</v>
      </c>
      <c r="BU199" s="182" t="e">
        <f t="shared" si="94"/>
        <v>#DIV/0!</v>
      </c>
      <c r="BV199" s="205" t="e">
        <f t="shared" si="95"/>
        <v>#DIV/0!</v>
      </c>
      <c r="BY199" s="180">
        <v>2039</v>
      </c>
      <c r="BZ199" s="22">
        <v>25</v>
      </c>
      <c r="CA199" s="198" t="e">
        <f t="shared" ca="1" si="96"/>
        <v>#REF!</v>
      </c>
      <c r="CB199" s="198" t="e">
        <f t="shared" ca="1" si="97"/>
        <v>#REF!</v>
      </c>
      <c r="CC199" s="186" t="e">
        <f t="shared" ca="1" si="108"/>
        <v>#REF!</v>
      </c>
      <c r="CD199" s="205" t="e">
        <f t="shared" ca="1" si="98"/>
        <v>#REF!</v>
      </c>
      <c r="CG199" s="180">
        <v>2039</v>
      </c>
      <c r="CH199" s="22">
        <v>25</v>
      </c>
      <c r="CI199" s="198" t="e">
        <f t="shared" ca="1" si="99"/>
        <v>#REF!</v>
      </c>
      <c r="CJ199" s="198" t="e">
        <f t="shared" ca="1" si="100"/>
        <v>#REF!</v>
      </c>
      <c r="CK199" s="198" t="e">
        <f t="shared" ca="1" si="101"/>
        <v>#REF!</v>
      </c>
      <c r="CL199" s="186" t="e">
        <f t="shared" ca="1" si="102"/>
        <v>#REF!</v>
      </c>
      <c r="CM199" s="205" t="e">
        <f t="shared" ca="1" si="103"/>
        <v>#REF!</v>
      </c>
      <c r="CP199" s="180">
        <v>2039</v>
      </c>
      <c r="CQ199" s="22">
        <v>25</v>
      </c>
      <c r="CR199" s="198" t="e">
        <f t="shared" ca="1" si="104"/>
        <v>#REF!</v>
      </c>
      <c r="CS199" s="186" t="e">
        <f t="shared" ca="1" si="105"/>
        <v>#REF!</v>
      </c>
      <c r="CT199" s="205" t="e">
        <f t="shared" ca="1" si="106"/>
        <v>#REF!</v>
      </c>
      <c r="CZ199" s="164" t="b">
        <f t="shared" si="83"/>
        <v>0</v>
      </c>
      <c r="DA199" s="165" t="b">
        <f t="shared" si="83"/>
        <v>0</v>
      </c>
      <c r="DB199" s="166" t="b">
        <f t="shared" si="83"/>
        <v>0</v>
      </c>
      <c r="DC199" s="164" t="str">
        <f t="shared" si="84"/>
        <v/>
      </c>
      <c r="DD199" s="166" t="str">
        <f t="shared" si="85"/>
        <v/>
      </c>
      <c r="DE199" s="164" t="str">
        <f t="shared" si="86"/>
        <v/>
      </c>
      <c r="DF199" s="166" t="str">
        <f t="shared" si="87"/>
        <v/>
      </c>
      <c r="DG199" s="164" t="str">
        <f t="shared" si="88"/>
        <v/>
      </c>
      <c r="DH199" s="166" t="str">
        <f t="shared" si="89"/>
        <v/>
      </c>
      <c r="DI199" s="164" t="str">
        <f>IFERROR(INDEX(DC$170:DC$218,_xlfn.AGGREGATE(15,6,(ROW(DC$170:DC$218)-ROW(DC$170)+1)/(DC$170:DC$218&lt;&gt;""),ROWS(DI$1:DI30))),"")</f>
        <v/>
      </c>
      <c r="DJ199" s="165" t="str">
        <f>IFERROR(INDEX(DD$170:DD$218,_xlfn.AGGREGATE(15,6,(ROW(DD$170:DD$218)-ROW(DD$170)+1)/(DD$170:DD$218&lt;&gt;""),ROWS(DJ$1:DJ30))),"")</f>
        <v/>
      </c>
      <c r="DK199" s="166" t="str">
        <f t="shared" si="90"/>
        <v/>
      </c>
      <c r="DL199" s="164" t="str">
        <f>IFERROR(INDEX(DE$170:DE$218,_xlfn.AGGREGATE(15,6,(ROW(DE$170:DE$218)-ROW(DE$170)+1)/(DE$170:DE$218&lt;&gt;""),ROWS(DL$1:DL30))),"")</f>
        <v/>
      </c>
      <c r="DM199" s="165" t="str">
        <f>IFERROR(INDEX(DF$170:DF$218,_xlfn.AGGREGATE(15,6,(ROW(DF$170:DF$218)-ROW(DF$170)+1)/(DF$170:DF$218&lt;&gt;""),ROWS(DM$1:DM30))),"")</f>
        <v/>
      </c>
      <c r="DN199" s="166" t="str">
        <f t="shared" si="91"/>
        <v/>
      </c>
      <c r="DO199" s="164" t="str">
        <f>IFERROR(INDEX(DG$170:DG$218,_xlfn.AGGREGATE(15,6,(ROW(DG$170:DG$218)-ROW(DG$170)+1)/(DG$170:DG$218&lt;&gt;""),ROWS(DO$1:DO30))),"")</f>
        <v/>
      </c>
      <c r="DP199" s="165" t="str">
        <f>IFERROR(INDEX(DH$170:DH$218,_xlfn.AGGREGATE(15,6,(ROW(DH$170:DH$218)-ROW(DH$170)+1)/(DH$170:DH$218&lt;&gt;""),ROWS(DP$1:DP30))),"")</f>
        <v/>
      </c>
      <c r="DQ199" s="166" t="str">
        <f t="shared" si="92"/>
        <v/>
      </c>
      <c r="DV199" s="145">
        <v>2044</v>
      </c>
      <c r="DW199" s="235" t="e">
        <f t="shared" ca="1" si="76"/>
        <v>#REF!</v>
      </c>
      <c r="EA199" s="55"/>
      <c r="EB199" s="55"/>
      <c r="EC199" s="55"/>
      <c r="ED199" s="55"/>
      <c r="EE199" s="55"/>
    </row>
    <row r="200" spans="2:135" ht="13.8" x14ac:dyDescent="0.45">
      <c r="B200" s="128">
        <v>2042</v>
      </c>
      <c r="C200" s="953"/>
      <c r="D200" s="944"/>
      <c r="E200" s="945"/>
      <c r="F200" s="1039"/>
      <c r="G200" s="981"/>
      <c r="H200" s="1040"/>
      <c r="I200" s="1112"/>
      <c r="J200" s="247"/>
      <c r="K200" s="245"/>
      <c r="L200" s="246"/>
      <c r="M200" s="245"/>
      <c r="N200" s="29" t="s">
        <v>119</v>
      </c>
      <c r="O200" s="120"/>
      <c r="P200" s="120"/>
      <c r="Q200" s="120"/>
      <c r="R200" s="29">
        <v>28</v>
      </c>
      <c r="S200" s="238" t="str">
        <f t="shared" si="77"/>
        <v/>
      </c>
      <c r="T200" s="238" t="str">
        <f t="shared" si="78"/>
        <v/>
      </c>
      <c r="U200" s="238" t="str">
        <f t="shared" si="79"/>
        <v/>
      </c>
      <c r="W200" s="238" t="e">
        <f t="shared" si="80"/>
        <v>#N/A</v>
      </c>
      <c r="X200" s="238" t="e">
        <f t="shared" si="81"/>
        <v>#N/A</v>
      </c>
      <c r="Y200" s="238" t="e">
        <f t="shared" si="82"/>
        <v>#N/A</v>
      </c>
      <c r="AA200" s="1133">
        <v>148.66268103818447</v>
      </c>
      <c r="AB200" s="1133">
        <v>180.99800718575892</v>
      </c>
      <c r="AC200" s="1133">
        <v>213.33333333333337</v>
      </c>
      <c r="AD200" s="89"/>
      <c r="AE200" s="89"/>
      <c r="AF200" s="89"/>
      <c r="AG200" s="89"/>
      <c r="AH200" s="89"/>
      <c r="AI200" s="89"/>
      <c r="AJ200" s="89"/>
      <c r="AK200" s="89"/>
      <c r="AL200" s="89"/>
      <c r="AM200" s="89"/>
      <c r="AN200" s="89"/>
      <c r="BR200" s="180">
        <v>2040</v>
      </c>
      <c r="BS200" s="22">
        <v>26</v>
      </c>
      <c r="BT200" s="181" t="e">
        <f t="shared" si="93"/>
        <v>#DIV/0!</v>
      </c>
      <c r="BU200" s="182" t="e">
        <f t="shared" si="94"/>
        <v>#DIV/0!</v>
      </c>
      <c r="BV200" s="205" t="e">
        <f t="shared" si="95"/>
        <v>#DIV/0!</v>
      </c>
      <c r="BY200" s="180">
        <v>2040</v>
      </c>
      <c r="BZ200" s="22">
        <v>26</v>
      </c>
      <c r="CA200" s="198" t="e">
        <f t="shared" ca="1" si="96"/>
        <v>#REF!</v>
      </c>
      <c r="CB200" s="198" t="e">
        <f t="shared" ca="1" si="97"/>
        <v>#REF!</v>
      </c>
      <c r="CC200" s="186" t="e">
        <f t="shared" ca="1" si="108"/>
        <v>#REF!</v>
      </c>
      <c r="CD200" s="205" t="e">
        <f t="shared" ca="1" si="98"/>
        <v>#REF!</v>
      </c>
      <c r="CG200" s="180">
        <v>2040</v>
      </c>
      <c r="CH200" s="22">
        <v>26</v>
      </c>
      <c r="CI200" s="198" t="e">
        <f t="shared" ca="1" si="99"/>
        <v>#REF!</v>
      </c>
      <c r="CJ200" s="198" t="e">
        <f t="shared" ca="1" si="100"/>
        <v>#REF!</v>
      </c>
      <c r="CK200" s="198" t="e">
        <f t="shared" ca="1" si="101"/>
        <v>#REF!</v>
      </c>
      <c r="CL200" s="186" t="e">
        <f t="shared" ca="1" si="102"/>
        <v>#REF!</v>
      </c>
      <c r="CM200" s="205" t="e">
        <f t="shared" ca="1" si="103"/>
        <v>#REF!</v>
      </c>
      <c r="CP200" s="180">
        <v>2040</v>
      </c>
      <c r="CQ200" s="22">
        <v>26</v>
      </c>
      <c r="CR200" s="198" t="e">
        <f t="shared" ca="1" si="104"/>
        <v>#REF!</v>
      </c>
      <c r="CS200" s="186" t="e">
        <f t="shared" ca="1" si="105"/>
        <v>#REF!</v>
      </c>
      <c r="CT200" s="205" t="e">
        <f t="shared" ca="1" si="106"/>
        <v>#REF!</v>
      </c>
      <c r="CZ200" s="164" t="b">
        <f t="shared" si="83"/>
        <v>0</v>
      </c>
      <c r="DA200" s="165" t="b">
        <f t="shared" si="83"/>
        <v>0</v>
      </c>
      <c r="DB200" s="166" t="b">
        <f t="shared" si="83"/>
        <v>0</v>
      </c>
      <c r="DC200" s="164" t="str">
        <f t="shared" si="84"/>
        <v/>
      </c>
      <c r="DD200" s="166" t="str">
        <f t="shared" si="85"/>
        <v/>
      </c>
      <c r="DE200" s="164" t="str">
        <f t="shared" si="86"/>
        <v/>
      </c>
      <c r="DF200" s="166" t="str">
        <f t="shared" si="87"/>
        <v/>
      </c>
      <c r="DG200" s="164" t="str">
        <f t="shared" si="88"/>
        <v/>
      </c>
      <c r="DH200" s="166" t="str">
        <f t="shared" si="89"/>
        <v/>
      </c>
      <c r="DI200" s="164" t="str">
        <f>IFERROR(INDEX(DC$170:DC$218,_xlfn.AGGREGATE(15,6,(ROW(DC$170:DC$218)-ROW(DC$170)+1)/(DC$170:DC$218&lt;&gt;""),ROWS(DI$1:DI31))),"")</f>
        <v/>
      </c>
      <c r="DJ200" s="165" t="str">
        <f>IFERROR(INDEX(DD$170:DD$218,_xlfn.AGGREGATE(15,6,(ROW(DD$170:DD$218)-ROW(DD$170)+1)/(DD$170:DD$218&lt;&gt;""),ROWS(DJ$1:DJ31))),"")</f>
        <v/>
      </c>
      <c r="DK200" s="166" t="str">
        <f t="shared" si="90"/>
        <v/>
      </c>
      <c r="DL200" s="164" t="str">
        <f>IFERROR(INDEX(DE$170:DE$218,_xlfn.AGGREGATE(15,6,(ROW(DE$170:DE$218)-ROW(DE$170)+1)/(DE$170:DE$218&lt;&gt;""),ROWS(DL$1:DL31))),"")</f>
        <v/>
      </c>
      <c r="DM200" s="165" t="str">
        <f>IFERROR(INDEX(DF$170:DF$218,_xlfn.AGGREGATE(15,6,(ROW(DF$170:DF$218)-ROW(DF$170)+1)/(DF$170:DF$218&lt;&gt;""),ROWS(DM$1:DM31))),"")</f>
        <v/>
      </c>
      <c r="DN200" s="166" t="str">
        <f t="shared" si="91"/>
        <v/>
      </c>
      <c r="DO200" s="164" t="str">
        <f>IFERROR(INDEX(DG$170:DG$218,_xlfn.AGGREGATE(15,6,(ROW(DG$170:DG$218)-ROW(DG$170)+1)/(DG$170:DG$218&lt;&gt;""),ROWS(DO$1:DO31))),"")</f>
        <v/>
      </c>
      <c r="DP200" s="165" t="str">
        <f>IFERROR(INDEX(DH$170:DH$218,_xlfn.AGGREGATE(15,6,(ROW(DH$170:DH$218)-ROW(DH$170)+1)/(DH$170:DH$218&lt;&gt;""),ROWS(DP$1:DP31))),"")</f>
        <v/>
      </c>
      <c r="DQ200" s="166" t="str">
        <f t="shared" si="92"/>
        <v/>
      </c>
      <c r="DV200" s="145">
        <v>2045</v>
      </c>
      <c r="DW200" s="235" t="e">
        <f t="shared" ca="1" si="76"/>
        <v>#REF!</v>
      </c>
      <c r="EA200" s="55"/>
      <c r="EB200" s="55"/>
      <c r="EC200" s="55"/>
      <c r="ED200" s="55"/>
      <c r="EE200" s="55"/>
    </row>
    <row r="201" spans="2:135" ht="13.8" x14ac:dyDescent="0.45">
      <c r="B201" s="128">
        <v>2043</v>
      </c>
      <c r="C201" s="953"/>
      <c r="D201" s="944"/>
      <c r="E201" s="945"/>
      <c r="F201" s="1039"/>
      <c r="G201" s="981"/>
      <c r="H201" s="1040"/>
      <c r="I201" s="1112"/>
      <c r="J201" s="247"/>
      <c r="K201" s="245"/>
      <c r="L201" s="246"/>
      <c r="M201" s="245"/>
      <c r="N201" s="29" t="s">
        <v>119</v>
      </c>
      <c r="O201" s="120"/>
      <c r="P201" s="120"/>
      <c r="Q201" s="120"/>
      <c r="R201" s="29">
        <v>29</v>
      </c>
      <c r="S201" s="238" t="str">
        <f t="shared" si="77"/>
        <v/>
      </c>
      <c r="T201" s="238" t="str">
        <f t="shared" si="78"/>
        <v/>
      </c>
      <c r="U201" s="238" t="str">
        <f t="shared" si="79"/>
        <v/>
      </c>
      <c r="W201" s="238" t="e">
        <f t="shared" si="80"/>
        <v>#N/A</v>
      </c>
      <c r="X201" s="238" t="e">
        <f t="shared" si="81"/>
        <v>#N/A</v>
      </c>
      <c r="Y201" s="238" t="e">
        <f t="shared" si="82"/>
        <v>#N/A</v>
      </c>
      <c r="AA201" s="1133">
        <v>149.02438250815575</v>
      </c>
      <c r="AB201" s="1133">
        <v>181.82885792074455</v>
      </c>
      <c r="AC201" s="1133">
        <v>214.63333333333335</v>
      </c>
      <c r="AD201" s="89"/>
      <c r="AE201" s="89"/>
      <c r="AF201" s="89"/>
      <c r="AG201" s="89"/>
      <c r="AH201" s="89"/>
      <c r="AI201" s="89"/>
      <c r="AJ201" s="89"/>
      <c r="AK201" s="89"/>
      <c r="AL201" s="89"/>
      <c r="AM201" s="89"/>
      <c r="AN201" s="89"/>
      <c r="BR201" s="180">
        <v>2041</v>
      </c>
      <c r="BS201" s="22">
        <v>27</v>
      </c>
      <c r="BT201" s="181" t="e">
        <f t="shared" si="93"/>
        <v>#DIV/0!</v>
      </c>
      <c r="BU201" s="182" t="e">
        <f t="shared" si="94"/>
        <v>#DIV/0!</v>
      </c>
      <c r="BV201" s="205" t="e">
        <f t="shared" si="95"/>
        <v>#DIV/0!</v>
      </c>
      <c r="BY201" s="180">
        <v>2041</v>
      </c>
      <c r="BZ201" s="22">
        <v>27</v>
      </c>
      <c r="CA201" s="198" t="e">
        <f t="shared" ca="1" si="96"/>
        <v>#REF!</v>
      </c>
      <c r="CB201" s="198" t="e">
        <f t="shared" ca="1" si="97"/>
        <v>#REF!</v>
      </c>
      <c r="CC201" s="186" t="e">
        <f t="shared" ca="1" si="108"/>
        <v>#REF!</v>
      </c>
      <c r="CD201" s="205" t="e">
        <f t="shared" ca="1" si="98"/>
        <v>#REF!</v>
      </c>
      <c r="CG201" s="180">
        <v>2041</v>
      </c>
      <c r="CH201" s="22">
        <v>27</v>
      </c>
      <c r="CI201" s="198" t="e">
        <f t="shared" ca="1" si="99"/>
        <v>#REF!</v>
      </c>
      <c r="CJ201" s="198" t="e">
        <f t="shared" ca="1" si="100"/>
        <v>#REF!</v>
      </c>
      <c r="CK201" s="198" t="e">
        <f t="shared" ca="1" si="101"/>
        <v>#REF!</v>
      </c>
      <c r="CL201" s="186" t="e">
        <f t="shared" ca="1" si="102"/>
        <v>#REF!</v>
      </c>
      <c r="CM201" s="205" t="e">
        <f t="shared" ca="1" si="103"/>
        <v>#REF!</v>
      </c>
      <c r="CP201" s="180">
        <v>2041</v>
      </c>
      <c r="CQ201" s="22">
        <v>27</v>
      </c>
      <c r="CR201" s="198" t="e">
        <f t="shared" ca="1" si="104"/>
        <v>#REF!</v>
      </c>
      <c r="CS201" s="186" t="e">
        <f t="shared" ca="1" si="105"/>
        <v>#REF!</v>
      </c>
      <c r="CT201" s="205" t="e">
        <f t="shared" ca="1" si="106"/>
        <v>#REF!</v>
      </c>
      <c r="CZ201" s="164" t="b">
        <f t="shared" si="83"/>
        <v>0</v>
      </c>
      <c r="DA201" s="165" t="b">
        <f t="shared" si="83"/>
        <v>0</v>
      </c>
      <c r="DB201" s="166" t="b">
        <f t="shared" si="83"/>
        <v>0</v>
      </c>
      <c r="DC201" s="164" t="str">
        <f t="shared" si="84"/>
        <v/>
      </c>
      <c r="DD201" s="166" t="str">
        <f t="shared" si="85"/>
        <v/>
      </c>
      <c r="DE201" s="164" t="str">
        <f t="shared" si="86"/>
        <v/>
      </c>
      <c r="DF201" s="166" t="str">
        <f t="shared" si="87"/>
        <v/>
      </c>
      <c r="DG201" s="164" t="str">
        <f t="shared" si="88"/>
        <v/>
      </c>
      <c r="DH201" s="166" t="str">
        <f t="shared" si="89"/>
        <v/>
      </c>
      <c r="DI201" s="164" t="str">
        <f>IFERROR(INDEX(DC$170:DC$218,_xlfn.AGGREGATE(15,6,(ROW(DC$170:DC$218)-ROW(DC$170)+1)/(DC$170:DC$218&lt;&gt;""),ROWS(DI$1:DI32))),"")</f>
        <v/>
      </c>
      <c r="DJ201" s="165" t="str">
        <f>IFERROR(INDEX(DD$170:DD$218,_xlfn.AGGREGATE(15,6,(ROW(DD$170:DD$218)-ROW(DD$170)+1)/(DD$170:DD$218&lt;&gt;""),ROWS(DJ$1:DJ32))),"")</f>
        <v/>
      </c>
      <c r="DK201" s="166" t="str">
        <f t="shared" si="90"/>
        <v/>
      </c>
      <c r="DL201" s="164" t="str">
        <f>IFERROR(INDEX(DE$170:DE$218,_xlfn.AGGREGATE(15,6,(ROW(DE$170:DE$218)-ROW(DE$170)+1)/(DE$170:DE$218&lt;&gt;""),ROWS(DL$1:DL32))),"")</f>
        <v/>
      </c>
      <c r="DM201" s="165" t="str">
        <f>IFERROR(INDEX(DF$170:DF$218,_xlfn.AGGREGATE(15,6,(ROW(DF$170:DF$218)-ROW(DF$170)+1)/(DF$170:DF$218&lt;&gt;""),ROWS(DM$1:DM32))),"")</f>
        <v/>
      </c>
      <c r="DN201" s="166" t="str">
        <f t="shared" si="91"/>
        <v/>
      </c>
      <c r="DO201" s="164" t="str">
        <f>IFERROR(INDEX(DG$170:DG$218,_xlfn.AGGREGATE(15,6,(ROW(DG$170:DG$218)-ROW(DG$170)+1)/(DG$170:DG$218&lt;&gt;""),ROWS(DO$1:DO32))),"")</f>
        <v/>
      </c>
      <c r="DP201" s="165" t="str">
        <f>IFERROR(INDEX(DH$170:DH$218,_xlfn.AGGREGATE(15,6,(ROW(DH$170:DH$218)-ROW(DH$170)+1)/(DH$170:DH$218&lt;&gt;""),ROWS(DP$1:DP32))),"")</f>
        <v/>
      </c>
      <c r="DQ201" s="166" t="str">
        <f t="shared" si="92"/>
        <v/>
      </c>
      <c r="DV201" s="145">
        <v>2046</v>
      </c>
      <c r="DW201" s="235" t="e">
        <f t="shared" ca="1" si="76"/>
        <v>#REF!</v>
      </c>
      <c r="EA201" s="55"/>
      <c r="EB201" s="55"/>
      <c r="EC201" s="55"/>
      <c r="ED201" s="55"/>
      <c r="EE201" s="55"/>
    </row>
    <row r="202" spans="2:135" ht="13.8" x14ac:dyDescent="0.45">
      <c r="B202" s="128">
        <v>2044</v>
      </c>
      <c r="C202" s="953"/>
      <c r="D202" s="944"/>
      <c r="E202" s="945"/>
      <c r="F202" s="1039"/>
      <c r="G202" s="981"/>
      <c r="H202" s="1040"/>
      <c r="I202" s="1112"/>
      <c r="J202" s="247"/>
      <c r="K202" s="245"/>
      <c r="L202" s="246"/>
      <c r="M202" s="245"/>
      <c r="N202" s="29" t="s">
        <v>119</v>
      </c>
      <c r="O202" s="120"/>
      <c r="P202" s="120"/>
      <c r="Q202" s="120"/>
      <c r="R202" s="29">
        <v>30</v>
      </c>
      <c r="S202" s="238" t="str">
        <f t="shared" ref="S202:S218" si="110">IF(MIN(C202:Q202)=0,"",MIN(C202:Q202))</f>
        <v/>
      </c>
      <c r="T202" s="238" t="str">
        <f t="shared" ref="T202:T218" si="111">IF(MAX(C202:Q202)=0,"",MAX(C202:Q202))</f>
        <v/>
      </c>
      <c r="U202" s="238" t="str">
        <f t="shared" ref="U202:U218" si="112">IF(T202="","",_xlfn.STDEV.P(C202:Q202))</f>
        <v/>
      </c>
      <c r="W202" s="238" t="e">
        <f t="shared" si="80"/>
        <v>#N/A</v>
      </c>
      <c r="X202" s="238" t="e">
        <f t="shared" ref="X202:X218" si="113">IF(U202="",#N/A,(SUM(C202:Q202)/COUNTIFS(C202:Q202,"&gt;0")))</f>
        <v>#N/A</v>
      </c>
      <c r="Y202" s="238" t="e">
        <f t="shared" si="82"/>
        <v>#N/A</v>
      </c>
      <c r="AA202" s="1133">
        <v>149.38074341907662</v>
      </c>
      <c r="AB202" s="1133">
        <v>182.65703837620498</v>
      </c>
      <c r="AC202" s="1133">
        <v>215.93333333333334</v>
      </c>
      <c r="AD202" s="89"/>
      <c r="AE202" s="89"/>
      <c r="AF202" s="89"/>
      <c r="AG202" s="89"/>
      <c r="AH202" s="89"/>
      <c r="AI202" s="89"/>
      <c r="AJ202" s="89"/>
      <c r="AK202" s="89"/>
      <c r="AL202" s="89"/>
      <c r="AM202" s="89"/>
      <c r="AN202" s="89"/>
      <c r="BR202" s="180">
        <v>2042</v>
      </c>
      <c r="BS202" s="22">
        <v>28</v>
      </c>
      <c r="BT202" s="181" t="e">
        <f t="shared" si="93"/>
        <v>#DIV/0!</v>
      </c>
      <c r="BU202" s="182" t="e">
        <f t="shared" si="94"/>
        <v>#DIV/0!</v>
      </c>
      <c r="BV202" s="205" t="e">
        <f t="shared" si="95"/>
        <v>#DIV/0!</v>
      </c>
      <c r="BY202" s="180">
        <v>2042</v>
      </c>
      <c r="BZ202" s="22">
        <v>28</v>
      </c>
      <c r="CA202" s="198" t="e">
        <f t="shared" ca="1" si="96"/>
        <v>#REF!</v>
      </c>
      <c r="CB202" s="198" t="e">
        <f t="shared" ca="1" si="97"/>
        <v>#REF!</v>
      </c>
      <c r="CC202" s="186" t="e">
        <f t="shared" ca="1" si="108"/>
        <v>#REF!</v>
      </c>
      <c r="CD202" s="205" t="e">
        <f t="shared" ca="1" si="98"/>
        <v>#REF!</v>
      </c>
      <c r="CG202" s="180">
        <v>2042</v>
      </c>
      <c r="CH202" s="22">
        <v>28</v>
      </c>
      <c r="CI202" s="198" t="e">
        <f t="shared" ca="1" si="99"/>
        <v>#REF!</v>
      </c>
      <c r="CJ202" s="198" t="e">
        <f t="shared" ca="1" si="100"/>
        <v>#REF!</v>
      </c>
      <c r="CK202" s="198" t="e">
        <f t="shared" ca="1" si="101"/>
        <v>#REF!</v>
      </c>
      <c r="CL202" s="186" t="e">
        <f t="shared" ca="1" si="102"/>
        <v>#REF!</v>
      </c>
      <c r="CM202" s="205" t="e">
        <f t="shared" ca="1" si="103"/>
        <v>#REF!</v>
      </c>
      <c r="CP202" s="180">
        <v>2042</v>
      </c>
      <c r="CQ202" s="22">
        <v>28</v>
      </c>
      <c r="CR202" s="198" t="e">
        <f t="shared" ca="1" si="104"/>
        <v>#REF!</v>
      </c>
      <c r="CS202" s="186" t="e">
        <f t="shared" ca="1" si="105"/>
        <v>#REF!</v>
      </c>
      <c r="CT202" s="205" t="e">
        <f t="shared" ca="1" si="106"/>
        <v>#REF!</v>
      </c>
      <c r="CZ202" s="164" t="b">
        <f t="shared" si="83"/>
        <v>0</v>
      </c>
      <c r="DA202" s="165" t="b">
        <f t="shared" si="83"/>
        <v>0</v>
      </c>
      <c r="DB202" s="166" t="b">
        <f t="shared" si="83"/>
        <v>0</v>
      </c>
      <c r="DC202" s="164" t="str">
        <f t="shared" si="84"/>
        <v/>
      </c>
      <c r="DD202" s="166" t="str">
        <f t="shared" si="85"/>
        <v/>
      </c>
      <c r="DE202" s="164" t="str">
        <f t="shared" si="86"/>
        <v/>
      </c>
      <c r="DF202" s="166" t="str">
        <f t="shared" si="87"/>
        <v/>
      </c>
      <c r="DG202" s="164" t="str">
        <f t="shared" si="88"/>
        <v/>
      </c>
      <c r="DH202" s="166" t="str">
        <f t="shared" si="89"/>
        <v/>
      </c>
      <c r="DI202" s="164" t="str">
        <f>IFERROR(INDEX(DC$170:DC$218,_xlfn.AGGREGATE(15,6,(ROW(DC$170:DC$218)-ROW(DC$170)+1)/(DC$170:DC$218&lt;&gt;""),ROWS(DI$1:DI33))),"")</f>
        <v/>
      </c>
      <c r="DJ202" s="165" t="str">
        <f>IFERROR(INDEX(DD$170:DD$218,_xlfn.AGGREGATE(15,6,(ROW(DD$170:DD$218)-ROW(DD$170)+1)/(DD$170:DD$218&lt;&gt;""),ROWS(DJ$1:DJ33))),"")</f>
        <v/>
      </c>
      <c r="DK202" s="166" t="str">
        <f t="shared" si="90"/>
        <v/>
      </c>
      <c r="DL202" s="164" t="str">
        <f>IFERROR(INDEX(DE$170:DE$218,_xlfn.AGGREGATE(15,6,(ROW(DE$170:DE$218)-ROW(DE$170)+1)/(DE$170:DE$218&lt;&gt;""),ROWS(DL$1:DL33))),"")</f>
        <v/>
      </c>
      <c r="DM202" s="165" t="str">
        <f>IFERROR(INDEX(DF$170:DF$218,_xlfn.AGGREGATE(15,6,(ROW(DF$170:DF$218)-ROW(DF$170)+1)/(DF$170:DF$218&lt;&gt;""),ROWS(DM$1:DM33))),"")</f>
        <v/>
      </c>
      <c r="DN202" s="166" t="str">
        <f t="shared" si="91"/>
        <v/>
      </c>
      <c r="DO202" s="164" t="str">
        <f>IFERROR(INDEX(DG$170:DG$218,_xlfn.AGGREGATE(15,6,(ROW(DG$170:DG$218)-ROW(DG$170)+1)/(DG$170:DG$218&lt;&gt;""),ROWS(DO$1:DO33))),"")</f>
        <v/>
      </c>
      <c r="DP202" s="165" t="str">
        <f>IFERROR(INDEX(DH$170:DH$218,_xlfn.AGGREGATE(15,6,(ROW(DH$170:DH$218)-ROW(DH$170)+1)/(DH$170:DH$218&lt;&gt;""),ROWS(DP$1:DP33))),"")</f>
        <v/>
      </c>
      <c r="DQ202" s="166" t="str">
        <f t="shared" si="92"/>
        <v/>
      </c>
      <c r="DV202" s="145">
        <v>2047</v>
      </c>
      <c r="DW202" s="235" t="e">
        <f t="shared" ca="1" si="76"/>
        <v>#REF!</v>
      </c>
      <c r="EA202" s="55"/>
      <c r="EB202" s="55"/>
      <c r="EC202" s="55"/>
      <c r="ED202" s="55"/>
      <c r="EE202" s="55"/>
    </row>
    <row r="203" spans="2:135" ht="13.8" x14ac:dyDescent="0.45">
      <c r="B203" s="128">
        <v>2045</v>
      </c>
      <c r="C203" s="953"/>
      <c r="D203" s="944"/>
      <c r="E203" s="945"/>
      <c r="F203" s="1039"/>
      <c r="G203" s="981"/>
      <c r="H203" s="1040"/>
      <c r="I203" s="1112"/>
      <c r="J203" s="247"/>
      <c r="K203" s="245"/>
      <c r="L203" s="246"/>
      <c r="M203" s="245"/>
      <c r="N203" s="29" t="s">
        <v>119</v>
      </c>
      <c r="O203" s="120"/>
      <c r="P203" s="120"/>
      <c r="Q203" s="120"/>
      <c r="R203" s="29">
        <v>31</v>
      </c>
      <c r="S203" s="238" t="str">
        <f t="shared" si="110"/>
        <v/>
      </c>
      <c r="T203" s="238" t="str">
        <f t="shared" si="111"/>
        <v/>
      </c>
      <c r="U203" s="238" t="str">
        <f t="shared" si="112"/>
        <v/>
      </c>
      <c r="W203" s="238" t="e">
        <f t="shared" si="80"/>
        <v>#N/A</v>
      </c>
      <c r="X203" s="238" t="e">
        <f t="shared" si="113"/>
        <v>#N/A</v>
      </c>
      <c r="Y203" s="238" t="e">
        <f t="shared" si="82"/>
        <v>#N/A</v>
      </c>
      <c r="AA203" s="1133">
        <v>149.58005204806551</v>
      </c>
      <c r="AB203" s="1133">
        <v>183.4066926906994</v>
      </c>
      <c r="AC203" s="1133">
        <v>217.23333333333329</v>
      </c>
      <c r="AD203" s="89"/>
      <c r="AE203" s="89"/>
      <c r="AF203" s="89"/>
      <c r="AG203" s="89"/>
      <c r="AH203" s="89"/>
      <c r="AI203" s="89"/>
      <c r="AJ203" s="89"/>
      <c r="AK203" s="89"/>
      <c r="AL203" s="89"/>
      <c r="AM203" s="89"/>
      <c r="AN203" s="89"/>
      <c r="BR203" s="180">
        <v>2043</v>
      </c>
      <c r="BS203" s="22">
        <v>29</v>
      </c>
      <c r="BT203" s="181" t="e">
        <f t="shared" si="93"/>
        <v>#DIV/0!</v>
      </c>
      <c r="BU203" s="182" t="e">
        <f t="shared" si="94"/>
        <v>#DIV/0!</v>
      </c>
      <c r="BV203" s="205" t="e">
        <f t="shared" si="95"/>
        <v>#DIV/0!</v>
      </c>
      <c r="BY203" s="180">
        <v>2043</v>
      </c>
      <c r="BZ203" s="22">
        <v>29</v>
      </c>
      <c r="CA203" s="198" t="e">
        <f t="shared" ca="1" si="96"/>
        <v>#REF!</v>
      </c>
      <c r="CB203" s="198" t="e">
        <f t="shared" ca="1" si="97"/>
        <v>#REF!</v>
      </c>
      <c r="CC203" s="186" t="e">
        <f t="shared" ca="1" si="108"/>
        <v>#REF!</v>
      </c>
      <c r="CD203" s="205" t="e">
        <f t="shared" ca="1" si="98"/>
        <v>#REF!</v>
      </c>
      <c r="CG203" s="180">
        <v>2043</v>
      </c>
      <c r="CH203" s="22">
        <v>29</v>
      </c>
      <c r="CI203" s="198" t="e">
        <f t="shared" ca="1" si="99"/>
        <v>#REF!</v>
      </c>
      <c r="CJ203" s="198" t="e">
        <f t="shared" ca="1" si="100"/>
        <v>#REF!</v>
      </c>
      <c r="CK203" s="198" t="e">
        <f t="shared" ca="1" si="101"/>
        <v>#REF!</v>
      </c>
      <c r="CL203" s="186" t="e">
        <f t="shared" ca="1" si="102"/>
        <v>#REF!</v>
      </c>
      <c r="CM203" s="205" t="e">
        <f t="shared" ca="1" si="103"/>
        <v>#REF!</v>
      </c>
      <c r="CP203" s="180">
        <v>2043</v>
      </c>
      <c r="CQ203" s="22">
        <v>29</v>
      </c>
      <c r="CR203" s="198" t="e">
        <f t="shared" ca="1" si="104"/>
        <v>#REF!</v>
      </c>
      <c r="CS203" s="186" t="e">
        <f t="shared" ca="1" si="105"/>
        <v>#REF!</v>
      </c>
      <c r="CT203" s="205" t="e">
        <f t="shared" ca="1" si="106"/>
        <v>#REF!</v>
      </c>
      <c r="CZ203" s="164" t="b">
        <f t="shared" si="83"/>
        <v>0</v>
      </c>
      <c r="DA203" s="165" t="b">
        <f t="shared" si="83"/>
        <v>0</v>
      </c>
      <c r="DB203" s="166" t="b">
        <f t="shared" si="83"/>
        <v>0</v>
      </c>
      <c r="DC203" s="164" t="str">
        <f t="shared" si="84"/>
        <v/>
      </c>
      <c r="DD203" s="166" t="str">
        <f t="shared" si="85"/>
        <v/>
      </c>
      <c r="DE203" s="164" t="str">
        <f t="shared" si="86"/>
        <v/>
      </c>
      <c r="DF203" s="166" t="str">
        <f t="shared" si="87"/>
        <v/>
      </c>
      <c r="DG203" s="164" t="str">
        <f t="shared" si="88"/>
        <v/>
      </c>
      <c r="DH203" s="166" t="str">
        <f t="shared" si="89"/>
        <v/>
      </c>
      <c r="DI203" s="164" t="str">
        <f>IFERROR(INDEX(DC$170:DC$218,_xlfn.AGGREGATE(15,6,(ROW(DC$170:DC$218)-ROW(DC$170)+1)/(DC$170:DC$218&lt;&gt;""),ROWS(DI$1:DI34))),"")</f>
        <v/>
      </c>
      <c r="DJ203" s="165" t="str">
        <f>IFERROR(INDEX(DD$170:DD$218,_xlfn.AGGREGATE(15,6,(ROW(DD$170:DD$218)-ROW(DD$170)+1)/(DD$170:DD$218&lt;&gt;""),ROWS(DJ$1:DJ34))),"")</f>
        <v/>
      </c>
      <c r="DK203" s="166" t="str">
        <f t="shared" si="90"/>
        <v/>
      </c>
      <c r="DL203" s="164" t="str">
        <f>IFERROR(INDEX(DE$170:DE$218,_xlfn.AGGREGATE(15,6,(ROW(DE$170:DE$218)-ROW(DE$170)+1)/(DE$170:DE$218&lt;&gt;""),ROWS(DL$1:DL34))),"")</f>
        <v/>
      </c>
      <c r="DM203" s="165" t="str">
        <f>IFERROR(INDEX(DF$170:DF$218,_xlfn.AGGREGATE(15,6,(ROW(DF$170:DF$218)-ROW(DF$170)+1)/(DF$170:DF$218&lt;&gt;""),ROWS(DM$1:DM34))),"")</f>
        <v/>
      </c>
      <c r="DN203" s="166" t="str">
        <f t="shared" si="91"/>
        <v/>
      </c>
      <c r="DO203" s="164" t="str">
        <f>IFERROR(INDEX(DG$170:DG$218,_xlfn.AGGREGATE(15,6,(ROW(DG$170:DG$218)-ROW(DG$170)+1)/(DG$170:DG$218&lt;&gt;""),ROWS(DO$1:DO34))),"")</f>
        <v/>
      </c>
      <c r="DP203" s="165" t="str">
        <f>IFERROR(INDEX(DH$170:DH$218,_xlfn.AGGREGATE(15,6,(ROW(DH$170:DH$218)-ROW(DH$170)+1)/(DH$170:DH$218&lt;&gt;""),ROWS(DP$1:DP34))),"")</f>
        <v/>
      </c>
      <c r="DQ203" s="166" t="str">
        <f t="shared" si="92"/>
        <v/>
      </c>
      <c r="DV203" s="145">
        <v>2048</v>
      </c>
      <c r="DW203" s="235" t="e">
        <f t="shared" ca="1" si="76"/>
        <v>#REF!</v>
      </c>
      <c r="EA203" s="55"/>
      <c r="EB203" s="55"/>
      <c r="EC203" s="55"/>
      <c r="ED203" s="55"/>
      <c r="EE203" s="55"/>
    </row>
    <row r="204" spans="2:135" ht="13.8" x14ac:dyDescent="0.45">
      <c r="B204" s="128">
        <v>2046</v>
      </c>
      <c r="C204" s="953"/>
      <c r="D204" s="944"/>
      <c r="E204" s="945"/>
      <c r="F204" s="1039"/>
      <c r="G204" s="981"/>
      <c r="H204" s="1040"/>
      <c r="I204" s="1112"/>
      <c r="J204" s="247"/>
      <c r="K204" s="245"/>
      <c r="L204" s="246"/>
      <c r="M204" s="245"/>
      <c r="N204" s="29" t="s">
        <v>119</v>
      </c>
      <c r="O204" s="120"/>
      <c r="P204" s="120"/>
      <c r="Q204" s="120"/>
      <c r="R204" s="29">
        <v>32</v>
      </c>
      <c r="S204" s="238" t="str">
        <f t="shared" si="110"/>
        <v/>
      </c>
      <c r="T204" s="238" t="str">
        <f t="shared" si="111"/>
        <v/>
      </c>
      <c r="U204" s="238" t="str">
        <f t="shared" si="112"/>
        <v/>
      </c>
      <c r="W204" s="238" t="e">
        <f t="shared" si="80"/>
        <v>#N/A</v>
      </c>
      <c r="X204" s="238" t="e">
        <f t="shared" si="113"/>
        <v>#N/A</v>
      </c>
      <c r="Y204" s="238" t="e">
        <f t="shared" si="82"/>
        <v>#N/A</v>
      </c>
      <c r="AA204" s="1133">
        <v>150.12672261878765</v>
      </c>
      <c r="AB204" s="1133">
        <v>184.33002797606051</v>
      </c>
      <c r="AC204" s="1133">
        <v>218.53333333333336</v>
      </c>
      <c r="AD204" s="89"/>
      <c r="AE204" s="89"/>
      <c r="AF204" s="89"/>
      <c r="AG204" s="89"/>
      <c r="AH204" s="89"/>
      <c r="AI204" s="89"/>
      <c r="AJ204" s="89"/>
      <c r="AK204" s="89"/>
      <c r="AL204" s="89"/>
      <c r="AM204" s="89"/>
      <c r="AN204" s="89"/>
      <c r="BR204" s="180">
        <v>2044</v>
      </c>
      <c r="BS204" s="22">
        <v>30</v>
      </c>
      <c r="BT204" s="181" t="e">
        <f t="shared" si="93"/>
        <v>#DIV/0!</v>
      </c>
      <c r="BU204" s="182" t="e">
        <f t="shared" si="94"/>
        <v>#DIV/0!</v>
      </c>
      <c r="BV204" s="205" t="e">
        <f t="shared" si="95"/>
        <v>#DIV/0!</v>
      </c>
      <c r="BY204" s="180">
        <v>2044</v>
      </c>
      <c r="BZ204" s="22">
        <v>30</v>
      </c>
      <c r="CA204" s="198" t="e">
        <f t="shared" ca="1" si="96"/>
        <v>#REF!</v>
      </c>
      <c r="CB204" s="198" t="e">
        <f t="shared" ca="1" si="97"/>
        <v>#REF!</v>
      </c>
      <c r="CC204" s="186" t="e">
        <f t="shared" ca="1" si="108"/>
        <v>#REF!</v>
      </c>
      <c r="CD204" s="205" t="e">
        <f t="shared" ca="1" si="98"/>
        <v>#REF!</v>
      </c>
      <c r="CG204" s="180">
        <v>2044</v>
      </c>
      <c r="CH204" s="22">
        <v>30</v>
      </c>
      <c r="CI204" s="198" t="e">
        <f t="shared" ca="1" si="99"/>
        <v>#REF!</v>
      </c>
      <c r="CJ204" s="198" t="e">
        <f t="shared" ca="1" si="100"/>
        <v>#REF!</v>
      </c>
      <c r="CK204" s="198" t="e">
        <f t="shared" ca="1" si="101"/>
        <v>#REF!</v>
      </c>
      <c r="CL204" s="186" t="e">
        <f t="shared" ca="1" si="102"/>
        <v>#REF!</v>
      </c>
      <c r="CM204" s="205" t="e">
        <f t="shared" ca="1" si="103"/>
        <v>#REF!</v>
      </c>
      <c r="CP204" s="180">
        <v>2044</v>
      </c>
      <c r="CQ204" s="22">
        <v>30</v>
      </c>
      <c r="CR204" s="198" t="e">
        <f t="shared" ca="1" si="104"/>
        <v>#REF!</v>
      </c>
      <c r="CS204" s="186" t="e">
        <f t="shared" ca="1" si="105"/>
        <v>#REF!</v>
      </c>
      <c r="CT204" s="205" t="e">
        <f t="shared" ca="1" si="106"/>
        <v>#REF!</v>
      </c>
      <c r="CZ204" s="164" t="b">
        <f t="shared" si="83"/>
        <v>0</v>
      </c>
      <c r="DA204" s="165" t="b">
        <f t="shared" si="83"/>
        <v>0</v>
      </c>
      <c r="DB204" s="166" t="b">
        <f t="shared" si="83"/>
        <v>0</v>
      </c>
      <c r="DC204" s="164" t="str">
        <f t="shared" si="84"/>
        <v/>
      </c>
      <c r="DD204" s="166" t="str">
        <f t="shared" si="85"/>
        <v/>
      </c>
      <c r="DE204" s="164" t="str">
        <f t="shared" si="86"/>
        <v/>
      </c>
      <c r="DF204" s="166" t="str">
        <f t="shared" si="87"/>
        <v/>
      </c>
      <c r="DG204" s="164" t="str">
        <f t="shared" si="88"/>
        <v/>
      </c>
      <c r="DH204" s="166" t="str">
        <f t="shared" si="89"/>
        <v/>
      </c>
      <c r="DI204" s="164" t="str">
        <f>IFERROR(INDEX(DC$170:DC$218,_xlfn.AGGREGATE(15,6,(ROW(DC$170:DC$218)-ROW(DC$170)+1)/(DC$170:DC$218&lt;&gt;""),ROWS(DI$1:DI35))),"")</f>
        <v/>
      </c>
      <c r="DJ204" s="165" t="str">
        <f>IFERROR(INDEX(DD$170:DD$218,_xlfn.AGGREGATE(15,6,(ROW(DD$170:DD$218)-ROW(DD$170)+1)/(DD$170:DD$218&lt;&gt;""),ROWS(DJ$1:DJ35))),"")</f>
        <v/>
      </c>
      <c r="DK204" s="166" t="str">
        <f t="shared" si="90"/>
        <v/>
      </c>
      <c r="DL204" s="164" t="str">
        <f>IFERROR(INDEX(DE$170:DE$218,_xlfn.AGGREGATE(15,6,(ROW(DE$170:DE$218)-ROW(DE$170)+1)/(DE$170:DE$218&lt;&gt;""),ROWS(DL$1:DL35))),"")</f>
        <v/>
      </c>
      <c r="DM204" s="165" t="str">
        <f>IFERROR(INDEX(DF$170:DF$218,_xlfn.AGGREGATE(15,6,(ROW(DF$170:DF$218)-ROW(DF$170)+1)/(DF$170:DF$218&lt;&gt;""),ROWS(DM$1:DM35))),"")</f>
        <v/>
      </c>
      <c r="DN204" s="166" t="str">
        <f t="shared" si="91"/>
        <v/>
      </c>
      <c r="DO204" s="164" t="str">
        <f>IFERROR(INDEX(DG$170:DG$218,_xlfn.AGGREGATE(15,6,(ROW(DG$170:DG$218)-ROW(DG$170)+1)/(DG$170:DG$218&lt;&gt;""),ROWS(DO$1:DO35))),"")</f>
        <v/>
      </c>
      <c r="DP204" s="165" t="str">
        <f>IFERROR(INDEX(DH$170:DH$218,_xlfn.AGGREGATE(15,6,(ROW(DH$170:DH$218)-ROW(DH$170)+1)/(DH$170:DH$218&lt;&gt;""),ROWS(DP$1:DP35))),"")</f>
        <v/>
      </c>
      <c r="DQ204" s="166" t="str">
        <f t="shared" si="92"/>
        <v/>
      </c>
      <c r="DV204" s="145">
        <v>2049</v>
      </c>
      <c r="DW204" s="235" t="e">
        <f t="shared" ca="1" si="76"/>
        <v>#REF!</v>
      </c>
      <c r="EA204" s="55"/>
      <c r="EB204" s="55"/>
      <c r="EC204" s="55"/>
      <c r="ED204" s="55"/>
      <c r="EE204" s="55"/>
    </row>
    <row r="205" spans="2:135" ht="13.8" x14ac:dyDescent="0.45">
      <c r="B205" s="128">
        <v>2047</v>
      </c>
      <c r="C205" s="953"/>
      <c r="D205" s="944"/>
      <c r="E205" s="945"/>
      <c r="F205" s="1039"/>
      <c r="G205" s="981"/>
      <c r="H205" s="1040"/>
      <c r="I205" s="1112"/>
      <c r="J205" s="247"/>
      <c r="K205" s="245"/>
      <c r="L205" s="246"/>
      <c r="M205" s="245"/>
      <c r="N205" s="29" t="s">
        <v>119</v>
      </c>
      <c r="O205" s="120"/>
      <c r="P205" s="120"/>
      <c r="Q205" s="120"/>
      <c r="R205" s="29">
        <v>33</v>
      </c>
      <c r="S205" s="238" t="str">
        <f t="shared" si="110"/>
        <v/>
      </c>
      <c r="T205" s="238" t="str">
        <f t="shared" si="111"/>
        <v/>
      </c>
      <c r="U205" s="238" t="str">
        <f t="shared" si="112"/>
        <v/>
      </c>
      <c r="W205" s="238" t="e">
        <f t="shared" si="80"/>
        <v>#N/A</v>
      </c>
      <c r="X205" s="238" t="e">
        <f t="shared" si="113"/>
        <v>#N/A</v>
      </c>
      <c r="Y205" s="238" t="e">
        <f t="shared" si="82"/>
        <v>#N/A</v>
      </c>
      <c r="AA205" s="1133">
        <v>150.53613173883952</v>
      </c>
      <c r="AB205" s="1133">
        <v>185.18473253608644</v>
      </c>
      <c r="AC205" s="1133">
        <v>219.83333333333337</v>
      </c>
      <c r="AD205" s="89"/>
      <c r="AE205" s="89"/>
      <c r="AF205" s="89"/>
      <c r="AG205" s="89"/>
      <c r="AH205" s="89"/>
      <c r="AI205" s="89"/>
      <c r="AJ205" s="89"/>
      <c r="AK205" s="89"/>
      <c r="AL205" s="89"/>
      <c r="AM205" s="89"/>
      <c r="AN205" s="89"/>
      <c r="BR205" s="180">
        <v>2045</v>
      </c>
      <c r="BS205" s="22">
        <v>31</v>
      </c>
      <c r="BT205" s="181" t="e">
        <f t="shared" si="93"/>
        <v>#DIV/0!</v>
      </c>
      <c r="BU205" s="182" t="e">
        <f t="shared" si="94"/>
        <v>#DIV/0!</v>
      </c>
      <c r="BV205" s="205" t="e">
        <f t="shared" si="95"/>
        <v>#DIV/0!</v>
      </c>
      <c r="BY205" s="180">
        <v>2045</v>
      </c>
      <c r="BZ205" s="22">
        <v>31</v>
      </c>
      <c r="CA205" s="198" t="e">
        <f t="shared" ca="1" si="96"/>
        <v>#REF!</v>
      </c>
      <c r="CB205" s="198" t="e">
        <f t="shared" ca="1" si="97"/>
        <v>#REF!</v>
      </c>
      <c r="CC205" s="198" t="e">
        <f t="shared" ca="1" si="108"/>
        <v>#REF!</v>
      </c>
      <c r="CD205" s="205" t="e">
        <f t="shared" ca="1" si="98"/>
        <v>#REF!</v>
      </c>
      <c r="CG205" s="180">
        <v>2045</v>
      </c>
      <c r="CH205" s="22">
        <v>31</v>
      </c>
      <c r="CI205" s="198" t="e">
        <f t="shared" ca="1" si="99"/>
        <v>#REF!</v>
      </c>
      <c r="CJ205" s="198" t="e">
        <f t="shared" ca="1" si="100"/>
        <v>#REF!</v>
      </c>
      <c r="CK205" s="198" t="e">
        <f t="shared" ca="1" si="101"/>
        <v>#REF!</v>
      </c>
      <c r="CL205" s="198" t="e">
        <f t="shared" ca="1" si="102"/>
        <v>#REF!</v>
      </c>
      <c r="CM205" s="205" t="e">
        <f t="shared" ca="1" si="103"/>
        <v>#REF!</v>
      </c>
      <c r="CP205" s="180">
        <v>2045</v>
      </c>
      <c r="CQ205" s="22">
        <v>31</v>
      </c>
      <c r="CR205" s="198" t="e">
        <f t="shared" ca="1" si="104"/>
        <v>#REF!</v>
      </c>
      <c r="CS205" s="198" t="e">
        <f t="shared" ca="1" si="105"/>
        <v>#REF!</v>
      </c>
      <c r="CT205" s="205" t="e">
        <f t="shared" ca="1" si="106"/>
        <v>#REF!</v>
      </c>
      <c r="CZ205" s="164" t="b">
        <f t="shared" si="83"/>
        <v>0</v>
      </c>
      <c r="DA205" s="165" t="b">
        <f t="shared" si="83"/>
        <v>0</v>
      </c>
      <c r="DB205" s="166" t="b">
        <f t="shared" si="83"/>
        <v>0</v>
      </c>
      <c r="DC205" s="164" t="str">
        <f t="shared" si="84"/>
        <v/>
      </c>
      <c r="DD205" s="166" t="str">
        <f t="shared" si="85"/>
        <v/>
      </c>
      <c r="DE205" s="164" t="str">
        <f t="shared" si="86"/>
        <v/>
      </c>
      <c r="DF205" s="166" t="str">
        <f t="shared" si="87"/>
        <v/>
      </c>
      <c r="DG205" s="164" t="str">
        <f t="shared" si="88"/>
        <v/>
      </c>
      <c r="DH205" s="166" t="str">
        <f t="shared" si="89"/>
        <v/>
      </c>
      <c r="DI205" s="164" t="str">
        <f>IFERROR(INDEX(DC$170:DC$218,_xlfn.AGGREGATE(15,6,(ROW(DC$170:DC$218)-ROW(DC$170)+1)/(DC$170:DC$218&lt;&gt;""),ROWS(DI$1:DI36))),"")</f>
        <v/>
      </c>
      <c r="DJ205" s="165" t="str">
        <f>IFERROR(INDEX(DD$170:DD$218,_xlfn.AGGREGATE(15,6,(ROW(DD$170:DD$218)-ROW(DD$170)+1)/(DD$170:DD$218&lt;&gt;""),ROWS(DJ$1:DJ36))),"")</f>
        <v/>
      </c>
      <c r="DK205" s="166" t="str">
        <f t="shared" si="90"/>
        <v/>
      </c>
      <c r="DL205" s="164" t="str">
        <f>IFERROR(INDEX(DE$170:DE$218,_xlfn.AGGREGATE(15,6,(ROW(DE$170:DE$218)-ROW(DE$170)+1)/(DE$170:DE$218&lt;&gt;""),ROWS(DL$1:DL36))),"")</f>
        <v/>
      </c>
      <c r="DM205" s="165" t="str">
        <f>IFERROR(INDEX(DF$170:DF$218,_xlfn.AGGREGATE(15,6,(ROW(DF$170:DF$218)-ROW(DF$170)+1)/(DF$170:DF$218&lt;&gt;""),ROWS(DM$1:DM36))),"")</f>
        <v/>
      </c>
      <c r="DN205" s="166" t="str">
        <f t="shared" si="91"/>
        <v/>
      </c>
      <c r="DO205" s="164" t="str">
        <f>IFERROR(INDEX(DG$170:DG$218,_xlfn.AGGREGATE(15,6,(ROW(DG$170:DG$218)-ROW(DG$170)+1)/(DG$170:DG$218&lt;&gt;""),ROWS(DO$1:DO36))),"")</f>
        <v/>
      </c>
      <c r="DP205" s="165" t="str">
        <f>IFERROR(INDEX(DH$170:DH$218,_xlfn.AGGREGATE(15,6,(ROW(DH$170:DH$218)-ROW(DH$170)+1)/(DH$170:DH$218&lt;&gt;""),ROWS(DP$1:DP36))),"")</f>
        <v/>
      </c>
      <c r="DQ205" s="166" t="str">
        <f t="shared" si="92"/>
        <v/>
      </c>
      <c r="DV205" s="145">
        <v>2050</v>
      </c>
      <c r="DW205" s="235" t="e">
        <f t="shared" ca="1" si="76"/>
        <v>#REF!</v>
      </c>
      <c r="EA205" s="55"/>
      <c r="EB205" s="55"/>
      <c r="EC205" s="55"/>
      <c r="ED205" s="55"/>
      <c r="EE205" s="55"/>
    </row>
    <row r="206" spans="2:135" ht="13.8" x14ac:dyDescent="0.45">
      <c r="B206" s="128">
        <v>2048</v>
      </c>
      <c r="C206" s="953"/>
      <c r="D206" s="944"/>
      <c r="E206" s="945"/>
      <c r="F206" s="1039"/>
      <c r="G206" s="981"/>
      <c r="H206" s="1040"/>
      <c r="I206" s="1112"/>
      <c r="J206" s="247"/>
      <c r="K206" s="245"/>
      <c r="L206" s="246"/>
      <c r="M206" s="245"/>
      <c r="N206" s="29" t="s">
        <v>119</v>
      </c>
      <c r="O206" s="120"/>
      <c r="P206" s="120"/>
      <c r="Q206" s="120"/>
      <c r="R206" s="29">
        <v>34</v>
      </c>
      <c r="S206" s="238" t="str">
        <f t="shared" si="110"/>
        <v/>
      </c>
      <c r="T206" s="238" t="str">
        <f t="shared" si="111"/>
        <v/>
      </c>
      <c r="U206" s="238" t="str">
        <f t="shared" si="112"/>
        <v/>
      </c>
      <c r="W206" s="238" t="e">
        <f t="shared" si="80"/>
        <v>#N/A</v>
      </c>
      <c r="X206" s="238" t="e">
        <f t="shared" si="113"/>
        <v>#N/A</v>
      </c>
      <c r="Y206" s="238" t="e">
        <f t="shared" si="82"/>
        <v>#N/A</v>
      </c>
      <c r="AA206" s="1133">
        <v>150.96456412863057</v>
      </c>
      <c r="AB206" s="1133">
        <v>186.04894873098192</v>
      </c>
      <c r="AC206" s="1133">
        <v>221.13333333333327</v>
      </c>
      <c r="AD206" s="89"/>
      <c r="AE206" s="89"/>
      <c r="AF206" s="89"/>
      <c r="AG206" s="89"/>
      <c r="AH206" s="89"/>
      <c r="AI206" s="89"/>
      <c r="AJ206" s="89"/>
      <c r="AK206" s="89"/>
      <c r="AL206" s="89"/>
      <c r="AM206" s="89"/>
      <c r="AN206" s="89"/>
      <c r="BR206" s="180">
        <v>2046</v>
      </c>
      <c r="BS206" s="22">
        <v>32</v>
      </c>
      <c r="BT206" s="181" t="e">
        <f t="shared" si="93"/>
        <v>#DIV/0!</v>
      </c>
      <c r="BU206" s="182" t="e">
        <f t="shared" si="94"/>
        <v>#DIV/0!</v>
      </c>
      <c r="BV206" s="205" t="e">
        <f t="shared" si="95"/>
        <v>#DIV/0!</v>
      </c>
      <c r="BY206" s="180">
        <v>2046</v>
      </c>
      <c r="BZ206" s="22">
        <v>32</v>
      </c>
      <c r="CA206" s="198" t="e">
        <f t="shared" ca="1" si="96"/>
        <v>#REF!</v>
      </c>
      <c r="CB206" s="198" t="e">
        <f t="shared" ca="1" si="97"/>
        <v>#REF!</v>
      </c>
      <c r="CC206" s="198" t="e">
        <f t="shared" ca="1" si="108"/>
        <v>#REF!</v>
      </c>
      <c r="CD206" s="205" t="e">
        <f t="shared" ca="1" si="98"/>
        <v>#REF!</v>
      </c>
      <c r="CG206" s="180">
        <v>2046</v>
      </c>
      <c r="CH206" s="22">
        <v>32</v>
      </c>
      <c r="CI206" s="198" t="e">
        <f t="shared" ca="1" si="99"/>
        <v>#REF!</v>
      </c>
      <c r="CJ206" s="198" t="e">
        <f t="shared" ca="1" si="100"/>
        <v>#REF!</v>
      </c>
      <c r="CK206" s="198" t="e">
        <f t="shared" ca="1" si="101"/>
        <v>#REF!</v>
      </c>
      <c r="CL206" s="198" t="e">
        <f t="shared" ca="1" si="102"/>
        <v>#REF!</v>
      </c>
      <c r="CM206" s="205" t="e">
        <f t="shared" ca="1" si="103"/>
        <v>#REF!</v>
      </c>
      <c r="CP206" s="180">
        <v>2046</v>
      </c>
      <c r="CQ206" s="22">
        <v>32</v>
      </c>
      <c r="CR206" s="198" t="e">
        <f t="shared" ca="1" si="104"/>
        <v>#REF!</v>
      </c>
      <c r="CS206" s="198" t="e">
        <f t="shared" ca="1" si="105"/>
        <v>#REF!</v>
      </c>
      <c r="CT206" s="205" t="e">
        <f t="shared" ca="1" si="106"/>
        <v>#REF!</v>
      </c>
      <c r="CZ206" s="164" t="b">
        <f t="shared" si="83"/>
        <v>0</v>
      </c>
      <c r="DA206" s="165" t="b">
        <f t="shared" si="83"/>
        <v>0</v>
      </c>
      <c r="DB206" s="166" t="b">
        <f t="shared" si="83"/>
        <v>0</v>
      </c>
      <c r="DC206" s="164" t="str">
        <f t="shared" si="84"/>
        <v/>
      </c>
      <c r="DD206" s="166" t="str">
        <f t="shared" si="85"/>
        <v/>
      </c>
      <c r="DE206" s="164" t="str">
        <f t="shared" si="86"/>
        <v/>
      </c>
      <c r="DF206" s="166" t="str">
        <f t="shared" si="87"/>
        <v/>
      </c>
      <c r="DG206" s="164" t="str">
        <f t="shared" si="88"/>
        <v/>
      </c>
      <c r="DH206" s="166" t="str">
        <f t="shared" si="89"/>
        <v/>
      </c>
      <c r="DI206" s="164" t="str">
        <f>IFERROR(INDEX(DC$170:DC$218,_xlfn.AGGREGATE(15,6,(ROW(DC$170:DC$218)-ROW(DC$170)+1)/(DC$170:DC$218&lt;&gt;""),ROWS(DI$1:DI37))),"")</f>
        <v/>
      </c>
      <c r="DJ206" s="165" t="str">
        <f>IFERROR(INDEX(DD$170:DD$218,_xlfn.AGGREGATE(15,6,(ROW(DD$170:DD$218)-ROW(DD$170)+1)/(DD$170:DD$218&lt;&gt;""),ROWS(DJ$1:DJ37))),"")</f>
        <v/>
      </c>
      <c r="DK206" s="166" t="str">
        <f t="shared" si="90"/>
        <v/>
      </c>
      <c r="DL206" s="164" t="str">
        <f>IFERROR(INDEX(DE$170:DE$218,_xlfn.AGGREGATE(15,6,(ROW(DE$170:DE$218)-ROW(DE$170)+1)/(DE$170:DE$218&lt;&gt;""),ROWS(DL$1:DL37))),"")</f>
        <v/>
      </c>
      <c r="DM206" s="165" t="str">
        <f>IFERROR(INDEX(DF$170:DF$218,_xlfn.AGGREGATE(15,6,(ROW(DF$170:DF$218)-ROW(DF$170)+1)/(DF$170:DF$218&lt;&gt;""),ROWS(DM$1:DM37))),"")</f>
        <v/>
      </c>
      <c r="DN206" s="166" t="str">
        <f t="shared" si="91"/>
        <v/>
      </c>
      <c r="DO206" s="164" t="str">
        <f>IFERROR(INDEX(DG$170:DG$218,_xlfn.AGGREGATE(15,6,(ROW(DG$170:DG$218)-ROW(DG$170)+1)/(DG$170:DG$218&lt;&gt;""),ROWS(DO$1:DO37))),"")</f>
        <v/>
      </c>
      <c r="DP206" s="165" t="str">
        <f>IFERROR(INDEX(DH$170:DH$218,_xlfn.AGGREGATE(15,6,(ROW(DH$170:DH$218)-ROW(DH$170)+1)/(DH$170:DH$218&lt;&gt;""),ROWS(DP$1:DP37))),"")</f>
        <v/>
      </c>
      <c r="DQ206" s="166" t="str">
        <f t="shared" si="92"/>
        <v/>
      </c>
      <c r="DV206" s="145">
        <v>2051</v>
      </c>
      <c r="DW206" s="235" t="e">
        <f t="shared" ca="1" si="76"/>
        <v>#REF!</v>
      </c>
      <c r="EA206" s="55"/>
      <c r="EB206" s="55"/>
      <c r="EC206" s="55"/>
      <c r="ED206" s="55"/>
      <c r="EE206" s="55"/>
    </row>
    <row r="207" spans="2:135" ht="13.8" x14ac:dyDescent="0.45">
      <c r="B207" s="128">
        <v>2049</v>
      </c>
      <c r="C207" s="953"/>
      <c r="D207" s="944"/>
      <c r="E207" s="945"/>
      <c r="F207" s="1039"/>
      <c r="G207" s="981"/>
      <c r="H207" s="1040"/>
      <c r="I207" s="1112"/>
      <c r="J207" s="247"/>
      <c r="K207" s="245"/>
      <c r="L207" s="246"/>
      <c r="M207" s="245"/>
      <c r="N207" s="29" t="s">
        <v>119</v>
      </c>
      <c r="O207" s="120"/>
      <c r="P207" s="120"/>
      <c r="Q207" s="120"/>
      <c r="R207" s="29">
        <v>35</v>
      </c>
      <c r="S207" s="238" t="str">
        <f t="shared" si="110"/>
        <v/>
      </c>
      <c r="T207" s="238" t="str">
        <f t="shared" si="111"/>
        <v/>
      </c>
      <c r="U207" s="238" t="str">
        <f t="shared" si="112"/>
        <v/>
      </c>
      <c r="W207" s="238" t="e">
        <f t="shared" si="80"/>
        <v>#N/A</v>
      </c>
      <c r="X207" s="238" t="e">
        <f t="shared" si="113"/>
        <v>#N/A</v>
      </c>
      <c r="Y207" s="238" t="e">
        <f t="shared" si="82"/>
        <v>#N/A</v>
      </c>
      <c r="AA207" s="1133">
        <v>151.41913553382113</v>
      </c>
      <c r="AB207" s="1133">
        <v>186.92623443357729</v>
      </c>
      <c r="AC207" s="1133">
        <v>222.43333333333345</v>
      </c>
      <c r="AD207" s="89"/>
      <c r="AE207" s="89"/>
      <c r="AF207" s="89"/>
      <c r="AG207" s="89"/>
      <c r="AH207" s="89"/>
      <c r="AI207" s="89"/>
      <c r="AJ207" s="89"/>
      <c r="AK207" s="89"/>
      <c r="AL207" s="89"/>
      <c r="AM207" s="89"/>
      <c r="AN207" s="89"/>
      <c r="BR207" s="180">
        <v>2047</v>
      </c>
      <c r="BS207" s="22">
        <v>33</v>
      </c>
      <c r="BT207" s="181" t="e">
        <f t="shared" si="93"/>
        <v>#DIV/0!</v>
      </c>
      <c r="BU207" s="182" t="e">
        <f t="shared" si="94"/>
        <v>#DIV/0!</v>
      </c>
      <c r="BV207" s="205" t="e">
        <f t="shared" si="95"/>
        <v>#DIV/0!</v>
      </c>
      <c r="BY207" s="180">
        <v>2047</v>
      </c>
      <c r="BZ207" s="22">
        <v>33</v>
      </c>
      <c r="CA207" s="198" t="e">
        <f t="shared" ca="1" si="96"/>
        <v>#REF!</v>
      </c>
      <c r="CB207" s="198" t="e">
        <f t="shared" ca="1" si="97"/>
        <v>#REF!</v>
      </c>
      <c r="CC207" s="198" t="e">
        <f t="shared" ca="1" si="108"/>
        <v>#REF!</v>
      </c>
      <c r="CD207" s="205" t="e">
        <f t="shared" ca="1" si="98"/>
        <v>#REF!</v>
      </c>
      <c r="CG207" s="180">
        <v>2047</v>
      </c>
      <c r="CH207" s="22">
        <v>33</v>
      </c>
      <c r="CI207" s="198" t="e">
        <f t="shared" ca="1" si="99"/>
        <v>#REF!</v>
      </c>
      <c r="CJ207" s="198" t="e">
        <f t="shared" ca="1" si="100"/>
        <v>#REF!</v>
      </c>
      <c r="CK207" s="198" t="e">
        <f t="shared" ca="1" si="101"/>
        <v>#REF!</v>
      </c>
      <c r="CL207" s="198" t="e">
        <f t="shared" ca="1" si="102"/>
        <v>#REF!</v>
      </c>
      <c r="CM207" s="205" t="e">
        <f t="shared" ca="1" si="103"/>
        <v>#REF!</v>
      </c>
      <c r="CP207" s="180">
        <v>2047</v>
      </c>
      <c r="CQ207" s="22">
        <v>33</v>
      </c>
      <c r="CR207" s="198" t="e">
        <f t="shared" ca="1" si="104"/>
        <v>#REF!</v>
      </c>
      <c r="CS207" s="198" t="e">
        <f t="shared" ca="1" si="105"/>
        <v>#REF!</v>
      </c>
      <c r="CT207" s="205" t="e">
        <f t="shared" ca="1" si="106"/>
        <v>#REF!</v>
      </c>
      <c r="CZ207" s="164" t="b">
        <f t="shared" si="83"/>
        <v>0</v>
      </c>
      <c r="DA207" s="165" t="b">
        <f t="shared" si="83"/>
        <v>0</v>
      </c>
      <c r="DB207" s="166" t="b">
        <f t="shared" si="83"/>
        <v>0</v>
      </c>
      <c r="DC207" s="164" t="str">
        <f t="shared" si="84"/>
        <v/>
      </c>
      <c r="DD207" s="166" t="str">
        <f t="shared" si="85"/>
        <v/>
      </c>
      <c r="DE207" s="164" t="str">
        <f t="shared" si="86"/>
        <v/>
      </c>
      <c r="DF207" s="166" t="str">
        <f t="shared" si="87"/>
        <v/>
      </c>
      <c r="DG207" s="164" t="str">
        <f t="shared" si="88"/>
        <v/>
      </c>
      <c r="DH207" s="166" t="str">
        <f t="shared" si="89"/>
        <v/>
      </c>
      <c r="DI207" s="164" t="str">
        <f>IFERROR(INDEX(DC$170:DC$218,_xlfn.AGGREGATE(15,6,(ROW(DC$170:DC$218)-ROW(DC$170)+1)/(DC$170:DC$218&lt;&gt;""),ROWS(DI$1:DI38))),"")</f>
        <v/>
      </c>
      <c r="DJ207" s="165" t="str">
        <f>IFERROR(INDEX(DD$170:DD$218,_xlfn.AGGREGATE(15,6,(ROW(DD$170:DD$218)-ROW(DD$170)+1)/(DD$170:DD$218&lt;&gt;""),ROWS(DJ$1:DJ38))),"")</f>
        <v/>
      </c>
      <c r="DK207" s="166" t="str">
        <f t="shared" si="90"/>
        <v/>
      </c>
      <c r="DL207" s="164" t="str">
        <f>IFERROR(INDEX(DE$170:DE$218,_xlfn.AGGREGATE(15,6,(ROW(DE$170:DE$218)-ROW(DE$170)+1)/(DE$170:DE$218&lt;&gt;""),ROWS(DL$1:DL38))),"")</f>
        <v/>
      </c>
      <c r="DM207" s="165" t="str">
        <f>IFERROR(INDEX(DF$170:DF$218,_xlfn.AGGREGATE(15,6,(ROW(DF$170:DF$218)-ROW(DF$170)+1)/(DF$170:DF$218&lt;&gt;""),ROWS(DM$1:DM38))),"")</f>
        <v/>
      </c>
      <c r="DN207" s="166" t="str">
        <f t="shared" si="91"/>
        <v/>
      </c>
      <c r="DO207" s="164" t="str">
        <f>IFERROR(INDEX(DG$170:DG$218,_xlfn.AGGREGATE(15,6,(ROW(DG$170:DG$218)-ROW(DG$170)+1)/(DG$170:DG$218&lt;&gt;""),ROWS(DO$1:DO38))),"")</f>
        <v/>
      </c>
      <c r="DP207" s="165" t="str">
        <f>IFERROR(INDEX(DH$170:DH$218,_xlfn.AGGREGATE(15,6,(ROW(DH$170:DH$218)-ROW(DH$170)+1)/(DH$170:DH$218&lt;&gt;""),ROWS(DP$1:DP38))),"")</f>
        <v/>
      </c>
      <c r="DQ207" s="166" t="str">
        <f t="shared" si="92"/>
        <v/>
      </c>
      <c r="DV207" s="145">
        <v>2052</v>
      </c>
      <c r="DW207" s="235" t="e">
        <f t="shared" ca="1" si="76"/>
        <v>#REF!</v>
      </c>
      <c r="EA207" s="55"/>
      <c r="EB207" s="55"/>
      <c r="EC207" s="55"/>
      <c r="ED207" s="55"/>
      <c r="EE207" s="55"/>
    </row>
    <row r="208" spans="2:135" ht="13.8" x14ac:dyDescent="0.45">
      <c r="B208" s="128">
        <v>2050</v>
      </c>
      <c r="C208" s="953"/>
      <c r="D208" s="944"/>
      <c r="E208" s="945"/>
      <c r="F208" s="1039"/>
      <c r="G208" s="981"/>
      <c r="H208" s="1040"/>
      <c r="I208" s="1112"/>
      <c r="J208" s="247"/>
      <c r="K208" s="245"/>
      <c r="L208" s="246"/>
      <c r="M208" s="245"/>
      <c r="N208" s="29" t="s">
        <v>119</v>
      </c>
      <c r="O208" s="120"/>
      <c r="P208" s="120"/>
      <c r="Q208" s="120"/>
      <c r="R208" s="29">
        <v>36</v>
      </c>
      <c r="S208" s="238" t="str">
        <f t="shared" si="110"/>
        <v/>
      </c>
      <c r="T208" s="238" t="str">
        <f t="shared" si="111"/>
        <v/>
      </c>
      <c r="U208" s="238" t="str">
        <f t="shared" si="112"/>
        <v/>
      </c>
      <c r="W208" s="238" t="e">
        <f t="shared" si="80"/>
        <v>#N/A</v>
      </c>
      <c r="X208" s="238" t="e">
        <f t="shared" si="113"/>
        <v>#N/A</v>
      </c>
      <c r="Y208" s="238" t="e">
        <f t="shared" si="82"/>
        <v>#N/A</v>
      </c>
      <c r="AA208" s="1133">
        <v>151.90696170007254</v>
      </c>
      <c r="AB208" s="1133">
        <v>187.35348085003628</v>
      </c>
      <c r="AC208" s="1133">
        <v>222.8</v>
      </c>
      <c r="AD208" s="89"/>
      <c r="AE208" s="89"/>
      <c r="AF208" s="89"/>
      <c r="AG208" s="89"/>
      <c r="AH208" s="89"/>
      <c r="AI208" s="89"/>
      <c r="AJ208" s="89"/>
      <c r="AK208" s="89"/>
      <c r="AL208" s="89"/>
      <c r="AM208" s="89"/>
      <c r="AN208" s="89"/>
      <c r="BR208" s="180">
        <v>2048</v>
      </c>
      <c r="BS208" s="22">
        <v>34</v>
      </c>
      <c r="BT208" s="181" t="e">
        <f t="shared" si="93"/>
        <v>#DIV/0!</v>
      </c>
      <c r="BU208" s="182" t="e">
        <f t="shared" si="94"/>
        <v>#DIV/0!</v>
      </c>
      <c r="BV208" s="205" t="e">
        <f t="shared" si="95"/>
        <v>#DIV/0!</v>
      </c>
      <c r="BY208" s="180">
        <v>2048</v>
      </c>
      <c r="BZ208" s="22">
        <v>34</v>
      </c>
      <c r="CA208" s="198" t="e">
        <f t="shared" ca="1" si="96"/>
        <v>#REF!</v>
      </c>
      <c r="CB208" s="198" t="e">
        <f t="shared" ca="1" si="97"/>
        <v>#REF!</v>
      </c>
      <c r="CC208" s="198" t="e">
        <f t="shared" ca="1" si="108"/>
        <v>#REF!</v>
      </c>
      <c r="CD208" s="205" t="e">
        <f t="shared" ca="1" si="98"/>
        <v>#REF!</v>
      </c>
      <c r="CG208" s="180">
        <v>2048</v>
      </c>
      <c r="CH208" s="22">
        <v>34</v>
      </c>
      <c r="CI208" s="198" t="e">
        <f t="shared" ca="1" si="99"/>
        <v>#REF!</v>
      </c>
      <c r="CJ208" s="198" t="e">
        <f t="shared" ca="1" si="100"/>
        <v>#REF!</v>
      </c>
      <c r="CK208" s="198" t="e">
        <f t="shared" ca="1" si="101"/>
        <v>#REF!</v>
      </c>
      <c r="CL208" s="198" t="e">
        <f t="shared" ca="1" si="102"/>
        <v>#REF!</v>
      </c>
      <c r="CM208" s="205" t="e">
        <f t="shared" ca="1" si="103"/>
        <v>#REF!</v>
      </c>
      <c r="CP208" s="180">
        <v>2048</v>
      </c>
      <c r="CQ208" s="22">
        <v>34</v>
      </c>
      <c r="CR208" s="198" t="e">
        <f t="shared" ca="1" si="104"/>
        <v>#REF!</v>
      </c>
      <c r="CS208" s="198" t="e">
        <f t="shared" ca="1" si="105"/>
        <v>#REF!</v>
      </c>
      <c r="CT208" s="205" t="e">
        <f t="shared" ca="1" si="106"/>
        <v>#REF!</v>
      </c>
      <c r="CZ208" s="164" t="b">
        <f t="shared" si="83"/>
        <v>0</v>
      </c>
      <c r="DA208" s="165" t="b">
        <f t="shared" si="83"/>
        <v>0</v>
      </c>
      <c r="DB208" s="166" t="b">
        <f t="shared" si="83"/>
        <v>0</v>
      </c>
      <c r="DC208" s="164" t="str">
        <f t="shared" si="84"/>
        <v/>
      </c>
      <c r="DD208" s="166" t="str">
        <f t="shared" si="85"/>
        <v/>
      </c>
      <c r="DE208" s="164" t="str">
        <f t="shared" si="86"/>
        <v/>
      </c>
      <c r="DF208" s="166" t="str">
        <f t="shared" si="87"/>
        <v/>
      </c>
      <c r="DG208" s="164" t="str">
        <f t="shared" si="88"/>
        <v/>
      </c>
      <c r="DH208" s="166" t="str">
        <f t="shared" si="89"/>
        <v/>
      </c>
      <c r="DI208" s="164" t="str">
        <f>IFERROR(INDEX(DC$170:DC$218,_xlfn.AGGREGATE(15,6,(ROW(DC$170:DC$218)-ROW(DC$170)+1)/(DC$170:DC$218&lt;&gt;""),ROWS(DI$1:DI39))),"")</f>
        <v/>
      </c>
      <c r="DJ208" s="165" t="str">
        <f>IFERROR(INDEX(DD$170:DD$218,_xlfn.AGGREGATE(15,6,(ROW(DD$170:DD$218)-ROW(DD$170)+1)/(DD$170:DD$218&lt;&gt;""),ROWS(DJ$1:DJ39))),"")</f>
        <v/>
      </c>
      <c r="DK208" s="166" t="str">
        <f t="shared" si="90"/>
        <v/>
      </c>
      <c r="DL208" s="164" t="str">
        <f>IFERROR(INDEX(DE$170:DE$218,_xlfn.AGGREGATE(15,6,(ROW(DE$170:DE$218)-ROW(DE$170)+1)/(DE$170:DE$218&lt;&gt;""),ROWS(DL$1:DL39))),"")</f>
        <v/>
      </c>
      <c r="DM208" s="165" t="str">
        <f>IFERROR(INDEX(DF$170:DF$218,_xlfn.AGGREGATE(15,6,(ROW(DF$170:DF$218)-ROW(DF$170)+1)/(DF$170:DF$218&lt;&gt;""),ROWS(DM$1:DM39))),"")</f>
        <v/>
      </c>
      <c r="DN208" s="166" t="str">
        <f t="shared" si="91"/>
        <v/>
      </c>
      <c r="DO208" s="164" t="str">
        <f>IFERROR(INDEX(DG$170:DG$218,_xlfn.AGGREGATE(15,6,(ROW(DG$170:DG$218)-ROW(DG$170)+1)/(DG$170:DG$218&lt;&gt;""),ROWS(DO$1:DO39))),"")</f>
        <v/>
      </c>
      <c r="DP208" s="165" t="str">
        <f>IFERROR(INDEX(DH$170:DH$218,_xlfn.AGGREGATE(15,6,(ROW(DH$170:DH$218)-ROW(DH$170)+1)/(DH$170:DH$218&lt;&gt;""),ROWS(DP$1:DP39))),"")</f>
        <v/>
      </c>
      <c r="DQ208" s="166" t="str">
        <f t="shared" si="92"/>
        <v/>
      </c>
      <c r="DV208" s="145">
        <v>2053</v>
      </c>
      <c r="DW208" s="235" t="e">
        <f t="shared" ca="1" si="76"/>
        <v>#REF!</v>
      </c>
      <c r="EA208" s="55"/>
      <c r="EB208" s="55"/>
      <c r="EC208" s="55"/>
      <c r="ED208" s="55"/>
      <c r="EE208" s="55"/>
    </row>
    <row r="209" spans="1:135" ht="13.8" x14ac:dyDescent="0.45">
      <c r="B209" s="128">
        <v>2051</v>
      </c>
      <c r="C209" s="953"/>
      <c r="D209" s="944"/>
      <c r="E209" s="945"/>
      <c r="F209" s="1039"/>
      <c r="G209" s="981"/>
      <c r="H209" s="1040"/>
      <c r="I209" s="1112"/>
      <c r="J209" s="247"/>
      <c r="K209" s="245"/>
      <c r="L209" s="246"/>
      <c r="M209" s="245"/>
      <c r="N209" s="29" t="s">
        <v>119</v>
      </c>
      <c r="O209" s="120"/>
      <c r="P209" s="120"/>
      <c r="Q209" s="120"/>
      <c r="R209" s="29">
        <v>37</v>
      </c>
      <c r="S209" s="238" t="str">
        <f t="shared" si="110"/>
        <v/>
      </c>
      <c r="T209" s="238" t="str">
        <f t="shared" si="111"/>
        <v/>
      </c>
      <c r="U209" s="238" t="str">
        <f t="shared" si="112"/>
        <v/>
      </c>
      <c r="W209" s="238" t="e">
        <f t="shared" si="80"/>
        <v>#N/A</v>
      </c>
      <c r="X209" s="238" t="e">
        <f t="shared" si="113"/>
        <v>#N/A</v>
      </c>
      <c r="Y209" s="238" t="e">
        <f t="shared" si="82"/>
        <v>#N/A</v>
      </c>
      <c r="AA209" s="1133">
        <v>152.43515837304508</v>
      </c>
      <c r="AB209" s="1133">
        <v>188.73424585318924</v>
      </c>
      <c r="AC209" s="1133">
        <v>225.03333333333339</v>
      </c>
      <c r="AD209" s="89"/>
      <c r="AE209" s="89"/>
      <c r="AF209" s="89"/>
      <c r="AG209" s="89"/>
      <c r="AH209" s="89"/>
      <c r="AI209" s="89"/>
      <c r="AJ209" s="89"/>
      <c r="AK209" s="89"/>
      <c r="AL209" s="89"/>
      <c r="AM209" s="89"/>
      <c r="AN209" s="89"/>
      <c r="BR209" s="180">
        <v>2049</v>
      </c>
      <c r="BS209" s="22">
        <v>35</v>
      </c>
      <c r="BT209" s="181" t="e">
        <f t="shared" si="93"/>
        <v>#DIV/0!</v>
      </c>
      <c r="BU209" s="182" t="e">
        <f t="shared" si="94"/>
        <v>#DIV/0!</v>
      </c>
      <c r="BV209" s="205" t="e">
        <f t="shared" si="95"/>
        <v>#DIV/0!</v>
      </c>
      <c r="BY209" s="180">
        <v>2049</v>
      </c>
      <c r="BZ209" s="22">
        <v>35</v>
      </c>
      <c r="CA209" s="198" t="e">
        <f t="shared" ca="1" si="96"/>
        <v>#REF!</v>
      </c>
      <c r="CB209" s="198" t="e">
        <f t="shared" ca="1" si="97"/>
        <v>#REF!</v>
      </c>
      <c r="CC209" s="198" t="e">
        <f t="shared" ca="1" si="108"/>
        <v>#REF!</v>
      </c>
      <c r="CD209" s="205" t="e">
        <f t="shared" ca="1" si="98"/>
        <v>#REF!</v>
      </c>
      <c r="CG209" s="180">
        <v>2049</v>
      </c>
      <c r="CH209" s="22">
        <v>35</v>
      </c>
      <c r="CI209" s="198" t="e">
        <f t="shared" ca="1" si="99"/>
        <v>#REF!</v>
      </c>
      <c r="CJ209" s="198" t="e">
        <f t="shared" ca="1" si="100"/>
        <v>#REF!</v>
      </c>
      <c r="CK209" s="198" t="e">
        <f t="shared" ca="1" si="101"/>
        <v>#REF!</v>
      </c>
      <c r="CL209" s="198" t="e">
        <f t="shared" ca="1" si="102"/>
        <v>#REF!</v>
      </c>
      <c r="CM209" s="205" t="e">
        <f t="shared" ca="1" si="103"/>
        <v>#REF!</v>
      </c>
      <c r="CP209" s="180">
        <v>2049</v>
      </c>
      <c r="CQ209" s="22">
        <v>35</v>
      </c>
      <c r="CR209" s="198" t="e">
        <f t="shared" ca="1" si="104"/>
        <v>#REF!</v>
      </c>
      <c r="CS209" s="198" t="e">
        <f t="shared" ca="1" si="105"/>
        <v>#REF!</v>
      </c>
      <c r="CT209" s="205" t="e">
        <f t="shared" ca="1" si="106"/>
        <v>#REF!</v>
      </c>
      <c r="CZ209" s="164" t="b">
        <f t="shared" si="83"/>
        <v>0</v>
      </c>
      <c r="DA209" s="165" t="b">
        <f t="shared" si="83"/>
        <v>0</v>
      </c>
      <c r="DB209" s="166" t="b">
        <f t="shared" si="83"/>
        <v>0</v>
      </c>
      <c r="DC209" s="164" t="str">
        <f t="shared" si="84"/>
        <v/>
      </c>
      <c r="DD209" s="166" t="str">
        <f t="shared" si="85"/>
        <v/>
      </c>
      <c r="DE209" s="164" t="str">
        <f t="shared" si="86"/>
        <v/>
      </c>
      <c r="DF209" s="166" t="str">
        <f t="shared" si="87"/>
        <v/>
      </c>
      <c r="DG209" s="164" t="str">
        <f t="shared" si="88"/>
        <v/>
      </c>
      <c r="DH209" s="166" t="str">
        <f t="shared" si="89"/>
        <v/>
      </c>
      <c r="DI209" s="164" t="str">
        <f>IFERROR(INDEX(DC$170:DC$218,_xlfn.AGGREGATE(15,6,(ROW(DC$170:DC$218)-ROW(DC$170)+1)/(DC$170:DC$218&lt;&gt;""),ROWS(DI$1:DI40))),"")</f>
        <v/>
      </c>
      <c r="DJ209" s="165" t="str">
        <f>IFERROR(INDEX(DD$170:DD$218,_xlfn.AGGREGATE(15,6,(ROW(DD$170:DD$218)-ROW(DD$170)+1)/(DD$170:DD$218&lt;&gt;""),ROWS(DJ$1:DJ40))),"")</f>
        <v/>
      </c>
      <c r="DK209" s="166" t="str">
        <f t="shared" si="90"/>
        <v/>
      </c>
      <c r="DL209" s="164" t="str">
        <f>IFERROR(INDEX(DE$170:DE$218,_xlfn.AGGREGATE(15,6,(ROW(DE$170:DE$218)-ROW(DE$170)+1)/(DE$170:DE$218&lt;&gt;""),ROWS(DL$1:DL40))),"")</f>
        <v/>
      </c>
      <c r="DM209" s="165" t="str">
        <f>IFERROR(INDEX(DF$170:DF$218,_xlfn.AGGREGATE(15,6,(ROW(DF$170:DF$218)-ROW(DF$170)+1)/(DF$170:DF$218&lt;&gt;""),ROWS(DM$1:DM40))),"")</f>
        <v/>
      </c>
      <c r="DN209" s="166" t="str">
        <f t="shared" si="91"/>
        <v/>
      </c>
      <c r="DO209" s="164" t="str">
        <f>IFERROR(INDEX(DG$170:DG$218,_xlfn.AGGREGATE(15,6,(ROW(DG$170:DG$218)-ROW(DG$170)+1)/(DG$170:DG$218&lt;&gt;""),ROWS(DO$1:DO40))),"")</f>
        <v/>
      </c>
      <c r="DP209" s="165" t="str">
        <f>IFERROR(INDEX(DH$170:DH$218,_xlfn.AGGREGATE(15,6,(ROW(DH$170:DH$218)-ROW(DH$170)+1)/(DH$170:DH$218&lt;&gt;""),ROWS(DP$1:DP40))),"")</f>
        <v/>
      </c>
      <c r="DQ209" s="166" t="str">
        <f t="shared" si="92"/>
        <v/>
      </c>
      <c r="DV209" s="145">
        <v>2054</v>
      </c>
      <c r="DW209" s="235" t="e">
        <f t="shared" ca="1" si="76"/>
        <v>#REF!</v>
      </c>
      <c r="EA209" s="55"/>
      <c r="EB209" s="55"/>
      <c r="EC209" s="55"/>
      <c r="ED209" s="55"/>
      <c r="EE209" s="55"/>
    </row>
    <row r="210" spans="1:135" ht="14.1" thickBot="1" x14ac:dyDescent="0.5">
      <c r="B210" s="128">
        <v>2052</v>
      </c>
      <c r="C210" s="953"/>
      <c r="D210" s="944"/>
      <c r="E210" s="945"/>
      <c r="F210" s="1039"/>
      <c r="G210" s="981"/>
      <c r="H210" s="1040"/>
      <c r="I210" s="1112"/>
      <c r="J210" s="247"/>
      <c r="K210" s="245"/>
      <c r="L210" s="246"/>
      <c r="M210" s="245"/>
      <c r="N210" s="29" t="s">
        <v>119</v>
      </c>
      <c r="O210" s="120"/>
      <c r="P210" s="120"/>
      <c r="Q210" s="120"/>
      <c r="R210" s="29">
        <v>38</v>
      </c>
      <c r="S210" s="238" t="str">
        <f t="shared" si="110"/>
        <v/>
      </c>
      <c r="T210" s="238" t="str">
        <f t="shared" si="111"/>
        <v/>
      </c>
      <c r="U210" s="238" t="str">
        <f t="shared" si="112"/>
        <v/>
      </c>
      <c r="W210" s="238" t="e">
        <f t="shared" si="80"/>
        <v>#N/A</v>
      </c>
      <c r="X210" s="238" t="e">
        <f t="shared" si="113"/>
        <v>#N/A</v>
      </c>
      <c r="Y210" s="238" t="e">
        <f t="shared" si="82"/>
        <v>#N/A</v>
      </c>
      <c r="AA210" s="1133">
        <v>153.01084129839961</v>
      </c>
      <c r="AB210" s="1133">
        <v>189.67208731586652</v>
      </c>
      <c r="AC210" s="1133">
        <v>226.33333333333343</v>
      </c>
      <c r="AD210" s="89"/>
      <c r="AE210" s="89"/>
      <c r="AF210" s="89"/>
      <c r="AG210" s="89"/>
      <c r="AH210" s="89"/>
      <c r="AI210" s="89"/>
      <c r="AJ210" s="89"/>
      <c r="AK210" s="89"/>
      <c r="AL210" s="89"/>
      <c r="AM210" s="89"/>
      <c r="AN210" s="89"/>
      <c r="BR210" s="180">
        <v>2050</v>
      </c>
      <c r="BS210" s="22">
        <v>36</v>
      </c>
      <c r="BT210" s="181" t="e">
        <f t="shared" si="93"/>
        <v>#DIV/0!</v>
      </c>
      <c r="BU210" s="182" t="e">
        <f t="shared" si="94"/>
        <v>#DIV/0!</v>
      </c>
      <c r="BV210" s="212" t="e">
        <f t="shared" si="95"/>
        <v>#DIV/0!</v>
      </c>
      <c r="BY210" s="180">
        <v>2050</v>
      </c>
      <c r="BZ210" s="22">
        <v>36</v>
      </c>
      <c r="CA210" s="198" t="e">
        <f t="shared" ca="1" si="96"/>
        <v>#REF!</v>
      </c>
      <c r="CB210" s="198" t="e">
        <f t="shared" ca="1" si="97"/>
        <v>#REF!</v>
      </c>
      <c r="CC210" s="198" t="e">
        <f t="shared" ca="1" si="108"/>
        <v>#REF!</v>
      </c>
      <c r="CD210" s="212" t="e">
        <f t="shared" ca="1" si="98"/>
        <v>#REF!</v>
      </c>
      <c r="CG210" s="180">
        <v>2050</v>
      </c>
      <c r="CH210" s="22">
        <v>36</v>
      </c>
      <c r="CI210" s="198" t="e">
        <f t="shared" ca="1" si="99"/>
        <v>#REF!</v>
      </c>
      <c r="CJ210" s="198" t="e">
        <f t="shared" ca="1" si="100"/>
        <v>#REF!</v>
      </c>
      <c r="CK210" s="198" t="e">
        <f t="shared" ca="1" si="101"/>
        <v>#REF!</v>
      </c>
      <c r="CL210" s="198" t="e">
        <f t="shared" ca="1" si="102"/>
        <v>#REF!</v>
      </c>
      <c r="CM210" s="212" t="e">
        <f t="shared" ca="1" si="103"/>
        <v>#REF!</v>
      </c>
      <c r="CP210" s="180">
        <v>2050</v>
      </c>
      <c r="CQ210" s="22">
        <v>36</v>
      </c>
      <c r="CR210" s="198" t="e">
        <f t="shared" ca="1" si="104"/>
        <v>#REF!</v>
      </c>
      <c r="CS210" s="198" t="e">
        <f t="shared" ca="1" si="105"/>
        <v>#REF!</v>
      </c>
      <c r="CT210" s="212" t="e">
        <f t="shared" ca="1" si="106"/>
        <v>#REF!</v>
      </c>
      <c r="CZ210" s="164" t="b">
        <f t="shared" ref="CZ210:DB218" si="114">ISNUMBER(W210)</f>
        <v>0</v>
      </c>
      <c r="DA210" s="165" t="b">
        <f t="shared" si="114"/>
        <v>0</v>
      </c>
      <c r="DB210" s="166" t="b">
        <f t="shared" si="114"/>
        <v>0</v>
      </c>
      <c r="DC210" s="164" t="str">
        <f t="shared" si="84"/>
        <v/>
      </c>
      <c r="DD210" s="166" t="str">
        <f t="shared" si="85"/>
        <v/>
      </c>
      <c r="DE210" s="164" t="str">
        <f t="shared" si="86"/>
        <v/>
      </c>
      <c r="DF210" s="166" t="str">
        <f t="shared" si="87"/>
        <v/>
      </c>
      <c r="DG210" s="164" t="str">
        <f t="shared" si="88"/>
        <v/>
      </c>
      <c r="DH210" s="166" t="str">
        <f t="shared" si="89"/>
        <v/>
      </c>
      <c r="DI210" s="164" t="str">
        <f>IFERROR(INDEX(DC$170:DC$218,_xlfn.AGGREGATE(15,6,(ROW(DC$170:DC$218)-ROW(DC$170)+1)/(DC$170:DC$218&lt;&gt;""),ROWS(DI$1:DI41))),"")</f>
        <v/>
      </c>
      <c r="DJ210" s="165" t="str">
        <f>IFERROR(INDEX(DD$170:DD$218,_xlfn.AGGREGATE(15,6,(ROW(DD$170:DD$218)-ROW(DD$170)+1)/(DD$170:DD$218&lt;&gt;""),ROWS(DJ$1:DJ41))),"")</f>
        <v/>
      </c>
      <c r="DK210" s="166" t="str">
        <f t="shared" si="90"/>
        <v/>
      </c>
      <c r="DL210" s="164" t="str">
        <f>IFERROR(INDEX(DE$170:DE$218,_xlfn.AGGREGATE(15,6,(ROW(DE$170:DE$218)-ROW(DE$170)+1)/(DE$170:DE$218&lt;&gt;""),ROWS(DL$1:DL41))),"")</f>
        <v/>
      </c>
      <c r="DM210" s="165" t="str">
        <f>IFERROR(INDEX(DF$170:DF$218,_xlfn.AGGREGATE(15,6,(ROW(DF$170:DF$218)-ROW(DF$170)+1)/(DF$170:DF$218&lt;&gt;""),ROWS(DM$1:DM41))),"")</f>
        <v/>
      </c>
      <c r="DN210" s="166" t="str">
        <f t="shared" si="91"/>
        <v/>
      </c>
      <c r="DO210" s="164" t="str">
        <f>IFERROR(INDEX(DG$170:DG$218,_xlfn.AGGREGATE(15,6,(ROW(DG$170:DG$218)-ROW(DG$170)+1)/(DG$170:DG$218&lt;&gt;""),ROWS(DO$1:DO41))),"")</f>
        <v/>
      </c>
      <c r="DP210" s="165" t="str">
        <f>IFERROR(INDEX(DH$170:DH$218,_xlfn.AGGREGATE(15,6,(ROW(DH$170:DH$218)-ROW(DH$170)+1)/(DH$170:DH$218&lt;&gt;""),ROWS(DP$1:DP41))),"")</f>
        <v/>
      </c>
      <c r="DQ210" s="166" t="str">
        <f t="shared" si="92"/>
        <v/>
      </c>
      <c r="DV210" s="145">
        <v>2055</v>
      </c>
      <c r="DW210" s="235" t="e">
        <f t="shared" ca="1" si="76"/>
        <v>#REF!</v>
      </c>
      <c r="EA210" s="55"/>
      <c r="EB210" s="55"/>
      <c r="EC210" s="55"/>
      <c r="ED210" s="55"/>
      <c r="EE210" s="55"/>
    </row>
    <row r="211" spans="1:135" ht="13.8" x14ac:dyDescent="0.45">
      <c r="B211" s="128">
        <v>2053</v>
      </c>
      <c r="C211" s="953"/>
      <c r="D211" s="944"/>
      <c r="E211" s="945"/>
      <c r="F211" s="1039"/>
      <c r="G211" s="981"/>
      <c r="H211" s="1040"/>
      <c r="I211" s="1112"/>
      <c r="J211" s="247"/>
      <c r="K211" s="245"/>
      <c r="L211" s="246"/>
      <c r="M211" s="245"/>
      <c r="N211" s="29" t="s">
        <v>119</v>
      </c>
      <c r="O211" s="120"/>
      <c r="P211" s="120"/>
      <c r="Q211" s="120"/>
      <c r="R211" s="29">
        <v>39</v>
      </c>
      <c r="S211" s="238" t="str">
        <f t="shared" si="110"/>
        <v/>
      </c>
      <c r="T211" s="238" t="str">
        <f t="shared" si="111"/>
        <v/>
      </c>
      <c r="U211" s="238" t="str">
        <f t="shared" si="112"/>
        <v/>
      </c>
      <c r="W211" s="238" t="e">
        <f t="shared" si="80"/>
        <v>#N/A</v>
      </c>
      <c r="X211" s="238" t="e">
        <f t="shared" si="113"/>
        <v>#N/A</v>
      </c>
      <c r="Y211" s="238" t="e">
        <f t="shared" si="82"/>
        <v>#N/A</v>
      </c>
      <c r="AA211" s="1133">
        <v>153.64112622179692</v>
      </c>
      <c r="AB211" s="1133">
        <v>190.63722977756515</v>
      </c>
      <c r="AC211" s="1133">
        <v>227.63333333333338</v>
      </c>
      <c r="AD211" s="89"/>
      <c r="AE211" s="89"/>
      <c r="AF211" s="89"/>
      <c r="AG211" s="89"/>
      <c r="AH211" s="89"/>
      <c r="AI211" s="89"/>
      <c r="AJ211" s="89"/>
      <c r="AK211" s="89"/>
      <c r="AL211" s="89"/>
      <c r="AM211" s="89"/>
      <c r="AN211" s="89"/>
      <c r="BR211" s="180">
        <v>2051</v>
      </c>
      <c r="BS211" s="22">
        <v>37</v>
      </c>
      <c r="BT211" s="181" t="e">
        <f t="shared" si="93"/>
        <v>#DIV/0!</v>
      </c>
      <c r="BU211" s="182" t="e">
        <f t="shared" si="94"/>
        <v>#DIV/0!</v>
      </c>
      <c r="BV211" s="213" t="e">
        <f t="shared" si="95"/>
        <v>#DIV/0!</v>
      </c>
      <c r="BY211" s="180">
        <v>2051</v>
      </c>
      <c r="BZ211" s="22">
        <v>37</v>
      </c>
      <c r="CA211" s="198" t="e">
        <f t="shared" ca="1" si="96"/>
        <v>#REF!</v>
      </c>
      <c r="CB211" s="198" t="e">
        <f t="shared" ca="1" si="97"/>
        <v>#REF!</v>
      </c>
      <c r="CC211" s="198" t="e">
        <f t="shared" ca="1" si="108"/>
        <v>#REF!</v>
      </c>
      <c r="CD211" s="213" t="e">
        <f t="shared" ca="1" si="98"/>
        <v>#REF!</v>
      </c>
      <c r="CG211" s="180">
        <v>2051</v>
      </c>
      <c r="CH211" s="22">
        <v>37</v>
      </c>
      <c r="CI211" s="198" t="e">
        <f t="shared" ca="1" si="99"/>
        <v>#REF!</v>
      </c>
      <c r="CJ211" s="198" t="e">
        <f t="shared" ca="1" si="100"/>
        <v>#REF!</v>
      </c>
      <c r="CK211" s="198" t="e">
        <f t="shared" ca="1" si="101"/>
        <v>#REF!</v>
      </c>
      <c r="CL211" s="198" t="e">
        <f t="shared" ca="1" si="102"/>
        <v>#REF!</v>
      </c>
      <c r="CM211" s="213" t="e">
        <f t="shared" ca="1" si="103"/>
        <v>#REF!</v>
      </c>
      <c r="CP211" s="180">
        <v>2051</v>
      </c>
      <c r="CQ211" s="22">
        <v>37</v>
      </c>
      <c r="CR211" s="198" t="e">
        <f t="shared" ca="1" si="104"/>
        <v>#REF!</v>
      </c>
      <c r="CS211" s="198" t="e">
        <f t="shared" ca="1" si="105"/>
        <v>#REF!</v>
      </c>
      <c r="CT211" s="213" t="e">
        <f t="shared" ca="1" si="106"/>
        <v>#REF!</v>
      </c>
      <c r="CZ211" s="164" t="b">
        <f t="shared" si="114"/>
        <v>0</v>
      </c>
      <c r="DA211" s="165" t="b">
        <f t="shared" si="114"/>
        <v>0</v>
      </c>
      <c r="DB211" s="166" t="b">
        <f t="shared" si="114"/>
        <v>0</v>
      </c>
      <c r="DC211" s="164" t="str">
        <f t="shared" si="84"/>
        <v/>
      </c>
      <c r="DD211" s="166" t="str">
        <f t="shared" si="85"/>
        <v/>
      </c>
      <c r="DE211" s="164" t="str">
        <f t="shared" si="86"/>
        <v/>
      </c>
      <c r="DF211" s="166" t="str">
        <f t="shared" si="87"/>
        <v/>
      </c>
      <c r="DG211" s="164" t="str">
        <f t="shared" si="88"/>
        <v/>
      </c>
      <c r="DH211" s="166" t="str">
        <f t="shared" si="89"/>
        <v/>
      </c>
      <c r="DI211" s="164" t="str">
        <f>IFERROR(INDEX(DC$170:DC$218,_xlfn.AGGREGATE(15,6,(ROW(DC$170:DC$218)-ROW(DC$170)+1)/(DC$170:DC$218&lt;&gt;""),ROWS(DI$1:DI42))),"")</f>
        <v/>
      </c>
      <c r="DJ211" s="165" t="str">
        <f>IFERROR(INDEX(DD$170:DD$218,_xlfn.AGGREGATE(15,6,(ROW(DD$170:DD$218)-ROW(DD$170)+1)/(DD$170:DD$218&lt;&gt;""),ROWS(DJ$1:DJ42))),"")</f>
        <v/>
      </c>
      <c r="DK211" s="166" t="str">
        <f t="shared" si="90"/>
        <v/>
      </c>
      <c r="DL211" s="164" t="str">
        <f>IFERROR(INDEX(DE$170:DE$218,_xlfn.AGGREGATE(15,6,(ROW(DE$170:DE$218)-ROW(DE$170)+1)/(DE$170:DE$218&lt;&gt;""),ROWS(DL$1:DL42))),"")</f>
        <v/>
      </c>
      <c r="DM211" s="165" t="str">
        <f>IFERROR(INDEX(DF$170:DF$218,_xlfn.AGGREGATE(15,6,(ROW(DF$170:DF$218)-ROW(DF$170)+1)/(DF$170:DF$218&lt;&gt;""),ROWS(DM$1:DM42))),"")</f>
        <v/>
      </c>
      <c r="DN211" s="166" t="str">
        <f t="shared" si="91"/>
        <v/>
      </c>
      <c r="DO211" s="164" t="str">
        <f>IFERROR(INDEX(DG$170:DG$218,_xlfn.AGGREGATE(15,6,(ROW(DG$170:DG$218)-ROW(DG$170)+1)/(DG$170:DG$218&lt;&gt;""),ROWS(DO$1:DO42))),"")</f>
        <v/>
      </c>
      <c r="DP211" s="165" t="str">
        <f>IFERROR(INDEX(DH$170:DH$218,_xlfn.AGGREGATE(15,6,(ROW(DH$170:DH$218)-ROW(DH$170)+1)/(DH$170:DH$218&lt;&gt;""),ROWS(DP$1:DP42))),"")</f>
        <v/>
      </c>
      <c r="DQ211" s="166" t="str">
        <f t="shared" si="92"/>
        <v/>
      </c>
      <c r="DV211" s="145">
        <v>2056</v>
      </c>
      <c r="DW211" s="235" t="e">
        <f t="shared" ca="1" si="76"/>
        <v>#REF!</v>
      </c>
      <c r="EA211" s="55"/>
      <c r="EB211" s="55"/>
      <c r="EC211" s="55"/>
      <c r="ED211" s="55"/>
      <c r="EE211" s="55"/>
    </row>
    <row r="212" spans="1:135" ht="13.8" x14ac:dyDescent="0.45">
      <c r="B212" s="128">
        <v>2054</v>
      </c>
      <c r="C212" s="953"/>
      <c r="D212" s="944"/>
      <c r="E212" s="945"/>
      <c r="F212" s="1039"/>
      <c r="G212" s="981"/>
      <c r="H212" s="1040"/>
      <c r="I212" s="1112"/>
      <c r="J212" s="247"/>
      <c r="K212" s="245"/>
      <c r="L212" s="246"/>
      <c r="M212" s="245"/>
      <c r="N212" s="29" t="s">
        <v>119</v>
      </c>
      <c r="O212" s="120"/>
      <c r="P212" s="120"/>
      <c r="Q212" s="120"/>
      <c r="R212" s="29">
        <v>40</v>
      </c>
      <c r="S212" s="238" t="str">
        <f t="shared" si="110"/>
        <v/>
      </c>
      <c r="T212" s="238" t="str">
        <f t="shared" si="111"/>
        <v/>
      </c>
      <c r="U212" s="238" t="str">
        <f t="shared" si="112"/>
        <v/>
      </c>
      <c r="W212" s="238" t="e">
        <f t="shared" si="80"/>
        <v>#N/A</v>
      </c>
      <c r="X212" s="238" t="e">
        <f t="shared" si="113"/>
        <v>#N/A</v>
      </c>
      <c r="Y212" s="238" t="e">
        <f t="shared" si="82"/>
        <v>#N/A</v>
      </c>
      <c r="AA212" s="1133">
        <v>154.33312888889748</v>
      </c>
      <c r="AB212" s="1133">
        <v>191.63323111111549</v>
      </c>
      <c r="AC212" s="1133">
        <v>228.93333333333351</v>
      </c>
      <c r="AD212" s="89"/>
      <c r="AE212" s="89"/>
      <c r="AF212" s="89"/>
      <c r="AG212" s="89"/>
      <c r="AH212" s="89"/>
      <c r="AI212" s="89"/>
      <c r="AJ212" s="89"/>
      <c r="AK212" s="89"/>
      <c r="AL212" s="89"/>
      <c r="AM212" s="89"/>
      <c r="AN212" s="89"/>
      <c r="BR212" s="180">
        <v>2052</v>
      </c>
      <c r="BS212" s="22">
        <v>38</v>
      </c>
      <c r="BT212" s="181" t="e">
        <f t="shared" si="93"/>
        <v>#DIV/0!</v>
      </c>
      <c r="BU212" s="182" t="e">
        <f t="shared" si="94"/>
        <v>#DIV/0!</v>
      </c>
      <c r="BV212" s="241" t="e">
        <f t="shared" si="95"/>
        <v>#DIV/0!</v>
      </c>
      <c r="BY212" s="180">
        <v>2052</v>
      </c>
      <c r="BZ212" s="22">
        <v>38</v>
      </c>
      <c r="CA212" s="198" t="e">
        <f t="shared" ca="1" si="96"/>
        <v>#REF!</v>
      </c>
      <c r="CB212" s="198" t="e">
        <f t="shared" ca="1" si="97"/>
        <v>#REF!</v>
      </c>
      <c r="CC212" s="198" t="e">
        <f t="shared" ca="1" si="108"/>
        <v>#REF!</v>
      </c>
      <c r="CD212" s="241" t="e">
        <f t="shared" ca="1" si="98"/>
        <v>#REF!</v>
      </c>
      <c r="CG212" s="180">
        <v>2052</v>
      </c>
      <c r="CH212" s="22">
        <v>38</v>
      </c>
      <c r="CI212" s="198" t="e">
        <f t="shared" ca="1" si="99"/>
        <v>#REF!</v>
      </c>
      <c r="CJ212" s="198" t="e">
        <f t="shared" ca="1" si="100"/>
        <v>#REF!</v>
      </c>
      <c r="CK212" s="198" t="e">
        <f t="shared" ca="1" si="101"/>
        <v>#REF!</v>
      </c>
      <c r="CL212" s="198" t="e">
        <f t="shared" ca="1" si="102"/>
        <v>#REF!</v>
      </c>
      <c r="CM212" s="241" t="e">
        <f t="shared" ca="1" si="103"/>
        <v>#REF!</v>
      </c>
      <c r="CP212" s="180">
        <v>2052</v>
      </c>
      <c r="CQ212" s="22">
        <v>38</v>
      </c>
      <c r="CR212" s="198" t="e">
        <f t="shared" ca="1" si="104"/>
        <v>#REF!</v>
      </c>
      <c r="CS212" s="198" t="e">
        <f t="shared" ca="1" si="105"/>
        <v>#REF!</v>
      </c>
      <c r="CT212" s="241" t="e">
        <f t="shared" ca="1" si="106"/>
        <v>#REF!</v>
      </c>
      <c r="CZ212" s="164" t="b">
        <f t="shared" si="114"/>
        <v>0</v>
      </c>
      <c r="DA212" s="165" t="b">
        <f t="shared" si="114"/>
        <v>0</v>
      </c>
      <c r="DB212" s="166" t="b">
        <f t="shared" si="114"/>
        <v>0</v>
      </c>
      <c r="DC212" s="164" t="str">
        <f t="shared" si="84"/>
        <v/>
      </c>
      <c r="DD212" s="166" t="str">
        <f t="shared" si="85"/>
        <v/>
      </c>
      <c r="DE212" s="164" t="str">
        <f t="shared" si="86"/>
        <v/>
      </c>
      <c r="DF212" s="166" t="str">
        <f t="shared" si="87"/>
        <v/>
      </c>
      <c r="DG212" s="164" t="str">
        <f t="shared" si="88"/>
        <v/>
      </c>
      <c r="DH212" s="166" t="str">
        <f t="shared" si="89"/>
        <v/>
      </c>
      <c r="DI212" s="164" t="str">
        <f>IFERROR(INDEX(DC$170:DC$218,_xlfn.AGGREGATE(15,6,(ROW(DC$170:DC$218)-ROW(DC$170)+1)/(DC$170:DC$218&lt;&gt;""),ROWS(DI$1:DI43))),"")</f>
        <v/>
      </c>
      <c r="DJ212" s="165" t="str">
        <f>IFERROR(INDEX(DD$170:DD$218,_xlfn.AGGREGATE(15,6,(ROW(DD$170:DD$218)-ROW(DD$170)+1)/(DD$170:DD$218&lt;&gt;""),ROWS(DJ$1:DJ43))),"")</f>
        <v/>
      </c>
      <c r="DK212" s="166" t="str">
        <f t="shared" si="90"/>
        <v/>
      </c>
      <c r="DL212" s="164" t="str">
        <f>IFERROR(INDEX(DE$170:DE$218,_xlfn.AGGREGATE(15,6,(ROW(DE$170:DE$218)-ROW(DE$170)+1)/(DE$170:DE$218&lt;&gt;""),ROWS(DL$1:DL43))),"")</f>
        <v/>
      </c>
      <c r="DM212" s="165" t="str">
        <f>IFERROR(INDEX(DF$170:DF$218,_xlfn.AGGREGATE(15,6,(ROW(DF$170:DF$218)-ROW(DF$170)+1)/(DF$170:DF$218&lt;&gt;""),ROWS(DM$1:DM43))),"")</f>
        <v/>
      </c>
      <c r="DN212" s="166" t="str">
        <f t="shared" si="91"/>
        <v/>
      </c>
      <c r="DO212" s="164" t="str">
        <f>IFERROR(INDEX(DG$170:DG$218,_xlfn.AGGREGATE(15,6,(ROW(DG$170:DG$218)-ROW(DG$170)+1)/(DG$170:DG$218&lt;&gt;""),ROWS(DO$1:DO43))),"")</f>
        <v/>
      </c>
      <c r="DP212" s="165" t="str">
        <f>IFERROR(INDEX(DH$170:DH$218,_xlfn.AGGREGATE(15,6,(ROW(DH$170:DH$218)-ROW(DH$170)+1)/(DH$170:DH$218&lt;&gt;""),ROWS(DP$1:DP43))),"")</f>
        <v/>
      </c>
      <c r="DQ212" s="166" t="str">
        <f t="shared" si="92"/>
        <v/>
      </c>
      <c r="DV212" s="145">
        <v>2057</v>
      </c>
      <c r="DW212" s="235" t="e">
        <f t="shared" ca="1" si="76"/>
        <v>#REF!</v>
      </c>
      <c r="EA212" s="55"/>
      <c r="EB212" s="55"/>
      <c r="EC212" s="55"/>
      <c r="ED212" s="55"/>
      <c r="EE212" s="55"/>
    </row>
    <row r="213" spans="1:135" ht="13.8" x14ac:dyDescent="0.45">
      <c r="B213" s="128">
        <v>2055</v>
      </c>
      <c r="C213" s="953"/>
      <c r="D213" s="944"/>
      <c r="E213" s="945"/>
      <c r="F213" s="1039"/>
      <c r="G213" s="981"/>
      <c r="H213" s="1040"/>
      <c r="I213" s="1112"/>
      <c r="J213" s="247"/>
      <c r="K213" s="245"/>
      <c r="L213" s="246"/>
      <c r="M213" s="245"/>
      <c r="N213" s="29" t="s">
        <v>119</v>
      </c>
      <c r="O213" s="120"/>
      <c r="P213" s="120"/>
      <c r="Q213" s="120"/>
      <c r="R213" s="29">
        <v>41</v>
      </c>
      <c r="S213" s="238" t="str">
        <f t="shared" si="110"/>
        <v/>
      </c>
      <c r="T213" s="238" t="str">
        <f t="shared" si="111"/>
        <v/>
      </c>
      <c r="U213" s="238" t="str">
        <f t="shared" si="112"/>
        <v/>
      </c>
      <c r="W213" s="238" t="e">
        <f t="shared" si="80"/>
        <v>#N/A</v>
      </c>
      <c r="X213" s="238" t="e">
        <f t="shared" si="113"/>
        <v>#N/A</v>
      </c>
      <c r="Y213" s="238" t="e">
        <f t="shared" si="82"/>
        <v>#N/A</v>
      </c>
      <c r="AA213" s="1133">
        <v>155.09396504536238</v>
      </c>
      <c r="AB213" s="1133">
        <v>192.66364918934789</v>
      </c>
      <c r="AC213" s="1133">
        <v>230.23333333333341</v>
      </c>
      <c r="AD213" s="89"/>
      <c r="AE213" s="89"/>
      <c r="AF213" s="89"/>
      <c r="AG213" s="89"/>
      <c r="AH213" s="89"/>
      <c r="AI213" s="89"/>
      <c r="AJ213" s="89"/>
      <c r="AK213" s="89"/>
      <c r="AL213" s="89"/>
      <c r="AM213" s="89"/>
      <c r="AN213" s="89"/>
      <c r="BR213" s="180">
        <v>2053</v>
      </c>
      <c r="BS213" s="22">
        <v>39</v>
      </c>
      <c r="BT213" s="181" t="e">
        <f t="shared" si="93"/>
        <v>#DIV/0!</v>
      </c>
      <c r="BU213" s="182" t="e">
        <f t="shared" si="94"/>
        <v>#DIV/0!</v>
      </c>
      <c r="BV213" s="241" t="e">
        <f t="shared" si="95"/>
        <v>#DIV/0!</v>
      </c>
      <c r="BY213" s="180">
        <v>2053</v>
      </c>
      <c r="BZ213" s="22">
        <v>39</v>
      </c>
      <c r="CA213" s="198" t="e">
        <f t="shared" ca="1" si="96"/>
        <v>#REF!</v>
      </c>
      <c r="CB213" s="198" t="e">
        <f t="shared" ca="1" si="97"/>
        <v>#REF!</v>
      </c>
      <c r="CC213" s="198" t="e">
        <f t="shared" ca="1" si="108"/>
        <v>#REF!</v>
      </c>
      <c r="CD213" s="241" t="e">
        <f t="shared" ca="1" si="98"/>
        <v>#REF!</v>
      </c>
      <c r="CG213" s="180">
        <v>2053</v>
      </c>
      <c r="CH213" s="22">
        <v>39</v>
      </c>
      <c r="CI213" s="198" t="e">
        <f t="shared" ca="1" si="99"/>
        <v>#REF!</v>
      </c>
      <c r="CJ213" s="198" t="e">
        <f t="shared" ca="1" si="100"/>
        <v>#REF!</v>
      </c>
      <c r="CK213" s="198" t="e">
        <f t="shared" ca="1" si="101"/>
        <v>#REF!</v>
      </c>
      <c r="CL213" s="198" t="e">
        <f t="shared" ca="1" si="102"/>
        <v>#REF!</v>
      </c>
      <c r="CM213" s="241" t="e">
        <f t="shared" ca="1" si="103"/>
        <v>#REF!</v>
      </c>
      <c r="CP213" s="180">
        <v>2053</v>
      </c>
      <c r="CQ213" s="22">
        <v>39</v>
      </c>
      <c r="CR213" s="198" t="e">
        <f t="shared" ca="1" si="104"/>
        <v>#REF!</v>
      </c>
      <c r="CS213" s="198" t="e">
        <f t="shared" ca="1" si="105"/>
        <v>#REF!</v>
      </c>
      <c r="CT213" s="241" t="e">
        <f t="shared" ca="1" si="106"/>
        <v>#REF!</v>
      </c>
      <c r="CZ213" s="164" t="b">
        <f t="shared" si="114"/>
        <v>0</v>
      </c>
      <c r="DA213" s="165" t="b">
        <f t="shared" si="114"/>
        <v>0</v>
      </c>
      <c r="DB213" s="166" t="b">
        <f t="shared" si="114"/>
        <v>0</v>
      </c>
      <c r="DC213" s="164" t="str">
        <f t="shared" si="84"/>
        <v/>
      </c>
      <c r="DD213" s="166" t="str">
        <f t="shared" si="85"/>
        <v/>
      </c>
      <c r="DE213" s="164" t="str">
        <f t="shared" si="86"/>
        <v/>
      </c>
      <c r="DF213" s="166" t="str">
        <f t="shared" si="87"/>
        <v/>
      </c>
      <c r="DG213" s="164" t="str">
        <f t="shared" si="88"/>
        <v/>
      </c>
      <c r="DH213" s="166" t="str">
        <f t="shared" si="89"/>
        <v/>
      </c>
      <c r="DI213" s="164" t="str">
        <f>IFERROR(INDEX(DC$170:DC$218,_xlfn.AGGREGATE(15,6,(ROW(DC$170:DC$218)-ROW(DC$170)+1)/(DC$170:DC$218&lt;&gt;""),ROWS(DI$1:DI44))),"")</f>
        <v/>
      </c>
      <c r="DJ213" s="165" t="str">
        <f>IFERROR(INDEX(DD$170:DD$218,_xlfn.AGGREGATE(15,6,(ROW(DD$170:DD$218)-ROW(DD$170)+1)/(DD$170:DD$218&lt;&gt;""),ROWS(DJ$1:DJ44))),"")</f>
        <v/>
      </c>
      <c r="DK213" s="166" t="str">
        <f t="shared" si="90"/>
        <v/>
      </c>
      <c r="DL213" s="164" t="str">
        <f>IFERROR(INDEX(DE$170:DE$218,_xlfn.AGGREGATE(15,6,(ROW(DE$170:DE$218)-ROW(DE$170)+1)/(DE$170:DE$218&lt;&gt;""),ROWS(DL$1:DL44))),"")</f>
        <v/>
      </c>
      <c r="DM213" s="165" t="str">
        <f>IFERROR(INDEX(DF$170:DF$218,_xlfn.AGGREGATE(15,6,(ROW(DF$170:DF$218)-ROW(DF$170)+1)/(DF$170:DF$218&lt;&gt;""),ROWS(DM$1:DM44))),"")</f>
        <v/>
      </c>
      <c r="DN213" s="166" t="str">
        <f t="shared" si="91"/>
        <v/>
      </c>
      <c r="DO213" s="164" t="str">
        <f>IFERROR(INDEX(DG$170:DG$218,_xlfn.AGGREGATE(15,6,(ROW(DG$170:DG$218)-ROW(DG$170)+1)/(DG$170:DG$218&lt;&gt;""),ROWS(DO$1:DO44))),"")</f>
        <v/>
      </c>
      <c r="DP213" s="165" t="str">
        <f>IFERROR(INDEX(DH$170:DH$218,_xlfn.AGGREGATE(15,6,(ROW(DH$170:DH$218)-ROW(DH$170)+1)/(DH$170:DH$218&lt;&gt;""),ROWS(DP$1:DP44))),"")</f>
        <v/>
      </c>
      <c r="DQ213" s="166" t="str">
        <f t="shared" si="92"/>
        <v/>
      </c>
      <c r="DV213" s="145">
        <v>2058</v>
      </c>
      <c r="DW213" s="235" t="e">
        <f t="shared" ca="1" si="76"/>
        <v>#REF!</v>
      </c>
      <c r="EA213" s="55"/>
      <c r="EB213" s="55"/>
      <c r="EC213" s="55"/>
      <c r="ED213" s="55"/>
      <c r="EE213" s="55"/>
    </row>
    <row r="214" spans="1:135" ht="13.8" x14ac:dyDescent="0.45">
      <c r="B214" s="128">
        <v>2056</v>
      </c>
      <c r="C214" s="953"/>
      <c r="D214" s="944"/>
      <c r="E214" s="945"/>
      <c r="F214" s="1039"/>
      <c r="G214" s="981"/>
      <c r="H214" s="1040"/>
      <c r="I214" s="1112"/>
      <c r="J214" s="247"/>
      <c r="K214" s="245"/>
      <c r="L214" s="246"/>
      <c r="M214" s="245"/>
      <c r="N214" s="29" t="s">
        <v>119</v>
      </c>
      <c r="O214" s="120"/>
      <c r="P214" s="120"/>
      <c r="Q214" s="120"/>
      <c r="R214" s="29">
        <v>42</v>
      </c>
      <c r="S214" s="238" t="str">
        <f t="shared" si="110"/>
        <v/>
      </c>
      <c r="T214" s="238" t="str">
        <f t="shared" si="111"/>
        <v/>
      </c>
      <c r="U214" s="238" t="str">
        <f t="shared" si="112"/>
        <v/>
      </c>
      <c r="W214" s="238" t="e">
        <f t="shared" si="80"/>
        <v>#N/A</v>
      </c>
      <c r="X214" s="238" t="e">
        <f t="shared" si="113"/>
        <v>#N/A</v>
      </c>
      <c r="Y214" s="238" t="e">
        <f t="shared" si="82"/>
        <v>#N/A</v>
      </c>
      <c r="AA214" s="1133">
        <v>155.93075043685207</v>
      </c>
      <c r="AB214" s="1133">
        <v>193.73204188509274</v>
      </c>
      <c r="AC214" s="1133">
        <v>231.53333333333342</v>
      </c>
      <c r="AD214" s="89"/>
      <c r="AE214" s="89"/>
      <c r="AF214" s="89"/>
      <c r="AG214" s="89"/>
      <c r="AH214" s="89"/>
      <c r="AI214" s="89"/>
      <c r="AJ214" s="89"/>
      <c r="AK214" s="89"/>
      <c r="AL214" s="89"/>
      <c r="AM214" s="89"/>
      <c r="AN214" s="89"/>
      <c r="BR214" s="180">
        <v>2054</v>
      </c>
      <c r="BS214" s="22">
        <v>40</v>
      </c>
      <c r="BT214" s="181" t="e">
        <f t="shared" si="93"/>
        <v>#DIV/0!</v>
      </c>
      <c r="BU214" s="182" t="e">
        <f t="shared" si="94"/>
        <v>#DIV/0!</v>
      </c>
      <c r="BV214" s="242" t="e">
        <f t="shared" si="95"/>
        <v>#DIV/0!</v>
      </c>
      <c r="BY214" s="180">
        <v>2054</v>
      </c>
      <c r="BZ214" s="22">
        <v>40</v>
      </c>
      <c r="CA214" s="243" t="e">
        <f t="shared" ca="1" si="96"/>
        <v>#REF!</v>
      </c>
      <c r="CB214" s="243" t="e">
        <f t="shared" ca="1" si="97"/>
        <v>#REF!</v>
      </c>
      <c r="CC214" s="243" t="e">
        <f t="shared" ca="1" si="108"/>
        <v>#REF!</v>
      </c>
      <c r="CD214" s="242" t="e">
        <f t="shared" ca="1" si="98"/>
        <v>#REF!</v>
      </c>
      <c r="CG214" s="180">
        <v>2054</v>
      </c>
      <c r="CH214" s="22">
        <v>40</v>
      </c>
      <c r="CI214" s="243" t="e">
        <f t="shared" ca="1" si="99"/>
        <v>#REF!</v>
      </c>
      <c r="CJ214" s="243" t="e">
        <f t="shared" ca="1" si="100"/>
        <v>#REF!</v>
      </c>
      <c r="CK214" s="243" t="e">
        <f t="shared" ca="1" si="101"/>
        <v>#REF!</v>
      </c>
      <c r="CL214" s="243" t="e">
        <f t="shared" ca="1" si="102"/>
        <v>#REF!</v>
      </c>
      <c r="CM214" s="242" t="e">
        <f t="shared" ca="1" si="103"/>
        <v>#REF!</v>
      </c>
      <c r="CP214" s="180">
        <v>2054</v>
      </c>
      <c r="CQ214" s="22">
        <v>40</v>
      </c>
      <c r="CR214" s="243" t="e">
        <f t="shared" ca="1" si="104"/>
        <v>#REF!</v>
      </c>
      <c r="CS214" s="243" t="e">
        <f t="shared" ca="1" si="105"/>
        <v>#REF!</v>
      </c>
      <c r="CT214" s="242" t="e">
        <f t="shared" ca="1" si="106"/>
        <v>#REF!</v>
      </c>
      <c r="CZ214" s="164" t="b">
        <f t="shared" si="114"/>
        <v>0</v>
      </c>
      <c r="DA214" s="165" t="b">
        <f t="shared" si="114"/>
        <v>0</v>
      </c>
      <c r="DB214" s="166" t="b">
        <f t="shared" si="114"/>
        <v>0</v>
      </c>
      <c r="DC214" s="164" t="str">
        <f t="shared" si="84"/>
        <v/>
      </c>
      <c r="DD214" s="166" t="str">
        <f t="shared" si="85"/>
        <v/>
      </c>
      <c r="DE214" s="164" t="str">
        <f t="shared" si="86"/>
        <v/>
      </c>
      <c r="DF214" s="166" t="str">
        <f t="shared" si="87"/>
        <v/>
      </c>
      <c r="DG214" s="164" t="str">
        <f t="shared" si="88"/>
        <v/>
      </c>
      <c r="DH214" s="166" t="str">
        <f t="shared" si="89"/>
        <v/>
      </c>
      <c r="DI214" s="164" t="str">
        <f>IFERROR(INDEX(DC$170:DC$218,_xlfn.AGGREGATE(15,6,(ROW(DC$170:DC$218)-ROW(DC$170)+1)/(DC$170:DC$218&lt;&gt;""),ROWS(DI$1:DI45))),"")</f>
        <v/>
      </c>
      <c r="DJ214" s="165" t="str">
        <f>IFERROR(INDEX(DD$170:DD$218,_xlfn.AGGREGATE(15,6,(ROW(DD$170:DD$218)-ROW(DD$170)+1)/(DD$170:DD$218&lt;&gt;""),ROWS(DJ$1:DJ45))),"")</f>
        <v/>
      </c>
      <c r="DK214" s="166" t="str">
        <f t="shared" si="90"/>
        <v/>
      </c>
      <c r="DL214" s="164" t="str">
        <f>IFERROR(INDEX(DE$170:DE$218,_xlfn.AGGREGATE(15,6,(ROW(DE$170:DE$218)-ROW(DE$170)+1)/(DE$170:DE$218&lt;&gt;""),ROWS(DL$1:DL45))),"")</f>
        <v/>
      </c>
      <c r="DM214" s="165" t="str">
        <f>IFERROR(INDEX(DF$170:DF$218,_xlfn.AGGREGATE(15,6,(ROW(DF$170:DF$218)-ROW(DF$170)+1)/(DF$170:DF$218&lt;&gt;""),ROWS(DM$1:DM45))),"")</f>
        <v/>
      </c>
      <c r="DN214" s="166" t="str">
        <f t="shared" si="91"/>
        <v/>
      </c>
      <c r="DO214" s="164" t="str">
        <f>IFERROR(INDEX(DG$170:DG$218,_xlfn.AGGREGATE(15,6,(ROW(DG$170:DG$218)-ROW(DG$170)+1)/(DG$170:DG$218&lt;&gt;""),ROWS(DO$1:DO45))),"")</f>
        <v/>
      </c>
      <c r="DP214" s="165" t="str">
        <f>IFERROR(INDEX(DH$170:DH$218,_xlfn.AGGREGATE(15,6,(ROW(DH$170:DH$218)-ROW(DH$170)+1)/(DH$170:DH$218&lt;&gt;""),ROWS(DP$1:DP45))),"")</f>
        <v/>
      </c>
      <c r="DQ214" s="166" t="str">
        <f t="shared" si="92"/>
        <v/>
      </c>
      <c r="DV214" s="145">
        <v>2059</v>
      </c>
      <c r="DW214" s="235" t="e">
        <f t="shared" ca="1" si="76"/>
        <v>#REF!</v>
      </c>
      <c r="EA214" s="55"/>
      <c r="EB214" s="55"/>
      <c r="EC214" s="55"/>
      <c r="ED214" s="55"/>
      <c r="EE214" s="55"/>
    </row>
    <row r="215" spans="1:135" ht="13.8" x14ac:dyDescent="0.45">
      <c r="B215" s="128">
        <v>2057</v>
      </c>
      <c r="C215" s="953"/>
      <c r="D215" s="944"/>
      <c r="E215" s="945"/>
      <c r="F215" s="1039"/>
      <c r="G215" s="981"/>
      <c r="H215" s="1040"/>
      <c r="I215" s="1112"/>
      <c r="J215" s="247"/>
      <c r="K215" s="245"/>
      <c r="L215" s="246"/>
      <c r="M215" s="245"/>
      <c r="N215" s="29" t="s">
        <v>119</v>
      </c>
      <c r="O215" s="120"/>
      <c r="P215" s="120"/>
      <c r="Q215" s="120"/>
      <c r="R215" s="29">
        <v>43</v>
      </c>
      <c r="S215" s="238" t="str">
        <f t="shared" si="110"/>
        <v/>
      </c>
      <c r="T215" s="238" t="str">
        <f t="shared" si="111"/>
        <v/>
      </c>
      <c r="U215" s="238" t="str">
        <f t="shared" si="112"/>
        <v/>
      </c>
      <c r="W215" s="238" t="e">
        <f t="shared" si="80"/>
        <v>#N/A</v>
      </c>
      <c r="X215" s="238" t="e">
        <f t="shared" si="113"/>
        <v>#N/A</v>
      </c>
      <c r="Y215" s="238" t="e">
        <f t="shared" si="82"/>
        <v>#N/A</v>
      </c>
      <c r="AA215" s="1133">
        <v>156.85060080902733</v>
      </c>
      <c r="AB215" s="1133">
        <v>194.84196707118036</v>
      </c>
      <c r="AC215" s="1133">
        <v>232.8333333333334</v>
      </c>
      <c r="AD215" s="89"/>
      <c r="AE215" s="89"/>
      <c r="AF215" s="89"/>
      <c r="AG215" s="89"/>
      <c r="AH215" s="89"/>
      <c r="AI215" s="89"/>
      <c r="AJ215" s="89"/>
      <c r="AK215" s="89"/>
      <c r="AL215" s="89"/>
      <c r="AM215" s="89"/>
      <c r="AN215" s="89"/>
      <c r="BR215" s="180">
        <v>2055</v>
      </c>
      <c r="BS215" s="22">
        <v>41</v>
      </c>
      <c r="BT215" s="181" t="e">
        <f t="shared" si="93"/>
        <v>#DIV/0!</v>
      </c>
      <c r="BU215" s="182" t="e">
        <f t="shared" si="94"/>
        <v>#DIV/0!</v>
      </c>
      <c r="BV215" s="242" t="e">
        <f t="shared" si="95"/>
        <v>#DIV/0!</v>
      </c>
      <c r="BY215" s="180">
        <v>2055</v>
      </c>
      <c r="BZ215" s="22">
        <v>41</v>
      </c>
      <c r="CA215" s="243" t="e">
        <f t="shared" ca="1" si="96"/>
        <v>#REF!</v>
      </c>
      <c r="CB215" s="243" t="e">
        <f t="shared" ca="1" si="97"/>
        <v>#REF!</v>
      </c>
      <c r="CC215" s="243" t="e">
        <f t="shared" ca="1" si="108"/>
        <v>#REF!</v>
      </c>
      <c r="CD215" s="242" t="e">
        <f t="shared" ca="1" si="98"/>
        <v>#REF!</v>
      </c>
      <c r="CG215" s="180">
        <v>2055</v>
      </c>
      <c r="CH215" s="22">
        <v>41</v>
      </c>
      <c r="CI215" s="243" t="e">
        <f t="shared" ca="1" si="99"/>
        <v>#REF!</v>
      </c>
      <c r="CJ215" s="243" t="e">
        <f t="shared" ca="1" si="100"/>
        <v>#REF!</v>
      </c>
      <c r="CK215" s="243" t="e">
        <f t="shared" ca="1" si="101"/>
        <v>#REF!</v>
      </c>
      <c r="CL215" s="243" t="e">
        <f t="shared" ca="1" si="102"/>
        <v>#REF!</v>
      </c>
      <c r="CM215" s="242" t="e">
        <f t="shared" ca="1" si="103"/>
        <v>#REF!</v>
      </c>
      <c r="CP215" s="180">
        <v>2055</v>
      </c>
      <c r="CQ215" s="22">
        <v>41</v>
      </c>
      <c r="CR215" s="243" t="e">
        <f t="shared" ca="1" si="104"/>
        <v>#REF!</v>
      </c>
      <c r="CS215" s="243" t="e">
        <f t="shared" ca="1" si="105"/>
        <v>#REF!</v>
      </c>
      <c r="CT215" s="242" t="e">
        <f t="shared" ca="1" si="106"/>
        <v>#REF!</v>
      </c>
      <c r="CZ215" s="164" t="b">
        <f t="shared" si="114"/>
        <v>0</v>
      </c>
      <c r="DA215" s="165" t="b">
        <f t="shared" si="114"/>
        <v>0</v>
      </c>
      <c r="DB215" s="166" t="b">
        <f t="shared" si="114"/>
        <v>0</v>
      </c>
      <c r="DC215" s="164" t="str">
        <f t="shared" si="84"/>
        <v/>
      </c>
      <c r="DD215" s="166" t="str">
        <f t="shared" si="85"/>
        <v/>
      </c>
      <c r="DE215" s="164" t="str">
        <f t="shared" si="86"/>
        <v/>
      </c>
      <c r="DF215" s="166" t="str">
        <f t="shared" si="87"/>
        <v/>
      </c>
      <c r="DG215" s="164" t="str">
        <f t="shared" si="88"/>
        <v/>
      </c>
      <c r="DH215" s="166" t="str">
        <f t="shared" si="89"/>
        <v/>
      </c>
      <c r="DI215" s="164" t="str">
        <f>IFERROR(INDEX(DC$170:DC$218,_xlfn.AGGREGATE(15,6,(ROW(DC$170:DC$218)-ROW(DC$170)+1)/(DC$170:DC$218&lt;&gt;""),ROWS(DI$1:DI46))),"")</f>
        <v/>
      </c>
      <c r="DJ215" s="165" t="str">
        <f>IFERROR(INDEX(DD$170:DD$218,_xlfn.AGGREGATE(15,6,(ROW(DD$170:DD$218)-ROW(DD$170)+1)/(DD$170:DD$218&lt;&gt;""),ROWS(DJ$1:DJ46))),"")</f>
        <v/>
      </c>
      <c r="DK215" s="166" t="str">
        <f t="shared" si="90"/>
        <v/>
      </c>
      <c r="DL215" s="164" t="str">
        <f>IFERROR(INDEX(DE$170:DE$218,_xlfn.AGGREGATE(15,6,(ROW(DE$170:DE$218)-ROW(DE$170)+1)/(DE$170:DE$218&lt;&gt;""),ROWS(DL$1:DL46))),"")</f>
        <v/>
      </c>
      <c r="DM215" s="165" t="str">
        <f>IFERROR(INDEX(DF$170:DF$218,_xlfn.AGGREGATE(15,6,(ROW(DF$170:DF$218)-ROW(DF$170)+1)/(DF$170:DF$218&lt;&gt;""),ROWS(DM$1:DM46))),"")</f>
        <v/>
      </c>
      <c r="DN215" s="166" t="str">
        <f t="shared" si="91"/>
        <v/>
      </c>
      <c r="DO215" s="164" t="str">
        <f>IFERROR(INDEX(DG$170:DG$218,_xlfn.AGGREGATE(15,6,(ROW(DG$170:DG$218)-ROW(DG$170)+1)/(DG$170:DG$218&lt;&gt;""),ROWS(DO$1:DO46))),"")</f>
        <v/>
      </c>
      <c r="DP215" s="165" t="str">
        <f>IFERROR(INDEX(DH$170:DH$218,_xlfn.AGGREGATE(15,6,(ROW(DH$170:DH$218)-ROW(DH$170)+1)/(DH$170:DH$218&lt;&gt;""),ROWS(DP$1:DP46))),"")</f>
        <v/>
      </c>
      <c r="DQ215" s="166" t="str">
        <f t="shared" si="92"/>
        <v/>
      </c>
      <c r="DV215" s="145">
        <v>2060</v>
      </c>
      <c r="DW215" s="235" t="e">
        <f t="shared" ca="1" si="76"/>
        <v>#REF!</v>
      </c>
      <c r="EA215" s="55"/>
      <c r="EB215" s="55"/>
      <c r="EC215" s="55"/>
      <c r="ED215" s="55"/>
      <c r="EE215" s="55"/>
    </row>
    <row r="216" spans="1:135" ht="13.8" x14ac:dyDescent="0.45">
      <c r="A216" s="214"/>
      <c r="B216" s="128">
        <v>2058</v>
      </c>
      <c r="C216" s="953"/>
      <c r="D216" s="944"/>
      <c r="E216" s="945"/>
      <c r="F216" s="1039"/>
      <c r="G216" s="981"/>
      <c r="H216" s="1040"/>
      <c r="I216" s="1112"/>
      <c r="J216" s="247"/>
      <c r="K216" s="245"/>
      <c r="L216" s="246"/>
      <c r="M216" s="245"/>
      <c r="N216" s="29" t="s">
        <v>119</v>
      </c>
      <c r="R216" s="29">
        <v>44</v>
      </c>
      <c r="S216" s="238" t="str">
        <f t="shared" si="110"/>
        <v/>
      </c>
      <c r="T216" s="238" t="str">
        <f t="shared" si="111"/>
        <v/>
      </c>
      <c r="U216" s="238" t="str">
        <f t="shared" si="112"/>
        <v/>
      </c>
      <c r="W216" s="238" t="e">
        <f t="shared" si="80"/>
        <v>#N/A</v>
      </c>
      <c r="X216" s="238" t="e">
        <f t="shared" si="113"/>
        <v>#N/A</v>
      </c>
      <c r="Y216" s="238" t="e">
        <f t="shared" si="82"/>
        <v>#N/A</v>
      </c>
      <c r="AA216" s="1133">
        <v>157.86063190754896</v>
      </c>
      <c r="AB216" s="1133">
        <v>195.99698262044117</v>
      </c>
      <c r="AC216" s="1133">
        <v>234.13333333333338</v>
      </c>
      <c r="AD216" s="89"/>
      <c r="AE216" s="89"/>
      <c r="AF216" s="89"/>
      <c r="AG216" s="89"/>
      <c r="AH216" s="89"/>
      <c r="AI216" s="89"/>
      <c r="AJ216" s="89"/>
      <c r="AK216" s="89"/>
      <c r="AL216" s="89"/>
      <c r="AM216" s="89"/>
      <c r="AN216" s="89"/>
      <c r="BR216" s="180">
        <v>2056</v>
      </c>
      <c r="BS216" s="22">
        <v>42</v>
      </c>
      <c r="BT216" s="181" t="e">
        <f t="shared" si="93"/>
        <v>#DIV/0!</v>
      </c>
      <c r="BU216" s="182" t="e">
        <f t="shared" si="94"/>
        <v>#DIV/0!</v>
      </c>
      <c r="BV216" s="242" t="e">
        <f t="shared" si="95"/>
        <v>#DIV/0!</v>
      </c>
      <c r="BY216" s="180">
        <v>2056</v>
      </c>
      <c r="BZ216" s="22">
        <v>42</v>
      </c>
      <c r="CA216" s="243" t="e">
        <f t="shared" ca="1" si="96"/>
        <v>#REF!</v>
      </c>
      <c r="CB216" s="243" t="e">
        <f t="shared" ca="1" si="97"/>
        <v>#REF!</v>
      </c>
      <c r="CC216" s="243" t="e">
        <f t="shared" ca="1" si="108"/>
        <v>#REF!</v>
      </c>
      <c r="CD216" s="242" t="e">
        <f t="shared" ca="1" si="98"/>
        <v>#REF!</v>
      </c>
      <c r="CG216" s="180">
        <v>2056</v>
      </c>
      <c r="CH216" s="22">
        <v>42</v>
      </c>
      <c r="CI216" s="243" t="e">
        <f t="shared" ca="1" si="99"/>
        <v>#REF!</v>
      </c>
      <c r="CJ216" s="243" t="e">
        <f t="shared" ca="1" si="100"/>
        <v>#REF!</v>
      </c>
      <c r="CK216" s="243" t="e">
        <f t="shared" ca="1" si="101"/>
        <v>#REF!</v>
      </c>
      <c r="CL216" s="243" t="e">
        <f t="shared" ca="1" si="102"/>
        <v>#REF!</v>
      </c>
      <c r="CM216" s="242" t="e">
        <f t="shared" ca="1" si="103"/>
        <v>#REF!</v>
      </c>
      <c r="CP216" s="180">
        <v>2056</v>
      </c>
      <c r="CQ216" s="22">
        <v>42</v>
      </c>
      <c r="CR216" s="243" t="e">
        <f t="shared" ca="1" si="104"/>
        <v>#REF!</v>
      </c>
      <c r="CS216" s="243" t="e">
        <f t="shared" ca="1" si="105"/>
        <v>#REF!</v>
      </c>
      <c r="CT216" s="242" t="e">
        <f t="shared" ca="1" si="106"/>
        <v>#REF!</v>
      </c>
      <c r="CZ216" s="164" t="b">
        <f t="shared" si="114"/>
        <v>0</v>
      </c>
      <c r="DA216" s="165" t="b">
        <f t="shared" si="114"/>
        <v>0</v>
      </c>
      <c r="DB216" s="166" t="b">
        <f t="shared" si="114"/>
        <v>0</v>
      </c>
      <c r="DC216" s="164" t="str">
        <f t="shared" si="84"/>
        <v/>
      </c>
      <c r="DD216" s="166" t="str">
        <f t="shared" si="85"/>
        <v/>
      </c>
      <c r="DE216" s="164" t="str">
        <f t="shared" si="86"/>
        <v/>
      </c>
      <c r="DF216" s="166" t="str">
        <f t="shared" si="87"/>
        <v/>
      </c>
      <c r="DG216" s="164" t="str">
        <f t="shared" si="88"/>
        <v/>
      </c>
      <c r="DH216" s="166" t="str">
        <f t="shared" si="89"/>
        <v/>
      </c>
      <c r="DI216" s="164" t="str">
        <f>IFERROR(INDEX(DC$170:DC$218,_xlfn.AGGREGATE(15,6,(ROW(DC$170:DC$218)-ROW(DC$170)+1)/(DC$170:DC$218&lt;&gt;""),ROWS(DI$1:DI47))),"")</f>
        <v/>
      </c>
      <c r="DJ216" s="165" t="str">
        <f>IFERROR(INDEX(DD$170:DD$218,_xlfn.AGGREGATE(15,6,(ROW(DD$170:DD$218)-ROW(DD$170)+1)/(DD$170:DD$218&lt;&gt;""),ROWS(DJ$1:DJ47))),"")</f>
        <v/>
      </c>
      <c r="DK216" s="166" t="str">
        <f t="shared" si="90"/>
        <v/>
      </c>
      <c r="DL216" s="164" t="str">
        <f>IFERROR(INDEX(DE$170:DE$218,_xlfn.AGGREGATE(15,6,(ROW(DE$170:DE$218)-ROW(DE$170)+1)/(DE$170:DE$218&lt;&gt;""),ROWS(DL$1:DL47))),"")</f>
        <v/>
      </c>
      <c r="DM216" s="165" t="str">
        <f>IFERROR(INDEX(DF$170:DF$218,_xlfn.AGGREGATE(15,6,(ROW(DF$170:DF$218)-ROW(DF$170)+1)/(DF$170:DF$218&lt;&gt;""),ROWS(DM$1:DM47))),"")</f>
        <v/>
      </c>
      <c r="DN216" s="166" t="str">
        <f t="shared" si="91"/>
        <v/>
      </c>
      <c r="DO216" s="164" t="str">
        <f>IFERROR(INDEX(DG$170:DG$218,_xlfn.AGGREGATE(15,6,(ROW(DG$170:DG$218)-ROW(DG$170)+1)/(DG$170:DG$218&lt;&gt;""),ROWS(DO$1:DO47))),"")</f>
        <v/>
      </c>
      <c r="DP216" s="165" t="str">
        <f>IFERROR(INDEX(DH$170:DH$218,_xlfn.AGGREGATE(15,6,(ROW(DH$170:DH$218)-ROW(DH$170)+1)/(DH$170:DH$218&lt;&gt;""),ROWS(DP$1:DP47))),"")</f>
        <v/>
      </c>
      <c r="DQ216" s="166" t="str">
        <f t="shared" si="92"/>
        <v/>
      </c>
      <c r="DW216" s="54"/>
      <c r="EA216" s="55"/>
      <c r="EB216" s="55"/>
      <c r="EC216" s="55"/>
      <c r="ED216" s="55"/>
      <c r="EE216" s="55"/>
    </row>
    <row r="217" spans="1:135" ht="13.8" x14ac:dyDescent="0.45">
      <c r="A217" s="214"/>
      <c r="B217" s="128">
        <v>2059</v>
      </c>
      <c r="C217" s="953"/>
      <c r="D217" s="944"/>
      <c r="E217" s="945"/>
      <c r="F217" s="1039"/>
      <c r="G217" s="981"/>
      <c r="H217" s="1040"/>
      <c r="I217" s="1112"/>
      <c r="J217" s="247"/>
      <c r="K217" s="245"/>
      <c r="L217" s="246"/>
      <c r="M217" s="245"/>
      <c r="N217" s="29" t="s">
        <v>119</v>
      </c>
      <c r="R217" s="29">
        <v>45</v>
      </c>
      <c r="S217" s="238" t="str">
        <f t="shared" si="110"/>
        <v/>
      </c>
      <c r="T217" s="238" t="str">
        <f t="shared" si="111"/>
        <v/>
      </c>
      <c r="U217" s="238" t="str">
        <f t="shared" si="112"/>
        <v/>
      </c>
      <c r="W217" s="238" t="e">
        <f t="shared" si="80"/>
        <v>#N/A</v>
      </c>
      <c r="X217" s="238" t="e">
        <f t="shared" si="113"/>
        <v>#N/A</v>
      </c>
      <c r="Y217" s="238" t="e">
        <f t="shared" si="82"/>
        <v>#N/A</v>
      </c>
      <c r="AA217" s="1133">
        <v>158.96795947807749</v>
      </c>
      <c r="AB217" s="1133">
        <v>197.20064640570544</v>
      </c>
      <c r="AC217" s="1133">
        <v>235.43333333333339</v>
      </c>
      <c r="AD217" s="89"/>
      <c r="AE217" s="89"/>
      <c r="AF217" s="89"/>
      <c r="AG217" s="89"/>
      <c r="AH217" s="89"/>
      <c r="AI217" s="89"/>
      <c r="AJ217" s="89"/>
      <c r="AK217" s="89"/>
      <c r="AL217" s="89"/>
      <c r="AM217" s="89"/>
      <c r="AN217" s="89"/>
      <c r="BR217" s="180">
        <v>2057</v>
      </c>
      <c r="BS217" s="22">
        <v>43</v>
      </c>
      <c r="BT217" s="181" t="e">
        <f t="shared" si="93"/>
        <v>#DIV/0!</v>
      </c>
      <c r="BU217" s="182" t="e">
        <f t="shared" si="94"/>
        <v>#DIV/0!</v>
      </c>
      <c r="BV217" s="242" t="e">
        <f t="shared" si="95"/>
        <v>#DIV/0!</v>
      </c>
      <c r="BY217" s="180">
        <v>2057</v>
      </c>
      <c r="BZ217" s="22">
        <v>43</v>
      </c>
      <c r="CA217" s="243" t="e">
        <f t="shared" ca="1" si="96"/>
        <v>#REF!</v>
      </c>
      <c r="CB217" s="243" t="e">
        <f t="shared" ca="1" si="97"/>
        <v>#REF!</v>
      </c>
      <c r="CC217" s="243" t="e">
        <f t="shared" ca="1" si="108"/>
        <v>#REF!</v>
      </c>
      <c r="CD217" s="242" t="e">
        <f t="shared" ca="1" si="98"/>
        <v>#REF!</v>
      </c>
      <c r="CG217" s="180">
        <v>2057</v>
      </c>
      <c r="CH217" s="22">
        <v>43</v>
      </c>
      <c r="CI217" s="243" t="e">
        <f t="shared" ca="1" si="99"/>
        <v>#REF!</v>
      </c>
      <c r="CJ217" s="243" t="e">
        <f t="shared" ca="1" si="100"/>
        <v>#REF!</v>
      </c>
      <c r="CK217" s="243" t="e">
        <f t="shared" ca="1" si="101"/>
        <v>#REF!</v>
      </c>
      <c r="CL217" s="243" t="e">
        <f t="shared" ca="1" si="102"/>
        <v>#REF!</v>
      </c>
      <c r="CM217" s="242" t="e">
        <f t="shared" ca="1" si="103"/>
        <v>#REF!</v>
      </c>
      <c r="CP217" s="180">
        <v>2057</v>
      </c>
      <c r="CQ217" s="22">
        <v>43</v>
      </c>
      <c r="CR217" s="243" t="e">
        <f t="shared" ca="1" si="104"/>
        <v>#REF!</v>
      </c>
      <c r="CS217" s="243" t="e">
        <f t="shared" ca="1" si="105"/>
        <v>#REF!</v>
      </c>
      <c r="CT217" s="242" t="e">
        <f t="shared" ca="1" si="106"/>
        <v>#REF!</v>
      </c>
      <c r="CZ217" s="164" t="b">
        <f t="shared" si="114"/>
        <v>0</v>
      </c>
      <c r="DA217" s="165" t="b">
        <f t="shared" si="114"/>
        <v>0</v>
      </c>
      <c r="DB217" s="166" t="b">
        <f t="shared" si="114"/>
        <v>0</v>
      </c>
      <c r="DC217" s="164" t="str">
        <f t="shared" si="84"/>
        <v/>
      </c>
      <c r="DD217" s="166" t="str">
        <f t="shared" si="85"/>
        <v/>
      </c>
      <c r="DE217" s="164" t="str">
        <f t="shared" si="86"/>
        <v/>
      </c>
      <c r="DF217" s="166" t="str">
        <f t="shared" si="87"/>
        <v/>
      </c>
      <c r="DG217" s="164" t="str">
        <f t="shared" si="88"/>
        <v/>
      </c>
      <c r="DH217" s="166" t="str">
        <f t="shared" si="89"/>
        <v/>
      </c>
      <c r="DI217" s="164" t="str">
        <f>IFERROR(INDEX(DC$170:DC$218,_xlfn.AGGREGATE(15,6,(ROW(DC$170:DC$218)-ROW(DC$170)+1)/(DC$170:DC$218&lt;&gt;""),ROWS(DI$1:DI48))),"")</f>
        <v/>
      </c>
      <c r="DJ217" s="165" t="str">
        <f>IFERROR(INDEX(DD$170:DD$218,_xlfn.AGGREGATE(15,6,(ROW(DD$170:DD$218)-ROW(DD$170)+1)/(DD$170:DD$218&lt;&gt;""),ROWS(DJ$1:DJ48))),"")</f>
        <v/>
      </c>
      <c r="DK217" s="166" t="str">
        <f t="shared" si="90"/>
        <v/>
      </c>
      <c r="DL217" s="164" t="str">
        <f>IFERROR(INDEX(DE$170:DE$218,_xlfn.AGGREGATE(15,6,(ROW(DE$170:DE$218)-ROW(DE$170)+1)/(DE$170:DE$218&lt;&gt;""),ROWS(DL$1:DL48))),"")</f>
        <v/>
      </c>
      <c r="DM217" s="165" t="str">
        <f>IFERROR(INDEX(DF$170:DF$218,_xlfn.AGGREGATE(15,6,(ROW(DF$170:DF$218)-ROW(DF$170)+1)/(DF$170:DF$218&lt;&gt;""),ROWS(DM$1:DM48))),"")</f>
        <v/>
      </c>
      <c r="DN217" s="166" t="str">
        <f t="shared" si="91"/>
        <v/>
      </c>
      <c r="DO217" s="164" t="str">
        <f>IFERROR(INDEX(DG$170:DG$218,_xlfn.AGGREGATE(15,6,(ROW(DG$170:DG$218)-ROW(DG$170)+1)/(DG$170:DG$218&lt;&gt;""),ROWS(DO$1:DO48))),"")</f>
        <v/>
      </c>
      <c r="DP217" s="165" t="str">
        <f>IFERROR(INDEX(DH$170:DH$218,_xlfn.AGGREGATE(15,6,(ROW(DH$170:DH$218)-ROW(DH$170)+1)/(DH$170:DH$218&lt;&gt;""),ROWS(DP$1:DP48))),"")</f>
        <v/>
      </c>
      <c r="DQ217" s="166" t="str">
        <f t="shared" si="92"/>
        <v/>
      </c>
      <c r="DW217" s="54"/>
      <c r="EA217" s="55"/>
      <c r="EB217" s="55"/>
      <c r="EC217" s="55"/>
      <c r="ED217" s="55"/>
      <c r="EE217" s="55"/>
    </row>
    <row r="218" spans="1:135" ht="14.1" thickBot="1" x14ac:dyDescent="0.5">
      <c r="A218" s="214"/>
      <c r="B218" s="128">
        <v>2060</v>
      </c>
      <c r="C218" s="953"/>
      <c r="D218" s="944"/>
      <c r="E218" s="945"/>
      <c r="F218" s="1041"/>
      <c r="G218" s="1042"/>
      <c r="H218" s="1043"/>
      <c r="I218" s="1115"/>
      <c r="J218" s="251"/>
      <c r="K218" s="249"/>
      <c r="L218" s="250"/>
      <c r="M218" s="249"/>
      <c r="N218" s="29" t="s">
        <v>119</v>
      </c>
      <c r="R218" s="29">
        <v>46</v>
      </c>
      <c r="S218" s="238" t="str">
        <f t="shared" si="110"/>
        <v/>
      </c>
      <c r="T218" s="238" t="str">
        <f t="shared" si="111"/>
        <v/>
      </c>
      <c r="U218" s="238" t="str">
        <f t="shared" si="112"/>
        <v/>
      </c>
      <c r="W218" s="238" t="e">
        <f t="shared" si="80"/>
        <v>#N/A</v>
      </c>
      <c r="X218" s="238" t="e">
        <f t="shared" si="113"/>
        <v>#N/A</v>
      </c>
      <c r="Y218" s="238" t="e">
        <f t="shared" si="82"/>
        <v>#N/A</v>
      </c>
      <c r="AA218" s="1133">
        <v>160.17969926627387</v>
      </c>
      <c r="AB218" s="1133">
        <v>198.45651629980361</v>
      </c>
      <c r="AC218" s="1133">
        <v>236.73333333333335</v>
      </c>
      <c r="AD218" s="89"/>
      <c r="AE218" s="89"/>
      <c r="AF218" s="89"/>
      <c r="AG218" s="89"/>
      <c r="AH218" s="89"/>
      <c r="AI218" s="89"/>
      <c r="AJ218" s="89"/>
      <c r="AK218" s="89"/>
      <c r="AL218" s="89"/>
      <c r="AM218" s="89"/>
      <c r="AN218" s="89"/>
      <c r="BR218" s="180">
        <v>2058</v>
      </c>
      <c r="BS218" s="22">
        <v>44</v>
      </c>
      <c r="BT218" s="181" t="e">
        <f t="shared" si="93"/>
        <v>#DIV/0!</v>
      </c>
      <c r="BU218" s="182" t="e">
        <f t="shared" si="94"/>
        <v>#DIV/0!</v>
      </c>
      <c r="BV218" s="242" t="e">
        <f t="shared" si="95"/>
        <v>#DIV/0!</v>
      </c>
      <c r="BY218" s="180">
        <v>2058</v>
      </c>
      <c r="BZ218" s="22">
        <v>44</v>
      </c>
      <c r="CA218" s="243" t="e">
        <f t="shared" ca="1" si="96"/>
        <v>#REF!</v>
      </c>
      <c r="CB218" s="243" t="e">
        <f t="shared" ca="1" si="97"/>
        <v>#REF!</v>
      </c>
      <c r="CC218" s="243" t="e">
        <f t="shared" ca="1" si="108"/>
        <v>#REF!</v>
      </c>
      <c r="CD218" s="242" t="e">
        <f t="shared" ca="1" si="98"/>
        <v>#REF!</v>
      </c>
      <c r="CG218" s="180">
        <v>2058</v>
      </c>
      <c r="CH218" s="22">
        <v>44</v>
      </c>
      <c r="CI218" s="243" t="e">
        <f t="shared" ca="1" si="99"/>
        <v>#REF!</v>
      </c>
      <c r="CJ218" s="243" t="e">
        <f t="shared" ca="1" si="100"/>
        <v>#REF!</v>
      </c>
      <c r="CK218" s="243" t="e">
        <f t="shared" ca="1" si="101"/>
        <v>#REF!</v>
      </c>
      <c r="CL218" s="243" t="e">
        <f t="shared" ca="1" si="102"/>
        <v>#REF!</v>
      </c>
      <c r="CM218" s="242" t="e">
        <f t="shared" ca="1" si="103"/>
        <v>#REF!</v>
      </c>
      <c r="CP218" s="180">
        <v>2058</v>
      </c>
      <c r="CQ218" s="22">
        <v>44</v>
      </c>
      <c r="CR218" s="243" t="e">
        <f t="shared" ca="1" si="104"/>
        <v>#REF!</v>
      </c>
      <c r="CS218" s="243" t="e">
        <f t="shared" ca="1" si="105"/>
        <v>#REF!</v>
      </c>
      <c r="CT218" s="242" t="e">
        <f t="shared" ca="1" si="106"/>
        <v>#REF!</v>
      </c>
      <c r="CZ218" s="164" t="b">
        <f t="shared" si="114"/>
        <v>0</v>
      </c>
      <c r="DA218" s="165" t="b">
        <f t="shared" si="114"/>
        <v>0</v>
      </c>
      <c r="DB218" s="166" t="b">
        <f t="shared" si="114"/>
        <v>0</v>
      </c>
      <c r="DC218" s="164" t="str">
        <f t="shared" si="84"/>
        <v/>
      </c>
      <c r="DD218" s="166" t="str">
        <f t="shared" si="85"/>
        <v/>
      </c>
      <c r="DE218" s="164" t="str">
        <f t="shared" si="86"/>
        <v/>
      </c>
      <c r="DF218" s="166" t="str">
        <f t="shared" si="87"/>
        <v/>
      </c>
      <c r="DG218" s="164" t="str">
        <f t="shared" si="88"/>
        <v/>
      </c>
      <c r="DH218" s="166" t="str">
        <f t="shared" si="89"/>
        <v/>
      </c>
      <c r="DI218" s="164" t="str">
        <f>IFERROR(INDEX(DC$170:DC$218,_xlfn.AGGREGATE(15,6,(ROW(DC$170:DC$218)-ROW(DC$170)+1)/(DC$170:DC$218&lt;&gt;""),ROWS(DI$1:DI49))),"")</f>
        <v/>
      </c>
      <c r="DJ218" s="165" t="str">
        <f>IFERROR(INDEX(DD$170:DD$218,_xlfn.AGGREGATE(15,6,(ROW(DD$170:DD$218)-ROW(DD$170)+1)/(DD$170:DD$218&lt;&gt;""),ROWS(DJ$1:DJ49))),"")</f>
        <v/>
      </c>
      <c r="DK218" s="166" t="str">
        <f t="shared" si="90"/>
        <v/>
      </c>
      <c r="DL218" s="164" t="str">
        <f>IFERROR(INDEX(DE$170:DE$218,_xlfn.AGGREGATE(15,6,(ROW(DE$170:DE$218)-ROW(DE$170)+1)/(DE$170:DE$218&lt;&gt;""),ROWS(DL$1:DL49))),"")</f>
        <v/>
      </c>
      <c r="DM218" s="165" t="str">
        <f>IFERROR(INDEX(DF$170:DF$218,_xlfn.AGGREGATE(15,6,(ROW(DF$170:DF$218)-ROW(DF$170)+1)/(DF$170:DF$218&lt;&gt;""),ROWS(DM$1:DM49))),"")</f>
        <v/>
      </c>
      <c r="DN218" s="166" t="str">
        <f t="shared" si="91"/>
        <v/>
      </c>
      <c r="DO218" s="164" t="str">
        <f>IFERROR(INDEX(DG$170:DG$218,_xlfn.AGGREGATE(15,6,(ROW(DG$170:DG$218)-ROW(DG$170)+1)/(DG$170:DG$218&lt;&gt;""),ROWS(DO$1:DO49))),"")</f>
        <v/>
      </c>
      <c r="DP218" s="165" t="str">
        <f>IFERROR(INDEX(DH$170:DH$218,_xlfn.AGGREGATE(15,6,(ROW(DH$170:DH$218)-ROW(DH$170)+1)/(DH$170:DH$218&lt;&gt;""),ROWS(DP$1:DP49))),"")</f>
        <v/>
      </c>
      <c r="DQ218" s="166" t="str">
        <f t="shared" si="92"/>
        <v/>
      </c>
      <c r="DW218" s="54"/>
      <c r="EA218" s="55"/>
      <c r="EB218" s="55"/>
      <c r="EC218" s="55"/>
      <c r="ED218" s="55"/>
      <c r="EE218" s="55"/>
    </row>
    <row r="219" spans="1:135" x14ac:dyDescent="0.4">
      <c r="A219" s="214"/>
      <c r="B219" s="89"/>
      <c r="C219" s="14"/>
      <c r="D219" s="14"/>
      <c r="E219" s="14"/>
      <c r="F219" s="14"/>
      <c r="G219" s="14"/>
      <c r="H219" s="14"/>
      <c r="I219" s="14"/>
      <c r="J219" s="14"/>
      <c r="K219" s="14"/>
      <c r="L219" s="14"/>
      <c r="M219" s="50"/>
      <c r="S219" s="120"/>
      <c r="T219" s="120"/>
      <c r="U219" s="120"/>
      <c r="W219" s="120"/>
      <c r="X219" s="120"/>
      <c r="Y219" s="120"/>
      <c r="AA219" s="89"/>
      <c r="AB219" s="89"/>
      <c r="AC219" s="89"/>
      <c r="AD219" s="89"/>
      <c r="AE219" s="89"/>
      <c r="AF219" s="89"/>
      <c r="AG219" s="89"/>
      <c r="AH219" s="89"/>
      <c r="AI219" s="89"/>
      <c r="AJ219" s="89"/>
      <c r="AK219" s="89"/>
      <c r="AL219" s="89"/>
      <c r="AM219" s="89"/>
      <c r="AN219" s="89"/>
      <c r="BR219" s="180">
        <v>2059</v>
      </c>
      <c r="BS219" s="22">
        <v>45</v>
      </c>
      <c r="BT219" s="181" t="e">
        <f t="shared" si="93"/>
        <v>#DIV/0!</v>
      </c>
      <c r="BU219" s="182" t="e">
        <f t="shared" si="94"/>
        <v>#DIV/0!</v>
      </c>
      <c r="BV219" s="242" t="e">
        <f t="shared" si="95"/>
        <v>#DIV/0!</v>
      </c>
      <c r="BY219" s="180">
        <v>2059</v>
      </c>
      <c r="BZ219" s="22">
        <v>45</v>
      </c>
      <c r="CA219" s="243" t="e">
        <f t="shared" ca="1" si="96"/>
        <v>#REF!</v>
      </c>
      <c r="CB219" s="243" t="e">
        <f t="shared" ca="1" si="97"/>
        <v>#REF!</v>
      </c>
      <c r="CC219" s="243" t="e">
        <f t="shared" ca="1" si="108"/>
        <v>#REF!</v>
      </c>
      <c r="CD219" s="242" t="e">
        <f t="shared" ca="1" si="98"/>
        <v>#REF!</v>
      </c>
      <c r="CG219" s="180">
        <v>2059</v>
      </c>
      <c r="CH219" s="22">
        <v>45</v>
      </c>
      <c r="CI219" s="243" t="e">
        <f t="shared" ca="1" si="99"/>
        <v>#REF!</v>
      </c>
      <c r="CJ219" s="243" t="e">
        <f t="shared" ca="1" si="100"/>
        <v>#REF!</v>
      </c>
      <c r="CK219" s="243" t="e">
        <f t="shared" ca="1" si="101"/>
        <v>#REF!</v>
      </c>
      <c r="CL219" s="243" t="e">
        <f t="shared" ca="1" si="102"/>
        <v>#REF!</v>
      </c>
      <c r="CM219" s="242" t="e">
        <f t="shared" ca="1" si="103"/>
        <v>#REF!</v>
      </c>
      <c r="CP219" s="180">
        <v>2059</v>
      </c>
      <c r="CQ219" s="22">
        <v>45</v>
      </c>
      <c r="CR219" s="243" t="e">
        <f t="shared" ca="1" si="104"/>
        <v>#REF!</v>
      </c>
      <c r="CS219" s="243" t="e">
        <f t="shared" ca="1" si="105"/>
        <v>#REF!</v>
      </c>
      <c r="CT219" s="242" t="e">
        <f t="shared" ca="1" si="106"/>
        <v>#REF!</v>
      </c>
      <c r="CZ219" s="252"/>
      <c r="DA219" s="252"/>
      <c r="DB219" s="252"/>
      <c r="DC219" s="252"/>
      <c r="DD219" s="252"/>
      <c r="DE219" s="252"/>
      <c r="DF219" s="252"/>
      <c r="DG219" s="252"/>
      <c r="DH219" s="252"/>
      <c r="DI219" s="252"/>
      <c r="DJ219" s="252"/>
      <c r="DK219" s="252"/>
      <c r="DL219" s="252"/>
      <c r="DM219" s="252"/>
      <c r="DN219" s="252"/>
      <c r="DO219" s="252"/>
      <c r="DP219" s="252"/>
      <c r="DQ219" s="252"/>
      <c r="DU219" s="65"/>
      <c r="DW219" s="54"/>
      <c r="EA219" s="55"/>
      <c r="EB219" s="55"/>
      <c r="EC219" s="55"/>
      <c r="ED219" s="55"/>
      <c r="EE219" s="55"/>
    </row>
    <row r="220" spans="1:135" x14ac:dyDescent="0.4">
      <c r="A220" s="214"/>
      <c r="B220" s="89"/>
      <c r="C220" s="14"/>
      <c r="D220" s="14"/>
      <c r="E220" s="14"/>
      <c r="F220" s="14"/>
      <c r="G220" s="14"/>
      <c r="H220" s="14"/>
      <c r="I220" s="14"/>
      <c r="J220" s="14"/>
      <c r="K220" s="14"/>
      <c r="L220" s="14"/>
      <c r="M220" s="50"/>
      <c r="S220" s="120"/>
      <c r="T220" s="120"/>
      <c r="U220" s="120"/>
      <c r="W220" s="120"/>
      <c r="X220" s="120"/>
      <c r="Y220" s="120"/>
      <c r="AA220" s="89"/>
      <c r="AB220" s="89"/>
      <c r="AC220" s="89"/>
      <c r="AD220" s="89"/>
      <c r="AE220" s="89"/>
      <c r="AF220" s="89"/>
      <c r="AG220" s="89"/>
      <c r="AH220" s="89"/>
      <c r="AI220" s="89"/>
      <c r="AJ220" s="89"/>
      <c r="AK220" s="89"/>
      <c r="AL220" s="89"/>
      <c r="AM220" s="89"/>
      <c r="AN220" s="89"/>
      <c r="BR220" s="180">
        <v>2060</v>
      </c>
      <c r="BS220" s="22">
        <v>46</v>
      </c>
      <c r="BT220" s="181" t="e">
        <f t="shared" si="93"/>
        <v>#DIV/0!</v>
      </c>
      <c r="BU220" s="182" t="e">
        <f t="shared" si="94"/>
        <v>#DIV/0!</v>
      </c>
      <c r="BV220" s="242" t="e">
        <f t="shared" si="95"/>
        <v>#DIV/0!</v>
      </c>
      <c r="BY220" s="180">
        <v>2060</v>
      </c>
      <c r="BZ220" s="22">
        <v>46</v>
      </c>
      <c r="CA220" s="243" t="e">
        <f t="shared" ca="1" si="96"/>
        <v>#REF!</v>
      </c>
      <c r="CB220" s="243" t="e">
        <f t="shared" ca="1" si="97"/>
        <v>#REF!</v>
      </c>
      <c r="CC220" s="243" t="e">
        <f t="shared" ca="1" si="108"/>
        <v>#REF!</v>
      </c>
      <c r="CD220" s="242" t="e">
        <f t="shared" ca="1" si="98"/>
        <v>#REF!</v>
      </c>
      <c r="CG220" s="180">
        <v>2060</v>
      </c>
      <c r="CH220" s="22">
        <v>46</v>
      </c>
      <c r="CI220" s="243" t="e">
        <f t="shared" ca="1" si="99"/>
        <v>#REF!</v>
      </c>
      <c r="CJ220" s="243" t="e">
        <f t="shared" ca="1" si="100"/>
        <v>#REF!</v>
      </c>
      <c r="CK220" s="243" t="e">
        <f t="shared" ca="1" si="101"/>
        <v>#REF!</v>
      </c>
      <c r="CL220" s="243" t="e">
        <f t="shared" ca="1" si="102"/>
        <v>#REF!</v>
      </c>
      <c r="CM220" s="242" t="e">
        <f t="shared" ca="1" si="103"/>
        <v>#REF!</v>
      </c>
      <c r="CP220" s="180">
        <v>2060</v>
      </c>
      <c r="CQ220" s="22">
        <v>46</v>
      </c>
      <c r="CR220" s="243" t="e">
        <f t="shared" ca="1" si="104"/>
        <v>#REF!</v>
      </c>
      <c r="CS220" s="243" t="e">
        <f t="shared" ca="1" si="105"/>
        <v>#REF!</v>
      </c>
      <c r="CT220" s="242" t="e">
        <f t="shared" ca="1" si="106"/>
        <v>#REF!</v>
      </c>
      <c r="CZ220" s="89"/>
      <c r="DA220" s="89"/>
      <c r="DB220" s="89"/>
      <c r="DC220" s="89"/>
      <c r="DD220" s="89"/>
      <c r="DE220" s="89"/>
      <c r="DF220" s="89"/>
      <c r="DG220" s="89"/>
      <c r="DH220" s="89"/>
      <c r="DI220" s="89"/>
      <c r="DJ220" s="89"/>
      <c r="DK220" s="89"/>
      <c r="DL220" s="89"/>
      <c r="DM220" s="89"/>
      <c r="DN220" s="89"/>
      <c r="DO220" s="89"/>
      <c r="DP220" s="89"/>
      <c r="DQ220" s="89"/>
      <c r="DW220" s="54"/>
      <c r="EA220" s="55"/>
      <c r="EB220" s="55"/>
      <c r="EC220" s="55"/>
      <c r="ED220" s="55"/>
      <c r="EE220" s="55"/>
    </row>
    <row r="221" spans="1:135" x14ac:dyDescent="0.4">
      <c r="A221" s="221" t="str">
        <f ca="1">HYPERLINK("#"&amp;"'"&amp;A$1&amp;"'!a1","Back to top")</f>
        <v>Back to top</v>
      </c>
      <c r="C221" s="50"/>
      <c r="D221" s="14"/>
      <c r="E221" s="14"/>
      <c r="F221" s="14"/>
      <c r="G221" s="14"/>
      <c r="H221" s="14"/>
      <c r="I221" s="14"/>
      <c r="J221" s="14"/>
      <c r="K221" s="14"/>
      <c r="L221" s="14"/>
      <c r="M221" s="14"/>
      <c r="N221" s="89"/>
      <c r="O221" s="89"/>
      <c r="P221" s="89"/>
      <c r="Q221" s="89"/>
      <c r="R221" s="89"/>
      <c r="S221" s="89"/>
      <c r="T221" s="89"/>
      <c r="U221" s="89"/>
      <c r="V221" s="89"/>
      <c r="W221" s="89"/>
      <c r="X221" s="89"/>
      <c r="Y221" s="89"/>
      <c r="Z221" s="89"/>
      <c r="AA221" s="89"/>
      <c r="AB221" s="89"/>
      <c r="AC221" s="89"/>
      <c r="AD221" s="89"/>
      <c r="AE221" s="89"/>
      <c r="AF221" s="89"/>
      <c r="AG221" s="89"/>
      <c r="AH221" s="89"/>
      <c r="AI221" s="89"/>
      <c r="AJ221" s="89"/>
      <c r="AK221" s="89"/>
      <c r="AL221" s="89"/>
      <c r="AM221" s="89"/>
      <c r="AN221" s="89"/>
      <c r="DW221" s="54"/>
      <c r="EA221" s="55"/>
      <c r="EB221" s="55"/>
      <c r="EC221" s="55"/>
      <c r="ED221" s="55"/>
      <c r="EE221" s="55"/>
    </row>
    <row r="222" spans="1:135" x14ac:dyDescent="0.4">
      <c r="A222" s="221"/>
      <c r="C222" s="50"/>
      <c r="D222" s="14"/>
      <c r="E222" s="14"/>
      <c r="F222" s="14"/>
      <c r="G222" s="14"/>
      <c r="H222" s="14"/>
      <c r="I222" s="14"/>
      <c r="J222" s="14"/>
      <c r="K222" s="14"/>
      <c r="L222" s="14"/>
      <c r="M222" s="14"/>
      <c r="N222" s="89"/>
      <c r="O222" s="89"/>
      <c r="P222" s="89"/>
      <c r="Q222" s="89"/>
      <c r="R222" s="89"/>
      <c r="S222" s="89"/>
      <c r="T222" s="89"/>
      <c r="U222" s="89"/>
      <c r="V222" s="89"/>
      <c r="W222" s="89"/>
      <c r="X222" s="89"/>
      <c r="Y222" s="89"/>
      <c r="Z222" s="89"/>
      <c r="AA222" s="89"/>
      <c r="AB222" s="89"/>
      <c r="AC222" s="89"/>
      <c r="AD222" s="89"/>
      <c r="AE222" s="89"/>
      <c r="AF222" s="89"/>
      <c r="AG222" s="89"/>
      <c r="AH222" s="89"/>
      <c r="AI222" s="89"/>
      <c r="AJ222" s="89"/>
      <c r="AK222" s="89"/>
      <c r="AL222" s="89"/>
      <c r="AM222" s="89"/>
      <c r="AN222" s="89"/>
      <c r="DW222" s="54"/>
      <c r="EA222" s="55"/>
      <c r="EB222" s="55"/>
      <c r="EC222" s="55"/>
      <c r="ED222" s="55"/>
      <c r="EE222" s="55"/>
    </row>
    <row r="223" spans="1:135" x14ac:dyDescent="0.4">
      <c r="A223" s="214"/>
      <c r="B223" s="89"/>
      <c r="C223" s="14"/>
      <c r="D223" s="14"/>
      <c r="E223" s="14"/>
      <c r="F223" s="14"/>
      <c r="G223" s="14"/>
      <c r="H223" s="14"/>
      <c r="I223" s="14"/>
      <c r="J223" s="14"/>
      <c r="K223" s="14"/>
      <c r="L223" s="14"/>
      <c r="M223" s="50"/>
      <c r="N223" s="49"/>
      <c r="O223" s="49"/>
      <c r="P223" s="49"/>
      <c r="Q223" s="49"/>
      <c r="R223" s="49"/>
      <c r="S223" s="120"/>
      <c r="T223" s="120"/>
      <c r="U223" s="120"/>
      <c r="V223" s="49"/>
      <c r="W223" s="120"/>
      <c r="X223" s="120"/>
      <c r="Y223" s="120"/>
      <c r="Z223" s="89"/>
      <c r="AA223" s="89"/>
      <c r="AB223" s="89"/>
      <c r="AC223" s="89"/>
      <c r="AD223" s="89"/>
      <c r="AE223" s="89"/>
      <c r="AF223" s="89"/>
      <c r="AG223" s="89"/>
      <c r="AH223" s="89"/>
      <c r="AI223" s="89"/>
      <c r="AJ223" s="89"/>
      <c r="AK223" s="89"/>
      <c r="AL223" s="89"/>
      <c r="AM223" s="89"/>
      <c r="AN223" s="89"/>
      <c r="AO223" s="49"/>
      <c r="AP223" s="49"/>
      <c r="AQ223" s="49"/>
      <c r="AR223" s="49"/>
      <c r="AS223" s="49"/>
      <c r="AT223" s="49"/>
      <c r="AU223" s="49"/>
      <c r="AV223" s="49"/>
      <c r="AW223" s="49"/>
      <c r="AX223" s="49"/>
      <c r="AY223" s="49"/>
      <c r="AZ223" s="49"/>
      <c r="BA223" s="49"/>
      <c r="BB223" s="49"/>
      <c r="BC223" s="49"/>
      <c r="BD223" s="49"/>
      <c r="BE223" s="49"/>
      <c r="BF223" s="49"/>
      <c r="BG223" s="49"/>
      <c r="BH223" s="49"/>
      <c r="BI223" s="49"/>
      <c r="BJ223" s="49"/>
      <c r="BK223" s="49"/>
      <c r="BL223" s="49"/>
    </row>
    <row r="224" spans="1:135" x14ac:dyDescent="0.4">
      <c r="A224" s="253"/>
      <c r="B224" s="254"/>
      <c r="C224" s="255"/>
      <c r="D224" s="255"/>
      <c r="E224" s="255"/>
      <c r="F224" s="255"/>
      <c r="G224" s="255"/>
      <c r="H224" s="255"/>
      <c r="I224" s="255"/>
      <c r="J224" s="255"/>
      <c r="K224" s="255"/>
      <c r="L224" s="255"/>
      <c r="M224" s="256"/>
      <c r="S224" s="257"/>
      <c r="T224" s="257"/>
      <c r="U224" s="257"/>
      <c r="W224" s="257"/>
      <c r="X224" s="257"/>
      <c r="Y224" s="257"/>
      <c r="Z224" s="254"/>
      <c r="AA224" s="254"/>
      <c r="AB224" s="254"/>
      <c r="AC224" s="254"/>
      <c r="AD224" s="254"/>
      <c r="AE224" s="254"/>
      <c r="AF224" s="254"/>
      <c r="AG224" s="254"/>
      <c r="AH224" s="254"/>
      <c r="AI224" s="254"/>
      <c r="AJ224" s="254"/>
      <c r="AK224" s="254"/>
      <c r="AL224" s="254"/>
      <c r="AM224" s="254"/>
      <c r="AN224" s="254"/>
      <c r="DW224" s="258"/>
      <c r="EA224" s="259"/>
      <c r="EB224" s="259"/>
      <c r="EC224" s="259"/>
      <c r="ED224" s="259"/>
      <c r="EE224" s="259"/>
    </row>
    <row r="225" spans="1:135" x14ac:dyDescent="0.4">
      <c r="A225" s="253"/>
      <c r="B225" s="254"/>
      <c r="C225" s="255"/>
      <c r="D225" s="255"/>
      <c r="E225" s="255"/>
      <c r="F225" s="255"/>
      <c r="G225" s="255"/>
      <c r="H225" s="255"/>
      <c r="I225" s="255"/>
      <c r="J225" s="255"/>
      <c r="K225" s="255"/>
      <c r="L225" s="255"/>
      <c r="M225" s="256"/>
      <c r="S225" s="257"/>
      <c r="T225" s="257"/>
      <c r="U225" s="257"/>
      <c r="W225" s="257"/>
      <c r="X225" s="257"/>
      <c r="Y225" s="257"/>
      <c r="Z225" s="254"/>
      <c r="AA225" s="254"/>
      <c r="AB225" s="254"/>
      <c r="AC225" s="254"/>
      <c r="AD225" s="254"/>
      <c r="AE225" s="254"/>
      <c r="AF225" s="254"/>
      <c r="AG225" s="254"/>
      <c r="AH225" s="254"/>
      <c r="AI225" s="254"/>
      <c r="AJ225" s="254"/>
      <c r="AK225" s="254"/>
      <c r="AL225" s="254"/>
      <c r="AM225" s="254"/>
      <c r="AN225" s="254"/>
      <c r="DW225" s="258"/>
      <c r="EA225" s="259"/>
      <c r="EB225" s="259"/>
      <c r="EC225" s="259"/>
      <c r="ED225" s="259"/>
      <c r="EE225" s="259"/>
    </row>
    <row r="226" spans="1:135" x14ac:dyDescent="0.4">
      <c r="B226" s="281"/>
      <c r="C226" s="50"/>
      <c r="D226" s="14"/>
      <c r="E226" s="14"/>
      <c r="F226" s="14"/>
      <c r="G226" s="14"/>
      <c r="H226" s="14"/>
      <c r="I226" s="14"/>
      <c r="J226" s="14"/>
      <c r="K226" s="14"/>
      <c r="L226" s="14"/>
      <c r="M226" s="14"/>
      <c r="N226" s="89"/>
      <c r="O226" s="89"/>
      <c r="P226" s="89"/>
      <c r="Q226" s="89"/>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49"/>
      <c r="AP226" s="49"/>
      <c r="AQ226" s="49"/>
      <c r="AR226" s="49"/>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DW226" s="282"/>
      <c r="EA226" s="232"/>
      <c r="EB226" s="232"/>
      <c r="EC226" s="232"/>
      <c r="ED226" s="232"/>
      <c r="EE226" s="232"/>
    </row>
    <row r="227" spans="1:135" x14ac:dyDescent="0.4">
      <c r="A227" s="221"/>
      <c r="B227" s="281"/>
      <c r="C227" s="50"/>
      <c r="D227" s="14"/>
      <c r="E227" s="14"/>
      <c r="F227" s="14"/>
      <c r="G227" s="14"/>
      <c r="H227" s="14"/>
      <c r="I227" s="14"/>
      <c r="J227" s="14"/>
      <c r="K227" s="14"/>
      <c r="L227" s="14"/>
      <c r="M227" s="14"/>
      <c r="N227" s="89"/>
      <c r="O227" s="89"/>
      <c r="P227" s="89"/>
      <c r="Q227" s="89"/>
      <c r="R227" s="89"/>
      <c r="S227" s="89"/>
      <c r="T227" s="89"/>
      <c r="U227" s="89"/>
      <c r="V227" s="89"/>
      <c r="W227" s="89"/>
      <c r="X227" s="89"/>
      <c r="Y227" s="89"/>
      <c r="Z227" s="89"/>
      <c r="AA227" s="89"/>
      <c r="AB227" s="89"/>
      <c r="AC227" s="89"/>
      <c r="AD227" s="89"/>
      <c r="AE227" s="89"/>
      <c r="AF227" s="89"/>
      <c r="AG227" s="89"/>
      <c r="AH227" s="89"/>
      <c r="AI227" s="89"/>
      <c r="AJ227" s="89"/>
      <c r="AK227" s="89"/>
      <c r="AL227" s="89"/>
      <c r="AM227" s="89"/>
      <c r="AN227" s="89"/>
      <c r="AO227" s="49"/>
      <c r="AP227" s="49"/>
      <c r="AQ227" s="49"/>
      <c r="AR227" s="49"/>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DW227" s="282"/>
      <c r="EA227" s="232"/>
      <c r="EB227" s="232"/>
      <c r="EC227" s="232"/>
      <c r="ED227" s="232"/>
      <c r="EE227" s="232"/>
    </row>
    <row r="228" spans="1:135" x14ac:dyDescent="0.4">
      <c r="A228" s="261" t="s">
        <v>100</v>
      </c>
      <c r="B228" s="281"/>
      <c r="C228" s="50"/>
      <c r="D228" s="14"/>
      <c r="E228" s="14"/>
      <c r="F228" s="14"/>
      <c r="G228" s="14"/>
      <c r="H228" s="14"/>
      <c r="I228" s="14"/>
      <c r="J228" s="14"/>
      <c r="K228" s="14"/>
      <c r="L228" s="14"/>
      <c r="M228" s="14"/>
      <c r="N228" s="89"/>
      <c r="O228" s="89"/>
      <c r="P228" s="89"/>
      <c r="Q228" s="89"/>
      <c r="R228" s="89"/>
      <c r="S228" s="89"/>
      <c r="T228" s="89"/>
      <c r="U228" s="89"/>
      <c r="V228" s="89"/>
      <c r="W228" s="89"/>
      <c r="X228" s="89"/>
      <c r="Y228" s="89"/>
      <c r="Z228" s="89"/>
      <c r="AA228" s="261" t="s">
        <v>100</v>
      </c>
      <c r="AB228" s="89"/>
      <c r="AC228" s="89"/>
      <c r="AD228" s="89"/>
      <c r="AE228" s="89"/>
      <c r="AF228" s="89"/>
      <c r="AG228" s="89"/>
      <c r="AH228" s="89"/>
      <c r="AI228" s="89"/>
      <c r="AJ228" s="89"/>
      <c r="AK228" s="89"/>
      <c r="AL228" s="89"/>
      <c r="AM228" s="261" t="s">
        <v>100</v>
      </c>
      <c r="AN228" s="89"/>
      <c r="AO228" s="49"/>
      <c r="AP228" s="49"/>
      <c r="AQ228" s="49"/>
      <c r="AR228" s="49"/>
      <c r="AS228" s="49"/>
      <c r="AT228" s="49"/>
      <c r="AU228" s="49"/>
      <c r="AV228" s="49"/>
      <c r="AW228" s="49"/>
      <c r="AX228" s="49"/>
      <c r="AY228" s="49"/>
      <c r="AZ228" s="261" t="s">
        <v>100</v>
      </c>
      <c r="BA228" s="49"/>
      <c r="BB228" s="49"/>
      <c r="BC228" s="49"/>
      <c r="BD228" s="49"/>
      <c r="BE228" s="49"/>
      <c r="BF228" s="49"/>
      <c r="BG228" s="49"/>
      <c r="BH228" s="49"/>
      <c r="BI228" s="49"/>
      <c r="BJ228" s="261" t="s">
        <v>100</v>
      </c>
      <c r="BK228" s="49"/>
      <c r="BL228" s="49"/>
      <c r="BM228" s="49"/>
      <c r="BN228" s="49"/>
      <c r="BO228" s="49"/>
      <c r="BP228" s="49"/>
      <c r="BR228" s="261" t="s">
        <v>100</v>
      </c>
      <c r="BY228" s="261" t="s">
        <v>100</v>
      </c>
      <c r="CG228" s="261" t="s">
        <v>100</v>
      </c>
      <c r="CP228" s="261" t="s">
        <v>100</v>
      </c>
      <c r="DV228" s="261" t="s">
        <v>100</v>
      </c>
      <c r="DW228" s="282"/>
      <c r="EA228" s="232"/>
      <c r="EB228" s="232"/>
      <c r="EC228" s="232"/>
      <c r="ED228" s="232"/>
      <c r="EE228" s="232"/>
    </row>
    <row r="229" spans="1:135" x14ac:dyDescent="0.4">
      <c r="B229" s="694"/>
      <c r="C229" s="694"/>
      <c r="D229" s="113"/>
      <c r="E229" s="113"/>
      <c r="F229" s="113"/>
      <c r="G229" s="113"/>
      <c r="H229" s="113"/>
      <c r="I229" s="113"/>
      <c r="J229" s="113"/>
      <c r="K229" s="113"/>
      <c r="L229" s="113"/>
      <c r="M229" s="113"/>
      <c r="N229" s="114"/>
      <c r="O229" s="114"/>
      <c r="P229" s="114"/>
      <c r="Q229" s="114"/>
      <c r="R229" s="114"/>
      <c r="S229" s="114"/>
      <c r="T229" s="114"/>
      <c r="U229" s="114"/>
      <c r="V229" s="114"/>
      <c r="W229" s="114"/>
      <c r="X229" s="114"/>
      <c r="Y229" s="114"/>
      <c r="Z229" s="114"/>
      <c r="AA229" s="114"/>
      <c r="AB229" s="114"/>
      <c r="AC229" s="114"/>
      <c r="AD229" s="114"/>
      <c r="AE229" s="114"/>
      <c r="AF229" s="114"/>
      <c r="AG229" s="114"/>
      <c r="AH229" s="114"/>
      <c r="AI229" s="114"/>
      <c r="AJ229" s="114"/>
      <c r="AK229" s="114"/>
      <c r="AL229" s="114"/>
      <c r="AM229" s="114"/>
      <c r="AN229" s="114"/>
      <c r="AO229" s="89"/>
      <c r="DW229" s="54"/>
      <c r="EA229" s="55"/>
      <c r="EB229" s="55"/>
      <c r="EC229" s="55"/>
      <c r="ED229" s="55"/>
      <c r="EE229" s="55"/>
    </row>
    <row r="230" spans="1:135" ht="12.6" thickBot="1" x14ac:dyDescent="0.45">
      <c r="A230" s="233"/>
      <c r="B230" s="679"/>
      <c r="C230" s="679"/>
      <c r="D230" s="113"/>
      <c r="E230" s="113"/>
      <c r="F230" s="113"/>
      <c r="G230" s="113"/>
      <c r="H230" s="113"/>
      <c r="I230" s="113"/>
      <c r="J230" s="113"/>
      <c r="K230" s="113"/>
      <c r="L230" s="113"/>
      <c r="M230" s="113"/>
      <c r="N230" s="114"/>
      <c r="O230" s="114"/>
      <c r="P230" s="114"/>
      <c r="Q230" s="114"/>
      <c r="R230" s="114"/>
      <c r="S230" s="114"/>
      <c r="T230" s="114"/>
      <c r="U230" s="114"/>
      <c r="V230" s="114"/>
      <c r="W230" s="114"/>
      <c r="X230" s="114"/>
      <c r="Y230" s="114"/>
      <c r="Z230" s="114"/>
      <c r="AA230" s="114"/>
      <c r="AB230" s="114"/>
      <c r="AC230" s="114"/>
      <c r="AD230" s="114"/>
      <c r="AE230" s="114"/>
      <c r="AF230" s="114"/>
      <c r="AG230" s="114"/>
      <c r="AH230" s="114"/>
      <c r="AI230" s="114"/>
      <c r="AJ230" s="114"/>
      <c r="AK230" s="114"/>
      <c r="AL230" s="114"/>
      <c r="AM230" s="114"/>
      <c r="CZ230" s="116"/>
      <c r="DA230" s="116"/>
      <c r="DB230" s="116"/>
      <c r="DC230" s="116"/>
      <c r="DD230" s="116"/>
      <c r="DE230" s="116"/>
      <c r="DF230" s="116"/>
      <c r="DG230" s="116"/>
      <c r="DH230" s="116"/>
      <c r="DI230" s="117" t="str">
        <f>"DJ"&amp;MIN(DK233:DK281)</f>
        <v>DJ0</v>
      </c>
      <c r="DJ230" s="118" t="str">
        <f>"DJ"&amp;MAX(DK233:DK281)</f>
        <v>DJ0</v>
      </c>
      <c r="DK230" s="116"/>
      <c r="DL230" s="117" t="str">
        <f>"DM"&amp;MIN(DN233:DN281)</f>
        <v>DM0</v>
      </c>
      <c r="DM230" s="118" t="str">
        <f>"DM"&amp;MAX(DN233:DN281)</f>
        <v>DM0</v>
      </c>
      <c r="DN230" s="116"/>
      <c r="DO230" s="117" t="str">
        <f>"DP"&amp;MIN(DQ233:DQ281)</f>
        <v>DP0</v>
      </c>
      <c r="DP230" s="118" t="str">
        <f>"DP"&amp;MAX(DQ233:DQ281)</f>
        <v>DP0</v>
      </c>
      <c r="DQ230" s="116"/>
      <c r="DW230" s="119"/>
      <c r="EA230" s="33"/>
      <c r="EB230" s="33"/>
      <c r="EC230" s="33"/>
      <c r="ED230" s="33"/>
      <c r="EE230" s="33"/>
    </row>
    <row r="231" spans="1:135" ht="24.9" thickBot="1" x14ac:dyDescent="0.5">
      <c r="A231" s="676" t="s">
        <v>65</v>
      </c>
      <c r="C231" s="680" t="str">
        <f>A249</f>
        <v>Base Cases</v>
      </c>
      <c r="D231" s="681"/>
      <c r="E231" s="682"/>
      <c r="F231" s="683" t="str">
        <f>A250</f>
        <v>Conservative Cases</v>
      </c>
      <c r="G231" s="684"/>
      <c r="H231" s="685"/>
      <c r="I231" s="686" t="str">
        <f>A251</f>
        <v>Ambitious Cases</v>
      </c>
      <c r="J231" s="687"/>
      <c r="K231" s="688"/>
      <c r="L231" s="692" t="str">
        <f>A252</f>
        <v>Maximum Cases</v>
      </c>
      <c r="M231" s="693"/>
      <c r="O231" s="122"/>
      <c r="P231" s="122"/>
      <c r="Q231" s="122"/>
      <c r="W231" s="691" t="s">
        <v>66</v>
      </c>
      <c r="X231" s="691"/>
      <c r="Y231" s="691"/>
      <c r="Z231" s="120"/>
      <c r="AA231" s="1274" t="s">
        <v>1061</v>
      </c>
      <c r="AB231" s="1274"/>
      <c r="AC231" s="1274"/>
      <c r="AD231" s="120"/>
      <c r="AE231" s="120"/>
      <c r="AF231" s="120"/>
      <c r="AG231" s="120"/>
      <c r="AH231" s="120"/>
      <c r="AI231" s="120"/>
      <c r="AJ231" s="120"/>
      <c r="AK231" s="120"/>
      <c r="AL231" s="120"/>
      <c r="AM231" s="120"/>
      <c r="AN231" s="120"/>
      <c r="BR231" s="121" t="s">
        <v>67</v>
      </c>
      <c r="BS231" s="121"/>
      <c r="BT231" s="121"/>
      <c r="BU231" s="121"/>
      <c r="BV231" s="121"/>
      <c r="BW231" s="122"/>
      <c r="BY231" s="121" t="s">
        <v>68</v>
      </c>
      <c r="BZ231" s="121"/>
      <c r="CA231" s="121"/>
      <c r="CB231" s="121"/>
      <c r="CC231" s="121"/>
      <c r="CD231" s="121"/>
      <c r="CG231" s="121" t="s">
        <v>69</v>
      </c>
      <c r="CH231" s="121"/>
      <c r="CI231" s="121"/>
      <c r="CJ231" s="121"/>
      <c r="CK231" s="121"/>
      <c r="CL231" s="121"/>
      <c r="CM231" s="121"/>
      <c r="CP231" s="121" t="s">
        <v>70</v>
      </c>
      <c r="CQ231" s="121"/>
      <c r="CR231" s="121"/>
      <c r="CS231" s="121"/>
      <c r="CT231" s="121"/>
      <c r="CU231" s="121"/>
      <c r="CZ231" s="123"/>
      <c r="DA231" s="123"/>
      <c r="DB231" s="123"/>
      <c r="DC231" s="123"/>
      <c r="DD231" s="123"/>
      <c r="DE231" s="123"/>
      <c r="DF231" s="123"/>
      <c r="DG231" s="123"/>
      <c r="DH231" s="123"/>
      <c r="DI231" s="124" t="str">
        <f>"DI"&amp;MIN(DK233:DK281)</f>
        <v>DI0</v>
      </c>
      <c r="DJ231" s="125" t="str">
        <f>"DI"&amp;MAX(DK233:DK281)</f>
        <v>DI0</v>
      </c>
      <c r="DK231" s="123"/>
      <c r="DL231" s="124" t="str">
        <f>"DL"&amp;MIN(DN233:DN281)</f>
        <v>DL0</v>
      </c>
      <c r="DM231" s="125" t="str">
        <f>"DL"&amp;MAX(DN233:DN281)</f>
        <v>DL0</v>
      </c>
      <c r="DN231" s="123"/>
      <c r="DO231" s="124" t="str">
        <f>"DO"&amp;MIN(DQ233:DQ281)</f>
        <v>DO0</v>
      </c>
      <c r="DP231" s="125" t="str">
        <f>"DO"&amp;MAX(DQ233:DQ281)</f>
        <v>DO0</v>
      </c>
      <c r="DQ231" s="123"/>
      <c r="DV231" s="126" t="s">
        <v>71</v>
      </c>
      <c r="DZ231" s="127" t="s">
        <v>72</v>
      </c>
      <c r="EA231" s="33" t="str">
        <f>$L$23</f>
        <v>3rd Poly</v>
      </c>
    </row>
    <row r="232" spans="1:135" ht="86.4" thickBot="1" x14ac:dyDescent="0.5">
      <c r="A232" s="676" t="s">
        <v>73</v>
      </c>
      <c r="B232" s="128"/>
      <c r="C232" s="988" t="str">
        <f>A233</f>
        <v>Based on World Bank, What a Waste 2.0</v>
      </c>
      <c r="D232" s="996" t="str">
        <f>A234</f>
        <v>Based on Hoornweg et al (2014)</v>
      </c>
      <c r="E232" s="997" t="str">
        <f>A235</f>
        <v>[Source 3]</v>
      </c>
      <c r="F232" s="129" t="str">
        <f>A236</f>
        <v>[Source 1]</v>
      </c>
      <c r="G232" s="130" t="str">
        <f>A237</f>
        <v>[Source 2]</v>
      </c>
      <c r="H232" s="131" t="str">
        <f>A238</f>
        <v>[Source 3]</v>
      </c>
      <c r="I232" s="129" t="str">
        <f>A239</f>
        <v>Based on  IEA Annex I – Municipal solid waste potential in cities; Table I.1</v>
      </c>
      <c r="J232" s="130" t="str">
        <f>A240</f>
        <v>[Source 2]</v>
      </c>
      <c r="K232" s="131" t="str">
        <f>A241</f>
        <v>[Source 3]</v>
      </c>
      <c r="L232" s="129" t="str">
        <f>A242</f>
        <v>[Source 1]</v>
      </c>
      <c r="M232" s="131" t="str">
        <f>A243</f>
        <v>[Source 2]</v>
      </c>
      <c r="N232" s="234" t="s">
        <v>74</v>
      </c>
      <c r="O232" s="133"/>
      <c r="P232" s="133"/>
      <c r="Q232" s="133"/>
      <c r="R232" s="135" t="s">
        <v>76</v>
      </c>
      <c r="S232" s="134" t="s">
        <v>77</v>
      </c>
      <c r="T232" s="134" t="s">
        <v>78</v>
      </c>
      <c r="U232" s="136" t="s">
        <v>79</v>
      </c>
      <c r="V232" s="691"/>
      <c r="W232" s="136" t="s">
        <v>15</v>
      </c>
      <c r="X232" s="134" t="s">
        <v>21</v>
      </c>
      <c r="Y232" s="136" t="s">
        <v>25</v>
      </c>
      <c r="AA232" s="136" t="s">
        <v>15</v>
      </c>
      <c r="AB232" s="134" t="s">
        <v>21</v>
      </c>
      <c r="AC232" s="136" t="s">
        <v>25</v>
      </c>
      <c r="AD232" s="138"/>
      <c r="AE232" s="138"/>
      <c r="AF232" s="138"/>
      <c r="AG232" s="138"/>
      <c r="AH232" s="138"/>
      <c r="AI232" s="138"/>
      <c r="AJ232" s="138"/>
      <c r="AK232" s="138"/>
      <c r="AL232" s="138"/>
      <c r="AM232" s="138"/>
      <c r="AN232" s="138"/>
      <c r="BR232" s="139"/>
      <c r="BS232" s="139"/>
      <c r="BT232" s="139"/>
      <c r="BU232" s="139"/>
      <c r="BV232" s="139"/>
      <c r="BW232" s="122"/>
      <c r="BZ232" s="139"/>
      <c r="CA232" s="139"/>
      <c r="CB232" s="139"/>
      <c r="CC232" s="139"/>
      <c r="CD232" s="139"/>
      <c r="CH232" s="139"/>
      <c r="CI232" s="139"/>
      <c r="CJ232" s="139"/>
      <c r="CK232" s="139"/>
      <c r="CL232" s="139"/>
      <c r="CM232" s="139"/>
      <c r="CQ232" s="139"/>
      <c r="CR232" s="139"/>
      <c r="CS232" s="139"/>
      <c r="CT232" s="139"/>
      <c r="CU232" s="139"/>
      <c r="CZ232" s="140"/>
      <c r="DA232" s="140"/>
      <c r="DB232" s="140"/>
      <c r="DC232" s="140"/>
      <c r="DD232" s="141"/>
      <c r="DE232" s="141"/>
      <c r="DF232" s="141"/>
      <c r="DG232" s="141"/>
      <c r="DH232" s="140"/>
      <c r="DI232" s="142"/>
      <c r="DJ232" s="143"/>
      <c r="DK232" s="144"/>
      <c r="DL232" s="142"/>
      <c r="DM232" s="143"/>
      <c r="DN232" s="140"/>
      <c r="DO232" s="142"/>
      <c r="DP232" s="143"/>
      <c r="DQ232" s="140"/>
      <c r="DV232" s="145">
        <v>2014</v>
      </c>
      <c r="DW232" s="235" t="e">
        <f t="shared" ref="DW232:DW278" ca="1" si="115">IF($J$23="N","",IF($L$23="Linear",BV237,IF($L$23="2nd Poly",CD237,IF($L$23="3rd Poly",CM237,IF($L$23="Exp",CT237)))))</f>
        <v>#REF!</v>
      </c>
      <c r="EA232" s="33" t="str">
        <f>$M$23</f>
        <v>Medium</v>
      </c>
      <c r="EB232" s="33"/>
      <c r="EC232" s="33"/>
      <c r="ED232" s="33"/>
      <c r="EE232" s="33"/>
    </row>
    <row r="233" spans="1:135" ht="14.1" thickBot="1" x14ac:dyDescent="0.5">
      <c r="A233" s="948" t="s">
        <v>1032</v>
      </c>
      <c r="B233" s="128">
        <v>2012</v>
      </c>
      <c r="C233" s="1058"/>
      <c r="D233" s="1058"/>
      <c r="E233" s="1059"/>
      <c r="F233" s="1037"/>
      <c r="G233" s="1038"/>
      <c r="H233" s="1000"/>
      <c r="I233" s="1058"/>
      <c r="J233" s="264"/>
      <c r="K233" s="239"/>
      <c r="L233" s="190"/>
      <c r="M233" s="239"/>
      <c r="N233" s="29" t="s">
        <v>119</v>
      </c>
      <c r="O233" s="120"/>
      <c r="P233" s="120"/>
      <c r="Q233" s="120"/>
      <c r="R233" s="29">
        <v>-2</v>
      </c>
      <c r="S233" s="238" t="str">
        <f t="shared" ref="S233:S264" si="116">IF(MIN(C233:Q233)=0,"",MIN(C233:Q233))</f>
        <v/>
      </c>
      <c r="T233" s="238" t="str">
        <f t="shared" ref="T233:T264" si="117">IF(MAX(C233:Q233)=0,"",MAX(C233:Q233))</f>
        <v/>
      </c>
      <c r="U233" s="238" t="str">
        <f t="shared" ref="U233:U264" si="118">IF(T233="","",_xlfn.STDEV.P(C233:Q233))</f>
        <v/>
      </c>
      <c r="V233" s="29"/>
      <c r="W233" s="238" t="e">
        <f t="shared" ref="W233:W281" si="119">IF(U233="",#N/A,X233-(U233*$Q$23))</f>
        <v>#N/A</v>
      </c>
      <c r="X233" s="238" t="e">
        <f t="shared" ref="X233:X264" si="120">IF(U233="",#N/A,(SUM(C233:Q233)/COUNTIFS(C233:Q233,"&gt;0")))</f>
        <v>#N/A</v>
      </c>
      <c r="Y233" s="238" t="e">
        <f t="shared" ref="Y233:Y281" si="121">IF(U233="",#N/A,X233+(U233*$Q$22))</f>
        <v>#N/A</v>
      </c>
      <c r="AA233" s="1133">
        <v>714.8872146118722</v>
      </c>
      <c r="AB233" s="1133">
        <v>714.8872146118722</v>
      </c>
      <c r="AC233" s="1133">
        <v>714.8872146118722</v>
      </c>
      <c r="AD233" s="138"/>
      <c r="AE233" s="138"/>
      <c r="AF233" s="138"/>
      <c r="AG233" s="138"/>
      <c r="AH233" s="138"/>
      <c r="AI233" s="138"/>
      <c r="AJ233" s="138"/>
      <c r="AK233" s="138"/>
      <c r="AL233" s="138"/>
      <c r="AM233" s="138"/>
      <c r="AN233" s="138"/>
      <c r="BR233" s="691" t="s">
        <v>81</v>
      </c>
      <c r="BS233" s="65" t="str">
        <f>$M$23</f>
        <v>Medium</v>
      </c>
      <c r="BT233" s="691" t="s">
        <v>82</v>
      </c>
      <c r="BU233" s="691" t="s">
        <v>83</v>
      </c>
      <c r="BW233" s="133"/>
      <c r="BY233" s="691" t="s">
        <v>81</v>
      </c>
      <c r="BZ233" s="65" t="str">
        <f>$M$23</f>
        <v>Medium</v>
      </c>
      <c r="CA233" s="691" t="s">
        <v>84</v>
      </c>
      <c r="CB233" s="691" t="s">
        <v>82</v>
      </c>
      <c r="CC233" s="691" t="s">
        <v>83</v>
      </c>
      <c r="CG233" s="691" t="s">
        <v>81</v>
      </c>
      <c r="CH233" s="65" t="str">
        <f>$M$23</f>
        <v>Medium</v>
      </c>
      <c r="CI233" s="691" t="s">
        <v>85</v>
      </c>
      <c r="CJ233" s="691" t="s">
        <v>84</v>
      </c>
      <c r="CK233" s="691" t="s">
        <v>82</v>
      </c>
      <c r="CL233" s="691" t="s">
        <v>83</v>
      </c>
      <c r="CP233" s="691" t="s">
        <v>81</v>
      </c>
      <c r="CQ233" s="65" t="str">
        <f>$M$23</f>
        <v>Medium</v>
      </c>
      <c r="CR233" s="691" t="s">
        <v>86</v>
      </c>
      <c r="CS233" s="691" t="s">
        <v>87</v>
      </c>
      <c r="CZ233" s="155" t="b">
        <f t="shared" ref="CZ233:DB273" si="122">ISNUMBER(W233)</f>
        <v>0</v>
      </c>
      <c r="DA233" s="156" t="b">
        <f t="shared" si="122"/>
        <v>0</v>
      </c>
      <c r="DB233" s="157" t="b">
        <f t="shared" si="122"/>
        <v>0</v>
      </c>
      <c r="DC233" s="155" t="str">
        <f t="shared" ref="DC233:DC278" si="123">IF(CZ233=TRUE,$R233,"")</f>
        <v/>
      </c>
      <c r="DD233" s="157" t="str">
        <f t="shared" ref="DD233:DD278" si="124">IF(CZ233=TRUE,W233,"")</f>
        <v/>
      </c>
      <c r="DE233" s="155" t="str">
        <f t="shared" ref="DE233:DE278" si="125">IF(DA233=TRUE,$R233,"")</f>
        <v/>
      </c>
      <c r="DF233" s="157" t="str">
        <f t="shared" ref="DF233:DF278" si="126">IF(DA233=TRUE,X233,"")</f>
        <v/>
      </c>
      <c r="DG233" s="155" t="str">
        <f t="shared" ref="DG233:DG278" si="127">IF(DB233=TRUE,$R233,"")</f>
        <v/>
      </c>
      <c r="DH233" s="157" t="str">
        <f t="shared" ref="DH233:DH278" si="128">IF(DB233=TRUE,Y233,"")</f>
        <v/>
      </c>
      <c r="DI233" s="155" t="str">
        <f>IFERROR(INDEX(DC$233:DC$281,_xlfn.AGGREGATE(15,6,(ROW(DC$233:DC$281)-ROW(DC$233)+1)/(DC$233:DC$281&lt;&gt;""),ROWS(DI$1:DI1))),"")</f>
        <v/>
      </c>
      <c r="DJ233" s="156" t="str">
        <f>IFERROR(INDEX(DD$233:DD$281,_xlfn.AGGREGATE(15,6,(ROW(DD$233:DD$281)-ROW(DD$233)+1)/(DD$233:DD$281&lt;&gt;""),ROWS(DJ$1:DJ1))),"")</f>
        <v/>
      </c>
      <c r="DK233" s="157" t="str">
        <f t="shared" ref="DK233:DK278" si="129">IF(ISNUMBER(DI233),ROW(DI233),"")</f>
        <v/>
      </c>
      <c r="DL233" s="155" t="str">
        <f>IFERROR(INDEX(DE$233:DE$281,_xlfn.AGGREGATE(15,6,(ROW(DE$233:DE$281)-ROW(DE$233)+1)/(DE$233:DE$281&lt;&gt;""),ROWS(DL$1:DL1))),"")</f>
        <v/>
      </c>
      <c r="DM233" s="156" t="str">
        <f>IFERROR(INDEX(DF$233:DF$281,_xlfn.AGGREGATE(15,6,(ROW(DF$233:DF$281)-ROW(DF$233)+1)/(DF$233:DF$281&lt;&gt;""),ROWS(DM$1:DM1))),"")</f>
        <v/>
      </c>
      <c r="DN233" s="157" t="str">
        <f t="shared" ref="DN233:DN278" si="130">IF(ISNUMBER(DI233),ROW(DI233),"")</f>
        <v/>
      </c>
      <c r="DO233" s="155" t="str">
        <f>IFERROR(INDEX(DG$233:DG$281,_xlfn.AGGREGATE(15,6,(ROW(DG$233:DG$281)-ROW(DG$233)+1)/(DG$233:DG$281&lt;&gt;""),ROWS(DO$1:DO1))),"")</f>
        <v/>
      </c>
      <c r="DP233" s="156" t="str">
        <f>IFERROR(INDEX(DH$233:DH$281,_xlfn.AGGREGATE(15,6,(ROW(DH$233:DH$281)-ROW(DH$233)+1)/(DH$233:DH$281&lt;&gt;""),ROWS(DP$1:DP1))),"")</f>
        <v/>
      </c>
      <c r="DQ233" s="157" t="str">
        <f t="shared" ref="DQ233:DQ278" si="131">IF(ISNUMBER(DL233),ROW(DL233),"")</f>
        <v/>
      </c>
      <c r="DV233" s="145">
        <v>2015</v>
      </c>
      <c r="DW233" s="235" t="e">
        <f t="shared" ca="1" si="115"/>
        <v>#REF!</v>
      </c>
      <c r="EA233" s="33"/>
      <c r="EB233" s="33"/>
      <c r="EC233" s="33"/>
      <c r="ED233" s="33"/>
      <c r="EE233" s="33"/>
    </row>
    <row r="234" spans="1:135" ht="13.8" x14ac:dyDescent="0.45">
      <c r="A234" s="948" t="s">
        <v>1037</v>
      </c>
      <c r="B234" s="128">
        <v>2013</v>
      </c>
      <c r="C234" s="1045"/>
      <c r="D234" s="1045"/>
      <c r="E234" s="1048"/>
      <c r="F234" s="1053"/>
      <c r="G234" s="1054"/>
      <c r="H234" s="1055"/>
      <c r="I234" s="1142"/>
      <c r="J234" s="264"/>
      <c r="K234" s="239"/>
      <c r="L234" s="190"/>
      <c r="M234" s="239"/>
      <c r="N234" s="29" t="s">
        <v>119</v>
      </c>
      <c r="O234" s="120"/>
      <c r="P234" s="120"/>
      <c r="Q234" s="120"/>
      <c r="R234" s="29">
        <v>-1</v>
      </c>
      <c r="S234" s="238" t="str">
        <f t="shared" si="116"/>
        <v/>
      </c>
      <c r="T234" s="238" t="str">
        <f t="shared" si="117"/>
        <v/>
      </c>
      <c r="U234" s="238" t="str">
        <f t="shared" si="118"/>
        <v/>
      </c>
      <c r="V234" s="29"/>
      <c r="W234" s="238" t="e">
        <f t="shared" si="119"/>
        <v>#N/A</v>
      </c>
      <c r="X234" s="238" t="e">
        <f t="shared" si="120"/>
        <v>#N/A</v>
      </c>
      <c r="Y234" s="238" t="e">
        <f t="shared" si="121"/>
        <v>#N/A</v>
      </c>
      <c r="AA234" s="1133">
        <v>731.13618721461194</v>
      </c>
      <c r="AB234" s="1133">
        <v>731.13618721461194</v>
      </c>
      <c r="AC234" s="1133">
        <v>731.13618721461194</v>
      </c>
      <c r="AD234" s="138"/>
      <c r="AE234" s="138"/>
      <c r="AF234" s="138"/>
      <c r="AG234" s="138"/>
      <c r="AH234" s="138"/>
      <c r="AI234" s="138"/>
      <c r="AJ234" s="138"/>
      <c r="AK234" s="138"/>
      <c r="AL234" s="138"/>
      <c r="AM234" s="138"/>
      <c r="AN234" s="138"/>
      <c r="BS234" s="160" t="s">
        <v>25</v>
      </c>
      <c r="BT234" s="161" t="e">
        <f>SLOPE((DH233:DH281),($B$46:$B$94))</f>
        <v>#DIV/0!</v>
      </c>
      <c r="BU234" s="162" t="e">
        <f>INTERCEPT(DP233:DP281,DO233:DO281)</f>
        <v>#DIV/0!</v>
      </c>
      <c r="BW234" s="133"/>
      <c r="BZ234" s="160" t="s">
        <v>25</v>
      </c>
      <c r="CA234" s="161" t="e">
        <f ca="1">INDEX(LINEST((INDIRECT(DO230):INDIRECT(DP230)),(INDIRECT(DO231):INDIRECT(DP231))^{1,2}),1)</f>
        <v>#REF!</v>
      </c>
      <c r="CB234" s="163" t="e">
        <f ca="1">INDEX(LINEST((INDIRECT(DO230):INDIRECT(DP230)),(INDIRECT(DO231):INDIRECT(DP231))^{1,2}),1,2)</f>
        <v>#REF!</v>
      </c>
      <c r="CC234" s="162" t="e">
        <f ca="1">INDEX(LINEST((INDIRECT(DO230):INDIRECT(DP230)),(INDIRECT(DO231):INDIRECT(DP231))^{1,2}),1,3)</f>
        <v>#REF!</v>
      </c>
      <c r="CH234" s="160" t="s">
        <v>25</v>
      </c>
      <c r="CI234" s="161" t="e">
        <f ca="1">INDEX(LINEST((INDIRECT(DO230):INDIRECT(DP230)),(INDIRECT(DO231):INDIRECT(DP231))^{1,2,3}),1)</f>
        <v>#REF!</v>
      </c>
      <c r="CJ234" s="163" t="e">
        <f ca="1">INDEX(LINEST((INDIRECT(DO230):INDIRECT(DP230)),(INDIRECT(DO231):INDIRECT(DP231))^{1,2,3}),1,2)</f>
        <v>#REF!</v>
      </c>
      <c r="CK234" s="163" t="e">
        <f ca="1">INDEX(LINEST((INDIRECT(DO230):INDIRECT(DP230)),(INDIRECT(DO231):INDIRECT(DP231))^{1,2,3}),1,3)</f>
        <v>#REF!</v>
      </c>
      <c r="CL234" s="162" t="e">
        <f ca="1">INDEX(LINEST((INDIRECT(DO230):INDIRECT(DP230)),(INDIRECT(DO231):INDIRECT(DP231))^{1,2,3}),1,4)</f>
        <v>#REF!</v>
      </c>
      <c r="CQ234" s="160" t="s">
        <v>25</v>
      </c>
      <c r="CR234" s="161" t="e">
        <f ca="1">EXP(INDEX(LINEST(LN(INDIRECT(DO230):INDIRECT(DP230)),(INDIRECT(DO231):INDIRECT(DP231))),1,2))</f>
        <v>#REF!</v>
      </c>
      <c r="CS234" s="162" t="e">
        <f ca="1">INDEX(LINEST(LN(INDIRECT(DO230):INDIRECT(DP230)),(INDIRECT(DO231):INDIRECT(DP231))),1)</f>
        <v>#REF!</v>
      </c>
      <c r="CZ234" s="164" t="b">
        <f t="shared" si="122"/>
        <v>0</v>
      </c>
      <c r="DA234" s="165" t="b">
        <f t="shared" si="122"/>
        <v>0</v>
      </c>
      <c r="DB234" s="166" t="b">
        <f t="shared" si="122"/>
        <v>0</v>
      </c>
      <c r="DC234" s="164" t="str">
        <f t="shared" si="123"/>
        <v/>
      </c>
      <c r="DD234" s="166" t="str">
        <f t="shared" si="124"/>
        <v/>
      </c>
      <c r="DE234" s="164" t="str">
        <f t="shared" si="125"/>
        <v/>
      </c>
      <c r="DF234" s="166" t="str">
        <f t="shared" si="126"/>
        <v/>
      </c>
      <c r="DG234" s="164" t="str">
        <f t="shared" si="127"/>
        <v/>
      </c>
      <c r="DH234" s="166" t="str">
        <f t="shared" si="128"/>
        <v/>
      </c>
      <c r="DI234" s="164" t="str">
        <f>IFERROR(INDEX(DC$233:DC$281,_xlfn.AGGREGATE(15,6,(ROW(DC$233:DC$281)-ROW(DC$233)+1)/(DC$233:DC$281&lt;&gt;""),ROWS(DI$1:DI2))),"")</f>
        <v/>
      </c>
      <c r="DJ234" s="165" t="str">
        <f>IFERROR(INDEX(DD$233:DD$281,_xlfn.AGGREGATE(15,6,(ROW(DD$233:DD$281)-ROW(DD$233)+1)/(DD$233:DD$281&lt;&gt;""),ROWS(DJ$1:DJ2))),"")</f>
        <v/>
      </c>
      <c r="DK234" s="166" t="str">
        <f t="shared" si="129"/>
        <v/>
      </c>
      <c r="DL234" s="164" t="str">
        <f>IFERROR(INDEX(DE$233:DE$281,_xlfn.AGGREGATE(15,6,(ROW(DE$233:DE$281)-ROW(DE$233)+1)/(DE$233:DE$281&lt;&gt;""),ROWS(DL$1:DL2))),"")</f>
        <v/>
      </c>
      <c r="DM234" s="165" t="str">
        <f>IFERROR(INDEX(DF$233:DF$281,_xlfn.AGGREGATE(15,6,(ROW(DF$233:DF$281)-ROW(DF$233)+1)/(DF$233:DF$281&lt;&gt;""),ROWS(DM$1:DM2))),"")</f>
        <v/>
      </c>
      <c r="DN234" s="166" t="str">
        <f t="shared" si="130"/>
        <v/>
      </c>
      <c r="DO234" s="164" t="str">
        <f>IFERROR(INDEX(DG$233:DG$281,_xlfn.AGGREGATE(15,6,(ROW(DG$233:DG$281)-ROW(DG$233)+1)/(DG$233:DG$281&lt;&gt;""),ROWS(DO$1:DO2))),"")</f>
        <v/>
      </c>
      <c r="DP234" s="165" t="str">
        <f>IFERROR(INDEX(DH$233:DH$281,_xlfn.AGGREGATE(15,6,(ROW(DH$233:DH$281)-ROW(DH$233)+1)/(DH$233:DH$281&lt;&gt;""),ROWS(DP$1:DP2))),"")</f>
        <v/>
      </c>
      <c r="DQ234" s="166" t="str">
        <f t="shared" si="131"/>
        <v/>
      </c>
      <c r="DV234" s="145">
        <v>2016</v>
      </c>
      <c r="DW234" s="235" t="e">
        <f t="shared" ca="1" si="115"/>
        <v>#REF!</v>
      </c>
      <c r="EA234" s="33"/>
      <c r="EB234" s="33"/>
      <c r="EC234" s="33"/>
      <c r="ED234" s="33"/>
      <c r="EE234" s="33"/>
    </row>
    <row r="235" spans="1:135" ht="13.8" x14ac:dyDescent="0.45">
      <c r="A235" s="948" t="s">
        <v>90</v>
      </c>
      <c r="B235" s="128">
        <v>2014</v>
      </c>
      <c r="C235" s="1046"/>
      <c r="D235" s="1046"/>
      <c r="E235" s="1049"/>
      <c r="F235" s="931"/>
      <c r="G235" s="168"/>
      <c r="H235" s="169"/>
      <c r="I235" s="1046"/>
      <c r="J235" s="168"/>
      <c r="K235" s="169"/>
      <c r="L235" s="170"/>
      <c r="M235" s="169"/>
      <c r="N235" s="29" t="s">
        <v>119</v>
      </c>
      <c r="O235" s="120"/>
      <c r="P235" s="120"/>
      <c r="Q235" s="120"/>
      <c r="R235" s="29">
        <v>0</v>
      </c>
      <c r="S235" s="238" t="str">
        <f t="shared" si="116"/>
        <v/>
      </c>
      <c r="T235" s="238" t="str">
        <f t="shared" si="117"/>
        <v/>
      </c>
      <c r="U235" s="238" t="str">
        <f t="shared" si="118"/>
        <v/>
      </c>
      <c r="V235" s="29"/>
      <c r="W235" s="238" t="e">
        <f t="shared" si="119"/>
        <v>#N/A</v>
      </c>
      <c r="X235" s="238" t="e">
        <f t="shared" si="120"/>
        <v>#N/A</v>
      </c>
      <c r="Y235" s="238" t="e">
        <f t="shared" si="121"/>
        <v>#N/A</v>
      </c>
      <c r="AA235" s="1133">
        <v>747.38515981735168</v>
      </c>
      <c r="AB235" s="1133">
        <v>747.38515981735168</v>
      </c>
      <c r="AC235" s="1133">
        <v>747.38515981735168</v>
      </c>
      <c r="AD235" s="138"/>
      <c r="AE235" s="138"/>
      <c r="AF235" s="138"/>
      <c r="AG235" s="138"/>
      <c r="AH235" s="138"/>
      <c r="AI235" s="138"/>
      <c r="AJ235" s="138"/>
      <c r="AK235" s="138"/>
      <c r="AL235" s="138"/>
      <c r="AM235" s="138"/>
      <c r="AN235" s="138"/>
      <c r="BS235" s="160" t="s">
        <v>91</v>
      </c>
      <c r="BT235" s="172" t="e">
        <f>SLOPE((DF233:DF281),($B$46:$B$94))</f>
        <v>#DIV/0!</v>
      </c>
      <c r="BU235" s="173" t="e">
        <f>INTERCEPT(DM233:DM281,DL233:DL281)</f>
        <v>#DIV/0!</v>
      </c>
      <c r="BZ235" s="160" t="s">
        <v>91</v>
      </c>
      <c r="CA235" s="172" t="e">
        <f ca="1">INDEX(LINEST((INDIRECT(DL230):INDIRECT(DM230)),(INDIRECT(DL231):INDIRECT(DM231))^{1,2}),1)</f>
        <v>#REF!</v>
      </c>
      <c r="CB235" s="174" t="e">
        <f ca="1">INDEX(LINEST((INDIRECT(DL230):INDIRECT(DM230)),(INDIRECT(DL231):INDIRECT(DM231))^{1,2}),1,2)</f>
        <v>#REF!</v>
      </c>
      <c r="CC235" s="173" t="e">
        <f ca="1">INDEX(LINEST((INDIRECT(DL230):INDIRECT(DM230)),(INDIRECT(DL231):INDIRECT(DM231))^{1,2}),1,3)</f>
        <v>#REF!</v>
      </c>
      <c r="CH235" s="160" t="s">
        <v>91</v>
      </c>
      <c r="CI235" s="172" t="e">
        <f ca="1">INDEX(LINEST((INDIRECT(DL230):INDIRECT(DM230)),(INDIRECT(DL231):INDIRECT(DM231))^{1,2,3}),1)</f>
        <v>#REF!</v>
      </c>
      <c r="CJ235" s="174" t="e">
        <f ca="1">INDEX(LINEST((INDIRECT(DL230):INDIRECT(DM230)),(INDIRECT(DL231):INDIRECT(DM231))^{1,2,3}),1,2)</f>
        <v>#REF!</v>
      </c>
      <c r="CK235" s="174" t="e">
        <f ca="1">INDEX(LINEST((INDIRECT(DL230):INDIRECT(DM230)),(INDIRECT(DL231):INDIRECT(DM231))^{1,2,3}),1,3)</f>
        <v>#REF!</v>
      </c>
      <c r="CL235" s="173" t="e">
        <f ca="1">INDEX(LINEST((INDIRECT(DL230):INDIRECT(DM230)),(INDIRECT(DL231):INDIRECT(DM231))^{1,2,3}),1,4)</f>
        <v>#REF!</v>
      </c>
      <c r="CQ235" s="160" t="s">
        <v>91</v>
      </c>
      <c r="CR235" s="172" t="e">
        <f ca="1">EXP(INDEX(LINEST(LN(INDIRECT(DL230):INDIRECT(DM230)),(INDIRECT(DL231):INDIRECT(DM231))),1,2))</f>
        <v>#REF!</v>
      </c>
      <c r="CS235" s="173" t="e">
        <f ca="1">INDEX(LINEST(LN(INDIRECT(DL230):INDIRECT(DM230)),(INDIRECT(DL231):INDIRECT(DM231))),1)</f>
        <v>#REF!</v>
      </c>
      <c r="CZ235" s="164" t="b">
        <f t="shared" si="122"/>
        <v>0</v>
      </c>
      <c r="DA235" s="165" t="b">
        <f t="shared" si="122"/>
        <v>0</v>
      </c>
      <c r="DB235" s="166" t="b">
        <f t="shared" si="122"/>
        <v>0</v>
      </c>
      <c r="DC235" s="164" t="str">
        <f t="shared" si="123"/>
        <v/>
      </c>
      <c r="DD235" s="166" t="str">
        <f t="shared" si="124"/>
        <v/>
      </c>
      <c r="DE235" s="164" t="str">
        <f t="shared" si="125"/>
        <v/>
      </c>
      <c r="DF235" s="166" t="str">
        <f t="shared" si="126"/>
        <v/>
      </c>
      <c r="DG235" s="164" t="str">
        <f t="shared" si="127"/>
        <v/>
      </c>
      <c r="DH235" s="166" t="str">
        <f t="shared" si="128"/>
        <v/>
      </c>
      <c r="DI235" s="164" t="str">
        <f>IFERROR(INDEX(DC$233:DC$281,_xlfn.AGGREGATE(15,6,(ROW(DC$233:DC$281)-ROW(DC$233)+1)/(DC$233:DC$281&lt;&gt;""),ROWS(DI$1:DI3))),"")</f>
        <v/>
      </c>
      <c r="DJ235" s="165" t="str">
        <f>IFERROR(INDEX(DD$233:DD$281,_xlfn.AGGREGATE(15,6,(ROW(DD$233:DD$281)-ROW(DD$233)+1)/(DD$233:DD$281&lt;&gt;""),ROWS(DJ$1:DJ3))),"")</f>
        <v/>
      </c>
      <c r="DK235" s="166" t="str">
        <f t="shared" si="129"/>
        <v/>
      </c>
      <c r="DL235" s="164" t="str">
        <f>IFERROR(INDEX(DE$233:DE$281,_xlfn.AGGREGATE(15,6,(ROW(DE$233:DE$281)-ROW(DE$233)+1)/(DE$233:DE$281&lt;&gt;""),ROWS(DL$1:DL3))),"")</f>
        <v/>
      </c>
      <c r="DM235" s="165" t="str">
        <f>IFERROR(INDEX(DF$233:DF$281,_xlfn.AGGREGATE(15,6,(ROW(DF$233:DF$281)-ROW(DF$233)+1)/(DF$233:DF$281&lt;&gt;""),ROWS(DM$1:DM3))),"")</f>
        <v/>
      </c>
      <c r="DN235" s="166" t="str">
        <f t="shared" si="130"/>
        <v/>
      </c>
      <c r="DO235" s="164" t="str">
        <f>IFERROR(INDEX(DG$233:DG$281,_xlfn.AGGREGATE(15,6,(ROW(DG$233:DG$281)-ROW(DG$233)+1)/(DG$233:DG$281&lt;&gt;""),ROWS(DO$1:DO3))),"")</f>
        <v/>
      </c>
      <c r="DP235" s="165" t="str">
        <f>IFERROR(INDEX(DH$233:DH$281,_xlfn.AGGREGATE(15,6,(ROW(DH$233:DH$281)-ROW(DH$233)+1)/(DH$233:DH$281&lt;&gt;""),ROWS(DP$1:DP3))),"")</f>
        <v/>
      </c>
      <c r="DQ235" s="166" t="str">
        <f t="shared" si="131"/>
        <v/>
      </c>
      <c r="DV235" s="145">
        <v>2017</v>
      </c>
      <c r="DW235" s="235" t="e">
        <f t="shared" ca="1" si="115"/>
        <v>#REF!</v>
      </c>
      <c r="DZ235" s="65" t="s">
        <v>89</v>
      </c>
      <c r="EA235" s="33"/>
      <c r="EB235" s="33"/>
      <c r="EC235" s="33"/>
      <c r="ED235" s="33"/>
      <c r="EE235" s="33"/>
    </row>
    <row r="236" spans="1:135" ht="14.1" thickBot="1" x14ac:dyDescent="0.5">
      <c r="A236" s="184" t="s">
        <v>80</v>
      </c>
      <c r="B236" s="128">
        <v>2015</v>
      </c>
      <c r="C236" s="1044"/>
      <c r="D236" s="1044"/>
      <c r="E236" s="1060"/>
      <c r="F236" s="1051"/>
      <c r="G236" s="1052"/>
      <c r="H236" s="1033"/>
      <c r="I236" s="1141"/>
      <c r="J236" s="159"/>
      <c r="K236" s="151"/>
      <c r="L236" s="152"/>
      <c r="M236" s="151"/>
      <c r="N236" s="29" t="s">
        <v>119</v>
      </c>
      <c r="O236" s="120"/>
      <c r="P236" s="120"/>
      <c r="Q236" s="120"/>
      <c r="R236" s="29">
        <v>1</v>
      </c>
      <c r="S236" s="238" t="str">
        <f t="shared" si="116"/>
        <v/>
      </c>
      <c r="T236" s="238" t="str">
        <f t="shared" si="117"/>
        <v/>
      </c>
      <c r="U236" s="238" t="str">
        <f t="shared" si="118"/>
        <v/>
      </c>
      <c r="V236" s="29"/>
      <c r="W236" s="238" t="e">
        <f t="shared" si="119"/>
        <v>#N/A</v>
      </c>
      <c r="X236" s="238" t="e">
        <f t="shared" si="120"/>
        <v>#N/A</v>
      </c>
      <c r="Y236" s="238" t="e">
        <f t="shared" si="121"/>
        <v>#N/A</v>
      </c>
      <c r="AA236" s="1133">
        <v>763.63413242009142</v>
      </c>
      <c r="AB236" s="1133">
        <v>763.63413242009142</v>
      </c>
      <c r="AC236" s="1133">
        <v>763.63413242009142</v>
      </c>
      <c r="AD236" s="138"/>
      <c r="AE236" s="138"/>
      <c r="AF236" s="138"/>
      <c r="AG236" s="138"/>
      <c r="AH236" s="138"/>
      <c r="AI236" s="138"/>
      <c r="AJ236" s="138"/>
      <c r="AK236" s="138"/>
      <c r="AL236" s="138"/>
      <c r="AM236" s="138"/>
      <c r="AN236" s="138"/>
      <c r="BR236" s="29"/>
      <c r="BS236" s="160" t="s">
        <v>15</v>
      </c>
      <c r="BT236" s="177" t="e">
        <f>SLOPE((DD233:DD281),($B$46:$B$94))</f>
        <v>#DIV/0!</v>
      </c>
      <c r="BU236" s="178" t="e">
        <f>INTERCEPT(DJ233:DJ281,DI233:DI281)</f>
        <v>#DIV/0!</v>
      </c>
      <c r="BV236" s="691" t="s">
        <v>71</v>
      </c>
      <c r="BY236" s="29"/>
      <c r="BZ236" s="160" t="s">
        <v>15</v>
      </c>
      <c r="CA236" s="177" t="e">
        <f ca="1">INDEX(LINEST((INDIRECT(DI230):INDIRECT(DJ230)),(INDIRECT(DI231):INDIRECT(DJ231))^{1,2}),1)</f>
        <v>#REF!</v>
      </c>
      <c r="CB236" s="179" t="e">
        <f ca="1">INDEX(LINEST((INDIRECT(DI230):INDIRECT(DJ230)),(INDIRECT(DI231):INDIRECT(DJ231))^{1,2}),1,2)</f>
        <v>#REF!</v>
      </c>
      <c r="CC236" s="178" t="e">
        <f ca="1">INDEX(LINEST((INDIRECT(DI230):INDIRECT(DJ230)),(INDIRECT(DI231):INDIRECT(DJ231))^{1,2}),1,3)</f>
        <v>#REF!</v>
      </c>
      <c r="CD236" s="691" t="s">
        <v>71</v>
      </c>
      <c r="CG236" s="29"/>
      <c r="CH236" s="160" t="s">
        <v>15</v>
      </c>
      <c r="CI236" s="177" t="e">
        <f ca="1">INDEX(LINEST((INDIRECT(DI230):INDIRECT(DJ230)),(INDIRECT(DI231):INDIRECT(DJ231))^{1,2,3}),1)</f>
        <v>#REF!</v>
      </c>
      <c r="CJ236" s="179" t="e">
        <f ca="1">INDEX(LINEST((INDIRECT(DI230):INDIRECT(DJ230)),(INDIRECT(DI231):INDIRECT(DJ231))^{1,2,3}),1,2)</f>
        <v>#REF!</v>
      </c>
      <c r="CK236" s="179" t="e">
        <f ca="1">INDEX(LINEST((INDIRECT(DI230):INDIRECT(DJ230)),(INDIRECT(DI231):INDIRECT(DJ231))^{1,2,3}),1,3)</f>
        <v>#REF!</v>
      </c>
      <c r="CL236" s="178" t="e">
        <f ca="1">INDEX(LINEST((INDIRECT(DI230):INDIRECT(DJ230)),(INDIRECT(DI231):INDIRECT(DJ231))^{1,2,3}),1,4)</f>
        <v>#REF!</v>
      </c>
      <c r="CM236" s="691" t="s">
        <v>71</v>
      </c>
      <c r="CP236" s="29"/>
      <c r="CQ236" s="160" t="s">
        <v>15</v>
      </c>
      <c r="CR236" s="177" t="e">
        <f ca="1">EXP(INDEX(LINEST(LN(INDIRECT(DI230):INDIRECT(DJ230)),(INDIRECT(DI231):INDIRECT(DJ231))),1,2))</f>
        <v>#REF!</v>
      </c>
      <c r="CS236" s="178" t="e">
        <f ca="1">INDEX(LINEST(LN(INDIRECT(DI230):INDIRECT(DJ230)),(INDIRECT(DI231):INDIRECT(DJ231))),1)</f>
        <v>#REF!</v>
      </c>
      <c r="CT236" s="691" t="s">
        <v>71</v>
      </c>
      <c r="CZ236" s="164" t="b">
        <f t="shared" si="122"/>
        <v>0</v>
      </c>
      <c r="DA236" s="165" t="b">
        <f t="shared" si="122"/>
        <v>0</v>
      </c>
      <c r="DB236" s="166" t="b">
        <f t="shared" si="122"/>
        <v>0</v>
      </c>
      <c r="DC236" s="164" t="str">
        <f t="shared" si="123"/>
        <v/>
      </c>
      <c r="DD236" s="166" t="str">
        <f t="shared" si="124"/>
        <v/>
      </c>
      <c r="DE236" s="164" t="str">
        <f t="shared" si="125"/>
        <v/>
      </c>
      <c r="DF236" s="166" t="str">
        <f t="shared" si="126"/>
        <v/>
      </c>
      <c r="DG236" s="164" t="str">
        <f t="shared" si="127"/>
        <v/>
      </c>
      <c r="DH236" s="166" t="str">
        <f t="shared" si="128"/>
        <v/>
      </c>
      <c r="DI236" s="164" t="str">
        <f>IFERROR(INDEX(DC$233:DC$281,_xlfn.AGGREGATE(15,6,(ROW(DC$233:DC$281)-ROW(DC$233)+1)/(DC$233:DC$281&lt;&gt;""),ROWS(DI$1:DI4))),"")</f>
        <v/>
      </c>
      <c r="DJ236" s="165" t="str">
        <f>IFERROR(INDEX(DD$233:DD$281,_xlfn.AGGREGATE(15,6,(ROW(DD$233:DD$281)-ROW(DD$233)+1)/(DD$233:DD$281&lt;&gt;""),ROWS(DJ$1:DJ4))),"")</f>
        <v/>
      </c>
      <c r="DK236" s="166" t="str">
        <f t="shared" si="129"/>
        <v/>
      </c>
      <c r="DL236" s="164" t="str">
        <f>IFERROR(INDEX(DE$233:DE$281,_xlfn.AGGREGATE(15,6,(ROW(DE$233:DE$281)-ROW(DE$233)+1)/(DE$233:DE$281&lt;&gt;""),ROWS(DL$1:DL4))),"")</f>
        <v/>
      </c>
      <c r="DM236" s="165" t="str">
        <f>IFERROR(INDEX(DF$233:DF$281,_xlfn.AGGREGATE(15,6,(ROW(DF$233:DF$281)-ROW(DF$233)+1)/(DF$233:DF$281&lt;&gt;""),ROWS(DM$1:DM4))),"")</f>
        <v/>
      </c>
      <c r="DN236" s="166" t="str">
        <f t="shared" si="130"/>
        <v/>
      </c>
      <c r="DO236" s="164" t="str">
        <f>IFERROR(INDEX(DG$233:DG$281,_xlfn.AGGREGATE(15,6,(ROW(DG$233:DG$281)-ROW(DG$233)+1)/(DG$233:DG$281&lt;&gt;""),ROWS(DO$1:DO4))),"")</f>
        <v/>
      </c>
      <c r="DP236" s="165" t="str">
        <f>IFERROR(INDEX(DH$233:DH$281,_xlfn.AGGREGATE(15,6,(ROW(DH$233:DH$281)-ROW(DH$233)+1)/(DH$233:DH$281&lt;&gt;""),ROWS(DP$1:DP4))),"")</f>
        <v/>
      </c>
      <c r="DQ236" s="166" t="str">
        <f t="shared" si="131"/>
        <v/>
      </c>
      <c r="DV236" s="145">
        <v>2018</v>
      </c>
      <c r="DW236" s="235" t="e">
        <f t="shared" ca="1" si="115"/>
        <v>#REF!</v>
      </c>
      <c r="EA236" s="33" t="s">
        <v>85</v>
      </c>
      <c r="EB236" s="33" t="s">
        <v>84</v>
      </c>
      <c r="EC236" s="33" t="s">
        <v>82</v>
      </c>
      <c r="ED236" s="33" t="s">
        <v>83</v>
      </c>
      <c r="EE236" s="33"/>
    </row>
    <row r="237" spans="1:135" ht="13.8" x14ac:dyDescent="0.45">
      <c r="A237" s="184" t="s">
        <v>88</v>
      </c>
      <c r="B237" s="128">
        <v>2016</v>
      </c>
      <c r="C237" s="1044"/>
      <c r="D237" s="1044"/>
      <c r="E237" s="1060"/>
      <c r="F237" s="1051"/>
      <c r="G237" s="1052"/>
      <c r="H237" s="1033"/>
      <c r="I237" s="1141"/>
      <c r="J237" s="159"/>
      <c r="K237" s="151"/>
      <c r="L237" s="152"/>
      <c r="M237" s="151"/>
      <c r="N237" s="29" t="s">
        <v>119</v>
      </c>
      <c r="O237" s="120"/>
      <c r="P237" s="120"/>
      <c r="Q237" s="120"/>
      <c r="R237" s="29">
        <v>2</v>
      </c>
      <c r="S237" s="238" t="str">
        <f t="shared" si="116"/>
        <v/>
      </c>
      <c r="T237" s="238" t="str">
        <f t="shared" si="117"/>
        <v/>
      </c>
      <c r="U237" s="238" t="str">
        <f t="shared" si="118"/>
        <v/>
      </c>
      <c r="V237" s="29"/>
      <c r="W237" s="238" t="e">
        <f t="shared" si="119"/>
        <v>#N/A</v>
      </c>
      <c r="X237" s="238" t="e">
        <f t="shared" si="120"/>
        <v>#N/A</v>
      </c>
      <c r="Y237" s="238" t="e">
        <f t="shared" si="121"/>
        <v>#N/A</v>
      </c>
      <c r="AA237" s="1133">
        <v>769.1</v>
      </c>
      <c r="AB237" s="1133">
        <v>769.1</v>
      </c>
      <c r="AC237" s="1133">
        <v>769.1</v>
      </c>
      <c r="AD237" s="138"/>
      <c r="AE237" s="138"/>
      <c r="AF237" s="138"/>
      <c r="AG237" s="138"/>
      <c r="AH237" s="138"/>
      <c r="AI237" s="138"/>
      <c r="AJ237" s="138"/>
      <c r="AK237" s="138"/>
      <c r="AL237" s="138"/>
      <c r="AM237" s="138"/>
      <c r="AN237" s="138"/>
      <c r="BR237" s="180">
        <v>2014</v>
      </c>
      <c r="BS237" s="22">
        <v>0</v>
      </c>
      <c r="BT237" s="181" t="e">
        <f t="shared" ref="BT237:BT283" si="132">IF($BS$233="High",BS237*$BT$234,IF($BS$233="Medium",$BT$235*BS237,IF($BS$233="Low",$BT$236*BS237)))</f>
        <v>#DIV/0!</v>
      </c>
      <c r="BU237" s="182" t="e">
        <f t="shared" ref="BU237:BU283" si="133">IF($BS$233="High",$BU$234,IF($BS$233="Medium",$BU$235,IF($BS$233="Low",BU236)))</f>
        <v>#DIV/0!</v>
      </c>
      <c r="BV237" s="242" t="e">
        <f t="shared" ref="BV237:BV283" si="134">BT237+BU237</f>
        <v>#DIV/0!</v>
      </c>
      <c r="BY237" s="180">
        <v>2014</v>
      </c>
      <c r="BZ237" s="22">
        <v>0</v>
      </c>
      <c r="CA237" s="181" t="e">
        <f t="shared" ref="CA237:CA283" ca="1" si="135">IF($BZ$233="High",BZ237^2*$CA$234,IF($BZ$233="Medium",BZ237^2*$CA$235,IF($BZ$233="Low",BZ237^2*$CA$236)))</f>
        <v>#REF!</v>
      </c>
      <c r="CB237" s="181" t="e">
        <f t="shared" ref="CB237:CB283" ca="1" si="136">IF($BZ$233="High",BZ237*$CB$234,IF($BZ$233="Medium",BZ237*$CB$235,IF($BZ$233="Low",BZ237*$CB$236)))</f>
        <v>#REF!</v>
      </c>
      <c r="CC237" s="182" t="e">
        <f t="shared" ref="CC237:CC283" ca="1" si="137">IF($BZ$233="High",$CC$234,IF($BZ$233="Medium",$CC$235,IF($BZ$233="Low",$CC$236)))</f>
        <v>#REF!</v>
      </c>
      <c r="CD237" s="242" t="e">
        <f t="shared" ref="CD237:CD283" ca="1" si="138">CA237+CB237+CC237</f>
        <v>#REF!</v>
      </c>
      <c r="CG237" s="180">
        <v>2014</v>
      </c>
      <c r="CH237" s="22">
        <v>0</v>
      </c>
      <c r="CI237" s="181" t="e">
        <f t="shared" ref="CI237:CI283" ca="1" si="139">IF($CH$233="High",CH237^3*$CI$234,IF($CH$233="Medium",CH237^3*$CI$235,IF($CH$233="Low",CH237^3*$CI$236)))</f>
        <v>#REF!</v>
      </c>
      <c r="CJ237" s="181" t="e">
        <f t="shared" ref="CJ237:CJ283" ca="1" si="140">IF($CH$233="High",CH237^2*$CJ$234,IF($CH$233="Medium",CH237^2*$CJ$235,IF($CH$233="Low",CH237^2*$CJ$236)))</f>
        <v>#REF!</v>
      </c>
      <c r="CK237" s="181" t="e">
        <f t="shared" ref="CK237:CK283" ca="1" si="141">IF($CH$233="High",CH237*$CK$234,IF($CH$233="Medium",CH237*$CK$235,IF($CH$233="Low",CH237*$CK$236)))</f>
        <v>#REF!</v>
      </c>
      <c r="CL237" s="182" t="e">
        <f t="shared" ref="CL237:CL283" ca="1" si="142">IF($CH$233="High",$CL$234,IF($CH$233="Medium",$CL$235,IF($CH$233="Low",$CL$236)))</f>
        <v>#REF!</v>
      </c>
      <c r="CM237" s="242" t="e">
        <f t="shared" ref="CM237:CM283" ca="1" si="143">CI237+CJ237+CK237+CL237</f>
        <v>#REF!</v>
      </c>
      <c r="CP237" s="180">
        <v>2014</v>
      </c>
      <c r="CQ237" s="22">
        <v>0</v>
      </c>
      <c r="CR237" s="181" t="e">
        <f t="shared" ref="CR237:CR283" ca="1" si="144">IF($CQ$233="High",$CR$234,IF($CQ$233="Medium",$CR$235,IF($CQ$233="Low",$CR$236)))</f>
        <v>#REF!</v>
      </c>
      <c r="CS237" s="182" t="e">
        <f t="shared" ref="CS237:CS283" ca="1" si="145">IF($CQ$233="High",EXP(1)^($CS$234*CQ237),IF($CQ$233="Medium",EXP(1)^($CS$235*CQ237),IF($CQ$233="Low",EXP(1)^($CS$236*CQ237))))</f>
        <v>#REF!</v>
      </c>
      <c r="CT237" s="242" t="e">
        <f t="shared" ref="CT237:CT283" ca="1" si="146">(CR237*CS237)</f>
        <v>#REF!</v>
      </c>
      <c r="CZ237" s="164" t="b">
        <f t="shared" si="122"/>
        <v>0</v>
      </c>
      <c r="DA237" s="165" t="b">
        <f t="shared" si="122"/>
        <v>0</v>
      </c>
      <c r="DB237" s="166" t="b">
        <f t="shared" si="122"/>
        <v>0</v>
      </c>
      <c r="DC237" s="164" t="str">
        <f t="shared" si="123"/>
        <v/>
      </c>
      <c r="DD237" s="166" t="str">
        <f t="shared" si="124"/>
        <v/>
      </c>
      <c r="DE237" s="164" t="str">
        <f t="shared" si="125"/>
        <v/>
      </c>
      <c r="DF237" s="166" t="str">
        <f t="shared" si="126"/>
        <v/>
      </c>
      <c r="DG237" s="164" t="str">
        <f t="shared" si="127"/>
        <v/>
      </c>
      <c r="DH237" s="166" t="str">
        <f t="shared" si="128"/>
        <v/>
      </c>
      <c r="DI237" s="164" t="str">
        <f>IFERROR(INDEX(DC$233:DC$281,_xlfn.AGGREGATE(15,6,(ROW(DC$233:DC$281)-ROW(DC$233)+1)/(DC$233:DC$281&lt;&gt;""),ROWS(DI$1:DI5))),"")</f>
        <v/>
      </c>
      <c r="DJ237" s="165" t="str">
        <f>IFERROR(INDEX(DD$233:DD$281,_xlfn.AGGREGATE(15,6,(ROW(DD$233:DD$281)-ROW(DD$233)+1)/(DD$233:DD$281&lt;&gt;""),ROWS(DJ$1:DJ5))),"")</f>
        <v/>
      </c>
      <c r="DK237" s="166" t="str">
        <f t="shared" si="129"/>
        <v/>
      </c>
      <c r="DL237" s="164" t="str">
        <f>IFERROR(INDEX(DE$233:DE$281,_xlfn.AGGREGATE(15,6,(ROW(DE$233:DE$281)-ROW(DE$233)+1)/(DE$233:DE$281&lt;&gt;""),ROWS(DL$1:DL5))),"")</f>
        <v/>
      </c>
      <c r="DM237" s="165" t="str">
        <f>IFERROR(INDEX(DF$233:DF$281,_xlfn.AGGREGATE(15,6,(ROW(DF$233:DF$281)-ROW(DF$233)+1)/(DF$233:DF$281&lt;&gt;""),ROWS(DM$1:DM5))),"")</f>
        <v/>
      </c>
      <c r="DN237" s="166" t="str">
        <f t="shared" si="130"/>
        <v/>
      </c>
      <c r="DO237" s="164" t="str">
        <f>IFERROR(INDEX(DG$233:DG$281,_xlfn.AGGREGATE(15,6,(ROW(DG$233:DG$281)-ROW(DG$233)+1)/(DG$233:DG$281&lt;&gt;""),ROWS(DO$1:DO5))),"")</f>
        <v/>
      </c>
      <c r="DP237" s="165" t="str">
        <f>IFERROR(INDEX(DH$233:DH$281,_xlfn.AGGREGATE(15,6,(ROW(DH$233:DH$281)-ROW(DH$233)+1)/(DH$233:DH$281&lt;&gt;""),ROWS(DP$1:DP5))),"")</f>
        <v/>
      </c>
      <c r="DQ237" s="166" t="str">
        <f t="shared" si="131"/>
        <v/>
      </c>
      <c r="DV237" s="145">
        <v>2019</v>
      </c>
      <c r="DW237" s="235" t="e">
        <f t="shared" ca="1" si="115"/>
        <v>#REF!</v>
      </c>
      <c r="DZ237" s="135" t="s">
        <v>92</v>
      </c>
      <c r="EA237" s="33" t="e">
        <f ca="1">IF($EA$231="Linear",0,IF($EA$231="2nd Poly",0,IF($EA$231="3rd Poly",CI234,IF($EA$231="Exp",0))))</f>
        <v>#REF!</v>
      </c>
      <c r="EB237" s="33" t="e">
        <f ca="1">IF($EA$231="Linear",0,IF($EA$231="2nd Poly",CA234,IF($EA$231="3rd Poly",CJ234,IF($EA$231="Exp",0))))</f>
        <v>#REF!</v>
      </c>
      <c r="EC237" s="33" t="e">
        <f t="shared" ref="EC237:ED239" ca="1" si="147">IF($EA$231="Linear",BT234,IF($EA$231="2nd Poly",CB234,IF($EA$231="3rd Poly",CK234,IF($EA$231="Exp",0))))</f>
        <v>#REF!</v>
      </c>
      <c r="ED237" s="33" t="e">
        <f t="shared" ca="1" si="147"/>
        <v>#REF!</v>
      </c>
      <c r="EE237" s="33" t="str">
        <f>IF($EA$231="Linear","High",IF($EA$231="2nd Poly","High",IF($EA$231="3rd Poly","High","N/A")))</f>
        <v>High</v>
      </c>
    </row>
    <row r="238" spans="1:135" ht="13.8" x14ac:dyDescent="0.45">
      <c r="A238" s="184" t="s">
        <v>90</v>
      </c>
      <c r="B238" s="128">
        <v>2017</v>
      </c>
      <c r="C238" s="1047"/>
      <c r="D238" s="1050"/>
      <c r="E238" s="1060"/>
      <c r="F238" s="1051"/>
      <c r="G238" s="1052"/>
      <c r="H238" s="1034"/>
      <c r="I238" s="931"/>
      <c r="J238" s="168"/>
      <c r="K238" s="169"/>
      <c r="L238" s="170"/>
      <c r="M238" s="169"/>
      <c r="N238" s="29" t="s">
        <v>119</v>
      </c>
      <c r="O238" s="120"/>
      <c r="P238" s="120"/>
      <c r="Q238" s="120"/>
      <c r="R238" s="29">
        <v>3</v>
      </c>
      <c r="S238" s="238" t="str">
        <f t="shared" si="116"/>
        <v/>
      </c>
      <c r="T238" s="238" t="str">
        <f t="shared" si="117"/>
        <v/>
      </c>
      <c r="U238" s="238" t="str">
        <f t="shared" si="118"/>
        <v/>
      </c>
      <c r="V238" s="29"/>
      <c r="W238" s="238" t="e">
        <f t="shared" si="119"/>
        <v>#N/A</v>
      </c>
      <c r="X238" s="238" t="e">
        <f t="shared" si="120"/>
        <v>#N/A</v>
      </c>
      <c r="Y238" s="238" t="e">
        <f t="shared" si="121"/>
        <v>#N/A</v>
      </c>
      <c r="AA238" s="1133">
        <v>796.1320776255709</v>
      </c>
      <c r="AB238" s="1133">
        <v>870.50337370220768</v>
      </c>
      <c r="AC238" s="1133">
        <v>944.87466977884446</v>
      </c>
      <c r="AD238" s="138"/>
      <c r="AE238" s="138"/>
      <c r="AF238" s="138"/>
      <c r="AG238" s="138"/>
      <c r="AH238" s="138"/>
      <c r="AI238" s="138"/>
      <c r="AJ238" s="138"/>
      <c r="AK238" s="138"/>
      <c r="AL238" s="138"/>
      <c r="AM238" s="138"/>
      <c r="AN238" s="138"/>
      <c r="BR238" s="180">
        <v>2015</v>
      </c>
      <c r="BS238" s="22">
        <v>1</v>
      </c>
      <c r="BT238" s="181" t="e">
        <f t="shared" si="132"/>
        <v>#DIV/0!</v>
      </c>
      <c r="BU238" s="182" t="e">
        <f t="shared" si="133"/>
        <v>#DIV/0!</v>
      </c>
      <c r="BV238" s="242" t="e">
        <f t="shared" si="134"/>
        <v>#DIV/0!</v>
      </c>
      <c r="BY238" s="180">
        <v>2015</v>
      </c>
      <c r="BZ238" s="22">
        <v>1</v>
      </c>
      <c r="CA238" s="181" t="e">
        <f t="shared" ca="1" si="135"/>
        <v>#REF!</v>
      </c>
      <c r="CB238" s="181" t="e">
        <f t="shared" ca="1" si="136"/>
        <v>#REF!</v>
      </c>
      <c r="CC238" s="182" t="e">
        <f t="shared" ca="1" si="137"/>
        <v>#REF!</v>
      </c>
      <c r="CD238" s="242" t="e">
        <f t="shared" ca="1" si="138"/>
        <v>#REF!</v>
      </c>
      <c r="CG238" s="180">
        <v>2015</v>
      </c>
      <c r="CH238" s="22">
        <v>1</v>
      </c>
      <c r="CI238" s="181" t="e">
        <f t="shared" ca="1" si="139"/>
        <v>#REF!</v>
      </c>
      <c r="CJ238" s="181" t="e">
        <f t="shared" ca="1" si="140"/>
        <v>#REF!</v>
      </c>
      <c r="CK238" s="181" t="e">
        <f t="shared" ca="1" si="141"/>
        <v>#REF!</v>
      </c>
      <c r="CL238" s="182" t="e">
        <f t="shared" ca="1" si="142"/>
        <v>#REF!</v>
      </c>
      <c r="CM238" s="242" t="e">
        <f t="shared" ca="1" si="143"/>
        <v>#REF!</v>
      </c>
      <c r="CP238" s="180">
        <v>2015</v>
      </c>
      <c r="CQ238" s="22">
        <v>1</v>
      </c>
      <c r="CR238" s="181" t="e">
        <f t="shared" ca="1" si="144"/>
        <v>#REF!</v>
      </c>
      <c r="CS238" s="182" t="e">
        <f t="shared" ca="1" si="145"/>
        <v>#REF!</v>
      </c>
      <c r="CT238" s="242" t="e">
        <f t="shared" ca="1" si="146"/>
        <v>#REF!</v>
      </c>
      <c r="CZ238" s="164" t="b">
        <f t="shared" si="122"/>
        <v>0</v>
      </c>
      <c r="DA238" s="165" t="b">
        <f t="shared" si="122"/>
        <v>0</v>
      </c>
      <c r="DB238" s="166" t="b">
        <f t="shared" si="122"/>
        <v>0</v>
      </c>
      <c r="DC238" s="164" t="str">
        <f t="shared" si="123"/>
        <v/>
      </c>
      <c r="DD238" s="166" t="str">
        <f t="shared" si="124"/>
        <v/>
      </c>
      <c r="DE238" s="164" t="str">
        <f t="shared" si="125"/>
        <v/>
      </c>
      <c r="DF238" s="166" t="str">
        <f t="shared" si="126"/>
        <v/>
      </c>
      <c r="DG238" s="164" t="str">
        <f t="shared" si="127"/>
        <v/>
      </c>
      <c r="DH238" s="166" t="str">
        <f t="shared" si="128"/>
        <v/>
      </c>
      <c r="DI238" s="164" t="str">
        <f>IFERROR(INDEX(DC$233:DC$281,_xlfn.AGGREGATE(15,6,(ROW(DC$233:DC$281)-ROW(DC$233)+1)/(DC$233:DC$281&lt;&gt;""),ROWS(DI$1:DI6))),"")</f>
        <v/>
      </c>
      <c r="DJ238" s="165" t="str">
        <f>IFERROR(INDEX(DD$233:DD$281,_xlfn.AGGREGATE(15,6,(ROW(DD$233:DD$281)-ROW(DD$233)+1)/(DD$233:DD$281&lt;&gt;""),ROWS(DJ$1:DJ6))),"")</f>
        <v/>
      </c>
      <c r="DK238" s="166" t="str">
        <f t="shared" si="129"/>
        <v/>
      </c>
      <c r="DL238" s="164" t="str">
        <f>IFERROR(INDEX(DE$233:DE$281,_xlfn.AGGREGATE(15,6,(ROW(DE$233:DE$281)-ROW(DE$233)+1)/(DE$233:DE$281&lt;&gt;""),ROWS(DL$1:DL6))),"")</f>
        <v/>
      </c>
      <c r="DM238" s="165" t="str">
        <f>IFERROR(INDEX(DF$233:DF$281,_xlfn.AGGREGATE(15,6,(ROW(DF$233:DF$281)-ROW(DF$233)+1)/(DF$233:DF$281&lt;&gt;""),ROWS(DM$1:DM6))),"")</f>
        <v/>
      </c>
      <c r="DN238" s="166" t="str">
        <f t="shared" si="130"/>
        <v/>
      </c>
      <c r="DO238" s="164" t="str">
        <f>IFERROR(INDEX(DG$233:DG$281,_xlfn.AGGREGATE(15,6,(ROW(DG$233:DG$281)-ROW(DG$233)+1)/(DG$233:DG$281&lt;&gt;""),ROWS(DO$1:DO6))),"")</f>
        <v/>
      </c>
      <c r="DP238" s="165" t="str">
        <f>IFERROR(INDEX(DH$233:DH$281,_xlfn.AGGREGATE(15,6,(ROW(DH$233:DH$281)-ROW(DH$233)+1)/(DH$233:DH$281&lt;&gt;""),ROWS(DP$1:DP6))),"")</f>
        <v/>
      </c>
      <c r="DQ238" s="166" t="str">
        <f t="shared" si="131"/>
        <v/>
      </c>
      <c r="DV238" s="145">
        <v>2020</v>
      </c>
      <c r="DW238" s="235" t="e">
        <f t="shared" ca="1" si="115"/>
        <v>#REF!</v>
      </c>
      <c r="DZ238" s="135" t="s">
        <v>92</v>
      </c>
      <c r="EA238" s="33" t="e">
        <f ca="1">IF($EA$231="Linear",0,IF($EA$231="2nd Poly",0,IF($EA$231="3rd Poly",CI235,IF($EA$231="Exp",0))))</f>
        <v>#REF!</v>
      </c>
      <c r="EB238" s="33" t="e">
        <f ca="1">IF($EA$231="Linear",0,IF($EA$231="2nd Poly",CA235,IF($EA$231="3rd Poly",CJ235,IF($EA$231="Exp",0))))</f>
        <v>#REF!</v>
      </c>
      <c r="EC238" s="33" t="e">
        <f t="shared" ca="1" si="147"/>
        <v>#REF!</v>
      </c>
      <c r="ED238" s="33" t="e">
        <f t="shared" ca="1" si="147"/>
        <v>#REF!</v>
      </c>
      <c r="EE238" s="33" t="str">
        <f>IF($EA$231="Linear","Medium",IF($EA$231="2nd Poly","Medium",IF($EA$231="3rd Poly","Medium","N/A")))</f>
        <v>Medium</v>
      </c>
    </row>
    <row r="239" spans="1:135" ht="13.8" x14ac:dyDescent="0.45">
      <c r="A239" s="948" t="s">
        <v>1039</v>
      </c>
      <c r="B239" s="128">
        <v>2018</v>
      </c>
      <c r="C239" s="1047"/>
      <c r="D239" s="1050"/>
      <c r="E239" s="1060"/>
      <c r="F239" s="1051"/>
      <c r="G239" s="1052"/>
      <c r="H239" s="1033"/>
      <c r="I239" s="1110"/>
      <c r="J239" s="159"/>
      <c r="K239" s="151"/>
      <c r="L239" s="152"/>
      <c r="M239" s="151"/>
      <c r="N239" s="29" t="s">
        <v>119</v>
      </c>
      <c r="O239" s="120"/>
      <c r="P239" s="120"/>
      <c r="Q239" s="120"/>
      <c r="R239" s="29">
        <v>4</v>
      </c>
      <c r="S239" s="238" t="str">
        <f t="shared" si="116"/>
        <v/>
      </c>
      <c r="T239" s="238" t="str">
        <f t="shared" si="117"/>
        <v/>
      </c>
      <c r="U239" s="238" t="str">
        <f t="shared" si="118"/>
        <v/>
      </c>
      <c r="V239" s="20"/>
      <c r="W239" s="238" t="e">
        <f t="shared" si="119"/>
        <v>#N/A</v>
      </c>
      <c r="X239" s="238" t="e">
        <f t="shared" si="120"/>
        <v>#N/A</v>
      </c>
      <c r="Y239" s="238" t="e">
        <f t="shared" si="121"/>
        <v>#N/A</v>
      </c>
      <c r="AA239" s="1133">
        <v>812.38105022831064</v>
      </c>
      <c r="AB239" s="1133">
        <v>894.12035425610475</v>
      </c>
      <c r="AC239" s="1133">
        <v>975.85965828389885</v>
      </c>
      <c r="AD239" s="138"/>
      <c r="AE239" s="138"/>
      <c r="AF239" s="138"/>
      <c r="AG239" s="138"/>
      <c r="AH239" s="138"/>
      <c r="AI239" s="138"/>
      <c r="AJ239" s="138"/>
      <c r="AK239" s="138"/>
      <c r="AL239" s="138"/>
      <c r="AM239" s="138"/>
      <c r="AN239" s="138"/>
      <c r="BR239" s="180">
        <v>2016</v>
      </c>
      <c r="BS239" s="22">
        <v>2</v>
      </c>
      <c r="BT239" s="181" t="e">
        <f t="shared" si="132"/>
        <v>#DIV/0!</v>
      </c>
      <c r="BU239" s="182" t="e">
        <f t="shared" si="133"/>
        <v>#DIV/0!</v>
      </c>
      <c r="BV239" s="241" t="e">
        <f t="shared" si="134"/>
        <v>#DIV/0!</v>
      </c>
      <c r="BY239" s="180">
        <v>2016</v>
      </c>
      <c r="BZ239" s="22">
        <v>2</v>
      </c>
      <c r="CA239" s="181" t="e">
        <f t="shared" ca="1" si="135"/>
        <v>#REF!</v>
      </c>
      <c r="CB239" s="181" t="e">
        <f t="shared" ca="1" si="136"/>
        <v>#REF!</v>
      </c>
      <c r="CC239" s="182" t="e">
        <f t="shared" ca="1" si="137"/>
        <v>#REF!</v>
      </c>
      <c r="CD239" s="241" t="e">
        <f t="shared" ca="1" si="138"/>
        <v>#REF!</v>
      </c>
      <c r="CG239" s="180">
        <v>2016</v>
      </c>
      <c r="CH239" s="22">
        <v>2</v>
      </c>
      <c r="CI239" s="181" t="e">
        <f t="shared" ca="1" si="139"/>
        <v>#REF!</v>
      </c>
      <c r="CJ239" s="181" t="e">
        <f t="shared" ca="1" si="140"/>
        <v>#REF!</v>
      </c>
      <c r="CK239" s="181" t="e">
        <f t="shared" ca="1" si="141"/>
        <v>#REF!</v>
      </c>
      <c r="CL239" s="182" t="e">
        <f t="shared" ca="1" si="142"/>
        <v>#REF!</v>
      </c>
      <c r="CM239" s="241" t="e">
        <f t="shared" ca="1" si="143"/>
        <v>#REF!</v>
      </c>
      <c r="CP239" s="180">
        <v>2016</v>
      </c>
      <c r="CQ239" s="22">
        <v>2</v>
      </c>
      <c r="CR239" s="181" t="e">
        <f t="shared" ca="1" si="144"/>
        <v>#REF!</v>
      </c>
      <c r="CS239" s="182" t="e">
        <f t="shared" ca="1" si="145"/>
        <v>#REF!</v>
      </c>
      <c r="CT239" s="241" t="e">
        <f t="shared" ca="1" si="146"/>
        <v>#REF!</v>
      </c>
      <c r="CZ239" s="164" t="b">
        <f t="shared" si="122"/>
        <v>0</v>
      </c>
      <c r="DA239" s="165" t="b">
        <f t="shared" si="122"/>
        <v>0</v>
      </c>
      <c r="DB239" s="166" t="b">
        <f t="shared" si="122"/>
        <v>0</v>
      </c>
      <c r="DC239" s="164" t="str">
        <f t="shared" si="123"/>
        <v/>
      </c>
      <c r="DD239" s="166" t="str">
        <f t="shared" si="124"/>
        <v/>
      </c>
      <c r="DE239" s="164" t="str">
        <f t="shared" si="125"/>
        <v/>
      </c>
      <c r="DF239" s="166" t="str">
        <f t="shared" si="126"/>
        <v/>
      </c>
      <c r="DG239" s="164" t="str">
        <f t="shared" si="127"/>
        <v/>
      </c>
      <c r="DH239" s="166" t="str">
        <f t="shared" si="128"/>
        <v/>
      </c>
      <c r="DI239" s="164" t="str">
        <f>IFERROR(INDEX(DC$233:DC$281,_xlfn.AGGREGATE(15,6,(ROW(DC$233:DC$281)-ROW(DC$233)+1)/(DC$233:DC$281&lt;&gt;""),ROWS(DI$1:DI7))),"")</f>
        <v/>
      </c>
      <c r="DJ239" s="165" t="str">
        <f>IFERROR(INDEX(DD$233:DD$281,_xlfn.AGGREGATE(15,6,(ROW(DD$233:DD$281)-ROW(DD$233)+1)/(DD$233:DD$281&lt;&gt;""),ROWS(DJ$1:DJ7))),"")</f>
        <v/>
      </c>
      <c r="DK239" s="166" t="str">
        <f t="shared" si="129"/>
        <v/>
      </c>
      <c r="DL239" s="164" t="str">
        <f>IFERROR(INDEX(DE$233:DE$281,_xlfn.AGGREGATE(15,6,(ROW(DE$233:DE$281)-ROW(DE$233)+1)/(DE$233:DE$281&lt;&gt;""),ROWS(DL$1:DL7))),"")</f>
        <v/>
      </c>
      <c r="DM239" s="165" t="str">
        <f>IFERROR(INDEX(DF$233:DF$281,_xlfn.AGGREGATE(15,6,(ROW(DF$233:DF$281)-ROW(DF$233)+1)/(DF$233:DF$281&lt;&gt;""),ROWS(DM$1:DM7))),"")</f>
        <v/>
      </c>
      <c r="DN239" s="166" t="str">
        <f t="shared" si="130"/>
        <v/>
      </c>
      <c r="DO239" s="164" t="str">
        <f>IFERROR(INDEX(DG$233:DG$281,_xlfn.AGGREGATE(15,6,(ROW(DG$233:DG$281)-ROW(DG$233)+1)/(DG$233:DG$281&lt;&gt;""),ROWS(DO$1:DO7))),"")</f>
        <v/>
      </c>
      <c r="DP239" s="165" t="str">
        <f>IFERROR(INDEX(DH$233:DH$281,_xlfn.AGGREGATE(15,6,(ROW(DH$233:DH$281)-ROW(DH$233)+1)/(DH$233:DH$281&lt;&gt;""),ROWS(DP$1:DP7))),"")</f>
        <v/>
      </c>
      <c r="DQ239" s="166" t="str">
        <f t="shared" si="131"/>
        <v/>
      </c>
      <c r="DV239" s="145">
        <v>2021</v>
      </c>
      <c r="DW239" s="235" t="e">
        <f t="shared" ca="1" si="115"/>
        <v>#REF!</v>
      </c>
      <c r="DZ239" s="135" t="s">
        <v>92</v>
      </c>
      <c r="EA239" s="33" t="e">
        <f ca="1">IF($EA$231="Linear",0,IF($EA$231="2nd Poly",0,IF($EA$231="3rd Poly",CI236,IF($EA$231="Exp",0))))</f>
        <v>#REF!</v>
      </c>
      <c r="EB239" s="33" t="e">
        <f ca="1">IF($EA$231="Linear",0,IF($EA$231="2nd Poly",CA236,IF($EA$231="3rd Poly",CJ236,IF($EA$231="Exp",0))))</f>
        <v>#REF!</v>
      </c>
      <c r="EC239" s="33" t="e">
        <f t="shared" ca="1" si="147"/>
        <v>#REF!</v>
      </c>
      <c r="ED239" s="33" t="e">
        <f t="shared" ca="1" si="147"/>
        <v>#REF!</v>
      </c>
      <c r="EE239" s="33" t="str">
        <f>IF($EA$231="Linear","Low",IF($EA$231="2nd Poly","Low",IF($EA$231="3rd Poly","Low","N/A")))</f>
        <v>Low</v>
      </c>
    </row>
    <row r="240" spans="1:135" ht="13.8" x14ac:dyDescent="0.45">
      <c r="A240" s="184" t="s">
        <v>88</v>
      </c>
      <c r="B240" s="128">
        <v>2019</v>
      </c>
      <c r="C240" s="1047"/>
      <c r="D240" s="1050"/>
      <c r="E240" s="1060"/>
      <c r="F240" s="1051"/>
      <c r="G240" s="1052"/>
      <c r="H240" s="1033"/>
      <c r="I240" s="1110"/>
      <c r="J240" s="159"/>
      <c r="K240" s="151"/>
      <c r="L240" s="152"/>
      <c r="M240" s="151"/>
      <c r="N240" s="29" t="s">
        <v>119</v>
      </c>
      <c r="O240" s="120"/>
      <c r="P240" s="120"/>
      <c r="Q240" s="120"/>
      <c r="R240" s="29">
        <v>5</v>
      </c>
      <c r="S240" s="238" t="str">
        <f t="shared" si="116"/>
        <v/>
      </c>
      <c r="T240" s="238" t="str">
        <f t="shared" si="117"/>
        <v/>
      </c>
      <c r="U240" s="238" t="str">
        <f t="shared" si="118"/>
        <v/>
      </c>
      <c r="V240" s="20"/>
      <c r="W240" s="238" t="e">
        <f t="shared" si="119"/>
        <v>#N/A</v>
      </c>
      <c r="X240" s="238" t="e">
        <f t="shared" si="120"/>
        <v>#N/A</v>
      </c>
      <c r="Y240" s="238" t="e">
        <f t="shared" si="121"/>
        <v>#N/A</v>
      </c>
      <c r="AA240" s="1133">
        <v>828.63002283105027</v>
      </c>
      <c r="AB240" s="1133">
        <v>917.5106983517112</v>
      </c>
      <c r="AC240" s="1133">
        <v>1006.3913738723721</v>
      </c>
      <c r="AD240" s="138"/>
      <c r="AE240" s="138"/>
      <c r="AF240" s="138"/>
      <c r="AG240" s="138"/>
      <c r="AH240" s="138"/>
      <c r="AI240" s="138"/>
      <c r="AJ240" s="138"/>
      <c r="AK240" s="138"/>
      <c r="AL240" s="138"/>
      <c r="AM240" s="138"/>
      <c r="AN240" s="138"/>
      <c r="BR240" s="180">
        <v>2017</v>
      </c>
      <c r="BS240" s="22">
        <v>3</v>
      </c>
      <c r="BT240" s="181" t="e">
        <f t="shared" si="132"/>
        <v>#DIV/0!</v>
      </c>
      <c r="BU240" s="182" t="e">
        <f t="shared" si="133"/>
        <v>#DIV/0!</v>
      </c>
      <c r="BV240" s="242" t="e">
        <f t="shared" si="134"/>
        <v>#DIV/0!</v>
      </c>
      <c r="BY240" s="180">
        <v>2017</v>
      </c>
      <c r="BZ240" s="22">
        <v>3</v>
      </c>
      <c r="CA240" s="181" t="e">
        <f t="shared" ca="1" si="135"/>
        <v>#REF!</v>
      </c>
      <c r="CB240" s="181" t="e">
        <f t="shared" ca="1" si="136"/>
        <v>#REF!</v>
      </c>
      <c r="CC240" s="182" t="e">
        <f t="shared" ca="1" si="137"/>
        <v>#REF!</v>
      </c>
      <c r="CD240" s="242" t="e">
        <f t="shared" ca="1" si="138"/>
        <v>#REF!</v>
      </c>
      <c r="CG240" s="180">
        <v>2017</v>
      </c>
      <c r="CH240" s="22">
        <v>3</v>
      </c>
      <c r="CI240" s="181" t="e">
        <f t="shared" ca="1" si="139"/>
        <v>#REF!</v>
      </c>
      <c r="CJ240" s="181" t="e">
        <f t="shared" ca="1" si="140"/>
        <v>#REF!</v>
      </c>
      <c r="CK240" s="181" t="e">
        <f t="shared" ca="1" si="141"/>
        <v>#REF!</v>
      </c>
      <c r="CL240" s="182" t="e">
        <f t="shared" ca="1" si="142"/>
        <v>#REF!</v>
      </c>
      <c r="CM240" s="242" t="e">
        <f t="shared" ca="1" si="143"/>
        <v>#REF!</v>
      </c>
      <c r="CP240" s="180">
        <v>2017</v>
      </c>
      <c r="CQ240" s="22">
        <v>3</v>
      </c>
      <c r="CR240" s="181" t="e">
        <f t="shared" ca="1" si="144"/>
        <v>#REF!</v>
      </c>
      <c r="CS240" s="182" t="e">
        <f t="shared" ca="1" si="145"/>
        <v>#REF!</v>
      </c>
      <c r="CT240" s="242" t="e">
        <f t="shared" ca="1" si="146"/>
        <v>#REF!</v>
      </c>
      <c r="CZ240" s="164" t="b">
        <f t="shared" si="122"/>
        <v>0</v>
      </c>
      <c r="DA240" s="165" t="b">
        <f t="shared" si="122"/>
        <v>0</v>
      </c>
      <c r="DB240" s="166" t="b">
        <f t="shared" si="122"/>
        <v>0</v>
      </c>
      <c r="DC240" s="164" t="str">
        <f t="shared" si="123"/>
        <v/>
      </c>
      <c r="DD240" s="166" t="str">
        <f t="shared" si="124"/>
        <v/>
      </c>
      <c r="DE240" s="164" t="str">
        <f t="shared" si="125"/>
        <v/>
      </c>
      <c r="DF240" s="166" t="str">
        <f t="shared" si="126"/>
        <v/>
      </c>
      <c r="DG240" s="164" t="str">
        <f t="shared" si="127"/>
        <v/>
      </c>
      <c r="DH240" s="166" t="str">
        <f t="shared" si="128"/>
        <v/>
      </c>
      <c r="DI240" s="164" t="str">
        <f>IFERROR(INDEX(DC$233:DC$281,_xlfn.AGGREGATE(15,6,(ROW(DC$233:DC$281)-ROW(DC$233)+1)/(DC$233:DC$281&lt;&gt;""),ROWS(DI$1:DI8))),"")</f>
        <v/>
      </c>
      <c r="DJ240" s="165" t="str">
        <f>IFERROR(INDEX(DD$233:DD$281,_xlfn.AGGREGATE(15,6,(ROW(DD$233:DD$281)-ROW(DD$233)+1)/(DD$233:DD$281&lt;&gt;""),ROWS(DJ$1:DJ8))),"")</f>
        <v/>
      </c>
      <c r="DK240" s="166" t="str">
        <f t="shared" si="129"/>
        <v/>
      </c>
      <c r="DL240" s="164" t="str">
        <f>IFERROR(INDEX(DE$233:DE$281,_xlfn.AGGREGATE(15,6,(ROW(DE$233:DE$281)-ROW(DE$233)+1)/(DE$233:DE$281&lt;&gt;""),ROWS(DL$1:DL8))),"")</f>
        <v/>
      </c>
      <c r="DM240" s="165" t="str">
        <f>IFERROR(INDEX(DF$233:DF$281,_xlfn.AGGREGATE(15,6,(ROW(DF$233:DF$281)-ROW(DF$233)+1)/(DF$233:DF$281&lt;&gt;""),ROWS(DM$1:DM8))),"")</f>
        <v/>
      </c>
      <c r="DN240" s="166" t="str">
        <f t="shared" si="130"/>
        <v/>
      </c>
      <c r="DO240" s="164" t="str">
        <f>IFERROR(INDEX(DG$233:DG$281,_xlfn.AGGREGATE(15,6,(ROW(DG$233:DG$281)-ROW(DG$233)+1)/(DG$233:DG$281&lt;&gt;""),ROWS(DO$1:DO8))),"")</f>
        <v/>
      </c>
      <c r="DP240" s="165" t="str">
        <f>IFERROR(INDEX(DH$233:DH$281,_xlfn.AGGREGATE(15,6,(ROW(DH$233:DH$281)-ROW(DH$233)+1)/(DH$233:DH$281&lt;&gt;""),ROWS(DP$1:DP8))),"")</f>
        <v/>
      </c>
      <c r="DQ240" s="166" t="str">
        <f t="shared" si="131"/>
        <v/>
      </c>
      <c r="DV240" s="145">
        <v>2022</v>
      </c>
      <c r="DW240" s="235" t="e">
        <f t="shared" ca="1" si="115"/>
        <v>#REF!</v>
      </c>
      <c r="DZ240" s="135"/>
      <c r="EA240" s="33"/>
      <c r="EB240" s="33"/>
      <c r="EC240" s="33"/>
      <c r="ED240" s="33"/>
      <c r="EE240" s="33"/>
    </row>
    <row r="241" spans="1:135" ht="13.8" x14ac:dyDescent="0.45">
      <c r="A241" s="194" t="s">
        <v>90</v>
      </c>
      <c r="B241" s="128">
        <v>2020</v>
      </c>
      <c r="C241" s="1047"/>
      <c r="D241" s="1050"/>
      <c r="E241" s="1060"/>
      <c r="F241" s="1051"/>
      <c r="G241" s="1052"/>
      <c r="H241" s="1034"/>
      <c r="I241" s="931"/>
      <c r="J241" s="168"/>
      <c r="K241" s="169"/>
      <c r="L241" s="170"/>
      <c r="M241" s="169"/>
      <c r="N241" s="29" t="s">
        <v>119</v>
      </c>
      <c r="O241" s="120"/>
      <c r="P241" s="120"/>
      <c r="Q241" s="120"/>
      <c r="R241" s="29">
        <v>6</v>
      </c>
      <c r="S241" s="195" t="str">
        <f t="shared" si="116"/>
        <v/>
      </c>
      <c r="T241" s="195" t="str">
        <f t="shared" si="117"/>
        <v/>
      </c>
      <c r="U241" s="195" t="str">
        <f t="shared" si="118"/>
        <v/>
      </c>
      <c r="V241" s="20"/>
      <c r="W241" s="238" t="e">
        <f t="shared" si="119"/>
        <v>#N/A</v>
      </c>
      <c r="X241" s="238" t="e">
        <f t="shared" si="120"/>
        <v>#N/A</v>
      </c>
      <c r="Y241" s="238" t="e">
        <f t="shared" si="121"/>
        <v>#N/A</v>
      </c>
      <c r="AA241" s="1133">
        <v>844.87899543379081</v>
      </c>
      <c r="AB241" s="1133">
        <v>940.44287980800891</v>
      </c>
      <c r="AC241" s="1133">
        <v>1036.006764182227</v>
      </c>
      <c r="AD241" s="138"/>
      <c r="AE241" s="138"/>
      <c r="AF241" s="138"/>
      <c r="AG241" s="138"/>
      <c r="AH241" s="138"/>
      <c r="AI241" s="138"/>
      <c r="AJ241" s="138"/>
      <c r="AK241" s="138"/>
      <c r="AL241" s="138"/>
      <c r="AM241" s="138"/>
      <c r="AN241" s="138"/>
      <c r="BR241" s="180">
        <v>2018</v>
      </c>
      <c r="BS241" s="22">
        <v>4</v>
      </c>
      <c r="BT241" s="181" t="e">
        <f t="shared" si="132"/>
        <v>#DIV/0!</v>
      </c>
      <c r="BU241" s="182" t="e">
        <f t="shared" si="133"/>
        <v>#DIV/0!</v>
      </c>
      <c r="BV241" s="242" t="e">
        <f t="shared" si="134"/>
        <v>#DIV/0!</v>
      </c>
      <c r="BY241" s="180">
        <v>2018</v>
      </c>
      <c r="BZ241" s="22">
        <v>4</v>
      </c>
      <c r="CA241" s="181" t="e">
        <f t="shared" ca="1" si="135"/>
        <v>#REF!</v>
      </c>
      <c r="CB241" s="181" t="e">
        <f t="shared" ca="1" si="136"/>
        <v>#REF!</v>
      </c>
      <c r="CC241" s="182" t="e">
        <f t="shared" ca="1" si="137"/>
        <v>#REF!</v>
      </c>
      <c r="CD241" s="242" t="e">
        <f t="shared" ca="1" si="138"/>
        <v>#REF!</v>
      </c>
      <c r="CG241" s="180">
        <v>2018</v>
      </c>
      <c r="CH241" s="22">
        <v>4</v>
      </c>
      <c r="CI241" s="181" t="e">
        <f t="shared" ca="1" si="139"/>
        <v>#REF!</v>
      </c>
      <c r="CJ241" s="181" t="e">
        <f t="shared" ca="1" si="140"/>
        <v>#REF!</v>
      </c>
      <c r="CK241" s="181" t="e">
        <f t="shared" ca="1" si="141"/>
        <v>#REF!</v>
      </c>
      <c r="CL241" s="182" t="e">
        <f t="shared" ca="1" si="142"/>
        <v>#REF!</v>
      </c>
      <c r="CM241" s="242" t="e">
        <f t="shared" ca="1" si="143"/>
        <v>#REF!</v>
      </c>
      <c r="CP241" s="180">
        <v>2018</v>
      </c>
      <c r="CQ241" s="22">
        <v>4</v>
      </c>
      <c r="CR241" s="181" t="e">
        <f t="shared" ca="1" si="144"/>
        <v>#REF!</v>
      </c>
      <c r="CS241" s="182" t="e">
        <f t="shared" ca="1" si="145"/>
        <v>#REF!</v>
      </c>
      <c r="CT241" s="242" t="e">
        <f t="shared" ca="1" si="146"/>
        <v>#REF!</v>
      </c>
      <c r="CZ241" s="164" t="b">
        <f t="shared" si="122"/>
        <v>0</v>
      </c>
      <c r="DA241" s="165" t="b">
        <f t="shared" si="122"/>
        <v>0</v>
      </c>
      <c r="DB241" s="166" t="b">
        <f t="shared" si="122"/>
        <v>0</v>
      </c>
      <c r="DC241" s="164" t="str">
        <f t="shared" si="123"/>
        <v/>
      </c>
      <c r="DD241" s="166" t="str">
        <f t="shared" si="124"/>
        <v/>
      </c>
      <c r="DE241" s="164" t="str">
        <f t="shared" si="125"/>
        <v/>
      </c>
      <c r="DF241" s="166" t="str">
        <f t="shared" si="126"/>
        <v/>
      </c>
      <c r="DG241" s="164" t="str">
        <f t="shared" si="127"/>
        <v/>
      </c>
      <c r="DH241" s="166" t="str">
        <f t="shared" si="128"/>
        <v/>
      </c>
      <c r="DI241" s="164" t="str">
        <f>IFERROR(INDEX(DC$233:DC$281,_xlfn.AGGREGATE(15,6,(ROW(DC$233:DC$281)-ROW(DC$233)+1)/(DC$233:DC$281&lt;&gt;""),ROWS(DI$1:DI9))),"")</f>
        <v/>
      </c>
      <c r="DJ241" s="165" t="str">
        <f>IFERROR(INDEX(DD$233:DD$281,_xlfn.AGGREGATE(15,6,(ROW(DD$233:DD$281)-ROW(DD$233)+1)/(DD$233:DD$281&lt;&gt;""),ROWS(DJ$1:DJ9))),"")</f>
        <v/>
      </c>
      <c r="DK241" s="166" t="str">
        <f t="shared" si="129"/>
        <v/>
      </c>
      <c r="DL241" s="164" t="str">
        <f>IFERROR(INDEX(DE$233:DE$281,_xlfn.AGGREGATE(15,6,(ROW(DE$233:DE$281)-ROW(DE$233)+1)/(DE$233:DE$281&lt;&gt;""),ROWS(DL$1:DL9))),"")</f>
        <v/>
      </c>
      <c r="DM241" s="165" t="str">
        <f>IFERROR(INDEX(DF$233:DF$281,_xlfn.AGGREGATE(15,6,(ROW(DF$233:DF$281)-ROW(DF$233)+1)/(DF$233:DF$281&lt;&gt;""),ROWS(DM$1:DM9))),"")</f>
        <v/>
      </c>
      <c r="DN241" s="166" t="str">
        <f t="shared" si="130"/>
        <v/>
      </c>
      <c r="DO241" s="164" t="str">
        <f>IFERROR(INDEX(DG$233:DG$281,_xlfn.AGGREGATE(15,6,(ROW(DG$233:DG$281)-ROW(DG$233)+1)/(DG$233:DG$281&lt;&gt;""),ROWS(DO$1:DO9))),"")</f>
        <v/>
      </c>
      <c r="DP241" s="165" t="str">
        <f>IFERROR(INDEX(DH$233:DH$281,_xlfn.AGGREGATE(15,6,(ROW(DH$233:DH$281)-ROW(DH$233)+1)/(DH$233:DH$281&lt;&gt;""),ROWS(DP$1:DP9))),"")</f>
        <v/>
      </c>
      <c r="DQ241" s="166" t="str">
        <f t="shared" si="131"/>
        <v/>
      </c>
      <c r="DV241" s="145">
        <v>2023</v>
      </c>
      <c r="DW241" s="235" t="e">
        <f t="shared" ca="1" si="115"/>
        <v>#REF!</v>
      </c>
      <c r="DZ241" s="135"/>
      <c r="EA241" s="33" t="s">
        <v>86</v>
      </c>
      <c r="EB241" s="33" t="s">
        <v>87</v>
      </c>
      <c r="EC241" s="33"/>
      <c r="ED241" s="33"/>
      <c r="EE241" s="33"/>
    </row>
    <row r="242" spans="1:135" ht="14.1" thickBot="1" x14ac:dyDescent="0.5">
      <c r="A242" s="184" t="s">
        <v>80</v>
      </c>
      <c r="B242" s="128">
        <v>2021</v>
      </c>
      <c r="C242" s="1047"/>
      <c r="D242" s="1050"/>
      <c r="E242" s="1060"/>
      <c r="F242" s="1051"/>
      <c r="G242" s="1052"/>
      <c r="H242" s="1033"/>
      <c r="I242" s="1110"/>
      <c r="J242" s="159"/>
      <c r="K242" s="151"/>
      <c r="L242" s="152"/>
      <c r="M242" s="151"/>
      <c r="N242" s="29" t="s">
        <v>119</v>
      </c>
      <c r="O242" s="120"/>
      <c r="P242" s="120"/>
      <c r="Q242" s="120"/>
      <c r="R242" s="29">
        <v>7</v>
      </c>
      <c r="S242" s="196" t="str">
        <f t="shared" si="116"/>
        <v/>
      </c>
      <c r="T242" s="196" t="str">
        <f t="shared" si="117"/>
        <v/>
      </c>
      <c r="U242" s="196" t="str">
        <f t="shared" si="118"/>
        <v/>
      </c>
      <c r="V242" s="20"/>
      <c r="W242" s="238" t="e">
        <f t="shared" si="119"/>
        <v>#N/A</v>
      </c>
      <c r="X242" s="238" t="e">
        <f t="shared" si="120"/>
        <v>#N/A</v>
      </c>
      <c r="Y242" s="238" t="e">
        <f t="shared" si="121"/>
        <v>#N/A</v>
      </c>
      <c r="AA242" s="1133">
        <v>861.12796803653077</v>
      </c>
      <c r="AB242" s="1133">
        <v>963.49479779432568</v>
      </c>
      <c r="AC242" s="1133">
        <v>1065.8616275521206</v>
      </c>
      <c r="AD242" s="138"/>
      <c r="AE242" s="138"/>
      <c r="AF242" s="138"/>
      <c r="AG242" s="138"/>
      <c r="AH242" s="138"/>
      <c r="AI242" s="138"/>
      <c r="AJ242" s="138"/>
      <c r="AK242" s="138"/>
      <c r="AL242" s="138"/>
      <c r="AM242" s="138"/>
      <c r="AN242" s="138"/>
      <c r="BR242" s="180">
        <v>2019</v>
      </c>
      <c r="BS242" s="22">
        <v>5</v>
      </c>
      <c r="BT242" s="181" t="e">
        <f t="shared" si="132"/>
        <v>#DIV/0!</v>
      </c>
      <c r="BU242" s="182" t="e">
        <f t="shared" si="133"/>
        <v>#DIV/0!</v>
      </c>
      <c r="BV242" s="283" t="e">
        <f t="shared" si="134"/>
        <v>#DIV/0!</v>
      </c>
      <c r="BY242" s="180">
        <v>2019</v>
      </c>
      <c r="BZ242" s="22">
        <v>5</v>
      </c>
      <c r="CA242" s="181" t="e">
        <f t="shared" ca="1" si="135"/>
        <v>#REF!</v>
      </c>
      <c r="CB242" s="181" t="e">
        <f t="shared" ca="1" si="136"/>
        <v>#REF!</v>
      </c>
      <c r="CC242" s="182" t="e">
        <f t="shared" ca="1" si="137"/>
        <v>#REF!</v>
      </c>
      <c r="CD242" s="283" t="e">
        <f t="shared" ca="1" si="138"/>
        <v>#REF!</v>
      </c>
      <c r="CG242" s="180">
        <v>2019</v>
      </c>
      <c r="CH242" s="22">
        <v>5</v>
      </c>
      <c r="CI242" s="181" t="e">
        <f t="shared" ca="1" si="139"/>
        <v>#REF!</v>
      </c>
      <c r="CJ242" s="181" t="e">
        <f t="shared" ca="1" si="140"/>
        <v>#REF!</v>
      </c>
      <c r="CK242" s="181" t="e">
        <f t="shared" ca="1" si="141"/>
        <v>#REF!</v>
      </c>
      <c r="CL242" s="182" t="e">
        <f t="shared" ca="1" si="142"/>
        <v>#REF!</v>
      </c>
      <c r="CM242" s="283" t="e">
        <f t="shared" ca="1" si="143"/>
        <v>#REF!</v>
      </c>
      <c r="CP242" s="180">
        <v>2019</v>
      </c>
      <c r="CQ242" s="22">
        <v>5</v>
      </c>
      <c r="CR242" s="181" t="e">
        <f t="shared" ca="1" si="144"/>
        <v>#REF!</v>
      </c>
      <c r="CS242" s="182" t="e">
        <f t="shared" ca="1" si="145"/>
        <v>#REF!</v>
      </c>
      <c r="CT242" s="283" t="e">
        <f t="shared" ca="1" si="146"/>
        <v>#REF!</v>
      </c>
      <c r="CZ242" s="164" t="b">
        <f t="shared" si="122"/>
        <v>0</v>
      </c>
      <c r="DA242" s="165" t="b">
        <f t="shared" si="122"/>
        <v>0</v>
      </c>
      <c r="DB242" s="166" t="b">
        <f t="shared" si="122"/>
        <v>0</v>
      </c>
      <c r="DC242" s="164" t="str">
        <f t="shared" si="123"/>
        <v/>
      </c>
      <c r="DD242" s="166" t="str">
        <f t="shared" si="124"/>
        <v/>
      </c>
      <c r="DE242" s="164" t="str">
        <f t="shared" si="125"/>
        <v/>
      </c>
      <c r="DF242" s="166" t="str">
        <f t="shared" si="126"/>
        <v/>
      </c>
      <c r="DG242" s="164" t="str">
        <f t="shared" si="127"/>
        <v/>
      </c>
      <c r="DH242" s="166" t="str">
        <f t="shared" si="128"/>
        <v/>
      </c>
      <c r="DI242" s="164" t="str">
        <f>IFERROR(INDEX(DC$233:DC$281,_xlfn.AGGREGATE(15,6,(ROW(DC$233:DC$281)-ROW(DC$233)+1)/(DC$233:DC$281&lt;&gt;""),ROWS(DI$1:DI10))),"")</f>
        <v/>
      </c>
      <c r="DJ242" s="165" t="str">
        <f>IFERROR(INDEX(DD$233:DD$281,_xlfn.AGGREGATE(15,6,(ROW(DD$233:DD$281)-ROW(DD$233)+1)/(DD$233:DD$281&lt;&gt;""),ROWS(DJ$1:DJ10))),"")</f>
        <v/>
      </c>
      <c r="DK242" s="166" t="str">
        <f t="shared" si="129"/>
        <v/>
      </c>
      <c r="DL242" s="164" t="str">
        <f>IFERROR(INDEX(DE$233:DE$281,_xlfn.AGGREGATE(15,6,(ROW(DE$233:DE$281)-ROW(DE$233)+1)/(DE$233:DE$281&lt;&gt;""),ROWS(DL$1:DL10))),"")</f>
        <v/>
      </c>
      <c r="DM242" s="165" t="str">
        <f>IFERROR(INDEX(DF$233:DF$281,_xlfn.AGGREGATE(15,6,(ROW(DF$233:DF$281)-ROW(DF$233)+1)/(DF$233:DF$281&lt;&gt;""),ROWS(DM$1:DM10))),"")</f>
        <v/>
      </c>
      <c r="DN242" s="166" t="str">
        <f t="shared" si="130"/>
        <v/>
      </c>
      <c r="DO242" s="164" t="str">
        <f>IFERROR(INDEX(DG$233:DG$281,_xlfn.AGGREGATE(15,6,(ROW(DG$233:DG$281)-ROW(DG$233)+1)/(DG$233:DG$281&lt;&gt;""),ROWS(DO$1:DO10))),"")</f>
        <v/>
      </c>
      <c r="DP242" s="165" t="str">
        <f>IFERROR(INDEX(DH$233:DH$281,_xlfn.AGGREGATE(15,6,(ROW(DH$233:DH$281)-ROW(DH$233)+1)/(DH$233:DH$281&lt;&gt;""),ROWS(DP$1:DP10))),"")</f>
        <v/>
      </c>
      <c r="DQ242" s="166" t="str">
        <f t="shared" si="131"/>
        <v/>
      </c>
      <c r="DV242" s="145">
        <v>2024</v>
      </c>
      <c r="DW242" s="235" t="e">
        <f t="shared" ca="1" si="115"/>
        <v>#REF!</v>
      </c>
      <c r="DZ242" s="135" t="s">
        <v>92</v>
      </c>
      <c r="EA242" s="33">
        <f t="shared" ref="EA242:EB244" si="148">IF($EA$231="Linear",0,IF($EA$231="2nd Poly",0,IF($EA$231="3rd Poly",0,IF($EA$231="Exp",CR234))))</f>
        <v>0</v>
      </c>
      <c r="EB242" s="33">
        <f t="shared" si="148"/>
        <v>0</v>
      </c>
      <c r="EC242" s="33" t="str">
        <f>IF($EA$231="Linear","N/A",IF($EA$231="2nd Poly","N/A",IF($EA$231="3rd Poly","N/A","High")))</f>
        <v>N/A</v>
      </c>
      <c r="ED242" s="33"/>
      <c r="EE242" s="33"/>
    </row>
    <row r="243" spans="1:135" ht="13.8" x14ac:dyDescent="0.45">
      <c r="A243" s="148" t="s">
        <v>88</v>
      </c>
      <c r="B243" s="128">
        <v>2022</v>
      </c>
      <c r="C243" s="1047"/>
      <c r="D243" s="1050"/>
      <c r="E243" s="1060"/>
      <c r="F243" s="1051"/>
      <c r="G243" s="1052"/>
      <c r="H243" s="1035"/>
      <c r="I243" s="1111"/>
      <c r="J243" s="199"/>
      <c r="K243" s="200"/>
      <c r="L243" s="201"/>
      <c r="M243" s="200"/>
      <c r="N243" s="29" t="s">
        <v>119</v>
      </c>
      <c r="O243" s="120"/>
      <c r="P243" s="120"/>
      <c r="Q243" s="120"/>
      <c r="R243" s="29">
        <v>8</v>
      </c>
      <c r="S243" s="202" t="str">
        <f t="shared" si="116"/>
        <v/>
      </c>
      <c r="T243" s="202" t="str">
        <f t="shared" si="117"/>
        <v/>
      </c>
      <c r="U243" s="202" t="str">
        <f t="shared" si="118"/>
        <v/>
      </c>
      <c r="V243" s="20"/>
      <c r="W243" s="238" t="e">
        <f t="shared" si="119"/>
        <v>#N/A</v>
      </c>
      <c r="X243" s="238" t="e">
        <f t="shared" si="120"/>
        <v>#N/A</v>
      </c>
      <c r="Y243" s="238" t="e">
        <f t="shared" si="121"/>
        <v>#N/A</v>
      </c>
      <c r="AA243" s="1133">
        <v>877.37694063927052</v>
      </c>
      <c r="AB243" s="1133">
        <v>986.3798519092295</v>
      </c>
      <c r="AC243" s="1133">
        <v>1095.3827631791885</v>
      </c>
      <c r="AD243" s="120"/>
      <c r="AE243" s="120"/>
      <c r="AF243" s="120"/>
      <c r="AG243" s="120"/>
      <c r="AH243" s="120"/>
      <c r="AI243" s="120"/>
      <c r="AJ243" s="120"/>
      <c r="AK243" s="120"/>
      <c r="AL243" s="120"/>
      <c r="AM243" s="120"/>
      <c r="AN243" s="120"/>
      <c r="BR243" s="180">
        <v>2020</v>
      </c>
      <c r="BS243" s="22">
        <v>6</v>
      </c>
      <c r="BT243" s="181" t="e">
        <f t="shared" si="132"/>
        <v>#DIV/0!</v>
      </c>
      <c r="BU243" s="182" t="e">
        <f t="shared" si="133"/>
        <v>#DIV/0!</v>
      </c>
      <c r="BV243" s="203" t="e">
        <f t="shared" si="134"/>
        <v>#DIV/0!</v>
      </c>
      <c r="BY243" s="180">
        <v>2020</v>
      </c>
      <c r="BZ243" s="22">
        <v>6</v>
      </c>
      <c r="CA243" s="181" t="e">
        <f t="shared" ca="1" si="135"/>
        <v>#REF!</v>
      </c>
      <c r="CB243" s="181" t="e">
        <f t="shared" ca="1" si="136"/>
        <v>#REF!</v>
      </c>
      <c r="CC243" s="182" t="e">
        <f t="shared" ca="1" si="137"/>
        <v>#REF!</v>
      </c>
      <c r="CD243" s="203" t="e">
        <f t="shared" ca="1" si="138"/>
        <v>#REF!</v>
      </c>
      <c r="CG243" s="180">
        <v>2020</v>
      </c>
      <c r="CH243" s="22">
        <v>6</v>
      </c>
      <c r="CI243" s="181" t="e">
        <f t="shared" ca="1" si="139"/>
        <v>#REF!</v>
      </c>
      <c r="CJ243" s="181" t="e">
        <f t="shared" ca="1" si="140"/>
        <v>#REF!</v>
      </c>
      <c r="CK243" s="181" t="e">
        <f t="shared" ca="1" si="141"/>
        <v>#REF!</v>
      </c>
      <c r="CL243" s="182" t="e">
        <f t="shared" ca="1" si="142"/>
        <v>#REF!</v>
      </c>
      <c r="CM243" s="203" t="e">
        <f t="shared" ca="1" si="143"/>
        <v>#REF!</v>
      </c>
      <c r="CP243" s="180">
        <v>2020</v>
      </c>
      <c r="CQ243" s="22">
        <v>6</v>
      </c>
      <c r="CR243" s="181" t="e">
        <f t="shared" ca="1" si="144"/>
        <v>#REF!</v>
      </c>
      <c r="CS243" s="182" t="e">
        <f t="shared" ca="1" si="145"/>
        <v>#REF!</v>
      </c>
      <c r="CT243" s="203" t="e">
        <f t="shared" ca="1" si="146"/>
        <v>#REF!</v>
      </c>
      <c r="CZ243" s="164" t="b">
        <f t="shared" si="122"/>
        <v>0</v>
      </c>
      <c r="DA243" s="165" t="b">
        <f t="shared" si="122"/>
        <v>0</v>
      </c>
      <c r="DB243" s="166" t="b">
        <f t="shared" si="122"/>
        <v>0</v>
      </c>
      <c r="DC243" s="164" t="str">
        <f t="shared" si="123"/>
        <v/>
      </c>
      <c r="DD243" s="166" t="str">
        <f t="shared" si="124"/>
        <v/>
      </c>
      <c r="DE243" s="164" t="str">
        <f t="shared" si="125"/>
        <v/>
      </c>
      <c r="DF243" s="166" t="str">
        <f t="shared" si="126"/>
        <v/>
      </c>
      <c r="DG243" s="164" t="str">
        <f t="shared" si="127"/>
        <v/>
      </c>
      <c r="DH243" s="166" t="str">
        <f t="shared" si="128"/>
        <v/>
      </c>
      <c r="DI243" s="164" t="str">
        <f>IFERROR(INDEX(DC$233:DC$281,_xlfn.AGGREGATE(15,6,(ROW(DC$233:DC$281)-ROW(DC$233)+1)/(DC$233:DC$281&lt;&gt;""),ROWS(DI$1:DI11))),"")</f>
        <v/>
      </c>
      <c r="DJ243" s="165" t="str">
        <f>IFERROR(INDEX(DD$233:DD$281,_xlfn.AGGREGATE(15,6,(ROW(DD$233:DD$281)-ROW(DD$233)+1)/(DD$233:DD$281&lt;&gt;""),ROWS(DJ$1:DJ11))),"")</f>
        <v/>
      </c>
      <c r="DK243" s="166" t="str">
        <f t="shared" si="129"/>
        <v/>
      </c>
      <c r="DL243" s="164" t="str">
        <f>IFERROR(INDEX(DE$233:DE$281,_xlfn.AGGREGATE(15,6,(ROW(DE$233:DE$281)-ROW(DE$233)+1)/(DE$233:DE$281&lt;&gt;""),ROWS(DL$1:DL11))),"")</f>
        <v/>
      </c>
      <c r="DM243" s="165" t="str">
        <f>IFERROR(INDEX(DF$233:DF$281,_xlfn.AGGREGATE(15,6,(ROW(DF$233:DF$281)-ROW(DF$233)+1)/(DF$233:DF$281&lt;&gt;""),ROWS(DM$1:DM11))),"")</f>
        <v/>
      </c>
      <c r="DN243" s="166" t="str">
        <f t="shared" si="130"/>
        <v/>
      </c>
      <c r="DO243" s="164" t="str">
        <f>IFERROR(INDEX(DG$233:DG$281,_xlfn.AGGREGATE(15,6,(ROW(DG$233:DG$281)-ROW(DG$233)+1)/(DG$233:DG$281&lt;&gt;""),ROWS(DO$1:DO11))),"")</f>
        <v/>
      </c>
      <c r="DP243" s="165" t="str">
        <f>IFERROR(INDEX(DH$233:DH$281,_xlfn.AGGREGATE(15,6,(ROW(DH$233:DH$281)-ROW(DH$233)+1)/(DH$233:DH$281&lt;&gt;""),ROWS(DP$1:DP11))),"")</f>
        <v/>
      </c>
      <c r="DQ243" s="166" t="str">
        <f t="shared" si="131"/>
        <v/>
      </c>
      <c r="DV243" s="145">
        <v>2025</v>
      </c>
      <c r="DW243" s="235" t="e">
        <f t="shared" ca="1" si="115"/>
        <v>#REF!</v>
      </c>
      <c r="DZ243" s="135" t="s">
        <v>92</v>
      </c>
      <c r="EA243" s="33">
        <f t="shared" si="148"/>
        <v>0</v>
      </c>
      <c r="EB243" s="33">
        <f t="shared" si="148"/>
        <v>0</v>
      </c>
      <c r="EC243" s="33" t="str">
        <f>IF($EA$231="Linear","N/A",IF($EA$231="2nd Poly","N/A",IF($EA$231="3rd Poly","N/A","Medium")))</f>
        <v>N/A</v>
      </c>
    </row>
    <row r="244" spans="1:135" ht="13.8" x14ac:dyDescent="0.45">
      <c r="B244" s="128">
        <v>2023</v>
      </c>
      <c r="C244" s="1047"/>
      <c r="D244" s="1050"/>
      <c r="E244" s="1060"/>
      <c r="F244" s="1051"/>
      <c r="G244" s="1052"/>
      <c r="H244" s="1035"/>
      <c r="I244" s="1111"/>
      <c r="J244" s="199"/>
      <c r="K244" s="200"/>
      <c r="L244" s="201"/>
      <c r="M244" s="200"/>
      <c r="N244" s="29" t="s">
        <v>119</v>
      </c>
      <c r="O244" s="120"/>
      <c r="P244" s="120"/>
      <c r="Q244" s="120"/>
      <c r="R244" s="29">
        <v>9</v>
      </c>
      <c r="S244" s="202" t="str">
        <f t="shared" si="116"/>
        <v/>
      </c>
      <c r="T244" s="202" t="str">
        <f t="shared" si="117"/>
        <v/>
      </c>
      <c r="U244" s="202" t="str">
        <f t="shared" si="118"/>
        <v/>
      </c>
      <c r="V244" s="20"/>
      <c r="W244" s="238" t="e">
        <f t="shared" si="119"/>
        <v>#N/A</v>
      </c>
      <c r="X244" s="238" t="e">
        <f t="shared" si="120"/>
        <v>#N/A</v>
      </c>
      <c r="Y244" s="238" t="e">
        <f t="shared" si="121"/>
        <v>#N/A</v>
      </c>
      <c r="AA244" s="1133">
        <v>893.62591324200866</v>
      </c>
      <c r="AB244" s="1133">
        <v>1008.979690245764</v>
      </c>
      <c r="AC244" s="1133">
        <v>1124.3334672495193</v>
      </c>
      <c r="AD244" s="120"/>
      <c r="AE244" s="120"/>
      <c r="AF244" s="120"/>
      <c r="AG244" s="120"/>
      <c r="AH244" s="120"/>
      <c r="AI244" s="120"/>
      <c r="AJ244" s="120"/>
      <c r="AK244" s="120"/>
      <c r="AL244" s="120"/>
      <c r="AM244" s="120"/>
      <c r="AN244" s="120"/>
      <c r="BR244" s="180">
        <v>2021</v>
      </c>
      <c r="BS244" s="22">
        <v>7</v>
      </c>
      <c r="BT244" s="181" t="e">
        <f t="shared" si="132"/>
        <v>#DIV/0!</v>
      </c>
      <c r="BU244" s="182" t="e">
        <f t="shared" si="133"/>
        <v>#DIV/0!</v>
      </c>
      <c r="BV244" s="205" t="e">
        <f t="shared" si="134"/>
        <v>#DIV/0!</v>
      </c>
      <c r="BY244" s="180">
        <v>2021</v>
      </c>
      <c r="BZ244" s="22">
        <v>7</v>
      </c>
      <c r="CA244" s="181" t="e">
        <f t="shared" ca="1" si="135"/>
        <v>#REF!</v>
      </c>
      <c r="CB244" s="181" t="e">
        <f t="shared" ca="1" si="136"/>
        <v>#REF!</v>
      </c>
      <c r="CC244" s="182" t="e">
        <f t="shared" ca="1" si="137"/>
        <v>#REF!</v>
      </c>
      <c r="CD244" s="205" t="e">
        <f t="shared" ca="1" si="138"/>
        <v>#REF!</v>
      </c>
      <c r="CG244" s="180">
        <v>2021</v>
      </c>
      <c r="CH244" s="22">
        <v>7</v>
      </c>
      <c r="CI244" s="181" t="e">
        <f t="shared" ca="1" si="139"/>
        <v>#REF!</v>
      </c>
      <c r="CJ244" s="181" t="e">
        <f t="shared" ca="1" si="140"/>
        <v>#REF!</v>
      </c>
      <c r="CK244" s="181" t="e">
        <f t="shared" ca="1" si="141"/>
        <v>#REF!</v>
      </c>
      <c r="CL244" s="182" t="e">
        <f t="shared" ca="1" si="142"/>
        <v>#REF!</v>
      </c>
      <c r="CM244" s="205" t="e">
        <f t="shared" ca="1" si="143"/>
        <v>#REF!</v>
      </c>
      <c r="CP244" s="180">
        <v>2021</v>
      </c>
      <c r="CQ244" s="22">
        <v>7</v>
      </c>
      <c r="CR244" s="181" t="e">
        <f t="shared" ca="1" si="144"/>
        <v>#REF!</v>
      </c>
      <c r="CS244" s="182" t="e">
        <f t="shared" ca="1" si="145"/>
        <v>#REF!</v>
      </c>
      <c r="CT244" s="205" t="e">
        <f t="shared" ca="1" si="146"/>
        <v>#REF!</v>
      </c>
      <c r="CZ244" s="164" t="b">
        <f t="shared" si="122"/>
        <v>0</v>
      </c>
      <c r="DA244" s="165" t="b">
        <f t="shared" si="122"/>
        <v>0</v>
      </c>
      <c r="DB244" s="166" t="b">
        <f t="shared" si="122"/>
        <v>0</v>
      </c>
      <c r="DC244" s="164" t="str">
        <f t="shared" si="123"/>
        <v/>
      </c>
      <c r="DD244" s="166" t="str">
        <f t="shared" si="124"/>
        <v/>
      </c>
      <c r="DE244" s="164" t="str">
        <f t="shared" si="125"/>
        <v/>
      </c>
      <c r="DF244" s="166" t="str">
        <f t="shared" si="126"/>
        <v/>
      </c>
      <c r="DG244" s="164" t="str">
        <f t="shared" si="127"/>
        <v/>
      </c>
      <c r="DH244" s="166" t="str">
        <f t="shared" si="128"/>
        <v/>
      </c>
      <c r="DI244" s="164" t="str">
        <f>IFERROR(INDEX(DC$233:DC$281,_xlfn.AGGREGATE(15,6,(ROW(DC$233:DC$281)-ROW(DC$233)+1)/(DC$233:DC$281&lt;&gt;""),ROWS(DI$1:DI12))),"")</f>
        <v/>
      </c>
      <c r="DJ244" s="165" t="str">
        <f>IFERROR(INDEX(DD$233:DD$281,_xlfn.AGGREGATE(15,6,(ROW(DD$233:DD$281)-ROW(DD$233)+1)/(DD$233:DD$281&lt;&gt;""),ROWS(DJ$1:DJ12))),"")</f>
        <v/>
      </c>
      <c r="DK244" s="166" t="str">
        <f t="shared" si="129"/>
        <v/>
      </c>
      <c r="DL244" s="164" t="str">
        <f>IFERROR(INDEX(DE$233:DE$281,_xlfn.AGGREGATE(15,6,(ROW(DE$233:DE$281)-ROW(DE$233)+1)/(DE$233:DE$281&lt;&gt;""),ROWS(DL$1:DL12))),"")</f>
        <v/>
      </c>
      <c r="DM244" s="165" t="str">
        <f>IFERROR(INDEX(DF$233:DF$281,_xlfn.AGGREGATE(15,6,(ROW(DF$233:DF$281)-ROW(DF$233)+1)/(DF$233:DF$281&lt;&gt;""),ROWS(DM$1:DM12))),"")</f>
        <v/>
      </c>
      <c r="DN244" s="166" t="str">
        <f t="shared" si="130"/>
        <v/>
      </c>
      <c r="DO244" s="164" t="str">
        <f>IFERROR(INDEX(DG$233:DG$281,_xlfn.AGGREGATE(15,6,(ROW(DG$233:DG$281)-ROW(DG$233)+1)/(DG$233:DG$281&lt;&gt;""),ROWS(DO$1:DO12))),"")</f>
        <v/>
      </c>
      <c r="DP244" s="165" t="str">
        <f>IFERROR(INDEX(DH$233:DH$281,_xlfn.AGGREGATE(15,6,(ROW(DH$233:DH$281)-ROW(DH$233)+1)/(DH$233:DH$281&lt;&gt;""),ROWS(DP$1:DP12))),"")</f>
        <v/>
      </c>
      <c r="DQ244" s="166" t="str">
        <f t="shared" si="131"/>
        <v/>
      </c>
      <c r="DV244" s="145">
        <v>2026</v>
      </c>
      <c r="DW244" s="235" t="e">
        <f t="shared" ca="1" si="115"/>
        <v>#REF!</v>
      </c>
      <c r="DZ244" s="135" t="s">
        <v>92</v>
      </c>
      <c r="EA244" s="33">
        <f t="shared" si="148"/>
        <v>0</v>
      </c>
      <c r="EB244" s="33">
        <f t="shared" si="148"/>
        <v>0</v>
      </c>
      <c r="EC244" s="33" t="str">
        <f>IF($EA$231="Linear","N/A",IF($EA$231="2nd Poly","N/A",IF($EA$231="3rd Poly","N/A","Low")))</f>
        <v>N/A</v>
      </c>
    </row>
    <row r="245" spans="1:135" ht="13.8" x14ac:dyDescent="0.45">
      <c r="B245" s="128">
        <v>2024</v>
      </c>
      <c r="C245" s="1047"/>
      <c r="D245" s="1050"/>
      <c r="E245" s="1060"/>
      <c r="F245" s="1051"/>
      <c r="G245" s="1052"/>
      <c r="H245" s="1036"/>
      <c r="I245" s="1112"/>
      <c r="J245" s="247"/>
      <c r="K245" s="245"/>
      <c r="L245" s="246"/>
      <c r="M245" s="245"/>
      <c r="N245" s="29" t="s">
        <v>119</v>
      </c>
      <c r="O245" s="120"/>
      <c r="P245" s="120"/>
      <c r="Q245" s="120"/>
      <c r="R245" s="29">
        <v>10</v>
      </c>
      <c r="S245" s="238" t="str">
        <f t="shared" si="116"/>
        <v/>
      </c>
      <c r="T245" s="238" t="str">
        <f t="shared" si="117"/>
        <v/>
      </c>
      <c r="U245" s="238" t="str">
        <f t="shared" si="118"/>
        <v/>
      </c>
      <c r="V245" s="20"/>
      <c r="W245" s="238" t="e">
        <f t="shared" si="119"/>
        <v>#N/A</v>
      </c>
      <c r="X245" s="238" t="e">
        <f t="shared" si="120"/>
        <v>#N/A</v>
      </c>
      <c r="Y245" s="238" t="e">
        <f t="shared" si="121"/>
        <v>#N/A</v>
      </c>
      <c r="AA245" s="1133">
        <v>909.87488584475057</v>
      </c>
      <c r="AB245" s="1133">
        <v>1031.2959903210772</v>
      </c>
      <c r="AC245" s="1133">
        <v>1152.7170947974039</v>
      </c>
      <c r="AD245" s="120"/>
      <c r="AE245" s="120"/>
      <c r="AF245" s="120"/>
      <c r="AG245" s="120"/>
      <c r="AH245" s="120"/>
      <c r="AI245" s="120"/>
      <c r="AJ245" s="120"/>
      <c r="AK245" s="120"/>
      <c r="AL245" s="120"/>
      <c r="AM245" s="120"/>
      <c r="AN245" s="120"/>
      <c r="BR245" s="180">
        <v>2022</v>
      </c>
      <c r="BS245" s="22">
        <v>8</v>
      </c>
      <c r="BT245" s="181" t="e">
        <f t="shared" si="132"/>
        <v>#DIV/0!</v>
      </c>
      <c r="BU245" s="182" t="e">
        <f t="shared" si="133"/>
        <v>#DIV/0!</v>
      </c>
      <c r="BV245" s="205" t="e">
        <f t="shared" si="134"/>
        <v>#DIV/0!</v>
      </c>
      <c r="BY245" s="180">
        <v>2022</v>
      </c>
      <c r="BZ245" s="22">
        <v>8</v>
      </c>
      <c r="CA245" s="181" t="e">
        <f t="shared" ca="1" si="135"/>
        <v>#REF!</v>
      </c>
      <c r="CB245" s="181" t="e">
        <f t="shared" ca="1" si="136"/>
        <v>#REF!</v>
      </c>
      <c r="CC245" s="182" t="e">
        <f t="shared" ca="1" si="137"/>
        <v>#REF!</v>
      </c>
      <c r="CD245" s="205" t="e">
        <f t="shared" ca="1" si="138"/>
        <v>#REF!</v>
      </c>
      <c r="CG245" s="180">
        <v>2022</v>
      </c>
      <c r="CH245" s="22">
        <v>8</v>
      </c>
      <c r="CI245" s="181" t="e">
        <f t="shared" ca="1" si="139"/>
        <v>#REF!</v>
      </c>
      <c r="CJ245" s="181" t="e">
        <f t="shared" ca="1" si="140"/>
        <v>#REF!</v>
      </c>
      <c r="CK245" s="181" t="e">
        <f t="shared" ca="1" si="141"/>
        <v>#REF!</v>
      </c>
      <c r="CL245" s="182" t="e">
        <f t="shared" ca="1" si="142"/>
        <v>#REF!</v>
      </c>
      <c r="CM245" s="205" t="e">
        <f t="shared" ca="1" si="143"/>
        <v>#REF!</v>
      </c>
      <c r="CP245" s="180">
        <v>2022</v>
      </c>
      <c r="CQ245" s="22">
        <v>8</v>
      </c>
      <c r="CR245" s="181" t="e">
        <f t="shared" ca="1" si="144"/>
        <v>#REF!</v>
      </c>
      <c r="CS245" s="182" t="e">
        <f t="shared" ca="1" si="145"/>
        <v>#REF!</v>
      </c>
      <c r="CT245" s="205" t="e">
        <f t="shared" ca="1" si="146"/>
        <v>#REF!</v>
      </c>
      <c r="CZ245" s="164" t="b">
        <f t="shared" si="122"/>
        <v>0</v>
      </c>
      <c r="DA245" s="165" t="b">
        <f t="shared" si="122"/>
        <v>0</v>
      </c>
      <c r="DB245" s="166" t="b">
        <f t="shared" si="122"/>
        <v>0</v>
      </c>
      <c r="DC245" s="164" t="str">
        <f t="shared" si="123"/>
        <v/>
      </c>
      <c r="DD245" s="166" t="str">
        <f t="shared" si="124"/>
        <v/>
      </c>
      <c r="DE245" s="164" t="str">
        <f t="shared" si="125"/>
        <v/>
      </c>
      <c r="DF245" s="166" t="str">
        <f t="shared" si="126"/>
        <v/>
      </c>
      <c r="DG245" s="164" t="str">
        <f t="shared" si="127"/>
        <v/>
      </c>
      <c r="DH245" s="166" t="str">
        <f t="shared" si="128"/>
        <v/>
      </c>
      <c r="DI245" s="164" t="str">
        <f>IFERROR(INDEX(DC$233:DC$281,_xlfn.AGGREGATE(15,6,(ROW(DC$233:DC$281)-ROW(DC$233)+1)/(DC$233:DC$281&lt;&gt;""),ROWS(DI$1:DI13))),"")</f>
        <v/>
      </c>
      <c r="DJ245" s="165" t="str">
        <f>IFERROR(INDEX(DD$233:DD$281,_xlfn.AGGREGATE(15,6,(ROW(DD$233:DD$281)-ROW(DD$233)+1)/(DD$233:DD$281&lt;&gt;""),ROWS(DJ$1:DJ13))),"")</f>
        <v/>
      </c>
      <c r="DK245" s="166" t="str">
        <f t="shared" si="129"/>
        <v/>
      </c>
      <c r="DL245" s="164" t="str">
        <f>IFERROR(INDEX(DE$233:DE$281,_xlfn.AGGREGATE(15,6,(ROW(DE$233:DE$281)-ROW(DE$233)+1)/(DE$233:DE$281&lt;&gt;""),ROWS(DL$1:DL13))),"")</f>
        <v/>
      </c>
      <c r="DM245" s="165" t="str">
        <f>IFERROR(INDEX(DF$233:DF$281,_xlfn.AGGREGATE(15,6,(ROW(DF$233:DF$281)-ROW(DF$233)+1)/(DF$233:DF$281&lt;&gt;""),ROWS(DM$1:DM13))),"")</f>
        <v/>
      </c>
      <c r="DN245" s="166" t="str">
        <f t="shared" si="130"/>
        <v/>
      </c>
      <c r="DO245" s="164" t="str">
        <f>IFERROR(INDEX(DG$233:DG$281,_xlfn.AGGREGATE(15,6,(ROW(DG$233:DG$281)-ROW(DG$233)+1)/(DG$233:DG$281&lt;&gt;""),ROWS(DO$1:DO13))),"")</f>
        <v/>
      </c>
      <c r="DP245" s="165" t="str">
        <f>IFERROR(INDEX(DH$233:DH$281,_xlfn.AGGREGATE(15,6,(ROW(DH$233:DH$281)-ROW(DH$233)+1)/(DH$233:DH$281&lt;&gt;""),ROWS(DP$1:DP13))),"")</f>
        <v/>
      </c>
      <c r="DQ245" s="166" t="str">
        <f t="shared" si="131"/>
        <v/>
      </c>
      <c r="DV245" s="145">
        <v>2027</v>
      </c>
      <c r="DW245" s="235" t="e">
        <f t="shared" ca="1" si="115"/>
        <v>#REF!</v>
      </c>
    </row>
    <row r="246" spans="1:135" ht="13.8" x14ac:dyDescent="0.45">
      <c r="B246" s="128">
        <v>2025</v>
      </c>
      <c r="C246" s="1047"/>
      <c r="D246" s="1050"/>
      <c r="E246" s="1060"/>
      <c r="F246" s="1051"/>
      <c r="G246" s="1052"/>
      <c r="H246" s="1036"/>
      <c r="I246" s="1112"/>
      <c r="J246" s="247"/>
      <c r="K246" s="245"/>
      <c r="L246" s="246"/>
      <c r="M246" s="245"/>
      <c r="N246" s="29" t="s">
        <v>119</v>
      </c>
      <c r="O246" s="120"/>
      <c r="P246" s="120"/>
      <c r="Q246" s="120"/>
      <c r="R246" s="29">
        <v>11</v>
      </c>
      <c r="S246" s="238" t="str">
        <f t="shared" si="116"/>
        <v/>
      </c>
      <c r="T246" s="238" t="str">
        <f t="shared" si="117"/>
        <v/>
      </c>
      <c r="U246" s="238" t="str">
        <f t="shared" si="118"/>
        <v/>
      </c>
      <c r="W246" s="238" t="e">
        <f t="shared" si="119"/>
        <v>#N/A</v>
      </c>
      <c r="X246" s="238" t="e">
        <f t="shared" si="120"/>
        <v>#N/A</v>
      </c>
      <c r="Y246" s="238" t="e">
        <f t="shared" si="121"/>
        <v>#N/A</v>
      </c>
      <c r="AA246" s="1133">
        <v>926.12385844748997</v>
      </c>
      <c r="AB246" s="1133">
        <v>1054.7670288822792</v>
      </c>
      <c r="AC246" s="1133">
        <v>1183.4101993170684</v>
      </c>
      <c r="AD246" s="120"/>
      <c r="AE246" s="120"/>
      <c r="AF246" s="120"/>
      <c r="AG246" s="120"/>
      <c r="AH246" s="120"/>
      <c r="AI246" s="120"/>
      <c r="AJ246" s="120"/>
      <c r="AK246" s="120"/>
      <c r="AL246" s="120"/>
      <c r="AM246" s="120"/>
      <c r="AN246" s="120"/>
      <c r="BR246" s="180">
        <v>2023</v>
      </c>
      <c r="BS246" s="22">
        <v>9</v>
      </c>
      <c r="BT246" s="181" t="e">
        <f t="shared" si="132"/>
        <v>#DIV/0!</v>
      </c>
      <c r="BU246" s="182" t="e">
        <f t="shared" si="133"/>
        <v>#DIV/0!</v>
      </c>
      <c r="BV246" s="205" t="e">
        <f t="shared" si="134"/>
        <v>#DIV/0!</v>
      </c>
      <c r="BY246" s="180">
        <v>2023</v>
      </c>
      <c r="BZ246" s="22">
        <v>9</v>
      </c>
      <c r="CA246" s="181" t="e">
        <f t="shared" ca="1" si="135"/>
        <v>#REF!</v>
      </c>
      <c r="CB246" s="181" t="e">
        <f t="shared" ca="1" si="136"/>
        <v>#REF!</v>
      </c>
      <c r="CC246" s="182" t="e">
        <f t="shared" ca="1" si="137"/>
        <v>#REF!</v>
      </c>
      <c r="CD246" s="205" t="e">
        <f t="shared" ca="1" si="138"/>
        <v>#REF!</v>
      </c>
      <c r="CG246" s="180">
        <v>2023</v>
      </c>
      <c r="CH246" s="22">
        <v>9</v>
      </c>
      <c r="CI246" s="181" t="e">
        <f t="shared" ca="1" si="139"/>
        <v>#REF!</v>
      </c>
      <c r="CJ246" s="181" t="e">
        <f t="shared" ca="1" si="140"/>
        <v>#REF!</v>
      </c>
      <c r="CK246" s="181" t="e">
        <f t="shared" ca="1" si="141"/>
        <v>#REF!</v>
      </c>
      <c r="CL246" s="182" t="e">
        <f t="shared" ca="1" si="142"/>
        <v>#REF!</v>
      </c>
      <c r="CM246" s="205" t="e">
        <f t="shared" ca="1" si="143"/>
        <v>#REF!</v>
      </c>
      <c r="CP246" s="180">
        <v>2023</v>
      </c>
      <c r="CQ246" s="22">
        <v>9</v>
      </c>
      <c r="CR246" s="181" t="e">
        <f t="shared" ca="1" si="144"/>
        <v>#REF!</v>
      </c>
      <c r="CS246" s="182" t="e">
        <f t="shared" ca="1" si="145"/>
        <v>#REF!</v>
      </c>
      <c r="CT246" s="205" t="e">
        <f t="shared" ca="1" si="146"/>
        <v>#REF!</v>
      </c>
      <c r="CZ246" s="164" t="b">
        <f t="shared" si="122"/>
        <v>0</v>
      </c>
      <c r="DA246" s="165" t="b">
        <f t="shared" si="122"/>
        <v>0</v>
      </c>
      <c r="DB246" s="166" t="b">
        <f t="shared" si="122"/>
        <v>0</v>
      </c>
      <c r="DC246" s="164" t="str">
        <f t="shared" si="123"/>
        <v/>
      </c>
      <c r="DD246" s="166" t="str">
        <f t="shared" si="124"/>
        <v/>
      </c>
      <c r="DE246" s="164" t="str">
        <f t="shared" si="125"/>
        <v/>
      </c>
      <c r="DF246" s="166" t="str">
        <f t="shared" si="126"/>
        <v/>
      </c>
      <c r="DG246" s="164" t="str">
        <f t="shared" si="127"/>
        <v/>
      </c>
      <c r="DH246" s="166" t="str">
        <f t="shared" si="128"/>
        <v/>
      </c>
      <c r="DI246" s="164" t="str">
        <f>IFERROR(INDEX(DC$233:DC$281,_xlfn.AGGREGATE(15,6,(ROW(DC$233:DC$281)-ROW(DC$233)+1)/(DC$233:DC$281&lt;&gt;""),ROWS(DI$1:DI14))),"")</f>
        <v/>
      </c>
      <c r="DJ246" s="165" t="str">
        <f>IFERROR(INDEX(DD$233:DD$281,_xlfn.AGGREGATE(15,6,(ROW(DD$233:DD$281)-ROW(DD$233)+1)/(DD$233:DD$281&lt;&gt;""),ROWS(DJ$1:DJ14))),"")</f>
        <v/>
      </c>
      <c r="DK246" s="166" t="str">
        <f t="shared" si="129"/>
        <v/>
      </c>
      <c r="DL246" s="164" t="str">
        <f>IFERROR(INDEX(DE$233:DE$281,_xlfn.AGGREGATE(15,6,(ROW(DE$233:DE$281)-ROW(DE$233)+1)/(DE$233:DE$281&lt;&gt;""),ROWS(DL$1:DL14))),"")</f>
        <v/>
      </c>
      <c r="DM246" s="165" t="str">
        <f>IFERROR(INDEX(DF$233:DF$281,_xlfn.AGGREGATE(15,6,(ROW(DF$233:DF$281)-ROW(DF$233)+1)/(DF$233:DF$281&lt;&gt;""),ROWS(DM$1:DM14))),"")</f>
        <v/>
      </c>
      <c r="DN246" s="166" t="str">
        <f t="shared" si="130"/>
        <v/>
      </c>
      <c r="DO246" s="164" t="str">
        <f>IFERROR(INDEX(DG$233:DG$281,_xlfn.AGGREGATE(15,6,(ROW(DG$233:DG$281)-ROW(DG$233)+1)/(DG$233:DG$281&lt;&gt;""),ROWS(DO$1:DO14))),"")</f>
        <v/>
      </c>
      <c r="DP246" s="165" t="str">
        <f>IFERROR(INDEX(DH$233:DH$281,_xlfn.AGGREGATE(15,6,(ROW(DH$233:DH$281)-ROW(DH$233)+1)/(DH$233:DH$281&lt;&gt;""),ROWS(DP$1:DP14))),"")</f>
        <v/>
      </c>
      <c r="DQ246" s="166" t="str">
        <f t="shared" si="131"/>
        <v/>
      </c>
      <c r="DV246" s="145">
        <v>2028</v>
      </c>
      <c r="DW246" s="235" t="e">
        <f t="shared" ca="1" si="115"/>
        <v>#REF!</v>
      </c>
    </row>
    <row r="247" spans="1:135" ht="13.8" x14ac:dyDescent="0.45">
      <c r="B247" s="128">
        <v>2026</v>
      </c>
      <c r="C247" s="1047"/>
      <c r="D247" s="1050"/>
      <c r="E247" s="1060"/>
      <c r="F247" s="1051"/>
      <c r="G247" s="1052"/>
      <c r="H247" s="1036"/>
      <c r="I247" s="1112"/>
      <c r="J247" s="247"/>
      <c r="K247" s="245"/>
      <c r="L247" s="246"/>
      <c r="M247" s="245"/>
      <c r="N247" s="29" t="s">
        <v>119</v>
      </c>
      <c r="O247" s="120"/>
      <c r="P247" s="120"/>
      <c r="Q247" s="120"/>
      <c r="R247" s="29">
        <v>12</v>
      </c>
      <c r="S247" s="238" t="str">
        <f t="shared" si="116"/>
        <v/>
      </c>
      <c r="T247" s="238" t="str">
        <f t="shared" si="117"/>
        <v/>
      </c>
      <c r="U247" s="238" t="str">
        <f t="shared" si="118"/>
        <v/>
      </c>
      <c r="W247" s="238" t="e">
        <f t="shared" si="119"/>
        <v>#N/A</v>
      </c>
      <c r="X247" s="238" t="e">
        <f t="shared" si="120"/>
        <v>#N/A</v>
      </c>
      <c r="Y247" s="238" t="e">
        <f t="shared" si="121"/>
        <v>#N/A</v>
      </c>
      <c r="AA247" s="1133">
        <v>942.37283105022937</v>
      </c>
      <c r="AB247" s="1133">
        <v>1073.8381094455226</v>
      </c>
      <c r="AC247" s="1133">
        <v>1205.3033878408157</v>
      </c>
      <c r="AD247" s="120"/>
      <c r="AE247" s="120"/>
      <c r="AF247" s="120"/>
      <c r="AG247" s="120"/>
      <c r="AH247" s="120"/>
      <c r="AI247" s="120"/>
      <c r="AJ247" s="120"/>
      <c r="AK247" s="120"/>
      <c r="AL247" s="120"/>
      <c r="AM247" s="120"/>
      <c r="AN247" s="120"/>
      <c r="BR247" s="180">
        <v>2024</v>
      </c>
      <c r="BS247" s="22">
        <v>10</v>
      </c>
      <c r="BT247" s="181" t="e">
        <f t="shared" si="132"/>
        <v>#DIV/0!</v>
      </c>
      <c r="BU247" s="182" t="e">
        <f t="shared" si="133"/>
        <v>#DIV/0!</v>
      </c>
      <c r="BV247" s="205" t="e">
        <f t="shared" si="134"/>
        <v>#DIV/0!</v>
      </c>
      <c r="BY247" s="180">
        <v>2024</v>
      </c>
      <c r="BZ247" s="22">
        <v>10</v>
      </c>
      <c r="CA247" s="181" t="e">
        <f t="shared" ca="1" si="135"/>
        <v>#REF!</v>
      </c>
      <c r="CB247" s="181" t="e">
        <f t="shared" ca="1" si="136"/>
        <v>#REF!</v>
      </c>
      <c r="CC247" s="182" t="e">
        <f t="shared" ca="1" si="137"/>
        <v>#REF!</v>
      </c>
      <c r="CD247" s="205" t="e">
        <f t="shared" ca="1" si="138"/>
        <v>#REF!</v>
      </c>
      <c r="CG247" s="180">
        <v>2024</v>
      </c>
      <c r="CH247" s="22">
        <v>10</v>
      </c>
      <c r="CI247" s="181" t="e">
        <f t="shared" ca="1" si="139"/>
        <v>#REF!</v>
      </c>
      <c r="CJ247" s="181" t="e">
        <f t="shared" ca="1" si="140"/>
        <v>#REF!</v>
      </c>
      <c r="CK247" s="181" t="e">
        <f t="shared" ca="1" si="141"/>
        <v>#REF!</v>
      </c>
      <c r="CL247" s="182" t="e">
        <f t="shared" ca="1" si="142"/>
        <v>#REF!</v>
      </c>
      <c r="CM247" s="205" t="e">
        <f t="shared" ca="1" si="143"/>
        <v>#REF!</v>
      </c>
      <c r="CP247" s="180">
        <v>2024</v>
      </c>
      <c r="CQ247" s="22">
        <v>10</v>
      </c>
      <c r="CR247" s="181" t="e">
        <f t="shared" ca="1" si="144"/>
        <v>#REF!</v>
      </c>
      <c r="CS247" s="182" t="e">
        <f t="shared" ca="1" si="145"/>
        <v>#REF!</v>
      </c>
      <c r="CT247" s="205" t="e">
        <f t="shared" ca="1" si="146"/>
        <v>#REF!</v>
      </c>
      <c r="CZ247" s="164" t="b">
        <f t="shared" si="122"/>
        <v>0</v>
      </c>
      <c r="DA247" s="165" t="b">
        <f t="shared" si="122"/>
        <v>0</v>
      </c>
      <c r="DB247" s="166" t="b">
        <f t="shared" si="122"/>
        <v>0</v>
      </c>
      <c r="DC247" s="164" t="str">
        <f t="shared" si="123"/>
        <v/>
      </c>
      <c r="DD247" s="166" t="str">
        <f t="shared" si="124"/>
        <v/>
      </c>
      <c r="DE247" s="164" t="str">
        <f t="shared" si="125"/>
        <v/>
      </c>
      <c r="DF247" s="166" t="str">
        <f t="shared" si="126"/>
        <v/>
      </c>
      <c r="DG247" s="164" t="str">
        <f t="shared" si="127"/>
        <v/>
      </c>
      <c r="DH247" s="166" t="str">
        <f t="shared" si="128"/>
        <v/>
      </c>
      <c r="DI247" s="164" t="str">
        <f>IFERROR(INDEX(DC$233:DC$281,_xlfn.AGGREGATE(15,6,(ROW(DC$233:DC$281)-ROW(DC$233)+1)/(DC$233:DC$281&lt;&gt;""),ROWS(DI$1:DI15))),"")</f>
        <v/>
      </c>
      <c r="DJ247" s="165" t="str">
        <f>IFERROR(INDEX(DD$233:DD$281,_xlfn.AGGREGATE(15,6,(ROW(DD$233:DD$281)-ROW(DD$233)+1)/(DD$233:DD$281&lt;&gt;""),ROWS(DJ$1:DJ15))),"")</f>
        <v/>
      </c>
      <c r="DK247" s="166" t="str">
        <f t="shared" si="129"/>
        <v/>
      </c>
      <c r="DL247" s="164" t="str">
        <f>IFERROR(INDEX(DE$233:DE$281,_xlfn.AGGREGATE(15,6,(ROW(DE$233:DE$281)-ROW(DE$233)+1)/(DE$233:DE$281&lt;&gt;""),ROWS(DL$1:DL15))),"")</f>
        <v/>
      </c>
      <c r="DM247" s="165" t="str">
        <f>IFERROR(INDEX(DF$233:DF$281,_xlfn.AGGREGATE(15,6,(ROW(DF$233:DF$281)-ROW(DF$233)+1)/(DF$233:DF$281&lt;&gt;""),ROWS(DM$1:DM15))),"")</f>
        <v/>
      </c>
      <c r="DN247" s="166" t="str">
        <f t="shared" si="130"/>
        <v/>
      </c>
      <c r="DO247" s="164" t="str">
        <f>IFERROR(INDEX(DG$233:DG$281,_xlfn.AGGREGATE(15,6,(ROW(DG$233:DG$281)-ROW(DG$233)+1)/(DG$233:DG$281&lt;&gt;""),ROWS(DO$1:DO15))),"")</f>
        <v/>
      </c>
      <c r="DP247" s="165" t="str">
        <f>IFERROR(INDEX(DH$233:DH$281,_xlfn.AGGREGATE(15,6,(ROW(DH$233:DH$281)-ROW(DH$233)+1)/(DH$233:DH$281&lt;&gt;""),ROWS(DP$1:DP15))),"")</f>
        <v/>
      </c>
      <c r="DQ247" s="166" t="str">
        <f t="shared" si="131"/>
        <v/>
      </c>
      <c r="DV247" s="145">
        <v>2029</v>
      </c>
      <c r="DW247" s="235" t="e">
        <f t="shared" ca="1" si="115"/>
        <v>#REF!</v>
      </c>
      <c r="EA247" s="55"/>
      <c r="EB247" s="55"/>
      <c r="EC247" s="55"/>
      <c r="ED247" s="55"/>
      <c r="EE247" s="55"/>
    </row>
    <row r="248" spans="1:135" ht="13.8" x14ac:dyDescent="0.45">
      <c r="B248" s="128">
        <v>2027</v>
      </c>
      <c r="C248" s="1047"/>
      <c r="D248" s="1050"/>
      <c r="E248" s="1060"/>
      <c r="F248" s="1051"/>
      <c r="G248" s="1052"/>
      <c r="H248" s="1036"/>
      <c r="I248" s="1112"/>
      <c r="J248" s="247"/>
      <c r="K248" s="245"/>
      <c r="L248" s="246"/>
      <c r="M248" s="245"/>
      <c r="N248" s="29" t="s">
        <v>119</v>
      </c>
      <c r="O248" s="120"/>
      <c r="P248" s="120"/>
      <c r="Q248" s="120"/>
      <c r="R248" s="29">
        <v>13</v>
      </c>
      <c r="S248" s="238" t="str">
        <f t="shared" si="116"/>
        <v/>
      </c>
      <c r="T248" s="238" t="str">
        <f t="shared" si="117"/>
        <v/>
      </c>
      <c r="U248" s="238" t="str">
        <f t="shared" si="118"/>
        <v/>
      </c>
      <c r="W248" s="238" t="e">
        <f t="shared" si="119"/>
        <v>#N/A</v>
      </c>
      <c r="X248" s="238" t="e">
        <f t="shared" si="120"/>
        <v>#N/A</v>
      </c>
      <c r="Y248" s="238" t="e">
        <f t="shared" si="121"/>
        <v>#N/A</v>
      </c>
      <c r="AA248" s="1133">
        <v>958.62180365296808</v>
      </c>
      <c r="AB248" s="1133">
        <v>1095.2129011047398</v>
      </c>
      <c r="AC248" s="1133">
        <v>1231.8039985565115</v>
      </c>
      <c r="AD248" s="89"/>
      <c r="AE248" s="89"/>
      <c r="AF248" s="89"/>
      <c r="AG248" s="89"/>
      <c r="AH248" s="89"/>
      <c r="AI248" s="89"/>
      <c r="AJ248" s="89"/>
      <c r="AK248" s="89"/>
      <c r="AL248" s="89"/>
      <c r="AM248" s="89"/>
      <c r="AN248" s="89"/>
      <c r="BR248" s="180">
        <v>2025</v>
      </c>
      <c r="BS248" s="22">
        <v>11</v>
      </c>
      <c r="BT248" s="181" t="e">
        <f t="shared" si="132"/>
        <v>#DIV/0!</v>
      </c>
      <c r="BU248" s="182" t="e">
        <f t="shared" si="133"/>
        <v>#DIV/0!</v>
      </c>
      <c r="BV248" s="205" t="e">
        <f t="shared" si="134"/>
        <v>#DIV/0!</v>
      </c>
      <c r="BY248" s="180">
        <v>2025</v>
      </c>
      <c r="BZ248" s="22">
        <v>11</v>
      </c>
      <c r="CA248" s="181" t="e">
        <f t="shared" ca="1" si="135"/>
        <v>#REF!</v>
      </c>
      <c r="CB248" s="181" t="e">
        <f t="shared" ca="1" si="136"/>
        <v>#REF!</v>
      </c>
      <c r="CC248" s="182" t="e">
        <f t="shared" ca="1" si="137"/>
        <v>#REF!</v>
      </c>
      <c r="CD248" s="205" t="e">
        <f t="shared" ca="1" si="138"/>
        <v>#REF!</v>
      </c>
      <c r="CG248" s="180">
        <v>2025</v>
      </c>
      <c r="CH248" s="22">
        <v>11</v>
      </c>
      <c r="CI248" s="181" t="e">
        <f t="shared" ca="1" si="139"/>
        <v>#REF!</v>
      </c>
      <c r="CJ248" s="181" t="e">
        <f t="shared" ca="1" si="140"/>
        <v>#REF!</v>
      </c>
      <c r="CK248" s="181" t="e">
        <f t="shared" ca="1" si="141"/>
        <v>#REF!</v>
      </c>
      <c r="CL248" s="182" t="e">
        <f t="shared" ca="1" si="142"/>
        <v>#REF!</v>
      </c>
      <c r="CM248" s="205" t="e">
        <f t="shared" ca="1" si="143"/>
        <v>#REF!</v>
      </c>
      <c r="CP248" s="180">
        <v>2025</v>
      </c>
      <c r="CQ248" s="22">
        <v>11</v>
      </c>
      <c r="CR248" s="181" t="e">
        <f t="shared" ca="1" si="144"/>
        <v>#REF!</v>
      </c>
      <c r="CS248" s="182" t="e">
        <f t="shared" ca="1" si="145"/>
        <v>#REF!</v>
      </c>
      <c r="CT248" s="205" t="e">
        <f t="shared" ca="1" si="146"/>
        <v>#REF!</v>
      </c>
      <c r="CZ248" s="164" t="b">
        <f t="shared" si="122"/>
        <v>0</v>
      </c>
      <c r="DA248" s="165" t="b">
        <f t="shared" si="122"/>
        <v>0</v>
      </c>
      <c r="DB248" s="166" t="b">
        <f t="shared" si="122"/>
        <v>0</v>
      </c>
      <c r="DC248" s="164" t="str">
        <f t="shared" si="123"/>
        <v/>
      </c>
      <c r="DD248" s="166" t="str">
        <f t="shared" si="124"/>
        <v/>
      </c>
      <c r="DE248" s="164" t="str">
        <f t="shared" si="125"/>
        <v/>
      </c>
      <c r="DF248" s="166" t="str">
        <f t="shared" si="126"/>
        <v/>
      </c>
      <c r="DG248" s="164" t="str">
        <f t="shared" si="127"/>
        <v/>
      </c>
      <c r="DH248" s="166" t="str">
        <f t="shared" si="128"/>
        <v/>
      </c>
      <c r="DI248" s="164" t="str">
        <f>IFERROR(INDEX(DC$233:DC$281,_xlfn.AGGREGATE(15,6,(ROW(DC$233:DC$281)-ROW(DC$233)+1)/(DC$233:DC$281&lt;&gt;""),ROWS(DI$1:DI16))),"")</f>
        <v/>
      </c>
      <c r="DJ248" s="165" t="str">
        <f>IFERROR(INDEX(DD$233:DD$281,_xlfn.AGGREGATE(15,6,(ROW(DD$233:DD$281)-ROW(DD$233)+1)/(DD$233:DD$281&lt;&gt;""),ROWS(DJ$1:DJ16))),"")</f>
        <v/>
      </c>
      <c r="DK248" s="166" t="str">
        <f t="shared" si="129"/>
        <v/>
      </c>
      <c r="DL248" s="164" t="str">
        <f>IFERROR(INDEX(DE$233:DE$281,_xlfn.AGGREGATE(15,6,(ROW(DE$233:DE$281)-ROW(DE$233)+1)/(DE$233:DE$281&lt;&gt;""),ROWS(DL$1:DL16))),"")</f>
        <v/>
      </c>
      <c r="DM248" s="165" t="str">
        <f>IFERROR(INDEX(DF$233:DF$281,_xlfn.AGGREGATE(15,6,(ROW(DF$233:DF$281)-ROW(DF$233)+1)/(DF$233:DF$281&lt;&gt;""),ROWS(DM$1:DM16))),"")</f>
        <v/>
      </c>
      <c r="DN248" s="166" t="str">
        <f t="shared" si="130"/>
        <v/>
      </c>
      <c r="DO248" s="164" t="str">
        <f>IFERROR(INDEX(DG$233:DG$281,_xlfn.AGGREGATE(15,6,(ROW(DG$233:DG$281)-ROW(DG$233)+1)/(DG$233:DG$281&lt;&gt;""),ROWS(DO$1:DO16))),"")</f>
        <v/>
      </c>
      <c r="DP248" s="165" t="str">
        <f>IFERROR(INDEX(DH$233:DH$281,_xlfn.AGGREGATE(15,6,(ROW(DH$233:DH$281)-ROW(DH$233)+1)/(DH$233:DH$281&lt;&gt;""),ROWS(DP$1:DP16))),"")</f>
        <v/>
      </c>
      <c r="DQ248" s="166" t="str">
        <f t="shared" si="131"/>
        <v/>
      </c>
      <c r="DV248" s="145">
        <v>2030</v>
      </c>
      <c r="DW248" s="235" t="e">
        <f t="shared" ca="1" si="115"/>
        <v>#REF!</v>
      </c>
    </row>
    <row r="249" spans="1:135" ht="13.8" x14ac:dyDescent="0.45">
      <c r="A249" s="208" t="str">
        <f>$A$62</f>
        <v>Base Cases</v>
      </c>
      <c r="B249" s="128">
        <v>2028</v>
      </c>
      <c r="C249" s="1047"/>
      <c r="D249" s="1050"/>
      <c r="E249" s="1060"/>
      <c r="F249" s="1051"/>
      <c r="G249" s="1052"/>
      <c r="H249" s="1036"/>
      <c r="I249" s="1112"/>
      <c r="J249" s="247"/>
      <c r="K249" s="245"/>
      <c r="L249" s="246"/>
      <c r="M249" s="245"/>
      <c r="N249" s="29" t="s">
        <v>119</v>
      </c>
      <c r="O249" s="120"/>
      <c r="P249" s="120"/>
      <c r="Q249" s="120"/>
      <c r="R249" s="29">
        <v>14</v>
      </c>
      <c r="S249" s="238" t="str">
        <f t="shared" si="116"/>
        <v/>
      </c>
      <c r="T249" s="238" t="str">
        <f t="shared" si="117"/>
        <v/>
      </c>
      <c r="U249" s="238" t="str">
        <f t="shared" si="118"/>
        <v/>
      </c>
      <c r="W249" s="238" t="e">
        <f t="shared" si="119"/>
        <v>#N/A</v>
      </c>
      <c r="X249" s="238" t="e">
        <f t="shared" si="120"/>
        <v>#N/A</v>
      </c>
      <c r="Y249" s="238" t="e">
        <f t="shared" si="121"/>
        <v>#N/A</v>
      </c>
      <c r="AA249" s="1133">
        <v>974.87077625570782</v>
      </c>
      <c r="AB249" s="1133">
        <v>1116.2976019953801</v>
      </c>
      <c r="AC249" s="1133">
        <v>1257.7244277350524</v>
      </c>
      <c r="AD249" s="114"/>
      <c r="AE249" s="114"/>
      <c r="AF249" s="114"/>
      <c r="AG249" s="114"/>
      <c r="AH249" s="114"/>
      <c r="AI249" s="114"/>
      <c r="AJ249" s="114"/>
      <c r="AK249" s="114"/>
      <c r="AL249" s="114"/>
      <c r="AM249" s="114"/>
      <c r="AN249" s="114"/>
      <c r="BR249" s="180">
        <v>2026</v>
      </c>
      <c r="BS249" s="22">
        <v>12</v>
      </c>
      <c r="BT249" s="181" t="e">
        <f t="shared" si="132"/>
        <v>#DIV/0!</v>
      </c>
      <c r="BU249" s="182" t="e">
        <f t="shared" si="133"/>
        <v>#DIV/0!</v>
      </c>
      <c r="BV249" s="205" t="e">
        <f t="shared" si="134"/>
        <v>#DIV/0!</v>
      </c>
      <c r="BY249" s="180">
        <v>2026</v>
      </c>
      <c r="BZ249" s="22">
        <v>12</v>
      </c>
      <c r="CA249" s="181" t="e">
        <f t="shared" ca="1" si="135"/>
        <v>#REF!</v>
      </c>
      <c r="CB249" s="181" t="e">
        <f t="shared" ca="1" si="136"/>
        <v>#REF!</v>
      </c>
      <c r="CC249" s="182" t="e">
        <f t="shared" ca="1" si="137"/>
        <v>#REF!</v>
      </c>
      <c r="CD249" s="205" t="e">
        <f t="shared" ca="1" si="138"/>
        <v>#REF!</v>
      </c>
      <c r="CG249" s="180">
        <v>2026</v>
      </c>
      <c r="CH249" s="22">
        <v>12</v>
      </c>
      <c r="CI249" s="181" t="e">
        <f t="shared" ca="1" si="139"/>
        <v>#REF!</v>
      </c>
      <c r="CJ249" s="181" t="e">
        <f t="shared" ca="1" si="140"/>
        <v>#REF!</v>
      </c>
      <c r="CK249" s="181" t="e">
        <f t="shared" ca="1" si="141"/>
        <v>#REF!</v>
      </c>
      <c r="CL249" s="182" t="e">
        <f t="shared" ca="1" si="142"/>
        <v>#REF!</v>
      </c>
      <c r="CM249" s="205" t="e">
        <f t="shared" ca="1" si="143"/>
        <v>#REF!</v>
      </c>
      <c r="CP249" s="180">
        <v>2026</v>
      </c>
      <c r="CQ249" s="22">
        <v>12</v>
      </c>
      <c r="CR249" s="181" t="e">
        <f t="shared" ca="1" si="144"/>
        <v>#REF!</v>
      </c>
      <c r="CS249" s="182" t="e">
        <f t="shared" ca="1" si="145"/>
        <v>#REF!</v>
      </c>
      <c r="CT249" s="205" t="e">
        <f t="shared" ca="1" si="146"/>
        <v>#REF!</v>
      </c>
      <c r="CZ249" s="164" t="b">
        <f t="shared" si="122"/>
        <v>0</v>
      </c>
      <c r="DA249" s="165" t="b">
        <f t="shared" si="122"/>
        <v>0</v>
      </c>
      <c r="DB249" s="166" t="b">
        <f t="shared" si="122"/>
        <v>0</v>
      </c>
      <c r="DC249" s="164" t="str">
        <f t="shared" si="123"/>
        <v/>
      </c>
      <c r="DD249" s="166" t="str">
        <f t="shared" si="124"/>
        <v/>
      </c>
      <c r="DE249" s="164" t="str">
        <f t="shared" si="125"/>
        <v/>
      </c>
      <c r="DF249" s="166" t="str">
        <f t="shared" si="126"/>
        <v/>
      </c>
      <c r="DG249" s="164" t="str">
        <f t="shared" si="127"/>
        <v/>
      </c>
      <c r="DH249" s="166" t="str">
        <f t="shared" si="128"/>
        <v/>
      </c>
      <c r="DI249" s="164" t="str">
        <f>IFERROR(INDEX(DC$233:DC$281,_xlfn.AGGREGATE(15,6,(ROW(DC$233:DC$281)-ROW(DC$233)+1)/(DC$233:DC$281&lt;&gt;""),ROWS(DI$1:DI17))),"")</f>
        <v/>
      </c>
      <c r="DJ249" s="165" t="str">
        <f>IFERROR(INDEX(DD$233:DD$281,_xlfn.AGGREGATE(15,6,(ROW(DD$233:DD$281)-ROW(DD$233)+1)/(DD$233:DD$281&lt;&gt;""),ROWS(DJ$1:DJ17))),"")</f>
        <v/>
      </c>
      <c r="DK249" s="166" t="str">
        <f t="shared" si="129"/>
        <v/>
      </c>
      <c r="DL249" s="164" t="str">
        <f>IFERROR(INDEX(DE$233:DE$281,_xlfn.AGGREGATE(15,6,(ROW(DE$233:DE$281)-ROW(DE$233)+1)/(DE$233:DE$281&lt;&gt;""),ROWS(DL$1:DL17))),"")</f>
        <v/>
      </c>
      <c r="DM249" s="165" t="str">
        <f>IFERROR(INDEX(DF$233:DF$281,_xlfn.AGGREGATE(15,6,(ROW(DF$233:DF$281)-ROW(DF$233)+1)/(DF$233:DF$281&lt;&gt;""),ROWS(DM$1:DM17))),"")</f>
        <v/>
      </c>
      <c r="DN249" s="166" t="str">
        <f t="shared" si="130"/>
        <v/>
      </c>
      <c r="DO249" s="164" t="str">
        <f>IFERROR(INDEX(DG$233:DG$281,_xlfn.AGGREGATE(15,6,(ROW(DG$233:DG$281)-ROW(DG$233)+1)/(DG$233:DG$281&lt;&gt;""),ROWS(DO$1:DO17))),"")</f>
        <v/>
      </c>
      <c r="DP249" s="165" t="str">
        <f>IFERROR(INDEX(DH$233:DH$281,_xlfn.AGGREGATE(15,6,(ROW(DH$233:DH$281)-ROW(DH$233)+1)/(DH$233:DH$281&lt;&gt;""),ROWS(DP$1:DP17))),"")</f>
        <v/>
      </c>
      <c r="DQ249" s="166" t="str">
        <f t="shared" si="131"/>
        <v/>
      </c>
      <c r="DV249" s="145">
        <v>2031</v>
      </c>
      <c r="DW249" s="235" t="e">
        <f t="shared" ca="1" si="115"/>
        <v>#REF!</v>
      </c>
    </row>
    <row r="250" spans="1:135" ht="13.8" x14ac:dyDescent="0.45">
      <c r="A250" s="209" t="str">
        <f>$A$63</f>
        <v>Conservative Cases</v>
      </c>
      <c r="B250" s="128">
        <v>2029</v>
      </c>
      <c r="C250" s="1047"/>
      <c r="D250" s="1050"/>
      <c r="E250" s="1060"/>
      <c r="F250" s="1051"/>
      <c r="G250" s="1052"/>
      <c r="H250" s="1036"/>
      <c r="I250" s="1112"/>
      <c r="J250" s="247"/>
      <c r="K250" s="245"/>
      <c r="L250" s="246"/>
      <c r="M250" s="245"/>
      <c r="N250" s="29" t="s">
        <v>119</v>
      </c>
      <c r="O250" s="120"/>
      <c r="P250" s="120"/>
      <c r="Q250" s="120"/>
      <c r="R250" s="29">
        <v>15</v>
      </c>
      <c r="S250" s="238" t="str">
        <f t="shared" si="116"/>
        <v/>
      </c>
      <c r="T250" s="238" t="str">
        <f t="shared" si="117"/>
        <v/>
      </c>
      <c r="U250" s="238" t="str">
        <f t="shared" si="118"/>
        <v/>
      </c>
      <c r="W250" s="238" t="e">
        <f t="shared" si="119"/>
        <v>#N/A</v>
      </c>
      <c r="X250" s="238" t="e">
        <f t="shared" si="120"/>
        <v>#N/A</v>
      </c>
      <c r="Y250" s="238" t="e">
        <f t="shared" si="121"/>
        <v>#N/A</v>
      </c>
      <c r="AA250" s="1133">
        <v>991.11974885844893</v>
      </c>
      <c r="AB250" s="1133">
        <v>1137.0970317191409</v>
      </c>
      <c r="AC250" s="1133">
        <v>1283.0743145798328</v>
      </c>
      <c r="AD250" s="89"/>
      <c r="AE250" s="89"/>
      <c r="AF250" s="89"/>
      <c r="AG250" s="89"/>
      <c r="AH250" s="89"/>
      <c r="AI250" s="89"/>
      <c r="AJ250" s="89"/>
      <c r="AK250" s="89"/>
      <c r="AL250" s="89"/>
      <c r="AM250" s="89"/>
      <c r="AN250" s="89"/>
      <c r="BR250" s="180">
        <v>2027</v>
      </c>
      <c r="BS250" s="22">
        <v>13</v>
      </c>
      <c r="BT250" s="181" t="e">
        <f t="shared" si="132"/>
        <v>#DIV/0!</v>
      </c>
      <c r="BU250" s="182" t="e">
        <f t="shared" si="133"/>
        <v>#DIV/0!</v>
      </c>
      <c r="BV250" s="205" t="e">
        <f t="shared" si="134"/>
        <v>#DIV/0!</v>
      </c>
      <c r="BY250" s="180">
        <v>2027</v>
      </c>
      <c r="BZ250" s="22">
        <v>13</v>
      </c>
      <c r="CA250" s="181" t="e">
        <f t="shared" ca="1" si="135"/>
        <v>#REF!</v>
      </c>
      <c r="CB250" s="181" t="e">
        <f t="shared" ca="1" si="136"/>
        <v>#REF!</v>
      </c>
      <c r="CC250" s="182" t="e">
        <f t="shared" ca="1" si="137"/>
        <v>#REF!</v>
      </c>
      <c r="CD250" s="205" t="e">
        <f t="shared" ca="1" si="138"/>
        <v>#REF!</v>
      </c>
      <c r="CG250" s="180">
        <v>2027</v>
      </c>
      <c r="CH250" s="22">
        <v>13</v>
      </c>
      <c r="CI250" s="181" t="e">
        <f t="shared" ca="1" si="139"/>
        <v>#REF!</v>
      </c>
      <c r="CJ250" s="181" t="e">
        <f t="shared" ca="1" si="140"/>
        <v>#REF!</v>
      </c>
      <c r="CK250" s="181" t="e">
        <f t="shared" ca="1" si="141"/>
        <v>#REF!</v>
      </c>
      <c r="CL250" s="182" t="e">
        <f t="shared" ca="1" si="142"/>
        <v>#REF!</v>
      </c>
      <c r="CM250" s="205" t="e">
        <f t="shared" ca="1" si="143"/>
        <v>#REF!</v>
      </c>
      <c r="CP250" s="180">
        <v>2027</v>
      </c>
      <c r="CQ250" s="22">
        <v>13</v>
      </c>
      <c r="CR250" s="181" t="e">
        <f t="shared" ca="1" si="144"/>
        <v>#REF!</v>
      </c>
      <c r="CS250" s="182" t="e">
        <f t="shared" ca="1" si="145"/>
        <v>#REF!</v>
      </c>
      <c r="CT250" s="205" t="e">
        <f t="shared" ca="1" si="146"/>
        <v>#REF!</v>
      </c>
      <c r="CZ250" s="164" t="b">
        <f t="shared" si="122"/>
        <v>0</v>
      </c>
      <c r="DA250" s="165" t="b">
        <f t="shared" si="122"/>
        <v>0</v>
      </c>
      <c r="DB250" s="166" t="b">
        <f t="shared" si="122"/>
        <v>0</v>
      </c>
      <c r="DC250" s="164" t="str">
        <f t="shared" si="123"/>
        <v/>
      </c>
      <c r="DD250" s="166" t="str">
        <f t="shared" si="124"/>
        <v/>
      </c>
      <c r="DE250" s="164" t="str">
        <f t="shared" si="125"/>
        <v/>
      </c>
      <c r="DF250" s="166" t="str">
        <f t="shared" si="126"/>
        <v/>
      </c>
      <c r="DG250" s="164" t="str">
        <f t="shared" si="127"/>
        <v/>
      </c>
      <c r="DH250" s="166" t="str">
        <f t="shared" si="128"/>
        <v/>
      </c>
      <c r="DI250" s="164" t="str">
        <f>IFERROR(INDEX(DC$233:DC$281,_xlfn.AGGREGATE(15,6,(ROW(DC$233:DC$281)-ROW(DC$233)+1)/(DC$233:DC$281&lt;&gt;""),ROWS(DI$1:DI18))),"")</f>
        <v/>
      </c>
      <c r="DJ250" s="165" t="str">
        <f>IFERROR(INDEX(DD$233:DD$281,_xlfn.AGGREGATE(15,6,(ROW(DD$233:DD$281)-ROW(DD$233)+1)/(DD$233:DD$281&lt;&gt;""),ROWS(DJ$1:DJ18))),"")</f>
        <v/>
      </c>
      <c r="DK250" s="166" t="str">
        <f t="shared" si="129"/>
        <v/>
      </c>
      <c r="DL250" s="164" t="str">
        <f>IFERROR(INDEX(DE$233:DE$281,_xlfn.AGGREGATE(15,6,(ROW(DE$233:DE$281)-ROW(DE$233)+1)/(DE$233:DE$281&lt;&gt;""),ROWS(DL$1:DL18))),"")</f>
        <v/>
      </c>
      <c r="DM250" s="165" t="str">
        <f>IFERROR(INDEX(DF$233:DF$281,_xlfn.AGGREGATE(15,6,(ROW(DF$233:DF$281)-ROW(DF$233)+1)/(DF$233:DF$281&lt;&gt;""),ROWS(DM$1:DM18))),"")</f>
        <v/>
      </c>
      <c r="DN250" s="166" t="str">
        <f t="shared" si="130"/>
        <v/>
      </c>
      <c r="DO250" s="164" t="str">
        <f>IFERROR(INDEX(DG$233:DG$281,_xlfn.AGGREGATE(15,6,(ROW(DG$233:DG$281)-ROW(DG$233)+1)/(DG$233:DG$281&lt;&gt;""),ROWS(DO$1:DO18))),"")</f>
        <v/>
      </c>
      <c r="DP250" s="165" t="str">
        <f>IFERROR(INDEX(DH$233:DH$281,_xlfn.AGGREGATE(15,6,(ROW(DH$233:DH$281)-ROW(DH$233)+1)/(DH$233:DH$281&lt;&gt;""),ROWS(DP$1:DP18))),"")</f>
        <v/>
      </c>
      <c r="DQ250" s="166" t="str">
        <f t="shared" si="131"/>
        <v/>
      </c>
      <c r="DV250" s="145">
        <v>2032</v>
      </c>
      <c r="DW250" s="235" t="e">
        <f t="shared" ca="1" si="115"/>
        <v>#REF!</v>
      </c>
    </row>
    <row r="251" spans="1:135" ht="13.8" x14ac:dyDescent="0.45">
      <c r="A251" s="210" t="str">
        <f>$A$64</f>
        <v>Ambitious Cases</v>
      </c>
      <c r="B251" s="128">
        <v>2030</v>
      </c>
      <c r="C251" s="1047"/>
      <c r="D251" s="1050"/>
      <c r="E251" s="1060"/>
      <c r="F251" s="1051"/>
      <c r="G251" s="1052"/>
      <c r="H251" s="1036"/>
      <c r="I251" s="1112"/>
      <c r="J251" s="247"/>
      <c r="K251" s="245"/>
      <c r="L251" s="246"/>
      <c r="M251" s="245"/>
      <c r="N251" s="29" t="s">
        <v>119</v>
      </c>
      <c r="O251" s="120"/>
      <c r="P251" s="120"/>
      <c r="Q251" s="120"/>
      <c r="R251" s="29">
        <v>16</v>
      </c>
      <c r="S251" s="238" t="str">
        <f t="shared" si="116"/>
        <v/>
      </c>
      <c r="T251" s="238" t="str">
        <f t="shared" si="117"/>
        <v/>
      </c>
      <c r="U251" s="238" t="str">
        <f t="shared" si="118"/>
        <v/>
      </c>
      <c r="W251" s="238" t="e">
        <f t="shared" si="119"/>
        <v>#N/A</v>
      </c>
      <c r="X251" s="238" t="e">
        <f t="shared" si="120"/>
        <v>#N/A</v>
      </c>
      <c r="Y251" s="238" t="e">
        <f t="shared" si="121"/>
        <v>#N/A</v>
      </c>
      <c r="AA251" s="1133">
        <v>1007.3687214611875</v>
      </c>
      <c r="AB251" s="1133">
        <v>1159.581693955625</v>
      </c>
      <c r="AC251" s="1133">
        <v>1311.7946664500626</v>
      </c>
      <c r="AD251" s="89"/>
      <c r="AE251" s="89"/>
      <c r="AF251" s="89"/>
      <c r="AG251" s="89"/>
      <c r="AH251" s="89"/>
      <c r="AI251" s="89"/>
      <c r="AJ251" s="89"/>
      <c r="AK251" s="89"/>
      <c r="AL251" s="89"/>
      <c r="AM251" s="89"/>
      <c r="AN251" s="89"/>
      <c r="BR251" s="180">
        <v>2028</v>
      </c>
      <c r="BS251" s="22">
        <v>14</v>
      </c>
      <c r="BT251" s="181" t="e">
        <f t="shared" si="132"/>
        <v>#DIV/0!</v>
      </c>
      <c r="BU251" s="182" t="e">
        <f t="shared" si="133"/>
        <v>#DIV/0!</v>
      </c>
      <c r="BV251" s="205" t="e">
        <f t="shared" si="134"/>
        <v>#DIV/0!</v>
      </c>
      <c r="BY251" s="180">
        <v>2028</v>
      </c>
      <c r="BZ251" s="22">
        <v>14</v>
      </c>
      <c r="CA251" s="181" t="e">
        <f t="shared" ca="1" si="135"/>
        <v>#REF!</v>
      </c>
      <c r="CB251" s="181" t="e">
        <f t="shared" ca="1" si="136"/>
        <v>#REF!</v>
      </c>
      <c r="CC251" s="182" t="e">
        <f t="shared" ca="1" si="137"/>
        <v>#REF!</v>
      </c>
      <c r="CD251" s="205" t="e">
        <f t="shared" ca="1" si="138"/>
        <v>#REF!</v>
      </c>
      <c r="CG251" s="180">
        <v>2028</v>
      </c>
      <c r="CH251" s="22">
        <v>14</v>
      </c>
      <c r="CI251" s="181" t="e">
        <f t="shared" ca="1" si="139"/>
        <v>#REF!</v>
      </c>
      <c r="CJ251" s="181" t="e">
        <f t="shared" ca="1" si="140"/>
        <v>#REF!</v>
      </c>
      <c r="CK251" s="181" t="e">
        <f t="shared" ca="1" si="141"/>
        <v>#REF!</v>
      </c>
      <c r="CL251" s="182" t="e">
        <f t="shared" ca="1" si="142"/>
        <v>#REF!</v>
      </c>
      <c r="CM251" s="205" t="e">
        <f t="shared" ca="1" si="143"/>
        <v>#REF!</v>
      </c>
      <c r="CP251" s="180">
        <v>2028</v>
      </c>
      <c r="CQ251" s="22">
        <v>14</v>
      </c>
      <c r="CR251" s="181" t="e">
        <f t="shared" ca="1" si="144"/>
        <v>#REF!</v>
      </c>
      <c r="CS251" s="182" t="e">
        <f t="shared" ca="1" si="145"/>
        <v>#REF!</v>
      </c>
      <c r="CT251" s="205" t="e">
        <f t="shared" ca="1" si="146"/>
        <v>#REF!</v>
      </c>
      <c r="CZ251" s="164" t="b">
        <f t="shared" si="122"/>
        <v>0</v>
      </c>
      <c r="DA251" s="165" t="b">
        <f t="shared" si="122"/>
        <v>0</v>
      </c>
      <c r="DB251" s="166" t="b">
        <f t="shared" si="122"/>
        <v>0</v>
      </c>
      <c r="DC251" s="164" t="str">
        <f t="shared" si="123"/>
        <v/>
      </c>
      <c r="DD251" s="166" t="str">
        <f t="shared" si="124"/>
        <v/>
      </c>
      <c r="DE251" s="164" t="str">
        <f t="shared" si="125"/>
        <v/>
      </c>
      <c r="DF251" s="166" t="str">
        <f t="shared" si="126"/>
        <v/>
      </c>
      <c r="DG251" s="164" t="str">
        <f t="shared" si="127"/>
        <v/>
      </c>
      <c r="DH251" s="166" t="str">
        <f t="shared" si="128"/>
        <v/>
      </c>
      <c r="DI251" s="164" t="str">
        <f>IFERROR(INDEX(DC$233:DC$281,_xlfn.AGGREGATE(15,6,(ROW(DC$233:DC$281)-ROW(DC$233)+1)/(DC$233:DC$281&lt;&gt;""),ROWS(DI$1:DI19))),"")</f>
        <v/>
      </c>
      <c r="DJ251" s="165" t="str">
        <f>IFERROR(INDEX(DD$233:DD$281,_xlfn.AGGREGATE(15,6,(ROW(DD$233:DD$281)-ROW(DD$233)+1)/(DD$233:DD$281&lt;&gt;""),ROWS(DJ$1:DJ19))),"")</f>
        <v/>
      </c>
      <c r="DK251" s="166" t="str">
        <f t="shared" si="129"/>
        <v/>
      </c>
      <c r="DL251" s="164" t="str">
        <f>IFERROR(INDEX(DE$233:DE$281,_xlfn.AGGREGATE(15,6,(ROW(DE$233:DE$281)-ROW(DE$233)+1)/(DE$233:DE$281&lt;&gt;""),ROWS(DL$1:DL19))),"")</f>
        <v/>
      </c>
      <c r="DM251" s="165" t="str">
        <f>IFERROR(INDEX(DF$233:DF$281,_xlfn.AGGREGATE(15,6,(ROW(DF$233:DF$281)-ROW(DF$233)+1)/(DF$233:DF$281&lt;&gt;""),ROWS(DM$1:DM19))),"")</f>
        <v/>
      </c>
      <c r="DN251" s="166" t="str">
        <f t="shared" si="130"/>
        <v/>
      </c>
      <c r="DO251" s="164" t="str">
        <f>IFERROR(INDEX(DG$233:DG$281,_xlfn.AGGREGATE(15,6,(ROW(DG$233:DG$281)-ROW(DG$233)+1)/(DG$233:DG$281&lt;&gt;""),ROWS(DO$1:DO19))),"")</f>
        <v/>
      </c>
      <c r="DP251" s="165" t="str">
        <f>IFERROR(INDEX(DH$233:DH$281,_xlfn.AGGREGATE(15,6,(ROW(DH$233:DH$281)-ROW(DH$233)+1)/(DH$233:DH$281&lt;&gt;""),ROWS(DP$1:DP19))),"")</f>
        <v/>
      </c>
      <c r="DQ251" s="166" t="str">
        <f t="shared" si="131"/>
        <v/>
      </c>
      <c r="DV251" s="145">
        <v>2033</v>
      </c>
      <c r="DW251" s="235" t="e">
        <f t="shared" ca="1" si="115"/>
        <v>#REF!</v>
      </c>
    </row>
    <row r="252" spans="1:135" ht="13.8" x14ac:dyDescent="0.45">
      <c r="A252" s="211" t="str">
        <f>$A$65</f>
        <v>Maximum Cases</v>
      </c>
      <c r="B252" s="128">
        <v>2031</v>
      </c>
      <c r="C252" s="1047"/>
      <c r="D252" s="1050"/>
      <c r="E252" s="1060"/>
      <c r="F252" s="1051"/>
      <c r="G252" s="1052"/>
      <c r="H252" s="1036"/>
      <c r="I252" s="1112"/>
      <c r="J252" s="247"/>
      <c r="K252" s="245"/>
      <c r="L252" s="246"/>
      <c r="M252" s="245"/>
      <c r="N252" s="29" t="s">
        <v>119</v>
      </c>
      <c r="O252" s="120"/>
      <c r="P252" s="120"/>
      <c r="Q252" s="120"/>
      <c r="R252" s="29">
        <v>17</v>
      </c>
      <c r="S252" s="238" t="str">
        <f t="shared" si="116"/>
        <v/>
      </c>
      <c r="T252" s="238" t="str">
        <f t="shared" si="117"/>
        <v/>
      </c>
      <c r="U252" s="238" t="str">
        <f t="shared" si="118"/>
        <v/>
      </c>
      <c r="W252" s="238" t="e">
        <f t="shared" si="119"/>
        <v>#N/A</v>
      </c>
      <c r="X252" s="238" t="e">
        <f t="shared" si="120"/>
        <v>#N/A</v>
      </c>
      <c r="Y252" s="238" t="e">
        <f t="shared" si="121"/>
        <v>#N/A</v>
      </c>
      <c r="AA252" s="1133">
        <v>1023.6176940639273</v>
      </c>
      <c r="AB252" s="1133">
        <v>1177.8633437726871</v>
      </c>
      <c r="AC252" s="1133">
        <v>1332.108993481447</v>
      </c>
      <c r="AD252" s="89"/>
      <c r="AE252" s="89"/>
      <c r="AF252" s="89"/>
      <c r="AG252" s="89"/>
      <c r="AH252" s="89"/>
      <c r="AI252" s="89"/>
      <c r="AJ252" s="89"/>
      <c r="AK252" s="89"/>
      <c r="AL252" s="89"/>
      <c r="AM252" s="89"/>
      <c r="AN252" s="89"/>
      <c r="BR252" s="180">
        <v>2029</v>
      </c>
      <c r="BS252" s="22">
        <v>15</v>
      </c>
      <c r="BT252" s="181" t="e">
        <f t="shared" si="132"/>
        <v>#DIV/0!</v>
      </c>
      <c r="BU252" s="182" t="e">
        <f t="shared" si="133"/>
        <v>#DIV/0!</v>
      </c>
      <c r="BV252" s="205" t="e">
        <f t="shared" si="134"/>
        <v>#DIV/0!</v>
      </c>
      <c r="BY252" s="180">
        <v>2029</v>
      </c>
      <c r="BZ252" s="22">
        <v>15</v>
      </c>
      <c r="CA252" s="181" t="e">
        <f t="shared" ca="1" si="135"/>
        <v>#REF!</v>
      </c>
      <c r="CB252" s="181" t="e">
        <f t="shared" ca="1" si="136"/>
        <v>#REF!</v>
      </c>
      <c r="CC252" s="182" t="e">
        <f t="shared" ca="1" si="137"/>
        <v>#REF!</v>
      </c>
      <c r="CD252" s="205" t="e">
        <f t="shared" ca="1" si="138"/>
        <v>#REF!</v>
      </c>
      <c r="CG252" s="180">
        <v>2029</v>
      </c>
      <c r="CH252" s="22">
        <v>15</v>
      </c>
      <c r="CI252" s="181" t="e">
        <f t="shared" ca="1" si="139"/>
        <v>#REF!</v>
      </c>
      <c r="CJ252" s="181" t="e">
        <f t="shared" ca="1" si="140"/>
        <v>#REF!</v>
      </c>
      <c r="CK252" s="181" t="e">
        <f t="shared" ca="1" si="141"/>
        <v>#REF!</v>
      </c>
      <c r="CL252" s="182" t="e">
        <f t="shared" ca="1" si="142"/>
        <v>#REF!</v>
      </c>
      <c r="CM252" s="205" t="e">
        <f t="shared" ca="1" si="143"/>
        <v>#REF!</v>
      </c>
      <c r="CP252" s="180">
        <v>2029</v>
      </c>
      <c r="CQ252" s="22">
        <v>15</v>
      </c>
      <c r="CR252" s="181" t="e">
        <f t="shared" ca="1" si="144"/>
        <v>#REF!</v>
      </c>
      <c r="CS252" s="182" t="e">
        <f t="shared" ca="1" si="145"/>
        <v>#REF!</v>
      </c>
      <c r="CT252" s="205" t="e">
        <f t="shared" ca="1" si="146"/>
        <v>#REF!</v>
      </c>
      <c r="CZ252" s="164" t="b">
        <f t="shared" si="122"/>
        <v>0</v>
      </c>
      <c r="DA252" s="165" t="b">
        <f t="shared" si="122"/>
        <v>0</v>
      </c>
      <c r="DB252" s="166" t="b">
        <f t="shared" si="122"/>
        <v>0</v>
      </c>
      <c r="DC252" s="164" t="str">
        <f t="shared" si="123"/>
        <v/>
      </c>
      <c r="DD252" s="166" t="str">
        <f t="shared" si="124"/>
        <v/>
      </c>
      <c r="DE252" s="164" t="str">
        <f t="shared" si="125"/>
        <v/>
      </c>
      <c r="DF252" s="166" t="str">
        <f t="shared" si="126"/>
        <v/>
      </c>
      <c r="DG252" s="164" t="str">
        <f t="shared" si="127"/>
        <v/>
      </c>
      <c r="DH252" s="166" t="str">
        <f t="shared" si="128"/>
        <v/>
      </c>
      <c r="DI252" s="164" t="str">
        <f>IFERROR(INDEX(DC$233:DC$281,_xlfn.AGGREGATE(15,6,(ROW(DC$233:DC$281)-ROW(DC$233)+1)/(DC$233:DC$281&lt;&gt;""),ROWS(DI$1:DI20))),"")</f>
        <v/>
      </c>
      <c r="DJ252" s="165" t="str">
        <f>IFERROR(INDEX(DD$233:DD$281,_xlfn.AGGREGATE(15,6,(ROW(DD$233:DD$281)-ROW(DD$233)+1)/(DD$233:DD$281&lt;&gt;""),ROWS(DJ$1:DJ20))),"")</f>
        <v/>
      </c>
      <c r="DK252" s="166" t="str">
        <f t="shared" si="129"/>
        <v/>
      </c>
      <c r="DL252" s="164" t="str">
        <f>IFERROR(INDEX(DE$233:DE$281,_xlfn.AGGREGATE(15,6,(ROW(DE$233:DE$281)-ROW(DE$233)+1)/(DE$233:DE$281&lt;&gt;""),ROWS(DL$1:DL20))),"")</f>
        <v/>
      </c>
      <c r="DM252" s="165" t="str">
        <f>IFERROR(INDEX(DF$233:DF$281,_xlfn.AGGREGATE(15,6,(ROW(DF$233:DF$281)-ROW(DF$233)+1)/(DF$233:DF$281&lt;&gt;""),ROWS(DM$1:DM20))),"")</f>
        <v/>
      </c>
      <c r="DN252" s="166" t="str">
        <f t="shared" si="130"/>
        <v/>
      </c>
      <c r="DO252" s="164" t="str">
        <f>IFERROR(INDEX(DG$233:DG$281,_xlfn.AGGREGATE(15,6,(ROW(DG$233:DG$281)-ROW(DG$233)+1)/(DG$233:DG$281&lt;&gt;""),ROWS(DO$1:DO20))),"")</f>
        <v/>
      </c>
      <c r="DP252" s="165" t="str">
        <f>IFERROR(INDEX(DH$233:DH$281,_xlfn.AGGREGATE(15,6,(ROW(DH$233:DH$281)-ROW(DH$233)+1)/(DH$233:DH$281&lt;&gt;""),ROWS(DP$1:DP20))),"")</f>
        <v/>
      </c>
      <c r="DQ252" s="166" t="str">
        <f t="shared" si="131"/>
        <v/>
      </c>
      <c r="DV252" s="145">
        <v>2034</v>
      </c>
      <c r="DW252" s="235" t="e">
        <f t="shared" ca="1" si="115"/>
        <v>#REF!</v>
      </c>
    </row>
    <row r="253" spans="1:135" ht="13.8" x14ac:dyDescent="0.45">
      <c r="B253" s="128">
        <v>2032</v>
      </c>
      <c r="C253" s="1047"/>
      <c r="D253" s="1050"/>
      <c r="E253" s="1060"/>
      <c r="F253" s="1051"/>
      <c r="G253" s="1052"/>
      <c r="H253" s="1036"/>
      <c r="I253" s="1112"/>
      <c r="J253" s="247"/>
      <c r="K253" s="245"/>
      <c r="L253" s="246"/>
      <c r="M253" s="245"/>
      <c r="N253" s="29" t="s">
        <v>119</v>
      </c>
      <c r="O253" s="120"/>
      <c r="P253" s="120"/>
      <c r="Q253" s="120"/>
      <c r="R253" s="29">
        <v>18</v>
      </c>
      <c r="S253" s="238" t="str">
        <f t="shared" si="116"/>
        <v/>
      </c>
      <c r="T253" s="238" t="str">
        <f t="shared" si="117"/>
        <v/>
      </c>
      <c r="U253" s="238" t="str">
        <f t="shared" si="118"/>
        <v/>
      </c>
      <c r="W253" s="238" t="e">
        <f t="shared" si="119"/>
        <v>#N/A</v>
      </c>
      <c r="X253" s="238" t="e">
        <f t="shared" si="120"/>
        <v>#N/A</v>
      </c>
      <c r="Y253" s="238" t="e">
        <f t="shared" si="121"/>
        <v>#N/A</v>
      </c>
      <c r="AA253" s="1133">
        <v>1039.8666666666675</v>
      </c>
      <c r="AB253" s="1133">
        <v>1196.9042163092404</v>
      </c>
      <c r="AC253" s="1133">
        <v>1353.9417659518133</v>
      </c>
      <c r="AD253" s="89"/>
      <c r="AE253" s="89"/>
      <c r="AF253" s="89"/>
      <c r="AG253" s="89"/>
      <c r="AH253" s="89"/>
      <c r="AI253" s="89"/>
      <c r="AJ253" s="89"/>
      <c r="AK253" s="89"/>
      <c r="AL253" s="89"/>
      <c r="AM253" s="89"/>
      <c r="AN253" s="89"/>
      <c r="BR253" s="180">
        <v>2030</v>
      </c>
      <c r="BS253" s="22">
        <v>16</v>
      </c>
      <c r="BT253" s="181" t="e">
        <f t="shared" si="132"/>
        <v>#DIV/0!</v>
      </c>
      <c r="BU253" s="182" t="e">
        <f t="shared" si="133"/>
        <v>#DIV/0!</v>
      </c>
      <c r="BV253" s="205" t="e">
        <f t="shared" si="134"/>
        <v>#DIV/0!</v>
      </c>
      <c r="BY253" s="180">
        <v>2030</v>
      </c>
      <c r="BZ253" s="22">
        <v>16</v>
      </c>
      <c r="CA253" s="181" t="e">
        <f t="shared" ca="1" si="135"/>
        <v>#REF!</v>
      </c>
      <c r="CB253" s="181" t="e">
        <f t="shared" ca="1" si="136"/>
        <v>#REF!</v>
      </c>
      <c r="CC253" s="182" t="e">
        <f t="shared" ca="1" si="137"/>
        <v>#REF!</v>
      </c>
      <c r="CD253" s="205" t="e">
        <f t="shared" ca="1" si="138"/>
        <v>#REF!</v>
      </c>
      <c r="CG253" s="180">
        <v>2030</v>
      </c>
      <c r="CH253" s="22">
        <v>16</v>
      </c>
      <c r="CI253" s="181" t="e">
        <f t="shared" ca="1" si="139"/>
        <v>#REF!</v>
      </c>
      <c r="CJ253" s="181" t="e">
        <f t="shared" ca="1" si="140"/>
        <v>#REF!</v>
      </c>
      <c r="CK253" s="181" t="e">
        <f t="shared" ca="1" si="141"/>
        <v>#REF!</v>
      </c>
      <c r="CL253" s="182" t="e">
        <f t="shared" ca="1" si="142"/>
        <v>#REF!</v>
      </c>
      <c r="CM253" s="205" t="e">
        <f t="shared" ca="1" si="143"/>
        <v>#REF!</v>
      </c>
      <c r="CP253" s="180">
        <v>2030</v>
      </c>
      <c r="CQ253" s="22">
        <v>16</v>
      </c>
      <c r="CR253" s="181" t="e">
        <f t="shared" ca="1" si="144"/>
        <v>#REF!</v>
      </c>
      <c r="CS253" s="182" t="e">
        <f t="shared" ca="1" si="145"/>
        <v>#REF!</v>
      </c>
      <c r="CT253" s="205" t="e">
        <f t="shared" ca="1" si="146"/>
        <v>#REF!</v>
      </c>
      <c r="CZ253" s="164" t="b">
        <f t="shared" si="122"/>
        <v>0</v>
      </c>
      <c r="DA253" s="165" t="b">
        <f t="shared" si="122"/>
        <v>0</v>
      </c>
      <c r="DB253" s="166" t="b">
        <f t="shared" si="122"/>
        <v>0</v>
      </c>
      <c r="DC253" s="164" t="str">
        <f t="shared" si="123"/>
        <v/>
      </c>
      <c r="DD253" s="166" t="str">
        <f t="shared" si="124"/>
        <v/>
      </c>
      <c r="DE253" s="164" t="str">
        <f t="shared" si="125"/>
        <v/>
      </c>
      <c r="DF253" s="166" t="str">
        <f t="shared" si="126"/>
        <v/>
      </c>
      <c r="DG253" s="164" t="str">
        <f t="shared" si="127"/>
        <v/>
      </c>
      <c r="DH253" s="166" t="str">
        <f t="shared" si="128"/>
        <v/>
      </c>
      <c r="DI253" s="164" t="str">
        <f>IFERROR(INDEX(DC$233:DC$281,_xlfn.AGGREGATE(15,6,(ROW(DC$233:DC$281)-ROW(DC$233)+1)/(DC$233:DC$281&lt;&gt;""),ROWS(DI$1:DI21))),"")</f>
        <v/>
      </c>
      <c r="DJ253" s="165" t="str">
        <f>IFERROR(INDEX(DD$233:DD$281,_xlfn.AGGREGATE(15,6,(ROW(DD$233:DD$281)-ROW(DD$233)+1)/(DD$233:DD$281&lt;&gt;""),ROWS(DJ$1:DJ21))),"")</f>
        <v/>
      </c>
      <c r="DK253" s="166" t="str">
        <f t="shared" si="129"/>
        <v/>
      </c>
      <c r="DL253" s="164" t="str">
        <f>IFERROR(INDEX(DE$233:DE$281,_xlfn.AGGREGATE(15,6,(ROW(DE$233:DE$281)-ROW(DE$233)+1)/(DE$233:DE$281&lt;&gt;""),ROWS(DL$1:DL21))),"")</f>
        <v/>
      </c>
      <c r="DM253" s="165" t="str">
        <f>IFERROR(INDEX(DF$233:DF$281,_xlfn.AGGREGATE(15,6,(ROW(DF$233:DF$281)-ROW(DF$233)+1)/(DF$233:DF$281&lt;&gt;""),ROWS(DM$1:DM21))),"")</f>
        <v/>
      </c>
      <c r="DN253" s="166" t="str">
        <f t="shared" si="130"/>
        <v/>
      </c>
      <c r="DO253" s="164" t="str">
        <f>IFERROR(INDEX(DG$233:DG$281,_xlfn.AGGREGATE(15,6,(ROW(DG$233:DG$281)-ROW(DG$233)+1)/(DG$233:DG$281&lt;&gt;""),ROWS(DO$1:DO21))),"")</f>
        <v/>
      </c>
      <c r="DP253" s="165" t="str">
        <f>IFERROR(INDEX(DH$233:DH$281,_xlfn.AGGREGATE(15,6,(ROW(DH$233:DH$281)-ROW(DH$233)+1)/(DH$233:DH$281&lt;&gt;""),ROWS(DP$1:DP21))),"")</f>
        <v/>
      </c>
      <c r="DQ253" s="166" t="str">
        <f t="shared" si="131"/>
        <v/>
      </c>
      <c r="DV253" s="145">
        <v>2035</v>
      </c>
      <c r="DW253" s="235" t="e">
        <f t="shared" ca="1" si="115"/>
        <v>#REF!</v>
      </c>
    </row>
    <row r="254" spans="1:135" ht="13.8" x14ac:dyDescent="0.45">
      <c r="B254" s="128">
        <v>2033</v>
      </c>
      <c r="C254" s="1047"/>
      <c r="D254" s="1050"/>
      <c r="E254" s="1060"/>
      <c r="F254" s="1051"/>
      <c r="G254" s="1052"/>
      <c r="H254" s="1036"/>
      <c r="I254" s="1112"/>
      <c r="J254" s="247"/>
      <c r="K254" s="245"/>
      <c r="L254" s="246"/>
      <c r="M254" s="245"/>
      <c r="N254" s="29" t="s">
        <v>119</v>
      </c>
      <c r="O254" s="120"/>
      <c r="P254" s="120"/>
      <c r="Q254" s="120"/>
      <c r="R254" s="29">
        <v>19</v>
      </c>
      <c r="S254" s="238" t="str">
        <f t="shared" si="116"/>
        <v/>
      </c>
      <c r="T254" s="238" t="str">
        <f t="shared" si="117"/>
        <v/>
      </c>
      <c r="U254" s="238" t="str">
        <f t="shared" si="118"/>
        <v/>
      </c>
      <c r="W254" s="238" t="e">
        <f t="shared" si="119"/>
        <v>#N/A</v>
      </c>
      <c r="X254" s="238" t="e">
        <f t="shared" si="120"/>
        <v>#N/A</v>
      </c>
      <c r="Y254" s="238" t="e">
        <f t="shared" si="121"/>
        <v>#N/A</v>
      </c>
      <c r="AA254" s="1133">
        <v>1056.1156392694065</v>
      </c>
      <c r="AB254" s="1133">
        <v>1215.6785487016321</v>
      </c>
      <c r="AC254" s="1133">
        <v>1375.2414581338576</v>
      </c>
      <c r="AD254" s="89"/>
      <c r="AE254" s="89"/>
      <c r="AF254" s="89"/>
      <c r="AG254" s="89"/>
      <c r="AH254" s="89"/>
      <c r="AI254" s="89"/>
      <c r="AJ254" s="89"/>
      <c r="AK254" s="89"/>
      <c r="AL254" s="89"/>
      <c r="AM254" s="89"/>
      <c r="AN254" s="89"/>
      <c r="BR254" s="180">
        <v>2031</v>
      </c>
      <c r="BS254" s="22">
        <v>17</v>
      </c>
      <c r="BT254" s="181" t="e">
        <f t="shared" si="132"/>
        <v>#DIV/0!</v>
      </c>
      <c r="BU254" s="182" t="e">
        <f t="shared" si="133"/>
        <v>#DIV/0!</v>
      </c>
      <c r="BV254" s="205" t="e">
        <f t="shared" si="134"/>
        <v>#DIV/0!</v>
      </c>
      <c r="BY254" s="180">
        <v>2031</v>
      </c>
      <c r="BZ254" s="22">
        <v>17</v>
      </c>
      <c r="CA254" s="181" t="e">
        <f t="shared" ca="1" si="135"/>
        <v>#REF!</v>
      </c>
      <c r="CB254" s="181" t="e">
        <f t="shared" ca="1" si="136"/>
        <v>#REF!</v>
      </c>
      <c r="CC254" s="182" t="e">
        <f t="shared" ca="1" si="137"/>
        <v>#REF!</v>
      </c>
      <c r="CD254" s="205" t="e">
        <f t="shared" ca="1" si="138"/>
        <v>#REF!</v>
      </c>
      <c r="CG254" s="180">
        <v>2031</v>
      </c>
      <c r="CH254" s="22">
        <v>17</v>
      </c>
      <c r="CI254" s="181" t="e">
        <f t="shared" ca="1" si="139"/>
        <v>#REF!</v>
      </c>
      <c r="CJ254" s="181" t="e">
        <f t="shared" ca="1" si="140"/>
        <v>#REF!</v>
      </c>
      <c r="CK254" s="181" t="e">
        <f t="shared" ca="1" si="141"/>
        <v>#REF!</v>
      </c>
      <c r="CL254" s="182" t="e">
        <f t="shared" ca="1" si="142"/>
        <v>#REF!</v>
      </c>
      <c r="CM254" s="205" t="e">
        <f t="shared" ca="1" si="143"/>
        <v>#REF!</v>
      </c>
      <c r="CP254" s="180">
        <v>2031</v>
      </c>
      <c r="CQ254" s="22">
        <v>17</v>
      </c>
      <c r="CR254" s="181" t="e">
        <f t="shared" ca="1" si="144"/>
        <v>#REF!</v>
      </c>
      <c r="CS254" s="182" t="e">
        <f t="shared" ca="1" si="145"/>
        <v>#REF!</v>
      </c>
      <c r="CT254" s="205" t="e">
        <f t="shared" ca="1" si="146"/>
        <v>#REF!</v>
      </c>
      <c r="CZ254" s="164" t="b">
        <f t="shared" si="122"/>
        <v>0</v>
      </c>
      <c r="DA254" s="165" t="b">
        <f t="shared" si="122"/>
        <v>0</v>
      </c>
      <c r="DB254" s="166" t="b">
        <f t="shared" si="122"/>
        <v>0</v>
      </c>
      <c r="DC254" s="164" t="str">
        <f t="shared" si="123"/>
        <v/>
      </c>
      <c r="DD254" s="166" t="str">
        <f t="shared" si="124"/>
        <v/>
      </c>
      <c r="DE254" s="164" t="str">
        <f t="shared" si="125"/>
        <v/>
      </c>
      <c r="DF254" s="166" t="str">
        <f t="shared" si="126"/>
        <v/>
      </c>
      <c r="DG254" s="164" t="str">
        <f t="shared" si="127"/>
        <v/>
      </c>
      <c r="DH254" s="166" t="str">
        <f t="shared" si="128"/>
        <v/>
      </c>
      <c r="DI254" s="164" t="str">
        <f>IFERROR(INDEX(DC$233:DC$281,_xlfn.AGGREGATE(15,6,(ROW(DC$233:DC$281)-ROW(DC$233)+1)/(DC$233:DC$281&lt;&gt;""),ROWS(DI$1:DI22))),"")</f>
        <v/>
      </c>
      <c r="DJ254" s="165" t="str">
        <f>IFERROR(INDEX(DD$233:DD$281,_xlfn.AGGREGATE(15,6,(ROW(DD$233:DD$281)-ROW(DD$233)+1)/(DD$233:DD$281&lt;&gt;""),ROWS(DJ$1:DJ22))),"")</f>
        <v/>
      </c>
      <c r="DK254" s="166" t="str">
        <f t="shared" si="129"/>
        <v/>
      </c>
      <c r="DL254" s="164" t="str">
        <f>IFERROR(INDEX(DE$233:DE$281,_xlfn.AGGREGATE(15,6,(ROW(DE$233:DE$281)-ROW(DE$233)+1)/(DE$233:DE$281&lt;&gt;""),ROWS(DL$1:DL22))),"")</f>
        <v/>
      </c>
      <c r="DM254" s="165" t="str">
        <f>IFERROR(INDEX(DF$233:DF$281,_xlfn.AGGREGATE(15,6,(ROW(DF$233:DF$281)-ROW(DF$233)+1)/(DF$233:DF$281&lt;&gt;""),ROWS(DM$1:DM22))),"")</f>
        <v/>
      </c>
      <c r="DN254" s="166" t="str">
        <f t="shared" si="130"/>
        <v/>
      </c>
      <c r="DO254" s="164" t="str">
        <f>IFERROR(INDEX(DG$233:DG$281,_xlfn.AGGREGATE(15,6,(ROW(DG$233:DG$281)-ROW(DG$233)+1)/(DG$233:DG$281&lt;&gt;""),ROWS(DO$1:DO22))),"")</f>
        <v/>
      </c>
      <c r="DP254" s="165" t="str">
        <f>IFERROR(INDEX(DH$233:DH$281,_xlfn.AGGREGATE(15,6,(ROW(DH$233:DH$281)-ROW(DH$233)+1)/(DH$233:DH$281&lt;&gt;""),ROWS(DP$1:DP22))),"")</f>
        <v/>
      </c>
      <c r="DQ254" s="166" t="str">
        <f t="shared" si="131"/>
        <v/>
      </c>
      <c r="DV254" s="145">
        <v>2036</v>
      </c>
      <c r="DW254" s="235" t="e">
        <f t="shared" ca="1" si="115"/>
        <v>#REF!</v>
      </c>
    </row>
    <row r="255" spans="1:135" ht="13.8" x14ac:dyDescent="0.45">
      <c r="B255" s="128">
        <v>2034</v>
      </c>
      <c r="C255" s="1047"/>
      <c r="D255" s="1050"/>
      <c r="E255" s="1060"/>
      <c r="F255" s="1051"/>
      <c r="G255" s="1052"/>
      <c r="H255" s="1036"/>
      <c r="I255" s="1112"/>
      <c r="J255" s="247"/>
      <c r="K255" s="245"/>
      <c r="L255" s="246"/>
      <c r="M255" s="245"/>
      <c r="N255" s="29" t="s">
        <v>119</v>
      </c>
      <c r="O255" s="120"/>
      <c r="P255" s="120"/>
      <c r="Q255" s="120"/>
      <c r="R255" s="29">
        <v>20</v>
      </c>
      <c r="S255" s="238" t="str">
        <f t="shared" si="116"/>
        <v/>
      </c>
      <c r="T255" s="238" t="str">
        <f t="shared" si="117"/>
        <v/>
      </c>
      <c r="U255" s="238" t="str">
        <f t="shared" si="118"/>
        <v/>
      </c>
      <c r="W255" s="238" t="e">
        <f t="shared" si="119"/>
        <v>#N/A</v>
      </c>
      <c r="X255" s="238" t="e">
        <f t="shared" si="120"/>
        <v>#N/A</v>
      </c>
      <c r="Y255" s="238" t="e">
        <f t="shared" si="121"/>
        <v>#N/A</v>
      </c>
      <c r="AA255" s="1133">
        <v>1072.3646118721472</v>
      </c>
      <c r="AB255" s="1133">
        <v>1234.1954414635343</v>
      </c>
      <c r="AC255" s="1133">
        <v>1396.0262710549214</v>
      </c>
      <c r="AD255" s="89"/>
      <c r="AE255" s="89"/>
      <c r="AF255" s="89"/>
      <c r="AG255" s="89"/>
      <c r="AH255" s="89"/>
      <c r="AI255" s="89"/>
      <c r="AJ255" s="89"/>
      <c r="AK255" s="89"/>
      <c r="AL255" s="89"/>
      <c r="AM255" s="89"/>
      <c r="AN255" s="89"/>
      <c r="BR255" s="180">
        <v>2032</v>
      </c>
      <c r="BS255" s="22">
        <v>18</v>
      </c>
      <c r="BT255" s="181" t="e">
        <f t="shared" si="132"/>
        <v>#DIV/0!</v>
      </c>
      <c r="BU255" s="182" t="e">
        <f t="shared" si="133"/>
        <v>#DIV/0!</v>
      </c>
      <c r="BV255" s="205" t="e">
        <f t="shared" si="134"/>
        <v>#DIV/0!</v>
      </c>
      <c r="BY255" s="180">
        <v>2032</v>
      </c>
      <c r="BZ255" s="22">
        <v>18</v>
      </c>
      <c r="CA255" s="181" t="e">
        <f t="shared" ca="1" si="135"/>
        <v>#REF!</v>
      </c>
      <c r="CB255" s="181" t="e">
        <f t="shared" ca="1" si="136"/>
        <v>#REF!</v>
      </c>
      <c r="CC255" s="182" t="e">
        <f t="shared" ca="1" si="137"/>
        <v>#REF!</v>
      </c>
      <c r="CD255" s="205" t="e">
        <f t="shared" ca="1" si="138"/>
        <v>#REF!</v>
      </c>
      <c r="CG255" s="180">
        <v>2032</v>
      </c>
      <c r="CH255" s="22">
        <v>18</v>
      </c>
      <c r="CI255" s="181" t="e">
        <f t="shared" ca="1" si="139"/>
        <v>#REF!</v>
      </c>
      <c r="CJ255" s="181" t="e">
        <f t="shared" ca="1" si="140"/>
        <v>#REF!</v>
      </c>
      <c r="CK255" s="181" t="e">
        <f t="shared" ca="1" si="141"/>
        <v>#REF!</v>
      </c>
      <c r="CL255" s="182" t="e">
        <f t="shared" ca="1" si="142"/>
        <v>#REF!</v>
      </c>
      <c r="CM255" s="205" t="e">
        <f t="shared" ca="1" si="143"/>
        <v>#REF!</v>
      </c>
      <c r="CP255" s="180">
        <v>2032</v>
      </c>
      <c r="CQ255" s="22">
        <v>18</v>
      </c>
      <c r="CR255" s="181" t="e">
        <f t="shared" ca="1" si="144"/>
        <v>#REF!</v>
      </c>
      <c r="CS255" s="182" t="e">
        <f t="shared" ca="1" si="145"/>
        <v>#REF!</v>
      </c>
      <c r="CT255" s="205" t="e">
        <f t="shared" ca="1" si="146"/>
        <v>#REF!</v>
      </c>
      <c r="CZ255" s="164" t="b">
        <f t="shared" si="122"/>
        <v>0</v>
      </c>
      <c r="DA255" s="165" t="b">
        <f t="shared" si="122"/>
        <v>0</v>
      </c>
      <c r="DB255" s="166" t="b">
        <f t="shared" si="122"/>
        <v>0</v>
      </c>
      <c r="DC255" s="164" t="str">
        <f t="shared" si="123"/>
        <v/>
      </c>
      <c r="DD255" s="166" t="str">
        <f t="shared" si="124"/>
        <v/>
      </c>
      <c r="DE255" s="164" t="str">
        <f t="shared" si="125"/>
        <v/>
      </c>
      <c r="DF255" s="166" t="str">
        <f t="shared" si="126"/>
        <v/>
      </c>
      <c r="DG255" s="164" t="str">
        <f t="shared" si="127"/>
        <v/>
      </c>
      <c r="DH255" s="166" t="str">
        <f t="shared" si="128"/>
        <v/>
      </c>
      <c r="DI255" s="164" t="str">
        <f>IFERROR(INDEX(DC$233:DC$281,_xlfn.AGGREGATE(15,6,(ROW(DC$233:DC$281)-ROW(DC$233)+1)/(DC$233:DC$281&lt;&gt;""),ROWS(DI$1:DI23))),"")</f>
        <v/>
      </c>
      <c r="DJ255" s="165" t="str">
        <f>IFERROR(INDEX(DD$233:DD$281,_xlfn.AGGREGATE(15,6,(ROW(DD$233:DD$281)-ROW(DD$233)+1)/(DD$233:DD$281&lt;&gt;""),ROWS(DJ$1:DJ23))),"")</f>
        <v/>
      </c>
      <c r="DK255" s="166" t="str">
        <f t="shared" si="129"/>
        <v/>
      </c>
      <c r="DL255" s="164" t="str">
        <f>IFERROR(INDEX(DE$233:DE$281,_xlfn.AGGREGATE(15,6,(ROW(DE$233:DE$281)-ROW(DE$233)+1)/(DE$233:DE$281&lt;&gt;""),ROWS(DL$1:DL23))),"")</f>
        <v/>
      </c>
      <c r="DM255" s="165" t="str">
        <f>IFERROR(INDEX(DF$233:DF$281,_xlfn.AGGREGATE(15,6,(ROW(DF$233:DF$281)-ROW(DF$233)+1)/(DF$233:DF$281&lt;&gt;""),ROWS(DM$1:DM23))),"")</f>
        <v/>
      </c>
      <c r="DN255" s="166" t="str">
        <f t="shared" si="130"/>
        <v/>
      </c>
      <c r="DO255" s="164" t="str">
        <f>IFERROR(INDEX(DG$233:DG$281,_xlfn.AGGREGATE(15,6,(ROW(DG$233:DG$281)-ROW(DG$233)+1)/(DG$233:DG$281&lt;&gt;""),ROWS(DO$1:DO23))),"")</f>
        <v/>
      </c>
      <c r="DP255" s="165" t="str">
        <f>IFERROR(INDEX(DH$233:DH$281,_xlfn.AGGREGATE(15,6,(ROW(DH$233:DH$281)-ROW(DH$233)+1)/(DH$233:DH$281&lt;&gt;""),ROWS(DP$1:DP23))),"")</f>
        <v/>
      </c>
      <c r="DQ255" s="166" t="str">
        <f t="shared" si="131"/>
        <v/>
      </c>
      <c r="DV255" s="145">
        <v>2037</v>
      </c>
      <c r="DW255" s="235" t="e">
        <f t="shared" ca="1" si="115"/>
        <v>#REF!</v>
      </c>
    </row>
    <row r="256" spans="1:135" ht="13.8" x14ac:dyDescent="0.45">
      <c r="B256" s="128">
        <v>2035</v>
      </c>
      <c r="C256" s="1047"/>
      <c r="D256" s="1050"/>
      <c r="E256" s="1060"/>
      <c r="F256" s="1051"/>
      <c r="G256" s="1052"/>
      <c r="H256" s="1036"/>
      <c r="I256" s="1112"/>
      <c r="J256" s="247"/>
      <c r="K256" s="245"/>
      <c r="L256" s="246"/>
      <c r="M256" s="245"/>
      <c r="N256" s="29" t="s">
        <v>119</v>
      </c>
      <c r="O256" s="120"/>
      <c r="P256" s="120"/>
      <c r="Q256" s="120"/>
      <c r="R256" s="29">
        <v>21</v>
      </c>
      <c r="S256" s="238" t="str">
        <f t="shared" si="116"/>
        <v/>
      </c>
      <c r="T256" s="238" t="str">
        <f t="shared" si="117"/>
        <v/>
      </c>
      <c r="U256" s="238" t="str">
        <f t="shared" si="118"/>
        <v/>
      </c>
      <c r="W256" s="238" t="e">
        <f t="shared" si="119"/>
        <v>#N/A</v>
      </c>
      <c r="X256" s="238" t="e">
        <f t="shared" si="120"/>
        <v>#N/A</v>
      </c>
      <c r="Y256" s="238" t="e">
        <f t="shared" si="121"/>
        <v>#N/A</v>
      </c>
      <c r="AA256" s="1133">
        <v>1088.6135844748865</v>
      </c>
      <c r="AB256" s="1133">
        <v>1252.7291363804557</v>
      </c>
      <c r="AC256" s="1133">
        <v>1416.8446882860248</v>
      </c>
      <c r="AD256" s="89"/>
      <c r="AE256" s="89"/>
      <c r="AF256" s="89"/>
      <c r="AG256" s="89"/>
      <c r="AH256" s="89"/>
      <c r="AI256" s="89"/>
      <c r="AJ256" s="89"/>
      <c r="AK256" s="89"/>
      <c r="AL256" s="89"/>
      <c r="AM256" s="89"/>
      <c r="AN256" s="89"/>
      <c r="BR256" s="180">
        <v>2033</v>
      </c>
      <c r="BS256" s="22">
        <v>19</v>
      </c>
      <c r="BT256" s="181" t="e">
        <f t="shared" si="132"/>
        <v>#DIV/0!</v>
      </c>
      <c r="BU256" s="182" t="e">
        <f t="shared" si="133"/>
        <v>#DIV/0!</v>
      </c>
      <c r="BV256" s="205" t="e">
        <f t="shared" si="134"/>
        <v>#DIV/0!</v>
      </c>
      <c r="BY256" s="180">
        <v>2033</v>
      </c>
      <c r="BZ256" s="22">
        <v>19</v>
      </c>
      <c r="CA256" s="181" t="e">
        <f t="shared" ca="1" si="135"/>
        <v>#REF!</v>
      </c>
      <c r="CB256" s="181" t="e">
        <f t="shared" ca="1" si="136"/>
        <v>#REF!</v>
      </c>
      <c r="CC256" s="182" t="e">
        <f t="shared" ca="1" si="137"/>
        <v>#REF!</v>
      </c>
      <c r="CD256" s="205" t="e">
        <f t="shared" ca="1" si="138"/>
        <v>#REF!</v>
      </c>
      <c r="CG256" s="180">
        <v>2033</v>
      </c>
      <c r="CH256" s="22">
        <v>19</v>
      </c>
      <c r="CI256" s="181" t="e">
        <f t="shared" ca="1" si="139"/>
        <v>#REF!</v>
      </c>
      <c r="CJ256" s="181" t="e">
        <f t="shared" ca="1" si="140"/>
        <v>#REF!</v>
      </c>
      <c r="CK256" s="181" t="e">
        <f t="shared" ca="1" si="141"/>
        <v>#REF!</v>
      </c>
      <c r="CL256" s="182" t="e">
        <f t="shared" ca="1" si="142"/>
        <v>#REF!</v>
      </c>
      <c r="CM256" s="205" t="e">
        <f t="shared" ca="1" si="143"/>
        <v>#REF!</v>
      </c>
      <c r="CP256" s="180">
        <v>2033</v>
      </c>
      <c r="CQ256" s="22">
        <v>19</v>
      </c>
      <c r="CR256" s="181" t="e">
        <f t="shared" ca="1" si="144"/>
        <v>#REF!</v>
      </c>
      <c r="CS256" s="182" t="e">
        <f t="shared" ca="1" si="145"/>
        <v>#REF!</v>
      </c>
      <c r="CT256" s="205" t="e">
        <f t="shared" ca="1" si="146"/>
        <v>#REF!</v>
      </c>
      <c r="CZ256" s="164" t="b">
        <f t="shared" si="122"/>
        <v>0</v>
      </c>
      <c r="DA256" s="165" t="b">
        <f t="shared" si="122"/>
        <v>0</v>
      </c>
      <c r="DB256" s="166" t="b">
        <f t="shared" si="122"/>
        <v>0</v>
      </c>
      <c r="DC256" s="164" t="str">
        <f t="shared" si="123"/>
        <v/>
      </c>
      <c r="DD256" s="166" t="str">
        <f t="shared" si="124"/>
        <v/>
      </c>
      <c r="DE256" s="164" t="str">
        <f t="shared" si="125"/>
        <v/>
      </c>
      <c r="DF256" s="166" t="str">
        <f t="shared" si="126"/>
        <v/>
      </c>
      <c r="DG256" s="164" t="str">
        <f t="shared" si="127"/>
        <v/>
      </c>
      <c r="DH256" s="166" t="str">
        <f t="shared" si="128"/>
        <v/>
      </c>
      <c r="DI256" s="164" t="str">
        <f>IFERROR(INDEX(DC$233:DC$281,_xlfn.AGGREGATE(15,6,(ROW(DC$233:DC$281)-ROW(DC$233)+1)/(DC$233:DC$281&lt;&gt;""),ROWS(DI$1:DI24))),"")</f>
        <v/>
      </c>
      <c r="DJ256" s="165" t="str">
        <f>IFERROR(INDEX(DD$233:DD$281,_xlfn.AGGREGATE(15,6,(ROW(DD$233:DD$281)-ROW(DD$233)+1)/(DD$233:DD$281&lt;&gt;""),ROWS(DJ$1:DJ24))),"")</f>
        <v/>
      </c>
      <c r="DK256" s="166" t="str">
        <f t="shared" si="129"/>
        <v/>
      </c>
      <c r="DL256" s="164" t="str">
        <f>IFERROR(INDEX(DE$233:DE$281,_xlfn.AGGREGATE(15,6,(ROW(DE$233:DE$281)-ROW(DE$233)+1)/(DE$233:DE$281&lt;&gt;""),ROWS(DL$1:DL24))),"")</f>
        <v/>
      </c>
      <c r="DM256" s="165" t="str">
        <f>IFERROR(INDEX(DF$233:DF$281,_xlfn.AGGREGATE(15,6,(ROW(DF$233:DF$281)-ROW(DF$233)+1)/(DF$233:DF$281&lt;&gt;""),ROWS(DM$1:DM24))),"")</f>
        <v/>
      </c>
      <c r="DN256" s="166" t="str">
        <f t="shared" si="130"/>
        <v/>
      </c>
      <c r="DO256" s="164" t="str">
        <f>IFERROR(INDEX(DG$233:DG$281,_xlfn.AGGREGATE(15,6,(ROW(DG$233:DG$281)-ROW(DG$233)+1)/(DG$233:DG$281&lt;&gt;""),ROWS(DO$1:DO24))),"")</f>
        <v/>
      </c>
      <c r="DP256" s="165" t="str">
        <f>IFERROR(INDEX(DH$233:DH$281,_xlfn.AGGREGATE(15,6,(ROW(DH$233:DH$281)-ROW(DH$233)+1)/(DH$233:DH$281&lt;&gt;""),ROWS(DP$1:DP24))),"")</f>
        <v/>
      </c>
      <c r="DQ256" s="166" t="str">
        <f t="shared" si="131"/>
        <v/>
      </c>
      <c r="DV256" s="145">
        <v>2038</v>
      </c>
      <c r="DW256" s="235" t="e">
        <f t="shared" ca="1" si="115"/>
        <v>#REF!</v>
      </c>
    </row>
    <row r="257" spans="2:135" ht="13.8" x14ac:dyDescent="0.45">
      <c r="B257" s="128">
        <v>2036</v>
      </c>
      <c r="C257" s="1047"/>
      <c r="D257" s="1050"/>
      <c r="E257" s="1060"/>
      <c r="F257" s="1051"/>
      <c r="G257" s="1052"/>
      <c r="H257" s="1036"/>
      <c r="I257" s="1112"/>
      <c r="J257" s="247"/>
      <c r="K257" s="245"/>
      <c r="L257" s="246"/>
      <c r="M257" s="245"/>
      <c r="N257" s="29" t="s">
        <v>119</v>
      </c>
      <c r="O257" s="120"/>
      <c r="P257" s="120"/>
      <c r="Q257" s="120"/>
      <c r="R257" s="29">
        <v>22</v>
      </c>
      <c r="S257" s="238" t="str">
        <f t="shared" si="116"/>
        <v/>
      </c>
      <c r="T257" s="238" t="str">
        <f t="shared" si="117"/>
        <v/>
      </c>
      <c r="U257" s="238" t="str">
        <f t="shared" si="118"/>
        <v/>
      </c>
      <c r="W257" s="238" t="e">
        <f t="shared" si="119"/>
        <v>#N/A</v>
      </c>
      <c r="X257" s="238" t="e">
        <f t="shared" si="120"/>
        <v>#N/A</v>
      </c>
      <c r="Y257" s="238" t="e">
        <f t="shared" si="121"/>
        <v>#N/A</v>
      </c>
      <c r="AA257" s="1133">
        <v>1104.8625570776267</v>
      </c>
      <c r="AB257" s="1133">
        <v>1270.5044930849463</v>
      </c>
      <c r="AC257" s="1133">
        <v>1436.1464290922659</v>
      </c>
      <c r="AD257" s="89"/>
      <c r="AE257" s="89"/>
      <c r="AF257" s="89"/>
      <c r="AG257" s="89"/>
      <c r="AH257" s="89"/>
      <c r="AI257" s="89"/>
      <c r="AJ257" s="89"/>
      <c r="AK257" s="89"/>
      <c r="AL257" s="89"/>
      <c r="AM257" s="89"/>
      <c r="AN257" s="89"/>
      <c r="BR257" s="180">
        <v>2034</v>
      </c>
      <c r="BS257" s="22">
        <v>20</v>
      </c>
      <c r="BT257" s="181" t="e">
        <f t="shared" si="132"/>
        <v>#DIV/0!</v>
      </c>
      <c r="BU257" s="182" t="e">
        <f t="shared" si="133"/>
        <v>#DIV/0!</v>
      </c>
      <c r="BV257" s="205" t="e">
        <f t="shared" si="134"/>
        <v>#DIV/0!</v>
      </c>
      <c r="BY257" s="180">
        <v>2034</v>
      </c>
      <c r="BZ257" s="22">
        <v>20</v>
      </c>
      <c r="CA257" s="181" t="e">
        <f t="shared" ca="1" si="135"/>
        <v>#REF!</v>
      </c>
      <c r="CB257" s="181" t="e">
        <f t="shared" ca="1" si="136"/>
        <v>#REF!</v>
      </c>
      <c r="CC257" s="182" t="e">
        <f t="shared" ca="1" si="137"/>
        <v>#REF!</v>
      </c>
      <c r="CD257" s="205" t="e">
        <f t="shared" ca="1" si="138"/>
        <v>#REF!</v>
      </c>
      <c r="CG257" s="180">
        <v>2034</v>
      </c>
      <c r="CH257" s="22">
        <v>20</v>
      </c>
      <c r="CI257" s="181" t="e">
        <f t="shared" ca="1" si="139"/>
        <v>#REF!</v>
      </c>
      <c r="CJ257" s="181" t="e">
        <f t="shared" ca="1" si="140"/>
        <v>#REF!</v>
      </c>
      <c r="CK257" s="181" t="e">
        <f t="shared" ca="1" si="141"/>
        <v>#REF!</v>
      </c>
      <c r="CL257" s="182" t="e">
        <f t="shared" ca="1" si="142"/>
        <v>#REF!</v>
      </c>
      <c r="CM257" s="205" t="e">
        <f t="shared" ca="1" si="143"/>
        <v>#REF!</v>
      </c>
      <c r="CP257" s="180">
        <v>2034</v>
      </c>
      <c r="CQ257" s="22">
        <v>20</v>
      </c>
      <c r="CR257" s="181" t="e">
        <f t="shared" ca="1" si="144"/>
        <v>#REF!</v>
      </c>
      <c r="CS257" s="182" t="e">
        <f t="shared" ca="1" si="145"/>
        <v>#REF!</v>
      </c>
      <c r="CT257" s="205" t="e">
        <f t="shared" ca="1" si="146"/>
        <v>#REF!</v>
      </c>
      <c r="CZ257" s="164" t="b">
        <f t="shared" si="122"/>
        <v>0</v>
      </c>
      <c r="DA257" s="165" t="b">
        <f t="shared" si="122"/>
        <v>0</v>
      </c>
      <c r="DB257" s="166" t="b">
        <f t="shared" si="122"/>
        <v>0</v>
      </c>
      <c r="DC257" s="164" t="str">
        <f t="shared" si="123"/>
        <v/>
      </c>
      <c r="DD257" s="166" t="str">
        <f t="shared" si="124"/>
        <v/>
      </c>
      <c r="DE257" s="164" t="str">
        <f t="shared" si="125"/>
        <v/>
      </c>
      <c r="DF257" s="166" t="str">
        <f t="shared" si="126"/>
        <v/>
      </c>
      <c r="DG257" s="164" t="str">
        <f t="shared" si="127"/>
        <v/>
      </c>
      <c r="DH257" s="166" t="str">
        <f t="shared" si="128"/>
        <v/>
      </c>
      <c r="DI257" s="164" t="str">
        <f>IFERROR(INDEX(DC$233:DC$281,_xlfn.AGGREGATE(15,6,(ROW(DC$233:DC$281)-ROW(DC$233)+1)/(DC$233:DC$281&lt;&gt;""),ROWS(DI$1:DI25))),"")</f>
        <v/>
      </c>
      <c r="DJ257" s="165" t="str">
        <f>IFERROR(INDEX(DD$233:DD$281,_xlfn.AGGREGATE(15,6,(ROW(DD$233:DD$281)-ROW(DD$233)+1)/(DD$233:DD$281&lt;&gt;""),ROWS(DJ$1:DJ25))),"")</f>
        <v/>
      </c>
      <c r="DK257" s="166" t="str">
        <f t="shared" si="129"/>
        <v/>
      </c>
      <c r="DL257" s="164" t="str">
        <f>IFERROR(INDEX(DE$233:DE$281,_xlfn.AGGREGATE(15,6,(ROW(DE$233:DE$281)-ROW(DE$233)+1)/(DE$233:DE$281&lt;&gt;""),ROWS(DL$1:DL25))),"")</f>
        <v/>
      </c>
      <c r="DM257" s="165" t="str">
        <f>IFERROR(INDEX(DF$233:DF$281,_xlfn.AGGREGATE(15,6,(ROW(DF$233:DF$281)-ROW(DF$233)+1)/(DF$233:DF$281&lt;&gt;""),ROWS(DM$1:DM25))),"")</f>
        <v/>
      </c>
      <c r="DN257" s="166" t="str">
        <f t="shared" si="130"/>
        <v/>
      </c>
      <c r="DO257" s="164" t="str">
        <f>IFERROR(INDEX(DG$233:DG$281,_xlfn.AGGREGATE(15,6,(ROW(DG$233:DG$281)-ROW(DG$233)+1)/(DG$233:DG$281&lt;&gt;""),ROWS(DO$1:DO25))),"")</f>
        <v/>
      </c>
      <c r="DP257" s="165" t="str">
        <f>IFERROR(INDEX(DH$233:DH$281,_xlfn.AGGREGATE(15,6,(ROW(DH$233:DH$281)-ROW(DH$233)+1)/(DH$233:DH$281&lt;&gt;""),ROWS(DP$1:DP25))),"")</f>
        <v/>
      </c>
      <c r="DQ257" s="166" t="str">
        <f t="shared" si="131"/>
        <v/>
      </c>
      <c r="DV257" s="145">
        <v>2039</v>
      </c>
      <c r="DW257" s="235" t="e">
        <f t="shared" ca="1" si="115"/>
        <v>#REF!</v>
      </c>
    </row>
    <row r="258" spans="2:135" ht="13.8" x14ac:dyDescent="0.45">
      <c r="B258" s="128">
        <v>2037</v>
      </c>
      <c r="C258" s="1047"/>
      <c r="D258" s="1050"/>
      <c r="E258" s="1060"/>
      <c r="F258" s="1051"/>
      <c r="G258" s="1052"/>
      <c r="H258" s="1036"/>
      <c r="I258" s="1112"/>
      <c r="J258" s="247"/>
      <c r="K258" s="245"/>
      <c r="L258" s="246"/>
      <c r="M258" s="245"/>
      <c r="N258" s="29" t="s">
        <v>119</v>
      </c>
      <c r="O258" s="120"/>
      <c r="P258" s="120"/>
      <c r="Q258" s="120"/>
      <c r="R258" s="29">
        <v>23</v>
      </c>
      <c r="S258" s="238" t="str">
        <f t="shared" si="116"/>
        <v/>
      </c>
      <c r="T258" s="238" t="str">
        <f t="shared" si="117"/>
        <v/>
      </c>
      <c r="U258" s="238" t="str">
        <f t="shared" si="118"/>
        <v/>
      </c>
      <c r="W258" s="238" t="e">
        <f t="shared" si="119"/>
        <v>#N/A</v>
      </c>
      <c r="X258" s="238" t="e">
        <f t="shared" si="120"/>
        <v>#N/A</v>
      </c>
      <c r="Y258" s="238" t="e">
        <f t="shared" si="121"/>
        <v>#N/A</v>
      </c>
      <c r="AA258" s="1133">
        <v>1121.1115296803653</v>
      </c>
      <c r="AB258" s="1133">
        <v>1288.3271201081338</v>
      </c>
      <c r="AC258" s="1133">
        <v>1455.5427105359024</v>
      </c>
      <c r="AD258" s="89"/>
      <c r="AE258" s="89"/>
      <c r="AF258" s="89"/>
      <c r="AG258" s="89"/>
      <c r="AH258" s="89"/>
      <c r="AI258" s="89"/>
      <c r="AJ258" s="89"/>
      <c r="AK258" s="89"/>
      <c r="AL258" s="89"/>
      <c r="AM258" s="89"/>
      <c r="AN258" s="89"/>
      <c r="BR258" s="180">
        <v>2035</v>
      </c>
      <c r="BS258" s="22">
        <v>21</v>
      </c>
      <c r="BT258" s="181" t="e">
        <f t="shared" si="132"/>
        <v>#DIV/0!</v>
      </c>
      <c r="BU258" s="182" t="e">
        <f t="shared" si="133"/>
        <v>#DIV/0!</v>
      </c>
      <c r="BV258" s="205" t="e">
        <f t="shared" si="134"/>
        <v>#DIV/0!</v>
      </c>
      <c r="BY258" s="180">
        <v>2035</v>
      </c>
      <c r="BZ258" s="22">
        <v>21</v>
      </c>
      <c r="CA258" s="181" t="e">
        <f t="shared" ca="1" si="135"/>
        <v>#REF!</v>
      </c>
      <c r="CB258" s="181" t="e">
        <f t="shared" ca="1" si="136"/>
        <v>#REF!</v>
      </c>
      <c r="CC258" s="182" t="e">
        <f t="shared" ca="1" si="137"/>
        <v>#REF!</v>
      </c>
      <c r="CD258" s="205" t="e">
        <f t="shared" ca="1" si="138"/>
        <v>#REF!</v>
      </c>
      <c r="CG258" s="180">
        <v>2035</v>
      </c>
      <c r="CH258" s="22">
        <v>21</v>
      </c>
      <c r="CI258" s="181" t="e">
        <f t="shared" ca="1" si="139"/>
        <v>#REF!</v>
      </c>
      <c r="CJ258" s="181" t="e">
        <f t="shared" ca="1" si="140"/>
        <v>#REF!</v>
      </c>
      <c r="CK258" s="181" t="e">
        <f t="shared" ca="1" si="141"/>
        <v>#REF!</v>
      </c>
      <c r="CL258" s="182" t="e">
        <f t="shared" ca="1" si="142"/>
        <v>#REF!</v>
      </c>
      <c r="CM258" s="205" t="e">
        <f t="shared" ca="1" si="143"/>
        <v>#REF!</v>
      </c>
      <c r="CP258" s="180">
        <v>2035</v>
      </c>
      <c r="CQ258" s="22">
        <v>21</v>
      </c>
      <c r="CR258" s="181" t="e">
        <f t="shared" ca="1" si="144"/>
        <v>#REF!</v>
      </c>
      <c r="CS258" s="182" t="e">
        <f t="shared" ca="1" si="145"/>
        <v>#REF!</v>
      </c>
      <c r="CT258" s="205" t="e">
        <f t="shared" ca="1" si="146"/>
        <v>#REF!</v>
      </c>
      <c r="CZ258" s="164" t="b">
        <f t="shared" si="122"/>
        <v>0</v>
      </c>
      <c r="DA258" s="165" t="b">
        <f t="shared" si="122"/>
        <v>0</v>
      </c>
      <c r="DB258" s="166" t="b">
        <f t="shared" si="122"/>
        <v>0</v>
      </c>
      <c r="DC258" s="164" t="str">
        <f t="shared" si="123"/>
        <v/>
      </c>
      <c r="DD258" s="166" t="str">
        <f t="shared" si="124"/>
        <v/>
      </c>
      <c r="DE258" s="164" t="str">
        <f t="shared" si="125"/>
        <v/>
      </c>
      <c r="DF258" s="166" t="str">
        <f t="shared" si="126"/>
        <v/>
      </c>
      <c r="DG258" s="164" t="str">
        <f t="shared" si="127"/>
        <v/>
      </c>
      <c r="DH258" s="166" t="str">
        <f t="shared" si="128"/>
        <v/>
      </c>
      <c r="DI258" s="164" t="str">
        <f>IFERROR(INDEX(DC$233:DC$281,_xlfn.AGGREGATE(15,6,(ROW(DC$233:DC$281)-ROW(DC$233)+1)/(DC$233:DC$281&lt;&gt;""),ROWS(DI$1:DI26))),"")</f>
        <v/>
      </c>
      <c r="DJ258" s="165" t="str">
        <f>IFERROR(INDEX(DD$233:DD$281,_xlfn.AGGREGATE(15,6,(ROW(DD$233:DD$281)-ROW(DD$233)+1)/(DD$233:DD$281&lt;&gt;""),ROWS(DJ$1:DJ26))),"")</f>
        <v/>
      </c>
      <c r="DK258" s="166" t="str">
        <f t="shared" si="129"/>
        <v/>
      </c>
      <c r="DL258" s="164" t="str">
        <f>IFERROR(INDEX(DE$233:DE$281,_xlfn.AGGREGATE(15,6,(ROW(DE$233:DE$281)-ROW(DE$233)+1)/(DE$233:DE$281&lt;&gt;""),ROWS(DL$1:DL26))),"")</f>
        <v/>
      </c>
      <c r="DM258" s="165" t="str">
        <f>IFERROR(INDEX(DF$233:DF$281,_xlfn.AGGREGATE(15,6,(ROW(DF$233:DF$281)-ROW(DF$233)+1)/(DF$233:DF$281&lt;&gt;""),ROWS(DM$1:DM26))),"")</f>
        <v/>
      </c>
      <c r="DN258" s="166" t="str">
        <f t="shared" si="130"/>
        <v/>
      </c>
      <c r="DO258" s="164" t="str">
        <f>IFERROR(INDEX(DG$233:DG$281,_xlfn.AGGREGATE(15,6,(ROW(DG$233:DG$281)-ROW(DG$233)+1)/(DG$233:DG$281&lt;&gt;""),ROWS(DO$1:DO26))),"")</f>
        <v/>
      </c>
      <c r="DP258" s="165" t="str">
        <f>IFERROR(INDEX(DH$233:DH$281,_xlfn.AGGREGATE(15,6,(ROW(DH$233:DH$281)-ROW(DH$233)+1)/(DH$233:DH$281&lt;&gt;""),ROWS(DP$1:DP26))),"")</f>
        <v/>
      </c>
      <c r="DQ258" s="166" t="str">
        <f t="shared" si="131"/>
        <v/>
      </c>
      <c r="DV258" s="145">
        <v>2040</v>
      </c>
      <c r="DW258" s="235" t="e">
        <f t="shared" ca="1" si="115"/>
        <v>#REF!</v>
      </c>
    </row>
    <row r="259" spans="2:135" ht="13.8" x14ac:dyDescent="0.45">
      <c r="B259" s="128">
        <v>2038</v>
      </c>
      <c r="C259" s="1047"/>
      <c r="D259" s="1050"/>
      <c r="E259" s="1060"/>
      <c r="F259" s="1051"/>
      <c r="G259" s="1052"/>
      <c r="H259" s="1036"/>
      <c r="I259" s="1112"/>
      <c r="J259" s="247"/>
      <c r="K259" s="245"/>
      <c r="L259" s="246"/>
      <c r="M259" s="245"/>
      <c r="N259" s="29" t="s">
        <v>119</v>
      </c>
      <c r="O259" s="120"/>
      <c r="P259" s="120"/>
      <c r="Q259" s="120"/>
      <c r="R259" s="29">
        <v>24</v>
      </c>
      <c r="S259" s="238" t="str">
        <f t="shared" si="116"/>
        <v/>
      </c>
      <c r="T259" s="238" t="str">
        <f t="shared" si="117"/>
        <v/>
      </c>
      <c r="U259" s="238" t="str">
        <f t="shared" si="118"/>
        <v/>
      </c>
      <c r="W259" s="238" t="e">
        <f t="shared" si="119"/>
        <v>#N/A</v>
      </c>
      <c r="X259" s="238" t="e">
        <f t="shared" si="120"/>
        <v>#N/A</v>
      </c>
      <c r="Y259" s="238" t="e">
        <f t="shared" si="121"/>
        <v>#N/A</v>
      </c>
      <c r="AA259" s="1133">
        <v>1137.360502283105</v>
      </c>
      <c r="AB259" s="1133">
        <v>1305.9520082317495</v>
      </c>
      <c r="AC259" s="1133">
        <v>1474.5435141803939</v>
      </c>
      <c r="AD259" s="89"/>
      <c r="AE259" s="89"/>
      <c r="AF259" s="89"/>
      <c r="AG259" s="89"/>
      <c r="AH259" s="89"/>
      <c r="AI259" s="89"/>
      <c r="AJ259" s="89"/>
      <c r="AK259" s="89"/>
      <c r="AL259" s="89"/>
      <c r="AM259" s="89"/>
      <c r="AN259" s="89"/>
      <c r="BR259" s="180">
        <v>2036</v>
      </c>
      <c r="BS259" s="22">
        <v>22</v>
      </c>
      <c r="BT259" s="181" t="e">
        <f t="shared" si="132"/>
        <v>#DIV/0!</v>
      </c>
      <c r="BU259" s="182" t="e">
        <f t="shared" si="133"/>
        <v>#DIV/0!</v>
      </c>
      <c r="BV259" s="205" t="e">
        <f t="shared" si="134"/>
        <v>#DIV/0!</v>
      </c>
      <c r="BY259" s="180">
        <v>2036</v>
      </c>
      <c r="BZ259" s="22">
        <v>22</v>
      </c>
      <c r="CA259" s="181" t="e">
        <f t="shared" ca="1" si="135"/>
        <v>#REF!</v>
      </c>
      <c r="CB259" s="181" t="e">
        <f t="shared" ca="1" si="136"/>
        <v>#REF!</v>
      </c>
      <c r="CC259" s="182" t="e">
        <f t="shared" ca="1" si="137"/>
        <v>#REF!</v>
      </c>
      <c r="CD259" s="205" t="e">
        <f t="shared" ca="1" si="138"/>
        <v>#REF!</v>
      </c>
      <c r="CG259" s="180">
        <v>2036</v>
      </c>
      <c r="CH259" s="22">
        <v>22</v>
      </c>
      <c r="CI259" s="181" t="e">
        <f t="shared" ca="1" si="139"/>
        <v>#REF!</v>
      </c>
      <c r="CJ259" s="181" t="e">
        <f t="shared" ca="1" si="140"/>
        <v>#REF!</v>
      </c>
      <c r="CK259" s="181" t="e">
        <f t="shared" ca="1" si="141"/>
        <v>#REF!</v>
      </c>
      <c r="CL259" s="182" t="e">
        <f t="shared" ca="1" si="142"/>
        <v>#REF!</v>
      </c>
      <c r="CM259" s="205" t="e">
        <f t="shared" ca="1" si="143"/>
        <v>#REF!</v>
      </c>
      <c r="CP259" s="180">
        <v>2036</v>
      </c>
      <c r="CQ259" s="22">
        <v>22</v>
      </c>
      <c r="CR259" s="181" t="e">
        <f t="shared" ca="1" si="144"/>
        <v>#REF!</v>
      </c>
      <c r="CS259" s="182" t="e">
        <f t="shared" ca="1" si="145"/>
        <v>#REF!</v>
      </c>
      <c r="CT259" s="205" t="e">
        <f t="shared" ca="1" si="146"/>
        <v>#REF!</v>
      </c>
      <c r="CZ259" s="164" t="b">
        <f t="shared" si="122"/>
        <v>0</v>
      </c>
      <c r="DA259" s="165" t="b">
        <f t="shared" si="122"/>
        <v>0</v>
      </c>
      <c r="DB259" s="166" t="b">
        <f t="shared" si="122"/>
        <v>0</v>
      </c>
      <c r="DC259" s="164" t="str">
        <f t="shared" si="123"/>
        <v/>
      </c>
      <c r="DD259" s="166" t="str">
        <f t="shared" si="124"/>
        <v/>
      </c>
      <c r="DE259" s="164" t="str">
        <f t="shared" si="125"/>
        <v/>
      </c>
      <c r="DF259" s="166" t="str">
        <f t="shared" si="126"/>
        <v/>
      </c>
      <c r="DG259" s="164" t="str">
        <f t="shared" si="127"/>
        <v/>
      </c>
      <c r="DH259" s="166" t="str">
        <f t="shared" si="128"/>
        <v/>
      </c>
      <c r="DI259" s="164" t="str">
        <f>IFERROR(INDEX(DC$233:DC$281,_xlfn.AGGREGATE(15,6,(ROW(DC$233:DC$281)-ROW(DC$233)+1)/(DC$233:DC$281&lt;&gt;""),ROWS(DI$1:DI27))),"")</f>
        <v/>
      </c>
      <c r="DJ259" s="165" t="str">
        <f>IFERROR(INDEX(DD$233:DD$281,_xlfn.AGGREGATE(15,6,(ROW(DD$233:DD$281)-ROW(DD$233)+1)/(DD$233:DD$281&lt;&gt;""),ROWS(DJ$1:DJ27))),"")</f>
        <v/>
      </c>
      <c r="DK259" s="166" t="str">
        <f t="shared" si="129"/>
        <v/>
      </c>
      <c r="DL259" s="164" t="str">
        <f>IFERROR(INDEX(DE$233:DE$281,_xlfn.AGGREGATE(15,6,(ROW(DE$233:DE$281)-ROW(DE$233)+1)/(DE$233:DE$281&lt;&gt;""),ROWS(DL$1:DL27))),"")</f>
        <v/>
      </c>
      <c r="DM259" s="165" t="str">
        <f>IFERROR(INDEX(DF$233:DF$281,_xlfn.AGGREGATE(15,6,(ROW(DF$233:DF$281)-ROW(DF$233)+1)/(DF$233:DF$281&lt;&gt;""),ROWS(DM$1:DM27))),"")</f>
        <v/>
      </c>
      <c r="DN259" s="166" t="str">
        <f t="shared" si="130"/>
        <v/>
      </c>
      <c r="DO259" s="164" t="str">
        <f>IFERROR(INDEX(DG$233:DG$281,_xlfn.AGGREGATE(15,6,(ROW(DG$233:DG$281)-ROW(DG$233)+1)/(DG$233:DG$281&lt;&gt;""),ROWS(DO$1:DO27))),"")</f>
        <v/>
      </c>
      <c r="DP259" s="165" t="str">
        <f>IFERROR(INDEX(DH$233:DH$281,_xlfn.AGGREGATE(15,6,(ROW(DH$233:DH$281)-ROW(DH$233)+1)/(DH$233:DH$281&lt;&gt;""),ROWS(DP$1:DP27))),"")</f>
        <v/>
      </c>
      <c r="DQ259" s="166" t="str">
        <f t="shared" si="131"/>
        <v/>
      </c>
      <c r="DV259" s="145">
        <v>2041</v>
      </c>
      <c r="DW259" s="235" t="e">
        <f t="shared" ca="1" si="115"/>
        <v>#REF!</v>
      </c>
    </row>
    <row r="260" spans="2:135" ht="13.8" x14ac:dyDescent="0.45">
      <c r="B260" s="128">
        <v>2039</v>
      </c>
      <c r="C260" s="1047"/>
      <c r="D260" s="1050"/>
      <c r="E260" s="1060"/>
      <c r="F260" s="1051"/>
      <c r="G260" s="1052"/>
      <c r="H260" s="1036"/>
      <c r="I260" s="1112"/>
      <c r="J260" s="247"/>
      <c r="K260" s="245"/>
      <c r="L260" s="246"/>
      <c r="M260" s="245"/>
      <c r="N260" s="29" t="s">
        <v>119</v>
      </c>
      <c r="O260" s="120"/>
      <c r="P260" s="120"/>
      <c r="Q260" s="120"/>
      <c r="R260" s="29">
        <v>25</v>
      </c>
      <c r="S260" s="238" t="str">
        <f t="shared" si="116"/>
        <v/>
      </c>
      <c r="T260" s="238" t="str">
        <f t="shared" si="117"/>
        <v/>
      </c>
      <c r="U260" s="238" t="str">
        <f t="shared" si="118"/>
        <v/>
      </c>
      <c r="W260" s="238" t="e">
        <f t="shared" si="119"/>
        <v>#N/A</v>
      </c>
      <c r="X260" s="238" t="e">
        <f t="shared" si="120"/>
        <v>#N/A</v>
      </c>
      <c r="Y260" s="238" t="e">
        <f t="shared" si="121"/>
        <v>#N/A</v>
      </c>
      <c r="AA260" s="1133">
        <v>1153.6094748858466</v>
      </c>
      <c r="AB260" s="1133">
        <v>1323.3990406204261</v>
      </c>
      <c r="AC260" s="1133">
        <v>1493.1886063550057</v>
      </c>
      <c r="AD260" s="89"/>
      <c r="AE260" s="89"/>
      <c r="AF260" s="89"/>
      <c r="AG260" s="89"/>
      <c r="AH260" s="89"/>
      <c r="AI260" s="89"/>
      <c r="AJ260" s="89"/>
      <c r="AK260" s="89"/>
      <c r="AL260" s="89"/>
      <c r="AM260" s="89"/>
      <c r="AN260" s="89"/>
      <c r="BR260" s="180">
        <v>2037</v>
      </c>
      <c r="BS260" s="22">
        <v>23</v>
      </c>
      <c r="BT260" s="181" t="e">
        <f t="shared" si="132"/>
        <v>#DIV/0!</v>
      </c>
      <c r="BU260" s="182" t="e">
        <f t="shared" si="133"/>
        <v>#DIV/0!</v>
      </c>
      <c r="BV260" s="205" t="e">
        <f t="shared" si="134"/>
        <v>#DIV/0!</v>
      </c>
      <c r="BY260" s="180">
        <v>2037</v>
      </c>
      <c r="BZ260" s="22">
        <v>23</v>
      </c>
      <c r="CA260" s="181" t="e">
        <f t="shared" ca="1" si="135"/>
        <v>#REF!</v>
      </c>
      <c r="CB260" s="181" t="e">
        <f t="shared" ca="1" si="136"/>
        <v>#REF!</v>
      </c>
      <c r="CC260" s="182" t="e">
        <f t="shared" ca="1" si="137"/>
        <v>#REF!</v>
      </c>
      <c r="CD260" s="205" t="e">
        <f t="shared" ca="1" si="138"/>
        <v>#REF!</v>
      </c>
      <c r="CG260" s="180">
        <v>2037</v>
      </c>
      <c r="CH260" s="22">
        <v>23</v>
      </c>
      <c r="CI260" s="181" t="e">
        <f t="shared" ca="1" si="139"/>
        <v>#REF!</v>
      </c>
      <c r="CJ260" s="181" t="e">
        <f t="shared" ca="1" si="140"/>
        <v>#REF!</v>
      </c>
      <c r="CK260" s="181" t="e">
        <f t="shared" ca="1" si="141"/>
        <v>#REF!</v>
      </c>
      <c r="CL260" s="182" t="e">
        <f t="shared" ca="1" si="142"/>
        <v>#REF!</v>
      </c>
      <c r="CM260" s="205" t="e">
        <f t="shared" ca="1" si="143"/>
        <v>#REF!</v>
      </c>
      <c r="CP260" s="180">
        <v>2037</v>
      </c>
      <c r="CQ260" s="22">
        <v>23</v>
      </c>
      <c r="CR260" s="181" t="e">
        <f t="shared" ca="1" si="144"/>
        <v>#REF!</v>
      </c>
      <c r="CS260" s="182" t="e">
        <f t="shared" ca="1" si="145"/>
        <v>#REF!</v>
      </c>
      <c r="CT260" s="205" t="e">
        <f t="shared" ca="1" si="146"/>
        <v>#REF!</v>
      </c>
      <c r="CZ260" s="164" t="b">
        <f t="shared" si="122"/>
        <v>0</v>
      </c>
      <c r="DA260" s="165" t="b">
        <f t="shared" si="122"/>
        <v>0</v>
      </c>
      <c r="DB260" s="166" t="b">
        <f t="shared" si="122"/>
        <v>0</v>
      </c>
      <c r="DC260" s="164" t="str">
        <f t="shared" si="123"/>
        <v/>
      </c>
      <c r="DD260" s="166" t="str">
        <f t="shared" si="124"/>
        <v/>
      </c>
      <c r="DE260" s="164" t="str">
        <f t="shared" si="125"/>
        <v/>
      </c>
      <c r="DF260" s="166" t="str">
        <f t="shared" si="126"/>
        <v/>
      </c>
      <c r="DG260" s="164" t="str">
        <f t="shared" si="127"/>
        <v/>
      </c>
      <c r="DH260" s="166" t="str">
        <f t="shared" si="128"/>
        <v/>
      </c>
      <c r="DI260" s="164" t="str">
        <f>IFERROR(INDEX(DC$233:DC$281,_xlfn.AGGREGATE(15,6,(ROW(DC$233:DC$281)-ROW(DC$233)+1)/(DC$233:DC$281&lt;&gt;""),ROWS(DI$1:DI28))),"")</f>
        <v/>
      </c>
      <c r="DJ260" s="165" t="str">
        <f>IFERROR(INDEX(DD$233:DD$281,_xlfn.AGGREGATE(15,6,(ROW(DD$233:DD$281)-ROW(DD$233)+1)/(DD$233:DD$281&lt;&gt;""),ROWS(DJ$1:DJ28))),"")</f>
        <v/>
      </c>
      <c r="DK260" s="166" t="str">
        <f t="shared" si="129"/>
        <v/>
      </c>
      <c r="DL260" s="164" t="str">
        <f>IFERROR(INDEX(DE$233:DE$281,_xlfn.AGGREGATE(15,6,(ROW(DE$233:DE$281)-ROW(DE$233)+1)/(DE$233:DE$281&lt;&gt;""),ROWS(DL$1:DL28))),"")</f>
        <v/>
      </c>
      <c r="DM260" s="165" t="str">
        <f>IFERROR(INDEX(DF$233:DF$281,_xlfn.AGGREGATE(15,6,(ROW(DF$233:DF$281)-ROW(DF$233)+1)/(DF$233:DF$281&lt;&gt;""),ROWS(DM$1:DM28))),"")</f>
        <v/>
      </c>
      <c r="DN260" s="166" t="str">
        <f t="shared" si="130"/>
        <v/>
      </c>
      <c r="DO260" s="164" t="str">
        <f>IFERROR(INDEX(DG$233:DG$281,_xlfn.AGGREGATE(15,6,(ROW(DG$233:DG$281)-ROW(DG$233)+1)/(DG$233:DG$281&lt;&gt;""),ROWS(DO$1:DO28))),"")</f>
        <v/>
      </c>
      <c r="DP260" s="165" t="str">
        <f>IFERROR(INDEX(DH$233:DH$281,_xlfn.AGGREGATE(15,6,(ROW(DH$233:DH$281)-ROW(DH$233)+1)/(DH$233:DH$281&lt;&gt;""),ROWS(DP$1:DP28))),"")</f>
        <v/>
      </c>
      <c r="DQ260" s="166" t="str">
        <f t="shared" si="131"/>
        <v/>
      </c>
      <c r="DV260" s="145">
        <v>2042</v>
      </c>
      <c r="DW260" s="235" t="e">
        <f t="shared" ca="1" si="115"/>
        <v>#REF!</v>
      </c>
    </row>
    <row r="261" spans="2:135" ht="13.8" x14ac:dyDescent="0.45">
      <c r="B261" s="128">
        <v>2040</v>
      </c>
      <c r="C261" s="1047"/>
      <c r="D261" s="1050"/>
      <c r="E261" s="1060"/>
      <c r="F261" s="1051"/>
      <c r="G261" s="1052"/>
      <c r="H261" s="1036"/>
      <c r="I261" s="1112"/>
      <c r="J261" s="247"/>
      <c r="K261" s="245"/>
      <c r="L261" s="246"/>
      <c r="M261" s="245"/>
      <c r="N261" s="29" t="s">
        <v>119</v>
      </c>
      <c r="O261" s="120"/>
      <c r="P261" s="120"/>
      <c r="Q261" s="120"/>
      <c r="R261" s="29">
        <v>26</v>
      </c>
      <c r="S261" s="238" t="str">
        <f t="shared" si="116"/>
        <v/>
      </c>
      <c r="T261" s="238" t="str">
        <f t="shared" si="117"/>
        <v/>
      </c>
      <c r="U261" s="238" t="str">
        <f t="shared" si="118"/>
        <v/>
      </c>
      <c r="W261" s="238" t="e">
        <f t="shared" si="119"/>
        <v>#N/A</v>
      </c>
      <c r="X261" s="238" t="e">
        <f t="shared" si="120"/>
        <v>#N/A</v>
      </c>
      <c r="Y261" s="238" t="e">
        <f t="shared" si="121"/>
        <v>#N/A</v>
      </c>
      <c r="AA261" s="1133">
        <v>1169.8584474885838</v>
      </c>
      <c r="AB261" s="1133">
        <v>1337.925299012205</v>
      </c>
      <c r="AC261" s="1133">
        <v>1505.9921505358261</v>
      </c>
      <c r="AD261" s="89"/>
      <c r="AE261" s="89"/>
      <c r="AF261" s="89"/>
      <c r="AG261" s="89"/>
      <c r="AH261" s="89"/>
      <c r="AI261" s="89"/>
      <c r="AJ261" s="89"/>
      <c r="AK261" s="89"/>
      <c r="AL261" s="89"/>
      <c r="AM261" s="89"/>
      <c r="AN261" s="89"/>
      <c r="BR261" s="180">
        <v>2038</v>
      </c>
      <c r="BS261" s="22">
        <v>24</v>
      </c>
      <c r="BT261" s="181" t="e">
        <f t="shared" si="132"/>
        <v>#DIV/0!</v>
      </c>
      <c r="BU261" s="182" t="e">
        <f t="shared" si="133"/>
        <v>#DIV/0!</v>
      </c>
      <c r="BV261" s="205" t="e">
        <f t="shared" si="134"/>
        <v>#DIV/0!</v>
      </c>
      <c r="BY261" s="180">
        <v>2038</v>
      </c>
      <c r="BZ261" s="22">
        <v>24</v>
      </c>
      <c r="CA261" s="181" t="e">
        <f t="shared" ca="1" si="135"/>
        <v>#REF!</v>
      </c>
      <c r="CB261" s="181" t="e">
        <f t="shared" ca="1" si="136"/>
        <v>#REF!</v>
      </c>
      <c r="CC261" s="182" t="e">
        <f t="shared" ca="1" si="137"/>
        <v>#REF!</v>
      </c>
      <c r="CD261" s="205" t="e">
        <f t="shared" ca="1" si="138"/>
        <v>#REF!</v>
      </c>
      <c r="CG261" s="180">
        <v>2038</v>
      </c>
      <c r="CH261" s="22">
        <v>24</v>
      </c>
      <c r="CI261" s="181" t="e">
        <f t="shared" ca="1" si="139"/>
        <v>#REF!</v>
      </c>
      <c r="CJ261" s="181" t="e">
        <f t="shared" ca="1" si="140"/>
        <v>#REF!</v>
      </c>
      <c r="CK261" s="181" t="e">
        <f t="shared" ca="1" si="141"/>
        <v>#REF!</v>
      </c>
      <c r="CL261" s="182" t="e">
        <f t="shared" ca="1" si="142"/>
        <v>#REF!</v>
      </c>
      <c r="CM261" s="205" t="e">
        <f t="shared" ca="1" si="143"/>
        <v>#REF!</v>
      </c>
      <c r="CP261" s="180">
        <v>2038</v>
      </c>
      <c r="CQ261" s="22">
        <v>24</v>
      </c>
      <c r="CR261" s="181" t="e">
        <f t="shared" ca="1" si="144"/>
        <v>#REF!</v>
      </c>
      <c r="CS261" s="182" t="e">
        <f t="shared" ca="1" si="145"/>
        <v>#REF!</v>
      </c>
      <c r="CT261" s="205" t="e">
        <f t="shared" ca="1" si="146"/>
        <v>#REF!</v>
      </c>
      <c r="CZ261" s="164" t="b">
        <f t="shared" si="122"/>
        <v>0</v>
      </c>
      <c r="DA261" s="165" t="b">
        <f t="shared" si="122"/>
        <v>0</v>
      </c>
      <c r="DB261" s="166" t="b">
        <f t="shared" si="122"/>
        <v>0</v>
      </c>
      <c r="DC261" s="164" t="str">
        <f t="shared" si="123"/>
        <v/>
      </c>
      <c r="DD261" s="166" t="str">
        <f t="shared" si="124"/>
        <v/>
      </c>
      <c r="DE261" s="164" t="str">
        <f t="shared" si="125"/>
        <v/>
      </c>
      <c r="DF261" s="166" t="str">
        <f t="shared" si="126"/>
        <v/>
      </c>
      <c r="DG261" s="164" t="str">
        <f t="shared" si="127"/>
        <v/>
      </c>
      <c r="DH261" s="166" t="str">
        <f t="shared" si="128"/>
        <v/>
      </c>
      <c r="DI261" s="164" t="str">
        <f>IFERROR(INDEX(DC$233:DC$281,_xlfn.AGGREGATE(15,6,(ROW(DC$233:DC$281)-ROW(DC$233)+1)/(DC$233:DC$281&lt;&gt;""),ROWS(DI$1:DI29))),"")</f>
        <v/>
      </c>
      <c r="DJ261" s="165" t="str">
        <f>IFERROR(INDEX(DD$233:DD$281,_xlfn.AGGREGATE(15,6,(ROW(DD$233:DD$281)-ROW(DD$233)+1)/(DD$233:DD$281&lt;&gt;""),ROWS(DJ$1:DJ29))),"")</f>
        <v/>
      </c>
      <c r="DK261" s="166" t="str">
        <f t="shared" si="129"/>
        <v/>
      </c>
      <c r="DL261" s="164" t="str">
        <f>IFERROR(INDEX(DE$233:DE$281,_xlfn.AGGREGATE(15,6,(ROW(DE$233:DE$281)-ROW(DE$233)+1)/(DE$233:DE$281&lt;&gt;""),ROWS(DL$1:DL29))),"")</f>
        <v/>
      </c>
      <c r="DM261" s="165" t="str">
        <f>IFERROR(INDEX(DF$233:DF$281,_xlfn.AGGREGATE(15,6,(ROW(DF$233:DF$281)-ROW(DF$233)+1)/(DF$233:DF$281&lt;&gt;""),ROWS(DM$1:DM29))),"")</f>
        <v/>
      </c>
      <c r="DN261" s="166" t="str">
        <f t="shared" si="130"/>
        <v/>
      </c>
      <c r="DO261" s="164" t="str">
        <f>IFERROR(INDEX(DG$233:DG$281,_xlfn.AGGREGATE(15,6,(ROW(DG$233:DG$281)-ROW(DG$233)+1)/(DG$233:DG$281&lt;&gt;""),ROWS(DO$1:DO29))),"")</f>
        <v/>
      </c>
      <c r="DP261" s="165" t="str">
        <f>IFERROR(INDEX(DH$233:DH$281,_xlfn.AGGREGATE(15,6,(ROW(DH$233:DH$281)-ROW(DH$233)+1)/(DH$233:DH$281&lt;&gt;""),ROWS(DP$1:DP29))),"")</f>
        <v/>
      </c>
      <c r="DQ261" s="166" t="str">
        <f t="shared" si="131"/>
        <v/>
      </c>
      <c r="DV261" s="145">
        <v>2043</v>
      </c>
      <c r="DW261" s="235" t="e">
        <f t="shared" ca="1" si="115"/>
        <v>#REF!</v>
      </c>
      <c r="EA261" s="55"/>
      <c r="EB261" s="55"/>
      <c r="EC261" s="55"/>
      <c r="ED261" s="55"/>
      <c r="EE261" s="55"/>
    </row>
    <row r="262" spans="2:135" ht="13.8" x14ac:dyDescent="0.45">
      <c r="B262" s="128">
        <v>2041</v>
      </c>
      <c r="C262" s="1047"/>
      <c r="D262" s="1050"/>
      <c r="E262" s="1060"/>
      <c r="F262" s="1051"/>
      <c r="G262" s="1052"/>
      <c r="H262" s="1036"/>
      <c r="I262" s="1112"/>
      <c r="J262" s="247"/>
      <c r="K262" s="245"/>
      <c r="L262" s="246"/>
      <c r="M262" s="245"/>
      <c r="N262" s="29" t="s">
        <v>119</v>
      </c>
      <c r="O262" s="120"/>
      <c r="P262" s="120"/>
      <c r="Q262" s="120"/>
      <c r="R262" s="29">
        <v>27</v>
      </c>
      <c r="S262" s="238" t="str">
        <f t="shared" si="116"/>
        <v/>
      </c>
      <c r="T262" s="238" t="str">
        <f t="shared" si="117"/>
        <v/>
      </c>
      <c r="U262" s="238" t="str">
        <f t="shared" si="118"/>
        <v/>
      </c>
      <c r="W262" s="238" t="e">
        <f t="shared" si="119"/>
        <v>#N/A</v>
      </c>
      <c r="X262" s="238" t="e">
        <f t="shared" si="120"/>
        <v>#N/A</v>
      </c>
      <c r="Y262" s="238" t="e">
        <f t="shared" si="121"/>
        <v>#N/A</v>
      </c>
      <c r="AA262" s="1133">
        <v>1186.1074200913238</v>
      </c>
      <c r="AB262" s="1133">
        <v>1357.8450343633424</v>
      </c>
      <c r="AC262" s="1133">
        <v>1529.582648635361</v>
      </c>
      <c r="AD262" s="89"/>
      <c r="AE262" s="89"/>
      <c r="AF262" s="89"/>
      <c r="AG262" s="89"/>
      <c r="AH262" s="89"/>
      <c r="AI262" s="89"/>
      <c r="AJ262" s="89"/>
      <c r="AK262" s="89"/>
      <c r="AL262" s="89"/>
      <c r="AM262" s="89"/>
      <c r="AN262" s="89"/>
      <c r="BR262" s="180">
        <v>2039</v>
      </c>
      <c r="BS262" s="22">
        <v>25</v>
      </c>
      <c r="BT262" s="181" t="e">
        <f t="shared" si="132"/>
        <v>#DIV/0!</v>
      </c>
      <c r="BU262" s="182" t="e">
        <f t="shared" si="133"/>
        <v>#DIV/0!</v>
      </c>
      <c r="BV262" s="205" t="e">
        <f t="shared" si="134"/>
        <v>#DIV/0!</v>
      </c>
      <c r="BY262" s="180">
        <v>2039</v>
      </c>
      <c r="BZ262" s="22">
        <v>25</v>
      </c>
      <c r="CA262" s="181" t="e">
        <f t="shared" ca="1" si="135"/>
        <v>#REF!</v>
      </c>
      <c r="CB262" s="181" t="e">
        <f t="shared" ca="1" si="136"/>
        <v>#REF!</v>
      </c>
      <c r="CC262" s="182" t="e">
        <f t="shared" ca="1" si="137"/>
        <v>#REF!</v>
      </c>
      <c r="CD262" s="205" t="e">
        <f t="shared" ca="1" si="138"/>
        <v>#REF!</v>
      </c>
      <c r="CG262" s="180">
        <v>2039</v>
      </c>
      <c r="CH262" s="22">
        <v>25</v>
      </c>
      <c r="CI262" s="181" t="e">
        <f t="shared" ca="1" si="139"/>
        <v>#REF!</v>
      </c>
      <c r="CJ262" s="181" t="e">
        <f t="shared" ca="1" si="140"/>
        <v>#REF!</v>
      </c>
      <c r="CK262" s="181" t="e">
        <f t="shared" ca="1" si="141"/>
        <v>#REF!</v>
      </c>
      <c r="CL262" s="182" t="e">
        <f t="shared" ca="1" si="142"/>
        <v>#REF!</v>
      </c>
      <c r="CM262" s="205" t="e">
        <f t="shared" ca="1" si="143"/>
        <v>#REF!</v>
      </c>
      <c r="CP262" s="180">
        <v>2039</v>
      </c>
      <c r="CQ262" s="22">
        <v>25</v>
      </c>
      <c r="CR262" s="181" t="e">
        <f t="shared" ca="1" si="144"/>
        <v>#REF!</v>
      </c>
      <c r="CS262" s="182" t="e">
        <f t="shared" ca="1" si="145"/>
        <v>#REF!</v>
      </c>
      <c r="CT262" s="205" t="e">
        <f t="shared" ca="1" si="146"/>
        <v>#REF!</v>
      </c>
      <c r="CZ262" s="164" t="b">
        <f t="shared" si="122"/>
        <v>0</v>
      </c>
      <c r="DA262" s="165" t="b">
        <f t="shared" si="122"/>
        <v>0</v>
      </c>
      <c r="DB262" s="166" t="b">
        <f t="shared" si="122"/>
        <v>0</v>
      </c>
      <c r="DC262" s="164" t="str">
        <f t="shared" si="123"/>
        <v/>
      </c>
      <c r="DD262" s="166" t="str">
        <f t="shared" si="124"/>
        <v/>
      </c>
      <c r="DE262" s="164" t="str">
        <f t="shared" si="125"/>
        <v/>
      </c>
      <c r="DF262" s="166" t="str">
        <f t="shared" si="126"/>
        <v/>
      </c>
      <c r="DG262" s="164" t="str">
        <f t="shared" si="127"/>
        <v/>
      </c>
      <c r="DH262" s="166" t="str">
        <f t="shared" si="128"/>
        <v/>
      </c>
      <c r="DI262" s="164" t="str">
        <f>IFERROR(INDEX(DC$233:DC$281,_xlfn.AGGREGATE(15,6,(ROW(DC$233:DC$281)-ROW(DC$233)+1)/(DC$233:DC$281&lt;&gt;""),ROWS(DI$1:DI30))),"")</f>
        <v/>
      </c>
      <c r="DJ262" s="165" t="str">
        <f>IFERROR(INDEX(DD$233:DD$281,_xlfn.AGGREGATE(15,6,(ROW(DD$233:DD$281)-ROW(DD$233)+1)/(DD$233:DD$281&lt;&gt;""),ROWS(DJ$1:DJ30))),"")</f>
        <v/>
      </c>
      <c r="DK262" s="166" t="str">
        <f t="shared" si="129"/>
        <v/>
      </c>
      <c r="DL262" s="164" t="str">
        <f>IFERROR(INDEX(DE$233:DE$281,_xlfn.AGGREGATE(15,6,(ROW(DE$233:DE$281)-ROW(DE$233)+1)/(DE$233:DE$281&lt;&gt;""),ROWS(DL$1:DL30))),"")</f>
        <v/>
      </c>
      <c r="DM262" s="165" t="str">
        <f>IFERROR(INDEX(DF$233:DF$281,_xlfn.AGGREGATE(15,6,(ROW(DF$233:DF$281)-ROW(DF$233)+1)/(DF$233:DF$281&lt;&gt;""),ROWS(DM$1:DM30))),"")</f>
        <v/>
      </c>
      <c r="DN262" s="166" t="str">
        <f t="shared" si="130"/>
        <v/>
      </c>
      <c r="DO262" s="164" t="str">
        <f>IFERROR(INDEX(DG$233:DG$281,_xlfn.AGGREGATE(15,6,(ROW(DG$233:DG$281)-ROW(DG$233)+1)/(DG$233:DG$281&lt;&gt;""),ROWS(DO$1:DO30))),"")</f>
        <v/>
      </c>
      <c r="DP262" s="165" t="str">
        <f>IFERROR(INDEX(DH$233:DH$281,_xlfn.AGGREGATE(15,6,(ROW(DH$233:DH$281)-ROW(DH$233)+1)/(DH$233:DH$281&lt;&gt;""),ROWS(DP$1:DP30))),"")</f>
        <v/>
      </c>
      <c r="DQ262" s="166" t="str">
        <f t="shared" si="131"/>
        <v/>
      </c>
      <c r="DV262" s="145">
        <v>2044</v>
      </c>
      <c r="DW262" s="235" t="e">
        <f t="shared" ca="1" si="115"/>
        <v>#REF!</v>
      </c>
      <c r="EA262" s="55"/>
      <c r="EB262" s="55"/>
      <c r="EC262" s="55"/>
      <c r="ED262" s="55"/>
      <c r="EE262" s="55"/>
    </row>
    <row r="263" spans="2:135" ht="13.8" x14ac:dyDescent="0.45">
      <c r="B263" s="128">
        <v>2042</v>
      </c>
      <c r="C263" s="1047"/>
      <c r="D263" s="1050"/>
      <c r="E263" s="1060"/>
      <c r="F263" s="1051"/>
      <c r="G263" s="1052"/>
      <c r="H263" s="1036"/>
      <c r="I263" s="1112"/>
      <c r="J263" s="247"/>
      <c r="K263" s="245"/>
      <c r="L263" s="246"/>
      <c r="M263" s="245"/>
      <c r="N263" s="29" t="s">
        <v>119</v>
      </c>
      <c r="O263" s="120"/>
      <c r="P263" s="120"/>
      <c r="Q263" s="120"/>
      <c r="R263" s="29">
        <v>28</v>
      </c>
      <c r="S263" s="238" t="str">
        <f t="shared" si="116"/>
        <v/>
      </c>
      <c r="T263" s="238" t="str">
        <f t="shared" si="117"/>
        <v/>
      </c>
      <c r="U263" s="238" t="str">
        <f t="shared" si="118"/>
        <v/>
      </c>
      <c r="W263" s="238" t="e">
        <f t="shared" si="119"/>
        <v>#N/A</v>
      </c>
      <c r="X263" s="238" t="e">
        <f t="shared" si="120"/>
        <v>#N/A</v>
      </c>
      <c r="Y263" s="238" t="e">
        <f t="shared" si="121"/>
        <v>#N/A</v>
      </c>
      <c r="AA263" s="1133">
        <v>1202.3563926940647</v>
      </c>
      <c r="AB263" s="1133">
        <v>1373.7288007663074</v>
      </c>
      <c r="AC263" s="1133">
        <v>1545.1012088385501</v>
      </c>
      <c r="AD263" s="89"/>
      <c r="AE263" s="89"/>
      <c r="AF263" s="89"/>
      <c r="AG263" s="89"/>
      <c r="AH263" s="89"/>
      <c r="AI263" s="89"/>
      <c r="AJ263" s="89"/>
      <c r="AK263" s="89"/>
      <c r="AL263" s="89"/>
      <c r="AM263" s="89"/>
      <c r="AN263" s="89"/>
      <c r="BR263" s="180">
        <v>2040</v>
      </c>
      <c r="BS263" s="22">
        <v>26</v>
      </c>
      <c r="BT263" s="181" t="e">
        <f t="shared" si="132"/>
        <v>#DIV/0!</v>
      </c>
      <c r="BU263" s="182" t="e">
        <f t="shared" si="133"/>
        <v>#DIV/0!</v>
      </c>
      <c r="BV263" s="205" t="e">
        <f t="shared" si="134"/>
        <v>#DIV/0!</v>
      </c>
      <c r="BY263" s="180">
        <v>2040</v>
      </c>
      <c r="BZ263" s="22">
        <v>26</v>
      </c>
      <c r="CA263" s="181" t="e">
        <f t="shared" ca="1" si="135"/>
        <v>#REF!</v>
      </c>
      <c r="CB263" s="181" t="e">
        <f t="shared" ca="1" si="136"/>
        <v>#REF!</v>
      </c>
      <c r="CC263" s="182" t="e">
        <f t="shared" ca="1" si="137"/>
        <v>#REF!</v>
      </c>
      <c r="CD263" s="205" t="e">
        <f t="shared" ca="1" si="138"/>
        <v>#REF!</v>
      </c>
      <c r="CG263" s="180">
        <v>2040</v>
      </c>
      <c r="CH263" s="22">
        <v>26</v>
      </c>
      <c r="CI263" s="181" t="e">
        <f t="shared" ca="1" si="139"/>
        <v>#REF!</v>
      </c>
      <c r="CJ263" s="181" t="e">
        <f t="shared" ca="1" si="140"/>
        <v>#REF!</v>
      </c>
      <c r="CK263" s="181" t="e">
        <f t="shared" ca="1" si="141"/>
        <v>#REF!</v>
      </c>
      <c r="CL263" s="182" t="e">
        <f t="shared" ca="1" si="142"/>
        <v>#REF!</v>
      </c>
      <c r="CM263" s="205" t="e">
        <f t="shared" ca="1" si="143"/>
        <v>#REF!</v>
      </c>
      <c r="CP263" s="180">
        <v>2040</v>
      </c>
      <c r="CQ263" s="22">
        <v>26</v>
      </c>
      <c r="CR263" s="181" t="e">
        <f t="shared" ca="1" si="144"/>
        <v>#REF!</v>
      </c>
      <c r="CS263" s="182" t="e">
        <f t="shared" ca="1" si="145"/>
        <v>#REF!</v>
      </c>
      <c r="CT263" s="205" t="e">
        <f t="shared" ca="1" si="146"/>
        <v>#REF!</v>
      </c>
      <c r="CZ263" s="164" t="b">
        <f t="shared" si="122"/>
        <v>0</v>
      </c>
      <c r="DA263" s="165" t="b">
        <f t="shared" si="122"/>
        <v>0</v>
      </c>
      <c r="DB263" s="166" t="b">
        <f t="shared" si="122"/>
        <v>0</v>
      </c>
      <c r="DC263" s="164" t="str">
        <f t="shared" si="123"/>
        <v/>
      </c>
      <c r="DD263" s="166" t="str">
        <f t="shared" si="124"/>
        <v/>
      </c>
      <c r="DE263" s="164" t="str">
        <f t="shared" si="125"/>
        <v/>
      </c>
      <c r="DF263" s="166" t="str">
        <f t="shared" si="126"/>
        <v/>
      </c>
      <c r="DG263" s="164" t="str">
        <f t="shared" si="127"/>
        <v/>
      </c>
      <c r="DH263" s="166" t="str">
        <f t="shared" si="128"/>
        <v/>
      </c>
      <c r="DI263" s="164" t="str">
        <f>IFERROR(INDEX(DC$233:DC$281,_xlfn.AGGREGATE(15,6,(ROW(DC$233:DC$281)-ROW(DC$233)+1)/(DC$233:DC$281&lt;&gt;""),ROWS(DI$1:DI31))),"")</f>
        <v/>
      </c>
      <c r="DJ263" s="165" t="str">
        <f>IFERROR(INDEX(DD$233:DD$281,_xlfn.AGGREGATE(15,6,(ROW(DD$233:DD$281)-ROW(DD$233)+1)/(DD$233:DD$281&lt;&gt;""),ROWS(DJ$1:DJ31))),"")</f>
        <v/>
      </c>
      <c r="DK263" s="166" t="str">
        <f t="shared" si="129"/>
        <v/>
      </c>
      <c r="DL263" s="164" t="str">
        <f>IFERROR(INDEX(DE$233:DE$281,_xlfn.AGGREGATE(15,6,(ROW(DE$233:DE$281)-ROW(DE$233)+1)/(DE$233:DE$281&lt;&gt;""),ROWS(DL$1:DL31))),"")</f>
        <v/>
      </c>
      <c r="DM263" s="165" t="str">
        <f>IFERROR(INDEX(DF$233:DF$281,_xlfn.AGGREGATE(15,6,(ROW(DF$233:DF$281)-ROW(DF$233)+1)/(DF$233:DF$281&lt;&gt;""),ROWS(DM$1:DM31))),"")</f>
        <v/>
      </c>
      <c r="DN263" s="166" t="str">
        <f t="shared" si="130"/>
        <v/>
      </c>
      <c r="DO263" s="164" t="str">
        <f>IFERROR(INDEX(DG$233:DG$281,_xlfn.AGGREGATE(15,6,(ROW(DG$233:DG$281)-ROW(DG$233)+1)/(DG$233:DG$281&lt;&gt;""),ROWS(DO$1:DO31))),"")</f>
        <v/>
      </c>
      <c r="DP263" s="165" t="str">
        <f>IFERROR(INDEX(DH$233:DH$281,_xlfn.AGGREGATE(15,6,(ROW(DH$233:DH$281)-ROW(DH$233)+1)/(DH$233:DH$281&lt;&gt;""),ROWS(DP$1:DP31))),"")</f>
        <v/>
      </c>
      <c r="DQ263" s="166" t="str">
        <f t="shared" si="131"/>
        <v/>
      </c>
      <c r="DV263" s="145">
        <v>2045</v>
      </c>
      <c r="DW263" s="235" t="e">
        <f t="shared" ca="1" si="115"/>
        <v>#REF!</v>
      </c>
      <c r="EA263" s="55"/>
      <c r="EB263" s="55"/>
      <c r="EC263" s="55"/>
      <c r="ED263" s="55"/>
      <c r="EE263" s="55"/>
    </row>
    <row r="264" spans="2:135" ht="13.8" x14ac:dyDescent="0.45">
      <c r="B264" s="128">
        <v>2043</v>
      </c>
      <c r="C264" s="1047"/>
      <c r="D264" s="1050"/>
      <c r="E264" s="1060"/>
      <c r="F264" s="1051"/>
      <c r="G264" s="1052"/>
      <c r="H264" s="1036"/>
      <c r="I264" s="1112"/>
      <c r="J264" s="247"/>
      <c r="K264" s="245"/>
      <c r="L264" s="246"/>
      <c r="M264" s="245"/>
      <c r="N264" s="29" t="s">
        <v>119</v>
      </c>
      <c r="O264" s="120"/>
      <c r="P264" s="120"/>
      <c r="Q264" s="120"/>
      <c r="R264" s="29">
        <v>29</v>
      </c>
      <c r="S264" s="238" t="str">
        <f t="shared" si="116"/>
        <v/>
      </c>
      <c r="T264" s="238" t="str">
        <f t="shared" si="117"/>
        <v/>
      </c>
      <c r="U264" s="238" t="str">
        <f t="shared" si="118"/>
        <v/>
      </c>
      <c r="W264" s="238" t="e">
        <f t="shared" si="119"/>
        <v>#N/A</v>
      </c>
      <c r="X264" s="238" t="e">
        <f t="shared" si="120"/>
        <v>#N/A</v>
      </c>
      <c r="Y264" s="238" t="e">
        <f t="shared" si="121"/>
        <v>#N/A</v>
      </c>
      <c r="AA264" s="1133">
        <v>1218.6053652968035</v>
      </c>
      <c r="AB264" s="1133">
        <v>1389.522624811186</v>
      </c>
      <c r="AC264" s="1133">
        <v>1560.4398843255685</v>
      </c>
      <c r="AD264" s="89"/>
      <c r="AE264" s="89"/>
      <c r="AF264" s="89"/>
      <c r="AG264" s="89"/>
      <c r="AH264" s="89"/>
      <c r="AI264" s="89"/>
      <c r="AJ264" s="89"/>
      <c r="AK264" s="89"/>
      <c r="AL264" s="89"/>
      <c r="AM264" s="89"/>
      <c r="AN264" s="89"/>
      <c r="BR264" s="180">
        <v>2041</v>
      </c>
      <c r="BS264" s="22">
        <v>27</v>
      </c>
      <c r="BT264" s="181" t="e">
        <f t="shared" si="132"/>
        <v>#DIV/0!</v>
      </c>
      <c r="BU264" s="182" t="e">
        <f t="shared" si="133"/>
        <v>#DIV/0!</v>
      </c>
      <c r="BV264" s="205" t="e">
        <f t="shared" si="134"/>
        <v>#DIV/0!</v>
      </c>
      <c r="BY264" s="180">
        <v>2041</v>
      </c>
      <c r="BZ264" s="22">
        <v>27</v>
      </c>
      <c r="CA264" s="181" t="e">
        <f t="shared" ca="1" si="135"/>
        <v>#REF!</v>
      </c>
      <c r="CB264" s="181" t="e">
        <f t="shared" ca="1" si="136"/>
        <v>#REF!</v>
      </c>
      <c r="CC264" s="182" t="e">
        <f t="shared" ca="1" si="137"/>
        <v>#REF!</v>
      </c>
      <c r="CD264" s="205" t="e">
        <f t="shared" ca="1" si="138"/>
        <v>#REF!</v>
      </c>
      <c r="CG264" s="180">
        <v>2041</v>
      </c>
      <c r="CH264" s="22">
        <v>27</v>
      </c>
      <c r="CI264" s="181" t="e">
        <f t="shared" ca="1" si="139"/>
        <v>#REF!</v>
      </c>
      <c r="CJ264" s="181" t="e">
        <f t="shared" ca="1" si="140"/>
        <v>#REF!</v>
      </c>
      <c r="CK264" s="181" t="e">
        <f t="shared" ca="1" si="141"/>
        <v>#REF!</v>
      </c>
      <c r="CL264" s="182" t="e">
        <f t="shared" ca="1" si="142"/>
        <v>#REF!</v>
      </c>
      <c r="CM264" s="205" t="e">
        <f t="shared" ca="1" si="143"/>
        <v>#REF!</v>
      </c>
      <c r="CP264" s="180">
        <v>2041</v>
      </c>
      <c r="CQ264" s="22">
        <v>27</v>
      </c>
      <c r="CR264" s="181" t="e">
        <f t="shared" ca="1" si="144"/>
        <v>#REF!</v>
      </c>
      <c r="CS264" s="182" t="e">
        <f t="shared" ca="1" si="145"/>
        <v>#REF!</v>
      </c>
      <c r="CT264" s="205" t="e">
        <f t="shared" ca="1" si="146"/>
        <v>#REF!</v>
      </c>
      <c r="CZ264" s="164" t="b">
        <f t="shared" si="122"/>
        <v>0</v>
      </c>
      <c r="DA264" s="165" t="b">
        <f t="shared" si="122"/>
        <v>0</v>
      </c>
      <c r="DB264" s="166" t="b">
        <f t="shared" si="122"/>
        <v>0</v>
      </c>
      <c r="DC264" s="164" t="str">
        <f t="shared" si="123"/>
        <v/>
      </c>
      <c r="DD264" s="166" t="str">
        <f t="shared" si="124"/>
        <v/>
      </c>
      <c r="DE264" s="164" t="str">
        <f t="shared" si="125"/>
        <v/>
      </c>
      <c r="DF264" s="166" t="str">
        <f t="shared" si="126"/>
        <v/>
      </c>
      <c r="DG264" s="164" t="str">
        <f t="shared" si="127"/>
        <v/>
      </c>
      <c r="DH264" s="166" t="str">
        <f t="shared" si="128"/>
        <v/>
      </c>
      <c r="DI264" s="164" t="str">
        <f>IFERROR(INDEX(DC$233:DC$281,_xlfn.AGGREGATE(15,6,(ROW(DC$233:DC$281)-ROW(DC$233)+1)/(DC$233:DC$281&lt;&gt;""),ROWS(DI$1:DI32))),"")</f>
        <v/>
      </c>
      <c r="DJ264" s="165" t="str">
        <f>IFERROR(INDEX(DD$233:DD$281,_xlfn.AGGREGATE(15,6,(ROW(DD$233:DD$281)-ROW(DD$233)+1)/(DD$233:DD$281&lt;&gt;""),ROWS(DJ$1:DJ32))),"")</f>
        <v/>
      </c>
      <c r="DK264" s="166" t="str">
        <f t="shared" si="129"/>
        <v/>
      </c>
      <c r="DL264" s="164" t="str">
        <f>IFERROR(INDEX(DE$233:DE$281,_xlfn.AGGREGATE(15,6,(ROW(DE$233:DE$281)-ROW(DE$233)+1)/(DE$233:DE$281&lt;&gt;""),ROWS(DL$1:DL32))),"")</f>
        <v/>
      </c>
      <c r="DM264" s="165" t="str">
        <f>IFERROR(INDEX(DF$233:DF$281,_xlfn.AGGREGATE(15,6,(ROW(DF$233:DF$281)-ROW(DF$233)+1)/(DF$233:DF$281&lt;&gt;""),ROWS(DM$1:DM32))),"")</f>
        <v/>
      </c>
      <c r="DN264" s="166" t="str">
        <f t="shared" si="130"/>
        <v/>
      </c>
      <c r="DO264" s="164" t="str">
        <f>IFERROR(INDEX(DG$233:DG$281,_xlfn.AGGREGATE(15,6,(ROW(DG$233:DG$281)-ROW(DG$233)+1)/(DG$233:DG$281&lt;&gt;""),ROWS(DO$1:DO32))),"")</f>
        <v/>
      </c>
      <c r="DP264" s="165" t="str">
        <f>IFERROR(INDEX(DH$233:DH$281,_xlfn.AGGREGATE(15,6,(ROW(DH$233:DH$281)-ROW(DH$233)+1)/(DH$233:DH$281&lt;&gt;""),ROWS(DP$1:DP32))),"")</f>
        <v/>
      </c>
      <c r="DQ264" s="166" t="str">
        <f t="shared" si="131"/>
        <v/>
      </c>
      <c r="DV264" s="145">
        <v>2046</v>
      </c>
      <c r="DW264" s="235" t="e">
        <f t="shared" ca="1" si="115"/>
        <v>#REF!</v>
      </c>
      <c r="EA264" s="55"/>
      <c r="EB264" s="55"/>
      <c r="EC264" s="55"/>
      <c r="ED264" s="55"/>
      <c r="EE264" s="55"/>
    </row>
    <row r="265" spans="2:135" ht="13.8" x14ac:dyDescent="0.45">
      <c r="B265" s="128">
        <v>2044</v>
      </c>
      <c r="C265" s="1047"/>
      <c r="D265" s="1050"/>
      <c r="E265" s="1060"/>
      <c r="F265" s="1051"/>
      <c r="G265" s="1052"/>
      <c r="H265" s="1036"/>
      <c r="I265" s="1112"/>
      <c r="J265" s="247"/>
      <c r="K265" s="245"/>
      <c r="L265" s="246"/>
      <c r="M265" s="245"/>
      <c r="N265" s="29" t="s">
        <v>119</v>
      </c>
      <c r="O265" s="120"/>
      <c r="P265" s="120"/>
      <c r="Q265" s="120"/>
      <c r="R265" s="29">
        <v>30</v>
      </c>
      <c r="S265" s="238" t="str">
        <f t="shared" ref="S265:S281" si="149">IF(MIN(C265:Q265)=0,"",MIN(C265:Q265))</f>
        <v/>
      </c>
      <c r="T265" s="238" t="str">
        <f t="shared" ref="T265:T281" si="150">IF(MAX(C265:Q265)=0,"",MAX(C265:Q265))</f>
        <v/>
      </c>
      <c r="U265" s="238" t="str">
        <f t="shared" ref="U265:U281" si="151">IF(T265="","",_xlfn.STDEV.P(C265:Q265))</f>
        <v/>
      </c>
      <c r="W265" s="238" t="e">
        <f t="shared" si="119"/>
        <v>#N/A</v>
      </c>
      <c r="X265" s="238" t="e">
        <f t="shared" ref="X265:X281" si="152">IF(U265="",#N/A,(SUM(C265:Q265)/COUNTIFS(C265:Q265,"&gt;0")))</f>
        <v>#N/A</v>
      </c>
      <c r="Y265" s="238" t="e">
        <f t="shared" si="121"/>
        <v>#N/A</v>
      </c>
      <c r="AA265" s="1133">
        <v>1234.8543378995423</v>
      </c>
      <c r="AB265" s="1133">
        <v>1405.2501598353724</v>
      </c>
      <c r="AC265" s="1133">
        <v>1575.6459817712025</v>
      </c>
      <c r="AD265" s="89"/>
      <c r="AE265" s="89"/>
      <c r="AF265" s="89"/>
      <c r="AG265" s="89"/>
      <c r="AH265" s="89"/>
      <c r="AI265" s="89"/>
      <c r="AJ265" s="89"/>
      <c r="AK265" s="89"/>
      <c r="AL265" s="89"/>
      <c r="AM265" s="89"/>
      <c r="AN265" s="89"/>
      <c r="BR265" s="180">
        <v>2042</v>
      </c>
      <c r="BS265" s="22">
        <v>28</v>
      </c>
      <c r="BT265" s="181" t="e">
        <f t="shared" si="132"/>
        <v>#DIV/0!</v>
      </c>
      <c r="BU265" s="182" t="e">
        <f t="shared" si="133"/>
        <v>#DIV/0!</v>
      </c>
      <c r="BV265" s="205" t="e">
        <f t="shared" si="134"/>
        <v>#DIV/0!</v>
      </c>
      <c r="BY265" s="180">
        <v>2042</v>
      </c>
      <c r="BZ265" s="22">
        <v>28</v>
      </c>
      <c r="CA265" s="181" t="e">
        <f t="shared" ca="1" si="135"/>
        <v>#REF!</v>
      </c>
      <c r="CB265" s="181" t="e">
        <f t="shared" ca="1" si="136"/>
        <v>#REF!</v>
      </c>
      <c r="CC265" s="182" t="e">
        <f t="shared" ca="1" si="137"/>
        <v>#REF!</v>
      </c>
      <c r="CD265" s="205" t="e">
        <f t="shared" ca="1" si="138"/>
        <v>#REF!</v>
      </c>
      <c r="CG265" s="180">
        <v>2042</v>
      </c>
      <c r="CH265" s="22">
        <v>28</v>
      </c>
      <c r="CI265" s="181" t="e">
        <f t="shared" ca="1" si="139"/>
        <v>#REF!</v>
      </c>
      <c r="CJ265" s="181" t="e">
        <f t="shared" ca="1" si="140"/>
        <v>#REF!</v>
      </c>
      <c r="CK265" s="181" t="e">
        <f t="shared" ca="1" si="141"/>
        <v>#REF!</v>
      </c>
      <c r="CL265" s="182" t="e">
        <f t="shared" ca="1" si="142"/>
        <v>#REF!</v>
      </c>
      <c r="CM265" s="205" t="e">
        <f t="shared" ca="1" si="143"/>
        <v>#REF!</v>
      </c>
      <c r="CP265" s="180">
        <v>2042</v>
      </c>
      <c r="CQ265" s="22">
        <v>28</v>
      </c>
      <c r="CR265" s="181" t="e">
        <f t="shared" ca="1" si="144"/>
        <v>#REF!</v>
      </c>
      <c r="CS265" s="182" t="e">
        <f t="shared" ca="1" si="145"/>
        <v>#REF!</v>
      </c>
      <c r="CT265" s="205" t="e">
        <f t="shared" ca="1" si="146"/>
        <v>#REF!</v>
      </c>
      <c r="CZ265" s="164" t="b">
        <f t="shared" si="122"/>
        <v>0</v>
      </c>
      <c r="DA265" s="165" t="b">
        <f t="shared" si="122"/>
        <v>0</v>
      </c>
      <c r="DB265" s="166" t="b">
        <f t="shared" si="122"/>
        <v>0</v>
      </c>
      <c r="DC265" s="164" t="str">
        <f t="shared" si="123"/>
        <v/>
      </c>
      <c r="DD265" s="166" t="str">
        <f t="shared" si="124"/>
        <v/>
      </c>
      <c r="DE265" s="164" t="str">
        <f t="shared" si="125"/>
        <v/>
      </c>
      <c r="DF265" s="166" t="str">
        <f t="shared" si="126"/>
        <v/>
      </c>
      <c r="DG265" s="164" t="str">
        <f t="shared" si="127"/>
        <v/>
      </c>
      <c r="DH265" s="166" t="str">
        <f t="shared" si="128"/>
        <v/>
      </c>
      <c r="DI265" s="164" t="str">
        <f>IFERROR(INDEX(DC$233:DC$281,_xlfn.AGGREGATE(15,6,(ROW(DC$233:DC$281)-ROW(DC$233)+1)/(DC$233:DC$281&lt;&gt;""),ROWS(DI$1:DI33))),"")</f>
        <v/>
      </c>
      <c r="DJ265" s="165" t="str">
        <f>IFERROR(INDEX(DD$233:DD$281,_xlfn.AGGREGATE(15,6,(ROW(DD$233:DD$281)-ROW(DD$233)+1)/(DD$233:DD$281&lt;&gt;""),ROWS(DJ$1:DJ33))),"")</f>
        <v/>
      </c>
      <c r="DK265" s="166" t="str">
        <f t="shared" si="129"/>
        <v/>
      </c>
      <c r="DL265" s="164" t="str">
        <f>IFERROR(INDEX(DE$233:DE$281,_xlfn.AGGREGATE(15,6,(ROW(DE$233:DE$281)-ROW(DE$233)+1)/(DE$233:DE$281&lt;&gt;""),ROWS(DL$1:DL33))),"")</f>
        <v/>
      </c>
      <c r="DM265" s="165" t="str">
        <f>IFERROR(INDEX(DF$233:DF$281,_xlfn.AGGREGATE(15,6,(ROW(DF$233:DF$281)-ROW(DF$233)+1)/(DF$233:DF$281&lt;&gt;""),ROWS(DM$1:DM33))),"")</f>
        <v/>
      </c>
      <c r="DN265" s="166" t="str">
        <f t="shared" si="130"/>
        <v/>
      </c>
      <c r="DO265" s="164" t="str">
        <f>IFERROR(INDEX(DG$233:DG$281,_xlfn.AGGREGATE(15,6,(ROW(DG$233:DG$281)-ROW(DG$233)+1)/(DG$233:DG$281&lt;&gt;""),ROWS(DO$1:DO33))),"")</f>
        <v/>
      </c>
      <c r="DP265" s="165" t="str">
        <f>IFERROR(INDEX(DH$233:DH$281,_xlfn.AGGREGATE(15,6,(ROW(DH$233:DH$281)-ROW(DH$233)+1)/(DH$233:DH$281&lt;&gt;""),ROWS(DP$1:DP33))),"")</f>
        <v/>
      </c>
      <c r="DQ265" s="166" t="str">
        <f t="shared" si="131"/>
        <v/>
      </c>
      <c r="DV265" s="145">
        <v>2047</v>
      </c>
      <c r="DW265" s="235" t="e">
        <f t="shared" ca="1" si="115"/>
        <v>#REF!</v>
      </c>
      <c r="EA265" s="55"/>
      <c r="EB265" s="55"/>
      <c r="EC265" s="55"/>
      <c r="ED265" s="55"/>
      <c r="EE265" s="55"/>
    </row>
    <row r="266" spans="2:135" ht="13.8" x14ac:dyDescent="0.45">
      <c r="B266" s="128">
        <v>2045</v>
      </c>
      <c r="C266" s="1047"/>
      <c r="D266" s="1050"/>
      <c r="E266" s="1060"/>
      <c r="F266" s="1051"/>
      <c r="G266" s="1052"/>
      <c r="H266" s="1036"/>
      <c r="I266" s="1112"/>
      <c r="J266" s="247"/>
      <c r="K266" s="245"/>
      <c r="L266" s="246"/>
      <c r="M266" s="245"/>
      <c r="N266" s="29" t="s">
        <v>119</v>
      </c>
      <c r="O266" s="120"/>
      <c r="P266" s="120"/>
      <c r="Q266" s="120"/>
      <c r="R266" s="29">
        <v>31</v>
      </c>
      <c r="S266" s="238" t="str">
        <f t="shared" si="149"/>
        <v/>
      </c>
      <c r="T266" s="238" t="str">
        <f t="shared" si="150"/>
        <v/>
      </c>
      <c r="U266" s="238" t="str">
        <f t="shared" si="151"/>
        <v/>
      </c>
      <c r="W266" s="238" t="e">
        <f t="shared" si="119"/>
        <v>#N/A</v>
      </c>
      <c r="X266" s="238" t="e">
        <f t="shared" si="152"/>
        <v>#N/A</v>
      </c>
      <c r="Y266" s="238" t="e">
        <f t="shared" si="121"/>
        <v>#N/A</v>
      </c>
      <c r="AA266" s="1133">
        <v>1251.103310502283</v>
      </c>
      <c r="AB266" s="1133">
        <v>1419.5356615159428</v>
      </c>
      <c r="AC266" s="1133">
        <v>1587.9680125296027</v>
      </c>
      <c r="AD266" s="89"/>
      <c r="AE266" s="89"/>
      <c r="AF266" s="89"/>
      <c r="AG266" s="89"/>
      <c r="AH266" s="89"/>
      <c r="AI266" s="89"/>
      <c r="AJ266" s="89"/>
      <c r="AK266" s="89"/>
      <c r="AL266" s="89"/>
      <c r="AM266" s="89"/>
      <c r="AN266" s="89"/>
      <c r="BR266" s="180">
        <v>2043</v>
      </c>
      <c r="BS266" s="22">
        <v>29</v>
      </c>
      <c r="BT266" s="181" t="e">
        <f t="shared" si="132"/>
        <v>#DIV/0!</v>
      </c>
      <c r="BU266" s="182" t="e">
        <f t="shared" si="133"/>
        <v>#DIV/0!</v>
      </c>
      <c r="BV266" s="205" t="e">
        <f t="shared" si="134"/>
        <v>#DIV/0!</v>
      </c>
      <c r="BY266" s="180">
        <v>2043</v>
      </c>
      <c r="BZ266" s="22">
        <v>29</v>
      </c>
      <c r="CA266" s="181" t="e">
        <f t="shared" ca="1" si="135"/>
        <v>#REF!</v>
      </c>
      <c r="CB266" s="181" t="e">
        <f t="shared" ca="1" si="136"/>
        <v>#REF!</v>
      </c>
      <c r="CC266" s="182" t="e">
        <f t="shared" ca="1" si="137"/>
        <v>#REF!</v>
      </c>
      <c r="CD266" s="205" t="e">
        <f t="shared" ca="1" si="138"/>
        <v>#REF!</v>
      </c>
      <c r="CG266" s="180">
        <v>2043</v>
      </c>
      <c r="CH266" s="22">
        <v>29</v>
      </c>
      <c r="CI266" s="181" t="e">
        <f t="shared" ca="1" si="139"/>
        <v>#REF!</v>
      </c>
      <c r="CJ266" s="181" t="e">
        <f t="shared" ca="1" si="140"/>
        <v>#REF!</v>
      </c>
      <c r="CK266" s="181" t="e">
        <f t="shared" ca="1" si="141"/>
        <v>#REF!</v>
      </c>
      <c r="CL266" s="182" t="e">
        <f t="shared" ca="1" si="142"/>
        <v>#REF!</v>
      </c>
      <c r="CM266" s="205" t="e">
        <f t="shared" ca="1" si="143"/>
        <v>#REF!</v>
      </c>
      <c r="CP266" s="180">
        <v>2043</v>
      </c>
      <c r="CQ266" s="22">
        <v>29</v>
      </c>
      <c r="CR266" s="181" t="e">
        <f t="shared" ca="1" si="144"/>
        <v>#REF!</v>
      </c>
      <c r="CS266" s="182" t="e">
        <f t="shared" ca="1" si="145"/>
        <v>#REF!</v>
      </c>
      <c r="CT266" s="205" t="e">
        <f t="shared" ca="1" si="146"/>
        <v>#REF!</v>
      </c>
      <c r="CZ266" s="164" t="b">
        <f t="shared" si="122"/>
        <v>0</v>
      </c>
      <c r="DA266" s="165" t="b">
        <f t="shared" si="122"/>
        <v>0</v>
      </c>
      <c r="DB266" s="166" t="b">
        <f t="shared" si="122"/>
        <v>0</v>
      </c>
      <c r="DC266" s="164" t="str">
        <f t="shared" si="123"/>
        <v/>
      </c>
      <c r="DD266" s="166" t="str">
        <f t="shared" si="124"/>
        <v/>
      </c>
      <c r="DE266" s="164" t="str">
        <f t="shared" si="125"/>
        <v/>
      </c>
      <c r="DF266" s="166" t="str">
        <f t="shared" si="126"/>
        <v/>
      </c>
      <c r="DG266" s="164" t="str">
        <f t="shared" si="127"/>
        <v/>
      </c>
      <c r="DH266" s="166" t="str">
        <f t="shared" si="128"/>
        <v/>
      </c>
      <c r="DI266" s="164" t="str">
        <f>IFERROR(INDEX(DC$233:DC$281,_xlfn.AGGREGATE(15,6,(ROW(DC$233:DC$281)-ROW(DC$233)+1)/(DC$233:DC$281&lt;&gt;""),ROWS(DI$1:DI34))),"")</f>
        <v/>
      </c>
      <c r="DJ266" s="165" t="str">
        <f>IFERROR(INDEX(DD$233:DD$281,_xlfn.AGGREGATE(15,6,(ROW(DD$233:DD$281)-ROW(DD$233)+1)/(DD$233:DD$281&lt;&gt;""),ROWS(DJ$1:DJ34))),"")</f>
        <v/>
      </c>
      <c r="DK266" s="166" t="str">
        <f t="shared" si="129"/>
        <v/>
      </c>
      <c r="DL266" s="164" t="str">
        <f>IFERROR(INDEX(DE$233:DE$281,_xlfn.AGGREGATE(15,6,(ROW(DE$233:DE$281)-ROW(DE$233)+1)/(DE$233:DE$281&lt;&gt;""),ROWS(DL$1:DL34))),"")</f>
        <v/>
      </c>
      <c r="DM266" s="165" t="str">
        <f>IFERROR(INDEX(DF$233:DF$281,_xlfn.AGGREGATE(15,6,(ROW(DF$233:DF$281)-ROW(DF$233)+1)/(DF$233:DF$281&lt;&gt;""),ROWS(DM$1:DM34))),"")</f>
        <v/>
      </c>
      <c r="DN266" s="166" t="str">
        <f t="shared" si="130"/>
        <v/>
      </c>
      <c r="DO266" s="164" t="str">
        <f>IFERROR(INDEX(DG$233:DG$281,_xlfn.AGGREGATE(15,6,(ROW(DG$233:DG$281)-ROW(DG$233)+1)/(DG$233:DG$281&lt;&gt;""),ROWS(DO$1:DO34))),"")</f>
        <v/>
      </c>
      <c r="DP266" s="165" t="str">
        <f>IFERROR(INDEX(DH$233:DH$281,_xlfn.AGGREGATE(15,6,(ROW(DH$233:DH$281)-ROW(DH$233)+1)/(DH$233:DH$281&lt;&gt;""),ROWS(DP$1:DP34))),"")</f>
        <v/>
      </c>
      <c r="DQ266" s="166" t="str">
        <f t="shared" si="131"/>
        <v/>
      </c>
      <c r="DV266" s="145">
        <v>2048</v>
      </c>
      <c r="DW266" s="235" t="e">
        <f t="shared" ca="1" si="115"/>
        <v>#REF!</v>
      </c>
      <c r="EA266" s="55"/>
      <c r="EB266" s="55"/>
      <c r="EC266" s="55"/>
      <c r="ED266" s="55"/>
      <c r="EE266" s="55"/>
    </row>
    <row r="267" spans="2:135" ht="13.8" x14ac:dyDescent="0.45">
      <c r="B267" s="128">
        <v>2046</v>
      </c>
      <c r="C267" s="1047"/>
      <c r="D267" s="1050"/>
      <c r="E267" s="1060"/>
      <c r="F267" s="1051"/>
      <c r="G267" s="1052"/>
      <c r="H267" s="1036"/>
      <c r="I267" s="1112"/>
      <c r="J267" s="247"/>
      <c r="K267" s="245"/>
      <c r="L267" s="246"/>
      <c r="M267" s="245"/>
      <c r="N267" s="29" t="s">
        <v>119</v>
      </c>
      <c r="O267" s="120"/>
      <c r="P267" s="120"/>
      <c r="Q267" s="120"/>
      <c r="R267" s="29">
        <v>32</v>
      </c>
      <c r="S267" s="238" t="str">
        <f t="shared" si="149"/>
        <v/>
      </c>
      <c r="T267" s="238" t="str">
        <f t="shared" si="150"/>
        <v/>
      </c>
      <c r="U267" s="238" t="str">
        <f t="shared" si="151"/>
        <v/>
      </c>
      <c r="W267" s="238" t="e">
        <f t="shared" si="119"/>
        <v>#N/A</v>
      </c>
      <c r="X267" s="238" t="e">
        <f t="shared" si="152"/>
        <v>#N/A</v>
      </c>
      <c r="Y267" s="238" t="e">
        <f t="shared" si="121"/>
        <v>#N/A</v>
      </c>
      <c r="AA267" s="1133">
        <v>1267.3522831050243</v>
      </c>
      <c r="AB267" s="1133">
        <v>1434.9819015996841</v>
      </c>
      <c r="AC267" s="1133">
        <v>1602.6115200943439</v>
      </c>
      <c r="AD267" s="89"/>
      <c r="AE267" s="89"/>
      <c r="AF267" s="89"/>
      <c r="AG267" s="89"/>
      <c r="AH267" s="89"/>
      <c r="AI267" s="89"/>
      <c r="AJ267" s="89"/>
      <c r="AK267" s="89"/>
      <c r="AL267" s="89"/>
      <c r="AM267" s="89"/>
      <c r="AN267" s="89"/>
      <c r="BR267" s="180">
        <v>2044</v>
      </c>
      <c r="BS267" s="22">
        <v>30</v>
      </c>
      <c r="BT267" s="181" t="e">
        <f t="shared" si="132"/>
        <v>#DIV/0!</v>
      </c>
      <c r="BU267" s="182" t="e">
        <f t="shared" si="133"/>
        <v>#DIV/0!</v>
      </c>
      <c r="BV267" s="205" t="e">
        <f t="shared" si="134"/>
        <v>#DIV/0!</v>
      </c>
      <c r="BY267" s="180">
        <v>2044</v>
      </c>
      <c r="BZ267" s="22">
        <v>30</v>
      </c>
      <c r="CA267" s="181" t="e">
        <f t="shared" ca="1" si="135"/>
        <v>#REF!</v>
      </c>
      <c r="CB267" s="181" t="e">
        <f t="shared" ca="1" si="136"/>
        <v>#REF!</v>
      </c>
      <c r="CC267" s="182" t="e">
        <f t="shared" ca="1" si="137"/>
        <v>#REF!</v>
      </c>
      <c r="CD267" s="205" t="e">
        <f t="shared" ca="1" si="138"/>
        <v>#REF!</v>
      </c>
      <c r="CG267" s="180">
        <v>2044</v>
      </c>
      <c r="CH267" s="22">
        <v>30</v>
      </c>
      <c r="CI267" s="181" t="e">
        <f t="shared" ca="1" si="139"/>
        <v>#REF!</v>
      </c>
      <c r="CJ267" s="181" t="e">
        <f t="shared" ca="1" si="140"/>
        <v>#REF!</v>
      </c>
      <c r="CK267" s="181" t="e">
        <f t="shared" ca="1" si="141"/>
        <v>#REF!</v>
      </c>
      <c r="CL267" s="182" t="e">
        <f t="shared" ca="1" si="142"/>
        <v>#REF!</v>
      </c>
      <c r="CM267" s="205" t="e">
        <f t="shared" ca="1" si="143"/>
        <v>#REF!</v>
      </c>
      <c r="CP267" s="180">
        <v>2044</v>
      </c>
      <c r="CQ267" s="22">
        <v>30</v>
      </c>
      <c r="CR267" s="181" t="e">
        <f t="shared" ca="1" si="144"/>
        <v>#REF!</v>
      </c>
      <c r="CS267" s="182" t="e">
        <f t="shared" ca="1" si="145"/>
        <v>#REF!</v>
      </c>
      <c r="CT267" s="205" t="e">
        <f t="shared" ca="1" si="146"/>
        <v>#REF!</v>
      </c>
      <c r="CZ267" s="164" t="b">
        <f t="shared" si="122"/>
        <v>0</v>
      </c>
      <c r="DA267" s="165" t="b">
        <f t="shared" si="122"/>
        <v>0</v>
      </c>
      <c r="DB267" s="166" t="b">
        <f t="shared" si="122"/>
        <v>0</v>
      </c>
      <c r="DC267" s="164" t="str">
        <f t="shared" si="123"/>
        <v/>
      </c>
      <c r="DD267" s="166" t="str">
        <f t="shared" si="124"/>
        <v/>
      </c>
      <c r="DE267" s="164" t="str">
        <f t="shared" si="125"/>
        <v/>
      </c>
      <c r="DF267" s="166" t="str">
        <f t="shared" si="126"/>
        <v/>
      </c>
      <c r="DG267" s="164" t="str">
        <f t="shared" si="127"/>
        <v/>
      </c>
      <c r="DH267" s="166" t="str">
        <f t="shared" si="128"/>
        <v/>
      </c>
      <c r="DI267" s="164" t="str">
        <f>IFERROR(INDEX(DC$233:DC$281,_xlfn.AGGREGATE(15,6,(ROW(DC$233:DC$281)-ROW(DC$233)+1)/(DC$233:DC$281&lt;&gt;""),ROWS(DI$1:DI35))),"")</f>
        <v/>
      </c>
      <c r="DJ267" s="165" t="str">
        <f>IFERROR(INDEX(DD$233:DD$281,_xlfn.AGGREGATE(15,6,(ROW(DD$233:DD$281)-ROW(DD$233)+1)/(DD$233:DD$281&lt;&gt;""),ROWS(DJ$1:DJ35))),"")</f>
        <v/>
      </c>
      <c r="DK267" s="166" t="str">
        <f t="shared" si="129"/>
        <v/>
      </c>
      <c r="DL267" s="164" t="str">
        <f>IFERROR(INDEX(DE$233:DE$281,_xlfn.AGGREGATE(15,6,(ROW(DE$233:DE$281)-ROW(DE$233)+1)/(DE$233:DE$281&lt;&gt;""),ROWS(DL$1:DL35))),"")</f>
        <v/>
      </c>
      <c r="DM267" s="165" t="str">
        <f>IFERROR(INDEX(DF$233:DF$281,_xlfn.AGGREGATE(15,6,(ROW(DF$233:DF$281)-ROW(DF$233)+1)/(DF$233:DF$281&lt;&gt;""),ROWS(DM$1:DM35))),"")</f>
        <v/>
      </c>
      <c r="DN267" s="166" t="str">
        <f t="shared" si="130"/>
        <v/>
      </c>
      <c r="DO267" s="164" t="str">
        <f>IFERROR(INDEX(DG$233:DG$281,_xlfn.AGGREGATE(15,6,(ROW(DG$233:DG$281)-ROW(DG$233)+1)/(DG$233:DG$281&lt;&gt;""),ROWS(DO$1:DO35))),"")</f>
        <v/>
      </c>
      <c r="DP267" s="165" t="str">
        <f>IFERROR(INDEX(DH$233:DH$281,_xlfn.AGGREGATE(15,6,(ROW(DH$233:DH$281)-ROW(DH$233)+1)/(DH$233:DH$281&lt;&gt;""),ROWS(DP$1:DP35))),"")</f>
        <v/>
      </c>
      <c r="DQ267" s="166" t="str">
        <f t="shared" si="131"/>
        <v/>
      </c>
      <c r="DV267" s="145">
        <v>2049</v>
      </c>
      <c r="DW267" s="235" t="e">
        <f t="shared" ca="1" si="115"/>
        <v>#REF!</v>
      </c>
      <c r="EA267" s="55"/>
      <c r="EB267" s="55"/>
      <c r="EC267" s="55"/>
      <c r="ED267" s="55"/>
      <c r="EE267" s="55"/>
    </row>
    <row r="268" spans="2:135" ht="13.8" x14ac:dyDescent="0.45">
      <c r="B268" s="128">
        <v>2047</v>
      </c>
      <c r="C268" s="1047"/>
      <c r="D268" s="1050"/>
      <c r="E268" s="1060"/>
      <c r="F268" s="1051"/>
      <c r="G268" s="1052"/>
      <c r="H268" s="1036"/>
      <c r="I268" s="1112"/>
      <c r="J268" s="247"/>
      <c r="K268" s="245"/>
      <c r="L268" s="246"/>
      <c r="M268" s="245"/>
      <c r="N268" s="29" t="s">
        <v>119</v>
      </c>
      <c r="O268" s="120"/>
      <c r="P268" s="120"/>
      <c r="Q268" s="120"/>
      <c r="R268" s="29">
        <v>33</v>
      </c>
      <c r="S268" s="238" t="str">
        <f t="shared" si="149"/>
        <v/>
      </c>
      <c r="T268" s="238" t="str">
        <f t="shared" si="150"/>
        <v/>
      </c>
      <c r="U268" s="238" t="str">
        <f t="shared" si="151"/>
        <v/>
      </c>
      <c r="W268" s="238" t="e">
        <f t="shared" si="119"/>
        <v>#N/A</v>
      </c>
      <c r="X268" s="238" t="e">
        <f t="shared" si="152"/>
        <v>#N/A</v>
      </c>
      <c r="Y268" s="238" t="e">
        <f t="shared" si="121"/>
        <v>#N/A</v>
      </c>
      <c r="AA268" s="1133">
        <v>1283.6012557077652</v>
      </c>
      <c r="AB268" s="1133">
        <v>1449.6776843747739</v>
      </c>
      <c r="AC268" s="1133">
        <v>1615.7541130417826</v>
      </c>
      <c r="AD268" s="89"/>
      <c r="AE268" s="89"/>
      <c r="AF268" s="89"/>
      <c r="AG268" s="89"/>
      <c r="AH268" s="89"/>
      <c r="AI268" s="89"/>
      <c r="AJ268" s="89"/>
      <c r="AK268" s="89"/>
      <c r="AL268" s="89"/>
      <c r="AM268" s="89"/>
      <c r="AN268" s="89"/>
      <c r="BR268" s="180">
        <v>2045</v>
      </c>
      <c r="BS268" s="22">
        <v>31</v>
      </c>
      <c r="BT268" s="181" t="e">
        <f t="shared" si="132"/>
        <v>#DIV/0!</v>
      </c>
      <c r="BU268" s="182" t="e">
        <f t="shared" si="133"/>
        <v>#DIV/0!</v>
      </c>
      <c r="BV268" s="205" t="e">
        <f t="shared" si="134"/>
        <v>#DIV/0!</v>
      </c>
      <c r="BY268" s="180">
        <v>2045</v>
      </c>
      <c r="BZ268" s="22">
        <v>31</v>
      </c>
      <c r="CA268" s="181" t="e">
        <f t="shared" ca="1" si="135"/>
        <v>#REF!</v>
      </c>
      <c r="CB268" s="181" t="e">
        <f t="shared" ca="1" si="136"/>
        <v>#REF!</v>
      </c>
      <c r="CC268" s="182" t="e">
        <f t="shared" ca="1" si="137"/>
        <v>#REF!</v>
      </c>
      <c r="CD268" s="205" t="e">
        <f t="shared" ca="1" si="138"/>
        <v>#REF!</v>
      </c>
      <c r="CG268" s="180">
        <v>2045</v>
      </c>
      <c r="CH268" s="22">
        <v>31</v>
      </c>
      <c r="CI268" s="181" t="e">
        <f t="shared" ca="1" si="139"/>
        <v>#REF!</v>
      </c>
      <c r="CJ268" s="181" t="e">
        <f t="shared" ca="1" si="140"/>
        <v>#REF!</v>
      </c>
      <c r="CK268" s="181" t="e">
        <f t="shared" ca="1" si="141"/>
        <v>#REF!</v>
      </c>
      <c r="CL268" s="182" t="e">
        <f t="shared" ca="1" si="142"/>
        <v>#REF!</v>
      </c>
      <c r="CM268" s="205" t="e">
        <f t="shared" ca="1" si="143"/>
        <v>#REF!</v>
      </c>
      <c r="CP268" s="180">
        <v>2045</v>
      </c>
      <c r="CQ268" s="22">
        <v>31</v>
      </c>
      <c r="CR268" s="181" t="e">
        <f t="shared" ca="1" si="144"/>
        <v>#REF!</v>
      </c>
      <c r="CS268" s="182" t="e">
        <f t="shared" ca="1" si="145"/>
        <v>#REF!</v>
      </c>
      <c r="CT268" s="205" t="e">
        <f t="shared" ca="1" si="146"/>
        <v>#REF!</v>
      </c>
      <c r="CZ268" s="164" t="b">
        <f t="shared" si="122"/>
        <v>0</v>
      </c>
      <c r="DA268" s="165" t="b">
        <f t="shared" si="122"/>
        <v>0</v>
      </c>
      <c r="DB268" s="166" t="b">
        <f t="shared" si="122"/>
        <v>0</v>
      </c>
      <c r="DC268" s="164" t="str">
        <f t="shared" si="123"/>
        <v/>
      </c>
      <c r="DD268" s="166" t="str">
        <f t="shared" si="124"/>
        <v/>
      </c>
      <c r="DE268" s="164" t="str">
        <f t="shared" si="125"/>
        <v/>
      </c>
      <c r="DF268" s="166" t="str">
        <f t="shared" si="126"/>
        <v/>
      </c>
      <c r="DG268" s="164" t="str">
        <f t="shared" si="127"/>
        <v/>
      </c>
      <c r="DH268" s="166" t="str">
        <f t="shared" si="128"/>
        <v/>
      </c>
      <c r="DI268" s="164" t="str">
        <f>IFERROR(INDEX(DC$233:DC$281,_xlfn.AGGREGATE(15,6,(ROW(DC$233:DC$281)-ROW(DC$233)+1)/(DC$233:DC$281&lt;&gt;""),ROWS(DI$1:DI36))),"")</f>
        <v/>
      </c>
      <c r="DJ268" s="165" t="str">
        <f>IFERROR(INDEX(DD$233:DD$281,_xlfn.AGGREGATE(15,6,(ROW(DD$233:DD$281)-ROW(DD$233)+1)/(DD$233:DD$281&lt;&gt;""),ROWS(DJ$1:DJ36))),"")</f>
        <v/>
      </c>
      <c r="DK268" s="166" t="str">
        <f t="shared" si="129"/>
        <v/>
      </c>
      <c r="DL268" s="164" t="str">
        <f>IFERROR(INDEX(DE$233:DE$281,_xlfn.AGGREGATE(15,6,(ROW(DE$233:DE$281)-ROW(DE$233)+1)/(DE$233:DE$281&lt;&gt;""),ROWS(DL$1:DL36))),"")</f>
        <v/>
      </c>
      <c r="DM268" s="165" t="str">
        <f>IFERROR(INDEX(DF$233:DF$281,_xlfn.AGGREGATE(15,6,(ROW(DF$233:DF$281)-ROW(DF$233)+1)/(DF$233:DF$281&lt;&gt;""),ROWS(DM$1:DM36))),"")</f>
        <v/>
      </c>
      <c r="DN268" s="166" t="str">
        <f t="shared" si="130"/>
        <v/>
      </c>
      <c r="DO268" s="164" t="str">
        <f>IFERROR(INDEX(DG$233:DG$281,_xlfn.AGGREGATE(15,6,(ROW(DG$233:DG$281)-ROW(DG$233)+1)/(DG$233:DG$281&lt;&gt;""),ROWS(DO$1:DO36))),"")</f>
        <v/>
      </c>
      <c r="DP268" s="165" t="str">
        <f>IFERROR(INDEX(DH$233:DH$281,_xlfn.AGGREGATE(15,6,(ROW(DH$233:DH$281)-ROW(DH$233)+1)/(DH$233:DH$281&lt;&gt;""),ROWS(DP$1:DP36))),"")</f>
        <v/>
      </c>
      <c r="DQ268" s="166" t="str">
        <f t="shared" si="131"/>
        <v/>
      </c>
      <c r="DV268" s="145">
        <v>2050</v>
      </c>
      <c r="DW268" s="235" t="e">
        <f t="shared" ca="1" si="115"/>
        <v>#REF!</v>
      </c>
      <c r="EA268" s="55"/>
      <c r="EB268" s="55"/>
      <c r="EC268" s="55"/>
      <c r="ED268" s="55"/>
      <c r="EE268" s="55"/>
    </row>
    <row r="269" spans="2:135" ht="13.8" x14ac:dyDescent="0.45">
      <c r="B269" s="128">
        <v>2048</v>
      </c>
      <c r="C269" s="1047"/>
      <c r="D269" s="1050"/>
      <c r="E269" s="1060"/>
      <c r="F269" s="1051"/>
      <c r="G269" s="1052"/>
      <c r="H269" s="1036"/>
      <c r="I269" s="1112"/>
      <c r="J269" s="247"/>
      <c r="K269" s="245"/>
      <c r="L269" s="246"/>
      <c r="M269" s="245"/>
      <c r="N269" s="29" t="s">
        <v>119</v>
      </c>
      <c r="O269" s="120"/>
      <c r="P269" s="120"/>
      <c r="Q269" s="120"/>
      <c r="R269" s="29">
        <v>34</v>
      </c>
      <c r="S269" s="238" t="str">
        <f t="shared" si="149"/>
        <v/>
      </c>
      <c r="T269" s="238" t="str">
        <f t="shared" si="150"/>
        <v/>
      </c>
      <c r="U269" s="238" t="str">
        <f t="shared" si="151"/>
        <v/>
      </c>
      <c r="W269" s="238" t="e">
        <f t="shared" si="119"/>
        <v>#N/A</v>
      </c>
      <c r="X269" s="238" t="e">
        <f t="shared" si="152"/>
        <v>#N/A</v>
      </c>
      <c r="Y269" s="238" t="e">
        <f t="shared" si="121"/>
        <v>#N/A</v>
      </c>
      <c r="AA269" s="1133">
        <v>1299.8502283105038</v>
      </c>
      <c r="AB269" s="1133">
        <v>1464.0691130192936</v>
      </c>
      <c r="AC269" s="1133">
        <v>1628.2879977280834</v>
      </c>
      <c r="AD269" s="89"/>
      <c r="AE269" s="89"/>
      <c r="AF269" s="89"/>
      <c r="AG269" s="89"/>
      <c r="AH269" s="89"/>
      <c r="AI269" s="89"/>
      <c r="AJ269" s="89"/>
      <c r="AK269" s="89"/>
      <c r="AL269" s="89"/>
      <c r="AM269" s="89"/>
      <c r="AN269" s="89"/>
      <c r="BR269" s="180">
        <v>2046</v>
      </c>
      <c r="BS269" s="22">
        <v>32</v>
      </c>
      <c r="BT269" s="181" t="e">
        <f t="shared" si="132"/>
        <v>#DIV/0!</v>
      </c>
      <c r="BU269" s="182" t="e">
        <f t="shared" si="133"/>
        <v>#DIV/0!</v>
      </c>
      <c r="BV269" s="205" t="e">
        <f t="shared" si="134"/>
        <v>#DIV/0!</v>
      </c>
      <c r="BY269" s="180">
        <v>2046</v>
      </c>
      <c r="BZ269" s="22">
        <v>32</v>
      </c>
      <c r="CA269" s="181" t="e">
        <f t="shared" ca="1" si="135"/>
        <v>#REF!</v>
      </c>
      <c r="CB269" s="181" t="e">
        <f t="shared" ca="1" si="136"/>
        <v>#REF!</v>
      </c>
      <c r="CC269" s="182" t="e">
        <f t="shared" ca="1" si="137"/>
        <v>#REF!</v>
      </c>
      <c r="CD269" s="205" t="e">
        <f t="shared" ca="1" si="138"/>
        <v>#REF!</v>
      </c>
      <c r="CG269" s="180">
        <v>2046</v>
      </c>
      <c r="CH269" s="22">
        <v>32</v>
      </c>
      <c r="CI269" s="181" t="e">
        <f t="shared" ca="1" si="139"/>
        <v>#REF!</v>
      </c>
      <c r="CJ269" s="181" t="e">
        <f t="shared" ca="1" si="140"/>
        <v>#REF!</v>
      </c>
      <c r="CK269" s="181" t="e">
        <f t="shared" ca="1" si="141"/>
        <v>#REF!</v>
      </c>
      <c r="CL269" s="182" t="e">
        <f t="shared" ca="1" si="142"/>
        <v>#REF!</v>
      </c>
      <c r="CM269" s="205" t="e">
        <f t="shared" ca="1" si="143"/>
        <v>#REF!</v>
      </c>
      <c r="CP269" s="180">
        <v>2046</v>
      </c>
      <c r="CQ269" s="22">
        <v>32</v>
      </c>
      <c r="CR269" s="181" t="e">
        <f t="shared" ca="1" si="144"/>
        <v>#REF!</v>
      </c>
      <c r="CS269" s="182" t="e">
        <f t="shared" ca="1" si="145"/>
        <v>#REF!</v>
      </c>
      <c r="CT269" s="205" t="e">
        <f t="shared" ca="1" si="146"/>
        <v>#REF!</v>
      </c>
      <c r="CZ269" s="164" t="b">
        <f t="shared" si="122"/>
        <v>0</v>
      </c>
      <c r="DA269" s="165" t="b">
        <f t="shared" si="122"/>
        <v>0</v>
      </c>
      <c r="DB269" s="166" t="b">
        <f t="shared" si="122"/>
        <v>0</v>
      </c>
      <c r="DC269" s="164" t="str">
        <f t="shared" si="123"/>
        <v/>
      </c>
      <c r="DD269" s="166" t="str">
        <f t="shared" si="124"/>
        <v/>
      </c>
      <c r="DE269" s="164" t="str">
        <f t="shared" si="125"/>
        <v/>
      </c>
      <c r="DF269" s="166" t="str">
        <f t="shared" si="126"/>
        <v/>
      </c>
      <c r="DG269" s="164" t="str">
        <f t="shared" si="127"/>
        <v/>
      </c>
      <c r="DH269" s="166" t="str">
        <f t="shared" si="128"/>
        <v/>
      </c>
      <c r="DI269" s="164" t="str">
        <f>IFERROR(INDEX(DC$233:DC$281,_xlfn.AGGREGATE(15,6,(ROW(DC$233:DC$281)-ROW(DC$233)+1)/(DC$233:DC$281&lt;&gt;""),ROWS(DI$1:DI37))),"")</f>
        <v/>
      </c>
      <c r="DJ269" s="165" t="str">
        <f>IFERROR(INDEX(DD$233:DD$281,_xlfn.AGGREGATE(15,6,(ROW(DD$233:DD$281)-ROW(DD$233)+1)/(DD$233:DD$281&lt;&gt;""),ROWS(DJ$1:DJ37))),"")</f>
        <v/>
      </c>
      <c r="DK269" s="166" t="str">
        <f t="shared" si="129"/>
        <v/>
      </c>
      <c r="DL269" s="164" t="str">
        <f>IFERROR(INDEX(DE$233:DE$281,_xlfn.AGGREGATE(15,6,(ROW(DE$233:DE$281)-ROW(DE$233)+1)/(DE$233:DE$281&lt;&gt;""),ROWS(DL$1:DL37))),"")</f>
        <v/>
      </c>
      <c r="DM269" s="165" t="str">
        <f>IFERROR(INDEX(DF$233:DF$281,_xlfn.AGGREGATE(15,6,(ROW(DF$233:DF$281)-ROW(DF$233)+1)/(DF$233:DF$281&lt;&gt;""),ROWS(DM$1:DM37))),"")</f>
        <v/>
      </c>
      <c r="DN269" s="166" t="str">
        <f t="shared" si="130"/>
        <v/>
      </c>
      <c r="DO269" s="164" t="str">
        <f>IFERROR(INDEX(DG$233:DG$281,_xlfn.AGGREGATE(15,6,(ROW(DG$233:DG$281)-ROW(DG$233)+1)/(DG$233:DG$281&lt;&gt;""),ROWS(DO$1:DO37))),"")</f>
        <v/>
      </c>
      <c r="DP269" s="165" t="str">
        <f>IFERROR(INDEX(DH$233:DH$281,_xlfn.AGGREGATE(15,6,(ROW(DH$233:DH$281)-ROW(DH$233)+1)/(DH$233:DH$281&lt;&gt;""),ROWS(DP$1:DP37))),"")</f>
        <v/>
      </c>
      <c r="DQ269" s="166" t="str">
        <f t="shared" si="131"/>
        <v/>
      </c>
      <c r="DV269" s="145">
        <v>2051</v>
      </c>
      <c r="DW269" s="235" t="e">
        <f t="shared" ca="1" si="115"/>
        <v>#REF!</v>
      </c>
      <c r="EA269" s="55"/>
      <c r="EB269" s="55"/>
      <c r="EC269" s="55"/>
      <c r="ED269" s="55"/>
      <c r="EE269" s="55"/>
    </row>
    <row r="270" spans="2:135" ht="13.8" x14ac:dyDescent="0.45">
      <c r="B270" s="128">
        <v>2049</v>
      </c>
      <c r="C270" s="1047"/>
      <c r="D270" s="1050"/>
      <c r="E270" s="1060"/>
      <c r="F270" s="1051"/>
      <c r="G270" s="1052"/>
      <c r="H270" s="1036"/>
      <c r="I270" s="1112"/>
      <c r="J270" s="247"/>
      <c r="K270" s="245"/>
      <c r="L270" s="246"/>
      <c r="M270" s="245"/>
      <c r="N270" s="29" t="s">
        <v>119</v>
      </c>
      <c r="O270" s="120"/>
      <c r="P270" s="120"/>
      <c r="Q270" s="120"/>
      <c r="R270" s="29">
        <v>35</v>
      </c>
      <c r="S270" s="238" t="str">
        <f t="shared" si="149"/>
        <v/>
      </c>
      <c r="T270" s="238" t="str">
        <f t="shared" si="150"/>
        <v/>
      </c>
      <c r="U270" s="238" t="str">
        <f t="shared" si="151"/>
        <v/>
      </c>
      <c r="W270" s="238" t="e">
        <f t="shared" si="119"/>
        <v>#N/A</v>
      </c>
      <c r="X270" s="238" t="e">
        <f t="shared" si="152"/>
        <v>#N/A</v>
      </c>
      <c r="Y270" s="238" t="e">
        <f t="shared" si="121"/>
        <v>#N/A</v>
      </c>
      <c r="AA270" s="1133">
        <v>1316.0992009132426</v>
      </c>
      <c r="AB270" s="1133">
        <v>1478.1577069457985</v>
      </c>
      <c r="AC270" s="1133">
        <v>1640.2162129783544</v>
      </c>
      <c r="AD270" s="89"/>
      <c r="AE270" s="89"/>
      <c r="AF270" s="89"/>
      <c r="AG270" s="89"/>
      <c r="AH270" s="89"/>
      <c r="AI270" s="89"/>
      <c r="AJ270" s="89"/>
      <c r="AK270" s="89"/>
      <c r="AL270" s="89"/>
      <c r="AM270" s="89"/>
      <c r="AN270" s="89"/>
      <c r="BR270" s="180">
        <v>2047</v>
      </c>
      <c r="BS270" s="22">
        <v>33</v>
      </c>
      <c r="BT270" s="181" t="e">
        <f t="shared" si="132"/>
        <v>#DIV/0!</v>
      </c>
      <c r="BU270" s="182" t="e">
        <f t="shared" si="133"/>
        <v>#DIV/0!</v>
      </c>
      <c r="BV270" s="205" t="e">
        <f t="shared" si="134"/>
        <v>#DIV/0!</v>
      </c>
      <c r="BY270" s="180">
        <v>2047</v>
      </c>
      <c r="BZ270" s="22">
        <v>33</v>
      </c>
      <c r="CA270" s="181" t="e">
        <f t="shared" ca="1" si="135"/>
        <v>#REF!</v>
      </c>
      <c r="CB270" s="181" t="e">
        <f t="shared" ca="1" si="136"/>
        <v>#REF!</v>
      </c>
      <c r="CC270" s="182" t="e">
        <f t="shared" ca="1" si="137"/>
        <v>#REF!</v>
      </c>
      <c r="CD270" s="205" t="e">
        <f t="shared" ca="1" si="138"/>
        <v>#REF!</v>
      </c>
      <c r="CG270" s="180">
        <v>2047</v>
      </c>
      <c r="CH270" s="22">
        <v>33</v>
      </c>
      <c r="CI270" s="181" t="e">
        <f t="shared" ca="1" si="139"/>
        <v>#REF!</v>
      </c>
      <c r="CJ270" s="181" t="e">
        <f t="shared" ca="1" si="140"/>
        <v>#REF!</v>
      </c>
      <c r="CK270" s="181" t="e">
        <f t="shared" ca="1" si="141"/>
        <v>#REF!</v>
      </c>
      <c r="CL270" s="182" t="e">
        <f t="shared" ca="1" si="142"/>
        <v>#REF!</v>
      </c>
      <c r="CM270" s="205" t="e">
        <f t="shared" ca="1" si="143"/>
        <v>#REF!</v>
      </c>
      <c r="CP270" s="180">
        <v>2047</v>
      </c>
      <c r="CQ270" s="22">
        <v>33</v>
      </c>
      <c r="CR270" s="181" t="e">
        <f t="shared" ca="1" si="144"/>
        <v>#REF!</v>
      </c>
      <c r="CS270" s="182" t="e">
        <f t="shared" ca="1" si="145"/>
        <v>#REF!</v>
      </c>
      <c r="CT270" s="205" t="e">
        <f t="shared" ca="1" si="146"/>
        <v>#REF!</v>
      </c>
      <c r="CZ270" s="164" t="b">
        <f t="shared" si="122"/>
        <v>0</v>
      </c>
      <c r="DA270" s="165" t="b">
        <f t="shared" si="122"/>
        <v>0</v>
      </c>
      <c r="DB270" s="166" t="b">
        <f t="shared" si="122"/>
        <v>0</v>
      </c>
      <c r="DC270" s="164" t="str">
        <f t="shared" si="123"/>
        <v/>
      </c>
      <c r="DD270" s="166" t="str">
        <f t="shared" si="124"/>
        <v/>
      </c>
      <c r="DE270" s="164" t="str">
        <f t="shared" si="125"/>
        <v/>
      </c>
      <c r="DF270" s="166" t="str">
        <f t="shared" si="126"/>
        <v/>
      </c>
      <c r="DG270" s="164" t="str">
        <f t="shared" si="127"/>
        <v/>
      </c>
      <c r="DH270" s="166" t="str">
        <f t="shared" si="128"/>
        <v/>
      </c>
      <c r="DI270" s="164" t="str">
        <f>IFERROR(INDEX(DC$233:DC$281,_xlfn.AGGREGATE(15,6,(ROW(DC$233:DC$281)-ROW(DC$233)+1)/(DC$233:DC$281&lt;&gt;""),ROWS(DI$1:DI38))),"")</f>
        <v/>
      </c>
      <c r="DJ270" s="165" t="str">
        <f>IFERROR(INDEX(DD$233:DD$281,_xlfn.AGGREGATE(15,6,(ROW(DD$233:DD$281)-ROW(DD$233)+1)/(DD$233:DD$281&lt;&gt;""),ROWS(DJ$1:DJ38))),"")</f>
        <v/>
      </c>
      <c r="DK270" s="166" t="str">
        <f t="shared" si="129"/>
        <v/>
      </c>
      <c r="DL270" s="164" t="str">
        <f>IFERROR(INDEX(DE$233:DE$281,_xlfn.AGGREGATE(15,6,(ROW(DE$233:DE$281)-ROW(DE$233)+1)/(DE$233:DE$281&lt;&gt;""),ROWS(DL$1:DL38))),"")</f>
        <v/>
      </c>
      <c r="DM270" s="165" t="str">
        <f>IFERROR(INDEX(DF$233:DF$281,_xlfn.AGGREGATE(15,6,(ROW(DF$233:DF$281)-ROW(DF$233)+1)/(DF$233:DF$281&lt;&gt;""),ROWS(DM$1:DM38))),"")</f>
        <v/>
      </c>
      <c r="DN270" s="166" t="str">
        <f t="shared" si="130"/>
        <v/>
      </c>
      <c r="DO270" s="164" t="str">
        <f>IFERROR(INDEX(DG$233:DG$281,_xlfn.AGGREGATE(15,6,(ROW(DG$233:DG$281)-ROW(DG$233)+1)/(DG$233:DG$281&lt;&gt;""),ROWS(DO$1:DO38))),"")</f>
        <v/>
      </c>
      <c r="DP270" s="165" t="str">
        <f>IFERROR(INDEX(DH$233:DH$281,_xlfn.AGGREGATE(15,6,(ROW(DH$233:DH$281)-ROW(DH$233)+1)/(DH$233:DH$281&lt;&gt;""),ROWS(DP$1:DP38))),"")</f>
        <v/>
      </c>
      <c r="DQ270" s="166" t="str">
        <f t="shared" si="131"/>
        <v/>
      </c>
      <c r="DV270" s="145">
        <v>2052</v>
      </c>
      <c r="DW270" s="235" t="e">
        <f t="shared" ca="1" si="115"/>
        <v>#REF!</v>
      </c>
      <c r="EA270" s="55"/>
      <c r="EB270" s="55"/>
      <c r="EC270" s="55"/>
      <c r="ED270" s="55"/>
      <c r="EE270" s="55"/>
    </row>
    <row r="271" spans="2:135" ht="13.8" x14ac:dyDescent="0.45">
      <c r="B271" s="128">
        <v>2050</v>
      </c>
      <c r="C271" s="1047"/>
      <c r="D271" s="1050"/>
      <c r="E271" s="1060"/>
      <c r="F271" s="1051"/>
      <c r="G271" s="1052"/>
      <c r="H271" s="1036"/>
      <c r="I271" s="1112"/>
      <c r="J271" s="247"/>
      <c r="K271" s="245"/>
      <c r="L271" s="246"/>
      <c r="M271" s="245"/>
      <c r="N271" s="29" t="s">
        <v>119</v>
      </c>
      <c r="O271" s="120"/>
      <c r="P271" s="120"/>
      <c r="Q271" s="120"/>
      <c r="R271" s="29">
        <v>36</v>
      </c>
      <c r="S271" s="238" t="str">
        <f t="shared" si="149"/>
        <v/>
      </c>
      <c r="T271" s="238" t="str">
        <f t="shared" si="150"/>
        <v/>
      </c>
      <c r="U271" s="238" t="str">
        <f t="shared" si="151"/>
        <v/>
      </c>
      <c r="W271" s="238" t="e">
        <f t="shared" si="119"/>
        <v>#N/A</v>
      </c>
      <c r="X271" s="238" t="e">
        <f t="shared" si="152"/>
        <v>#N/A</v>
      </c>
      <c r="Y271" s="238" t="e">
        <f t="shared" si="121"/>
        <v>#N/A</v>
      </c>
      <c r="AA271" s="1133">
        <v>1324.7999999999988</v>
      </c>
      <c r="AB271" s="1133">
        <v>1488.1708988088521</v>
      </c>
      <c r="AC271" s="1133">
        <v>1651.5417976177055</v>
      </c>
      <c r="AD271" s="89"/>
      <c r="AE271" s="89"/>
      <c r="AF271" s="89"/>
      <c r="AG271" s="89"/>
      <c r="AH271" s="89"/>
      <c r="AI271" s="89"/>
      <c r="AJ271" s="89"/>
      <c r="AK271" s="89"/>
      <c r="AL271" s="89"/>
      <c r="AM271" s="89"/>
      <c r="AN271" s="89"/>
      <c r="BR271" s="180">
        <v>2048</v>
      </c>
      <c r="BS271" s="22">
        <v>34</v>
      </c>
      <c r="BT271" s="181" t="e">
        <f t="shared" si="132"/>
        <v>#DIV/0!</v>
      </c>
      <c r="BU271" s="182" t="e">
        <f t="shared" si="133"/>
        <v>#DIV/0!</v>
      </c>
      <c r="BV271" s="205" t="e">
        <f t="shared" si="134"/>
        <v>#DIV/0!</v>
      </c>
      <c r="BY271" s="180">
        <v>2048</v>
      </c>
      <c r="BZ271" s="22">
        <v>34</v>
      </c>
      <c r="CA271" s="181" t="e">
        <f t="shared" ca="1" si="135"/>
        <v>#REF!</v>
      </c>
      <c r="CB271" s="181" t="e">
        <f t="shared" ca="1" si="136"/>
        <v>#REF!</v>
      </c>
      <c r="CC271" s="182" t="e">
        <f t="shared" ca="1" si="137"/>
        <v>#REF!</v>
      </c>
      <c r="CD271" s="205" t="e">
        <f t="shared" ca="1" si="138"/>
        <v>#REF!</v>
      </c>
      <c r="CG271" s="180">
        <v>2048</v>
      </c>
      <c r="CH271" s="22">
        <v>34</v>
      </c>
      <c r="CI271" s="181" t="e">
        <f t="shared" ca="1" si="139"/>
        <v>#REF!</v>
      </c>
      <c r="CJ271" s="181" t="e">
        <f t="shared" ca="1" si="140"/>
        <v>#REF!</v>
      </c>
      <c r="CK271" s="181" t="e">
        <f t="shared" ca="1" si="141"/>
        <v>#REF!</v>
      </c>
      <c r="CL271" s="182" t="e">
        <f t="shared" ca="1" si="142"/>
        <v>#REF!</v>
      </c>
      <c r="CM271" s="205" t="e">
        <f t="shared" ca="1" si="143"/>
        <v>#REF!</v>
      </c>
      <c r="CP271" s="180">
        <v>2048</v>
      </c>
      <c r="CQ271" s="22">
        <v>34</v>
      </c>
      <c r="CR271" s="181" t="e">
        <f t="shared" ca="1" si="144"/>
        <v>#REF!</v>
      </c>
      <c r="CS271" s="182" t="e">
        <f t="shared" ca="1" si="145"/>
        <v>#REF!</v>
      </c>
      <c r="CT271" s="205" t="e">
        <f t="shared" ca="1" si="146"/>
        <v>#REF!</v>
      </c>
      <c r="CZ271" s="164" t="b">
        <f t="shared" si="122"/>
        <v>0</v>
      </c>
      <c r="DA271" s="165" t="b">
        <f t="shared" si="122"/>
        <v>0</v>
      </c>
      <c r="DB271" s="166" t="b">
        <f t="shared" si="122"/>
        <v>0</v>
      </c>
      <c r="DC271" s="164" t="str">
        <f t="shared" si="123"/>
        <v/>
      </c>
      <c r="DD271" s="166" t="str">
        <f t="shared" si="124"/>
        <v/>
      </c>
      <c r="DE271" s="164" t="str">
        <f t="shared" si="125"/>
        <v/>
      </c>
      <c r="DF271" s="166" t="str">
        <f t="shared" si="126"/>
        <v/>
      </c>
      <c r="DG271" s="164" t="str">
        <f t="shared" si="127"/>
        <v/>
      </c>
      <c r="DH271" s="166" t="str">
        <f t="shared" si="128"/>
        <v/>
      </c>
      <c r="DI271" s="164" t="str">
        <f>IFERROR(INDEX(DC$233:DC$281,_xlfn.AGGREGATE(15,6,(ROW(DC$233:DC$281)-ROW(DC$233)+1)/(DC$233:DC$281&lt;&gt;""),ROWS(DI$1:DI39))),"")</f>
        <v/>
      </c>
      <c r="DJ271" s="165" t="str">
        <f>IFERROR(INDEX(DD$233:DD$281,_xlfn.AGGREGATE(15,6,(ROW(DD$233:DD$281)-ROW(DD$233)+1)/(DD$233:DD$281&lt;&gt;""),ROWS(DJ$1:DJ39))),"")</f>
        <v/>
      </c>
      <c r="DK271" s="166" t="str">
        <f t="shared" si="129"/>
        <v/>
      </c>
      <c r="DL271" s="164" t="str">
        <f>IFERROR(INDEX(DE$233:DE$281,_xlfn.AGGREGATE(15,6,(ROW(DE$233:DE$281)-ROW(DE$233)+1)/(DE$233:DE$281&lt;&gt;""),ROWS(DL$1:DL39))),"")</f>
        <v/>
      </c>
      <c r="DM271" s="165" t="str">
        <f>IFERROR(INDEX(DF$233:DF$281,_xlfn.AGGREGATE(15,6,(ROW(DF$233:DF$281)-ROW(DF$233)+1)/(DF$233:DF$281&lt;&gt;""),ROWS(DM$1:DM39))),"")</f>
        <v/>
      </c>
      <c r="DN271" s="166" t="str">
        <f t="shared" si="130"/>
        <v/>
      </c>
      <c r="DO271" s="164" t="str">
        <f>IFERROR(INDEX(DG$233:DG$281,_xlfn.AGGREGATE(15,6,(ROW(DG$233:DG$281)-ROW(DG$233)+1)/(DG$233:DG$281&lt;&gt;""),ROWS(DO$1:DO39))),"")</f>
        <v/>
      </c>
      <c r="DP271" s="165" t="str">
        <f>IFERROR(INDEX(DH$233:DH$281,_xlfn.AGGREGATE(15,6,(ROW(DH$233:DH$281)-ROW(DH$233)+1)/(DH$233:DH$281&lt;&gt;""),ROWS(DP$1:DP39))),"")</f>
        <v/>
      </c>
      <c r="DQ271" s="166" t="str">
        <f t="shared" si="131"/>
        <v/>
      </c>
      <c r="DV271" s="145">
        <v>2053</v>
      </c>
      <c r="DW271" s="235" t="e">
        <f t="shared" ca="1" si="115"/>
        <v>#REF!</v>
      </c>
      <c r="EA271" s="55"/>
      <c r="EB271" s="55"/>
      <c r="EC271" s="55"/>
      <c r="ED271" s="55"/>
      <c r="EE271" s="55"/>
    </row>
    <row r="272" spans="2:135" ht="13.8" x14ac:dyDescent="0.45">
      <c r="B272" s="128">
        <v>2051</v>
      </c>
      <c r="C272" s="1047"/>
      <c r="D272" s="1050"/>
      <c r="E272" s="1060"/>
      <c r="F272" s="1051"/>
      <c r="G272" s="1052"/>
      <c r="H272" s="1036"/>
      <c r="I272" s="1112"/>
      <c r="J272" s="247"/>
      <c r="K272" s="245"/>
      <c r="L272" s="246"/>
      <c r="M272" s="245"/>
      <c r="N272" s="29" t="s">
        <v>119</v>
      </c>
      <c r="O272" s="120"/>
      <c r="P272" s="120"/>
      <c r="Q272" s="120"/>
      <c r="R272" s="29">
        <v>37</v>
      </c>
      <c r="S272" s="238" t="str">
        <f t="shared" si="149"/>
        <v/>
      </c>
      <c r="T272" s="238" t="str">
        <f t="shared" si="150"/>
        <v/>
      </c>
      <c r="U272" s="238" t="str">
        <f t="shared" si="151"/>
        <v/>
      </c>
      <c r="W272" s="238" t="e">
        <f t="shared" si="119"/>
        <v>#N/A</v>
      </c>
      <c r="X272" s="238" t="e">
        <f t="shared" si="152"/>
        <v>#N/A</v>
      </c>
      <c r="Y272" s="238" t="e">
        <f t="shared" si="121"/>
        <v>#N/A</v>
      </c>
      <c r="AA272" s="1133">
        <v>1348.5971461187214</v>
      </c>
      <c r="AB272" s="1133">
        <v>1505.4324682949823</v>
      </c>
      <c r="AC272" s="1133">
        <v>1662.2677904712432</v>
      </c>
      <c r="AD272" s="89"/>
      <c r="AE272" s="89"/>
      <c r="AF272" s="89"/>
      <c r="AG272" s="89"/>
      <c r="AH272" s="89"/>
      <c r="AI272" s="89"/>
      <c r="AJ272" s="89"/>
      <c r="AK272" s="89"/>
      <c r="AL272" s="89"/>
      <c r="AM272" s="89"/>
      <c r="AN272" s="89"/>
      <c r="BR272" s="180">
        <v>2049</v>
      </c>
      <c r="BS272" s="22">
        <v>35</v>
      </c>
      <c r="BT272" s="181" t="e">
        <f t="shared" si="132"/>
        <v>#DIV/0!</v>
      </c>
      <c r="BU272" s="182" t="e">
        <f t="shared" si="133"/>
        <v>#DIV/0!</v>
      </c>
      <c r="BV272" s="205" t="e">
        <f t="shared" si="134"/>
        <v>#DIV/0!</v>
      </c>
      <c r="BY272" s="180">
        <v>2049</v>
      </c>
      <c r="BZ272" s="22">
        <v>35</v>
      </c>
      <c r="CA272" s="181" t="e">
        <f t="shared" ca="1" si="135"/>
        <v>#REF!</v>
      </c>
      <c r="CB272" s="181" t="e">
        <f t="shared" ca="1" si="136"/>
        <v>#REF!</v>
      </c>
      <c r="CC272" s="182" t="e">
        <f t="shared" ca="1" si="137"/>
        <v>#REF!</v>
      </c>
      <c r="CD272" s="205" t="e">
        <f t="shared" ca="1" si="138"/>
        <v>#REF!</v>
      </c>
      <c r="CG272" s="180">
        <v>2049</v>
      </c>
      <c r="CH272" s="22">
        <v>35</v>
      </c>
      <c r="CI272" s="181" t="e">
        <f t="shared" ca="1" si="139"/>
        <v>#REF!</v>
      </c>
      <c r="CJ272" s="181" t="e">
        <f t="shared" ca="1" si="140"/>
        <v>#REF!</v>
      </c>
      <c r="CK272" s="181" t="e">
        <f t="shared" ca="1" si="141"/>
        <v>#REF!</v>
      </c>
      <c r="CL272" s="182" t="e">
        <f t="shared" ca="1" si="142"/>
        <v>#REF!</v>
      </c>
      <c r="CM272" s="205" t="e">
        <f t="shared" ca="1" si="143"/>
        <v>#REF!</v>
      </c>
      <c r="CP272" s="180">
        <v>2049</v>
      </c>
      <c r="CQ272" s="22">
        <v>35</v>
      </c>
      <c r="CR272" s="181" t="e">
        <f t="shared" ca="1" si="144"/>
        <v>#REF!</v>
      </c>
      <c r="CS272" s="182" t="e">
        <f t="shared" ca="1" si="145"/>
        <v>#REF!</v>
      </c>
      <c r="CT272" s="205" t="e">
        <f t="shared" ca="1" si="146"/>
        <v>#REF!</v>
      </c>
      <c r="CZ272" s="164" t="b">
        <f t="shared" si="122"/>
        <v>0</v>
      </c>
      <c r="DA272" s="165" t="b">
        <f t="shared" si="122"/>
        <v>0</v>
      </c>
      <c r="DB272" s="166" t="b">
        <f t="shared" si="122"/>
        <v>0</v>
      </c>
      <c r="DC272" s="164" t="str">
        <f t="shared" si="123"/>
        <v/>
      </c>
      <c r="DD272" s="166" t="str">
        <f t="shared" si="124"/>
        <v/>
      </c>
      <c r="DE272" s="164" t="str">
        <f t="shared" si="125"/>
        <v/>
      </c>
      <c r="DF272" s="166" t="str">
        <f t="shared" si="126"/>
        <v/>
      </c>
      <c r="DG272" s="164" t="str">
        <f t="shared" si="127"/>
        <v/>
      </c>
      <c r="DH272" s="166" t="str">
        <f t="shared" si="128"/>
        <v/>
      </c>
      <c r="DI272" s="164" t="str">
        <f>IFERROR(INDEX(DC$233:DC$281,_xlfn.AGGREGATE(15,6,(ROW(DC$233:DC$281)-ROW(DC$233)+1)/(DC$233:DC$281&lt;&gt;""),ROWS(DI$1:DI40))),"")</f>
        <v/>
      </c>
      <c r="DJ272" s="165" t="str">
        <f>IFERROR(INDEX(DD$233:DD$281,_xlfn.AGGREGATE(15,6,(ROW(DD$233:DD$281)-ROW(DD$233)+1)/(DD$233:DD$281&lt;&gt;""),ROWS(DJ$1:DJ40))),"")</f>
        <v/>
      </c>
      <c r="DK272" s="166" t="str">
        <f t="shared" si="129"/>
        <v/>
      </c>
      <c r="DL272" s="164" t="str">
        <f>IFERROR(INDEX(DE$233:DE$281,_xlfn.AGGREGATE(15,6,(ROW(DE$233:DE$281)-ROW(DE$233)+1)/(DE$233:DE$281&lt;&gt;""),ROWS(DL$1:DL40))),"")</f>
        <v/>
      </c>
      <c r="DM272" s="165" t="str">
        <f>IFERROR(INDEX(DF$233:DF$281,_xlfn.AGGREGATE(15,6,(ROW(DF$233:DF$281)-ROW(DF$233)+1)/(DF$233:DF$281&lt;&gt;""),ROWS(DM$1:DM40))),"")</f>
        <v/>
      </c>
      <c r="DN272" s="166" t="str">
        <f t="shared" si="130"/>
        <v/>
      </c>
      <c r="DO272" s="164" t="str">
        <f>IFERROR(INDEX(DG$233:DG$281,_xlfn.AGGREGATE(15,6,(ROW(DG$233:DG$281)-ROW(DG$233)+1)/(DG$233:DG$281&lt;&gt;""),ROWS(DO$1:DO40))),"")</f>
        <v/>
      </c>
      <c r="DP272" s="165" t="str">
        <f>IFERROR(INDEX(DH$233:DH$281,_xlfn.AGGREGATE(15,6,(ROW(DH$233:DH$281)-ROW(DH$233)+1)/(DH$233:DH$281&lt;&gt;""),ROWS(DP$1:DP40))),"")</f>
        <v/>
      </c>
      <c r="DQ272" s="166" t="str">
        <f t="shared" si="131"/>
        <v/>
      </c>
      <c r="DV272" s="145">
        <v>2054</v>
      </c>
      <c r="DW272" s="235" t="e">
        <f t="shared" ca="1" si="115"/>
        <v>#REF!</v>
      </c>
      <c r="EA272" s="55"/>
      <c r="EB272" s="55"/>
      <c r="EC272" s="55"/>
      <c r="ED272" s="55"/>
      <c r="EE272" s="55"/>
    </row>
    <row r="273" spans="1:135" ht="14.1" thickBot="1" x14ac:dyDescent="0.5">
      <c r="B273" s="128">
        <v>2052</v>
      </c>
      <c r="C273" s="1047"/>
      <c r="D273" s="1050"/>
      <c r="E273" s="1060"/>
      <c r="F273" s="1051"/>
      <c r="G273" s="1052"/>
      <c r="H273" s="1036"/>
      <c r="I273" s="1112"/>
      <c r="J273" s="247"/>
      <c r="K273" s="245"/>
      <c r="L273" s="246"/>
      <c r="M273" s="245"/>
      <c r="N273" s="29" t="s">
        <v>119</v>
      </c>
      <c r="O273" s="120"/>
      <c r="P273" s="120"/>
      <c r="Q273" s="120"/>
      <c r="R273" s="29">
        <v>38</v>
      </c>
      <c r="S273" s="238" t="str">
        <f t="shared" si="149"/>
        <v/>
      </c>
      <c r="T273" s="238" t="str">
        <f t="shared" si="150"/>
        <v/>
      </c>
      <c r="U273" s="238" t="str">
        <f t="shared" si="151"/>
        <v/>
      </c>
      <c r="W273" s="238" t="e">
        <f t="shared" si="119"/>
        <v>#N/A</v>
      </c>
      <c r="X273" s="238" t="e">
        <f t="shared" si="152"/>
        <v>#N/A</v>
      </c>
      <c r="Y273" s="238" t="e">
        <f t="shared" si="121"/>
        <v>#N/A</v>
      </c>
      <c r="AA273" s="1133">
        <v>1364.84611872146</v>
      </c>
      <c r="AB273" s="1133">
        <v>1518.6216745427705</v>
      </c>
      <c r="AC273" s="1133">
        <v>1672.397230364081</v>
      </c>
      <c r="AD273" s="89"/>
      <c r="AE273" s="89"/>
      <c r="AF273" s="89"/>
      <c r="AG273" s="89"/>
      <c r="AH273" s="89"/>
      <c r="AI273" s="89"/>
      <c r="AJ273" s="89"/>
      <c r="AK273" s="89"/>
      <c r="AL273" s="89"/>
      <c r="AM273" s="89"/>
      <c r="AN273" s="89"/>
      <c r="BR273" s="180">
        <v>2050</v>
      </c>
      <c r="BS273" s="22">
        <v>36</v>
      </c>
      <c r="BT273" s="181" t="e">
        <f t="shared" si="132"/>
        <v>#DIV/0!</v>
      </c>
      <c r="BU273" s="182" t="e">
        <f t="shared" si="133"/>
        <v>#DIV/0!</v>
      </c>
      <c r="BV273" s="212" t="e">
        <f t="shared" si="134"/>
        <v>#DIV/0!</v>
      </c>
      <c r="BY273" s="180">
        <v>2050</v>
      </c>
      <c r="BZ273" s="22">
        <v>36</v>
      </c>
      <c r="CA273" s="181" t="e">
        <f t="shared" ca="1" si="135"/>
        <v>#REF!</v>
      </c>
      <c r="CB273" s="181" t="e">
        <f t="shared" ca="1" si="136"/>
        <v>#REF!</v>
      </c>
      <c r="CC273" s="182" t="e">
        <f t="shared" ca="1" si="137"/>
        <v>#REF!</v>
      </c>
      <c r="CD273" s="212" t="e">
        <f t="shared" ca="1" si="138"/>
        <v>#REF!</v>
      </c>
      <c r="CG273" s="180">
        <v>2050</v>
      </c>
      <c r="CH273" s="22">
        <v>36</v>
      </c>
      <c r="CI273" s="181" t="e">
        <f t="shared" ca="1" si="139"/>
        <v>#REF!</v>
      </c>
      <c r="CJ273" s="181" t="e">
        <f t="shared" ca="1" si="140"/>
        <v>#REF!</v>
      </c>
      <c r="CK273" s="181" t="e">
        <f t="shared" ca="1" si="141"/>
        <v>#REF!</v>
      </c>
      <c r="CL273" s="182" t="e">
        <f t="shared" ca="1" si="142"/>
        <v>#REF!</v>
      </c>
      <c r="CM273" s="212" t="e">
        <f t="shared" ca="1" si="143"/>
        <v>#REF!</v>
      </c>
      <c r="CP273" s="180">
        <v>2050</v>
      </c>
      <c r="CQ273" s="22">
        <v>36</v>
      </c>
      <c r="CR273" s="181" t="e">
        <f t="shared" ca="1" si="144"/>
        <v>#REF!</v>
      </c>
      <c r="CS273" s="182" t="e">
        <f t="shared" ca="1" si="145"/>
        <v>#REF!</v>
      </c>
      <c r="CT273" s="212" t="e">
        <f t="shared" ca="1" si="146"/>
        <v>#REF!</v>
      </c>
      <c r="CZ273" s="164" t="b">
        <f t="shared" si="122"/>
        <v>0</v>
      </c>
      <c r="DA273" s="165" t="b">
        <f t="shared" si="122"/>
        <v>0</v>
      </c>
      <c r="DB273" s="166" t="b">
        <f t="shared" si="122"/>
        <v>0</v>
      </c>
      <c r="DC273" s="164" t="str">
        <f t="shared" si="123"/>
        <v/>
      </c>
      <c r="DD273" s="166" t="str">
        <f t="shared" si="124"/>
        <v/>
      </c>
      <c r="DE273" s="164" t="str">
        <f t="shared" si="125"/>
        <v/>
      </c>
      <c r="DF273" s="166" t="str">
        <f t="shared" si="126"/>
        <v/>
      </c>
      <c r="DG273" s="164" t="str">
        <f t="shared" si="127"/>
        <v/>
      </c>
      <c r="DH273" s="166" t="str">
        <f t="shared" si="128"/>
        <v/>
      </c>
      <c r="DI273" s="164" t="str">
        <f>IFERROR(INDEX(DC$233:DC$281,_xlfn.AGGREGATE(15,6,(ROW(DC$233:DC$281)-ROW(DC$233)+1)/(DC$233:DC$281&lt;&gt;""),ROWS(DI$1:DI41))),"")</f>
        <v/>
      </c>
      <c r="DJ273" s="165" t="str">
        <f>IFERROR(INDEX(DD$233:DD$281,_xlfn.AGGREGATE(15,6,(ROW(DD$233:DD$281)-ROW(DD$233)+1)/(DD$233:DD$281&lt;&gt;""),ROWS(DJ$1:DJ41))),"")</f>
        <v/>
      </c>
      <c r="DK273" s="166" t="str">
        <f t="shared" si="129"/>
        <v/>
      </c>
      <c r="DL273" s="164" t="str">
        <f>IFERROR(INDEX(DE$233:DE$281,_xlfn.AGGREGATE(15,6,(ROW(DE$233:DE$281)-ROW(DE$233)+1)/(DE$233:DE$281&lt;&gt;""),ROWS(DL$1:DL41))),"")</f>
        <v/>
      </c>
      <c r="DM273" s="165" t="str">
        <f>IFERROR(INDEX(DF$233:DF$281,_xlfn.AGGREGATE(15,6,(ROW(DF$233:DF$281)-ROW(DF$233)+1)/(DF$233:DF$281&lt;&gt;""),ROWS(DM$1:DM41))),"")</f>
        <v/>
      </c>
      <c r="DN273" s="166" t="str">
        <f t="shared" si="130"/>
        <v/>
      </c>
      <c r="DO273" s="164" t="str">
        <f>IFERROR(INDEX(DG$233:DG$281,_xlfn.AGGREGATE(15,6,(ROW(DG$233:DG$281)-ROW(DG$233)+1)/(DG$233:DG$281&lt;&gt;""),ROWS(DO$1:DO41))),"")</f>
        <v/>
      </c>
      <c r="DP273" s="165" t="str">
        <f>IFERROR(INDEX(DH$233:DH$281,_xlfn.AGGREGATE(15,6,(ROW(DH$233:DH$281)-ROW(DH$233)+1)/(DH$233:DH$281&lt;&gt;""),ROWS(DP$1:DP41))),"")</f>
        <v/>
      </c>
      <c r="DQ273" s="166" t="str">
        <f t="shared" si="131"/>
        <v/>
      </c>
      <c r="DV273" s="145">
        <v>2055</v>
      </c>
      <c r="DW273" s="235" t="e">
        <f t="shared" ca="1" si="115"/>
        <v>#REF!</v>
      </c>
      <c r="EA273" s="55"/>
      <c r="EB273" s="55"/>
      <c r="EC273" s="55"/>
      <c r="ED273" s="55"/>
      <c r="EE273" s="55"/>
    </row>
    <row r="274" spans="1:135" ht="13.8" x14ac:dyDescent="0.45">
      <c r="B274" s="128">
        <v>2053</v>
      </c>
      <c r="C274" s="1047"/>
      <c r="D274" s="1050"/>
      <c r="E274" s="1060"/>
      <c r="F274" s="1051"/>
      <c r="G274" s="1052"/>
      <c r="H274" s="1036"/>
      <c r="I274" s="1112"/>
      <c r="J274" s="247"/>
      <c r="K274" s="245"/>
      <c r="L274" s="246"/>
      <c r="M274" s="245"/>
      <c r="N274" s="29" t="s">
        <v>119</v>
      </c>
      <c r="O274" s="120"/>
      <c r="P274" s="120"/>
      <c r="Q274" s="120"/>
      <c r="R274" s="29">
        <v>39</v>
      </c>
      <c r="S274" s="238" t="str">
        <f t="shared" si="149"/>
        <v/>
      </c>
      <c r="T274" s="238" t="str">
        <f t="shared" si="150"/>
        <v/>
      </c>
      <c r="U274" s="238" t="str">
        <f t="shared" si="151"/>
        <v/>
      </c>
      <c r="W274" s="238" t="e">
        <f t="shared" si="119"/>
        <v>#N/A</v>
      </c>
      <c r="X274" s="238" t="e">
        <f t="shared" si="152"/>
        <v>#N/A</v>
      </c>
      <c r="Y274" s="238" t="e">
        <f t="shared" si="121"/>
        <v>#N/A</v>
      </c>
      <c r="AA274" s="1133">
        <v>1381.0950913242009</v>
      </c>
      <c r="AB274" s="1133">
        <v>1531.5141237227631</v>
      </c>
      <c r="AC274" s="1133">
        <v>1681.9331561213253</v>
      </c>
      <c r="AD274" s="89"/>
      <c r="AE274" s="89"/>
      <c r="AF274" s="89"/>
      <c r="AG274" s="89"/>
      <c r="AH274" s="89"/>
      <c r="AI274" s="89"/>
      <c r="AJ274" s="89"/>
      <c r="AK274" s="89"/>
      <c r="AL274" s="89"/>
      <c r="AM274" s="89"/>
      <c r="AN274" s="89"/>
      <c r="BR274" s="180">
        <v>2051</v>
      </c>
      <c r="BS274" s="22">
        <v>37</v>
      </c>
      <c r="BT274" s="181" t="e">
        <f t="shared" si="132"/>
        <v>#DIV/0!</v>
      </c>
      <c r="BU274" s="182" t="e">
        <f t="shared" si="133"/>
        <v>#DIV/0!</v>
      </c>
      <c r="BV274" s="213" t="e">
        <f t="shared" si="134"/>
        <v>#DIV/0!</v>
      </c>
      <c r="BY274" s="180">
        <v>2051</v>
      </c>
      <c r="BZ274" s="22">
        <v>37</v>
      </c>
      <c r="CA274" s="181" t="e">
        <f t="shared" ca="1" si="135"/>
        <v>#REF!</v>
      </c>
      <c r="CB274" s="181" t="e">
        <f t="shared" ca="1" si="136"/>
        <v>#REF!</v>
      </c>
      <c r="CC274" s="182" t="e">
        <f t="shared" ca="1" si="137"/>
        <v>#REF!</v>
      </c>
      <c r="CD274" s="213" t="e">
        <f t="shared" ca="1" si="138"/>
        <v>#REF!</v>
      </c>
      <c r="CG274" s="180">
        <v>2051</v>
      </c>
      <c r="CH274" s="22">
        <v>37</v>
      </c>
      <c r="CI274" s="181" t="e">
        <f t="shared" ca="1" si="139"/>
        <v>#REF!</v>
      </c>
      <c r="CJ274" s="181" t="e">
        <f t="shared" ca="1" si="140"/>
        <v>#REF!</v>
      </c>
      <c r="CK274" s="181" t="e">
        <f t="shared" ca="1" si="141"/>
        <v>#REF!</v>
      </c>
      <c r="CL274" s="182" t="e">
        <f t="shared" ca="1" si="142"/>
        <v>#REF!</v>
      </c>
      <c r="CM274" s="213" t="e">
        <f t="shared" ca="1" si="143"/>
        <v>#REF!</v>
      </c>
      <c r="CP274" s="180">
        <v>2051</v>
      </c>
      <c r="CQ274" s="22">
        <v>37</v>
      </c>
      <c r="CR274" s="181" t="e">
        <f t="shared" ca="1" si="144"/>
        <v>#REF!</v>
      </c>
      <c r="CS274" s="182" t="e">
        <f t="shared" ca="1" si="145"/>
        <v>#REF!</v>
      </c>
      <c r="CT274" s="213" t="e">
        <f t="shared" ca="1" si="146"/>
        <v>#REF!</v>
      </c>
      <c r="CZ274" s="164" t="b">
        <f t="shared" ref="CZ274:DB278" si="153">ISNUMBER(W274)</f>
        <v>0</v>
      </c>
      <c r="DA274" s="165" t="b">
        <f t="shared" si="153"/>
        <v>0</v>
      </c>
      <c r="DB274" s="166" t="b">
        <f t="shared" si="153"/>
        <v>0</v>
      </c>
      <c r="DC274" s="164" t="str">
        <f t="shared" si="123"/>
        <v/>
      </c>
      <c r="DD274" s="166" t="str">
        <f t="shared" si="124"/>
        <v/>
      </c>
      <c r="DE274" s="164" t="str">
        <f t="shared" si="125"/>
        <v/>
      </c>
      <c r="DF274" s="166" t="str">
        <f t="shared" si="126"/>
        <v/>
      </c>
      <c r="DG274" s="164" t="str">
        <f t="shared" si="127"/>
        <v/>
      </c>
      <c r="DH274" s="166" t="str">
        <f t="shared" si="128"/>
        <v/>
      </c>
      <c r="DI274" s="164" t="str">
        <f>IFERROR(INDEX(DC$233:DC$281,_xlfn.AGGREGATE(15,6,(ROW(DC$233:DC$281)-ROW(DC$233)+1)/(DC$233:DC$281&lt;&gt;""),ROWS(DI$1:DI42))),"")</f>
        <v/>
      </c>
      <c r="DJ274" s="165" t="str">
        <f>IFERROR(INDEX(DD$233:DD$281,_xlfn.AGGREGATE(15,6,(ROW(DD$233:DD$281)-ROW(DD$233)+1)/(DD$233:DD$281&lt;&gt;""),ROWS(DJ$1:DJ42))),"")</f>
        <v/>
      </c>
      <c r="DK274" s="166" t="str">
        <f t="shared" si="129"/>
        <v/>
      </c>
      <c r="DL274" s="164" t="str">
        <f>IFERROR(INDEX(DE$233:DE$281,_xlfn.AGGREGATE(15,6,(ROW(DE$233:DE$281)-ROW(DE$233)+1)/(DE$233:DE$281&lt;&gt;""),ROWS(DL$1:DL42))),"")</f>
        <v/>
      </c>
      <c r="DM274" s="165" t="str">
        <f>IFERROR(INDEX(DF$233:DF$281,_xlfn.AGGREGATE(15,6,(ROW(DF$233:DF$281)-ROW(DF$233)+1)/(DF$233:DF$281&lt;&gt;""),ROWS(DM$1:DM42))),"")</f>
        <v/>
      </c>
      <c r="DN274" s="166" t="str">
        <f t="shared" si="130"/>
        <v/>
      </c>
      <c r="DO274" s="164" t="str">
        <f>IFERROR(INDEX(DG$233:DG$281,_xlfn.AGGREGATE(15,6,(ROW(DG$233:DG$281)-ROW(DG$233)+1)/(DG$233:DG$281&lt;&gt;""),ROWS(DO$1:DO42))),"")</f>
        <v/>
      </c>
      <c r="DP274" s="165" t="str">
        <f>IFERROR(INDEX(DH$233:DH$281,_xlfn.AGGREGATE(15,6,(ROW(DH$233:DH$281)-ROW(DH$233)+1)/(DH$233:DH$281&lt;&gt;""),ROWS(DP$1:DP42))),"")</f>
        <v/>
      </c>
      <c r="DQ274" s="166" t="str">
        <f t="shared" si="131"/>
        <v/>
      </c>
      <c r="DV274" s="145">
        <v>2056</v>
      </c>
      <c r="DW274" s="235" t="e">
        <f t="shared" ca="1" si="115"/>
        <v>#REF!</v>
      </c>
      <c r="EA274" s="55"/>
      <c r="EB274" s="55"/>
      <c r="EC274" s="55"/>
      <c r="ED274" s="55"/>
      <c r="EE274" s="55"/>
    </row>
    <row r="275" spans="1:135" ht="13.8" x14ac:dyDescent="0.45">
      <c r="B275" s="128">
        <v>2054</v>
      </c>
      <c r="C275" s="1047"/>
      <c r="D275" s="1050"/>
      <c r="E275" s="1060"/>
      <c r="F275" s="1051"/>
      <c r="G275" s="1052"/>
      <c r="H275" s="1036"/>
      <c r="I275" s="1112"/>
      <c r="J275" s="247"/>
      <c r="K275" s="245"/>
      <c r="L275" s="246"/>
      <c r="M275" s="245"/>
      <c r="N275" s="29" t="s">
        <v>119</v>
      </c>
      <c r="O275" s="120"/>
      <c r="P275" s="120"/>
      <c r="Q275" s="120"/>
      <c r="R275" s="29">
        <v>40</v>
      </c>
      <c r="S275" s="238" t="str">
        <f t="shared" si="149"/>
        <v/>
      </c>
      <c r="T275" s="238" t="str">
        <f t="shared" si="150"/>
        <v/>
      </c>
      <c r="U275" s="238" t="str">
        <f t="shared" si="151"/>
        <v/>
      </c>
      <c r="W275" s="238" t="e">
        <f t="shared" si="119"/>
        <v>#N/A</v>
      </c>
      <c r="X275" s="238" t="e">
        <f t="shared" si="152"/>
        <v>#N/A</v>
      </c>
      <c r="Y275" s="238" t="e">
        <f t="shared" si="121"/>
        <v>#N/A</v>
      </c>
      <c r="AA275" s="1133">
        <v>1397.3440639269406</v>
      </c>
      <c r="AB275" s="1133">
        <v>1544.1113352475138</v>
      </c>
      <c r="AC275" s="1133">
        <v>1690.878606568087</v>
      </c>
      <c r="AD275" s="89"/>
      <c r="AE275" s="89"/>
      <c r="AF275" s="89"/>
      <c r="AG275" s="89"/>
      <c r="AH275" s="89"/>
      <c r="AI275" s="89"/>
      <c r="AJ275" s="89"/>
      <c r="AK275" s="89"/>
      <c r="AL275" s="89"/>
      <c r="AM275" s="89"/>
      <c r="AN275" s="89"/>
      <c r="BR275" s="180">
        <v>2052</v>
      </c>
      <c r="BS275" s="22">
        <v>38</v>
      </c>
      <c r="BT275" s="181" t="e">
        <f t="shared" si="132"/>
        <v>#DIV/0!</v>
      </c>
      <c r="BU275" s="182" t="e">
        <f t="shared" si="133"/>
        <v>#DIV/0!</v>
      </c>
      <c r="BV275" s="242" t="e">
        <f t="shared" si="134"/>
        <v>#DIV/0!</v>
      </c>
      <c r="BY275" s="180">
        <v>2052</v>
      </c>
      <c r="BZ275" s="22">
        <v>38</v>
      </c>
      <c r="CA275" s="181" t="e">
        <f t="shared" ca="1" si="135"/>
        <v>#REF!</v>
      </c>
      <c r="CB275" s="181" t="e">
        <f t="shared" ca="1" si="136"/>
        <v>#REF!</v>
      </c>
      <c r="CC275" s="182" t="e">
        <f t="shared" ca="1" si="137"/>
        <v>#REF!</v>
      </c>
      <c r="CD275" s="242" t="e">
        <f t="shared" ca="1" si="138"/>
        <v>#REF!</v>
      </c>
      <c r="CG275" s="180">
        <v>2052</v>
      </c>
      <c r="CH275" s="22">
        <v>38</v>
      </c>
      <c r="CI275" s="181" t="e">
        <f t="shared" ca="1" si="139"/>
        <v>#REF!</v>
      </c>
      <c r="CJ275" s="181" t="e">
        <f t="shared" ca="1" si="140"/>
        <v>#REF!</v>
      </c>
      <c r="CK275" s="181" t="e">
        <f t="shared" ca="1" si="141"/>
        <v>#REF!</v>
      </c>
      <c r="CL275" s="182" t="e">
        <f t="shared" ca="1" si="142"/>
        <v>#REF!</v>
      </c>
      <c r="CM275" s="242" t="e">
        <f t="shared" ca="1" si="143"/>
        <v>#REF!</v>
      </c>
      <c r="CP275" s="180">
        <v>2052</v>
      </c>
      <c r="CQ275" s="22">
        <v>38</v>
      </c>
      <c r="CR275" s="181" t="e">
        <f t="shared" ca="1" si="144"/>
        <v>#REF!</v>
      </c>
      <c r="CS275" s="182" t="e">
        <f t="shared" ca="1" si="145"/>
        <v>#REF!</v>
      </c>
      <c r="CT275" s="242" t="e">
        <f t="shared" ca="1" si="146"/>
        <v>#REF!</v>
      </c>
      <c r="CZ275" s="164" t="b">
        <f t="shared" si="153"/>
        <v>0</v>
      </c>
      <c r="DA275" s="165" t="b">
        <f t="shared" si="153"/>
        <v>0</v>
      </c>
      <c r="DB275" s="166" t="b">
        <f t="shared" si="153"/>
        <v>0</v>
      </c>
      <c r="DC275" s="164" t="str">
        <f t="shared" si="123"/>
        <v/>
      </c>
      <c r="DD275" s="166" t="str">
        <f t="shared" si="124"/>
        <v/>
      </c>
      <c r="DE275" s="164" t="str">
        <f t="shared" si="125"/>
        <v/>
      </c>
      <c r="DF275" s="166" t="str">
        <f t="shared" si="126"/>
        <v/>
      </c>
      <c r="DG275" s="164" t="str">
        <f t="shared" si="127"/>
        <v/>
      </c>
      <c r="DH275" s="166" t="str">
        <f t="shared" si="128"/>
        <v/>
      </c>
      <c r="DI275" s="164" t="str">
        <f>IFERROR(INDEX(DC$233:DC$281,_xlfn.AGGREGATE(15,6,(ROW(DC$233:DC$281)-ROW(DC$233)+1)/(DC$233:DC$281&lt;&gt;""),ROWS(DI$1:DI43))),"")</f>
        <v/>
      </c>
      <c r="DJ275" s="165" t="str">
        <f>IFERROR(INDEX(DD$233:DD$281,_xlfn.AGGREGATE(15,6,(ROW(DD$233:DD$281)-ROW(DD$233)+1)/(DD$233:DD$281&lt;&gt;""),ROWS(DJ$1:DJ43))),"")</f>
        <v/>
      </c>
      <c r="DK275" s="166" t="str">
        <f t="shared" si="129"/>
        <v/>
      </c>
      <c r="DL275" s="164" t="str">
        <f>IFERROR(INDEX(DE$233:DE$281,_xlfn.AGGREGATE(15,6,(ROW(DE$233:DE$281)-ROW(DE$233)+1)/(DE$233:DE$281&lt;&gt;""),ROWS(DL$1:DL43))),"")</f>
        <v/>
      </c>
      <c r="DM275" s="165" t="str">
        <f>IFERROR(INDEX(DF$233:DF$281,_xlfn.AGGREGATE(15,6,(ROW(DF$233:DF$281)-ROW(DF$233)+1)/(DF$233:DF$281&lt;&gt;""),ROWS(DM$1:DM43))),"")</f>
        <v/>
      </c>
      <c r="DN275" s="166" t="str">
        <f t="shared" si="130"/>
        <v/>
      </c>
      <c r="DO275" s="164" t="str">
        <f>IFERROR(INDEX(DG$233:DG$281,_xlfn.AGGREGATE(15,6,(ROW(DG$233:DG$281)-ROW(DG$233)+1)/(DG$233:DG$281&lt;&gt;""),ROWS(DO$1:DO43))),"")</f>
        <v/>
      </c>
      <c r="DP275" s="165" t="str">
        <f>IFERROR(INDEX(DH$233:DH$281,_xlfn.AGGREGATE(15,6,(ROW(DH$233:DH$281)-ROW(DH$233)+1)/(DH$233:DH$281&lt;&gt;""),ROWS(DP$1:DP43))),"")</f>
        <v/>
      </c>
      <c r="DQ275" s="166" t="str">
        <f t="shared" si="131"/>
        <v/>
      </c>
      <c r="DV275" s="145">
        <v>2057</v>
      </c>
      <c r="DW275" s="235" t="e">
        <f t="shared" ca="1" si="115"/>
        <v>#REF!</v>
      </c>
      <c r="EA275" s="55"/>
      <c r="EB275" s="55"/>
      <c r="EC275" s="55"/>
      <c r="ED275" s="55"/>
      <c r="EE275" s="55"/>
    </row>
    <row r="276" spans="1:135" ht="13.8" x14ac:dyDescent="0.45">
      <c r="B276" s="128">
        <v>2055</v>
      </c>
      <c r="C276" s="1047"/>
      <c r="D276" s="1050"/>
      <c r="E276" s="1060"/>
      <c r="F276" s="1051"/>
      <c r="G276" s="1052"/>
      <c r="H276" s="1036"/>
      <c r="I276" s="1112"/>
      <c r="J276" s="247"/>
      <c r="K276" s="245"/>
      <c r="L276" s="246"/>
      <c r="M276" s="245"/>
      <c r="N276" s="29" t="s">
        <v>119</v>
      </c>
      <c r="O276" s="120"/>
      <c r="P276" s="120"/>
      <c r="Q276" s="120"/>
      <c r="R276" s="29">
        <v>41</v>
      </c>
      <c r="S276" s="238" t="str">
        <f t="shared" si="149"/>
        <v/>
      </c>
      <c r="T276" s="238" t="str">
        <f t="shared" si="150"/>
        <v/>
      </c>
      <c r="U276" s="238" t="str">
        <f t="shared" si="151"/>
        <v/>
      </c>
      <c r="W276" s="238" t="e">
        <f t="shared" si="119"/>
        <v>#N/A</v>
      </c>
      <c r="X276" s="238" t="e">
        <f t="shared" si="152"/>
        <v>#N/A</v>
      </c>
      <c r="Y276" s="238" t="e">
        <f t="shared" si="121"/>
        <v>#N/A</v>
      </c>
      <c r="AA276" s="1133">
        <v>1413.5930365296804</v>
      </c>
      <c r="AB276" s="1133">
        <v>1556.4148285295782</v>
      </c>
      <c r="AC276" s="1133">
        <v>1699.2366205294761</v>
      </c>
      <c r="AD276" s="89"/>
      <c r="AE276" s="89"/>
      <c r="AF276" s="89"/>
      <c r="AG276" s="89"/>
      <c r="AH276" s="89"/>
      <c r="AI276" s="89"/>
      <c r="AJ276" s="89"/>
      <c r="AK276" s="89"/>
      <c r="AL276" s="89"/>
      <c r="AM276" s="89"/>
      <c r="AN276" s="89"/>
      <c r="BR276" s="180">
        <v>2053</v>
      </c>
      <c r="BS276" s="22">
        <v>39</v>
      </c>
      <c r="BT276" s="181" t="e">
        <f t="shared" si="132"/>
        <v>#DIV/0!</v>
      </c>
      <c r="BU276" s="182" t="e">
        <f t="shared" si="133"/>
        <v>#DIV/0!</v>
      </c>
      <c r="BV276" s="242" t="e">
        <f t="shared" si="134"/>
        <v>#DIV/0!</v>
      </c>
      <c r="BY276" s="180">
        <v>2053</v>
      </c>
      <c r="BZ276" s="22">
        <v>39</v>
      </c>
      <c r="CA276" s="181" t="e">
        <f t="shared" ca="1" si="135"/>
        <v>#REF!</v>
      </c>
      <c r="CB276" s="181" t="e">
        <f t="shared" ca="1" si="136"/>
        <v>#REF!</v>
      </c>
      <c r="CC276" s="182" t="e">
        <f t="shared" ca="1" si="137"/>
        <v>#REF!</v>
      </c>
      <c r="CD276" s="242" t="e">
        <f t="shared" ca="1" si="138"/>
        <v>#REF!</v>
      </c>
      <c r="CG276" s="180">
        <v>2053</v>
      </c>
      <c r="CH276" s="22">
        <v>39</v>
      </c>
      <c r="CI276" s="181" t="e">
        <f t="shared" ca="1" si="139"/>
        <v>#REF!</v>
      </c>
      <c r="CJ276" s="181" t="e">
        <f t="shared" ca="1" si="140"/>
        <v>#REF!</v>
      </c>
      <c r="CK276" s="181" t="e">
        <f t="shared" ca="1" si="141"/>
        <v>#REF!</v>
      </c>
      <c r="CL276" s="182" t="e">
        <f t="shared" ca="1" si="142"/>
        <v>#REF!</v>
      </c>
      <c r="CM276" s="242" t="e">
        <f t="shared" ca="1" si="143"/>
        <v>#REF!</v>
      </c>
      <c r="CP276" s="180">
        <v>2053</v>
      </c>
      <c r="CQ276" s="22">
        <v>39</v>
      </c>
      <c r="CR276" s="181" t="e">
        <f t="shared" ca="1" si="144"/>
        <v>#REF!</v>
      </c>
      <c r="CS276" s="182" t="e">
        <f t="shared" ca="1" si="145"/>
        <v>#REF!</v>
      </c>
      <c r="CT276" s="242" t="e">
        <f t="shared" ca="1" si="146"/>
        <v>#REF!</v>
      </c>
      <c r="CZ276" s="164" t="b">
        <f t="shared" si="153"/>
        <v>0</v>
      </c>
      <c r="DA276" s="165" t="b">
        <f t="shared" si="153"/>
        <v>0</v>
      </c>
      <c r="DB276" s="166" t="b">
        <f t="shared" si="153"/>
        <v>0</v>
      </c>
      <c r="DC276" s="164" t="str">
        <f t="shared" si="123"/>
        <v/>
      </c>
      <c r="DD276" s="166" t="str">
        <f t="shared" si="124"/>
        <v/>
      </c>
      <c r="DE276" s="164" t="str">
        <f t="shared" si="125"/>
        <v/>
      </c>
      <c r="DF276" s="166" t="str">
        <f t="shared" si="126"/>
        <v/>
      </c>
      <c r="DG276" s="164" t="str">
        <f t="shared" si="127"/>
        <v/>
      </c>
      <c r="DH276" s="166" t="str">
        <f t="shared" si="128"/>
        <v/>
      </c>
      <c r="DI276" s="164" t="str">
        <f>IFERROR(INDEX(DC$233:DC$281,_xlfn.AGGREGATE(15,6,(ROW(DC$233:DC$281)-ROW(DC$233)+1)/(DC$233:DC$281&lt;&gt;""),ROWS(DI$1:DI44))),"")</f>
        <v/>
      </c>
      <c r="DJ276" s="165" t="str">
        <f>IFERROR(INDEX(DD$233:DD$281,_xlfn.AGGREGATE(15,6,(ROW(DD$233:DD$281)-ROW(DD$233)+1)/(DD$233:DD$281&lt;&gt;""),ROWS(DJ$1:DJ44))),"")</f>
        <v/>
      </c>
      <c r="DK276" s="166" t="str">
        <f t="shared" si="129"/>
        <v/>
      </c>
      <c r="DL276" s="164" t="str">
        <f>IFERROR(INDEX(DE$233:DE$281,_xlfn.AGGREGATE(15,6,(ROW(DE$233:DE$281)-ROW(DE$233)+1)/(DE$233:DE$281&lt;&gt;""),ROWS(DL$1:DL44))),"")</f>
        <v/>
      </c>
      <c r="DM276" s="165" t="str">
        <f>IFERROR(INDEX(DF$233:DF$281,_xlfn.AGGREGATE(15,6,(ROW(DF$233:DF$281)-ROW(DF$233)+1)/(DF$233:DF$281&lt;&gt;""),ROWS(DM$1:DM44))),"")</f>
        <v/>
      </c>
      <c r="DN276" s="166" t="str">
        <f t="shared" si="130"/>
        <v/>
      </c>
      <c r="DO276" s="164" t="str">
        <f>IFERROR(INDEX(DG$233:DG$281,_xlfn.AGGREGATE(15,6,(ROW(DG$233:DG$281)-ROW(DG$233)+1)/(DG$233:DG$281&lt;&gt;""),ROWS(DO$1:DO44))),"")</f>
        <v/>
      </c>
      <c r="DP276" s="165" t="str">
        <f>IFERROR(INDEX(DH$233:DH$281,_xlfn.AGGREGATE(15,6,(ROW(DH$233:DH$281)-ROW(DH$233)+1)/(DH$233:DH$281&lt;&gt;""),ROWS(DP$1:DP44))),"")</f>
        <v/>
      </c>
      <c r="DQ276" s="166" t="str">
        <f t="shared" si="131"/>
        <v/>
      </c>
      <c r="DV276" s="145">
        <v>2058</v>
      </c>
      <c r="DW276" s="235" t="e">
        <f t="shared" ca="1" si="115"/>
        <v>#REF!</v>
      </c>
      <c r="EA276" s="55"/>
      <c r="EB276" s="55"/>
      <c r="EC276" s="55"/>
      <c r="ED276" s="55"/>
      <c r="EE276" s="55"/>
    </row>
    <row r="277" spans="1:135" ht="13.8" x14ac:dyDescent="0.45">
      <c r="B277" s="128">
        <v>2056</v>
      </c>
      <c r="C277" s="1047"/>
      <c r="D277" s="1050"/>
      <c r="E277" s="1060"/>
      <c r="F277" s="1051"/>
      <c r="G277" s="1052"/>
      <c r="H277" s="1036"/>
      <c r="I277" s="1112"/>
      <c r="J277" s="247"/>
      <c r="K277" s="245"/>
      <c r="L277" s="246"/>
      <c r="M277" s="245"/>
      <c r="N277" s="29" t="s">
        <v>119</v>
      </c>
      <c r="O277" s="120"/>
      <c r="P277" s="120"/>
      <c r="Q277" s="120"/>
      <c r="R277" s="29">
        <v>42</v>
      </c>
      <c r="S277" s="238" t="str">
        <f t="shared" si="149"/>
        <v/>
      </c>
      <c r="T277" s="238" t="str">
        <f t="shared" si="150"/>
        <v/>
      </c>
      <c r="U277" s="238" t="str">
        <f t="shared" si="151"/>
        <v/>
      </c>
      <c r="W277" s="238" t="e">
        <f t="shared" si="119"/>
        <v>#N/A</v>
      </c>
      <c r="X277" s="238" t="e">
        <f t="shared" si="152"/>
        <v>#N/A</v>
      </c>
      <c r="Y277" s="238" t="e">
        <f t="shared" si="121"/>
        <v>#N/A</v>
      </c>
      <c r="AA277" s="1133">
        <v>1429.8420091324201</v>
      </c>
      <c r="AB277" s="1133">
        <v>1568.4261229815106</v>
      </c>
      <c r="AC277" s="1133">
        <v>1707.0102368306011</v>
      </c>
      <c r="AD277" s="89"/>
      <c r="AE277" s="89"/>
      <c r="AF277" s="89"/>
      <c r="AG277" s="89"/>
      <c r="AH277" s="89"/>
      <c r="AI277" s="89"/>
      <c r="AJ277" s="89"/>
      <c r="AK277" s="89"/>
      <c r="AL277" s="89"/>
      <c r="AM277" s="89"/>
      <c r="AN277" s="89"/>
      <c r="BR277" s="180">
        <v>2054</v>
      </c>
      <c r="BS277" s="22">
        <v>40</v>
      </c>
      <c r="BT277" s="181" t="e">
        <f t="shared" si="132"/>
        <v>#DIV/0!</v>
      </c>
      <c r="BU277" s="182" t="e">
        <f t="shared" si="133"/>
        <v>#DIV/0!</v>
      </c>
      <c r="BV277" s="242" t="e">
        <f t="shared" si="134"/>
        <v>#DIV/0!</v>
      </c>
      <c r="BY277" s="180">
        <v>2054</v>
      </c>
      <c r="BZ277" s="22">
        <v>40</v>
      </c>
      <c r="CA277" s="181" t="e">
        <f t="shared" ca="1" si="135"/>
        <v>#REF!</v>
      </c>
      <c r="CB277" s="181" t="e">
        <f t="shared" ca="1" si="136"/>
        <v>#REF!</v>
      </c>
      <c r="CC277" s="182" t="e">
        <f t="shared" ca="1" si="137"/>
        <v>#REF!</v>
      </c>
      <c r="CD277" s="242" t="e">
        <f t="shared" ca="1" si="138"/>
        <v>#REF!</v>
      </c>
      <c r="CG277" s="180">
        <v>2054</v>
      </c>
      <c r="CH277" s="22">
        <v>40</v>
      </c>
      <c r="CI277" s="181" t="e">
        <f t="shared" ca="1" si="139"/>
        <v>#REF!</v>
      </c>
      <c r="CJ277" s="181" t="e">
        <f t="shared" ca="1" si="140"/>
        <v>#REF!</v>
      </c>
      <c r="CK277" s="181" t="e">
        <f t="shared" ca="1" si="141"/>
        <v>#REF!</v>
      </c>
      <c r="CL277" s="182" t="e">
        <f t="shared" ca="1" si="142"/>
        <v>#REF!</v>
      </c>
      <c r="CM277" s="242" t="e">
        <f t="shared" ca="1" si="143"/>
        <v>#REF!</v>
      </c>
      <c r="CP277" s="180">
        <v>2054</v>
      </c>
      <c r="CQ277" s="22">
        <v>40</v>
      </c>
      <c r="CR277" s="181" t="e">
        <f t="shared" ca="1" si="144"/>
        <v>#REF!</v>
      </c>
      <c r="CS277" s="182" t="e">
        <f t="shared" ca="1" si="145"/>
        <v>#REF!</v>
      </c>
      <c r="CT277" s="242" t="e">
        <f t="shared" ca="1" si="146"/>
        <v>#REF!</v>
      </c>
      <c r="CZ277" s="164" t="b">
        <f t="shared" si="153"/>
        <v>0</v>
      </c>
      <c r="DA277" s="165" t="b">
        <f t="shared" si="153"/>
        <v>0</v>
      </c>
      <c r="DB277" s="166" t="b">
        <f t="shared" si="153"/>
        <v>0</v>
      </c>
      <c r="DC277" s="164" t="str">
        <f t="shared" si="123"/>
        <v/>
      </c>
      <c r="DD277" s="166" t="str">
        <f t="shared" si="124"/>
        <v/>
      </c>
      <c r="DE277" s="164" t="str">
        <f t="shared" si="125"/>
        <v/>
      </c>
      <c r="DF277" s="166" t="str">
        <f t="shared" si="126"/>
        <v/>
      </c>
      <c r="DG277" s="164" t="str">
        <f t="shared" si="127"/>
        <v/>
      </c>
      <c r="DH277" s="166" t="str">
        <f t="shared" si="128"/>
        <v/>
      </c>
      <c r="DI277" s="164" t="str">
        <f>IFERROR(INDEX(DC$233:DC$281,_xlfn.AGGREGATE(15,6,(ROW(DC$233:DC$281)-ROW(DC$233)+1)/(DC$233:DC$281&lt;&gt;""),ROWS(DI$1:DI45))),"")</f>
        <v/>
      </c>
      <c r="DJ277" s="165" t="str">
        <f>IFERROR(INDEX(DD$233:DD$281,_xlfn.AGGREGATE(15,6,(ROW(DD$233:DD$281)-ROW(DD$233)+1)/(DD$233:DD$281&lt;&gt;""),ROWS(DJ$1:DJ45))),"")</f>
        <v/>
      </c>
      <c r="DK277" s="166" t="str">
        <f t="shared" si="129"/>
        <v/>
      </c>
      <c r="DL277" s="164" t="str">
        <f>IFERROR(INDEX(DE$233:DE$281,_xlfn.AGGREGATE(15,6,(ROW(DE$233:DE$281)-ROW(DE$233)+1)/(DE$233:DE$281&lt;&gt;""),ROWS(DL$1:DL45))),"")</f>
        <v/>
      </c>
      <c r="DM277" s="165" t="str">
        <f>IFERROR(INDEX(DF$233:DF$281,_xlfn.AGGREGATE(15,6,(ROW(DF$233:DF$281)-ROW(DF$233)+1)/(DF$233:DF$281&lt;&gt;""),ROWS(DM$1:DM45))),"")</f>
        <v/>
      </c>
      <c r="DN277" s="166" t="str">
        <f t="shared" si="130"/>
        <v/>
      </c>
      <c r="DO277" s="164" t="str">
        <f>IFERROR(INDEX(DG$233:DG$281,_xlfn.AGGREGATE(15,6,(ROW(DG$233:DG$281)-ROW(DG$233)+1)/(DG$233:DG$281&lt;&gt;""),ROWS(DO$1:DO45))),"")</f>
        <v/>
      </c>
      <c r="DP277" s="165" t="str">
        <f>IFERROR(INDEX(DH$233:DH$281,_xlfn.AGGREGATE(15,6,(ROW(DH$233:DH$281)-ROW(DH$233)+1)/(DH$233:DH$281&lt;&gt;""),ROWS(DP$1:DP45))),"")</f>
        <v/>
      </c>
      <c r="DQ277" s="166" t="str">
        <f t="shared" si="131"/>
        <v/>
      </c>
      <c r="DV277" s="145">
        <v>2059</v>
      </c>
      <c r="DW277" s="235" t="e">
        <f t="shared" ca="1" si="115"/>
        <v>#REF!</v>
      </c>
      <c r="EA277" s="55"/>
      <c r="EB277" s="55"/>
      <c r="EC277" s="55"/>
      <c r="ED277" s="55"/>
      <c r="EE277" s="55"/>
    </row>
    <row r="278" spans="1:135" ht="13.8" x14ac:dyDescent="0.45">
      <c r="B278" s="128">
        <v>2057</v>
      </c>
      <c r="C278" s="1047"/>
      <c r="D278" s="1050"/>
      <c r="E278" s="1060"/>
      <c r="F278" s="1051"/>
      <c r="G278" s="1052"/>
      <c r="H278" s="1036"/>
      <c r="I278" s="1112"/>
      <c r="J278" s="247"/>
      <c r="K278" s="245"/>
      <c r="L278" s="246"/>
      <c r="M278" s="245"/>
      <c r="N278" s="29" t="s">
        <v>119</v>
      </c>
      <c r="O278" s="120"/>
      <c r="P278" s="120"/>
      <c r="Q278" s="120"/>
      <c r="R278" s="29">
        <v>43</v>
      </c>
      <c r="S278" s="238" t="str">
        <f t="shared" si="149"/>
        <v/>
      </c>
      <c r="T278" s="238" t="str">
        <f t="shared" si="150"/>
        <v/>
      </c>
      <c r="U278" s="238" t="str">
        <f t="shared" si="151"/>
        <v/>
      </c>
      <c r="W278" s="238" t="e">
        <f t="shared" si="119"/>
        <v>#N/A</v>
      </c>
      <c r="X278" s="238" t="e">
        <f t="shared" si="152"/>
        <v>#N/A</v>
      </c>
      <c r="Y278" s="238" t="e">
        <f t="shared" si="121"/>
        <v>#N/A</v>
      </c>
      <c r="AA278" s="1133">
        <v>1446.0909817351599</v>
      </c>
      <c r="AB278" s="1133">
        <v>1580.146738015866</v>
      </c>
      <c r="AC278" s="1133">
        <v>1714.2024942965722</v>
      </c>
      <c r="AD278" s="89"/>
      <c r="AE278" s="89"/>
      <c r="AF278" s="89"/>
      <c r="AG278" s="89"/>
      <c r="AH278" s="89"/>
      <c r="AI278" s="89"/>
      <c r="AJ278" s="89"/>
      <c r="AK278" s="89"/>
      <c r="AL278" s="89"/>
      <c r="AM278" s="89"/>
      <c r="AN278" s="89"/>
      <c r="BR278" s="180">
        <v>2055</v>
      </c>
      <c r="BS278" s="22">
        <v>41</v>
      </c>
      <c r="BT278" s="181" t="e">
        <f t="shared" si="132"/>
        <v>#DIV/0!</v>
      </c>
      <c r="BU278" s="182" t="e">
        <f t="shared" si="133"/>
        <v>#DIV/0!</v>
      </c>
      <c r="BV278" s="242" t="e">
        <f t="shared" si="134"/>
        <v>#DIV/0!</v>
      </c>
      <c r="BY278" s="180">
        <v>2055</v>
      </c>
      <c r="BZ278" s="22">
        <v>41</v>
      </c>
      <c r="CA278" s="181" t="e">
        <f t="shared" ca="1" si="135"/>
        <v>#REF!</v>
      </c>
      <c r="CB278" s="181" t="e">
        <f t="shared" ca="1" si="136"/>
        <v>#REF!</v>
      </c>
      <c r="CC278" s="182" t="e">
        <f t="shared" ca="1" si="137"/>
        <v>#REF!</v>
      </c>
      <c r="CD278" s="242" t="e">
        <f t="shared" ca="1" si="138"/>
        <v>#REF!</v>
      </c>
      <c r="CG278" s="180">
        <v>2055</v>
      </c>
      <c r="CH278" s="22">
        <v>41</v>
      </c>
      <c r="CI278" s="181" t="e">
        <f t="shared" ca="1" si="139"/>
        <v>#REF!</v>
      </c>
      <c r="CJ278" s="181" t="e">
        <f t="shared" ca="1" si="140"/>
        <v>#REF!</v>
      </c>
      <c r="CK278" s="181" t="e">
        <f t="shared" ca="1" si="141"/>
        <v>#REF!</v>
      </c>
      <c r="CL278" s="182" t="e">
        <f t="shared" ca="1" si="142"/>
        <v>#REF!</v>
      </c>
      <c r="CM278" s="242" t="e">
        <f t="shared" ca="1" si="143"/>
        <v>#REF!</v>
      </c>
      <c r="CP278" s="180">
        <v>2055</v>
      </c>
      <c r="CQ278" s="22">
        <v>41</v>
      </c>
      <c r="CR278" s="181" t="e">
        <f t="shared" ca="1" si="144"/>
        <v>#REF!</v>
      </c>
      <c r="CS278" s="182" t="e">
        <f t="shared" ca="1" si="145"/>
        <v>#REF!</v>
      </c>
      <c r="CT278" s="242" t="e">
        <f t="shared" ca="1" si="146"/>
        <v>#REF!</v>
      </c>
      <c r="CZ278" s="164" t="b">
        <f t="shared" si="153"/>
        <v>0</v>
      </c>
      <c r="DA278" s="165" t="b">
        <f t="shared" si="153"/>
        <v>0</v>
      </c>
      <c r="DB278" s="166" t="b">
        <f t="shared" si="153"/>
        <v>0</v>
      </c>
      <c r="DC278" s="164" t="str">
        <f t="shared" si="123"/>
        <v/>
      </c>
      <c r="DD278" s="166" t="str">
        <f t="shared" si="124"/>
        <v/>
      </c>
      <c r="DE278" s="164" t="str">
        <f t="shared" si="125"/>
        <v/>
      </c>
      <c r="DF278" s="166" t="str">
        <f t="shared" si="126"/>
        <v/>
      </c>
      <c r="DG278" s="164" t="str">
        <f t="shared" si="127"/>
        <v/>
      </c>
      <c r="DH278" s="166" t="str">
        <f t="shared" si="128"/>
        <v/>
      </c>
      <c r="DI278" s="164" t="str">
        <f>IFERROR(INDEX(DC$233:DC$281,_xlfn.AGGREGATE(15,6,(ROW(DC$233:DC$281)-ROW(DC$233)+1)/(DC$233:DC$281&lt;&gt;""),ROWS(DI$1:DI46))),"")</f>
        <v/>
      </c>
      <c r="DJ278" s="165" t="str">
        <f>IFERROR(INDEX(DD$233:DD$281,_xlfn.AGGREGATE(15,6,(ROW(DD$233:DD$281)-ROW(DD$233)+1)/(DD$233:DD$281&lt;&gt;""),ROWS(DJ$1:DJ46))),"")</f>
        <v/>
      </c>
      <c r="DK278" s="166" t="str">
        <f t="shared" si="129"/>
        <v/>
      </c>
      <c r="DL278" s="164" t="str">
        <f>IFERROR(INDEX(DE$233:DE$281,_xlfn.AGGREGATE(15,6,(ROW(DE$233:DE$281)-ROW(DE$233)+1)/(DE$233:DE$281&lt;&gt;""),ROWS(DL$1:DL46))),"")</f>
        <v/>
      </c>
      <c r="DM278" s="165" t="str">
        <f>IFERROR(INDEX(DF$233:DF$281,_xlfn.AGGREGATE(15,6,(ROW(DF$233:DF$281)-ROW(DF$233)+1)/(DF$233:DF$281&lt;&gt;""),ROWS(DM$1:DM46))),"")</f>
        <v/>
      </c>
      <c r="DN278" s="166" t="str">
        <f t="shared" si="130"/>
        <v/>
      </c>
      <c r="DO278" s="164" t="str">
        <f>IFERROR(INDEX(DG$233:DG$281,_xlfn.AGGREGATE(15,6,(ROW(DG$233:DG$281)-ROW(DG$233)+1)/(DG$233:DG$281&lt;&gt;""),ROWS(DO$1:DO46))),"")</f>
        <v/>
      </c>
      <c r="DP278" s="165" t="str">
        <f>IFERROR(INDEX(DH$233:DH$281,_xlfn.AGGREGATE(15,6,(ROW(DH$233:DH$281)-ROW(DH$233)+1)/(DH$233:DH$281&lt;&gt;""),ROWS(DP$1:DP46))),"")</f>
        <v/>
      </c>
      <c r="DQ278" s="166" t="str">
        <f t="shared" si="131"/>
        <v/>
      </c>
      <c r="DV278" s="145">
        <v>2060</v>
      </c>
      <c r="DW278" s="235" t="e">
        <f t="shared" ca="1" si="115"/>
        <v>#REF!</v>
      </c>
      <c r="EA278" s="55"/>
      <c r="EB278" s="55"/>
      <c r="EC278" s="55"/>
      <c r="ED278" s="55"/>
      <c r="EE278" s="55"/>
    </row>
    <row r="279" spans="1:135" x14ac:dyDescent="0.4">
      <c r="A279" s="214"/>
      <c r="B279" s="128">
        <v>2058</v>
      </c>
      <c r="C279" s="1047"/>
      <c r="D279" s="1050"/>
      <c r="E279" s="1060"/>
      <c r="F279" s="1051"/>
      <c r="G279" s="1052"/>
      <c r="H279" s="1036"/>
      <c r="I279" s="1112"/>
      <c r="J279" s="247"/>
      <c r="K279" s="245"/>
      <c r="L279" s="246"/>
      <c r="M279" s="245"/>
      <c r="N279" s="29" t="s">
        <v>119</v>
      </c>
      <c r="R279" s="29">
        <v>44</v>
      </c>
      <c r="S279" s="238" t="str">
        <f t="shared" si="149"/>
        <v/>
      </c>
      <c r="T279" s="238" t="str">
        <f t="shared" si="150"/>
        <v/>
      </c>
      <c r="U279" s="238" t="str">
        <f t="shared" si="151"/>
        <v/>
      </c>
      <c r="W279" s="238" t="e">
        <f t="shared" si="119"/>
        <v>#N/A</v>
      </c>
      <c r="X279" s="238" t="e">
        <f t="shared" si="152"/>
        <v>#N/A</v>
      </c>
      <c r="Y279" s="238" t="e">
        <f t="shared" si="121"/>
        <v>#N/A</v>
      </c>
      <c r="AA279" s="1133">
        <v>1462.3399543378996</v>
      </c>
      <c r="AB279" s="1133">
        <v>1591.5781930451988</v>
      </c>
      <c r="AC279" s="1133">
        <v>1720.8164317524979</v>
      </c>
      <c r="AD279" s="89"/>
      <c r="AE279" s="89"/>
      <c r="AF279" s="89"/>
      <c r="AG279" s="89"/>
      <c r="AH279" s="89"/>
      <c r="AI279" s="89"/>
      <c r="AJ279" s="89"/>
      <c r="AK279" s="89"/>
      <c r="AL279" s="89"/>
      <c r="AM279" s="89"/>
      <c r="AN279" s="89"/>
      <c r="BR279" s="180">
        <v>2056</v>
      </c>
      <c r="BS279" s="22">
        <v>42</v>
      </c>
      <c r="BT279" s="181" t="e">
        <f t="shared" si="132"/>
        <v>#DIV/0!</v>
      </c>
      <c r="BU279" s="182" t="e">
        <f t="shared" si="133"/>
        <v>#DIV/0!</v>
      </c>
      <c r="BV279" s="242" t="e">
        <f t="shared" si="134"/>
        <v>#DIV/0!</v>
      </c>
      <c r="BY279" s="180">
        <v>2056</v>
      </c>
      <c r="BZ279" s="22">
        <v>42</v>
      </c>
      <c r="CA279" s="181" t="e">
        <f t="shared" ca="1" si="135"/>
        <v>#REF!</v>
      </c>
      <c r="CB279" s="181" t="e">
        <f t="shared" ca="1" si="136"/>
        <v>#REF!</v>
      </c>
      <c r="CC279" s="182" t="e">
        <f t="shared" ca="1" si="137"/>
        <v>#REF!</v>
      </c>
      <c r="CD279" s="242" t="e">
        <f t="shared" ca="1" si="138"/>
        <v>#REF!</v>
      </c>
      <c r="CG279" s="180">
        <v>2056</v>
      </c>
      <c r="CH279" s="22">
        <v>42</v>
      </c>
      <c r="CI279" s="181" t="e">
        <f t="shared" ca="1" si="139"/>
        <v>#REF!</v>
      </c>
      <c r="CJ279" s="181" t="e">
        <f t="shared" ca="1" si="140"/>
        <v>#REF!</v>
      </c>
      <c r="CK279" s="181" t="e">
        <f t="shared" ca="1" si="141"/>
        <v>#REF!</v>
      </c>
      <c r="CL279" s="182" t="e">
        <f t="shared" ca="1" si="142"/>
        <v>#REF!</v>
      </c>
      <c r="CM279" s="242" t="e">
        <f t="shared" ca="1" si="143"/>
        <v>#REF!</v>
      </c>
      <c r="CP279" s="180">
        <v>2056</v>
      </c>
      <c r="CQ279" s="22">
        <v>42</v>
      </c>
      <c r="CR279" s="181" t="e">
        <f t="shared" ca="1" si="144"/>
        <v>#REF!</v>
      </c>
      <c r="CS279" s="182" t="e">
        <f t="shared" ca="1" si="145"/>
        <v>#REF!</v>
      </c>
      <c r="CT279" s="242" t="e">
        <f t="shared" ca="1" si="146"/>
        <v>#REF!</v>
      </c>
      <c r="CZ279" s="252"/>
      <c r="DA279" s="252"/>
      <c r="DB279" s="252"/>
      <c r="DC279" s="252"/>
      <c r="DD279" s="252"/>
      <c r="DE279" s="252"/>
      <c r="DF279" s="252"/>
      <c r="DG279" s="252"/>
      <c r="DH279" s="252"/>
      <c r="DI279" s="252"/>
      <c r="DJ279" s="252"/>
      <c r="DK279" s="252"/>
      <c r="DL279" s="252"/>
      <c r="DM279" s="252"/>
      <c r="DN279" s="252"/>
      <c r="DO279" s="252"/>
      <c r="DP279" s="252"/>
      <c r="DQ279" s="252"/>
      <c r="DW279" s="54"/>
      <c r="EA279" s="55"/>
      <c r="EB279" s="55"/>
      <c r="EC279" s="55"/>
      <c r="ED279" s="55"/>
      <c r="EE279" s="55"/>
    </row>
    <row r="280" spans="1:135" ht="13.8" x14ac:dyDescent="0.45">
      <c r="A280" s="214"/>
      <c r="B280" s="128">
        <v>2059</v>
      </c>
      <c r="C280" s="1047"/>
      <c r="D280" s="1050"/>
      <c r="E280" s="1060"/>
      <c r="F280" s="1051"/>
      <c r="G280" s="1052"/>
      <c r="H280" s="1036"/>
      <c r="I280" s="1112"/>
      <c r="J280" s="247"/>
      <c r="K280" s="245"/>
      <c r="L280" s="246"/>
      <c r="M280" s="245"/>
      <c r="N280" s="29" t="s">
        <v>119</v>
      </c>
      <c r="R280" s="29">
        <v>45</v>
      </c>
      <c r="S280" s="238" t="str">
        <f t="shared" si="149"/>
        <v/>
      </c>
      <c r="T280" s="238" t="str">
        <f t="shared" si="150"/>
        <v/>
      </c>
      <c r="U280" s="238" t="str">
        <f t="shared" si="151"/>
        <v/>
      </c>
      <c r="W280" s="238" t="e">
        <f t="shared" si="119"/>
        <v>#N/A</v>
      </c>
      <c r="X280" s="238" t="e">
        <f t="shared" si="152"/>
        <v>#N/A</v>
      </c>
      <c r="Y280" s="238" t="e">
        <f t="shared" si="121"/>
        <v>#N/A</v>
      </c>
      <c r="AA280" s="1133">
        <v>1478.5889269406393</v>
      </c>
      <c r="AB280" s="1133">
        <v>1602.7220074820641</v>
      </c>
      <c r="AC280" s="1133">
        <v>1726.8550880234889</v>
      </c>
      <c r="AD280" s="89"/>
      <c r="AE280" s="89"/>
      <c r="AF280" s="89"/>
      <c r="AG280" s="89"/>
      <c r="AH280" s="89"/>
      <c r="AI280" s="89"/>
      <c r="AJ280" s="89"/>
      <c r="AK280" s="89"/>
      <c r="AL280" s="89"/>
      <c r="AM280" s="89"/>
      <c r="AN280" s="89"/>
      <c r="BR280" s="180">
        <v>2057</v>
      </c>
      <c r="BS280" s="22">
        <v>43</v>
      </c>
      <c r="BT280" s="181" t="e">
        <f t="shared" si="132"/>
        <v>#DIV/0!</v>
      </c>
      <c r="BU280" s="182" t="e">
        <f t="shared" si="133"/>
        <v>#DIV/0!</v>
      </c>
      <c r="BV280" s="242" t="e">
        <f t="shared" si="134"/>
        <v>#DIV/0!</v>
      </c>
      <c r="BY280" s="180">
        <v>2057</v>
      </c>
      <c r="BZ280" s="22">
        <v>43</v>
      </c>
      <c r="CA280" s="181" t="e">
        <f t="shared" ca="1" si="135"/>
        <v>#REF!</v>
      </c>
      <c r="CB280" s="181" t="e">
        <f t="shared" ca="1" si="136"/>
        <v>#REF!</v>
      </c>
      <c r="CC280" s="182" t="e">
        <f t="shared" ca="1" si="137"/>
        <v>#REF!</v>
      </c>
      <c r="CD280" s="242" t="e">
        <f t="shared" ca="1" si="138"/>
        <v>#REF!</v>
      </c>
      <c r="CG280" s="180">
        <v>2057</v>
      </c>
      <c r="CH280" s="22">
        <v>43</v>
      </c>
      <c r="CI280" s="181" t="e">
        <f t="shared" ca="1" si="139"/>
        <v>#REF!</v>
      </c>
      <c r="CJ280" s="181" t="e">
        <f t="shared" ca="1" si="140"/>
        <v>#REF!</v>
      </c>
      <c r="CK280" s="181" t="e">
        <f t="shared" ca="1" si="141"/>
        <v>#REF!</v>
      </c>
      <c r="CL280" s="182" t="e">
        <f t="shared" ca="1" si="142"/>
        <v>#REF!</v>
      </c>
      <c r="CM280" s="242" t="e">
        <f t="shared" ca="1" si="143"/>
        <v>#REF!</v>
      </c>
      <c r="CP280" s="180">
        <v>2057</v>
      </c>
      <c r="CQ280" s="22">
        <v>43</v>
      </c>
      <c r="CR280" s="181" t="e">
        <f t="shared" ca="1" si="144"/>
        <v>#REF!</v>
      </c>
      <c r="CS280" s="182" t="e">
        <f t="shared" ca="1" si="145"/>
        <v>#REF!</v>
      </c>
      <c r="CT280" s="242" t="e">
        <f t="shared" ca="1" si="146"/>
        <v>#REF!</v>
      </c>
      <c r="CZ280" s="165"/>
      <c r="DA280" s="165"/>
      <c r="DB280" s="165"/>
      <c r="DC280" s="165"/>
      <c r="DD280" s="165"/>
      <c r="DE280" s="165"/>
      <c r="DF280" s="165"/>
      <c r="DG280" s="165"/>
      <c r="DH280" s="165"/>
      <c r="DI280" s="165"/>
      <c r="DJ280" s="165"/>
      <c r="DK280" s="165"/>
      <c r="DL280" s="165"/>
      <c r="DM280" s="165"/>
      <c r="DN280" s="165"/>
      <c r="DO280" s="165"/>
      <c r="DP280" s="165"/>
      <c r="DQ280" s="165"/>
      <c r="DR280" s="89"/>
      <c r="DW280" s="54"/>
      <c r="EA280" s="55"/>
      <c r="EB280" s="55"/>
      <c r="EC280" s="55"/>
      <c r="ED280" s="55"/>
      <c r="EE280" s="55"/>
    </row>
    <row r="281" spans="1:135" ht="14.1" thickBot="1" x14ac:dyDescent="0.5">
      <c r="A281" s="214"/>
      <c r="B281" s="128">
        <v>2060</v>
      </c>
      <c r="C281" s="1061"/>
      <c r="D281" s="1062"/>
      <c r="E281" s="1063"/>
      <c r="F281" s="1056"/>
      <c r="G281" s="1057"/>
      <c r="H281" s="1043"/>
      <c r="I281" s="1115"/>
      <c r="J281" s="251"/>
      <c r="K281" s="249"/>
      <c r="L281" s="250"/>
      <c r="M281" s="249"/>
      <c r="N281" s="29" t="s">
        <v>119</v>
      </c>
      <c r="R281" s="29">
        <v>46</v>
      </c>
      <c r="S281" s="238" t="str">
        <f t="shared" si="149"/>
        <v/>
      </c>
      <c r="T281" s="238" t="str">
        <f t="shared" si="150"/>
        <v/>
      </c>
      <c r="U281" s="238" t="str">
        <f t="shared" si="151"/>
        <v/>
      </c>
      <c r="W281" s="238" t="e">
        <f t="shared" si="119"/>
        <v>#N/A</v>
      </c>
      <c r="X281" s="238" t="e">
        <f t="shared" si="152"/>
        <v>#N/A</v>
      </c>
      <c r="Y281" s="238" t="e">
        <f t="shared" si="121"/>
        <v>#N/A</v>
      </c>
      <c r="AA281" s="1133">
        <v>1494.8378995433791</v>
      </c>
      <c r="AB281" s="1133">
        <v>1613.5797007390161</v>
      </c>
      <c r="AC281" s="1133">
        <v>1732.321501934653</v>
      </c>
      <c r="AD281" s="89"/>
      <c r="AE281" s="89"/>
      <c r="AF281" s="89"/>
      <c r="AG281" s="89"/>
      <c r="AH281" s="89"/>
      <c r="AI281" s="89"/>
      <c r="AJ281" s="89"/>
      <c r="AK281" s="89"/>
      <c r="AL281" s="89"/>
      <c r="AM281" s="89"/>
      <c r="AN281" s="89"/>
      <c r="BR281" s="180">
        <v>2058</v>
      </c>
      <c r="BS281" s="22">
        <v>44</v>
      </c>
      <c r="BT281" s="181" t="e">
        <f t="shared" si="132"/>
        <v>#DIV/0!</v>
      </c>
      <c r="BU281" s="182" t="e">
        <f t="shared" si="133"/>
        <v>#DIV/0!</v>
      </c>
      <c r="BV281" s="242" t="e">
        <f t="shared" si="134"/>
        <v>#DIV/0!</v>
      </c>
      <c r="BY281" s="180">
        <v>2058</v>
      </c>
      <c r="BZ281" s="22">
        <v>44</v>
      </c>
      <c r="CA281" s="181" t="e">
        <f t="shared" ca="1" si="135"/>
        <v>#REF!</v>
      </c>
      <c r="CB281" s="181" t="e">
        <f t="shared" ca="1" si="136"/>
        <v>#REF!</v>
      </c>
      <c r="CC281" s="182" t="e">
        <f t="shared" ca="1" si="137"/>
        <v>#REF!</v>
      </c>
      <c r="CD281" s="242" t="e">
        <f t="shared" ca="1" si="138"/>
        <v>#REF!</v>
      </c>
      <c r="CG281" s="180">
        <v>2058</v>
      </c>
      <c r="CH281" s="22">
        <v>44</v>
      </c>
      <c r="CI281" s="181" t="e">
        <f t="shared" ca="1" si="139"/>
        <v>#REF!</v>
      </c>
      <c r="CJ281" s="181" t="e">
        <f t="shared" ca="1" si="140"/>
        <v>#REF!</v>
      </c>
      <c r="CK281" s="181" t="e">
        <f t="shared" ca="1" si="141"/>
        <v>#REF!</v>
      </c>
      <c r="CL281" s="182" t="e">
        <f t="shared" ca="1" si="142"/>
        <v>#REF!</v>
      </c>
      <c r="CM281" s="242" t="e">
        <f t="shared" ca="1" si="143"/>
        <v>#REF!</v>
      </c>
      <c r="CP281" s="180">
        <v>2058</v>
      </c>
      <c r="CQ281" s="22">
        <v>44</v>
      </c>
      <c r="CR281" s="181" t="e">
        <f t="shared" ca="1" si="144"/>
        <v>#REF!</v>
      </c>
      <c r="CS281" s="182" t="e">
        <f t="shared" ca="1" si="145"/>
        <v>#REF!</v>
      </c>
      <c r="CT281" s="242" t="e">
        <f t="shared" ca="1" si="146"/>
        <v>#REF!</v>
      </c>
      <c r="CZ281" s="165"/>
      <c r="DA281" s="165"/>
      <c r="DB281" s="165"/>
      <c r="DC281" s="165"/>
      <c r="DD281" s="165"/>
      <c r="DE281" s="165"/>
      <c r="DF281" s="165"/>
      <c r="DG281" s="165"/>
      <c r="DH281" s="165"/>
      <c r="DI281" s="165"/>
      <c r="DJ281" s="165"/>
      <c r="DK281" s="165"/>
      <c r="DL281" s="165"/>
      <c r="DM281" s="165"/>
      <c r="DN281" s="165"/>
      <c r="DO281" s="165"/>
      <c r="DP281" s="165"/>
      <c r="DQ281" s="165"/>
      <c r="DR281" s="89"/>
      <c r="DW281" s="54"/>
      <c r="EA281" s="55"/>
      <c r="EB281" s="55"/>
      <c r="EC281" s="55"/>
      <c r="ED281" s="55"/>
      <c r="EE281" s="55"/>
    </row>
    <row r="282" spans="1:135" x14ac:dyDescent="0.4">
      <c r="A282" s="214"/>
      <c r="B282" s="89"/>
      <c r="C282" s="14"/>
      <c r="D282" s="14"/>
      <c r="E282" s="14"/>
      <c r="F282" s="14"/>
      <c r="G282" s="14"/>
      <c r="H282" s="14"/>
      <c r="I282" s="14"/>
      <c r="J282" s="14"/>
      <c r="K282" s="14"/>
      <c r="L282" s="14"/>
      <c r="M282" s="50"/>
      <c r="S282" s="120"/>
      <c r="T282" s="120"/>
      <c r="U282" s="120"/>
      <c r="W282" s="120"/>
      <c r="X282" s="120"/>
      <c r="Y282" s="120"/>
      <c r="AA282" s="89"/>
      <c r="AB282" s="89"/>
      <c r="AC282" s="89"/>
      <c r="AD282" s="89"/>
      <c r="AE282" s="89"/>
      <c r="AF282" s="89"/>
      <c r="AG282" s="89"/>
      <c r="AH282" s="89"/>
      <c r="AI282" s="89"/>
      <c r="AJ282" s="89"/>
      <c r="AK282" s="89"/>
      <c r="AL282" s="89"/>
      <c r="AM282" s="89"/>
      <c r="AN282" s="89"/>
      <c r="BR282" s="180">
        <v>2059</v>
      </c>
      <c r="BS282" s="22">
        <v>45</v>
      </c>
      <c r="BT282" s="181" t="e">
        <f t="shared" si="132"/>
        <v>#DIV/0!</v>
      </c>
      <c r="BU282" s="182" t="e">
        <f t="shared" si="133"/>
        <v>#DIV/0!</v>
      </c>
      <c r="BV282" s="242" t="e">
        <f t="shared" si="134"/>
        <v>#DIV/0!</v>
      </c>
      <c r="BY282" s="180">
        <v>2059</v>
      </c>
      <c r="BZ282" s="22">
        <v>45</v>
      </c>
      <c r="CA282" s="181" t="e">
        <f t="shared" ca="1" si="135"/>
        <v>#REF!</v>
      </c>
      <c r="CB282" s="181" t="e">
        <f t="shared" ca="1" si="136"/>
        <v>#REF!</v>
      </c>
      <c r="CC282" s="182" t="e">
        <f t="shared" ca="1" si="137"/>
        <v>#REF!</v>
      </c>
      <c r="CD282" s="242" t="e">
        <f t="shared" ca="1" si="138"/>
        <v>#REF!</v>
      </c>
      <c r="CG282" s="180">
        <v>2059</v>
      </c>
      <c r="CH282" s="22">
        <v>45</v>
      </c>
      <c r="CI282" s="181" t="e">
        <f t="shared" ca="1" si="139"/>
        <v>#REF!</v>
      </c>
      <c r="CJ282" s="181" t="e">
        <f t="shared" ca="1" si="140"/>
        <v>#REF!</v>
      </c>
      <c r="CK282" s="181" t="e">
        <f t="shared" ca="1" si="141"/>
        <v>#REF!</v>
      </c>
      <c r="CL282" s="182" t="e">
        <f t="shared" ca="1" si="142"/>
        <v>#REF!</v>
      </c>
      <c r="CM282" s="242" t="e">
        <f t="shared" ca="1" si="143"/>
        <v>#REF!</v>
      </c>
      <c r="CP282" s="180">
        <v>2059</v>
      </c>
      <c r="CQ282" s="22">
        <v>45</v>
      </c>
      <c r="CR282" s="181" t="e">
        <f t="shared" ca="1" si="144"/>
        <v>#REF!</v>
      </c>
      <c r="CS282" s="182" t="e">
        <f t="shared" ca="1" si="145"/>
        <v>#REF!</v>
      </c>
      <c r="CT282" s="242" t="e">
        <f t="shared" ca="1" si="146"/>
        <v>#REF!</v>
      </c>
      <c r="CZ282" s="89"/>
      <c r="DA282" s="89"/>
      <c r="DB282" s="89"/>
      <c r="DC282" s="89"/>
      <c r="DD282" s="89"/>
      <c r="DE282" s="89"/>
      <c r="DF282" s="89"/>
      <c r="DG282" s="89"/>
      <c r="DH282" s="89"/>
      <c r="DI282" s="89"/>
      <c r="DJ282" s="89"/>
      <c r="DK282" s="89"/>
      <c r="DL282" s="89"/>
      <c r="DM282" s="89"/>
      <c r="DN282" s="89"/>
      <c r="DO282" s="89"/>
      <c r="DP282" s="89"/>
      <c r="DQ282" s="89"/>
      <c r="DR282" s="89"/>
      <c r="DU282" s="65"/>
      <c r="DW282" s="54"/>
      <c r="EA282" s="55"/>
      <c r="EB282" s="55"/>
      <c r="EC282" s="55"/>
      <c r="ED282" s="55"/>
      <c r="EE282" s="55"/>
    </row>
    <row r="283" spans="1:135" x14ac:dyDescent="0.4">
      <c r="A283" s="214"/>
      <c r="B283" s="89"/>
      <c r="C283" s="14"/>
      <c r="D283" s="14"/>
      <c r="E283" s="14"/>
      <c r="F283" s="14"/>
      <c r="G283" s="14"/>
      <c r="H283" s="14"/>
      <c r="I283" s="14"/>
      <c r="J283" s="14"/>
      <c r="K283" s="14"/>
      <c r="L283" s="14"/>
      <c r="M283" s="50"/>
      <c r="S283" s="120"/>
      <c r="T283" s="120"/>
      <c r="U283" s="120"/>
      <c r="W283" s="120"/>
      <c r="X283" s="120"/>
      <c r="Y283" s="120"/>
      <c r="AA283" s="89"/>
      <c r="AB283" s="89"/>
      <c r="AC283" s="89"/>
      <c r="AD283" s="89"/>
      <c r="AE283" s="89"/>
      <c r="AF283" s="89"/>
      <c r="AG283" s="89"/>
      <c r="AH283" s="89"/>
      <c r="AI283" s="89"/>
      <c r="AJ283" s="89"/>
      <c r="AK283" s="89"/>
      <c r="AL283" s="89"/>
      <c r="AM283" s="89"/>
      <c r="AN283" s="89"/>
      <c r="BR283" s="180">
        <v>2060</v>
      </c>
      <c r="BS283" s="22">
        <v>46</v>
      </c>
      <c r="BT283" s="181" t="e">
        <f t="shared" si="132"/>
        <v>#DIV/0!</v>
      </c>
      <c r="BU283" s="182" t="e">
        <f t="shared" si="133"/>
        <v>#DIV/0!</v>
      </c>
      <c r="BV283" s="242" t="e">
        <f t="shared" si="134"/>
        <v>#DIV/0!</v>
      </c>
      <c r="BY283" s="180">
        <v>2060</v>
      </c>
      <c r="BZ283" s="22">
        <v>46</v>
      </c>
      <c r="CA283" s="181" t="e">
        <f t="shared" ca="1" si="135"/>
        <v>#REF!</v>
      </c>
      <c r="CB283" s="181" t="e">
        <f t="shared" ca="1" si="136"/>
        <v>#REF!</v>
      </c>
      <c r="CC283" s="182" t="e">
        <f t="shared" ca="1" si="137"/>
        <v>#REF!</v>
      </c>
      <c r="CD283" s="242" t="e">
        <f t="shared" ca="1" si="138"/>
        <v>#REF!</v>
      </c>
      <c r="CG283" s="180">
        <v>2060</v>
      </c>
      <c r="CH283" s="22">
        <v>46</v>
      </c>
      <c r="CI283" s="181" t="e">
        <f t="shared" ca="1" si="139"/>
        <v>#REF!</v>
      </c>
      <c r="CJ283" s="181" t="e">
        <f t="shared" ca="1" si="140"/>
        <v>#REF!</v>
      </c>
      <c r="CK283" s="181" t="e">
        <f t="shared" ca="1" si="141"/>
        <v>#REF!</v>
      </c>
      <c r="CL283" s="182" t="e">
        <f t="shared" ca="1" si="142"/>
        <v>#REF!</v>
      </c>
      <c r="CM283" s="242" t="e">
        <f t="shared" ca="1" si="143"/>
        <v>#REF!</v>
      </c>
      <c r="CP283" s="180">
        <v>2060</v>
      </c>
      <c r="CQ283" s="22">
        <v>46</v>
      </c>
      <c r="CR283" s="181" t="e">
        <f t="shared" ca="1" si="144"/>
        <v>#REF!</v>
      </c>
      <c r="CS283" s="182" t="e">
        <f t="shared" ca="1" si="145"/>
        <v>#REF!</v>
      </c>
      <c r="CT283" s="242" t="e">
        <f t="shared" ca="1" si="146"/>
        <v>#REF!</v>
      </c>
      <c r="CZ283" s="89"/>
      <c r="DA283" s="89"/>
      <c r="DB283" s="89"/>
      <c r="DC283" s="89"/>
      <c r="DD283" s="89"/>
      <c r="DE283" s="89"/>
      <c r="DF283" s="89"/>
      <c r="DG283" s="89"/>
      <c r="DH283" s="89"/>
      <c r="DI283" s="89"/>
      <c r="DJ283" s="89"/>
      <c r="DK283" s="89"/>
      <c r="DL283" s="89"/>
      <c r="DM283" s="89"/>
      <c r="DN283" s="89"/>
      <c r="DO283" s="89"/>
      <c r="DP283" s="89"/>
      <c r="DQ283" s="89"/>
      <c r="DR283" s="89"/>
      <c r="DW283" s="54"/>
      <c r="EA283" s="55"/>
      <c r="EB283" s="55"/>
      <c r="EC283" s="55"/>
      <c r="ED283" s="55"/>
      <c r="EE283" s="55"/>
    </row>
    <row r="284" spans="1:135" x14ac:dyDescent="0.4">
      <c r="A284" s="221" t="str">
        <f ca="1">HYPERLINK("#"&amp;"'"&amp;A$1&amp;"'!a1","Back to top")</f>
        <v>Back to top</v>
      </c>
      <c r="C284" s="50"/>
      <c r="D284" s="14"/>
      <c r="E284" s="14"/>
      <c r="F284" s="14"/>
      <c r="G284" s="14"/>
      <c r="H284" s="14"/>
      <c r="I284" s="14"/>
      <c r="J284" s="14"/>
      <c r="K284" s="14"/>
      <c r="L284" s="14"/>
      <c r="M284" s="14"/>
      <c r="N284" s="89"/>
      <c r="O284" s="89"/>
      <c r="P284" s="89"/>
      <c r="Q284" s="89"/>
      <c r="R284" s="89"/>
      <c r="S284" s="89"/>
      <c r="T284" s="89"/>
      <c r="U284" s="89"/>
      <c r="V284" s="89"/>
      <c r="W284" s="89"/>
      <c r="X284" s="89"/>
      <c r="Y284" s="89"/>
      <c r="Z284" s="89"/>
      <c r="AA284" s="89"/>
      <c r="AB284" s="89"/>
      <c r="AC284" s="89"/>
      <c r="AD284" s="89"/>
      <c r="AE284" s="89"/>
      <c r="AF284" s="89"/>
      <c r="AG284" s="89"/>
      <c r="AH284" s="89"/>
      <c r="AI284" s="89"/>
      <c r="AJ284" s="89"/>
      <c r="AK284" s="89"/>
      <c r="AL284" s="89"/>
      <c r="AM284" s="89"/>
      <c r="AN284" s="89"/>
      <c r="DW284" s="54"/>
      <c r="EA284" s="55"/>
      <c r="EB284" s="55"/>
      <c r="EC284" s="55"/>
      <c r="ED284" s="55"/>
      <c r="EE284" s="55"/>
    </row>
    <row r="285" spans="1:135" x14ac:dyDescent="0.4">
      <c r="A285" s="221"/>
      <c r="C285" s="50"/>
      <c r="D285" s="14"/>
      <c r="E285" s="14"/>
      <c r="F285" s="14"/>
      <c r="G285" s="14"/>
      <c r="H285" s="14"/>
      <c r="I285" s="14"/>
      <c r="J285" s="14"/>
      <c r="K285" s="14"/>
      <c r="L285" s="14"/>
      <c r="M285" s="14"/>
      <c r="N285" s="89"/>
      <c r="O285" s="89"/>
      <c r="P285" s="89"/>
      <c r="Q285" s="89"/>
      <c r="R285" s="89"/>
      <c r="S285" s="89"/>
      <c r="T285" s="89"/>
      <c r="U285" s="89"/>
      <c r="V285" s="89"/>
      <c r="W285" s="89"/>
      <c r="X285" s="89"/>
      <c r="Y285" s="89"/>
      <c r="Z285" s="89"/>
      <c r="AA285" s="89"/>
      <c r="AB285" s="89"/>
      <c r="AC285" s="89"/>
      <c r="AD285" s="89"/>
      <c r="AE285" s="89"/>
      <c r="AF285" s="89"/>
      <c r="AG285" s="89"/>
      <c r="AH285" s="89"/>
      <c r="AI285" s="89"/>
      <c r="AJ285" s="89"/>
      <c r="AK285" s="89"/>
      <c r="AL285" s="89"/>
      <c r="AM285" s="89"/>
      <c r="AN285" s="89"/>
      <c r="DW285" s="54"/>
      <c r="EA285" s="55"/>
      <c r="EB285" s="55"/>
      <c r="EC285" s="55"/>
      <c r="ED285" s="55"/>
      <c r="EE285" s="55"/>
    </row>
    <row r="286" spans="1:135" x14ac:dyDescent="0.4">
      <c r="A286" s="214"/>
      <c r="B286" s="89"/>
      <c r="C286" s="14"/>
      <c r="D286" s="14"/>
      <c r="E286" s="14"/>
      <c r="F286" s="14"/>
      <c r="G286" s="14"/>
      <c r="H286" s="14"/>
      <c r="I286" s="14"/>
      <c r="J286" s="14"/>
      <c r="K286" s="14"/>
      <c r="L286" s="14"/>
      <c r="M286" s="50"/>
      <c r="N286" s="49"/>
      <c r="O286" s="49"/>
      <c r="P286" s="49"/>
      <c r="Q286" s="49"/>
      <c r="R286" s="49"/>
      <c r="S286" s="120"/>
      <c r="T286" s="120"/>
      <c r="U286" s="120"/>
      <c r="V286" s="49"/>
      <c r="W286" s="120"/>
      <c r="X286" s="120"/>
      <c r="Y286" s="120"/>
      <c r="Z286" s="89"/>
      <c r="AA286" s="89"/>
      <c r="AB286" s="89"/>
      <c r="AC286" s="89"/>
      <c r="AD286" s="89"/>
      <c r="AE286" s="89"/>
      <c r="AF286" s="89"/>
      <c r="AG286" s="89"/>
      <c r="AH286" s="89"/>
      <c r="AI286" s="89"/>
      <c r="AJ286" s="89"/>
      <c r="AK286" s="89"/>
      <c r="AL286" s="89"/>
      <c r="AM286" s="89"/>
      <c r="AN286" s="89"/>
      <c r="AO286" s="49"/>
      <c r="AP286" s="49"/>
      <c r="AQ286" s="49"/>
      <c r="AR286" s="49"/>
      <c r="AS286" s="49"/>
      <c r="AT286" s="49"/>
      <c r="AU286" s="49"/>
      <c r="AV286" s="49"/>
      <c r="AW286" s="49"/>
      <c r="AX286" s="49"/>
      <c r="AY286" s="49"/>
      <c r="AZ286" s="49"/>
      <c r="BA286" s="49"/>
      <c r="BB286" s="49"/>
      <c r="BC286" s="49"/>
      <c r="BD286" s="49"/>
      <c r="BE286" s="49"/>
      <c r="BF286" s="49"/>
      <c r="BG286" s="49"/>
      <c r="BH286" s="49"/>
      <c r="BI286" s="49"/>
      <c r="BJ286" s="49"/>
      <c r="BK286" s="49"/>
      <c r="BL286" s="49"/>
    </row>
    <row r="287" spans="1:135" x14ac:dyDescent="0.4">
      <c r="A287" s="253"/>
      <c r="B287" s="254"/>
      <c r="C287" s="255"/>
      <c r="D287" s="255"/>
      <c r="E287" s="255"/>
      <c r="F287" s="255"/>
      <c r="G287" s="255"/>
      <c r="H287" s="255"/>
      <c r="I287" s="255"/>
      <c r="J287" s="255"/>
      <c r="K287" s="255"/>
      <c r="L287" s="255"/>
      <c r="M287" s="256"/>
      <c r="S287" s="257"/>
      <c r="T287" s="257"/>
      <c r="U287" s="257"/>
      <c r="W287" s="257"/>
      <c r="X287" s="257"/>
      <c r="Y287" s="257"/>
      <c r="Z287" s="254"/>
      <c r="AA287" s="254"/>
      <c r="AB287" s="254"/>
      <c r="AC287" s="254"/>
      <c r="AD287" s="254"/>
      <c r="AE287" s="254"/>
      <c r="AF287" s="254"/>
      <c r="AG287" s="254"/>
      <c r="AH287" s="254"/>
      <c r="AI287" s="254"/>
      <c r="AJ287" s="254"/>
      <c r="AK287" s="254"/>
      <c r="AL287" s="254"/>
      <c r="AM287" s="254"/>
      <c r="AN287" s="254"/>
      <c r="DW287" s="258"/>
      <c r="EA287" s="259"/>
      <c r="EB287" s="259"/>
      <c r="EC287" s="259"/>
      <c r="ED287" s="259"/>
      <c r="EE287" s="259"/>
    </row>
    <row r="288" spans="1:135" x14ac:dyDescent="0.4">
      <c r="A288" s="253"/>
      <c r="B288" s="254"/>
      <c r="C288" s="255"/>
      <c r="D288" s="255"/>
      <c r="E288" s="255"/>
      <c r="F288" s="255"/>
      <c r="G288" s="255"/>
      <c r="H288" s="255"/>
      <c r="I288" s="255"/>
      <c r="J288" s="255"/>
      <c r="K288" s="255"/>
      <c r="L288" s="255"/>
      <c r="M288" s="256"/>
      <c r="S288" s="257"/>
      <c r="T288" s="257"/>
      <c r="U288" s="257"/>
      <c r="W288" s="257"/>
      <c r="X288" s="257"/>
      <c r="Y288" s="257"/>
      <c r="Z288" s="254"/>
      <c r="AA288" s="254"/>
      <c r="AB288" s="254"/>
      <c r="AC288" s="254"/>
      <c r="AD288" s="254"/>
      <c r="AE288" s="254"/>
      <c r="AF288" s="254"/>
      <c r="AG288" s="254"/>
      <c r="AH288" s="254"/>
      <c r="AI288" s="254"/>
      <c r="AJ288" s="254"/>
      <c r="AK288" s="254"/>
      <c r="AL288" s="254"/>
      <c r="AM288" s="254"/>
      <c r="AN288" s="254"/>
      <c r="DW288" s="258"/>
      <c r="EA288" s="259"/>
      <c r="EB288" s="259"/>
      <c r="EC288" s="259"/>
      <c r="ED288" s="259"/>
      <c r="EE288" s="259"/>
    </row>
    <row r="289" spans="1:135" x14ac:dyDescent="0.4">
      <c r="A289" s="221"/>
      <c r="B289" s="281"/>
      <c r="C289" s="50"/>
      <c r="D289" s="14"/>
      <c r="E289" s="14"/>
      <c r="F289" s="14"/>
      <c r="G289" s="14"/>
      <c r="H289" s="14"/>
      <c r="I289" s="14"/>
      <c r="J289" s="14"/>
      <c r="K289" s="14"/>
      <c r="L289" s="14"/>
      <c r="M289" s="14"/>
      <c r="N289" s="89"/>
      <c r="O289" s="89"/>
      <c r="P289" s="89"/>
      <c r="Q289" s="89"/>
      <c r="R289" s="89"/>
      <c r="S289" s="89"/>
      <c r="T289" s="89"/>
      <c r="U289" s="89"/>
      <c r="V289" s="89"/>
      <c r="W289" s="89"/>
      <c r="X289" s="89"/>
      <c r="Y289" s="89"/>
      <c r="Z289" s="89"/>
      <c r="AA289" s="89"/>
      <c r="AB289" s="89"/>
      <c r="AC289" s="89"/>
      <c r="AD289" s="89"/>
      <c r="AE289" s="89"/>
      <c r="AF289" s="89"/>
      <c r="AG289" s="89"/>
      <c r="AH289" s="89"/>
      <c r="AI289" s="89"/>
      <c r="AJ289" s="89"/>
      <c r="AK289" s="89"/>
      <c r="AL289" s="89"/>
      <c r="AM289" s="89"/>
      <c r="AN289" s="89"/>
      <c r="AO289" s="49"/>
      <c r="AP289" s="49"/>
      <c r="AQ289" s="49"/>
      <c r="AR289" s="49"/>
      <c r="AS289" s="49"/>
      <c r="AT289" s="49"/>
      <c r="AU289" s="49"/>
      <c r="AV289" s="49"/>
      <c r="AW289" s="49"/>
      <c r="AX289" s="49"/>
      <c r="AY289" s="49"/>
      <c r="AZ289" s="49"/>
      <c r="BA289" s="49"/>
      <c r="BB289" s="49"/>
      <c r="BC289" s="49"/>
      <c r="BD289" s="49"/>
      <c r="BE289" s="49"/>
      <c r="BF289" s="49"/>
      <c r="BG289" s="49"/>
      <c r="BH289" s="49"/>
      <c r="BI289" s="49"/>
      <c r="BJ289" s="49"/>
      <c r="BK289" s="49"/>
      <c r="BL289" s="49"/>
      <c r="BM289" s="49"/>
      <c r="BN289" s="49"/>
      <c r="BO289" s="49"/>
      <c r="BP289" s="49"/>
      <c r="DW289" s="282"/>
      <c r="EA289" s="232"/>
      <c r="EB289" s="232"/>
      <c r="EC289" s="232"/>
      <c r="ED289" s="232"/>
      <c r="EE289" s="232"/>
    </row>
    <row r="290" spans="1:135" x14ac:dyDescent="0.4">
      <c r="A290" s="221"/>
      <c r="B290" s="281"/>
      <c r="C290" s="50"/>
      <c r="D290" s="14"/>
      <c r="E290" s="14"/>
      <c r="F290" s="14"/>
      <c r="G290" s="14"/>
      <c r="H290" s="14"/>
      <c r="I290" s="14"/>
      <c r="J290" s="14"/>
      <c r="K290" s="14"/>
      <c r="L290" s="14"/>
      <c r="M290" s="14"/>
      <c r="N290" s="89"/>
      <c r="O290" s="89"/>
      <c r="P290" s="89"/>
      <c r="Q290" s="89"/>
      <c r="R290" s="89"/>
      <c r="S290" s="89"/>
      <c r="T290" s="89"/>
      <c r="U290" s="89"/>
      <c r="V290" s="89"/>
      <c r="W290" s="89"/>
      <c r="X290" s="89"/>
      <c r="Y290" s="89"/>
      <c r="Z290" s="89"/>
      <c r="AA290" s="89"/>
      <c r="AB290" s="89"/>
      <c r="AC290" s="89"/>
      <c r="AD290" s="89"/>
      <c r="AE290" s="89"/>
      <c r="AF290" s="89"/>
      <c r="AG290" s="89"/>
      <c r="AH290" s="89"/>
      <c r="AI290" s="89"/>
      <c r="AJ290" s="89"/>
      <c r="AK290" s="89"/>
      <c r="AL290" s="89"/>
      <c r="AM290" s="89"/>
      <c r="AN290" s="89"/>
      <c r="AO290" s="49"/>
      <c r="AP290" s="49"/>
      <c r="AQ290" s="49"/>
      <c r="AR290" s="49"/>
      <c r="AS290" s="49"/>
      <c r="AT290" s="49"/>
      <c r="AU290" s="49"/>
      <c r="AV290" s="49"/>
      <c r="AW290" s="49"/>
      <c r="AX290" s="49"/>
      <c r="AY290" s="49"/>
      <c r="AZ290" s="49"/>
      <c r="BA290" s="49"/>
      <c r="BB290" s="49"/>
      <c r="BC290" s="49"/>
      <c r="BD290" s="49"/>
      <c r="BE290" s="49"/>
      <c r="BF290" s="49"/>
      <c r="BG290" s="49"/>
      <c r="BH290" s="49"/>
      <c r="BI290" s="49"/>
      <c r="BJ290" s="49"/>
      <c r="BK290" s="49"/>
      <c r="BL290" s="49"/>
      <c r="BM290" s="49"/>
      <c r="BN290" s="49"/>
      <c r="BO290" s="49"/>
      <c r="BP290" s="49"/>
      <c r="DW290" s="282"/>
      <c r="EA290" s="232"/>
      <c r="EB290" s="232"/>
      <c r="EC290" s="232"/>
      <c r="ED290" s="232"/>
      <c r="EE290" s="232"/>
    </row>
    <row r="291" spans="1:135" x14ac:dyDescent="0.4">
      <c r="A291" s="261" t="s">
        <v>101</v>
      </c>
      <c r="B291" s="281"/>
      <c r="C291" s="50"/>
      <c r="D291" s="14"/>
      <c r="E291" s="14"/>
      <c r="F291" s="14"/>
      <c r="G291" s="14"/>
      <c r="H291" s="14"/>
      <c r="I291" s="14"/>
      <c r="J291" s="14"/>
      <c r="K291" s="14"/>
      <c r="L291" s="14"/>
      <c r="M291" s="14"/>
      <c r="N291" s="89"/>
      <c r="O291" s="89"/>
      <c r="P291" s="89"/>
      <c r="Q291" s="89"/>
      <c r="R291" s="89"/>
      <c r="S291" s="89"/>
      <c r="T291" s="89"/>
      <c r="U291" s="89"/>
      <c r="V291" s="89"/>
      <c r="W291" s="89"/>
      <c r="X291" s="89"/>
      <c r="Y291" s="89"/>
      <c r="Z291" s="89"/>
      <c r="AA291" s="89"/>
      <c r="AB291" s="261" t="s">
        <v>101</v>
      </c>
      <c r="AC291" s="89"/>
      <c r="AD291" s="89"/>
      <c r="AE291" s="89"/>
      <c r="AF291" s="89"/>
      <c r="AG291" s="89"/>
      <c r="AH291" s="89"/>
      <c r="AI291" s="89"/>
      <c r="AJ291" s="89"/>
      <c r="AK291" s="89"/>
      <c r="AL291" s="89"/>
      <c r="AM291" s="89"/>
      <c r="AN291" s="261" t="s">
        <v>101</v>
      </c>
      <c r="AO291" s="49"/>
      <c r="AP291" s="49"/>
      <c r="AQ291" s="49"/>
      <c r="AR291" s="49"/>
      <c r="AS291" s="49"/>
      <c r="AT291" s="49"/>
      <c r="AU291" s="49"/>
      <c r="AV291" s="49"/>
      <c r="AW291" s="49"/>
      <c r="AX291" s="49"/>
      <c r="AY291" s="49"/>
      <c r="AZ291" s="261" t="s">
        <v>101</v>
      </c>
      <c r="BA291" s="49"/>
      <c r="BB291" s="49"/>
      <c r="BC291" s="49"/>
      <c r="BD291" s="49"/>
      <c r="BE291" s="49"/>
      <c r="BF291" s="49"/>
      <c r="BG291" s="49"/>
      <c r="BH291" s="49"/>
      <c r="BI291" s="49"/>
      <c r="BJ291" s="261" t="s">
        <v>101</v>
      </c>
      <c r="BK291" s="49"/>
      <c r="BL291" s="49"/>
      <c r="BM291" s="49"/>
      <c r="BN291" s="49"/>
      <c r="BO291" s="49"/>
      <c r="BP291" s="49"/>
      <c r="BR291" s="261" t="s">
        <v>101</v>
      </c>
      <c r="BY291" s="261" t="s">
        <v>101</v>
      </c>
      <c r="CG291" s="261" t="s">
        <v>101</v>
      </c>
      <c r="CP291" s="261" t="s">
        <v>101</v>
      </c>
      <c r="DV291" s="261" t="s">
        <v>101</v>
      </c>
      <c r="DW291" s="282"/>
      <c r="EA291" s="232"/>
      <c r="EB291" s="232"/>
      <c r="EC291" s="232"/>
      <c r="ED291" s="232"/>
      <c r="EE291" s="232"/>
    </row>
    <row r="292" spans="1:135" x14ac:dyDescent="0.4">
      <c r="B292" s="694"/>
      <c r="C292" s="694"/>
      <c r="D292" s="113"/>
      <c r="E292" s="113"/>
      <c r="F292" s="113"/>
      <c r="G292" s="113"/>
      <c r="H292" s="113"/>
      <c r="I292" s="113"/>
      <c r="J292" s="113"/>
      <c r="K292" s="113"/>
      <c r="L292" s="113"/>
      <c r="M292" s="113"/>
      <c r="N292" s="114"/>
      <c r="O292" s="114"/>
      <c r="P292" s="114"/>
      <c r="Q292" s="114"/>
      <c r="R292" s="114"/>
      <c r="S292" s="114"/>
      <c r="T292" s="114"/>
      <c r="U292" s="114"/>
      <c r="V292" s="114"/>
      <c r="W292" s="114"/>
      <c r="X292" s="114"/>
      <c r="Y292" s="114"/>
      <c r="Z292" s="114"/>
      <c r="AA292" s="114"/>
      <c r="AC292" s="114"/>
      <c r="AD292" s="114"/>
      <c r="AE292" s="114"/>
      <c r="AF292" s="114"/>
      <c r="AG292" s="114"/>
      <c r="AH292" s="114"/>
      <c r="AI292" s="114"/>
      <c r="AJ292" s="114"/>
      <c r="AK292" s="114"/>
      <c r="AL292" s="114"/>
      <c r="AM292" s="114"/>
      <c r="AN292" s="114"/>
      <c r="AO292" s="89"/>
      <c r="DW292" s="54"/>
      <c r="EA292" s="55"/>
      <c r="EB292" s="55"/>
      <c r="EC292" s="55"/>
      <c r="ED292" s="55"/>
      <c r="EE292" s="55"/>
    </row>
    <row r="293" spans="1:135" ht="12.6" thickBot="1" x14ac:dyDescent="0.45">
      <c r="A293" s="233"/>
      <c r="B293" s="679"/>
      <c r="C293" s="679"/>
      <c r="D293" s="113"/>
      <c r="E293" s="113"/>
      <c r="F293" s="113"/>
      <c r="G293" s="113"/>
      <c r="H293" s="113"/>
      <c r="I293" s="113"/>
      <c r="J293" s="113"/>
      <c r="K293" s="113"/>
      <c r="L293" s="113"/>
      <c r="M293" s="113"/>
      <c r="N293" s="114"/>
      <c r="O293" s="114"/>
      <c r="P293" s="114"/>
      <c r="Q293" s="114"/>
      <c r="R293" s="114"/>
      <c r="S293" s="114"/>
      <c r="T293" s="114"/>
      <c r="U293" s="114"/>
      <c r="V293" s="114"/>
      <c r="W293" s="114"/>
      <c r="X293" s="114"/>
      <c r="Y293" s="114"/>
      <c r="Z293" s="114"/>
      <c r="AA293" s="114"/>
      <c r="AB293" s="114"/>
      <c r="AC293" s="114"/>
      <c r="AD293" s="114"/>
      <c r="AE293" s="114"/>
      <c r="AF293" s="114"/>
      <c r="AG293" s="114"/>
      <c r="AH293" s="114"/>
      <c r="AI293" s="114"/>
      <c r="AJ293" s="114"/>
      <c r="AK293" s="114"/>
      <c r="AL293" s="114"/>
      <c r="AM293" s="114"/>
      <c r="CZ293" s="116"/>
      <c r="DA293" s="116"/>
      <c r="DB293" s="116"/>
      <c r="DC293" s="116"/>
      <c r="DD293" s="116"/>
      <c r="DE293" s="116"/>
      <c r="DF293" s="116"/>
      <c r="DG293" s="116"/>
      <c r="DH293" s="116"/>
      <c r="DI293" s="117" t="str">
        <f>"DJ"&amp;MIN(DK296:DK344)</f>
        <v>DJ0</v>
      </c>
      <c r="DJ293" s="118" t="str">
        <f>"DJ"&amp;MAX(DK296:DK344)</f>
        <v>DJ0</v>
      </c>
      <c r="DK293" s="116"/>
      <c r="DL293" s="117" t="str">
        <f>"DM"&amp;MIN(DN296:DN344)</f>
        <v>DM0</v>
      </c>
      <c r="DM293" s="118" t="str">
        <f>"DM"&amp;MAX(DN296:DN344)</f>
        <v>DM0</v>
      </c>
      <c r="DN293" s="116"/>
      <c r="DO293" s="117" t="str">
        <f>"DP"&amp;MIN(DQ296:DQ344)</f>
        <v>DP0</v>
      </c>
      <c r="DP293" s="118" t="str">
        <f>"DP"&amp;MAX(DQ296:DQ344)</f>
        <v>DP0</v>
      </c>
      <c r="DQ293" s="116"/>
      <c r="DW293" s="119"/>
      <c r="EA293" s="33"/>
      <c r="EB293" s="33"/>
      <c r="EC293" s="33"/>
      <c r="ED293" s="33"/>
      <c r="EE293" s="33"/>
    </row>
    <row r="294" spans="1:135" ht="24.9" thickBot="1" x14ac:dyDescent="0.5">
      <c r="A294" s="676" t="s">
        <v>65</v>
      </c>
      <c r="C294" s="680" t="str">
        <f>A312</f>
        <v>Base Cases</v>
      </c>
      <c r="D294" s="681"/>
      <c r="E294" s="682"/>
      <c r="F294" s="683" t="str">
        <f>A313</f>
        <v>Conservative Cases</v>
      </c>
      <c r="G294" s="684"/>
      <c r="H294" s="685"/>
      <c r="I294" s="686" t="str">
        <f>A314</f>
        <v>Ambitious Cases</v>
      </c>
      <c r="J294" s="687"/>
      <c r="K294" s="688"/>
      <c r="L294" s="692" t="str">
        <f>A315</f>
        <v>Maximum Cases</v>
      </c>
      <c r="M294" s="693"/>
      <c r="O294" s="122"/>
      <c r="P294" s="122"/>
      <c r="Q294" s="122"/>
      <c r="W294" s="691" t="s">
        <v>66</v>
      </c>
      <c r="X294" s="691"/>
      <c r="Y294" s="691"/>
      <c r="Z294" s="120"/>
      <c r="AA294" s="1274" t="s">
        <v>1061</v>
      </c>
      <c r="AB294" s="1274"/>
      <c r="AC294" s="1274"/>
      <c r="AD294" s="120"/>
      <c r="AE294" s="120"/>
      <c r="AF294" s="120"/>
      <c r="AG294" s="120"/>
      <c r="AH294" s="120"/>
      <c r="AI294" s="120"/>
      <c r="AJ294" s="120"/>
      <c r="AK294" s="120"/>
      <c r="AL294" s="120"/>
      <c r="AM294" s="120"/>
      <c r="AN294" s="120"/>
      <c r="BR294" s="121" t="s">
        <v>67</v>
      </c>
      <c r="BS294" s="121"/>
      <c r="BT294" s="121"/>
      <c r="BU294" s="121"/>
      <c r="BV294" s="121"/>
      <c r="BW294" s="122"/>
      <c r="BY294" s="121" t="s">
        <v>68</v>
      </c>
      <c r="BZ294" s="121"/>
      <c r="CA294" s="121"/>
      <c r="CB294" s="121"/>
      <c r="CC294" s="121"/>
      <c r="CD294" s="121"/>
      <c r="CG294" s="121" t="s">
        <v>69</v>
      </c>
      <c r="CH294" s="121"/>
      <c r="CI294" s="121"/>
      <c r="CJ294" s="121"/>
      <c r="CK294" s="121"/>
      <c r="CL294" s="121"/>
      <c r="CM294" s="121"/>
      <c r="CP294" s="121" t="s">
        <v>70</v>
      </c>
      <c r="CQ294" s="121"/>
      <c r="CR294" s="121"/>
      <c r="CS294" s="121"/>
      <c r="CT294" s="121"/>
      <c r="CU294" s="121"/>
      <c r="CZ294" s="123"/>
      <c r="DA294" s="123"/>
      <c r="DB294" s="123"/>
      <c r="DC294" s="123"/>
      <c r="DD294" s="123"/>
      <c r="DE294" s="123"/>
      <c r="DF294" s="123"/>
      <c r="DG294" s="123"/>
      <c r="DH294" s="123"/>
      <c r="DI294" s="124" t="str">
        <f>"DI"&amp;MIN(DK296:DK344)</f>
        <v>DI0</v>
      </c>
      <c r="DJ294" s="125" t="str">
        <f>"DI"&amp;MAX(DK296:DK344)</f>
        <v>DI0</v>
      </c>
      <c r="DK294" s="123"/>
      <c r="DL294" s="124" t="str">
        <f>"DL"&amp;MIN(DN296:DN344)</f>
        <v>DL0</v>
      </c>
      <c r="DM294" s="125" t="str">
        <f>"DL"&amp;MAX(DN296:DN344)</f>
        <v>DL0</v>
      </c>
      <c r="DN294" s="123"/>
      <c r="DO294" s="124" t="str">
        <f>"DO"&amp;MIN(DQ296:DQ344)</f>
        <v>DO0</v>
      </c>
      <c r="DP294" s="125" t="str">
        <f>"DO"&amp;MAX(DQ296:DQ344)</f>
        <v>DO0</v>
      </c>
      <c r="DQ294" s="123"/>
      <c r="DV294" s="126" t="s">
        <v>71</v>
      </c>
      <c r="DZ294" s="127" t="s">
        <v>72</v>
      </c>
      <c r="EA294" s="284" t="str">
        <f>$L$26</f>
        <v>3rd Poly</v>
      </c>
    </row>
    <row r="295" spans="1:135" ht="88.5" thickBot="1" x14ac:dyDescent="0.5">
      <c r="A295" s="676" t="s">
        <v>73</v>
      </c>
      <c r="B295" s="128"/>
      <c r="C295" s="988" t="str">
        <f>A296</f>
        <v>Based on World Bank, What a Waste 2.0</v>
      </c>
      <c r="D295" s="1118" t="str">
        <f>A297</f>
        <v>Based on Hoornweg et al (2014)</v>
      </c>
      <c r="E295" s="1124" t="str">
        <f>A298</f>
        <v>Based on Hoornweg et al (2014)- 3rd poly between 2012-2016 + 2050</v>
      </c>
      <c r="F295" s="988" t="str">
        <f>A299</f>
        <v>[Source 1]</v>
      </c>
      <c r="G295" s="996" t="str">
        <f>A300</f>
        <v>[Source 2]</v>
      </c>
      <c r="H295" s="997" t="str">
        <f>A301</f>
        <v>[Source 3]</v>
      </c>
      <c r="I295" s="129" t="str">
        <f>A302</f>
        <v>Based on  IEA Annex I – Municipal solid waste potential in cities; Table I.1</v>
      </c>
      <c r="J295" s="130" t="str">
        <f>A303</f>
        <v>[Source 2]</v>
      </c>
      <c r="K295" s="131" t="str">
        <f>A304</f>
        <v>[Source 3]</v>
      </c>
      <c r="L295" s="129" t="str">
        <f>A305</f>
        <v>[Source 1]</v>
      </c>
      <c r="M295" s="131" t="str">
        <f>A306</f>
        <v>[Source 2]</v>
      </c>
      <c r="N295" s="234" t="s">
        <v>74</v>
      </c>
      <c r="O295" s="133"/>
      <c r="P295" s="133"/>
      <c r="Q295" s="133"/>
      <c r="R295" s="135" t="s">
        <v>76</v>
      </c>
      <c r="S295" s="134" t="s">
        <v>77</v>
      </c>
      <c r="T295" s="134" t="s">
        <v>78</v>
      </c>
      <c r="U295" s="136" t="s">
        <v>79</v>
      </c>
      <c r="V295" s="691"/>
      <c r="W295" s="136" t="s">
        <v>15</v>
      </c>
      <c r="X295" s="134" t="s">
        <v>21</v>
      </c>
      <c r="Y295" s="136" t="s">
        <v>25</v>
      </c>
      <c r="AA295" s="136" t="s">
        <v>15</v>
      </c>
      <c r="AB295" s="134" t="s">
        <v>21</v>
      </c>
      <c r="AC295" s="136" t="s">
        <v>25</v>
      </c>
      <c r="AD295" s="138"/>
      <c r="AE295" s="138"/>
      <c r="AF295" s="138"/>
      <c r="AG295" s="138"/>
      <c r="AH295" s="138"/>
      <c r="AI295" s="138"/>
      <c r="AJ295" s="138"/>
      <c r="AK295" s="138"/>
      <c r="AL295" s="138"/>
      <c r="AM295" s="138"/>
      <c r="AN295" s="138"/>
      <c r="BR295" s="139"/>
      <c r="BS295" s="139"/>
      <c r="BT295" s="139"/>
      <c r="BU295" s="139"/>
      <c r="BV295" s="139"/>
      <c r="BW295" s="122"/>
      <c r="BZ295" s="139"/>
      <c r="CA295" s="139"/>
      <c r="CB295" s="139"/>
      <c r="CC295" s="139"/>
      <c r="CD295" s="139"/>
      <c r="CH295" s="139"/>
      <c r="CI295" s="139"/>
      <c r="CJ295" s="139"/>
      <c r="CK295" s="139"/>
      <c r="CL295" s="139"/>
      <c r="CM295" s="139"/>
      <c r="CQ295" s="139"/>
      <c r="CR295" s="139"/>
      <c r="CS295" s="139"/>
      <c r="CT295" s="139"/>
      <c r="CU295" s="139"/>
      <c r="CZ295" s="140"/>
      <c r="DA295" s="140"/>
      <c r="DB295" s="140"/>
      <c r="DC295" s="140"/>
      <c r="DD295" s="141"/>
      <c r="DE295" s="141"/>
      <c r="DF295" s="141"/>
      <c r="DG295" s="141"/>
      <c r="DH295" s="140"/>
      <c r="DI295" s="142"/>
      <c r="DJ295" s="143"/>
      <c r="DK295" s="144"/>
      <c r="DL295" s="142"/>
      <c r="DM295" s="143"/>
      <c r="DN295" s="140"/>
      <c r="DO295" s="142"/>
      <c r="DP295" s="143"/>
      <c r="DQ295" s="140"/>
      <c r="DV295" s="145">
        <v>2014</v>
      </c>
      <c r="DW295" s="235" t="e">
        <f t="shared" ref="DW295:DW341" ca="1" si="154">IF($J$26="N","",IF($L$26="Linear",BV300,IF($L$26="2nd Poly",CD300,IF($L$26="3rd Poly",CM300,IF($L$26="Exp",CT300)))))</f>
        <v>#REF!</v>
      </c>
      <c r="EA295" s="33" t="str">
        <f>$M$26</f>
        <v>Medium</v>
      </c>
      <c r="EB295" s="33"/>
      <c r="EC295" s="33"/>
      <c r="ED295" s="33"/>
      <c r="EE295" s="33"/>
    </row>
    <row r="296" spans="1:135" ht="14.1" thickBot="1" x14ac:dyDescent="0.5">
      <c r="A296" s="948" t="s">
        <v>1032</v>
      </c>
      <c r="B296" s="128">
        <v>2012</v>
      </c>
      <c r="C296" s="1065"/>
      <c r="D296" s="1065"/>
      <c r="E296" s="1066"/>
      <c r="F296" s="1072"/>
      <c r="G296" s="1073"/>
      <c r="H296" s="1074"/>
      <c r="I296" s="1065"/>
      <c r="J296" s="264"/>
      <c r="K296" s="239"/>
      <c r="L296" s="190"/>
      <c r="M296" s="239"/>
      <c r="N296" s="29" t="s">
        <v>119</v>
      </c>
      <c r="O296" s="120"/>
      <c r="P296" s="120"/>
      <c r="Q296" s="120"/>
      <c r="R296" s="29">
        <v>-2</v>
      </c>
      <c r="S296" s="238" t="str">
        <f t="shared" ref="S296:S327" si="155">IF(MIN(C296:Q296)=0,"",MIN(C296:Q296))</f>
        <v/>
      </c>
      <c r="T296" s="238" t="str">
        <f t="shared" ref="T296:T327" si="156">IF(MAX(C296:Q296)=0,"",MAX(C296:Q296))</f>
        <v/>
      </c>
      <c r="U296" s="238" t="str">
        <f t="shared" ref="U296:U327" si="157">IF(T296="","",_xlfn.STDEV.P(C296:Q296))</f>
        <v/>
      </c>
      <c r="V296" s="29"/>
      <c r="W296" s="238" t="e">
        <f>IF(U296="",#N/A,X296-(U296*$Q$32))</f>
        <v>#N/A</v>
      </c>
      <c r="X296" s="238" t="e">
        <f t="shared" ref="X296:X327" si="158">IF(U296="",#N/A,(SUM(C296:Q296)/COUNTIFS(C296:Q296,"&gt;0")))</f>
        <v>#N/A</v>
      </c>
      <c r="Y296" s="238" t="e">
        <f t="shared" ref="Y296:Y344" si="159">IF(U296="",#N/A,X296+(U296*$Q$25))</f>
        <v>#N/A</v>
      </c>
      <c r="AA296" s="1133">
        <v>227.43196347031954</v>
      </c>
      <c r="AB296" s="1133">
        <v>227.43196347031954</v>
      </c>
      <c r="AC296" s="1133">
        <v>227.43196347031954</v>
      </c>
      <c r="AD296" s="138"/>
      <c r="AE296" s="138"/>
      <c r="AF296" s="138"/>
      <c r="AG296" s="138"/>
      <c r="AH296" s="138"/>
      <c r="AI296" s="138"/>
      <c r="AJ296" s="138"/>
      <c r="AK296" s="138"/>
      <c r="AL296" s="138"/>
      <c r="AM296" s="138"/>
      <c r="AN296" s="138"/>
      <c r="BR296" s="691" t="s">
        <v>81</v>
      </c>
      <c r="BS296" s="65" t="str">
        <f>$M$26</f>
        <v>Medium</v>
      </c>
      <c r="BT296" s="691" t="s">
        <v>82</v>
      </c>
      <c r="BU296" s="691" t="s">
        <v>83</v>
      </c>
      <c r="BW296" s="133"/>
      <c r="BY296" s="691" t="s">
        <v>81</v>
      </c>
      <c r="BZ296" s="65" t="str">
        <f>$M$26</f>
        <v>Medium</v>
      </c>
      <c r="CA296" s="691" t="s">
        <v>84</v>
      </c>
      <c r="CB296" s="691" t="s">
        <v>82</v>
      </c>
      <c r="CC296" s="691" t="s">
        <v>83</v>
      </c>
      <c r="CG296" s="691" t="s">
        <v>81</v>
      </c>
      <c r="CH296" s="65" t="str">
        <f>$M$26</f>
        <v>Medium</v>
      </c>
      <c r="CI296" s="691" t="s">
        <v>85</v>
      </c>
      <c r="CJ296" s="691" t="s">
        <v>84</v>
      </c>
      <c r="CK296" s="691" t="s">
        <v>82</v>
      </c>
      <c r="CL296" s="691" t="s">
        <v>83</v>
      </c>
      <c r="CP296" s="691" t="s">
        <v>81</v>
      </c>
      <c r="CQ296" s="65" t="str">
        <f>$M$26</f>
        <v>Medium</v>
      </c>
      <c r="CR296" s="691" t="s">
        <v>86</v>
      </c>
      <c r="CS296" s="691" t="s">
        <v>87</v>
      </c>
      <c r="CZ296" s="155" t="b">
        <f t="shared" ref="CZ296:DB335" si="160">ISNUMBER(W296)</f>
        <v>0</v>
      </c>
      <c r="DA296" s="156" t="b">
        <f t="shared" si="160"/>
        <v>0</v>
      </c>
      <c r="DB296" s="157" t="b">
        <f t="shared" si="160"/>
        <v>0</v>
      </c>
      <c r="DC296" s="155" t="str">
        <f t="shared" ref="DC296:DC344" si="161">IF(CZ296=TRUE,$R296,"")</f>
        <v/>
      </c>
      <c r="DD296" s="157" t="str">
        <f t="shared" ref="DD296:DD344" si="162">IF(CZ296=TRUE,W296,"")</f>
        <v/>
      </c>
      <c r="DE296" s="155" t="str">
        <f t="shared" ref="DE296:DE344" si="163">IF(DA296=TRUE,$R296,"")</f>
        <v/>
      </c>
      <c r="DF296" s="157" t="str">
        <f t="shared" ref="DF296:DF344" si="164">IF(DA296=TRUE,X296,"")</f>
        <v/>
      </c>
      <c r="DG296" s="155" t="str">
        <f t="shared" ref="DG296:DG344" si="165">IF(DB296=TRUE,$R296,"")</f>
        <v/>
      </c>
      <c r="DH296" s="157" t="str">
        <f t="shared" ref="DH296:DH344" si="166">IF(DB296=TRUE,Y296,"")</f>
        <v/>
      </c>
      <c r="DI296" s="155" t="str">
        <f>IFERROR(INDEX(DC$296:DC$344,_xlfn.AGGREGATE(15,6,(ROW(DC$296:DC$344)-ROW(DC$296)+1)/(DC$296:DC$344&lt;&gt;""),ROWS(DI$1:DI1))),"")</f>
        <v/>
      </c>
      <c r="DJ296" s="156" t="str">
        <f>IFERROR(INDEX(DD$296:DD$344,_xlfn.AGGREGATE(15,6,(ROW(DD$296:DD$344)-ROW(DD$296)+1)/(DD$296:DD$344&lt;&gt;""),ROWS(DJ$1:DJ1))),"")</f>
        <v/>
      </c>
      <c r="DK296" s="157" t="str">
        <f t="shared" ref="DK296:DK344" si="167">IF(ISNUMBER(DI296),ROW(DI296),"")</f>
        <v/>
      </c>
      <c r="DL296" s="155" t="str">
        <f>IFERROR(INDEX(DE$296:DE$344,_xlfn.AGGREGATE(15,6,(ROW(DE$296:DE$344)-ROW(DE$296)+1)/(DE$296:DE$344&lt;&gt;""),ROWS(DL$1:DL1))),"")</f>
        <v/>
      </c>
      <c r="DM296" s="156" t="str">
        <f>IFERROR(INDEX(DF$296:DF$344,_xlfn.AGGREGATE(15,6,(ROW(DF$296:DF$344)-ROW(DF$296)+1)/(DF$296:DF$344&lt;&gt;""),ROWS(DM$1:DM1))),"")</f>
        <v/>
      </c>
      <c r="DN296" s="157" t="str">
        <f t="shared" ref="DN296:DN344" si="168">IF(ISNUMBER(DI296),ROW(DI296),"")</f>
        <v/>
      </c>
      <c r="DO296" s="155" t="str">
        <f>IFERROR(INDEX(DG$296:DG$344,_xlfn.AGGREGATE(15,6,(ROW(DG$296:DG$344)-ROW(DG$296)+1)/(DG$296:DG$344&lt;&gt;""),ROWS(DO$1:DO1))),"")</f>
        <v/>
      </c>
      <c r="DP296" s="156" t="str">
        <f>IFERROR(INDEX(DH$296:DH$344,_xlfn.AGGREGATE(15,6,(ROW(DH$296:DH$344)-ROW(DH$296)+1)/(DH$296:DH$344&lt;&gt;""),ROWS(DP$1:DP1))),"")</f>
        <v/>
      </c>
      <c r="DQ296" s="157" t="str">
        <f t="shared" ref="DQ296:DQ344" si="169">IF(ISNUMBER(DL296),ROW(DL296),"")</f>
        <v/>
      </c>
      <c r="DV296" s="145">
        <v>2015</v>
      </c>
      <c r="DW296" s="235" t="e">
        <f t="shared" ca="1" si="154"/>
        <v>#REF!</v>
      </c>
      <c r="EA296" s="33"/>
      <c r="EB296" s="33"/>
      <c r="EC296" s="33"/>
      <c r="ED296" s="33"/>
      <c r="EE296" s="33"/>
    </row>
    <row r="297" spans="1:135" ht="13.8" x14ac:dyDescent="0.45">
      <c r="A297" s="948" t="s">
        <v>1037</v>
      </c>
      <c r="B297" s="128">
        <v>2013</v>
      </c>
      <c r="C297" s="1067"/>
      <c r="D297" s="1067"/>
      <c r="E297" s="1068"/>
      <c r="F297" s="1053"/>
      <c r="G297" s="1054"/>
      <c r="H297" s="1064"/>
      <c r="I297" s="1143"/>
      <c r="J297" s="264"/>
      <c r="K297" s="239"/>
      <c r="L297" s="190"/>
      <c r="M297" s="239"/>
      <c r="N297" s="29" t="s">
        <v>119</v>
      </c>
      <c r="O297" s="120"/>
      <c r="P297" s="120"/>
      <c r="Q297" s="120"/>
      <c r="R297" s="29">
        <v>-1</v>
      </c>
      <c r="S297" s="238" t="str">
        <f t="shared" si="155"/>
        <v/>
      </c>
      <c r="T297" s="238" t="str">
        <f t="shared" si="156"/>
        <v/>
      </c>
      <c r="U297" s="238" t="str">
        <f t="shared" si="157"/>
        <v/>
      </c>
      <c r="V297" s="29"/>
      <c r="W297" s="238" t="e">
        <f t="shared" ref="W297:W344" si="170">IF(U297="",#N/A,X297-(U297*$Q$26))</f>
        <v>#N/A</v>
      </c>
      <c r="X297" s="238" t="e">
        <f t="shared" si="158"/>
        <v>#N/A</v>
      </c>
      <c r="Y297" s="238" t="e">
        <f t="shared" si="159"/>
        <v>#N/A</v>
      </c>
      <c r="AA297" s="1133">
        <v>241.37203196347025</v>
      </c>
      <c r="AB297" s="1133">
        <v>241.37203196347025</v>
      </c>
      <c r="AC297" s="1133">
        <v>241.37203196347025</v>
      </c>
      <c r="AD297" s="138"/>
      <c r="AE297" s="138"/>
      <c r="AF297" s="138"/>
      <c r="AG297" s="138"/>
      <c r="AH297" s="138"/>
      <c r="AI297" s="138"/>
      <c r="AJ297" s="138"/>
      <c r="AK297" s="138"/>
      <c r="AL297" s="138"/>
      <c r="AM297" s="138"/>
      <c r="AN297" s="138"/>
      <c r="BS297" s="160" t="s">
        <v>25</v>
      </c>
      <c r="BT297" s="161" t="e">
        <f>SLOPE((DH296:DH344),($B$46:$B$94))</f>
        <v>#DIV/0!</v>
      </c>
      <c r="BU297" s="162" t="e">
        <f>INTERCEPT(DP296:DP344,DO296:DO344)</f>
        <v>#DIV/0!</v>
      </c>
      <c r="BW297" s="133"/>
      <c r="BZ297" s="160" t="s">
        <v>25</v>
      </c>
      <c r="CA297" s="161" t="e">
        <f ca="1">INDEX(LINEST((INDIRECT(DO293):INDIRECT(DP293)),(INDIRECT(DO294):INDIRECT(DP294))^{1,2}),1)</f>
        <v>#REF!</v>
      </c>
      <c r="CB297" s="163" t="e">
        <f ca="1">INDEX(LINEST((INDIRECT(DO293):INDIRECT(DP293)),(INDIRECT(DO294):INDIRECT(DP294))^{1,2}),1,2)</f>
        <v>#REF!</v>
      </c>
      <c r="CC297" s="162" t="e">
        <f ca="1">INDEX(LINEST((INDIRECT(DO293):INDIRECT(DP293)),(INDIRECT(DO294):INDIRECT(DP294))^{1,2}),1,3)</f>
        <v>#REF!</v>
      </c>
      <c r="CH297" s="160" t="s">
        <v>25</v>
      </c>
      <c r="CI297" s="161" t="e">
        <f ca="1">INDEX(LINEST((INDIRECT(DO293):INDIRECT(DP293)),(INDIRECT(DO294):INDIRECT(DP294))^{1,2,3}),1)</f>
        <v>#REF!</v>
      </c>
      <c r="CJ297" s="163" t="e">
        <f ca="1">INDEX(LINEST((INDIRECT(DO293):INDIRECT(DP293)),(INDIRECT(DO294):INDIRECT(DP294))^{1,2,3}),1,2)</f>
        <v>#REF!</v>
      </c>
      <c r="CK297" s="163" t="e">
        <f ca="1">INDEX(LINEST((INDIRECT(DO293):INDIRECT(DP293)),(INDIRECT(DO294):INDIRECT(DP294))^{1,2,3}),1,3)</f>
        <v>#REF!</v>
      </c>
      <c r="CL297" s="162" t="e">
        <f ca="1">INDEX(LINEST((INDIRECT(DO293):INDIRECT(DP293)),(INDIRECT(DO294):INDIRECT(DP294))^{1,2,3}),1,4)</f>
        <v>#REF!</v>
      </c>
      <c r="CQ297" s="160" t="s">
        <v>25</v>
      </c>
      <c r="CR297" s="161" t="e">
        <f ca="1">EXP(INDEX(LINEST(LN(INDIRECT(DO293):INDIRECT(DP293)),(INDIRECT(DO294):INDIRECT(DP294))),1,2))</f>
        <v>#REF!</v>
      </c>
      <c r="CS297" s="162" t="e">
        <f ca="1">INDEX(LINEST(LN(INDIRECT(DO293):INDIRECT(DP293)),(INDIRECT(DO294):INDIRECT(DP294))),1)</f>
        <v>#REF!</v>
      </c>
      <c r="CZ297" s="164" t="b">
        <f t="shared" si="160"/>
        <v>0</v>
      </c>
      <c r="DA297" s="165" t="b">
        <f t="shared" si="160"/>
        <v>0</v>
      </c>
      <c r="DB297" s="166" t="b">
        <f t="shared" si="160"/>
        <v>0</v>
      </c>
      <c r="DC297" s="164" t="str">
        <f t="shared" si="161"/>
        <v/>
      </c>
      <c r="DD297" s="166" t="str">
        <f t="shared" si="162"/>
        <v/>
      </c>
      <c r="DE297" s="164" t="str">
        <f t="shared" si="163"/>
        <v/>
      </c>
      <c r="DF297" s="166" t="str">
        <f t="shared" si="164"/>
        <v/>
      </c>
      <c r="DG297" s="164" t="str">
        <f t="shared" si="165"/>
        <v/>
      </c>
      <c r="DH297" s="166" t="str">
        <f t="shared" si="166"/>
        <v/>
      </c>
      <c r="DI297" s="164" t="str">
        <f>IFERROR(INDEX(DC$296:DC$344,_xlfn.AGGREGATE(15,6,(ROW(DC$296:DC$344)-ROW(DC$296)+1)/(DC$296:DC$344&lt;&gt;""),ROWS(DI$1:DI2))),"")</f>
        <v/>
      </c>
      <c r="DJ297" s="165" t="str">
        <f>IFERROR(INDEX(DD$296:DD$344,_xlfn.AGGREGATE(15,6,(ROW(DD$296:DD$344)-ROW(DD$296)+1)/(DD$296:DD$344&lt;&gt;""),ROWS(DJ$1:DJ2))),"")</f>
        <v/>
      </c>
      <c r="DK297" s="166" t="str">
        <f t="shared" si="167"/>
        <v/>
      </c>
      <c r="DL297" s="164" t="str">
        <f>IFERROR(INDEX(DE$296:DE$344,_xlfn.AGGREGATE(15,6,(ROW(DE$296:DE$344)-ROW(DE$296)+1)/(DE$296:DE$344&lt;&gt;""),ROWS(DL$1:DL2))),"")</f>
        <v/>
      </c>
      <c r="DM297" s="165" t="str">
        <f>IFERROR(INDEX(DF$296:DF$344,_xlfn.AGGREGATE(15,6,(ROW(DF$296:DF$344)-ROW(DF$296)+1)/(DF$296:DF$344&lt;&gt;""),ROWS(DM$1:DM2))),"")</f>
        <v/>
      </c>
      <c r="DN297" s="166" t="str">
        <f t="shared" si="168"/>
        <v/>
      </c>
      <c r="DO297" s="164" t="str">
        <f>IFERROR(INDEX(DG$296:DG$344,_xlfn.AGGREGATE(15,6,(ROW(DG$296:DG$344)-ROW(DG$296)+1)/(DG$296:DG$344&lt;&gt;""),ROWS(DO$1:DO2))),"")</f>
        <v/>
      </c>
      <c r="DP297" s="165" t="str">
        <f>IFERROR(INDEX(DH$296:DH$344,_xlfn.AGGREGATE(15,6,(ROW(DH$296:DH$344)-ROW(DH$296)+1)/(DH$296:DH$344&lt;&gt;""),ROWS(DP$1:DP2))),"")</f>
        <v/>
      </c>
      <c r="DQ297" s="166" t="str">
        <f t="shared" si="169"/>
        <v/>
      </c>
      <c r="DV297" s="145">
        <v>2016</v>
      </c>
      <c r="DW297" s="235" t="e">
        <f t="shared" ca="1" si="154"/>
        <v>#REF!</v>
      </c>
      <c r="EA297" s="33"/>
      <c r="EB297" s="33"/>
      <c r="EC297" s="33"/>
      <c r="ED297" s="33"/>
      <c r="EE297" s="33"/>
    </row>
    <row r="298" spans="1:135" ht="13.8" x14ac:dyDescent="0.45">
      <c r="A298" s="948" t="s">
        <v>1055</v>
      </c>
      <c r="B298" s="128">
        <v>2014</v>
      </c>
      <c r="C298" s="1067"/>
      <c r="D298" s="1067"/>
      <c r="E298" s="1068"/>
      <c r="F298" s="1053"/>
      <c r="G298" s="1054"/>
      <c r="H298" s="1034"/>
      <c r="I298" s="1143"/>
      <c r="J298" s="168"/>
      <c r="K298" s="169"/>
      <c r="L298" s="170"/>
      <c r="M298" s="169"/>
      <c r="N298" s="29" t="s">
        <v>119</v>
      </c>
      <c r="O298" s="120"/>
      <c r="P298" s="120"/>
      <c r="Q298" s="120"/>
      <c r="R298" s="29">
        <v>0</v>
      </c>
      <c r="S298" s="238" t="str">
        <f t="shared" si="155"/>
        <v/>
      </c>
      <c r="T298" s="238" t="str">
        <f t="shared" si="156"/>
        <v/>
      </c>
      <c r="U298" s="238" t="str">
        <f t="shared" si="157"/>
        <v/>
      </c>
      <c r="V298" s="29"/>
      <c r="W298" s="238" t="e">
        <f t="shared" si="170"/>
        <v>#N/A</v>
      </c>
      <c r="X298" s="238" t="e">
        <f t="shared" si="158"/>
        <v>#N/A</v>
      </c>
      <c r="Y298" s="238" t="e">
        <f t="shared" si="159"/>
        <v>#N/A</v>
      </c>
      <c r="AA298" s="1133">
        <v>255.31210045662093</v>
      </c>
      <c r="AB298" s="1133">
        <v>255.31210045662093</v>
      </c>
      <c r="AC298" s="1133">
        <v>255.31210045662093</v>
      </c>
      <c r="AD298" s="138"/>
      <c r="AE298" s="138"/>
      <c r="AF298" s="138"/>
      <c r="AG298" s="138"/>
      <c r="AH298" s="138"/>
      <c r="AI298" s="138"/>
      <c r="AJ298" s="138"/>
      <c r="AK298" s="138"/>
      <c r="AL298" s="138"/>
      <c r="AM298" s="138"/>
      <c r="AN298" s="138"/>
      <c r="BS298" s="160" t="s">
        <v>91</v>
      </c>
      <c r="BT298" s="172" t="e">
        <f>SLOPE((DF296:DF344),($B$46:$B$94))</f>
        <v>#DIV/0!</v>
      </c>
      <c r="BU298" s="173" t="e">
        <f>INTERCEPT(DM296:DM344,DL296:DL344)</f>
        <v>#DIV/0!</v>
      </c>
      <c r="BZ298" s="160" t="s">
        <v>91</v>
      </c>
      <c r="CA298" s="172" t="e">
        <f ca="1">INDEX(LINEST((INDIRECT(DL293):INDIRECT(DM293)),(INDIRECT(DL294):INDIRECT(DM294))^{1,2}),1)</f>
        <v>#REF!</v>
      </c>
      <c r="CB298" s="174" t="e">
        <f ca="1">INDEX(LINEST((INDIRECT(DL293):INDIRECT(DM293)),(INDIRECT(DL294):INDIRECT(DM294))^{1,2}),1,2)</f>
        <v>#REF!</v>
      </c>
      <c r="CC298" s="173" t="e">
        <f ca="1">INDEX(LINEST((INDIRECT(DL293):INDIRECT(DM293)),(INDIRECT(DL294):INDIRECT(DM294))^{1,2}),1,3)</f>
        <v>#REF!</v>
      </c>
      <c r="CH298" s="160" t="s">
        <v>91</v>
      </c>
      <c r="CI298" s="172" t="e">
        <f ca="1">INDEX(LINEST((INDIRECT(DL293):INDIRECT(DM293)),(INDIRECT(DL294):INDIRECT(DM294))^{1,2,3}),1)</f>
        <v>#REF!</v>
      </c>
      <c r="CJ298" s="174" t="e">
        <f ca="1">INDEX(LINEST((INDIRECT(DL293):INDIRECT(DM293)),(INDIRECT(DL294):INDIRECT(DM294))^{1,2,3}),1,2)</f>
        <v>#REF!</v>
      </c>
      <c r="CK298" s="174" t="e">
        <f ca="1">INDEX(LINEST((INDIRECT(DL293):INDIRECT(DM293)),(INDIRECT(DL294):INDIRECT(DM294))^{1,2,3}),1,3)</f>
        <v>#REF!</v>
      </c>
      <c r="CL298" s="173" t="e">
        <f ca="1">INDEX(LINEST((INDIRECT(DL293):INDIRECT(DM293)),(INDIRECT(DL294):INDIRECT(DM294))^{1,2,3}),1,4)</f>
        <v>#REF!</v>
      </c>
      <c r="CQ298" s="160" t="s">
        <v>91</v>
      </c>
      <c r="CR298" s="172" t="e">
        <f ca="1">EXP(INDEX(LINEST(LN(INDIRECT(DL293):INDIRECT(DM293)),(INDIRECT(DL294):INDIRECT(DM294))),1,2))</f>
        <v>#REF!</v>
      </c>
      <c r="CS298" s="173" t="e">
        <f ca="1">INDEX(LINEST(LN(INDIRECT(DL293):INDIRECT(DM293)),(INDIRECT(DL294):INDIRECT(DM294))),1)</f>
        <v>#REF!</v>
      </c>
      <c r="CZ298" s="164" t="b">
        <f t="shared" si="160"/>
        <v>0</v>
      </c>
      <c r="DA298" s="165" t="b">
        <f t="shared" si="160"/>
        <v>0</v>
      </c>
      <c r="DB298" s="166" t="b">
        <f t="shared" si="160"/>
        <v>0</v>
      </c>
      <c r="DC298" s="164" t="str">
        <f t="shared" si="161"/>
        <v/>
      </c>
      <c r="DD298" s="166" t="str">
        <f t="shared" si="162"/>
        <v/>
      </c>
      <c r="DE298" s="164" t="str">
        <f t="shared" si="163"/>
        <v/>
      </c>
      <c r="DF298" s="166" t="str">
        <f t="shared" si="164"/>
        <v/>
      </c>
      <c r="DG298" s="164" t="str">
        <f t="shared" si="165"/>
        <v/>
      </c>
      <c r="DH298" s="166" t="str">
        <f t="shared" si="166"/>
        <v/>
      </c>
      <c r="DI298" s="164" t="str">
        <f>IFERROR(INDEX(DC$296:DC$344,_xlfn.AGGREGATE(15,6,(ROW(DC$296:DC$344)-ROW(DC$296)+1)/(DC$296:DC$344&lt;&gt;""),ROWS(DI$1:DI3))),"")</f>
        <v/>
      </c>
      <c r="DJ298" s="165" t="str">
        <f>IFERROR(INDEX(DD$296:DD$344,_xlfn.AGGREGATE(15,6,(ROW(DD$296:DD$344)-ROW(DD$296)+1)/(DD$296:DD$344&lt;&gt;""),ROWS(DJ$1:DJ3))),"")</f>
        <v/>
      </c>
      <c r="DK298" s="166" t="str">
        <f t="shared" si="167"/>
        <v/>
      </c>
      <c r="DL298" s="164" t="str">
        <f>IFERROR(INDEX(DE$296:DE$344,_xlfn.AGGREGATE(15,6,(ROW(DE$296:DE$344)-ROW(DE$296)+1)/(DE$296:DE$344&lt;&gt;""),ROWS(DL$1:DL3))),"")</f>
        <v/>
      </c>
      <c r="DM298" s="165" t="str">
        <f>IFERROR(INDEX(DF$296:DF$344,_xlfn.AGGREGATE(15,6,(ROW(DF$296:DF$344)-ROW(DF$296)+1)/(DF$296:DF$344&lt;&gt;""),ROWS(DM$1:DM3))),"")</f>
        <v/>
      </c>
      <c r="DN298" s="166" t="str">
        <f t="shared" si="168"/>
        <v/>
      </c>
      <c r="DO298" s="164" t="str">
        <f>IFERROR(INDEX(DG$296:DG$344,_xlfn.AGGREGATE(15,6,(ROW(DG$296:DG$344)-ROW(DG$296)+1)/(DG$296:DG$344&lt;&gt;""),ROWS(DO$1:DO3))),"")</f>
        <v/>
      </c>
      <c r="DP298" s="165" t="str">
        <f>IFERROR(INDEX(DH$296:DH$344,_xlfn.AGGREGATE(15,6,(ROW(DH$296:DH$344)-ROW(DH$296)+1)/(DH$296:DH$344&lt;&gt;""),ROWS(DP$1:DP3))),"")</f>
        <v/>
      </c>
      <c r="DQ298" s="166" t="str">
        <f t="shared" si="169"/>
        <v/>
      </c>
      <c r="DV298" s="145">
        <v>2017</v>
      </c>
      <c r="DW298" s="235" t="e">
        <f t="shared" ca="1" si="154"/>
        <v>#REF!</v>
      </c>
      <c r="DZ298" s="65" t="s">
        <v>89</v>
      </c>
      <c r="EA298" s="33"/>
      <c r="EB298" s="33"/>
      <c r="EC298" s="33"/>
      <c r="ED298" s="33"/>
      <c r="EE298" s="33"/>
    </row>
    <row r="299" spans="1:135" ht="14.1" thickBot="1" x14ac:dyDescent="0.5">
      <c r="A299" s="949" t="s">
        <v>80</v>
      </c>
      <c r="B299" s="128">
        <v>2015</v>
      </c>
      <c r="C299" s="1067"/>
      <c r="D299" s="1067"/>
      <c r="E299" s="1069"/>
      <c r="F299" s="1075"/>
      <c r="G299" s="1052"/>
      <c r="H299" s="1064"/>
      <c r="I299" s="1143"/>
      <c r="J299" s="159"/>
      <c r="K299" s="151"/>
      <c r="L299" s="152"/>
      <c r="M299" s="151"/>
      <c r="N299" s="29" t="s">
        <v>119</v>
      </c>
      <c r="O299" s="120"/>
      <c r="P299" s="120"/>
      <c r="Q299" s="120"/>
      <c r="R299" s="29">
        <v>1</v>
      </c>
      <c r="S299" s="238" t="str">
        <f t="shared" si="155"/>
        <v/>
      </c>
      <c r="T299" s="238" t="str">
        <f t="shared" si="156"/>
        <v/>
      </c>
      <c r="U299" s="238" t="str">
        <f t="shared" si="157"/>
        <v/>
      </c>
      <c r="V299" s="29"/>
      <c r="W299" s="238" t="e">
        <f t="shared" si="170"/>
        <v>#N/A</v>
      </c>
      <c r="X299" s="238" t="e">
        <f t="shared" si="158"/>
        <v>#N/A</v>
      </c>
      <c r="Y299" s="238" t="e">
        <f t="shared" si="159"/>
        <v>#N/A</v>
      </c>
      <c r="AA299" s="1133">
        <v>269.2521689497716</v>
      </c>
      <c r="AB299" s="1133">
        <v>269.2521689497716</v>
      </c>
      <c r="AC299" s="1133">
        <v>269.2521689497716</v>
      </c>
      <c r="AD299" s="138"/>
      <c r="AE299" s="138"/>
      <c r="AF299" s="138"/>
      <c r="AG299" s="138"/>
      <c r="AH299" s="138"/>
      <c r="AI299" s="138"/>
      <c r="AJ299" s="138"/>
      <c r="AK299" s="138"/>
      <c r="AL299" s="138"/>
      <c r="AM299" s="138"/>
      <c r="AN299" s="138"/>
      <c r="BR299" s="29"/>
      <c r="BS299" s="160" t="s">
        <v>15</v>
      </c>
      <c r="BT299" s="177" t="e">
        <f>SLOPE((DD296:DD344),($B$46:$B$94))</f>
        <v>#DIV/0!</v>
      </c>
      <c r="BU299" s="178" t="e">
        <f>INTERCEPT(DJ296:DJ344,DI296:DI344)</f>
        <v>#DIV/0!</v>
      </c>
      <c r="BV299" s="691" t="s">
        <v>71</v>
      </c>
      <c r="BY299" s="29"/>
      <c r="BZ299" s="160" t="s">
        <v>15</v>
      </c>
      <c r="CA299" s="177" t="e">
        <f ca="1">INDEX(LINEST((INDIRECT(DI293):INDIRECT(DJ293)),(INDIRECT(DI294):INDIRECT(DJ294))^{1,2}),1)</f>
        <v>#REF!</v>
      </c>
      <c r="CB299" s="179" t="e">
        <f ca="1">INDEX(LINEST((INDIRECT(DI293):INDIRECT(DJ293)),(INDIRECT(DI294):INDIRECT(DJ294))^{1,2}),1,2)</f>
        <v>#REF!</v>
      </c>
      <c r="CC299" s="178" t="e">
        <f ca="1">INDEX(LINEST((INDIRECT(DI293):INDIRECT(DJ293)),(INDIRECT(DI294):INDIRECT(DJ294))^{1,2}),1,3)</f>
        <v>#REF!</v>
      </c>
      <c r="CD299" s="691" t="s">
        <v>71</v>
      </c>
      <c r="CG299" s="29"/>
      <c r="CH299" s="160" t="s">
        <v>15</v>
      </c>
      <c r="CI299" s="177" t="e">
        <f ca="1">INDEX(LINEST((INDIRECT(DI293):INDIRECT(DJ293)),(INDIRECT(DI294):INDIRECT(DJ294))^{1,2,3}),1)</f>
        <v>#REF!</v>
      </c>
      <c r="CJ299" s="179" t="e">
        <f ca="1">INDEX(LINEST((INDIRECT(DI293):INDIRECT(DJ293)),(INDIRECT(DI294):INDIRECT(DJ294))^{1,2,3}),1,2)</f>
        <v>#REF!</v>
      </c>
      <c r="CK299" s="179" t="e">
        <f ca="1">INDEX(LINEST((INDIRECT(DI293):INDIRECT(DJ293)),(INDIRECT(DI294):INDIRECT(DJ294))^{1,2,3}),1,3)</f>
        <v>#REF!</v>
      </c>
      <c r="CL299" s="178" t="e">
        <f ca="1">INDEX(LINEST((INDIRECT(DI293):INDIRECT(DJ293)),(INDIRECT(DI294):INDIRECT(DJ294))^{1,2,3}),1,4)</f>
        <v>#REF!</v>
      </c>
      <c r="CM299" s="691" t="s">
        <v>71</v>
      </c>
      <c r="CP299" s="29"/>
      <c r="CQ299" s="160" t="s">
        <v>15</v>
      </c>
      <c r="CR299" s="177" t="e">
        <f ca="1">EXP(INDEX(LINEST(LN(INDIRECT(DI293):INDIRECT(DJ293)),(INDIRECT(DI294):INDIRECT(DJ294))),1,2))</f>
        <v>#REF!</v>
      </c>
      <c r="CS299" s="178" t="e">
        <f ca="1">INDEX(LINEST(LN(INDIRECT(DI293):INDIRECT(DJ293)),(INDIRECT(DI294):INDIRECT(DJ294))),1)</f>
        <v>#REF!</v>
      </c>
      <c r="CT299" s="691" t="s">
        <v>71</v>
      </c>
      <c r="CZ299" s="164" t="b">
        <f t="shared" si="160"/>
        <v>0</v>
      </c>
      <c r="DA299" s="165" t="b">
        <f t="shared" si="160"/>
        <v>0</v>
      </c>
      <c r="DB299" s="166" t="b">
        <f t="shared" si="160"/>
        <v>0</v>
      </c>
      <c r="DC299" s="164" t="str">
        <f t="shared" si="161"/>
        <v/>
      </c>
      <c r="DD299" s="166" t="str">
        <f t="shared" si="162"/>
        <v/>
      </c>
      <c r="DE299" s="164" t="str">
        <f t="shared" si="163"/>
        <v/>
      </c>
      <c r="DF299" s="166" t="str">
        <f t="shared" si="164"/>
        <v/>
      </c>
      <c r="DG299" s="164" t="str">
        <f t="shared" si="165"/>
        <v/>
      </c>
      <c r="DH299" s="166" t="str">
        <f t="shared" si="166"/>
        <v/>
      </c>
      <c r="DI299" s="164" t="str">
        <f>IFERROR(INDEX(DC$296:DC$344,_xlfn.AGGREGATE(15,6,(ROW(DC$296:DC$344)-ROW(DC$296)+1)/(DC$296:DC$344&lt;&gt;""),ROWS(DI$1:DI4))),"")</f>
        <v/>
      </c>
      <c r="DJ299" s="165" t="str">
        <f>IFERROR(INDEX(DD$296:DD$344,_xlfn.AGGREGATE(15,6,(ROW(DD$296:DD$344)-ROW(DD$296)+1)/(DD$296:DD$344&lt;&gt;""),ROWS(DJ$1:DJ4))),"")</f>
        <v/>
      </c>
      <c r="DK299" s="166" t="str">
        <f t="shared" si="167"/>
        <v/>
      </c>
      <c r="DL299" s="164" t="str">
        <f>IFERROR(INDEX(DE$296:DE$344,_xlfn.AGGREGATE(15,6,(ROW(DE$296:DE$344)-ROW(DE$296)+1)/(DE$296:DE$344&lt;&gt;""),ROWS(DL$1:DL4))),"")</f>
        <v/>
      </c>
      <c r="DM299" s="165" t="str">
        <f>IFERROR(INDEX(DF$296:DF$344,_xlfn.AGGREGATE(15,6,(ROW(DF$296:DF$344)-ROW(DF$296)+1)/(DF$296:DF$344&lt;&gt;""),ROWS(DM$1:DM4))),"")</f>
        <v/>
      </c>
      <c r="DN299" s="166" t="str">
        <f t="shared" si="168"/>
        <v/>
      </c>
      <c r="DO299" s="164" t="str">
        <f>IFERROR(INDEX(DG$296:DG$344,_xlfn.AGGREGATE(15,6,(ROW(DG$296:DG$344)-ROW(DG$296)+1)/(DG$296:DG$344&lt;&gt;""),ROWS(DO$1:DO4))),"")</f>
        <v/>
      </c>
      <c r="DP299" s="165" t="str">
        <f>IFERROR(INDEX(DH$296:DH$344,_xlfn.AGGREGATE(15,6,(ROW(DH$296:DH$344)-ROW(DH$296)+1)/(DH$296:DH$344&lt;&gt;""),ROWS(DP$1:DP4))),"")</f>
        <v/>
      </c>
      <c r="DQ299" s="166" t="str">
        <f t="shared" si="169"/>
        <v/>
      </c>
      <c r="DV299" s="145">
        <v>2018</v>
      </c>
      <c r="DW299" s="235" t="e">
        <f t="shared" ca="1" si="154"/>
        <v>#REF!</v>
      </c>
      <c r="EA299" s="33" t="s">
        <v>85</v>
      </c>
      <c r="EB299" s="33" t="s">
        <v>84</v>
      </c>
      <c r="EC299" s="33" t="s">
        <v>82</v>
      </c>
      <c r="ED299" s="33" t="s">
        <v>83</v>
      </c>
      <c r="EE299" s="33"/>
    </row>
    <row r="300" spans="1:135" ht="13.8" x14ac:dyDescent="0.45">
      <c r="A300" s="184" t="s">
        <v>88</v>
      </c>
      <c r="B300" s="128">
        <v>2016</v>
      </c>
      <c r="C300" s="1067"/>
      <c r="D300" s="1067"/>
      <c r="E300" s="1069"/>
      <c r="F300" s="1075"/>
      <c r="G300" s="1052"/>
      <c r="H300" s="1064"/>
      <c r="I300" s="1143"/>
      <c r="J300" s="159"/>
      <c r="K300" s="151"/>
      <c r="L300" s="152"/>
      <c r="M300" s="151"/>
      <c r="N300" s="29" t="s">
        <v>119</v>
      </c>
      <c r="O300" s="120"/>
      <c r="P300" s="120"/>
      <c r="Q300" s="120"/>
      <c r="R300" s="29">
        <v>2</v>
      </c>
      <c r="S300" s="238" t="str">
        <f t="shared" si="155"/>
        <v/>
      </c>
      <c r="T300" s="238" t="str">
        <f t="shared" si="156"/>
        <v/>
      </c>
      <c r="U300" s="238" t="str">
        <f t="shared" si="157"/>
        <v/>
      </c>
      <c r="V300" s="29"/>
      <c r="W300" s="238" t="e">
        <f t="shared" si="170"/>
        <v>#N/A</v>
      </c>
      <c r="X300" s="238" t="e">
        <f t="shared" si="158"/>
        <v>#N/A</v>
      </c>
      <c r="Y300" s="238" t="e">
        <f t="shared" si="159"/>
        <v>#N/A</v>
      </c>
      <c r="AA300" s="1133">
        <v>302.39999999999998</v>
      </c>
      <c r="AB300" s="1133">
        <v>302.39999999999998</v>
      </c>
      <c r="AC300" s="1133">
        <v>302.39999999999998</v>
      </c>
      <c r="AD300" s="138"/>
      <c r="AE300" s="138"/>
      <c r="AF300" s="138"/>
      <c r="AG300" s="138"/>
      <c r="AH300" s="138"/>
      <c r="AI300" s="138"/>
      <c r="AJ300" s="138"/>
      <c r="AK300" s="138"/>
      <c r="AL300" s="138"/>
      <c r="AM300" s="138"/>
      <c r="AN300" s="138"/>
      <c r="BR300" s="180">
        <v>2014</v>
      </c>
      <c r="BS300" s="22">
        <v>0</v>
      </c>
      <c r="BT300" s="181" t="e">
        <f t="shared" ref="BT300:BT346" si="171">IF($BS$296="High",BS300*$BT$297,IF($BS$296="Medium",$BT$298*BS300,IF($BS$296="Low",$BT$299*BS300)))</f>
        <v>#DIV/0!</v>
      </c>
      <c r="BU300" s="182" t="e">
        <f t="shared" ref="BU300:BU346" si="172">IF($BS$296="High",$BU$297,IF($BS$296="Medium",$BU$298,IF($BS$296="Low",BU299)))</f>
        <v>#DIV/0!</v>
      </c>
      <c r="BV300" s="241" t="e">
        <f t="shared" ref="BV300:BV346" si="173">BT300+BU300</f>
        <v>#DIV/0!</v>
      </c>
      <c r="BY300" s="180">
        <v>2014</v>
      </c>
      <c r="BZ300" s="22">
        <v>0</v>
      </c>
      <c r="CA300" s="181" t="e">
        <f t="shared" ref="CA300:CA346" ca="1" si="174">IF($BZ$296="High",BZ300^2*$CA$297,IF($BZ$296="Medium",BZ300^2*$CA$298,IF($BZ$296="Low",BZ300^2*$CA$299)))</f>
        <v>#REF!</v>
      </c>
      <c r="CB300" s="181" t="e">
        <f t="shared" ref="CB300:CB346" ca="1" si="175">IF($BZ$296="High",BZ300*$CB$297,IF($BZ$296="Medium",BZ300*$CB$298,IF($BZ$296="Low",BZ300*$CB$299)))</f>
        <v>#REF!</v>
      </c>
      <c r="CC300" s="182" t="e">
        <f ca="1">IF($BZ$296="High",$CC$297,IF($BZ$296="Medium",$CC$298,IF($BZ$296="Low",$CC$299)))</f>
        <v>#REF!</v>
      </c>
      <c r="CD300" s="241" t="e">
        <f t="shared" ref="CD300:CD346" ca="1" si="176">CA300+CB300+CC300</f>
        <v>#REF!</v>
      </c>
      <c r="CG300" s="180">
        <v>2014</v>
      </c>
      <c r="CH300" s="22">
        <v>0</v>
      </c>
      <c r="CI300" s="181" t="e">
        <f t="shared" ref="CI300:CI346" ca="1" si="177">IF($CH$296="High",CH300^3*$CI$297,IF($CH$296="Medium",CH300^3*$CI$298,IF($CH$296="Low",CH300^3*$CI$299)))</f>
        <v>#REF!</v>
      </c>
      <c r="CJ300" s="181" t="e">
        <f t="shared" ref="CJ300:CJ346" ca="1" si="178">IF($CH$296="High",CH300^2*$CJ$297,IF($CH$296="Medium",CH300^2*$CJ$298,IF($CH$296="Low",CH300^2*$CJ$299)))</f>
        <v>#REF!</v>
      </c>
      <c r="CK300" s="181" t="e">
        <f t="shared" ref="CK300:CK346" ca="1" si="179">IF($CH$296="High",CH300*$CK$297,IF($CH$296="Medium",CH300*$CK$298,IF($CH$296="Low",CH300*$CK$299)))</f>
        <v>#REF!</v>
      </c>
      <c r="CL300" s="182" t="e">
        <f t="shared" ref="CL300:CL346" ca="1" si="180">IF($CH$296="High",$CL$297,IF($CH$296="Medium",$CL$298,IF($CH$296="Low",$CL$299)))</f>
        <v>#REF!</v>
      </c>
      <c r="CM300" s="241" t="e">
        <f t="shared" ref="CM300:CM346" ca="1" si="181">CI300+CJ300+CK300+CL300</f>
        <v>#REF!</v>
      </c>
      <c r="CP300" s="180">
        <v>2014</v>
      </c>
      <c r="CQ300" s="22">
        <v>0</v>
      </c>
      <c r="CR300" s="181" t="e">
        <f t="shared" ref="CR300:CR346" ca="1" si="182">IF($CQ$296="High",$CR$297,IF($CQ$296="Medium",$CR$298,IF($CQ$296="Low",$CR$299)))</f>
        <v>#REF!</v>
      </c>
      <c r="CS300" s="182" t="e">
        <f t="shared" ref="CS300:CS346" ca="1" si="183">IF($CQ$296="High",EXP(1)^($CS$297*CQ300),IF($CQ$296="Medium",EXP(1)^($CS$298*CQ300),IF($CQ$296="Low",EXP(1)^($CS$299*CQ300))))</f>
        <v>#REF!</v>
      </c>
      <c r="CT300" s="241" t="e">
        <f t="shared" ref="CT300:CT346" ca="1" si="184">(CR300*CS300)</f>
        <v>#REF!</v>
      </c>
      <c r="CZ300" s="164" t="b">
        <f t="shared" si="160"/>
        <v>0</v>
      </c>
      <c r="DA300" s="165" t="b">
        <f t="shared" si="160"/>
        <v>0</v>
      </c>
      <c r="DB300" s="166" t="b">
        <f t="shared" si="160"/>
        <v>0</v>
      </c>
      <c r="DC300" s="164" t="str">
        <f t="shared" si="161"/>
        <v/>
      </c>
      <c r="DD300" s="166" t="str">
        <f t="shared" si="162"/>
        <v/>
      </c>
      <c r="DE300" s="164" t="str">
        <f t="shared" si="163"/>
        <v/>
      </c>
      <c r="DF300" s="166" t="str">
        <f t="shared" si="164"/>
        <v/>
      </c>
      <c r="DG300" s="164" t="str">
        <f t="shared" si="165"/>
        <v/>
      </c>
      <c r="DH300" s="166" t="str">
        <f t="shared" si="166"/>
        <v/>
      </c>
      <c r="DI300" s="164" t="str">
        <f>IFERROR(INDEX(DC$296:DC$344,_xlfn.AGGREGATE(15,6,(ROW(DC$296:DC$344)-ROW(DC$296)+1)/(DC$296:DC$344&lt;&gt;""),ROWS(DI$1:DI5))),"")</f>
        <v/>
      </c>
      <c r="DJ300" s="165" t="str">
        <f>IFERROR(INDEX(DD$296:DD$344,_xlfn.AGGREGATE(15,6,(ROW(DD$296:DD$344)-ROW(DD$296)+1)/(DD$296:DD$344&lt;&gt;""),ROWS(DJ$1:DJ5))),"")</f>
        <v/>
      </c>
      <c r="DK300" s="166" t="str">
        <f t="shared" si="167"/>
        <v/>
      </c>
      <c r="DL300" s="164" t="str">
        <f>IFERROR(INDEX(DE$296:DE$344,_xlfn.AGGREGATE(15,6,(ROW(DE$296:DE$344)-ROW(DE$296)+1)/(DE$296:DE$344&lt;&gt;""),ROWS(DL$1:DL5))),"")</f>
        <v/>
      </c>
      <c r="DM300" s="165" t="str">
        <f>IFERROR(INDEX(DF$296:DF$344,_xlfn.AGGREGATE(15,6,(ROW(DF$296:DF$344)-ROW(DF$296)+1)/(DF$296:DF$344&lt;&gt;""),ROWS(DM$1:DM5))),"")</f>
        <v/>
      </c>
      <c r="DN300" s="166" t="str">
        <f t="shared" si="168"/>
        <v/>
      </c>
      <c r="DO300" s="164" t="str">
        <f>IFERROR(INDEX(DG$296:DG$344,_xlfn.AGGREGATE(15,6,(ROW(DG$296:DG$344)-ROW(DG$296)+1)/(DG$296:DG$344&lt;&gt;""),ROWS(DO$1:DO5))),"")</f>
        <v/>
      </c>
      <c r="DP300" s="165" t="str">
        <f>IFERROR(INDEX(DH$296:DH$344,_xlfn.AGGREGATE(15,6,(ROW(DH$296:DH$344)-ROW(DH$296)+1)/(DH$296:DH$344&lt;&gt;""),ROWS(DP$1:DP5))),"")</f>
        <v/>
      </c>
      <c r="DQ300" s="166" t="str">
        <f t="shared" si="169"/>
        <v/>
      </c>
      <c r="DV300" s="145">
        <v>2019</v>
      </c>
      <c r="DW300" s="235" t="e">
        <f t="shared" ca="1" si="154"/>
        <v>#REF!</v>
      </c>
      <c r="DZ300" s="135" t="s">
        <v>92</v>
      </c>
      <c r="EA300" s="33" t="e">
        <f ca="1">IF($EA$294="Linear",0,IF($EA$294="2nd Poly",0,IF($EA$294="3rd Poly",CI297,IF($EA$294="Exp",0))))</f>
        <v>#REF!</v>
      </c>
      <c r="EB300" s="33" t="e">
        <f ca="1">IF($EA$294="Linear",0,IF($EA$294="2nd Poly",CA297,IF($EA$294="3rd Poly",CJ297,IF($EA$294="Exp",0))))</f>
        <v>#REF!</v>
      </c>
      <c r="EC300" s="33" t="e">
        <f t="shared" ref="EC300:ED302" ca="1" si="185">IF($EA$294="Linear",BT297,IF($EA$294="2nd Poly",CB297,IF($EA$294="3rd Poly",CK297,IF($EA$294="Exp",0))))</f>
        <v>#REF!</v>
      </c>
      <c r="ED300" s="33" t="e">
        <f t="shared" ca="1" si="185"/>
        <v>#REF!</v>
      </c>
      <c r="EE300" s="33" t="str">
        <f>IF($EA$294="Linear","High",IF($EA$294="2nd Poly","High",IF($EA$294="3rd Poly","High","N/A")))</f>
        <v>High</v>
      </c>
    </row>
    <row r="301" spans="1:135" ht="13.8" x14ac:dyDescent="0.45">
      <c r="A301" s="184" t="s">
        <v>90</v>
      </c>
      <c r="B301" s="128">
        <v>2017</v>
      </c>
      <c r="C301" s="1070"/>
      <c r="D301" s="1050"/>
      <c r="E301" s="1069"/>
      <c r="F301" s="1075"/>
      <c r="G301" s="1052"/>
      <c r="H301" s="1034"/>
      <c r="I301" s="931"/>
      <c r="J301" s="168"/>
      <c r="K301" s="169"/>
      <c r="L301" s="170"/>
      <c r="M301" s="169"/>
      <c r="N301" s="29" t="s">
        <v>119</v>
      </c>
      <c r="O301" s="120"/>
      <c r="P301" s="120"/>
      <c r="Q301" s="120"/>
      <c r="R301" s="29">
        <v>3</v>
      </c>
      <c r="S301" s="238" t="str">
        <f t="shared" si="155"/>
        <v/>
      </c>
      <c r="T301" s="238" t="str">
        <f t="shared" si="156"/>
        <v/>
      </c>
      <c r="U301" s="238" t="str">
        <f t="shared" si="157"/>
        <v/>
      </c>
      <c r="V301" s="29"/>
      <c r="W301" s="238" t="e">
        <f t="shared" si="170"/>
        <v>#N/A</v>
      </c>
      <c r="X301" s="238" t="e">
        <f t="shared" si="158"/>
        <v>#N/A</v>
      </c>
      <c r="Y301" s="238" t="e">
        <f t="shared" si="159"/>
        <v>#N/A</v>
      </c>
      <c r="AA301" s="1133">
        <v>257.18135148578193</v>
      </c>
      <c r="AB301" s="1133">
        <v>286.76167414823118</v>
      </c>
      <c r="AC301" s="1133">
        <v>316.34199681068043</v>
      </c>
      <c r="AD301" s="138"/>
      <c r="AE301" s="138"/>
      <c r="AF301" s="138"/>
      <c r="AG301" s="138"/>
      <c r="AH301" s="138"/>
      <c r="AI301" s="138"/>
      <c r="AJ301" s="138"/>
      <c r="AK301" s="138"/>
      <c r="AL301" s="138"/>
      <c r="AM301" s="138"/>
      <c r="AN301" s="138"/>
      <c r="BR301" s="180">
        <v>2015</v>
      </c>
      <c r="BS301" s="22">
        <v>1</v>
      </c>
      <c r="BT301" s="198" t="e">
        <f t="shared" si="171"/>
        <v>#DIV/0!</v>
      </c>
      <c r="BU301" s="276" t="e">
        <f t="shared" si="172"/>
        <v>#DIV/0!</v>
      </c>
      <c r="BV301" s="241" t="e">
        <f t="shared" si="173"/>
        <v>#DIV/0!</v>
      </c>
      <c r="BY301" s="180">
        <v>2015</v>
      </c>
      <c r="BZ301" s="22">
        <v>1</v>
      </c>
      <c r="CA301" s="198" t="e">
        <f t="shared" ca="1" si="174"/>
        <v>#REF!</v>
      </c>
      <c r="CB301" s="198" t="e">
        <f t="shared" ca="1" si="175"/>
        <v>#REF!</v>
      </c>
      <c r="CC301" s="276" t="e">
        <f t="shared" ref="CC301:CC346" ca="1" si="186">CC300</f>
        <v>#REF!</v>
      </c>
      <c r="CD301" s="241" t="e">
        <f t="shared" ca="1" si="176"/>
        <v>#REF!</v>
      </c>
      <c r="CG301" s="180">
        <v>2015</v>
      </c>
      <c r="CH301" s="22">
        <v>1</v>
      </c>
      <c r="CI301" s="198" t="e">
        <f t="shared" ca="1" si="177"/>
        <v>#REF!</v>
      </c>
      <c r="CJ301" s="198" t="e">
        <f t="shared" ca="1" si="178"/>
        <v>#REF!</v>
      </c>
      <c r="CK301" s="198" t="e">
        <f t="shared" ca="1" si="179"/>
        <v>#REF!</v>
      </c>
      <c r="CL301" s="276" t="e">
        <f t="shared" ca="1" si="180"/>
        <v>#REF!</v>
      </c>
      <c r="CM301" s="241" t="e">
        <f t="shared" ca="1" si="181"/>
        <v>#REF!</v>
      </c>
      <c r="CP301" s="180">
        <v>2015</v>
      </c>
      <c r="CQ301" s="22">
        <v>1</v>
      </c>
      <c r="CR301" s="198" t="e">
        <f t="shared" ca="1" si="182"/>
        <v>#REF!</v>
      </c>
      <c r="CS301" s="276" t="e">
        <f t="shared" ca="1" si="183"/>
        <v>#REF!</v>
      </c>
      <c r="CT301" s="241" t="e">
        <f t="shared" ca="1" si="184"/>
        <v>#REF!</v>
      </c>
      <c r="CZ301" s="164" t="b">
        <f t="shared" si="160"/>
        <v>0</v>
      </c>
      <c r="DA301" s="165" t="b">
        <f t="shared" si="160"/>
        <v>0</v>
      </c>
      <c r="DB301" s="166" t="b">
        <f t="shared" si="160"/>
        <v>0</v>
      </c>
      <c r="DC301" s="164" t="str">
        <f t="shared" si="161"/>
        <v/>
      </c>
      <c r="DD301" s="166" t="str">
        <f t="shared" si="162"/>
        <v/>
      </c>
      <c r="DE301" s="164" t="str">
        <f t="shared" si="163"/>
        <v/>
      </c>
      <c r="DF301" s="166" t="str">
        <f t="shared" si="164"/>
        <v/>
      </c>
      <c r="DG301" s="164" t="str">
        <f t="shared" si="165"/>
        <v/>
      </c>
      <c r="DH301" s="166" t="str">
        <f t="shared" si="166"/>
        <v/>
      </c>
      <c r="DI301" s="164" t="str">
        <f>IFERROR(INDEX(DC$296:DC$344,_xlfn.AGGREGATE(15,6,(ROW(DC$296:DC$344)-ROW(DC$296)+1)/(DC$296:DC$344&lt;&gt;""),ROWS(DI$1:DI6))),"")</f>
        <v/>
      </c>
      <c r="DJ301" s="165" t="str">
        <f>IFERROR(INDEX(DD$296:DD$344,_xlfn.AGGREGATE(15,6,(ROW(DD$296:DD$344)-ROW(DD$296)+1)/(DD$296:DD$344&lt;&gt;""),ROWS(DJ$1:DJ6))),"")</f>
        <v/>
      </c>
      <c r="DK301" s="166" t="str">
        <f t="shared" si="167"/>
        <v/>
      </c>
      <c r="DL301" s="164" t="str">
        <f>IFERROR(INDEX(DE$296:DE$344,_xlfn.AGGREGATE(15,6,(ROW(DE$296:DE$344)-ROW(DE$296)+1)/(DE$296:DE$344&lt;&gt;""),ROWS(DL$1:DL6))),"")</f>
        <v/>
      </c>
      <c r="DM301" s="165" t="str">
        <f>IFERROR(INDEX(DF$296:DF$344,_xlfn.AGGREGATE(15,6,(ROW(DF$296:DF$344)-ROW(DF$296)+1)/(DF$296:DF$344&lt;&gt;""),ROWS(DM$1:DM6))),"")</f>
        <v/>
      </c>
      <c r="DN301" s="166" t="str">
        <f t="shared" si="168"/>
        <v/>
      </c>
      <c r="DO301" s="164" t="str">
        <f>IFERROR(INDEX(DG$296:DG$344,_xlfn.AGGREGATE(15,6,(ROW(DG$296:DG$344)-ROW(DG$296)+1)/(DG$296:DG$344&lt;&gt;""),ROWS(DO$1:DO6))),"")</f>
        <v/>
      </c>
      <c r="DP301" s="165" t="str">
        <f>IFERROR(INDEX(DH$296:DH$344,_xlfn.AGGREGATE(15,6,(ROW(DH$296:DH$344)-ROW(DH$296)+1)/(DH$296:DH$344&lt;&gt;""),ROWS(DP$1:DP6))),"")</f>
        <v/>
      </c>
      <c r="DQ301" s="166" t="str">
        <f t="shared" si="169"/>
        <v/>
      </c>
      <c r="DV301" s="145">
        <v>2020</v>
      </c>
      <c r="DW301" s="235" t="e">
        <f t="shared" ca="1" si="154"/>
        <v>#REF!</v>
      </c>
      <c r="DZ301" s="135" t="s">
        <v>92</v>
      </c>
      <c r="EA301" s="33" t="e">
        <f ca="1">IF($EA$294="Linear",0,IF($EA$294="2nd Poly",0,IF($EA$294="3rd Poly",CI298,IF($EA$294="Exp",0))))</f>
        <v>#REF!</v>
      </c>
      <c r="EB301" s="33" t="e">
        <f ca="1">IF($EA$294="Linear",0,IF($EA$294="2nd Poly",CA298,IF($EA$294="3rd Poly",CJ298,IF($EA$294="Exp",0))))</f>
        <v>#REF!</v>
      </c>
      <c r="EC301" s="33" t="e">
        <f t="shared" ca="1" si="185"/>
        <v>#REF!</v>
      </c>
      <c r="ED301" s="33" t="e">
        <f t="shared" ca="1" si="185"/>
        <v>#REF!</v>
      </c>
      <c r="EE301" s="33" t="str">
        <f>IF($EA$294="Linear","Medium",IF($EA$294="2nd Poly","Medium",IF($EA$294="3rd Poly","Medium","N/A")))</f>
        <v>Medium</v>
      </c>
    </row>
    <row r="302" spans="1:135" ht="13.8" x14ac:dyDescent="0.45">
      <c r="A302" s="948" t="s">
        <v>1039</v>
      </c>
      <c r="B302" s="128">
        <v>2018</v>
      </c>
      <c r="C302" s="1070"/>
      <c r="D302" s="1050"/>
      <c r="E302" s="1069"/>
      <c r="F302" s="1075"/>
      <c r="G302" s="1052"/>
      <c r="H302" s="1064"/>
      <c r="I302" s="1016"/>
      <c r="J302" s="159"/>
      <c r="K302" s="151"/>
      <c r="L302" s="152"/>
      <c r="M302" s="151"/>
      <c r="N302" s="29" t="s">
        <v>119</v>
      </c>
      <c r="O302" s="120"/>
      <c r="P302" s="120"/>
      <c r="Q302" s="120"/>
      <c r="R302" s="29">
        <v>4</v>
      </c>
      <c r="S302" s="238" t="str">
        <f t="shared" si="155"/>
        <v/>
      </c>
      <c r="T302" s="238" t="str">
        <f t="shared" si="156"/>
        <v/>
      </c>
      <c r="U302" s="238" t="str">
        <f t="shared" si="157"/>
        <v/>
      </c>
      <c r="V302" s="20"/>
      <c r="W302" s="238" t="e">
        <f t="shared" si="170"/>
        <v>#N/A</v>
      </c>
      <c r="X302" s="238" t="e">
        <f t="shared" si="158"/>
        <v>#N/A</v>
      </c>
      <c r="Y302" s="238" t="e">
        <f t="shared" si="159"/>
        <v>#N/A</v>
      </c>
      <c r="AA302" s="1133">
        <v>269.16694528144944</v>
      </c>
      <c r="AB302" s="1133">
        <v>297.67525327476079</v>
      </c>
      <c r="AC302" s="1133">
        <v>326.18356126807214</v>
      </c>
      <c r="AD302" s="138"/>
      <c r="AE302" s="138"/>
      <c r="AF302" s="138"/>
      <c r="AG302" s="138"/>
      <c r="AH302" s="138"/>
      <c r="AI302" s="138"/>
      <c r="AJ302" s="138"/>
      <c r="AK302" s="138"/>
      <c r="AL302" s="138"/>
      <c r="AM302" s="138"/>
      <c r="AN302" s="138"/>
      <c r="BR302" s="180">
        <v>2016</v>
      </c>
      <c r="BS302" s="22">
        <v>2</v>
      </c>
      <c r="BT302" s="198" t="e">
        <f t="shared" si="171"/>
        <v>#DIV/0!</v>
      </c>
      <c r="BU302" s="276" t="e">
        <f t="shared" si="172"/>
        <v>#DIV/0!</v>
      </c>
      <c r="BV302" s="241" t="e">
        <f t="shared" si="173"/>
        <v>#DIV/0!</v>
      </c>
      <c r="BY302" s="180">
        <v>2016</v>
      </c>
      <c r="BZ302" s="22">
        <v>2</v>
      </c>
      <c r="CA302" s="198" t="e">
        <f t="shared" ca="1" si="174"/>
        <v>#REF!</v>
      </c>
      <c r="CB302" s="198" t="e">
        <f t="shared" ca="1" si="175"/>
        <v>#REF!</v>
      </c>
      <c r="CC302" s="276" t="e">
        <f t="shared" ca="1" si="186"/>
        <v>#REF!</v>
      </c>
      <c r="CD302" s="241" t="e">
        <f t="shared" ca="1" si="176"/>
        <v>#REF!</v>
      </c>
      <c r="CG302" s="180">
        <v>2016</v>
      </c>
      <c r="CH302" s="22">
        <v>2</v>
      </c>
      <c r="CI302" s="198" t="e">
        <f t="shared" ca="1" si="177"/>
        <v>#REF!</v>
      </c>
      <c r="CJ302" s="198" t="e">
        <f t="shared" ca="1" si="178"/>
        <v>#REF!</v>
      </c>
      <c r="CK302" s="198" t="e">
        <f t="shared" ca="1" si="179"/>
        <v>#REF!</v>
      </c>
      <c r="CL302" s="276" t="e">
        <f t="shared" ca="1" si="180"/>
        <v>#REF!</v>
      </c>
      <c r="CM302" s="241" t="e">
        <f t="shared" ca="1" si="181"/>
        <v>#REF!</v>
      </c>
      <c r="CP302" s="180">
        <v>2016</v>
      </c>
      <c r="CQ302" s="22">
        <v>2</v>
      </c>
      <c r="CR302" s="198" t="e">
        <f t="shared" ca="1" si="182"/>
        <v>#REF!</v>
      </c>
      <c r="CS302" s="276" t="e">
        <f t="shared" ca="1" si="183"/>
        <v>#REF!</v>
      </c>
      <c r="CT302" s="241" t="e">
        <f t="shared" ca="1" si="184"/>
        <v>#REF!</v>
      </c>
      <c r="CZ302" s="164" t="b">
        <f t="shared" si="160"/>
        <v>0</v>
      </c>
      <c r="DA302" s="165" t="b">
        <f t="shared" si="160"/>
        <v>0</v>
      </c>
      <c r="DB302" s="166" t="b">
        <f t="shared" si="160"/>
        <v>0</v>
      </c>
      <c r="DC302" s="164" t="str">
        <f t="shared" si="161"/>
        <v/>
      </c>
      <c r="DD302" s="166" t="str">
        <f t="shared" si="162"/>
        <v/>
      </c>
      <c r="DE302" s="164" t="str">
        <f t="shared" si="163"/>
        <v/>
      </c>
      <c r="DF302" s="166" t="str">
        <f t="shared" si="164"/>
        <v/>
      </c>
      <c r="DG302" s="164" t="str">
        <f t="shared" si="165"/>
        <v/>
      </c>
      <c r="DH302" s="166" t="str">
        <f t="shared" si="166"/>
        <v/>
      </c>
      <c r="DI302" s="164" t="str">
        <f>IFERROR(INDEX(DC$296:DC$344,_xlfn.AGGREGATE(15,6,(ROW(DC$296:DC$344)-ROW(DC$296)+1)/(DC$296:DC$344&lt;&gt;""),ROWS(DI$1:DI7))),"")</f>
        <v/>
      </c>
      <c r="DJ302" s="165" t="str">
        <f>IFERROR(INDEX(DD$296:DD$344,_xlfn.AGGREGATE(15,6,(ROW(DD$296:DD$344)-ROW(DD$296)+1)/(DD$296:DD$344&lt;&gt;""),ROWS(DJ$1:DJ7))),"")</f>
        <v/>
      </c>
      <c r="DK302" s="166" t="str">
        <f t="shared" si="167"/>
        <v/>
      </c>
      <c r="DL302" s="164" t="str">
        <f>IFERROR(INDEX(DE$296:DE$344,_xlfn.AGGREGATE(15,6,(ROW(DE$296:DE$344)-ROW(DE$296)+1)/(DE$296:DE$344&lt;&gt;""),ROWS(DL$1:DL7))),"")</f>
        <v/>
      </c>
      <c r="DM302" s="165" t="str">
        <f>IFERROR(INDEX(DF$296:DF$344,_xlfn.AGGREGATE(15,6,(ROW(DF$296:DF$344)-ROW(DF$296)+1)/(DF$296:DF$344&lt;&gt;""),ROWS(DM$1:DM7))),"")</f>
        <v/>
      </c>
      <c r="DN302" s="166" t="str">
        <f t="shared" si="168"/>
        <v/>
      </c>
      <c r="DO302" s="164" t="str">
        <f>IFERROR(INDEX(DG$296:DG$344,_xlfn.AGGREGATE(15,6,(ROW(DG$296:DG$344)-ROW(DG$296)+1)/(DG$296:DG$344&lt;&gt;""),ROWS(DO$1:DO7))),"")</f>
        <v/>
      </c>
      <c r="DP302" s="165" t="str">
        <f>IFERROR(INDEX(DH$296:DH$344,_xlfn.AGGREGATE(15,6,(ROW(DH$296:DH$344)-ROW(DH$296)+1)/(DH$296:DH$344&lt;&gt;""),ROWS(DP$1:DP7))),"")</f>
        <v/>
      </c>
      <c r="DQ302" s="166" t="str">
        <f t="shared" si="169"/>
        <v/>
      </c>
      <c r="DV302" s="145">
        <v>2021</v>
      </c>
      <c r="DW302" s="235" t="e">
        <f t="shared" ca="1" si="154"/>
        <v>#REF!</v>
      </c>
      <c r="DZ302" s="135" t="s">
        <v>92</v>
      </c>
      <c r="EA302" s="33" t="e">
        <f ca="1">IF($EA$294="Linear",0,IF($EA$294="2nd Poly",0,IF($EA$294="3rd Poly",CI299,IF($EA$294="Exp",0))))</f>
        <v>#REF!</v>
      </c>
      <c r="EB302" s="33" t="e">
        <f ca="1">IF($EA$294="Linear",0,IF($EA$294="2nd Poly",CA299,IF($EA$294="3rd Poly",CJ299,IF($EA$294="Exp",0))))</f>
        <v>#REF!</v>
      </c>
      <c r="EC302" s="33" t="e">
        <f t="shared" ca="1" si="185"/>
        <v>#REF!</v>
      </c>
      <c r="ED302" s="33" t="e">
        <f t="shared" ca="1" si="185"/>
        <v>#REF!</v>
      </c>
      <c r="EE302" s="33" t="str">
        <f>IF($EA$294="Linear","Low",IF($EA$294="2nd Poly","Low",IF($EA$294="3rd Poly","Low","N/A")))</f>
        <v>Low</v>
      </c>
    </row>
    <row r="303" spans="1:135" ht="13.8" x14ac:dyDescent="0.45">
      <c r="A303" s="184" t="s">
        <v>88</v>
      </c>
      <c r="B303" s="128">
        <v>2019</v>
      </c>
      <c r="C303" s="1070"/>
      <c r="D303" s="1050"/>
      <c r="E303" s="1069"/>
      <c r="F303" s="1075"/>
      <c r="G303" s="1052"/>
      <c r="H303" s="1064"/>
      <c r="I303" s="1016"/>
      <c r="J303" s="159"/>
      <c r="K303" s="151"/>
      <c r="L303" s="152"/>
      <c r="M303" s="151"/>
      <c r="N303" s="29" t="s">
        <v>119</v>
      </c>
      <c r="O303" s="120"/>
      <c r="P303" s="120"/>
      <c r="Q303" s="120"/>
      <c r="R303" s="29">
        <v>5</v>
      </c>
      <c r="S303" s="238" t="str">
        <f t="shared" si="155"/>
        <v/>
      </c>
      <c r="T303" s="238" t="str">
        <f t="shared" si="156"/>
        <v/>
      </c>
      <c r="U303" s="238" t="str">
        <f t="shared" si="157"/>
        <v/>
      </c>
      <c r="V303" s="20"/>
      <c r="W303" s="238" t="e">
        <f t="shared" si="170"/>
        <v>#N/A</v>
      </c>
      <c r="X303" s="238" t="e">
        <f t="shared" si="158"/>
        <v>#N/A</v>
      </c>
      <c r="Y303" s="238" t="e">
        <f t="shared" si="159"/>
        <v>#N/A</v>
      </c>
      <c r="AA303" s="1133">
        <v>282.62071871438854</v>
      </c>
      <c r="AB303" s="1133">
        <v>311.70862325040395</v>
      </c>
      <c r="AC303" s="1133">
        <v>340.79652778641935</v>
      </c>
      <c r="AD303" s="138"/>
      <c r="AE303" s="138"/>
      <c r="AF303" s="138"/>
      <c r="AG303" s="138"/>
      <c r="AH303" s="138"/>
      <c r="AI303" s="138"/>
      <c r="AJ303" s="138"/>
      <c r="AK303" s="138"/>
      <c r="AL303" s="138"/>
      <c r="AM303" s="138"/>
      <c r="AN303" s="138"/>
      <c r="BR303" s="180">
        <v>2017</v>
      </c>
      <c r="BS303" s="22">
        <v>3</v>
      </c>
      <c r="BT303" s="198" t="e">
        <f t="shared" si="171"/>
        <v>#DIV/0!</v>
      </c>
      <c r="BU303" s="276" t="e">
        <f t="shared" si="172"/>
        <v>#DIV/0!</v>
      </c>
      <c r="BV303" s="241" t="e">
        <f t="shared" si="173"/>
        <v>#DIV/0!</v>
      </c>
      <c r="BY303" s="180">
        <v>2017</v>
      </c>
      <c r="BZ303" s="22">
        <v>3</v>
      </c>
      <c r="CA303" s="198" t="e">
        <f t="shared" ca="1" si="174"/>
        <v>#REF!</v>
      </c>
      <c r="CB303" s="198" t="e">
        <f t="shared" ca="1" si="175"/>
        <v>#REF!</v>
      </c>
      <c r="CC303" s="276" t="e">
        <f t="shared" ca="1" si="186"/>
        <v>#REF!</v>
      </c>
      <c r="CD303" s="241" t="e">
        <f t="shared" ca="1" si="176"/>
        <v>#REF!</v>
      </c>
      <c r="CG303" s="180">
        <v>2017</v>
      </c>
      <c r="CH303" s="22">
        <v>3</v>
      </c>
      <c r="CI303" s="198" t="e">
        <f t="shared" ca="1" si="177"/>
        <v>#REF!</v>
      </c>
      <c r="CJ303" s="198" t="e">
        <f t="shared" ca="1" si="178"/>
        <v>#REF!</v>
      </c>
      <c r="CK303" s="198" t="e">
        <f t="shared" ca="1" si="179"/>
        <v>#REF!</v>
      </c>
      <c r="CL303" s="276" t="e">
        <f t="shared" ca="1" si="180"/>
        <v>#REF!</v>
      </c>
      <c r="CM303" s="241" t="e">
        <f t="shared" ca="1" si="181"/>
        <v>#REF!</v>
      </c>
      <c r="CP303" s="180">
        <v>2017</v>
      </c>
      <c r="CQ303" s="22">
        <v>3</v>
      </c>
      <c r="CR303" s="198" t="e">
        <f t="shared" ca="1" si="182"/>
        <v>#REF!</v>
      </c>
      <c r="CS303" s="276" t="e">
        <f t="shared" ca="1" si="183"/>
        <v>#REF!</v>
      </c>
      <c r="CT303" s="241" t="e">
        <f t="shared" ca="1" si="184"/>
        <v>#REF!</v>
      </c>
      <c r="CZ303" s="164" t="b">
        <f t="shared" si="160"/>
        <v>0</v>
      </c>
      <c r="DA303" s="165" t="b">
        <f t="shared" si="160"/>
        <v>0</v>
      </c>
      <c r="DB303" s="166" t="b">
        <f t="shared" si="160"/>
        <v>0</v>
      </c>
      <c r="DC303" s="164" t="str">
        <f t="shared" si="161"/>
        <v/>
      </c>
      <c r="DD303" s="166" t="str">
        <f t="shared" si="162"/>
        <v/>
      </c>
      <c r="DE303" s="164" t="str">
        <f t="shared" si="163"/>
        <v/>
      </c>
      <c r="DF303" s="166" t="str">
        <f t="shared" si="164"/>
        <v/>
      </c>
      <c r="DG303" s="164" t="str">
        <f t="shared" si="165"/>
        <v/>
      </c>
      <c r="DH303" s="166" t="str">
        <f t="shared" si="166"/>
        <v/>
      </c>
      <c r="DI303" s="164" t="str">
        <f>IFERROR(INDEX(DC$296:DC$344,_xlfn.AGGREGATE(15,6,(ROW(DC$296:DC$344)-ROW(DC$296)+1)/(DC$296:DC$344&lt;&gt;""),ROWS(DI$1:DI8))),"")</f>
        <v/>
      </c>
      <c r="DJ303" s="165" t="str">
        <f>IFERROR(INDEX(DD$296:DD$344,_xlfn.AGGREGATE(15,6,(ROW(DD$296:DD$344)-ROW(DD$296)+1)/(DD$296:DD$344&lt;&gt;""),ROWS(DJ$1:DJ8))),"")</f>
        <v/>
      </c>
      <c r="DK303" s="166" t="str">
        <f t="shared" si="167"/>
        <v/>
      </c>
      <c r="DL303" s="164" t="str">
        <f>IFERROR(INDEX(DE$296:DE$344,_xlfn.AGGREGATE(15,6,(ROW(DE$296:DE$344)-ROW(DE$296)+1)/(DE$296:DE$344&lt;&gt;""),ROWS(DL$1:DL8))),"")</f>
        <v/>
      </c>
      <c r="DM303" s="165" t="str">
        <f>IFERROR(INDEX(DF$296:DF$344,_xlfn.AGGREGATE(15,6,(ROW(DF$296:DF$344)-ROW(DF$296)+1)/(DF$296:DF$344&lt;&gt;""),ROWS(DM$1:DM8))),"")</f>
        <v/>
      </c>
      <c r="DN303" s="166" t="str">
        <f t="shared" si="168"/>
        <v/>
      </c>
      <c r="DO303" s="164" t="str">
        <f>IFERROR(INDEX(DG$296:DG$344,_xlfn.AGGREGATE(15,6,(ROW(DG$296:DG$344)-ROW(DG$296)+1)/(DG$296:DG$344&lt;&gt;""),ROWS(DO$1:DO8))),"")</f>
        <v/>
      </c>
      <c r="DP303" s="165" t="str">
        <f>IFERROR(INDEX(DH$296:DH$344,_xlfn.AGGREGATE(15,6,(ROW(DH$296:DH$344)-ROW(DH$296)+1)/(DH$296:DH$344&lt;&gt;""),ROWS(DP$1:DP8))),"")</f>
        <v/>
      </c>
      <c r="DQ303" s="166" t="str">
        <f t="shared" si="169"/>
        <v/>
      </c>
      <c r="DV303" s="145">
        <v>2022</v>
      </c>
      <c r="DW303" s="235" t="e">
        <f t="shared" ca="1" si="154"/>
        <v>#REF!</v>
      </c>
      <c r="DZ303" s="135"/>
      <c r="EA303" s="33"/>
      <c r="EB303" s="33"/>
      <c r="EC303" s="33"/>
      <c r="ED303" s="33"/>
      <c r="EE303" s="33"/>
    </row>
    <row r="304" spans="1:135" ht="13.8" x14ac:dyDescent="0.45">
      <c r="A304" s="194" t="s">
        <v>90</v>
      </c>
      <c r="B304" s="128">
        <v>2020</v>
      </c>
      <c r="C304" s="1070"/>
      <c r="D304" s="1050"/>
      <c r="E304" s="1069"/>
      <c r="F304" s="1075"/>
      <c r="G304" s="1052"/>
      <c r="H304" s="1034"/>
      <c r="I304" s="931"/>
      <c r="J304" s="168"/>
      <c r="K304" s="169"/>
      <c r="L304" s="170"/>
      <c r="M304" s="169"/>
      <c r="N304" s="29" t="s">
        <v>119</v>
      </c>
      <c r="O304" s="120"/>
      <c r="P304" s="120"/>
      <c r="Q304" s="120"/>
      <c r="R304" s="29">
        <v>6</v>
      </c>
      <c r="S304" s="195" t="str">
        <f t="shared" si="155"/>
        <v/>
      </c>
      <c r="T304" s="195" t="str">
        <f t="shared" si="156"/>
        <v/>
      </c>
      <c r="U304" s="195" t="str">
        <f t="shared" si="157"/>
        <v/>
      </c>
      <c r="V304" s="20"/>
      <c r="W304" s="238" t="e">
        <f t="shared" si="170"/>
        <v>#N/A</v>
      </c>
      <c r="X304" s="238" t="e">
        <f t="shared" si="158"/>
        <v>#N/A</v>
      </c>
      <c r="Y304" s="238" t="e">
        <f t="shared" si="159"/>
        <v>#N/A</v>
      </c>
      <c r="AA304" s="1133">
        <v>296.30003614053794</v>
      </c>
      <c r="AB304" s="1133">
        <v>325.70609554144056</v>
      </c>
      <c r="AC304" s="1133">
        <v>355.11215494234318</v>
      </c>
      <c r="AD304" s="138"/>
      <c r="AE304" s="138"/>
      <c r="AF304" s="138"/>
      <c r="AG304" s="138"/>
      <c r="AH304" s="138"/>
      <c r="AI304" s="138"/>
      <c r="AJ304" s="138"/>
      <c r="AK304" s="138"/>
      <c r="AL304" s="138"/>
      <c r="AM304" s="138"/>
      <c r="AN304" s="138"/>
      <c r="BR304" s="180">
        <v>2018</v>
      </c>
      <c r="BS304" s="22">
        <v>4</v>
      </c>
      <c r="BT304" s="198" t="e">
        <f t="shared" si="171"/>
        <v>#DIV/0!</v>
      </c>
      <c r="BU304" s="276" t="e">
        <f t="shared" si="172"/>
        <v>#DIV/0!</v>
      </c>
      <c r="BV304" s="241" t="e">
        <f t="shared" si="173"/>
        <v>#DIV/0!</v>
      </c>
      <c r="BY304" s="180">
        <v>2018</v>
      </c>
      <c r="BZ304" s="22">
        <v>4</v>
      </c>
      <c r="CA304" s="198" t="e">
        <f t="shared" ca="1" si="174"/>
        <v>#REF!</v>
      </c>
      <c r="CB304" s="198" t="e">
        <f t="shared" ca="1" si="175"/>
        <v>#REF!</v>
      </c>
      <c r="CC304" s="276" t="e">
        <f t="shared" ca="1" si="186"/>
        <v>#REF!</v>
      </c>
      <c r="CD304" s="241" t="e">
        <f t="shared" ca="1" si="176"/>
        <v>#REF!</v>
      </c>
      <c r="CG304" s="180">
        <v>2018</v>
      </c>
      <c r="CH304" s="22">
        <v>4</v>
      </c>
      <c r="CI304" s="198" t="e">
        <f t="shared" ca="1" si="177"/>
        <v>#REF!</v>
      </c>
      <c r="CJ304" s="198" t="e">
        <f t="shared" ca="1" si="178"/>
        <v>#REF!</v>
      </c>
      <c r="CK304" s="198" t="e">
        <f t="shared" ca="1" si="179"/>
        <v>#REF!</v>
      </c>
      <c r="CL304" s="276" t="e">
        <f t="shared" ca="1" si="180"/>
        <v>#REF!</v>
      </c>
      <c r="CM304" s="241" t="e">
        <f t="shared" ca="1" si="181"/>
        <v>#REF!</v>
      </c>
      <c r="CP304" s="180">
        <v>2018</v>
      </c>
      <c r="CQ304" s="22">
        <v>4</v>
      </c>
      <c r="CR304" s="198" t="e">
        <f t="shared" ca="1" si="182"/>
        <v>#REF!</v>
      </c>
      <c r="CS304" s="276" t="e">
        <f t="shared" ca="1" si="183"/>
        <v>#REF!</v>
      </c>
      <c r="CT304" s="241" t="e">
        <f t="shared" ca="1" si="184"/>
        <v>#REF!</v>
      </c>
      <c r="CZ304" s="164" t="b">
        <f t="shared" si="160"/>
        <v>0</v>
      </c>
      <c r="DA304" s="165" t="b">
        <f t="shared" si="160"/>
        <v>0</v>
      </c>
      <c r="DB304" s="166" t="b">
        <f t="shared" si="160"/>
        <v>0</v>
      </c>
      <c r="DC304" s="164" t="str">
        <f t="shared" si="161"/>
        <v/>
      </c>
      <c r="DD304" s="166" t="str">
        <f t="shared" si="162"/>
        <v/>
      </c>
      <c r="DE304" s="164" t="str">
        <f t="shared" si="163"/>
        <v/>
      </c>
      <c r="DF304" s="166" t="str">
        <f t="shared" si="164"/>
        <v/>
      </c>
      <c r="DG304" s="164" t="str">
        <f t="shared" si="165"/>
        <v/>
      </c>
      <c r="DH304" s="166" t="str">
        <f t="shared" si="166"/>
        <v/>
      </c>
      <c r="DI304" s="164" t="str">
        <f>IFERROR(INDEX(DC$296:DC$344,_xlfn.AGGREGATE(15,6,(ROW(DC$296:DC$344)-ROW(DC$296)+1)/(DC$296:DC$344&lt;&gt;""),ROWS(DI$1:DI9))),"")</f>
        <v/>
      </c>
      <c r="DJ304" s="165" t="str">
        <f>IFERROR(INDEX(DD$296:DD$344,_xlfn.AGGREGATE(15,6,(ROW(DD$296:DD$344)-ROW(DD$296)+1)/(DD$296:DD$344&lt;&gt;""),ROWS(DJ$1:DJ9))),"")</f>
        <v/>
      </c>
      <c r="DK304" s="166" t="str">
        <f t="shared" si="167"/>
        <v/>
      </c>
      <c r="DL304" s="164" t="str">
        <f>IFERROR(INDEX(DE$296:DE$344,_xlfn.AGGREGATE(15,6,(ROW(DE$296:DE$344)-ROW(DE$296)+1)/(DE$296:DE$344&lt;&gt;""),ROWS(DL$1:DL9))),"")</f>
        <v/>
      </c>
      <c r="DM304" s="165" t="str">
        <f>IFERROR(INDEX(DF$296:DF$344,_xlfn.AGGREGATE(15,6,(ROW(DF$296:DF$344)-ROW(DF$296)+1)/(DF$296:DF$344&lt;&gt;""),ROWS(DM$1:DM9))),"")</f>
        <v/>
      </c>
      <c r="DN304" s="166" t="str">
        <f t="shared" si="168"/>
        <v/>
      </c>
      <c r="DO304" s="164" t="str">
        <f>IFERROR(INDEX(DG$296:DG$344,_xlfn.AGGREGATE(15,6,(ROW(DG$296:DG$344)-ROW(DG$296)+1)/(DG$296:DG$344&lt;&gt;""),ROWS(DO$1:DO9))),"")</f>
        <v/>
      </c>
      <c r="DP304" s="165" t="str">
        <f>IFERROR(INDEX(DH$296:DH$344,_xlfn.AGGREGATE(15,6,(ROW(DH$296:DH$344)-ROW(DH$296)+1)/(DH$296:DH$344&lt;&gt;""),ROWS(DP$1:DP9))),"")</f>
        <v/>
      </c>
      <c r="DQ304" s="166" t="str">
        <f t="shared" si="169"/>
        <v/>
      </c>
      <c r="DV304" s="145">
        <v>2023</v>
      </c>
      <c r="DW304" s="235" t="e">
        <f t="shared" ca="1" si="154"/>
        <v>#REF!</v>
      </c>
      <c r="DZ304" s="135"/>
      <c r="EA304" s="33" t="s">
        <v>86</v>
      </c>
      <c r="EB304" s="33" t="s">
        <v>87</v>
      </c>
      <c r="EC304" s="33"/>
      <c r="ED304" s="33"/>
      <c r="EE304" s="33"/>
    </row>
    <row r="305" spans="1:135" ht="14.1" thickBot="1" x14ac:dyDescent="0.5">
      <c r="A305" s="184" t="s">
        <v>80</v>
      </c>
      <c r="B305" s="128">
        <v>2021</v>
      </c>
      <c r="C305" s="1070"/>
      <c r="D305" s="1050"/>
      <c r="E305" s="1069"/>
      <c r="F305" s="1075"/>
      <c r="G305" s="1052"/>
      <c r="H305" s="1064"/>
      <c r="I305" s="1016"/>
      <c r="J305" s="159"/>
      <c r="K305" s="151"/>
      <c r="L305" s="152"/>
      <c r="M305" s="151"/>
      <c r="N305" s="29" t="s">
        <v>119</v>
      </c>
      <c r="O305" s="120"/>
      <c r="P305" s="120"/>
      <c r="Q305" s="120"/>
      <c r="R305" s="29">
        <v>7</v>
      </c>
      <c r="S305" s="196" t="str">
        <f t="shared" si="155"/>
        <v/>
      </c>
      <c r="T305" s="196" t="str">
        <f t="shared" si="156"/>
        <v/>
      </c>
      <c r="U305" s="196" t="str">
        <f t="shared" si="157"/>
        <v/>
      </c>
      <c r="V305" s="20"/>
      <c r="W305" s="238" t="e">
        <f t="shared" si="170"/>
        <v>#N/A</v>
      </c>
      <c r="X305" s="238" t="e">
        <f t="shared" si="158"/>
        <v>#N/A</v>
      </c>
      <c r="Y305" s="238" t="e">
        <f t="shared" si="159"/>
        <v>#N/A</v>
      </c>
      <c r="AA305" s="1133">
        <v>309.95374798924183</v>
      </c>
      <c r="AB305" s="1133">
        <v>339.57379557518897</v>
      </c>
      <c r="AC305" s="1133">
        <v>369.1938431611361</v>
      </c>
      <c r="AD305" s="138"/>
      <c r="AE305" s="138"/>
      <c r="AF305" s="138"/>
      <c r="AG305" s="138"/>
      <c r="AH305" s="138"/>
      <c r="AI305" s="138"/>
      <c r="AJ305" s="138"/>
      <c r="AK305" s="138"/>
      <c r="AL305" s="138"/>
      <c r="AM305" s="138"/>
      <c r="AN305" s="138"/>
      <c r="BR305" s="180">
        <v>2019</v>
      </c>
      <c r="BS305" s="22">
        <v>5</v>
      </c>
      <c r="BT305" s="198" t="e">
        <f t="shared" si="171"/>
        <v>#DIV/0!</v>
      </c>
      <c r="BU305" s="276" t="e">
        <f t="shared" si="172"/>
        <v>#DIV/0!</v>
      </c>
      <c r="BV305" s="283" t="e">
        <f t="shared" si="173"/>
        <v>#DIV/0!</v>
      </c>
      <c r="BY305" s="180">
        <v>2019</v>
      </c>
      <c r="BZ305" s="22">
        <v>5</v>
      </c>
      <c r="CA305" s="198" t="e">
        <f t="shared" ca="1" si="174"/>
        <v>#REF!</v>
      </c>
      <c r="CB305" s="198" t="e">
        <f t="shared" ca="1" si="175"/>
        <v>#REF!</v>
      </c>
      <c r="CC305" s="276" t="e">
        <f t="shared" ca="1" si="186"/>
        <v>#REF!</v>
      </c>
      <c r="CD305" s="283" t="e">
        <f t="shared" ca="1" si="176"/>
        <v>#REF!</v>
      </c>
      <c r="CG305" s="180">
        <v>2019</v>
      </c>
      <c r="CH305" s="22">
        <v>5</v>
      </c>
      <c r="CI305" s="198" t="e">
        <f t="shared" ca="1" si="177"/>
        <v>#REF!</v>
      </c>
      <c r="CJ305" s="198" t="e">
        <f t="shared" ca="1" si="178"/>
        <v>#REF!</v>
      </c>
      <c r="CK305" s="198" t="e">
        <f t="shared" ca="1" si="179"/>
        <v>#REF!</v>
      </c>
      <c r="CL305" s="276" t="e">
        <f t="shared" ca="1" si="180"/>
        <v>#REF!</v>
      </c>
      <c r="CM305" s="283" t="e">
        <f t="shared" ca="1" si="181"/>
        <v>#REF!</v>
      </c>
      <c r="CP305" s="180">
        <v>2019</v>
      </c>
      <c r="CQ305" s="22">
        <v>5</v>
      </c>
      <c r="CR305" s="198" t="e">
        <f t="shared" ca="1" si="182"/>
        <v>#REF!</v>
      </c>
      <c r="CS305" s="276" t="e">
        <f t="shared" ca="1" si="183"/>
        <v>#REF!</v>
      </c>
      <c r="CT305" s="283" t="e">
        <f t="shared" ca="1" si="184"/>
        <v>#REF!</v>
      </c>
      <c r="CZ305" s="164" t="b">
        <f t="shared" si="160"/>
        <v>0</v>
      </c>
      <c r="DA305" s="165" t="b">
        <f t="shared" si="160"/>
        <v>0</v>
      </c>
      <c r="DB305" s="166" t="b">
        <f t="shared" si="160"/>
        <v>0</v>
      </c>
      <c r="DC305" s="164" t="str">
        <f t="shared" si="161"/>
        <v/>
      </c>
      <c r="DD305" s="166" t="str">
        <f t="shared" si="162"/>
        <v/>
      </c>
      <c r="DE305" s="164" t="str">
        <f t="shared" si="163"/>
        <v/>
      </c>
      <c r="DF305" s="166" t="str">
        <f t="shared" si="164"/>
        <v/>
      </c>
      <c r="DG305" s="164" t="str">
        <f t="shared" si="165"/>
        <v/>
      </c>
      <c r="DH305" s="166" t="str">
        <f t="shared" si="166"/>
        <v/>
      </c>
      <c r="DI305" s="164" t="str">
        <f>IFERROR(INDEX(DC$296:DC$344,_xlfn.AGGREGATE(15,6,(ROW(DC$296:DC$344)-ROW(DC$296)+1)/(DC$296:DC$344&lt;&gt;""),ROWS(DI$1:DI10))),"")</f>
        <v/>
      </c>
      <c r="DJ305" s="165" t="str">
        <f>IFERROR(INDEX(DD$296:DD$344,_xlfn.AGGREGATE(15,6,(ROW(DD$296:DD$344)-ROW(DD$296)+1)/(DD$296:DD$344&lt;&gt;""),ROWS(DJ$1:DJ10))),"")</f>
        <v/>
      </c>
      <c r="DK305" s="166" t="str">
        <f t="shared" si="167"/>
        <v/>
      </c>
      <c r="DL305" s="164" t="str">
        <f>IFERROR(INDEX(DE$296:DE$344,_xlfn.AGGREGATE(15,6,(ROW(DE$296:DE$344)-ROW(DE$296)+1)/(DE$296:DE$344&lt;&gt;""),ROWS(DL$1:DL10))),"")</f>
        <v/>
      </c>
      <c r="DM305" s="165" t="str">
        <f>IFERROR(INDEX(DF$296:DF$344,_xlfn.AGGREGATE(15,6,(ROW(DF$296:DF$344)-ROW(DF$296)+1)/(DF$296:DF$344&lt;&gt;""),ROWS(DM$1:DM10))),"")</f>
        <v/>
      </c>
      <c r="DN305" s="166" t="str">
        <f t="shared" si="168"/>
        <v/>
      </c>
      <c r="DO305" s="164" t="str">
        <f>IFERROR(INDEX(DG$296:DG$344,_xlfn.AGGREGATE(15,6,(ROW(DG$296:DG$344)-ROW(DG$296)+1)/(DG$296:DG$344&lt;&gt;""),ROWS(DO$1:DO10))),"")</f>
        <v/>
      </c>
      <c r="DP305" s="165" t="str">
        <f>IFERROR(INDEX(DH$296:DH$344,_xlfn.AGGREGATE(15,6,(ROW(DH$296:DH$344)-ROW(DH$296)+1)/(DH$296:DH$344&lt;&gt;""),ROWS(DP$1:DP10))),"")</f>
        <v/>
      </c>
      <c r="DQ305" s="166" t="str">
        <f t="shared" si="169"/>
        <v/>
      </c>
      <c r="DV305" s="145">
        <v>2024</v>
      </c>
      <c r="DW305" s="235" t="e">
        <f t="shared" ca="1" si="154"/>
        <v>#REF!</v>
      </c>
      <c r="DZ305" s="135" t="s">
        <v>92</v>
      </c>
      <c r="EA305" s="33">
        <f t="shared" ref="EA305:EB307" si="187">IF($EA$294="Linear",0,IF($EA$294="2nd Poly",0,IF($EA$294="3rd Poly",0,IF($EA$294="Exp",CR297))))</f>
        <v>0</v>
      </c>
      <c r="EB305" s="33">
        <f t="shared" si="187"/>
        <v>0</v>
      </c>
      <c r="EC305" s="33" t="str">
        <f>IF($EA$294="Linear","N/A",IF($EA$294="2nd Poly","N/A",IF($EA$294="3rd Poly","N/A","High")))</f>
        <v>N/A</v>
      </c>
      <c r="ED305" s="33"/>
      <c r="EE305" s="33"/>
    </row>
    <row r="306" spans="1:135" ht="13.8" x14ac:dyDescent="0.45">
      <c r="A306" s="148" t="s">
        <v>88</v>
      </c>
      <c r="B306" s="128">
        <v>2022</v>
      </c>
      <c r="C306" s="1070"/>
      <c r="D306" s="1050"/>
      <c r="E306" s="1069"/>
      <c r="F306" s="1075"/>
      <c r="G306" s="1052"/>
      <c r="H306" s="1035"/>
      <c r="I306" s="1111"/>
      <c r="J306" s="199"/>
      <c r="K306" s="200"/>
      <c r="L306" s="201"/>
      <c r="M306" s="200"/>
      <c r="N306" s="29" t="s">
        <v>119</v>
      </c>
      <c r="O306" s="120"/>
      <c r="P306" s="120"/>
      <c r="Q306" s="120"/>
      <c r="R306" s="29">
        <v>8</v>
      </c>
      <c r="S306" s="202" t="str">
        <f t="shared" si="155"/>
        <v/>
      </c>
      <c r="T306" s="202" t="str">
        <f t="shared" si="156"/>
        <v/>
      </c>
      <c r="U306" s="202" t="str">
        <f t="shared" si="157"/>
        <v/>
      </c>
      <c r="V306" s="20"/>
      <c r="W306" s="238" t="e">
        <f t="shared" si="170"/>
        <v>#N/A</v>
      </c>
      <c r="X306" s="238" t="e">
        <f t="shared" si="158"/>
        <v>#N/A</v>
      </c>
      <c r="Y306" s="238" t="e">
        <f t="shared" si="159"/>
        <v>#N/A</v>
      </c>
      <c r="AA306" s="1133">
        <v>324.07374155122073</v>
      </c>
      <c r="AB306" s="1133">
        <v>353.52985480053525</v>
      </c>
      <c r="AC306" s="1133">
        <v>382.98596804984976</v>
      </c>
      <c r="AD306" s="120"/>
      <c r="AE306" s="120"/>
      <c r="AF306" s="120"/>
      <c r="AG306" s="120"/>
      <c r="AH306" s="120"/>
      <c r="AI306" s="120"/>
      <c r="AJ306" s="120"/>
      <c r="AK306" s="120"/>
      <c r="AL306" s="120"/>
      <c r="AM306" s="120"/>
      <c r="AN306" s="120"/>
      <c r="BR306" s="180">
        <v>2020</v>
      </c>
      <c r="BS306" s="22">
        <v>6</v>
      </c>
      <c r="BT306" s="198" t="e">
        <f t="shared" si="171"/>
        <v>#DIV/0!</v>
      </c>
      <c r="BU306" s="276" t="e">
        <f t="shared" si="172"/>
        <v>#DIV/0!</v>
      </c>
      <c r="BV306" s="203" t="e">
        <f t="shared" si="173"/>
        <v>#DIV/0!</v>
      </c>
      <c r="BY306" s="180">
        <v>2020</v>
      </c>
      <c r="BZ306" s="22">
        <v>6</v>
      </c>
      <c r="CA306" s="198" t="e">
        <f t="shared" ca="1" si="174"/>
        <v>#REF!</v>
      </c>
      <c r="CB306" s="198" t="e">
        <f t="shared" ca="1" si="175"/>
        <v>#REF!</v>
      </c>
      <c r="CC306" s="276" t="e">
        <f t="shared" ca="1" si="186"/>
        <v>#REF!</v>
      </c>
      <c r="CD306" s="203" t="e">
        <f t="shared" ca="1" si="176"/>
        <v>#REF!</v>
      </c>
      <c r="CG306" s="180">
        <v>2020</v>
      </c>
      <c r="CH306" s="22">
        <v>6</v>
      </c>
      <c r="CI306" s="198" t="e">
        <f t="shared" ca="1" si="177"/>
        <v>#REF!</v>
      </c>
      <c r="CJ306" s="198" t="e">
        <f t="shared" ca="1" si="178"/>
        <v>#REF!</v>
      </c>
      <c r="CK306" s="198" t="e">
        <f t="shared" ca="1" si="179"/>
        <v>#REF!</v>
      </c>
      <c r="CL306" s="276" t="e">
        <f t="shared" ca="1" si="180"/>
        <v>#REF!</v>
      </c>
      <c r="CM306" s="203" t="e">
        <f t="shared" ca="1" si="181"/>
        <v>#REF!</v>
      </c>
      <c r="CP306" s="180">
        <v>2020</v>
      </c>
      <c r="CQ306" s="22">
        <v>6</v>
      </c>
      <c r="CR306" s="198" t="e">
        <f t="shared" ca="1" si="182"/>
        <v>#REF!</v>
      </c>
      <c r="CS306" s="276" t="e">
        <f t="shared" ca="1" si="183"/>
        <v>#REF!</v>
      </c>
      <c r="CT306" s="203" t="e">
        <f t="shared" ca="1" si="184"/>
        <v>#REF!</v>
      </c>
      <c r="CZ306" s="164" t="b">
        <f t="shared" si="160"/>
        <v>0</v>
      </c>
      <c r="DA306" s="165" t="b">
        <f t="shared" si="160"/>
        <v>0</v>
      </c>
      <c r="DB306" s="166" t="b">
        <f t="shared" si="160"/>
        <v>0</v>
      </c>
      <c r="DC306" s="164" t="str">
        <f t="shared" si="161"/>
        <v/>
      </c>
      <c r="DD306" s="166" t="str">
        <f t="shared" si="162"/>
        <v/>
      </c>
      <c r="DE306" s="164" t="str">
        <f t="shared" si="163"/>
        <v/>
      </c>
      <c r="DF306" s="166" t="str">
        <f t="shared" si="164"/>
        <v/>
      </c>
      <c r="DG306" s="164" t="str">
        <f t="shared" si="165"/>
        <v/>
      </c>
      <c r="DH306" s="166" t="str">
        <f t="shared" si="166"/>
        <v/>
      </c>
      <c r="DI306" s="164" t="str">
        <f>IFERROR(INDEX(DC$296:DC$344,_xlfn.AGGREGATE(15,6,(ROW(DC$296:DC$344)-ROW(DC$296)+1)/(DC$296:DC$344&lt;&gt;""),ROWS(DI$1:DI11))),"")</f>
        <v/>
      </c>
      <c r="DJ306" s="165" t="str">
        <f>IFERROR(INDEX(DD$296:DD$344,_xlfn.AGGREGATE(15,6,(ROW(DD$296:DD$344)-ROW(DD$296)+1)/(DD$296:DD$344&lt;&gt;""),ROWS(DJ$1:DJ11))),"")</f>
        <v/>
      </c>
      <c r="DK306" s="166" t="str">
        <f t="shared" si="167"/>
        <v/>
      </c>
      <c r="DL306" s="164" t="str">
        <f>IFERROR(INDEX(DE$296:DE$344,_xlfn.AGGREGATE(15,6,(ROW(DE$296:DE$344)-ROW(DE$296)+1)/(DE$296:DE$344&lt;&gt;""),ROWS(DL$1:DL11))),"")</f>
        <v/>
      </c>
      <c r="DM306" s="165" t="str">
        <f>IFERROR(INDEX(DF$296:DF$344,_xlfn.AGGREGATE(15,6,(ROW(DF$296:DF$344)-ROW(DF$296)+1)/(DF$296:DF$344&lt;&gt;""),ROWS(DM$1:DM11))),"")</f>
        <v/>
      </c>
      <c r="DN306" s="166" t="str">
        <f t="shared" si="168"/>
        <v/>
      </c>
      <c r="DO306" s="164" t="str">
        <f>IFERROR(INDEX(DG$296:DG$344,_xlfn.AGGREGATE(15,6,(ROW(DG$296:DG$344)-ROW(DG$296)+1)/(DG$296:DG$344&lt;&gt;""),ROWS(DO$1:DO11))),"")</f>
        <v/>
      </c>
      <c r="DP306" s="165" t="str">
        <f>IFERROR(INDEX(DH$296:DH$344,_xlfn.AGGREGATE(15,6,(ROW(DH$296:DH$344)-ROW(DH$296)+1)/(DH$296:DH$344&lt;&gt;""),ROWS(DP$1:DP11))),"")</f>
        <v/>
      </c>
      <c r="DQ306" s="166" t="str">
        <f t="shared" si="169"/>
        <v/>
      </c>
      <c r="DV306" s="145">
        <v>2025</v>
      </c>
      <c r="DW306" s="235" t="e">
        <f t="shared" ca="1" si="154"/>
        <v>#REF!</v>
      </c>
      <c r="DZ306" s="135" t="s">
        <v>92</v>
      </c>
      <c r="EA306" s="33">
        <f t="shared" si="187"/>
        <v>0</v>
      </c>
      <c r="EB306" s="33">
        <f t="shared" si="187"/>
        <v>0</v>
      </c>
      <c r="EC306" s="33" t="str">
        <f>IF($EA$294="Linear","N/A",IF($EA$294="2nd Poly","N/A",IF($EA$294="3rd Poly","N/A","Medium")))</f>
        <v>N/A</v>
      </c>
    </row>
    <row r="307" spans="1:135" ht="13.8" x14ac:dyDescent="0.45">
      <c r="B307" s="128">
        <v>2023</v>
      </c>
      <c r="C307" s="1070"/>
      <c r="D307" s="1050"/>
      <c r="E307" s="1069"/>
      <c r="F307" s="1075"/>
      <c r="G307" s="1052"/>
      <c r="H307" s="1035"/>
      <c r="I307" s="1111"/>
      <c r="J307" s="199"/>
      <c r="K307" s="200"/>
      <c r="L307" s="201"/>
      <c r="M307" s="200"/>
      <c r="N307" s="29" t="s">
        <v>119</v>
      </c>
      <c r="O307" s="120"/>
      <c r="P307" s="120"/>
      <c r="Q307" s="120"/>
      <c r="R307" s="29">
        <v>9</v>
      </c>
      <c r="S307" s="202" t="str">
        <f t="shared" si="155"/>
        <v/>
      </c>
      <c r="T307" s="202" t="str">
        <f t="shared" si="156"/>
        <v/>
      </c>
      <c r="U307" s="202" t="str">
        <f t="shared" si="157"/>
        <v/>
      </c>
      <c r="V307" s="20"/>
      <c r="W307" s="238" t="e">
        <f t="shared" si="170"/>
        <v>#N/A</v>
      </c>
      <c r="X307" s="238" t="e">
        <f t="shared" si="158"/>
        <v>#N/A</v>
      </c>
      <c r="Y307" s="238" t="e">
        <f t="shared" si="159"/>
        <v>#N/A</v>
      </c>
      <c r="AA307" s="1133">
        <v>338.34704393382822</v>
      </c>
      <c r="AB307" s="1133">
        <v>367.45543056687239</v>
      </c>
      <c r="AC307" s="1133">
        <v>396.56381719991657</v>
      </c>
      <c r="AD307" s="120"/>
      <c r="AE307" s="120"/>
      <c r="AF307" s="120"/>
      <c r="AG307" s="120"/>
      <c r="AH307" s="120"/>
      <c r="AI307" s="120"/>
      <c r="AJ307" s="120"/>
      <c r="AK307" s="120"/>
      <c r="AL307" s="120"/>
      <c r="AM307" s="120"/>
      <c r="AN307" s="120"/>
      <c r="BR307" s="180">
        <v>2021</v>
      </c>
      <c r="BS307" s="22">
        <v>7</v>
      </c>
      <c r="BT307" s="198" t="e">
        <f t="shared" si="171"/>
        <v>#DIV/0!</v>
      </c>
      <c r="BU307" s="276" t="e">
        <f t="shared" si="172"/>
        <v>#DIV/0!</v>
      </c>
      <c r="BV307" s="205" t="e">
        <f t="shared" si="173"/>
        <v>#DIV/0!</v>
      </c>
      <c r="BY307" s="180">
        <v>2021</v>
      </c>
      <c r="BZ307" s="22">
        <v>7</v>
      </c>
      <c r="CA307" s="198" t="e">
        <f t="shared" ca="1" si="174"/>
        <v>#REF!</v>
      </c>
      <c r="CB307" s="198" t="e">
        <f t="shared" ca="1" si="175"/>
        <v>#REF!</v>
      </c>
      <c r="CC307" s="276" t="e">
        <f t="shared" ca="1" si="186"/>
        <v>#REF!</v>
      </c>
      <c r="CD307" s="205" t="e">
        <f t="shared" ca="1" si="176"/>
        <v>#REF!</v>
      </c>
      <c r="CG307" s="180">
        <v>2021</v>
      </c>
      <c r="CH307" s="22">
        <v>7</v>
      </c>
      <c r="CI307" s="198" t="e">
        <f t="shared" ca="1" si="177"/>
        <v>#REF!</v>
      </c>
      <c r="CJ307" s="198" t="e">
        <f t="shared" ca="1" si="178"/>
        <v>#REF!</v>
      </c>
      <c r="CK307" s="198" t="e">
        <f t="shared" ca="1" si="179"/>
        <v>#REF!</v>
      </c>
      <c r="CL307" s="276" t="e">
        <f t="shared" ca="1" si="180"/>
        <v>#REF!</v>
      </c>
      <c r="CM307" s="205" t="e">
        <f t="shared" ca="1" si="181"/>
        <v>#REF!</v>
      </c>
      <c r="CP307" s="180">
        <v>2021</v>
      </c>
      <c r="CQ307" s="22">
        <v>7</v>
      </c>
      <c r="CR307" s="198" t="e">
        <f t="shared" ca="1" si="182"/>
        <v>#REF!</v>
      </c>
      <c r="CS307" s="276" t="e">
        <f t="shared" ca="1" si="183"/>
        <v>#REF!</v>
      </c>
      <c r="CT307" s="205" t="e">
        <f t="shared" ca="1" si="184"/>
        <v>#REF!</v>
      </c>
      <c r="CZ307" s="164" t="b">
        <f t="shared" si="160"/>
        <v>0</v>
      </c>
      <c r="DA307" s="165" t="b">
        <f t="shared" si="160"/>
        <v>0</v>
      </c>
      <c r="DB307" s="166" t="b">
        <f t="shared" si="160"/>
        <v>0</v>
      </c>
      <c r="DC307" s="164" t="str">
        <f t="shared" si="161"/>
        <v/>
      </c>
      <c r="DD307" s="166" t="str">
        <f t="shared" si="162"/>
        <v/>
      </c>
      <c r="DE307" s="164" t="str">
        <f t="shared" si="163"/>
        <v/>
      </c>
      <c r="DF307" s="166" t="str">
        <f t="shared" si="164"/>
        <v/>
      </c>
      <c r="DG307" s="164" t="str">
        <f t="shared" si="165"/>
        <v/>
      </c>
      <c r="DH307" s="166" t="str">
        <f t="shared" si="166"/>
        <v/>
      </c>
      <c r="DI307" s="164" t="str">
        <f>IFERROR(INDEX(DC$296:DC$344,_xlfn.AGGREGATE(15,6,(ROW(DC$296:DC$344)-ROW(DC$296)+1)/(DC$296:DC$344&lt;&gt;""),ROWS(DI$1:DI12))),"")</f>
        <v/>
      </c>
      <c r="DJ307" s="165" t="str">
        <f>IFERROR(INDEX(DD$296:DD$344,_xlfn.AGGREGATE(15,6,(ROW(DD$296:DD$344)-ROW(DD$296)+1)/(DD$296:DD$344&lt;&gt;""),ROWS(DJ$1:DJ12))),"")</f>
        <v/>
      </c>
      <c r="DK307" s="166" t="str">
        <f t="shared" si="167"/>
        <v/>
      </c>
      <c r="DL307" s="164" t="str">
        <f>IFERROR(INDEX(DE$296:DE$344,_xlfn.AGGREGATE(15,6,(ROW(DE$296:DE$344)-ROW(DE$296)+1)/(DE$296:DE$344&lt;&gt;""),ROWS(DL$1:DL12))),"")</f>
        <v/>
      </c>
      <c r="DM307" s="165" t="str">
        <f>IFERROR(INDEX(DF$296:DF$344,_xlfn.AGGREGATE(15,6,(ROW(DF$296:DF$344)-ROW(DF$296)+1)/(DF$296:DF$344&lt;&gt;""),ROWS(DM$1:DM12))),"")</f>
        <v/>
      </c>
      <c r="DN307" s="166" t="str">
        <f t="shared" si="168"/>
        <v/>
      </c>
      <c r="DO307" s="164" t="str">
        <f>IFERROR(INDEX(DG$296:DG$344,_xlfn.AGGREGATE(15,6,(ROW(DG$296:DG$344)-ROW(DG$296)+1)/(DG$296:DG$344&lt;&gt;""),ROWS(DO$1:DO12))),"")</f>
        <v/>
      </c>
      <c r="DP307" s="165" t="str">
        <f>IFERROR(INDEX(DH$296:DH$344,_xlfn.AGGREGATE(15,6,(ROW(DH$296:DH$344)-ROW(DH$296)+1)/(DH$296:DH$344&lt;&gt;""),ROWS(DP$1:DP12))),"")</f>
        <v/>
      </c>
      <c r="DQ307" s="166" t="str">
        <f t="shared" si="169"/>
        <v/>
      </c>
      <c r="DV307" s="145">
        <v>2026</v>
      </c>
      <c r="DW307" s="235" t="e">
        <f t="shared" ca="1" si="154"/>
        <v>#REF!</v>
      </c>
      <c r="DZ307" s="135" t="s">
        <v>92</v>
      </c>
      <c r="EA307" s="33">
        <f t="shared" si="187"/>
        <v>0</v>
      </c>
      <c r="EB307" s="33">
        <f t="shared" si="187"/>
        <v>0</v>
      </c>
      <c r="EC307" s="33" t="str">
        <f>IF($EA$294="Linear","N/A",IF($EA$294="2nd Poly","N/A",IF($EA$294="3rd Poly","N/A","Low")))</f>
        <v>N/A</v>
      </c>
    </row>
    <row r="308" spans="1:135" ht="13.8" x14ac:dyDescent="0.45">
      <c r="B308" s="128">
        <v>2024</v>
      </c>
      <c r="C308" s="1070"/>
      <c r="D308" s="1050"/>
      <c r="E308" s="1069"/>
      <c r="F308" s="1075"/>
      <c r="G308" s="1052"/>
      <c r="H308" s="1036"/>
      <c r="I308" s="1112"/>
      <c r="J308" s="247"/>
      <c r="K308" s="245"/>
      <c r="L308" s="246"/>
      <c r="M308" s="245"/>
      <c r="N308" s="29" t="s">
        <v>119</v>
      </c>
      <c r="O308" s="120"/>
      <c r="P308" s="120"/>
      <c r="Q308" s="120"/>
      <c r="R308" s="29">
        <v>10</v>
      </c>
      <c r="S308" s="238" t="str">
        <f t="shared" si="155"/>
        <v/>
      </c>
      <c r="T308" s="238" t="str">
        <f t="shared" si="156"/>
        <v/>
      </c>
      <c r="U308" s="238" t="str">
        <f t="shared" si="157"/>
        <v/>
      </c>
      <c r="V308" s="20"/>
      <c r="W308" s="238" t="e">
        <f t="shared" si="170"/>
        <v>#N/A</v>
      </c>
      <c r="X308" s="238" t="e">
        <f t="shared" si="158"/>
        <v>#N/A</v>
      </c>
      <c r="Y308" s="238" t="e">
        <f t="shared" si="159"/>
        <v>#N/A</v>
      </c>
      <c r="AA308" s="1133">
        <v>352.76860914532483</v>
      </c>
      <c r="AB308" s="1133">
        <v>381.36098174446442</v>
      </c>
      <c r="AC308" s="1133">
        <v>409.95335434360402</v>
      </c>
      <c r="AD308" s="120"/>
      <c r="AE308" s="120"/>
      <c r="AF308" s="120"/>
      <c r="AG308" s="120"/>
      <c r="AH308" s="120"/>
      <c r="AI308" s="120"/>
      <c r="AJ308" s="120"/>
      <c r="AK308" s="120"/>
      <c r="AL308" s="120"/>
      <c r="AM308" s="120"/>
      <c r="AN308" s="120"/>
      <c r="BR308" s="180">
        <v>2022</v>
      </c>
      <c r="BS308" s="22">
        <v>8</v>
      </c>
      <c r="BT308" s="198" t="e">
        <f t="shared" si="171"/>
        <v>#DIV/0!</v>
      </c>
      <c r="BU308" s="276" t="e">
        <f t="shared" si="172"/>
        <v>#DIV/0!</v>
      </c>
      <c r="BV308" s="205" t="e">
        <f t="shared" si="173"/>
        <v>#DIV/0!</v>
      </c>
      <c r="BY308" s="180">
        <v>2022</v>
      </c>
      <c r="BZ308" s="22">
        <v>8</v>
      </c>
      <c r="CA308" s="198" t="e">
        <f t="shared" ca="1" si="174"/>
        <v>#REF!</v>
      </c>
      <c r="CB308" s="198" t="e">
        <f t="shared" ca="1" si="175"/>
        <v>#REF!</v>
      </c>
      <c r="CC308" s="276" t="e">
        <f t="shared" ca="1" si="186"/>
        <v>#REF!</v>
      </c>
      <c r="CD308" s="205" t="e">
        <f t="shared" ca="1" si="176"/>
        <v>#REF!</v>
      </c>
      <c r="CG308" s="180">
        <v>2022</v>
      </c>
      <c r="CH308" s="22">
        <v>8</v>
      </c>
      <c r="CI308" s="198" t="e">
        <f t="shared" ca="1" si="177"/>
        <v>#REF!</v>
      </c>
      <c r="CJ308" s="198" t="e">
        <f t="shared" ca="1" si="178"/>
        <v>#REF!</v>
      </c>
      <c r="CK308" s="198" t="e">
        <f t="shared" ca="1" si="179"/>
        <v>#REF!</v>
      </c>
      <c r="CL308" s="276" t="e">
        <f t="shared" ca="1" si="180"/>
        <v>#REF!</v>
      </c>
      <c r="CM308" s="205" t="e">
        <f t="shared" ca="1" si="181"/>
        <v>#REF!</v>
      </c>
      <c r="CP308" s="180">
        <v>2022</v>
      </c>
      <c r="CQ308" s="22">
        <v>8</v>
      </c>
      <c r="CR308" s="198" t="e">
        <f t="shared" ca="1" si="182"/>
        <v>#REF!</v>
      </c>
      <c r="CS308" s="276" t="e">
        <f t="shared" ca="1" si="183"/>
        <v>#REF!</v>
      </c>
      <c r="CT308" s="205" t="e">
        <f t="shared" ca="1" si="184"/>
        <v>#REF!</v>
      </c>
      <c r="CZ308" s="164" t="b">
        <f t="shared" si="160"/>
        <v>0</v>
      </c>
      <c r="DA308" s="165" t="b">
        <f t="shared" si="160"/>
        <v>0</v>
      </c>
      <c r="DB308" s="166" t="b">
        <f t="shared" si="160"/>
        <v>0</v>
      </c>
      <c r="DC308" s="164" t="str">
        <f t="shared" si="161"/>
        <v/>
      </c>
      <c r="DD308" s="166" t="str">
        <f t="shared" si="162"/>
        <v/>
      </c>
      <c r="DE308" s="164" t="str">
        <f t="shared" si="163"/>
        <v/>
      </c>
      <c r="DF308" s="166" t="str">
        <f t="shared" si="164"/>
        <v/>
      </c>
      <c r="DG308" s="164" t="str">
        <f t="shared" si="165"/>
        <v/>
      </c>
      <c r="DH308" s="166" t="str">
        <f t="shared" si="166"/>
        <v/>
      </c>
      <c r="DI308" s="164" t="str">
        <f>IFERROR(INDEX(DC$296:DC$344,_xlfn.AGGREGATE(15,6,(ROW(DC$296:DC$344)-ROW(DC$296)+1)/(DC$296:DC$344&lt;&gt;""),ROWS(DI$1:DI13))),"")</f>
        <v/>
      </c>
      <c r="DJ308" s="165" t="str">
        <f>IFERROR(INDEX(DD$296:DD$344,_xlfn.AGGREGATE(15,6,(ROW(DD$296:DD$344)-ROW(DD$296)+1)/(DD$296:DD$344&lt;&gt;""),ROWS(DJ$1:DJ13))),"")</f>
        <v/>
      </c>
      <c r="DK308" s="166" t="str">
        <f t="shared" si="167"/>
        <v/>
      </c>
      <c r="DL308" s="164" t="str">
        <f>IFERROR(INDEX(DE$296:DE$344,_xlfn.AGGREGATE(15,6,(ROW(DE$296:DE$344)-ROW(DE$296)+1)/(DE$296:DE$344&lt;&gt;""),ROWS(DL$1:DL13))),"")</f>
        <v/>
      </c>
      <c r="DM308" s="165" t="str">
        <f>IFERROR(INDEX(DF$296:DF$344,_xlfn.AGGREGATE(15,6,(ROW(DF$296:DF$344)-ROW(DF$296)+1)/(DF$296:DF$344&lt;&gt;""),ROWS(DM$1:DM13))),"")</f>
        <v/>
      </c>
      <c r="DN308" s="166" t="str">
        <f t="shared" si="168"/>
        <v/>
      </c>
      <c r="DO308" s="164" t="str">
        <f>IFERROR(INDEX(DG$296:DG$344,_xlfn.AGGREGATE(15,6,(ROW(DG$296:DG$344)-ROW(DG$296)+1)/(DG$296:DG$344&lt;&gt;""),ROWS(DO$1:DO13))),"")</f>
        <v/>
      </c>
      <c r="DP308" s="165" t="str">
        <f>IFERROR(INDEX(DH$296:DH$344,_xlfn.AGGREGATE(15,6,(ROW(DH$296:DH$344)-ROW(DH$296)+1)/(DH$296:DH$344&lt;&gt;""),ROWS(DP$1:DP13))),"")</f>
        <v/>
      </c>
      <c r="DQ308" s="166" t="str">
        <f t="shared" si="169"/>
        <v/>
      </c>
      <c r="DV308" s="145">
        <v>2027</v>
      </c>
      <c r="DW308" s="235" t="e">
        <f t="shared" ca="1" si="154"/>
        <v>#REF!</v>
      </c>
    </row>
    <row r="309" spans="1:135" ht="13.8" x14ac:dyDescent="0.45">
      <c r="B309" s="128">
        <v>2025</v>
      </c>
      <c r="C309" s="1070"/>
      <c r="D309" s="1050"/>
      <c r="E309" s="1069"/>
      <c r="F309" s="1075"/>
      <c r="G309" s="1052"/>
      <c r="H309" s="1036"/>
      <c r="I309" s="1112"/>
      <c r="J309" s="247"/>
      <c r="K309" s="245"/>
      <c r="L309" s="246"/>
      <c r="M309" s="245"/>
      <c r="N309" s="29" t="s">
        <v>119</v>
      </c>
      <c r="O309" s="120"/>
      <c r="P309" s="120"/>
      <c r="Q309" s="120"/>
      <c r="R309" s="29">
        <v>11</v>
      </c>
      <c r="S309" s="238" t="str">
        <f t="shared" si="155"/>
        <v/>
      </c>
      <c r="T309" s="238" t="str">
        <f t="shared" si="156"/>
        <v/>
      </c>
      <c r="U309" s="238" t="str">
        <f t="shared" si="157"/>
        <v/>
      </c>
      <c r="W309" s="238" t="e">
        <f t="shared" si="170"/>
        <v>#N/A</v>
      </c>
      <c r="X309" s="238" t="e">
        <f t="shared" si="158"/>
        <v>#N/A</v>
      </c>
      <c r="Y309" s="238" t="e">
        <f t="shared" si="159"/>
        <v>#N/A</v>
      </c>
      <c r="AA309" s="1133">
        <v>362.29055074511973</v>
      </c>
      <c r="AB309" s="1133">
        <v>393.15077791454638</v>
      </c>
      <c r="AC309" s="1133">
        <v>424.01100508397303</v>
      </c>
      <c r="AD309" s="120"/>
      <c r="AE309" s="120"/>
      <c r="AF309" s="120"/>
      <c r="AG309" s="120"/>
      <c r="AH309" s="120"/>
      <c r="AI309" s="120"/>
      <c r="AJ309" s="120"/>
      <c r="AK309" s="120"/>
      <c r="AL309" s="120"/>
      <c r="AM309" s="120"/>
      <c r="AN309" s="120"/>
      <c r="BR309" s="180">
        <v>2023</v>
      </c>
      <c r="BS309" s="22">
        <v>9</v>
      </c>
      <c r="BT309" s="198" t="e">
        <f t="shared" si="171"/>
        <v>#DIV/0!</v>
      </c>
      <c r="BU309" s="276" t="e">
        <f t="shared" si="172"/>
        <v>#DIV/0!</v>
      </c>
      <c r="BV309" s="205" t="e">
        <f t="shared" si="173"/>
        <v>#DIV/0!</v>
      </c>
      <c r="BY309" s="180">
        <v>2023</v>
      </c>
      <c r="BZ309" s="22">
        <v>9</v>
      </c>
      <c r="CA309" s="198" t="e">
        <f t="shared" ca="1" si="174"/>
        <v>#REF!</v>
      </c>
      <c r="CB309" s="198" t="e">
        <f t="shared" ca="1" si="175"/>
        <v>#REF!</v>
      </c>
      <c r="CC309" s="276" t="e">
        <f t="shared" ca="1" si="186"/>
        <v>#REF!</v>
      </c>
      <c r="CD309" s="205" t="e">
        <f t="shared" ca="1" si="176"/>
        <v>#REF!</v>
      </c>
      <c r="CG309" s="180">
        <v>2023</v>
      </c>
      <c r="CH309" s="22">
        <v>9</v>
      </c>
      <c r="CI309" s="198" t="e">
        <f t="shared" ca="1" si="177"/>
        <v>#REF!</v>
      </c>
      <c r="CJ309" s="198" t="e">
        <f t="shared" ca="1" si="178"/>
        <v>#REF!</v>
      </c>
      <c r="CK309" s="198" t="e">
        <f t="shared" ca="1" si="179"/>
        <v>#REF!</v>
      </c>
      <c r="CL309" s="276" t="e">
        <f t="shared" ca="1" si="180"/>
        <v>#REF!</v>
      </c>
      <c r="CM309" s="205" t="e">
        <f t="shared" ca="1" si="181"/>
        <v>#REF!</v>
      </c>
      <c r="CP309" s="180">
        <v>2023</v>
      </c>
      <c r="CQ309" s="22">
        <v>9</v>
      </c>
      <c r="CR309" s="198" t="e">
        <f t="shared" ca="1" si="182"/>
        <v>#REF!</v>
      </c>
      <c r="CS309" s="276" t="e">
        <f t="shared" ca="1" si="183"/>
        <v>#REF!</v>
      </c>
      <c r="CT309" s="205" t="e">
        <f t="shared" ca="1" si="184"/>
        <v>#REF!</v>
      </c>
      <c r="CZ309" s="164" t="b">
        <f t="shared" si="160"/>
        <v>0</v>
      </c>
      <c r="DA309" s="165" t="b">
        <f t="shared" si="160"/>
        <v>0</v>
      </c>
      <c r="DB309" s="166" t="b">
        <f t="shared" si="160"/>
        <v>0</v>
      </c>
      <c r="DC309" s="164" t="str">
        <f t="shared" si="161"/>
        <v/>
      </c>
      <c r="DD309" s="166" t="str">
        <f t="shared" si="162"/>
        <v/>
      </c>
      <c r="DE309" s="164" t="str">
        <f t="shared" si="163"/>
        <v/>
      </c>
      <c r="DF309" s="166" t="str">
        <f t="shared" si="164"/>
        <v/>
      </c>
      <c r="DG309" s="164" t="str">
        <f t="shared" si="165"/>
        <v/>
      </c>
      <c r="DH309" s="166" t="str">
        <f t="shared" si="166"/>
        <v/>
      </c>
      <c r="DI309" s="164" t="str">
        <f>IFERROR(INDEX(DC$296:DC$344,_xlfn.AGGREGATE(15,6,(ROW(DC$296:DC$344)-ROW(DC$296)+1)/(DC$296:DC$344&lt;&gt;""),ROWS(DI$1:DI14))),"")</f>
        <v/>
      </c>
      <c r="DJ309" s="165" t="str">
        <f>IFERROR(INDEX(DD$296:DD$344,_xlfn.AGGREGATE(15,6,(ROW(DD$296:DD$344)-ROW(DD$296)+1)/(DD$296:DD$344&lt;&gt;""),ROWS(DJ$1:DJ14))),"")</f>
        <v/>
      </c>
      <c r="DK309" s="166" t="str">
        <f t="shared" si="167"/>
        <v/>
      </c>
      <c r="DL309" s="164" t="str">
        <f>IFERROR(INDEX(DE$296:DE$344,_xlfn.AGGREGATE(15,6,(ROW(DE$296:DE$344)-ROW(DE$296)+1)/(DE$296:DE$344&lt;&gt;""),ROWS(DL$1:DL14))),"")</f>
        <v/>
      </c>
      <c r="DM309" s="165" t="str">
        <f>IFERROR(INDEX(DF$296:DF$344,_xlfn.AGGREGATE(15,6,(ROW(DF$296:DF$344)-ROW(DF$296)+1)/(DF$296:DF$344&lt;&gt;""),ROWS(DM$1:DM14))),"")</f>
        <v/>
      </c>
      <c r="DN309" s="166" t="str">
        <f t="shared" si="168"/>
        <v/>
      </c>
      <c r="DO309" s="164" t="str">
        <f>IFERROR(INDEX(DG$296:DG$344,_xlfn.AGGREGATE(15,6,(ROW(DG$296:DG$344)-ROW(DG$296)+1)/(DG$296:DG$344&lt;&gt;""),ROWS(DO$1:DO14))),"")</f>
        <v/>
      </c>
      <c r="DP309" s="165" t="str">
        <f>IFERROR(INDEX(DH$296:DH$344,_xlfn.AGGREGATE(15,6,(ROW(DH$296:DH$344)-ROW(DH$296)+1)/(DH$296:DH$344&lt;&gt;""),ROWS(DP$1:DP14))),"")</f>
        <v/>
      </c>
      <c r="DQ309" s="166" t="str">
        <f t="shared" si="169"/>
        <v/>
      </c>
      <c r="DV309" s="145">
        <v>2028</v>
      </c>
      <c r="DW309" s="235" t="e">
        <f t="shared" ca="1" si="154"/>
        <v>#REF!</v>
      </c>
    </row>
    <row r="310" spans="1:135" ht="13.8" x14ac:dyDescent="0.45">
      <c r="B310" s="128">
        <v>2026</v>
      </c>
      <c r="C310" s="1070"/>
      <c r="D310" s="1050"/>
      <c r="E310" s="1069"/>
      <c r="F310" s="1075"/>
      <c r="G310" s="1052"/>
      <c r="H310" s="1036"/>
      <c r="I310" s="1112"/>
      <c r="J310" s="247"/>
      <c r="K310" s="245"/>
      <c r="L310" s="246"/>
      <c r="M310" s="245"/>
      <c r="N310" s="29" t="s">
        <v>119</v>
      </c>
      <c r="O310" s="120"/>
      <c r="P310" s="120"/>
      <c r="Q310" s="120"/>
      <c r="R310" s="29">
        <v>12</v>
      </c>
      <c r="S310" s="238" t="str">
        <f t="shared" si="155"/>
        <v/>
      </c>
      <c r="T310" s="238" t="str">
        <f t="shared" si="156"/>
        <v/>
      </c>
      <c r="U310" s="238" t="str">
        <f t="shared" si="157"/>
        <v/>
      </c>
      <c r="W310" s="238" t="e">
        <f t="shared" si="170"/>
        <v>#N/A</v>
      </c>
      <c r="X310" s="238" t="e">
        <f t="shared" si="158"/>
        <v>#N/A</v>
      </c>
      <c r="Y310" s="238" t="e">
        <f t="shared" si="159"/>
        <v>#N/A</v>
      </c>
      <c r="AA310" s="1133">
        <v>374.35791565109253</v>
      </c>
      <c r="AB310" s="1133">
        <v>405.95202258375934</v>
      </c>
      <c r="AC310" s="1133">
        <v>437.54612951642616</v>
      </c>
      <c r="AD310" s="120"/>
      <c r="AE310" s="120"/>
      <c r="AF310" s="120"/>
      <c r="AG310" s="120"/>
      <c r="AH310" s="120"/>
      <c r="AI310" s="120"/>
      <c r="AJ310" s="120"/>
      <c r="AK310" s="120"/>
      <c r="AL310" s="120"/>
      <c r="AM310" s="120"/>
      <c r="AN310" s="120"/>
      <c r="BR310" s="180">
        <v>2024</v>
      </c>
      <c r="BS310" s="22">
        <v>10</v>
      </c>
      <c r="BT310" s="198" t="e">
        <f t="shared" si="171"/>
        <v>#DIV/0!</v>
      </c>
      <c r="BU310" s="276" t="e">
        <f t="shared" si="172"/>
        <v>#DIV/0!</v>
      </c>
      <c r="BV310" s="205" t="e">
        <f t="shared" si="173"/>
        <v>#DIV/0!</v>
      </c>
      <c r="BY310" s="180">
        <v>2024</v>
      </c>
      <c r="BZ310" s="22">
        <v>10</v>
      </c>
      <c r="CA310" s="198" t="e">
        <f t="shared" ca="1" si="174"/>
        <v>#REF!</v>
      </c>
      <c r="CB310" s="198" t="e">
        <f t="shared" ca="1" si="175"/>
        <v>#REF!</v>
      </c>
      <c r="CC310" s="276" t="e">
        <f t="shared" ca="1" si="186"/>
        <v>#REF!</v>
      </c>
      <c r="CD310" s="205" t="e">
        <f t="shared" ca="1" si="176"/>
        <v>#REF!</v>
      </c>
      <c r="CG310" s="180">
        <v>2024</v>
      </c>
      <c r="CH310" s="22">
        <v>10</v>
      </c>
      <c r="CI310" s="198" t="e">
        <f t="shared" ca="1" si="177"/>
        <v>#REF!</v>
      </c>
      <c r="CJ310" s="198" t="e">
        <f t="shared" ca="1" si="178"/>
        <v>#REF!</v>
      </c>
      <c r="CK310" s="198" t="e">
        <f t="shared" ca="1" si="179"/>
        <v>#REF!</v>
      </c>
      <c r="CL310" s="276" t="e">
        <f t="shared" ca="1" si="180"/>
        <v>#REF!</v>
      </c>
      <c r="CM310" s="205" t="e">
        <f t="shared" ca="1" si="181"/>
        <v>#REF!</v>
      </c>
      <c r="CP310" s="180">
        <v>2024</v>
      </c>
      <c r="CQ310" s="22">
        <v>10</v>
      </c>
      <c r="CR310" s="198" t="e">
        <f t="shared" ca="1" si="182"/>
        <v>#REF!</v>
      </c>
      <c r="CS310" s="276" t="e">
        <f t="shared" ca="1" si="183"/>
        <v>#REF!</v>
      </c>
      <c r="CT310" s="205" t="e">
        <f t="shared" ca="1" si="184"/>
        <v>#REF!</v>
      </c>
      <c r="CZ310" s="164" t="b">
        <f t="shared" si="160"/>
        <v>0</v>
      </c>
      <c r="DA310" s="165" t="b">
        <f t="shared" si="160"/>
        <v>0</v>
      </c>
      <c r="DB310" s="166" t="b">
        <f t="shared" si="160"/>
        <v>0</v>
      </c>
      <c r="DC310" s="164" t="str">
        <f t="shared" si="161"/>
        <v/>
      </c>
      <c r="DD310" s="166" t="str">
        <f t="shared" si="162"/>
        <v/>
      </c>
      <c r="DE310" s="164" t="str">
        <f t="shared" si="163"/>
        <v/>
      </c>
      <c r="DF310" s="166" t="str">
        <f t="shared" si="164"/>
        <v/>
      </c>
      <c r="DG310" s="164" t="str">
        <f t="shared" si="165"/>
        <v/>
      </c>
      <c r="DH310" s="166" t="str">
        <f t="shared" si="166"/>
        <v/>
      </c>
      <c r="DI310" s="164" t="str">
        <f>IFERROR(INDEX(DC$296:DC$344,_xlfn.AGGREGATE(15,6,(ROW(DC$296:DC$344)-ROW(DC$296)+1)/(DC$296:DC$344&lt;&gt;""),ROWS(DI$1:DI15))),"")</f>
        <v/>
      </c>
      <c r="DJ310" s="165" t="str">
        <f>IFERROR(INDEX(DD$296:DD$344,_xlfn.AGGREGATE(15,6,(ROW(DD$296:DD$344)-ROW(DD$296)+1)/(DD$296:DD$344&lt;&gt;""),ROWS(DJ$1:DJ15))),"")</f>
        <v/>
      </c>
      <c r="DK310" s="166" t="str">
        <f t="shared" si="167"/>
        <v/>
      </c>
      <c r="DL310" s="164" t="str">
        <f>IFERROR(INDEX(DE$296:DE$344,_xlfn.AGGREGATE(15,6,(ROW(DE$296:DE$344)-ROW(DE$296)+1)/(DE$296:DE$344&lt;&gt;""),ROWS(DL$1:DL15))),"")</f>
        <v/>
      </c>
      <c r="DM310" s="165" t="str">
        <f>IFERROR(INDEX(DF$296:DF$344,_xlfn.AGGREGATE(15,6,(ROW(DF$296:DF$344)-ROW(DF$296)+1)/(DF$296:DF$344&lt;&gt;""),ROWS(DM$1:DM15))),"")</f>
        <v/>
      </c>
      <c r="DN310" s="166" t="str">
        <f t="shared" si="168"/>
        <v/>
      </c>
      <c r="DO310" s="164" t="str">
        <f>IFERROR(INDEX(DG$296:DG$344,_xlfn.AGGREGATE(15,6,(ROW(DG$296:DG$344)-ROW(DG$296)+1)/(DG$296:DG$344&lt;&gt;""),ROWS(DO$1:DO15))),"")</f>
        <v/>
      </c>
      <c r="DP310" s="165" t="str">
        <f>IFERROR(INDEX(DH$296:DH$344,_xlfn.AGGREGATE(15,6,(ROW(DH$296:DH$344)-ROW(DH$296)+1)/(DH$296:DH$344&lt;&gt;""),ROWS(DP$1:DP15))),"")</f>
        <v/>
      </c>
      <c r="DQ310" s="166" t="str">
        <f t="shared" si="169"/>
        <v/>
      </c>
      <c r="DV310" s="145">
        <v>2029</v>
      </c>
      <c r="DW310" s="235" t="e">
        <f t="shared" ca="1" si="154"/>
        <v>#REF!</v>
      </c>
      <c r="EA310" s="55"/>
      <c r="EB310" s="55"/>
      <c r="EC310" s="55"/>
      <c r="ED310" s="55"/>
      <c r="EE310" s="55"/>
    </row>
    <row r="311" spans="1:135" ht="13.8" x14ac:dyDescent="0.45">
      <c r="B311" s="128">
        <v>2027</v>
      </c>
      <c r="C311" s="1070"/>
      <c r="D311" s="1050"/>
      <c r="E311" s="1069"/>
      <c r="F311" s="1075"/>
      <c r="G311" s="1052"/>
      <c r="H311" s="1036"/>
      <c r="I311" s="1112"/>
      <c r="J311" s="247"/>
      <c r="K311" s="245"/>
      <c r="L311" s="246"/>
      <c r="M311" s="245"/>
      <c r="N311" s="29" t="s">
        <v>119</v>
      </c>
      <c r="O311" s="120"/>
      <c r="P311" s="120"/>
      <c r="Q311" s="120"/>
      <c r="R311" s="29">
        <v>13</v>
      </c>
      <c r="S311" s="238" t="str">
        <f t="shared" si="155"/>
        <v/>
      </c>
      <c r="T311" s="238" t="str">
        <f t="shared" si="156"/>
        <v/>
      </c>
      <c r="U311" s="238" t="str">
        <f t="shared" si="157"/>
        <v/>
      </c>
      <c r="W311" s="238" t="e">
        <f t="shared" si="170"/>
        <v>#N/A</v>
      </c>
      <c r="X311" s="238" t="e">
        <f t="shared" si="158"/>
        <v>#N/A</v>
      </c>
      <c r="Y311" s="238" t="e">
        <f t="shared" si="159"/>
        <v>#N/A</v>
      </c>
      <c r="AA311" s="1133">
        <v>388.93535522552736</v>
      </c>
      <c r="AB311" s="1133">
        <v>419.75745462802143</v>
      </c>
      <c r="AC311" s="1133">
        <v>450.57955403051551</v>
      </c>
      <c r="AD311" s="89"/>
      <c r="AE311" s="89"/>
      <c r="AF311" s="89"/>
      <c r="AG311" s="89"/>
      <c r="AH311" s="89"/>
      <c r="AI311" s="89"/>
      <c r="AJ311" s="89"/>
      <c r="AK311" s="89"/>
      <c r="AL311" s="89"/>
      <c r="AM311" s="89"/>
      <c r="AN311" s="89"/>
      <c r="BR311" s="180">
        <v>2025</v>
      </c>
      <c r="BS311" s="22">
        <v>11</v>
      </c>
      <c r="BT311" s="198" t="e">
        <f t="shared" si="171"/>
        <v>#DIV/0!</v>
      </c>
      <c r="BU311" s="276" t="e">
        <f t="shared" si="172"/>
        <v>#DIV/0!</v>
      </c>
      <c r="BV311" s="205" t="e">
        <f t="shared" si="173"/>
        <v>#DIV/0!</v>
      </c>
      <c r="BY311" s="180">
        <v>2025</v>
      </c>
      <c r="BZ311" s="22">
        <v>11</v>
      </c>
      <c r="CA311" s="198" t="e">
        <f t="shared" ca="1" si="174"/>
        <v>#REF!</v>
      </c>
      <c r="CB311" s="198" t="e">
        <f t="shared" ca="1" si="175"/>
        <v>#REF!</v>
      </c>
      <c r="CC311" s="276" t="e">
        <f t="shared" ca="1" si="186"/>
        <v>#REF!</v>
      </c>
      <c r="CD311" s="205" t="e">
        <f t="shared" ca="1" si="176"/>
        <v>#REF!</v>
      </c>
      <c r="CG311" s="180">
        <v>2025</v>
      </c>
      <c r="CH311" s="22">
        <v>11</v>
      </c>
      <c r="CI311" s="198" t="e">
        <f t="shared" ca="1" si="177"/>
        <v>#REF!</v>
      </c>
      <c r="CJ311" s="198" t="e">
        <f t="shared" ca="1" si="178"/>
        <v>#REF!</v>
      </c>
      <c r="CK311" s="198" t="e">
        <f t="shared" ca="1" si="179"/>
        <v>#REF!</v>
      </c>
      <c r="CL311" s="276" t="e">
        <f t="shared" ca="1" si="180"/>
        <v>#REF!</v>
      </c>
      <c r="CM311" s="205" t="e">
        <f t="shared" ca="1" si="181"/>
        <v>#REF!</v>
      </c>
      <c r="CP311" s="180">
        <v>2025</v>
      </c>
      <c r="CQ311" s="22">
        <v>11</v>
      </c>
      <c r="CR311" s="198" t="e">
        <f t="shared" ca="1" si="182"/>
        <v>#REF!</v>
      </c>
      <c r="CS311" s="276" t="e">
        <f t="shared" ca="1" si="183"/>
        <v>#REF!</v>
      </c>
      <c r="CT311" s="205" t="e">
        <f t="shared" ca="1" si="184"/>
        <v>#REF!</v>
      </c>
      <c r="CZ311" s="164" t="b">
        <f t="shared" si="160"/>
        <v>0</v>
      </c>
      <c r="DA311" s="165" t="b">
        <f t="shared" si="160"/>
        <v>0</v>
      </c>
      <c r="DB311" s="166" t="b">
        <f t="shared" si="160"/>
        <v>0</v>
      </c>
      <c r="DC311" s="164" t="str">
        <f t="shared" si="161"/>
        <v/>
      </c>
      <c r="DD311" s="166" t="str">
        <f t="shared" si="162"/>
        <v/>
      </c>
      <c r="DE311" s="164" t="str">
        <f t="shared" si="163"/>
        <v/>
      </c>
      <c r="DF311" s="166" t="str">
        <f t="shared" si="164"/>
        <v/>
      </c>
      <c r="DG311" s="164" t="str">
        <f t="shared" si="165"/>
        <v/>
      </c>
      <c r="DH311" s="166" t="str">
        <f t="shared" si="166"/>
        <v/>
      </c>
      <c r="DI311" s="164" t="str">
        <f>IFERROR(INDEX(DC$296:DC$344,_xlfn.AGGREGATE(15,6,(ROW(DC$296:DC$344)-ROW(DC$296)+1)/(DC$296:DC$344&lt;&gt;""),ROWS(DI$1:DI16))),"")</f>
        <v/>
      </c>
      <c r="DJ311" s="165" t="str">
        <f>IFERROR(INDEX(DD$296:DD$344,_xlfn.AGGREGATE(15,6,(ROW(DD$296:DD$344)-ROW(DD$296)+1)/(DD$296:DD$344&lt;&gt;""),ROWS(DJ$1:DJ16))),"")</f>
        <v/>
      </c>
      <c r="DK311" s="166" t="str">
        <f t="shared" si="167"/>
        <v/>
      </c>
      <c r="DL311" s="164" t="str">
        <f>IFERROR(INDEX(DE$296:DE$344,_xlfn.AGGREGATE(15,6,(ROW(DE$296:DE$344)-ROW(DE$296)+1)/(DE$296:DE$344&lt;&gt;""),ROWS(DL$1:DL16))),"")</f>
        <v/>
      </c>
      <c r="DM311" s="165" t="str">
        <f>IFERROR(INDEX(DF$296:DF$344,_xlfn.AGGREGATE(15,6,(ROW(DF$296:DF$344)-ROW(DF$296)+1)/(DF$296:DF$344&lt;&gt;""),ROWS(DM$1:DM16))),"")</f>
        <v/>
      </c>
      <c r="DN311" s="166" t="str">
        <f t="shared" si="168"/>
        <v/>
      </c>
      <c r="DO311" s="164" t="str">
        <f>IFERROR(INDEX(DG$296:DG$344,_xlfn.AGGREGATE(15,6,(ROW(DG$296:DG$344)-ROW(DG$296)+1)/(DG$296:DG$344&lt;&gt;""),ROWS(DO$1:DO16))),"")</f>
        <v/>
      </c>
      <c r="DP311" s="165" t="str">
        <f>IFERROR(INDEX(DH$296:DH$344,_xlfn.AGGREGATE(15,6,(ROW(DH$296:DH$344)-ROW(DH$296)+1)/(DH$296:DH$344&lt;&gt;""),ROWS(DP$1:DP16))),"")</f>
        <v/>
      </c>
      <c r="DQ311" s="166" t="str">
        <f t="shared" si="169"/>
        <v/>
      </c>
      <c r="DV311" s="145">
        <v>2030</v>
      </c>
      <c r="DW311" s="235" t="e">
        <f t="shared" ca="1" si="154"/>
        <v>#REF!</v>
      </c>
    </row>
    <row r="312" spans="1:135" ht="13.8" x14ac:dyDescent="0.45">
      <c r="A312" s="208" t="str">
        <f>$A$62</f>
        <v>Base Cases</v>
      </c>
      <c r="B312" s="128">
        <v>2028</v>
      </c>
      <c r="C312" s="1070"/>
      <c r="D312" s="1050"/>
      <c r="E312" s="1069"/>
      <c r="F312" s="1075"/>
      <c r="G312" s="1052"/>
      <c r="H312" s="1036"/>
      <c r="I312" s="1112"/>
      <c r="J312" s="247"/>
      <c r="K312" s="245"/>
      <c r="L312" s="246"/>
      <c r="M312" s="245"/>
      <c r="N312" s="29" t="s">
        <v>119</v>
      </c>
      <c r="O312" s="120"/>
      <c r="P312" s="120"/>
      <c r="Q312" s="120"/>
      <c r="R312" s="29">
        <v>14</v>
      </c>
      <c r="S312" s="238" t="str">
        <f t="shared" si="155"/>
        <v/>
      </c>
      <c r="T312" s="238" t="str">
        <f t="shared" si="156"/>
        <v/>
      </c>
      <c r="U312" s="238" t="str">
        <f t="shared" si="157"/>
        <v/>
      </c>
      <c r="W312" s="238" t="e">
        <f t="shared" si="170"/>
        <v>#N/A</v>
      </c>
      <c r="X312" s="238" t="e">
        <f t="shared" si="158"/>
        <v>#N/A</v>
      </c>
      <c r="Y312" s="238" t="e">
        <f t="shared" si="159"/>
        <v>#N/A</v>
      </c>
      <c r="AA312" s="1133">
        <v>403.65590525668449</v>
      </c>
      <c r="AB312" s="1133">
        <v>433.59206384940489</v>
      </c>
      <c r="AC312" s="1133">
        <v>463.5282224421253</v>
      </c>
      <c r="AD312" s="114"/>
      <c r="AE312" s="114"/>
      <c r="AF312" s="114"/>
      <c r="AG312" s="114"/>
      <c r="AH312" s="114"/>
      <c r="AI312" s="114"/>
      <c r="AJ312" s="114"/>
      <c r="AK312" s="114"/>
      <c r="AL312" s="114"/>
      <c r="AM312" s="114"/>
      <c r="AN312" s="114"/>
      <c r="BR312" s="180">
        <v>2026</v>
      </c>
      <c r="BS312" s="22">
        <v>12</v>
      </c>
      <c r="BT312" s="198" t="e">
        <f t="shared" si="171"/>
        <v>#DIV/0!</v>
      </c>
      <c r="BU312" s="276" t="e">
        <f t="shared" si="172"/>
        <v>#DIV/0!</v>
      </c>
      <c r="BV312" s="205" t="e">
        <f t="shared" si="173"/>
        <v>#DIV/0!</v>
      </c>
      <c r="BY312" s="180">
        <v>2026</v>
      </c>
      <c r="BZ312" s="22">
        <v>12</v>
      </c>
      <c r="CA312" s="198" t="e">
        <f t="shared" ca="1" si="174"/>
        <v>#REF!</v>
      </c>
      <c r="CB312" s="198" t="e">
        <f t="shared" ca="1" si="175"/>
        <v>#REF!</v>
      </c>
      <c r="CC312" s="276" t="e">
        <f t="shared" ca="1" si="186"/>
        <v>#REF!</v>
      </c>
      <c r="CD312" s="205" t="e">
        <f t="shared" ca="1" si="176"/>
        <v>#REF!</v>
      </c>
      <c r="CG312" s="180">
        <v>2026</v>
      </c>
      <c r="CH312" s="22">
        <v>12</v>
      </c>
      <c r="CI312" s="198" t="e">
        <f t="shared" ca="1" si="177"/>
        <v>#REF!</v>
      </c>
      <c r="CJ312" s="198" t="e">
        <f t="shared" ca="1" si="178"/>
        <v>#REF!</v>
      </c>
      <c r="CK312" s="198" t="e">
        <f t="shared" ca="1" si="179"/>
        <v>#REF!</v>
      </c>
      <c r="CL312" s="276" t="e">
        <f t="shared" ca="1" si="180"/>
        <v>#REF!</v>
      </c>
      <c r="CM312" s="205" t="e">
        <f t="shared" ca="1" si="181"/>
        <v>#REF!</v>
      </c>
      <c r="CP312" s="180">
        <v>2026</v>
      </c>
      <c r="CQ312" s="22">
        <v>12</v>
      </c>
      <c r="CR312" s="198" t="e">
        <f t="shared" ca="1" si="182"/>
        <v>#REF!</v>
      </c>
      <c r="CS312" s="276" t="e">
        <f t="shared" ca="1" si="183"/>
        <v>#REF!</v>
      </c>
      <c r="CT312" s="205" t="e">
        <f t="shared" ca="1" si="184"/>
        <v>#REF!</v>
      </c>
      <c r="CZ312" s="164" t="b">
        <f t="shared" si="160"/>
        <v>0</v>
      </c>
      <c r="DA312" s="165" t="b">
        <f t="shared" si="160"/>
        <v>0</v>
      </c>
      <c r="DB312" s="166" t="b">
        <f t="shared" si="160"/>
        <v>0</v>
      </c>
      <c r="DC312" s="164" t="str">
        <f t="shared" si="161"/>
        <v/>
      </c>
      <c r="DD312" s="166" t="str">
        <f t="shared" si="162"/>
        <v/>
      </c>
      <c r="DE312" s="164" t="str">
        <f t="shared" si="163"/>
        <v/>
      </c>
      <c r="DF312" s="166" t="str">
        <f t="shared" si="164"/>
        <v/>
      </c>
      <c r="DG312" s="164" t="str">
        <f t="shared" si="165"/>
        <v/>
      </c>
      <c r="DH312" s="166" t="str">
        <f t="shared" si="166"/>
        <v/>
      </c>
      <c r="DI312" s="164" t="str">
        <f>IFERROR(INDEX(DC$296:DC$344,_xlfn.AGGREGATE(15,6,(ROW(DC$296:DC$344)-ROW(DC$296)+1)/(DC$296:DC$344&lt;&gt;""),ROWS(DI$1:DI17))),"")</f>
        <v/>
      </c>
      <c r="DJ312" s="165" t="str">
        <f>IFERROR(INDEX(DD$296:DD$344,_xlfn.AGGREGATE(15,6,(ROW(DD$296:DD$344)-ROW(DD$296)+1)/(DD$296:DD$344&lt;&gt;""),ROWS(DJ$1:DJ17))),"")</f>
        <v/>
      </c>
      <c r="DK312" s="166" t="str">
        <f t="shared" si="167"/>
        <v/>
      </c>
      <c r="DL312" s="164" t="str">
        <f>IFERROR(INDEX(DE$296:DE$344,_xlfn.AGGREGATE(15,6,(ROW(DE$296:DE$344)-ROW(DE$296)+1)/(DE$296:DE$344&lt;&gt;""),ROWS(DL$1:DL17))),"")</f>
        <v/>
      </c>
      <c r="DM312" s="165" t="str">
        <f>IFERROR(INDEX(DF$296:DF$344,_xlfn.AGGREGATE(15,6,(ROW(DF$296:DF$344)-ROW(DF$296)+1)/(DF$296:DF$344&lt;&gt;""),ROWS(DM$1:DM17))),"")</f>
        <v/>
      </c>
      <c r="DN312" s="166" t="str">
        <f t="shared" si="168"/>
        <v/>
      </c>
      <c r="DO312" s="164" t="str">
        <f>IFERROR(INDEX(DG$296:DG$344,_xlfn.AGGREGATE(15,6,(ROW(DG$296:DG$344)-ROW(DG$296)+1)/(DG$296:DG$344&lt;&gt;""),ROWS(DO$1:DO17))),"")</f>
        <v/>
      </c>
      <c r="DP312" s="165" t="str">
        <f>IFERROR(INDEX(DH$296:DH$344,_xlfn.AGGREGATE(15,6,(ROW(DH$296:DH$344)-ROW(DH$296)+1)/(DH$296:DH$344&lt;&gt;""),ROWS(DP$1:DP17))),"")</f>
        <v/>
      </c>
      <c r="DQ312" s="166" t="str">
        <f t="shared" si="169"/>
        <v/>
      </c>
      <c r="DV312" s="145">
        <v>2031</v>
      </c>
      <c r="DW312" s="235" t="e">
        <f t="shared" ca="1" si="154"/>
        <v>#REF!</v>
      </c>
    </row>
    <row r="313" spans="1:135" ht="13.8" x14ac:dyDescent="0.45">
      <c r="A313" s="209" t="str">
        <f>$A$63</f>
        <v>Conservative Cases</v>
      </c>
      <c r="B313" s="128">
        <v>2029</v>
      </c>
      <c r="C313" s="1070"/>
      <c r="D313" s="1050"/>
      <c r="E313" s="1069"/>
      <c r="F313" s="1075"/>
      <c r="G313" s="1052"/>
      <c r="H313" s="1036"/>
      <c r="I313" s="1112"/>
      <c r="J313" s="247"/>
      <c r="K313" s="245"/>
      <c r="L313" s="246"/>
      <c r="M313" s="245"/>
      <c r="N313" s="29" t="s">
        <v>119</v>
      </c>
      <c r="O313" s="120"/>
      <c r="P313" s="120"/>
      <c r="Q313" s="120"/>
      <c r="R313" s="29">
        <v>15</v>
      </c>
      <c r="S313" s="238" t="str">
        <f t="shared" si="155"/>
        <v/>
      </c>
      <c r="T313" s="238" t="str">
        <f t="shared" si="156"/>
        <v/>
      </c>
      <c r="U313" s="238" t="str">
        <f t="shared" si="157"/>
        <v/>
      </c>
      <c r="W313" s="238" t="e">
        <f t="shared" si="170"/>
        <v>#N/A</v>
      </c>
      <c r="X313" s="238" t="e">
        <f t="shared" si="158"/>
        <v>#N/A</v>
      </c>
      <c r="Y313" s="238" t="e">
        <f t="shared" si="159"/>
        <v>#N/A</v>
      </c>
      <c r="AA313" s="1133">
        <v>418.526140926604</v>
      </c>
      <c r="AB313" s="1133">
        <v>447.47094582272166</v>
      </c>
      <c r="AC313" s="1133">
        <v>476.41575071883932</v>
      </c>
      <c r="AD313" s="89"/>
      <c r="AE313" s="89"/>
      <c r="AF313" s="89"/>
      <c r="AG313" s="89"/>
      <c r="AH313" s="89"/>
      <c r="AI313" s="89"/>
      <c r="AJ313" s="89"/>
      <c r="AK313" s="89"/>
      <c r="AL313" s="89"/>
      <c r="AM313" s="89"/>
      <c r="AN313" s="89"/>
      <c r="BR313" s="180">
        <v>2027</v>
      </c>
      <c r="BS313" s="22">
        <v>13</v>
      </c>
      <c r="BT313" s="198" t="e">
        <f t="shared" si="171"/>
        <v>#DIV/0!</v>
      </c>
      <c r="BU313" s="276" t="e">
        <f t="shared" si="172"/>
        <v>#DIV/0!</v>
      </c>
      <c r="BV313" s="205" t="e">
        <f t="shared" si="173"/>
        <v>#DIV/0!</v>
      </c>
      <c r="BY313" s="180">
        <v>2027</v>
      </c>
      <c r="BZ313" s="22">
        <v>13</v>
      </c>
      <c r="CA313" s="198" t="e">
        <f t="shared" ca="1" si="174"/>
        <v>#REF!</v>
      </c>
      <c r="CB313" s="198" t="e">
        <f t="shared" ca="1" si="175"/>
        <v>#REF!</v>
      </c>
      <c r="CC313" s="276" t="e">
        <f t="shared" ca="1" si="186"/>
        <v>#REF!</v>
      </c>
      <c r="CD313" s="205" t="e">
        <f t="shared" ca="1" si="176"/>
        <v>#REF!</v>
      </c>
      <c r="CG313" s="180">
        <v>2027</v>
      </c>
      <c r="CH313" s="22">
        <v>13</v>
      </c>
      <c r="CI313" s="198" t="e">
        <f t="shared" ca="1" si="177"/>
        <v>#REF!</v>
      </c>
      <c r="CJ313" s="198" t="e">
        <f t="shared" ca="1" si="178"/>
        <v>#REF!</v>
      </c>
      <c r="CK313" s="198" t="e">
        <f t="shared" ca="1" si="179"/>
        <v>#REF!</v>
      </c>
      <c r="CL313" s="276" t="e">
        <f t="shared" ca="1" si="180"/>
        <v>#REF!</v>
      </c>
      <c r="CM313" s="205" t="e">
        <f t="shared" ca="1" si="181"/>
        <v>#REF!</v>
      </c>
      <c r="CP313" s="180">
        <v>2027</v>
      </c>
      <c r="CQ313" s="22">
        <v>13</v>
      </c>
      <c r="CR313" s="198" t="e">
        <f t="shared" ca="1" si="182"/>
        <v>#REF!</v>
      </c>
      <c r="CS313" s="276" t="e">
        <f t="shared" ca="1" si="183"/>
        <v>#REF!</v>
      </c>
      <c r="CT313" s="205" t="e">
        <f t="shared" ca="1" si="184"/>
        <v>#REF!</v>
      </c>
      <c r="CZ313" s="164" t="b">
        <f t="shared" si="160"/>
        <v>0</v>
      </c>
      <c r="DA313" s="165" t="b">
        <f t="shared" si="160"/>
        <v>0</v>
      </c>
      <c r="DB313" s="166" t="b">
        <f t="shared" si="160"/>
        <v>0</v>
      </c>
      <c r="DC313" s="164" t="str">
        <f t="shared" si="161"/>
        <v/>
      </c>
      <c r="DD313" s="166" t="str">
        <f t="shared" si="162"/>
        <v/>
      </c>
      <c r="DE313" s="164" t="str">
        <f t="shared" si="163"/>
        <v/>
      </c>
      <c r="DF313" s="166" t="str">
        <f t="shared" si="164"/>
        <v/>
      </c>
      <c r="DG313" s="164" t="str">
        <f t="shared" si="165"/>
        <v/>
      </c>
      <c r="DH313" s="166" t="str">
        <f t="shared" si="166"/>
        <v/>
      </c>
      <c r="DI313" s="164" t="str">
        <f>IFERROR(INDEX(DC$296:DC$344,_xlfn.AGGREGATE(15,6,(ROW(DC$296:DC$344)-ROW(DC$296)+1)/(DC$296:DC$344&lt;&gt;""),ROWS(DI$1:DI18))),"")</f>
        <v/>
      </c>
      <c r="DJ313" s="165" t="str">
        <f>IFERROR(INDEX(DD$296:DD$344,_xlfn.AGGREGATE(15,6,(ROW(DD$296:DD$344)-ROW(DD$296)+1)/(DD$296:DD$344&lt;&gt;""),ROWS(DJ$1:DJ18))),"")</f>
        <v/>
      </c>
      <c r="DK313" s="166" t="str">
        <f t="shared" si="167"/>
        <v/>
      </c>
      <c r="DL313" s="164" t="str">
        <f>IFERROR(INDEX(DE$296:DE$344,_xlfn.AGGREGATE(15,6,(ROW(DE$296:DE$344)-ROW(DE$296)+1)/(DE$296:DE$344&lt;&gt;""),ROWS(DL$1:DL18))),"")</f>
        <v/>
      </c>
      <c r="DM313" s="165" t="str">
        <f>IFERROR(INDEX(DF$296:DF$344,_xlfn.AGGREGATE(15,6,(ROW(DF$296:DF$344)-ROW(DF$296)+1)/(DF$296:DF$344&lt;&gt;""),ROWS(DM$1:DM18))),"")</f>
        <v/>
      </c>
      <c r="DN313" s="166" t="str">
        <f t="shared" si="168"/>
        <v/>
      </c>
      <c r="DO313" s="164" t="str">
        <f>IFERROR(INDEX(DG$296:DG$344,_xlfn.AGGREGATE(15,6,(ROW(DG$296:DG$344)-ROW(DG$296)+1)/(DG$296:DG$344&lt;&gt;""),ROWS(DO$1:DO18))),"")</f>
        <v/>
      </c>
      <c r="DP313" s="165" t="str">
        <f>IFERROR(INDEX(DH$296:DH$344,_xlfn.AGGREGATE(15,6,(ROW(DH$296:DH$344)-ROW(DH$296)+1)/(DH$296:DH$344&lt;&gt;""),ROWS(DP$1:DP18))),"")</f>
        <v/>
      </c>
      <c r="DQ313" s="166" t="str">
        <f t="shared" si="169"/>
        <v/>
      </c>
      <c r="DV313" s="145">
        <v>2032</v>
      </c>
      <c r="DW313" s="235" t="e">
        <f t="shared" ca="1" si="154"/>
        <v>#REF!</v>
      </c>
    </row>
    <row r="314" spans="1:135" ht="13.8" x14ac:dyDescent="0.45">
      <c r="A314" s="210" t="str">
        <f>$A$64</f>
        <v>Ambitious Cases</v>
      </c>
      <c r="B314" s="128">
        <v>2030</v>
      </c>
      <c r="C314" s="1070"/>
      <c r="D314" s="1050"/>
      <c r="E314" s="1069"/>
      <c r="F314" s="1075"/>
      <c r="G314" s="1052"/>
      <c r="H314" s="1036"/>
      <c r="I314" s="1112"/>
      <c r="J314" s="247"/>
      <c r="K314" s="245"/>
      <c r="L314" s="246"/>
      <c r="M314" s="245"/>
      <c r="N314" s="29" t="s">
        <v>119</v>
      </c>
      <c r="O314" s="120"/>
      <c r="P314" s="120"/>
      <c r="Q314" s="120"/>
      <c r="R314" s="29">
        <v>16</v>
      </c>
      <c r="S314" s="238" t="str">
        <f t="shared" si="155"/>
        <v/>
      </c>
      <c r="T314" s="238" t="str">
        <f t="shared" si="156"/>
        <v/>
      </c>
      <c r="U314" s="238" t="str">
        <f t="shared" si="157"/>
        <v/>
      </c>
      <c r="W314" s="238" t="e">
        <f t="shared" si="170"/>
        <v>#N/A</v>
      </c>
      <c r="X314" s="238" t="e">
        <f t="shared" si="158"/>
        <v>#N/A</v>
      </c>
      <c r="Y314" s="238" t="e">
        <f t="shared" si="159"/>
        <v>#N/A</v>
      </c>
      <c r="AA314" s="1133">
        <v>434.55028704686998</v>
      </c>
      <c r="AB314" s="1133">
        <v>461.82297590791268</v>
      </c>
      <c r="AC314" s="1133">
        <v>489.09566476895537</v>
      </c>
      <c r="AD314" s="89"/>
      <c r="AE314" s="89"/>
      <c r="AF314" s="89"/>
      <c r="AG314" s="89"/>
      <c r="AH314" s="89"/>
      <c r="AI314" s="89"/>
      <c r="AJ314" s="89"/>
      <c r="AK314" s="89"/>
      <c r="AL314" s="89"/>
      <c r="AM314" s="89"/>
      <c r="AN314" s="89"/>
      <c r="BR314" s="180">
        <v>2028</v>
      </c>
      <c r="BS314" s="22">
        <v>14</v>
      </c>
      <c r="BT314" s="198" t="e">
        <f t="shared" si="171"/>
        <v>#DIV/0!</v>
      </c>
      <c r="BU314" s="276" t="e">
        <f t="shared" si="172"/>
        <v>#DIV/0!</v>
      </c>
      <c r="BV314" s="205" t="e">
        <f t="shared" si="173"/>
        <v>#DIV/0!</v>
      </c>
      <c r="BY314" s="180">
        <v>2028</v>
      </c>
      <c r="BZ314" s="22">
        <v>14</v>
      </c>
      <c r="CA314" s="198" t="e">
        <f t="shared" ca="1" si="174"/>
        <v>#REF!</v>
      </c>
      <c r="CB314" s="198" t="e">
        <f t="shared" ca="1" si="175"/>
        <v>#REF!</v>
      </c>
      <c r="CC314" s="276" t="e">
        <f t="shared" ca="1" si="186"/>
        <v>#REF!</v>
      </c>
      <c r="CD314" s="205" t="e">
        <f t="shared" ca="1" si="176"/>
        <v>#REF!</v>
      </c>
      <c r="CG314" s="180">
        <v>2028</v>
      </c>
      <c r="CH314" s="22">
        <v>14</v>
      </c>
      <c r="CI314" s="198" t="e">
        <f t="shared" ca="1" si="177"/>
        <v>#REF!</v>
      </c>
      <c r="CJ314" s="198" t="e">
        <f t="shared" ca="1" si="178"/>
        <v>#REF!</v>
      </c>
      <c r="CK314" s="198" t="e">
        <f t="shared" ca="1" si="179"/>
        <v>#REF!</v>
      </c>
      <c r="CL314" s="276" t="e">
        <f t="shared" ca="1" si="180"/>
        <v>#REF!</v>
      </c>
      <c r="CM314" s="205" t="e">
        <f t="shared" ca="1" si="181"/>
        <v>#REF!</v>
      </c>
      <c r="CP314" s="180">
        <v>2028</v>
      </c>
      <c r="CQ314" s="22">
        <v>14</v>
      </c>
      <c r="CR314" s="198" t="e">
        <f t="shared" ca="1" si="182"/>
        <v>#REF!</v>
      </c>
      <c r="CS314" s="276" t="e">
        <f t="shared" ca="1" si="183"/>
        <v>#REF!</v>
      </c>
      <c r="CT314" s="205" t="e">
        <f t="shared" ca="1" si="184"/>
        <v>#REF!</v>
      </c>
      <c r="CZ314" s="164" t="b">
        <f t="shared" si="160"/>
        <v>0</v>
      </c>
      <c r="DA314" s="165" t="b">
        <f t="shared" si="160"/>
        <v>0</v>
      </c>
      <c r="DB314" s="166" t="b">
        <f t="shared" si="160"/>
        <v>0</v>
      </c>
      <c r="DC314" s="164" t="str">
        <f t="shared" si="161"/>
        <v/>
      </c>
      <c r="DD314" s="166" t="str">
        <f t="shared" si="162"/>
        <v/>
      </c>
      <c r="DE314" s="164" t="str">
        <f t="shared" si="163"/>
        <v/>
      </c>
      <c r="DF314" s="166" t="str">
        <f t="shared" si="164"/>
        <v/>
      </c>
      <c r="DG314" s="164" t="str">
        <f t="shared" si="165"/>
        <v/>
      </c>
      <c r="DH314" s="166" t="str">
        <f t="shared" si="166"/>
        <v/>
      </c>
      <c r="DI314" s="164" t="str">
        <f>IFERROR(INDEX(DC$296:DC$344,_xlfn.AGGREGATE(15,6,(ROW(DC$296:DC$344)-ROW(DC$296)+1)/(DC$296:DC$344&lt;&gt;""),ROWS(DI$1:DI19))),"")</f>
        <v/>
      </c>
      <c r="DJ314" s="165" t="str">
        <f>IFERROR(INDEX(DD$296:DD$344,_xlfn.AGGREGATE(15,6,(ROW(DD$296:DD$344)-ROW(DD$296)+1)/(DD$296:DD$344&lt;&gt;""),ROWS(DJ$1:DJ19))),"")</f>
        <v/>
      </c>
      <c r="DK314" s="166" t="str">
        <f t="shared" si="167"/>
        <v/>
      </c>
      <c r="DL314" s="164" t="str">
        <f>IFERROR(INDEX(DE$296:DE$344,_xlfn.AGGREGATE(15,6,(ROW(DE$296:DE$344)-ROW(DE$296)+1)/(DE$296:DE$344&lt;&gt;""),ROWS(DL$1:DL19))),"")</f>
        <v/>
      </c>
      <c r="DM314" s="165" t="str">
        <f>IFERROR(INDEX(DF$296:DF$344,_xlfn.AGGREGATE(15,6,(ROW(DF$296:DF$344)-ROW(DF$296)+1)/(DF$296:DF$344&lt;&gt;""),ROWS(DM$1:DM19))),"")</f>
        <v/>
      </c>
      <c r="DN314" s="166" t="str">
        <f t="shared" si="168"/>
        <v/>
      </c>
      <c r="DO314" s="164" t="str">
        <f>IFERROR(INDEX(DG$296:DG$344,_xlfn.AGGREGATE(15,6,(ROW(DG$296:DG$344)-ROW(DG$296)+1)/(DG$296:DG$344&lt;&gt;""),ROWS(DO$1:DO19))),"")</f>
        <v/>
      </c>
      <c r="DP314" s="165" t="str">
        <f>IFERROR(INDEX(DH$296:DH$344,_xlfn.AGGREGATE(15,6,(ROW(DH$296:DH$344)-ROW(DH$296)+1)/(DH$296:DH$344&lt;&gt;""),ROWS(DP$1:DP19))),"")</f>
        <v/>
      </c>
      <c r="DQ314" s="166" t="str">
        <f t="shared" si="169"/>
        <v/>
      </c>
      <c r="DV314" s="145">
        <v>2033</v>
      </c>
      <c r="DW314" s="235" t="e">
        <f t="shared" ca="1" si="154"/>
        <v>#REF!</v>
      </c>
    </row>
    <row r="315" spans="1:135" ht="13.8" x14ac:dyDescent="0.45">
      <c r="A315" s="211" t="str">
        <f>$A$65</f>
        <v>Maximum Cases</v>
      </c>
      <c r="B315" s="128">
        <v>2031</v>
      </c>
      <c r="C315" s="1070"/>
      <c r="D315" s="1050"/>
      <c r="E315" s="1069"/>
      <c r="F315" s="1075"/>
      <c r="G315" s="1052"/>
      <c r="H315" s="1036"/>
      <c r="I315" s="1112"/>
      <c r="J315" s="247"/>
      <c r="K315" s="245"/>
      <c r="L315" s="246"/>
      <c r="M315" s="245"/>
      <c r="N315" s="29" t="s">
        <v>119</v>
      </c>
      <c r="O315" s="120"/>
      <c r="P315" s="120"/>
      <c r="Q315" s="120"/>
      <c r="R315" s="29">
        <v>17</v>
      </c>
      <c r="S315" s="238" t="str">
        <f t="shared" si="155"/>
        <v/>
      </c>
      <c r="T315" s="238" t="str">
        <f t="shared" si="156"/>
        <v/>
      </c>
      <c r="U315" s="238" t="str">
        <f t="shared" si="157"/>
        <v/>
      </c>
      <c r="W315" s="238" t="e">
        <f t="shared" si="170"/>
        <v>#N/A</v>
      </c>
      <c r="X315" s="238" t="e">
        <f t="shared" si="158"/>
        <v>#N/A</v>
      </c>
      <c r="Y315" s="238" t="e">
        <f t="shared" si="159"/>
        <v>#N/A</v>
      </c>
      <c r="AA315" s="1133">
        <v>448.74175936679052</v>
      </c>
      <c r="AB315" s="1133">
        <v>475.42061042428685</v>
      </c>
      <c r="AC315" s="1133">
        <v>502.09946148178318</v>
      </c>
      <c r="AD315" s="89"/>
      <c r="AE315" s="89"/>
      <c r="AF315" s="89"/>
      <c r="AG315" s="89"/>
      <c r="AH315" s="89"/>
      <c r="AI315" s="89"/>
      <c r="AJ315" s="89"/>
      <c r="AK315" s="89"/>
      <c r="AL315" s="89"/>
      <c r="AM315" s="89"/>
      <c r="AN315" s="89"/>
      <c r="BR315" s="180">
        <v>2029</v>
      </c>
      <c r="BS315" s="22">
        <v>15</v>
      </c>
      <c r="BT315" s="198" t="e">
        <f t="shared" si="171"/>
        <v>#DIV/0!</v>
      </c>
      <c r="BU315" s="276" t="e">
        <f t="shared" si="172"/>
        <v>#DIV/0!</v>
      </c>
      <c r="BV315" s="205" t="e">
        <f t="shared" si="173"/>
        <v>#DIV/0!</v>
      </c>
      <c r="BY315" s="180">
        <v>2029</v>
      </c>
      <c r="BZ315" s="22">
        <v>15</v>
      </c>
      <c r="CA315" s="198" t="e">
        <f t="shared" ca="1" si="174"/>
        <v>#REF!</v>
      </c>
      <c r="CB315" s="198" t="e">
        <f t="shared" ca="1" si="175"/>
        <v>#REF!</v>
      </c>
      <c r="CC315" s="276" t="e">
        <f t="shared" ca="1" si="186"/>
        <v>#REF!</v>
      </c>
      <c r="CD315" s="205" t="e">
        <f t="shared" ca="1" si="176"/>
        <v>#REF!</v>
      </c>
      <c r="CG315" s="180">
        <v>2029</v>
      </c>
      <c r="CH315" s="22">
        <v>15</v>
      </c>
      <c r="CI315" s="198" t="e">
        <f t="shared" ca="1" si="177"/>
        <v>#REF!</v>
      </c>
      <c r="CJ315" s="198" t="e">
        <f t="shared" ca="1" si="178"/>
        <v>#REF!</v>
      </c>
      <c r="CK315" s="198" t="e">
        <f t="shared" ca="1" si="179"/>
        <v>#REF!</v>
      </c>
      <c r="CL315" s="276" t="e">
        <f t="shared" ca="1" si="180"/>
        <v>#REF!</v>
      </c>
      <c r="CM315" s="205" t="e">
        <f t="shared" ca="1" si="181"/>
        <v>#REF!</v>
      </c>
      <c r="CP315" s="180">
        <v>2029</v>
      </c>
      <c r="CQ315" s="22">
        <v>15</v>
      </c>
      <c r="CR315" s="198" t="e">
        <f t="shared" ca="1" si="182"/>
        <v>#REF!</v>
      </c>
      <c r="CS315" s="276" t="e">
        <f t="shared" ca="1" si="183"/>
        <v>#REF!</v>
      </c>
      <c r="CT315" s="205" t="e">
        <f t="shared" ca="1" si="184"/>
        <v>#REF!</v>
      </c>
      <c r="CZ315" s="164" t="b">
        <f t="shared" si="160"/>
        <v>0</v>
      </c>
      <c r="DA315" s="165" t="b">
        <f t="shared" si="160"/>
        <v>0</v>
      </c>
      <c r="DB315" s="166" t="b">
        <f t="shared" si="160"/>
        <v>0</v>
      </c>
      <c r="DC315" s="164" t="str">
        <f t="shared" si="161"/>
        <v/>
      </c>
      <c r="DD315" s="166" t="str">
        <f t="shared" si="162"/>
        <v/>
      </c>
      <c r="DE315" s="164" t="str">
        <f t="shared" si="163"/>
        <v/>
      </c>
      <c r="DF315" s="166" t="str">
        <f t="shared" si="164"/>
        <v/>
      </c>
      <c r="DG315" s="164" t="str">
        <f t="shared" si="165"/>
        <v/>
      </c>
      <c r="DH315" s="166" t="str">
        <f t="shared" si="166"/>
        <v/>
      </c>
      <c r="DI315" s="164" t="str">
        <f>IFERROR(INDEX(DC$296:DC$344,_xlfn.AGGREGATE(15,6,(ROW(DC$296:DC$344)-ROW(DC$296)+1)/(DC$296:DC$344&lt;&gt;""),ROWS(DI$1:DI20))),"")</f>
        <v/>
      </c>
      <c r="DJ315" s="165" t="str">
        <f>IFERROR(INDEX(DD$296:DD$344,_xlfn.AGGREGATE(15,6,(ROW(DD$296:DD$344)-ROW(DD$296)+1)/(DD$296:DD$344&lt;&gt;""),ROWS(DJ$1:DJ20))),"")</f>
        <v/>
      </c>
      <c r="DK315" s="166" t="str">
        <f t="shared" si="167"/>
        <v/>
      </c>
      <c r="DL315" s="164" t="str">
        <f>IFERROR(INDEX(DE$296:DE$344,_xlfn.AGGREGATE(15,6,(ROW(DE$296:DE$344)-ROW(DE$296)+1)/(DE$296:DE$344&lt;&gt;""),ROWS(DL$1:DL20))),"")</f>
        <v/>
      </c>
      <c r="DM315" s="165" t="str">
        <f>IFERROR(INDEX(DF$296:DF$344,_xlfn.AGGREGATE(15,6,(ROW(DF$296:DF$344)-ROW(DF$296)+1)/(DF$296:DF$344&lt;&gt;""),ROWS(DM$1:DM20))),"")</f>
        <v/>
      </c>
      <c r="DN315" s="166" t="str">
        <f t="shared" si="168"/>
        <v/>
      </c>
      <c r="DO315" s="164" t="str">
        <f>IFERROR(INDEX(DG$296:DG$344,_xlfn.AGGREGATE(15,6,(ROW(DG$296:DG$344)-ROW(DG$296)+1)/(DG$296:DG$344&lt;&gt;""),ROWS(DO$1:DO20))),"")</f>
        <v/>
      </c>
      <c r="DP315" s="165" t="str">
        <f>IFERROR(INDEX(DH$296:DH$344,_xlfn.AGGREGATE(15,6,(ROW(DH$296:DH$344)-ROW(DH$296)+1)/(DH$296:DH$344&lt;&gt;""),ROWS(DP$1:DP20))),"")</f>
        <v/>
      </c>
      <c r="DQ315" s="166" t="str">
        <f t="shared" si="169"/>
        <v/>
      </c>
      <c r="DV315" s="145">
        <v>2034</v>
      </c>
      <c r="DW315" s="235" t="e">
        <f t="shared" ca="1" si="154"/>
        <v>#REF!</v>
      </c>
    </row>
    <row r="316" spans="1:135" ht="13.8" x14ac:dyDescent="0.45">
      <c r="B316" s="128">
        <v>2032</v>
      </c>
      <c r="C316" s="1070"/>
      <c r="D316" s="1050"/>
      <c r="E316" s="1069"/>
      <c r="F316" s="1075"/>
      <c r="G316" s="1052"/>
      <c r="H316" s="1036"/>
      <c r="I316" s="1112"/>
      <c r="J316" s="247"/>
      <c r="K316" s="245"/>
      <c r="L316" s="246"/>
      <c r="M316" s="245"/>
      <c r="N316" s="29" t="s">
        <v>119</v>
      </c>
      <c r="O316" s="120"/>
      <c r="P316" s="120"/>
      <c r="Q316" s="120"/>
      <c r="R316" s="29">
        <v>18</v>
      </c>
      <c r="S316" s="238" t="str">
        <f t="shared" si="155"/>
        <v/>
      </c>
      <c r="T316" s="238" t="str">
        <f t="shared" si="156"/>
        <v/>
      </c>
      <c r="U316" s="238" t="str">
        <f t="shared" si="157"/>
        <v/>
      </c>
      <c r="W316" s="238" t="e">
        <f t="shared" si="170"/>
        <v>#N/A</v>
      </c>
      <c r="X316" s="238" t="e">
        <f t="shared" si="158"/>
        <v>#N/A</v>
      </c>
      <c r="Y316" s="238" t="e">
        <f t="shared" si="159"/>
        <v>#N/A</v>
      </c>
      <c r="AA316" s="1133">
        <v>463.8224057434569</v>
      </c>
      <c r="AB316" s="1133">
        <v>489.40506611942709</v>
      </c>
      <c r="AC316" s="1133">
        <v>514.98772649539728</v>
      </c>
      <c r="AD316" s="89"/>
      <c r="AE316" s="89"/>
      <c r="AF316" s="89"/>
      <c r="AG316" s="89"/>
      <c r="AH316" s="89"/>
      <c r="AI316" s="89"/>
      <c r="AJ316" s="89"/>
      <c r="AK316" s="89"/>
      <c r="AL316" s="89"/>
      <c r="AM316" s="89"/>
      <c r="AN316" s="89"/>
      <c r="BR316" s="180">
        <v>2030</v>
      </c>
      <c r="BS316" s="22">
        <v>16</v>
      </c>
      <c r="BT316" s="198" t="e">
        <f t="shared" si="171"/>
        <v>#DIV/0!</v>
      </c>
      <c r="BU316" s="276" t="e">
        <f t="shared" si="172"/>
        <v>#DIV/0!</v>
      </c>
      <c r="BV316" s="205" t="e">
        <f t="shared" si="173"/>
        <v>#DIV/0!</v>
      </c>
      <c r="BY316" s="180">
        <v>2030</v>
      </c>
      <c r="BZ316" s="22">
        <v>16</v>
      </c>
      <c r="CA316" s="198" t="e">
        <f t="shared" ca="1" si="174"/>
        <v>#REF!</v>
      </c>
      <c r="CB316" s="198" t="e">
        <f t="shared" ca="1" si="175"/>
        <v>#REF!</v>
      </c>
      <c r="CC316" s="276" t="e">
        <f t="shared" ca="1" si="186"/>
        <v>#REF!</v>
      </c>
      <c r="CD316" s="205" t="e">
        <f t="shared" ca="1" si="176"/>
        <v>#REF!</v>
      </c>
      <c r="CG316" s="180">
        <v>2030</v>
      </c>
      <c r="CH316" s="22">
        <v>16</v>
      </c>
      <c r="CI316" s="198" t="e">
        <f t="shared" ca="1" si="177"/>
        <v>#REF!</v>
      </c>
      <c r="CJ316" s="198" t="e">
        <f t="shared" ca="1" si="178"/>
        <v>#REF!</v>
      </c>
      <c r="CK316" s="198" t="e">
        <f t="shared" ca="1" si="179"/>
        <v>#REF!</v>
      </c>
      <c r="CL316" s="276" t="e">
        <f t="shared" ca="1" si="180"/>
        <v>#REF!</v>
      </c>
      <c r="CM316" s="205" t="e">
        <f t="shared" ca="1" si="181"/>
        <v>#REF!</v>
      </c>
      <c r="CP316" s="180">
        <v>2030</v>
      </c>
      <c r="CQ316" s="22">
        <v>16</v>
      </c>
      <c r="CR316" s="198" t="e">
        <f t="shared" ca="1" si="182"/>
        <v>#REF!</v>
      </c>
      <c r="CS316" s="276" t="e">
        <f t="shared" ca="1" si="183"/>
        <v>#REF!</v>
      </c>
      <c r="CT316" s="205" t="e">
        <f t="shared" ca="1" si="184"/>
        <v>#REF!</v>
      </c>
      <c r="CZ316" s="164" t="b">
        <f t="shared" si="160"/>
        <v>0</v>
      </c>
      <c r="DA316" s="165" t="b">
        <f t="shared" si="160"/>
        <v>0</v>
      </c>
      <c r="DB316" s="166" t="b">
        <f t="shared" si="160"/>
        <v>0</v>
      </c>
      <c r="DC316" s="164" t="str">
        <f t="shared" si="161"/>
        <v/>
      </c>
      <c r="DD316" s="166" t="str">
        <f t="shared" si="162"/>
        <v/>
      </c>
      <c r="DE316" s="164" t="str">
        <f t="shared" si="163"/>
        <v/>
      </c>
      <c r="DF316" s="166" t="str">
        <f t="shared" si="164"/>
        <v/>
      </c>
      <c r="DG316" s="164" t="str">
        <f t="shared" si="165"/>
        <v/>
      </c>
      <c r="DH316" s="166" t="str">
        <f t="shared" si="166"/>
        <v/>
      </c>
      <c r="DI316" s="164" t="str">
        <f>IFERROR(INDEX(DC$296:DC$344,_xlfn.AGGREGATE(15,6,(ROW(DC$296:DC$344)-ROW(DC$296)+1)/(DC$296:DC$344&lt;&gt;""),ROWS(DI$1:DI21))),"")</f>
        <v/>
      </c>
      <c r="DJ316" s="165" t="str">
        <f>IFERROR(INDEX(DD$296:DD$344,_xlfn.AGGREGATE(15,6,(ROW(DD$296:DD$344)-ROW(DD$296)+1)/(DD$296:DD$344&lt;&gt;""),ROWS(DJ$1:DJ21))),"")</f>
        <v/>
      </c>
      <c r="DK316" s="166" t="str">
        <f t="shared" si="167"/>
        <v/>
      </c>
      <c r="DL316" s="164" t="str">
        <f>IFERROR(INDEX(DE$296:DE$344,_xlfn.AGGREGATE(15,6,(ROW(DE$296:DE$344)-ROW(DE$296)+1)/(DE$296:DE$344&lt;&gt;""),ROWS(DL$1:DL21))),"")</f>
        <v/>
      </c>
      <c r="DM316" s="165" t="str">
        <f>IFERROR(INDEX(DF$296:DF$344,_xlfn.AGGREGATE(15,6,(ROW(DF$296:DF$344)-ROW(DF$296)+1)/(DF$296:DF$344&lt;&gt;""),ROWS(DM$1:DM21))),"")</f>
        <v/>
      </c>
      <c r="DN316" s="166" t="str">
        <f t="shared" si="168"/>
        <v/>
      </c>
      <c r="DO316" s="164" t="str">
        <f>IFERROR(INDEX(DG$296:DG$344,_xlfn.AGGREGATE(15,6,(ROW(DG$296:DG$344)-ROW(DG$296)+1)/(DG$296:DG$344&lt;&gt;""),ROWS(DO$1:DO21))),"")</f>
        <v/>
      </c>
      <c r="DP316" s="165" t="str">
        <f>IFERROR(INDEX(DH$296:DH$344,_xlfn.AGGREGATE(15,6,(ROW(DH$296:DH$344)-ROW(DH$296)+1)/(DH$296:DH$344&lt;&gt;""),ROWS(DP$1:DP21))),"")</f>
        <v/>
      </c>
      <c r="DQ316" s="166" t="str">
        <f t="shared" si="169"/>
        <v/>
      </c>
      <c r="DV316" s="145">
        <v>2035</v>
      </c>
      <c r="DW316" s="235" t="e">
        <f t="shared" ca="1" si="154"/>
        <v>#REF!</v>
      </c>
    </row>
    <row r="317" spans="1:135" ht="13.8" x14ac:dyDescent="0.45">
      <c r="B317" s="128">
        <v>2033</v>
      </c>
      <c r="C317" s="1070"/>
      <c r="D317" s="1050"/>
      <c r="E317" s="1069"/>
      <c r="F317" s="1075"/>
      <c r="G317" s="1052"/>
      <c r="H317" s="1036"/>
      <c r="I317" s="1112"/>
      <c r="J317" s="247"/>
      <c r="K317" s="245"/>
      <c r="L317" s="246"/>
      <c r="M317" s="245"/>
      <c r="N317" s="29" t="s">
        <v>119</v>
      </c>
      <c r="O317" s="120"/>
      <c r="P317" s="120"/>
      <c r="Q317" s="120"/>
      <c r="R317" s="29">
        <v>19</v>
      </c>
      <c r="S317" s="238" t="str">
        <f t="shared" si="155"/>
        <v/>
      </c>
      <c r="T317" s="238" t="str">
        <f t="shared" si="156"/>
        <v/>
      </c>
      <c r="U317" s="238" t="str">
        <f t="shared" si="157"/>
        <v/>
      </c>
      <c r="W317" s="238" t="e">
        <f t="shared" si="170"/>
        <v>#N/A</v>
      </c>
      <c r="X317" s="238" t="e">
        <f t="shared" si="158"/>
        <v>#N/A</v>
      </c>
      <c r="Y317" s="238" t="e">
        <f t="shared" si="159"/>
        <v>#N/A</v>
      </c>
      <c r="AA317" s="1133">
        <v>479.06941564743806</v>
      </c>
      <c r="AB317" s="1133">
        <v>503.48746350188276</v>
      </c>
      <c r="AC317" s="1133">
        <v>527.90551135632745</v>
      </c>
      <c r="AD317" s="89"/>
      <c r="AE317" s="89"/>
      <c r="AF317" s="89"/>
      <c r="AG317" s="89"/>
      <c r="AH317" s="89"/>
      <c r="AI317" s="89"/>
      <c r="AJ317" s="89"/>
      <c r="AK317" s="89"/>
      <c r="AL317" s="89"/>
      <c r="AM317" s="89"/>
      <c r="AN317" s="89"/>
      <c r="BR317" s="180">
        <v>2031</v>
      </c>
      <c r="BS317" s="22">
        <v>17</v>
      </c>
      <c r="BT317" s="198" t="e">
        <f t="shared" si="171"/>
        <v>#DIV/0!</v>
      </c>
      <c r="BU317" s="276" t="e">
        <f t="shared" si="172"/>
        <v>#DIV/0!</v>
      </c>
      <c r="BV317" s="205" t="e">
        <f t="shared" si="173"/>
        <v>#DIV/0!</v>
      </c>
      <c r="BY317" s="180">
        <v>2031</v>
      </c>
      <c r="BZ317" s="22">
        <v>17</v>
      </c>
      <c r="CA317" s="198" t="e">
        <f t="shared" ca="1" si="174"/>
        <v>#REF!</v>
      </c>
      <c r="CB317" s="198" t="e">
        <f t="shared" ca="1" si="175"/>
        <v>#REF!</v>
      </c>
      <c r="CC317" s="276" t="e">
        <f t="shared" ca="1" si="186"/>
        <v>#REF!</v>
      </c>
      <c r="CD317" s="205" t="e">
        <f t="shared" ca="1" si="176"/>
        <v>#REF!</v>
      </c>
      <c r="CG317" s="180">
        <v>2031</v>
      </c>
      <c r="CH317" s="22">
        <v>17</v>
      </c>
      <c r="CI317" s="198" t="e">
        <f t="shared" ca="1" si="177"/>
        <v>#REF!</v>
      </c>
      <c r="CJ317" s="198" t="e">
        <f t="shared" ca="1" si="178"/>
        <v>#REF!</v>
      </c>
      <c r="CK317" s="198" t="e">
        <f t="shared" ca="1" si="179"/>
        <v>#REF!</v>
      </c>
      <c r="CL317" s="276" t="e">
        <f t="shared" ca="1" si="180"/>
        <v>#REF!</v>
      </c>
      <c r="CM317" s="205" t="e">
        <f t="shared" ca="1" si="181"/>
        <v>#REF!</v>
      </c>
      <c r="CP317" s="180">
        <v>2031</v>
      </c>
      <c r="CQ317" s="22">
        <v>17</v>
      </c>
      <c r="CR317" s="198" t="e">
        <f t="shared" ca="1" si="182"/>
        <v>#REF!</v>
      </c>
      <c r="CS317" s="276" t="e">
        <f t="shared" ca="1" si="183"/>
        <v>#REF!</v>
      </c>
      <c r="CT317" s="205" t="e">
        <f t="shared" ca="1" si="184"/>
        <v>#REF!</v>
      </c>
      <c r="CZ317" s="164" t="b">
        <f t="shared" si="160"/>
        <v>0</v>
      </c>
      <c r="DA317" s="165" t="b">
        <f t="shared" si="160"/>
        <v>0</v>
      </c>
      <c r="DB317" s="166" t="b">
        <f t="shared" si="160"/>
        <v>0</v>
      </c>
      <c r="DC317" s="164" t="str">
        <f t="shared" si="161"/>
        <v/>
      </c>
      <c r="DD317" s="166" t="str">
        <f t="shared" si="162"/>
        <v/>
      </c>
      <c r="DE317" s="164" t="str">
        <f t="shared" si="163"/>
        <v/>
      </c>
      <c r="DF317" s="166" t="str">
        <f t="shared" si="164"/>
        <v/>
      </c>
      <c r="DG317" s="164" t="str">
        <f t="shared" si="165"/>
        <v/>
      </c>
      <c r="DH317" s="166" t="str">
        <f t="shared" si="166"/>
        <v/>
      </c>
      <c r="DI317" s="164" t="str">
        <f>IFERROR(INDEX(DC$296:DC$344,_xlfn.AGGREGATE(15,6,(ROW(DC$296:DC$344)-ROW(DC$296)+1)/(DC$296:DC$344&lt;&gt;""),ROWS(DI$1:DI22))),"")</f>
        <v/>
      </c>
      <c r="DJ317" s="165" t="str">
        <f>IFERROR(INDEX(DD$296:DD$344,_xlfn.AGGREGATE(15,6,(ROW(DD$296:DD$344)-ROW(DD$296)+1)/(DD$296:DD$344&lt;&gt;""),ROWS(DJ$1:DJ22))),"")</f>
        <v/>
      </c>
      <c r="DK317" s="166" t="str">
        <f t="shared" si="167"/>
        <v/>
      </c>
      <c r="DL317" s="164" t="str">
        <f>IFERROR(INDEX(DE$296:DE$344,_xlfn.AGGREGATE(15,6,(ROW(DE$296:DE$344)-ROW(DE$296)+1)/(DE$296:DE$344&lt;&gt;""),ROWS(DL$1:DL22))),"")</f>
        <v/>
      </c>
      <c r="DM317" s="165" t="str">
        <f>IFERROR(INDEX(DF$296:DF$344,_xlfn.AGGREGATE(15,6,(ROW(DF$296:DF$344)-ROW(DF$296)+1)/(DF$296:DF$344&lt;&gt;""),ROWS(DM$1:DM22))),"")</f>
        <v/>
      </c>
      <c r="DN317" s="166" t="str">
        <f t="shared" si="168"/>
        <v/>
      </c>
      <c r="DO317" s="164" t="str">
        <f>IFERROR(INDEX(DG$296:DG$344,_xlfn.AGGREGATE(15,6,(ROW(DG$296:DG$344)-ROW(DG$296)+1)/(DG$296:DG$344&lt;&gt;""),ROWS(DO$1:DO22))),"")</f>
        <v/>
      </c>
      <c r="DP317" s="165" t="str">
        <f>IFERROR(INDEX(DH$296:DH$344,_xlfn.AGGREGATE(15,6,(ROW(DH$296:DH$344)-ROW(DH$296)+1)/(DH$296:DH$344&lt;&gt;""),ROWS(DP$1:DP22))),"")</f>
        <v/>
      </c>
      <c r="DQ317" s="166" t="str">
        <f t="shared" si="169"/>
        <v/>
      </c>
      <c r="DV317" s="145">
        <v>2036</v>
      </c>
      <c r="DW317" s="235" t="e">
        <f t="shared" ca="1" si="154"/>
        <v>#REF!</v>
      </c>
    </row>
    <row r="318" spans="1:135" ht="13.8" x14ac:dyDescent="0.45">
      <c r="B318" s="128">
        <v>2034</v>
      </c>
      <c r="C318" s="1070"/>
      <c r="D318" s="1050"/>
      <c r="E318" s="1069"/>
      <c r="F318" s="1075"/>
      <c r="G318" s="1052"/>
      <c r="H318" s="1036"/>
      <c r="I318" s="1112"/>
      <c r="J318" s="247"/>
      <c r="K318" s="245"/>
      <c r="L318" s="246"/>
      <c r="M318" s="245"/>
      <c r="N318" s="29" t="s">
        <v>119</v>
      </c>
      <c r="O318" s="120"/>
      <c r="P318" s="120"/>
      <c r="Q318" s="120"/>
      <c r="R318" s="29">
        <v>20</v>
      </c>
      <c r="S318" s="238" t="str">
        <f t="shared" si="155"/>
        <v/>
      </c>
      <c r="T318" s="238" t="str">
        <f t="shared" si="156"/>
        <v/>
      </c>
      <c r="U318" s="238" t="str">
        <f t="shared" si="157"/>
        <v/>
      </c>
      <c r="W318" s="238" t="e">
        <f t="shared" si="170"/>
        <v>#N/A</v>
      </c>
      <c r="X318" s="238" t="e">
        <f t="shared" si="158"/>
        <v>#N/A</v>
      </c>
      <c r="Y318" s="238" t="e">
        <f t="shared" si="159"/>
        <v>#N/A</v>
      </c>
      <c r="AA318" s="1133">
        <v>494.49601400603768</v>
      </c>
      <c r="AB318" s="1133">
        <v>517.68394231792342</v>
      </c>
      <c r="AC318" s="1133">
        <v>540.87187062980922</v>
      </c>
      <c r="AD318" s="89"/>
      <c r="AE318" s="89"/>
      <c r="AF318" s="89"/>
      <c r="AG318" s="89"/>
      <c r="AH318" s="89"/>
      <c r="AI318" s="89"/>
      <c r="AJ318" s="89"/>
      <c r="AK318" s="89"/>
      <c r="AL318" s="89"/>
      <c r="AM318" s="89"/>
      <c r="AN318" s="89"/>
      <c r="BR318" s="180">
        <v>2032</v>
      </c>
      <c r="BS318" s="22">
        <v>18</v>
      </c>
      <c r="BT318" s="198" t="e">
        <f t="shared" si="171"/>
        <v>#DIV/0!</v>
      </c>
      <c r="BU318" s="276" t="e">
        <f t="shared" si="172"/>
        <v>#DIV/0!</v>
      </c>
      <c r="BV318" s="205" t="e">
        <f t="shared" si="173"/>
        <v>#DIV/0!</v>
      </c>
      <c r="BY318" s="180">
        <v>2032</v>
      </c>
      <c r="BZ318" s="22">
        <v>18</v>
      </c>
      <c r="CA318" s="198" t="e">
        <f t="shared" ca="1" si="174"/>
        <v>#REF!</v>
      </c>
      <c r="CB318" s="198" t="e">
        <f t="shared" ca="1" si="175"/>
        <v>#REF!</v>
      </c>
      <c r="CC318" s="276" t="e">
        <f t="shared" ca="1" si="186"/>
        <v>#REF!</v>
      </c>
      <c r="CD318" s="205" t="e">
        <f t="shared" ca="1" si="176"/>
        <v>#REF!</v>
      </c>
      <c r="CG318" s="180">
        <v>2032</v>
      </c>
      <c r="CH318" s="22">
        <v>18</v>
      </c>
      <c r="CI318" s="198" t="e">
        <f t="shared" ca="1" si="177"/>
        <v>#REF!</v>
      </c>
      <c r="CJ318" s="198" t="e">
        <f t="shared" ca="1" si="178"/>
        <v>#REF!</v>
      </c>
      <c r="CK318" s="198" t="e">
        <f t="shared" ca="1" si="179"/>
        <v>#REF!</v>
      </c>
      <c r="CL318" s="276" t="e">
        <f t="shared" ca="1" si="180"/>
        <v>#REF!</v>
      </c>
      <c r="CM318" s="205" t="e">
        <f t="shared" ca="1" si="181"/>
        <v>#REF!</v>
      </c>
      <c r="CP318" s="180">
        <v>2032</v>
      </c>
      <c r="CQ318" s="22">
        <v>18</v>
      </c>
      <c r="CR318" s="198" t="e">
        <f t="shared" ca="1" si="182"/>
        <v>#REF!</v>
      </c>
      <c r="CS318" s="276" t="e">
        <f t="shared" ca="1" si="183"/>
        <v>#REF!</v>
      </c>
      <c r="CT318" s="205" t="e">
        <f t="shared" ca="1" si="184"/>
        <v>#REF!</v>
      </c>
      <c r="CZ318" s="164" t="b">
        <f t="shared" si="160"/>
        <v>0</v>
      </c>
      <c r="DA318" s="165" t="b">
        <f t="shared" si="160"/>
        <v>0</v>
      </c>
      <c r="DB318" s="166" t="b">
        <f t="shared" si="160"/>
        <v>0</v>
      </c>
      <c r="DC318" s="164" t="str">
        <f t="shared" si="161"/>
        <v/>
      </c>
      <c r="DD318" s="166" t="str">
        <f t="shared" si="162"/>
        <v/>
      </c>
      <c r="DE318" s="164" t="str">
        <f t="shared" si="163"/>
        <v/>
      </c>
      <c r="DF318" s="166" t="str">
        <f t="shared" si="164"/>
        <v/>
      </c>
      <c r="DG318" s="164" t="str">
        <f t="shared" si="165"/>
        <v/>
      </c>
      <c r="DH318" s="166" t="str">
        <f t="shared" si="166"/>
        <v/>
      </c>
      <c r="DI318" s="164" t="str">
        <f>IFERROR(INDEX(DC$296:DC$344,_xlfn.AGGREGATE(15,6,(ROW(DC$296:DC$344)-ROW(DC$296)+1)/(DC$296:DC$344&lt;&gt;""),ROWS(DI$1:DI23))),"")</f>
        <v/>
      </c>
      <c r="DJ318" s="165" t="str">
        <f>IFERROR(INDEX(DD$296:DD$344,_xlfn.AGGREGATE(15,6,(ROW(DD$296:DD$344)-ROW(DD$296)+1)/(DD$296:DD$344&lt;&gt;""),ROWS(DJ$1:DJ23))),"")</f>
        <v/>
      </c>
      <c r="DK318" s="166" t="str">
        <f t="shared" si="167"/>
        <v/>
      </c>
      <c r="DL318" s="164" t="str">
        <f>IFERROR(INDEX(DE$296:DE$344,_xlfn.AGGREGATE(15,6,(ROW(DE$296:DE$344)-ROW(DE$296)+1)/(DE$296:DE$344&lt;&gt;""),ROWS(DL$1:DL23))),"")</f>
        <v/>
      </c>
      <c r="DM318" s="165" t="str">
        <f>IFERROR(INDEX(DF$296:DF$344,_xlfn.AGGREGATE(15,6,(ROW(DF$296:DF$344)-ROW(DF$296)+1)/(DF$296:DF$344&lt;&gt;""),ROWS(DM$1:DM23))),"")</f>
        <v/>
      </c>
      <c r="DN318" s="166" t="str">
        <f t="shared" si="168"/>
        <v/>
      </c>
      <c r="DO318" s="164" t="str">
        <f>IFERROR(INDEX(DG$296:DG$344,_xlfn.AGGREGATE(15,6,(ROW(DG$296:DG$344)-ROW(DG$296)+1)/(DG$296:DG$344&lt;&gt;""),ROWS(DO$1:DO23))),"")</f>
        <v/>
      </c>
      <c r="DP318" s="165" t="str">
        <f>IFERROR(INDEX(DH$296:DH$344,_xlfn.AGGREGATE(15,6,(ROW(DH$296:DH$344)-ROW(DH$296)+1)/(DH$296:DH$344&lt;&gt;""),ROWS(DP$1:DP23))),"")</f>
        <v/>
      </c>
      <c r="DQ318" s="166" t="str">
        <f t="shared" si="169"/>
        <v/>
      </c>
      <c r="DV318" s="145">
        <v>2037</v>
      </c>
      <c r="DW318" s="235" t="e">
        <f t="shared" ca="1" si="154"/>
        <v>#REF!</v>
      </c>
    </row>
    <row r="319" spans="1:135" ht="13.8" x14ac:dyDescent="0.45">
      <c r="B319" s="128">
        <v>2035</v>
      </c>
      <c r="C319" s="1070"/>
      <c r="D319" s="1050"/>
      <c r="E319" s="1069"/>
      <c r="F319" s="1075"/>
      <c r="G319" s="1052"/>
      <c r="H319" s="1036"/>
      <c r="I319" s="1112"/>
      <c r="J319" s="247"/>
      <c r="K319" s="245"/>
      <c r="L319" s="246"/>
      <c r="M319" s="245"/>
      <c r="N319" s="29" t="s">
        <v>119</v>
      </c>
      <c r="O319" s="120"/>
      <c r="P319" s="120"/>
      <c r="Q319" s="120"/>
      <c r="R319" s="29">
        <v>21</v>
      </c>
      <c r="S319" s="238" t="str">
        <f t="shared" si="155"/>
        <v/>
      </c>
      <c r="T319" s="238" t="str">
        <f t="shared" si="156"/>
        <v/>
      </c>
      <c r="U319" s="238" t="str">
        <f t="shared" si="157"/>
        <v/>
      </c>
      <c r="W319" s="238" t="e">
        <f t="shared" si="170"/>
        <v>#N/A</v>
      </c>
      <c r="X319" s="238" t="e">
        <f t="shared" si="158"/>
        <v>#N/A</v>
      </c>
      <c r="Y319" s="238" t="e">
        <f t="shared" si="159"/>
        <v>#N/A</v>
      </c>
      <c r="AA319" s="1133">
        <v>509.20999268160148</v>
      </c>
      <c r="AB319" s="1133">
        <v>531.63511115357085</v>
      </c>
      <c r="AC319" s="1133">
        <v>554.06022962554016</v>
      </c>
      <c r="AD319" s="89"/>
      <c r="AE319" s="89"/>
      <c r="AF319" s="89"/>
      <c r="AG319" s="89"/>
      <c r="AH319" s="89"/>
      <c r="AI319" s="89"/>
      <c r="AJ319" s="89"/>
      <c r="AK319" s="89"/>
      <c r="AL319" s="89"/>
      <c r="AM319" s="89"/>
      <c r="AN319" s="89"/>
      <c r="BR319" s="180">
        <v>2033</v>
      </c>
      <c r="BS319" s="22">
        <v>19</v>
      </c>
      <c r="BT319" s="198" t="e">
        <f t="shared" si="171"/>
        <v>#DIV/0!</v>
      </c>
      <c r="BU319" s="276" t="e">
        <f t="shared" si="172"/>
        <v>#DIV/0!</v>
      </c>
      <c r="BV319" s="205" t="e">
        <f t="shared" si="173"/>
        <v>#DIV/0!</v>
      </c>
      <c r="BY319" s="180">
        <v>2033</v>
      </c>
      <c r="BZ319" s="22">
        <v>19</v>
      </c>
      <c r="CA319" s="198" t="e">
        <f t="shared" ca="1" si="174"/>
        <v>#REF!</v>
      </c>
      <c r="CB319" s="198" t="e">
        <f t="shared" ca="1" si="175"/>
        <v>#REF!</v>
      </c>
      <c r="CC319" s="276" t="e">
        <f t="shared" ca="1" si="186"/>
        <v>#REF!</v>
      </c>
      <c r="CD319" s="205" t="e">
        <f t="shared" ca="1" si="176"/>
        <v>#REF!</v>
      </c>
      <c r="CG319" s="180">
        <v>2033</v>
      </c>
      <c r="CH319" s="22">
        <v>19</v>
      </c>
      <c r="CI319" s="198" t="e">
        <f t="shared" ca="1" si="177"/>
        <v>#REF!</v>
      </c>
      <c r="CJ319" s="198" t="e">
        <f t="shared" ca="1" si="178"/>
        <v>#REF!</v>
      </c>
      <c r="CK319" s="198" t="e">
        <f t="shared" ca="1" si="179"/>
        <v>#REF!</v>
      </c>
      <c r="CL319" s="276" t="e">
        <f t="shared" ca="1" si="180"/>
        <v>#REF!</v>
      </c>
      <c r="CM319" s="205" t="e">
        <f t="shared" ca="1" si="181"/>
        <v>#REF!</v>
      </c>
      <c r="CP319" s="180">
        <v>2033</v>
      </c>
      <c r="CQ319" s="22">
        <v>19</v>
      </c>
      <c r="CR319" s="198" t="e">
        <f t="shared" ca="1" si="182"/>
        <v>#REF!</v>
      </c>
      <c r="CS319" s="276" t="e">
        <f t="shared" ca="1" si="183"/>
        <v>#REF!</v>
      </c>
      <c r="CT319" s="205" t="e">
        <f t="shared" ca="1" si="184"/>
        <v>#REF!</v>
      </c>
      <c r="CZ319" s="164" t="b">
        <f t="shared" si="160"/>
        <v>0</v>
      </c>
      <c r="DA319" s="165" t="b">
        <f t="shared" si="160"/>
        <v>0</v>
      </c>
      <c r="DB319" s="166" t="b">
        <f t="shared" si="160"/>
        <v>0</v>
      </c>
      <c r="DC319" s="164" t="str">
        <f t="shared" si="161"/>
        <v/>
      </c>
      <c r="DD319" s="166" t="str">
        <f t="shared" si="162"/>
        <v/>
      </c>
      <c r="DE319" s="164" t="str">
        <f t="shared" si="163"/>
        <v/>
      </c>
      <c r="DF319" s="166" t="str">
        <f t="shared" si="164"/>
        <v/>
      </c>
      <c r="DG319" s="164" t="str">
        <f t="shared" si="165"/>
        <v/>
      </c>
      <c r="DH319" s="166" t="str">
        <f t="shared" si="166"/>
        <v/>
      </c>
      <c r="DI319" s="164" t="str">
        <f>IFERROR(INDEX(DC$296:DC$344,_xlfn.AGGREGATE(15,6,(ROW(DC$296:DC$344)-ROW(DC$296)+1)/(DC$296:DC$344&lt;&gt;""),ROWS(DI$1:DI24))),"")</f>
        <v/>
      </c>
      <c r="DJ319" s="165" t="str">
        <f>IFERROR(INDEX(DD$296:DD$344,_xlfn.AGGREGATE(15,6,(ROW(DD$296:DD$344)-ROW(DD$296)+1)/(DD$296:DD$344&lt;&gt;""),ROWS(DJ$1:DJ24))),"")</f>
        <v/>
      </c>
      <c r="DK319" s="166" t="str">
        <f t="shared" si="167"/>
        <v/>
      </c>
      <c r="DL319" s="164" t="str">
        <f>IFERROR(INDEX(DE$296:DE$344,_xlfn.AGGREGATE(15,6,(ROW(DE$296:DE$344)-ROW(DE$296)+1)/(DE$296:DE$344&lt;&gt;""),ROWS(DL$1:DL24))),"")</f>
        <v/>
      </c>
      <c r="DM319" s="165" t="str">
        <f>IFERROR(INDEX(DF$296:DF$344,_xlfn.AGGREGATE(15,6,(ROW(DF$296:DF$344)-ROW(DF$296)+1)/(DF$296:DF$344&lt;&gt;""),ROWS(DM$1:DM24))),"")</f>
        <v/>
      </c>
      <c r="DN319" s="166" t="str">
        <f t="shared" si="168"/>
        <v/>
      </c>
      <c r="DO319" s="164" t="str">
        <f>IFERROR(INDEX(DG$296:DG$344,_xlfn.AGGREGATE(15,6,(ROW(DG$296:DG$344)-ROW(DG$296)+1)/(DG$296:DG$344&lt;&gt;""),ROWS(DO$1:DO24))),"")</f>
        <v/>
      </c>
      <c r="DP319" s="165" t="str">
        <f>IFERROR(INDEX(DH$296:DH$344,_xlfn.AGGREGATE(15,6,(ROW(DH$296:DH$344)-ROW(DH$296)+1)/(DH$296:DH$344&lt;&gt;""),ROWS(DP$1:DP24))),"")</f>
        <v/>
      </c>
      <c r="DQ319" s="166" t="str">
        <f t="shared" si="169"/>
        <v/>
      </c>
      <c r="DV319" s="145">
        <v>2038</v>
      </c>
      <c r="DW319" s="235" t="e">
        <f t="shared" ca="1" si="154"/>
        <v>#REF!</v>
      </c>
    </row>
    <row r="320" spans="1:135" ht="13.8" x14ac:dyDescent="0.45">
      <c r="B320" s="128">
        <v>2036</v>
      </c>
      <c r="C320" s="1070"/>
      <c r="D320" s="1050"/>
      <c r="E320" s="1069"/>
      <c r="F320" s="1075"/>
      <c r="G320" s="1052"/>
      <c r="H320" s="1036"/>
      <c r="I320" s="1112"/>
      <c r="J320" s="247"/>
      <c r="K320" s="245"/>
      <c r="L320" s="246"/>
      <c r="M320" s="245"/>
      <c r="N320" s="29" t="s">
        <v>119</v>
      </c>
      <c r="O320" s="120"/>
      <c r="P320" s="120"/>
      <c r="Q320" s="120"/>
      <c r="R320" s="29">
        <v>22</v>
      </c>
      <c r="S320" s="238" t="str">
        <f t="shared" si="155"/>
        <v/>
      </c>
      <c r="T320" s="238" t="str">
        <f t="shared" si="156"/>
        <v/>
      </c>
      <c r="U320" s="238" t="str">
        <f t="shared" si="157"/>
        <v/>
      </c>
      <c r="W320" s="238" t="e">
        <f t="shared" si="170"/>
        <v>#N/A</v>
      </c>
      <c r="X320" s="238" t="e">
        <f t="shared" si="158"/>
        <v>#N/A</v>
      </c>
      <c r="Y320" s="238" t="e">
        <f t="shared" si="159"/>
        <v>#N/A</v>
      </c>
      <c r="AA320" s="1133">
        <v>525.94558283668437</v>
      </c>
      <c r="AB320" s="1133">
        <v>546.48345974309211</v>
      </c>
      <c r="AC320" s="1133">
        <v>567.02133664949986</v>
      </c>
      <c r="AD320" s="89"/>
      <c r="AE320" s="89"/>
      <c r="AF320" s="89"/>
      <c r="AG320" s="89"/>
      <c r="AH320" s="89"/>
      <c r="AI320" s="89"/>
      <c r="AJ320" s="89"/>
      <c r="AK320" s="89"/>
      <c r="AL320" s="89"/>
      <c r="AM320" s="89"/>
      <c r="AN320" s="89"/>
      <c r="BR320" s="180">
        <v>2034</v>
      </c>
      <c r="BS320" s="22">
        <v>20</v>
      </c>
      <c r="BT320" s="198" t="e">
        <f t="shared" si="171"/>
        <v>#DIV/0!</v>
      </c>
      <c r="BU320" s="276" t="e">
        <f t="shared" si="172"/>
        <v>#DIV/0!</v>
      </c>
      <c r="BV320" s="205" t="e">
        <f t="shared" si="173"/>
        <v>#DIV/0!</v>
      </c>
      <c r="BY320" s="180">
        <v>2034</v>
      </c>
      <c r="BZ320" s="22">
        <v>20</v>
      </c>
      <c r="CA320" s="198" t="e">
        <f t="shared" ca="1" si="174"/>
        <v>#REF!</v>
      </c>
      <c r="CB320" s="198" t="e">
        <f t="shared" ca="1" si="175"/>
        <v>#REF!</v>
      </c>
      <c r="CC320" s="276" t="e">
        <f t="shared" ca="1" si="186"/>
        <v>#REF!</v>
      </c>
      <c r="CD320" s="205" t="e">
        <f t="shared" ca="1" si="176"/>
        <v>#REF!</v>
      </c>
      <c r="CG320" s="180">
        <v>2034</v>
      </c>
      <c r="CH320" s="22">
        <v>20</v>
      </c>
      <c r="CI320" s="198" t="e">
        <f t="shared" ca="1" si="177"/>
        <v>#REF!</v>
      </c>
      <c r="CJ320" s="198" t="e">
        <f t="shared" ca="1" si="178"/>
        <v>#REF!</v>
      </c>
      <c r="CK320" s="198" t="e">
        <f t="shared" ca="1" si="179"/>
        <v>#REF!</v>
      </c>
      <c r="CL320" s="276" t="e">
        <f t="shared" ca="1" si="180"/>
        <v>#REF!</v>
      </c>
      <c r="CM320" s="205" t="e">
        <f t="shared" ca="1" si="181"/>
        <v>#REF!</v>
      </c>
      <c r="CP320" s="180">
        <v>2034</v>
      </c>
      <c r="CQ320" s="22">
        <v>20</v>
      </c>
      <c r="CR320" s="198" t="e">
        <f t="shared" ca="1" si="182"/>
        <v>#REF!</v>
      </c>
      <c r="CS320" s="276" t="e">
        <f t="shared" ca="1" si="183"/>
        <v>#REF!</v>
      </c>
      <c r="CT320" s="205" t="e">
        <f t="shared" ca="1" si="184"/>
        <v>#REF!</v>
      </c>
      <c r="CZ320" s="164" t="b">
        <f t="shared" si="160"/>
        <v>0</v>
      </c>
      <c r="DA320" s="165" t="b">
        <f t="shared" si="160"/>
        <v>0</v>
      </c>
      <c r="DB320" s="166" t="b">
        <f t="shared" si="160"/>
        <v>0</v>
      </c>
      <c r="DC320" s="164" t="str">
        <f t="shared" si="161"/>
        <v/>
      </c>
      <c r="DD320" s="166" t="str">
        <f t="shared" si="162"/>
        <v/>
      </c>
      <c r="DE320" s="164" t="str">
        <f t="shared" si="163"/>
        <v/>
      </c>
      <c r="DF320" s="166" t="str">
        <f t="shared" si="164"/>
        <v/>
      </c>
      <c r="DG320" s="164" t="str">
        <f t="shared" si="165"/>
        <v/>
      </c>
      <c r="DH320" s="166" t="str">
        <f t="shared" si="166"/>
        <v/>
      </c>
      <c r="DI320" s="164" t="str">
        <f>IFERROR(INDEX(DC$296:DC$344,_xlfn.AGGREGATE(15,6,(ROW(DC$296:DC$344)-ROW(DC$296)+1)/(DC$296:DC$344&lt;&gt;""),ROWS(DI$1:DI25))),"")</f>
        <v/>
      </c>
      <c r="DJ320" s="165" t="str">
        <f>IFERROR(INDEX(DD$296:DD$344,_xlfn.AGGREGATE(15,6,(ROW(DD$296:DD$344)-ROW(DD$296)+1)/(DD$296:DD$344&lt;&gt;""),ROWS(DJ$1:DJ25))),"")</f>
        <v/>
      </c>
      <c r="DK320" s="166" t="str">
        <f t="shared" si="167"/>
        <v/>
      </c>
      <c r="DL320" s="164" t="str">
        <f>IFERROR(INDEX(DE$296:DE$344,_xlfn.AGGREGATE(15,6,(ROW(DE$296:DE$344)-ROW(DE$296)+1)/(DE$296:DE$344&lt;&gt;""),ROWS(DL$1:DL25))),"")</f>
        <v/>
      </c>
      <c r="DM320" s="165" t="str">
        <f>IFERROR(INDEX(DF$296:DF$344,_xlfn.AGGREGATE(15,6,(ROW(DF$296:DF$344)-ROW(DF$296)+1)/(DF$296:DF$344&lt;&gt;""),ROWS(DM$1:DM25))),"")</f>
        <v/>
      </c>
      <c r="DN320" s="166" t="str">
        <f t="shared" si="168"/>
        <v/>
      </c>
      <c r="DO320" s="164" t="str">
        <f>IFERROR(INDEX(DG$296:DG$344,_xlfn.AGGREGATE(15,6,(ROW(DG$296:DG$344)-ROW(DG$296)+1)/(DG$296:DG$344&lt;&gt;""),ROWS(DO$1:DO25))),"")</f>
        <v/>
      </c>
      <c r="DP320" s="165" t="str">
        <f>IFERROR(INDEX(DH$296:DH$344,_xlfn.AGGREGATE(15,6,(ROW(DH$296:DH$344)-ROW(DH$296)+1)/(DH$296:DH$344&lt;&gt;""),ROWS(DP$1:DP25))),"")</f>
        <v/>
      </c>
      <c r="DQ320" s="166" t="str">
        <f t="shared" si="169"/>
        <v/>
      </c>
      <c r="DV320" s="145">
        <v>2039</v>
      </c>
      <c r="DW320" s="235" t="e">
        <f t="shared" ca="1" si="154"/>
        <v>#REF!</v>
      </c>
    </row>
    <row r="321" spans="2:135" ht="13.8" x14ac:dyDescent="0.45">
      <c r="B321" s="128">
        <v>2037</v>
      </c>
      <c r="C321" s="1070"/>
      <c r="D321" s="1050"/>
      <c r="E321" s="1069"/>
      <c r="F321" s="1075"/>
      <c r="G321" s="1052"/>
      <c r="H321" s="1036"/>
      <c r="I321" s="1112"/>
      <c r="J321" s="247"/>
      <c r="K321" s="245"/>
      <c r="L321" s="246"/>
      <c r="M321" s="245"/>
      <c r="N321" s="29" t="s">
        <v>119</v>
      </c>
      <c r="O321" s="120"/>
      <c r="P321" s="120"/>
      <c r="Q321" s="120"/>
      <c r="R321" s="29">
        <v>23</v>
      </c>
      <c r="S321" s="238" t="str">
        <f t="shared" si="155"/>
        <v/>
      </c>
      <c r="T321" s="238" t="str">
        <f t="shared" si="156"/>
        <v/>
      </c>
      <c r="U321" s="238" t="str">
        <f t="shared" si="157"/>
        <v/>
      </c>
      <c r="W321" s="238" t="e">
        <f t="shared" si="170"/>
        <v>#N/A</v>
      </c>
      <c r="X321" s="238" t="e">
        <f t="shared" si="158"/>
        <v>#N/A</v>
      </c>
      <c r="Y321" s="238" t="e">
        <f t="shared" si="159"/>
        <v>#N/A</v>
      </c>
      <c r="AA321" s="1133">
        <v>541.99854000624953</v>
      </c>
      <c r="AB321" s="1133">
        <v>561.11811845006946</v>
      </c>
      <c r="AC321" s="1133">
        <v>580.23769689388939</v>
      </c>
      <c r="AD321" s="89"/>
      <c r="AE321" s="89"/>
      <c r="AF321" s="89"/>
      <c r="AG321" s="89"/>
      <c r="AH321" s="89"/>
      <c r="AI321" s="89"/>
      <c r="AJ321" s="89"/>
      <c r="AK321" s="89"/>
      <c r="AL321" s="89"/>
      <c r="AM321" s="89"/>
      <c r="AN321" s="89"/>
      <c r="BR321" s="180">
        <v>2035</v>
      </c>
      <c r="BS321" s="22">
        <v>21</v>
      </c>
      <c r="BT321" s="198" t="e">
        <f t="shared" si="171"/>
        <v>#DIV/0!</v>
      </c>
      <c r="BU321" s="276" t="e">
        <f t="shared" si="172"/>
        <v>#DIV/0!</v>
      </c>
      <c r="BV321" s="205" t="e">
        <f t="shared" si="173"/>
        <v>#DIV/0!</v>
      </c>
      <c r="BY321" s="180">
        <v>2035</v>
      </c>
      <c r="BZ321" s="22">
        <v>21</v>
      </c>
      <c r="CA321" s="198" t="e">
        <f t="shared" ca="1" si="174"/>
        <v>#REF!</v>
      </c>
      <c r="CB321" s="198" t="e">
        <f t="shared" ca="1" si="175"/>
        <v>#REF!</v>
      </c>
      <c r="CC321" s="276" t="e">
        <f t="shared" ca="1" si="186"/>
        <v>#REF!</v>
      </c>
      <c r="CD321" s="205" t="e">
        <f t="shared" ca="1" si="176"/>
        <v>#REF!</v>
      </c>
      <c r="CG321" s="180">
        <v>2035</v>
      </c>
      <c r="CH321" s="22">
        <v>21</v>
      </c>
      <c r="CI321" s="198" t="e">
        <f t="shared" ca="1" si="177"/>
        <v>#REF!</v>
      </c>
      <c r="CJ321" s="198" t="e">
        <f t="shared" ca="1" si="178"/>
        <v>#REF!</v>
      </c>
      <c r="CK321" s="198" t="e">
        <f t="shared" ca="1" si="179"/>
        <v>#REF!</v>
      </c>
      <c r="CL321" s="276" t="e">
        <f t="shared" ca="1" si="180"/>
        <v>#REF!</v>
      </c>
      <c r="CM321" s="205" t="e">
        <f t="shared" ca="1" si="181"/>
        <v>#REF!</v>
      </c>
      <c r="CP321" s="180">
        <v>2035</v>
      </c>
      <c r="CQ321" s="22">
        <v>21</v>
      </c>
      <c r="CR321" s="198" t="e">
        <f t="shared" ca="1" si="182"/>
        <v>#REF!</v>
      </c>
      <c r="CS321" s="276" t="e">
        <f t="shared" ca="1" si="183"/>
        <v>#REF!</v>
      </c>
      <c r="CT321" s="205" t="e">
        <f t="shared" ca="1" si="184"/>
        <v>#REF!</v>
      </c>
      <c r="CZ321" s="164" t="b">
        <f t="shared" si="160"/>
        <v>0</v>
      </c>
      <c r="DA321" s="165" t="b">
        <f t="shared" si="160"/>
        <v>0</v>
      </c>
      <c r="DB321" s="166" t="b">
        <f t="shared" si="160"/>
        <v>0</v>
      </c>
      <c r="DC321" s="164" t="str">
        <f t="shared" si="161"/>
        <v/>
      </c>
      <c r="DD321" s="166" t="str">
        <f t="shared" si="162"/>
        <v/>
      </c>
      <c r="DE321" s="164" t="str">
        <f t="shared" si="163"/>
        <v/>
      </c>
      <c r="DF321" s="166" t="str">
        <f t="shared" si="164"/>
        <v/>
      </c>
      <c r="DG321" s="164" t="str">
        <f t="shared" si="165"/>
        <v/>
      </c>
      <c r="DH321" s="166" t="str">
        <f t="shared" si="166"/>
        <v/>
      </c>
      <c r="DI321" s="164" t="str">
        <f>IFERROR(INDEX(DC$296:DC$344,_xlfn.AGGREGATE(15,6,(ROW(DC$296:DC$344)-ROW(DC$296)+1)/(DC$296:DC$344&lt;&gt;""),ROWS(DI$1:DI26))),"")</f>
        <v/>
      </c>
      <c r="DJ321" s="165" t="str">
        <f>IFERROR(INDEX(DD$296:DD$344,_xlfn.AGGREGATE(15,6,(ROW(DD$296:DD$344)-ROW(DD$296)+1)/(DD$296:DD$344&lt;&gt;""),ROWS(DJ$1:DJ26))),"")</f>
        <v/>
      </c>
      <c r="DK321" s="166" t="str">
        <f t="shared" si="167"/>
        <v/>
      </c>
      <c r="DL321" s="164" t="str">
        <f>IFERROR(INDEX(DE$296:DE$344,_xlfn.AGGREGATE(15,6,(ROW(DE$296:DE$344)-ROW(DE$296)+1)/(DE$296:DE$344&lt;&gt;""),ROWS(DL$1:DL26))),"")</f>
        <v/>
      </c>
      <c r="DM321" s="165" t="str">
        <f>IFERROR(INDEX(DF$296:DF$344,_xlfn.AGGREGATE(15,6,(ROW(DF$296:DF$344)-ROW(DF$296)+1)/(DF$296:DF$344&lt;&gt;""),ROWS(DM$1:DM26))),"")</f>
        <v/>
      </c>
      <c r="DN321" s="166" t="str">
        <f t="shared" si="168"/>
        <v/>
      </c>
      <c r="DO321" s="164" t="str">
        <f>IFERROR(INDEX(DG$296:DG$344,_xlfn.AGGREGATE(15,6,(ROW(DG$296:DG$344)-ROW(DG$296)+1)/(DG$296:DG$344&lt;&gt;""),ROWS(DO$1:DO26))),"")</f>
        <v/>
      </c>
      <c r="DP321" s="165" t="str">
        <f>IFERROR(INDEX(DH$296:DH$344,_xlfn.AGGREGATE(15,6,(ROW(DH$296:DH$344)-ROW(DH$296)+1)/(DH$296:DH$344&lt;&gt;""),ROWS(DP$1:DP26))),"")</f>
        <v/>
      </c>
      <c r="DQ321" s="166" t="str">
        <f t="shared" si="169"/>
        <v/>
      </c>
      <c r="DV321" s="145">
        <v>2040</v>
      </c>
      <c r="DW321" s="235" t="e">
        <f t="shared" ca="1" si="154"/>
        <v>#REF!</v>
      </c>
    </row>
    <row r="322" spans="2:135" ht="13.8" x14ac:dyDescent="0.45">
      <c r="B322" s="128">
        <v>2038</v>
      </c>
      <c r="C322" s="1070"/>
      <c r="D322" s="1050"/>
      <c r="E322" s="1069"/>
      <c r="F322" s="1075"/>
      <c r="G322" s="1052"/>
      <c r="H322" s="1036"/>
      <c r="I322" s="1112"/>
      <c r="J322" s="247"/>
      <c r="K322" s="245"/>
      <c r="L322" s="246"/>
      <c r="M322" s="245"/>
      <c r="N322" s="29" t="s">
        <v>119</v>
      </c>
      <c r="O322" s="120"/>
      <c r="P322" s="120"/>
      <c r="Q322" s="120"/>
      <c r="R322" s="29">
        <v>24</v>
      </c>
      <c r="S322" s="238" t="str">
        <f t="shared" si="155"/>
        <v/>
      </c>
      <c r="T322" s="238" t="str">
        <f t="shared" si="156"/>
        <v/>
      </c>
      <c r="U322" s="238" t="str">
        <f t="shared" si="157"/>
        <v/>
      </c>
      <c r="W322" s="238" t="e">
        <f t="shared" si="170"/>
        <v>#N/A</v>
      </c>
      <c r="X322" s="238" t="e">
        <f t="shared" si="158"/>
        <v>#N/A</v>
      </c>
      <c r="Y322" s="238" t="e">
        <f t="shared" si="159"/>
        <v>#N/A</v>
      </c>
      <c r="AA322" s="1133">
        <v>558.28945383845883</v>
      </c>
      <c r="AB322" s="1133">
        <v>575.92958531519014</v>
      </c>
      <c r="AC322" s="1133">
        <v>593.56971679192145</v>
      </c>
      <c r="AD322" s="89"/>
      <c r="AE322" s="89"/>
      <c r="AF322" s="89"/>
      <c r="AG322" s="89"/>
      <c r="AH322" s="89"/>
      <c r="AI322" s="89"/>
      <c r="AJ322" s="89"/>
      <c r="AK322" s="89"/>
      <c r="AL322" s="89"/>
      <c r="AM322" s="89"/>
      <c r="AN322" s="89"/>
      <c r="BR322" s="180">
        <v>2036</v>
      </c>
      <c r="BS322" s="22">
        <v>22</v>
      </c>
      <c r="BT322" s="198" t="e">
        <f t="shared" si="171"/>
        <v>#DIV/0!</v>
      </c>
      <c r="BU322" s="276" t="e">
        <f t="shared" si="172"/>
        <v>#DIV/0!</v>
      </c>
      <c r="BV322" s="205" t="e">
        <f t="shared" si="173"/>
        <v>#DIV/0!</v>
      </c>
      <c r="BY322" s="180">
        <v>2036</v>
      </c>
      <c r="BZ322" s="22">
        <v>22</v>
      </c>
      <c r="CA322" s="198" t="e">
        <f t="shared" ca="1" si="174"/>
        <v>#REF!</v>
      </c>
      <c r="CB322" s="198" t="e">
        <f t="shared" ca="1" si="175"/>
        <v>#REF!</v>
      </c>
      <c r="CC322" s="276" t="e">
        <f t="shared" ca="1" si="186"/>
        <v>#REF!</v>
      </c>
      <c r="CD322" s="205" t="e">
        <f t="shared" ca="1" si="176"/>
        <v>#REF!</v>
      </c>
      <c r="CG322" s="180">
        <v>2036</v>
      </c>
      <c r="CH322" s="22">
        <v>22</v>
      </c>
      <c r="CI322" s="198" t="e">
        <f t="shared" ca="1" si="177"/>
        <v>#REF!</v>
      </c>
      <c r="CJ322" s="198" t="e">
        <f t="shared" ca="1" si="178"/>
        <v>#REF!</v>
      </c>
      <c r="CK322" s="198" t="e">
        <f t="shared" ca="1" si="179"/>
        <v>#REF!</v>
      </c>
      <c r="CL322" s="276" t="e">
        <f t="shared" ca="1" si="180"/>
        <v>#REF!</v>
      </c>
      <c r="CM322" s="205" t="e">
        <f t="shared" ca="1" si="181"/>
        <v>#REF!</v>
      </c>
      <c r="CP322" s="180">
        <v>2036</v>
      </c>
      <c r="CQ322" s="22">
        <v>22</v>
      </c>
      <c r="CR322" s="198" t="e">
        <f t="shared" ca="1" si="182"/>
        <v>#REF!</v>
      </c>
      <c r="CS322" s="276" t="e">
        <f t="shared" ca="1" si="183"/>
        <v>#REF!</v>
      </c>
      <c r="CT322" s="205" t="e">
        <f t="shared" ca="1" si="184"/>
        <v>#REF!</v>
      </c>
      <c r="CZ322" s="164" t="b">
        <f t="shared" si="160"/>
        <v>0</v>
      </c>
      <c r="DA322" s="165" t="b">
        <f t="shared" si="160"/>
        <v>0</v>
      </c>
      <c r="DB322" s="166" t="b">
        <f t="shared" si="160"/>
        <v>0</v>
      </c>
      <c r="DC322" s="164" t="str">
        <f t="shared" si="161"/>
        <v/>
      </c>
      <c r="DD322" s="166" t="str">
        <f t="shared" si="162"/>
        <v/>
      </c>
      <c r="DE322" s="164" t="str">
        <f t="shared" si="163"/>
        <v/>
      </c>
      <c r="DF322" s="166" t="str">
        <f t="shared" si="164"/>
        <v/>
      </c>
      <c r="DG322" s="164" t="str">
        <f t="shared" si="165"/>
        <v/>
      </c>
      <c r="DH322" s="166" t="str">
        <f t="shared" si="166"/>
        <v/>
      </c>
      <c r="DI322" s="164" t="str">
        <f>IFERROR(INDEX(DC$296:DC$344,_xlfn.AGGREGATE(15,6,(ROW(DC$296:DC$344)-ROW(DC$296)+1)/(DC$296:DC$344&lt;&gt;""),ROWS(DI$1:DI27))),"")</f>
        <v/>
      </c>
      <c r="DJ322" s="165" t="str">
        <f>IFERROR(INDEX(DD$296:DD$344,_xlfn.AGGREGATE(15,6,(ROW(DD$296:DD$344)-ROW(DD$296)+1)/(DD$296:DD$344&lt;&gt;""),ROWS(DJ$1:DJ27))),"")</f>
        <v/>
      </c>
      <c r="DK322" s="166" t="str">
        <f t="shared" si="167"/>
        <v/>
      </c>
      <c r="DL322" s="164" t="str">
        <f>IFERROR(INDEX(DE$296:DE$344,_xlfn.AGGREGATE(15,6,(ROW(DE$296:DE$344)-ROW(DE$296)+1)/(DE$296:DE$344&lt;&gt;""),ROWS(DL$1:DL27))),"")</f>
        <v/>
      </c>
      <c r="DM322" s="165" t="str">
        <f>IFERROR(INDEX(DF$296:DF$344,_xlfn.AGGREGATE(15,6,(ROW(DF$296:DF$344)-ROW(DF$296)+1)/(DF$296:DF$344&lt;&gt;""),ROWS(DM$1:DM27))),"")</f>
        <v/>
      </c>
      <c r="DN322" s="166" t="str">
        <f t="shared" si="168"/>
        <v/>
      </c>
      <c r="DO322" s="164" t="str">
        <f>IFERROR(INDEX(DG$296:DG$344,_xlfn.AGGREGATE(15,6,(ROW(DG$296:DG$344)-ROW(DG$296)+1)/(DG$296:DG$344&lt;&gt;""),ROWS(DO$1:DO27))),"")</f>
        <v/>
      </c>
      <c r="DP322" s="165" t="str">
        <f>IFERROR(INDEX(DH$296:DH$344,_xlfn.AGGREGATE(15,6,(ROW(DH$296:DH$344)-ROW(DH$296)+1)/(DH$296:DH$344&lt;&gt;""),ROWS(DP$1:DP27))),"")</f>
        <v/>
      </c>
      <c r="DQ322" s="166" t="str">
        <f t="shared" si="169"/>
        <v/>
      </c>
      <c r="DV322" s="145">
        <v>2041</v>
      </c>
      <c r="DW322" s="235" t="e">
        <f t="shared" ca="1" si="154"/>
        <v>#REF!</v>
      </c>
    </row>
    <row r="323" spans="2:135" ht="13.8" x14ac:dyDescent="0.45">
      <c r="B323" s="128">
        <v>2039</v>
      </c>
      <c r="C323" s="1070"/>
      <c r="D323" s="1050"/>
      <c r="E323" s="1069"/>
      <c r="F323" s="1075"/>
      <c r="G323" s="1052"/>
      <c r="H323" s="1036"/>
      <c r="I323" s="1112"/>
      <c r="J323" s="247"/>
      <c r="K323" s="245"/>
      <c r="L323" s="246"/>
      <c r="M323" s="245"/>
      <c r="N323" s="29" t="s">
        <v>119</v>
      </c>
      <c r="O323" s="120"/>
      <c r="P323" s="120"/>
      <c r="Q323" s="120"/>
      <c r="R323" s="29">
        <v>25</v>
      </c>
      <c r="S323" s="238" t="str">
        <f t="shared" si="155"/>
        <v/>
      </c>
      <c r="T323" s="238" t="str">
        <f t="shared" si="156"/>
        <v/>
      </c>
      <c r="U323" s="238" t="str">
        <f t="shared" si="157"/>
        <v/>
      </c>
      <c r="W323" s="238" t="e">
        <f t="shared" si="170"/>
        <v>#N/A</v>
      </c>
      <c r="X323" s="238" t="e">
        <f t="shared" si="158"/>
        <v>#N/A</v>
      </c>
      <c r="Y323" s="238" t="e">
        <f t="shared" si="159"/>
        <v>#N/A</v>
      </c>
      <c r="AA323" s="1133">
        <v>574.83215625124842</v>
      </c>
      <c r="AB323" s="1133">
        <v>590.93264993697483</v>
      </c>
      <c r="AC323" s="1133">
        <v>607.03314362270123</v>
      </c>
      <c r="AD323" s="89"/>
      <c r="AE323" s="89"/>
      <c r="AF323" s="89"/>
      <c r="AG323" s="89"/>
      <c r="AH323" s="89"/>
      <c r="AI323" s="89"/>
      <c r="AJ323" s="89"/>
      <c r="AK323" s="89"/>
      <c r="AL323" s="89"/>
      <c r="AM323" s="89"/>
      <c r="AN323" s="89"/>
      <c r="BR323" s="180">
        <v>2037</v>
      </c>
      <c r="BS323" s="22">
        <v>23</v>
      </c>
      <c r="BT323" s="198" t="e">
        <f t="shared" si="171"/>
        <v>#DIV/0!</v>
      </c>
      <c r="BU323" s="276" t="e">
        <f t="shared" si="172"/>
        <v>#DIV/0!</v>
      </c>
      <c r="BV323" s="205" t="e">
        <f t="shared" si="173"/>
        <v>#DIV/0!</v>
      </c>
      <c r="BY323" s="180">
        <v>2037</v>
      </c>
      <c r="BZ323" s="22">
        <v>23</v>
      </c>
      <c r="CA323" s="198" t="e">
        <f t="shared" ca="1" si="174"/>
        <v>#REF!</v>
      </c>
      <c r="CB323" s="198" t="e">
        <f t="shared" ca="1" si="175"/>
        <v>#REF!</v>
      </c>
      <c r="CC323" s="276" t="e">
        <f t="shared" ca="1" si="186"/>
        <v>#REF!</v>
      </c>
      <c r="CD323" s="205" t="e">
        <f t="shared" ca="1" si="176"/>
        <v>#REF!</v>
      </c>
      <c r="CG323" s="180">
        <v>2037</v>
      </c>
      <c r="CH323" s="22">
        <v>23</v>
      </c>
      <c r="CI323" s="198" t="e">
        <f t="shared" ca="1" si="177"/>
        <v>#REF!</v>
      </c>
      <c r="CJ323" s="198" t="e">
        <f t="shared" ca="1" si="178"/>
        <v>#REF!</v>
      </c>
      <c r="CK323" s="198" t="e">
        <f t="shared" ca="1" si="179"/>
        <v>#REF!</v>
      </c>
      <c r="CL323" s="276" t="e">
        <f t="shared" ca="1" si="180"/>
        <v>#REF!</v>
      </c>
      <c r="CM323" s="205" t="e">
        <f t="shared" ca="1" si="181"/>
        <v>#REF!</v>
      </c>
      <c r="CP323" s="180">
        <v>2037</v>
      </c>
      <c r="CQ323" s="22">
        <v>23</v>
      </c>
      <c r="CR323" s="198" t="e">
        <f t="shared" ca="1" si="182"/>
        <v>#REF!</v>
      </c>
      <c r="CS323" s="276" t="e">
        <f t="shared" ca="1" si="183"/>
        <v>#REF!</v>
      </c>
      <c r="CT323" s="205" t="e">
        <f t="shared" ca="1" si="184"/>
        <v>#REF!</v>
      </c>
      <c r="CZ323" s="164" t="b">
        <f t="shared" si="160"/>
        <v>0</v>
      </c>
      <c r="DA323" s="165" t="b">
        <f t="shared" si="160"/>
        <v>0</v>
      </c>
      <c r="DB323" s="166" t="b">
        <f t="shared" si="160"/>
        <v>0</v>
      </c>
      <c r="DC323" s="164" t="str">
        <f t="shared" si="161"/>
        <v/>
      </c>
      <c r="DD323" s="166" t="str">
        <f t="shared" si="162"/>
        <v/>
      </c>
      <c r="DE323" s="164" t="str">
        <f t="shared" si="163"/>
        <v/>
      </c>
      <c r="DF323" s="166" t="str">
        <f t="shared" si="164"/>
        <v/>
      </c>
      <c r="DG323" s="164" t="str">
        <f t="shared" si="165"/>
        <v/>
      </c>
      <c r="DH323" s="166" t="str">
        <f t="shared" si="166"/>
        <v/>
      </c>
      <c r="DI323" s="164" t="str">
        <f>IFERROR(INDEX(DC$296:DC$344,_xlfn.AGGREGATE(15,6,(ROW(DC$296:DC$344)-ROW(DC$296)+1)/(DC$296:DC$344&lt;&gt;""),ROWS(DI$1:DI28))),"")</f>
        <v/>
      </c>
      <c r="DJ323" s="165" t="str">
        <f>IFERROR(INDEX(DD$296:DD$344,_xlfn.AGGREGATE(15,6,(ROW(DD$296:DD$344)-ROW(DD$296)+1)/(DD$296:DD$344&lt;&gt;""),ROWS(DJ$1:DJ28))),"")</f>
        <v/>
      </c>
      <c r="DK323" s="166" t="str">
        <f t="shared" si="167"/>
        <v/>
      </c>
      <c r="DL323" s="164" t="str">
        <f>IFERROR(INDEX(DE$296:DE$344,_xlfn.AGGREGATE(15,6,(ROW(DE$296:DE$344)-ROW(DE$296)+1)/(DE$296:DE$344&lt;&gt;""),ROWS(DL$1:DL28))),"")</f>
        <v/>
      </c>
      <c r="DM323" s="165" t="str">
        <f>IFERROR(INDEX(DF$296:DF$344,_xlfn.AGGREGATE(15,6,(ROW(DF$296:DF$344)-ROW(DF$296)+1)/(DF$296:DF$344&lt;&gt;""),ROWS(DM$1:DM28))),"")</f>
        <v/>
      </c>
      <c r="DN323" s="166" t="str">
        <f t="shared" si="168"/>
        <v/>
      </c>
      <c r="DO323" s="164" t="str">
        <f>IFERROR(INDEX(DG$296:DG$344,_xlfn.AGGREGATE(15,6,(ROW(DG$296:DG$344)-ROW(DG$296)+1)/(DG$296:DG$344&lt;&gt;""),ROWS(DO$1:DO28))),"")</f>
        <v/>
      </c>
      <c r="DP323" s="165" t="str">
        <f>IFERROR(INDEX(DH$296:DH$344,_xlfn.AGGREGATE(15,6,(ROW(DH$296:DH$344)-ROW(DH$296)+1)/(DH$296:DH$344&lt;&gt;""),ROWS(DP$1:DP28))),"")</f>
        <v/>
      </c>
      <c r="DQ323" s="166" t="str">
        <f t="shared" si="169"/>
        <v/>
      </c>
      <c r="DV323" s="145">
        <v>2042</v>
      </c>
      <c r="DW323" s="235" t="e">
        <f t="shared" ca="1" si="154"/>
        <v>#REF!</v>
      </c>
    </row>
    <row r="324" spans="2:135" ht="13.8" x14ac:dyDescent="0.45">
      <c r="B324" s="128">
        <v>2040</v>
      </c>
      <c r="C324" s="1070"/>
      <c r="D324" s="1050"/>
      <c r="E324" s="1069"/>
      <c r="F324" s="1075"/>
      <c r="G324" s="1052"/>
      <c r="H324" s="1036"/>
      <c r="I324" s="1112"/>
      <c r="J324" s="247"/>
      <c r="K324" s="245"/>
      <c r="L324" s="246"/>
      <c r="M324" s="245"/>
      <c r="N324" s="29" t="s">
        <v>119</v>
      </c>
      <c r="O324" s="120"/>
      <c r="P324" s="120"/>
      <c r="Q324" s="120"/>
      <c r="R324" s="29">
        <v>26</v>
      </c>
      <c r="S324" s="238" t="str">
        <f t="shared" si="155"/>
        <v/>
      </c>
      <c r="T324" s="238" t="str">
        <f t="shared" si="156"/>
        <v/>
      </c>
      <c r="U324" s="238" t="str">
        <f t="shared" si="157"/>
        <v/>
      </c>
      <c r="W324" s="238" t="e">
        <f t="shared" si="170"/>
        <v>#N/A</v>
      </c>
      <c r="X324" s="238" t="e">
        <f t="shared" si="158"/>
        <v>#N/A</v>
      </c>
      <c r="Y324" s="238" t="e">
        <f t="shared" si="159"/>
        <v>#N/A</v>
      </c>
      <c r="AA324" s="1133">
        <v>589.00770640055384</v>
      </c>
      <c r="AB324" s="1133">
        <v>605.05013855796085</v>
      </c>
      <c r="AC324" s="1133">
        <v>621.09257071536786</v>
      </c>
      <c r="AD324" s="89"/>
      <c r="AE324" s="89"/>
      <c r="AF324" s="89"/>
      <c r="AG324" s="89"/>
      <c r="AH324" s="89"/>
      <c r="AI324" s="89"/>
      <c r="AJ324" s="89"/>
      <c r="AK324" s="89"/>
      <c r="AL324" s="89"/>
      <c r="AM324" s="89"/>
      <c r="AN324" s="89"/>
      <c r="BR324" s="180">
        <v>2038</v>
      </c>
      <c r="BS324" s="22">
        <v>24</v>
      </c>
      <c r="BT324" s="198" t="e">
        <f t="shared" si="171"/>
        <v>#DIV/0!</v>
      </c>
      <c r="BU324" s="276" t="e">
        <f t="shared" si="172"/>
        <v>#DIV/0!</v>
      </c>
      <c r="BV324" s="205" t="e">
        <f t="shared" si="173"/>
        <v>#DIV/0!</v>
      </c>
      <c r="BY324" s="180">
        <v>2038</v>
      </c>
      <c r="BZ324" s="22">
        <v>24</v>
      </c>
      <c r="CA324" s="198" t="e">
        <f t="shared" ca="1" si="174"/>
        <v>#REF!</v>
      </c>
      <c r="CB324" s="198" t="e">
        <f t="shared" ca="1" si="175"/>
        <v>#REF!</v>
      </c>
      <c r="CC324" s="276" t="e">
        <f t="shared" ca="1" si="186"/>
        <v>#REF!</v>
      </c>
      <c r="CD324" s="205" t="e">
        <f t="shared" ca="1" si="176"/>
        <v>#REF!</v>
      </c>
      <c r="CG324" s="180">
        <v>2038</v>
      </c>
      <c r="CH324" s="22">
        <v>24</v>
      </c>
      <c r="CI324" s="198" t="e">
        <f t="shared" ca="1" si="177"/>
        <v>#REF!</v>
      </c>
      <c r="CJ324" s="198" t="e">
        <f t="shared" ca="1" si="178"/>
        <v>#REF!</v>
      </c>
      <c r="CK324" s="198" t="e">
        <f t="shared" ca="1" si="179"/>
        <v>#REF!</v>
      </c>
      <c r="CL324" s="276" t="e">
        <f t="shared" ca="1" si="180"/>
        <v>#REF!</v>
      </c>
      <c r="CM324" s="205" t="e">
        <f t="shared" ca="1" si="181"/>
        <v>#REF!</v>
      </c>
      <c r="CP324" s="180">
        <v>2038</v>
      </c>
      <c r="CQ324" s="22">
        <v>24</v>
      </c>
      <c r="CR324" s="198" t="e">
        <f t="shared" ca="1" si="182"/>
        <v>#REF!</v>
      </c>
      <c r="CS324" s="276" t="e">
        <f t="shared" ca="1" si="183"/>
        <v>#REF!</v>
      </c>
      <c r="CT324" s="205" t="e">
        <f t="shared" ca="1" si="184"/>
        <v>#REF!</v>
      </c>
      <c r="CZ324" s="164" t="b">
        <f t="shared" si="160"/>
        <v>0</v>
      </c>
      <c r="DA324" s="165" t="b">
        <f t="shared" si="160"/>
        <v>0</v>
      </c>
      <c r="DB324" s="166" t="b">
        <f t="shared" si="160"/>
        <v>0</v>
      </c>
      <c r="DC324" s="164" t="str">
        <f t="shared" si="161"/>
        <v/>
      </c>
      <c r="DD324" s="166" t="str">
        <f t="shared" si="162"/>
        <v/>
      </c>
      <c r="DE324" s="164" t="str">
        <f t="shared" si="163"/>
        <v/>
      </c>
      <c r="DF324" s="166" t="str">
        <f t="shared" si="164"/>
        <v/>
      </c>
      <c r="DG324" s="164" t="str">
        <f t="shared" si="165"/>
        <v/>
      </c>
      <c r="DH324" s="166" t="str">
        <f t="shared" si="166"/>
        <v/>
      </c>
      <c r="DI324" s="164" t="str">
        <f>IFERROR(INDEX(DC$296:DC$344,_xlfn.AGGREGATE(15,6,(ROW(DC$296:DC$344)-ROW(DC$296)+1)/(DC$296:DC$344&lt;&gt;""),ROWS(DI$1:DI29))),"")</f>
        <v/>
      </c>
      <c r="DJ324" s="165" t="str">
        <f>IFERROR(INDEX(DD$296:DD$344,_xlfn.AGGREGATE(15,6,(ROW(DD$296:DD$344)-ROW(DD$296)+1)/(DD$296:DD$344&lt;&gt;""),ROWS(DJ$1:DJ29))),"")</f>
        <v/>
      </c>
      <c r="DK324" s="166" t="str">
        <f t="shared" si="167"/>
        <v/>
      </c>
      <c r="DL324" s="164" t="str">
        <f>IFERROR(INDEX(DE$296:DE$344,_xlfn.AGGREGATE(15,6,(ROW(DE$296:DE$344)-ROW(DE$296)+1)/(DE$296:DE$344&lt;&gt;""),ROWS(DL$1:DL29))),"")</f>
        <v/>
      </c>
      <c r="DM324" s="165" t="str">
        <f>IFERROR(INDEX(DF$296:DF$344,_xlfn.AGGREGATE(15,6,(ROW(DF$296:DF$344)-ROW(DF$296)+1)/(DF$296:DF$344&lt;&gt;""),ROWS(DM$1:DM29))),"")</f>
        <v/>
      </c>
      <c r="DN324" s="166" t="str">
        <f t="shared" si="168"/>
        <v/>
      </c>
      <c r="DO324" s="164" t="str">
        <f>IFERROR(INDEX(DG$296:DG$344,_xlfn.AGGREGATE(15,6,(ROW(DG$296:DG$344)-ROW(DG$296)+1)/(DG$296:DG$344&lt;&gt;""),ROWS(DO$1:DO29))),"")</f>
        <v/>
      </c>
      <c r="DP324" s="165" t="str">
        <f>IFERROR(INDEX(DH$296:DH$344,_xlfn.AGGREGATE(15,6,(ROW(DH$296:DH$344)-ROW(DH$296)+1)/(DH$296:DH$344&lt;&gt;""),ROWS(DP$1:DP29))),"")</f>
        <v/>
      </c>
      <c r="DQ324" s="166" t="str">
        <f t="shared" si="169"/>
        <v/>
      </c>
      <c r="DV324" s="145">
        <v>2043</v>
      </c>
      <c r="DW324" s="235" t="e">
        <f t="shared" ca="1" si="154"/>
        <v>#REF!</v>
      </c>
      <c r="EA324" s="55"/>
      <c r="EB324" s="55"/>
      <c r="EC324" s="55"/>
      <c r="ED324" s="55"/>
      <c r="EE324" s="55"/>
    </row>
    <row r="325" spans="2:135" ht="13.8" x14ac:dyDescent="0.45">
      <c r="B325" s="128">
        <v>2041</v>
      </c>
      <c r="C325" s="1070"/>
      <c r="D325" s="1050"/>
      <c r="E325" s="1069"/>
      <c r="F325" s="1075"/>
      <c r="G325" s="1052"/>
      <c r="H325" s="1036"/>
      <c r="I325" s="1112"/>
      <c r="J325" s="247"/>
      <c r="K325" s="245"/>
      <c r="L325" s="246"/>
      <c r="M325" s="245"/>
      <c r="N325" s="29" t="s">
        <v>119</v>
      </c>
      <c r="O325" s="120"/>
      <c r="P325" s="120"/>
      <c r="Q325" s="120"/>
      <c r="R325" s="29">
        <v>27</v>
      </c>
      <c r="S325" s="238" t="str">
        <f t="shared" si="155"/>
        <v/>
      </c>
      <c r="T325" s="238" t="str">
        <f t="shared" si="156"/>
        <v/>
      </c>
      <c r="U325" s="238" t="str">
        <f t="shared" si="157"/>
        <v/>
      </c>
      <c r="W325" s="238" t="e">
        <f t="shared" si="170"/>
        <v>#N/A</v>
      </c>
      <c r="X325" s="238" t="e">
        <f t="shared" si="158"/>
        <v>#N/A</v>
      </c>
      <c r="Y325" s="238" t="e">
        <f t="shared" si="159"/>
        <v>#N/A</v>
      </c>
      <c r="AA325" s="1133">
        <v>608.73426455310562</v>
      </c>
      <c r="AB325" s="1133">
        <v>621.57770527739956</v>
      </c>
      <c r="AC325" s="1133">
        <v>634.4211460016935</v>
      </c>
      <c r="AD325" s="89"/>
      <c r="AE325" s="89"/>
      <c r="AF325" s="89"/>
      <c r="AG325" s="89"/>
      <c r="AH325" s="89"/>
      <c r="AI325" s="89"/>
      <c r="AJ325" s="89"/>
      <c r="AK325" s="89"/>
      <c r="AL325" s="89"/>
      <c r="AM325" s="89"/>
      <c r="AN325" s="89"/>
      <c r="BR325" s="180">
        <v>2039</v>
      </c>
      <c r="BS325" s="22">
        <v>25</v>
      </c>
      <c r="BT325" s="198" t="e">
        <f t="shared" si="171"/>
        <v>#DIV/0!</v>
      </c>
      <c r="BU325" s="276" t="e">
        <f t="shared" si="172"/>
        <v>#DIV/0!</v>
      </c>
      <c r="BV325" s="205" t="e">
        <f t="shared" si="173"/>
        <v>#DIV/0!</v>
      </c>
      <c r="BY325" s="180">
        <v>2039</v>
      </c>
      <c r="BZ325" s="22">
        <v>25</v>
      </c>
      <c r="CA325" s="198" t="e">
        <f t="shared" ca="1" si="174"/>
        <v>#REF!</v>
      </c>
      <c r="CB325" s="198" t="e">
        <f t="shared" ca="1" si="175"/>
        <v>#REF!</v>
      </c>
      <c r="CC325" s="276" t="e">
        <f t="shared" ca="1" si="186"/>
        <v>#REF!</v>
      </c>
      <c r="CD325" s="205" t="e">
        <f t="shared" ca="1" si="176"/>
        <v>#REF!</v>
      </c>
      <c r="CG325" s="180">
        <v>2039</v>
      </c>
      <c r="CH325" s="22">
        <v>25</v>
      </c>
      <c r="CI325" s="198" t="e">
        <f t="shared" ca="1" si="177"/>
        <v>#REF!</v>
      </c>
      <c r="CJ325" s="198" t="e">
        <f t="shared" ca="1" si="178"/>
        <v>#REF!</v>
      </c>
      <c r="CK325" s="198" t="e">
        <f t="shared" ca="1" si="179"/>
        <v>#REF!</v>
      </c>
      <c r="CL325" s="276" t="e">
        <f t="shared" ca="1" si="180"/>
        <v>#REF!</v>
      </c>
      <c r="CM325" s="205" t="e">
        <f t="shared" ca="1" si="181"/>
        <v>#REF!</v>
      </c>
      <c r="CP325" s="180">
        <v>2039</v>
      </c>
      <c r="CQ325" s="22">
        <v>25</v>
      </c>
      <c r="CR325" s="198" t="e">
        <f t="shared" ca="1" si="182"/>
        <v>#REF!</v>
      </c>
      <c r="CS325" s="276" t="e">
        <f t="shared" ca="1" si="183"/>
        <v>#REF!</v>
      </c>
      <c r="CT325" s="205" t="e">
        <f t="shared" ca="1" si="184"/>
        <v>#REF!</v>
      </c>
      <c r="CZ325" s="164" t="b">
        <f t="shared" si="160"/>
        <v>0</v>
      </c>
      <c r="DA325" s="165" t="b">
        <f t="shared" si="160"/>
        <v>0</v>
      </c>
      <c r="DB325" s="166" t="b">
        <f t="shared" si="160"/>
        <v>0</v>
      </c>
      <c r="DC325" s="164" t="str">
        <f t="shared" si="161"/>
        <v/>
      </c>
      <c r="DD325" s="166" t="str">
        <f t="shared" si="162"/>
        <v/>
      </c>
      <c r="DE325" s="164" t="str">
        <f t="shared" si="163"/>
        <v/>
      </c>
      <c r="DF325" s="166" t="str">
        <f t="shared" si="164"/>
        <v/>
      </c>
      <c r="DG325" s="164" t="str">
        <f t="shared" si="165"/>
        <v/>
      </c>
      <c r="DH325" s="166" t="str">
        <f t="shared" si="166"/>
        <v/>
      </c>
      <c r="DI325" s="164" t="str">
        <f>IFERROR(INDEX(DC$296:DC$344,_xlfn.AGGREGATE(15,6,(ROW(DC$296:DC$344)-ROW(DC$296)+1)/(DC$296:DC$344&lt;&gt;""),ROWS(DI$1:DI30))),"")</f>
        <v/>
      </c>
      <c r="DJ325" s="165" t="str">
        <f>IFERROR(INDEX(DD$296:DD$344,_xlfn.AGGREGATE(15,6,(ROW(DD$296:DD$344)-ROW(DD$296)+1)/(DD$296:DD$344&lt;&gt;""),ROWS(DJ$1:DJ30))),"")</f>
        <v/>
      </c>
      <c r="DK325" s="166" t="str">
        <f t="shared" si="167"/>
        <v/>
      </c>
      <c r="DL325" s="164" t="str">
        <f>IFERROR(INDEX(DE$296:DE$344,_xlfn.AGGREGATE(15,6,(ROW(DE$296:DE$344)-ROW(DE$296)+1)/(DE$296:DE$344&lt;&gt;""),ROWS(DL$1:DL30))),"")</f>
        <v/>
      </c>
      <c r="DM325" s="165" t="str">
        <f>IFERROR(INDEX(DF$296:DF$344,_xlfn.AGGREGATE(15,6,(ROW(DF$296:DF$344)-ROW(DF$296)+1)/(DF$296:DF$344&lt;&gt;""),ROWS(DM$1:DM30))),"")</f>
        <v/>
      </c>
      <c r="DN325" s="166" t="str">
        <f t="shared" si="168"/>
        <v/>
      </c>
      <c r="DO325" s="164" t="str">
        <f>IFERROR(INDEX(DG$296:DG$344,_xlfn.AGGREGATE(15,6,(ROW(DG$296:DG$344)-ROW(DG$296)+1)/(DG$296:DG$344&lt;&gt;""),ROWS(DO$1:DO30))),"")</f>
        <v/>
      </c>
      <c r="DP325" s="165" t="str">
        <f>IFERROR(INDEX(DH$296:DH$344,_xlfn.AGGREGATE(15,6,(ROW(DH$296:DH$344)-ROW(DH$296)+1)/(DH$296:DH$344&lt;&gt;""),ROWS(DP$1:DP30))),"")</f>
        <v/>
      </c>
      <c r="DQ325" s="166" t="str">
        <f t="shared" si="169"/>
        <v/>
      </c>
      <c r="DV325" s="145">
        <v>2044</v>
      </c>
      <c r="DW325" s="235" t="e">
        <f t="shared" ca="1" si="154"/>
        <v>#REF!</v>
      </c>
      <c r="EA325" s="55"/>
      <c r="EB325" s="55"/>
      <c r="EC325" s="55"/>
      <c r="ED325" s="55"/>
      <c r="EE325" s="55"/>
    </row>
    <row r="326" spans="2:135" ht="13.8" x14ac:dyDescent="0.45">
      <c r="B326" s="128">
        <v>2042</v>
      </c>
      <c r="C326" s="1070"/>
      <c r="D326" s="1050"/>
      <c r="E326" s="1069"/>
      <c r="F326" s="1075"/>
      <c r="G326" s="1052"/>
      <c r="H326" s="1036"/>
      <c r="I326" s="1112"/>
      <c r="J326" s="247"/>
      <c r="K326" s="245"/>
      <c r="L326" s="246"/>
      <c r="M326" s="245"/>
      <c r="N326" s="29" t="s">
        <v>119</v>
      </c>
      <c r="O326" s="120"/>
      <c r="P326" s="120"/>
      <c r="Q326" s="120"/>
      <c r="R326" s="29">
        <v>28</v>
      </c>
      <c r="S326" s="238" t="str">
        <f t="shared" si="155"/>
        <v/>
      </c>
      <c r="T326" s="238" t="str">
        <f t="shared" si="156"/>
        <v/>
      </c>
      <c r="U326" s="238" t="str">
        <f t="shared" si="157"/>
        <v/>
      </c>
      <c r="W326" s="238" t="e">
        <f t="shared" si="170"/>
        <v>#N/A</v>
      </c>
      <c r="X326" s="238" t="e">
        <f t="shared" si="158"/>
        <v>#N/A</v>
      </c>
      <c r="Y326" s="238" t="e">
        <f t="shared" si="159"/>
        <v>#N/A</v>
      </c>
      <c r="AA326" s="1133">
        <v>625.69624231471732</v>
      </c>
      <c r="AB326" s="1133">
        <v>637.0788480696973</v>
      </c>
      <c r="AC326" s="1133">
        <v>648.46145382467728</v>
      </c>
      <c r="AD326" s="89"/>
      <c r="AE326" s="89"/>
      <c r="AF326" s="89"/>
      <c r="AG326" s="89"/>
      <c r="AH326" s="89"/>
      <c r="AI326" s="89"/>
      <c r="AJ326" s="89"/>
      <c r="AK326" s="89"/>
      <c r="AL326" s="89"/>
      <c r="AM326" s="89"/>
      <c r="AN326" s="89"/>
      <c r="BR326" s="180">
        <v>2040</v>
      </c>
      <c r="BS326" s="22">
        <v>26</v>
      </c>
      <c r="BT326" s="198" t="e">
        <f t="shared" si="171"/>
        <v>#DIV/0!</v>
      </c>
      <c r="BU326" s="276" t="e">
        <f t="shared" si="172"/>
        <v>#DIV/0!</v>
      </c>
      <c r="BV326" s="205" t="e">
        <f t="shared" si="173"/>
        <v>#DIV/0!</v>
      </c>
      <c r="BY326" s="180">
        <v>2040</v>
      </c>
      <c r="BZ326" s="22">
        <v>26</v>
      </c>
      <c r="CA326" s="198" t="e">
        <f t="shared" ca="1" si="174"/>
        <v>#REF!</v>
      </c>
      <c r="CB326" s="198" t="e">
        <f t="shared" ca="1" si="175"/>
        <v>#REF!</v>
      </c>
      <c r="CC326" s="276" t="e">
        <f t="shared" ca="1" si="186"/>
        <v>#REF!</v>
      </c>
      <c r="CD326" s="205" t="e">
        <f t="shared" ca="1" si="176"/>
        <v>#REF!</v>
      </c>
      <c r="CG326" s="180">
        <v>2040</v>
      </c>
      <c r="CH326" s="22">
        <v>26</v>
      </c>
      <c r="CI326" s="198" t="e">
        <f t="shared" ca="1" si="177"/>
        <v>#REF!</v>
      </c>
      <c r="CJ326" s="198" t="e">
        <f t="shared" ca="1" si="178"/>
        <v>#REF!</v>
      </c>
      <c r="CK326" s="198" t="e">
        <f t="shared" ca="1" si="179"/>
        <v>#REF!</v>
      </c>
      <c r="CL326" s="276" t="e">
        <f t="shared" ca="1" si="180"/>
        <v>#REF!</v>
      </c>
      <c r="CM326" s="205" t="e">
        <f t="shared" ca="1" si="181"/>
        <v>#REF!</v>
      </c>
      <c r="CP326" s="180">
        <v>2040</v>
      </c>
      <c r="CQ326" s="22">
        <v>26</v>
      </c>
      <c r="CR326" s="198" t="e">
        <f t="shared" ca="1" si="182"/>
        <v>#REF!</v>
      </c>
      <c r="CS326" s="276" t="e">
        <f t="shared" ca="1" si="183"/>
        <v>#REF!</v>
      </c>
      <c r="CT326" s="205" t="e">
        <f t="shared" ca="1" si="184"/>
        <v>#REF!</v>
      </c>
      <c r="CZ326" s="164" t="b">
        <f t="shared" si="160"/>
        <v>0</v>
      </c>
      <c r="DA326" s="165" t="b">
        <f t="shared" si="160"/>
        <v>0</v>
      </c>
      <c r="DB326" s="166" t="b">
        <f t="shared" si="160"/>
        <v>0</v>
      </c>
      <c r="DC326" s="164" t="str">
        <f t="shared" si="161"/>
        <v/>
      </c>
      <c r="DD326" s="166" t="str">
        <f t="shared" si="162"/>
        <v/>
      </c>
      <c r="DE326" s="164" t="str">
        <f t="shared" si="163"/>
        <v/>
      </c>
      <c r="DF326" s="166" t="str">
        <f t="shared" si="164"/>
        <v/>
      </c>
      <c r="DG326" s="164" t="str">
        <f t="shared" si="165"/>
        <v/>
      </c>
      <c r="DH326" s="166" t="str">
        <f t="shared" si="166"/>
        <v/>
      </c>
      <c r="DI326" s="164" t="str">
        <f>IFERROR(INDEX(DC$296:DC$344,_xlfn.AGGREGATE(15,6,(ROW(DC$296:DC$344)-ROW(DC$296)+1)/(DC$296:DC$344&lt;&gt;""),ROWS(DI$1:DI31))),"")</f>
        <v/>
      </c>
      <c r="DJ326" s="165" t="str">
        <f>IFERROR(INDEX(DD$296:DD$344,_xlfn.AGGREGATE(15,6,(ROW(DD$296:DD$344)-ROW(DD$296)+1)/(DD$296:DD$344&lt;&gt;""),ROWS(DJ$1:DJ31))),"")</f>
        <v/>
      </c>
      <c r="DK326" s="166" t="str">
        <f t="shared" si="167"/>
        <v/>
      </c>
      <c r="DL326" s="164" t="str">
        <f>IFERROR(INDEX(DE$296:DE$344,_xlfn.AGGREGATE(15,6,(ROW(DE$296:DE$344)-ROW(DE$296)+1)/(DE$296:DE$344&lt;&gt;""),ROWS(DL$1:DL31))),"")</f>
        <v/>
      </c>
      <c r="DM326" s="165" t="str">
        <f>IFERROR(INDEX(DF$296:DF$344,_xlfn.AGGREGATE(15,6,(ROW(DF$296:DF$344)-ROW(DF$296)+1)/(DF$296:DF$344&lt;&gt;""),ROWS(DM$1:DM31))),"")</f>
        <v/>
      </c>
      <c r="DN326" s="166" t="str">
        <f t="shared" si="168"/>
        <v/>
      </c>
      <c r="DO326" s="164" t="str">
        <f>IFERROR(INDEX(DG$296:DG$344,_xlfn.AGGREGATE(15,6,(ROW(DG$296:DG$344)-ROW(DG$296)+1)/(DG$296:DG$344&lt;&gt;""),ROWS(DO$1:DO31))),"")</f>
        <v/>
      </c>
      <c r="DP326" s="165" t="str">
        <f>IFERROR(INDEX(DH$296:DH$344,_xlfn.AGGREGATE(15,6,(ROW(DH$296:DH$344)-ROW(DH$296)+1)/(DH$296:DH$344&lt;&gt;""),ROWS(DP$1:DP31))),"")</f>
        <v/>
      </c>
      <c r="DQ326" s="166" t="str">
        <f t="shared" si="169"/>
        <v/>
      </c>
      <c r="DV326" s="145">
        <v>2045</v>
      </c>
      <c r="DW326" s="235" t="e">
        <f t="shared" ca="1" si="154"/>
        <v>#REF!</v>
      </c>
      <c r="EA326" s="55"/>
      <c r="EB326" s="55"/>
      <c r="EC326" s="55"/>
      <c r="ED326" s="55"/>
      <c r="EE326" s="55"/>
    </row>
    <row r="327" spans="2:135" ht="13.8" x14ac:dyDescent="0.45">
      <c r="B327" s="128">
        <v>2043</v>
      </c>
      <c r="C327" s="1070"/>
      <c r="D327" s="1050"/>
      <c r="E327" s="1069"/>
      <c r="F327" s="1075"/>
      <c r="G327" s="1052"/>
      <c r="H327" s="1036"/>
      <c r="I327" s="1112"/>
      <c r="J327" s="247"/>
      <c r="K327" s="245"/>
      <c r="L327" s="246"/>
      <c r="M327" s="245"/>
      <c r="N327" s="29" t="s">
        <v>119</v>
      </c>
      <c r="O327" s="120"/>
      <c r="P327" s="120"/>
      <c r="Q327" s="120"/>
      <c r="R327" s="29">
        <v>29</v>
      </c>
      <c r="S327" s="238" t="str">
        <f t="shared" si="155"/>
        <v/>
      </c>
      <c r="T327" s="238" t="str">
        <f t="shared" si="156"/>
        <v/>
      </c>
      <c r="U327" s="238" t="str">
        <f t="shared" si="157"/>
        <v/>
      </c>
      <c r="W327" s="238" t="e">
        <f t="shared" si="170"/>
        <v>#N/A</v>
      </c>
      <c r="X327" s="238" t="e">
        <f t="shared" si="158"/>
        <v>#N/A</v>
      </c>
      <c r="Y327" s="238" t="e">
        <f t="shared" si="159"/>
        <v>#N/A</v>
      </c>
      <c r="AA327" s="1133">
        <v>642.93194186744836</v>
      </c>
      <c r="AB327" s="1133">
        <v>652.83377866618207</v>
      </c>
      <c r="AC327" s="1133">
        <v>662.73561546491578</v>
      </c>
      <c r="AD327" s="89"/>
      <c r="AE327" s="89"/>
      <c r="AF327" s="89"/>
      <c r="AG327" s="89"/>
      <c r="AH327" s="89"/>
      <c r="AI327" s="89"/>
      <c r="AJ327" s="89"/>
      <c r="AK327" s="89"/>
      <c r="AL327" s="89"/>
      <c r="AM327" s="89"/>
      <c r="AN327" s="89"/>
      <c r="BR327" s="180">
        <v>2041</v>
      </c>
      <c r="BS327" s="22">
        <v>27</v>
      </c>
      <c r="BT327" s="198" t="e">
        <f t="shared" si="171"/>
        <v>#DIV/0!</v>
      </c>
      <c r="BU327" s="276" t="e">
        <f t="shared" si="172"/>
        <v>#DIV/0!</v>
      </c>
      <c r="BV327" s="205" t="e">
        <f t="shared" si="173"/>
        <v>#DIV/0!</v>
      </c>
      <c r="BY327" s="180">
        <v>2041</v>
      </c>
      <c r="BZ327" s="22">
        <v>27</v>
      </c>
      <c r="CA327" s="198" t="e">
        <f t="shared" ca="1" si="174"/>
        <v>#REF!</v>
      </c>
      <c r="CB327" s="198" t="e">
        <f t="shared" ca="1" si="175"/>
        <v>#REF!</v>
      </c>
      <c r="CC327" s="276" t="e">
        <f t="shared" ca="1" si="186"/>
        <v>#REF!</v>
      </c>
      <c r="CD327" s="205" t="e">
        <f t="shared" ca="1" si="176"/>
        <v>#REF!</v>
      </c>
      <c r="CG327" s="180">
        <v>2041</v>
      </c>
      <c r="CH327" s="22">
        <v>27</v>
      </c>
      <c r="CI327" s="198" t="e">
        <f t="shared" ca="1" si="177"/>
        <v>#REF!</v>
      </c>
      <c r="CJ327" s="198" t="e">
        <f t="shared" ca="1" si="178"/>
        <v>#REF!</v>
      </c>
      <c r="CK327" s="198" t="e">
        <f t="shared" ca="1" si="179"/>
        <v>#REF!</v>
      </c>
      <c r="CL327" s="276" t="e">
        <f t="shared" ca="1" si="180"/>
        <v>#REF!</v>
      </c>
      <c r="CM327" s="205" t="e">
        <f t="shared" ca="1" si="181"/>
        <v>#REF!</v>
      </c>
      <c r="CP327" s="180">
        <v>2041</v>
      </c>
      <c r="CQ327" s="22">
        <v>27</v>
      </c>
      <c r="CR327" s="198" t="e">
        <f t="shared" ca="1" si="182"/>
        <v>#REF!</v>
      </c>
      <c r="CS327" s="276" t="e">
        <f t="shared" ca="1" si="183"/>
        <v>#REF!</v>
      </c>
      <c r="CT327" s="205" t="e">
        <f t="shared" ca="1" si="184"/>
        <v>#REF!</v>
      </c>
      <c r="CZ327" s="164" t="b">
        <f t="shared" si="160"/>
        <v>0</v>
      </c>
      <c r="DA327" s="165" t="b">
        <f t="shared" si="160"/>
        <v>0</v>
      </c>
      <c r="DB327" s="166" t="b">
        <f t="shared" si="160"/>
        <v>0</v>
      </c>
      <c r="DC327" s="164" t="str">
        <f t="shared" si="161"/>
        <v/>
      </c>
      <c r="DD327" s="166" t="str">
        <f t="shared" si="162"/>
        <v/>
      </c>
      <c r="DE327" s="164" t="str">
        <f t="shared" si="163"/>
        <v/>
      </c>
      <c r="DF327" s="166" t="str">
        <f t="shared" si="164"/>
        <v/>
      </c>
      <c r="DG327" s="164" t="str">
        <f t="shared" si="165"/>
        <v/>
      </c>
      <c r="DH327" s="166" t="str">
        <f t="shared" si="166"/>
        <v/>
      </c>
      <c r="DI327" s="164" t="str">
        <f>IFERROR(INDEX(DC$296:DC$344,_xlfn.AGGREGATE(15,6,(ROW(DC$296:DC$344)-ROW(DC$296)+1)/(DC$296:DC$344&lt;&gt;""),ROWS(DI$1:DI32))),"")</f>
        <v/>
      </c>
      <c r="DJ327" s="165" t="str">
        <f>IFERROR(INDEX(DD$296:DD$344,_xlfn.AGGREGATE(15,6,(ROW(DD$296:DD$344)-ROW(DD$296)+1)/(DD$296:DD$344&lt;&gt;""),ROWS(DJ$1:DJ32))),"")</f>
        <v/>
      </c>
      <c r="DK327" s="166" t="str">
        <f t="shared" si="167"/>
        <v/>
      </c>
      <c r="DL327" s="164" t="str">
        <f>IFERROR(INDEX(DE$296:DE$344,_xlfn.AGGREGATE(15,6,(ROW(DE$296:DE$344)-ROW(DE$296)+1)/(DE$296:DE$344&lt;&gt;""),ROWS(DL$1:DL32))),"")</f>
        <v/>
      </c>
      <c r="DM327" s="165" t="str">
        <f>IFERROR(INDEX(DF$296:DF$344,_xlfn.AGGREGATE(15,6,(ROW(DF$296:DF$344)-ROW(DF$296)+1)/(DF$296:DF$344&lt;&gt;""),ROWS(DM$1:DM32))),"")</f>
        <v/>
      </c>
      <c r="DN327" s="166" t="str">
        <f t="shared" si="168"/>
        <v/>
      </c>
      <c r="DO327" s="164" t="str">
        <f>IFERROR(INDEX(DG$296:DG$344,_xlfn.AGGREGATE(15,6,(ROW(DG$296:DG$344)-ROW(DG$296)+1)/(DG$296:DG$344&lt;&gt;""),ROWS(DO$1:DO32))),"")</f>
        <v/>
      </c>
      <c r="DP327" s="165" t="str">
        <f>IFERROR(INDEX(DH$296:DH$344,_xlfn.AGGREGATE(15,6,(ROW(DH$296:DH$344)-ROW(DH$296)+1)/(DH$296:DH$344&lt;&gt;""),ROWS(DP$1:DP32))),"")</f>
        <v/>
      </c>
      <c r="DQ327" s="166" t="str">
        <f t="shared" si="169"/>
        <v/>
      </c>
      <c r="DV327" s="145">
        <v>2046</v>
      </c>
      <c r="DW327" s="235" t="e">
        <f t="shared" ca="1" si="154"/>
        <v>#REF!</v>
      </c>
      <c r="EA327" s="55"/>
      <c r="EB327" s="55"/>
      <c r="EC327" s="55"/>
      <c r="ED327" s="55"/>
      <c r="EE327" s="55"/>
    </row>
    <row r="328" spans="2:135" ht="13.8" x14ac:dyDescent="0.45">
      <c r="B328" s="128">
        <v>2044</v>
      </c>
      <c r="C328" s="1070"/>
      <c r="D328" s="1050"/>
      <c r="E328" s="1069"/>
      <c r="F328" s="1075"/>
      <c r="G328" s="1052"/>
      <c r="H328" s="1036"/>
      <c r="I328" s="1112"/>
      <c r="J328" s="247"/>
      <c r="K328" s="245"/>
      <c r="L328" s="246"/>
      <c r="M328" s="245"/>
      <c r="N328" s="29" t="s">
        <v>119</v>
      </c>
      <c r="O328" s="120"/>
      <c r="P328" s="120"/>
      <c r="Q328" s="120"/>
      <c r="R328" s="29">
        <v>30</v>
      </c>
      <c r="S328" s="238" t="str">
        <f t="shared" ref="S328:S344" si="188">IF(MIN(C328:Q328)=0,"",MIN(C328:Q328))</f>
        <v/>
      </c>
      <c r="T328" s="238" t="str">
        <f t="shared" ref="T328:T344" si="189">IF(MAX(C328:Q328)=0,"",MAX(C328:Q328))</f>
        <v/>
      </c>
      <c r="U328" s="238" t="str">
        <f t="shared" ref="U328:U344" si="190">IF(T328="","",_xlfn.STDEV.P(C328:Q328))</f>
        <v/>
      </c>
      <c r="W328" s="238" t="e">
        <f t="shared" si="170"/>
        <v>#N/A</v>
      </c>
      <c r="X328" s="238" t="e">
        <f t="shared" ref="X328:X344" si="191">IF(U328="",#N/A,(SUM(C328:Q328)/COUNTIFS(C328:Q328,"&gt;0")))</f>
        <v>#N/A</v>
      </c>
      <c r="Y328" s="238" t="e">
        <f t="shared" si="159"/>
        <v>#N/A</v>
      </c>
      <c r="AA328" s="1133">
        <v>660.40679720576907</v>
      </c>
      <c r="AB328" s="1133">
        <v>668.86069531141254</v>
      </c>
      <c r="AC328" s="1133">
        <v>677.31459341705602</v>
      </c>
      <c r="AD328" s="89"/>
      <c r="AE328" s="89"/>
      <c r="AF328" s="89"/>
      <c r="AG328" s="89"/>
      <c r="AH328" s="89"/>
      <c r="AI328" s="89"/>
      <c r="AJ328" s="89"/>
      <c r="AK328" s="89"/>
      <c r="AL328" s="89"/>
      <c r="AM328" s="89"/>
      <c r="AN328" s="89"/>
      <c r="BR328" s="180">
        <v>2042</v>
      </c>
      <c r="BS328" s="22">
        <v>28</v>
      </c>
      <c r="BT328" s="198" t="e">
        <f t="shared" si="171"/>
        <v>#DIV/0!</v>
      </c>
      <c r="BU328" s="276" t="e">
        <f t="shared" si="172"/>
        <v>#DIV/0!</v>
      </c>
      <c r="BV328" s="205" t="e">
        <f t="shared" si="173"/>
        <v>#DIV/0!</v>
      </c>
      <c r="BY328" s="180">
        <v>2042</v>
      </c>
      <c r="BZ328" s="22">
        <v>28</v>
      </c>
      <c r="CA328" s="198" t="e">
        <f t="shared" ca="1" si="174"/>
        <v>#REF!</v>
      </c>
      <c r="CB328" s="198" t="e">
        <f t="shared" ca="1" si="175"/>
        <v>#REF!</v>
      </c>
      <c r="CC328" s="276" t="e">
        <f t="shared" ca="1" si="186"/>
        <v>#REF!</v>
      </c>
      <c r="CD328" s="205" t="e">
        <f t="shared" ca="1" si="176"/>
        <v>#REF!</v>
      </c>
      <c r="CG328" s="180">
        <v>2042</v>
      </c>
      <c r="CH328" s="22">
        <v>28</v>
      </c>
      <c r="CI328" s="198" t="e">
        <f t="shared" ca="1" si="177"/>
        <v>#REF!</v>
      </c>
      <c r="CJ328" s="198" t="e">
        <f t="shared" ca="1" si="178"/>
        <v>#REF!</v>
      </c>
      <c r="CK328" s="198" t="e">
        <f t="shared" ca="1" si="179"/>
        <v>#REF!</v>
      </c>
      <c r="CL328" s="276" t="e">
        <f t="shared" ca="1" si="180"/>
        <v>#REF!</v>
      </c>
      <c r="CM328" s="205" t="e">
        <f t="shared" ca="1" si="181"/>
        <v>#REF!</v>
      </c>
      <c r="CP328" s="180">
        <v>2042</v>
      </c>
      <c r="CQ328" s="22">
        <v>28</v>
      </c>
      <c r="CR328" s="198" t="e">
        <f t="shared" ca="1" si="182"/>
        <v>#REF!</v>
      </c>
      <c r="CS328" s="276" t="e">
        <f t="shared" ca="1" si="183"/>
        <v>#REF!</v>
      </c>
      <c r="CT328" s="205" t="e">
        <f t="shared" ca="1" si="184"/>
        <v>#REF!</v>
      </c>
      <c r="CZ328" s="164" t="b">
        <f t="shared" si="160"/>
        <v>0</v>
      </c>
      <c r="DA328" s="165" t="b">
        <f t="shared" si="160"/>
        <v>0</v>
      </c>
      <c r="DB328" s="166" t="b">
        <f t="shared" si="160"/>
        <v>0</v>
      </c>
      <c r="DC328" s="164" t="str">
        <f t="shared" si="161"/>
        <v/>
      </c>
      <c r="DD328" s="166" t="str">
        <f t="shared" si="162"/>
        <v/>
      </c>
      <c r="DE328" s="164" t="str">
        <f t="shared" si="163"/>
        <v/>
      </c>
      <c r="DF328" s="166" t="str">
        <f t="shared" si="164"/>
        <v/>
      </c>
      <c r="DG328" s="164" t="str">
        <f t="shared" si="165"/>
        <v/>
      </c>
      <c r="DH328" s="166" t="str">
        <f t="shared" si="166"/>
        <v/>
      </c>
      <c r="DI328" s="164" t="str">
        <f>IFERROR(INDEX(DC$296:DC$344,_xlfn.AGGREGATE(15,6,(ROW(DC$296:DC$344)-ROW(DC$296)+1)/(DC$296:DC$344&lt;&gt;""),ROWS(DI$1:DI33))),"")</f>
        <v/>
      </c>
      <c r="DJ328" s="165" t="str">
        <f>IFERROR(INDEX(DD$296:DD$344,_xlfn.AGGREGATE(15,6,(ROW(DD$296:DD$344)-ROW(DD$296)+1)/(DD$296:DD$344&lt;&gt;""),ROWS(DJ$1:DJ33))),"")</f>
        <v/>
      </c>
      <c r="DK328" s="166" t="str">
        <f t="shared" si="167"/>
        <v/>
      </c>
      <c r="DL328" s="164" t="str">
        <f>IFERROR(INDEX(DE$296:DE$344,_xlfn.AGGREGATE(15,6,(ROW(DE$296:DE$344)-ROW(DE$296)+1)/(DE$296:DE$344&lt;&gt;""),ROWS(DL$1:DL33))),"")</f>
        <v/>
      </c>
      <c r="DM328" s="165" t="str">
        <f>IFERROR(INDEX(DF$296:DF$344,_xlfn.AGGREGATE(15,6,(ROW(DF$296:DF$344)-ROW(DF$296)+1)/(DF$296:DF$344&lt;&gt;""),ROWS(DM$1:DM33))),"")</f>
        <v/>
      </c>
      <c r="DN328" s="166" t="str">
        <f t="shared" si="168"/>
        <v/>
      </c>
      <c r="DO328" s="164" t="str">
        <f>IFERROR(INDEX(DG$296:DG$344,_xlfn.AGGREGATE(15,6,(ROW(DG$296:DG$344)-ROW(DG$296)+1)/(DG$296:DG$344&lt;&gt;""),ROWS(DO$1:DO33))),"")</f>
        <v/>
      </c>
      <c r="DP328" s="165" t="str">
        <f>IFERROR(INDEX(DH$296:DH$344,_xlfn.AGGREGATE(15,6,(ROW(DH$296:DH$344)-ROW(DH$296)+1)/(DH$296:DH$344&lt;&gt;""),ROWS(DP$1:DP33))),"")</f>
        <v/>
      </c>
      <c r="DQ328" s="166" t="str">
        <f t="shared" si="169"/>
        <v/>
      </c>
      <c r="DV328" s="145">
        <v>2047</v>
      </c>
      <c r="DW328" s="235" t="e">
        <f t="shared" ca="1" si="154"/>
        <v>#REF!</v>
      </c>
      <c r="EA328" s="55"/>
      <c r="EB328" s="55"/>
      <c r="EC328" s="55"/>
      <c r="ED328" s="55"/>
      <c r="EE328" s="55"/>
    </row>
    <row r="329" spans="2:135" ht="13.8" x14ac:dyDescent="0.45">
      <c r="B329" s="128">
        <v>2045</v>
      </c>
      <c r="C329" s="1070"/>
      <c r="D329" s="1050"/>
      <c r="E329" s="1069"/>
      <c r="F329" s="1075"/>
      <c r="G329" s="1052"/>
      <c r="H329" s="1036"/>
      <c r="I329" s="1112"/>
      <c r="J329" s="247"/>
      <c r="K329" s="245"/>
      <c r="L329" s="246"/>
      <c r="M329" s="245"/>
      <c r="N329" s="29" t="s">
        <v>119</v>
      </c>
      <c r="O329" s="120"/>
      <c r="P329" s="120"/>
      <c r="Q329" s="120"/>
      <c r="R329" s="29">
        <v>31</v>
      </c>
      <c r="S329" s="238" t="str">
        <f t="shared" si="188"/>
        <v/>
      </c>
      <c r="T329" s="238" t="str">
        <f t="shared" si="189"/>
        <v/>
      </c>
      <c r="U329" s="238" t="str">
        <f t="shared" si="190"/>
        <v/>
      </c>
      <c r="W329" s="238" t="e">
        <f t="shared" si="170"/>
        <v>#N/A</v>
      </c>
      <c r="X329" s="238" t="e">
        <f t="shared" si="191"/>
        <v>#N/A</v>
      </c>
      <c r="Y329" s="238" t="e">
        <f t="shared" si="159"/>
        <v>#N/A</v>
      </c>
      <c r="AA329" s="1133">
        <v>679.2384940869174</v>
      </c>
      <c r="AB329" s="1133">
        <v>685.69714146341209</v>
      </c>
      <c r="AC329" s="1133">
        <v>692.15578883990679</v>
      </c>
      <c r="AD329" s="89"/>
      <c r="AE329" s="89"/>
      <c r="AF329" s="89"/>
      <c r="AG329" s="89"/>
      <c r="AH329" s="89"/>
      <c r="AI329" s="89"/>
      <c r="AJ329" s="89"/>
      <c r="AK329" s="89"/>
      <c r="AL329" s="89"/>
      <c r="AM329" s="89"/>
      <c r="AN329" s="89"/>
      <c r="BR329" s="180">
        <v>2043</v>
      </c>
      <c r="BS329" s="22">
        <v>29</v>
      </c>
      <c r="BT329" s="198" t="e">
        <f t="shared" si="171"/>
        <v>#DIV/0!</v>
      </c>
      <c r="BU329" s="276" t="e">
        <f t="shared" si="172"/>
        <v>#DIV/0!</v>
      </c>
      <c r="BV329" s="205" t="e">
        <f t="shared" si="173"/>
        <v>#DIV/0!</v>
      </c>
      <c r="BY329" s="180">
        <v>2043</v>
      </c>
      <c r="BZ329" s="22">
        <v>29</v>
      </c>
      <c r="CA329" s="198" t="e">
        <f t="shared" ca="1" si="174"/>
        <v>#REF!</v>
      </c>
      <c r="CB329" s="198" t="e">
        <f t="shared" ca="1" si="175"/>
        <v>#REF!</v>
      </c>
      <c r="CC329" s="276" t="e">
        <f t="shared" ca="1" si="186"/>
        <v>#REF!</v>
      </c>
      <c r="CD329" s="205" t="e">
        <f t="shared" ca="1" si="176"/>
        <v>#REF!</v>
      </c>
      <c r="CG329" s="180">
        <v>2043</v>
      </c>
      <c r="CH329" s="22">
        <v>29</v>
      </c>
      <c r="CI329" s="198" t="e">
        <f t="shared" ca="1" si="177"/>
        <v>#REF!</v>
      </c>
      <c r="CJ329" s="198" t="e">
        <f t="shared" ca="1" si="178"/>
        <v>#REF!</v>
      </c>
      <c r="CK329" s="198" t="e">
        <f t="shared" ca="1" si="179"/>
        <v>#REF!</v>
      </c>
      <c r="CL329" s="276" t="e">
        <f t="shared" ca="1" si="180"/>
        <v>#REF!</v>
      </c>
      <c r="CM329" s="205" t="e">
        <f t="shared" ca="1" si="181"/>
        <v>#REF!</v>
      </c>
      <c r="CP329" s="180">
        <v>2043</v>
      </c>
      <c r="CQ329" s="22">
        <v>29</v>
      </c>
      <c r="CR329" s="198" t="e">
        <f t="shared" ca="1" si="182"/>
        <v>#REF!</v>
      </c>
      <c r="CS329" s="276" t="e">
        <f t="shared" ca="1" si="183"/>
        <v>#REF!</v>
      </c>
      <c r="CT329" s="205" t="e">
        <f t="shared" ca="1" si="184"/>
        <v>#REF!</v>
      </c>
      <c r="CZ329" s="164" t="b">
        <f t="shared" si="160"/>
        <v>0</v>
      </c>
      <c r="DA329" s="165" t="b">
        <f t="shared" si="160"/>
        <v>0</v>
      </c>
      <c r="DB329" s="166" t="b">
        <f t="shared" si="160"/>
        <v>0</v>
      </c>
      <c r="DC329" s="164" t="str">
        <f t="shared" si="161"/>
        <v/>
      </c>
      <c r="DD329" s="166" t="str">
        <f t="shared" si="162"/>
        <v/>
      </c>
      <c r="DE329" s="164" t="str">
        <f t="shared" si="163"/>
        <v/>
      </c>
      <c r="DF329" s="166" t="str">
        <f t="shared" si="164"/>
        <v/>
      </c>
      <c r="DG329" s="164" t="str">
        <f t="shared" si="165"/>
        <v/>
      </c>
      <c r="DH329" s="166" t="str">
        <f t="shared" si="166"/>
        <v/>
      </c>
      <c r="DI329" s="164" t="str">
        <f>IFERROR(INDEX(DC$296:DC$344,_xlfn.AGGREGATE(15,6,(ROW(DC$296:DC$344)-ROW(DC$296)+1)/(DC$296:DC$344&lt;&gt;""),ROWS(DI$1:DI34))),"")</f>
        <v/>
      </c>
      <c r="DJ329" s="165" t="str">
        <f>IFERROR(INDEX(DD$296:DD$344,_xlfn.AGGREGATE(15,6,(ROW(DD$296:DD$344)-ROW(DD$296)+1)/(DD$296:DD$344&lt;&gt;""),ROWS(DJ$1:DJ34))),"")</f>
        <v/>
      </c>
      <c r="DK329" s="166" t="str">
        <f t="shared" si="167"/>
        <v/>
      </c>
      <c r="DL329" s="164" t="str">
        <f>IFERROR(INDEX(DE$296:DE$344,_xlfn.AGGREGATE(15,6,(ROW(DE$296:DE$344)-ROW(DE$296)+1)/(DE$296:DE$344&lt;&gt;""),ROWS(DL$1:DL34))),"")</f>
        <v/>
      </c>
      <c r="DM329" s="165" t="str">
        <f>IFERROR(INDEX(DF$296:DF$344,_xlfn.AGGREGATE(15,6,(ROW(DF$296:DF$344)-ROW(DF$296)+1)/(DF$296:DF$344&lt;&gt;""),ROWS(DM$1:DM34))),"")</f>
        <v/>
      </c>
      <c r="DN329" s="166" t="str">
        <f t="shared" si="168"/>
        <v/>
      </c>
      <c r="DO329" s="164" t="str">
        <f>IFERROR(INDEX(DG$296:DG$344,_xlfn.AGGREGATE(15,6,(ROW(DG$296:DG$344)-ROW(DG$296)+1)/(DG$296:DG$344&lt;&gt;""),ROWS(DO$1:DO34))),"")</f>
        <v/>
      </c>
      <c r="DP329" s="165" t="str">
        <f>IFERROR(INDEX(DH$296:DH$344,_xlfn.AGGREGATE(15,6,(ROW(DH$296:DH$344)-ROW(DH$296)+1)/(DH$296:DH$344&lt;&gt;""),ROWS(DP$1:DP34))),"")</f>
        <v/>
      </c>
      <c r="DQ329" s="166" t="str">
        <f t="shared" si="169"/>
        <v/>
      </c>
      <c r="DV329" s="145">
        <v>2048</v>
      </c>
      <c r="DW329" s="235" t="e">
        <f t="shared" ca="1" si="154"/>
        <v>#REF!</v>
      </c>
      <c r="EA329" s="55"/>
      <c r="EB329" s="55"/>
      <c r="EC329" s="55"/>
      <c r="ED329" s="55"/>
      <c r="EE329" s="55"/>
    </row>
    <row r="330" spans="2:135" ht="13.8" x14ac:dyDescent="0.45">
      <c r="B330" s="128">
        <v>2046</v>
      </c>
      <c r="C330" s="1070"/>
      <c r="D330" s="1050"/>
      <c r="E330" s="1069"/>
      <c r="F330" s="1075"/>
      <c r="G330" s="1052"/>
      <c r="H330" s="1036"/>
      <c r="I330" s="1112"/>
      <c r="J330" s="247"/>
      <c r="K330" s="245"/>
      <c r="L330" s="246"/>
      <c r="M330" s="245"/>
      <c r="N330" s="29" t="s">
        <v>119</v>
      </c>
      <c r="O330" s="120"/>
      <c r="P330" s="120"/>
      <c r="Q330" s="120"/>
      <c r="R330" s="29">
        <v>32</v>
      </c>
      <c r="S330" s="238" t="str">
        <f t="shared" si="188"/>
        <v/>
      </c>
      <c r="T330" s="238" t="str">
        <f t="shared" si="189"/>
        <v/>
      </c>
      <c r="U330" s="238" t="str">
        <f t="shared" si="190"/>
        <v/>
      </c>
      <c r="W330" s="238" t="e">
        <f t="shared" si="170"/>
        <v>#N/A</v>
      </c>
      <c r="X330" s="238" t="e">
        <f t="shared" si="191"/>
        <v>#N/A</v>
      </c>
      <c r="Y330" s="238" t="e">
        <f t="shared" si="159"/>
        <v>#N/A</v>
      </c>
      <c r="AA330" s="1133">
        <v>697.68324008096897</v>
      </c>
      <c r="AB330" s="1133">
        <v>702.80387377529735</v>
      </c>
      <c r="AC330" s="1133">
        <v>707.92450746962572</v>
      </c>
      <c r="AD330" s="89"/>
      <c r="AE330" s="89"/>
      <c r="AF330" s="89"/>
      <c r="AG330" s="89"/>
      <c r="AH330" s="89"/>
      <c r="AI330" s="89"/>
      <c r="AJ330" s="89"/>
      <c r="AK330" s="89"/>
      <c r="AL330" s="89"/>
      <c r="AM330" s="89"/>
      <c r="AN330" s="89"/>
      <c r="BR330" s="180">
        <v>2044</v>
      </c>
      <c r="BS330" s="22">
        <v>30</v>
      </c>
      <c r="BT330" s="198" t="e">
        <f t="shared" si="171"/>
        <v>#DIV/0!</v>
      </c>
      <c r="BU330" s="276" t="e">
        <f t="shared" si="172"/>
        <v>#DIV/0!</v>
      </c>
      <c r="BV330" s="205" t="e">
        <f t="shared" si="173"/>
        <v>#DIV/0!</v>
      </c>
      <c r="BY330" s="180">
        <v>2044</v>
      </c>
      <c r="BZ330" s="22">
        <v>30</v>
      </c>
      <c r="CA330" s="198" t="e">
        <f t="shared" ca="1" si="174"/>
        <v>#REF!</v>
      </c>
      <c r="CB330" s="198" t="e">
        <f t="shared" ca="1" si="175"/>
        <v>#REF!</v>
      </c>
      <c r="CC330" s="276" t="e">
        <f t="shared" ca="1" si="186"/>
        <v>#REF!</v>
      </c>
      <c r="CD330" s="205" t="e">
        <f t="shared" ca="1" si="176"/>
        <v>#REF!</v>
      </c>
      <c r="CG330" s="180">
        <v>2044</v>
      </c>
      <c r="CH330" s="22">
        <v>30</v>
      </c>
      <c r="CI330" s="198" t="e">
        <f t="shared" ca="1" si="177"/>
        <v>#REF!</v>
      </c>
      <c r="CJ330" s="198" t="e">
        <f t="shared" ca="1" si="178"/>
        <v>#REF!</v>
      </c>
      <c r="CK330" s="198" t="e">
        <f t="shared" ca="1" si="179"/>
        <v>#REF!</v>
      </c>
      <c r="CL330" s="276" t="e">
        <f t="shared" ca="1" si="180"/>
        <v>#REF!</v>
      </c>
      <c r="CM330" s="205" t="e">
        <f t="shared" ca="1" si="181"/>
        <v>#REF!</v>
      </c>
      <c r="CP330" s="180">
        <v>2044</v>
      </c>
      <c r="CQ330" s="22">
        <v>30</v>
      </c>
      <c r="CR330" s="198" t="e">
        <f t="shared" ca="1" si="182"/>
        <v>#REF!</v>
      </c>
      <c r="CS330" s="276" t="e">
        <f t="shared" ca="1" si="183"/>
        <v>#REF!</v>
      </c>
      <c r="CT330" s="205" t="e">
        <f t="shared" ca="1" si="184"/>
        <v>#REF!</v>
      </c>
      <c r="CZ330" s="164" t="b">
        <f t="shared" si="160"/>
        <v>0</v>
      </c>
      <c r="DA330" s="165" t="b">
        <f t="shared" si="160"/>
        <v>0</v>
      </c>
      <c r="DB330" s="166" t="b">
        <f t="shared" si="160"/>
        <v>0</v>
      </c>
      <c r="DC330" s="164" t="str">
        <f t="shared" si="161"/>
        <v/>
      </c>
      <c r="DD330" s="166" t="str">
        <f t="shared" si="162"/>
        <v/>
      </c>
      <c r="DE330" s="164" t="str">
        <f t="shared" si="163"/>
        <v/>
      </c>
      <c r="DF330" s="166" t="str">
        <f t="shared" si="164"/>
        <v/>
      </c>
      <c r="DG330" s="164" t="str">
        <f t="shared" si="165"/>
        <v/>
      </c>
      <c r="DH330" s="166" t="str">
        <f t="shared" si="166"/>
        <v/>
      </c>
      <c r="DI330" s="164" t="str">
        <f>IFERROR(INDEX(DC$296:DC$344,_xlfn.AGGREGATE(15,6,(ROW(DC$296:DC$344)-ROW(DC$296)+1)/(DC$296:DC$344&lt;&gt;""),ROWS(DI$1:DI35))),"")</f>
        <v/>
      </c>
      <c r="DJ330" s="165" t="str">
        <f>IFERROR(INDEX(DD$296:DD$344,_xlfn.AGGREGATE(15,6,(ROW(DD$296:DD$344)-ROW(DD$296)+1)/(DD$296:DD$344&lt;&gt;""),ROWS(DJ$1:DJ35))),"")</f>
        <v/>
      </c>
      <c r="DK330" s="166" t="str">
        <f t="shared" si="167"/>
        <v/>
      </c>
      <c r="DL330" s="164" t="str">
        <f>IFERROR(INDEX(DE$296:DE$344,_xlfn.AGGREGATE(15,6,(ROW(DE$296:DE$344)-ROW(DE$296)+1)/(DE$296:DE$344&lt;&gt;""),ROWS(DL$1:DL35))),"")</f>
        <v/>
      </c>
      <c r="DM330" s="165" t="str">
        <f>IFERROR(INDEX(DF$296:DF$344,_xlfn.AGGREGATE(15,6,(ROW(DF$296:DF$344)-ROW(DF$296)+1)/(DF$296:DF$344&lt;&gt;""),ROWS(DM$1:DM35))),"")</f>
        <v/>
      </c>
      <c r="DN330" s="166" t="str">
        <f t="shared" si="168"/>
        <v/>
      </c>
      <c r="DO330" s="164" t="str">
        <f>IFERROR(INDEX(DG$296:DG$344,_xlfn.AGGREGATE(15,6,(ROW(DG$296:DG$344)-ROW(DG$296)+1)/(DG$296:DG$344&lt;&gt;""),ROWS(DO$1:DO35))),"")</f>
        <v/>
      </c>
      <c r="DP330" s="165" t="str">
        <f>IFERROR(INDEX(DH$296:DH$344,_xlfn.AGGREGATE(15,6,(ROW(DH$296:DH$344)-ROW(DH$296)+1)/(DH$296:DH$344&lt;&gt;""),ROWS(DP$1:DP35))),"")</f>
        <v/>
      </c>
      <c r="DQ330" s="166" t="str">
        <f t="shared" si="169"/>
        <v/>
      </c>
      <c r="DV330" s="145">
        <v>2049</v>
      </c>
      <c r="DW330" s="235" t="e">
        <f t="shared" ca="1" si="154"/>
        <v>#REF!</v>
      </c>
      <c r="EA330" s="55"/>
      <c r="EB330" s="55"/>
      <c r="EC330" s="55"/>
      <c r="ED330" s="55"/>
      <c r="EE330" s="55"/>
    </row>
    <row r="331" spans="2:135" ht="13.8" x14ac:dyDescent="0.45">
      <c r="B331" s="128">
        <v>2047</v>
      </c>
      <c r="C331" s="1070"/>
      <c r="D331" s="1050"/>
      <c r="E331" s="1069"/>
      <c r="F331" s="1075"/>
      <c r="G331" s="1052"/>
      <c r="H331" s="1036"/>
      <c r="I331" s="1112"/>
      <c r="J331" s="247"/>
      <c r="K331" s="245"/>
      <c r="L331" s="246"/>
      <c r="M331" s="245"/>
      <c r="N331" s="29" t="s">
        <v>119</v>
      </c>
      <c r="O331" s="120"/>
      <c r="P331" s="120"/>
      <c r="Q331" s="120"/>
      <c r="R331" s="29">
        <v>33</v>
      </c>
      <c r="S331" s="238" t="str">
        <f t="shared" si="188"/>
        <v/>
      </c>
      <c r="T331" s="238" t="str">
        <f t="shared" si="189"/>
        <v/>
      </c>
      <c r="U331" s="238" t="str">
        <f t="shared" si="190"/>
        <v/>
      </c>
      <c r="W331" s="238" t="e">
        <f t="shared" si="170"/>
        <v>#N/A</v>
      </c>
      <c r="X331" s="238" t="e">
        <f t="shared" si="191"/>
        <v>#N/A</v>
      </c>
      <c r="Y331" s="238" t="e">
        <f t="shared" si="159"/>
        <v>#N/A</v>
      </c>
      <c r="AA331" s="1133">
        <v>714.89712695602907</v>
      </c>
      <c r="AB331" s="1133">
        <v>720.10351988151581</v>
      </c>
      <c r="AC331" s="1133">
        <v>725.30991280700255</v>
      </c>
      <c r="AD331" s="89"/>
      <c r="AE331" s="89"/>
      <c r="AF331" s="89"/>
      <c r="AG331" s="89"/>
      <c r="AH331" s="89"/>
      <c r="AI331" s="89"/>
      <c r="AJ331" s="89"/>
      <c r="AK331" s="89"/>
      <c r="AL331" s="89"/>
      <c r="AM331" s="89"/>
      <c r="AN331" s="89"/>
      <c r="BR331" s="180">
        <v>2045</v>
      </c>
      <c r="BS331" s="22">
        <v>31</v>
      </c>
      <c r="BT331" s="198" t="e">
        <f t="shared" si="171"/>
        <v>#DIV/0!</v>
      </c>
      <c r="BU331" s="198" t="e">
        <f t="shared" si="172"/>
        <v>#DIV/0!</v>
      </c>
      <c r="BV331" s="205" t="e">
        <f t="shared" si="173"/>
        <v>#DIV/0!</v>
      </c>
      <c r="BY331" s="180">
        <v>2045</v>
      </c>
      <c r="BZ331" s="22">
        <v>31</v>
      </c>
      <c r="CA331" s="198" t="e">
        <f t="shared" ca="1" si="174"/>
        <v>#REF!</v>
      </c>
      <c r="CB331" s="198" t="e">
        <f t="shared" ca="1" si="175"/>
        <v>#REF!</v>
      </c>
      <c r="CC331" s="198" t="e">
        <f t="shared" ca="1" si="186"/>
        <v>#REF!</v>
      </c>
      <c r="CD331" s="205" t="e">
        <f t="shared" ca="1" si="176"/>
        <v>#REF!</v>
      </c>
      <c r="CG331" s="180">
        <v>2045</v>
      </c>
      <c r="CH331" s="22">
        <v>31</v>
      </c>
      <c r="CI331" s="198" t="e">
        <f t="shared" ca="1" si="177"/>
        <v>#REF!</v>
      </c>
      <c r="CJ331" s="198" t="e">
        <f t="shared" ca="1" si="178"/>
        <v>#REF!</v>
      </c>
      <c r="CK331" s="198" t="e">
        <f t="shared" ca="1" si="179"/>
        <v>#REF!</v>
      </c>
      <c r="CL331" s="198" t="e">
        <f t="shared" ca="1" si="180"/>
        <v>#REF!</v>
      </c>
      <c r="CM331" s="205" t="e">
        <f t="shared" ca="1" si="181"/>
        <v>#REF!</v>
      </c>
      <c r="CP331" s="180">
        <v>2045</v>
      </c>
      <c r="CQ331" s="22">
        <v>31</v>
      </c>
      <c r="CR331" s="198" t="e">
        <f t="shared" ca="1" si="182"/>
        <v>#REF!</v>
      </c>
      <c r="CS331" s="198" t="e">
        <f t="shared" ca="1" si="183"/>
        <v>#REF!</v>
      </c>
      <c r="CT331" s="205" t="e">
        <f t="shared" ca="1" si="184"/>
        <v>#REF!</v>
      </c>
      <c r="CZ331" s="164" t="b">
        <f t="shared" si="160"/>
        <v>0</v>
      </c>
      <c r="DA331" s="165" t="b">
        <f t="shared" si="160"/>
        <v>0</v>
      </c>
      <c r="DB331" s="166" t="b">
        <f t="shared" si="160"/>
        <v>0</v>
      </c>
      <c r="DC331" s="164" t="str">
        <f t="shared" si="161"/>
        <v/>
      </c>
      <c r="DD331" s="166" t="str">
        <f t="shared" si="162"/>
        <v/>
      </c>
      <c r="DE331" s="164" t="str">
        <f t="shared" si="163"/>
        <v/>
      </c>
      <c r="DF331" s="166" t="str">
        <f t="shared" si="164"/>
        <v/>
      </c>
      <c r="DG331" s="164" t="str">
        <f t="shared" si="165"/>
        <v/>
      </c>
      <c r="DH331" s="166" t="str">
        <f t="shared" si="166"/>
        <v/>
      </c>
      <c r="DI331" s="164" t="str">
        <f>IFERROR(INDEX(DC$296:DC$344,_xlfn.AGGREGATE(15,6,(ROW(DC$296:DC$344)-ROW(DC$296)+1)/(DC$296:DC$344&lt;&gt;""),ROWS(DI$1:DI36))),"")</f>
        <v/>
      </c>
      <c r="DJ331" s="165" t="str">
        <f>IFERROR(INDEX(DD$296:DD$344,_xlfn.AGGREGATE(15,6,(ROW(DD$296:DD$344)-ROW(DD$296)+1)/(DD$296:DD$344&lt;&gt;""),ROWS(DJ$1:DJ36))),"")</f>
        <v/>
      </c>
      <c r="DK331" s="166" t="str">
        <f t="shared" si="167"/>
        <v/>
      </c>
      <c r="DL331" s="164" t="str">
        <f>IFERROR(INDEX(DE$296:DE$344,_xlfn.AGGREGATE(15,6,(ROW(DE$296:DE$344)-ROW(DE$296)+1)/(DE$296:DE$344&lt;&gt;""),ROWS(DL$1:DL36))),"")</f>
        <v/>
      </c>
      <c r="DM331" s="165" t="str">
        <f>IFERROR(INDEX(DF$296:DF$344,_xlfn.AGGREGATE(15,6,(ROW(DF$296:DF$344)-ROW(DF$296)+1)/(DF$296:DF$344&lt;&gt;""),ROWS(DM$1:DM36))),"")</f>
        <v/>
      </c>
      <c r="DN331" s="166" t="str">
        <f t="shared" si="168"/>
        <v/>
      </c>
      <c r="DO331" s="164" t="str">
        <f>IFERROR(INDEX(DG$296:DG$344,_xlfn.AGGREGATE(15,6,(ROW(DG$296:DG$344)-ROW(DG$296)+1)/(DG$296:DG$344&lt;&gt;""),ROWS(DO$1:DO36))),"")</f>
        <v/>
      </c>
      <c r="DP331" s="165" t="str">
        <f>IFERROR(INDEX(DH$296:DH$344,_xlfn.AGGREGATE(15,6,(ROW(DH$296:DH$344)-ROW(DH$296)+1)/(DH$296:DH$344&lt;&gt;""),ROWS(DP$1:DP36))),"")</f>
        <v/>
      </c>
      <c r="DQ331" s="166" t="str">
        <f t="shared" si="169"/>
        <v/>
      </c>
      <c r="DV331" s="145">
        <v>2050</v>
      </c>
      <c r="DW331" s="235" t="e">
        <f t="shared" ca="1" si="154"/>
        <v>#REF!</v>
      </c>
      <c r="EA331" s="55"/>
      <c r="EB331" s="55"/>
      <c r="EC331" s="55"/>
      <c r="ED331" s="55"/>
      <c r="EE331" s="55"/>
    </row>
    <row r="332" spans="2:135" ht="13.8" x14ac:dyDescent="0.45">
      <c r="B332" s="128">
        <v>2048</v>
      </c>
      <c r="C332" s="1070"/>
      <c r="D332" s="1050"/>
      <c r="E332" s="1069"/>
      <c r="F332" s="1075"/>
      <c r="G332" s="1052"/>
      <c r="H332" s="1036"/>
      <c r="I332" s="1112"/>
      <c r="J332" s="247"/>
      <c r="K332" s="245"/>
      <c r="L332" s="246"/>
      <c r="M332" s="245"/>
      <c r="N332" s="29" t="s">
        <v>119</v>
      </c>
      <c r="O332" s="120"/>
      <c r="P332" s="120"/>
      <c r="Q332" s="120"/>
      <c r="R332" s="29">
        <v>34</v>
      </c>
      <c r="S332" s="238" t="str">
        <f t="shared" si="188"/>
        <v/>
      </c>
      <c r="T332" s="238" t="str">
        <f t="shared" si="189"/>
        <v/>
      </c>
      <c r="U332" s="238" t="str">
        <f t="shared" si="190"/>
        <v/>
      </c>
      <c r="W332" s="238" t="e">
        <f t="shared" si="170"/>
        <v>#N/A</v>
      </c>
      <c r="X332" s="238" t="e">
        <f t="shared" si="191"/>
        <v>#N/A</v>
      </c>
      <c r="Y332" s="238" t="e">
        <f t="shared" si="159"/>
        <v>#N/A</v>
      </c>
      <c r="AA332" s="1133">
        <v>731.05866983615431</v>
      </c>
      <c r="AB332" s="1133">
        <v>737.76754769195156</v>
      </c>
      <c r="AC332" s="1133">
        <v>744.47642554774882</v>
      </c>
      <c r="AD332" s="89"/>
      <c r="AE332" s="89"/>
      <c r="AF332" s="89"/>
      <c r="AG332" s="89"/>
      <c r="AH332" s="89"/>
      <c r="AI332" s="89"/>
      <c r="AJ332" s="89"/>
      <c r="AK332" s="89"/>
      <c r="AL332" s="89"/>
      <c r="AM332" s="89"/>
      <c r="AN332" s="89"/>
      <c r="BR332" s="180">
        <v>2046</v>
      </c>
      <c r="BS332" s="22">
        <v>32</v>
      </c>
      <c r="BT332" s="198" t="e">
        <f t="shared" si="171"/>
        <v>#DIV/0!</v>
      </c>
      <c r="BU332" s="198" t="e">
        <f t="shared" si="172"/>
        <v>#DIV/0!</v>
      </c>
      <c r="BV332" s="205" t="e">
        <f t="shared" si="173"/>
        <v>#DIV/0!</v>
      </c>
      <c r="BY332" s="180">
        <v>2046</v>
      </c>
      <c r="BZ332" s="22">
        <v>32</v>
      </c>
      <c r="CA332" s="198" t="e">
        <f t="shared" ca="1" si="174"/>
        <v>#REF!</v>
      </c>
      <c r="CB332" s="198" t="e">
        <f t="shared" ca="1" si="175"/>
        <v>#REF!</v>
      </c>
      <c r="CC332" s="198" t="e">
        <f t="shared" ca="1" si="186"/>
        <v>#REF!</v>
      </c>
      <c r="CD332" s="205" t="e">
        <f t="shared" ca="1" si="176"/>
        <v>#REF!</v>
      </c>
      <c r="CG332" s="180">
        <v>2046</v>
      </c>
      <c r="CH332" s="22">
        <v>32</v>
      </c>
      <c r="CI332" s="198" t="e">
        <f t="shared" ca="1" si="177"/>
        <v>#REF!</v>
      </c>
      <c r="CJ332" s="198" t="e">
        <f t="shared" ca="1" si="178"/>
        <v>#REF!</v>
      </c>
      <c r="CK332" s="198" t="e">
        <f t="shared" ca="1" si="179"/>
        <v>#REF!</v>
      </c>
      <c r="CL332" s="198" t="e">
        <f t="shared" ca="1" si="180"/>
        <v>#REF!</v>
      </c>
      <c r="CM332" s="205" t="e">
        <f t="shared" ca="1" si="181"/>
        <v>#REF!</v>
      </c>
      <c r="CP332" s="180">
        <v>2046</v>
      </c>
      <c r="CQ332" s="22">
        <v>32</v>
      </c>
      <c r="CR332" s="198" t="e">
        <f t="shared" ca="1" si="182"/>
        <v>#REF!</v>
      </c>
      <c r="CS332" s="198" t="e">
        <f t="shared" ca="1" si="183"/>
        <v>#REF!</v>
      </c>
      <c r="CT332" s="205" t="e">
        <f t="shared" ca="1" si="184"/>
        <v>#REF!</v>
      </c>
      <c r="CZ332" s="164" t="b">
        <f t="shared" si="160"/>
        <v>0</v>
      </c>
      <c r="DA332" s="165" t="b">
        <f t="shared" si="160"/>
        <v>0</v>
      </c>
      <c r="DB332" s="166" t="b">
        <f t="shared" si="160"/>
        <v>0</v>
      </c>
      <c r="DC332" s="164" t="str">
        <f t="shared" si="161"/>
        <v/>
      </c>
      <c r="DD332" s="166" t="str">
        <f t="shared" si="162"/>
        <v/>
      </c>
      <c r="DE332" s="164" t="str">
        <f t="shared" si="163"/>
        <v/>
      </c>
      <c r="DF332" s="166" t="str">
        <f t="shared" si="164"/>
        <v/>
      </c>
      <c r="DG332" s="164" t="str">
        <f t="shared" si="165"/>
        <v/>
      </c>
      <c r="DH332" s="166" t="str">
        <f t="shared" si="166"/>
        <v/>
      </c>
      <c r="DI332" s="164" t="str">
        <f>IFERROR(INDEX(DC$296:DC$344,_xlfn.AGGREGATE(15,6,(ROW(DC$296:DC$344)-ROW(DC$296)+1)/(DC$296:DC$344&lt;&gt;""),ROWS(DI$1:DI37))),"")</f>
        <v/>
      </c>
      <c r="DJ332" s="165" t="str">
        <f>IFERROR(INDEX(DD$296:DD$344,_xlfn.AGGREGATE(15,6,(ROW(DD$296:DD$344)-ROW(DD$296)+1)/(DD$296:DD$344&lt;&gt;""),ROWS(DJ$1:DJ37))),"")</f>
        <v/>
      </c>
      <c r="DK332" s="166" t="str">
        <f t="shared" si="167"/>
        <v/>
      </c>
      <c r="DL332" s="164" t="str">
        <f>IFERROR(INDEX(DE$296:DE$344,_xlfn.AGGREGATE(15,6,(ROW(DE$296:DE$344)-ROW(DE$296)+1)/(DE$296:DE$344&lt;&gt;""),ROWS(DL$1:DL37))),"")</f>
        <v/>
      </c>
      <c r="DM332" s="165" t="str">
        <f>IFERROR(INDEX(DF$296:DF$344,_xlfn.AGGREGATE(15,6,(ROW(DF$296:DF$344)-ROW(DF$296)+1)/(DF$296:DF$344&lt;&gt;""),ROWS(DM$1:DM37))),"")</f>
        <v/>
      </c>
      <c r="DN332" s="166" t="str">
        <f t="shared" si="168"/>
        <v/>
      </c>
      <c r="DO332" s="164" t="str">
        <f>IFERROR(INDEX(DG$296:DG$344,_xlfn.AGGREGATE(15,6,(ROW(DG$296:DG$344)-ROW(DG$296)+1)/(DG$296:DG$344&lt;&gt;""),ROWS(DO$1:DO37))),"")</f>
        <v/>
      </c>
      <c r="DP332" s="165" t="str">
        <f>IFERROR(INDEX(DH$296:DH$344,_xlfn.AGGREGATE(15,6,(ROW(DH$296:DH$344)-ROW(DH$296)+1)/(DH$296:DH$344&lt;&gt;""),ROWS(DP$1:DP37))),"")</f>
        <v/>
      </c>
      <c r="DQ332" s="166" t="str">
        <f t="shared" si="169"/>
        <v/>
      </c>
      <c r="DV332" s="145">
        <v>2051</v>
      </c>
      <c r="DW332" s="235" t="e">
        <f t="shared" ca="1" si="154"/>
        <v>#REF!</v>
      </c>
      <c r="EA332" s="55"/>
      <c r="EB332" s="55"/>
      <c r="EC332" s="55"/>
      <c r="ED332" s="55"/>
      <c r="EE332" s="55"/>
    </row>
    <row r="333" spans="2:135" ht="13.8" x14ac:dyDescent="0.45">
      <c r="B333" s="128">
        <v>2049</v>
      </c>
      <c r="C333" s="1070"/>
      <c r="D333" s="1050"/>
      <c r="E333" s="1069"/>
      <c r="F333" s="1075"/>
      <c r="G333" s="1052"/>
      <c r="H333" s="1036"/>
      <c r="I333" s="1112"/>
      <c r="J333" s="247"/>
      <c r="K333" s="245"/>
      <c r="L333" s="246"/>
      <c r="M333" s="245"/>
      <c r="N333" s="29" t="s">
        <v>119</v>
      </c>
      <c r="O333" s="120"/>
      <c r="P333" s="120"/>
      <c r="Q333" s="120"/>
      <c r="R333" s="29">
        <v>35</v>
      </c>
      <c r="S333" s="238" t="str">
        <f t="shared" si="188"/>
        <v/>
      </c>
      <c r="T333" s="238" t="str">
        <f t="shared" si="189"/>
        <v/>
      </c>
      <c r="U333" s="238" t="str">
        <f t="shared" si="190"/>
        <v/>
      </c>
      <c r="W333" s="238" t="e">
        <f t="shared" si="170"/>
        <v>#N/A</v>
      </c>
      <c r="X333" s="238" t="e">
        <f t="shared" si="191"/>
        <v>#N/A</v>
      </c>
      <c r="Y333" s="238" t="e">
        <f t="shared" si="159"/>
        <v>#N/A</v>
      </c>
      <c r="AA333" s="1133">
        <v>746.65941696965854</v>
      </c>
      <c r="AB333" s="1133">
        <v>755.81289562784968</v>
      </c>
      <c r="AC333" s="1133">
        <v>764.96637428604083</v>
      </c>
      <c r="AD333" s="89"/>
      <c r="AE333" s="89"/>
      <c r="AF333" s="89"/>
      <c r="AG333" s="89"/>
      <c r="AH333" s="89"/>
      <c r="AI333" s="89"/>
      <c r="AJ333" s="89"/>
      <c r="AK333" s="89"/>
      <c r="AL333" s="89"/>
      <c r="AM333" s="89"/>
      <c r="AN333" s="89"/>
      <c r="BR333" s="180">
        <v>2047</v>
      </c>
      <c r="BS333" s="22">
        <v>33</v>
      </c>
      <c r="BT333" s="198" t="e">
        <f t="shared" si="171"/>
        <v>#DIV/0!</v>
      </c>
      <c r="BU333" s="198" t="e">
        <f t="shared" si="172"/>
        <v>#DIV/0!</v>
      </c>
      <c r="BV333" s="205" t="e">
        <f t="shared" si="173"/>
        <v>#DIV/0!</v>
      </c>
      <c r="BY333" s="180">
        <v>2047</v>
      </c>
      <c r="BZ333" s="22">
        <v>33</v>
      </c>
      <c r="CA333" s="198" t="e">
        <f t="shared" ca="1" si="174"/>
        <v>#REF!</v>
      </c>
      <c r="CB333" s="198" t="e">
        <f t="shared" ca="1" si="175"/>
        <v>#REF!</v>
      </c>
      <c r="CC333" s="198" t="e">
        <f t="shared" ca="1" si="186"/>
        <v>#REF!</v>
      </c>
      <c r="CD333" s="205" t="e">
        <f t="shared" ca="1" si="176"/>
        <v>#REF!</v>
      </c>
      <c r="CG333" s="180">
        <v>2047</v>
      </c>
      <c r="CH333" s="22">
        <v>33</v>
      </c>
      <c r="CI333" s="198" t="e">
        <f t="shared" ca="1" si="177"/>
        <v>#REF!</v>
      </c>
      <c r="CJ333" s="198" t="e">
        <f t="shared" ca="1" si="178"/>
        <v>#REF!</v>
      </c>
      <c r="CK333" s="198" t="e">
        <f t="shared" ca="1" si="179"/>
        <v>#REF!</v>
      </c>
      <c r="CL333" s="198" t="e">
        <f t="shared" ca="1" si="180"/>
        <v>#REF!</v>
      </c>
      <c r="CM333" s="205" t="e">
        <f t="shared" ca="1" si="181"/>
        <v>#REF!</v>
      </c>
      <c r="CP333" s="180">
        <v>2047</v>
      </c>
      <c r="CQ333" s="22">
        <v>33</v>
      </c>
      <c r="CR333" s="198" t="e">
        <f t="shared" ca="1" si="182"/>
        <v>#REF!</v>
      </c>
      <c r="CS333" s="198" t="e">
        <f t="shared" ca="1" si="183"/>
        <v>#REF!</v>
      </c>
      <c r="CT333" s="205" t="e">
        <f t="shared" ca="1" si="184"/>
        <v>#REF!</v>
      </c>
      <c r="CZ333" s="164" t="b">
        <f t="shared" si="160"/>
        <v>0</v>
      </c>
      <c r="DA333" s="165" t="b">
        <f t="shared" si="160"/>
        <v>0</v>
      </c>
      <c r="DB333" s="166" t="b">
        <f t="shared" si="160"/>
        <v>0</v>
      </c>
      <c r="DC333" s="164" t="str">
        <f t="shared" si="161"/>
        <v/>
      </c>
      <c r="DD333" s="166" t="str">
        <f t="shared" si="162"/>
        <v/>
      </c>
      <c r="DE333" s="164" t="str">
        <f t="shared" si="163"/>
        <v/>
      </c>
      <c r="DF333" s="166" t="str">
        <f t="shared" si="164"/>
        <v/>
      </c>
      <c r="DG333" s="164" t="str">
        <f t="shared" si="165"/>
        <v/>
      </c>
      <c r="DH333" s="166" t="str">
        <f t="shared" si="166"/>
        <v/>
      </c>
      <c r="DI333" s="164" t="str">
        <f>IFERROR(INDEX(DC$296:DC$344,_xlfn.AGGREGATE(15,6,(ROW(DC$296:DC$344)-ROW(DC$296)+1)/(DC$296:DC$344&lt;&gt;""),ROWS(DI$1:DI38))),"")</f>
        <v/>
      </c>
      <c r="DJ333" s="165" t="str">
        <f>IFERROR(INDEX(DD$296:DD$344,_xlfn.AGGREGATE(15,6,(ROW(DD$296:DD$344)-ROW(DD$296)+1)/(DD$296:DD$344&lt;&gt;""),ROWS(DJ$1:DJ38))),"")</f>
        <v/>
      </c>
      <c r="DK333" s="166" t="str">
        <f t="shared" si="167"/>
        <v/>
      </c>
      <c r="DL333" s="164" t="str">
        <f>IFERROR(INDEX(DE$296:DE$344,_xlfn.AGGREGATE(15,6,(ROW(DE$296:DE$344)-ROW(DE$296)+1)/(DE$296:DE$344&lt;&gt;""),ROWS(DL$1:DL38))),"")</f>
        <v/>
      </c>
      <c r="DM333" s="165" t="str">
        <f>IFERROR(INDEX(DF$296:DF$344,_xlfn.AGGREGATE(15,6,(ROW(DF$296:DF$344)-ROW(DF$296)+1)/(DF$296:DF$344&lt;&gt;""),ROWS(DM$1:DM38))),"")</f>
        <v/>
      </c>
      <c r="DN333" s="166" t="str">
        <f t="shared" si="168"/>
        <v/>
      </c>
      <c r="DO333" s="164" t="str">
        <f>IFERROR(INDEX(DG$296:DG$344,_xlfn.AGGREGATE(15,6,(ROW(DG$296:DG$344)-ROW(DG$296)+1)/(DG$296:DG$344&lt;&gt;""),ROWS(DO$1:DO38))),"")</f>
        <v/>
      </c>
      <c r="DP333" s="165" t="str">
        <f>IFERROR(INDEX(DH$296:DH$344,_xlfn.AGGREGATE(15,6,(ROW(DH$296:DH$344)-ROW(DH$296)+1)/(DH$296:DH$344&lt;&gt;""),ROWS(DP$1:DP38))),"")</f>
        <v/>
      </c>
      <c r="DQ333" s="166" t="str">
        <f t="shared" si="169"/>
        <v/>
      </c>
      <c r="DV333" s="145">
        <v>2052</v>
      </c>
      <c r="DW333" s="235" t="e">
        <f t="shared" ca="1" si="154"/>
        <v>#REF!</v>
      </c>
      <c r="EA333" s="55"/>
      <c r="EB333" s="55"/>
      <c r="EC333" s="55"/>
      <c r="ED333" s="55"/>
      <c r="EE333" s="55"/>
    </row>
    <row r="334" spans="2:135" ht="13.8" x14ac:dyDescent="0.45">
      <c r="B334" s="128">
        <v>2050</v>
      </c>
      <c r="C334" s="1070"/>
      <c r="D334" s="1050"/>
      <c r="E334" s="1069"/>
      <c r="F334" s="1075"/>
      <c r="G334" s="1052"/>
      <c r="H334" s="1036"/>
      <c r="I334" s="1112"/>
      <c r="J334" s="247"/>
      <c r="K334" s="245"/>
      <c r="L334" s="246"/>
      <c r="M334" s="245"/>
      <c r="N334" s="29" t="s">
        <v>119</v>
      </c>
      <c r="O334" s="120"/>
      <c r="P334" s="120"/>
      <c r="Q334" s="120"/>
      <c r="R334" s="29">
        <v>36</v>
      </c>
      <c r="S334" s="238" t="str">
        <f t="shared" si="188"/>
        <v/>
      </c>
      <c r="T334" s="238" t="str">
        <f t="shared" si="189"/>
        <v/>
      </c>
      <c r="U334" s="238" t="str">
        <f t="shared" si="190"/>
        <v/>
      </c>
      <c r="W334" s="238" t="e">
        <f t="shared" si="170"/>
        <v>#N/A</v>
      </c>
      <c r="X334" s="238" t="e">
        <f t="shared" si="191"/>
        <v>#N/A</v>
      </c>
      <c r="Y334" s="238" t="e">
        <f t="shared" si="159"/>
        <v>#N/A</v>
      </c>
      <c r="AA334" s="1133">
        <v>772.66871561220228</v>
      </c>
      <c r="AB334" s="1133">
        <v>777.66303689987399</v>
      </c>
      <c r="AC334" s="1133">
        <v>782.6573581875457</v>
      </c>
      <c r="AD334" s="89"/>
      <c r="AE334" s="89"/>
      <c r="AF334" s="89"/>
      <c r="AG334" s="89"/>
      <c r="AH334" s="89"/>
      <c r="AI334" s="89"/>
      <c r="AJ334" s="89"/>
      <c r="AK334" s="89"/>
      <c r="AL334" s="89"/>
      <c r="AM334" s="89"/>
      <c r="AN334" s="89"/>
      <c r="BR334" s="180">
        <v>2048</v>
      </c>
      <c r="BS334" s="22">
        <v>34</v>
      </c>
      <c r="BT334" s="198" t="e">
        <f t="shared" si="171"/>
        <v>#DIV/0!</v>
      </c>
      <c r="BU334" s="198" t="e">
        <f t="shared" si="172"/>
        <v>#DIV/0!</v>
      </c>
      <c r="BV334" s="205" t="e">
        <f t="shared" si="173"/>
        <v>#DIV/0!</v>
      </c>
      <c r="BY334" s="180">
        <v>2048</v>
      </c>
      <c r="BZ334" s="22">
        <v>34</v>
      </c>
      <c r="CA334" s="198" t="e">
        <f t="shared" ca="1" si="174"/>
        <v>#REF!</v>
      </c>
      <c r="CB334" s="198" t="e">
        <f t="shared" ca="1" si="175"/>
        <v>#REF!</v>
      </c>
      <c r="CC334" s="198" t="e">
        <f t="shared" ca="1" si="186"/>
        <v>#REF!</v>
      </c>
      <c r="CD334" s="205" t="e">
        <f t="shared" ca="1" si="176"/>
        <v>#REF!</v>
      </c>
      <c r="CG334" s="180">
        <v>2048</v>
      </c>
      <c r="CH334" s="22">
        <v>34</v>
      </c>
      <c r="CI334" s="198" t="e">
        <f t="shared" ca="1" si="177"/>
        <v>#REF!</v>
      </c>
      <c r="CJ334" s="198" t="e">
        <f t="shared" ca="1" si="178"/>
        <v>#REF!</v>
      </c>
      <c r="CK334" s="198" t="e">
        <f t="shared" ca="1" si="179"/>
        <v>#REF!</v>
      </c>
      <c r="CL334" s="198" t="e">
        <f t="shared" ca="1" si="180"/>
        <v>#REF!</v>
      </c>
      <c r="CM334" s="205" t="e">
        <f t="shared" ca="1" si="181"/>
        <v>#REF!</v>
      </c>
      <c r="CP334" s="180">
        <v>2048</v>
      </c>
      <c r="CQ334" s="22">
        <v>34</v>
      </c>
      <c r="CR334" s="198" t="e">
        <f t="shared" ca="1" si="182"/>
        <v>#REF!</v>
      </c>
      <c r="CS334" s="198" t="e">
        <f t="shared" ca="1" si="183"/>
        <v>#REF!</v>
      </c>
      <c r="CT334" s="205" t="e">
        <f t="shared" ca="1" si="184"/>
        <v>#REF!</v>
      </c>
      <c r="CZ334" s="164" t="b">
        <f t="shared" si="160"/>
        <v>0</v>
      </c>
      <c r="DA334" s="165" t="b">
        <f t="shared" si="160"/>
        <v>0</v>
      </c>
      <c r="DB334" s="166" t="b">
        <f t="shared" si="160"/>
        <v>0</v>
      </c>
      <c r="DC334" s="164" t="str">
        <f t="shared" si="161"/>
        <v/>
      </c>
      <c r="DD334" s="166" t="str">
        <f t="shared" si="162"/>
        <v/>
      </c>
      <c r="DE334" s="164" t="str">
        <f t="shared" si="163"/>
        <v/>
      </c>
      <c r="DF334" s="166" t="str">
        <f t="shared" si="164"/>
        <v/>
      </c>
      <c r="DG334" s="164" t="str">
        <f t="shared" si="165"/>
        <v/>
      </c>
      <c r="DH334" s="166" t="str">
        <f t="shared" si="166"/>
        <v/>
      </c>
      <c r="DI334" s="164" t="str">
        <f>IFERROR(INDEX(DC$296:DC$344,_xlfn.AGGREGATE(15,6,(ROW(DC$296:DC$344)-ROW(DC$296)+1)/(DC$296:DC$344&lt;&gt;""),ROWS(DI$1:DI39))),"")</f>
        <v/>
      </c>
      <c r="DJ334" s="165" t="str">
        <f>IFERROR(INDEX(DD$296:DD$344,_xlfn.AGGREGATE(15,6,(ROW(DD$296:DD$344)-ROW(DD$296)+1)/(DD$296:DD$344&lt;&gt;""),ROWS(DJ$1:DJ39))),"")</f>
        <v/>
      </c>
      <c r="DK334" s="166" t="str">
        <f t="shared" si="167"/>
        <v/>
      </c>
      <c r="DL334" s="164" t="str">
        <f>IFERROR(INDEX(DE$296:DE$344,_xlfn.AGGREGATE(15,6,(ROW(DE$296:DE$344)-ROW(DE$296)+1)/(DE$296:DE$344&lt;&gt;""),ROWS(DL$1:DL39))),"")</f>
        <v/>
      </c>
      <c r="DM334" s="165" t="str">
        <f>IFERROR(INDEX(DF$296:DF$344,_xlfn.AGGREGATE(15,6,(ROW(DF$296:DF$344)-ROW(DF$296)+1)/(DF$296:DF$344&lt;&gt;""),ROWS(DM$1:DM39))),"")</f>
        <v/>
      </c>
      <c r="DN334" s="166" t="str">
        <f t="shared" si="168"/>
        <v/>
      </c>
      <c r="DO334" s="164" t="str">
        <f>IFERROR(INDEX(DG$296:DG$344,_xlfn.AGGREGATE(15,6,(ROW(DG$296:DG$344)-ROW(DG$296)+1)/(DG$296:DG$344&lt;&gt;""),ROWS(DO$1:DO39))),"")</f>
        <v/>
      </c>
      <c r="DP334" s="165" t="str">
        <f>IFERROR(INDEX(DH$296:DH$344,_xlfn.AGGREGATE(15,6,(ROW(DH$296:DH$344)-ROW(DH$296)+1)/(DH$296:DH$344&lt;&gt;""),ROWS(DP$1:DP39))),"")</f>
        <v/>
      </c>
      <c r="DQ334" s="166" t="str">
        <f t="shared" si="169"/>
        <v/>
      </c>
      <c r="DV334" s="145">
        <v>2053</v>
      </c>
      <c r="DW334" s="235" t="e">
        <f t="shared" ca="1" si="154"/>
        <v>#REF!</v>
      </c>
      <c r="EA334" s="55"/>
      <c r="EB334" s="55"/>
      <c r="EC334" s="55"/>
      <c r="ED334" s="55"/>
      <c r="EE334" s="55"/>
    </row>
    <row r="335" spans="2:135" ht="13.8" x14ac:dyDescent="0.45">
      <c r="B335" s="128">
        <v>2051</v>
      </c>
      <c r="C335" s="1070"/>
      <c r="D335" s="1050"/>
      <c r="E335" s="1069"/>
      <c r="F335" s="1075"/>
      <c r="G335" s="1052"/>
      <c r="H335" s="1036"/>
      <c r="I335" s="1112"/>
      <c r="J335" s="247"/>
      <c r="K335" s="245"/>
      <c r="L335" s="246"/>
      <c r="M335" s="245"/>
      <c r="N335" s="29" t="s">
        <v>119</v>
      </c>
      <c r="O335" s="120"/>
      <c r="P335" s="120"/>
      <c r="Q335" s="120"/>
      <c r="R335" s="29">
        <v>37</v>
      </c>
      <c r="S335" s="238" t="str">
        <f t="shared" si="188"/>
        <v/>
      </c>
      <c r="T335" s="238" t="str">
        <f t="shared" si="189"/>
        <v/>
      </c>
      <c r="U335" s="238" t="str">
        <f t="shared" si="190"/>
        <v/>
      </c>
      <c r="W335" s="238" t="e">
        <f t="shared" si="170"/>
        <v>#N/A</v>
      </c>
      <c r="X335" s="238" t="e">
        <f t="shared" si="191"/>
        <v>#N/A</v>
      </c>
      <c r="Y335" s="238" t="e">
        <f t="shared" si="159"/>
        <v>#N/A</v>
      </c>
      <c r="AA335" s="1133">
        <v>782.80145361705172</v>
      </c>
      <c r="AB335" s="1133">
        <v>794.83414030727874</v>
      </c>
      <c r="AC335" s="1133">
        <v>806.86682699750577</v>
      </c>
      <c r="AD335" s="89"/>
      <c r="AE335" s="89"/>
      <c r="AF335" s="89"/>
      <c r="AG335" s="89"/>
      <c r="AH335" s="89"/>
      <c r="AI335" s="89"/>
      <c r="AJ335" s="89"/>
      <c r="AK335" s="89"/>
      <c r="AL335" s="89"/>
      <c r="AM335" s="89"/>
      <c r="AN335" s="89"/>
      <c r="BR335" s="180">
        <v>2049</v>
      </c>
      <c r="BS335" s="22">
        <v>35</v>
      </c>
      <c r="BT335" s="198" t="e">
        <f t="shared" si="171"/>
        <v>#DIV/0!</v>
      </c>
      <c r="BU335" s="198" t="e">
        <f t="shared" si="172"/>
        <v>#DIV/0!</v>
      </c>
      <c r="BV335" s="205" t="e">
        <f t="shared" si="173"/>
        <v>#DIV/0!</v>
      </c>
      <c r="BY335" s="180">
        <v>2049</v>
      </c>
      <c r="BZ335" s="22">
        <v>35</v>
      </c>
      <c r="CA335" s="198" t="e">
        <f t="shared" ca="1" si="174"/>
        <v>#REF!</v>
      </c>
      <c r="CB335" s="198" t="e">
        <f t="shared" ca="1" si="175"/>
        <v>#REF!</v>
      </c>
      <c r="CC335" s="198" t="e">
        <f t="shared" ca="1" si="186"/>
        <v>#REF!</v>
      </c>
      <c r="CD335" s="205" t="e">
        <f t="shared" ca="1" si="176"/>
        <v>#REF!</v>
      </c>
      <c r="CG335" s="180">
        <v>2049</v>
      </c>
      <c r="CH335" s="22">
        <v>35</v>
      </c>
      <c r="CI335" s="198" t="e">
        <f t="shared" ca="1" si="177"/>
        <v>#REF!</v>
      </c>
      <c r="CJ335" s="198" t="e">
        <f t="shared" ca="1" si="178"/>
        <v>#REF!</v>
      </c>
      <c r="CK335" s="198" t="e">
        <f t="shared" ca="1" si="179"/>
        <v>#REF!</v>
      </c>
      <c r="CL335" s="198" t="e">
        <f t="shared" ca="1" si="180"/>
        <v>#REF!</v>
      </c>
      <c r="CM335" s="205" t="e">
        <f t="shared" ca="1" si="181"/>
        <v>#REF!</v>
      </c>
      <c r="CP335" s="180">
        <v>2049</v>
      </c>
      <c r="CQ335" s="22">
        <v>35</v>
      </c>
      <c r="CR335" s="198" t="e">
        <f t="shared" ca="1" si="182"/>
        <v>#REF!</v>
      </c>
      <c r="CS335" s="198" t="e">
        <f t="shared" ca="1" si="183"/>
        <v>#REF!</v>
      </c>
      <c r="CT335" s="205" t="e">
        <f t="shared" ca="1" si="184"/>
        <v>#REF!</v>
      </c>
      <c r="CZ335" s="164" t="b">
        <f t="shared" si="160"/>
        <v>0</v>
      </c>
      <c r="DA335" s="165" t="b">
        <f t="shared" si="160"/>
        <v>0</v>
      </c>
      <c r="DB335" s="166" t="b">
        <f t="shared" si="160"/>
        <v>0</v>
      </c>
      <c r="DC335" s="164" t="str">
        <f t="shared" si="161"/>
        <v/>
      </c>
      <c r="DD335" s="166" t="str">
        <f t="shared" si="162"/>
        <v/>
      </c>
      <c r="DE335" s="164" t="str">
        <f t="shared" si="163"/>
        <v/>
      </c>
      <c r="DF335" s="166" t="str">
        <f t="shared" si="164"/>
        <v/>
      </c>
      <c r="DG335" s="164" t="str">
        <f t="shared" si="165"/>
        <v/>
      </c>
      <c r="DH335" s="166" t="str">
        <f t="shared" si="166"/>
        <v/>
      </c>
      <c r="DI335" s="164" t="str">
        <f>IFERROR(INDEX(DC$296:DC$344,_xlfn.AGGREGATE(15,6,(ROW(DC$296:DC$344)-ROW(DC$296)+1)/(DC$296:DC$344&lt;&gt;""),ROWS(DI$1:DI40))),"")</f>
        <v/>
      </c>
      <c r="DJ335" s="165" t="str">
        <f>IFERROR(INDEX(DD$296:DD$344,_xlfn.AGGREGATE(15,6,(ROW(DD$296:DD$344)-ROW(DD$296)+1)/(DD$296:DD$344&lt;&gt;""),ROWS(DJ$1:DJ40))),"")</f>
        <v/>
      </c>
      <c r="DK335" s="166" t="str">
        <f t="shared" si="167"/>
        <v/>
      </c>
      <c r="DL335" s="164" t="str">
        <f>IFERROR(INDEX(DE$296:DE$344,_xlfn.AGGREGATE(15,6,(ROW(DE$296:DE$344)-ROW(DE$296)+1)/(DE$296:DE$344&lt;&gt;""),ROWS(DL$1:DL40))),"")</f>
        <v/>
      </c>
      <c r="DM335" s="165" t="str">
        <f>IFERROR(INDEX(DF$296:DF$344,_xlfn.AGGREGATE(15,6,(ROW(DF$296:DF$344)-ROW(DF$296)+1)/(DF$296:DF$344&lt;&gt;""),ROWS(DM$1:DM40))),"")</f>
        <v/>
      </c>
      <c r="DN335" s="166" t="str">
        <f t="shared" si="168"/>
        <v/>
      </c>
      <c r="DO335" s="164" t="str">
        <f>IFERROR(INDEX(DG$296:DG$344,_xlfn.AGGREGATE(15,6,(ROW(DG$296:DG$344)-ROW(DG$296)+1)/(DG$296:DG$344&lt;&gt;""),ROWS(DO$1:DO40))),"")</f>
        <v/>
      </c>
      <c r="DP335" s="165" t="str">
        <f>IFERROR(INDEX(DH$296:DH$344,_xlfn.AGGREGATE(15,6,(ROW(DH$296:DH$344)-ROW(DH$296)+1)/(DH$296:DH$344&lt;&gt;""),ROWS(DP$1:DP40))),"")</f>
        <v/>
      </c>
      <c r="DQ335" s="166" t="str">
        <f t="shared" si="169"/>
        <v/>
      </c>
      <c r="DV335" s="145">
        <v>2054</v>
      </c>
      <c r="DW335" s="235" t="e">
        <f t="shared" ca="1" si="154"/>
        <v>#REF!</v>
      </c>
      <c r="EA335" s="55"/>
      <c r="EB335" s="55"/>
      <c r="EC335" s="55"/>
      <c r="ED335" s="55"/>
      <c r="EE335" s="55"/>
    </row>
    <row r="336" spans="2:135" ht="14.1" thickBot="1" x14ac:dyDescent="0.5">
      <c r="B336" s="128">
        <v>2052</v>
      </c>
      <c r="C336" s="1070"/>
      <c r="D336" s="1050"/>
      <c r="E336" s="1069"/>
      <c r="F336" s="1075"/>
      <c r="G336" s="1052"/>
      <c r="H336" s="1036"/>
      <c r="I336" s="1112"/>
      <c r="J336" s="247"/>
      <c r="K336" s="245"/>
      <c r="L336" s="246"/>
      <c r="M336" s="245"/>
      <c r="N336" s="29" t="s">
        <v>119</v>
      </c>
      <c r="O336" s="120"/>
      <c r="P336" s="120"/>
      <c r="Q336" s="120"/>
      <c r="R336" s="29">
        <v>38</v>
      </c>
      <c r="S336" s="238" t="str">
        <f t="shared" si="188"/>
        <v/>
      </c>
      <c r="T336" s="238" t="str">
        <f t="shared" si="189"/>
        <v/>
      </c>
      <c r="U336" s="238" t="str">
        <f t="shared" si="190"/>
        <v/>
      </c>
      <c r="W336" s="238" t="e">
        <f t="shared" si="170"/>
        <v>#N/A</v>
      </c>
      <c r="X336" s="238" t="e">
        <f t="shared" si="191"/>
        <v>#N/A</v>
      </c>
      <c r="Y336" s="238" t="e">
        <f t="shared" si="159"/>
        <v>#N/A</v>
      </c>
      <c r="AA336" s="1133">
        <v>793.03223802155242</v>
      </c>
      <c r="AB336" s="1133">
        <v>812.33999506211455</v>
      </c>
      <c r="AC336" s="1133">
        <v>831.64775210267669</v>
      </c>
      <c r="AD336" s="89"/>
      <c r="AE336" s="89"/>
      <c r="AF336" s="89"/>
      <c r="AG336" s="89"/>
      <c r="AH336" s="89"/>
      <c r="AI336" s="89"/>
      <c r="AJ336" s="89"/>
      <c r="AK336" s="89"/>
      <c r="AL336" s="89"/>
      <c r="AM336" s="89"/>
      <c r="AN336" s="89"/>
      <c r="BR336" s="180">
        <v>2050</v>
      </c>
      <c r="BS336" s="22">
        <v>36</v>
      </c>
      <c r="BT336" s="198" t="e">
        <f t="shared" si="171"/>
        <v>#DIV/0!</v>
      </c>
      <c r="BU336" s="198" t="e">
        <f t="shared" si="172"/>
        <v>#DIV/0!</v>
      </c>
      <c r="BV336" s="212" t="e">
        <f t="shared" si="173"/>
        <v>#DIV/0!</v>
      </c>
      <c r="BY336" s="180">
        <v>2050</v>
      </c>
      <c r="BZ336" s="22">
        <v>36</v>
      </c>
      <c r="CA336" s="198" t="e">
        <f t="shared" ca="1" si="174"/>
        <v>#REF!</v>
      </c>
      <c r="CB336" s="198" t="e">
        <f t="shared" ca="1" si="175"/>
        <v>#REF!</v>
      </c>
      <c r="CC336" s="198" t="e">
        <f t="shared" ca="1" si="186"/>
        <v>#REF!</v>
      </c>
      <c r="CD336" s="212" t="e">
        <f t="shared" ca="1" si="176"/>
        <v>#REF!</v>
      </c>
      <c r="CG336" s="180">
        <v>2050</v>
      </c>
      <c r="CH336" s="22">
        <v>36</v>
      </c>
      <c r="CI336" s="198" t="e">
        <f t="shared" ca="1" si="177"/>
        <v>#REF!</v>
      </c>
      <c r="CJ336" s="198" t="e">
        <f t="shared" ca="1" si="178"/>
        <v>#REF!</v>
      </c>
      <c r="CK336" s="198" t="e">
        <f t="shared" ca="1" si="179"/>
        <v>#REF!</v>
      </c>
      <c r="CL336" s="198" t="e">
        <f t="shared" ca="1" si="180"/>
        <v>#REF!</v>
      </c>
      <c r="CM336" s="212" t="e">
        <f t="shared" ca="1" si="181"/>
        <v>#REF!</v>
      </c>
      <c r="CP336" s="180">
        <v>2050</v>
      </c>
      <c r="CQ336" s="22">
        <v>36</v>
      </c>
      <c r="CR336" s="198" t="e">
        <f t="shared" ca="1" si="182"/>
        <v>#REF!</v>
      </c>
      <c r="CS336" s="198" t="e">
        <f t="shared" ca="1" si="183"/>
        <v>#REF!</v>
      </c>
      <c r="CT336" s="212" t="e">
        <f t="shared" ca="1" si="184"/>
        <v>#REF!</v>
      </c>
      <c r="CZ336" s="164" t="b">
        <f t="shared" ref="CZ336:DB344" si="192">ISNUMBER(W336)</f>
        <v>0</v>
      </c>
      <c r="DA336" s="165" t="b">
        <f t="shared" si="192"/>
        <v>0</v>
      </c>
      <c r="DB336" s="166" t="b">
        <f t="shared" si="192"/>
        <v>0</v>
      </c>
      <c r="DC336" s="164" t="str">
        <f t="shared" si="161"/>
        <v/>
      </c>
      <c r="DD336" s="166" t="str">
        <f t="shared" si="162"/>
        <v/>
      </c>
      <c r="DE336" s="164" t="str">
        <f t="shared" si="163"/>
        <v/>
      </c>
      <c r="DF336" s="166" t="str">
        <f t="shared" si="164"/>
        <v/>
      </c>
      <c r="DG336" s="164" t="str">
        <f t="shared" si="165"/>
        <v/>
      </c>
      <c r="DH336" s="166" t="str">
        <f t="shared" si="166"/>
        <v/>
      </c>
      <c r="DI336" s="164" t="str">
        <f>IFERROR(INDEX(DC$296:DC$344,_xlfn.AGGREGATE(15,6,(ROW(DC$296:DC$344)-ROW(DC$296)+1)/(DC$296:DC$344&lt;&gt;""),ROWS(DI$1:DI41))),"")</f>
        <v/>
      </c>
      <c r="DJ336" s="165" t="str">
        <f>IFERROR(INDEX(DD$296:DD$344,_xlfn.AGGREGATE(15,6,(ROW(DD$296:DD$344)-ROW(DD$296)+1)/(DD$296:DD$344&lt;&gt;""),ROWS(DJ$1:DJ41))),"")</f>
        <v/>
      </c>
      <c r="DK336" s="166" t="str">
        <f t="shared" si="167"/>
        <v/>
      </c>
      <c r="DL336" s="164" t="str">
        <f>IFERROR(INDEX(DE$296:DE$344,_xlfn.AGGREGATE(15,6,(ROW(DE$296:DE$344)-ROW(DE$296)+1)/(DE$296:DE$344&lt;&gt;""),ROWS(DL$1:DL41))),"")</f>
        <v/>
      </c>
      <c r="DM336" s="165" t="str">
        <f>IFERROR(INDEX(DF$296:DF$344,_xlfn.AGGREGATE(15,6,(ROW(DF$296:DF$344)-ROW(DF$296)+1)/(DF$296:DF$344&lt;&gt;""),ROWS(DM$1:DM41))),"")</f>
        <v/>
      </c>
      <c r="DN336" s="166" t="str">
        <f t="shared" si="168"/>
        <v/>
      </c>
      <c r="DO336" s="164" t="str">
        <f>IFERROR(INDEX(DG$296:DG$344,_xlfn.AGGREGATE(15,6,(ROW(DG$296:DG$344)-ROW(DG$296)+1)/(DG$296:DG$344&lt;&gt;""),ROWS(DO$1:DO41))),"")</f>
        <v/>
      </c>
      <c r="DP336" s="165" t="str">
        <f>IFERROR(INDEX(DH$296:DH$344,_xlfn.AGGREGATE(15,6,(ROW(DH$296:DH$344)-ROW(DH$296)+1)/(DH$296:DH$344&lt;&gt;""),ROWS(DP$1:DP41))),"")</f>
        <v/>
      </c>
      <c r="DQ336" s="166" t="str">
        <f t="shared" si="169"/>
        <v/>
      </c>
      <c r="DV336" s="145">
        <v>2055</v>
      </c>
      <c r="DW336" s="235" t="e">
        <f t="shared" ca="1" si="154"/>
        <v>#REF!</v>
      </c>
      <c r="EA336" s="55"/>
      <c r="EB336" s="55"/>
      <c r="EC336" s="55"/>
      <c r="ED336" s="55"/>
      <c r="EE336" s="55"/>
    </row>
    <row r="337" spans="1:135" ht="13.8" x14ac:dyDescent="0.45">
      <c r="B337" s="128">
        <v>2053</v>
      </c>
      <c r="C337" s="1070"/>
      <c r="D337" s="1050"/>
      <c r="E337" s="1069"/>
      <c r="F337" s="1075"/>
      <c r="G337" s="1052"/>
      <c r="H337" s="1036"/>
      <c r="I337" s="1112"/>
      <c r="J337" s="247"/>
      <c r="K337" s="245"/>
      <c r="L337" s="246"/>
      <c r="M337" s="245"/>
      <c r="N337" s="29" t="s">
        <v>119</v>
      </c>
      <c r="O337" s="120"/>
      <c r="P337" s="120"/>
      <c r="Q337" s="120"/>
      <c r="R337" s="29">
        <v>39</v>
      </c>
      <c r="S337" s="238" t="str">
        <f t="shared" si="188"/>
        <v/>
      </c>
      <c r="T337" s="238" t="str">
        <f t="shared" si="189"/>
        <v/>
      </c>
      <c r="U337" s="238" t="str">
        <f t="shared" si="190"/>
        <v/>
      </c>
      <c r="W337" s="238" t="e">
        <f t="shared" si="170"/>
        <v>#N/A</v>
      </c>
      <c r="X337" s="238" t="e">
        <f t="shared" si="191"/>
        <v>#N/A</v>
      </c>
      <c r="Y337" s="238" t="e">
        <f t="shared" si="159"/>
        <v>#N/A</v>
      </c>
      <c r="AA337" s="1133">
        <v>808.77369799390419</v>
      </c>
      <c r="AB337" s="1133">
        <v>832.43039877469721</v>
      </c>
      <c r="AC337" s="1133">
        <v>856.08709955549023</v>
      </c>
      <c r="AD337" s="89"/>
      <c r="AE337" s="89"/>
      <c r="AF337" s="89"/>
      <c r="AG337" s="89"/>
      <c r="AH337" s="89"/>
      <c r="AI337" s="89"/>
      <c r="AJ337" s="89"/>
      <c r="AK337" s="89"/>
      <c r="AL337" s="89"/>
      <c r="AM337" s="89"/>
      <c r="AN337" s="89"/>
      <c r="BR337" s="180">
        <v>2051</v>
      </c>
      <c r="BS337" s="22">
        <v>37</v>
      </c>
      <c r="BT337" s="198" t="e">
        <f t="shared" si="171"/>
        <v>#DIV/0!</v>
      </c>
      <c r="BU337" s="198" t="e">
        <f t="shared" si="172"/>
        <v>#DIV/0!</v>
      </c>
      <c r="BV337" s="285" t="e">
        <f t="shared" si="173"/>
        <v>#DIV/0!</v>
      </c>
      <c r="BY337" s="180">
        <v>2051</v>
      </c>
      <c r="BZ337" s="22">
        <v>37</v>
      </c>
      <c r="CA337" s="198" t="e">
        <f t="shared" ca="1" si="174"/>
        <v>#REF!</v>
      </c>
      <c r="CB337" s="198" t="e">
        <f t="shared" ca="1" si="175"/>
        <v>#REF!</v>
      </c>
      <c r="CC337" s="198" t="e">
        <f t="shared" ca="1" si="186"/>
        <v>#REF!</v>
      </c>
      <c r="CD337" s="285" t="e">
        <f t="shared" ca="1" si="176"/>
        <v>#REF!</v>
      </c>
      <c r="CG337" s="180">
        <v>2051</v>
      </c>
      <c r="CH337" s="22">
        <v>37</v>
      </c>
      <c r="CI337" s="198" t="e">
        <f t="shared" ca="1" si="177"/>
        <v>#REF!</v>
      </c>
      <c r="CJ337" s="198" t="e">
        <f t="shared" ca="1" si="178"/>
        <v>#REF!</v>
      </c>
      <c r="CK337" s="198" t="e">
        <f t="shared" ca="1" si="179"/>
        <v>#REF!</v>
      </c>
      <c r="CL337" s="198" t="e">
        <f t="shared" ca="1" si="180"/>
        <v>#REF!</v>
      </c>
      <c r="CM337" s="285" t="e">
        <f t="shared" ca="1" si="181"/>
        <v>#REF!</v>
      </c>
      <c r="CP337" s="180">
        <v>2051</v>
      </c>
      <c r="CQ337" s="22">
        <v>37</v>
      </c>
      <c r="CR337" s="198" t="e">
        <f t="shared" ca="1" si="182"/>
        <v>#REF!</v>
      </c>
      <c r="CS337" s="198" t="e">
        <f t="shared" ca="1" si="183"/>
        <v>#REF!</v>
      </c>
      <c r="CT337" s="285" t="e">
        <f t="shared" ca="1" si="184"/>
        <v>#REF!</v>
      </c>
      <c r="CZ337" s="164" t="b">
        <f t="shared" si="192"/>
        <v>0</v>
      </c>
      <c r="DA337" s="165" t="b">
        <f t="shared" si="192"/>
        <v>0</v>
      </c>
      <c r="DB337" s="166" t="b">
        <f t="shared" si="192"/>
        <v>0</v>
      </c>
      <c r="DC337" s="164" t="str">
        <f t="shared" si="161"/>
        <v/>
      </c>
      <c r="DD337" s="166" t="str">
        <f t="shared" si="162"/>
        <v/>
      </c>
      <c r="DE337" s="164" t="str">
        <f t="shared" si="163"/>
        <v/>
      </c>
      <c r="DF337" s="166" t="str">
        <f t="shared" si="164"/>
        <v/>
      </c>
      <c r="DG337" s="164" t="str">
        <f t="shared" si="165"/>
        <v/>
      </c>
      <c r="DH337" s="166" t="str">
        <f t="shared" si="166"/>
        <v/>
      </c>
      <c r="DI337" s="164" t="str">
        <f>IFERROR(INDEX(DC$296:DC$344,_xlfn.AGGREGATE(15,6,(ROW(DC$296:DC$344)-ROW(DC$296)+1)/(DC$296:DC$344&lt;&gt;""),ROWS(DI$1:DI42))),"")</f>
        <v/>
      </c>
      <c r="DJ337" s="165" t="str">
        <f>IFERROR(INDEX(DD$296:DD$344,_xlfn.AGGREGATE(15,6,(ROW(DD$296:DD$344)-ROW(DD$296)+1)/(DD$296:DD$344&lt;&gt;""),ROWS(DJ$1:DJ42))),"")</f>
        <v/>
      </c>
      <c r="DK337" s="166" t="str">
        <f t="shared" si="167"/>
        <v/>
      </c>
      <c r="DL337" s="164" t="str">
        <f>IFERROR(INDEX(DE$296:DE$344,_xlfn.AGGREGATE(15,6,(ROW(DE$296:DE$344)-ROW(DE$296)+1)/(DE$296:DE$344&lt;&gt;""),ROWS(DL$1:DL42))),"")</f>
        <v/>
      </c>
      <c r="DM337" s="165" t="str">
        <f>IFERROR(INDEX(DF$296:DF$344,_xlfn.AGGREGATE(15,6,(ROW(DF$296:DF$344)-ROW(DF$296)+1)/(DF$296:DF$344&lt;&gt;""),ROWS(DM$1:DM42))),"")</f>
        <v/>
      </c>
      <c r="DN337" s="166" t="str">
        <f t="shared" si="168"/>
        <v/>
      </c>
      <c r="DO337" s="164" t="str">
        <f>IFERROR(INDEX(DG$296:DG$344,_xlfn.AGGREGATE(15,6,(ROW(DG$296:DG$344)-ROW(DG$296)+1)/(DG$296:DG$344&lt;&gt;""),ROWS(DO$1:DO42))),"")</f>
        <v/>
      </c>
      <c r="DP337" s="165" t="str">
        <f>IFERROR(INDEX(DH$296:DH$344,_xlfn.AGGREGATE(15,6,(ROW(DH$296:DH$344)-ROW(DH$296)+1)/(DH$296:DH$344&lt;&gt;""),ROWS(DP$1:DP42))),"")</f>
        <v/>
      </c>
      <c r="DQ337" s="166" t="str">
        <f t="shared" si="169"/>
        <v/>
      </c>
      <c r="DV337" s="145">
        <v>2056</v>
      </c>
      <c r="DW337" s="235" t="e">
        <f t="shared" ca="1" si="154"/>
        <v>#REF!</v>
      </c>
      <c r="EA337" s="55"/>
      <c r="EB337" s="55"/>
      <c r="EC337" s="55"/>
      <c r="ED337" s="55"/>
      <c r="EE337" s="55"/>
    </row>
    <row r="338" spans="1:135" ht="13.8" x14ac:dyDescent="0.45">
      <c r="B338" s="128">
        <v>2054</v>
      </c>
      <c r="C338" s="1070"/>
      <c r="D338" s="1050"/>
      <c r="E338" s="1069"/>
      <c r="F338" s="1075"/>
      <c r="G338" s="1052"/>
      <c r="H338" s="1036"/>
      <c r="I338" s="1112"/>
      <c r="J338" s="247"/>
      <c r="K338" s="245"/>
      <c r="L338" s="246"/>
      <c r="M338" s="245"/>
      <c r="N338" s="29" t="s">
        <v>119</v>
      </c>
      <c r="O338" s="120"/>
      <c r="P338" s="120"/>
      <c r="Q338" s="120"/>
      <c r="R338" s="29">
        <v>40</v>
      </c>
      <c r="S338" s="238" t="str">
        <f t="shared" si="188"/>
        <v/>
      </c>
      <c r="T338" s="238" t="str">
        <f t="shared" si="189"/>
        <v/>
      </c>
      <c r="U338" s="238" t="str">
        <f t="shared" si="190"/>
        <v/>
      </c>
      <c r="W338" s="238" t="e">
        <f t="shared" si="170"/>
        <v>#N/A</v>
      </c>
      <c r="X338" s="238" t="e">
        <f t="shared" si="191"/>
        <v>#N/A</v>
      </c>
      <c r="Y338" s="238" t="e">
        <f t="shared" si="159"/>
        <v>#N/A</v>
      </c>
      <c r="AA338" s="1133">
        <v>824.61841316640857</v>
      </c>
      <c r="AB338" s="1133">
        <v>852.87333779202584</v>
      </c>
      <c r="AC338" s="1133">
        <v>881.1282624176431</v>
      </c>
      <c r="AD338" s="89"/>
      <c r="AE338" s="89"/>
      <c r="AF338" s="89"/>
      <c r="AG338" s="89"/>
      <c r="AH338" s="89"/>
      <c r="AI338" s="89"/>
      <c r="AJ338" s="89"/>
      <c r="AK338" s="89"/>
      <c r="AL338" s="89"/>
      <c r="AM338" s="89"/>
      <c r="AN338" s="89"/>
      <c r="BR338" s="180">
        <v>2052</v>
      </c>
      <c r="BS338" s="22">
        <v>38</v>
      </c>
      <c r="BT338" s="198" t="e">
        <f t="shared" si="171"/>
        <v>#DIV/0!</v>
      </c>
      <c r="BU338" s="198" t="e">
        <f t="shared" si="172"/>
        <v>#DIV/0!</v>
      </c>
      <c r="BV338" s="241" t="e">
        <f t="shared" si="173"/>
        <v>#DIV/0!</v>
      </c>
      <c r="BY338" s="180">
        <v>2052</v>
      </c>
      <c r="BZ338" s="22">
        <v>38</v>
      </c>
      <c r="CA338" s="198" t="e">
        <f t="shared" ca="1" si="174"/>
        <v>#REF!</v>
      </c>
      <c r="CB338" s="198" t="e">
        <f t="shared" ca="1" si="175"/>
        <v>#REF!</v>
      </c>
      <c r="CC338" s="198" t="e">
        <f t="shared" ca="1" si="186"/>
        <v>#REF!</v>
      </c>
      <c r="CD338" s="241" t="e">
        <f t="shared" ca="1" si="176"/>
        <v>#REF!</v>
      </c>
      <c r="CG338" s="180">
        <v>2052</v>
      </c>
      <c r="CH338" s="22">
        <v>38</v>
      </c>
      <c r="CI338" s="198" t="e">
        <f t="shared" ca="1" si="177"/>
        <v>#REF!</v>
      </c>
      <c r="CJ338" s="198" t="e">
        <f t="shared" ca="1" si="178"/>
        <v>#REF!</v>
      </c>
      <c r="CK338" s="198" t="e">
        <f t="shared" ca="1" si="179"/>
        <v>#REF!</v>
      </c>
      <c r="CL338" s="198" t="e">
        <f t="shared" ca="1" si="180"/>
        <v>#REF!</v>
      </c>
      <c r="CM338" s="241" t="e">
        <f t="shared" ca="1" si="181"/>
        <v>#REF!</v>
      </c>
      <c r="CP338" s="180">
        <v>2052</v>
      </c>
      <c r="CQ338" s="22">
        <v>38</v>
      </c>
      <c r="CR338" s="198" t="e">
        <f t="shared" ca="1" si="182"/>
        <v>#REF!</v>
      </c>
      <c r="CS338" s="198" t="e">
        <f t="shared" ca="1" si="183"/>
        <v>#REF!</v>
      </c>
      <c r="CT338" s="241" t="e">
        <f t="shared" ca="1" si="184"/>
        <v>#REF!</v>
      </c>
      <c r="CZ338" s="164" t="b">
        <f t="shared" si="192"/>
        <v>0</v>
      </c>
      <c r="DA338" s="165" t="b">
        <f t="shared" si="192"/>
        <v>0</v>
      </c>
      <c r="DB338" s="166" t="b">
        <f t="shared" si="192"/>
        <v>0</v>
      </c>
      <c r="DC338" s="164" t="str">
        <f t="shared" si="161"/>
        <v/>
      </c>
      <c r="DD338" s="166" t="str">
        <f t="shared" si="162"/>
        <v/>
      </c>
      <c r="DE338" s="164" t="str">
        <f t="shared" si="163"/>
        <v/>
      </c>
      <c r="DF338" s="166" t="str">
        <f t="shared" si="164"/>
        <v/>
      </c>
      <c r="DG338" s="164" t="str">
        <f t="shared" si="165"/>
        <v/>
      </c>
      <c r="DH338" s="166" t="str">
        <f t="shared" si="166"/>
        <v/>
      </c>
      <c r="DI338" s="164" t="str">
        <f>IFERROR(INDEX(DC$296:DC$344,_xlfn.AGGREGATE(15,6,(ROW(DC$296:DC$344)-ROW(DC$296)+1)/(DC$296:DC$344&lt;&gt;""),ROWS(DI$1:DI43))),"")</f>
        <v/>
      </c>
      <c r="DJ338" s="165" t="str">
        <f>IFERROR(INDEX(DD$296:DD$344,_xlfn.AGGREGATE(15,6,(ROW(DD$296:DD$344)-ROW(DD$296)+1)/(DD$296:DD$344&lt;&gt;""),ROWS(DJ$1:DJ43))),"")</f>
        <v/>
      </c>
      <c r="DK338" s="166" t="str">
        <f t="shared" si="167"/>
        <v/>
      </c>
      <c r="DL338" s="164" t="str">
        <f>IFERROR(INDEX(DE$296:DE$344,_xlfn.AGGREGATE(15,6,(ROW(DE$296:DE$344)-ROW(DE$296)+1)/(DE$296:DE$344&lt;&gt;""),ROWS(DL$1:DL43))),"")</f>
        <v/>
      </c>
      <c r="DM338" s="165" t="str">
        <f>IFERROR(INDEX(DF$296:DF$344,_xlfn.AGGREGATE(15,6,(ROW(DF$296:DF$344)-ROW(DF$296)+1)/(DF$296:DF$344&lt;&gt;""),ROWS(DM$1:DM43))),"")</f>
        <v/>
      </c>
      <c r="DN338" s="166" t="str">
        <f t="shared" si="168"/>
        <v/>
      </c>
      <c r="DO338" s="164" t="str">
        <f>IFERROR(INDEX(DG$296:DG$344,_xlfn.AGGREGATE(15,6,(ROW(DG$296:DG$344)-ROW(DG$296)+1)/(DG$296:DG$344&lt;&gt;""),ROWS(DO$1:DO43))),"")</f>
        <v/>
      </c>
      <c r="DP338" s="165" t="str">
        <f>IFERROR(INDEX(DH$296:DH$344,_xlfn.AGGREGATE(15,6,(ROW(DH$296:DH$344)-ROW(DH$296)+1)/(DH$296:DH$344&lt;&gt;""),ROWS(DP$1:DP43))),"")</f>
        <v/>
      </c>
      <c r="DQ338" s="166" t="str">
        <f t="shared" si="169"/>
        <v/>
      </c>
      <c r="DV338" s="145">
        <v>2057</v>
      </c>
      <c r="DW338" s="235" t="e">
        <f t="shared" ca="1" si="154"/>
        <v>#REF!</v>
      </c>
      <c r="EA338" s="55"/>
      <c r="EB338" s="55"/>
      <c r="EC338" s="55"/>
      <c r="ED338" s="55"/>
      <c r="EE338" s="55"/>
    </row>
    <row r="339" spans="1:135" ht="13.8" x14ac:dyDescent="0.45">
      <c r="B339" s="128">
        <v>2055</v>
      </c>
      <c r="C339" s="1070"/>
      <c r="D339" s="1050"/>
      <c r="E339" s="1069"/>
      <c r="F339" s="1075"/>
      <c r="G339" s="1052"/>
      <c r="H339" s="1036"/>
      <c r="I339" s="1112"/>
      <c r="J339" s="247"/>
      <c r="K339" s="245"/>
      <c r="L339" s="246"/>
      <c r="M339" s="245"/>
      <c r="N339" s="29" t="s">
        <v>119</v>
      </c>
      <c r="O339" s="120"/>
      <c r="P339" s="120"/>
      <c r="Q339" s="120"/>
      <c r="R339" s="29">
        <v>41</v>
      </c>
      <c r="S339" s="238" t="str">
        <f t="shared" si="188"/>
        <v/>
      </c>
      <c r="T339" s="238" t="str">
        <f t="shared" si="189"/>
        <v/>
      </c>
      <c r="U339" s="238" t="str">
        <f t="shared" si="190"/>
        <v/>
      </c>
      <c r="W339" s="238" t="e">
        <f t="shared" si="170"/>
        <v>#N/A</v>
      </c>
      <c r="X339" s="238" t="e">
        <f t="shared" si="191"/>
        <v>#N/A</v>
      </c>
      <c r="Y339" s="238" t="e">
        <f t="shared" si="159"/>
        <v>#N/A</v>
      </c>
      <c r="AA339" s="1133">
        <v>840.56898793931578</v>
      </c>
      <c r="AB339" s="1133">
        <v>873.67770409275761</v>
      </c>
      <c r="AC339" s="1133">
        <v>906.78642024619944</v>
      </c>
      <c r="AD339" s="89"/>
      <c r="AE339" s="89"/>
      <c r="AF339" s="89"/>
      <c r="AG339" s="89"/>
      <c r="AH339" s="89"/>
      <c r="AI339" s="89"/>
      <c r="AJ339" s="89"/>
      <c r="AK339" s="89"/>
      <c r="AL339" s="89"/>
      <c r="AM339" s="89"/>
      <c r="AN339" s="89"/>
      <c r="BR339" s="180">
        <v>2053</v>
      </c>
      <c r="BS339" s="22">
        <v>39</v>
      </c>
      <c r="BT339" s="198" t="e">
        <f t="shared" si="171"/>
        <v>#DIV/0!</v>
      </c>
      <c r="BU339" s="198" t="e">
        <f t="shared" si="172"/>
        <v>#DIV/0!</v>
      </c>
      <c r="BV339" s="241" t="e">
        <f t="shared" si="173"/>
        <v>#DIV/0!</v>
      </c>
      <c r="BY339" s="180">
        <v>2053</v>
      </c>
      <c r="BZ339" s="22">
        <v>39</v>
      </c>
      <c r="CA339" s="198" t="e">
        <f t="shared" ca="1" si="174"/>
        <v>#REF!</v>
      </c>
      <c r="CB339" s="198" t="e">
        <f t="shared" ca="1" si="175"/>
        <v>#REF!</v>
      </c>
      <c r="CC339" s="198" t="e">
        <f t="shared" ca="1" si="186"/>
        <v>#REF!</v>
      </c>
      <c r="CD339" s="241" t="e">
        <f t="shared" ca="1" si="176"/>
        <v>#REF!</v>
      </c>
      <c r="CG339" s="180">
        <v>2053</v>
      </c>
      <c r="CH339" s="22">
        <v>39</v>
      </c>
      <c r="CI339" s="198" t="e">
        <f t="shared" ca="1" si="177"/>
        <v>#REF!</v>
      </c>
      <c r="CJ339" s="198" t="e">
        <f t="shared" ca="1" si="178"/>
        <v>#REF!</v>
      </c>
      <c r="CK339" s="198" t="e">
        <f t="shared" ca="1" si="179"/>
        <v>#REF!</v>
      </c>
      <c r="CL339" s="198" t="e">
        <f t="shared" ca="1" si="180"/>
        <v>#REF!</v>
      </c>
      <c r="CM339" s="241" t="e">
        <f t="shared" ca="1" si="181"/>
        <v>#REF!</v>
      </c>
      <c r="CP339" s="180">
        <v>2053</v>
      </c>
      <c r="CQ339" s="22">
        <v>39</v>
      </c>
      <c r="CR339" s="198" t="e">
        <f t="shared" ca="1" si="182"/>
        <v>#REF!</v>
      </c>
      <c r="CS339" s="198" t="e">
        <f t="shared" ca="1" si="183"/>
        <v>#REF!</v>
      </c>
      <c r="CT339" s="241" t="e">
        <f t="shared" ca="1" si="184"/>
        <v>#REF!</v>
      </c>
      <c r="CZ339" s="164" t="b">
        <f t="shared" si="192"/>
        <v>0</v>
      </c>
      <c r="DA339" s="165" t="b">
        <f t="shared" si="192"/>
        <v>0</v>
      </c>
      <c r="DB339" s="166" t="b">
        <f t="shared" si="192"/>
        <v>0</v>
      </c>
      <c r="DC339" s="164" t="str">
        <f t="shared" si="161"/>
        <v/>
      </c>
      <c r="DD339" s="166" t="str">
        <f t="shared" si="162"/>
        <v/>
      </c>
      <c r="DE339" s="164" t="str">
        <f t="shared" si="163"/>
        <v/>
      </c>
      <c r="DF339" s="166" t="str">
        <f t="shared" si="164"/>
        <v/>
      </c>
      <c r="DG339" s="164" t="str">
        <f t="shared" si="165"/>
        <v/>
      </c>
      <c r="DH339" s="166" t="str">
        <f t="shared" si="166"/>
        <v/>
      </c>
      <c r="DI339" s="164" t="str">
        <f>IFERROR(INDEX(DC$296:DC$344,_xlfn.AGGREGATE(15,6,(ROW(DC$296:DC$344)-ROW(DC$296)+1)/(DC$296:DC$344&lt;&gt;""),ROWS(DI$1:DI44))),"")</f>
        <v/>
      </c>
      <c r="DJ339" s="165" t="str">
        <f>IFERROR(INDEX(DD$296:DD$344,_xlfn.AGGREGATE(15,6,(ROW(DD$296:DD$344)-ROW(DD$296)+1)/(DD$296:DD$344&lt;&gt;""),ROWS(DJ$1:DJ44))),"")</f>
        <v/>
      </c>
      <c r="DK339" s="166" t="str">
        <f t="shared" si="167"/>
        <v/>
      </c>
      <c r="DL339" s="164" t="str">
        <f>IFERROR(INDEX(DE$296:DE$344,_xlfn.AGGREGATE(15,6,(ROW(DE$296:DE$344)-ROW(DE$296)+1)/(DE$296:DE$344&lt;&gt;""),ROWS(DL$1:DL44))),"")</f>
        <v/>
      </c>
      <c r="DM339" s="165" t="str">
        <f>IFERROR(INDEX(DF$296:DF$344,_xlfn.AGGREGATE(15,6,(ROW(DF$296:DF$344)-ROW(DF$296)+1)/(DF$296:DF$344&lt;&gt;""),ROWS(DM$1:DM44))),"")</f>
        <v/>
      </c>
      <c r="DN339" s="166" t="str">
        <f t="shared" si="168"/>
        <v/>
      </c>
      <c r="DO339" s="164" t="str">
        <f>IFERROR(INDEX(DG$296:DG$344,_xlfn.AGGREGATE(15,6,(ROW(DG$296:DG$344)-ROW(DG$296)+1)/(DG$296:DG$344&lt;&gt;""),ROWS(DO$1:DO44))),"")</f>
        <v/>
      </c>
      <c r="DP339" s="165" t="str">
        <f>IFERROR(INDEX(DH$296:DH$344,_xlfn.AGGREGATE(15,6,(ROW(DH$296:DH$344)-ROW(DH$296)+1)/(DH$296:DH$344&lt;&gt;""),ROWS(DP$1:DP44))),"")</f>
        <v/>
      </c>
      <c r="DQ339" s="166" t="str">
        <f t="shared" si="169"/>
        <v/>
      </c>
      <c r="DV339" s="145">
        <v>2058</v>
      </c>
      <c r="DW339" s="235" t="e">
        <f t="shared" ca="1" si="154"/>
        <v>#REF!</v>
      </c>
      <c r="EA339" s="55"/>
      <c r="EB339" s="55"/>
      <c r="EC339" s="55"/>
      <c r="ED339" s="55"/>
      <c r="EE339" s="55"/>
    </row>
    <row r="340" spans="1:135" ht="13.8" x14ac:dyDescent="0.45">
      <c r="B340" s="128">
        <v>2056</v>
      </c>
      <c r="C340" s="1070"/>
      <c r="D340" s="1050"/>
      <c r="E340" s="1069"/>
      <c r="F340" s="1075"/>
      <c r="G340" s="1052"/>
      <c r="H340" s="1036"/>
      <c r="I340" s="1112"/>
      <c r="J340" s="247"/>
      <c r="K340" s="245"/>
      <c r="L340" s="246"/>
      <c r="M340" s="245"/>
      <c r="N340" s="29" t="s">
        <v>119</v>
      </c>
      <c r="O340" s="120"/>
      <c r="P340" s="120"/>
      <c r="Q340" s="120"/>
      <c r="R340" s="29">
        <v>42</v>
      </c>
      <c r="S340" s="238" t="str">
        <f t="shared" si="188"/>
        <v/>
      </c>
      <c r="T340" s="238" t="str">
        <f t="shared" si="189"/>
        <v/>
      </c>
      <c r="U340" s="238" t="str">
        <f t="shared" si="190"/>
        <v/>
      </c>
      <c r="W340" s="238" t="e">
        <f t="shared" si="170"/>
        <v>#N/A</v>
      </c>
      <c r="X340" s="238" t="e">
        <f t="shared" si="191"/>
        <v>#N/A</v>
      </c>
      <c r="Y340" s="238" t="e">
        <f t="shared" si="159"/>
        <v>#N/A</v>
      </c>
      <c r="AA340" s="1133">
        <v>856.62802671287648</v>
      </c>
      <c r="AB340" s="1133">
        <v>894.85238965554993</v>
      </c>
      <c r="AC340" s="1133">
        <v>933.07675259822338</v>
      </c>
      <c r="AD340" s="89"/>
      <c r="AE340" s="89"/>
      <c r="AF340" s="89"/>
      <c r="AG340" s="89"/>
      <c r="AH340" s="89"/>
      <c r="AI340" s="89"/>
      <c r="AJ340" s="89"/>
      <c r="AK340" s="89"/>
      <c r="AL340" s="89"/>
      <c r="AM340" s="89"/>
      <c r="AN340" s="89"/>
      <c r="BR340" s="180">
        <v>2054</v>
      </c>
      <c r="BS340" s="22">
        <v>40</v>
      </c>
      <c r="BT340" s="198" t="e">
        <f t="shared" si="171"/>
        <v>#DIV/0!</v>
      </c>
      <c r="BU340" s="198" t="e">
        <f t="shared" si="172"/>
        <v>#DIV/0!</v>
      </c>
      <c r="BV340" s="241" t="e">
        <f t="shared" si="173"/>
        <v>#DIV/0!</v>
      </c>
      <c r="BY340" s="180">
        <v>2054</v>
      </c>
      <c r="BZ340" s="22">
        <v>40</v>
      </c>
      <c r="CA340" s="198" t="e">
        <f t="shared" ca="1" si="174"/>
        <v>#REF!</v>
      </c>
      <c r="CB340" s="198" t="e">
        <f t="shared" ca="1" si="175"/>
        <v>#REF!</v>
      </c>
      <c r="CC340" s="198" t="e">
        <f t="shared" ca="1" si="186"/>
        <v>#REF!</v>
      </c>
      <c r="CD340" s="241" t="e">
        <f t="shared" ca="1" si="176"/>
        <v>#REF!</v>
      </c>
      <c r="CG340" s="180">
        <v>2054</v>
      </c>
      <c r="CH340" s="22">
        <v>40</v>
      </c>
      <c r="CI340" s="198" t="e">
        <f t="shared" ca="1" si="177"/>
        <v>#REF!</v>
      </c>
      <c r="CJ340" s="198" t="e">
        <f t="shared" ca="1" si="178"/>
        <v>#REF!</v>
      </c>
      <c r="CK340" s="198" t="e">
        <f t="shared" ca="1" si="179"/>
        <v>#REF!</v>
      </c>
      <c r="CL340" s="198" t="e">
        <f t="shared" ca="1" si="180"/>
        <v>#REF!</v>
      </c>
      <c r="CM340" s="241" t="e">
        <f t="shared" ca="1" si="181"/>
        <v>#REF!</v>
      </c>
      <c r="CP340" s="180">
        <v>2054</v>
      </c>
      <c r="CQ340" s="22">
        <v>40</v>
      </c>
      <c r="CR340" s="198" t="e">
        <f t="shared" ca="1" si="182"/>
        <v>#REF!</v>
      </c>
      <c r="CS340" s="198" t="e">
        <f t="shared" ca="1" si="183"/>
        <v>#REF!</v>
      </c>
      <c r="CT340" s="241" t="e">
        <f t="shared" ca="1" si="184"/>
        <v>#REF!</v>
      </c>
      <c r="CZ340" s="164" t="b">
        <f t="shared" si="192"/>
        <v>0</v>
      </c>
      <c r="DA340" s="165" t="b">
        <f t="shared" si="192"/>
        <v>0</v>
      </c>
      <c r="DB340" s="166" t="b">
        <f t="shared" si="192"/>
        <v>0</v>
      </c>
      <c r="DC340" s="164" t="str">
        <f t="shared" si="161"/>
        <v/>
      </c>
      <c r="DD340" s="166" t="str">
        <f t="shared" si="162"/>
        <v/>
      </c>
      <c r="DE340" s="164" t="str">
        <f t="shared" si="163"/>
        <v/>
      </c>
      <c r="DF340" s="166" t="str">
        <f t="shared" si="164"/>
        <v/>
      </c>
      <c r="DG340" s="164" t="str">
        <f t="shared" si="165"/>
        <v/>
      </c>
      <c r="DH340" s="166" t="str">
        <f t="shared" si="166"/>
        <v/>
      </c>
      <c r="DI340" s="164" t="str">
        <f>IFERROR(INDEX(DC$296:DC$344,_xlfn.AGGREGATE(15,6,(ROW(DC$296:DC$344)-ROW(DC$296)+1)/(DC$296:DC$344&lt;&gt;""),ROWS(DI$1:DI45))),"")</f>
        <v/>
      </c>
      <c r="DJ340" s="165" t="str">
        <f>IFERROR(INDEX(DD$296:DD$344,_xlfn.AGGREGATE(15,6,(ROW(DD$296:DD$344)-ROW(DD$296)+1)/(DD$296:DD$344&lt;&gt;""),ROWS(DJ$1:DJ45))),"")</f>
        <v/>
      </c>
      <c r="DK340" s="166" t="str">
        <f t="shared" si="167"/>
        <v/>
      </c>
      <c r="DL340" s="164" t="str">
        <f>IFERROR(INDEX(DE$296:DE$344,_xlfn.AGGREGATE(15,6,(ROW(DE$296:DE$344)-ROW(DE$296)+1)/(DE$296:DE$344&lt;&gt;""),ROWS(DL$1:DL45))),"")</f>
        <v/>
      </c>
      <c r="DM340" s="165" t="str">
        <f>IFERROR(INDEX(DF$296:DF$344,_xlfn.AGGREGATE(15,6,(ROW(DF$296:DF$344)-ROW(DF$296)+1)/(DF$296:DF$344&lt;&gt;""),ROWS(DM$1:DM45))),"")</f>
        <v/>
      </c>
      <c r="DN340" s="166" t="str">
        <f t="shared" si="168"/>
        <v/>
      </c>
      <c r="DO340" s="164" t="str">
        <f>IFERROR(INDEX(DG$296:DG$344,_xlfn.AGGREGATE(15,6,(ROW(DG$296:DG$344)-ROW(DG$296)+1)/(DG$296:DG$344&lt;&gt;""),ROWS(DO$1:DO45))),"")</f>
        <v/>
      </c>
      <c r="DP340" s="165" t="str">
        <f>IFERROR(INDEX(DH$296:DH$344,_xlfn.AGGREGATE(15,6,(ROW(DH$296:DH$344)-ROW(DH$296)+1)/(DH$296:DH$344&lt;&gt;""),ROWS(DP$1:DP45))),"")</f>
        <v/>
      </c>
      <c r="DQ340" s="166" t="str">
        <f t="shared" si="169"/>
        <v/>
      </c>
      <c r="DV340" s="145">
        <v>2059</v>
      </c>
      <c r="DW340" s="235" t="e">
        <f t="shared" ca="1" si="154"/>
        <v>#REF!</v>
      </c>
      <c r="EA340" s="55"/>
      <c r="EB340" s="55"/>
      <c r="EC340" s="55"/>
      <c r="ED340" s="55"/>
      <c r="EE340" s="55"/>
    </row>
    <row r="341" spans="1:135" ht="13.8" x14ac:dyDescent="0.45">
      <c r="B341" s="128">
        <v>2057</v>
      </c>
      <c r="C341" s="1070"/>
      <c r="D341" s="1050"/>
      <c r="E341" s="1069"/>
      <c r="F341" s="1075"/>
      <c r="G341" s="1052"/>
      <c r="H341" s="1036"/>
      <c r="I341" s="1112"/>
      <c r="J341" s="247"/>
      <c r="K341" s="245"/>
      <c r="L341" s="246"/>
      <c r="M341" s="245"/>
      <c r="N341" s="29" t="s">
        <v>119</v>
      </c>
      <c r="O341" s="120"/>
      <c r="P341" s="120"/>
      <c r="Q341" s="120"/>
      <c r="R341" s="29">
        <v>43</v>
      </c>
      <c r="S341" s="238" t="str">
        <f t="shared" si="188"/>
        <v/>
      </c>
      <c r="T341" s="238" t="str">
        <f t="shared" si="189"/>
        <v/>
      </c>
      <c r="U341" s="238" t="str">
        <f t="shared" si="190"/>
        <v/>
      </c>
      <c r="W341" s="238" t="e">
        <f t="shared" si="170"/>
        <v>#N/A</v>
      </c>
      <c r="X341" s="238" t="e">
        <f t="shared" si="191"/>
        <v>#N/A</v>
      </c>
      <c r="Y341" s="238" t="e">
        <f t="shared" si="159"/>
        <v>#N/A</v>
      </c>
      <c r="AA341" s="1133">
        <v>872.79813388734169</v>
      </c>
      <c r="AB341" s="1133">
        <v>916.40628645906054</v>
      </c>
      <c r="AC341" s="1133">
        <v>960.01443903077939</v>
      </c>
      <c r="AD341" s="89"/>
      <c r="AE341" s="89"/>
      <c r="AF341" s="89"/>
      <c r="AG341" s="89"/>
      <c r="AH341" s="89"/>
      <c r="AI341" s="89"/>
      <c r="AJ341" s="89"/>
      <c r="AK341" s="89"/>
      <c r="AL341" s="89"/>
      <c r="AM341" s="89"/>
      <c r="AN341" s="89"/>
      <c r="BR341" s="180">
        <v>2055</v>
      </c>
      <c r="BS341" s="22">
        <v>41</v>
      </c>
      <c r="BT341" s="198" t="e">
        <f t="shared" si="171"/>
        <v>#DIV/0!</v>
      </c>
      <c r="BU341" s="198" t="e">
        <f t="shared" si="172"/>
        <v>#DIV/0!</v>
      </c>
      <c r="BV341" s="241" t="e">
        <f t="shared" si="173"/>
        <v>#DIV/0!</v>
      </c>
      <c r="BY341" s="180">
        <v>2055</v>
      </c>
      <c r="BZ341" s="22">
        <v>41</v>
      </c>
      <c r="CA341" s="198" t="e">
        <f t="shared" ca="1" si="174"/>
        <v>#REF!</v>
      </c>
      <c r="CB341" s="198" t="e">
        <f t="shared" ca="1" si="175"/>
        <v>#REF!</v>
      </c>
      <c r="CC341" s="198" t="e">
        <f t="shared" ca="1" si="186"/>
        <v>#REF!</v>
      </c>
      <c r="CD341" s="241" t="e">
        <f t="shared" ca="1" si="176"/>
        <v>#REF!</v>
      </c>
      <c r="CG341" s="180">
        <v>2055</v>
      </c>
      <c r="CH341" s="22">
        <v>41</v>
      </c>
      <c r="CI341" s="198" t="e">
        <f t="shared" ca="1" si="177"/>
        <v>#REF!</v>
      </c>
      <c r="CJ341" s="198" t="e">
        <f t="shared" ca="1" si="178"/>
        <v>#REF!</v>
      </c>
      <c r="CK341" s="198" t="e">
        <f t="shared" ca="1" si="179"/>
        <v>#REF!</v>
      </c>
      <c r="CL341" s="198" t="e">
        <f t="shared" ca="1" si="180"/>
        <v>#REF!</v>
      </c>
      <c r="CM341" s="241" t="e">
        <f t="shared" ca="1" si="181"/>
        <v>#REF!</v>
      </c>
      <c r="CP341" s="180">
        <v>2055</v>
      </c>
      <c r="CQ341" s="22">
        <v>41</v>
      </c>
      <c r="CR341" s="198" t="e">
        <f t="shared" ca="1" si="182"/>
        <v>#REF!</v>
      </c>
      <c r="CS341" s="198" t="e">
        <f t="shared" ca="1" si="183"/>
        <v>#REF!</v>
      </c>
      <c r="CT341" s="241" t="e">
        <f t="shared" ca="1" si="184"/>
        <v>#REF!</v>
      </c>
      <c r="CZ341" s="164" t="b">
        <f t="shared" si="192"/>
        <v>0</v>
      </c>
      <c r="DA341" s="165" t="b">
        <f t="shared" si="192"/>
        <v>0</v>
      </c>
      <c r="DB341" s="166" t="b">
        <f t="shared" si="192"/>
        <v>0</v>
      </c>
      <c r="DC341" s="164" t="str">
        <f t="shared" si="161"/>
        <v/>
      </c>
      <c r="DD341" s="166" t="str">
        <f t="shared" si="162"/>
        <v/>
      </c>
      <c r="DE341" s="164" t="str">
        <f t="shared" si="163"/>
        <v/>
      </c>
      <c r="DF341" s="166" t="str">
        <f t="shared" si="164"/>
        <v/>
      </c>
      <c r="DG341" s="164" t="str">
        <f t="shared" si="165"/>
        <v/>
      </c>
      <c r="DH341" s="166" t="str">
        <f t="shared" si="166"/>
        <v/>
      </c>
      <c r="DI341" s="164" t="str">
        <f>IFERROR(INDEX(DC$296:DC$344,_xlfn.AGGREGATE(15,6,(ROW(DC$296:DC$344)-ROW(DC$296)+1)/(DC$296:DC$344&lt;&gt;""),ROWS(DI$1:DI46))),"")</f>
        <v/>
      </c>
      <c r="DJ341" s="165" t="str">
        <f>IFERROR(INDEX(DD$296:DD$344,_xlfn.AGGREGATE(15,6,(ROW(DD$296:DD$344)-ROW(DD$296)+1)/(DD$296:DD$344&lt;&gt;""),ROWS(DJ$1:DJ46))),"")</f>
        <v/>
      </c>
      <c r="DK341" s="166" t="str">
        <f t="shared" si="167"/>
        <v/>
      </c>
      <c r="DL341" s="164" t="str">
        <f>IFERROR(INDEX(DE$296:DE$344,_xlfn.AGGREGATE(15,6,(ROW(DE$296:DE$344)-ROW(DE$296)+1)/(DE$296:DE$344&lt;&gt;""),ROWS(DL$1:DL46))),"")</f>
        <v/>
      </c>
      <c r="DM341" s="165" t="str">
        <f>IFERROR(INDEX(DF$296:DF$344,_xlfn.AGGREGATE(15,6,(ROW(DF$296:DF$344)-ROW(DF$296)+1)/(DF$296:DF$344&lt;&gt;""),ROWS(DM$1:DM46))),"")</f>
        <v/>
      </c>
      <c r="DN341" s="166" t="str">
        <f t="shared" si="168"/>
        <v/>
      </c>
      <c r="DO341" s="164" t="str">
        <f>IFERROR(INDEX(DG$296:DG$344,_xlfn.AGGREGATE(15,6,(ROW(DG$296:DG$344)-ROW(DG$296)+1)/(DG$296:DG$344&lt;&gt;""),ROWS(DO$1:DO46))),"")</f>
        <v/>
      </c>
      <c r="DP341" s="165" t="str">
        <f>IFERROR(INDEX(DH$296:DH$344,_xlfn.AGGREGATE(15,6,(ROW(DH$296:DH$344)-ROW(DH$296)+1)/(DH$296:DH$344&lt;&gt;""),ROWS(DP$1:DP46))),"")</f>
        <v/>
      </c>
      <c r="DQ341" s="166" t="str">
        <f t="shared" si="169"/>
        <v/>
      </c>
      <c r="DV341" s="145">
        <v>2060</v>
      </c>
      <c r="DW341" s="235" t="e">
        <f t="shared" ca="1" si="154"/>
        <v>#REF!</v>
      </c>
      <c r="EA341" s="55"/>
      <c r="EB341" s="55"/>
      <c r="EC341" s="55"/>
      <c r="ED341" s="55"/>
      <c r="EE341" s="55"/>
    </row>
    <row r="342" spans="1:135" ht="13.8" x14ac:dyDescent="0.45">
      <c r="A342" s="214"/>
      <c r="B342" s="128">
        <v>2058</v>
      </c>
      <c r="C342" s="1070"/>
      <c r="D342" s="1050"/>
      <c r="E342" s="1069"/>
      <c r="F342" s="1075"/>
      <c r="G342" s="1052"/>
      <c r="H342" s="1036"/>
      <c r="I342" s="1112"/>
      <c r="J342" s="247"/>
      <c r="K342" s="245"/>
      <c r="L342" s="246"/>
      <c r="M342" s="245"/>
      <c r="N342" s="29" t="s">
        <v>119</v>
      </c>
      <c r="R342" s="29">
        <v>44</v>
      </c>
      <c r="S342" s="238" t="str">
        <f t="shared" si="188"/>
        <v/>
      </c>
      <c r="T342" s="238" t="str">
        <f t="shared" si="189"/>
        <v/>
      </c>
      <c r="U342" s="238" t="str">
        <f t="shared" si="190"/>
        <v/>
      </c>
      <c r="W342" s="238" t="e">
        <f t="shared" si="170"/>
        <v>#N/A</v>
      </c>
      <c r="X342" s="238" t="e">
        <f t="shared" si="191"/>
        <v>#N/A</v>
      </c>
      <c r="Y342" s="238" t="e">
        <f t="shared" si="159"/>
        <v>#N/A</v>
      </c>
      <c r="AA342" s="1133">
        <v>889.0819138629613</v>
      </c>
      <c r="AB342" s="1133">
        <v>938.3482864819465</v>
      </c>
      <c r="AC342" s="1133">
        <v>987.6146591009317</v>
      </c>
      <c r="AD342" s="89"/>
      <c r="AE342" s="89"/>
      <c r="AF342" s="89"/>
      <c r="AG342" s="89"/>
      <c r="AH342" s="89"/>
      <c r="AI342" s="89"/>
      <c r="AJ342" s="89"/>
      <c r="AK342" s="89"/>
      <c r="AL342" s="89"/>
      <c r="AM342" s="89"/>
      <c r="AN342" s="89"/>
      <c r="BR342" s="180">
        <v>2056</v>
      </c>
      <c r="BS342" s="22">
        <v>42</v>
      </c>
      <c r="BT342" s="198" t="e">
        <f t="shared" si="171"/>
        <v>#DIV/0!</v>
      </c>
      <c r="BU342" s="198" t="e">
        <f t="shared" si="172"/>
        <v>#DIV/0!</v>
      </c>
      <c r="BV342" s="241" t="e">
        <f t="shared" si="173"/>
        <v>#DIV/0!</v>
      </c>
      <c r="BY342" s="180">
        <v>2056</v>
      </c>
      <c r="BZ342" s="22">
        <v>42</v>
      </c>
      <c r="CA342" s="198" t="e">
        <f t="shared" ca="1" si="174"/>
        <v>#REF!</v>
      </c>
      <c r="CB342" s="198" t="e">
        <f t="shared" ca="1" si="175"/>
        <v>#REF!</v>
      </c>
      <c r="CC342" s="198" t="e">
        <f t="shared" ca="1" si="186"/>
        <v>#REF!</v>
      </c>
      <c r="CD342" s="241" t="e">
        <f t="shared" ca="1" si="176"/>
        <v>#REF!</v>
      </c>
      <c r="CG342" s="180">
        <v>2056</v>
      </c>
      <c r="CH342" s="22">
        <v>42</v>
      </c>
      <c r="CI342" s="198" t="e">
        <f t="shared" ca="1" si="177"/>
        <v>#REF!</v>
      </c>
      <c r="CJ342" s="198" t="e">
        <f t="shared" ca="1" si="178"/>
        <v>#REF!</v>
      </c>
      <c r="CK342" s="198" t="e">
        <f t="shared" ca="1" si="179"/>
        <v>#REF!</v>
      </c>
      <c r="CL342" s="198" t="e">
        <f t="shared" ca="1" si="180"/>
        <v>#REF!</v>
      </c>
      <c r="CM342" s="241" t="e">
        <f t="shared" ca="1" si="181"/>
        <v>#REF!</v>
      </c>
      <c r="CP342" s="180">
        <v>2056</v>
      </c>
      <c r="CQ342" s="22">
        <v>42</v>
      </c>
      <c r="CR342" s="198" t="e">
        <f t="shared" ca="1" si="182"/>
        <v>#REF!</v>
      </c>
      <c r="CS342" s="198" t="e">
        <f t="shared" ca="1" si="183"/>
        <v>#REF!</v>
      </c>
      <c r="CT342" s="241" t="e">
        <f t="shared" ca="1" si="184"/>
        <v>#REF!</v>
      </c>
      <c r="CZ342" s="164" t="b">
        <f t="shared" si="192"/>
        <v>0</v>
      </c>
      <c r="DA342" s="165" t="b">
        <f t="shared" si="192"/>
        <v>0</v>
      </c>
      <c r="DB342" s="166" t="b">
        <f t="shared" si="192"/>
        <v>0</v>
      </c>
      <c r="DC342" s="164" t="str">
        <f t="shared" si="161"/>
        <v/>
      </c>
      <c r="DD342" s="166" t="str">
        <f t="shared" si="162"/>
        <v/>
      </c>
      <c r="DE342" s="164" t="str">
        <f t="shared" si="163"/>
        <v/>
      </c>
      <c r="DF342" s="166" t="str">
        <f t="shared" si="164"/>
        <v/>
      </c>
      <c r="DG342" s="164" t="str">
        <f t="shared" si="165"/>
        <v/>
      </c>
      <c r="DH342" s="166" t="str">
        <f t="shared" si="166"/>
        <v/>
      </c>
      <c r="DI342" s="164" t="str">
        <f>IFERROR(INDEX(DC$296:DC$344,_xlfn.AGGREGATE(15,6,(ROW(DC$296:DC$344)-ROW(DC$296)+1)/(DC$296:DC$344&lt;&gt;""),ROWS(DI$1:DI47))),"")</f>
        <v/>
      </c>
      <c r="DJ342" s="165" t="str">
        <f>IFERROR(INDEX(DD$296:DD$344,_xlfn.AGGREGATE(15,6,(ROW(DD$296:DD$344)-ROW(DD$296)+1)/(DD$296:DD$344&lt;&gt;""),ROWS(DJ$1:DJ47))),"")</f>
        <v/>
      </c>
      <c r="DK342" s="166" t="str">
        <f t="shared" si="167"/>
        <v/>
      </c>
      <c r="DL342" s="164" t="str">
        <f>IFERROR(INDEX(DE$296:DE$344,_xlfn.AGGREGATE(15,6,(ROW(DE$296:DE$344)-ROW(DE$296)+1)/(DE$296:DE$344&lt;&gt;""),ROWS(DL$1:DL47))),"")</f>
        <v/>
      </c>
      <c r="DM342" s="165" t="str">
        <f>IFERROR(INDEX(DF$296:DF$344,_xlfn.AGGREGATE(15,6,(ROW(DF$296:DF$344)-ROW(DF$296)+1)/(DF$296:DF$344&lt;&gt;""),ROWS(DM$1:DM47))),"")</f>
        <v/>
      </c>
      <c r="DN342" s="166" t="str">
        <f t="shared" si="168"/>
        <v/>
      </c>
      <c r="DO342" s="164" t="str">
        <f>IFERROR(INDEX(DG$296:DG$344,_xlfn.AGGREGATE(15,6,(ROW(DG$296:DG$344)-ROW(DG$296)+1)/(DG$296:DG$344&lt;&gt;""),ROWS(DO$1:DO47))),"")</f>
        <v/>
      </c>
      <c r="DP342" s="165" t="str">
        <f>IFERROR(INDEX(DH$296:DH$344,_xlfn.AGGREGATE(15,6,(ROW(DH$296:DH$344)-ROW(DH$296)+1)/(DH$296:DH$344&lt;&gt;""),ROWS(DP$1:DP47))),"")</f>
        <v/>
      </c>
      <c r="DQ342" s="166" t="str">
        <f t="shared" si="169"/>
        <v/>
      </c>
      <c r="DW342" s="54"/>
      <c r="EA342" s="55"/>
      <c r="EB342" s="55"/>
      <c r="EC342" s="55"/>
      <c r="ED342" s="55"/>
      <c r="EE342" s="55"/>
    </row>
    <row r="343" spans="1:135" ht="13.8" x14ac:dyDescent="0.45">
      <c r="A343" s="214"/>
      <c r="B343" s="128">
        <v>2059</v>
      </c>
      <c r="C343" s="1070"/>
      <c r="D343" s="1050"/>
      <c r="E343" s="1069"/>
      <c r="F343" s="1075"/>
      <c r="G343" s="1052"/>
      <c r="H343" s="1036"/>
      <c r="I343" s="1112"/>
      <c r="J343" s="247"/>
      <c r="K343" s="245"/>
      <c r="L343" s="246"/>
      <c r="M343" s="245"/>
      <c r="N343" s="29" t="s">
        <v>119</v>
      </c>
      <c r="R343" s="29">
        <v>45</v>
      </c>
      <c r="S343" s="238" t="str">
        <f t="shared" si="188"/>
        <v/>
      </c>
      <c r="T343" s="238" t="str">
        <f t="shared" si="189"/>
        <v/>
      </c>
      <c r="U343" s="238" t="str">
        <f t="shared" si="190"/>
        <v/>
      </c>
      <c r="W343" s="238" t="e">
        <f t="shared" si="170"/>
        <v>#N/A</v>
      </c>
      <c r="X343" s="238" t="e">
        <f t="shared" si="191"/>
        <v>#N/A</v>
      </c>
      <c r="Y343" s="238" t="e">
        <f t="shared" si="159"/>
        <v>#N/A</v>
      </c>
      <c r="AA343" s="1133">
        <v>905.48197103998632</v>
      </c>
      <c r="AB343" s="1133">
        <v>960.68728170286556</v>
      </c>
      <c r="AC343" s="1133">
        <v>1015.8925923657448</v>
      </c>
      <c r="AD343" s="89"/>
      <c r="AE343" s="89"/>
      <c r="AF343" s="89"/>
      <c r="AG343" s="89"/>
      <c r="AH343" s="89"/>
      <c r="AI343" s="89"/>
      <c r="AJ343" s="89"/>
      <c r="AK343" s="89"/>
      <c r="AL343" s="89"/>
      <c r="AM343" s="89"/>
      <c r="AN343" s="89"/>
      <c r="BR343" s="180">
        <v>2057</v>
      </c>
      <c r="BS343" s="22">
        <v>43</v>
      </c>
      <c r="BT343" s="198" t="e">
        <f t="shared" si="171"/>
        <v>#DIV/0!</v>
      </c>
      <c r="BU343" s="198" t="e">
        <f t="shared" si="172"/>
        <v>#DIV/0!</v>
      </c>
      <c r="BV343" s="241" t="e">
        <f t="shared" si="173"/>
        <v>#DIV/0!</v>
      </c>
      <c r="BY343" s="180">
        <v>2057</v>
      </c>
      <c r="BZ343" s="22">
        <v>43</v>
      </c>
      <c r="CA343" s="198" t="e">
        <f t="shared" ca="1" si="174"/>
        <v>#REF!</v>
      </c>
      <c r="CB343" s="198" t="e">
        <f t="shared" ca="1" si="175"/>
        <v>#REF!</v>
      </c>
      <c r="CC343" s="198" t="e">
        <f t="shared" ca="1" si="186"/>
        <v>#REF!</v>
      </c>
      <c r="CD343" s="241" t="e">
        <f t="shared" ca="1" si="176"/>
        <v>#REF!</v>
      </c>
      <c r="CG343" s="180">
        <v>2057</v>
      </c>
      <c r="CH343" s="22">
        <v>43</v>
      </c>
      <c r="CI343" s="198" t="e">
        <f t="shared" ca="1" si="177"/>
        <v>#REF!</v>
      </c>
      <c r="CJ343" s="198" t="e">
        <f t="shared" ca="1" si="178"/>
        <v>#REF!</v>
      </c>
      <c r="CK343" s="198" t="e">
        <f t="shared" ca="1" si="179"/>
        <v>#REF!</v>
      </c>
      <c r="CL343" s="198" t="e">
        <f t="shared" ca="1" si="180"/>
        <v>#REF!</v>
      </c>
      <c r="CM343" s="241" t="e">
        <f t="shared" ca="1" si="181"/>
        <v>#REF!</v>
      </c>
      <c r="CP343" s="180">
        <v>2057</v>
      </c>
      <c r="CQ343" s="22">
        <v>43</v>
      </c>
      <c r="CR343" s="198" t="e">
        <f t="shared" ca="1" si="182"/>
        <v>#REF!</v>
      </c>
      <c r="CS343" s="198" t="e">
        <f t="shared" ca="1" si="183"/>
        <v>#REF!</v>
      </c>
      <c r="CT343" s="241" t="e">
        <f t="shared" ca="1" si="184"/>
        <v>#REF!</v>
      </c>
      <c r="CZ343" s="164" t="b">
        <f t="shared" si="192"/>
        <v>0</v>
      </c>
      <c r="DA343" s="165" t="b">
        <f t="shared" si="192"/>
        <v>0</v>
      </c>
      <c r="DB343" s="166" t="b">
        <f t="shared" si="192"/>
        <v>0</v>
      </c>
      <c r="DC343" s="164" t="str">
        <f t="shared" si="161"/>
        <v/>
      </c>
      <c r="DD343" s="166" t="str">
        <f t="shared" si="162"/>
        <v/>
      </c>
      <c r="DE343" s="164" t="str">
        <f t="shared" si="163"/>
        <v/>
      </c>
      <c r="DF343" s="166" t="str">
        <f t="shared" si="164"/>
        <v/>
      </c>
      <c r="DG343" s="164" t="str">
        <f t="shared" si="165"/>
        <v/>
      </c>
      <c r="DH343" s="166" t="str">
        <f t="shared" si="166"/>
        <v/>
      </c>
      <c r="DI343" s="164" t="str">
        <f>IFERROR(INDEX(DC$296:DC$344,_xlfn.AGGREGATE(15,6,(ROW(DC$296:DC$344)-ROW(DC$296)+1)/(DC$296:DC$344&lt;&gt;""),ROWS(DI$1:DI48))),"")</f>
        <v/>
      </c>
      <c r="DJ343" s="165" t="str">
        <f>IFERROR(INDEX(DD$296:DD$344,_xlfn.AGGREGATE(15,6,(ROW(DD$296:DD$344)-ROW(DD$296)+1)/(DD$296:DD$344&lt;&gt;""),ROWS(DJ$1:DJ48))),"")</f>
        <v/>
      </c>
      <c r="DK343" s="166" t="str">
        <f t="shared" si="167"/>
        <v/>
      </c>
      <c r="DL343" s="164" t="str">
        <f>IFERROR(INDEX(DE$296:DE$344,_xlfn.AGGREGATE(15,6,(ROW(DE$296:DE$344)-ROW(DE$296)+1)/(DE$296:DE$344&lt;&gt;""),ROWS(DL$1:DL48))),"")</f>
        <v/>
      </c>
      <c r="DM343" s="165" t="str">
        <f>IFERROR(INDEX(DF$296:DF$344,_xlfn.AGGREGATE(15,6,(ROW(DF$296:DF$344)-ROW(DF$296)+1)/(DF$296:DF$344&lt;&gt;""),ROWS(DM$1:DM48))),"")</f>
        <v/>
      </c>
      <c r="DN343" s="166" t="str">
        <f t="shared" si="168"/>
        <v/>
      </c>
      <c r="DO343" s="164" t="str">
        <f>IFERROR(INDEX(DG$296:DG$344,_xlfn.AGGREGATE(15,6,(ROW(DG$296:DG$344)-ROW(DG$296)+1)/(DG$296:DG$344&lt;&gt;""),ROWS(DO$1:DO48))),"")</f>
        <v/>
      </c>
      <c r="DP343" s="165" t="str">
        <f>IFERROR(INDEX(DH$296:DH$344,_xlfn.AGGREGATE(15,6,(ROW(DH$296:DH$344)-ROW(DH$296)+1)/(DH$296:DH$344&lt;&gt;""),ROWS(DP$1:DP48))),"")</f>
        <v/>
      </c>
      <c r="DQ343" s="166" t="str">
        <f t="shared" si="169"/>
        <v/>
      </c>
      <c r="DW343" s="54"/>
      <c r="EA343" s="55"/>
      <c r="EB343" s="55"/>
      <c r="EC343" s="55"/>
      <c r="ED343" s="55"/>
      <c r="EE343" s="55"/>
    </row>
    <row r="344" spans="1:135" ht="14.1" thickBot="1" x14ac:dyDescent="0.5">
      <c r="A344" s="214"/>
      <c r="B344" s="128">
        <v>2060</v>
      </c>
      <c r="C344" s="1007"/>
      <c r="D344" s="1062"/>
      <c r="E344" s="1071"/>
      <c r="F344" s="1076"/>
      <c r="G344" s="1057"/>
      <c r="H344" s="1043"/>
      <c r="I344" s="1115"/>
      <c r="J344" s="251"/>
      <c r="K344" s="249"/>
      <c r="L344" s="250"/>
      <c r="M344" s="249"/>
      <c r="N344" s="29" t="s">
        <v>119</v>
      </c>
      <c r="R344" s="29">
        <v>46</v>
      </c>
      <c r="S344" s="238" t="str">
        <f t="shared" si="188"/>
        <v/>
      </c>
      <c r="T344" s="238" t="str">
        <f t="shared" si="189"/>
        <v/>
      </c>
      <c r="U344" s="238" t="str">
        <f t="shared" si="190"/>
        <v/>
      </c>
      <c r="W344" s="238" t="e">
        <f t="shared" si="170"/>
        <v>#N/A</v>
      </c>
      <c r="X344" s="238" t="e">
        <f t="shared" si="191"/>
        <v>#N/A</v>
      </c>
      <c r="Y344" s="238" t="e">
        <f t="shared" si="159"/>
        <v>#N/A</v>
      </c>
      <c r="AA344" s="1133">
        <v>922.00090981866731</v>
      </c>
      <c r="AB344" s="1133">
        <v>983.43216410047501</v>
      </c>
      <c r="AC344" s="1133">
        <v>1044.8634183822826</v>
      </c>
      <c r="AD344" s="89"/>
      <c r="AE344" s="89"/>
      <c r="AF344" s="89"/>
      <c r="AG344" s="89"/>
      <c r="AH344" s="89"/>
      <c r="AI344" s="89"/>
      <c r="AJ344" s="89"/>
      <c r="AK344" s="89"/>
      <c r="AL344" s="89"/>
      <c r="AM344" s="89"/>
      <c r="AN344" s="89"/>
      <c r="BR344" s="180">
        <v>2058</v>
      </c>
      <c r="BS344" s="22">
        <v>44</v>
      </c>
      <c r="BT344" s="198" t="e">
        <f t="shared" si="171"/>
        <v>#DIV/0!</v>
      </c>
      <c r="BU344" s="198" t="e">
        <f t="shared" si="172"/>
        <v>#DIV/0!</v>
      </c>
      <c r="BV344" s="241" t="e">
        <f t="shared" si="173"/>
        <v>#DIV/0!</v>
      </c>
      <c r="BY344" s="180">
        <v>2058</v>
      </c>
      <c r="BZ344" s="22">
        <v>44</v>
      </c>
      <c r="CA344" s="198" t="e">
        <f t="shared" ca="1" si="174"/>
        <v>#REF!</v>
      </c>
      <c r="CB344" s="198" t="e">
        <f t="shared" ca="1" si="175"/>
        <v>#REF!</v>
      </c>
      <c r="CC344" s="198" t="e">
        <f t="shared" ca="1" si="186"/>
        <v>#REF!</v>
      </c>
      <c r="CD344" s="241" t="e">
        <f t="shared" ca="1" si="176"/>
        <v>#REF!</v>
      </c>
      <c r="CG344" s="180">
        <v>2058</v>
      </c>
      <c r="CH344" s="22">
        <v>44</v>
      </c>
      <c r="CI344" s="198" t="e">
        <f t="shared" ca="1" si="177"/>
        <v>#REF!</v>
      </c>
      <c r="CJ344" s="198" t="e">
        <f t="shared" ca="1" si="178"/>
        <v>#REF!</v>
      </c>
      <c r="CK344" s="198" t="e">
        <f t="shared" ca="1" si="179"/>
        <v>#REF!</v>
      </c>
      <c r="CL344" s="198" t="e">
        <f t="shared" ca="1" si="180"/>
        <v>#REF!</v>
      </c>
      <c r="CM344" s="241" t="e">
        <f t="shared" ca="1" si="181"/>
        <v>#REF!</v>
      </c>
      <c r="CP344" s="180">
        <v>2058</v>
      </c>
      <c r="CQ344" s="22">
        <v>44</v>
      </c>
      <c r="CR344" s="198" t="e">
        <f t="shared" ca="1" si="182"/>
        <v>#REF!</v>
      </c>
      <c r="CS344" s="198" t="e">
        <f t="shared" ca="1" si="183"/>
        <v>#REF!</v>
      </c>
      <c r="CT344" s="241" t="e">
        <f t="shared" ca="1" si="184"/>
        <v>#REF!</v>
      </c>
      <c r="CZ344" s="164" t="b">
        <f t="shared" si="192"/>
        <v>0</v>
      </c>
      <c r="DA344" s="165" t="b">
        <f t="shared" si="192"/>
        <v>0</v>
      </c>
      <c r="DB344" s="166" t="b">
        <f t="shared" si="192"/>
        <v>0</v>
      </c>
      <c r="DC344" s="164" t="str">
        <f t="shared" si="161"/>
        <v/>
      </c>
      <c r="DD344" s="166" t="str">
        <f t="shared" si="162"/>
        <v/>
      </c>
      <c r="DE344" s="164" t="str">
        <f t="shared" si="163"/>
        <v/>
      </c>
      <c r="DF344" s="166" t="str">
        <f t="shared" si="164"/>
        <v/>
      </c>
      <c r="DG344" s="164" t="str">
        <f t="shared" si="165"/>
        <v/>
      </c>
      <c r="DH344" s="166" t="str">
        <f t="shared" si="166"/>
        <v/>
      </c>
      <c r="DI344" s="164" t="str">
        <f>IFERROR(INDEX(DC$296:DC$344,_xlfn.AGGREGATE(15,6,(ROW(DC$296:DC$344)-ROW(DC$296)+1)/(DC$296:DC$344&lt;&gt;""),ROWS(DI$1:DI49))),"")</f>
        <v/>
      </c>
      <c r="DJ344" s="165" t="str">
        <f>IFERROR(INDEX(DD$296:DD$344,_xlfn.AGGREGATE(15,6,(ROW(DD$296:DD$344)-ROW(DD$296)+1)/(DD$296:DD$344&lt;&gt;""),ROWS(DJ$1:DJ49))),"")</f>
        <v/>
      </c>
      <c r="DK344" s="166" t="str">
        <f t="shared" si="167"/>
        <v/>
      </c>
      <c r="DL344" s="164" t="str">
        <f>IFERROR(INDEX(DE$296:DE$344,_xlfn.AGGREGATE(15,6,(ROW(DE$296:DE$344)-ROW(DE$296)+1)/(DE$296:DE$344&lt;&gt;""),ROWS(DL$1:DL49))),"")</f>
        <v/>
      </c>
      <c r="DM344" s="165" t="str">
        <f>IFERROR(INDEX(DF$296:DF$344,_xlfn.AGGREGATE(15,6,(ROW(DF$296:DF$344)-ROW(DF$296)+1)/(DF$296:DF$344&lt;&gt;""),ROWS(DM$1:DM49))),"")</f>
        <v/>
      </c>
      <c r="DN344" s="166" t="str">
        <f t="shared" si="168"/>
        <v/>
      </c>
      <c r="DO344" s="164" t="str">
        <f>IFERROR(INDEX(DG$296:DG$344,_xlfn.AGGREGATE(15,6,(ROW(DG$296:DG$344)-ROW(DG$296)+1)/(DG$296:DG$344&lt;&gt;""),ROWS(DO$1:DO49))),"")</f>
        <v/>
      </c>
      <c r="DP344" s="165" t="str">
        <f>IFERROR(INDEX(DH$296:DH$344,_xlfn.AGGREGATE(15,6,(ROW(DH$296:DH$344)-ROW(DH$296)+1)/(DH$296:DH$344&lt;&gt;""),ROWS(DP$1:DP49))),"")</f>
        <v/>
      </c>
      <c r="DQ344" s="166" t="str">
        <f t="shared" si="169"/>
        <v/>
      </c>
      <c r="DW344" s="54"/>
      <c r="EA344" s="55"/>
      <c r="EB344" s="55"/>
      <c r="EC344" s="55"/>
      <c r="ED344" s="55"/>
      <c r="EE344" s="55"/>
    </row>
    <row r="345" spans="1:135" x14ac:dyDescent="0.4">
      <c r="A345" s="214"/>
      <c r="B345" s="89"/>
      <c r="C345" s="14"/>
      <c r="D345" s="14"/>
      <c r="E345" s="14"/>
      <c r="F345" s="14"/>
      <c r="G345" s="14"/>
      <c r="H345" s="14"/>
      <c r="I345" s="14"/>
      <c r="J345" s="14"/>
      <c r="K345" s="14"/>
      <c r="L345" s="14"/>
      <c r="M345" s="50"/>
      <c r="S345" s="120"/>
      <c r="T345" s="120"/>
      <c r="U345" s="120"/>
      <c r="W345" s="120"/>
      <c r="X345" s="120"/>
      <c r="Y345" s="120"/>
      <c r="AA345" s="89"/>
      <c r="AB345" s="89"/>
      <c r="AC345" s="89"/>
      <c r="AD345" s="89"/>
      <c r="AE345" s="89"/>
      <c r="AF345" s="89"/>
      <c r="AG345" s="89"/>
      <c r="AH345" s="89"/>
      <c r="AI345" s="89"/>
      <c r="AJ345" s="89"/>
      <c r="AK345" s="89"/>
      <c r="AL345" s="89"/>
      <c r="AM345" s="89"/>
      <c r="AN345" s="89"/>
      <c r="BR345" s="180">
        <v>2059</v>
      </c>
      <c r="BS345" s="22">
        <v>45</v>
      </c>
      <c r="BT345" s="198" t="e">
        <f t="shared" si="171"/>
        <v>#DIV/0!</v>
      </c>
      <c r="BU345" s="198" t="e">
        <f t="shared" si="172"/>
        <v>#DIV/0!</v>
      </c>
      <c r="BV345" s="241" t="e">
        <f t="shared" si="173"/>
        <v>#DIV/0!</v>
      </c>
      <c r="BY345" s="180">
        <v>2059</v>
      </c>
      <c r="BZ345" s="22">
        <v>45</v>
      </c>
      <c r="CA345" s="198" t="e">
        <f t="shared" ca="1" si="174"/>
        <v>#REF!</v>
      </c>
      <c r="CB345" s="198" t="e">
        <f t="shared" ca="1" si="175"/>
        <v>#REF!</v>
      </c>
      <c r="CC345" s="198" t="e">
        <f t="shared" ca="1" si="186"/>
        <v>#REF!</v>
      </c>
      <c r="CD345" s="241" t="e">
        <f t="shared" ca="1" si="176"/>
        <v>#REF!</v>
      </c>
      <c r="CG345" s="180">
        <v>2059</v>
      </c>
      <c r="CH345" s="22">
        <v>45</v>
      </c>
      <c r="CI345" s="198" t="e">
        <f t="shared" ca="1" si="177"/>
        <v>#REF!</v>
      </c>
      <c r="CJ345" s="198" t="e">
        <f t="shared" ca="1" si="178"/>
        <v>#REF!</v>
      </c>
      <c r="CK345" s="198" t="e">
        <f t="shared" ca="1" si="179"/>
        <v>#REF!</v>
      </c>
      <c r="CL345" s="198" t="e">
        <f t="shared" ca="1" si="180"/>
        <v>#REF!</v>
      </c>
      <c r="CM345" s="241" t="e">
        <f t="shared" ca="1" si="181"/>
        <v>#REF!</v>
      </c>
      <c r="CP345" s="180">
        <v>2059</v>
      </c>
      <c r="CQ345" s="22">
        <v>45</v>
      </c>
      <c r="CR345" s="198" t="e">
        <f t="shared" ca="1" si="182"/>
        <v>#REF!</v>
      </c>
      <c r="CS345" s="198" t="e">
        <f t="shared" ca="1" si="183"/>
        <v>#REF!</v>
      </c>
      <c r="CT345" s="241" t="e">
        <f t="shared" ca="1" si="184"/>
        <v>#REF!</v>
      </c>
      <c r="CZ345" s="252"/>
      <c r="DA345" s="252"/>
      <c r="DB345" s="252"/>
      <c r="DC345" s="252"/>
      <c r="DD345" s="252"/>
      <c r="DE345" s="252"/>
      <c r="DF345" s="252"/>
      <c r="DG345" s="252"/>
      <c r="DH345" s="252"/>
      <c r="DI345" s="252"/>
      <c r="DJ345" s="252"/>
      <c r="DK345" s="252"/>
      <c r="DL345" s="252"/>
      <c r="DM345" s="252"/>
      <c r="DN345" s="252"/>
      <c r="DO345" s="252"/>
      <c r="DP345" s="252"/>
      <c r="DQ345" s="252"/>
      <c r="DU345" s="65"/>
      <c r="DW345" s="54"/>
      <c r="EA345" s="55"/>
      <c r="EB345" s="55"/>
      <c r="EC345" s="55"/>
      <c r="ED345" s="55"/>
      <c r="EE345" s="55"/>
    </row>
    <row r="346" spans="1:135" x14ac:dyDescent="0.4">
      <c r="A346" s="214"/>
      <c r="B346" s="89"/>
      <c r="C346" s="14"/>
      <c r="D346" s="14"/>
      <c r="E346" s="14"/>
      <c r="F346" s="14"/>
      <c r="G346" s="14"/>
      <c r="H346" s="14"/>
      <c r="I346" s="14"/>
      <c r="J346" s="14"/>
      <c r="K346" s="14"/>
      <c r="L346" s="14"/>
      <c r="M346" s="50"/>
      <c r="S346" s="120"/>
      <c r="T346" s="120"/>
      <c r="U346" s="120"/>
      <c r="W346" s="120"/>
      <c r="X346" s="120"/>
      <c r="Y346" s="120"/>
      <c r="AA346" s="89"/>
      <c r="AB346" s="89"/>
      <c r="AC346" s="89"/>
      <c r="AD346" s="89"/>
      <c r="AE346" s="89"/>
      <c r="AF346" s="89"/>
      <c r="AG346" s="89"/>
      <c r="AH346" s="89"/>
      <c r="AI346" s="89"/>
      <c r="AJ346" s="89"/>
      <c r="AK346" s="89"/>
      <c r="AL346" s="89"/>
      <c r="AM346" s="89"/>
      <c r="AN346" s="89"/>
      <c r="BR346" s="180">
        <v>2060</v>
      </c>
      <c r="BS346" s="22">
        <v>46</v>
      </c>
      <c r="BT346" s="198" t="e">
        <f t="shared" si="171"/>
        <v>#DIV/0!</v>
      </c>
      <c r="BU346" s="198" t="e">
        <f t="shared" si="172"/>
        <v>#DIV/0!</v>
      </c>
      <c r="BV346" s="241" t="e">
        <f t="shared" si="173"/>
        <v>#DIV/0!</v>
      </c>
      <c r="BY346" s="180">
        <v>2060</v>
      </c>
      <c r="BZ346" s="22">
        <v>46</v>
      </c>
      <c r="CA346" s="198" t="e">
        <f t="shared" ca="1" si="174"/>
        <v>#REF!</v>
      </c>
      <c r="CB346" s="198" t="e">
        <f t="shared" ca="1" si="175"/>
        <v>#REF!</v>
      </c>
      <c r="CC346" s="198" t="e">
        <f t="shared" ca="1" si="186"/>
        <v>#REF!</v>
      </c>
      <c r="CD346" s="241" t="e">
        <f t="shared" ca="1" si="176"/>
        <v>#REF!</v>
      </c>
      <c r="CG346" s="180">
        <v>2060</v>
      </c>
      <c r="CH346" s="22">
        <v>46</v>
      </c>
      <c r="CI346" s="198" t="e">
        <f t="shared" ca="1" si="177"/>
        <v>#REF!</v>
      </c>
      <c r="CJ346" s="198" t="e">
        <f t="shared" ca="1" si="178"/>
        <v>#REF!</v>
      </c>
      <c r="CK346" s="198" t="e">
        <f t="shared" ca="1" si="179"/>
        <v>#REF!</v>
      </c>
      <c r="CL346" s="198" t="e">
        <f t="shared" ca="1" si="180"/>
        <v>#REF!</v>
      </c>
      <c r="CM346" s="241" t="e">
        <f t="shared" ca="1" si="181"/>
        <v>#REF!</v>
      </c>
      <c r="CP346" s="180">
        <v>2060</v>
      </c>
      <c r="CQ346" s="22">
        <v>46</v>
      </c>
      <c r="CR346" s="198" t="e">
        <f t="shared" ca="1" si="182"/>
        <v>#REF!</v>
      </c>
      <c r="CS346" s="198" t="e">
        <f t="shared" ca="1" si="183"/>
        <v>#REF!</v>
      </c>
      <c r="CT346" s="241" t="e">
        <f t="shared" ca="1" si="184"/>
        <v>#REF!</v>
      </c>
      <c r="DW346" s="54"/>
      <c r="EA346" s="55"/>
      <c r="EB346" s="55"/>
      <c r="EC346" s="55"/>
      <c r="ED346" s="55"/>
      <c r="EE346" s="55"/>
    </row>
    <row r="347" spans="1:135" x14ac:dyDescent="0.4">
      <c r="A347" s="221" t="str">
        <f ca="1">HYPERLINK("#"&amp;"'"&amp;A$1&amp;"'!a1","Back to top")</f>
        <v>Back to top</v>
      </c>
      <c r="C347" s="50"/>
      <c r="D347" s="14"/>
      <c r="E347" s="14"/>
      <c r="F347" s="14"/>
      <c r="G347" s="14"/>
      <c r="H347" s="14"/>
      <c r="I347" s="14"/>
      <c r="J347" s="14"/>
      <c r="K347" s="14"/>
      <c r="L347" s="14"/>
      <c r="M347" s="14"/>
      <c r="N347" s="89"/>
      <c r="O347" s="89"/>
      <c r="P347" s="89"/>
      <c r="Q347" s="89"/>
      <c r="R347" s="89"/>
      <c r="S347" s="89"/>
      <c r="T347" s="89"/>
      <c r="U347" s="89"/>
      <c r="V347" s="89"/>
      <c r="W347" s="89"/>
      <c r="X347" s="89"/>
      <c r="Y347" s="89"/>
      <c r="Z347" s="89"/>
      <c r="AA347" s="89"/>
      <c r="AB347" s="89"/>
      <c r="AC347" s="89"/>
      <c r="AD347" s="89"/>
      <c r="AE347" s="89"/>
      <c r="AF347" s="89"/>
      <c r="AG347" s="89"/>
      <c r="AH347" s="89"/>
      <c r="AI347" s="89"/>
      <c r="AJ347" s="89"/>
      <c r="AK347" s="89"/>
      <c r="AL347" s="89"/>
      <c r="AM347" s="89"/>
      <c r="AN347" s="89"/>
      <c r="DW347" s="54"/>
      <c r="EA347" s="55"/>
      <c r="EB347" s="55"/>
      <c r="EC347" s="55"/>
      <c r="ED347" s="55"/>
      <c r="EE347" s="55"/>
    </row>
    <row r="348" spans="1:135" x14ac:dyDescent="0.4">
      <c r="A348" s="221"/>
      <c r="C348" s="50"/>
      <c r="D348" s="14"/>
      <c r="E348" s="14"/>
      <c r="F348" s="14"/>
      <c r="G348" s="14"/>
      <c r="H348" s="14"/>
      <c r="I348" s="14"/>
      <c r="J348" s="14"/>
      <c r="K348" s="14"/>
      <c r="L348" s="14"/>
      <c r="M348" s="14"/>
      <c r="N348" s="89"/>
      <c r="O348" s="89"/>
      <c r="P348" s="89"/>
      <c r="Q348" s="89"/>
      <c r="R348" s="89"/>
      <c r="S348" s="89"/>
      <c r="T348" s="89"/>
      <c r="U348" s="89"/>
      <c r="V348" s="89"/>
      <c r="W348" s="89"/>
      <c r="X348" s="89"/>
      <c r="Y348" s="89"/>
      <c r="Z348" s="89"/>
      <c r="AA348" s="89"/>
      <c r="AB348" s="89"/>
      <c r="AC348" s="89"/>
      <c r="AD348" s="89"/>
      <c r="AE348" s="89"/>
      <c r="AF348" s="89"/>
      <c r="AG348" s="89"/>
      <c r="AH348" s="89"/>
      <c r="AI348" s="89"/>
      <c r="AJ348" s="89"/>
      <c r="AK348" s="89"/>
      <c r="AL348" s="89"/>
      <c r="AM348" s="89"/>
      <c r="AN348" s="89"/>
      <c r="DW348" s="54"/>
      <c r="EA348" s="55"/>
      <c r="EB348" s="55"/>
      <c r="EC348" s="55"/>
      <c r="ED348" s="55"/>
      <c r="EE348" s="55"/>
    </row>
    <row r="349" spans="1:135" x14ac:dyDescent="0.4">
      <c r="A349" s="214"/>
      <c r="B349" s="89"/>
      <c r="C349" s="14"/>
      <c r="D349" s="14"/>
      <c r="E349" s="14"/>
      <c r="F349" s="14"/>
      <c r="G349" s="14"/>
      <c r="H349" s="14"/>
      <c r="I349" s="14"/>
      <c r="J349" s="14"/>
      <c r="K349" s="14"/>
      <c r="L349" s="14"/>
      <c r="M349" s="50"/>
      <c r="N349" s="49"/>
      <c r="O349" s="49"/>
      <c r="P349" s="49"/>
      <c r="Q349" s="49"/>
      <c r="R349" s="49"/>
      <c r="S349" s="120"/>
      <c r="T349" s="120"/>
      <c r="U349" s="120"/>
      <c r="V349" s="49"/>
      <c r="W349" s="120"/>
      <c r="X349" s="120"/>
      <c r="Y349" s="120"/>
      <c r="Z349" s="89"/>
      <c r="AA349" s="89"/>
      <c r="AB349" s="89"/>
      <c r="AC349" s="89"/>
      <c r="AD349" s="89"/>
      <c r="AE349" s="89"/>
      <c r="AF349" s="89"/>
      <c r="AG349" s="89"/>
      <c r="AH349" s="89"/>
      <c r="AI349" s="89"/>
      <c r="AJ349" s="89"/>
      <c r="AK349" s="89"/>
      <c r="AL349" s="89"/>
      <c r="AM349" s="89"/>
      <c r="AN349" s="89"/>
      <c r="AO349" s="49"/>
      <c r="AP349" s="49"/>
      <c r="AQ349" s="49"/>
      <c r="AR349" s="49"/>
      <c r="AS349" s="49"/>
      <c r="AT349" s="49"/>
      <c r="AU349" s="49"/>
      <c r="AV349" s="49"/>
      <c r="AW349" s="49"/>
      <c r="AX349" s="49"/>
      <c r="AY349" s="49"/>
      <c r="AZ349" s="49"/>
      <c r="BA349" s="49"/>
      <c r="BB349" s="49"/>
      <c r="BC349" s="49"/>
      <c r="BD349" s="49"/>
      <c r="BE349" s="49"/>
      <c r="BF349" s="49"/>
      <c r="BG349" s="49"/>
      <c r="BH349" s="49"/>
      <c r="BI349" s="49"/>
      <c r="BJ349" s="49"/>
      <c r="BK349" s="49"/>
      <c r="BL349" s="49"/>
    </row>
    <row r="350" spans="1:135" x14ac:dyDescent="0.4">
      <c r="A350" s="253"/>
      <c r="B350" s="254"/>
      <c r="C350" s="255"/>
      <c r="D350" s="255"/>
      <c r="E350" s="255"/>
      <c r="F350" s="255"/>
      <c r="G350" s="255"/>
      <c r="H350" s="255"/>
      <c r="I350" s="255"/>
      <c r="J350" s="255"/>
      <c r="K350" s="255"/>
      <c r="L350" s="255"/>
      <c r="M350" s="256"/>
      <c r="S350" s="257"/>
      <c r="T350" s="257"/>
      <c r="U350" s="257"/>
      <c r="W350" s="257"/>
      <c r="X350" s="257"/>
      <c r="Y350" s="257"/>
      <c r="Z350" s="254"/>
      <c r="AA350" s="254"/>
      <c r="AB350" s="254"/>
      <c r="AC350" s="254"/>
      <c r="AD350" s="254"/>
      <c r="AE350" s="254"/>
      <c r="AF350" s="254"/>
      <c r="AG350" s="254"/>
      <c r="AH350" s="254"/>
      <c r="AI350" s="254"/>
      <c r="AJ350" s="254"/>
      <c r="AK350" s="254"/>
      <c r="AL350" s="254"/>
      <c r="AM350" s="254"/>
      <c r="AN350" s="254"/>
      <c r="DW350" s="258"/>
      <c r="EA350" s="259"/>
      <c r="EB350" s="259"/>
      <c r="EC350" s="259"/>
      <c r="ED350" s="259"/>
      <c r="EE350" s="259"/>
    </row>
    <row r="351" spans="1:135" x14ac:dyDescent="0.4">
      <c r="A351" s="253"/>
      <c r="B351" s="254"/>
      <c r="C351" s="255"/>
      <c r="D351" s="255"/>
      <c r="E351" s="255"/>
      <c r="F351" s="255"/>
      <c r="G351" s="255"/>
      <c r="H351" s="255"/>
      <c r="I351" s="255"/>
      <c r="J351" s="255"/>
      <c r="K351" s="255"/>
      <c r="L351" s="255"/>
      <c r="M351" s="256"/>
      <c r="S351" s="257"/>
      <c r="T351" s="257"/>
      <c r="U351" s="257"/>
      <c r="W351" s="257"/>
      <c r="X351" s="257"/>
      <c r="Y351" s="257"/>
      <c r="Z351" s="254"/>
      <c r="AA351" s="254"/>
      <c r="AB351" s="254"/>
      <c r="AC351" s="254"/>
      <c r="AD351" s="254"/>
      <c r="AE351" s="254"/>
      <c r="AF351" s="254"/>
      <c r="AG351" s="254"/>
      <c r="AH351" s="254"/>
      <c r="AI351" s="254"/>
      <c r="AJ351" s="254"/>
      <c r="AK351" s="254"/>
      <c r="AL351" s="254"/>
      <c r="AM351" s="254"/>
      <c r="AN351" s="254"/>
      <c r="DW351" s="258"/>
      <c r="EA351" s="259"/>
      <c r="EB351" s="259"/>
      <c r="EC351" s="259"/>
      <c r="ED351" s="259"/>
      <c r="EE351" s="259"/>
    </row>
    <row r="352" spans="1:135" x14ac:dyDescent="0.4">
      <c r="A352" s="221"/>
      <c r="B352" s="89"/>
      <c r="C352" s="14"/>
      <c r="D352" s="14"/>
      <c r="E352" s="14"/>
      <c r="F352" s="14"/>
      <c r="G352" s="14"/>
      <c r="H352" s="14"/>
      <c r="I352" s="14"/>
      <c r="J352" s="14"/>
      <c r="K352" s="14"/>
      <c r="L352" s="14"/>
      <c r="M352" s="14"/>
      <c r="N352" s="89"/>
      <c r="O352" s="89"/>
      <c r="P352" s="89"/>
      <c r="Q352" s="89"/>
      <c r="R352" s="89"/>
      <c r="S352" s="89"/>
      <c r="T352" s="89"/>
      <c r="U352" s="89"/>
      <c r="V352" s="89"/>
      <c r="W352" s="89"/>
      <c r="X352" s="89"/>
      <c r="Y352" s="89"/>
      <c r="Z352" s="89"/>
      <c r="AA352" s="89"/>
      <c r="AB352" s="89"/>
      <c r="AC352" s="89"/>
      <c r="AD352" s="89"/>
      <c r="AE352" s="89"/>
      <c r="AF352" s="89"/>
      <c r="AG352" s="89"/>
      <c r="AH352" s="89"/>
      <c r="AI352" s="89"/>
      <c r="AJ352" s="89"/>
      <c r="AK352" s="89"/>
      <c r="AL352" s="89"/>
      <c r="AM352" s="89"/>
      <c r="AN352" s="89"/>
      <c r="AO352" s="89"/>
      <c r="AP352" s="89"/>
      <c r="AQ352" s="29"/>
      <c r="AR352" s="29"/>
      <c r="AS352" s="29"/>
      <c r="AT352" s="29"/>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49"/>
      <c r="DW352" s="282"/>
      <c r="EA352" s="232"/>
      <c r="EB352" s="232"/>
      <c r="EC352" s="232"/>
      <c r="ED352" s="232"/>
      <c r="EE352" s="232"/>
    </row>
    <row r="353" spans="1:135" x14ac:dyDescent="0.4">
      <c r="A353" s="221"/>
      <c r="B353" s="89"/>
      <c r="C353" s="14"/>
      <c r="D353" s="14"/>
      <c r="E353" s="14"/>
      <c r="F353" s="14"/>
      <c r="G353" s="14"/>
      <c r="H353" s="14"/>
      <c r="I353" s="14"/>
      <c r="J353" s="14"/>
      <c r="K353" s="14"/>
      <c r="L353" s="14"/>
      <c r="M353" s="14"/>
      <c r="N353" s="89"/>
      <c r="O353" s="89"/>
      <c r="P353" s="89"/>
      <c r="Q353" s="89"/>
      <c r="R353" s="89"/>
      <c r="S353" s="89"/>
      <c r="T353" s="89"/>
      <c r="U353" s="89"/>
      <c r="V353" s="89"/>
      <c r="W353" s="89"/>
      <c r="X353" s="89"/>
      <c r="Y353" s="89"/>
      <c r="Z353" s="89"/>
      <c r="AA353" s="261" t="s">
        <v>102</v>
      </c>
      <c r="AB353" s="89"/>
      <c r="AC353" s="89"/>
      <c r="AD353" s="89"/>
      <c r="AE353" s="89"/>
      <c r="AF353" s="89"/>
      <c r="AG353" s="89"/>
      <c r="AH353" s="89"/>
      <c r="AI353" s="89"/>
      <c r="AJ353" s="89"/>
      <c r="AK353" s="89"/>
      <c r="AL353" s="89"/>
      <c r="AM353" s="261" t="s">
        <v>102</v>
      </c>
      <c r="AN353" s="89"/>
      <c r="AO353" s="89"/>
      <c r="AP353" s="89"/>
      <c r="AQ353" s="29"/>
      <c r="AR353" s="29"/>
      <c r="AS353" s="29"/>
      <c r="AT353" s="29"/>
      <c r="AU353" s="29"/>
      <c r="AV353" s="29"/>
      <c r="AW353" s="29"/>
      <c r="AX353" s="29"/>
      <c r="AY353" s="29"/>
      <c r="AZ353" s="261" t="s">
        <v>102</v>
      </c>
      <c r="BA353" s="29"/>
      <c r="BB353" s="29"/>
      <c r="BC353" s="29"/>
      <c r="BD353" s="29"/>
      <c r="BE353" s="29"/>
      <c r="BF353" s="29"/>
      <c r="BG353" s="29"/>
      <c r="BH353" s="29"/>
      <c r="BI353" s="29"/>
      <c r="BJ353" s="261" t="s">
        <v>102</v>
      </c>
      <c r="BK353" s="29"/>
      <c r="BL353" s="29"/>
      <c r="BM353" s="29"/>
      <c r="BN353" s="29"/>
      <c r="BO353" s="29"/>
      <c r="BP353" s="49"/>
      <c r="BR353" s="261" t="s">
        <v>102</v>
      </c>
      <c r="BY353" s="261" t="s">
        <v>102</v>
      </c>
      <c r="CG353" s="261" t="s">
        <v>102</v>
      </c>
      <c r="CP353" s="261" t="s">
        <v>102</v>
      </c>
      <c r="DV353" s="261" t="s">
        <v>102</v>
      </c>
      <c r="DW353" s="282"/>
      <c r="EA353" s="232"/>
      <c r="EB353" s="232"/>
      <c r="EC353" s="232"/>
      <c r="ED353" s="232"/>
      <c r="EE353" s="232"/>
    </row>
    <row r="354" spans="1:135" x14ac:dyDescent="0.4">
      <c r="A354" s="261" t="s">
        <v>102</v>
      </c>
      <c r="B354" s="695"/>
      <c r="C354" s="695"/>
      <c r="D354" s="113"/>
      <c r="E354" s="113"/>
      <c r="F354" s="113"/>
      <c r="G354" s="113"/>
      <c r="H354" s="113"/>
      <c r="I354" s="113"/>
      <c r="J354" s="113"/>
      <c r="K354" s="113"/>
      <c r="L354" s="113"/>
      <c r="M354" s="113"/>
      <c r="N354" s="114"/>
      <c r="O354" s="114"/>
      <c r="P354" s="114"/>
      <c r="Q354" s="114"/>
      <c r="R354" s="114"/>
      <c r="S354" s="114"/>
      <c r="T354" s="114"/>
      <c r="U354" s="114"/>
      <c r="V354" s="114"/>
      <c r="W354" s="114"/>
      <c r="X354" s="114"/>
      <c r="Y354" s="114"/>
      <c r="Z354" s="114"/>
      <c r="AA354" s="114"/>
      <c r="AB354" s="114"/>
      <c r="AC354" s="114"/>
      <c r="AD354" s="114"/>
      <c r="AE354" s="114"/>
      <c r="AF354" s="114"/>
      <c r="AG354" s="114"/>
      <c r="AH354" s="114"/>
      <c r="AI354" s="114"/>
      <c r="AJ354" s="114"/>
      <c r="AK354" s="114"/>
      <c r="AL354" s="114"/>
      <c r="AM354" s="114"/>
      <c r="AN354" s="114"/>
      <c r="AO354" s="89"/>
      <c r="AP354" s="89"/>
    </row>
    <row r="355" spans="1:135" x14ac:dyDescent="0.4">
      <c r="B355" s="694"/>
      <c r="C355" s="694"/>
      <c r="D355" s="113"/>
      <c r="E355" s="113"/>
      <c r="F355" s="113"/>
      <c r="G355" s="113"/>
      <c r="H355" s="113"/>
      <c r="I355" s="113"/>
      <c r="J355" s="113"/>
      <c r="K355" s="113"/>
      <c r="L355" s="113"/>
      <c r="M355" s="113"/>
      <c r="N355" s="114"/>
      <c r="O355" s="114"/>
      <c r="P355" s="114"/>
      <c r="Q355" s="114"/>
      <c r="R355" s="114"/>
      <c r="S355" s="114"/>
      <c r="T355" s="114"/>
      <c r="U355" s="114"/>
      <c r="V355" s="114"/>
      <c r="W355" s="114"/>
      <c r="X355" s="114"/>
      <c r="Y355" s="114"/>
      <c r="Z355" s="114"/>
      <c r="AA355" s="114"/>
      <c r="AC355" s="114"/>
      <c r="AD355" s="114"/>
      <c r="AE355" s="114"/>
      <c r="AF355" s="114"/>
      <c r="AG355" s="114"/>
      <c r="AH355" s="114"/>
      <c r="AI355" s="114"/>
      <c r="AJ355" s="114"/>
      <c r="AK355" s="114"/>
      <c r="AL355" s="114"/>
      <c r="AM355" s="114"/>
      <c r="AN355" s="114"/>
      <c r="AO355" s="89"/>
      <c r="DW355" s="54"/>
      <c r="EA355" s="55"/>
      <c r="EB355" s="55"/>
      <c r="EC355" s="55"/>
      <c r="ED355" s="55"/>
      <c r="EE355" s="55"/>
    </row>
    <row r="356" spans="1:135" ht="12.6" thickBot="1" x14ac:dyDescent="0.45">
      <c r="A356" s="233"/>
      <c r="B356" s="679"/>
      <c r="C356" s="679"/>
      <c r="D356" s="113"/>
      <c r="E356" s="113"/>
      <c r="F356" s="113"/>
      <c r="G356" s="113"/>
      <c r="H356" s="113"/>
      <c r="I356" s="113"/>
      <c r="J356" s="113"/>
      <c r="K356" s="113"/>
      <c r="L356" s="113"/>
      <c r="M356" s="113"/>
      <c r="N356" s="114"/>
      <c r="O356" s="114"/>
      <c r="P356" s="114"/>
      <c r="Q356" s="114"/>
      <c r="R356" s="114"/>
      <c r="S356" s="114"/>
      <c r="T356" s="114"/>
      <c r="U356" s="114"/>
      <c r="V356" s="114"/>
      <c r="W356" s="114"/>
      <c r="X356" s="114"/>
      <c r="Y356" s="114"/>
      <c r="Z356" s="114"/>
      <c r="AA356" s="114"/>
      <c r="AB356" s="114"/>
      <c r="AC356" s="114"/>
      <c r="AD356" s="114"/>
      <c r="AE356" s="114"/>
      <c r="AF356" s="114"/>
      <c r="AG356" s="114"/>
      <c r="AH356" s="114"/>
      <c r="AI356" s="114"/>
      <c r="AJ356" s="114"/>
      <c r="AK356" s="114"/>
      <c r="AL356" s="114"/>
      <c r="AM356" s="114"/>
      <c r="CZ356" s="116"/>
      <c r="DA356" s="116"/>
      <c r="DB356" s="116"/>
      <c r="DC356" s="116"/>
      <c r="DD356" s="116"/>
      <c r="DE356" s="116"/>
      <c r="DF356" s="116"/>
      <c r="DG356" s="116"/>
      <c r="DH356" s="116"/>
      <c r="DI356" s="117" t="str">
        <f>"DJ"&amp;MIN(DK359:DK407)</f>
        <v>DJ0</v>
      </c>
      <c r="DJ356" s="118" t="str">
        <f>"DJ"&amp;MAX(DK359:DK407)</f>
        <v>DJ0</v>
      </c>
      <c r="DK356" s="116"/>
      <c r="DL356" s="117" t="str">
        <f>"DM"&amp;MIN(DN359:DN407)</f>
        <v>DM0</v>
      </c>
      <c r="DM356" s="118" t="str">
        <f>"DM"&amp;MAX(DN359:DN407)</f>
        <v>DM0</v>
      </c>
      <c r="DN356" s="116"/>
      <c r="DO356" s="117" t="str">
        <f>"DP"&amp;MIN(DQ359:DQ407)</f>
        <v>DP0</v>
      </c>
      <c r="DP356" s="118" t="str">
        <f>"DP"&amp;MAX(DQ359:DQ407)</f>
        <v>DP0</v>
      </c>
      <c r="DQ356" s="116"/>
      <c r="DW356" s="119"/>
      <c r="EA356" s="33"/>
      <c r="EB356" s="33"/>
      <c r="EC356" s="33"/>
      <c r="ED356" s="33"/>
      <c r="EE356" s="33"/>
    </row>
    <row r="357" spans="1:135" ht="24.9" thickBot="1" x14ac:dyDescent="0.5">
      <c r="A357" s="676" t="s">
        <v>65</v>
      </c>
      <c r="C357" s="680" t="str">
        <f>A375</f>
        <v>Base Cases</v>
      </c>
      <c r="D357" s="681"/>
      <c r="E357" s="682"/>
      <c r="F357" s="683" t="str">
        <f>A376</f>
        <v>Conservative Cases</v>
      </c>
      <c r="G357" s="684"/>
      <c r="H357" s="685"/>
      <c r="I357" s="686" t="str">
        <f>A377</f>
        <v>Ambitious Cases</v>
      </c>
      <c r="J357" s="687"/>
      <c r="K357" s="688"/>
      <c r="L357" s="692" t="str">
        <f>A378</f>
        <v>Maximum Cases</v>
      </c>
      <c r="M357" s="693"/>
      <c r="O357" s="122"/>
      <c r="P357" s="122"/>
      <c r="Q357" s="122"/>
      <c r="W357" s="691" t="s">
        <v>66</v>
      </c>
      <c r="X357" s="691"/>
      <c r="Y357" s="691"/>
      <c r="Z357" s="120"/>
      <c r="AA357" s="1274" t="s">
        <v>1061</v>
      </c>
      <c r="AB357" s="1274"/>
      <c r="AC357" s="1274"/>
      <c r="AD357" s="120"/>
      <c r="AE357" s="120"/>
      <c r="AF357" s="120"/>
      <c r="AG357" s="120"/>
      <c r="AH357" s="120"/>
      <c r="AI357" s="120"/>
      <c r="AJ357" s="120"/>
      <c r="AK357" s="120"/>
      <c r="AL357" s="120"/>
      <c r="AM357" s="120"/>
      <c r="AN357" s="120"/>
      <c r="BR357" s="121" t="s">
        <v>67</v>
      </c>
      <c r="BS357" s="121"/>
      <c r="BT357" s="121"/>
      <c r="BU357" s="121"/>
      <c r="BV357" s="121"/>
      <c r="BW357" s="122"/>
      <c r="BY357" s="121" t="s">
        <v>68</v>
      </c>
      <c r="BZ357" s="121"/>
      <c r="CA357" s="121"/>
      <c r="CB357" s="121"/>
      <c r="CC357" s="121"/>
      <c r="CD357" s="121"/>
      <c r="CG357" s="121" t="s">
        <v>69</v>
      </c>
      <c r="CH357" s="121"/>
      <c r="CI357" s="121"/>
      <c r="CJ357" s="121"/>
      <c r="CK357" s="121"/>
      <c r="CL357" s="121"/>
      <c r="CM357" s="121"/>
      <c r="CP357" s="121" t="s">
        <v>70</v>
      </c>
      <c r="CQ357" s="121"/>
      <c r="CR357" s="121"/>
      <c r="CS357" s="121"/>
      <c r="CT357" s="121"/>
      <c r="CU357" s="121"/>
      <c r="CZ357" s="123"/>
      <c r="DA357" s="123"/>
      <c r="DB357" s="123"/>
      <c r="DC357" s="123"/>
      <c r="DD357" s="123"/>
      <c r="DE357" s="123"/>
      <c r="DF357" s="123"/>
      <c r="DG357" s="123"/>
      <c r="DH357" s="123"/>
      <c r="DI357" s="124" t="str">
        <f>"DI"&amp;MIN(DK359:DK407)</f>
        <v>DI0</v>
      </c>
      <c r="DJ357" s="125" t="str">
        <f>"DI"&amp;MAX(DK359:DK407)</f>
        <v>DI0</v>
      </c>
      <c r="DK357" s="123"/>
      <c r="DL357" s="124" t="str">
        <f>"DL"&amp;MIN(DN359:DN407)</f>
        <v>DL0</v>
      </c>
      <c r="DM357" s="125" t="str">
        <f>"DL"&amp;MAX(DN359:DN407)</f>
        <v>DL0</v>
      </c>
      <c r="DN357" s="123"/>
      <c r="DO357" s="124" t="str">
        <f>"DO"&amp;MIN(DQ359:DQ407)</f>
        <v>DO0</v>
      </c>
      <c r="DP357" s="125" t="str">
        <f>"DO"&amp;MAX(DQ359:DQ407)</f>
        <v>DO0</v>
      </c>
      <c r="DQ357" s="123"/>
      <c r="DV357" s="126" t="s">
        <v>71</v>
      </c>
      <c r="DZ357" s="127" t="s">
        <v>72</v>
      </c>
      <c r="EA357" s="284" t="str">
        <f>$L$29</f>
        <v>3rd Poly</v>
      </c>
    </row>
    <row r="358" spans="1:135" ht="86.4" thickBot="1" x14ac:dyDescent="0.5">
      <c r="A358" s="676" t="s">
        <v>73</v>
      </c>
      <c r="B358" s="128"/>
      <c r="C358" s="988" t="str">
        <f>A359</f>
        <v>Based on World Bank, What a Waste 2.0</v>
      </c>
      <c r="D358" s="996" t="str">
        <f>A360</f>
        <v>Based on Hoornweg et al (2014)</v>
      </c>
      <c r="E358" s="997" t="str">
        <f>A361</f>
        <v>[Source 3]</v>
      </c>
      <c r="F358" s="988" t="str">
        <f>A362</f>
        <v>[Source 1]</v>
      </c>
      <c r="G358" s="996" t="str">
        <f>A363</f>
        <v>[Source 2]</v>
      </c>
      <c r="H358" s="997" t="str">
        <f>A364</f>
        <v>[Source 3]</v>
      </c>
      <c r="I358" s="1119" t="str">
        <f>A365</f>
        <v>Based on  IEA Annex I – Municipal solid waste potential in cities; Table I.1</v>
      </c>
      <c r="J358" s="130" t="str">
        <f>A366</f>
        <v>[Source 2]</v>
      </c>
      <c r="K358" s="131" t="str">
        <f>A367</f>
        <v>[Source 3]</v>
      </c>
      <c r="L358" s="129" t="str">
        <f>A368</f>
        <v>[Source 1]</v>
      </c>
      <c r="M358" s="131" t="str">
        <f>A369</f>
        <v>[Source 2]</v>
      </c>
      <c r="N358" s="234" t="s">
        <v>74</v>
      </c>
      <c r="O358" s="133"/>
      <c r="P358" s="133"/>
      <c r="Q358" s="133"/>
      <c r="R358" s="135" t="s">
        <v>76</v>
      </c>
      <c r="S358" s="134" t="s">
        <v>77</v>
      </c>
      <c r="T358" s="134" t="s">
        <v>78</v>
      </c>
      <c r="U358" s="136" t="s">
        <v>79</v>
      </c>
      <c r="V358" s="691"/>
      <c r="W358" s="136" t="s">
        <v>15</v>
      </c>
      <c r="X358" s="134" t="s">
        <v>21</v>
      </c>
      <c r="Y358" s="136" t="s">
        <v>25</v>
      </c>
      <c r="AA358" s="136" t="s">
        <v>15</v>
      </c>
      <c r="AB358" s="134" t="s">
        <v>21</v>
      </c>
      <c r="AC358" s="136" t="s">
        <v>25</v>
      </c>
      <c r="AD358" s="138"/>
      <c r="AE358" s="138"/>
      <c r="AF358" s="138"/>
      <c r="AG358" s="138"/>
      <c r="AH358" s="138"/>
      <c r="AI358" s="138"/>
      <c r="AJ358" s="138"/>
      <c r="AK358" s="138"/>
      <c r="AL358" s="138"/>
      <c r="AM358" s="138"/>
      <c r="AN358" s="138"/>
      <c r="BR358" s="139"/>
      <c r="BS358" s="139"/>
      <c r="BT358" s="139"/>
      <c r="BU358" s="139"/>
      <c r="BV358" s="139"/>
      <c r="BW358" s="122"/>
      <c r="BZ358" s="139"/>
      <c r="CA358" s="139"/>
      <c r="CB358" s="139"/>
      <c r="CC358" s="139"/>
      <c r="CD358" s="139"/>
      <c r="CH358" s="139"/>
      <c r="CI358" s="139"/>
      <c r="CJ358" s="139"/>
      <c r="CK358" s="139"/>
      <c r="CL358" s="139"/>
      <c r="CM358" s="139"/>
      <c r="CQ358" s="139"/>
      <c r="CR358" s="139"/>
      <c r="CS358" s="139"/>
      <c r="CT358" s="139"/>
      <c r="CU358" s="139"/>
      <c r="CZ358" s="140"/>
      <c r="DA358" s="140"/>
      <c r="DB358" s="140"/>
      <c r="DC358" s="140"/>
      <c r="DD358" s="141"/>
      <c r="DE358" s="141"/>
      <c r="DF358" s="141"/>
      <c r="DG358" s="141"/>
      <c r="DH358" s="140"/>
      <c r="DI358" s="142"/>
      <c r="DJ358" s="143"/>
      <c r="DK358" s="144"/>
      <c r="DL358" s="142"/>
      <c r="DM358" s="143"/>
      <c r="DN358" s="140"/>
      <c r="DO358" s="142"/>
      <c r="DP358" s="143"/>
      <c r="DQ358" s="140"/>
      <c r="DV358" s="145">
        <v>2014</v>
      </c>
      <c r="DW358" s="235" t="e">
        <f t="shared" ref="DW358:DW404" ca="1" si="193">IF($J$29="N","",IF($L$29="Linear",BV363,IF($L$29="2nd Poly",CD363,IF($L$29="3rd Poly",CM363,IF($L$29="Exp",CT363)))))</f>
        <v>#REF!</v>
      </c>
      <c r="EA358" s="33" t="str">
        <f>$M$29</f>
        <v>Medium</v>
      </c>
      <c r="EB358" s="33"/>
      <c r="EC358" s="33"/>
      <c r="ED358" s="33"/>
      <c r="EE358" s="33"/>
    </row>
    <row r="359" spans="1:135" ht="14.1" thickBot="1" x14ac:dyDescent="0.5">
      <c r="A359" s="948" t="s">
        <v>1032</v>
      </c>
      <c r="B359" s="128">
        <v>2012</v>
      </c>
      <c r="C359" s="1065"/>
      <c r="D359" s="1065"/>
      <c r="E359" s="1066"/>
      <c r="F359" s="1072"/>
      <c r="G359" s="1073"/>
      <c r="H359" s="1074"/>
      <c r="I359" s="1065"/>
      <c r="J359" s="264"/>
      <c r="K359" s="239"/>
      <c r="L359" s="190"/>
      <c r="M359" s="239"/>
      <c r="N359" s="29" t="s">
        <v>119</v>
      </c>
      <c r="O359" s="120"/>
      <c r="P359" s="120"/>
      <c r="Q359" s="120"/>
      <c r="R359" s="29">
        <v>-2</v>
      </c>
      <c r="S359" s="238" t="str">
        <f t="shared" ref="S359:S390" si="194">IF(MIN(C359:Q359)=0,"",MIN(C359:Q359))</f>
        <v/>
      </c>
      <c r="T359" s="238" t="str">
        <f t="shared" ref="T359:T390" si="195">IF(MAX(C359:Q359)=0,"",MAX(C359:Q359))</f>
        <v/>
      </c>
      <c r="U359" s="238" t="str">
        <f t="shared" ref="U359:U390" si="196">IF(T359="","",_xlfn.STDEV.P(C359:Q359))</f>
        <v/>
      </c>
      <c r="V359" s="29"/>
      <c r="W359" s="238" t="e">
        <f t="shared" ref="W359:W407" si="197">IF(U359="",#N/A,X359-(U359*$Q$29))</f>
        <v>#N/A</v>
      </c>
      <c r="X359" s="238" t="e">
        <f t="shared" ref="X359:X390" si="198">IF(U359="",#N/A,(SUM(C359:Q359)/COUNTIFS(C359:Q359,"&gt;0")))</f>
        <v>#N/A</v>
      </c>
      <c r="Y359" s="238" t="e">
        <f t="shared" ref="Y359:Y407" si="199">IF(U359="",#N/A,X359+(U359*$Q$28))</f>
        <v>#N/A</v>
      </c>
      <c r="AA359" s="1133">
        <v>215.46757990867582</v>
      </c>
      <c r="AB359" s="1133">
        <v>215.46757990867582</v>
      </c>
      <c r="AC359" s="1133">
        <v>215.46757990867582</v>
      </c>
      <c r="AD359" s="138"/>
      <c r="AE359" s="138"/>
      <c r="AF359" s="138"/>
      <c r="AG359" s="138"/>
      <c r="AH359" s="138"/>
      <c r="AI359" s="138"/>
      <c r="AJ359" s="138"/>
      <c r="AK359" s="138"/>
      <c r="AL359" s="138"/>
      <c r="AM359" s="138"/>
      <c r="AN359" s="138"/>
      <c r="BR359" s="691" t="s">
        <v>81</v>
      </c>
      <c r="BS359" s="65" t="str">
        <f>$M$29</f>
        <v>Medium</v>
      </c>
      <c r="BT359" s="691" t="s">
        <v>82</v>
      </c>
      <c r="BU359" s="691" t="s">
        <v>83</v>
      </c>
      <c r="BW359" s="133"/>
      <c r="BY359" s="691" t="s">
        <v>81</v>
      </c>
      <c r="BZ359" s="65" t="str">
        <f>$M$29</f>
        <v>Medium</v>
      </c>
      <c r="CA359" s="691" t="s">
        <v>84</v>
      </c>
      <c r="CB359" s="691" t="s">
        <v>82</v>
      </c>
      <c r="CC359" s="691" t="s">
        <v>83</v>
      </c>
      <c r="CG359" s="691" t="s">
        <v>81</v>
      </c>
      <c r="CH359" s="65" t="str">
        <f>$M$29</f>
        <v>Medium</v>
      </c>
      <c r="CI359" s="691" t="s">
        <v>85</v>
      </c>
      <c r="CJ359" s="691" t="s">
        <v>84</v>
      </c>
      <c r="CK359" s="691" t="s">
        <v>82</v>
      </c>
      <c r="CL359" s="691" t="s">
        <v>83</v>
      </c>
      <c r="CP359" s="691" t="s">
        <v>81</v>
      </c>
      <c r="CQ359" s="65" t="str">
        <f>$M$29</f>
        <v>Medium</v>
      </c>
      <c r="CR359" s="691" t="s">
        <v>86</v>
      </c>
      <c r="CS359" s="691" t="s">
        <v>87</v>
      </c>
      <c r="CZ359" s="155" t="b">
        <f t="shared" ref="CZ359:DB398" si="200">ISNUMBER(W359)</f>
        <v>0</v>
      </c>
      <c r="DA359" s="156" t="b">
        <f t="shared" si="200"/>
        <v>0</v>
      </c>
      <c r="DB359" s="157" t="b">
        <f t="shared" si="200"/>
        <v>0</v>
      </c>
      <c r="DC359" s="155" t="str">
        <f t="shared" ref="DC359:DC407" si="201">IF(CZ359=TRUE,$R359,"")</f>
        <v/>
      </c>
      <c r="DD359" s="157" t="str">
        <f t="shared" ref="DD359:DD407" si="202">IF(CZ359=TRUE,W359,"")</f>
        <v/>
      </c>
      <c r="DE359" s="155" t="str">
        <f t="shared" ref="DE359:DE407" si="203">IF(DA359=TRUE,$R359,"")</f>
        <v/>
      </c>
      <c r="DF359" s="157" t="str">
        <f t="shared" ref="DF359:DF407" si="204">IF(DA359=TRUE,X359,"")</f>
        <v/>
      </c>
      <c r="DG359" s="155" t="str">
        <f t="shared" ref="DG359:DG407" si="205">IF(DB359=TRUE,$R359,"")</f>
        <v/>
      </c>
      <c r="DH359" s="157" t="str">
        <f t="shared" ref="DH359:DH407" si="206">IF(DB359=TRUE,Y359,"")</f>
        <v/>
      </c>
      <c r="DI359" s="155" t="str">
        <f>IFERROR(INDEX(DC$359:DC$407,_xlfn.AGGREGATE(15,6,(ROW(DC$359:DC$407)-ROW(DC$359)+1)/(DC$359:DC$407&lt;&gt;""),ROWS(DI$1:DI1))),"")</f>
        <v/>
      </c>
      <c r="DJ359" s="156" t="str">
        <f>IFERROR(INDEX(DD$359:DD$407,_xlfn.AGGREGATE(15,6,(ROW(DD$359:DD$407)-ROW(DD$359)+1)/(DD$359:DD$407&lt;&gt;""),ROWS(DJ$1:DJ1))),"")</f>
        <v/>
      </c>
      <c r="DK359" s="157" t="str">
        <f t="shared" ref="DK359:DK407" si="207">IF(ISNUMBER(DI359),ROW(DI359),"")</f>
        <v/>
      </c>
      <c r="DL359" s="155" t="str">
        <f>IFERROR(INDEX(DE$359:DE$407,_xlfn.AGGREGATE(15,6,(ROW(DE$359:DE$407)-ROW(DE$359)+1)/(DE$359:DE$407&lt;&gt;""),ROWS(DL$1:DL1))),"")</f>
        <v/>
      </c>
      <c r="DM359" s="156" t="str">
        <f>IFERROR(INDEX(DF$359:DF$407,_xlfn.AGGREGATE(15,6,(ROW(DF$359:DF$407)-ROW(DF$359)+1)/(DF$359:DF$407&lt;&gt;""),ROWS(DM$1:DM1))),"")</f>
        <v/>
      </c>
      <c r="DN359" s="157" t="str">
        <f t="shared" ref="DN359:DN407" si="208">IF(ISNUMBER(DI359),ROW(DI359),"")</f>
        <v/>
      </c>
      <c r="DO359" s="155" t="str">
        <f>IFERROR(INDEX(DG$359:DG$407,_xlfn.AGGREGATE(15,6,(ROW(DG$359:DG$407)-ROW(DG$359)+1)/(DG$359:DG$407&lt;&gt;""),ROWS(DO$1:DO1))),"")</f>
        <v/>
      </c>
      <c r="DP359" s="156" t="str">
        <f>IFERROR(INDEX(DH$359:DH$407,_xlfn.AGGREGATE(15,6,(ROW(DH$359:DH$407)-ROW(DH$359)+1)/(DH$359:DH$407&lt;&gt;""),ROWS(DP$1:DP1))),"")</f>
        <v/>
      </c>
      <c r="DQ359" s="157" t="str">
        <f t="shared" ref="DQ359:DQ407" si="209">IF(ISNUMBER(DL359),ROW(DL359),"")</f>
        <v/>
      </c>
      <c r="DV359" s="145">
        <v>2015</v>
      </c>
      <c r="DW359" s="235" t="e">
        <f t="shared" ca="1" si="193"/>
        <v>#REF!</v>
      </c>
      <c r="EA359" s="33"/>
      <c r="EB359" s="33"/>
      <c r="EC359" s="33"/>
      <c r="ED359" s="33"/>
      <c r="EE359" s="33"/>
    </row>
    <row r="360" spans="1:135" ht="13.8" x14ac:dyDescent="0.45">
      <c r="A360" s="948" t="s">
        <v>1037</v>
      </c>
      <c r="B360" s="128">
        <v>2013</v>
      </c>
      <c r="C360" s="1067"/>
      <c r="D360" s="1067"/>
      <c r="E360" s="1068"/>
      <c r="F360" s="1053"/>
      <c r="G360" s="1054"/>
      <c r="H360" s="1064"/>
      <c r="I360" s="1143"/>
      <c r="J360" s="264"/>
      <c r="K360" s="239"/>
      <c r="L360" s="190"/>
      <c r="M360" s="239"/>
      <c r="N360" s="29" t="s">
        <v>119</v>
      </c>
      <c r="O360" s="120"/>
      <c r="P360" s="120"/>
      <c r="Q360" s="120"/>
      <c r="R360" s="29">
        <v>-1</v>
      </c>
      <c r="S360" s="238" t="str">
        <f t="shared" si="194"/>
        <v/>
      </c>
      <c r="T360" s="238" t="str">
        <f t="shared" si="195"/>
        <v/>
      </c>
      <c r="U360" s="238" t="str">
        <f t="shared" si="196"/>
        <v/>
      </c>
      <c r="V360" s="29"/>
      <c r="W360" s="238" t="e">
        <f t="shared" si="197"/>
        <v>#N/A</v>
      </c>
      <c r="X360" s="238" t="e">
        <f t="shared" si="198"/>
        <v>#N/A</v>
      </c>
      <c r="Y360" s="238" t="e">
        <f t="shared" si="199"/>
        <v>#N/A</v>
      </c>
      <c r="AA360" s="1133">
        <v>219.51586757990867</v>
      </c>
      <c r="AB360" s="1133">
        <v>219.51586757990867</v>
      </c>
      <c r="AC360" s="1133">
        <v>219.51586757990867</v>
      </c>
      <c r="AD360" s="138"/>
      <c r="AE360" s="138"/>
      <c r="AF360" s="138"/>
      <c r="AG360" s="138"/>
      <c r="AH360" s="138"/>
      <c r="AI360" s="138"/>
      <c r="AJ360" s="138"/>
      <c r="AK360" s="138"/>
      <c r="AL360" s="138"/>
      <c r="AM360" s="138"/>
      <c r="AN360" s="138"/>
      <c r="BS360" s="160" t="s">
        <v>25</v>
      </c>
      <c r="BT360" s="161" t="e">
        <f>SLOPE((DH359:DH407),($B$46:$B$94))</f>
        <v>#DIV/0!</v>
      </c>
      <c r="BU360" s="162" t="e">
        <f>INTERCEPT(DP359:DP407,DO359:DO407)</f>
        <v>#DIV/0!</v>
      </c>
      <c r="BW360" s="133"/>
      <c r="BZ360" s="160" t="s">
        <v>25</v>
      </c>
      <c r="CA360" s="161" t="e">
        <f ca="1">INDEX(LINEST((INDIRECT(DO356):INDIRECT(DP356)),(INDIRECT(DO357):INDIRECT(DP357))^{1,2}),1)</f>
        <v>#REF!</v>
      </c>
      <c r="CB360" s="163" t="e">
        <f ca="1">INDEX(LINEST((INDIRECT(DO356):INDIRECT(DP356)),(INDIRECT(DO357):INDIRECT(DP357))^{1,2}),1,2)</f>
        <v>#REF!</v>
      </c>
      <c r="CC360" s="162" t="e">
        <f ca="1">INDEX(LINEST((INDIRECT(DO356):INDIRECT(DP356)),(INDIRECT(DO357):INDIRECT(DP357))^{1,2}),1,3)</f>
        <v>#REF!</v>
      </c>
      <c r="CH360" s="160" t="s">
        <v>25</v>
      </c>
      <c r="CI360" s="161" t="e">
        <f ca="1">INDEX(LINEST((INDIRECT(DO356):INDIRECT(DP356)),(INDIRECT(DO357):INDIRECT(DP357))^{1,2,3}),1)</f>
        <v>#REF!</v>
      </c>
      <c r="CJ360" s="163" t="e">
        <f ca="1">INDEX(LINEST((INDIRECT(DO356):INDIRECT(DP356)),(INDIRECT(DO357):INDIRECT(DP357))^{1,2,3}),1,2)</f>
        <v>#REF!</v>
      </c>
      <c r="CK360" s="163" t="e">
        <f ca="1">INDEX(LINEST((INDIRECT(DO356):INDIRECT(DP356)),(INDIRECT(DO357):INDIRECT(DP357))^{1,2,3}),1,3)</f>
        <v>#REF!</v>
      </c>
      <c r="CL360" s="162" t="e">
        <f ca="1">INDEX(LINEST((INDIRECT(DO356):INDIRECT(DP356)),(INDIRECT(DO357):INDIRECT(DP357))^{1,2,3}),1,4)</f>
        <v>#REF!</v>
      </c>
      <c r="CQ360" s="160" t="s">
        <v>25</v>
      </c>
      <c r="CR360" s="161" t="e">
        <f ca="1">EXP(INDEX(LINEST(LN(INDIRECT(DO356):INDIRECT(DP356)),(INDIRECT(DO357):INDIRECT(DP357))),1,2))</f>
        <v>#REF!</v>
      </c>
      <c r="CS360" s="162" t="e">
        <f ca="1">INDEX(LINEST(LN(INDIRECT(DO356):INDIRECT(DP356)),(INDIRECT(DO357):INDIRECT(DP357))),1)</f>
        <v>#REF!</v>
      </c>
      <c r="CZ360" s="164" t="b">
        <f t="shared" si="200"/>
        <v>0</v>
      </c>
      <c r="DA360" s="165" t="b">
        <f t="shared" si="200"/>
        <v>0</v>
      </c>
      <c r="DB360" s="166" t="b">
        <f t="shared" si="200"/>
        <v>0</v>
      </c>
      <c r="DC360" s="164" t="str">
        <f t="shared" si="201"/>
        <v/>
      </c>
      <c r="DD360" s="166" t="str">
        <f t="shared" si="202"/>
        <v/>
      </c>
      <c r="DE360" s="164" t="str">
        <f t="shared" si="203"/>
        <v/>
      </c>
      <c r="DF360" s="166" t="str">
        <f t="shared" si="204"/>
        <v/>
      </c>
      <c r="DG360" s="164" t="str">
        <f t="shared" si="205"/>
        <v/>
      </c>
      <c r="DH360" s="166" t="str">
        <f t="shared" si="206"/>
        <v/>
      </c>
      <c r="DI360" s="164" t="str">
        <f>IFERROR(INDEX(DC$359:DC$407,_xlfn.AGGREGATE(15,6,(ROW(DC$359:DC$407)-ROW(DC$359)+1)/(DC$359:DC$407&lt;&gt;""),ROWS(DI$1:DI2))),"")</f>
        <v/>
      </c>
      <c r="DJ360" s="165" t="str">
        <f>IFERROR(INDEX(DD$359:DD$407,_xlfn.AGGREGATE(15,6,(ROW(DD$359:DD$407)-ROW(DD$359)+1)/(DD$359:DD$407&lt;&gt;""),ROWS(DJ$1:DJ2))),"")</f>
        <v/>
      </c>
      <c r="DK360" s="166" t="str">
        <f t="shared" si="207"/>
        <v/>
      </c>
      <c r="DL360" s="164" t="str">
        <f>IFERROR(INDEX(DE$359:DE$407,_xlfn.AGGREGATE(15,6,(ROW(DE$359:DE$407)-ROW(DE$359)+1)/(DE$359:DE$407&lt;&gt;""),ROWS(DL$1:DL2))),"")</f>
        <v/>
      </c>
      <c r="DM360" s="165" t="str">
        <f>IFERROR(INDEX(DF$359:DF$407,_xlfn.AGGREGATE(15,6,(ROW(DF$359:DF$407)-ROW(DF$359)+1)/(DF$359:DF$407&lt;&gt;""),ROWS(DM$1:DM2))),"")</f>
        <v/>
      </c>
      <c r="DN360" s="166" t="str">
        <f t="shared" si="208"/>
        <v/>
      </c>
      <c r="DO360" s="164" t="str">
        <f>IFERROR(INDEX(DG$359:DG$407,_xlfn.AGGREGATE(15,6,(ROW(DG$359:DG$407)-ROW(DG$359)+1)/(DG$359:DG$407&lt;&gt;""),ROWS(DO$1:DO2))),"")</f>
        <v/>
      </c>
      <c r="DP360" s="165" t="str">
        <f>IFERROR(INDEX(DH$359:DH$407,_xlfn.AGGREGATE(15,6,(ROW(DH$359:DH$407)-ROW(DH$359)+1)/(DH$359:DH$407&lt;&gt;""),ROWS(DP$1:DP2))),"")</f>
        <v/>
      </c>
      <c r="DQ360" s="166" t="str">
        <f t="shared" si="209"/>
        <v/>
      </c>
      <c r="DV360" s="145">
        <v>2016</v>
      </c>
      <c r="DW360" s="235" t="e">
        <f t="shared" ca="1" si="193"/>
        <v>#REF!</v>
      </c>
      <c r="EA360" s="33"/>
      <c r="EB360" s="33"/>
      <c r="EC360" s="33"/>
      <c r="ED360" s="33"/>
      <c r="EE360" s="33"/>
    </row>
    <row r="361" spans="1:135" ht="13.8" x14ac:dyDescent="0.45">
      <c r="A361" s="948" t="s">
        <v>90</v>
      </c>
      <c r="B361" s="128">
        <v>2014</v>
      </c>
      <c r="C361" s="1067"/>
      <c r="D361" s="1067"/>
      <c r="E361" s="1068"/>
      <c r="F361" s="1053"/>
      <c r="G361" s="1054"/>
      <c r="H361" s="1034"/>
      <c r="I361" s="1143"/>
      <c r="J361" s="168"/>
      <c r="K361" s="169"/>
      <c r="L361" s="170"/>
      <c r="M361" s="169"/>
      <c r="N361" s="29" t="s">
        <v>119</v>
      </c>
      <c r="O361" s="120"/>
      <c r="P361" s="120"/>
      <c r="Q361" s="120"/>
      <c r="R361" s="29">
        <v>0</v>
      </c>
      <c r="S361" s="238" t="str">
        <f t="shared" si="194"/>
        <v/>
      </c>
      <c r="T361" s="238" t="str">
        <f t="shared" si="195"/>
        <v/>
      </c>
      <c r="U361" s="238" t="str">
        <f t="shared" si="196"/>
        <v/>
      </c>
      <c r="V361" s="29"/>
      <c r="W361" s="238" t="e">
        <f t="shared" si="197"/>
        <v>#N/A</v>
      </c>
      <c r="X361" s="238" t="e">
        <f t="shared" si="198"/>
        <v>#N/A</v>
      </c>
      <c r="Y361" s="238" t="e">
        <f t="shared" si="199"/>
        <v>#N/A</v>
      </c>
      <c r="AA361" s="1133">
        <v>223.56415525114156</v>
      </c>
      <c r="AB361" s="1133">
        <v>223.56415525114156</v>
      </c>
      <c r="AC361" s="1133">
        <v>223.56415525114156</v>
      </c>
      <c r="AD361" s="138"/>
      <c r="AE361" s="138"/>
      <c r="AF361" s="138"/>
      <c r="AG361" s="138"/>
      <c r="AH361" s="138"/>
      <c r="AI361" s="138"/>
      <c r="AJ361" s="138"/>
      <c r="AK361" s="138"/>
      <c r="AL361" s="138"/>
      <c r="AM361" s="138"/>
      <c r="AN361" s="138"/>
      <c r="BS361" s="160" t="s">
        <v>91</v>
      </c>
      <c r="BT361" s="172" t="e">
        <f>SLOPE((DF359:DF407),($B$46:$B$94))</f>
        <v>#DIV/0!</v>
      </c>
      <c r="BU361" s="173" t="e">
        <f>INTERCEPT(DM359:DM407,DL359:DL407)</f>
        <v>#DIV/0!</v>
      </c>
      <c r="BZ361" s="160" t="s">
        <v>91</v>
      </c>
      <c r="CA361" s="172" t="e">
        <f ca="1">INDEX(LINEST((INDIRECT(DL356):INDIRECT(DM356)),(INDIRECT(DL357):INDIRECT(DM357))^{1,2}),1)</f>
        <v>#REF!</v>
      </c>
      <c r="CB361" s="174" t="e">
        <f ca="1">INDEX(LINEST((INDIRECT(DL356):INDIRECT(DM356)),(INDIRECT(DL357):INDIRECT(DM357))^{1,2}),1,2)</f>
        <v>#REF!</v>
      </c>
      <c r="CC361" s="173" t="e">
        <f ca="1">INDEX(LINEST((INDIRECT(DL356):INDIRECT(DM356)),(INDIRECT(DL357):INDIRECT(DM357))^{1,2}),1,3)</f>
        <v>#REF!</v>
      </c>
      <c r="CH361" s="160" t="s">
        <v>91</v>
      </c>
      <c r="CI361" s="172" t="e">
        <f ca="1">INDEX(LINEST((INDIRECT(DL356):INDIRECT(DM356)),(INDIRECT(DL357):INDIRECT(DM357))^{1,2,3}),1)</f>
        <v>#REF!</v>
      </c>
      <c r="CJ361" s="174" t="e">
        <f ca="1">INDEX(LINEST((INDIRECT(DL356):INDIRECT(DM356)),(INDIRECT(DL357):INDIRECT(DM357))^{1,2,3}),1,2)</f>
        <v>#REF!</v>
      </c>
      <c r="CK361" s="174" t="e">
        <f ca="1">INDEX(LINEST((INDIRECT(DL356):INDIRECT(DM356)),(INDIRECT(DL357):INDIRECT(DM357))^{1,2,3}),1,3)</f>
        <v>#REF!</v>
      </c>
      <c r="CL361" s="173" t="e">
        <f ca="1">INDEX(LINEST((INDIRECT(DL356):INDIRECT(DM356)),(INDIRECT(DL357):INDIRECT(DM357))^{1,2,3}),1,4)</f>
        <v>#REF!</v>
      </c>
      <c r="CQ361" s="160" t="s">
        <v>91</v>
      </c>
      <c r="CR361" s="172" t="e">
        <f ca="1">EXP(INDEX(LINEST(LN(INDIRECT(DL356):INDIRECT(DM356)),(INDIRECT(DL357):INDIRECT(DM357))),1,2))</f>
        <v>#REF!</v>
      </c>
      <c r="CS361" s="173" t="e">
        <f ca="1">INDEX(LINEST(LN(INDIRECT(DL356):INDIRECT(DM356)),(INDIRECT(DL357):INDIRECT(DM357))),1)</f>
        <v>#REF!</v>
      </c>
      <c r="CZ361" s="164" t="b">
        <f t="shared" si="200"/>
        <v>0</v>
      </c>
      <c r="DA361" s="165" t="b">
        <f t="shared" si="200"/>
        <v>0</v>
      </c>
      <c r="DB361" s="166" t="b">
        <f t="shared" si="200"/>
        <v>0</v>
      </c>
      <c r="DC361" s="164" t="str">
        <f t="shared" si="201"/>
        <v/>
      </c>
      <c r="DD361" s="166" t="str">
        <f t="shared" si="202"/>
        <v/>
      </c>
      <c r="DE361" s="164" t="str">
        <f t="shared" si="203"/>
        <v/>
      </c>
      <c r="DF361" s="166" t="str">
        <f t="shared" si="204"/>
        <v/>
      </c>
      <c r="DG361" s="164" t="str">
        <f t="shared" si="205"/>
        <v/>
      </c>
      <c r="DH361" s="166" t="str">
        <f t="shared" si="206"/>
        <v/>
      </c>
      <c r="DI361" s="164" t="str">
        <f>IFERROR(INDEX(DC$359:DC$407,_xlfn.AGGREGATE(15,6,(ROW(DC$359:DC$407)-ROW(DC$359)+1)/(DC$359:DC$407&lt;&gt;""),ROWS(DI$1:DI3))),"")</f>
        <v/>
      </c>
      <c r="DJ361" s="165" t="str">
        <f>IFERROR(INDEX(DD$359:DD$407,_xlfn.AGGREGATE(15,6,(ROW(DD$359:DD$407)-ROW(DD$359)+1)/(DD$359:DD$407&lt;&gt;""),ROWS(DJ$1:DJ3))),"")</f>
        <v/>
      </c>
      <c r="DK361" s="166" t="str">
        <f t="shared" si="207"/>
        <v/>
      </c>
      <c r="DL361" s="164" t="str">
        <f>IFERROR(INDEX(DE$359:DE$407,_xlfn.AGGREGATE(15,6,(ROW(DE$359:DE$407)-ROW(DE$359)+1)/(DE$359:DE$407&lt;&gt;""),ROWS(DL$1:DL3))),"")</f>
        <v/>
      </c>
      <c r="DM361" s="165" t="str">
        <f>IFERROR(INDEX(DF$359:DF$407,_xlfn.AGGREGATE(15,6,(ROW(DF$359:DF$407)-ROW(DF$359)+1)/(DF$359:DF$407&lt;&gt;""),ROWS(DM$1:DM3))),"")</f>
        <v/>
      </c>
      <c r="DN361" s="166" t="str">
        <f t="shared" si="208"/>
        <v/>
      </c>
      <c r="DO361" s="164" t="str">
        <f>IFERROR(INDEX(DG$359:DG$407,_xlfn.AGGREGATE(15,6,(ROW(DG$359:DG$407)-ROW(DG$359)+1)/(DG$359:DG$407&lt;&gt;""),ROWS(DO$1:DO3))),"")</f>
        <v/>
      </c>
      <c r="DP361" s="165" t="str">
        <f>IFERROR(INDEX(DH$359:DH$407,_xlfn.AGGREGATE(15,6,(ROW(DH$359:DH$407)-ROW(DH$359)+1)/(DH$359:DH$407&lt;&gt;""),ROWS(DP$1:DP3))),"")</f>
        <v/>
      </c>
      <c r="DQ361" s="166" t="str">
        <f t="shared" si="209"/>
        <v/>
      </c>
      <c r="DV361" s="145">
        <v>2017</v>
      </c>
      <c r="DW361" s="235" t="e">
        <f t="shared" ca="1" si="193"/>
        <v>#REF!</v>
      </c>
      <c r="DZ361" s="65" t="s">
        <v>89</v>
      </c>
      <c r="EA361" s="33"/>
      <c r="EB361" s="33"/>
      <c r="EC361" s="33"/>
      <c r="ED361" s="33"/>
      <c r="EE361" s="33"/>
    </row>
    <row r="362" spans="1:135" ht="14.1" thickBot="1" x14ac:dyDescent="0.5">
      <c r="A362" s="949" t="s">
        <v>80</v>
      </c>
      <c r="B362" s="128">
        <v>2015</v>
      </c>
      <c r="C362" s="1067"/>
      <c r="D362" s="1067"/>
      <c r="E362" s="1069"/>
      <c r="F362" s="1075"/>
      <c r="G362" s="1052"/>
      <c r="H362" s="1064"/>
      <c r="I362" s="1143"/>
      <c r="J362" s="159"/>
      <c r="K362" s="151"/>
      <c r="L362" s="152"/>
      <c r="M362" s="151"/>
      <c r="N362" s="29" t="s">
        <v>119</v>
      </c>
      <c r="O362" s="120"/>
      <c r="P362" s="120"/>
      <c r="Q362" s="120"/>
      <c r="R362" s="29">
        <v>1</v>
      </c>
      <c r="S362" s="238" t="str">
        <f t="shared" si="194"/>
        <v/>
      </c>
      <c r="T362" s="238" t="str">
        <f t="shared" si="195"/>
        <v/>
      </c>
      <c r="U362" s="238" t="str">
        <f t="shared" si="196"/>
        <v/>
      </c>
      <c r="V362" s="29"/>
      <c r="W362" s="238" t="e">
        <f t="shared" si="197"/>
        <v>#N/A</v>
      </c>
      <c r="X362" s="238" t="e">
        <f t="shared" si="198"/>
        <v>#N/A</v>
      </c>
      <c r="Y362" s="238" t="e">
        <f t="shared" si="199"/>
        <v>#N/A</v>
      </c>
      <c r="AA362" s="1133">
        <v>227.61244292237444</v>
      </c>
      <c r="AB362" s="1133">
        <v>227.61244292237444</v>
      </c>
      <c r="AC362" s="1133">
        <v>227.61244292237444</v>
      </c>
      <c r="AD362" s="138"/>
      <c r="AE362" s="138"/>
      <c r="AF362" s="138"/>
      <c r="AG362" s="138"/>
      <c r="AH362" s="138"/>
      <c r="AI362" s="138"/>
      <c r="AJ362" s="138"/>
      <c r="AK362" s="138"/>
      <c r="AL362" s="138"/>
      <c r="AM362" s="138"/>
      <c r="AN362" s="138"/>
      <c r="BR362" s="29"/>
      <c r="BS362" s="160" t="s">
        <v>15</v>
      </c>
      <c r="BT362" s="177" t="e">
        <f>SLOPE((DD359:DD407),($B$46:$B$94))</f>
        <v>#DIV/0!</v>
      </c>
      <c r="BU362" s="178" t="e">
        <f>INTERCEPT(DJ359:DJ407,DI359:DI407)</f>
        <v>#DIV/0!</v>
      </c>
      <c r="BV362" s="691" t="s">
        <v>71</v>
      </c>
      <c r="BY362" s="29"/>
      <c r="BZ362" s="160" t="s">
        <v>15</v>
      </c>
      <c r="CA362" s="177" t="e">
        <f ca="1">INDEX(LINEST((INDIRECT(DI356):INDIRECT(DJ356)),(INDIRECT(DI357):INDIRECT(DJ357))^{1,2}),1)</f>
        <v>#REF!</v>
      </c>
      <c r="CB362" s="179" t="e">
        <f ca="1">INDEX(LINEST((INDIRECT(DI356):INDIRECT(DJ356)),(INDIRECT(DI357):INDIRECT(DJ357))^{1,2}),1,2)</f>
        <v>#REF!</v>
      </c>
      <c r="CC362" s="178" t="e">
        <f ca="1">INDEX(LINEST((INDIRECT(DI356):INDIRECT(DJ356)),(INDIRECT(DI357):INDIRECT(DJ357))^{1,2}),1,3)</f>
        <v>#REF!</v>
      </c>
      <c r="CD362" s="691" t="s">
        <v>71</v>
      </c>
      <c r="CG362" s="29"/>
      <c r="CH362" s="160" t="s">
        <v>15</v>
      </c>
      <c r="CI362" s="177" t="e">
        <f ca="1">INDEX(LINEST((INDIRECT(DI356):INDIRECT(DJ356)),(INDIRECT(DI357):INDIRECT(DJ357))^{1,2,3}),1)</f>
        <v>#REF!</v>
      </c>
      <c r="CJ362" s="179" t="e">
        <f ca="1">INDEX(LINEST((INDIRECT(DI356):INDIRECT(DJ356)),(INDIRECT(DI357):INDIRECT(DJ357))^{1,2,3}),1,2)</f>
        <v>#REF!</v>
      </c>
      <c r="CK362" s="179" t="e">
        <f ca="1">INDEX(LINEST((INDIRECT(DI356):INDIRECT(DJ356)),(INDIRECT(DI357):INDIRECT(DJ357))^{1,2,3}),1,3)</f>
        <v>#REF!</v>
      </c>
      <c r="CL362" s="178" t="e">
        <f ca="1">INDEX(LINEST((INDIRECT(DI356):INDIRECT(DJ356)),(INDIRECT(DI357):INDIRECT(DJ357))^{1,2,3}),1,4)</f>
        <v>#REF!</v>
      </c>
      <c r="CM362" s="691" t="s">
        <v>71</v>
      </c>
      <c r="CP362" s="29"/>
      <c r="CQ362" s="160" t="s">
        <v>15</v>
      </c>
      <c r="CR362" s="177" t="e">
        <f ca="1">EXP(INDEX(LINEST(LN(INDIRECT(DI356):INDIRECT(DJ356)),(INDIRECT(DI357):INDIRECT(DJ357))),1,2))</f>
        <v>#REF!</v>
      </c>
      <c r="CS362" s="178" t="e">
        <f ca="1">INDEX(LINEST(LN(INDIRECT(DI356):INDIRECT(DJ356)),(INDIRECT(DI357):INDIRECT(DJ357))),1)</f>
        <v>#REF!</v>
      </c>
      <c r="CT362" s="691" t="s">
        <v>71</v>
      </c>
      <c r="CZ362" s="164" t="b">
        <f t="shared" si="200"/>
        <v>0</v>
      </c>
      <c r="DA362" s="165" t="b">
        <f t="shared" si="200"/>
        <v>0</v>
      </c>
      <c r="DB362" s="166" t="b">
        <f t="shared" si="200"/>
        <v>0</v>
      </c>
      <c r="DC362" s="164" t="str">
        <f t="shared" si="201"/>
        <v/>
      </c>
      <c r="DD362" s="166" t="str">
        <f t="shared" si="202"/>
        <v/>
      </c>
      <c r="DE362" s="164" t="str">
        <f t="shared" si="203"/>
        <v/>
      </c>
      <c r="DF362" s="166" t="str">
        <f t="shared" si="204"/>
        <v/>
      </c>
      <c r="DG362" s="164" t="str">
        <f t="shared" si="205"/>
        <v/>
      </c>
      <c r="DH362" s="166" t="str">
        <f t="shared" si="206"/>
        <v/>
      </c>
      <c r="DI362" s="164" t="str">
        <f>IFERROR(INDEX(DC$359:DC$407,_xlfn.AGGREGATE(15,6,(ROW(DC$359:DC$407)-ROW(DC$359)+1)/(DC$359:DC$407&lt;&gt;""),ROWS(DI$1:DI4))),"")</f>
        <v/>
      </c>
      <c r="DJ362" s="165" t="str">
        <f>IFERROR(INDEX(DD$359:DD$407,_xlfn.AGGREGATE(15,6,(ROW(DD$359:DD$407)-ROW(DD$359)+1)/(DD$359:DD$407&lt;&gt;""),ROWS(DJ$1:DJ4))),"")</f>
        <v/>
      </c>
      <c r="DK362" s="166" t="str">
        <f t="shared" si="207"/>
        <v/>
      </c>
      <c r="DL362" s="164" t="str">
        <f>IFERROR(INDEX(DE$359:DE$407,_xlfn.AGGREGATE(15,6,(ROW(DE$359:DE$407)-ROW(DE$359)+1)/(DE$359:DE$407&lt;&gt;""),ROWS(DL$1:DL4))),"")</f>
        <v/>
      </c>
      <c r="DM362" s="165" t="str">
        <f>IFERROR(INDEX(DF$359:DF$407,_xlfn.AGGREGATE(15,6,(ROW(DF$359:DF$407)-ROW(DF$359)+1)/(DF$359:DF$407&lt;&gt;""),ROWS(DM$1:DM4))),"")</f>
        <v/>
      </c>
      <c r="DN362" s="166" t="str">
        <f t="shared" si="208"/>
        <v/>
      </c>
      <c r="DO362" s="164" t="str">
        <f>IFERROR(INDEX(DG$359:DG$407,_xlfn.AGGREGATE(15,6,(ROW(DG$359:DG$407)-ROW(DG$359)+1)/(DG$359:DG$407&lt;&gt;""),ROWS(DO$1:DO4))),"")</f>
        <v/>
      </c>
      <c r="DP362" s="165" t="str">
        <f>IFERROR(INDEX(DH$359:DH$407,_xlfn.AGGREGATE(15,6,(ROW(DH$359:DH$407)-ROW(DH$359)+1)/(DH$359:DH$407&lt;&gt;""),ROWS(DP$1:DP4))),"")</f>
        <v/>
      </c>
      <c r="DQ362" s="166" t="str">
        <f t="shared" si="209"/>
        <v/>
      </c>
      <c r="DV362" s="145">
        <v>2018</v>
      </c>
      <c r="DW362" s="235" t="e">
        <f t="shared" ca="1" si="193"/>
        <v>#REF!</v>
      </c>
      <c r="EA362" s="33" t="s">
        <v>85</v>
      </c>
      <c r="EB362" s="33" t="s">
        <v>84</v>
      </c>
      <c r="EC362" s="33" t="s">
        <v>82</v>
      </c>
      <c r="ED362" s="33" t="s">
        <v>83</v>
      </c>
      <c r="EE362" s="33"/>
    </row>
    <row r="363" spans="1:135" ht="13.8" x14ac:dyDescent="0.45">
      <c r="A363" s="184" t="s">
        <v>88</v>
      </c>
      <c r="B363" s="128">
        <v>2016</v>
      </c>
      <c r="C363" s="1067"/>
      <c r="D363" s="1067"/>
      <c r="E363" s="1069"/>
      <c r="F363" s="1075"/>
      <c r="G363" s="1052"/>
      <c r="H363" s="1064"/>
      <c r="I363" s="1143"/>
      <c r="J363" s="159"/>
      <c r="K363" s="151"/>
      <c r="L363" s="152"/>
      <c r="M363" s="151"/>
      <c r="N363" s="29" t="s">
        <v>119</v>
      </c>
      <c r="O363" s="120"/>
      <c r="P363" s="120"/>
      <c r="Q363" s="120"/>
      <c r="R363" s="29">
        <v>2</v>
      </c>
      <c r="S363" s="238" t="str">
        <f t="shared" si="194"/>
        <v/>
      </c>
      <c r="T363" s="238" t="str">
        <f t="shared" si="195"/>
        <v/>
      </c>
      <c r="U363" s="238" t="str">
        <f t="shared" si="196"/>
        <v/>
      </c>
      <c r="V363" s="29"/>
      <c r="W363" s="238" t="e">
        <f t="shared" si="197"/>
        <v>#N/A</v>
      </c>
      <c r="X363" s="238" t="e">
        <f t="shared" si="198"/>
        <v>#N/A</v>
      </c>
      <c r="Y363" s="238" t="e">
        <f t="shared" si="199"/>
        <v>#N/A</v>
      </c>
      <c r="AA363" s="1133">
        <v>230.8</v>
      </c>
      <c r="AB363" s="1133">
        <v>230.8</v>
      </c>
      <c r="AC363" s="1133">
        <v>230.8</v>
      </c>
      <c r="AD363" s="138"/>
      <c r="AE363" s="138"/>
      <c r="AF363" s="138"/>
      <c r="AG363" s="138"/>
      <c r="AH363" s="138"/>
      <c r="AI363" s="138"/>
      <c r="AJ363" s="138"/>
      <c r="AK363" s="138"/>
      <c r="AL363" s="138"/>
      <c r="AM363" s="138"/>
      <c r="AN363" s="138"/>
      <c r="BR363" s="180">
        <v>2014</v>
      </c>
      <c r="BS363" s="22">
        <v>0</v>
      </c>
      <c r="BT363" s="181" t="e">
        <f t="shared" ref="BT363:BT409" si="210">IF($BS$359="High",BS363*$BT$360,IF($BS$359="Medium",$BT$361*BS363,IF($BS$359="Low",$BT$362*BS363)))</f>
        <v>#DIV/0!</v>
      </c>
      <c r="BU363" s="182" t="e">
        <f t="shared" ref="BU363:BU409" si="211">IF($BS$359="High",$BU$360,IF($BS$359="Medium",$BU$361,IF($BS$359="Low",BU362)))</f>
        <v>#DIV/0!</v>
      </c>
      <c r="BV363" s="241" t="e">
        <f t="shared" ref="BV363:BV409" si="212">BT363+BU363</f>
        <v>#DIV/0!</v>
      </c>
      <c r="BY363" s="180">
        <v>2014</v>
      </c>
      <c r="BZ363" s="22">
        <v>0</v>
      </c>
      <c r="CA363" s="181" t="e">
        <f t="shared" ref="CA363:CA409" ca="1" si="213">IF($BZ$359="High",BZ363^2*$CA$360,IF($BZ$359="Medium",BZ363^2*$CA$361,IF($BZ$359="Low",BZ363^2*$CA$362)))</f>
        <v>#REF!</v>
      </c>
      <c r="CB363" s="181" t="e">
        <f t="shared" ref="CB363:CB409" ca="1" si="214">IF($BZ$359="High",BZ363*$CB$360,IF($BZ$359="Medium",BZ363*$CB$361,IF($BZ$359="Low",BZ363*$CB$362)))</f>
        <v>#REF!</v>
      </c>
      <c r="CC363" s="182" t="e">
        <f ca="1">IF($BZ$359="High",$CC$360,IF($BZ$359="Medium",$CC$361,IF($BZ$359="Low",$CC$362)))</f>
        <v>#REF!</v>
      </c>
      <c r="CD363" s="241" t="e">
        <f t="shared" ref="CD363:CD409" ca="1" si="215">CA363+CB363+CC363</f>
        <v>#REF!</v>
      </c>
      <c r="CG363" s="180">
        <v>2014</v>
      </c>
      <c r="CH363" s="22">
        <v>0</v>
      </c>
      <c r="CI363" s="181" t="e">
        <f t="shared" ref="CI363:CI409" ca="1" si="216">IF($CH$359="High",CH363^3*$CI$360,IF($CH$359="Medium",CH363^3*$CI$361,IF($CH$359="Low",CH363^3*$CI$362)))</f>
        <v>#REF!</v>
      </c>
      <c r="CJ363" s="181" t="e">
        <f t="shared" ref="CJ363:CJ409" ca="1" si="217">IF($CH$359="High",CH363^2*$CJ$360,IF($CH$359="Medium",CH363^2*$CJ$361,IF($CH$359="Low",CH363^2*$CJ$362)))</f>
        <v>#REF!</v>
      </c>
      <c r="CK363" s="181" t="e">
        <f t="shared" ref="CK363:CK409" ca="1" si="218">IF($CH$359="High",CH363*$CK$360,IF($CH$359="Medium",CH363*$CK$361,IF($CH$359="Low",CH363*$CK$362)))</f>
        <v>#REF!</v>
      </c>
      <c r="CL363" s="182" t="e">
        <f t="shared" ref="CL363:CL409" ca="1" si="219">IF($CH$359="High",$CL$360,IF($CH$359="Medium",$CL$361,IF($CH$359="Low",$CL$362)))</f>
        <v>#REF!</v>
      </c>
      <c r="CM363" s="241" t="e">
        <f t="shared" ref="CM363:CM409" ca="1" si="220">CI363+CJ363+CK363+CL363</f>
        <v>#REF!</v>
      </c>
      <c r="CP363" s="180">
        <v>2014</v>
      </c>
      <c r="CQ363" s="22">
        <v>0</v>
      </c>
      <c r="CR363" s="181" t="e">
        <f t="shared" ref="CR363:CR409" ca="1" si="221">IF($CQ$359="High",$CR$360,IF($CQ$359="Medium",$CR$361,IF($CQ$359="Low",$CR$362)))</f>
        <v>#REF!</v>
      </c>
      <c r="CS363" s="182" t="e">
        <f t="shared" ref="CS363:CS409" ca="1" si="222">IF($CQ$359="High",EXP(1)^($CS$360*CQ363),IF($CQ$359="Medium",EXP(1)^($CS$361*CQ363),IF($CQ$359="Low",EXP(1)^($CS$362*CQ363))))</f>
        <v>#REF!</v>
      </c>
      <c r="CT363" s="241" t="e">
        <f t="shared" ref="CT363:CT409" ca="1" si="223">(CR363*CS363)</f>
        <v>#REF!</v>
      </c>
      <c r="CZ363" s="164" t="b">
        <f t="shared" si="200"/>
        <v>0</v>
      </c>
      <c r="DA363" s="165" t="b">
        <f t="shared" si="200"/>
        <v>0</v>
      </c>
      <c r="DB363" s="166" t="b">
        <f t="shared" si="200"/>
        <v>0</v>
      </c>
      <c r="DC363" s="164" t="str">
        <f t="shared" si="201"/>
        <v/>
      </c>
      <c r="DD363" s="166" t="str">
        <f t="shared" si="202"/>
        <v/>
      </c>
      <c r="DE363" s="164" t="str">
        <f t="shared" si="203"/>
        <v/>
      </c>
      <c r="DF363" s="166" t="str">
        <f t="shared" si="204"/>
        <v/>
      </c>
      <c r="DG363" s="164" t="str">
        <f t="shared" si="205"/>
        <v/>
      </c>
      <c r="DH363" s="166" t="str">
        <f t="shared" si="206"/>
        <v/>
      </c>
      <c r="DI363" s="164" t="str">
        <f>IFERROR(INDEX(DC$359:DC$407,_xlfn.AGGREGATE(15,6,(ROW(DC$359:DC$407)-ROW(DC$359)+1)/(DC$359:DC$407&lt;&gt;""),ROWS(DI$1:DI5))),"")</f>
        <v/>
      </c>
      <c r="DJ363" s="165" t="str">
        <f>IFERROR(INDEX(DD$359:DD$407,_xlfn.AGGREGATE(15,6,(ROW(DD$359:DD$407)-ROW(DD$359)+1)/(DD$359:DD$407&lt;&gt;""),ROWS(DJ$1:DJ5))),"")</f>
        <v/>
      </c>
      <c r="DK363" s="166" t="str">
        <f t="shared" si="207"/>
        <v/>
      </c>
      <c r="DL363" s="164" t="str">
        <f>IFERROR(INDEX(DE$359:DE$407,_xlfn.AGGREGATE(15,6,(ROW(DE$359:DE$407)-ROW(DE$359)+1)/(DE$359:DE$407&lt;&gt;""),ROWS(DL$1:DL5))),"")</f>
        <v/>
      </c>
      <c r="DM363" s="165" t="str">
        <f>IFERROR(INDEX(DF$359:DF$407,_xlfn.AGGREGATE(15,6,(ROW(DF$359:DF$407)-ROW(DF$359)+1)/(DF$359:DF$407&lt;&gt;""),ROWS(DM$1:DM5))),"")</f>
        <v/>
      </c>
      <c r="DN363" s="166" t="str">
        <f t="shared" si="208"/>
        <v/>
      </c>
      <c r="DO363" s="164" t="str">
        <f>IFERROR(INDEX(DG$359:DG$407,_xlfn.AGGREGATE(15,6,(ROW(DG$359:DG$407)-ROW(DG$359)+1)/(DG$359:DG$407&lt;&gt;""),ROWS(DO$1:DO5))),"")</f>
        <v/>
      </c>
      <c r="DP363" s="165" t="str">
        <f>IFERROR(INDEX(DH$359:DH$407,_xlfn.AGGREGATE(15,6,(ROW(DH$359:DH$407)-ROW(DH$359)+1)/(DH$359:DH$407&lt;&gt;""),ROWS(DP$1:DP5))),"")</f>
        <v/>
      </c>
      <c r="DQ363" s="166" t="str">
        <f t="shared" si="209"/>
        <v/>
      </c>
      <c r="DV363" s="145">
        <v>2019</v>
      </c>
      <c r="DW363" s="235" t="e">
        <f t="shared" ca="1" si="193"/>
        <v>#REF!</v>
      </c>
      <c r="DZ363" s="135" t="s">
        <v>92</v>
      </c>
      <c r="EA363" s="33" t="e">
        <f ca="1">IF($EA$357="Linear",0,IF($EA$357="2nd Poly",0,IF($EA$357="3rd Poly",CI360,IF($EA$357="Exp",0))))</f>
        <v>#REF!</v>
      </c>
      <c r="EB363" s="33" t="e">
        <f ca="1">IF($EA$357="Linear",0,IF($EA$357="2nd Poly",CA360,IF($EA$357="3rd Poly",CJ360,IF($EA$357="Exp",0))))</f>
        <v>#REF!</v>
      </c>
      <c r="EC363" s="33" t="e">
        <f t="shared" ref="EC363:ED365" ca="1" si="224">IF($EA$357="Linear",BT360,IF($EA$357="2nd Poly",CB360,IF($EA$357="3rd Poly",CK360,IF($EA$357="Exp",0))))</f>
        <v>#REF!</v>
      </c>
      <c r="ED363" s="33" t="e">
        <f t="shared" ca="1" si="224"/>
        <v>#REF!</v>
      </c>
      <c r="EE363" s="33" t="str">
        <f>IF($EA$357="Linear","High",IF($EA$357="2nd Poly","High",IF($EA$357="3rd Poly","High","N/A")))</f>
        <v>High</v>
      </c>
    </row>
    <row r="364" spans="1:135" ht="13.8" x14ac:dyDescent="0.45">
      <c r="A364" s="184" t="s">
        <v>90</v>
      </c>
      <c r="B364" s="128">
        <v>2017</v>
      </c>
      <c r="C364" s="1070"/>
      <c r="D364" s="1050"/>
      <c r="E364" s="1069"/>
      <c r="F364" s="1075"/>
      <c r="G364" s="1052"/>
      <c r="H364" s="1034"/>
      <c r="I364" s="931"/>
      <c r="J364" s="168"/>
      <c r="K364" s="169"/>
      <c r="L364" s="170"/>
      <c r="M364" s="169"/>
      <c r="N364" s="29" t="s">
        <v>119</v>
      </c>
      <c r="O364" s="120"/>
      <c r="P364" s="120"/>
      <c r="Q364" s="120"/>
      <c r="R364" s="29">
        <v>3</v>
      </c>
      <c r="S364" s="238" t="str">
        <f t="shared" si="194"/>
        <v/>
      </c>
      <c r="T364" s="238" t="str">
        <f t="shared" si="195"/>
        <v/>
      </c>
      <c r="U364" s="238" t="str">
        <f t="shared" si="196"/>
        <v/>
      </c>
      <c r="V364" s="29"/>
      <c r="W364" s="238" t="e">
        <f t="shared" si="197"/>
        <v>#N/A</v>
      </c>
      <c r="X364" s="238" t="e">
        <f t="shared" si="198"/>
        <v>#N/A</v>
      </c>
      <c r="Y364" s="238" t="e">
        <f t="shared" si="199"/>
        <v>#N/A</v>
      </c>
      <c r="AA364" s="1133">
        <v>235.70901826484021</v>
      </c>
      <c r="AB364" s="1133">
        <v>255.26964705259638</v>
      </c>
      <c r="AC364" s="1133">
        <v>274.83027584035256</v>
      </c>
      <c r="AD364" s="138"/>
      <c r="AE364" s="138"/>
      <c r="AF364" s="138"/>
      <c r="AG364" s="138"/>
      <c r="AH364" s="138"/>
      <c r="AI364" s="138"/>
      <c r="AJ364" s="138"/>
      <c r="AK364" s="138"/>
      <c r="AL364" s="138"/>
      <c r="AM364" s="138"/>
      <c r="AN364" s="138"/>
      <c r="BR364" s="180">
        <v>2015</v>
      </c>
      <c r="BS364" s="22">
        <v>1</v>
      </c>
      <c r="BT364" s="198" t="e">
        <f t="shared" si="210"/>
        <v>#DIV/0!</v>
      </c>
      <c r="BU364" s="276" t="e">
        <f t="shared" si="211"/>
        <v>#DIV/0!</v>
      </c>
      <c r="BV364" s="241" t="e">
        <f t="shared" si="212"/>
        <v>#DIV/0!</v>
      </c>
      <c r="BY364" s="180">
        <v>2015</v>
      </c>
      <c r="BZ364" s="22">
        <v>1</v>
      </c>
      <c r="CA364" s="198" t="e">
        <f t="shared" ca="1" si="213"/>
        <v>#REF!</v>
      </c>
      <c r="CB364" s="198" t="e">
        <f t="shared" ca="1" si="214"/>
        <v>#REF!</v>
      </c>
      <c r="CC364" s="276" t="e">
        <f t="shared" ref="CC364:CC409" ca="1" si="225">CC363</f>
        <v>#REF!</v>
      </c>
      <c r="CD364" s="241" t="e">
        <f t="shared" ca="1" si="215"/>
        <v>#REF!</v>
      </c>
      <c r="CG364" s="180">
        <v>2015</v>
      </c>
      <c r="CH364" s="22">
        <v>1</v>
      </c>
      <c r="CI364" s="198" t="e">
        <f t="shared" ca="1" si="216"/>
        <v>#REF!</v>
      </c>
      <c r="CJ364" s="198" t="e">
        <f t="shared" ca="1" si="217"/>
        <v>#REF!</v>
      </c>
      <c r="CK364" s="198" t="e">
        <f t="shared" ca="1" si="218"/>
        <v>#REF!</v>
      </c>
      <c r="CL364" s="276" t="e">
        <f t="shared" ca="1" si="219"/>
        <v>#REF!</v>
      </c>
      <c r="CM364" s="241" t="e">
        <f t="shared" ca="1" si="220"/>
        <v>#REF!</v>
      </c>
      <c r="CP364" s="180">
        <v>2015</v>
      </c>
      <c r="CQ364" s="22">
        <v>1</v>
      </c>
      <c r="CR364" s="198" t="e">
        <f t="shared" ca="1" si="221"/>
        <v>#REF!</v>
      </c>
      <c r="CS364" s="276" t="e">
        <f t="shared" ca="1" si="222"/>
        <v>#REF!</v>
      </c>
      <c r="CT364" s="241" t="e">
        <f t="shared" ca="1" si="223"/>
        <v>#REF!</v>
      </c>
      <c r="CZ364" s="164" t="b">
        <f t="shared" si="200"/>
        <v>0</v>
      </c>
      <c r="DA364" s="165" t="b">
        <f t="shared" si="200"/>
        <v>0</v>
      </c>
      <c r="DB364" s="166" t="b">
        <f t="shared" si="200"/>
        <v>0</v>
      </c>
      <c r="DC364" s="164" t="str">
        <f t="shared" si="201"/>
        <v/>
      </c>
      <c r="DD364" s="166" t="str">
        <f t="shared" si="202"/>
        <v/>
      </c>
      <c r="DE364" s="164" t="str">
        <f t="shared" si="203"/>
        <v/>
      </c>
      <c r="DF364" s="166" t="str">
        <f t="shared" si="204"/>
        <v/>
      </c>
      <c r="DG364" s="164" t="str">
        <f t="shared" si="205"/>
        <v/>
      </c>
      <c r="DH364" s="166" t="str">
        <f t="shared" si="206"/>
        <v/>
      </c>
      <c r="DI364" s="164" t="str">
        <f>IFERROR(INDEX(DC$359:DC$407,_xlfn.AGGREGATE(15,6,(ROW(DC$359:DC$407)-ROW(DC$359)+1)/(DC$359:DC$407&lt;&gt;""),ROWS(DI$1:DI6))),"")</f>
        <v/>
      </c>
      <c r="DJ364" s="165" t="str">
        <f>IFERROR(INDEX(DD$359:DD$407,_xlfn.AGGREGATE(15,6,(ROW(DD$359:DD$407)-ROW(DD$359)+1)/(DD$359:DD$407&lt;&gt;""),ROWS(DJ$1:DJ6))),"")</f>
        <v/>
      </c>
      <c r="DK364" s="166" t="str">
        <f t="shared" si="207"/>
        <v/>
      </c>
      <c r="DL364" s="164" t="str">
        <f>IFERROR(INDEX(DE$359:DE$407,_xlfn.AGGREGATE(15,6,(ROW(DE$359:DE$407)-ROW(DE$359)+1)/(DE$359:DE$407&lt;&gt;""),ROWS(DL$1:DL6))),"")</f>
        <v/>
      </c>
      <c r="DM364" s="165" t="str">
        <f>IFERROR(INDEX(DF$359:DF$407,_xlfn.AGGREGATE(15,6,(ROW(DF$359:DF$407)-ROW(DF$359)+1)/(DF$359:DF$407&lt;&gt;""),ROWS(DM$1:DM6))),"")</f>
        <v/>
      </c>
      <c r="DN364" s="166" t="str">
        <f t="shared" si="208"/>
        <v/>
      </c>
      <c r="DO364" s="164" t="str">
        <f>IFERROR(INDEX(DG$359:DG$407,_xlfn.AGGREGATE(15,6,(ROW(DG$359:DG$407)-ROW(DG$359)+1)/(DG$359:DG$407&lt;&gt;""),ROWS(DO$1:DO6))),"")</f>
        <v/>
      </c>
      <c r="DP364" s="165" t="str">
        <f>IFERROR(INDEX(DH$359:DH$407,_xlfn.AGGREGATE(15,6,(ROW(DH$359:DH$407)-ROW(DH$359)+1)/(DH$359:DH$407&lt;&gt;""),ROWS(DP$1:DP6))),"")</f>
        <v/>
      </c>
      <c r="DQ364" s="166" t="str">
        <f t="shared" si="209"/>
        <v/>
      </c>
      <c r="DV364" s="145">
        <v>2020</v>
      </c>
      <c r="DW364" s="235" t="e">
        <f t="shared" ca="1" si="193"/>
        <v>#REF!</v>
      </c>
      <c r="DZ364" s="135" t="s">
        <v>92</v>
      </c>
      <c r="EA364" s="33" t="e">
        <f ca="1">IF($EA$357="Linear",0,IF($EA$357="2nd Poly",0,IF($EA$357="3rd Poly",CI361,IF($EA$357="Exp",0))))</f>
        <v>#REF!</v>
      </c>
      <c r="EB364" s="33" t="e">
        <f ca="1">IF($EA$357="Linear",0,IF($EA$357="2nd Poly",CA361,IF($EA$357="3rd Poly",CJ361,IF($EA$357="Exp",0))))</f>
        <v>#REF!</v>
      </c>
      <c r="EC364" s="33" t="e">
        <f t="shared" ca="1" si="224"/>
        <v>#REF!</v>
      </c>
      <c r="ED364" s="33" t="e">
        <f t="shared" ca="1" si="224"/>
        <v>#REF!</v>
      </c>
      <c r="EE364" s="33" t="str">
        <f>IF($EA$357="Linear","Medium",IF($EA$357="2nd Poly","Medium",IF($EA$357="3rd Poly","Medium","N/A")))</f>
        <v>Medium</v>
      </c>
    </row>
    <row r="365" spans="1:135" ht="13.8" x14ac:dyDescent="0.45">
      <c r="A365" s="948" t="s">
        <v>1039</v>
      </c>
      <c r="B365" s="128">
        <v>2018</v>
      </c>
      <c r="C365" s="1070"/>
      <c r="D365" s="1050"/>
      <c r="E365" s="1069"/>
      <c r="F365" s="1075"/>
      <c r="G365" s="1052"/>
      <c r="H365" s="1064"/>
      <c r="I365" s="1016"/>
      <c r="J365" s="159"/>
      <c r="K365" s="151"/>
      <c r="L365" s="152"/>
      <c r="M365" s="151"/>
      <c r="N365" s="29" t="s">
        <v>119</v>
      </c>
      <c r="O365" s="120"/>
      <c r="P365" s="120"/>
      <c r="Q365" s="120"/>
      <c r="R365" s="29">
        <v>4</v>
      </c>
      <c r="S365" s="238" t="str">
        <f t="shared" si="194"/>
        <v/>
      </c>
      <c r="T365" s="238" t="str">
        <f t="shared" si="195"/>
        <v/>
      </c>
      <c r="U365" s="238" t="str">
        <f t="shared" si="196"/>
        <v/>
      </c>
      <c r="V365" s="20"/>
      <c r="W365" s="238" t="e">
        <f t="shared" si="197"/>
        <v>#N/A</v>
      </c>
      <c r="X365" s="238" t="e">
        <f t="shared" si="198"/>
        <v>#N/A</v>
      </c>
      <c r="Y365" s="238" t="e">
        <f t="shared" si="199"/>
        <v>#N/A</v>
      </c>
      <c r="AA365" s="1133">
        <v>239.75730593607307</v>
      </c>
      <c r="AB365" s="1133">
        <v>260.88751696904802</v>
      </c>
      <c r="AC365" s="1133">
        <v>282.01772800202298</v>
      </c>
      <c r="AD365" s="138"/>
      <c r="AE365" s="138"/>
      <c r="AF365" s="138"/>
      <c r="AG365" s="138"/>
      <c r="AH365" s="138"/>
      <c r="AI365" s="138"/>
      <c r="AJ365" s="138"/>
      <c r="AK365" s="138"/>
      <c r="AL365" s="138"/>
      <c r="AM365" s="138"/>
      <c r="AN365" s="138"/>
      <c r="BR365" s="180">
        <v>2016</v>
      </c>
      <c r="BS365" s="22">
        <v>2</v>
      </c>
      <c r="BT365" s="198" t="e">
        <f t="shared" si="210"/>
        <v>#DIV/0!</v>
      </c>
      <c r="BU365" s="276" t="e">
        <f t="shared" si="211"/>
        <v>#DIV/0!</v>
      </c>
      <c r="BV365" s="241" t="e">
        <f t="shared" si="212"/>
        <v>#DIV/0!</v>
      </c>
      <c r="BY365" s="180">
        <v>2016</v>
      </c>
      <c r="BZ365" s="22">
        <v>2</v>
      </c>
      <c r="CA365" s="198" t="e">
        <f t="shared" ca="1" si="213"/>
        <v>#REF!</v>
      </c>
      <c r="CB365" s="198" t="e">
        <f t="shared" ca="1" si="214"/>
        <v>#REF!</v>
      </c>
      <c r="CC365" s="276" t="e">
        <f t="shared" ca="1" si="225"/>
        <v>#REF!</v>
      </c>
      <c r="CD365" s="241" t="e">
        <f t="shared" ca="1" si="215"/>
        <v>#REF!</v>
      </c>
      <c r="CG365" s="180">
        <v>2016</v>
      </c>
      <c r="CH365" s="22">
        <v>2</v>
      </c>
      <c r="CI365" s="198" t="e">
        <f t="shared" ca="1" si="216"/>
        <v>#REF!</v>
      </c>
      <c r="CJ365" s="198" t="e">
        <f t="shared" ca="1" si="217"/>
        <v>#REF!</v>
      </c>
      <c r="CK365" s="198" t="e">
        <f t="shared" ca="1" si="218"/>
        <v>#REF!</v>
      </c>
      <c r="CL365" s="276" t="e">
        <f t="shared" ca="1" si="219"/>
        <v>#REF!</v>
      </c>
      <c r="CM365" s="241" t="e">
        <f t="shared" ca="1" si="220"/>
        <v>#REF!</v>
      </c>
      <c r="CP365" s="180">
        <v>2016</v>
      </c>
      <c r="CQ365" s="22">
        <v>2</v>
      </c>
      <c r="CR365" s="198" t="e">
        <f t="shared" ca="1" si="221"/>
        <v>#REF!</v>
      </c>
      <c r="CS365" s="276" t="e">
        <f t="shared" ca="1" si="222"/>
        <v>#REF!</v>
      </c>
      <c r="CT365" s="241" t="e">
        <f t="shared" ca="1" si="223"/>
        <v>#REF!</v>
      </c>
      <c r="CZ365" s="164" t="b">
        <f t="shared" si="200"/>
        <v>0</v>
      </c>
      <c r="DA365" s="165" t="b">
        <f t="shared" si="200"/>
        <v>0</v>
      </c>
      <c r="DB365" s="166" t="b">
        <f t="shared" si="200"/>
        <v>0</v>
      </c>
      <c r="DC365" s="164" t="str">
        <f t="shared" si="201"/>
        <v/>
      </c>
      <c r="DD365" s="166" t="str">
        <f t="shared" si="202"/>
        <v/>
      </c>
      <c r="DE365" s="164" t="str">
        <f t="shared" si="203"/>
        <v/>
      </c>
      <c r="DF365" s="166" t="str">
        <f t="shared" si="204"/>
        <v/>
      </c>
      <c r="DG365" s="164" t="str">
        <f t="shared" si="205"/>
        <v/>
      </c>
      <c r="DH365" s="166" t="str">
        <f t="shared" si="206"/>
        <v/>
      </c>
      <c r="DI365" s="164" t="str">
        <f>IFERROR(INDEX(DC$359:DC$407,_xlfn.AGGREGATE(15,6,(ROW(DC$359:DC$407)-ROW(DC$359)+1)/(DC$359:DC$407&lt;&gt;""),ROWS(DI$1:DI7))),"")</f>
        <v/>
      </c>
      <c r="DJ365" s="165" t="str">
        <f>IFERROR(INDEX(DD$359:DD$407,_xlfn.AGGREGATE(15,6,(ROW(DD$359:DD$407)-ROW(DD$359)+1)/(DD$359:DD$407&lt;&gt;""),ROWS(DJ$1:DJ7))),"")</f>
        <v/>
      </c>
      <c r="DK365" s="166" t="str">
        <f t="shared" si="207"/>
        <v/>
      </c>
      <c r="DL365" s="164" t="str">
        <f>IFERROR(INDEX(DE$359:DE$407,_xlfn.AGGREGATE(15,6,(ROW(DE$359:DE$407)-ROW(DE$359)+1)/(DE$359:DE$407&lt;&gt;""),ROWS(DL$1:DL7))),"")</f>
        <v/>
      </c>
      <c r="DM365" s="165" t="str">
        <f>IFERROR(INDEX(DF$359:DF$407,_xlfn.AGGREGATE(15,6,(ROW(DF$359:DF$407)-ROW(DF$359)+1)/(DF$359:DF$407&lt;&gt;""),ROWS(DM$1:DM7))),"")</f>
        <v/>
      </c>
      <c r="DN365" s="166" t="str">
        <f t="shared" si="208"/>
        <v/>
      </c>
      <c r="DO365" s="164" t="str">
        <f>IFERROR(INDEX(DG$359:DG$407,_xlfn.AGGREGATE(15,6,(ROW(DG$359:DG$407)-ROW(DG$359)+1)/(DG$359:DG$407&lt;&gt;""),ROWS(DO$1:DO7))),"")</f>
        <v/>
      </c>
      <c r="DP365" s="165" t="str">
        <f>IFERROR(INDEX(DH$359:DH$407,_xlfn.AGGREGATE(15,6,(ROW(DH$359:DH$407)-ROW(DH$359)+1)/(DH$359:DH$407&lt;&gt;""),ROWS(DP$1:DP7))),"")</f>
        <v/>
      </c>
      <c r="DQ365" s="166" t="str">
        <f t="shared" si="209"/>
        <v/>
      </c>
      <c r="DV365" s="145">
        <v>2021</v>
      </c>
      <c r="DW365" s="235" t="e">
        <f t="shared" ca="1" si="193"/>
        <v>#REF!</v>
      </c>
      <c r="DZ365" s="135" t="s">
        <v>92</v>
      </c>
      <c r="EA365" s="33" t="e">
        <f ca="1">IF($EA$357="Linear",0,IF($EA$357="2nd Poly",0,IF($EA$357="3rd Poly",CI362,IF($EA$357="Exp",0))))</f>
        <v>#REF!</v>
      </c>
      <c r="EB365" s="33" t="e">
        <f ca="1">IF($EA$357="Linear",0,IF($EA$357="2nd Poly",CA362,IF($EA$357="3rd Poly",CJ362,IF($EA$357="Exp",0))))</f>
        <v>#REF!</v>
      </c>
      <c r="EC365" s="33" t="e">
        <f t="shared" ca="1" si="224"/>
        <v>#REF!</v>
      </c>
      <c r="ED365" s="33" t="e">
        <f t="shared" ca="1" si="224"/>
        <v>#REF!</v>
      </c>
      <c r="EE365" s="33" t="str">
        <f>IF($EA$357="Linear","Low",IF($EA$357="2nd Poly","Low",IF($EA$357="3rd Poly","Low","N/A")))</f>
        <v>Low</v>
      </c>
    </row>
    <row r="366" spans="1:135" ht="13.8" x14ac:dyDescent="0.45">
      <c r="A366" s="184" t="s">
        <v>88</v>
      </c>
      <c r="B366" s="128">
        <v>2019</v>
      </c>
      <c r="C366" s="1070"/>
      <c r="D366" s="1050"/>
      <c r="E366" s="1069"/>
      <c r="F366" s="1075"/>
      <c r="G366" s="1052"/>
      <c r="H366" s="1064"/>
      <c r="I366" s="1016"/>
      <c r="J366" s="159"/>
      <c r="K366" s="151"/>
      <c r="L366" s="152"/>
      <c r="M366" s="151"/>
      <c r="N366" s="29" t="s">
        <v>119</v>
      </c>
      <c r="O366" s="120"/>
      <c r="P366" s="120"/>
      <c r="Q366" s="120"/>
      <c r="R366" s="29">
        <v>5</v>
      </c>
      <c r="S366" s="238" t="str">
        <f t="shared" si="194"/>
        <v/>
      </c>
      <c r="T366" s="238" t="str">
        <f t="shared" si="195"/>
        <v/>
      </c>
      <c r="U366" s="238" t="str">
        <f t="shared" si="196"/>
        <v/>
      </c>
      <c r="V366" s="20"/>
      <c r="W366" s="238" t="e">
        <f t="shared" si="197"/>
        <v>#N/A</v>
      </c>
      <c r="X366" s="238" t="e">
        <f t="shared" si="198"/>
        <v>#N/A</v>
      </c>
      <c r="Y366" s="238" t="e">
        <f t="shared" si="199"/>
        <v>#N/A</v>
      </c>
      <c r="AA366" s="1133">
        <v>243.80559360730592</v>
      </c>
      <c r="AB366" s="1133">
        <v>266.41819457150513</v>
      </c>
      <c r="AC366" s="1133">
        <v>289.03079553570433</v>
      </c>
      <c r="AD366" s="138"/>
      <c r="AE366" s="138"/>
      <c r="AF366" s="138"/>
      <c r="AG366" s="138"/>
      <c r="AH366" s="138"/>
      <c r="AI366" s="138"/>
      <c r="AJ366" s="138"/>
      <c r="AK366" s="138"/>
      <c r="AL366" s="138"/>
      <c r="AM366" s="138"/>
      <c r="AN366" s="138"/>
      <c r="BR366" s="180">
        <v>2017</v>
      </c>
      <c r="BS366" s="22">
        <v>3</v>
      </c>
      <c r="BT366" s="198" t="e">
        <f t="shared" si="210"/>
        <v>#DIV/0!</v>
      </c>
      <c r="BU366" s="276" t="e">
        <f t="shared" si="211"/>
        <v>#DIV/0!</v>
      </c>
      <c r="BV366" s="241" t="e">
        <f t="shared" si="212"/>
        <v>#DIV/0!</v>
      </c>
      <c r="BY366" s="180">
        <v>2017</v>
      </c>
      <c r="BZ366" s="22">
        <v>3</v>
      </c>
      <c r="CA366" s="198" t="e">
        <f t="shared" ca="1" si="213"/>
        <v>#REF!</v>
      </c>
      <c r="CB366" s="198" t="e">
        <f t="shared" ca="1" si="214"/>
        <v>#REF!</v>
      </c>
      <c r="CC366" s="276" t="e">
        <f t="shared" ca="1" si="225"/>
        <v>#REF!</v>
      </c>
      <c r="CD366" s="241" t="e">
        <f t="shared" ca="1" si="215"/>
        <v>#REF!</v>
      </c>
      <c r="CG366" s="180">
        <v>2017</v>
      </c>
      <c r="CH366" s="22">
        <v>3</v>
      </c>
      <c r="CI366" s="198" t="e">
        <f t="shared" ca="1" si="216"/>
        <v>#REF!</v>
      </c>
      <c r="CJ366" s="198" t="e">
        <f t="shared" ca="1" si="217"/>
        <v>#REF!</v>
      </c>
      <c r="CK366" s="198" t="e">
        <f t="shared" ca="1" si="218"/>
        <v>#REF!</v>
      </c>
      <c r="CL366" s="276" t="e">
        <f t="shared" ca="1" si="219"/>
        <v>#REF!</v>
      </c>
      <c r="CM366" s="241" t="e">
        <f t="shared" ca="1" si="220"/>
        <v>#REF!</v>
      </c>
      <c r="CP366" s="180">
        <v>2017</v>
      </c>
      <c r="CQ366" s="22">
        <v>3</v>
      </c>
      <c r="CR366" s="198" t="e">
        <f t="shared" ca="1" si="221"/>
        <v>#REF!</v>
      </c>
      <c r="CS366" s="276" t="e">
        <f t="shared" ca="1" si="222"/>
        <v>#REF!</v>
      </c>
      <c r="CT366" s="241" t="e">
        <f t="shared" ca="1" si="223"/>
        <v>#REF!</v>
      </c>
      <c r="CZ366" s="164" t="b">
        <f t="shared" si="200"/>
        <v>0</v>
      </c>
      <c r="DA366" s="165" t="b">
        <f t="shared" si="200"/>
        <v>0</v>
      </c>
      <c r="DB366" s="166" t="b">
        <f t="shared" si="200"/>
        <v>0</v>
      </c>
      <c r="DC366" s="164" t="str">
        <f t="shared" si="201"/>
        <v/>
      </c>
      <c r="DD366" s="166" t="str">
        <f t="shared" si="202"/>
        <v/>
      </c>
      <c r="DE366" s="164" t="str">
        <f t="shared" si="203"/>
        <v/>
      </c>
      <c r="DF366" s="166" t="str">
        <f t="shared" si="204"/>
        <v/>
      </c>
      <c r="DG366" s="164" t="str">
        <f t="shared" si="205"/>
        <v/>
      </c>
      <c r="DH366" s="166" t="str">
        <f t="shared" si="206"/>
        <v/>
      </c>
      <c r="DI366" s="164" t="str">
        <f>IFERROR(INDEX(DC$359:DC$407,_xlfn.AGGREGATE(15,6,(ROW(DC$359:DC$407)-ROW(DC$359)+1)/(DC$359:DC$407&lt;&gt;""),ROWS(DI$1:DI8))),"")</f>
        <v/>
      </c>
      <c r="DJ366" s="165" t="str">
        <f>IFERROR(INDEX(DD$359:DD$407,_xlfn.AGGREGATE(15,6,(ROW(DD$359:DD$407)-ROW(DD$359)+1)/(DD$359:DD$407&lt;&gt;""),ROWS(DJ$1:DJ8))),"")</f>
        <v/>
      </c>
      <c r="DK366" s="166" t="str">
        <f t="shared" si="207"/>
        <v/>
      </c>
      <c r="DL366" s="164" t="str">
        <f>IFERROR(INDEX(DE$359:DE$407,_xlfn.AGGREGATE(15,6,(ROW(DE$359:DE$407)-ROW(DE$359)+1)/(DE$359:DE$407&lt;&gt;""),ROWS(DL$1:DL8))),"")</f>
        <v/>
      </c>
      <c r="DM366" s="165" t="str">
        <f>IFERROR(INDEX(DF$359:DF$407,_xlfn.AGGREGATE(15,6,(ROW(DF$359:DF$407)-ROW(DF$359)+1)/(DF$359:DF$407&lt;&gt;""),ROWS(DM$1:DM8))),"")</f>
        <v/>
      </c>
      <c r="DN366" s="166" t="str">
        <f t="shared" si="208"/>
        <v/>
      </c>
      <c r="DO366" s="164" t="str">
        <f>IFERROR(INDEX(DG$359:DG$407,_xlfn.AGGREGATE(15,6,(ROW(DG$359:DG$407)-ROW(DG$359)+1)/(DG$359:DG$407&lt;&gt;""),ROWS(DO$1:DO8))),"")</f>
        <v/>
      </c>
      <c r="DP366" s="165" t="str">
        <f>IFERROR(INDEX(DH$359:DH$407,_xlfn.AGGREGATE(15,6,(ROW(DH$359:DH$407)-ROW(DH$359)+1)/(DH$359:DH$407&lt;&gt;""),ROWS(DP$1:DP8))),"")</f>
        <v/>
      </c>
      <c r="DQ366" s="166" t="str">
        <f t="shared" si="209"/>
        <v/>
      </c>
      <c r="DV366" s="145">
        <v>2022</v>
      </c>
      <c r="DW366" s="235" t="e">
        <f t="shared" ca="1" si="193"/>
        <v>#REF!</v>
      </c>
      <c r="DZ366" s="135"/>
      <c r="EA366" s="33"/>
      <c r="EB366" s="33"/>
      <c r="EC366" s="33"/>
      <c r="ED366" s="33"/>
      <c r="EE366" s="33"/>
    </row>
    <row r="367" spans="1:135" ht="13.8" x14ac:dyDescent="0.45">
      <c r="A367" s="194" t="s">
        <v>90</v>
      </c>
      <c r="B367" s="128">
        <v>2020</v>
      </c>
      <c r="C367" s="1070"/>
      <c r="D367" s="1050"/>
      <c r="E367" s="1069"/>
      <c r="F367" s="1075"/>
      <c r="G367" s="1052"/>
      <c r="H367" s="1034"/>
      <c r="I367" s="931"/>
      <c r="J367" s="168"/>
      <c r="K367" s="169"/>
      <c r="L367" s="170"/>
      <c r="M367" s="169"/>
      <c r="N367" s="29" t="s">
        <v>119</v>
      </c>
      <c r="O367" s="120"/>
      <c r="P367" s="120"/>
      <c r="Q367" s="120"/>
      <c r="R367" s="29">
        <v>6</v>
      </c>
      <c r="S367" s="195" t="str">
        <f t="shared" si="194"/>
        <v/>
      </c>
      <c r="T367" s="195" t="str">
        <f t="shared" si="195"/>
        <v/>
      </c>
      <c r="U367" s="195" t="str">
        <f t="shared" si="196"/>
        <v/>
      </c>
      <c r="V367" s="20"/>
      <c r="W367" s="238" t="e">
        <f t="shared" si="197"/>
        <v>#N/A</v>
      </c>
      <c r="X367" s="238" t="e">
        <f t="shared" si="198"/>
        <v>#N/A</v>
      </c>
      <c r="Y367" s="238" t="e">
        <f t="shared" si="199"/>
        <v>#N/A</v>
      </c>
      <c r="AA367" s="1133">
        <v>247.85388127853884</v>
      </c>
      <c r="AB367" s="1133">
        <v>272.17187746723528</v>
      </c>
      <c r="AC367" s="1133">
        <v>296.48987365593172</v>
      </c>
      <c r="AD367" s="138"/>
      <c r="AE367" s="138"/>
      <c r="AF367" s="138"/>
      <c r="AG367" s="138"/>
      <c r="AH367" s="138"/>
      <c r="AI367" s="138"/>
      <c r="AJ367" s="138"/>
      <c r="AK367" s="138"/>
      <c r="AL367" s="138"/>
      <c r="AM367" s="138"/>
      <c r="AN367" s="138"/>
      <c r="BR367" s="180">
        <v>2018</v>
      </c>
      <c r="BS367" s="22">
        <v>4</v>
      </c>
      <c r="BT367" s="198" t="e">
        <f t="shared" si="210"/>
        <v>#DIV/0!</v>
      </c>
      <c r="BU367" s="276" t="e">
        <f t="shared" si="211"/>
        <v>#DIV/0!</v>
      </c>
      <c r="BV367" s="241" t="e">
        <f t="shared" si="212"/>
        <v>#DIV/0!</v>
      </c>
      <c r="BY367" s="180">
        <v>2018</v>
      </c>
      <c r="BZ367" s="22">
        <v>4</v>
      </c>
      <c r="CA367" s="198" t="e">
        <f t="shared" ca="1" si="213"/>
        <v>#REF!</v>
      </c>
      <c r="CB367" s="198" t="e">
        <f t="shared" ca="1" si="214"/>
        <v>#REF!</v>
      </c>
      <c r="CC367" s="276" t="e">
        <f t="shared" ca="1" si="225"/>
        <v>#REF!</v>
      </c>
      <c r="CD367" s="241" t="e">
        <f t="shared" ca="1" si="215"/>
        <v>#REF!</v>
      </c>
      <c r="CG367" s="180">
        <v>2018</v>
      </c>
      <c r="CH367" s="22">
        <v>4</v>
      </c>
      <c r="CI367" s="198" t="e">
        <f t="shared" ca="1" si="216"/>
        <v>#REF!</v>
      </c>
      <c r="CJ367" s="198" t="e">
        <f t="shared" ca="1" si="217"/>
        <v>#REF!</v>
      </c>
      <c r="CK367" s="198" t="e">
        <f t="shared" ca="1" si="218"/>
        <v>#REF!</v>
      </c>
      <c r="CL367" s="276" t="e">
        <f t="shared" ca="1" si="219"/>
        <v>#REF!</v>
      </c>
      <c r="CM367" s="241" t="e">
        <f t="shared" ca="1" si="220"/>
        <v>#REF!</v>
      </c>
      <c r="CP367" s="180">
        <v>2018</v>
      </c>
      <c r="CQ367" s="22">
        <v>4</v>
      </c>
      <c r="CR367" s="198" t="e">
        <f t="shared" ca="1" si="221"/>
        <v>#REF!</v>
      </c>
      <c r="CS367" s="276" t="e">
        <f t="shared" ca="1" si="222"/>
        <v>#REF!</v>
      </c>
      <c r="CT367" s="241" t="e">
        <f t="shared" ca="1" si="223"/>
        <v>#REF!</v>
      </c>
      <c r="CZ367" s="164" t="b">
        <f t="shared" si="200"/>
        <v>0</v>
      </c>
      <c r="DA367" s="165" t="b">
        <f t="shared" si="200"/>
        <v>0</v>
      </c>
      <c r="DB367" s="166" t="b">
        <f t="shared" si="200"/>
        <v>0</v>
      </c>
      <c r="DC367" s="164" t="str">
        <f t="shared" si="201"/>
        <v/>
      </c>
      <c r="DD367" s="166" t="str">
        <f t="shared" si="202"/>
        <v/>
      </c>
      <c r="DE367" s="164" t="str">
        <f t="shared" si="203"/>
        <v/>
      </c>
      <c r="DF367" s="166" t="str">
        <f t="shared" si="204"/>
        <v/>
      </c>
      <c r="DG367" s="164" t="str">
        <f t="shared" si="205"/>
        <v/>
      </c>
      <c r="DH367" s="166" t="str">
        <f t="shared" si="206"/>
        <v/>
      </c>
      <c r="DI367" s="164" t="str">
        <f>IFERROR(INDEX(DC$359:DC$407,_xlfn.AGGREGATE(15,6,(ROW(DC$359:DC$407)-ROW(DC$359)+1)/(DC$359:DC$407&lt;&gt;""),ROWS(DI$1:DI9))),"")</f>
        <v/>
      </c>
      <c r="DJ367" s="165" t="str">
        <f>IFERROR(INDEX(DD$359:DD$407,_xlfn.AGGREGATE(15,6,(ROW(DD$359:DD$407)-ROW(DD$359)+1)/(DD$359:DD$407&lt;&gt;""),ROWS(DJ$1:DJ9))),"")</f>
        <v/>
      </c>
      <c r="DK367" s="166" t="str">
        <f t="shared" si="207"/>
        <v/>
      </c>
      <c r="DL367" s="164" t="str">
        <f>IFERROR(INDEX(DE$359:DE$407,_xlfn.AGGREGATE(15,6,(ROW(DE$359:DE$407)-ROW(DE$359)+1)/(DE$359:DE$407&lt;&gt;""),ROWS(DL$1:DL9))),"")</f>
        <v/>
      </c>
      <c r="DM367" s="165" t="str">
        <f>IFERROR(INDEX(DF$359:DF$407,_xlfn.AGGREGATE(15,6,(ROW(DF$359:DF$407)-ROW(DF$359)+1)/(DF$359:DF$407&lt;&gt;""),ROWS(DM$1:DM9))),"")</f>
        <v/>
      </c>
      <c r="DN367" s="166" t="str">
        <f t="shared" si="208"/>
        <v/>
      </c>
      <c r="DO367" s="164" t="str">
        <f>IFERROR(INDEX(DG$359:DG$407,_xlfn.AGGREGATE(15,6,(ROW(DG$359:DG$407)-ROW(DG$359)+1)/(DG$359:DG$407&lt;&gt;""),ROWS(DO$1:DO9))),"")</f>
        <v/>
      </c>
      <c r="DP367" s="165" t="str">
        <f>IFERROR(INDEX(DH$359:DH$407,_xlfn.AGGREGATE(15,6,(ROW(DH$359:DH$407)-ROW(DH$359)+1)/(DH$359:DH$407&lt;&gt;""),ROWS(DP$1:DP9))),"")</f>
        <v/>
      </c>
      <c r="DQ367" s="166" t="str">
        <f t="shared" si="209"/>
        <v/>
      </c>
      <c r="DV367" s="145">
        <v>2023</v>
      </c>
      <c r="DW367" s="235" t="e">
        <f t="shared" ca="1" si="193"/>
        <v>#REF!</v>
      </c>
      <c r="DZ367" s="135"/>
      <c r="EA367" s="33" t="s">
        <v>86</v>
      </c>
      <c r="EB367" s="33" t="s">
        <v>87</v>
      </c>
      <c r="EC367" s="33"/>
      <c r="ED367" s="33"/>
      <c r="EE367" s="33"/>
    </row>
    <row r="368" spans="1:135" ht="14.1" thickBot="1" x14ac:dyDescent="0.5">
      <c r="A368" s="184" t="s">
        <v>80</v>
      </c>
      <c r="B368" s="128">
        <v>2021</v>
      </c>
      <c r="C368" s="1070"/>
      <c r="D368" s="1050"/>
      <c r="E368" s="1069"/>
      <c r="F368" s="1075"/>
      <c r="G368" s="1052"/>
      <c r="H368" s="1064"/>
      <c r="I368" s="1016"/>
      <c r="J368" s="159"/>
      <c r="K368" s="151"/>
      <c r="L368" s="152"/>
      <c r="M368" s="151"/>
      <c r="N368" s="29" t="s">
        <v>119</v>
      </c>
      <c r="O368" s="120"/>
      <c r="P368" s="120"/>
      <c r="Q368" s="120"/>
      <c r="R368" s="29">
        <v>7</v>
      </c>
      <c r="S368" s="196" t="str">
        <f t="shared" si="194"/>
        <v/>
      </c>
      <c r="T368" s="196" t="str">
        <f t="shared" si="195"/>
        <v/>
      </c>
      <c r="U368" s="196" t="str">
        <f t="shared" si="196"/>
        <v/>
      </c>
      <c r="V368" s="20"/>
      <c r="W368" s="238" t="e">
        <f t="shared" si="197"/>
        <v>#N/A</v>
      </c>
      <c r="X368" s="238" t="e">
        <f t="shared" si="198"/>
        <v>#N/A</v>
      </c>
      <c r="Y368" s="238" t="e">
        <f t="shared" si="199"/>
        <v>#N/A</v>
      </c>
      <c r="AA368" s="1133">
        <v>251.90216894977169</v>
      </c>
      <c r="AB368" s="1133">
        <v>277.21237014330131</v>
      </c>
      <c r="AC368" s="1133">
        <v>302.52257133683094</v>
      </c>
      <c r="AD368" s="138"/>
      <c r="AE368" s="138"/>
      <c r="AF368" s="138"/>
      <c r="AG368" s="138"/>
      <c r="AH368" s="138"/>
      <c r="AI368" s="138"/>
      <c r="AJ368" s="138"/>
      <c r="AK368" s="138"/>
      <c r="AL368" s="138"/>
      <c r="AM368" s="138"/>
      <c r="AN368" s="138"/>
      <c r="BR368" s="180">
        <v>2019</v>
      </c>
      <c r="BS368" s="22">
        <v>5</v>
      </c>
      <c r="BT368" s="198" t="e">
        <f t="shared" si="210"/>
        <v>#DIV/0!</v>
      </c>
      <c r="BU368" s="276" t="e">
        <f t="shared" si="211"/>
        <v>#DIV/0!</v>
      </c>
      <c r="BV368" s="283" t="e">
        <f t="shared" si="212"/>
        <v>#DIV/0!</v>
      </c>
      <c r="BY368" s="180">
        <v>2019</v>
      </c>
      <c r="BZ368" s="22">
        <v>5</v>
      </c>
      <c r="CA368" s="198" t="e">
        <f t="shared" ca="1" si="213"/>
        <v>#REF!</v>
      </c>
      <c r="CB368" s="198" t="e">
        <f t="shared" ca="1" si="214"/>
        <v>#REF!</v>
      </c>
      <c r="CC368" s="276" t="e">
        <f t="shared" ca="1" si="225"/>
        <v>#REF!</v>
      </c>
      <c r="CD368" s="283" t="e">
        <f t="shared" ca="1" si="215"/>
        <v>#REF!</v>
      </c>
      <c r="CG368" s="180">
        <v>2019</v>
      </c>
      <c r="CH368" s="22">
        <v>5</v>
      </c>
      <c r="CI368" s="198" t="e">
        <f t="shared" ca="1" si="216"/>
        <v>#REF!</v>
      </c>
      <c r="CJ368" s="198" t="e">
        <f t="shared" ca="1" si="217"/>
        <v>#REF!</v>
      </c>
      <c r="CK368" s="198" t="e">
        <f t="shared" ca="1" si="218"/>
        <v>#REF!</v>
      </c>
      <c r="CL368" s="276" t="e">
        <f t="shared" ca="1" si="219"/>
        <v>#REF!</v>
      </c>
      <c r="CM368" s="283" t="e">
        <f t="shared" ca="1" si="220"/>
        <v>#REF!</v>
      </c>
      <c r="CP368" s="180">
        <v>2019</v>
      </c>
      <c r="CQ368" s="22">
        <v>5</v>
      </c>
      <c r="CR368" s="198" t="e">
        <f t="shared" ca="1" si="221"/>
        <v>#REF!</v>
      </c>
      <c r="CS368" s="276" t="e">
        <f t="shared" ca="1" si="222"/>
        <v>#REF!</v>
      </c>
      <c r="CT368" s="283" t="e">
        <f t="shared" ca="1" si="223"/>
        <v>#REF!</v>
      </c>
      <c r="CZ368" s="164" t="b">
        <f t="shared" si="200"/>
        <v>0</v>
      </c>
      <c r="DA368" s="165" t="b">
        <f t="shared" si="200"/>
        <v>0</v>
      </c>
      <c r="DB368" s="166" t="b">
        <f t="shared" si="200"/>
        <v>0</v>
      </c>
      <c r="DC368" s="164" t="str">
        <f t="shared" si="201"/>
        <v/>
      </c>
      <c r="DD368" s="166" t="str">
        <f t="shared" si="202"/>
        <v/>
      </c>
      <c r="DE368" s="164" t="str">
        <f t="shared" si="203"/>
        <v/>
      </c>
      <c r="DF368" s="166" t="str">
        <f t="shared" si="204"/>
        <v/>
      </c>
      <c r="DG368" s="164" t="str">
        <f t="shared" si="205"/>
        <v/>
      </c>
      <c r="DH368" s="166" t="str">
        <f t="shared" si="206"/>
        <v/>
      </c>
      <c r="DI368" s="164" t="str">
        <f>IFERROR(INDEX(DC$359:DC$407,_xlfn.AGGREGATE(15,6,(ROW(DC$359:DC$407)-ROW(DC$359)+1)/(DC$359:DC$407&lt;&gt;""),ROWS(DI$1:DI10))),"")</f>
        <v/>
      </c>
      <c r="DJ368" s="165" t="str">
        <f>IFERROR(INDEX(DD$359:DD$407,_xlfn.AGGREGATE(15,6,(ROW(DD$359:DD$407)-ROW(DD$359)+1)/(DD$359:DD$407&lt;&gt;""),ROWS(DJ$1:DJ10))),"")</f>
        <v/>
      </c>
      <c r="DK368" s="166" t="str">
        <f t="shared" si="207"/>
        <v/>
      </c>
      <c r="DL368" s="164" t="str">
        <f>IFERROR(INDEX(DE$359:DE$407,_xlfn.AGGREGATE(15,6,(ROW(DE$359:DE$407)-ROW(DE$359)+1)/(DE$359:DE$407&lt;&gt;""),ROWS(DL$1:DL10))),"")</f>
        <v/>
      </c>
      <c r="DM368" s="165" t="str">
        <f>IFERROR(INDEX(DF$359:DF$407,_xlfn.AGGREGATE(15,6,(ROW(DF$359:DF$407)-ROW(DF$359)+1)/(DF$359:DF$407&lt;&gt;""),ROWS(DM$1:DM10))),"")</f>
        <v/>
      </c>
      <c r="DN368" s="166" t="str">
        <f t="shared" si="208"/>
        <v/>
      </c>
      <c r="DO368" s="164" t="str">
        <f>IFERROR(INDEX(DG$359:DG$407,_xlfn.AGGREGATE(15,6,(ROW(DG$359:DG$407)-ROW(DG$359)+1)/(DG$359:DG$407&lt;&gt;""),ROWS(DO$1:DO10))),"")</f>
        <v/>
      </c>
      <c r="DP368" s="165" t="str">
        <f>IFERROR(INDEX(DH$359:DH$407,_xlfn.AGGREGATE(15,6,(ROW(DH$359:DH$407)-ROW(DH$359)+1)/(DH$359:DH$407&lt;&gt;""),ROWS(DP$1:DP10))),"")</f>
        <v/>
      </c>
      <c r="DQ368" s="166" t="str">
        <f t="shared" si="209"/>
        <v/>
      </c>
      <c r="DV368" s="145">
        <v>2024</v>
      </c>
      <c r="DW368" s="235" t="e">
        <f t="shared" ca="1" si="193"/>
        <v>#REF!</v>
      </c>
      <c r="DZ368" s="135" t="s">
        <v>92</v>
      </c>
      <c r="EA368" s="33">
        <f t="shared" ref="EA368:EB370" si="226">IF($EA$357="Linear",0,IF($EA$357="2nd Poly",0,IF($EA$357="3rd Poly",0,IF($EA$357="Exp",CR360))))</f>
        <v>0</v>
      </c>
      <c r="EB368" s="33">
        <f t="shared" si="226"/>
        <v>0</v>
      </c>
      <c r="EC368" s="33" t="str">
        <f>IF($EA$357="Linear","N/A",IF($EA$357="2nd Poly","N/A",IF($EA$357="3rd Poly","N/A","High")))</f>
        <v>N/A</v>
      </c>
      <c r="ED368" s="33"/>
      <c r="EE368" s="33"/>
    </row>
    <row r="369" spans="1:135" ht="13.8" x14ac:dyDescent="0.45">
      <c r="A369" s="148" t="s">
        <v>88</v>
      </c>
      <c r="B369" s="128">
        <v>2022</v>
      </c>
      <c r="C369" s="1070"/>
      <c r="D369" s="1050"/>
      <c r="E369" s="1069"/>
      <c r="F369" s="1075"/>
      <c r="G369" s="1052"/>
      <c r="H369" s="1035"/>
      <c r="I369" s="1111"/>
      <c r="J369" s="199"/>
      <c r="K369" s="200"/>
      <c r="L369" s="201"/>
      <c r="M369" s="200"/>
      <c r="N369" s="29" t="s">
        <v>119</v>
      </c>
      <c r="O369" s="120"/>
      <c r="P369" s="120"/>
      <c r="Q369" s="120"/>
      <c r="R369" s="29">
        <v>8</v>
      </c>
      <c r="S369" s="202" t="str">
        <f t="shared" si="194"/>
        <v/>
      </c>
      <c r="T369" s="202" t="str">
        <f t="shared" si="195"/>
        <v/>
      </c>
      <c r="U369" s="202" t="str">
        <f t="shared" si="196"/>
        <v/>
      </c>
      <c r="V369" s="20"/>
      <c r="W369" s="238" t="e">
        <f t="shared" si="197"/>
        <v>#N/A</v>
      </c>
      <c r="X369" s="238" t="e">
        <f t="shared" si="198"/>
        <v>#N/A</v>
      </c>
      <c r="Y369" s="238" t="e">
        <f t="shared" si="199"/>
        <v>#N/A</v>
      </c>
      <c r="AA369" s="1133">
        <v>255.95045662100455</v>
      </c>
      <c r="AB369" s="1133">
        <v>282.37723916937966</v>
      </c>
      <c r="AC369" s="1133">
        <v>308.80402171775478</v>
      </c>
      <c r="AD369" s="120"/>
      <c r="AE369" s="120"/>
      <c r="AF369" s="120"/>
      <c r="AG369" s="120"/>
      <c r="AH369" s="120"/>
      <c r="AI369" s="120"/>
      <c r="AJ369" s="120"/>
      <c r="AK369" s="120"/>
      <c r="AL369" s="120"/>
      <c r="AM369" s="120"/>
      <c r="AN369" s="120"/>
      <c r="BR369" s="180">
        <v>2020</v>
      </c>
      <c r="BS369" s="22">
        <v>6</v>
      </c>
      <c r="BT369" s="198" t="e">
        <f t="shared" si="210"/>
        <v>#DIV/0!</v>
      </c>
      <c r="BU369" s="276" t="e">
        <f t="shared" si="211"/>
        <v>#DIV/0!</v>
      </c>
      <c r="BV369" s="203" t="e">
        <f t="shared" si="212"/>
        <v>#DIV/0!</v>
      </c>
      <c r="BY369" s="180">
        <v>2020</v>
      </c>
      <c r="BZ369" s="22">
        <v>6</v>
      </c>
      <c r="CA369" s="198" t="e">
        <f t="shared" ca="1" si="213"/>
        <v>#REF!</v>
      </c>
      <c r="CB369" s="198" t="e">
        <f t="shared" ca="1" si="214"/>
        <v>#REF!</v>
      </c>
      <c r="CC369" s="276" t="e">
        <f t="shared" ca="1" si="225"/>
        <v>#REF!</v>
      </c>
      <c r="CD369" s="203" t="e">
        <f t="shared" ca="1" si="215"/>
        <v>#REF!</v>
      </c>
      <c r="CG369" s="180">
        <v>2020</v>
      </c>
      <c r="CH369" s="22">
        <v>6</v>
      </c>
      <c r="CI369" s="198" t="e">
        <f t="shared" ca="1" si="216"/>
        <v>#REF!</v>
      </c>
      <c r="CJ369" s="198" t="e">
        <f t="shared" ca="1" si="217"/>
        <v>#REF!</v>
      </c>
      <c r="CK369" s="198" t="e">
        <f t="shared" ca="1" si="218"/>
        <v>#REF!</v>
      </c>
      <c r="CL369" s="276" t="e">
        <f t="shared" ca="1" si="219"/>
        <v>#REF!</v>
      </c>
      <c r="CM369" s="203" t="e">
        <f t="shared" ca="1" si="220"/>
        <v>#REF!</v>
      </c>
      <c r="CP369" s="180">
        <v>2020</v>
      </c>
      <c r="CQ369" s="22">
        <v>6</v>
      </c>
      <c r="CR369" s="198" t="e">
        <f t="shared" ca="1" si="221"/>
        <v>#REF!</v>
      </c>
      <c r="CS369" s="276" t="e">
        <f t="shared" ca="1" si="222"/>
        <v>#REF!</v>
      </c>
      <c r="CT369" s="203" t="e">
        <f t="shared" ca="1" si="223"/>
        <v>#REF!</v>
      </c>
      <c r="CZ369" s="164" t="b">
        <f t="shared" si="200"/>
        <v>0</v>
      </c>
      <c r="DA369" s="165" t="b">
        <f t="shared" si="200"/>
        <v>0</v>
      </c>
      <c r="DB369" s="166" t="b">
        <f t="shared" si="200"/>
        <v>0</v>
      </c>
      <c r="DC369" s="164" t="str">
        <f t="shared" si="201"/>
        <v/>
      </c>
      <c r="DD369" s="166" t="str">
        <f t="shared" si="202"/>
        <v/>
      </c>
      <c r="DE369" s="164" t="str">
        <f t="shared" si="203"/>
        <v/>
      </c>
      <c r="DF369" s="166" t="str">
        <f t="shared" si="204"/>
        <v/>
      </c>
      <c r="DG369" s="164" t="str">
        <f t="shared" si="205"/>
        <v/>
      </c>
      <c r="DH369" s="166" t="str">
        <f t="shared" si="206"/>
        <v/>
      </c>
      <c r="DI369" s="164" t="str">
        <f>IFERROR(INDEX(DC$359:DC$407,_xlfn.AGGREGATE(15,6,(ROW(DC$359:DC$407)-ROW(DC$359)+1)/(DC$359:DC$407&lt;&gt;""),ROWS(DI$1:DI11))),"")</f>
        <v/>
      </c>
      <c r="DJ369" s="165" t="str">
        <f>IFERROR(INDEX(DD$359:DD$407,_xlfn.AGGREGATE(15,6,(ROW(DD$359:DD$407)-ROW(DD$359)+1)/(DD$359:DD$407&lt;&gt;""),ROWS(DJ$1:DJ11))),"")</f>
        <v/>
      </c>
      <c r="DK369" s="166" t="str">
        <f t="shared" si="207"/>
        <v/>
      </c>
      <c r="DL369" s="164" t="str">
        <f>IFERROR(INDEX(DE$359:DE$407,_xlfn.AGGREGATE(15,6,(ROW(DE$359:DE$407)-ROW(DE$359)+1)/(DE$359:DE$407&lt;&gt;""),ROWS(DL$1:DL11))),"")</f>
        <v/>
      </c>
      <c r="DM369" s="165" t="str">
        <f>IFERROR(INDEX(DF$359:DF$407,_xlfn.AGGREGATE(15,6,(ROW(DF$359:DF$407)-ROW(DF$359)+1)/(DF$359:DF$407&lt;&gt;""),ROWS(DM$1:DM11))),"")</f>
        <v/>
      </c>
      <c r="DN369" s="166" t="str">
        <f t="shared" si="208"/>
        <v/>
      </c>
      <c r="DO369" s="164" t="str">
        <f>IFERROR(INDEX(DG$359:DG$407,_xlfn.AGGREGATE(15,6,(ROW(DG$359:DG$407)-ROW(DG$359)+1)/(DG$359:DG$407&lt;&gt;""),ROWS(DO$1:DO11))),"")</f>
        <v/>
      </c>
      <c r="DP369" s="165" t="str">
        <f>IFERROR(INDEX(DH$359:DH$407,_xlfn.AGGREGATE(15,6,(ROW(DH$359:DH$407)-ROW(DH$359)+1)/(DH$359:DH$407&lt;&gt;""),ROWS(DP$1:DP11))),"")</f>
        <v/>
      </c>
      <c r="DQ369" s="166" t="str">
        <f t="shared" si="209"/>
        <v/>
      </c>
      <c r="DV369" s="145">
        <v>2025</v>
      </c>
      <c r="DW369" s="235" t="e">
        <f t="shared" ca="1" si="193"/>
        <v>#REF!</v>
      </c>
      <c r="DZ369" s="135" t="s">
        <v>92</v>
      </c>
      <c r="EA369" s="33">
        <f t="shared" si="226"/>
        <v>0</v>
      </c>
      <c r="EB369" s="33">
        <f t="shared" si="226"/>
        <v>0</v>
      </c>
      <c r="EC369" s="33" t="str">
        <f>IF($EA$357="Linear","N/A",IF($EA$357="2nd Poly","N/A",IF($EA$357="3rd Poly","N/A","Medium")))</f>
        <v>N/A</v>
      </c>
    </row>
    <row r="370" spans="1:135" ht="13.8" x14ac:dyDescent="0.45">
      <c r="B370" s="128">
        <v>2023</v>
      </c>
      <c r="C370" s="1070"/>
      <c r="D370" s="1050"/>
      <c r="E370" s="1069"/>
      <c r="F370" s="1075"/>
      <c r="G370" s="1052"/>
      <c r="H370" s="1035"/>
      <c r="I370" s="1111"/>
      <c r="J370" s="199"/>
      <c r="K370" s="200"/>
      <c r="L370" s="201"/>
      <c r="M370" s="200"/>
      <c r="N370" s="29" t="s">
        <v>119</v>
      </c>
      <c r="O370" s="120"/>
      <c r="P370" s="120"/>
      <c r="Q370" s="120"/>
      <c r="R370" s="29">
        <v>9</v>
      </c>
      <c r="S370" s="202" t="str">
        <f t="shared" si="194"/>
        <v/>
      </c>
      <c r="T370" s="202" t="str">
        <f t="shared" si="195"/>
        <v/>
      </c>
      <c r="U370" s="202" t="str">
        <f t="shared" si="196"/>
        <v/>
      </c>
      <c r="V370" s="20"/>
      <c r="W370" s="238" t="e">
        <f t="shared" si="197"/>
        <v>#N/A</v>
      </c>
      <c r="X370" s="238" t="e">
        <f t="shared" si="198"/>
        <v>#N/A</v>
      </c>
      <c r="Y370" s="238" t="e">
        <f t="shared" si="199"/>
        <v>#N/A</v>
      </c>
      <c r="AA370" s="1133">
        <v>259.99874429223746</v>
      </c>
      <c r="AB370" s="1133">
        <v>287.44590300639197</v>
      </c>
      <c r="AC370" s="1133">
        <v>314.89306172054648</v>
      </c>
      <c r="AD370" s="120"/>
      <c r="AE370" s="120"/>
      <c r="AF370" s="120"/>
      <c r="AG370" s="120"/>
      <c r="AH370" s="120"/>
      <c r="AI370" s="120"/>
      <c r="AJ370" s="120"/>
      <c r="AK370" s="120"/>
      <c r="AL370" s="120"/>
      <c r="AM370" s="120"/>
      <c r="AN370" s="120"/>
      <c r="BR370" s="180">
        <v>2021</v>
      </c>
      <c r="BS370" s="22">
        <v>7</v>
      </c>
      <c r="BT370" s="198" t="e">
        <f t="shared" si="210"/>
        <v>#DIV/0!</v>
      </c>
      <c r="BU370" s="276" t="e">
        <f t="shared" si="211"/>
        <v>#DIV/0!</v>
      </c>
      <c r="BV370" s="205" t="e">
        <f t="shared" si="212"/>
        <v>#DIV/0!</v>
      </c>
      <c r="BY370" s="180">
        <v>2021</v>
      </c>
      <c r="BZ370" s="22">
        <v>7</v>
      </c>
      <c r="CA370" s="198" t="e">
        <f t="shared" ca="1" si="213"/>
        <v>#REF!</v>
      </c>
      <c r="CB370" s="198" t="e">
        <f t="shared" ca="1" si="214"/>
        <v>#REF!</v>
      </c>
      <c r="CC370" s="276" t="e">
        <f t="shared" ca="1" si="225"/>
        <v>#REF!</v>
      </c>
      <c r="CD370" s="205" t="e">
        <f t="shared" ca="1" si="215"/>
        <v>#REF!</v>
      </c>
      <c r="CG370" s="180">
        <v>2021</v>
      </c>
      <c r="CH370" s="22">
        <v>7</v>
      </c>
      <c r="CI370" s="198" t="e">
        <f t="shared" ca="1" si="216"/>
        <v>#REF!</v>
      </c>
      <c r="CJ370" s="198" t="e">
        <f t="shared" ca="1" si="217"/>
        <v>#REF!</v>
      </c>
      <c r="CK370" s="198" t="e">
        <f t="shared" ca="1" si="218"/>
        <v>#REF!</v>
      </c>
      <c r="CL370" s="276" t="e">
        <f t="shared" ca="1" si="219"/>
        <v>#REF!</v>
      </c>
      <c r="CM370" s="205" t="e">
        <f t="shared" ca="1" si="220"/>
        <v>#REF!</v>
      </c>
      <c r="CP370" s="180">
        <v>2021</v>
      </c>
      <c r="CQ370" s="22">
        <v>7</v>
      </c>
      <c r="CR370" s="198" t="e">
        <f t="shared" ca="1" si="221"/>
        <v>#REF!</v>
      </c>
      <c r="CS370" s="276" t="e">
        <f t="shared" ca="1" si="222"/>
        <v>#REF!</v>
      </c>
      <c r="CT370" s="205" t="e">
        <f t="shared" ca="1" si="223"/>
        <v>#REF!</v>
      </c>
      <c r="CZ370" s="164" t="b">
        <f t="shared" si="200"/>
        <v>0</v>
      </c>
      <c r="DA370" s="165" t="b">
        <f t="shared" si="200"/>
        <v>0</v>
      </c>
      <c r="DB370" s="166" t="b">
        <f t="shared" si="200"/>
        <v>0</v>
      </c>
      <c r="DC370" s="164" t="str">
        <f t="shared" si="201"/>
        <v/>
      </c>
      <c r="DD370" s="166" t="str">
        <f t="shared" si="202"/>
        <v/>
      </c>
      <c r="DE370" s="164" t="str">
        <f t="shared" si="203"/>
        <v/>
      </c>
      <c r="DF370" s="166" t="str">
        <f t="shared" si="204"/>
        <v/>
      </c>
      <c r="DG370" s="164" t="str">
        <f t="shared" si="205"/>
        <v/>
      </c>
      <c r="DH370" s="166" t="str">
        <f t="shared" si="206"/>
        <v/>
      </c>
      <c r="DI370" s="164" t="str">
        <f>IFERROR(INDEX(DC$359:DC$407,_xlfn.AGGREGATE(15,6,(ROW(DC$359:DC$407)-ROW(DC$359)+1)/(DC$359:DC$407&lt;&gt;""),ROWS(DI$1:DI12))),"")</f>
        <v/>
      </c>
      <c r="DJ370" s="165" t="str">
        <f>IFERROR(INDEX(DD$359:DD$407,_xlfn.AGGREGATE(15,6,(ROW(DD$359:DD$407)-ROW(DD$359)+1)/(DD$359:DD$407&lt;&gt;""),ROWS(DJ$1:DJ12))),"")</f>
        <v/>
      </c>
      <c r="DK370" s="166" t="str">
        <f t="shared" si="207"/>
        <v/>
      </c>
      <c r="DL370" s="164" t="str">
        <f>IFERROR(INDEX(DE$359:DE$407,_xlfn.AGGREGATE(15,6,(ROW(DE$359:DE$407)-ROW(DE$359)+1)/(DE$359:DE$407&lt;&gt;""),ROWS(DL$1:DL12))),"")</f>
        <v/>
      </c>
      <c r="DM370" s="165" t="str">
        <f>IFERROR(INDEX(DF$359:DF$407,_xlfn.AGGREGATE(15,6,(ROW(DF$359:DF$407)-ROW(DF$359)+1)/(DF$359:DF$407&lt;&gt;""),ROWS(DM$1:DM12))),"")</f>
        <v/>
      </c>
      <c r="DN370" s="166" t="str">
        <f t="shared" si="208"/>
        <v/>
      </c>
      <c r="DO370" s="164" t="str">
        <f>IFERROR(INDEX(DG$359:DG$407,_xlfn.AGGREGATE(15,6,(ROW(DG$359:DG$407)-ROW(DG$359)+1)/(DG$359:DG$407&lt;&gt;""),ROWS(DO$1:DO12))),"")</f>
        <v/>
      </c>
      <c r="DP370" s="165" t="str">
        <f>IFERROR(INDEX(DH$359:DH$407,_xlfn.AGGREGATE(15,6,(ROW(DH$359:DH$407)-ROW(DH$359)+1)/(DH$359:DH$407&lt;&gt;""),ROWS(DP$1:DP12))),"")</f>
        <v/>
      </c>
      <c r="DQ370" s="166" t="str">
        <f t="shared" si="209"/>
        <v/>
      </c>
      <c r="DV370" s="145">
        <v>2026</v>
      </c>
      <c r="DW370" s="235" t="e">
        <f t="shared" ca="1" si="193"/>
        <v>#REF!</v>
      </c>
      <c r="DZ370" s="135" t="s">
        <v>92</v>
      </c>
      <c r="EA370" s="33">
        <f t="shared" si="226"/>
        <v>0</v>
      </c>
      <c r="EB370" s="33">
        <f t="shared" si="226"/>
        <v>0</v>
      </c>
      <c r="EC370" s="33" t="str">
        <f>IF($EA$357="Linear","N/A",IF($EA$357="2nd Poly","N/A",IF($EA$357="3rd Poly","N/A","Low")))</f>
        <v>N/A</v>
      </c>
    </row>
    <row r="371" spans="1:135" ht="13.8" x14ac:dyDescent="0.45">
      <c r="B371" s="128">
        <v>2024</v>
      </c>
      <c r="C371" s="1070"/>
      <c r="D371" s="1050"/>
      <c r="E371" s="1069"/>
      <c r="F371" s="1075"/>
      <c r="G371" s="1052"/>
      <c r="H371" s="1036"/>
      <c r="I371" s="1112"/>
      <c r="J371" s="247"/>
      <c r="K371" s="245"/>
      <c r="L371" s="246"/>
      <c r="M371" s="245"/>
      <c r="N371" s="29" t="s">
        <v>119</v>
      </c>
      <c r="O371" s="120"/>
      <c r="P371" s="120"/>
      <c r="Q371" s="120"/>
      <c r="R371" s="29">
        <v>10</v>
      </c>
      <c r="S371" s="238" t="str">
        <f t="shared" si="194"/>
        <v/>
      </c>
      <c r="T371" s="238" t="str">
        <f t="shared" si="195"/>
        <v/>
      </c>
      <c r="U371" s="238" t="str">
        <f t="shared" si="196"/>
        <v/>
      </c>
      <c r="V371" s="20"/>
      <c r="W371" s="238" t="e">
        <f t="shared" si="197"/>
        <v>#N/A</v>
      </c>
      <c r="X371" s="238" t="e">
        <f t="shared" si="198"/>
        <v>#N/A</v>
      </c>
      <c r="Y371" s="238" t="e">
        <f t="shared" si="199"/>
        <v>#N/A</v>
      </c>
      <c r="AA371" s="1133">
        <v>264.04703196347032</v>
      </c>
      <c r="AB371" s="1133">
        <v>292.41719687986119</v>
      </c>
      <c r="AC371" s="1133">
        <v>320.78736179625207</v>
      </c>
      <c r="AD371" s="120"/>
      <c r="AE371" s="120"/>
      <c r="AF371" s="120"/>
      <c r="AG371" s="120"/>
      <c r="AH371" s="120"/>
      <c r="AI371" s="120"/>
      <c r="AJ371" s="120"/>
      <c r="AK371" s="120"/>
      <c r="AL371" s="120"/>
      <c r="AM371" s="120"/>
      <c r="AN371" s="120"/>
      <c r="BR371" s="180">
        <v>2022</v>
      </c>
      <c r="BS371" s="22">
        <v>8</v>
      </c>
      <c r="BT371" s="198" t="e">
        <f t="shared" si="210"/>
        <v>#DIV/0!</v>
      </c>
      <c r="BU371" s="276" t="e">
        <f t="shared" si="211"/>
        <v>#DIV/0!</v>
      </c>
      <c r="BV371" s="205" t="e">
        <f t="shared" si="212"/>
        <v>#DIV/0!</v>
      </c>
      <c r="BY371" s="180">
        <v>2022</v>
      </c>
      <c r="BZ371" s="22">
        <v>8</v>
      </c>
      <c r="CA371" s="198" t="e">
        <f t="shared" ca="1" si="213"/>
        <v>#REF!</v>
      </c>
      <c r="CB371" s="198" t="e">
        <f t="shared" ca="1" si="214"/>
        <v>#REF!</v>
      </c>
      <c r="CC371" s="276" t="e">
        <f t="shared" ca="1" si="225"/>
        <v>#REF!</v>
      </c>
      <c r="CD371" s="205" t="e">
        <f t="shared" ca="1" si="215"/>
        <v>#REF!</v>
      </c>
      <c r="CG371" s="180">
        <v>2022</v>
      </c>
      <c r="CH371" s="22">
        <v>8</v>
      </c>
      <c r="CI371" s="198" t="e">
        <f t="shared" ca="1" si="216"/>
        <v>#REF!</v>
      </c>
      <c r="CJ371" s="198" t="e">
        <f t="shared" ca="1" si="217"/>
        <v>#REF!</v>
      </c>
      <c r="CK371" s="198" t="e">
        <f t="shared" ca="1" si="218"/>
        <v>#REF!</v>
      </c>
      <c r="CL371" s="276" t="e">
        <f t="shared" ca="1" si="219"/>
        <v>#REF!</v>
      </c>
      <c r="CM371" s="205" t="e">
        <f t="shared" ca="1" si="220"/>
        <v>#REF!</v>
      </c>
      <c r="CP371" s="180">
        <v>2022</v>
      </c>
      <c r="CQ371" s="22">
        <v>8</v>
      </c>
      <c r="CR371" s="198" t="e">
        <f t="shared" ca="1" si="221"/>
        <v>#REF!</v>
      </c>
      <c r="CS371" s="276" t="e">
        <f t="shared" ca="1" si="222"/>
        <v>#REF!</v>
      </c>
      <c r="CT371" s="205" t="e">
        <f t="shared" ca="1" si="223"/>
        <v>#REF!</v>
      </c>
      <c r="CZ371" s="164" t="b">
        <f t="shared" si="200"/>
        <v>0</v>
      </c>
      <c r="DA371" s="165" t="b">
        <f t="shared" si="200"/>
        <v>0</v>
      </c>
      <c r="DB371" s="166" t="b">
        <f t="shared" si="200"/>
        <v>0</v>
      </c>
      <c r="DC371" s="164" t="str">
        <f t="shared" si="201"/>
        <v/>
      </c>
      <c r="DD371" s="166" t="str">
        <f t="shared" si="202"/>
        <v/>
      </c>
      <c r="DE371" s="164" t="str">
        <f t="shared" si="203"/>
        <v/>
      </c>
      <c r="DF371" s="166" t="str">
        <f t="shared" si="204"/>
        <v/>
      </c>
      <c r="DG371" s="164" t="str">
        <f t="shared" si="205"/>
        <v/>
      </c>
      <c r="DH371" s="166" t="str">
        <f t="shared" si="206"/>
        <v/>
      </c>
      <c r="DI371" s="164" t="str">
        <f>IFERROR(INDEX(DC$359:DC$407,_xlfn.AGGREGATE(15,6,(ROW(DC$359:DC$407)-ROW(DC$359)+1)/(DC$359:DC$407&lt;&gt;""),ROWS(DI$1:DI13))),"")</f>
        <v/>
      </c>
      <c r="DJ371" s="165" t="str">
        <f>IFERROR(INDEX(DD$359:DD$407,_xlfn.AGGREGATE(15,6,(ROW(DD$359:DD$407)-ROW(DD$359)+1)/(DD$359:DD$407&lt;&gt;""),ROWS(DJ$1:DJ13))),"")</f>
        <v/>
      </c>
      <c r="DK371" s="166" t="str">
        <f t="shared" si="207"/>
        <v/>
      </c>
      <c r="DL371" s="164" t="str">
        <f>IFERROR(INDEX(DE$359:DE$407,_xlfn.AGGREGATE(15,6,(ROW(DE$359:DE$407)-ROW(DE$359)+1)/(DE$359:DE$407&lt;&gt;""),ROWS(DL$1:DL13))),"")</f>
        <v/>
      </c>
      <c r="DM371" s="165" t="str">
        <f>IFERROR(INDEX(DF$359:DF$407,_xlfn.AGGREGATE(15,6,(ROW(DF$359:DF$407)-ROW(DF$359)+1)/(DF$359:DF$407&lt;&gt;""),ROWS(DM$1:DM13))),"")</f>
        <v/>
      </c>
      <c r="DN371" s="166" t="str">
        <f t="shared" si="208"/>
        <v/>
      </c>
      <c r="DO371" s="164" t="str">
        <f>IFERROR(INDEX(DG$359:DG$407,_xlfn.AGGREGATE(15,6,(ROW(DG$359:DG$407)-ROW(DG$359)+1)/(DG$359:DG$407&lt;&gt;""),ROWS(DO$1:DO13))),"")</f>
        <v/>
      </c>
      <c r="DP371" s="165" t="str">
        <f>IFERROR(INDEX(DH$359:DH$407,_xlfn.AGGREGATE(15,6,(ROW(DH$359:DH$407)-ROW(DH$359)+1)/(DH$359:DH$407&lt;&gt;""),ROWS(DP$1:DP13))),"")</f>
        <v/>
      </c>
      <c r="DQ371" s="166" t="str">
        <f t="shared" si="209"/>
        <v/>
      </c>
      <c r="DV371" s="145">
        <v>2027</v>
      </c>
      <c r="DW371" s="235" t="e">
        <f t="shared" ca="1" si="193"/>
        <v>#REF!</v>
      </c>
    </row>
    <row r="372" spans="1:135" ht="13.8" x14ac:dyDescent="0.45">
      <c r="B372" s="128">
        <v>2025</v>
      </c>
      <c r="C372" s="1070"/>
      <c r="D372" s="1050"/>
      <c r="E372" s="1069"/>
      <c r="F372" s="1075"/>
      <c r="G372" s="1052"/>
      <c r="H372" s="1036"/>
      <c r="I372" s="1112"/>
      <c r="J372" s="247"/>
      <c r="K372" s="245"/>
      <c r="L372" s="246"/>
      <c r="M372" s="245"/>
      <c r="N372" s="29" t="s">
        <v>119</v>
      </c>
      <c r="O372" s="120"/>
      <c r="P372" s="120"/>
      <c r="Q372" s="120"/>
      <c r="R372" s="29">
        <v>11</v>
      </c>
      <c r="S372" s="238" t="str">
        <f t="shared" si="194"/>
        <v/>
      </c>
      <c r="T372" s="238" t="str">
        <f t="shared" si="195"/>
        <v/>
      </c>
      <c r="U372" s="238" t="str">
        <f t="shared" si="196"/>
        <v/>
      </c>
      <c r="W372" s="238" t="e">
        <f t="shared" si="197"/>
        <v>#N/A</v>
      </c>
      <c r="X372" s="238" t="e">
        <f t="shared" si="198"/>
        <v>#N/A</v>
      </c>
      <c r="Y372" s="238" t="e">
        <f t="shared" si="199"/>
        <v>#N/A</v>
      </c>
      <c r="AA372" s="1133">
        <v>268.09531963470317</v>
      </c>
      <c r="AB372" s="1133">
        <v>297.67413785955728</v>
      </c>
      <c r="AC372" s="1133">
        <v>327.25295608441138</v>
      </c>
      <c r="AD372" s="120"/>
      <c r="AE372" s="120"/>
      <c r="AF372" s="120"/>
      <c r="AG372" s="120"/>
      <c r="AH372" s="120"/>
      <c r="AI372" s="120"/>
      <c r="AJ372" s="120"/>
      <c r="AK372" s="120"/>
      <c r="AL372" s="120"/>
      <c r="AM372" s="120"/>
      <c r="AN372" s="120"/>
      <c r="BR372" s="180">
        <v>2023</v>
      </c>
      <c r="BS372" s="22">
        <v>9</v>
      </c>
      <c r="BT372" s="198" t="e">
        <f t="shared" si="210"/>
        <v>#DIV/0!</v>
      </c>
      <c r="BU372" s="276" t="e">
        <f t="shared" si="211"/>
        <v>#DIV/0!</v>
      </c>
      <c r="BV372" s="205" t="e">
        <f t="shared" si="212"/>
        <v>#DIV/0!</v>
      </c>
      <c r="BY372" s="180">
        <v>2023</v>
      </c>
      <c r="BZ372" s="22">
        <v>9</v>
      </c>
      <c r="CA372" s="198" t="e">
        <f t="shared" ca="1" si="213"/>
        <v>#REF!</v>
      </c>
      <c r="CB372" s="198" t="e">
        <f t="shared" ca="1" si="214"/>
        <v>#REF!</v>
      </c>
      <c r="CC372" s="276" t="e">
        <f t="shared" ca="1" si="225"/>
        <v>#REF!</v>
      </c>
      <c r="CD372" s="205" t="e">
        <f t="shared" ca="1" si="215"/>
        <v>#REF!</v>
      </c>
      <c r="CG372" s="180">
        <v>2023</v>
      </c>
      <c r="CH372" s="22">
        <v>9</v>
      </c>
      <c r="CI372" s="198" t="e">
        <f t="shared" ca="1" si="216"/>
        <v>#REF!</v>
      </c>
      <c r="CJ372" s="198" t="e">
        <f t="shared" ca="1" si="217"/>
        <v>#REF!</v>
      </c>
      <c r="CK372" s="198" t="e">
        <f t="shared" ca="1" si="218"/>
        <v>#REF!</v>
      </c>
      <c r="CL372" s="276" t="e">
        <f t="shared" ca="1" si="219"/>
        <v>#REF!</v>
      </c>
      <c r="CM372" s="205" t="e">
        <f t="shared" ca="1" si="220"/>
        <v>#REF!</v>
      </c>
      <c r="CP372" s="180">
        <v>2023</v>
      </c>
      <c r="CQ372" s="22">
        <v>9</v>
      </c>
      <c r="CR372" s="198" t="e">
        <f t="shared" ca="1" si="221"/>
        <v>#REF!</v>
      </c>
      <c r="CS372" s="276" t="e">
        <f t="shared" ca="1" si="222"/>
        <v>#REF!</v>
      </c>
      <c r="CT372" s="205" t="e">
        <f t="shared" ca="1" si="223"/>
        <v>#REF!</v>
      </c>
      <c r="CZ372" s="164" t="b">
        <f t="shared" si="200"/>
        <v>0</v>
      </c>
      <c r="DA372" s="165" t="b">
        <f t="shared" si="200"/>
        <v>0</v>
      </c>
      <c r="DB372" s="166" t="b">
        <f t="shared" si="200"/>
        <v>0</v>
      </c>
      <c r="DC372" s="164" t="str">
        <f t="shared" si="201"/>
        <v/>
      </c>
      <c r="DD372" s="166" t="str">
        <f t="shared" si="202"/>
        <v/>
      </c>
      <c r="DE372" s="164" t="str">
        <f t="shared" si="203"/>
        <v/>
      </c>
      <c r="DF372" s="166" t="str">
        <f t="shared" si="204"/>
        <v/>
      </c>
      <c r="DG372" s="164" t="str">
        <f t="shared" si="205"/>
        <v/>
      </c>
      <c r="DH372" s="166" t="str">
        <f t="shared" si="206"/>
        <v/>
      </c>
      <c r="DI372" s="164" t="str">
        <f>IFERROR(INDEX(DC$359:DC$407,_xlfn.AGGREGATE(15,6,(ROW(DC$359:DC$407)-ROW(DC$359)+1)/(DC$359:DC$407&lt;&gt;""),ROWS(DI$1:DI14))),"")</f>
        <v/>
      </c>
      <c r="DJ372" s="165" t="str">
        <f>IFERROR(INDEX(DD$359:DD$407,_xlfn.AGGREGATE(15,6,(ROW(DD$359:DD$407)-ROW(DD$359)+1)/(DD$359:DD$407&lt;&gt;""),ROWS(DJ$1:DJ14))),"")</f>
        <v/>
      </c>
      <c r="DK372" s="166" t="str">
        <f t="shared" si="207"/>
        <v/>
      </c>
      <c r="DL372" s="164" t="str">
        <f>IFERROR(INDEX(DE$359:DE$407,_xlfn.AGGREGATE(15,6,(ROW(DE$359:DE$407)-ROW(DE$359)+1)/(DE$359:DE$407&lt;&gt;""),ROWS(DL$1:DL14))),"")</f>
        <v/>
      </c>
      <c r="DM372" s="165" t="str">
        <f>IFERROR(INDEX(DF$359:DF$407,_xlfn.AGGREGATE(15,6,(ROW(DF$359:DF$407)-ROW(DF$359)+1)/(DF$359:DF$407&lt;&gt;""),ROWS(DM$1:DM14))),"")</f>
        <v/>
      </c>
      <c r="DN372" s="166" t="str">
        <f t="shared" si="208"/>
        <v/>
      </c>
      <c r="DO372" s="164" t="str">
        <f>IFERROR(INDEX(DG$359:DG$407,_xlfn.AGGREGATE(15,6,(ROW(DG$359:DG$407)-ROW(DG$359)+1)/(DG$359:DG$407&lt;&gt;""),ROWS(DO$1:DO14))),"")</f>
        <v/>
      </c>
      <c r="DP372" s="165" t="str">
        <f>IFERROR(INDEX(DH$359:DH$407,_xlfn.AGGREGATE(15,6,(ROW(DH$359:DH$407)-ROW(DH$359)+1)/(DH$359:DH$407&lt;&gt;""),ROWS(DP$1:DP14))),"")</f>
        <v/>
      </c>
      <c r="DQ372" s="166" t="str">
        <f t="shared" si="209"/>
        <v/>
      </c>
      <c r="DV372" s="145">
        <v>2028</v>
      </c>
      <c r="DW372" s="235" t="e">
        <f t="shared" ca="1" si="193"/>
        <v>#REF!</v>
      </c>
    </row>
    <row r="373" spans="1:135" ht="13.8" x14ac:dyDescent="0.45">
      <c r="B373" s="128">
        <v>2026</v>
      </c>
      <c r="C373" s="1070"/>
      <c r="D373" s="1050"/>
      <c r="E373" s="1069"/>
      <c r="F373" s="1075"/>
      <c r="G373" s="1052"/>
      <c r="H373" s="1036"/>
      <c r="I373" s="1112"/>
      <c r="J373" s="247"/>
      <c r="K373" s="245"/>
      <c r="L373" s="246"/>
      <c r="M373" s="245"/>
      <c r="N373" s="29" t="s">
        <v>119</v>
      </c>
      <c r="O373" s="120"/>
      <c r="P373" s="120"/>
      <c r="Q373" s="120"/>
      <c r="R373" s="29">
        <v>12</v>
      </c>
      <c r="S373" s="238" t="str">
        <f t="shared" si="194"/>
        <v/>
      </c>
      <c r="T373" s="238" t="str">
        <f t="shared" si="195"/>
        <v/>
      </c>
      <c r="U373" s="238" t="str">
        <f t="shared" si="196"/>
        <v/>
      </c>
      <c r="W373" s="238" t="e">
        <f t="shared" si="197"/>
        <v>#N/A</v>
      </c>
      <c r="X373" s="238" t="e">
        <f t="shared" si="198"/>
        <v>#N/A</v>
      </c>
      <c r="Y373" s="238" t="e">
        <f t="shared" si="199"/>
        <v>#N/A</v>
      </c>
      <c r="AA373" s="1133">
        <v>272.14360730593609</v>
      </c>
      <c r="AB373" s="1133">
        <v>302.06574838952901</v>
      </c>
      <c r="AC373" s="1133">
        <v>331.98788947312192</v>
      </c>
      <c r="AD373" s="120"/>
      <c r="AE373" s="120"/>
      <c r="AF373" s="120"/>
      <c r="AG373" s="120"/>
      <c r="AH373" s="120"/>
      <c r="AI373" s="120"/>
      <c r="AJ373" s="120"/>
      <c r="AK373" s="120"/>
      <c r="AL373" s="120"/>
      <c r="AM373" s="120"/>
      <c r="AN373" s="120"/>
      <c r="BR373" s="180">
        <v>2024</v>
      </c>
      <c r="BS373" s="22">
        <v>10</v>
      </c>
      <c r="BT373" s="198" t="e">
        <f t="shared" si="210"/>
        <v>#DIV/0!</v>
      </c>
      <c r="BU373" s="276" t="e">
        <f t="shared" si="211"/>
        <v>#DIV/0!</v>
      </c>
      <c r="BV373" s="205" t="e">
        <f t="shared" si="212"/>
        <v>#DIV/0!</v>
      </c>
      <c r="BY373" s="180">
        <v>2024</v>
      </c>
      <c r="BZ373" s="22">
        <v>10</v>
      </c>
      <c r="CA373" s="198" t="e">
        <f t="shared" ca="1" si="213"/>
        <v>#REF!</v>
      </c>
      <c r="CB373" s="198" t="e">
        <f t="shared" ca="1" si="214"/>
        <v>#REF!</v>
      </c>
      <c r="CC373" s="276" t="e">
        <f t="shared" ca="1" si="225"/>
        <v>#REF!</v>
      </c>
      <c r="CD373" s="205" t="e">
        <f t="shared" ca="1" si="215"/>
        <v>#REF!</v>
      </c>
      <c r="CG373" s="180">
        <v>2024</v>
      </c>
      <c r="CH373" s="22">
        <v>10</v>
      </c>
      <c r="CI373" s="198" t="e">
        <f t="shared" ca="1" si="216"/>
        <v>#REF!</v>
      </c>
      <c r="CJ373" s="198" t="e">
        <f t="shared" ca="1" si="217"/>
        <v>#REF!</v>
      </c>
      <c r="CK373" s="198" t="e">
        <f t="shared" ca="1" si="218"/>
        <v>#REF!</v>
      </c>
      <c r="CL373" s="276" t="e">
        <f t="shared" ca="1" si="219"/>
        <v>#REF!</v>
      </c>
      <c r="CM373" s="205" t="e">
        <f t="shared" ca="1" si="220"/>
        <v>#REF!</v>
      </c>
      <c r="CP373" s="180">
        <v>2024</v>
      </c>
      <c r="CQ373" s="22">
        <v>10</v>
      </c>
      <c r="CR373" s="198" t="e">
        <f t="shared" ca="1" si="221"/>
        <v>#REF!</v>
      </c>
      <c r="CS373" s="276" t="e">
        <f t="shared" ca="1" si="222"/>
        <v>#REF!</v>
      </c>
      <c r="CT373" s="205" t="e">
        <f t="shared" ca="1" si="223"/>
        <v>#REF!</v>
      </c>
      <c r="CZ373" s="164" t="b">
        <f t="shared" si="200"/>
        <v>0</v>
      </c>
      <c r="DA373" s="165" t="b">
        <f t="shared" si="200"/>
        <v>0</v>
      </c>
      <c r="DB373" s="166" t="b">
        <f t="shared" si="200"/>
        <v>0</v>
      </c>
      <c r="DC373" s="164" t="str">
        <f t="shared" si="201"/>
        <v/>
      </c>
      <c r="DD373" s="166" t="str">
        <f t="shared" si="202"/>
        <v/>
      </c>
      <c r="DE373" s="164" t="str">
        <f t="shared" si="203"/>
        <v/>
      </c>
      <c r="DF373" s="166" t="str">
        <f t="shared" si="204"/>
        <v/>
      </c>
      <c r="DG373" s="164" t="str">
        <f t="shared" si="205"/>
        <v/>
      </c>
      <c r="DH373" s="166" t="str">
        <f t="shared" si="206"/>
        <v/>
      </c>
      <c r="DI373" s="164" t="str">
        <f>IFERROR(INDEX(DC$359:DC$407,_xlfn.AGGREGATE(15,6,(ROW(DC$359:DC$407)-ROW(DC$359)+1)/(DC$359:DC$407&lt;&gt;""),ROWS(DI$1:DI15))),"")</f>
        <v/>
      </c>
      <c r="DJ373" s="165" t="str">
        <f>IFERROR(INDEX(DD$359:DD$407,_xlfn.AGGREGATE(15,6,(ROW(DD$359:DD$407)-ROW(DD$359)+1)/(DD$359:DD$407&lt;&gt;""),ROWS(DJ$1:DJ15))),"")</f>
        <v/>
      </c>
      <c r="DK373" s="166" t="str">
        <f t="shared" si="207"/>
        <v/>
      </c>
      <c r="DL373" s="164" t="str">
        <f>IFERROR(INDEX(DE$359:DE$407,_xlfn.AGGREGATE(15,6,(ROW(DE$359:DE$407)-ROW(DE$359)+1)/(DE$359:DE$407&lt;&gt;""),ROWS(DL$1:DL15))),"")</f>
        <v/>
      </c>
      <c r="DM373" s="165" t="str">
        <f>IFERROR(INDEX(DF$359:DF$407,_xlfn.AGGREGATE(15,6,(ROW(DF$359:DF$407)-ROW(DF$359)+1)/(DF$359:DF$407&lt;&gt;""),ROWS(DM$1:DM15))),"")</f>
        <v/>
      </c>
      <c r="DN373" s="166" t="str">
        <f t="shared" si="208"/>
        <v/>
      </c>
      <c r="DO373" s="164" t="str">
        <f>IFERROR(INDEX(DG$359:DG$407,_xlfn.AGGREGATE(15,6,(ROW(DG$359:DG$407)-ROW(DG$359)+1)/(DG$359:DG$407&lt;&gt;""),ROWS(DO$1:DO15))),"")</f>
        <v/>
      </c>
      <c r="DP373" s="165" t="str">
        <f>IFERROR(INDEX(DH$359:DH$407,_xlfn.AGGREGATE(15,6,(ROW(DH$359:DH$407)-ROW(DH$359)+1)/(DH$359:DH$407&lt;&gt;""),ROWS(DP$1:DP15))),"")</f>
        <v/>
      </c>
      <c r="DQ373" s="166" t="str">
        <f t="shared" si="209"/>
        <v/>
      </c>
      <c r="DV373" s="145">
        <v>2029</v>
      </c>
      <c r="DW373" s="235" t="e">
        <f t="shared" ca="1" si="193"/>
        <v>#REF!</v>
      </c>
      <c r="EA373" s="55"/>
      <c r="EB373" s="55"/>
      <c r="EC373" s="55"/>
      <c r="ED373" s="55"/>
      <c r="EE373" s="55"/>
    </row>
    <row r="374" spans="1:135" ht="13.8" x14ac:dyDescent="0.45">
      <c r="B374" s="128">
        <v>2027</v>
      </c>
      <c r="C374" s="1070"/>
      <c r="D374" s="1050"/>
      <c r="E374" s="1069"/>
      <c r="F374" s="1075"/>
      <c r="G374" s="1052"/>
      <c r="H374" s="1036"/>
      <c r="I374" s="1112"/>
      <c r="J374" s="247"/>
      <c r="K374" s="245"/>
      <c r="L374" s="246"/>
      <c r="M374" s="245"/>
      <c r="N374" s="29" t="s">
        <v>119</v>
      </c>
      <c r="O374" s="120"/>
      <c r="P374" s="120"/>
      <c r="Q374" s="120"/>
      <c r="R374" s="29">
        <v>13</v>
      </c>
      <c r="S374" s="238" t="str">
        <f t="shared" si="194"/>
        <v/>
      </c>
      <c r="T374" s="238" t="str">
        <f t="shared" si="195"/>
        <v/>
      </c>
      <c r="U374" s="238" t="str">
        <f t="shared" si="196"/>
        <v/>
      </c>
      <c r="W374" s="238" t="e">
        <f t="shared" si="197"/>
        <v>#N/A</v>
      </c>
      <c r="X374" s="238" t="e">
        <f t="shared" si="198"/>
        <v>#N/A</v>
      </c>
      <c r="Y374" s="238" t="e">
        <f t="shared" si="199"/>
        <v>#N/A</v>
      </c>
      <c r="AA374" s="1133">
        <v>276.19189497716894</v>
      </c>
      <c r="AB374" s="1133">
        <v>306.74374586939211</v>
      </c>
      <c r="AC374" s="1133">
        <v>337.29559676161529</v>
      </c>
      <c r="AD374" s="89"/>
      <c r="AE374" s="89"/>
      <c r="AF374" s="89"/>
      <c r="AG374" s="89"/>
      <c r="AH374" s="89"/>
      <c r="AI374" s="89"/>
      <c r="AJ374" s="89"/>
      <c r="AK374" s="89"/>
      <c r="AL374" s="89"/>
      <c r="AM374" s="89"/>
      <c r="AN374" s="89"/>
      <c r="BR374" s="180">
        <v>2025</v>
      </c>
      <c r="BS374" s="22">
        <v>11</v>
      </c>
      <c r="BT374" s="198" t="e">
        <f t="shared" si="210"/>
        <v>#DIV/0!</v>
      </c>
      <c r="BU374" s="276" t="e">
        <f t="shared" si="211"/>
        <v>#DIV/0!</v>
      </c>
      <c r="BV374" s="205" t="e">
        <f t="shared" si="212"/>
        <v>#DIV/0!</v>
      </c>
      <c r="BY374" s="180">
        <v>2025</v>
      </c>
      <c r="BZ374" s="22">
        <v>11</v>
      </c>
      <c r="CA374" s="198" t="e">
        <f t="shared" ca="1" si="213"/>
        <v>#REF!</v>
      </c>
      <c r="CB374" s="198" t="e">
        <f t="shared" ca="1" si="214"/>
        <v>#REF!</v>
      </c>
      <c r="CC374" s="276" t="e">
        <f t="shared" ca="1" si="225"/>
        <v>#REF!</v>
      </c>
      <c r="CD374" s="205" t="e">
        <f t="shared" ca="1" si="215"/>
        <v>#REF!</v>
      </c>
      <c r="CG374" s="180">
        <v>2025</v>
      </c>
      <c r="CH374" s="22">
        <v>11</v>
      </c>
      <c r="CI374" s="198" t="e">
        <f t="shared" ca="1" si="216"/>
        <v>#REF!</v>
      </c>
      <c r="CJ374" s="198" t="e">
        <f t="shared" ca="1" si="217"/>
        <v>#REF!</v>
      </c>
      <c r="CK374" s="198" t="e">
        <f t="shared" ca="1" si="218"/>
        <v>#REF!</v>
      </c>
      <c r="CL374" s="276" t="e">
        <f t="shared" ca="1" si="219"/>
        <v>#REF!</v>
      </c>
      <c r="CM374" s="205" t="e">
        <f t="shared" ca="1" si="220"/>
        <v>#REF!</v>
      </c>
      <c r="CP374" s="180">
        <v>2025</v>
      </c>
      <c r="CQ374" s="22">
        <v>11</v>
      </c>
      <c r="CR374" s="198" t="e">
        <f t="shared" ca="1" si="221"/>
        <v>#REF!</v>
      </c>
      <c r="CS374" s="276" t="e">
        <f t="shared" ca="1" si="222"/>
        <v>#REF!</v>
      </c>
      <c r="CT374" s="205" t="e">
        <f t="shared" ca="1" si="223"/>
        <v>#REF!</v>
      </c>
      <c r="CZ374" s="164" t="b">
        <f t="shared" si="200"/>
        <v>0</v>
      </c>
      <c r="DA374" s="165" t="b">
        <f t="shared" si="200"/>
        <v>0</v>
      </c>
      <c r="DB374" s="166" t="b">
        <f t="shared" si="200"/>
        <v>0</v>
      </c>
      <c r="DC374" s="164" t="str">
        <f t="shared" si="201"/>
        <v/>
      </c>
      <c r="DD374" s="166" t="str">
        <f t="shared" si="202"/>
        <v/>
      </c>
      <c r="DE374" s="164" t="str">
        <f t="shared" si="203"/>
        <v/>
      </c>
      <c r="DF374" s="166" t="str">
        <f t="shared" si="204"/>
        <v/>
      </c>
      <c r="DG374" s="164" t="str">
        <f t="shared" si="205"/>
        <v/>
      </c>
      <c r="DH374" s="166" t="str">
        <f t="shared" si="206"/>
        <v/>
      </c>
      <c r="DI374" s="164" t="str">
        <f>IFERROR(INDEX(DC$359:DC$407,_xlfn.AGGREGATE(15,6,(ROW(DC$359:DC$407)-ROW(DC$359)+1)/(DC$359:DC$407&lt;&gt;""),ROWS(DI$1:DI16))),"")</f>
        <v/>
      </c>
      <c r="DJ374" s="165" t="str">
        <f>IFERROR(INDEX(DD$359:DD$407,_xlfn.AGGREGATE(15,6,(ROW(DD$359:DD$407)-ROW(DD$359)+1)/(DD$359:DD$407&lt;&gt;""),ROWS(DJ$1:DJ16))),"")</f>
        <v/>
      </c>
      <c r="DK374" s="166" t="str">
        <f t="shared" si="207"/>
        <v/>
      </c>
      <c r="DL374" s="164" t="str">
        <f>IFERROR(INDEX(DE$359:DE$407,_xlfn.AGGREGATE(15,6,(ROW(DE$359:DE$407)-ROW(DE$359)+1)/(DE$359:DE$407&lt;&gt;""),ROWS(DL$1:DL16))),"")</f>
        <v/>
      </c>
      <c r="DM374" s="165" t="str">
        <f>IFERROR(INDEX(DF$359:DF$407,_xlfn.AGGREGATE(15,6,(ROW(DF$359:DF$407)-ROW(DF$359)+1)/(DF$359:DF$407&lt;&gt;""),ROWS(DM$1:DM16))),"")</f>
        <v/>
      </c>
      <c r="DN374" s="166" t="str">
        <f t="shared" si="208"/>
        <v/>
      </c>
      <c r="DO374" s="164" t="str">
        <f>IFERROR(INDEX(DG$359:DG$407,_xlfn.AGGREGATE(15,6,(ROW(DG$359:DG$407)-ROW(DG$359)+1)/(DG$359:DG$407&lt;&gt;""),ROWS(DO$1:DO16))),"")</f>
        <v/>
      </c>
      <c r="DP374" s="165" t="str">
        <f>IFERROR(INDEX(DH$359:DH$407,_xlfn.AGGREGATE(15,6,(ROW(DH$359:DH$407)-ROW(DH$359)+1)/(DH$359:DH$407&lt;&gt;""),ROWS(DP$1:DP16))),"")</f>
        <v/>
      </c>
      <c r="DQ374" s="166" t="str">
        <f t="shared" si="209"/>
        <v/>
      </c>
      <c r="DV374" s="145">
        <v>2030</v>
      </c>
      <c r="DW374" s="235" t="e">
        <f t="shared" ca="1" si="193"/>
        <v>#REF!</v>
      </c>
    </row>
    <row r="375" spans="1:135" ht="13.8" x14ac:dyDescent="0.45">
      <c r="A375" s="208" t="str">
        <f>$A$62</f>
        <v>Base Cases</v>
      </c>
      <c r="B375" s="128">
        <v>2028</v>
      </c>
      <c r="C375" s="1070"/>
      <c r="D375" s="1050"/>
      <c r="E375" s="1069"/>
      <c r="F375" s="1075"/>
      <c r="G375" s="1052"/>
      <c r="H375" s="1036"/>
      <c r="I375" s="1112"/>
      <c r="J375" s="247"/>
      <c r="K375" s="245"/>
      <c r="L375" s="246"/>
      <c r="M375" s="245"/>
      <c r="N375" s="29" t="s">
        <v>119</v>
      </c>
      <c r="O375" s="120"/>
      <c r="P375" s="120"/>
      <c r="Q375" s="120"/>
      <c r="R375" s="29">
        <v>14</v>
      </c>
      <c r="S375" s="238" t="str">
        <f t="shared" si="194"/>
        <v/>
      </c>
      <c r="T375" s="238" t="str">
        <f t="shared" si="195"/>
        <v/>
      </c>
      <c r="U375" s="238" t="str">
        <f t="shared" si="196"/>
        <v/>
      </c>
      <c r="W375" s="238" t="e">
        <f t="shared" si="197"/>
        <v>#N/A</v>
      </c>
      <c r="X375" s="238" t="e">
        <f t="shared" si="198"/>
        <v>#N/A</v>
      </c>
      <c r="Y375" s="238" t="e">
        <f t="shared" si="199"/>
        <v>#N/A</v>
      </c>
      <c r="AA375" s="1133">
        <v>280.24018264840186</v>
      </c>
      <c r="AB375" s="1133">
        <v>311.3257948284695</v>
      </c>
      <c r="AC375" s="1133">
        <v>342.41140700853714</v>
      </c>
      <c r="AD375" s="114"/>
      <c r="AE375" s="114"/>
      <c r="AF375" s="114"/>
      <c r="AG375" s="114"/>
      <c r="AH375" s="114"/>
      <c r="AI375" s="114"/>
      <c r="AJ375" s="114"/>
      <c r="AK375" s="114"/>
      <c r="AL375" s="114"/>
      <c r="AM375" s="114"/>
      <c r="AN375" s="114"/>
      <c r="BR375" s="180">
        <v>2026</v>
      </c>
      <c r="BS375" s="22">
        <v>12</v>
      </c>
      <c r="BT375" s="198" t="e">
        <f t="shared" si="210"/>
        <v>#DIV/0!</v>
      </c>
      <c r="BU375" s="276" t="e">
        <f t="shared" si="211"/>
        <v>#DIV/0!</v>
      </c>
      <c r="BV375" s="205" t="e">
        <f t="shared" si="212"/>
        <v>#DIV/0!</v>
      </c>
      <c r="BY375" s="180">
        <v>2026</v>
      </c>
      <c r="BZ375" s="22">
        <v>12</v>
      </c>
      <c r="CA375" s="198" t="e">
        <f t="shared" ca="1" si="213"/>
        <v>#REF!</v>
      </c>
      <c r="CB375" s="198" t="e">
        <f t="shared" ca="1" si="214"/>
        <v>#REF!</v>
      </c>
      <c r="CC375" s="276" t="e">
        <f t="shared" ca="1" si="225"/>
        <v>#REF!</v>
      </c>
      <c r="CD375" s="205" t="e">
        <f t="shared" ca="1" si="215"/>
        <v>#REF!</v>
      </c>
      <c r="CG375" s="180">
        <v>2026</v>
      </c>
      <c r="CH375" s="22">
        <v>12</v>
      </c>
      <c r="CI375" s="198" t="e">
        <f t="shared" ca="1" si="216"/>
        <v>#REF!</v>
      </c>
      <c r="CJ375" s="198" t="e">
        <f t="shared" ca="1" si="217"/>
        <v>#REF!</v>
      </c>
      <c r="CK375" s="198" t="e">
        <f t="shared" ca="1" si="218"/>
        <v>#REF!</v>
      </c>
      <c r="CL375" s="276" t="e">
        <f t="shared" ca="1" si="219"/>
        <v>#REF!</v>
      </c>
      <c r="CM375" s="205" t="e">
        <f t="shared" ca="1" si="220"/>
        <v>#REF!</v>
      </c>
      <c r="CP375" s="180">
        <v>2026</v>
      </c>
      <c r="CQ375" s="22">
        <v>12</v>
      </c>
      <c r="CR375" s="198" t="e">
        <f t="shared" ca="1" si="221"/>
        <v>#REF!</v>
      </c>
      <c r="CS375" s="276" t="e">
        <f t="shared" ca="1" si="222"/>
        <v>#REF!</v>
      </c>
      <c r="CT375" s="205" t="e">
        <f t="shared" ca="1" si="223"/>
        <v>#REF!</v>
      </c>
      <c r="CZ375" s="164" t="b">
        <f t="shared" si="200"/>
        <v>0</v>
      </c>
      <c r="DA375" s="165" t="b">
        <f t="shared" si="200"/>
        <v>0</v>
      </c>
      <c r="DB375" s="166" t="b">
        <f t="shared" si="200"/>
        <v>0</v>
      </c>
      <c r="DC375" s="164" t="str">
        <f t="shared" si="201"/>
        <v/>
      </c>
      <c r="DD375" s="166" t="str">
        <f t="shared" si="202"/>
        <v/>
      </c>
      <c r="DE375" s="164" t="str">
        <f t="shared" si="203"/>
        <v/>
      </c>
      <c r="DF375" s="166" t="str">
        <f t="shared" si="204"/>
        <v/>
      </c>
      <c r="DG375" s="164" t="str">
        <f t="shared" si="205"/>
        <v/>
      </c>
      <c r="DH375" s="166" t="str">
        <f t="shared" si="206"/>
        <v/>
      </c>
      <c r="DI375" s="164" t="str">
        <f>IFERROR(INDEX(DC$359:DC$407,_xlfn.AGGREGATE(15,6,(ROW(DC$359:DC$407)-ROW(DC$359)+1)/(DC$359:DC$407&lt;&gt;""),ROWS(DI$1:DI17))),"")</f>
        <v/>
      </c>
      <c r="DJ375" s="165" t="str">
        <f>IFERROR(INDEX(DD$359:DD$407,_xlfn.AGGREGATE(15,6,(ROW(DD$359:DD$407)-ROW(DD$359)+1)/(DD$359:DD$407&lt;&gt;""),ROWS(DJ$1:DJ17))),"")</f>
        <v/>
      </c>
      <c r="DK375" s="166" t="str">
        <f t="shared" si="207"/>
        <v/>
      </c>
      <c r="DL375" s="164" t="str">
        <f>IFERROR(INDEX(DE$359:DE$407,_xlfn.AGGREGATE(15,6,(ROW(DE$359:DE$407)-ROW(DE$359)+1)/(DE$359:DE$407&lt;&gt;""),ROWS(DL$1:DL17))),"")</f>
        <v/>
      </c>
      <c r="DM375" s="165" t="str">
        <f>IFERROR(INDEX(DF$359:DF$407,_xlfn.AGGREGATE(15,6,(ROW(DF$359:DF$407)-ROW(DF$359)+1)/(DF$359:DF$407&lt;&gt;""),ROWS(DM$1:DM17))),"")</f>
        <v/>
      </c>
      <c r="DN375" s="166" t="str">
        <f t="shared" si="208"/>
        <v/>
      </c>
      <c r="DO375" s="164" t="str">
        <f>IFERROR(INDEX(DG$359:DG$407,_xlfn.AGGREGATE(15,6,(ROW(DG$359:DG$407)-ROW(DG$359)+1)/(DG$359:DG$407&lt;&gt;""),ROWS(DO$1:DO17))),"")</f>
        <v/>
      </c>
      <c r="DP375" s="165" t="str">
        <f>IFERROR(INDEX(DH$359:DH$407,_xlfn.AGGREGATE(15,6,(ROW(DH$359:DH$407)-ROW(DH$359)+1)/(DH$359:DH$407&lt;&gt;""),ROWS(DP$1:DP17))),"")</f>
        <v/>
      </c>
      <c r="DQ375" s="166" t="str">
        <f t="shared" si="209"/>
        <v/>
      </c>
      <c r="DV375" s="145">
        <v>2031</v>
      </c>
      <c r="DW375" s="235" t="e">
        <f t="shared" ca="1" si="193"/>
        <v>#REF!</v>
      </c>
    </row>
    <row r="376" spans="1:135" ht="13.8" x14ac:dyDescent="0.45">
      <c r="A376" s="209" t="str">
        <f>$A$63</f>
        <v>Conservative Cases</v>
      </c>
      <c r="B376" s="128">
        <v>2029</v>
      </c>
      <c r="C376" s="1070"/>
      <c r="D376" s="1050"/>
      <c r="E376" s="1069"/>
      <c r="F376" s="1075"/>
      <c r="G376" s="1052"/>
      <c r="H376" s="1036"/>
      <c r="I376" s="1112"/>
      <c r="J376" s="247"/>
      <c r="K376" s="245"/>
      <c r="L376" s="246"/>
      <c r="M376" s="245"/>
      <c r="N376" s="29" t="s">
        <v>119</v>
      </c>
      <c r="O376" s="120"/>
      <c r="P376" s="120"/>
      <c r="Q376" s="120"/>
      <c r="R376" s="29">
        <v>15</v>
      </c>
      <c r="S376" s="238" t="str">
        <f t="shared" si="194"/>
        <v/>
      </c>
      <c r="T376" s="238" t="str">
        <f t="shared" si="195"/>
        <v/>
      </c>
      <c r="U376" s="238" t="str">
        <f t="shared" si="196"/>
        <v/>
      </c>
      <c r="W376" s="238" t="e">
        <f t="shared" si="197"/>
        <v>#N/A</v>
      </c>
      <c r="X376" s="238" t="e">
        <f t="shared" si="198"/>
        <v>#N/A</v>
      </c>
      <c r="Y376" s="238" t="e">
        <f t="shared" si="199"/>
        <v>#N/A</v>
      </c>
      <c r="AA376" s="1133">
        <v>284.28847031963471</v>
      </c>
      <c r="AB376" s="1133">
        <v>315.81377932164031</v>
      </c>
      <c r="AC376" s="1133">
        <v>347.33908832364591</v>
      </c>
      <c r="AD376" s="89"/>
      <c r="AE376" s="89"/>
      <c r="AF376" s="89"/>
      <c r="AG376" s="89"/>
      <c r="AH376" s="89"/>
      <c r="AI376" s="89"/>
      <c r="AJ376" s="89"/>
      <c r="AK376" s="89"/>
      <c r="AL376" s="89"/>
      <c r="AM376" s="89"/>
      <c r="AN376" s="89"/>
      <c r="BR376" s="180">
        <v>2027</v>
      </c>
      <c r="BS376" s="22">
        <v>13</v>
      </c>
      <c r="BT376" s="198" t="e">
        <f t="shared" si="210"/>
        <v>#DIV/0!</v>
      </c>
      <c r="BU376" s="276" t="e">
        <f t="shared" si="211"/>
        <v>#DIV/0!</v>
      </c>
      <c r="BV376" s="205" t="e">
        <f t="shared" si="212"/>
        <v>#DIV/0!</v>
      </c>
      <c r="BY376" s="180">
        <v>2027</v>
      </c>
      <c r="BZ376" s="22">
        <v>13</v>
      </c>
      <c r="CA376" s="198" t="e">
        <f t="shared" ca="1" si="213"/>
        <v>#REF!</v>
      </c>
      <c r="CB376" s="198" t="e">
        <f t="shared" ca="1" si="214"/>
        <v>#REF!</v>
      </c>
      <c r="CC376" s="276" t="e">
        <f t="shared" ca="1" si="225"/>
        <v>#REF!</v>
      </c>
      <c r="CD376" s="205" t="e">
        <f t="shared" ca="1" si="215"/>
        <v>#REF!</v>
      </c>
      <c r="CG376" s="180">
        <v>2027</v>
      </c>
      <c r="CH376" s="22">
        <v>13</v>
      </c>
      <c r="CI376" s="198" t="e">
        <f t="shared" ca="1" si="216"/>
        <v>#REF!</v>
      </c>
      <c r="CJ376" s="198" t="e">
        <f t="shared" ca="1" si="217"/>
        <v>#REF!</v>
      </c>
      <c r="CK376" s="198" t="e">
        <f t="shared" ca="1" si="218"/>
        <v>#REF!</v>
      </c>
      <c r="CL376" s="276" t="e">
        <f t="shared" ca="1" si="219"/>
        <v>#REF!</v>
      </c>
      <c r="CM376" s="205" t="e">
        <f t="shared" ca="1" si="220"/>
        <v>#REF!</v>
      </c>
      <c r="CP376" s="180">
        <v>2027</v>
      </c>
      <c r="CQ376" s="22">
        <v>13</v>
      </c>
      <c r="CR376" s="198" t="e">
        <f t="shared" ca="1" si="221"/>
        <v>#REF!</v>
      </c>
      <c r="CS376" s="276" t="e">
        <f t="shared" ca="1" si="222"/>
        <v>#REF!</v>
      </c>
      <c r="CT376" s="205" t="e">
        <f t="shared" ca="1" si="223"/>
        <v>#REF!</v>
      </c>
      <c r="CZ376" s="164" t="b">
        <f t="shared" si="200"/>
        <v>0</v>
      </c>
      <c r="DA376" s="165" t="b">
        <f t="shared" si="200"/>
        <v>0</v>
      </c>
      <c r="DB376" s="166" t="b">
        <f t="shared" si="200"/>
        <v>0</v>
      </c>
      <c r="DC376" s="164" t="str">
        <f t="shared" si="201"/>
        <v/>
      </c>
      <c r="DD376" s="166" t="str">
        <f t="shared" si="202"/>
        <v/>
      </c>
      <c r="DE376" s="164" t="str">
        <f t="shared" si="203"/>
        <v/>
      </c>
      <c r="DF376" s="166" t="str">
        <f t="shared" si="204"/>
        <v/>
      </c>
      <c r="DG376" s="164" t="str">
        <f t="shared" si="205"/>
        <v/>
      </c>
      <c r="DH376" s="166" t="str">
        <f t="shared" si="206"/>
        <v/>
      </c>
      <c r="DI376" s="164" t="str">
        <f>IFERROR(INDEX(DC$359:DC$407,_xlfn.AGGREGATE(15,6,(ROW(DC$359:DC$407)-ROW(DC$359)+1)/(DC$359:DC$407&lt;&gt;""),ROWS(DI$1:DI18))),"")</f>
        <v/>
      </c>
      <c r="DJ376" s="165" t="str">
        <f>IFERROR(INDEX(DD$359:DD$407,_xlfn.AGGREGATE(15,6,(ROW(DD$359:DD$407)-ROW(DD$359)+1)/(DD$359:DD$407&lt;&gt;""),ROWS(DJ$1:DJ18))),"")</f>
        <v/>
      </c>
      <c r="DK376" s="166" t="str">
        <f t="shared" si="207"/>
        <v/>
      </c>
      <c r="DL376" s="164" t="str">
        <f>IFERROR(INDEX(DE$359:DE$407,_xlfn.AGGREGATE(15,6,(ROW(DE$359:DE$407)-ROW(DE$359)+1)/(DE$359:DE$407&lt;&gt;""),ROWS(DL$1:DL18))),"")</f>
        <v/>
      </c>
      <c r="DM376" s="165" t="str">
        <f>IFERROR(INDEX(DF$359:DF$407,_xlfn.AGGREGATE(15,6,(ROW(DF$359:DF$407)-ROW(DF$359)+1)/(DF$359:DF$407&lt;&gt;""),ROWS(DM$1:DM18))),"")</f>
        <v/>
      </c>
      <c r="DN376" s="166" t="str">
        <f t="shared" si="208"/>
        <v/>
      </c>
      <c r="DO376" s="164" t="str">
        <f>IFERROR(INDEX(DG$359:DG$407,_xlfn.AGGREGATE(15,6,(ROW(DG$359:DG$407)-ROW(DG$359)+1)/(DG$359:DG$407&lt;&gt;""),ROWS(DO$1:DO18))),"")</f>
        <v/>
      </c>
      <c r="DP376" s="165" t="str">
        <f>IFERROR(INDEX(DH$359:DH$407,_xlfn.AGGREGATE(15,6,(ROW(DH$359:DH$407)-ROW(DH$359)+1)/(DH$359:DH$407&lt;&gt;""),ROWS(DP$1:DP18))),"")</f>
        <v/>
      </c>
      <c r="DQ376" s="166" t="str">
        <f t="shared" si="209"/>
        <v/>
      </c>
      <c r="DV376" s="145">
        <v>2032</v>
      </c>
      <c r="DW376" s="235" t="e">
        <f t="shared" ca="1" si="193"/>
        <v>#REF!</v>
      </c>
    </row>
    <row r="377" spans="1:135" ht="13.8" x14ac:dyDescent="0.45">
      <c r="A377" s="210" t="str">
        <f>$A$64</f>
        <v>Ambitious Cases</v>
      </c>
      <c r="B377" s="128">
        <v>2030</v>
      </c>
      <c r="C377" s="1070"/>
      <c r="D377" s="1050"/>
      <c r="E377" s="1069"/>
      <c r="F377" s="1075"/>
      <c r="G377" s="1052"/>
      <c r="H377" s="1036"/>
      <c r="I377" s="1112"/>
      <c r="J377" s="247"/>
      <c r="K377" s="245"/>
      <c r="L377" s="246"/>
      <c r="M377" s="245"/>
      <c r="N377" s="29" t="s">
        <v>119</v>
      </c>
      <c r="O377" s="120"/>
      <c r="P377" s="120"/>
      <c r="Q377" s="120"/>
      <c r="R377" s="29">
        <v>16</v>
      </c>
      <c r="S377" s="238" t="str">
        <f t="shared" si="194"/>
        <v/>
      </c>
      <c r="T377" s="238" t="str">
        <f t="shared" si="195"/>
        <v/>
      </c>
      <c r="U377" s="238" t="str">
        <f t="shared" si="196"/>
        <v/>
      </c>
      <c r="W377" s="238" t="e">
        <f t="shared" si="197"/>
        <v>#N/A</v>
      </c>
      <c r="X377" s="238" t="e">
        <f t="shared" si="198"/>
        <v>#N/A</v>
      </c>
      <c r="Y377" s="238" t="e">
        <f t="shared" si="199"/>
        <v>#N/A</v>
      </c>
      <c r="AA377" s="1133">
        <v>289.8</v>
      </c>
      <c r="AB377" s="1133">
        <v>321.08927903679051</v>
      </c>
      <c r="AC377" s="1133">
        <v>352.37855807358102</v>
      </c>
      <c r="AD377" s="89"/>
      <c r="AE377" s="89"/>
      <c r="AF377" s="89"/>
      <c r="AG377" s="89"/>
      <c r="AH377" s="89"/>
      <c r="AI377" s="89"/>
      <c r="AJ377" s="89"/>
      <c r="AK377" s="89"/>
      <c r="AL377" s="89"/>
      <c r="AM377" s="89"/>
      <c r="AN377" s="89"/>
      <c r="BR377" s="180">
        <v>2028</v>
      </c>
      <c r="BS377" s="22">
        <v>14</v>
      </c>
      <c r="BT377" s="198" t="e">
        <f t="shared" si="210"/>
        <v>#DIV/0!</v>
      </c>
      <c r="BU377" s="276" t="e">
        <f t="shared" si="211"/>
        <v>#DIV/0!</v>
      </c>
      <c r="BV377" s="205" t="e">
        <f t="shared" si="212"/>
        <v>#DIV/0!</v>
      </c>
      <c r="BY377" s="180">
        <v>2028</v>
      </c>
      <c r="BZ377" s="22">
        <v>14</v>
      </c>
      <c r="CA377" s="198" t="e">
        <f t="shared" ca="1" si="213"/>
        <v>#REF!</v>
      </c>
      <c r="CB377" s="198" t="e">
        <f t="shared" ca="1" si="214"/>
        <v>#REF!</v>
      </c>
      <c r="CC377" s="276" t="e">
        <f t="shared" ca="1" si="225"/>
        <v>#REF!</v>
      </c>
      <c r="CD377" s="205" t="e">
        <f t="shared" ca="1" si="215"/>
        <v>#REF!</v>
      </c>
      <c r="CG377" s="180">
        <v>2028</v>
      </c>
      <c r="CH377" s="22">
        <v>14</v>
      </c>
      <c r="CI377" s="198" t="e">
        <f t="shared" ca="1" si="216"/>
        <v>#REF!</v>
      </c>
      <c r="CJ377" s="198" t="e">
        <f t="shared" ca="1" si="217"/>
        <v>#REF!</v>
      </c>
      <c r="CK377" s="198" t="e">
        <f t="shared" ca="1" si="218"/>
        <v>#REF!</v>
      </c>
      <c r="CL377" s="276" t="e">
        <f t="shared" ca="1" si="219"/>
        <v>#REF!</v>
      </c>
      <c r="CM377" s="205" t="e">
        <f t="shared" ca="1" si="220"/>
        <v>#REF!</v>
      </c>
      <c r="CP377" s="180">
        <v>2028</v>
      </c>
      <c r="CQ377" s="22">
        <v>14</v>
      </c>
      <c r="CR377" s="198" t="e">
        <f t="shared" ca="1" si="221"/>
        <v>#REF!</v>
      </c>
      <c r="CS377" s="276" t="e">
        <f t="shared" ca="1" si="222"/>
        <v>#REF!</v>
      </c>
      <c r="CT377" s="205" t="e">
        <f t="shared" ca="1" si="223"/>
        <v>#REF!</v>
      </c>
      <c r="CZ377" s="164" t="b">
        <f t="shared" si="200"/>
        <v>0</v>
      </c>
      <c r="DA377" s="165" t="b">
        <f t="shared" si="200"/>
        <v>0</v>
      </c>
      <c r="DB377" s="166" t="b">
        <f t="shared" si="200"/>
        <v>0</v>
      </c>
      <c r="DC377" s="164" t="str">
        <f t="shared" si="201"/>
        <v/>
      </c>
      <c r="DD377" s="166" t="str">
        <f t="shared" si="202"/>
        <v/>
      </c>
      <c r="DE377" s="164" t="str">
        <f t="shared" si="203"/>
        <v/>
      </c>
      <c r="DF377" s="166" t="str">
        <f t="shared" si="204"/>
        <v/>
      </c>
      <c r="DG377" s="164" t="str">
        <f t="shared" si="205"/>
        <v/>
      </c>
      <c r="DH377" s="166" t="str">
        <f t="shared" si="206"/>
        <v/>
      </c>
      <c r="DI377" s="164" t="str">
        <f>IFERROR(INDEX(DC$359:DC$407,_xlfn.AGGREGATE(15,6,(ROW(DC$359:DC$407)-ROW(DC$359)+1)/(DC$359:DC$407&lt;&gt;""),ROWS(DI$1:DI19))),"")</f>
        <v/>
      </c>
      <c r="DJ377" s="165" t="str">
        <f>IFERROR(INDEX(DD$359:DD$407,_xlfn.AGGREGATE(15,6,(ROW(DD$359:DD$407)-ROW(DD$359)+1)/(DD$359:DD$407&lt;&gt;""),ROWS(DJ$1:DJ19))),"")</f>
        <v/>
      </c>
      <c r="DK377" s="166" t="str">
        <f t="shared" si="207"/>
        <v/>
      </c>
      <c r="DL377" s="164" t="str">
        <f>IFERROR(INDEX(DE$359:DE$407,_xlfn.AGGREGATE(15,6,(ROW(DE$359:DE$407)-ROW(DE$359)+1)/(DE$359:DE$407&lt;&gt;""),ROWS(DL$1:DL19))),"")</f>
        <v/>
      </c>
      <c r="DM377" s="165" t="str">
        <f>IFERROR(INDEX(DF$359:DF$407,_xlfn.AGGREGATE(15,6,(ROW(DF$359:DF$407)-ROW(DF$359)+1)/(DF$359:DF$407&lt;&gt;""),ROWS(DM$1:DM19))),"")</f>
        <v/>
      </c>
      <c r="DN377" s="166" t="str">
        <f t="shared" si="208"/>
        <v/>
      </c>
      <c r="DO377" s="164" t="str">
        <f>IFERROR(INDEX(DG$359:DG$407,_xlfn.AGGREGATE(15,6,(ROW(DG$359:DG$407)-ROW(DG$359)+1)/(DG$359:DG$407&lt;&gt;""),ROWS(DO$1:DO19))),"")</f>
        <v/>
      </c>
      <c r="DP377" s="165" t="str">
        <f>IFERROR(INDEX(DH$359:DH$407,_xlfn.AGGREGATE(15,6,(ROW(DH$359:DH$407)-ROW(DH$359)+1)/(DH$359:DH$407&lt;&gt;""),ROWS(DP$1:DP19))),"")</f>
        <v/>
      </c>
      <c r="DQ377" s="166" t="str">
        <f t="shared" si="209"/>
        <v/>
      </c>
      <c r="DV377" s="145">
        <v>2033</v>
      </c>
      <c r="DW377" s="235" t="e">
        <f t="shared" ca="1" si="193"/>
        <v>#REF!</v>
      </c>
    </row>
    <row r="378" spans="1:135" ht="13.8" x14ac:dyDescent="0.45">
      <c r="A378" s="211" t="str">
        <f>$A$65</f>
        <v>Maximum Cases</v>
      </c>
      <c r="B378" s="128">
        <v>2031</v>
      </c>
      <c r="C378" s="1070"/>
      <c r="D378" s="1050"/>
      <c r="E378" s="1069"/>
      <c r="F378" s="1075"/>
      <c r="G378" s="1052"/>
      <c r="H378" s="1036"/>
      <c r="I378" s="1112"/>
      <c r="J378" s="247"/>
      <c r="K378" s="245"/>
      <c r="L378" s="246"/>
      <c r="M378" s="245"/>
      <c r="N378" s="29" t="s">
        <v>119</v>
      </c>
      <c r="O378" s="120"/>
      <c r="P378" s="120"/>
      <c r="Q378" s="120"/>
      <c r="R378" s="29">
        <v>17</v>
      </c>
      <c r="S378" s="238" t="str">
        <f t="shared" si="194"/>
        <v/>
      </c>
      <c r="T378" s="238" t="str">
        <f t="shared" si="195"/>
        <v/>
      </c>
      <c r="U378" s="238" t="str">
        <f t="shared" si="196"/>
        <v/>
      </c>
      <c r="W378" s="238" t="e">
        <f t="shared" si="197"/>
        <v>#N/A</v>
      </c>
      <c r="X378" s="238" t="e">
        <f t="shared" si="198"/>
        <v>#N/A</v>
      </c>
      <c r="Y378" s="238" t="e">
        <f t="shared" si="199"/>
        <v>#N/A</v>
      </c>
      <c r="AA378" s="1133">
        <v>292.38504566210042</v>
      </c>
      <c r="AB378" s="1133">
        <v>324.51569785489437</v>
      </c>
      <c r="AC378" s="1133">
        <v>356.64635004768832</v>
      </c>
      <c r="AD378" s="89"/>
      <c r="AE378" s="89"/>
      <c r="AF378" s="89"/>
      <c r="AG378" s="89"/>
      <c r="AH378" s="89"/>
      <c r="AI378" s="89"/>
      <c r="AJ378" s="89"/>
      <c r="AK378" s="89"/>
      <c r="AL378" s="89"/>
      <c r="AM378" s="89"/>
      <c r="AN378" s="89"/>
      <c r="BR378" s="180">
        <v>2029</v>
      </c>
      <c r="BS378" s="22">
        <v>15</v>
      </c>
      <c r="BT378" s="198" t="e">
        <f t="shared" si="210"/>
        <v>#DIV/0!</v>
      </c>
      <c r="BU378" s="276" t="e">
        <f t="shared" si="211"/>
        <v>#DIV/0!</v>
      </c>
      <c r="BV378" s="205" t="e">
        <f t="shared" si="212"/>
        <v>#DIV/0!</v>
      </c>
      <c r="BY378" s="180">
        <v>2029</v>
      </c>
      <c r="BZ378" s="22">
        <v>15</v>
      </c>
      <c r="CA378" s="198" t="e">
        <f t="shared" ca="1" si="213"/>
        <v>#REF!</v>
      </c>
      <c r="CB378" s="198" t="e">
        <f t="shared" ca="1" si="214"/>
        <v>#REF!</v>
      </c>
      <c r="CC378" s="276" t="e">
        <f t="shared" ca="1" si="225"/>
        <v>#REF!</v>
      </c>
      <c r="CD378" s="205" t="e">
        <f t="shared" ca="1" si="215"/>
        <v>#REF!</v>
      </c>
      <c r="CG378" s="180">
        <v>2029</v>
      </c>
      <c r="CH378" s="22">
        <v>15</v>
      </c>
      <c r="CI378" s="198" t="e">
        <f t="shared" ca="1" si="216"/>
        <v>#REF!</v>
      </c>
      <c r="CJ378" s="198" t="e">
        <f t="shared" ca="1" si="217"/>
        <v>#REF!</v>
      </c>
      <c r="CK378" s="198" t="e">
        <f t="shared" ca="1" si="218"/>
        <v>#REF!</v>
      </c>
      <c r="CL378" s="276" t="e">
        <f t="shared" ca="1" si="219"/>
        <v>#REF!</v>
      </c>
      <c r="CM378" s="205" t="e">
        <f t="shared" ca="1" si="220"/>
        <v>#REF!</v>
      </c>
      <c r="CP378" s="180">
        <v>2029</v>
      </c>
      <c r="CQ378" s="22">
        <v>15</v>
      </c>
      <c r="CR378" s="198" t="e">
        <f t="shared" ca="1" si="221"/>
        <v>#REF!</v>
      </c>
      <c r="CS378" s="276" t="e">
        <f t="shared" ca="1" si="222"/>
        <v>#REF!</v>
      </c>
      <c r="CT378" s="205" t="e">
        <f t="shared" ca="1" si="223"/>
        <v>#REF!</v>
      </c>
      <c r="CZ378" s="164" t="b">
        <f t="shared" si="200"/>
        <v>0</v>
      </c>
      <c r="DA378" s="165" t="b">
        <f t="shared" si="200"/>
        <v>0</v>
      </c>
      <c r="DB378" s="166" t="b">
        <f t="shared" si="200"/>
        <v>0</v>
      </c>
      <c r="DC378" s="164" t="str">
        <f t="shared" si="201"/>
        <v/>
      </c>
      <c r="DD378" s="166" t="str">
        <f t="shared" si="202"/>
        <v/>
      </c>
      <c r="DE378" s="164" t="str">
        <f t="shared" si="203"/>
        <v/>
      </c>
      <c r="DF378" s="166" t="str">
        <f t="shared" si="204"/>
        <v/>
      </c>
      <c r="DG378" s="164" t="str">
        <f t="shared" si="205"/>
        <v/>
      </c>
      <c r="DH378" s="166" t="str">
        <f t="shared" si="206"/>
        <v/>
      </c>
      <c r="DI378" s="164" t="str">
        <f>IFERROR(INDEX(DC$359:DC$407,_xlfn.AGGREGATE(15,6,(ROW(DC$359:DC$407)-ROW(DC$359)+1)/(DC$359:DC$407&lt;&gt;""),ROWS(DI$1:DI20))),"")</f>
        <v/>
      </c>
      <c r="DJ378" s="165" t="str">
        <f>IFERROR(INDEX(DD$359:DD$407,_xlfn.AGGREGATE(15,6,(ROW(DD$359:DD$407)-ROW(DD$359)+1)/(DD$359:DD$407&lt;&gt;""),ROWS(DJ$1:DJ20))),"")</f>
        <v/>
      </c>
      <c r="DK378" s="166" t="str">
        <f t="shared" si="207"/>
        <v/>
      </c>
      <c r="DL378" s="164" t="str">
        <f>IFERROR(INDEX(DE$359:DE$407,_xlfn.AGGREGATE(15,6,(ROW(DE$359:DE$407)-ROW(DE$359)+1)/(DE$359:DE$407&lt;&gt;""),ROWS(DL$1:DL20))),"")</f>
        <v/>
      </c>
      <c r="DM378" s="165" t="str">
        <f>IFERROR(INDEX(DF$359:DF$407,_xlfn.AGGREGATE(15,6,(ROW(DF$359:DF$407)-ROW(DF$359)+1)/(DF$359:DF$407&lt;&gt;""),ROWS(DM$1:DM20))),"")</f>
        <v/>
      </c>
      <c r="DN378" s="166" t="str">
        <f t="shared" si="208"/>
        <v/>
      </c>
      <c r="DO378" s="164" t="str">
        <f>IFERROR(INDEX(DG$359:DG$407,_xlfn.AGGREGATE(15,6,(ROW(DG$359:DG$407)-ROW(DG$359)+1)/(DG$359:DG$407&lt;&gt;""),ROWS(DO$1:DO20))),"")</f>
        <v/>
      </c>
      <c r="DP378" s="165" t="str">
        <f>IFERROR(INDEX(DH$359:DH$407,_xlfn.AGGREGATE(15,6,(ROW(DH$359:DH$407)-ROW(DH$359)+1)/(DH$359:DH$407&lt;&gt;""),ROWS(DP$1:DP20))),"")</f>
        <v/>
      </c>
      <c r="DQ378" s="166" t="str">
        <f t="shared" si="209"/>
        <v/>
      </c>
      <c r="DV378" s="145">
        <v>2034</v>
      </c>
      <c r="DW378" s="235" t="e">
        <f t="shared" ca="1" si="193"/>
        <v>#REF!</v>
      </c>
    </row>
    <row r="379" spans="1:135" ht="13.8" x14ac:dyDescent="0.45">
      <c r="B379" s="128">
        <v>2032</v>
      </c>
      <c r="C379" s="1070"/>
      <c r="D379" s="1050"/>
      <c r="E379" s="1069"/>
      <c r="F379" s="1075"/>
      <c r="G379" s="1052"/>
      <c r="H379" s="1036"/>
      <c r="I379" s="1112"/>
      <c r="J379" s="247"/>
      <c r="K379" s="245"/>
      <c r="L379" s="246"/>
      <c r="M379" s="245"/>
      <c r="N379" s="29" t="s">
        <v>119</v>
      </c>
      <c r="O379" s="120"/>
      <c r="P379" s="120"/>
      <c r="Q379" s="120"/>
      <c r="R379" s="29">
        <v>18</v>
      </c>
      <c r="S379" s="238" t="str">
        <f t="shared" si="194"/>
        <v/>
      </c>
      <c r="T379" s="238" t="str">
        <f t="shared" si="195"/>
        <v/>
      </c>
      <c r="U379" s="238" t="str">
        <f t="shared" si="196"/>
        <v/>
      </c>
      <c r="W379" s="238" t="e">
        <f t="shared" si="197"/>
        <v>#N/A</v>
      </c>
      <c r="X379" s="238" t="e">
        <f t="shared" si="198"/>
        <v>#N/A</v>
      </c>
      <c r="Y379" s="238" t="e">
        <f t="shared" si="199"/>
        <v>#N/A</v>
      </c>
      <c r="AA379" s="1133">
        <v>296.43333333333339</v>
      </c>
      <c r="AB379" s="1133">
        <v>328.64345039472619</v>
      </c>
      <c r="AC379" s="1133">
        <v>360.85356745611898</v>
      </c>
      <c r="AD379" s="89"/>
      <c r="AE379" s="89"/>
      <c r="AF379" s="89"/>
      <c r="AG379" s="89"/>
      <c r="AH379" s="89"/>
      <c r="AI379" s="89"/>
      <c r="AJ379" s="89"/>
      <c r="AK379" s="89"/>
      <c r="AL379" s="89"/>
      <c r="AM379" s="89"/>
      <c r="AN379" s="89"/>
      <c r="BR379" s="180">
        <v>2030</v>
      </c>
      <c r="BS379" s="22">
        <v>16</v>
      </c>
      <c r="BT379" s="198" t="e">
        <f t="shared" si="210"/>
        <v>#DIV/0!</v>
      </c>
      <c r="BU379" s="276" t="e">
        <f t="shared" si="211"/>
        <v>#DIV/0!</v>
      </c>
      <c r="BV379" s="205" t="e">
        <f t="shared" si="212"/>
        <v>#DIV/0!</v>
      </c>
      <c r="BY379" s="180">
        <v>2030</v>
      </c>
      <c r="BZ379" s="22">
        <v>16</v>
      </c>
      <c r="CA379" s="198" t="e">
        <f t="shared" ca="1" si="213"/>
        <v>#REF!</v>
      </c>
      <c r="CB379" s="198" t="e">
        <f t="shared" ca="1" si="214"/>
        <v>#REF!</v>
      </c>
      <c r="CC379" s="276" t="e">
        <f t="shared" ca="1" si="225"/>
        <v>#REF!</v>
      </c>
      <c r="CD379" s="205" t="e">
        <f t="shared" ca="1" si="215"/>
        <v>#REF!</v>
      </c>
      <c r="CG379" s="180">
        <v>2030</v>
      </c>
      <c r="CH379" s="22">
        <v>16</v>
      </c>
      <c r="CI379" s="198" t="e">
        <f t="shared" ca="1" si="216"/>
        <v>#REF!</v>
      </c>
      <c r="CJ379" s="198" t="e">
        <f t="shared" ca="1" si="217"/>
        <v>#REF!</v>
      </c>
      <c r="CK379" s="198" t="e">
        <f t="shared" ca="1" si="218"/>
        <v>#REF!</v>
      </c>
      <c r="CL379" s="276" t="e">
        <f t="shared" ca="1" si="219"/>
        <v>#REF!</v>
      </c>
      <c r="CM379" s="205" t="e">
        <f t="shared" ca="1" si="220"/>
        <v>#REF!</v>
      </c>
      <c r="CP379" s="180">
        <v>2030</v>
      </c>
      <c r="CQ379" s="22">
        <v>16</v>
      </c>
      <c r="CR379" s="198" t="e">
        <f t="shared" ca="1" si="221"/>
        <v>#REF!</v>
      </c>
      <c r="CS379" s="276" t="e">
        <f t="shared" ca="1" si="222"/>
        <v>#REF!</v>
      </c>
      <c r="CT379" s="205" t="e">
        <f t="shared" ca="1" si="223"/>
        <v>#REF!</v>
      </c>
      <c r="CZ379" s="164" t="b">
        <f t="shared" si="200"/>
        <v>0</v>
      </c>
      <c r="DA379" s="165" t="b">
        <f t="shared" si="200"/>
        <v>0</v>
      </c>
      <c r="DB379" s="166" t="b">
        <f t="shared" si="200"/>
        <v>0</v>
      </c>
      <c r="DC379" s="164" t="str">
        <f t="shared" si="201"/>
        <v/>
      </c>
      <c r="DD379" s="166" t="str">
        <f t="shared" si="202"/>
        <v/>
      </c>
      <c r="DE379" s="164" t="str">
        <f t="shared" si="203"/>
        <v/>
      </c>
      <c r="DF379" s="166" t="str">
        <f t="shared" si="204"/>
        <v/>
      </c>
      <c r="DG379" s="164" t="str">
        <f t="shared" si="205"/>
        <v/>
      </c>
      <c r="DH379" s="166" t="str">
        <f t="shared" si="206"/>
        <v/>
      </c>
      <c r="DI379" s="164" t="str">
        <f>IFERROR(INDEX(DC$359:DC$407,_xlfn.AGGREGATE(15,6,(ROW(DC$359:DC$407)-ROW(DC$359)+1)/(DC$359:DC$407&lt;&gt;""),ROWS(DI$1:DI21))),"")</f>
        <v/>
      </c>
      <c r="DJ379" s="165" t="str">
        <f>IFERROR(INDEX(DD$359:DD$407,_xlfn.AGGREGATE(15,6,(ROW(DD$359:DD$407)-ROW(DD$359)+1)/(DD$359:DD$407&lt;&gt;""),ROWS(DJ$1:DJ21))),"")</f>
        <v/>
      </c>
      <c r="DK379" s="166" t="str">
        <f t="shared" si="207"/>
        <v/>
      </c>
      <c r="DL379" s="164" t="str">
        <f>IFERROR(INDEX(DE$359:DE$407,_xlfn.AGGREGATE(15,6,(ROW(DE$359:DE$407)-ROW(DE$359)+1)/(DE$359:DE$407&lt;&gt;""),ROWS(DL$1:DL21))),"")</f>
        <v/>
      </c>
      <c r="DM379" s="165" t="str">
        <f>IFERROR(INDEX(DF$359:DF$407,_xlfn.AGGREGATE(15,6,(ROW(DF$359:DF$407)-ROW(DF$359)+1)/(DF$359:DF$407&lt;&gt;""),ROWS(DM$1:DM21))),"")</f>
        <v/>
      </c>
      <c r="DN379" s="166" t="str">
        <f t="shared" si="208"/>
        <v/>
      </c>
      <c r="DO379" s="164" t="str">
        <f>IFERROR(INDEX(DG$359:DG$407,_xlfn.AGGREGATE(15,6,(ROW(DG$359:DG$407)-ROW(DG$359)+1)/(DG$359:DG$407&lt;&gt;""),ROWS(DO$1:DO21))),"")</f>
        <v/>
      </c>
      <c r="DP379" s="165" t="str">
        <f>IFERROR(INDEX(DH$359:DH$407,_xlfn.AGGREGATE(15,6,(ROW(DH$359:DH$407)-ROW(DH$359)+1)/(DH$359:DH$407&lt;&gt;""),ROWS(DP$1:DP21))),"")</f>
        <v/>
      </c>
      <c r="DQ379" s="166" t="str">
        <f t="shared" si="209"/>
        <v/>
      </c>
      <c r="DV379" s="145">
        <v>2035</v>
      </c>
      <c r="DW379" s="235" t="e">
        <f t="shared" ca="1" si="193"/>
        <v>#REF!</v>
      </c>
    </row>
    <row r="380" spans="1:135" ht="13.8" x14ac:dyDescent="0.45">
      <c r="B380" s="128">
        <v>2033</v>
      </c>
      <c r="C380" s="1070"/>
      <c r="D380" s="1050"/>
      <c r="E380" s="1069"/>
      <c r="F380" s="1075"/>
      <c r="G380" s="1052"/>
      <c r="H380" s="1036"/>
      <c r="I380" s="1112"/>
      <c r="J380" s="247"/>
      <c r="K380" s="245"/>
      <c r="L380" s="246"/>
      <c r="M380" s="245"/>
      <c r="N380" s="29" t="s">
        <v>119</v>
      </c>
      <c r="O380" s="120"/>
      <c r="P380" s="120"/>
      <c r="Q380" s="120"/>
      <c r="R380" s="29">
        <v>19</v>
      </c>
      <c r="S380" s="238" t="str">
        <f t="shared" si="194"/>
        <v/>
      </c>
      <c r="T380" s="238" t="str">
        <f t="shared" si="195"/>
        <v/>
      </c>
      <c r="U380" s="238" t="str">
        <f t="shared" si="196"/>
        <v/>
      </c>
      <c r="W380" s="238" t="e">
        <f t="shared" si="197"/>
        <v>#N/A</v>
      </c>
      <c r="X380" s="238" t="e">
        <f t="shared" si="198"/>
        <v>#N/A</v>
      </c>
      <c r="Y380" s="238" t="e">
        <f t="shared" si="199"/>
        <v>#N/A</v>
      </c>
      <c r="AA380" s="1133">
        <v>300.48162100456619</v>
      </c>
      <c r="AB380" s="1133">
        <v>332.684016103646</v>
      </c>
      <c r="AC380" s="1133">
        <v>364.88641120272581</v>
      </c>
      <c r="AD380" s="89"/>
      <c r="AE380" s="89"/>
      <c r="AF380" s="89"/>
      <c r="AG380" s="89"/>
      <c r="AH380" s="89"/>
      <c r="AI380" s="89"/>
      <c r="AJ380" s="89"/>
      <c r="AK380" s="89"/>
      <c r="AL380" s="89"/>
      <c r="AM380" s="89"/>
      <c r="AN380" s="89"/>
      <c r="BR380" s="180">
        <v>2031</v>
      </c>
      <c r="BS380" s="22">
        <v>17</v>
      </c>
      <c r="BT380" s="198" t="e">
        <f t="shared" si="210"/>
        <v>#DIV/0!</v>
      </c>
      <c r="BU380" s="276" t="e">
        <f t="shared" si="211"/>
        <v>#DIV/0!</v>
      </c>
      <c r="BV380" s="205" t="e">
        <f t="shared" si="212"/>
        <v>#DIV/0!</v>
      </c>
      <c r="BY380" s="180">
        <v>2031</v>
      </c>
      <c r="BZ380" s="22">
        <v>17</v>
      </c>
      <c r="CA380" s="198" t="e">
        <f t="shared" ca="1" si="213"/>
        <v>#REF!</v>
      </c>
      <c r="CB380" s="198" t="e">
        <f t="shared" ca="1" si="214"/>
        <v>#REF!</v>
      </c>
      <c r="CC380" s="276" t="e">
        <f t="shared" ca="1" si="225"/>
        <v>#REF!</v>
      </c>
      <c r="CD380" s="205" t="e">
        <f t="shared" ca="1" si="215"/>
        <v>#REF!</v>
      </c>
      <c r="CG380" s="180">
        <v>2031</v>
      </c>
      <c r="CH380" s="22">
        <v>17</v>
      </c>
      <c r="CI380" s="198" t="e">
        <f t="shared" ca="1" si="216"/>
        <v>#REF!</v>
      </c>
      <c r="CJ380" s="198" t="e">
        <f t="shared" ca="1" si="217"/>
        <v>#REF!</v>
      </c>
      <c r="CK380" s="198" t="e">
        <f t="shared" ca="1" si="218"/>
        <v>#REF!</v>
      </c>
      <c r="CL380" s="276" t="e">
        <f t="shared" ca="1" si="219"/>
        <v>#REF!</v>
      </c>
      <c r="CM380" s="205" t="e">
        <f t="shared" ca="1" si="220"/>
        <v>#REF!</v>
      </c>
      <c r="CP380" s="180">
        <v>2031</v>
      </c>
      <c r="CQ380" s="22">
        <v>17</v>
      </c>
      <c r="CR380" s="198" t="e">
        <f t="shared" ca="1" si="221"/>
        <v>#REF!</v>
      </c>
      <c r="CS380" s="276" t="e">
        <f t="shared" ca="1" si="222"/>
        <v>#REF!</v>
      </c>
      <c r="CT380" s="205" t="e">
        <f t="shared" ca="1" si="223"/>
        <v>#REF!</v>
      </c>
      <c r="CZ380" s="164" t="b">
        <f t="shared" si="200"/>
        <v>0</v>
      </c>
      <c r="DA380" s="165" t="b">
        <f t="shared" si="200"/>
        <v>0</v>
      </c>
      <c r="DB380" s="166" t="b">
        <f t="shared" si="200"/>
        <v>0</v>
      </c>
      <c r="DC380" s="164" t="str">
        <f t="shared" si="201"/>
        <v/>
      </c>
      <c r="DD380" s="166" t="str">
        <f t="shared" si="202"/>
        <v/>
      </c>
      <c r="DE380" s="164" t="str">
        <f t="shared" si="203"/>
        <v/>
      </c>
      <c r="DF380" s="166" t="str">
        <f t="shared" si="204"/>
        <v/>
      </c>
      <c r="DG380" s="164" t="str">
        <f t="shared" si="205"/>
        <v/>
      </c>
      <c r="DH380" s="166" t="str">
        <f t="shared" si="206"/>
        <v/>
      </c>
      <c r="DI380" s="164" t="str">
        <f>IFERROR(INDEX(DC$359:DC$407,_xlfn.AGGREGATE(15,6,(ROW(DC$359:DC$407)-ROW(DC$359)+1)/(DC$359:DC$407&lt;&gt;""),ROWS(DI$1:DI22))),"")</f>
        <v/>
      </c>
      <c r="DJ380" s="165" t="str">
        <f>IFERROR(INDEX(DD$359:DD$407,_xlfn.AGGREGATE(15,6,(ROW(DD$359:DD$407)-ROW(DD$359)+1)/(DD$359:DD$407&lt;&gt;""),ROWS(DJ$1:DJ22))),"")</f>
        <v/>
      </c>
      <c r="DK380" s="166" t="str">
        <f t="shared" si="207"/>
        <v/>
      </c>
      <c r="DL380" s="164" t="str">
        <f>IFERROR(INDEX(DE$359:DE$407,_xlfn.AGGREGATE(15,6,(ROW(DE$359:DE$407)-ROW(DE$359)+1)/(DE$359:DE$407&lt;&gt;""),ROWS(DL$1:DL22))),"")</f>
        <v/>
      </c>
      <c r="DM380" s="165" t="str">
        <f>IFERROR(INDEX(DF$359:DF$407,_xlfn.AGGREGATE(15,6,(ROW(DF$359:DF$407)-ROW(DF$359)+1)/(DF$359:DF$407&lt;&gt;""),ROWS(DM$1:DM22))),"")</f>
        <v/>
      </c>
      <c r="DN380" s="166" t="str">
        <f t="shared" si="208"/>
        <v/>
      </c>
      <c r="DO380" s="164" t="str">
        <f>IFERROR(INDEX(DG$359:DG$407,_xlfn.AGGREGATE(15,6,(ROW(DG$359:DG$407)-ROW(DG$359)+1)/(DG$359:DG$407&lt;&gt;""),ROWS(DO$1:DO22))),"")</f>
        <v/>
      </c>
      <c r="DP380" s="165" t="str">
        <f>IFERROR(INDEX(DH$359:DH$407,_xlfn.AGGREGATE(15,6,(ROW(DH$359:DH$407)-ROW(DH$359)+1)/(DH$359:DH$407&lt;&gt;""),ROWS(DP$1:DP22))),"")</f>
        <v/>
      </c>
      <c r="DQ380" s="166" t="str">
        <f t="shared" si="209"/>
        <v/>
      </c>
      <c r="DV380" s="145">
        <v>2036</v>
      </c>
      <c r="DW380" s="235" t="e">
        <f t="shared" ca="1" si="193"/>
        <v>#REF!</v>
      </c>
    </row>
    <row r="381" spans="1:135" ht="13.8" x14ac:dyDescent="0.45">
      <c r="B381" s="128">
        <v>2034</v>
      </c>
      <c r="C381" s="1070"/>
      <c r="D381" s="1050"/>
      <c r="E381" s="1069"/>
      <c r="F381" s="1075"/>
      <c r="G381" s="1052"/>
      <c r="H381" s="1036"/>
      <c r="I381" s="1112"/>
      <c r="J381" s="247"/>
      <c r="K381" s="245"/>
      <c r="L381" s="246"/>
      <c r="M381" s="245"/>
      <c r="N381" s="29" t="s">
        <v>119</v>
      </c>
      <c r="O381" s="120"/>
      <c r="P381" s="120"/>
      <c r="Q381" s="120"/>
      <c r="R381" s="29">
        <v>20</v>
      </c>
      <c r="S381" s="238" t="str">
        <f t="shared" si="194"/>
        <v/>
      </c>
      <c r="T381" s="238" t="str">
        <f t="shared" si="195"/>
        <v/>
      </c>
      <c r="U381" s="238" t="str">
        <f t="shared" si="196"/>
        <v/>
      </c>
      <c r="W381" s="238" t="e">
        <f t="shared" si="197"/>
        <v>#N/A</v>
      </c>
      <c r="X381" s="238" t="e">
        <f t="shared" si="198"/>
        <v>#N/A</v>
      </c>
      <c r="Y381" s="238" t="e">
        <f t="shared" si="199"/>
        <v>#N/A</v>
      </c>
      <c r="AA381" s="1133">
        <v>304.52990867579911</v>
      </c>
      <c r="AB381" s="1133">
        <v>336.64012647165691</v>
      </c>
      <c r="AC381" s="1133">
        <v>368.75034426751472</v>
      </c>
      <c r="AD381" s="89"/>
      <c r="AE381" s="89"/>
      <c r="AF381" s="89"/>
      <c r="AG381" s="89"/>
      <c r="AH381" s="89"/>
      <c r="AI381" s="89"/>
      <c r="AJ381" s="89"/>
      <c r="AK381" s="89"/>
      <c r="AL381" s="89"/>
      <c r="AM381" s="89"/>
      <c r="AN381" s="89"/>
      <c r="BR381" s="180">
        <v>2032</v>
      </c>
      <c r="BS381" s="22">
        <v>18</v>
      </c>
      <c r="BT381" s="198" t="e">
        <f t="shared" si="210"/>
        <v>#DIV/0!</v>
      </c>
      <c r="BU381" s="276" t="e">
        <f t="shared" si="211"/>
        <v>#DIV/0!</v>
      </c>
      <c r="BV381" s="205" t="e">
        <f t="shared" si="212"/>
        <v>#DIV/0!</v>
      </c>
      <c r="BY381" s="180">
        <v>2032</v>
      </c>
      <c r="BZ381" s="22">
        <v>18</v>
      </c>
      <c r="CA381" s="198" t="e">
        <f t="shared" ca="1" si="213"/>
        <v>#REF!</v>
      </c>
      <c r="CB381" s="198" t="e">
        <f t="shared" ca="1" si="214"/>
        <v>#REF!</v>
      </c>
      <c r="CC381" s="276" t="e">
        <f t="shared" ca="1" si="225"/>
        <v>#REF!</v>
      </c>
      <c r="CD381" s="205" t="e">
        <f t="shared" ca="1" si="215"/>
        <v>#REF!</v>
      </c>
      <c r="CG381" s="180">
        <v>2032</v>
      </c>
      <c r="CH381" s="22">
        <v>18</v>
      </c>
      <c r="CI381" s="198" t="e">
        <f t="shared" ca="1" si="216"/>
        <v>#REF!</v>
      </c>
      <c r="CJ381" s="198" t="e">
        <f t="shared" ca="1" si="217"/>
        <v>#REF!</v>
      </c>
      <c r="CK381" s="198" t="e">
        <f t="shared" ca="1" si="218"/>
        <v>#REF!</v>
      </c>
      <c r="CL381" s="276" t="e">
        <f t="shared" ca="1" si="219"/>
        <v>#REF!</v>
      </c>
      <c r="CM381" s="205" t="e">
        <f t="shared" ca="1" si="220"/>
        <v>#REF!</v>
      </c>
      <c r="CP381" s="180">
        <v>2032</v>
      </c>
      <c r="CQ381" s="22">
        <v>18</v>
      </c>
      <c r="CR381" s="198" t="e">
        <f t="shared" ca="1" si="221"/>
        <v>#REF!</v>
      </c>
      <c r="CS381" s="276" t="e">
        <f t="shared" ca="1" si="222"/>
        <v>#REF!</v>
      </c>
      <c r="CT381" s="205" t="e">
        <f t="shared" ca="1" si="223"/>
        <v>#REF!</v>
      </c>
      <c r="CZ381" s="164" t="b">
        <f t="shared" si="200"/>
        <v>0</v>
      </c>
      <c r="DA381" s="165" t="b">
        <f t="shared" si="200"/>
        <v>0</v>
      </c>
      <c r="DB381" s="166" t="b">
        <f t="shared" si="200"/>
        <v>0</v>
      </c>
      <c r="DC381" s="164" t="str">
        <f t="shared" si="201"/>
        <v/>
      </c>
      <c r="DD381" s="166" t="str">
        <f t="shared" si="202"/>
        <v/>
      </c>
      <c r="DE381" s="164" t="str">
        <f t="shared" si="203"/>
        <v/>
      </c>
      <c r="DF381" s="166" t="str">
        <f t="shared" si="204"/>
        <v/>
      </c>
      <c r="DG381" s="164" t="str">
        <f t="shared" si="205"/>
        <v/>
      </c>
      <c r="DH381" s="166" t="str">
        <f t="shared" si="206"/>
        <v/>
      </c>
      <c r="DI381" s="164" t="str">
        <f>IFERROR(INDEX(DC$359:DC$407,_xlfn.AGGREGATE(15,6,(ROW(DC$359:DC$407)-ROW(DC$359)+1)/(DC$359:DC$407&lt;&gt;""),ROWS(DI$1:DI23))),"")</f>
        <v/>
      </c>
      <c r="DJ381" s="165" t="str">
        <f>IFERROR(INDEX(DD$359:DD$407,_xlfn.AGGREGATE(15,6,(ROW(DD$359:DD$407)-ROW(DD$359)+1)/(DD$359:DD$407&lt;&gt;""),ROWS(DJ$1:DJ23))),"")</f>
        <v/>
      </c>
      <c r="DK381" s="166" t="str">
        <f t="shared" si="207"/>
        <v/>
      </c>
      <c r="DL381" s="164" t="str">
        <f>IFERROR(INDEX(DE$359:DE$407,_xlfn.AGGREGATE(15,6,(ROW(DE$359:DE$407)-ROW(DE$359)+1)/(DE$359:DE$407&lt;&gt;""),ROWS(DL$1:DL23))),"")</f>
        <v/>
      </c>
      <c r="DM381" s="165" t="str">
        <f>IFERROR(INDEX(DF$359:DF$407,_xlfn.AGGREGATE(15,6,(ROW(DF$359:DF$407)-ROW(DF$359)+1)/(DF$359:DF$407&lt;&gt;""),ROWS(DM$1:DM23))),"")</f>
        <v/>
      </c>
      <c r="DN381" s="166" t="str">
        <f t="shared" si="208"/>
        <v/>
      </c>
      <c r="DO381" s="164" t="str">
        <f>IFERROR(INDEX(DG$359:DG$407,_xlfn.AGGREGATE(15,6,(ROW(DG$359:DG$407)-ROW(DG$359)+1)/(DG$359:DG$407&lt;&gt;""),ROWS(DO$1:DO23))),"")</f>
        <v/>
      </c>
      <c r="DP381" s="165" t="str">
        <f>IFERROR(INDEX(DH$359:DH$407,_xlfn.AGGREGATE(15,6,(ROW(DH$359:DH$407)-ROW(DH$359)+1)/(DH$359:DH$407&lt;&gt;""),ROWS(DP$1:DP23))),"")</f>
        <v/>
      </c>
      <c r="DQ381" s="166" t="str">
        <f t="shared" si="209"/>
        <v/>
      </c>
      <c r="DV381" s="145">
        <v>2037</v>
      </c>
      <c r="DW381" s="235" t="e">
        <f t="shared" ca="1" si="193"/>
        <v>#REF!</v>
      </c>
    </row>
    <row r="382" spans="1:135" ht="13.8" x14ac:dyDescent="0.45">
      <c r="B382" s="128">
        <v>2035</v>
      </c>
      <c r="C382" s="1070"/>
      <c r="D382" s="1050"/>
      <c r="E382" s="1069"/>
      <c r="F382" s="1075"/>
      <c r="G382" s="1052"/>
      <c r="H382" s="1036"/>
      <c r="I382" s="1112"/>
      <c r="J382" s="247"/>
      <c r="K382" s="245"/>
      <c r="L382" s="246"/>
      <c r="M382" s="245"/>
      <c r="N382" s="29" t="s">
        <v>119</v>
      </c>
      <c r="O382" s="120"/>
      <c r="P382" s="120"/>
      <c r="Q382" s="120"/>
      <c r="R382" s="29">
        <v>21</v>
      </c>
      <c r="S382" s="238" t="str">
        <f t="shared" si="194"/>
        <v/>
      </c>
      <c r="T382" s="238" t="str">
        <f t="shared" si="195"/>
        <v/>
      </c>
      <c r="U382" s="238" t="str">
        <f t="shared" si="196"/>
        <v/>
      </c>
      <c r="W382" s="238" t="e">
        <f t="shared" si="197"/>
        <v>#N/A</v>
      </c>
      <c r="X382" s="238" t="e">
        <f t="shared" si="198"/>
        <v>#N/A</v>
      </c>
      <c r="Y382" s="238" t="e">
        <f t="shared" si="199"/>
        <v>#N/A</v>
      </c>
      <c r="AA382" s="1133">
        <v>308.57819634703196</v>
      </c>
      <c r="AB382" s="1133">
        <v>340.48837179829752</v>
      </c>
      <c r="AC382" s="1133">
        <v>372.39854724956308</v>
      </c>
      <c r="AD382" s="89"/>
      <c r="AE382" s="89"/>
      <c r="AF382" s="89"/>
      <c r="AG382" s="89"/>
      <c r="AH382" s="89"/>
      <c r="AI382" s="89"/>
      <c r="AJ382" s="89"/>
      <c r="AK382" s="89"/>
      <c r="AL382" s="89"/>
      <c r="AM382" s="89"/>
      <c r="AN382" s="89"/>
      <c r="BR382" s="180">
        <v>2033</v>
      </c>
      <c r="BS382" s="22">
        <v>19</v>
      </c>
      <c r="BT382" s="198" t="e">
        <f t="shared" si="210"/>
        <v>#DIV/0!</v>
      </c>
      <c r="BU382" s="276" t="e">
        <f t="shared" si="211"/>
        <v>#DIV/0!</v>
      </c>
      <c r="BV382" s="205" t="e">
        <f t="shared" si="212"/>
        <v>#DIV/0!</v>
      </c>
      <c r="BY382" s="180">
        <v>2033</v>
      </c>
      <c r="BZ382" s="22">
        <v>19</v>
      </c>
      <c r="CA382" s="198" t="e">
        <f t="shared" ca="1" si="213"/>
        <v>#REF!</v>
      </c>
      <c r="CB382" s="198" t="e">
        <f t="shared" ca="1" si="214"/>
        <v>#REF!</v>
      </c>
      <c r="CC382" s="276" t="e">
        <f t="shared" ca="1" si="225"/>
        <v>#REF!</v>
      </c>
      <c r="CD382" s="205" t="e">
        <f t="shared" ca="1" si="215"/>
        <v>#REF!</v>
      </c>
      <c r="CG382" s="180">
        <v>2033</v>
      </c>
      <c r="CH382" s="22">
        <v>19</v>
      </c>
      <c r="CI382" s="198" t="e">
        <f t="shared" ca="1" si="216"/>
        <v>#REF!</v>
      </c>
      <c r="CJ382" s="198" t="e">
        <f t="shared" ca="1" si="217"/>
        <v>#REF!</v>
      </c>
      <c r="CK382" s="198" t="e">
        <f t="shared" ca="1" si="218"/>
        <v>#REF!</v>
      </c>
      <c r="CL382" s="276" t="e">
        <f t="shared" ca="1" si="219"/>
        <v>#REF!</v>
      </c>
      <c r="CM382" s="205" t="e">
        <f t="shared" ca="1" si="220"/>
        <v>#REF!</v>
      </c>
      <c r="CP382" s="180">
        <v>2033</v>
      </c>
      <c r="CQ382" s="22">
        <v>19</v>
      </c>
      <c r="CR382" s="198" t="e">
        <f t="shared" ca="1" si="221"/>
        <v>#REF!</v>
      </c>
      <c r="CS382" s="276" t="e">
        <f t="shared" ca="1" si="222"/>
        <v>#REF!</v>
      </c>
      <c r="CT382" s="205" t="e">
        <f t="shared" ca="1" si="223"/>
        <v>#REF!</v>
      </c>
      <c r="CZ382" s="164" t="b">
        <f t="shared" si="200"/>
        <v>0</v>
      </c>
      <c r="DA382" s="165" t="b">
        <f t="shared" si="200"/>
        <v>0</v>
      </c>
      <c r="DB382" s="166" t="b">
        <f t="shared" si="200"/>
        <v>0</v>
      </c>
      <c r="DC382" s="164" t="str">
        <f t="shared" si="201"/>
        <v/>
      </c>
      <c r="DD382" s="166" t="str">
        <f t="shared" si="202"/>
        <v/>
      </c>
      <c r="DE382" s="164" t="str">
        <f t="shared" si="203"/>
        <v/>
      </c>
      <c r="DF382" s="166" t="str">
        <f t="shared" si="204"/>
        <v/>
      </c>
      <c r="DG382" s="164" t="str">
        <f t="shared" si="205"/>
        <v/>
      </c>
      <c r="DH382" s="166" t="str">
        <f t="shared" si="206"/>
        <v/>
      </c>
      <c r="DI382" s="164" t="str">
        <f>IFERROR(INDEX(DC$359:DC$407,_xlfn.AGGREGATE(15,6,(ROW(DC$359:DC$407)-ROW(DC$359)+1)/(DC$359:DC$407&lt;&gt;""),ROWS(DI$1:DI24))),"")</f>
        <v/>
      </c>
      <c r="DJ382" s="165" t="str">
        <f>IFERROR(INDEX(DD$359:DD$407,_xlfn.AGGREGATE(15,6,(ROW(DD$359:DD$407)-ROW(DD$359)+1)/(DD$359:DD$407&lt;&gt;""),ROWS(DJ$1:DJ24))),"")</f>
        <v/>
      </c>
      <c r="DK382" s="166" t="str">
        <f t="shared" si="207"/>
        <v/>
      </c>
      <c r="DL382" s="164" t="str">
        <f>IFERROR(INDEX(DE$359:DE$407,_xlfn.AGGREGATE(15,6,(ROW(DE$359:DE$407)-ROW(DE$359)+1)/(DE$359:DE$407&lt;&gt;""),ROWS(DL$1:DL24))),"")</f>
        <v/>
      </c>
      <c r="DM382" s="165" t="str">
        <f>IFERROR(INDEX(DF$359:DF$407,_xlfn.AGGREGATE(15,6,(ROW(DF$359:DF$407)-ROW(DF$359)+1)/(DF$359:DF$407&lt;&gt;""),ROWS(DM$1:DM24))),"")</f>
        <v/>
      </c>
      <c r="DN382" s="166" t="str">
        <f t="shared" si="208"/>
        <v/>
      </c>
      <c r="DO382" s="164" t="str">
        <f>IFERROR(INDEX(DG$359:DG$407,_xlfn.AGGREGATE(15,6,(ROW(DG$359:DG$407)-ROW(DG$359)+1)/(DG$359:DG$407&lt;&gt;""),ROWS(DO$1:DO24))),"")</f>
        <v/>
      </c>
      <c r="DP382" s="165" t="str">
        <f>IFERROR(INDEX(DH$359:DH$407,_xlfn.AGGREGATE(15,6,(ROW(DH$359:DH$407)-ROW(DH$359)+1)/(DH$359:DH$407&lt;&gt;""),ROWS(DP$1:DP24))),"")</f>
        <v/>
      </c>
      <c r="DQ382" s="166" t="str">
        <f t="shared" si="209"/>
        <v/>
      </c>
      <c r="DV382" s="145">
        <v>2038</v>
      </c>
      <c r="DW382" s="235" t="e">
        <f t="shared" ca="1" si="193"/>
        <v>#REF!</v>
      </c>
    </row>
    <row r="383" spans="1:135" ht="13.8" x14ac:dyDescent="0.45">
      <c r="B383" s="128">
        <v>2036</v>
      </c>
      <c r="C383" s="1070"/>
      <c r="D383" s="1050"/>
      <c r="E383" s="1069"/>
      <c r="F383" s="1075"/>
      <c r="G383" s="1052"/>
      <c r="H383" s="1036"/>
      <c r="I383" s="1112"/>
      <c r="J383" s="247"/>
      <c r="K383" s="245"/>
      <c r="L383" s="246"/>
      <c r="M383" s="245"/>
      <c r="N383" s="29" t="s">
        <v>119</v>
      </c>
      <c r="O383" s="120"/>
      <c r="P383" s="120"/>
      <c r="Q383" s="120"/>
      <c r="R383" s="29">
        <v>22</v>
      </c>
      <c r="S383" s="238" t="str">
        <f t="shared" si="194"/>
        <v/>
      </c>
      <c r="T383" s="238" t="str">
        <f t="shared" si="195"/>
        <v/>
      </c>
      <c r="U383" s="238" t="str">
        <f t="shared" si="196"/>
        <v/>
      </c>
      <c r="W383" s="238" t="e">
        <f t="shared" si="197"/>
        <v>#N/A</v>
      </c>
      <c r="X383" s="238" t="e">
        <f t="shared" si="198"/>
        <v>#N/A</v>
      </c>
      <c r="Y383" s="238" t="e">
        <f t="shared" si="199"/>
        <v>#N/A</v>
      </c>
      <c r="AA383" s="1133">
        <v>312.62648401826482</v>
      </c>
      <c r="AB383" s="1133">
        <v>344.31158870693434</v>
      </c>
      <c r="AC383" s="1133">
        <v>375.99669339560387</v>
      </c>
      <c r="AD383" s="89"/>
      <c r="AE383" s="89"/>
      <c r="AF383" s="89"/>
      <c r="AG383" s="89"/>
      <c r="AH383" s="89"/>
      <c r="AI383" s="89"/>
      <c r="AJ383" s="89"/>
      <c r="AK383" s="89"/>
      <c r="AL383" s="89"/>
      <c r="AM383" s="89"/>
      <c r="AN383" s="89"/>
      <c r="BR383" s="180">
        <v>2034</v>
      </c>
      <c r="BS383" s="22">
        <v>20</v>
      </c>
      <c r="BT383" s="198" t="e">
        <f t="shared" si="210"/>
        <v>#DIV/0!</v>
      </c>
      <c r="BU383" s="276" t="e">
        <f t="shared" si="211"/>
        <v>#DIV/0!</v>
      </c>
      <c r="BV383" s="205" t="e">
        <f t="shared" si="212"/>
        <v>#DIV/0!</v>
      </c>
      <c r="BY383" s="180">
        <v>2034</v>
      </c>
      <c r="BZ383" s="22">
        <v>20</v>
      </c>
      <c r="CA383" s="198" t="e">
        <f t="shared" ca="1" si="213"/>
        <v>#REF!</v>
      </c>
      <c r="CB383" s="198" t="e">
        <f t="shared" ca="1" si="214"/>
        <v>#REF!</v>
      </c>
      <c r="CC383" s="276" t="e">
        <f t="shared" ca="1" si="225"/>
        <v>#REF!</v>
      </c>
      <c r="CD383" s="205" t="e">
        <f t="shared" ca="1" si="215"/>
        <v>#REF!</v>
      </c>
      <c r="CG383" s="180">
        <v>2034</v>
      </c>
      <c r="CH383" s="22">
        <v>20</v>
      </c>
      <c r="CI383" s="198" t="e">
        <f t="shared" ca="1" si="216"/>
        <v>#REF!</v>
      </c>
      <c r="CJ383" s="198" t="e">
        <f t="shared" ca="1" si="217"/>
        <v>#REF!</v>
      </c>
      <c r="CK383" s="198" t="e">
        <f t="shared" ca="1" si="218"/>
        <v>#REF!</v>
      </c>
      <c r="CL383" s="276" t="e">
        <f t="shared" ca="1" si="219"/>
        <v>#REF!</v>
      </c>
      <c r="CM383" s="205" t="e">
        <f t="shared" ca="1" si="220"/>
        <v>#REF!</v>
      </c>
      <c r="CP383" s="180">
        <v>2034</v>
      </c>
      <c r="CQ383" s="22">
        <v>20</v>
      </c>
      <c r="CR383" s="198" t="e">
        <f t="shared" ca="1" si="221"/>
        <v>#REF!</v>
      </c>
      <c r="CS383" s="276" t="e">
        <f t="shared" ca="1" si="222"/>
        <v>#REF!</v>
      </c>
      <c r="CT383" s="205" t="e">
        <f t="shared" ca="1" si="223"/>
        <v>#REF!</v>
      </c>
      <c r="CZ383" s="164" t="b">
        <f t="shared" si="200"/>
        <v>0</v>
      </c>
      <c r="DA383" s="165" t="b">
        <f t="shared" si="200"/>
        <v>0</v>
      </c>
      <c r="DB383" s="166" t="b">
        <f t="shared" si="200"/>
        <v>0</v>
      </c>
      <c r="DC383" s="164" t="str">
        <f t="shared" si="201"/>
        <v/>
      </c>
      <c r="DD383" s="166" t="str">
        <f t="shared" si="202"/>
        <v/>
      </c>
      <c r="DE383" s="164" t="str">
        <f t="shared" si="203"/>
        <v/>
      </c>
      <c r="DF383" s="166" t="str">
        <f t="shared" si="204"/>
        <v/>
      </c>
      <c r="DG383" s="164" t="str">
        <f t="shared" si="205"/>
        <v/>
      </c>
      <c r="DH383" s="166" t="str">
        <f t="shared" si="206"/>
        <v/>
      </c>
      <c r="DI383" s="164" t="str">
        <f>IFERROR(INDEX(DC$359:DC$407,_xlfn.AGGREGATE(15,6,(ROW(DC$359:DC$407)-ROW(DC$359)+1)/(DC$359:DC$407&lt;&gt;""),ROWS(DI$1:DI25))),"")</f>
        <v/>
      </c>
      <c r="DJ383" s="165" t="str">
        <f>IFERROR(INDEX(DD$359:DD$407,_xlfn.AGGREGATE(15,6,(ROW(DD$359:DD$407)-ROW(DD$359)+1)/(DD$359:DD$407&lt;&gt;""),ROWS(DJ$1:DJ25))),"")</f>
        <v/>
      </c>
      <c r="DK383" s="166" t="str">
        <f t="shared" si="207"/>
        <v/>
      </c>
      <c r="DL383" s="164" t="str">
        <f>IFERROR(INDEX(DE$359:DE$407,_xlfn.AGGREGATE(15,6,(ROW(DE$359:DE$407)-ROW(DE$359)+1)/(DE$359:DE$407&lt;&gt;""),ROWS(DL$1:DL25))),"")</f>
        <v/>
      </c>
      <c r="DM383" s="165" t="str">
        <f>IFERROR(INDEX(DF$359:DF$407,_xlfn.AGGREGATE(15,6,(ROW(DF$359:DF$407)-ROW(DF$359)+1)/(DF$359:DF$407&lt;&gt;""),ROWS(DM$1:DM25))),"")</f>
        <v/>
      </c>
      <c r="DN383" s="166" t="str">
        <f t="shared" si="208"/>
        <v/>
      </c>
      <c r="DO383" s="164" t="str">
        <f>IFERROR(INDEX(DG$359:DG$407,_xlfn.AGGREGATE(15,6,(ROW(DG$359:DG$407)-ROW(DG$359)+1)/(DG$359:DG$407&lt;&gt;""),ROWS(DO$1:DO25))),"")</f>
        <v/>
      </c>
      <c r="DP383" s="165" t="str">
        <f>IFERROR(INDEX(DH$359:DH$407,_xlfn.AGGREGATE(15,6,(ROW(DH$359:DH$407)-ROW(DH$359)+1)/(DH$359:DH$407&lt;&gt;""),ROWS(DP$1:DP25))),"")</f>
        <v/>
      </c>
      <c r="DQ383" s="166" t="str">
        <f t="shared" si="209"/>
        <v/>
      </c>
      <c r="DV383" s="145">
        <v>2039</v>
      </c>
      <c r="DW383" s="235" t="e">
        <f t="shared" ca="1" si="193"/>
        <v>#REF!</v>
      </c>
    </row>
    <row r="384" spans="1:135" ht="13.8" x14ac:dyDescent="0.45">
      <c r="B384" s="128">
        <v>2037</v>
      </c>
      <c r="C384" s="1070"/>
      <c r="D384" s="1050"/>
      <c r="E384" s="1069"/>
      <c r="F384" s="1075"/>
      <c r="G384" s="1052"/>
      <c r="H384" s="1036"/>
      <c r="I384" s="1112"/>
      <c r="J384" s="247"/>
      <c r="K384" s="245"/>
      <c r="L384" s="246"/>
      <c r="M384" s="245"/>
      <c r="N384" s="29" t="s">
        <v>119</v>
      </c>
      <c r="O384" s="120"/>
      <c r="P384" s="120"/>
      <c r="Q384" s="120"/>
      <c r="R384" s="29">
        <v>23</v>
      </c>
      <c r="S384" s="238" t="str">
        <f t="shared" si="194"/>
        <v/>
      </c>
      <c r="T384" s="238" t="str">
        <f t="shared" si="195"/>
        <v/>
      </c>
      <c r="U384" s="238" t="str">
        <f t="shared" si="196"/>
        <v/>
      </c>
      <c r="W384" s="238" t="e">
        <f t="shared" si="197"/>
        <v>#N/A</v>
      </c>
      <c r="X384" s="238" t="e">
        <f t="shared" si="198"/>
        <v>#N/A</v>
      </c>
      <c r="Y384" s="238" t="e">
        <f t="shared" si="199"/>
        <v>#N/A</v>
      </c>
      <c r="AA384" s="1133">
        <v>316.67477168949773</v>
      </c>
      <c r="AB384" s="1133">
        <v>348.03416152175635</v>
      </c>
      <c r="AC384" s="1133">
        <v>379.39355135401496</v>
      </c>
      <c r="AD384" s="89"/>
      <c r="AE384" s="89"/>
      <c r="AF384" s="89"/>
      <c r="AG384" s="89"/>
      <c r="AH384" s="89"/>
      <c r="AI384" s="89"/>
      <c r="AJ384" s="89"/>
      <c r="AK384" s="89"/>
      <c r="AL384" s="89"/>
      <c r="AM384" s="89"/>
      <c r="AN384" s="89"/>
      <c r="BR384" s="180">
        <v>2035</v>
      </c>
      <c r="BS384" s="22">
        <v>21</v>
      </c>
      <c r="BT384" s="198" t="e">
        <f t="shared" si="210"/>
        <v>#DIV/0!</v>
      </c>
      <c r="BU384" s="276" t="e">
        <f t="shared" si="211"/>
        <v>#DIV/0!</v>
      </c>
      <c r="BV384" s="205" t="e">
        <f t="shared" si="212"/>
        <v>#DIV/0!</v>
      </c>
      <c r="BY384" s="180">
        <v>2035</v>
      </c>
      <c r="BZ384" s="22">
        <v>21</v>
      </c>
      <c r="CA384" s="198" t="e">
        <f t="shared" ca="1" si="213"/>
        <v>#REF!</v>
      </c>
      <c r="CB384" s="198" t="e">
        <f t="shared" ca="1" si="214"/>
        <v>#REF!</v>
      </c>
      <c r="CC384" s="276" t="e">
        <f t="shared" ca="1" si="225"/>
        <v>#REF!</v>
      </c>
      <c r="CD384" s="205" t="e">
        <f t="shared" ca="1" si="215"/>
        <v>#REF!</v>
      </c>
      <c r="CG384" s="180">
        <v>2035</v>
      </c>
      <c r="CH384" s="22">
        <v>21</v>
      </c>
      <c r="CI384" s="198" t="e">
        <f t="shared" ca="1" si="216"/>
        <v>#REF!</v>
      </c>
      <c r="CJ384" s="198" t="e">
        <f t="shared" ca="1" si="217"/>
        <v>#REF!</v>
      </c>
      <c r="CK384" s="198" t="e">
        <f t="shared" ca="1" si="218"/>
        <v>#REF!</v>
      </c>
      <c r="CL384" s="276" t="e">
        <f t="shared" ca="1" si="219"/>
        <v>#REF!</v>
      </c>
      <c r="CM384" s="205" t="e">
        <f t="shared" ca="1" si="220"/>
        <v>#REF!</v>
      </c>
      <c r="CP384" s="180">
        <v>2035</v>
      </c>
      <c r="CQ384" s="22">
        <v>21</v>
      </c>
      <c r="CR384" s="198" t="e">
        <f t="shared" ca="1" si="221"/>
        <v>#REF!</v>
      </c>
      <c r="CS384" s="276" t="e">
        <f t="shared" ca="1" si="222"/>
        <v>#REF!</v>
      </c>
      <c r="CT384" s="205" t="e">
        <f t="shared" ca="1" si="223"/>
        <v>#REF!</v>
      </c>
      <c r="CZ384" s="164" t="b">
        <f t="shared" si="200"/>
        <v>0</v>
      </c>
      <c r="DA384" s="165" t="b">
        <f t="shared" si="200"/>
        <v>0</v>
      </c>
      <c r="DB384" s="166" t="b">
        <f t="shared" si="200"/>
        <v>0</v>
      </c>
      <c r="DC384" s="164" t="str">
        <f t="shared" si="201"/>
        <v/>
      </c>
      <c r="DD384" s="166" t="str">
        <f t="shared" si="202"/>
        <v/>
      </c>
      <c r="DE384" s="164" t="str">
        <f t="shared" si="203"/>
        <v/>
      </c>
      <c r="DF384" s="166" t="str">
        <f t="shared" si="204"/>
        <v/>
      </c>
      <c r="DG384" s="164" t="str">
        <f t="shared" si="205"/>
        <v/>
      </c>
      <c r="DH384" s="166" t="str">
        <f t="shared" si="206"/>
        <v/>
      </c>
      <c r="DI384" s="164" t="str">
        <f>IFERROR(INDEX(DC$359:DC$407,_xlfn.AGGREGATE(15,6,(ROW(DC$359:DC$407)-ROW(DC$359)+1)/(DC$359:DC$407&lt;&gt;""),ROWS(DI$1:DI26))),"")</f>
        <v/>
      </c>
      <c r="DJ384" s="165" t="str">
        <f>IFERROR(INDEX(DD$359:DD$407,_xlfn.AGGREGATE(15,6,(ROW(DD$359:DD$407)-ROW(DD$359)+1)/(DD$359:DD$407&lt;&gt;""),ROWS(DJ$1:DJ26))),"")</f>
        <v/>
      </c>
      <c r="DK384" s="166" t="str">
        <f t="shared" si="207"/>
        <v/>
      </c>
      <c r="DL384" s="164" t="str">
        <f>IFERROR(INDEX(DE$359:DE$407,_xlfn.AGGREGATE(15,6,(ROW(DE$359:DE$407)-ROW(DE$359)+1)/(DE$359:DE$407&lt;&gt;""),ROWS(DL$1:DL26))),"")</f>
        <v/>
      </c>
      <c r="DM384" s="165" t="str">
        <f>IFERROR(INDEX(DF$359:DF$407,_xlfn.AGGREGATE(15,6,(ROW(DF$359:DF$407)-ROW(DF$359)+1)/(DF$359:DF$407&lt;&gt;""),ROWS(DM$1:DM26))),"")</f>
        <v/>
      </c>
      <c r="DN384" s="166" t="str">
        <f t="shared" si="208"/>
        <v/>
      </c>
      <c r="DO384" s="164" t="str">
        <f>IFERROR(INDEX(DG$359:DG$407,_xlfn.AGGREGATE(15,6,(ROW(DG$359:DG$407)-ROW(DG$359)+1)/(DG$359:DG$407&lt;&gt;""),ROWS(DO$1:DO26))),"")</f>
        <v/>
      </c>
      <c r="DP384" s="165" t="str">
        <f>IFERROR(INDEX(DH$359:DH$407,_xlfn.AGGREGATE(15,6,(ROW(DH$359:DH$407)-ROW(DH$359)+1)/(DH$359:DH$407&lt;&gt;""),ROWS(DP$1:DP26))),"")</f>
        <v/>
      </c>
      <c r="DQ384" s="166" t="str">
        <f t="shared" si="209"/>
        <v/>
      </c>
      <c r="DV384" s="145">
        <v>2040</v>
      </c>
      <c r="DW384" s="235" t="e">
        <f t="shared" ca="1" si="193"/>
        <v>#REF!</v>
      </c>
    </row>
    <row r="385" spans="2:135" ht="13.8" x14ac:dyDescent="0.45">
      <c r="B385" s="128">
        <v>2038</v>
      </c>
      <c r="C385" s="1070"/>
      <c r="D385" s="1050"/>
      <c r="E385" s="1069"/>
      <c r="F385" s="1075"/>
      <c r="G385" s="1052"/>
      <c r="H385" s="1036"/>
      <c r="I385" s="1112"/>
      <c r="J385" s="247"/>
      <c r="K385" s="245"/>
      <c r="L385" s="246"/>
      <c r="M385" s="245"/>
      <c r="N385" s="29" t="s">
        <v>119</v>
      </c>
      <c r="O385" s="120"/>
      <c r="P385" s="120"/>
      <c r="Q385" s="120"/>
      <c r="R385" s="29">
        <v>24</v>
      </c>
      <c r="S385" s="238" t="str">
        <f t="shared" si="194"/>
        <v/>
      </c>
      <c r="T385" s="238" t="str">
        <f t="shared" si="195"/>
        <v/>
      </c>
      <c r="U385" s="238" t="str">
        <f t="shared" si="196"/>
        <v/>
      </c>
      <c r="W385" s="238" t="e">
        <f t="shared" si="197"/>
        <v>#N/A</v>
      </c>
      <c r="X385" s="238" t="e">
        <f t="shared" si="198"/>
        <v>#N/A</v>
      </c>
      <c r="Y385" s="238" t="e">
        <f t="shared" si="199"/>
        <v>#N/A</v>
      </c>
      <c r="AA385" s="1133">
        <v>320.72305936073059</v>
      </c>
      <c r="AB385" s="1133">
        <v>351.68678026435288</v>
      </c>
      <c r="AC385" s="1133">
        <v>382.65050116797516</v>
      </c>
      <c r="AD385" s="89"/>
      <c r="AE385" s="89"/>
      <c r="AF385" s="89"/>
      <c r="AG385" s="89"/>
      <c r="AH385" s="89"/>
      <c r="AI385" s="89"/>
      <c r="AJ385" s="89"/>
      <c r="AK385" s="89"/>
      <c r="AL385" s="89"/>
      <c r="AM385" s="89"/>
      <c r="AN385" s="89"/>
      <c r="BR385" s="180">
        <v>2036</v>
      </c>
      <c r="BS385" s="22">
        <v>22</v>
      </c>
      <c r="BT385" s="198" t="e">
        <f t="shared" si="210"/>
        <v>#DIV/0!</v>
      </c>
      <c r="BU385" s="276" t="e">
        <f t="shared" si="211"/>
        <v>#DIV/0!</v>
      </c>
      <c r="BV385" s="205" t="e">
        <f t="shared" si="212"/>
        <v>#DIV/0!</v>
      </c>
      <c r="BY385" s="180">
        <v>2036</v>
      </c>
      <c r="BZ385" s="22">
        <v>22</v>
      </c>
      <c r="CA385" s="198" t="e">
        <f t="shared" ca="1" si="213"/>
        <v>#REF!</v>
      </c>
      <c r="CB385" s="198" t="e">
        <f t="shared" ca="1" si="214"/>
        <v>#REF!</v>
      </c>
      <c r="CC385" s="276" t="e">
        <f t="shared" ca="1" si="225"/>
        <v>#REF!</v>
      </c>
      <c r="CD385" s="205" t="e">
        <f t="shared" ca="1" si="215"/>
        <v>#REF!</v>
      </c>
      <c r="CG385" s="180">
        <v>2036</v>
      </c>
      <c r="CH385" s="22">
        <v>22</v>
      </c>
      <c r="CI385" s="198" t="e">
        <f t="shared" ca="1" si="216"/>
        <v>#REF!</v>
      </c>
      <c r="CJ385" s="198" t="e">
        <f t="shared" ca="1" si="217"/>
        <v>#REF!</v>
      </c>
      <c r="CK385" s="198" t="e">
        <f t="shared" ca="1" si="218"/>
        <v>#REF!</v>
      </c>
      <c r="CL385" s="276" t="e">
        <f t="shared" ca="1" si="219"/>
        <v>#REF!</v>
      </c>
      <c r="CM385" s="205" t="e">
        <f t="shared" ca="1" si="220"/>
        <v>#REF!</v>
      </c>
      <c r="CP385" s="180">
        <v>2036</v>
      </c>
      <c r="CQ385" s="22">
        <v>22</v>
      </c>
      <c r="CR385" s="198" t="e">
        <f t="shared" ca="1" si="221"/>
        <v>#REF!</v>
      </c>
      <c r="CS385" s="276" t="e">
        <f t="shared" ca="1" si="222"/>
        <v>#REF!</v>
      </c>
      <c r="CT385" s="205" t="e">
        <f t="shared" ca="1" si="223"/>
        <v>#REF!</v>
      </c>
      <c r="CZ385" s="164" t="b">
        <f t="shared" si="200"/>
        <v>0</v>
      </c>
      <c r="DA385" s="165" t="b">
        <f t="shared" si="200"/>
        <v>0</v>
      </c>
      <c r="DB385" s="166" t="b">
        <f t="shared" si="200"/>
        <v>0</v>
      </c>
      <c r="DC385" s="164" t="str">
        <f t="shared" si="201"/>
        <v/>
      </c>
      <c r="DD385" s="166" t="str">
        <f t="shared" si="202"/>
        <v/>
      </c>
      <c r="DE385" s="164" t="str">
        <f t="shared" si="203"/>
        <v/>
      </c>
      <c r="DF385" s="166" t="str">
        <f t="shared" si="204"/>
        <v/>
      </c>
      <c r="DG385" s="164" t="str">
        <f t="shared" si="205"/>
        <v/>
      </c>
      <c r="DH385" s="166" t="str">
        <f t="shared" si="206"/>
        <v/>
      </c>
      <c r="DI385" s="164" t="str">
        <f>IFERROR(INDEX(DC$359:DC$407,_xlfn.AGGREGATE(15,6,(ROW(DC$359:DC$407)-ROW(DC$359)+1)/(DC$359:DC$407&lt;&gt;""),ROWS(DI$1:DI27))),"")</f>
        <v/>
      </c>
      <c r="DJ385" s="165" t="str">
        <f>IFERROR(INDEX(DD$359:DD$407,_xlfn.AGGREGATE(15,6,(ROW(DD$359:DD$407)-ROW(DD$359)+1)/(DD$359:DD$407&lt;&gt;""),ROWS(DJ$1:DJ27))),"")</f>
        <v/>
      </c>
      <c r="DK385" s="166" t="str">
        <f t="shared" si="207"/>
        <v/>
      </c>
      <c r="DL385" s="164" t="str">
        <f>IFERROR(INDEX(DE$359:DE$407,_xlfn.AGGREGATE(15,6,(ROW(DE$359:DE$407)-ROW(DE$359)+1)/(DE$359:DE$407&lt;&gt;""),ROWS(DL$1:DL27))),"")</f>
        <v/>
      </c>
      <c r="DM385" s="165" t="str">
        <f>IFERROR(INDEX(DF$359:DF$407,_xlfn.AGGREGATE(15,6,(ROW(DF$359:DF$407)-ROW(DF$359)+1)/(DF$359:DF$407&lt;&gt;""),ROWS(DM$1:DM27))),"")</f>
        <v/>
      </c>
      <c r="DN385" s="166" t="str">
        <f t="shared" si="208"/>
        <v/>
      </c>
      <c r="DO385" s="164" t="str">
        <f>IFERROR(INDEX(DG$359:DG$407,_xlfn.AGGREGATE(15,6,(ROW(DG$359:DG$407)-ROW(DG$359)+1)/(DG$359:DG$407&lt;&gt;""),ROWS(DO$1:DO27))),"")</f>
        <v/>
      </c>
      <c r="DP385" s="165" t="str">
        <f>IFERROR(INDEX(DH$359:DH$407,_xlfn.AGGREGATE(15,6,(ROW(DH$359:DH$407)-ROW(DH$359)+1)/(DH$359:DH$407&lt;&gt;""),ROWS(DP$1:DP27))),"")</f>
        <v/>
      </c>
      <c r="DQ385" s="166" t="str">
        <f t="shared" si="209"/>
        <v/>
      </c>
      <c r="DV385" s="145">
        <v>2041</v>
      </c>
      <c r="DW385" s="235" t="e">
        <f t="shared" ca="1" si="193"/>
        <v>#REF!</v>
      </c>
    </row>
    <row r="386" spans="2:135" ht="13.8" x14ac:dyDescent="0.45">
      <c r="B386" s="128">
        <v>2039</v>
      </c>
      <c r="C386" s="1070"/>
      <c r="D386" s="1050"/>
      <c r="E386" s="1069"/>
      <c r="F386" s="1075"/>
      <c r="G386" s="1052"/>
      <c r="H386" s="1036"/>
      <c r="I386" s="1112"/>
      <c r="J386" s="247"/>
      <c r="K386" s="245"/>
      <c r="L386" s="246"/>
      <c r="M386" s="245"/>
      <c r="N386" s="29" t="s">
        <v>119</v>
      </c>
      <c r="O386" s="120"/>
      <c r="P386" s="120"/>
      <c r="Q386" s="120"/>
      <c r="R386" s="29">
        <v>25</v>
      </c>
      <c r="S386" s="238" t="str">
        <f t="shared" si="194"/>
        <v/>
      </c>
      <c r="T386" s="238" t="str">
        <f t="shared" si="195"/>
        <v/>
      </c>
      <c r="U386" s="238" t="str">
        <f t="shared" si="196"/>
        <v/>
      </c>
      <c r="W386" s="238" t="e">
        <f t="shared" si="197"/>
        <v>#N/A</v>
      </c>
      <c r="X386" s="238" t="e">
        <f t="shared" si="198"/>
        <v>#N/A</v>
      </c>
      <c r="Y386" s="238" t="e">
        <f t="shared" si="199"/>
        <v>#N/A</v>
      </c>
      <c r="AA386" s="1133">
        <v>324.7713470319635</v>
      </c>
      <c r="AB386" s="1133">
        <v>355.27398846887093</v>
      </c>
      <c r="AC386" s="1133">
        <v>385.77662990577835</v>
      </c>
      <c r="AD386" s="89"/>
      <c r="AE386" s="89"/>
      <c r="AF386" s="89"/>
      <c r="AG386" s="89"/>
      <c r="AH386" s="89"/>
      <c r="AI386" s="89"/>
      <c r="AJ386" s="89"/>
      <c r="AK386" s="89"/>
      <c r="AL386" s="89"/>
      <c r="AM386" s="89"/>
      <c r="AN386" s="89"/>
      <c r="BR386" s="180">
        <v>2037</v>
      </c>
      <c r="BS386" s="22">
        <v>23</v>
      </c>
      <c r="BT386" s="198" t="e">
        <f t="shared" si="210"/>
        <v>#DIV/0!</v>
      </c>
      <c r="BU386" s="276" t="e">
        <f t="shared" si="211"/>
        <v>#DIV/0!</v>
      </c>
      <c r="BV386" s="205" t="e">
        <f t="shared" si="212"/>
        <v>#DIV/0!</v>
      </c>
      <c r="BY386" s="180">
        <v>2037</v>
      </c>
      <c r="BZ386" s="22">
        <v>23</v>
      </c>
      <c r="CA386" s="198" t="e">
        <f t="shared" ca="1" si="213"/>
        <v>#REF!</v>
      </c>
      <c r="CB386" s="198" t="e">
        <f t="shared" ca="1" si="214"/>
        <v>#REF!</v>
      </c>
      <c r="CC386" s="276" t="e">
        <f t="shared" ca="1" si="225"/>
        <v>#REF!</v>
      </c>
      <c r="CD386" s="205" t="e">
        <f t="shared" ca="1" si="215"/>
        <v>#REF!</v>
      </c>
      <c r="CG386" s="180">
        <v>2037</v>
      </c>
      <c r="CH386" s="22">
        <v>23</v>
      </c>
      <c r="CI386" s="198" t="e">
        <f t="shared" ca="1" si="216"/>
        <v>#REF!</v>
      </c>
      <c r="CJ386" s="198" t="e">
        <f t="shared" ca="1" si="217"/>
        <v>#REF!</v>
      </c>
      <c r="CK386" s="198" t="e">
        <f t="shared" ca="1" si="218"/>
        <v>#REF!</v>
      </c>
      <c r="CL386" s="276" t="e">
        <f t="shared" ca="1" si="219"/>
        <v>#REF!</v>
      </c>
      <c r="CM386" s="205" t="e">
        <f t="shared" ca="1" si="220"/>
        <v>#REF!</v>
      </c>
      <c r="CP386" s="180">
        <v>2037</v>
      </c>
      <c r="CQ386" s="22">
        <v>23</v>
      </c>
      <c r="CR386" s="198" t="e">
        <f t="shared" ca="1" si="221"/>
        <v>#REF!</v>
      </c>
      <c r="CS386" s="276" t="e">
        <f t="shared" ca="1" si="222"/>
        <v>#REF!</v>
      </c>
      <c r="CT386" s="205" t="e">
        <f t="shared" ca="1" si="223"/>
        <v>#REF!</v>
      </c>
      <c r="CZ386" s="164" t="b">
        <f t="shared" si="200"/>
        <v>0</v>
      </c>
      <c r="DA386" s="165" t="b">
        <f t="shared" si="200"/>
        <v>0</v>
      </c>
      <c r="DB386" s="166" t="b">
        <f t="shared" si="200"/>
        <v>0</v>
      </c>
      <c r="DC386" s="164" t="str">
        <f t="shared" si="201"/>
        <v/>
      </c>
      <c r="DD386" s="166" t="str">
        <f t="shared" si="202"/>
        <v/>
      </c>
      <c r="DE386" s="164" t="str">
        <f t="shared" si="203"/>
        <v/>
      </c>
      <c r="DF386" s="166" t="str">
        <f t="shared" si="204"/>
        <v/>
      </c>
      <c r="DG386" s="164" t="str">
        <f t="shared" si="205"/>
        <v/>
      </c>
      <c r="DH386" s="166" t="str">
        <f t="shared" si="206"/>
        <v/>
      </c>
      <c r="DI386" s="164" t="str">
        <f>IFERROR(INDEX(DC$359:DC$407,_xlfn.AGGREGATE(15,6,(ROW(DC$359:DC$407)-ROW(DC$359)+1)/(DC$359:DC$407&lt;&gt;""),ROWS(DI$1:DI28))),"")</f>
        <v/>
      </c>
      <c r="DJ386" s="165" t="str">
        <f>IFERROR(INDEX(DD$359:DD$407,_xlfn.AGGREGATE(15,6,(ROW(DD$359:DD$407)-ROW(DD$359)+1)/(DD$359:DD$407&lt;&gt;""),ROWS(DJ$1:DJ28))),"")</f>
        <v/>
      </c>
      <c r="DK386" s="166" t="str">
        <f t="shared" si="207"/>
        <v/>
      </c>
      <c r="DL386" s="164" t="str">
        <f>IFERROR(INDEX(DE$359:DE$407,_xlfn.AGGREGATE(15,6,(ROW(DE$359:DE$407)-ROW(DE$359)+1)/(DE$359:DE$407&lt;&gt;""),ROWS(DL$1:DL28))),"")</f>
        <v/>
      </c>
      <c r="DM386" s="165" t="str">
        <f>IFERROR(INDEX(DF$359:DF$407,_xlfn.AGGREGATE(15,6,(ROW(DF$359:DF$407)-ROW(DF$359)+1)/(DF$359:DF$407&lt;&gt;""),ROWS(DM$1:DM28))),"")</f>
        <v/>
      </c>
      <c r="DN386" s="166" t="str">
        <f t="shared" si="208"/>
        <v/>
      </c>
      <c r="DO386" s="164" t="str">
        <f>IFERROR(INDEX(DG$359:DG$407,_xlfn.AGGREGATE(15,6,(ROW(DG$359:DG$407)-ROW(DG$359)+1)/(DG$359:DG$407&lt;&gt;""),ROWS(DO$1:DO28))),"")</f>
        <v/>
      </c>
      <c r="DP386" s="165" t="str">
        <f>IFERROR(INDEX(DH$359:DH$407,_xlfn.AGGREGATE(15,6,(ROW(DH$359:DH$407)-ROW(DH$359)+1)/(DH$359:DH$407&lt;&gt;""),ROWS(DP$1:DP28))),"")</f>
        <v/>
      </c>
      <c r="DQ386" s="166" t="str">
        <f t="shared" si="209"/>
        <v/>
      </c>
      <c r="DV386" s="145">
        <v>2042</v>
      </c>
      <c r="DW386" s="235" t="e">
        <f t="shared" ca="1" si="193"/>
        <v>#REF!</v>
      </c>
    </row>
    <row r="387" spans="2:135" ht="13.8" x14ac:dyDescent="0.45">
      <c r="B387" s="128">
        <v>2040</v>
      </c>
      <c r="C387" s="1070"/>
      <c r="D387" s="1050"/>
      <c r="E387" s="1069"/>
      <c r="F387" s="1075"/>
      <c r="G387" s="1052"/>
      <c r="H387" s="1036"/>
      <c r="I387" s="1112"/>
      <c r="J387" s="247"/>
      <c r="K387" s="245"/>
      <c r="L387" s="246"/>
      <c r="M387" s="245"/>
      <c r="N387" s="29" t="s">
        <v>119</v>
      </c>
      <c r="O387" s="120"/>
      <c r="P387" s="120"/>
      <c r="Q387" s="120"/>
      <c r="R387" s="29">
        <v>26</v>
      </c>
      <c r="S387" s="238" t="str">
        <f t="shared" si="194"/>
        <v/>
      </c>
      <c r="T387" s="238" t="str">
        <f t="shared" si="195"/>
        <v/>
      </c>
      <c r="U387" s="238" t="str">
        <f t="shared" si="196"/>
        <v/>
      </c>
      <c r="W387" s="238" t="e">
        <f t="shared" si="197"/>
        <v>#N/A</v>
      </c>
      <c r="X387" s="238" t="e">
        <f t="shared" si="198"/>
        <v>#N/A</v>
      </c>
      <c r="Y387" s="238" t="e">
        <f t="shared" si="199"/>
        <v>#N/A</v>
      </c>
      <c r="AA387" s="1133">
        <v>328.81963470319636</v>
      </c>
      <c r="AB387" s="1133">
        <v>358.35471869490266</v>
      </c>
      <c r="AC387" s="1133">
        <v>387.88980268660896</v>
      </c>
      <c r="AD387" s="89"/>
      <c r="AE387" s="89"/>
      <c r="AF387" s="89"/>
      <c r="AG387" s="89"/>
      <c r="AH387" s="89"/>
      <c r="AI387" s="89"/>
      <c r="AJ387" s="89"/>
      <c r="AK387" s="89"/>
      <c r="AL387" s="89"/>
      <c r="AM387" s="89"/>
      <c r="AN387" s="89"/>
      <c r="BR387" s="180">
        <v>2038</v>
      </c>
      <c r="BS387" s="22">
        <v>24</v>
      </c>
      <c r="BT387" s="198" t="e">
        <f t="shared" si="210"/>
        <v>#DIV/0!</v>
      </c>
      <c r="BU387" s="276" t="e">
        <f t="shared" si="211"/>
        <v>#DIV/0!</v>
      </c>
      <c r="BV387" s="205" t="e">
        <f t="shared" si="212"/>
        <v>#DIV/0!</v>
      </c>
      <c r="BY387" s="180">
        <v>2038</v>
      </c>
      <c r="BZ387" s="22">
        <v>24</v>
      </c>
      <c r="CA387" s="198" t="e">
        <f t="shared" ca="1" si="213"/>
        <v>#REF!</v>
      </c>
      <c r="CB387" s="198" t="e">
        <f t="shared" ca="1" si="214"/>
        <v>#REF!</v>
      </c>
      <c r="CC387" s="276" t="e">
        <f t="shared" ca="1" si="225"/>
        <v>#REF!</v>
      </c>
      <c r="CD387" s="205" t="e">
        <f t="shared" ca="1" si="215"/>
        <v>#REF!</v>
      </c>
      <c r="CG387" s="180">
        <v>2038</v>
      </c>
      <c r="CH387" s="22">
        <v>24</v>
      </c>
      <c r="CI387" s="198" t="e">
        <f t="shared" ca="1" si="216"/>
        <v>#REF!</v>
      </c>
      <c r="CJ387" s="198" t="e">
        <f t="shared" ca="1" si="217"/>
        <v>#REF!</v>
      </c>
      <c r="CK387" s="198" t="e">
        <f t="shared" ca="1" si="218"/>
        <v>#REF!</v>
      </c>
      <c r="CL387" s="276" t="e">
        <f t="shared" ca="1" si="219"/>
        <v>#REF!</v>
      </c>
      <c r="CM387" s="205" t="e">
        <f t="shared" ca="1" si="220"/>
        <v>#REF!</v>
      </c>
      <c r="CP387" s="180">
        <v>2038</v>
      </c>
      <c r="CQ387" s="22">
        <v>24</v>
      </c>
      <c r="CR387" s="198" t="e">
        <f t="shared" ca="1" si="221"/>
        <v>#REF!</v>
      </c>
      <c r="CS387" s="276" t="e">
        <f t="shared" ca="1" si="222"/>
        <v>#REF!</v>
      </c>
      <c r="CT387" s="205" t="e">
        <f t="shared" ca="1" si="223"/>
        <v>#REF!</v>
      </c>
      <c r="CZ387" s="164" t="b">
        <f t="shared" si="200"/>
        <v>0</v>
      </c>
      <c r="DA387" s="165" t="b">
        <f t="shared" si="200"/>
        <v>0</v>
      </c>
      <c r="DB387" s="166" t="b">
        <f t="shared" si="200"/>
        <v>0</v>
      </c>
      <c r="DC387" s="164" t="str">
        <f t="shared" si="201"/>
        <v/>
      </c>
      <c r="DD387" s="166" t="str">
        <f t="shared" si="202"/>
        <v/>
      </c>
      <c r="DE387" s="164" t="str">
        <f t="shared" si="203"/>
        <v/>
      </c>
      <c r="DF387" s="166" t="str">
        <f t="shared" si="204"/>
        <v/>
      </c>
      <c r="DG387" s="164" t="str">
        <f t="shared" si="205"/>
        <v/>
      </c>
      <c r="DH387" s="166" t="str">
        <f t="shared" si="206"/>
        <v/>
      </c>
      <c r="DI387" s="164" t="str">
        <f>IFERROR(INDEX(DC$359:DC$407,_xlfn.AGGREGATE(15,6,(ROW(DC$359:DC$407)-ROW(DC$359)+1)/(DC$359:DC$407&lt;&gt;""),ROWS(DI$1:DI29))),"")</f>
        <v/>
      </c>
      <c r="DJ387" s="165" t="str">
        <f>IFERROR(INDEX(DD$359:DD$407,_xlfn.AGGREGATE(15,6,(ROW(DD$359:DD$407)-ROW(DD$359)+1)/(DD$359:DD$407&lt;&gt;""),ROWS(DJ$1:DJ29))),"")</f>
        <v/>
      </c>
      <c r="DK387" s="166" t="str">
        <f t="shared" si="207"/>
        <v/>
      </c>
      <c r="DL387" s="164" t="str">
        <f>IFERROR(INDEX(DE$359:DE$407,_xlfn.AGGREGATE(15,6,(ROW(DE$359:DE$407)-ROW(DE$359)+1)/(DE$359:DE$407&lt;&gt;""),ROWS(DL$1:DL29))),"")</f>
        <v/>
      </c>
      <c r="DM387" s="165" t="str">
        <f>IFERROR(INDEX(DF$359:DF$407,_xlfn.AGGREGATE(15,6,(ROW(DF$359:DF$407)-ROW(DF$359)+1)/(DF$359:DF$407&lt;&gt;""),ROWS(DM$1:DM29))),"")</f>
        <v/>
      </c>
      <c r="DN387" s="166" t="str">
        <f t="shared" si="208"/>
        <v/>
      </c>
      <c r="DO387" s="164" t="str">
        <f>IFERROR(INDEX(DG$359:DG$407,_xlfn.AGGREGATE(15,6,(ROW(DG$359:DG$407)-ROW(DG$359)+1)/(DG$359:DG$407&lt;&gt;""),ROWS(DO$1:DO29))),"")</f>
        <v/>
      </c>
      <c r="DP387" s="165" t="str">
        <f>IFERROR(INDEX(DH$359:DH$407,_xlfn.AGGREGATE(15,6,(ROW(DH$359:DH$407)-ROW(DH$359)+1)/(DH$359:DH$407&lt;&gt;""),ROWS(DP$1:DP29))),"")</f>
        <v/>
      </c>
      <c r="DQ387" s="166" t="str">
        <f t="shared" si="209"/>
        <v/>
      </c>
      <c r="DV387" s="145">
        <v>2043</v>
      </c>
      <c r="DW387" s="235" t="e">
        <f t="shared" ca="1" si="193"/>
        <v>#REF!</v>
      </c>
      <c r="EA387" s="55"/>
      <c r="EB387" s="55"/>
      <c r="EC387" s="55"/>
      <c r="ED387" s="55"/>
      <c r="EE387" s="55"/>
    </row>
    <row r="388" spans="2:135" ht="13.8" x14ac:dyDescent="0.45">
      <c r="B388" s="128">
        <v>2041</v>
      </c>
      <c r="C388" s="1070"/>
      <c r="D388" s="1050"/>
      <c r="E388" s="1069"/>
      <c r="F388" s="1075"/>
      <c r="G388" s="1052"/>
      <c r="H388" s="1036"/>
      <c r="I388" s="1112"/>
      <c r="J388" s="247"/>
      <c r="K388" s="245"/>
      <c r="L388" s="246"/>
      <c r="M388" s="245"/>
      <c r="N388" s="29" t="s">
        <v>119</v>
      </c>
      <c r="O388" s="120"/>
      <c r="P388" s="120"/>
      <c r="Q388" s="120"/>
      <c r="R388" s="29">
        <v>27</v>
      </c>
      <c r="S388" s="238" t="str">
        <f t="shared" si="194"/>
        <v/>
      </c>
      <c r="T388" s="238" t="str">
        <f t="shared" si="195"/>
        <v/>
      </c>
      <c r="U388" s="238" t="str">
        <f t="shared" si="196"/>
        <v/>
      </c>
      <c r="W388" s="238" t="e">
        <f t="shared" si="197"/>
        <v>#N/A</v>
      </c>
      <c r="X388" s="238" t="e">
        <f t="shared" si="198"/>
        <v>#N/A</v>
      </c>
      <c r="Y388" s="238" t="e">
        <f t="shared" si="199"/>
        <v>#N/A</v>
      </c>
      <c r="AA388" s="1133">
        <v>332.86792237442921</v>
      </c>
      <c r="AB388" s="1133">
        <v>362.27090526455441</v>
      </c>
      <c r="AC388" s="1133">
        <v>391.67388815467962</v>
      </c>
      <c r="AD388" s="89"/>
      <c r="AE388" s="89"/>
      <c r="AF388" s="89"/>
      <c r="AG388" s="89"/>
      <c r="AH388" s="89"/>
      <c r="AI388" s="89"/>
      <c r="AJ388" s="89"/>
      <c r="AK388" s="89"/>
      <c r="AL388" s="89"/>
      <c r="AM388" s="89"/>
      <c r="AN388" s="89"/>
      <c r="BR388" s="180">
        <v>2039</v>
      </c>
      <c r="BS388" s="22">
        <v>25</v>
      </c>
      <c r="BT388" s="198" t="e">
        <f t="shared" si="210"/>
        <v>#DIV/0!</v>
      </c>
      <c r="BU388" s="276" t="e">
        <f t="shared" si="211"/>
        <v>#DIV/0!</v>
      </c>
      <c r="BV388" s="205" t="e">
        <f t="shared" si="212"/>
        <v>#DIV/0!</v>
      </c>
      <c r="BY388" s="180">
        <v>2039</v>
      </c>
      <c r="BZ388" s="22">
        <v>25</v>
      </c>
      <c r="CA388" s="198" t="e">
        <f t="shared" ca="1" si="213"/>
        <v>#REF!</v>
      </c>
      <c r="CB388" s="198" t="e">
        <f t="shared" ca="1" si="214"/>
        <v>#REF!</v>
      </c>
      <c r="CC388" s="276" t="e">
        <f t="shared" ca="1" si="225"/>
        <v>#REF!</v>
      </c>
      <c r="CD388" s="205" t="e">
        <f t="shared" ca="1" si="215"/>
        <v>#REF!</v>
      </c>
      <c r="CG388" s="180">
        <v>2039</v>
      </c>
      <c r="CH388" s="22">
        <v>25</v>
      </c>
      <c r="CI388" s="198" t="e">
        <f t="shared" ca="1" si="216"/>
        <v>#REF!</v>
      </c>
      <c r="CJ388" s="198" t="e">
        <f t="shared" ca="1" si="217"/>
        <v>#REF!</v>
      </c>
      <c r="CK388" s="198" t="e">
        <f t="shared" ca="1" si="218"/>
        <v>#REF!</v>
      </c>
      <c r="CL388" s="276" t="e">
        <f t="shared" ca="1" si="219"/>
        <v>#REF!</v>
      </c>
      <c r="CM388" s="205" t="e">
        <f t="shared" ca="1" si="220"/>
        <v>#REF!</v>
      </c>
      <c r="CP388" s="180">
        <v>2039</v>
      </c>
      <c r="CQ388" s="22">
        <v>25</v>
      </c>
      <c r="CR388" s="198" t="e">
        <f t="shared" ca="1" si="221"/>
        <v>#REF!</v>
      </c>
      <c r="CS388" s="276" t="e">
        <f t="shared" ca="1" si="222"/>
        <v>#REF!</v>
      </c>
      <c r="CT388" s="205" t="e">
        <f t="shared" ca="1" si="223"/>
        <v>#REF!</v>
      </c>
      <c r="CZ388" s="164" t="b">
        <f t="shared" si="200"/>
        <v>0</v>
      </c>
      <c r="DA388" s="165" t="b">
        <f t="shared" si="200"/>
        <v>0</v>
      </c>
      <c r="DB388" s="166" t="b">
        <f t="shared" si="200"/>
        <v>0</v>
      </c>
      <c r="DC388" s="164" t="str">
        <f t="shared" si="201"/>
        <v/>
      </c>
      <c r="DD388" s="166" t="str">
        <f t="shared" si="202"/>
        <v/>
      </c>
      <c r="DE388" s="164" t="str">
        <f t="shared" si="203"/>
        <v/>
      </c>
      <c r="DF388" s="166" t="str">
        <f t="shared" si="204"/>
        <v/>
      </c>
      <c r="DG388" s="164" t="str">
        <f t="shared" si="205"/>
        <v/>
      </c>
      <c r="DH388" s="166" t="str">
        <f t="shared" si="206"/>
        <v/>
      </c>
      <c r="DI388" s="164" t="str">
        <f>IFERROR(INDEX(DC$359:DC$407,_xlfn.AGGREGATE(15,6,(ROW(DC$359:DC$407)-ROW(DC$359)+1)/(DC$359:DC$407&lt;&gt;""),ROWS(DI$1:DI30))),"")</f>
        <v/>
      </c>
      <c r="DJ388" s="165" t="str">
        <f>IFERROR(INDEX(DD$359:DD$407,_xlfn.AGGREGATE(15,6,(ROW(DD$359:DD$407)-ROW(DD$359)+1)/(DD$359:DD$407&lt;&gt;""),ROWS(DJ$1:DJ30))),"")</f>
        <v/>
      </c>
      <c r="DK388" s="166" t="str">
        <f t="shared" si="207"/>
        <v/>
      </c>
      <c r="DL388" s="164" t="str">
        <f>IFERROR(INDEX(DE$359:DE$407,_xlfn.AGGREGATE(15,6,(ROW(DE$359:DE$407)-ROW(DE$359)+1)/(DE$359:DE$407&lt;&gt;""),ROWS(DL$1:DL30))),"")</f>
        <v/>
      </c>
      <c r="DM388" s="165" t="str">
        <f>IFERROR(INDEX(DF$359:DF$407,_xlfn.AGGREGATE(15,6,(ROW(DF$359:DF$407)-ROW(DF$359)+1)/(DF$359:DF$407&lt;&gt;""),ROWS(DM$1:DM30))),"")</f>
        <v/>
      </c>
      <c r="DN388" s="166" t="str">
        <f t="shared" si="208"/>
        <v/>
      </c>
      <c r="DO388" s="164" t="str">
        <f>IFERROR(INDEX(DG$359:DG$407,_xlfn.AGGREGATE(15,6,(ROW(DG$359:DG$407)-ROW(DG$359)+1)/(DG$359:DG$407&lt;&gt;""),ROWS(DO$1:DO30))),"")</f>
        <v/>
      </c>
      <c r="DP388" s="165" t="str">
        <f>IFERROR(INDEX(DH$359:DH$407,_xlfn.AGGREGATE(15,6,(ROW(DH$359:DH$407)-ROW(DH$359)+1)/(DH$359:DH$407&lt;&gt;""),ROWS(DP$1:DP30))),"")</f>
        <v/>
      </c>
      <c r="DQ388" s="166" t="str">
        <f t="shared" si="209"/>
        <v/>
      </c>
      <c r="DV388" s="145">
        <v>2044</v>
      </c>
      <c r="DW388" s="235" t="e">
        <f t="shared" ca="1" si="193"/>
        <v>#REF!</v>
      </c>
      <c r="EA388" s="55"/>
      <c r="EB388" s="55"/>
      <c r="EC388" s="55"/>
      <c r="ED388" s="55"/>
      <c r="EE388" s="55"/>
    </row>
    <row r="389" spans="2:135" ht="13.8" x14ac:dyDescent="0.45">
      <c r="B389" s="128">
        <v>2042</v>
      </c>
      <c r="C389" s="1070"/>
      <c r="D389" s="1050"/>
      <c r="E389" s="1069"/>
      <c r="F389" s="1075"/>
      <c r="G389" s="1052"/>
      <c r="H389" s="1036"/>
      <c r="I389" s="1112"/>
      <c r="J389" s="247"/>
      <c r="K389" s="245"/>
      <c r="L389" s="246"/>
      <c r="M389" s="245"/>
      <c r="N389" s="29" t="s">
        <v>119</v>
      </c>
      <c r="O389" s="120"/>
      <c r="P389" s="120"/>
      <c r="Q389" s="120"/>
      <c r="R389" s="29">
        <v>28</v>
      </c>
      <c r="S389" s="238" t="str">
        <f t="shared" si="194"/>
        <v/>
      </c>
      <c r="T389" s="238" t="str">
        <f t="shared" si="195"/>
        <v/>
      </c>
      <c r="U389" s="238" t="str">
        <f t="shared" si="196"/>
        <v/>
      </c>
      <c r="W389" s="238" t="e">
        <f t="shared" si="197"/>
        <v>#N/A</v>
      </c>
      <c r="X389" s="238" t="e">
        <f t="shared" si="198"/>
        <v>#N/A</v>
      </c>
      <c r="Y389" s="238" t="e">
        <f t="shared" si="199"/>
        <v>#N/A</v>
      </c>
      <c r="AA389" s="1133">
        <v>336.91621004566207</v>
      </c>
      <c r="AB389" s="1133">
        <v>365.60321462533091</v>
      </c>
      <c r="AC389" s="1133">
        <v>394.29021920499974</v>
      </c>
      <c r="AD389" s="89"/>
      <c r="AE389" s="89"/>
      <c r="AF389" s="89"/>
      <c r="AG389" s="89"/>
      <c r="AH389" s="89"/>
      <c r="AI389" s="89"/>
      <c r="AJ389" s="89"/>
      <c r="AK389" s="89"/>
      <c r="AL389" s="89"/>
      <c r="AM389" s="89"/>
      <c r="AN389" s="89"/>
      <c r="BR389" s="180">
        <v>2040</v>
      </c>
      <c r="BS389" s="22">
        <v>26</v>
      </c>
      <c r="BT389" s="198" t="e">
        <f t="shared" si="210"/>
        <v>#DIV/0!</v>
      </c>
      <c r="BU389" s="276" t="e">
        <f t="shared" si="211"/>
        <v>#DIV/0!</v>
      </c>
      <c r="BV389" s="205" t="e">
        <f t="shared" si="212"/>
        <v>#DIV/0!</v>
      </c>
      <c r="BY389" s="180">
        <v>2040</v>
      </c>
      <c r="BZ389" s="22">
        <v>26</v>
      </c>
      <c r="CA389" s="198" t="e">
        <f t="shared" ca="1" si="213"/>
        <v>#REF!</v>
      </c>
      <c r="CB389" s="198" t="e">
        <f t="shared" ca="1" si="214"/>
        <v>#REF!</v>
      </c>
      <c r="CC389" s="276" t="e">
        <f t="shared" ca="1" si="225"/>
        <v>#REF!</v>
      </c>
      <c r="CD389" s="205" t="e">
        <f t="shared" ca="1" si="215"/>
        <v>#REF!</v>
      </c>
      <c r="CG389" s="180">
        <v>2040</v>
      </c>
      <c r="CH389" s="22">
        <v>26</v>
      </c>
      <c r="CI389" s="198" t="e">
        <f t="shared" ca="1" si="216"/>
        <v>#REF!</v>
      </c>
      <c r="CJ389" s="198" t="e">
        <f t="shared" ca="1" si="217"/>
        <v>#REF!</v>
      </c>
      <c r="CK389" s="198" t="e">
        <f t="shared" ca="1" si="218"/>
        <v>#REF!</v>
      </c>
      <c r="CL389" s="276" t="e">
        <f t="shared" ca="1" si="219"/>
        <v>#REF!</v>
      </c>
      <c r="CM389" s="205" t="e">
        <f t="shared" ca="1" si="220"/>
        <v>#REF!</v>
      </c>
      <c r="CP389" s="180">
        <v>2040</v>
      </c>
      <c r="CQ389" s="22">
        <v>26</v>
      </c>
      <c r="CR389" s="198" t="e">
        <f t="shared" ca="1" si="221"/>
        <v>#REF!</v>
      </c>
      <c r="CS389" s="276" t="e">
        <f t="shared" ca="1" si="222"/>
        <v>#REF!</v>
      </c>
      <c r="CT389" s="205" t="e">
        <f t="shared" ca="1" si="223"/>
        <v>#REF!</v>
      </c>
      <c r="CZ389" s="164" t="b">
        <f t="shared" si="200"/>
        <v>0</v>
      </c>
      <c r="DA389" s="165" t="b">
        <f t="shared" si="200"/>
        <v>0</v>
      </c>
      <c r="DB389" s="166" t="b">
        <f t="shared" si="200"/>
        <v>0</v>
      </c>
      <c r="DC389" s="164" t="str">
        <f t="shared" si="201"/>
        <v/>
      </c>
      <c r="DD389" s="166" t="str">
        <f t="shared" si="202"/>
        <v/>
      </c>
      <c r="DE389" s="164" t="str">
        <f t="shared" si="203"/>
        <v/>
      </c>
      <c r="DF389" s="166" t="str">
        <f t="shared" si="204"/>
        <v/>
      </c>
      <c r="DG389" s="164" t="str">
        <f t="shared" si="205"/>
        <v/>
      </c>
      <c r="DH389" s="166" t="str">
        <f t="shared" si="206"/>
        <v/>
      </c>
      <c r="DI389" s="164" t="str">
        <f>IFERROR(INDEX(DC$359:DC$407,_xlfn.AGGREGATE(15,6,(ROW(DC$359:DC$407)-ROW(DC$359)+1)/(DC$359:DC$407&lt;&gt;""),ROWS(DI$1:DI31))),"")</f>
        <v/>
      </c>
      <c r="DJ389" s="165" t="str">
        <f>IFERROR(INDEX(DD$359:DD$407,_xlfn.AGGREGATE(15,6,(ROW(DD$359:DD$407)-ROW(DD$359)+1)/(DD$359:DD$407&lt;&gt;""),ROWS(DJ$1:DJ31))),"")</f>
        <v/>
      </c>
      <c r="DK389" s="166" t="str">
        <f t="shared" si="207"/>
        <v/>
      </c>
      <c r="DL389" s="164" t="str">
        <f>IFERROR(INDEX(DE$359:DE$407,_xlfn.AGGREGATE(15,6,(ROW(DE$359:DE$407)-ROW(DE$359)+1)/(DE$359:DE$407&lt;&gt;""),ROWS(DL$1:DL31))),"")</f>
        <v/>
      </c>
      <c r="DM389" s="165" t="str">
        <f>IFERROR(INDEX(DF$359:DF$407,_xlfn.AGGREGATE(15,6,(ROW(DF$359:DF$407)-ROW(DF$359)+1)/(DF$359:DF$407&lt;&gt;""),ROWS(DM$1:DM31))),"")</f>
        <v/>
      </c>
      <c r="DN389" s="166" t="str">
        <f t="shared" si="208"/>
        <v/>
      </c>
      <c r="DO389" s="164" t="str">
        <f>IFERROR(INDEX(DG$359:DG$407,_xlfn.AGGREGATE(15,6,(ROW(DG$359:DG$407)-ROW(DG$359)+1)/(DG$359:DG$407&lt;&gt;""),ROWS(DO$1:DO31))),"")</f>
        <v/>
      </c>
      <c r="DP389" s="165" t="str">
        <f>IFERROR(INDEX(DH$359:DH$407,_xlfn.AGGREGATE(15,6,(ROW(DH$359:DH$407)-ROW(DH$359)+1)/(DH$359:DH$407&lt;&gt;""),ROWS(DP$1:DP31))),"")</f>
        <v/>
      </c>
      <c r="DQ389" s="166" t="str">
        <f t="shared" si="209"/>
        <v/>
      </c>
      <c r="DV389" s="145">
        <v>2045</v>
      </c>
      <c r="DW389" s="235" t="e">
        <f t="shared" ca="1" si="193"/>
        <v>#REF!</v>
      </c>
      <c r="EA389" s="55"/>
      <c r="EB389" s="55"/>
      <c r="EC389" s="55"/>
      <c r="ED389" s="55"/>
      <c r="EE389" s="55"/>
    </row>
    <row r="390" spans="2:135" ht="13.8" x14ac:dyDescent="0.45">
      <c r="B390" s="128">
        <v>2043</v>
      </c>
      <c r="C390" s="1070"/>
      <c r="D390" s="1050"/>
      <c r="E390" s="1069"/>
      <c r="F390" s="1075"/>
      <c r="G390" s="1052"/>
      <c r="H390" s="1036"/>
      <c r="I390" s="1112"/>
      <c r="J390" s="247"/>
      <c r="K390" s="245"/>
      <c r="L390" s="246"/>
      <c r="M390" s="245"/>
      <c r="N390" s="29" t="s">
        <v>119</v>
      </c>
      <c r="O390" s="120"/>
      <c r="P390" s="120"/>
      <c r="Q390" s="120"/>
      <c r="R390" s="29">
        <v>29</v>
      </c>
      <c r="S390" s="238" t="str">
        <f t="shared" si="194"/>
        <v/>
      </c>
      <c r="T390" s="238" t="str">
        <f t="shared" si="195"/>
        <v/>
      </c>
      <c r="U390" s="238" t="str">
        <f t="shared" si="196"/>
        <v/>
      </c>
      <c r="W390" s="238" t="e">
        <f t="shared" si="197"/>
        <v>#N/A</v>
      </c>
      <c r="X390" s="238" t="e">
        <f t="shared" si="198"/>
        <v>#N/A</v>
      </c>
      <c r="Y390" s="238" t="e">
        <f t="shared" si="199"/>
        <v>#N/A</v>
      </c>
      <c r="AA390" s="1133">
        <v>340.96449771689493</v>
      </c>
      <c r="AB390" s="1133">
        <v>368.88837427477495</v>
      </c>
      <c r="AC390" s="1133">
        <v>396.81225083265497</v>
      </c>
      <c r="AD390" s="89"/>
      <c r="AE390" s="89"/>
      <c r="AF390" s="89"/>
      <c r="AG390" s="89"/>
      <c r="AH390" s="89"/>
      <c r="AI390" s="89"/>
      <c r="AJ390" s="89"/>
      <c r="AK390" s="89"/>
      <c r="AL390" s="89"/>
      <c r="AM390" s="89"/>
      <c r="AN390" s="89"/>
      <c r="BR390" s="180">
        <v>2041</v>
      </c>
      <c r="BS390" s="22">
        <v>27</v>
      </c>
      <c r="BT390" s="198" t="e">
        <f t="shared" si="210"/>
        <v>#DIV/0!</v>
      </c>
      <c r="BU390" s="276" t="e">
        <f t="shared" si="211"/>
        <v>#DIV/0!</v>
      </c>
      <c r="BV390" s="205" t="e">
        <f t="shared" si="212"/>
        <v>#DIV/0!</v>
      </c>
      <c r="BY390" s="180">
        <v>2041</v>
      </c>
      <c r="BZ390" s="22">
        <v>27</v>
      </c>
      <c r="CA390" s="198" t="e">
        <f t="shared" ca="1" si="213"/>
        <v>#REF!</v>
      </c>
      <c r="CB390" s="198" t="e">
        <f t="shared" ca="1" si="214"/>
        <v>#REF!</v>
      </c>
      <c r="CC390" s="276" t="e">
        <f t="shared" ca="1" si="225"/>
        <v>#REF!</v>
      </c>
      <c r="CD390" s="205" t="e">
        <f t="shared" ca="1" si="215"/>
        <v>#REF!</v>
      </c>
      <c r="CG390" s="180">
        <v>2041</v>
      </c>
      <c r="CH390" s="22">
        <v>27</v>
      </c>
      <c r="CI390" s="198" t="e">
        <f t="shared" ca="1" si="216"/>
        <v>#REF!</v>
      </c>
      <c r="CJ390" s="198" t="e">
        <f t="shared" ca="1" si="217"/>
        <v>#REF!</v>
      </c>
      <c r="CK390" s="198" t="e">
        <f t="shared" ca="1" si="218"/>
        <v>#REF!</v>
      </c>
      <c r="CL390" s="276" t="e">
        <f t="shared" ca="1" si="219"/>
        <v>#REF!</v>
      </c>
      <c r="CM390" s="205" t="e">
        <f t="shared" ca="1" si="220"/>
        <v>#REF!</v>
      </c>
      <c r="CP390" s="180">
        <v>2041</v>
      </c>
      <c r="CQ390" s="22">
        <v>27</v>
      </c>
      <c r="CR390" s="198" t="e">
        <f t="shared" ca="1" si="221"/>
        <v>#REF!</v>
      </c>
      <c r="CS390" s="276" t="e">
        <f t="shared" ca="1" si="222"/>
        <v>#REF!</v>
      </c>
      <c r="CT390" s="205" t="e">
        <f t="shared" ca="1" si="223"/>
        <v>#REF!</v>
      </c>
      <c r="CZ390" s="164" t="b">
        <f t="shared" si="200"/>
        <v>0</v>
      </c>
      <c r="DA390" s="165" t="b">
        <f t="shared" si="200"/>
        <v>0</v>
      </c>
      <c r="DB390" s="166" t="b">
        <f t="shared" si="200"/>
        <v>0</v>
      </c>
      <c r="DC390" s="164" t="str">
        <f t="shared" si="201"/>
        <v/>
      </c>
      <c r="DD390" s="166" t="str">
        <f t="shared" si="202"/>
        <v/>
      </c>
      <c r="DE390" s="164" t="str">
        <f t="shared" si="203"/>
        <v/>
      </c>
      <c r="DF390" s="166" t="str">
        <f t="shared" si="204"/>
        <v/>
      </c>
      <c r="DG390" s="164" t="str">
        <f t="shared" si="205"/>
        <v/>
      </c>
      <c r="DH390" s="166" t="str">
        <f t="shared" si="206"/>
        <v/>
      </c>
      <c r="DI390" s="164" t="str">
        <f>IFERROR(INDEX(DC$359:DC$407,_xlfn.AGGREGATE(15,6,(ROW(DC$359:DC$407)-ROW(DC$359)+1)/(DC$359:DC$407&lt;&gt;""),ROWS(DI$1:DI32))),"")</f>
        <v/>
      </c>
      <c r="DJ390" s="165" t="str">
        <f>IFERROR(INDEX(DD$359:DD$407,_xlfn.AGGREGATE(15,6,(ROW(DD$359:DD$407)-ROW(DD$359)+1)/(DD$359:DD$407&lt;&gt;""),ROWS(DJ$1:DJ32))),"")</f>
        <v/>
      </c>
      <c r="DK390" s="166" t="str">
        <f t="shared" si="207"/>
        <v/>
      </c>
      <c r="DL390" s="164" t="str">
        <f>IFERROR(INDEX(DE$359:DE$407,_xlfn.AGGREGATE(15,6,(ROW(DE$359:DE$407)-ROW(DE$359)+1)/(DE$359:DE$407&lt;&gt;""),ROWS(DL$1:DL32))),"")</f>
        <v/>
      </c>
      <c r="DM390" s="165" t="str">
        <f>IFERROR(INDEX(DF$359:DF$407,_xlfn.AGGREGATE(15,6,(ROW(DF$359:DF$407)-ROW(DF$359)+1)/(DF$359:DF$407&lt;&gt;""),ROWS(DM$1:DM32))),"")</f>
        <v/>
      </c>
      <c r="DN390" s="166" t="str">
        <f t="shared" si="208"/>
        <v/>
      </c>
      <c r="DO390" s="164" t="str">
        <f>IFERROR(INDEX(DG$359:DG$407,_xlfn.AGGREGATE(15,6,(ROW(DG$359:DG$407)-ROW(DG$359)+1)/(DG$359:DG$407&lt;&gt;""),ROWS(DO$1:DO32))),"")</f>
        <v/>
      </c>
      <c r="DP390" s="165" t="str">
        <f>IFERROR(INDEX(DH$359:DH$407,_xlfn.AGGREGATE(15,6,(ROW(DH$359:DH$407)-ROW(DH$359)+1)/(DH$359:DH$407&lt;&gt;""),ROWS(DP$1:DP32))),"")</f>
        <v/>
      </c>
      <c r="DQ390" s="166" t="str">
        <f t="shared" si="209"/>
        <v/>
      </c>
      <c r="DV390" s="145">
        <v>2046</v>
      </c>
      <c r="DW390" s="235" t="e">
        <f t="shared" ca="1" si="193"/>
        <v>#REF!</v>
      </c>
      <c r="EA390" s="55"/>
      <c r="EB390" s="55"/>
      <c r="EC390" s="55"/>
      <c r="ED390" s="55"/>
      <c r="EE390" s="55"/>
    </row>
    <row r="391" spans="2:135" ht="13.8" x14ac:dyDescent="0.45">
      <c r="B391" s="128">
        <v>2044</v>
      </c>
      <c r="C391" s="1070"/>
      <c r="D391" s="1050"/>
      <c r="E391" s="1069"/>
      <c r="F391" s="1075"/>
      <c r="G391" s="1052"/>
      <c r="H391" s="1036"/>
      <c r="I391" s="1112"/>
      <c r="J391" s="247"/>
      <c r="K391" s="245"/>
      <c r="L391" s="246"/>
      <c r="M391" s="245"/>
      <c r="N391" s="29" t="s">
        <v>119</v>
      </c>
      <c r="O391" s="120"/>
      <c r="P391" s="120"/>
      <c r="Q391" s="120"/>
      <c r="R391" s="29">
        <v>30</v>
      </c>
      <c r="S391" s="238" t="str">
        <f t="shared" ref="S391:S407" si="227">IF(MIN(C391:Q391)=0,"",MIN(C391:Q391))</f>
        <v/>
      </c>
      <c r="T391" s="238" t="str">
        <f t="shared" ref="T391:T407" si="228">IF(MAX(C391:Q391)=0,"",MAX(C391:Q391))</f>
        <v/>
      </c>
      <c r="U391" s="238" t="str">
        <f t="shared" ref="U391:U407" si="229">IF(T391="","",_xlfn.STDEV.P(C391:Q391))</f>
        <v/>
      </c>
      <c r="W391" s="238" t="e">
        <f t="shared" si="197"/>
        <v>#N/A</v>
      </c>
      <c r="X391" s="238" t="e">
        <f t="shared" ref="X391:X407" si="230">IF(U391="",#N/A,(SUM(C391:Q391)/COUNTIFS(C391:Q391,"&gt;0")))</f>
        <v>#N/A</v>
      </c>
      <c r="Y391" s="238" t="e">
        <f t="shared" si="199"/>
        <v>#N/A</v>
      </c>
      <c r="AA391" s="1133">
        <v>345.0127853881279</v>
      </c>
      <c r="AB391" s="1133">
        <v>372.13146710088756</v>
      </c>
      <c r="AC391" s="1133">
        <v>399.25014881364723</v>
      </c>
      <c r="AD391" s="89"/>
      <c r="AE391" s="89"/>
      <c r="AF391" s="89"/>
      <c r="AG391" s="89"/>
      <c r="AH391" s="89"/>
      <c r="AI391" s="89"/>
      <c r="AJ391" s="89"/>
      <c r="AK391" s="89"/>
      <c r="AL391" s="89"/>
      <c r="AM391" s="89"/>
      <c r="AN391" s="89"/>
      <c r="BR391" s="180">
        <v>2042</v>
      </c>
      <c r="BS391" s="22">
        <v>28</v>
      </c>
      <c r="BT391" s="198" t="e">
        <f t="shared" si="210"/>
        <v>#DIV/0!</v>
      </c>
      <c r="BU391" s="276" t="e">
        <f t="shared" si="211"/>
        <v>#DIV/0!</v>
      </c>
      <c r="BV391" s="205" t="e">
        <f t="shared" si="212"/>
        <v>#DIV/0!</v>
      </c>
      <c r="BY391" s="180">
        <v>2042</v>
      </c>
      <c r="BZ391" s="22">
        <v>28</v>
      </c>
      <c r="CA391" s="198" t="e">
        <f t="shared" ca="1" si="213"/>
        <v>#REF!</v>
      </c>
      <c r="CB391" s="198" t="e">
        <f t="shared" ca="1" si="214"/>
        <v>#REF!</v>
      </c>
      <c r="CC391" s="276" t="e">
        <f t="shared" ca="1" si="225"/>
        <v>#REF!</v>
      </c>
      <c r="CD391" s="205" t="e">
        <f t="shared" ca="1" si="215"/>
        <v>#REF!</v>
      </c>
      <c r="CG391" s="180">
        <v>2042</v>
      </c>
      <c r="CH391" s="22">
        <v>28</v>
      </c>
      <c r="CI391" s="198" t="e">
        <f t="shared" ca="1" si="216"/>
        <v>#REF!</v>
      </c>
      <c r="CJ391" s="198" t="e">
        <f t="shared" ca="1" si="217"/>
        <v>#REF!</v>
      </c>
      <c r="CK391" s="198" t="e">
        <f t="shared" ca="1" si="218"/>
        <v>#REF!</v>
      </c>
      <c r="CL391" s="276" t="e">
        <f t="shared" ca="1" si="219"/>
        <v>#REF!</v>
      </c>
      <c r="CM391" s="205" t="e">
        <f t="shared" ca="1" si="220"/>
        <v>#REF!</v>
      </c>
      <c r="CP391" s="180">
        <v>2042</v>
      </c>
      <c r="CQ391" s="22">
        <v>28</v>
      </c>
      <c r="CR391" s="198" t="e">
        <f t="shared" ca="1" si="221"/>
        <v>#REF!</v>
      </c>
      <c r="CS391" s="276" t="e">
        <f t="shared" ca="1" si="222"/>
        <v>#REF!</v>
      </c>
      <c r="CT391" s="205" t="e">
        <f t="shared" ca="1" si="223"/>
        <v>#REF!</v>
      </c>
      <c r="CZ391" s="164" t="b">
        <f t="shared" si="200"/>
        <v>0</v>
      </c>
      <c r="DA391" s="165" t="b">
        <f t="shared" si="200"/>
        <v>0</v>
      </c>
      <c r="DB391" s="166" t="b">
        <f t="shared" si="200"/>
        <v>0</v>
      </c>
      <c r="DC391" s="164" t="str">
        <f t="shared" si="201"/>
        <v/>
      </c>
      <c r="DD391" s="166" t="str">
        <f t="shared" si="202"/>
        <v/>
      </c>
      <c r="DE391" s="164" t="str">
        <f t="shared" si="203"/>
        <v/>
      </c>
      <c r="DF391" s="166" t="str">
        <f t="shared" si="204"/>
        <v/>
      </c>
      <c r="DG391" s="164" t="str">
        <f t="shared" si="205"/>
        <v/>
      </c>
      <c r="DH391" s="166" t="str">
        <f t="shared" si="206"/>
        <v/>
      </c>
      <c r="DI391" s="164" t="str">
        <f>IFERROR(INDEX(DC$359:DC$407,_xlfn.AGGREGATE(15,6,(ROW(DC$359:DC$407)-ROW(DC$359)+1)/(DC$359:DC$407&lt;&gt;""),ROWS(DI$1:DI33))),"")</f>
        <v/>
      </c>
      <c r="DJ391" s="165" t="str">
        <f>IFERROR(INDEX(DD$359:DD$407,_xlfn.AGGREGATE(15,6,(ROW(DD$359:DD$407)-ROW(DD$359)+1)/(DD$359:DD$407&lt;&gt;""),ROWS(DJ$1:DJ33))),"")</f>
        <v/>
      </c>
      <c r="DK391" s="166" t="str">
        <f t="shared" si="207"/>
        <v/>
      </c>
      <c r="DL391" s="164" t="str">
        <f>IFERROR(INDEX(DE$359:DE$407,_xlfn.AGGREGATE(15,6,(ROW(DE$359:DE$407)-ROW(DE$359)+1)/(DE$359:DE$407&lt;&gt;""),ROWS(DL$1:DL33))),"")</f>
        <v/>
      </c>
      <c r="DM391" s="165" t="str">
        <f>IFERROR(INDEX(DF$359:DF$407,_xlfn.AGGREGATE(15,6,(ROW(DF$359:DF$407)-ROW(DF$359)+1)/(DF$359:DF$407&lt;&gt;""),ROWS(DM$1:DM33))),"")</f>
        <v/>
      </c>
      <c r="DN391" s="166" t="str">
        <f t="shared" si="208"/>
        <v/>
      </c>
      <c r="DO391" s="164" t="str">
        <f>IFERROR(INDEX(DG$359:DG$407,_xlfn.AGGREGATE(15,6,(ROW(DG$359:DG$407)-ROW(DG$359)+1)/(DG$359:DG$407&lt;&gt;""),ROWS(DO$1:DO33))),"")</f>
        <v/>
      </c>
      <c r="DP391" s="165" t="str">
        <f>IFERROR(INDEX(DH$359:DH$407,_xlfn.AGGREGATE(15,6,(ROW(DH$359:DH$407)-ROW(DH$359)+1)/(DH$359:DH$407&lt;&gt;""),ROWS(DP$1:DP33))),"")</f>
        <v/>
      </c>
      <c r="DQ391" s="166" t="str">
        <f t="shared" si="209"/>
        <v/>
      </c>
      <c r="DV391" s="145">
        <v>2047</v>
      </c>
      <c r="DW391" s="235" t="e">
        <f t="shared" ca="1" si="193"/>
        <v>#REF!</v>
      </c>
      <c r="EA391" s="55"/>
      <c r="EB391" s="55"/>
      <c r="EC391" s="55"/>
      <c r="ED391" s="55"/>
      <c r="EE391" s="55"/>
    </row>
    <row r="392" spans="2:135" ht="13.8" x14ac:dyDescent="0.45">
      <c r="B392" s="128">
        <v>2045</v>
      </c>
      <c r="C392" s="1070"/>
      <c r="D392" s="1050"/>
      <c r="E392" s="1069"/>
      <c r="F392" s="1075"/>
      <c r="G392" s="1052"/>
      <c r="H392" s="1036"/>
      <c r="I392" s="1112"/>
      <c r="J392" s="247"/>
      <c r="K392" s="245"/>
      <c r="L392" s="246"/>
      <c r="M392" s="245"/>
      <c r="N392" s="29" t="s">
        <v>119</v>
      </c>
      <c r="O392" s="120"/>
      <c r="P392" s="120"/>
      <c r="Q392" s="120"/>
      <c r="R392" s="29">
        <v>31</v>
      </c>
      <c r="S392" s="238" t="str">
        <f t="shared" si="227"/>
        <v/>
      </c>
      <c r="T392" s="238" t="str">
        <f t="shared" si="228"/>
        <v/>
      </c>
      <c r="U392" s="238" t="str">
        <f t="shared" si="229"/>
        <v/>
      </c>
      <c r="W392" s="238" t="e">
        <f t="shared" si="197"/>
        <v>#N/A</v>
      </c>
      <c r="X392" s="238" t="e">
        <f t="shared" si="230"/>
        <v>#N/A</v>
      </c>
      <c r="Y392" s="238" t="e">
        <f t="shared" si="199"/>
        <v>#N/A</v>
      </c>
      <c r="AA392" s="1133">
        <v>349.06107305936075</v>
      </c>
      <c r="AB392" s="1133">
        <v>375.41515751045313</v>
      </c>
      <c r="AC392" s="1133">
        <v>401.7692419615455</v>
      </c>
      <c r="AD392" s="89"/>
      <c r="AE392" s="89"/>
      <c r="AF392" s="89"/>
      <c r="AG392" s="89"/>
      <c r="AH392" s="89"/>
      <c r="AI392" s="89"/>
      <c r="AJ392" s="89"/>
      <c r="AK392" s="89"/>
      <c r="AL392" s="89"/>
      <c r="AM392" s="89"/>
      <c r="AN392" s="89"/>
      <c r="BR392" s="180">
        <v>2043</v>
      </c>
      <c r="BS392" s="22">
        <v>29</v>
      </c>
      <c r="BT392" s="198" t="e">
        <f t="shared" si="210"/>
        <v>#DIV/0!</v>
      </c>
      <c r="BU392" s="276" t="e">
        <f t="shared" si="211"/>
        <v>#DIV/0!</v>
      </c>
      <c r="BV392" s="205" t="e">
        <f t="shared" si="212"/>
        <v>#DIV/0!</v>
      </c>
      <c r="BY392" s="180">
        <v>2043</v>
      </c>
      <c r="BZ392" s="22">
        <v>29</v>
      </c>
      <c r="CA392" s="198" t="e">
        <f t="shared" ca="1" si="213"/>
        <v>#REF!</v>
      </c>
      <c r="CB392" s="198" t="e">
        <f t="shared" ca="1" si="214"/>
        <v>#REF!</v>
      </c>
      <c r="CC392" s="276" t="e">
        <f t="shared" ca="1" si="225"/>
        <v>#REF!</v>
      </c>
      <c r="CD392" s="205" t="e">
        <f t="shared" ca="1" si="215"/>
        <v>#REF!</v>
      </c>
      <c r="CG392" s="180">
        <v>2043</v>
      </c>
      <c r="CH392" s="22">
        <v>29</v>
      </c>
      <c r="CI392" s="198" t="e">
        <f t="shared" ca="1" si="216"/>
        <v>#REF!</v>
      </c>
      <c r="CJ392" s="198" t="e">
        <f t="shared" ca="1" si="217"/>
        <v>#REF!</v>
      </c>
      <c r="CK392" s="198" t="e">
        <f t="shared" ca="1" si="218"/>
        <v>#REF!</v>
      </c>
      <c r="CL392" s="276" t="e">
        <f t="shared" ca="1" si="219"/>
        <v>#REF!</v>
      </c>
      <c r="CM392" s="205" t="e">
        <f t="shared" ca="1" si="220"/>
        <v>#REF!</v>
      </c>
      <c r="CP392" s="180">
        <v>2043</v>
      </c>
      <c r="CQ392" s="22">
        <v>29</v>
      </c>
      <c r="CR392" s="198" t="e">
        <f t="shared" ca="1" si="221"/>
        <v>#REF!</v>
      </c>
      <c r="CS392" s="276" t="e">
        <f t="shared" ca="1" si="222"/>
        <v>#REF!</v>
      </c>
      <c r="CT392" s="205" t="e">
        <f t="shared" ca="1" si="223"/>
        <v>#REF!</v>
      </c>
      <c r="CZ392" s="164" t="b">
        <f t="shared" si="200"/>
        <v>0</v>
      </c>
      <c r="DA392" s="165" t="b">
        <f t="shared" si="200"/>
        <v>0</v>
      </c>
      <c r="DB392" s="166" t="b">
        <f t="shared" si="200"/>
        <v>0</v>
      </c>
      <c r="DC392" s="164" t="str">
        <f t="shared" si="201"/>
        <v/>
      </c>
      <c r="DD392" s="166" t="str">
        <f t="shared" si="202"/>
        <v/>
      </c>
      <c r="DE392" s="164" t="str">
        <f t="shared" si="203"/>
        <v/>
      </c>
      <c r="DF392" s="166" t="str">
        <f t="shared" si="204"/>
        <v/>
      </c>
      <c r="DG392" s="164" t="str">
        <f t="shared" si="205"/>
        <v/>
      </c>
      <c r="DH392" s="166" t="str">
        <f t="shared" si="206"/>
        <v/>
      </c>
      <c r="DI392" s="164" t="str">
        <f>IFERROR(INDEX(DC$359:DC$407,_xlfn.AGGREGATE(15,6,(ROW(DC$359:DC$407)-ROW(DC$359)+1)/(DC$359:DC$407&lt;&gt;""),ROWS(DI$1:DI34))),"")</f>
        <v/>
      </c>
      <c r="DJ392" s="165" t="str">
        <f>IFERROR(INDEX(DD$359:DD$407,_xlfn.AGGREGATE(15,6,(ROW(DD$359:DD$407)-ROW(DD$359)+1)/(DD$359:DD$407&lt;&gt;""),ROWS(DJ$1:DJ34))),"")</f>
        <v/>
      </c>
      <c r="DK392" s="166" t="str">
        <f t="shared" si="207"/>
        <v/>
      </c>
      <c r="DL392" s="164" t="str">
        <f>IFERROR(INDEX(DE$359:DE$407,_xlfn.AGGREGATE(15,6,(ROW(DE$359:DE$407)-ROW(DE$359)+1)/(DE$359:DE$407&lt;&gt;""),ROWS(DL$1:DL34))),"")</f>
        <v/>
      </c>
      <c r="DM392" s="165" t="str">
        <f>IFERROR(INDEX(DF$359:DF$407,_xlfn.AGGREGATE(15,6,(ROW(DF$359:DF$407)-ROW(DF$359)+1)/(DF$359:DF$407&lt;&gt;""),ROWS(DM$1:DM34))),"")</f>
        <v/>
      </c>
      <c r="DN392" s="166" t="str">
        <f t="shared" si="208"/>
        <v/>
      </c>
      <c r="DO392" s="164" t="str">
        <f>IFERROR(INDEX(DG$359:DG$407,_xlfn.AGGREGATE(15,6,(ROW(DG$359:DG$407)-ROW(DG$359)+1)/(DG$359:DG$407&lt;&gt;""),ROWS(DO$1:DO34))),"")</f>
        <v/>
      </c>
      <c r="DP392" s="165" t="str">
        <f>IFERROR(INDEX(DH$359:DH$407,_xlfn.AGGREGATE(15,6,(ROW(DH$359:DH$407)-ROW(DH$359)+1)/(DH$359:DH$407&lt;&gt;""),ROWS(DP$1:DP34))),"")</f>
        <v/>
      </c>
      <c r="DQ392" s="166" t="str">
        <f t="shared" si="209"/>
        <v/>
      </c>
      <c r="DV392" s="145">
        <v>2048</v>
      </c>
      <c r="DW392" s="235" t="e">
        <f t="shared" ca="1" si="193"/>
        <v>#REF!</v>
      </c>
      <c r="EA392" s="55"/>
      <c r="EB392" s="55"/>
      <c r="EC392" s="55"/>
      <c r="ED392" s="55"/>
      <c r="EE392" s="55"/>
    </row>
    <row r="393" spans="2:135" ht="13.8" x14ac:dyDescent="0.45">
      <c r="B393" s="128">
        <v>2046</v>
      </c>
      <c r="C393" s="1070"/>
      <c r="D393" s="1050"/>
      <c r="E393" s="1069"/>
      <c r="F393" s="1075"/>
      <c r="G393" s="1052"/>
      <c r="H393" s="1036"/>
      <c r="I393" s="1112"/>
      <c r="J393" s="247"/>
      <c r="K393" s="245"/>
      <c r="L393" s="246"/>
      <c r="M393" s="245"/>
      <c r="N393" s="29" t="s">
        <v>119</v>
      </c>
      <c r="O393" s="120"/>
      <c r="P393" s="120"/>
      <c r="Q393" s="120"/>
      <c r="R393" s="29">
        <v>32</v>
      </c>
      <c r="S393" s="238" t="str">
        <f t="shared" si="227"/>
        <v/>
      </c>
      <c r="T393" s="238" t="str">
        <f t="shared" si="228"/>
        <v/>
      </c>
      <c r="U393" s="238" t="str">
        <f t="shared" si="229"/>
        <v/>
      </c>
      <c r="W393" s="238" t="e">
        <f t="shared" si="197"/>
        <v>#N/A</v>
      </c>
      <c r="X393" s="238" t="e">
        <f t="shared" si="230"/>
        <v>#N/A</v>
      </c>
      <c r="Y393" s="238" t="e">
        <f t="shared" si="199"/>
        <v>#N/A</v>
      </c>
      <c r="AA393" s="1133">
        <v>353.10936073059361</v>
      </c>
      <c r="AB393" s="1133">
        <v>378.50502937953888</v>
      </c>
      <c r="AC393" s="1133">
        <v>403.90069802848416</v>
      </c>
      <c r="AD393" s="89"/>
      <c r="AE393" s="89"/>
      <c r="AF393" s="89"/>
      <c r="AG393" s="89"/>
      <c r="AH393" s="89"/>
      <c r="AI393" s="89"/>
      <c r="AJ393" s="89"/>
      <c r="AK393" s="89"/>
      <c r="AL393" s="89"/>
      <c r="AM393" s="89"/>
      <c r="AN393" s="89"/>
      <c r="BR393" s="180">
        <v>2044</v>
      </c>
      <c r="BS393" s="22">
        <v>30</v>
      </c>
      <c r="BT393" s="198" t="e">
        <f t="shared" si="210"/>
        <v>#DIV/0!</v>
      </c>
      <c r="BU393" s="276" t="e">
        <f t="shared" si="211"/>
        <v>#DIV/0!</v>
      </c>
      <c r="BV393" s="205" t="e">
        <f t="shared" si="212"/>
        <v>#DIV/0!</v>
      </c>
      <c r="BY393" s="180">
        <v>2044</v>
      </c>
      <c r="BZ393" s="22">
        <v>30</v>
      </c>
      <c r="CA393" s="198" t="e">
        <f t="shared" ca="1" si="213"/>
        <v>#REF!</v>
      </c>
      <c r="CB393" s="198" t="e">
        <f t="shared" ca="1" si="214"/>
        <v>#REF!</v>
      </c>
      <c r="CC393" s="276" t="e">
        <f t="shared" ca="1" si="225"/>
        <v>#REF!</v>
      </c>
      <c r="CD393" s="205" t="e">
        <f t="shared" ca="1" si="215"/>
        <v>#REF!</v>
      </c>
      <c r="CG393" s="180">
        <v>2044</v>
      </c>
      <c r="CH393" s="22">
        <v>30</v>
      </c>
      <c r="CI393" s="198" t="e">
        <f t="shared" ca="1" si="216"/>
        <v>#REF!</v>
      </c>
      <c r="CJ393" s="198" t="e">
        <f t="shared" ca="1" si="217"/>
        <v>#REF!</v>
      </c>
      <c r="CK393" s="198" t="e">
        <f t="shared" ca="1" si="218"/>
        <v>#REF!</v>
      </c>
      <c r="CL393" s="276" t="e">
        <f t="shared" ca="1" si="219"/>
        <v>#REF!</v>
      </c>
      <c r="CM393" s="205" t="e">
        <f t="shared" ca="1" si="220"/>
        <v>#REF!</v>
      </c>
      <c r="CP393" s="180">
        <v>2044</v>
      </c>
      <c r="CQ393" s="22">
        <v>30</v>
      </c>
      <c r="CR393" s="198" t="e">
        <f t="shared" ca="1" si="221"/>
        <v>#REF!</v>
      </c>
      <c r="CS393" s="276" t="e">
        <f t="shared" ca="1" si="222"/>
        <v>#REF!</v>
      </c>
      <c r="CT393" s="205" t="e">
        <f t="shared" ca="1" si="223"/>
        <v>#REF!</v>
      </c>
      <c r="CZ393" s="164" t="b">
        <f t="shared" si="200"/>
        <v>0</v>
      </c>
      <c r="DA393" s="165" t="b">
        <f t="shared" si="200"/>
        <v>0</v>
      </c>
      <c r="DB393" s="166" t="b">
        <f t="shared" si="200"/>
        <v>0</v>
      </c>
      <c r="DC393" s="164" t="str">
        <f t="shared" si="201"/>
        <v/>
      </c>
      <c r="DD393" s="166" t="str">
        <f t="shared" si="202"/>
        <v/>
      </c>
      <c r="DE393" s="164" t="str">
        <f t="shared" si="203"/>
        <v/>
      </c>
      <c r="DF393" s="166" t="str">
        <f t="shared" si="204"/>
        <v/>
      </c>
      <c r="DG393" s="164" t="str">
        <f t="shared" si="205"/>
        <v/>
      </c>
      <c r="DH393" s="166" t="str">
        <f t="shared" si="206"/>
        <v/>
      </c>
      <c r="DI393" s="164" t="str">
        <f>IFERROR(INDEX(DC$359:DC$407,_xlfn.AGGREGATE(15,6,(ROW(DC$359:DC$407)-ROW(DC$359)+1)/(DC$359:DC$407&lt;&gt;""),ROWS(DI$1:DI35))),"")</f>
        <v/>
      </c>
      <c r="DJ393" s="165" t="str">
        <f>IFERROR(INDEX(DD$359:DD$407,_xlfn.AGGREGATE(15,6,(ROW(DD$359:DD$407)-ROW(DD$359)+1)/(DD$359:DD$407&lt;&gt;""),ROWS(DJ$1:DJ35))),"")</f>
        <v/>
      </c>
      <c r="DK393" s="166" t="str">
        <f t="shared" si="207"/>
        <v/>
      </c>
      <c r="DL393" s="164" t="str">
        <f>IFERROR(INDEX(DE$359:DE$407,_xlfn.AGGREGATE(15,6,(ROW(DE$359:DE$407)-ROW(DE$359)+1)/(DE$359:DE$407&lt;&gt;""),ROWS(DL$1:DL35))),"")</f>
        <v/>
      </c>
      <c r="DM393" s="165" t="str">
        <f>IFERROR(INDEX(DF$359:DF$407,_xlfn.AGGREGATE(15,6,(ROW(DF$359:DF$407)-ROW(DF$359)+1)/(DF$359:DF$407&lt;&gt;""),ROWS(DM$1:DM35))),"")</f>
        <v/>
      </c>
      <c r="DN393" s="166" t="str">
        <f t="shared" si="208"/>
        <v/>
      </c>
      <c r="DO393" s="164" t="str">
        <f>IFERROR(INDEX(DG$359:DG$407,_xlfn.AGGREGATE(15,6,(ROW(DG$359:DG$407)-ROW(DG$359)+1)/(DG$359:DG$407&lt;&gt;""),ROWS(DO$1:DO35))),"")</f>
        <v/>
      </c>
      <c r="DP393" s="165" t="str">
        <f>IFERROR(INDEX(DH$359:DH$407,_xlfn.AGGREGATE(15,6,(ROW(DH$359:DH$407)-ROW(DH$359)+1)/(DH$359:DH$407&lt;&gt;""),ROWS(DP$1:DP35))),"")</f>
        <v/>
      </c>
      <c r="DQ393" s="166" t="str">
        <f t="shared" si="209"/>
        <v/>
      </c>
      <c r="DV393" s="145">
        <v>2049</v>
      </c>
      <c r="DW393" s="235" t="e">
        <f t="shared" ca="1" si="193"/>
        <v>#REF!</v>
      </c>
      <c r="EA393" s="55"/>
      <c r="EB393" s="55"/>
      <c r="EC393" s="55"/>
      <c r="ED393" s="55"/>
      <c r="EE393" s="55"/>
    </row>
    <row r="394" spans="2:135" ht="13.8" x14ac:dyDescent="0.45">
      <c r="B394" s="128">
        <v>2047</v>
      </c>
      <c r="C394" s="1070"/>
      <c r="D394" s="1050"/>
      <c r="E394" s="1069"/>
      <c r="F394" s="1075"/>
      <c r="G394" s="1052"/>
      <c r="H394" s="1036"/>
      <c r="I394" s="1112"/>
      <c r="J394" s="247"/>
      <c r="K394" s="245"/>
      <c r="L394" s="246"/>
      <c r="M394" s="245"/>
      <c r="N394" s="29" t="s">
        <v>119</v>
      </c>
      <c r="O394" s="120"/>
      <c r="P394" s="120"/>
      <c r="Q394" s="120"/>
      <c r="R394" s="29">
        <v>33</v>
      </c>
      <c r="S394" s="238" t="str">
        <f t="shared" si="227"/>
        <v/>
      </c>
      <c r="T394" s="238" t="str">
        <f t="shared" si="228"/>
        <v/>
      </c>
      <c r="U394" s="238" t="str">
        <f t="shared" si="229"/>
        <v/>
      </c>
      <c r="W394" s="238" t="e">
        <f t="shared" si="197"/>
        <v>#N/A</v>
      </c>
      <c r="X394" s="238" t="e">
        <f t="shared" si="230"/>
        <v>#N/A</v>
      </c>
      <c r="Y394" s="238" t="e">
        <f t="shared" si="199"/>
        <v>#N/A</v>
      </c>
      <c r="AA394" s="1133">
        <v>357.15764840182646</v>
      </c>
      <c r="AB394" s="1133">
        <v>381.61126639878267</v>
      </c>
      <c r="AC394" s="1133">
        <v>406.06488439573889</v>
      </c>
      <c r="AD394" s="89"/>
      <c r="AE394" s="89"/>
      <c r="AF394" s="89"/>
      <c r="AG394" s="89"/>
      <c r="AH394" s="89"/>
      <c r="AI394" s="89"/>
      <c r="AJ394" s="89"/>
      <c r="AK394" s="89"/>
      <c r="AL394" s="89"/>
      <c r="AM394" s="89"/>
      <c r="AN394" s="89"/>
      <c r="BR394" s="180">
        <v>2045</v>
      </c>
      <c r="BS394" s="22">
        <v>31</v>
      </c>
      <c r="BT394" s="198" t="e">
        <f t="shared" si="210"/>
        <v>#DIV/0!</v>
      </c>
      <c r="BU394" s="198" t="e">
        <f t="shared" si="211"/>
        <v>#DIV/0!</v>
      </c>
      <c r="BV394" s="205" t="e">
        <f t="shared" si="212"/>
        <v>#DIV/0!</v>
      </c>
      <c r="BY394" s="180">
        <v>2045</v>
      </c>
      <c r="BZ394" s="22">
        <v>31</v>
      </c>
      <c r="CA394" s="198" t="e">
        <f t="shared" ca="1" si="213"/>
        <v>#REF!</v>
      </c>
      <c r="CB394" s="198" t="e">
        <f t="shared" ca="1" si="214"/>
        <v>#REF!</v>
      </c>
      <c r="CC394" s="198" t="e">
        <f t="shared" ca="1" si="225"/>
        <v>#REF!</v>
      </c>
      <c r="CD394" s="205" t="e">
        <f t="shared" ca="1" si="215"/>
        <v>#REF!</v>
      </c>
      <c r="CG394" s="180">
        <v>2045</v>
      </c>
      <c r="CH394" s="22">
        <v>31</v>
      </c>
      <c r="CI394" s="198" t="e">
        <f t="shared" ca="1" si="216"/>
        <v>#REF!</v>
      </c>
      <c r="CJ394" s="198" t="e">
        <f t="shared" ca="1" si="217"/>
        <v>#REF!</v>
      </c>
      <c r="CK394" s="198" t="e">
        <f t="shared" ca="1" si="218"/>
        <v>#REF!</v>
      </c>
      <c r="CL394" s="198" t="e">
        <f t="shared" ca="1" si="219"/>
        <v>#REF!</v>
      </c>
      <c r="CM394" s="205" t="e">
        <f t="shared" ca="1" si="220"/>
        <v>#REF!</v>
      </c>
      <c r="CP394" s="180">
        <v>2045</v>
      </c>
      <c r="CQ394" s="22">
        <v>31</v>
      </c>
      <c r="CR394" s="198" t="e">
        <f t="shared" ca="1" si="221"/>
        <v>#REF!</v>
      </c>
      <c r="CS394" s="198" t="e">
        <f t="shared" ca="1" si="222"/>
        <v>#REF!</v>
      </c>
      <c r="CT394" s="205" t="e">
        <f t="shared" ca="1" si="223"/>
        <v>#REF!</v>
      </c>
      <c r="CZ394" s="164" t="b">
        <f t="shared" si="200"/>
        <v>0</v>
      </c>
      <c r="DA394" s="165" t="b">
        <f t="shared" si="200"/>
        <v>0</v>
      </c>
      <c r="DB394" s="166" t="b">
        <f t="shared" si="200"/>
        <v>0</v>
      </c>
      <c r="DC394" s="164" t="str">
        <f t="shared" si="201"/>
        <v/>
      </c>
      <c r="DD394" s="166" t="str">
        <f t="shared" si="202"/>
        <v/>
      </c>
      <c r="DE394" s="164" t="str">
        <f t="shared" si="203"/>
        <v/>
      </c>
      <c r="DF394" s="166" t="str">
        <f t="shared" si="204"/>
        <v/>
      </c>
      <c r="DG394" s="164" t="str">
        <f t="shared" si="205"/>
        <v/>
      </c>
      <c r="DH394" s="166" t="str">
        <f t="shared" si="206"/>
        <v/>
      </c>
      <c r="DI394" s="164" t="str">
        <f>IFERROR(INDEX(DC$359:DC$407,_xlfn.AGGREGATE(15,6,(ROW(DC$359:DC$407)-ROW(DC$359)+1)/(DC$359:DC$407&lt;&gt;""),ROWS(DI$1:DI36))),"")</f>
        <v/>
      </c>
      <c r="DJ394" s="165" t="str">
        <f>IFERROR(INDEX(DD$359:DD$407,_xlfn.AGGREGATE(15,6,(ROW(DD$359:DD$407)-ROW(DD$359)+1)/(DD$359:DD$407&lt;&gt;""),ROWS(DJ$1:DJ36))),"")</f>
        <v/>
      </c>
      <c r="DK394" s="166" t="str">
        <f t="shared" si="207"/>
        <v/>
      </c>
      <c r="DL394" s="164" t="str">
        <f>IFERROR(INDEX(DE$359:DE$407,_xlfn.AGGREGATE(15,6,(ROW(DE$359:DE$407)-ROW(DE$359)+1)/(DE$359:DE$407&lt;&gt;""),ROWS(DL$1:DL36))),"")</f>
        <v/>
      </c>
      <c r="DM394" s="165" t="str">
        <f>IFERROR(INDEX(DF$359:DF$407,_xlfn.AGGREGATE(15,6,(ROW(DF$359:DF$407)-ROW(DF$359)+1)/(DF$359:DF$407&lt;&gt;""),ROWS(DM$1:DM36))),"")</f>
        <v/>
      </c>
      <c r="DN394" s="166" t="str">
        <f t="shared" si="208"/>
        <v/>
      </c>
      <c r="DO394" s="164" t="str">
        <f>IFERROR(INDEX(DG$359:DG$407,_xlfn.AGGREGATE(15,6,(ROW(DG$359:DG$407)-ROW(DG$359)+1)/(DG$359:DG$407&lt;&gt;""),ROWS(DO$1:DO36))),"")</f>
        <v/>
      </c>
      <c r="DP394" s="165" t="str">
        <f>IFERROR(INDEX(DH$359:DH$407,_xlfn.AGGREGATE(15,6,(ROW(DH$359:DH$407)-ROW(DH$359)+1)/(DH$359:DH$407&lt;&gt;""),ROWS(DP$1:DP36))),"")</f>
        <v/>
      </c>
      <c r="DQ394" s="166" t="str">
        <f t="shared" si="209"/>
        <v/>
      </c>
      <c r="DV394" s="145">
        <v>2050</v>
      </c>
      <c r="DW394" s="235" t="e">
        <f t="shared" ca="1" si="193"/>
        <v>#REF!</v>
      </c>
      <c r="EA394" s="55"/>
      <c r="EB394" s="55"/>
      <c r="EC394" s="55"/>
      <c r="ED394" s="55"/>
      <c r="EE394" s="55"/>
    </row>
    <row r="395" spans="2:135" ht="13.8" x14ac:dyDescent="0.45">
      <c r="B395" s="128">
        <v>2048</v>
      </c>
      <c r="C395" s="1070"/>
      <c r="D395" s="1050"/>
      <c r="E395" s="1069"/>
      <c r="F395" s="1075"/>
      <c r="G395" s="1052"/>
      <c r="H395" s="1036"/>
      <c r="I395" s="1112"/>
      <c r="J395" s="247"/>
      <c r="K395" s="245"/>
      <c r="L395" s="246"/>
      <c r="M395" s="245"/>
      <c r="N395" s="29" t="s">
        <v>119</v>
      </c>
      <c r="O395" s="120"/>
      <c r="P395" s="120"/>
      <c r="Q395" s="120"/>
      <c r="R395" s="29">
        <v>34</v>
      </c>
      <c r="S395" s="238" t="str">
        <f t="shared" si="227"/>
        <v/>
      </c>
      <c r="T395" s="238" t="str">
        <f t="shared" si="228"/>
        <v/>
      </c>
      <c r="U395" s="238" t="str">
        <f t="shared" si="229"/>
        <v/>
      </c>
      <c r="W395" s="238" t="e">
        <f t="shared" si="197"/>
        <v>#N/A</v>
      </c>
      <c r="X395" s="238" t="e">
        <f t="shared" si="230"/>
        <v>#N/A</v>
      </c>
      <c r="Y395" s="238" t="e">
        <f t="shared" si="199"/>
        <v>#N/A</v>
      </c>
      <c r="AA395" s="1133">
        <v>361.20593607305932</v>
      </c>
      <c r="AB395" s="1133">
        <v>384.67229168439553</v>
      </c>
      <c r="AC395" s="1133">
        <v>408.13864729573174</v>
      </c>
      <c r="AD395" s="89"/>
      <c r="AE395" s="89"/>
      <c r="AF395" s="89"/>
      <c r="AG395" s="89"/>
      <c r="AH395" s="89"/>
      <c r="AI395" s="89"/>
      <c r="AJ395" s="89"/>
      <c r="AK395" s="89"/>
      <c r="AL395" s="89"/>
      <c r="AM395" s="89"/>
      <c r="AN395" s="89"/>
      <c r="BR395" s="180">
        <v>2046</v>
      </c>
      <c r="BS395" s="22">
        <v>32</v>
      </c>
      <c r="BT395" s="198" t="e">
        <f t="shared" si="210"/>
        <v>#DIV/0!</v>
      </c>
      <c r="BU395" s="198" t="e">
        <f t="shared" si="211"/>
        <v>#DIV/0!</v>
      </c>
      <c r="BV395" s="205" t="e">
        <f t="shared" si="212"/>
        <v>#DIV/0!</v>
      </c>
      <c r="BY395" s="180">
        <v>2046</v>
      </c>
      <c r="BZ395" s="22">
        <v>32</v>
      </c>
      <c r="CA395" s="198" t="e">
        <f t="shared" ca="1" si="213"/>
        <v>#REF!</v>
      </c>
      <c r="CB395" s="198" t="e">
        <f t="shared" ca="1" si="214"/>
        <v>#REF!</v>
      </c>
      <c r="CC395" s="198" t="e">
        <f t="shared" ca="1" si="225"/>
        <v>#REF!</v>
      </c>
      <c r="CD395" s="205" t="e">
        <f t="shared" ca="1" si="215"/>
        <v>#REF!</v>
      </c>
      <c r="CG395" s="180">
        <v>2046</v>
      </c>
      <c r="CH395" s="22">
        <v>32</v>
      </c>
      <c r="CI395" s="198" t="e">
        <f t="shared" ca="1" si="216"/>
        <v>#REF!</v>
      </c>
      <c r="CJ395" s="198" t="e">
        <f t="shared" ca="1" si="217"/>
        <v>#REF!</v>
      </c>
      <c r="CK395" s="198" t="e">
        <f t="shared" ca="1" si="218"/>
        <v>#REF!</v>
      </c>
      <c r="CL395" s="198" t="e">
        <f t="shared" ca="1" si="219"/>
        <v>#REF!</v>
      </c>
      <c r="CM395" s="205" t="e">
        <f t="shared" ca="1" si="220"/>
        <v>#REF!</v>
      </c>
      <c r="CP395" s="180">
        <v>2046</v>
      </c>
      <c r="CQ395" s="22">
        <v>32</v>
      </c>
      <c r="CR395" s="198" t="e">
        <f t="shared" ca="1" si="221"/>
        <v>#REF!</v>
      </c>
      <c r="CS395" s="198" t="e">
        <f t="shared" ca="1" si="222"/>
        <v>#REF!</v>
      </c>
      <c r="CT395" s="205" t="e">
        <f t="shared" ca="1" si="223"/>
        <v>#REF!</v>
      </c>
      <c r="CZ395" s="164" t="b">
        <f t="shared" si="200"/>
        <v>0</v>
      </c>
      <c r="DA395" s="165" t="b">
        <f t="shared" si="200"/>
        <v>0</v>
      </c>
      <c r="DB395" s="166" t="b">
        <f t="shared" si="200"/>
        <v>0</v>
      </c>
      <c r="DC395" s="164" t="str">
        <f t="shared" si="201"/>
        <v/>
      </c>
      <c r="DD395" s="166" t="str">
        <f t="shared" si="202"/>
        <v/>
      </c>
      <c r="DE395" s="164" t="str">
        <f t="shared" si="203"/>
        <v/>
      </c>
      <c r="DF395" s="166" t="str">
        <f t="shared" si="204"/>
        <v/>
      </c>
      <c r="DG395" s="164" t="str">
        <f t="shared" si="205"/>
        <v/>
      </c>
      <c r="DH395" s="166" t="str">
        <f t="shared" si="206"/>
        <v/>
      </c>
      <c r="DI395" s="164" t="str">
        <f>IFERROR(INDEX(DC$359:DC$407,_xlfn.AGGREGATE(15,6,(ROW(DC$359:DC$407)-ROW(DC$359)+1)/(DC$359:DC$407&lt;&gt;""),ROWS(DI$1:DI37))),"")</f>
        <v/>
      </c>
      <c r="DJ395" s="165" t="str">
        <f>IFERROR(INDEX(DD$359:DD$407,_xlfn.AGGREGATE(15,6,(ROW(DD$359:DD$407)-ROW(DD$359)+1)/(DD$359:DD$407&lt;&gt;""),ROWS(DJ$1:DJ37))),"")</f>
        <v/>
      </c>
      <c r="DK395" s="166" t="str">
        <f t="shared" si="207"/>
        <v/>
      </c>
      <c r="DL395" s="164" t="str">
        <f>IFERROR(INDEX(DE$359:DE$407,_xlfn.AGGREGATE(15,6,(ROW(DE$359:DE$407)-ROW(DE$359)+1)/(DE$359:DE$407&lt;&gt;""),ROWS(DL$1:DL37))),"")</f>
        <v/>
      </c>
      <c r="DM395" s="165" t="str">
        <f>IFERROR(INDEX(DF$359:DF$407,_xlfn.AGGREGATE(15,6,(ROW(DF$359:DF$407)-ROW(DF$359)+1)/(DF$359:DF$407&lt;&gt;""),ROWS(DM$1:DM37))),"")</f>
        <v/>
      </c>
      <c r="DN395" s="166" t="str">
        <f t="shared" si="208"/>
        <v/>
      </c>
      <c r="DO395" s="164" t="str">
        <f>IFERROR(INDEX(DG$359:DG$407,_xlfn.AGGREGATE(15,6,(ROW(DG$359:DG$407)-ROW(DG$359)+1)/(DG$359:DG$407&lt;&gt;""),ROWS(DO$1:DO37))),"")</f>
        <v/>
      </c>
      <c r="DP395" s="165" t="str">
        <f>IFERROR(INDEX(DH$359:DH$407,_xlfn.AGGREGATE(15,6,(ROW(DH$359:DH$407)-ROW(DH$359)+1)/(DH$359:DH$407&lt;&gt;""),ROWS(DP$1:DP37))),"")</f>
        <v/>
      </c>
      <c r="DQ395" s="166" t="str">
        <f t="shared" si="209"/>
        <v/>
      </c>
      <c r="DV395" s="145">
        <v>2051</v>
      </c>
      <c r="DW395" s="235" t="e">
        <f t="shared" ca="1" si="193"/>
        <v>#REF!</v>
      </c>
      <c r="EA395" s="55"/>
      <c r="EB395" s="55"/>
      <c r="EC395" s="55"/>
      <c r="ED395" s="55"/>
      <c r="EE395" s="55"/>
    </row>
    <row r="396" spans="2:135" ht="13.8" x14ac:dyDescent="0.45">
      <c r="B396" s="128">
        <v>2049</v>
      </c>
      <c r="C396" s="1070"/>
      <c r="D396" s="1050"/>
      <c r="E396" s="1069"/>
      <c r="F396" s="1075"/>
      <c r="G396" s="1052"/>
      <c r="H396" s="1036"/>
      <c r="I396" s="1112"/>
      <c r="J396" s="247"/>
      <c r="K396" s="245"/>
      <c r="L396" s="246"/>
      <c r="M396" s="245"/>
      <c r="N396" s="29" t="s">
        <v>119</v>
      </c>
      <c r="O396" s="120"/>
      <c r="P396" s="120"/>
      <c r="Q396" s="120"/>
      <c r="R396" s="29">
        <v>35</v>
      </c>
      <c r="S396" s="238" t="str">
        <f t="shared" si="227"/>
        <v/>
      </c>
      <c r="T396" s="238" t="str">
        <f t="shared" si="228"/>
        <v/>
      </c>
      <c r="U396" s="238" t="str">
        <f t="shared" si="229"/>
        <v/>
      </c>
      <c r="W396" s="238" t="e">
        <f t="shared" si="197"/>
        <v>#N/A</v>
      </c>
      <c r="X396" s="238" t="e">
        <f t="shared" si="230"/>
        <v>#N/A</v>
      </c>
      <c r="Y396" s="238" t="e">
        <f t="shared" si="199"/>
        <v>#N/A</v>
      </c>
      <c r="AA396" s="1133">
        <v>365.25422374429229</v>
      </c>
      <c r="AB396" s="1133">
        <v>387.69114014181821</v>
      </c>
      <c r="AC396" s="1133">
        <v>410.12805653934413</v>
      </c>
      <c r="AD396" s="89"/>
      <c r="AE396" s="89"/>
      <c r="AF396" s="89"/>
      <c r="AG396" s="89"/>
      <c r="AH396" s="89"/>
      <c r="AI396" s="89"/>
      <c r="AJ396" s="89"/>
      <c r="AK396" s="89"/>
      <c r="AL396" s="89"/>
      <c r="AM396" s="89"/>
      <c r="AN396" s="89"/>
      <c r="BR396" s="180">
        <v>2047</v>
      </c>
      <c r="BS396" s="22">
        <v>33</v>
      </c>
      <c r="BT396" s="198" t="e">
        <f t="shared" si="210"/>
        <v>#DIV/0!</v>
      </c>
      <c r="BU396" s="198" t="e">
        <f t="shared" si="211"/>
        <v>#DIV/0!</v>
      </c>
      <c r="BV396" s="205" t="e">
        <f t="shared" si="212"/>
        <v>#DIV/0!</v>
      </c>
      <c r="BY396" s="180">
        <v>2047</v>
      </c>
      <c r="BZ396" s="22">
        <v>33</v>
      </c>
      <c r="CA396" s="198" t="e">
        <f t="shared" ca="1" si="213"/>
        <v>#REF!</v>
      </c>
      <c r="CB396" s="198" t="e">
        <f t="shared" ca="1" si="214"/>
        <v>#REF!</v>
      </c>
      <c r="CC396" s="198" t="e">
        <f t="shared" ca="1" si="225"/>
        <v>#REF!</v>
      </c>
      <c r="CD396" s="205" t="e">
        <f t="shared" ca="1" si="215"/>
        <v>#REF!</v>
      </c>
      <c r="CG396" s="180">
        <v>2047</v>
      </c>
      <c r="CH396" s="22">
        <v>33</v>
      </c>
      <c r="CI396" s="198" t="e">
        <f t="shared" ca="1" si="216"/>
        <v>#REF!</v>
      </c>
      <c r="CJ396" s="198" t="e">
        <f t="shared" ca="1" si="217"/>
        <v>#REF!</v>
      </c>
      <c r="CK396" s="198" t="e">
        <f t="shared" ca="1" si="218"/>
        <v>#REF!</v>
      </c>
      <c r="CL396" s="198" t="e">
        <f t="shared" ca="1" si="219"/>
        <v>#REF!</v>
      </c>
      <c r="CM396" s="205" t="e">
        <f t="shared" ca="1" si="220"/>
        <v>#REF!</v>
      </c>
      <c r="CP396" s="180">
        <v>2047</v>
      </c>
      <c r="CQ396" s="22">
        <v>33</v>
      </c>
      <c r="CR396" s="198" t="e">
        <f t="shared" ca="1" si="221"/>
        <v>#REF!</v>
      </c>
      <c r="CS396" s="198" t="e">
        <f t="shared" ca="1" si="222"/>
        <v>#REF!</v>
      </c>
      <c r="CT396" s="205" t="e">
        <f t="shared" ca="1" si="223"/>
        <v>#REF!</v>
      </c>
      <c r="CZ396" s="164" t="b">
        <f t="shared" si="200"/>
        <v>0</v>
      </c>
      <c r="DA396" s="165" t="b">
        <f t="shared" si="200"/>
        <v>0</v>
      </c>
      <c r="DB396" s="166" t="b">
        <f t="shared" si="200"/>
        <v>0</v>
      </c>
      <c r="DC396" s="164" t="str">
        <f t="shared" si="201"/>
        <v/>
      </c>
      <c r="DD396" s="166" t="str">
        <f t="shared" si="202"/>
        <v/>
      </c>
      <c r="DE396" s="164" t="str">
        <f t="shared" si="203"/>
        <v/>
      </c>
      <c r="DF396" s="166" t="str">
        <f t="shared" si="204"/>
        <v/>
      </c>
      <c r="DG396" s="164" t="str">
        <f t="shared" si="205"/>
        <v/>
      </c>
      <c r="DH396" s="166" t="str">
        <f t="shared" si="206"/>
        <v/>
      </c>
      <c r="DI396" s="164" t="str">
        <f>IFERROR(INDEX(DC$359:DC$407,_xlfn.AGGREGATE(15,6,(ROW(DC$359:DC$407)-ROW(DC$359)+1)/(DC$359:DC$407&lt;&gt;""),ROWS(DI$1:DI38))),"")</f>
        <v/>
      </c>
      <c r="DJ396" s="165" t="str">
        <f>IFERROR(INDEX(DD$359:DD$407,_xlfn.AGGREGATE(15,6,(ROW(DD$359:DD$407)-ROW(DD$359)+1)/(DD$359:DD$407&lt;&gt;""),ROWS(DJ$1:DJ38))),"")</f>
        <v/>
      </c>
      <c r="DK396" s="166" t="str">
        <f t="shared" si="207"/>
        <v/>
      </c>
      <c r="DL396" s="164" t="str">
        <f>IFERROR(INDEX(DE$359:DE$407,_xlfn.AGGREGATE(15,6,(ROW(DE$359:DE$407)-ROW(DE$359)+1)/(DE$359:DE$407&lt;&gt;""),ROWS(DL$1:DL38))),"")</f>
        <v/>
      </c>
      <c r="DM396" s="165" t="str">
        <f>IFERROR(INDEX(DF$359:DF$407,_xlfn.AGGREGATE(15,6,(ROW(DF$359:DF$407)-ROW(DF$359)+1)/(DF$359:DF$407&lt;&gt;""),ROWS(DM$1:DM38))),"")</f>
        <v/>
      </c>
      <c r="DN396" s="166" t="str">
        <f t="shared" si="208"/>
        <v/>
      </c>
      <c r="DO396" s="164" t="str">
        <f>IFERROR(INDEX(DG$359:DG$407,_xlfn.AGGREGATE(15,6,(ROW(DG$359:DG$407)-ROW(DG$359)+1)/(DG$359:DG$407&lt;&gt;""),ROWS(DO$1:DO38))),"")</f>
        <v/>
      </c>
      <c r="DP396" s="165" t="str">
        <f>IFERROR(INDEX(DH$359:DH$407,_xlfn.AGGREGATE(15,6,(ROW(DH$359:DH$407)-ROW(DH$359)+1)/(DH$359:DH$407&lt;&gt;""),ROWS(DP$1:DP38))),"")</f>
        <v/>
      </c>
      <c r="DQ396" s="166" t="str">
        <f t="shared" si="209"/>
        <v/>
      </c>
      <c r="DV396" s="145">
        <v>2052</v>
      </c>
      <c r="DW396" s="235" t="e">
        <f t="shared" ca="1" si="193"/>
        <v>#REF!</v>
      </c>
      <c r="EA396" s="55"/>
      <c r="EB396" s="55"/>
      <c r="EC396" s="55"/>
      <c r="ED396" s="55"/>
      <c r="EE396" s="55"/>
    </row>
    <row r="397" spans="2:135" ht="13.8" x14ac:dyDescent="0.45">
      <c r="B397" s="128">
        <v>2050</v>
      </c>
      <c r="C397" s="1070"/>
      <c r="D397" s="1050"/>
      <c r="E397" s="1069"/>
      <c r="F397" s="1075"/>
      <c r="G397" s="1052"/>
      <c r="H397" s="1036"/>
      <c r="I397" s="1112"/>
      <c r="J397" s="247"/>
      <c r="K397" s="245"/>
      <c r="L397" s="246"/>
      <c r="M397" s="245"/>
      <c r="N397" s="29" t="s">
        <v>119</v>
      </c>
      <c r="O397" s="120"/>
      <c r="P397" s="120"/>
      <c r="Q397" s="120"/>
      <c r="R397" s="29">
        <v>36</v>
      </c>
      <c r="S397" s="238" t="str">
        <f t="shared" si="227"/>
        <v/>
      </c>
      <c r="T397" s="238" t="str">
        <f t="shared" si="228"/>
        <v/>
      </c>
      <c r="U397" s="238" t="str">
        <f t="shared" si="229"/>
        <v/>
      </c>
      <c r="W397" s="238" t="e">
        <f t="shared" si="197"/>
        <v>#N/A</v>
      </c>
      <c r="X397" s="238" t="e">
        <f t="shared" si="230"/>
        <v>#N/A</v>
      </c>
      <c r="Y397" s="238" t="e">
        <f t="shared" si="199"/>
        <v>#N/A</v>
      </c>
      <c r="AA397" s="1133">
        <v>368.69999999999993</v>
      </c>
      <c r="AB397" s="1133">
        <v>390.36959096872897</v>
      </c>
      <c r="AC397" s="1133">
        <v>412.03918193745801</v>
      </c>
      <c r="AD397" s="89"/>
      <c r="AE397" s="89"/>
      <c r="AF397" s="89"/>
      <c r="AG397" s="89"/>
      <c r="AH397" s="89"/>
      <c r="AI397" s="89"/>
      <c r="AJ397" s="89"/>
      <c r="AK397" s="89"/>
      <c r="AL397" s="89"/>
      <c r="AM397" s="89"/>
      <c r="AN397" s="89"/>
      <c r="BR397" s="180">
        <v>2048</v>
      </c>
      <c r="BS397" s="22">
        <v>34</v>
      </c>
      <c r="BT397" s="198" t="e">
        <f t="shared" si="210"/>
        <v>#DIV/0!</v>
      </c>
      <c r="BU397" s="198" t="e">
        <f t="shared" si="211"/>
        <v>#DIV/0!</v>
      </c>
      <c r="BV397" s="205" t="e">
        <f t="shared" si="212"/>
        <v>#DIV/0!</v>
      </c>
      <c r="BY397" s="180">
        <v>2048</v>
      </c>
      <c r="BZ397" s="22">
        <v>34</v>
      </c>
      <c r="CA397" s="198" t="e">
        <f t="shared" ca="1" si="213"/>
        <v>#REF!</v>
      </c>
      <c r="CB397" s="198" t="e">
        <f t="shared" ca="1" si="214"/>
        <v>#REF!</v>
      </c>
      <c r="CC397" s="198" t="e">
        <f t="shared" ca="1" si="225"/>
        <v>#REF!</v>
      </c>
      <c r="CD397" s="205" t="e">
        <f t="shared" ca="1" si="215"/>
        <v>#REF!</v>
      </c>
      <c r="CG397" s="180">
        <v>2048</v>
      </c>
      <c r="CH397" s="22">
        <v>34</v>
      </c>
      <c r="CI397" s="198" t="e">
        <f t="shared" ca="1" si="216"/>
        <v>#REF!</v>
      </c>
      <c r="CJ397" s="198" t="e">
        <f t="shared" ca="1" si="217"/>
        <v>#REF!</v>
      </c>
      <c r="CK397" s="198" t="e">
        <f t="shared" ca="1" si="218"/>
        <v>#REF!</v>
      </c>
      <c r="CL397" s="198" t="e">
        <f t="shared" ca="1" si="219"/>
        <v>#REF!</v>
      </c>
      <c r="CM397" s="205" t="e">
        <f t="shared" ca="1" si="220"/>
        <v>#REF!</v>
      </c>
      <c r="CP397" s="180">
        <v>2048</v>
      </c>
      <c r="CQ397" s="22">
        <v>34</v>
      </c>
      <c r="CR397" s="198" t="e">
        <f t="shared" ca="1" si="221"/>
        <v>#REF!</v>
      </c>
      <c r="CS397" s="198" t="e">
        <f t="shared" ca="1" si="222"/>
        <v>#REF!</v>
      </c>
      <c r="CT397" s="205" t="e">
        <f t="shared" ca="1" si="223"/>
        <v>#REF!</v>
      </c>
      <c r="CZ397" s="164" t="b">
        <f t="shared" si="200"/>
        <v>0</v>
      </c>
      <c r="DA397" s="165" t="b">
        <f t="shared" si="200"/>
        <v>0</v>
      </c>
      <c r="DB397" s="166" t="b">
        <f t="shared" si="200"/>
        <v>0</v>
      </c>
      <c r="DC397" s="164" t="str">
        <f t="shared" si="201"/>
        <v/>
      </c>
      <c r="DD397" s="166" t="str">
        <f t="shared" si="202"/>
        <v/>
      </c>
      <c r="DE397" s="164" t="str">
        <f t="shared" si="203"/>
        <v/>
      </c>
      <c r="DF397" s="166" t="str">
        <f t="shared" si="204"/>
        <v/>
      </c>
      <c r="DG397" s="164" t="str">
        <f t="shared" si="205"/>
        <v/>
      </c>
      <c r="DH397" s="166" t="str">
        <f t="shared" si="206"/>
        <v/>
      </c>
      <c r="DI397" s="164" t="str">
        <f>IFERROR(INDEX(DC$359:DC$407,_xlfn.AGGREGATE(15,6,(ROW(DC$359:DC$407)-ROW(DC$359)+1)/(DC$359:DC$407&lt;&gt;""),ROWS(DI$1:DI39))),"")</f>
        <v/>
      </c>
      <c r="DJ397" s="165" t="str">
        <f>IFERROR(INDEX(DD$359:DD$407,_xlfn.AGGREGATE(15,6,(ROW(DD$359:DD$407)-ROW(DD$359)+1)/(DD$359:DD$407&lt;&gt;""),ROWS(DJ$1:DJ39))),"")</f>
        <v/>
      </c>
      <c r="DK397" s="166" t="str">
        <f t="shared" si="207"/>
        <v/>
      </c>
      <c r="DL397" s="164" t="str">
        <f>IFERROR(INDEX(DE$359:DE$407,_xlfn.AGGREGATE(15,6,(ROW(DE$359:DE$407)-ROW(DE$359)+1)/(DE$359:DE$407&lt;&gt;""),ROWS(DL$1:DL39))),"")</f>
        <v/>
      </c>
      <c r="DM397" s="165" t="str">
        <f>IFERROR(INDEX(DF$359:DF$407,_xlfn.AGGREGATE(15,6,(ROW(DF$359:DF$407)-ROW(DF$359)+1)/(DF$359:DF$407&lt;&gt;""),ROWS(DM$1:DM39))),"")</f>
        <v/>
      </c>
      <c r="DN397" s="166" t="str">
        <f t="shared" si="208"/>
        <v/>
      </c>
      <c r="DO397" s="164" t="str">
        <f>IFERROR(INDEX(DG$359:DG$407,_xlfn.AGGREGATE(15,6,(ROW(DG$359:DG$407)-ROW(DG$359)+1)/(DG$359:DG$407&lt;&gt;""),ROWS(DO$1:DO39))),"")</f>
        <v/>
      </c>
      <c r="DP397" s="165" t="str">
        <f>IFERROR(INDEX(DH$359:DH$407,_xlfn.AGGREGATE(15,6,(ROW(DH$359:DH$407)-ROW(DH$359)+1)/(DH$359:DH$407&lt;&gt;""),ROWS(DP$1:DP39))),"")</f>
        <v/>
      </c>
      <c r="DQ397" s="166" t="str">
        <f t="shared" si="209"/>
        <v/>
      </c>
      <c r="DV397" s="145">
        <v>2053</v>
      </c>
      <c r="DW397" s="235" t="e">
        <f t="shared" ca="1" si="193"/>
        <v>#REF!</v>
      </c>
      <c r="EA397" s="55"/>
      <c r="EB397" s="55"/>
      <c r="EC397" s="55"/>
      <c r="ED397" s="55"/>
      <c r="EE397" s="55"/>
    </row>
    <row r="398" spans="2:135" ht="13.8" x14ac:dyDescent="0.45">
      <c r="B398" s="128">
        <v>2051</v>
      </c>
      <c r="C398" s="1070"/>
      <c r="D398" s="1050"/>
      <c r="E398" s="1069"/>
      <c r="F398" s="1075"/>
      <c r="G398" s="1052"/>
      <c r="H398" s="1036"/>
      <c r="I398" s="1112"/>
      <c r="J398" s="247"/>
      <c r="K398" s="245"/>
      <c r="L398" s="246"/>
      <c r="M398" s="245"/>
      <c r="N398" s="29" t="s">
        <v>119</v>
      </c>
      <c r="O398" s="120"/>
      <c r="P398" s="120"/>
      <c r="Q398" s="120"/>
      <c r="R398" s="29">
        <v>37</v>
      </c>
      <c r="S398" s="238" t="str">
        <f t="shared" si="227"/>
        <v/>
      </c>
      <c r="T398" s="238" t="str">
        <f t="shared" si="228"/>
        <v/>
      </c>
      <c r="U398" s="238" t="str">
        <f t="shared" si="229"/>
        <v/>
      </c>
      <c r="W398" s="238" t="e">
        <f t="shared" si="197"/>
        <v>#N/A</v>
      </c>
      <c r="X398" s="238" t="e">
        <f t="shared" si="230"/>
        <v>#N/A</v>
      </c>
      <c r="Y398" s="238" t="e">
        <f t="shared" si="199"/>
        <v>#N/A</v>
      </c>
      <c r="AA398" s="1133">
        <v>373.350799086758</v>
      </c>
      <c r="AB398" s="1133">
        <v>393.61444619385657</v>
      </c>
      <c r="AC398" s="1133">
        <v>413.87809330095513</v>
      </c>
      <c r="AD398" s="89"/>
      <c r="AE398" s="89"/>
      <c r="AF398" s="89"/>
      <c r="AG398" s="89"/>
      <c r="AH398" s="89"/>
      <c r="AI398" s="89"/>
      <c r="AJ398" s="89"/>
      <c r="AK398" s="89"/>
      <c r="AL398" s="89"/>
      <c r="AM398" s="89"/>
      <c r="AN398" s="89"/>
      <c r="BR398" s="180">
        <v>2049</v>
      </c>
      <c r="BS398" s="22">
        <v>35</v>
      </c>
      <c r="BT398" s="198" t="e">
        <f t="shared" si="210"/>
        <v>#DIV/0!</v>
      </c>
      <c r="BU398" s="198" t="e">
        <f t="shared" si="211"/>
        <v>#DIV/0!</v>
      </c>
      <c r="BV398" s="205" t="e">
        <f t="shared" si="212"/>
        <v>#DIV/0!</v>
      </c>
      <c r="BY398" s="180">
        <v>2049</v>
      </c>
      <c r="BZ398" s="22">
        <v>35</v>
      </c>
      <c r="CA398" s="198" t="e">
        <f t="shared" ca="1" si="213"/>
        <v>#REF!</v>
      </c>
      <c r="CB398" s="198" t="e">
        <f t="shared" ca="1" si="214"/>
        <v>#REF!</v>
      </c>
      <c r="CC398" s="198" t="e">
        <f t="shared" ca="1" si="225"/>
        <v>#REF!</v>
      </c>
      <c r="CD398" s="205" t="e">
        <f t="shared" ca="1" si="215"/>
        <v>#REF!</v>
      </c>
      <c r="CG398" s="180">
        <v>2049</v>
      </c>
      <c r="CH398" s="22">
        <v>35</v>
      </c>
      <c r="CI398" s="198" t="e">
        <f t="shared" ca="1" si="216"/>
        <v>#REF!</v>
      </c>
      <c r="CJ398" s="198" t="e">
        <f t="shared" ca="1" si="217"/>
        <v>#REF!</v>
      </c>
      <c r="CK398" s="198" t="e">
        <f t="shared" ca="1" si="218"/>
        <v>#REF!</v>
      </c>
      <c r="CL398" s="198" t="e">
        <f t="shared" ca="1" si="219"/>
        <v>#REF!</v>
      </c>
      <c r="CM398" s="205" t="e">
        <f t="shared" ca="1" si="220"/>
        <v>#REF!</v>
      </c>
      <c r="CP398" s="180">
        <v>2049</v>
      </c>
      <c r="CQ398" s="22">
        <v>35</v>
      </c>
      <c r="CR398" s="198" t="e">
        <f t="shared" ca="1" si="221"/>
        <v>#REF!</v>
      </c>
      <c r="CS398" s="198" t="e">
        <f t="shared" ca="1" si="222"/>
        <v>#REF!</v>
      </c>
      <c r="CT398" s="205" t="e">
        <f t="shared" ca="1" si="223"/>
        <v>#REF!</v>
      </c>
      <c r="CZ398" s="164" t="b">
        <f t="shared" si="200"/>
        <v>0</v>
      </c>
      <c r="DA398" s="165" t="b">
        <f t="shared" si="200"/>
        <v>0</v>
      </c>
      <c r="DB398" s="166" t="b">
        <f t="shared" si="200"/>
        <v>0</v>
      </c>
      <c r="DC398" s="164" t="str">
        <f t="shared" si="201"/>
        <v/>
      </c>
      <c r="DD398" s="166" t="str">
        <f t="shared" si="202"/>
        <v/>
      </c>
      <c r="DE398" s="164" t="str">
        <f t="shared" si="203"/>
        <v/>
      </c>
      <c r="DF398" s="166" t="str">
        <f t="shared" si="204"/>
        <v/>
      </c>
      <c r="DG398" s="164" t="str">
        <f t="shared" si="205"/>
        <v/>
      </c>
      <c r="DH398" s="166" t="str">
        <f t="shared" si="206"/>
        <v/>
      </c>
      <c r="DI398" s="164" t="str">
        <f>IFERROR(INDEX(DC$359:DC$407,_xlfn.AGGREGATE(15,6,(ROW(DC$359:DC$407)-ROW(DC$359)+1)/(DC$359:DC$407&lt;&gt;""),ROWS(DI$1:DI40))),"")</f>
        <v/>
      </c>
      <c r="DJ398" s="165" t="str">
        <f>IFERROR(INDEX(DD$359:DD$407,_xlfn.AGGREGATE(15,6,(ROW(DD$359:DD$407)-ROW(DD$359)+1)/(DD$359:DD$407&lt;&gt;""),ROWS(DJ$1:DJ40))),"")</f>
        <v/>
      </c>
      <c r="DK398" s="166" t="str">
        <f t="shared" si="207"/>
        <v/>
      </c>
      <c r="DL398" s="164" t="str">
        <f>IFERROR(INDEX(DE$359:DE$407,_xlfn.AGGREGATE(15,6,(ROW(DE$359:DE$407)-ROW(DE$359)+1)/(DE$359:DE$407&lt;&gt;""),ROWS(DL$1:DL40))),"")</f>
        <v/>
      </c>
      <c r="DM398" s="165" t="str">
        <f>IFERROR(INDEX(DF$359:DF$407,_xlfn.AGGREGATE(15,6,(ROW(DF$359:DF$407)-ROW(DF$359)+1)/(DF$359:DF$407&lt;&gt;""),ROWS(DM$1:DM40))),"")</f>
        <v/>
      </c>
      <c r="DN398" s="166" t="str">
        <f t="shared" si="208"/>
        <v/>
      </c>
      <c r="DO398" s="164" t="str">
        <f>IFERROR(INDEX(DG$359:DG$407,_xlfn.AGGREGATE(15,6,(ROW(DG$359:DG$407)-ROW(DG$359)+1)/(DG$359:DG$407&lt;&gt;""),ROWS(DO$1:DO40))),"")</f>
        <v/>
      </c>
      <c r="DP398" s="165" t="str">
        <f>IFERROR(INDEX(DH$359:DH$407,_xlfn.AGGREGATE(15,6,(ROW(DH$359:DH$407)-ROW(DH$359)+1)/(DH$359:DH$407&lt;&gt;""),ROWS(DP$1:DP40))),"")</f>
        <v/>
      </c>
      <c r="DQ398" s="166" t="str">
        <f t="shared" si="209"/>
        <v/>
      </c>
      <c r="DV398" s="145">
        <v>2054</v>
      </c>
      <c r="DW398" s="235" t="e">
        <f t="shared" ca="1" si="193"/>
        <v>#REF!</v>
      </c>
      <c r="EA398" s="55"/>
      <c r="EB398" s="55"/>
      <c r="EC398" s="55"/>
      <c r="ED398" s="55"/>
      <c r="EE398" s="55"/>
    </row>
    <row r="399" spans="2:135" ht="14.1" thickBot="1" x14ac:dyDescent="0.5">
      <c r="B399" s="128">
        <v>2052</v>
      </c>
      <c r="C399" s="1070"/>
      <c r="D399" s="1050"/>
      <c r="E399" s="1069"/>
      <c r="F399" s="1075"/>
      <c r="G399" s="1052"/>
      <c r="H399" s="1036"/>
      <c r="I399" s="1112"/>
      <c r="J399" s="247"/>
      <c r="K399" s="245"/>
      <c r="L399" s="246"/>
      <c r="M399" s="245"/>
      <c r="N399" s="29" t="s">
        <v>119</v>
      </c>
      <c r="O399" s="120"/>
      <c r="P399" s="120"/>
      <c r="Q399" s="120"/>
      <c r="R399" s="29">
        <v>38</v>
      </c>
      <c r="S399" s="238" t="str">
        <f t="shared" si="227"/>
        <v/>
      </c>
      <c r="T399" s="238" t="str">
        <f t="shared" si="228"/>
        <v/>
      </c>
      <c r="U399" s="238" t="str">
        <f t="shared" si="229"/>
        <v/>
      </c>
      <c r="W399" s="238" t="e">
        <f t="shared" si="197"/>
        <v>#N/A</v>
      </c>
      <c r="X399" s="238" t="e">
        <f t="shared" si="230"/>
        <v>#N/A</v>
      </c>
      <c r="Y399" s="238" t="e">
        <f t="shared" si="199"/>
        <v>#N/A</v>
      </c>
      <c r="AA399" s="1133">
        <v>377.39908675799086</v>
      </c>
      <c r="AB399" s="1133">
        <v>396.52497359935398</v>
      </c>
      <c r="AC399" s="1133">
        <v>415.65086044071711</v>
      </c>
      <c r="AD399" s="89"/>
      <c r="AE399" s="89"/>
      <c r="AF399" s="89"/>
      <c r="AG399" s="89"/>
      <c r="AH399" s="89"/>
      <c r="AI399" s="89"/>
      <c r="AJ399" s="89"/>
      <c r="AK399" s="89"/>
      <c r="AL399" s="89"/>
      <c r="AM399" s="89"/>
      <c r="AN399" s="89"/>
      <c r="BR399" s="180">
        <v>2050</v>
      </c>
      <c r="BS399" s="22">
        <v>36</v>
      </c>
      <c r="BT399" s="198" t="e">
        <f t="shared" si="210"/>
        <v>#DIV/0!</v>
      </c>
      <c r="BU399" s="198" t="e">
        <f t="shared" si="211"/>
        <v>#DIV/0!</v>
      </c>
      <c r="BV399" s="212" t="e">
        <f t="shared" si="212"/>
        <v>#DIV/0!</v>
      </c>
      <c r="BY399" s="180">
        <v>2050</v>
      </c>
      <c r="BZ399" s="22">
        <v>36</v>
      </c>
      <c r="CA399" s="198" t="e">
        <f t="shared" ca="1" si="213"/>
        <v>#REF!</v>
      </c>
      <c r="CB399" s="198" t="e">
        <f t="shared" ca="1" si="214"/>
        <v>#REF!</v>
      </c>
      <c r="CC399" s="198" t="e">
        <f t="shared" ca="1" si="225"/>
        <v>#REF!</v>
      </c>
      <c r="CD399" s="212" t="e">
        <f t="shared" ca="1" si="215"/>
        <v>#REF!</v>
      </c>
      <c r="CG399" s="180">
        <v>2050</v>
      </c>
      <c r="CH399" s="22">
        <v>36</v>
      </c>
      <c r="CI399" s="198" t="e">
        <f t="shared" ca="1" si="216"/>
        <v>#REF!</v>
      </c>
      <c r="CJ399" s="198" t="e">
        <f t="shared" ca="1" si="217"/>
        <v>#REF!</v>
      </c>
      <c r="CK399" s="198" t="e">
        <f t="shared" ca="1" si="218"/>
        <v>#REF!</v>
      </c>
      <c r="CL399" s="198" t="e">
        <f t="shared" ca="1" si="219"/>
        <v>#REF!</v>
      </c>
      <c r="CM399" s="212" t="e">
        <f t="shared" ca="1" si="220"/>
        <v>#REF!</v>
      </c>
      <c r="CP399" s="180">
        <v>2050</v>
      </c>
      <c r="CQ399" s="22">
        <v>36</v>
      </c>
      <c r="CR399" s="198" t="e">
        <f t="shared" ca="1" si="221"/>
        <v>#REF!</v>
      </c>
      <c r="CS399" s="198" t="e">
        <f t="shared" ca="1" si="222"/>
        <v>#REF!</v>
      </c>
      <c r="CT399" s="212" t="e">
        <f t="shared" ca="1" si="223"/>
        <v>#REF!</v>
      </c>
      <c r="CZ399" s="164" t="b">
        <f t="shared" ref="CZ399:DB407" si="231">ISNUMBER(W399)</f>
        <v>0</v>
      </c>
      <c r="DA399" s="165" t="b">
        <f t="shared" si="231"/>
        <v>0</v>
      </c>
      <c r="DB399" s="166" t="b">
        <f t="shared" si="231"/>
        <v>0</v>
      </c>
      <c r="DC399" s="164" t="str">
        <f t="shared" si="201"/>
        <v/>
      </c>
      <c r="DD399" s="166" t="str">
        <f t="shared" si="202"/>
        <v/>
      </c>
      <c r="DE399" s="164" t="str">
        <f t="shared" si="203"/>
        <v/>
      </c>
      <c r="DF399" s="166" t="str">
        <f t="shared" si="204"/>
        <v/>
      </c>
      <c r="DG399" s="164" t="str">
        <f t="shared" si="205"/>
        <v/>
      </c>
      <c r="DH399" s="166" t="str">
        <f t="shared" si="206"/>
        <v/>
      </c>
      <c r="DI399" s="164" t="str">
        <f>IFERROR(INDEX(DC$359:DC$407,_xlfn.AGGREGATE(15,6,(ROW(DC$359:DC$407)-ROW(DC$359)+1)/(DC$359:DC$407&lt;&gt;""),ROWS(DI$1:DI41))),"")</f>
        <v/>
      </c>
      <c r="DJ399" s="165" t="str">
        <f>IFERROR(INDEX(DD$359:DD$407,_xlfn.AGGREGATE(15,6,(ROW(DD$359:DD$407)-ROW(DD$359)+1)/(DD$359:DD$407&lt;&gt;""),ROWS(DJ$1:DJ41))),"")</f>
        <v/>
      </c>
      <c r="DK399" s="166" t="str">
        <f t="shared" si="207"/>
        <v/>
      </c>
      <c r="DL399" s="164" t="str">
        <f>IFERROR(INDEX(DE$359:DE$407,_xlfn.AGGREGATE(15,6,(ROW(DE$359:DE$407)-ROW(DE$359)+1)/(DE$359:DE$407&lt;&gt;""),ROWS(DL$1:DL41))),"")</f>
        <v/>
      </c>
      <c r="DM399" s="165" t="str">
        <f>IFERROR(INDEX(DF$359:DF$407,_xlfn.AGGREGATE(15,6,(ROW(DF$359:DF$407)-ROW(DF$359)+1)/(DF$359:DF$407&lt;&gt;""),ROWS(DM$1:DM41))),"")</f>
        <v/>
      </c>
      <c r="DN399" s="166" t="str">
        <f t="shared" si="208"/>
        <v/>
      </c>
      <c r="DO399" s="164" t="str">
        <f>IFERROR(INDEX(DG$359:DG$407,_xlfn.AGGREGATE(15,6,(ROW(DG$359:DG$407)-ROW(DG$359)+1)/(DG$359:DG$407&lt;&gt;""),ROWS(DO$1:DO41))),"")</f>
        <v/>
      </c>
      <c r="DP399" s="165" t="str">
        <f>IFERROR(INDEX(DH$359:DH$407,_xlfn.AGGREGATE(15,6,(ROW(DH$359:DH$407)-ROW(DH$359)+1)/(DH$359:DH$407&lt;&gt;""),ROWS(DP$1:DP41))),"")</f>
        <v/>
      </c>
      <c r="DQ399" s="166" t="str">
        <f t="shared" si="209"/>
        <v/>
      </c>
      <c r="DV399" s="145">
        <v>2055</v>
      </c>
      <c r="DW399" s="235" t="e">
        <f t="shared" ca="1" si="193"/>
        <v>#REF!</v>
      </c>
      <c r="EA399" s="55"/>
      <c r="EB399" s="55"/>
      <c r="EC399" s="55"/>
      <c r="ED399" s="55"/>
      <c r="EE399" s="55"/>
    </row>
    <row r="400" spans="2:135" ht="13.8" x14ac:dyDescent="0.45">
      <c r="B400" s="128">
        <v>2053</v>
      </c>
      <c r="C400" s="1070"/>
      <c r="D400" s="1050"/>
      <c r="E400" s="1069"/>
      <c r="F400" s="1075"/>
      <c r="G400" s="1052"/>
      <c r="H400" s="1036"/>
      <c r="I400" s="1112"/>
      <c r="J400" s="247"/>
      <c r="K400" s="245"/>
      <c r="L400" s="246"/>
      <c r="M400" s="245"/>
      <c r="N400" s="29" t="s">
        <v>119</v>
      </c>
      <c r="O400" s="120"/>
      <c r="P400" s="120"/>
      <c r="Q400" s="120"/>
      <c r="R400" s="29">
        <v>39</v>
      </c>
      <c r="S400" s="238" t="str">
        <f t="shared" si="227"/>
        <v/>
      </c>
      <c r="T400" s="238" t="str">
        <f t="shared" si="228"/>
        <v/>
      </c>
      <c r="U400" s="238" t="str">
        <f t="shared" si="229"/>
        <v/>
      </c>
      <c r="W400" s="238" t="e">
        <f t="shared" si="197"/>
        <v>#N/A</v>
      </c>
      <c r="X400" s="238" t="e">
        <f t="shared" si="230"/>
        <v>#N/A</v>
      </c>
      <c r="Y400" s="238" t="e">
        <f t="shared" si="199"/>
        <v>#N/A</v>
      </c>
      <c r="AA400" s="1133">
        <v>381.44737442922371</v>
      </c>
      <c r="AB400" s="1133">
        <v>399.40546379842476</v>
      </c>
      <c r="AC400" s="1133">
        <v>417.36355316762581</v>
      </c>
      <c r="AD400" s="89"/>
      <c r="AE400" s="89"/>
      <c r="AF400" s="89"/>
      <c r="AG400" s="89"/>
      <c r="AH400" s="89"/>
      <c r="AI400" s="89"/>
      <c r="AJ400" s="89"/>
      <c r="AK400" s="89"/>
      <c r="AL400" s="89"/>
      <c r="AM400" s="89"/>
      <c r="AN400" s="89"/>
      <c r="BR400" s="180">
        <v>2051</v>
      </c>
      <c r="BS400" s="22">
        <v>37</v>
      </c>
      <c r="BT400" s="198" t="e">
        <f t="shared" si="210"/>
        <v>#DIV/0!</v>
      </c>
      <c r="BU400" s="198" t="e">
        <f t="shared" si="211"/>
        <v>#DIV/0!</v>
      </c>
      <c r="BV400" s="285" t="e">
        <f t="shared" si="212"/>
        <v>#DIV/0!</v>
      </c>
      <c r="BY400" s="180">
        <v>2051</v>
      </c>
      <c r="BZ400" s="22">
        <v>37</v>
      </c>
      <c r="CA400" s="198" t="e">
        <f t="shared" ca="1" si="213"/>
        <v>#REF!</v>
      </c>
      <c r="CB400" s="198" t="e">
        <f t="shared" ca="1" si="214"/>
        <v>#REF!</v>
      </c>
      <c r="CC400" s="198" t="e">
        <f t="shared" ca="1" si="225"/>
        <v>#REF!</v>
      </c>
      <c r="CD400" s="285" t="e">
        <f t="shared" ca="1" si="215"/>
        <v>#REF!</v>
      </c>
      <c r="CG400" s="180">
        <v>2051</v>
      </c>
      <c r="CH400" s="22">
        <v>37</v>
      </c>
      <c r="CI400" s="198" t="e">
        <f t="shared" ca="1" si="216"/>
        <v>#REF!</v>
      </c>
      <c r="CJ400" s="198" t="e">
        <f t="shared" ca="1" si="217"/>
        <v>#REF!</v>
      </c>
      <c r="CK400" s="198" t="e">
        <f t="shared" ca="1" si="218"/>
        <v>#REF!</v>
      </c>
      <c r="CL400" s="198" t="e">
        <f t="shared" ca="1" si="219"/>
        <v>#REF!</v>
      </c>
      <c r="CM400" s="285" t="e">
        <f t="shared" ca="1" si="220"/>
        <v>#REF!</v>
      </c>
      <c r="CP400" s="180">
        <v>2051</v>
      </c>
      <c r="CQ400" s="22">
        <v>37</v>
      </c>
      <c r="CR400" s="198" t="e">
        <f t="shared" ca="1" si="221"/>
        <v>#REF!</v>
      </c>
      <c r="CS400" s="198" t="e">
        <f t="shared" ca="1" si="222"/>
        <v>#REF!</v>
      </c>
      <c r="CT400" s="285" t="e">
        <f t="shared" ca="1" si="223"/>
        <v>#REF!</v>
      </c>
      <c r="CZ400" s="164" t="b">
        <f t="shared" si="231"/>
        <v>0</v>
      </c>
      <c r="DA400" s="165" t="b">
        <f t="shared" si="231"/>
        <v>0</v>
      </c>
      <c r="DB400" s="166" t="b">
        <f t="shared" si="231"/>
        <v>0</v>
      </c>
      <c r="DC400" s="164" t="str">
        <f t="shared" si="201"/>
        <v/>
      </c>
      <c r="DD400" s="166" t="str">
        <f t="shared" si="202"/>
        <v/>
      </c>
      <c r="DE400" s="164" t="str">
        <f t="shared" si="203"/>
        <v/>
      </c>
      <c r="DF400" s="166" t="str">
        <f t="shared" si="204"/>
        <v/>
      </c>
      <c r="DG400" s="164" t="str">
        <f t="shared" si="205"/>
        <v/>
      </c>
      <c r="DH400" s="166" t="str">
        <f t="shared" si="206"/>
        <v/>
      </c>
      <c r="DI400" s="164" t="str">
        <f>IFERROR(INDEX(DC$359:DC$407,_xlfn.AGGREGATE(15,6,(ROW(DC$359:DC$407)-ROW(DC$359)+1)/(DC$359:DC$407&lt;&gt;""),ROWS(DI$1:DI42))),"")</f>
        <v/>
      </c>
      <c r="DJ400" s="165" t="str">
        <f>IFERROR(INDEX(DD$359:DD$407,_xlfn.AGGREGATE(15,6,(ROW(DD$359:DD$407)-ROW(DD$359)+1)/(DD$359:DD$407&lt;&gt;""),ROWS(DJ$1:DJ42))),"")</f>
        <v/>
      </c>
      <c r="DK400" s="166" t="str">
        <f t="shared" si="207"/>
        <v/>
      </c>
      <c r="DL400" s="164" t="str">
        <f>IFERROR(INDEX(DE$359:DE$407,_xlfn.AGGREGATE(15,6,(ROW(DE$359:DE$407)-ROW(DE$359)+1)/(DE$359:DE$407&lt;&gt;""),ROWS(DL$1:DL42))),"")</f>
        <v/>
      </c>
      <c r="DM400" s="165" t="str">
        <f>IFERROR(INDEX(DF$359:DF$407,_xlfn.AGGREGATE(15,6,(ROW(DF$359:DF$407)-ROW(DF$359)+1)/(DF$359:DF$407&lt;&gt;""),ROWS(DM$1:DM42))),"")</f>
        <v/>
      </c>
      <c r="DN400" s="166" t="str">
        <f t="shared" si="208"/>
        <v/>
      </c>
      <c r="DO400" s="164" t="str">
        <f>IFERROR(INDEX(DG$359:DG$407,_xlfn.AGGREGATE(15,6,(ROW(DG$359:DG$407)-ROW(DG$359)+1)/(DG$359:DG$407&lt;&gt;""),ROWS(DO$1:DO42))),"")</f>
        <v/>
      </c>
      <c r="DP400" s="165" t="str">
        <f>IFERROR(INDEX(DH$359:DH$407,_xlfn.AGGREGATE(15,6,(ROW(DH$359:DH$407)-ROW(DH$359)+1)/(DH$359:DH$407&lt;&gt;""),ROWS(DP$1:DP42))),"")</f>
        <v/>
      </c>
      <c r="DQ400" s="166" t="str">
        <f t="shared" si="209"/>
        <v/>
      </c>
      <c r="DV400" s="145">
        <v>2056</v>
      </c>
      <c r="DW400" s="235" t="e">
        <f t="shared" ca="1" si="193"/>
        <v>#REF!</v>
      </c>
      <c r="EA400" s="55"/>
      <c r="EB400" s="55"/>
      <c r="EC400" s="55"/>
      <c r="ED400" s="55"/>
      <c r="EE400" s="55"/>
    </row>
    <row r="401" spans="1:135" ht="13.8" x14ac:dyDescent="0.45">
      <c r="B401" s="128">
        <v>2054</v>
      </c>
      <c r="C401" s="1070"/>
      <c r="D401" s="1050"/>
      <c r="E401" s="1069"/>
      <c r="F401" s="1075"/>
      <c r="G401" s="1052"/>
      <c r="H401" s="1036"/>
      <c r="I401" s="1112"/>
      <c r="J401" s="247"/>
      <c r="K401" s="245"/>
      <c r="L401" s="246"/>
      <c r="M401" s="245"/>
      <c r="N401" s="29" t="s">
        <v>119</v>
      </c>
      <c r="O401" s="120"/>
      <c r="P401" s="120"/>
      <c r="Q401" s="120"/>
      <c r="R401" s="29">
        <v>40</v>
      </c>
      <c r="S401" s="238" t="str">
        <f t="shared" si="227"/>
        <v/>
      </c>
      <c r="T401" s="238" t="str">
        <f t="shared" si="228"/>
        <v/>
      </c>
      <c r="U401" s="238" t="str">
        <f t="shared" si="229"/>
        <v/>
      </c>
      <c r="W401" s="238" t="e">
        <f t="shared" si="197"/>
        <v>#N/A</v>
      </c>
      <c r="X401" s="238" t="e">
        <f t="shared" si="230"/>
        <v>#N/A</v>
      </c>
      <c r="Y401" s="238" t="e">
        <f t="shared" si="199"/>
        <v>#N/A</v>
      </c>
      <c r="AA401" s="1133">
        <v>385.49566210045657</v>
      </c>
      <c r="AB401" s="1133">
        <v>402.25895169650971</v>
      </c>
      <c r="AC401" s="1133">
        <v>419.02224129256285</v>
      </c>
      <c r="AD401" s="89"/>
      <c r="AE401" s="89"/>
      <c r="AF401" s="89"/>
      <c r="AG401" s="89"/>
      <c r="AH401" s="89"/>
      <c r="AI401" s="89"/>
      <c r="AJ401" s="89"/>
      <c r="AK401" s="89"/>
      <c r="AL401" s="89"/>
      <c r="AM401" s="89"/>
      <c r="AN401" s="89"/>
      <c r="BR401" s="180">
        <v>2052</v>
      </c>
      <c r="BS401" s="22">
        <v>38</v>
      </c>
      <c r="BT401" s="198" t="e">
        <f t="shared" si="210"/>
        <v>#DIV/0!</v>
      </c>
      <c r="BU401" s="198" t="e">
        <f t="shared" si="211"/>
        <v>#DIV/0!</v>
      </c>
      <c r="BV401" s="241" t="e">
        <f t="shared" si="212"/>
        <v>#DIV/0!</v>
      </c>
      <c r="BY401" s="180">
        <v>2052</v>
      </c>
      <c r="BZ401" s="22">
        <v>38</v>
      </c>
      <c r="CA401" s="198" t="e">
        <f t="shared" ca="1" si="213"/>
        <v>#REF!</v>
      </c>
      <c r="CB401" s="198" t="e">
        <f t="shared" ca="1" si="214"/>
        <v>#REF!</v>
      </c>
      <c r="CC401" s="198" t="e">
        <f t="shared" ca="1" si="225"/>
        <v>#REF!</v>
      </c>
      <c r="CD401" s="241" t="e">
        <f t="shared" ca="1" si="215"/>
        <v>#REF!</v>
      </c>
      <c r="CG401" s="180">
        <v>2052</v>
      </c>
      <c r="CH401" s="22">
        <v>38</v>
      </c>
      <c r="CI401" s="198" t="e">
        <f t="shared" ca="1" si="216"/>
        <v>#REF!</v>
      </c>
      <c r="CJ401" s="198" t="e">
        <f t="shared" ca="1" si="217"/>
        <v>#REF!</v>
      </c>
      <c r="CK401" s="198" t="e">
        <f t="shared" ca="1" si="218"/>
        <v>#REF!</v>
      </c>
      <c r="CL401" s="198" t="e">
        <f t="shared" ca="1" si="219"/>
        <v>#REF!</v>
      </c>
      <c r="CM401" s="241" t="e">
        <f t="shared" ca="1" si="220"/>
        <v>#REF!</v>
      </c>
      <c r="CP401" s="180">
        <v>2052</v>
      </c>
      <c r="CQ401" s="22">
        <v>38</v>
      </c>
      <c r="CR401" s="198" t="e">
        <f t="shared" ca="1" si="221"/>
        <v>#REF!</v>
      </c>
      <c r="CS401" s="198" t="e">
        <f t="shared" ca="1" si="222"/>
        <v>#REF!</v>
      </c>
      <c r="CT401" s="241" t="e">
        <f t="shared" ca="1" si="223"/>
        <v>#REF!</v>
      </c>
      <c r="CZ401" s="164" t="b">
        <f t="shared" si="231"/>
        <v>0</v>
      </c>
      <c r="DA401" s="165" t="b">
        <f t="shared" si="231"/>
        <v>0</v>
      </c>
      <c r="DB401" s="166" t="b">
        <f t="shared" si="231"/>
        <v>0</v>
      </c>
      <c r="DC401" s="164" t="str">
        <f t="shared" si="201"/>
        <v/>
      </c>
      <c r="DD401" s="166" t="str">
        <f t="shared" si="202"/>
        <v/>
      </c>
      <c r="DE401" s="164" t="str">
        <f t="shared" si="203"/>
        <v/>
      </c>
      <c r="DF401" s="166" t="str">
        <f t="shared" si="204"/>
        <v/>
      </c>
      <c r="DG401" s="164" t="str">
        <f t="shared" si="205"/>
        <v/>
      </c>
      <c r="DH401" s="166" t="str">
        <f t="shared" si="206"/>
        <v/>
      </c>
      <c r="DI401" s="164" t="str">
        <f>IFERROR(INDEX(DC$359:DC$407,_xlfn.AGGREGATE(15,6,(ROW(DC$359:DC$407)-ROW(DC$359)+1)/(DC$359:DC$407&lt;&gt;""),ROWS(DI$1:DI43))),"")</f>
        <v/>
      </c>
      <c r="DJ401" s="165" t="str">
        <f>IFERROR(INDEX(DD$359:DD$407,_xlfn.AGGREGATE(15,6,(ROW(DD$359:DD$407)-ROW(DD$359)+1)/(DD$359:DD$407&lt;&gt;""),ROWS(DJ$1:DJ43))),"")</f>
        <v/>
      </c>
      <c r="DK401" s="166" t="str">
        <f t="shared" si="207"/>
        <v/>
      </c>
      <c r="DL401" s="164" t="str">
        <f>IFERROR(INDEX(DE$359:DE$407,_xlfn.AGGREGATE(15,6,(ROW(DE$359:DE$407)-ROW(DE$359)+1)/(DE$359:DE$407&lt;&gt;""),ROWS(DL$1:DL43))),"")</f>
        <v/>
      </c>
      <c r="DM401" s="165" t="str">
        <f>IFERROR(INDEX(DF$359:DF$407,_xlfn.AGGREGATE(15,6,(ROW(DF$359:DF$407)-ROW(DF$359)+1)/(DF$359:DF$407&lt;&gt;""),ROWS(DM$1:DM43))),"")</f>
        <v/>
      </c>
      <c r="DN401" s="166" t="str">
        <f t="shared" si="208"/>
        <v/>
      </c>
      <c r="DO401" s="164" t="str">
        <f>IFERROR(INDEX(DG$359:DG$407,_xlfn.AGGREGATE(15,6,(ROW(DG$359:DG$407)-ROW(DG$359)+1)/(DG$359:DG$407&lt;&gt;""),ROWS(DO$1:DO43))),"")</f>
        <v/>
      </c>
      <c r="DP401" s="165" t="str">
        <f>IFERROR(INDEX(DH$359:DH$407,_xlfn.AGGREGATE(15,6,(ROW(DH$359:DH$407)-ROW(DH$359)+1)/(DH$359:DH$407&lt;&gt;""),ROWS(DP$1:DP43))),"")</f>
        <v/>
      </c>
      <c r="DQ401" s="166" t="str">
        <f t="shared" si="209"/>
        <v/>
      </c>
      <c r="DV401" s="145">
        <v>2057</v>
      </c>
      <c r="DW401" s="235" t="e">
        <f t="shared" ca="1" si="193"/>
        <v>#REF!</v>
      </c>
      <c r="EA401" s="55"/>
      <c r="EB401" s="55"/>
      <c r="EC401" s="55"/>
      <c r="ED401" s="55"/>
      <c r="EE401" s="55"/>
    </row>
    <row r="402" spans="1:135" ht="13.8" x14ac:dyDescent="0.45">
      <c r="B402" s="128">
        <v>2055</v>
      </c>
      <c r="C402" s="1070"/>
      <c r="D402" s="1050"/>
      <c r="E402" s="1069"/>
      <c r="F402" s="1075"/>
      <c r="G402" s="1052"/>
      <c r="H402" s="1036"/>
      <c r="I402" s="1112"/>
      <c r="J402" s="247"/>
      <c r="K402" s="245"/>
      <c r="L402" s="246"/>
      <c r="M402" s="245"/>
      <c r="N402" s="29" t="s">
        <v>119</v>
      </c>
      <c r="O402" s="120"/>
      <c r="P402" s="120"/>
      <c r="Q402" s="120"/>
      <c r="R402" s="29">
        <v>41</v>
      </c>
      <c r="S402" s="238" t="str">
        <f t="shared" si="227"/>
        <v/>
      </c>
      <c r="T402" s="238" t="str">
        <f t="shared" si="228"/>
        <v/>
      </c>
      <c r="U402" s="238" t="str">
        <f t="shared" si="229"/>
        <v/>
      </c>
      <c r="W402" s="238" t="e">
        <f t="shared" si="197"/>
        <v>#N/A</v>
      </c>
      <c r="X402" s="238" t="e">
        <f t="shared" si="230"/>
        <v>#N/A</v>
      </c>
      <c r="Y402" s="238" t="e">
        <f t="shared" si="199"/>
        <v>#N/A</v>
      </c>
      <c r="AA402" s="1133">
        <v>389.54394977168943</v>
      </c>
      <c r="AB402" s="1133">
        <v>405.08847219904976</v>
      </c>
      <c r="AC402" s="1133">
        <v>420.6329946264101</v>
      </c>
      <c r="AD402" s="89"/>
      <c r="AE402" s="89"/>
      <c r="AF402" s="89"/>
      <c r="AG402" s="89"/>
      <c r="AH402" s="89"/>
      <c r="AI402" s="89"/>
      <c r="AJ402" s="89"/>
      <c r="AK402" s="89"/>
      <c r="AL402" s="89"/>
      <c r="AM402" s="89"/>
      <c r="AN402" s="89"/>
      <c r="BR402" s="180">
        <v>2053</v>
      </c>
      <c r="BS402" s="22">
        <v>39</v>
      </c>
      <c r="BT402" s="198" t="e">
        <f t="shared" si="210"/>
        <v>#DIV/0!</v>
      </c>
      <c r="BU402" s="198" t="e">
        <f t="shared" si="211"/>
        <v>#DIV/0!</v>
      </c>
      <c r="BV402" s="241" t="e">
        <f t="shared" si="212"/>
        <v>#DIV/0!</v>
      </c>
      <c r="BY402" s="180">
        <v>2053</v>
      </c>
      <c r="BZ402" s="22">
        <v>39</v>
      </c>
      <c r="CA402" s="198" t="e">
        <f t="shared" ca="1" si="213"/>
        <v>#REF!</v>
      </c>
      <c r="CB402" s="198" t="e">
        <f t="shared" ca="1" si="214"/>
        <v>#REF!</v>
      </c>
      <c r="CC402" s="198" t="e">
        <f t="shared" ca="1" si="225"/>
        <v>#REF!</v>
      </c>
      <c r="CD402" s="241" t="e">
        <f t="shared" ca="1" si="215"/>
        <v>#REF!</v>
      </c>
      <c r="CG402" s="180">
        <v>2053</v>
      </c>
      <c r="CH402" s="22">
        <v>39</v>
      </c>
      <c r="CI402" s="198" t="e">
        <f t="shared" ca="1" si="216"/>
        <v>#REF!</v>
      </c>
      <c r="CJ402" s="198" t="e">
        <f t="shared" ca="1" si="217"/>
        <v>#REF!</v>
      </c>
      <c r="CK402" s="198" t="e">
        <f t="shared" ca="1" si="218"/>
        <v>#REF!</v>
      </c>
      <c r="CL402" s="198" t="e">
        <f t="shared" ca="1" si="219"/>
        <v>#REF!</v>
      </c>
      <c r="CM402" s="241" t="e">
        <f t="shared" ca="1" si="220"/>
        <v>#REF!</v>
      </c>
      <c r="CP402" s="180">
        <v>2053</v>
      </c>
      <c r="CQ402" s="22">
        <v>39</v>
      </c>
      <c r="CR402" s="198" t="e">
        <f t="shared" ca="1" si="221"/>
        <v>#REF!</v>
      </c>
      <c r="CS402" s="198" t="e">
        <f t="shared" ca="1" si="222"/>
        <v>#REF!</v>
      </c>
      <c r="CT402" s="241" t="e">
        <f t="shared" ca="1" si="223"/>
        <v>#REF!</v>
      </c>
      <c r="CZ402" s="164" t="b">
        <f t="shared" si="231"/>
        <v>0</v>
      </c>
      <c r="DA402" s="165" t="b">
        <f t="shared" si="231"/>
        <v>0</v>
      </c>
      <c r="DB402" s="166" t="b">
        <f t="shared" si="231"/>
        <v>0</v>
      </c>
      <c r="DC402" s="164" t="str">
        <f t="shared" si="201"/>
        <v/>
      </c>
      <c r="DD402" s="166" t="str">
        <f t="shared" si="202"/>
        <v/>
      </c>
      <c r="DE402" s="164" t="str">
        <f t="shared" si="203"/>
        <v/>
      </c>
      <c r="DF402" s="166" t="str">
        <f t="shared" si="204"/>
        <v/>
      </c>
      <c r="DG402" s="164" t="str">
        <f t="shared" si="205"/>
        <v/>
      </c>
      <c r="DH402" s="166" t="str">
        <f t="shared" si="206"/>
        <v/>
      </c>
      <c r="DI402" s="164" t="str">
        <f>IFERROR(INDEX(DC$359:DC$407,_xlfn.AGGREGATE(15,6,(ROW(DC$359:DC$407)-ROW(DC$359)+1)/(DC$359:DC$407&lt;&gt;""),ROWS(DI$1:DI44))),"")</f>
        <v/>
      </c>
      <c r="DJ402" s="165" t="str">
        <f>IFERROR(INDEX(DD$359:DD$407,_xlfn.AGGREGATE(15,6,(ROW(DD$359:DD$407)-ROW(DD$359)+1)/(DD$359:DD$407&lt;&gt;""),ROWS(DJ$1:DJ44))),"")</f>
        <v/>
      </c>
      <c r="DK402" s="166" t="str">
        <f t="shared" si="207"/>
        <v/>
      </c>
      <c r="DL402" s="164" t="str">
        <f>IFERROR(INDEX(DE$359:DE$407,_xlfn.AGGREGATE(15,6,(ROW(DE$359:DE$407)-ROW(DE$359)+1)/(DE$359:DE$407&lt;&gt;""),ROWS(DL$1:DL44))),"")</f>
        <v/>
      </c>
      <c r="DM402" s="165" t="str">
        <f>IFERROR(INDEX(DF$359:DF$407,_xlfn.AGGREGATE(15,6,(ROW(DF$359:DF$407)-ROW(DF$359)+1)/(DF$359:DF$407&lt;&gt;""),ROWS(DM$1:DM44))),"")</f>
        <v/>
      </c>
      <c r="DN402" s="166" t="str">
        <f t="shared" si="208"/>
        <v/>
      </c>
      <c r="DO402" s="164" t="str">
        <f>IFERROR(INDEX(DG$359:DG$407,_xlfn.AGGREGATE(15,6,(ROW(DG$359:DG$407)-ROW(DG$359)+1)/(DG$359:DG$407&lt;&gt;""),ROWS(DO$1:DO44))),"")</f>
        <v/>
      </c>
      <c r="DP402" s="165" t="str">
        <f>IFERROR(INDEX(DH$359:DH$407,_xlfn.AGGREGATE(15,6,(ROW(DH$359:DH$407)-ROW(DH$359)+1)/(DH$359:DH$407&lt;&gt;""),ROWS(DP$1:DP44))),"")</f>
        <v/>
      </c>
      <c r="DQ402" s="166" t="str">
        <f t="shared" si="209"/>
        <v/>
      </c>
      <c r="DV402" s="145">
        <v>2058</v>
      </c>
      <c r="DW402" s="235" t="e">
        <f t="shared" ca="1" si="193"/>
        <v>#REF!</v>
      </c>
      <c r="EA402" s="55"/>
      <c r="EB402" s="55"/>
      <c r="EC402" s="55"/>
      <c r="ED402" s="55"/>
      <c r="EE402" s="55"/>
    </row>
    <row r="403" spans="1:135" ht="13.8" x14ac:dyDescent="0.45">
      <c r="B403" s="128">
        <v>2056</v>
      </c>
      <c r="C403" s="1070"/>
      <c r="D403" s="1050"/>
      <c r="E403" s="1069"/>
      <c r="F403" s="1075"/>
      <c r="G403" s="1052"/>
      <c r="H403" s="1036"/>
      <c r="I403" s="1112"/>
      <c r="J403" s="247"/>
      <c r="K403" s="245"/>
      <c r="L403" s="246"/>
      <c r="M403" s="245"/>
      <c r="N403" s="29" t="s">
        <v>119</v>
      </c>
      <c r="O403" s="120"/>
      <c r="P403" s="120"/>
      <c r="Q403" s="120"/>
      <c r="R403" s="29">
        <v>42</v>
      </c>
      <c r="S403" s="238" t="str">
        <f t="shared" si="227"/>
        <v/>
      </c>
      <c r="T403" s="238" t="str">
        <f t="shared" si="228"/>
        <v/>
      </c>
      <c r="U403" s="238" t="str">
        <f t="shared" si="229"/>
        <v/>
      </c>
      <c r="W403" s="238" t="e">
        <f t="shared" si="197"/>
        <v>#N/A</v>
      </c>
      <c r="X403" s="238" t="e">
        <f t="shared" si="230"/>
        <v>#N/A</v>
      </c>
      <c r="Y403" s="238" t="e">
        <f t="shared" si="199"/>
        <v>#N/A</v>
      </c>
      <c r="AA403" s="1133">
        <v>393.5922374429224</v>
      </c>
      <c r="AB403" s="1133">
        <v>407.89706021148572</v>
      </c>
      <c r="AC403" s="1133">
        <v>422.20188298004905</v>
      </c>
      <c r="AD403" s="89"/>
      <c r="AE403" s="89"/>
      <c r="AF403" s="89"/>
      <c r="AG403" s="89"/>
      <c r="AH403" s="89"/>
      <c r="AI403" s="89"/>
      <c r="AJ403" s="89"/>
      <c r="AK403" s="89"/>
      <c r="AL403" s="89"/>
      <c r="AM403" s="89"/>
      <c r="AN403" s="89"/>
      <c r="BR403" s="180">
        <v>2054</v>
      </c>
      <c r="BS403" s="22">
        <v>40</v>
      </c>
      <c r="BT403" s="198" t="e">
        <f t="shared" si="210"/>
        <v>#DIV/0!</v>
      </c>
      <c r="BU403" s="198" t="e">
        <f t="shared" si="211"/>
        <v>#DIV/0!</v>
      </c>
      <c r="BV403" s="241" t="e">
        <f t="shared" si="212"/>
        <v>#DIV/0!</v>
      </c>
      <c r="BY403" s="180">
        <v>2054</v>
      </c>
      <c r="BZ403" s="22">
        <v>40</v>
      </c>
      <c r="CA403" s="198" t="e">
        <f t="shared" ca="1" si="213"/>
        <v>#REF!</v>
      </c>
      <c r="CB403" s="198" t="e">
        <f t="shared" ca="1" si="214"/>
        <v>#REF!</v>
      </c>
      <c r="CC403" s="198" t="e">
        <f t="shared" ca="1" si="225"/>
        <v>#REF!</v>
      </c>
      <c r="CD403" s="241" t="e">
        <f t="shared" ca="1" si="215"/>
        <v>#REF!</v>
      </c>
      <c r="CG403" s="180">
        <v>2054</v>
      </c>
      <c r="CH403" s="22">
        <v>40</v>
      </c>
      <c r="CI403" s="198" t="e">
        <f t="shared" ca="1" si="216"/>
        <v>#REF!</v>
      </c>
      <c r="CJ403" s="198" t="e">
        <f t="shared" ca="1" si="217"/>
        <v>#REF!</v>
      </c>
      <c r="CK403" s="198" t="e">
        <f t="shared" ca="1" si="218"/>
        <v>#REF!</v>
      </c>
      <c r="CL403" s="198" t="e">
        <f t="shared" ca="1" si="219"/>
        <v>#REF!</v>
      </c>
      <c r="CM403" s="241" t="e">
        <f t="shared" ca="1" si="220"/>
        <v>#REF!</v>
      </c>
      <c r="CP403" s="180">
        <v>2054</v>
      </c>
      <c r="CQ403" s="22">
        <v>40</v>
      </c>
      <c r="CR403" s="198" t="e">
        <f t="shared" ca="1" si="221"/>
        <v>#REF!</v>
      </c>
      <c r="CS403" s="198" t="e">
        <f t="shared" ca="1" si="222"/>
        <v>#REF!</v>
      </c>
      <c r="CT403" s="241" t="e">
        <f t="shared" ca="1" si="223"/>
        <v>#REF!</v>
      </c>
      <c r="CZ403" s="164" t="b">
        <f t="shared" si="231"/>
        <v>0</v>
      </c>
      <c r="DA403" s="165" t="b">
        <f t="shared" si="231"/>
        <v>0</v>
      </c>
      <c r="DB403" s="166" t="b">
        <f t="shared" si="231"/>
        <v>0</v>
      </c>
      <c r="DC403" s="164" t="str">
        <f t="shared" si="201"/>
        <v/>
      </c>
      <c r="DD403" s="166" t="str">
        <f t="shared" si="202"/>
        <v/>
      </c>
      <c r="DE403" s="164" t="str">
        <f t="shared" si="203"/>
        <v/>
      </c>
      <c r="DF403" s="166" t="str">
        <f t="shared" si="204"/>
        <v/>
      </c>
      <c r="DG403" s="164" t="str">
        <f t="shared" si="205"/>
        <v/>
      </c>
      <c r="DH403" s="166" t="str">
        <f t="shared" si="206"/>
        <v/>
      </c>
      <c r="DI403" s="164" t="str">
        <f>IFERROR(INDEX(DC$359:DC$407,_xlfn.AGGREGATE(15,6,(ROW(DC$359:DC$407)-ROW(DC$359)+1)/(DC$359:DC$407&lt;&gt;""),ROWS(DI$1:DI45))),"")</f>
        <v/>
      </c>
      <c r="DJ403" s="165" t="str">
        <f>IFERROR(INDEX(DD$359:DD$407,_xlfn.AGGREGATE(15,6,(ROW(DD$359:DD$407)-ROW(DD$359)+1)/(DD$359:DD$407&lt;&gt;""),ROWS(DJ$1:DJ45))),"")</f>
        <v/>
      </c>
      <c r="DK403" s="166" t="str">
        <f t="shared" si="207"/>
        <v/>
      </c>
      <c r="DL403" s="164" t="str">
        <f>IFERROR(INDEX(DE$359:DE$407,_xlfn.AGGREGATE(15,6,(ROW(DE$359:DE$407)-ROW(DE$359)+1)/(DE$359:DE$407&lt;&gt;""),ROWS(DL$1:DL45))),"")</f>
        <v/>
      </c>
      <c r="DM403" s="165" t="str">
        <f>IFERROR(INDEX(DF$359:DF$407,_xlfn.AGGREGATE(15,6,(ROW(DF$359:DF$407)-ROW(DF$359)+1)/(DF$359:DF$407&lt;&gt;""),ROWS(DM$1:DM45))),"")</f>
        <v/>
      </c>
      <c r="DN403" s="166" t="str">
        <f t="shared" si="208"/>
        <v/>
      </c>
      <c r="DO403" s="164" t="str">
        <f>IFERROR(INDEX(DG$359:DG$407,_xlfn.AGGREGATE(15,6,(ROW(DG$359:DG$407)-ROW(DG$359)+1)/(DG$359:DG$407&lt;&gt;""),ROWS(DO$1:DO45))),"")</f>
        <v/>
      </c>
      <c r="DP403" s="165" t="str">
        <f>IFERROR(INDEX(DH$359:DH$407,_xlfn.AGGREGATE(15,6,(ROW(DH$359:DH$407)-ROW(DH$359)+1)/(DH$359:DH$407&lt;&gt;""),ROWS(DP$1:DP45))),"")</f>
        <v/>
      </c>
      <c r="DQ403" s="166" t="str">
        <f t="shared" si="209"/>
        <v/>
      </c>
      <c r="DV403" s="145">
        <v>2059</v>
      </c>
      <c r="DW403" s="235" t="e">
        <f t="shared" ca="1" si="193"/>
        <v>#REF!</v>
      </c>
      <c r="EA403" s="55"/>
      <c r="EB403" s="55"/>
      <c r="EC403" s="55"/>
      <c r="ED403" s="55"/>
      <c r="EE403" s="55"/>
    </row>
    <row r="404" spans="1:135" ht="13.8" x14ac:dyDescent="0.45">
      <c r="B404" s="128">
        <v>2057</v>
      </c>
      <c r="C404" s="1070"/>
      <c r="D404" s="1050"/>
      <c r="E404" s="1069"/>
      <c r="F404" s="1075"/>
      <c r="G404" s="1052"/>
      <c r="H404" s="1036"/>
      <c r="I404" s="1112"/>
      <c r="J404" s="247"/>
      <c r="K404" s="245"/>
      <c r="L404" s="246"/>
      <c r="M404" s="245"/>
      <c r="N404" s="29" t="s">
        <v>119</v>
      </c>
      <c r="O404" s="120"/>
      <c r="P404" s="120"/>
      <c r="Q404" s="120"/>
      <c r="R404" s="29">
        <v>43</v>
      </c>
      <c r="S404" s="238" t="str">
        <f t="shared" si="227"/>
        <v/>
      </c>
      <c r="T404" s="238" t="str">
        <f t="shared" si="228"/>
        <v/>
      </c>
      <c r="U404" s="238" t="str">
        <f t="shared" si="229"/>
        <v/>
      </c>
      <c r="W404" s="238" t="e">
        <f t="shared" si="197"/>
        <v>#N/A</v>
      </c>
      <c r="X404" s="238" t="e">
        <f t="shared" si="230"/>
        <v>#N/A</v>
      </c>
      <c r="Y404" s="238" t="e">
        <f t="shared" si="199"/>
        <v>#N/A</v>
      </c>
      <c r="AA404" s="1133">
        <v>397.64052511415525</v>
      </c>
      <c r="AB404" s="1133">
        <v>410.68775063925852</v>
      </c>
      <c r="AC404" s="1133">
        <v>423.7349761643618</v>
      </c>
      <c r="AD404" s="89"/>
      <c r="AE404" s="89"/>
      <c r="AF404" s="89"/>
      <c r="AG404" s="89"/>
      <c r="AH404" s="89"/>
      <c r="AI404" s="89"/>
      <c r="AJ404" s="89"/>
      <c r="AK404" s="89"/>
      <c r="AL404" s="89"/>
      <c r="AM404" s="89"/>
      <c r="AN404" s="89"/>
      <c r="BR404" s="180">
        <v>2055</v>
      </c>
      <c r="BS404" s="22">
        <v>41</v>
      </c>
      <c r="BT404" s="198" t="e">
        <f t="shared" si="210"/>
        <v>#DIV/0!</v>
      </c>
      <c r="BU404" s="198" t="e">
        <f t="shared" si="211"/>
        <v>#DIV/0!</v>
      </c>
      <c r="BV404" s="241" t="e">
        <f t="shared" si="212"/>
        <v>#DIV/0!</v>
      </c>
      <c r="BY404" s="180">
        <v>2055</v>
      </c>
      <c r="BZ404" s="22">
        <v>41</v>
      </c>
      <c r="CA404" s="198" t="e">
        <f t="shared" ca="1" si="213"/>
        <v>#REF!</v>
      </c>
      <c r="CB404" s="198" t="e">
        <f t="shared" ca="1" si="214"/>
        <v>#REF!</v>
      </c>
      <c r="CC404" s="198" t="e">
        <f t="shared" ca="1" si="225"/>
        <v>#REF!</v>
      </c>
      <c r="CD404" s="241" t="e">
        <f t="shared" ca="1" si="215"/>
        <v>#REF!</v>
      </c>
      <c r="CG404" s="180">
        <v>2055</v>
      </c>
      <c r="CH404" s="22">
        <v>41</v>
      </c>
      <c r="CI404" s="198" t="e">
        <f t="shared" ca="1" si="216"/>
        <v>#REF!</v>
      </c>
      <c r="CJ404" s="198" t="e">
        <f t="shared" ca="1" si="217"/>
        <v>#REF!</v>
      </c>
      <c r="CK404" s="198" t="e">
        <f t="shared" ca="1" si="218"/>
        <v>#REF!</v>
      </c>
      <c r="CL404" s="198" t="e">
        <f t="shared" ca="1" si="219"/>
        <v>#REF!</v>
      </c>
      <c r="CM404" s="241" t="e">
        <f t="shared" ca="1" si="220"/>
        <v>#REF!</v>
      </c>
      <c r="CP404" s="180">
        <v>2055</v>
      </c>
      <c r="CQ404" s="22">
        <v>41</v>
      </c>
      <c r="CR404" s="198" t="e">
        <f t="shared" ca="1" si="221"/>
        <v>#REF!</v>
      </c>
      <c r="CS404" s="198" t="e">
        <f t="shared" ca="1" si="222"/>
        <v>#REF!</v>
      </c>
      <c r="CT404" s="241" t="e">
        <f t="shared" ca="1" si="223"/>
        <v>#REF!</v>
      </c>
      <c r="CZ404" s="164" t="b">
        <f t="shared" si="231"/>
        <v>0</v>
      </c>
      <c r="DA404" s="165" t="b">
        <f t="shared" si="231"/>
        <v>0</v>
      </c>
      <c r="DB404" s="166" t="b">
        <f t="shared" si="231"/>
        <v>0</v>
      </c>
      <c r="DC404" s="164" t="str">
        <f t="shared" si="201"/>
        <v/>
      </c>
      <c r="DD404" s="166" t="str">
        <f t="shared" si="202"/>
        <v/>
      </c>
      <c r="DE404" s="164" t="str">
        <f t="shared" si="203"/>
        <v/>
      </c>
      <c r="DF404" s="166" t="str">
        <f t="shared" si="204"/>
        <v/>
      </c>
      <c r="DG404" s="164" t="str">
        <f t="shared" si="205"/>
        <v/>
      </c>
      <c r="DH404" s="166" t="str">
        <f t="shared" si="206"/>
        <v/>
      </c>
      <c r="DI404" s="164" t="str">
        <f>IFERROR(INDEX(DC$359:DC$407,_xlfn.AGGREGATE(15,6,(ROW(DC$359:DC$407)-ROW(DC$359)+1)/(DC$359:DC$407&lt;&gt;""),ROWS(DI$1:DI46))),"")</f>
        <v/>
      </c>
      <c r="DJ404" s="165" t="str">
        <f>IFERROR(INDEX(DD$359:DD$407,_xlfn.AGGREGATE(15,6,(ROW(DD$359:DD$407)-ROW(DD$359)+1)/(DD$359:DD$407&lt;&gt;""),ROWS(DJ$1:DJ46))),"")</f>
        <v/>
      </c>
      <c r="DK404" s="166" t="str">
        <f t="shared" si="207"/>
        <v/>
      </c>
      <c r="DL404" s="164" t="str">
        <f>IFERROR(INDEX(DE$359:DE$407,_xlfn.AGGREGATE(15,6,(ROW(DE$359:DE$407)-ROW(DE$359)+1)/(DE$359:DE$407&lt;&gt;""),ROWS(DL$1:DL46))),"")</f>
        <v/>
      </c>
      <c r="DM404" s="165" t="str">
        <f>IFERROR(INDEX(DF$359:DF$407,_xlfn.AGGREGATE(15,6,(ROW(DF$359:DF$407)-ROW(DF$359)+1)/(DF$359:DF$407&lt;&gt;""),ROWS(DM$1:DM46))),"")</f>
        <v/>
      </c>
      <c r="DN404" s="166" t="str">
        <f t="shared" si="208"/>
        <v/>
      </c>
      <c r="DO404" s="164" t="str">
        <f>IFERROR(INDEX(DG$359:DG$407,_xlfn.AGGREGATE(15,6,(ROW(DG$359:DG$407)-ROW(DG$359)+1)/(DG$359:DG$407&lt;&gt;""),ROWS(DO$1:DO46))),"")</f>
        <v/>
      </c>
      <c r="DP404" s="165" t="str">
        <f>IFERROR(INDEX(DH$359:DH$407,_xlfn.AGGREGATE(15,6,(ROW(DH$359:DH$407)-ROW(DH$359)+1)/(DH$359:DH$407&lt;&gt;""),ROWS(DP$1:DP46))),"")</f>
        <v/>
      </c>
      <c r="DQ404" s="166" t="str">
        <f t="shared" si="209"/>
        <v/>
      </c>
      <c r="DV404" s="145">
        <v>2060</v>
      </c>
      <c r="DW404" s="235" t="e">
        <f t="shared" ca="1" si="193"/>
        <v>#REF!</v>
      </c>
      <c r="EA404" s="55"/>
      <c r="EB404" s="55"/>
      <c r="EC404" s="55"/>
      <c r="ED404" s="55"/>
      <c r="EE404" s="55"/>
    </row>
    <row r="405" spans="1:135" ht="13.8" x14ac:dyDescent="0.45">
      <c r="A405" s="214"/>
      <c r="B405" s="128">
        <v>2058</v>
      </c>
      <c r="C405" s="1070"/>
      <c r="D405" s="1050"/>
      <c r="E405" s="1069"/>
      <c r="F405" s="1075"/>
      <c r="G405" s="1052"/>
      <c r="H405" s="1036"/>
      <c r="I405" s="1112"/>
      <c r="J405" s="247"/>
      <c r="K405" s="245"/>
      <c r="L405" s="246"/>
      <c r="M405" s="245"/>
      <c r="N405" s="29" t="s">
        <v>119</v>
      </c>
      <c r="R405" s="29">
        <v>44</v>
      </c>
      <c r="S405" s="238" t="str">
        <f t="shared" si="227"/>
        <v/>
      </c>
      <c r="T405" s="238" t="str">
        <f t="shared" si="228"/>
        <v/>
      </c>
      <c r="U405" s="238" t="str">
        <f t="shared" si="229"/>
        <v/>
      </c>
      <c r="W405" s="238" t="e">
        <f t="shared" si="197"/>
        <v>#N/A</v>
      </c>
      <c r="X405" s="238" t="e">
        <f t="shared" si="230"/>
        <v>#N/A</v>
      </c>
      <c r="Y405" s="238" t="e">
        <f t="shared" si="199"/>
        <v>#N/A</v>
      </c>
      <c r="AA405" s="1133">
        <v>401.68881278538811</v>
      </c>
      <c r="AB405" s="1133">
        <v>413.46357838780892</v>
      </c>
      <c r="AC405" s="1133">
        <v>425.23834399022974</v>
      </c>
      <c r="AD405" s="89"/>
      <c r="AE405" s="89"/>
      <c r="AF405" s="89"/>
      <c r="AG405" s="89"/>
      <c r="AH405" s="89"/>
      <c r="AI405" s="89"/>
      <c r="AJ405" s="89"/>
      <c r="AK405" s="89"/>
      <c r="AL405" s="89"/>
      <c r="AM405" s="89"/>
      <c r="AN405" s="89"/>
      <c r="BR405" s="180">
        <v>2056</v>
      </c>
      <c r="BS405" s="22">
        <v>42</v>
      </c>
      <c r="BT405" s="198" t="e">
        <f t="shared" si="210"/>
        <v>#DIV/0!</v>
      </c>
      <c r="BU405" s="198" t="e">
        <f t="shared" si="211"/>
        <v>#DIV/0!</v>
      </c>
      <c r="BV405" s="241" t="e">
        <f t="shared" si="212"/>
        <v>#DIV/0!</v>
      </c>
      <c r="BY405" s="180">
        <v>2056</v>
      </c>
      <c r="BZ405" s="22">
        <v>42</v>
      </c>
      <c r="CA405" s="198" t="e">
        <f t="shared" ca="1" si="213"/>
        <v>#REF!</v>
      </c>
      <c r="CB405" s="198" t="e">
        <f t="shared" ca="1" si="214"/>
        <v>#REF!</v>
      </c>
      <c r="CC405" s="198" t="e">
        <f t="shared" ca="1" si="225"/>
        <v>#REF!</v>
      </c>
      <c r="CD405" s="241" t="e">
        <f t="shared" ca="1" si="215"/>
        <v>#REF!</v>
      </c>
      <c r="CG405" s="180">
        <v>2056</v>
      </c>
      <c r="CH405" s="22">
        <v>42</v>
      </c>
      <c r="CI405" s="198" t="e">
        <f t="shared" ca="1" si="216"/>
        <v>#REF!</v>
      </c>
      <c r="CJ405" s="198" t="e">
        <f t="shared" ca="1" si="217"/>
        <v>#REF!</v>
      </c>
      <c r="CK405" s="198" t="e">
        <f t="shared" ca="1" si="218"/>
        <v>#REF!</v>
      </c>
      <c r="CL405" s="198" t="e">
        <f t="shared" ca="1" si="219"/>
        <v>#REF!</v>
      </c>
      <c r="CM405" s="241" t="e">
        <f t="shared" ca="1" si="220"/>
        <v>#REF!</v>
      </c>
      <c r="CP405" s="180">
        <v>2056</v>
      </c>
      <c r="CQ405" s="22">
        <v>42</v>
      </c>
      <c r="CR405" s="198" t="e">
        <f t="shared" ca="1" si="221"/>
        <v>#REF!</v>
      </c>
      <c r="CS405" s="198" t="e">
        <f t="shared" ca="1" si="222"/>
        <v>#REF!</v>
      </c>
      <c r="CT405" s="241" t="e">
        <f t="shared" ca="1" si="223"/>
        <v>#REF!</v>
      </c>
      <c r="CZ405" s="164" t="b">
        <f t="shared" si="231"/>
        <v>0</v>
      </c>
      <c r="DA405" s="165" t="b">
        <f t="shared" si="231"/>
        <v>0</v>
      </c>
      <c r="DB405" s="166" t="b">
        <f t="shared" si="231"/>
        <v>0</v>
      </c>
      <c r="DC405" s="164" t="str">
        <f t="shared" si="201"/>
        <v/>
      </c>
      <c r="DD405" s="166" t="str">
        <f t="shared" si="202"/>
        <v/>
      </c>
      <c r="DE405" s="164" t="str">
        <f t="shared" si="203"/>
        <v/>
      </c>
      <c r="DF405" s="166" t="str">
        <f t="shared" si="204"/>
        <v/>
      </c>
      <c r="DG405" s="164" t="str">
        <f t="shared" si="205"/>
        <v/>
      </c>
      <c r="DH405" s="166" t="str">
        <f t="shared" si="206"/>
        <v/>
      </c>
      <c r="DI405" s="164" t="str">
        <f>IFERROR(INDEX(DC$359:DC$407,_xlfn.AGGREGATE(15,6,(ROW(DC$359:DC$407)-ROW(DC$359)+1)/(DC$359:DC$407&lt;&gt;""),ROWS(DI$1:DI47))),"")</f>
        <v/>
      </c>
      <c r="DJ405" s="165" t="str">
        <f>IFERROR(INDEX(DD$359:DD$407,_xlfn.AGGREGATE(15,6,(ROW(DD$359:DD$407)-ROW(DD$359)+1)/(DD$359:DD$407&lt;&gt;""),ROWS(DJ$1:DJ47))),"")</f>
        <v/>
      </c>
      <c r="DK405" s="166" t="str">
        <f t="shared" si="207"/>
        <v/>
      </c>
      <c r="DL405" s="164" t="str">
        <f>IFERROR(INDEX(DE$359:DE$407,_xlfn.AGGREGATE(15,6,(ROW(DE$359:DE$407)-ROW(DE$359)+1)/(DE$359:DE$407&lt;&gt;""),ROWS(DL$1:DL47))),"")</f>
        <v/>
      </c>
      <c r="DM405" s="165" t="str">
        <f>IFERROR(INDEX(DF$359:DF$407,_xlfn.AGGREGATE(15,6,(ROW(DF$359:DF$407)-ROW(DF$359)+1)/(DF$359:DF$407&lt;&gt;""),ROWS(DM$1:DM47))),"")</f>
        <v/>
      </c>
      <c r="DN405" s="166" t="str">
        <f t="shared" si="208"/>
        <v/>
      </c>
      <c r="DO405" s="164" t="str">
        <f>IFERROR(INDEX(DG$359:DG$407,_xlfn.AGGREGATE(15,6,(ROW(DG$359:DG$407)-ROW(DG$359)+1)/(DG$359:DG$407&lt;&gt;""),ROWS(DO$1:DO47))),"")</f>
        <v/>
      </c>
      <c r="DP405" s="165" t="str">
        <f>IFERROR(INDEX(DH$359:DH$407,_xlfn.AGGREGATE(15,6,(ROW(DH$359:DH$407)-ROW(DH$359)+1)/(DH$359:DH$407&lt;&gt;""),ROWS(DP$1:DP47))),"")</f>
        <v/>
      </c>
      <c r="DQ405" s="166" t="str">
        <f t="shared" si="209"/>
        <v/>
      </c>
      <c r="DW405" s="54"/>
      <c r="EA405" s="55"/>
      <c r="EB405" s="55"/>
      <c r="EC405" s="55"/>
      <c r="ED405" s="55"/>
      <c r="EE405" s="55"/>
    </row>
    <row r="406" spans="1:135" ht="13.8" x14ac:dyDescent="0.45">
      <c r="A406" s="214"/>
      <c r="B406" s="128">
        <v>2059</v>
      </c>
      <c r="C406" s="1070"/>
      <c r="D406" s="1050"/>
      <c r="E406" s="1069"/>
      <c r="F406" s="1075"/>
      <c r="G406" s="1052"/>
      <c r="H406" s="1036"/>
      <c r="I406" s="1112"/>
      <c r="J406" s="247"/>
      <c r="K406" s="245"/>
      <c r="L406" s="246"/>
      <c r="M406" s="245"/>
      <c r="N406" s="29" t="s">
        <v>119</v>
      </c>
      <c r="R406" s="29">
        <v>45</v>
      </c>
      <c r="S406" s="238" t="str">
        <f t="shared" si="227"/>
        <v/>
      </c>
      <c r="T406" s="238" t="str">
        <f t="shared" si="228"/>
        <v/>
      </c>
      <c r="U406" s="238" t="str">
        <f t="shared" si="229"/>
        <v/>
      </c>
      <c r="W406" s="238" t="e">
        <f t="shared" si="197"/>
        <v>#N/A</v>
      </c>
      <c r="X406" s="238" t="e">
        <f t="shared" si="230"/>
        <v>#N/A</v>
      </c>
      <c r="Y406" s="238" t="e">
        <f t="shared" si="199"/>
        <v>#N/A</v>
      </c>
      <c r="AA406" s="1133">
        <v>405.73710045662096</v>
      </c>
      <c r="AB406" s="1133">
        <v>416.2275783625779</v>
      </c>
      <c r="AC406" s="1133">
        <v>426.71805626853484</v>
      </c>
      <c r="AD406" s="89"/>
      <c r="AE406" s="89"/>
      <c r="AF406" s="89"/>
      <c r="AG406" s="89"/>
      <c r="AH406" s="89"/>
      <c r="AI406" s="89"/>
      <c r="AJ406" s="89"/>
      <c r="AK406" s="89"/>
      <c r="AL406" s="89"/>
      <c r="AM406" s="89"/>
      <c r="AN406" s="89"/>
      <c r="BR406" s="180">
        <v>2057</v>
      </c>
      <c r="BS406" s="22">
        <v>43</v>
      </c>
      <c r="BT406" s="198" t="e">
        <f t="shared" si="210"/>
        <v>#DIV/0!</v>
      </c>
      <c r="BU406" s="198" t="e">
        <f t="shared" si="211"/>
        <v>#DIV/0!</v>
      </c>
      <c r="BV406" s="241" t="e">
        <f t="shared" si="212"/>
        <v>#DIV/0!</v>
      </c>
      <c r="BY406" s="180">
        <v>2057</v>
      </c>
      <c r="BZ406" s="22">
        <v>43</v>
      </c>
      <c r="CA406" s="198" t="e">
        <f t="shared" ca="1" si="213"/>
        <v>#REF!</v>
      </c>
      <c r="CB406" s="198" t="e">
        <f t="shared" ca="1" si="214"/>
        <v>#REF!</v>
      </c>
      <c r="CC406" s="198" t="e">
        <f t="shared" ca="1" si="225"/>
        <v>#REF!</v>
      </c>
      <c r="CD406" s="241" t="e">
        <f t="shared" ca="1" si="215"/>
        <v>#REF!</v>
      </c>
      <c r="CG406" s="180">
        <v>2057</v>
      </c>
      <c r="CH406" s="22">
        <v>43</v>
      </c>
      <c r="CI406" s="198" t="e">
        <f t="shared" ca="1" si="216"/>
        <v>#REF!</v>
      </c>
      <c r="CJ406" s="198" t="e">
        <f t="shared" ca="1" si="217"/>
        <v>#REF!</v>
      </c>
      <c r="CK406" s="198" t="e">
        <f t="shared" ca="1" si="218"/>
        <v>#REF!</v>
      </c>
      <c r="CL406" s="198" t="e">
        <f t="shared" ca="1" si="219"/>
        <v>#REF!</v>
      </c>
      <c r="CM406" s="241" t="e">
        <f t="shared" ca="1" si="220"/>
        <v>#REF!</v>
      </c>
      <c r="CP406" s="180">
        <v>2057</v>
      </c>
      <c r="CQ406" s="22">
        <v>43</v>
      </c>
      <c r="CR406" s="198" t="e">
        <f t="shared" ca="1" si="221"/>
        <v>#REF!</v>
      </c>
      <c r="CS406" s="198" t="e">
        <f t="shared" ca="1" si="222"/>
        <v>#REF!</v>
      </c>
      <c r="CT406" s="241" t="e">
        <f t="shared" ca="1" si="223"/>
        <v>#REF!</v>
      </c>
      <c r="CZ406" s="164" t="b">
        <f t="shared" si="231"/>
        <v>0</v>
      </c>
      <c r="DA406" s="165" t="b">
        <f t="shared" si="231"/>
        <v>0</v>
      </c>
      <c r="DB406" s="166" t="b">
        <f t="shared" si="231"/>
        <v>0</v>
      </c>
      <c r="DC406" s="164" t="str">
        <f t="shared" si="201"/>
        <v/>
      </c>
      <c r="DD406" s="166" t="str">
        <f t="shared" si="202"/>
        <v/>
      </c>
      <c r="DE406" s="164" t="str">
        <f t="shared" si="203"/>
        <v/>
      </c>
      <c r="DF406" s="166" t="str">
        <f t="shared" si="204"/>
        <v/>
      </c>
      <c r="DG406" s="164" t="str">
        <f t="shared" si="205"/>
        <v/>
      </c>
      <c r="DH406" s="166" t="str">
        <f t="shared" si="206"/>
        <v/>
      </c>
      <c r="DI406" s="164" t="str">
        <f>IFERROR(INDEX(DC$359:DC$407,_xlfn.AGGREGATE(15,6,(ROW(DC$359:DC$407)-ROW(DC$359)+1)/(DC$359:DC$407&lt;&gt;""),ROWS(DI$1:DI48))),"")</f>
        <v/>
      </c>
      <c r="DJ406" s="165" t="str">
        <f>IFERROR(INDEX(DD$359:DD$407,_xlfn.AGGREGATE(15,6,(ROW(DD$359:DD$407)-ROW(DD$359)+1)/(DD$359:DD$407&lt;&gt;""),ROWS(DJ$1:DJ48))),"")</f>
        <v/>
      </c>
      <c r="DK406" s="166" t="str">
        <f t="shared" si="207"/>
        <v/>
      </c>
      <c r="DL406" s="164" t="str">
        <f>IFERROR(INDEX(DE$359:DE$407,_xlfn.AGGREGATE(15,6,(ROW(DE$359:DE$407)-ROW(DE$359)+1)/(DE$359:DE$407&lt;&gt;""),ROWS(DL$1:DL48))),"")</f>
        <v/>
      </c>
      <c r="DM406" s="165" t="str">
        <f>IFERROR(INDEX(DF$359:DF$407,_xlfn.AGGREGATE(15,6,(ROW(DF$359:DF$407)-ROW(DF$359)+1)/(DF$359:DF$407&lt;&gt;""),ROWS(DM$1:DM48))),"")</f>
        <v/>
      </c>
      <c r="DN406" s="166" t="str">
        <f t="shared" si="208"/>
        <v/>
      </c>
      <c r="DO406" s="164" t="str">
        <f>IFERROR(INDEX(DG$359:DG$407,_xlfn.AGGREGATE(15,6,(ROW(DG$359:DG$407)-ROW(DG$359)+1)/(DG$359:DG$407&lt;&gt;""),ROWS(DO$1:DO48))),"")</f>
        <v/>
      </c>
      <c r="DP406" s="165" t="str">
        <f>IFERROR(INDEX(DH$359:DH$407,_xlfn.AGGREGATE(15,6,(ROW(DH$359:DH$407)-ROW(DH$359)+1)/(DH$359:DH$407&lt;&gt;""),ROWS(DP$1:DP48))),"")</f>
        <v/>
      </c>
      <c r="DQ406" s="166" t="str">
        <f t="shared" si="209"/>
        <v/>
      </c>
      <c r="DR406" s="89"/>
      <c r="DW406" s="54"/>
      <c r="EA406" s="55"/>
      <c r="EB406" s="55"/>
      <c r="EC406" s="55"/>
      <c r="ED406" s="55"/>
      <c r="EE406" s="55"/>
    </row>
    <row r="407" spans="1:135" ht="14.1" thickBot="1" x14ac:dyDescent="0.5">
      <c r="A407" s="214"/>
      <c r="B407" s="128">
        <v>2060</v>
      </c>
      <c r="C407" s="1007"/>
      <c r="D407" s="1062"/>
      <c r="E407" s="1071"/>
      <c r="F407" s="1076"/>
      <c r="G407" s="1057"/>
      <c r="H407" s="1043"/>
      <c r="I407" s="1115"/>
      <c r="J407" s="251"/>
      <c r="K407" s="249"/>
      <c r="L407" s="250"/>
      <c r="M407" s="249"/>
      <c r="N407" s="29" t="s">
        <v>119</v>
      </c>
      <c r="R407" s="29">
        <v>46</v>
      </c>
      <c r="S407" s="238" t="str">
        <f t="shared" si="227"/>
        <v/>
      </c>
      <c r="T407" s="238" t="str">
        <f t="shared" si="228"/>
        <v/>
      </c>
      <c r="U407" s="238" t="str">
        <f t="shared" si="229"/>
        <v/>
      </c>
      <c r="W407" s="238" t="e">
        <f t="shared" si="197"/>
        <v>#N/A</v>
      </c>
      <c r="X407" s="238" t="e">
        <f t="shared" si="230"/>
        <v>#N/A</v>
      </c>
      <c r="Y407" s="238" t="e">
        <f t="shared" si="199"/>
        <v>#N/A</v>
      </c>
      <c r="AA407" s="1133">
        <v>409.78538812785388</v>
      </c>
      <c r="AB407" s="1133">
        <v>418.98278546900627</v>
      </c>
      <c r="AC407" s="1133">
        <v>428.18018281015867</v>
      </c>
      <c r="AD407" s="89"/>
      <c r="AE407" s="89"/>
      <c r="AF407" s="89"/>
      <c r="AG407" s="89"/>
      <c r="AH407" s="89"/>
      <c r="AI407" s="89"/>
      <c r="AJ407" s="89"/>
      <c r="AK407" s="89"/>
      <c r="AL407" s="89"/>
      <c r="AM407" s="89"/>
      <c r="AN407" s="89"/>
      <c r="BR407" s="180">
        <v>2058</v>
      </c>
      <c r="BS407" s="22">
        <v>44</v>
      </c>
      <c r="BT407" s="198" t="e">
        <f t="shared" si="210"/>
        <v>#DIV/0!</v>
      </c>
      <c r="BU407" s="198" t="e">
        <f t="shared" si="211"/>
        <v>#DIV/0!</v>
      </c>
      <c r="BV407" s="241" t="e">
        <f t="shared" si="212"/>
        <v>#DIV/0!</v>
      </c>
      <c r="BY407" s="180">
        <v>2058</v>
      </c>
      <c r="BZ407" s="22">
        <v>44</v>
      </c>
      <c r="CA407" s="198" t="e">
        <f t="shared" ca="1" si="213"/>
        <v>#REF!</v>
      </c>
      <c r="CB407" s="198" t="e">
        <f t="shared" ca="1" si="214"/>
        <v>#REF!</v>
      </c>
      <c r="CC407" s="198" t="e">
        <f t="shared" ca="1" si="225"/>
        <v>#REF!</v>
      </c>
      <c r="CD407" s="241" t="e">
        <f t="shared" ca="1" si="215"/>
        <v>#REF!</v>
      </c>
      <c r="CG407" s="180">
        <v>2058</v>
      </c>
      <c r="CH407" s="22">
        <v>44</v>
      </c>
      <c r="CI407" s="198" t="e">
        <f t="shared" ca="1" si="216"/>
        <v>#REF!</v>
      </c>
      <c r="CJ407" s="198" t="e">
        <f t="shared" ca="1" si="217"/>
        <v>#REF!</v>
      </c>
      <c r="CK407" s="198" t="e">
        <f t="shared" ca="1" si="218"/>
        <v>#REF!</v>
      </c>
      <c r="CL407" s="198" t="e">
        <f t="shared" ca="1" si="219"/>
        <v>#REF!</v>
      </c>
      <c r="CM407" s="241" t="e">
        <f t="shared" ca="1" si="220"/>
        <v>#REF!</v>
      </c>
      <c r="CP407" s="180">
        <v>2058</v>
      </c>
      <c r="CQ407" s="22">
        <v>44</v>
      </c>
      <c r="CR407" s="198" t="e">
        <f t="shared" ca="1" si="221"/>
        <v>#REF!</v>
      </c>
      <c r="CS407" s="198" t="e">
        <f t="shared" ca="1" si="222"/>
        <v>#REF!</v>
      </c>
      <c r="CT407" s="241" t="e">
        <f t="shared" ca="1" si="223"/>
        <v>#REF!</v>
      </c>
      <c r="CZ407" s="164" t="b">
        <f t="shared" si="231"/>
        <v>0</v>
      </c>
      <c r="DA407" s="165" t="b">
        <f t="shared" si="231"/>
        <v>0</v>
      </c>
      <c r="DB407" s="166" t="b">
        <f t="shared" si="231"/>
        <v>0</v>
      </c>
      <c r="DC407" s="164" t="str">
        <f t="shared" si="201"/>
        <v/>
      </c>
      <c r="DD407" s="166" t="str">
        <f t="shared" si="202"/>
        <v/>
      </c>
      <c r="DE407" s="164" t="str">
        <f t="shared" si="203"/>
        <v/>
      </c>
      <c r="DF407" s="166" t="str">
        <f t="shared" si="204"/>
        <v/>
      </c>
      <c r="DG407" s="164" t="str">
        <f t="shared" si="205"/>
        <v/>
      </c>
      <c r="DH407" s="166" t="str">
        <f t="shared" si="206"/>
        <v/>
      </c>
      <c r="DI407" s="164" t="str">
        <f>IFERROR(INDEX(DC$359:DC$407,_xlfn.AGGREGATE(15,6,(ROW(DC$359:DC$407)-ROW(DC$359)+1)/(DC$359:DC$407&lt;&gt;""),ROWS(DI$1:DI49))),"")</f>
        <v/>
      </c>
      <c r="DJ407" s="165" t="str">
        <f>IFERROR(INDEX(DD$359:DD$407,_xlfn.AGGREGATE(15,6,(ROW(DD$359:DD$407)-ROW(DD$359)+1)/(DD$359:DD$407&lt;&gt;""),ROWS(DJ$1:DJ49))),"")</f>
        <v/>
      </c>
      <c r="DK407" s="166" t="str">
        <f t="shared" si="207"/>
        <v/>
      </c>
      <c r="DL407" s="164" t="str">
        <f>IFERROR(INDEX(DE$359:DE$407,_xlfn.AGGREGATE(15,6,(ROW(DE$359:DE$407)-ROW(DE$359)+1)/(DE$359:DE$407&lt;&gt;""),ROWS(DL$1:DL49))),"")</f>
        <v/>
      </c>
      <c r="DM407" s="165" t="str">
        <f>IFERROR(INDEX(DF$359:DF$407,_xlfn.AGGREGATE(15,6,(ROW(DF$359:DF$407)-ROW(DF$359)+1)/(DF$359:DF$407&lt;&gt;""),ROWS(DM$1:DM49))),"")</f>
        <v/>
      </c>
      <c r="DN407" s="166" t="str">
        <f t="shared" si="208"/>
        <v/>
      </c>
      <c r="DO407" s="164" t="str">
        <f>IFERROR(INDEX(DG$359:DG$407,_xlfn.AGGREGATE(15,6,(ROW(DG$359:DG$407)-ROW(DG$359)+1)/(DG$359:DG$407&lt;&gt;""),ROWS(DO$1:DO49))),"")</f>
        <v/>
      </c>
      <c r="DP407" s="165" t="str">
        <f>IFERROR(INDEX(DH$359:DH$407,_xlfn.AGGREGATE(15,6,(ROW(DH$359:DH$407)-ROW(DH$359)+1)/(DH$359:DH$407&lt;&gt;""),ROWS(DP$1:DP49))),"")</f>
        <v/>
      </c>
      <c r="DQ407" s="166" t="str">
        <f t="shared" si="209"/>
        <v/>
      </c>
      <c r="DR407" s="89"/>
      <c r="DW407" s="54"/>
      <c r="EA407" s="55"/>
      <c r="EB407" s="55"/>
      <c r="EC407" s="55"/>
      <c r="ED407" s="55"/>
      <c r="EE407" s="55"/>
    </row>
    <row r="408" spans="1:135" x14ac:dyDescent="0.4">
      <c r="A408" s="214"/>
      <c r="B408" s="89"/>
      <c r="C408" s="14"/>
      <c r="D408" s="14"/>
      <c r="E408" s="14"/>
      <c r="F408" s="14"/>
      <c r="G408" s="14"/>
      <c r="H408" s="14"/>
      <c r="I408" s="14"/>
      <c r="J408" s="14"/>
      <c r="K408" s="14"/>
      <c r="L408" s="14"/>
      <c r="M408" s="50"/>
      <c r="S408" s="120"/>
      <c r="T408" s="120"/>
      <c r="U408" s="120"/>
      <c r="W408" s="120"/>
      <c r="X408" s="120"/>
      <c r="Y408" s="120"/>
      <c r="AA408" s="89"/>
      <c r="AB408" s="89"/>
      <c r="AC408" s="89"/>
      <c r="AD408" s="89"/>
      <c r="AE408" s="89"/>
      <c r="AF408" s="89"/>
      <c r="AG408" s="89"/>
      <c r="AH408" s="89"/>
      <c r="AI408" s="89"/>
      <c r="AJ408" s="89"/>
      <c r="AK408" s="89"/>
      <c r="AL408" s="89"/>
      <c r="AM408" s="89"/>
      <c r="AN408" s="89"/>
      <c r="BR408" s="180">
        <v>2059</v>
      </c>
      <c r="BS408" s="22">
        <v>45</v>
      </c>
      <c r="BT408" s="198" t="e">
        <f t="shared" si="210"/>
        <v>#DIV/0!</v>
      </c>
      <c r="BU408" s="198" t="e">
        <f t="shared" si="211"/>
        <v>#DIV/0!</v>
      </c>
      <c r="BV408" s="241" t="e">
        <f t="shared" si="212"/>
        <v>#DIV/0!</v>
      </c>
      <c r="BY408" s="180">
        <v>2059</v>
      </c>
      <c r="BZ408" s="22">
        <v>45</v>
      </c>
      <c r="CA408" s="198" t="e">
        <f t="shared" ca="1" si="213"/>
        <v>#REF!</v>
      </c>
      <c r="CB408" s="198" t="e">
        <f t="shared" ca="1" si="214"/>
        <v>#REF!</v>
      </c>
      <c r="CC408" s="198" t="e">
        <f t="shared" ca="1" si="225"/>
        <v>#REF!</v>
      </c>
      <c r="CD408" s="241" t="e">
        <f t="shared" ca="1" si="215"/>
        <v>#REF!</v>
      </c>
      <c r="CG408" s="180">
        <v>2059</v>
      </c>
      <c r="CH408" s="22">
        <v>45</v>
      </c>
      <c r="CI408" s="198" t="e">
        <f t="shared" ca="1" si="216"/>
        <v>#REF!</v>
      </c>
      <c r="CJ408" s="198" t="e">
        <f t="shared" ca="1" si="217"/>
        <v>#REF!</v>
      </c>
      <c r="CK408" s="198" t="e">
        <f t="shared" ca="1" si="218"/>
        <v>#REF!</v>
      </c>
      <c r="CL408" s="198" t="e">
        <f t="shared" ca="1" si="219"/>
        <v>#REF!</v>
      </c>
      <c r="CM408" s="241" t="e">
        <f t="shared" ca="1" si="220"/>
        <v>#REF!</v>
      </c>
      <c r="CP408" s="180">
        <v>2059</v>
      </c>
      <c r="CQ408" s="22">
        <v>45</v>
      </c>
      <c r="CR408" s="198" t="e">
        <f t="shared" ca="1" si="221"/>
        <v>#REF!</v>
      </c>
      <c r="CS408" s="198" t="e">
        <f t="shared" ca="1" si="222"/>
        <v>#REF!</v>
      </c>
      <c r="CT408" s="241" t="e">
        <f t="shared" ca="1" si="223"/>
        <v>#REF!</v>
      </c>
      <c r="CZ408" s="252"/>
      <c r="DA408" s="252"/>
      <c r="DB408" s="252"/>
      <c r="DC408" s="252"/>
      <c r="DD408" s="252"/>
      <c r="DE408" s="252"/>
      <c r="DF408" s="252"/>
      <c r="DG408" s="252"/>
      <c r="DH408" s="252"/>
      <c r="DI408" s="252"/>
      <c r="DJ408" s="252"/>
      <c r="DK408" s="252"/>
      <c r="DL408" s="252"/>
      <c r="DM408" s="252"/>
      <c r="DN408" s="252"/>
      <c r="DO408" s="252"/>
      <c r="DP408" s="252"/>
      <c r="DQ408" s="252"/>
      <c r="DR408" s="89"/>
      <c r="DU408" s="65"/>
      <c r="DW408" s="54"/>
      <c r="EA408" s="55"/>
      <c r="EB408" s="55"/>
      <c r="EC408" s="55"/>
      <c r="ED408" s="55"/>
      <c r="EE408" s="55"/>
    </row>
    <row r="409" spans="1:135" x14ac:dyDescent="0.4">
      <c r="A409" s="214"/>
      <c r="B409" s="89"/>
      <c r="C409" s="14"/>
      <c r="D409" s="14"/>
      <c r="E409" s="14"/>
      <c r="F409" s="14"/>
      <c r="G409" s="14"/>
      <c r="H409" s="14"/>
      <c r="I409" s="14"/>
      <c r="J409" s="14"/>
      <c r="K409" s="14"/>
      <c r="L409" s="14"/>
      <c r="M409" s="50"/>
      <c r="S409" s="120"/>
      <c r="T409" s="120"/>
      <c r="U409" s="120"/>
      <c r="W409" s="120"/>
      <c r="X409" s="120"/>
      <c r="Y409" s="120"/>
      <c r="AA409" s="89"/>
      <c r="AB409" s="89"/>
      <c r="AC409" s="89"/>
      <c r="AD409" s="89"/>
      <c r="AE409" s="89"/>
      <c r="AF409" s="89"/>
      <c r="AG409" s="89"/>
      <c r="AH409" s="89"/>
      <c r="AI409" s="89"/>
      <c r="AJ409" s="89"/>
      <c r="AK409" s="89"/>
      <c r="AL409" s="89"/>
      <c r="AM409" s="89"/>
      <c r="AN409" s="89"/>
      <c r="BR409" s="180">
        <v>2060</v>
      </c>
      <c r="BS409" s="22">
        <v>46</v>
      </c>
      <c r="BT409" s="198" t="e">
        <f t="shared" si="210"/>
        <v>#DIV/0!</v>
      </c>
      <c r="BU409" s="198" t="e">
        <f t="shared" si="211"/>
        <v>#DIV/0!</v>
      </c>
      <c r="BV409" s="241" t="e">
        <f t="shared" si="212"/>
        <v>#DIV/0!</v>
      </c>
      <c r="BY409" s="180">
        <v>2060</v>
      </c>
      <c r="BZ409" s="22">
        <v>46</v>
      </c>
      <c r="CA409" s="198" t="e">
        <f t="shared" ca="1" si="213"/>
        <v>#REF!</v>
      </c>
      <c r="CB409" s="198" t="e">
        <f t="shared" ca="1" si="214"/>
        <v>#REF!</v>
      </c>
      <c r="CC409" s="198" t="e">
        <f t="shared" ca="1" si="225"/>
        <v>#REF!</v>
      </c>
      <c r="CD409" s="241" t="e">
        <f t="shared" ca="1" si="215"/>
        <v>#REF!</v>
      </c>
      <c r="CG409" s="180">
        <v>2060</v>
      </c>
      <c r="CH409" s="22">
        <v>46</v>
      </c>
      <c r="CI409" s="198" t="e">
        <f t="shared" ca="1" si="216"/>
        <v>#REF!</v>
      </c>
      <c r="CJ409" s="198" t="e">
        <f t="shared" ca="1" si="217"/>
        <v>#REF!</v>
      </c>
      <c r="CK409" s="198" t="e">
        <f t="shared" ca="1" si="218"/>
        <v>#REF!</v>
      </c>
      <c r="CL409" s="198" t="e">
        <f t="shared" ca="1" si="219"/>
        <v>#REF!</v>
      </c>
      <c r="CM409" s="241" t="e">
        <f t="shared" ca="1" si="220"/>
        <v>#REF!</v>
      </c>
      <c r="CP409" s="180">
        <v>2060</v>
      </c>
      <c r="CQ409" s="22">
        <v>46</v>
      </c>
      <c r="CR409" s="198" t="e">
        <f t="shared" ca="1" si="221"/>
        <v>#REF!</v>
      </c>
      <c r="CS409" s="198" t="e">
        <f t="shared" ca="1" si="222"/>
        <v>#REF!</v>
      </c>
      <c r="CT409" s="241" t="e">
        <f t="shared" ca="1" si="223"/>
        <v>#REF!</v>
      </c>
      <c r="CZ409" s="89"/>
      <c r="DA409" s="89"/>
      <c r="DB409" s="89"/>
      <c r="DC409" s="89"/>
      <c r="DD409" s="89"/>
      <c r="DE409" s="89"/>
      <c r="DF409" s="89"/>
      <c r="DG409" s="89"/>
      <c r="DH409" s="89"/>
      <c r="DI409" s="89"/>
      <c r="DJ409" s="89"/>
      <c r="DK409" s="89"/>
      <c r="DL409" s="89"/>
      <c r="DM409" s="89"/>
      <c r="DN409" s="89"/>
      <c r="DO409" s="89"/>
      <c r="DP409" s="89"/>
      <c r="DQ409" s="89"/>
      <c r="DR409" s="89"/>
      <c r="DW409" s="54"/>
      <c r="EA409" s="55"/>
      <c r="EB409" s="55"/>
      <c r="EC409" s="55"/>
      <c r="ED409" s="55"/>
      <c r="EE409" s="55"/>
    </row>
    <row r="410" spans="1:135" x14ac:dyDescent="0.4">
      <c r="A410" s="221" t="str">
        <f ca="1">HYPERLINK("#"&amp;"'"&amp;A$1&amp;"'!a1","Back to top")</f>
        <v>Back to top</v>
      </c>
      <c r="C410" s="50"/>
      <c r="D410" s="14"/>
      <c r="E410" s="14"/>
      <c r="F410" s="14"/>
      <c r="G410" s="14"/>
      <c r="H410" s="14"/>
      <c r="I410" s="14"/>
      <c r="J410" s="14"/>
      <c r="K410" s="14"/>
      <c r="L410" s="14"/>
      <c r="M410" s="14"/>
      <c r="N410" s="89"/>
      <c r="O410" s="89"/>
      <c r="P410" s="89"/>
      <c r="Q410" s="89"/>
      <c r="R410" s="89"/>
      <c r="S410" s="89"/>
      <c r="T410" s="89"/>
      <c r="U410" s="89"/>
      <c r="V410" s="89"/>
      <c r="W410" s="89"/>
      <c r="X410" s="89"/>
      <c r="Y410" s="89"/>
      <c r="Z410" s="89"/>
      <c r="AA410" s="89"/>
      <c r="AB410" s="89"/>
      <c r="AC410" s="89"/>
      <c r="AD410" s="89"/>
      <c r="AE410" s="89"/>
      <c r="AF410" s="89"/>
      <c r="AG410" s="89"/>
      <c r="AH410" s="89"/>
      <c r="AI410" s="89"/>
      <c r="AJ410" s="89"/>
      <c r="AK410" s="89"/>
      <c r="AL410" s="89"/>
      <c r="AM410" s="89"/>
      <c r="AN410" s="89"/>
      <c r="CZ410" s="89"/>
      <c r="DA410" s="89"/>
      <c r="DB410" s="89"/>
      <c r="DC410" s="89"/>
      <c r="DD410" s="89"/>
      <c r="DE410" s="89"/>
      <c r="DF410" s="89"/>
      <c r="DG410" s="89"/>
      <c r="DH410" s="89"/>
      <c r="DI410" s="89"/>
      <c r="DJ410" s="89"/>
      <c r="DK410" s="89"/>
      <c r="DL410" s="89"/>
      <c r="DM410" s="89"/>
      <c r="DN410" s="89"/>
      <c r="DO410" s="89"/>
      <c r="DP410" s="89"/>
      <c r="DQ410" s="89"/>
      <c r="DR410" s="89"/>
      <c r="DW410" s="54"/>
      <c r="EA410" s="55"/>
      <c r="EB410" s="55"/>
      <c r="EC410" s="55"/>
      <c r="ED410" s="55"/>
      <c r="EE410" s="55"/>
    </row>
    <row r="411" spans="1:135" x14ac:dyDescent="0.4">
      <c r="A411" s="221"/>
      <c r="C411" s="50"/>
      <c r="D411" s="14"/>
      <c r="E411" s="14"/>
      <c r="F411" s="14"/>
      <c r="G411" s="14"/>
      <c r="H411" s="14"/>
      <c r="I411" s="14"/>
      <c r="J411" s="14"/>
      <c r="K411" s="14"/>
      <c r="L411" s="14"/>
      <c r="M411" s="14"/>
      <c r="N411" s="89"/>
      <c r="O411" s="89"/>
      <c r="P411" s="89"/>
      <c r="Q411" s="89"/>
      <c r="R411" s="89"/>
      <c r="S411" s="89"/>
      <c r="T411" s="89"/>
      <c r="U411" s="89"/>
      <c r="V411" s="89"/>
      <c r="W411" s="89"/>
      <c r="X411" s="89"/>
      <c r="Y411" s="89"/>
      <c r="Z411" s="89"/>
      <c r="AA411" s="89"/>
      <c r="AB411" s="89"/>
      <c r="AC411" s="89"/>
      <c r="AD411" s="89"/>
      <c r="AE411" s="89"/>
      <c r="AF411" s="89"/>
      <c r="AG411" s="89"/>
      <c r="AH411" s="89"/>
      <c r="AI411" s="89"/>
      <c r="AJ411" s="89"/>
      <c r="AK411" s="89"/>
      <c r="AL411" s="89"/>
      <c r="AM411" s="89"/>
      <c r="AN411" s="89"/>
      <c r="CZ411" s="89"/>
      <c r="DA411" s="89"/>
      <c r="DB411" s="89"/>
      <c r="DC411" s="89"/>
      <c r="DD411" s="89"/>
      <c r="DE411" s="89"/>
      <c r="DF411" s="89"/>
      <c r="DG411" s="89"/>
      <c r="DH411" s="89"/>
      <c r="DI411" s="89"/>
      <c r="DJ411" s="89"/>
      <c r="DK411" s="89"/>
      <c r="DL411" s="89"/>
      <c r="DM411" s="89"/>
      <c r="DN411" s="89"/>
      <c r="DO411" s="89"/>
      <c r="DP411" s="89"/>
      <c r="DQ411" s="89"/>
      <c r="DR411" s="89"/>
      <c r="DW411" s="54"/>
      <c r="EA411" s="55"/>
      <c r="EB411" s="55"/>
      <c r="EC411" s="55"/>
      <c r="ED411" s="55"/>
      <c r="EE411" s="55"/>
    </row>
    <row r="412" spans="1:135" x14ac:dyDescent="0.4">
      <c r="A412" s="214"/>
      <c r="B412" s="89"/>
      <c r="C412" s="14"/>
      <c r="D412" s="14"/>
      <c r="E412" s="14"/>
      <c r="F412" s="14"/>
      <c r="G412" s="14"/>
      <c r="H412" s="14"/>
      <c r="I412" s="14"/>
      <c r="J412" s="14"/>
      <c r="K412" s="14"/>
      <c r="L412" s="14"/>
      <c r="M412" s="50"/>
      <c r="N412" s="49"/>
      <c r="O412" s="49"/>
      <c r="P412" s="49"/>
      <c r="Q412" s="49"/>
      <c r="R412" s="49"/>
      <c r="S412" s="120"/>
      <c r="T412" s="120"/>
      <c r="U412" s="120"/>
      <c r="V412" s="49"/>
      <c r="W412" s="120"/>
      <c r="X412" s="120"/>
      <c r="Y412" s="120"/>
      <c r="Z412" s="89"/>
      <c r="AA412" s="89"/>
      <c r="AB412" s="89"/>
      <c r="AC412" s="89"/>
      <c r="AD412" s="89"/>
      <c r="AE412" s="89"/>
      <c r="AF412" s="89"/>
      <c r="AG412" s="89"/>
      <c r="AH412" s="89"/>
      <c r="AI412" s="89"/>
      <c r="AJ412" s="89"/>
      <c r="AK412" s="89"/>
      <c r="AL412" s="89"/>
      <c r="AM412" s="89"/>
      <c r="AN412" s="89"/>
      <c r="AO412" s="49"/>
      <c r="AP412" s="49"/>
      <c r="AQ412" s="49"/>
      <c r="AR412" s="49"/>
      <c r="AS412" s="49"/>
      <c r="AT412" s="49"/>
      <c r="AU412" s="49"/>
      <c r="AV412" s="49"/>
      <c r="AW412" s="49"/>
      <c r="AX412" s="49"/>
      <c r="AY412" s="49"/>
      <c r="AZ412" s="49"/>
      <c r="BA412" s="49"/>
      <c r="BB412" s="49"/>
      <c r="BC412" s="49"/>
      <c r="BD412" s="49"/>
      <c r="BE412" s="49"/>
      <c r="BF412" s="49"/>
      <c r="BG412" s="49"/>
      <c r="BH412" s="49"/>
      <c r="BI412" s="49"/>
      <c r="BJ412" s="49"/>
      <c r="BK412" s="49"/>
      <c r="BL412" s="49"/>
    </row>
    <row r="413" spans="1:135" x14ac:dyDescent="0.4">
      <c r="A413" s="253"/>
      <c r="B413" s="254"/>
      <c r="C413" s="255"/>
      <c r="D413" s="255"/>
      <c r="E413" s="255"/>
      <c r="F413" s="255"/>
      <c r="G413" s="255"/>
      <c r="H413" s="255"/>
      <c r="I413" s="255"/>
      <c r="J413" s="255"/>
      <c r="K413" s="255"/>
      <c r="L413" s="255"/>
      <c r="M413" s="256"/>
      <c r="S413" s="257"/>
      <c r="T413" s="257"/>
      <c r="U413" s="257"/>
      <c r="W413" s="257"/>
      <c r="X413" s="257"/>
      <c r="Y413" s="257"/>
      <c r="Z413" s="254"/>
      <c r="AA413" s="254"/>
      <c r="AB413" s="254"/>
      <c r="AC413" s="254"/>
      <c r="AD413" s="254"/>
      <c r="AE413" s="254"/>
      <c r="AF413" s="254"/>
      <c r="AG413" s="254"/>
      <c r="AH413" s="254"/>
      <c r="AI413" s="254"/>
      <c r="AJ413" s="254"/>
      <c r="AK413" s="254"/>
      <c r="AL413" s="254"/>
      <c r="AM413" s="254"/>
      <c r="AN413" s="254"/>
      <c r="DW413" s="258"/>
      <c r="EA413" s="259"/>
      <c r="EB413" s="259"/>
      <c r="EC413" s="259"/>
      <c r="ED413" s="259"/>
      <c r="EE413" s="259"/>
    </row>
    <row r="414" spans="1:135" x14ac:dyDescent="0.4">
      <c r="A414" s="253"/>
      <c r="B414" s="254"/>
      <c r="C414" s="255"/>
      <c r="D414" s="255"/>
      <c r="E414" s="255"/>
      <c r="F414" s="255"/>
      <c r="G414" s="255"/>
      <c r="H414" s="255"/>
      <c r="I414" s="255"/>
      <c r="J414" s="255"/>
      <c r="K414" s="255"/>
      <c r="L414" s="255"/>
      <c r="M414" s="256"/>
      <c r="S414" s="257"/>
      <c r="T414" s="257"/>
      <c r="U414" s="257"/>
      <c r="W414" s="257"/>
      <c r="X414" s="257"/>
      <c r="Y414" s="257"/>
      <c r="Z414" s="254"/>
      <c r="AA414" s="254"/>
      <c r="AB414" s="254"/>
      <c r="AC414" s="254"/>
      <c r="AD414" s="254"/>
      <c r="AE414" s="254"/>
      <c r="AF414" s="254"/>
      <c r="AG414" s="254"/>
      <c r="AH414" s="254"/>
      <c r="AI414" s="254"/>
      <c r="AJ414" s="254"/>
      <c r="AK414" s="254"/>
      <c r="AL414" s="254"/>
      <c r="AM414" s="254"/>
      <c r="AN414" s="254"/>
      <c r="DW414" s="258"/>
      <c r="EA414" s="259"/>
      <c r="EB414" s="259"/>
      <c r="EC414" s="259"/>
      <c r="ED414" s="259"/>
      <c r="EE414" s="259"/>
    </row>
    <row r="415" spans="1:135" x14ac:dyDescent="0.4">
      <c r="A415" s="221"/>
      <c r="C415" s="14"/>
      <c r="D415" s="14"/>
      <c r="E415" s="14"/>
      <c r="F415" s="14"/>
      <c r="G415" s="14"/>
      <c r="H415" s="14"/>
      <c r="I415" s="14"/>
      <c r="J415" s="14"/>
      <c r="K415" s="14"/>
      <c r="L415" s="14"/>
      <c r="M415" s="14"/>
      <c r="DW415" s="54"/>
      <c r="EA415" s="286"/>
      <c r="EB415" s="286"/>
      <c r="EC415" s="286"/>
      <c r="ED415" s="286"/>
      <c r="EE415" s="286"/>
    </row>
    <row r="416" spans="1:135" x14ac:dyDescent="0.4">
      <c r="A416" s="287" t="s">
        <v>103</v>
      </c>
      <c r="C416" s="14"/>
      <c r="D416" s="14"/>
      <c r="E416" s="14"/>
      <c r="F416" s="14"/>
      <c r="G416" s="14"/>
      <c r="H416" s="14"/>
      <c r="I416" s="14"/>
      <c r="J416" s="14"/>
      <c r="K416" s="14"/>
      <c r="L416" s="14"/>
      <c r="M416" s="14"/>
      <c r="AA416" s="287" t="s">
        <v>103</v>
      </c>
      <c r="AM416" s="287" t="s">
        <v>103</v>
      </c>
      <c r="AZ416" s="287" t="s">
        <v>103</v>
      </c>
      <c r="BJ416" s="287" t="s">
        <v>103</v>
      </c>
      <c r="BR416" s="287" t="s">
        <v>103</v>
      </c>
      <c r="BY416" s="287" t="s">
        <v>103</v>
      </c>
      <c r="CG416" s="287" t="s">
        <v>103</v>
      </c>
      <c r="CP416" s="287" t="s">
        <v>103</v>
      </c>
      <c r="DV416" s="287" t="s">
        <v>103</v>
      </c>
      <c r="DW416" s="54"/>
      <c r="EA416" s="286"/>
      <c r="EB416" s="286"/>
      <c r="EC416" s="286"/>
      <c r="ED416" s="286"/>
      <c r="EE416" s="286"/>
    </row>
    <row r="417" spans="1:135" x14ac:dyDescent="0.4">
      <c r="A417" s="221"/>
      <c r="C417" s="14"/>
      <c r="D417" s="14"/>
      <c r="E417" s="14"/>
      <c r="F417" s="14"/>
      <c r="G417" s="14"/>
      <c r="H417" s="14"/>
      <c r="I417" s="14"/>
      <c r="J417" s="14"/>
      <c r="K417" s="14"/>
      <c r="L417" s="14"/>
      <c r="M417" s="14"/>
      <c r="DW417" s="54"/>
      <c r="EA417" s="286"/>
      <c r="EB417" s="286"/>
      <c r="EC417" s="286"/>
      <c r="ED417" s="286"/>
      <c r="EE417" s="286"/>
    </row>
    <row r="418" spans="1:135" x14ac:dyDescent="0.4">
      <c r="B418" s="694"/>
      <c r="C418" s="694"/>
      <c r="D418" s="113"/>
      <c r="E418" s="113"/>
      <c r="F418" s="113"/>
      <c r="G418" s="113"/>
      <c r="H418" s="113"/>
      <c r="I418" s="113"/>
      <c r="J418" s="113"/>
      <c r="K418" s="113"/>
      <c r="L418" s="113"/>
      <c r="M418" s="113"/>
      <c r="N418" s="114"/>
      <c r="O418" s="114"/>
      <c r="P418" s="114"/>
      <c r="Q418" s="114"/>
      <c r="R418" s="114"/>
      <c r="S418" s="114"/>
      <c r="T418" s="114"/>
      <c r="U418" s="114"/>
      <c r="V418" s="114"/>
      <c r="W418" s="114"/>
      <c r="X418" s="114"/>
      <c r="Y418" s="114"/>
      <c r="Z418" s="114"/>
      <c r="AA418" s="114"/>
      <c r="AC418" s="114"/>
      <c r="AD418" s="114"/>
      <c r="AE418" s="114"/>
      <c r="AF418" s="114"/>
      <c r="AG418" s="114"/>
      <c r="AH418" s="114"/>
      <c r="AI418" s="114"/>
      <c r="AJ418" s="114"/>
      <c r="AK418" s="114"/>
      <c r="AL418" s="114"/>
      <c r="AM418" s="114"/>
      <c r="AN418" s="114"/>
      <c r="AO418" s="89"/>
      <c r="DW418" s="54"/>
      <c r="EA418" s="55"/>
      <c r="EB418" s="55"/>
      <c r="EC418" s="55"/>
      <c r="ED418" s="55"/>
      <c r="EE418" s="55"/>
    </row>
    <row r="419" spans="1:135" ht="12.6" thickBot="1" x14ac:dyDescent="0.45">
      <c r="A419" s="233"/>
      <c r="B419" s="679"/>
      <c r="C419" s="679"/>
      <c r="D419" s="113"/>
      <c r="E419" s="113"/>
      <c r="F419" s="113"/>
      <c r="G419" s="113"/>
      <c r="H419" s="113"/>
      <c r="I419" s="113"/>
      <c r="J419" s="113"/>
      <c r="K419" s="113"/>
      <c r="L419" s="113"/>
      <c r="M419" s="113"/>
      <c r="N419" s="114"/>
      <c r="O419" s="114"/>
      <c r="P419" s="114"/>
      <c r="Q419" s="114"/>
      <c r="R419" s="114"/>
      <c r="S419" s="114"/>
      <c r="T419" s="114"/>
      <c r="U419" s="114"/>
      <c r="V419" s="114"/>
      <c r="W419" s="114"/>
      <c r="X419" s="114"/>
      <c r="Y419" s="114"/>
      <c r="Z419" s="114"/>
      <c r="AA419" s="114"/>
      <c r="AB419" s="114"/>
      <c r="AC419" s="114"/>
      <c r="AD419" s="114"/>
      <c r="AE419" s="114"/>
      <c r="AF419" s="114"/>
      <c r="AG419" s="114"/>
      <c r="AH419" s="114"/>
      <c r="AI419" s="114"/>
      <c r="AJ419" s="114"/>
      <c r="AK419" s="114"/>
      <c r="AL419" s="114"/>
      <c r="AM419" s="114"/>
      <c r="CZ419" s="116"/>
      <c r="DA419" s="116"/>
      <c r="DB419" s="116"/>
      <c r="DC419" s="116"/>
      <c r="DD419" s="116"/>
      <c r="DE419" s="116"/>
      <c r="DF419" s="116"/>
      <c r="DG419" s="116"/>
      <c r="DH419" s="116"/>
      <c r="DI419" s="117" t="str">
        <f>"DJ"&amp;MIN(DK422:DK470)</f>
        <v>DJ0</v>
      </c>
      <c r="DJ419" s="118" t="str">
        <f>"DJ"&amp;MAX(DK422:DK470)</f>
        <v>DJ0</v>
      </c>
      <c r="DK419" s="116"/>
      <c r="DL419" s="117" t="str">
        <f>"DM"&amp;MIN(DN422:DN470)</f>
        <v>DM0</v>
      </c>
      <c r="DM419" s="118" t="str">
        <f>"DM"&amp;MAX(DN422:DN470)</f>
        <v>DM0</v>
      </c>
      <c r="DN419" s="116"/>
      <c r="DO419" s="117" t="str">
        <f>"DP"&amp;MIN(DQ422:DQ470)</f>
        <v>DP0</v>
      </c>
      <c r="DP419" s="118" t="str">
        <f>"DP"&amp;MAX(DQ422:DQ470)</f>
        <v>DP0</v>
      </c>
      <c r="DQ419" s="116"/>
      <c r="DW419" s="119"/>
      <c r="EA419" s="33"/>
      <c r="EB419" s="33"/>
      <c r="EC419" s="33"/>
      <c r="ED419" s="33"/>
      <c r="EE419" s="33"/>
    </row>
    <row r="420" spans="1:135" ht="24.9" thickBot="1" x14ac:dyDescent="0.5">
      <c r="A420" s="676" t="s">
        <v>65</v>
      </c>
      <c r="C420" s="680" t="str">
        <f>A438</f>
        <v>Base Cases</v>
      </c>
      <c r="D420" s="681"/>
      <c r="E420" s="682"/>
      <c r="F420" s="683" t="str">
        <f>A439</f>
        <v>Conservative Cases</v>
      </c>
      <c r="G420" s="684"/>
      <c r="H420" s="685"/>
      <c r="I420" s="686" t="str">
        <f>A440</f>
        <v>Ambitious Cases</v>
      </c>
      <c r="J420" s="687"/>
      <c r="K420" s="688"/>
      <c r="L420" s="692" t="str">
        <f>A441</f>
        <v>Maximum Cases</v>
      </c>
      <c r="M420" s="693"/>
      <c r="O420" s="122"/>
      <c r="P420" s="122"/>
      <c r="Q420" s="122"/>
      <c r="W420" s="691" t="s">
        <v>66</v>
      </c>
      <c r="X420" s="691"/>
      <c r="Y420" s="691"/>
      <c r="Z420" s="120"/>
      <c r="AA420" s="120"/>
      <c r="AB420" s="120"/>
      <c r="AC420" s="120"/>
      <c r="AD420" s="120"/>
      <c r="AE420" s="120"/>
      <c r="AF420" s="120"/>
      <c r="AG420" s="120"/>
      <c r="AH420" s="120"/>
      <c r="AI420" s="120"/>
      <c r="AJ420" s="120"/>
      <c r="AK420" s="120"/>
      <c r="AL420" s="120"/>
      <c r="AM420" s="120"/>
      <c r="AN420" s="120"/>
      <c r="BR420" s="121" t="s">
        <v>67</v>
      </c>
      <c r="BS420" s="121"/>
      <c r="BT420" s="121"/>
      <c r="BU420" s="121"/>
      <c r="BV420" s="121"/>
      <c r="BW420" s="122"/>
      <c r="BY420" s="121" t="s">
        <v>68</v>
      </c>
      <c r="BZ420" s="121"/>
      <c r="CA420" s="121"/>
      <c r="CB420" s="121"/>
      <c r="CC420" s="121"/>
      <c r="CD420" s="121"/>
      <c r="CG420" s="121" t="s">
        <v>69</v>
      </c>
      <c r="CH420" s="121"/>
      <c r="CI420" s="121"/>
      <c r="CJ420" s="121"/>
      <c r="CK420" s="121"/>
      <c r="CL420" s="121"/>
      <c r="CM420" s="121"/>
      <c r="CP420" s="121" t="s">
        <v>70</v>
      </c>
      <c r="CQ420" s="121"/>
      <c r="CR420" s="121"/>
      <c r="CS420" s="121"/>
      <c r="CT420" s="121"/>
      <c r="CU420" s="121"/>
      <c r="CZ420" s="123"/>
      <c r="DA420" s="123"/>
      <c r="DB420" s="123"/>
      <c r="DC420" s="123"/>
      <c r="DD420" s="123"/>
      <c r="DE420" s="123"/>
      <c r="DF420" s="123"/>
      <c r="DG420" s="123"/>
      <c r="DH420" s="123"/>
      <c r="DI420" s="124" t="str">
        <f>"DI"&amp;MIN(DK422:DK470)</f>
        <v>DI0</v>
      </c>
      <c r="DJ420" s="125" t="str">
        <f>"DI"&amp;MAX(DK422:DK470)</f>
        <v>DI0</v>
      </c>
      <c r="DK420" s="123"/>
      <c r="DL420" s="124" t="str">
        <f>"DL"&amp;MIN(DN422:DN470)</f>
        <v>DL0</v>
      </c>
      <c r="DM420" s="125" t="str">
        <f>"DL"&amp;MAX(DN422:DN470)</f>
        <v>DL0</v>
      </c>
      <c r="DN420" s="123"/>
      <c r="DO420" s="124" t="str">
        <f>"DO"&amp;MIN(DQ422:DQ470)</f>
        <v>DO0</v>
      </c>
      <c r="DP420" s="125" t="str">
        <f>"DO"&amp;MAX(DQ422:DQ470)</f>
        <v>DO0</v>
      </c>
      <c r="DQ420" s="123"/>
      <c r="DV420" s="126" t="s">
        <v>71</v>
      </c>
      <c r="DZ420" s="127" t="s">
        <v>72</v>
      </c>
      <c r="EA420" s="284" t="str">
        <f>$L$32</f>
        <v>3rd Poly</v>
      </c>
    </row>
    <row r="421" spans="1:135" ht="74.099999999999994" thickBot="1" x14ac:dyDescent="0.5">
      <c r="A421" s="676" t="s">
        <v>73</v>
      </c>
      <c r="B421" s="128"/>
      <c r="C421" s="988" t="str">
        <f>A422</f>
        <v>World Bank, What a Waste 2.0</v>
      </c>
      <c r="D421" s="996" t="str">
        <f>A423</f>
        <v>[Source 2]</v>
      </c>
      <c r="E421" s="997" t="str">
        <f>A424</f>
        <v>[Source 3]</v>
      </c>
      <c r="F421" s="129" t="str">
        <f>A425</f>
        <v>[Source 1]</v>
      </c>
      <c r="G421" s="130" t="str">
        <f>A426</f>
        <v>[Source 2]</v>
      </c>
      <c r="H421" s="131" t="str">
        <f>A427</f>
        <v>[Source 3]</v>
      </c>
      <c r="I421" s="129" t="str">
        <f>A428</f>
        <v xml:space="preserve"> IEA Annex I – Municipal solid waste potential in cities; Table I.1</v>
      </c>
      <c r="J421" s="130" t="str">
        <f>A429</f>
        <v>[Source 2]</v>
      </c>
      <c r="K421" s="131" t="str">
        <f>A430</f>
        <v>[Source 3]</v>
      </c>
      <c r="L421" s="129" t="str">
        <f>A431</f>
        <v>[Source 1]</v>
      </c>
      <c r="M421" s="131" t="str">
        <f>A432</f>
        <v>[Source 2]</v>
      </c>
      <c r="N421" s="234" t="s">
        <v>74</v>
      </c>
      <c r="O421" s="133"/>
      <c r="P421" s="133"/>
      <c r="Q421" s="133"/>
      <c r="R421" s="135" t="s">
        <v>76</v>
      </c>
      <c r="S421" s="134" t="s">
        <v>77</v>
      </c>
      <c r="T421" s="134" t="s">
        <v>78</v>
      </c>
      <c r="U421" s="136" t="s">
        <v>79</v>
      </c>
      <c r="V421" s="691"/>
      <c r="W421" s="136" t="s">
        <v>15</v>
      </c>
      <c r="X421" s="134" t="s">
        <v>21</v>
      </c>
      <c r="Y421" s="136" t="s">
        <v>25</v>
      </c>
      <c r="AA421" s="138"/>
      <c r="AB421" s="138"/>
      <c r="AC421" s="138"/>
      <c r="AD421" s="138"/>
      <c r="AE421" s="138"/>
      <c r="AF421" s="138"/>
      <c r="AG421" s="138"/>
      <c r="AH421" s="138"/>
      <c r="AI421" s="138"/>
      <c r="AJ421" s="138"/>
      <c r="AK421" s="138"/>
      <c r="AL421" s="138"/>
      <c r="AM421" s="138"/>
      <c r="AN421" s="138"/>
      <c r="BR421" s="139"/>
      <c r="BS421" s="139"/>
      <c r="BT421" s="139"/>
      <c r="BU421" s="139"/>
      <c r="BV421" s="139"/>
      <c r="BW421" s="122"/>
      <c r="BZ421" s="139"/>
      <c r="CA421" s="139"/>
      <c r="CB421" s="139"/>
      <c r="CC421" s="139"/>
      <c r="CD421" s="139"/>
      <c r="CH421" s="139"/>
      <c r="CI421" s="139"/>
      <c r="CJ421" s="139"/>
      <c r="CK421" s="139"/>
      <c r="CL421" s="139"/>
      <c r="CM421" s="139"/>
      <c r="CQ421" s="139"/>
      <c r="CR421" s="139"/>
      <c r="CS421" s="139"/>
      <c r="CT421" s="139"/>
      <c r="CU421" s="139"/>
      <c r="CZ421" s="140"/>
      <c r="DA421" s="140"/>
      <c r="DB421" s="140"/>
      <c r="DC421" s="140"/>
      <c r="DD421" s="141"/>
      <c r="DE421" s="141"/>
      <c r="DF421" s="141"/>
      <c r="DG421" s="141"/>
      <c r="DH421" s="140"/>
      <c r="DI421" s="142"/>
      <c r="DJ421" s="143"/>
      <c r="DK421" s="144"/>
      <c r="DL421" s="142"/>
      <c r="DM421" s="143"/>
      <c r="DN421" s="140"/>
      <c r="DO421" s="142"/>
      <c r="DP421" s="143"/>
      <c r="DQ421" s="140"/>
      <c r="DV421" s="145">
        <v>2014</v>
      </c>
      <c r="DW421" s="235" t="e">
        <f t="shared" ref="DW421:DW467" ca="1" si="232">IF($J$32="N","",IF($L$32="Linear",BV426,IF($L$32="2nd Poly",CD426,IF($L$32="3rd Poly",CM426,IF($L$32="Exp",CT426)))))</f>
        <v>#REF!</v>
      </c>
      <c r="EA421" s="33" t="str">
        <f>$M$32</f>
        <v>Medium</v>
      </c>
      <c r="EB421" s="33"/>
      <c r="EC421" s="33"/>
      <c r="ED421" s="33"/>
      <c r="EE421" s="33"/>
    </row>
    <row r="422" spans="1:135" ht="14.1" thickBot="1" x14ac:dyDescent="0.5">
      <c r="A422" s="948" t="s">
        <v>549</v>
      </c>
      <c r="B422" s="128">
        <v>2012</v>
      </c>
      <c r="C422" s="998"/>
      <c r="D422" s="999"/>
      <c r="E422" s="1000"/>
      <c r="F422" s="1093"/>
      <c r="G422" s="264"/>
      <c r="H422" s="239"/>
      <c r="I422" s="1137"/>
      <c r="J422" s="264"/>
      <c r="K422" s="239"/>
      <c r="L422" s="190"/>
      <c r="M422" s="239"/>
      <c r="N422" s="29" t="s">
        <v>119</v>
      </c>
      <c r="O422" s="120"/>
      <c r="P422" s="120"/>
      <c r="Q422" s="120"/>
      <c r="R422" s="29">
        <v>-2</v>
      </c>
      <c r="S422" s="238" t="str">
        <f t="shared" ref="S422:S453" si="233">IF(MIN(C422:Q422)=0,"",MIN(C422:Q422))</f>
        <v/>
      </c>
      <c r="T422" s="238" t="str">
        <f t="shared" ref="T422:T453" si="234">IF(MAX(C422:Q422)=0,"",MAX(C422:Q422))</f>
        <v/>
      </c>
      <c r="U422" s="238" t="str">
        <f t="shared" ref="U422:U453" si="235">IF(T422="","",_xlfn.STDEV.P(C422:Q422))</f>
        <v/>
      </c>
      <c r="V422" s="29"/>
      <c r="W422" s="238" t="e">
        <f t="shared" ref="W422:W470" si="236">IF(U422="",#N/A,X422-(U422*$Q$32))</f>
        <v>#N/A</v>
      </c>
      <c r="X422" s="238" t="e">
        <f t="shared" ref="X422:X453" si="237">IF(U422="",#N/A,(SUM(C422:Q422)/COUNTIFS(C422:Q422,"&gt;0")))</f>
        <v>#N/A</v>
      </c>
      <c r="Y422" s="238" t="e">
        <f t="shared" ref="Y422:Y470" si="238">IF(U422="",#N/A,X422+(U422*$Q$31))</f>
        <v>#N/A</v>
      </c>
      <c r="AA422" s="138"/>
      <c r="AB422" s="138"/>
      <c r="AC422" s="138"/>
      <c r="AD422" s="138"/>
      <c r="AE422" s="138"/>
      <c r="AF422" s="138"/>
      <c r="AG422" s="138"/>
      <c r="AH422" s="138"/>
      <c r="AI422" s="138"/>
      <c r="AJ422" s="138"/>
      <c r="AK422" s="138"/>
      <c r="AL422" s="138"/>
      <c r="AM422" s="138"/>
      <c r="AN422" s="138"/>
      <c r="BR422" s="691" t="s">
        <v>81</v>
      </c>
      <c r="BS422" s="65" t="str">
        <f>$M$32</f>
        <v>Medium</v>
      </c>
      <c r="BT422" s="691" t="s">
        <v>82</v>
      </c>
      <c r="BU422" s="691" t="s">
        <v>83</v>
      </c>
      <c r="BW422" s="133"/>
      <c r="BY422" s="691" t="s">
        <v>81</v>
      </c>
      <c r="BZ422" s="65" t="str">
        <f>$M$32</f>
        <v>Medium</v>
      </c>
      <c r="CA422" s="691" t="s">
        <v>84</v>
      </c>
      <c r="CB422" s="691" t="s">
        <v>82</v>
      </c>
      <c r="CC422" s="691" t="s">
        <v>83</v>
      </c>
      <c r="CG422" s="691" t="s">
        <v>81</v>
      </c>
      <c r="CH422" s="65" t="str">
        <f>$M$32</f>
        <v>Medium</v>
      </c>
      <c r="CI422" s="691" t="s">
        <v>85</v>
      </c>
      <c r="CJ422" s="691" t="s">
        <v>84</v>
      </c>
      <c r="CK422" s="691" t="s">
        <v>82</v>
      </c>
      <c r="CL422" s="691" t="s">
        <v>83</v>
      </c>
      <c r="CP422" s="691" t="s">
        <v>81</v>
      </c>
      <c r="CQ422" s="65" t="str">
        <f>$M$32</f>
        <v>Medium</v>
      </c>
      <c r="CR422" s="691" t="s">
        <v>86</v>
      </c>
      <c r="CS422" s="691" t="s">
        <v>87</v>
      </c>
      <c r="CZ422" s="155" t="b">
        <f t="shared" ref="CZ422:DB461" si="239">ISNUMBER(W422)</f>
        <v>0</v>
      </c>
      <c r="DA422" s="156" t="b">
        <f t="shared" si="239"/>
        <v>0</v>
      </c>
      <c r="DB422" s="157" t="b">
        <f t="shared" si="239"/>
        <v>0</v>
      </c>
      <c r="DC422" s="155" t="str">
        <f t="shared" ref="DC422:DC470" si="240">IF(CZ422=TRUE,$R422,"")</f>
        <v/>
      </c>
      <c r="DD422" s="157" t="str">
        <f t="shared" ref="DD422:DD470" si="241">IF(CZ422=TRUE,W422,"")</f>
        <v/>
      </c>
      <c r="DE422" s="155" t="str">
        <f t="shared" ref="DE422:DE470" si="242">IF(DA422=TRUE,$R422,"")</f>
        <v/>
      </c>
      <c r="DF422" s="157" t="str">
        <f t="shared" ref="DF422:DF470" si="243">IF(DA422=TRUE,X422,"")</f>
        <v/>
      </c>
      <c r="DG422" s="155" t="str">
        <f t="shared" ref="DG422:DG470" si="244">IF(DB422=TRUE,$R422,"")</f>
        <v/>
      </c>
      <c r="DH422" s="157" t="str">
        <f t="shared" ref="DH422:DH470" si="245">IF(DB422=TRUE,Y422,"")</f>
        <v/>
      </c>
      <c r="DI422" s="155" t="str">
        <f>IFERROR(INDEX(DC$422:DC$470,_xlfn.AGGREGATE(15,6,(ROW(DC$422:DC$470)-ROW(DC$422)+1)/(DC$422:DC$470&lt;&gt;""),ROWS(DI$1:DI1))),"")</f>
        <v/>
      </c>
      <c r="DJ422" s="156" t="str">
        <f>IFERROR(INDEX(DD$422:DD$470,_xlfn.AGGREGATE(15,6,(ROW(DD$422:DD$470)-ROW(DD$422)+1)/(DD$422:DD$470&lt;&gt;""),ROWS(DJ$1:DJ1))),"")</f>
        <v/>
      </c>
      <c r="DK422" s="157" t="str">
        <f t="shared" ref="DK422:DK470" si="246">IF(ISNUMBER(DI422),ROW(DI422),"")</f>
        <v/>
      </c>
      <c r="DL422" s="155" t="str">
        <f>IFERROR(INDEX(DE$422:DE$470,_xlfn.AGGREGATE(15,6,(ROW(DE$422:DE$470)-ROW(DE$422)+1)/(DE$422:DE$470&lt;&gt;""),ROWS(DL$1:DL1))),"")</f>
        <v/>
      </c>
      <c r="DM422" s="156" t="str">
        <f>IFERROR(INDEX(DF$422:DF$470,_xlfn.AGGREGATE(15,6,(ROW(DF$422:DF$470)-ROW(DF$422)+1)/(DF$422:DF$470&lt;&gt;""),ROWS(DM$1:DM1))),"")</f>
        <v/>
      </c>
      <c r="DN422" s="157" t="str">
        <f t="shared" ref="DN422:DN470" si="247">IF(ISNUMBER(DI422),ROW(DI422),"")</f>
        <v/>
      </c>
      <c r="DO422" s="155" t="str">
        <f>IFERROR(INDEX(DG$422:DG$470,_xlfn.AGGREGATE(15,6,(ROW(DG$422:DG$470)-ROW(DG$422)+1)/(DG$422:DG$470&lt;&gt;""),ROWS(DO$1:DO1))),"")</f>
        <v/>
      </c>
      <c r="DP422" s="156" t="str">
        <f>IFERROR(INDEX(DH$422:DH$470,_xlfn.AGGREGATE(15,6,(ROW(DH$422:DH$470)-ROW(DH$422)+1)/(DH$422:DH$470&lt;&gt;""),ROWS(DP$1:DP1))),"")</f>
        <v/>
      </c>
      <c r="DQ422" s="157" t="str">
        <f t="shared" ref="DQ422:DQ470" si="248">IF(ISNUMBER(DL422),ROW(DL422),"")</f>
        <v/>
      </c>
      <c r="DV422" s="145">
        <v>2015</v>
      </c>
      <c r="DW422" s="235" t="e">
        <f t="shared" ca="1" si="232"/>
        <v>#REF!</v>
      </c>
      <c r="EA422" s="33"/>
      <c r="EB422" s="33"/>
      <c r="EC422" s="33"/>
      <c r="ED422" s="33"/>
      <c r="EE422" s="33"/>
    </row>
    <row r="423" spans="1:135" ht="13.8" x14ac:dyDescent="0.45">
      <c r="A423" s="148" t="s">
        <v>88</v>
      </c>
      <c r="B423" s="128">
        <v>2013</v>
      </c>
      <c r="C423" s="1001"/>
      <c r="D423" s="985"/>
      <c r="E423" s="1002"/>
      <c r="F423" s="1093"/>
      <c r="G423" s="264"/>
      <c r="H423" s="239"/>
      <c r="I423" s="1001"/>
      <c r="J423" s="264"/>
      <c r="K423" s="239"/>
      <c r="L423" s="190"/>
      <c r="M423" s="239"/>
      <c r="N423" s="29" t="s">
        <v>119</v>
      </c>
      <c r="O423" s="120"/>
      <c r="P423" s="120"/>
      <c r="Q423" s="120"/>
      <c r="R423" s="29">
        <v>-1</v>
      </c>
      <c r="S423" s="238" t="str">
        <f t="shared" si="233"/>
        <v/>
      </c>
      <c r="T423" s="238" t="str">
        <f t="shared" si="234"/>
        <v/>
      </c>
      <c r="U423" s="238" t="str">
        <f t="shared" si="235"/>
        <v/>
      </c>
      <c r="V423" s="29"/>
      <c r="W423" s="238" t="e">
        <f t="shared" si="236"/>
        <v>#N/A</v>
      </c>
      <c r="X423" s="238" t="e">
        <f t="shared" si="237"/>
        <v>#N/A</v>
      </c>
      <c r="Y423" s="238" t="e">
        <f t="shared" si="238"/>
        <v>#N/A</v>
      </c>
      <c r="AA423" s="138"/>
      <c r="AB423" s="138"/>
      <c r="AC423" s="138"/>
      <c r="AD423" s="138"/>
      <c r="AE423" s="138"/>
      <c r="AF423" s="138"/>
      <c r="AG423" s="138"/>
      <c r="AH423" s="138"/>
      <c r="AI423" s="138"/>
      <c r="AJ423" s="138"/>
      <c r="AK423" s="138"/>
      <c r="AL423" s="138"/>
      <c r="AM423" s="138"/>
      <c r="AN423" s="138"/>
      <c r="BS423" s="160" t="s">
        <v>25</v>
      </c>
      <c r="BT423" s="161" t="e">
        <f>SLOPE((DH422:DH470),($B$46:$B$94))</f>
        <v>#DIV/0!</v>
      </c>
      <c r="BU423" s="162" t="e">
        <f>INTERCEPT(DP422:DP470,DO422:DO470)</f>
        <v>#DIV/0!</v>
      </c>
      <c r="BW423" s="133"/>
      <c r="BZ423" s="160" t="s">
        <v>25</v>
      </c>
      <c r="CA423" s="161" t="e">
        <f ca="1">INDEX(LINEST((INDIRECT(DO419):INDIRECT(DP419)),(INDIRECT(DO420):INDIRECT(DP420))^{1,2}),1)</f>
        <v>#REF!</v>
      </c>
      <c r="CB423" s="163" t="e">
        <f ca="1">INDEX(LINEST((INDIRECT(DO419):INDIRECT(DP419)),(INDIRECT(DO420):INDIRECT(DP420))^{1,2}),1,2)</f>
        <v>#REF!</v>
      </c>
      <c r="CC423" s="162" t="e">
        <f ca="1">INDEX(LINEST((INDIRECT(DO419):INDIRECT(DP419)),(INDIRECT(DO420):INDIRECT(DP420))^{1,2}),1,3)</f>
        <v>#REF!</v>
      </c>
      <c r="CH423" s="160" t="s">
        <v>25</v>
      </c>
      <c r="CI423" s="161" t="e">
        <f ca="1">INDEX(LINEST((INDIRECT(DO419):INDIRECT(DP419)),(INDIRECT(DO420):INDIRECT(DP420))^{1,2,3}),1)</f>
        <v>#REF!</v>
      </c>
      <c r="CJ423" s="163" t="e">
        <f ca="1">INDEX(LINEST((INDIRECT(DO419):INDIRECT(DP419)),(INDIRECT(DO420):INDIRECT(DP420))^{1,2,3}),1,2)</f>
        <v>#REF!</v>
      </c>
      <c r="CK423" s="163" t="e">
        <f ca="1">INDEX(LINEST((INDIRECT(DO419):INDIRECT(DP419)),(INDIRECT(DO420):INDIRECT(DP420))^{1,2,3}),1,3)</f>
        <v>#REF!</v>
      </c>
      <c r="CL423" s="162" t="e">
        <f ca="1">INDEX(LINEST((INDIRECT(DO419):INDIRECT(DP419)),(INDIRECT(DO420):INDIRECT(DP420))^{1,2,3}),1,4)</f>
        <v>#REF!</v>
      </c>
      <c r="CQ423" s="160" t="s">
        <v>25</v>
      </c>
      <c r="CR423" s="161" t="e">
        <f ca="1">EXP(INDEX(LINEST(LN(INDIRECT(DO419):INDIRECT(DP419)),(INDIRECT(DO420):INDIRECT(DP420))),1,2))</f>
        <v>#REF!</v>
      </c>
      <c r="CS423" s="162" t="e">
        <f ca="1">INDEX(LINEST(LN(INDIRECT(DO419):INDIRECT(DP419)),(INDIRECT(DO420):INDIRECT(DP420))),1)</f>
        <v>#REF!</v>
      </c>
      <c r="CZ423" s="164" t="b">
        <f t="shared" si="239"/>
        <v>0</v>
      </c>
      <c r="DA423" s="165" t="b">
        <f t="shared" si="239"/>
        <v>0</v>
      </c>
      <c r="DB423" s="166" t="b">
        <f t="shared" si="239"/>
        <v>0</v>
      </c>
      <c r="DC423" s="164" t="str">
        <f t="shared" si="240"/>
        <v/>
      </c>
      <c r="DD423" s="166" t="str">
        <f t="shared" si="241"/>
        <v/>
      </c>
      <c r="DE423" s="164" t="str">
        <f t="shared" si="242"/>
        <v/>
      </c>
      <c r="DF423" s="166" t="str">
        <f t="shared" si="243"/>
        <v/>
      </c>
      <c r="DG423" s="164" t="str">
        <f t="shared" si="244"/>
        <v/>
      </c>
      <c r="DH423" s="166" t="str">
        <f t="shared" si="245"/>
        <v/>
      </c>
      <c r="DI423" s="164" t="str">
        <f>IFERROR(INDEX(DC$422:DC$470,_xlfn.AGGREGATE(15,6,(ROW(DC$422:DC$470)-ROW(DC$422)+1)/(DC$422:DC$470&lt;&gt;""),ROWS(DI$1:DI2))),"")</f>
        <v/>
      </c>
      <c r="DJ423" s="165" t="str">
        <f>IFERROR(INDEX(DD$422:DD$470,_xlfn.AGGREGATE(15,6,(ROW(DD$422:DD$470)-ROW(DD$422)+1)/(DD$422:DD$470&lt;&gt;""),ROWS(DJ$1:DJ2))),"")</f>
        <v/>
      </c>
      <c r="DK423" s="166" t="str">
        <f t="shared" si="246"/>
        <v/>
      </c>
      <c r="DL423" s="164" t="str">
        <f>IFERROR(INDEX(DE$422:DE$470,_xlfn.AGGREGATE(15,6,(ROW(DE$422:DE$470)-ROW(DE$422)+1)/(DE$422:DE$470&lt;&gt;""),ROWS(DL$1:DL2))),"")</f>
        <v/>
      </c>
      <c r="DM423" s="165" t="str">
        <f>IFERROR(INDEX(DF$422:DF$470,_xlfn.AGGREGATE(15,6,(ROW(DF$422:DF$470)-ROW(DF$422)+1)/(DF$422:DF$470&lt;&gt;""),ROWS(DM$1:DM2))),"")</f>
        <v/>
      </c>
      <c r="DN423" s="166" t="str">
        <f t="shared" si="247"/>
        <v/>
      </c>
      <c r="DO423" s="164" t="str">
        <f>IFERROR(INDEX(DG$422:DG$470,_xlfn.AGGREGATE(15,6,(ROW(DG$422:DG$470)-ROW(DG$422)+1)/(DG$422:DG$470&lt;&gt;""),ROWS(DO$1:DO2))),"")</f>
        <v/>
      </c>
      <c r="DP423" s="165" t="str">
        <f>IFERROR(INDEX(DH$422:DH$470,_xlfn.AGGREGATE(15,6,(ROW(DH$422:DH$470)-ROW(DH$422)+1)/(DH$422:DH$470&lt;&gt;""),ROWS(DP$1:DP2))),"")</f>
        <v/>
      </c>
      <c r="DQ423" s="166" t="str">
        <f t="shared" si="248"/>
        <v/>
      </c>
      <c r="DV423" s="145">
        <v>2016</v>
      </c>
      <c r="DW423" s="235" t="e">
        <f t="shared" ca="1" si="232"/>
        <v>#REF!</v>
      </c>
      <c r="EA423" s="33"/>
      <c r="EB423" s="33"/>
      <c r="EC423" s="33"/>
      <c r="ED423" s="33"/>
      <c r="EE423" s="33"/>
    </row>
    <row r="424" spans="1:135" ht="13.8" x14ac:dyDescent="0.45">
      <c r="A424" s="148" t="s">
        <v>90</v>
      </c>
      <c r="B424" s="128">
        <v>2014</v>
      </c>
      <c r="C424" s="1001"/>
      <c r="D424" s="986"/>
      <c r="E424" s="169"/>
      <c r="F424" s="1093"/>
      <c r="G424" s="168"/>
      <c r="H424" s="169"/>
      <c r="I424" s="1001"/>
      <c r="J424" s="168"/>
      <c r="K424" s="169"/>
      <c r="L424" s="170"/>
      <c r="M424" s="169"/>
      <c r="N424" s="29" t="s">
        <v>119</v>
      </c>
      <c r="O424" s="120"/>
      <c r="P424" s="120"/>
      <c r="Q424" s="120"/>
      <c r="R424" s="29">
        <v>0</v>
      </c>
      <c r="S424" s="238" t="str">
        <f t="shared" si="233"/>
        <v/>
      </c>
      <c r="T424" s="238" t="str">
        <f t="shared" si="234"/>
        <v/>
      </c>
      <c r="U424" s="238" t="str">
        <f t="shared" si="235"/>
        <v/>
      </c>
      <c r="V424" s="29"/>
      <c r="W424" s="238" t="e">
        <f t="shared" si="236"/>
        <v>#N/A</v>
      </c>
      <c r="X424" s="238" t="e">
        <f t="shared" si="237"/>
        <v>#N/A</v>
      </c>
      <c r="Y424" s="238" t="e">
        <f t="shared" si="238"/>
        <v>#N/A</v>
      </c>
      <c r="AA424" s="138"/>
      <c r="AB424" s="138"/>
      <c r="AC424" s="138"/>
      <c r="AD424" s="138"/>
      <c r="AE424" s="138"/>
      <c r="AF424" s="138"/>
      <c r="AG424" s="138"/>
      <c r="AH424" s="138"/>
      <c r="AI424" s="138"/>
      <c r="AJ424" s="138"/>
      <c r="AK424" s="138"/>
      <c r="AL424" s="138"/>
      <c r="AM424" s="138"/>
      <c r="AN424" s="138"/>
      <c r="BS424" s="160" t="s">
        <v>91</v>
      </c>
      <c r="BT424" s="172" t="e">
        <f>SLOPE((DF422:DF470),($B$46:$B$94))</f>
        <v>#DIV/0!</v>
      </c>
      <c r="BU424" s="173" t="e">
        <f>INTERCEPT(DM422:DM470,DL422:DL470)</f>
        <v>#DIV/0!</v>
      </c>
      <c r="BZ424" s="160" t="s">
        <v>91</v>
      </c>
      <c r="CA424" s="172" t="e">
        <f ca="1">INDEX(LINEST((INDIRECT(DL419):INDIRECT(DM419)),(INDIRECT(DL420):INDIRECT(DM420))^{1,2}),1)</f>
        <v>#REF!</v>
      </c>
      <c r="CB424" s="174" t="e">
        <f ca="1">INDEX(LINEST((INDIRECT(DL419):INDIRECT(DM419)),(INDIRECT(DL420):INDIRECT(DM420))^{1,2}),1,2)</f>
        <v>#REF!</v>
      </c>
      <c r="CC424" s="173" t="e">
        <f ca="1">INDEX(LINEST((INDIRECT(DL419):INDIRECT(DM419)),(INDIRECT(DL420):INDIRECT(DM420))^{1,2}),1,3)</f>
        <v>#REF!</v>
      </c>
      <c r="CH424" s="160" t="s">
        <v>91</v>
      </c>
      <c r="CI424" s="172" t="e">
        <f ca="1">INDEX(LINEST((INDIRECT(DL419):INDIRECT(DM419)),(INDIRECT(DL420):INDIRECT(DM420))^{1,2,3}),1)</f>
        <v>#REF!</v>
      </c>
      <c r="CJ424" s="174" t="e">
        <f ca="1">INDEX(LINEST((INDIRECT(DL419):INDIRECT(DM419)),(INDIRECT(DL420):INDIRECT(DM420))^{1,2,3}),1,2)</f>
        <v>#REF!</v>
      </c>
      <c r="CK424" s="174" t="e">
        <f ca="1">INDEX(LINEST((INDIRECT(DL419):INDIRECT(DM419)),(INDIRECT(DL420):INDIRECT(DM420))^{1,2,3}),1,3)</f>
        <v>#REF!</v>
      </c>
      <c r="CL424" s="173" t="e">
        <f ca="1">INDEX(LINEST((INDIRECT(DL419):INDIRECT(DM419)),(INDIRECT(DL420):INDIRECT(DM420))^{1,2,3}),1,4)</f>
        <v>#REF!</v>
      </c>
      <c r="CQ424" s="160" t="s">
        <v>91</v>
      </c>
      <c r="CR424" s="172" t="e">
        <f ca="1">EXP(INDEX(LINEST(LN(INDIRECT(DL419):INDIRECT(DM419)),(INDIRECT(DL420):INDIRECT(DM420))),1,2))</f>
        <v>#REF!</v>
      </c>
      <c r="CS424" s="173" t="e">
        <f ca="1">INDEX(LINEST(LN(INDIRECT(DL419):INDIRECT(DM419)),(INDIRECT(DL420):INDIRECT(DM420))),1)</f>
        <v>#REF!</v>
      </c>
      <c r="CZ424" s="164" t="b">
        <f t="shared" si="239"/>
        <v>0</v>
      </c>
      <c r="DA424" s="165" t="b">
        <f t="shared" si="239"/>
        <v>0</v>
      </c>
      <c r="DB424" s="166" t="b">
        <f t="shared" si="239"/>
        <v>0</v>
      </c>
      <c r="DC424" s="164" t="str">
        <f t="shared" si="240"/>
        <v/>
      </c>
      <c r="DD424" s="166" t="str">
        <f t="shared" si="241"/>
        <v/>
      </c>
      <c r="DE424" s="164" t="str">
        <f t="shared" si="242"/>
        <v/>
      </c>
      <c r="DF424" s="166" t="str">
        <f t="shared" si="243"/>
        <v/>
      </c>
      <c r="DG424" s="164" t="str">
        <f t="shared" si="244"/>
        <v/>
      </c>
      <c r="DH424" s="166" t="str">
        <f t="shared" si="245"/>
        <v/>
      </c>
      <c r="DI424" s="164" t="str">
        <f>IFERROR(INDEX(DC$422:DC$470,_xlfn.AGGREGATE(15,6,(ROW(DC$422:DC$470)-ROW(DC$422)+1)/(DC$422:DC$470&lt;&gt;""),ROWS(DI$1:DI3))),"")</f>
        <v/>
      </c>
      <c r="DJ424" s="165" t="str">
        <f>IFERROR(INDEX(DD$422:DD$470,_xlfn.AGGREGATE(15,6,(ROW(DD$422:DD$470)-ROW(DD$422)+1)/(DD$422:DD$470&lt;&gt;""),ROWS(DJ$1:DJ3))),"")</f>
        <v/>
      </c>
      <c r="DK424" s="166" t="str">
        <f t="shared" si="246"/>
        <v/>
      </c>
      <c r="DL424" s="164" t="str">
        <f>IFERROR(INDEX(DE$422:DE$470,_xlfn.AGGREGATE(15,6,(ROW(DE$422:DE$470)-ROW(DE$422)+1)/(DE$422:DE$470&lt;&gt;""),ROWS(DL$1:DL3))),"")</f>
        <v/>
      </c>
      <c r="DM424" s="165" t="str">
        <f>IFERROR(INDEX(DF$422:DF$470,_xlfn.AGGREGATE(15,6,(ROW(DF$422:DF$470)-ROW(DF$422)+1)/(DF$422:DF$470&lt;&gt;""),ROWS(DM$1:DM3))),"")</f>
        <v/>
      </c>
      <c r="DN424" s="166" t="str">
        <f t="shared" si="247"/>
        <v/>
      </c>
      <c r="DO424" s="164" t="str">
        <f>IFERROR(INDEX(DG$422:DG$470,_xlfn.AGGREGATE(15,6,(ROW(DG$422:DG$470)-ROW(DG$422)+1)/(DG$422:DG$470&lt;&gt;""),ROWS(DO$1:DO3))),"")</f>
        <v/>
      </c>
      <c r="DP424" s="165" t="str">
        <f>IFERROR(INDEX(DH$422:DH$470,_xlfn.AGGREGATE(15,6,(ROW(DH$422:DH$470)-ROW(DH$422)+1)/(DH$422:DH$470&lt;&gt;""),ROWS(DP$1:DP3))),"")</f>
        <v/>
      </c>
      <c r="DQ424" s="166" t="str">
        <f t="shared" si="248"/>
        <v/>
      </c>
      <c r="DV424" s="145">
        <v>2017</v>
      </c>
      <c r="DW424" s="235" t="e">
        <f t="shared" ca="1" si="232"/>
        <v>#REF!</v>
      </c>
      <c r="DZ424" s="65" t="s">
        <v>89</v>
      </c>
      <c r="EA424" s="33"/>
      <c r="EB424" s="33"/>
      <c r="EC424" s="33"/>
      <c r="ED424" s="33"/>
      <c r="EE424" s="33"/>
    </row>
    <row r="425" spans="1:135" ht="14.1" thickBot="1" x14ac:dyDescent="0.5">
      <c r="A425" s="949" t="s">
        <v>80</v>
      </c>
      <c r="B425" s="128">
        <v>2015</v>
      </c>
      <c r="C425" s="1001"/>
      <c r="D425" s="1012"/>
      <c r="E425" s="1010"/>
      <c r="F425" s="1094"/>
      <c r="G425" s="1012"/>
      <c r="H425" s="151"/>
      <c r="I425" s="1001"/>
      <c r="J425" s="159"/>
      <c r="K425" s="151"/>
      <c r="L425" s="152"/>
      <c r="M425" s="151"/>
      <c r="N425" s="29" t="s">
        <v>119</v>
      </c>
      <c r="O425" s="120"/>
      <c r="P425" s="120"/>
      <c r="Q425" s="120"/>
      <c r="R425" s="29">
        <v>1</v>
      </c>
      <c r="S425" s="238" t="str">
        <f t="shared" si="233"/>
        <v/>
      </c>
      <c r="T425" s="238" t="str">
        <f t="shared" si="234"/>
        <v/>
      </c>
      <c r="U425" s="238" t="str">
        <f t="shared" si="235"/>
        <v/>
      </c>
      <c r="V425" s="29"/>
      <c r="W425" s="238" t="e">
        <f t="shared" si="236"/>
        <v>#N/A</v>
      </c>
      <c r="X425" s="238" t="e">
        <f t="shared" si="237"/>
        <v>#N/A</v>
      </c>
      <c r="Y425" s="238" t="e">
        <f t="shared" si="238"/>
        <v>#N/A</v>
      </c>
      <c r="AA425" s="138"/>
      <c r="AB425" s="138"/>
      <c r="AC425" s="138"/>
      <c r="AD425" s="138"/>
      <c r="AE425" s="138"/>
      <c r="AF425" s="138"/>
      <c r="AG425" s="138"/>
      <c r="AH425" s="138"/>
      <c r="AI425" s="138"/>
      <c r="AJ425" s="138"/>
      <c r="AK425" s="138"/>
      <c r="AL425" s="138"/>
      <c r="AM425" s="138"/>
      <c r="AN425" s="138"/>
      <c r="BR425" s="29"/>
      <c r="BS425" s="160" t="s">
        <v>15</v>
      </c>
      <c r="BT425" s="177" t="e">
        <f>SLOPE((DD422:DD470),($B$46:$B$94))</f>
        <v>#DIV/0!</v>
      </c>
      <c r="BU425" s="178" t="e">
        <f>INTERCEPT(DJ422:DJ470,DI422:DI470)</f>
        <v>#DIV/0!</v>
      </c>
      <c r="BV425" s="691" t="s">
        <v>71</v>
      </c>
      <c r="BY425" s="29"/>
      <c r="BZ425" s="160" t="s">
        <v>15</v>
      </c>
      <c r="CA425" s="177" t="e">
        <f ca="1">INDEX(LINEST((INDIRECT(DI419):INDIRECT(DJ419)),(INDIRECT(DI420):INDIRECT(DJ420))^{1,2}),1)</f>
        <v>#REF!</v>
      </c>
      <c r="CB425" s="179" t="e">
        <f ca="1">INDEX(LINEST((INDIRECT(DI419):INDIRECT(DJ419)),(INDIRECT(DI420):INDIRECT(DJ420))^{1,2}),1,2)</f>
        <v>#REF!</v>
      </c>
      <c r="CC425" s="178" t="e">
        <f ca="1">INDEX(LINEST((INDIRECT(DI419):INDIRECT(DJ419)),(INDIRECT(DI420):INDIRECT(DJ420))^{1,2}),1,3)</f>
        <v>#REF!</v>
      </c>
      <c r="CD425" s="691" t="s">
        <v>71</v>
      </c>
      <c r="CG425" s="29"/>
      <c r="CH425" s="160" t="s">
        <v>15</v>
      </c>
      <c r="CI425" s="177" t="e">
        <f ca="1">INDEX(LINEST((INDIRECT(DI419):INDIRECT(DJ419)),(INDIRECT(DI420):INDIRECT(DJ420))^{1,2,3}),1)</f>
        <v>#REF!</v>
      </c>
      <c r="CJ425" s="179" t="e">
        <f ca="1">INDEX(LINEST((INDIRECT(DI419):INDIRECT(DJ419)),(INDIRECT(DI420):INDIRECT(DJ420))^{1,2,3}),1,2)</f>
        <v>#REF!</v>
      </c>
      <c r="CK425" s="179" t="e">
        <f ca="1">INDEX(LINEST((INDIRECT(DI419):INDIRECT(DJ419)),(INDIRECT(DI420):INDIRECT(DJ420))^{1,2,3}),1,3)</f>
        <v>#REF!</v>
      </c>
      <c r="CL425" s="178" t="e">
        <f ca="1">INDEX(LINEST((INDIRECT(DI419):INDIRECT(DJ419)),(INDIRECT(DI420):INDIRECT(DJ420))^{1,2,3}),1,4)</f>
        <v>#REF!</v>
      </c>
      <c r="CM425" s="691" t="s">
        <v>71</v>
      </c>
      <c r="CP425" s="29"/>
      <c r="CQ425" s="160" t="s">
        <v>15</v>
      </c>
      <c r="CR425" s="177" t="e">
        <f ca="1">EXP(INDEX(LINEST(LN(INDIRECT(DI419):INDIRECT(DJ419)),(INDIRECT(DI420):INDIRECT(DJ420))),1,2))</f>
        <v>#REF!</v>
      </c>
      <c r="CS425" s="178" t="e">
        <f ca="1">INDEX(LINEST(LN(INDIRECT(DI419):INDIRECT(DJ419)),(INDIRECT(DI420):INDIRECT(DJ420))),1)</f>
        <v>#REF!</v>
      </c>
      <c r="CT425" s="691" t="s">
        <v>71</v>
      </c>
      <c r="CZ425" s="164" t="b">
        <f t="shared" si="239"/>
        <v>0</v>
      </c>
      <c r="DA425" s="165" t="b">
        <f t="shared" si="239"/>
        <v>0</v>
      </c>
      <c r="DB425" s="166" t="b">
        <f t="shared" si="239"/>
        <v>0</v>
      </c>
      <c r="DC425" s="164" t="str">
        <f t="shared" si="240"/>
        <v/>
      </c>
      <c r="DD425" s="166" t="str">
        <f t="shared" si="241"/>
        <v/>
      </c>
      <c r="DE425" s="164" t="str">
        <f t="shared" si="242"/>
        <v/>
      </c>
      <c r="DF425" s="166" t="str">
        <f t="shared" si="243"/>
        <v/>
      </c>
      <c r="DG425" s="164" t="str">
        <f t="shared" si="244"/>
        <v/>
      </c>
      <c r="DH425" s="166" t="str">
        <f t="shared" si="245"/>
        <v/>
      </c>
      <c r="DI425" s="164" t="str">
        <f>IFERROR(INDEX(DC$422:DC$470,_xlfn.AGGREGATE(15,6,(ROW(DC$422:DC$470)-ROW(DC$422)+1)/(DC$422:DC$470&lt;&gt;""),ROWS(DI$1:DI4))),"")</f>
        <v/>
      </c>
      <c r="DJ425" s="165" t="str">
        <f>IFERROR(INDEX(DD$422:DD$470,_xlfn.AGGREGATE(15,6,(ROW(DD$422:DD$470)-ROW(DD$422)+1)/(DD$422:DD$470&lt;&gt;""),ROWS(DJ$1:DJ4))),"")</f>
        <v/>
      </c>
      <c r="DK425" s="166" t="str">
        <f t="shared" si="246"/>
        <v/>
      </c>
      <c r="DL425" s="164" t="str">
        <f>IFERROR(INDEX(DE$422:DE$470,_xlfn.AGGREGATE(15,6,(ROW(DE$422:DE$470)-ROW(DE$422)+1)/(DE$422:DE$470&lt;&gt;""),ROWS(DL$1:DL4))),"")</f>
        <v/>
      </c>
      <c r="DM425" s="165" t="str">
        <f>IFERROR(INDEX(DF$422:DF$470,_xlfn.AGGREGATE(15,6,(ROW(DF$422:DF$470)-ROW(DF$422)+1)/(DF$422:DF$470&lt;&gt;""),ROWS(DM$1:DM4))),"")</f>
        <v/>
      </c>
      <c r="DN425" s="166" t="str">
        <f t="shared" si="247"/>
        <v/>
      </c>
      <c r="DO425" s="164" t="str">
        <f>IFERROR(INDEX(DG$422:DG$470,_xlfn.AGGREGATE(15,6,(ROW(DG$422:DG$470)-ROW(DG$422)+1)/(DG$422:DG$470&lt;&gt;""),ROWS(DO$1:DO4))),"")</f>
        <v/>
      </c>
      <c r="DP425" s="165" t="str">
        <f>IFERROR(INDEX(DH$422:DH$470,_xlfn.AGGREGATE(15,6,(ROW(DH$422:DH$470)-ROW(DH$422)+1)/(DH$422:DH$470&lt;&gt;""),ROWS(DP$1:DP4))),"")</f>
        <v/>
      </c>
      <c r="DQ425" s="166" t="str">
        <f t="shared" si="248"/>
        <v/>
      </c>
      <c r="DV425" s="145">
        <v>2018</v>
      </c>
      <c r="DW425" s="235" t="e">
        <f t="shared" ca="1" si="232"/>
        <v>#REF!</v>
      </c>
      <c r="EA425" s="33" t="s">
        <v>85</v>
      </c>
      <c r="EB425" s="33" t="s">
        <v>84</v>
      </c>
      <c r="EC425" s="33" t="s">
        <v>82</v>
      </c>
      <c r="ED425" s="33" t="s">
        <v>83</v>
      </c>
      <c r="EE425" s="33"/>
    </row>
    <row r="426" spans="1:135" ht="13.8" x14ac:dyDescent="0.45">
      <c r="A426" s="148" t="s">
        <v>88</v>
      </c>
      <c r="B426" s="128">
        <v>2016</v>
      </c>
      <c r="C426" s="1001"/>
      <c r="D426" s="1011"/>
      <c r="E426" s="1003"/>
      <c r="F426" s="1093"/>
      <c r="G426" s="159"/>
      <c r="H426" s="151"/>
      <c r="I426" s="1001"/>
      <c r="J426" s="159"/>
      <c r="K426" s="151"/>
      <c r="L426" s="152"/>
      <c r="M426" s="151"/>
      <c r="N426" s="29" t="s">
        <v>119</v>
      </c>
      <c r="O426" s="120"/>
      <c r="P426" s="120"/>
      <c r="Q426" s="120"/>
      <c r="R426" s="29">
        <v>2</v>
      </c>
      <c r="S426" s="238" t="str">
        <f t="shared" si="233"/>
        <v/>
      </c>
      <c r="T426" s="238" t="str">
        <f t="shared" si="234"/>
        <v/>
      </c>
      <c r="U426" s="238" t="str">
        <f t="shared" si="235"/>
        <v/>
      </c>
      <c r="V426" s="29"/>
      <c r="W426" s="238" t="e">
        <f t="shared" si="236"/>
        <v>#N/A</v>
      </c>
      <c r="X426" s="238" t="e">
        <f t="shared" si="237"/>
        <v>#N/A</v>
      </c>
      <c r="Y426" s="238" t="e">
        <f t="shared" si="238"/>
        <v>#N/A</v>
      </c>
      <c r="AA426" s="138"/>
      <c r="AB426" s="138"/>
      <c r="AC426" s="138"/>
      <c r="AD426" s="138"/>
      <c r="AE426" s="138"/>
      <c r="AF426" s="138"/>
      <c r="AG426" s="138"/>
      <c r="AH426" s="138"/>
      <c r="AI426" s="138"/>
      <c r="AJ426" s="138"/>
      <c r="AK426" s="138"/>
      <c r="AL426" s="138"/>
      <c r="AM426" s="138"/>
      <c r="AN426" s="138"/>
      <c r="BR426" s="180">
        <v>2014</v>
      </c>
      <c r="BS426" s="22">
        <v>0</v>
      </c>
      <c r="BT426" s="181" t="e">
        <f t="shared" ref="BT426:BT472" si="249">IF($BS$422="High",BS426*$BT$423,IF($BS$422="Medium",$BT$424*BS426,IF($BS$422="Low",$BT$425*BS426)))</f>
        <v>#DIV/0!</v>
      </c>
      <c r="BU426" s="182" t="e">
        <f t="shared" ref="BU426:BU472" si="250">IF($BS$422="High",$BU$423,IF($BS$422="Medium",$BU$424,IF($BS$422="Low",BU425)))</f>
        <v>#DIV/0!</v>
      </c>
      <c r="BV426" s="242" t="e">
        <f t="shared" ref="BV426:BV472" si="251">BT426+BU426</f>
        <v>#DIV/0!</v>
      </c>
      <c r="BY426" s="180">
        <v>2014</v>
      </c>
      <c r="BZ426" s="22">
        <v>0</v>
      </c>
      <c r="CA426" s="181" t="e">
        <f t="shared" ref="CA426:CA472" ca="1" si="252">IF($BZ$422="High",BZ426^2*$CA$423,IF($BZ$422="Medium",BZ426^2*$CA$424,IF($BZ$422="Low",BZ426^2*$CA$425)))</f>
        <v>#REF!</v>
      </c>
      <c r="CB426" s="181" t="e">
        <f t="shared" ref="CB426:CB472" ca="1" si="253">IF($BZ$422="High",BZ426*$CB$423,IF($BZ$422="Medium",BZ426*$CB$424,IF($BZ$422="Low",BZ426*$CB$425)))</f>
        <v>#REF!</v>
      </c>
      <c r="CC426" s="182" t="e">
        <f ca="1">IF($BZ$422="High",$CC$423,IF($BZ$422="Medium",$CC$424,IF($BZ$422="Low",$CC$425)))</f>
        <v>#REF!</v>
      </c>
      <c r="CD426" s="242" t="e">
        <f t="shared" ref="CD426:CD472" ca="1" si="254">CA426+CB426+CC426</f>
        <v>#REF!</v>
      </c>
      <c r="CG426" s="180">
        <v>2014</v>
      </c>
      <c r="CH426" s="22">
        <v>0</v>
      </c>
      <c r="CI426" s="181" t="e">
        <f t="shared" ref="CI426:CI472" ca="1" si="255">IF($CH$422="High",CH426^3*$CI$423,IF($CH$422="Medium",CH426^3*$CI$424,IF($CH$422="Low",CH426^3*$CI$425)))</f>
        <v>#REF!</v>
      </c>
      <c r="CJ426" s="181" t="e">
        <f t="shared" ref="CJ426:CJ472" ca="1" si="256">IF($CH$422="High",CH426^2*$CJ$423,IF($CH$422="Medium",CH426^2*$CJ$424,IF($CH$422="Low",CH426^2*$CJ$425)))</f>
        <v>#REF!</v>
      </c>
      <c r="CK426" s="181" t="e">
        <f t="shared" ref="CK426:CK472" ca="1" si="257">IF($CH$422="High",CH426*$CK$423,IF($CH$422="Medium",CH426*$CK$424,IF($CH$422="Low",CH426*$CK$425)))</f>
        <v>#REF!</v>
      </c>
      <c r="CL426" s="182" t="e">
        <f t="shared" ref="CL426:CL472" ca="1" si="258">IF($CH$422="High",$CL$423,IF($CH$422="Medium",$CL$424,IF($CH$422="Low",$CL$425)))</f>
        <v>#REF!</v>
      </c>
      <c r="CM426" s="242" t="e">
        <f t="shared" ref="CM426:CM472" ca="1" si="259">CI426+CJ426+CK426+CL426</f>
        <v>#REF!</v>
      </c>
      <c r="CP426" s="180">
        <v>2014</v>
      </c>
      <c r="CQ426" s="22">
        <v>0</v>
      </c>
      <c r="CR426" s="181" t="e">
        <f t="shared" ref="CR426:CR472" ca="1" si="260">IF($CQ$422="High",$CR$423,IF($CQ$422="Medium",$CR$424,IF($CQ$422="Low",$CR$425)))</f>
        <v>#REF!</v>
      </c>
      <c r="CS426" s="182" t="e">
        <f t="shared" ref="CS426:CS472" ca="1" si="261">IF($CQ$422="High",EXP(1)^($CS$423*CQ426),IF($CQ$422="Medium",EXP(1)^($CS$424*CQ426),IF($CQ$422="Low",EXP(1)^($CS$425*CQ426))))</f>
        <v>#REF!</v>
      </c>
      <c r="CT426" s="242" t="e">
        <f t="shared" ref="CT426:CT472" ca="1" si="262">(CR426*CS426)</f>
        <v>#REF!</v>
      </c>
      <c r="CZ426" s="164" t="b">
        <f t="shared" si="239"/>
        <v>0</v>
      </c>
      <c r="DA426" s="165" t="b">
        <f t="shared" si="239"/>
        <v>0</v>
      </c>
      <c r="DB426" s="166" t="b">
        <f t="shared" si="239"/>
        <v>0</v>
      </c>
      <c r="DC426" s="164" t="str">
        <f t="shared" si="240"/>
        <v/>
      </c>
      <c r="DD426" s="166" t="str">
        <f t="shared" si="241"/>
        <v/>
      </c>
      <c r="DE426" s="164" t="str">
        <f t="shared" si="242"/>
        <v/>
      </c>
      <c r="DF426" s="166" t="str">
        <f t="shared" si="243"/>
        <v/>
      </c>
      <c r="DG426" s="164" t="str">
        <f t="shared" si="244"/>
        <v/>
      </c>
      <c r="DH426" s="166" t="str">
        <f t="shared" si="245"/>
        <v/>
      </c>
      <c r="DI426" s="164" t="str">
        <f>IFERROR(INDEX(DC$422:DC$470,_xlfn.AGGREGATE(15,6,(ROW(DC$422:DC$470)-ROW(DC$422)+1)/(DC$422:DC$470&lt;&gt;""),ROWS(DI$1:DI5))),"")</f>
        <v/>
      </c>
      <c r="DJ426" s="165" t="str">
        <f>IFERROR(INDEX(DD$422:DD$470,_xlfn.AGGREGATE(15,6,(ROW(DD$422:DD$470)-ROW(DD$422)+1)/(DD$422:DD$470&lt;&gt;""),ROWS(DJ$1:DJ5))),"")</f>
        <v/>
      </c>
      <c r="DK426" s="166" t="str">
        <f t="shared" si="246"/>
        <v/>
      </c>
      <c r="DL426" s="164" t="str">
        <f>IFERROR(INDEX(DE$422:DE$470,_xlfn.AGGREGATE(15,6,(ROW(DE$422:DE$470)-ROW(DE$422)+1)/(DE$422:DE$470&lt;&gt;""),ROWS(DL$1:DL5))),"")</f>
        <v/>
      </c>
      <c r="DM426" s="165" t="str">
        <f>IFERROR(INDEX(DF$422:DF$470,_xlfn.AGGREGATE(15,6,(ROW(DF$422:DF$470)-ROW(DF$422)+1)/(DF$422:DF$470&lt;&gt;""),ROWS(DM$1:DM5))),"")</f>
        <v/>
      </c>
      <c r="DN426" s="166" t="str">
        <f t="shared" si="247"/>
        <v/>
      </c>
      <c r="DO426" s="164" t="str">
        <f>IFERROR(INDEX(DG$422:DG$470,_xlfn.AGGREGATE(15,6,(ROW(DG$422:DG$470)-ROW(DG$422)+1)/(DG$422:DG$470&lt;&gt;""),ROWS(DO$1:DO5))),"")</f>
        <v/>
      </c>
      <c r="DP426" s="165" t="str">
        <f>IFERROR(INDEX(DH$422:DH$470,_xlfn.AGGREGATE(15,6,(ROW(DH$422:DH$470)-ROW(DH$422)+1)/(DH$422:DH$470&lt;&gt;""),ROWS(DP$1:DP5))),"")</f>
        <v/>
      </c>
      <c r="DQ426" s="166" t="str">
        <f t="shared" si="248"/>
        <v/>
      </c>
      <c r="DV426" s="145">
        <v>2019</v>
      </c>
      <c r="DW426" s="235" t="e">
        <f t="shared" ca="1" si="232"/>
        <v>#REF!</v>
      </c>
      <c r="DZ426" s="135" t="s">
        <v>92</v>
      </c>
      <c r="EA426" s="33" t="e">
        <f ca="1">IF($EA$420="Linear",0,IF($EA$420="2nd Poly",0,IF($EA$420="3rd Poly",CI423,IF($EA$420="Exp",0))))</f>
        <v>#REF!</v>
      </c>
      <c r="EB426" s="33" t="e">
        <f ca="1">IF($EA$420="Linear",0,IF($EA$420="2nd Poly",CA423,IF($EA$420="3rd Poly",CJ423,IF($EA$420="Exp",0))))</f>
        <v>#REF!</v>
      </c>
      <c r="EC426" s="33" t="e">
        <f t="shared" ref="EC426:ED428" ca="1" si="263">IF($EA$420="Linear",BT423,IF($EA$420="2nd Poly",CB423,IF($EA$420="3rd Poly",CK423,IF($EA$420="Exp",0))))</f>
        <v>#REF!</v>
      </c>
      <c r="ED426" s="33" t="e">
        <f t="shared" ca="1" si="263"/>
        <v>#REF!</v>
      </c>
      <c r="EE426" s="33" t="str">
        <f>IF($EA$420="Linear","High",IF($EA$420="2nd Poly","High",IF($EA$420="3rd Poly","High","N/A")))</f>
        <v>High</v>
      </c>
    </row>
    <row r="427" spans="1:135" ht="13.8" x14ac:dyDescent="0.45">
      <c r="A427" s="262" t="s">
        <v>90</v>
      </c>
      <c r="B427" s="128">
        <v>2017</v>
      </c>
      <c r="C427" s="1004"/>
      <c r="D427" s="987"/>
      <c r="E427" s="169"/>
      <c r="F427" s="1093"/>
      <c r="G427" s="168"/>
      <c r="H427" s="169"/>
      <c r="I427" s="1016"/>
      <c r="J427" s="168"/>
      <c r="K427" s="169"/>
      <c r="L427" s="170"/>
      <c r="M427" s="169"/>
      <c r="N427" s="29" t="s">
        <v>119</v>
      </c>
      <c r="O427" s="120"/>
      <c r="P427" s="120"/>
      <c r="Q427" s="120"/>
      <c r="R427" s="29">
        <v>3</v>
      </c>
      <c r="S427" s="238" t="str">
        <f t="shared" si="233"/>
        <v/>
      </c>
      <c r="T427" s="238" t="str">
        <f t="shared" si="234"/>
        <v/>
      </c>
      <c r="U427" s="238" t="str">
        <f t="shared" si="235"/>
        <v/>
      </c>
      <c r="V427" s="29"/>
      <c r="W427" s="238" t="e">
        <f t="shared" si="236"/>
        <v>#N/A</v>
      </c>
      <c r="X427" s="238" t="e">
        <f t="shared" si="237"/>
        <v>#N/A</v>
      </c>
      <c r="Y427" s="238" t="e">
        <f t="shared" si="238"/>
        <v>#N/A</v>
      </c>
      <c r="AA427" s="138"/>
      <c r="AB427" s="138"/>
      <c r="AC427" s="138"/>
      <c r="AD427" s="138"/>
      <c r="AE427" s="138"/>
      <c r="AF427" s="138"/>
      <c r="AG427" s="138"/>
      <c r="AH427" s="138"/>
      <c r="AI427" s="138"/>
      <c r="AJ427" s="138"/>
      <c r="AK427" s="138"/>
      <c r="AL427" s="138"/>
      <c r="AM427" s="138"/>
      <c r="AN427" s="138"/>
      <c r="BR427" s="180">
        <v>2015</v>
      </c>
      <c r="BS427" s="22">
        <v>1</v>
      </c>
      <c r="BT427" s="198" t="e">
        <f t="shared" si="249"/>
        <v>#DIV/0!</v>
      </c>
      <c r="BU427" s="276" t="e">
        <f t="shared" si="250"/>
        <v>#DIV/0!</v>
      </c>
      <c r="BV427" s="241" t="e">
        <f t="shared" si="251"/>
        <v>#DIV/0!</v>
      </c>
      <c r="BY427" s="180">
        <v>2015</v>
      </c>
      <c r="BZ427" s="22">
        <v>1</v>
      </c>
      <c r="CA427" s="198" t="e">
        <f t="shared" ca="1" si="252"/>
        <v>#REF!</v>
      </c>
      <c r="CB427" s="198" t="e">
        <f t="shared" ca="1" si="253"/>
        <v>#REF!</v>
      </c>
      <c r="CC427" s="276" t="e">
        <f t="shared" ref="CC427:CC472" ca="1" si="264">CC426</f>
        <v>#REF!</v>
      </c>
      <c r="CD427" s="241" t="e">
        <f t="shared" ca="1" si="254"/>
        <v>#REF!</v>
      </c>
      <c r="CG427" s="180">
        <v>2015</v>
      </c>
      <c r="CH427" s="22">
        <v>1</v>
      </c>
      <c r="CI427" s="198" t="e">
        <f t="shared" ca="1" si="255"/>
        <v>#REF!</v>
      </c>
      <c r="CJ427" s="198" t="e">
        <f t="shared" ca="1" si="256"/>
        <v>#REF!</v>
      </c>
      <c r="CK427" s="198" t="e">
        <f t="shared" ca="1" si="257"/>
        <v>#REF!</v>
      </c>
      <c r="CL427" s="276" t="e">
        <f t="shared" ca="1" si="258"/>
        <v>#REF!</v>
      </c>
      <c r="CM427" s="241" t="e">
        <f t="shared" ca="1" si="259"/>
        <v>#REF!</v>
      </c>
      <c r="CP427" s="180">
        <v>2015</v>
      </c>
      <c r="CQ427" s="22">
        <v>1</v>
      </c>
      <c r="CR427" s="198" t="e">
        <f t="shared" ca="1" si="260"/>
        <v>#REF!</v>
      </c>
      <c r="CS427" s="276" t="e">
        <f t="shared" ca="1" si="261"/>
        <v>#REF!</v>
      </c>
      <c r="CT427" s="241" t="e">
        <f t="shared" ca="1" si="262"/>
        <v>#REF!</v>
      </c>
      <c r="CZ427" s="164" t="b">
        <f t="shared" si="239"/>
        <v>0</v>
      </c>
      <c r="DA427" s="165" t="b">
        <f t="shared" si="239"/>
        <v>0</v>
      </c>
      <c r="DB427" s="166" t="b">
        <f t="shared" si="239"/>
        <v>0</v>
      </c>
      <c r="DC427" s="164" t="str">
        <f t="shared" si="240"/>
        <v/>
      </c>
      <c r="DD427" s="166" t="str">
        <f t="shared" si="241"/>
        <v/>
      </c>
      <c r="DE427" s="164" t="str">
        <f t="shared" si="242"/>
        <v/>
      </c>
      <c r="DF427" s="166" t="str">
        <f t="shared" si="243"/>
        <v/>
      </c>
      <c r="DG427" s="164" t="str">
        <f t="shared" si="244"/>
        <v/>
      </c>
      <c r="DH427" s="166" t="str">
        <f t="shared" si="245"/>
        <v/>
      </c>
      <c r="DI427" s="164" t="str">
        <f>IFERROR(INDEX(DC$422:DC$470,_xlfn.AGGREGATE(15,6,(ROW(DC$422:DC$470)-ROW(DC$422)+1)/(DC$422:DC$470&lt;&gt;""),ROWS(DI$1:DI6))),"")</f>
        <v/>
      </c>
      <c r="DJ427" s="165" t="str">
        <f>IFERROR(INDEX(DD$422:DD$470,_xlfn.AGGREGATE(15,6,(ROW(DD$422:DD$470)-ROW(DD$422)+1)/(DD$422:DD$470&lt;&gt;""),ROWS(DJ$1:DJ6))),"")</f>
        <v/>
      </c>
      <c r="DK427" s="166" t="str">
        <f t="shared" si="246"/>
        <v/>
      </c>
      <c r="DL427" s="164" t="str">
        <f>IFERROR(INDEX(DE$422:DE$470,_xlfn.AGGREGATE(15,6,(ROW(DE$422:DE$470)-ROW(DE$422)+1)/(DE$422:DE$470&lt;&gt;""),ROWS(DL$1:DL6))),"")</f>
        <v/>
      </c>
      <c r="DM427" s="165" t="str">
        <f>IFERROR(INDEX(DF$422:DF$470,_xlfn.AGGREGATE(15,6,(ROW(DF$422:DF$470)-ROW(DF$422)+1)/(DF$422:DF$470&lt;&gt;""),ROWS(DM$1:DM6))),"")</f>
        <v/>
      </c>
      <c r="DN427" s="166" t="str">
        <f t="shared" si="247"/>
        <v/>
      </c>
      <c r="DO427" s="164" t="str">
        <f>IFERROR(INDEX(DG$422:DG$470,_xlfn.AGGREGATE(15,6,(ROW(DG$422:DG$470)-ROW(DG$422)+1)/(DG$422:DG$470&lt;&gt;""),ROWS(DO$1:DO6))),"")</f>
        <v/>
      </c>
      <c r="DP427" s="165" t="str">
        <f>IFERROR(INDEX(DH$422:DH$470,_xlfn.AGGREGATE(15,6,(ROW(DH$422:DH$470)-ROW(DH$422)+1)/(DH$422:DH$470&lt;&gt;""),ROWS(DP$1:DP6))),"")</f>
        <v/>
      </c>
      <c r="DQ427" s="166" t="str">
        <f t="shared" si="248"/>
        <v/>
      </c>
      <c r="DV427" s="145">
        <v>2020</v>
      </c>
      <c r="DW427" s="235" t="e">
        <f t="shared" ca="1" si="232"/>
        <v>#REF!</v>
      </c>
      <c r="DZ427" s="135" t="s">
        <v>92</v>
      </c>
      <c r="EA427" s="33" t="e">
        <f ca="1">IF($EA$420="Linear",0,IF($EA$420="2nd Poly",0,IF($EA$420="3rd Poly",CI424,IF($EA$420="Exp",0))))</f>
        <v>#REF!</v>
      </c>
      <c r="EB427" s="33" t="e">
        <f ca="1">IF($EA$420="Linear",0,IF($EA$420="2nd Poly",CA424,IF($EA$420="3rd Poly",CJ424,IF($EA$420="Exp",0))))</f>
        <v>#REF!</v>
      </c>
      <c r="EC427" s="33" t="e">
        <f t="shared" ca="1" si="263"/>
        <v>#REF!</v>
      </c>
      <c r="ED427" s="33" t="e">
        <f t="shared" ca="1" si="263"/>
        <v>#REF!</v>
      </c>
      <c r="EE427" s="33" t="str">
        <f>IF($EA$420="Linear","Medium",IF($EA$420="2nd Poly","Medium",IF($EA$420="3rd Poly","Medium","N/A")))</f>
        <v>Medium</v>
      </c>
    </row>
    <row r="428" spans="1:135" ht="13.8" x14ac:dyDescent="0.45">
      <c r="A428" s="948" t="s">
        <v>116</v>
      </c>
      <c r="B428" s="128">
        <v>2018</v>
      </c>
      <c r="C428" s="1004"/>
      <c r="D428" s="987"/>
      <c r="E428" s="1003"/>
      <c r="F428" s="990"/>
      <c r="G428" s="159"/>
      <c r="H428" s="151"/>
      <c r="I428" s="1016"/>
      <c r="J428" s="159"/>
      <c r="K428" s="151"/>
      <c r="L428" s="152"/>
      <c r="M428" s="151"/>
      <c r="N428" s="29" t="s">
        <v>119</v>
      </c>
      <c r="O428" s="120"/>
      <c r="P428" s="120"/>
      <c r="Q428" s="120"/>
      <c r="R428" s="29">
        <v>4</v>
      </c>
      <c r="S428" s="238" t="str">
        <f t="shared" si="233"/>
        <v/>
      </c>
      <c r="T428" s="238" t="str">
        <f t="shared" si="234"/>
        <v/>
      </c>
      <c r="U428" s="238" t="str">
        <f t="shared" si="235"/>
        <v/>
      </c>
      <c r="V428" s="20"/>
      <c r="W428" s="238" t="e">
        <f t="shared" si="236"/>
        <v>#N/A</v>
      </c>
      <c r="X428" s="238" t="e">
        <f t="shared" si="237"/>
        <v>#N/A</v>
      </c>
      <c r="Y428" s="238" t="e">
        <f t="shared" si="238"/>
        <v>#N/A</v>
      </c>
      <c r="AA428" s="138"/>
      <c r="AB428" s="138"/>
      <c r="AC428" s="138"/>
      <c r="AD428" s="138"/>
      <c r="AE428" s="138"/>
      <c r="AF428" s="138"/>
      <c r="AG428" s="138"/>
      <c r="AH428" s="138"/>
      <c r="AI428" s="138"/>
      <c r="AJ428" s="138"/>
      <c r="AK428" s="138"/>
      <c r="AL428" s="138"/>
      <c r="AM428" s="138"/>
      <c r="AN428" s="138"/>
      <c r="BR428" s="180">
        <v>2016</v>
      </c>
      <c r="BS428" s="22">
        <v>2</v>
      </c>
      <c r="BT428" s="198" t="e">
        <f t="shared" si="249"/>
        <v>#DIV/0!</v>
      </c>
      <c r="BU428" s="276" t="e">
        <f t="shared" si="250"/>
        <v>#DIV/0!</v>
      </c>
      <c r="BV428" s="241" t="e">
        <f t="shared" si="251"/>
        <v>#DIV/0!</v>
      </c>
      <c r="BY428" s="180">
        <v>2016</v>
      </c>
      <c r="BZ428" s="22">
        <v>2</v>
      </c>
      <c r="CA428" s="198" t="e">
        <f t="shared" ca="1" si="252"/>
        <v>#REF!</v>
      </c>
      <c r="CB428" s="198" t="e">
        <f t="shared" ca="1" si="253"/>
        <v>#REF!</v>
      </c>
      <c r="CC428" s="276" t="e">
        <f t="shared" ca="1" si="264"/>
        <v>#REF!</v>
      </c>
      <c r="CD428" s="241" t="e">
        <f t="shared" ca="1" si="254"/>
        <v>#REF!</v>
      </c>
      <c r="CG428" s="180">
        <v>2016</v>
      </c>
      <c r="CH428" s="22">
        <v>2</v>
      </c>
      <c r="CI428" s="198" t="e">
        <f t="shared" ca="1" si="255"/>
        <v>#REF!</v>
      </c>
      <c r="CJ428" s="198" t="e">
        <f t="shared" ca="1" si="256"/>
        <v>#REF!</v>
      </c>
      <c r="CK428" s="198" t="e">
        <f t="shared" ca="1" si="257"/>
        <v>#REF!</v>
      </c>
      <c r="CL428" s="276" t="e">
        <f t="shared" ca="1" si="258"/>
        <v>#REF!</v>
      </c>
      <c r="CM428" s="241" t="e">
        <f t="shared" ca="1" si="259"/>
        <v>#REF!</v>
      </c>
      <c r="CP428" s="180">
        <v>2016</v>
      </c>
      <c r="CQ428" s="22">
        <v>2</v>
      </c>
      <c r="CR428" s="198" t="e">
        <f t="shared" ca="1" si="260"/>
        <v>#REF!</v>
      </c>
      <c r="CS428" s="276" t="e">
        <f t="shared" ca="1" si="261"/>
        <v>#REF!</v>
      </c>
      <c r="CT428" s="241" t="e">
        <f t="shared" ca="1" si="262"/>
        <v>#REF!</v>
      </c>
      <c r="CZ428" s="164" t="b">
        <f t="shared" si="239"/>
        <v>0</v>
      </c>
      <c r="DA428" s="165" t="b">
        <f t="shared" si="239"/>
        <v>0</v>
      </c>
      <c r="DB428" s="166" t="b">
        <f t="shared" si="239"/>
        <v>0</v>
      </c>
      <c r="DC428" s="164" t="str">
        <f t="shared" si="240"/>
        <v/>
      </c>
      <c r="DD428" s="166" t="str">
        <f t="shared" si="241"/>
        <v/>
      </c>
      <c r="DE428" s="164" t="str">
        <f t="shared" si="242"/>
        <v/>
      </c>
      <c r="DF428" s="166" t="str">
        <f t="shared" si="243"/>
        <v/>
      </c>
      <c r="DG428" s="164" t="str">
        <f t="shared" si="244"/>
        <v/>
      </c>
      <c r="DH428" s="166" t="str">
        <f t="shared" si="245"/>
        <v/>
      </c>
      <c r="DI428" s="164" t="str">
        <f>IFERROR(INDEX(DC$422:DC$470,_xlfn.AGGREGATE(15,6,(ROW(DC$422:DC$470)-ROW(DC$422)+1)/(DC$422:DC$470&lt;&gt;""),ROWS(DI$1:DI7))),"")</f>
        <v/>
      </c>
      <c r="DJ428" s="165" t="str">
        <f>IFERROR(INDEX(DD$422:DD$470,_xlfn.AGGREGATE(15,6,(ROW(DD$422:DD$470)-ROW(DD$422)+1)/(DD$422:DD$470&lt;&gt;""),ROWS(DJ$1:DJ7))),"")</f>
        <v/>
      </c>
      <c r="DK428" s="166" t="str">
        <f t="shared" si="246"/>
        <v/>
      </c>
      <c r="DL428" s="164" t="str">
        <f>IFERROR(INDEX(DE$422:DE$470,_xlfn.AGGREGATE(15,6,(ROW(DE$422:DE$470)-ROW(DE$422)+1)/(DE$422:DE$470&lt;&gt;""),ROWS(DL$1:DL7))),"")</f>
        <v/>
      </c>
      <c r="DM428" s="165" t="str">
        <f>IFERROR(INDEX(DF$422:DF$470,_xlfn.AGGREGATE(15,6,(ROW(DF$422:DF$470)-ROW(DF$422)+1)/(DF$422:DF$470&lt;&gt;""),ROWS(DM$1:DM7))),"")</f>
        <v/>
      </c>
      <c r="DN428" s="166" t="str">
        <f t="shared" si="247"/>
        <v/>
      </c>
      <c r="DO428" s="164" t="str">
        <f>IFERROR(INDEX(DG$422:DG$470,_xlfn.AGGREGATE(15,6,(ROW(DG$422:DG$470)-ROW(DG$422)+1)/(DG$422:DG$470&lt;&gt;""),ROWS(DO$1:DO7))),"")</f>
        <v/>
      </c>
      <c r="DP428" s="165" t="str">
        <f>IFERROR(INDEX(DH$422:DH$470,_xlfn.AGGREGATE(15,6,(ROW(DH$422:DH$470)-ROW(DH$422)+1)/(DH$422:DH$470&lt;&gt;""),ROWS(DP$1:DP7))),"")</f>
        <v/>
      </c>
      <c r="DQ428" s="166" t="str">
        <f t="shared" si="248"/>
        <v/>
      </c>
      <c r="DV428" s="145">
        <v>2021</v>
      </c>
      <c r="DW428" s="235" t="e">
        <f t="shared" ca="1" si="232"/>
        <v>#REF!</v>
      </c>
      <c r="DZ428" s="135" t="s">
        <v>92</v>
      </c>
      <c r="EA428" s="33" t="e">
        <f ca="1">IF($EA$420="Linear",0,IF($EA$420="2nd Poly",0,IF($EA$420="3rd Poly",CI425,IF($EA$420="Exp",0))))</f>
        <v>#REF!</v>
      </c>
      <c r="EB428" s="33" t="e">
        <f ca="1">IF($EA$420="Linear",0,IF($EA$420="2nd Poly",CA425,IF($EA$420="3rd Poly",CJ425,IF($EA$420="Exp",0))))</f>
        <v>#REF!</v>
      </c>
      <c r="EC428" s="33" t="e">
        <f t="shared" ca="1" si="263"/>
        <v>#REF!</v>
      </c>
      <c r="ED428" s="33" t="e">
        <f t="shared" ca="1" si="263"/>
        <v>#REF!</v>
      </c>
      <c r="EE428" s="33" t="str">
        <f>IF($EA$420="Linear","Low",IF($EA$420="2nd Poly","Low",IF($EA$420="3rd Poly","Low","N/A")))</f>
        <v>Low</v>
      </c>
    </row>
    <row r="429" spans="1:135" ht="13.8" x14ac:dyDescent="0.45">
      <c r="A429" s="148" t="s">
        <v>88</v>
      </c>
      <c r="B429" s="128">
        <v>2019</v>
      </c>
      <c r="C429" s="1004"/>
      <c r="D429" s="987"/>
      <c r="E429" s="1003"/>
      <c r="F429" s="990"/>
      <c r="G429" s="159"/>
      <c r="H429" s="151"/>
      <c r="I429" s="1016"/>
      <c r="J429" s="159"/>
      <c r="K429" s="151"/>
      <c r="L429" s="190"/>
      <c r="M429" s="151"/>
      <c r="N429" s="29" t="s">
        <v>119</v>
      </c>
      <c r="O429" s="120"/>
      <c r="P429" s="120"/>
      <c r="Q429" s="120"/>
      <c r="R429" s="29">
        <v>5</v>
      </c>
      <c r="S429" s="238" t="str">
        <f t="shared" si="233"/>
        <v/>
      </c>
      <c r="T429" s="238" t="str">
        <f t="shared" si="234"/>
        <v/>
      </c>
      <c r="U429" s="238" t="str">
        <f t="shared" si="235"/>
        <v/>
      </c>
      <c r="V429" s="20"/>
      <c r="W429" s="238" t="e">
        <f t="shared" si="236"/>
        <v>#N/A</v>
      </c>
      <c r="X429" s="238" t="e">
        <f t="shared" si="237"/>
        <v>#N/A</v>
      </c>
      <c r="Y429" s="238" t="e">
        <f t="shared" si="238"/>
        <v>#N/A</v>
      </c>
      <c r="AA429" s="138"/>
      <c r="AB429" s="138"/>
      <c r="AC429" s="138"/>
      <c r="AD429" s="138"/>
      <c r="AE429" s="138"/>
      <c r="AF429" s="138"/>
      <c r="AG429" s="138"/>
      <c r="AH429" s="138"/>
      <c r="AI429" s="138"/>
      <c r="AJ429" s="138"/>
      <c r="AK429" s="138"/>
      <c r="AL429" s="138"/>
      <c r="AM429" s="138"/>
      <c r="AN429" s="138"/>
      <c r="BR429" s="180">
        <v>2017</v>
      </c>
      <c r="BS429" s="22">
        <v>3</v>
      </c>
      <c r="BT429" s="198" t="e">
        <f t="shared" si="249"/>
        <v>#DIV/0!</v>
      </c>
      <c r="BU429" s="276" t="e">
        <f t="shared" si="250"/>
        <v>#DIV/0!</v>
      </c>
      <c r="BV429" s="241" t="e">
        <f t="shared" si="251"/>
        <v>#DIV/0!</v>
      </c>
      <c r="BY429" s="180">
        <v>2017</v>
      </c>
      <c r="BZ429" s="22">
        <v>3</v>
      </c>
      <c r="CA429" s="198" t="e">
        <f t="shared" ca="1" si="252"/>
        <v>#REF!</v>
      </c>
      <c r="CB429" s="198" t="e">
        <f t="shared" ca="1" si="253"/>
        <v>#REF!</v>
      </c>
      <c r="CC429" s="276" t="e">
        <f t="shared" ca="1" si="264"/>
        <v>#REF!</v>
      </c>
      <c r="CD429" s="241" t="e">
        <f t="shared" ca="1" si="254"/>
        <v>#REF!</v>
      </c>
      <c r="CG429" s="180">
        <v>2017</v>
      </c>
      <c r="CH429" s="22">
        <v>3</v>
      </c>
      <c r="CI429" s="198" t="e">
        <f t="shared" ca="1" si="255"/>
        <v>#REF!</v>
      </c>
      <c r="CJ429" s="198" t="e">
        <f t="shared" ca="1" si="256"/>
        <v>#REF!</v>
      </c>
      <c r="CK429" s="198" t="e">
        <f t="shared" ca="1" si="257"/>
        <v>#REF!</v>
      </c>
      <c r="CL429" s="276" t="e">
        <f t="shared" ca="1" si="258"/>
        <v>#REF!</v>
      </c>
      <c r="CM429" s="241" t="e">
        <f t="shared" ca="1" si="259"/>
        <v>#REF!</v>
      </c>
      <c r="CP429" s="180">
        <v>2017</v>
      </c>
      <c r="CQ429" s="22">
        <v>3</v>
      </c>
      <c r="CR429" s="198" t="e">
        <f t="shared" ca="1" si="260"/>
        <v>#REF!</v>
      </c>
      <c r="CS429" s="276" t="e">
        <f t="shared" ca="1" si="261"/>
        <v>#REF!</v>
      </c>
      <c r="CT429" s="241" t="e">
        <f t="shared" ca="1" si="262"/>
        <v>#REF!</v>
      </c>
      <c r="CZ429" s="164" t="b">
        <f t="shared" si="239"/>
        <v>0</v>
      </c>
      <c r="DA429" s="165" t="b">
        <f t="shared" si="239"/>
        <v>0</v>
      </c>
      <c r="DB429" s="166" t="b">
        <f t="shared" si="239"/>
        <v>0</v>
      </c>
      <c r="DC429" s="164" t="str">
        <f t="shared" si="240"/>
        <v/>
      </c>
      <c r="DD429" s="166" t="str">
        <f t="shared" si="241"/>
        <v/>
      </c>
      <c r="DE429" s="164" t="str">
        <f t="shared" si="242"/>
        <v/>
      </c>
      <c r="DF429" s="166" t="str">
        <f t="shared" si="243"/>
        <v/>
      </c>
      <c r="DG429" s="164" t="str">
        <f t="shared" si="244"/>
        <v/>
      </c>
      <c r="DH429" s="166" t="str">
        <f t="shared" si="245"/>
        <v/>
      </c>
      <c r="DI429" s="164" t="str">
        <f>IFERROR(INDEX(DC$422:DC$470,_xlfn.AGGREGATE(15,6,(ROW(DC$422:DC$470)-ROW(DC$422)+1)/(DC$422:DC$470&lt;&gt;""),ROWS(DI$1:DI8))),"")</f>
        <v/>
      </c>
      <c r="DJ429" s="165" t="str">
        <f>IFERROR(INDEX(DD$422:DD$470,_xlfn.AGGREGATE(15,6,(ROW(DD$422:DD$470)-ROW(DD$422)+1)/(DD$422:DD$470&lt;&gt;""),ROWS(DJ$1:DJ8))),"")</f>
        <v/>
      </c>
      <c r="DK429" s="166" t="str">
        <f t="shared" si="246"/>
        <v/>
      </c>
      <c r="DL429" s="164" t="str">
        <f>IFERROR(INDEX(DE$422:DE$470,_xlfn.AGGREGATE(15,6,(ROW(DE$422:DE$470)-ROW(DE$422)+1)/(DE$422:DE$470&lt;&gt;""),ROWS(DL$1:DL8))),"")</f>
        <v/>
      </c>
      <c r="DM429" s="165" t="str">
        <f>IFERROR(INDEX(DF$422:DF$470,_xlfn.AGGREGATE(15,6,(ROW(DF$422:DF$470)-ROW(DF$422)+1)/(DF$422:DF$470&lt;&gt;""),ROWS(DM$1:DM8))),"")</f>
        <v/>
      </c>
      <c r="DN429" s="166" t="str">
        <f t="shared" si="247"/>
        <v/>
      </c>
      <c r="DO429" s="164" t="str">
        <f>IFERROR(INDEX(DG$422:DG$470,_xlfn.AGGREGATE(15,6,(ROW(DG$422:DG$470)-ROW(DG$422)+1)/(DG$422:DG$470&lt;&gt;""),ROWS(DO$1:DO8))),"")</f>
        <v/>
      </c>
      <c r="DP429" s="165" t="str">
        <f>IFERROR(INDEX(DH$422:DH$470,_xlfn.AGGREGATE(15,6,(ROW(DH$422:DH$470)-ROW(DH$422)+1)/(DH$422:DH$470&lt;&gt;""),ROWS(DP$1:DP8))),"")</f>
        <v/>
      </c>
      <c r="DQ429" s="166" t="str">
        <f t="shared" si="248"/>
        <v/>
      </c>
      <c r="DV429" s="145">
        <v>2022</v>
      </c>
      <c r="DW429" s="235" t="e">
        <f t="shared" ca="1" si="232"/>
        <v>#REF!</v>
      </c>
      <c r="DZ429" s="135"/>
      <c r="EA429" s="33"/>
      <c r="EB429" s="33"/>
      <c r="EC429" s="33"/>
      <c r="ED429" s="33"/>
      <c r="EE429" s="33"/>
    </row>
    <row r="430" spans="1:135" ht="13.8" x14ac:dyDescent="0.45">
      <c r="A430" s="148" t="s">
        <v>90</v>
      </c>
      <c r="B430" s="128">
        <v>2020</v>
      </c>
      <c r="C430" s="1004"/>
      <c r="D430" s="987"/>
      <c r="E430" s="169"/>
      <c r="F430" s="991"/>
      <c r="G430" s="168"/>
      <c r="H430" s="169"/>
      <c r="I430" s="931"/>
      <c r="J430" s="168"/>
      <c r="K430" s="169"/>
      <c r="L430" s="170"/>
      <c r="M430" s="169"/>
      <c r="N430" s="29" t="s">
        <v>119</v>
      </c>
      <c r="O430" s="120"/>
      <c r="P430" s="120"/>
      <c r="Q430" s="120"/>
      <c r="R430" s="29">
        <v>6</v>
      </c>
      <c r="S430" s="195" t="str">
        <f t="shared" si="233"/>
        <v/>
      </c>
      <c r="T430" s="195" t="str">
        <f t="shared" si="234"/>
        <v/>
      </c>
      <c r="U430" s="195" t="str">
        <f t="shared" si="235"/>
        <v/>
      </c>
      <c r="V430" s="20"/>
      <c r="W430" s="238" t="e">
        <f t="shared" si="236"/>
        <v>#N/A</v>
      </c>
      <c r="X430" s="238" t="e">
        <f t="shared" si="237"/>
        <v>#N/A</v>
      </c>
      <c r="Y430" s="238" t="e">
        <f t="shared" si="238"/>
        <v>#N/A</v>
      </c>
      <c r="AA430" s="138"/>
      <c r="AB430" s="138"/>
      <c r="AC430" s="138"/>
      <c r="AD430" s="138"/>
      <c r="AE430" s="138"/>
      <c r="AF430" s="138"/>
      <c r="AG430" s="138"/>
      <c r="AH430" s="138"/>
      <c r="AI430" s="138"/>
      <c r="AJ430" s="138"/>
      <c r="AK430" s="138"/>
      <c r="AL430" s="138"/>
      <c r="AM430" s="138"/>
      <c r="AN430" s="138"/>
      <c r="BR430" s="180">
        <v>2018</v>
      </c>
      <c r="BS430" s="22">
        <v>4</v>
      </c>
      <c r="BT430" s="198" t="e">
        <f t="shared" si="249"/>
        <v>#DIV/0!</v>
      </c>
      <c r="BU430" s="276" t="e">
        <f t="shared" si="250"/>
        <v>#DIV/0!</v>
      </c>
      <c r="BV430" s="241" t="e">
        <f t="shared" si="251"/>
        <v>#DIV/0!</v>
      </c>
      <c r="BY430" s="180">
        <v>2018</v>
      </c>
      <c r="BZ430" s="22">
        <v>4</v>
      </c>
      <c r="CA430" s="198" t="e">
        <f t="shared" ca="1" si="252"/>
        <v>#REF!</v>
      </c>
      <c r="CB430" s="198" t="e">
        <f t="shared" ca="1" si="253"/>
        <v>#REF!</v>
      </c>
      <c r="CC430" s="276" t="e">
        <f t="shared" ca="1" si="264"/>
        <v>#REF!</v>
      </c>
      <c r="CD430" s="241" t="e">
        <f t="shared" ca="1" si="254"/>
        <v>#REF!</v>
      </c>
      <c r="CG430" s="180">
        <v>2018</v>
      </c>
      <c r="CH430" s="22">
        <v>4</v>
      </c>
      <c r="CI430" s="198" t="e">
        <f t="shared" ca="1" si="255"/>
        <v>#REF!</v>
      </c>
      <c r="CJ430" s="198" t="e">
        <f t="shared" ca="1" si="256"/>
        <v>#REF!</v>
      </c>
      <c r="CK430" s="198" t="e">
        <f t="shared" ca="1" si="257"/>
        <v>#REF!</v>
      </c>
      <c r="CL430" s="276" t="e">
        <f t="shared" ca="1" si="258"/>
        <v>#REF!</v>
      </c>
      <c r="CM430" s="241" t="e">
        <f t="shared" ca="1" si="259"/>
        <v>#REF!</v>
      </c>
      <c r="CP430" s="180">
        <v>2018</v>
      </c>
      <c r="CQ430" s="22">
        <v>4</v>
      </c>
      <c r="CR430" s="198" t="e">
        <f t="shared" ca="1" si="260"/>
        <v>#REF!</v>
      </c>
      <c r="CS430" s="276" t="e">
        <f t="shared" ca="1" si="261"/>
        <v>#REF!</v>
      </c>
      <c r="CT430" s="241" t="e">
        <f t="shared" ca="1" si="262"/>
        <v>#REF!</v>
      </c>
      <c r="CZ430" s="164" t="b">
        <f t="shared" si="239"/>
        <v>0</v>
      </c>
      <c r="DA430" s="165" t="b">
        <f t="shared" si="239"/>
        <v>0</v>
      </c>
      <c r="DB430" s="166" t="b">
        <f t="shared" si="239"/>
        <v>0</v>
      </c>
      <c r="DC430" s="164" t="str">
        <f t="shared" si="240"/>
        <v/>
      </c>
      <c r="DD430" s="166" t="str">
        <f t="shared" si="241"/>
        <v/>
      </c>
      <c r="DE430" s="164" t="str">
        <f t="shared" si="242"/>
        <v/>
      </c>
      <c r="DF430" s="166" t="str">
        <f t="shared" si="243"/>
        <v/>
      </c>
      <c r="DG430" s="164" t="str">
        <f t="shared" si="244"/>
        <v/>
      </c>
      <c r="DH430" s="166" t="str">
        <f t="shared" si="245"/>
        <v/>
      </c>
      <c r="DI430" s="164" t="str">
        <f>IFERROR(INDEX(DC$422:DC$470,_xlfn.AGGREGATE(15,6,(ROW(DC$422:DC$470)-ROW(DC$422)+1)/(DC$422:DC$470&lt;&gt;""),ROWS(DI$1:DI9))),"")</f>
        <v/>
      </c>
      <c r="DJ430" s="165" t="str">
        <f>IFERROR(INDEX(DD$422:DD$470,_xlfn.AGGREGATE(15,6,(ROW(DD$422:DD$470)-ROW(DD$422)+1)/(DD$422:DD$470&lt;&gt;""),ROWS(DJ$1:DJ9))),"")</f>
        <v/>
      </c>
      <c r="DK430" s="166" t="str">
        <f t="shared" si="246"/>
        <v/>
      </c>
      <c r="DL430" s="164" t="str">
        <f>IFERROR(INDEX(DE$422:DE$470,_xlfn.AGGREGATE(15,6,(ROW(DE$422:DE$470)-ROW(DE$422)+1)/(DE$422:DE$470&lt;&gt;""),ROWS(DL$1:DL9))),"")</f>
        <v/>
      </c>
      <c r="DM430" s="165" t="str">
        <f>IFERROR(INDEX(DF$422:DF$470,_xlfn.AGGREGATE(15,6,(ROW(DF$422:DF$470)-ROW(DF$422)+1)/(DF$422:DF$470&lt;&gt;""),ROWS(DM$1:DM9))),"")</f>
        <v/>
      </c>
      <c r="DN430" s="166" t="str">
        <f t="shared" si="247"/>
        <v/>
      </c>
      <c r="DO430" s="164" t="str">
        <f>IFERROR(INDEX(DG$422:DG$470,_xlfn.AGGREGATE(15,6,(ROW(DG$422:DG$470)-ROW(DG$422)+1)/(DG$422:DG$470&lt;&gt;""),ROWS(DO$1:DO9))),"")</f>
        <v/>
      </c>
      <c r="DP430" s="165" t="str">
        <f>IFERROR(INDEX(DH$422:DH$470,_xlfn.AGGREGATE(15,6,(ROW(DH$422:DH$470)-ROW(DH$422)+1)/(DH$422:DH$470&lt;&gt;""),ROWS(DP$1:DP9))),"")</f>
        <v/>
      </c>
      <c r="DQ430" s="166" t="str">
        <f t="shared" si="248"/>
        <v/>
      </c>
      <c r="DV430" s="145">
        <v>2023</v>
      </c>
      <c r="DW430" s="235" t="e">
        <f t="shared" ca="1" si="232"/>
        <v>#REF!</v>
      </c>
      <c r="DZ430" s="135"/>
      <c r="EA430" s="33" t="s">
        <v>86</v>
      </c>
      <c r="EB430" s="33" t="s">
        <v>87</v>
      </c>
      <c r="EC430" s="33"/>
      <c r="ED430" s="33"/>
      <c r="EE430" s="33"/>
    </row>
    <row r="431" spans="1:135" ht="14.1" thickBot="1" x14ac:dyDescent="0.5">
      <c r="A431" s="148" t="s">
        <v>80</v>
      </c>
      <c r="B431" s="128">
        <v>2021</v>
      </c>
      <c r="C431" s="1004"/>
      <c r="D431" s="987"/>
      <c r="E431" s="1003"/>
      <c r="F431" s="990"/>
      <c r="G431" s="159"/>
      <c r="H431" s="151"/>
      <c r="I431" s="1016"/>
      <c r="J431" s="159"/>
      <c r="K431" s="151"/>
      <c r="L431" s="152"/>
      <c r="M431" s="151"/>
      <c r="N431" s="29" t="s">
        <v>119</v>
      </c>
      <c r="O431" s="120"/>
      <c r="P431" s="120"/>
      <c r="Q431" s="120"/>
      <c r="R431" s="29">
        <v>7</v>
      </c>
      <c r="S431" s="196" t="str">
        <f t="shared" si="233"/>
        <v/>
      </c>
      <c r="T431" s="196" t="str">
        <f t="shared" si="234"/>
        <v/>
      </c>
      <c r="U431" s="196" t="str">
        <f t="shared" si="235"/>
        <v/>
      </c>
      <c r="V431" s="20"/>
      <c r="W431" s="238" t="e">
        <f t="shared" si="236"/>
        <v>#N/A</v>
      </c>
      <c r="X431" s="238" t="e">
        <f t="shared" si="237"/>
        <v>#N/A</v>
      </c>
      <c r="Y431" s="238" t="e">
        <f t="shared" si="238"/>
        <v>#N/A</v>
      </c>
      <c r="AA431" s="138"/>
      <c r="AB431" s="138"/>
      <c r="AC431" s="138"/>
      <c r="AD431" s="138"/>
      <c r="AE431" s="138"/>
      <c r="AF431" s="138"/>
      <c r="AG431" s="138"/>
      <c r="AH431" s="138"/>
      <c r="AI431" s="138"/>
      <c r="AJ431" s="138"/>
      <c r="AK431" s="138"/>
      <c r="AL431" s="138"/>
      <c r="AM431" s="138"/>
      <c r="AN431" s="138"/>
      <c r="BR431" s="180">
        <v>2019</v>
      </c>
      <c r="BS431" s="22">
        <v>5</v>
      </c>
      <c r="BT431" s="198" t="e">
        <f t="shared" si="249"/>
        <v>#DIV/0!</v>
      </c>
      <c r="BU431" s="276" t="e">
        <f t="shared" si="250"/>
        <v>#DIV/0!</v>
      </c>
      <c r="BV431" s="283" t="e">
        <f t="shared" si="251"/>
        <v>#DIV/0!</v>
      </c>
      <c r="BY431" s="180">
        <v>2019</v>
      </c>
      <c r="BZ431" s="22">
        <v>5</v>
      </c>
      <c r="CA431" s="198" t="e">
        <f t="shared" ca="1" si="252"/>
        <v>#REF!</v>
      </c>
      <c r="CB431" s="198" t="e">
        <f t="shared" ca="1" si="253"/>
        <v>#REF!</v>
      </c>
      <c r="CC431" s="276" t="e">
        <f t="shared" ca="1" si="264"/>
        <v>#REF!</v>
      </c>
      <c r="CD431" s="283" t="e">
        <f t="shared" ca="1" si="254"/>
        <v>#REF!</v>
      </c>
      <c r="CG431" s="180">
        <v>2019</v>
      </c>
      <c r="CH431" s="22">
        <v>5</v>
      </c>
      <c r="CI431" s="198" t="e">
        <f t="shared" ca="1" si="255"/>
        <v>#REF!</v>
      </c>
      <c r="CJ431" s="198" t="e">
        <f t="shared" ca="1" si="256"/>
        <v>#REF!</v>
      </c>
      <c r="CK431" s="198" t="e">
        <f t="shared" ca="1" si="257"/>
        <v>#REF!</v>
      </c>
      <c r="CL431" s="276" t="e">
        <f t="shared" ca="1" si="258"/>
        <v>#REF!</v>
      </c>
      <c r="CM431" s="283" t="e">
        <f t="shared" ca="1" si="259"/>
        <v>#REF!</v>
      </c>
      <c r="CP431" s="180">
        <v>2019</v>
      </c>
      <c r="CQ431" s="22">
        <v>5</v>
      </c>
      <c r="CR431" s="198" t="e">
        <f t="shared" ca="1" si="260"/>
        <v>#REF!</v>
      </c>
      <c r="CS431" s="276" t="e">
        <f t="shared" ca="1" si="261"/>
        <v>#REF!</v>
      </c>
      <c r="CT431" s="283" t="e">
        <f t="shared" ca="1" si="262"/>
        <v>#REF!</v>
      </c>
      <c r="CZ431" s="164" t="b">
        <f t="shared" si="239"/>
        <v>0</v>
      </c>
      <c r="DA431" s="165" t="b">
        <f t="shared" si="239"/>
        <v>0</v>
      </c>
      <c r="DB431" s="166" t="b">
        <f t="shared" si="239"/>
        <v>0</v>
      </c>
      <c r="DC431" s="164" t="str">
        <f t="shared" si="240"/>
        <v/>
      </c>
      <c r="DD431" s="166" t="str">
        <f t="shared" si="241"/>
        <v/>
      </c>
      <c r="DE431" s="164" t="str">
        <f t="shared" si="242"/>
        <v/>
      </c>
      <c r="DF431" s="166" t="str">
        <f t="shared" si="243"/>
        <v/>
      </c>
      <c r="DG431" s="164" t="str">
        <f t="shared" si="244"/>
        <v/>
      </c>
      <c r="DH431" s="166" t="str">
        <f t="shared" si="245"/>
        <v/>
      </c>
      <c r="DI431" s="164" t="str">
        <f>IFERROR(INDEX(DC$422:DC$470,_xlfn.AGGREGATE(15,6,(ROW(DC$422:DC$470)-ROW(DC$422)+1)/(DC$422:DC$470&lt;&gt;""),ROWS(DI$1:DI10))),"")</f>
        <v/>
      </c>
      <c r="DJ431" s="165" t="str">
        <f>IFERROR(INDEX(DD$422:DD$470,_xlfn.AGGREGATE(15,6,(ROW(DD$422:DD$470)-ROW(DD$422)+1)/(DD$422:DD$470&lt;&gt;""),ROWS(DJ$1:DJ10))),"")</f>
        <v/>
      </c>
      <c r="DK431" s="166" t="str">
        <f t="shared" si="246"/>
        <v/>
      </c>
      <c r="DL431" s="164" t="str">
        <f>IFERROR(INDEX(DE$422:DE$470,_xlfn.AGGREGATE(15,6,(ROW(DE$422:DE$470)-ROW(DE$422)+1)/(DE$422:DE$470&lt;&gt;""),ROWS(DL$1:DL10))),"")</f>
        <v/>
      </c>
      <c r="DM431" s="165" t="str">
        <f>IFERROR(INDEX(DF$422:DF$470,_xlfn.AGGREGATE(15,6,(ROW(DF$422:DF$470)-ROW(DF$422)+1)/(DF$422:DF$470&lt;&gt;""),ROWS(DM$1:DM10))),"")</f>
        <v/>
      </c>
      <c r="DN431" s="166" t="str">
        <f t="shared" si="247"/>
        <v/>
      </c>
      <c r="DO431" s="164" t="str">
        <f>IFERROR(INDEX(DG$422:DG$470,_xlfn.AGGREGATE(15,6,(ROW(DG$422:DG$470)-ROW(DG$422)+1)/(DG$422:DG$470&lt;&gt;""),ROWS(DO$1:DO10))),"")</f>
        <v/>
      </c>
      <c r="DP431" s="165" t="str">
        <f>IFERROR(INDEX(DH$422:DH$470,_xlfn.AGGREGATE(15,6,(ROW(DH$422:DH$470)-ROW(DH$422)+1)/(DH$422:DH$470&lt;&gt;""),ROWS(DP$1:DP10))),"")</f>
        <v/>
      </c>
      <c r="DQ431" s="166" t="str">
        <f t="shared" si="248"/>
        <v/>
      </c>
      <c r="DV431" s="145">
        <v>2024</v>
      </c>
      <c r="DW431" s="235" t="e">
        <f t="shared" ca="1" si="232"/>
        <v>#REF!</v>
      </c>
      <c r="DZ431" s="135" t="s">
        <v>92</v>
      </c>
      <c r="EA431" s="33">
        <f t="shared" ref="EA431:EB433" si="265">IF($EA$420="Linear",0,IF($EA$420="2nd Poly",0,IF($EA$420="3rd Poly",0,IF($EA$420="Exp",CR423))))</f>
        <v>0</v>
      </c>
      <c r="EB431" s="33">
        <f t="shared" si="265"/>
        <v>0</v>
      </c>
      <c r="EC431" s="33" t="str">
        <f>IF($EA$420="Linear","N/A",IF($EA$420="2nd Poly","N/A",IF($EA$420="3rd Poly","N/A","High")))</f>
        <v>N/A</v>
      </c>
      <c r="ED431" s="33"/>
      <c r="EE431" s="33"/>
    </row>
    <row r="432" spans="1:135" ht="13.8" x14ac:dyDescent="0.45">
      <c r="A432" s="148" t="s">
        <v>88</v>
      </c>
      <c r="B432" s="128">
        <v>2022</v>
      </c>
      <c r="C432" s="1004"/>
      <c r="D432" s="987"/>
      <c r="E432" s="1005"/>
      <c r="F432" s="992"/>
      <c r="G432" s="199"/>
      <c r="H432" s="200"/>
      <c r="I432" s="1111"/>
      <c r="J432" s="199"/>
      <c r="K432" s="200"/>
      <c r="L432" s="201"/>
      <c r="M432" s="200"/>
      <c r="N432" s="29" t="s">
        <v>119</v>
      </c>
      <c r="O432" s="120"/>
      <c r="P432" s="120"/>
      <c r="Q432" s="120"/>
      <c r="R432" s="29">
        <v>8</v>
      </c>
      <c r="S432" s="202" t="str">
        <f t="shared" si="233"/>
        <v/>
      </c>
      <c r="T432" s="202" t="str">
        <f t="shared" si="234"/>
        <v/>
      </c>
      <c r="U432" s="202" t="str">
        <f t="shared" si="235"/>
        <v/>
      </c>
      <c r="V432" s="20"/>
      <c r="W432" s="238" t="e">
        <f t="shared" si="236"/>
        <v>#N/A</v>
      </c>
      <c r="X432" s="238" t="e">
        <f t="shared" si="237"/>
        <v>#N/A</v>
      </c>
      <c r="Y432" s="238" t="e">
        <f t="shared" si="238"/>
        <v>#N/A</v>
      </c>
      <c r="AA432" s="120"/>
      <c r="AB432" s="120"/>
      <c r="AC432" s="120"/>
      <c r="AD432" s="120"/>
      <c r="AE432" s="120"/>
      <c r="AF432" s="120"/>
      <c r="AG432" s="120"/>
      <c r="AH432" s="120"/>
      <c r="AI432" s="120"/>
      <c r="AJ432" s="120"/>
      <c r="AK432" s="120"/>
      <c r="AL432" s="120"/>
      <c r="AM432" s="120"/>
      <c r="AN432" s="120"/>
      <c r="BR432" s="180">
        <v>2020</v>
      </c>
      <c r="BS432" s="22">
        <v>6</v>
      </c>
      <c r="BT432" s="198" t="e">
        <f t="shared" si="249"/>
        <v>#DIV/0!</v>
      </c>
      <c r="BU432" s="276" t="e">
        <f t="shared" si="250"/>
        <v>#DIV/0!</v>
      </c>
      <c r="BV432" s="203" t="e">
        <f t="shared" si="251"/>
        <v>#DIV/0!</v>
      </c>
      <c r="BY432" s="180">
        <v>2020</v>
      </c>
      <c r="BZ432" s="22">
        <v>6</v>
      </c>
      <c r="CA432" s="198" t="e">
        <f t="shared" ca="1" si="252"/>
        <v>#REF!</v>
      </c>
      <c r="CB432" s="198" t="e">
        <f t="shared" ca="1" si="253"/>
        <v>#REF!</v>
      </c>
      <c r="CC432" s="276" t="e">
        <f t="shared" ca="1" si="264"/>
        <v>#REF!</v>
      </c>
      <c r="CD432" s="203" t="e">
        <f t="shared" ca="1" si="254"/>
        <v>#REF!</v>
      </c>
      <c r="CG432" s="180">
        <v>2020</v>
      </c>
      <c r="CH432" s="22">
        <v>6</v>
      </c>
      <c r="CI432" s="198" t="e">
        <f t="shared" ca="1" si="255"/>
        <v>#REF!</v>
      </c>
      <c r="CJ432" s="198" t="e">
        <f t="shared" ca="1" si="256"/>
        <v>#REF!</v>
      </c>
      <c r="CK432" s="198" t="e">
        <f t="shared" ca="1" si="257"/>
        <v>#REF!</v>
      </c>
      <c r="CL432" s="276" t="e">
        <f t="shared" ca="1" si="258"/>
        <v>#REF!</v>
      </c>
      <c r="CM432" s="203" t="e">
        <f t="shared" ca="1" si="259"/>
        <v>#REF!</v>
      </c>
      <c r="CP432" s="180">
        <v>2020</v>
      </c>
      <c r="CQ432" s="22">
        <v>6</v>
      </c>
      <c r="CR432" s="198" t="e">
        <f t="shared" ca="1" si="260"/>
        <v>#REF!</v>
      </c>
      <c r="CS432" s="276" t="e">
        <f t="shared" ca="1" si="261"/>
        <v>#REF!</v>
      </c>
      <c r="CT432" s="203" t="e">
        <f t="shared" ca="1" si="262"/>
        <v>#REF!</v>
      </c>
      <c r="CZ432" s="164" t="b">
        <f t="shared" si="239"/>
        <v>0</v>
      </c>
      <c r="DA432" s="165" t="b">
        <f t="shared" si="239"/>
        <v>0</v>
      </c>
      <c r="DB432" s="166" t="b">
        <f t="shared" si="239"/>
        <v>0</v>
      </c>
      <c r="DC432" s="164" t="str">
        <f t="shared" si="240"/>
        <v/>
      </c>
      <c r="DD432" s="166" t="str">
        <f t="shared" si="241"/>
        <v/>
      </c>
      <c r="DE432" s="164" t="str">
        <f t="shared" si="242"/>
        <v/>
      </c>
      <c r="DF432" s="166" t="str">
        <f t="shared" si="243"/>
        <v/>
      </c>
      <c r="DG432" s="164" t="str">
        <f t="shared" si="244"/>
        <v/>
      </c>
      <c r="DH432" s="166" t="str">
        <f t="shared" si="245"/>
        <v/>
      </c>
      <c r="DI432" s="164" t="str">
        <f>IFERROR(INDEX(DC$422:DC$470,_xlfn.AGGREGATE(15,6,(ROW(DC$422:DC$470)-ROW(DC$422)+1)/(DC$422:DC$470&lt;&gt;""),ROWS(DI$1:DI11))),"")</f>
        <v/>
      </c>
      <c r="DJ432" s="165" t="str">
        <f>IFERROR(INDEX(DD$422:DD$470,_xlfn.AGGREGATE(15,6,(ROW(DD$422:DD$470)-ROW(DD$422)+1)/(DD$422:DD$470&lt;&gt;""),ROWS(DJ$1:DJ11))),"")</f>
        <v/>
      </c>
      <c r="DK432" s="166" t="str">
        <f t="shared" si="246"/>
        <v/>
      </c>
      <c r="DL432" s="164" t="str">
        <f>IFERROR(INDEX(DE$422:DE$470,_xlfn.AGGREGATE(15,6,(ROW(DE$422:DE$470)-ROW(DE$422)+1)/(DE$422:DE$470&lt;&gt;""),ROWS(DL$1:DL11))),"")</f>
        <v/>
      </c>
      <c r="DM432" s="165" t="str">
        <f>IFERROR(INDEX(DF$422:DF$470,_xlfn.AGGREGATE(15,6,(ROW(DF$422:DF$470)-ROW(DF$422)+1)/(DF$422:DF$470&lt;&gt;""),ROWS(DM$1:DM11))),"")</f>
        <v/>
      </c>
      <c r="DN432" s="166" t="str">
        <f t="shared" si="247"/>
        <v/>
      </c>
      <c r="DO432" s="164" t="str">
        <f>IFERROR(INDEX(DG$422:DG$470,_xlfn.AGGREGATE(15,6,(ROW(DG$422:DG$470)-ROW(DG$422)+1)/(DG$422:DG$470&lt;&gt;""),ROWS(DO$1:DO11))),"")</f>
        <v/>
      </c>
      <c r="DP432" s="165" t="str">
        <f>IFERROR(INDEX(DH$422:DH$470,_xlfn.AGGREGATE(15,6,(ROW(DH$422:DH$470)-ROW(DH$422)+1)/(DH$422:DH$470&lt;&gt;""),ROWS(DP$1:DP11))),"")</f>
        <v/>
      </c>
      <c r="DQ432" s="166" t="str">
        <f t="shared" si="248"/>
        <v/>
      </c>
      <c r="DR432" s="65"/>
      <c r="DV432" s="145">
        <v>2025</v>
      </c>
      <c r="DW432" s="235" t="e">
        <f t="shared" ca="1" si="232"/>
        <v>#REF!</v>
      </c>
      <c r="DZ432" s="135" t="s">
        <v>92</v>
      </c>
      <c r="EA432" s="33">
        <f t="shared" si="265"/>
        <v>0</v>
      </c>
      <c r="EB432" s="33">
        <f t="shared" si="265"/>
        <v>0</v>
      </c>
      <c r="EC432" s="33" t="str">
        <f>IF($EA$420="Linear","N/A",IF($EA$420="2nd Poly","N/A",IF($EA$420="3rd Poly","N/A","Medium")))</f>
        <v>N/A</v>
      </c>
    </row>
    <row r="433" spans="1:135" ht="13.8" x14ac:dyDescent="0.45">
      <c r="B433" s="128">
        <v>2023</v>
      </c>
      <c r="C433" s="1004"/>
      <c r="D433" s="987"/>
      <c r="E433" s="1006"/>
      <c r="F433" s="992"/>
      <c r="G433" s="199"/>
      <c r="H433" s="200"/>
      <c r="I433" s="1111"/>
      <c r="J433" s="199"/>
      <c r="K433" s="200"/>
      <c r="L433" s="201"/>
      <c r="M433" s="200"/>
      <c r="N433" s="29" t="s">
        <v>119</v>
      </c>
      <c r="O433" s="120"/>
      <c r="P433" s="120"/>
      <c r="Q433" s="120"/>
      <c r="R433" s="29">
        <v>9</v>
      </c>
      <c r="S433" s="202" t="str">
        <f t="shared" si="233"/>
        <v/>
      </c>
      <c r="T433" s="202" t="str">
        <f t="shared" si="234"/>
        <v/>
      </c>
      <c r="U433" s="202" t="str">
        <f t="shared" si="235"/>
        <v/>
      </c>
      <c r="V433" s="20"/>
      <c r="W433" s="238" t="e">
        <f t="shared" si="236"/>
        <v>#N/A</v>
      </c>
      <c r="X433" s="238" t="e">
        <f t="shared" si="237"/>
        <v>#N/A</v>
      </c>
      <c r="Y433" s="238" t="e">
        <f t="shared" si="238"/>
        <v>#N/A</v>
      </c>
      <c r="AA433" s="120"/>
      <c r="AB433" s="120"/>
      <c r="AC433" s="120"/>
      <c r="AD433" s="120"/>
      <c r="AE433" s="120"/>
      <c r="AF433" s="120"/>
      <c r="AG433" s="120"/>
      <c r="AH433" s="120"/>
      <c r="AI433" s="120"/>
      <c r="AJ433" s="120"/>
      <c r="AK433" s="120"/>
      <c r="AL433" s="120"/>
      <c r="AM433" s="120"/>
      <c r="AN433" s="120"/>
      <c r="BR433" s="180">
        <v>2021</v>
      </c>
      <c r="BS433" s="22">
        <v>7</v>
      </c>
      <c r="BT433" s="198" t="e">
        <f t="shared" si="249"/>
        <v>#DIV/0!</v>
      </c>
      <c r="BU433" s="276" t="e">
        <f t="shared" si="250"/>
        <v>#DIV/0!</v>
      </c>
      <c r="BV433" s="205" t="e">
        <f t="shared" si="251"/>
        <v>#DIV/0!</v>
      </c>
      <c r="BY433" s="180">
        <v>2021</v>
      </c>
      <c r="BZ433" s="22">
        <v>7</v>
      </c>
      <c r="CA433" s="198" t="e">
        <f t="shared" ca="1" si="252"/>
        <v>#REF!</v>
      </c>
      <c r="CB433" s="198" t="e">
        <f t="shared" ca="1" si="253"/>
        <v>#REF!</v>
      </c>
      <c r="CC433" s="276" t="e">
        <f t="shared" ca="1" si="264"/>
        <v>#REF!</v>
      </c>
      <c r="CD433" s="205" t="e">
        <f t="shared" ca="1" si="254"/>
        <v>#REF!</v>
      </c>
      <c r="CG433" s="180">
        <v>2021</v>
      </c>
      <c r="CH433" s="22">
        <v>7</v>
      </c>
      <c r="CI433" s="198" t="e">
        <f t="shared" ca="1" si="255"/>
        <v>#REF!</v>
      </c>
      <c r="CJ433" s="198" t="e">
        <f t="shared" ca="1" si="256"/>
        <v>#REF!</v>
      </c>
      <c r="CK433" s="198" t="e">
        <f t="shared" ca="1" si="257"/>
        <v>#REF!</v>
      </c>
      <c r="CL433" s="276" t="e">
        <f t="shared" ca="1" si="258"/>
        <v>#REF!</v>
      </c>
      <c r="CM433" s="205" t="e">
        <f t="shared" ca="1" si="259"/>
        <v>#REF!</v>
      </c>
      <c r="CP433" s="180">
        <v>2021</v>
      </c>
      <c r="CQ433" s="22">
        <v>7</v>
      </c>
      <c r="CR433" s="198" t="e">
        <f t="shared" ca="1" si="260"/>
        <v>#REF!</v>
      </c>
      <c r="CS433" s="276" t="e">
        <f t="shared" ca="1" si="261"/>
        <v>#REF!</v>
      </c>
      <c r="CT433" s="205" t="e">
        <f t="shared" ca="1" si="262"/>
        <v>#REF!</v>
      </c>
      <c r="CZ433" s="164" t="b">
        <f t="shared" si="239"/>
        <v>0</v>
      </c>
      <c r="DA433" s="165" t="b">
        <f t="shared" si="239"/>
        <v>0</v>
      </c>
      <c r="DB433" s="166" t="b">
        <f t="shared" si="239"/>
        <v>0</v>
      </c>
      <c r="DC433" s="164" t="str">
        <f t="shared" si="240"/>
        <v/>
      </c>
      <c r="DD433" s="166" t="str">
        <f t="shared" si="241"/>
        <v/>
      </c>
      <c r="DE433" s="164" t="str">
        <f t="shared" si="242"/>
        <v/>
      </c>
      <c r="DF433" s="166" t="str">
        <f t="shared" si="243"/>
        <v/>
      </c>
      <c r="DG433" s="164" t="str">
        <f t="shared" si="244"/>
        <v/>
      </c>
      <c r="DH433" s="166" t="str">
        <f t="shared" si="245"/>
        <v/>
      </c>
      <c r="DI433" s="164" t="str">
        <f>IFERROR(INDEX(DC$422:DC$470,_xlfn.AGGREGATE(15,6,(ROW(DC$422:DC$470)-ROW(DC$422)+1)/(DC$422:DC$470&lt;&gt;""),ROWS(DI$1:DI12))),"")</f>
        <v/>
      </c>
      <c r="DJ433" s="165" t="str">
        <f>IFERROR(INDEX(DD$422:DD$470,_xlfn.AGGREGATE(15,6,(ROW(DD$422:DD$470)-ROW(DD$422)+1)/(DD$422:DD$470&lt;&gt;""),ROWS(DJ$1:DJ12))),"")</f>
        <v/>
      </c>
      <c r="DK433" s="166" t="str">
        <f t="shared" si="246"/>
        <v/>
      </c>
      <c r="DL433" s="164" t="str">
        <f>IFERROR(INDEX(DE$422:DE$470,_xlfn.AGGREGATE(15,6,(ROW(DE$422:DE$470)-ROW(DE$422)+1)/(DE$422:DE$470&lt;&gt;""),ROWS(DL$1:DL12))),"")</f>
        <v/>
      </c>
      <c r="DM433" s="165" t="str">
        <f>IFERROR(INDEX(DF$422:DF$470,_xlfn.AGGREGATE(15,6,(ROW(DF$422:DF$470)-ROW(DF$422)+1)/(DF$422:DF$470&lt;&gt;""),ROWS(DM$1:DM12))),"")</f>
        <v/>
      </c>
      <c r="DN433" s="166" t="str">
        <f t="shared" si="247"/>
        <v/>
      </c>
      <c r="DO433" s="164" t="str">
        <f>IFERROR(INDEX(DG$422:DG$470,_xlfn.AGGREGATE(15,6,(ROW(DG$422:DG$470)-ROW(DG$422)+1)/(DG$422:DG$470&lt;&gt;""),ROWS(DO$1:DO12))),"")</f>
        <v/>
      </c>
      <c r="DP433" s="165" t="str">
        <f>IFERROR(INDEX(DH$422:DH$470,_xlfn.AGGREGATE(15,6,(ROW(DH$422:DH$470)-ROW(DH$422)+1)/(DH$422:DH$470&lt;&gt;""),ROWS(DP$1:DP12))),"")</f>
        <v/>
      </c>
      <c r="DQ433" s="166" t="str">
        <f t="shared" si="248"/>
        <v/>
      </c>
      <c r="DR433" s="65"/>
      <c r="DV433" s="145">
        <v>2026</v>
      </c>
      <c r="DW433" s="235" t="e">
        <f t="shared" ca="1" si="232"/>
        <v>#REF!</v>
      </c>
      <c r="DZ433" s="135" t="s">
        <v>92</v>
      </c>
      <c r="EA433" s="33">
        <f t="shared" si="265"/>
        <v>0</v>
      </c>
      <c r="EB433" s="33">
        <f t="shared" si="265"/>
        <v>0</v>
      </c>
      <c r="EC433" s="33" t="str">
        <f>IF($EA$420="Linear","N/A",IF($EA$420="2nd Poly","N/A",IF($EA$420="3rd Poly","N/A","Low")))</f>
        <v>N/A</v>
      </c>
    </row>
    <row r="434" spans="1:135" ht="13.8" x14ac:dyDescent="0.45">
      <c r="B434" s="128">
        <v>2024</v>
      </c>
      <c r="C434" s="1004"/>
      <c r="D434" s="987"/>
      <c r="E434" s="1006"/>
      <c r="F434" s="993"/>
      <c r="G434" s="247"/>
      <c r="H434" s="245"/>
      <c r="I434" s="1112"/>
      <c r="J434" s="247"/>
      <c r="K434" s="245"/>
      <c r="L434" s="246"/>
      <c r="M434" s="245"/>
      <c r="N434" s="29" t="s">
        <v>119</v>
      </c>
      <c r="O434" s="120"/>
      <c r="P434" s="120"/>
      <c r="Q434" s="120"/>
      <c r="R434" s="29">
        <v>10</v>
      </c>
      <c r="S434" s="238" t="str">
        <f t="shared" si="233"/>
        <v/>
      </c>
      <c r="T434" s="238" t="str">
        <f t="shared" si="234"/>
        <v/>
      </c>
      <c r="U434" s="238" t="str">
        <f t="shared" si="235"/>
        <v/>
      </c>
      <c r="V434" s="20"/>
      <c r="W434" s="238" t="e">
        <f t="shared" si="236"/>
        <v>#N/A</v>
      </c>
      <c r="X434" s="238" t="e">
        <f t="shared" si="237"/>
        <v>#N/A</v>
      </c>
      <c r="Y434" s="238" t="e">
        <f t="shared" si="238"/>
        <v>#N/A</v>
      </c>
      <c r="AA434" s="120"/>
      <c r="AB434" s="120"/>
      <c r="AC434" s="120"/>
      <c r="AD434" s="120"/>
      <c r="AE434" s="120"/>
      <c r="AF434" s="120"/>
      <c r="AG434" s="120"/>
      <c r="AH434" s="120"/>
      <c r="AI434" s="120"/>
      <c r="AJ434" s="120"/>
      <c r="AK434" s="120"/>
      <c r="AL434" s="120"/>
      <c r="AM434" s="120"/>
      <c r="AN434" s="120"/>
      <c r="BR434" s="180">
        <v>2022</v>
      </c>
      <c r="BS434" s="22">
        <v>8</v>
      </c>
      <c r="BT434" s="198" t="e">
        <f t="shared" si="249"/>
        <v>#DIV/0!</v>
      </c>
      <c r="BU434" s="276" t="e">
        <f t="shared" si="250"/>
        <v>#DIV/0!</v>
      </c>
      <c r="BV434" s="205" t="e">
        <f t="shared" si="251"/>
        <v>#DIV/0!</v>
      </c>
      <c r="BY434" s="180">
        <v>2022</v>
      </c>
      <c r="BZ434" s="22">
        <v>8</v>
      </c>
      <c r="CA434" s="198" t="e">
        <f t="shared" ca="1" si="252"/>
        <v>#REF!</v>
      </c>
      <c r="CB434" s="198" t="e">
        <f t="shared" ca="1" si="253"/>
        <v>#REF!</v>
      </c>
      <c r="CC434" s="276" t="e">
        <f t="shared" ca="1" si="264"/>
        <v>#REF!</v>
      </c>
      <c r="CD434" s="205" t="e">
        <f t="shared" ca="1" si="254"/>
        <v>#REF!</v>
      </c>
      <c r="CG434" s="180">
        <v>2022</v>
      </c>
      <c r="CH434" s="22">
        <v>8</v>
      </c>
      <c r="CI434" s="198" t="e">
        <f t="shared" ca="1" si="255"/>
        <v>#REF!</v>
      </c>
      <c r="CJ434" s="198" t="e">
        <f t="shared" ca="1" si="256"/>
        <v>#REF!</v>
      </c>
      <c r="CK434" s="198" t="e">
        <f t="shared" ca="1" si="257"/>
        <v>#REF!</v>
      </c>
      <c r="CL434" s="276" t="e">
        <f t="shared" ca="1" si="258"/>
        <v>#REF!</v>
      </c>
      <c r="CM434" s="205" t="e">
        <f t="shared" ca="1" si="259"/>
        <v>#REF!</v>
      </c>
      <c r="CP434" s="180">
        <v>2022</v>
      </c>
      <c r="CQ434" s="22">
        <v>8</v>
      </c>
      <c r="CR434" s="198" t="e">
        <f t="shared" ca="1" si="260"/>
        <v>#REF!</v>
      </c>
      <c r="CS434" s="276" t="e">
        <f t="shared" ca="1" si="261"/>
        <v>#REF!</v>
      </c>
      <c r="CT434" s="205" t="e">
        <f t="shared" ca="1" si="262"/>
        <v>#REF!</v>
      </c>
      <c r="CZ434" s="164" t="b">
        <f t="shared" si="239"/>
        <v>0</v>
      </c>
      <c r="DA434" s="165" t="b">
        <f t="shared" si="239"/>
        <v>0</v>
      </c>
      <c r="DB434" s="166" t="b">
        <f t="shared" si="239"/>
        <v>0</v>
      </c>
      <c r="DC434" s="164" t="str">
        <f t="shared" si="240"/>
        <v/>
      </c>
      <c r="DD434" s="166" t="str">
        <f t="shared" si="241"/>
        <v/>
      </c>
      <c r="DE434" s="164" t="str">
        <f t="shared" si="242"/>
        <v/>
      </c>
      <c r="DF434" s="166" t="str">
        <f t="shared" si="243"/>
        <v/>
      </c>
      <c r="DG434" s="164" t="str">
        <f t="shared" si="244"/>
        <v/>
      </c>
      <c r="DH434" s="166" t="str">
        <f t="shared" si="245"/>
        <v/>
      </c>
      <c r="DI434" s="164" t="str">
        <f>IFERROR(INDEX(DC$422:DC$470,_xlfn.AGGREGATE(15,6,(ROW(DC$422:DC$470)-ROW(DC$422)+1)/(DC$422:DC$470&lt;&gt;""),ROWS(DI$1:DI13))),"")</f>
        <v/>
      </c>
      <c r="DJ434" s="165" t="str">
        <f>IFERROR(INDEX(DD$422:DD$470,_xlfn.AGGREGATE(15,6,(ROW(DD$422:DD$470)-ROW(DD$422)+1)/(DD$422:DD$470&lt;&gt;""),ROWS(DJ$1:DJ13))),"")</f>
        <v/>
      </c>
      <c r="DK434" s="166" t="str">
        <f t="shared" si="246"/>
        <v/>
      </c>
      <c r="DL434" s="164" t="str">
        <f>IFERROR(INDEX(DE$422:DE$470,_xlfn.AGGREGATE(15,6,(ROW(DE$422:DE$470)-ROW(DE$422)+1)/(DE$422:DE$470&lt;&gt;""),ROWS(DL$1:DL13))),"")</f>
        <v/>
      </c>
      <c r="DM434" s="165" t="str">
        <f>IFERROR(INDEX(DF$422:DF$470,_xlfn.AGGREGATE(15,6,(ROW(DF$422:DF$470)-ROW(DF$422)+1)/(DF$422:DF$470&lt;&gt;""),ROWS(DM$1:DM13))),"")</f>
        <v/>
      </c>
      <c r="DN434" s="166" t="str">
        <f t="shared" si="247"/>
        <v/>
      </c>
      <c r="DO434" s="164" t="str">
        <f>IFERROR(INDEX(DG$422:DG$470,_xlfn.AGGREGATE(15,6,(ROW(DG$422:DG$470)-ROW(DG$422)+1)/(DG$422:DG$470&lt;&gt;""),ROWS(DO$1:DO13))),"")</f>
        <v/>
      </c>
      <c r="DP434" s="165" t="str">
        <f>IFERROR(INDEX(DH$422:DH$470,_xlfn.AGGREGATE(15,6,(ROW(DH$422:DH$470)-ROW(DH$422)+1)/(DH$422:DH$470&lt;&gt;""),ROWS(DP$1:DP13))),"")</f>
        <v/>
      </c>
      <c r="DQ434" s="166" t="str">
        <f t="shared" si="248"/>
        <v/>
      </c>
      <c r="DR434" s="65"/>
      <c r="DV434" s="145">
        <v>2027</v>
      </c>
      <c r="DW434" s="235" t="e">
        <f t="shared" ca="1" si="232"/>
        <v>#REF!</v>
      </c>
    </row>
    <row r="435" spans="1:135" ht="13.8" x14ac:dyDescent="0.45">
      <c r="B435" s="128">
        <v>2025</v>
      </c>
      <c r="C435" s="1004"/>
      <c r="D435" s="987"/>
      <c r="E435" s="1006"/>
      <c r="F435" s="993"/>
      <c r="G435" s="247"/>
      <c r="H435" s="245"/>
      <c r="I435" s="1112"/>
      <c r="J435" s="247"/>
      <c r="K435" s="245"/>
      <c r="L435" s="246"/>
      <c r="M435" s="245"/>
      <c r="N435" s="29" t="s">
        <v>119</v>
      </c>
      <c r="O435" s="120"/>
      <c r="P435" s="120"/>
      <c r="Q435" s="120"/>
      <c r="R435" s="29">
        <v>11</v>
      </c>
      <c r="S435" s="238" t="str">
        <f t="shared" si="233"/>
        <v/>
      </c>
      <c r="T435" s="238" t="str">
        <f t="shared" si="234"/>
        <v/>
      </c>
      <c r="U435" s="238" t="str">
        <f t="shared" si="235"/>
        <v/>
      </c>
      <c r="W435" s="238" t="e">
        <f t="shared" si="236"/>
        <v>#N/A</v>
      </c>
      <c r="X435" s="238" t="e">
        <f t="shared" si="237"/>
        <v>#N/A</v>
      </c>
      <c r="Y435" s="238" t="e">
        <f t="shared" si="238"/>
        <v>#N/A</v>
      </c>
      <c r="AA435" s="120"/>
      <c r="AB435" s="120"/>
      <c r="AC435" s="120"/>
      <c r="AD435" s="120"/>
      <c r="AE435" s="120"/>
      <c r="AF435" s="120"/>
      <c r="AG435" s="120"/>
      <c r="AH435" s="120"/>
      <c r="AI435" s="120"/>
      <c r="AJ435" s="120"/>
      <c r="AK435" s="120"/>
      <c r="AL435" s="120"/>
      <c r="AM435" s="120"/>
      <c r="AN435" s="120"/>
      <c r="BR435" s="180">
        <v>2023</v>
      </c>
      <c r="BS435" s="22">
        <v>9</v>
      </c>
      <c r="BT435" s="198" t="e">
        <f t="shared" si="249"/>
        <v>#DIV/0!</v>
      </c>
      <c r="BU435" s="276" t="e">
        <f t="shared" si="250"/>
        <v>#DIV/0!</v>
      </c>
      <c r="BV435" s="205" t="e">
        <f t="shared" si="251"/>
        <v>#DIV/0!</v>
      </c>
      <c r="BY435" s="180">
        <v>2023</v>
      </c>
      <c r="BZ435" s="22">
        <v>9</v>
      </c>
      <c r="CA435" s="198" t="e">
        <f t="shared" ca="1" si="252"/>
        <v>#REF!</v>
      </c>
      <c r="CB435" s="198" t="e">
        <f t="shared" ca="1" si="253"/>
        <v>#REF!</v>
      </c>
      <c r="CC435" s="276" t="e">
        <f t="shared" ca="1" si="264"/>
        <v>#REF!</v>
      </c>
      <c r="CD435" s="205" t="e">
        <f t="shared" ca="1" si="254"/>
        <v>#REF!</v>
      </c>
      <c r="CG435" s="180">
        <v>2023</v>
      </c>
      <c r="CH435" s="22">
        <v>9</v>
      </c>
      <c r="CI435" s="198" t="e">
        <f t="shared" ca="1" si="255"/>
        <v>#REF!</v>
      </c>
      <c r="CJ435" s="198" t="e">
        <f t="shared" ca="1" si="256"/>
        <v>#REF!</v>
      </c>
      <c r="CK435" s="198" t="e">
        <f t="shared" ca="1" si="257"/>
        <v>#REF!</v>
      </c>
      <c r="CL435" s="276" t="e">
        <f t="shared" ca="1" si="258"/>
        <v>#REF!</v>
      </c>
      <c r="CM435" s="205" t="e">
        <f t="shared" ca="1" si="259"/>
        <v>#REF!</v>
      </c>
      <c r="CP435" s="180">
        <v>2023</v>
      </c>
      <c r="CQ435" s="22">
        <v>9</v>
      </c>
      <c r="CR435" s="198" t="e">
        <f t="shared" ca="1" si="260"/>
        <v>#REF!</v>
      </c>
      <c r="CS435" s="276" t="e">
        <f t="shared" ca="1" si="261"/>
        <v>#REF!</v>
      </c>
      <c r="CT435" s="205" t="e">
        <f t="shared" ca="1" si="262"/>
        <v>#REF!</v>
      </c>
      <c r="CZ435" s="164" t="b">
        <f t="shared" si="239"/>
        <v>0</v>
      </c>
      <c r="DA435" s="165" t="b">
        <f t="shared" si="239"/>
        <v>0</v>
      </c>
      <c r="DB435" s="166" t="b">
        <f t="shared" si="239"/>
        <v>0</v>
      </c>
      <c r="DC435" s="164" t="str">
        <f t="shared" si="240"/>
        <v/>
      </c>
      <c r="DD435" s="166" t="str">
        <f t="shared" si="241"/>
        <v/>
      </c>
      <c r="DE435" s="164" t="str">
        <f t="shared" si="242"/>
        <v/>
      </c>
      <c r="DF435" s="166" t="str">
        <f t="shared" si="243"/>
        <v/>
      </c>
      <c r="DG435" s="164" t="str">
        <f t="shared" si="244"/>
        <v/>
      </c>
      <c r="DH435" s="166" t="str">
        <f t="shared" si="245"/>
        <v/>
      </c>
      <c r="DI435" s="164" t="str">
        <f>IFERROR(INDEX(DC$422:DC$470,_xlfn.AGGREGATE(15,6,(ROW(DC$422:DC$470)-ROW(DC$422)+1)/(DC$422:DC$470&lt;&gt;""),ROWS(DI$1:DI14))),"")</f>
        <v/>
      </c>
      <c r="DJ435" s="165" t="str">
        <f>IFERROR(INDEX(DD$422:DD$470,_xlfn.AGGREGATE(15,6,(ROW(DD$422:DD$470)-ROW(DD$422)+1)/(DD$422:DD$470&lt;&gt;""),ROWS(DJ$1:DJ14))),"")</f>
        <v/>
      </c>
      <c r="DK435" s="166" t="str">
        <f t="shared" si="246"/>
        <v/>
      </c>
      <c r="DL435" s="164" t="str">
        <f>IFERROR(INDEX(DE$422:DE$470,_xlfn.AGGREGATE(15,6,(ROW(DE$422:DE$470)-ROW(DE$422)+1)/(DE$422:DE$470&lt;&gt;""),ROWS(DL$1:DL14))),"")</f>
        <v/>
      </c>
      <c r="DM435" s="165" t="str">
        <f>IFERROR(INDEX(DF$422:DF$470,_xlfn.AGGREGATE(15,6,(ROW(DF$422:DF$470)-ROW(DF$422)+1)/(DF$422:DF$470&lt;&gt;""),ROWS(DM$1:DM14))),"")</f>
        <v/>
      </c>
      <c r="DN435" s="166" t="str">
        <f t="shared" si="247"/>
        <v/>
      </c>
      <c r="DO435" s="164" t="str">
        <f>IFERROR(INDEX(DG$422:DG$470,_xlfn.AGGREGATE(15,6,(ROW(DG$422:DG$470)-ROW(DG$422)+1)/(DG$422:DG$470&lt;&gt;""),ROWS(DO$1:DO14))),"")</f>
        <v/>
      </c>
      <c r="DP435" s="165" t="str">
        <f>IFERROR(INDEX(DH$422:DH$470,_xlfn.AGGREGATE(15,6,(ROW(DH$422:DH$470)-ROW(DH$422)+1)/(DH$422:DH$470&lt;&gt;""),ROWS(DP$1:DP14))),"")</f>
        <v/>
      </c>
      <c r="DQ435" s="166" t="str">
        <f t="shared" si="248"/>
        <v/>
      </c>
      <c r="DR435" s="65"/>
      <c r="DV435" s="145">
        <v>2028</v>
      </c>
      <c r="DW435" s="235" t="e">
        <f t="shared" ca="1" si="232"/>
        <v>#REF!</v>
      </c>
    </row>
    <row r="436" spans="1:135" ht="13.8" x14ac:dyDescent="0.45">
      <c r="B436" s="128">
        <v>2026</v>
      </c>
      <c r="C436" s="1004"/>
      <c r="D436" s="987"/>
      <c r="E436" s="1006"/>
      <c r="F436" s="993"/>
      <c r="G436" s="247"/>
      <c r="H436" s="245"/>
      <c r="I436" s="1112"/>
      <c r="J436" s="247"/>
      <c r="K436" s="245"/>
      <c r="L436" s="246"/>
      <c r="M436" s="245"/>
      <c r="N436" s="29" t="s">
        <v>119</v>
      </c>
      <c r="O436" s="120"/>
      <c r="P436" s="120"/>
      <c r="Q436" s="120"/>
      <c r="R436" s="29">
        <v>12</v>
      </c>
      <c r="S436" s="238" t="str">
        <f t="shared" si="233"/>
        <v/>
      </c>
      <c r="T436" s="238" t="str">
        <f t="shared" si="234"/>
        <v/>
      </c>
      <c r="U436" s="238" t="str">
        <f t="shared" si="235"/>
        <v/>
      </c>
      <c r="W436" s="238" t="e">
        <f t="shared" si="236"/>
        <v>#N/A</v>
      </c>
      <c r="X436" s="238" t="e">
        <f t="shared" si="237"/>
        <v>#N/A</v>
      </c>
      <c r="Y436" s="238" t="e">
        <f t="shared" si="238"/>
        <v>#N/A</v>
      </c>
      <c r="AA436" s="120"/>
      <c r="AB436" s="120"/>
      <c r="AC436" s="120"/>
      <c r="AD436" s="120"/>
      <c r="AE436" s="120"/>
      <c r="AF436" s="120"/>
      <c r="AG436" s="120"/>
      <c r="AH436" s="120"/>
      <c r="AI436" s="120"/>
      <c r="AJ436" s="120"/>
      <c r="AK436" s="120"/>
      <c r="AL436" s="120"/>
      <c r="AM436" s="120"/>
      <c r="AN436" s="120"/>
      <c r="BR436" s="180">
        <v>2024</v>
      </c>
      <c r="BS436" s="22">
        <v>10</v>
      </c>
      <c r="BT436" s="198" t="e">
        <f t="shared" si="249"/>
        <v>#DIV/0!</v>
      </c>
      <c r="BU436" s="276" t="e">
        <f t="shared" si="250"/>
        <v>#DIV/0!</v>
      </c>
      <c r="BV436" s="205" t="e">
        <f t="shared" si="251"/>
        <v>#DIV/0!</v>
      </c>
      <c r="BY436" s="180">
        <v>2024</v>
      </c>
      <c r="BZ436" s="22">
        <v>10</v>
      </c>
      <c r="CA436" s="198" t="e">
        <f t="shared" ca="1" si="252"/>
        <v>#REF!</v>
      </c>
      <c r="CB436" s="198" t="e">
        <f t="shared" ca="1" si="253"/>
        <v>#REF!</v>
      </c>
      <c r="CC436" s="276" t="e">
        <f t="shared" ca="1" si="264"/>
        <v>#REF!</v>
      </c>
      <c r="CD436" s="205" t="e">
        <f t="shared" ca="1" si="254"/>
        <v>#REF!</v>
      </c>
      <c r="CG436" s="180">
        <v>2024</v>
      </c>
      <c r="CH436" s="22">
        <v>10</v>
      </c>
      <c r="CI436" s="198" t="e">
        <f t="shared" ca="1" si="255"/>
        <v>#REF!</v>
      </c>
      <c r="CJ436" s="198" t="e">
        <f t="shared" ca="1" si="256"/>
        <v>#REF!</v>
      </c>
      <c r="CK436" s="198" t="e">
        <f t="shared" ca="1" si="257"/>
        <v>#REF!</v>
      </c>
      <c r="CL436" s="276" t="e">
        <f t="shared" ca="1" si="258"/>
        <v>#REF!</v>
      </c>
      <c r="CM436" s="205" t="e">
        <f t="shared" ca="1" si="259"/>
        <v>#REF!</v>
      </c>
      <c r="CP436" s="180">
        <v>2024</v>
      </c>
      <c r="CQ436" s="22">
        <v>10</v>
      </c>
      <c r="CR436" s="198" t="e">
        <f t="shared" ca="1" si="260"/>
        <v>#REF!</v>
      </c>
      <c r="CS436" s="276" t="e">
        <f t="shared" ca="1" si="261"/>
        <v>#REF!</v>
      </c>
      <c r="CT436" s="205" t="e">
        <f t="shared" ca="1" si="262"/>
        <v>#REF!</v>
      </c>
      <c r="CZ436" s="164" t="b">
        <f t="shared" si="239"/>
        <v>0</v>
      </c>
      <c r="DA436" s="165" t="b">
        <f t="shared" si="239"/>
        <v>0</v>
      </c>
      <c r="DB436" s="166" t="b">
        <f t="shared" si="239"/>
        <v>0</v>
      </c>
      <c r="DC436" s="164" t="str">
        <f t="shared" si="240"/>
        <v/>
      </c>
      <c r="DD436" s="166" t="str">
        <f t="shared" si="241"/>
        <v/>
      </c>
      <c r="DE436" s="164" t="str">
        <f t="shared" si="242"/>
        <v/>
      </c>
      <c r="DF436" s="166" t="str">
        <f t="shared" si="243"/>
        <v/>
      </c>
      <c r="DG436" s="164" t="str">
        <f t="shared" si="244"/>
        <v/>
      </c>
      <c r="DH436" s="166" t="str">
        <f t="shared" si="245"/>
        <v/>
      </c>
      <c r="DI436" s="164" t="str">
        <f>IFERROR(INDEX(DC$422:DC$470,_xlfn.AGGREGATE(15,6,(ROW(DC$422:DC$470)-ROW(DC$422)+1)/(DC$422:DC$470&lt;&gt;""),ROWS(DI$1:DI15))),"")</f>
        <v/>
      </c>
      <c r="DJ436" s="165" t="str">
        <f>IFERROR(INDEX(DD$422:DD$470,_xlfn.AGGREGATE(15,6,(ROW(DD$422:DD$470)-ROW(DD$422)+1)/(DD$422:DD$470&lt;&gt;""),ROWS(DJ$1:DJ15))),"")</f>
        <v/>
      </c>
      <c r="DK436" s="166" t="str">
        <f t="shared" si="246"/>
        <v/>
      </c>
      <c r="DL436" s="164" t="str">
        <f>IFERROR(INDEX(DE$422:DE$470,_xlfn.AGGREGATE(15,6,(ROW(DE$422:DE$470)-ROW(DE$422)+1)/(DE$422:DE$470&lt;&gt;""),ROWS(DL$1:DL15))),"")</f>
        <v/>
      </c>
      <c r="DM436" s="165" t="str">
        <f>IFERROR(INDEX(DF$422:DF$470,_xlfn.AGGREGATE(15,6,(ROW(DF$422:DF$470)-ROW(DF$422)+1)/(DF$422:DF$470&lt;&gt;""),ROWS(DM$1:DM15))),"")</f>
        <v/>
      </c>
      <c r="DN436" s="166" t="str">
        <f t="shared" si="247"/>
        <v/>
      </c>
      <c r="DO436" s="164" t="str">
        <f>IFERROR(INDEX(DG$422:DG$470,_xlfn.AGGREGATE(15,6,(ROW(DG$422:DG$470)-ROW(DG$422)+1)/(DG$422:DG$470&lt;&gt;""),ROWS(DO$1:DO15))),"")</f>
        <v/>
      </c>
      <c r="DP436" s="165" t="str">
        <f>IFERROR(INDEX(DH$422:DH$470,_xlfn.AGGREGATE(15,6,(ROW(DH$422:DH$470)-ROW(DH$422)+1)/(DH$422:DH$470&lt;&gt;""),ROWS(DP$1:DP15))),"")</f>
        <v/>
      </c>
      <c r="DQ436" s="166" t="str">
        <f t="shared" si="248"/>
        <v/>
      </c>
      <c r="DR436" s="65"/>
      <c r="DV436" s="145">
        <v>2029</v>
      </c>
      <c r="DW436" s="235" t="e">
        <f t="shared" ca="1" si="232"/>
        <v>#REF!</v>
      </c>
      <c r="EA436" s="55"/>
      <c r="EB436" s="55"/>
      <c r="EC436" s="55"/>
      <c r="ED436" s="55"/>
      <c r="EE436" s="55"/>
    </row>
    <row r="437" spans="1:135" ht="13.8" x14ac:dyDescent="0.45">
      <c r="B437" s="128">
        <v>2027</v>
      </c>
      <c r="C437" s="1004"/>
      <c r="D437" s="987"/>
      <c r="E437" s="1006"/>
      <c r="F437" s="993"/>
      <c r="G437" s="247"/>
      <c r="H437" s="245"/>
      <c r="I437" s="1112"/>
      <c r="J437" s="247"/>
      <c r="K437" s="245"/>
      <c r="L437" s="246"/>
      <c r="M437" s="245"/>
      <c r="N437" s="29" t="s">
        <v>119</v>
      </c>
      <c r="O437" s="120"/>
      <c r="P437" s="120"/>
      <c r="Q437" s="120"/>
      <c r="R437" s="29">
        <v>13</v>
      </c>
      <c r="S437" s="238" t="str">
        <f t="shared" si="233"/>
        <v/>
      </c>
      <c r="T437" s="238" t="str">
        <f t="shared" si="234"/>
        <v/>
      </c>
      <c r="U437" s="238" t="str">
        <f t="shared" si="235"/>
        <v/>
      </c>
      <c r="W437" s="238" t="e">
        <f t="shared" si="236"/>
        <v>#N/A</v>
      </c>
      <c r="X437" s="238" t="e">
        <f t="shared" si="237"/>
        <v>#N/A</v>
      </c>
      <c r="Y437" s="238" t="e">
        <f t="shared" si="238"/>
        <v>#N/A</v>
      </c>
      <c r="AA437" s="89"/>
      <c r="AB437" s="89"/>
      <c r="AC437" s="89"/>
      <c r="AD437" s="89"/>
      <c r="AE437" s="89"/>
      <c r="AF437" s="89"/>
      <c r="AG437" s="89"/>
      <c r="AH437" s="89"/>
      <c r="AI437" s="89"/>
      <c r="AJ437" s="89"/>
      <c r="AK437" s="89"/>
      <c r="AL437" s="89"/>
      <c r="AM437" s="89"/>
      <c r="AN437" s="89"/>
      <c r="BR437" s="180">
        <v>2025</v>
      </c>
      <c r="BS437" s="22">
        <v>11</v>
      </c>
      <c r="BT437" s="198" t="e">
        <f t="shared" si="249"/>
        <v>#DIV/0!</v>
      </c>
      <c r="BU437" s="276" t="e">
        <f t="shared" si="250"/>
        <v>#DIV/0!</v>
      </c>
      <c r="BV437" s="205" t="e">
        <f t="shared" si="251"/>
        <v>#DIV/0!</v>
      </c>
      <c r="BY437" s="180">
        <v>2025</v>
      </c>
      <c r="BZ437" s="22">
        <v>11</v>
      </c>
      <c r="CA437" s="198" t="e">
        <f t="shared" ca="1" si="252"/>
        <v>#REF!</v>
      </c>
      <c r="CB437" s="198" t="e">
        <f t="shared" ca="1" si="253"/>
        <v>#REF!</v>
      </c>
      <c r="CC437" s="276" t="e">
        <f t="shared" ca="1" si="264"/>
        <v>#REF!</v>
      </c>
      <c r="CD437" s="205" t="e">
        <f t="shared" ca="1" si="254"/>
        <v>#REF!</v>
      </c>
      <c r="CG437" s="180">
        <v>2025</v>
      </c>
      <c r="CH437" s="22">
        <v>11</v>
      </c>
      <c r="CI437" s="198" t="e">
        <f t="shared" ca="1" si="255"/>
        <v>#REF!</v>
      </c>
      <c r="CJ437" s="198" t="e">
        <f t="shared" ca="1" si="256"/>
        <v>#REF!</v>
      </c>
      <c r="CK437" s="198" t="e">
        <f t="shared" ca="1" si="257"/>
        <v>#REF!</v>
      </c>
      <c r="CL437" s="276" t="e">
        <f t="shared" ca="1" si="258"/>
        <v>#REF!</v>
      </c>
      <c r="CM437" s="205" t="e">
        <f t="shared" ca="1" si="259"/>
        <v>#REF!</v>
      </c>
      <c r="CP437" s="180">
        <v>2025</v>
      </c>
      <c r="CQ437" s="22">
        <v>11</v>
      </c>
      <c r="CR437" s="198" t="e">
        <f t="shared" ca="1" si="260"/>
        <v>#REF!</v>
      </c>
      <c r="CS437" s="276" t="e">
        <f t="shared" ca="1" si="261"/>
        <v>#REF!</v>
      </c>
      <c r="CT437" s="205" t="e">
        <f t="shared" ca="1" si="262"/>
        <v>#REF!</v>
      </c>
      <c r="CZ437" s="164" t="b">
        <f t="shared" si="239"/>
        <v>0</v>
      </c>
      <c r="DA437" s="165" t="b">
        <f t="shared" si="239"/>
        <v>0</v>
      </c>
      <c r="DB437" s="166" t="b">
        <f t="shared" si="239"/>
        <v>0</v>
      </c>
      <c r="DC437" s="164" t="str">
        <f t="shared" si="240"/>
        <v/>
      </c>
      <c r="DD437" s="166" t="str">
        <f t="shared" si="241"/>
        <v/>
      </c>
      <c r="DE437" s="164" t="str">
        <f t="shared" si="242"/>
        <v/>
      </c>
      <c r="DF437" s="166" t="str">
        <f t="shared" si="243"/>
        <v/>
      </c>
      <c r="DG437" s="164" t="str">
        <f t="shared" si="244"/>
        <v/>
      </c>
      <c r="DH437" s="166" t="str">
        <f t="shared" si="245"/>
        <v/>
      </c>
      <c r="DI437" s="164" t="str">
        <f>IFERROR(INDEX(DC$422:DC$470,_xlfn.AGGREGATE(15,6,(ROW(DC$422:DC$470)-ROW(DC$422)+1)/(DC$422:DC$470&lt;&gt;""),ROWS(DI$1:DI16))),"")</f>
        <v/>
      </c>
      <c r="DJ437" s="165" t="str">
        <f>IFERROR(INDEX(DD$422:DD$470,_xlfn.AGGREGATE(15,6,(ROW(DD$422:DD$470)-ROW(DD$422)+1)/(DD$422:DD$470&lt;&gt;""),ROWS(DJ$1:DJ16))),"")</f>
        <v/>
      </c>
      <c r="DK437" s="166" t="str">
        <f t="shared" si="246"/>
        <v/>
      </c>
      <c r="DL437" s="164" t="str">
        <f>IFERROR(INDEX(DE$422:DE$470,_xlfn.AGGREGATE(15,6,(ROW(DE$422:DE$470)-ROW(DE$422)+1)/(DE$422:DE$470&lt;&gt;""),ROWS(DL$1:DL16))),"")</f>
        <v/>
      </c>
      <c r="DM437" s="165" t="str">
        <f>IFERROR(INDEX(DF$422:DF$470,_xlfn.AGGREGATE(15,6,(ROW(DF$422:DF$470)-ROW(DF$422)+1)/(DF$422:DF$470&lt;&gt;""),ROWS(DM$1:DM16))),"")</f>
        <v/>
      </c>
      <c r="DN437" s="166" t="str">
        <f t="shared" si="247"/>
        <v/>
      </c>
      <c r="DO437" s="164" t="str">
        <f>IFERROR(INDEX(DG$422:DG$470,_xlfn.AGGREGATE(15,6,(ROW(DG$422:DG$470)-ROW(DG$422)+1)/(DG$422:DG$470&lt;&gt;""),ROWS(DO$1:DO16))),"")</f>
        <v/>
      </c>
      <c r="DP437" s="165" t="str">
        <f>IFERROR(INDEX(DH$422:DH$470,_xlfn.AGGREGATE(15,6,(ROW(DH$422:DH$470)-ROW(DH$422)+1)/(DH$422:DH$470&lt;&gt;""),ROWS(DP$1:DP16))),"")</f>
        <v/>
      </c>
      <c r="DQ437" s="166" t="str">
        <f t="shared" si="248"/>
        <v/>
      </c>
      <c r="DR437" s="65"/>
      <c r="DV437" s="145">
        <v>2030</v>
      </c>
      <c r="DW437" s="235" t="e">
        <f t="shared" ca="1" si="232"/>
        <v>#REF!</v>
      </c>
    </row>
    <row r="438" spans="1:135" ht="13.8" x14ac:dyDescent="0.45">
      <c r="A438" s="208" t="str">
        <f>$A$62</f>
        <v>Base Cases</v>
      </c>
      <c r="B438" s="128">
        <v>2028</v>
      </c>
      <c r="C438" s="1004"/>
      <c r="D438" s="987"/>
      <c r="E438" s="1006"/>
      <c r="F438" s="993"/>
      <c r="G438" s="247"/>
      <c r="H438" s="245"/>
      <c r="I438" s="1112"/>
      <c r="J438" s="247"/>
      <c r="K438" s="245"/>
      <c r="L438" s="246"/>
      <c r="M438" s="245"/>
      <c r="N438" s="29" t="s">
        <v>119</v>
      </c>
      <c r="O438" s="120"/>
      <c r="P438" s="120"/>
      <c r="Q438" s="120"/>
      <c r="R438" s="29">
        <v>14</v>
      </c>
      <c r="S438" s="238" t="str">
        <f t="shared" si="233"/>
        <v/>
      </c>
      <c r="T438" s="238" t="str">
        <f t="shared" si="234"/>
        <v/>
      </c>
      <c r="U438" s="238" t="str">
        <f t="shared" si="235"/>
        <v/>
      </c>
      <c r="W438" s="238" t="e">
        <f t="shared" si="236"/>
        <v>#N/A</v>
      </c>
      <c r="X438" s="238" t="e">
        <f t="shared" si="237"/>
        <v>#N/A</v>
      </c>
      <c r="Y438" s="238" t="e">
        <f t="shared" si="238"/>
        <v>#N/A</v>
      </c>
      <c r="AA438" s="114"/>
      <c r="AB438" s="114"/>
      <c r="AC438" s="114"/>
      <c r="AD438" s="114"/>
      <c r="AE438" s="114"/>
      <c r="AF438" s="114"/>
      <c r="AG438" s="114"/>
      <c r="AH438" s="114"/>
      <c r="AI438" s="114"/>
      <c r="AJ438" s="114"/>
      <c r="AK438" s="114"/>
      <c r="AL438" s="114"/>
      <c r="AM438" s="114"/>
      <c r="AN438" s="114"/>
      <c r="BR438" s="180">
        <v>2026</v>
      </c>
      <c r="BS438" s="22">
        <v>12</v>
      </c>
      <c r="BT438" s="198" t="e">
        <f t="shared" si="249"/>
        <v>#DIV/0!</v>
      </c>
      <c r="BU438" s="276" t="e">
        <f t="shared" si="250"/>
        <v>#DIV/0!</v>
      </c>
      <c r="BV438" s="205" t="e">
        <f t="shared" si="251"/>
        <v>#DIV/0!</v>
      </c>
      <c r="BY438" s="180">
        <v>2026</v>
      </c>
      <c r="BZ438" s="22">
        <v>12</v>
      </c>
      <c r="CA438" s="198" t="e">
        <f t="shared" ca="1" si="252"/>
        <v>#REF!</v>
      </c>
      <c r="CB438" s="198" t="e">
        <f t="shared" ca="1" si="253"/>
        <v>#REF!</v>
      </c>
      <c r="CC438" s="276" t="e">
        <f t="shared" ca="1" si="264"/>
        <v>#REF!</v>
      </c>
      <c r="CD438" s="205" t="e">
        <f t="shared" ca="1" si="254"/>
        <v>#REF!</v>
      </c>
      <c r="CG438" s="180">
        <v>2026</v>
      </c>
      <c r="CH438" s="22">
        <v>12</v>
      </c>
      <c r="CI438" s="198" t="e">
        <f t="shared" ca="1" si="255"/>
        <v>#REF!</v>
      </c>
      <c r="CJ438" s="198" t="e">
        <f t="shared" ca="1" si="256"/>
        <v>#REF!</v>
      </c>
      <c r="CK438" s="198" t="e">
        <f t="shared" ca="1" si="257"/>
        <v>#REF!</v>
      </c>
      <c r="CL438" s="276" t="e">
        <f t="shared" ca="1" si="258"/>
        <v>#REF!</v>
      </c>
      <c r="CM438" s="205" t="e">
        <f t="shared" ca="1" si="259"/>
        <v>#REF!</v>
      </c>
      <c r="CP438" s="180">
        <v>2026</v>
      </c>
      <c r="CQ438" s="22">
        <v>12</v>
      </c>
      <c r="CR438" s="198" t="e">
        <f t="shared" ca="1" si="260"/>
        <v>#REF!</v>
      </c>
      <c r="CS438" s="276" t="e">
        <f t="shared" ca="1" si="261"/>
        <v>#REF!</v>
      </c>
      <c r="CT438" s="205" t="e">
        <f t="shared" ca="1" si="262"/>
        <v>#REF!</v>
      </c>
      <c r="CZ438" s="164" t="b">
        <f t="shared" si="239"/>
        <v>0</v>
      </c>
      <c r="DA438" s="165" t="b">
        <f t="shared" si="239"/>
        <v>0</v>
      </c>
      <c r="DB438" s="166" t="b">
        <f t="shared" si="239"/>
        <v>0</v>
      </c>
      <c r="DC438" s="164" t="str">
        <f t="shared" si="240"/>
        <v/>
      </c>
      <c r="DD438" s="166" t="str">
        <f t="shared" si="241"/>
        <v/>
      </c>
      <c r="DE438" s="164" t="str">
        <f t="shared" si="242"/>
        <v/>
      </c>
      <c r="DF438" s="166" t="str">
        <f t="shared" si="243"/>
        <v/>
      </c>
      <c r="DG438" s="164" t="str">
        <f t="shared" si="244"/>
        <v/>
      </c>
      <c r="DH438" s="166" t="str">
        <f t="shared" si="245"/>
        <v/>
      </c>
      <c r="DI438" s="164" t="str">
        <f>IFERROR(INDEX(DC$422:DC$470,_xlfn.AGGREGATE(15,6,(ROW(DC$422:DC$470)-ROW(DC$422)+1)/(DC$422:DC$470&lt;&gt;""),ROWS(DI$1:DI17))),"")</f>
        <v/>
      </c>
      <c r="DJ438" s="165" t="str">
        <f>IFERROR(INDEX(DD$422:DD$470,_xlfn.AGGREGATE(15,6,(ROW(DD$422:DD$470)-ROW(DD$422)+1)/(DD$422:DD$470&lt;&gt;""),ROWS(DJ$1:DJ17))),"")</f>
        <v/>
      </c>
      <c r="DK438" s="166" t="str">
        <f t="shared" si="246"/>
        <v/>
      </c>
      <c r="DL438" s="164" t="str">
        <f>IFERROR(INDEX(DE$422:DE$470,_xlfn.AGGREGATE(15,6,(ROW(DE$422:DE$470)-ROW(DE$422)+1)/(DE$422:DE$470&lt;&gt;""),ROWS(DL$1:DL17))),"")</f>
        <v/>
      </c>
      <c r="DM438" s="165" t="str">
        <f>IFERROR(INDEX(DF$422:DF$470,_xlfn.AGGREGATE(15,6,(ROW(DF$422:DF$470)-ROW(DF$422)+1)/(DF$422:DF$470&lt;&gt;""),ROWS(DM$1:DM17))),"")</f>
        <v/>
      </c>
      <c r="DN438" s="166" t="str">
        <f t="shared" si="247"/>
        <v/>
      </c>
      <c r="DO438" s="164" t="str">
        <f>IFERROR(INDEX(DG$422:DG$470,_xlfn.AGGREGATE(15,6,(ROW(DG$422:DG$470)-ROW(DG$422)+1)/(DG$422:DG$470&lt;&gt;""),ROWS(DO$1:DO17))),"")</f>
        <v/>
      </c>
      <c r="DP438" s="165" t="str">
        <f>IFERROR(INDEX(DH$422:DH$470,_xlfn.AGGREGATE(15,6,(ROW(DH$422:DH$470)-ROW(DH$422)+1)/(DH$422:DH$470&lt;&gt;""),ROWS(DP$1:DP17))),"")</f>
        <v/>
      </c>
      <c r="DQ438" s="166" t="str">
        <f t="shared" si="248"/>
        <v/>
      </c>
      <c r="DR438" s="65"/>
      <c r="DV438" s="145">
        <v>2031</v>
      </c>
      <c r="DW438" s="235" t="e">
        <f t="shared" ca="1" si="232"/>
        <v>#REF!</v>
      </c>
    </row>
    <row r="439" spans="1:135" ht="13.8" x14ac:dyDescent="0.45">
      <c r="A439" s="209" t="str">
        <f>$A$63</f>
        <v>Conservative Cases</v>
      </c>
      <c r="B439" s="128">
        <v>2029</v>
      </c>
      <c r="C439" s="1004"/>
      <c r="D439" s="987"/>
      <c r="E439" s="1006"/>
      <c r="F439" s="993"/>
      <c r="G439" s="247"/>
      <c r="H439" s="245"/>
      <c r="I439" s="1112"/>
      <c r="J439" s="247"/>
      <c r="K439" s="245"/>
      <c r="L439" s="246"/>
      <c r="M439" s="245"/>
      <c r="N439" s="29" t="s">
        <v>119</v>
      </c>
      <c r="O439" s="120"/>
      <c r="P439" s="120"/>
      <c r="Q439" s="120"/>
      <c r="R439" s="29">
        <v>15</v>
      </c>
      <c r="S439" s="238" t="str">
        <f t="shared" si="233"/>
        <v/>
      </c>
      <c r="T439" s="238" t="str">
        <f t="shared" si="234"/>
        <v/>
      </c>
      <c r="U439" s="238" t="str">
        <f t="shared" si="235"/>
        <v/>
      </c>
      <c r="W439" s="238" t="e">
        <f t="shared" si="236"/>
        <v>#N/A</v>
      </c>
      <c r="X439" s="238" t="e">
        <f t="shared" si="237"/>
        <v>#N/A</v>
      </c>
      <c r="Y439" s="238" t="e">
        <f t="shared" si="238"/>
        <v>#N/A</v>
      </c>
      <c r="AA439" s="89"/>
      <c r="AB439" s="89"/>
      <c r="AC439" s="89"/>
      <c r="AD439" s="89"/>
      <c r="AE439" s="89"/>
      <c r="AF439" s="89"/>
      <c r="AG439" s="89"/>
      <c r="AH439" s="89"/>
      <c r="AI439" s="89"/>
      <c r="AJ439" s="89"/>
      <c r="AK439" s="89"/>
      <c r="AL439" s="89"/>
      <c r="AM439" s="89"/>
      <c r="AN439" s="89"/>
      <c r="BR439" s="180">
        <v>2027</v>
      </c>
      <c r="BS439" s="22">
        <v>13</v>
      </c>
      <c r="BT439" s="198" t="e">
        <f t="shared" si="249"/>
        <v>#DIV/0!</v>
      </c>
      <c r="BU439" s="276" t="e">
        <f t="shared" si="250"/>
        <v>#DIV/0!</v>
      </c>
      <c r="BV439" s="205" t="e">
        <f t="shared" si="251"/>
        <v>#DIV/0!</v>
      </c>
      <c r="BY439" s="180">
        <v>2027</v>
      </c>
      <c r="BZ439" s="22">
        <v>13</v>
      </c>
      <c r="CA439" s="198" t="e">
        <f t="shared" ca="1" si="252"/>
        <v>#REF!</v>
      </c>
      <c r="CB439" s="198" t="e">
        <f t="shared" ca="1" si="253"/>
        <v>#REF!</v>
      </c>
      <c r="CC439" s="276" t="e">
        <f t="shared" ca="1" si="264"/>
        <v>#REF!</v>
      </c>
      <c r="CD439" s="205" t="e">
        <f t="shared" ca="1" si="254"/>
        <v>#REF!</v>
      </c>
      <c r="CG439" s="180">
        <v>2027</v>
      </c>
      <c r="CH439" s="22">
        <v>13</v>
      </c>
      <c r="CI439" s="198" t="e">
        <f t="shared" ca="1" si="255"/>
        <v>#REF!</v>
      </c>
      <c r="CJ439" s="198" t="e">
        <f t="shared" ca="1" si="256"/>
        <v>#REF!</v>
      </c>
      <c r="CK439" s="198" t="e">
        <f t="shared" ca="1" si="257"/>
        <v>#REF!</v>
      </c>
      <c r="CL439" s="276" t="e">
        <f t="shared" ca="1" si="258"/>
        <v>#REF!</v>
      </c>
      <c r="CM439" s="205" t="e">
        <f t="shared" ca="1" si="259"/>
        <v>#REF!</v>
      </c>
      <c r="CP439" s="180">
        <v>2027</v>
      </c>
      <c r="CQ439" s="22">
        <v>13</v>
      </c>
      <c r="CR439" s="198" t="e">
        <f t="shared" ca="1" si="260"/>
        <v>#REF!</v>
      </c>
      <c r="CS439" s="276" t="e">
        <f t="shared" ca="1" si="261"/>
        <v>#REF!</v>
      </c>
      <c r="CT439" s="205" t="e">
        <f t="shared" ca="1" si="262"/>
        <v>#REF!</v>
      </c>
      <c r="CZ439" s="164" t="b">
        <f t="shared" si="239"/>
        <v>0</v>
      </c>
      <c r="DA439" s="165" t="b">
        <f t="shared" si="239"/>
        <v>0</v>
      </c>
      <c r="DB439" s="166" t="b">
        <f t="shared" si="239"/>
        <v>0</v>
      </c>
      <c r="DC439" s="164" t="str">
        <f t="shared" si="240"/>
        <v/>
      </c>
      <c r="DD439" s="166" t="str">
        <f t="shared" si="241"/>
        <v/>
      </c>
      <c r="DE439" s="164" t="str">
        <f t="shared" si="242"/>
        <v/>
      </c>
      <c r="DF439" s="166" t="str">
        <f t="shared" si="243"/>
        <v/>
      </c>
      <c r="DG439" s="164" t="str">
        <f t="shared" si="244"/>
        <v/>
      </c>
      <c r="DH439" s="166" t="str">
        <f t="shared" si="245"/>
        <v/>
      </c>
      <c r="DI439" s="164" t="str">
        <f>IFERROR(INDEX(DC$422:DC$470,_xlfn.AGGREGATE(15,6,(ROW(DC$422:DC$470)-ROW(DC$422)+1)/(DC$422:DC$470&lt;&gt;""),ROWS(DI$1:DI18))),"")</f>
        <v/>
      </c>
      <c r="DJ439" s="165" t="str">
        <f>IFERROR(INDEX(DD$422:DD$470,_xlfn.AGGREGATE(15,6,(ROW(DD$422:DD$470)-ROW(DD$422)+1)/(DD$422:DD$470&lt;&gt;""),ROWS(DJ$1:DJ18))),"")</f>
        <v/>
      </c>
      <c r="DK439" s="166" t="str">
        <f t="shared" si="246"/>
        <v/>
      </c>
      <c r="DL439" s="164" t="str">
        <f>IFERROR(INDEX(DE$422:DE$470,_xlfn.AGGREGATE(15,6,(ROW(DE$422:DE$470)-ROW(DE$422)+1)/(DE$422:DE$470&lt;&gt;""),ROWS(DL$1:DL18))),"")</f>
        <v/>
      </c>
      <c r="DM439" s="165" t="str">
        <f>IFERROR(INDEX(DF$422:DF$470,_xlfn.AGGREGATE(15,6,(ROW(DF$422:DF$470)-ROW(DF$422)+1)/(DF$422:DF$470&lt;&gt;""),ROWS(DM$1:DM18))),"")</f>
        <v/>
      </c>
      <c r="DN439" s="166" t="str">
        <f t="shared" si="247"/>
        <v/>
      </c>
      <c r="DO439" s="164" t="str">
        <f>IFERROR(INDEX(DG$422:DG$470,_xlfn.AGGREGATE(15,6,(ROW(DG$422:DG$470)-ROW(DG$422)+1)/(DG$422:DG$470&lt;&gt;""),ROWS(DO$1:DO18))),"")</f>
        <v/>
      </c>
      <c r="DP439" s="165" t="str">
        <f>IFERROR(INDEX(DH$422:DH$470,_xlfn.AGGREGATE(15,6,(ROW(DH$422:DH$470)-ROW(DH$422)+1)/(DH$422:DH$470&lt;&gt;""),ROWS(DP$1:DP18))),"")</f>
        <v/>
      </c>
      <c r="DQ439" s="166" t="str">
        <f t="shared" si="248"/>
        <v/>
      </c>
      <c r="DR439" s="65"/>
      <c r="DV439" s="145">
        <v>2032</v>
      </c>
      <c r="DW439" s="235" t="e">
        <f t="shared" ca="1" si="232"/>
        <v>#REF!</v>
      </c>
    </row>
    <row r="440" spans="1:135" ht="13.8" x14ac:dyDescent="0.45">
      <c r="A440" s="210" t="str">
        <f>$A$64</f>
        <v>Ambitious Cases</v>
      </c>
      <c r="B440" s="128">
        <v>2030</v>
      </c>
      <c r="C440" s="1004"/>
      <c r="D440" s="987"/>
      <c r="E440" s="1006"/>
      <c r="F440" s="993"/>
      <c r="G440" s="247"/>
      <c r="H440" s="245"/>
      <c r="I440" s="1112"/>
      <c r="J440" s="247"/>
      <c r="K440" s="245"/>
      <c r="L440" s="246"/>
      <c r="M440" s="245"/>
      <c r="N440" s="29" t="s">
        <v>119</v>
      </c>
      <c r="O440" s="120"/>
      <c r="P440" s="120"/>
      <c r="Q440" s="120"/>
      <c r="R440" s="29">
        <v>16</v>
      </c>
      <c r="S440" s="238" t="str">
        <f t="shared" si="233"/>
        <v/>
      </c>
      <c r="T440" s="238" t="str">
        <f t="shared" si="234"/>
        <v/>
      </c>
      <c r="U440" s="238" t="str">
        <f t="shared" si="235"/>
        <v/>
      </c>
      <c r="W440" s="238" t="e">
        <f t="shared" si="236"/>
        <v>#N/A</v>
      </c>
      <c r="X440" s="238" t="e">
        <f t="shared" si="237"/>
        <v>#N/A</v>
      </c>
      <c r="Y440" s="238" t="e">
        <f t="shared" si="238"/>
        <v>#N/A</v>
      </c>
      <c r="AA440" s="89"/>
      <c r="AB440" s="89"/>
      <c r="AC440" s="89"/>
      <c r="AD440" s="89"/>
      <c r="AE440" s="89"/>
      <c r="AF440" s="89"/>
      <c r="AG440" s="89"/>
      <c r="AH440" s="89"/>
      <c r="AI440" s="89"/>
      <c r="AJ440" s="89"/>
      <c r="AK440" s="89"/>
      <c r="AL440" s="89"/>
      <c r="AM440" s="89"/>
      <c r="AN440" s="89"/>
      <c r="BR440" s="180">
        <v>2028</v>
      </c>
      <c r="BS440" s="22">
        <v>14</v>
      </c>
      <c r="BT440" s="198" t="e">
        <f t="shared" si="249"/>
        <v>#DIV/0!</v>
      </c>
      <c r="BU440" s="276" t="e">
        <f t="shared" si="250"/>
        <v>#DIV/0!</v>
      </c>
      <c r="BV440" s="205" t="e">
        <f t="shared" si="251"/>
        <v>#DIV/0!</v>
      </c>
      <c r="BY440" s="180">
        <v>2028</v>
      </c>
      <c r="BZ440" s="22">
        <v>14</v>
      </c>
      <c r="CA440" s="198" t="e">
        <f t="shared" ca="1" si="252"/>
        <v>#REF!</v>
      </c>
      <c r="CB440" s="198" t="e">
        <f t="shared" ca="1" si="253"/>
        <v>#REF!</v>
      </c>
      <c r="CC440" s="276" t="e">
        <f t="shared" ca="1" si="264"/>
        <v>#REF!</v>
      </c>
      <c r="CD440" s="205" t="e">
        <f t="shared" ca="1" si="254"/>
        <v>#REF!</v>
      </c>
      <c r="CG440" s="180">
        <v>2028</v>
      </c>
      <c r="CH440" s="22">
        <v>14</v>
      </c>
      <c r="CI440" s="198" t="e">
        <f t="shared" ca="1" si="255"/>
        <v>#REF!</v>
      </c>
      <c r="CJ440" s="198" t="e">
        <f t="shared" ca="1" si="256"/>
        <v>#REF!</v>
      </c>
      <c r="CK440" s="198" t="e">
        <f t="shared" ca="1" si="257"/>
        <v>#REF!</v>
      </c>
      <c r="CL440" s="276" t="e">
        <f t="shared" ca="1" si="258"/>
        <v>#REF!</v>
      </c>
      <c r="CM440" s="205" t="e">
        <f t="shared" ca="1" si="259"/>
        <v>#REF!</v>
      </c>
      <c r="CP440" s="180">
        <v>2028</v>
      </c>
      <c r="CQ440" s="22">
        <v>14</v>
      </c>
      <c r="CR440" s="198" t="e">
        <f t="shared" ca="1" si="260"/>
        <v>#REF!</v>
      </c>
      <c r="CS440" s="276" t="e">
        <f t="shared" ca="1" si="261"/>
        <v>#REF!</v>
      </c>
      <c r="CT440" s="205" t="e">
        <f t="shared" ca="1" si="262"/>
        <v>#REF!</v>
      </c>
      <c r="CZ440" s="164" t="b">
        <f t="shared" si="239"/>
        <v>0</v>
      </c>
      <c r="DA440" s="165" t="b">
        <f t="shared" si="239"/>
        <v>0</v>
      </c>
      <c r="DB440" s="166" t="b">
        <f t="shared" si="239"/>
        <v>0</v>
      </c>
      <c r="DC440" s="164" t="str">
        <f t="shared" si="240"/>
        <v/>
      </c>
      <c r="DD440" s="166" t="str">
        <f t="shared" si="241"/>
        <v/>
      </c>
      <c r="DE440" s="164" t="str">
        <f t="shared" si="242"/>
        <v/>
      </c>
      <c r="DF440" s="166" t="str">
        <f t="shared" si="243"/>
        <v/>
      </c>
      <c r="DG440" s="164" t="str">
        <f t="shared" si="244"/>
        <v/>
      </c>
      <c r="DH440" s="166" t="str">
        <f t="shared" si="245"/>
        <v/>
      </c>
      <c r="DI440" s="164" t="str">
        <f>IFERROR(INDEX(DC$422:DC$470,_xlfn.AGGREGATE(15,6,(ROW(DC$422:DC$470)-ROW(DC$422)+1)/(DC$422:DC$470&lt;&gt;""),ROWS(DI$1:DI19))),"")</f>
        <v/>
      </c>
      <c r="DJ440" s="165" t="str">
        <f>IFERROR(INDEX(DD$422:DD$470,_xlfn.AGGREGATE(15,6,(ROW(DD$422:DD$470)-ROW(DD$422)+1)/(DD$422:DD$470&lt;&gt;""),ROWS(DJ$1:DJ19))),"")</f>
        <v/>
      </c>
      <c r="DK440" s="166" t="str">
        <f t="shared" si="246"/>
        <v/>
      </c>
      <c r="DL440" s="164" t="str">
        <f>IFERROR(INDEX(DE$422:DE$470,_xlfn.AGGREGATE(15,6,(ROW(DE$422:DE$470)-ROW(DE$422)+1)/(DE$422:DE$470&lt;&gt;""),ROWS(DL$1:DL19))),"")</f>
        <v/>
      </c>
      <c r="DM440" s="165" t="str">
        <f>IFERROR(INDEX(DF$422:DF$470,_xlfn.AGGREGATE(15,6,(ROW(DF$422:DF$470)-ROW(DF$422)+1)/(DF$422:DF$470&lt;&gt;""),ROWS(DM$1:DM19))),"")</f>
        <v/>
      </c>
      <c r="DN440" s="166" t="str">
        <f t="shared" si="247"/>
        <v/>
      </c>
      <c r="DO440" s="164" t="str">
        <f>IFERROR(INDEX(DG$422:DG$470,_xlfn.AGGREGATE(15,6,(ROW(DG$422:DG$470)-ROW(DG$422)+1)/(DG$422:DG$470&lt;&gt;""),ROWS(DO$1:DO19))),"")</f>
        <v/>
      </c>
      <c r="DP440" s="165" t="str">
        <f>IFERROR(INDEX(DH$422:DH$470,_xlfn.AGGREGATE(15,6,(ROW(DH$422:DH$470)-ROW(DH$422)+1)/(DH$422:DH$470&lt;&gt;""),ROWS(DP$1:DP19))),"")</f>
        <v/>
      </c>
      <c r="DQ440" s="166" t="str">
        <f t="shared" si="248"/>
        <v/>
      </c>
      <c r="DR440" s="65"/>
      <c r="DV440" s="145">
        <v>2033</v>
      </c>
      <c r="DW440" s="235" t="e">
        <f t="shared" ca="1" si="232"/>
        <v>#REF!</v>
      </c>
    </row>
    <row r="441" spans="1:135" ht="13.8" x14ac:dyDescent="0.45">
      <c r="A441" s="211" t="str">
        <f>$A$65</f>
        <v>Maximum Cases</v>
      </c>
      <c r="B441" s="128">
        <v>2031</v>
      </c>
      <c r="C441" s="1004"/>
      <c r="D441" s="987"/>
      <c r="E441" s="1006"/>
      <c r="F441" s="993"/>
      <c r="G441" s="247"/>
      <c r="H441" s="245"/>
      <c r="I441" s="1112"/>
      <c r="J441" s="247"/>
      <c r="K441" s="245"/>
      <c r="L441" s="246"/>
      <c r="M441" s="245"/>
      <c r="N441" s="29" t="s">
        <v>119</v>
      </c>
      <c r="O441" s="120"/>
      <c r="P441" s="120"/>
      <c r="Q441" s="120"/>
      <c r="R441" s="29">
        <v>17</v>
      </c>
      <c r="S441" s="238" t="str">
        <f t="shared" si="233"/>
        <v/>
      </c>
      <c r="T441" s="238" t="str">
        <f t="shared" si="234"/>
        <v/>
      </c>
      <c r="U441" s="238" t="str">
        <f t="shared" si="235"/>
        <v/>
      </c>
      <c r="W441" s="238" t="e">
        <f t="shared" si="236"/>
        <v>#N/A</v>
      </c>
      <c r="X441" s="238" t="e">
        <f t="shared" si="237"/>
        <v>#N/A</v>
      </c>
      <c r="Y441" s="238" t="e">
        <f t="shared" si="238"/>
        <v>#N/A</v>
      </c>
      <c r="AA441" s="89"/>
      <c r="AB441" s="89"/>
      <c r="AC441" s="89"/>
      <c r="AD441" s="89"/>
      <c r="AE441" s="89"/>
      <c r="AF441" s="89"/>
      <c r="AG441" s="89"/>
      <c r="AH441" s="89"/>
      <c r="AI441" s="89"/>
      <c r="AJ441" s="89"/>
      <c r="AK441" s="89"/>
      <c r="AL441" s="89"/>
      <c r="AM441" s="89"/>
      <c r="AN441" s="89"/>
      <c r="BR441" s="180">
        <v>2029</v>
      </c>
      <c r="BS441" s="22">
        <v>15</v>
      </c>
      <c r="BT441" s="198" t="e">
        <f t="shared" si="249"/>
        <v>#DIV/0!</v>
      </c>
      <c r="BU441" s="276" t="e">
        <f t="shared" si="250"/>
        <v>#DIV/0!</v>
      </c>
      <c r="BV441" s="205" t="e">
        <f t="shared" si="251"/>
        <v>#DIV/0!</v>
      </c>
      <c r="BY441" s="180">
        <v>2029</v>
      </c>
      <c r="BZ441" s="22">
        <v>15</v>
      </c>
      <c r="CA441" s="198" t="e">
        <f t="shared" ca="1" si="252"/>
        <v>#REF!</v>
      </c>
      <c r="CB441" s="198" t="e">
        <f t="shared" ca="1" si="253"/>
        <v>#REF!</v>
      </c>
      <c r="CC441" s="276" t="e">
        <f t="shared" ca="1" si="264"/>
        <v>#REF!</v>
      </c>
      <c r="CD441" s="205" t="e">
        <f t="shared" ca="1" si="254"/>
        <v>#REF!</v>
      </c>
      <c r="CG441" s="180">
        <v>2029</v>
      </c>
      <c r="CH441" s="22">
        <v>15</v>
      </c>
      <c r="CI441" s="198" t="e">
        <f t="shared" ca="1" si="255"/>
        <v>#REF!</v>
      </c>
      <c r="CJ441" s="198" t="e">
        <f t="shared" ca="1" si="256"/>
        <v>#REF!</v>
      </c>
      <c r="CK441" s="198" t="e">
        <f t="shared" ca="1" si="257"/>
        <v>#REF!</v>
      </c>
      <c r="CL441" s="276" t="e">
        <f t="shared" ca="1" si="258"/>
        <v>#REF!</v>
      </c>
      <c r="CM441" s="205" t="e">
        <f t="shared" ca="1" si="259"/>
        <v>#REF!</v>
      </c>
      <c r="CP441" s="180">
        <v>2029</v>
      </c>
      <c r="CQ441" s="22">
        <v>15</v>
      </c>
      <c r="CR441" s="198" t="e">
        <f t="shared" ca="1" si="260"/>
        <v>#REF!</v>
      </c>
      <c r="CS441" s="276" t="e">
        <f t="shared" ca="1" si="261"/>
        <v>#REF!</v>
      </c>
      <c r="CT441" s="205" t="e">
        <f t="shared" ca="1" si="262"/>
        <v>#REF!</v>
      </c>
      <c r="CZ441" s="164" t="b">
        <f t="shared" si="239"/>
        <v>0</v>
      </c>
      <c r="DA441" s="165" t="b">
        <f t="shared" si="239"/>
        <v>0</v>
      </c>
      <c r="DB441" s="166" t="b">
        <f t="shared" si="239"/>
        <v>0</v>
      </c>
      <c r="DC441" s="164" t="str">
        <f t="shared" si="240"/>
        <v/>
      </c>
      <c r="DD441" s="166" t="str">
        <f t="shared" si="241"/>
        <v/>
      </c>
      <c r="DE441" s="164" t="str">
        <f t="shared" si="242"/>
        <v/>
      </c>
      <c r="DF441" s="166" t="str">
        <f t="shared" si="243"/>
        <v/>
      </c>
      <c r="DG441" s="164" t="str">
        <f t="shared" si="244"/>
        <v/>
      </c>
      <c r="DH441" s="166" t="str">
        <f t="shared" si="245"/>
        <v/>
      </c>
      <c r="DI441" s="164" t="str">
        <f>IFERROR(INDEX(DC$422:DC$470,_xlfn.AGGREGATE(15,6,(ROW(DC$422:DC$470)-ROW(DC$422)+1)/(DC$422:DC$470&lt;&gt;""),ROWS(DI$1:DI20))),"")</f>
        <v/>
      </c>
      <c r="DJ441" s="165" t="str">
        <f>IFERROR(INDEX(DD$422:DD$470,_xlfn.AGGREGATE(15,6,(ROW(DD$422:DD$470)-ROW(DD$422)+1)/(DD$422:DD$470&lt;&gt;""),ROWS(DJ$1:DJ20))),"")</f>
        <v/>
      </c>
      <c r="DK441" s="166" t="str">
        <f t="shared" si="246"/>
        <v/>
      </c>
      <c r="DL441" s="164" t="str">
        <f>IFERROR(INDEX(DE$422:DE$470,_xlfn.AGGREGATE(15,6,(ROW(DE$422:DE$470)-ROW(DE$422)+1)/(DE$422:DE$470&lt;&gt;""),ROWS(DL$1:DL20))),"")</f>
        <v/>
      </c>
      <c r="DM441" s="165" t="str">
        <f>IFERROR(INDEX(DF$422:DF$470,_xlfn.AGGREGATE(15,6,(ROW(DF$422:DF$470)-ROW(DF$422)+1)/(DF$422:DF$470&lt;&gt;""),ROWS(DM$1:DM20))),"")</f>
        <v/>
      </c>
      <c r="DN441" s="166" t="str">
        <f t="shared" si="247"/>
        <v/>
      </c>
      <c r="DO441" s="164" t="str">
        <f>IFERROR(INDEX(DG$422:DG$470,_xlfn.AGGREGATE(15,6,(ROW(DG$422:DG$470)-ROW(DG$422)+1)/(DG$422:DG$470&lt;&gt;""),ROWS(DO$1:DO20))),"")</f>
        <v/>
      </c>
      <c r="DP441" s="165" t="str">
        <f>IFERROR(INDEX(DH$422:DH$470,_xlfn.AGGREGATE(15,6,(ROW(DH$422:DH$470)-ROW(DH$422)+1)/(DH$422:DH$470&lt;&gt;""),ROWS(DP$1:DP20))),"")</f>
        <v/>
      </c>
      <c r="DQ441" s="166" t="str">
        <f t="shared" si="248"/>
        <v/>
      </c>
      <c r="DR441" s="65"/>
      <c r="DV441" s="145">
        <v>2034</v>
      </c>
      <c r="DW441" s="235" t="e">
        <f t="shared" ca="1" si="232"/>
        <v>#REF!</v>
      </c>
    </row>
    <row r="442" spans="1:135" ht="13.8" x14ac:dyDescent="0.45">
      <c r="B442" s="128">
        <v>2032</v>
      </c>
      <c r="C442" s="1004"/>
      <c r="D442" s="987"/>
      <c r="E442" s="1006"/>
      <c r="F442" s="993"/>
      <c r="G442" s="247"/>
      <c r="H442" s="245"/>
      <c r="I442" s="1112"/>
      <c r="J442" s="247"/>
      <c r="K442" s="245"/>
      <c r="L442" s="246"/>
      <c r="M442" s="245"/>
      <c r="N442" s="29" t="s">
        <v>119</v>
      </c>
      <c r="O442" s="120"/>
      <c r="P442" s="120"/>
      <c r="Q442" s="120"/>
      <c r="R442" s="29">
        <v>18</v>
      </c>
      <c r="S442" s="238" t="str">
        <f t="shared" si="233"/>
        <v/>
      </c>
      <c r="T442" s="238" t="str">
        <f t="shared" si="234"/>
        <v/>
      </c>
      <c r="U442" s="238" t="str">
        <f t="shared" si="235"/>
        <v/>
      </c>
      <c r="W442" s="238" t="e">
        <f t="shared" si="236"/>
        <v>#N/A</v>
      </c>
      <c r="X442" s="238" t="e">
        <f t="shared" si="237"/>
        <v>#N/A</v>
      </c>
      <c r="Y442" s="238" t="e">
        <f t="shared" si="238"/>
        <v>#N/A</v>
      </c>
      <c r="AA442" s="89"/>
      <c r="AB442" s="89"/>
      <c r="AC442" s="89"/>
      <c r="AD442" s="89"/>
      <c r="AE442" s="89"/>
      <c r="AF442" s="89"/>
      <c r="AG442" s="89"/>
      <c r="AH442" s="89"/>
      <c r="AI442" s="89"/>
      <c r="AJ442" s="89"/>
      <c r="AK442" s="89"/>
      <c r="AL442" s="89"/>
      <c r="AM442" s="89"/>
      <c r="AN442" s="89"/>
      <c r="BR442" s="180">
        <v>2030</v>
      </c>
      <c r="BS442" s="22">
        <v>16</v>
      </c>
      <c r="BT442" s="198" t="e">
        <f t="shared" si="249"/>
        <v>#DIV/0!</v>
      </c>
      <c r="BU442" s="276" t="e">
        <f t="shared" si="250"/>
        <v>#DIV/0!</v>
      </c>
      <c r="BV442" s="205" t="e">
        <f t="shared" si="251"/>
        <v>#DIV/0!</v>
      </c>
      <c r="BY442" s="180">
        <v>2030</v>
      </c>
      <c r="BZ442" s="22">
        <v>16</v>
      </c>
      <c r="CA442" s="198" t="e">
        <f t="shared" ca="1" si="252"/>
        <v>#REF!</v>
      </c>
      <c r="CB442" s="198" t="e">
        <f t="shared" ca="1" si="253"/>
        <v>#REF!</v>
      </c>
      <c r="CC442" s="276" t="e">
        <f t="shared" ca="1" si="264"/>
        <v>#REF!</v>
      </c>
      <c r="CD442" s="205" t="e">
        <f t="shared" ca="1" si="254"/>
        <v>#REF!</v>
      </c>
      <c r="CG442" s="180">
        <v>2030</v>
      </c>
      <c r="CH442" s="22">
        <v>16</v>
      </c>
      <c r="CI442" s="198" t="e">
        <f t="shared" ca="1" si="255"/>
        <v>#REF!</v>
      </c>
      <c r="CJ442" s="198" t="e">
        <f t="shared" ca="1" si="256"/>
        <v>#REF!</v>
      </c>
      <c r="CK442" s="198" t="e">
        <f t="shared" ca="1" si="257"/>
        <v>#REF!</v>
      </c>
      <c r="CL442" s="276" t="e">
        <f t="shared" ca="1" si="258"/>
        <v>#REF!</v>
      </c>
      <c r="CM442" s="205" t="e">
        <f t="shared" ca="1" si="259"/>
        <v>#REF!</v>
      </c>
      <c r="CP442" s="180">
        <v>2030</v>
      </c>
      <c r="CQ442" s="22">
        <v>16</v>
      </c>
      <c r="CR442" s="198" t="e">
        <f t="shared" ca="1" si="260"/>
        <v>#REF!</v>
      </c>
      <c r="CS442" s="276" t="e">
        <f t="shared" ca="1" si="261"/>
        <v>#REF!</v>
      </c>
      <c r="CT442" s="205" t="e">
        <f t="shared" ca="1" si="262"/>
        <v>#REF!</v>
      </c>
      <c r="CZ442" s="164" t="b">
        <f t="shared" si="239"/>
        <v>0</v>
      </c>
      <c r="DA442" s="165" t="b">
        <f t="shared" si="239"/>
        <v>0</v>
      </c>
      <c r="DB442" s="166" t="b">
        <f t="shared" si="239"/>
        <v>0</v>
      </c>
      <c r="DC442" s="164" t="str">
        <f t="shared" si="240"/>
        <v/>
      </c>
      <c r="DD442" s="166" t="str">
        <f t="shared" si="241"/>
        <v/>
      </c>
      <c r="DE442" s="164" t="str">
        <f t="shared" si="242"/>
        <v/>
      </c>
      <c r="DF442" s="166" t="str">
        <f t="shared" si="243"/>
        <v/>
      </c>
      <c r="DG442" s="164" t="str">
        <f t="shared" si="244"/>
        <v/>
      </c>
      <c r="DH442" s="166" t="str">
        <f t="shared" si="245"/>
        <v/>
      </c>
      <c r="DI442" s="164" t="str">
        <f>IFERROR(INDEX(DC$422:DC$470,_xlfn.AGGREGATE(15,6,(ROW(DC$422:DC$470)-ROW(DC$422)+1)/(DC$422:DC$470&lt;&gt;""),ROWS(DI$1:DI21))),"")</f>
        <v/>
      </c>
      <c r="DJ442" s="165" t="str">
        <f>IFERROR(INDEX(DD$422:DD$470,_xlfn.AGGREGATE(15,6,(ROW(DD$422:DD$470)-ROW(DD$422)+1)/(DD$422:DD$470&lt;&gt;""),ROWS(DJ$1:DJ21))),"")</f>
        <v/>
      </c>
      <c r="DK442" s="166" t="str">
        <f t="shared" si="246"/>
        <v/>
      </c>
      <c r="DL442" s="164" t="str">
        <f>IFERROR(INDEX(DE$422:DE$470,_xlfn.AGGREGATE(15,6,(ROW(DE$422:DE$470)-ROW(DE$422)+1)/(DE$422:DE$470&lt;&gt;""),ROWS(DL$1:DL21))),"")</f>
        <v/>
      </c>
      <c r="DM442" s="165" t="str">
        <f>IFERROR(INDEX(DF$422:DF$470,_xlfn.AGGREGATE(15,6,(ROW(DF$422:DF$470)-ROW(DF$422)+1)/(DF$422:DF$470&lt;&gt;""),ROWS(DM$1:DM21))),"")</f>
        <v/>
      </c>
      <c r="DN442" s="166" t="str">
        <f t="shared" si="247"/>
        <v/>
      </c>
      <c r="DO442" s="164" t="str">
        <f>IFERROR(INDEX(DG$422:DG$470,_xlfn.AGGREGATE(15,6,(ROW(DG$422:DG$470)-ROW(DG$422)+1)/(DG$422:DG$470&lt;&gt;""),ROWS(DO$1:DO21))),"")</f>
        <v/>
      </c>
      <c r="DP442" s="165" t="str">
        <f>IFERROR(INDEX(DH$422:DH$470,_xlfn.AGGREGATE(15,6,(ROW(DH$422:DH$470)-ROW(DH$422)+1)/(DH$422:DH$470&lt;&gt;""),ROWS(DP$1:DP21))),"")</f>
        <v/>
      </c>
      <c r="DQ442" s="166" t="str">
        <f t="shared" si="248"/>
        <v/>
      </c>
      <c r="DR442" s="65"/>
      <c r="DV442" s="145">
        <v>2035</v>
      </c>
      <c r="DW442" s="235" t="e">
        <f t="shared" ca="1" si="232"/>
        <v>#REF!</v>
      </c>
    </row>
    <row r="443" spans="1:135" ht="13.8" x14ac:dyDescent="0.45">
      <c r="B443" s="128">
        <v>2033</v>
      </c>
      <c r="C443" s="1004"/>
      <c r="D443" s="987"/>
      <c r="E443" s="1006"/>
      <c r="F443" s="993"/>
      <c r="G443" s="247"/>
      <c r="H443" s="245"/>
      <c r="I443" s="1112"/>
      <c r="J443" s="247"/>
      <c r="K443" s="245"/>
      <c r="L443" s="246"/>
      <c r="M443" s="245"/>
      <c r="N443" s="29" t="s">
        <v>119</v>
      </c>
      <c r="O443" s="120"/>
      <c r="P443" s="120"/>
      <c r="Q443" s="120"/>
      <c r="R443" s="29">
        <v>19</v>
      </c>
      <c r="S443" s="238" t="str">
        <f t="shared" si="233"/>
        <v/>
      </c>
      <c r="T443" s="238" t="str">
        <f t="shared" si="234"/>
        <v/>
      </c>
      <c r="U443" s="238" t="str">
        <f t="shared" si="235"/>
        <v/>
      </c>
      <c r="W443" s="238" t="e">
        <f t="shared" si="236"/>
        <v>#N/A</v>
      </c>
      <c r="X443" s="238" t="e">
        <f t="shared" si="237"/>
        <v>#N/A</v>
      </c>
      <c r="Y443" s="238" t="e">
        <f t="shared" si="238"/>
        <v>#N/A</v>
      </c>
      <c r="AA443" s="89"/>
      <c r="AB443" s="89"/>
      <c r="AC443" s="89"/>
      <c r="AD443" s="89"/>
      <c r="AE443" s="89"/>
      <c r="AF443" s="89"/>
      <c r="AG443" s="89"/>
      <c r="AH443" s="89"/>
      <c r="AI443" s="89"/>
      <c r="AJ443" s="89"/>
      <c r="AK443" s="89"/>
      <c r="AL443" s="89"/>
      <c r="AM443" s="89"/>
      <c r="AN443" s="89"/>
      <c r="BR443" s="180">
        <v>2031</v>
      </c>
      <c r="BS443" s="22">
        <v>17</v>
      </c>
      <c r="BT443" s="198" t="e">
        <f t="shared" si="249"/>
        <v>#DIV/0!</v>
      </c>
      <c r="BU443" s="276" t="e">
        <f t="shared" si="250"/>
        <v>#DIV/0!</v>
      </c>
      <c r="BV443" s="205" t="e">
        <f t="shared" si="251"/>
        <v>#DIV/0!</v>
      </c>
      <c r="BY443" s="180">
        <v>2031</v>
      </c>
      <c r="BZ443" s="22">
        <v>17</v>
      </c>
      <c r="CA443" s="198" t="e">
        <f t="shared" ca="1" si="252"/>
        <v>#REF!</v>
      </c>
      <c r="CB443" s="198" t="e">
        <f t="shared" ca="1" si="253"/>
        <v>#REF!</v>
      </c>
      <c r="CC443" s="276" t="e">
        <f t="shared" ca="1" si="264"/>
        <v>#REF!</v>
      </c>
      <c r="CD443" s="205" t="e">
        <f t="shared" ca="1" si="254"/>
        <v>#REF!</v>
      </c>
      <c r="CG443" s="180">
        <v>2031</v>
      </c>
      <c r="CH443" s="22">
        <v>17</v>
      </c>
      <c r="CI443" s="198" t="e">
        <f t="shared" ca="1" si="255"/>
        <v>#REF!</v>
      </c>
      <c r="CJ443" s="198" t="e">
        <f t="shared" ca="1" si="256"/>
        <v>#REF!</v>
      </c>
      <c r="CK443" s="198" t="e">
        <f t="shared" ca="1" si="257"/>
        <v>#REF!</v>
      </c>
      <c r="CL443" s="276" t="e">
        <f t="shared" ca="1" si="258"/>
        <v>#REF!</v>
      </c>
      <c r="CM443" s="205" t="e">
        <f t="shared" ca="1" si="259"/>
        <v>#REF!</v>
      </c>
      <c r="CP443" s="180">
        <v>2031</v>
      </c>
      <c r="CQ443" s="22">
        <v>17</v>
      </c>
      <c r="CR443" s="198" t="e">
        <f t="shared" ca="1" si="260"/>
        <v>#REF!</v>
      </c>
      <c r="CS443" s="276" t="e">
        <f t="shared" ca="1" si="261"/>
        <v>#REF!</v>
      </c>
      <c r="CT443" s="205" t="e">
        <f t="shared" ca="1" si="262"/>
        <v>#REF!</v>
      </c>
      <c r="CZ443" s="164" t="b">
        <f t="shared" si="239"/>
        <v>0</v>
      </c>
      <c r="DA443" s="165" t="b">
        <f t="shared" si="239"/>
        <v>0</v>
      </c>
      <c r="DB443" s="166" t="b">
        <f t="shared" si="239"/>
        <v>0</v>
      </c>
      <c r="DC443" s="164" t="str">
        <f t="shared" si="240"/>
        <v/>
      </c>
      <c r="DD443" s="166" t="str">
        <f t="shared" si="241"/>
        <v/>
      </c>
      <c r="DE443" s="164" t="str">
        <f t="shared" si="242"/>
        <v/>
      </c>
      <c r="DF443" s="166" t="str">
        <f t="shared" si="243"/>
        <v/>
      </c>
      <c r="DG443" s="164" t="str">
        <f t="shared" si="244"/>
        <v/>
      </c>
      <c r="DH443" s="166" t="str">
        <f t="shared" si="245"/>
        <v/>
      </c>
      <c r="DI443" s="164" t="str">
        <f>IFERROR(INDEX(DC$422:DC$470,_xlfn.AGGREGATE(15,6,(ROW(DC$422:DC$470)-ROW(DC$422)+1)/(DC$422:DC$470&lt;&gt;""),ROWS(DI$1:DI22))),"")</f>
        <v/>
      </c>
      <c r="DJ443" s="165" t="str">
        <f>IFERROR(INDEX(DD$422:DD$470,_xlfn.AGGREGATE(15,6,(ROW(DD$422:DD$470)-ROW(DD$422)+1)/(DD$422:DD$470&lt;&gt;""),ROWS(DJ$1:DJ22))),"")</f>
        <v/>
      </c>
      <c r="DK443" s="166" t="str">
        <f t="shared" si="246"/>
        <v/>
      </c>
      <c r="DL443" s="164" t="str">
        <f>IFERROR(INDEX(DE$422:DE$470,_xlfn.AGGREGATE(15,6,(ROW(DE$422:DE$470)-ROW(DE$422)+1)/(DE$422:DE$470&lt;&gt;""),ROWS(DL$1:DL22))),"")</f>
        <v/>
      </c>
      <c r="DM443" s="165" t="str">
        <f>IFERROR(INDEX(DF$422:DF$470,_xlfn.AGGREGATE(15,6,(ROW(DF$422:DF$470)-ROW(DF$422)+1)/(DF$422:DF$470&lt;&gt;""),ROWS(DM$1:DM22))),"")</f>
        <v/>
      </c>
      <c r="DN443" s="166" t="str">
        <f t="shared" si="247"/>
        <v/>
      </c>
      <c r="DO443" s="164" t="str">
        <f>IFERROR(INDEX(DG$422:DG$470,_xlfn.AGGREGATE(15,6,(ROW(DG$422:DG$470)-ROW(DG$422)+1)/(DG$422:DG$470&lt;&gt;""),ROWS(DO$1:DO22))),"")</f>
        <v/>
      </c>
      <c r="DP443" s="165" t="str">
        <f>IFERROR(INDEX(DH$422:DH$470,_xlfn.AGGREGATE(15,6,(ROW(DH$422:DH$470)-ROW(DH$422)+1)/(DH$422:DH$470&lt;&gt;""),ROWS(DP$1:DP22))),"")</f>
        <v/>
      </c>
      <c r="DQ443" s="166" t="str">
        <f t="shared" si="248"/>
        <v/>
      </c>
      <c r="DR443" s="65"/>
      <c r="DV443" s="145">
        <v>2036</v>
      </c>
      <c r="DW443" s="235" t="e">
        <f t="shared" ca="1" si="232"/>
        <v>#REF!</v>
      </c>
    </row>
    <row r="444" spans="1:135" ht="13.8" x14ac:dyDescent="0.45">
      <c r="B444" s="128">
        <v>2034</v>
      </c>
      <c r="C444" s="1004"/>
      <c r="D444" s="987"/>
      <c r="E444" s="1006"/>
      <c r="F444" s="993"/>
      <c r="G444" s="247"/>
      <c r="H444" s="245"/>
      <c r="I444" s="1112"/>
      <c r="J444" s="247"/>
      <c r="K444" s="245"/>
      <c r="L444" s="246"/>
      <c r="M444" s="245"/>
      <c r="N444" s="29" t="s">
        <v>119</v>
      </c>
      <c r="O444" s="120"/>
      <c r="P444" s="120"/>
      <c r="Q444" s="120"/>
      <c r="R444" s="29">
        <v>20</v>
      </c>
      <c r="S444" s="238" t="str">
        <f t="shared" si="233"/>
        <v/>
      </c>
      <c r="T444" s="238" t="str">
        <f t="shared" si="234"/>
        <v/>
      </c>
      <c r="U444" s="238" t="str">
        <f t="shared" si="235"/>
        <v/>
      </c>
      <c r="W444" s="238" t="e">
        <f t="shared" si="236"/>
        <v>#N/A</v>
      </c>
      <c r="X444" s="238" t="e">
        <f t="shared" si="237"/>
        <v>#N/A</v>
      </c>
      <c r="Y444" s="238" t="e">
        <f t="shared" si="238"/>
        <v>#N/A</v>
      </c>
      <c r="AA444" s="89"/>
      <c r="AB444" s="89"/>
      <c r="AC444" s="89"/>
      <c r="AD444" s="89"/>
      <c r="AE444" s="89"/>
      <c r="AF444" s="89"/>
      <c r="AG444" s="89"/>
      <c r="AH444" s="89"/>
      <c r="AI444" s="89"/>
      <c r="AJ444" s="89"/>
      <c r="AK444" s="89"/>
      <c r="AL444" s="89"/>
      <c r="AM444" s="89"/>
      <c r="AN444" s="89"/>
      <c r="BR444" s="180">
        <v>2032</v>
      </c>
      <c r="BS444" s="22">
        <v>18</v>
      </c>
      <c r="BT444" s="198" t="e">
        <f t="shared" si="249"/>
        <v>#DIV/0!</v>
      </c>
      <c r="BU444" s="276" t="e">
        <f t="shared" si="250"/>
        <v>#DIV/0!</v>
      </c>
      <c r="BV444" s="205" t="e">
        <f t="shared" si="251"/>
        <v>#DIV/0!</v>
      </c>
      <c r="BY444" s="180">
        <v>2032</v>
      </c>
      <c r="BZ444" s="22">
        <v>18</v>
      </c>
      <c r="CA444" s="198" t="e">
        <f t="shared" ca="1" si="252"/>
        <v>#REF!</v>
      </c>
      <c r="CB444" s="198" t="e">
        <f t="shared" ca="1" si="253"/>
        <v>#REF!</v>
      </c>
      <c r="CC444" s="276" t="e">
        <f t="shared" ca="1" si="264"/>
        <v>#REF!</v>
      </c>
      <c r="CD444" s="205" t="e">
        <f t="shared" ca="1" si="254"/>
        <v>#REF!</v>
      </c>
      <c r="CG444" s="180">
        <v>2032</v>
      </c>
      <c r="CH444" s="22">
        <v>18</v>
      </c>
      <c r="CI444" s="198" t="e">
        <f t="shared" ca="1" si="255"/>
        <v>#REF!</v>
      </c>
      <c r="CJ444" s="198" t="e">
        <f t="shared" ca="1" si="256"/>
        <v>#REF!</v>
      </c>
      <c r="CK444" s="198" t="e">
        <f t="shared" ca="1" si="257"/>
        <v>#REF!</v>
      </c>
      <c r="CL444" s="276" t="e">
        <f t="shared" ca="1" si="258"/>
        <v>#REF!</v>
      </c>
      <c r="CM444" s="205" t="e">
        <f t="shared" ca="1" si="259"/>
        <v>#REF!</v>
      </c>
      <c r="CP444" s="180">
        <v>2032</v>
      </c>
      <c r="CQ444" s="22">
        <v>18</v>
      </c>
      <c r="CR444" s="198" t="e">
        <f t="shared" ca="1" si="260"/>
        <v>#REF!</v>
      </c>
      <c r="CS444" s="276" t="e">
        <f t="shared" ca="1" si="261"/>
        <v>#REF!</v>
      </c>
      <c r="CT444" s="205" t="e">
        <f t="shared" ca="1" si="262"/>
        <v>#REF!</v>
      </c>
      <c r="CZ444" s="164" t="b">
        <f t="shared" si="239"/>
        <v>0</v>
      </c>
      <c r="DA444" s="165" t="b">
        <f t="shared" si="239"/>
        <v>0</v>
      </c>
      <c r="DB444" s="166" t="b">
        <f t="shared" si="239"/>
        <v>0</v>
      </c>
      <c r="DC444" s="164" t="str">
        <f t="shared" si="240"/>
        <v/>
      </c>
      <c r="DD444" s="166" t="str">
        <f t="shared" si="241"/>
        <v/>
      </c>
      <c r="DE444" s="164" t="str">
        <f t="shared" si="242"/>
        <v/>
      </c>
      <c r="DF444" s="166" t="str">
        <f t="shared" si="243"/>
        <v/>
      </c>
      <c r="DG444" s="164" t="str">
        <f t="shared" si="244"/>
        <v/>
      </c>
      <c r="DH444" s="166" t="str">
        <f t="shared" si="245"/>
        <v/>
      </c>
      <c r="DI444" s="164" t="str">
        <f>IFERROR(INDEX(DC$422:DC$470,_xlfn.AGGREGATE(15,6,(ROW(DC$422:DC$470)-ROW(DC$422)+1)/(DC$422:DC$470&lt;&gt;""),ROWS(DI$1:DI23))),"")</f>
        <v/>
      </c>
      <c r="DJ444" s="165" t="str">
        <f>IFERROR(INDEX(DD$422:DD$470,_xlfn.AGGREGATE(15,6,(ROW(DD$422:DD$470)-ROW(DD$422)+1)/(DD$422:DD$470&lt;&gt;""),ROWS(DJ$1:DJ23))),"")</f>
        <v/>
      </c>
      <c r="DK444" s="166" t="str">
        <f t="shared" si="246"/>
        <v/>
      </c>
      <c r="DL444" s="164" t="str">
        <f>IFERROR(INDEX(DE$422:DE$470,_xlfn.AGGREGATE(15,6,(ROW(DE$422:DE$470)-ROW(DE$422)+1)/(DE$422:DE$470&lt;&gt;""),ROWS(DL$1:DL23))),"")</f>
        <v/>
      </c>
      <c r="DM444" s="165" t="str">
        <f>IFERROR(INDEX(DF$422:DF$470,_xlfn.AGGREGATE(15,6,(ROW(DF$422:DF$470)-ROW(DF$422)+1)/(DF$422:DF$470&lt;&gt;""),ROWS(DM$1:DM23))),"")</f>
        <v/>
      </c>
      <c r="DN444" s="166" t="str">
        <f t="shared" si="247"/>
        <v/>
      </c>
      <c r="DO444" s="164" t="str">
        <f>IFERROR(INDEX(DG$422:DG$470,_xlfn.AGGREGATE(15,6,(ROW(DG$422:DG$470)-ROW(DG$422)+1)/(DG$422:DG$470&lt;&gt;""),ROWS(DO$1:DO23))),"")</f>
        <v/>
      </c>
      <c r="DP444" s="165" t="str">
        <f>IFERROR(INDEX(DH$422:DH$470,_xlfn.AGGREGATE(15,6,(ROW(DH$422:DH$470)-ROW(DH$422)+1)/(DH$422:DH$470&lt;&gt;""),ROWS(DP$1:DP23))),"")</f>
        <v/>
      </c>
      <c r="DQ444" s="166" t="str">
        <f t="shared" si="248"/>
        <v/>
      </c>
      <c r="DR444" s="65"/>
      <c r="DV444" s="145">
        <v>2037</v>
      </c>
      <c r="DW444" s="235" t="e">
        <f t="shared" ca="1" si="232"/>
        <v>#REF!</v>
      </c>
    </row>
    <row r="445" spans="1:135" ht="13.8" x14ac:dyDescent="0.45">
      <c r="B445" s="128">
        <v>2035</v>
      </c>
      <c r="C445" s="1004"/>
      <c r="D445" s="987"/>
      <c r="E445" s="1006"/>
      <c r="F445" s="993"/>
      <c r="G445" s="247"/>
      <c r="H445" s="245"/>
      <c r="I445" s="1112"/>
      <c r="J445" s="247"/>
      <c r="K445" s="245"/>
      <c r="L445" s="246"/>
      <c r="M445" s="245"/>
      <c r="N445" s="29" t="s">
        <v>119</v>
      </c>
      <c r="O445" s="120"/>
      <c r="P445" s="120"/>
      <c r="Q445" s="120"/>
      <c r="R445" s="29">
        <v>21</v>
      </c>
      <c r="S445" s="238" t="str">
        <f t="shared" si="233"/>
        <v/>
      </c>
      <c r="T445" s="238" t="str">
        <f t="shared" si="234"/>
        <v/>
      </c>
      <c r="U445" s="238" t="str">
        <f t="shared" si="235"/>
        <v/>
      </c>
      <c r="W445" s="238" t="e">
        <f t="shared" si="236"/>
        <v>#N/A</v>
      </c>
      <c r="X445" s="238" t="e">
        <f t="shared" si="237"/>
        <v>#N/A</v>
      </c>
      <c r="Y445" s="238" t="e">
        <f t="shared" si="238"/>
        <v>#N/A</v>
      </c>
      <c r="AA445" s="89"/>
      <c r="AB445" s="89"/>
      <c r="AC445" s="89"/>
      <c r="AD445" s="89"/>
      <c r="AE445" s="89"/>
      <c r="AF445" s="89"/>
      <c r="AG445" s="89"/>
      <c r="AH445" s="89"/>
      <c r="AI445" s="89"/>
      <c r="AJ445" s="89"/>
      <c r="AK445" s="89"/>
      <c r="AL445" s="89"/>
      <c r="AM445" s="89"/>
      <c r="AN445" s="89"/>
      <c r="BR445" s="180">
        <v>2033</v>
      </c>
      <c r="BS445" s="22">
        <v>19</v>
      </c>
      <c r="BT445" s="198" t="e">
        <f t="shared" si="249"/>
        <v>#DIV/0!</v>
      </c>
      <c r="BU445" s="276" t="e">
        <f t="shared" si="250"/>
        <v>#DIV/0!</v>
      </c>
      <c r="BV445" s="205" t="e">
        <f t="shared" si="251"/>
        <v>#DIV/0!</v>
      </c>
      <c r="BY445" s="180">
        <v>2033</v>
      </c>
      <c r="BZ445" s="22">
        <v>19</v>
      </c>
      <c r="CA445" s="198" t="e">
        <f t="shared" ca="1" si="252"/>
        <v>#REF!</v>
      </c>
      <c r="CB445" s="198" t="e">
        <f t="shared" ca="1" si="253"/>
        <v>#REF!</v>
      </c>
      <c r="CC445" s="276" t="e">
        <f t="shared" ca="1" si="264"/>
        <v>#REF!</v>
      </c>
      <c r="CD445" s="205" t="e">
        <f t="shared" ca="1" si="254"/>
        <v>#REF!</v>
      </c>
      <c r="CG445" s="180">
        <v>2033</v>
      </c>
      <c r="CH445" s="22">
        <v>19</v>
      </c>
      <c r="CI445" s="198" t="e">
        <f t="shared" ca="1" si="255"/>
        <v>#REF!</v>
      </c>
      <c r="CJ445" s="198" t="e">
        <f t="shared" ca="1" si="256"/>
        <v>#REF!</v>
      </c>
      <c r="CK445" s="198" t="e">
        <f t="shared" ca="1" si="257"/>
        <v>#REF!</v>
      </c>
      <c r="CL445" s="276" t="e">
        <f t="shared" ca="1" si="258"/>
        <v>#REF!</v>
      </c>
      <c r="CM445" s="205" t="e">
        <f t="shared" ca="1" si="259"/>
        <v>#REF!</v>
      </c>
      <c r="CP445" s="180">
        <v>2033</v>
      </c>
      <c r="CQ445" s="22">
        <v>19</v>
      </c>
      <c r="CR445" s="198" t="e">
        <f t="shared" ca="1" si="260"/>
        <v>#REF!</v>
      </c>
      <c r="CS445" s="276" t="e">
        <f t="shared" ca="1" si="261"/>
        <v>#REF!</v>
      </c>
      <c r="CT445" s="205" t="e">
        <f t="shared" ca="1" si="262"/>
        <v>#REF!</v>
      </c>
      <c r="CZ445" s="164" t="b">
        <f t="shared" si="239"/>
        <v>0</v>
      </c>
      <c r="DA445" s="165" t="b">
        <f t="shared" si="239"/>
        <v>0</v>
      </c>
      <c r="DB445" s="166" t="b">
        <f t="shared" si="239"/>
        <v>0</v>
      </c>
      <c r="DC445" s="164" t="str">
        <f t="shared" si="240"/>
        <v/>
      </c>
      <c r="DD445" s="166" t="str">
        <f t="shared" si="241"/>
        <v/>
      </c>
      <c r="DE445" s="164" t="str">
        <f t="shared" si="242"/>
        <v/>
      </c>
      <c r="DF445" s="166" t="str">
        <f t="shared" si="243"/>
        <v/>
      </c>
      <c r="DG445" s="164" t="str">
        <f t="shared" si="244"/>
        <v/>
      </c>
      <c r="DH445" s="166" t="str">
        <f t="shared" si="245"/>
        <v/>
      </c>
      <c r="DI445" s="164" t="str">
        <f>IFERROR(INDEX(DC$422:DC$470,_xlfn.AGGREGATE(15,6,(ROW(DC$422:DC$470)-ROW(DC$422)+1)/(DC$422:DC$470&lt;&gt;""),ROWS(DI$1:DI24))),"")</f>
        <v/>
      </c>
      <c r="DJ445" s="165" t="str">
        <f>IFERROR(INDEX(DD$422:DD$470,_xlfn.AGGREGATE(15,6,(ROW(DD$422:DD$470)-ROW(DD$422)+1)/(DD$422:DD$470&lt;&gt;""),ROWS(DJ$1:DJ24))),"")</f>
        <v/>
      </c>
      <c r="DK445" s="166" t="str">
        <f t="shared" si="246"/>
        <v/>
      </c>
      <c r="DL445" s="164" t="str">
        <f>IFERROR(INDEX(DE$422:DE$470,_xlfn.AGGREGATE(15,6,(ROW(DE$422:DE$470)-ROW(DE$422)+1)/(DE$422:DE$470&lt;&gt;""),ROWS(DL$1:DL24))),"")</f>
        <v/>
      </c>
      <c r="DM445" s="165" t="str">
        <f>IFERROR(INDEX(DF$422:DF$470,_xlfn.AGGREGATE(15,6,(ROW(DF$422:DF$470)-ROW(DF$422)+1)/(DF$422:DF$470&lt;&gt;""),ROWS(DM$1:DM24))),"")</f>
        <v/>
      </c>
      <c r="DN445" s="166" t="str">
        <f t="shared" si="247"/>
        <v/>
      </c>
      <c r="DO445" s="164" t="str">
        <f>IFERROR(INDEX(DG$422:DG$470,_xlfn.AGGREGATE(15,6,(ROW(DG$422:DG$470)-ROW(DG$422)+1)/(DG$422:DG$470&lt;&gt;""),ROWS(DO$1:DO24))),"")</f>
        <v/>
      </c>
      <c r="DP445" s="165" t="str">
        <f>IFERROR(INDEX(DH$422:DH$470,_xlfn.AGGREGATE(15,6,(ROW(DH$422:DH$470)-ROW(DH$422)+1)/(DH$422:DH$470&lt;&gt;""),ROWS(DP$1:DP24))),"")</f>
        <v/>
      </c>
      <c r="DQ445" s="166" t="str">
        <f t="shared" si="248"/>
        <v/>
      </c>
      <c r="DR445" s="65"/>
      <c r="DV445" s="145">
        <v>2038</v>
      </c>
      <c r="DW445" s="235" t="e">
        <f t="shared" ca="1" si="232"/>
        <v>#REF!</v>
      </c>
    </row>
    <row r="446" spans="1:135" ht="13.8" x14ac:dyDescent="0.45">
      <c r="B446" s="128">
        <v>2036</v>
      </c>
      <c r="C446" s="1004"/>
      <c r="D446" s="987"/>
      <c r="E446" s="1006"/>
      <c r="F446" s="993"/>
      <c r="G446" s="247"/>
      <c r="H446" s="245"/>
      <c r="I446" s="1112"/>
      <c r="J446" s="247"/>
      <c r="K446" s="245"/>
      <c r="L446" s="246"/>
      <c r="M446" s="245"/>
      <c r="N446" s="29" t="s">
        <v>119</v>
      </c>
      <c r="O446" s="120"/>
      <c r="P446" s="120"/>
      <c r="Q446" s="120"/>
      <c r="R446" s="29">
        <v>22</v>
      </c>
      <c r="S446" s="238" t="str">
        <f t="shared" si="233"/>
        <v/>
      </c>
      <c r="T446" s="238" t="str">
        <f t="shared" si="234"/>
        <v/>
      </c>
      <c r="U446" s="238" t="str">
        <f t="shared" si="235"/>
        <v/>
      </c>
      <c r="W446" s="238" t="e">
        <f t="shared" si="236"/>
        <v>#N/A</v>
      </c>
      <c r="X446" s="238" t="e">
        <f t="shared" si="237"/>
        <v>#N/A</v>
      </c>
      <c r="Y446" s="238" t="e">
        <f t="shared" si="238"/>
        <v>#N/A</v>
      </c>
      <c r="AA446" s="89"/>
      <c r="AB446" s="89"/>
      <c r="AC446" s="89"/>
      <c r="AD446" s="89"/>
      <c r="AE446" s="89"/>
      <c r="AF446" s="89"/>
      <c r="AG446" s="89"/>
      <c r="AH446" s="89"/>
      <c r="AI446" s="89"/>
      <c r="AJ446" s="89"/>
      <c r="AK446" s="89"/>
      <c r="AL446" s="89"/>
      <c r="AM446" s="89"/>
      <c r="AN446" s="89"/>
      <c r="BR446" s="180">
        <v>2034</v>
      </c>
      <c r="BS446" s="22">
        <v>20</v>
      </c>
      <c r="BT446" s="198" t="e">
        <f t="shared" si="249"/>
        <v>#DIV/0!</v>
      </c>
      <c r="BU446" s="276" t="e">
        <f t="shared" si="250"/>
        <v>#DIV/0!</v>
      </c>
      <c r="BV446" s="205" t="e">
        <f t="shared" si="251"/>
        <v>#DIV/0!</v>
      </c>
      <c r="BY446" s="180">
        <v>2034</v>
      </c>
      <c r="BZ446" s="22">
        <v>20</v>
      </c>
      <c r="CA446" s="198" t="e">
        <f t="shared" ca="1" si="252"/>
        <v>#REF!</v>
      </c>
      <c r="CB446" s="198" t="e">
        <f t="shared" ca="1" si="253"/>
        <v>#REF!</v>
      </c>
      <c r="CC446" s="276" t="e">
        <f t="shared" ca="1" si="264"/>
        <v>#REF!</v>
      </c>
      <c r="CD446" s="205" t="e">
        <f t="shared" ca="1" si="254"/>
        <v>#REF!</v>
      </c>
      <c r="CG446" s="180">
        <v>2034</v>
      </c>
      <c r="CH446" s="22">
        <v>20</v>
      </c>
      <c r="CI446" s="198" t="e">
        <f t="shared" ca="1" si="255"/>
        <v>#REF!</v>
      </c>
      <c r="CJ446" s="198" t="e">
        <f t="shared" ca="1" si="256"/>
        <v>#REF!</v>
      </c>
      <c r="CK446" s="198" t="e">
        <f t="shared" ca="1" si="257"/>
        <v>#REF!</v>
      </c>
      <c r="CL446" s="276" t="e">
        <f t="shared" ca="1" si="258"/>
        <v>#REF!</v>
      </c>
      <c r="CM446" s="205" t="e">
        <f t="shared" ca="1" si="259"/>
        <v>#REF!</v>
      </c>
      <c r="CP446" s="180">
        <v>2034</v>
      </c>
      <c r="CQ446" s="22">
        <v>20</v>
      </c>
      <c r="CR446" s="198" t="e">
        <f t="shared" ca="1" si="260"/>
        <v>#REF!</v>
      </c>
      <c r="CS446" s="276" t="e">
        <f t="shared" ca="1" si="261"/>
        <v>#REF!</v>
      </c>
      <c r="CT446" s="205" t="e">
        <f t="shared" ca="1" si="262"/>
        <v>#REF!</v>
      </c>
      <c r="CZ446" s="164" t="b">
        <f t="shared" si="239"/>
        <v>0</v>
      </c>
      <c r="DA446" s="165" t="b">
        <f t="shared" si="239"/>
        <v>0</v>
      </c>
      <c r="DB446" s="166" t="b">
        <f t="shared" si="239"/>
        <v>0</v>
      </c>
      <c r="DC446" s="164" t="str">
        <f t="shared" si="240"/>
        <v/>
      </c>
      <c r="DD446" s="166" t="str">
        <f t="shared" si="241"/>
        <v/>
      </c>
      <c r="DE446" s="164" t="str">
        <f t="shared" si="242"/>
        <v/>
      </c>
      <c r="DF446" s="166" t="str">
        <f t="shared" si="243"/>
        <v/>
      </c>
      <c r="DG446" s="164" t="str">
        <f t="shared" si="244"/>
        <v/>
      </c>
      <c r="DH446" s="166" t="str">
        <f t="shared" si="245"/>
        <v/>
      </c>
      <c r="DI446" s="164" t="str">
        <f>IFERROR(INDEX(DC$422:DC$470,_xlfn.AGGREGATE(15,6,(ROW(DC$422:DC$470)-ROW(DC$422)+1)/(DC$422:DC$470&lt;&gt;""),ROWS(DI$1:DI25))),"")</f>
        <v/>
      </c>
      <c r="DJ446" s="165" t="str">
        <f>IFERROR(INDEX(DD$422:DD$470,_xlfn.AGGREGATE(15,6,(ROW(DD$422:DD$470)-ROW(DD$422)+1)/(DD$422:DD$470&lt;&gt;""),ROWS(DJ$1:DJ25))),"")</f>
        <v/>
      </c>
      <c r="DK446" s="166" t="str">
        <f t="shared" si="246"/>
        <v/>
      </c>
      <c r="DL446" s="164" t="str">
        <f>IFERROR(INDEX(DE$422:DE$470,_xlfn.AGGREGATE(15,6,(ROW(DE$422:DE$470)-ROW(DE$422)+1)/(DE$422:DE$470&lt;&gt;""),ROWS(DL$1:DL25))),"")</f>
        <v/>
      </c>
      <c r="DM446" s="165" t="str">
        <f>IFERROR(INDEX(DF$422:DF$470,_xlfn.AGGREGATE(15,6,(ROW(DF$422:DF$470)-ROW(DF$422)+1)/(DF$422:DF$470&lt;&gt;""),ROWS(DM$1:DM25))),"")</f>
        <v/>
      </c>
      <c r="DN446" s="166" t="str">
        <f t="shared" si="247"/>
        <v/>
      </c>
      <c r="DO446" s="164" t="str">
        <f>IFERROR(INDEX(DG$422:DG$470,_xlfn.AGGREGATE(15,6,(ROW(DG$422:DG$470)-ROW(DG$422)+1)/(DG$422:DG$470&lt;&gt;""),ROWS(DO$1:DO25))),"")</f>
        <v/>
      </c>
      <c r="DP446" s="165" t="str">
        <f>IFERROR(INDEX(DH$422:DH$470,_xlfn.AGGREGATE(15,6,(ROW(DH$422:DH$470)-ROW(DH$422)+1)/(DH$422:DH$470&lt;&gt;""),ROWS(DP$1:DP25))),"")</f>
        <v/>
      </c>
      <c r="DQ446" s="166" t="str">
        <f t="shared" si="248"/>
        <v/>
      </c>
      <c r="DR446" s="65"/>
      <c r="DV446" s="145">
        <v>2039</v>
      </c>
      <c r="DW446" s="235" t="e">
        <f t="shared" ca="1" si="232"/>
        <v>#REF!</v>
      </c>
    </row>
    <row r="447" spans="1:135" ht="13.8" x14ac:dyDescent="0.45">
      <c r="B447" s="128">
        <v>2037</v>
      </c>
      <c r="C447" s="1004"/>
      <c r="D447" s="987"/>
      <c r="E447" s="1006"/>
      <c r="F447" s="993"/>
      <c r="G447" s="247"/>
      <c r="H447" s="245"/>
      <c r="I447" s="1112"/>
      <c r="J447" s="247"/>
      <c r="K447" s="245"/>
      <c r="L447" s="246"/>
      <c r="M447" s="245"/>
      <c r="N447" s="29" t="s">
        <v>119</v>
      </c>
      <c r="O447" s="120"/>
      <c r="P447" s="120"/>
      <c r="Q447" s="120"/>
      <c r="R447" s="29">
        <v>23</v>
      </c>
      <c r="S447" s="238" t="str">
        <f t="shared" si="233"/>
        <v/>
      </c>
      <c r="T447" s="238" t="str">
        <f t="shared" si="234"/>
        <v/>
      </c>
      <c r="U447" s="238" t="str">
        <f t="shared" si="235"/>
        <v/>
      </c>
      <c r="W447" s="238" t="e">
        <f t="shared" si="236"/>
        <v>#N/A</v>
      </c>
      <c r="X447" s="238" t="e">
        <f t="shared" si="237"/>
        <v>#N/A</v>
      </c>
      <c r="Y447" s="238" t="e">
        <f t="shared" si="238"/>
        <v>#N/A</v>
      </c>
      <c r="AA447" s="89"/>
      <c r="AB447" s="89"/>
      <c r="AC447" s="89"/>
      <c r="AD447" s="89"/>
      <c r="AE447" s="89"/>
      <c r="AF447" s="89"/>
      <c r="AG447" s="89"/>
      <c r="AH447" s="89"/>
      <c r="AI447" s="89"/>
      <c r="AJ447" s="89"/>
      <c r="AK447" s="89"/>
      <c r="AL447" s="89"/>
      <c r="AM447" s="89"/>
      <c r="AN447" s="89"/>
      <c r="BR447" s="180">
        <v>2035</v>
      </c>
      <c r="BS447" s="22">
        <v>21</v>
      </c>
      <c r="BT447" s="198" t="e">
        <f t="shared" si="249"/>
        <v>#DIV/0!</v>
      </c>
      <c r="BU447" s="276" t="e">
        <f t="shared" si="250"/>
        <v>#DIV/0!</v>
      </c>
      <c r="BV447" s="205" t="e">
        <f t="shared" si="251"/>
        <v>#DIV/0!</v>
      </c>
      <c r="BY447" s="180">
        <v>2035</v>
      </c>
      <c r="BZ447" s="22">
        <v>21</v>
      </c>
      <c r="CA447" s="198" t="e">
        <f t="shared" ca="1" si="252"/>
        <v>#REF!</v>
      </c>
      <c r="CB447" s="198" t="e">
        <f t="shared" ca="1" si="253"/>
        <v>#REF!</v>
      </c>
      <c r="CC447" s="276" t="e">
        <f t="shared" ca="1" si="264"/>
        <v>#REF!</v>
      </c>
      <c r="CD447" s="205" t="e">
        <f t="shared" ca="1" si="254"/>
        <v>#REF!</v>
      </c>
      <c r="CG447" s="180">
        <v>2035</v>
      </c>
      <c r="CH447" s="22">
        <v>21</v>
      </c>
      <c r="CI447" s="198" t="e">
        <f t="shared" ca="1" si="255"/>
        <v>#REF!</v>
      </c>
      <c r="CJ447" s="198" t="e">
        <f t="shared" ca="1" si="256"/>
        <v>#REF!</v>
      </c>
      <c r="CK447" s="198" t="e">
        <f t="shared" ca="1" si="257"/>
        <v>#REF!</v>
      </c>
      <c r="CL447" s="276" t="e">
        <f t="shared" ca="1" si="258"/>
        <v>#REF!</v>
      </c>
      <c r="CM447" s="205" t="e">
        <f t="shared" ca="1" si="259"/>
        <v>#REF!</v>
      </c>
      <c r="CP447" s="180">
        <v>2035</v>
      </c>
      <c r="CQ447" s="22">
        <v>21</v>
      </c>
      <c r="CR447" s="198" t="e">
        <f t="shared" ca="1" si="260"/>
        <v>#REF!</v>
      </c>
      <c r="CS447" s="276" t="e">
        <f t="shared" ca="1" si="261"/>
        <v>#REF!</v>
      </c>
      <c r="CT447" s="205" t="e">
        <f t="shared" ca="1" si="262"/>
        <v>#REF!</v>
      </c>
      <c r="CZ447" s="164" t="b">
        <f t="shared" si="239"/>
        <v>0</v>
      </c>
      <c r="DA447" s="165" t="b">
        <f t="shared" si="239"/>
        <v>0</v>
      </c>
      <c r="DB447" s="166" t="b">
        <f t="shared" si="239"/>
        <v>0</v>
      </c>
      <c r="DC447" s="164" t="str">
        <f t="shared" si="240"/>
        <v/>
      </c>
      <c r="DD447" s="166" t="str">
        <f t="shared" si="241"/>
        <v/>
      </c>
      <c r="DE447" s="164" t="str">
        <f t="shared" si="242"/>
        <v/>
      </c>
      <c r="DF447" s="166" t="str">
        <f t="shared" si="243"/>
        <v/>
      </c>
      <c r="DG447" s="164" t="str">
        <f t="shared" si="244"/>
        <v/>
      </c>
      <c r="DH447" s="166" t="str">
        <f t="shared" si="245"/>
        <v/>
      </c>
      <c r="DI447" s="164" t="str">
        <f>IFERROR(INDEX(DC$422:DC$470,_xlfn.AGGREGATE(15,6,(ROW(DC$422:DC$470)-ROW(DC$422)+1)/(DC$422:DC$470&lt;&gt;""),ROWS(DI$1:DI26))),"")</f>
        <v/>
      </c>
      <c r="DJ447" s="165" t="str">
        <f>IFERROR(INDEX(DD$422:DD$470,_xlfn.AGGREGATE(15,6,(ROW(DD$422:DD$470)-ROW(DD$422)+1)/(DD$422:DD$470&lt;&gt;""),ROWS(DJ$1:DJ26))),"")</f>
        <v/>
      </c>
      <c r="DK447" s="166" t="str">
        <f t="shared" si="246"/>
        <v/>
      </c>
      <c r="DL447" s="164" t="str">
        <f>IFERROR(INDEX(DE$422:DE$470,_xlfn.AGGREGATE(15,6,(ROW(DE$422:DE$470)-ROW(DE$422)+1)/(DE$422:DE$470&lt;&gt;""),ROWS(DL$1:DL26))),"")</f>
        <v/>
      </c>
      <c r="DM447" s="165" t="str">
        <f>IFERROR(INDEX(DF$422:DF$470,_xlfn.AGGREGATE(15,6,(ROW(DF$422:DF$470)-ROW(DF$422)+1)/(DF$422:DF$470&lt;&gt;""),ROWS(DM$1:DM26))),"")</f>
        <v/>
      </c>
      <c r="DN447" s="166" t="str">
        <f t="shared" si="247"/>
        <v/>
      </c>
      <c r="DO447" s="164" t="str">
        <f>IFERROR(INDEX(DG$422:DG$470,_xlfn.AGGREGATE(15,6,(ROW(DG$422:DG$470)-ROW(DG$422)+1)/(DG$422:DG$470&lt;&gt;""),ROWS(DO$1:DO26))),"")</f>
        <v/>
      </c>
      <c r="DP447" s="165" t="str">
        <f>IFERROR(INDEX(DH$422:DH$470,_xlfn.AGGREGATE(15,6,(ROW(DH$422:DH$470)-ROW(DH$422)+1)/(DH$422:DH$470&lt;&gt;""),ROWS(DP$1:DP26))),"")</f>
        <v/>
      </c>
      <c r="DQ447" s="166" t="str">
        <f t="shared" si="248"/>
        <v/>
      </c>
      <c r="DR447" s="65"/>
      <c r="DV447" s="145">
        <v>2040</v>
      </c>
      <c r="DW447" s="235" t="e">
        <f t="shared" ca="1" si="232"/>
        <v>#REF!</v>
      </c>
    </row>
    <row r="448" spans="1:135" ht="13.8" x14ac:dyDescent="0.45">
      <c r="B448" s="128">
        <v>2038</v>
      </c>
      <c r="C448" s="1004"/>
      <c r="D448" s="987"/>
      <c r="E448" s="1006"/>
      <c r="F448" s="993"/>
      <c r="G448" s="247"/>
      <c r="H448" s="245"/>
      <c r="I448" s="1112"/>
      <c r="J448" s="247"/>
      <c r="K448" s="245"/>
      <c r="L448" s="246"/>
      <c r="M448" s="245"/>
      <c r="N448" s="29" t="s">
        <v>119</v>
      </c>
      <c r="O448" s="120"/>
      <c r="P448" s="120"/>
      <c r="Q448" s="120"/>
      <c r="R448" s="29">
        <v>24</v>
      </c>
      <c r="S448" s="238" t="str">
        <f t="shared" si="233"/>
        <v/>
      </c>
      <c r="T448" s="238" t="str">
        <f t="shared" si="234"/>
        <v/>
      </c>
      <c r="U448" s="238" t="str">
        <f t="shared" si="235"/>
        <v/>
      </c>
      <c r="W448" s="238" t="e">
        <f t="shared" si="236"/>
        <v>#N/A</v>
      </c>
      <c r="X448" s="238" t="e">
        <f t="shared" si="237"/>
        <v>#N/A</v>
      </c>
      <c r="Y448" s="238" t="e">
        <f t="shared" si="238"/>
        <v>#N/A</v>
      </c>
      <c r="AA448" s="89"/>
      <c r="AB448" s="89"/>
      <c r="AC448" s="89"/>
      <c r="AD448" s="89"/>
      <c r="AE448" s="89"/>
      <c r="AF448" s="89"/>
      <c r="AG448" s="89"/>
      <c r="AH448" s="89"/>
      <c r="AI448" s="89"/>
      <c r="AJ448" s="89"/>
      <c r="AK448" s="89"/>
      <c r="AL448" s="89"/>
      <c r="AM448" s="89"/>
      <c r="AN448" s="89"/>
      <c r="BR448" s="180">
        <v>2036</v>
      </c>
      <c r="BS448" s="22">
        <v>22</v>
      </c>
      <c r="BT448" s="198" t="e">
        <f t="shared" si="249"/>
        <v>#DIV/0!</v>
      </c>
      <c r="BU448" s="276" t="e">
        <f t="shared" si="250"/>
        <v>#DIV/0!</v>
      </c>
      <c r="BV448" s="205" t="e">
        <f t="shared" si="251"/>
        <v>#DIV/0!</v>
      </c>
      <c r="BY448" s="180">
        <v>2036</v>
      </c>
      <c r="BZ448" s="22">
        <v>22</v>
      </c>
      <c r="CA448" s="198" t="e">
        <f t="shared" ca="1" si="252"/>
        <v>#REF!</v>
      </c>
      <c r="CB448" s="198" t="e">
        <f t="shared" ca="1" si="253"/>
        <v>#REF!</v>
      </c>
      <c r="CC448" s="276" t="e">
        <f t="shared" ca="1" si="264"/>
        <v>#REF!</v>
      </c>
      <c r="CD448" s="205" t="e">
        <f t="shared" ca="1" si="254"/>
        <v>#REF!</v>
      </c>
      <c r="CG448" s="180">
        <v>2036</v>
      </c>
      <c r="CH448" s="22">
        <v>22</v>
      </c>
      <c r="CI448" s="198" t="e">
        <f t="shared" ca="1" si="255"/>
        <v>#REF!</v>
      </c>
      <c r="CJ448" s="198" t="e">
        <f t="shared" ca="1" si="256"/>
        <v>#REF!</v>
      </c>
      <c r="CK448" s="198" t="e">
        <f t="shared" ca="1" si="257"/>
        <v>#REF!</v>
      </c>
      <c r="CL448" s="276" t="e">
        <f t="shared" ca="1" si="258"/>
        <v>#REF!</v>
      </c>
      <c r="CM448" s="205" t="e">
        <f t="shared" ca="1" si="259"/>
        <v>#REF!</v>
      </c>
      <c r="CP448" s="180">
        <v>2036</v>
      </c>
      <c r="CQ448" s="22">
        <v>22</v>
      </c>
      <c r="CR448" s="198" t="e">
        <f t="shared" ca="1" si="260"/>
        <v>#REF!</v>
      </c>
      <c r="CS448" s="276" t="e">
        <f t="shared" ca="1" si="261"/>
        <v>#REF!</v>
      </c>
      <c r="CT448" s="205" t="e">
        <f t="shared" ca="1" si="262"/>
        <v>#REF!</v>
      </c>
      <c r="CZ448" s="164" t="b">
        <f t="shared" si="239"/>
        <v>0</v>
      </c>
      <c r="DA448" s="165" t="b">
        <f t="shared" si="239"/>
        <v>0</v>
      </c>
      <c r="DB448" s="166" t="b">
        <f t="shared" si="239"/>
        <v>0</v>
      </c>
      <c r="DC448" s="164" t="str">
        <f t="shared" si="240"/>
        <v/>
      </c>
      <c r="DD448" s="166" t="str">
        <f t="shared" si="241"/>
        <v/>
      </c>
      <c r="DE448" s="164" t="str">
        <f t="shared" si="242"/>
        <v/>
      </c>
      <c r="DF448" s="166" t="str">
        <f t="shared" si="243"/>
        <v/>
      </c>
      <c r="DG448" s="164" t="str">
        <f t="shared" si="244"/>
        <v/>
      </c>
      <c r="DH448" s="166" t="str">
        <f t="shared" si="245"/>
        <v/>
      </c>
      <c r="DI448" s="164" t="str">
        <f>IFERROR(INDEX(DC$422:DC$470,_xlfn.AGGREGATE(15,6,(ROW(DC$422:DC$470)-ROW(DC$422)+1)/(DC$422:DC$470&lt;&gt;""),ROWS(DI$1:DI27))),"")</f>
        <v/>
      </c>
      <c r="DJ448" s="165" t="str">
        <f>IFERROR(INDEX(DD$422:DD$470,_xlfn.AGGREGATE(15,6,(ROW(DD$422:DD$470)-ROW(DD$422)+1)/(DD$422:DD$470&lt;&gt;""),ROWS(DJ$1:DJ27))),"")</f>
        <v/>
      </c>
      <c r="DK448" s="166" t="str">
        <f t="shared" si="246"/>
        <v/>
      </c>
      <c r="DL448" s="164" t="str">
        <f>IFERROR(INDEX(DE$422:DE$470,_xlfn.AGGREGATE(15,6,(ROW(DE$422:DE$470)-ROW(DE$422)+1)/(DE$422:DE$470&lt;&gt;""),ROWS(DL$1:DL27))),"")</f>
        <v/>
      </c>
      <c r="DM448" s="165" t="str">
        <f>IFERROR(INDEX(DF$422:DF$470,_xlfn.AGGREGATE(15,6,(ROW(DF$422:DF$470)-ROW(DF$422)+1)/(DF$422:DF$470&lt;&gt;""),ROWS(DM$1:DM27))),"")</f>
        <v/>
      </c>
      <c r="DN448" s="166" t="str">
        <f t="shared" si="247"/>
        <v/>
      </c>
      <c r="DO448" s="164" t="str">
        <f>IFERROR(INDEX(DG$422:DG$470,_xlfn.AGGREGATE(15,6,(ROW(DG$422:DG$470)-ROW(DG$422)+1)/(DG$422:DG$470&lt;&gt;""),ROWS(DO$1:DO27))),"")</f>
        <v/>
      </c>
      <c r="DP448" s="165" t="str">
        <f>IFERROR(INDEX(DH$422:DH$470,_xlfn.AGGREGATE(15,6,(ROW(DH$422:DH$470)-ROW(DH$422)+1)/(DH$422:DH$470&lt;&gt;""),ROWS(DP$1:DP27))),"")</f>
        <v/>
      </c>
      <c r="DQ448" s="166" t="str">
        <f t="shared" si="248"/>
        <v/>
      </c>
      <c r="DR448" s="65"/>
      <c r="DV448" s="145">
        <v>2041</v>
      </c>
      <c r="DW448" s="235" t="e">
        <f t="shared" ca="1" si="232"/>
        <v>#REF!</v>
      </c>
    </row>
    <row r="449" spans="2:135" ht="13.8" x14ac:dyDescent="0.45">
      <c r="B449" s="128">
        <v>2039</v>
      </c>
      <c r="C449" s="1004"/>
      <c r="D449" s="987"/>
      <c r="E449" s="1006"/>
      <c r="F449" s="993"/>
      <c r="G449" s="247"/>
      <c r="H449" s="245"/>
      <c r="I449" s="1112"/>
      <c r="J449" s="247"/>
      <c r="K449" s="245"/>
      <c r="L449" s="246"/>
      <c r="M449" s="245"/>
      <c r="N449" s="29" t="s">
        <v>119</v>
      </c>
      <c r="O449" s="120"/>
      <c r="P449" s="120"/>
      <c r="Q449" s="120"/>
      <c r="R449" s="29">
        <v>25</v>
      </c>
      <c r="S449" s="238" t="str">
        <f t="shared" si="233"/>
        <v/>
      </c>
      <c r="T449" s="238" t="str">
        <f t="shared" si="234"/>
        <v/>
      </c>
      <c r="U449" s="238" t="str">
        <f t="shared" si="235"/>
        <v/>
      </c>
      <c r="W449" s="238" t="e">
        <f t="shared" si="236"/>
        <v>#N/A</v>
      </c>
      <c r="X449" s="238" t="e">
        <f t="shared" si="237"/>
        <v>#N/A</v>
      </c>
      <c r="Y449" s="238" t="e">
        <f t="shared" si="238"/>
        <v>#N/A</v>
      </c>
      <c r="AA449" s="89"/>
      <c r="AB449" s="89"/>
      <c r="AC449" s="89"/>
      <c r="AD449" s="89"/>
      <c r="AE449" s="89"/>
      <c r="AF449" s="89"/>
      <c r="AG449" s="89"/>
      <c r="AH449" s="89"/>
      <c r="AI449" s="89"/>
      <c r="AJ449" s="89"/>
      <c r="AK449" s="89"/>
      <c r="AL449" s="89"/>
      <c r="AM449" s="89"/>
      <c r="AN449" s="89"/>
      <c r="BR449" s="180">
        <v>2037</v>
      </c>
      <c r="BS449" s="22">
        <v>23</v>
      </c>
      <c r="BT449" s="198" t="e">
        <f t="shared" si="249"/>
        <v>#DIV/0!</v>
      </c>
      <c r="BU449" s="276" t="e">
        <f t="shared" si="250"/>
        <v>#DIV/0!</v>
      </c>
      <c r="BV449" s="205" t="e">
        <f t="shared" si="251"/>
        <v>#DIV/0!</v>
      </c>
      <c r="BY449" s="180">
        <v>2037</v>
      </c>
      <c r="BZ449" s="22">
        <v>23</v>
      </c>
      <c r="CA449" s="198" t="e">
        <f t="shared" ca="1" si="252"/>
        <v>#REF!</v>
      </c>
      <c r="CB449" s="198" t="e">
        <f t="shared" ca="1" si="253"/>
        <v>#REF!</v>
      </c>
      <c r="CC449" s="276" t="e">
        <f t="shared" ca="1" si="264"/>
        <v>#REF!</v>
      </c>
      <c r="CD449" s="205" t="e">
        <f t="shared" ca="1" si="254"/>
        <v>#REF!</v>
      </c>
      <c r="CG449" s="180">
        <v>2037</v>
      </c>
      <c r="CH449" s="22">
        <v>23</v>
      </c>
      <c r="CI449" s="198" t="e">
        <f t="shared" ca="1" si="255"/>
        <v>#REF!</v>
      </c>
      <c r="CJ449" s="198" t="e">
        <f t="shared" ca="1" si="256"/>
        <v>#REF!</v>
      </c>
      <c r="CK449" s="198" t="e">
        <f t="shared" ca="1" si="257"/>
        <v>#REF!</v>
      </c>
      <c r="CL449" s="276" t="e">
        <f t="shared" ca="1" si="258"/>
        <v>#REF!</v>
      </c>
      <c r="CM449" s="205" t="e">
        <f t="shared" ca="1" si="259"/>
        <v>#REF!</v>
      </c>
      <c r="CP449" s="180">
        <v>2037</v>
      </c>
      <c r="CQ449" s="22">
        <v>23</v>
      </c>
      <c r="CR449" s="198" t="e">
        <f t="shared" ca="1" si="260"/>
        <v>#REF!</v>
      </c>
      <c r="CS449" s="276" t="e">
        <f t="shared" ca="1" si="261"/>
        <v>#REF!</v>
      </c>
      <c r="CT449" s="205" t="e">
        <f t="shared" ca="1" si="262"/>
        <v>#REF!</v>
      </c>
      <c r="CZ449" s="164" t="b">
        <f t="shared" si="239"/>
        <v>0</v>
      </c>
      <c r="DA449" s="165" t="b">
        <f t="shared" si="239"/>
        <v>0</v>
      </c>
      <c r="DB449" s="166" t="b">
        <f t="shared" si="239"/>
        <v>0</v>
      </c>
      <c r="DC449" s="164" t="str">
        <f t="shared" si="240"/>
        <v/>
      </c>
      <c r="DD449" s="166" t="str">
        <f t="shared" si="241"/>
        <v/>
      </c>
      <c r="DE449" s="164" t="str">
        <f t="shared" si="242"/>
        <v/>
      </c>
      <c r="DF449" s="166" t="str">
        <f t="shared" si="243"/>
        <v/>
      </c>
      <c r="DG449" s="164" t="str">
        <f t="shared" si="244"/>
        <v/>
      </c>
      <c r="DH449" s="166" t="str">
        <f t="shared" si="245"/>
        <v/>
      </c>
      <c r="DI449" s="164" t="str">
        <f>IFERROR(INDEX(DC$422:DC$470,_xlfn.AGGREGATE(15,6,(ROW(DC$422:DC$470)-ROW(DC$422)+1)/(DC$422:DC$470&lt;&gt;""),ROWS(DI$1:DI28))),"")</f>
        <v/>
      </c>
      <c r="DJ449" s="165" t="str">
        <f>IFERROR(INDEX(DD$422:DD$470,_xlfn.AGGREGATE(15,6,(ROW(DD$422:DD$470)-ROW(DD$422)+1)/(DD$422:DD$470&lt;&gt;""),ROWS(DJ$1:DJ28))),"")</f>
        <v/>
      </c>
      <c r="DK449" s="166" t="str">
        <f t="shared" si="246"/>
        <v/>
      </c>
      <c r="DL449" s="164" t="str">
        <f>IFERROR(INDEX(DE$422:DE$470,_xlfn.AGGREGATE(15,6,(ROW(DE$422:DE$470)-ROW(DE$422)+1)/(DE$422:DE$470&lt;&gt;""),ROWS(DL$1:DL28))),"")</f>
        <v/>
      </c>
      <c r="DM449" s="165" t="str">
        <f>IFERROR(INDEX(DF$422:DF$470,_xlfn.AGGREGATE(15,6,(ROW(DF$422:DF$470)-ROW(DF$422)+1)/(DF$422:DF$470&lt;&gt;""),ROWS(DM$1:DM28))),"")</f>
        <v/>
      </c>
      <c r="DN449" s="166" t="str">
        <f t="shared" si="247"/>
        <v/>
      </c>
      <c r="DO449" s="164" t="str">
        <f>IFERROR(INDEX(DG$422:DG$470,_xlfn.AGGREGATE(15,6,(ROW(DG$422:DG$470)-ROW(DG$422)+1)/(DG$422:DG$470&lt;&gt;""),ROWS(DO$1:DO28))),"")</f>
        <v/>
      </c>
      <c r="DP449" s="165" t="str">
        <f>IFERROR(INDEX(DH$422:DH$470,_xlfn.AGGREGATE(15,6,(ROW(DH$422:DH$470)-ROW(DH$422)+1)/(DH$422:DH$470&lt;&gt;""),ROWS(DP$1:DP28))),"")</f>
        <v/>
      </c>
      <c r="DQ449" s="166" t="str">
        <f t="shared" si="248"/>
        <v/>
      </c>
      <c r="DR449" s="65"/>
      <c r="DV449" s="145">
        <v>2042</v>
      </c>
      <c r="DW449" s="235" t="e">
        <f t="shared" ca="1" si="232"/>
        <v>#REF!</v>
      </c>
    </row>
    <row r="450" spans="2:135" ht="13.8" x14ac:dyDescent="0.45">
      <c r="B450" s="128">
        <v>2040</v>
      </c>
      <c r="C450" s="1004"/>
      <c r="D450" s="987"/>
      <c r="E450" s="1006"/>
      <c r="F450" s="993"/>
      <c r="G450" s="247"/>
      <c r="H450" s="245"/>
      <c r="I450" s="1112"/>
      <c r="J450" s="247"/>
      <c r="K450" s="245"/>
      <c r="L450" s="246"/>
      <c r="M450" s="245"/>
      <c r="N450" s="29" t="s">
        <v>119</v>
      </c>
      <c r="O450" s="120"/>
      <c r="P450" s="120"/>
      <c r="Q450" s="120"/>
      <c r="R450" s="29">
        <v>26</v>
      </c>
      <c r="S450" s="238" t="str">
        <f t="shared" si="233"/>
        <v/>
      </c>
      <c r="T450" s="238" t="str">
        <f t="shared" si="234"/>
        <v/>
      </c>
      <c r="U450" s="238" t="str">
        <f t="shared" si="235"/>
        <v/>
      </c>
      <c r="W450" s="238" t="e">
        <f t="shared" si="236"/>
        <v>#N/A</v>
      </c>
      <c r="X450" s="238" t="e">
        <f t="shared" si="237"/>
        <v>#N/A</v>
      </c>
      <c r="Y450" s="238" t="e">
        <f t="shared" si="238"/>
        <v>#N/A</v>
      </c>
      <c r="AA450" s="89"/>
      <c r="AB450" s="89"/>
      <c r="AC450" s="89"/>
      <c r="AD450" s="89"/>
      <c r="AE450" s="89"/>
      <c r="AF450" s="89"/>
      <c r="AG450" s="89"/>
      <c r="AH450" s="89"/>
      <c r="AI450" s="89"/>
      <c r="AJ450" s="89"/>
      <c r="AK450" s="89"/>
      <c r="AL450" s="89"/>
      <c r="AM450" s="89"/>
      <c r="AN450" s="89"/>
      <c r="BR450" s="180">
        <v>2038</v>
      </c>
      <c r="BS450" s="22">
        <v>24</v>
      </c>
      <c r="BT450" s="198" t="e">
        <f t="shared" si="249"/>
        <v>#DIV/0!</v>
      </c>
      <c r="BU450" s="276" t="e">
        <f t="shared" si="250"/>
        <v>#DIV/0!</v>
      </c>
      <c r="BV450" s="205" t="e">
        <f t="shared" si="251"/>
        <v>#DIV/0!</v>
      </c>
      <c r="BY450" s="180">
        <v>2038</v>
      </c>
      <c r="BZ450" s="22">
        <v>24</v>
      </c>
      <c r="CA450" s="198" t="e">
        <f t="shared" ca="1" si="252"/>
        <v>#REF!</v>
      </c>
      <c r="CB450" s="198" t="e">
        <f t="shared" ca="1" si="253"/>
        <v>#REF!</v>
      </c>
      <c r="CC450" s="276" t="e">
        <f t="shared" ca="1" si="264"/>
        <v>#REF!</v>
      </c>
      <c r="CD450" s="205" t="e">
        <f t="shared" ca="1" si="254"/>
        <v>#REF!</v>
      </c>
      <c r="CG450" s="180">
        <v>2038</v>
      </c>
      <c r="CH450" s="22">
        <v>24</v>
      </c>
      <c r="CI450" s="198" t="e">
        <f t="shared" ca="1" si="255"/>
        <v>#REF!</v>
      </c>
      <c r="CJ450" s="198" t="e">
        <f t="shared" ca="1" si="256"/>
        <v>#REF!</v>
      </c>
      <c r="CK450" s="198" t="e">
        <f t="shared" ca="1" si="257"/>
        <v>#REF!</v>
      </c>
      <c r="CL450" s="276" t="e">
        <f t="shared" ca="1" si="258"/>
        <v>#REF!</v>
      </c>
      <c r="CM450" s="205" t="e">
        <f t="shared" ca="1" si="259"/>
        <v>#REF!</v>
      </c>
      <c r="CP450" s="180">
        <v>2038</v>
      </c>
      <c r="CQ450" s="22">
        <v>24</v>
      </c>
      <c r="CR450" s="198" t="e">
        <f t="shared" ca="1" si="260"/>
        <v>#REF!</v>
      </c>
      <c r="CS450" s="276" t="e">
        <f t="shared" ca="1" si="261"/>
        <v>#REF!</v>
      </c>
      <c r="CT450" s="205" t="e">
        <f t="shared" ca="1" si="262"/>
        <v>#REF!</v>
      </c>
      <c r="CZ450" s="164" t="b">
        <f t="shared" si="239"/>
        <v>0</v>
      </c>
      <c r="DA450" s="165" t="b">
        <f t="shared" si="239"/>
        <v>0</v>
      </c>
      <c r="DB450" s="166" t="b">
        <f t="shared" si="239"/>
        <v>0</v>
      </c>
      <c r="DC450" s="164" t="str">
        <f t="shared" si="240"/>
        <v/>
      </c>
      <c r="DD450" s="166" t="str">
        <f t="shared" si="241"/>
        <v/>
      </c>
      <c r="DE450" s="164" t="str">
        <f t="shared" si="242"/>
        <v/>
      </c>
      <c r="DF450" s="166" t="str">
        <f t="shared" si="243"/>
        <v/>
      </c>
      <c r="DG450" s="164" t="str">
        <f t="shared" si="244"/>
        <v/>
      </c>
      <c r="DH450" s="166" t="str">
        <f t="shared" si="245"/>
        <v/>
      </c>
      <c r="DI450" s="164" t="str">
        <f>IFERROR(INDEX(DC$422:DC$470,_xlfn.AGGREGATE(15,6,(ROW(DC$422:DC$470)-ROW(DC$422)+1)/(DC$422:DC$470&lt;&gt;""),ROWS(DI$1:DI29))),"")</f>
        <v/>
      </c>
      <c r="DJ450" s="165" t="str">
        <f>IFERROR(INDEX(DD$422:DD$470,_xlfn.AGGREGATE(15,6,(ROW(DD$422:DD$470)-ROW(DD$422)+1)/(DD$422:DD$470&lt;&gt;""),ROWS(DJ$1:DJ29))),"")</f>
        <v/>
      </c>
      <c r="DK450" s="166" t="str">
        <f t="shared" si="246"/>
        <v/>
      </c>
      <c r="DL450" s="164" t="str">
        <f>IFERROR(INDEX(DE$422:DE$470,_xlfn.AGGREGATE(15,6,(ROW(DE$422:DE$470)-ROW(DE$422)+1)/(DE$422:DE$470&lt;&gt;""),ROWS(DL$1:DL29))),"")</f>
        <v/>
      </c>
      <c r="DM450" s="165" t="str">
        <f>IFERROR(INDEX(DF$422:DF$470,_xlfn.AGGREGATE(15,6,(ROW(DF$422:DF$470)-ROW(DF$422)+1)/(DF$422:DF$470&lt;&gt;""),ROWS(DM$1:DM29))),"")</f>
        <v/>
      </c>
      <c r="DN450" s="166" t="str">
        <f t="shared" si="247"/>
        <v/>
      </c>
      <c r="DO450" s="164" t="str">
        <f>IFERROR(INDEX(DG$422:DG$470,_xlfn.AGGREGATE(15,6,(ROW(DG$422:DG$470)-ROW(DG$422)+1)/(DG$422:DG$470&lt;&gt;""),ROWS(DO$1:DO29))),"")</f>
        <v/>
      </c>
      <c r="DP450" s="165" t="str">
        <f>IFERROR(INDEX(DH$422:DH$470,_xlfn.AGGREGATE(15,6,(ROW(DH$422:DH$470)-ROW(DH$422)+1)/(DH$422:DH$470&lt;&gt;""),ROWS(DP$1:DP29))),"")</f>
        <v/>
      </c>
      <c r="DQ450" s="166" t="str">
        <f t="shared" si="248"/>
        <v/>
      </c>
      <c r="DR450" s="65"/>
      <c r="DV450" s="145">
        <v>2043</v>
      </c>
      <c r="DW450" s="235" t="e">
        <f t="shared" ca="1" si="232"/>
        <v>#REF!</v>
      </c>
      <c r="EA450" s="55"/>
      <c r="EB450" s="55"/>
      <c r="EC450" s="55"/>
      <c r="ED450" s="55"/>
      <c r="EE450" s="55"/>
    </row>
    <row r="451" spans="2:135" ht="13.8" x14ac:dyDescent="0.45">
      <c r="B451" s="128">
        <v>2041</v>
      </c>
      <c r="C451" s="1004"/>
      <c r="D451" s="987"/>
      <c r="E451" s="1006"/>
      <c r="F451" s="993"/>
      <c r="G451" s="247"/>
      <c r="H451" s="245"/>
      <c r="I451" s="1112"/>
      <c r="J451" s="247"/>
      <c r="K451" s="245"/>
      <c r="L451" s="246"/>
      <c r="M451" s="245"/>
      <c r="N451" s="29" t="s">
        <v>119</v>
      </c>
      <c r="O451" s="120"/>
      <c r="P451" s="120"/>
      <c r="Q451" s="120"/>
      <c r="R451" s="29">
        <v>27</v>
      </c>
      <c r="S451" s="238" t="str">
        <f t="shared" si="233"/>
        <v/>
      </c>
      <c r="T451" s="238" t="str">
        <f t="shared" si="234"/>
        <v/>
      </c>
      <c r="U451" s="238" t="str">
        <f t="shared" si="235"/>
        <v/>
      </c>
      <c r="W451" s="238" t="e">
        <f t="shared" si="236"/>
        <v>#N/A</v>
      </c>
      <c r="X451" s="238" t="e">
        <f t="shared" si="237"/>
        <v>#N/A</v>
      </c>
      <c r="Y451" s="238" t="e">
        <f t="shared" si="238"/>
        <v>#N/A</v>
      </c>
      <c r="AA451" s="89"/>
      <c r="AB451" s="89"/>
      <c r="AC451" s="89"/>
      <c r="AD451" s="89"/>
      <c r="AE451" s="89"/>
      <c r="AF451" s="89"/>
      <c r="AG451" s="89"/>
      <c r="AH451" s="89"/>
      <c r="AI451" s="89"/>
      <c r="AJ451" s="89"/>
      <c r="AK451" s="89"/>
      <c r="AL451" s="89"/>
      <c r="AM451" s="89"/>
      <c r="AN451" s="89"/>
      <c r="BR451" s="180">
        <v>2039</v>
      </c>
      <c r="BS451" s="22">
        <v>25</v>
      </c>
      <c r="BT451" s="198" t="e">
        <f t="shared" si="249"/>
        <v>#DIV/0!</v>
      </c>
      <c r="BU451" s="276" t="e">
        <f t="shared" si="250"/>
        <v>#DIV/0!</v>
      </c>
      <c r="BV451" s="205" t="e">
        <f t="shared" si="251"/>
        <v>#DIV/0!</v>
      </c>
      <c r="BY451" s="180">
        <v>2039</v>
      </c>
      <c r="BZ451" s="22">
        <v>25</v>
      </c>
      <c r="CA451" s="198" t="e">
        <f t="shared" ca="1" si="252"/>
        <v>#REF!</v>
      </c>
      <c r="CB451" s="198" t="e">
        <f t="shared" ca="1" si="253"/>
        <v>#REF!</v>
      </c>
      <c r="CC451" s="276" t="e">
        <f t="shared" ca="1" si="264"/>
        <v>#REF!</v>
      </c>
      <c r="CD451" s="205" t="e">
        <f t="shared" ca="1" si="254"/>
        <v>#REF!</v>
      </c>
      <c r="CG451" s="180">
        <v>2039</v>
      </c>
      <c r="CH451" s="22">
        <v>25</v>
      </c>
      <c r="CI451" s="198" t="e">
        <f t="shared" ca="1" si="255"/>
        <v>#REF!</v>
      </c>
      <c r="CJ451" s="198" t="e">
        <f t="shared" ca="1" si="256"/>
        <v>#REF!</v>
      </c>
      <c r="CK451" s="198" t="e">
        <f t="shared" ca="1" si="257"/>
        <v>#REF!</v>
      </c>
      <c r="CL451" s="276" t="e">
        <f t="shared" ca="1" si="258"/>
        <v>#REF!</v>
      </c>
      <c r="CM451" s="205" t="e">
        <f t="shared" ca="1" si="259"/>
        <v>#REF!</v>
      </c>
      <c r="CP451" s="180">
        <v>2039</v>
      </c>
      <c r="CQ451" s="22">
        <v>25</v>
      </c>
      <c r="CR451" s="198" t="e">
        <f t="shared" ca="1" si="260"/>
        <v>#REF!</v>
      </c>
      <c r="CS451" s="276" t="e">
        <f t="shared" ca="1" si="261"/>
        <v>#REF!</v>
      </c>
      <c r="CT451" s="205" t="e">
        <f t="shared" ca="1" si="262"/>
        <v>#REF!</v>
      </c>
      <c r="CZ451" s="164" t="b">
        <f t="shared" si="239"/>
        <v>0</v>
      </c>
      <c r="DA451" s="165" t="b">
        <f t="shared" si="239"/>
        <v>0</v>
      </c>
      <c r="DB451" s="166" t="b">
        <f t="shared" si="239"/>
        <v>0</v>
      </c>
      <c r="DC451" s="164" t="str">
        <f t="shared" si="240"/>
        <v/>
      </c>
      <c r="DD451" s="166" t="str">
        <f t="shared" si="241"/>
        <v/>
      </c>
      <c r="DE451" s="164" t="str">
        <f t="shared" si="242"/>
        <v/>
      </c>
      <c r="DF451" s="166" t="str">
        <f t="shared" si="243"/>
        <v/>
      </c>
      <c r="DG451" s="164" t="str">
        <f t="shared" si="244"/>
        <v/>
      </c>
      <c r="DH451" s="166" t="str">
        <f t="shared" si="245"/>
        <v/>
      </c>
      <c r="DI451" s="164" t="str">
        <f>IFERROR(INDEX(DC$422:DC$470,_xlfn.AGGREGATE(15,6,(ROW(DC$422:DC$470)-ROW(DC$422)+1)/(DC$422:DC$470&lt;&gt;""),ROWS(DI$1:DI30))),"")</f>
        <v/>
      </c>
      <c r="DJ451" s="165" t="str">
        <f>IFERROR(INDEX(DD$422:DD$470,_xlfn.AGGREGATE(15,6,(ROW(DD$422:DD$470)-ROW(DD$422)+1)/(DD$422:DD$470&lt;&gt;""),ROWS(DJ$1:DJ30))),"")</f>
        <v/>
      </c>
      <c r="DK451" s="166" t="str">
        <f t="shared" si="246"/>
        <v/>
      </c>
      <c r="DL451" s="164" t="str">
        <f>IFERROR(INDEX(DE$422:DE$470,_xlfn.AGGREGATE(15,6,(ROW(DE$422:DE$470)-ROW(DE$422)+1)/(DE$422:DE$470&lt;&gt;""),ROWS(DL$1:DL30))),"")</f>
        <v/>
      </c>
      <c r="DM451" s="165" t="str">
        <f>IFERROR(INDEX(DF$422:DF$470,_xlfn.AGGREGATE(15,6,(ROW(DF$422:DF$470)-ROW(DF$422)+1)/(DF$422:DF$470&lt;&gt;""),ROWS(DM$1:DM30))),"")</f>
        <v/>
      </c>
      <c r="DN451" s="166" t="str">
        <f t="shared" si="247"/>
        <v/>
      </c>
      <c r="DO451" s="164" t="str">
        <f>IFERROR(INDEX(DG$422:DG$470,_xlfn.AGGREGATE(15,6,(ROW(DG$422:DG$470)-ROW(DG$422)+1)/(DG$422:DG$470&lt;&gt;""),ROWS(DO$1:DO30))),"")</f>
        <v/>
      </c>
      <c r="DP451" s="165" t="str">
        <f>IFERROR(INDEX(DH$422:DH$470,_xlfn.AGGREGATE(15,6,(ROW(DH$422:DH$470)-ROW(DH$422)+1)/(DH$422:DH$470&lt;&gt;""),ROWS(DP$1:DP30))),"")</f>
        <v/>
      </c>
      <c r="DQ451" s="166" t="str">
        <f t="shared" si="248"/>
        <v/>
      </c>
      <c r="DR451" s="65"/>
      <c r="DV451" s="145">
        <v>2044</v>
      </c>
      <c r="DW451" s="235" t="e">
        <f t="shared" ca="1" si="232"/>
        <v>#REF!</v>
      </c>
      <c r="EA451" s="55"/>
      <c r="EB451" s="55"/>
      <c r="EC451" s="55"/>
      <c r="ED451" s="55"/>
      <c r="EE451" s="55"/>
    </row>
    <row r="452" spans="2:135" ht="13.8" x14ac:dyDescent="0.45">
      <c r="B452" s="128">
        <v>2042</v>
      </c>
      <c r="C452" s="1004"/>
      <c r="D452" s="987"/>
      <c r="E452" s="1006"/>
      <c r="F452" s="993"/>
      <c r="G452" s="247"/>
      <c r="H452" s="245"/>
      <c r="I452" s="1112"/>
      <c r="J452" s="247"/>
      <c r="K452" s="245"/>
      <c r="L452" s="246"/>
      <c r="M452" s="245"/>
      <c r="N452" s="29" t="s">
        <v>119</v>
      </c>
      <c r="O452" s="120"/>
      <c r="P452" s="120"/>
      <c r="Q452" s="120"/>
      <c r="R452" s="29">
        <v>28</v>
      </c>
      <c r="S452" s="238" t="str">
        <f t="shared" si="233"/>
        <v/>
      </c>
      <c r="T452" s="238" t="str">
        <f t="shared" si="234"/>
        <v/>
      </c>
      <c r="U452" s="238" t="str">
        <f t="shared" si="235"/>
        <v/>
      </c>
      <c r="W452" s="238" t="e">
        <f t="shared" si="236"/>
        <v>#N/A</v>
      </c>
      <c r="X452" s="238" t="e">
        <f t="shared" si="237"/>
        <v>#N/A</v>
      </c>
      <c r="Y452" s="238" t="e">
        <f t="shared" si="238"/>
        <v>#N/A</v>
      </c>
      <c r="AA452" s="89"/>
      <c r="AB452" s="89"/>
      <c r="AC452" s="89"/>
      <c r="AD452" s="89"/>
      <c r="AE452" s="89"/>
      <c r="AF452" s="89"/>
      <c r="AG452" s="89"/>
      <c r="AH452" s="89"/>
      <c r="AI452" s="89"/>
      <c r="AJ452" s="89"/>
      <c r="AK452" s="89"/>
      <c r="AL452" s="89"/>
      <c r="AM452" s="89"/>
      <c r="AN452" s="89"/>
      <c r="BR452" s="180">
        <v>2040</v>
      </c>
      <c r="BS452" s="22">
        <v>26</v>
      </c>
      <c r="BT452" s="198" t="e">
        <f t="shared" si="249"/>
        <v>#DIV/0!</v>
      </c>
      <c r="BU452" s="276" t="e">
        <f t="shared" si="250"/>
        <v>#DIV/0!</v>
      </c>
      <c r="BV452" s="205" t="e">
        <f t="shared" si="251"/>
        <v>#DIV/0!</v>
      </c>
      <c r="BY452" s="180">
        <v>2040</v>
      </c>
      <c r="BZ452" s="22">
        <v>26</v>
      </c>
      <c r="CA452" s="198" t="e">
        <f t="shared" ca="1" si="252"/>
        <v>#REF!</v>
      </c>
      <c r="CB452" s="198" t="e">
        <f t="shared" ca="1" si="253"/>
        <v>#REF!</v>
      </c>
      <c r="CC452" s="276" t="e">
        <f t="shared" ca="1" si="264"/>
        <v>#REF!</v>
      </c>
      <c r="CD452" s="205" t="e">
        <f t="shared" ca="1" si="254"/>
        <v>#REF!</v>
      </c>
      <c r="CG452" s="180">
        <v>2040</v>
      </c>
      <c r="CH452" s="22">
        <v>26</v>
      </c>
      <c r="CI452" s="198" t="e">
        <f t="shared" ca="1" si="255"/>
        <v>#REF!</v>
      </c>
      <c r="CJ452" s="198" t="e">
        <f t="shared" ca="1" si="256"/>
        <v>#REF!</v>
      </c>
      <c r="CK452" s="198" t="e">
        <f t="shared" ca="1" si="257"/>
        <v>#REF!</v>
      </c>
      <c r="CL452" s="276" t="e">
        <f t="shared" ca="1" si="258"/>
        <v>#REF!</v>
      </c>
      <c r="CM452" s="205" t="e">
        <f t="shared" ca="1" si="259"/>
        <v>#REF!</v>
      </c>
      <c r="CP452" s="180">
        <v>2040</v>
      </c>
      <c r="CQ452" s="22">
        <v>26</v>
      </c>
      <c r="CR452" s="198" t="e">
        <f t="shared" ca="1" si="260"/>
        <v>#REF!</v>
      </c>
      <c r="CS452" s="276" t="e">
        <f t="shared" ca="1" si="261"/>
        <v>#REF!</v>
      </c>
      <c r="CT452" s="205" t="e">
        <f t="shared" ca="1" si="262"/>
        <v>#REF!</v>
      </c>
      <c r="CZ452" s="164" t="b">
        <f t="shared" si="239"/>
        <v>0</v>
      </c>
      <c r="DA452" s="165" t="b">
        <f t="shared" si="239"/>
        <v>0</v>
      </c>
      <c r="DB452" s="166" t="b">
        <f t="shared" si="239"/>
        <v>0</v>
      </c>
      <c r="DC452" s="164" t="str">
        <f t="shared" si="240"/>
        <v/>
      </c>
      <c r="DD452" s="166" t="str">
        <f t="shared" si="241"/>
        <v/>
      </c>
      <c r="DE452" s="164" t="str">
        <f t="shared" si="242"/>
        <v/>
      </c>
      <c r="DF452" s="166" t="str">
        <f t="shared" si="243"/>
        <v/>
      </c>
      <c r="DG452" s="164" t="str">
        <f t="shared" si="244"/>
        <v/>
      </c>
      <c r="DH452" s="166" t="str">
        <f t="shared" si="245"/>
        <v/>
      </c>
      <c r="DI452" s="164" t="str">
        <f>IFERROR(INDEX(DC$422:DC$470,_xlfn.AGGREGATE(15,6,(ROW(DC$422:DC$470)-ROW(DC$422)+1)/(DC$422:DC$470&lt;&gt;""),ROWS(DI$1:DI31))),"")</f>
        <v/>
      </c>
      <c r="DJ452" s="165" t="str">
        <f>IFERROR(INDEX(DD$422:DD$470,_xlfn.AGGREGATE(15,6,(ROW(DD$422:DD$470)-ROW(DD$422)+1)/(DD$422:DD$470&lt;&gt;""),ROWS(DJ$1:DJ31))),"")</f>
        <v/>
      </c>
      <c r="DK452" s="166" t="str">
        <f t="shared" si="246"/>
        <v/>
      </c>
      <c r="DL452" s="164" t="str">
        <f>IFERROR(INDEX(DE$422:DE$470,_xlfn.AGGREGATE(15,6,(ROW(DE$422:DE$470)-ROW(DE$422)+1)/(DE$422:DE$470&lt;&gt;""),ROWS(DL$1:DL31))),"")</f>
        <v/>
      </c>
      <c r="DM452" s="165" t="str">
        <f>IFERROR(INDEX(DF$422:DF$470,_xlfn.AGGREGATE(15,6,(ROW(DF$422:DF$470)-ROW(DF$422)+1)/(DF$422:DF$470&lt;&gt;""),ROWS(DM$1:DM31))),"")</f>
        <v/>
      </c>
      <c r="DN452" s="166" t="str">
        <f t="shared" si="247"/>
        <v/>
      </c>
      <c r="DO452" s="164" t="str">
        <f>IFERROR(INDEX(DG$422:DG$470,_xlfn.AGGREGATE(15,6,(ROW(DG$422:DG$470)-ROW(DG$422)+1)/(DG$422:DG$470&lt;&gt;""),ROWS(DO$1:DO31))),"")</f>
        <v/>
      </c>
      <c r="DP452" s="165" t="str">
        <f>IFERROR(INDEX(DH$422:DH$470,_xlfn.AGGREGATE(15,6,(ROW(DH$422:DH$470)-ROW(DH$422)+1)/(DH$422:DH$470&lt;&gt;""),ROWS(DP$1:DP31))),"")</f>
        <v/>
      </c>
      <c r="DQ452" s="166" t="str">
        <f t="shared" si="248"/>
        <v/>
      </c>
      <c r="DR452" s="65"/>
      <c r="DV452" s="145">
        <v>2045</v>
      </c>
      <c r="DW452" s="235" t="e">
        <f t="shared" ca="1" si="232"/>
        <v>#REF!</v>
      </c>
      <c r="EA452" s="55"/>
      <c r="EB452" s="55"/>
      <c r="EC452" s="55"/>
      <c r="ED452" s="55"/>
      <c r="EE452" s="55"/>
    </row>
    <row r="453" spans="2:135" ht="13.8" x14ac:dyDescent="0.45">
      <c r="B453" s="128">
        <v>2043</v>
      </c>
      <c r="C453" s="1004"/>
      <c r="D453" s="987"/>
      <c r="E453" s="1006"/>
      <c r="F453" s="993"/>
      <c r="G453" s="247"/>
      <c r="H453" s="245"/>
      <c r="I453" s="1112"/>
      <c r="J453" s="247"/>
      <c r="K453" s="245"/>
      <c r="L453" s="246"/>
      <c r="M453" s="245"/>
      <c r="N453" s="29" t="s">
        <v>119</v>
      </c>
      <c r="O453" s="120"/>
      <c r="P453" s="120"/>
      <c r="Q453" s="120"/>
      <c r="R453" s="29">
        <v>29</v>
      </c>
      <c r="S453" s="238" t="str">
        <f t="shared" si="233"/>
        <v/>
      </c>
      <c r="T453" s="238" t="str">
        <f t="shared" si="234"/>
        <v/>
      </c>
      <c r="U453" s="238" t="str">
        <f t="shared" si="235"/>
        <v/>
      </c>
      <c r="W453" s="238" t="e">
        <f t="shared" si="236"/>
        <v>#N/A</v>
      </c>
      <c r="X453" s="238" t="e">
        <f t="shared" si="237"/>
        <v>#N/A</v>
      </c>
      <c r="Y453" s="238" t="e">
        <f t="shared" si="238"/>
        <v>#N/A</v>
      </c>
      <c r="AA453" s="89"/>
      <c r="AB453" s="89"/>
      <c r="AC453" s="89"/>
      <c r="AD453" s="89"/>
      <c r="AE453" s="89"/>
      <c r="AF453" s="89"/>
      <c r="AG453" s="89"/>
      <c r="AH453" s="89"/>
      <c r="AI453" s="89"/>
      <c r="AJ453" s="89"/>
      <c r="AK453" s="89"/>
      <c r="AL453" s="89"/>
      <c r="AM453" s="89"/>
      <c r="AN453" s="89"/>
      <c r="BR453" s="180">
        <v>2041</v>
      </c>
      <c r="BS453" s="22">
        <v>27</v>
      </c>
      <c r="BT453" s="198" t="e">
        <f t="shared" si="249"/>
        <v>#DIV/0!</v>
      </c>
      <c r="BU453" s="276" t="e">
        <f t="shared" si="250"/>
        <v>#DIV/0!</v>
      </c>
      <c r="BV453" s="205" t="e">
        <f t="shared" si="251"/>
        <v>#DIV/0!</v>
      </c>
      <c r="BY453" s="180">
        <v>2041</v>
      </c>
      <c r="BZ453" s="22">
        <v>27</v>
      </c>
      <c r="CA453" s="198" t="e">
        <f t="shared" ca="1" si="252"/>
        <v>#REF!</v>
      </c>
      <c r="CB453" s="198" t="e">
        <f t="shared" ca="1" si="253"/>
        <v>#REF!</v>
      </c>
      <c r="CC453" s="276" t="e">
        <f t="shared" ca="1" si="264"/>
        <v>#REF!</v>
      </c>
      <c r="CD453" s="205" t="e">
        <f t="shared" ca="1" si="254"/>
        <v>#REF!</v>
      </c>
      <c r="CG453" s="180">
        <v>2041</v>
      </c>
      <c r="CH453" s="22">
        <v>27</v>
      </c>
      <c r="CI453" s="198" t="e">
        <f t="shared" ca="1" si="255"/>
        <v>#REF!</v>
      </c>
      <c r="CJ453" s="198" t="e">
        <f t="shared" ca="1" si="256"/>
        <v>#REF!</v>
      </c>
      <c r="CK453" s="198" t="e">
        <f t="shared" ca="1" si="257"/>
        <v>#REF!</v>
      </c>
      <c r="CL453" s="276" t="e">
        <f t="shared" ca="1" si="258"/>
        <v>#REF!</v>
      </c>
      <c r="CM453" s="205" t="e">
        <f t="shared" ca="1" si="259"/>
        <v>#REF!</v>
      </c>
      <c r="CP453" s="180">
        <v>2041</v>
      </c>
      <c r="CQ453" s="22">
        <v>27</v>
      </c>
      <c r="CR453" s="198" t="e">
        <f t="shared" ca="1" si="260"/>
        <v>#REF!</v>
      </c>
      <c r="CS453" s="276" t="e">
        <f t="shared" ca="1" si="261"/>
        <v>#REF!</v>
      </c>
      <c r="CT453" s="205" t="e">
        <f t="shared" ca="1" si="262"/>
        <v>#REF!</v>
      </c>
      <c r="CZ453" s="164" t="b">
        <f t="shared" si="239"/>
        <v>0</v>
      </c>
      <c r="DA453" s="165" t="b">
        <f t="shared" si="239"/>
        <v>0</v>
      </c>
      <c r="DB453" s="166" t="b">
        <f t="shared" si="239"/>
        <v>0</v>
      </c>
      <c r="DC453" s="164" t="str">
        <f t="shared" si="240"/>
        <v/>
      </c>
      <c r="DD453" s="166" t="str">
        <f t="shared" si="241"/>
        <v/>
      </c>
      <c r="DE453" s="164" t="str">
        <f t="shared" si="242"/>
        <v/>
      </c>
      <c r="DF453" s="166" t="str">
        <f t="shared" si="243"/>
        <v/>
      </c>
      <c r="DG453" s="164" t="str">
        <f t="shared" si="244"/>
        <v/>
      </c>
      <c r="DH453" s="166" t="str">
        <f t="shared" si="245"/>
        <v/>
      </c>
      <c r="DI453" s="164" t="str">
        <f>IFERROR(INDEX(DC$422:DC$470,_xlfn.AGGREGATE(15,6,(ROW(DC$422:DC$470)-ROW(DC$422)+1)/(DC$422:DC$470&lt;&gt;""),ROWS(DI$1:DI32))),"")</f>
        <v/>
      </c>
      <c r="DJ453" s="165" t="str">
        <f>IFERROR(INDEX(DD$422:DD$470,_xlfn.AGGREGATE(15,6,(ROW(DD$422:DD$470)-ROW(DD$422)+1)/(DD$422:DD$470&lt;&gt;""),ROWS(DJ$1:DJ32))),"")</f>
        <v/>
      </c>
      <c r="DK453" s="166" t="str">
        <f t="shared" si="246"/>
        <v/>
      </c>
      <c r="DL453" s="164" t="str">
        <f>IFERROR(INDEX(DE$422:DE$470,_xlfn.AGGREGATE(15,6,(ROW(DE$422:DE$470)-ROW(DE$422)+1)/(DE$422:DE$470&lt;&gt;""),ROWS(DL$1:DL32))),"")</f>
        <v/>
      </c>
      <c r="DM453" s="165" t="str">
        <f>IFERROR(INDEX(DF$422:DF$470,_xlfn.AGGREGATE(15,6,(ROW(DF$422:DF$470)-ROW(DF$422)+1)/(DF$422:DF$470&lt;&gt;""),ROWS(DM$1:DM32))),"")</f>
        <v/>
      </c>
      <c r="DN453" s="166" t="str">
        <f t="shared" si="247"/>
        <v/>
      </c>
      <c r="DO453" s="164" t="str">
        <f>IFERROR(INDEX(DG$422:DG$470,_xlfn.AGGREGATE(15,6,(ROW(DG$422:DG$470)-ROW(DG$422)+1)/(DG$422:DG$470&lt;&gt;""),ROWS(DO$1:DO32))),"")</f>
        <v/>
      </c>
      <c r="DP453" s="165" t="str">
        <f>IFERROR(INDEX(DH$422:DH$470,_xlfn.AGGREGATE(15,6,(ROW(DH$422:DH$470)-ROW(DH$422)+1)/(DH$422:DH$470&lt;&gt;""),ROWS(DP$1:DP32))),"")</f>
        <v/>
      </c>
      <c r="DQ453" s="166" t="str">
        <f t="shared" si="248"/>
        <v/>
      </c>
      <c r="DR453" s="65"/>
      <c r="DV453" s="145">
        <v>2046</v>
      </c>
      <c r="DW453" s="235" t="e">
        <f t="shared" ca="1" si="232"/>
        <v>#REF!</v>
      </c>
      <c r="EA453" s="55"/>
      <c r="EB453" s="55"/>
      <c r="EC453" s="55"/>
      <c r="ED453" s="55"/>
      <c r="EE453" s="55"/>
    </row>
    <row r="454" spans="2:135" ht="13.8" x14ac:dyDescent="0.45">
      <c r="B454" s="128">
        <v>2044</v>
      </c>
      <c r="C454" s="1004"/>
      <c r="D454" s="987"/>
      <c r="E454" s="1006"/>
      <c r="F454" s="993"/>
      <c r="G454" s="247"/>
      <c r="H454" s="245"/>
      <c r="I454" s="1112"/>
      <c r="J454" s="247"/>
      <c r="K454" s="245"/>
      <c r="L454" s="246"/>
      <c r="M454" s="245"/>
      <c r="N454" s="29" t="s">
        <v>119</v>
      </c>
      <c r="O454" s="120"/>
      <c r="P454" s="120"/>
      <c r="Q454" s="120"/>
      <c r="R454" s="29">
        <v>30</v>
      </c>
      <c r="S454" s="238" t="str">
        <f t="shared" ref="S454:S470" si="266">IF(MIN(C454:Q454)=0,"",MIN(C454:Q454))</f>
        <v/>
      </c>
      <c r="T454" s="238" t="str">
        <f t="shared" ref="T454:T470" si="267">IF(MAX(C454:Q454)=0,"",MAX(C454:Q454))</f>
        <v/>
      </c>
      <c r="U454" s="238" t="str">
        <f t="shared" ref="U454:U470" si="268">IF(T454="","",_xlfn.STDEV.P(C454:Q454))</f>
        <v/>
      </c>
      <c r="W454" s="238" t="e">
        <f t="shared" si="236"/>
        <v>#N/A</v>
      </c>
      <c r="X454" s="238" t="e">
        <f t="shared" ref="X454:X470" si="269">IF(U454="",#N/A,(SUM(C454:Q454)/COUNTIFS(C454:Q454,"&gt;0")))</f>
        <v>#N/A</v>
      </c>
      <c r="Y454" s="238" t="e">
        <f t="shared" si="238"/>
        <v>#N/A</v>
      </c>
      <c r="AA454" s="89"/>
      <c r="AB454" s="89"/>
      <c r="AC454" s="89"/>
      <c r="AD454" s="89"/>
      <c r="AE454" s="89"/>
      <c r="AF454" s="89"/>
      <c r="AG454" s="89"/>
      <c r="AH454" s="89"/>
      <c r="AI454" s="89"/>
      <c r="AJ454" s="89"/>
      <c r="AK454" s="89"/>
      <c r="AL454" s="89"/>
      <c r="AM454" s="89"/>
      <c r="AN454" s="89"/>
      <c r="BR454" s="180">
        <v>2042</v>
      </c>
      <c r="BS454" s="22">
        <v>28</v>
      </c>
      <c r="BT454" s="198" t="e">
        <f t="shared" si="249"/>
        <v>#DIV/0!</v>
      </c>
      <c r="BU454" s="276" t="e">
        <f t="shared" si="250"/>
        <v>#DIV/0!</v>
      </c>
      <c r="BV454" s="205" t="e">
        <f t="shared" si="251"/>
        <v>#DIV/0!</v>
      </c>
      <c r="BY454" s="180">
        <v>2042</v>
      </c>
      <c r="BZ454" s="22">
        <v>28</v>
      </c>
      <c r="CA454" s="198" t="e">
        <f t="shared" ca="1" si="252"/>
        <v>#REF!</v>
      </c>
      <c r="CB454" s="198" t="e">
        <f t="shared" ca="1" si="253"/>
        <v>#REF!</v>
      </c>
      <c r="CC454" s="276" t="e">
        <f t="shared" ca="1" si="264"/>
        <v>#REF!</v>
      </c>
      <c r="CD454" s="205" t="e">
        <f t="shared" ca="1" si="254"/>
        <v>#REF!</v>
      </c>
      <c r="CG454" s="180">
        <v>2042</v>
      </c>
      <c r="CH454" s="22">
        <v>28</v>
      </c>
      <c r="CI454" s="198" t="e">
        <f t="shared" ca="1" si="255"/>
        <v>#REF!</v>
      </c>
      <c r="CJ454" s="198" t="e">
        <f t="shared" ca="1" si="256"/>
        <v>#REF!</v>
      </c>
      <c r="CK454" s="198" t="e">
        <f t="shared" ca="1" si="257"/>
        <v>#REF!</v>
      </c>
      <c r="CL454" s="276" t="e">
        <f t="shared" ca="1" si="258"/>
        <v>#REF!</v>
      </c>
      <c r="CM454" s="205" t="e">
        <f t="shared" ca="1" si="259"/>
        <v>#REF!</v>
      </c>
      <c r="CP454" s="180">
        <v>2042</v>
      </c>
      <c r="CQ454" s="22">
        <v>28</v>
      </c>
      <c r="CR454" s="198" t="e">
        <f t="shared" ca="1" si="260"/>
        <v>#REF!</v>
      </c>
      <c r="CS454" s="276" t="e">
        <f t="shared" ca="1" si="261"/>
        <v>#REF!</v>
      </c>
      <c r="CT454" s="205" t="e">
        <f t="shared" ca="1" si="262"/>
        <v>#REF!</v>
      </c>
      <c r="CZ454" s="164" t="b">
        <f t="shared" si="239"/>
        <v>0</v>
      </c>
      <c r="DA454" s="165" t="b">
        <f t="shared" si="239"/>
        <v>0</v>
      </c>
      <c r="DB454" s="166" t="b">
        <f t="shared" si="239"/>
        <v>0</v>
      </c>
      <c r="DC454" s="164" t="str">
        <f t="shared" si="240"/>
        <v/>
      </c>
      <c r="DD454" s="166" t="str">
        <f t="shared" si="241"/>
        <v/>
      </c>
      <c r="DE454" s="164" t="str">
        <f t="shared" si="242"/>
        <v/>
      </c>
      <c r="DF454" s="166" t="str">
        <f t="shared" si="243"/>
        <v/>
      </c>
      <c r="DG454" s="164" t="str">
        <f t="shared" si="244"/>
        <v/>
      </c>
      <c r="DH454" s="166" t="str">
        <f t="shared" si="245"/>
        <v/>
      </c>
      <c r="DI454" s="164" t="str">
        <f>IFERROR(INDEX(DC$422:DC$470,_xlfn.AGGREGATE(15,6,(ROW(DC$422:DC$470)-ROW(DC$422)+1)/(DC$422:DC$470&lt;&gt;""),ROWS(DI$1:DI33))),"")</f>
        <v/>
      </c>
      <c r="DJ454" s="165" t="str">
        <f>IFERROR(INDEX(DD$422:DD$470,_xlfn.AGGREGATE(15,6,(ROW(DD$422:DD$470)-ROW(DD$422)+1)/(DD$422:DD$470&lt;&gt;""),ROWS(DJ$1:DJ33))),"")</f>
        <v/>
      </c>
      <c r="DK454" s="166" t="str">
        <f t="shared" si="246"/>
        <v/>
      </c>
      <c r="DL454" s="164" t="str">
        <f>IFERROR(INDEX(DE$422:DE$470,_xlfn.AGGREGATE(15,6,(ROW(DE$422:DE$470)-ROW(DE$422)+1)/(DE$422:DE$470&lt;&gt;""),ROWS(DL$1:DL33))),"")</f>
        <v/>
      </c>
      <c r="DM454" s="165" t="str">
        <f>IFERROR(INDEX(DF$422:DF$470,_xlfn.AGGREGATE(15,6,(ROW(DF$422:DF$470)-ROW(DF$422)+1)/(DF$422:DF$470&lt;&gt;""),ROWS(DM$1:DM33))),"")</f>
        <v/>
      </c>
      <c r="DN454" s="166" t="str">
        <f t="shared" si="247"/>
        <v/>
      </c>
      <c r="DO454" s="164" t="str">
        <f>IFERROR(INDEX(DG$422:DG$470,_xlfn.AGGREGATE(15,6,(ROW(DG$422:DG$470)-ROW(DG$422)+1)/(DG$422:DG$470&lt;&gt;""),ROWS(DO$1:DO33))),"")</f>
        <v/>
      </c>
      <c r="DP454" s="165" t="str">
        <f>IFERROR(INDEX(DH$422:DH$470,_xlfn.AGGREGATE(15,6,(ROW(DH$422:DH$470)-ROW(DH$422)+1)/(DH$422:DH$470&lt;&gt;""),ROWS(DP$1:DP33))),"")</f>
        <v/>
      </c>
      <c r="DQ454" s="166" t="str">
        <f t="shared" si="248"/>
        <v/>
      </c>
      <c r="DR454" s="65"/>
      <c r="DV454" s="145">
        <v>2047</v>
      </c>
      <c r="DW454" s="235" t="e">
        <f t="shared" ca="1" si="232"/>
        <v>#REF!</v>
      </c>
      <c r="EA454" s="55"/>
      <c r="EB454" s="55"/>
      <c r="EC454" s="55"/>
      <c r="ED454" s="55"/>
      <c r="EE454" s="55"/>
    </row>
    <row r="455" spans="2:135" ht="13.8" x14ac:dyDescent="0.45">
      <c r="B455" s="128">
        <v>2045</v>
      </c>
      <c r="C455" s="1004"/>
      <c r="D455" s="987"/>
      <c r="E455" s="1006"/>
      <c r="F455" s="993"/>
      <c r="G455" s="247"/>
      <c r="H455" s="245"/>
      <c r="I455" s="1112"/>
      <c r="J455" s="247"/>
      <c r="K455" s="245"/>
      <c r="L455" s="246"/>
      <c r="M455" s="245"/>
      <c r="N455" s="29" t="s">
        <v>119</v>
      </c>
      <c r="O455" s="120"/>
      <c r="P455" s="120"/>
      <c r="Q455" s="120"/>
      <c r="R455" s="29">
        <v>31</v>
      </c>
      <c r="S455" s="238" t="str">
        <f t="shared" si="266"/>
        <v/>
      </c>
      <c r="T455" s="238" t="str">
        <f t="shared" si="267"/>
        <v/>
      </c>
      <c r="U455" s="238" t="str">
        <f t="shared" si="268"/>
        <v/>
      </c>
      <c r="W455" s="238" t="e">
        <f t="shared" si="236"/>
        <v>#N/A</v>
      </c>
      <c r="X455" s="238" t="e">
        <f t="shared" si="269"/>
        <v>#N/A</v>
      </c>
      <c r="Y455" s="238" t="e">
        <f t="shared" si="238"/>
        <v>#N/A</v>
      </c>
      <c r="AA455" s="89"/>
      <c r="AB455" s="89"/>
      <c r="AC455" s="89"/>
      <c r="AD455" s="89"/>
      <c r="AE455" s="89"/>
      <c r="AF455" s="89"/>
      <c r="AG455" s="89"/>
      <c r="AH455" s="89"/>
      <c r="AI455" s="89"/>
      <c r="AJ455" s="89"/>
      <c r="AK455" s="89"/>
      <c r="AL455" s="89"/>
      <c r="AM455" s="89"/>
      <c r="AN455" s="89"/>
      <c r="BR455" s="180">
        <v>2043</v>
      </c>
      <c r="BS455" s="22">
        <v>29</v>
      </c>
      <c r="BT455" s="198" t="e">
        <f t="shared" si="249"/>
        <v>#DIV/0!</v>
      </c>
      <c r="BU455" s="276" t="e">
        <f t="shared" si="250"/>
        <v>#DIV/0!</v>
      </c>
      <c r="BV455" s="205" t="e">
        <f t="shared" si="251"/>
        <v>#DIV/0!</v>
      </c>
      <c r="BY455" s="180">
        <v>2043</v>
      </c>
      <c r="BZ455" s="22">
        <v>29</v>
      </c>
      <c r="CA455" s="198" t="e">
        <f t="shared" ca="1" si="252"/>
        <v>#REF!</v>
      </c>
      <c r="CB455" s="198" t="e">
        <f t="shared" ca="1" si="253"/>
        <v>#REF!</v>
      </c>
      <c r="CC455" s="276" t="e">
        <f t="shared" ca="1" si="264"/>
        <v>#REF!</v>
      </c>
      <c r="CD455" s="205" t="e">
        <f t="shared" ca="1" si="254"/>
        <v>#REF!</v>
      </c>
      <c r="CG455" s="180">
        <v>2043</v>
      </c>
      <c r="CH455" s="22">
        <v>29</v>
      </c>
      <c r="CI455" s="198" t="e">
        <f t="shared" ca="1" si="255"/>
        <v>#REF!</v>
      </c>
      <c r="CJ455" s="198" t="e">
        <f t="shared" ca="1" si="256"/>
        <v>#REF!</v>
      </c>
      <c r="CK455" s="198" t="e">
        <f t="shared" ca="1" si="257"/>
        <v>#REF!</v>
      </c>
      <c r="CL455" s="276" t="e">
        <f t="shared" ca="1" si="258"/>
        <v>#REF!</v>
      </c>
      <c r="CM455" s="205" t="e">
        <f t="shared" ca="1" si="259"/>
        <v>#REF!</v>
      </c>
      <c r="CP455" s="180">
        <v>2043</v>
      </c>
      <c r="CQ455" s="22">
        <v>29</v>
      </c>
      <c r="CR455" s="198" t="e">
        <f t="shared" ca="1" si="260"/>
        <v>#REF!</v>
      </c>
      <c r="CS455" s="276" t="e">
        <f t="shared" ca="1" si="261"/>
        <v>#REF!</v>
      </c>
      <c r="CT455" s="205" t="e">
        <f t="shared" ca="1" si="262"/>
        <v>#REF!</v>
      </c>
      <c r="CZ455" s="164" t="b">
        <f t="shared" si="239"/>
        <v>0</v>
      </c>
      <c r="DA455" s="165" t="b">
        <f t="shared" si="239"/>
        <v>0</v>
      </c>
      <c r="DB455" s="166" t="b">
        <f t="shared" si="239"/>
        <v>0</v>
      </c>
      <c r="DC455" s="164" t="str">
        <f t="shared" si="240"/>
        <v/>
      </c>
      <c r="DD455" s="166" t="str">
        <f t="shared" si="241"/>
        <v/>
      </c>
      <c r="DE455" s="164" t="str">
        <f t="shared" si="242"/>
        <v/>
      </c>
      <c r="DF455" s="166" t="str">
        <f t="shared" si="243"/>
        <v/>
      </c>
      <c r="DG455" s="164" t="str">
        <f t="shared" si="244"/>
        <v/>
      </c>
      <c r="DH455" s="166" t="str">
        <f t="shared" si="245"/>
        <v/>
      </c>
      <c r="DI455" s="164" t="str">
        <f>IFERROR(INDEX(DC$422:DC$470,_xlfn.AGGREGATE(15,6,(ROW(DC$422:DC$470)-ROW(DC$422)+1)/(DC$422:DC$470&lt;&gt;""),ROWS(DI$1:DI34))),"")</f>
        <v/>
      </c>
      <c r="DJ455" s="165" t="str">
        <f>IFERROR(INDEX(DD$422:DD$470,_xlfn.AGGREGATE(15,6,(ROW(DD$422:DD$470)-ROW(DD$422)+1)/(DD$422:DD$470&lt;&gt;""),ROWS(DJ$1:DJ34))),"")</f>
        <v/>
      </c>
      <c r="DK455" s="166" t="str">
        <f t="shared" si="246"/>
        <v/>
      </c>
      <c r="DL455" s="164" t="str">
        <f>IFERROR(INDEX(DE$422:DE$470,_xlfn.AGGREGATE(15,6,(ROW(DE$422:DE$470)-ROW(DE$422)+1)/(DE$422:DE$470&lt;&gt;""),ROWS(DL$1:DL34))),"")</f>
        <v/>
      </c>
      <c r="DM455" s="165" t="str">
        <f>IFERROR(INDEX(DF$422:DF$470,_xlfn.AGGREGATE(15,6,(ROW(DF$422:DF$470)-ROW(DF$422)+1)/(DF$422:DF$470&lt;&gt;""),ROWS(DM$1:DM34))),"")</f>
        <v/>
      </c>
      <c r="DN455" s="166" t="str">
        <f t="shared" si="247"/>
        <v/>
      </c>
      <c r="DO455" s="164" t="str">
        <f>IFERROR(INDEX(DG$422:DG$470,_xlfn.AGGREGATE(15,6,(ROW(DG$422:DG$470)-ROW(DG$422)+1)/(DG$422:DG$470&lt;&gt;""),ROWS(DO$1:DO34))),"")</f>
        <v/>
      </c>
      <c r="DP455" s="165" t="str">
        <f>IFERROR(INDEX(DH$422:DH$470,_xlfn.AGGREGATE(15,6,(ROW(DH$422:DH$470)-ROW(DH$422)+1)/(DH$422:DH$470&lt;&gt;""),ROWS(DP$1:DP34))),"")</f>
        <v/>
      </c>
      <c r="DQ455" s="166" t="str">
        <f t="shared" si="248"/>
        <v/>
      </c>
      <c r="DR455" s="65"/>
      <c r="DV455" s="145">
        <v>2048</v>
      </c>
      <c r="DW455" s="235" t="e">
        <f t="shared" ca="1" si="232"/>
        <v>#REF!</v>
      </c>
      <c r="EA455" s="55"/>
      <c r="EB455" s="55"/>
      <c r="EC455" s="55"/>
      <c r="ED455" s="55"/>
      <c r="EE455" s="55"/>
    </row>
    <row r="456" spans="2:135" ht="13.8" x14ac:dyDescent="0.45">
      <c r="B456" s="128">
        <v>2046</v>
      </c>
      <c r="C456" s="1004"/>
      <c r="D456" s="987"/>
      <c r="E456" s="1006"/>
      <c r="F456" s="993"/>
      <c r="G456" s="247"/>
      <c r="H456" s="245"/>
      <c r="I456" s="1112"/>
      <c r="J456" s="247"/>
      <c r="K456" s="245"/>
      <c r="L456" s="246"/>
      <c r="M456" s="245"/>
      <c r="N456" s="29" t="s">
        <v>119</v>
      </c>
      <c r="O456" s="120"/>
      <c r="P456" s="120"/>
      <c r="Q456" s="120"/>
      <c r="R456" s="29">
        <v>32</v>
      </c>
      <c r="S456" s="238" t="str">
        <f t="shared" si="266"/>
        <v/>
      </c>
      <c r="T456" s="238" t="str">
        <f t="shared" si="267"/>
        <v/>
      </c>
      <c r="U456" s="238" t="str">
        <f t="shared" si="268"/>
        <v/>
      </c>
      <c r="W456" s="238" t="e">
        <f t="shared" si="236"/>
        <v>#N/A</v>
      </c>
      <c r="X456" s="238" t="e">
        <f t="shared" si="269"/>
        <v>#N/A</v>
      </c>
      <c r="Y456" s="238" t="e">
        <f t="shared" si="238"/>
        <v>#N/A</v>
      </c>
      <c r="AA456" s="89"/>
      <c r="AB456" s="89"/>
      <c r="AC456" s="89"/>
      <c r="AD456" s="89"/>
      <c r="AE456" s="89"/>
      <c r="AF456" s="89"/>
      <c r="AG456" s="89"/>
      <c r="AH456" s="89"/>
      <c r="AI456" s="89"/>
      <c r="AJ456" s="89"/>
      <c r="AK456" s="89"/>
      <c r="AL456" s="89"/>
      <c r="AM456" s="89"/>
      <c r="AN456" s="89"/>
      <c r="BR456" s="180">
        <v>2044</v>
      </c>
      <c r="BS456" s="22">
        <v>30</v>
      </c>
      <c r="BT456" s="198" t="e">
        <f t="shared" si="249"/>
        <v>#DIV/0!</v>
      </c>
      <c r="BU456" s="276" t="e">
        <f t="shared" si="250"/>
        <v>#DIV/0!</v>
      </c>
      <c r="BV456" s="205" t="e">
        <f t="shared" si="251"/>
        <v>#DIV/0!</v>
      </c>
      <c r="BY456" s="180">
        <v>2044</v>
      </c>
      <c r="BZ456" s="22">
        <v>30</v>
      </c>
      <c r="CA456" s="198" t="e">
        <f t="shared" ca="1" si="252"/>
        <v>#REF!</v>
      </c>
      <c r="CB456" s="198" t="e">
        <f t="shared" ca="1" si="253"/>
        <v>#REF!</v>
      </c>
      <c r="CC456" s="276" t="e">
        <f t="shared" ca="1" si="264"/>
        <v>#REF!</v>
      </c>
      <c r="CD456" s="205" t="e">
        <f t="shared" ca="1" si="254"/>
        <v>#REF!</v>
      </c>
      <c r="CG456" s="180">
        <v>2044</v>
      </c>
      <c r="CH456" s="22">
        <v>30</v>
      </c>
      <c r="CI456" s="198" t="e">
        <f t="shared" ca="1" si="255"/>
        <v>#REF!</v>
      </c>
      <c r="CJ456" s="198" t="e">
        <f t="shared" ca="1" si="256"/>
        <v>#REF!</v>
      </c>
      <c r="CK456" s="198" t="e">
        <f t="shared" ca="1" si="257"/>
        <v>#REF!</v>
      </c>
      <c r="CL456" s="276" t="e">
        <f t="shared" ca="1" si="258"/>
        <v>#REF!</v>
      </c>
      <c r="CM456" s="205" t="e">
        <f t="shared" ca="1" si="259"/>
        <v>#REF!</v>
      </c>
      <c r="CP456" s="180">
        <v>2044</v>
      </c>
      <c r="CQ456" s="22">
        <v>30</v>
      </c>
      <c r="CR456" s="198" t="e">
        <f t="shared" ca="1" si="260"/>
        <v>#REF!</v>
      </c>
      <c r="CS456" s="276" t="e">
        <f t="shared" ca="1" si="261"/>
        <v>#REF!</v>
      </c>
      <c r="CT456" s="205" t="e">
        <f t="shared" ca="1" si="262"/>
        <v>#REF!</v>
      </c>
      <c r="CZ456" s="164" t="b">
        <f t="shared" si="239"/>
        <v>0</v>
      </c>
      <c r="DA456" s="165" t="b">
        <f t="shared" si="239"/>
        <v>0</v>
      </c>
      <c r="DB456" s="166" t="b">
        <f t="shared" si="239"/>
        <v>0</v>
      </c>
      <c r="DC456" s="164" t="str">
        <f t="shared" si="240"/>
        <v/>
      </c>
      <c r="DD456" s="166" t="str">
        <f t="shared" si="241"/>
        <v/>
      </c>
      <c r="DE456" s="164" t="str">
        <f t="shared" si="242"/>
        <v/>
      </c>
      <c r="DF456" s="166" t="str">
        <f t="shared" si="243"/>
        <v/>
      </c>
      <c r="DG456" s="164" t="str">
        <f t="shared" si="244"/>
        <v/>
      </c>
      <c r="DH456" s="166" t="str">
        <f t="shared" si="245"/>
        <v/>
      </c>
      <c r="DI456" s="164" t="str">
        <f>IFERROR(INDEX(DC$422:DC$470,_xlfn.AGGREGATE(15,6,(ROW(DC$422:DC$470)-ROW(DC$422)+1)/(DC$422:DC$470&lt;&gt;""),ROWS(DI$1:DI35))),"")</f>
        <v/>
      </c>
      <c r="DJ456" s="165" t="str">
        <f>IFERROR(INDEX(DD$422:DD$470,_xlfn.AGGREGATE(15,6,(ROW(DD$422:DD$470)-ROW(DD$422)+1)/(DD$422:DD$470&lt;&gt;""),ROWS(DJ$1:DJ35))),"")</f>
        <v/>
      </c>
      <c r="DK456" s="166" t="str">
        <f t="shared" si="246"/>
        <v/>
      </c>
      <c r="DL456" s="164" t="str">
        <f>IFERROR(INDEX(DE$422:DE$470,_xlfn.AGGREGATE(15,6,(ROW(DE$422:DE$470)-ROW(DE$422)+1)/(DE$422:DE$470&lt;&gt;""),ROWS(DL$1:DL35))),"")</f>
        <v/>
      </c>
      <c r="DM456" s="165" t="str">
        <f>IFERROR(INDEX(DF$422:DF$470,_xlfn.AGGREGATE(15,6,(ROW(DF$422:DF$470)-ROW(DF$422)+1)/(DF$422:DF$470&lt;&gt;""),ROWS(DM$1:DM35))),"")</f>
        <v/>
      </c>
      <c r="DN456" s="166" t="str">
        <f t="shared" si="247"/>
        <v/>
      </c>
      <c r="DO456" s="164" t="str">
        <f>IFERROR(INDEX(DG$422:DG$470,_xlfn.AGGREGATE(15,6,(ROW(DG$422:DG$470)-ROW(DG$422)+1)/(DG$422:DG$470&lt;&gt;""),ROWS(DO$1:DO35))),"")</f>
        <v/>
      </c>
      <c r="DP456" s="165" t="str">
        <f>IFERROR(INDEX(DH$422:DH$470,_xlfn.AGGREGATE(15,6,(ROW(DH$422:DH$470)-ROW(DH$422)+1)/(DH$422:DH$470&lt;&gt;""),ROWS(DP$1:DP35))),"")</f>
        <v/>
      </c>
      <c r="DQ456" s="166" t="str">
        <f t="shared" si="248"/>
        <v/>
      </c>
      <c r="DR456" s="65"/>
      <c r="DV456" s="145">
        <v>2049</v>
      </c>
      <c r="DW456" s="235" t="e">
        <f t="shared" ca="1" si="232"/>
        <v>#REF!</v>
      </c>
      <c r="EA456" s="55"/>
      <c r="EB456" s="55"/>
      <c r="EC456" s="55"/>
      <c r="ED456" s="55"/>
      <c r="EE456" s="55"/>
    </row>
    <row r="457" spans="2:135" ht="13.8" x14ac:dyDescent="0.45">
      <c r="B457" s="128">
        <v>2047</v>
      </c>
      <c r="C457" s="1004"/>
      <c r="D457" s="987"/>
      <c r="E457" s="1006"/>
      <c r="F457" s="993"/>
      <c r="G457" s="247"/>
      <c r="H457" s="245"/>
      <c r="I457" s="1112"/>
      <c r="J457" s="247"/>
      <c r="K457" s="245"/>
      <c r="L457" s="246"/>
      <c r="M457" s="245"/>
      <c r="N457" s="29" t="s">
        <v>119</v>
      </c>
      <c r="O457" s="120"/>
      <c r="P457" s="120"/>
      <c r="Q457" s="120"/>
      <c r="R457" s="29">
        <v>33</v>
      </c>
      <c r="S457" s="238" t="str">
        <f t="shared" si="266"/>
        <v/>
      </c>
      <c r="T457" s="238" t="str">
        <f t="shared" si="267"/>
        <v/>
      </c>
      <c r="U457" s="238" t="str">
        <f t="shared" si="268"/>
        <v/>
      </c>
      <c r="W457" s="238" t="e">
        <f t="shared" si="236"/>
        <v>#N/A</v>
      </c>
      <c r="X457" s="238" t="e">
        <f t="shared" si="269"/>
        <v>#N/A</v>
      </c>
      <c r="Y457" s="238" t="e">
        <f t="shared" si="238"/>
        <v>#N/A</v>
      </c>
      <c r="AA457" s="89"/>
      <c r="AB457" s="89"/>
      <c r="AC457" s="89"/>
      <c r="AD457" s="89"/>
      <c r="AE457" s="89"/>
      <c r="AF457" s="89"/>
      <c r="AG457" s="89"/>
      <c r="AH457" s="89"/>
      <c r="AI457" s="89"/>
      <c r="AJ457" s="89"/>
      <c r="AK457" s="89"/>
      <c r="AL457" s="89"/>
      <c r="AM457" s="89"/>
      <c r="AN457" s="89"/>
      <c r="BR457" s="180">
        <v>2045</v>
      </c>
      <c r="BS457" s="22">
        <v>31</v>
      </c>
      <c r="BT457" s="198" t="e">
        <f t="shared" si="249"/>
        <v>#DIV/0!</v>
      </c>
      <c r="BU457" s="198" t="e">
        <f t="shared" si="250"/>
        <v>#DIV/0!</v>
      </c>
      <c r="BV457" s="205" t="e">
        <f t="shared" si="251"/>
        <v>#DIV/0!</v>
      </c>
      <c r="BY457" s="180">
        <v>2045</v>
      </c>
      <c r="BZ457" s="22">
        <v>31</v>
      </c>
      <c r="CA457" s="198" t="e">
        <f t="shared" ca="1" si="252"/>
        <v>#REF!</v>
      </c>
      <c r="CB457" s="198" t="e">
        <f t="shared" ca="1" si="253"/>
        <v>#REF!</v>
      </c>
      <c r="CC457" s="198" t="e">
        <f t="shared" ca="1" si="264"/>
        <v>#REF!</v>
      </c>
      <c r="CD457" s="205" t="e">
        <f t="shared" ca="1" si="254"/>
        <v>#REF!</v>
      </c>
      <c r="CG457" s="180">
        <v>2045</v>
      </c>
      <c r="CH457" s="22">
        <v>31</v>
      </c>
      <c r="CI457" s="198" t="e">
        <f t="shared" ca="1" si="255"/>
        <v>#REF!</v>
      </c>
      <c r="CJ457" s="198" t="e">
        <f t="shared" ca="1" si="256"/>
        <v>#REF!</v>
      </c>
      <c r="CK457" s="198" t="e">
        <f t="shared" ca="1" si="257"/>
        <v>#REF!</v>
      </c>
      <c r="CL457" s="198" t="e">
        <f t="shared" ca="1" si="258"/>
        <v>#REF!</v>
      </c>
      <c r="CM457" s="205" t="e">
        <f t="shared" ca="1" si="259"/>
        <v>#REF!</v>
      </c>
      <c r="CP457" s="180">
        <v>2045</v>
      </c>
      <c r="CQ457" s="22">
        <v>31</v>
      </c>
      <c r="CR457" s="198" t="e">
        <f t="shared" ca="1" si="260"/>
        <v>#REF!</v>
      </c>
      <c r="CS457" s="198" t="e">
        <f t="shared" ca="1" si="261"/>
        <v>#REF!</v>
      </c>
      <c r="CT457" s="205" t="e">
        <f t="shared" ca="1" si="262"/>
        <v>#REF!</v>
      </c>
      <c r="CZ457" s="164" t="b">
        <f t="shared" si="239"/>
        <v>0</v>
      </c>
      <c r="DA457" s="165" t="b">
        <f t="shared" si="239"/>
        <v>0</v>
      </c>
      <c r="DB457" s="166" t="b">
        <f t="shared" si="239"/>
        <v>0</v>
      </c>
      <c r="DC457" s="164" t="str">
        <f t="shared" si="240"/>
        <v/>
      </c>
      <c r="DD457" s="166" t="str">
        <f t="shared" si="241"/>
        <v/>
      </c>
      <c r="DE457" s="164" t="str">
        <f t="shared" si="242"/>
        <v/>
      </c>
      <c r="DF457" s="166" t="str">
        <f t="shared" si="243"/>
        <v/>
      </c>
      <c r="DG457" s="164" t="str">
        <f t="shared" si="244"/>
        <v/>
      </c>
      <c r="DH457" s="166" t="str">
        <f t="shared" si="245"/>
        <v/>
      </c>
      <c r="DI457" s="164" t="str">
        <f>IFERROR(INDEX(DC$422:DC$470,_xlfn.AGGREGATE(15,6,(ROW(DC$422:DC$470)-ROW(DC$422)+1)/(DC$422:DC$470&lt;&gt;""),ROWS(DI$1:DI36))),"")</f>
        <v/>
      </c>
      <c r="DJ457" s="165" t="str">
        <f>IFERROR(INDEX(DD$422:DD$470,_xlfn.AGGREGATE(15,6,(ROW(DD$422:DD$470)-ROW(DD$422)+1)/(DD$422:DD$470&lt;&gt;""),ROWS(DJ$1:DJ36))),"")</f>
        <v/>
      </c>
      <c r="DK457" s="166" t="str">
        <f t="shared" si="246"/>
        <v/>
      </c>
      <c r="DL457" s="164" t="str">
        <f>IFERROR(INDEX(DE$422:DE$470,_xlfn.AGGREGATE(15,6,(ROW(DE$422:DE$470)-ROW(DE$422)+1)/(DE$422:DE$470&lt;&gt;""),ROWS(DL$1:DL36))),"")</f>
        <v/>
      </c>
      <c r="DM457" s="165" t="str">
        <f>IFERROR(INDEX(DF$422:DF$470,_xlfn.AGGREGATE(15,6,(ROW(DF$422:DF$470)-ROW(DF$422)+1)/(DF$422:DF$470&lt;&gt;""),ROWS(DM$1:DM36))),"")</f>
        <v/>
      </c>
      <c r="DN457" s="166" t="str">
        <f t="shared" si="247"/>
        <v/>
      </c>
      <c r="DO457" s="164" t="str">
        <f>IFERROR(INDEX(DG$422:DG$470,_xlfn.AGGREGATE(15,6,(ROW(DG$422:DG$470)-ROW(DG$422)+1)/(DG$422:DG$470&lt;&gt;""),ROWS(DO$1:DO36))),"")</f>
        <v/>
      </c>
      <c r="DP457" s="165" t="str">
        <f>IFERROR(INDEX(DH$422:DH$470,_xlfn.AGGREGATE(15,6,(ROW(DH$422:DH$470)-ROW(DH$422)+1)/(DH$422:DH$470&lt;&gt;""),ROWS(DP$1:DP36))),"")</f>
        <v/>
      </c>
      <c r="DQ457" s="166" t="str">
        <f t="shared" si="248"/>
        <v/>
      </c>
      <c r="DR457" s="65"/>
      <c r="DV457" s="145">
        <v>2050</v>
      </c>
      <c r="DW457" s="235" t="e">
        <f t="shared" ca="1" si="232"/>
        <v>#REF!</v>
      </c>
      <c r="EA457" s="55"/>
      <c r="EB457" s="55"/>
      <c r="EC457" s="55"/>
      <c r="ED457" s="55"/>
      <c r="EE457" s="55"/>
    </row>
    <row r="458" spans="2:135" ht="13.8" x14ac:dyDescent="0.45">
      <c r="B458" s="128">
        <v>2048</v>
      </c>
      <c r="C458" s="1004"/>
      <c r="D458" s="987"/>
      <c r="E458" s="1006"/>
      <c r="F458" s="993"/>
      <c r="G458" s="247"/>
      <c r="H458" s="245"/>
      <c r="I458" s="1112"/>
      <c r="J458" s="247"/>
      <c r="K458" s="245"/>
      <c r="L458" s="246"/>
      <c r="M458" s="245"/>
      <c r="N458" s="29" t="s">
        <v>119</v>
      </c>
      <c r="O458" s="120"/>
      <c r="P458" s="120"/>
      <c r="Q458" s="120"/>
      <c r="R458" s="29">
        <v>34</v>
      </c>
      <c r="S458" s="238" t="str">
        <f t="shared" si="266"/>
        <v/>
      </c>
      <c r="T458" s="238" t="str">
        <f t="shared" si="267"/>
        <v/>
      </c>
      <c r="U458" s="238" t="str">
        <f t="shared" si="268"/>
        <v/>
      </c>
      <c r="W458" s="238" t="e">
        <f t="shared" si="236"/>
        <v>#N/A</v>
      </c>
      <c r="X458" s="238" t="e">
        <f t="shared" si="269"/>
        <v>#N/A</v>
      </c>
      <c r="Y458" s="238" t="e">
        <f t="shared" si="238"/>
        <v>#N/A</v>
      </c>
      <c r="AA458" s="89"/>
      <c r="AB458" s="89"/>
      <c r="AC458" s="89"/>
      <c r="AD458" s="89"/>
      <c r="AE458" s="89"/>
      <c r="AF458" s="89"/>
      <c r="AG458" s="89"/>
      <c r="AH458" s="89"/>
      <c r="AI458" s="89"/>
      <c r="AJ458" s="89"/>
      <c r="AK458" s="89"/>
      <c r="AL458" s="89"/>
      <c r="AM458" s="89"/>
      <c r="AN458" s="89"/>
      <c r="BR458" s="180">
        <v>2046</v>
      </c>
      <c r="BS458" s="22">
        <v>32</v>
      </c>
      <c r="BT458" s="198" t="e">
        <f t="shared" si="249"/>
        <v>#DIV/0!</v>
      </c>
      <c r="BU458" s="198" t="e">
        <f t="shared" si="250"/>
        <v>#DIV/0!</v>
      </c>
      <c r="BV458" s="205" t="e">
        <f t="shared" si="251"/>
        <v>#DIV/0!</v>
      </c>
      <c r="BY458" s="180">
        <v>2046</v>
      </c>
      <c r="BZ458" s="22">
        <v>32</v>
      </c>
      <c r="CA458" s="198" t="e">
        <f t="shared" ca="1" si="252"/>
        <v>#REF!</v>
      </c>
      <c r="CB458" s="198" t="e">
        <f t="shared" ca="1" si="253"/>
        <v>#REF!</v>
      </c>
      <c r="CC458" s="198" t="e">
        <f t="shared" ca="1" si="264"/>
        <v>#REF!</v>
      </c>
      <c r="CD458" s="205" t="e">
        <f t="shared" ca="1" si="254"/>
        <v>#REF!</v>
      </c>
      <c r="CG458" s="180">
        <v>2046</v>
      </c>
      <c r="CH458" s="22">
        <v>32</v>
      </c>
      <c r="CI458" s="198" t="e">
        <f t="shared" ca="1" si="255"/>
        <v>#REF!</v>
      </c>
      <c r="CJ458" s="198" t="e">
        <f t="shared" ca="1" si="256"/>
        <v>#REF!</v>
      </c>
      <c r="CK458" s="198" t="e">
        <f t="shared" ca="1" si="257"/>
        <v>#REF!</v>
      </c>
      <c r="CL458" s="198" t="e">
        <f t="shared" ca="1" si="258"/>
        <v>#REF!</v>
      </c>
      <c r="CM458" s="205" t="e">
        <f t="shared" ca="1" si="259"/>
        <v>#REF!</v>
      </c>
      <c r="CP458" s="180">
        <v>2046</v>
      </c>
      <c r="CQ458" s="22">
        <v>32</v>
      </c>
      <c r="CR458" s="198" t="e">
        <f t="shared" ca="1" si="260"/>
        <v>#REF!</v>
      </c>
      <c r="CS458" s="198" t="e">
        <f t="shared" ca="1" si="261"/>
        <v>#REF!</v>
      </c>
      <c r="CT458" s="205" t="e">
        <f t="shared" ca="1" si="262"/>
        <v>#REF!</v>
      </c>
      <c r="CZ458" s="164" t="b">
        <f t="shared" si="239"/>
        <v>0</v>
      </c>
      <c r="DA458" s="165" t="b">
        <f t="shared" si="239"/>
        <v>0</v>
      </c>
      <c r="DB458" s="166" t="b">
        <f t="shared" si="239"/>
        <v>0</v>
      </c>
      <c r="DC458" s="164" t="str">
        <f t="shared" si="240"/>
        <v/>
      </c>
      <c r="DD458" s="166" t="str">
        <f t="shared" si="241"/>
        <v/>
      </c>
      <c r="DE458" s="164" t="str">
        <f t="shared" si="242"/>
        <v/>
      </c>
      <c r="DF458" s="166" t="str">
        <f t="shared" si="243"/>
        <v/>
      </c>
      <c r="DG458" s="164" t="str">
        <f t="shared" si="244"/>
        <v/>
      </c>
      <c r="DH458" s="166" t="str">
        <f t="shared" si="245"/>
        <v/>
      </c>
      <c r="DI458" s="164" t="str">
        <f>IFERROR(INDEX(DC$422:DC$470,_xlfn.AGGREGATE(15,6,(ROW(DC$422:DC$470)-ROW(DC$422)+1)/(DC$422:DC$470&lt;&gt;""),ROWS(DI$1:DI37))),"")</f>
        <v/>
      </c>
      <c r="DJ458" s="165" t="str">
        <f>IFERROR(INDEX(DD$422:DD$470,_xlfn.AGGREGATE(15,6,(ROW(DD$422:DD$470)-ROW(DD$422)+1)/(DD$422:DD$470&lt;&gt;""),ROWS(DJ$1:DJ37))),"")</f>
        <v/>
      </c>
      <c r="DK458" s="166" t="str">
        <f t="shared" si="246"/>
        <v/>
      </c>
      <c r="DL458" s="164" t="str">
        <f>IFERROR(INDEX(DE$422:DE$470,_xlfn.AGGREGATE(15,6,(ROW(DE$422:DE$470)-ROW(DE$422)+1)/(DE$422:DE$470&lt;&gt;""),ROWS(DL$1:DL37))),"")</f>
        <v/>
      </c>
      <c r="DM458" s="165" t="str">
        <f>IFERROR(INDEX(DF$422:DF$470,_xlfn.AGGREGATE(15,6,(ROW(DF$422:DF$470)-ROW(DF$422)+1)/(DF$422:DF$470&lt;&gt;""),ROWS(DM$1:DM37))),"")</f>
        <v/>
      </c>
      <c r="DN458" s="166" t="str">
        <f t="shared" si="247"/>
        <v/>
      </c>
      <c r="DO458" s="164" t="str">
        <f>IFERROR(INDEX(DG$422:DG$470,_xlfn.AGGREGATE(15,6,(ROW(DG$422:DG$470)-ROW(DG$422)+1)/(DG$422:DG$470&lt;&gt;""),ROWS(DO$1:DO37))),"")</f>
        <v/>
      </c>
      <c r="DP458" s="165" t="str">
        <f>IFERROR(INDEX(DH$422:DH$470,_xlfn.AGGREGATE(15,6,(ROW(DH$422:DH$470)-ROW(DH$422)+1)/(DH$422:DH$470&lt;&gt;""),ROWS(DP$1:DP37))),"")</f>
        <v/>
      </c>
      <c r="DQ458" s="166" t="str">
        <f t="shared" si="248"/>
        <v/>
      </c>
      <c r="DR458" s="65"/>
      <c r="DV458" s="145">
        <v>2051</v>
      </c>
      <c r="DW458" s="235" t="e">
        <f t="shared" ca="1" si="232"/>
        <v>#REF!</v>
      </c>
      <c r="EA458" s="55"/>
      <c r="EB458" s="55"/>
      <c r="EC458" s="55"/>
      <c r="ED458" s="55"/>
      <c r="EE458" s="55"/>
    </row>
    <row r="459" spans="2:135" ht="13.8" x14ac:dyDescent="0.45">
      <c r="B459" s="128">
        <v>2049</v>
      </c>
      <c r="C459" s="1004"/>
      <c r="D459" s="987"/>
      <c r="E459" s="1006"/>
      <c r="F459" s="993"/>
      <c r="G459" s="247"/>
      <c r="H459" s="245"/>
      <c r="I459" s="1112"/>
      <c r="J459" s="247"/>
      <c r="K459" s="245"/>
      <c r="L459" s="246"/>
      <c r="M459" s="245"/>
      <c r="N459" s="29" t="s">
        <v>119</v>
      </c>
      <c r="O459" s="120"/>
      <c r="P459" s="120"/>
      <c r="Q459" s="120"/>
      <c r="R459" s="29">
        <v>35</v>
      </c>
      <c r="S459" s="238" t="str">
        <f t="shared" si="266"/>
        <v/>
      </c>
      <c r="T459" s="238" t="str">
        <f t="shared" si="267"/>
        <v/>
      </c>
      <c r="U459" s="238" t="str">
        <f t="shared" si="268"/>
        <v/>
      </c>
      <c r="W459" s="238" t="e">
        <f t="shared" si="236"/>
        <v>#N/A</v>
      </c>
      <c r="X459" s="238" t="e">
        <f t="shared" si="269"/>
        <v>#N/A</v>
      </c>
      <c r="Y459" s="238" t="e">
        <f t="shared" si="238"/>
        <v>#N/A</v>
      </c>
      <c r="AA459" s="89"/>
      <c r="AB459" s="89"/>
      <c r="AC459" s="89"/>
      <c r="AD459" s="89"/>
      <c r="AE459" s="89"/>
      <c r="AF459" s="89"/>
      <c r="AG459" s="89"/>
      <c r="AH459" s="89"/>
      <c r="AI459" s="89"/>
      <c r="AJ459" s="89"/>
      <c r="AK459" s="89"/>
      <c r="AL459" s="89"/>
      <c r="AM459" s="89"/>
      <c r="AN459" s="89"/>
      <c r="BR459" s="180">
        <v>2047</v>
      </c>
      <c r="BS459" s="22">
        <v>33</v>
      </c>
      <c r="BT459" s="198" t="e">
        <f t="shared" si="249"/>
        <v>#DIV/0!</v>
      </c>
      <c r="BU459" s="198" t="e">
        <f t="shared" si="250"/>
        <v>#DIV/0!</v>
      </c>
      <c r="BV459" s="205" t="e">
        <f t="shared" si="251"/>
        <v>#DIV/0!</v>
      </c>
      <c r="BY459" s="180">
        <v>2047</v>
      </c>
      <c r="BZ459" s="22">
        <v>33</v>
      </c>
      <c r="CA459" s="198" t="e">
        <f t="shared" ca="1" si="252"/>
        <v>#REF!</v>
      </c>
      <c r="CB459" s="198" t="e">
        <f t="shared" ca="1" si="253"/>
        <v>#REF!</v>
      </c>
      <c r="CC459" s="198" t="e">
        <f t="shared" ca="1" si="264"/>
        <v>#REF!</v>
      </c>
      <c r="CD459" s="205" t="e">
        <f t="shared" ca="1" si="254"/>
        <v>#REF!</v>
      </c>
      <c r="CG459" s="180">
        <v>2047</v>
      </c>
      <c r="CH459" s="22">
        <v>33</v>
      </c>
      <c r="CI459" s="198" t="e">
        <f t="shared" ca="1" si="255"/>
        <v>#REF!</v>
      </c>
      <c r="CJ459" s="198" t="e">
        <f t="shared" ca="1" si="256"/>
        <v>#REF!</v>
      </c>
      <c r="CK459" s="198" t="e">
        <f t="shared" ca="1" si="257"/>
        <v>#REF!</v>
      </c>
      <c r="CL459" s="198" t="e">
        <f t="shared" ca="1" si="258"/>
        <v>#REF!</v>
      </c>
      <c r="CM459" s="205" t="e">
        <f t="shared" ca="1" si="259"/>
        <v>#REF!</v>
      </c>
      <c r="CP459" s="180">
        <v>2047</v>
      </c>
      <c r="CQ459" s="22">
        <v>33</v>
      </c>
      <c r="CR459" s="198" t="e">
        <f t="shared" ca="1" si="260"/>
        <v>#REF!</v>
      </c>
      <c r="CS459" s="198" t="e">
        <f t="shared" ca="1" si="261"/>
        <v>#REF!</v>
      </c>
      <c r="CT459" s="205" t="e">
        <f t="shared" ca="1" si="262"/>
        <v>#REF!</v>
      </c>
      <c r="CZ459" s="164" t="b">
        <f t="shared" si="239"/>
        <v>0</v>
      </c>
      <c r="DA459" s="165" t="b">
        <f t="shared" si="239"/>
        <v>0</v>
      </c>
      <c r="DB459" s="166" t="b">
        <f t="shared" si="239"/>
        <v>0</v>
      </c>
      <c r="DC459" s="164" t="str">
        <f t="shared" si="240"/>
        <v/>
      </c>
      <c r="DD459" s="166" t="str">
        <f t="shared" si="241"/>
        <v/>
      </c>
      <c r="DE459" s="164" t="str">
        <f t="shared" si="242"/>
        <v/>
      </c>
      <c r="DF459" s="166" t="str">
        <f t="shared" si="243"/>
        <v/>
      </c>
      <c r="DG459" s="164" t="str">
        <f t="shared" si="244"/>
        <v/>
      </c>
      <c r="DH459" s="166" t="str">
        <f t="shared" si="245"/>
        <v/>
      </c>
      <c r="DI459" s="164" t="str">
        <f>IFERROR(INDEX(DC$422:DC$470,_xlfn.AGGREGATE(15,6,(ROW(DC$422:DC$470)-ROW(DC$422)+1)/(DC$422:DC$470&lt;&gt;""),ROWS(DI$1:DI38))),"")</f>
        <v/>
      </c>
      <c r="DJ459" s="165" t="str">
        <f>IFERROR(INDEX(DD$422:DD$470,_xlfn.AGGREGATE(15,6,(ROW(DD$422:DD$470)-ROW(DD$422)+1)/(DD$422:DD$470&lt;&gt;""),ROWS(DJ$1:DJ38))),"")</f>
        <v/>
      </c>
      <c r="DK459" s="166" t="str">
        <f t="shared" si="246"/>
        <v/>
      </c>
      <c r="DL459" s="164" t="str">
        <f>IFERROR(INDEX(DE$422:DE$470,_xlfn.AGGREGATE(15,6,(ROW(DE$422:DE$470)-ROW(DE$422)+1)/(DE$422:DE$470&lt;&gt;""),ROWS(DL$1:DL38))),"")</f>
        <v/>
      </c>
      <c r="DM459" s="165" t="str">
        <f>IFERROR(INDEX(DF$422:DF$470,_xlfn.AGGREGATE(15,6,(ROW(DF$422:DF$470)-ROW(DF$422)+1)/(DF$422:DF$470&lt;&gt;""),ROWS(DM$1:DM38))),"")</f>
        <v/>
      </c>
      <c r="DN459" s="166" t="str">
        <f t="shared" si="247"/>
        <v/>
      </c>
      <c r="DO459" s="164" t="str">
        <f>IFERROR(INDEX(DG$422:DG$470,_xlfn.AGGREGATE(15,6,(ROW(DG$422:DG$470)-ROW(DG$422)+1)/(DG$422:DG$470&lt;&gt;""),ROWS(DO$1:DO38))),"")</f>
        <v/>
      </c>
      <c r="DP459" s="165" t="str">
        <f>IFERROR(INDEX(DH$422:DH$470,_xlfn.AGGREGATE(15,6,(ROW(DH$422:DH$470)-ROW(DH$422)+1)/(DH$422:DH$470&lt;&gt;""),ROWS(DP$1:DP38))),"")</f>
        <v/>
      </c>
      <c r="DQ459" s="166" t="str">
        <f t="shared" si="248"/>
        <v/>
      </c>
      <c r="DR459" s="65"/>
      <c r="DV459" s="145">
        <v>2052</v>
      </c>
      <c r="DW459" s="235" t="e">
        <f t="shared" ca="1" si="232"/>
        <v>#REF!</v>
      </c>
      <c r="EA459" s="55"/>
      <c r="EB459" s="55"/>
      <c r="EC459" s="55"/>
      <c r="ED459" s="55"/>
      <c r="EE459" s="55"/>
    </row>
    <row r="460" spans="2:135" ht="13.8" x14ac:dyDescent="0.45">
      <c r="B460" s="128">
        <v>2050</v>
      </c>
      <c r="C460" s="1004"/>
      <c r="D460" s="987"/>
      <c r="E460" s="1006"/>
      <c r="F460" s="993"/>
      <c r="G460" s="247"/>
      <c r="H460" s="245"/>
      <c r="I460" s="1112"/>
      <c r="J460" s="247"/>
      <c r="K460" s="245"/>
      <c r="L460" s="246"/>
      <c r="M460" s="245"/>
      <c r="N460" s="29" t="s">
        <v>119</v>
      </c>
      <c r="O460" s="120"/>
      <c r="P460" s="120"/>
      <c r="Q460" s="120"/>
      <c r="R460" s="29">
        <v>36</v>
      </c>
      <c r="S460" s="238" t="str">
        <f t="shared" si="266"/>
        <v/>
      </c>
      <c r="T460" s="238" t="str">
        <f t="shared" si="267"/>
        <v/>
      </c>
      <c r="U460" s="238" t="str">
        <f t="shared" si="268"/>
        <v/>
      </c>
      <c r="W460" s="238" t="e">
        <f t="shared" si="236"/>
        <v>#N/A</v>
      </c>
      <c r="X460" s="238" t="e">
        <f t="shared" si="269"/>
        <v>#N/A</v>
      </c>
      <c r="Y460" s="238" t="e">
        <f t="shared" si="238"/>
        <v>#N/A</v>
      </c>
      <c r="AA460" s="89"/>
      <c r="AB460" s="89"/>
      <c r="AC460" s="89"/>
      <c r="AD460" s="89"/>
      <c r="AE460" s="89"/>
      <c r="AF460" s="89"/>
      <c r="AG460" s="89"/>
      <c r="AH460" s="89"/>
      <c r="AI460" s="89"/>
      <c r="AJ460" s="89"/>
      <c r="AK460" s="89"/>
      <c r="AL460" s="89"/>
      <c r="AM460" s="89"/>
      <c r="AN460" s="89"/>
      <c r="BR460" s="180">
        <v>2048</v>
      </c>
      <c r="BS460" s="22">
        <v>34</v>
      </c>
      <c r="BT460" s="198" t="e">
        <f t="shared" si="249"/>
        <v>#DIV/0!</v>
      </c>
      <c r="BU460" s="198" t="e">
        <f t="shared" si="250"/>
        <v>#DIV/0!</v>
      </c>
      <c r="BV460" s="205" t="e">
        <f t="shared" si="251"/>
        <v>#DIV/0!</v>
      </c>
      <c r="BY460" s="180">
        <v>2048</v>
      </c>
      <c r="BZ460" s="22">
        <v>34</v>
      </c>
      <c r="CA460" s="198" t="e">
        <f t="shared" ca="1" si="252"/>
        <v>#REF!</v>
      </c>
      <c r="CB460" s="198" t="e">
        <f t="shared" ca="1" si="253"/>
        <v>#REF!</v>
      </c>
      <c r="CC460" s="198" t="e">
        <f t="shared" ca="1" si="264"/>
        <v>#REF!</v>
      </c>
      <c r="CD460" s="205" t="e">
        <f t="shared" ca="1" si="254"/>
        <v>#REF!</v>
      </c>
      <c r="CG460" s="180">
        <v>2048</v>
      </c>
      <c r="CH460" s="22">
        <v>34</v>
      </c>
      <c r="CI460" s="198" t="e">
        <f t="shared" ca="1" si="255"/>
        <v>#REF!</v>
      </c>
      <c r="CJ460" s="198" t="e">
        <f t="shared" ca="1" si="256"/>
        <v>#REF!</v>
      </c>
      <c r="CK460" s="198" t="e">
        <f t="shared" ca="1" si="257"/>
        <v>#REF!</v>
      </c>
      <c r="CL460" s="198" t="e">
        <f t="shared" ca="1" si="258"/>
        <v>#REF!</v>
      </c>
      <c r="CM460" s="205" t="e">
        <f t="shared" ca="1" si="259"/>
        <v>#REF!</v>
      </c>
      <c r="CP460" s="180">
        <v>2048</v>
      </c>
      <c r="CQ460" s="22">
        <v>34</v>
      </c>
      <c r="CR460" s="198" t="e">
        <f t="shared" ca="1" si="260"/>
        <v>#REF!</v>
      </c>
      <c r="CS460" s="198" t="e">
        <f t="shared" ca="1" si="261"/>
        <v>#REF!</v>
      </c>
      <c r="CT460" s="205" t="e">
        <f t="shared" ca="1" si="262"/>
        <v>#REF!</v>
      </c>
      <c r="CZ460" s="164" t="b">
        <f t="shared" si="239"/>
        <v>0</v>
      </c>
      <c r="DA460" s="165" t="b">
        <f t="shared" si="239"/>
        <v>0</v>
      </c>
      <c r="DB460" s="166" t="b">
        <f t="shared" si="239"/>
        <v>0</v>
      </c>
      <c r="DC460" s="164" t="str">
        <f t="shared" si="240"/>
        <v/>
      </c>
      <c r="DD460" s="166" t="str">
        <f t="shared" si="241"/>
        <v/>
      </c>
      <c r="DE460" s="164" t="str">
        <f t="shared" si="242"/>
        <v/>
      </c>
      <c r="DF460" s="166" t="str">
        <f t="shared" si="243"/>
        <v/>
      </c>
      <c r="DG460" s="164" t="str">
        <f t="shared" si="244"/>
        <v/>
      </c>
      <c r="DH460" s="166" t="str">
        <f t="shared" si="245"/>
        <v/>
      </c>
      <c r="DI460" s="164" t="str">
        <f>IFERROR(INDEX(DC$422:DC$470,_xlfn.AGGREGATE(15,6,(ROW(DC$422:DC$470)-ROW(DC$422)+1)/(DC$422:DC$470&lt;&gt;""),ROWS(DI$1:DI39))),"")</f>
        <v/>
      </c>
      <c r="DJ460" s="165" t="str">
        <f>IFERROR(INDEX(DD$422:DD$470,_xlfn.AGGREGATE(15,6,(ROW(DD$422:DD$470)-ROW(DD$422)+1)/(DD$422:DD$470&lt;&gt;""),ROWS(DJ$1:DJ39))),"")</f>
        <v/>
      </c>
      <c r="DK460" s="166" t="str">
        <f t="shared" si="246"/>
        <v/>
      </c>
      <c r="DL460" s="164" t="str">
        <f>IFERROR(INDEX(DE$422:DE$470,_xlfn.AGGREGATE(15,6,(ROW(DE$422:DE$470)-ROW(DE$422)+1)/(DE$422:DE$470&lt;&gt;""),ROWS(DL$1:DL39))),"")</f>
        <v/>
      </c>
      <c r="DM460" s="165" t="str">
        <f>IFERROR(INDEX(DF$422:DF$470,_xlfn.AGGREGATE(15,6,(ROW(DF$422:DF$470)-ROW(DF$422)+1)/(DF$422:DF$470&lt;&gt;""),ROWS(DM$1:DM39))),"")</f>
        <v/>
      </c>
      <c r="DN460" s="166" t="str">
        <f t="shared" si="247"/>
        <v/>
      </c>
      <c r="DO460" s="164" t="str">
        <f>IFERROR(INDEX(DG$422:DG$470,_xlfn.AGGREGATE(15,6,(ROW(DG$422:DG$470)-ROW(DG$422)+1)/(DG$422:DG$470&lt;&gt;""),ROWS(DO$1:DO39))),"")</f>
        <v/>
      </c>
      <c r="DP460" s="165" t="str">
        <f>IFERROR(INDEX(DH$422:DH$470,_xlfn.AGGREGATE(15,6,(ROW(DH$422:DH$470)-ROW(DH$422)+1)/(DH$422:DH$470&lt;&gt;""),ROWS(DP$1:DP39))),"")</f>
        <v/>
      </c>
      <c r="DQ460" s="166" t="str">
        <f t="shared" si="248"/>
        <v/>
      </c>
      <c r="DR460" s="65"/>
      <c r="DV460" s="145">
        <v>2053</v>
      </c>
      <c r="DW460" s="235" t="e">
        <f t="shared" ca="1" si="232"/>
        <v>#REF!</v>
      </c>
      <c r="EA460" s="55"/>
      <c r="EB460" s="55"/>
      <c r="EC460" s="55"/>
      <c r="ED460" s="55"/>
      <c r="EE460" s="55"/>
    </row>
    <row r="461" spans="2:135" ht="13.8" x14ac:dyDescent="0.45">
      <c r="B461" s="128">
        <v>2051</v>
      </c>
      <c r="C461" s="1004"/>
      <c r="D461" s="987"/>
      <c r="E461" s="1006"/>
      <c r="F461" s="993"/>
      <c r="G461" s="247"/>
      <c r="H461" s="245"/>
      <c r="I461" s="1112"/>
      <c r="J461" s="247"/>
      <c r="K461" s="245"/>
      <c r="L461" s="246"/>
      <c r="M461" s="245"/>
      <c r="N461" s="29" t="s">
        <v>119</v>
      </c>
      <c r="O461" s="120"/>
      <c r="P461" s="120"/>
      <c r="Q461" s="120"/>
      <c r="R461" s="29">
        <v>37</v>
      </c>
      <c r="S461" s="238" t="str">
        <f t="shared" si="266"/>
        <v/>
      </c>
      <c r="T461" s="238" t="str">
        <f t="shared" si="267"/>
        <v/>
      </c>
      <c r="U461" s="238" t="str">
        <f t="shared" si="268"/>
        <v/>
      </c>
      <c r="W461" s="238" t="e">
        <f t="shared" si="236"/>
        <v>#N/A</v>
      </c>
      <c r="X461" s="238" t="e">
        <f t="shared" si="269"/>
        <v>#N/A</v>
      </c>
      <c r="Y461" s="238" t="e">
        <f t="shared" si="238"/>
        <v>#N/A</v>
      </c>
      <c r="AA461" s="89"/>
      <c r="AB461" s="89"/>
      <c r="AC461" s="89"/>
      <c r="AD461" s="89"/>
      <c r="AE461" s="89"/>
      <c r="AF461" s="89"/>
      <c r="AG461" s="89"/>
      <c r="AH461" s="89"/>
      <c r="AI461" s="89"/>
      <c r="AJ461" s="89"/>
      <c r="AK461" s="89"/>
      <c r="AL461" s="89"/>
      <c r="AM461" s="89"/>
      <c r="AN461" s="89"/>
      <c r="BR461" s="180">
        <v>2049</v>
      </c>
      <c r="BS461" s="22">
        <v>35</v>
      </c>
      <c r="BT461" s="198" t="e">
        <f t="shared" si="249"/>
        <v>#DIV/0!</v>
      </c>
      <c r="BU461" s="198" t="e">
        <f t="shared" si="250"/>
        <v>#DIV/0!</v>
      </c>
      <c r="BV461" s="205" t="e">
        <f t="shared" si="251"/>
        <v>#DIV/0!</v>
      </c>
      <c r="BY461" s="180">
        <v>2049</v>
      </c>
      <c r="BZ461" s="22">
        <v>35</v>
      </c>
      <c r="CA461" s="198" t="e">
        <f t="shared" ca="1" si="252"/>
        <v>#REF!</v>
      </c>
      <c r="CB461" s="198" t="e">
        <f t="shared" ca="1" si="253"/>
        <v>#REF!</v>
      </c>
      <c r="CC461" s="198" t="e">
        <f t="shared" ca="1" si="264"/>
        <v>#REF!</v>
      </c>
      <c r="CD461" s="205" t="e">
        <f t="shared" ca="1" si="254"/>
        <v>#REF!</v>
      </c>
      <c r="CG461" s="180">
        <v>2049</v>
      </c>
      <c r="CH461" s="22">
        <v>35</v>
      </c>
      <c r="CI461" s="198" t="e">
        <f t="shared" ca="1" si="255"/>
        <v>#REF!</v>
      </c>
      <c r="CJ461" s="198" t="e">
        <f t="shared" ca="1" si="256"/>
        <v>#REF!</v>
      </c>
      <c r="CK461" s="198" t="e">
        <f t="shared" ca="1" si="257"/>
        <v>#REF!</v>
      </c>
      <c r="CL461" s="198" t="e">
        <f t="shared" ca="1" si="258"/>
        <v>#REF!</v>
      </c>
      <c r="CM461" s="205" t="e">
        <f t="shared" ca="1" si="259"/>
        <v>#REF!</v>
      </c>
      <c r="CP461" s="180">
        <v>2049</v>
      </c>
      <c r="CQ461" s="22">
        <v>35</v>
      </c>
      <c r="CR461" s="198" t="e">
        <f t="shared" ca="1" si="260"/>
        <v>#REF!</v>
      </c>
      <c r="CS461" s="198" t="e">
        <f t="shared" ca="1" si="261"/>
        <v>#REF!</v>
      </c>
      <c r="CT461" s="205" t="e">
        <f t="shared" ca="1" si="262"/>
        <v>#REF!</v>
      </c>
      <c r="CZ461" s="164" t="b">
        <f t="shared" si="239"/>
        <v>0</v>
      </c>
      <c r="DA461" s="165" t="b">
        <f t="shared" si="239"/>
        <v>0</v>
      </c>
      <c r="DB461" s="166" t="b">
        <f t="shared" si="239"/>
        <v>0</v>
      </c>
      <c r="DC461" s="164" t="str">
        <f t="shared" si="240"/>
        <v/>
      </c>
      <c r="DD461" s="166" t="str">
        <f t="shared" si="241"/>
        <v/>
      </c>
      <c r="DE461" s="164" t="str">
        <f t="shared" si="242"/>
        <v/>
      </c>
      <c r="DF461" s="166" t="str">
        <f t="shared" si="243"/>
        <v/>
      </c>
      <c r="DG461" s="164" t="str">
        <f t="shared" si="244"/>
        <v/>
      </c>
      <c r="DH461" s="166" t="str">
        <f t="shared" si="245"/>
        <v/>
      </c>
      <c r="DI461" s="164" t="str">
        <f>IFERROR(INDEX(DC$422:DC$470,_xlfn.AGGREGATE(15,6,(ROW(DC$422:DC$470)-ROW(DC$422)+1)/(DC$422:DC$470&lt;&gt;""),ROWS(DI$1:DI40))),"")</f>
        <v/>
      </c>
      <c r="DJ461" s="165" t="str">
        <f>IFERROR(INDEX(DD$422:DD$470,_xlfn.AGGREGATE(15,6,(ROW(DD$422:DD$470)-ROW(DD$422)+1)/(DD$422:DD$470&lt;&gt;""),ROWS(DJ$1:DJ40))),"")</f>
        <v/>
      </c>
      <c r="DK461" s="166" t="str">
        <f t="shared" si="246"/>
        <v/>
      </c>
      <c r="DL461" s="164" t="str">
        <f>IFERROR(INDEX(DE$422:DE$470,_xlfn.AGGREGATE(15,6,(ROW(DE$422:DE$470)-ROW(DE$422)+1)/(DE$422:DE$470&lt;&gt;""),ROWS(DL$1:DL40))),"")</f>
        <v/>
      </c>
      <c r="DM461" s="165" t="str">
        <f>IFERROR(INDEX(DF$422:DF$470,_xlfn.AGGREGATE(15,6,(ROW(DF$422:DF$470)-ROW(DF$422)+1)/(DF$422:DF$470&lt;&gt;""),ROWS(DM$1:DM40))),"")</f>
        <v/>
      </c>
      <c r="DN461" s="166" t="str">
        <f t="shared" si="247"/>
        <v/>
      </c>
      <c r="DO461" s="164" t="str">
        <f>IFERROR(INDEX(DG$422:DG$470,_xlfn.AGGREGATE(15,6,(ROW(DG$422:DG$470)-ROW(DG$422)+1)/(DG$422:DG$470&lt;&gt;""),ROWS(DO$1:DO40))),"")</f>
        <v/>
      </c>
      <c r="DP461" s="165" t="str">
        <f>IFERROR(INDEX(DH$422:DH$470,_xlfn.AGGREGATE(15,6,(ROW(DH$422:DH$470)-ROW(DH$422)+1)/(DH$422:DH$470&lt;&gt;""),ROWS(DP$1:DP40))),"")</f>
        <v/>
      </c>
      <c r="DQ461" s="166" t="str">
        <f t="shared" si="248"/>
        <v/>
      </c>
      <c r="DR461" s="65"/>
      <c r="DV461" s="145">
        <v>2054</v>
      </c>
      <c r="DW461" s="235" t="e">
        <f t="shared" ca="1" si="232"/>
        <v>#REF!</v>
      </c>
      <c r="EA461" s="55"/>
      <c r="EB461" s="55"/>
      <c r="EC461" s="55"/>
      <c r="ED461" s="55"/>
      <c r="EE461" s="55"/>
    </row>
    <row r="462" spans="2:135" ht="14.1" thickBot="1" x14ac:dyDescent="0.5">
      <c r="B462" s="128">
        <v>2052</v>
      </c>
      <c r="C462" s="1004"/>
      <c r="D462" s="987"/>
      <c r="E462" s="1006"/>
      <c r="F462" s="993"/>
      <c r="G462" s="247"/>
      <c r="H462" s="245"/>
      <c r="I462" s="1112"/>
      <c r="J462" s="247"/>
      <c r="K462" s="245"/>
      <c r="L462" s="246"/>
      <c r="M462" s="245"/>
      <c r="N462" s="29" t="s">
        <v>119</v>
      </c>
      <c r="O462" s="120"/>
      <c r="P462" s="120"/>
      <c r="Q462" s="120"/>
      <c r="R462" s="29">
        <v>38</v>
      </c>
      <c r="S462" s="238" t="str">
        <f t="shared" si="266"/>
        <v/>
      </c>
      <c r="T462" s="238" t="str">
        <f t="shared" si="267"/>
        <v/>
      </c>
      <c r="U462" s="238" t="str">
        <f t="shared" si="268"/>
        <v/>
      </c>
      <c r="W462" s="238" t="e">
        <f t="shared" si="236"/>
        <v>#N/A</v>
      </c>
      <c r="X462" s="238" t="e">
        <f t="shared" si="269"/>
        <v>#N/A</v>
      </c>
      <c r="Y462" s="238" t="e">
        <f t="shared" si="238"/>
        <v>#N/A</v>
      </c>
      <c r="AA462" s="89"/>
      <c r="AB462" s="89"/>
      <c r="AC462" s="89"/>
      <c r="AD462" s="89"/>
      <c r="AE462" s="89"/>
      <c r="AF462" s="89"/>
      <c r="AG462" s="89"/>
      <c r="AH462" s="89"/>
      <c r="AI462" s="89"/>
      <c r="AJ462" s="89"/>
      <c r="AK462" s="89"/>
      <c r="AL462" s="89"/>
      <c r="AM462" s="89"/>
      <c r="AN462" s="89"/>
      <c r="BR462" s="180">
        <v>2050</v>
      </c>
      <c r="BS462" s="22">
        <v>36</v>
      </c>
      <c r="BT462" s="198" t="e">
        <f t="shared" si="249"/>
        <v>#DIV/0!</v>
      </c>
      <c r="BU462" s="198" t="e">
        <f t="shared" si="250"/>
        <v>#DIV/0!</v>
      </c>
      <c r="BV462" s="212" t="e">
        <f t="shared" si="251"/>
        <v>#DIV/0!</v>
      </c>
      <c r="BY462" s="180">
        <v>2050</v>
      </c>
      <c r="BZ462" s="22">
        <v>36</v>
      </c>
      <c r="CA462" s="198" t="e">
        <f t="shared" ca="1" si="252"/>
        <v>#REF!</v>
      </c>
      <c r="CB462" s="198" t="e">
        <f t="shared" ca="1" si="253"/>
        <v>#REF!</v>
      </c>
      <c r="CC462" s="198" t="e">
        <f t="shared" ca="1" si="264"/>
        <v>#REF!</v>
      </c>
      <c r="CD462" s="212" t="e">
        <f t="shared" ca="1" si="254"/>
        <v>#REF!</v>
      </c>
      <c r="CG462" s="180">
        <v>2050</v>
      </c>
      <c r="CH462" s="22">
        <v>36</v>
      </c>
      <c r="CI462" s="198" t="e">
        <f t="shared" ca="1" si="255"/>
        <v>#REF!</v>
      </c>
      <c r="CJ462" s="198" t="e">
        <f t="shared" ca="1" si="256"/>
        <v>#REF!</v>
      </c>
      <c r="CK462" s="198" t="e">
        <f t="shared" ca="1" si="257"/>
        <v>#REF!</v>
      </c>
      <c r="CL462" s="198" t="e">
        <f t="shared" ca="1" si="258"/>
        <v>#REF!</v>
      </c>
      <c r="CM462" s="212" t="e">
        <f t="shared" ca="1" si="259"/>
        <v>#REF!</v>
      </c>
      <c r="CP462" s="180">
        <v>2050</v>
      </c>
      <c r="CQ462" s="22">
        <v>36</v>
      </c>
      <c r="CR462" s="198" t="e">
        <f t="shared" ca="1" si="260"/>
        <v>#REF!</v>
      </c>
      <c r="CS462" s="198" t="e">
        <f t="shared" ca="1" si="261"/>
        <v>#REF!</v>
      </c>
      <c r="CT462" s="212" t="e">
        <f t="shared" ca="1" si="262"/>
        <v>#REF!</v>
      </c>
      <c r="CZ462" s="164" t="b">
        <f t="shared" ref="CZ462:DB470" si="270">ISNUMBER(W462)</f>
        <v>0</v>
      </c>
      <c r="DA462" s="165" t="b">
        <f t="shared" si="270"/>
        <v>0</v>
      </c>
      <c r="DB462" s="166" t="b">
        <f t="shared" si="270"/>
        <v>0</v>
      </c>
      <c r="DC462" s="164" t="str">
        <f t="shared" si="240"/>
        <v/>
      </c>
      <c r="DD462" s="166" t="str">
        <f t="shared" si="241"/>
        <v/>
      </c>
      <c r="DE462" s="164" t="str">
        <f t="shared" si="242"/>
        <v/>
      </c>
      <c r="DF462" s="166" t="str">
        <f t="shared" si="243"/>
        <v/>
      </c>
      <c r="DG462" s="164" t="str">
        <f t="shared" si="244"/>
        <v/>
      </c>
      <c r="DH462" s="166" t="str">
        <f t="shared" si="245"/>
        <v/>
      </c>
      <c r="DI462" s="164" t="str">
        <f>IFERROR(INDEX(DC$422:DC$470,_xlfn.AGGREGATE(15,6,(ROW(DC$422:DC$470)-ROW(DC$422)+1)/(DC$422:DC$470&lt;&gt;""),ROWS(DI$1:DI41))),"")</f>
        <v/>
      </c>
      <c r="DJ462" s="165" t="str">
        <f>IFERROR(INDEX(DD$422:DD$470,_xlfn.AGGREGATE(15,6,(ROW(DD$422:DD$470)-ROW(DD$422)+1)/(DD$422:DD$470&lt;&gt;""),ROWS(DJ$1:DJ41))),"")</f>
        <v/>
      </c>
      <c r="DK462" s="166" t="str">
        <f t="shared" si="246"/>
        <v/>
      </c>
      <c r="DL462" s="164" t="str">
        <f>IFERROR(INDEX(DE$422:DE$470,_xlfn.AGGREGATE(15,6,(ROW(DE$422:DE$470)-ROW(DE$422)+1)/(DE$422:DE$470&lt;&gt;""),ROWS(DL$1:DL41))),"")</f>
        <v/>
      </c>
      <c r="DM462" s="165" t="str">
        <f>IFERROR(INDEX(DF$422:DF$470,_xlfn.AGGREGATE(15,6,(ROW(DF$422:DF$470)-ROW(DF$422)+1)/(DF$422:DF$470&lt;&gt;""),ROWS(DM$1:DM41))),"")</f>
        <v/>
      </c>
      <c r="DN462" s="166" t="str">
        <f t="shared" si="247"/>
        <v/>
      </c>
      <c r="DO462" s="164" t="str">
        <f>IFERROR(INDEX(DG$422:DG$470,_xlfn.AGGREGATE(15,6,(ROW(DG$422:DG$470)-ROW(DG$422)+1)/(DG$422:DG$470&lt;&gt;""),ROWS(DO$1:DO41))),"")</f>
        <v/>
      </c>
      <c r="DP462" s="165" t="str">
        <f>IFERROR(INDEX(DH$422:DH$470,_xlfn.AGGREGATE(15,6,(ROW(DH$422:DH$470)-ROW(DH$422)+1)/(DH$422:DH$470&lt;&gt;""),ROWS(DP$1:DP41))),"")</f>
        <v/>
      </c>
      <c r="DQ462" s="166" t="str">
        <f t="shared" si="248"/>
        <v/>
      </c>
      <c r="DR462" s="65"/>
      <c r="DV462" s="145">
        <v>2055</v>
      </c>
      <c r="DW462" s="235" t="e">
        <f t="shared" ca="1" si="232"/>
        <v>#REF!</v>
      </c>
      <c r="EA462" s="55"/>
      <c r="EB462" s="55"/>
      <c r="EC462" s="55"/>
      <c r="ED462" s="55"/>
      <c r="EE462" s="55"/>
    </row>
    <row r="463" spans="2:135" ht="13.8" x14ac:dyDescent="0.45">
      <c r="B463" s="128">
        <v>2053</v>
      </c>
      <c r="C463" s="1004"/>
      <c r="D463" s="987"/>
      <c r="E463" s="1006"/>
      <c r="F463" s="993"/>
      <c r="G463" s="247"/>
      <c r="H463" s="245"/>
      <c r="I463" s="1112"/>
      <c r="J463" s="247"/>
      <c r="K463" s="245"/>
      <c r="L463" s="246"/>
      <c r="M463" s="245"/>
      <c r="N463" s="29" t="s">
        <v>119</v>
      </c>
      <c r="O463" s="120"/>
      <c r="P463" s="120"/>
      <c r="Q463" s="120"/>
      <c r="R463" s="29">
        <v>39</v>
      </c>
      <c r="S463" s="238" t="str">
        <f t="shared" si="266"/>
        <v/>
      </c>
      <c r="T463" s="238" t="str">
        <f t="shared" si="267"/>
        <v/>
      </c>
      <c r="U463" s="238" t="str">
        <f t="shared" si="268"/>
        <v/>
      </c>
      <c r="W463" s="238" t="e">
        <f t="shared" si="236"/>
        <v>#N/A</v>
      </c>
      <c r="X463" s="238" t="e">
        <f t="shared" si="269"/>
        <v>#N/A</v>
      </c>
      <c r="Y463" s="238" t="e">
        <f t="shared" si="238"/>
        <v>#N/A</v>
      </c>
      <c r="AA463" s="89"/>
      <c r="AB463" s="89"/>
      <c r="AC463" s="89"/>
      <c r="AD463" s="89"/>
      <c r="AE463" s="89"/>
      <c r="AF463" s="89"/>
      <c r="AG463" s="89"/>
      <c r="AH463" s="89"/>
      <c r="AI463" s="89"/>
      <c r="AJ463" s="89"/>
      <c r="AK463" s="89"/>
      <c r="AL463" s="89"/>
      <c r="AM463" s="89"/>
      <c r="AN463" s="89"/>
      <c r="BR463" s="180">
        <v>2051</v>
      </c>
      <c r="BS463" s="22">
        <v>37</v>
      </c>
      <c r="BT463" s="198" t="e">
        <f t="shared" si="249"/>
        <v>#DIV/0!</v>
      </c>
      <c r="BU463" s="198" t="e">
        <f t="shared" si="250"/>
        <v>#DIV/0!</v>
      </c>
      <c r="BV463" s="285" t="e">
        <f t="shared" si="251"/>
        <v>#DIV/0!</v>
      </c>
      <c r="BY463" s="180">
        <v>2051</v>
      </c>
      <c r="BZ463" s="22">
        <v>37</v>
      </c>
      <c r="CA463" s="198" t="e">
        <f t="shared" ca="1" si="252"/>
        <v>#REF!</v>
      </c>
      <c r="CB463" s="198" t="e">
        <f t="shared" ca="1" si="253"/>
        <v>#REF!</v>
      </c>
      <c r="CC463" s="198" t="e">
        <f t="shared" ca="1" si="264"/>
        <v>#REF!</v>
      </c>
      <c r="CD463" s="285" t="e">
        <f t="shared" ca="1" si="254"/>
        <v>#REF!</v>
      </c>
      <c r="CG463" s="180">
        <v>2051</v>
      </c>
      <c r="CH463" s="22">
        <v>37</v>
      </c>
      <c r="CI463" s="198" t="e">
        <f t="shared" ca="1" si="255"/>
        <v>#REF!</v>
      </c>
      <c r="CJ463" s="198" t="e">
        <f t="shared" ca="1" si="256"/>
        <v>#REF!</v>
      </c>
      <c r="CK463" s="198" t="e">
        <f t="shared" ca="1" si="257"/>
        <v>#REF!</v>
      </c>
      <c r="CL463" s="198" t="e">
        <f t="shared" ca="1" si="258"/>
        <v>#REF!</v>
      </c>
      <c r="CM463" s="285" t="e">
        <f t="shared" ca="1" si="259"/>
        <v>#REF!</v>
      </c>
      <c r="CP463" s="180">
        <v>2051</v>
      </c>
      <c r="CQ463" s="22">
        <v>37</v>
      </c>
      <c r="CR463" s="198" t="e">
        <f t="shared" ca="1" si="260"/>
        <v>#REF!</v>
      </c>
      <c r="CS463" s="198" t="e">
        <f t="shared" ca="1" si="261"/>
        <v>#REF!</v>
      </c>
      <c r="CT463" s="285" t="e">
        <f t="shared" ca="1" si="262"/>
        <v>#REF!</v>
      </c>
      <c r="CZ463" s="164" t="b">
        <f t="shared" si="270"/>
        <v>0</v>
      </c>
      <c r="DA463" s="165" t="b">
        <f t="shared" si="270"/>
        <v>0</v>
      </c>
      <c r="DB463" s="166" t="b">
        <f t="shared" si="270"/>
        <v>0</v>
      </c>
      <c r="DC463" s="164" t="str">
        <f t="shared" si="240"/>
        <v/>
      </c>
      <c r="DD463" s="166" t="str">
        <f t="shared" si="241"/>
        <v/>
      </c>
      <c r="DE463" s="164" t="str">
        <f t="shared" si="242"/>
        <v/>
      </c>
      <c r="DF463" s="166" t="str">
        <f t="shared" si="243"/>
        <v/>
      </c>
      <c r="DG463" s="164" t="str">
        <f t="shared" si="244"/>
        <v/>
      </c>
      <c r="DH463" s="166" t="str">
        <f t="shared" si="245"/>
        <v/>
      </c>
      <c r="DI463" s="164" t="str">
        <f>IFERROR(INDEX(DC$422:DC$470,_xlfn.AGGREGATE(15,6,(ROW(DC$422:DC$470)-ROW(DC$422)+1)/(DC$422:DC$470&lt;&gt;""),ROWS(DI$1:DI42))),"")</f>
        <v/>
      </c>
      <c r="DJ463" s="165" t="str">
        <f>IFERROR(INDEX(DD$422:DD$470,_xlfn.AGGREGATE(15,6,(ROW(DD$422:DD$470)-ROW(DD$422)+1)/(DD$422:DD$470&lt;&gt;""),ROWS(DJ$1:DJ42))),"")</f>
        <v/>
      </c>
      <c r="DK463" s="166" t="str">
        <f t="shared" si="246"/>
        <v/>
      </c>
      <c r="DL463" s="164" t="str">
        <f>IFERROR(INDEX(DE$422:DE$470,_xlfn.AGGREGATE(15,6,(ROW(DE$422:DE$470)-ROW(DE$422)+1)/(DE$422:DE$470&lt;&gt;""),ROWS(DL$1:DL42))),"")</f>
        <v/>
      </c>
      <c r="DM463" s="165" t="str">
        <f>IFERROR(INDEX(DF$422:DF$470,_xlfn.AGGREGATE(15,6,(ROW(DF$422:DF$470)-ROW(DF$422)+1)/(DF$422:DF$470&lt;&gt;""),ROWS(DM$1:DM42))),"")</f>
        <v/>
      </c>
      <c r="DN463" s="166" t="str">
        <f t="shared" si="247"/>
        <v/>
      </c>
      <c r="DO463" s="164" t="str">
        <f>IFERROR(INDEX(DG$422:DG$470,_xlfn.AGGREGATE(15,6,(ROW(DG$422:DG$470)-ROW(DG$422)+1)/(DG$422:DG$470&lt;&gt;""),ROWS(DO$1:DO42))),"")</f>
        <v/>
      </c>
      <c r="DP463" s="165" t="str">
        <f>IFERROR(INDEX(DH$422:DH$470,_xlfn.AGGREGATE(15,6,(ROW(DH$422:DH$470)-ROW(DH$422)+1)/(DH$422:DH$470&lt;&gt;""),ROWS(DP$1:DP42))),"")</f>
        <v/>
      </c>
      <c r="DQ463" s="166" t="str">
        <f t="shared" si="248"/>
        <v/>
      </c>
      <c r="DR463" s="65"/>
      <c r="DV463" s="145">
        <v>2056</v>
      </c>
      <c r="DW463" s="235" t="e">
        <f t="shared" ca="1" si="232"/>
        <v>#REF!</v>
      </c>
      <c r="EA463" s="55"/>
      <c r="EB463" s="55"/>
      <c r="EC463" s="55"/>
      <c r="ED463" s="55"/>
      <c r="EE463" s="55"/>
    </row>
    <row r="464" spans="2:135" ht="13.8" x14ac:dyDescent="0.45">
      <c r="B464" s="128">
        <v>2054</v>
      </c>
      <c r="C464" s="1004"/>
      <c r="D464" s="987"/>
      <c r="E464" s="1006"/>
      <c r="F464" s="993"/>
      <c r="G464" s="247"/>
      <c r="H464" s="245"/>
      <c r="I464" s="1112"/>
      <c r="J464" s="247"/>
      <c r="K464" s="245"/>
      <c r="L464" s="246"/>
      <c r="M464" s="245"/>
      <c r="N464" s="29" t="s">
        <v>119</v>
      </c>
      <c r="O464" s="120"/>
      <c r="P464" s="120"/>
      <c r="Q464" s="120"/>
      <c r="R464" s="29">
        <v>40</v>
      </c>
      <c r="S464" s="238" t="str">
        <f t="shared" si="266"/>
        <v/>
      </c>
      <c r="T464" s="238" t="str">
        <f t="shared" si="267"/>
        <v/>
      </c>
      <c r="U464" s="238" t="str">
        <f t="shared" si="268"/>
        <v/>
      </c>
      <c r="W464" s="238" t="e">
        <f t="shared" si="236"/>
        <v>#N/A</v>
      </c>
      <c r="X464" s="238" t="e">
        <f t="shared" si="269"/>
        <v>#N/A</v>
      </c>
      <c r="Y464" s="238" t="e">
        <f t="shared" si="238"/>
        <v>#N/A</v>
      </c>
      <c r="AA464" s="89"/>
      <c r="AB464" s="89"/>
      <c r="AC464" s="89"/>
      <c r="AD464" s="89"/>
      <c r="AE464" s="89"/>
      <c r="AF464" s="89"/>
      <c r="AG464" s="89"/>
      <c r="AH464" s="89"/>
      <c r="AI464" s="89"/>
      <c r="AJ464" s="89"/>
      <c r="AK464" s="89"/>
      <c r="AL464" s="89"/>
      <c r="AM464" s="89"/>
      <c r="AN464" s="89"/>
      <c r="BR464" s="180">
        <v>2052</v>
      </c>
      <c r="BS464" s="22">
        <v>38</v>
      </c>
      <c r="BT464" s="198" t="e">
        <f t="shared" si="249"/>
        <v>#DIV/0!</v>
      </c>
      <c r="BU464" s="198" t="e">
        <f t="shared" si="250"/>
        <v>#DIV/0!</v>
      </c>
      <c r="BV464" s="241" t="e">
        <f t="shared" si="251"/>
        <v>#DIV/0!</v>
      </c>
      <c r="BY464" s="180">
        <v>2052</v>
      </c>
      <c r="BZ464" s="22">
        <v>38</v>
      </c>
      <c r="CA464" s="198" t="e">
        <f t="shared" ca="1" si="252"/>
        <v>#REF!</v>
      </c>
      <c r="CB464" s="198" t="e">
        <f t="shared" ca="1" si="253"/>
        <v>#REF!</v>
      </c>
      <c r="CC464" s="198" t="e">
        <f t="shared" ca="1" si="264"/>
        <v>#REF!</v>
      </c>
      <c r="CD464" s="241" t="e">
        <f t="shared" ca="1" si="254"/>
        <v>#REF!</v>
      </c>
      <c r="CG464" s="180">
        <v>2052</v>
      </c>
      <c r="CH464" s="22">
        <v>38</v>
      </c>
      <c r="CI464" s="198" t="e">
        <f t="shared" ca="1" si="255"/>
        <v>#REF!</v>
      </c>
      <c r="CJ464" s="198" t="e">
        <f t="shared" ca="1" si="256"/>
        <v>#REF!</v>
      </c>
      <c r="CK464" s="198" t="e">
        <f t="shared" ca="1" si="257"/>
        <v>#REF!</v>
      </c>
      <c r="CL464" s="198" t="e">
        <f t="shared" ca="1" si="258"/>
        <v>#REF!</v>
      </c>
      <c r="CM464" s="241" t="e">
        <f t="shared" ca="1" si="259"/>
        <v>#REF!</v>
      </c>
      <c r="CP464" s="180">
        <v>2052</v>
      </c>
      <c r="CQ464" s="22">
        <v>38</v>
      </c>
      <c r="CR464" s="198" t="e">
        <f t="shared" ca="1" si="260"/>
        <v>#REF!</v>
      </c>
      <c r="CS464" s="198" t="e">
        <f t="shared" ca="1" si="261"/>
        <v>#REF!</v>
      </c>
      <c r="CT464" s="241" t="e">
        <f t="shared" ca="1" si="262"/>
        <v>#REF!</v>
      </c>
      <c r="CZ464" s="164" t="b">
        <f t="shared" si="270"/>
        <v>0</v>
      </c>
      <c r="DA464" s="165" t="b">
        <f t="shared" si="270"/>
        <v>0</v>
      </c>
      <c r="DB464" s="166" t="b">
        <f t="shared" si="270"/>
        <v>0</v>
      </c>
      <c r="DC464" s="164" t="str">
        <f t="shared" si="240"/>
        <v/>
      </c>
      <c r="DD464" s="166" t="str">
        <f t="shared" si="241"/>
        <v/>
      </c>
      <c r="DE464" s="164" t="str">
        <f t="shared" si="242"/>
        <v/>
      </c>
      <c r="DF464" s="166" t="str">
        <f t="shared" si="243"/>
        <v/>
      </c>
      <c r="DG464" s="164" t="str">
        <f t="shared" si="244"/>
        <v/>
      </c>
      <c r="DH464" s="166" t="str">
        <f t="shared" si="245"/>
        <v/>
      </c>
      <c r="DI464" s="164" t="str">
        <f>IFERROR(INDEX(DC$422:DC$470,_xlfn.AGGREGATE(15,6,(ROW(DC$422:DC$470)-ROW(DC$422)+1)/(DC$422:DC$470&lt;&gt;""),ROWS(DI$1:DI43))),"")</f>
        <v/>
      </c>
      <c r="DJ464" s="165" t="str">
        <f>IFERROR(INDEX(DD$422:DD$470,_xlfn.AGGREGATE(15,6,(ROW(DD$422:DD$470)-ROW(DD$422)+1)/(DD$422:DD$470&lt;&gt;""),ROWS(DJ$1:DJ43))),"")</f>
        <v/>
      </c>
      <c r="DK464" s="166" t="str">
        <f t="shared" si="246"/>
        <v/>
      </c>
      <c r="DL464" s="164" t="str">
        <f>IFERROR(INDEX(DE$422:DE$470,_xlfn.AGGREGATE(15,6,(ROW(DE$422:DE$470)-ROW(DE$422)+1)/(DE$422:DE$470&lt;&gt;""),ROWS(DL$1:DL43))),"")</f>
        <v/>
      </c>
      <c r="DM464" s="165" t="str">
        <f>IFERROR(INDEX(DF$422:DF$470,_xlfn.AGGREGATE(15,6,(ROW(DF$422:DF$470)-ROW(DF$422)+1)/(DF$422:DF$470&lt;&gt;""),ROWS(DM$1:DM43))),"")</f>
        <v/>
      </c>
      <c r="DN464" s="166" t="str">
        <f t="shared" si="247"/>
        <v/>
      </c>
      <c r="DO464" s="164" t="str">
        <f>IFERROR(INDEX(DG$422:DG$470,_xlfn.AGGREGATE(15,6,(ROW(DG$422:DG$470)-ROW(DG$422)+1)/(DG$422:DG$470&lt;&gt;""),ROWS(DO$1:DO43))),"")</f>
        <v/>
      </c>
      <c r="DP464" s="165" t="str">
        <f>IFERROR(INDEX(DH$422:DH$470,_xlfn.AGGREGATE(15,6,(ROW(DH$422:DH$470)-ROW(DH$422)+1)/(DH$422:DH$470&lt;&gt;""),ROWS(DP$1:DP43))),"")</f>
        <v/>
      </c>
      <c r="DQ464" s="166" t="str">
        <f t="shared" si="248"/>
        <v/>
      </c>
      <c r="DR464" s="65"/>
      <c r="DV464" s="145">
        <v>2057</v>
      </c>
      <c r="DW464" s="235" t="e">
        <f t="shared" ca="1" si="232"/>
        <v>#REF!</v>
      </c>
      <c r="EA464" s="55"/>
      <c r="EB464" s="55"/>
      <c r="EC464" s="55"/>
      <c r="ED464" s="55"/>
      <c r="EE464" s="55"/>
    </row>
    <row r="465" spans="1:135" ht="13.8" x14ac:dyDescent="0.45">
      <c r="B465" s="128">
        <v>2055</v>
      </c>
      <c r="C465" s="1004"/>
      <c r="D465" s="987"/>
      <c r="E465" s="1006"/>
      <c r="F465" s="993"/>
      <c r="G465" s="247"/>
      <c r="H465" s="245"/>
      <c r="I465" s="1112"/>
      <c r="J465" s="247"/>
      <c r="K465" s="245"/>
      <c r="L465" s="246"/>
      <c r="M465" s="245"/>
      <c r="N465" s="29" t="s">
        <v>119</v>
      </c>
      <c r="O465" s="120"/>
      <c r="P465" s="120"/>
      <c r="Q465" s="120"/>
      <c r="R465" s="29">
        <v>41</v>
      </c>
      <c r="S465" s="238" t="str">
        <f t="shared" si="266"/>
        <v/>
      </c>
      <c r="T465" s="238" t="str">
        <f t="shared" si="267"/>
        <v/>
      </c>
      <c r="U465" s="238" t="str">
        <f t="shared" si="268"/>
        <v/>
      </c>
      <c r="W465" s="238" t="e">
        <f t="shared" si="236"/>
        <v>#N/A</v>
      </c>
      <c r="X465" s="238" t="e">
        <f t="shared" si="269"/>
        <v>#N/A</v>
      </c>
      <c r="Y465" s="238" t="e">
        <f t="shared" si="238"/>
        <v>#N/A</v>
      </c>
      <c r="AA465" s="89"/>
      <c r="AB465" s="89"/>
      <c r="AC465" s="89"/>
      <c r="AD465" s="89"/>
      <c r="AE465" s="89"/>
      <c r="AF465" s="89"/>
      <c r="AG465" s="89"/>
      <c r="AH465" s="89"/>
      <c r="AI465" s="89"/>
      <c r="AJ465" s="89"/>
      <c r="AK465" s="89"/>
      <c r="AL465" s="89"/>
      <c r="AM465" s="89"/>
      <c r="AN465" s="89"/>
      <c r="BR465" s="180">
        <v>2053</v>
      </c>
      <c r="BS465" s="22">
        <v>39</v>
      </c>
      <c r="BT465" s="198" t="e">
        <f t="shared" si="249"/>
        <v>#DIV/0!</v>
      </c>
      <c r="BU465" s="198" t="e">
        <f t="shared" si="250"/>
        <v>#DIV/0!</v>
      </c>
      <c r="BV465" s="241" t="e">
        <f t="shared" si="251"/>
        <v>#DIV/0!</v>
      </c>
      <c r="BY465" s="180">
        <v>2053</v>
      </c>
      <c r="BZ465" s="22">
        <v>39</v>
      </c>
      <c r="CA465" s="198" t="e">
        <f t="shared" ca="1" si="252"/>
        <v>#REF!</v>
      </c>
      <c r="CB465" s="198" t="e">
        <f t="shared" ca="1" si="253"/>
        <v>#REF!</v>
      </c>
      <c r="CC465" s="198" t="e">
        <f t="shared" ca="1" si="264"/>
        <v>#REF!</v>
      </c>
      <c r="CD465" s="241" t="e">
        <f t="shared" ca="1" si="254"/>
        <v>#REF!</v>
      </c>
      <c r="CG465" s="180">
        <v>2053</v>
      </c>
      <c r="CH465" s="22">
        <v>39</v>
      </c>
      <c r="CI465" s="198" t="e">
        <f t="shared" ca="1" si="255"/>
        <v>#REF!</v>
      </c>
      <c r="CJ465" s="198" t="e">
        <f t="shared" ca="1" si="256"/>
        <v>#REF!</v>
      </c>
      <c r="CK465" s="198" t="e">
        <f t="shared" ca="1" si="257"/>
        <v>#REF!</v>
      </c>
      <c r="CL465" s="198" t="e">
        <f t="shared" ca="1" si="258"/>
        <v>#REF!</v>
      </c>
      <c r="CM465" s="241" t="e">
        <f t="shared" ca="1" si="259"/>
        <v>#REF!</v>
      </c>
      <c r="CP465" s="180">
        <v>2053</v>
      </c>
      <c r="CQ465" s="22">
        <v>39</v>
      </c>
      <c r="CR465" s="198" t="e">
        <f t="shared" ca="1" si="260"/>
        <v>#REF!</v>
      </c>
      <c r="CS465" s="198" t="e">
        <f t="shared" ca="1" si="261"/>
        <v>#REF!</v>
      </c>
      <c r="CT465" s="241" t="e">
        <f t="shared" ca="1" si="262"/>
        <v>#REF!</v>
      </c>
      <c r="CZ465" s="164" t="b">
        <f t="shared" si="270"/>
        <v>0</v>
      </c>
      <c r="DA465" s="165" t="b">
        <f t="shared" si="270"/>
        <v>0</v>
      </c>
      <c r="DB465" s="166" t="b">
        <f t="shared" si="270"/>
        <v>0</v>
      </c>
      <c r="DC465" s="164" t="str">
        <f t="shared" si="240"/>
        <v/>
      </c>
      <c r="DD465" s="166" t="str">
        <f t="shared" si="241"/>
        <v/>
      </c>
      <c r="DE465" s="164" t="str">
        <f t="shared" si="242"/>
        <v/>
      </c>
      <c r="DF465" s="166" t="str">
        <f t="shared" si="243"/>
        <v/>
      </c>
      <c r="DG465" s="164" t="str">
        <f t="shared" si="244"/>
        <v/>
      </c>
      <c r="DH465" s="166" t="str">
        <f t="shared" si="245"/>
        <v/>
      </c>
      <c r="DI465" s="164" t="str">
        <f>IFERROR(INDEX(DC$422:DC$470,_xlfn.AGGREGATE(15,6,(ROW(DC$422:DC$470)-ROW(DC$422)+1)/(DC$422:DC$470&lt;&gt;""),ROWS(DI$1:DI44))),"")</f>
        <v/>
      </c>
      <c r="DJ465" s="165" t="str">
        <f>IFERROR(INDEX(DD$422:DD$470,_xlfn.AGGREGATE(15,6,(ROW(DD$422:DD$470)-ROW(DD$422)+1)/(DD$422:DD$470&lt;&gt;""),ROWS(DJ$1:DJ44))),"")</f>
        <v/>
      </c>
      <c r="DK465" s="166" t="str">
        <f t="shared" si="246"/>
        <v/>
      </c>
      <c r="DL465" s="164" t="str">
        <f>IFERROR(INDEX(DE$422:DE$470,_xlfn.AGGREGATE(15,6,(ROW(DE$422:DE$470)-ROW(DE$422)+1)/(DE$422:DE$470&lt;&gt;""),ROWS(DL$1:DL44))),"")</f>
        <v/>
      </c>
      <c r="DM465" s="165" t="str">
        <f>IFERROR(INDEX(DF$422:DF$470,_xlfn.AGGREGATE(15,6,(ROW(DF$422:DF$470)-ROW(DF$422)+1)/(DF$422:DF$470&lt;&gt;""),ROWS(DM$1:DM44))),"")</f>
        <v/>
      </c>
      <c r="DN465" s="166" t="str">
        <f t="shared" si="247"/>
        <v/>
      </c>
      <c r="DO465" s="164" t="str">
        <f>IFERROR(INDEX(DG$422:DG$470,_xlfn.AGGREGATE(15,6,(ROW(DG$422:DG$470)-ROW(DG$422)+1)/(DG$422:DG$470&lt;&gt;""),ROWS(DO$1:DO44))),"")</f>
        <v/>
      </c>
      <c r="DP465" s="165" t="str">
        <f>IFERROR(INDEX(DH$422:DH$470,_xlfn.AGGREGATE(15,6,(ROW(DH$422:DH$470)-ROW(DH$422)+1)/(DH$422:DH$470&lt;&gt;""),ROWS(DP$1:DP44))),"")</f>
        <v/>
      </c>
      <c r="DQ465" s="166" t="str">
        <f t="shared" si="248"/>
        <v/>
      </c>
      <c r="DR465" s="65"/>
      <c r="DV465" s="145">
        <v>2058</v>
      </c>
      <c r="DW465" s="235" t="e">
        <f t="shared" ca="1" si="232"/>
        <v>#REF!</v>
      </c>
      <c r="EA465" s="55"/>
      <c r="EB465" s="55"/>
      <c r="EC465" s="55"/>
      <c r="ED465" s="55"/>
      <c r="EE465" s="55"/>
    </row>
    <row r="466" spans="1:135" ht="13.8" x14ac:dyDescent="0.45">
      <c r="B466" s="128">
        <v>2056</v>
      </c>
      <c r="C466" s="1004"/>
      <c r="D466" s="987"/>
      <c r="E466" s="1006"/>
      <c r="F466" s="994"/>
      <c r="G466" s="247"/>
      <c r="H466" s="245"/>
      <c r="I466" s="1112"/>
      <c r="J466" s="247"/>
      <c r="K466" s="245"/>
      <c r="L466" s="246"/>
      <c r="M466" s="245"/>
      <c r="N466" s="29" t="s">
        <v>119</v>
      </c>
      <c r="O466" s="120"/>
      <c r="P466" s="120"/>
      <c r="Q466" s="120"/>
      <c r="R466" s="29">
        <v>42</v>
      </c>
      <c r="S466" s="238" t="str">
        <f t="shared" si="266"/>
        <v/>
      </c>
      <c r="T466" s="238" t="str">
        <f t="shared" si="267"/>
        <v/>
      </c>
      <c r="U466" s="238" t="str">
        <f t="shared" si="268"/>
        <v/>
      </c>
      <c r="W466" s="238" t="e">
        <f t="shared" si="236"/>
        <v>#N/A</v>
      </c>
      <c r="X466" s="238" t="e">
        <f t="shared" si="269"/>
        <v>#N/A</v>
      </c>
      <c r="Y466" s="238" t="e">
        <f t="shared" si="238"/>
        <v>#N/A</v>
      </c>
      <c r="AA466" s="89"/>
      <c r="AB466" s="89"/>
      <c r="AC466" s="89"/>
      <c r="AD466" s="89"/>
      <c r="AE466" s="89"/>
      <c r="AF466" s="89"/>
      <c r="AG466" s="89"/>
      <c r="AH466" s="89"/>
      <c r="AI466" s="89"/>
      <c r="AJ466" s="89"/>
      <c r="AK466" s="89"/>
      <c r="AL466" s="89"/>
      <c r="AM466" s="89"/>
      <c r="AN466" s="89"/>
      <c r="BR466" s="180">
        <v>2054</v>
      </c>
      <c r="BS466" s="22">
        <v>40</v>
      </c>
      <c r="BT466" s="198" t="e">
        <f t="shared" si="249"/>
        <v>#DIV/0!</v>
      </c>
      <c r="BU466" s="198" t="e">
        <f t="shared" si="250"/>
        <v>#DIV/0!</v>
      </c>
      <c r="BV466" s="241" t="e">
        <f t="shared" si="251"/>
        <v>#DIV/0!</v>
      </c>
      <c r="BY466" s="180">
        <v>2054</v>
      </c>
      <c r="BZ466" s="22">
        <v>40</v>
      </c>
      <c r="CA466" s="198" t="e">
        <f t="shared" ca="1" si="252"/>
        <v>#REF!</v>
      </c>
      <c r="CB466" s="198" t="e">
        <f t="shared" ca="1" si="253"/>
        <v>#REF!</v>
      </c>
      <c r="CC466" s="198" t="e">
        <f t="shared" ca="1" si="264"/>
        <v>#REF!</v>
      </c>
      <c r="CD466" s="241" t="e">
        <f t="shared" ca="1" si="254"/>
        <v>#REF!</v>
      </c>
      <c r="CG466" s="180">
        <v>2054</v>
      </c>
      <c r="CH466" s="22">
        <v>40</v>
      </c>
      <c r="CI466" s="198" t="e">
        <f t="shared" ca="1" si="255"/>
        <v>#REF!</v>
      </c>
      <c r="CJ466" s="198" t="e">
        <f t="shared" ca="1" si="256"/>
        <v>#REF!</v>
      </c>
      <c r="CK466" s="198" t="e">
        <f t="shared" ca="1" si="257"/>
        <v>#REF!</v>
      </c>
      <c r="CL466" s="198" t="e">
        <f t="shared" ca="1" si="258"/>
        <v>#REF!</v>
      </c>
      <c r="CM466" s="241" t="e">
        <f t="shared" ca="1" si="259"/>
        <v>#REF!</v>
      </c>
      <c r="CP466" s="180">
        <v>2054</v>
      </c>
      <c r="CQ466" s="22">
        <v>40</v>
      </c>
      <c r="CR466" s="198" t="e">
        <f t="shared" ca="1" si="260"/>
        <v>#REF!</v>
      </c>
      <c r="CS466" s="198" t="e">
        <f t="shared" ca="1" si="261"/>
        <v>#REF!</v>
      </c>
      <c r="CT466" s="241" t="e">
        <f t="shared" ca="1" si="262"/>
        <v>#REF!</v>
      </c>
      <c r="CZ466" s="164" t="b">
        <f t="shared" si="270"/>
        <v>0</v>
      </c>
      <c r="DA466" s="165" t="b">
        <f t="shared" si="270"/>
        <v>0</v>
      </c>
      <c r="DB466" s="166" t="b">
        <f t="shared" si="270"/>
        <v>0</v>
      </c>
      <c r="DC466" s="164" t="str">
        <f t="shared" si="240"/>
        <v/>
      </c>
      <c r="DD466" s="166" t="str">
        <f t="shared" si="241"/>
        <v/>
      </c>
      <c r="DE466" s="164" t="str">
        <f t="shared" si="242"/>
        <v/>
      </c>
      <c r="DF466" s="166" t="str">
        <f t="shared" si="243"/>
        <v/>
      </c>
      <c r="DG466" s="164" t="str">
        <f t="shared" si="244"/>
        <v/>
      </c>
      <c r="DH466" s="166" t="str">
        <f t="shared" si="245"/>
        <v/>
      </c>
      <c r="DI466" s="164" t="str">
        <f>IFERROR(INDEX(DC$422:DC$470,_xlfn.AGGREGATE(15,6,(ROW(DC$422:DC$470)-ROW(DC$422)+1)/(DC$422:DC$470&lt;&gt;""),ROWS(DI$1:DI45))),"")</f>
        <v/>
      </c>
      <c r="DJ466" s="165" t="str">
        <f>IFERROR(INDEX(DD$422:DD$470,_xlfn.AGGREGATE(15,6,(ROW(DD$422:DD$470)-ROW(DD$422)+1)/(DD$422:DD$470&lt;&gt;""),ROWS(DJ$1:DJ45))),"")</f>
        <v/>
      </c>
      <c r="DK466" s="166" t="str">
        <f t="shared" si="246"/>
        <v/>
      </c>
      <c r="DL466" s="164" t="str">
        <f>IFERROR(INDEX(DE$422:DE$470,_xlfn.AGGREGATE(15,6,(ROW(DE$422:DE$470)-ROW(DE$422)+1)/(DE$422:DE$470&lt;&gt;""),ROWS(DL$1:DL45))),"")</f>
        <v/>
      </c>
      <c r="DM466" s="165" t="str">
        <f>IFERROR(INDEX(DF$422:DF$470,_xlfn.AGGREGATE(15,6,(ROW(DF$422:DF$470)-ROW(DF$422)+1)/(DF$422:DF$470&lt;&gt;""),ROWS(DM$1:DM45))),"")</f>
        <v/>
      </c>
      <c r="DN466" s="166" t="str">
        <f t="shared" si="247"/>
        <v/>
      </c>
      <c r="DO466" s="164" t="str">
        <f>IFERROR(INDEX(DG$422:DG$470,_xlfn.AGGREGATE(15,6,(ROW(DG$422:DG$470)-ROW(DG$422)+1)/(DG$422:DG$470&lt;&gt;""),ROWS(DO$1:DO45))),"")</f>
        <v/>
      </c>
      <c r="DP466" s="165" t="str">
        <f>IFERROR(INDEX(DH$422:DH$470,_xlfn.AGGREGATE(15,6,(ROW(DH$422:DH$470)-ROW(DH$422)+1)/(DH$422:DH$470&lt;&gt;""),ROWS(DP$1:DP45))),"")</f>
        <v/>
      </c>
      <c r="DQ466" s="166" t="str">
        <f t="shared" si="248"/>
        <v/>
      </c>
      <c r="DR466" s="65"/>
      <c r="DV466" s="145">
        <v>2059</v>
      </c>
      <c r="DW466" s="235" t="e">
        <f t="shared" ca="1" si="232"/>
        <v>#REF!</v>
      </c>
      <c r="EA466" s="55"/>
      <c r="EB466" s="55"/>
      <c r="EC466" s="55"/>
      <c r="ED466" s="55"/>
      <c r="EE466" s="55"/>
    </row>
    <row r="467" spans="1:135" ht="13.8" x14ac:dyDescent="0.45">
      <c r="B467" s="128">
        <v>2057</v>
      </c>
      <c r="C467" s="1004"/>
      <c r="D467" s="987"/>
      <c r="E467" s="1006"/>
      <c r="F467" s="994"/>
      <c r="G467" s="247"/>
      <c r="H467" s="245"/>
      <c r="I467" s="1112"/>
      <c r="J467" s="247"/>
      <c r="K467" s="245"/>
      <c r="L467" s="246"/>
      <c r="M467" s="245"/>
      <c r="N467" s="29" t="s">
        <v>119</v>
      </c>
      <c r="O467" s="120"/>
      <c r="P467" s="120"/>
      <c r="Q467" s="120"/>
      <c r="R467" s="29">
        <v>43</v>
      </c>
      <c r="S467" s="238" t="str">
        <f t="shared" si="266"/>
        <v/>
      </c>
      <c r="T467" s="238" t="str">
        <f t="shared" si="267"/>
        <v/>
      </c>
      <c r="U467" s="238" t="str">
        <f t="shared" si="268"/>
        <v/>
      </c>
      <c r="W467" s="238" t="e">
        <f t="shared" si="236"/>
        <v>#N/A</v>
      </c>
      <c r="X467" s="238" t="e">
        <f t="shared" si="269"/>
        <v>#N/A</v>
      </c>
      <c r="Y467" s="238" t="e">
        <f t="shared" si="238"/>
        <v>#N/A</v>
      </c>
      <c r="AA467" s="89"/>
      <c r="AB467" s="89"/>
      <c r="AC467" s="89"/>
      <c r="AD467" s="89"/>
      <c r="AE467" s="89"/>
      <c r="AF467" s="89"/>
      <c r="AG467" s="89"/>
      <c r="AH467" s="89"/>
      <c r="AI467" s="89"/>
      <c r="AJ467" s="89"/>
      <c r="AK467" s="89"/>
      <c r="AL467" s="89"/>
      <c r="AM467" s="89"/>
      <c r="AN467" s="89"/>
      <c r="BR467" s="180">
        <v>2055</v>
      </c>
      <c r="BS467" s="22">
        <v>41</v>
      </c>
      <c r="BT467" s="198" t="e">
        <f t="shared" si="249"/>
        <v>#DIV/0!</v>
      </c>
      <c r="BU467" s="198" t="e">
        <f t="shared" si="250"/>
        <v>#DIV/0!</v>
      </c>
      <c r="BV467" s="241" t="e">
        <f t="shared" si="251"/>
        <v>#DIV/0!</v>
      </c>
      <c r="BY467" s="180">
        <v>2055</v>
      </c>
      <c r="BZ467" s="22">
        <v>41</v>
      </c>
      <c r="CA467" s="198" t="e">
        <f t="shared" ca="1" si="252"/>
        <v>#REF!</v>
      </c>
      <c r="CB467" s="198" t="e">
        <f t="shared" ca="1" si="253"/>
        <v>#REF!</v>
      </c>
      <c r="CC467" s="198" t="e">
        <f t="shared" ca="1" si="264"/>
        <v>#REF!</v>
      </c>
      <c r="CD467" s="241" t="e">
        <f t="shared" ca="1" si="254"/>
        <v>#REF!</v>
      </c>
      <c r="CG467" s="180">
        <v>2055</v>
      </c>
      <c r="CH467" s="22">
        <v>41</v>
      </c>
      <c r="CI467" s="198" t="e">
        <f t="shared" ca="1" si="255"/>
        <v>#REF!</v>
      </c>
      <c r="CJ467" s="198" t="e">
        <f t="shared" ca="1" si="256"/>
        <v>#REF!</v>
      </c>
      <c r="CK467" s="198" t="e">
        <f t="shared" ca="1" si="257"/>
        <v>#REF!</v>
      </c>
      <c r="CL467" s="198" t="e">
        <f t="shared" ca="1" si="258"/>
        <v>#REF!</v>
      </c>
      <c r="CM467" s="241" t="e">
        <f t="shared" ca="1" si="259"/>
        <v>#REF!</v>
      </c>
      <c r="CP467" s="180">
        <v>2055</v>
      </c>
      <c r="CQ467" s="22">
        <v>41</v>
      </c>
      <c r="CR467" s="198" t="e">
        <f t="shared" ca="1" si="260"/>
        <v>#REF!</v>
      </c>
      <c r="CS467" s="198" t="e">
        <f t="shared" ca="1" si="261"/>
        <v>#REF!</v>
      </c>
      <c r="CT467" s="241" t="e">
        <f t="shared" ca="1" si="262"/>
        <v>#REF!</v>
      </c>
      <c r="CZ467" s="164" t="b">
        <f t="shared" si="270"/>
        <v>0</v>
      </c>
      <c r="DA467" s="165" t="b">
        <f t="shared" si="270"/>
        <v>0</v>
      </c>
      <c r="DB467" s="166" t="b">
        <f t="shared" si="270"/>
        <v>0</v>
      </c>
      <c r="DC467" s="164" t="str">
        <f t="shared" si="240"/>
        <v/>
      </c>
      <c r="DD467" s="166" t="str">
        <f t="shared" si="241"/>
        <v/>
      </c>
      <c r="DE467" s="164" t="str">
        <f t="shared" si="242"/>
        <v/>
      </c>
      <c r="DF467" s="166" t="str">
        <f t="shared" si="243"/>
        <v/>
      </c>
      <c r="DG467" s="164" t="str">
        <f t="shared" si="244"/>
        <v/>
      </c>
      <c r="DH467" s="166" t="str">
        <f t="shared" si="245"/>
        <v/>
      </c>
      <c r="DI467" s="164" t="str">
        <f>IFERROR(INDEX(DC$422:DC$470,_xlfn.AGGREGATE(15,6,(ROW(DC$422:DC$470)-ROW(DC$422)+1)/(DC$422:DC$470&lt;&gt;""),ROWS(DI$1:DI46))),"")</f>
        <v/>
      </c>
      <c r="DJ467" s="165" t="str">
        <f>IFERROR(INDEX(DD$422:DD$470,_xlfn.AGGREGATE(15,6,(ROW(DD$422:DD$470)-ROW(DD$422)+1)/(DD$422:DD$470&lt;&gt;""),ROWS(DJ$1:DJ46))),"")</f>
        <v/>
      </c>
      <c r="DK467" s="166" t="str">
        <f t="shared" si="246"/>
        <v/>
      </c>
      <c r="DL467" s="164" t="str">
        <f>IFERROR(INDEX(DE$422:DE$470,_xlfn.AGGREGATE(15,6,(ROW(DE$422:DE$470)-ROW(DE$422)+1)/(DE$422:DE$470&lt;&gt;""),ROWS(DL$1:DL46))),"")</f>
        <v/>
      </c>
      <c r="DM467" s="165" t="str">
        <f>IFERROR(INDEX(DF$422:DF$470,_xlfn.AGGREGATE(15,6,(ROW(DF$422:DF$470)-ROW(DF$422)+1)/(DF$422:DF$470&lt;&gt;""),ROWS(DM$1:DM46))),"")</f>
        <v/>
      </c>
      <c r="DN467" s="166" t="str">
        <f t="shared" si="247"/>
        <v/>
      </c>
      <c r="DO467" s="164" t="str">
        <f>IFERROR(INDEX(DG$422:DG$470,_xlfn.AGGREGATE(15,6,(ROW(DG$422:DG$470)-ROW(DG$422)+1)/(DG$422:DG$470&lt;&gt;""),ROWS(DO$1:DO46))),"")</f>
        <v/>
      </c>
      <c r="DP467" s="165" t="str">
        <f>IFERROR(INDEX(DH$422:DH$470,_xlfn.AGGREGATE(15,6,(ROW(DH$422:DH$470)-ROW(DH$422)+1)/(DH$422:DH$470&lt;&gt;""),ROWS(DP$1:DP46))),"")</f>
        <v/>
      </c>
      <c r="DQ467" s="166" t="str">
        <f t="shared" si="248"/>
        <v/>
      </c>
      <c r="DR467" s="65"/>
      <c r="DV467" s="145">
        <v>2060</v>
      </c>
      <c r="DW467" s="235" t="e">
        <f t="shared" ca="1" si="232"/>
        <v>#REF!</v>
      </c>
      <c r="EA467" s="55"/>
      <c r="EB467" s="55"/>
      <c r="EC467" s="55"/>
      <c r="ED467" s="55"/>
      <c r="EE467" s="55"/>
    </row>
    <row r="468" spans="1:135" ht="13.8" x14ac:dyDescent="0.45">
      <c r="A468" s="214"/>
      <c r="B468" s="128">
        <v>2058</v>
      </c>
      <c r="C468" s="1004"/>
      <c r="D468" s="987"/>
      <c r="E468" s="1006"/>
      <c r="F468" s="994"/>
      <c r="G468" s="247"/>
      <c r="H468" s="245"/>
      <c r="I468" s="1112"/>
      <c r="J468" s="247"/>
      <c r="K468" s="245"/>
      <c r="L468" s="246"/>
      <c r="M468" s="245"/>
      <c r="N468" s="29" t="s">
        <v>119</v>
      </c>
      <c r="R468" s="29">
        <v>44</v>
      </c>
      <c r="S468" s="238" t="str">
        <f t="shared" si="266"/>
        <v/>
      </c>
      <c r="T468" s="238" t="str">
        <f t="shared" si="267"/>
        <v/>
      </c>
      <c r="U468" s="238" t="str">
        <f t="shared" si="268"/>
        <v/>
      </c>
      <c r="W468" s="238" t="e">
        <f t="shared" si="236"/>
        <v>#N/A</v>
      </c>
      <c r="X468" s="238" t="e">
        <f t="shared" si="269"/>
        <v>#N/A</v>
      </c>
      <c r="Y468" s="238" t="e">
        <f t="shared" si="238"/>
        <v>#N/A</v>
      </c>
      <c r="AA468" s="89"/>
      <c r="AB468" s="89"/>
      <c r="AC468" s="89"/>
      <c r="AD468" s="89"/>
      <c r="AE468" s="89"/>
      <c r="AF468" s="89"/>
      <c r="AG468" s="89"/>
      <c r="AH468" s="89"/>
      <c r="AI468" s="89"/>
      <c r="AJ468" s="89"/>
      <c r="AK468" s="89"/>
      <c r="AL468" s="89"/>
      <c r="AM468" s="89"/>
      <c r="AN468" s="89"/>
      <c r="BR468" s="180">
        <v>2056</v>
      </c>
      <c r="BS468" s="22">
        <v>42</v>
      </c>
      <c r="BT468" s="198" t="e">
        <f t="shared" si="249"/>
        <v>#DIV/0!</v>
      </c>
      <c r="BU468" s="198" t="e">
        <f t="shared" si="250"/>
        <v>#DIV/0!</v>
      </c>
      <c r="BV468" s="241" t="e">
        <f t="shared" si="251"/>
        <v>#DIV/0!</v>
      </c>
      <c r="BY468" s="180">
        <v>2056</v>
      </c>
      <c r="BZ468" s="22">
        <v>42</v>
      </c>
      <c r="CA468" s="198" t="e">
        <f t="shared" ca="1" si="252"/>
        <v>#REF!</v>
      </c>
      <c r="CB468" s="198" t="e">
        <f t="shared" ca="1" si="253"/>
        <v>#REF!</v>
      </c>
      <c r="CC468" s="198" t="e">
        <f t="shared" ca="1" si="264"/>
        <v>#REF!</v>
      </c>
      <c r="CD468" s="241" t="e">
        <f t="shared" ca="1" si="254"/>
        <v>#REF!</v>
      </c>
      <c r="CG468" s="180">
        <v>2056</v>
      </c>
      <c r="CH468" s="22">
        <v>42</v>
      </c>
      <c r="CI468" s="198" t="e">
        <f t="shared" ca="1" si="255"/>
        <v>#REF!</v>
      </c>
      <c r="CJ468" s="198" t="e">
        <f t="shared" ca="1" si="256"/>
        <v>#REF!</v>
      </c>
      <c r="CK468" s="198" t="e">
        <f t="shared" ca="1" si="257"/>
        <v>#REF!</v>
      </c>
      <c r="CL468" s="198" t="e">
        <f t="shared" ca="1" si="258"/>
        <v>#REF!</v>
      </c>
      <c r="CM468" s="241" t="e">
        <f t="shared" ca="1" si="259"/>
        <v>#REF!</v>
      </c>
      <c r="CP468" s="180">
        <v>2056</v>
      </c>
      <c r="CQ468" s="22">
        <v>42</v>
      </c>
      <c r="CR468" s="198" t="e">
        <f t="shared" ca="1" si="260"/>
        <v>#REF!</v>
      </c>
      <c r="CS468" s="198" t="e">
        <f t="shared" ca="1" si="261"/>
        <v>#REF!</v>
      </c>
      <c r="CT468" s="241" t="e">
        <f t="shared" ca="1" si="262"/>
        <v>#REF!</v>
      </c>
      <c r="CZ468" s="164" t="b">
        <f t="shared" si="270"/>
        <v>0</v>
      </c>
      <c r="DA468" s="165" t="b">
        <f t="shared" si="270"/>
        <v>0</v>
      </c>
      <c r="DB468" s="166" t="b">
        <f t="shared" si="270"/>
        <v>0</v>
      </c>
      <c r="DC468" s="164" t="str">
        <f t="shared" si="240"/>
        <v/>
      </c>
      <c r="DD468" s="166" t="str">
        <f t="shared" si="241"/>
        <v/>
      </c>
      <c r="DE468" s="164" t="str">
        <f t="shared" si="242"/>
        <v/>
      </c>
      <c r="DF468" s="166" t="str">
        <f t="shared" si="243"/>
        <v/>
      </c>
      <c r="DG468" s="164" t="str">
        <f t="shared" si="244"/>
        <v/>
      </c>
      <c r="DH468" s="166" t="str">
        <f t="shared" si="245"/>
        <v/>
      </c>
      <c r="DI468" s="164" t="str">
        <f>IFERROR(INDEX(DC$422:DC$470,_xlfn.AGGREGATE(15,6,(ROW(DC$422:DC$470)-ROW(DC$422)+1)/(DC$422:DC$470&lt;&gt;""),ROWS(DI$1:DI47))),"")</f>
        <v/>
      </c>
      <c r="DJ468" s="165" t="str">
        <f>IFERROR(INDEX(DD$422:DD$470,_xlfn.AGGREGATE(15,6,(ROW(DD$422:DD$470)-ROW(DD$422)+1)/(DD$422:DD$470&lt;&gt;""),ROWS(DJ$1:DJ47))),"")</f>
        <v/>
      </c>
      <c r="DK468" s="166" t="str">
        <f t="shared" si="246"/>
        <v/>
      </c>
      <c r="DL468" s="164" t="str">
        <f>IFERROR(INDEX(DE$422:DE$470,_xlfn.AGGREGATE(15,6,(ROW(DE$422:DE$470)-ROW(DE$422)+1)/(DE$422:DE$470&lt;&gt;""),ROWS(DL$1:DL47))),"")</f>
        <v/>
      </c>
      <c r="DM468" s="165" t="str">
        <f>IFERROR(INDEX(DF$422:DF$470,_xlfn.AGGREGATE(15,6,(ROW(DF$422:DF$470)-ROW(DF$422)+1)/(DF$422:DF$470&lt;&gt;""),ROWS(DM$1:DM47))),"")</f>
        <v/>
      </c>
      <c r="DN468" s="166" t="str">
        <f t="shared" si="247"/>
        <v/>
      </c>
      <c r="DO468" s="164" t="str">
        <f>IFERROR(INDEX(DG$422:DG$470,_xlfn.AGGREGATE(15,6,(ROW(DG$422:DG$470)-ROW(DG$422)+1)/(DG$422:DG$470&lt;&gt;""),ROWS(DO$1:DO47))),"")</f>
        <v/>
      </c>
      <c r="DP468" s="165" t="str">
        <f>IFERROR(INDEX(DH$422:DH$470,_xlfn.AGGREGATE(15,6,(ROW(DH$422:DH$470)-ROW(DH$422)+1)/(DH$422:DH$470&lt;&gt;""),ROWS(DP$1:DP47))),"")</f>
        <v/>
      </c>
      <c r="DQ468" s="166" t="str">
        <f t="shared" si="248"/>
        <v/>
      </c>
      <c r="DR468" s="65"/>
      <c r="DW468" s="54"/>
      <c r="EA468" s="55"/>
      <c r="EB468" s="55"/>
      <c r="EC468" s="55"/>
      <c r="ED468" s="55"/>
      <c r="EE468" s="55"/>
    </row>
    <row r="469" spans="1:135" ht="13.8" x14ac:dyDescent="0.45">
      <c r="A469" s="214"/>
      <c r="B469" s="128">
        <v>2059</v>
      </c>
      <c r="C469" s="1004"/>
      <c r="D469" s="987"/>
      <c r="E469" s="1006"/>
      <c r="F469" s="994"/>
      <c r="G469" s="247"/>
      <c r="H469" s="245"/>
      <c r="I469" s="1112"/>
      <c r="J469" s="247"/>
      <c r="K469" s="245"/>
      <c r="L469" s="246"/>
      <c r="M469" s="245"/>
      <c r="N469" s="29" t="s">
        <v>119</v>
      </c>
      <c r="R469" s="29">
        <v>45</v>
      </c>
      <c r="S469" s="238" t="str">
        <f t="shared" si="266"/>
        <v/>
      </c>
      <c r="T469" s="238" t="str">
        <f t="shared" si="267"/>
        <v/>
      </c>
      <c r="U469" s="238" t="str">
        <f t="shared" si="268"/>
        <v/>
      </c>
      <c r="W469" s="238" t="e">
        <f t="shared" si="236"/>
        <v>#N/A</v>
      </c>
      <c r="X469" s="238" t="e">
        <f t="shared" si="269"/>
        <v>#N/A</v>
      </c>
      <c r="Y469" s="238" t="e">
        <f t="shared" si="238"/>
        <v>#N/A</v>
      </c>
      <c r="AA469" s="89"/>
      <c r="AB469" s="89"/>
      <c r="AC469" s="89"/>
      <c r="AD469" s="89"/>
      <c r="AE469" s="89"/>
      <c r="AF469" s="89"/>
      <c r="AG469" s="89"/>
      <c r="AH469" s="89"/>
      <c r="AI469" s="89"/>
      <c r="AJ469" s="89"/>
      <c r="AK469" s="89"/>
      <c r="AL469" s="89"/>
      <c r="AM469" s="89"/>
      <c r="AN469" s="89"/>
      <c r="BR469" s="180">
        <v>2057</v>
      </c>
      <c r="BS469" s="22">
        <v>43</v>
      </c>
      <c r="BT469" s="198" t="e">
        <f t="shared" si="249"/>
        <v>#DIV/0!</v>
      </c>
      <c r="BU469" s="198" t="e">
        <f t="shared" si="250"/>
        <v>#DIV/0!</v>
      </c>
      <c r="BV469" s="241" t="e">
        <f t="shared" si="251"/>
        <v>#DIV/0!</v>
      </c>
      <c r="BY469" s="180">
        <v>2057</v>
      </c>
      <c r="BZ469" s="22">
        <v>43</v>
      </c>
      <c r="CA469" s="198" t="e">
        <f t="shared" ca="1" si="252"/>
        <v>#REF!</v>
      </c>
      <c r="CB469" s="198" t="e">
        <f t="shared" ca="1" si="253"/>
        <v>#REF!</v>
      </c>
      <c r="CC469" s="198" t="e">
        <f t="shared" ca="1" si="264"/>
        <v>#REF!</v>
      </c>
      <c r="CD469" s="241" t="e">
        <f t="shared" ca="1" si="254"/>
        <v>#REF!</v>
      </c>
      <c r="CG469" s="180">
        <v>2057</v>
      </c>
      <c r="CH469" s="22">
        <v>43</v>
      </c>
      <c r="CI469" s="198" t="e">
        <f t="shared" ca="1" si="255"/>
        <v>#REF!</v>
      </c>
      <c r="CJ469" s="198" t="e">
        <f t="shared" ca="1" si="256"/>
        <v>#REF!</v>
      </c>
      <c r="CK469" s="198" t="e">
        <f t="shared" ca="1" si="257"/>
        <v>#REF!</v>
      </c>
      <c r="CL469" s="198" t="e">
        <f t="shared" ca="1" si="258"/>
        <v>#REF!</v>
      </c>
      <c r="CM469" s="241" t="e">
        <f t="shared" ca="1" si="259"/>
        <v>#REF!</v>
      </c>
      <c r="CP469" s="180">
        <v>2057</v>
      </c>
      <c r="CQ469" s="22">
        <v>43</v>
      </c>
      <c r="CR469" s="198" t="e">
        <f t="shared" ca="1" si="260"/>
        <v>#REF!</v>
      </c>
      <c r="CS469" s="198" t="e">
        <f t="shared" ca="1" si="261"/>
        <v>#REF!</v>
      </c>
      <c r="CT469" s="241" t="e">
        <f t="shared" ca="1" si="262"/>
        <v>#REF!</v>
      </c>
      <c r="CZ469" s="164" t="b">
        <f t="shared" si="270"/>
        <v>0</v>
      </c>
      <c r="DA469" s="165" t="b">
        <f t="shared" si="270"/>
        <v>0</v>
      </c>
      <c r="DB469" s="166" t="b">
        <f t="shared" si="270"/>
        <v>0</v>
      </c>
      <c r="DC469" s="164" t="str">
        <f t="shared" si="240"/>
        <v/>
      </c>
      <c r="DD469" s="166" t="str">
        <f t="shared" si="241"/>
        <v/>
      </c>
      <c r="DE469" s="164" t="str">
        <f t="shared" si="242"/>
        <v/>
      </c>
      <c r="DF469" s="166" t="str">
        <f t="shared" si="243"/>
        <v/>
      </c>
      <c r="DG469" s="164" t="str">
        <f t="shared" si="244"/>
        <v/>
      </c>
      <c r="DH469" s="166" t="str">
        <f t="shared" si="245"/>
        <v/>
      </c>
      <c r="DI469" s="164" t="str">
        <f>IFERROR(INDEX(DC$422:DC$470,_xlfn.AGGREGATE(15,6,(ROW(DC$422:DC$470)-ROW(DC$422)+1)/(DC$422:DC$470&lt;&gt;""),ROWS(DI$1:DI48))),"")</f>
        <v/>
      </c>
      <c r="DJ469" s="165" t="str">
        <f>IFERROR(INDEX(DD$422:DD$470,_xlfn.AGGREGATE(15,6,(ROW(DD$422:DD$470)-ROW(DD$422)+1)/(DD$422:DD$470&lt;&gt;""),ROWS(DJ$1:DJ48))),"")</f>
        <v/>
      </c>
      <c r="DK469" s="166" t="str">
        <f t="shared" si="246"/>
        <v/>
      </c>
      <c r="DL469" s="164" t="str">
        <f>IFERROR(INDEX(DE$422:DE$470,_xlfn.AGGREGATE(15,6,(ROW(DE$422:DE$470)-ROW(DE$422)+1)/(DE$422:DE$470&lt;&gt;""),ROWS(DL$1:DL48))),"")</f>
        <v/>
      </c>
      <c r="DM469" s="165" t="str">
        <f>IFERROR(INDEX(DF$422:DF$470,_xlfn.AGGREGATE(15,6,(ROW(DF$422:DF$470)-ROW(DF$422)+1)/(DF$422:DF$470&lt;&gt;""),ROWS(DM$1:DM48))),"")</f>
        <v/>
      </c>
      <c r="DN469" s="166" t="str">
        <f t="shared" si="247"/>
        <v/>
      </c>
      <c r="DO469" s="164" t="str">
        <f>IFERROR(INDEX(DG$422:DG$470,_xlfn.AGGREGATE(15,6,(ROW(DG$422:DG$470)-ROW(DG$422)+1)/(DG$422:DG$470&lt;&gt;""),ROWS(DO$1:DO48))),"")</f>
        <v/>
      </c>
      <c r="DP469" s="165" t="str">
        <f>IFERROR(INDEX(DH$422:DH$470,_xlfn.AGGREGATE(15,6,(ROW(DH$422:DH$470)-ROW(DH$422)+1)/(DH$422:DH$470&lt;&gt;""),ROWS(DP$1:DP48))),"")</f>
        <v/>
      </c>
      <c r="DQ469" s="166" t="str">
        <f t="shared" si="248"/>
        <v/>
      </c>
      <c r="DR469" s="65"/>
      <c r="DW469" s="54"/>
      <c r="EA469" s="55"/>
      <c r="EB469" s="55"/>
      <c r="EC469" s="55"/>
      <c r="ED469" s="55"/>
      <c r="EE469" s="55"/>
    </row>
    <row r="470" spans="1:135" ht="14.1" thickBot="1" x14ac:dyDescent="0.5">
      <c r="A470" s="214"/>
      <c r="B470" s="128">
        <v>2060</v>
      </c>
      <c r="C470" s="1007"/>
      <c r="D470" s="1008"/>
      <c r="E470" s="1009"/>
      <c r="F470" s="995"/>
      <c r="G470" s="251"/>
      <c r="H470" s="249"/>
      <c r="I470" s="1115"/>
      <c r="J470" s="251"/>
      <c r="K470" s="249"/>
      <c r="L470" s="250"/>
      <c r="M470" s="249"/>
      <c r="N470" s="29" t="s">
        <v>119</v>
      </c>
      <c r="R470" s="29">
        <v>46</v>
      </c>
      <c r="S470" s="238" t="str">
        <f t="shared" si="266"/>
        <v/>
      </c>
      <c r="T470" s="238" t="str">
        <f t="shared" si="267"/>
        <v/>
      </c>
      <c r="U470" s="238" t="str">
        <f t="shared" si="268"/>
        <v/>
      </c>
      <c r="W470" s="238" t="e">
        <f t="shared" si="236"/>
        <v>#N/A</v>
      </c>
      <c r="X470" s="238" t="e">
        <f t="shared" si="269"/>
        <v>#N/A</v>
      </c>
      <c r="Y470" s="238" t="e">
        <f t="shared" si="238"/>
        <v>#N/A</v>
      </c>
      <c r="AA470" s="89"/>
      <c r="AB470" s="89"/>
      <c r="AC470" s="89"/>
      <c r="AD470" s="89"/>
      <c r="AE470" s="89"/>
      <c r="AF470" s="89"/>
      <c r="AG470" s="89"/>
      <c r="AH470" s="89"/>
      <c r="AI470" s="89"/>
      <c r="AJ470" s="89"/>
      <c r="AK470" s="89"/>
      <c r="AL470" s="89"/>
      <c r="AM470" s="89"/>
      <c r="AN470" s="89"/>
      <c r="BR470" s="180">
        <v>2058</v>
      </c>
      <c r="BS470" s="22">
        <v>44</v>
      </c>
      <c r="BT470" s="198" t="e">
        <f t="shared" si="249"/>
        <v>#DIV/0!</v>
      </c>
      <c r="BU470" s="198" t="e">
        <f t="shared" si="250"/>
        <v>#DIV/0!</v>
      </c>
      <c r="BV470" s="241" t="e">
        <f t="shared" si="251"/>
        <v>#DIV/0!</v>
      </c>
      <c r="BY470" s="180">
        <v>2058</v>
      </c>
      <c r="BZ470" s="22">
        <v>44</v>
      </c>
      <c r="CA470" s="198" t="e">
        <f t="shared" ca="1" si="252"/>
        <v>#REF!</v>
      </c>
      <c r="CB470" s="198" t="e">
        <f t="shared" ca="1" si="253"/>
        <v>#REF!</v>
      </c>
      <c r="CC470" s="198" t="e">
        <f t="shared" ca="1" si="264"/>
        <v>#REF!</v>
      </c>
      <c r="CD470" s="241" t="e">
        <f t="shared" ca="1" si="254"/>
        <v>#REF!</v>
      </c>
      <c r="CG470" s="180">
        <v>2058</v>
      </c>
      <c r="CH470" s="22">
        <v>44</v>
      </c>
      <c r="CI470" s="198" t="e">
        <f t="shared" ca="1" si="255"/>
        <v>#REF!</v>
      </c>
      <c r="CJ470" s="198" t="e">
        <f t="shared" ca="1" si="256"/>
        <v>#REF!</v>
      </c>
      <c r="CK470" s="198" t="e">
        <f t="shared" ca="1" si="257"/>
        <v>#REF!</v>
      </c>
      <c r="CL470" s="198" t="e">
        <f t="shared" ca="1" si="258"/>
        <v>#REF!</v>
      </c>
      <c r="CM470" s="241" t="e">
        <f t="shared" ca="1" si="259"/>
        <v>#REF!</v>
      </c>
      <c r="CP470" s="180">
        <v>2058</v>
      </c>
      <c r="CQ470" s="22">
        <v>44</v>
      </c>
      <c r="CR470" s="198" t="e">
        <f t="shared" ca="1" si="260"/>
        <v>#REF!</v>
      </c>
      <c r="CS470" s="198" t="e">
        <f t="shared" ca="1" si="261"/>
        <v>#REF!</v>
      </c>
      <c r="CT470" s="241" t="e">
        <f t="shared" ca="1" si="262"/>
        <v>#REF!</v>
      </c>
      <c r="CZ470" s="164" t="b">
        <f t="shared" si="270"/>
        <v>0</v>
      </c>
      <c r="DA470" s="165" t="b">
        <f t="shared" si="270"/>
        <v>0</v>
      </c>
      <c r="DB470" s="166" t="b">
        <f t="shared" si="270"/>
        <v>0</v>
      </c>
      <c r="DC470" s="164" t="str">
        <f t="shared" si="240"/>
        <v/>
      </c>
      <c r="DD470" s="166" t="str">
        <f t="shared" si="241"/>
        <v/>
      </c>
      <c r="DE470" s="164" t="str">
        <f t="shared" si="242"/>
        <v/>
      </c>
      <c r="DF470" s="166" t="str">
        <f t="shared" si="243"/>
        <v/>
      </c>
      <c r="DG470" s="164" t="str">
        <f t="shared" si="244"/>
        <v/>
      </c>
      <c r="DH470" s="166" t="str">
        <f t="shared" si="245"/>
        <v/>
      </c>
      <c r="DI470" s="164" t="str">
        <f>IFERROR(INDEX(DC$422:DC$470,_xlfn.AGGREGATE(15,6,(ROW(DC$422:DC$470)-ROW(DC$422)+1)/(DC$422:DC$470&lt;&gt;""),ROWS(DI$1:DI49))),"")</f>
        <v/>
      </c>
      <c r="DJ470" s="165" t="str">
        <f>IFERROR(INDEX(DD$422:DD$470,_xlfn.AGGREGATE(15,6,(ROW(DD$422:DD$470)-ROW(DD$422)+1)/(DD$422:DD$470&lt;&gt;""),ROWS(DJ$1:DJ49))),"")</f>
        <v/>
      </c>
      <c r="DK470" s="166" t="str">
        <f t="shared" si="246"/>
        <v/>
      </c>
      <c r="DL470" s="164" t="str">
        <f>IFERROR(INDEX(DE$422:DE$470,_xlfn.AGGREGATE(15,6,(ROW(DE$422:DE$470)-ROW(DE$422)+1)/(DE$422:DE$470&lt;&gt;""),ROWS(DL$1:DL49))),"")</f>
        <v/>
      </c>
      <c r="DM470" s="165" t="str">
        <f>IFERROR(INDEX(DF$422:DF$470,_xlfn.AGGREGATE(15,6,(ROW(DF$422:DF$470)-ROW(DF$422)+1)/(DF$422:DF$470&lt;&gt;""),ROWS(DM$1:DM49))),"")</f>
        <v/>
      </c>
      <c r="DN470" s="166" t="str">
        <f t="shared" si="247"/>
        <v/>
      </c>
      <c r="DO470" s="164" t="str">
        <f>IFERROR(INDEX(DG$422:DG$470,_xlfn.AGGREGATE(15,6,(ROW(DG$422:DG$470)-ROW(DG$422)+1)/(DG$422:DG$470&lt;&gt;""),ROWS(DO$1:DO49))),"")</f>
        <v/>
      </c>
      <c r="DP470" s="165" t="str">
        <f>IFERROR(INDEX(DH$422:DH$470,_xlfn.AGGREGATE(15,6,(ROW(DH$422:DH$470)-ROW(DH$422)+1)/(DH$422:DH$470&lt;&gt;""),ROWS(DP$1:DP49))),"")</f>
        <v/>
      </c>
      <c r="DQ470" s="166" t="str">
        <f t="shared" si="248"/>
        <v/>
      </c>
      <c r="DR470" s="65"/>
      <c r="DW470" s="54"/>
      <c r="EA470" s="55"/>
      <c r="EB470" s="55"/>
      <c r="EC470" s="55"/>
      <c r="ED470" s="55"/>
      <c r="EE470" s="55"/>
    </row>
    <row r="471" spans="1:135" x14ac:dyDescent="0.4">
      <c r="A471" s="214"/>
      <c r="B471" s="89"/>
      <c r="C471" s="14"/>
      <c r="D471" s="14"/>
      <c r="E471" s="14"/>
      <c r="F471" s="14"/>
      <c r="G471" s="14"/>
      <c r="H471" s="14"/>
      <c r="I471" s="14"/>
      <c r="J471" s="14"/>
      <c r="K471" s="14"/>
      <c r="L471" s="14"/>
      <c r="M471" s="50"/>
      <c r="S471" s="120"/>
      <c r="T471" s="120"/>
      <c r="U471" s="120"/>
      <c r="W471" s="120"/>
      <c r="X471" s="120"/>
      <c r="Y471" s="120"/>
      <c r="AA471" s="89"/>
      <c r="AB471" s="89"/>
      <c r="AC471" s="89"/>
      <c r="AD471" s="89"/>
      <c r="AE471" s="89"/>
      <c r="AF471" s="89"/>
      <c r="AG471" s="89"/>
      <c r="AH471" s="89"/>
      <c r="AI471" s="89"/>
      <c r="AJ471" s="89"/>
      <c r="AK471" s="89"/>
      <c r="AL471" s="89"/>
      <c r="AM471" s="89"/>
      <c r="AN471" s="89"/>
      <c r="BR471" s="180">
        <v>2059</v>
      </c>
      <c r="BS471" s="22">
        <v>45</v>
      </c>
      <c r="BT471" s="198" t="e">
        <f t="shared" si="249"/>
        <v>#DIV/0!</v>
      </c>
      <c r="BU471" s="198" t="e">
        <f t="shared" si="250"/>
        <v>#DIV/0!</v>
      </c>
      <c r="BV471" s="241" t="e">
        <f t="shared" si="251"/>
        <v>#DIV/0!</v>
      </c>
      <c r="BY471" s="180">
        <v>2059</v>
      </c>
      <c r="BZ471" s="22">
        <v>45</v>
      </c>
      <c r="CA471" s="198" t="e">
        <f t="shared" ca="1" si="252"/>
        <v>#REF!</v>
      </c>
      <c r="CB471" s="198" t="e">
        <f t="shared" ca="1" si="253"/>
        <v>#REF!</v>
      </c>
      <c r="CC471" s="198" t="e">
        <f t="shared" ca="1" si="264"/>
        <v>#REF!</v>
      </c>
      <c r="CD471" s="241" t="e">
        <f t="shared" ca="1" si="254"/>
        <v>#REF!</v>
      </c>
      <c r="CG471" s="180">
        <v>2059</v>
      </c>
      <c r="CH471" s="22">
        <v>45</v>
      </c>
      <c r="CI471" s="198" t="e">
        <f t="shared" ca="1" si="255"/>
        <v>#REF!</v>
      </c>
      <c r="CJ471" s="198" t="e">
        <f t="shared" ca="1" si="256"/>
        <v>#REF!</v>
      </c>
      <c r="CK471" s="198" t="e">
        <f t="shared" ca="1" si="257"/>
        <v>#REF!</v>
      </c>
      <c r="CL471" s="198" t="e">
        <f t="shared" ca="1" si="258"/>
        <v>#REF!</v>
      </c>
      <c r="CM471" s="241" t="e">
        <f t="shared" ca="1" si="259"/>
        <v>#REF!</v>
      </c>
      <c r="CP471" s="180">
        <v>2059</v>
      </c>
      <c r="CQ471" s="22">
        <v>45</v>
      </c>
      <c r="CR471" s="198" t="e">
        <f t="shared" ca="1" si="260"/>
        <v>#REF!</v>
      </c>
      <c r="CS471" s="198" t="e">
        <f t="shared" ca="1" si="261"/>
        <v>#REF!</v>
      </c>
      <c r="CT471" s="241" t="e">
        <f t="shared" ca="1" si="262"/>
        <v>#REF!</v>
      </c>
      <c r="CZ471" s="252"/>
      <c r="DA471" s="252"/>
      <c r="DB471" s="252"/>
      <c r="DC471" s="252"/>
      <c r="DD471" s="252"/>
      <c r="DE471" s="252"/>
      <c r="DF471" s="252"/>
      <c r="DG471" s="252"/>
      <c r="DH471" s="252"/>
      <c r="DI471" s="252"/>
      <c r="DJ471" s="252"/>
      <c r="DK471" s="252"/>
      <c r="DL471" s="252"/>
      <c r="DM471" s="252"/>
      <c r="DN471" s="252"/>
      <c r="DO471" s="252"/>
      <c r="DP471" s="252"/>
      <c r="DQ471" s="252"/>
      <c r="DR471" s="65"/>
      <c r="DU471" s="65"/>
      <c r="DW471" s="54"/>
      <c r="EA471" s="55"/>
      <c r="EB471" s="55"/>
      <c r="EC471" s="55"/>
      <c r="ED471" s="55"/>
      <c r="EE471" s="55"/>
    </row>
    <row r="472" spans="1:135" x14ac:dyDescent="0.4">
      <c r="A472" s="214"/>
      <c r="B472" s="89"/>
      <c r="C472" s="14"/>
      <c r="D472" s="14"/>
      <c r="E472" s="14"/>
      <c r="F472" s="14"/>
      <c r="G472" s="14"/>
      <c r="H472" s="14"/>
      <c r="I472" s="14"/>
      <c r="J472" s="14"/>
      <c r="K472" s="14"/>
      <c r="L472" s="14"/>
      <c r="M472" s="50"/>
      <c r="S472" s="120"/>
      <c r="T472" s="120"/>
      <c r="U472" s="120"/>
      <c r="W472" s="120"/>
      <c r="X472" s="120"/>
      <c r="Y472" s="120"/>
      <c r="AA472" s="89"/>
      <c r="AB472" s="89"/>
      <c r="AC472" s="89"/>
      <c r="AD472" s="89"/>
      <c r="AE472" s="89"/>
      <c r="AF472" s="89"/>
      <c r="AG472" s="89"/>
      <c r="AH472" s="89"/>
      <c r="AI472" s="89"/>
      <c r="AJ472" s="89"/>
      <c r="AK472" s="89"/>
      <c r="AL472" s="89"/>
      <c r="AM472" s="89"/>
      <c r="AN472" s="89"/>
      <c r="BR472" s="180">
        <v>2060</v>
      </c>
      <c r="BS472" s="22">
        <v>46</v>
      </c>
      <c r="BT472" s="198" t="e">
        <f t="shared" si="249"/>
        <v>#DIV/0!</v>
      </c>
      <c r="BU472" s="198" t="e">
        <f t="shared" si="250"/>
        <v>#DIV/0!</v>
      </c>
      <c r="BV472" s="241" t="e">
        <f t="shared" si="251"/>
        <v>#DIV/0!</v>
      </c>
      <c r="BY472" s="180">
        <v>2060</v>
      </c>
      <c r="BZ472" s="22">
        <v>46</v>
      </c>
      <c r="CA472" s="198" t="e">
        <f t="shared" ca="1" si="252"/>
        <v>#REF!</v>
      </c>
      <c r="CB472" s="198" t="e">
        <f t="shared" ca="1" si="253"/>
        <v>#REF!</v>
      </c>
      <c r="CC472" s="198" t="e">
        <f t="shared" ca="1" si="264"/>
        <v>#REF!</v>
      </c>
      <c r="CD472" s="241" t="e">
        <f t="shared" ca="1" si="254"/>
        <v>#REF!</v>
      </c>
      <c r="CG472" s="180">
        <v>2060</v>
      </c>
      <c r="CH472" s="22">
        <v>46</v>
      </c>
      <c r="CI472" s="198" t="e">
        <f t="shared" ca="1" si="255"/>
        <v>#REF!</v>
      </c>
      <c r="CJ472" s="198" t="e">
        <f t="shared" ca="1" si="256"/>
        <v>#REF!</v>
      </c>
      <c r="CK472" s="198" t="e">
        <f t="shared" ca="1" si="257"/>
        <v>#REF!</v>
      </c>
      <c r="CL472" s="198" t="e">
        <f t="shared" ca="1" si="258"/>
        <v>#REF!</v>
      </c>
      <c r="CM472" s="241" t="e">
        <f t="shared" ca="1" si="259"/>
        <v>#REF!</v>
      </c>
      <c r="CP472" s="180">
        <v>2060</v>
      </c>
      <c r="CQ472" s="22">
        <v>46</v>
      </c>
      <c r="CR472" s="198" t="e">
        <f t="shared" ca="1" si="260"/>
        <v>#REF!</v>
      </c>
      <c r="CS472" s="198" t="e">
        <f t="shared" ca="1" si="261"/>
        <v>#REF!</v>
      </c>
      <c r="CT472" s="241" t="e">
        <f t="shared" ca="1" si="262"/>
        <v>#REF!</v>
      </c>
      <c r="DW472" s="54"/>
      <c r="EA472" s="55"/>
      <c r="EB472" s="55"/>
      <c r="EC472" s="55"/>
      <c r="ED472" s="55"/>
      <c r="EE472" s="55"/>
    </row>
    <row r="473" spans="1:135" x14ac:dyDescent="0.4">
      <c r="A473" s="221" t="str">
        <f ca="1">HYPERLINK("#"&amp;"'"&amp;A$1&amp;"'!a1","Back to top")</f>
        <v>Back to top</v>
      </c>
      <c r="C473" s="50"/>
      <c r="D473" s="14"/>
      <c r="E473" s="14"/>
      <c r="F473" s="14"/>
      <c r="G473" s="14"/>
      <c r="H473" s="14"/>
      <c r="I473" s="14"/>
      <c r="J473" s="14"/>
      <c r="K473" s="14"/>
      <c r="L473" s="14"/>
      <c r="M473" s="14"/>
      <c r="N473" s="89"/>
      <c r="O473" s="89"/>
      <c r="P473" s="89"/>
      <c r="Q473" s="89"/>
      <c r="R473" s="89"/>
      <c r="S473" s="89"/>
      <c r="T473" s="89"/>
      <c r="U473" s="89"/>
      <c r="V473" s="89"/>
      <c r="W473" s="89"/>
      <c r="X473" s="89"/>
      <c r="Y473" s="89"/>
      <c r="Z473" s="89"/>
      <c r="AA473" s="89"/>
      <c r="AB473" s="89"/>
      <c r="AC473" s="89"/>
      <c r="AD473" s="89"/>
      <c r="AE473" s="89"/>
      <c r="AF473" s="89"/>
      <c r="AG473" s="89"/>
      <c r="AH473" s="89"/>
      <c r="AI473" s="89"/>
      <c r="AJ473" s="89"/>
      <c r="AK473" s="89"/>
      <c r="AL473" s="89"/>
      <c r="AM473" s="89"/>
      <c r="AN473" s="89"/>
      <c r="DW473" s="54"/>
      <c r="EA473" s="55"/>
      <c r="EB473" s="55"/>
      <c r="EC473" s="55"/>
      <c r="ED473" s="55"/>
      <c r="EE473" s="55"/>
    </row>
    <row r="474" spans="1:135" x14ac:dyDescent="0.4">
      <c r="A474" s="221"/>
      <c r="C474" s="50"/>
      <c r="D474" s="14"/>
      <c r="E474" s="14"/>
      <c r="F474" s="14"/>
      <c r="G474" s="14"/>
      <c r="H474" s="14"/>
      <c r="I474" s="14"/>
      <c r="J474" s="14"/>
      <c r="K474" s="14"/>
      <c r="L474" s="14"/>
      <c r="M474" s="14"/>
      <c r="N474" s="89"/>
      <c r="O474" s="89"/>
      <c r="P474" s="89"/>
      <c r="Q474" s="89"/>
      <c r="R474" s="89"/>
      <c r="S474" s="89"/>
      <c r="T474" s="89"/>
      <c r="U474" s="89"/>
      <c r="V474" s="89"/>
      <c r="W474" s="89"/>
      <c r="X474" s="89"/>
      <c r="Y474" s="89"/>
      <c r="Z474" s="89"/>
      <c r="AA474" s="89"/>
      <c r="AB474" s="89"/>
      <c r="AC474" s="89"/>
      <c r="AD474" s="89"/>
      <c r="AE474" s="89"/>
      <c r="AF474" s="89"/>
      <c r="AG474" s="89"/>
      <c r="AH474" s="89"/>
      <c r="AI474" s="89"/>
      <c r="AJ474" s="89"/>
      <c r="AK474" s="89"/>
      <c r="AL474" s="89"/>
      <c r="AM474" s="89"/>
      <c r="AN474" s="89"/>
      <c r="DW474" s="54"/>
      <c r="EA474" s="55"/>
      <c r="EB474" s="55"/>
      <c r="EC474" s="55"/>
      <c r="ED474" s="55"/>
      <c r="EE474" s="55"/>
    </row>
    <row r="475" spans="1:135" x14ac:dyDescent="0.4">
      <c r="A475" s="214"/>
      <c r="B475" s="89"/>
      <c r="C475" s="14"/>
      <c r="D475" s="14"/>
      <c r="E475" s="14"/>
      <c r="F475" s="14"/>
      <c r="G475" s="14"/>
      <c r="H475" s="14"/>
      <c r="I475" s="14"/>
      <c r="J475" s="14"/>
      <c r="K475" s="14"/>
      <c r="L475" s="14"/>
      <c r="M475" s="50"/>
      <c r="N475" s="49"/>
      <c r="O475" s="49"/>
      <c r="P475" s="49"/>
      <c r="Q475" s="49"/>
      <c r="R475" s="49"/>
      <c r="S475" s="120"/>
      <c r="T475" s="120"/>
      <c r="U475" s="120"/>
      <c r="V475" s="49"/>
      <c r="W475" s="120"/>
      <c r="X475" s="120"/>
      <c r="Y475" s="120"/>
      <c r="Z475" s="89"/>
      <c r="AA475" s="89"/>
      <c r="AB475" s="89"/>
      <c r="AC475" s="89"/>
      <c r="AD475" s="89"/>
      <c r="AE475" s="89"/>
      <c r="AF475" s="89"/>
      <c r="AG475" s="89"/>
      <c r="AH475" s="89"/>
      <c r="AI475" s="89"/>
      <c r="AJ475" s="89"/>
      <c r="AK475" s="89"/>
      <c r="AL475" s="89"/>
      <c r="AM475" s="89"/>
      <c r="AN475" s="89"/>
      <c r="AO475" s="49"/>
      <c r="AP475" s="49"/>
      <c r="AQ475" s="49"/>
      <c r="AR475" s="49"/>
      <c r="AS475" s="49"/>
      <c r="AT475" s="49"/>
      <c r="AU475" s="49"/>
      <c r="AV475" s="49"/>
      <c r="AW475" s="49"/>
      <c r="AX475" s="49"/>
      <c r="AY475" s="49"/>
      <c r="AZ475" s="49"/>
      <c r="BA475" s="49"/>
      <c r="BB475" s="49"/>
      <c r="BC475" s="49"/>
      <c r="BD475" s="49"/>
      <c r="BE475" s="49"/>
      <c r="BF475" s="49"/>
      <c r="BG475" s="49"/>
      <c r="BH475" s="49"/>
      <c r="BI475" s="49"/>
      <c r="BJ475" s="49"/>
      <c r="BK475" s="49"/>
      <c r="BL475" s="49"/>
    </row>
    <row r="476" spans="1:135" x14ac:dyDescent="0.4">
      <c r="A476" s="253"/>
      <c r="B476" s="254"/>
      <c r="C476" s="255"/>
      <c r="D476" s="255"/>
      <c r="E476" s="255"/>
      <c r="F476" s="255"/>
      <c r="G476" s="255"/>
      <c r="H476" s="255"/>
      <c r="I476" s="255"/>
      <c r="J476" s="255"/>
      <c r="K476" s="255"/>
      <c r="L476" s="255"/>
      <c r="M476" s="256"/>
      <c r="S476" s="257"/>
      <c r="T476" s="257"/>
      <c r="U476" s="257"/>
      <c r="W476" s="257"/>
      <c r="X476" s="257"/>
      <c r="Y476" s="257"/>
      <c r="Z476" s="254"/>
      <c r="AA476" s="254"/>
      <c r="AB476" s="254"/>
      <c r="AC476" s="254"/>
      <c r="AD476" s="254"/>
      <c r="AE476" s="254"/>
      <c r="AF476" s="254"/>
      <c r="AG476" s="254"/>
      <c r="AH476" s="254"/>
      <c r="AI476" s="254"/>
      <c r="AJ476" s="254"/>
      <c r="AK476" s="254"/>
      <c r="AL476" s="254"/>
      <c r="AM476" s="254"/>
      <c r="AN476" s="254"/>
      <c r="DW476" s="258"/>
      <c r="EA476" s="259"/>
      <c r="EB476" s="259"/>
      <c r="EC476" s="259"/>
      <c r="ED476" s="259"/>
      <c r="EE476" s="259"/>
    </row>
    <row r="477" spans="1:135" x14ac:dyDescent="0.4">
      <c r="A477" s="253"/>
      <c r="B477" s="254"/>
      <c r="C477" s="255"/>
      <c r="D477" s="255"/>
      <c r="E477" s="255"/>
      <c r="F477" s="255"/>
      <c r="G477" s="255"/>
      <c r="H477" s="255"/>
      <c r="I477" s="255"/>
      <c r="J477" s="255"/>
      <c r="K477" s="255"/>
      <c r="L477" s="255"/>
      <c r="M477" s="256"/>
      <c r="S477" s="257"/>
      <c r="T477" s="257"/>
      <c r="U477" s="257"/>
      <c r="W477" s="257"/>
      <c r="X477" s="257"/>
      <c r="Y477" s="257"/>
      <c r="Z477" s="254"/>
      <c r="AA477" s="254"/>
      <c r="AB477" s="254"/>
      <c r="AC477" s="254"/>
      <c r="AD477" s="254"/>
      <c r="AE477" s="254"/>
      <c r="AF477" s="254"/>
      <c r="AG477" s="254"/>
      <c r="AH477" s="254"/>
      <c r="AI477" s="254"/>
      <c r="AJ477" s="254"/>
      <c r="AK477" s="254"/>
      <c r="AL477" s="254"/>
      <c r="AM477" s="254"/>
      <c r="AN477" s="254"/>
      <c r="DW477" s="258"/>
      <c r="EA477" s="259"/>
      <c r="EB477" s="259"/>
      <c r="EC477" s="259"/>
      <c r="ED477" s="259"/>
      <c r="EE477" s="259"/>
    </row>
    <row r="478" spans="1:135" x14ac:dyDescent="0.4">
      <c r="A478" s="221"/>
      <c r="C478" s="14"/>
      <c r="D478" s="14"/>
      <c r="E478" s="14"/>
      <c r="F478" s="14"/>
      <c r="G478" s="14"/>
      <c r="H478" s="14"/>
      <c r="I478" s="14"/>
      <c r="J478" s="14"/>
      <c r="K478" s="14"/>
      <c r="L478" s="14"/>
      <c r="M478" s="14"/>
      <c r="DW478" s="54"/>
      <c r="EA478" s="286"/>
      <c r="EB478" s="286"/>
      <c r="EC478" s="286"/>
      <c r="ED478" s="286"/>
      <c r="EE478" s="286"/>
    </row>
    <row r="479" spans="1:135" x14ac:dyDescent="0.4">
      <c r="A479" s="287" t="s">
        <v>104</v>
      </c>
      <c r="C479" s="14"/>
      <c r="D479" s="14"/>
      <c r="E479" s="14"/>
      <c r="F479" s="14"/>
      <c r="G479" s="14"/>
      <c r="H479" s="14"/>
      <c r="I479" s="14"/>
      <c r="J479" s="14"/>
      <c r="K479" s="14"/>
      <c r="L479" s="14"/>
      <c r="M479" s="14"/>
      <c r="AA479" s="287" t="s">
        <v>104</v>
      </c>
      <c r="AM479" s="287" t="s">
        <v>104</v>
      </c>
      <c r="AZ479" s="287" t="s">
        <v>104</v>
      </c>
      <c r="BJ479" s="287" t="s">
        <v>104</v>
      </c>
      <c r="BR479" s="287" t="s">
        <v>104</v>
      </c>
      <c r="BY479" s="287" t="s">
        <v>104</v>
      </c>
      <c r="CG479" s="287" t="s">
        <v>104</v>
      </c>
      <c r="CP479" s="287" t="s">
        <v>104</v>
      </c>
      <c r="DV479" s="287" t="s">
        <v>104</v>
      </c>
      <c r="DW479" s="54"/>
      <c r="EA479" s="286"/>
      <c r="EB479" s="286"/>
      <c r="EC479" s="286"/>
      <c r="ED479" s="286"/>
      <c r="EE479" s="286"/>
    </row>
    <row r="480" spans="1:135" x14ac:dyDescent="0.4">
      <c r="A480" s="221"/>
      <c r="C480" s="14"/>
      <c r="D480" s="14"/>
      <c r="E480" s="14"/>
      <c r="F480" s="14"/>
      <c r="G480" s="14"/>
      <c r="H480" s="14"/>
      <c r="I480" s="14"/>
      <c r="J480" s="14"/>
      <c r="K480" s="14"/>
      <c r="L480" s="14"/>
      <c r="M480" s="14"/>
      <c r="DW480" s="54"/>
      <c r="EA480" s="286"/>
      <c r="EB480" s="286"/>
      <c r="EC480" s="286"/>
      <c r="ED480" s="286"/>
      <c r="EE480" s="286"/>
    </row>
    <row r="481" spans="1:135" x14ac:dyDescent="0.4">
      <c r="A481" s="221"/>
      <c r="C481" s="14"/>
      <c r="D481" s="14"/>
      <c r="E481" s="14"/>
      <c r="F481" s="14"/>
      <c r="G481" s="14"/>
      <c r="H481" s="14"/>
      <c r="I481" s="14"/>
      <c r="J481" s="14"/>
      <c r="K481" s="14"/>
      <c r="L481" s="14"/>
      <c r="M481" s="14"/>
      <c r="DW481" s="54"/>
      <c r="EA481" s="286"/>
      <c r="EB481" s="286"/>
      <c r="EC481" s="286"/>
      <c r="ED481" s="286"/>
      <c r="EE481" s="286"/>
    </row>
    <row r="482" spans="1:135" x14ac:dyDescent="0.4">
      <c r="B482" s="694"/>
      <c r="C482" s="694"/>
      <c r="D482" s="113"/>
      <c r="E482" s="113"/>
      <c r="F482" s="113"/>
      <c r="G482" s="113"/>
      <c r="H482" s="113"/>
      <c r="I482" s="113"/>
      <c r="J482" s="113"/>
      <c r="K482" s="113"/>
      <c r="L482" s="113"/>
      <c r="M482" s="113"/>
      <c r="N482" s="114"/>
      <c r="O482" s="114"/>
      <c r="P482" s="114"/>
      <c r="Q482" s="114"/>
      <c r="R482" s="114"/>
      <c r="S482" s="114"/>
      <c r="T482" s="114"/>
      <c r="U482" s="114"/>
      <c r="V482" s="114"/>
      <c r="W482" s="114"/>
      <c r="X482" s="114"/>
      <c r="Y482" s="114"/>
      <c r="Z482" s="114"/>
      <c r="AA482" s="114"/>
      <c r="AC482" s="114"/>
      <c r="AD482" s="114"/>
      <c r="AE482" s="114"/>
      <c r="AF482" s="114"/>
      <c r="AG482" s="114"/>
      <c r="AH482" s="114"/>
      <c r="AI482" s="114"/>
      <c r="AJ482" s="114"/>
      <c r="AK482" s="114"/>
      <c r="AL482" s="114"/>
      <c r="AM482" s="114"/>
      <c r="AN482" s="114"/>
      <c r="AO482" s="89"/>
      <c r="DW482" s="54"/>
      <c r="EA482" s="55"/>
      <c r="EB482" s="55"/>
      <c r="EC482" s="55"/>
      <c r="ED482" s="55"/>
      <c r="EE482" s="55"/>
    </row>
    <row r="483" spans="1:135" ht="12.6" thickBot="1" x14ac:dyDescent="0.45">
      <c r="A483" s="233"/>
      <c r="B483" s="679"/>
      <c r="C483" s="679"/>
      <c r="D483" s="113"/>
      <c r="E483" s="113"/>
      <c r="F483" s="113"/>
      <c r="G483" s="113"/>
      <c r="H483" s="113"/>
      <c r="I483" s="113"/>
      <c r="J483" s="113"/>
      <c r="K483" s="113"/>
      <c r="L483" s="113"/>
      <c r="M483" s="113"/>
      <c r="N483" s="114"/>
      <c r="O483" s="114"/>
      <c r="P483" s="114"/>
      <c r="Q483" s="114"/>
      <c r="R483" s="114"/>
      <c r="S483" s="114"/>
      <c r="T483" s="114"/>
      <c r="U483" s="114"/>
      <c r="V483" s="114"/>
      <c r="W483" s="114"/>
      <c r="X483" s="114"/>
      <c r="Y483" s="114"/>
      <c r="Z483" s="114"/>
      <c r="AA483" s="114"/>
      <c r="AB483" s="114"/>
      <c r="AC483" s="114"/>
      <c r="AD483" s="114"/>
      <c r="AE483" s="114"/>
      <c r="AF483" s="114"/>
      <c r="AG483" s="114"/>
      <c r="AH483" s="114"/>
      <c r="AI483" s="114"/>
      <c r="AJ483" s="114"/>
      <c r="AK483" s="114"/>
      <c r="AL483" s="114"/>
      <c r="AM483" s="114"/>
      <c r="CZ483" s="116"/>
      <c r="DA483" s="116"/>
      <c r="DB483" s="116"/>
      <c r="DC483" s="116"/>
      <c r="DD483" s="116"/>
      <c r="DE483" s="116"/>
      <c r="DF483" s="116"/>
      <c r="DG483" s="116"/>
      <c r="DH483" s="116"/>
      <c r="DI483" s="117" t="str">
        <f>"DJ"&amp;MIN(DK486:DK534)</f>
        <v>DJ0</v>
      </c>
      <c r="DJ483" s="118" t="str">
        <f>"DJ"&amp;MAX(DK486:DK534)</f>
        <v>DJ0</v>
      </c>
      <c r="DK483" s="116"/>
      <c r="DL483" s="117" t="str">
        <f>"DM"&amp;MIN(DN486:DN534)</f>
        <v>DM0</v>
      </c>
      <c r="DM483" s="118" t="str">
        <f>"DM"&amp;MAX(DN486:DN534)</f>
        <v>DM0</v>
      </c>
      <c r="DN483" s="116"/>
      <c r="DO483" s="117" t="str">
        <f>"DP"&amp;MIN(DQ486:DQ534)</f>
        <v>DP0</v>
      </c>
      <c r="DP483" s="118" t="str">
        <f>"DP"&amp;MAX(DQ486:DQ534)</f>
        <v>DP0</v>
      </c>
      <c r="DQ483" s="116"/>
      <c r="DW483" s="119"/>
      <c r="EA483" s="33"/>
      <c r="EB483" s="33"/>
      <c r="EC483" s="33"/>
      <c r="ED483" s="33"/>
      <c r="EE483" s="33"/>
    </row>
    <row r="484" spans="1:135" ht="24.9" thickBot="1" x14ac:dyDescent="0.5">
      <c r="A484" s="676" t="s">
        <v>65</v>
      </c>
      <c r="C484" s="680" t="str">
        <f>A502</f>
        <v>Base Cases</v>
      </c>
      <c r="D484" s="681"/>
      <c r="E484" s="682"/>
      <c r="F484" s="683" t="str">
        <f>A503</f>
        <v>Conservative Cases</v>
      </c>
      <c r="G484" s="684"/>
      <c r="H484" s="685"/>
      <c r="I484" s="686" t="str">
        <f>A504</f>
        <v>Ambitious Cases</v>
      </c>
      <c r="J484" s="687"/>
      <c r="K484" s="688"/>
      <c r="L484" s="692" t="str">
        <f>A505</f>
        <v>Maximum Cases</v>
      </c>
      <c r="M484" s="693"/>
      <c r="O484" s="122"/>
      <c r="P484" s="122"/>
      <c r="Q484" s="122"/>
      <c r="W484" s="691" t="s">
        <v>66</v>
      </c>
      <c r="X484" s="691"/>
      <c r="Y484" s="691"/>
      <c r="Z484" s="120"/>
      <c r="AA484" s="120"/>
      <c r="AB484" s="120"/>
      <c r="AC484" s="120"/>
      <c r="AD484" s="120"/>
      <c r="AE484" s="120"/>
      <c r="AF484" s="120"/>
      <c r="AG484" s="120"/>
      <c r="AH484" s="120"/>
      <c r="AI484" s="120"/>
      <c r="AJ484" s="120"/>
      <c r="AK484" s="120"/>
      <c r="AL484" s="120"/>
      <c r="AM484" s="120"/>
      <c r="AN484" s="120"/>
      <c r="BR484" s="121" t="s">
        <v>67</v>
      </c>
      <c r="BS484" s="121"/>
      <c r="BT484" s="121"/>
      <c r="BU484" s="121"/>
      <c r="BV484" s="121"/>
      <c r="BW484" s="122"/>
      <c r="BY484" s="121" t="s">
        <v>68</v>
      </c>
      <c r="BZ484" s="121"/>
      <c r="CA484" s="121"/>
      <c r="CB484" s="121"/>
      <c r="CC484" s="121"/>
      <c r="CD484" s="121"/>
      <c r="CG484" s="121" t="s">
        <v>69</v>
      </c>
      <c r="CH484" s="121"/>
      <c r="CI484" s="121"/>
      <c r="CJ484" s="121"/>
      <c r="CK484" s="121"/>
      <c r="CL484" s="121"/>
      <c r="CM484" s="121"/>
      <c r="CP484" s="121" t="s">
        <v>70</v>
      </c>
      <c r="CQ484" s="121"/>
      <c r="CR484" s="121"/>
      <c r="CS484" s="121"/>
      <c r="CT484" s="121"/>
      <c r="CU484" s="121"/>
      <c r="CZ484" s="123"/>
      <c r="DA484" s="123"/>
      <c r="DB484" s="123"/>
      <c r="DC484" s="123"/>
      <c r="DD484" s="123"/>
      <c r="DE484" s="123"/>
      <c r="DF484" s="123"/>
      <c r="DG484" s="123"/>
      <c r="DH484" s="123"/>
      <c r="DI484" s="124" t="str">
        <f>"DI"&amp;MIN(DK486:DK534)</f>
        <v>DI0</v>
      </c>
      <c r="DJ484" s="125" t="str">
        <f>"DI"&amp;MAX(DK486:DK534)</f>
        <v>DI0</v>
      </c>
      <c r="DK484" s="123"/>
      <c r="DL484" s="124" t="str">
        <f>"DL"&amp;MIN(DN486:DN534)</f>
        <v>DL0</v>
      </c>
      <c r="DM484" s="125" t="str">
        <f>"DL"&amp;MAX(DN486:DN534)</f>
        <v>DL0</v>
      </c>
      <c r="DN484" s="123"/>
      <c r="DO484" s="124" t="str">
        <f>"DO"&amp;MIN(DQ486:DQ534)</f>
        <v>DO0</v>
      </c>
      <c r="DP484" s="125" t="str">
        <f>"DO"&amp;MAX(DQ486:DQ534)</f>
        <v>DO0</v>
      </c>
      <c r="DQ484" s="123"/>
      <c r="DV484" s="126" t="s">
        <v>71</v>
      </c>
      <c r="DZ484" s="127" t="s">
        <v>72</v>
      </c>
      <c r="EA484" s="284" t="str">
        <f>$L$35</f>
        <v>3rd Poly</v>
      </c>
    </row>
    <row r="485" spans="1:135" ht="74.099999999999994" thickBot="1" x14ac:dyDescent="0.5">
      <c r="A485" s="676" t="s">
        <v>73</v>
      </c>
      <c r="B485" s="128"/>
      <c r="C485" s="129" t="str">
        <f>A486</f>
        <v>World Bank, What a Waste 2.0</v>
      </c>
      <c r="D485" s="130" t="str">
        <f>A487</f>
        <v xml:space="preserve">Kapil Dev Sharma and Siddharth Jain (2019)
</v>
      </c>
      <c r="E485" s="131" t="str">
        <f>A488</f>
        <v>[Source 3]</v>
      </c>
      <c r="F485" s="129" t="str">
        <f>A489</f>
        <v>[Source 1]</v>
      </c>
      <c r="G485" s="130" t="str">
        <f>A490</f>
        <v>[Source 2]</v>
      </c>
      <c r="H485" s="131" t="str">
        <f>A491</f>
        <v>[Source 3]</v>
      </c>
      <c r="I485" s="1100" t="str">
        <f>A492</f>
        <v xml:space="preserve"> IEA Annex I – Municipal solid waste potential in cities; Table I.1</v>
      </c>
      <c r="J485" s="130" t="str">
        <f>A493</f>
        <v>Bhat et al (2018)</v>
      </c>
      <c r="K485" s="1123" t="str">
        <f>A494</f>
        <v>[Source 3]</v>
      </c>
      <c r="L485" s="129" t="str">
        <f>A495</f>
        <v>[Source 1]</v>
      </c>
      <c r="M485" s="131" t="str">
        <f>A496</f>
        <v>[Source 2]</v>
      </c>
      <c r="N485" s="234" t="s">
        <v>74</v>
      </c>
      <c r="O485" s="133"/>
      <c r="P485" s="133"/>
      <c r="Q485" s="133"/>
      <c r="R485" s="135" t="s">
        <v>76</v>
      </c>
      <c r="S485" s="134" t="s">
        <v>77</v>
      </c>
      <c r="T485" s="134" t="s">
        <v>78</v>
      </c>
      <c r="U485" s="136" t="s">
        <v>79</v>
      </c>
      <c r="V485" s="691"/>
      <c r="W485" s="136" t="s">
        <v>15</v>
      </c>
      <c r="X485" s="134" t="s">
        <v>21</v>
      </c>
      <c r="Y485" s="136" t="s">
        <v>25</v>
      </c>
      <c r="AA485" s="138"/>
      <c r="AB485" s="138"/>
      <c r="AC485" s="138"/>
      <c r="AD485" s="138"/>
      <c r="AE485" s="138"/>
      <c r="AF485" s="138"/>
      <c r="AG485" s="138"/>
      <c r="AH485" s="138"/>
      <c r="AI485" s="138"/>
      <c r="AJ485" s="138"/>
      <c r="AK485" s="138"/>
      <c r="AL485" s="138"/>
      <c r="AM485" s="138"/>
      <c r="AN485" s="138"/>
      <c r="BR485" s="139"/>
      <c r="BS485" s="139"/>
      <c r="BT485" s="139"/>
      <c r="BU485" s="139"/>
      <c r="BV485" s="139"/>
      <c r="BW485" s="122"/>
      <c r="BZ485" s="139"/>
      <c r="CA485" s="139"/>
      <c r="CB485" s="139"/>
      <c r="CC485" s="139"/>
      <c r="CD485" s="139"/>
      <c r="CH485" s="139"/>
      <c r="CI485" s="139"/>
      <c r="CJ485" s="139"/>
      <c r="CK485" s="139"/>
      <c r="CL485" s="139"/>
      <c r="CM485" s="139"/>
      <c r="CQ485" s="139"/>
      <c r="CR485" s="139"/>
      <c r="CS485" s="139"/>
      <c r="CT485" s="139"/>
      <c r="CU485" s="139"/>
      <c r="CZ485" s="140"/>
      <c r="DA485" s="140"/>
      <c r="DB485" s="140"/>
      <c r="DC485" s="140"/>
      <c r="DD485" s="141"/>
      <c r="DE485" s="141"/>
      <c r="DF485" s="141"/>
      <c r="DG485" s="141"/>
      <c r="DH485" s="140"/>
      <c r="DI485" s="142"/>
      <c r="DJ485" s="143"/>
      <c r="DK485" s="144"/>
      <c r="DL485" s="142"/>
      <c r="DM485" s="143"/>
      <c r="DN485" s="140"/>
      <c r="DO485" s="142"/>
      <c r="DP485" s="143"/>
      <c r="DQ485" s="140"/>
      <c r="DV485" s="145">
        <v>2014</v>
      </c>
      <c r="DW485" s="235" t="e">
        <f t="shared" ref="DW485:DW531" ca="1" si="271">IF($J$35="N","",IF($L$35="Linear",BV490,IF($L$35="2nd Poly",CD490,IF($L$35="3rd Poly",CM490,IF($L$35="Exp",CT490)))))</f>
        <v>#REF!</v>
      </c>
      <c r="EA485" s="33" t="str">
        <f>$M$35</f>
        <v>Medium</v>
      </c>
      <c r="EB485" s="33"/>
      <c r="EC485" s="33"/>
      <c r="ED485" s="33"/>
      <c r="EE485" s="33"/>
    </row>
    <row r="486" spans="1:135" ht="14.1" thickBot="1" x14ac:dyDescent="0.5">
      <c r="A486" s="948" t="s">
        <v>549</v>
      </c>
      <c r="B486" s="128">
        <v>2012</v>
      </c>
      <c r="C486" s="1144"/>
      <c r="D486" s="1144"/>
      <c r="E486" s="239"/>
      <c r="F486" s="939"/>
      <c r="G486" s="916"/>
      <c r="H486" s="239"/>
      <c r="I486" s="1147"/>
      <c r="J486" s="1147"/>
      <c r="K486" s="982"/>
      <c r="L486" s="985"/>
      <c r="M486" s="239"/>
      <c r="N486" s="29" t="s">
        <v>119</v>
      </c>
      <c r="O486" s="120"/>
      <c r="P486" s="120"/>
      <c r="Q486" s="120"/>
      <c r="R486" s="29">
        <v>-2</v>
      </c>
      <c r="S486" s="238" t="str">
        <f t="shared" ref="S486:S517" si="272">IF(MIN(C486:Q486)=0,"",MIN(C486:Q486))</f>
        <v/>
      </c>
      <c r="T486" s="238" t="str">
        <f t="shared" ref="T486:T517" si="273">IF(MAX(C486:Q486)=0,"",MAX(C486:Q486))</f>
        <v/>
      </c>
      <c r="U486" s="238" t="str">
        <f t="shared" ref="U486:U517" si="274">IF(T486="","",_xlfn.STDEV.P(C486:Q486))</f>
        <v/>
      </c>
      <c r="V486" s="29"/>
      <c r="W486" s="238" t="e">
        <f t="shared" ref="W486:W534" si="275">IF(U486="",#N/A,X486-(U486*$Q$35))</f>
        <v>#N/A</v>
      </c>
      <c r="X486" s="238" t="e">
        <f t="shared" ref="X486:X517" si="276">IF(U486="",#N/A,(SUM(C486:Q486)/COUNTIFS(C486:Q486,"&gt;0")))</f>
        <v>#N/A</v>
      </c>
      <c r="Y486" s="238" t="e">
        <f t="shared" ref="Y486:Y534" si="277">IF(U486="",#N/A,X486+(U486*$Q$34))</f>
        <v>#N/A</v>
      </c>
      <c r="AA486" s="138"/>
      <c r="AB486" s="138"/>
      <c r="AC486" s="138"/>
      <c r="AD486" s="138"/>
      <c r="AE486" s="138"/>
      <c r="AF486" s="138"/>
      <c r="AG486" s="138"/>
      <c r="AH486" s="138"/>
      <c r="AI486" s="138"/>
      <c r="AJ486" s="138"/>
      <c r="AK486" s="138"/>
      <c r="AL486" s="138"/>
      <c r="AM486" s="138"/>
      <c r="AN486" s="138"/>
      <c r="BR486" s="691" t="s">
        <v>81</v>
      </c>
      <c r="BS486" s="65" t="str">
        <f>$M$35</f>
        <v>Medium</v>
      </c>
      <c r="BT486" s="691" t="s">
        <v>82</v>
      </c>
      <c r="BU486" s="691" t="s">
        <v>83</v>
      </c>
      <c r="BW486" s="133"/>
      <c r="BY486" s="691" t="s">
        <v>81</v>
      </c>
      <c r="BZ486" s="65" t="str">
        <f>$M$35</f>
        <v>Medium</v>
      </c>
      <c r="CA486" s="691" t="s">
        <v>84</v>
      </c>
      <c r="CB486" s="691" t="s">
        <v>82</v>
      </c>
      <c r="CC486" s="691" t="s">
        <v>83</v>
      </c>
      <c r="CG486" s="691" t="s">
        <v>81</v>
      </c>
      <c r="CH486" s="65" t="str">
        <f>$M$35</f>
        <v>Medium</v>
      </c>
      <c r="CI486" s="691" t="s">
        <v>85</v>
      </c>
      <c r="CJ486" s="691" t="s">
        <v>84</v>
      </c>
      <c r="CK486" s="691" t="s">
        <v>82</v>
      </c>
      <c r="CL486" s="691" t="s">
        <v>83</v>
      </c>
      <c r="CP486" s="691" t="s">
        <v>81</v>
      </c>
      <c r="CQ486" s="65" t="str">
        <f>$M$35</f>
        <v>Medium</v>
      </c>
      <c r="CR486" s="691" t="s">
        <v>86</v>
      </c>
      <c r="CS486" s="691" t="s">
        <v>87</v>
      </c>
      <c r="CZ486" s="155" t="b">
        <f t="shared" ref="CZ486:DB525" si="278">ISNUMBER(W486)</f>
        <v>0</v>
      </c>
      <c r="DA486" s="156" t="b">
        <f t="shared" si="278"/>
        <v>0</v>
      </c>
      <c r="DB486" s="157" t="b">
        <f t="shared" si="278"/>
        <v>0</v>
      </c>
      <c r="DC486" s="155" t="str">
        <f t="shared" ref="DC486:DC534" si="279">IF(CZ486=TRUE,$R486,"")</f>
        <v/>
      </c>
      <c r="DD486" s="157" t="str">
        <f t="shared" ref="DD486:DD534" si="280">IF(CZ486=TRUE,W486,"")</f>
        <v/>
      </c>
      <c r="DE486" s="155" t="str">
        <f t="shared" ref="DE486:DE534" si="281">IF(DA486=TRUE,$R486,"")</f>
        <v/>
      </c>
      <c r="DF486" s="157" t="str">
        <f t="shared" ref="DF486:DF534" si="282">IF(DA486=TRUE,X486,"")</f>
        <v/>
      </c>
      <c r="DG486" s="155" t="str">
        <f t="shared" ref="DG486:DG534" si="283">IF(DB486=TRUE,$R486,"")</f>
        <v/>
      </c>
      <c r="DH486" s="157" t="str">
        <f t="shared" ref="DH486:DH534" si="284">IF(DB486=TRUE,Y486,"")</f>
        <v/>
      </c>
      <c r="DI486" s="155" t="str">
        <f>IFERROR(INDEX(DC$486:DC$534,_xlfn.AGGREGATE(15,6,(ROW(DC$486:DC$534)-ROW(DC$486)+1)/(DC$486:DC$534&lt;&gt;""),ROWS(DI$1:DI1))),"")</f>
        <v/>
      </c>
      <c r="DJ486" s="156" t="str">
        <f>IFERROR(INDEX(DD$486:DD$534,_xlfn.AGGREGATE(15,6,(ROW(DD$486:DD$534)-ROW(DD$486)+1)/(DD$486:DD$534&lt;&gt;""),ROWS(DJ$1:DJ1))),"")</f>
        <v/>
      </c>
      <c r="DK486" s="157" t="str">
        <f t="shared" ref="DK486:DK534" si="285">IF(ISNUMBER(DI486),ROW(DI486),"")</f>
        <v/>
      </c>
      <c r="DL486" s="155" t="str">
        <f>IFERROR(INDEX(DE$486:DE$534,_xlfn.AGGREGATE(15,6,(ROW(DE$486:DE$534)-ROW(DE$486)+1)/(DE$486:DE$534&lt;&gt;""),ROWS(DL$1:DL1))),"")</f>
        <v/>
      </c>
      <c r="DM486" s="156" t="str">
        <f>IFERROR(INDEX(DF$486:DF$534,_xlfn.AGGREGATE(15,6,(ROW(DF$486:DF$534)-ROW(DF$486)+1)/(DF$486:DF$534&lt;&gt;""),ROWS(DM$1:DM1))),"")</f>
        <v/>
      </c>
      <c r="DN486" s="157" t="str">
        <f t="shared" ref="DN486:DN534" si="286">IF(ISNUMBER(DI486),ROW(DI486),"")</f>
        <v/>
      </c>
      <c r="DO486" s="155" t="str">
        <f>IFERROR(INDEX(DG$486:DG$534,_xlfn.AGGREGATE(15,6,(ROW(DG$486:DG$534)-ROW(DG$486)+1)/(DG$486:DG$534&lt;&gt;""),ROWS(DO$1:DO1))),"")</f>
        <v/>
      </c>
      <c r="DP486" s="156" t="str">
        <f>IFERROR(INDEX(DH$486:DH$534,_xlfn.AGGREGATE(15,6,(ROW(DH$486:DH$534)-ROW(DH$486)+1)/(DH$486:DH$534&lt;&gt;""),ROWS(DP$1:DP1))),"")</f>
        <v/>
      </c>
      <c r="DQ486" s="157" t="str">
        <f t="shared" ref="DQ486:DQ534" si="287">IF(ISNUMBER(DL486),ROW(DL486),"")</f>
        <v/>
      </c>
      <c r="DV486" s="145">
        <v>2015</v>
      </c>
      <c r="DW486" s="235" t="e">
        <f t="shared" ca="1" si="271"/>
        <v>#REF!</v>
      </c>
      <c r="EA486" s="33"/>
      <c r="EB486" s="33"/>
      <c r="EC486" s="33"/>
      <c r="ED486" s="33"/>
      <c r="EE486" s="33"/>
    </row>
    <row r="487" spans="1:135" ht="36.9" x14ac:dyDescent="0.45">
      <c r="A487" s="955" t="s">
        <v>992</v>
      </c>
      <c r="B487" s="128">
        <v>2013</v>
      </c>
      <c r="C487" s="1145"/>
      <c r="D487" s="1145"/>
      <c r="E487" s="239"/>
      <c r="F487" s="939"/>
      <c r="G487" s="916"/>
      <c r="H487" s="239"/>
      <c r="I487" s="1151"/>
      <c r="J487" s="1151"/>
      <c r="K487" s="982"/>
      <c r="L487" s="985"/>
      <c r="M487" s="239"/>
      <c r="N487" s="29" t="s">
        <v>119</v>
      </c>
      <c r="O487" s="120"/>
      <c r="P487" s="120"/>
      <c r="Q487" s="120"/>
      <c r="R487" s="29">
        <v>-1</v>
      </c>
      <c r="S487" s="238" t="str">
        <f t="shared" si="272"/>
        <v/>
      </c>
      <c r="T487" s="238" t="str">
        <f t="shared" si="273"/>
        <v/>
      </c>
      <c r="U487" s="238" t="str">
        <f t="shared" si="274"/>
        <v/>
      </c>
      <c r="V487" s="29"/>
      <c r="W487" s="238" t="e">
        <f t="shared" si="275"/>
        <v>#N/A</v>
      </c>
      <c r="X487" s="238" t="e">
        <f t="shared" si="276"/>
        <v>#N/A</v>
      </c>
      <c r="Y487" s="238" t="e">
        <f t="shared" si="277"/>
        <v>#N/A</v>
      </c>
      <c r="AA487" s="138"/>
      <c r="AB487" s="138"/>
      <c r="AC487" s="138"/>
      <c r="AD487" s="138"/>
      <c r="AE487" s="138"/>
      <c r="AF487" s="138"/>
      <c r="AG487" s="138"/>
      <c r="AH487" s="138"/>
      <c r="AI487" s="138"/>
      <c r="AJ487" s="138"/>
      <c r="AK487" s="138"/>
      <c r="AL487" s="138"/>
      <c r="AM487" s="138"/>
      <c r="AN487" s="138"/>
      <c r="BS487" s="160" t="s">
        <v>25</v>
      </c>
      <c r="BT487" s="161" t="e">
        <f>SLOPE((DH486:DH534),($B$46:$B$94))</f>
        <v>#DIV/0!</v>
      </c>
      <c r="BU487" s="162" t="e">
        <f>INTERCEPT(DP486:DP534,DO486:DO534)</f>
        <v>#DIV/0!</v>
      </c>
      <c r="BW487" s="133"/>
      <c r="BZ487" s="160" t="s">
        <v>25</v>
      </c>
      <c r="CA487" s="161" t="e">
        <f ca="1">INDEX(LINEST((INDIRECT(DO483):INDIRECT(DP483)),(INDIRECT(DO484):INDIRECT(DP484))^{1,2}),1)</f>
        <v>#REF!</v>
      </c>
      <c r="CB487" s="163" t="e">
        <f ca="1">INDEX(LINEST((INDIRECT(DO483):INDIRECT(DP483)),(INDIRECT(DO484):INDIRECT(DP484))^{1,2}),1,2)</f>
        <v>#REF!</v>
      </c>
      <c r="CC487" s="162" t="e">
        <f ca="1">INDEX(LINEST((INDIRECT(DO483):INDIRECT(DP483)),(INDIRECT(DO484):INDIRECT(DP484))^{1,2}),1,3)</f>
        <v>#REF!</v>
      </c>
      <c r="CH487" s="160" t="s">
        <v>25</v>
      </c>
      <c r="CI487" s="161" t="e">
        <f ca="1">INDEX(LINEST((INDIRECT(DO483):INDIRECT(DP483)),(INDIRECT(DO484):INDIRECT(DP484))^{1,2,3}),1)</f>
        <v>#REF!</v>
      </c>
      <c r="CJ487" s="163" t="e">
        <f ca="1">INDEX(LINEST((INDIRECT(DO483):INDIRECT(DP483)),(INDIRECT(DO484):INDIRECT(DP484))^{1,2,3}),1,2)</f>
        <v>#REF!</v>
      </c>
      <c r="CK487" s="163" t="e">
        <f ca="1">INDEX(LINEST((INDIRECT(DO483):INDIRECT(DP483)),(INDIRECT(DO484):INDIRECT(DP484))^{1,2,3}),1,3)</f>
        <v>#REF!</v>
      </c>
      <c r="CL487" s="162" t="e">
        <f ca="1">INDEX(LINEST((INDIRECT(DO483):INDIRECT(DP483)),(INDIRECT(DO484):INDIRECT(DP484))^{1,2,3}),1,4)</f>
        <v>#REF!</v>
      </c>
      <c r="CQ487" s="160" t="s">
        <v>25</v>
      </c>
      <c r="CR487" s="161" t="e">
        <f ca="1">EXP(INDEX(LINEST(LN(INDIRECT(DO483):INDIRECT(DP483)),(INDIRECT(DO484):INDIRECT(DP484))),1,2))</f>
        <v>#REF!</v>
      </c>
      <c r="CS487" s="162" t="e">
        <f ca="1">INDEX(LINEST(LN(INDIRECT(DO483):INDIRECT(DP483)),(INDIRECT(DO484):INDIRECT(DP484))),1)</f>
        <v>#REF!</v>
      </c>
      <c r="CZ487" s="164" t="b">
        <f t="shared" si="278"/>
        <v>0</v>
      </c>
      <c r="DA487" s="165" t="b">
        <f t="shared" si="278"/>
        <v>0</v>
      </c>
      <c r="DB487" s="166" t="b">
        <f t="shared" si="278"/>
        <v>0</v>
      </c>
      <c r="DC487" s="164" t="str">
        <f t="shared" si="279"/>
        <v/>
      </c>
      <c r="DD487" s="166" t="str">
        <f t="shared" si="280"/>
        <v/>
      </c>
      <c r="DE487" s="164" t="str">
        <f t="shared" si="281"/>
        <v/>
      </c>
      <c r="DF487" s="166" t="str">
        <f t="shared" si="282"/>
        <v/>
      </c>
      <c r="DG487" s="164" t="str">
        <f t="shared" si="283"/>
        <v/>
      </c>
      <c r="DH487" s="166" t="str">
        <f t="shared" si="284"/>
        <v/>
      </c>
      <c r="DI487" s="164" t="str">
        <f>IFERROR(INDEX(DC$486:DC$534,_xlfn.AGGREGATE(15,6,(ROW(DC$486:DC$534)-ROW(DC$486)+1)/(DC$486:DC$534&lt;&gt;""),ROWS(DI$1:DI2))),"")</f>
        <v/>
      </c>
      <c r="DJ487" s="165" t="str">
        <f>IFERROR(INDEX(DD$486:DD$534,_xlfn.AGGREGATE(15,6,(ROW(DD$486:DD$534)-ROW(DD$486)+1)/(DD$486:DD$534&lt;&gt;""),ROWS(DJ$1:DJ2))),"")</f>
        <v/>
      </c>
      <c r="DK487" s="166" t="str">
        <f t="shared" si="285"/>
        <v/>
      </c>
      <c r="DL487" s="164" t="str">
        <f>IFERROR(INDEX(DE$486:DE$534,_xlfn.AGGREGATE(15,6,(ROW(DE$486:DE$534)-ROW(DE$486)+1)/(DE$486:DE$534&lt;&gt;""),ROWS(DL$1:DL2))),"")</f>
        <v/>
      </c>
      <c r="DM487" s="165" t="str">
        <f>IFERROR(INDEX(DF$486:DF$534,_xlfn.AGGREGATE(15,6,(ROW(DF$486:DF$534)-ROW(DF$486)+1)/(DF$486:DF$534&lt;&gt;""),ROWS(DM$1:DM2))),"")</f>
        <v/>
      </c>
      <c r="DN487" s="166" t="str">
        <f t="shared" si="286"/>
        <v/>
      </c>
      <c r="DO487" s="164" t="str">
        <f>IFERROR(INDEX(DG$486:DG$534,_xlfn.AGGREGATE(15,6,(ROW(DG$486:DG$534)-ROW(DG$486)+1)/(DG$486:DG$534&lt;&gt;""),ROWS(DO$1:DO2))),"")</f>
        <v/>
      </c>
      <c r="DP487" s="165" t="str">
        <f>IFERROR(INDEX(DH$486:DH$534,_xlfn.AGGREGATE(15,6,(ROW(DH$486:DH$534)-ROW(DH$486)+1)/(DH$486:DH$534&lt;&gt;""),ROWS(DP$1:DP2))),"")</f>
        <v/>
      </c>
      <c r="DQ487" s="166" t="str">
        <f t="shared" si="287"/>
        <v/>
      </c>
      <c r="DV487" s="145">
        <v>2016</v>
      </c>
      <c r="DW487" s="235" t="e">
        <f t="shared" ca="1" si="271"/>
        <v>#REF!</v>
      </c>
      <c r="EA487" s="33"/>
      <c r="EB487" s="33"/>
      <c r="EC487" s="33"/>
      <c r="ED487" s="33"/>
      <c r="EE487" s="33"/>
    </row>
    <row r="488" spans="1:135" ht="13.8" x14ac:dyDescent="0.45">
      <c r="A488" s="148" t="s">
        <v>90</v>
      </c>
      <c r="B488" s="128">
        <v>2014</v>
      </c>
      <c r="C488" s="1146"/>
      <c r="D488" s="1146"/>
      <c r="E488" s="169"/>
      <c r="F488" s="931"/>
      <c r="G488" s="917"/>
      <c r="H488" s="169"/>
      <c r="I488" s="1148"/>
      <c r="J488" s="1148"/>
      <c r="K488" s="982"/>
      <c r="L488" s="986"/>
      <c r="M488" s="169"/>
      <c r="N488" s="29" t="s">
        <v>119</v>
      </c>
      <c r="O488" s="120"/>
      <c r="P488" s="120"/>
      <c r="Q488" s="120"/>
      <c r="R488" s="29">
        <v>0</v>
      </c>
      <c r="S488" s="238" t="str">
        <f t="shared" si="272"/>
        <v/>
      </c>
      <c r="T488" s="238" t="str">
        <f t="shared" si="273"/>
        <v/>
      </c>
      <c r="U488" s="238" t="str">
        <f t="shared" si="274"/>
        <v/>
      </c>
      <c r="V488" s="29"/>
      <c r="W488" s="238" t="e">
        <f t="shared" si="275"/>
        <v>#N/A</v>
      </c>
      <c r="X488" s="238" t="e">
        <f t="shared" si="276"/>
        <v>#N/A</v>
      </c>
      <c r="Y488" s="238" t="e">
        <f t="shared" si="277"/>
        <v>#N/A</v>
      </c>
      <c r="AA488" s="138"/>
      <c r="AB488" s="138"/>
      <c r="AC488" s="138"/>
      <c r="AD488" s="138"/>
      <c r="AE488" s="138"/>
      <c r="AF488" s="138"/>
      <c r="AG488" s="138"/>
      <c r="AH488" s="138"/>
      <c r="AI488" s="138"/>
      <c r="AJ488" s="138"/>
      <c r="AK488" s="138"/>
      <c r="AL488" s="138"/>
      <c r="AM488" s="138"/>
      <c r="AN488" s="138"/>
      <c r="BS488" s="160" t="s">
        <v>91</v>
      </c>
      <c r="BT488" s="172" t="e">
        <f>SLOPE((DF486:DF534),($B$46:$B$94))</f>
        <v>#DIV/0!</v>
      </c>
      <c r="BU488" s="173" t="e">
        <f>INTERCEPT(DM486:DM534,DL486:DL534)</f>
        <v>#DIV/0!</v>
      </c>
      <c r="BZ488" s="160" t="s">
        <v>91</v>
      </c>
      <c r="CA488" s="172" t="e">
        <f ca="1">INDEX(LINEST((INDIRECT(DL483):INDIRECT(DM483)),(INDIRECT(DL484):INDIRECT(DM484))^{1,2}),1)</f>
        <v>#REF!</v>
      </c>
      <c r="CB488" s="174" t="e">
        <f ca="1">INDEX(LINEST((INDIRECT(DL483):INDIRECT(DM483)),(INDIRECT(DL484):INDIRECT(DM484))^{1,2}),1,2)</f>
        <v>#REF!</v>
      </c>
      <c r="CC488" s="173" t="e">
        <f ca="1">INDEX(LINEST((INDIRECT(DL483):INDIRECT(DM483)),(INDIRECT(DL484):INDIRECT(DM484))^{1,2}),1,3)</f>
        <v>#REF!</v>
      </c>
      <c r="CH488" s="160" t="s">
        <v>91</v>
      </c>
      <c r="CI488" s="172" t="e">
        <f ca="1">INDEX(LINEST((INDIRECT(DL483):INDIRECT(DM483)),(INDIRECT(DL484):INDIRECT(DM484))^{1,2,3}),1)</f>
        <v>#REF!</v>
      </c>
      <c r="CJ488" s="174" t="e">
        <f ca="1">INDEX(LINEST((INDIRECT(DL483):INDIRECT(DM483)),(INDIRECT(DL484):INDIRECT(DM484))^{1,2,3}),1,2)</f>
        <v>#REF!</v>
      </c>
      <c r="CK488" s="174" t="e">
        <f ca="1">INDEX(LINEST((INDIRECT(DL483):INDIRECT(DM483)),(INDIRECT(DL484):INDIRECT(DM484))^{1,2,3}),1,3)</f>
        <v>#REF!</v>
      </c>
      <c r="CL488" s="173" t="e">
        <f ca="1">INDEX(LINEST((INDIRECT(DL483):INDIRECT(DM483)),(INDIRECT(DL484):INDIRECT(DM484))^{1,2,3}),1,4)</f>
        <v>#REF!</v>
      </c>
      <c r="CQ488" s="160" t="s">
        <v>91</v>
      </c>
      <c r="CR488" s="172" t="e">
        <f ca="1">EXP(INDEX(LINEST(LN(INDIRECT(DL483):INDIRECT(DM483)),(INDIRECT(DL484):INDIRECT(DM484))),1,2))</f>
        <v>#REF!</v>
      </c>
      <c r="CS488" s="173" t="e">
        <f ca="1">INDEX(LINEST(LN(INDIRECT(DL483):INDIRECT(DM483)),(INDIRECT(DL484):INDIRECT(DM484))),1)</f>
        <v>#REF!</v>
      </c>
      <c r="CZ488" s="164" t="b">
        <f t="shared" si="278"/>
        <v>0</v>
      </c>
      <c r="DA488" s="165" t="b">
        <f t="shared" si="278"/>
        <v>0</v>
      </c>
      <c r="DB488" s="166" t="b">
        <f t="shared" si="278"/>
        <v>0</v>
      </c>
      <c r="DC488" s="164" t="str">
        <f t="shared" si="279"/>
        <v/>
      </c>
      <c r="DD488" s="166" t="str">
        <f t="shared" si="280"/>
        <v/>
      </c>
      <c r="DE488" s="164" t="str">
        <f t="shared" si="281"/>
        <v/>
      </c>
      <c r="DF488" s="166" t="str">
        <f t="shared" si="282"/>
        <v/>
      </c>
      <c r="DG488" s="164" t="str">
        <f t="shared" si="283"/>
        <v/>
      </c>
      <c r="DH488" s="166" t="str">
        <f t="shared" si="284"/>
        <v/>
      </c>
      <c r="DI488" s="164" t="str">
        <f>IFERROR(INDEX(DC$486:DC$534,_xlfn.AGGREGATE(15,6,(ROW(DC$486:DC$534)-ROW(DC$486)+1)/(DC$486:DC$534&lt;&gt;""),ROWS(DI$1:DI3))),"")</f>
        <v/>
      </c>
      <c r="DJ488" s="165" t="str">
        <f>IFERROR(INDEX(DD$486:DD$534,_xlfn.AGGREGATE(15,6,(ROW(DD$486:DD$534)-ROW(DD$486)+1)/(DD$486:DD$534&lt;&gt;""),ROWS(DJ$1:DJ3))),"")</f>
        <v/>
      </c>
      <c r="DK488" s="166" t="str">
        <f t="shared" si="285"/>
        <v/>
      </c>
      <c r="DL488" s="164" t="str">
        <f>IFERROR(INDEX(DE$486:DE$534,_xlfn.AGGREGATE(15,6,(ROW(DE$486:DE$534)-ROW(DE$486)+1)/(DE$486:DE$534&lt;&gt;""),ROWS(DL$1:DL3))),"")</f>
        <v/>
      </c>
      <c r="DM488" s="165" t="str">
        <f>IFERROR(INDEX(DF$486:DF$534,_xlfn.AGGREGATE(15,6,(ROW(DF$486:DF$534)-ROW(DF$486)+1)/(DF$486:DF$534&lt;&gt;""),ROWS(DM$1:DM3))),"")</f>
        <v/>
      </c>
      <c r="DN488" s="166" t="str">
        <f t="shared" si="286"/>
        <v/>
      </c>
      <c r="DO488" s="164" t="str">
        <f>IFERROR(INDEX(DG$486:DG$534,_xlfn.AGGREGATE(15,6,(ROW(DG$486:DG$534)-ROW(DG$486)+1)/(DG$486:DG$534&lt;&gt;""),ROWS(DO$1:DO3))),"")</f>
        <v/>
      </c>
      <c r="DP488" s="165" t="str">
        <f>IFERROR(INDEX(DH$486:DH$534,_xlfn.AGGREGATE(15,6,(ROW(DH$486:DH$534)-ROW(DH$486)+1)/(DH$486:DH$534&lt;&gt;""),ROWS(DP$1:DP3))),"")</f>
        <v/>
      </c>
      <c r="DQ488" s="166" t="str">
        <f t="shared" si="287"/>
        <v/>
      </c>
      <c r="DV488" s="145">
        <v>2017</v>
      </c>
      <c r="DW488" s="235" t="e">
        <f t="shared" ca="1" si="271"/>
        <v>#REF!</v>
      </c>
      <c r="DZ488" s="65" t="s">
        <v>89</v>
      </c>
      <c r="EA488" s="33"/>
      <c r="EB488" s="33"/>
      <c r="EC488" s="33"/>
      <c r="ED488" s="33"/>
      <c r="EE488" s="33"/>
    </row>
    <row r="489" spans="1:135" ht="14.1" thickBot="1" x14ac:dyDescent="0.5">
      <c r="A489" s="949" t="s">
        <v>80</v>
      </c>
      <c r="B489" s="128">
        <v>2015</v>
      </c>
      <c r="C489" s="1144"/>
      <c r="D489" s="1144"/>
      <c r="E489" s="151"/>
      <c r="F489" s="894"/>
      <c r="G489" s="795"/>
      <c r="H489" s="151"/>
      <c r="I489" s="1147"/>
      <c r="J489" s="1147"/>
      <c r="K489" s="982"/>
      <c r="L489" s="985"/>
      <c r="M489" s="151"/>
      <c r="N489" s="29" t="s">
        <v>119</v>
      </c>
      <c r="O489" s="120"/>
      <c r="P489" s="120"/>
      <c r="Q489" s="120"/>
      <c r="R489" s="29">
        <v>1</v>
      </c>
      <c r="S489" s="238" t="str">
        <f t="shared" si="272"/>
        <v/>
      </c>
      <c r="T489" s="238" t="str">
        <f t="shared" si="273"/>
        <v/>
      </c>
      <c r="U489" s="238" t="str">
        <f t="shared" si="274"/>
        <v/>
      </c>
      <c r="V489" s="29"/>
      <c r="W489" s="238" t="e">
        <f t="shared" si="275"/>
        <v>#N/A</v>
      </c>
      <c r="X489" s="238" t="e">
        <f t="shared" si="276"/>
        <v>#N/A</v>
      </c>
      <c r="Y489" s="238" t="e">
        <f t="shared" si="277"/>
        <v>#N/A</v>
      </c>
      <c r="AA489" s="138"/>
      <c r="AB489" s="138"/>
      <c r="AC489" s="138"/>
      <c r="AD489" s="138"/>
      <c r="AE489" s="138"/>
      <c r="AF489" s="138"/>
      <c r="AG489" s="138"/>
      <c r="AH489" s="138"/>
      <c r="AI489" s="138"/>
      <c r="AJ489" s="138"/>
      <c r="AK489" s="138"/>
      <c r="AL489" s="138"/>
      <c r="AM489" s="138"/>
      <c r="AN489" s="138"/>
      <c r="BR489" s="29"/>
      <c r="BS489" s="160" t="s">
        <v>15</v>
      </c>
      <c r="BT489" s="177" t="e">
        <f>SLOPE((DD486:DD534),($B$46:$B$94))</f>
        <v>#DIV/0!</v>
      </c>
      <c r="BU489" s="178" t="e">
        <f>INTERCEPT(DJ486:DJ534,DI486:DI534)</f>
        <v>#DIV/0!</v>
      </c>
      <c r="BV489" s="691" t="s">
        <v>71</v>
      </c>
      <c r="BY489" s="29"/>
      <c r="BZ489" s="160" t="s">
        <v>15</v>
      </c>
      <c r="CA489" s="177" t="e">
        <f ca="1">INDEX(LINEST((INDIRECT(DI483):INDIRECT(DJ483)),(INDIRECT(DI484):INDIRECT(DJ484))^{1,2}),1)</f>
        <v>#REF!</v>
      </c>
      <c r="CB489" s="179" t="e">
        <f ca="1">INDEX(LINEST((INDIRECT(DI483):INDIRECT(DJ483)),(INDIRECT(DI484):INDIRECT(DJ484))^{1,2}),1,2)</f>
        <v>#REF!</v>
      </c>
      <c r="CC489" s="178" t="e">
        <f ca="1">INDEX(LINEST((INDIRECT(DI483):INDIRECT(DJ483)),(INDIRECT(DI484):INDIRECT(DJ484))^{1,2}),1,3)</f>
        <v>#REF!</v>
      </c>
      <c r="CD489" s="691" t="s">
        <v>71</v>
      </c>
      <c r="CG489" s="29"/>
      <c r="CH489" s="160" t="s">
        <v>15</v>
      </c>
      <c r="CI489" s="177" t="e">
        <f ca="1">INDEX(LINEST((INDIRECT(DI483):INDIRECT(DJ483)),(INDIRECT(DI484):INDIRECT(DJ484))^{1,2,3}),1)</f>
        <v>#REF!</v>
      </c>
      <c r="CJ489" s="179" t="e">
        <f ca="1">INDEX(LINEST((INDIRECT(DI483):INDIRECT(DJ483)),(INDIRECT(DI484):INDIRECT(DJ484))^{1,2,3}),1,2)</f>
        <v>#REF!</v>
      </c>
      <c r="CK489" s="179" t="e">
        <f ca="1">INDEX(LINEST((INDIRECT(DI483):INDIRECT(DJ483)),(INDIRECT(DI484):INDIRECT(DJ484))^{1,2,3}),1,3)</f>
        <v>#REF!</v>
      </c>
      <c r="CL489" s="178" t="e">
        <f ca="1">INDEX(LINEST((INDIRECT(DI483):INDIRECT(DJ483)),(INDIRECT(DI484):INDIRECT(DJ484))^{1,2,3}),1,4)</f>
        <v>#REF!</v>
      </c>
      <c r="CM489" s="691" t="s">
        <v>71</v>
      </c>
      <c r="CP489" s="29"/>
      <c r="CQ489" s="160" t="s">
        <v>15</v>
      </c>
      <c r="CR489" s="177" t="e">
        <f ca="1">EXP(INDEX(LINEST(LN(INDIRECT(DI483):INDIRECT(DJ483)),(INDIRECT(DI484):INDIRECT(DJ484))),1,2))</f>
        <v>#REF!</v>
      </c>
      <c r="CS489" s="178" t="e">
        <f ca="1">INDEX(LINEST(LN(INDIRECT(DI483):INDIRECT(DJ483)),(INDIRECT(DI484):INDIRECT(DJ484))),1)</f>
        <v>#REF!</v>
      </c>
      <c r="CT489" s="691" t="s">
        <v>71</v>
      </c>
      <c r="CZ489" s="164" t="b">
        <f t="shared" si="278"/>
        <v>0</v>
      </c>
      <c r="DA489" s="165" t="b">
        <f t="shared" si="278"/>
        <v>0</v>
      </c>
      <c r="DB489" s="166" t="b">
        <f t="shared" si="278"/>
        <v>0</v>
      </c>
      <c r="DC489" s="164" t="str">
        <f t="shared" si="279"/>
        <v/>
      </c>
      <c r="DD489" s="166" t="str">
        <f t="shared" si="280"/>
        <v/>
      </c>
      <c r="DE489" s="164" t="str">
        <f t="shared" si="281"/>
        <v/>
      </c>
      <c r="DF489" s="166" t="str">
        <f t="shared" si="282"/>
        <v/>
      </c>
      <c r="DG489" s="164" t="str">
        <f t="shared" si="283"/>
        <v/>
      </c>
      <c r="DH489" s="166" t="str">
        <f t="shared" si="284"/>
        <v/>
      </c>
      <c r="DI489" s="164" t="str">
        <f>IFERROR(INDEX(DC$486:DC$534,_xlfn.AGGREGATE(15,6,(ROW(DC$486:DC$534)-ROW(DC$486)+1)/(DC$486:DC$534&lt;&gt;""),ROWS(DI$1:DI4))),"")</f>
        <v/>
      </c>
      <c r="DJ489" s="165" t="str">
        <f>IFERROR(INDEX(DD$486:DD$534,_xlfn.AGGREGATE(15,6,(ROW(DD$486:DD$534)-ROW(DD$486)+1)/(DD$486:DD$534&lt;&gt;""),ROWS(DJ$1:DJ4))),"")</f>
        <v/>
      </c>
      <c r="DK489" s="166" t="str">
        <f t="shared" si="285"/>
        <v/>
      </c>
      <c r="DL489" s="164" t="str">
        <f>IFERROR(INDEX(DE$486:DE$534,_xlfn.AGGREGATE(15,6,(ROW(DE$486:DE$534)-ROW(DE$486)+1)/(DE$486:DE$534&lt;&gt;""),ROWS(DL$1:DL4))),"")</f>
        <v/>
      </c>
      <c r="DM489" s="165" t="str">
        <f>IFERROR(INDEX(DF$486:DF$534,_xlfn.AGGREGATE(15,6,(ROW(DF$486:DF$534)-ROW(DF$486)+1)/(DF$486:DF$534&lt;&gt;""),ROWS(DM$1:DM4))),"")</f>
        <v/>
      </c>
      <c r="DN489" s="166" t="str">
        <f t="shared" si="286"/>
        <v/>
      </c>
      <c r="DO489" s="164" t="str">
        <f>IFERROR(INDEX(DG$486:DG$534,_xlfn.AGGREGATE(15,6,(ROW(DG$486:DG$534)-ROW(DG$486)+1)/(DG$486:DG$534&lt;&gt;""),ROWS(DO$1:DO4))),"")</f>
        <v/>
      </c>
      <c r="DP489" s="165" t="str">
        <f>IFERROR(INDEX(DH$486:DH$534,_xlfn.AGGREGATE(15,6,(ROW(DH$486:DH$534)-ROW(DH$486)+1)/(DH$486:DH$534&lt;&gt;""),ROWS(DP$1:DP4))),"")</f>
        <v/>
      </c>
      <c r="DQ489" s="166" t="str">
        <f t="shared" si="287"/>
        <v/>
      </c>
      <c r="DV489" s="145">
        <v>2018</v>
      </c>
      <c r="DW489" s="235" t="e">
        <f t="shared" ca="1" si="271"/>
        <v>#REF!</v>
      </c>
      <c r="EA489" s="33" t="s">
        <v>85</v>
      </c>
      <c r="EB489" s="33" t="s">
        <v>84</v>
      </c>
      <c r="EC489" s="33" t="s">
        <v>82</v>
      </c>
      <c r="ED489" s="33" t="s">
        <v>83</v>
      </c>
      <c r="EE489" s="33"/>
    </row>
    <row r="490" spans="1:135" ht="13.8" x14ac:dyDescent="0.45">
      <c r="A490" s="148" t="s">
        <v>88</v>
      </c>
      <c r="B490" s="128">
        <v>2016</v>
      </c>
      <c r="C490" s="1144"/>
      <c r="D490" s="1144"/>
      <c r="E490" s="151"/>
      <c r="F490" s="894"/>
      <c r="G490" s="795"/>
      <c r="H490" s="151"/>
      <c r="I490" s="1147"/>
      <c r="J490" s="1147"/>
      <c r="K490" s="795"/>
      <c r="L490" s="152"/>
      <c r="M490" s="151"/>
      <c r="N490" s="29" t="s">
        <v>119</v>
      </c>
      <c r="O490" s="120"/>
      <c r="P490" s="120"/>
      <c r="Q490" s="120"/>
      <c r="R490" s="29">
        <v>2</v>
      </c>
      <c r="S490" s="238" t="str">
        <f t="shared" si="272"/>
        <v/>
      </c>
      <c r="T490" s="238" t="str">
        <f t="shared" si="273"/>
        <v/>
      </c>
      <c r="U490" s="238" t="str">
        <f t="shared" si="274"/>
        <v/>
      </c>
      <c r="V490" s="29"/>
      <c r="W490" s="238" t="e">
        <f t="shared" si="275"/>
        <v>#N/A</v>
      </c>
      <c r="X490" s="238" t="e">
        <f t="shared" si="276"/>
        <v>#N/A</v>
      </c>
      <c r="Y490" s="238" t="e">
        <f t="shared" si="277"/>
        <v>#N/A</v>
      </c>
      <c r="AA490" s="138"/>
      <c r="AB490" s="138"/>
      <c r="AC490" s="138"/>
      <c r="AD490" s="138"/>
      <c r="AE490" s="138"/>
      <c r="AF490" s="138"/>
      <c r="AG490" s="138"/>
      <c r="AH490" s="138"/>
      <c r="AI490" s="138"/>
      <c r="AJ490" s="138"/>
      <c r="AK490" s="138"/>
      <c r="AL490" s="138"/>
      <c r="AM490" s="138"/>
      <c r="AN490" s="138"/>
      <c r="BR490" s="180">
        <v>2014</v>
      </c>
      <c r="BS490" s="22">
        <v>0</v>
      </c>
      <c r="BT490" s="181" t="e">
        <f t="shared" ref="BT490:BT536" si="288">IF($BS$486="High",BS490*$BT$487,IF($BS$486="Medium",$BT$488*BS490,IF($BS$486="Low",$BT$489*BS490)))</f>
        <v>#DIV/0!</v>
      </c>
      <c r="BU490" s="182" t="e">
        <f t="shared" ref="BU490:BU536" si="289">IF($BS$486="High",$BU$487,IF($BS$486="Medium",$BU$488,IF($BS$486="Low",BU489)))</f>
        <v>#DIV/0!</v>
      </c>
      <c r="BV490" s="241" t="e">
        <f t="shared" ref="BV490:BV536" si="290">BT490+BU490</f>
        <v>#DIV/0!</v>
      </c>
      <c r="BY490" s="180">
        <v>2014</v>
      </c>
      <c r="BZ490" s="22">
        <v>0</v>
      </c>
      <c r="CA490" s="181" t="e">
        <f t="shared" ref="CA490:CA536" ca="1" si="291">IF($BZ$486="High",BZ490^2*$CA$487,IF($BZ$486="Medium",BZ490^2*$CA$488,IF($BZ$486="Low",BZ490^2*$CA$489)))</f>
        <v>#REF!</v>
      </c>
      <c r="CB490" s="181" t="e">
        <f t="shared" ref="CB490:CB536" ca="1" si="292">IF($BZ$486="High",BZ490*$CB$487,IF($BZ$486="Medium",BZ490*$CB$488,IF($BZ$486="Low",BZ490*$CB$489)))</f>
        <v>#REF!</v>
      </c>
      <c r="CC490" s="182" t="e">
        <f ca="1">IF($BZ$486="High",$CC$487,IF($BZ$486="Medium",$CC$488,IF($BZ$486="Low",$CC$489)))</f>
        <v>#REF!</v>
      </c>
      <c r="CD490" s="241" t="e">
        <f t="shared" ref="CD490:CD536" ca="1" si="293">CA490+CB490+CC490</f>
        <v>#REF!</v>
      </c>
      <c r="CG490" s="180">
        <v>2014</v>
      </c>
      <c r="CH490" s="22">
        <v>0</v>
      </c>
      <c r="CI490" s="181" t="e">
        <f t="shared" ref="CI490:CI536" ca="1" si="294">IF($CH$486="High",CH490^3*$CI$487,IF($CH$486="Medium",CH490^3*$CI$488,IF($CH$486="Low",CH490^3*$CI$489)))</f>
        <v>#REF!</v>
      </c>
      <c r="CJ490" s="181" t="e">
        <f t="shared" ref="CJ490:CJ536" ca="1" si="295">IF($CH$486="High",CH490^2*$CJ$487,IF($CH$486="Medium",CH490^2*$CJ$488,IF($CH$486="Low",CH490^2*$CJ$489)))</f>
        <v>#REF!</v>
      </c>
      <c r="CK490" s="181" t="e">
        <f t="shared" ref="CK490:CK536" ca="1" si="296">IF($CH$486="High",CH490*$CK$487,IF($CH$486="Medium",CH490*$CK$488,IF($CH$486="Low",CH490*$CK$489)))</f>
        <v>#REF!</v>
      </c>
      <c r="CL490" s="182" t="e">
        <f t="shared" ref="CL490:CL536" ca="1" si="297">IF($CH$486="High",$CL$487,IF($CH$486="Medium",$CL$488,IF($CH$486="Low",$CL$489)))</f>
        <v>#REF!</v>
      </c>
      <c r="CM490" s="241" t="e">
        <f t="shared" ref="CM490:CM536" ca="1" si="298">CI490+CJ490+CK490+CL490</f>
        <v>#REF!</v>
      </c>
      <c r="CP490" s="180">
        <v>2014</v>
      </c>
      <c r="CQ490" s="22">
        <v>0</v>
      </c>
      <c r="CR490" s="181" t="e">
        <f t="shared" ref="CR490:CR536" ca="1" si="299">IF($CQ$486="High",$CR$487,IF($CQ$486="Medium",$CR$488,IF($CQ$486="Low",$CR$489)))</f>
        <v>#REF!</v>
      </c>
      <c r="CS490" s="182" t="e">
        <f t="shared" ref="CS490:CS536" ca="1" si="300">IF($CQ$486="High",EXP(1)^($CS$487*CQ490),IF($CQ$486="Medium",EXP(1)^($CS$488*CQ490),IF($CQ$486="Low",EXP(1)^($CS$489*CQ490))))</f>
        <v>#REF!</v>
      </c>
      <c r="CT490" s="241" t="e">
        <f t="shared" ref="CT490:CT536" ca="1" si="301">(CR490*CS490)</f>
        <v>#REF!</v>
      </c>
      <c r="CZ490" s="164" t="b">
        <f t="shared" si="278"/>
        <v>0</v>
      </c>
      <c r="DA490" s="165" t="b">
        <f t="shared" si="278"/>
        <v>0</v>
      </c>
      <c r="DB490" s="166" t="b">
        <f t="shared" si="278"/>
        <v>0</v>
      </c>
      <c r="DC490" s="164" t="str">
        <f t="shared" si="279"/>
        <v/>
      </c>
      <c r="DD490" s="166" t="str">
        <f t="shared" si="280"/>
        <v/>
      </c>
      <c r="DE490" s="164" t="str">
        <f t="shared" si="281"/>
        <v/>
      </c>
      <c r="DF490" s="166" t="str">
        <f t="shared" si="282"/>
        <v/>
      </c>
      <c r="DG490" s="164" t="str">
        <f t="shared" si="283"/>
        <v/>
      </c>
      <c r="DH490" s="166" t="str">
        <f t="shared" si="284"/>
        <v/>
      </c>
      <c r="DI490" s="164" t="str">
        <f>IFERROR(INDEX(DC$486:DC$534,_xlfn.AGGREGATE(15,6,(ROW(DC$486:DC$534)-ROW(DC$486)+1)/(DC$486:DC$534&lt;&gt;""),ROWS(DI$1:DI5))),"")</f>
        <v/>
      </c>
      <c r="DJ490" s="165" t="str">
        <f>IFERROR(INDEX(DD$486:DD$534,_xlfn.AGGREGATE(15,6,(ROW(DD$486:DD$534)-ROW(DD$486)+1)/(DD$486:DD$534&lt;&gt;""),ROWS(DJ$1:DJ5))),"")</f>
        <v/>
      </c>
      <c r="DK490" s="166" t="str">
        <f t="shared" si="285"/>
        <v/>
      </c>
      <c r="DL490" s="164" t="str">
        <f>IFERROR(INDEX(DE$486:DE$534,_xlfn.AGGREGATE(15,6,(ROW(DE$486:DE$534)-ROW(DE$486)+1)/(DE$486:DE$534&lt;&gt;""),ROWS(DL$1:DL5))),"")</f>
        <v/>
      </c>
      <c r="DM490" s="165" t="str">
        <f>IFERROR(INDEX(DF$486:DF$534,_xlfn.AGGREGATE(15,6,(ROW(DF$486:DF$534)-ROW(DF$486)+1)/(DF$486:DF$534&lt;&gt;""),ROWS(DM$1:DM5))),"")</f>
        <v/>
      </c>
      <c r="DN490" s="166" t="str">
        <f t="shared" si="286"/>
        <v/>
      </c>
      <c r="DO490" s="164" t="str">
        <f>IFERROR(INDEX(DG$486:DG$534,_xlfn.AGGREGATE(15,6,(ROW(DG$486:DG$534)-ROW(DG$486)+1)/(DG$486:DG$534&lt;&gt;""),ROWS(DO$1:DO5))),"")</f>
        <v/>
      </c>
      <c r="DP490" s="165" t="str">
        <f>IFERROR(INDEX(DH$486:DH$534,_xlfn.AGGREGATE(15,6,(ROW(DH$486:DH$534)-ROW(DH$486)+1)/(DH$486:DH$534&lt;&gt;""),ROWS(DP$1:DP5))),"")</f>
        <v/>
      </c>
      <c r="DQ490" s="166" t="str">
        <f t="shared" si="287"/>
        <v/>
      </c>
      <c r="DV490" s="145">
        <v>2019</v>
      </c>
      <c r="DW490" s="235" t="e">
        <f t="shared" ca="1" si="271"/>
        <v>#REF!</v>
      </c>
      <c r="DZ490" s="135" t="s">
        <v>92</v>
      </c>
      <c r="EA490" s="33" t="e">
        <f ca="1">IF($EA$484="Linear",0,IF($EA$484="2nd Poly",0,IF($EA$484="3rd Poly",CI487,IF($EA$484="Exp",0))))</f>
        <v>#REF!</v>
      </c>
      <c r="EB490" s="33" t="e">
        <f ca="1">IF($EA$484="Linear",0,IF($EA$484="2nd Poly",CA487,IF($EA$484="3rd Poly",CJ487,IF($EA$484="Exp",0))))</f>
        <v>#REF!</v>
      </c>
      <c r="EC490" s="33" t="e">
        <f t="shared" ref="EC490:ED492" ca="1" si="302">IF($EA$484="Linear",BT487,IF($EA$484="2nd Poly",CB487,IF($EA$484="3rd Poly",CK487,IF($EA$484="Exp",0))))</f>
        <v>#REF!</v>
      </c>
      <c r="ED490" s="33" t="e">
        <f t="shared" ca="1" si="302"/>
        <v>#REF!</v>
      </c>
      <c r="EE490" s="33" t="str">
        <f>IF($EA$484="Linear","High",IF($EA$484="2nd Poly","High",IF($EA$484="3rd Poly","High","N/A")))</f>
        <v>High</v>
      </c>
    </row>
    <row r="491" spans="1:135" ht="13.8" x14ac:dyDescent="0.45">
      <c r="A491" s="262" t="s">
        <v>90</v>
      </c>
      <c r="B491" s="128">
        <v>2017</v>
      </c>
      <c r="C491" s="951"/>
      <c r="D491" s="795"/>
      <c r="E491" s="169"/>
      <c r="F491" s="931"/>
      <c r="G491" s="917"/>
      <c r="H491" s="169"/>
      <c r="I491" s="931"/>
      <c r="J491" s="917"/>
      <c r="K491" s="917"/>
      <c r="L491" s="170"/>
      <c r="M491" s="169"/>
      <c r="N491" s="29" t="s">
        <v>119</v>
      </c>
      <c r="O491" s="120"/>
      <c r="P491" s="120"/>
      <c r="Q491" s="120"/>
      <c r="R491" s="29">
        <v>3</v>
      </c>
      <c r="S491" s="238" t="str">
        <f t="shared" si="272"/>
        <v/>
      </c>
      <c r="T491" s="238" t="str">
        <f t="shared" si="273"/>
        <v/>
      </c>
      <c r="U491" s="238" t="str">
        <f t="shared" si="274"/>
        <v/>
      </c>
      <c r="V491" s="29"/>
      <c r="W491" s="238" t="e">
        <f t="shared" si="275"/>
        <v>#N/A</v>
      </c>
      <c r="X491" s="238" t="e">
        <f t="shared" si="276"/>
        <v>#N/A</v>
      </c>
      <c r="Y491" s="238" t="e">
        <f t="shared" si="277"/>
        <v>#N/A</v>
      </c>
      <c r="AA491" s="138"/>
      <c r="AB491" s="138"/>
      <c r="AC491" s="138"/>
      <c r="AD491" s="138"/>
      <c r="AE491" s="138"/>
      <c r="AF491" s="138"/>
      <c r="AG491" s="138"/>
      <c r="AH491" s="138"/>
      <c r="AI491" s="138"/>
      <c r="AJ491" s="138"/>
      <c r="AK491" s="138"/>
      <c r="AL491" s="138"/>
      <c r="AM491" s="138"/>
      <c r="AN491" s="138"/>
      <c r="BR491" s="180">
        <v>2015</v>
      </c>
      <c r="BS491" s="22">
        <v>1</v>
      </c>
      <c r="BT491" s="198" t="e">
        <f t="shared" si="288"/>
        <v>#DIV/0!</v>
      </c>
      <c r="BU491" s="276" t="e">
        <f t="shared" si="289"/>
        <v>#DIV/0!</v>
      </c>
      <c r="BV491" s="241" t="e">
        <f t="shared" si="290"/>
        <v>#DIV/0!</v>
      </c>
      <c r="BY491" s="180">
        <v>2015</v>
      </c>
      <c r="BZ491" s="22">
        <v>1</v>
      </c>
      <c r="CA491" s="198" t="e">
        <f t="shared" ca="1" si="291"/>
        <v>#REF!</v>
      </c>
      <c r="CB491" s="198" t="e">
        <f t="shared" ca="1" si="292"/>
        <v>#REF!</v>
      </c>
      <c r="CC491" s="276" t="e">
        <f t="shared" ref="CC491:CC536" ca="1" si="303">CC490</f>
        <v>#REF!</v>
      </c>
      <c r="CD491" s="241" t="e">
        <f t="shared" ca="1" si="293"/>
        <v>#REF!</v>
      </c>
      <c r="CG491" s="180">
        <v>2015</v>
      </c>
      <c r="CH491" s="22">
        <v>1</v>
      </c>
      <c r="CI491" s="198" t="e">
        <f t="shared" ca="1" si="294"/>
        <v>#REF!</v>
      </c>
      <c r="CJ491" s="198" t="e">
        <f t="shared" ca="1" si="295"/>
        <v>#REF!</v>
      </c>
      <c r="CK491" s="198" t="e">
        <f t="shared" ca="1" si="296"/>
        <v>#REF!</v>
      </c>
      <c r="CL491" s="276" t="e">
        <f t="shared" ca="1" si="297"/>
        <v>#REF!</v>
      </c>
      <c r="CM491" s="241" t="e">
        <f t="shared" ca="1" si="298"/>
        <v>#REF!</v>
      </c>
      <c r="CP491" s="180">
        <v>2015</v>
      </c>
      <c r="CQ491" s="22">
        <v>1</v>
      </c>
      <c r="CR491" s="198" t="e">
        <f t="shared" ca="1" si="299"/>
        <v>#REF!</v>
      </c>
      <c r="CS491" s="276" t="e">
        <f t="shared" ca="1" si="300"/>
        <v>#REF!</v>
      </c>
      <c r="CT491" s="241" t="e">
        <f t="shared" ca="1" si="301"/>
        <v>#REF!</v>
      </c>
      <c r="CZ491" s="164" t="b">
        <f t="shared" si="278"/>
        <v>0</v>
      </c>
      <c r="DA491" s="165" t="b">
        <f t="shared" si="278"/>
        <v>0</v>
      </c>
      <c r="DB491" s="166" t="b">
        <f t="shared" si="278"/>
        <v>0</v>
      </c>
      <c r="DC491" s="164" t="str">
        <f t="shared" si="279"/>
        <v/>
      </c>
      <c r="DD491" s="166" t="str">
        <f t="shared" si="280"/>
        <v/>
      </c>
      <c r="DE491" s="164" t="str">
        <f t="shared" si="281"/>
        <v/>
      </c>
      <c r="DF491" s="166" t="str">
        <f t="shared" si="282"/>
        <v/>
      </c>
      <c r="DG491" s="164" t="str">
        <f t="shared" si="283"/>
        <v/>
      </c>
      <c r="DH491" s="166" t="str">
        <f t="shared" si="284"/>
        <v/>
      </c>
      <c r="DI491" s="164" t="str">
        <f>IFERROR(INDEX(DC$486:DC$534,_xlfn.AGGREGATE(15,6,(ROW(DC$486:DC$534)-ROW(DC$486)+1)/(DC$486:DC$534&lt;&gt;""),ROWS(DI$1:DI6))),"")</f>
        <v/>
      </c>
      <c r="DJ491" s="165" t="str">
        <f>IFERROR(INDEX(DD$486:DD$534,_xlfn.AGGREGATE(15,6,(ROW(DD$486:DD$534)-ROW(DD$486)+1)/(DD$486:DD$534&lt;&gt;""),ROWS(DJ$1:DJ6))),"")</f>
        <v/>
      </c>
      <c r="DK491" s="166" t="str">
        <f t="shared" si="285"/>
        <v/>
      </c>
      <c r="DL491" s="164" t="str">
        <f>IFERROR(INDEX(DE$486:DE$534,_xlfn.AGGREGATE(15,6,(ROW(DE$486:DE$534)-ROW(DE$486)+1)/(DE$486:DE$534&lt;&gt;""),ROWS(DL$1:DL6))),"")</f>
        <v/>
      </c>
      <c r="DM491" s="165" t="str">
        <f>IFERROR(INDEX(DF$486:DF$534,_xlfn.AGGREGATE(15,6,(ROW(DF$486:DF$534)-ROW(DF$486)+1)/(DF$486:DF$534&lt;&gt;""),ROWS(DM$1:DM6))),"")</f>
        <v/>
      </c>
      <c r="DN491" s="166" t="str">
        <f t="shared" si="286"/>
        <v/>
      </c>
      <c r="DO491" s="164" t="str">
        <f>IFERROR(INDEX(DG$486:DG$534,_xlfn.AGGREGATE(15,6,(ROW(DG$486:DG$534)-ROW(DG$486)+1)/(DG$486:DG$534&lt;&gt;""),ROWS(DO$1:DO6))),"")</f>
        <v/>
      </c>
      <c r="DP491" s="165" t="str">
        <f>IFERROR(INDEX(DH$486:DH$534,_xlfn.AGGREGATE(15,6,(ROW(DH$486:DH$534)-ROW(DH$486)+1)/(DH$486:DH$534&lt;&gt;""),ROWS(DP$1:DP6))),"")</f>
        <v/>
      </c>
      <c r="DQ491" s="166" t="str">
        <f t="shared" si="287"/>
        <v/>
      </c>
      <c r="DV491" s="145">
        <v>2020</v>
      </c>
      <c r="DW491" s="235" t="e">
        <f t="shared" ca="1" si="271"/>
        <v>#REF!</v>
      </c>
      <c r="DZ491" s="135" t="s">
        <v>92</v>
      </c>
      <c r="EA491" s="33" t="e">
        <f ca="1">IF($EA$484="Linear",0,IF($EA$484="2nd Poly",0,IF($EA$484="3rd Poly",CI488,IF($EA$484="Exp",0))))</f>
        <v>#REF!</v>
      </c>
      <c r="EB491" s="33" t="e">
        <f ca="1">IF($EA$484="Linear",0,IF($EA$484="2nd Poly",CA488,IF($EA$484="3rd Poly",CJ488,IF($EA$484="Exp",0))))</f>
        <v>#REF!</v>
      </c>
      <c r="EC491" s="33" t="e">
        <f t="shared" ca="1" si="302"/>
        <v>#REF!</v>
      </c>
      <c r="ED491" s="33" t="e">
        <f t="shared" ca="1" si="302"/>
        <v>#REF!</v>
      </c>
      <c r="EE491" s="33" t="str">
        <f>IF($EA$484="Linear","Medium",IF($EA$484="2nd Poly","Medium",IF($EA$484="3rd Poly","Medium","N/A")))</f>
        <v>Medium</v>
      </c>
    </row>
    <row r="492" spans="1:135" ht="13.8" x14ac:dyDescent="0.45">
      <c r="A492" s="948" t="s">
        <v>116</v>
      </c>
      <c r="B492" s="128">
        <v>2018</v>
      </c>
      <c r="C492" s="951"/>
      <c r="D492" s="795"/>
      <c r="E492" s="151"/>
      <c r="F492" s="894"/>
      <c r="G492" s="795"/>
      <c r="H492" s="151"/>
      <c r="I492" s="1110"/>
      <c r="J492" s="1109"/>
      <c r="K492" s="795"/>
      <c r="L492" s="152"/>
      <c r="M492" s="151"/>
      <c r="N492" s="29" t="s">
        <v>119</v>
      </c>
      <c r="O492" s="120"/>
      <c r="P492" s="120"/>
      <c r="Q492" s="120"/>
      <c r="R492" s="29">
        <v>4</v>
      </c>
      <c r="S492" s="238" t="str">
        <f t="shared" si="272"/>
        <v/>
      </c>
      <c r="T492" s="238" t="str">
        <f t="shared" si="273"/>
        <v/>
      </c>
      <c r="U492" s="238" t="str">
        <f t="shared" si="274"/>
        <v/>
      </c>
      <c r="V492" s="20"/>
      <c r="W492" s="238" t="e">
        <f t="shared" si="275"/>
        <v>#N/A</v>
      </c>
      <c r="X492" s="238" t="e">
        <f t="shared" si="276"/>
        <v>#N/A</v>
      </c>
      <c r="Y492" s="238" t="e">
        <f t="shared" si="277"/>
        <v>#N/A</v>
      </c>
      <c r="AA492" s="138"/>
      <c r="AB492" s="138"/>
      <c r="AC492" s="138"/>
      <c r="AD492" s="138"/>
      <c r="AE492" s="138"/>
      <c r="AF492" s="138"/>
      <c r="AG492" s="138"/>
      <c r="AH492" s="138"/>
      <c r="AI492" s="138"/>
      <c r="AJ492" s="138"/>
      <c r="AK492" s="138"/>
      <c r="AL492" s="138"/>
      <c r="AM492" s="138"/>
      <c r="AN492" s="138"/>
      <c r="BR492" s="180">
        <v>2016</v>
      </c>
      <c r="BS492" s="22">
        <v>2</v>
      </c>
      <c r="BT492" s="198" t="e">
        <f t="shared" si="288"/>
        <v>#DIV/0!</v>
      </c>
      <c r="BU492" s="276" t="e">
        <f t="shared" si="289"/>
        <v>#DIV/0!</v>
      </c>
      <c r="BV492" s="241" t="e">
        <f t="shared" si="290"/>
        <v>#DIV/0!</v>
      </c>
      <c r="BY492" s="180">
        <v>2016</v>
      </c>
      <c r="BZ492" s="22">
        <v>2</v>
      </c>
      <c r="CA492" s="198" t="e">
        <f t="shared" ca="1" si="291"/>
        <v>#REF!</v>
      </c>
      <c r="CB492" s="198" t="e">
        <f t="shared" ca="1" si="292"/>
        <v>#REF!</v>
      </c>
      <c r="CC492" s="276" t="e">
        <f t="shared" ca="1" si="303"/>
        <v>#REF!</v>
      </c>
      <c r="CD492" s="241" t="e">
        <f t="shared" ca="1" si="293"/>
        <v>#REF!</v>
      </c>
      <c r="CG492" s="180">
        <v>2016</v>
      </c>
      <c r="CH492" s="22">
        <v>2</v>
      </c>
      <c r="CI492" s="198" t="e">
        <f t="shared" ca="1" si="294"/>
        <v>#REF!</v>
      </c>
      <c r="CJ492" s="198" t="e">
        <f t="shared" ca="1" si="295"/>
        <v>#REF!</v>
      </c>
      <c r="CK492" s="198" t="e">
        <f t="shared" ca="1" si="296"/>
        <v>#REF!</v>
      </c>
      <c r="CL492" s="276" t="e">
        <f t="shared" ca="1" si="297"/>
        <v>#REF!</v>
      </c>
      <c r="CM492" s="241" t="e">
        <f t="shared" ca="1" si="298"/>
        <v>#REF!</v>
      </c>
      <c r="CP492" s="180">
        <v>2016</v>
      </c>
      <c r="CQ492" s="22">
        <v>2</v>
      </c>
      <c r="CR492" s="198" t="e">
        <f t="shared" ca="1" si="299"/>
        <v>#REF!</v>
      </c>
      <c r="CS492" s="276" t="e">
        <f t="shared" ca="1" si="300"/>
        <v>#REF!</v>
      </c>
      <c r="CT492" s="241" t="e">
        <f t="shared" ca="1" si="301"/>
        <v>#REF!</v>
      </c>
      <c r="CZ492" s="164" t="b">
        <f t="shared" si="278"/>
        <v>0</v>
      </c>
      <c r="DA492" s="165" t="b">
        <f t="shared" si="278"/>
        <v>0</v>
      </c>
      <c r="DB492" s="166" t="b">
        <f t="shared" si="278"/>
        <v>0</v>
      </c>
      <c r="DC492" s="164" t="str">
        <f t="shared" si="279"/>
        <v/>
      </c>
      <c r="DD492" s="166" t="str">
        <f t="shared" si="280"/>
        <v/>
      </c>
      <c r="DE492" s="164" t="str">
        <f t="shared" si="281"/>
        <v/>
      </c>
      <c r="DF492" s="166" t="str">
        <f t="shared" si="282"/>
        <v/>
      </c>
      <c r="DG492" s="164" t="str">
        <f t="shared" si="283"/>
        <v/>
      </c>
      <c r="DH492" s="166" t="str">
        <f t="shared" si="284"/>
        <v/>
      </c>
      <c r="DI492" s="164" t="str">
        <f>IFERROR(INDEX(DC$486:DC$534,_xlfn.AGGREGATE(15,6,(ROW(DC$486:DC$534)-ROW(DC$486)+1)/(DC$486:DC$534&lt;&gt;""),ROWS(DI$1:DI7))),"")</f>
        <v/>
      </c>
      <c r="DJ492" s="165" t="str">
        <f>IFERROR(INDEX(DD$486:DD$534,_xlfn.AGGREGATE(15,6,(ROW(DD$486:DD$534)-ROW(DD$486)+1)/(DD$486:DD$534&lt;&gt;""),ROWS(DJ$1:DJ7))),"")</f>
        <v/>
      </c>
      <c r="DK492" s="166" t="str">
        <f t="shared" si="285"/>
        <v/>
      </c>
      <c r="DL492" s="164" t="str">
        <f>IFERROR(INDEX(DE$486:DE$534,_xlfn.AGGREGATE(15,6,(ROW(DE$486:DE$534)-ROW(DE$486)+1)/(DE$486:DE$534&lt;&gt;""),ROWS(DL$1:DL7))),"")</f>
        <v/>
      </c>
      <c r="DM492" s="165" t="str">
        <f>IFERROR(INDEX(DF$486:DF$534,_xlfn.AGGREGATE(15,6,(ROW(DF$486:DF$534)-ROW(DF$486)+1)/(DF$486:DF$534&lt;&gt;""),ROWS(DM$1:DM7))),"")</f>
        <v/>
      </c>
      <c r="DN492" s="166" t="str">
        <f t="shared" si="286"/>
        <v/>
      </c>
      <c r="DO492" s="164" t="str">
        <f>IFERROR(INDEX(DG$486:DG$534,_xlfn.AGGREGATE(15,6,(ROW(DG$486:DG$534)-ROW(DG$486)+1)/(DG$486:DG$534&lt;&gt;""),ROWS(DO$1:DO7))),"")</f>
        <v/>
      </c>
      <c r="DP492" s="165" t="str">
        <f>IFERROR(INDEX(DH$486:DH$534,_xlfn.AGGREGATE(15,6,(ROW(DH$486:DH$534)-ROW(DH$486)+1)/(DH$486:DH$534&lt;&gt;""),ROWS(DP$1:DP7))),"")</f>
        <v/>
      </c>
      <c r="DQ492" s="166" t="str">
        <f t="shared" si="287"/>
        <v/>
      </c>
      <c r="DV492" s="145">
        <v>2021</v>
      </c>
      <c r="DW492" s="235" t="e">
        <f t="shared" ca="1" si="271"/>
        <v>#REF!</v>
      </c>
      <c r="DZ492" s="135" t="s">
        <v>92</v>
      </c>
      <c r="EA492" s="33" t="e">
        <f ca="1">IF($EA$484="Linear",0,IF($EA$484="2nd Poly",0,IF($EA$484="3rd Poly",CI489,IF($EA$484="Exp",0))))</f>
        <v>#REF!</v>
      </c>
      <c r="EB492" s="33" t="e">
        <f ca="1">IF($EA$484="Linear",0,IF($EA$484="2nd Poly",CA489,IF($EA$484="3rd Poly",CJ489,IF($EA$484="Exp",0))))</f>
        <v>#REF!</v>
      </c>
      <c r="EC492" s="33" t="e">
        <f t="shared" ca="1" si="302"/>
        <v>#REF!</v>
      </c>
      <c r="ED492" s="33" t="e">
        <f t="shared" ca="1" si="302"/>
        <v>#REF!</v>
      </c>
      <c r="EE492" s="33" t="str">
        <f>IF($EA$484="Linear","Low",IF($EA$484="2nd Poly","Low",IF($EA$484="3rd Poly","Low","N/A")))</f>
        <v>Low</v>
      </c>
    </row>
    <row r="493" spans="1:135" ht="13.8" x14ac:dyDescent="0.45">
      <c r="A493" s="956" t="s">
        <v>994</v>
      </c>
      <c r="B493" s="128">
        <v>2019</v>
      </c>
      <c r="C493" s="951"/>
      <c r="D493" s="795"/>
      <c r="E493" s="151"/>
      <c r="F493" s="894"/>
      <c r="G493" s="795"/>
      <c r="H493" s="151"/>
      <c r="I493" s="1110"/>
      <c r="J493" s="1109"/>
      <c r="K493" s="795"/>
      <c r="L493" s="152"/>
      <c r="M493" s="151"/>
      <c r="N493" s="29" t="s">
        <v>119</v>
      </c>
      <c r="O493" s="120"/>
      <c r="P493" s="120"/>
      <c r="Q493" s="120"/>
      <c r="R493" s="29">
        <v>5</v>
      </c>
      <c r="S493" s="238" t="str">
        <f t="shared" si="272"/>
        <v/>
      </c>
      <c r="T493" s="238" t="str">
        <f t="shared" si="273"/>
        <v/>
      </c>
      <c r="U493" s="238" t="str">
        <f t="shared" si="274"/>
        <v/>
      </c>
      <c r="V493" s="20"/>
      <c r="W493" s="238" t="e">
        <f t="shared" si="275"/>
        <v>#N/A</v>
      </c>
      <c r="X493" s="238" t="e">
        <f t="shared" si="276"/>
        <v>#N/A</v>
      </c>
      <c r="Y493" s="238" t="e">
        <f t="shared" si="277"/>
        <v>#N/A</v>
      </c>
      <c r="AA493" s="138"/>
      <c r="AB493" s="138"/>
      <c r="AC493" s="138"/>
      <c r="AD493" s="138"/>
      <c r="AE493" s="138"/>
      <c r="AF493" s="138"/>
      <c r="AG493" s="138"/>
      <c r="AH493" s="138"/>
      <c r="AI493" s="138"/>
      <c r="AJ493" s="138"/>
      <c r="AK493" s="138"/>
      <c r="AL493" s="138"/>
      <c r="AM493" s="138"/>
      <c r="AN493" s="138"/>
      <c r="BR493" s="180">
        <v>2017</v>
      </c>
      <c r="BS493" s="22">
        <v>3</v>
      </c>
      <c r="BT493" s="198" t="e">
        <f t="shared" si="288"/>
        <v>#DIV/0!</v>
      </c>
      <c r="BU493" s="276" t="e">
        <f t="shared" si="289"/>
        <v>#DIV/0!</v>
      </c>
      <c r="BV493" s="241" t="e">
        <f t="shared" si="290"/>
        <v>#DIV/0!</v>
      </c>
      <c r="BY493" s="180">
        <v>2017</v>
      </c>
      <c r="BZ493" s="22">
        <v>3</v>
      </c>
      <c r="CA493" s="198" t="e">
        <f t="shared" ca="1" si="291"/>
        <v>#REF!</v>
      </c>
      <c r="CB493" s="198" t="e">
        <f t="shared" ca="1" si="292"/>
        <v>#REF!</v>
      </c>
      <c r="CC493" s="276" t="e">
        <f t="shared" ca="1" si="303"/>
        <v>#REF!</v>
      </c>
      <c r="CD493" s="241" t="e">
        <f t="shared" ca="1" si="293"/>
        <v>#REF!</v>
      </c>
      <c r="CG493" s="180">
        <v>2017</v>
      </c>
      <c r="CH493" s="22">
        <v>3</v>
      </c>
      <c r="CI493" s="198" t="e">
        <f t="shared" ca="1" si="294"/>
        <v>#REF!</v>
      </c>
      <c r="CJ493" s="198" t="e">
        <f t="shared" ca="1" si="295"/>
        <v>#REF!</v>
      </c>
      <c r="CK493" s="198" t="e">
        <f t="shared" ca="1" si="296"/>
        <v>#REF!</v>
      </c>
      <c r="CL493" s="276" t="e">
        <f t="shared" ca="1" si="297"/>
        <v>#REF!</v>
      </c>
      <c r="CM493" s="241" t="e">
        <f t="shared" ca="1" si="298"/>
        <v>#REF!</v>
      </c>
      <c r="CP493" s="180">
        <v>2017</v>
      </c>
      <c r="CQ493" s="22">
        <v>3</v>
      </c>
      <c r="CR493" s="198" t="e">
        <f t="shared" ca="1" si="299"/>
        <v>#REF!</v>
      </c>
      <c r="CS493" s="276" t="e">
        <f t="shared" ca="1" si="300"/>
        <v>#REF!</v>
      </c>
      <c r="CT493" s="241" t="e">
        <f t="shared" ca="1" si="301"/>
        <v>#REF!</v>
      </c>
      <c r="CZ493" s="164" t="b">
        <f t="shared" si="278"/>
        <v>0</v>
      </c>
      <c r="DA493" s="165" t="b">
        <f t="shared" si="278"/>
        <v>0</v>
      </c>
      <c r="DB493" s="166" t="b">
        <f t="shared" si="278"/>
        <v>0</v>
      </c>
      <c r="DC493" s="164" t="str">
        <f t="shared" si="279"/>
        <v/>
      </c>
      <c r="DD493" s="166" t="str">
        <f t="shared" si="280"/>
        <v/>
      </c>
      <c r="DE493" s="164" t="str">
        <f t="shared" si="281"/>
        <v/>
      </c>
      <c r="DF493" s="166" t="str">
        <f t="shared" si="282"/>
        <v/>
      </c>
      <c r="DG493" s="164" t="str">
        <f t="shared" si="283"/>
        <v/>
      </c>
      <c r="DH493" s="166" t="str">
        <f t="shared" si="284"/>
        <v/>
      </c>
      <c r="DI493" s="164" t="str">
        <f>IFERROR(INDEX(DC$486:DC$534,_xlfn.AGGREGATE(15,6,(ROW(DC$486:DC$534)-ROW(DC$486)+1)/(DC$486:DC$534&lt;&gt;""),ROWS(DI$1:DI8))),"")</f>
        <v/>
      </c>
      <c r="DJ493" s="165" t="str">
        <f>IFERROR(INDEX(DD$486:DD$534,_xlfn.AGGREGATE(15,6,(ROW(DD$486:DD$534)-ROW(DD$486)+1)/(DD$486:DD$534&lt;&gt;""),ROWS(DJ$1:DJ8))),"")</f>
        <v/>
      </c>
      <c r="DK493" s="166" t="str">
        <f t="shared" si="285"/>
        <v/>
      </c>
      <c r="DL493" s="164" t="str">
        <f>IFERROR(INDEX(DE$486:DE$534,_xlfn.AGGREGATE(15,6,(ROW(DE$486:DE$534)-ROW(DE$486)+1)/(DE$486:DE$534&lt;&gt;""),ROWS(DL$1:DL8))),"")</f>
        <v/>
      </c>
      <c r="DM493" s="165" t="str">
        <f>IFERROR(INDEX(DF$486:DF$534,_xlfn.AGGREGATE(15,6,(ROW(DF$486:DF$534)-ROW(DF$486)+1)/(DF$486:DF$534&lt;&gt;""),ROWS(DM$1:DM8))),"")</f>
        <v/>
      </c>
      <c r="DN493" s="166" t="str">
        <f t="shared" si="286"/>
        <v/>
      </c>
      <c r="DO493" s="164" t="str">
        <f>IFERROR(INDEX(DG$486:DG$534,_xlfn.AGGREGATE(15,6,(ROW(DG$486:DG$534)-ROW(DG$486)+1)/(DG$486:DG$534&lt;&gt;""),ROWS(DO$1:DO8))),"")</f>
        <v/>
      </c>
      <c r="DP493" s="165" t="str">
        <f>IFERROR(INDEX(DH$486:DH$534,_xlfn.AGGREGATE(15,6,(ROW(DH$486:DH$534)-ROW(DH$486)+1)/(DH$486:DH$534&lt;&gt;""),ROWS(DP$1:DP8))),"")</f>
        <v/>
      </c>
      <c r="DQ493" s="166" t="str">
        <f t="shared" si="287"/>
        <v/>
      </c>
      <c r="DV493" s="145">
        <v>2022</v>
      </c>
      <c r="DW493" s="235" t="e">
        <f t="shared" ca="1" si="271"/>
        <v>#REF!</v>
      </c>
      <c r="DZ493" s="135"/>
      <c r="EA493" s="33"/>
      <c r="EB493" s="33"/>
      <c r="EC493" s="33"/>
      <c r="ED493" s="33"/>
      <c r="EE493" s="33"/>
    </row>
    <row r="494" spans="1:135" ht="13.8" x14ac:dyDescent="0.45">
      <c r="A494" s="956" t="s">
        <v>90</v>
      </c>
      <c r="B494" s="128">
        <v>2020</v>
      </c>
      <c r="C494" s="951"/>
      <c r="D494" s="795"/>
      <c r="E494" s="169"/>
      <c r="F494" s="931"/>
      <c r="G494" s="917"/>
      <c r="H494" s="169"/>
      <c r="I494" s="931"/>
      <c r="J494" s="917"/>
      <c r="K494" s="917"/>
      <c r="L494" s="170"/>
      <c r="M494" s="169"/>
      <c r="N494" s="29" t="s">
        <v>119</v>
      </c>
      <c r="O494" s="120"/>
      <c r="P494" s="120"/>
      <c r="Q494" s="120"/>
      <c r="R494" s="29">
        <v>6</v>
      </c>
      <c r="S494" s="195" t="str">
        <f t="shared" si="272"/>
        <v/>
      </c>
      <c r="T494" s="195" t="str">
        <f t="shared" si="273"/>
        <v/>
      </c>
      <c r="U494" s="195" t="str">
        <f t="shared" si="274"/>
        <v/>
      </c>
      <c r="V494" s="20"/>
      <c r="W494" s="238" t="e">
        <f t="shared" si="275"/>
        <v>#N/A</v>
      </c>
      <c r="X494" s="238" t="e">
        <f t="shared" si="276"/>
        <v>#N/A</v>
      </c>
      <c r="Y494" s="238" t="e">
        <f t="shared" si="277"/>
        <v>#N/A</v>
      </c>
      <c r="AA494" s="138"/>
      <c r="AB494" s="138"/>
      <c r="AC494" s="138"/>
      <c r="AD494" s="138"/>
      <c r="AE494" s="138"/>
      <c r="AF494" s="138"/>
      <c r="AG494" s="138"/>
      <c r="AH494" s="138"/>
      <c r="AI494" s="138"/>
      <c r="AJ494" s="138"/>
      <c r="AK494" s="138"/>
      <c r="AL494" s="138"/>
      <c r="AM494" s="138"/>
      <c r="AN494" s="138"/>
      <c r="BR494" s="180">
        <v>2018</v>
      </c>
      <c r="BS494" s="22">
        <v>4</v>
      </c>
      <c r="BT494" s="198" t="e">
        <f t="shared" si="288"/>
        <v>#DIV/0!</v>
      </c>
      <c r="BU494" s="276" t="e">
        <f t="shared" si="289"/>
        <v>#DIV/0!</v>
      </c>
      <c r="BV494" s="241" t="e">
        <f t="shared" si="290"/>
        <v>#DIV/0!</v>
      </c>
      <c r="BY494" s="180">
        <v>2018</v>
      </c>
      <c r="BZ494" s="22">
        <v>4</v>
      </c>
      <c r="CA494" s="198" t="e">
        <f t="shared" ca="1" si="291"/>
        <v>#REF!</v>
      </c>
      <c r="CB494" s="198" t="e">
        <f t="shared" ca="1" si="292"/>
        <v>#REF!</v>
      </c>
      <c r="CC494" s="276" t="e">
        <f t="shared" ca="1" si="303"/>
        <v>#REF!</v>
      </c>
      <c r="CD494" s="241" t="e">
        <f t="shared" ca="1" si="293"/>
        <v>#REF!</v>
      </c>
      <c r="CG494" s="180">
        <v>2018</v>
      </c>
      <c r="CH494" s="22">
        <v>4</v>
      </c>
      <c r="CI494" s="198" t="e">
        <f t="shared" ca="1" si="294"/>
        <v>#REF!</v>
      </c>
      <c r="CJ494" s="198" t="e">
        <f t="shared" ca="1" si="295"/>
        <v>#REF!</v>
      </c>
      <c r="CK494" s="198" t="e">
        <f t="shared" ca="1" si="296"/>
        <v>#REF!</v>
      </c>
      <c r="CL494" s="276" t="e">
        <f t="shared" ca="1" si="297"/>
        <v>#REF!</v>
      </c>
      <c r="CM494" s="241" t="e">
        <f t="shared" ca="1" si="298"/>
        <v>#REF!</v>
      </c>
      <c r="CP494" s="180">
        <v>2018</v>
      </c>
      <c r="CQ494" s="22">
        <v>4</v>
      </c>
      <c r="CR494" s="198" t="e">
        <f t="shared" ca="1" si="299"/>
        <v>#REF!</v>
      </c>
      <c r="CS494" s="276" t="e">
        <f t="shared" ca="1" si="300"/>
        <v>#REF!</v>
      </c>
      <c r="CT494" s="241" t="e">
        <f t="shared" ca="1" si="301"/>
        <v>#REF!</v>
      </c>
      <c r="CZ494" s="164" t="b">
        <f t="shared" si="278"/>
        <v>0</v>
      </c>
      <c r="DA494" s="165" t="b">
        <f t="shared" si="278"/>
        <v>0</v>
      </c>
      <c r="DB494" s="166" t="b">
        <f t="shared" si="278"/>
        <v>0</v>
      </c>
      <c r="DC494" s="164" t="str">
        <f t="shared" si="279"/>
        <v/>
      </c>
      <c r="DD494" s="166" t="str">
        <f t="shared" si="280"/>
        <v/>
      </c>
      <c r="DE494" s="164" t="str">
        <f t="shared" si="281"/>
        <v/>
      </c>
      <c r="DF494" s="166" t="str">
        <f t="shared" si="282"/>
        <v/>
      </c>
      <c r="DG494" s="164" t="str">
        <f t="shared" si="283"/>
        <v/>
      </c>
      <c r="DH494" s="166" t="str">
        <f t="shared" si="284"/>
        <v/>
      </c>
      <c r="DI494" s="164" t="str">
        <f>IFERROR(INDEX(DC$486:DC$534,_xlfn.AGGREGATE(15,6,(ROW(DC$486:DC$534)-ROW(DC$486)+1)/(DC$486:DC$534&lt;&gt;""),ROWS(DI$1:DI9))),"")</f>
        <v/>
      </c>
      <c r="DJ494" s="165" t="str">
        <f>IFERROR(INDEX(DD$486:DD$534,_xlfn.AGGREGATE(15,6,(ROW(DD$486:DD$534)-ROW(DD$486)+1)/(DD$486:DD$534&lt;&gt;""),ROWS(DJ$1:DJ9))),"")</f>
        <v/>
      </c>
      <c r="DK494" s="166" t="str">
        <f t="shared" si="285"/>
        <v/>
      </c>
      <c r="DL494" s="164" t="str">
        <f>IFERROR(INDEX(DE$486:DE$534,_xlfn.AGGREGATE(15,6,(ROW(DE$486:DE$534)-ROW(DE$486)+1)/(DE$486:DE$534&lt;&gt;""),ROWS(DL$1:DL9))),"")</f>
        <v/>
      </c>
      <c r="DM494" s="165" t="str">
        <f>IFERROR(INDEX(DF$486:DF$534,_xlfn.AGGREGATE(15,6,(ROW(DF$486:DF$534)-ROW(DF$486)+1)/(DF$486:DF$534&lt;&gt;""),ROWS(DM$1:DM9))),"")</f>
        <v/>
      </c>
      <c r="DN494" s="166" t="str">
        <f t="shared" si="286"/>
        <v/>
      </c>
      <c r="DO494" s="164" t="str">
        <f>IFERROR(INDEX(DG$486:DG$534,_xlfn.AGGREGATE(15,6,(ROW(DG$486:DG$534)-ROW(DG$486)+1)/(DG$486:DG$534&lt;&gt;""),ROWS(DO$1:DO9))),"")</f>
        <v/>
      </c>
      <c r="DP494" s="165" t="str">
        <f>IFERROR(INDEX(DH$486:DH$534,_xlfn.AGGREGATE(15,6,(ROW(DH$486:DH$534)-ROW(DH$486)+1)/(DH$486:DH$534&lt;&gt;""),ROWS(DP$1:DP9))),"")</f>
        <v/>
      </c>
      <c r="DQ494" s="166" t="str">
        <f t="shared" si="287"/>
        <v/>
      </c>
      <c r="DV494" s="145">
        <v>2023</v>
      </c>
      <c r="DW494" s="235" t="e">
        <f t="shared" ca="1" si="271"/>
        <v>#REF!</v>
      </c>
      <c r="DZ494" s="135"/>
      <c r="EA494" s="33" t="s">
        <v>86</v>
      </c>
      <c r="EB494" s="33" t="s">
        <v>87</v>
      </c>
      <c r="EC494" s="33"/>
      <c r="ED494" s="33"/>
      <c r="EE494" s="33"/>
    </row>
    <row r="495" spans="1:135" ht="14.1" thickBot="1" x14ac:dyDescent="0.5">
      <c r="A495" s="148" t="s">
        <v>80</v>
      </c>
      <c r="B495" s="128">
        <v>2021</v>
      </c>
      <c r="C495" s="951"/>
      <c r="D495" s="795"/>
      <c r="E495" s="151"/>
      <c r="F495" s="894"/>
      <c r="G495" s="795"/>
      <c r="H495" s="151"/>
      <c r="I495" s="1110"/>
      <c r="J495" s="1109"/>
      <c r="K495" s="795"/>
      <c r="L495" s="152"/>
      <c r="M495" s="151"/>
      <c r="N495" s="29" t="s">
        <v>119</v>
      </c>
      <c r="O495" s="120"/>
      <c r="P495" s="120"/>
      <c r="Q495" s="120"/>
      <c r="R495" s="29">
        <v>7</v>
      </c>
      <c r="S495" s="196" t="str">
        <f t="shared" si="272"/>
        <v/>
      </c>
      <c r="T495" s="196" t="str">
        <f t="shared" si="273"/>
        <v/>
      </c>
      <c r="U495" s="196" t="str">
        <f t="shared" si="274"/>
        <v/>
      </c>
      <c r="V495" s="20"/>
      <c r="W495" s="238" t="e">
        <f t="shared" si="275"/>
        <v>#N/A</v>
      </c>
      <c r="X495" s="238" t="e">
        <f t="shared" si="276"/>
        <v>#N/A</v>
      </c>
      <c r="Y495" s="238" t="e">
        <f t="shared" si="277"/>
        <v>#N/A</v>
      </c>
      <c r="AA495" s="138"/>
      <c r="AB495" s="138"/>
      <c r="AC495" s="138"/>
      <c r="AD495" s="138"/>
      <c r="AE495" s="138"/>
      <c r="AF495" s="138"/>
      <c r="AG495" s="138"/>
      <c r="AH495" s="138"/>
      <c r="AI495" s="138"/>
      <c r="AJ495" s="138"/>
      <c r="AK495" s="138"/>
      <c r="AL495" s="138"/>
      <c r="AM495" s="138"/>
      <c r="AN495" s="138"/>
      <c r="BR495" s="180">
        <v>2019</v>
      </c>
      <c r="BS495" s="22">
        <v>5</v>
      </c>
      <c r="BT495" s="198" t="e">
        <f t="shared" si="288"/>
        <v>#DIV/0!</v>
      </c>
      <c r="BU495" s="276" t="e">
        <f t="shared" si="289"/>
        <v>#DIV/0!</v>
      </c>
      <c r="BV495" s="283" t="e">
        <f t="shared" si="290"/>
        <v>#DIV/0!</v>
      </c>
      <c r="BY495" s="180">
        <v>2019</v>
      </c>
      <c r="BZ495" s="22">
        <v>5</v>
      </c>
      <c r="CA495" s="198" t="e">
        <f t="shared" ca="1" si="291"/>
        <v>#REF!</v>
      </c>
      <c r="CB495" s="198" t="e">
        <f t="shared" ca="1" si="292"/>
        <v>#REF!</v>
      </c>
      <c r="CC495" s="276" t="e">
        <f t="shared" ca="1" si="303"/>
        <v>#REF!</v>
      </c>
      <c r="CD495" s="283" t="e">
        <f t="shared" ca="1" si="293"/>
        <v>#REF!</v>
      </c>
      <c r="CG495" s="180">
        <v>2019</v>
      </c>
      <c r="CH495" s="22">
        <v>5</v>
      </c>
      <c r="CI495" s="198" t="e">
        <f t="shared" ca="1" si="294"/>
        <v>#REF!</v>
      </c>
      <c r="CJ495" s="198" t="e">
        <f t="shared" ca="1" si="295"/>
        <v>#REF!</v>
      </c>
      <c r="CK495" s="198" t="e">
        <f t="shared" ca="1" si="296"/>
        <v>#REF!</v>
      </c>
      <c r="CL495" s="276" t="e">
        <f t="shared" ca="1" si="297"/>
        <v>#REF!</v>
      </c>
      <c r="CM495" s="283" t="e">
        <f t="shared" ca="1" si="298"/>
        <v>#REF!</v>
      </c>
      <c r="CP495" s="180">
        <v>2019</v>
      </c>
      <c r="CQ495" s="22">
        <v>5</v>
      </c>
      <c r="CR495" s="198" t="e">
        <f t="shared" ca="1" si="299"/>
        <v>#REF!</v>
      </c>
      <c r="CS495" s="276" t="e">
        <f t="shared" ca="1" si="300"/>
        <v>#REF!</v>
      </c>
      <c r="CT495" s="283" t="e">
        <f t="shared" ca="1" si="301"/>
        <v>#REF!</v>
      </c>
      <c r="CZ495" s="164" t="b">
        <f t="shared" si="278"/>
        <v>0</v>
      </c>
      <c r="DA495" s="165" t="b">
        <f t="shared" si="278"/>
        <v>0</v>
      </c>
      <c r="DB495" s="166" t="b">
        <f t="shared" si="278"/>
        <v>0</v>
      </c>
      <c r="DC495" s="164" t="str">
        <f t="shared" si="279"/>
        <v/>
      </c>
      <c r="DD495" s="166" t="str">
        <f t="shared" si="280"/>
        <v/>
      </c>
      <c r="DE495" s="164" t="str">
        <f t="shared" si="281"/>
        <v/>
      </c>
      <c r="DF495" s="166" t="str">
        <f t="shared" si="282"/>
        <v/>
      </c>
      <c r="DG495" s="164" t="str">
        <f t="shared" si="283"/>
        <v/>
      </c>
      <c r="DH495" s="166" t="str">
        <f t="shared" si="284"/>
        <v/>
      </c>
      <c r="DI495" s="164" t="str">
        <f>IFERROR(INDEX(DC$486:DC$534,_xlfn.AGGREGATE(15,6,(ROW(DC$486:DC$534)-ROW(DC$486)+1)/(DC$486:DC$534&lt;&gt;""),ROWS(DI$1:DI10))),"")</f>
        <v/>
      </c>
      <c r="DJ495" s="165" t="str">
        <f>IFERROR(INDEX(DD$486:DD$534,_xlfn.AGGREGATE(15,6,(ROW(DD$486:DD$534)-ROW(DD$486)+1)/(DD$486:DD$534&lt;&gt;""),ROWS(DJ$1:DJ10))),"")</f>
        <v/>
      </c>
      <c r="DK495" s="166" t="str">
        <f t="shared" si="285"/>
        <v/>
      </c>
      <c r="DL495" s="164" t="str">
        <f>IFERROR(INDEX(DE$486:DE$534,_xlfn.AGGREGATE(15,6,(ROW(DE$486:DE$534)-ROW(DE$486)+1)/(DE$486:DE$534&lt;&gt;""),ROWS(DL$1:DL10))),"")</f>
        <v/>
      </c>
      <c r="DM495" s="165" t="str">
        <f>IFERROR(INDEX(DF$486:DF$534,_xlfn.AGGREGATE(15,6,(ROW(DF$486:DF$534)-ROW(DF$486)+1)/(DF$486:DF$534&lt;&gt;""),ROWS(DM$1:DM10))),"")</f>
        <v/>
      </c>
      <c r="DN495" s="166" t="str">
        <f t="shared" si="286"/>
        <v/>
      </c>
      <c r="DO495" s="164" t="str">
        <f>IFERROR(INDEX(DG$486:DG$534,_xlfn.AGGREGATE(15,6,(ROW(DG$486:DG$534)-ROW(DG$486)+1)/(DG$486:DG$534&lt;&gt;""),ROWS(DO$1:DO10))),"")</f>
        <v/>
      </c>
      <c r="DP495" s="165" t="str">
        <f>IFERROR(INDEX(DH$486:DH$534,_xlfn.AGGREGATE(15,6,(ROW(DH$486:DH$534)-ROW(DH$486)+1)/(DH$486:DH$534&lt;&gt;""),ROWS(DP$1:DP10))),"")</f>
        <v/>
      </c>
      <c r="DQ495" s="166" t="str">
        <f t="shared" si="287"/>
        <v/>
      </c>
      <c r="DV495" s="145">
        <v>2024</v>
      </c>
      <c r="DW495" s="235" t="e">
        <f t="shared" ca="1" si="271"/>
        <v>#REF!</v>
      </c>
      <c r="DZ495" s="135" t="s">
        <v>92</v>
      </c>
      <c r="EA495" s="33">
        <f t="shared" ref="EA495:EB497" si="304">IF($EA$484="Linear",0,IF($EA$484="2nd Poly",0,IF($EA$484="3rd Poly",0,IF($EA$484="Exp",CR487))))</f>
        <v>0</v>
      </c>
      <c r="EB495" s="33">
        <f t="shared" si="304"/>
        <v>0</v>
      </c>
      <c r="EC495" s="33" t="str">
        <f>IF($EA$484="Linear","N/A",IF($EA$484="2nd Poly","N/A",IF($EA$484="3rd Poly","N/A","High")))</f>
        <v>N/A</v>
      </c>
      <c r="ED495" s="33"/>
      <c r="EE495" s="33"/>
    </row>
    <row r="496" spans="1:135" ht="13.8" x14ac:dyDescent="0.45">
      <c r="A496" s="148" t="s">
        <v>88</v>
      </c>
      <c r="B496" s="128">
        <v>2022</v>
      </c>
      <c r="C496" s="951"/>
      <c r="D496" s="795"/>
      <c r="E496" s="200"/>
      <c r="F496" s="950"/>
      <c r="G496" s="918"/>
      <c r="H496" s="200"/>
      <c r="I496" s="1111"/>
      <c r="J496" s="1026"/>
      <c r="K496" s="918"/>
      <c r="L496" s="201"/>
      <c r="M496" s="200"/>
      <c r="N496" s="29" t="s">
        <v>119</v>
      </c>
      <c r="O496" s="120"/>
      <c r="P496" s="120"/>
      <c r="Q496" s="120"/>
      <c r="R496" s="29">
        <v>8</v>
      </c>
      <c r="S496" s="202" t="str">
        <f t="shared" si="272"/>
        <v/>
      </c>
      <c r="T496" s="202" t="str">
        <f t="shared" si="273"/>
        <v/>
      </c>
      <c r="U496" s="202" t="str">
        <f t="shared" si="274"/>
        <v/>
      </c>
      <c r="V496" s="20"/>
      <c r="W496" s="238" t="e">
        <f t="shared" si="275"/>
        <v>#N/A</v>
      </c>
      <c r="X496" s="238" t="e">
        <f t="shared" si="276"/>
        <v>#N/A</v>
      </c>
      <c r="Y496" s="238" t="e">
        <f t="shared" si="277"/>
        <v>#N/A</v>
      </c>
      <c r="AA496" s="120"/>
      <c r="AB496" s="120"/>
      <c r="AC496" s="120"/>
      <c r="AD496" s="120"/>
      <c r="AE496" s="120"/>
      <c r="AF496" s="120"/>
      <c r="AG496" s="120"/>
      <c r="AH496" s="120"/>
      <c r="AI496" s="120"/>
      <c r="AJ496" s="120"/>
      <c r="AK496" s="120"/>
      <c r="AL496" s="120"/>
      <c r="AM496" s="120"/>
      <c r="AN496" s="120"/>
      <c r="BR496" s="180">
        <v>2020</v>
      </c>
      <c r="BS496" s="22">
        <v>6</v>
      </c>
      <c r="BT496" s="198" t="e">
        <f t="shared" si="288"/>
        <v>#DIV/0!</v>
      </c>
      <c r="BU496" s="276" t="e">
        <f t="shared" si="289"/>
        <v>#DIV/0!</v>
      </c>
      <c r="BV496" s="203" t="e">
        <f t="shared" si="290"/>
        <v>#DIV/0!</v>
      </c>
      <c r="BY496" s="180">
        <v>2020</v>
      </c>
      <c r="BZ496" s="22">
        <v>6</v>
      </c>
      <c r="CA496" s="198" t="e">
        <f t="shared" ca="1" si="291"/>
        <v>#REF!</v>
      </c>
      <c r="CB496" s="198" t="e">
        <f t="shared" ca="1" si="292"/>
        <v>#REF!</v>
      </c>
      <c r="CC496" s="276" t="e">
        <f t="shared" ca="1" si="303"/>
        <v>#REF!</v>
      </c>
      <c r="CD496" s="203" t="e">
        <f t="shared" ca="1" si="293"/>
        <v>#REF!</v>
      </c>
      <c r="CG496" s="180">
        <v>2020</v>
      </c>
      <c r="CH496" s="22">
        <v>6</v>
      </c>
      <c r="CI496" s="198" t="e">
        <f t="shared" ca="1" si="294"/>
        <v>#REF!</v>
      </c>
      <c r="CJ496" s="198" t="e">
        <f t="shared" ca="1" si="295"/>
        <v>#REF!</v>
      </c>
      <c r="CK496" s="198" t="e">
        <f t="shared" ca="1" si="296"/>
        <v>#REF!</v>
      </c>
      <c r="CL496" s="276" t="e">
        <f t="shared" ca="1" si="297"/>
        <v>#REF!</v>
      </c>
      <c r="CM496" s="203" t="e">
        <f t="shared" ca="1" si="298"/>
        <v>#REF!</v>
      </c>
      <c r="CP496" s="180">
        <v>2020</v>
      </c>
      <c r="CQ496" s="22">
        <v>6</v>
      </c>
      <c r="CR496" s="198" t="e">
        <f t="shared" ca="1" si="299"/>
        <v>#REF!</v>
      </c>
      <c r="CS496" s="276" t="e">
        <f t="shared" ca="1" si="300"/>
        <v>#REF!</v>
      </c>
      <c r="CT496" s="203" t="e">
        <f t="shared" ca="1" si="301"/>
        <v>#REF!</v>
      </c>
      <c r="CZ496" s="164" t="b">
        <f t="shared" si="278"/>
        <v>0</v>
      </c>
      <c r="DA496" s="165" t="b">
        <f t="shared" si="278"/>
        <v>0</v>
      </c>
      <c r="DB496" s="166" t="b">
        <f t="shared" si="278"/>
        <v>0</v>
      </c>
      <c r="DC496" s="164" t="str">
        <f t="shared" si="279"/>
        <v/>
      </c>
      <c r="DD496" s="166" t="str">
        <f t="shared" si="280"/>
        <v/>
      </c>
      <c r="DE496" s="164" t="str">
        <f t="shared" si="281"/>
        <v/>
      </c>
      <c r="DF496" s="166" t="str">
        <f t="shared" si="282"/>
        <v/>
      </c>
      <c r="DG496" s="164" t="str">
        <f t="shared" si="283"/>
        <v/>
      </c>
      <c r="DH496" s="166" t="str">
        <f t="shared" si="284"/>
        <v/>
      </c>
      <c r="DI496" s="164" t="str">
        <f>IFERROR(INDEX(DC$486:DC$534,_xlfn.AGGREGATE(15,6,(ROW(DC$486:DC$534)-ROW(DC$486)+1)/(DC$486:DC$534&lt;&gt;""),ROWS(DI$1:DI11))),"")</f>
        <v/>
      </c>
      <c r="DJ496" s="165" t="str">
        <f>IFERROR(INDEX(DD$486:DD$534,_xlfn.AGGREGATE(15,6,(ROW(DD$486:DD$534)-ROW(DD$486)+1)/(DD$486:DD$534&lt;&gt;""),ROWS(DJ$1:DJ11))),"")</f>
        <v/>
      </c>
      <c r="DK496" s="166" t="str">
        <f t="shared" si="285"/>
        <v/>
      </c>
      <c r="DL496" s="164" t="str">
        <f>IFERROR(INDEX(DE$486:DE$534,_xlfn.AGGREGATE(15,6,(ROW(DE$486:DE$534)-ROW(DE$486)+1)/(DE$486:DE$534&lt;&gt;""),ROWS(DL$1:DL11))),"")</f>
        <v/>
      </c>
      <c r="DM496" s="165" t="str">
        <f>IFERROR(INDEX(DF$486:DF$534,_xlfn.AGGREGATE(15,6,(ROW(DF$486:DF$534)-ROW(DF$486)+1)/(DF$486:DF$534&lt;&gt;""),ROWS(DM$1:DM11))),"")</f>
        <v/>
      </c>
      <c r="DN496" s="166" t="str">
        <f t="shared" si="286"/>
        <v/>
      </c>
      <c r="DO496" s="164" t="str">
        <f>IFERROR(INDEX(DG$486:DG$534,_xlfn.AGGREGATE(15,6,(ROW(DG$486:DG$534)-ROW(DG$486)+1)/(DG$486:DG$534&lt;&gt;""),ROWS(DO$1:DO11))),"")</f>
        <v/>
      </c>
      <c r="DP496" s="165" t="str">
        <f>IFERROR(INDEX(DH$486:DH$534,_xlfn.AGGREGATE(15,6,(ROW(DH$486:DH$534)-ROW(DH$486)+1)/(DH$486:DH$534&lt;&gt;""),ROWS(DP$1:DP11))),"")</f>
        <v/>
      </c>
      <c r="DQ496" s="166" t="str">
        <f t="shared" si="287"/>
        <v/>
      </c>
      <c r="DR496" s="65"/>
      <c r="DV496" s="145">
        <v>2025</v>
      </c>
      <c r="DW496" s="235" t="e">
        <f t="shared" ca="1" si="271"/>
        <v>#REF!</v>
      </c>
      <c r="DZ496" s="135" t="s">
        <v>92</v>
      </c>
      <c r="EA496" s="33">
        <f t="shared" si="304"/>
        <v>0</v>
      </c>
      <c r="EB496" s="33">
        <f t="shared" si="304"/>
        <v>0</v>
      </c>
      <c r="EC496" s="33" t="str">
        <f>IF($EA$484="Linear","N/A",IF($EA$484="2nd Poly","N/A",IF($EA$484="3rd Poly","N/A","Medium")))</f>
        <v>N/A</v>
      </c>
    </row>
    <row r="497" spans="1:135" ht="13.8" x14ac:dyDescent="0.45">
      <c r="B497" s="128">
        <v>2023</v>
      </c>
      <c r="C497" s="951"/>
      <c r="D497" s="795"/>
      <c r="E497" s="245"/>
      <c r="F497" s="950"/>
      <c r="G497" s="918"/>
      <c r="H497" s="200"/>
      <c r="I497" s="1111"/>
      <c r="J497" s="1026"/>
      <c r="K497" s="918"/>
      <c r="L497" s="201"/>
      <c r="M497" s="200"/>
      <c r="N497" s="29" t="s">
        <v>119</v>
      </c>
      <c r="O497" s="120"/>
      <c r="P497" s="120"/>
      <c r="Q497" s="120"/>
      <c r="R497" s="29">
        <v>9</v>
      </c>
      <c r="S497" s="202" t="str">
        <f t="shared" si="272"/>
        <v/>
      </c>
      <c r="T497" s="202" t="str">
        <f t="shared" si="273"/>
        <v/>
      </c>
      <c r="U497" s="202" t="str">
        <f t="shared" si="274"/>
        <v/>
      </c>
      <c r="V497" s="20"/>
      <c r="W497" s="288" t="e">
        <f t="shared" si="275"/>
        <v>#N/A</v>
      </c>
      <c r="X497" s="288" t="e">
        <f t="shared" si="276"/>
        <v>#N/A</v>
      </c>
      <c r="Y497" s="288" t="e">
        <f t="shared" si="277"/>
        <v>#N/A</v>
      </c>
      <c r="AA497" s="120"/>
      <c r="AB497" s="120"/>
      <c r="AC497" s="120"/>
      <c r="AD497" s="120"/>
      <c r="AE497" s="120"/>
      <c r="AF497" s="120"/>
      <c r="AG497" s="120"/>
      <c r="AH497" s="120"/>
      <c r="AI497" s="120"/>
      <c r="AJ497" s="120"/>
      <c r="AK497" s="120"/>
      <c r="AL497" s="120"/>
      <c r="AM497" s="120"/>
      <c r="AN497" s="120"/>
      <c r="BR497" s="180">
        <v>2021</v>
      </c>
      <c r="BS497" s="22">
        <v>7</v>
      </c>
      <c r="BT497" s="289" t="e">
        <f t="shared" si="288"/>
        <v>#DIV/0!</v>
      </c>
      <c r="BU497" s="290" t="e">
        <f t="shared" si="289"/>
        <v>#DIV/0!</v>
      </c>
      <c r="BV497" s="205" t="e">
        <f t="shared" si="290"/>
        <v>#DIV/0!</v>
      </c>
      <c r="BY497" s="180">
        <v>2021</v>
      </c>
      <c r="BZ497" s="22">
        <v>7</v>
      </c>
      <c r="CA497" s="289" t="e">
        <f t="shared" ca="1" si="291"/>
        <v>#REF!</v>
      </c>
      <c r="CB497" s="289" t="e">
        <f t="shared" ca="1" si="292"/>
        <v>#REF!</v>
      </c>
      <c r="CC497" s="290" t="e">
        <f t="shared" ca="1" si="303"/>
        <v>#REF!</v>
      </c>
      <c r="CD497" s="205" t="e">
        <f t="shared" ca="1" si="293"/>
        <v>#REF!</v>
      </c>
      <c r="CG497" s="180">
        <v>2021</v>
      </c>
      <c r="CH497" s="22">
        <v>7</v>
      </c>
      <c r="CI497" s="289" t="e">
        <f t="shared" ca="1" si="294"/>
        <v>#REF!</v>
      </c>
      <c r="CJ497" s="289" t="e">
        <f t="shared" ca="1" si="295"/>
        <v>#REF!</v>
      </c>
      <c r="CK497" s="289" t="e">
        <f t="shared" ca="1" si="296"/>
        <v>#REF!</v>
      </c>
      <c r="CL497" s="290" t="e">
        <f t="shared" ca="1" si="297"/>
        <v>#REF!</v>
      </c>
      <c r="CM497" s="205" t="e">
        <f t="shared" ca="1" si="298"/>
        <v>#REF!</v>
      </c>
      <c r="CP497" s="180">
        <v>2021</v>
      </c>
      <c r="CQ497" s="22">
        <v>7</v>
      </c>
      <c r="CR497" s="289" t="e">
        <f t="shared" ca="1" si="299"/>
        <v>#REF!</v>
      </c>
      <c r="CS497" s="290" t="e">
        <f t="shared" ca="1" si="300"/>
        <v>#REF!</v>
      </c>
      <c r="CT497" s="205" t="e">
        <f t="shared" ca="1" si="301"/>
        <v>#REF!</v>
      </c>
      <c r="CZ497" s="164" t="b">
        <f t="shared" si="278"/>
        <v>0</v>
      </c>
      <c r="DA497" s="165" t="b">
        <f t="shared" si="278"/>
        <v>0</v>
      </c>
      <c r="DB497" s="166" t="b">
        <f t="shared" si="278"/>
        <v>0</v>
      </c>
      <c r="DC497" s="164" t="str">
        <f t="shared" si="279"/>
        <v/>
      </c>
      <c r="DD497" s="166" t="str">
        <f t="shared" si="280"/>
        <v/>
      </c>
      <c r="DE497" s="164" t="str">
        <f t="shared" si="281"/>
        <v/>
      </c>
      <c r="DF497" s="166" t="str">
        <f t="shared" si="282"/>
        <v/>
      </c>
      <c r="DG497" s="164" t="str">
        <f t="shared" si="283"/>
        <v/>
      </c>
      <c r="DH497" s="166" t="str">
        <f t="shared" si="284"/>
        <v/>
      </c>
      <c r="DI497" s="164" t="str">
        <f>IFERROR(INDEX(DC$486:DC$534,_xlfn.AGGREGATE(15,6,(ROW(DC$486:DC$534)-ROW(DC$486)+1)/(DC$486:DC$534&lt;&gt;""),ROWS(DI$1:DI12))),"")</f>
        <v/>
      </c>
      <c r="DJ497" s="165" t="str">
        <f>IFERROR(INDEX(DD$486:DD$534,_xlfn.AGGREGATE(15,6,(ROW(DD$486:DD$534)-ROW(DD$486)+1)/(DD$486:DD$534&lt;&gt;""),ROWS(DJ$1:DJ12))),"")</f>
        <v/>
      </c>
      <c r="DK497" s="166" t="str">
        <f t="shared" si="285"/>
        <v/>
      </c>
      <c r="DL497" s="164" t="str">
        <f>IFERROR(INDEX(DE$486:DE$534,_xlfn.AGGREGATE(15,6,(ROW(DE$486:DE$534)-ROW(DE$486)+1)/(DE$486:DE$534&lt;&gt;""),ROWS(DL$1:DL12))),"")</f>
        <v/>
      </c>
      <c r="DM497" s="165" t="str">
        <f>IFERROR(INDEX(DF$486:DF$534,_xlfn.AGGREGATE(15,6,(ROW(DF$486:DF$534)-ROW(DF$486)+1)/(DF$486:DF$534&lt;&gt;""),ROWS(DM$1:DM12))),"")</f>
        <v/>
      </c>
      <c r="DN497" s="166" t="str">
        <f t="shared" si="286"/>
        <v/>
      </c>
      <c r="DO497" s="164" t="str">
        <f>IFERROR(INDEX(DG$486:DG$534,_xlfn.AGGREGATE(15,6,(ROW(DG$486:DG$534)-ROW(DG$486)+1)/(DG$486:DG$534&lt;&gt;""),ROWS(DO$1:DO12))),"")</f>
        <v/>
      </c>
      <c r="DP497" s="165" t="str">
        <f>IFERROR(INDEX(DH$486:DH$534,_xlfn.AGGREGATE(15,6,(ROW(DH$486:DH$534)-ROW(DH$486)+1)/(DH$486:DH$534&lt;&gt;""),ROWS(DP$1:DP12))),"")</f>
        <v/>
      </c>
      <c r="DQ497" s="166" t="str">
        <f t="shared" si="287"/>
        <v/>
      </c>
      <c r="DR497" s="65"/>
      <c r="DV497" s="145">
        <v>2026</v>
      </c>
      <c r="DW497" s="235" t="e">
        <f t="shared" ca="1" si="271"/>
        <v>#REF!</v>
      </c>
      <c r="DZ497" s="135" t="s">
        <v>92</v>
      </c>
      <c r="EA497" s="33">
        <f t="shared" si="304"/>
        <v>0</v>
      </c>
      <c r="EB497" s="33">
        <f t="shared" si="304"/>
        <v>0</v>
      </c>
      <c r="EC497" s="33" t="str">
        <f>IF($EA$484="Linear","N/A",IF($EA$484="2nd Poly","N/A",IF($EA$484="3rd Poly","N/A","Low")))</f>
        <v>N/A</v>
      </c>
    </row>
    <row r="498" spans="1:135" ht="13.8" x14ac:dyDescent="0.45">
      <c r="B498" s="128">
        <v>2024</v>
      </c>
      <c r="C498" s="951"/>
      <c r="D498" s="795"/>
      <c r="E498" s="292"/>
      <c r="F498" s="914"/>
      <c r="G498" s="919"/>
      <c r="H498" s="292"/>
      <c r="I498" s="1112"/>
      <c r="J498" s="1150"/>
      <c r="K498" s="919"/>
      <c r="L498" s="293"/>
      <c r="M498" s="292"/>
      <c r="N498" s="29" t="s">
        <v>119</v>
      </c>
      <c r="O498" s="120"/>
      <c r="P498" s="120"/>
      <c r="Q498" s="120"/>
      <c r="R498" s="29">
        <v>10</v>
      </c>
      <c r="S498" s="288" t="str">
        <f t="shared" si="272"/>
        <v/>
      </c>
      <c r="T498" s="288" t="str">
        <f t="shared" si="273"/>
        <v/>
      </c>
      <c r="U498" s="288" t="str">
        <f t="shared" si="274"/>
        <v/>
      </c>
      <c r="V498" s="20"/>
      <c r="W498" s="288" t="e">
        <f t="shared" si="275"/>
        <v>#N/A</v>
      </c>
      <c r="X498" s="288" t="e">
        <f t="shared" si="276"/>
        <v>#N/A</v>
      </c>
      <c r="Y498" s="288" t="e">
        <f t="shared" si="277"/>
        <v>#N/A</v>
      </c>
      <c r="AA498" s="120"/>
      <c r="AB498" s="120"/>
      <c r="AC498" s="120"/>
      <c r="AD498" s="120"/>
      <c r="AE498" s="120"/>
      <c r="AF498" s="120"/>
      <c r="AG498" s="120"/>
      <c r="AH498" s="120"/>
      <c r="AI498" s="120"/>
      <c r="AJ498" s="120"/>
      <c r="AK498" s="120"/>
      <c r="AL498" s="120"/>
      <c r="AM498" s="120"/>
      <c r="AN498" s="120"/>
      <c r="BR498" s="180">
        <v>2022</v>
      </c>
      <c r="BS498" s="22">
        <v>8</v>
      </c>
      <c r="BT498" s="289" t="e">
        <f t="shared" si="288"/>
        <v>#DIV/0!</v>
      </c>
      <c r="BU498" s="290" t="e">
        <f t="shared" si="289"/>
        <v>#DIV/0!</v>
      </c>
      <c r="BV498" s="205" t="e">
        <f t="shared" si="290"/>
        <v>#DIV/0!</v>
      </c>
      <c r="BY498" s="180">
        <v>2022</v>
      </c>
      <c r="BZ498" s="22">
        <v>8</v>
      </c>
      <c r="CA498" s="289" t="e">
        <f t="shared" ca="1" si="291"/>
        <v>#REF!</v>
      </c>
      <c r="CB498" s="289" t="e">
        <f t="shared" ca="1" si="292"/>
        <v>#REF!</v>
      </c>
      <c r="CC498" s="290" t="e">
        <f t="shared" ca="1" si="303"/>
        <v>#REF!</v>
      </c>
      <c r="CD498" s="205" t="e">
        <f t="shared" ca="1" si="293"/>
        <v>#REF!</v>
      </c>
      <c r="CG498" s="180">
        <v>2022</v>
      </c>
      <c r="CH498" s="22">
        <v>8</v>
      </c>
      <c r="CI498" s="289" t="e">
        <f t="shared" ca="1" si="294"/>
        <v>#REF!</v>
      </c>
      <c r="CJ498" s="289" t="e">
        <f t="shared" ca="1" si="295"/>
        <v>#REF!</v>
      </c>
      <c r="CK498" s="289" t="e">
        <f t="shared" ca="1" si="296"/>
        <v>#REF!</v>
      </c>
      <c r="CL498" s="290" t="e">
        <f t="shared" ca="1" si="297"/>
        <v>#REF!</v>
      </c>
      <c r="CM498" s="205" t="e">
        <f t="shared" ca="1" si="298"/>
        <v>#REF!</v>
      </c>
      <c r="CP498" s="180">
        <v>2022</v>
      </c>
      <c r="CQ498" s="22">
        <v>8</v>
      </c>
      <c r="CR498" s="289" t="e">
        <f t="shared" ca="1" si="299"/>
        <v>#REF!</v>
      </c>
      <c r="CS498" s="290" t="e">
        <f t="shared" ca="1" si="300"/>
        <v>#REF!</v>
      </c>
      <c r="CT498" s="205" t="e">
        <f t="shared" ca="1" si="301"/>
        <v>#REF!</v>
      </c>
      <c r="CZ498" s="164" t="b">
        <f t="shared" si="278"/>
        <v>0</v>
      </c>
      <c r="DA498" s="165" t="b">
        <f t="shared" si="278"/>
        <v>0</v>
      </c>
      <c r="DB498" s="166" t="b">
        <f t="shared" si="278"/>
        <v>0</v>
      </c>
      <c r="DC498" s="164" t="str">
        <f t="shared" si="279"/>
        <v/>
      </c>
      <c r="DD498" s="166" t="str">
        <f t="shared" si="280"/>
        <v/>
      </c>
      <c r="DE498" s="164" t="str">
        <f t="shared" si="281"/>
        <v/>
      </c>
      <c r="DF498" s="166" t="str">
        <f t="shared" si="282"/>
        <v/>
      </c>
      <c r="DG498" s="164" t="str">
        <f t="shared" si="283"/>
        <v/>
      </c>
      <c r="DH498" s="166" t="str">
        <f t="shared" si="284"/>
        <v/>
      </c>
      <c r="DI498" s="164" t="str">
        <f>IFERROR(INDEX(DC$486:DC$534,_xlfn.AGGREGATE(15,6,(ROW(DC$486:DC$534)-ROW(DC$486)+1)/(DC$486:DC$534&lt;&gt;""),ROWS(DI$1:DI13))),"")</f>
        <v/>
      </c>
      <c r="DJ498" s="165" t="str">
        <f>IFERROR(INDEX(DD$486:DD$534,_xlfn.AGGREGATE(15,6,(ROW(DD$486:DD$534)-ROW(DD$486)+1)/(DD$486:DD$534&lt;&gt;""),ROWS(DJ$1:DJ13))),"")</f>
        <v/>
      </c>
      <c r="DK498" s="166" t="str">
        <f t="shared" si="285"/>
        <v/>
      </c>
      <c r="DL498" s="164" t="str">
        <f>IFERROR(INDEX(DE$486:DE$534,_xlfn.AGGREGATE(15,6,(ROW(DE$486:DE$534)-ROW(DE$486)+1)/(DE$486:DE$534&lt;&gt;""),ROWS(DL$1:DL13))),"")</f>
        <v/>
      </c>
      <c r="DM498" s="165" t="str">
        <f>IFERROR(INDEX(DF$486:DF$534,_xlfn.AGGREGATE(15,6,(ROW(DF$486:DF$534)-ROW(DF$486)+1)/(DF$486:DF$534&lt;&gt;""),ROWS(DM$1:DM13))),"")</f>
        <v/>
      </c>
      <c r="DN498" s="166" t="str">
        <f t="shared" si="286"/>
        <v/>
      </c>
      <c r="DO498" s="164" t="str">
        <f>IFERROR(INDEX(DG$486:DG$534,_xlfn.AGGREGATE(15,6,(ROW(DG$486:DG$534)-ROW(DG$486)+1)/(DG$486:DG$534&lt;&gt;""),ROWS(DO$1:DO13))),"")</f>
        <v/>
      </c>
      <c r="DP498" s="165" t="str">
        <f>IFERROR(INDEX(DH$486:DH$534,_xlfn.AGGREGATE(15,6,(ROW(DH$486:DH$534)-ROW(DH$486)+1)/(DH$486:DH$534&lt;&gt;""),ROWS(DP$1:DP13))),"")</f>
        <v/>
      </c>
      <c r="DQ498" s="166" t="str">
        <f t="shared" si="287"/>
        <v/>
      </c>
      <c r="DR498" s="65"/>
      <c r="DV498" s="145">
        <v>2027</v>
      </c>
      <c r="DW498" s="235" t="e">
        <f t="shared" ca="1" si="271"/>
        <v>#REF!</v>
      </c>
    </row>
    <row r="499" spans="1:135" ht="13.8" x14ac:dyDescent="0.45">
      <c r="B499" s="128">
        <v>2025</v>
      </c>
      <c r="C499" s="951"/>
      <c r="D499" s="795"/>
      <c r="E499" s="292"/>
      <c r="F499" s="914"/>
      <c r="G499" s="919"/>
      <c r="H499" s="292"/>
      <c r="I499" s="1112"/>
      <c r="J499" s="1150"/>
      <c r="K499" s="919"/>
      <c r="L499" s="293"/>
      <c r="M499" s="292"/>
      <c r="N499" s="29" t="s">
        <v>119</v>
      </c>
      <c r="O499" s="120"/>
      <c r="P499" s="120"/>
      <c r="Q499" s="120"/>
      <c r="R499" s="29">
        <v>11</v>
      </c>
      <c r="S499" s="288" t="str">
        <f t="shared" si="272"/>
        <v/>
      </c>
      <c r="T499" s="288" t="str">
        <f t="shared" si="273"/>
        <v/>
      </c>
      <c r="U499" s="288" t="str">
        <f t="shared" si="274"/>
        <v/>
      </c>
      <c r="W499" s="288" t="e">
        <f t="shared" si="275"/>
        <v>#N/A</v>
      </c>
      <c r="X499" s="288" t="e">
        <f t="shared" si="276"/>
        <v>#N/A</v>
      </c>
      <c r="Y499" s="288" t="e">
        <f t="shared" si="277"/>
        <v>#N/A</v>
      </c>
      <c r="AA499" s="120"/>
      <c r="AB499" s="120"/>
      <c r="AC499" s="120"/>
      <c r="AD499" s="120"/>
      <c r="AE499" s="120"/>
      <c r="AF499" s="120"/>
      <c r="AG499" s="120"/>
      <c r="AH499" s="120"/>
      <c r="AI499" s="120"/>
      <c r="AJ499" s="120"/>
      <c r="AK499" s="120"/>
      <c r="AL499" s="120"/>
      <c r="AM499" s="120"/>
      <c r="AN499" s="120"/>
      <c r="BR499" s="180">
        <v>2023</v>
      </c>
      <c r="BS499" s="22">
        <v>9</v>
      </c>
      <c r="BT499" s="289" t="e">
        <f t="shared" si="288"/>
        <v>#DIV/0!</v>
      </c>
      <c r="BU499" s="290" t="e">
        <f t="shared" si="289"/>
        <v>#DIV/0!</v>
      </c>
      <c r="BV499" s="205" t="e">
        <f t="shared" si="290"/>
        <v>#DIV/0!</v>
      </c>
      <c r="BY499" s="180">
        <v>2023</v>
      </c>
      <c r="BZ499" s="22">
        <v>9</v>
      </c>
      <c r="CA499" s="289" t="e">
        <f t="shared" ca="1" si="291"/>
        <v>#REF!</v>
      </c>
      <c r="CB499" s="289" t="e">
        <f t="shared" ca="1" si="292"/>
        <v>#REF!</v>
      </c>
      <c r="CC499" s="290" t="e">
        <f t="shared" ca="1" si="303"/>
        <v>#REF!</v>
      </c>
      <c r="CD499" s="205" t="e">
        <f t="shared" ca="1" si="293"/>
        <v>#REF!</v>
      </c>
      <c r="CG499" s="180">
        <v>2023</v>
      </c>
      <c r="CH499" s="22">
        <v>9</v>
      </c>
      <c r="CI499" s="289" t="e">
        <f t="shared" ca="1" si="294"/>
        <v>#REF!</v>
      </c>
      <c r="CJ499" s="289" t="e">
        <f t="shared" ca="1" si="295"/>
        <v>#REF!</v>
      </c>
      <c r="CK499" s="289" t="e">
        <f t="shared" ca="1" si="296"/>
        <v>#REF!</v>
      </c>
      <c r="CL499" s="290" t="e">
        <f t="shared" ca="1" si="297"/>
        <v>#REF!</v>
      </c>
      <c r="CM499" s="205" t="e">
        <f t="shared" ca="1" si="298"/>
        <v>#REF!</v>
      </c>
      <c r="CP499" s="180">
        <v>2023</v>
      </c>
      <c r="CQ499" s="22">
        <v>9</v>
      </c>
      <c r="CR499" s="289" t="e">
        <f t="shared" ca="1" si="299"/>
        <v>#REF!</v>
      </c>
      <c r="CS499" s="290" t="e">
        <f t="shared" ca="1" si="300"/>
        <v>#REF!</v>
      </c>
      <c r="CT499" s="205" t="e">
        <f t="shared" ca="1" si="301"/>
        <v>#REF!</v>
      </c>
      <c r="CZ499" s="164" t="b">
        <f t="shared" si="278"/>
        <v>0</v>
      </c>
      <c r="DA499" s="165" t="b">
        <f t="shared" si="278"/>
        <v>0</v>
      </c>
      <c r="DB499" s="166" t="b">
        <f t="shared" si="278"/>
        <v>0</v>
      </c>
      <c r="DC499" s="164" t="str">
        <f t="shared" si="279"/>
        <v/>
      </c>
      <c r="DD499" s="166" t="str">
        <f t="shared" si="280"/>
        <v/>
      </c>
      <c r="DE499" s="164" t="str">
        <f t="shared" si="281"/>
        <v/>
      </c>
      <c r="DF499" s="166" t="str">
        <f t="shared" si="282"/>
        <v/>
      </c>
      <c r="DG499" s="164" t="str">
        <f t="shared" si="283"/>
        <v/>
      </c>
      <c r="DH499" s="166" t="str">
        <f t="shared" si="284"/>
        <v/>
      </c>
      <c r="DI499" s="164" t="str">
        <f>IFERROR(INDEX(DC$486:DC$534,_xlfn.AGGREGATE(15,6,(ROW(DC$486:DC$534)-ROW(DC$486)+1)/(DC$486:DC$534&lt;&gt;""),ROWS(DI$1:DI14))),"")</f>
        <v/>
      </c>
      <c r="DJ499" s="165" t="str">
        <f>IFERROR(INDEX(DD$486:DD$534,_xlfn.AGGREGATE(15,6,(ROW(DD$486:DD$534)-ROW(DD$486)+1)/(DD$486:DD$534&lt;&gt;""),ROWS(DJ$1:DJ14))),"")</f>
        <v/>
      </c>
      <c r="DK499" s="166" t="str">
        <f t="shared" si="285"/>
        <v/>
      </c>
      <c r="DL499" s="164" t="str">
        <f>IFERROR(INDEX(DE$486:DE$534,_xlfn.AGGREGATE(15,6,(ROW(DE$486:DE$534)-ROW(DE$486)+1)/(DE$486:DE$534&lt;&gt;""),ROWS(DL$1:DL14))),"")</f>
        <v/>
      </c>
      <c r="DM499" s="165" t="str">
        <f>IFERROR(INDEX(DF$486:DF$534,_xlfn.AGGREGATE(15,6,(ROW(DF$486:DF$534)-ROW(DF$486)+1)/(DF$486:DF$534&lt;&gt;""),ROWS(DM$1:DM14))),"")</f>
        <v/>
      </c>
      <c r="DN499" s="166" t="str">
        <f t="shared" si="286"/>
        <v/>
      </c>
      <c r="DO499" s="164" t="str">
        <f>IFERROR(INDEX(DG$486:DG$534,_xlfn.AGGREGATE(15,6,(ROW(DG$486:DG$534)-ROW(DG$486)+1)/(DG$486:DG$534&lt;&gt;""),ROWS(DO$1:DO14))),"")</f>
        <v/>
      </c>
      <c r="DP499" s="165" t="str">
        <f>IFERROR(INDEX(DH$486:DH$534,_xlfn.AGGREGATE(15,6,(ROW(DH$486:DH$534)-ROW(DH$486)+1)/(DH$486:DH$534&lt;&gt;""),ROWS(DP$1:DP14))),"")</f>
        <v/>
      </c>
      <c r="DQ499" s="166" t="str">
        <f t="shared" si="287"/>
        <v/>
      </c>
      <c r="DR499" s="65"/>
      <c r="DV499" s="145">
        <v>2028</v>
      </c>
      <c r="DW499" s="235" t="e">
        <f t="shared" ca="1" si="271"/>
        <v>#REF!</v>
      </c>
    </row>
    <row r="500" spans="1:135" ht="13.8" x14ac:dyDescent="0.45">
      <c r="B500" s="128">
        <v>2026</v>
      </c>
      <c r="C500" s="951"/>
      <c r="D500" s="795"/>
      <c r="E500" s="292"/>
      <c r="F500" s="914"/>
      <c r="G500" s="919"/>
      <c r="H500" s="292"/>
      <c r="I500" s="1112"/>
      <c r="J500" s="1150"/>
      <c r="K500" s="919"/>
      <c r="L500" s="293"/>
      <c r="M500" s="292"/>
      <c r="N500" s="29" t="s">
        <v>119</v>
      </c>
      <c r="O500" s="120"/>
      <c r="P500" s="120"/>
      <c r="Q500" s="120"/>
      <c r="R500" s="29">
        <v>12</v>
      </c>
      <c r="S500" s="288" t="str">
        <f t="shared" si="272"/>
        <v/>
      </c>
      <c r="T500" s="288" t="str">
        <f t="shared" si="273"/>
        <v/>
      </c>
      <c r="U500" s="288" t="str">
        <f t="shared" si="274"/>
        <v/>
      </c>
      <c r="W500" s="288" t="e">
        <f t="shared" si="275"/>
        <v>#N/A</v>
      </c>
      <c r="X500" s="288" t="e">
        <f t="shared" si="276"/>
        <v>#N/A</v>
      </c>
      <c r="Y500" s="288" t="e">
        <f t="shared" si="277"/>
        <v>#N/A</v>
      </c>
      <c r="AA500" s="120"/>
      <c r="AB500" s="120"/>
      <c r="AC500" s="120"/>
      <c r="AD500" s="120"/>
      <c r="AE500" s="120"/>
      <c r="AF500" s="120"/>
      <c r="AG500" s="120"/>
      <c r="AH500" s="120"/>
      <c r="AI500" s="120"/>
      <c r="AJ500" s="120"/>
      <c r="AK500" s="120"/>
      <c r="AL500" s="120"/>
      <c r="AM500" s="120"/>
      <c r="AN500" s="120"/>
      <c r="BR500" s="180">
        <v>2024</v>
      </c>
      <c r="BS500" s="22">
        <v>10</v>
      </c>
      <c r="BT500" s="289" t="e">
        <f t="shared" si="288"/>
        <v>#DIV/0!</v>
      </c>
      <c r="BU500" s="290" t="e">
        <f t="shared" si="289"/>
        <v>#DIV/0!</v>
      </c>
      <c r="BV500" s="205" t="e">
        <f t="shared" si="290"/>
        <v>#DIV/0!</v>
      </c>
      <c r="BY500" s="180">
        <v>2024</v>
      </c>
      <c r="BZ500" s="22">
        <v>10</v>
      </c>
      <c r="CA500" s="289" t="e">
        <f t="shared" ca="1" si="291"/>
        <v>#REF!</v>
      </c>
      <c r="CB500" s="289" t="e">
        <f t="shared" ca="1" si="292"/>
        <v>#REF!</v>
      </c>
      <c r="CC500" s="290" t="e">
        <f t="shared" ca="1" si="303"/>
        <v>#REF!</v>
      </c>
      <c r="CD500" s="205" t="e">
        <f t="shared" ca="1" si="293"/>
        <v>#REF!</v>
      </c>
      <c r="CG500" s="180">
        <v>2024</v>
      </c>
      <c r="CH500" s="22">
        <v>10</v>
      </c>
      <c r="CI500" s="289" t="e">
        <f t="shared" ca="1" si="294"/>
        <v>#REF!</v>
      </c>
      <c r="CJ500" s="289" t="e">
        <f t="shared" ca="1" si="295"/>
        <v>#REF!</v>
      </c>
      <c r="CK500" s="289" t="e">
        <f t="shared" ca="1" si="296"/>
        <v>#REF!</v>
      </c>
      <c r="CL500" s="290" t="e">
        <f t="shared" ca="1" si="297"/>
        <v>#REF!</v>
      </c>
      <c r="CM500" s="205" t="e">
        <f t="shared" ca="1" si="298"/>
        <v>#REF!</v>
      </c>
      <c r="CP500" s="180">
        <v>2024</v>
      </c>
      <c r="CQ500" s="22">
        <v>10</v>
      </c>
      <c r="CR500" s="289" t="e">
        <f t="shared" ca="1" si="299"/>
        <v>#REF!</v>
      </c>
      <c r="CS500" s="290" t="e">
        <f t="shared" ca="1" si="300"/>
        <v>#REF!</v>
      </c>
      <c r="CT500" s="205" t="e">
        <f t="shared" ca="1" si="301"/>
        <v>#REF!</v>
      </c>
      <c r="CZ500" s="164" t="b">
        <f t="shared" si="278"/>
        <v>0</v>
      </c>
      <c r="DA500" s="165" t="b">
        <f t="shared" si="278"/>
        <v>0</v>
      </c>
      <c r="DB500" s="166" t="b">
        <f t="shared" si="278"/>
        <v>0</v>
      </c>
      <c r="DC500" s="164" t="str">
        <f t="shared" si="279"/>
        <v/>
      </c>
      <c r="DD500" s="166" t="str">
        <f t="shared" si="280"/>
        <v/>
      </c>
      <c r="DE500" s="164" t="str">
        <f t="shared" si="281"/>
        <v/>
      </c>
      <c r="DF500" s="166" t="str">
        <f t="shared" si="282"/>
        <v/>
      </c>
      <c r="DG500" s="164" t="str">
        <f t="shared" si="283"/>
        <v/>
      </c>
      <c r="DH500" s="166" t="str">
        <f t="shared" si="284"/>
        <v/>
      </c>
      <c r="DI500" s="164" t="str">
        <f>IFERROR(INDEX(DC$486:DC$534,_xlfn.AGGREGATE(15,6,(ROW(DC$486:DC$534)-ROW(DC$486)+1)/(DC$486:DC$534&lt;&gt;""),ROWS(DI$1:DI15))),"")</f>
        <v/>
      </c>
      <c r="DJ500" s="165" t="str">
        <f>IFERROR(INDEX(DD$486:DD$534,_xlfn.AGGREGATE(15,6,(ROW(DD$486:DD$534)-ROW(DD$486)+1)/(DD$486:DD$534&lt;&gt;""),ROWS(DJ$1:DJ15))),"")</f>
        <v/>
      </c>
      <c r="DK500" s="166" t="str">
        <f t="shared" si="285"/>
        <v/>
      </c>
      <c r="DL500" s="164" t="str">
        <f>IFERROR(INDEX(DE$486:DE$534,_xlfn.AGGREGATE(15,6,(ROW(DE$486:DE$534)-ROW(DE$486)+1)/(DE$486:DE$534&lt;&gt;""),ROWS(DL$1:DL15))),"")</f>
        <v/>
      </c>
      <c r="DM500" s="165" t="str">
        <f>IFERROR(INDEX(DF$486:DF$534,_xlfn.AGGREGATE(15,6,(ROW(DF$486:DF$534)-ROW(DF$486)+1)/(DF$486:DF$534&lt;&gt;""),ROWS(DM$1:DM15))),"")</f>
        <v/>
      </c>
      <c r="DN500" s="166" t="str">
        <f t="shared" si="286"/>
        <v/>
      </c>
      <c r="DO500" s="164" t="str">
        <f>IFERROR(INDEX(DG$486:DG$534,_xlfn.AGGREGATE(15,6,(ROW(DG$486:DG$534)-ROW(DG$486)+1)/(DG$486:DG$534&lt;&gt;""),ROWS(DO$1:DO15))),"")</f>
        <v/>
      </c>
      <c r="DP500" s="165" t="str">
        <f>IFERROR(INDEX(DH$486:DH$534,_xlfn.AGGREGATE(15,6,(ROW(DH$486:DH$534)-ROW(DH$486)+1)/(DH$486:DH$534&lt;&gt;""),ROWS(DP$1:DP15))),"")</f>
        <v/>
      </c>
      <c r="DQ500" s="166" t="str">
        <f t="shared" si="287"/>
        <v/>
      </c>
      <c r="DR500" s="65"/>
      <c r="DV500" s="145">
        <v>2029</v>
      </c>
      <c r="DW500" s="235" t="e">
        <f t="shared" ca="1" si="271"/>
        <v>#REF!</v>
      </c>
      <c r="EA500" s="55"/>
      <c r="EB500" s="55"/>
      <c r="EC500" s="55"/>
      <c r="ED500" s="55"/>
      <c r="EE500" s="55"/>
    </row>
    <row r="501" spans="1:135" ht="13.8" x14ac:dyDescent="0.45">
      <c r="B501" s="128">
        <v>2027</v>
      </c>
      <c r="C501" s="951"/>
      <c r="D501" s="795"/>
      <c r="E501" s="292"/>
      <c r="F501" s="914"/>
      <c r="G501" s="919"/>
      <c r="H501" s="292"/>
      <c r="I501" s="1112"/>
      <c r="J501" s="1150"/>
      <c r="K501" s="919"/>
      <c r="L501" s="293"/>
      <c r="M501" s="292"/>
      <c r="N501" s="29" t="s">
        <v>119</v>
      </c>
      <c r="O501" s="120"/>
      <c r="P501" s="120"/>
      <c r="Q501" s="120"/>
      <c r="R501" s="29">
        <v>13</v>
      </c>
      <c r="S501" s="288" t="str">
        <f t="shared" si="272"/>
        <v/>
      </c>
      <c r="T501" s="288" t="str">
        <f t="shared" si="273"/>
        <v/>
      </c>
      <c r="U501" s="288" t="str">
        <f t="shared" si="274"/>
        <v/>
      </c>
      <c r="W501" s="288" t="e">
        <f t="shared" si="275"/>
        <v>#N/A</v>
      </c>
      <c r="X501" s="288" t="e">
        <f t="shared" si="276"/>
        <v>#N/A</v>
      </c>
      <c r="Y501" s="288" t="e">
        <f t="shared" si="277"/>
        <v>#N/A</v>
      </c>
      <c r="AA501" s="89"/>
      <c r="AB501" s="89"/>
      <c r="AC501" s="89"/>
      <c r="AD501" s="89"/>
      <c r="AE501" s="89"/>
      <c r="AF501" s="89"/>
      <c r="AG501" s="89"/>
      <c r="AH501" s="89"/>
      <c r="AI501" s="89"/>
      <c r="AJ501" s="89"/>
      <c r="AK501" s="89"/>
      <c r="AL501" s="89"/>
      <c r="AM501" s="89"/>
      <c r="AN501" s="89"/>
      <c r="BR501" s="180">
        <v>2025</v>
      </c>
      <c r="BS501" s="22">
        <v>11</v>
      </c>
      <c r="BT501" s="289" t="e">
        <f t="shared" si="288"/>
        <v>#DIV/0!</v>
      </c>
      <c r="BU501" s="290" t="e">
        <f t="shared" si="289"/>
        <v>#DIV/0!</v>
      </c>
      <c r="BV501" s="205" t="e">
        <f t="shared" si="290"/>
        <v>#DIV/0!</v>
      </c>
      <c r="BY501" s="180">
        <v>2025</v>
      </c>
      <c r="BZ501" s="22">
        <v>11</v>
      </c>
      <c r="CA501" s="289" t="e">
        <f t="shared" ca="1" si="291"/>
        <v>#REF!</v>
      </c>
      <c r="CB501" s="289" t="e">
        <f t="shared" ca="1" si="292"/>
        <v>#REF!</v>
      </c>
      <c r="CC501" s="290" t="e">
        <f t="shared" ca="1" si="303"/>
        <v>#REF!</v>
      </c>
      <c r="CD501" s="205" t="e">
        <f t="shared" ca="1" si="293"/>
        <v>#REF!</v>
      </c>
      <c r="CG501" s="180">
        <v>2025</v>
      </c>
      <c r="CH501" s="22">
        <v>11</v>
      </c>
      <c r="CI501" s="289" t="e">
        <f t="shared" ca="1" si="294"/>
        <v>#REF!</v>
      </c>
      <c r="CJ501" s="289" t="e">
        <f t="shared" ca="1" si="295"/>
        <v>#REF!</v>
      </c>
      <c r="CK501" s="289" t="e">
        <f t="shared" ca="1" si="296"/>
        <v>#REF!</v>
      </c>
      <c r="CL501" s="290" t="e">
        <f t="shared" ca="1" si="297"/>
        <v>#REF!</v>
      </c>
      <c r="CM501" s="205" t="e">
        <f t="shared" ca="1" si="298"/>
        <v>#REF!</v>
      </c>
      <c r="CP501" s="180">
        <v>2025</v>
      </c>
      <c r="CQ501" s="22">
        <v>11</v>
      </c>
      <c r="CR501" s="289" t="e">
        <f t="shared" ca="1" si="299"/>
        <v>#REF!</v>
      </c>
      <c r="CS501" s="290" t="e">
        <f t="shared" ca="1" si="300"/>
        <v>#REF!</v>
      </c>
      <c r="CT501" s="205" t="e">
        <f t="shared" ca="1" si="301"/>
        <v>#REF!</v>
      </c>
      <c r="CZ501" s="164" t="b">
        <f t="shared" si="278"/>
        <v>0</v>
      </c>
      <c r="DA501" s="165" t="b">
        <f t="shared" si="278"/>
        <v>0</v>
      </c>
      <c r="DB501" s="166" t="b">
        <f t="shared" si="278"/>
        <v>0</v>
      </c>
      <c r="DC501" s="164" t="str">
        <f t="shared" si="279"/>
        <v/>
      </c>
      <c r="DD501" s="166" t="str">
        <f t="shared" si="280"/>
        <v/>
      </c>
      <c r="DE501" s="164" t="str">
        <f t="shared" si="281"/>
        <v/>
      </c>
      <c r="DF501" s="166" t="str">
        <f t="shared" si="282"/>
        <v/>
      </c>
      <c r="DG501" s="164" t="str">
        <f t="shared" si="283"/>
        <v/>
      </c>
      <c r="DH501" s="166" t="str">
        <f t="shared" si="284"/>
        <v/>
      </c>
      <c r="DI501" s="164" t="str">
        <f>IFERROR(INDEX(DC$486:DC$534,_xlfn.AGGREGATE(15,6,(ROW(DC$486:DC$534)-ROW(DC$486)+1)/(DC$486:DC$534&lt;&gt;""),ROWS(DI$1:DI16))),"")</f>
        <v/>
      </c>
      <c r="DJ501" s="165" t="str">
        <f>IFERROR(INDEX(DD$486:DD$534,_xlfn.AGGREGATE(15,6,(ROW(DD$486:DD$534)-ROW(DD$486)+1)/(DD$486:DD$534&lt;&gt;""),ROWS(DJ$1:DJ16))),"")</f>
        <v/>
      </c>
      <c r="DK501" s="166" t="str">
        <f t="shared" si="285"/>
        <v/>
      </c>
      <c r="DL501" s="164" t="str">
        <f>IFERROR(INDEX(DE$486:DE$534,_xlfn.AGGREGATE(15,6,(ROW(DE$486:DE$534)-ROW(DE$486)+1)/(DE$486:DE$534&lt;&gt;""),ROWS(DL$1:DL16))),"")</f>
        <v/>
      </c>
      <c r="DM501" s="165" t="str">
        <f>IFERROR(INDEX(DF$486:DF$534,_xlfn.AGGREGATE(15,6,(ROW(DF$486:DF$534)-ROW(DF$486)+1)/(DF$486:DF$534&lt;&gt;""),ROWS(DM$1:DM16))),"")</f>
        <v/>
      </c>
      <c r="DN501" s="166" t="str">
        <f t="shared" si="286"/>
        <v/>
      </c>
      <c r="DO501" s="164" t="str">
        <f>IFERROR(INDEX(DG$486:DG$534,_xlfn.AGGREGATE(15,6,(ROW(DG$486:DG$534)-ROW(DG$486)+1)/(DG$486:DG$534&lt;&gt;""),ROWS(DO$1:DO16))),"")</f>
        <v/>
      </c>
      <c r="DP501" s="165" t="str">
        <f>IFERROR(INDEX(DH$486:DH$534,_xlfn.AGGREGATE(15,6,(ROW(DH$486:DH$534)-ROW(DH$486)+1)/(DH$486:DH$534&lt;&gt;""),ROWS(DP$1:DP16))),"")</f>
        <v/>
      </c>
      <c r="DQ501" s="166" t="str">
        <f t="shared" si="287"/>
        <v/>
      </c>
      <c r="DR501" s="65"/>
      <c r="DV501" s="145">
        <v>2030</v>
      </c>
      <c r="DW501" s="235" t="e">
        <f t="shared" ca="1" si="271"/>
        <v>#REF!</v>
      </c>
    </row>
    <row r="502" spans="1:135" ht="13.8" x14ac:dyDescent="0.45">
      <c r="A502" s="295" t="str">
        <f>$A$62</f>
        <v>Base Cases</v>
      </c>
      <c r="B502" s="128">
        <v>2028</v>
      </c>
      <c r="C502" s="951"/>
      <c r="D502" s="795"/>
      <c r="E502" s="292"/>
      <c r="F502" s="914"/>
      <c r="G502" s="919"/>
      <c r="H502" s="292"/>
      <c r="I502" s="1112"/>
      <c r="J502" s="1150"/>
      <c r="K502" s="919"/>
      <c r="L502" s="293"/>
      <c r="M502" s="292"/>
      <c r="N502" s="29" t="s">
        <v>119</v>
      </c>
      <c r="O502" s="120"/>
      <c r="P502" s="120"/>
      <c r="Q502" s="120"/>
      <c r="R502" s="29">
        <v>14</v>
      </c>
      <c r="S502" s="288" t="str">
        <f t="shared" si="272"/>
        <v/>
      </c>
      <c r="T502" s="288" t="str">
        <f t="shared" si="273"/>
        <v/>
      </c>
      <c r="U502" s="288" t="str">
        <f t="shared" si="274"/>
        <v/>
      </c>
      <c r="W502" s="288" t="e">
        <f t="shared" si="275"/>
        <v>#N/A</v>
      </c>
      <c r="X502" s="288" t="e">
        <f t="shared" si="276"/>
        <v>#N/A</v>
      </c>
      <c r="Y502" s="288" t="e">
        <f t="shared" si="277"/>
        <v>#N/A</v>
      </c>
      <c r="AA502" s="114"/>
      <c r="AB502" s="114"/>
      <c r="AC502" s="114"/>
      <c r="AD502" s="114"/>
      <c r="AE502" s="114"/>
      <c r="AF502" s="114"/>
      <c r="AG502" s="114"/>
      <c r="AH502" s="114"/>
      <c r="AI502" s="114"/>
      <c r="AJ502" s="114"/>
      <c r="AK502" s="114"/>
      <c r="AL502" s="114"/>
      <c r="AM502" s="114"/>
      <c r="AN502" s="114"/>
      <c r="BR502" s="180">
        <v>2026</v>
      </c>
      <c r="BS502" s="22">
        <v>12</v>
      </c>
      <c r="BT502" s="289" t="e">
        <f t="shared" si="288"/>
        <v>#DIV/0!</v>
      </c>
      <c r="BU502" s="290" t="e">
        <f t="shared" si="289"/>
        <v>#DIV/0!</v>
      </c>
      <c r="BV502" s="205" t="e">
        <f t="shared" si="290"/>
        <v>#DIV/0!</v>
      </c>
      <c r="BY502" s="180">
        <v>2026</v>
      </c>
      <c r="BZ502" s="22">
        <v>12</v>
      </c>
      <c r="CA502" s="289" t="e">
        <f t="shared" ca="1" si="291"/>
        <v>#REF!</v>
      </c>
      <c r="CB502" s="289" t="e">
        <f t="shared" ca="1" si="292"/>
        <v>#REF!</v>
      </c>
      <c r="CC502" s="290" t="e">
        <f t="shared" ca="1" si="303"/>
        <v>#REF!</v>
      </c>
      <c r="CD502" s="205" t="e">
        <f t="shared" ca="1" si="293"/>
        <v>#REF!</v>
      </c>
      <c r="CG502" s="180">
        <v>2026</v>
      </c>
      <c r="CH502" s="22">
        <v>12</v>
      </c>
      <c r="CI502" s="289" t="e">
        <f t="shared" ca="1" si="294"/>
        <v>#REF!</v>
      </c>
      <c r="CJ502" s="289" t="e">
        <f t="shared" ca="1" si="295"/>
        <v>#REF!</v>
      </c>
      <c r="CK502" s="289" t="e">
        <f t="shared" ca="1" si="296"/>
        <v>#REF!</v>
      </c>
      <c r="CL502" s="290" t="e">
        <f t="shared" ca="1" si="297"/>
        <v>#REF!</v>
      </c>
      <c r="CM502" s="205" t="e">
        <f t="shared" ca="1" si="298"/>
        <v>#REF!</v>
      </c>
      <c r="CP502" s="180">
        <v>2026</v>
      </c>
      <c r="CQ502" s="22">
        <v>12</v>
      </c>
      <c r="CR502" s="289" t="e">
        <f t="shared" ca="1" si="299"/>
        <v>#REF!</v>
      </c>
      <c r="CS502" s="290" t="e">
        <f t="shared" ca="1" si="300"/>
        <v>#REF!</v>
      </c>
      <c r="CT502" s="205" t="e">
        <f t="shared" ca="1" si="301"/>
        <v>#REF!</v>
      </c>
      <c r="CZ502" s="164" t="b">
        <f t="shared" si="278"/>
        <v>0</v>
      </c>
      <c r="DA502" s="165" t="b">
        <f t="shared" si="278"/>
        <v>0</v>
      </c>
      <c r="DB502" s="166" t="b">
        <f t="shared" si="278"/>
        <v>0</v>
      </c>
      <c r="DC502" s="164" t="str">
        <f t="shared" si="279"/>
        <v/>
      </c>
      <c r="DD502" s="166" t="str">
        <f t="shared" si="280"/>
        <v/>
      </c>
      <c r="DE502" s="164" t="str">
        <f t="shared" si="281"/>
        <v/>
      </c>
      <c r="DF502" s="166" t="str">
        <f t="shared" si="282"/>
        <v/>
      </c>
      <c r="DG502" s="164" t="str">
        <f t="shared" si="283"/>
        <v/>
      </c>
      <c r="DH502" s="166" t="str">
        <f t="shared" si="284"/>
        <v/>
      </c>
      <c r="DI502" s="164" t="str">
        <f>IFERROR(INDEX(DC$486:DC$534,_xlfn.AGGREGATE(15,6,(ROW(DC$486:DC$534)-ROW(DC$486)+1)/(DC$486:DC$534&lt;&gt;""),ROWS(DI$1:DI17))),"")</f>
        <v/>
      </c>
      <c r="DJ502" s="165" t="str">
        <f>IFERROR(INDEX(DD$486:DD$534,_xlfn.AGGREGATE(15,6,(ROW(DD$486:DD$534)-ROW(DD$486)+1)/(DD$486:DD$534&lt;&gt;""),ROWS(DJ$1:DJ17))),"")</f>
        <v/>
      </c>
      <c r="DK502" s="166" t="str">
        <f t="shared" si="285"/>
        <v/>
      </c>
      <c r="DL502" s="164" t="str">
        <f>IFERROR(INDEX(DE$486:DE$534,_xlfn.AGGREGATE(15,6,(ROW(DE$486:DE$534)-ROW(DE$486)+1)/(DE$486:DE$534&lt;&gt;""),ROWS(DL$1:DL17))),"")</f>
        <v/>
      </c>
      <c r="DM502" s="165" t="str">
        <f>IFERROR(INDEX(DF$486:DF$534,_xlfn.AGGREGATE(15,6,(ROW(DF$486:DF$534)-ROW(DF$486)+1)/(DF$486:DF$534&lt;&gt;""),ROWS(DM$1:DM17))),"")</f>
        <v/>
      </c>
      <c r="DN502" s="166" t="str">
        <f t="shared" si="286"/>
        <v/>
      </c>
      <c r="DO502" s="164" t="str">
        <f>IFERROR(INDEX(DG$486:DG$534,_xlfn.AGGREGATE(15,6,(ROW(DG$486:DG$534)-ROW(DG$486)+1)/(DG$486:DG$534&lt;&gt;""),ROWS(DO$1:DO17))),"")</f>
        <v/>
      </c>
      <c r="DP502" s="165" t="str">
        <f>IFERROR(INDEX(DH$486:DH$534,_xlfn.AGGREGATE(15,6,(ROW(DH$486:DH$534)-ROW(DH$486)+1)/(DH$486:DH$534&lt;&gt;""),ROWS(DP$1:DP17))),"")</f>
        <v/>
      </c>
      <c r="DQ502" s="166" t="str">
        <f t="shared" si="287"/>
        <v/>
      </c>
      <c r="DR502" s="65"/>
      <c r="DV502" s="145">
        <v>2031</v>
      </c>
      <c r="DW502" s="235" t="e">
        <f t="shared" ca="1" si="271"/>
        <v>#REF!</v>
      </c>
    </row>
    <row r="503" spans="1:135" ht="13.8" x14ac:dyDescent="0.45">
      <c r="A503" s="296" t="str">
        <f>$A$63</f>
        <v>Conservative Cases</v>
      </c>
      <c r="B503" s="128">
        <v>2029</v>
      </c>
      <c r="C503" s="951"/>
      <c r="D503" s="795"/>
      <c r="E503" s="292"/>
      <c r="F503" s="914"/>
      <c r="G503" s="919"/>
      <c r="H503" s="292"/>
      <c r="I503" s="1112"/>
      <c r="J503" s="1150"/>
      <c r="K503" s="919"/>
      <c r="L503" s="293"/>
      <c r="M503" s="292"/>
      <c r="N503" s="29" t="s">
        <v>119</v>
      </c>
      <c r="O503" s="120"/>
      <c r="P503" s="120"/>
      <c r="Q503" s="120"/>
      <c r="R503" s="29">
        <v>15</v>
      </c>
      <c r="S503" s="288" t="str">
        <f t="shared" si="272"/>
        <v/>
      </c>
      <c r="T503" s="288" t="str">
        <f t="shared" si="273"/>
        <v/>
      </c>
      <c r="U503" s="288" t="str">
        <f t="shared" si="274"/>
        <v/>
      </c>
      <c r="W503" s="288" t="e">
        <f t="shared" si="275"/>
        <v>#N/A</v>
      </c>
      <c r="X503" s="288" t="e">
        <f t="shared" si="276"/>
        <v>#N/A</v>
      </c>
      <c r="Y503" s="288" t="e">
        <f t="shared" si="277"/>
        <v>#N/A</v>
      </c>
      <c r="AA503" s="89"/>
      <c r="AB503" s="89"/>
      <c r="AC503" s="89"/>
      <c r="AD503" s="89"/>
      <c r="AE503" s="89"/>
      <c r="AF503" s="89"/>
      <c r="AG503" s="89"/>
      <c r="AH503" s="89"/>
      <c r="AI503" s="89"/>
      <c r="AJ503" s="89"/>
      <c r="AK503" s="89"/>
      <c r="AL503" s="89"/>
      <c r="AM503" s="89"/>
      <c r="AN503" s="89"/>
      <c r="BR503" s="180">
        <v>2027</v>
      </c>
      <c r="BS503" s="22">
        <v>13</v>
      </c>
      <c r="BT503" s="289" t="e">
        <f t="shared" si="288"/>
        <v>#DIV/0!</v>
      </c>
      <c r="BU503" s="290" t="e">
        <f t="shared" si="289"/>
        <v>#DIV/0!</v>
      </c>
      <c r="BV503" s="205" t="e">
        <f t="shared" si="290"/>
        <v>#DIV/0!</v>
      </c>
      <c r="BY503" s="180">
        <v>2027</v>
      </c>
      <c r="BZ503" s="22">
        <v>13</v>
      </c>
      <c r="CA503" s="289" t="e">
        <f t="shared" ca="1" si="291"/>
        <v>#REF!</v>
      </c>
      <c r="CB503" s="289" t="e">
        <f t="shared" ca="1" si="292"/>
        <v>#REF!</v>
      </c>
      <c r="CC503" s="290" t="e">
        <f t="shared" ca="1" si="303"/>
        <v>#REF!</v>
      </c>
      <c r="CD503" s="205" t="e">
        <f t="shared" ca="1" si="293"/>
        <v>#REF!</v>
      </c>
      <c r="CG503" s="180">
        <v>2027</v>
      </c>
      <c r="CH503" s="22">
        <v>13</v>
      </c>
      <c r="CI503" s="289" t="e">
        <f t="shared" ca="1" si="294"/>
        <v>#REF!</v>
      </c>
      <c r="CJ503" s="289" t="e">
        <f t="shared" ca="1" si="295"/>
        <v>#REF!</v>
      </c>
      <c r="CK503" s="289" t="e">
        <f t="shared" ca="1" si="296"/>
        <v>#REF!</v>
      </c>
      <c r="CL503" s="290" t="e">
        <f t="shared" ca="1" si="297"/>
        <v>#REF!</v>
      </c>
      <c r="CM503" s="205" t="e">
        <f t="shared" ca="1" si="298"/>
        <v>#REF!</v>
      </c>
      <c r="CP503" s="180">
        <v>2027</v>
      </c>
      <c r="CQ503" s="22">
        <v>13</v>
      </c>
      <c r="CR503" s="289" t="e">
        <f t="shared" ca="1" si="299"/>
        <v>#REF!</v>
      </c>
      <c r="CS503" s="290" t="e">
        <f t="shared" ca="1" si="300"/>
        <v>#REF!</v>
      </c>
      <c r="CT503" s="205" t="e">
        <f t="shared" ca="1" si="301"/>
        <v>#REF!</v>
      </c>
      <c r="CZ503" s="164" t="b">
        <f t="shared" si="278"/>
        <v>0</v>
      </c>
      <c r="DA503" s="165" t="b">
        <f t="shared" si="278"/>
        <v>0</v>
      </c>
      <c r="DB503" s="166" t="b">
        <f t="shared" si="278"/>
        <v>0</v>
      </c>
      <c r="DC503" s="164" t="str">
        <f t="shared" si="279"/>
        <v/>
      </c>
      <c r="DD503" s="166" t="str">
        <f t="shared" si="280"/>
        <v/>
      </c>
      <c r="DE503" s="164" t="str">
        <f t="shared" si="281"/>
        <v/>
      </c>
      <c r="DF503" s="166" t="str">
        <f t="shared" si="282"/>
        <v/>
      </c>
      <c r="DG503" s="164" t="str">
        <f t="shared" si="283"/>
        <v/>
      </c>
      <c r="DH503" s="166" t="str">
        <f t="shared" si="284"/>
        <v/>
      </c>
      <c r="DI503" s="164" t="str">
        <f>IFERROR(INDEX(DC$486:DC$534,_xlfn.AGGREGATE(15,6,(ROW(DC$486:DC$534)-ROW(DC$486)+1)/(DC$486:DC$534&lt;&gt;""),ROWS(DI$1:DI18))),"")</f>
        <v/>
      </c>
      <c r="DJ503" s="165" t="str">
        <f>IFERROR(INDEX(DD$486:DD$534,_xlfn.AGGREGATE(15,6,(ROW(DD$486:DD$534)-ROW(DD$486)+1)/(DD$486:DD$534&lt;&gt;""),ROWS(DJ$1:DJ18))),"")</f>
        <v/>
      </c>
      <c r="DK503" s="166" t="str">
        <f t="shared" si="285"/>
        <v/>
      </c>
      <c r="DL503" s="164" t="str">
        <f>IFERROR(INDEX(DE$486:DE$534,_xlfn.AGGREGATE(15,6,(ROW(DE$486:DE$534)-ROW(DE$486)+1)/(DE$486:DE$534&lt;&gt;""),ROWS(DL$1:DL18))),"")</f>
        <v/>
      </c>
      <c r="DM503" s="165" t="str">
        <f>IFERROR(INDEX(DF$486:DF$534,_xlfn.AGGREGATE(15,6,(ROW(DF$486:DF$534)-ROW(DF$486)+1)/(DF$486:DF$534&lt;&gt;""),ROWS(DM$1:DM18))),"")</f>
        <v/>
      </c>
      <c r="DN503" s="166" t="str">
        <f t="shared" si="286"/>
        <v/>
      </c>
      <c r="DO503" s="164" t="str">
        <f>IFERROR(INDEX(DG$486:DG$534,_xlfn.AGGREGATE(15,6,(ROW(DG$486:DG$534)-ROW(DG$486)+1)/(DG$486:DG$534&lt;&gt;""),ROWS(DO$1:DO18))),"")</f>
        <v/>
      </c>
      <c r="DP503" s="165" t="str">
        <f>IFERROR(INDEX(DH$486:DH$534,_xlfn.AGGREGATE(15,6,(ROW(DH$486:DH$534)-ROW(DH$486)+1)/(DH$486:DH$534&lt;&gt;""),ROWS(DP$1:DP18))),"")</f>
        <v/>
      </c>
      <c r="DQ503" s="166" t="str">
        <f t="shared" si="287"/>
        <v/>
      </c>
      <c r="DR503" s="65"/>
      <c r="DV503" s="145">
        <v>2032</v>
      </c>
      <c r="DW503" s="235" t="e">
        <f t="shared" ca="1" si="271"/>
        <v>#REF!</v>
      </c>
    </row>
    <row r="504" spans="1:135" ht="13.8" x14ac:dyDescent="0.45">
      <c r="A504" s="297" t="str">
        <f>$A$64</f>
        <v>Ambitious Cases</v>
      </c>
      <c r="B504" s="128">
        <v>2030</v>
      </c>
      <c r="C504" s="951"/>
      <c r="D504" s="795"/>
      <c r="E504" s="292"/>
      <c r="F504" s="914"/>
      <c r="G504" s="919"/>
      <c r="H504" s="292"/>
      <c r="I504" s="1112"/>
      <c r="J504" s="1150"/>
      <c r="K504" s="919"/>
      <c r="L504" s="293"/>
      <c r="M504" s="292"/>
      <c r="N504" s="29" t="s">
        <v>119</v>
      </c>
      <c r="O504" s="120"/>
      <c r="P504" s="120"/>
      <c r="Q504" s="120"/>
      <c r="R504" s="29">
        <v>16</v>
      </c>
      <c r="S504" s="288" t="str">
        <f t="shared" si="272"/>
        <v/>
      </c>
      <c r="T504" s="288" t="str">
        <f t="shared" si="273"/>
        <v/>
      </c>
      <c r="U504" s="288" t="str">
        <f t="shared" si="274"/>
        <v/>
      </c>
      <c r="W504" s="288" t="e">
        <f t="shared" si="275"/>
        <v>#N/A</v>
      </c>
      <c r="X504" s="288" t="e">
        <f t="shared" si="276"/>
        <v>#N/A</v>
      </c>
      <c r="Y504" s="288" t="e">
        <f t="shared" si="277"/>
        <v>#N/A</v>
      </c>
      <c r="AA504" s="89"/>
      <c r="AB504" s="89"/>
      <c r="AC504" s="89"/>
      <c r="AD504" s="89"/>
      <c r="AE504" s="89"/>
      <c r="AF504" s="89"/>
      <c r="AG504" s="89"/>
      <c r="AH504" s="89"/>
      <c r="AI504" s="89"/>
      <c r="AJ504" s="89"/>
      <c r="AK504" s="89"/>
      <c r="AL504" s="89"/>
      <c r="AM504" s="89"/>
      <c r="AN504" s="89"/>
      <c r="BR504" s="180">
        <v>2028</v>
      </c>
      <c r="BS504" s="22">
        <v>14</v>
      </c>
      <c r="BT504" s="289" t="e">
        <f t="shared" si="288"/>
        <v>#DIV/0!</v>
      </c>
      <c r="BU504" s="290" t="e">
        <f t="shared" si="289"/>
        <v>#DIV/0!</v>
      </c>
      <c r="BV504" s="205" t="e">
        <f t="shared" si="290"/>
        <v>#DIV/0!</v>
      </c>
      <c r="BY504" s="180">
        <v>2028</v>
      </c>
      <c r="BZ504" s="22">
        <v>14</v>
      </c>
      <c r="CA504" s="289" t="e">
        <f t="shared" ca="1" si="291"/>
        <v>#REF!</v>
      </c>
      <c r="CB504" s="289" t="e">
        <f t="shared" ca="1" si="292"/>
        <v>#REF!</v>
      </c>
      <c r="CC504" s="290" t="e">
        <f t="shared" ca="1" si="303"/>
        <v>#REF!</v>
      </c>
      <c r="CD504" s="205" t="e">
        <f t="shared" ca="1" si="293"/>
        <v>#REF!</v>
      </c>
      <c r="CG504" s="180">
        <v>2028</v>
      </c>
      <c r="CH504" s="22">
        <v>14</v>
      </c>
      <c r="CI504" s="289" t="e">
        <f t="shared" ca="1" si="294"/>
        <v>#REF!</v>
      </c>
      <c r="CJ504" s="289" t="e">
        <f t="shared" ca="1" si="295"/>
        <v>#REF!</v>
      </c>
      <c r="CK504" s="289" t="e">
        <f t="shared" ca="1" si="296"/>
        <v>#REF!</v>
      </c>
      <c r="CL504" s="290" t="e">
        <f t="shared" ca="1" si="297"/>
        <v>#REF!</v>
      </c>
      <c r="CM504" s="205" t="e">
        <f t="shared" ca="1" si="298"/>
        <v>#REF!</v>
      </c>
      <c r="CP504" s="180">
        <v>2028</v>
      </c>
      <c r="CQ504" s="22">
        <v>14</v>
      </c>
      <c r="CR504" s="289" t="e">
        <f t="shared" ca="1" si="299"/>
        <v>#REF!</v>
      </c>
      <c r="CS504" s="290" t="e">
        <f t="shared" ca="1" si="300"/>
        <v>#REF!</v>
      </c>
      <c r="CT504" s="205" t="e">
        <f t="shared" ca="1" si="301"/>
        <v>#REF!</v>
      </c>
      <c r="CZ504" s="164" t="b">
        <f t="shared" si="278"/>
        <v>0</v>
      </c>
      <c r="DA504" s="165" t="b">
        <f t="shared" si="278"/>
        <v>0</v>
      </c>
      <c r="DB504" s="166" t="b">
        <f t="shared" si="278"/>
        <v>0</v>
      </c>
      <c r="DC504" s="164" t="str">
        <f t="shared" si="279"/>
        <v/>
      </c>
      <c r="DD504" s="166" t="str">
        <f t="shared" si="280"/>
        <v/>
      </c>
      <c r="DE504" s="164" t="str">
        <f t="shared" si="281"/>
        <v/>
      </c>
      <c r="DF504" s="166" t="str">
        <f t="shared" si="282"/>
        <v/>
      </c>
      <c r="DG504" s="164" t="str">
        <f t="shared" si="283"/>
        <v/>
      </c>
      <c r="DH504" s="166" t="str">
        <f t="shared" si="284"/>
        <v/>
      </c>
      <c r="DI504" s="164" t="str">
        <f>IFERROR(INDEX(DC$486:DC$534,_xlfn.AGGREGATE(15,6,(ROW(DC$486:DC$534)-ROW(DC$486)+1)/(DC$486:DC$534&lt;&gt;""),ROWS(DI$1:DI19))),"")</f>
        <v/>
      </c>
      <c r="DJ504" s="165" t="str">
        <f>IFERROR(INDEX(DD$486:DD$534,_xlfn.AGGREGATE(15,6,(ROW(DD$486:DD$534)-ROW(DD$486)+1)/(DD$486:DD$534&lt;&gt;""),ROWS(DJ$1:DJ19))),"")</f>
        <v/>
      </c>
      <c r="DK504" s="166" t="str">
        <f t="shared" si="285"/>
        <v/>
      </c>
      <c r="DL504" s="164" t="str">
        <f>IFERROR(INDEX(DE$486:DE$534,_xlfn.AGGREGATE(15,6,(ROW(DE$486:DE$534)-ROW(DE$486)+1)/(DE$486:DE$534&lt;&gt;""),ROWS(DL$1:DL19))),"")</f>
        <v/>
      </c>
      <c r="DM504" s="165" t="str">
        <f>IFERROR(INDEX(DF$486:DF$534,_xlfn.AGGREGATE(15,6,(ROW(DF$486:DF$534)-ROW(DF$486)+1)/(DF$486:DF$534&lt;&gt;""),ROWS(DM$1:DM19))),"")</f>
        <v/>
      </c>
      <c r="DN504" s="166" t="str">
        <f t="shared" si="286"/>
        <v/>
      </c>
      <c r="DO504" s="164" t="str">
        <f>IFERROR(INDEX(DG$486:DG$534,_xlfn.AGGREGATE(15,6,(ROW(DG$486:DG$534)-ROW(DG$486)+1)/(DG$486:DG$534&lt;&gt;""),ROWS(DO$1:DO19))),"")</f>
        <v/>
      </c>
      <c r="DP504" s="165" t="str">
        <f>IFERROR(INDEX(DH$486:DH$534,_xlfn.AGGREGATE(15,6,(ROW(DH$486:DH$534)-ROW(DH$486)+1)/(DH$486:DH$534&lt;&gt;""),ROWS(DP$1:DP19))),"")</f>
        <v/>
      </c>
      <c r="DQ504" s="166" t="str">
        <f t="shared" si="287"/>
        <v/>
      </c>
      <c r="DR504" s="65"/>
      <c r="DV504" s="145">
        <v>2033</v>
      </c>
      <c r="DW504" s="235" t="e">
        <f t="shared" ca="1" si="271"/>
        <v>#REF!</v>
      </c>
    </row>
    <row r="505" spans="1:135" ht="13.8" x14ac:dyDescent="0.45">
      <c r="A505" s="298" t="str">
        <f>$A$65</f>
        <v>Maximum Cases</v>
      </c>
      <c r="B505" s="128">
        <v>2031</v>
      </c>
      <c r="C505" s="951"/>
      <c r="D505" s="795"/>
      <c r="E505" s="292"/>
      <c r="F505" s="914"/>
      <c r="G505" s="919"/>
      <c r="H505" s="292"/>
      <c r="I505" s="1112"/>
      <c r="J505" s="1150"/>
      <c r="K505" s="919"/>
      <c r="L505" s="293"/>
      <c r="M505" s="292"/>
      <c r="N505" s="29" t="s">
        <v>119</v>
      </c>
      <c r="O505" s="120"/>
      <c r="P505" s="120"/>
      <c r="Q505" s="120"/>
      <c r="R505" s="29">
        <v>17</v>
      </c>
      <c r="S505" s="288" t="str">
        <f t="shared" si="272"/>
        <v/>
      </c>
      <c r="T505" s="288" t="str">
        <f t="shared" si="273"/>
        <v/>
      </c>
      <c r="U505" s="288" t="str">
        <f t="shared" si="274"/>
        <v/>
      </c>
      <c r="W505" s="288" t="e">
        <f t="shared" si="275"/>
        <v>#N/A</v>
      </c>
      <c r="X505" s="288" t="e">
        <f t="shared" si="276"/>
        <v>#N/A</v>
      </c>
      <c r="Y505" s="288" t="e">
        <f t="shared" si="277"/>
        <v>#N/A</v>
      </c>
      <c r="AA505" s="89"/>
      <c r="AB505" s="89"/>
      <c r="AC505" s="89"/>
      <c r="AD505" s="89"/>
      <c r="AE505" s="89"/>
      <c r="AF505" s="89"/>
      <c r="AG505" s="89"/>
      <c r="AH505" s="89"/>
      <c r="AI505" s="89"/>
      <c r="AJ505" s="89"/>
      <c r="AK505" s="89"/>
      <c r="AL505" s="89"/>
      <c r="AM505" s="89"/>
      <c r="AN505" s="89"/>
      <c r="BR505" s="180">
        <v>2029</v>
      </c>
      <c r="BS505" s="22">
        <v>15</v>
      </c>
      <c r="BT505" s="289" t="e">
        <f t="shared" si="288"/>
        <v>#DIV/0!</v>
      </c>
      <c r="BU505" s="290" t="e">
        <f t="shared" si="289"/>
        <v>#DIV/0!</v>
      </c>
      <c r="BV505" s="205" t="e">
        <f t="shared" si="290"/>
        <v>#DIV/0!</v>
      </c>
      <c r="BY505" s="180">
        <v>2029</v>
      </c>
      <c r="BZ505" s="22">
        <v>15</v>
      </c>
      <c r="CA505" s="289" t="e">
        <f t="shared" ca="1" si="291"/>
        <v>#REF!</v>
      </c>
      <c r="CB505" s="289" t="e">
        <f t="shared" ca="1" si="292"/>
        <v>#REF!</v>
      </c>
      <c r="CC505" s="290" t="e">
        <f t="shared" ca="1" si="303"/>
        <v>#REF!</v>
      </c>
      <c r="CD505" s="205" t="e">
        <f t="shared" ca="1" si="293"/>
        <v>#REF!</v>
      </c>
      <c r="CG505" s="180">
        <v>2029</v>
      </c>
      <c r="CH505" s="22">
        <v>15</v>
      </c>
      <c r="CI505" s="289" t="e">
        <f t="shared" ca="1" si="294"/>
        <v>#REF!</v>
      </c>
      <c r="CJ505" s="289" t="e">
        <f t="shared" ca="1" si="295"/>
        <v>#REF!</v>
      </c>
      <c r="CK505" s="289" t="e">
        <f t="shared" ca="1" si="296"/>
        <v>#REF!</v>
      </c>
      <c r="CL505" s="290" t="e">
        <f t="shared" ca="1" si="297"/>
        <v>#REF!</v>
      </c>
      <c r="CM505" s="205" t="e">
        <f t="shared" ca="1" si="298"/>
        <v>#REF!</v>
      </c>
      <c r="CP505" s="180">
        <v>2029</v>
      </c>
      <c r="CQ505" s="22">
        <v>15</v>
      </c>
      <c r="CR505" s="289" t="e">
        <f t="shared" ca="1" si="299"/>
        <v>#REF!</v>
      </c>
      <c r="CS505" s="290" t="e">
        <f t="shared" ca="1" si="300"/>
        <v>#REF!</v>
      </c>
      <c r="CT505" s="205" t="e">
        <f t="shared" ca="1" si="301"/>
        <v>#REF!</v>
      </c>
      <c r="CZ505" s="164" t="b">
        <f t="shared" si="278"/>
        <v>0</v>
      </c>
      <c r="DA505" s="165" t="b">
        <f t="shared" si="278"/>
        <v>0</v>
      </c>
      <c r="DB505" s="166" t="b">
        <f t="shared" si="278"/>
        <v>0</v>
      </c>
      <c r="DC505" s="164" t="str">
        <f t="shared" si="279"/>
        <v/>
      </c>
      <c r="DD505" s="166" t="str">
        <f t="shared" si="280"/>
        <v/>
      </c>
      <c r="DE505" s="164" t="str">
        <f t="shared" si="281"/>
        <v/>
      </c>
      <c r="DF505" s="166" t="str">
        <f t="shared" si="282"/>
        <v/>
      </c>
      <c r="DG505" s="164" t="str">
        <f t="shared" si="283"/>
        <v/>
      </c>
      <c r="DH505" s="166" t="str">
        <f t="shared" si="284"/>
        <v/>
      </c>
      <c r="DI505" s="164" t="str">
        <f>IFERROR(INDEX(DC$486:DC$534,_xlfn.AGGREGATE(15,6,(ROW(DC$486:DC$534)-ROW(DC$486)+1)/(DC$486:DC$534&lt;&gt;""),ROWS(DI$1:DI20))),"")</f>
        <v/>
      </c>
      <c r="DJ505" s="165" t="str">
        <f>IFERROR(INDEX(DD$486:DD$534,_xlfn.AGGREGATE(15,6,(ROW(DD$486:DD$534)-ROW(DD$486)+1)/(DD$486:DD$534&lt;&gt;""),ROWS(DJ$1:DJ20))),"")</f>
        <v/>
      </c>
      <c r="DK505" s="166" t="str">
        <f t="shared" si="285"/>
        <v/>
      </c>
      <c r="DL505" s="164" t="str">
        <f>IFERROR(INDEX(DE$486:DE$534,_xlfn.AGGREGATE(15,6,(ROW(DE$486:DE$534)-ROW(DE$486)+1)/(DE$486:DE$534&lt;&gt;""),ROWS(DL$1:DL20))),"")</f>
        <v/>
      </c>
      <c r="DM505" s="165" t="str">
        <f>IFERROR(INDEX(DF$486:DF$534,_xlfn.AGGREGATE(15,6,(ROW(DF$486:DF$534)-ROW(DF$486)+1)/(DF$486:DF$534&lt;&gt;""),ROWS(DM$1:DM20))),"")</f>
        <v/>
      </c>
      <c r="DN505" s="166" t="str">
        <f t="shared" si="286"/>
        <v/>
      </c>
      <c r="DO505" s="164" t="str">
        <f>IFERROR(INDEX(DG$486:DG$534,_xlfn.AGGREGATE(15,6,(ROW(DG$486:DG$534)-ROW(DG$486)+1)/(DG$486:DG$534&lt;&gt;""),ROWS(DO$1:DO20))),"")</f>
        <v/>
      </c>
      <c r="DP505" s="165" t="str">
        <f>IFERROR(INDEX(DH$486:DH$534,_xlfn.AGGREGATE(15,6,(ROW(DH$486:DH$534)-ROW(DH$486)+1)/(DH$486:DH$534&lt;&gt;""),ROWS(DP$1:DP20))),"")</f>
        <v/>
      </c>
      <c r="DQ505" s="166" t="str">
        <f t="shared" si="287"/>
        <v/>
      </c>
      <c r="DR505" s="65"/>
      <c r="DV505" s="145">
        <v>2034</v>
      </c>
      <c r="DW505" s="235" t="e">
        <f t="shared" ca="1" si="271"/>
        <v>#REF!</v>
      </c>
    </row>
    <row r="506" spans="1:135" ht="13.8" x14ac:dyDescent="0.45">
      <c r="B506" s="128">
        <v>2032</v>
      </c>
      <c r="C506" s="951"/>
      <c r="D506" s="795"/>
      <c r="E506" s="292"/>
      <c r="F506" s="914"/>
      <c r="G506" s="919"/>
      <c r="H506" s="292"/>
      <c r="I506" s="1112"/>
      <c r="J506" s="1150"/>
      <c r="K506" s="919"/>
      <c r="L506" s="293"/>
      <c r="M506" s="292"/>
      <c r="N506" s="29" t="s">
        <v>119</v>
      </c>
      <c r="O506" s="120"/>
      <c r="P506" s="120"/>
      <c r="Q506" s="120"/>
      <c r="R506" s="29">
        <v>18</v>
      </c>
      <c r="S506" s="288" t="str">
        <f t="shared" si="272"/>
        <v/>
      </c>
      <c r="T506" s="288" t="str">
        <f t="shared" si="273"/>
        <v/>
      </c>
      <c r="U506" s="288" t="str">
        <f t="shared" si="274"/>
        <v/>
      </c>
      <c r="W506" s="288" t="e">
        <f t="shared" si="275"/>
        <v>#N/A</v>
      </c>
      <c r="X506" s="288" t="e">
        <f t="shared" si="276"/>
        <v>#N/A</v>
      </c>
      <c r="Y506" s="288" t="e">
        <f t="shared" si="277"/>
        <v>#N/A</v>
      </c>
      <c r="AA506" s="89"/>
      <c r="AB506" s="89"/>
      <c r="AC506" s="89"/>
      <c r="AD506" s="89"/>
      <c r="AE506" s="89"/>
      <c r="AF506" s="89"/>
      <c r="AG506" s="89"/>
      <c r="AH506" s="89"/>
      <c r="AI506" s="89"/>
      <c r="AJ506" s="89"/>
      <c r="AK506" s="89"/>
      <c r="AL506" s="89"/>
      <c r="AM506" s="89"/>
      <c r="AN506" s="89"/>
      <c r="BR506" s="180">
        <v>2030</v>
      </c>
      <c r="BS506" s="22">
        <v>16</v>
      </c>
      <c r="BT506" s="289" t="e">
        <f t="shared" si="288"/>
        <v>#DIV/0!</v>
      </c>
      <c r="BU506" s="290" t="e">
        <f t="shared" si="289"/>
        <v>#DIV/0!</v>
      </c>
      <c r="BV506" s="205" t="e">
        <f t="shared" si="290"/>
        <v>#DIV/0!</v>
      </c>
      <c r="BY506" s="180">
        <v>2030</v>
      </c>
      <c r="BZ506" s="22">
        <v>16</v>
      </c>
      <c r="CA506" s="289" t="e">
        <f t="shared" ca="1" si="291"/>
        <v>#REF!</v>
      </c>
      <c r="CB506" s="289" t="e">
        <f t="shared" ca="1" si="292"/>
        <v>#REF!</v>
      </c>
      <c r="CC506" s="290" t="e">
        <f t="shared" ca="1" si="303"/>
        <v>#REF!</v>
      </c>
      <c r="CD506" s="205" t="e">
        <f t="shared" ca="1" si="293"/>
        <v>#REF!</v>
      </c>
      <c r="CG506" s="180">
        <v>2030</v>
      </c>
      <c r="CH506" s="22">
        <v>16</v>
      </c>
      <c r="CI506" s="289" t="e">
        <f t="shared" ca="1" si="294"/>
        <v>#REF!</v>
      </c>
      <c r="CJ506" s="289" t="e">
        <f t="shared" ca="1" si="295"/>
        <v>#REF!</v>
      </c>
      <c r="CK506" s="289" t="e">
        <f t="shared" ca="1" si="296"/>
        <v>#REF!</v>
      </c>
      <c r="CL506" s="290" t="e">
        <f t="shared" ca="1" si="297"/>
        <v>#REF!</v>
      </c>
      <c r="CM506" s="205" t="e">
        <f t="shared" ca="1" si="298"/>
        <v>#REF!</v>
      </c>
      <c r="CP506" s="180">
        <v>2030</v>
      </c>
      <c r="CQ506" s="22">
        <v>16</v>
      </c>
      <c r="CR506" s="289" t="e">
        <f t="shared" ca="1" si="299"/>
        <v>#REF!</v>
      </c>
      <c r="CS506" s="290" t="e">
        <f t="shared" ca="1" si="300"/>
        <v>#REF!</v>
      </c>
      <c r="CT506" s="205" t="e">
        <f t="shared" ca="1" si="301"/>
        <v>#REF!</v>
      </c>
      <c r="CZ506" s="164" t="b">
        <f t="shared" si="278"/>
        <v>0</v>
      </c>
      <c r="DA506" s="165" t="b">
        <f t="shared" si="278"/>
        <v>0</v>
      </c>
      <c r="DB506" s="166" t="b">
        <f t="shared" si="278"/>
        <v>0</v>
      </c>
      <c r="DC506" s="164" t="str">
        <f t="shared" si="279"/>
        <v/>
      </c>
      <c r="DD506" s="166" t="str">
        <f t="shared" si="280"/>
        <v/>
      </c>
      <c r="DE506" s="164" t="str">
        <f t="shared" si="281"/>
        <v/>
      </c>
      <c r="DF506" s="166" t="str">
        <f t="shared" si="282"/>
        <v/>
      </c>
      <c r="DG506" s="164" t="str">
        <f t="shared" si="283"/>
        <v/>
      </c>
      <c r="DH506" s="166" t="str">
        <f t="shared" si="284"/>
        <v/>
      </c>
      <c r="DI506" s="164" t="str">
        <f>IFERROR(INDEX(DC$486:DC$534,_xlfn.AGGREGATE(15,6,(ROW(DC$486:DC$534)-ROW(DC$486)+1)/(DC$486:DC$534&lt;&gt;""),ROWS(DI$1:DI21))),"")</f>
        <v/>
      </c>
      <c r="DJ506" s="165" t="str">
        <f>IFERROR(INDEX(DD$486:DD$534,_xlfn.AGGREGATE(15,6,(ROW(DD$486:DD$534)-ROW(DD$486)+1)/(DD$486:DD$534&lt;&gt;""),ROWS(DJ$1:DJ21))),"")</f>
        <v/>
      </c>
      <c r="DK506" s="166" t="str">
        <f t="shared" si="285"/>
        <v/>
      </c>
      <c r="DL506" s="164" t="str">
        <f>IFERROR(INDEX(DE$486:DE$534,_xlfn.AGGREGATE(15,6,(ROW(DE$486:DE$534)-ROW(DE$486)+1)/(DE$486:DE$534&lt;&gt;""),ROWS(DL$1:DL21))),"")</f>
        <v/>
      </c>
      <c r="DM506" s="165" t="str">
        <f>IFERROR(INDEX(DF$486:DF$534,_xlfn.AGGREGATE(15,6,(ROW(DF$486:DF$534)-ROW(DF$486)+1)/(DF$486:DF$534&lt;&gt;""),ROWS(DM$1:DM21))),"")</f>
        <v/>
      </c>
      <c r="DN506" s="166" t="str">
        <f t="shared" si="286"/>
        <v/>
      </c>
      <c r="DO506" s="164" t="str">
        <f>IFERROR(INDEX(DG$486:DG$534,_xlfn.AGGREGATE(15,6,(ROW(DG$486:DG$534)-ROW(DG$486)+1)/(DG$486:DG$534&lt;&gt;""),ROWS(DO$1:DO21))),"")</f>
        <v/>
      </c>
      <c r="DP506" s="165" t="str">
        <f>IFERROR(INDEX(DH$486:DH$534,_xlfn.AGGREGATE(15,6,(ROW(DH$486:DH$534)-ROW(DH$486)+1)/(DH$486:DH$534&lt;&gt;""),ROWS(DP$1:DP21))),"")</f>
        <v/>
      </c>
      <c r="DQ506" s="166" t="str">
        <f t="shared" si="287"/>
        <v/>
      </c>
      <c r="DR506" s="65"/>
      <c r="DV506" s="145">
        <v>2035</v>
      </c>
      <c r="DW506" s="235" t="e">
        <f t="shared" ca="1" si="271"/>
        <v>#REF!</v>
      </c>
    </row>
    <row r="507" spans="1:135" ht="13.8" x14ac:dyDescent="0.45">
      <c r="B507" s="128">
        <v>2033</v>
      </c>
      <c r="C507" s="951"/>
      <c r="D507" s="795"/>
      <c r="E507" s="292"/>
      <c r="F507" s="914"/>
      <c r="G507" s="919"/>
      <c r="H507" s="292"/>
      <c r="I507" s="1112"/>
      <c r="J507" s="1150"/>
      <c r="K507" s="919"/>
      <c r="L507" s="293"/>
      <c r="M507" s="292"/>
      <c r="N507" s="29" t="s">
        <v>119</v>
      </c>
      <c r="O507" s="120"/>
      <c r="P507" s="120"/>
      <c r="Q507" s="120"/>
      <c r="R507" s="29">
        <v>19</v>
      </c>
      <c r="S507" s="288" t="str">
        <f t="shared" si="272"/>
        <v/>
      </c>
      <c r="T507" s="288" t="str">
        <f t="shared" si="273"/>
        <v/>
      </c>
      <c r="U507" s="288" t="str">
        <f t="shared" si="274"/>
        <v/>
      </c>
      <c r="W507" s="288" t="e">
        <f t="shared" si="275"/>
        <v>#N/A</v>
      </c>
      <c r="X507" s="288" t="e">
        <f t="shared" si="276"/>
        <v>#N/A</v>
      </c>
      <c r="Y507" s="288" t="e">
        <f t="shared" si="277"/>
        <v>#N/A</v>
      </c>
      <c r="AA507" s="89"/>
      <c r="AB507" s="89"/>
      <c r="AC507" s="89"/>
      <c r="AD507" s="89"/>
      <c r="AE507" s="89"/>
      <c r="AF507" s="89"/>
      <c r="AG507" s="89"/>
      <c r="AH507" s="89"/>
      <c r="AI507" s="89"/>
      <c r="AJ507" s="89"/>
      <c r="AK507" s="89"/>
      <c r="AL507" s="89"/>
      <c r="AM507" s="89"/>
      <c r="AN507" s="89"/>
      <c r="BR507" s="180">
        <v>2031</v>
      </c>
      <c r="BS507" s="22">
        <v>17</v>
      </c>
      <c r="BT507" s="289" t="e">
        <f t="shared" si="288"/>
        <v>#DIV/0!</v>
      </c>
      <c r="BU507" s="290" t="e">
        <f t="shared" si="289"/>
        <v>#DIV/0!</v>
      </c>
      <c r="BV507" s="205" t="e">
        <f t="shared" si="290"/>
        <v>#DIV/0!</v>
      </c>
      <c r="BY507" s="180">
        <v>2031</v>
      </c>
      <c r="BZ507" s="22">
        <v>17</v>
      </c>
      <c r="CA507" s="289" t="e">
        <f t="shared" ca="1" si="291"/>
        <v>#REF!</v>
      </c>
      <c r="CB507" s="289" t="e">
        <f t="shared" ca="1" si="292"/>
        <v>#REF!</v>
      </c>
      <c r="CC507" s="290" t="e">
        <f t="shared" ca="1" si="303"/>
        <v>#REF!</v>
      </c>
      <c r="CD507" s="205" t="e">
        <f t="shared" ca="1" si="293"/>
        <v>#REF!</v>
      </c>
      <c r="CG507" s="180">
        <v>2031</v>
      </c>
      <c r="CH507" s="22">
        <v>17</v>
      </c>
      <c r="CI507" s="289" t="e">
        <f t="shared" ca="1" si="294"/>
        <v>#REF!</v>
      </c>
      <c r="CJ507" s="289" t="e">
        <f t="shared" ca="1" si="295"/>
        <v>#REF!</v>
      </c>
      <c r="CK507" s="289" t="e">
        <f t="shared" ca="1" si="296"/>
        <v>#REF!</v>
      </c>
      <c r="CL507" s="290" t="e">
        <f t="shared" ca="1" si="297"/>
        <v>#REF!</v>
      </c>
      <c r="CM507" s="205" t="e">
        <f t="shared" ca="1" si="298"/>
        <v>#REF!</v>
      </c>
      <c r="CP507" s="180">
        <v>2031</v>
      </c>
      <c r="CQ507" s="22">
        <v>17</v>
      </c>
      <c r="CR507" s="289" t="e">
        <f t="shared" ca="1" si="299"/>
        <v>#REF!</v>
      </c>
      <c r="CS507" s="290" t="e">
        <f t="shared" ca="1" si="300"/>
        <v>#REF!</v>
      </c>
      <c r="CT507" s="205" t="e">
        <f t="shared" ca="1" si="301"/>
        <v>#REF!</v>
      </c>
      <c r="CZ507" s="164" t="b">
        <f t="shared" si="278"/>
        <v>0</v>
      </c>
      <c r="DA507" s="165" t="b">
        <f t="shared" si="278"/>
        <v>0</v>
      </c>
      <c r="DB507" s="166" t="b">
        <f t="shared" si="278"/>
        <v>0</v>
      </c>
      <c r="DC507" s="164" t="str">
        <f t="shared" si="279"/>
        <v/>
      </c>
      <c r="DD507" s="166" t="str">
        <f t="shared" si="280"/>
        <v/>
      </c>
      <c r="DE507" s="164" t="str">
        <f t="shared" si="281"/>
        <v/>
      </c>
      <c r="DF507" s="166" t="str">
        <f t="shared" si="282"/>
        <v/>
      </c>
      <c r="DG507" s="164" t="str">
        <f t="shared" si="283"/>
        <v/>
      </c>
      <c r="DH507" s="166" t="str">
        <f t="shared" si="284"/>
        <v/>
      </c>
      <c r="DI507" s="164" t="str">
        <f>IFERROR(INDEX(DC$486:DC$534,_xlfn.AGGREGATE(15,6,(ROW(DC$486:DC$534)-ROW(DC$486)+1)/(DC$486:DC$534&lt;&gt;""),ROWS(DI$1:DI22))),"")</f>
        <v/>
      </c>
      <c r="DJ507" s="165" t="str">
        <f>IFERROR(INDEX(DD$486:DD$534,_xlfn.AGGREGATE(15,6,(ROW(DD$486:DD$534)-ROW(DD$486)+1)/(DD$486:DD$534&lt;&gt;""),ROWS(DJ$1:DJ22))),"")</f>
        <v/>
      </c>
      <c r="DK507" s="166" t="str">
        <f t="shared" si="285"/>
        <v/>
      </c>
      <c r="DL507" s="164" t="str">
        <f>IFERROR(INDEX(DE$486:DE$534,_xlfn.AGGREGATE(15,6,(ROW(DE$486:DE$534)-ROW(DE$486)+1)/(DE$486:DE$534&lt;&gt;""),ROWS(DL$1:DL22))),"")</f>
        <v/>
      </c>
      <c r="DM507" s="165" t="str">
        <f>IFERROR(INDEX(DF$486:DF$534,_xlfn.AGGREGATE(15,6,(ROW(DF$486:DF$534)-ROW(DF$486)+1)/(DF$486:DF$534&lt;&gt;""),ROWS(DM$1:DM22))),"")</f>
        <v/>
      </c>
      <c r="DN507" s="166" t="str">
        <f t="shared" si="286"/>
        <v/>
      </c>
      <c r="DO507" s="164" t="str">
        <f>IFERROR(INDEX(DG$486:DG$534,_xlfn.AGGREGATE(15,6,(ROW(DG$486:DG$534)-ROW(DG$486)+1)/(DG$486:DG$534&lt;&gt;""),ROWS(DO$1:DO22))),"")</f>
        <v/>
      </c>
      <c r="DP507" s="165" t="str">
        <f>IFERROR(INDEX(DH$486:DH$534,_xlfn.AGGREGATE(15,6,(ROW(DH$486:DH$534)-ROW(DH$486)+1)/(DH$486:DH$534&lt;&gt;""),ROWS(DP$1:DP22))),"")</f>
        <v/>
      </c>
      <c r="DQ507" s="166" t="str">
        <f t="shared" si="287"/>
        <v/>
      </c>
      <c r="DR507" s="65"/>
      <c r="DV507" s="145">
        <v>2036</v>
      </c>
      <c r="DW507" s="235" t="e">
        <f t="shared" ca="1" si="271"/>
        <v>#REF!</v>
      </c>
    </row>
    <row r="508" spans="1:135" ht="13.8" x14ac:dyDescent="0.45">
      <c r="B508" s="128">
        <v>2034</v>
      </c>
      <c r="C508" s="951"/>
      <c r="D508" s="795"/>
      <c r="E508" s="292"/>
      <c r="F508" s="914"/>
      <c r="G508" s="919"/>
      <c r="H508" s="292"/>
      <c r="I508" s="1112"/>
      <c r="J508" s="1150"/>
      <c r="K508" s="919"/>
      <c r="L508" s="293"/>
      <c r="M508" s="292"/>
      <c r="N508" s="29" t="s">
        <v>119</v>
      </c>
      <c r="O508" s="120"/>
      <c r="P508" s="120"/>
      <c r="Q508" s="120"/>
      <c r="R508" s="29">
        <v>20</v>
      </c>
      <c r="S508" s="288" t="str">
        <f t="shared" si="272"/>
        <v/>
      </c>
      <c r="T508" s="288" t="str">
        <f t="shared" si="273"/>
        <v/>
      </c>
      <c r="U508" s="288" t="str">
        <f t="shared" si="274"/>
        <v/>
      </c>
      <c r="W508" s="288" t="e">
        <f t="shared" si="275"/>
        <v>#N/A</v>
      </c>
      <c r="X508" s="288" t="e">
        <f t="shared" si="276"/>
        <v>#N/A</v>
      </c>
      <c r="Y508" s="288" t="e">
        <f t="shared" si="277"/>
        <v>#N/A</v>
      </c>
      <c r="AA508" s="89"/>
      <c r="AB508" s="89"/>
      <c r="AC508" s="89"/>
      <c r="AD508" s="89"/>
      <c r="AE508" s="89"/>
      <c r="AF508" s="89"/>
      <c r="AG508" s="89"/>
      <c r="AH508" s="89"/>
      <c r="AI508" s="89"/>
      <c r="AJ508" s="89"/>
      <c r="AK508" s="89"/>
      <c r="AL508" s="89"/>
      <c r="AM508" s="89"/>
      <c r="AN508" s="89"/>
      <c r="BR508" s="180">
        <v>2032</v>
      </c>
      <c r="BS508" s="22">
        <v>18</v>
      </c>
      <c r="BT508" s="289" t="e">
        <f t="shared" si="288"/>
        <v>#DIV/0!</v>
      </c>
      <c r="BU508" s="290" t="e">
        <f t="shared" si="289"/>
        <v>#DIV/0!</v>
      </c>
      <c r="BV508" s="205" t="e">
        <f t="shared" si="290"/>
        <v>#DIV/0!</v>
      </c>
      <c r="BY508" s="180">
        <v>2032</v>
      </c>
      <c r="BZ508" s="22">
        <v>18</v>
      </c>
      <c r="CA508" s="289" t="e">
        <f t="shared" ca="1" si="291"/>
        <v>#REF!</v>
      </c>
      <c r="CB508" s="289" t="e">
        <f t="shared" ca="1" si="292"/>
        <v>#REF!</v>
      </c>
      <c r="CC508" s="290" t="e">
        <f t="shared" ca="1" si="303"/>
        <v>#REF!</v>
      </c>
      <c r="CD508" s="205" t="e">
        <f t="shared" ca="1" si="293"/>
        <v>#REF!</v>
      </c>
      <c r="CG508" s="180">
        <v>2032</v>
      </c>
      <c r="CH508" s="22">
        <v>18</v>
      </c>
      <c r="CI508" s="289" t="e">
        <f t="shared" ca="1" si="294"/>
        <v>#REF!</v>
      </c>
      <c r="CJ508" s="289" t="e">
        <f t="shared" ca="1" si="295"/>
        <v>#REF!</v>
      </c>
      <c r="CK508" s="289" t="e">
        <f t="shared" ca="1" si="296"/>
        <v>#REF!</v>
      </c>
      <c r="CL508" s="290" t="e">
        <f t="shared" ca="1" si="297"/>
        <v>#REF!</v>
      </c>
      <c r="CM508" s="205" t="e">
        <f t="shared" ca="1" si="298"/>
        <v>#REF!</v>
      </c>
      <c r="CP508" s="180">
        <v>2032</v>
      </c>
      <c r="CQ508" s="22">
        <v>18</v>
      </c>
      <c r="CR508" s="289" t="e">
        <f t="shared" ca="1" si="299"/>
        <v>#REF!</v>
      </c>
      <c r="CS508" s="290" t="e">
        <f t="shared" ca="1" si="300"/>
        <v>#REF!</v>
      </c>
      <c r="CT508" s="205" t="e">
        <f t="shared" ca="1" si="301"/>
        <v>#REF!</v>
      </c>
      <c r="CZ508" s="164" t="b">
        <f t="shared" si="278"/>
        <v>0</v>
      </c>
      <c r="DA508" s="165" t="b">
        <f t="shared" si="278"/>
        <v>0</v>
      </c>
      <c r="DB508" s="166" t="b">
        <f t="shared" si="278"/>
        <v>0</v>
      </c>
      <c r="DC508" s="164" t="str">
        <f t="shared" si="279"/>
        <v/>
      </c>
      <c r="DD508" s="166" t="str">
        <f t="shared" si="280"/>
        <v/>
      </c>
      <c r="DE508" s="164" t="str">
        <f t="shared" si="281"/>
        <v/>
      </c>
      <c r="DF508" s="166" t="str">
        <f t="shared" si="282"/>
        <v/>
      </c>
      <c r="DG508" s="164" t="str">
        <f t="shared" si="283"/>
        <v/>
      </c>
      <c r="DH508" s="166" t="str">
        <f t="shared" si="284"/>
        <v/>
      </c>
      <c r="DI508" s="164" t="str">
        <f>IFERROR(INDEX(DC$486:DC$534,_xlfn.AGGREGATE(15,6,(ROW(DC$486:DC$534)-ROW(DC$486)+1)/(DC$486:DC$534&lt;&gt;""),ROWS(DI$1:DI23))),"")</f>
        <v/>
      </c>
      <c r="DJ508" s="165" t="str">
        <f>IFERROR(INDEX(DD$486:DD$534,_xlfn.AGGREGATE(15,6,(ROW(DD$486:DD$534)-ROW(DD$486)+1)/(DD$486:DD$534&lt;&gt;""),ROWS(DJ$1:DJ23))),"")</f>
        <v/>
      </c>
      <c r="DK508" s="166" t="str">
        <f t="shared" si="285"/>
        <v/>
      </c>
      <c r="DL508" s="164" t="str">
        <f>IFERROR(INDEX(DE$486:DE$534,_xlfn.AGGREGATE(15,6,(ROW(DE$486:DE$534)-ROW(DE$486)+1)/(DE$486:DE$534&lt;&gt;""),ROWS(DL$1:DL23))),"")</f>
        <v/>
      </c>
      <c r="DM508" s="165" t="str">
        <f>IFERROR(INDEX(DF$486:DF$534,_xlfn.AGGREGATE(15,6,(ROW(DF$486:DF$534)-ROW(DF$486)+1)/(DF$486:DF$534&lt;&gt;""),ROWS(DM$1:DM23))),"")</f>
        <v/>
      </c>
      <c r="DN508" s="166" t="str">
        <f t="shared" si="286"/>
        <v/>
      </c>
      <c r="DO508" s="164" t="str">
        <f>IFERROR(INDEX(DG$486:DG$534,_xlfn.AGGREGATE(15,6,(ROW(DG$486:DG$534)-ROW(DG$486)+1)/(DG$486:DG$534&lt;&gt;""),ROWS(DO$1:DO23))),"")</f>
        <v/>
      </c>
      <c r="DP508" s="165" t="str">
        <f>IFERROR(INDEX(DH$486:DH$534,_xlfn.AGGREGATE(15,6,(ROW(DH$486:DH$534)-ROW(DH$486)+1)/(DH$486:DH$534&lt;&gt;""),ROWS(DP$1:DP23))),"")</f>
        <v/>
      </c>
      <c r="DQ508" s="166" t="str">
        <f t="shared" si="287"/>
        <v/>
      </c>
      <c r="DR508" s="65"/>
      <c r="DV508" s="145">
        <v>2037</v>
      </c>
      <c r="DW508" s="235" t="e">
        <f t="shared" ca="1" si="271"/>
        <v>#REF!</v>
      </c>
    </row>
    <row r="509" spans="1:135" ht="13.8" x14ac:dyDescent="0.45">
      <c r="B509" s="128">
        <v>2035</v>
      </c>
      <c r="C509" s="951"/>
      <c r="D509" s="795"/>
      <c r="E509" s="292"/>
      <c r="F509" s="914"/>
      <c r="G509" s="919"/>
      <c r="H509" s="292"/>
      <c r="I509" s="1112"/>
      <c r="J509" s="1150"/>
      <c r="K509" s="919"/>
      <c r="L509" s="293"/>
      <c r="M509" s="292"/>
      <c r="N509" s="29" t="s">
        <v>119</v>
      </c>
      <c r="O509" s="120"/>
      <c r="P509" s="120"/>
      <c r="Q509" s="120"/>
      <c r="R509" s="29">
        <v>21</v>
      </c>
      <c r="S509" s="288" t="str">
        <f t="shared" si="272"/>
        <v/>
      </c>
      <c r="T509" s="288" t="str">
        <f t="shared" si="273"/>
        <v/>
      </c>
      <c r="U509" s="288" t="str">
        <f t="shared" si="274"/>
        <v/>
      </c>
      <c r="W509" s="288" t="e">
        <f t="shared" si="275"/>
        <v>#N/A</v>
      </c>
      <c r="X509" s="288" t="e">
        <f t="shared" si="276"/>
        <v>#N/A</v>
      </c>
      <c r="Y509" s="288" t="e">
        <f t="shared" si="277"/>
        <v>#N/A</v>
      </c>
      <c r="AA509" s="89"/>
      <c r="AB509" s="89"/>
      <c r="AC509" s="89"/>
      <c r="AD509" s="89"/>
      <c r="AE509" s="89"/>
      <c r="AF509" s="89"/>
      <c r="AG509" s="89"/>
      <c r="AH509" s="89"/>
      <c r="AI509" s="89"/>
      <c r="AJ509" s="89"/>
      <c r="AK509" s="89"/>
      <c r="AL509" s="89"/>
      <c r="AM509" s="89"/>
      <c r="AN509" s="89"/>
      <c r="BR509" s="180">
        <v>2033</v>
      </c>
      <c r="BS509" s="22">
        <v>19</v>
      </c>
      <c r="BT509" s="289" t="e">
        <f t="shared" si="288"/>
        <v>#DIV/0!</v>
      </c>
      <c r="BU509" s="290" t="e">
        <f t="shared" si="289"/>
        <v>#DIV/0!</v>
      </c>
      <c r="BV509" s="205" t="e">
        <f t="shared" si="290"/>
        <v>#DIV/0!</v>
      </c>
      <c r="BY509" s="180">
        <v>2033</v>
      </c>
      <c r="BZ509" s="22">
        <v>19</v>
      </c>
      <c r="CA509" s="289" t="e">
        <f t="shared" ca="1" si="291"/>
        <v>#REF!</v>
      </c>
      <c r="CB509" s="289" t="e">
        <f t="shared" ca="1" si="292"/>
        <v>#REF!</v>
      </c>
      <c r="CC509" s="290" t="e">
        <f t="shared" ca="1" si="303"/>
        <v>#REF!</v>
      </c>
      <c r="CD509" s="205" t="e">
        <f t="shared" ca="1" si="293"/>
        <v>#REF!</v>
      </c>
      <c r="CG509" s="180">
        <v>2033</v>
      </c>
      <c r="CH509" s="22">
        <v>19</v>
      </c>
      <c r="CI509" s="289" t="e">
        <f t="shared" ca="1" si="294"/>
        <v>#REF!</v>
      </c>
      <c r="CJ509" s="289" t="e">
        <f t="shared" ca="1" si="295"/>
        <v>#REF!</v>
      </c>
      <c r="CK509" s="289" t="e">
        <f t="shared" ca="1" si="296"/>
        <v>#REF!</v>
      </c>
      <c r="CL509" s="290" t="e">
        <f t="shared" ca="1" si="297"/>
        <v>#REF!</v>
      </c>
      <c r="CM509" s="205" t="e">
        <f t="shared" ca="1" si="298"/>
        <v>#REF!</v>
      </c>
      <c r="CP509" s="180">
        <v>2033</v>
      </c>
      <c r="CQ509" s="22">
        <v>19</v>
      </c>
      <c r="CR509" s="289" t="e">
        <f t="shared" ca="1" si="299"/>
        <v>#REF!</v>
      </c>
      <c r="CS509" s="290" t="e">
        <f t="shared" ca="1" si="300"/>
        <v>#REF!</v>
      </c>
      <c r="CT509" s="205" t="e">
        <f t="shared" ca="1" si="301"/>
        <v>#REF!</v>
      </c>
      <c r="CZ509" s="164" t="b">
        <f t="shared" si="278"/>
        <v>0</v>
      </c>
      <c r="DA509" s="165" t="b">
        <f t="shared" si="278"/>
        <v>0</v>
      </c>
      <c r="DB509" s="166" t="b">
        <f t="shared" si="278"/>
        <v>0</v>
      </c>
      <c r="DC509" s="164" t="str">
        <f t="shared" si="279"/>
        <v/>
      </c>
      <c r="DD509" s="166" t="str">
        <f t="shared" si="280"/>
        <v/>
      </c>
      <c r="DE509" s="164" t="str">
        <f t="shared" si="281"/>
        <v/>
      </c>
      <c r="DF509" s="166" t="str">
        <f t="shared" si="282"/>
        <v/>
      </c>
      <c r="DG509" s="164" t="str">
        <f t="shared" si="283"/>
        <v/>
      </c>
      <c r="DH509" s="166" t="str">
        <f t="shared" si="284"/>
        <v/>
      </c>
      <c r="DI509" s="164" t="str">
        <f>IFERROR(INDEX(DC$486:DC$534,_xlfn.AGGREGATE(15,6,(ROW(DC$486:DC$534)-ROW(DC$486)+1)/(DC$486:DC$534&lt;&gt;""),ROWS(DI$1:DI24))),"")</f>
        <v/>
      </c>
      <c r="DJ509" s="165" t="str">
        <f>IFERROR(INDEX(DD$486:DD$534,_xlfn.AGGREGATE(15,6,(ROW(DD$486:DD$534)-ROW(DD$486)+1)/(DD$486:DD$534&lt;&gt;""),ROWS(DJ$1:DJ24))),"")</f>
        <v/>
      </c>
      <c r="DK509" s="166" t="str">
        <f t="shared" si="285"/>
        <v/>
      </c>
      <c r="DL509" s="164" t="str">
        <f>IFERROR(INDEX(DE$486:DE$534,_xlfn.AGGREGATE(15,6,(ROW(DE$486:DE$534)-ROW(DE$486)+1)/(DE$486:DE$534&lt;&gt;""),ROWS(DL$1:DL24))),"")</f>
        <v/>
      </c>
      <c r="DM509" s="165" t="str">
        <f>IFERROR(INDEX(DF$486:DF$534,_xlfn.AGGREGATE(15,6,(ROW(DF$486:DF$534)-ROW(DF$486)+1)/(DF$486:DF$534&lt;&gt;""),ROWS(DM$1:DM24))),"")</f>
        <v/>
      </c>
      <c r="DN509" s="166" t="str">
        <f t="shared" si="286"/>
        <v/>
      </c>
      <c r="DO509" s="164" t="str">
        <f>IFERROR(INDEX(DG$486:DG$534,_xlfn.AGGREGATE(15,6,(ROW(DG$486:DG$534)-ROW(DG$486)+1)/(DG$486:DG$534&lt;&gt;""),ROWS(DO$1:DO24))),"")</f>
        <v/>
      </c>
      <c r="DP509" s="165" t="str">
        <f>IFERROR(INDEX(DH$486:DH$534,_xlfn.AGGREGATE(15,6,(ROW(DH$486:DH$534)-ROW(DH$486)+1)/(DH$486:DH$534&lt;&gt;""),ROWS(DP$1:DP24))),"")</f>
        <v/>
      </c>
      <c r="DQ509" s="166" t="str">
        <f t="shared" si="287"/>
        <v/>
      </c>
      <c r="DR509" s="65"/>
      <c r="DV509" s="145">
        <v>2038</v>
      </c>
      <c r="DW509" s="235" t="e">
        <f t="shared" ca="1" si="271"/>
        <v>#REF!</v>
      </c>
    </row>
    <row r="510" spans="1:135" ht="13.8" x14ac:dyDescent="0.45">
      <c r="B510" s="128">
        <v>2036</v>
      </c>
      <c r="C510" s="951"/>
      <c r="D510" s="795"/>
      <c r="E510" s="292"/>
      <c r="F510" s="914"/>
      <c r="G510" s="919"/>
      <c r="H510" s="292"/>
      <c r="I510" s="1112"/>
      <c r="J510" s="1150"/>
      <c r="K510" s="919"/>
      <c r="L510" s="293"/>
      <c r="M510" s="292"/>
      <c r="N510" s="29" t="s">
        <v>119</v>
      </c>
      <c r="O510" s="120"/>
      <c r="P510" s="120"/>
      <c r="Q510" s="120"/>
      <c r="R510" s="29">
        <v>22</v>
      </c>
      <c r="S510" s="288" t="str">
        <f t="shared" si="272"/>
        <v/>
      </c>
      <c r="T510" s="288" t="str">
        <f t="shared" si="273"/>
        <v/>
      </c>
      <c r="U510" s="288" t="str">
        <f t="shared" si="274"/>
        <v/>
      </c>
      <c r="W510" s="288" t="e">
        <f t="shared" si="275"/>
        <v>#N/A</v>
      </c>
      <c r="X510" s="288" t="e">
        <f t="shared" si="276"/>
        <v>#N/A</v>
      </c>
      <c r="Y510" s="288" t="e">
        <f t="shared" si="277"/>
        <v>#N/A</v>
      </c>
      <c r="AA510" s="89"/>
      <c r="AB510" s="89"/>
      <c r="AC510" s="89"/>
      <c r="AD510" s="89"/>
      <c r="AE510" s="89"/>
      <c r="AF510" s="89"/>
      <c r="AG510" s="89"/>
      <c r="AH510" s="89"/>
      <c r="AI510" s="89"/>
      <c r="AJ510" s="89"/>
      <c r="AK510" s="89"/>
      <c r="AL510" s="89"/>
      <c r="AM510" s="89"/>
      <c r="AN510" s="89"/>
      <c r="BR510" s="180">
        <v>2034</v>
      </c>
      <c r="BS510" s="22">
        <v>20</v>
      </c>
      <c r="BT510" s="289" t="e">
        <f t="shared" si="288"/>
        <v>#DIV/0!</v>
      </c>
      <c r="BU510" s="290" t="e">
        <f t="shared" si="289"/>
        <v>#DIV/0!</v>
      </c>
      <c r="BV510" s="205" t="e">
        <f t="shared" si="290"/>
        <v>#DIV/0!</v>
      </c>
      <c r="BY510" s="180">
        <v>2034</v>
      </c>
      <c r="BZ510" s="22">
        <v>20</v>
      </c>
      <c r="CA510" s="289" t="e">
        <f t="shared" ca="1" si="291"/>
        <v>#REF!</v>
      </c>
      <c r="CB510" s="289" t="e">
        <f t="shared" ca="1" si="292"/>
        <v>#REF!</v>
      </c>
      <c r="CC510" s="290" t="e">
        <f t="shared" ca="1" si="303"/>
        <v>#REF!</v>
      </c>
      <c r="CD510" s="205" t="e">
        <f t="shared" ca="1" si="293"/>
        <v>#REF!</v>
      </c>
      <c r="CG510" s="180">
        <v>2034</v>
      </c>
      <c r="CH510" s="22">
        <v>20</v>
      </c>
      <c r="CI510" s="289" t="e">
        <f t="shared" ca="1" si="294"/>
        <v>#REF!</v>
      </c>
      <c r="CJ510" s="289" t="e">
        <f t="shared" ca="1" si="295"/>
        <v>#REF!</v>
      </c>
      <c r="CK510" s="289" t="e">
        <f t="shared" ca="1" si="296"/>
        <v>#REF!</v>
      </c>
      <c r="CL510" s="290" t="e">
        <f t="shared" ca="1" si="297"/>
        <v>#REF!</v>
      </c>
      <c r="CM510" s="205" t="e">
        <f t="shared" ca="1" si="298"/>
        <v>#REF!</v>
      </c>
      <c r="CP510" s="180">
        <v>2034</v>
      </c>
      <c r="CQ510" s="22">
        <v>20</v>
      </c>
      <c r="CR510" s="289" t="e">
        <f t="shared" ca="1" si="299"/>
        <v>#REF!</v>
      </c>
      <c r="CS510" s="290" t="e">
        <f t="shared" ca="1" si="300"/>
        <v>#REF!</v>
      </c>
      <c r="CT510" s="205" t="e">
        <f t="shared" ca="1" si="301"/>
        <v>#REF!</v>
      </c>
      <c r="CZ510" s="164" t="b">
        <f t="shared" si="278"/>
        <v>0</v>
      </c>
      <c r="DA510" s="165" t="b">
        <f t="shared" si="278"/>
        <v>0</v>
      </c>
      <c r="DB510" s="166" t="b">
        <f t="shared" si="278"/>
        <v>0</v>
      </c>
      <c r="DC510" s="164" t="str">
        <f t="shared" si="279"/>
        <v/>
      </c>
      <c r="DD510" s="166" t="str">
        <f t="shared" si="280"/>
        <v/>
      </c>
      <c r="DE510" s="164" t="str">
        <f t="shared" si="281"/>
        <v/>
      </c>
      <c r="DF510" s="166" t="str">
        <f t="shared" si="282"/>
        <v/>
      </c>
      <c r="DG510" s="164" t="str">
        <f t="shared" si="283"/>
        <v/>
      </c>
      <c r="DH510" s="166" t="str">
        <f t="shared" si="284"/>
        <v/>
      </c>
      <c r="DI510" s="164" t="str">
        <f>IFERROR(INDEX(DC$486:DC$534,_xlfn.AGGREGATE(15,6,(ROW(DC$486:DC$534)-ROW(DC$486)+1)/(DC$486:DC$534&lt;&gt;""),ROWS(DI$1:DI25))),"")</f>
        <v/>
      </c>
      <c r="DJ510" s="165" t="str">
        <f>IFERROR(INDEX(DD$486:DD$534,_xlfn.AGGREGATE(15,6,(ROW(DD$486:DD$534)-ROW(DD$486)+1)/(DD$486:DD$534&lt;&gt;""),ROWS(DJ$1:DJ25))),"")</f>
        <v/>
      </c>
      <c r="DK510" s="166" t="str">
        <f t="shared" si="285"/>
        <v/>
      </c>
      <c r="DL510" s="164" t="str">
        <f>IFERROR(INDEX(DE$486:DE$534,_xlfn.AGGREGATE(15,6,(ROW(DE$486:DE$534)-ROW(DE$486)+1)/(DE$486:DE$534&lt;&gt;""),ROWS(DL$1:DL25))),"")</f>
        <v/>
      </c>
      <c r="DM510" s="165" t="str">
        <f>IFERROR(INDEX(DF$486:DF$534,_xlfn.AGGREGATE(15,6,(ROW(DF$486:DF$534)-ROW(DF$486)+1)/(DF$486:DF$534&lt;&gt;""),ROWS(DM$1:DM25))),"")</f>
        <v/>
      </c>
      <c r="DN510" s="166" t="str">
        <f t="shared" si="286"/>
        <v/>
      </c>
      <c r="DO510" s="164" t="str">
        <f>IFERROR(INDEX(DG$486:DG$534,_xlfn.AGGREGATE(15,6,(ROW(DG$486:DG$534)-ROW(DG$486)+1)/(DG$486:DG$534&lt;&gt;""),ROWS(DO$1:DO25))),"")</f>
        <v/>
      </c>
      <c r="DP510" s="165" t="str">
        <f>IFERROR(INDEX(DH$486:DH$534,_xlfn.AGGREGATE(15,6,(ROW(DH$486:DH$534)-ROW(DH$486)+1)/(DH$486:DH$534&lt;&gt;""),ROWS(DP$1:DP25))),"")</f>
        <v/>
      </c>
      <c r="DQ510" s="166" t="str">
        <f t="shared" si="287"/>
        <v/>
      </c>
      <c r="DR510" s="65"/>
      <c r="DV510" s="145">
        <v>2039</v>
      </c>
      <c r="DW510" s="235" t="e">
        <f t="shared" ca="1" si="271"/>
        <v>#REF!</v>
      </c>
    </row>
    <row r="511" spans="1:135" ht="13.8" x14ac:dyDescent="0.45">
      <c r="B511" s="128">
        <v>2037</v>
      </c>
      <c r="C511" s="951"/>
      <c r="D511" s="795"/>
      <c r="E511" s="292"/>
      <c r="F511" s="914"/>
      <c r="G511" s="919"/>
      <c r="H511" s="292"/>
      <c r="I511" s="1112"/>
      <c r="J511" s="1150"/>
      <c r="K511" s="919"/>
      <c r="L511" s="293"/>
      <c r="M511" s="292"/>
      <c r="N511" s="29" t="s">
        <v>119</v>
      </c>
      <c r="O511" s="120"/>
      <c r="P511" s="120"/>
      <c r="Q511" s="120"/>
      <c r="R511" s="29">
        <v>23</v>
      </c>
      <c r="S511" s="288" t="str">
        <f t="shared" si="272"/>
        <v/>
      </c>
      <c r="T511" s="288" t="str">
        <f t="shared" si="273"/>
        <v/>
      </c>
      <c r="U511" s="288" t="str">
        <f t="shared" si="274"/>
        <v/>
      </c>
      <c r="W511" s="288" t="e">
        <f t="shared" si="275"/>
        <v>#N/A</v>
      </c>
      <c r="X511" s="288" t="e">
        <f t="shared" si="276"/>
        <v>#N/A</v>
      </c>
      <c r="Y511" s="288" t="e">
        <f t="shared" si="277"/>
        <v>#N/A</v>
      </c>
      <c r="AA511" s="89"/>
      <c r="AB511" s="89"/>
      <c r="AC511" s="89"/>
      <c r="AD511" s="89"/>
      <c r="AE511" s="89"/>
      <c r="AF511" s="89"/>
      <c r="AG511" s="89"/>
      <c r="AH511" s="89"/>
      <c r="AI511" s="89"/>
      <c r="AJ511" s="89"/>
      <c r="AK511" s="89"/>
      <c r="AL511" s="89"/>
      <c r="AM511" s="89"/>
      <c r="AN511" s="89"/>
      <c r="BR511" s="180">
        <v>2035</v>
      </c>
      <c r="BS511" s="22">
        <v>21</v>
      </c>
      <c r="BT511" s="289" t="e">
        <f t="shared" si="288"/>
        <v>#DIV/0!</v>
      </c>
      <c r="BU511" s="290" t="e">
        <f t="shared" si="289"/>
        <v>#DIV/0!</v>
      </c>
      <c r="BV511" s="205" t="e">
        <f t="shared" si="290"/>
        <v>#DIV/0!</v>
      </c>
      <c r="BY511" s="180">
        <v>2035</v>
      </c>
      <c r="BZ511" s="22">
        <v>21</v>
      </c>
      <c r="CA511" s="289" t="e">
        <f t="shared" ca="1" si="291"/>
        <v>#REF!</v>
      </c>
      <c r="CB511" s="289" t="e">
        <f t="shared" ca="1" si="292"/>
        <v>#REF!</v>
      </c>
      <c r="CC511" s="290" t="e">
        <f t="shared" ca="1" si="303"/>
        <v>#REF!</v>
      </c>
      <c r="CD511" s="205" t="e">
        <f t="shared" ca="1" si="293"/>
        <v>#REF!</v>
      </c>
      <c r="CG511" s="180">
        <v>2035</v>
      </c>
      <c r="CH511" s="22">
        <v>21</v>
      </c>
      <c r="CI511" s="289" t="e">
        <f t="shared" ca="1" si="294"/>
        <v>#REF!</v>
      </c>
      <c r="CJ511" s="289" t="e">
        <f t="shared" ca="1" si="295"/>
        <v>#REF!</v>
      </c>
      <c r="CK511" s="289" t="e">
        <f t="shared" ca="1" si="296"/>
        <v>#REF!</v>
      </c>
      <c r="CL511" s="290" t="e">
        <f t="shared" ca="1" si="297"/>
        <v>#REF!</v>
      </c>
      <c r="CM511" s="205" t="e">
        <f t="shared" ca="1" si="298"/>
        <v>#REF!</v>
      </c>
      <c r="CP511" s="180">
        <v>2035</v>
      </c>
      <c r="CQ511" s="22">
        <v>21</v>
      </c>
      <c r="CR511" s="289" t="e">
        <f t="shared" ca="1" si="299"/>
        <v>#REF!</v>
      </c>
      <c r="CS511" s="290" t="e">
        <f t="shared" ca="1" si="300"/>
        <v>#REF!</v>
      </c>
      <c r="CT511" s="205" t="e">
        <f t="shared" ca="1" si="301"/>
        <v>#REF!</v>
      </c>
      <c r="CZ511" s="164" t="b">
        <f t="shared" si="278"/>
        <v>0</v>
      </c>
      <c r="DA511" s="165" t="b">
        <f t="shared" si="278"/>
        <v>0</v>
      </c>
      <c r="DB511" s="166" t="b">
        <f t="shared" si="278"/>
        <v>0</v>
      </c>
      <c r="DC511" s="164" t="str">
        <f t="shared" si="279"/>
        <v/>
      </c>
      <c r="DD511" s="166" t="str">
        <f t="shared" si="280"/>
        <v/>
      </c>
      <c r="DE511" s="164" t="str">
        <f t="shared" si="281"/>
        <v/>
      </c>
      <c r="DF511" s="166" t="str">
        <f t="shared" si="282"/>
        <v/>
      </c>
      <c r="DG511" s="164" t="str">
        <f t="shared" si="283"/>
        <v/>
      </c>
      <c r="DH511" s="166" t="str">
        <f t="shared" si="284"/>
        <v/>
      </c>
      <c r="DI511" s="164" t="str">
        <f>IFERROR(INDEX(DC$486:DC$534,_xlfn.AGGREGATE(15,6,(ROW(DC$486:DC$534)-ROW(DC$486)+1)/(DC$486:DC$534&lt;&gt;""),ROWS(DI$1:DI26))),"")</f>
        <v/>
      </c>
      <c r="DJ511" s="165" t="str">
        <f>IFERROR(INDEX(DD$486:DD$534,_xlfn.AGGREGATE(15,6,(ROW(DD$486:DD$534)-ROW(DD$486)+1)/(DD$486:DD$534&lt;&gt;""),ROWS(DJ$1:DJ26))),"")</f>
        <v/>
      </c>
      <c r="DK511" s="166" t="str">
        <f t="shared" si="285"/>
        <v/>
      </c>
      <c r="DL511" s="164" t="str">
        <f>IFERROR(INDEX(DE$486:DE$534,_xlfn.AGGREGATE(15,6,(ROW(DE$486:DE$534)-ROW(DE$486)+1)/(DE$486:DE$534&lt;&gt;""),ROWS(DL$1:DL26))),"")</f>
        <v/>
      </c>
      <c r="DM511" s="165" t="str">
        <f>IFERROR(INDEX(DF$486:DF$534,_xlfn.AGGREGATE(15,6,(ROW(DF$486:DF$534)-ROW(DF$486)+1)/(DF$486:DF$534&lt;&gt;""),ROWS(DM$1:DM26))),"")</f>
        <v/>
      </c>
      <c r="DN511" s="166" t="str">
        <f t="shared" si="286"/>
        <v/>
      </c>
      <c r="DO511" s="164" t="str">
        <f>IFERROR(INDEX(DG$486:DG$534,_xlfn.AGGREGATE(15,6,(ROW(DG$486:DG$534)-ROW(DG$486)+1)/(DG$486:DG$534&lt;&gt;""),ROWS(DO$1:DO26))),"")</f>
        <v/>
      </c>
      <c r="DP511" s="165" t="str">
        <f>IFERROR(INDEX(DH$486:DH$534,_xlfn.AGGREGATE(15,6,(ROW(DH$486:DH$534)-ROW(DH$486)+1)/(DH$486:DH$534&lt;&gt;""),ROWS(DP$1:DP26))),"")</f>
        <v/>
      </c>
      <c r="DQ511" s="166" t="str">
        <f t="shared" si="287"/>
        <v/>
      </c>
      <c r="DR511" s="65"/>
      <c r="DV511" s="145">
        <v>2040</v>
      </c>
      <c r="DW511" s="235" t="e">
        <f t="shared" ca="1" si="271"/>
        <v>#REF!</v>
      </c>
    </row>
    <row r="512" spans="1:135" ht="13.8" x14ac:dyDescent="0.45">
      <c r="B512" s="128">
        <v>2038</v>
      </c>
      <c r="C512" s="951"/>
      <c r="D512" s="795"/>
      <c r="E512" s="292"/>
      <c r="F512" s="914"/>
      <c r="G512" s="919"/>
      <c r="H512" s="292"/>
      <c r="I512" s="1112"/>
      <c r="J512" s="1150"/>
      <c r="K512" s="919"/>
      <c r="L512" s="293"/>
      <c r="M512" s="292"/>
      <c r="N512" s="29" t="s">
        <v>119</v>
      </c>
      <c r="O512" s="120"/>
      <c r="P512" s="120"/>
      <c r="Q512" s="120"/>
      <c r="R512" s="29">
        <v>24</v>
      </c>
      <c r="S512" s="288" t="str">
        <f t="shared" si="272"/>
        <v/>
      </c>
      <c r="T512" s="288" t="str">
        <f t="shared" si="273"/>
        <v/>
      </c>
      <c r="U512" s="288" t="str">
        <f t="shared" si="274"/>
        <v/>
      </c>
      <c r="W512" s="288" t="e">
        <f t="shared" si="275"/>
        <v>#N/A</v>
      </c>
      <c r="X512" s="288" t="e">
        <f t="shared" si="276"/>
        <v>#N/A</v>
      </c>
      <c r="Y512" s="288" t="e">
        <f t="shared" si="277"/>
        <v>#N/A</v>
      </c>
      <c r="AA512" s="89"/>
      <c r="AB512" s="89"/>
      <c r="AC512" s="89"/>
      <c r="AD512" s="89"/>
      <c r="AE512" s="89"/>
      <c r="AF512" s="89"/>
      <c r="AG512" s="89"/>
      <c r="AH512" s="89"/>
      <c r="AI512" s="89"/>
      <c r="AJ512" s="89"/>
      <c r="AK512" s="89"/>
      <c r="AL512" s="89"/>
      <c r="AM512" s="89"/>
      <c r="AN512" s="89"/>
      <c r="BR512" s="180">
        <v>2036</v>
      </c>
      <c r="BS512" s="22">
        <v>22</v>
      </c>
      <c r="BT512" s="289" t="e">
        <f t="shared" si="288"/>
        <v>#DIV/0!</v>
      </c>
      <c r="BU512" s="290" t="e">
        <f t="shared" si="289"/>
        <v>#DIV/0!</v>
      </c>
      <c r="BV512" s="205" t="e">
        <f t="shared" si="290"/>
        <v>#DIV/0!</v>
      </c>
      <c r="BY512" s="180">
        <v>2036</v>
      </c>
      <c r="BZ512" s="22">
        <v>22</v>
      </c>
      <c r="CA512" s="289" t="e">
        <f t="shared" ca="1" si="291"/>
        <v>#REF!</v>
      </c>
      <c r="CB512" s="289" t="e">
        <f t="shared" ca="1" si="292"/>
        <v>#REF!</v>
      </c>
      <c r="CC512" s="290" t="e">
        <f t="shared" ca="1" si="303"/>
        <v>#REF!</v>
      </c>
      <c r="CD512" s="205" t="e">
        <f t="shared" ca="1" si="293"/>
        <v>#REF!</v>
      </c>
      <c r="CG512" s="180">
        <v>2036</v>
      </c>
      <c r="CH512" s="22">
        <v>22</v>
      </c>
      <c r="CI512" s="289" t="e">
        <f t="shared" ca="1" si="294"/>
        <v>#REF!</v>
      </c>
      <c r="CJ512" s="289" t="e">
        <f t="shared" ca="1" si="295"/>
        <v>#REF!</v>
      </c>
      <c r="CK512" s="289" t="e">
        <f t="shared" ca="1" si="296"/>
        <v>#REF!</v>
      </c>
      <c r="CL512" s="290" t="e">
        <f t="shared" ca="1" si="297"/>
        <v>#REF!</v>
      </c>
      <c r="CM512" s="205" t="e">
        <f t="shared" ca="1" si="298"/>
        <v>#REF!</v>
      </c>
      <c r="CP512" s="180">
        <v>2036</v>
      </c>
      <c r="CQ512" s="22">
        <v>22</v>
      </c>
      <c r="CR512" s="289" t="e">
        <f t="shared" ca="1" si="299"/>
        <v>#REF!</v>
      </c>
      <c r="CS512" s="290" t="e">
        <f t="shared" ca="1" si="300"/>
        <v>#REF!</v>
      </c>
      <c r="CT512" s="205" t="e">
        <f t="shared" ca="1" si="301"/>
        <v>#REF!</v>
      </c>
      <c r="CZ512" s="164" t="b">
        <f t="shared" si="278"/>
        <v>0</v>
      </c>
      <c r="DA512" s="165" t="b">
        <f t="shared" si="278"/>
        <v>0</v>
      </c>
      <c r="DB512" s="166" t="b">
        <f t="shared" si="278"/>
        <v>0</v>
      </c>
      <c r="DC512" s="164" t="str">
        <f t="shared" si="279"/>
        <v/>
      </c>
      <c r="DD512" s="166" t="str">
        <f t="shared" si="280"/>
        <v/>
      </c>
      <c r="DE512" s="164" t="str">
        <f t="shared" si="281"/>
        <v/>
      </c>
      <c r="DF512" s="166" t="str">
        <f t="shared" si="282"/>
        <v/>
      </c>
      <c r="DG512" s="164" t="str">
        <f t="shared" si="283"/>
        <v/>
      </c>
      <c r="DH512" s="166" t="str">
        <f t="shared" si="284"/>
        <v/>
      </c>
      <c r="DI512" s="164" t="str">
        <f>IFERROR(INDEX(DC$486:DC$534,_xlfn.AGGREGATE(15,6,(ROW(DC$486:DC$534)-ROW(DC$486)+1)/(DC$486:DC$534&lt;&gt;""),ROWS(DI$1:DI27))),"")</f>
        <v/>
      </c>
      <c r="DJ512" s="165" t="str">
        <f>IFERROR(INDEX(DD$486:DD$534,_xlfn.AGGREGATE(15,6,(ROW(DD$486:DD$534)-ROW(DD$486)+1)/(DD$486:DD$534&lt;&gt;""),ROWS(DJ$1:DJ27))),"")</f>
        <v/>
      </c>
      <c r="DK512" s="166" t="str">
        <f t="shared" si="285"/>
        <v/>
      </c>
      <c r="DL512" s="164" t="str">
        <f>IFERROR(INDEX(DE$486:DE$534,_xlfn.AGGREGATE(15,6,(ROW(DE$486:DE$534)-ROW(DE$486)+1)/(DE$486:DE$534&lt;&gt;""),ROWS(DL$1:DL27))),"")</f>
        <v/>
      </c>
      <c r="DM512" s="165" t="str">
        <f>IFERROR(INDEX(DF$486:DF$534,_xlfn.AGGREGATE(15,6,(ROW(DF$486:DF$534)-ROW(DF$486)+1)/(DF$486:DF$534&lt;&gt;""),ROWS(DM$1:DM27))),"")</f>
        <v/>
      </c>
      <c r="DN512" s="166" t="str">
        <f t="shared" si="286"/>
        <v/>
      </c>
      <c r="DO512" s="164" t="str">
        <f>IFERROR(INDEX(DG$486:DG$534,_xlfn.AGGREGATE(15,6,(ROW(DG$486:DG$534)-ROW(DG$486)+1)/(DG$486:DG$534&lt;&gt;""),ROWS(DO$1:DO27))),"")</f>
        <v/>
      </c>
      <c r="DP512" s="165" t="str">
        <f>IFERROR(INDEX(DH$486:DH$534,_xlfn.AGGREGATE(15,6,(ROW(DH$486:DH$534)-ROW(DH$486)+1)/(DH$486:DH$534&lt;&gt;""),ROWS(DP$1:DP27))),"")</f>
        <v/>
      </c>
      <c r="DQ512" s="166" t="str">
        <f t="shared" si="287"/>
        <v/>
      </c>
      <c r="DR512" s="65"/>
      <c r="DV512" s="145">
        <v>2041</v>
      </c>
      <c r="DW512" s="235" t="e">
        <f t="shared" ca="1" si="271"/>
        <v>#REF!</v>
      </c>
    </row>
    <row r="513" spans="2:135" ht="13.8" x14ac:dyDescent="0.45">
      <c r="B513" s="128">
        <v>2039</v>
      </c>
      <c r="C513" s="951"/>
      <c r="D513" s="795"/>
      <c r="E513" s="292"/>
      <c r="F513" s="914"/>
      <c r="G513" s="919"/>
      <c r="H513" s="292"/>
      <c r="I513" s="1112"/>
      <c r="J513" s="1150"/>
      <c r="K513" s="919"/>
      <c r="L513" s="293"/>
      <c r="M513" s="292"/>
      <c r="N513" s="29" t="s">
        <v>119</v>
      </c>
      <c r="O513" s="120"/>
      <c r="P513" s="120"/>
      <c r="Q513" s="120"/>
      <c r="R513" s="29">
        <v>25</v>
      </c>
      <c r="S513" s="288" t="str">
        <f t="shared" si="272"/>
        <v/>
      </c>
      <c r="T513" s="288" t="str">
        <f t="shared" si="273"/>
        <v/>
      </c>
      <c r="U513" s="288" t="str">
        <f t="shared" si="274"/>
        <v/>
      </c>
      <c r="W513" s="288" t="e">
        <f t="shared" si="275"/>
        <v>#N/A</v>
      </c>
      <c r="X513" s="288" t="e">
        <f t="shared" si="276"/>
        <v>#N/A</v>
      </c>
      <c r="Y513" s="288" t="e">
        <f t="shared" si="277"/>
        <v>#N/A</v>
      </c>
      <c r="AA513" s="89"/>
      <c r="AB513" s="89"/>
      <c r="AC513" s="89"/>
      <c r="AD513" s="89"/>
      <c r="AE513" s="89"/>
      <c r="AF513" s="89"/>
      <c r="AG513" s="89"/>
      <c r="AH513" s="89"/>
      <c r="AI513" s="89"/>
      <c r="AJ513" s="89"/>
      <c r="AK513" s="89"/>
      <c r="AL513" s="89"/>
      <c r="AM513" s="89"/>
      <c r="AN513" s="89"/>
      <c r="BR513" s="180">
        <v>2037</v>
      </c>
      <c r="BS513" s="22">
        <v>23</v>
      </c>
      <c r="BT513" s="289" t="e">
        <f t="shared" si="288"/>
        <v>#DIV/0!</v>
      </c>
      <c r="BU513" s="290" t="e">
        <f t="shared" si="289"/>
        <v>#DIV/0!</v>
      </c>
      <c r="BV513" s="205" t="e">
        <f t="shared" si="290"/>
        <v>#DIV/0!</v>
      </c>
      <c r="BY513" s="180">
        <v>2037</v>
      </c>
      <c r="BZ513" s="22">
        <v>23</v>
      </c>
      <c r="CA513" s="289" t="e">
        <f t="shared" ca="1" si="291"/>
        <v>#REF!</v>
      </c>
      <c r="CB513" s="289" t="e">
        <f t="shared" ca="1" si="292"/>
        <v>#REF!</v>
      </c>
      <c r="CC513" s="290" t="e">
        <f t="shared" ca="1" si="303"/>
        <v>#REF!</v>
      </c>
      <c r="CD513" s="205" t="e">
        <f t="shared" ca="1" si="293"/>
        <v>#REF!</v>
      </c>
      <c r="CG513" s="180">
        <v>2037</v>
      </c>
      <c r="CH513" s="22">
        <v>23</v>
      </c>
      <c r="CI513" s="289" t="e">
        <f t="shared" ca="1" si="294"/>
        <v>#REF!</v>
      </c>
      <c r="CJ513" s="289" t="e">
        <f t="shared" ca="1" si="295"/>
        <v>#REF!</v>
      </c>
      <c r="CK513" s="289" t="e">
        <f t="shared" ca="1" si="296"/>
        <v>#REF!</v>
      </c>
      <c r="CL513" s="290" t="e">
        <f t="shared" ca="1" si="297"/>
        <v>#REF!</v>
      </c>
      <c r="CM513" s="205" t="e">
        <f t="shared" ca="1" si="298"/>
        <v>#REF!</v>
      </c>
      <c r="CP513" s="180">
        <v>2037</v>
      </c>
      <c r="CQ513" s="22">
        <v>23</v>
      </c>
      <c r="CR513" s="289" t="e">
        <f t="shared" ca="1" si="299"/>
        <v>#REF!</v>
      </c>
      <c r="CS513" s="290" t="e">
        <f t="shared" ca="1" si="300"/>
        <v>#REF!</v>
      </c>
      <c r="CT513" s="205" t="e">
        <f t="shared" ca="1" si="301"/>
        <v>#REF!</v>
      </c>
      <c r="CZ513" s="164" t="b">
        <f t="shared" si="278"/>
        <v>0</v>
      </c>
      <c r="DA513" s="165" t="b">
        <f t="shared" si="278"/>
        <v>0</v>
      </c>
      <c r="DB513" s="166" t="b">
        <f t="shared" si="278"/>
        <v>0</v>
      </c>
      <c r="DC513" s="164" t="str">
        <f t="shared" si="279"/>
        <v/>
      </c>
      <c r="DD513" s="166" t="str">
        <f t="shared" si="280"/>
        <v/>
      </c>
      <c r="DE513" s="164" t="str">
        <f t="shared" si="281"/>
        <v/>
      </c>
      <c r="DF513" s="166" t="str">
        <f t="shared" si="282"/>
        <v/>
      </c>
      <c r="DG513" s="164" t="str">
        <f t="shared" si="283"/>
        <v/>
      </c>
      <c r="DH513" s="166" t="str">
        <f t="shared" si="284"/>
        <v/>
      </c>
      <c r="DI513" s="164" t="str">
        <f>IFERROR(INDEX(DC$486:DC$534,_xlfn.AGGREGATE(15,6,(ROW(DC$486:DC$534)-ROW(DC$486)+1)/(DC$486:DC$534&lt;&gt;""),ROWS(DI$1:DI28))),"")</f>
        <v/>
      </c>
      <c r="DJ513" s="165" t="str">
        <f>IFERROR(INDEX(DD$486:DD$534,_xlfn.AGGREGATE(15,6,(ROW(DD$486:DD$534)-ROW(DD$486)+1)/(DD$486:DD$534&lt;&gt;""),ROWS(DJ$1:DJ28))),"")</f>
        <v/>
      </c>
      <c r="DK513" s="166" t="str">
        <f t="shared" si="285"/>
        <v/>
      </c>
      <c r="DL513" s="164" t="str">
        <f>IFERROR(INDEX(DE$486:DE$534,_xlfn.AGGREGATE(15,6,(ROW(DE$486:DE$534)-ROW(DE$486)+1)/(DE$486:DE$534&lt;&gt;""),ROWS(DL$1:DL28))),"")</f>
        <v/>
      </c>
      <c r="DM513" s="165" t="str">
        <f>IFERROR(INDEX(DF$486:DF$534,_xlfn.AGGREGATE(15,6,(ROW(DF$486:DF$534)-ROW(DF$486)+1)/(DF$486:DF$534&lt;&gt;""),ROWS(DM$1:DM28))),"")</f>
        <v/>
      </c>
      <c r="DN513" s="166" t="str">
        <f t="shared" si="286"/>
        <v/>
      </c>
      <c r="DO513" s="164" t="str">
        <f>IFERROR(INDEX(DG$486:DG$534,_xlfn.AGGREGATE(15,6,(ROW(DG$486:DG$534)-ROW(DG$486)+1)/(DG$486:DG$534&lt;&gt;""),ROWS(DO$1:DO28))),"")</f>
        <v/>
      </c>
      <c r="DP513" s="165" t="str">
        <f>IFERROR(INDEX(DH$486:DH$534,_xlfn.AGGREGATE(15,6,(ROW(DH$486:DH$534)-ROW(DH$486)+1)/(DH$486:DH$534&lt;&gt;""),ROWS(DP$1:DP28))),"")</f>
        <v/>
      </c>
      <c r="DQ513" s="166" t="str">
        <f t="shared" si="287"/>
        <v/>
      </c>
      <c r="DR513" s="65"/>
      <c r="DV513" s="145">
        <v>2042</v>
      </c>
      <c r="DW513" s="235" t="e">
        <f t="shared" ca="1" si="271"/>
        <v>#REF!</v>
      </c>
    </row>
    <row r="514" spans="2:135" ht="13.8" x14ac:dyDescent="0.45">
      <c r="B514" s="128">
        <v>2040</v>
      </c>
      <c r="C514" s="951"/>
      <c r="D514" s="795"/>
      <c r="E514" s="292"/>
      <c r="F514" s="914"/>
      <c r="G514" s="919"/>
      <c r="H514" s="292"/>
      <c r="I514" s="1112"/>
      <c r="J514" s="1150"/>
      <c r="K514" s="919"/>
      <c r="L514" s="293"/>
      <c r="M514" s="292"/>
      <c r="N514" s="29" t="s">
        <v>119</v>
      </c>
      <c r="O514" s="120"/>
      <c r="P514" s="120"/>
      <c r="Q514" s="120"/>
      <c r="R514" s="29">
        <v>26</v>
      </c>
      <c r="S514" s="288" t="str">
        <f t="shared" si="272"/>
        <v/>
      </c>
      <c r="T514" s="288" t="str">
        <f t="shared" si="273"/>
        <v/>
      </c>
      <c r="U514" s="288" t="str">
        <f t="shared" si="274"/>
        <v/>
      </c>
      <c r="W514" s="288" t="e">
        <f t="shared" si="275"/>
        <v>#N/A</v>
      </c>
      <c r="X514" s="288" t="e">
        <f t="shared" si="276"/>
        <v>#N/A</v>
      </c>
      <c r="Y514" s="288" t="e">
        <f t="shared" si="277"/>
        <v>#N/A</v>
      </c>
      <c r="AA514" s="89"/>
      <c r="AB514" s="89"/>
      <c r="AC514" s="89"/>
      <c r="AD514" s="89"/>
      <c r="AE514" s="89"/>
      <c r="AF514" s="89"/>
      <c r="AG514" s="89"/>
      <c r="AH514" s="89"/>
      <c r="AI514" s="89"/>
      <c r="AJ514" s="89"/>
      <c r="AK514" s="89"/>
      <c r="AL514" s="89"/>
      <c r="AM514" s="89"/>
      <c r="AN514" s="89"/>
      <c r="BR514" s="180">
        <v>2038</v>
      </c>
      <c r="BS514" s="22">
        <v>24</v>
      </c>
      <c r="BT514" s="289" t="e">
        <f t="shared" si="288"/>
        <v>#DIV/0!</v>
      </c>
      <c r="BU514" s="290" t="e">
        <f t="shared" si="289"/>
        <v>#DIV/0!</v>
      </c>
      <c r="BV514" s="205" t="e">
        <f t="shared" si="290"/>
        <v>#DIV/0!</v>
      </c>
      <c r="BY514" s="180">
        <v>2038</v>
      </c>
      <c r="BZ514" s="22">
        <v>24</v>
      </c>
      <c r="CA514" s="289" t="e">
        <f t="shared" ca="1" si="291"/>
        <v>#REF!</v>
      </c>
      <c r="CB514" s="289" t="e">
        <f t="shared" ca="1" si="292"/>
        <v>#REF!</v>
      </c>
      <c r="CC514" s="290" t="e">
        <f t="shared" ca="1" si="303"/>
        <v>#REF!</v>
      </c>
      <c r="CD514" s="205" t="e">
        <f t="shared" ca="1" si="293"/>
        <v>#REF!</v>
      </c>
      <c r="CG514" s="180">
        <v>2038</v>
      </c>
      <c r="CH514" s="22">
        <v>24</v>
      </c>
      <c r="CI514" s="289" t="e">
        <f t="shared" ca="1" si="294"/>
        <v>#REF!</v>
      </c>
      <c r="CJ514" s="289" t="e">
        <f t="shared" ca="1" si="295"/>
        <v>#REF!</v>
      </c>
      <c r="CK514" s="289" t="e">
        <f t="shared" ca="1" si="296"/>
        <v>#REF!</v>
      </c>
      <c r="CL514" s="290" t="e">
        <f t="shared" ca="1" si="297"/>
        <v>#REF!</v>
      </c>
      <c r="CM514" s="205" t="e">
        <f t="shared" ca="1" si="298"/>
        <v>#REF!</v>
      </c>
      <c r="CP514" s="180">
        <v>2038</v>
      </c>
      <c r="CQ514" s="22">
        <v>24</v>
      </c>
      <c r="CR514" s="289" t="e">
        <f t="shared" ca="1" si="299"/>
        <v>#REF!</v>
      </c>
      <c r="CS514" s="290" t="e">
        <f t="shared" ca="1" si="300"/>
        <v>#REF!</v>
      </c>
      <c r="CT514" s="205" t="e">
        <f t="shared" ca="1" si="301"/>
        <v>#REF!</v>
      </c>
      <c r="CZ514" s="164" t="b">
        <f t="shared" si="278"/>
        <v>0</v>
      </c>
      <c r="DA514" s="165" t="b">
        <f t="shared" si="278"/>
        <v>0</v>
      </c>
      <c r="DB514" s="166" t="b">
        <f t="shared" si="278"/>
        <v>0</v>
      </c>
      <c r="DC514" s="164" t="str">
        <f t="shared" si="279"/>
        <v/>
      </c>
      <c r="DD514" s="166" t="str">
        <f t="shared" si="280"/>
        <v/>
      </c>
      <c r="DE514" s="164" t="str">
        <f t="shared" si="281"/>
        <v/>
      </c>
      <c r="DF514" s="166" t="str">
        <f t="shared" si="282"/>
        <v/>
      </c>
      <c r="DG514" s="164" t="str">
        <f t="shared" si="283"/>
        <v/>
      </c>
      <c r="DH514" s="166" t="str">
        <f t="shared" si="284"/>
        <v/>
      </c>
      <c r="DI514" s="164" t="str">
        <f>IFERROR(INDEX(DC$486:DC$534,_xlfn.AGGREGATE(15,6,(ROW(DC$486:DC$534)-ROW(DC$486)+1)/(DC$486:DC$534&lt;&gt;""),ROWS(DI$1:DI29))),"")</f>
        <v/>
      </c>
      <c r="DJ514" s="165" t="str">
        <f>IFERROR(INDEX(DD$486:DD$534,_xlfn.AGGREGATE(15,6,(ROW(DD$486:DD$534)-ROW(DD$486)+1)/(DD$486:DD$534&lt;&gt;""),ROWS(DJ$1:DJ29))),"")</f>
        <v/>
      </c>
      <c r="DK514" s="166" t="str">
        <f t="shared" si="285"/>
        <v/>
      </c>
      <c r="DL514" s="164" t="str">
        <f>IFERROR(INDEX(DE$486:DE$534,_xlfn.AGGREGATE(15,6,(ROW(DE$486:DE$534)-ROW(DE$486)+1)/(DE$486:DE$534&lt;&gt;""),ROWS(DL$1:DL29))),"")</f>
        <v/>
      </c>
      <c r="DM514" s="165" t="str">
        <f>IFERROR(INDEX(DF$486:DF$534,_xlfn.AGGREGATE(15,6,(ROW(DF$486:DF$534)-ROW(DF$486)+1)/(DF$486:DF$534&lt;&gt;""),ROWS(DM$1:DM29))),"")</f>
        <v/>
      </c>
      <c r="DN514" s="166" t="str">
        <f t="shared" si="286"/>
        <v/>
      </c>
      <c r="DO514" s="164" t="str">
        <f>IFERROR(INDEX(DG$486:DG$534,_xlfn.AGGREGATE(15,6,(ROW(DG$486:DG$534)-ROW(DG$486)+1)/(DG$486:DG$534&lt;&gt;""),ROWS(DO$1:DO29))),"")</f>
        <v/>
      </c>
      <c r="DP514" s="165" t="str">
        <f>IFERROR(INDEX(DH$486:DH$534,_xlfn.AGGREGATE(15,6,(ROW(DH$486:DH$534)-ROW(DH$486)+1)/(DH$486:DH$534&lt;&gt;""),ROWS(DP$1:DP29))),"")</f>
        <v/>
      </c>
      <c r="DQ514" s="166" t="str">
        <f t="shared" si="287"/>
        <v/>
      </c>
      <c r="DR514" s="65"/>
      <c r="DV514" s="145">
        <v>2043</v>
      </c>
      <c r="DW514" s="235" t="e">
        <f t="shared" ca="1" si="271"/>
        <v>#REF!</v>
      </c>
      <c r="EA514" s="55"/>
      <c r="EB514" s="55"/>
      <c r="EC514" s="55"/>
      <c r="ED514" s="55"/>
      <c r="EE514" s="55"/>
    </row>
    <row r="515" spans="2:135" ht="13.8" x14ac:dyDescent="0.45">
      <c r="B515" s="128">
        <v>2041</v>
      </c>
      <c r="C515" s="951"/>
      <c r="D515" s="795"/>
      <c r="E515" s="292"/>
      <c r="F515" s="914"/>
      <c r="G515" s="919"/>
      <c r="H515" s="292"/>
      <c r="I515" s="1112"/>
      <c r="J515" s="1150"/>
      <c r="K515" s="919"/>
      <c r="L515" s="293"/>
      <c r="M515" s="292"/>
      <c r="N515" s="29" t="s">
        <v>119</v>
      </c>
      <c r="O515" s="120"/>
      <c r="P515" s="120"/>
      <c r="Q515" s="120"/>
      <c r="R515" s="29">
        <v>27</v>
      </c>
      <c r="S515" s="288" t="str">
        <f t="shared" si="272"/>
        <v/>
      </c>
      <c r="T515" s="288" t="str">
        <f t="shared" si="273"/>
        <v/>
      </c>
      <c r="U515" s="288" t="str">
        <f t="shared" si="274"/>
        <v/>
      </c>
      <c r="W515" s="288" t="e">
        <f t="shared" si="275"/>
        <v>#N/A</v>
      </c>
      <c r="X515" s="288" t="e">
        <f t="shared" si="276"/>
        <v>#N/A</v>
      </c>
      <c r="Y515" s="288" t="e">
        <f t="shared" si="277"/>
        <v>#N/A</v>
      </c>
      <c r="AA515" s="89"/>
      <c r="AB515" s="89"/>
      <c r="AC515" s="89"/>
      <c r="AD515" s="89"/>
      <c r="AE515" s="89"/>
      <c r="AF515" s="89"/>
      <c r="AG515" s="89"/>
      <c r="AH515" s="89"/>
      <c r="AI515" s="89"/>
      <c r="AJ515" s="89"/>
      <c r="AK515" s="89"/>
      <c r="AL515" s="89"/>
      <c r="AM515" s="89"/>
      <c r="AN515" s="89"/>
      <c r="BR515" s="180">
        <v>2039</v>
      </c>
      <c r="BS515" s="22">
        <v>25</v>
      </c>
      <c r="BT515" s="289" t="e">
        <f t="shared" si="288"/>
        <v>#DIV/0!</v>
      </c>
      <c r="BU515" s="290" t="e">
        <f t="shared" si="289"/>
        <v>#DIV/0!</v>
      </c>
      <c r="BV515" s="205" t="e">
        <f t="shared" si="290"/>
        <v>#DIV/0!</v>
      </c>
      <c r="BY515" s="180">
        <v>2039</v>
      </c>
      <c r="BZ515" s="22">
        <v>25</v>
      </c>
      <c r="CA515" s="289" t="e">
        <f t="shared" ca="1" si="291"/>
        <v>#REF!</v>
      </c>
      <c r="CB515" s="289" t="e">
        <f t="shared" ca="1" si="292"/>
        <v>#REF!</v>
      </c>
      <c r="CC515" s="290" t="e">
        <f t="shared" ca="1" si="303"/>
        <v>#REF!</v>
      </c>
      <c r="CD515" s="205" t="e">
        <f t="shared" ca="1" si="293"/>
        <v>#REF!</v>
      </c>
      <c r="CG515" s="180">
        <v>2039</v>
      </c>
      <c r="CH515" s="22">
        <v>25</v>
      </c>
      <c r="CI515" s="289" t="e">
        <f t="shared" ca="1" si="294"/>
        <v>#REF!</v>
      </c>
      <c r="CJ515" s="289" t="e">
        <f t="shared" ca="1" si="295"/>
        <v>#REF!</v>
      </c>
      <c r="CK515" s="289" t="e">
        <f t="shared" ca="1" si="296"/>
        <v>#REF!</v>
      </c>
      <c r="CL515" s="290" t="e">
        <f t="shared" ca="1" si="297"/>
        <v>#REF!</v>
      </c>
      <c r="CM515" s="205" t="e">
        <f t="shared" ca="1" si="298"/>
        <v>#REF!</v>
      </c>
      <c r="CP515" s="180">
        <v>2039</v>
      </c>
      <c r="CQ515" s="22">
        <v>25</v>
      </c>
      <c r="CR515" s="289" t="e">
        <f t="shared" ca="1" si="299"/>
        <v>#REF!</v>
      </c>
      <c r="CS515" s="290" t="e">
        <f t="shared" ca="1" si="300"/>
        <v>#REF!</v>
      </c>
      <c r="CT515" s="205" t="e">
        <f t="shared" ca="1" si="301"/>
        <v>#REF!</v>
      </c>
      <c r="CZ515" s="164" t="b">
        <f t="shared" si="278"/>
        <v>0</v>
      </c>
      <c r="DA515" s="165" t="b">
        <f t="shared" si="278"/>
        <v>0</v>
      </c>
      <c r="DB515" s="166" t="b">
        <f t="shared" si="278"/>
        <v>0</v>
      </c>
      <c r="DC515" s="164" t="str">
        <f t="shared" si="279"/>
        <v/>
      </c>
      <c r="DD515" s="166" t="str">
        <f t="shared" si="280"/>
        <v/>
      </c>
      <c r="DE515" s="164" t="str">
        <f t="shared" si="281"/>
        <v/>
      </c>
      <c r="DF515" s="166" t="str">
        <f t="shared" si="282"/>
        <v/>
      </c>
      <c r="DG515" s="164" t="str">
        <f t="shared" si="283"/>
        <v/>
      </c>
      <c r="DH515" s="166" t="str">
        <f t="shared" si="284"/>
        <v/>
      </c>
      <c r="DI515" s="164" t="str">
        <f>IFERROR(INDEX(DC$486:DC$534,_xlfn.AGGREGATE(15,6,(ROW(DC$486:DC$534)-ROW(DC$486)+1)/(DC$486:DC$534&lt;&gt;""),ROWS(DI$1:DI30))),"")</f>
        <v/>
      </c>
      <c r="DJ515" s="165" t="str">
        <f>IFERROR(INDEX(DD$486:DD$534,_xlfn.AGGREGATE(15,6,(ROW(DD$486:DD$534)-ROW(DD$486)+1)/(DD$486:DD$534&lt;&gt;""),ROWS(DJ$1:DJ30))),"")</f>
        <v/>
      </c>
      <c r="DK515" s="166" t="str">
        <f t="shared" si="285"/>
        <v/>
      </c>
      <c r="DL515" s="164" t="str">
        <f>IFERROR(INDEX(DE$486:DE$534,_xlfn.AGGREGATE(15,6,(ROW(DE$486:DE$534)-ROW(DE$486)+1)/(DE$486:DE$534&lt;&gt;""),ROWS(DL$1:DL30))),"")</f>
        <v/>
      </c>
      <c r="DM515" s="165" t="str">
        <f>IFERROR(INDEX(DF$486:DF$534,_xlfn.AGGREGATE(15,6,(ROW(DF$486:DF$534)-ROW(DF$486)+1)/(DF$486:DF$534&lt;&gt;""),ROWS(DM$1:DM30))),"")</f>
        <v/>
      </c>
      <c r="DN515" s="166" t="str">
        <f t="shared" si="286"/>
        <v/>
      </c>
      <c r="DO515" s="164" t="str">
        <f>IFERROR(INDEX(DG$486:DG$534,_xlfn.AGGREGATE(15,6,(ROW(DG$486:DG$534)-ROW(DG$486)+1)/(DG$486:DG$534&lt;&gt;""),ROWS(DO$1:DO30))),"")</f>
        <v/>
      </c>
      <c r="DP515" s="165" t="str">
        <f>IFERROR(INDEX(DH$486:DH$534,_xlfn.AGGREGATE(15,6,(ROW(DH$486:DH$534)-ROW(DH$486)+1)/(DH$486:DH$534&lt;&gt;""),ROWS(DP$1:DP30))),"")</f>
        <v/>
      </c>
      <c r="DQ515" s="166" t="str">
        <f t="shared" si="287"/>
        <v/>
      </c>
      <c r="DR515" s="65"/>
      <c r="DV515" s="145">
        <v>2044</v>
      </c>
      <c r="DW515" s="235" t="e">
        <f t="shared" ca="1" si="271"/>
        <v>#REF!</v>
      </c>
      <c r="EA515" s="55"/>
      <c r="EB515" s="55"/>
      <c r="EC515" s="55"/>
      <c r="ED515" s="55"/>
      <c r="EE515" s="55"/>
    </row>
    <row r="516" spans="2:135" ht="13.8" x14ac:dyDescent="0.45">
      <c r="B516" s="128">
        <v>2042</v>
      </c>
      <c r="C516" s="951"/>
      <c r="D516" s="795"/>
      <c r="E516" s="292"/>
      <c r="F516" s="914"/>
      <c r="G516" s="919"/>
      <c r="H516" s="292"/>
      <c r="I516" s="1112"/>
      <c r="J516" s="1150"/>
      <c r="K516" s="919"/>
      <c r="L516" s="293"/>
      <c r="M516" s="292"/>
      <c r="N516" s="29" t="s">
        <v>119</v>
      </c>
      <c r="O516" s="120"/>
      <c r="P516" s="120"/>
      <c r="Q516" s="120"/>
      <c r="R516" s="29">
        <v>28</v>
      </c>
      <c r="S516" s="288" t="str">
        <f t="shared" si="272"/>
        <v/>
      </c>
      <c r="T516" s="288" t="str">
        <f t="shared" si="273"/>
        <v/>
      </c>
      <c r="U516" s="288" t="str">
        <f t="shared" si="274"/>
        <v/>
      </c>
      <c r="W516" s="288" t="e">
        <f t="shared" si="275"/>
        <v>#N/A</v>
      </c>
      <c r="X516" s="288" t="e">
        <f t="shared" si="276"/>
        <v>#N/A</v>
      </c>
      <c r="Y516" s="288" t="e">
        <f t="shared" si="277"/>
        <v>#N/A</v>
      </c>
      <c r="AA516" s="89"/>
      <c r="AB516" s="89"/>
      <c r="AC516" s="89"/>
      <c r="AD516" s="89"/>
      <c r="AE516" s="89"/>
      <c r="AF516" s="89"/>
      <c r="AG516" s="89"/>
      <c r="AH516" s="89"/>
      <c r="AI516" s="89"/>
      <c r="AJ516" s="89"/>
      <c r="AK516" s="89"/>
      <c r="AL516" s="89"/>
      <c r="AM516" s="89"/>
      <c r="AN516" s="89"/>
      <c r="BR516" s="180">
        <v>2040</v>
      </c>
      <c r="BS516" s="22">
        <v>26</v>
      </c>
      <c r="BT516" s="289" t="e">
        <f t="shared" si="288"/>
        <v>#DIV/0!</v>
      </c>
      <c r="BU516" s="290" t="e">
        <f t="shared" si="289"/>
        <v>#DIV/0!</v>
      </c>
      <c r="BV516" s="205" t="e">
        <f t="shared" si="290"/>
        <v>#DIV/0!</v>
      </c>
      <c r="BY516" s="180">
        <v>2040</v>
      </c>
      <c r="BZ516" s="22">
        <v>26</v>
      </c>
      <c r="CA516" s="289" t="e">
        <f t="shared" ca="1" si="291"/>
        <v>#REF!</v>
      </c>
      <c r="CB516" s="289" t="e">
        <f t="shared" ca="1" si="292"/>
        <v>#REF!</v>
      </c>
      <c r="CC516" s="290" t="e">
        <f t="shared" ca="1" si="303"/>
        <v>#REF!</v>
      </c>
      <c r="CD516" s="205" t="e">
        <f t="shared" ca="1" si="293"/>
        <v>#REF!</v>
      </c>
      <c r="CG516" s="180">
        <v>2040</v>
      </c>
      <c r="CH516" s="22">
        <v>26</v>
      </c>
      <c r="CI516" s="289" t="e">
        <f t="shared" ca="1" si="294"/>
        <v>#REF!</v>
      </c>
      <c r="CJ516" s="289" t="e">
        <f t="shared" ca="1" si="295"/>
        <v>#REF!</v>
      </c>
      <c r="CK516" s="289" t="e">
        <f t="shared" ca="1" si="296"/>
        <v>#REF!</v>
      </c>
      <c r="CL516" s="290" t="e">
        <f t="shared" ca="1" si="297"/>
        <v>#REF!</v>
      </c>
      <c r="CM516" s="205" t="e">
        <f t="shared" ca="1" si="298"/>
        <v>#REF!</v>
      </c>
      <c r="CP516" s="180">
        <v>2040</v>
      </c>
      <c r="CQ516" s="22">
        <v>26</v>
      </c>
      <c r="CR516" s="289" t="e">
        <f t="shared" ca="1" si="299"/>
        <v>#REF!</v>
      </c>
      <c r="CS516" s="290" t="e">
        <f t="shared" ca="1" si="300"/>
        <v>#REF!</v>
      </c>
      <c r="CT516" s="205" t="e">
        <f t="shared" ca="1" si="301"/>
        <v>#REF!</v>
      </c>
      <c r="CZ516" s="164" t="b">
        <f t="shared" si="278"/>
        <v>0</v>
      </c>
      <c r="DA516" s="165" t="b">
        <f t="shared" si="278"/>
        <v>0</v>
      </c>
      <c r="DB516" s="166" t="b">
        <f t="shared" si="278"/>
        <v>0</v>
      </c>
      <c r="DC516" s="164" t="str">
        <f t="shared" si="279"/>
        <v/>
      </c>
      <c r="DD516" s="166" t="str">
        <f t="shared" si="280"/>
        <v/>
      </c>
      <c r="DE516" s="164" t="str">
        <f t="shared" si="281"/>
        <v/>
      </c>
      <c r="DF516" s="166" t="str">
        <f t="shared" si="282"/>
        <v/>
      </c>
      <c r="DG516" s="164" t="str">
        <f t="shared" si="283"/>
        <v/>
      </c>
      <c r="DH516" s="166" t="str">
        <f t="shared" si="284"/>
        <v/>
      </c>
      <c r="DI516" s="164" t="str">
        <f>IFERROR(INDEX(DC$486:DC$534,_xlfn.AGGREGATE(15,6,(ROW(DC$486:DC$534)-ROW(DC$486)+1)/(DC$486:DC$534&lt;&gt;""),ROWS(DI$1:DI31))),"")</f>
        <v/>
      </c>
      <c r="DJ516" s="165" t="str">
        <f>IFERROR(INDEX(DD$486:DD$534,_xlfn.AGGREGATE(15,6,(ROW(DD$486:DD$534)-ROW(DD$486)+1)/(DD$486:DD$534&lt;&gt;""),ROWS(DJ$1:DJ31))),"")</f>
        <v/>
      </c>
      <c r="DK516" s="166" t="str">
        <f t="shared" si="285"/>
        <v/>
      </c>
      <c r="DL516" s="164" t="str">
        <f>IFERROR(INDEX(DE$486:DE$534,_xlfn.AGGREGATE(15,6,(ROW(DE$486:DE$534)-ROW(DE$486)+1)/(DE$486:DE$534&lt;&gt;""),ROWS(DL$1:DL31))),"")</f>
        <v/>
      </c>
      <c r="DM516" s="165" t="str">
        <f>IFERROR(INDEX(DF$486:DF$534,_xlfn.AGGREGATE(15,6,(ROW(DF$486:DF$534)-ROW(DF$486)+1)/(DF$486:DF$534&lt;&gt;""),ROWS(DM$1:DM31))),"")</f>
        <v/>
      </c>
      <c r="DN516" s="166" t="str">
        <f t="shared" si="286"/>
        <v/>
      </c>
      <c r="DO516" s="164" t="str">
        <f>IFERROR(INDEX(DG$486:DG$534,_xlfn.AGGREGATE(15,6,(ROW(DG$486:DG$534)-ROW(DG$486)+1)/(DG$486:DG$534&lt;&gt;""),ROWS(DO$1:DO31))),"")</f>
        <v/>
      </c>
      <c r="DP516" s="165" t="str">
        <f>IFERROR(INDEX(DH$486:DH$534,_xlfn.AGGREGATE(15,6,(ROW(DH$486:DH$534)-ROW(DH$486)+1)/(DH$486:DH$534&lt;&gt;""),ROWS(DP$1:DP31))),"")</f>
        <v/>
      </c>
      <c r="DQ516" s="166" t="str">
        <f t="shared" si="287"/>
        <v/>
      </c>
      <c r="DR516" s="65"/>
      <c r="DV516" s="145">
        <v>2045</v>
      </c>
      <c r="DW516" s="235" t="e">
        <f t="shared" ca="1" si="271"/>
        <v>#REF!</v>
      </c>
      <c r="EA516" s="55"/>
      <c r="EB516" s="55"/>
      <c r="EC516" s="55"/>
      <c r="ED516" s="55"/>
      <c r="EE516" s="55"/>
    </row>
    <row r="517" spans="2:135" ht="13.8" x14ac:dyDescent="0.45">
      <c r="B517" s="128">
        <v>2043</v>
      </c>
      <c r="C517" s="951"/>
      <c r="D517" s="795"/>
      <c r="E517" s="292"/>
      <c r="F517" s="914"/>
      <c r="G517" s="919"/>
      <c r="H517" s="292"/>
      <c r="I517" s="1112"/>
      <c r="J517" s="1150"/>
      <c r="K517" s="919"/>
      <c r="L517" s="293"/>
      <c r="M517" s="292"/>
      <c r="N517" s="29" t="s">
        <v>119</v>
      </c>
      <c r="O517" s="120"/>
      <c r="P517" s="120"/>
      <c r="Q517" s="120"/>
      <c r="R517" s="29">
        <v>29</v>
      </c>
      <c r="S517" s="288" t="str">
        <f t="shared" si="272"/>
        <v/>
      </c>
      <c r="T517" s="288" t="str">
        <f t="shared" si="273"/>
        <v/>
      </c>
      <c r="U517" s="288" t="str">
        <f t="shared" si="274"/>
        <v/>
      </c>
      <c r="W517" s="288" t="e">
        <f t="shared" si="275"/>
        <v>#N/A</v>
      </c>
      <c r="X517" s="288" t="e">
        <f t="shared" si="276"/>
        <v>#N/A</v>
      </c>
      <c r="Y517" s="288" t="e">
        <f t="shared" si="277"/>
        <v>#N/A</v>
      </c>
      <c r="AA517" s="89"/>
      <c r="AB517" s="89"/>
      <c r="AC517" s="89"/>
      <c r="AD517" s="89"/>
      <c r="AE517" s="89"/>
      <c r="AF517" s="89"/>
      <c r="AG517" s="89"/>
      <c r="AH517" s="89"/>
      <c r="AI517" s="89"/>
      <c r="AJ517" s="89"/>
      <c r="AK517" s="89"/>
      <c r="AL517" s="89"/>
      <c r="AM517" s="89"/>
      <c r="AN517" s="89"/>
      <c r="BR517" s="180">
        <v>2041</v>
      </c>
      <c r="BS517" s="22">
        <v>27</v>
      </c>
      <c r="BT517" s="289" t="e">
        <f t="shared" si="288"/>
        <v>#DIV/0!</v>
      </c>
      <c r="BU517" s="290" t="e">
        <f t="shared" si="289"/>
        <v>#DIV/0!</v>
      </c>
      <c r="BV517" s="205" t="e">
        <f t="shared" si="290"/>
        <v>#DIV/0!</v>
      </c>
      <c r="BY517" s="180">
        <v>2041</v>
      </c>
      <c r="BZ517" s="22">
        <v>27</v>
      </c>
      <c r="CA517" s="289" t="e">
        <f t="shared" ca="1" si="291"/>
        <v>#REF!</v>
      </c>
      <c r="CB517" s="289" t="e">
        <f t="shared" ca="1" si="292"/>
        <v>#REF!</v>
      </c>
      <c r="CC517" s="290" t="e">
        <f t="shared" ca="1" si="303"/>
        <v>#REF!</v>
      </c>
      <c r="CD517" s="205" t="e">
        <f t="shared" ca="1" si="293"/>
        <v>#REF!</v>
      </c>
      <c r="CG517" s="180">
        <v>2041</v>
      </c>
      <c r="CH517" s="22">
        <v>27</v>
      </c>
      <c r="CI517" s="289" t="e">
        <f t="shared" ca="1" si="294"/>
        <v>#REF!</v>
      </c>
      <c r="CJ517" s="289" t="e">
        <f t="shared" ca="1" si="295"/>
        <v>#REF!</v>
      </c>
      <c r="CK517" s="289" t="e">
        <f t="shared" ca="1" si="296"/>
        <v>#REF!</v>
      </c>
      <c r="CL517" s="290" t="e">
        <f t="shared" ca="1" si="297"/>
        <v>#REF!</v>
      </c>
      <c r="CM517" s="205" t="e">
        <f t="shared" ca="1" si="298"/>
        <v>#REF!</v>
      </c>
      <c r="CP517" s="180">
        <v>2041</v>
      </c>
      <c r="CQ517" s="22">
        <v>27</v>
      </c>
      <c r="CR517" s="289" t="e">
        <f t="shared" ca="1" si="299"/>
        <v>#REF!</v>
      </c>
      <c r="CS517" s="290" t="e">
        <f t="shared" ca="1" si="300"/>
        <v>#REF!</v>
      </c>
      <c r="CT517" s="205" t="e">
        <f t="shared" ca="1" si="301"/>
        <v>#REF!</v>
      </c>
      <c r="CZ517" s="164" t="b">
        <f t="shared" si="278"/>
        <v>0</v>
      </c>
      <c r="DA517" s="165" t="b">
        <f t="shared" si="278"/>
        <v>0</v>
      </c>
      <c r="DB517" s="166" t="b">
        <f t="shared" si="278"/>
        <v>0</v>
      </c>
      <c r="DC517" s="164" t="str">
        <f t="shared" si="279"/>
        <v/>
      </c>
      <c r="DD517" s="166" t="str">
        <f t="shared" si="280"/>
        <v/>
      </c>
      <c r="DE517" s="164" t="str">
        <f t="shared" si="281"/>
        <v/>
      </c>
      <c r="DF517" s="166" t="str">
        <f t="shared" si="282"/>
        <v/>
      </c>
      <c r="DG517" s="164" t="str">
        <f t="shared" si="283"/>
        <v/>
      </c>
      <c r="DH517" s="166" t="str">
        <f t="shared" si="284"/>
        <v/>
      </c>
      <c r="DI517" s="164" t="str">
        <f>IFERROR(INDEX(DC$486:DC$534,_xlfn.AGGREGATE(15,6,(ROW(DC$486:DC$534)-ROW(DC$486)+1)/(DC$486:DC$534&lt;&gt;""),ROWS(DI$1:DI32))),"")</f>
        <v/>
      </c>
      <c r="DJ517" s="165" t="str">
        <f>IFERROR(INDEX(DD$486:DD$534,_xlfn.AGGREGATE(15,6,(ROW(DD$486:DD$534)-ROW(DD$486)+1)/(DD$486:DD$534&lt;&gt;""),ROWS(DJ$1:DJ32))),"")</f>
        <v/>
      </c>
      <c r="DK517" s="166" t="str">
        <f t="shared" si="285"/>
        <v/>
      </c>
      <c r="DL517" s="164" t="str">
        <f>IFERROR(INDEX(DE$486:DE$534,_xlfn.AGGREGATE(15,6,(ROW(DE$486:DE$534)-ROW(DE$486)+1)/(DE$486:DE$534&lt;&gt;""),ROWS(DL$1:DL32))),"")</f>
        <v/>
      </c>
      <c r="DM517" s="165" t="str">
        <f>IFERROR(INDEX(DF$486:DF$534,_xlfn.AGGREGATE(15,6,(ROW(DF$486:DF$534)-ROW(DF$486)+1)/(DF$486:DF$534&lt;&gt;""),ROWS(DM$1:DM32))),"")</f>
        <v/>
      </c>
      <c r="DN517" s="166" t="str">
        <f t="shared" si="286"/>
        <v/>
      </c>
      <c r="DO517" s="164" t="str">
        <f>IFERROR(INDEX(DG$486:DG$534,_xlfn.AGGREGATE(15,6,(ROW(DG$486:DG$534)-ROW(DG$486)+1)/(DG$486:DG$534&lt;&gt;""),ROWS(DO$1:DO32))),"")</f>
        <v/>
      </c>
      <c r="DP517" s="165" t="str">
        <f>IFERROR(INDEX(DH$486:DH$534,_xlfn.AGGREGATE(15,6,(ROW(DH$486:DH$534)-ROW(DH$486)+1)/(DH$486:DH$534&lt;&gt;""),ROWS(DP$1:DP32))),"")</f>
        <v/>
      </c>
      <c r="DQ517" s="166" t="str">
        <f t="shared" si="287"/>
        <v/>
      </c>
      <c r="DR517" s="65"/>
      <c r="DV517" s="145">
        <v>2046</v>
      </c>
      <c r="DW517" s="235" t="e">
        <f t="shared" ca="1" si="271"/>
        <v>#REF!</v>
      </c>
      <c r="EA517" s="55"/>
      <c r="EB517" s="55"/>
      <c r="EC517" s="55"/>
      <c r="ED517" s="55"/>
      <c r="EE517" s="55"/>
    </row>
    <row r="518" spans="2:135" ht="13.8" x14ac:dyDescent="0.45">
      <c r="B518" s="128">
        <v>2044</v>
      </c>
      <c r="C518" s="951"/>
      <c r="D518" s="795"/>
      <c r="E518" s="292"/>
      <c r="F518" s="914"/>
      <c r="G518" s="919"/>
      <c r="H518" s="292"/>
      <c r="I518" s="1112"/>
      <c r="J518" s="1150"/>
      <c r="K518" s="919"/>
      <c r="L518" s="293"/>
      <c r="M518" s="292"/>
      <c r="N518" s="29" t="s">
        <v>119</v>
      </c>
      <c r="O518" s="120"/>
      <c r="P518" s="120"/>
      <c r="Q518" s="120"/>
      <c r="R518" s="29">
        <v>30</v>
      </c>
      <c r="S518" s="288" t="str">
        <f t="shared" ref="S518:S534" si="305">IF(MIN(C518:Q518)=0,"",MIN(C518:Q518))</f>
        <v/>
      </c>
      <c r="T518" s="288" t="str">
        <f t="shared" ref="T518:T534" si="306">IF(MAX(C518:Q518)=0,"",MAX(C518:Q518))</f>
        <v/>
      </c>
      <c r="U518" s="288" t="str">
        <f t="shared" ref="U518:U534" si="307">IF(T518="","",_xlfn.STDEV.P(C518:Q518))</f>
        <v/>
      </c>
      <c r="W518" s="288" t="e">
        <f t="shared" si="275"/>
        <v>#N/A</v>
      </c>
      <c r="X518" s="288" t="e">
        <f t="shared" ref="X518:X534" si="308">IF(U518="",#N/A,(SUM(C518:Q518)/COUNTIFS(C518:Q518,"&gt;0")))</f>
        <v>#N/A</v>
      </c>
      <c r="Y518" s="288" t="e">
        <f t="shared" si="277"/>
        <v>#N/A</v>
      </c>
      <c r="AA518" s="89"/>
      <c r="AB518" s="89"/>
      <c r="AC518" s="89"/>
      <c r="AD518" s="89"/>
      <c r="AE518" s="89"/>
      <c r="AF518" s="89"/>
      <c r="AG518" s="89"/>
      <c r="AH518" s="89"/>
      <c r="AI518" s="89"/>
      <c r="AJ518" s="89"/>
      <c r="AK518" s="89"/>
      <c r="AL518" s="89"/>
      <c r="AM518" s="89"/>
      <c r="AN518" s="89"/>
      <c r="BR518" s="180">
        <v>2042</v>
      </c>
      <c r="BS518" s="22">
        <v>28</v>
      </c>
      <c r="BT518" s="289" t="e">
        <f t="shared" si="288"/>
        <v>#DIV/0!</v>
      </c>
      <c r="BU518" s="290" t="e">
        <f t="shared" si="289"/>
        <v>#DIV/0!</v>
      </c>
      <c r="BV518" s="205" t="e">
        <f t="shared" si="290"/>
        <v>#DIV/0!</v>
      </c>
      <c r="BY518" s="180">
        <v>2042</v>
      </c>
      <c r="BZ518" s="22">
        <v>28</v>
      </c>
      <c r="CA518" s="289" t="e">
        <f t="shared" ca="1" si="291"/>
        <v>#REF!</v>
      </c>
      <c r="CB518" s="289" t="e">
        <f t="shared" ca="1" si="292"/>
        <v>#REF!</v>
      </c>
      <c r="CC518" s="290" t="e">
        <f t="shared" ca="1" si="303"/>
        <v>#REF!</v>
      </c>
      <c r="CD518" s="205" t="e">
        <f t="shared" ca="1" si="293"/>
        <v>#REF!</v>
      </c>
      <c r="CG518" s="180">
        <v>2042</v>
      </c>
      <c r="CH518" s="22">
        <v>28</v>
      </c>
      <c r="CI518" s="289" t="e">
        <f t="shared" ca="1" si="294"/>
        <v>#REF!</v>
      </c>
      <c r="CJ518" s="289" t="e">
        <f t="shared" ca="1" si="295"/>
        <v>#REF!</v>
      </c>
      <c r="CK518" s="289" t="e">
        <f t="shared" ca="1" si="296"/>
        <v>#REF!</v>
      </c>
      <c r="CL518" s="290" t="e">
        <f t="shared" ca="1" si="297"/>
        <v>#REF!</v>
      </c>
      <c r="CM518" s="205" t="e">
        <f t="shared" ca="1" si="298"/>
        <v>#REF!</v>
      </c>
      <c r="CP518" s="180">
        <v>2042</v>
      </c>
      <c r="CQ518" s="22">
        <v>28</v>
      </c>
      <c r="CR518" s="289" t="e">
        <f t="shared" ca="1" si="299"/>
        <v>#REF!</v>
      </c>
      <c r="CS518" s="290" t="e">
        <f t="shared" ca="1" si="300"/>
        <v>#REF!</v>
      </c>
      <c r="CT518" s="205" t="e">
        <f t="shared" ca="1" si="301"/>
        <v>#REF!</v>
      </c>
      <c r="CZ518" s="164" t="b">
        <f t="shared" si="278"/>
        <v>0</v>
      </c>
      <c r="DA518" s="165" t="b">
        <f t="shared" si="278"/>
        <v>0</v>
      </c>
      <c r="DB518" s="166" t="b">
        <f t="shared" si="278"/>
        <v>0</v>
      </c>
      <c r="DC518" s="164" t="str">
        <f t="shared" si="279"/>
        <v/>
      </c>
      <c r="DD518" s="166" t="str">
        <f t="shared" si="280"/>
        <v/>
      </c>
      <c r="DE518" s="164" t="str">
        <f t="shared" si="281"/>
        <v/>
      </c>
      <c r="DF518" s="166" t="str">
        <f t="shared" si="282"/>
        <v/>
      </c>
      <c r="DG518" s="164" t="str">
        <f t="shared" si="283"/>
        <v/>
      </c>
      <c r="DH518" s="166" t="str">
        <f t="shared" si="284"/>
        <v/>
      </c>
      <c r="DI518" s="164" t="str">
        <f>IFERROR(INDEX(DC$486:DC$534,_xlfn.AGGREGATE(15,6,(ROW(DC$486:DC$534)-ROW(DC$486)+1)/(DC$486:DC$534&lt;&gt;""),ROWS(DI$1:DI33))),"")</f>
        <v/>
      </c>
      <c r="DJ518" s="165" t="str">
        <f>IFERROR(INDEX(DD$486:DD$534,_xlfn.AGGREGATE(15,6,(ROW(DD$486:DD$534)-ROW(DD$486)+1)/(DD$486:DD$534&lt;&gt;""),ROWS(DJ$1:DJ33))),"")</f>
        <v/>
      </c>
      <c r="DK518" s="166" t="str">
        <f t="shared" si="285"/>
        <v/>
      </c>
      <c r="DL518" s="164" t="str">
        <f>IFERROR(INDEX(DE$486:DE$534,_xlfn.AGGREGATE(15,6,(ROW(DE$486:DE$534)-ROW(DE$486)+1)/(DE$486:DE$534&lt;&gt;""),ROWS(DL$1:DL33))),"")</f>
        <v/>
      </c>
      <c r="DM518" s="165" t="str">
        <f>IFERROR(INDEX(DF$486:DF$534,_xlfn.AGGREGATE(15,6,(ROW(DF$486:DF$534)-ROW(DF$486)+1)/(DF$486:DF$534&lt;&gt;""),ROWS(DM$1:DM33))),"")</f>
        <v/>
      </c>
      <c r="DN518" s="166" t="str">
        <f t="shared" si="286"/>
        <v/>
      </c>
      <c r="DO518" s="164" t="str">
        <f>IFERROR(INDEX(DG$486:DG$534,_xlfn.AGGREGATE(15,6,(ROW(DG$486:DG$534)-ROW(DG$486)+1)/(DG$486:DG$534&lt;&gt;""),ROWS(DO$1:DO33))),"")</f>
        <v/>
      </c>
      <c r="DP518" s="165" t="str">
        <f>IFERROR(INDEX(DH$486:DH$534,_xlfn.AGGREGATE(15,6,(ROW(DH$486:DH$534)-ROW(DH$486)+1)/(DH$486:DH$534&lt;&gt;""),ROWS(DP$1:DP33))),"")</f>
        <v/>
      </c>
      <c r="DQ518" s="166" t="str">
        <f t="shared" si="287"/>
        <v/>
      </c>
      <c r="DR518" s="65"/>
      <c r="DV518" s="145">
        <v>2047</v>
      </c>
      <c r="DW518" s="235" t="e">
        <f t="shared" ca="1" si="271"/>
        <v>#REF!</v>
      </c>
      <c r="EA518" s="55"/>
      <c r="EB518" s="55"/>
      <c r="EC518" s="55"/>
      <c r="ED518" s="55"/>
      <c r="EE518" s="55"/>
    </row>
    <row r="519" spans="2:135" ht="13.8" x14ac:dyDescent="0.45">
      <c r="B519" s="128">
        <v>2045</v>
      </c>
      <c r="C519" s="951"/>
      <c r="D519" s="795"/>
      <c r="E519" s="292"/>
      <c r="F519" s="914"/>
      <c r="G519" s="919"/>
      <c r="H519" s="292"/>
      <c r="I519" s="1112"/>
      <c r="J519" s="1150"/>
      <c r="K519" s="919"/>
      <c r="L519" s="293"/>
      <c r="M519" s="292"/>
      <c r="N519" s="29" t="s">
        <v>119</v>
      </c>
      <c r="O519" s="120"/>
      <c r="P519" s="120"/>
      <c r="Q519" s="120"/>
      <c r="R519" s="29">
        <v>31</v>
      </c>
      <c r="S519" s="288" t="str">
        <f t="shared" si="305"/>
        <v/>
      </c>
      <c r="T519" s="288" t="str">
        <f t="shared" si="306"/>
        <v/>
      </c>
      <c r="U519" s="288" t="str">
        <f t="shared" si="307"/>
        <v/>
      </c>
      <c r="W519" s="288" t="e">
        <f t="shared" si="275"/>
        <v>#N/A</v>
      </c>
      <c r="X519" s="288" t="e">
        <f t="shared" si="308"/>
        <v>#N/A</v>
      </c>
      <c r="Y519" s="288" t="e">
        <f t="shared" si="277"/>
        <v>#N/A</v>
      </c>
      <c r="AA519" s="89"/>
      <c r="AB519" s="89"/>
      <c r="AC519" s="89"/>
      <c r="AD519" s="89"/>
      <c r="AE519" s="89"/>
      <c r="AF519" s="89"/>
      <c r="AG519" s="89"/>
      <c r="AH519" s="89"/>
      <c r="AI519" s="89"/>
      <c r="AJ519" s="89"/>
      <c r="AK519" s="89"/>
      <c r="AL519" s="89"/>
      <c r="AM519" s="89"/>
      <c r="AN519" s="89"/>
      <c r="BR519" s="180">
        <v>2043</v>
      </c>
      <c r="BS519" s="22">
        <v>29</v>
      </c>
      <c r="BT519" s="289" t="e">
        <f t="shared" si="288"/>
        <v>#DIV/0!</v>
      </c>
      <c r="BU519" s="290" t="e">
        <f t="shared" si="289"/>
        <v>#DIV/0!</v>
      </c>
      <c r="BV519" s="205" t="e">
        <f t="shared" si="290"/>
        <v>#DIV/0!</v>
      </c>
      <c r="BY519" s="180">
        <v>2043</v>
      </c>
      <c r="BZ519" s="22">
        <v>29</v>
      </c>
      <c r="CA519" s="289" t="e">
        <f t="shared" ca="1" si="291"/>
        <v>#REF!</v>
      </c>
      <c r="CB519" s="289" t="e">
        <f t="shared" ca="1" si="292"/>
        <v>#REF!</v>
      </c>
      <c r="CC519" s="290" t="e">
        <f t="shared" ca="1" si="303"/>
        <v>#REF!</v>
      </c>
      <c r="CD519" s="205" t="e">
        <f t="shared" ca="1" si="293"/>
        <v>#REF!</v>
      </c>
      <c r="CG519" s="180">
        <v>2043</v>
      </c>
      <c r="CH519" s="22">
        <v>29</v>
      </c>
      <c r="CI519" s="289" t="e">
        <f t="shared" ca="1" si="294"/>
        <v>#REF!</v>
      </c>
      <c r="CJ519" s="289" t="e">
        <f t="shared" ca="1" si="295"/>
        <v>#REF!</v>
      </c>
      <c r="CK519" s="289" t="e">
        <f t="shared" ca="1" si="296"/>
        <v>#REF!</v>
      </c>
      <c r="CL519" s="290" t="e">
        <f t="shared" ca="1" si="297"/>
        <v>#REF!</v>
      </c>
      <c r="CM519" s="205" t="e">
        <f t="shared" ca="1" si="298"/>
        <v>#REF!</v>
      </c>
      <c r="CP519" s="180">
        <v>2043</v>
      </c>
      <c r="CQ519" s="22">
        <v>29</v>
      </c>
      <c r="CR519" s="289" t="e">
        <f t="shared" ca="1" si="299"/>
        <v>#REF!</v>
      </c>
      <c r="CS519" s="290" t="e">
        <f t="shared" ca="1" si="300"/>
        <v>#REF!</v>
      </c>
      <c r="CT519" s="205" t="e">
        <f t="shared" ca="1" si="301"/>
        <v>#REF!</v>
      </c>
      <c r="CZ519" s="164" t="b">
        <f t="shared" si="278"/>
        <v>0</v>
      </c>
      <c r="DA519" s="165" t="b">
        <f t="shared" si="278"/>
        <v>0</v>
      </c>
      <c r="DB519" s="166" t="b">
        <f t="shared" si="278"/>
        <v>0</v>
      </c>
      <c r="DC519" s="164" t="str">
        <f t="shared" si="279"/>
        <v/>
      </c>
      <c r="DD519" s="166" t="str">
        <f t="shared" si="280"/>
        <v/>
      </c>
      <c r="DE519" s="164" t="str">
        <f t="shared" si="281"/>
        <v/>
      </c>
      <c r="DF519" s="166" t="str">
        <f t="shared" si="282"/>
        <v/>
      </c>
      <c r="DG519" s="164" t="str">
        <f t="shared" si="283"/>
        <v/>
      </c>
      <c r="DH519" s="166" t="str">
        <f t="shared" si="284"/>
        <v/>
      </c>
      <c r="DI519" s="164" t="str">
        <f>IFERROR(INDEX(DC$486:DC$534,_xlfn.AGGREGATE(15,6,(ROW(DC$486:DC$534)-ROW(DC$486)+1)/(DC$486:DC$534&lt;&gt;""),ROWS(DI$1:DI34))),"")</f>
        <v/>
      </c>
      <c r="DJ519" s="165" t="str">
        <f>IFERROR(INDEX(DD$486:DD$534,_xlfn.AGGREGATE(15,6,(ROW(DD$486:DD$534)-ROW(DD$486)+1)/(DD$486:DD$534&lt;&gt;""),ROWS(DJ$1:DJ34))),"")</f>
        <v/>
      </c>
      <c r="DK519" s="166" t="str">
        <f t="shared" si="285"/>
        <v/>
      </c>
      <c r="DL519" s="164" t="str">
        <f>IFERROR(INDEX(DE$486:DE$534,_xlfn.AGGREGATE(15,6,(ROW(DE$486:DE$534)-ROW(DE$486)+1)/(DE$486:DE$534&lt;&gt;""),ROWS(DL$1:DL34))),"")</f>
        <v/>
      </c>
      <c r="DM519" s="165" t="str">
        <f>IFERROR(INDEX(DF$486:DF$534,_xlfn.AGGREGATE(15,6,(ROW(DF$486:DF$534)-ROW(DF$486)+1)/(DF$486:DF$534&lt;&gt;""),ROWS(DM$1:DM34))),"")</f>
        <v/>
      </c>
      <c r="DN519" s="166" t="str">
        <f t="shared" si="286"/>
        <v/>
      </c>
      <c r="DO519" s="164" t="str">
        <f>IFERROR(INDEX(DG$486:DG$534,_xlfn.AGGREGATE(15,6,(ROW(DG$486:DG$534)-ROW(DG$486)+1)/(DG$486:DG$534&lt;&gt;""),ROWS(DO$1:DO34))),"")</f>
        <v/>
      </c>
      <c r="DP519" s="165" t="str">
        <f>IFERROR(INDEX(DH$486:DH$534,_xlfn.AGGREGATE(15,6,(ROW(DH$486:DH$534)-ROW(DH$486)+1)/(DH$486:DH$534&lt;&gt;""),ROWS(DP$1:DP34))),"")</f>
        <v/>
      </c>
      <c r="DQ519" s="166" t="str">
        <f t="shared" si="287"/>
        <v/>
      </c>
      <c r="DR519" s="65"/>
      <c r="DV519" s="145">
        <v>2048</v>
      </c>
      <c r="DW519" s="235" t="e">
        <f t="shared" ca="1" si="271"/>
        <v>#REF!</v>
      </c>
      <c r="EA519" s="55"/>
      <c r="EB519" s="55"/>
      <c r="EC519" s="55"/>
      <c r="ED519" s="55"/>
      <c r="EE519" s="55"/>
    </row>
    <row r="520" spans="2:135" ht="13.8" x14ac:dyDescent="0.45">
      <c r="B520" s="128">
        <v>2046</v>
      </c>
      <c r="C520" s="951"/>
      <c r="D520" s="795"/>
      <c r="E520" s="292"/>
      <c r="F520" s="914"/>
      <c r="G520" s="919"/>
      <c r="H520" s="292"/>
      <c r="I520" s="1112"/>
      <c r="J520" s="1150"/>
      <c r="K520" s="919"/>
      <c r="L520" s="293"/>
      <c r="M520" s="292"/>
      <c r="N520" s="29" t="s">
        <v>119</v>
      </c>
      <c r="O520" s="120"/>
      <c r="P520" s="120"/>
      <c r="Q520" s="120"/>
      <c r="R520" s="29">
        <v>32</v>
      </c>
      <c r="S520" s="288" t="str">
        <f t="shared" si="305"/>
        <v/>
      </c>
      <c r="T520" s="288" t="str">
        <f t="shared" si="306"/>
        <v/>
      </c>
      <c r="U520" s="288" t="str">
        <f t="shared" si="307"/>
        <v/>
      </c>
      <c r="W520" s="288" t="e">
        <f t="shared" si="275"/>
        <v>#N/A</v>
      </c>
      <c r="X520" s="288" t="e">
        <f t="shared" si="308"/>
        <v>#N/A</v>
      </c>
      <c r="Y520" s="288" t="e">
        <f t="shared" si="277"/>
        <v>#N/A</v>
      </c>
      <c r="AA520" s="89"/>
      <c r="AB520" s="89"/>
      <c r="AC520" s="89"/>
      <c r="AD520" s="89"/>
      <c r="AE520" s="89"/>
      <c r="AF520" s="89"/>
      <c r="AG520" s="89"/>
      <c r="AH520" s="89"/>
      <c r="AI520" s="89"/>
      <c r="AJ520" s="89"/>
      <c r="AK520" s="89"/>
      <c r="AL520" s="89"/>
      <c r="AM520" s="89"/>
      <c r="AN520" s="89"/>
      <c r="BR520" s="180">
        <v>2044</v>
      </c>
      <c r="BS520" s="22">
        <v>30</v>
      </c>
      <c r="BT520" s="289" t="e">
        <f t="shared" si="288"/>
        <v>#DIV/0!</v>
      </c>
      <c r="BU520" s="290" t="e">
        <f t="shared" si="289"/>
        <v>#DIV/0!</v>
      </c>
      <c r="BV520" s="205" t="e">
        <f t="shared" si="290"/>
        <v>#DIV/0!</v>
      </c>
      <c r="BY520" s="180">
        <v>2044</v>
      </c>
      <c r="BZ520" s="22">
        <v>30</v>
      </c>
      <c r="CA520" s="289" t="e">
        <f t="shared" ca="1" si="291"/>
        <v>#REF!</v>
      </c>
      <c r="CB520" s="289" t="e">
        <f t="shared" ca="1" si="292"/>
        <v>#REF!</v>
      </c>
      <c r="CC520" s="290" t="e">
        <f t="shared" ca="1" si="303"/>
        <v>#REF!</v>
      </c>
      <c r="CD520" s="205" t="e">
        <f t="shared" ca="1" si="293"/>
        <v>#REF!</v>
      </c>
      <c r="CG520" s="180">
        <v>2044</v>
      </c>
      <c r="CH520" s="22">
        <v>30</v>
      </c>
      <c r="CI520" s="289" t="e">
        <f t="shared" ca="1" si="294"/>
        <v>#REF!</v>
      </c>
      <c r="CJ520" s="289" t="e">
        <f t="shared" ca="1" si="295"/>
        <v>#REF!</v>
      </c>
      <c r="CK520" s="289" t="e">
        <f t="shared" ca="1" si="296"/>
        <v>#REF!</v>
      </c>
      <c r="CL520" s="290" t="e">
        <f t="shared" ca="1" si="297"/>
        <v>#REF!</v>
      </c>
      <c r="CM520" s="205" t="e">
        <f t="shared" ca="1" si="298"/>
        <v>#REF!</v>
      </c>
      <c r="CP520" s="180">
        <v>2044</v>
      </c>
      <c r="CQ520" s="22">
        <v>30</v>
      </c>
      <c r="CR520" s="289" t="e">
        <f t="shared" ca="1" si="299"/>
        <v>#REF!</v>
      </c>
      <c r="CS520" s="290" t="e">
        <f t="shared" ca="1" si="300"/>
        <v>#REF!</v>
      </c>
      <c r="CT520" s="205" t="e">
        <f t="shared" ca="1" si="301"/>
        <v>#REF!</v>
      </c>
      <c r="CZ520" s="164" t="b">
        <f t="shared" si="278"/>
        <v>0</v>
      </c>
      <c r="DA520" s="165" t="b">
        <f t="shared" si="278"/>
        <v>0</v>
      </c>
      <c r="DB520" s="166" t="b">
        <f t="shared" si="278"/>
        <v>0</v>
      </c>
      <c r="DC520" s="164" t="str">
        <f t="shared" si="279"/>
        <v/>
      </c>
      <c r="DD520" s="166" t="str">
        <f t="shared" si="280"/>
        <v/>
      </c>
      <c r="DE520" s="164" t="str">
        <f t="shared" si="281"/>
        <v/>
      </c>
      <c r="DF520" s="166" t="str">
        <f t="shared" si="282"/>
        <v/>
      </c>
      <c r="DG520" s="164" t="str">
        <f t="shared" si="283"/>
        <v/>
      </c>
      <c r="DH520" s="166" t="str">
        <f t="shared" si="284"/>
        <v/>
      </c>
      <c r="DI520" s="164" t="str">
        <f>IFERROR(INDEX(DC$486:DC$534,_xlfn.AGGREGATE(15,6,(ROW(DC$486:DC$534)-ROW(DC$486)+1)/(DC$486:DC$534&lt;&gt;""),ROWS(DI$1:DI35))),"")</f>
        <v/>
      </c>
      <c r="DJ520" s="165" t="str">
        <f>IFERROR(INDEX(DD$486:DD$534,_xlfn.AGGREGATE(15,6,(ROW(DD$486:DD$534)-ROW(DD$486)+1)/(DD$486:DD$534&lt;&gt;""),ROWS(DJ$1:DJ35))),"")</f>
        <v/>
      </c>
      <c r="DK520" s="166" t="str">
        <f t="shared" si="285"/>
        <v/>
      </c>
      <c r="DL520" s="164" t="str">
        <f>IFERROR(INDEX(DE$486:DE$534,_xlfn.AGGREGATE(15,6,(ROW(DE$486:DE$534)-ROW(DE$486)+1)/(DE$486:DE$534&lt;&gt;""),ROWS(DL$1:DL35))),"")</f>
        <v/>
      </c>
      <c r="DM520" s="165" t="str">
        <f>IFERROR(INDEX(DF$486:DF$534,_xlfn.AGGREGATE(15,6,(ROW(DF$486:DF$534)-ROW(DF$486)+1)/(DF$486:DF$534&lt;&gt;""),ROWS(DM$1:DM35))),"")</f>
        <v/>
      </c>
      <c r="DN520" s="166" t="str">
        <f t="shared" si="286"/>
        <v/>
      </c>
      <c r="DO520" s="164" t="str">
        <f>IFERROR(INDEX(DG$486:DG$534,_xlfn.AGGREGATE(15,6,(ROW(DG$486:DG$534)-ROW(DG$486)+1)/(DG$486:DG$534&lt;&gt;""),ROWS(DO$1:DO35))),"")</f>
        <v/>
      </c>
      <c r="DP520" s="165" t="str">
        <f>IFERROR(INDEX(DH$486:DH$534,_xlfn.AGGREGATE(15,6,(ROW(DH$486:DH$534)-ROW(DH$486)+1)/(DH$486:DH$534&lt;&gt;""),ROWS(DP$1:DP35))),"")</f>
        <v/>
      </c>
      <c r="DQ520" s="166" t="str">
        <f t="shared" si="287"/>
        <v/>
      </c>
      <c r="DR520" s="65"/>
      <c r="DV520" s="145">
        <v>2049</v>
      </c>
      <c r="DW520" s="235" t="e">
        <f t="shared" ca="1" si="271"/>
        <v>#REF!</v>
      </c>
      <c r="EA520" s="55"/>
      <c r="EB520" s="55"/>
      <c r="EC520" s="55"/>
      <c r="ED520" s="55"/>
      <c r="EE520" s="55"/>
    </row>
    <row r="521" spans="2:135" ht="13.8" x14ac:dyDescent="0.45">
      <c r="B521" s="128">
        <v>2047</v>
      </c>
      <c r="C521" s="951"/>
      <c r="D521" s="795"/>
      <c r="E521" s="292"/>
      <c r="F521" s="914"/>
      <c r="G521" s="919"/>
      <c r="H521" s="292"/>
      <c r="I521" s="1112"/>
      <c r="J521" s="1150"/>
      <c r="K521" s="919"/>
      <c r="L521" s="293"/>
      <c r="M521" s="292"/>
      <c r="N521" s="29" t="s">
        <v>119</v>
      </c>
      <c r="O521" s="120"/>
      <c r="P521" s="120"/>
      <c r="Q521" s="120"/>
      <c r="R521" s="29">
        <v>33</v>
      </c>
      <c r="S521" s="288" t="str">
        <f t="shared" si="305"/>
        <v/>
      </c>
      <c r="T521" s="288" t="str">
        <f t="shared" si="306"/>
        <v/>
      </c>
      <c r="U521" s="288" t="str">
        <f t="shared" si="307"/>
        <v/>
      </c>
      <c r="W521" s="288" t="e">
        <f t="shared" si="275"/>
        <v>#N/A</v>
      </c>
      <c r="X521" s="288" t="e">
        <f t="shared" si="308"/>
        <v>#N/A</v>
      </c>
      <c r="Y521" s="288" t="e">
        <f t="shared" si="277"/>
        <v>#N/A</v>
      </c>
      <c r="AA521" s="89"/>
      <c r="AB521" s="89"/>
      <c r="AC521" s="89"/>
      <c r="AD521" s="89"/>
      <c r="AE521" s="89"/>
      <c r="AF521" s="89"/>
      <c r="AG521" s="89"/>
      <c r="AH521" s="89"/>
      <c r="AI521" s="89"/>
      <c r="AJ521" s="89"/>
      <c r="AK521" s="89"/>
      <c r="AL521" s="89"/>
      <c r="AM521" s="89"/>
      <c r="AN521" s="89"/>
      <c r="BR521" s="180">
        <v>2045</v>
      </c>
      <c r="BS521" s="22">
        <v>31</v>
      </c>
      <c r="BT521" s="289" t="e">
        <f t="shared" si="288"/>
        <v>#DIV/0!</v>
      </c>
      <c r="BU521" s="289" t="e">
        <f t="shared" si="289"/>
        <v>#DIV/0!</v>
      </c>
      <c r="BV521" s="205" t="e">
        <f t="shared" si="290"/>
        <v>#DIV/0!</v>
      </c>
      <c r="BY521" s="180">
        <v>2045</v>
      </c>
      <c r="BZ521" s="22">
        <v>31</v>
      </c>
      <c r="CA521" s="289" t="e">
        <f t="shared" ca="1" si="291"/>
        <v>#REF!</v>
      </c>
      <c r="CB521" s="289" t="e">
        <f t="shared" ca="1" si="292"/>
        <v>#REF!</v>
      </c>
      <c r="CC521" s="289" t="e">
        <f t="shared" ca="1" si="303"/>
        <v>#REF!</v>
      </c>
      <c r="CD521" s="205" t="e">
        <f t="shared" ca="1" si="293"/>
        <v>#REF!</v>
      </c>
      <c r="CG521" s="180">
        <v>2045</v>
      </c>
      <c r="CH521" s="22">
        <v>31</v>
      </c>
      <c r="CI521" s="289" t="e">
        <f t="shared" ca="1" si="294"/>
        <v>#REF!</v>
      </c>
      <c r="CJ521" s="289" t="e">
        <f t="shared" ca="1" si="295"/>
        <v>#REF!</v>
      </c>
      <c r="CK521" s="289" t="e">
        <f t="shared" ca="1" si="296"/>
        <v>#REF!</v>
      </c>
      <c r="CL521" s="289" t="e">
        <f t="shared" ca="1" si="297"/>
        <v>#REF!</v>
      </c>
      <c r="CM521" s="205" t="e">
        <f t="shared" ca="1" si="298"/>
        <v>#REF!</v>
      </c>
      <c r="CP521" s="180">
        <v>2045</v>
      </c>
      <c r="CQ521" s="22">
        <v>31</v>
      </c>
      <c r="CR521" s="289" t="e">
        <f t="shared" ca="1" si="299"/>
        <v>#REF!</v>
      </c>
      <c r="CS521" s="289" t="e">
        <f t="shared" ca="1" si="300"/>
        <v>#REF!</v>
      </c>
      <c r="CT521" s="205" t="e">
        <f t="shared" ca="1" si="301"/>
        <v>#REF!</v>
      </c>
      <c r="CZ521" s="164" t="b">
        <f t="shared" si="278"/>
        <v>0</v>
      </c>
      <c r="DA521" s="165" t="b">
        <f t="shared" si="278"/>
        <v>0</v>
      </c>
      <c r="DB521" s="166" t="b">
        <f t="shared" si="278"/>
        <v>0</v>
      </c>
      <c r="DC521" s="164" t="str">
        <f t="shared" si="279"/>
        <v/>
      </c>
      <c r="DD521" s="166" t="str">
        <f t="shared" si="280"/>
        <v/>
      </c>
      <c r="DE521" s="164" t="str">
        <f t="shared" si="281"/>
        <v/>
      </c>
      <c r="DF521" s="166" t="str">
        <f t="shared" si="282"/>
        <v/>
      </c>
      <c r="DG521" s="164" t="str">
        <f t="shared" si="283"/>
        <v/>
      </c>
      <c r="DH521" s="166" t="str">
        <f t="shared" si="284"/>
        <v/>
      </c>
      <c r="DI521" s="164" t="str">
        <f>IFERROR(INDEX(DC$486:DC$534,_xlfn.AGGREGATE(15,6,(ROW(DC$486:DC$534)-ROW(DC$486)+1)/(DC$486:DC$534&lt;&gt;""),ROWS(DI$1:DI36))),"")</f>
        <v/>
      </c>
      <c r="DJ521" s="165" t="str">
        <f>IFERROR(INDEX(DD$486:DD$534,_xlfn.AGGREGATE(15,6,(ROW(DD$486:DD$534)-ROW(DD$486)+1)/(DD$486:DD$534&lt;&gt;""),ROWS(DJ$1:DJ36))),"")</f>
        <v/>
      </c>
      <c r="DK521" s="166" t="str">
        <f t="shared" si="285"/>
        <v/>
      </c>
      <c r="DL521" s="164" t="str">
        <f>IFERROR(INDEX(DE$486:DE$534,_xlfn.AGGREGATE(15,6,(ROW(DE$486:DE$534)-ROW(DE$486)+1)/(DE$486:DE$534&lt;&gt;""),ROWS(DL$1:DL36))),"")</f>
        <v/>
      </c>
      <c r="DM521" s="165" t="str">
        <f>IFERROR(INDEX(DF$486:DF$534,_xlfn.AGGREGATE(15,6,(ROW(DF$486:DF$534)-ROW(DF$486)+1)/(DF$486:DF$534&lt;&gt;""),ROWS(DM$1:DM36))),"")</f>
        <v/>
      </c>
      <c r="DN521" s="166" t="str">
        <f t="shared" si="286"/>
        <v/>
      </c>
      <c r="DO521" s="164" t="str">
        <f>IFERROR(INDEX(DG$486:DG$534,_xlfn.AGGREGATE(15,6,(ROW(DG$486:DG$534)-ROW(DG$486)+1)/(DG$486:DG$534&lt;&gt;""),ROWS(DO$1:DO36))),"")</f>
        <v/>
      </c>
      <c r="DP521" s="165" t="str">
        <f>IFERROR(INDEX(DH$486:DH$534,_xlfn.AGGREGATE(15,6,(ROW(DH$486:DH$534)-ROW(DH$486)+1)/(DH$486:DH$534&lt;&gt;""),ROWS(DP$1:DP36))),"")</f>
        <v/>
      </c>
      <c r="DQ521" s="166" t="str">
        <f t="shared" si="287"/>
        <v/>
      </c>
      <c r="DR521" s="65"/>
      <c r="DV521" s="145">
        <v>2050</v>
      </c>
      <c r="DW521" s="235" t="e">
        <f t="shared" ca="1" si="271"/>
        <v>#REF!</v>
      </c>
      <c r="EA521" s="55"/>
      <c r="EB521" s="55"/>
      <c r="EC521" s="55"/>
      <c r="ED521" s="55"/>
      <c r="EE521" s="55"/>
    </row>
    <row r="522" spans="2:135" ht="13.8" x14ac:dyDescent="0.45">
      <c r="B522" s="128">
        <v>2048</v>
      </c>
      <c r="C522" s="951"/>
      <c r="D522" s="795"/>
      <c r="E522" s="292"/>
      <c r="F522" s="914"/>
      <c r="G522" s="919"/>
      <c r="H522" s="292"/>
      <c r="I522" s="1112"/>
      <c r="J522" s="1150"/>
      <c r="K522" s="919"/>
      <c r="L522" s="293"/>
      <c r="M522" s="292"/>
      <c r="N522" s="29" t="s">
        <v>119</v>
      </c>
      <c r="O522" s="120"/>
      <c r="P522" s="120"/>
      <c r="Q522" s="120"/>
      <c r="R522" s="29">
        <v>34</v>
      </c>
      <c r="S522" s="288" t="str">
        <f t="shared" si="305"/>
        <v/>
      </c>
      <c r="T522" s="288" t="str">
        <f t="shared" si="306"/>
        <v/>
      </c>
      <c r="U522" s="288" t="str">
        <f t="shared" si="307"/>
        <v/>
      </c>
      <c r="W522" s="288" t="e">
        <f t="shared" si="275"/>
        <v>#N/A</v>
      </c>
      <c r="X522" s="288" t="e">
        <f t="shared" si="308"/>
        <v>#N/A</v>
      </c>
      <c r="Y522" s="288" t="e">
        <f t="shared" si="277"/>
        <v>#N/A</v>
      </c>
      <c r="AA522" s="89"/>
      <c r="AB522" s="89"/>
      <c r="AC522" s="89"/>
      <c r="AD522" s="89"/>
      <c r="AE522" s="89"/>
      <c r="AF522" s="89"/>
      <c r="AG522" s="89"/>
      <c r="AH522" s="89"/>
      <c r="AI522" s="89"/>
      <c r="AJ522" s="89"/>
      <c r="AK522" s="89"/>
      <c r="AL522" s="89"/>
      <c r="AM522" s="89"/>
      <c r="AN522" s="89"/>
      <c r="BR522" s="180">
        <v>2046</v>
      </c>
      <c r="BS522" s="22">
        <v>32</v>
      </c>
      <c r="BT522" s="289" t="e">
        <f t="shared" si="288"/>
        <v>#DIV/0!</v>
      </c>
      <c r="BU522" s="289" t="e">
        <f t="shared" si="289"/>
        <v>#DIV/0!</v>
      </c>
      <c r="BV522" s="205" t="e">
        <f t="shared" si="290"/>
        <v>#DIV/0!</v>
      </c>
      <c r="BY522" s="180">
        <v>2046</v>
      </c>
      <c r="BZ522" s="22">
        <v>32</v>
      </c>
      <c r="CA522" s="289" t="e">
        <f t="shared" ca="1" si="291"/>
        <v>#REF!</v>
      </c>
      <c r="CB522" s="289" t="e">
        <f t="shared" ca="1" si="292"/>
        <v>#REF!</v>
      </c>
      <c r="CC522" s="289" t="e">
        <f t="shared" ca="1" si="303"/>
        <v>#REF!</v>
      </c>
      <c r="CD522" s="205" t="e">
        <f t="shared" ca="1" si="293"/>
        <v>#REF!</v>
      </c>
      <c r="CG522" s="180">
        <v>2046</v>
      </c>
      <c r="CH522" s="22">
        <v>32</v>
      </c>
      <c r="CI522" s="289" t="e">
        <f t="shared" ca="1" si="294"/>
        <v>#REF!</v>
      </c>
      <c r="CJ522" s="289" t="e">
        <f t="shared" ca="1" si="295"/>
        <v>#REF!</v>
      </c>
      <c r="CK522" s="289" t="e">
        <f t="shared" ca="1" si="296"/>
        <v>#REF!</v>
      </c>
      <c r="CL522" s="289" t="e">
        <f t="shared" ca="1" si="297"/>
        <v>#REF!</v>
      </c>
      <c r="CM522" s="205" t="e">
        <f t="shared" ca="1" si="298"/>
        <v>#REF!</v>
      </c>
      <c r="CP522" s="180">
        <v>2046</v>
      </c>
      <c r="CQ522" s="22">
        <v>32</v>
      </c>
      <c r="CR522" s="289" t="e">
        <f t="shared" ca="1" si="299"/>
        <v>#REF!</v>
      </c>
      <c r="CS522" s="289" t="e">
        <f t="shared" ca="1" si="300"/>
        <v>#REF!</v>
      </c>
      <c r="CT522" s="205" t="e">
        <f t="shared" ca="1" si="301"/>
        <v>#REF!</v>
      </c>
      <c r="CZ522" s="164" t="b">
        <f t="shared" si="278"/>
        <v>0</v>
      </c>
      <c r="DA522" s="165" t="b">
        <f t="shared" si="278"/>
        <v>0</v>
      </c>
      <c r="DB522" s="166" t="b">
        <f t="shared" si="278"/>
        <v>0</v>
      </c>
      <c r="DC522" s="164" t="str">
        <f t="shared" si="279"/>
        <v/>
      </c>
      <c r="DD522" s="166" t="str">
        <f t="shared" si="280"/>
        <v/>
      </c>
      <c r="DE522" s="164" t="str">
        <f t="shared" si="281"/>
        <v/>
      </c>
      <c r="DF522" s="166" t="str">
        <f t="shared" si="282"/>
        <v/>
      </c>
      <c r="DG522" s="164" t="str">
        <f t="shared" si="283"/>
        <v/>
      </c>
      <c r="DH522" s="166" t="str">
        <f t="shared" si="284"/>
        <v/>
      </c>
      <c r="DI522" s="164" t="str">
        <f>IFERROR(INDEX(DC$486:DC$534,_xlfn.AGGREGATE(15,6,(ROW(DC$486:DC$534)-ROW(DC$486)+1)/(DC$486:DC$534&lt;&gt;""),ROWS(DI$1:DI37))),"")</f>
        <v/>
      </c>
      <c r="DJ522" s="165" t="str">
        <f>IFERROR(INDEX(DD$486:DD$534,_xlfn.AGGREGATE(15,6,(ROW(DD$486:DD$534)-ROW(DD$486)+1)/(DD$486:DD$534&lt;&gt;""),ROWS(DJ$1:DJ37))),"")</f>
        <v/>
      </c>
      <c r="DK522" s="166" t="str">
        <f t="shared" si="285"/>
        <v/>
      </c>
      <c r="DL522" s="164" t="str">
        <f>IFERROR(INDEX(DE$486:DE$534,_xlfn.AGGREGATE(15,6,(ROW(DE$486:DE$534)-ROW(DE$486)+1)/(DE$486:DE$534&lt;&gt;""),ROWS(DL$1:DL37))),"")</f>
        <v/>
      </c>
      <c r="DM522" s="165" t="str">
        <f>IFERROR(INDEX(DF$486:DF$534,_xlfn.AGGREGATE(15,6,(ROW(DF$486:DF$534)-ROW(DF$486)+1)/(DF$486:DF$534&lt;&gt;""),ROWS(DM$1:DM37))),"")</f>
        <v/>
      </c>
      <c r="DN522" s="166" t="str">
        <f t="shared" si="286"/>
        <v/>
      </c>
      <c r="DO522" s="164" t="str">
        <f>IFERROR(INDEX(DG$486:DG$534,_xlfn.AGGREGATE(15,6,(ROW(DG$486:DG$534)-ROW(DG$486)+1)/(DG$486:DG$534&lt;&gt;""),ROWS(DO$1:DO37))),"")</f>
        <v/>
      </c>
      <c r="DP522" s="165" t="str">
        <f>IFERROR(INDEX(DH$486:DH$534,_xlfn.AGGREGATE(15,6,(ROW(DH$486:DH$534)-ROW(DH$486)+1)/(DH$486:DH$534&lt;&gt;""),ROWS(DP$1:DP37))),"")</f>
        <v/>
      </c>
      <c r="DQ522" s="166" t="str">
        <f t="shared" si="287"/>
        <v/>
      </c>
      <c r="DR522" s="65"/>
      <c r="DV522" s="145">
        <v>2051</v>
      </c>
      <c r="DW522" s="235" t="e">
        <f t="shared" ca="1" si="271"/>
        <v>#REF!</v>
      </c>
      <c r="EA522" s="55"/>
      <c r="EB522" s="55"/>
      <c r="EC522" s="55"/>
      <c r="ED522" s="55"/>
      <c r="EE522" s="55"/>
    </row>
    <row r="523" spans="2:135" ht="13.8" x14ac:dyDescent="0.45">
      <c r="B523" s="128">
        <v>2049</v>
      </c>
      <c r="C523" s="951"/>
      <c r="D523" s="795"/>
      <c r="E523" s="292"/>
      <c r="F523" s="914"/>
      <c r="G523" s="919"/>
      <c r="H523" s="292"/>
      <c r="I523" s="1112"/>
      <c r="J523" s="1150"/>
      <c r="K523" s="919"/>
      <c r="L523" s="293"/>
      <c r="M523" s="292"/>
      <c r="N523" s="29" t="s">
        <v>119</v>
      </c>
      <c r="O523" s="120"/>
      <c r="P523" s="120"/>
      <c r="Q523" s="120"/>
      <c r="R523" s="29">
        <v>35</v>
      </c>
      <c r="S523" s="288" t="str">
        <f t="shared" si="305"/>
        <v/>
      </c>
      <c r="T523" s="288" t="str">
        <f t="shared" si="306"/>
        <v/>
      </c>
      <c r="U523" s="288" t="str">
        <f t="shared" si="307"/>
        <v/>
      </c>
      <c r="W523" s="288" t="e">
        <f t="shared" si="275"/>
        <v>#N/A</v>
      </c>
      <c r="X523" s="288" t="e">
        <f t="shared" si="308"/>
        <v>#N/A</v>
      </c>
      <c r="Y523" s="288" t="e">
        <f t="shared" si="277"/>
        <v>#N/A</v>
      </c>
      <c r="AA523" s="89"/>
      <c r="AB523" s="89"/>
      <c r="AC523" s="89"/>
      <c r="AD523" s="89"/>
      <c r="AE523" s="89"/>
      <c r="AF523" s="89"/>
      <c r="AG523" s="89"/>
      <c r="AH523" s="89"/>
      <c r="AI523" s="89"/>
      <c r="AJ523" s="89"/>
      <c r="AK523" s="89"/>
      <c r="AL523" s="89"/>
      <c r="AM523" s="89"/>
      <c r="AN523" s="89"/>
      <c r="BR523" s="180">
        <v>2047</v>
      </c>
      <c r="BS523" s="22">
        <v>33</v>
      </c>
      <c r="BT523" s="289" t="e">
        <f t="shared" si="288"/>
        <v>#DIV/0!</v>
      </c>
      <c r="BU523" s="289" t="e">
        <f t="shared" si="289"/>
        <v>#DIV/0!</v>
      </c>
      <c r="BV523" s="205" t="e">
        <f t="shared" si="290"/>
        <v>#DIV/0!</v>
      </c>
      <c r="BY523" s="180">
        <v>2047</v>
      </c>
      <c r="BZ523" s="22">
        <v>33</v>
      </c>
      <c r="CA523" s="289" t="e">
        <f t="shared" ca="1" si="291"/>
        <v>#REF!</v>
      </c>
      <c r="CB523" s="289" t="e">
        <f t="shared" ca="1" si="292"/>
        <v>#REF!</v>
      </c>
      <c r="CC523" s="289" t="e">
        <f t="shared" ca="1" si="303"/>
        <v>#REF!</v>
      </c>
      <c r="CD523" s="205" t="e">
        <f t="shared" ca="1" si="293"/>
        <v>#REF!</v>
      </c>
      <c r="CG523" s="180">
        <v>2047</v>
      </c>
      <c r="CH523" s="22">
        <v>33</v>
      </c>
      <c r="CI523" s="289" t="e">
        <f t="shared" ca="1" si="294"/>
        <v>#REF!</v>
      </c>
      <c r="CJ523" s="289" t="e">
        <f t="shared" ca="1" si="295"/>
        <v>#REF!</v>
      </c>
      <c r="CK523" s="289" t="e">
        <f t="shared" ca="1" si="296"/>
        <v>#REF!</v>
      </c>
      <c r="CL523" s="289" t="e">
        <f t="shared" ca="1" si="297"/>
        <v>#REF!</v>
      </c>
      <c r="CM523" s="205" t="e">
        <f t="shared" ca="1" si="298"/>
        <v>#REF!</v>
      </c>
      <c r="CP523" s="180">
        <v>2047</v>
      </c>
      <c r="CQ523" s="22">
        <v>33</v>
      </c>
      <c r="CR523" s="289" t="e">
        <f t="shared" ca="1" si="299"/>
        <v>#REF!</v>
      </c>
      <c r="CS523" s="289" t="e">
        <f t="shared" ca="1" si="300"/>
        <v>#REF!</v>
      </c>
      <c r="CT523" s="205" t="e">
        <f t="shared" ca="1" si="301"/>
        <v>#REF!</v>
      </c>
      <c r="CZ523" s="164" t="b">
        <f t="shared" si="278"/>
        <v>0</v>
      </c>
      <c r="DA523" s="165" t="b">
        <f t="shared" si="278"/>
        <v>0</v>
      </c>
      <c r="DB523" s="166" t="b">
        <f t="shared" si="278"/>
        <v>0</v>
      </c>
      <c r="DC523" s="164" t="str">
        <f t="shared" si="279"/>
        <v/>
      </c>
      <c r="DD523" s="166" t="str">
        <f t="shared" si="280"/>
        <v/>
      </c>
      <c r="DE523" s="164" t="str">
        <f t="shared" si="281"/>
        <v/>
      </c>
      <c r="DF523" s="166" t="str">
        <f t="shared" si="282"/>
        <v/>
      </c>
      <c r="DG523" s="164" t="str">
        <f t="shared" si="283"/>
        <v/>
      </c>
      <c r="DH523" s="166" t="str">
        <f t="shared" si="284"/>
        <v/>
      </c>
      <c r="DI523" s="164" t="str">
        <f>IFERROR(INDEX(DC$486:DC$534,_xlfn.AGGREGATE(15,6,(ROW(DC$486:DC$534)-ROW(DC$486)+1)/(DC$486:DC$534&lt;&gt;""),ROWS(DI$1:DI38))),"")</f>
        <v/>
      </c>
      <c r="DJ523" s="165" t="str">
        <f>IFERROR(INDEX(DD$486:DD$534,_xlfn.AGGREGATE(15,6,(ROW(DD$486:DD$534)-ROW(DD$486)+1)/(DD$486:DD$534&lt;&gt;""),ROWS(DJ$1:DJ38))),"")</f>
        <v/>
      </c>
      <c r="DK523" s="166" t="str">
        <f t="shared" si="285"/>
        <v/>
      </c>
      <c r="DL523" s="164" t="str">
        <f>IFERROR(INDEX(DE$486:DE$534,_xlfn.AGGREGATE(15,6,(ROW(DE$486:DE$534)-ROW(DE$486)+1)/(DE$486:DE$534&lt;&gt;""),ROWS(DL$1:DL38))),"")</f>
        <v/>
      </c>
      <c r="DM523" s="165" t="str">
        <f>IFERROR(INDEX(DF$486:DF$534,_xlfn.AGGREGATE(15,6,(ROW(DF$486:DF$534)-ROW(DF$486)+1)/(DF$486:DF$534&lt;&gt;""),ROWS(DM$1:DM38))),"")</f>
        <v/>
      </c>
      <c r="DN523" s="166" t="str">
        <f t="shared" si="286"/>
        <v/>
      </c>
      <c r="DO523" s="164" t="str">
        <f>IFERROR(INDEX(DG$486:DG$534,_xlfn.AGGREGATE(15,6,(ROW(DG$486:DG$534)-ROW(DG$486)+1)/(DG$486:DG$534&lt;&gt;""),ROWS(DO$1:DO38))),"")</f>
        <v/>
      </c>
      <c r="DP523" s="165" t="str">
        <f>IFERROR(INDEX(DH$486:DH$534,_xlfn.AGGREGATE(15,6,(ROW(DH$486:DH$534)-ROW(DH$486)+1)/(DH$486:DH$534&lt;&gt;""),ROWS(DP$1:DP38))),"")</f>
        <v/>
      </c>
      <c r="DQ523" s="166" t="str">
        <f t="shared" si="287"/>
        <v/>
      </c>
      <c r="DR523" s="65"/>
      <c r="DV523" s="145">
        <v>2052</v>
      </c>
      <c r="DW523" s="235" t="e">
        <f t="shared" ca="1" si="271"/>
        <v>#REF!</v>
      </c>
      <c r="EA523" s="55"/>
      <c r="EB523" s="55"/>
      <c r="EC523" s="55"/>
      <c r="ED523" s="55"/>
      <c r="EE523" s="55"/>
    </row>
    <row r="524" spans="2:135" ht="13.8" x14ac:dyDescent="0.45">
      <c r="B524" s="128">
        <v>2050</v>
      </c>
      <c r="C524" s="951"/>
      <c r="D524" s="795"/>
      <c r="E524" s="292"/>
      <c r="F524" s="914"/>
      <c r="G524" s="919"/>
      <c r="H524" s="292"/>
      <c r="I524" s="1112"/>
      <c r="J524" s="1150"/>
      <c r="K524" s="919"/>
      <c r="L524" s="293"/>
      <c r="M524" s="292"/>
      <c r="N524" s="29" t="s">
        <v>119</v>
      </c>
      <c r="O524" s="120"/>
      <c r="P524" s="120"/>
      <c r="Q524" s="120"/>
      <c r="R524" s="29">
        <v>36</v>
      </c>
      <c r="S524" s="288" t="str">
        <f t="shared" si="305"/>
        <v/>
      </c>
      <c r="T524" s="288" t="str">
        <f t="shared" si="306"/>
        <v/>
      </c>
      <c r="U524" s="288" t="str">
        <f t="shared" si="307"/>
        <v/>
      </c>
      <c r="W524" s="288" t="e">
        <f t="shared" si="275"/>
        <v>#N/A</v>
      </c>
      <c r="X524" s="288" t="e">
        <f t="shared" si="308"/>
        <v>#N/A</v>
      </c>
      <c r="Y524" s="288" t="e">
        <f t="shared" si="277"/>
        <v>#N/A</v>
      </c>
      <c r="AA524" s="89"/>
      <c r="AB524" s="89"/>
      <c r="AC524" s="89"/>
      <c r="AD524" s="89"/>
      <c r="AE524" s="89"/>
      <c r="AF524" s="89"/>
      <c r="AG524" s="89"/>
      <c r="AH524" s="89"/>
      <c r="AI524" s="89"/>
      <c r="AJ524" s="89"/>
      <c r="AK524" s="89"/>
      <c r="AL524" s="89"/>
      <c r="AM524" s="89"/>
      <c r="AN524" s="89"/>
      <c r="BR524" s="180">
        <v>2048</v>
      </c>
      <c r="BS524" s="22">
        <v>34</v>
      </c>
      <c r="BT524" s="289" t="e">
        <f t="shared" si="288"/>
        <v>#DIV/0!</v>
      </c>
      <c r="BU524" s="289" t="e">
        <f t="shared" si="289"/>
        <v>#DIV/0!</v>
      </c>
      <c r="BV524" s="205" t="e">
        <f t="shared" si="290"/>
        <v>#DIV/0!</v>
      </c>
      <c r="BY524" s="180">
        <v>2048</v>
      </c>
      <c r="BZ524" s="22">
        <v>34</v>
      </c>
      <c r="CA524" s="289" t="e">
        <f t="shared" ca="1" si="291"/>
        <v>#REF!</v>
      </c>
      <c r="CB524" s="289" t="e">
        <f t="shared" ca="1" si="292"/>
        <v>#REF!</v>
      </c>
      <c r="CC524" s="289" t="e">
        <f t="shared" ca="1" si="303"/>
        <v>#REF!</v>
      </c>
      <c r="CD524" s="205" t="e">
        <f t="shared" ca="1" si="293"/>
        <v>#REF!</v>
      </c>
      <c r="CG524" s="180">
        <v>2048</v>
      </c>
      <c r="CH524" s="22">
        <v>34</v>
      </c>
      <c r="CI524" s="289" t="e">
        <f t="shared" ca="1" si="294"/>
        <v>#REF!</v>
      </c>
      <c r="CJ524" s="289" t="e">
        <f t="shared" ca="1" si="295"/>
        <v>#REF!</v>
      </c>
      <c r="CK524" s="289" t="e">
        <f t="shared" ca="1" si="296"/>
        <v>#REF!</v>
      </c>
      <c r="CL524" s="289" t="e">
        <f t="shared" ca="1" si="297"/>
        <v>#REF!</v>
      </c>
      <c r="CM524" s="205" t="e">
        <f t="shared" ca="1" si="298"/>
        <v>#REF!</v>
      </c>
      <c r="CP524" s="180">
        <v>2048</v>
      </c>
      <c r="CQ524" s="22">
        <v>34</v>
      </c>
      <c r="CR524" s="289" t="e">
        <f t="shared" ca="1" si="299"/>
        <v>#REF!</v>
      </c>
      <c r="CS524" s="289" t="e">
        <f t="shared" ca="1" si="300"/>
        <v>#REF!</v>
      </c>
      <c r="CT524" s="205" t="e">
        <f t="shared" ca="1" si="301"/>
        <v>#REF!</v>
      </c>
      <c r="CZ524" s="164" t="b">
        <f t="shared" si="278"/>
        <v>0</v>
      </c>
      <c r="DA524" s="165" t="b">
        <f t="shared" si="278"/>
        <v>0</v>
      </c>
      <c r="DB524" s="166" t="b">
        <f t="shared" si="278"/>
        <v>0</v>
      </c>
      <c r="DC524" s="164" t="str">
        <f t="shared" si="279"/>
        <v/>
      </c>
      <c r="DD524" s="166" t="str">
        <f t="shared" si="280"/>
        <v/>
      </c>
      <c r="DE524" s="164" t="str">
        <f t="shared" si="281"/>
        <v/>
      </c>
      <c r="DF524" s="166" t="str">
        <f t="shared" si="282"/>
        <v/>
      </c>
      <c r="DG524" s="164" t="str">
        <f t="shared" si="283"/>
        <v/>
      </c>
      <c r="DH524" s="166" t="str">
        <f t="shared" si="284"/>
        <v/>
      </c>
      <c r="DI524" s="164" t="str">
        <f>IFERROR(INDEX(DC$486:DC$534,_xlfn.AGGREGATE(15,6,(ROW(DC$486:DC$534)-ROW(DC$486)+1)/(DC$486:DC$534&lt;&gt;""),ROWS(DI$1:DI39))),"")</f>
        <v/>
      </c>
      <c r="DJ524" s="165" t="str">
        <f>IFERROR(INDEX(DD$486:DD$534,_xlfn.AGGREGATE(15,6,(ROW(DD$486:DD$534)-ROW(DD$486)+1)/(DD$486:DD$534&lt;&gt;""),ROWS(DJ$1:DJ39))),"")</f>
        <v/>
      </c>
      <c r="DK524" s="166" t="str">
        <f t="shared" si="285"/>
        <v/>
      </c>
      <c r="DL524" s="164" t="str">
        <f>IFERROR(INDEX(DE$486:DE$534,_xlfn.AGGREGATE(15,6,(ROW(DE$486:DE$534)-ROW(DE$486)+1)/(DE$486:DE$534&lt;&gt;""),ROWS(DL$1:DL39))),"")</f>
        <v/>
      </c>
      <c r="DM524" s="165" t="str">
        <f>IFERROR(INDEX(DF$486:DF$534,_xlfn.AGGREGATE(15,6,(ROW(DF$486:DF$534)-ROW(DF$486)+1)/(DF$486:DF$534&lt;&gt;""),ROWS(DM$1:DM39))),"")</f>
        <v/>
      </c>
      <c r="DN524" s="166" t="str">
        <f t="shared" si="286"/>
        <v/>
      </c>
      <c r="DO524" s="164" t="str">
        <f>IFERROR(INDEX(DG$486:DG$534,_xlfn.AGGREGATE(15,6,(ROW(DG$486:DG$534)-ROW(DG$486)+1)/(DG$486:DG$534&lt;&gt;""),ROWS(DO$1:DO39))),"")</f>
        <v/>
      </c>
      <c r="DP524" s="165" t="str">
        <f>IFERROR(INDEX(DH$486:DH$534,_xlfn.AGGREGATE(15,6,(ROW(DH$486:DH$534)-ROW(DH$486)+1)/(DH$486:DH$534&lt;&gt;""),ROWS(DP$1:DP39))),"")</f>
        <v/>
      </c>
      <c r="DQ524" s="166" t="str">
        <f t="shared" si="287"/>
        <v/>
      </c>
      <c r="DR524" s="65"/>
      <c r="DV524" s="145">
        <v>2053</v>
      </c>
      <c r="DW524" s="235" t="e">
        <f t="shared" ca="1" si="271"/>
        <v>#REF!</v>
      </c>
      <c r="EA524" s="55"/>
      <c r="EB524" s="55"/>
      <c r="EC524" s="55"/>
      <c r="ED524" s="55"/>
      <c r="EE524" s="55"/>
    </row>
    <row r="525" spans="2:135" ht="13.8" x14ac:dyDescent="0.45">
      <c r="B525" s="128">
        <v>2051</v>
      </c>
      <c r="C525" s="951"/>
      <c r="D525" s="795"/>
      <c r="E525" s="292"/>
      <c r="F525" s="914"/>
      <c r="G525" s="919"/>
      <c r="H525" s="292"/>
      <c r="I525" s="1112"/>
      <c r="J525" s="1150"/>
      <c r="K525" s="919"/>
      <c r="L525" s="293"/>
      <c r="M525" s="292"/>
      <c r="N525" s="29" t="s">
        <v>119</v>
      </c>
      <c r="O525" s="120"/>
      <c r="P525" s="120"/>
      <c r="Q525" s="120"/>
      <c r="R525" s="29">
        <v>37</v>
      </c>
      <c r="S525" s="288" t="str">
        <f t="shared" si="305"/>
        <v/>
      </c>
      <c r="T525" s="288" t="str">
        <f t="shared" si="306"/>
        <v/>
      </c>
      <c r="U525" s="288" t="str">
        <f t="shared" si="307"/>
        <v/>
      </c>
      <c r="W525" s="288" t="e">
        <f t="shared" si="275"/>
        <v>#N/A</v>
      </c>
      <c r="X525" s="288" t="e">
        <f t="shared" si="308"/>
        <v>#N/A</v>
      </c>
      <c r="Y525" s="288" t="e">
        <f t="shared" si="277"/>
        <v>#N/A</v>
      </c>
      <c r="AA525" s="89"/>
      <c r="AB525" s="89"/>
      <c r="AC525" s="89"/>
      <c r="AD525" s="89"/>
      <c r="AE525" s="89"/>
      <c r="AF525" s="89"/>
      <c r="AG525" s="89"/>
      <c r="AH525" s="89"/>
      <c r="AI525" s="89"/>
      <c r="AJ525" s="89"/>
      <c r="AK525" s="89"/>
      <c r="AL525" s="89"/>
      <c r="AM525" s="89"/>
      <c r="AN525" s="89"/>
      <c r="BR525" s="180">
        <v>2049</v>
      </c>
      <c r="BS525" s="22">
        <v>35</v>
      </c>
      <c r="BT525" s="289" t="e">
        <f t="shared" si="288"/>
        <v>#DIV/0!</v>
      </c>
      <c r="BU525" s="289" t="e">
        <f t="shared" si="289"/>
        <v>#DIV/0!</v>
      </c>
      <c r="BV525" s="205" t="e">
        <f t="shared" si="290"/>
        <v>#DIV/0!</v>
      </c>
      <c r="BY525" s="180">
        <v>2049</v>
      </c>
      <c r="BZ525" s="22">
        <v>35</v>
      </c>
      <c r="CA525" s="289" t="e">
        <f t="shared" ca="1" si="291"/>
        <v>#REF!</v>
      </c>
      <c r="CB525" s="289" t="e">
        <f t="shared" ca="1" si="292"/>
        <v>#REF!</v>
      </c>
      <c r="CC525" s="289" t="e">
        <f t="shared" ca="1" si="303"/>
        <v>#REF!</v>
      </c>
      <c r="CD525" s="205" t="e">
        <f t="shared" ca="1" si="293"/>
        <v>#REF!</v>
      </c>
      <c r="CG525" s="180">
        <v>2049</v>
      </c>
      <c r="CH525" s="22">
        <v>35</v>
      </c>
      <c r="CI525" s="289" t="e">
        <f t="shared" ca="1" si="294"/>
        <v>#REF!</v>
      </c>
      <c r="CJ525" s="289" t="e">
        <f t="shared" ca="1" si="295"/>
        <v>#REF!</v>
      </c>
      <c r="CK525" s="289" t="e">
        <f t="shared" ca="1" si="296"/>
        <v>#REF!</v>
      </c>
      <c r="CL525" s="289" t="e">
        <f t="shared" ca="1" si="297"/>
        <v>#REF!</v>
      </c>
      <c r="CM525" s="205" t="e">
        <f t="shared" ca="1" si="298"/>
        <v>#REF!</v>
      </c>
      <c r="CP525" s="180">
        <v>2049</v>
      </c>
      <c r="CQ525" s="22">
        <v>35</v>
      </c>
      <c r="CR525" s="289" t="e">
        <f t="shared" ca="1" si="299"/>
        <v>#REF!</v>
      </c>
      <c r="CS525" s="289" t="e">
        <f t="shared" ca="1" si="300"/>
        <v>#REF!</v>
      </c>
      <c r="CT525" s="205" t="e">
        <f t="shared" ca="1" si="301"/>
        <v>#REF!</v>
      </c>
      <c r="CZ525" s="164" t="b">
        <f t="shared" si="278"/>
        <v>0</v>
      </c>
      <c r="DA525" s="165" t="b">
        <f t="shared" si="278"/>
        <v>0</v>
      </c>
      <c r="DB525" s="166" t="b">
        <f t="shared" si="278"/>
        <v>0</v>
      </c>
      <c r="DC525" s="164" t="str">
        <f t="shared" si="279"/>
        <v/>
      </c>
      <c r="DD525" s="166" t="str">
        <f t="shared" si="280"/>
        <v/>
      </c>
      <c r="DE525" s="164" t="str">
        <f t="shared" si="281"/>
        <v/>
      </c>
      <c r="DF525" s="166" t="str">
        <f t="shared" si="282"/>
        <v/>
      </c>
      <c r="DG525" s="164" t="str">
        <f t="shared" si="283"/>
        <v/>
      </c>
      <c r="DH525" s="166" t="str">
        <f t="shared" si="284"/>
        <v/>
      </c>
      <c r="DI525" s="164" t="str">
        <f>IFERROR(INDEX(DC$486:DC$534,_xlfn.AGGREGATE(15,6,(ROW(DC$486:DC$534)-ROW(DC$486)+1)/(DC$486:DC$534&lt;&gt;""),ROWS(DI$1:DI40))),"")</f>
        <v/>
      </c>
      <c r="DJ525" s="165" t="str">
        <f>IFERROR(INDEX(DD$486:DD$534,_xlfn.AGGREGATE(15,6,(ROW(DD$486:DD$534)-ROW(DD$486)+1)/(DD$486:DD$534&lt;&gt;""),ROWS(DJ$1:DJ40))),"")</f>
        <v/>
      </c>
      <c r="DK525" s="166" t="str">
        <f t="shared" si="285"/>
        <v/>
      </c>
      <c r="DL525" s="164" t="str">
        <f>IFERROR(INDEX(DE$486:DE$534,_xlfn.AGGREGATE(15,6,(ROW(DE$486:DE$534)-ROW(DE$486)+1)/(DE$486:DE$534&lt;&gt;""),ROWS(DL$1:DL40))),"")</f>
        <v/>
      </c>
      <c r="DM525" s="165" t="str">
        <f>IFERROR(INDEX(DF$486:DF$534,_xlfn.AGGREGATE(15,6,(ROW(DF$486:DF$534)-ROW(DF$486)+1)/(DF$486:DF$534&lt;&gt;""),ROWS(DM$1:DM40))),"")</f>
        <v/>
      </c>
      <c r="DN525" s="166" t="str">
        <f t="shared" si="286"/>
        <v/>
      </c>
      <c r="DO525" s="164" t="str">
        <f>IFERROR(INDEX(DG$486:DG$534,_xlfn.AGGREGATE(15,6,(ROW(DG$486:DG$534)-ROW(DG$486)+1)/(DG$486:DG$534&lt;&gt;""),ROWS(DO$1:DO40))),"")</f>
        <v/>
      </c>
      <c r="DP525" s="165" t="str">
        <f>IFERROR(INDEX(DH$486:DH$534,_xlfn.AGGREGATE(15,6,(ROW(DH$486:DH$534)-ROW(DH$486)+1)/(DH$486:DH$534&lt;&gt;""),ROWS(DP$1:DP40))),"")</f>
        <v/>
      </c>
      <c r="DQ525" s="166" t="str">
        <f t="shared" si="287"/>
        <v/>
      </c>
      <c r="DR525" s="65"/>
      <c r="DV525" s="145">
        <v>2054</v>
      </c>
      <c r="DW525" s="235" t="e">
        <f t="shared" ca="1" si="271"/>
        <v>#REF!</v>
      </c>
      <c r="EA525" s="55"/>
      <c r="EB525" s="55"/>
      <c r="EC525" s="55"/>
      <c r="ED525" s="55"/>
      <c r="EE525" s="55"/>
    </row>
    <row r="526" spans="2:135" ht="14.1" thickBot="1" x14ac:dyDescent="0.5">
      <c r="B526" s="128">
        <v>2052</v>
      </c>
      <c r="C526" s="951"/>
      <c r="D526" s="795"/>
      <c r="E526" s="292"/>
      <c r="F526" s="914"/>
      <c r="G526" s="919"/>
      <c r="H526" s="292"/>
      <c r="I526" s="1112"/>
      <c r="J526" s="1150"/>
      <c r="K526" s="919"/>
      <c r="L526" s="293"/>
      <c r="M526" s="292"/>
      <c r="N526" s="29" t="s">
        <v>119</v>
      </c>
      <c r="O526" s="120"/>
      <c r="P526" s="120"/>
      <c r="Q526" s="120"/>
      <c r="R526" s="29">
        <v>38</v>
      </c>
      <c r="S526" s="288" t="str">
        <f t="shared" si="305"/>
        <v/>
      </c>
      <c r="T526" s="288" t="str">
        <f t="shared" si="306"/>
        <v/>
      </c>
      <c r="U526" s="288" t="str">
        <f t="shared" si="307"/>
        <v/>
      </c>
      <c r="W526" s="288" t="e">
        <f t="shared" si="275"/>
        <v>#N/A</v>
      </c>
      <c r="X526" s="288" t="e">
        <f t="shared" si="308"/>
        <v>#N/A</v>
      </c>
      <c r="Y526" s="288" t="e">
        <f t="shared" si="277"/>
        <v>#N/A</v>
      </c>
      <c r="AA526" s="89"/>
      <c r="AB526" s="89"/>
      <c r="AC526" s="89"/>
      <c r="AD526" s="89"/>
      <c r="AE526" s="89"/>
      <c r="AF526" s="89"/>
      <c r="AG526" s="89"/>
      <c r="AH526" s="89"/>
      <c r="AI526" s="89"/>
      <c r="AJ526" s="89"/>
      <c r="AK526" s="89"/>
      <c r="AL526" s="89"/>
      <c r="AM526" s="89"/>
      <c r="AN526" s="89"/>
      <c r="BR526" s="180">
        <v>2050</v>
      </c>
      <c r="BS526" s="22">
        <v>36</v>
      </c>
      <c r="BT526" s="289" t="e">
        <f t="shared" si="288"/>
        <v>#DIV/0!</v>
      </c>
      <c r="BU526" s="289" t="e">
        <f t="shared" si="289"/>
        <v>#DIV/0!</v>
      </c>
      <c r="BV526" s="212" t="e">
        <f t="shared" si="290"/>
        <v>#DIV/0!</v>
      </c>
      <c r="BY526" s="180">
        <v>2050</v>
      </c>
      <c r="BZ526" s="22">
        <v>36</v>
      </c>
      <c r="CA526" s="289" t="e">
        <f t="shared" ca="1" si="291"/>
        <v>#REF!</v>
      </c>
      <c r="CB526" s="289" t="e">
        <f t="shared" ca="1" si="292"/>
        <v>#REF!</v>
      </c>
      <c r="CC526" s="289" t="e">
        <f t="shared" ca="1" si="303"/>
        <v>#REF!</v>
      </c>
      <c r="CD526" s="212" t="e">
        <f t="shared" ca="1" si="293"/>
        <v>#REF!</v>
      </c>
      <c r="CG526" s="180">
        <v>2050</v>
      </c>
      <c r="CH526" s="22">
        <v>36</v>
      </c>
      <c r="CI526" s="289" t="e">
        <f t="shared" ca="1" si="294"/>
        <v>#REF!</v>
      </c>
      <c r="CJ526" s="289" t="e">
        <f t="shared" ca="1" si="295"/>
        <v>#REF!</v>
      </c>
      <c r="CK526" s="289" t="e">
        <f t="shared" ca="1" si="296"/>
        <v>#REF!</v>
      </c>
      <c r="CL526" s="289" t="e">
        <f t="shared" ca="1" si="297"/>
        <v>#REF!</v>
      </c>
      <c r="CM526" s="212" t="e">
        <f t="shared" ca="1" si="298"/>
        <v>#REF!</v>
      </c>
      <c r="CP526" s="180">
        <v>2050</v>
      </c>
      <c r="CQ526" s="22">
        <v>36</v>
      </c>
      <c r="CR526" s="289" t="e">
        <f t="shared" ca="1" si="299"/>
        <v>#REF!</v>
      </c>
      <c r="CS526" s="289" t="e">
        <f t="shared" ca="1" si="300"/>
        <v>#REF!</v>
      </c>
      <c r="CT526" s="212" t="e">
        <f t="shared" ca="1" si="301"/>
        <v>#REF!</v>
      </c>
      <c r="CZ526" s="164" t="b">
        <f t="shared" ref="CZ526:DB534" si="309">ISNUMBER(W526)</f>
        <v>0</v>
      </c>
      <c r="DA526" s="165" t="b">
        <f t="shared" si="309"/>
        <v>0</v>
      </c>
      <c r="DB526" s="166" t="b">
        <f t="shared" si="309"/>
        <v>0</v>
      </c>
      <c r="DC526" s="164" t="str">
        <f t="shared" si="279"/>
        <v/>
      </c>
      <c r="DD526" s="166" t="str">
        <f t="shared" si="280"/>
        <v/>
      </c>
      <c r="DE526" s="164" t="str">
        <f t="shared" si="281"/>
        <v/>
      </c>
      <c r="DF526" s="166" t="str">
        <f t="shared" si="282"/>
        <v/>
      </c>
      <c r="DG526" s="164" t="str">
        <f t="shared" si="283"/>
        <v/>
      </c>
      <c r="DH526" s="166" t="str">
        <f t="shared" si="284"/>
        <v/>
      </c>
      <c r="DI526" s="164" t="str">
        <f>IFERROR(INDEX(DC$486:DC$534,_xlfn.AGGREGATE(15,6,(ROW(DC$486:DC$534)-ROW(DC$486)+1)/(DC$486:DC$534&lt;&gt;""),ROWS(DI$1:DI41))),"")</f>
        <v/>
      </c>
      <c r="DJ526" s="165" t="str">
        <f>IFERROR(INDEX(DD$486:DD$534,_xlfn.AGGREGATE(15,6,(ROW(DD$486:DD$534)-ROW(DD$486)+1)/(DD$486:DD$534&lt;&gt;""),ROWS(DJ$1:DJ41))),"")</f>
        <v/>
      </c>
      <c r="DK526" s="166" t="str">
        <f t="shared" si="285"/>
        <v/>
      </c>
      <c r="DL526" s="164" t="str">
        <f>IFERROR(INDEX(DE$486:DE$534,_xlfn.AGGREGATE(15,6,(ROW(DE$486:DE$534)-ROW(DE$486)+1)/(DE$486:DE$534&lt;&gt;""),ROWS(DL$1:DL41))),"")</f>
        <v/>
      </c>
      <c r="DM526" s="165" t="str">
        <f>IFERROR(INDEX(DF$486:DF$534,_xlfn.AGGREGATE(15,6,(ROW(DF$486:DF$534)-ROW(DF$486)+1)/(DF$486:DF$534&lt;&gt;""),ROWS(DM$1:DM41))),"")</f>
        <v/>
      </c>
      <c r="DN526" s="166" t="str">
        <f t="shared" si="286"/>
        <v/>
      </c>
      <c r="DO526" s="164" t="str">
        <f>IFERROR(INDEX(DG$486:DG$534,_xlfn.AGGREGATE(15,6,(ROW(DG$486:DG$534)-ROW(DG$486)+1)/(DG$486:DG$534&lt;&gt;""),ROWS(DO$1:DO41))),"")</f>
        <v/>
      </c>
      <c r="DP526" s="165" t="str">
        <f>IFERROR(INDEX(DH$486:DH$534,_xlfn.AGGREGATE(15,6,(ROW(DH$486:DH$534)-ROW(DH$486)+1)/(DH$486:DH$534&lt;&gt;""),ROWS(DP$1:DP41))),"")</f>
        <v/>
      </c>
      <c r="DQ526" s="166" t="str">
        <f t="shared" si="287"/>
        <v/>
      </c>
      <c r="DR526" s="65"/>
      <c r="DV526" s="145">
        <v>2055</v>
      </c>
      <c r="DW526" s="235" t="e">
        <f t="shared" ca="1" si="271"/>
        <v>#REF!</v>
      </c>
      <c r="EA526" s="55"/>
      <c r="EB526" s="55"/>
      <c r="EC526" s="55"/>
      <c r="ED526" s="55"/>
      <c r="EE526" s="55"/>
    </row>
    <row r="527" spans="2:135" ht="13.8" x14ac:dyDescent="0.45">
      <c r="B527" s="128">
        <v>2053</v>
      </c>
      <c r="C527" s="951"/>
      <c r="D527" s="795"/>
      <c r="E527" s="292"/>
      <c r="F527" s="914"/>
      <c r="G527" s="919"/>
      <c r="H527" s="292"/>
      <c r="I527" s="1112"/>
      <c r="J527" s="1150"/>
      <c r="K527" s="919"/>
      <c r="L527" s="293"/>
      <c r="M527" s="292"/>
      <c r="N527" s="29" t="s">
        <v>119</v>
      </c>
      <c r="O527" s="120"/>
      <c r="P527" s="120"/>
      <c r="Q527" s="120"/>
      <c r="R527" s="29">
        <v>39</v>
      </c>
      <c r="S527" s="288" t="str">
        <f t="shared" si="305"/>
        <v/>
      </c>
      <c r="T527" s="288" t="str">
        <f t="shared" si="306"/>
        <v/>
      </c>
      <c r="U527" s="288" t="str">
        <f t="shared" si="307"/>
        <v/>
      </c>
      <c r="W527" s="288" t="e">
        <f t="shared" si="275"/>
        <v>#N/A</v>
      </c>
      <c r="X527" s="288" t="e">
        <f t="shared" si="308"/>
        <v>#N/A</v>
      </c>
      <c r="Y527" s="288" t="e">
        <f t="shared" si="277"/>
        <v>#N/A</v>
      </c>
      <c r="AA527" s="89"/>
      <c r="AB527" s="89"/>
      <c r="AC527" s="89"/>
      <c r="AD527" s="89"/>
      <c r="AE527" s="89"/>
      <c r="AF527" s="89"/>
      <c r="AG527" s="89"/>
      <c r="AH527" s="89"/>
      <c r="AI527" s="89"/>
      <c r="AJ527" s="89"/>
      <c r="AK527" s="89"/>
      <c r="AL527" s="89"/>
      <c r="AM527" s="89"/>
      <c r="AN527" s="89"/>
      <c r="BR527" s="180">
        <v>2051</v>
      </c>
      <c r="BS527" s="22">
        <v>37</v>
      </c>
      <c r="BT527" s="289" t="e">
        <f t="shared" si="288"/>
        <v>#DIV/0!</v>
      </c>
      <c r="BU527" s="289" t="e">
        <f t="shared" si="289"/>
        <v>#DIV/0!</v>
      </c>
      <c r="BV527" s="285" t="e">
        <f t="shared" si="290"/>
        <v>#DIV/0!</v>
      </c>
      <c r="BY527" s="180">
        <v>2051</v>
      </c>
      <c r="BZ527" s="22">
        <v>37</v>
      </c>
      <c r="CA527" s="289" t="e">
        <f t="shared" ca="1" si="291"/>
        <v>#REF!</v>
      </c>
      <c r="CB527" s="289" t="e">
        <f t="shared" ca="1" si="292"/>
        <v>#REF!</v>
      </c>
      <c r="CC527" s="289" t="e">
        <f t="shared" ca="1" si="303"/>
        <v>#REF!</v>
      </c>
      <c r="CD527" s="285" t="e">
        <f t="shared" ca="1" si="293"/>
        <v>#REF!</v>
      </c>
      <c r="CG527" s="180">
        <v>2051</v>
      </c>
      <c r="CH527" s="22">
        <v>37</v>
      </c>
      <c r="CI527" s="289" t="e">
        <f t="shared" ca="1" si="294"/>
        <v>#REF!</v>
      </c>
      <c r="CJ527" s="289" t="e">
        <f t="shared" ca="1" si="295"/>
        <v>#REF!</v>
      </c>
      <c r="CK527" s="289" t="e">
        <f t="shared" ca="1" si="296"/>
        <v>#REF!</v>
      </c>
      <c r="CL527" s="289" t="e">
        <f t="shared" ca="1" si="297"/>
        <v>#REF!</v>
      </c>
      <c r="CM527" s="285" t="e">
        <f t="shared" ca="1" si="298"/>
        <v>#REF!</v>
      </c>
      <c r="CP527" s="180">
        <v>2051</v>
      </c>
      <c r="CQ527" s="22">
        <v>37</v>
      </c>
      <c r="CR527" s="289" t="e">
        <f t="shared" ca="1" si="299"/>
        <v>#REF!</v>
      </c>
      <c r="CS527" s="289" t="e">
        <f t="shared" ca="1" si="300"/>
        <v>#REF!</v>
      </c>
      <c r="CT527" s="285" t="e">
        <f t="shared" ca="1" si="301"/>
        <v>#REF!</v>
      </c>
      <c r="CZ527" s="164" t="b">
        <f t="shared" si="309"/>
        <v>0</v>
      </c>
      <c r="DA527" s="165" t="b">
        <f t="shared" si="309"/>
        <v>0</v>
      </c>
      <c r="DB527" s="166" t="b">
        <f t="shared" si="309"/>
        <v>0</v>
      </c>
      <c r="DC527" s="164" t="str">
        <f t="shared" si="279"/>
        <v/>
      </c>
      <c r="DD527" s="166" t="str">
        <f t="shared" si="280"/>
        <v/>
      </c>
      <c r="DE527" s="164" t="str">
        <f t="shared" si="281"/>
        <v/>
      </c>
      <c r="DF527" s="166" t="str">
        <f t="shared" si="282"/>
        <v/>
      </c>
      <c r="DG527" s="164" t="str">
        <f t="shared" si="283"/>
        <v/>
      </c>
      <c r="DH527" s="166" t="str">
        <f t="shared" si="284"/>
        <v/>
      </c>
      <c r="DI527" s="164" t="str">
        <f>IFERROR(INDEX(DC$486:DC$534,_xlfn.AGGREGATE(15,6,(ROW(DC$486:DC$534)-ROW(DC$486)+1)/(DC$486:DC$534&lt;&gt;""),ROWS(DI$1:DI42))),"")</f>
        <v/>
      </c>
      <c r="DJ527" s="165" t="str">
        <f>IFERROR(INDEX(DD$486:DD$534,_xlfn.AGGREGATE(15,6,(ROW(DD$486:DD$534)-ROW(DD$486)+1)/(DD$486:DD$534&lt;&gt;""),ROWS(DJ$1:DJ42))),"")</f>
        <v/>
      </c>
      <c r="DK527" s="166" t="str">
        <f t="shared" si="285"/>
        <v/>
      </c>
      <c r="DL527" s="164" t="str">
        <f>IFERROR(INDEX(DE$486:DE$534,_xlfn.AGGREGATE(15,6,(ROW(DE$486:DE$534)-ROW(DE$486)+1)/(DE$486:DE$534&lt;&gt;""),ROWS(DL$1:DL42))),"")</f>
        <v/>
      </c>
      <c r="DM527" s="165" t="str">
        <f>IFERROR(INDEX(DF$486:DF$534,_xlfn.AGGREGATE(15,6,(ROW(DF$486:DF$534)-ROW(DF$486)+1)/(DF$486:DF$534&lt;&gt;""),ROWS(DM$1:DM42))),"")</f>
        <v/>
      </c>
      <c r="DN527" s="166" t="str">
        <f t="shared" si="286"/>
        <v/>
      </c>
      <c r="DO527" s="164" t="str">
        <f>IFERROR(INDEX(DG$486:DG$534,_xlfn.AGGREGATE(15,6,(ROW(DG$486:DG$534)-ROW(DG$486)+1)/(DG$486:DG$534&lt;&gt;""),ROWS(DO$1:DO42))),"")</f>
        <v/>
      </c>
      <c r="DP527" s="165" t="str">
        <f>IFERROR(INDEX(DH$486:DH$534,_xlfn.AGGREGATE(15,6,(ROW(DH$486:DH$534)-ROW(DH$486)+1)/(DH$486:DH$534&lt;&gt;""),ROWS(DP$1:DP42))),"")</f>
        <v/>
      </c>
      <c r="DQ527" s="166" t="str">
        <f t="shared" si="287"/>
        <v/>
      </c>
      <c r="DR527" s="65"/>
      <c r="DV527" s="145">
        <v>2056</v>
      </c>
      <c r="DW527" s="235" t="e">
        <f t="shared" ca="1" si="271"/>
        <v>#REF!</v>
      </c>
      <c r="EA527" s="55"/>
      <c r="EB527" s="55"/>
      <c r="EC527" s="55"/>
      <c r="ED527" s="55"/>
      <c r="EE527" s="55"/>
    </row>
    <row r="528" spans="2:135" ht="13.8" x14ac:dyDescent="0.45">
      <c r="B528" s="128">
        <v>2054</v>
      </c>
      <c r="C528" s="951"/>
      <c r="D528" s="795"/>
      <c r="E528" s="292"/>
      <c r="F528" s="914"/>
      <c r="G528" s="919"/>
      <c r="H528" s="292"/>
      <c r="I528" s="1112"/>
      <c r="J528" s="1150"/>
      <c r="K528" s="919"/>
      <c r="L528" s="293"/>
      <c r="M528" s="292"/>
      <c r="N528" s="29" t="s">
        <v>119</v>
      </c>
      <c r="O528" s="120"/>
      <c r="P528" s="120"/>
      <c r="Q528" s="120"/>
      <c r="R528" s="29">
        <v>40</v>
      </c>
      <c r="S528" s="288" t="str">
        <f t="shared" si="305"/>
        <v/>
      </c>
      <c r="T528" s="288" t="str">
        <f t="shared" si="306"/>
        <v/>
      </c>
      <c r="U528" s="288" t="str">
        <f t="shared" si="307"/>
        <v/>
      </c>
      <c r="W528" s="288" t="e">
        <f t="shared" si="275"/>
        <v>#N/A</v>
      </c>
      <c r="X528" s="288" t="e">
        <f t="shared" si="308"/>
        <v>#N/A</v>
      </c>
      <c r="Y528" s="288" t="e">
        <f t="shared" si="277"/>
        <v>#N/A</v>
      </c>
      <c r="AA528" s="89"/>
      <c r="AB528" s="89"/>
      <c r="AC528" s="89"/>
      <c r="AD528" s="89"/>
      <c r="AE528" s="89"/>
      <c r="AF528" s="89"/>
      <c r="AG528" s="89"/>
      <c r="AH528" s="89"/>
      <c r="AI528" s="89"/>
      <c r="AJ528" s="89"/>
      <c r="AK528" s="89"/>
      <c r="AL528" s="89"/>
      <c r="AM528" s="89"/>
      <c r="AN528" s="89"/>
      <c r="BR528" s="180">
        <v>2052</v>
      </c>
      <c r="BS528" s="22">
        <v>38</v>
      </c>
      <c r="BT528" s="289" t="e">
        <f t="shared" si="288"/>
        <v>#DIV/0!</v>
      </c>
      <c r="BU528" s="289" t="e">
        <f t="shared" si="289"/>
        <v>#DIV/0!</v>
      </c>
      <c r="BV528" s="299" t="e">
        <f t="shared" si="290"/>
        <v>#DIV/0!</v>
      </c>
      <c r="BY528" s="180">
        <v>2052</v>
      </c>
      <c r="BZ528" s="22">
        <v>38</v>
      </c>
      <c r="CA528" s="289" t="e">
        <f t="shared" ca="1" si="291"/>
        <v>#REF!</v>
      </c>
      <c r="CB528" s="289" t="e">
        <f t="shared" ca="1" si="292"/>
        <v>#REF!</v>
      </c>
      <c r="CC528" s="289" t="e">
        <f t="shared" ca="1" si="303"/>
        <v>#REF!</v>
      </c>
      <c r="CD528" s="299" t="e">
        <f t="shared" ca="1" si="293"/>
        <v>#REF!</v>
      </c>
      <c r="CG528" s="180">
        <v>2052</v>
      </c>
      <c r="CH528" s="22">
        <v>38</v>
      </c>
      <c r="CI528" s="289" t="e">
        <f t="shared" ca="1" si="294"/>
        <v>#REF!</v>
      </c>
      <c r="CJ528" s="289" t="e">
        <f t="shared" ca="1" si="295"/>
        <v>#REF!</v>
      </c>
      <c r="CK528" s="289" t="e">
        <f t="shared" ca="1" si="296"/>
        <v>#REF!</v>
      </c>
      <c r="CL528" s="289" t="e">
        <f t="shared" ca="1" si="297"/>
        <v>#REF!</v>
      </c>
      <c r="CM528" s="299" t="e">
        <f t="shared" ca="1" si="298"/>
        <v>#REF!</v>
      </c>
      <c r="CP528" s="180">
        <v>2052</v>
      </c>
      <c r="CQ528" s="22">
        <v>38</v>
      </c>
      <c r="CR528" s="289" t="e">
        <f t="shared" ca="1" si="299"/>
        <v>#REF!</v>
      </c>
      <c r="CS528" s="289" t="e">
        <f t="shared" ca="1" si="300"/>
        <v>#REF!</v>
      </c>
      <c r="CT528" s="299" t="e">
        <f t="shared" ca="1" si="301"/>
        <v>#REF!</v>
      </c>
      <c r="CZ528" s="164" t="b">
        <f t="shared" si="309"/>
        <v>0</v>
      </c>
      <c r="DA528" s="165" t="b">
        <f t="shared" si="309"/>
        <v>0</v>
      </c>
      <c r="DB528" s="166" t="b">
        <f t="shared" si="309"/>
        <v>0</v>
      </c>
      <c r="DC528" s="164" t="str">
        <f t="shared" si="279"/>
        <v/>
      </c>
      <c r="DD528" s="166" t="str">
        <f t="shared" si="280"/>
        <v/>
      </c>
      <c r="DE528" s="164" t="str">
        <f t="shared" si="281"/>
        <v/>
      </c>
      <c r="DF528" s="166" t="str">
        <f t="shared" si="282"/>
        <v/>
      </c>
      <c r="DG528" s="164" t="str">
        <f t="shared" si="283"/>
        <v/>
      </c>
      <c r="DH528" s="166" t="str">
        <f t="shared" si="284"/>
        <v/>
      </c>
      <c r="DI528" s="164" t="str">
        <f>IFERROR(INDEX(DC$486:DC$534,_xlfn.AGGREGATE(15,6,(ROW(DC$486:DC$534)-ROW(DC$486)+1)/(DC$486:DC$534&lt;&gt;""),ROWS(DI$1:DI43))),"")</f>
        <v/>
      </c>
      <c r="DJ528" s="165" t="str">
        <f>IFERROR(INDEX(DD$486:DD$534,_xlfn.AGGREGATE(15,6,(ROW(DD$486:DD$534)-ROW(DD$486)+1)/(DD$486:DD$534&lt;&gt;""),ROWS(DJ$1:DJ43))),"")</f>
        <v/>
      </c>
      <c r="DK528" s="166" t="str">
        <f t="shared" si="285"/>
        <v/>
      </c>
      <c r="DL528" s="164" t="str">
        <f>IFERROR(INDEX(DE$486:DE$534,_xlfn.AGGREGATE(15,6,(ROW(DE$486:DE$534)-ROW(DE$486)+1)/(DE$486:DE$534&lt;&gt;""),ROWS(DL$1:DL43))),"")</f>
        <v/>
      </c>
      <c r="DM528" s="165" t="str">
        <f>IFERROR(INDEX(DF$486:DF$534,_xlfn.AGGREGATE(15,6,(ROW(DF$486:DF$534)-ROW(DF$486)+1)/(DF$486:DF$534&lt;&gt;""),ROWS(DM$1:DM43))),"")</f>
        <v/>
      </c>
      <c r="DN528" s="166" t="str">
        <f t="shared" si="286"/>
        <v/>
      </c>
      <c r="DO528" s="164" t="str">
        <f>IFERROR(INDEX(DG$486:DG$534,_xlfn.AGGREGATE(15,6,(ROW(DG$486:DG$534)-ROW(DG$486)+1)/(DG$486:DG$534&lt;&gt;""),ROWS(DO$1:DO43))),"")</f>
        <v/>
      </c>
      <c r="DP528" s="165" t="str">
        <f>IFERROR(INDEX(DH$486:DH$534,_xlfn.AGGREGATE(15,6,(ROW(DH$486:DH$534)-ROW(DH$486)+1)/(DH$486:DH$534&lt;&gt;""),ROWS(DP$1:DP43))),"")</f>
        <v/>
      </c>
      <c r="DQ528" s="166" t="str">
        <f t="shared" si="287"/>
        <v/>
      </c>
      <c r="DR528" s="65"/>
      <c r="DV528" s="145">
        <v>2057</v>
      </c>
      <c r="DW528" s="235" t="e">
        <f t="shared" ca="1" si="271"/>
        <v>#REF!</v>
      </c>
      <c r="EA528" s="55"/>
      <c r="EB528" s="55"/>
      <c r="EC528" s="55"/>
      <c r="ED528" s="55"/>
      <c r="EE528" s="55"/>
    </row>
    <row r="529" spans="1:135" ht="13.8" x14ac:dyDescent="0.45">
      <c r="B529" s="128">
        <v>2055</v>
      </c>
      <c r="C529" s="951"/>
      <c r="D529" s="795"/>
      <c r="E529" s="292"/>
      <c r="F529" s="914"/>
      <c r="G529" s="919"/>
      <c r="H529" s="292"/>
      <c r="I529" s="1112"/>
      <c r="J529" s="1150"/>
      <c r="K529" s="919"/>
      <c r="L529" s="293"/>
      <c r="M529" s="292"/>
      <c r="N529" s="29" t="s">
        <v>119</v>
      </c>
      <c r="O529" s="120"/>
      <c r="P529" s="120"/>
      <c r="Q529" s="120"/>
      <c r="R529" s="29">
        <v>41</v>
      </c>
      <c r="S529" s="288" t="str">
        <f t="shared" si="305"/>
        <v/>
      </c>
      <c r="T529" s="288" t="str">
        <f t="shared" si="306"/>
        <v/>
      </c>
      <c r="U529" s="288" t="str">
        <f t="shared" si="307"/>
        <v/>
      </c>
      <c r="W529" s="288" t="e">
        <f t="shared" si="275"/>
        <v>#N/A</v>
      </c>
      <c r="X529" s="288" t="e">
        <f t="shared" si="308"/>
        <v>#N/A</v>
      </c>
      <c r="Y529" s="288" t="e">
        <f t="shared" si="277"/>
        <v>#N/A</v>
      </c>
      <c r="AA529" s="89"/>
      <c r="AB529" s="89"/>
      <c r="AC529" s="89"/>
      <c r="AD529" s="89"/>
      <c r="AE529" s="89"/>
      <c r="AF529" s="89"/>
      <c r="AG529" s="89"/>
      <c r="AH529" s="89"/>
      <c r="AI529" s="89"/>
      <c r="AJ529" s="89"/>
      <c r="AK529" s="89"/>
      <c r="AL529" s="89"/>
      <c r="AM529" s="89"/>
      <c r="AN529" s="89"/>
      <c r="BR529" s="180">
        <v>2053</v>
      </c>
      <c r="BS529" s="22">
        <v>39</v>
      </c>
      <c r="BT529" s="289" t="e">
        <f t="shared" si="288"/>
        <v>#DIV/0!</v>
      </c>
      <c r="BU529" s="289" t="e">
        <f t="shared" si="289"/>
        <v>#DIV/0!</v>
      </c>
      <c r="BV529" s="299" t="e">
        <f t="shared" si="290"/>
        <v>#DIV/0!</v>
      </c>
      <c r="BY529" s="180">
        <v>2053</v>
      </c>
      <c r="BZ529" s="22">
        <v>39</v>
      </c>
      <c r="CA529" s="289" t="e">
        <f t="shared" ca="1" si="291"/>
        <v>#REF!</v>
      </c>
      <c r="CB529" s="289" t="e">
        <f t="shared" ca="1" si="292"/>
        <v>#REF!</v>
      </c>
      <c r="CC529" s="289" t="e">
        <f t="shared" ca="1" si="303"/>
        <v>#REF!</v>
      </c>
      <c r="CD529" s="299" t="e">
        <f t="shared" ca="1" si="293"/>
        <v>#REF!</v>
      </c>
      <c r="CG529" s="180">
        <v>2053</v>
      </c>
      <c r="CH529" s="22">
        <v>39</v>
      </c>
      <c r="CI529" s="289" t="e">
        <f t="shared" ca="1" si="294"/>
        <v>#REF!</v>
      </c>
      <c r="CJ529" s="289" t="e">
        <f t="shared" ca="1" si="295"/>
        <v>#REF!</v>
      </c>
      <c r="CK529" s="289" t="e">
        <f t="shared" ca="1" si="296"/>
        <v>#REF!</v>
      </c>
      <c r="CL529" s="289" t="e">
        <f t="shared" ca="1" si="297"/>
        <v>#REF!</v>
      </c>
      <c r="CM529" s="299" t="e">
        <f t="shared" ca="1" si="298"/>
        <v>#REF!</v>
      </c>
      <c r="CP529" s="180">
        <v>2053</v>
      </c>
      <c r="CQ529" s="22">
        <v>39</v>
      </c>
      <c r="CR529" s="289" t="e">
        <f t="shared" ca="1" si="299"/>
        <v>#REF!</v>
      </c>
      <c r="CS529" s="289" t="e">
        <f t="shared" ca="1" si="300"/>
        <v>#REF!</v>
      </c>
      <c r="CT529" s="299" t="e">
        <f t="shared" ca="1" si="301"/>
        <v>#REF!</v>
      </c>
      <c r="CZ529" s="164" t="b">
        <f t="shared" si="309"/>
        <v>0</v>
      </c>
      <c r="DA529" s="165" t="b">
        <f t="shared" si="309"/>
        <v>0</v>
      </c>
      <c r="DB529" s="166" t="b">
        <f t="shared" si="309"/>
        <v>0</v>
      </c>
      <c r="DC529" s="164" t="str">
        <f t="shared" si="279"/>
        <v/>
      </c>
      <c r="DD529" s="166" t="str">
        <f t="shared" si="280"/>
        <v/>
      </c>
      <c r="DE529" s="164" t="str">
        <f t="shared" si="281"/>
        <v/>
      </c>
      <c r="DF529" s="166" t="str">
        <f t="shared" si="282"/>
        <v/>
      </c>
      <c r="DG529" s="164" t="str">
        <f t="shared" si="283"/>
        <v/>
      </c>
      <c r="DH529" s="166" t="str">
        <f t="shared" si="284"/>
        <v/>
      </c>
      <c r="DI529" s="164" t="str">
        <f>IFERROR(INDEX(DC$486:DC$534,_xlfn.AGGREGATE(15,6,(ROW(DC$486:DC$534)-ROW(DC$486)+1)/(DC$486:DC$534&lt;&gt;""),ROWS(DI$1:DI44))),"")</f>
        <v/>
      </c>
      <c r="DJ529" s="165" t="str">
        <f>IFERROR(INDEX(DD$486:DD$534,_xlfn.AGGREGATE(15,6,(ROW(DD$486:DD$534)-ROW(DD$486)+1)/(DD$486:DD$534&lt;&gt;""),ROWS(DJ$1:DJ44))),"")</f>
        <v/>
      </c>
      <c r="DK529" s="166" t="str">
        <f t="shared" si="285"/>
        <v/>
      </c>
      <c r="DL529" s="164" t="str">
        <f>IFERROR(INDEX(DE$486:DE$534,_xlfn.AGGREGATE(15,6,(ROW(DE$486:DE$534)-ROW(DE$486)+1)/(DE$486:DE$534&lt;&gt;""),ROWS(DL$1:DL44))),"")</f>
        <v/>
      </c>
      <c r="DM529" s="165" t="str">
        <f>IFERROR(INDEX(DF$486:DF$534,_xlfn.AGGREGATE(15,6,(ROW(DF$486:DF$534)-ROW(DF$486)+1)/(DF$486:DF$534&lt;&gt;""),ROWS(DM$1:DM44))),"")</f>
        <v/>
      </c>
      <c r="DN529" s="166" t="str">
        <f t="shared" si="286"/>
        <v/>
      </c>
      <c r="DO529" s="164" t="str">
        <f>IFERROR(INDEX(DG$486:DG$534,_xlfn.AGGREGATE(15,6,(ROW(DG$486:DG$534)-ROW(DG$486)+1)/(DG$486:DG$534&lt;&gt;""),ROWS(DO$1:DO44))),"")</f>
        <v/>
      </c>
      <c r="DP529" s="165" t="str">
        <f>IFERROR(INDEX(DH$486:DH$534,_xlfn.AGGREGATE(15,6,(ROW(DH$486:DH$534)-ROW(DH$486)+1)/(DH$486:DH$534&lt;&gt;""),ROWS(DP$1:DP44))),"")</f>
        <v/>
      </c>
      <c r="DQ529" s="166" t="str">
        <f t="shared" si="287"/>
        <v/>
      </c>
      <c r="DR529" s="65"/>
      <c r="DV529" s="145">
        <v>2058</v>
      </c>
      <c r="DW529" s="235" t="e">
        <f t="shared" ca="1" si="271"/>
        <v>#REF!</v>
      </c>
      <c r="EA529" s="55"/>
      <c r="EB529" s="55"/>
      <c r="EC529" s="55"/>
      <c r="ED529" s="55"/>
      <c r="EE529" s="55"/>
    </row>
    <row r="530" spans="1:135" ht="13.8" x14ac:dyDescent="0.45">
      <c r="B530" s="128">
        <v>2056</v>
      </c>
      <c r="C530" s="951"/>
      <c r="D530" s="795"/>
      <c r="E530" s="292"/>
      <c r="F530" s="914"/>
      <c r="G530" s="919"/>
      <c r="H530" s="292"/>
      <c r="I530" s="1112"/>
      <c r="J530" s="1150"/>
      <c r="K530" s="919"/>
      <c r="L530" s="293"/>
      <c r="M530" s="292"/>
      <c r="N530" s="29" t="s">
        <v>119</v>
      </c>
      <c r="O530" s="120"/>
      <c r="P530" s="120"/>
      <c r="Q530" s="120"/>
      <c r="R530" s="29">
        <v>42</v>
      </c>
      <c r="S530" s="288" t="str">
        <f t="shared" si="305"/>
        <v/>
      </c>
      <c r="T530" s="288" t="str">
        <f t="shared" si="306"/>
        <v/>
      </c>
      <c r="U530" s="288" t="str">
        <f t="shared" si="307"/>
        <v/>
      </c>
      <c r="W530" s="288" t="e">
        <f t="shared" si="275"/>
        <v>#N/A</v>
      </c>
      <c r="X530" s="288" t="e">
        <f t="shared" si="308"/>
        <v>#N/A</v>
      </c>
      <c r="Y530" s="288" t="e">
        <f t="shared" si="277"/>
        <v>#N/A</v>
      </c>
      <c r="AA530" s="89"/>
      <c r="AB530" s="89"/>
      <c r="AC530" s="89"/>
      <c r="AD530" s="89"/>
      <c r="AE530" s="89"/>
      <c r="AF530" s="89"/>
      <c r="AG530" s="89"/>
      <c r="AH530" s="89"/>
      <c r="AI530" s="89"/>
      <c r="AJ530" s="89"/>
      <c r="AK530" s="89"/>
      <c r="AL530" s="89"/>
      <c r="AM530" s="89"/>
      <c r="AN530" s="89"/>
      <c r="BR530" s="180">
        <v>2054</v>
      </c>
      <c r="BS530" s="22">
        <v>40</v>
      </c>
      <c r="BT530" s="289" t="e">
        <f t="shared" si="288"/>
        <v>#DIV/0!</v>
      </c>
      <c r="BU530" s="289" t="e">
        <f t="shared" si="289"/>
        <v>#DIV/0!</v>
      </c>
      <c r="BV530" s="299" t="e">
        <f t="shared" si="290"/>
        <v>#DIV/0!</v>
      </c>
      <c r="BY530" s="180">
        <v>2054</v>
      </c>
      <c r="BZ530" s="22">
        <v>40</v>
      </c>
      <c r="CA530" s="289" t="e">
        <f t="shared" ca="1" si="291"/>
        <v>#REF!</v>
      </c>
      <c r="CB530" s="289" t="e">
        <f t="shared" ca="1" si="292"/>
        <v>#REF!</v>
      </c>
      <c r="CC530" s="289" t="e">
        <f t="shared" ca="1" si="303"/>
        <v>#REF!</v>
      </c>
      <c r="CD530" s="299" t="e">
        <f t="shared" ca="1" si="293"/>
        <v>#REF!</v>
      </c>
      <c r="CG530" s="180">
        <v>2054</v>
      </c>
      <c r="CH530" s="22">
        <v>40</v>
      </c>
      <c r="CI530" s="289" t="e">
        <f t="shared" ca="1" si="294"/>
        <v>#REF!</v>
      </c>
      <c r="CJ530" s="289" t="e">
        <f t="shared" ca="1" si="295"/>
        <v>#REF!</v>
      </c>
      <c r="CK530" s="289" t="e">
        <f t="shared" ca="1" si="296"/>
        <v>#REF!</v>
      </c>
      <c r="CL530" s="289" t="e">
        <f t="shared" ca="1" si="297"/>
        <v>#REF!</v>
      </c>
      <c r="CM530" s="299" t="e">
        <f t="shared" ca="1" si="298"/>
        <v>#REF!</v>
      </c>
      <c r="CP530" s="180">
        <v>2054</v>
      </c>
      <c r="CQ530" s="22">
        <v>40</v>
      </c>
      <c r="CR530" s="289" t="e">
        <f t="shared" ca="1" si="299"/>
        <v>#REF!</v>
      </c>
      <c r="CS530" s="289" t="e">
        <f t="shared" ca="1" si="300"/>
        <v>#REF!</v>
      </c>
      <c r="CT530" s="299" t="e">
        <f t="shared" ca="1" si="301"/>
        <v>#REF!</v>
      </c>
      <c r="CZ530" s="164" t="b">
        <f t="shared" si="309"/>
        <v>0</v>
      </c>
      <c r="DA530" s="165" t="b">
        <f t="shared" si="309"/>
        <v>0</v>
      </c>
      <c r="DB530" s="166" t="b">
        <f t="shared" si="309"/>
        <v>0</v>
      </c>
      <c r="DC530" s="164" t="str">
        <f t="shared" si="279"/>
        <v/>
      </c>
      <c r="DD530" s="166" t="str">
        <f t="shared" si="280"/>
        <v/>
      </c>
      <c r="DE530" s="164" t="str">
        <f t="shared" si="281"/>
        <v/>
      </c>
      <c r="DF530" s="166" t="str">
        <f t="shared" si="282"/>
        <v/>
      </c>
      <c r="DG530" s="164" t="str">
        <f t="shared" si="283"/>
        <v/>
      </c>
      <c r="DH530" s="166" t="str">
        <f t="shared" si="284"/>
        <v/>
      </c>
      <c r="DI530" s="164" t="str">
        <f>IFERROR(INDEX(DC$486:DC$534,_xlfn.AGGREGATE(15,6,(ROW(DC$486:DC$534)-ROW(DC$486)+1)/(DC$486:DC$534&lt;&gt;""),ROWS(DI$1:DI45))),"")</f>
        <v/>
      </c>
      <c r="DJ530" s="165" t="str">
        <f>IFERROR(INDEX(DD$486:DD$534,_xlfn.AGGREGATE(15,6,(ROW(DD$486:DD$534)-ROW(DD$486)+1)/(DD$486:DD$534&lt;&gt;""),ROWS(DJ$1:DJ45))),"")</f>
        <v/>
      </c>
      <c r="DK530" s="166" t="str">
        <f t="shared" si="285"/>
        <v/>
      </c>
      <c r="DL530" s="164" t="str">
        <f>IFERROR(INDEX(DE$486:DE$534,_xlfn.AGGREGATE(15,6,(ROW(DE$486:DE$534)-ROW(DE$486)+1)/(DE$486:DE$534&lt;&gt;""),ROWS(DL$1:DL45))),"")</f>
        <v/>
      </c>
      <c r="DM530" s="165" t="str">
        <f>IFERROR(INDEX(DF$486:DF$534,_xlfn.AGGREGATE(15,6,(ROW(DF$486:DF$534)-ROW(DF$486)+1)/(DF$486:DF$534&lt;&gt;""),ROWS(DM$1:DM45))),"")</f>
        <v/>
      </c>
      <c r="DN530" s="166" t="str">
        <f t="shared" si="286"/>
        <v/>
      </c>
      <c r="DO530" s="164" t="str">
        <f>IFERROR(INDEX(DG$486:DG$534,_xlfn.AGGREGATE(15,6,(ROW(DG$486:DG$534)-ROW(DG$486)+1)/(DG$486:DG$534&lt;&gt;""),ROWS(DO$1:DO45))),"")</f>
        <v/>
      </c>
      <c r="DP530" s="165" t="str">
        <f>IFERROR(INDEX(DH$486:DH$534,_xlfn.AGGREGATE(15,6,(ROW(DH$486:DH$534)-ROW(DH$486)+1)/(DH$486:DH$534&lt;&gt;""),ROWS(DP$1:DP45))),"")</f>
        <v/>
      </c>
      <c r="DQ530" s="166" t="str">
        <f t="shared" si="287"/>
        <v/>
      </c>
      <c r="DR530" s="65"/>
      <c r="DV530" s="145">
        <v>2059</v>
      </c>
      <c r="DW530" s="235" t="e">
        <f t="shared" ca="1" si="271"/>
        <v>#REF!</v>
      </c>
      <c r="EA530" s="55"/>
      <c r="EB530" s="55"/>
      <c r="EC530" s="55"/>
      <c r="ED530" s="55"/>
      <c r="EE530" s="55"/>
    </row>
    <row r="531" spans="1:135" ht="13.8" x14ac:dyDescent="0.45">
      <c r="B531" s="128">
        <v>2057</v>
      </c>
      <c r="C531" s="951"/>
      <c r="D531" s="795"/>
      <c r="E531" s="292"/>
      <c r="F531" s="914"/>
      <c r="G531" s="919"/>
      <c r="H531" s="292"/>
      <c r="I531" s="1112"/>
      <c r="J531" s="1150"/>
      <c r="K531" s="919"/>
      <c r="L531" s="293"/>
      <c r="M531" s="292"/>
      <c r="N531" s="29" t="s">
        <v>119</v>
      </c>
      <c r="O531" s="120"/>
      <c r="P531" s="120"/>
      <c r="Q531" s="120"/>
      <c r="R531" s="29">
        <v>43</v>
      </c>
      <c r="S531" s="288" t="str">
        <f t="shared" si="305"/>
        <v/>
      </c>
      <c r="T531" s="288" t="str">
        <f t="shared" si="306"/>
        <v/>
      </c>
      <c r="U531" s="288" t="str">
        <f t="shared" si="307"/>
        <v/>
      </c>
      <c r="W531" s="288" t="e">
        <f t="shared" si="275"/>
        <v>#N/A</v>
      </c>
      <c r="X531" s="288" t="e">
        <f t="shared" si="308"/>
        <v>#N/A</v>
      </c>
      <c r="Y531" s="288" t="e">
        <f t="shared" si="277"/>
        <v>#N/A</v>
      </c>
      <c r="AA531" s="89"/>
      <c r="AB531" s="89"/>
      <c r="AC531" s="89"/>
      <c r="AD531" s="89"/>
      <c r="AE531" s="89"/>
      <c r="AF531" s="89"/>
      <c r="AG531" s="89"/>
      <c r="AH531" s="89"/>
      <c r="AI531" s="89"/>
      <c r="AJ531" s="89"/>
      <c r="AK531" s="89"/>
      <c r="AL531" s="89"/>
      <c r="AM531" s="89"/>
      <c r="AN531" s="89"/>
      <c r="BR531" s="180">
        <v>2055</v>
      </c>
      <c r="BS531" s="22">
        <v>41</v>
      </c>
      <c r="BT531" s="289" t="e">
        <f t="shared" si="288"/>
        <v>#DIV/0!</v>
      </c>
      <c r="BU531" s="289" t="e">
        <f t="shared" si="289"/>
        <v>#DIV/0!</v>
      </c>
      <c r="BV531" s="299" t="e">
        <f t="shared" si="290"/>
        <v>#DIV/0!</v>
      </c>
      <c r="BY531" s="180">
        <v>2055</v>
      </c>
      <c r="BZ531" s="22">
        <v>41</v>
      </c>
      <c r="CA531" s="289" t="e">
        <f t="shared" ca="1" si="291"/>
        <v>#REF!</v>
      </c>
      <c r="CB531" s="289" t="e">
        <f t="shared" ca="1" si="292"/>
        <v>#REF!</v>
      </c>
      <c r="CC531" s="289" t="e">
        <f t="shared" ca="1" si="303"/>
        <v>#REF!</v>
      </c>
      <c r="CD531" s="299" t="e">
        <f t="shared" ca="1" si="293"/>
        <v>#REF!</v>
      </c>
      <c r="CG531" s="180">
        <v>2055</v>
      </c>
      <c r="CH531" s="22">
        <v>41</v>
      </c>
      <c r="CI531" s="289" t="e">
        <f t="shared" ca="1" si="294"/>
        <v>#REF!</v>
      </c>
      <c r="CJ531" s="289" t="e">
        <f t="shared" ca="1" si="295"/>
        <v>#REF!</v>
      </c>
      <c r="CK531" s="289" t="e">
        <f t="shared" ca="1" si="296"/>
        <v>#REF!</v>
      </c>
      <c r="CL531" s="289" t="e">
        <f t="shared" ca="1" si="297"/>
        <v>#REF!</v>
      </c>
      <c r="CM531" s="299" t="e">
        <f t="shared" ca="1" si="298"/>
        <v>#REF!</v>
      </c>
      <c r="CP531" s="180">
        <v>2055</v>
      </c>
      <c r="CQ531" s="22">
        <v>41</v>
      </c>
      <c r="CR531" s="289" t="e">
        <f t="shared" ca="1" si="299"/>
        <v>#REF!</v>
      </c>
      <c r="CS531" s="289" t="e">
        <f t="shared" ca="1" si="300"/>
        <v>#REF!</v>
      </c>
      <c r="CT531" s="299" t="e">
        <f t="shared" ca="1" si="301"/>
        <v>#REF!</v>
      </c>
      <c r="CZ531" s="164" t="b">
        <f t="shared" si="309"/>
        <v>0</v>
      </c>
      <c r="DA531" s="165" t="b">
        <f t="shared" si="309"/>
        <v>0</v>
      </c>
      <c r="DB531" s="166" t="b">
        <f t="shared" si="309"/>
        <v>0</v>
      </c>
      <c r="DC531" s="164" t="str">
        <f t="shared" si="279"/>
        <v/>
      </c>
      <c r="DD531" s="166" t="str">
        <f t="shared" si="280"/>
        <v/>
      </c>
      <c r="DE531" s="164" t="str">
        <f t="shared" si="281"/>
        <v/>
      </c>
      <c r="DF531" s="166" t="str">
        <f t="shared" si="282"/>
        <v/>
      </c>
      <c r="DG531" s="164" t="str">
        <f t="shared" si="283"/>
        <v/>
      </c>
      <c r="DH531" s="166" t="str">
        <f t="shared" si="284"/>
        <v/>
      </c>
      <c r="DI531" s="164" t="str">
        <f>IFERROR(INDEX(DC$486:DC$534,_xlfn.AGGREGATE(15,6,(ROW(DC$486:DC$534)-ROW(DC$486)+1)/(DC$486:DC$534&lt;&gt;""),ROWS(DI$1:DI46))),"")</f>
        <v/>
      </c>
      <c r="DJ531" s="165" t="str">
        <f>IFERROR(INDEX(DD$486:DD$534,_xlfn.AGGREGATE(15,6,(ROW(DD$486:DD$534)-ROW(DD$486)+1)/(DD$486:DD$534&lt;&gt;""),ROWS(DJ$1:DJ46))),"")</f>
        <v/>
      </c>
      <c r="DK531" s="166" t="str">
        <f t="shared" si="285"/>
        <v/>
      </c>
      <c r="DL531" s="164" t="str">
        <f>IFERROR(INDEX(DE$486:DE$534,_xlfn.AGGREGATE(15,6,(ROW(DE$486:DE$534)-ROW(DE$486)+1)/(DE$486:DE$534&lt;&gt;""),ROWS(DL$1:DL46))),"")</f>
        <v/>
      </c>
      <c r="DM531" s="165" t="str">
        <f>IFERROR(INDEX(DF$486:DF$534,_xlfn.AGGREGATE(15,6,(ROW(DF$486:DF$534)-ROW(DF$486)+1)/(DF$486:DF$534&lt;&gt;""),ROWS(DM$1:DM46))),"")</f>
        <v/>
      </c>
      <c r="DN531" s="166" t="str">
        <f t="shared" si="286"/>
        <v/>
      </c>
      <c r="DO531" s="164" t="str">
        <f>IFERROR(INDEX(DG$486:DG$534,_xlfn.AGGREGATE(15,6,(ROW(DG$486:DG$534)-ROW(DG$486)+1)/(DG$486:DG$534&lt;&gt;""),ROWS(DO$1:DO46))),"")</f>
        <v/>
      </c>
      <c r="DP531" s="165" t="str">
        <f>IFERROR(INDEX(DH$486:DH$534,_xlfn.AGGREGATE(15,6,(ROW(DH$486:DH$534)-ROW(DH$486)+1)/(DH$486:DH$534&lt;&gt;""),ROWS(DP$1:DP46))),"")</f>
        <v/>
      </c>
      <c r="DQ531" s="166" t="str">
        <f t="shared" si="287"/>
        <v/>
      </c>
      <c r="DR531" s="65"/>
      <c r="DV531" s="145">
        <v>2060</v>
      </c>
      <c r="DW531" s="235" t="e">
        <f t="shared" ca="1" si="271"/>
        <v>#REF!</v>
      </c>
      <c r="EA531" s="55"/>
      <c r="EB531" s="55"/>
      <c r="EC531" s="55"/>
      <c r="ED531" s="55"/>
      <c r="EE531" s="55"/>
    </row>
    <row r="532" spans="1:135" ht="13.8" x14ac:dyDescent="0.45">
      <c r="A532" s="214"/>
      <c r="B532" s="128">
        <v>2058</v>
      </c>
      <c r="C532" s="951"/>
      <c r="D532" s="795"/>
      <c r="E532" s="292"/>
      <c r="F532" s="914"/>
      <c r="G532" s="919"/>
      <c r="H532" s="292"/>
      <c r="I532" s="1112"/>
      <c r="J532" s="1150"/>
      <c r="K532" s="919"/>
      <c r="L532" s="293"/>
      <c r="M532" s="292"/>
      <c r="N532" s="29" t="s">
        <v>119</v>
      </c>
      <c r="R532" s="29">
        <v>44</v>
      </c>
      <c r="S532" s="288" t="str">
        <f t="shared" si="305"/>
        <v/>
      </c>
      <c r="T532" s="288" t="str">
        <f t="shared" si="306"/>
        <v/>
      </c>
      <c r="U532" s="288" t="str">
        <f t="shared" si="307"/>
        <v/>
      </c>
      <c r="W532" s="288" t="e">
        <f t="shared" si="275"/>
        <v>#N/A</v>
      </c>
      <c r="X532" s="288" t="e">
        <f t="shared" si="308"/>
        <v>#N/A</v>
      </c>
      <c r="Y532" s="288" t="e">
        <f t="shared" si="277"/>
        <v>#N/A</v>
      </c>
      <c r="AA532" s="89"/>
      <c r="AB532" s="89"/>
      <c r="AC532" s="89"/>
      <c r="AD532" s="89"/>
      <c r="AE532" s="89"/>
      <c r="AF532" s="89"/>
      <c r="AG532" s="89"/>
      <c r="AH532" s="89"/>
      <c r="AI532" s="89"/>
      <c r="AJ532" s="89"/>
      <c r="AK532" s="89"/>
      <c r="AL532" s="89"/>
      <c r="AM532" s="89"/>
      <c r="AN532" s="89"/>
      <c r="BR532" s="180">
        <v>2056</v>
      </c>
      <c r="BS532" s="22">
        <v>42</v>
      </c>
      <c r="BT532" s="289" t="e">
        <f t="shared" si="288"/>
        <v>#DIV/0!</v>
      </c>
      <c r="BU532" s="289" t="e">
        <f t="shared" si="289"/>
        <v>#DIV/0!</v>
      </c>
      <c r="BV532" s="299" t="e">
        <f t="shared" si="290"/>
        <v>#DIV/0!</v>
      </c>
      <c r="BY532" s="180">
        <v>2056</v>
      </c>
      <c r="BZ532" s="22">
        <v>42</v>
      </c>
      <c r="CA532" s="289" t="e">
        <f t="shared" ca="1" si="291"/>
        <v>#REF!</v>
      </c>
      <c r="CB532" s="289" t="e">
        <f t="shared" ca="1" si="292"/>
        <v>#REF!</v>
      </c>
      <c r="CC532" s="289" t="e">
        <f t="shared" ca="1" si="303"/>
        <v>#REF!</v>
      </c>
      <c r="CD532" s="299" t="e">
        <f t="shared" ca="1" si="293"/>
        <v>#REF!</v>
      </c>
      <c r="CG532" s="180">
        <v>2056</v>
      </c>
      <c r="CH532" s="22">
        <v>42</v>
      </c>
      <c r="CI532" s="289" t="e">
        <f t="shared" ca="1" si="294"/>
        <v>#REF!</v>
      </c>
      <c r="CJ532" s="289" t="e">
        <f t="shared" ca="1" si="295"/>
        <v>#REF!</v>
      </c>
      <c r="CK532" s="289" t="e">
        <f t="shared" ca="1" si="296"/>
        <v>#REF!</v>
      </c>
      <c r="CL532" s="289" t="e">
        <f t="shared" ca="1" si="297"/>
        <v>#REF!</v>
      </c>
      <c r="CM532" s="299" t="e">
        <f t="shared" ca="1" si="298"/>
        <v>#REF!</v>
      </c>
      <c r="CP532" s="180">
        <v>2056</v>
      </c>
      <c r="CQ532" s="22">
        <v>42</v>
      </c>
      <c r="CR532" s="289" t="e">
        <f t="shared" ca="1" si="299"/>
        <v>#REF!</v>
      </c>
      <c r="CS532" s="289" t="e">
        <f t="shared" ca="1" si="300"/>
        <v>#REF!</v>
      </c>
      <c r="CT532" s="299" t="e">
        <f t="shared" ca="1" si="301"/>
        <v>#REF!</v>
      </c>
      <c r="CZ532" s="164" t="b">
        <f t="shared" si="309"/>
        <v>0</v>
      </c>
      <c r="DA532" s="165" t="b">
        <f t="shared" si="309"/>
        <v>0</v>
      </c>
      <c r="DB532" s="166" t="b">
        <f t="shared" si="309"/>
        <v>0</v>
      </c>
      <c r="DC532" s="164" t="str">
        <f t="shared" si="279"/>
        <v/>
      </c>
      <c r="DD532" s="166" t="str">
        <f t="shared" si="280"/>
        <v/>
      </c>
      <c r="DE532" s="164" t="str">
        <f t="shared" si="281"/>
        <v/>
      </c>
      <c r="DF532" s="166" t="str">
        <f t="shared" si="282"/>
        <v/>
      </c>
      <c r="DG532" s="164" t="str">
        <f t="shared" si="283"/>
        <v/>
      </c>
      <c r="DH532" s="166" t="str">
        <f t="shared" si="284"/>
        <v/>
      </c>
      <c r="DI532" s="164" t="str">
        <f>IFERROR(INDEX(DC$486:DC$534,_xlfn.AGGREGATE(15,6,(ROW(DC$486:DC$534)-ROW(DC$486)+1)/(DC$486:DC$534&lt;&gt;""),ROWS(DI$1:DI47))),"")</f>
        <v/>
      </c>
      <c r="DJ532" s="165" t="str">
        <f>IFERROR(INDEX(DD$486:DD$534,_xlfn.AGGREGATE(15,6,(ROW(DD$486:DD$534)-ROW(DD$486)+1)/(DD$486:DD$534&lt;&gt;""),ROWS(DJ$1:DJ47))),"")</f>
        <v/>
      </c>
      <c r="DK532" s="166" t="str">
        <f t="shared" si="285"/>
        <v/>
      </c>
      <c r="DL532" s="164" t="str">
        <f>IFERROR(INDEX(DE$486:DE$534,_xlfn.AGGREGATE(15,6,(ROW(DE$486:DE$534)-ROW(DE$486)+1)/(DE$486:DE$534&lt;&gt;""),ROWS(DL$1:DL47))),"")</f>
        <v/>
      </c>
      <c r="DM532" s="165" t="str">
        <f>IFERROR(INDEX(DF$486:DF$534,_xlfn.AGGREGATE(15,6,(ROW(DF$486:DF$534)-ROW(DF$486)+1)/(DF$486:DF$534&lt;&gt;""),ROWS(DM$1:DM47))),"")</f>
        <v/>
      </c>
      <c r="DN532" s="166" t="str">
        <f t="shared" si="286"/>
        <v/>
      </c>
      <c r="DO532" s="164" t="str">
        <f>IFERROR(INDEX(DG$486:DG$534,_xlfn.AGGREGATE(15,6,(ROW(DG$486:DG$534)-ROW(DG$486)+1)/(DG$486:DG$534&lt;&gt;""),ROWS(DO$1:DO47))),"")</f>
        <v/>
      </c>
      <c r="DP532" s="165" t="str">
        <f>IFERROR(INDEX(DH$486:DH$534,_xlfn.AGGREGATE(15,6,(ROW(DH$486:DH$534)-ROW(DH$486)+1)/(DH$486:DH$534&lt;&gt;""),ROWS(DP$1:DP47))),"")</f>
        <v/>
      </c>
      <c r="DQ532" s="166" t="str">
        <f t="shared" si="287"/>
        <v/>
      </c>
      <c r="DR532" s="65"/>
      <c r="DW532" s="54"/>
      <c r="EA532" s="55"/>
      <c r="EB532" s="55"/>
      <c r="EC532" s="55"/>
      <c r="ED532" s="55"/>
      <c r="EE532" s="55"/>
    </row>
    <row r="533" spans="1:135" ht="13.8" x14ac:dyDescent="0.45">
      <c r="A533" s="214"/>
      <c r="B533" s="128">
        <v>2059</v>
      </c>
      <c r="C533" s="951"/>
      <c r="D533" s="795"/>
      <c r="E533" s="292"/>
      <c r="F533" s="914"/>
      <c r="G533" s="919"/>
      <c r="H533" s="292"/>
      <c r="I533" s="1112"/>
      <c r="J533" s="1150"/>
      <c r="K533" s="919"/>
      <c r="L533" s="293"/>
      <c r="M533" s="292"/>
      <c r="N533" s="29" t="s">
        <v>119</v>
      </c>
      <c r="R533" s="29">
        <v>45</v>
      </c>
      <c r="S533" s="288" t="str">
        <f t="shared" si="305"/>
        <v/>
      </c>
      <c r="T533" s="288" t="str">
        <f t="shared" si="306"/>
        <v/>
      </c>
      <c r="U533" s="288" t="str">
        <f t="shared" si="307"/>
        <v/>
      </c>
      <c r="W533" s="288" t="e">
        <f t="shared" si="275"/>
        <v>#N/A</v>
      </c>
      <c r="X533" s="288" t="e">
        <f t="shared" si="308"/>
        <v>#N/A</v>
      </c>
      <c r="Y533" s="288" t="e">
        <f t="shared" si="277"/>
        <v>#N/A</v>
      </c>
      <c r="AA533" s="89"/>
      <c r="AB533" s="89"/>
      <c r="AC533" s="89"/>
      <c r="AD533" s="89"/>
      <c r="AE533" s="89"/>
      <c r="AF533" s="89"/>
      <c r="AG533" s="89"/>
      <c r="AH533" s="89"/>
      <c r="AI533" s="89"/>
      <c r="AJ533" s="89"/>
      <c r="AK533" s="89"/>
      <c r="AL533" s="89"/>
      <c r="AM533" s="89"/>
      <c r="AN533" s="89"/>
      <c r="BR533" s="180">
        <v>2057</v>
      </c>
      <c r="BS533" s="22">
        <v>43</v>
      </c>
      <c r="BT533" s="289" t="e">
        <f t="shared" si="288"/>
        <v>#DIV/0!</v>
      </c>
      <c r="BU533" s="289" t="e">
        <f t="shared" si="289"/>
        <v>#DIV/0!</v>
      </c>
      <c r="BV533" s="299" t="e">
        <f t="shared" si="290"/>
        <v>#DIV/0!</v>
      </c>
      <c r="BY533" s="180">
        <v>2057</v>
      </c>
      <c r="BZ533" s="22">
        <v>43</v>
      </c>
      <c r="CA533" s="289" t="e">
        <f t="shared" ca="1" si="291"/>
        <v>#REF!</v>
      </c>
      <c r="CB533" s="289" t="e">
        <f t="shared" ca="1" si="292"/>
        <v>#REF!</v>
      </c>
      <c r="CC533" s="289" t="e">
        <f t="shared" ca="1" si="303"/>
        <v>#REF!</v>
      </c>
      <c r="CD533" s="299" t="e">
        <f t="shared" ca="1" si="293"/>
        <v>#REF!</v>
      </c>
      <c r="CG533" s="180">
        <v>2057</v>
      </c>
      <c r="CH533" s="22">
        <v>43</v>
      </c>
      <c r="CI533" s="289" t="e">
        <f t="shared" ca="1" si="294"/>
        <v>#REF!</v>
      </c>
      <c r="CJ533" s="289" t="e">
        <f t="shared" ca="1" si="295"/>
        <v>#REF!</v>
      </c>
      <c r="CK533" s="289" t="e">
        <f t="shared" ca="1" si="296"/>
        <v>#REF!</v>
      </c>
      <c r="CL533" s="289" t="e">
        <f t="shared" ca="1" si="297"/>
        <v>#REF!</v>
      </c>
      <c r="CM533" s="299" t="e">
        <f t="shared" ca="1" si="298"/>
        <v>#REF!</v>
      </c>
      <c r="CP533" s="180">
        <v>2057</v>
      </c>
      <c r="CQ533" s="22">
        <v>43</v>
      </c>
      <c r="CR533" s="289" t="e">
        <f t="shared" ca="1" si="299"/>
        <v>#REF!</v>
      </c>
      <c r="CS533" s="289" t="e">
        <f t="shared" ca="1" si="300"/>
        <v>#REF!</v>
      </c>
      <c r="CT533" s="299" t="e">
        <f t="shared" ca="1" si="301"/>
        <v>#REF!</v>
      </c>
      <c r="CZ533" s="164" t="b">
        <f t="shared" si="309"/>
        <v>0</v>
      </c>
      <c r="DA533" s="165" t="b">
        <f t="shared" si="309"/>
        <v>0</v>
      </c>
      <c r="DB533" s="166" t="b">
        <f t="shared" si="309"/>
        <v>0</v>
      </c>
      <c r="DC533" s="164" t="str">
        <f t="shared" si="279"/>
        <v/>
      </c>
      <c r="DD533" s="166" t="str">
        <f t="shared" si="280"/>
        <v/>
      </c>
      <c r="DE533" s="164" t="str">
        <f t="shared" si="281"/>
        <v/>
      </c>
      <c r="DF533" s="166" t="str">
        <f t="shared" si="282"/>
        <v/>
      </c>
      <c r="DG533" s="164" t="str">
        <f t="shared" si="283"/>
        <v/>
      </c>
      <c r="DH533" s="166" t="str">
        <f t="shared" si="284"/>
        <v/>
      </c>
      <c r="DI533" s="164" t="str">
        <f>IFERROR(INDEX(DC$486:DC$534,_xlfn.AGGREGATE(15,6,(ROW(DC$486:DC$534)-ROW(DC$486)+1)/(DC$486:DC$534&lt;&gt;""),ROWS(DI$1:DI48))),"")</f>
        <v/>
      </c>
      <c r="DJ533" s="165" t="str">
        <f>IFERROR(INDEX(DD$486:DD$534,_xlfn.AGGREGATE(15,6,(ROW(DD$486:DD$534)-ROW(DD$486)+1)/(DD$486:DD$534&lt;&gt;""),ROWS(DJ$1:DJ48))),"")</f>
        <v/>
      </c>
      <c r="DK533" s="166" t="str">
        <f t="shared" si="285"/>
        <v/>
      </c>
      <c r="DL533" s="164" t="str">
        <f>IFERROR(INDEX(DE$486:DE$534,_xlfn.AGGREGATE(15,6,(ROW(DE$486:DE$534)-ROW(DE$486)+1)/(DE$486:DE$534&lt;&gt;""),ROWS(DL$1:DL48))),"")</f>
        <v/>
      </c>
      <c r="DM533" s="165" t="str">
        <f>IFERROR(INDEX(DF$486:DF$534,_xlfn.AGGREGATE(15,6,(ROW(DF$486:DF$534)-ROW(DF$486)+1)/(DF$486:DF$534&lt;&gt;""),ROWS(DM$1:DM48))),"")</f>
        <v/>
      </c>
      <c r="DN533" s="166" t="str">
        <f t="shared" si="286"/>
        <v/>
      </c>
      <c r="DO533" s="164" t="str">
        <f>IFERROR(INDEX(DG$486:DG$534,_xlfn.AGGREGATE(15,6,(ROW(DG$486:DG$534)-ROW(DG$486)+1)/(DG$486:DG$534&lt;&gt;""),ROWS(DO$1:DO48))),"")</f>
        <v/>
      </c>
      <c r="DP533" s="165" t="str">
        <f>IFERROR(INDEX(DH$486:DH$534,_xlfn.AGGREGATE(15,6,(ROW(DH$486:DH$534)-ROW(DH$486)+1)/(DH$486:DH$534&lt;&gt;""),ROWS(DP$1:DP48))),"")</f>
        <v/>
      </c>
      <c r="DQ533" s="166" t="str">
        <f t="shared" si="287"/>
        <v/>
      </c>
      <c r="DR533" s="65"/>
      <c r="DW533" s="54"/>
      <c r="EA533" s="55"/>
      <c r="EB533" s="55"/>
      <c r="EC533" s="55"/>
      <c r="ED533" s="55"/>
      <c r="EE533" s="55"/>
    </row>
    <row r="534" spans="1:135" ht="14.1" thickBot="1" x14ac:dyDescent="0.5">
      <c r="A534" s="214"/>
      <c r="B534" s="128">
        <v>2060</v>
      </c>
      <c r="C534" s="951"/>
      <c r="D534" s="795"/>
      <c r="E534" s="300"/>
      <c r="F534" s="915"/>
      <c r="G534" s="920"/>
      <c r="H534" s="300"/>
      <c r="I534" s="1115"/>
      <c r="J534" s="1149"/>
      <c r="K534" s="920"/>
      <c r="L534" s="301"/>
      <c r="M534" s="300"/>
      <c r="N534" s="29" t="s">
        <v>119</v>
      </c>
      <c r="R534" s="29">
        <v>46</v>
      </c>
      <c r="S534" s="288" t="str">
        <f t="shared" si="305"/>
        <v/>
      </c>
      <c r="T534" s="288" t="str">
        <f t="shared" si="306"/>
        <v/>
      </c>
      <c r="U534" s="288" t="str">
        <f t="shared" si="307"/>
        <v/>
      </c>
      <c r="W534" s="288" t="e">
        <f t="shared" si="275"/>
        <v>#N/A</v>
      </c>
      <c r="X534" s="288" t="e">
        <f t="shared" si="308"/>
        <v>#N/A</v>
      </c>
      <c r="Y534" s="288" t="e">
        <f t="shared" si="277"/>
        <v>#N/A</v>
      </c>
      <c r="AA534" s="89"/>
      <c r="AB534" s="89"/>
      <c r="AC534" s="89"/>
      <c r="AD534" s="89"/>
      <c r="AE534" s="89"/>
      <c r="AF534" s="89"/>
      <c r="AG534" s="89"/>
      <c r="AH534" s="89"/>
      <c r="AI534" s="89"/>
      <c r="AJ534" s="89"/>
      <c r="AK534" s="89"/>
      <c r="AL534" s="89"/>
      <c r="AM534" s="89"/>
      <c r="AN534" s="89"/>
      <c r="BR534" s="180">
        <v>2058</v>
      </c>
      <c r="BS534" s="22">
        <v>44</v>
      </c>
      <c r="BT534" s="289" t="e">
        <f t="shared" si="288"/>
        <v>#DIV/0!</v>
      </c>
      <c r="BU534" s="289" t="e">
        <f t="shared" si="289"/>
        <v>#DIV/0!</v>
      </c>
      <c r="BV534" s="299" t="e">
        <f t="shared" si="290"/>
        <v>#DIV/0!</v>
      </c>
      <c r="BY534" s="180">
        <v>2058</v>
      </c>
      <c r="BZ534" s="22">
        <v>44</v>
      </c>
      <c r="CA534" s="289" t="e">
        <f t="shared" ca="1" si="291"/>
        <v>#REF!</v>
      </c>
      <c r="CB534" s="289" t="e">
        <f t="shared" ca="1" si="292"/>
        <v>#REF!</v>
      </c>
      <c r="CC534" s="289" t="e">
        <f t="shared" ca="1" si="303"/>
        <v>#REF!</v>
      </c>
      <c r="CD534" s="299" t="e">
        <f t="shared" ca="1" si="293"/>
        <v>#REF!</v>
      </c>
      <c r="CG534" s="180">
        <v>2058</v>
      </c>
      <c r="CH534" s="22">
        <v>44</v>
      </c>
      <c r="CI534" s="289" t="e">
        <f t="shared" ca="1" si="294"/>
        <v>#REF!</v>
      </c>
      <c r="CJ534" s="289" t="e">
        <f t="shared" ca="1" si="295"/>
        <v>#REF!</v>
      </c>
      <c r="CK534" s="289" t="e">
        <f t="shared" ca="1" si="296"/>
        <v>#REF!</v>
      </c>
      <c r="CL534" s="289" t="e">
        <f t="shared" ca="1" si="297"/>
        <v>#REF!</v>
      </c>
      <c r="CM534" s="299" t="e">
        <f t="shared" ca="1" si="298"/>
        <v>#REF!</v>
      </c>
      <c r="CP534" s="180">
        <v>2058</v>
      </c>
      <c r="CQ534" s="22">
        <v>44</v>
      </c>
      <c r="CR534" s="289" t="e">
        <f t="shared" ca="1" si="299"/>
        <v>#REF!</v>
      </c>
      <c r="CS534" s="289" t="e">
        <f t="shared" ca="1" si="300"/>
        <v>#REF!</v>
      </c>
      <c r="CT534" s="299" t="e">
        <f t="shared" ca="1" si="301"/>
        <v>#REF!</v>
      </c>
      <c r="CZ534" s="164" t="b">
        <f t="shared" si="309"/>
        <v>0</v>
      </c>
      <c r="DA534" s="165" t="b">
        <f t="shared" si="309"/>
        <v>0</v>
      </c>
      <c r="DB534" s="166" t="b">
        <f t="shared" si="309"/>
        <v>0</v>
      </c>
      <c r="DC534" s="164" t="str">
        <f t="shared" si="279"/>
        <v/>
      </c>
      <c r="DD534" s="166" t="str">
        <f t="shared" si="280"/>
        <v/>
      </c>
      <c r="DE534" s="164" t="str">
        <f t="shared" si="281"/>
        <v/>
      </c>
      <c r="DF534" s="166" t="str">
        <f t="shared" si="282"/>
        <v/>
      </c>
      <c r="DG534" s="164" t="str">
        <f t="shared" si="283"/>
        <v/>
      </c>
      <c r="DH534" s="166" t="str">
        <f t="shared" si="284"/>
        <v/>
      </c>
      <c r="DI534" s="164" t="str">
        <f>IFERROR(INDEX(DC$486:DC$534,_xlfn.AGGREGATE(15,6,(ROW(DC$486:DC$534)-ROW(DC$486)+1)/(DC$486:DC$534&lt;&gt;""),ROWS(DI$1:DI49))),"")</f>
        <v/>
      </c>
      <c r="DJ534" s="165" t="str">
        <f>IFERROR(INDEX(DD$486:DD$534,_xlfn.AGGREGATE(15,6,(ROW(DD$486:DD$534)-ROW(DD$486)+1)/(DD$486:DD$534&lt;&gt;""),ROWS(DJ$1:DJ49))),"")</f>
        <v/>
      </c>
      <c r="DK534" s="166" t="str">
        <f t="shared" si="285"/>
        <v/>
      </c>
      <c r="DL534" s="164" t="str">
        <f>IFERROR(INDEX(DE$486:DE$534,_xlfn.AGGREGATE(15,6,(ROW(DE$486:DE$534)-ROW(DE$486)+1)/(DE$486:DE$534&lt;&gt;""),ROWS(DL$1:DL49))),"")</f>
        <v/>
      </c>
      <c r="DM534" s="165" t="str">
        <f>IFERROR(INDEX(DF$486:DF$534,_xlfn.AGGREGATE(15,6,(ROW(DF$486:DF$534)-ROW(DF$486)+1)/(DF$486:DF$534&lt;&gt;""),ROWS(DM$1:DM49))),"")</f>
        <v/>
      </c>
      <c r="DN534" s="166" t="str">
        <f t="shared" si="286"/>
        <v/>
      </c>
      <c r="DO534" s="164" t="str">
        <f>IFERROR(INDEX(DG$486:DG$534,_xlfn.AGGREGATE(15,6,(ROW(DG$486:DG$534)-ROW(DG$486)+1)/(DG$486:DG$534&lt;&gt;""),ROWS(DO$1:DO49))),"")</f>
        <v/>
      </c>
      <c r="DP534" s="165" t="str">
        <f>IFERROR(INDEX(DH$486:DH$534,_xlfn.AGGREGATE(15,6,(ROW(DH$486:DH$534)-ROW(DH$486)+1)/(DH$486:DH$534&lt;&gt;""),ROWS(DP$1:DP49))),"")</f>
        <v/>
      </c>
      <c r="DQ534" s="166" t="str">
        <f t="shared" si="287"/>
        <v/>
      </c>
      <c r="DR534" s="65"/>
      <c r="DW534" s="54"/>
      <c r="EA534" s="55"/>
      <c r="EB534" s="55"/>
      <c r="EC534" s="55"/>
      <c r="ED534" s="55"/>
      <c r="EE534" s="55"/>
    </row>
    <row r="535" spans="1:135" x14ac:dyDescent="0.4">
      <c r="A535" s="214"/>
      <c r="B535" s="89"/>
      <c r="C535" s="14"/>
      <c r="D535" s="14"/>
      <c r="E535" s="14"/>
      <c r="F535" s="14"/>
      <c r="G535" s="14"/>
      <c r="H535" s="14"/>
      <c r="I535" s="14"/>
      <c r="J535" s="14"/>
      <c r="K535" s="14"/>
      <c r="L535" s="14"/>
      <c r="M535" s="50"/>
      <c r="S535" s="120"/>
      <c r="T535" s="120"/>
      <c r="U535" s="120"/>
      <c r="W535" s="120"/>
      <c r="X535" s="120"/>
      <c r="Y535" s="120"/>
      <c r="AA535" s="89"/>
      <c r="AB535" s="89"/>
      <c r="AC535" s="89"/>
      <c r="AD535" s="89"/>
      <c r="AE535" s="89"/>
      <c r="AF535" s="89"/>
      <c r="AG535" s="89"/>
      <c r="AH535" s="89"/>
      <c r="AI535" s="89"/>
      <c r="AJ535" s="89"/>
      <c r="AK535" s="89"/>
      <c r="AL535" s="89"/>
      <c r="AM535" s="89"/>
      <c r="AN535" s="89"/>
      <c r="BR535" s="180">
        <v>2059</v>
      </c>
      <c r="BS535" s="22">
        <v>45</v>
      </c>
      <c r="BT535" s="289" t="e">
        <f t="shared" si="288"/>
        <v>#DIV/0!</v>
      </c>
      <c r="BU535" s="289" t="e">
        <f t="shared" si="289"/>
        <v>#DIV/0!</v>
      </c>
      <c r="BV535" s="299" t="e">
        <f t="shared" si="290"/>
        <v>#DIV/0!</v>
      </c>
      <c r="BY535" s="180">
        <v>2059</v>
      </c>
      <c r="BZ535" s="22">
        <v>45</v>
      </c>
      <c r="CA535" s="289" t="e">
        <f t="shared" ca="1" si="291"/>
        <v>#REF!</v>
      </c>
      <c r="CB535" s="289" t="e">
        <f t="shared" ca="1" si="292"/>
        <v>#REF!</v>
      </c>
      <c r="CC535" s="289" t="e">
        <f t="shared" ca="1" si="303"/>
        <v>#REF!</v>
      </c>
      <c r="CD535" s="299" t="e">
        <f t="shared" ca="1" si="293"/>
        <v>#REF!</v>
      </c>
      <c r="CG535" s="180">
        <v>2059</v>
      </c>
      <c r="CH535" s="22">
        <v>45</v>
      </c>
      <c r="CI535" s="289" t="e">
        <f t="shared" ca="1" si="294"/>
        <v>#REF!</v>
      </c>
      <c r="CJ535" s="289" t="e">
        <f t="shared" ca="1" si="295"/>
        <v>#REF!</v>
      </c>
      <c r="CK535" s="289" t="e">
        <f t="shared" ca="1" si="296"/>
        <v>#REF!</v>
      </c>
      <c r="CL535" s="289" t="e">
        <f t="shared" ca="1" si="297"/>
        <v>#REF!</v>
      </c>
      <c r="CM535" s="299" t="e">
        <f t="shared" ca="1" si="298"/>
        <v>#REF!</v>
      </c>
      <c r="CP535" s="180">
        <v>2059</v>
      </c>
      <c r="CQ535" s="22">
        <v>45</v>
      </c>
      <c r="CR535" s="289" t="e">
        <f t="shared" ca="1" si="299"/>
        <v>#REF!</v>
      </c>
      <c r="CS535" s="289" t="e">
        <f t="shared" ca="1" si="300"/>
        <v>#REF!</v>
      </c>
      <c r="CT535" s="299" t="e">
        <f t="shared" ca="1" si="301"/>
        <v>#REF!</v>
      </c>
      <c r="CZ535" s="252"/>
      <c r="DA535" s="252"/>
      <c r="DB535" s="252"/>
      <c r="DC535" s="252"/>
      <c r="DD535" s="252"/>
      <c r="DE535" s="252"/>
      <c r="DF535" s="252"/>
      <c r="DG535" s="252"/>
      <c r="DH535" s="252"/>
      <c r="DI535" s="252"/>
      <c r="DJ535" s="252"/>
      <c r="DK535" s="252"/>
      <c r="DL535" s="252"/>
      <c r="DM535" s="252"/>
      <c r="DN535" s="252"/>
      <c r="DO535" s="252"/>
      <c r="DP535" s="252"/>
      <c r="DQ535" s="252"/>
      <c r="DR535" s="65"/>
      <c r="DU535" s="65"/>
      <c r="DW535" s="54"/>
      <c r="EA535" s="55"/>
      <c r="EB535" s="55"/>
      <c r="EC535" s="55"/>
      <c r="ED535" s="55"/>
      <c r="EE535" s="55"/>
    </row>
    <row r="536" spans="1:135" x14ac:dyDescent="0.4">
      <c r="A536" s="214"/>
      <c r="B536" s="89"/>
      <c r="C536" s="14"/>
      <c r="D536" s="14"/>
      <c r="E536" s="14"/>
      <c r="F536" s="14"/>
      <c r="G536" s="14"/>
      <c r="H536" s="14"/>
      <c r="I536" s="14"/>
      <c r="J536" s="14"/>
      <c r="K536" s="14"/>
      <c r="L536" s="14"/>
      <c r="M536" s="50"/>
      <c r="S536" s="120"/>
      <c r="T536" s="120"/>
      <c r="U536" s="120"/>
      <c r="W536" s="120"/>
      <c r="X536" s="120"/>
      <c r="Y536" s="120"/>
      <c r="AA536" s="89"/>
      <c r="AB536" s="89"/>
      <c r="AC536" s="89"/>
      <c r="AD536" s="89"/>
      <c r="AE536" s="89"/>
      <c r="AF536" s="89"/>
      <c r="AG536" s="89"/>
      <c r="AH536" s="89"/>
      <c r="AI536" s="89"/>
      <c r="AJ536" s="89"/>
      <c r="AK536" s="89"/>
      <c r="AL536" s="89"/>
      <c r="AM536" s="89"/>
      <c r="AN536" s="89"/>
      <c r="BR536" s="180">
        <v>2060</v>
      </c>
      <c r="BS536" s="22">
        <v>46</v>
      </c>
      <c r="BT536" s="289" t="e">
        <f t="shared" si="288"/>
        <v>#DIV/0!</v>
      </c>
      <c r="BU536" s="289" t="e">
        <f t="shared" si="289"/>
        <v>#DIV/0!</v>
      </c>
      <c r="BV536" s="299" t="e">
        <f t="shared" si="290"/>
        <v>#DIV/0!</v>
      </c>
      <c r="BY536" s="180">
        <v>2060</v>
      </c>
      <c r="BZ536" s="22">
        <v>46</v>
      </c>
      <c r="CA536" s="289" t="e">
        <f t="shared" ca="1" si="291"/>
        <v>#REF!</v>
      </c>
      <c r="CB536" s="289" t="e">
        <f t="shared" ca="1" si="292"/>
        <v>#REF!</v>
      </c>
      <c r="CC536" s="289" t="e">
        <f t="shared" ca="1" si="303"/>
        <v>#REF!</v>
      </c>
      <c r="CD536" s="299" t="e">
        <f t="shared" ca="1" si="293"/>
        <v>#REF!</v>
      </c>
      <c r="CG536" s="180">
        <v>2060</v>
      </c>
      <c r="CH536" s="22">
        <v>46</v>
      </c>
      <c r="CI536" s="289" t="e">
        <f t="shared" ca="1" si="294"/>
        <v>#REF!</v>
      </c>
      <c r="CJ536" s="289" t="e">
        <f t="shared" ca="1" si="295"/>
        <v>#REF!</v>
      </c>
      <c r="CK536" s="289" t="e">
        <f t="shared" ca="1" si="296"/>
        <v>#REF!</v>
      </c>
      <c r="CL536" s="289" t="e">
        <f t="shared" ca="1" si="297"/>
        <v>#REF!</v>
      </c>
      <c r="CM536" s="299" t="e">
        <f t="shared" ca="1" si="298"/>
        <v>#REF!</v>
      </c>
      <c r="CP536" s="180">
        <v>2060</v>
      </c>
      <c r="CQ536" s="22">
        <v>46</v>
      </c>
      <c r="CR536" s="289" t="e">
        <f t="shared" ca="1" si="299"/>
        <v>#REF!</v>
      </c>
      <c r="CS536" s="289" t="e">
        <f t="shared" ca="1" si="300"/>
        <v>#REF!</v>
      </c>
      <c r="CT536" s="299" t="e">
        <f t="shared" ca="1" si="301"/>
        <v>#REF!</v>
      </c>
      <c r="CZ536" s="89"/>
      <c r="DA536" s="89"/>
      <c r="DB536" s="89"/>
      <c r="DC536" s="89"/>
      <c r="DD536" s="89"/>
      <c r="DE536" s="89"/>
      <c r="DF536" s="89"/>
      <c r="DG536" s="89"/>
      <c r="DH536" s="89"/>
      <c r="DI536" s="89"/>
      <c r="DJ536" s="89"/>
      <c r="DK536" s="89"/>
      <c r="DL536" s="89"/>
      <c r="DM536" s="89"/>
      <c r="DN536" s="89"/>
      <c r="DO536" s="89"/>
      <c r="DP536" s="89"/>
      <c r="DQ536" s="89"/>
      <c r="DW536" s="54"/>
      <c r="EA536" s="55"/>
      <c r="EB536" s="55"/>
      <c r="EC536" s="55"/>
      <c r="ED536" s="55"/>
      <c r="EE536" s="55"/>
    </row>
    <row r="537" spans="1:135" x14ac:dyDescent="0.4">
      <c r="A537" s="221" t="str">
        <f ca="1">HYPERLINK("#"&amp;"'"&amp;A$1&amp;"'!a1","Back to top")</f>
        <v>Back to top</v>
      </c>
      <c r="C537" s="50"/>
      <c r="D537" s="14"/>
      <c r="E537" s="14"/>
      <c r="F537" s="14"/>
      <c r="G537" s="14"/>
      <c r="H537" s="14"/>
      <c r="I537" s="14"/>
      <c r="J537" s="14"/>
      <c r="K537" s="14"/>
      <c r="L537" s="14"/>
      <c r="M537" s="14"/>
      <c r="N537" s="89"/>
      <c r="O537" s="89"/>
      <c r="P537" s="89"/>
      <c r="Q537" s="89"/>
      <c r="R537" s="89"/>
      <c r="S537" s="89"/>
      <c r="T537" s="89"/>
      <c r="U537" s="89"/>
      <c r="V537" s="89"/>
      <c r="W537" s="89"/>
      <c r="X537" s="89"/>
      <c r="Y537" s="89"/>
      <c r="Z537" s="89"/>
      <c r="AA537" s="89"/>
      <c r="AB537" s="89"/>
      <c r="AC537" s="89"/>
      <c r="AD537" s="89"/>
      <c r="AE537" s="89"/>
      <c r="AF537" s="89"/>
      <c r="AG537" s="89"/>
      <c r="AH537" s="89"/>
      <c r="AI537" s="89"/>
      <c r="AJ537" s="89"/>
      <c r="AK537" s="89"/>
      <c r="AL537" s="89"/>
      <c r="AM537" s="89"/>
      <c r="AN537" s="89"/>
      <c r="DW537" s="54"/>
      <c r="EA537" s="55"/>
      <c r="EB537" s="55"/>
      <c r="EC537" s="55"/>
      <c r="ED537" s="55"/>
      <c r="EE537" s="55"/>
    </row>
    <row r="538" spans="1:135" x14ac:dyDescent="0.4">
      <c r="A538" s="221"/>
      <c r="C538" s="50"/>
      <c r="D538" s="14"/>
      <c r="E538" s="14"/>
      <c r="F538" s="14"/>
      <c r="G538" s="14"/>
      <c r="H538" s="14"/>
      <c r="I538" s="14"/>
      <c r="J538" s="14"/>
      <c r="K538" s="14"/>
      <c r="L538" s="14"/>
      <c r="M538" s="14"/>
      <c r="N538" s="89"/>
      <c r="O538" s="89"/>
      <c r="P538" s="89"/>
      <c r="Q538" s="89"/>
      <c r="R538" s="89"/>
      <c r="S538" s="89"/>
      <c r="T538" s="89"/>
      <c r="U538" s="89"/>
      <c r="V538" s="89"/>
      <c r="W538" s="89"/>
      <c r="X538" s="89"/>
      <c r="Y538" s="89"/>
      <c r="Z538" s="89"/>
      <c r="AA538" s="89"/>
      <c r="AB538" s="89"/>
      <c r="AC538" s="89"/>
      <c r="AD538" s="89"/>
      <c r="AE538" s="89"/>
      <c r="AF538" s="89"/>
      <c r="AG538" s="89"/>
      <c r="AH538" s="89"/>
      <c r="AI538" s="89"/>
      <c r="AJ538" s="89"/>
      <c r="AK538" s="89"/>
      <c r="AL538" s="89"/>
      <c r="AM538" s="89"/>
      <c r="AN538" s="89"/>
      <c r="DW538" s="54"/>
      <c r="EA538" s="55"/>
      <c r="EB538" s="55"/>
      <c r="EC538" s="55"/>
      <c r="ED538" s="55"/>
      <c r="EE538" s="55"/>
    </row>
    <row r="539" spans="1:135" x14ac:dyDescent="0.4">
      <c r="A539" s="214"/>
      <c r="B539" s="89"/>
      <c r="C539" s="14"/>
      <c r="D539" s="14"/>
      <c r="E539" s="14"/>
      <c r="F539" s="14"/>
      <c r="G539" s="14"/>
      <c r="H539" s="14"/>
      <c r="I539" s="14"/>
      <c r="J539" s="14"/>
      <c r="K539" s="14"/>
      <c r="L539" s="14"/>
      <c r="M539" s="50"/>
      <c r="N539" s="49"/>
      <c r="O539" s="49"/>
      <c r="P539" s="49"/>
      <c r="Q539" s="49"/>
      <c r="R539" s="49"/>
      <c r="S539" s="120"/>
      <c r="T539" s="120"/>
      <c r="U539" s="120"/>
      <c r="V539" s="49"/>
      <c r="W539" s="120"/>
      <c r="X539" s="120"/>
      <c r="Y539" s="120"/>
      <c r="Z539" s="89"/>
      <c r="AA539" s="89"/>
      <c r="AB539" s="89"/>
      <c r="AC539" s="89"/>
      <c r="AD539" s="89"/>
      <c r="AE539" s="89"/>
      <c r="AF539" s="89"/>
      <c r="AG539" s="89"/>
      <c r="AH539" s="89"/>
      <c r="AI539" s="89"/>
      <c r="AJ539" s="89"/>
      <c r="AK539" s="89"/>
      <c r="AL539" s="89"/>
      <c r="AM539" s="89"/>
      <c r="AN539" s="89"/>
      <c r="AO539" s="49"/>
      <c r="AP539" s="49"/>
      <c r="AQ539" s="49"/>
      <c r="AR539" s="49"/>
      <c r="AS539" s="49"/>
      <c r="AT539" s="49"/>
      <c r="AU539" s="49"/>
      <c r="AV539" s="49"/>
      <c r="AW539" s="49"/>
      <c r="AX539" s="49"/>
      <c r="AY539" s="49"/>
      <c r="AZ539" s="49"/>
      <c r="BA539" s="49"/>
      <c r="BB539" s="49"/>
      <c r="BC539" s="49"/>
      <c r="BD539" s="49"/>
      <c r="BE539" s="49"/>
      <c r="BF539" s="49"/>
      <c r="BG539" s="49"/>
      <c r="BH539" s="49"/>
      <c r="BI539" s="49"/>
      <c r="BJ539" s="49"/>
      <c r="BK539" s="49"/>
      <c r="BL539" s="49"/>
    </row>
    <row r="540" spans="1:135" x14ac:dyDescent="0.4">
      <c r="A540" s="253"/>
      <c r="B540" s="254"/>
      <c r="C540" s="255"/>
      <c r="D540" s="255"/>
      <c r="E540" s="255"/>
      <c r="F540" s="255"/>
      <c r="G540" s="255"/>
      <c r="H540" s="255"/>
      <c r="I540" s="255"/>
      <c r="J540" s="255"/>
      <c r="K540" s="255"/>
      <c r="L540" s="255"/>
      <c r="M540" s="256"/>
      <c r="S540" s="257"/>
      <c r="T540" s="257"/>
      <c r="U540" s="257"/>
      <c r="W540" s="257"/>
      <c r="X540" s="257"/>
      <c r="Y540" s="257"/>
      <c r="Z540" s="254"/>
      <c r="AA540" s="254"/>
      <c r="AB540" s="254"/>
      <c r="AC540" s="254"/>
      <c r="AD540" s="254"/>
      <c r="AE540" s="254"/>
      <c r="AF540" s="254"/>
      <c r="AG540" s="254"/>
      <c r="AH540" s="254"/>
      <c r="AI540" s="254"/>
      <c r="AJ540" s="254"/>
      <c r="AK540" s="254"/>
      <c r="AL540" s="254"/>
      <c r="AM540" s="254"/>
      <c r="AN540" s="254"/>
      <c r="DW540" s="258"/>
      <c r="EA540" s="259"/>
      <c r="EB540" s="259"/>
      <c r="EC540" s="259"/>
      <c r="ED540" s="259"/>
      <c r="EE540" s="259"/>
    </row>
    <row r="541" spans="1:135" x14ac:dyDescent="0.4">
      <c r="A541" s="253"/>
      <c r="B541" s="254"/>
      <c r="C541" s="255"/>
      <c r="D541" s="255"/>
      <c r="E541" s="255"/>
      <c r="F541" s="255"/>
      <c r="G541" s="255"/>
      <c r="H541" s="255"/>
      <c r="I541" s="255"/>
      <c r="J541" s="255"/>
      <c r="K541" s="255"/>
      <c r="L541" s="255"/>
      <c r="M541" s="256"/>
      <c r="S541" s="257"/>
      <c r="T541" s="257"/>
      <c r="U541" s="257"/>
      <c r="W541" s="257"/>
      <c r="X541" s="257"/>
      <c r="Y541" s="257"/>
      <c r="Z541" s="254"/>
      <c r="AA541" s="254"/>
      <c r="AB541" s="254"/>
      <c r="AC541" s="254"/>
      <c r="AD541" s="254"/>
      <c r="AE541" s="254"/>
      <c r="AF541" s="254"/>
      <c r="AG541" s="254"/>
      <c r="AH541" s="254"/>
      <c r="AI541" s="254"/>
      <c r="AJ541" s="254"/>
      <c r="AK541" s="254"/>
      <c r="AL541" s="254"/>
      <c r="AM541" s="254"/>
      <c r="AN541" s="254"/>
      <c r="DW541" s="258"/>
      <c r="EA541" s="259"/>
      <c r="EB541" s="259"/>
      <c r="EC541" s="259"/>
      <c r="ED541" s="259"/>
      <c r="EE541" s="259"/>
    </row>
    <row r="542" spans="1:135" x14ac:dyDescent="0.4">
      <c r="B542" s="114"/>
      <c r="C542" s="14"/>
      <c r="D542" s="14"/>
      <c r="E542" s="14"/>
      <c r="F542" s="14"/>
      <c r="G542" s="14"/>
      <c r="H542" s="14"/>
      <c r="I542" s="14"/>
      <c r="J542" s="14"/>
      <c r="K542" s="14"/>
      <c r="L542" s="14"/>
      <c r="M542" s="14"/>
      <c r="N542" s="89"/>
      <c r="O542" s="89"/>
      <c r="P542" s="89"/>
      <c r="Q542" s="89"/>
      <c r="R542" s="89"/>
      <c r="S542" s="89"/>
      <c r="T542" s="89"/>
      <c r="U542" s="89"/>
      <c r="V542" s="89"/>
      <c r="W542" s="89"/>
      <c r="X542" s="89"/>
      <c r="Y542" s="89"/>
      <c r="Z542" s="89"/>
      <c r="AA542" s="89"/>
      <c r="AB542" s="89"/>
      <c r="AC542" s="89"/>
      <c r="AD542" s="89"/>
      <c r="AE542" s="89"/>
      <c r="AF542" s="89"/>
      <c r="AG542" s="89"/>
      <c r="AH542" s="89"/>
      <c r="AI542" s="89"/>
      <c r="AJ542" s="89"/>
      <c r="AK542" s="89"/>
      <c r="AL542" s="89"/>
      <c r="AM542" s="89"/>
      <c r="AN542" s="89"/>
      <c r="AO542" s="89"/>
      <c r="AP542" s="89"/>
      <c r="CX542" s="89"/>
      <c r="CY542" s="89"/>
      <c r="CZ542" s="89"/>
      <c r="DA542" s="89"/>
      <c r="DB542" s="89"/>
      <c r="DC542" s="89"/>
      <c r="DD542" s="89"/>
      <c r="DE542" s="89"/>
      <c r="DF542" s="89"/>
      <c r="DG542" s="89"/>
      <c r="DH542" s="89"/>
      <c r="DI542" s="89"/>
      <c r="DJ542" s="89"/>
      <c r="DK542" s="89"/>
      <c r="DL542" s="89"/>
      <c r="DM542" s="89"/>
      <c r="DN542" s="89"/>
      <c r="DO542" s="89"/>
      <c r="DP542" s="89"/>
      <c r="DQ542" s="89"/>
      <c r="DW542" s="54"/>
      <c r="EA542" s="55"/>
      <c r="EB542" s="55"/>
      <c r="EC542" s="55"/>
      <c r="ED542" s="55"/>
      <c r="EE542" s="55"/>
    </row>
    <row r="543" spans="1:135" x14ac:dyDescent="0.4">
      <c r="A543" s="287" t="s">
        <v>105</v>
      </c>
      <c r="B543" s="114"/>
      <c r="C543" s="14"/>
      <c r="D543" s="14"/>
      <c r="E543" s="14"/>
      <c r="F543" s="14"/>
      <c r="G543" s="14"/>
      <c r="H543" s="14"/>
      <c r="I543" s="14"/>
      <c r="J543" s="14"/>
      <c r="K543" s="14"/>
      <c r="L543" s="14"/>
      <c r="M543" s="14"/>
      <c r="N543" s="89"/>
      <c r="O543" s="89"/>
      <c r="P543" s="89"/>
      <c r="Q543" s="89"/>
      <c r="R543" s="89"/>
      <c r="S543" s="89"/>
      <c r="T543" s="89"/>
      <c r="U543" s="89"/>
      <c r="V543" s="89"/>
      <c r="W543" s="89"/>
      <c r="X543" s="89"/>
      <c r="Y543" s="89"/>
      <c r="Z543" s="89"/>
      <c r="AA543" s="287" t="s">
        <v>105</v>
      </c>
      <c r="AB543" s="89"/>
      <c r="AC543" s="89"/>
      <c r="AD543" s="89"/>
      <c r="AE543" s="89"/>
      <c r="AF543" s="89"/>
      <c r="AG543" s="89"/>
      <c r="AH543" s="89"/>
      <c r="AI543" s="89"/>
      <c r="AJ543" s="89"/>
      <c r="AK543" s="89"/>
      <c r="AL543" s="89"/>
      <c r="AM543" s="287" t="s">
        <v>105</v>
      </c>
      <c r="AN543" s="89"/>
      <c r="AO543" s="89"/>
      <c r="AP543" s="89"/>
      <c r="AZ543" s="287" t="s">
        <v>105</v>
      </c>
      <c r="BJ543" s="287" t="s">
        <v>105</v>
      </c>
      <c r="BR543" s="287" t="s">
        <v>105</v>
      </c>
      <c r="BY543" s="287" t="s">
        <v>105</v>
      </c>
      <c r="CG543" s="287" t="s">
        <v>105</v>
      </c>
      <c r="CP543" s="287" t="s">
        <v>105</v>
      </c>
      <c r="CX543" s="89"/>
      <c r="CY543" s="89"/>
      <c r="CZ543" s="89"/>
      <c r="DA543" s="89"/>
      <c r="DB543" s="89"/>
      <c r="DC543" s="89"/>
      <c r="DD543" s="89"/>
      <c r="DE543" s="89"/>
      <c r="DF543" s="89"/>
      <c r="DG543" s="89"/>
      <c r="DH543" s="89"/>
      <c r="DI543" s="89"/>
      <c r="DJ543" s="89"/>
      <c r="DK543" s="89"/>
      <c r="DL543" s="89"/>
      <c r="DM543" s="89"/>
      <c r="DN543" s="89"/>
      <c r="DO543" s="89"/>
      <c r="DP543" s="89"/>
      <c r="DQ543" s="89"/>
      <c r="DV543" s="287" t="s">
        <v>105</v>
      </c>
      <c r="DW543" s="89"/>
      <c r="EA543" s="55"/>
      <c r="EB543" s="55"/>
      <c r="EC543" s="55"/>
      <c r="ED543" s="55"/>
      <c r="EE543" s="55"/>
    </row>
    <row r="544" spans="1:135" x14ac:dyDescent="0.4">
      <c r="A544" s="221"/>
      <c r="C544" s="14"/>
      <c r="D544" s="14"/>
      <c r="E544" s="14"/>
      <c r="F544" s="14"/>
      <c r="G544" s="14"/>
      <c r="H544" s="14"/>
      <c r="I544" s="14"/>
      <c r="J544" s="14"/>
      <c r="K544" s="14"/>
      <c r="L544" s="14"/>
      <c r="M544" s="14"/>
      <c r="DW544" s="54"/>
      <c r="EA544" s="286"/>
      <c r="EB544" s="286"/>
      <c r="EC544" s="286"/>
      <c r="ED544" s="286"/>
      <c r="EE544" s="286"/>
    </row>
    <row r="545" spans="1:135" x14ac:dyDescent="0.4">
      <c r="A545" s="221"/>
      <c r="C545" s="14"/>
      <c r="D545" s="14"/>
      <c r="E545" s="14"/>
      <c r="F545" s="14"/>
      <c r="G545" s="14"/>
      <c r="H545" s="14"/>
      <c r="I545" s="14"/>
      <c r="J545" s="14"/>
      <c r="K545" s="14"/>
      <c r="L545" s="14"/>
      <c r="M545" s="14"/>
      <c r="DW545" s="54"/>
      <c r="EA545" s="286"/>
      <c r="EB545" s="286"/>
      <c r="EC545" s="286"/>
      <c r="ED545" s="286"/>
      <c r="EE545" s="286"/>
    </row>
    <row r="546" spans="1:135" x14ac:dyDescent="0.4">
      <c r="B546" s="694"/>
      <c r="C546" s="694"/>
      <c r="D546" s="113"/>
      <c r="E546" s="113"/>
      <c r="F546" s="113"/>
      <c r="G546" s="113"/>
      <c r="H546" s="113"/>
      <c r="I546" s="113"/>
      <c r="J546" s="113"/>
      <c r="K546" s="113"/>
      <c r="L546" s="113"/>
      <c r="M546" s="113"/>
      <c r="N546" s="114"/>
      <c r="O546" s="114"/>
      <c r="P546" s="114"/>
      <c r="Q546" s="114"/>
      <c r="R546" s="114"/>
      <c r="S546" s="114"/>
      <c r="T546" s="114"/>
      <c r="U546" s="114"/>
      <c r="V546" s="114"/>
      <c r="W546" s="114"/>
      <c r="X546" s="114"/>
      <c r="Y546" s="114"/>
      <c r="Z546" s="114"/>
      <c r="AA546" s="114"/>
      <c r="AC546" s="114"/>
      <c r="AD546" s="114"/>
      <c r="AE546" s="114"/>
      <c r="AF546" s="114"/>
      <c r="AG546" s="114"/>
      <c r="AH546" s="114"/>
      <c r="AI546" s="114"/>
      <c r="AJ546" s="114"/>
      <c r="AK546" s="114"/>
      <c r="AL546" s="114"/>
      <c r="AM546" s="114"/>
      <c r="AN546" s="114"/>
      <c r="AO546" s="89"/>
      <c r="DW546" s="54"/>
      <c r="EA546" s="55"/>
      <c r="EB546" s="55"/>
      <c r="EC546" s="55"/>
      <c r="ED546" s="55"/>
      <c r="EE546" s="55"/>
    </row>
    <row r="547" spans="1:135" ht="12.6" thickBot="1" x14ac:dyDescent="0.45">
      <c r="A547" s="233"/>
      <c r="B547" s="679"/>
      <c r="C547" s="679"/>
      <c r="D547" s="113"/>
      <c r="E547" s="113"/>
      <c r="F547" s="113"/>
      <c r="G547" s="113"/>
      <c r="H547" s="113"/>
      <c r="I547" s="113"/>
      <c r="J547" s="113"/>
      <c r="K547" s="113"/>
      <c r="L547" s="113"/>
      <c r="M547" s="113"/>
      <c r="N547" s="114"/>
      <c r="O547" s="114"/>
      <c r="P547" s="114"/>
      <c r="Q547" s="114"/>
      <c r="R547" s="114"/>
      <c r="S547" s="114"/>
      <c r="T547" s="114"/>
      <c r="U547" s="114"/>
      <c r="V547" s="114"/>
      <c r="W547" s="114"/>
      <c r="X547" s="114"/>
      <c r="Y547" s="114"/>
      <c r="Z547" s="114"/>
      <c r="AA547" s="114"/>
      <c r="AB547" s="114"/>
      <c r="AC547" s="114"/>
      <c r="AD547" s="114"/>
      <c r="AE547" s="114"/>
      <c r="AF547" s="114"/>
      <c r="AG547" s="114"/>
      <c r="AH547" s="114"/>
      <c r="AI547" s="114"/>
      <c r="AJ547" s="114"/>
      <c r="AK547" s="114"/>
      <c r="AL547" s="114"/>
      <c r="AM547" s="114"/>
      <c r="CZ547" s="116"/>
      <c r="DA547" s="116"/>
      <c r="DB547" s="116"/>
      <c r="DC547" s="116"/>
      <c r="DD547" s="116"/>
      <c r="DE547" s="116"/>
      <c r="DF547" s="116"/>
      <c r="DG547" s="116"/>
      <c r="DH547" s="116"/>
      <c r="DI547" s="117" t="str">
        <f>"DJ"&amp;MIN(DK550:DK598)</f>
        <v>DJ0</v>
      </c>
      <c r="DJ547" s="118" t="str">
        <f>"DJ"&amp;MAX(DK550:DK598)</f>
        <v>DJ0</v>
      </c>
      <c r="DK547" s="116"/>
      <c r="DL547" s="117" t="str">
        <f>"DM"&amp;MIN(DN550:DN598)</f>
        <v>DM0</v>
      </c>
      <c r="DM547" s="118" t="str">
        <f>"DM"&amp;MAX(DN550:DN598)</f>
        <v>DM0</v>
      </c>
      <c r="DN547" s="116"/>
      <c r="DO547" s="117" t="str">
        <f>"DP"&amp;MIN(DQ550:DQ598)</f>
        <v>DP0</v>
      </c>
      <c r="DP547" s="118" t="str">
        <f>"DP"&amp;MAX(DQ550:DQ598)</f>
        <v>DP0</v>
      </c>
      <c r="DQ547" s="116"/>
      <c r="DW547" s="119"/>
      <c r="EA547" s="33"/>
      <c r="EB547" s="33"/>
      <c r="EC547" s="33"/>
      <c r="ED547" s="33"/>
      <c r="EE547" s="33"/>
    </row>
    <row r="548" spans="1:135" ht="24.9" thickBot="1" x14ac:dyDescent="0.5">
      <c r="A548" s="676" t="s">
        <v>65</v>
      </c>
      <c r="C548" s="680" t="str">
        <f>A566</f>
        <v>Base Cases</v>
      </c>
      <c r="D548" s="681"/>
      <c r="E548" s="682"/>
      <c r="F548" s="683" t="str">
        <f>A567</f>
        <v>Conservative Cases</v>
      </c>
      <c r="G548" s="684"/>
      <c r="H548" s="685"/>
      <c r="I548" s="686" t="str">
        <f>A568</f>
        <v>Ambitious Cases</v>
      </c>
      <c r="J548" s="687"/>
      <c r="K548" s="688"/>
      <c r="L548" s="692" t="str">
        <f>A569</f>
        <v>Maximum Cases</v>
      </c>
      <c r="M548" s="693"/>
      <c r="O548" s="122"/>
      <c r="P548" s="122"/>
      <c r="Q548" s="122"/>
      <c r="W548" s="691" t="s">
        <v>66</v>
      </c>
      <c r="X548" s="691"/>
      <c r="Y548" s="691"/>
      <c r="Z548" s="120"/>
      <c r="AA548" s="120"/>
      <c r="AB548" s="120"/>
      <c r="AC548" s="120"/>
      <c r="AD548" s="120"/>
      <c r="AE548" s="120"/>
      <c r="AF548" s="120"/>
      <c r="AG548" s="120"/>
      <c r="AH548" s="120"/>
      <c r="AI548" s="120"/>
      <c r="AJ548" s="120"/>
      <c r="AK548" s="120"/>
      <c r="AL548" s="120"/>
      <c r="AM548" s="120"/>
      <c r="AN548" s="120"/>
      <c r="BR548" s="121" t="s">
        <v>67</v>
      </c>
      <c r="BS548" s="121"/>
      <c r="BT548" s="121"/>
      <c r="BU548" s="121"/>
      <c r="BV548" s="121"/>
      <c r="BW548" s="122"/>
      <c r="BY548" s="121" t="s">
        <v>68</v>
      </c>
      <c r="BZ548" s="121"/>
      <c r="CA548" s="121"/>
      <c r="CB548" s="121"/>
      <c r="CC548" s="121"/>
      <c r="CD548" s="121"/>
      <c r="CG548" s="121" t="s">
        <v>69</v>
      </c>
      <c r="CH548" s="121"/>
      <c r="CI548" s="121"/>
      <c r="CJ548" s="121"/>
      <c r="CK548" s="121"/>
      <c r="CL548" s="121"/>
      <c r="CM548" s="121"/>
      <c r="CP548" s="121" t="s">
        <v>70</v>
      </c>
      <c r="CQ548" s="121"/>
      <c r="CR548" s="121"/>
      <c r="CS548" s="121"/>
      <c r="CT548" s="121"/>
      <c r="CU548" s="121"/>
      <c r="CZ548" s="123"/>
      <c r="DA548" s="123"/>
      <c r="DB548" s="123"/>
      <c r="DC548" s="123"/>
      <c r="DD548" s="123"/>
      <c r="DE548" s="123"/>
      <c r="DF548" s="123"/>
      <c r="DG548" s="123"/>
      <c r="DH548" s="123"/>
      <c r="DI548" s="124" t="str">
        <f>"DI"&amp;MIN(DK550:DK598)</f>
        <v>DI0</v>
      </c>
      <c r="DJ548" s="125" t="str">
        <f>"DI"&amp;MAX(DK550:DK598)</f>
        <v>DI0</v>
      </c>
      <c r="DK548" s="123"/>
      <c r="DL548" s="124" t="str">
        <f>"DL"&amp;MIN(DN550:DN598)</f>
        <v>DL0</v>
      </c>
      <c r="DM548" s="125" t="str">
        <f>"DL"&amp;MAX(DN550:DN598)</f>
        <v>DL0</v>
      </c>
      <c r="DN548" s="123"/>
      <c r="DO548" s="124" t="str">
        <f>"DO"&amp;MIN(DQ550:DQ598)</f>
        <v>DO0</v>
      </c>
      <c r="DP548" s="125" t="str">
        <f>"DO"&amp;MAX(DQ550:DQ598)</f>
        <v>DO0</v>
      </c>
      <c r="DQ548" s="123"/>
      <c r="DV548" s="126" t="s">
        <v>71</v>
      </c>
      <c r="DZ548" s="127" t="s">
        <v>72</v>
      </c>
      <c r="EA548" s="284" t="str">
        <f>$L$38</f>
        <v>3rd Poly</v>
      </c>
    </row>
    <row r="549" spans="1:135" ht="74.099999999999994" thickBot="1" x14ac:dyDescent="0.5">
      <c r="A549" s="676" t="s">
        <v>73</v>
      </c>
      <c r="B549" s="128"/>
      <c r="C549" s="129" t="str">
        <f>A550</f>
        <v>World Bank, What a Waste 2.0</v>
      </c>
      <c r="D549" s="130" t="str">
        <f>A551</f>
        <v>Bahor et al (2009)</v>
      </c>
      <c r="E549" s="131" t="str">
        <f>A552</f>
        <v>[Source 3]</v>
      </c>
      <c r="F549" s="129" t="str">
        <f>A553</f>
        <v>[Source 1]</v>
      </c>
      <c r="G549" s="130" t="str">
        <f>A554</f>
        <v>[Source 2]</v>
      </c>
      <c r="H549" s="131" t="str">
        <f>A555</f>
        <v>[Source 3]</v>
      </c>
      <c r="I549" s="129" t="str">
        <f>A556</f>
        <v xml:space="preserve"> IEA Annex I – Municipal solid waste potential in cities; Table I.1</v>
      </c>
      <c r="J549" s="130" t="str">
        <f>A557</f>
        <v>[Source 2]</v>
      </c>
      <c r="K549" s="131" t="str">
        <f>A558</f>
        <v>[Source 3]</v>
      </c>
      <c r="L549" s="129" t="str">
        <f>A559</f>
        <v>[Source 1]</v>
      </c>
      <c r="M549" s="131" t="str">
        <f>A560</f>
        <v>[Source 2]</v>
      </c>
      <c r="N549" s="234" t="s">
        <v>74</v>
      </c>
      <c r="O549" s="133"/>
      <c r="P549" s="133"/>
      <c r="Q549" s="133"/>
      <c r="R549" s="135" t="s">
        <v>76</v>
      </c>
      <c r="S549" s="134" t="s">
        <v>77</v>
      </c>
      <c r="T549" s="134" t="s">
        <v>78</v>
      </c>
      <c r="U549" s="136" t="s">
        <v>79</v>
      </c>
      <c r="V549" s="691"/>
      <c r="W549" s="136" t="s">
        <v>15</v>
      </c>
      <c r="X549" s="134" t="s">
        <v>21</v>
      </c>
      <c r="Y549" s="136" t="s">
        <v>25</v>
      </c>
      <c r="AA549" s="138"/>
      <c r="AB549" s="138"/>
      <c r="AC549" s="138"/>
      <c r="AD549" s="138"/>
      <c r="AE549" s="138"/>
      <c r="AF549" s="138"/>
      <c r="AG549" s="138"/>
      <c r="AH549" s="138"/>
      <c r="AI549" s="138"/>
      <c r="AJ549" s="138"/>
      <c r="AK549" s="138"/>
      <c r="AL549" s="138"/>
      <c r="AM549" s="138"/>
      <c r="AN549" s="138"/>
      <c r="BR549" s="139"/>
      <c r="BS549" s="139"/>
      <c r="BT549" s="139"/>
      <c r="BU549" s="139"/>
      <c r="BV549" s="139"/>
      <c r="BW549" s="122"/>
      <c r="BZ549" s="139"/>
      <c r="CA549" s="139"/>
      <c r="CB549" s="139"/>
      <c r="CC549" s="139"/>
      <c r="CD549" s="139"/>
      <c r="CH549" s="139"/>
      <c r="CI549" s="139"/>
      <c r="CJ549" s="139"/>
      <c r="CK549" s="139"/>
      <c r="CL549" s="139"/>
      <c r="CM549" s="139"/>
      <c r="CQ549" s="139"/>
      <c r="CR549" s="139"/>
      <c r="CS549" s="139"/>
      <c r="CT549" s="139"/>
      <c r="CU549" s="139"/>
      <c r="CZ549" s="140"/>
      <c r="DA549" s="140"/>
      <c r="DB549" s="140"/>
      <c r="DC549" s="140"/>
      <c r="DD549" s="141"/>
      <c r="DE549" s="141"/>
      <c r="DF549" s="141"/>
      <c r="DG549" s="141"/>
      <c r="DH549" s="140"/>
      <c r="DI549" s="142"/>
      <c r="DJ549" s="143"/>
      <c r="DK549" s="144"/>
      <c r="DL549" s="142"/>
      <c r="DM549" s="143"/>
      <c r="DN549" s="140"/>
      <c r="DO549" s="142"/>
      <c r="DP549" s="143"/>
      <c r="DQ549" s="140"/>
      <c r="DV549" s="145">
        <v>2014</v>
      </c>
      <c r="DW549" s="235" t="e">
        <f t="shared" ref="DW549:DW595" ca="1" si="310">IF($J$38="N","",IF($L$38="Linear",BV554,IF($L$38="2nd Poly",CD554,IF($L$38="3rd Poly",CM554,IF($L$38="Exp",CT554)))))</f>
        <v>#REF!</v>
      </c>
      <c r="EA549" s="33" t="str">
        <f>$M$38</f>
        <v>Medium</v>
      </c>
      <c r="EB549" s="33"/>
      <c r="EC549" s="33"/>
      <c r="ED549" s="33"/>
      <c r="EE549" s="33"/>
    </row>
    <row r="550" spans="1:135" ht="14.1" thickBot="1" x14ac:dyDescent="0.5">
      <c r="A550" s="948" t="s">
        <v>549</v>
      </c>
      <c r="B550" s="128">
        <v>2012</v>
      </c>
      <c r="C550" s="977"/>
      <c r="D550" s="977"/>
      <c r="E550" s="239"/>
      <c r="F550" s="1095"/>
      <c r="G550" s="264"/>
      <c r="H550" s="239"/>
      <c r="I550" s="1152"/>
      <c r="J550" s="264"/>
      <c r="K550" s="239"/>
      <c r="L550" s="190"/>
      <c r="M550" s="239"/>
      <c r="N550" s="29" t="s">
        <v>119</v>
      </c>
      <c r="O550" s="120"/>
      <c r="P550" s="120"/>
      <c r="Q550" s="120"/>
      <c r="R550" s="29">
        <v>-2</v>
      </c>
      <c r="S550" s="288" t="str">
        <f t="shared" ref="S550:S581" si="311">IF(MIN(C550:Q550)=0,"",MIN(C550:Q550))</f>
        <v/>
      </c>
      <c r="T550" s="288" t="str">
        <f t="shared" ref="T550:T581" si="312">IF(MAX(C550:Q550)=0,"",MAX(C550:Q550))</f>
        <v/>
      </c>
      <c r="U550" s="288" t="str">
        <f t="shared" ref="U550:U581" si="313">IF(T550="","",_xlfn.STDEV.P(C550:Q550))</f>
        <v/>
      </c>
      <c r="V550" s="29"/>
      <c r="W550" s="288" t="e">
        <f t="shared" ref="W550:W598" si="314">IF(U550="",#N/A,X550-(U550*$Q$38))</f>
        <v>#N/A</v>
      </c>
      <c r="X550" s="288" t="e">
        <f t="shared" ref="X550:X581" si="315">IF(U550="",#N/A,(SUM(C550:Q550)/COUNTIFS(C550:Q550,"&gt;0")))</f>
        <v>#N/A</v>
      </c>
      <c r="Y550" s="288" t="e">
        <f t="shared" ref="Y550:Y598" si="316">IF(U550="",#N/A,X550+(U550*$Q$37))</f>
        <v>#N/A</v>
      </c>
      <c r="AA550" s="138"/>
      <c r="AB550" s="138"/>
      <c r="AC550" s="138"/>
      <c r="AD550" s="138"/>
      <c r="AE550" s="138"/>
      <c r="AF550" s="138"/>
      <c r="AG550" s="138"/>
      <c r="AH550" s="138"/>
      <c r="AI550" s="138"/>
      <c r="AJ550" s="138"/>
      <c r="AK550" s="138"/>
      <c r="AL550" s="138"/>
      <c r="AM550" s="138"/>
      <c r="AN550" s="138"/>
      <c r="BR550" s="691" t="s">
        <v>81</v>
      </c>
      <c r="BS550" s="65" t="str">
        <f>$M$38</f>
        <v>Medium</v>
      </c>
      <c r="BT550" s="691" t="s">
        <v>82</v>
      </c>
      <c r="BU550" s="691" t="s">
        <v>83</v>
      </c>
      <c r="BW550" s="133"/>
      <c r="BY550" s="691" t="s">
        <v>81</v>
      </c>
      <c r="BZ550" s="65" t="str">
        <f>$M$38</f>
        <v>Medium</v>
      </c>
      <c r="CA550" s="691" t="s">
        <v>84</v>
      </c>
      <c r="CB550" s="691" t="s">
        <v>82</v>
      </c>
      <c r="CC550" s="691" t="s">
        <v>83</v>
      </c>
      <c r="CG550" s="691" t="s">
        <v>81</v>
      </c>
      <c r="CH550" s="65" t="str">
        <f>$M$38</f>
        <v>Medium</v>
      </c>
      <c r="CI550" s="691" t="s">
        <v>85</v>
      </c>
      <c r="CJ550" s="691" t="s">
        <v>84</v>
      </c>
      <c r="CK550" s="691" t="s">
        <v>82</v>
      </c>
      <c r="CL550" s="691" t="s">
        <v>83</v>
      </c>
      <c r="CP550" s="691" t="s">
        <v>81</v>
      </c>
      <c r="CQ550" s="65" t="str">
        <f>$M$38</f>
        <v>Medium</v>
      </c>
      <c r="CR550" s="691" t="s">
        <v>86</v>
      </c>
      <c r="CS550" s="691" t="s">
        <v>87</v>
      </c>
      <c r="CZ550" s="155" t="b">
        <f t="shared" ref="CZ550:DB589" si="317">ISNUMBER(W550)</f>
        <v>0</v>
      </c>
      <c r="DA550" s="156" t="b">
        <f t="shared" si="317"/>
        <v>0</v>
      </c>
      <c r="DB550" s="157" t="b">
        <f t="shared" si="317"/>
        <v>0</v>
      </c>
      <c r="DC550" s="155" t="str">
        <f t="shared" ref="DC550:DC598" si="318">IF(CZ550=TRUE,$R550,"")</f>
        <v/>
      </c>
      <c r="DD550" s="157" t="str">
        <f t="shared" ref="DD550:DD598" si="319">IF(CZ550=TRUE,W550,"")</f>
        <v/>
      </c>
      <c r="DE550" s="155" t="str">
        <f t="shared" ref="DE550:DE598" si="320">IF(DA550=TRUE,$R550,"")</f>
        <v/>
      </c>
      <c r="DF550" s="157" t="str">
        <f t="shared" ref="DF550:DF598" si="321">IF(DA550=TRUE,X550,"")</f>
        <v/>
      </c>
      <c r="DG550" s="155" t="str">
        <f t="shared" ref="DG550:DG598" si="322">IF(DB550=TRUE,$R550,"")</f>
        <v/>
      </c>
      <c r="DH550" s="157" t="str">
        <f t="shared" ref="DH550:DH598" si="323">IF(DB550=TRUE,Y550,"")</f>
        <v/>
      </c>
      <c r="DI550" s="155" t="str">
        <f>IFERROR(INDEX(DC$550:DC$598,_xlfn.AGGREGATE(15,6,(ROW(DC$550:DC$598)-ROW(DC$550)+1)/(DC$550:DC$598&lt;&gt;""),ROWS(DI$1:DI1))),"")</f>
        <v/>
      </c>
      <c r="DJ550" s="156" t="str">
        <f>IFERROR(INDEX(DD$550:DD$598,_xlfn.AGGREGATE(15,6,(ROW(DD$550:DD$598)-ROW(DD$550)+1)/(DD$550:DD$598&lt;&gt;""),ROWS(DJ$1:DJ1))),"")</f>
        <v/>
      </c>
      <c r="DK550" s="157" t="str">
        <f t="shared" ref="DK550:DK598" si="324">IF(ISNUMBER(DI550),ROW(DI550),"")</f>
        <v/>
      </c>
      <c r="DL550" s="155" t="str">
        <f>IFERROR(INDEX(DE$550:DE$598,_xlfn.AGGREGATE(15,6,(ROW(DE$550:DE$598)-ROW(DE$550)+1)/(DE$550:DE$598&lt;&gt;""),ROWS(DL$1:DL1))),"")</f>
        <v/>
      </c>
      <c r="DM550" s="156" t="str">
        <f>IFERROR(INDEX(DF$550:DF$598,_xlfn.AGGREGATE(15,6,(ROW(DF$550:DF$598)-ROW(DF$550)+1)/(DF$550:DF$598&lt;&gt;""),ROWS(DM$1:DM1))),"")</f>
        <v/>
      </c>
      <c r="DN550" s="157" t="str">
        <f t="shared" ref="DN550:DN598" si="325">IF(ISNUMBER(DI550),ROW(DI550),"")</f>
        <v/>
      </c>
      <c r="DO550" s="155" t="str">
        <f>IFERROR(INDEX(DG$550:DG$598,_xlfn.AGGREGATE(15,6,(ROW(DG$550:DG$598)-ROW(DG$550)+1)/(DG$550:DG$598&lt;&gt;""),ROWS(DO$1:DO1))),"")</f>
        <v/>
      </c>
      <c r="DP550" s="156" t="str">
        <f>IFERROR(INDEX(DH$550:DH$598,_xlfn.AGGREGATE(15,6,(ROW(DH$550:DH$598)-ROW(DH$550)+1)/(DH$550:DH$598&lt;&gt;""),ROWS(DP$1:DP1))),"")</f>
        <v/>
      </c>
      <c r="DQ550" s="157" t="str">
        <f t="shared" ref="DQ550:DQ598" si="326">IF(ISNUMBER(DL550),ROW(DL550),"")</f>
        <v/>
      </c>
      <c r="DV550" s="145">
        <v>2015</v>
      </c>
      <c r="DW550" s="235" t="e">
        <f t="shared" ca="1" si="310"/>
        <v>#REF!</v>
      </c>
      <c r="EA550" s="33"/>
      <c r="EB550" s="33"/>
      <c r="EC550" s="33"/>
      <c r="ED550" s="33"/>
      <c r="EE550" s="33"/>
    </row>
    <row r="551" spans="1:135" ht="13.8" x14ac:dyDescent="0.45">
      <c r="A551" s="948" t="s">
        <v>110</v>
      </c>
      <c r="B551" s="128">
        <v>2013</v>
      </c>
      <c r="C551" s="977"/>
      <c r="D551" s="977"/>
      <c r="E551" s="239"/>
      <c r="F551" s="1095"/>
      <c r="G551" s="264"/>
      <c r="H551" s="239"/>
      <c r="I551" s="1152"/>
      <c r="J551" s="264"/>
      <c r="K551" s="239"/>
      <c r="L551" s="190"/>
      <c r="M551" s="239"/>
      <c r="N551" s="29" t="s">
        <v>119</v>
      </c>
      <c r="O551" s="120"/>
      <c r="P551" s="120"/>
      <c r="Q551" s="120"/>
      <c r="R551" s="29">
        <v>-1</v>
      </c>
      <c r="S551" s="288" t="str">
        <f t="shared" si="311"/>
        <v/>
      </c>
      <c r="T551" s="288" t="str">
        <f t="shared" si="312"/>
        <v/>
      </c>
      <c r="U551" s="288" t="str">
        <f t="shared" si="313"/>
        <v/>
      </c>
      <c r="V551" s="29"/>
      <c r="W551" s="288" t="e">
        <f t="shared" si="314"/>
        <v>#N/A</v>
      </c>
      <c r="X551" s="288" t="e">
        <f t="shared" si="315"/>
        <v>#N/A</v>
      </c>
      <c r="Y551" s="288" t="e">
        <f t="shared" si="316"/>
        <v>#N/A</v>
      </c>
      <c r="AA551" s="138"/>
      <c r="AB551" s="138"/>
      <c r="AC551" s="138"/>
      <c r="AD551" s="138"/>
      <c r="AE551" s="138"/>
      <c r="AF551" s="138"/>
      <c r="AG551" s="138"/>
      <c r="AH551" s="138"/>
      <c r="AI551" s="138"/>
      <c r="AJ551" s="138"/>
      <c r="AK551" s="138"/>
      <c r="AL551" s="138"/>
      <c r="AM551" s="138"/>
      <c r="AN551" s="138"/>
      <c r="BS551" s="160" t="s">
        <v>25</v>
      </c>
      <c r="BT551" s="161" t="e">
        <f>SLOPE((DH550:DH598),($B$46:$B$94))</f>
        <v>#DIV/0!</v>
      </c>
      <c r="BU551" s="162" t="e">
        <f>INTERCEPT(DP550:DP598,DO550:DO598)</f>
        <v>#DIV/0!</v>
      </c>
      <c r="BW551" s="133"/>
      <c r="BZ551" s="160" t="s">
        <v>25</v>
      </c>
      <c r="CA551" s="161" t="e">
        <f ca="1">INDEX(LINEST((INDIRECT(DO547):INDIRECT(DP547)),(INDIRECT(DO548):INDIRECT(DP548))^{1,2}),1)</f>
        <v>#REF!</v>
      </c>
      <c r="CB551" s="163" t="e">
        <f ca="1">INDEX(LINEST((INDIRECT(DO547):INDIRECT(DP547)),(INDIRECT(DO548):INDIRECT(DP548))^{1,2}),1,2)</f>
        <v>#REF!</v>
      </c>
      <c r="CC551" s="162" t="e">
        <f ca="1">INDEX(LINEST((INDIRECT(DO547):INDIRECT(DP547)),(INDIRECT(DO548):INDIRECT(DP548))^{1,2}),1,3)</f>
        <v>#REF!</v>
      </c>
      <c r="CH551" s="160" t="s">
        <v>25</v>
      </c>
      <c r="CI551" s="161" t="e">
        <f ca="1">INDEX(LINEST((INDIRECT(DO547):INDIRECT(DP547)),(INDIRECT(DO548):INDIRECT(DP548))^{1,2,3}),1)</f>
        <v>#REF!</v>
      </c>
      <c r="CJ551" s="163" t="e">
        <f ca="1">INDEX(LINEST((INDIRECT(DO547):INDIRECT(DP547)),(INDIRECT(DO548):INDIRECT(DP548))^{1,2,3}),1,2)</f>
        <v>#REF!</v>
      </c>
      <c r="CK551" s="163" t="e">
        <f ca="1">INDEX(LINEST((INDIRECT(DO547):INDIRECT(DP547)),(INDIRECT(DO548):INDIRECT(DP548))^{1,2,3}),1,3)</f>
        <v>#REF!</v>
      </c>
      <c r="CL551" s="162" t="e">
        <f ca="1">INDEX(LINEST((INDIRECT(DO547):INDIRECT(DP547)),(INDIRECT(DO548):INDIRECT(DP548))^{1,2,3}),1,4)</f>
        <v>#REF!</v>
      </c>
      <c r="CQ551" s="160" t="s">
        <v>25</v>
      </c>
      <c r="CR551" s="161" t="e">
        <f ca="1">EXP(INDEX(LINEST(LN(INDIRECT(DO547):INDIRECT(DP547)),(INDIRECT(DO548):INDIRECT(DP548))),1,2))</f>
        <v>#REF!</v>
      </c>
      <c r="CS551" s="162" t="e">
        <f ca="1">INDEX(LINEST(LN(INDIRECT(DO547):INDIRECT(DP547)),(INDIRECT(DO548):INDIRECT(DP548))),1)</f>
        <v>#REF!</v>
      </c>
      <c r="CZ551" s="164" t="b">
        <f t="shared" si="317"/>
        <v>0</v>
      </c>
      <c r="DA551" s="165" t="b">
        <f t="shared" si="317"/>
        <v>0</v>
      </c>
      <c r="DB551" s="166" t="b">
        <f t="shared" si="317"/>
        <v>0</v>
      </c>
      <c r="DC551" s="164" t="str">
        <f t="shared" si="318"/>
        <v/>
      </c>
      <c r="DD551" s="166" t="str">
        <f t="shared" si="319"/>
        <v/>
      </c>
      <c r="DE551" s="164" t="str">
        <f t="shared" si="320"/>
        <v/>
      </c>
      <c r="DF551" s="166" t="str">
        <f t="shared" si="321"/>
        <v/>
      </c>
      <c r="DG551" s="164" t="str">
        <f t="shared" si="322"/>
        <v/>
      </c>
      <c r="DH551" s="166" t="str">
        <f t="shared" si="323"/>
        <v/>
      </c>
      <c r="DI551" s="164" t="str">
        <f>IFERROR(INDEX(DC$550:DC$598,_xlfn.AGGREGATE(15,6,(ROW(DC$550:DC$598)-ROW(DC$550)+1)/(DC$550:DC$598&lt;&gt;""),ROWS(DI$1:DI2))),"")</f>
        <v/>
      </c>
      <c r="DJ551" s="165" t="str">
        <f>IFERROR(INDEX(DD$550:DD$598,_xlfn.AGGREGATE(15,6,(ROW(DD$550:DD$598)-ROW(DD$550)+1)/(DD$550:DD$598&lt;&gt;""),ROWS(DJ$1:DJ2))),"")</f>
        <v/>
      </c>
      <c r="DK551" s="166" t="str">
        <f t="shared" si="324"/>
        <v/>
      </c>
      <c r="DL551" s="164" t="str">
        <f>IFERROR(INDEX(DE$550:DE$598,_xlfn.AGGREGATE(15,6,(ROW(DE$550:DE$598)-ROW(DE$550)+1)/(DE$550:DE$598&lt;&gt;""),ROWS(DL$1:DL2))),"")</f>
        <v/>
      </c>
      <c r="DM551" s="165" t="str">
        <f>IFERROR(INDEX(DF$550:DF$598,_xlfn.AGGREGATE(15,6,(ROW(DF$550:DF$598)-ROW(DF$550)+1)/(DF$550:DF$598&lt;&gt;""),ROWS(DM$1:DM2))),"")</f>
        <v/>
      </c>
      <c r="DN551" s="166" t="str">
        <f t="shared" si="325"/>
        <v/>
      </c>
      <c r="DO551" s="164" t="str">
        <f>IFERROR(INDEX(DG$550:DG$598,_xlfn.AGGREGATE(15,6,(ROW(DG$550:DG$598)-ROW(DG$550)+1)/(DG$550:DG$598&lt;&gt;""),ROWS(DO$1:DO2))),"")</f>
        <v/>
      </c>
      <c r="DP551" s="165" t="str">
        <f>IFERROR(INDEX(DH$550:DH$598,_xlfn.AGGREGATE(15,6,(ROW(DH$550:DH$598)-ROW(DH$550)+1)/(DH$550:DH$598&lt;&gt;""),ROWS(DP$1:DP2))),"")</f>
        <v/>
      </c>
      <c r="DQ551" s="166" t="str">
        <f t="shared" si="326"/>
        <v/>
      </c>
      <c r="DV551" s="145">
        <v>2016</v>
      </c>
      <c r="DW551" s="235" t="e">
        <f t="shared" ca="1" si="310"/>
        <v>#REF!</v>
      </c>
      <c r="EA551" s="33"/>
      <c r="EB551" s="33"/>
      <c r="EC551" s="33"/>
      <c r="ED551" s="33"/>
      <c r="EE551" s="33"/>
    </row>
    <row r="552" spans="1:135" ht="13.8" x14ac:dyDescent="0.45">
      <c r="A552" s="148" t="s">
        <v>90</v>
      </c>
      <c r="B552" s="128">
        <v>2014</v>
      </c>
      <c r="C552" s="977"/>
      <c r="D552" s="977"/>
      <c r="E552" s="169"/>
      <c r="F552" s="1095"/>
      <c r="G552" s="168"/>
      <c r="H552" s="169"/>
      <c r="I552" s="1152"/>
      <c r="J552" s="168"/>
      <c r="K552" s="169"/>
      <c r="L552" s="170"/>
      <c r="M552" s="169"/>
      <c r="N552" s="29" t="s">
        <v>119</v>
      </c>
      <c r="O552" s="120"/>
      <c r="P552" s="120"/>
      <c r="Q552" s="120"/>
      <c r="R552" s="29">
        <v>0</v>
      </c>
      <c r="S552" s="288" t="str">
        <f t="shared" si="311"/>
        <v/>
      </c>
      <c r="T552" s="288" t="str">
        <f t="shared" si="312"/>
        <v/>
      </c>
      <c r="U552" s="288" t="str">
        <f t="shared" si="313"/>
        <v/>
      </c>
      <c r="V552" s="29"/>
      <c r="W552" s="288" t="e">
        <f t="shared" si="314"/>
        <v>#N/A</v>
      </c>
      <c r="X552" s="288" t="e">
        <f t="shared" si="315"/>
        <v>#N/A</v>
      </c>
      <c r="Y552" s="288" t="e">
        <f t="shared" si="316"/>
        <v>#N/A</v>
      </c>
      <c r="AA552" s="138"/>
      <c r="AB552" s="138"/>
      <c r="AC552" s="138"/>
      <c r="AD552" s="138"/>
      <c r="AE552" s="138"/>
      <c r="AF552" s="138"/>
      <c r="AG552" s="138"/>
      <c r="AH552" s="138"/>
      <c r="AI552" s="138"/>
      <c r="AJ552" s="138"/>
      <c r="AK552" s="138"/>
      <c r="AL552" s="138"/>
      <c r="AM552" s="138"/>
      <c r="AN552" s="138"/>
      <c r="BS552" s="160" t="s">
        <v>91</v>
      </c>
      <c r="BT552" s="304" t="e">
        <f>SLOPE((DF550:DF598),($B$46:$B$94))</f>
        <v>#DIV/0!</v>
      </c>
      <c r="BU552" s="305" t="e">
        <f>INTERCEPT(DM550:DM598,DL550:DL598)</f>
        <v>#DIV/0!</v>
      </c>
      <c r="BZ552" s="160" t="s">
        <v>91</v>
      </c>
      <c r="CA552" s="304" t="e">
        <f ca="1">INDEX(LINEST((INDIRECT(DL547):INDIRECT(DM547)),(INDIRECT(DL548):INDIRECT(DM548))^{1,2}),1)</f>
        <v>#REF!</v>
      </c>
      <c r="CB552" s="306" t="e">
        <f ca="1">INDEX(LINEST((INDIRECT(DL547):INDIRECT(DM547)),(INDIRECT(DL548):INDIRECT(DM548))^{1,2}),1,2)</f>
        <v>#REF!</v>
      </c>
      <c r="CC552" s="305" t="e">
        <f ca="1">INDEX(LINEST((INDIRECT(DL547):INDIRECT(DM547)),(INDIRECT(DL548):INDIRECT(DM548))^{1,2}),1,3)</f>
        <v>#REF!</v>
      </c>
      <c r="CH552" s="160" t="s">
        <v>91</v>
      </c>
      <c r="CI552" s="304" t="e">
        <f ca="1">INDEX(LINEST((INDIRECT(DL547):INDIRECT(DM547)),(INDIRECT(DL548):INDIRECT(DM548))^{1,2,3}),1)</f>
        <v>#REF!</v>
      </c>
      <c r="CJ552" s="306" t="e">
        <f ca="1">INDEX(LINEST((INDIRECT(DL547):INDIRECT(DM547)),(INDIRECT(DL548):INDIRECT(DM548))^{1,2,3}),1,2)</f>
        <v>#REF!</v>
      </c>
      <c r="CK552" s="306" t="e">
        <f ca="1">INDEX(LINEST((INDIRECT(DL547):INDIRECT(DM547)),(INDIRECT(DL548):INDIRECT(DM548))^{1,2,3}),1,3)</f>
        <v>#REF!</v>
      </c>
      <c r="CL552" s="305" t="e">
        <f ca="1">INDEX(LINEST((INDIRECT(DL547):INDIRECT(DM547)),(INDIRECT(DL548):INDIRECT(DM548))^{1,2,3}),1,4)</f>
        <v>#REF!</v>
      </c>
      <c r="CQ552" s="160" t="s">
        <v>91</v>
      </c>
      <c r="CR552" s="304" t="e">
        <f ca="1">EXP(INDEX(LINEST(LN(INDIRECT(DL547):INDIRECT(DM547)),(INDIRECT(DL548):INDIRECT(DM548))),1,2))</f>
        <v>#REF!</v>
      </c>
      <c r="CS552" s="305" t="e">
        <f ca="1">INDEX(LINEST(LN(INDIRECT(DL547):INDIRECT(DM547)),(INDIRECT(DL548):INDIRECT(DM548))),1)</f>
        <v>#REF!</v>
      </c>
      <c r="CZ552" s="164" t="b">
        <f t="shared" si="317"/>
        <v>0</v>
      </c>
      <c r="DA552" s="165" t="b">
        <f t="shared" si="317"/>
        <v>0</v>
      </c>
      <c r="DB552" s="166" t="b">
        <f t="shared" si="317"/>
        <v>0</v>
      </c>
      <c r="DC552" s="164" t="str">
        <f t="shared" si="318"/>
        <v/>
      </c>
      <c r="DD552" s="166" t="str">
        <f t="shared" si="319"/>
        <v/>
      </c>
      <c r="DE552" s="164" t="str">
        <f t="shared" si="320"/>
        <v/>
      </c>
      <c r="DF552" s="166" t="str">
        <f t="shared" si="321"/>
        <v/>
      </c>
      <c r="DG552" s="164" t="str">
        <f t="shared" si="322"/>
        <v/>
      </c>
      <c r="DH552" s="166" t="str">
        <f t="shared" si="323"/>
        <v/>
      </c>
      <c r="DI552" s="164" t="str">
        <f>IFERROR(INDEX(DC$550:DC$598,_xlfn.AGGREGATE(15,6,(ROW(DC$550:DC$598)-ROW(DC$550)+1)/(DC$550:DC$598&lt;&gt;""),ROWS(DI$1:DI3))),"")</f>
        <v/>
      </c>
      <c r="DJ552" s="165" t="str">
        <f>IFERROR(INDEX(DD$550:DD$598,_xlfn.AGGREGATE(15,6,(ROW(DD$550:DD$598)-ROW(DD$550)+1)/(DD$550:DD$598&lt;&gt;""),ROWS(DJ$1:DJ3))),"")</f>
        <v/>
      </c>
      <c r="DK552" s="166" t="str">
        <f t="shared" si="324"/>
        <v/>
      </c>
      <c r="DL552" s="164" t="str">
        <f>IFERROR(INDEX(DE$550:DE$598,_xlfn.AGGREGATE(15,6,(ROW(DE$550:DE$598)-ROW(DE$550)+1)/(DE$550:DE$598&lt;&gt;""),ROWS(DL$1:DL3))),"")</f>
        <v/>
      </c>
      <c r="DM552" s="165" t="str">
        <f>IFERROR(INDEX(DF$550:DF$598,_xlfn.AGGREGATE(15,6,(ROW(DF$550:DF$598)-ROW(DF$550)+1)/(DF$550:DF$598&lt;&gt;""),ROWS(DM$1:DM3))),"")</f>
        <v/>
      </c>
      <c r="DN552" s="166" t="str">
        <f t="shared" si="325"/>
        <v/>
      </c>
      <c r="DO552" s="164" t="str">
        <f>IFERROR(INDEX(DG$550:DG$598,_xlfn.AGGREGATE(15,6,(ROW(DG$550:DG$598)-ROW(DG$550)+1)/(DG$550:DG$598&lt;&gt;""),ROWS(DO$1:DO3))),"")</f>
        <v/>
      </c>
      <c r="DP552" s="165" t="str">
        <f>IFERROR(INDEX(DH$550:DH$598,_xlfn.AGGREGATE(15,6,(ROW(DH$550:DH$598)-ROW(DH$550)+1)/(DH$550:DH$598&lt;&gt;""),ROWS(DP$1:DP3))),"")</f>
        <v/>
      </c>
      <c r="DQ552" s="166" t="str">
        <f t="shared" si="326"/>
        <v/>
      </c>
      <c r="DV552" s="145">
        <v>2017</v>
      </c>
      <c r="DW552" s="235" t="e">
        <f t="shared" ca="1" si="310"/>
        <v>#REF!</v>
      </c>
      <c r="DZ552" s="65" t="s">
        <v>89</v>
      </c>
      <c r="EA552" s="33"/>
      <c r="EB552" s="33"/>
      <c r="EC552" s="33"/>
      <c r="ED552" s="33"/>
      <c r="EE552" s="33"/>
    </row>
    <row r="553" spans="1:135" ht="14.1" thickBot="1" x14ac:dyDescent="0.5">
      <c r="A553" s="949" t="s">
        <v>80</v>
      </c>
      <c r="B553" s="128">
        <v>2015</v>
      </c>
      <c r="C553" s="977"/>
      <c r="D553" s="977"/>
      <c r="E553" s="308"/>
      <c r="F553" s="1095"/>
      <c r="G553" s="307"/>
      <c r="H553" s="308"/>
      <c r="I553" s="1152"/>
      <c r="J553" s="307"/>
      <c r="K553" s="308"/>
      <c r="L553" s="309"/>
      <c r="M553" s="308"/>
      <c r="N553" s="29" t="s">
        <v>119</v>
      </c>
      <c r="O553" s="120"/>
      <c r="P553" s="120"/>
      <c r="Q553" s="120"/>
      <c r="R553" s="29">
        <v>1</v>
      </c>
      <c r="S553" s="288" t="str">
        <f t="shared" si="311"/>
        <v/>
      </c>
      <c r="T553" s="288" t="str">
        <f t="shared" si="312"/>
        <v/>
      </c>
      <c r="U553" s="288" t="str">
        <f t="shared" si="313"/>
        <v/>
      </c>
      <c r="V553" s="29"/>
      <c r="W553" s="288" t="e">
        <f t="shared" si="314"/>
        <v>#N/A</v>
      </c>
      <c r="X553" s="288" t="e">
        <f t="shared" si="315"/>
        <v>#N/A</v>
      </c>
      <c r="Y553" s="288" t="e">
        <f t="shared" si="316"/>
        <v>#N/A</v>
      </c>
      <c r="AA553" s="138"/>
      <c r="AB553" s="138"/>
      <c r="AC553" s="138"/>
      <c r="AD553" s="138"/>
      <c r="AE553" s="138"/>
      <c r="AF553" s="138"/>
      <c r="AG553" s="138"/>
      <c r="AH553" s="138"/>
      <c r="AI553" s="138"/>
      <c r="AJ553" s="138"/>
      <c r="AK553" s="138"/>
      <c r="AL553" s="138"/>
      <c r="AM553" s="138"/>
      <c r="AN553" s="138"/>
      <c r="BR553" s="29"/>
      <c r="BS553" s="160" t="s">
        <v>15</v>
      </c>
      <c r="BT553" s="310" t="e">
        <f>SLOPE((DD550:DD598),($B$46:$B$94))</f>
        <v>#DIV/0!</v>
      </c>
      <c r="BU553" s="311" t="e">
        <f>INTERCEPT(DJ550:DJ598,DI550:DI598)</f>
        <v>#DIV/0!</v>
      </c>
      <c r="BV553" s="691" t="s">
        <v>71</v>
      </c>
      <c r="BY553" s="29"/>
      <c r="BZ553" s="160" t="s">
        <v>15</v>
      </c>
      <c r="CA553" s="310" t="e">
        <f ca="1">INDEX(LINEST((INDIRECT(DI547):INDIRECT(DJ547)),(INDIRECT(DI548):INDIRECT(DJ548))^{1,2}),1)</f>
        <v>#REF!</v>
      </c>
      <c r="CB553" s="312" t="e">
        <f ca="1">INDEX(LINEST((INDIRECT(DI547):INDIRECT(DJ547)),(INDIRECT(DI548):INDIRECT(DJ548))^{1,2}),1,2)</f>
        <v>#REF!</v>
      </c>
      <c r="CC553" s="311" t="e">
        <f ca="1">INDEX(LINEST((INDIRECT(DI547):INDIRECT(DJ547)),(INDIRECT(DI548):INDIRECT(DJ548))^{1,2}),1,3)</f>
        <v>#REF!</v>
      </c>
      <c r="CD553" s="691" t="s">
        <v>71</v>
      </c>
      <c r="CG553" s="29"/>
      <c r="CH553" s="160" t="s">
        <v>15</v>
      </c>
      <c r="CI553" s="310" t="e">
        <f ca="1">INDEX(LINEST((INDIRECT(DI547):INDIRECT(DJ547)),(INDIRECT(DI548):INDIRECT(DJ548))^{1,2,3}),1)</f>
        <v>#REF!</v>
      </c>
      <c r="CJ553" s="312" t="e">
        <f ca="1">INDEX(LINEST((INDIRECT(DI547):INDIRECT(DJ547)),(INDIRECT(DI548):INDIRECT(DJ548))^{1,2,3}),1,2)</f>
        <v>#REF!</v>
      </c>
      <c r="CK553" s="312" t="e">
        <f ca="1">INDEX(LINEST((INDIRECT(DI547):INDIRECT(DJ547)),(INDIRECT(DI548):INDIRECT(DJ548))^{1,2,3}),1,3)</f>
        <v>#REF!</v>
      </c>
      <c r="CL553" s="311" t="e">
        <f ca="1">INDEX(LINEST((INDIRECT(DI547):INDIRECT(DJ547)),(INDIRECT(DI548):INDIRECT(DJ548))^{1,2,3}),1,4)</f>
        <v>#REF!</v>
      </c>
      <c r="CM553" s="691" t="s">
        <v>71</v>
      </c>
      <c r="CP553" s="29"/>
      <c r="CQ553" s="160" t="s">
        <v>15</v>
      </c>
      <c r="CR553" s="310" t="e">
        <f ca="1">EXP(INDEX(LINEST(LN(INDIRECT(DI547):INDIRECT(DJ547)),(INDIRECT(DI548):INDIRECT(DJ548))),1,2))</f>
        <v>#REF!</v>
      </c>
      <c r="CS553" s="311" t="e">
        <f ca="1">INDEX(LINEST(LN(INDIRECT(DI547):INDIRECT(DJ547)),(INDIRECT(DI548):INDIRECT(DJ548))),1)</f>
        <v>#REF!</v>
      </c>
      <c r="CT553" s="691" t="s">
        <v>71</v>
      </c>
      <c r="CZ553" s="164" t="b">
        <f t="shared" si="317"/>
        <v>0</v>
      </c>
      <c r="DA553" s="165" t="b">
        <f t="shared" si="317"/>
        <v>0</v>
      </c>
      <c r="DB553" s="166" t="b">
        <f t="shared" si="317"/>
        <v>0</v>
      </c>
      <c r="DC553" s="164" t="str">
        <f t="shared" si="318"/>
        <v/>
      </c>
      <c r="DD553" s="166" t="str">
        <f t="shared" si="319"/>
        <v/>
      </c>
      <c r="DE553" s="164" t="str">
        <f t="shared" si="320"/>
        <v/>
      </c>
      <c r="DF553" s="166" t="str">
        <f t="shared" si="321"/>
        <v/>
      </c>
      <c r="DG553" s="164" t="str">
        <f t="shared" si="322"/>
        <v/>
      </c>
      <c r="DH553" s="166" t="str">
        <f t="shared" si="323"/>
        <v/>
      </c>
      <c r="DI553" s="164" t="str">
        <f>IFERROR(INDEX(DC$550:DC$598,_xlfn.AGGREGATE(15,6,(ROW(DC$550:DC$598)-ROW(DC$550)+1)/(DC$550:DC$598&lt;&gt;""),ROWS(DI$1:DI4))),"")</f>
        <v/>
      </c>
      <c r="DJ553" s="165" t="str">
        <f>IFERROR(INDEX(DD$550:DD$598,_xlfn.AGGREGATE(15,6,(ROW(DD$550:DD$598)-ROW(DD$550)+1)/(DD$550:DD$598&lt;&gt;""),ROWS(DJ$1:DJ4))),"")</f>
        <v/>
      </c>
      <c r="DK553" s="166" t="str">
        <f t="shared" si="324"/>
        <v/>
      </c>
      <c r="DL553" s="164" t="str">
        <f>IFERROR(INDEX(DE$550:DE$598,_xlfn.AGGREGATE(15,6,(ROW(DE$550:DE$598)-ROW(DE$550)+1)/(DE$550:DE$598&lt;&gt;""),ROWS(DL$1:DL4))),"")</f>
        <v/>
      </c>
      <c r="DM553" s="165" t="str">
        <f>IFERROR(INDEX(DF$550:DF$598,_xlfn.AGGREGATE(15,6,(ROW(DF$550:DF$598)-ROW(DF$550)+1)/(DF$550:DF$598&lt;&gt;""),ROWS(DM$1:DM4))),"")</f>
        <v/>
      </c>
      <c r="DN553" s="166" t="str">
        <f t="shared" si="325"/>
        <v/>
      </c>
      <c r="DO553" s="164" t="str">
        <f>IFERROR(INDEX(DG$550:DG$598,_xlfn.AGGREGATE(15,6,(ROW(DG$550:DG$598)-ROW(DG$550)+1)/(DG$550:DG$598&lt;&gt;""),ROWS(DO$1:DO4))),"")</f>
        <v/>
      </c>
      <c r="DP553" s="165" t="str">
        <f>IFERROR(INDEX(DH$550:DH$598,_xlfn.AGGREGATE(15,6,(ROW(DH$550:DH$598)-ROW(DH$550)+1)/(DH$550:DH$598&lt;&gt;""),ROWS(DP$1:DP4))),"")</f>
        <v/>
      </c>
      <c r="DQ553" s="166" t="str">
        <f t="shared" si="326"/>
        <v/>
      </c>
      <c r="DV553" s="145">
        <v>2018</v>
      </c>
      <c r="DW553" s="235" t="e">
        <f t="shared" ca="1" si="310"/>
        <v>#REF!</v>
      </c>
      <c r="EA553" s="33" t="s">
        <v>85</v>
      </c>
      <c r="EB553" s="33" t="s">
        <v>84</v>
      </c>
      <c r="EC553" s="33" t="s">
        <v>82</v>
      </c>
      <c r="ED553" s="33" t="s">
        <v>83</v>
      </c>
      <c r="EE553" s="33"/>
    </row>
    <row r="554" spans="1:135" ht="13.8" x14ac:dyDescent="0.45">
      <c r="A554" s="148" t="s">
        <v>88</v>
      </c>
      <c r="B554" s="128">
        <v>2016</v>
      </c>
      <c r="C554" s="977"/>
      <c r="D554" s="977"/>
      <c r="E554" s="308"/>
      <c r="F554" s="1095"/>
      <c r="G554" s="307"/>
      <c r="H554" s="308"/>
      <c r="I554" s="1152"/>
      <c r="J554" s="307"/>
      <c r="K554" s="308"/>
      <c r="L554" s="309"/>
      <c r="M554" s="308"/>
      <c r="N554" s="29" t="s">
        <v>119</v>
      </c>
      <c r="O554" s="120"/>
      <c r="P554" s="120"/>
      <c r="Q554" s="120"/>
      <c r="R554" s="29">
        <v>2</v>
      </c>
      <c r="S554" s="288" t="str">
        <f t="shared" si="311"/>
        <v/>
      </c>
      <c r="T554" s="288" t="str">
        <f t="shared" si="312"/>
        <v/>
      </c>
      <c r="U554" s="288" t="str">
        <f t="shared" si="313"/>
        <v/>
      </c>
      <c r="V554" s="29"/>
      <c r="W554" s="288" t="e">
        <f t="shared" si="314"/>
        <v>#N/A</v>
      </c>
      <c r="X554" s="288" t="e">
        <f t="shared" si="315"/>
        <v>#N/A</v>
      </c>
      <c r="Y554" s="288" t="e">
        <f t="shared" si="316"/>
        <v>#N/A</v>
      </c>
      <c r="AA554" s="138"/>
      <c r="AB554" s="138"/>
      <c r="AC554" s="138"/>
      <c r="AD554" s="138"/>
      <c r="AE554" s="138"/>
      <c r="AF554" s="138"/>
      <c r="AG554" s="138"/>
      <c r="AH554" s="138"/>
      <c r="AI554" s="138"/>
      <c r="AJ554" s="138"/>
      <c r="AK554" s="138"/>
      <c r="AL554" s="138"/>
      <c r="AM554" s="138"/>
      <c r="AN554" s="138"/>
      <c r="BR554" s="180">
        <v>2014</v>
      </c>
      <c r="BS554" s="22">
        <v>0</v>
      </c>
      <c r="BT554" s="181" t="e">
        <f t="shared" ref="BT554:BT600" si="327">IF($BS$550="High",BS554*$BT$551,IF($BS$550="Medium",$BT$552*BS554,IF($BS$550="Low",$BT$553*BS554)))</f>
        <v>#DIV/0!</v>
      </c>
      <c r="BU554" s="182" t="e">
        <f t="shared" ref="BU554:BU600" si="328">IF($BS$550="High",$BU$551,IF($BS$550="Medium",$BU$552,IF($BS$550="Low",BU553)))</f>
        <v>#DIV/0!</v>
      </c>
      <c r="BV554" s="242" t="e">
        <f t="shared" ref="BV554:BV600" si="329">BT554+BU554</f>
        <v>#DIV/0!</v>
      </c>
      <c r="BY554" s="180">
        <v>2014</v>
      </c>
      <c r="BZ554" s="22">
        <v>0</v>
      </c>
      <c r="CA554" s="181" t="e">
        <f t="shared" ref="CA554:CA600" ca="1" si="330">IF($BZ$550="High",BZ554^2*$CA$551,IF($BZ$550="Medium",BZ554^2*$CA$552,IF($BZ$550="Low",BZ554^2*$CA$553)))</f>
        <v>#REF!</v>
      </c>
      <c r="CB554" s="181" t="e">
        <f t="shared" ref="CB554:CB600" ca="1" si="331">IF($BZ$550="High",BZ554*$CB$551,IF($BZ$550="Medium",BZ554*$CB$552,IF($BZ$550="Low",BZ554*$CB$553)))</f>
        <v>#REF!</v>
      </c>
      <c r="CC554" s="182" t="e">
        <f ca="1">IF($BZ$550="High",$CC$551,IF($BZ$550="Medium",$CC$552,IF($BZ$550="Low",$CC$553)))</f>
        <v>#REF!</v>
      </c>
      <c r="CD554" s="242" t="e">
        <f t="shared" ref="CD554:CD600" ca="1" si="332">CA554+CB554+CC554</f>
        <v>#REF!</v>
      </c>
      <c r="CG554" s="180">
        <v>2014</v>
      </c>
      <c r="CH554" s="22">
        <v>0</v>
      </c>
      <c r="CI554" s="181" t="e">
        <f t="shared" ref="CI554:CI600" ca="1" si="333">IF($CH$550="High",CH554^3*$CI$551,IF($CH$550="Medium",CH554^3*$CI$552,IF($CH$550="Low",CH554^3*$CI$553)))</f>
        <v>#REF!</v>
      </c>
      <c r="CJ554" s="181" t="e">
        <f t="shared" ref="CJ554:CJ600" ca="1" si="334">IF($CH$550="High",CH554^2*$CJ$551,IF($CH$550="Medium",CH554^2*$CJ$552,IF($CH$550="Low",CH554^2*$CJ$553)))</f>
        <v>#REF!</v>
      </c>
      <c r="CK554" s="181" t="e">
        <f t="shared" ref="CK554:CK600" ca="1" si="335">IF($CH$550="High",CH554*$CK$551,IF($CH$550="Medium",CH554*$CK$552,IF($CH$550="Low",CH554*$CK$553)))</f>
        <v>#REF!</v>
      </c>
      <c r="CL554" s="182" t="e">
        <f t="shared" ref="CL554:CL600" ca="1" si="336">IF($CH$550="High",$CL$551,IF($CH$550="Medium",$CL$552,IF($CH$550="Low",$CL$553)))</f>
        <v>#REF!</v>
      </c>
      <c r="CM554" s="242" t="e">
        <f t="shared" ref="CM554:CM600" ca="1" si="337">CI554+CJ554+CK554+CL554</f>
        <v>#REF!</v>
      </c>
      <c r="CP554" s="180">
        <v>2014</v>
      </c>
      <c r="CQ554" s="22">
        <v>0</v>
      </c>
      <c r="CR554" s="181" t="e">
        <f t="shared" ref="CR554:CR600" ca="1" si="338">IF($CQ$550="High",$CR$551,IF($CQ$550="Medium",$CR$552,IF($CQ$550="Low",$CR$553)))</f>
        <v>#REF!</v>
      </c>
      <c r="CS554" s="182" t="e">
        <f t="shared" ref="CS554:CS600" ca="1" si="339">IF($CQ$550="High",EXP(1)^($CS$551*CQ554),IF($CQ$550="Medium",EXP(1)^($CS$552*CQ554),IF($CQ$550="Low",EXP(1)^($CS$553*CQ554))))</f>
        <v>#REF!</v>
      </c>
      <c r="CT554" s="242" t="e">
        <f t="shared" ref="CT554:CT600" ca="1" si="340">(CR554*CS554)</f>
        <v>#REF!</v>
      </c>
      <c r="CZ554" s="164" t="b">
        <f t="shared" si="317"/>
        <v>0</v>
      </c>
      <c r="DA554" s="165" t="b">
        <f t="shared" si="317"/>
        <v>0</v>
      </c>
      <c r="DB554" s="166" t="b">
        <f t="shared" si="317"/>
        <v>0</v>
      </c>
      <c r="DC554" s="164" t="str">
        <f t="shared" si="318"/>
        <v/>
      </c>
      <c r="DD554" s="166" t="str">
        <f t="shared" si="319"/>
        <v/>
      </c>
      <c r="DE554" s="164" t="str">
        <f t="shared" si="320"/>
        <v/>
      </c>
      <c r="DF554" s="166" t="str">
        <f t="shared" si="321"/>
        <v/>
      </c>
      <c r="DG554" s="164" t="str">
        <f t="shared" si="322"/>
        <v/>
      </c>
      <c r="DH554" s="166" t="str">
        <f t="shared" si="323"/>
        <v/>
      </c>
      <c r="DI554" s="164" t="str">
        <f>IFERROR(INDEX(DC$550:DC$598,_xlfn.AGGREGATE(15,6,(ROW(DC$550:DC$598)-ROW(DC$550)+1)/(DC$550:DC$598&lt;&gt;""),ROWS(DI$1:DI5))),"")</f>
        <v/>
      </c>
      <c r="DJ554" s="165" t="str">
        <f>IFERROR(INDEX(DD$550:DD$598,_xlfn.AGGREGATE(15,6,(ROW(DD$550:DD$598)-ROW(DD$550)+1)/(DD$550:DD$598&lt;&gt;""),ROWS(DJ$1:DJ5))),"")</f>
        <v/>
      </c>
      <c r="DK554" s="166" t="str">
        <f t="shared" si="324"/>
        <v/>
      </c>
      <c r="DL554" s="164" t="str">
        <f>IFERROR(INDEX(DE$550:DE$598,_xlfn.AGGREGATE(15,6,(ROW(DE$550:DE$598)-ROW(DE$550)+1)/(DE$550:DE$598&lt;&gt;""),ROWS(DL$1:DL5))),"")</f>
        <v/>
      </c>
      <c r="DM554" s="165" t="str">
        <f>IFERROR(INDEX(DF$550:DF$598,_xlfn.AGGREGATE(15,6,(ROW(DF$550:DF$598)-ROW(DF$550)+1)/(DF$550:DF$598&lt;&gt;""),ROWS(DM$1:DM5))),"")</f>
        <v/>
      </c>
      <c r="DN554" s="166" t="str">
        <f t="shared" si="325"/>
        <v/>
      </c>
      <c r="DO554" s="164" t="str">
        <f>IFERROR(INDEX(DG$550:DG$598,_xlfn.AGGREGATE(15,6,(ROW(DG$550:DG$598)-ROW(DG$550)+1)/(DG$550:DG$598&lt;&gt;""),ROWS(DO$1:DO5))),"")</f>
        <v/>
      </c>
      <c r="DP554" s="165" t="str">
        <f>IFERROR(INDEX(DH$550:DH$598,_xlfn.AGGREGATE(15,6,(ROW(DH$550:DH$598)-ROW(DH$550)+1)/(DH$550:DH$598&lt;&gt;""),ROWS(DP$1:DP5))),"")</f>
        <v/>
      </c>
      <c r="DQ554" s="166" t="str">
        <f t="shared" si="326"/>
        <v/>
      </c>
      <c r="DV554" s="145">
        <v>2019</v>
      </c>
      <c r="DW554" s="235" t="e">
        <f t="shared" ca="1" si="310"/>
        <v>#REF!</v>
      </c>
      <c r="DZ554" s="135" t="s">
        <v>92</v>
      </c>
      <c r="EA554" s="33" t="e">
        <f ca="1">IF($EA$548="Linear",0,IF($EA$548="2nd Poly",0,IF($EA$548="3rd Poly",CI551,IF($EA$548="Exp",0))))</f>
        <v>#REF!</v>
      </c>
      <c r="EB554" s="33" t="e">
        <f ca="1">IF($EA$548="Linear",0,IF($EA$548="2nd Poly",CA551,IF($EA$548="3rd Poly",CJ551,IF($EA$548="Exp",0))))</f>
        <v>#REF!</v>
      </c>
      <c r="EC554" s="33" t="e">
        <f t="shared" ref="EC554:ED556" ca="1" si="341">IF($EA$548="Linear",BT551,IF($EA$548="2nd Poly",CB551,IF($EA$548="3rd Poly",CK551,IF($EA$548="Exp",0))))</f>
        <v>#REF!</v>
      </c>
      <c r="ED554" s="33" t="e">
        <f t="shared" ca="1" si="341"/>
        <v>#REF!</v>
      </c>
      <c r="EE554" s="33" t="str">
        <f>IF($EA$548="Linear","High",IF($EA$548="2nd Poly","High",IF($EA$548="3rd Poly","High","N/A")))</f>
        <v>High</v>
      </c>
    </row>
    <row r="555" spans="1:135" ht="13.8" x14ac:dyDescent="0.45">
      <c r="A555" s="262" t="s">
        <v>90</v>
      </c>
      <c r="B555" s="128">
        <v>2017</v>
      </c>
      <c r="C555" s="957"/>
      <c r="D555" s="947"/>
      <c r="E555" s="308"/>
      <c r="F555" s="958"/>
      <c r="G555" s="307"/>
      <c r="H555" s="308"/>
      <c r="I555" s="1110"/>
      <c r="J555" s="168"/>
      <c r="K555" s="169"/>
      <c r="L555" s="170"/>
      <c r="M555" s="169"/>
      <c r="N555" s="29" t="s">
        <v>119</v>
      </c>
      <c r="O555" s="120"/>
      <c r="P555" s="120"/>
      <c r="Q555" s="120"/>
      <c r="R555" s="29">
        <v>3</v>
      </c>
      <c r="S555" s="288" t="str">
        <f t="shared" si="311"/>
        <v/>
      </c>
      <c r="T555" s="288" t="str">
        <f t="shared" si="312"/>
        <v/>
      </c>
      <c r="U555" s="288" t="str">
        <f t="shared" si="313"/>
        <v/>
      </c>
      <c r="V555" s="29"/>
      <c r="W555" s="288" t="e">
        <f t="shared" si="314"/>
        <v>#N/A</v>
      </c>
      <c r="X555" s="288" t="e">
        <f t="shared" si="315"/>
        <v>#N/A</v>
      </c>
      <c r="Y555" s="288" t="e">
        <f t="shared" si="316"/>
        <v>#N/A</v>
      </c>
      <c r="AA555" s="138"/>
      <c r="AB555" s="138"/>
      <c r="AC555" s="138"/>
      <c r="AD555" s="138"/>
      <c r="AE555" s="138"/>
      <c r="AF555" s="138"/>
      <c r="AG555" s="138"/>
      <c r="AH555" s="138"/>
      <c r="AI555" s="138"/>
      <c r="AJ555" s="138"/>
      <c r="AK555" s="138"/>
      <c r="AL555" s="138"/>
      <c r="AM555" s="138"/>
      <c r="AN555" s="138"/>
      <c r="BR555" s="180">
        <v>2015</v>
      </c>
      <c r="BS555" s="22">
        <v>1</v>
      </c>
      <c r="BT555" s="289" t="e">
        <f t="shared" si="327"/>
        <v>#DIV/0!</v>
      </c>
      <c r="BU555" s="290" t="e">
        <f t="shared" si="328"/>
        <v>#DIV/0!</v>
      </c>
      <c r="BV555" s="299" t="e">
        <f t="shared" si="329"/>
        <v>#DIV/0!</v>
      </c>
      <c r="BY555" s="180">
        <v>2015</v>
      </c>
      <c r="BZ555" s="22">
        <v>1</v>
      </c>
      <c r="CA555" s="289" t="e">
        <f t="shared" ca="1" si="330"/>
        <v>#REF!</v>
      </c>
      <c r="CB555" s="289" t="e">
        <f t="shared" ca="1" si="331"/>
        <v>#REF!</v>
      </c>
      <c r="CC555" s="290" t="e">
        <f t="shared" ref="CC555:CC600" ca="1" si="342">CC554</f>
        <v>#REF!</v>
      </c>
      <c r="CD555" s="299" t="e">
        <f t="shared" ca="1" si="332"/>
        <v>#REF!</v>
      </c>
      <c r="CG555" s="180">
        <v>2015</v>
      </c>
      <c r="CH555" s="22">
        <v>1</v>
      </c>
      <c r="CI555" s="289" t="e">
        <f t="shared" ca="1" si="333"/>
        <v>#REF!</v>
      </c>
      <c r="CJ555" s="289" t="e">
        <f t="shared" ca="1" si="334"/>
        <v>#REF!</v>
      </c>
      <c r="CK555" s="289" t="e">
        <f t="shared" ca="1" si="335"/>
        <v>#REF!</v>
      </c>
      <c r="CL555" s="290" t="e">
        <f t="shared" ca="1" si="336"/>
        <v>#REF!</v>
      </c>
      <c r="CM555" s="299" t="e">
        <f t="shared" ca="1" si="337"/>
        <v>#REF!</v>
      </c>
      <c r="CP555" s="180">
        <v>2015</v>
      </c>
      <c r="CQ555" s="22">
        <v>1</v>
      </c>
      <c r="CR555" s="289" t="e">
        <f t="shared" ca="1" si="338"/>
        <v>#REF!</v>
      </c>
      <c r="CS555" s="290" t="e">
        <f t="shared" ca="1" si="339"/>
        <v>#REF!</v>
      </c>
      <c r="CT555" s="299" t="e">
        <f t="shared" ca="1" si="340"/>
        <v>#REF!</v>
      </c>
      <c r="CZ555" s="164" t="b">
        <f t="shared" si="317"/>
        <v>0</v>
      </c>
      <c r="DA555" s="165" t="b">
        <f t="shared" si="317"/>
        <v>0</v>
      </c>
      <c r="DB555" s="166" t="b">
        <f t="shared" si="317"/>
        <v>0</v>
      </c>
      <c r="DC555" s="164" t="str">
        <f t="shared" si="318"/>
        <v/>
      </c>
      <c r="DD555" s="166" t="str">
        <f t="shared" si="319"/>
        <v/>
      </c>
      <c r="DE555" s="164" t="str">
        <f t="shared" si="320"/>
        <v/>
      </c>
      <c r="DF555" s="166" t="str">
        <f t="shared" si="321"/>
        <v/>
      </c>
      <c r="DG555" s="164" t="str">
        <f t="shared" si="322"/>
        <v/>
      </c>
      <c r="DH555" s="166" t="str">
        <f t="shared" si="323"/>
        <v/>
      </c>
      <c r="DI555" s="164" t="str">
        <f>IFERROR(INDEX(DC$550:DC$598,_xlfn.AGGREGATE(15,6,(ROW(DC$550:DC$598)-ROW(DC$550)+1)/(DC$550:DC$598&lt;&gt;""),ROWS(DI$1:DI6))),"")</f>
        <v/>
      </c>
      <c r="DJ555" s="165" t="str">
        <f>IFERROR(INDEX(DD$550:DD$598,_xlfn.AGGREGATE(15,6,(ROW(DD$550:DD$598)-ROW(DD$550)+1)/(DD$550:DD$598&lt;&gt;""),ROWS(DJ$1:DJ6))),"")</f>
        <v/>
      </c>
      <c r="DK555" s="166" t="str">
        <f t="shared" si="324"/>
        <v/>
      </c>
      <c r="DL555" s="164" t="str">
        <f>IFERROR(INDEX(DE$550:DE$598,_xlfn.AGGREGATE(15,6,(ROW(DE$550:DE$598)-ROW(DE$550)+1)/(DE$550:DE$598&lt;&gt;""),ROWS(DL$1:DL6))),"")</f>
        <v/>
      </c>
      <c r="DM555" s="165" t="str">
        <f>IFERROR(INDEX(DF$550:DF$598,_xlfn.AGGREGATE(15,6,(ROW(DF$550:DF$598)-ROW(DF$550)+1)/(DF$550:DF$598&lt;&gt;""),ROWS(DM$1:DM6))),"")</f>
        <v/>
      </c>
      <c r="DN555" s="166" t="str">
        <f t="shared" si="325"/>
        <v/>
      </c>
      <c r="DO555" s="164" t="str">
        <f>IFERROR(INDEX(DG$550:DG$598,_xlfn.AGGREGATE(15,6,(ROW(DG$550:DG$598)-ROW(DG$550)+1)/(DG$550:DG$598&lt;&gt;""),ROWS(DO$1:DO6))),"")</f>
        <v/>
      </c>
      <c r="DP555" s="165" t="str">
        <f>IFERROR(INDEX(DH$550:DH$598,_xlfn.AGGREGATE(15,6,(ROW(DH$550:DH$598)-ROW(DH$550)+1)/(DH$550:DH$598&lt;&gt;""),ROWS(DP$1:DP6))),"")</f>
        <v/>
      </c>
      <c r="DQ555" s="166" t="str">
        <f t="shared" si="326"/>
        <v/>
      </c>
      <c r="DV555" s="145">
        <v>2020</v>
      </c>
      <c r="DW555" s="235" t="e">
        <f t="shared" ca="1" si="310"/>
        <v>#REF!</v>
      </c>
      <c r="DZ555" s="135" t="s">
        <v>92</v>
      </c>
      <c r="EA555" s="33" t="e">
        <f ca="1">IF($EA$548="Linear",0,IF($EA$548="2nd Poly",0,IF($EA$548="3rd Poly",CI552,IF($EA$548="Exp",0))))</f>
        <v>#REF!</v>
      </c>
      <c r="EB555" s="33" t="e">
        <f ca="1">IF($EA$548="Linear",0,IF($EA$548="2nd Poly",CA552,IF($EA$548="3rd Poly",CJ552,IF($EA$548="Exp",0))))</f>
        <v>#REF!</v>
      </c>
      <c r="EC555" s="33" t="e">
        <f t="shared" ca="1" si="341"/>
        <v>#REF!</v>
      </c>
      <c r="ED555" s="33" t="e">
        <f t="shared" ca="1" si="341"/>
        <v>#REF!</v>
      </c>
      <c r="EE555" s="33" t="str">
        <f>IF($EA$548="Linear","Medium",IF($EA$548="2nd Poly","Medium",IF($EA$548="3rd Poly","Medium","N/A")))</f>
        <v>Medium</v>
      </c>
    </row>
    <row r="556" spans="1:135" ht="13.8" x14ac:dyDescent="0.45">
      <c r="A556" s="948" t="s">
        <v>116</v>
      </c>
      <c r="B556" s="128">
        <v>2018</v>
      </c>
      <c r="C556" s="957"/>
      <c r="D556" s="947"/>
      <c r="E556" s="308"/>
      <c r="F556" s="958"/>
      <c r="G556" s="307"/>
      <c r="H556" s="308"/>
      <c r="I556" s="1110"/>
      <c r="J556" s="307"/>
      <c r="K556" s="308"/>
      <c r="L556" s="309"/>
      <c r="M556" s="308"/>
      <c r="N556" s="29" t="s">
        <v>119</v>
      </c>
      <c r="O556" s="120"/>
      <c r="P556" s="120"/>
      <c r="Q556" s="120"/>
      <c r="R556" s="29">
        <v>4</v>
      </c>
      <c r="S556" s="288" t="str">
        <f t="shared" si="311"/>
        <v/>
      </c>
      <c r="T556" s="288" t="str">
        <f t="shared" si="312"/>
        <v/>
      </c>
      <c r="U556" s="288" t="str">
        <f t="shared" si="313"/>
        <v/>
      </c>
      <c r="V556" s="20"/>
      <c r="W556" s="288" t="e">
        <f t="shared" si="314"/>
        <v>#N/A</v>
      </c>
      <c r="X556" s="288" t="e">
        <f t="shared" si="315"/>
        <v>#N/A</v>
      </c>
      <c r="Y556" s="288" t="e">
        <f t="shared" si="316"/>
        <v>#N/A</v>
      </c>
      <c r="AA556" s="138"/>
      <c r="AB556" s="138"/>
      <c r="AC556" s="138"/>
      <c r="AD556" s="138"/>
      <c r="AE556" s="138"/>
      <c r="AF556" s="138"/>
      <c r="AG556" s="138"/>
      <c r="AH556" s="138"/>
      <c r="AI556" s="138"/>
      <c r="AJ556" s="138"/>
      <c r="AK556" s="138"/>
      <c r="AL556" s="138"/>
      <c r="AM556" s="138"/>
      <c r="AN556" s="138"/>
      <c r="BR556" s="180">
        <v>2016</v>
      </c>
      <c r="BS556" s="22">
        <v>2</v>
      </c>
      <c r="BT556" s="289" t="e">
        <f t="shared" si="327"/>
        <v>#DIV/0!</v>
      </c>
      <c r="BU556" s="290" t="e">
        <f t="shared" si="328"/>
        <v>#DIV/0!</v>
      </c>
      <c r="BV556" s="299" t="e">
        <f t="shared" si="329"/>
        <v>#DIV/0!</v>
      </c>
      <c r="BY556" s="180">
        <v>2016</v>
      </c>
      <c r="BZ556" s="22">
        <v>2</v>
      </c>
      <c r="CA556" s="289" t="e">
        <f t="shared" ca="1" si="330"/>
        <v>#REF!</v>
      </c>
      <c r="CB556" s="289" t="e">
        <f t="shared" ca="1" si="331"/>
        <v>#REF!</v>
      </c>
      <c r="CC556" s="290" t="e">
        <f t="shared" ca="1" si="342"/>
        <v>#REF!</v>
      </c>
      <c r="CD556" s="299" t="e">
        <f t="shared" ca="1" si="332"/>
        <v>#REF!</v>
      </c>
      <c r="CG556" s="180">
        <v>2016</v>
      </c>
      <c r="CH556" s="22">
        <v>2</v>
      </c>
      <c r="CI556" s="289" t="e">
        <f t="shared" ca="1" si="333"/>
        <v>#REF!</v>
      </c>
      <c r="CJ556" s="289" t="e">
        <f t="shared" ca="1" si="334"/>
        <v>#REF!</v>
      </c>
      <c r="CK556" s="289" t="e">
        <f t="shared" ca="1" si="335"/>
        <v>#REF!</v>
      </c>
      <c r="CL556" s="290" t="e">
        <f t="shared" ca="1" si="336"/>
        <v>#REF!</v>
      </c>
      <c r="CM556" s="299" t="e">
        <f t="shared" ca="1" si="337"/>
        <v>#REF!</v>
      </c>
      <c r="CP556" s="180">
        <v>2016</v>
      </c>
      <c r="CQ556" s="22">
        <v>2</v>
      </c>
      <c r="CR556" s="289" t="e">
        <f t="shared" ca="1" si="338"/>
        <v>#REF!</v>
      </c>
      <c r="CS556" s="290" t="e">
        <f t="shared" ca="1" si="339"/>
        <v>#REF!</v>
      </c>
      <c r="CT556" s="299" t="e">
        <f t="shared" ca="1" si="340"/>
        <v>#REF!</v>
      </c>
      <c r="CZ556" s="164" t="b">
        <f t="shared" si="317"/>
        <v>0</v>
      </c>
      <c r="DA556" s="165" t="b">
        <f t="shared" si="317"/>
        <v>0</v>
      </c>
      <c r="DB556" s="166" t="b">
        <f t="shared" si="317"/>
        <v>0</v>
      </c>
      <c r="DC556" s="164" t="str">
        <f t="shared" si="318"/>
        <v/>
      </c>
      <c r="DD556" s="166" t="str">
        <f t="shared" si="319"/>
        <v/>
      </c>
      <c r="DE556" s="164" t="str">
        <f t="shared" si="320"/>
        <v/>
      </c>
      <c r="DF556" s="166" t="str">
        <f t="shared" si="321"/>
        <v/>
      </c>
      <c r="DG556" s="164" t="str">
        <f t="shared" si="322"/>
        <v/>
      </c>
      <c r="DH556" s="166" t="str">
        <f t="shared" si="323"/>
        <v/>
      </c>
      <c r="DI556" s="164" t="str">
        <f>IFERROR(INDEX(DC$550:DC$598,_xlfn.AGGREGATE(15,6,(ROW(DC$550:DC$598)-ROW(DC$550)+1)/(DC$550:DC$598&lt;&gt;""),ROWS(DI$1:DI7))),"")</f>
        <v/>
      </c>
      <c r="DJ556" s="165" t="str">
        <f>IFERROR(INDEX(DD$550:DD$598,_xlfn.AGGREGATE(15,6,(ROW(DD$550:DD$598)-ROW(DD$550)+1)/(DD$550:DD$598&lt;&gt;""),ROWS(DJ$1:DJ7))),"")</f>
        <v/>
      </c>
      <c r="DK556" s="166" t="str">
        <f t="shared" si="324"/>
        <v/>
      </c>
      <c r="DL556" s="164" t="str">
        <f>IFERROR(INDEX(DE$550:DE$598,_xlfn.AGGREGATE(15,6,(ROW(DE$550:DE$598)-ROW(DE$550)+1)/(DE$550:DE$598&lt;&gt;""),ROWS(DL$1:DL7))),"")</f>
        <v/>
      </c>
      <c r="DM556" s="165" t="str">
        <f>IFERROR(INDEX(DF$550:DF$598,_xlfn.AGGREGATE(15,6,(ROW(DF$550:DF$598)-ROW(DF$550)+1)/(DF$550:DF$598&lt;&gt;""),ROWS(DM$1:DM7))),"")</f>
        <v/>
      </c>
      <c r="DN556" s="166" t="str">
        <f t="shared" si="325"/>
        <v/>
      </c>
      <c r="DO556" s="164" t="str">
        <f>IFERROR(INDEX(DG$550:DG$598,_xlfn.AGGREGATE(15,6,(ROW(DG$550:DG$598)-ROW(DG$550)+1)/(DG$550:DG$598&lt;&gt;""),ROWS(DO$1:DO7))),"")</f>
        <v/>
      </c>
      <c r="DP556" s="165" t="str">
        <f>IFERROR(INDEX(DH$550:DH$598,_xlfn.AGGREGATE(15,6,(ROW(DH$550:DH$598)-ROW(DH$550)+1)/(DH$550:DH$598&lt;&gt;""),ROWS(DP$1:DP7))),"")</f>
        <v/>
      </c>
      <c r="DQ556" s="166" t="str">
        <f t="shared" si="326"/>
        <v/>
      </c>
      <c r="DV556" s="145">
        <v>2021</v>
      </c>
      <c r="DW556" s="235" t="e">
        <f t="shared" ca="1" si="310"/>
        <v>#REF!</v>
      </c>
      <c r="DZ556" s="135" t="s">
        <v>92</v>
      </c>
      <c r="EA556" s="33" t="e">
        <f ca="1">IF($EA$548="Linear",0,IF($EA$548="2nd Poly",0,IF($EA$548="3rd Poly",CI553,IF($EA$548="Exp",0))))</f>
        <v>#REF!</v>
      </c>
      <c r="EB556" s="33" t="e">
        <f ca="1">IF($EA$548="Linear",0,IF($EA$548="2nd Poly",CA553,IF($EA$548="3rd Poly",CJ553,IF($EA$548="Exp",0))))</f>
        <v>#REF!</v>
      </c>
      <c r="EC556" s="33" t="e">
        <f t="shared" ca="1" si="341"/>
        <v>#REF!</v>
      </c>
      <c r="ED556" s="33" t="e">
        <f t="shared" ca="1" si="341"/>
        <v>#REF!</v>
      </c>
      <c r="EE556" s="33" t="str">
        <f>IF($EA$548="Linear","Low",IF($EA$548="2nd Poly","Low",IF($EA$548="3rd Poly","Low","N/A")))</f>
        <v>Low</v>
      </c>
    </row>
    <row r="557" spans="1:135" ht="13.8" x14ac:dyDescent="0.45">
      <c r="A557" s="148" t="s">
        <v>88</v>
      </c>
      <c r="B557" s="128">
        <v>2019</v>
      </c>
      <c r="C557" s="957"/>
      <c r="D557" s="947"/>
      <c r="E557" s="308"/>
      <c r="F557" s="958"/>
      <c r="G557" s="307"/>
      <c r="H557" s="308"/>
      <c r="I557" s="1110"/>
      <c r="J557" s="307"/>
      <c r="K557" s="308"/>
      <c r="L557" s="309"/>
      <c r="M557" s="308"/>
      <c r="N557" s="29" t="s">
        <v>119</v>
      </c>
      <c r="O557" s="120"/>
      <c r="P557" s="120"/>
      <c r="Q557" s="120"/>
      <c r="R557" s="29">
        <v>5</v>
      </c>
      <c r="S557" s="288" t="str">
        <f t="shared" si="311"/>
        <v/>
      </c>
      <c r="T557" s="288" t="str">
        <f t="shared" si="312"/>
        <v/>
      </c>
      <c r="U557" s="288" t="str">
        <f t="shared" si="313"/>
        <v/>
      </c>
      <c r="V557" s="20"/>
      <c r="W557" s="288" t="e">
        <f t="shared" si="314"/>
        <v>#N/A</v>
      </c>
      <c r="X557" s="288" t="e">
        <f t="shared" si="315"/>
        <v>#N/A</v>
      </c>
      <c r="Y557" s="288" t="e">
        <f t="shared" si="316"/>
        <v>#N/A</v>
      </c>
      <c r="AA557" s="138"/>
      <c r="AB557" s="138"/>
      <c r="AC557" s="138"/>
      <c r="AD557" s="138"/>
      <c r="AE557" s="138"/>
      <c r="AF557" s="138"/>
      <c r="AG557" s="138"/>
      <c r="AH557" s="138"/>
      <c r="AI557" s="138"/>
      <c r="AJ557" s="138"/>
      <c r="AK557" s="138"/>
      <c r="AL557" s="138"/>
      <c r="AM557" s="138"/>
      <c r="AN557" s="138"/>
      <c r="BR557" s="180">
        <v>2017</v>
      </c>
      <c r="BS557" s="22">
        <v>3</v>
      </c>
      <c r="BT557" s="289" t="e">
        <f t="shared" si="327"/>
        <v>#DIV/0!</v>
      </c>
      <c r="BU557" s="290" t="e">
        <f t="shared" si="328"/>
        <v>#DIV/0!</v>
      </c>
      <c r="BV557" s="299" t="e">
        <f t="shared" si="329"/>
        <v>#DIV/0!</v>
      </c>
      <c r="BY557" s="180">
        <v>2017</v>
      </c>
      <c r="BZ557" s="22">
        <v>3</v>
      </c>
      <c r="CA557" s="289" t="e">
        <f t="shared" ca="1" si="330"/>
        <v>#REF!</v>
      </c>
      <c r="CB557" s="289" t="e">
        <f t="shared" ca="1" si="331"/>
        <v>#REF!</v>
      </c>
      <c r="CC557" s="290" t="e">
        <f t="shared" ca="1" si="342"/>
        <v>#REF!</v>
      </c>
      <c r="CD557" s="299" t="e">
        <f t="shared" ca="1" si="332"/>
        <v>#REF!</v>
      </c>
      <c r="CG557" s="180">
        <v>2017</v>
      </c>
      <c r="CH557" s="22">
        <v>3</v>
      </c>
      <c r="CI557" s="289" t="e">
        <f t="shared" ca="1" si="333"/>
        <v>#REF!</v>
      </c>
      <c r="CJ557" s="289" t="e">
        <f t="shared" ca="1" si="334"/>
        <v>#REF!</v>
      </c>
      <c r="CK557" s="289" t="e">
        <f t="shared" ca="1" si="335"/>
        <v>#REF!</v>
      </c>
      <c r="CL557" s="290" t="e">
        <f t="shared" ca="1" si="336"/>
        <v>#REF!</v>
      </c>
      <c r="CM557" s="299" t="e">
        <f t="shared" ca="1" si="337"/>
        <v>#REF!</v>
      </c>
      <c r="CP557" s="180">
        <v>2017</v>
      </c>
      <c r="CQ557" s="22">
        <v>3</v>
      </c>
      <c r="CR557" s="289" t="e">
        <f t="shared" ca="1" si="338"/>
        <v>#REF!</v>
      </c>
      <c r="CS557" s="290" t="e">
        <f t="shared" ca="1" si="339"/>
        <v>#REF!</v>
      </c>
      <c r="CT557" s="299" t="e">
        <f t="shared" ca="1" si="340"/>
        <v>#REF!</v>
      </c>
      <c r="CZ557" s="164" t="b">
        <f t="shared" si="317"/>
        <v>0</v>
      </c>
      <c r="DA557" s="165" t="b">
        <f t="shared" si="317"/>
        <v>0</v>
      </c>
      <c r="DB557" s="166" t="b">
        <f t="shared" si="317"/>
        <v>0</v>
      </c>
      <c r="DC557" s="164" t="str">
        <f t="shared" si="318"/>
        <v/>
      </c>
      <c r="DD557" s="166" t="str">
        <f t="shared" si="319"/>
        <v/>
      </c>
      <c r="DE557" s="164" t="str">
        <f t="shared" si="320"/>
        <v/>
      </c>
      <c r="DF557" s="166" t="str">
        <f t="shared" si="321"/>
        <v/>
      </c>
      <c r="DG557" s="164" t="str">
        <f t="shared" si="322"/>
        <v/>
      </c>
      <c r="DH557" s="166" t="str">
        <f t="shared" si="323"/>
        <v/>
      </c>
      <c r="DI557" s="164" t="str">
        <f>IFERROR(INDEX(DC$550:DC$598,_xlfn.AGGREGATE(15,6,(ROW(DC$550:DC$598)-ROW(DC$550)+1)/(DC$550:DC$598&lt;&gt;""),ROWS(DI$1:DI8))),"")</f>
        <v/>
      </c>
      <c r="DJ557" s="165" t="str">
        <f>IFERROR(INDEX(DD$550:DD$598,_xlfn.AGGREGATE(15,6,(ROW(DD$550:DD$598)-ROW(DD$550)+1)/(DD$550:DD$598&lt;&gt;""),ROWS(DJ$1:DJ8))),"")</f>
        <v/>
      </c>
      <c r="DK557" s="166" t="str">
        <f t="shared" si="324"/>
        <v/>
      </c>
      <c r="DL557" s="164" t="str">
        <f>IFERROR(INDEX(DE$550:DE$598,_xlfn.AGGREGATE(15,6,(ROW(DE$550:DE$598)-ROW(DE$550)+1)/(DE$550:DE$598&lt;&gt;""),ROWS(DL$1:DL8))),"")</f>
        <v/>
      </c>
      <c r="DM557" s="165" t="str">
        <f>IFERROR(INDEX(DF$550:DF$598,_xlfn.AGGREGATE(15,6,(ROW(DF$550:DF$598)-ROW(DF$550)+1)/(DF$550:DF$598&lt;&gt;""),ROWS(DM$1:DM8))),"")</f>
        <v/>
      </c>
      <c r="DN557" s="166" t="str">
        <f t="shared" si="325"/>
        <v/>
      </c>
      <c r="DO557" s="164" t="str">
        <f>IFERROR(INDEX(DG$550:DG$598,_xlfn.AGGREGATE(15,6,(ROW(DG$550:DG$598)-ROW(DG$550)+1)/(DG$550:DG$598&lt;&gt;""),ROWS(DO$1:DO8))),"")</f>
        <v/>
      </c>
      <c r="DP557" s="165" t="str">
        <f>IFERROR(INDEX(DH$550:DH$598,_xlfn.AGGREGATE(15,6,(ROW(DH$550:DH$598)-ROW(DH$550)+1)/(DH$550:DH$598&lt;&gt;""),ROWS(DP$1:DP8))),"")</f>
        <v/>
      </c>
      <c r="DQ557" s="166" t="str">
        <f t="shared" si="326"/>
        <v/>
      </c>
      <c r="DV557" s="145">
        <v>2022</v>
      </c>
      <c r="DW557" s="235" t="e">
        <f t="shared" ca="1" si="310"/>
        <v>#REF!</v>
      </c>
      <c r="DZ557" s="135"/>
      <c r="EA557" s="33"/>
      <c r="EB557" s="33"/>
      <c r="EC557" s="33"/>
      <c r="ED557" s="33"/>
      <c r="EE557" s="33"/>
    </row>
    <row r="558" spans="1:135" ht="13.8" x14ac:dyDescent="0.45">
      <c r="A558" s="148" t="s">
        <v>90</v>
      </c>
      <c r="B558" s="128">
        <v>2020</v>
      </c>
      <c r="C558" s="957"/>
      <c r="D558" s="947"/>
      <c r="E558" s="308"/>
      <c r="F558" s="931"/>
      <c r="G558" s="168"/>
      <c r="H558" s="169"/>
      <c r="I558" s="931"/>
      <c r="J558" s="168"/>
      <c r="K558" s="169"/>
      <c r="L558" s="170"/>
      <c r="M558" s="169"/>
      <c r="N558" s="29" t="s">
        <v>119</v>
      </c>
      <c r="O558" s="120"/>
      <c r="P558" s="120"/>
      <c r="Q558" s="120"/>
      <c r="R558" s="29">
        <v>6</v>
      </c>
      <c r="S558" s="313" t="str">
        <f t="shared" si="311"/>
        <v/>
      </c>
      <c r="T558" s="313" t="str">
        <f t="shared" si="312"/>
        <v/>
      </c>
      <c r="U558" s="313" t="str">
        <f t="shared" si="313"/>
        <v/>
      </c>
      <c r="V558" s="20"/>
      <c r="W558" s="288" t="e">
        <f t="shared" si="314"/>
        <v>#N/A</v>
      </c>
      <c r="X558" s="288" t="e">
        <f t="shared" si="315"/>
        <v>#N/A</v>
      </c>
      <c r="Y558" s="288" t="e">
        <f t="shared" si="316"/>
        <v>#N/A</v>
      </c>
      <c r="AA558" s="138"/>
      <c r="AB558" s="138"/>
      <c r="AC558" s="138"/>
      <c r="AD558" s="138"/>
      <c r="AE558" s="138"/>
      <c r="AF558" s="138"/>
      <c r="AG558" s="138"/>
      <c r="AH558" s="138"/>
      <c r="AI558" s="138"/>
      <c r="AJ558" s="138"/>
      <c r="AK558" s="138"/>
      <c r="AL558" s="138"/>
      <c r="AM558" s="138"/>
      <c r="AN558" s="138"/>
      <c r="BR558" s="180">
        <v>2018</v>
      </c>
      <c r="BS558" s="22">
        <v>4</v>
      </c>
      <c r="BT558" s="289" t="e">
        <f t="shared" si="327"/>
        <v>#DIV/0!</v>
      </c>
      <c r="BU558" s="290" t="e">
        <f t="shared" si="328"/>
        <v>#DIV/0!</v>
      </c>
      <c r="BV558" s="299" t="e">
        <f t="shared" si="329"/>
        <v>#DIV/0!</v>
      </c>
      <c r="BY558" s="180">
        <v>2018</v>
      </c>
      <c r="BZ558" s="22">
        <v>4</v>
      </c>
      <c r="CA558" s="289" t="e">
        <f t="shared" ca="1" si="330"/>
        <v>#REF!</v>
      </c>
      <c r="CB558" s="289" t="e">
        <f t="shared" ca="1" si="331"/>
        <v>#REF!</v>
      </c>
      <c r="CC558" s="290" t="e">
        <f t="shared" ca="1" si="342"/>
        <v>#REF!</v>
      </c>
      <c r="CD558" s="299" t="e">
        <f t="shared" ca="1" si="332"/>
        <v>#REF!</v>
      </c>
      <c r="CG558" s="180">
        <v>2018</v>
      </c>
      <c r="CH558" s="22">
        <v>4</v>
      </c>
      <c r="CI558" s="289" t="e">
        <f t="shared" ca="1" si="333"/>
        <v>#REF!</v>
      </c>
      <c r="CJ558" s="289" t="e">
        <f t="shared" ca="1" si="334"/>
        <v>#REF!</v>
      </c>
      <c r="CK558" s="289" t="e">
        <f t="shared" ca="1" si="335"/>
        <v>#REF!</v>
      </c>
      <c r="CL558" s="290" t="e">
        <f t="shared" ca="1" si="336"/>
        <v>#REF!</v>
      </c>
      <c r="CM558" s="299" t="e">
        <f t="shared" ca="1" si="337"/>
        <v>#REF!</v>
      </c>
      <c r="CP558" s="180">
        <v>2018</v>
      </c>
      <c r="CQ558" s="22">
        <v>4</v>
      </c>
      <c r="CR558" s="289" t="e">
        <f t="shared" ca="1" si="338"/>
        <v>#REF!</v>
      </c>
      <c r="CS558" s="290" t="e">
        <f t="shared" ca="1" si="339"/>
        <v>#REF!</v>
      </c>
      <c r="CT558" s="299" t="e">
        <f t="shared" ca="1" si="340"/>
        <v>#REF!</v>
      </c>
      <c r="CZ558" s="164" t="b">
        <f t="shared" si="317"/>
        <v>0</v>
      </c>
      <c r="DA558" s="165" t="b">
        <f t="shared" si="317"/>
        <v>0</v>
      </c>
      <c r="DB558" s="166" t="b">
        <f t="shared" si="317"/>
        <v>0</v>
      </c>
      <c r="DC558" s="164" t="str">
        <f t="shared" si="318"/>
        <v/>
      </c>
      <c r="DD558" s="166" t="str">
        <f t="shared" si="319"/>
        <v/>
      </c>
      <c r="DE558" s="164" t="str">
        <f t="shared" si="320"/>
        <v/>
      </c>
      <c r="DF558" s="166" t="str">
        <f t="shared" si="321"/>
        <v/>
      </c>
      <c r="DG558" s="164" t="str">
        <f t="shared" si="322"/>
        <v/>
      </c>
      <c r="DH558" s="166" t="str">
        <f t="shared" si="323"/>
        <v/>
      </c>
      <c r="DI558" s="164" t="str">
        <f>IFERROR(INDEX(DC$550:DC$598,_xlfn.AGGREGATE(15,6,(ROW(DC$550:DC$598)-ROW(DC$550)+1)/(DC$550:DC$598&lt;&gt;""),ROWS(DI$1:DI9))),"")</f>
        <v/>
      </c>
      <c r="DJ558" s="165" t="str">
        <f>IFERROR(INDEX(DD$550:DD$598,_xlfn.AGGREGATE(15,6,(ROW(DD$550:DD$598)-ROW(DD$550)+1)/(DD$550:DD$598&lt;&gt;""),ROWS(DJ$1:DJ9))),"")</f>
        <v/>
      </c>
      <c r="DK558" s="166" t="str">
        <f t="shared" si="324"/>
        <v/>
      </c>
      <c r="DL558" s="164" t="str">
        <f>IFERROR(INDEX(DE$550:DE$598,_xlfn.AGGREGATE(15,6,(ROW(DE$550:DE$598)-ROW(DE$550)+1)/(DE$550:DE$598&lt;&gt;""),ROWS(DL$1:DL9))),"")</f>
        <v/>
      </c>
      <c r="DM558" s="165" t="str">
        <f>IFERROR(INDEX(DF$550:DF$598,_xlfn.AGGREGATE(15,6,(ROW(DF$550:DF$598)-ROW(DF$550)+1)/(DF$550:DF$598&lt;&gt;""),ROWS(DM$1:DM9))),"")</f>
        <v/>
      </c>
      <c r="DN558" s="166" t="str">
        <f t="shared" si="325"/>
        <v/>
      </c>
      <c r="DO558" s="164" t="str">
        <f>IFERROR(INDEX(DG$550:DG$598,_xlfn.AGGREGATE(15,6,(ROW(DG$550:DG$598)-ROW(DG$550)+1)/(DG$550:DG$598&lt;&gt;""),ROWS(DO$1:DO9))),"")</f>
        <v/>
      </c>
      <c r="DP558" s="165" t="str">
        <f>IFERROR(INDEX(DH$550:DH$598,_xlfn.AGGREGATE(15,6,(ROW(DH$550:DH$598)-ROW(DH$550)+1)/(DH$550:DH$598&lt;&gt;""),ROWS(DP$1:DP9))),"")</f>
        <v/>
      </c>
      <c r="DQ558" s="166" t="str">
        <f t="shared" si="326"/>
        <v/>
      </c>
      <c r="DV558" s="145">
        <v>2023</v>
      </c>
      <c r="DW558" s="235" t="e">
        <f t="shared" ca="1" si="310"/>
        <v>#REF!</v>
      </c>
      <c r="DZ558" s="135"/>
      <c r="EA558" s="33" t="s">
        <v>86</v>
      </c>
      <c r="EB558" s="33" t="s">
        <v>87</v>
      </c>
      <c r="EC558" s="33"/>
      <c r="ED558" s="33"/>
      <c r="EE558" s="33"/>
    </row>
    <row r="559" spans="1:135" ht="14.1" thickBot="1" x14ac:dyDescent="0.5">
      <c r="A559" s="148" t="s">
        <v>80</v>
      </c>
      <c r="B559" s="128">
        <v>2021</v>
      </c>
      <c r="C559" s="957"/>
      <c r="D559" s="947"/>
      <c r="E559" s="308"/>
      <c r="F559" s="958"/>
      <c r="G559" s="307"/>
      <c r="H559" s="308"/>
      <c r="I559" s="1110"/>
      <c r="J559" s="307"/>
      <c r="K559" s="308"/>
      <c r="L559" s="309"/>
      <c r="M559" s="308"/>
      <c r="N559" s="29" t="s">
        <v>119</v>
      </c>
      <c r="O559" s="120"/>
      <c r="P559" s="120"/>
      <c r="Q559" s="120"/>
      <c r="R559" s="29">
        <v>7</v>
      </c>
      <c r="S559" s="314" t="str">
        <f t="shared" si="311"/>
        <v/>
      </c>
      <c r="T559" s="314" t="str">
        <f t="shared" si="312"/>
        <v/>
      </c>
      <c r="U559" s="314" t="str">
        <f t="shared" si="313"/>
        <v/>
      </c>
      <c r="V559" s="20"/>
      <c r="W559" s="288" t="e">
        <f t="shared" si="314"/>
        <v>#N/A</v>
      </c>
      <c r="X559" s="288" t="e">
        <f t="shared" si="315"/>
        <v>#N/A</v>
      </c>
      <c r="Y559" s="288" t="e">
        <f t="shared" si="316"/>
        <v>#N/A</v>
      </c>
      <c r="AA559" s="138"/>
      <c r="AB559" s="138"/>
      <c r="AC559" s="138"/>
      <c r="AD559" s="138"/>
      <c r="AE559" s="138"/>
      <c r="AF559" s="138"/>
      <c r="AG559" s="138"/>
      <c r="AH559" s="138"/>
      <c r="AI559" s="138"/>
      <c r="AJ559" s="138"/>
      <c r="AK559" s="138"/>
      <c r="AL559" s="138"/>
      <c r="AM559" s="138"/>
      <c r="AN559" s="138"/>
      <c r="BR559" s="180">
        <v>2019</v>
      </c>
      <c r="BS559" s="22">
        <v>5</v>
      </c>
      <c r="BT559" s="289" t="e">
        <f t="shared" si="327"/>
        <v>#DIV/0!</v>
      </c>
      <c r="BU559" s="290" t="e">
        <f t="shared" si="328"/>
        <v>#DIV/0!</v>
      </c>
      <c r="BV559" s="315" t="e">
        <f t="shared" si="329"/>
        <v>#DIV/0!</v>
      </c>
      <c r="BY559" s="180">
        <v>2019</v>
      </c>
      <c r="BZ559" s="22">
        <v>5</v>
      </c>
      <c r="CA559" s="289" t="e">
        <f t="shared" ca="1" si="330"/>
        <v>#REF!</v>
      </c>
      <c r="CB559" s="289" t="e">
        <f t="shared" ca="1" si="331"/>
        <v>#REF!</v>
      </c>
      <c r="CC559" s="290" t="e">
        <f t="shared" ca="1" si="342"/>
        <v>#REF!</v>
      </c>
      <c r="CD559" s="315" t="e">
        <f t="shared" ca="1" si="332"/>
        <v>#REF!</v>
      </c>
      <c r="CG559" s="180">
        <v>2019</v>
      </c>
      <c r="CH559" s="22">
        <v>5</v>
      </c>
      <c r="CI559" s="289" t="e">
        <f t="shared" ca="1" si="333"/>
        <v>#REF!</v>
      </c>
      <c r="CJ559" s="289" t="e">
        <f t="shared" ca="1" si="334"/>
        <v>#REF!</v>
      </c>
      <c r="CK559" s="289" t="e">
        <f t="shared" ca="1" si="335"/>
        <v>#REF!</v>
      </c>
      <c r="CL559" s="290" t="e">
        <f t="shared" ca="1" si="336"/>
        <v>#REF!</v>
      </c>
      <c r="CM559" s="315" t="e">
        <f t="shared" ca="1" si="337"/>
        <v>#REF!</v>
      </c>
      <c r="CP559" s="180">
        <v>2019</v>
      </c>
      <c r="CQ559" s="22">
        <v>5</v>
      </c>
      <c r="CR559" s="289" t="e">
        <f t="shared" ca="1" si="338"/>
        <v>#REF!</v>
      </c>
      <c r="CS559" s="290" t="e">
        <f t="shared" ca="1" si="339"/>
        <v>#REF!</v>
      </c>
      <c r="CT559" s="315" t="e">
        <f t="shared" ca="1" si="340"/>
        <v>#REF!</v>
      </c>
      <c r="CZ559" s="164" t="b">
        <f t="shared" si="317"/>
        <v>0</v>
      </c>
      <c r="DA559" s="165" t="b">
        <f t="shared" si="317"/>
        <v>0</v>
      </c>
      <c r="DB559" s="166" t="b">
        <f t="shared" si="317"/>
        <v>0</v>
      </c>
      <c r="DC559" s="164" t="str">
        <f t="shared" si="318"/>
        <v/>
      </c>
      <c r="DD559" s="166" t="str">
        <f t="shared" si="319"/>
        <v/>
      </c>
      <c r="DE559" s="164" t="str">
        <f t="shared" si="320"/>
        <v/>
      </c>
      <c r="DF559" s="166" t="str">
        <f t="shared" si="321"/>
        <v/>
      </c>
      <c r="DG559" s="164" t="str">
        <f t="shared" si="322"/>
        <v/>
      </c>
      <c r="DH559" s="166" t="str">
        <f t="shared" si="323"/>
        <v/>
      </c>
      <c r="DI559" s="164" t="str">
        <f>IFERROR(INDEX(DC$550:DC$598,_xlfn.AGGREGATE(15,6,(ROW(DC$550:DC$598)-ROW(DC$550)+1)/(DC$550:DC$598&lt;&gt;""),ROWS(DI$1:DI10))),"")</f>
        <v/>
      </c>
      <c r="DJ559" s="165" t="str">
        <f>IFERROR(INDEX(DD$550:DD$598,_xlfn.AGGREGATE(15,6,(ROW(DD$550:DD$598)-ROW(DD$550)+1)/(DD$550:DD$598&lt;&gt;""),ROWS(DJ$1:DJ10))),"")</f>
        <v/>
      </c>
      <c r="DK559" s="166" t="str">
        <f t="shared" si="324"/>
        <v/>
      </c>
      <c r="DL559" s="164" t="str">
        <f>IFERROR(INDEX(DE$550:DE$598,_xlfn.AGGREGATE(15,6,(ROW(DE$550:DE$598)-ROW(DE$550)+1)/(DE$550:DE$598&lt;&gt;""),ROWS(DL$1:DL10))),"")</f>
        <v/>
      </c>
      <c r="DM559" s="165" t="str">
        <f>IFERROR(INDEX(DF$550:DF$598,_xlfn.AGGREGATE(15,6,(ROW(DF$550:DF$598)-ROW(DF$550)+1)/(DF$550:DF$598&lt;&gt;""),ROWS(DM$1:DM10))),"")</f>
        <v/>
      </c>
      <c r="DN559" s="166" t="str">
        <f t="shared" si="325"/>
        <v/>
      </c>
      <c r="DO559" s="164" t="str">
        <f>IFERROR(INDEX(DG$550:DG$598,_xlfn.AGGREGATE(15,6,(ROW(DG$550:DG$598)-ROW(DG$550)+1)/(DG$550:DG$598&lt;&gt;""),ROWS(DO$1:DO10))),"")</f>
        <v/>
      </c>
      <c r="DP559" s="165" t="str">
        <f>IFERROR(INDEX(DH$550:DH$598,_xlfn.AGGREGATE(15,6,(ROW(DH$550:DH$598)-ROW(DH$550)+1)/(DH$550:DH$598&lt;&gt;""),ROWS(DP$1:DP10))),"")</f>
        <v/>
      </c>
      <c r="DQ559" s="166" t="str">
        <f t="shared" si="326"/>
        <v/>
      </c>
      <c r="DV559" s="145">
        <v>2024</v>
      </c>
      <c r="DW559" s="235" t="e">
        <f t="shared" ca="1" si="310"/>
        <v>#REF!</v>
      </c>
      <c r="DZ559" s="135" t="s">
        <v>92</v>
      </c>
      <c r="EA559" s="33">
        <f t="shared" ref="EA559:EB561" si="343">IF($EA$548="Linear",0,IF($EA$548="2nd Poly",0,IF($EA$548="3rd Poly",0,IF($EA$548="Exp",CR551))))</f>
        <v>0</v>
      </c>
      <c r="EB559" s="33">
        <f t="shared" si="343"/>
        <v>0</v>
      </c>
      <c r="EC559" s="33" t="str">
        <f>IF($EA$548="Linear","N/A",IF($EA$548="2nd Poly","N/A",IF($EA$548="3rd Poly","N/A","High")))</f>
        <v>N/A</v>
      </c>
      <c r="ED559" s="33"/>
      <c r="EE559" s="33"/>
    </row>
    <row r="560" spans="1:135" ht="13.8" x14ac:dyDescent="0.45">
      <c r="A560" s="148" t="s">
        <v>88</v>
      </c>
      <c r="B560" s="128">
        <v>2022</v>
      </c>
      <c r="C560" s="957"/>
      <c r="D560" s="947"/>
      <c r="E560" s="308"/>
      <c r="F560" s="950"/>
      <c r="G560" s="199"/>
      <c r="H560" s="200"/>
      <c r="I560" s="1111"/>
      <c r="J560" s="199"/>
      <c r="K560" s="200"/>
      <c r="L560" s="201"/>
      <c r="M560" s="200"/>
      <c r="N560" s="29" t="s">
        <v>119</v>
      </c>
      <c r="O560" s="120"/>
      <c r="P560" s="120"/>
      <c r="Q560" s="120"/>
      <c r="R560" s="29">
        <v>8</v>
      </c>
      <c r="S560" s="202" t="str">
        <f t="shared" si="311"/>
        <v/>
      </c>
      <c r="T560" s="202" t="str">
        <f t="shared" si="312"/>
        <v/>
      </c>
      <c r="U560" s="202" t="str">
        <f t="shared" si="313"/>
        <v/>
      </c>
      <c r="V560" s="20"/>
      <c r="W560" s="288" t="e">
        <f t="shared" si="314"/>
        <v>#N/A</v>
      </c>
      <c r="X560" s="288" t="e">
        <f t="shared" si="315"/>
        <v>#N/A</v>
      </c>
      <c r="Y560" s="288" t="e">
        <f t="shared" si="316"/>
        <v>#N/A</v>
      </c>
      <c r="AA560" s="120"/>
      <c r="AB560" s="120"/>
      <c r="AC560" s="120"/>
      <c r="AD560" s="120"/>
      <c r="AE560" s="120"/>
      <c r="AF560" s="120"/>
      <c r="AG560" s="120"/>
      <c r="AH560" s="120"/>
      <c r="AI560" s="120"/>
      <c r="AJ560" s="120"/>
      <c r="AK560" s="120"/>
      <c r="AL560" s="120"/>
      <c r="AM560" s="120"/>
      <c r="AN560" s="120"/>
      <c r="BR560" s="180">
        <v>2020</v>
      </c>
      <c r="BS560" s="22">
        <v>6</v>
      </c>
      <c r="BT560" s="289" t="e">
        <f t="shared" si="327"/>
        <v>#DIV/0!</v>
      </c>
      <c r="BU560" s="290" t="e">
        <f t="shared" si="328"/>
        <v>#DIV/0!</v>
      </c>
      <c r="BV560" s="203" t="e">
        <f t="shared" si="329"/>
        <v>#DIV/0!</v>
      </c>
      <c r="BY560" s="180">
        <v>2020</v>
      </c>
      <c r="BZ560" s="22">
        <v>6</v>
      </c>
      <c r="CA560" s="289" t="e">
        <f t="shared" ca="1" si="330"/>
        <v>#REF!</v>
      </c>
      <c r="CB560" s="289" t="e">
        <f t="shared" ca="1" si="331"/>
        <v>#REF!</v>
      </c>
      <c r="CC560" s="290" t="e">
        <f t="shared" ca="1" si="342"/>
        <v>#REF!</v>
      </c>
      <c r="CD560" s="203" t="e">
        <f t="shared" ca="1" si="332"/>
        <v>#REF!</v>
      </c>
      <c r="CG560" s="180">
        <v>2020</v>
      </c>
      <c r="CH560" s="22">
        <v>6</v>
      </c>
      <c r="CI560" s="289" t="e">
        <f t="shared" ca="1" si="333"/>
        <v>#REF!</v>
      </c>
      <c r="CJ560" s="289" t="e">
        <f t="shared" ca="1" si="334"/>
        <v>#REF!</v>
      </c>
      <c r="CK560" s="289" t="e">
        <f t="shared" ca="1" si="335"/>
        <v>#REF!</v>
      </c>
      <c r="CL560" s="290" t="e">
        <f t="shared" ca="1" si="336"/>
        <v>#REF!</v>
      </c>
      <c r="CM560" s="203" t="e">
        <f t="shared" ca="1" si="337"/>
        <v>#REF!</v>
      </c>
      <c r="CP560" s="180">
        <v>2020</v>
      </c>
      <c r="CQ560" s="22">
        <v>6</v>
      </c>
      <c r="CR560" s="289" t="e">
        <f t="shared" ca="1" si="338"/>
        <v>#REF!</v>
      </c>
      <c r="CS560" s="290" t="e">
        <f t="shared" ca="1" si="339"/>
        <v>#REF!</v>
      </c>
      <c r="CT560" s="203" t="e">
        <f t="shared" ca="1" si="340"/>
        <v>#REF!</v>
      </c>
      <c r="CZ560" s="164" t="b">
        <f t="shared" si="317"/>
        <v>0</v>
      </c>
      <c r="DA560" s="165" t="b">
        <f t="shared" si="317"/>
        <v>0</v>
      </c>
      <c r="DB560" s="166" t="b">
        <f t="shared" si="317"/>
        <v>0</v>
      </c>
      <c r="DC560" s="164" t="str">
        <f t="shared" si="318"/>
        <v/>
      </c>
      <c r="DD560" s="166" t="str">
        <f t="shared" si="319"/>
        <v/>
      </c>
      <c r="DE560" s="164" t="str">
        <f t="shared" si="320"/>
        <v/>
      </c>
      <c r="DF560" s="166" t="str">
        <f t="shared" si="321"/>
        <v/>
      </c>
      <c r="DG560" s="164" t="str">
        <f t="shared" si="322"/>
        <v/>
      </c>
      <c r="DH560" s="166" t="str">
        <f t="shared" si="323"/>
        <v/>
      </c>
      <c r="DI560" s="164" t="str">
        <f>IFERROR(INDEX(DC$550:DC$598,_xlfn.AGGREGATE(15,6,(ROW(DC$550:DC$598)-ROW(DC$550)+1)/(DC$550:DC$598&lt;&gt;""),ROWS(DI$1:DI11))),"")</f>
        <v/>
      </c>
      <c r="DJ560" s="165" t="str">
        <f>IFERROR(INDEX(DD$550:DD$598,_xlfn.AGGREGATE(15,6,(ROW(DD$550:DD$598)-ROW(DD$550)+1)/(DD$550:DD$598&lt;&gt;""),ROWS(DJ$1:DJ11))),"")</f>
        <v/>
      </c>
      <c r="DK560" s="166" t="str">
        <f t="shared" si="324"/>
        <v/>
      </c>
      <c r="DL560" s="164" t="str">
        <f>IFERROR(INDEX(DE$550:DE$598,_xlfn.AGGREGATE(15,6,(ROW(DE$550:DE$598)-ROW(DE$550)+1)/(DE$550:DE$598&lt;&gt;""),ROWS(DL$1:DL11))),"")</f>
        <v/>
      </c>
      <c r="DM560" s="165" t="str">
        <f>IFERROR(INDEX(DF$550:DF$598,_xlfn.AGGREGATE(15,6,(ROW(DF$550:DF$598)-ROW(DF$550)+1)/(DF$550:DF$598&lt;&gt;""),ROWS(DM$1:DM11))),"")</f>
        <v/>
      </c>
      <c r="DN560" s="166" t="str">
        <f t="shared" si="325"/>
        <v/>
      </c>
      <c r="DO560" s="164" t="str">
        <f>IFERROR(INDEX(DG$550:DG$598,_xlfn.AGGREGATE(15,6,(ROW(DG$550:DG$598)-ROW(DG$550)+1)/(DG$550:DG$598&lt;&gt;""),ROWS(DO$1:DO11))),"")</f>
        <v/>
      </c>
      <c r="DP560" s="165" t="str">
        <f>IFERROR(INDEX(DH$550:DH$598,_xlfn.AGGREGATE(15,6,(ROW(DH$550:DH$598)-ROW(DH$550)+1)/(DH$550:DH$598&lt;&gt;""),ROWS(DP$1:DP11))),"")</f>
        <v/>
      </c>
      <c r="DQ560" s="166" t="str">
        <f t="shared" si="326"/>
        <v/>
      </c>
      <c r="DR560" s="65"/>
      <c r="DV560" s="145">
        <v>2025</v>
      </c>
      <c r="DW560" s="235" t="e">
        <f t="shared" ca="1" si="310"/>
        <v>#REF!</v>
      </c>
      <c r="DZ560" s="135" t="s">
        <v>92</v>
      </c>
      <c r="EA560" s="33">
        <f t="shared" si="343"/>
        <v>0</v>
      </c>
      <c r="EB560" s="33">
        <f t="shared" si="343"/>
        <v>0</v>
      </c>
      <c r="EC560" s="33" t="str">
        <f>IF($EA$548="Linear","N/A",IF($EA$548="2nd Poly","N/A",IF($EA$548="3rd Poly","N/A","Medium")))</f>
        <v>N/A</v>
      </c>
    </row>
    <row r="561" spans="1:135" ht="13.8" x14ac:dyDescent="0.45">
      <c r="B561" s="128">
        <v>2023</v>
      </c>
      <c r="C561" s="957"/>
      <c r="D561" s="947"/>
      <c r="E561" s="308"/>
      <c r="F561" s="950"/>
      <c r="G561" s="199"/>
      <c r="H561" s="200"/>
      <c r="I561" s="1111"/>
      <c r="J561" s="199"/>
      <c r="K561" s="200"/>
      <c r="L561" s="201"/>
      <c r="M561" s="200"/>
      <c r="N561" s="29" t="s">
        <v>119</v>
      </c>
      <c r="O561" s="120"/>
      <c r="P561" s="120"/>
      <c r="Q561" s="120"/>
      <c r="R561" s="29">
        <v>9</v>
      </c>
      <c r="S561" s="202" t="str">
        <f t="shared" si="311"/>
        <v/>
      </c>
      <c r="T561" s="202" t="str">
        <f t="shared" si="312"/>
        <v/>
      </c>
      <c r="U561" s="202" t="str">
        <f t="shared" si="313"/>
        <v/>
      </c>
      <c r="V561" s="20"/>
      <c r="W561" s="288" t="e">
        <f t="shared" si="314"/>
        <v>#N/A</v>
      </c>
      <c r="X561" s="288" t="e">
        <f t="shared" si="315"/>
        <v>#N/A</v>
      </c>
      <c r="Y561" s="288" t="e">
        <f t="shared" si="316"/>
        <v>#N/A</v>
      </c>
      <c r="AA561" s="120"/>
      <c r="AB561" s="120"/>
      <c r="AC561" s="120"/>
      <c r="AD561" s="120"/>
      <c r="AE561" s="120"/>
      <c r="AF561" s="120"/>
      <c r="AG561" s="120"/>
      <c r="AH561" s="120"/>
      <c r="AI561" s="120"/>
      <c r="AJ561" s="120"/>
      <c r="AK561" s="120"/>
      <c r="AL561" s="120"/>
      <c r="AM561" s="120"/>
      <c r="AN561" s="120"/>
      <c r="BR561" s="180">
        <v>2021</v>
      </c>
      <c r="BS561" s="22">
        <v>7</v>
      </c>
      <c r="BT561" s="289" t="e">
        <f t="shared" si="327"/>
        <v>#DIV/0!</v>
      </c>
      <c r="BU561" s="290" t="e">
        <f t="shared" si="328"/>
        <v>#DIV/0!</v>
      </c>
      <c r="BV561" s="205" t="e">
        <f t="shared" si="329"/>
        <v>#DIV/0!</v>
      </c>
      <c r="BY561" s="180">
        <v>2021</v>
      </c>
      <c r="BZ561" s="22">
        <v>7</v>
      </c>
      <c r="CA561" s="289" t="e">
        <f t="shared" ca="1" si="330"/>
        <v>#REF!</v>
      </c>
      <c r="CB561" s="289" t="e">
        <f t="shared" ca="1" si="331"/>
        <v>#REF!</v>
      </c>
      <c r="CC561" s="290" t="e">
        <f t="shared" ca="1" si="342"/>
        <v>#REF!</v>
      </c>
      <c r="CD561" s="205" t="e">
        <f t="shared" ca="1" si="332"/>
        <v>#REF!</v>
      </c>
      <c r="CG561" s="180">
        <v>2021</v>
      </c>
      <c r="CH561" s="22">
        <v>7</v>
      </c>
      <c r="CI561" s="289" t="e">
        <f t="shared" ca="1" si="333"/>
        <v>#REF!</v>
      </c>
      <c r="CJ561" s="289" t="e">
        <f t="shared" ca="1" si="334"/>
        <v>#REF!</v>
      </c>
      <c r="CK561" s="289" t="e">
        <f t="shared" ca="1" si="335"/>
        <v>#REF!</v>
      </c>
      <c r="CL561" s="290" t="e">
        <f t="shared" ca="1" si="336"/>
        <v>#REF!</v>
      </c>
      <c r="CM561" s="205" t="e">
        <f t="shared" ca="1" si="337"/>
        <v>#REF!</v>
      </c>
      <c r="CP561" s="180">
        <v>2021</v>
      </c>
      <c r="CQ561" s="22">
        <v>7</v>
      </c>
      <c r="CR561" s="289" t="e">
        <f t="shared" ca="1" si="338"/>
        <v>#REF!</v>
      </c>
      <c r="CS561" s="290" t="e">
        <f t="shared" ca="1" si="339"/>
        <v>#REF!</v>
      </c>
      <c r="CT561" s="205" t="e">
        <f t="shared" ca="1" si="340"/>
        <v>#REF!</v>
      </c>
      <c r="CZ561" s="164" t="b">
        <f t="shared" si="317"/>
        <v>0</v>
      </c>
      <c r="DA561" s="165" t="b">
        <f t="shared" si="317"/>
        <v>0</v>
      </c>
      <c r="DB561" s="166" t="b">
        <f t="shared" si="317"/>
        <v>0</v>
      </c>
      <c r="DC561" s="164" t="str">
        <f t="shared" si="318"/>
        <v/>
      </c>
      <c r="DD561" s="166" t="str">
        <f t="shared" si="319"/>
        <v/>
      </c>
      <c r="DE561" s="164" t="str">
        <f t="shared" si="320"/>
        <v/>
      </c>
      <c r="DF561" s="166" t="str">
        <f t="shared" si="321"/>
        <v/>
      </c>
      <c r="DG561" s="164" t="str">
        <f t="shared" si="322"/>
        <v/>
      </c>
      <c r="DH561" s="166" t="str">
        <f t="shared" si="323"/>
        <v/>
      </c>
      <c r="DI561" s="164" t="str">
        <f>IFERROR(INDEX(DC$550:DC$598,_xlfn.AGGREGATE(15,6,(ROW(DC$550:DC$598)-ROW(DC$550)+1)/(DC$550:DC$598&lt;&gt;""),ROWS(DI$1:DI12))),"")</f>
        <v/>
      </c>
      <c r="DJ561" s="165" t="str">
        <f>IFERROR(INDEX(DD$550:DD$598,_xlfn.AGGREGATE(15,6,(ROW(DD$550:DD$598)-ROW(DD$550)+1)/(DD$550:DD$598&lt;&gt;""),ROWS(DJ$1:DJ12))),"")</f>
        <v/>
      </c>
      <c r="DK561" s="166" t="str">
        <f t="shared" si="324"/>
        <v/>
      </c>
      <c r="DL561" s="164" t="str">
        <f>IFERROR(INDEX(DE$550:DE$598,_xlfn.AGGREGATE(15,6,(ROW(DE$550:DE$598)-ROW(DE$550)+1)/(DE$550:DE$598&lt;&gt;""),ROWS(DL$1:DL12))),"")</f>
        <v/>
      </c>
      <c r="DM561" s="165" t="str">
        <f>IFERROR(INDEX(DF$550:DF$598,_xlfn.AGGREGATE(15,6,(ROW(DF$550:DF$598)-ROW(DF$550)+1)/(DF$550:DF$598&lt;&gt;""),ROWS(DM$1:DM12))),"")</f>
        <v/>
      </c>
      <c r="DN561" s="166" t="str">
        <f t="shared" si="325"/>
        <v/>
      </c>
      <c r="DO561" s="164" t="str">
        <f>IFERROR(INDEX(DG$550:DG$598,_xlfn.AGGREGATE(15,6,(ROW(DG$550:DG$598)-ROW(DG$550)+1)/(DG$550:DG$598&lt;&gt;""),ROWS(DO$1:DO12))),"")</f>
        <v/>
      </c>
      <c r="DP561" s="165" t="str">
        <f>IFERROR(INDEX(DH$550:DH$598,_xlfn.AGGREGATE(15,6,(ROW(DH$550:DH$598)-ROW(DH$550)+1)/(DH$550:DH$598&lt;&gt;""),ROWS(DP$1:DP12))),"")</f>
        <v/>
      </c>
      <c r="DQ561" s="166" t="str">
        <f t="shared" si="326"/>
        <v/>
      </c>
      <c r="DR561" s="65"/>
      <c r="DV561" s="145">
        <v>2026</v>
      </c>
      <c r="DW561" s="235" t="e">
        <f t="shared" ca="1" si="310"/>
        <v>#REF!</v>
      </c>
      <c r="DZ561" s="135" t="s">
        <v>92</v>
      </c>
      <c r="EA561" s="33">
        <f t="shared" si="343"/>
        <v>0</v>
      </c>
      <c r="EB561" s="33">
        <f t="shared" si="343"/>
        <v>0</v>
      </c>
      <c r="EC561" s="33" t="str">
        <f>IF($EA$548="Linear","N/A",IF($EA$548="2nd Poly","N/A",IF($EA$548="3rd Poly","N/A","Low")))</f>
        <v>N/A</v>
      </c>
    </row>
    <row r="562" spans="1:135" ht="13.8" x14ac:dyDescent="0.45">
      <c r="B562" s="128">
        <v>2024</v>
      </c>
      <c r="C562" s="957"/>
      <c r="D562" s="947"/>
      <c r="E562" s="308"/>
      <c r="F562" s="914"/>
      <c r="G562" s="294"/>
      <c r="H562" s="292"/>
      <c r="I562" s="1112"/>
      <c r="J562" s="294"/>
      <c r="K562" s="292"/>
      <c r="L562" s="293"/>
      <c r="M562" s="292"/>
      <c r="N562" s="29" t="s">
        <v>119</v>
      </c>
      <c r="O562" s="120"/>
      <c r="P562" s="120"/>
      <c r="Q562" s="120"/>
      <c r="R562" s="29">
        <v>10</v>
      </c>
      <c r="S562" s="288" t="str">
        <f t="shared" si="311"/>
        <v/>
      </c>
      <c r="T562" s="288" t="str">
        <f t="shared" si="312"/>
        <v/>
      </c>
      <c r="U562" s="288" t="str">
        <f t="shared" si="313"/>
        <v/>
      </c>
      <c r="V562" s="20"/>
      <c r="W562" s="288" t="e">
        <f t="shared" si="314"/>
        <v>#N/A</v>
      </c>
      <c r="X562" s="288" t="e">
        <f t="shared" si="315"/>
        <v>#N/A</v>
      </c>
      <c r="Y562" s="288" t="e">
        <f t="shared" si="316"/>
        <v>#N/A</v>
      </c>
      <c r="AA562" s="120"/>
      <c r="AB562" s="120"/>
      <c r="AC562" s="120"/>
      <c r="AD562" s="120"/>
      <c r="AE562" s="120"/>
      <c r="AF562" s="120"/>
      <c r="AG562" s="120"/>
      <c r="AH562" s="120"/>
      <c r="AI562" s="120"/>
      <c r="AJ562" s="120"/>
      <c r="AK562" s="120"/>
      <c r="AL562" s="120"/>
      <c r="AM562" s="120"/>
      <c r="AN562" s="120"/>
      <c r="BR562" s="180">
        <v>2022</v>
      </c>
      <c r="BS562" s="22">
        <v>8</v>
      </c>
      <c r="BT562" s="289" t="e">
        <f t="shared" si="327"/>
        <v>#DIV/0!</v>
      </c>
      <c r="BU562" s="290" t="e">
        <f t="shared" si="328"/>
        <v>#DIV/0!</v>
      </c>
      <c r="BV562" s="205" t="e">
        <f t="shared" si="329"/>
        <v>#DIV/0!</v>
      </c>
      <c r="BY562" s="180">
        <v>2022</v>
      </c>
      <c r="BZ562" s="22">
        <v>8</v>
      </c>
      <c r="CA562" s="289" t="e">
        <f t="shared" ca="1" si="330"/>
        <v>#REF!</v>
      </c>
      <c r="CB562" s="289" t="e">
        <f t="shared" ca="1" si="331"/>
        <v>#REF!</v>
      </c>
      <c r="CC562" s="290" t="e">
        <f t="shared" ca="1" si="342"/>
        <v>#REF!</v>
      </c>
      <c r="CD562" s="205" t="e">
        <f t="shared" ca="1" si="332"/>
        <v>#REF!</v>
      </c>
      <c r="CG562" s="180">
        <v>2022</v>
      </c>
      <c r="CH562" s="22">
        <v>8</v>
      </c>
      <c r="CI562" s="289" t="e">
        <f t="shared" ca="1" si="333"/>
        <v>#REF!</v>
      </c>
      <c r="CJ562" s="289" t="e">
        <f t="shared" ca="1" si="334"/>
        <v>#REF!</v>
      </c>
      <c r="CK562" s="289" t="e">
        <f t="shared" ca="1" si="335"/>
        <v>#REF!</v>
      </c>
      <c r="CL562" s="290" t="e">
        <f t="shared" ca="1" si="336"/>
        <v>#REF!</v>
      </c>
      <c r="CM562" s="205" t="e">
        <f t="shared" ca="1" si="337"/>
        <v>#REF!</v>
      </c>
      <c r="CP562" s="180">
        <v>2022</v>
      </c>
      <c r="CQ562" s="22">
        <v>8</v>
      </c>
      <c r="CR562" s="289" t="e">
        <f t="shared" ca="1" si="338"/>
        <v>#REF!</v>
      </c>
      <c r="CS562" s="290" t="e">
        <f t="shared" ca="1" si="339"/>
        <v>#REF!</v>
      </c>
      <c r="CT562" s="205" t="e">
        <f t="shared" ca="1" si="340"/>
        <v>#REF!</v>
      </c>
      <c r="CZ562" s="164" t="b">
        <f t="shared" si="317"/>
        <v>0</v>
      </c>
      <c r="DA562" s="165" t="b">
        <f t="shared" si="317"/>
        <v>0</v>
      </c>
      <c r="DB562" s="166" t="b">
        <f t="shared" si="317"/>
        <v>0</v>
      </c>
      <c r="DC562" s="164" t="str">
        <f t="shared" si="318"/>
        <v/>
      </c>
      <c r="DD562" s="166" t="str">
        <f t="shared" si="319"/>
        <v/>
      </c>
      <c r="DE562" s="164" t="str">
        <f t="shared" si="320"/>
        <v/>
      </c>
      <c r="DF562" s="166" t="str">
        <f t="shared" si="321"/>
        <v/>
      </c>
      <c r="DG562" s="164" t="str">
        <f t="shared" si="322"/>
        <v/>
      </c>
      <c r="DH562" s="166" t="str">
        <f t="shared" si="323"/>
        <v/>
      </c>
      <c r="DI562" s="164" t="str">
        <f>IFERROR(INDEX(DC$550:DC$598,_xlfn.AGGREGATE(15,6,(ROW(DC$550:DC$598)-ROW(DC$550)+1)/(DC$550:DC$598&lt;&gt;""),ROWS(DI$1:DI13))),"")</f>
        <v/>
      </c>
      <c r="DJ562" s="165" t="str">
        <f>IFERROR(INDEX(DD$550:DD$598,_xlfn.AGGREGATE(15,6,(ROW(DD$550:DD$598)-ROW(DD$550)+1)/(DD$550:DD$598&lt;&gt;""),ROWS(DJ$1:DJ13))),"")</f>
        <v/>
      </c>
      <c r="DK562" s="166" t="str">
        <f t="shared" si="324"/>
        <v/>
      </c>
      <c r="DL562" s="164" t="str">
        <f>IFERROR(INDEX(DE$550:DE$598,_xlfn.AGGREGATE(15,6,(ROW(DE$550:DE$598)-ROW(DE$550)+1)/(DE$550:DE$598&lt;&gt;""),ROWS(DL$1:DL13))),"")</f>
        <v/>
      </c>
      <c r="DM562" s="165" t="str">
        <f>IFERROR(INDEX(DF$550:DF$598,_xlfn.AGGREGATE(15,6,(ROW(DF$550:DF$598)-ROW(DF$550)+1)/(DF$550:DF$598&lt;&gt;""),ROWS(DM$1:DM13))),"")</f>
        <v/>
      </c>
      <c r="DN562" s="166" t="str">
        <f t="shared" si="325"/>
        <v/>
      </c>
      <c r="DO562" s="164" t="str">
        <f>IFERROR(INDEX(DG$550:DG$598,_xlfn.AGGREGATE(15,6,(ROW(DG$550:DG$598)-ROW(DG$550)+1)/(DG$550:DG$598&lt;&gt;""),ROWS(DO$1:DO13))),"")</f>
        <v/>
      </c>
      <c r="DP562" s="165" t="str">
        <f>IFERROR(INDEX(DH$550:DH$598,_xlfn.AGGREGATE(15,6,(ROW(DH$550:DH$598)-ROW(DH$550)+1)/(DH$550:DH$598&lt;&gt;""),ROWS(DP$1:DP13))),"")</f>
        <v/>
      </c>
      <c r="DQ562" s="166" t="str">
        <f t="shared" si="326"/>
        <v/>
      </c>
      <c r="DR562" s="65"/>
      <c r="DV562" s="145">
        <v>2027</v>
      </c>
      <c r="DW562" s="235" t="e">
        <f t="shared" ca="1" si="310"/>
        <v>#REF!</v>
      </c>
    </row>
    <row r="563" spans="1:135" ht="13.8" x14ac:dyDescent="0.45">
      <c r="B563" s="128">
        <v>2025</v>
      </c>
      <c r="C563" s="957"/>
      <c r="D563" s="947"/>
      <c r="E563" s="308"/>
      <c r="F563" s="914"/>
      <c r="G563" s="294"/>
      <c r="H563" s="292"/>
      <c r="I563" s="1112"/>
      <c r="J563" s="294"/>
      <c r="K563" s="292"/>
      <c r="L563" s="293"/>
      <c r="M563" s="292"/>
      <c r="N563" s="29" t="s">
        <v>119</v>
      </c>
      <c r="O563" s="120"/>
      <c r="P563" s="120"/>
      <c r="Q563" s="120"/>
      <c r="R563" s="29">
        <v>11</v>
      </c>
      <c r="S563" s="288" t="str">
        <f t="shared" si="311"/>
        <v/>
      </c>
      <c r="T563" s="288" t="str">
        <f t="shared" si="312"/>
        <v/>
      </c>
      <c r="U563" s="288" t="str">
        <f t="shared" si="313"/>
        <v/>
      </c>
      <c r="W563" s="288" t="e">
        <f t="shared" si="314"/>
        <v>#N/A</v>
      </c>
      <c r="X563" s="288" t="e">
        <f t="shared" si="315"/>
        <v>#N/A</v>
      </c>
      <c r="Y563" s="288" t="e">
        <f t="shared" si="316"/>
        <v>#N/A</v>
      </c>
      <c r="AA563" s="120"/>
      <c r="AB563" s="120"/>
      <c r="AC563" s="120"/>
      <c r="AD563" s="120"/>
      <c r="AE563" s="120"/>
      <c r="AF563" s="120"/>
      <c r="AG563" s="120"/>
      <c r="AH563" s="120"/>
      <c r="AI563" s="120"/>
      <c r="AJ563" s="120"/>
      <c r="AK563" s="120"/>
      <c r="AL563" s="120"/>
      <c r="AM563" s="120"/>
      <c r="AN563" s="120"/>
      <c r="BR563" s="180">
        <v>2023</v>
      </c>
      <c r="BS563" s="22">
        <v>9</v>
      </c>
      <c r="BT563" s="289" t="e">
        <f t="shared" si="327"/>
        <v>#DIV/0!</v>
      </c>
      <c r="BU563" s="290" t="e">
        <f t="shared" si="328"/>
        <v>#DIV/0!</v>
      </c>
      <c r="BV563" s="205" t="e">
        <f t="shared" si="329"/>
        <v>#DIV/0!</v>
      </c>
      <c r="BY563" s="180">
        <v>2023</v>
      </c>
      <c r="BZ563" s="22">
        <v>9</v>
      </c>
      <c r="CA563" s="289" t="e">
        <f t="shared" ca="1" si="330"/>
        <v>#REF!</v>
      </c>
      <c r="CB563" s="289" t="e">
        <f t="shared" ca="1" si="331"/>
        <v>#REF!</v>
      </c>
      <c r="CC563" s="290" t="e">
        <f t="shared" ca="1" si="342"/>
        <v>#REF!</v>
      </c>
      <c r="CD563" s="205" t="e">
        <f t="shared" ca="1" si="332"/>
        <v>#REF!</v>
      </c>
      <c r="CG563" s="180">
        <v>2023</v>
      </c>
      <c r="CH563" s="22">
        <v>9</v>
      </c>
      <c r="CI563" s="289" t="e">
        <f t="shared" ca="1" si="333"/>
        <v>#REF!</v>
      </c>
      <c r="CJ563" s="289" t="e">
        <f t="shared" ca="1" si="334"/>
        <v>#REF!</v>
      </c>
      <c r="CK563" s="289" t="e">
        <f t="shared" ca="1" si="335"/>
        <v>#REF!</v>
      </c>
      <c r="CL563" s="290" t="e">
        <f t="shared" ca="1" si="336"/>
        <v>#REF!</v>
      </c>
      <c r="CM563" s="205" t="e">
        <f t="shared" ca="1" si="337"/>
        <v>#REF!</v>
      </c>
      <c r="CP563" s="180">
        <v>2023</v>
      </c>
      <c r="CQ563" s="22">
        <v>9</v>
      </c>
      <c r="CR563" s="289" t="e">
        <f t="shared" ca="1" si="338"/>
        <v>#REF!</v>
      </c>
      <c r="CS563" s="290" t="e">
        <f t="shared" ca="1" si="339"/>
        <v>#REF!</v>
      </c>
      <c r="CT563" s="205" t="e">
        <f t="shared" ca="1" si="340"/>
        <v>#REF!</v>
      </c>
      <c r="CZ563" s="164" t="b">
        <f t="shared" si="317"/>
        <v>0</v>
      </c>
      <c r="DA563" s="165" t="b">
        <f t="shared" si="317"/>
        <v>0</v>
      </c>
      <c r="DB563" s="166" t="b">
        <f t="shared" si="317"/>
        <v>0</v>
      </c>
      <c r="DC563" s="164" t="str">
        <f t="shared" si="318"/>
        <v/>
      </c>
      <c r="DD563" s="166" t="str">
        <f t="shared" si="319"/>
        <v/>
      </c>
      <c r="DE563" s="164" t="str">
        <f t="shared" si="320"/>
        <v/>
      </c>
      <c r="DF563" s="166" t="str">
        <f t="shared" si="321"/>
        <v/>
      </c>
      <c r="DG563" s="164" t="str">
        <f t="shared" si="322"/>
        <v/>
      </c>
      <c r="DH563" s="166" t="str">
        <f t="shared" si="323"/>
        <v/>
      </c>
      <c r="DI563" s="164" t="str">
        <f>IFERROR(INDEX(DC$550:DC$598,_xlfn.AGGREGATE(15,6,(ROW(DC$550:DC$598)-ROW(DC$550)+1)/(DC$550:DC$598&lt;&gt;""),ROWS(DI$1:DI14))),"")</f>
        <v/>
      </c>
      <c r="DJ563" s="165" t="str">
        <f>IFERROR(INDEX(DD$550:DD$598,_xlfn.AGGREGATE(15,6,(ROW(DD$550:DD$598)-ROW(DD$550)+1)/(DD$550:DD$598&lt;&gt;""),ROWS(DJ$1:DJ14))),"")</f>
        <v/>
      </c>
      <c r="DK563" s="166" t="str">
        <f t="shared" si="324"/>
        <v/>
      </c>
      <c r="DL563" s="164" t="str">
        <f>IFERROR(INDEX(DE$550:DE$598,_xlfn.AGGREGATE(15,6,(ROW(DE$550:DE$598)-ROW(DE$550)+1)/(DE$550:DE$598&lt;&gt;""),ROWS(DL$1:DL14))),"")</f>
        <v/>
      </c>
      <c r="DM563" s="165" t="str">
        <f>IFERROR(INDEX(DF$550:DF$598,_xlfn.AGGREGATE(15,6,(ROW(DF$550:DF$598)-ROW(DF$550)+1)/(DF$550:DF$598&lt;&gt;""),ROWS(DM$1:DM14))),"")</f>
        <v/>
      </c>
      <c r="DN563" s="166" t="str">
        <f t="shared" si="325"/>
        <v/>
      </c>
      <c r="DO563" s="164" t="str">
        <f>IFERROR(INDEX(DG$550:DG$598,_xlfn.AGGREGATE(15,6,(ROW(DG$550:DG$598)-ROW(DG$550)+1)/(DG$550:DG$598&lt;&gt;""),ROWS(DO$1:DO14))),"")</f>
        <v/>
      </c>
      <c r="DP563" s="165" t="str">
        <f>IFERROR(INDEX(DH$550:DH$598,_xlfn.AGGREGATE(15,6,(ROW(DH$550:DH$598)-ROW(DH$550)+1)/(DH$550:DH$598&lt;&gt;""),ROWS(DP$1:DP14))),"")</f>
        <v/>
      </c>
      <c r="DQ563" s="166" t="str">
        <f t="shared" si="326"/>
        <v/>
      </c>
      <c r="DR563" s="65"/>
      <c r="DV563" s="145">
        <v>2028</v>
      </c>
      <c r="DW563" s="235" t="e">
        <f t="shared" ca="1" si="310"/>
        <v>#REF!</v>
      </c>
    </row>
    <row r="564" spans="1:135" ht="13.8" x14ac:dyDescent="0.45">
      <c r="B564" s="128">
        <v>2026</v>
      </c>
      <c r="C564" s="957"/>
      <c r="D564" s="947"/>
      <c r="E564" s="308"/>
      <c r="F564" s="914"/>
      <c r="G564" s="294"/>
      <c r="H564" s="292"/>
      <c r="I564" s="1112"/>
      <c r="J564" s="294"/>
      <c r="K564" s="292"/>
      <c r="L564" s="293"/>
      <c r="M564" s="292"/>
      <c r="N564" s="29" t="s">
        <v>119</v>
      </c>
      <c r="O564" s="120"/>
      <c r="P564" s="120"/>
      <c r="Q564" s="120"/>
      <c r="R564" s="29">
        <v>12</v>
      </c>
      <c r="S564" s="288" t="str">
        <f t="shared" si="311"/>
        <v/>
      </c>
      <c r="T564" s="288" t="str">
        <f t="shared" si="312"/>
        <v/>
      </c>
      <c r="U564" s="288" t="str">
        <f t="shared" si="313"/>
        <v/>
      </c>
      <c r="W564" s="288" t="e">
        <f t="shared" si="314"/>
        <v>#N/A</v>
      </c>
      <c r="X564" s="288" t="e">
        <f t="shared" si="315"/>
        <v>#N/A</v>
      </c>
      <c r="Y564" s="288" t="e">
        <f t="shared" si="316"/>
        <v>#N/A</v>
      </c>
      <c r="AA564" s="120"/>
      <c r="AB564" s="120"/>
      <c r="AC564" s="120"/>
      <c r="AD564" s="120"/>
      <c r="AE564" s="120"/>
      <c r="AF564" s="120"/>
      <c r="AG564" s="120"/>
      <c r="AH564" s="120"/>
      <c r="AI564" s="120"/>
      <c r="AJ564" s="120"/>
      <c r="AK564" s="120"/>
      <c r="AL564" s="120"/>
      <c r="AM564" s="120"/>
      <c r="AN564" s="120"/>
      <c r="BR564" s="180">
        <v>2024</v>
      </c>
      <c r="BS564" s="22">
        <v>10</v>
      </c>
      <c r="BT564" s="289" t="e">
        <f t="shared" si="327"/>
        <v>#DIV/0!</v>
      </c>
      <c r="BU564" s="290" t="e">
        <f t="shared" si="328"/>
        <v>#DIV/0!</v>
      </c>
      <c r="BV564" s="205" t="e">
        <f t="shared" si="329"/>
        <v>#DIV/0!</v>
      </c>
      <c r="BY564" s="180">
        <v>2024</v>
      </c>
      <c r="BZ564" s="22">
        <v>10</v>
      </c>
      <c r="CA564" s="289" t="e">
        <f t="shared" ca="1" si="330"/>
        <v>#REF!</v>
      </c>
      <c r="CB564" s="289" t="e">
        <f t="shared" ca="1" si="331"/>
        <v>#REF!</v>
      </c>
      <c r="CC564" s="290" t="e">
        <f t="shared" ca="1" si="342"/>
        <v>#REF!</v>
      </c>
      <c r="CD564" s="205" t="e">
        <f t="shared" ca="1" si="332"/>
        <v>#REF!</v>
      </c>
      <c r="CG564" s="180">
        <v>2024</v>
      </c>
      <c r="CH564" s="22">
        <v>10</v>
      </c>
      <c r="CI564" s="289" t="e">
        <f t="shared" ca="1" si="333"/>
        <v>#REF!</v>
      </c>
      <c r="CJ564" s="289" t="e">
        <f t="shared" ca="1" si="334"/>
        <v>#REF!</v>
      </c>
      <c r="CK564" s="289" t="e">
        <f t="shared" ca="1" si="335"/>
        <v>#REF!</v>
      </c>
      <c r="CL564" s="290" t="e">
        <f t="shared" ca="1" si="336"/>
        <v>#REF!</v>
      </c>
      <c r="CM564" s="205" t="e">
        <f t="shared" ca="1" si="337"/>
        <v>#REF!</v>
      </c>
      <c r="CP564" s="180">
        <v>2024</v>
      </c>
      <c r="CQ564" s="22">
        <v>10</v>
      </c>
      <c r="CR564" s="289" t="e">
        <f t="shared" ca="1" si="338"/>
        <v>#REF!</v>
      </c>
      <c r="CS564" s="290" t="e">
        <f t="shared" ca="1" si="339"/>
        <v>#REF!</v>
      </c>
      <c r="CT564" s="205" t="e">
        <f t="shared" ca="1" si="340"/>
        <v>#REF!</v>
      </c>
      <c r="CZ564" s="164" t="b">
        <f t="shared" si="317"/>
        <v>0</v>
      </c>
      <c r="DA564" s="165" t="b">
        <f t="shared" si="317"/>
        <v>0</v>
      </c>
      <c r="DB564" s="166" t="b">
        <f t="shared" si="317"/>
        <v>0</v>
      </c>
      <c r="DC564" s="164" t="str">
        <f t="shared" si="318"/>
        <v/>
      </c>
      <c r="DD564" s="166" t="str">
        <f t="shared" si="319"/>
        <v/>
      </c>
      <c r="DE564" s="164" t="str">
        <f t="shared" si="320"/>
        <v/>
      </c>
      <c r="DF564" s="166" t="str">
        <f t="shared" si="321"/>
        <v/>
      </c>
      <c r="DG564" s="164" t="str">
        <f t="shared" si="322"/>
        <v/>
      </c>
      <c r="DH564" s="166" t="str">
        <f t="shared" si="323"/>
        <v/>
      </c>
      <c r="DI564" s="164" t="str">
        <f>IFERROR(INDEX(DC$550:DC$598,_xlfn.AGGREGATE(15,6,(ROW(DC$550:DC$598)-ROW(DC$550)+1)/(DC$550:DC$598&lt;&gt;""),ROWS(DI$1:DI15))),"")</f>
        <v/>
      </c>
      <c r="DJ564" s="165" t="str">
        <f>IFERROR(INDEX(DD$550:DD$598,_xlfn.AGGREGATE(15,6,(ROW(DD$550:DD$598)-ROW(DD$550)+1)/(DD$550:DD$598&lt;&gt;""),ROWS(DJ$1:DJ15))),"")</f>
        <v/>
      </c>
      <c r="DK564" s="166" t="str">
        <f t="shared" si="324"/>
        <v/>
      </c>
      <c r="DL564" s="164" t="str">
        <f>IFERROR(INDEX(DE$550:DE$598,_xlfn.AGGREGATE(15,6,(ROW(DE$550:DE$598)-ROW(DE$550)+1)/(DE$550:DE$598&lt;&gt;""),ROWS(DL$1:DL15))),"")</f>
        <v/>
      </c>
      <c r="DM564" s="165" t="str">
        <f>IFERROR(INDEX(DF$550:DF$598,_xlfn.AGGREGATE(15,6,(ROW(DF$550:DF$598)-ROW(DF$550)+1)/(DF$550:DF$598&lt;&gt;""),ROWS(DM$1:DM15))),"")</f>
        <v/>
      </c>
      <c r="DN564" s="166" t="str">
        <f t="shared" si="325"/>
        <v/>
      </c>
      <c r="DO564" s="164" t="str">
        <f>IFERROR(INDEX(DG$550:DG$598,_xlfn.AGGREGATE(15,6,(ROW(DG$550:DG$598)-ROW(DG$550)+1)/(DG$550:DG$598&lt;&gt;""),ROWS(DO$1:DO15))),"")</f>
        <v/>
      </c>
      <c r="DP564" s="165" t="str">
        <f>IFERROR(INDEX(DH$550:DH$598,_xlfn.AGGREGATE(15,6,(ROW(DH$550:DH$598)-ROW(DH$550)+1)/(DH$550:DH$598&lt;&gt;""),ROWS(DP$1:DP15))),"")</f>
        <v/>
      </c>
      <c r="DQ564" s="166" t="str">
        <f t="shared" si="326"/>
        <v/>
      </c>
      <c r="DR564" s="65"/>
      <c r="DV564" s="145">
        <v>2029</v>
      </c>
      <c r="DW564" s="235" t="e">
        <f t="shared" ca="1" si="310"/>
        <v>#REF!</v>
      </c>
      <c r="EA564" s="55"/>
      <c r="EB564" s="55"/>
      <c r="EC564" s="55"/>
      <c r="ED564" s="55"/>
      <c r="EE564" s="55"/>
    </row>
    <row r="565" spans="1:135" ht="13.8" x14ac:dyDescent="0.45">
      <c r="B565" s="128">
        <v>2027</v>
      </c>
      <c r="C565" s="957"/>
      <c r="D565" s="947"/>
      <c r="E565" s="308"/>
      <c r="F565" s="914"/>
      <c r="G565" s="294"/>
      <c r="H565" s="292"/>
      <c r="I565" s="1112"/>
      <c r="J565" s="294"/>
      <c r="K565" s="292"/>
      <c r="L565" s="293"/>
      <c r="M565" s="292"/>
      <c r="N565" s="29" t="s">
        <v>119</v>
      </c>
      <c r="O565" s="120"/>
      <c r="P565" s="120"/>
      <c r="Q565" s="120"/>
      <c r="R565" s="29">
        <v>13</v>
      </c>
      <c r="S565" s="288" t="str">
        <f t="shared" si="311"/>
        <v/>
      </c>
      <c r="T565" s="288" t="str">
        <f t="shared" si="312"/>
        <v/>
      </c>
      <c r="U565" s="288" t="str">
        <f t="shared" si="313"/>
        <v/>
      </c>
      <c r="W565" s="288" t="e">
        <f t="shared" si="314"/>
        <v>#N/A</v>
      </c>
      <c r="X565" s="288" t="e">
        <f t="shared" si="315"/>
        <v>#N/A</v>
      </c>
      <c r="Y565" s="288" t="e">
        <f t="shared" si="316"/>
        <v>#N/A</v>
      </c>
      <c r="AA565" s="89"/>
      <c r="AB565" s="89"/>
      <c r="AC565" s="89"/>
      <c r="AD565" s="89"/>
      <c r="AE565" s="89"/>
      <c r="AF565" s="89"/>
      <c r="AG565" s="89"/>
      <c r="AH565" s="89"/>
      <c r="AI565" s="89"/>
      <c r="AJ565" s="89"/>
      <c r="AK565" s="89"/>
      <c r="AL565" s="89"/>
      <c r="AM565" s="89"/>
      <c r="AN565" s="89"/>
      <c r="BR565" s="180">
        <v>2025</v>
      </c>
      <c r="BS565" s="22">
        <v>11</v>
      </c>
      <c r="BT565" s="289" t="e">
        <f t="shared" si="327"/>
        <v>#DIV/0!</v>
      </c>
      <c r="BU565" s="290" t="e">
        <f t="shared" si="328"/>
        <v>#DIV/0!</v>
      </c>
      <c r="BV565" s="205" t="e">
        <f t="shared" si="329"/>
        <v>#DIV/0!</v>
      </c>
      <c r="BY565" s="180">
        <v>2025</v>
      </c>
      <c r="BZ565" s="22">
        <v>11</v>
      </c>
      <c r="CA565" s="289" t="e">
        <f t="shared" ca="1" si="330"/>
        <v>#REF!</v>
      </c>
      <c r="CB565" s="289" t="e">
        <f t="shared" ca="1" si="331"/>
        <v>#REF!</v>
      </c>
      <c r="CC565" s="290" t="e">
        <f t="shared" ca="1" si="342"/>
        <v>#REF!</v>
      </c>
      <c r="CD565" s="205" t="e">
        <f t="shared" ca="1" si="332"/>
        <v>#REF!</v>
      </c>
      <c r="CG565" s="180">
        <v>2025</v>
      </c>
      <c r="CH565" s="22">
        <v>11</v>
      </c>
      <c r="CI565" s="289" t="e">
        <f t="shared" ca="1" si="333"/>
        <v>#REF!</v>
      </c>
      <c r="CJ565" s="289" t="e">
        <f t="shared" ca="1" si="334"/>
        <v>#REF!</v>
      </c>
      <c r="CK565" s="289" t="e">
        <f t="shared" ca="1" si="335"/>
        <v>#REF!</v>
      </c>
      <c r="CL565" s="290" t="e">
        <f t="shared" ca="1" si="336"/>
        <v>#REF!</v>
      </c>
      <c r="CM565" s="205" t="e">
        <f t="shared" ca="1" si="337"/>
        <v>#REF!</v>
      </c>
      <c r="CP565" s="180">
        <v>2025</v>
      </c>
      <c r="CQ565" s="22">
        <v>11</v>
      </c>
      <c r="CR565" s="289" t="e">
        <f t="shared" ca="1" si="338"/>
        <v>#REF!</v>
      </c>
      <c r="CS565" s="290" t="e">
        <f t="shared" ca="1" si="339"/>
        <v>#REF!</v>
      </c>
      <c r="CT565" s="205" t="e">
        <f t="shared" ca="1" si="340"/>
        <v>#REF!</v>
      </c>
      <c r="CZ565" s="164" t="b">
        <f t="shared" si="317"/>
        <v>0</v>
      </c>
      <c r="DA565" s="165" t="b">
        <f t="shared" si="317"/>
        <v>0</v>
      </c>
      <c r="DB565" s="166" t="b">
        <f t="shared" si="317"/>
        <v>0</v>
      </c>
      <c r="DC565" s="164" t="str">
        <f t="shared" si="318"/>
        <v/>
      </c>
      <c r="DD565" s="166" t="str">
        <f t="shared" si="319"/>
        <v/>
      </c>
      <c r="DE565" s="164" t="str">
        <f t="shared" si="320"/>
        <v/>
      </c>
      <c r="DF565" s="166" t="str">
        <f t="shared" si="321"/>
        <v/>
      </c>
      <c r="DG565" s="164" t="str">
        <f t="shared" si="322"/>
        <v/>
      </c>
      <c r="DH565" s="166" t="str">
        <f t="shared" si="323"/>
        <v/>
      </c>
      <c r="DI565" s="164" t="str">
        <f>IFERROR(INDEX(DC$550:DC$598,_xlfn.AGGREGATE(15,6,(ROW(DC$550:DC$598)-ROW(DC$550)+1)/(DC$550:DC$598&lt;&gt;""),ROWS(DI$1:DI16))),"")</f>
        <v/>
      </c>
      <c r="DJ565" s="165" t="str">
        <f>IFERROR(INDEX(DD$550:DD$598,_xlfn.AGGREGATE(15,6,(ROW(DD$550:DD$598)-ROW(DD$550)+1)/(DD$550:DD$598&lt;&gt;""),ROWS(DJ$1:DJ16))),"")</f>
        <v/>
      </c>
      <c r="DK565" s="166" t="str">
        <f t="shared" si="324"/>
        <v/>
      </c>
      <c r="DL565" s="164" t="str">
        <f>IFERROR(INDEX(DE$550:DE$598,_xlfn.AGGREGATE(15,6,(ROW(DE$550:DE$598)-ROW(DE$550)+1)/(DE$550:DE$598&lt;&gt;""),ROWS(DL$1:DL16))),"")</f>
        <v/>
      </c>
      <c r="DM565" s="165" t="str">
        <f>IFERROR(INDEX(DF$550:DF$598,_xlfn.AGGREGATE(15,6,(ROW(DF$550:DF$598)-ROW(DF$550)+1)/(DF$550:DF$598&lt;&gt;""),ROWS(DM$1:DM16))),"")</f>
        <v/>
      </c>
      <c r="DN565" s="166" t="str">
        <f t="shared" si="325"/>
        <v/>
      </c>
      <c r="DO565" s="164" t="str">
        <f>IFERROR(INDEX(DG$550:DG$598,_xlfn.AGGREGATE(15,6,(ROW(DG$550:DG$598)-ROW(DG$550)+1)/(DG$550:DG$598&lt;&gt;""),ROWS(DO$1:DO16))),"")</f>
        <v/>
      </c>
      <c r="DP565" s="165" t="str">
        <f>IFERROR(INDEX(DH$550:DH$598,_xlfn.AGGREGATE(15,6,(ROW(DH$550:DH$598)-ROW(DH$550)+1)/(DH$550:DH$598&lt;&gt;""),ROWS(DP$1:DP16))),"")</f>
        <v/>
      </c>
      <c r="DQ565" s="166" t="str">
        <f t="shared" si="326"/>
        <v/>
      </c>
      <c r="DR565" s="65"/>
      <c r="DV565" s="145">
        <v>2030</v>
      </c>
      <c r="DW565" s="235" t="e">
        <f t="shared" ca="1" si="310"/>
        <v>#REF!</v>
      </c>
    </row>
    <row r="566" spans="1:135" ht="13.8" x14ac:dyDescent="0.45">
      <c r="A566" s="295" t="str">
        <f>$A$62</f>
        <v>Base Cases</v>
      </c>
      <c r="B566" s="128">
        <v>2028</v>
      </c>
      <c r="C566" s="957"/>
      <c r="D566" s="947"/>
      <c r="E566" s="308"/>
      <c r="F566" s="914"/>
      <c r="G566" s="294"/>
      <c r="H566" s="292"/>
      <c r="I566" s="1112"/>
      <c r="J566" s="294"/>
      <c r="K566" s="292"/>
      <c r="L566" s="293"/>
      <c r="M566" s="292"/>
      <c r="N566" s="29" t="s">
        <v>119</v>
      </c>
      <c r="O566" s="120"/>
      <c r="P566" s="120"/>
      <c r="Q566" s="120"/>
      <c r="R566" s="29">
        <v>14</v>
      </c>
      <c r="S566" s="288" t="str">
        <f t="shared" si="311"/>
        <v/>
      </c>
      <c r="T566" s="288" t="str">
        <f t="shared" si="312"/>
        <v/>
      </c>
      <c r="U566" s="288" t="str">
        <f t="shared" si="313"/>
        <v/>
      </c>
      <c r="W566" s="288" t="e">
        <f t="shared" si="314"/>
        <v>#N/A</v>
      </c>
      <c r="X566" s="288" t="e">
        <f t="shared" si="315"/>
        <v>#N/A</v>
      </c>
      <c r="Y566" s="288" t="e">
        <f t="shared" si="316"/>
        <v>#N/A</v>
      </c>
      <c r="AA566" s="114"/>
      <c r="AB566" s="114"/>
      <c r="AC566" s="114"/>
      <c r="AD566" s="114"/>
      <c r="AE566" s="114"/>
      <c r="AF566" s="114"/>
      <c r="AG566" s="114"/>
      <c r="AH566" s="114"/>
      <c r="AI566" s="114"/>
      <c r="AJ566" s="114"/>
      <c r="AK566" s="114"/>
      <c r="AL566" s="114"/>
      <c r="AM566" s="114"/>
      <c r="AN566" s="114"/>
      <c r="BR566" s="180">
        <v>2026</v>
      </c>
      <c r="BS566" s="22">
        <v>12</v>
      </c>
      <c r="BT566" s="289" t="e">
        <f t="shared" si="327"/>
        <v>#DIV/0!</v>
      </c>
      <c r="BU566" s="290" t="e">
        <f t="shared" si="328"/>
        <v>#DIV/0!</v>
      </c>
      <c r="BV566" s="205" t="e">
        <f t="shared" si="329"/>
        <v>#DIV/0!</v>
      </c>
      <c r="BY566" s="180">
        <v>2026</v>
      </c>
      <c r="BZ566" s="22">
        <v>12</v>
      </c>
      <c r="CA566" s="289" t="e">
        <f t="shared" ca="1" si="330"/>
        <v>#REF!</v>
      </c>
      <c r="CB566" s="289" t="e">
        <f t="shared" ca="1" si="331"/>
        <v>#REF!</v>
      </c>
      <c r="CC566" s="290" t="e">
        <f t="shared" ca="1" si="342"/>
        <v>#REF!</v>
      </c>
      <c r="CD566" s="205" t="e">
        <f t="shared" ca="1" si="332"/>
        <v>#REF!</v>
      </c>
      <c r="CG566" s="180">
        <v>2026</v>
      </c>
      <c r="CH566" s="22">
        <v>12</v>
      </c>
      <c r="CI566" s="289" t="e">
        <f t="shared" ca="1" si="333"/>
        <v>#REF!</v>
      </c>
      <c r="CJ566" s="289" t="e">
        <f t="shared" ca="1" si="334"/>
        <v>#REF!</v>
      </c>
      <c r="CK566" s="289" t="e">
        <f t="shared" ca="1" si="335"/>
        <v>#REF!</v>
      </c>
      <c r="CL566" s="290" t="e">
        <f t="shared" ca="1" si="336"/>
        <v>#REF!</v>
      </c>
      <c r="CM566" s="205" t="e">
        <f t="shared" ca="1" si="337"/>
        <v>#REF!</v>
      </c>
      <c r="CP566" s="180">
        <v>2026</v>
      </c>
      <c r="CQ566" s="22">
        <v>12</v>
      </c>
      <c r="CR566" s="289" t="e">
        <f t="shared" ca="1" si="338"/>
        <v>#REF!</v>
      </c>
      <c r="CS566" s="290" t="e">
        <f t="shared" ca="1" si="339"/>
        <v>#REF!</v>
      </c>
      <c r="CT566" s="205" t="e">
        <f t="shared" ca="1" si="340"/>
        <v>#REF!</v>
      </c>
      <c r="CZ566" s="164" t="b">
        <f t="shared" si="317"/>
        <v>0</v>
      </c>
      <c r="DA566" s="165" t="b">
        <f t="shared" si="317"/>
        <v>0</v>
      </c>
      <c r="DB566" s="166" t="b">
        <f t="shared" si="317"/>
        <v>0</v>
      </c>
      <c r="DC566" s="164" t="str">
        <f t="shared" si="318"/>
        <v/>
      </c>
      <c r="DD566" s="166" t="str">
        <f t="shared" si="319"/>
        <v/>
      </c>
      <c r="DE566" s="164" t="str">
        <f t="shared" si="320"/>
        <v/>
      </c>
      <c r="DF566" s="166" t="str">
        <f t="shared" si="321"/>
        <v/>
      </c>
      <c r="DG566" s="164" t="str">
        <f t="shared" si="322"/>
        <v/>
      </c>
      <c r="DH566" s="166" t="str">
        <f t="shared" si="323"/>
        <v/>
      </c>
      <c r="DI566" s="164" t="str">
        <f>IFERROR(INDEX(DC$550:DC$598,_xlfn.AGGREGATE(15,6,(ROW(DC$550:DC$598)-ROW(DC$550)+1)/(DC$550:DC$598&lt;&gt;""),ROWS(DI$1:DI17))),"")</f>
        <v/>
      </c>
      <c r="DJ566" s="165" t="str">
        <f>IFERROR(INDEX(DD$550:DD$598,_xlfn.AGGREGATE(15,6,(ROW(DD$550:DD$598)-ROW(DD$550)+1)/(DD$550:DD$598&lt;&gt;""),ROWS(DJ$1:DJ17))),"")</f>
        <v/>
      </c>
      <c r="DK566" s="166" t="str">
        <f t="shared" si="324"/>
        <v/>
      </c>
      <c r="DL566" s="164" t="str">
        <f>IFERROR(INDEX(DE$550:DE$598,_xlfn.AGGREGATE(15,6,(ROW(DE$550:DE$598)-ROW(DE$550)+1)/(DE$550:DE$598&lt;&gt;""),ROWS(DL$1:DL17))),"")</f>
        <v/>
      </c>
      <c r="DM566" s="165" t="str">
        <f>IFERROR(INDEX(DF$550:DF$598,_xlfn.AGGREGATE(15,6,(ROW(DF$550:DF$598)-ROW(DF$550)+1)/(DF$550:DF$598&lt;&gt;""),ROWS(DM$1:DM17))),"")</f>
        <v/>
      </c>
      <c r="DN566" s="166" t="str">
        <f t="shared" si="325"/>
        <v/>
      </c>
      <c r="DO566" s="164" t="str">
        <f>IFERROR(INDEX(DG$550:DG$598,_xlfn.AGGREGATE(15,6,(ROW(DG$550:DG$598)-ROW(DG$550)+1)/(DG$550:DG$598&lt;&gt;""),ROWS(DO$1:DO17))),"")</f>
        <v/>
      </c>
      <c r="DP566" s="165" t="str">
        <f>IFERROR(INDEX(DH$550:DH$598,_xlfn.AGGREGATE(15,6,(ROW(DH$550:DH$598)-ROW(DH$550)+1)/(DH$550:DH$598&lt;&gt;""),ROWS(DP$1:DP17))),"")</f>
        <v/>
      </c>
      <c r="DQ566" s="166" t="str">
        <f t="shared" si="326"/>
        <v/>
      </c>
      <c r="DR566" s="65"/>
      <c r="DV566" s="145">
        <v>2031</v>
      </c>
      <c r="DW566" s="235" t="e">
        <f t="shared" ca="1" si="310"/>
        <v>#REF!</v>
      </c>
    </row>
    <row r="567" spans="1:135" ht="13.8" x14ac:dyDescent="0.45">
      <c r="A567" s="296" t="str">
        <f>$A$63</f>
        <v>Conservative Cases</v>
      </c>
      <c r="B567" s="128">
        <v>2029</v>
      </c>
      <c r="C567" s="957"/>
      <c r="D567" s="947"/>
      <c r="E567" s="308"/>
      <c r="F567" s="914"/>
      <c r="G567" s="294"/>
      <c r="H567" s="292"/>
      <c r="I567" s="1112"/>
      <c r="J567" s="294"/>
      <c r="K567" s="292"/>
      <c r="L567" s="293"/>
      <c r="M567" s="292"/>
      <c r="N567" s="29" t="s">
        <v>119</v>
      </c>
      <c r="O567" s="120"/>
      <c r="P567" s="120"/>
      <c r="Q567" s="120"/>
      <c r="R567" s="29">
        <v>15</v>
      </c>
      <c r="S567" s="288" t="str">
        <f t="shared" si="311"/>
        <v/>
      </c>
      <c r="T567" s="288" t="str">
        <f t="shared" si="312"/>
        <v/>
      </c>
      <c r="U567" s="288" t="str">
        <f t="shared" si="313"/>
        <v/>
      </c>
      <c r="W567" s="288" t="e">
        <f t="shared" si="314"/>
        <v>#N/A</v>
      </c>
      <c r="X567" s="288" t="e">
        <f t="shared" si="315"/>
        <v>#N/A</v>
      </c>
      <c r="Y567" s="288" t="e">
        <f t="shared" si="316"/>
        <v>#N/A</v>
      </c>
      <c r="AA567" s="89"/>
      <c r="AB567" s="89"/>
      <c r="AC567" s="89"/>
      <c r="AD567" s="89"/>
      <c r="AE567" s="89"/>
      <c r="AF567" s="89"/>
      <c r="AG567" s="89"/>
      <c r="AH567" s="89"/>
      <c r="AI567" s="89"/>
      <c r="AJ567" s="89"/>
      <c r="AK567" s="89"/>
      <c r="AL567" s="89"/>
      <c r="AM567" s="89"/>
      <c r="AN567" s="89"/>
      <c r="BR567" s="180">
        <v>2027</v>
      </c>
      <c r="BS567" s="22">
        <v>13</v>
      </c>
      <c r="BT567" s="289" t="e">
        <f t="shared" si="327"/>
        <v>#DIV/0!</v>
      </c>
      <c r="BU567" s="290" t="e">
        <f t="shared" si="328"/>
        <v>#DIV/0!</v>
      </c>
      <c r="BV567" s="205" t="e">
        <f t="shared" si="329"/>
        <v>#DIV/0!</v>
      </c>
      <c r="BY567" s="180">
        <v>2027</v>
      </c>
      <c r="BZ567" s="22">
        <v>13</v>
      </c>
      <c r="CA567" s="289" t="e">
        <f t="shared" ca="1" si="330"/>
        <v>#REF!</v>
      </c>
      <c r="CB567" s="289" t="e">
        <f t="shared" ca="1" si="331"/>
        <v>#REF!</v>
      </c>
      <c r="CC567" s="290" t="e">
        <f t="shared" ca="1" si="342"/>
        <v>#REF!</v>
      </c>
      <c r="CD567" s="205" t="e">
        <f t="shared" ca="1" si="332"/>
        <v>#REF!</v>
      </c>
      <c r="CG567" s="180">
        <v>2027</v>
      </c>
      <c r="CH567" s="22">
        <v>13</v>
      </c>
      <c r="CI567" s="289" t="e">
        <f t="shared" ca="1" si="333"/>
        <v>#REF!</v>
      </c>
      <c r="CJ567" s="289" t="e">
        <f t="shared" ca="1" si="334"/>
        <v>#REF!</v>
      </c>
      <c r="CK567" s="289" t="e">
        <f t="shared" ca="1" si="335"/>
        <v>#REF!</v>
      </c>
      <c r="CL567" s="290" t="e">
        <f t="shared" ca="1" si="336"/>
        <v>#REF!</v>
      </c>
      <c r="CM567" s="205" t="e">
        <f t="shared" ca="1" si="337"/>
        <v>#REF!</v>
      </c>
      <c r="CP567" s="180">
        <v>2027</v>
      </c>
      <c r="CQ567" s="22">
        <v>13</v>
      </c>
      <c r="CR567" s="289" t="e">
        <f t="shared" ca="1" si="338"/>
        <v>#REF!</v>
      </c>
      <c r="CS567" s="290" t="e">
        <f t="shared" ca="1" si="339"/>
        <v>#REF!</v>
      </c>
      <c r="CT567" s="205" t="e">
        <f t="shared" ca="1" si="340"/>
        <v>#REF!</v>
      </c>
      <c r="CZ567" s="164" t="b">
        <f t="shared" si="317"/>
        <v>0</v>
      </c>
      <c r="DA567" s="165" t="b">
        <f t="shared" si="317"/>
        <v>0</v>
      </c>
      <c r="DB567" s="166" t="b">
        <f t="shared" si="317"/>
        <v>0</v>
      </c>
      <c r="DC567" s="164" t="str">
        <f t="shared" si="318"/>
        <v/>
      </c>
      <c r="DD567" s="166" t="str">
        <f t="shared" si="319"/>
        <v/>
      </c>
      <c r="DE567" s="164" t="str">
        <f t="shared" si="320"/>
        <v/>
      </c>
      <c r="DF567" s="166" t="str">
        <f t="shared" si="321"/>
        <v/>
      </c>
      <c r="DG567" s="164" t="str">
        <f t="shared" si="322"/>
        <v/>
      </c>
      <c r="DH567" s="166" t="str">
        <f t="shared" si="323"/>
        <v/>
      </c>
      <c r="DI567" s="164" t="str">
        <f>IFERROR(INDEX(DC$550:DC$598,_xlfn.AGGREGATE(15,6,(ROW(DC$550:DC$598)-ROW(DC$550)+1)/(DC$550:DC$598&lt;&gt;""),ROWS(DI$1:DI18))),"")</f>
        <v/>
      </c>
      <c r="DJ567" s="165" t="str">
        <f>IFERROR(INDEX(DD$550:DD$598,_xlfn.AGGREGATE(15,6,(ROW(DD$550:DD$598)-ROW(DD$550)+1)/(DD$550:DD$598&lt;&gt;""),ROWS(DJ$1:DJ18))),"")</f>
        <v/>
      </c>
      <c r="DK567" s="166" t="str">
        <f t="shared" si="324"/>
        <v/>
      </c>
      <c r="DL567" s="164" t="str">
        <f>IFERROR(INDEX(DE$550:DE$598,_xlfn.AGGREGATE(15,6,(ROW(DE$550:DE$598)-ROW(DE$550)+1)/(DE$550:DE$598&lt;&gt;""),ROWS(DL$1:DL18))),"")</f>
        <v/>
      </c>
      <c r="DM567" s="165" t="str">
        <f>IFERROR(INDEX(DF$550:DF$598,_xlfn.AGGREGATE(15,6,(ROW(DF$550:DF$598)-ROW(DF$550)+1)/(DF$550:DF$598&lt;&gt;""),ROWS(DM$1:DM18))),"")</f>
        <v/>
      </c>
      <c r="DN567" s="166" t="str">
        <f t="shared" si="325"/>
        <v/>
      </c>
      <c r="DO567" s="164" t="str">
        <f>IFERROR(INDEX(DG$550:DG$598,_xlfn.AGGREGATE(15,6,(ROW(DG$550:DG$598)-ROW(DG$550)+1)/(DG$550:DG$598&lt;&gt;""),ROWS(DO$1:DO18))),"")</f>
        <v/>
      </c>
      <c r="DP567" s="165" t="str">
        <f>IFERROR(INDEX(DH$550:DH$598,_xlfn.AGGREGATE(15,6,(ROW(DH$550:DH$598)-ROW(DH$550)+1)/(DH$550:DH$598&lt;&gt;""),ROWS(DP$1:DP18))),"")</f>
        <v/>
      </c>
      <c r="DQ567" s="166" t="str">
        <f t="shared" si="326"/>
        <v/>
      </c>
      <c r="DR567" s="65"/>
      <c r="DV567" s="145">
        <v>2032</v>
      </c>
      <c r="DW567" s="235" t="e">
        <f t="shared" ca="1" si="310"/>
        <v>#REF!</v>
      </c>
    </row>
    <row r="568" spans="1:135" ht="13.8" x14ac:dyDescent="0.45">
      <c r="A568" s="297" t="str">
        <f>$A$64</f>
        <v>Ambitious Cases</v>
      </c>
      <c r="B568" s="128">
        <v>2030</v>
      </c>
      <c r="C568" s="957"/>
      <c r="D568" s="947"/>
      <c r="E568" s="308"/>
      <c r="F568" s="914"/>
      <c r="G568" s="294"/>
      <c r="H568" s="292"/>
      <c r="I568" s="1112"/>
      <c r="J568" s="294"/>
      <c r="K568" s="292"/>
      <c r="L568" s="293"/>
      <c r="M568" s="292"/>
      <c r="N568" s="29" t="s">
        <v>119</v>
      </c>
      <c r="O568" s="120"/>
      <c r="P568" s="120"/>
      <c r="Q568" s="120"/>
      <c r="R568" s="29">
        <v>16</v>
      </c>
      <c r="S568" s="288" t="str">
        <f t="shared" si="311"/>
        <v/>
      </c>
      <c r="T568" s="288" t="str">
        <f t="shared" si="312"/>
        <v/>
      </c>
      <c r="U568" s="288" t="str">
        <f t="shared" si="313"/>
        <v/>
      </c>
      <c r="W568" s="288" t="e">
        <f t="shared" si="314"/>
        <v>#N/A</v>
      </c>
      <c r="X568" s="288" t="e">
        <f t="shared" si="315"/>
        <v>#N/A</v>
      </c>
      <c r="Y568" s="288" t="e">
        <f t="shared" si="316"/>
        <v>#N/A</v>
      </c>
      <c r="AA568" s="89"/>
      <c r="AB568" s="89"/>
      <c r="AC568" s="89"/>
      <c r="AD568" s="89"/>
      <c r="AE568" s="89"/>
      <c r="AF568" s="89"/>
      <c r="AG568" s="89"/>
      <c r="AH568" s="89"/>
      <c r="AI568" s="89"/>
      <c r="AJ568" s="89"/>
      <c r="AK568" s="89"/>
      <c r="AL568" s="89"/>
      <c r="AM568" s="89"/>
      <c r="AN568" s="89"/>
      <c r="BR568" s="180">
        <v>2028</v>
      </c>
      <c r="BS568" s="22">
        <v>14</v>
      </c>
      <c r="BT568" s="289" t="e">
        <f t="shared" si="327"/>
        <v>#DIV/0!</v>
      </c>
      <c r="BU568" s="290" t="e">
        <f t="shared" si="328"/>
        <v>#DIV/0!</v>
      </c>
      <c r="BV568" s="205" t="e">
        <f t="shared" si="329"/>
        <v>#DIV/0!</v>
      </c>
      <c r="BY568" s="180">
        <v>2028</v>
      </c>
      <c r="BZ568" s="22">
        <v>14</v>
      </c>
      <c r="CA568" s="289" t="e">
        <f t="shared" ca="1" si="330"/>
        <v>#REF!</v>
      </c>
      <c r="CB568" s="289" t="e">
        <f t="shared" ca="1" si="331"/>
        <v>#REF!</v>
      </c>
      <c r="CC568" s="290" t="e">
        <f t="shared" ca="1" si="342"/>
        <v>#REF!</v>
      </c>
      <c r="CD568" s="205" t="e">
        <f t="shared" ca="1" si="332"/>
        <v>#REF!</v>
      </c>
      <c r="CG568" s="180">
        <v>2028</v>
      </c>
      <c r="CH568" s="22">
        <v>14</v>
      </c>
      <c r="CI568" s="289" t="e">
        <f t="shared" ca="1" si="333"/>
        <v>#REF!</v>
      </c>
      <c r="CJ568" s="289" t="e">
        <f t="shared" ca="1" si="334"/>
        <v>#REF!</v>
      </c>
      <c r="CK568" s="289" t="e">
        <f t="shared" ca="1" si="335"/>
        <v>#REF!</v>
      </c>
      <c r="CL568" s="290" t="e">
        <f t="shared" ca="1" si="336"/>
        <v>#REF!</v>
      </c>
      <c r="CM568" s="205" t="e">
        <f t="shared" ca="1" si="337"/>
        <v>#REF!</v>
      </c>
      <c r="CP568" s="180">
        <v>2028</v>
      </c>
      <c r="CQ568" s="22">
        <v>14</v>
      </c>
      <c r="CR568" s="289" t="e">
        <f t="shared" ca="1" si="338"/>
        <v>#REF!</v>
      </c>
      <c r="CS568" s="290" t="e">
        <f t="shared" ca="1" si="339"/>
        <v>#REF!</v>
      </c>
      <c r="CT568" s="205" t="e">
        <f t="shared" ca="1" si="340"/>
        <v>#REF!</v>
      </c>
      <c r="CZ568" s="164" t="b">
        <f t="shared" si="317"/>
        <v>0</v>
      </c>
      <c r="DA568" s="165" t="b">
        <f t="shared" si="317"/>
        <v>0</v>
      </c>
      <c r="DB568" s="166" t="b">
        <f t="shared" si="317"/>
        <v>0</v>
      </c>
      <c r="DC568" s="164" t="str">
        <f t="shared" si="318"/>
        <v/>
      </c>
      <c r="DD568" s="166" t="str">
        <f t="shared" si="319"/>
        <v/>
      </c>
      <c r="DE568" s="164" t="str">
        <f t="shared" si="320"/>
        <v/>
      </c>
      <c r="DF568" s="166" t="str">
        <f t="shared" si="321"/>
        <v/>
      </c>
      <c r="DG568" s="164" t="str">
        <f t="shared" si="322"/>
        <v/>
      </c>
      <c r="DH568" s="166" t="str">
        <f t="shared" si="323"/>
        <v/>
      </c>
      <c r="DI568" s="164" t="str">
        <f>IFERROR(INDEX(DC$550:DC$598,_xlfn.AGGREGATE(15,6,(ROW(DC$550:DC$598)-ROW(DC$550)+1)/(DC$550:DC$598&lt;&gt;""),ROWS(DI$1:DI19))),"")</f>
        <v/>
      </c>
      <c r="DJ568" s="165" t="str">
        <f>IFERROR(INDEX(DD$550:DD$598,_xlfn.AGGREGATE(15,6,(ROW(DD$550:DD$598)-ROW(DD$550)+1)/(DD$550:DD$598&lt;&gt;""),ROWS(DJ$1:DJ19))),"")</f>
        <v/>
      </c>
      <c r="DK568" s="166" t="str">
        <f t="shared" si="324"/>
        <v/>
      </c>
      <c r="DL568" s="164" t="str">
        <f>IFERROR(INDEX(DE$550:DE$598,_xlfn.AGGREGATE(15,6,(ROW(DE$550:DE$598)-ROW(DE$550)+1)/(DE$550:DE$598&lt;&gt;""),ROWS(DL$1:DL19))),"")</f>
        <v/>
      </c>
      <c r="DM568" s="165" t="str">
        <f>IFERROR(INDEX(DF$550:DF$598,_xlfn.AGGREGATE(15,6,(ROW(DF$550:DF$598)-ROW(DF$550)+1)/(DF$550:DF$598&lt;&gt;""),ROWS(DM$1:DM19))),"")</f>
        <v/>
      </c>
      <c r="DN568" s="166" t="str">
        <f t="shared" si="325"/>
        <v/>
      </c>
      <c r="DO568" s="164" t="str">
        <f>IFERROR(INDEX(DG$550:DG$598,_xlfn.AGGREGATE(15,6,(ROW(DG$550:DG$598)-ROW(DG$550)+1)/(DG$550:DG$598&lt;&gt;""),ROWS(DO$1:DO19))),"")</f>
        <v/>
      </c>
      <c r="DP568" s="165" t="str">
        <f>IFERROR(INDEX(DH$550:DH$598,_xlfn.AGGREGATE(15,6,(ROW(DH$550:DH$598)-ROW(DH$550)+1)/(DH$550:DH$598&lt;&gt;""),ROWS(DP$1:DP19))),"")</f>
        <v/>
      </c>
      <c r="DQ568" s="166" t="str">
        <f t="shared" si="326"/>
        <v/>
      </c>
      <c r="DR568" s="65"/>
      <c r="DV568" s="145">
        <v>2033</v>
      </c>
      <c r="DW568" s="235" t="e">
        <f t="shared" ca="1" si="310"/>
        <v>#REF!</v>
      </c>
    </row>
    <row r="569" spans="1:135" ht="13.8" x14ac:dyDescent="0.45">
      <c r="A569" s="298" t="str">
        <f>$A$65</f>
        <v>Maximum Cases</v>
      </c>
      <c r="B569" s="128">
        <v>2031</v>
      </c>
      <c r="C569" s="957"/>
      <c r="D569" s="947"/>
      <c r="E569" s="308"/>
      <c r="F569" s="914"/>
      <c r="G569" s="294"/>
      <c r="H569" s="292"/>
      <c r="I569" s="1112"/>
      <c r="J569" s="294"/>
      <c r="K569" s="292"/>
      <c r="L569" s="293"/>
      <c r="M569" s="292"/>
      <c r="N569" s="29" t="s">
        <v>119</v>
      </c>
      <c r="O569" s="120"/>
      <c r="P569" s="120"/>
      <c r="Q569" s="120"/>
      <c r="R569" s="29">
        <v>17</v>
      </c>
      <c r="S569" s="288" t="str">
        <f t="shared" si="311"/>
        <v/>
      </c>
      <c r="T569" s="288" t="str">
        <f t="shared" si="312"/>
        <v/>
      </c>
      <c r="U569" s="288" t="str">
        <f t="shared" si="313"/>
        <v/>
      </c>
      <c r="W569" s="288" t="e">
        <f t="shared" si="314"/>
        <v>#N/A</v>
      </c>
      <c r="X569" s="288" t="e">
        <f t="shared" si="315"/>
        <v>#N/A</v>
      </c>
      <c r="Y569" s="288" t="e">
        <f t="shared" si="316"/>
        <v>#N/A</v>
      </c>
      <c r="AA569" s="89"/>
      <c r="AB569" s="89"/>
      <c r="AC569" s="89"/>
      <c r="AD569" s="89"/>
      <c r="AE569" s="89"/>
      <c r="AF569" s="89"/>
      <c r="AG569" s="89"/>
      <c r="AH569" s="89"/>
      <c r="AI569" s="89"/>
      <c r="AJ569" s="89"/>
      <c r="AK569" s="89"/>
      <c r="AL569" s="89"/>
      <c r="AM569" s="89"/>
      <c r="AN569" s="89"/>
      <c r="BR569" s="180">
        <v>2029</v>
      </c>
      <c r="BS569" s="22">
        <v>15</v>
      </c>
      <c r="BT569" s="289" t="e">
        <f t="shared" si="327"/>
        <v>#DIV/0!</v>
      </c>
      <c r="BU569" s="290" t="e">
        <f t="shared" si="328"/>
        <v>#DIV/0!</v>
      </c>
      <c r="BV569" s="205" t="e">
        <f t="shared" si="329"/>
        <v>#DIV/0!</v>
      </c>
      <c r="BY569" s="180">
        <v>2029</v>
      </c>
      <c r="BZ569" s="22">
        <v>15</v>
      </c>
      <c r="CA569" s="289" t="e">
        <f t="shared" ca="1" si="330"/>
        <v>#REF!</v>
      </c>
      <c r="CB569" s="289" t="e">
        <f t="shared" ca="1" si="331"/>
        <v>#REF!</v>
      </c>
      <c r="CC569" s="290" t="e">
        <f t="shared" ca="1" si="342"/>
        <v>#REF!</v>
      </c>
      <c r="CD569" s="205" t="e">
        <f t="shared" ca="1" si="332"/>
        <v>#REF!</v>
      </c>
      <c r="CG569" s="180">
        <v>2029</v>
      </c>
      <c r="CH569" s="22">
        <v>15</v>
      </c>
      <c r="CI569" s="289" t="e">
        <f t="shared" ca="1" si="333"/>
        <v>#REF!</v>
      </c>
      <c r="CJ569" s="289" t="e">
        <f t="shared" ca="1" si="334"/>
        <v>#REF!</v>
      </c>
      <c r="CK569" s="289" t="e">
        <f t="shared" ca="1" si="335"/>
        <v>#REF!</v>
      </c>
      <c r="CL569" s="290" t="e">
        <f t="shared" ca="1" si="336"/>
        <v>#REF!</v>
      </c>
      <c r="CM569" s="205" t="e">
        <f t="shared" ca="1" si="337"/>
        <v>#REF!</v>
      </c>
      <c r="CP569" s="180">
        <v>2029</v>
      </c>
      <c r="CQ569" s="22">
        <v>15</v>
      </c>
      <c r="CR569" s="289" t="e">
        <f t="shared" ca="1" si="338"/>
        <v>#REF!</v>
      </c>
      <c r="CS569" s="290" t="e">
        <f t="shared" ca="1" si="339"/>
        <v>#REF!</v>
      </c>
      <c r="CT569" s="205" t="e">
        <f t="shared" ca="1" si="340"/>
        <v>#REF!</v>
      </c>
      <c r="CZ569" s="164" t="b">
        <f t="shared" si="317"/>
        <v>0</v>
      </c>
      <c r="DA569" s="165" t="b">
        <f t="shared" si="317"/>
        <v>0</v>
      </c>
      <c r="DB569" s="166" t="b">
        <f t="shared" si="317"/>
        <v>0</v>
      </c>
      <c r="DC569" s="164" t="str">
        <f t="shared" si="318"/>
        <v/>
      </c>
      <c r="DD569" s="166" t="str">
        <f t="shared" si="319"/>
        <v/>
      </c>
      <c r="DE569" s="164" t="str">
        <f t="shared" si="320"/>
        <v/>
      </c>
      <c r="DF569" s="166" t="str">
        <f t="shared" si="321"/>
        <v/>
      </c>
      <c r="DG569" s="164" t="str">
        <f t="shared" si="322"/>
        <v/>
      </c>
      <c r="DH569" s="166" t="str">
        <f t="shared" si="323"/>
        <v/>
      </c>
      <c r="DI569" s="164" t="str">
        <f>IFERROR(INDEX(DC$550:DC$598,_xlfn.AGGREGATE(15,6,(ROW(DC$550:DC$598)-ROW(DC$550)+1)/(DC$550:DC$598&lt;&gt;""),ROWS(DI$1:DI20))),"")</f>
        <v/>
      </c>
      <c r="DJ569" s="165" t="str">
        <f>IFERROR(INDEX(DD$550:DD$598,_xlfn.AGGREGATE(15,6,(ROW(DD$550:DD$598)-ROW(DD$550)+1)/(DD$550:DD$598&lt;&gt;""),ROWS(DJ$1:DJ20))),"")</f>
        <v/>
      </c>
      <c r="DK569" s="166" t="str">
        <f t="shared" si="324"/>
        <v/>
      </c>
      <c r="DL569" s="164" t="str">
        <f>IFERROR(INDEX(DE$550:DE$598,_xlfn.AGGREGATE(15,6,(ROW(DE$550:DE$598)-ROW(DE$550)+1)/(DE$550:DE$598&lt;&gt;""),ROWS(DL$1:DL20))),"")</f>
        <v/>
      </c>
      <c r="DM569" s="165" t="str">
        <f>IFERROR(INDEX(DF$550:DF$598,_xlfn.AGGREGATE(15,6,(ROW(DF$550:DF$598)-ROW(DF$550)+1)/(DF$550:DF$598&lt;&gt;""),ROWS(DM$1:DM20))),"")</f>
        <v/>
      </c>
      <c r="DN569" s="166" t="str">
        <f t="shared" si="325"/>
        <v/>
      </c>
      <c r="DO569" s="164" t="str">
        <f>IFERROR(INDEX(DG$550:DG$598,_xlfn.AGGREGATE(15,6,(ROW(DG$550:DG$598)-ROW(DG$550)+1)/(DG$550:DG$598&lt;&gt;""),ROWS(DO$1:DO20))),"")</f>
        <v/>
      </c>
      <c r="DP569" s="165" t="str">
        <f>IFERROR(INDEX(DH$550:DH$598,_xlfn.AGGREGATE(15,6,(ROW(DH$550:DH$598)-ROW(DH$550)+1)/(DH$550:DH$598&lt;&gt;""),ROWS(DP$1:DP20))),"")</f>
        <v/>
      </c>
      <c r="DQ569" s="166" t="str">
        <f t="shared" si="326"/>
        <v/>
      </c>
      <c r="DR569" s="65"/>
      <c r="DV569" s="145">
        <v>2034</v>
      </c>
      <c r="DW569" s="235" t="e">
        <f t="shared" ca="1" si="310"/>
        <v>#REF!</v>
      </c>
    </row>
    <row r="570" spans="1:135" ht="13.8" x14ac:dyDescent="0.45">
      <c r="B570" s="128">
        <v>2032</v>
      </c>
      <c r="C570" s="957"/>
      <c r="D570" s="947"/>
      <c r="E570" s="308"/>
      <c r="F570" s="914"/>
      <c r="G570" s="294"/>
      <c r="H570" s="292"/>
      <c r="I570" s="1112"/>
      <c r="J570" s="294"/>
      <c r="K570" s="292"/>
      <c r="L570" s="293"/>
      <c r="M570" s="292"/>
      <c r="N570" s="29" t="s">
        <v>119</v>
      </c>
      <c r="O570" s="120"/>
      <c r="P570" s="120"/>
      <c r="Q570" s="120"/>
      <c r="R570" s="29">
        <v>18</v>
      </c>
      <c r="S570" s="288" t="str">
        <f t="shared" si="311"/>
        <v/>
      </c>
      <c r="T570" s="288" t="str">
        <f t="shared" si="312"/>
        <v/>
      </c>
      <c r="U570" s="288" t="str">
        <f t="shared" si="313"/>
        <v/>
      </c>
      <c r="W570" s="288" t="e">
        <f t="shared" si="314"/>
        <v>#N/A</v>
      </c>
      <c r="X570" s="288" t="e">
        <f t="shared" si="315"/>
        <v>#N/A</v>
      </c>
      <c r="Y570" s="288" t="e">
        <f t="shared" si="316"/>
        <v>#N/A</v>
      </c>
      <c r="AA570" s="89"/>
      <c r="AB570" s="89"/>
      <c r="AC570" s="89"/>
      <c r="AD570" s="89"/>
      <c r="AE570" s="89"/>
      <c r="AF570" s="89"/>
      <c r="AG570" s="89"/>
      <c r="AH570" s="89"/>
      <c r="AI570" s="89"/>
      <c r="AJ570" s="89"/>
      <c r="AK570" s="89"/>
      <c r="AL570" s="89"/>
      <c r="AM570" s="89"/>
      <c r="AN570" s="89"/>
      <c r="BR570" s="180">
        <v>2030</v>
      </c>
      <c r="BS570" s="22">
        <v>16</v>
      </c>
      <c r="BT570" s="289" t="e">
        <f t="shared" si="327"/>
        <v>#DIV/0!</v>
      </c>
      <c r="BU570" s="290" t="e">
        <f t="shared" si="328"/>
        <v>#DIV/0!</v>
      </c>
      <c r="BV570" s="205" t="e">
        <f t="shared" si="329"/>
        <v>#DIV/0!</v>
      </c>
      <c r="BY570" s="180">
        <v>2030</v>
      </c>
      <c r="BZ570" s="22">
        <v>16</v>
      </c>
      <c r="CA570" s="289" t="e">
        <f t="shared" ca="1" si="330"/>
        <v>#REF!</v>
      </c>
      <c r="CB570" s="289" t="e">
        <f t="shared" ca="1" si="331"/>
        <v>#REF!</v>
      </c>
      <c r="CC570" s="290" t="e">
        <f t="shared" ca="1" si="342"/>
        <v>#REF!</v>
      </c>
      <c r="CD570" s="205" t="e">
        <f t="shared" ca="1" si="332"/>
        <v>#REF!</v>
      </c>
      <c r="CG570" s="180">
        <v>2030</v>
      </c>
      <c r="CH570" s="22">
        <v>16</v>
      </c>
      <c r="CI570" s="289" t="e">
        <f t="shared" ca="1" si="333"/>
        <v>#REF!</v>
      </c>
      <c r="CJ570" s="289" t="e">
        <f t="shared" ca="1" si="334"/>
        <v>#REF!</v>
      </c>
      <c r="CK570" s="289" t="e">
        <f t="shared" ca="1" si="335"/>
        <v>#REF!</v>
      </c>
      <c r="CL570" s="290" t="e">
        <f t="shared" ca="1" si="336"/>
        <v>#REF!</v>
      </c>
      <c r="CM570" s="205" t="e">
        <f t="shared" ca="1" si="337"/>
        <v>#REF!</v>
      </c>
      <c r="CP570" s="180">
        <v>2030</v>
      </c>
      <c r="CQ570" s="22">
        <v>16</v>
      </c>
      <c r="CR570" s="289" t="e">
        <f t="shared" ca="1" si="338"/>
        <v>#REF!</v>
      </c>
      <c r="CS570" s="290" t="e">
        <f t="shared" ca="1" si="339"/>
        <v>#REF!</v>
      </c>
      <c r="CT570" s="205" t="e">
        <f t="shared" ca="1" si="340"/>
        <v>#REF!</v>
      </c>
      <c r="CZ570" s="164" t="b">
        <f t="shared" si="317"/>
        <v>0</v>
      </c>
      <c r="DA570" s="165" t="b">
        <f t="shared" si="317"/>
        <v>0</v>
      </c>
      <c r="DB570" s="166" t="b">
        <f t="shared" si="317"/>
        <v>0</v>
      </c>
      <c r="DC570" s="164" t="str">
        <f t="shared" si="318"/>
        <v/>
      </c>
      <c r="DD570" s="166" t="str">
        <f t="shared" si="319"/>
        <v/>
      </c>
      <c r="DE570" s="164" t="str">
        <f t="shared" si="320"/>
        <v/>
      </c>
      <c r="DF570" s="166" t="str">
        <f t="shared" si="321"/>
        <v/>
      </c>
      <c r="DG570" s="164" t="str">
        <f t="shared" si="322"/>
        <v/>
      </c>
      <c r="DH570" s="166" t="str">
        <f t="shared" si="323"/>
        <v/>
      </c>
      <c r="DI570" s="164" t="str">
        <f>IFERROR(INDEX(DC$550:DC$598,_xlfn.AGGREGATE(15,6,(ROW(DC$550:DC$598)-ROW(DC$550)+1)/(DC$550:DC$598&lt;&gt;""),ROWS(DI$1:DI21))),"")</f>
        <v/>
      </c>
      <c r="DJ570" s="165" t="str">
        <f>IFERROR(INDEX(DD$550:DD$598,_xlfn.AGGREGATE(15,6,(ROW(DD$550:DD$598)-ROW(DD$550)+1)/(DD$550:DD$598&lt;&gt;""),ROWS(DJ$1:DJ21))),"")</f>
        <v/>
      </c>
      <c r="DK570" s="166" t="str">
        <f t="shared" si="324"/>
        <v/>
      </c>
      <c r="DL570" s="164" t="str">
        <f>IFERROR(INDEX(DE$550:DE$598,_xlfn.AGGREGATE(15,6,(ROW(DE$550:DE$598)-ROW(DE$550)+1)/(DE$550:DE$598&lt;&gt;""),ROWS(DL$1:DL21))),"")</f>
        <v/>
      </c>
      <c r="DM570" s="165" t="str">
        <f>IFERROR(INDEX(DF$550:DF$598,_xlfn.AGGREGATE(15,6,(ROW(DF$550:DF$598)-ROW(DF$550)+1)/(DF$550:DF$598&lt;&gt;""),ROWS(DM$1:DM21))),"")</f>
        <v/>
      </c>
      <c r="DN570" s="166" t="str">
        <f t="shared" si="325"/>
        <v/>
      </c>
      <c r="DO570" s="164" t="str">
        <f>IFERROR(INDEX(DG$550:DG$598,_xlfn.AGGREGATE(15,6,(ROW(DG$550:DG$598)-ROW(DG$550)+1)/(DG$550:DG$598&lt;&gt;""),ROWS(DO$1:DO21))),"")</f>
        <v/>
      </c>
      <c r="DP570" s="165" t="str">
        <f>IFERROR(INDEX(DH$550:DH$598,_xlfn.AGGREGATE(15,6,(ROW(DH$550:DH$598)-ROW(DH$550)+1)/(DH$550:DH$598&lt;&gt;""),ROWS(DP$1:DP21))),"")</f>
        <v/>
      </c>
      <c r="DQ570" s="166" t="str">
        <f t="shared" si="326"/>
        <v/>
      </c>
      <c r="DR570" s="65"/>
      <c r="DV570" s="145">
        <v>2035</v>
      </c>
      <c r="DW570" s="235" t="e">
        <f t="shared" ca="1" si="310"/>
        <v>#REF!</v>
      </c>
    </row>
    <row r="571" spans="1:135" ht="13.8" x14ac:dyDescent="0.45">
      <c r="B571" s="128">
        <v>2033</v>
      </c>
      <c r="C571" s="957"/>
      <c r="D571" s="947"/>
      <c r="E571" s="308"/>
      <c r="F571" s="914"/>
      <c r="G571" s="294"/>
      <c r="H571" s="292"/>
      <c r="I571" s="1112"/>
      <c r="J571" s="294"/>
      <c r="K571" s="292"/>
      <c r="L571" s="293"/>
      <c r="M571" s="292"/>
      <c r="N571" s="29" t="s">
        <v>119</v>
      </c>
      <c r="O571" s="120"/>
      <c r="P571" s="120"/>
      <c r="Q571" s="120"/>
      <c r="R571" s="29">
        <v>19</v>
      </c>
      <c r="S571" s="288" t="str">
        <f t="shared" si="311"/>
        <v/>
      </c>
      <c r="T571" s="288" t="str">
        <f t="shared" si="312"/>
        <v/>
      </c>
      <c r="U571" s="288" t="str">
        <f t="shared" si="313"/>
        <v/>
      </c>
      <c r="W571" s="288" t="e">
        <f t="shared" si="314"/>
        <v>#N/A</v>
      </c>
      <c r="X571" s="288" t="e">
        <f t="shared" si="315"/>
        <v>#N/A</v>
      </c>
      <c r="Y571" s="288" t="e">
        <f t="shared" si="316"/>
        <v>#N/A</v>
      </c>
      <c r="AA571" s="89"/>
      <c r="AB571" s="89"/>
      <c r="AC571" s="89"/>
      <c r="AD571" s="89"/>
      <c r="AE571" s="89"/>
      <c r="AF571" s="89"/>
      <c r="AG571" s="89"/>
      <c r="AH571" s="89"/>
      <c r="AI571" s="89"/>
      <c r="AJ571" s="89"/>
      <c r="AK571" s="89"/>
      <c r="AL571" s="89"/>
      <c r="AM571" s="89"/>
      <c r="AN571" s="89"/>
      <c r="BR571" s="180">
        <v>2031</v>
      </c>
      <c r="BS571" s="22">
        <v>17</v>
      </c>
      <c r="BT571" s="289" t="e">
        <f t="shared" si="327"/>
        <v>#DIV/0!</v>
      </c>
      <c r="BU571" s="290" t="e">
        <f t="shared" si="328"/>
        <v>#DIV/0!</v>
      </c>
      <c r="BV571" s="205" t="e">
        <f t="shared" si="329"/>
        <v>#DIV/0!</v>
      </c>
      <c r="BY571" s="180">
        <v>2031</v>
      </c>
      <c r="BZ571" s="22">
        <v>17</v>
      </c>
      <c r="CA571" s="289" t="e">
        <f t="shared" ca="1" si="330"/>
        <v>#REF!</v>
      </c>
      <c r="CB571" s="289" t="e">
        <f t="shared" ca="1" si="331"/>
        <v>#REF!</v>
      </c>
      <c r="CC571" s="290" t="e">
        <f t="shared" ca="1" si="342"/>
        <v>#REF!</v>
      </c>
      <c r="CD571" s="205" t="e">
        <f t="shared" ca="1" si="332"/>
        <v>#REF!</v>
      </c>
      <c r="CG571" s="180">
        <v>2031</v>
      </c>
      <c r="CH571" s="22">
        <v>17</v>
      </c>
      <c r="CI571" s="289" t="e">
        <f t="shared" ca="1" si="333"/>
        <v>#REF!</v>
      </c>
      <c r="CJ571" s="289" t="e">
        <f t="shared" ca="1" si="334"/>
        <v>#REF!</v>
      </c>
      <c r="CK571" s="289" t="e">
        <f t="shared" ca="1" si="335"/>
        <v>#REF!</v>
      </c>
      <c r="CL571" s="290" t="e">
        <f t="shared" ca="1" si="336"/>
        <v>#REF!</v>
      </c>
      <c r="CM571" s="205" t="e">
        <f t="shared" ca="1" si="337"/>
        <v>#REF!</v>
      </c>
      <c r="CP571" s="180">
        <v>2031</v>
      </c>
      <c r="CQ571" s="22">
        <v>17</v>
      </c>
      <c r="CR571" s="289" t="e">
        <f t="shared" ca="1" si="338"/>
        <v>#REF!</v>
      </c>
      <c r="CS571" s="290" t="e">
        <f t="shared" ca="1" si="339"/>
        <v>#REF!</v>
      </c>
      <c r="CT571" s="205" t="e">
        <f t="shared" ca="1" si="340"/>
        <v>#REF!</v>
      </c>
      <c r="CZ571" s="164" t="b">
        <f t="shared" si="317"/>
        <v>0</v>
      </c>
      <c r="DA571" s="165" t="b">
        <f t="shared" si="317"/>
        <v>0</v>
      </c>
      <c r="DB571" s="166" t="b">
        <f t="shared" si="317"/>
        <v>0</v>
      </c>
      <c r="DC571" s="164" t="str">
        <f t="shared" si="318"/>
        <v/>
      </c>
      <c r="DD571" s="166" t="str">
        <f t="shared" si="319"/>
        <v/>
      </c>
      <c r="DE571" s="164" t="str">
        <f t="shared" si="320"/>
        <v/>
      </c>
      <c r="DF571" s="166" t="str">
        <f t="shared" si="321"/>
        <v/>
      </c>
      <c r="DG571" s="164" t="str">
        <f t="shared" si="322"/>
        <v/>
      </c>
      <c r="DH571" s="166" t="str">
        <f t="shared" si="323"/>
        <v/>
      </c>
      <c r="DI571" s="164" t="str">
        <f>IFERROR(INDEX(DC$550:DC$598,_xlfn.AGGREGATE(15,6,(ROW(DC$550:DC$598)-ROW(DC$550)+1)/(DC$550:DC$598&lt;&gt;""),ROWS(DI$1:DI22))),"")</f>
        <v/>
      </c>
      <c r="DJ571" s="165" t="str">
        <f>IFERROR(INDEX(DD$550:DD$598,_xlfn.AGGREGATE(15,6,(ROW(DD$550:DD$598)-ROW(DD$550)+1)/(DD$550:DD$598&lt;&gt;""),ROWS(DJ$1:DJ22))),"")</f>
        <v/>
      </c>
      <c r="DK571" s="166" t="str">
        <f t="shared" si="324"/>
        <v/>
      </c>
      <c r="DL571" s="164" t="str">
        <f>IFERROR(INDEX(DE$550:DE$598,_xlfn.AGGREGATE(15,6,(ROW(DE$550:DE$598)-ROW(DE$550)+1)/(DE$550:DE$598&lt;&gt;""),ROWS(DL$1:DL22))),"")</f>
        <v/>
      </c>
      <c r="DM571" s="165" t="str">
        <f>IFERROR(INDEX(DF$550:DF$598,_xlfn.AGGREGATE(15,6,(ROW(DF$550:DF$598)-ROW(DF$550)+1)/(DF$550:DF$598&lt;&gt;""),ROWS(DM$1:DM22))),"")</f>
        <v/>
      </c>
      <c r="DN571" s="166" t="str">
        <f t="shared" si="325"/>
        <v/>
      </c>
      <c r="DO571" s="164" t="str">
        <f>IFERROR(INDEX(DG$550:DG$598,_xlfn.AGGREGATE(15,6,(ROW(DG$550:DG$598)-ROW(DG$550)+1)/(DG$550:DG$598&lt;&gt;""),ROWS(DO$1:DO22))),"")</f>
        <v/>
      </c>
      <c r="DP571" s="165" t="str">
        <f>IFERROR(INDEX(DH$550:DH$598,_xlfn.AGGREGATE(15,6,(ROW(DH$550:DH$598)-ROW(DH$550)+1)/(DH$550:DH$598&lt;&gt;""),ROWS(DP$1:DP22))),"")</f>
        <v/>
      </c>
      <c r="DQ571" s="166" t="str">
        <f t="shared" si="326"/>
        <v/>
      </c>
      <c r="DR571" s="65"/>
      <c r="DV571" s="145">
        <v>2036</v>
      </c>
      <c r="DW571" s="235" t="e">
        <f t="shared" ca="1" si="310"/>
        <v>#REF!</v>
      </c>
    </row>
    <row r="572" spans="1:135" ht="13.8" x14ac:dyDescent="0.45">
      <c r="B572" s="128">
        <v>2034</v>
      </c>
      <c r="C572" s="957"/>
      <c r="D572" s="947"/>
      <c r="E572" s="308"/>
      <c r="F572" s="914"/>
      <c r="G572" s="294"/>
      <c r="H572" s="292"/>
      <c r="I572" s="1112"/>
      <c r="J572" s="294"/>
      <c r="K572" s="292"/>
      <c r="L572" s="293"/>
      <c r="M572" s="292"/>
      <c r="N572" s="29" t="s">
        <v>119</v>
      </c>
      <c r="O572" s="120"/>
      <c r="P572" s="120"/>
      <c r="Q572" s="120"/>
      <c r="R572" s="29">
        <v>20</v>
      </c>
      <c r="S572" s="288" t="str">
        <f t="shared" si="311"/>
        <v/>
      </c>
      <c r="T572" s="288" t="str">
        <f t="shared" si="312"/>
        <v/>
      </c>
      <c r="U572" s="288" t="str">
        <f t="shared" si="313"/>
        <v/>
      </c>
      <c r="W572" s="288" t="e">
        <f t="shared" si="314"/>
        <v>#N/A</v>
      </c>
      <c r="X572" s="288" t="e">
        <f t="shared" si="315"/>
        <v>#N/A</v>
      </c>
      <c r="Y572" s="288" t="e">
        <f t="shared" si="316"/>
        <v>#N/A</v>
      </c>
      <c r="AA572" s="89"/>
      <c r="AB572" s="89"/>
      <c r="AC572" s="89"/>
      <c r="AD572" s="89"/>
      <c r="AE572" s="89"/>
      <c r="AF572" s="89"/>
      <c r="AG572" s="89"/>
      <c r="AH572" s="89"/>
      <c r="AI572" s="89"/>
      <c r="AJ572" s="89"/>
      <c r="AK572" s="89"/>
      <c r="AL572" s="89"/>
      <c r="AM572" s="89"/>
      <c r="AN572" s="89"/>
      <c r="BR572" s="180">
        <v>2032</v>
      </c>
      <c r="BS572" s="22">
        <v>18</v>
      </c>
      <c r="BT572" s="289" t="e">
        <f t="shared" si="327"/>
        <v>#DIV/0!</v>
      </c>
      <c r="BU572" s="290" t="e">
        <f t="shared" si="328"/>
        <v>#DIV/0!</v>
      </c>
      <c r="BV572" s="205" t="e">
        <f t="shared" si="329"/>
        <v>#DIV/0!</v>
      </c>
      <c r="BY572" s="180">
        <v>2032</v>
      </c>
      <c r="BZ572" s="22">
        <v>18</v>
      </c>
      <c r="CA572" s="289" t="e">
        <f t="shared" ca="1" si="330"/>
        <v>#REF!</v>
      </c>
      <c r="CB572" s="289" t="e">
        <f t="shared" ca="1" si="331"/>
        <v>#REF!</v>
      </c>
      <c r="CC572" s="290" t="e">
        <f t="shared" ca="1" si="342"/>
        <v>#REF!</v>
      </c>
      <c r="CD572" s="205" t="e">
        <f t="shared" ca="1" si="332"/>
        <v>#REF!</v>
      </c>
      <c r="CG572" s="180">
        <v>2032</v>
      </c>
      <c r="CH572" s="22">
        <v>18</v>
      </c>
      <c r="CI572" s="289" t="e">
        <f t="shared" ca="1" si="333"/>
        <v>#REF!</v>
      </c>
      <c r="CJ572" s="289" t="e">
        <f t="shared" ca="1" si="334"/>
        <v>#REF!</v>
      </c>
      <c r="CK572" s="289" t="e">
        <f t="shared" ca="1" si="335"/>
        <v>#REF!</v>
      </c>
      <c r="CL572" s="290" t="e">
        <f t="shared" ca="1" si="336"/>
        <v>#REF!</v>
      </c>
      <c r="CM572" s="205" t="e">
        <f t="shared" ca="1" si="337"/>
        <v>#REF!</v>
      </c>
      <c r="CP572" s="180">
        <v>2032</v>
      </c>
      <c r="CQ572" s="22">
        <v>18</v>
      </c>
      <c r="CR572" s="289" t="e">
        <f t="shared" ca="1" si="338"/>
        <v>#REF!</v>
      </c>
      <c r="CS572" s="290" t="e">
        <f t="shared" ca="1" si="339"/>
        <v>#REF!</v>
      </c>
      <c r="CT572" s="205" t="e">
        <f t="shared" ca="1" si="340"/>
        <v>#REF!</v>
      </c>
      <c r="CZ572" s="164" t="b">
        <f t="shared" si="317"/>
        <v>0</v>
      </c>
      <c r="DA572" s="165" t="b">
        <f t="shared" si="317"/>
        <v>0</v>
      </c>
      <c r="DB572" s="166" t="b">
        <f t="shared" si="317"/>
        <v>0</v>
      </c>
      <c r="DC572" s="164" t="str">
        <f t="shared" si="318"/>
        <v/>
      </c>
      <c r="DD572" s="166" t="str">
        <f t="shared" si="319"/>
        <v/>
      </c>
      <c r="DE572" s="164" t="str">
        <f t="shared" si="320"/>
        <v/>
      </c>
      <c r="DF572" s="166" t="str">
        <f t="shared" si="321"/>
        <v/>
      </c>
      <c r="DG572" s="164" t="str">
        <f t="shared" si="322"/>
        <v/>
      </c>
      <c r="DH572" s="166" t="str">
        <f t="shared" si="323"/>
        <v/>
      </c>
      <c r="DI572" s="164" t="str">
        <f>IFERROR(INDEX(DC$550:DC$598,_xlfn.AGGREGATE(15,6,(ROW(DC$550:DC$598)-ROW(DC$550)+1)/(DC$550:DC$598&lt;&gt;""),ROWS(DI$1:DI23))),"")</f>
        <v/>
      </c>
      <c r="DJ572" s="165" t="str">
        <f>IFERROR(INDEX(DD$550:DD$598,_xlfn.AGGREGATE(15,6,(ROW(DD$550:DD$598)-ROW(DD$550)+1)/(DD$550:DD$598&lt;&gt;""),ROWS(DJ$1:DJ23))),"")</f>
        <v/>
      </c>
      <c r="DK572" s="166" t="str">
        <f t="shared" si="324"/>
        <v/>
      </c>
      <c r="DL572" s="164" t="str">
        <f>IFERROR(INDEX(DE$550:DE$598,_xlfn.AGGREGATE(15,6,(ROW(DE$550:DE$598)-ROW(DE$550)+1)/(DE$550:DE$598&lt;&gt;""),ROWS(DL$1:DL23))),"")</f>
        <v/>
      </c>
      <c r="DM572" s="165" t="str">
        <f>IFERROR(INDEX(DF$550:DF$598,_xlfn.AGGREGATE(15,6,(ROW(DF$550:DF$598)-ROW(DF$550)+1)/(DF$550:DF$598&lt;&gt;""),ROWS(DM$1:DM23))),"")</f>
        <v/>
      </c>
      <c r="DN572" s="166" t="str">
        <f t="shared" si="325"/>
        <v/>
      </c>
      <c r="DO572" s="164" t="str">
        <f>IFERROR(INDEX(DG$550:DG$598,_xlfn.AGGREGATE(15,6,(ROW(DG$550:DG$598)-ROW(DG$550)+1)/(DG$550:DG$598&lt;&gt;""),ROWS(DO$1:DO23))),"")</f>
        <v/>
      </c>
      <c r="DP572" s="165" t="str">
        <f>IFERROR(INDEX(DH$550:DH$598,_xlfn.AGGREGATE(15,6,(ROW(DH$550:DH$598)-ROW(DH$550)+1)/(DH$550:DH$598&lt;&gt;""),ROWS(DP$1:DP23))),"")</f>
        <v/>
      </c>
      <c r="DQ572" s="166" t="str">
        <f t="shared" si="326"/>
        <v/>
      </c>
      <c r="DR572" s="65"/>
      <c r="DV572" s="145">
        <v>2037</v>
      </c>
      <c r="DW572" s="235" t="e">
        <f t="shared" ca="1" si="310"/>
        <v>#REF!</v>
      </c>
    </row>
    <row r="573" spans="1:135" ht="13.8" x14ac:dyDescent="0.45">
      <c r="B573" s="128">
        <v>2035</v>
      </c>
      <c r="C573" s="957"/>
      <c r="D573" s="947"/>
      <c r="E573" s="308"/>
      <c r="F573" s="914"/>
      <c r="G573" s="294"/>
      <c r="H573" s="292"/>
      <c r="I573" s="1112"/>
      <c r="J573" s="294"/>
      <c r="K573" s="292"/>
      <c r="L573" s="293"/>
      <c r="M573" s="292"/>
      <c r="N573" s="29" t="s">
        <v>119</v>
      </c>
      <c r="O573" s="120"/>
      <c r="P573" s="120"/>
      <c r="Q573" s="120"/>
      <c r="R573" s="29">
        <v>21</v>
      </c>
      <c r="S573" s="288" t="str">
        <f t="shared" si="311"/>
        <v/>
      </c>
      <c r="T573" s="288" t="str">
        <f t="shared" si="312"/>
        <v/>
      </c>
      <c r="U573" s="288" t="str">
        <f t="shared" si="313"/>
        <v/>
      </c>
      <c r="W573" s="288" t="e">
        <f t="shared" si="314"/>
        <v>#N/A</v>
      </c>
      <c r="X573" s="288" t="e">
        <f t="shared" si="315"/>
        <v>#N/A</v>
      </c>
      <c r="Y573" s="288" t="e">
        <f t="shared" si="316"/>
        <v>#N/A</v>
      </c>
      <c r="AA573" s="89"/>
      <c r="AB573" s="89"/>
      <c r="AC573" s="89"/>
      <c r="AD573" s="89"/>
      <c r="AE573" s="89"/>
      <c r="AF573" s="89"/>
      <c r="AG573" s="89"/>
      <c r="AH573" s="89"/>
      <c r="AI573" s="89"/>
      <c r="AJ573" s="89"/>
      <c r="AK573" s="89"/>
      <c r="AL573" s="89"/>
      <c r="AM573" s="89"/>
      <c r="AN573" s="89"/>
      <c r="BR573" s="180">
        <v>2033</v>
      </c>
      <c r="BS573" s="22">
        <v>19</v>
      </c>
      <c r="BT573" s="289" t="e">
        <f t="shared" si="327"/>
        <v>#DIV/0!</v>
      </c>
      <c r="BU573" s="290" t="e">
        <f t="shared" si="328"/>
        <v>#DIV/0!</v>
      </c>
      <c r="BV573" s="205" t="e">
        <f t="shared" si="329"/>
        <v>#DIV/0!</v>
      </c>
      <c r="BY573" s="180">
        <v>2033</v>
      </c>
      <c r="BZ573" s="22">
        <v>19</v>
      </c>
      <c r="CA573" s="289" t="e">
        <f t="shared" ca="1" si="330"/>
        <v>#REF!</v>
      </c>
      <c r="CB573" s="289" t="e">
        <f t="shared" ca="1" si="331"/>
        <v>#REF!</v>
      </c>
      <c r="CC573" s="290" t="e">
        <f t="shared" ca="1" si="342"/>
        <v>#REF!</v>
      </c>
      <c r="CD573" s="205" t="e">
        <f t="shared" ca="1" si="332"/>
        <v>#REF!</v>
      </c>
      <c r="CG573" s="180">
        <v>2033</v>
      </c>
      <c r="CH573" s="22">
        <v>19</v>
      </c>
      <c r="CI573" s="289" t="e">
        <f t="shared" ca="1" si="333"/>
        <v>#REF!</v>
      </c>
      <c r="CJ573" s="289" t="e">
        <f t="shared" ca="1" si="334"/>
        <v>#REF!</v>
      </c>
      <c r="CK573" s="289" t="e">
        <f t="shared" ca="1" si="335"/>
        <v>#REF!</v>
      </c>
      <c r="CL573" s="290" t="e">
        <f t="shared" ca="1" si="336"/>
        <v>#REF!</v>
      </c>
      <c r="CM573" s="205" t="e">
        <f t="shared" ca="1" si="337"/>
        <v>#REF!</v>
      </c>
      <c r="CP573" s="180">
        <v>2033</v>
      </c>
      <c r="CQ573" s="22">
        <v>19</v>
      </c>
      <c r="CR573" s="289" t="e">
        <f t="shared" ca="1" si="338"/>
        <v>#REF!</v>
      </c>
      <c r="CS573" s="290" t="e">
        <f t="shared" ca="1" si="339"/>
        <v>#REF!</v>
      </c>
      <c r="CT573" s="205" t="e">
        <f t="shared" ca="1" si="340"/>
        <v>#REF!</v>
      </c>
      <c r="CZ573" s="164" t="b">
        <f t="shared" si="317"/>
        <v>0</v>
      </c>
      <c r="DA573" s="165" t="b">
        <f t="shared" si="317"/>
        <v>0</v>
      </c>
      <c r="DB573" s="166" t="b">
        <f t="shared" si="317"/>
        <v>0</v>
      </c>
      <c r="DC573" s="164" t="str">
        <f t="shared" si="318"/>
        <v/>
      </c>
      <c r="DD573" s="166" t="str">
        <f t="shared" si="319"/>
        <v/>
      </c>
      <c r="DE573" s="164" t="str">
        <f t="shared" si="320"/>
        <v/>
      </c>
      <c r="DF573" s="166" t="str">
        <f t="shared" si="321"/>
        <v/>
      </c>
      <c r="DG573" s="164" t="str">
        <f t="shared" si="322"/>
        <v/>
      </c>
      <c r="DH573" s="166" t="str">
        <f t="shared" si="323"/>
        <v/>
      </c>
      <c r="DI573" s="164" t="str">
        <f>IFERROR(INDEX(DC$550:DC$598,_xlfn.AGGREGATE(15,6,(ROW(DC$550:DC$598)-ROW(DC$550)+1)/(DC$550:DC$598&lt;&gt;""),ROWS(DI$1:DI24))),"")</f>
        <v/>
      </c>
      <c r="DJ573" s="165" t="str">
        <f>IFERROR(INDEX(DD$550:DD$598,_xlfn.AGGREGATE(15,6,(ROW(DD$550:DD$598)-ROW(DD$550)+1)/(DD$550:DD$598&lt;&gt;""),ROWS(DJ$1:DJ24))),"")</f>
        <v/>
      </c>
      <c r="DK573" s="166" t="str">
        <f t="shared" si="324"/>
        <v/>
      </c>
      <c r="DL573" s="164" t="str">
        <f>IFERROR(INDEX(DE$550:DE$598,_xlfn.AGGREGATE(15,6,(ROW(DE$550:DE$598)-ROW(DE$550)+1)/(DE$550:DE$598&lt;&gt;""),ROWS(DL$1:DL24))),"")</f>
        <v/>
      </c>
      <c r="DM573" s="165" t="str">
        <f>IFERROR(INDEX(DF$550:DF$598,_xlfn.AGGREGATE(15,6,(ROW(DF$550:DF$598)-ROW(DF$550)+1)/(DF$550:DF$598&lt;&gt;""),ROWS(DM$1:DM24))),"")</f>
        <v/>
      </c>
      <c r="DN573" s="166" t="str">
        <f t="shared" si="325"/>
        <v/>
      </c>
      <c r="DO573" s="164" t="str">
        <f>IFERROR(INDEX(DG$550:DG$598,_xlfn.AGGREGATE(15,6,(ROW(DG$550:DG$598)-ROW(DG$550)+1)/(DG$550:DG$598&lt;&gt;""),ROWS(DO$1:DO24))),"")</f>
        <v/>
      </c>
      <c r="DP573" s="165" t="str">
        <f>IFERROR(INDEX(DH$550:DH$598,_xlfn.AGGREGATE(15,6,(ROW(DH$550:DH$598)-ROW(DH$550)+1)/(DH$550:DH$598&lt;&gt;""),ROWS(DP$1:DP24))),"")</f>
        <v/>
      </c>
      <c r="DQ573" s="166" t="str">
        <f t="shared" si="326"/>
        <v/>
      </c>
      <c r="DR573" s="65"/>
      <c r="DV573" s="145">
        <v>2038</v>
      </c>
      <c r="DW573" s="235" t="e">
        <f t="shared" ca="1" si="310"/>
        <v>#REF!</v>
      </c>
    </row>
    <row r="574" spans="1:135" ht="13.8" x14ac:dyDescent="0.45">
      <c r="B574" s="128">
        <v>2036</v>
      </c>
      <c r="C574" s="957"/>
      <c r="D574" s="947"/>
      <c r="E574" s="308"/>
      <c r="F574" s="914"/>
      <c r="G574" s="294"/>
      <c r="H574" s="292"/>
      <c r="I574" s="1112"/>
      <c r="J574" s="294"/>
      <c r="K574" s="292"/>
      <c r="L574" s="293"/>
      <c r="M574" s="292"/>
      <c r="N574" s="29" t="s">
        <v>119</v>
      </c>
      <c r="O574" s="120"/>
      <c r="P574" s="120"/>
      <c r="Q574" s="120"/>
      <c r="R574" s="29">
        <v>22</v>
      </c>
      <c r="S574" s="288" t="str">
        <f t="shared" si="311"/>
        <v/>
      </c>
      <c r="T574" s="288" t="str">
        <f t="shared" si="312"/>
        <v/>
      </c>
      <c r="U574" s="288" t="str">
        <f t="shared" si="313"/>
        <v/>
      </c>
      <c r="W574" s="288" t="e">
        <f t="shared" si="314"/>
        <v>#N/A</v>
      </c>
      <c r="X574" s="288" t="e">
        <f t="shared" si="315"/>
        <v>#N/A</v>
      </c>
      <c r="Y574" s="288" t="e">
        <f t="shared" si="316"/>
        <v>#N/A</v>
      </c>
      <c r="AA574" s="89"/>
      <c r="AB574" s="89"/>
      <c r="AC574" s="89"/>
      <c r="AD574" s="89"/>
      <c r="AE574" s="89"/>
      <c r="AF574" s="89"/>
      <c r="AG574" s="89"/>
      <c r="AH574" s="89"/>
      <c r="AI574" s="89"/>
      <c r="AJ574" s="89"/>
      <c r="AK574" s="89"/>
      <c r="AL574" s="89"/>
      <c r="AM574" s="89"/>
      <c r="AN574" s="89"/>
      <c r="BR574" s="180">
        <v>2034</v>
      </c>
      <c r="BS574" s="22">
        <v>20</v>
      </c>
      <c r="BT574" s="289" t="e">
        <f t="shared" si="327"/>
        <v>#DIV/0!</v>
      </c>
      <c r="BU574" s="290" t="e">
        <f t="shared" si="328"/>
        <v>#DIV/0!</v>
      </c>
      <c r="BV574" s="205" t="e">
        <f t="shared" si="329"/>
        <v>#DIV/0!</v>
      </c>
      <c r="BY574" s="180">
        <v>2034</v>
      </c>
      <c r="BZ574" s="22">
        <v>20</v>
      </c>
      <c r="CA574" s="289" t="e">
        <f t="shared" ca="1" si="330"/>
        <v>#REF!</v>
      </c>
      <c r="CB574" s="289" t="e">
        <f t="shared" ca="1" si="331"/>
        <v>#REF!</v>
      </c>
      <c r="CC574" s="290" t="e">
        <f t="shared" ca="1" si="342"/>
        <v>#REF!</v>
      </c>
      <c r="CD574" s="205" t="e">
        <f t="shared" ca="1" si="332"/>
        <v>#REF!</v>
      </c>
      <c r="CG574" s="180">
        <v>2034</v>
      </c>
      <c r="CH574" s="22">
        <v>20</v>
      </c>
      <c r="CI574" s="289" t="e">
        <f t="shared" ca="1" si="333"/>
        <v>#REF!</v>
      </c>
      <c r="CJ574" s="289" t="e">
        <f t="shared" ca="1" si="334"/>
        <v>#REF!</v>
      </c>
      <c r="CK574" s="289" t="e">
        <f t="shared" ca="1" si="335"/>
        <v>#REF!</v>
      </c>
      <c r="CL574" s="290" t="e">
        <f t="shared" ca="1" si="336"/>
        <v>#REF!</v>
      </c>
      <c r="CM574" s="205" t="e">
        <f t="shared" ca="1" si="337"/>
        <v>#REF!</v>
      </c>
      <c r="CP574" s="180">
        <v>2034</v>
      </c>
      <c r="CQ574" s="22">
        <v>20</v>
      </c>
      <c r="CR574" s="289" t="e">
        <f t="shared" ca="1" si="338"/>
        <v>#REF!</v>
      </c>
      <c r="CS574" s="290" t="e">
        <f t="shared" ca="1" si="339"/>
        <v>#REF!</v>
      </c>
      <c r="CT574" s="205" t="e">
        <f t="shared" ca="1" si="340"/>
        <v>#REF!</v>
      </c>
      <c r="CZ574" s="164" t="b">
        <f t="shared" si="317"/>
        <v>0</v>
      </c>
      <c r="DA574" s="165" t="b">
        <f t="shared" si="317"/>
        <v>0</v>
      </c>
      <c r="DB574" s="166" t="b">
        <f t="shared" si="317"/>
        <v>0</v>
      </c>
      <c r="DC574" s="164" t="str">
        <f t="shared" si="318"/>
        <v/>
      </c>
      <c r="DD574" s="166" t="str">
        <f t="shared" si="319"/>
        <v/>
      </c>
      <c r="DE574" s="164" t="str">
        <f t="shared" si="320"/>
        <v/>
      </c>
      <c r="DF574" s="166" t="str">
        <f t="shared" si="321"/>
        <v/>
      </c>
      <c r="DG574" s="164" t="str">
        <f t="shared" si="322"/>
        <v/>
      </c>
      <c r="DH574" s="166" t="str">
        <f t="shared" si="323"/>
        <v/>
      </c>
      <c r="DI574" s="164" t="str">
        <f>IFERROR(INDEX(DC$550:DC$598,_xlfn.AGGREGATE(15,6,(ROW(DC$550:DC$598)-ROW(DC$550)+1)/(DC$550:DC$598&lt;&gt;""),ROWS(DI$1:DI25))),"")</f>
        <v/>
      </c>
      <c r="DJ574" s="165" t="str">
        <f>IFERROR(INDEX(DD$550:DD$598,_xlfn.AGGREGATE(15,6,(ROW(DD$550:DD$598)-ROW(DD$550)+1)/(DD$550:DD$598&lt;&gt;""),ROWS(DJ$1:DJ25))),"")</f>
        <v/>
      </c>
      <c r="DK574" s="166" t="str">
        <f t="shared" si="324"/>
        <v/>
      </c>
      <c r="DL574" s="164" t="str">
        <f>IFERROR(INDEX(DE$550:DE$598,_xlfn.AGGREGATE(15,6,(ROW(DE$550:DE$598)-ROW(DE$550)+1)/(DE$550:DE$598&lt;&gt;""),ROWS(DL$1:DL25))),"")</f>
        <v/>
      </c>
      <c r="DM574" s="165" t="str">
        <f>IFERROR(INDEX(DF$550:DF$598,_xlfn.AGGREGATE(15,6,(ROW(DF$550:DF$598)-ROW(DF$550)+1)/(DF$550:DF$598&lt;&gt;""),ROWS(DM$1:DM25))),"")</f>
        <v/>
      </c>
      <c r="DN574" s="166" t="str">
        <f t="shared" si="325"/>
        <v/>
      </c>
      <c r="DO574" s="164" t="str">
        <f>IFERROR(INDEX(DG$550:DG$598,_xlfn.AGGREGATE(15,6,(ROW(DG$550:DG$598)-ROW(DG$550)+1)/(DG$550:DG$598&lt;&gt;""),ROWS(DO$1:DO25))),"")</f>
        <v/>
      </c>
      <c r="DP574" s="165" t="str">
        <f>IFERROR(INDEX(DH$550:DH$598,_xlfn.AGGREGATE(15,6,(ROW(DH$550:DH$598)-ROW(DH$550)+1)/(DH$550:DH$598&lt;&gt;""),ROWS(DP$1:DP25))),"")</f>
        <v/>
      </c>
      <c r="DQ574" s="166" t="str">
        <f t="shared" si="326"/>
        <v/>
      </c>
      <c r="DR574" s="65"/>
      <c r="DV574" s="145">
        <v>2039</v>
      </c>
      <c r="DW574" s="235" t="e">
        <f t="shared" ca="1" si="310"/>
        <v>#REF!</v>
      </c>
    </row>
    <row r="575" spans="1:135" ht="13.8" x14ac:dyDescent="0.45">
      <c r="B575" s="128">
        <v>2037</v>
      </c>
      <c r="C575" s="957"/>
      <c r="D575" s="947"/>
      <c r="E575" s="308"/>
      <c r="F575" s="914"/>
      <c r="G575" s="294"/>
      <c r="H575" s="292"/>
      <c r="I575" s="1112"/>
      <c r="J575" s="294"/>
      <c r="K575" s="292"/>
      <c r="L575" s="293"/>
      <c r="M575" s="292"/>
      <c r="N575" s="29" t="s">
        <v>119</v>
      </c>
      <c r="O575" s="120"/>
      <c r="P575" s="120"/>
      <c r="Q575" s="120"/>
      <c r="R575" s="29">
        <v>23</v>
      </c>
      <c r="S575" s="288" t="str">
        <f t="shared" si="311"/>
        <v/>
      </c>
      <c r="T575" s="288" t="str">
        <f t="shared" si="312"/>
        <v/>
      </c>
      <c r="U575" s="288" t="str">
        <f t="shared" si="313"/>
        <v/>
      </c>
      <c r="W575" s="288" t="e">
        <f t="shared" si="314"/>
        <v>#N/A</v>
      </c>
      <c r="X575" s="288" t="e">
        <f t="shared" si="315"/>
        <v>#N/A</v>
      </c>
      <c r="Y575" s="288" t="e">
        <f t="shared" si="316"/>
        <v>#N/A</v>
      </c>
      <c r="AA575" s="89"/>
      <c r="AB575" s="89"/>
      <c r="AC575" s="89"/>
      <c r="AD575" s="89"/>
      <c r="AE575" s="89"/>
      <c r="AF575" s="89"/>
      <c r="AG575" s="89"/>
      <c r="AH575" s="89"/>
      <c r="AI575" s="89"/>
      <c r="AJ575" s="89"/>
      <c r="AK575" s="89"/>
      <c r="AL575" s="89"/>
      <c r="AM575" s="89"/>
      <c r="AN575" s="89"/>
      <c r="BR575" s="180">
        <v>2035</v>
      </c>
      <c r="BS575" s="22">
        <v>21</v>
      </c>
      <c r="BT575" s="289" t="e">
        <f t="shared" si="327"/>
        <v>#DIV/0!</v>
      </c>
      <c r="BU575" s="290" t="e">
        <f t="shared" si="328"/>
        <v>#DIV/0!</v>
      </c>
      <c r="BV575" s="205" t="e">
        <f t="shared" si="329"/>
        <v>#DIV/0!</v>
      </c>
      <c r="BY575" s="180">
        <v>2035</v>
      </c>
      <c r="BZ575" s="22">
        <v>21</v>
      </c>
      <c r="CA575" s="289" t="e">
        <f t="shared" ca="1" si="330"/>
        <v>#REF!</v>
      </c>
      <c r="CB575" s="289" t="e">
        <f t="shared" ca="1" si="331"/>
        <v>#REF!</v>
      </c>
      <c r="CC575" s="290" t="e">
        <f t="shared" ca="1" si="342"/>
        <v>#REF!</v>
      </c>
      <c r="CD575" s="205" t="e">
        <f t="shared" ca="1" si="332"/>
        <v>#REF!</v>
      </c>
      <c r="CG575" s="180">
        <v>2035</v>
      </c>
      <c r="CH575" s="22">
        <v>21</v>
      </c>
      <c r="CI575" s="289" t="e">
        <f t="shared" ca="1" si="333"/>
        <v>#REF!</v>
      </c>
      <c r="CJ575" s="289" t="e">
        <f t="shared" ca="1" si="334"/>
        <v>#REF!</v>
      </c>
      <c r="CK575" s="289" t="e">
        <f t="shared" ca="1" si="335"/>
        <v>#REF!</v>
      </c>
      <c r="CL575" s="290" t="e">
        <f t="shared" ca="1" si="336"/>
        <v>#REF!</v>
      </c>
      <c r="CM575" s="205" t="e">
        <f t="shared" ca="1" si="337"/>
        <v>#REF!</v>
      </c>
      <c r="CP575" s="180">
        <v>2035</v>
      </c>
      <c r="CQ575" s="22">
        <v>21</v>
      </c>
      <c r="CR575" s="289" t="e">
        <f t="shared" ca="1" si="338"/>
        <v>#REF!</v>
      </c>
      <c r="CS575" s="290" t="e">
        <f t="shared" ca="1" si="339"/>
        <v>#REF!</v>
      </c>
      <c r="CT575" s="205" t="e">
        <f t="shared" ca="1" si="340"/>
        <v>#REF!</v>
      </c>
      <c r="CZ575" s="164" t="b">
        <f t="shared" si="317"/>
        <v>0</v>
      </c>
      <c r="DA575" s="165" t="b">
        <f t="shared" si="317"/>
        <v>0</v>
      </c>
      <c r="DB575" s="166" t="b">
        <f t="shared" si="317"/>
        <v>0</v>
      </c>
      <c r="DC575" s="164" t="str">
        <f t="shared" si="318"/>
        <v/>
      </c>
      <c r="DD575" s="166" t="str">
        <f t="shared" si="319"/>
        <v/>
      </c>
      <c r="DE575" s="164" t="str">
        <f t="shared" si="320"/>
        <v/>
      </c>
      <c r="DF575" s="166" t="str">
        <f t="shared" si="321"/>
        <v/>
      </c>
      <c r="DG575" s="164" t="str">
        <f t="shared" si="322"/>
        <v/>
      </c>
      <c r="DH575" s="166" t="str">
        <f t="shared" si="323"/>
        <v/>
      </c>
      <c r="DI575" s="164" t="str">
        <f>IFERROR(INDEX(DC$550:DC$598,_xlfn.AGGREGATE(15,6,(ROW(DC$550:DC$598)-ROW(DC$550)+1)/(DC$550:DC$598&lt;&gt;""),ROWS(DI$1:DI26))),"")</f>
        <v/>
      </c>
      <c r="DJ575" s="165" t="str">
        <f>IFERROR(INDEX(DD$550:DD$598,_xlfn.AGGREGATE(15,6,(ROW(DD$550:DD$598)-ROW(DD$550)+1)/(DD$550:DD$598&lt;&gt;""),ROWS(DJ$1:DJ26))),"")</f>
        <v/>
      </c>
      <c r="DK575" s="166" t="str">
        <f t="shared" si="324"/>
        <v/>
      </c>
      <c r="DL575" s="164" t="str">
        <f>IFERROR(INDEX(DE$550:DE$598,_xlfn.AGGREGATE(15,6,(ROW(DE$550:DE$598)-ROW(DE$550)+1)/(DE$550:DE$598&lt;&gt;""),ROWS(DL$1:DL26))),"")</f>
        <v/>
      </c>
      <c r="DM575" s="165" t="str">
        <f>IFERROR(INDEX(DF$550:DF$598,_xlfn.AGGREGATE(15,6,(ROW(DF$550:DF$598)-ROW(DF$550)+1)/(DF$550:DF$598&lt;&gt;""),ROWS(DM$1:DM26))),"")</f>
        <v/>
      </c>
      <c r="DN575" s="166" t="str">
        <f t="shared" si="325"/>
        <v/>
      </c>
      <c r="DO575" s="164" t="str">
        <f>IFERROR(INDEX(DG$550:DG$598,_xlfn.AGGREGATE(15,6,(ROW(DG$550:DG$598)-ROW(DG$550)+1)/(DG$550:DG$598&lt;&gt;""),ROWS(DO$1:DO26))),"")</f>
        <v/>
      </c>
      <c r="DP575" s="165" t="str">
        <f>IFERROR(INDEX(DH$550:DH$598,_xlfn.AGGREGATE(15,6,(ROW(DH$550:DH$598)-ROW(DH$550)+1)/(DH$550:DH$598&lt;&gt;""),ROWS(DP$1:DP26))),"")</f>
        <v/>
      </c>
      <c r="DQ575" s="166" t="str">
        <f t="shared" si="326"/>
        <v/>
      </c>
      <c r="DR575" s="65"/>
      <c r="DV575" s="145">
        <v>2040</v>
      </c>
      <c r="DW575" s="235" t="e">
        <f t="shared" ca="1" si="310"/>
        <v>#REF!</v>
      </c>
    </row>
    <row r="576" spans="1:135" ht="13.8" x14ac:dyDescent="0.45">
      <c r="B576" s="128">
        <v>2038</v>
      </c>
      <c r="C576" s="957"/>
      <c r="D576" s="947"/>
      <c r="E576" s="308"/>
      <c r="F576" s="914"/>
      <c r="G576" s="294"/>
      <c r="H576" s="292"/>
      <c r="I576" s="1112"/>
      <c r="J576" s="294"/>
      <c r="K576" s="292"/>
      <c r="L576" s="293"/>
      <c r="M576" s="292"/>
      <c r="N576" s="29" t="s">
        <v>119</v>
      </c>
      <c r="O576" s="120"/>
      <c r="P576" s="120"/>
      <c r="Q576" s="120"/>
      <c r="R576" s="29">
        <v>24</v>
      </c>
      <c r="S576" s="288" t="str">
        <f t="shared" si="311"/>
        <v/>
      </c>
      <c r="T576" s="288" t="str">
        <f t="shared" si="312"/>
        <v/>
      </c>
      <c r="U576" s="288" t="str">
        <f t="shared" si="313"/>
        <v/>
      </c>
      <c r="W576" s="288" t="e">
        <f t="shared" si="314"/>
        <v>#N/A</v>
      </c>
      <c r="X576" s="288" t="e">
        <f t="shared" si="315"/>
        <v>#N/A</v>
      </c>
      <c r="Y576" s="288" t="e">
        <f t="shared" si="316"/>
        <v>#N/A</v>
      </c>
      <c r="AA576" s="89"/>
      <c r="AB576" s="89"/>
      <c r="AC576" s="89"/>
      <c r="AD576" s="89"/>
      <c r="AE576" s="89"/>
      <c r="AF576" s="89"/>
      <c r="AG576" s="89"/>
      <c r="AH576" s="89"/>
      <c r="AI576" s="89"/>
      <c r="AJ576" s="89"/>
      <c r="AK576" s="89"/>
      <c r="AL576" s="89"/>
      <c r="AM576" s="89"/>
      <c r="AN576" s="89"/>
      <c r="BR576" s="180">
        <v>2036</v>
      </c>
      <c r="BS576" s="22">
        <v>22</v>
      </c>
      <c r="BT576" s="289" t="e">
        <f t="shared" si="327"/>
        <v>#DIV/0!</v>
      </c>
      <c r="BU576" s="290" t="e">
        <f t="shared" si="328"/>
        <v>#DIV/0!</v>
      </c>
      <c r="BV576" s="205" t="e">
        <f t="shared" si="329"/>
        <v>#DIV/0!</v>
      </c>
      <c r="BY576" s="180">
        <v>2036</v>
      </c>
      <c r="BZ576" s="22">
        <v>22</v>
      </c>
      <c r="CA576" s="289" t="e">
        <f t="shared" ca="1" si="330"/>
        <v>#REF!</v>
      </c>
      <c r="CB576" s="289" t="e">
        <f t="shared" ca="1" si="331"/>
        <v>#REF!</v>
      </c>
      <c r="CC576" s="290" t="e">
        <f t="shared" ca="1" si="342"/>
        <v>#REF!</v>
      </c>
      <c r="CD576" s="205" t="e">
        <f t="shared" ca="1" si="332"/>
        <v>#REF!</v>
      </c>
      <c r="CG576" s="180">
        <v>2036</v>
      </c>
      <c r="CH576" s="22">
        <v>22</v>
      </c>
      <c r="CI576" s="289" t="e">
        <f t="shared" ca="1" si="333"/>
        <v>#REF!</v>
      </c>
      <c r="CJ576" s="289" t="e">
        <f t="shared" ca="1" si="334"/>
        <v>#REF!</v>
      </c>
      <c r="CK576" s="289" t="e">
        <f t="shared" ca="1" si="335"/>
        <v>#REF!</v>
      </c>
      <c r="CL576" s="290" t="e">
        <f t="shared" ca="1" si="336"/>
        <v>#REF!</v>
      </c>
      <c r="CM576" s="205" t="e">
        <f t="shared" ca="1" si="337"/>
        <v>#REF!</v>
      </c>
      <c r="CP576" s="180">
        <v>2036</v>
      </c>
      <c r="CQ576" s="22">
        <v>22</v>
      </c>
      <c r="CR576" s="289" t="e">
        <f t="shared" ca="1" si="338"/>
        <v>#REF!</v>
      </c>
      <c r="CS576" s="290" t="e">
        <f t="shared" ca="1" si="339"/>
        <v>#REF!</v>
      </c>
      <c r="CT576" s="205" t="e">
        <f t="shared" ca="1" si="340"/>
        <v>#REF!</v>
      </c>
      <c r="CZ576" s="164" t="b">
        <f t="shared" si="317"/>
        <v>0</v>
      </c>
      <c r="DA576" s="165" t="b">
        <f t="shared" si="317"/>
        <v>0</v>
      </c>
      <c r="DB576" s="166" t="b">
        <f t="shared" si="317"/>
        <v>0</v>
      </c>
      <c r="DC576" s="164" t="str">
        <f t="shared" si="318"/>
        <v/>
      </c>
      <c r="DD576" s="166" t="str">
        <f t="shared" si="319"/>
        <v/>
      </c>
      <c r="DE576" s="164" t="str">
        <f t="shared" si="320"/>
        <v/>
      </c>
      <c r="DF576" s="166" t="str">
        <f t="shared" si="321"/>
        <v/>
      </c>
      <c r="DG576" s="164" t="str">
        <f t="shared" si="322"/>
        <v/>
      </c>
      <c r="DH576" s="166" t="str">
        <f t="shared" si="323"/>
        <v/>
      </c>
      <c r="DI576" s="164" t="str">
        <f>IFERROR(INDEX(DC$550:DC$598,_xlfn.AGGREGATE(15,6,(ROW(DC$550:DC$598)-ROW(DC$550)+1)/(DC$550:DC$598&lt;&gt;""),ROWS(DI$1:DI27))),"")</f>
        <v/>
      </c>
      <c r="DJ576" s="165" t="str">
        <f>IFERROR(INDEX(DD$550:DD$598,_xlfn.AGGREGATE(15,6,(ROW(DD$550:DD$598)-ROW(DD$550)+1)/(DD$550:DD$598&lt;&gt;""),ROWS(DJ$1:DJ27))),"")</f>
        <v/>
      </c>
      <c r="DK576" s="166" t="str">
        <f t="shared" si="324"/>
        <v/>
      </c>
      <c r="DL576" s="164" t="str">
        <f>IFERROR(INDEX(DE$550:DE$598,_xlfn.AGGREGATE(15,6,(ROW(DE$550:DE$598)-ROW(DE$550)+1)/(DE$550:DE$598&lt;&gt;""),ROWS(DL$1:DL27))),"")</f>
        <v/>
      </c>
      <c r="DM576" s="165" t="str">
        <f>IFERROR(INDEX(DF$550:DF$598,_xlfn.AGGREGATE(15,6,(ROW(DF$550:DF$598)-ROW(DF$550)+1)/(DF$550:DF$598&lt;&gt;""),ROWS(DM$1:DM27))),"")</f>
        <v/>
      </c>
      <c r="DN576" s="166" t="str">
        <f t="shared" si="325"/>
        <v/>
      </c>
      <c r="DO576" s="164" t="str">
        <f>IFERROR(INDEX(DG$550:DG$598,_xlfn.AGGREGATE(15,6,(ROW(DG$550:DG$598)-ROW(DG$550)+1)/(DG$550:DG$598&lt;&gt;""),ROWS(DO$1:DO27))),"")</f>
        <v/>
      </c>
      <c r="DP576" s="165" t="str">
        <f>IFERROR(INDEX(DH$550:DH$598,_xlfn.AGGREGATE(15,6,(ROW(DH$550:DH$598)-ROW(DH$550)+1)/(DH$550:DH$598&lt;&gt;""),ROWS(DP$1:DP27))),"")</f>
        <v/>
      </c>
      <c r="DQ576" s="166" t="str">
        <f t="shared" si="326"/>
        <v/>
      </c>
      <c r="DR576" s="65"/>
      <c r="DV576" s="145">
        <v>2041</v>
      </c>
      <c r="DW576" s="235" t="e">
        <f t="shared" ca="1" si="310"/>
        <v>#REF!</v>
      </c>
    </row>
    <row r="577" spans="2:135" ht="13.8" x14ac:dyDescent="0.45">
      <c r="B577" s="128">
        <v>2039</v>
      </c>
      <c r="C577" s="957"/>
      <c r="D577" s="947"/>
      <c r="E577" s="308"/>
      <c r="F577" s="914"/>
      <c r="G577" s="294"/>
      <c r="H577" s="292"/>
      <c r="I577" s="1112"/>
      <c r="J577" s="294"/>
      <c r="K577" s="292"/>
      <c r="L577" s="293"/>
      <c r="M577" s="292"/>
      <c r="N577" s="29" t="s">
        <v>119</v>
      </c>
      <c r="O577" s="120"/>
      <c r="P577" s="120"/>
      <c r="Q577" s="120"/>
      <c r="R577" s="29">
        <v>25</v>
      </c>
      <c r="S577" s="288" t="str">
        <f t="shared" si="311"/>
        <v/>
      </c>
      <c r="T577" s="288" t="str">
        <f t="shared" si="312"/>
        <v/>
      </c>
      <c r="U577" s="288" t="str">
        <f t="shared" si="313"/>
        <v/>
      </c>
      <c r="W577" s="288" t="e">
        <f t="shared" si="314"/>
        <v>#N/A</v>
      </c>
      <c r="X577" s="288" t="e">
        <f t="shared" si="315"/>
        <v>#N/A</v>
      </c>
      <c r="Y577" s="288" t="e">
        <f t="shared" si="316"/>
        <v>#N/A</v>
      </c>
      <c r="AA577" s="89"/>
      <c r="AB577" s="89"/>
      <c r="AC577" s="89"/>
      <c r="AD577" s="89"/>
      <c r="AE577" s="89"/>
      <c r="AF577" s="89"/>
      <c r="AG577" s="89"/>
      <c r="AH577" s="89"/>
      <c r="AI577" s="89"/>
      <c r="AJ577" s="89"/>
      <c r="AK577" s="89"/>
      <c r="AL577" s="89"/>
      <c r="AM577" s="89"/>
      <c r="AN577" s="89"/>
      <c r="BR577" s="180">
        <v>2037</v>
      </c>
      <c r="BS577" s="22">
        <v>23</v>
      </c>
      <c r="BT577" s="289" t="e">
        <f t="shared" si="327"/>
        <v>#DIV/0!</v>
      </c>
      <c r="BU577" s="290" t="e">
        <f t="shared" si="328"/>
        <v>#DIV/0!</v>
      </c>
      <c r="BV577" s="205" t="e">
        <f t="shared" si="329"/>
        <v>#DIV/0!</v>
      </c>
      <c r="BY577" s="180">
        <v>2037</v>
      </c>
      <c r="BZ577" s="22">
        <v>23</v>
      </c>
      <c r="CA577" s="289" t="e">
        <f t="shared" ca="1" si="330"/>
        <v>#REF!</v>
      </c>
      <c r="CB577" s="289" t="e">
        <f t="shared" ca="1" si="331"/>
        <v>#REF!</v>
      </c>
      <c r="CC577" s="290" t="e">
        <f t="shared" ca="1" si="342"/>
        <v>#REF!</v>
      </c>
      <c r="CD577" s="205" t="e">
        <f t="shared" ca="1" si="332"/>
        <v>#REF!</v>
      </c>
      <c r="CG577" s="180">
        <v>2037</v>
      </c>
      <c r="CH577" s="22">
        <v>23</v>
      </c>
      <c r="CI577" s="289" t="e">
        <f t="shared" ca="1" si="333"/>
        <v>#REF!</v>
      </c>
      <c r="CJ577" s="289" t="e">
        <f t="shared" ca="1" si="334"/>
        <v>#REF!</v>
      </c>
      <c r="CK577" s="289" t="e">
        <f t="shared" ca="1" si="335"/>
        <v>#REF!</v>
      </c>
      <c r="CL577" s="290" t="e">
        <f t="shared" ca="1" si="336"/>
        <v>#REF!</v>
      </c>
      <c r="CM577" s="205" t="e">
        <f t="shared" ca="1" si="337"/>
        <v>#REF!</v>
      </c>
      <c r="CP577" s="180">
        <v>2037</v>
      </c>
      <c r="CQ577" s="22">
        <v>23</v>
      </c>
      <c r="CR577" s="289" t="e">
        <f t="shared" ca="1" si="338"/>
        <v>#REF!</v>
      </c>
      <c r="CS577" s="290" t="e">
        <f t="shared" ca="1" si="339"/>
        <v>#REF!</v>
      </c>
      <c r="CT577" s="205" t="e">
        <f t="shared" ca="1" si="340"/>
        <v>#REF!</v>
      </c>
      <c r="CZ577" s="164" t="b">
        <f t="shared" si="317"/>
        <v>0</v>
      </c>
      <c r="DA577" s="165" t="b">
        <f t="shared" si="317"/>
        <v>0</v>
      </c>
      <c r="DB577" s="166" t="b">
        <f t="shared" si="317"/>
        <v>0</v>
      </c>
      <c r="DC577" s="164" t="str">
        <f t="shared" si="318"/>
        <v/>
      </c>
      <c r="DD577" s="166" t="str">
        <f t="shared" si="319"/>
        <v/>
      </c>
      <c r="DE577" s="164" t="str">
        <f t="shared" si="320"/>
        <v/>
      </c>
      <c r="DF577" s="166" t="str">
        <f t="shared" si="321"/>
        <v/>
      </c>
      <c r="DG577" s="164" t="str">
        <f t="shared" si="322"/>
        <v/>
      </c>
      <c r="DH577" s="166" t="str">
        <f t="shared" si="323"/>
        <v/>
      </c>
      <c r="DI577" s="164" t="str">
        <f>IFERROR(INDEX(DC$550:DC$598,_xlfn.AGGREGATE(15,6,(ROW(DC$550:DC$598)-ROW(DC$550)+1)/(DC$550:DC$598&lt;&gt;""),ROWS(DI$1:DI28))),"")</f>
        <v/>
      </c>
      <c r="DJ577" s="165" t="str">
        <f>IFERROR(INDEX(DD$550:DD$598,_xlfn.AGGREGATE(15,6,(ROW(DD$550:DD$598)-ROW(DD$550)+1)/(DD$550:DD$598&lt;&gt;""),ROWS(DJ$1:DJ28))),"")</f>
        <v/>
      </c>
      <c r="DK577" s="166" t="str">
        <f t="shared" si="324"/>
        <v/>
      </c>
      <c r="DL577" s="164" t="str">
        <f>IFERROR(INDEX(DE$550:DE$598,_xlfn.AGGREGATE(15,6,(ROW(DE$550:DE$598)-ROW(DE$550)+1)/(DE$550:DE$598&lt;&gt;""),ROWS(DL$1:DL28))),"")</f>
        <v/>
      </c>
      <c r="DM577" s="165" t="str">
        <f>IFERROR(INDEX(DF$550:DF$598,_xlfn.AGGREGATE(15,6,(ROW(DF$550:DF$598)-ROW(DF$550)+1)/(DF$550:DF$598&lt;&gt;""),ROWS(DM$1:DM28))),"")</f>
        <v/>
      </c>
      <c r="DN577" s="166" t="str">
        <f t="shared" si="325"/>
        <v/>
      </c>
      <c r="DO577" s="164" t="str">
        <f>IFERROR(INDEX(DG$550:DG$598,_xlfn.AGGREGATE(15,6,(ROW(DG$550:DG$598)-ROW(DG$550)+1)/(DG$550:DG$598&lt;&gt;""),ROWS(DO$1:DO28))),"")</f>
        <v/>
      </c>
      <c r="DP577" s="165" t="str">
        <f>IFERROR(INDEX(DH$550:DH$598,_xlfn.AGGREGATE(15,6,(ROW(DH$550:DH$598)-ROW(DH$550)+1)/(DH$550:DH$598&lt;&gt;""),ROWS(DP$1:DP28))),"")</f>
        <v/>
      </c>
      <c r="DQ577" s="166" t="str">
        <f t="shared" si="326"/>
        <v/>
      </c>
      <c r="DR577" s="65"/>
      <c r="DV577" s="145">
        <v>2042</v>
      </c>
      <c r="DW577" s="235" t="e">
        <f t="shared" ca="1" si="310"/>
        <v>#REF!</v>
      </c>
    </row>
    <row r="578" spans="2:135" ht="13.8" x14ac:dyDescent="0.45">
      <c r="B578" s="128">
        <v>2040</v>
      </c>
      <c r="C578" s="957"/>
      <c r="D578" s="947"/>
      <c r="E578" s="308"/>
      <c r="F578" s="914"/>
      <c r="G578" s="294"/>
      <c r="H578" s="292"/>
      <c r="I578" s="1112"/>
      <c r="J578" s="294"/>
      <c r="K578" s="292"/>
      <c r="L578" s="293"/>
      <c r="M578" s="292"/>
      <c r="N578" s="29" t="s">
        <v>119</v>
      </c>
      <c r="O578" s="120"/>
      <c r="P578" s="120"/>
      <c r="Q578" s="120"/>
      <c r="R578" s="29">
        <v>26</v>
      </c>
      <c r="S578" s="288" t="str">
        <f t="shared" si="311"/>
        <v/>
      </c>
      <c r="T578" s="288" t="str">
        <f t="shared" si="312"/>
        <v/>
      </c>
      <c r="U578" s="288" t="str">
        <f t="shared" si="313"/>
        <v/>
      </c>
      <c r="W578" s="288" t="e">
        <f t="shared" si="314"/>
        <v>#N/A</v>
      </c>
      <c r="X578" s="288" t="e">
        <f t="shared" si="315"/>
        <v>#N/A</v>
      </c>
      <c r="Y578" s="288" t="e">
        <f t="shared" si="316"/>
        <v>#N/A</v>
      </c>
      <c r="AA578" s="89"/>
      <c r="AB578" s="89"/>
      <c r="AC578" s="89"/>
      <c r="AD578" s="89"/>
      <c r="AE578" s="89"/>
      <c r="AF578" s="89"/>
      <c r="AG578" s="89"/>
      <c r="AH578" s="89"/>
      <c r="AI578" s="89"/>
      <c r="AJ578" s="89"/>
      <c r="AK578" s="89"/>
      <c r="AL578" s="89"/>
      <c r="AM578" s="89"/>
      <c r="AN578" s="89"/>
      <c r="BR578" s="180">
        <v>2038</v>
      </c>
      <c r="BS578" s="22">
        <v>24</v>
      </c>
      <c r="BT578" s="289" t="e">
        <f t="shared" si="327"/>
        <v>#DIV/0!</v>
      </c>
      <c r="BU578" s="290" t="e">
        <f t="shared" si="328"/>
        <v>#DIV/0!</v>
      </c>
      <c r="BV578" s="205" t="e">
        <f t="shared" si="329"/>
        <v>#DIV/0!</v>
      </c>
      <c r="BY578" s="180">
        <v>2038</v>
      </c>
      <c r="BZ578" s="22">
        <v>24</v>
      </c>
      <c r="CA578" s="289" t="e">
        <f t="shared" ca="1" si="330"/>
        <v>#REF!</v>
      </c>
      <c r="CB578" s="289" t="e">
        <f t="shared" ca="1" si="331"/>
        <v>#REF!</v>
      </c>
      <c r="CC578" s="290" t="e">
        <f t="shared" ca="1" si="342"/>
        <v>#REF!</v>
      </c>
      <c r="CD578" s="205" t="e">
        <f t="shared" ca="1" si="332"/>
        <v>#REF!</v>
      </c>
      <c r="CG578" s="180">
        <v>2038</v>
      </c>
      <c r="CH578" s="22">
        <v>24</v>
      </c>
      <c r="CI578" s="289" t="e">
        <f t="shared" ca="1" si="333"/>
        <v>#REF!</v>
      </c>
      <c r="CJ578" s="289" t="e">
        <f t="shared" ca="1" si="334"/>
        <v>#REF!</v>
      </c>
      <c r="CK578" s="289" t="e">
        <f t="shared" ca="1" si="335"/>
        <v>#REF!</v>
      </c>
      <c r="CL578" s="290" t="e">
        <f t="shared" ca="1" si="336"/>
        <v>#REF!</v>
      </c>
      <c r="CM578" s="205" t="e">
        <f t="shared" ca="1" si="337"/>
        <v>#REF!</v>
      </c>
      <c r="CP578" s="180">
        <v>2038</v>
      </c>
      <c r="CQ578" s="22">
        <v>24</v>
      </c>
      <c r="CR578" s="289" t="e">
        <f t="shared" ca="1" si="338"/>
        <v>#REF!</v>
      </c>
      <c r="CS578" s="290" t="e">
        <f t="shared" ca="1" si="339"/>
        <v>#REF!</v>
      </c>
      <c r="CT578" s="205" t="e">
        <f t="shared" ca="1" si="340"/>
        <v>#REF!</v>
      </c>
      <c r="CZ578" s="164" t="b">
        <f t="shared" si="317"/>
        <v>0</v>
      </c>
      <c r="DA578" s="165" t="b">
        <f t="shared" si="317"/>
        <v>0</v>
      </c>
      <c r="DB578" s="166" t="b">
        <f t="shared" si="317"/>
        <v>0</v>
      </c>
      <c r="DC578" s="164" t="str">
        <f t="shared" si="318"/>
        <v/>
      </c>
      <c r="DD578" s="166" t="str">
        <f t="shared" si="319"/>
        <v/>
      </c>
      <c r="DE578" s="164" t="str">
        <f t="shared" si="320"/>
        <v/>
      </c>
      <c r="DF578" s="166" t="str">
        <f t="shared" si="321"/>
        <v/>
      </c>
      <c r="DG578" s="164" t="str">
        <f t="shared" si="322"/>
        <v/>
      </c>
      <c r="DH578" s="166" t="str">
        <f t="shared" si="323"/>
        <v/>
      </c>
      <c r="DI578" s="164" t="str">
        <f>IFERROR(INDEX(DC$550:DC$598,_xlfn.AGGREGATE(15,6,(ROW(DC$550:DC$598)-ROW(DC$550)+1)/(DC$550:DC$598&lt;&gt;""),ROWS(DI$1:DI29))),"")</f>
        <v/>
      </c>
      <c r="DJ578" s="165" t="str">
        <f>IFERROR(INDEX(DD$550:DD$598,_xlfn.AGGREGATE(15,6,(ROW(DD$550:DD$598)-ROW(DD$550)+1)/(DD$550:DD$598&lt;&gt;""),ROWS(DJ$1:DJ29))),"")</f>
        <v/>
      </c>
      <c r="DK578" s="166" t="str">
        <f t="shared" si="324"/>
        <v/>
      </c>
      <c r="DL578" s="164" t="str">
        <f>IFERROR(INDEX(DE$550:DE$598,_xlfn.AGGREGATE(15,6,(ROW(DE$550:DE$598)-ROW(DE$550)+1)/(DE$550:DE$598&lt;&gt;""),ROWS(DL$1:DL29))),"")</f>
        <v/>
      </c>
      <c r="DM578" s="165" t="str">
        <f>IFERROR(INDEX(DF$550:DF$598,_xlfn.AGGREGATE(15,6,(ROW(DF$550:DF$598)-ROW(DF$550)+1)/(DF$550:DF$598&lt;&gt;""),ROWS(DM$1:DM29))),"")</f>
        <v/>
      </c>
      <c r="DN578" s="166" t="str">
        <f t="shared" si="325"/>
        <v/>
      </c>
      <c r="DO578" s="164" t="str">
        <f>IFERROR(INDEX(DG$550:DG$598,_xlfn.AGGREGATE(15,6,(ROW(DG$550:DG$598)-ROW(DG$550)+1)/(DG$550:DG$598&lt;&gt;""),ROWS(DO$1:DO29))),"")</f>
        <v/>
      </c>
      <c r="DP578" s="165" t="str">
        <f>IFERROR(INDEX(DH$550:DH$598,_xlfn.AGGREGATE(15,6,(ROW(DH$550:DH$598)-ROW(DH$550)+1)/(DH$550:DH$598&lt;&gt;""),ROWS(DP$1:DP29))),"")</f>
        <v/>
      </c>
      <c r="DQ578" s="166" t="str">
        <f t="shared" si="326"/>
        <v/>
      </c>
      <c r="DR578" s="65"/>
      <c r="DV578" s="145">
        <v>2043</v>
      </c>
      <c r="DW578" s="235" t="e">
        <f t="shared" ca="1" si="310"/>
        <v>#REF!</v>
      </c>
      <c r="EA578" s="55"/>
      <c r="EB578" s="55"/>
      <c r="EC578" s="55"/>
      <c r="ED578" s="55"/>
      <c r="EE578" s="55"/>
    </row>
    <row r="579" spans="2:135" ht="13.8" x14ac:dyDescent="0.45">
      <c r="B579" s="128">
        <v>2041</v>
      </c>
      <c r="C579" s="957"/>
      <c r="D579" s="947"/>
      <c r="E579" s="308"/>
      <c r="F579" s="914"/>
      <c r="G579" s="294"/>
      <c r="H579" s="292"/>
      <c r="I579" s="1112"/>
      <c r="J579" s="294"/>
      <c r="K579" s="292"/>
      <c r="L579" s="293"/>
      <c r="M579" s="292"/>
      <c r="N579" s="29" t="s">
        <v>119</v>
      </c>
      <c r="O579" s="120"/>
      <c r="P579" s="120"/>
      <c r="Q579" s="120"/>
      <c r="R579" s="29">
        <v>27</v>
      </c>
      <c r="S579" s="288" t="str">
        <f t="shared" si="311"/>
        <v/>
      </c>
      <c r="T579" s="288" t="str">
        <f t="shared" si="312"/>
        <v/>
      </c>
      <c r="U579" s="288" t="str">
        <f t="shared" si="313"/>
        <v/>
      </c>
      <c r="W579" s="288" t="e">
        <f t="shared" si="314"/>
        <v>#N/A</v>
      </c>
      <c r="X579" s="288" t="e">
        <f t="shared" si="315"/>
        <v>#N/A</v>
      </c>
      <c r="Y579" s="288" t="e">
        <f t="shared" si="316"/>
        <v>#N/A</v>
      </c>
      <c r="AA579" s="89"/>
      <c r="AB579" s="89"/>
      <c r="AC579" s="89"/>
      <c r="AD579" s="89"/>
      <c r="AE579" s="89"/>
      <c r="AF579" s="89"/>
      <c r="AG579" s="89"/>
      <c r="AH579" s="89"/>
      <c r="AI579" s="89"/>
      <c r="AJ579" s="89"/>
      <c r="AK579" s="89"/>
      <c r="AL579" s="89"/>
      <c r="AM579" s="89"/>
      <c r="AN579" s="89"/>
      <c r="BR579" s="180">
        <v>2039</v>
      </c>
      <c r="BS579" s="22">
        <v>25</v>
      </c>
      <c r="BT579" s="289" t="e">
        <f t="shared" si="327"/>
        <v>#DIV/0!</v>
      </c>
      <c r="BU579" s="290" t="e">
        <f t="shared" si="328"/>
        <v>#DIV/0!</v>
      </c>
      <c r="BV579" s="205" t="e">
        <f t="shared" si="329"/>
        <v>#DIV/0!</v>
      </c>
      <c r="BY579" s="180">
        <v>2039</v>
      </c>
      <c r="BZ579" s="22">
        <v>25</v>
      </c>
      <c r="CA579" s="289" t="e">
        <f t="shared" ca="1" si="330"/>
        <v>#REF!</v>
      </c>
      <c r="CB579" s="289" t="e">
        <f t="shared" ca="1" si="331"/>
        <v>#REF!</v>
      </c>
      <c r="CC579" s="290" t="e">
        <f t="shared" ca="1" si="342"/>
        <v>#REF!</v>
      </c>
      <c r="CD579" s="205" t="e">
        <f t="shared" ca="1" si="332"/>
        <v>#REF!</v>
      </c>
      <c r="CG579" s="180">
        <v>2039</v>
      </c>
      <c r="CH579" s="22">
        <v>25</v>
      </c>
      <c r="CI579" s="289" t="e">
        <f t="shared" ca="1" si="333"/>
        <v>#REF!</v>
      </c>
      <c r="CJ579" s="289" t="e">
        <f t="shared" ca="1" si="334"/>
        <v>#REF!</v>
      </c>
      <c r="CK579" s="289" t="e">
        <f t="shared" ca="1" si="335"/>
        <v>#REF!</v>
      </c>
      <c r="CL579" s="290" t="e">
        <f t="shared" ca="1" si="336"/>
        <v>#REF!</v>
      </c>
      <c r="CM579" s="205" t="e">
        <f t="shared" ca="1" si="337"/>
        <v>#REF!</v>
      </c>
      <c r="CP579" s="180">
        <v>2039</v>
      </c>
      <c r="CQ579" s="22">
        <v>25</v>
      </c>
      <c r="CR579" s="289" t="e">
        <f t="shared" ca="1" si="338"/>
        <v>#REF!</v>
      </c>
      <c r="CS579" s="290" t="e">
        <f t="shared" ca="1" si="339"/>
        <v>#REF!</v>
      </c>
      <c r="CT579" s="205" t="e">
        <f t="shared" ca="1" si="340"/>
        <v>#REF!</v>
      </c>
      <c r="CZ579" s="164" t="b">
        <f t="shared" si="317"/>
        <v>0</v>
      </c>
      <c r="DA579" s="165" t="b">
        <f t="shared" si="317"/>
        <v>0</v>
      </c>
      <c r="DB579" s="166" t="b">
        <f t="shared" si="317"/>
        <v>0</v>
      </c>
      <c r="DC579" s="164" t="str">
        <f t="shared" si="318"/>
        <v/>
      </c>
      <c r="DD579" s="166" t="str">
        <f t="shared" si="319"/>
        <v/>
      </c>
      <c r="DE579" s="164" t="str">
        <f t="shared" si="320"/>
        <v/>
      </c>
      <c r="DF579" s="166" t="str">
        <f t="shared" si="321"/>
        <v/>
      </c>
      <c r="DG579" s="164" t="str">
        <f t="shared" si="322"/>
        <v/>
      </c>
      <c r="DH579" s="166" t="str">
        <f t="shared" si="323"/>
        <v/>
      </c>
      <c r="DI579" s="164" t="str">
        <f>IFERROR(INDEX(DC$550:DC$598,_xlfn.AGGREGATE(15,6,(ROW(DC$550:DC$598)-ROW(DC$550)+1)/(DC$550:DC$598&lt;&gt;""),ROWS(DI$1:DI30))),"")</f>
        <v/>
      </c>
      <c r="DJ579" s="165" t="str">
        <f>IFERROR(INDEX(DD$550:DD$598,_xlfn.AGGREGATE(15,6,(ROW(DD$550:DD$598)-ROW(DD$550)+1)/(DD$550:DD$598&lt;&gt;""),ROWS(DJ$1:DJ30))),"")</f>
        <v/>
      </c>
      <c r="DK579" s="166" t="str">
        <f t="shared" si="324"/>
        <v/>
      </c>
      <c r="DL579" s="164" t="str">
        <f>IFERROR(INDEX(DE$550:DE$598,_xlfn.AGGREGATE(15,6,(ROW(DE$550:DE$598)-ROW(DE$550)+1)/(DE$550:DE$598&lt;&gt;""),ROWS(DL$1:DL30))),"")</f>
        <v/>
      </c>
      <c r="DM579" s="165" t="str">
        <f>IFERROR(INDEX(DF$550:DF$598,_xlfn.AGGREGATE(15,6,(ROW(DF$550:DF$598)-ROW(DF$550)+1)/(DF$550:DF$598&lt;&gt;""),ROWS(DM$1:DM30))),"")</f>
        <v/>
      </c>
      <c r="DN579" s="166" t="str">
        <f t="shared" si="325"/>
        <v/>
      </c>
      <c r="DO579" s="164" t="str">
        <f>IFERROR(INDEX(DG$550:DG$598,_xlfn.AGGREGATE(15,6,(ROW(DG$550:DG$598)-ROW(DG$550)+1)/(DG$550:DG$598&lt;&gt;""),ROWS(DO$1:DO30))),"")</f>
        <v/>
      </c>
      <c r="DP579" s="165" t="str">
        <f>IFERROR(INDEX(DH$550:DH$598,_xlfn.AGGREGATE(15,6,(ROW(DH$550:DH$598)-ROW(DH$550)+1)/(DH$550:DH$598&lt;&gt;""),ROWS(DP$1:DP30))),"")</f>
        <v/>
      </c>
      <c r="DQ579" s="166" t="str">
        <f t="shared" si="326"/>
        <v/>
      </c>
      <c r="DR579" s="65"/>
      <c r="DV579" s="145">
        <v>2044</v>
      </c>
      <c r="DW579" s="235" t="e">
        <f t="shared" ca="1" si="310"/>
        <v>#REF!</v>
      </c>
      <c r="EA579" s="55"/>
      <c r="EB579" s="55"/>
      <c r="EC579" s="55"/>
      <c r="ED579" s="55"/>
      <c r="EE579" s="55"/>
    </row>
    <row r="580" spans="2:135" ht="13.8" x14ac:dyDescent="0.45">
      <c r="B580" s="128">
        <v>2042</v>
      </c>
      <c r="C580" s="957"/>
      <c r="D580" s="947"/>
      <c r="E580" s="308"/>
      <c r="F580" s="914"/>
      <c r="G580" s="294"/>
      <c r="H580" s="292"/>
      <c r="I580" s="1112"/>
      <c r="J580" s="294"/>
      <c r="K580" s="292"/>
      <c r="L580" s="293"/>
      <c r="M580" s="292"/>
      <c r="N580" s="29" t="s">
        <v>119</v>
      </c>
      <c r="O580" s="120"/>
      <c r="P580" s="120"/>
      <c r="Q580" s="120"/>
      <c r="R580" s="29">
        <v>28</v>
      </c>
      <c r="S580" s="288" t="str">
        <f t="shared" si="311"/>
        <v/>
      </c>
      <c r="T580" s="288" t="str">
        <f t="shared" si="312"/>
        <v/>
      </c>
      <c r="U580" s="288" t="str">
        <f t="shared" si="313"/>
        <v/>
      </c>
      <c r="W580" s="288" t="e">
        <f t="shared" si="314"/>
        <v>#N/A</v>
      </c>
      <c r="X580" s="288" t="e">
        <f t="shared" si="315"/>
        <v>#N/A</v>
      </c>
      <c r="Y580" s="288" t="e">
        <f t="shared" si="316"/>
        <v>#N/A</v>
      </c>
      <c r="AA580" s="89"/>
      <c r="AB580" s="89"/>
      <c r="AC580" s="89"/>
      <c r="AD580" s="89"/>
      <c r="AE580" s="89"/>
      <c r="AF580" s="89"/>
      <c r="AG580" s="89"/>
      <c r="AH580" s="89"/>
      <c r="AI580" s="89"/>
      <c r="AJ580" s="89"/>
      <c r="AK580" s="89"/>
      <c r="AL580" s="89"/>
      <c r="AM580" s="89"/>
      <c r="AN580" s="89"/>
      <c r="BR580" s="180">
        <v>2040</v>
      </c>
      <c r="BS580" s="22">
        <v>26</v>
      </c>
      <c r="BT580" s="289" t="e">
        <f t="shared" si="327"/>
        <v>#DIV/0!</v>
      </c>
      <c r="BU580" s="290" t="e">
        <f t="shared" si="328"/>
        <v>#DIV/0!</v>
      </c>
      <c r="BV580" s="205" t="e">
        <f t="shared" si="329"/>
        <v>#DIV/0!</v>
      </c>
      <c r="BY580" s="180">
        <v>2040</v>
      </c>
      <c r="BZ580" s="22">
        <v>26</v>
      </c>
      <c r="CA580" s="289" t="e">
        <f t="shared" ca="1" si="330"/>
        <v>#REF!</v>
      </c>
      <c r="CB580" s="289" t="e">
        <f t="shared" ca="1" si="331"/>
        <v>#REF!</v>
      </c>
      <c r="CC580" s="290" t="e">
        <f t="shared" ca="1" si="342"/>
        <v>#REF!</v>
      </c>
      <c r="CD580" s="205" t="e">
        <f t="shared" ca="1" si="332"/>
        <v>#REF!</v>
      </c>
      <c r="CG580" s="180">
        <v>2040</v>
      </c>
      <c r="CH580" s="22">
        <v>26</v>
      </c>
      <c r="CI580" s="289" t="e">
        <f t="shared" ca="1" si="333"/>
        <v>#REF!</v>
      </c>
      <c r="CJ580" s="289" t="e">
        <f t="shared" ca="1" si="334"/>
        <v>#REF!</v>
      </c>
      <c r="CK580" s="289" t="e">
        <f t="shared" ca="1" si="335"/>
        <v>#REF!</v>
      </c>
      <c r="CL580" s="290" t="e">
        <f t="shared" ca="1" si="336"/>
        <v>#REF!</v>
      </c>
      <c r="CM580" s="205" t="e">
        <f t="shared" ca="1" si="337"/>
        <v>#REF!</v>
      </c>
      <c r="CP580" s="180">
        <v>2040</v>
      </c>
      <c r="CQ580" s="22">
        <v>26</v>
      </c>
      <c r="CR580" s="289" t="e">
        <f t="shared" ca="1" si="338"/>
        <v>#REF!</v>
      </c>
      <c r="CS580" s="290" t="e">
        <f t="shared" ca="1" si="339"/>
        <v>#REF!</v>
      </c>
      <c r="CT580" s="205" t="e">
        <f t="shared" ca="1" si="340"/>
        <v>#REF!</v>
      </c>
      <c r="CZ580" s="164" t="b">
        <f t="shared" si="317"/>
        <v>0</v>
      </c>
      <c r="DA580" s="165" t="b">
        <f t="shared" si="317"/>
        <v>0</v>
      </c>
      <c r="DB580" s="166" t="b">
        <f t="shared" si="317"/>
        <v>0</v>
      </c>
      <c r="DC580" s="164" t="str">
        <f t="shared" si="318"/>
        <v/>
      </c>
      <c r="DD580" s="166" t="str">
        <f t="shared" si="319"/>
        <v/>
      </c>
      <c r="DE580" s="164" t="str">
        <f t="shared" si="320"/>
        <v/>
      </c>
      <c r="DF580" s="166" t="str">
        <f t="shared" si="321"/>
        <v/>
      </c>
      <c r="DG580" s="164" t="str">
        <f t="shared" si="322"/>
        <v/>
      </c>
      <c r="DH580" s="166" t="str">
        <f t="shared" si="323"/>
        <v/>
      </c>
      <c r="DI580" s="164" t="str">
        <f>IFERROR(INDEX(DC$550:DC$598,_xlfn.AGGREGATE(15,6,(ROW(DC$550:DC$598)-ROW(DC$550)+1)/(DC$550:DC$598&lt;&gt;""),ROWS(DI$1:DI31))),"")</f>
        <v/>
      </c>
      <c r="DJ580" s="165" t="str">
        <f>IFERROR(INDEX(DD$550:DD$598,_xlfn.AGGREGATE(15,6,(ROW(DD$550:DD$598)-ROW(DD$550)+1)/(DD$550:DD$598&lt;&gt;""),ROWS(DJ$1:DJ31))),"")</f>
        <v/>
      </c>
      <c r="DK580" s="166" t="str">
        <f t="shared" si="324"/>
        <v/>
      </c>
      <c r="DL580" s="164" t="str">
        <f>IFERROR(INDEX(DE$550:DE$598,_xlfn.AGGREGATE(15,6,(ROW(DE$550:DE$598)-ROW(DE$550)+1)/(DE$550:DE$598&lt;&gt;""),ROWS(DL$1:DL31))),"")</f>
        <v/>
      </c>
      <c r="DM580" s="165" t="str">
        <f>IFERROR(INDEX(DF$550:DF$598,_xlfn.AGGREGATE(15,6,(ROW(DF$550:DF$598)-ROW(DF$550)+1)/(DF$550:DF$598&lt;&gt;""),ROWS(DM$1:DM31))),"")</f>
        <v/>
      </c>
      <c r="DN580" s="166" t="str">
        <f t="shared" si="325"/>
        <v/>
      </c>
      <c r="DO580" s="164" t="str">
        <f>IFERROR(INDEX(DG$550:DG$598,_xlfn.AGGREGATE(15,6,(ROW(DG$550:DG$598)-ROW(DG$550)+1)/(DG$550:DG$598&lt;&gt;""),ROWS(DO$1:DO31))),"")</f>
        <v/>
      </c>
      <c r="DP580" s="165" t="str">
        <f>IFERROR(INDEX(DH$550:DH$598,_xlfn.AGGREGATE(15,6,(ROW(DH$550:DH$598)-ROW(DH$550)+1)/(DH$550:DH$598&lt;&gt;""),ROWS(DP$1:DP31))),"")</f>
        <v/>
      </c>
      <c r="DQ580" s="166" t="str">
        <f t="shared" si="326"/>
        <v/>
      </c>
      <c r="DR580" s="65"/>
      <c r="DV580" s="145">
        <v>2045</v>
      </c>
      <c r="DW580" s="235" t="e">
        <f t="shared" ca="1" si="310"/>
        <v>#REF!</v>
      </c>
      <c r="EA580" s="55"/>
      <c r="EB580" s="55"/>
      <c r="EC580" s="55"/>
      <c r="ED580" s="55"/>
      <c r="EE580" s="55"/>
    </row>
    <row r="581" spans="2:135" ht="13.8" x14ac:dyDescent="0.45">
      <c r="B581" s="128">
        <v>2043</v>
      </c>
      <c r="C581" s="957"/>
      <c r="D581" s="947"/>
      <c r="E581" s="308"/>
      <c r="F581" s="914"/>
      <c r="G581" s="294"/>
      <c r="H581" s="292"/>
      <c r="I581" s="1112"/>
      <c r="J581" s="294"/>
      <c r="K581" s="292"/>
      <c r="L581" s="293"/>
      <c r="M581" s="292"/>
      <c r="N581" s="29" t="s">
        <v>119</v>
      </c>
      <c r="O581" s="120"/>
      <c r="P581" s="120"/>
      <c r="Q581" s="120"/>
      <c r="R581" s="29">
        <v>29</v>
      </c>
      <c r="S581" s="288" t="str">
        <f t="shared" si="311"/>
        <v/>
      </c>
      <c r="T581" s="288" t="str">
        <f t="shared" si="312"/>
        <v/>
      </c>
      <c r="U581" s="288" t="str">
        <f t="shared" si="313"/>
        <v/>
      </c>
      <c r="W581" s="288" t="e">
        <f t="shared" si="314"/>
        <v>#N/A</v>
      </c>
      <c r="X581" s="288" t="e">
        <f t="shared" si="315"/>
        <v>#N/A</v>
      </c>
      <c r="Y581" s="288" t="e">
        <f t="shared" si="316"/>
        <v>#N/A</v>
      </c>
      <c r="AA581" s="89"/>
      <c r="AB581" s="89"/>
      <c r="AC581" s="89"/>
      <c r="AD581" s="89"/>
      <c r="AE581" s="89"/>
      <c r="AF581" s="89"/>
      <c r="AG581" s="89"/>
      <c r="AH581" s="89"/>
      <c r="AI581" s="89"/>
      <c r="AJ581" s="89"/>
      <c r="AK581" s="89"/>
      <c r="AL581" s="89"/>
      <c r="AM581" s="89"/>
      <c r="AN581" s="89"/>
      <c r="BR581" s="180">
        <v>2041</v>
      </c>
      <c r="BS581" s="22">
        <v>27</v>
      </c>
      <c r="BT581" s="289" t="e">
        <f t="shared" si="327"/>
        <v>#DIV/0!</v>
      </c>
      <c r="BU581" s="290" t="e">
        <f t="shared" si="328"/>
        <v>#DIV/0!</v>
      </c>
      <c r="BV581" s="205" t="e">
        <f t="shared" si="329"/>
        <v>#DIV/0!</v>
      </c>
      <c r="BY581" s="180">
        <v>2041</v>
      </c>
      <c r="BZ581" s="22">
        <v>27</v>
      </c>
      <c r="CA581" s="289" t="e">
        <f t="shared" ca="1" si="330"/>
        <v>#REF!</v>
      </c>
      <c r="CB581" s="289" t="e">
        <f t="shared" ca="1" si="331"/>
        <v>#REF!</v>
      </c>
      <c r="CC581" s="290" t="e">
        <f t="shared" ca="1" si="342"/>
        <v>#REF!</v>
      </c>
      <c r="CD581" s="205" t="e">
        <f t="shared" ca="1" si="332"/>
        <v>#REF!</v>
      </c>
      <c r="CG581" s="180">
        <v>2041</v>
      </c>
      <c r="CH581" s="22">
        <v>27</v>
      </c>
      <c r="CI581" s="289" t="e">
        <f t="shared" ca="1" si="333"/>
        <v>#REF!</v>
      </c>
      <c r="CJ581" s="289" t="e">
        <f t="shared" ca="1" si="334"/>
        <v>#REF!</v>
      </c>
      <c r="CK581" s="289" t="e">
        <f t="shared" ca="1" si="335"/>
        <v>#REF!</v>
      </c>
      <c r="CL581" s="290" t="e">
        <f t="shared" ca="1" si="336"/>
        <v>#REF!</v>
      </c>
      <c r="CM581" s="205" t="e">
        <f t="shared" ca="1" si="337"/>
        <v>#REF!</v>
      </c>
      <c r="CP581" s="180">
        <v>2041</v>
      </c>
      <c r="CQ581" s="22">
        <v>27</v>
      </c>
      <c r="CR581" s="289" t="e">
        <f t="shared" ca="1" si="338"/>
        <v>#REF!</v>
      </c>
      <c r="CS581" s="290" t="e">
        <f t="shared" ca="1" si="339"/>
        <v>#REF!</v>
      </c>
      <c r="CT581" s="205" t="e">
        <f t="shared" ca="1" si="340"/>
        <v>#REF!</v>
      </c>
      <c r="CZ581" s="164" t="b">
        <f t="shared" si="317"/>
        <v>0</v>
      </c>
      <c r="DA581" s="165" t="b">
        <f t="shared" si="317"/>
        <v>0</v>
      </c>
      <c r="DB581" s="166" t="b">
        <f t="shared" si="317"/>
        <v>0</v>
      </c>
      <c r="DC581" s="164" t="str">
        <f t="shared" si="318"/>
        <v/>
      </c>
      <c r="DD581" s="166" t="str">
        <f t="shared" si="319"/>
        <v/>
      </c>
      <c r="DE581" s="164" t="str">
        <f t="shared" si="320"/>
        <v/>
      </c>
      <c r="DF581" s="166" t="str">
        <f t="shared" si="321"/>
        <v/>
      </c>
      <c r="DG581" s="164" t="str">
        <f t="shared" si="322"/>
        <v/>
      </c>
      <c r="DH581" s="166" t="str">
        <f t="shared" si="323"/>
        <v/>
      </c>
      <c r="DI581" s="164" t="str">
        <f>IFERROR(INDEX(DC$550:DC$598,_xlfn.AGGREGATE(15,6,(ROW(DC$550:DC$598)-ROW(DC$550)+1)/(DC$550:DC$598&lt;&gt;""),ROWS(DI$1:DI32))),"")</f>
        <v/>
      </c>
      <c r="DJ581" s="165" t="str">
        <f>IFERROR(INDEX(DD$550:DD$598,_xlfn.AGGREGATE(15,6,(ROW(DD$550:DD$598)-ROW(DD$550)+1)/(DD$550:DD$598&lt;&gt;""),ROWS(DJ$1:DJ32))),"")</f>
        <v/>
      </c>
      <c r="DK581" s="166" t="str">
        <f t="shared" si="324"/>
        <v/>
      </c>
      <c r="DL581" s="164" t="str">
        <f>IFERROR(INDEX(DE$550:DE$598,_xlfn.AGGREGATE(15,6,(ROW(DE$550:DE$598)-ROW(DE$550)+1)/(DE$550:DE$598&lt;&gt;""),ROWS(DL$1:DL32))),"")</f>
        <v/>
      </c>
      <c r="DM581" s="165" t="str">
        <f>IFERROR(INDEX(DF$550:DF$598,_xlfn.AGGREGATE(15,6,(ROW(DF$550:DF$598)-ROW(DF$550)+1)/(DF$550:DF$598&lt;&gt;""),ROWS(DM$1:DM32))),"")</f>
        <v/>
      </c>
      <c r="DN581" s="166" t="str">
        <f t="shared" si="325"/>
        <v/>
      </c>
      <c r="DO581" s="164" t="str">
        <f>IFERROR(INDEX(DG$550:DG$598,_xlfn.AGGREGATE(15,6,(ROW(DG$550:DG$598)-ROW(DG$550)+1)/(DG$550:DG$598&lt;&gt;""),ROWS(DO$1:DO32))),"")</f>
        <v/>
      </c>
      <c r="DP581" s="165" t="str">
        <f>IFERROR(INDEX(DH$550:DH$598,_xlfn.AGGREGATE(15,6,(ROW(DH$550:DH$598)-ROW(DH$550)+1)/(DH$550:DH$598&lt;&gt;""),ROWS(DP$1:DP32))),"")</f>
        <v/>
      </c>
      <c r="DQ581" s="166" t="str">
        <f t="shared" si="326"/>
        <v/>
      </c>
      <c r="DR581" s="65"/>
      <c r="DV581" s="145">
        <v>2046</v>
      </c>
      <c r="DW581" s="235" t="e">
        <f t="shared" ca="1" si="310"/>
        <v>#REF!</v>
      </c>
      <c r="EA581" s="55"/>
      <c r="EB581" s="55"/>
      <c r="EC581" s="55"/>
      <c r="ED581" s="55"/>
      <c r="EE581" s="55"/>
    </row>
    <row r="582" spans="2:135" ht="13.8" x14ac:dyDescent="0.45">
      <c r="B582" s="128">
        <v>2044</v>
      </c>
      <c r="C582" s="957"/>
      <c r="D582" s="947"/>
      <c r="E582" s="308"/>
      <c r="F582" s="914"/>
      <c r="G582" s="294"/>
      <c r="H582" s="292"/>
      <c r="I582" s="1112"/>
      <c r="J582" s="294"/>
      <c r="K582" s="292"/>
      <c r="L582" s="293"/>
      <c r="M582" s="292"/>
      <c r="N582" s="29" t="s">
        <v>119</v>
      </c>
      <c r="O582" s="120"/>
      <c r="P582" s="120"/>
      <c r="Q582" s="120"/>
      <c r="R582" s="29">
        <v>30</v>
      </c>
      <c r="S582" s="288" t="str">
        <f t="shared" ref="S582:S598" si="344">IF(MIN(C582:Q582)=0,"",MIN(C582:Q582))</f>
        <v/>
      </c>
      <c r="T582" s="288" t="str">
        <f t="shared" ref="T582:T598" si="345">IF(MAX(C582:Q582)=0,"",MAX(C582:Q582))</f>
        <v/>
      </c>
      <c r="U582" s="288" t="str">
        <f t="shared" ref="U582:U598" si="346">IF(T582="","",_xlfn.STDEV.P(C582:Q582))</f>
        <v/>
      </c>
      <c r="W582" s="288" t="e">
        <f t="shared" si="314"/>
        <v>#N/A</v>
      </c>
      <c r="X582" s="288" t="e">
        <f t="shared" ref="X582:X598" si="347">IF(U582="",#N/A,(SUM(C582:Q582)/COUNTIFS(C582:Q582,"&gt;0")))</f>
        <v>#N/A</v>
      </c>
      <c r="Y582" s="288" t="e">
        <f t="shared" si="316"/>
        <v>#N/A</v>
      </c>
      <c r="AA582" s="89"/>
      <c r="AB582" s="89"/>
      <c r="AC582" s="89"/>
      <c r="AD582" s="89"/>
      <c r="AE582" s="89"/>
      <c r="AF582" s="89"/>
      <c r="AG582" s="89"/>
      <c r="AH582" s="89"/>
      <c r="AI582" s="89"/>
      <c r="AJ582" s="89"/>
      <c r="AK582" s="89"/>
      <c r="AL582" s="89"/>
      <c r="AM582" s="89"/>
      <c r="AN582" s="89"/>
      <c r="BR582" s="180">
        <v>2042</v>
      </c>
      <c r="BS582" s="22">
        <v>28</v>
      </c>
      <c r="BT582" s="289" t="e">
        <f t="shared" si="327"/>
        <v>#DIV/0!</v>
      </c>
      <c r="BU582" s="290" t="e">
        <f t="shared" si="328"/>
        <v>#DIV/0!</v>
      </c>
      <c r="BV582" s="205" t="e">
        <f t="shared" si="329"/>
        <v>#DIV/0!</v>
      </c>
      <c r="BY582" s="180">
        <v>2042</v>
      </c>
      <c r="BZ582" s="22">
        <v>28</v>
      </c>
      <c r="CA582" s="289" t="e">
        <f t="shared" ca="1" si="330"/>
        <v>#REF!</v>
      </c>
      <c r="CB582" s="289" t="e">
        <f t="shared" ca="1" si="331"/>
        <v>#REF!</v>
      </c>
      <c r="CC582" s="290" t="e">
        <f t="shared" ca="1" si="342"/>
        <v>#REF!</v>
      </c>
      <c r="CD582" s="205" t="e">
        <f t="shared" ca="1" si="332"/>
        <v>#REF!</v>
      </c>
      <c r="CG582" s="180">
        <v>2042</v>
      </c>
      <c r="CH582" s="22">
        <v>28</v>
      </c>
      <c r="CI582" s="289" t="e">
        <f t="shared" ca="1" si="333"/>
        <v>#REF!</v>
      </c>
      <c r="CJ582" s="289" t="e">
        <f t="shared" ca="1" si="334"/>
        <v>#REF!</v>
      </c>
      <c r="CK582" s="289" t="e">
        <f t="shared" ca="1" si="335"/>
        <v>#REF!</v>
      </c>
      <c r="CL582" s="290" t="e">
        <f t="shared" ca="1" si="336"/>
        <v>#REF!</v>
      </c>
      <c r="CM582" s="205" t="e">
        <f t="shared" ca="1" si="337"/>
        <v>#REF!</v>
      </c>
      <c r="CP582" s="180">
        <v>2042</v>
      </c>
      <c r="CQ582" s="22">
        <v>28</v>
      </c>
      <c r="CR582" s="289" t="e">
        <f t="shared" ca="1" si="338"/>
        <v>#REF!</v>
      </c>
      <c r="CS582" s="290" t="e">
        <f t="shared" ca="1" si="339"/>
        <v>#REF!</v>
      </c>
      <c r="CT582" s="205" t="e">
        <f t="shared" ca="1" si="340"/>
        <v>#REF!</v>
      </c>
      <c r="CZ582" s="164" t="b">
        <f t="shared" si="317"/>
        <v>0</v>
      </c>
      <c r="DA582" s="165" t="b">
        <f t="shared" si="317"/>
        <v>0</v>
      </c>
      <c r="DB582" s="166" t="b">
        <f t="shared" si="317"/>
        <v>0</v>
      </c>
      <c r="DC582" s="164" t="str">
        <f t="shared" si="318"/>
        <v/>
      </c>
      <c r="DD582" s="166" t="str">
        <f t="shared" si="319"/>
        <v/>
      </c>
      <c r="DE582" s="164" t="str">
        <f t="shared" si="320"/>
        <v/>
      </c>
      <c r="DF582" s="166" t="str">
        <f t="shared" si="321"/>
        <v/>
      </c>
      <c r="DG582" s="164" t="str">
        <f t="shared" si="322"/>
        <v/>
      </c>
      <c r="DH582" s="166" t="str">
        <f t="shared" si="323"/>
        <v/>
      </c>
      <c r="DI582" s="164" t="str">
        <f>IFERROR(INDEX(DC$550:DC$598,_xlfn.AGGREGATE(15,6,(ROW(DC$550:DC$598)-ROW(DC$550)+1)/(DC$550:DC$598&lt;&gt;""),ROWS(DI$1:DI33))),"")</f>
        <v/>
      </c>
      <c r="DJ582" s="165" t="str">
        <f>IFERROR(INDEX(DD$550:DD$598,_xlfn.AGGREGATE(15,6,(ROW(DD$550:DD$598)-ROW(DD$550)+1)/(DD$550:DD$598&lt;&gt;""),ROWS(DJ$1:DJ33))),"")</f>
        <v/>
      </c>
      <c r="DK582" s="166" t="str">
        <f t="shared" si="324"/>
        <v/>
      </c>
      <c r="DL582" s="164" t="str">
        <f>IFERROR(INDEX(DE$550:DE$598,_xlfn.AGGREGATE(15,6,(ROW(DE$550:DE$598)-ROW(DE$550)+1)/(DE$550:DE$598&lt;&gt;""),ROWS(DL$1:DL33))),"")</f>
        <v/>
      </c>
      <c r="DM582" s="165" t="str">
        <f>IFERROR(INDEX(DF$550:DF$598,_xlfn.AGGREGATE(15,6,(ROW(DF$550:DF$598)-ROW(DF$550)+1)/(DF$550:DF$598&lt;&gt;""),ROWS(DM$1:DM33))),"")</f>
        <v/>
      </c>
      <c r="DN582" s="166" t="str">
        <f t="shared" si="325"/>
        <v/>
      </c>
      <c r="DO582" s="164" t="str">
        <f>IFERROR(INDEX(DG$550:DG$598,_xlfn.AGGREGATE(15,6,(ROW(DG$550:DG$598)-ROW(DG$550)+1)/(DG$550:DG$598&lt;&gt;""),ROWS(DO$1:DO33))),"")</f>
        <v/>
      </c>
      <c r="DP582" s="165" t="str">
        <f>IFERROR(INDEX(DH$550:DH$598,_xlfn.AGGREGATE(15,6,(ROW(DH$550:DH$598)-ROW(DH$550)+1)/(DH$550:DH$598&lt;&gt;""),ROWS(DP$1:DP33))),"")</f>
        <v/>
      </c>
      <c r="DQ582" s="166" t="str">
        <f t="shared" si="326"/>
        <v/>
      </c>
      <c r="DR582" s="65"/>
      <c r="DV582" s="145">
        <v>2047</v>
      </c>
      <c r="DW582" s="235" t="e">
        <f t="shared" ca="1" si="310"/>
        <v>#REF!</v>
      </c>
      <c r="EA582" s="55"/>
      <c r="EB582" s="55"/>
      <c r="EC582" s="55"/>
      <c r="ED582" s="55"/>
      <c r="EE582" s="55"/>
    </row>
    <row r="583" spans="2:135" ht="13.8" x14ac:dyDescent="0.45">
      <c r="B583" s="128">
        <v>2045</v>
      </c>
      <c r="C583" s="957"/>
      <c r="D583" s="947"/>
      <c r="E583" s="308"/>
      <c r="F583" s="914"/>
      <c r="G583" s="294"/>
      <c r="H583" s="292"/>
      <c r="I583" s="1112"/>
      <c r="J583" s="294"/>
      <c r="K583" s="292"/>
      <c r="L583" s="293"/>
      <c r="M583" s="292"/>
      <c r="N583" s="29" t="s">
        <v>119</v>
      </c>
      <c r="O583" s="120"/>
      <c r="P583" s="120"/>
      <c r="Q583" s="120"/>
      <c r="R583" s="29">
        <v>31</v>
      </c>
      <c r="S583" s="288" t="str">
        <f t="shared" si="344"/>
        <v/>
      </c>
      <c r="T583" s="288" t="str">
        <f t="shared" si="345"/>
        <v/>
      </c>
      <c r="U583" s="288" t="str">
        <f t="shared" si="346"/>
        <v/>
      </c>
      <c r="W583" s="288" t="e">
        <f t="shared" si="314"/>
        <v>#N/A</v>
      </c>
      <c r="X583" s="288" t="e">
        <f t="shared" si="347"/>
        <v>#N/A</v>
      </c>
      <c r="Y583" s="288" t="e">
        <f t="shared" si="316"/>
        <v>#N/A</v>
      </c>
      <c r="AA583" s="89"/>
      <c r="AB583" s="89"/>
      <c r="AC583" s="89"/>
      <c r="AD583" s="89"/>
      <c r="AE583" s="89"/>
      <c r="AF583" s="89"/>
      <c r="AG583" s="89"/>
      <c r="AH583" s="89"/>
      <c r="AI583" s="89"/>
      <c r="AJ583" s="89"/>
      <c r="AK583" s="89"/>
      <c r="AL583" s="89"/>
      <c r="AM583" s="89"/>
      <c r="AN583" s="89"/>
      <c r="BR583" s="180">
        <v>2043</v>
      </c>
      <c r="BS583" s="22">
        <v>29</v>
      </c>
      <c r="BT583" s="289" t="e">
        <f t="shared" si="327"/>
        <v>#DIV/0!</v>
      </c>
      <c r="BU583" s="290" t="e">
        <f t="shared" si="328"/>
        <v>#DIV/0!</v>
      </c>
      <c r="BV583" s="205" t="e">
        <f t="shared" si="329"/>
        <v>#DIV/0!</v>
      </c>
      <c r="BY583" s="180">
        <v>2043</v>
      </c>
      <c r="BZ583" s="22">
        <v>29</v>
      </c>
      <c r="CA583" s="289" t="e">
        <f t="shared" ca="1" si="330"/>
        <v>#REF!</v>
      </c>
      <c r="CB583" s="289" t="e">
        <f t="shared" ca="1" si="331"/>
        <v>#REF!</v>
      </c>
      <c r="CC583" s="290" t="e">
        <f t="shared" ca="1" si="342"/>
        <v>#REF!</v>
      </c>
      <c r="CD583" s="205" t="e">
        <f t="shared" ca="1" si="332"/>
        <v>#REF!</v>
      </c>
      <c r="CG583" s="180">
        <v>2043</v>
      </c>
      <c r="CH583" s="22">
        <v>29</v>
      </c>
      <c r="CI583" s="289" t="e">
        <f t="shared" ca="1" si="333"/>
        <v>#REF!</v>
      </c>
      <c r="CJ583" s="289" t="e">
        <f t="shared" ca="1" si="334"/>
        <v>#REF!</v>
      </c>
      <c r="CK583" s="289" t="e">
        <f t="shared" ca="1" si="335"/>
        <v>#REF!</v>
      </c>
      <c r="CL583" s="290" t="e">
        <f t="shared" ca="1" si="336"/>
        <v>#REF!</v>
      </c>
      <c r="CM583" s="205" t="e">
        <f t="shared" ca="1" si="337"/>
        <v>#REF!</v>
      </c>
      <c r="CP583" s="180">
        <v>2043</v>
      </c>
      <c r="CQ583" s="22">
        <v>29</v>
      </c>
      <c r="CR583" s="289" t="e">
        <f t="shared" ca="1" si="338"/>
        <v>#REF!</v>
      </c>
      <c r="CS583" s="290" t="e">
        <f t="shared" ca="1" si="339"/>
        <v>#REF!</v>
      </c>
      <c r="CT583" s="205" t="e">
        <f t="shared" ca="1" si="340"/>
        <v>#REF!</v>
      </c>
      <c r="CZ583" s="164" t="b">
        <f t="shared" si="317"/>
        <v>0</v>
      </c>
      <c r="DA583" s="165" t="b">
        <f t="shared" si="317"/>
        <v>0</v>
      </c>
      <c r="DB583" s="166" t="b">
        <f t="shared" si="317"/>
        <v>0</v>
      </c>
      <c r="DC583" s="164" t="str">
        <f t="shared" si="318"/>
        <v/>
      </c>
      <c r="DD583" s="166" t="str">
        <f t="shared" si="319"/>
        <v/>
      </c>
      <c r="DE583" s="164" t="str">
        <f t="shared" si="320"/>
        <v/>
      </c>
      <c r="DF583" s="166" t="str">
        <f t="shared" si="321"/>
        <v/>
      </c>
      <c r="DG583" s="164" t="str">
        <f t="shared" si="322"/>
        <v/>
      </c>
      <c r="DH583" s="166" t="str">
        <f t="shared" si="323"/>
        <v/>
      </c>
      <c r="DI583" s="164" t="str">
        <f>IFERROR(INDEX(DC$550:DC$598,_xlfn.AGGREGATE(15,6,(ROW(DC$550:DC$598)-ROW(DC$550)+1)/(DC$550:DC$598&lt;&gt;""),ROWS(DI$1:DI34))),"")</f>
        <v/>
      </c>
      <c r="DJ583" s="165" t="str">
        <f>IFERROR(INDEX(DD$550:DD$598,_xlfn.AGGREGATE(15,6,(ROW(DD$550:DD$598)-ROW(DD$550)+1)/(DD$550:DD$598&lt;&gt;""),ROWS(DJ$1:DJ34))),"")</f>
        <v/>
      </c>
      <c r="DK583" s="166" t="str">
        <f t="shared" si="324"/>
        <v/>
      </c>
      <c r="DL583" s="164" t="str">
        <f>IFERROR(INDEX(DE$550:DE$598,_xlfn.AGGREGATE(15,6,(ROW(DE$550:DE$598)-ROW(DE$550)+1)/(DE$550:DE$598&lt;&gt;""),ROWS(DL$1:DL34))),"")</f>
        <v/>
      </c>
      <c r="DM583" s="165" t="str">
        <f>IFERROR(INDEX(DF$550:DF$598,_xlfn.AGGREGATE(15,6,(ROW(DF$550:DF$598)-ROW(DF$550)+1)/(DF$550:DF$598&lt;&gt;""),ROWS(DM$1:DM34))),"")</f>
        <v/>
      </c>
      <c r="DN583" s="166" t="str">
        <f t="shared" si="325"/>
        <v/>
      </c>
      <c r="DO583" s="164" t="str">
        <f>IFERROR(INDEX(DG$550:DG$598,_xlfn.AGGREGATE(15,6,(ROW(DG$550:DG$598)-ROW(DG$550)+1)/(DG$550:DG$598&lt;&gt;""),ROWS(DO$1:DO34))),"")</f>
        <v/>
      </c>
      <c r="DP583" s="165" t="str">
        <f>IFERROR(INDEX(DH$550:DH$598,_xlfn.AGGREGATE(15,6,(ROW(DH$550:DH$598)-ROW(DH$550)+1)/(DH$550:DH$598&lt;&gt;""),ROWS(DP$1:DP34))),"")</f>
        <v/>
      </c>
      <c r="DQ583" s="166" t="str">
        <f t="shared" si="326"/>
        <v/>
      </c>
      <c r="DR583" s="65"/>
      <c r="DV583" s="145">
        <v>2048</v>
      </c>
      <c r="DW583" s="235" t="e">
        <f t="shared" ca="1" si="310"/>
        <v>#REF!</v>
      </c>
      <c r="EA583" s="55"/>
      <c r="EB583" s="55"/>
      <c r="EC583" s="55"/>
      <c r="ED583" s="55"/>
      <c r="EE583" s="55"/>
    </row>
    <row r="584" spans="2:135" ht="13.8" x14ac:dyDescent="0.45">
      <c r="B584" s="128">
        <v>2046</v>
      </c>
      <c r="C584" s="957"/>
      <c r="D584" s="947"/>
      <c r="E584" s="308"/>
      <c r="F584" s="914"/>
      <c r="G584" s="294"/>
      <c r="H584" s="292"/>
      <c r="I584" s="1112"/>
      <c r="J584" s="294"/>
      <c r="K584" s="292"/>
      <c r="L584" s="293"/>
      <c r="M584" s="292"/>
      <c r="N584" s="29" t="s">
        <v>119</v>
      </c>
      <c r="O584" s="120"/>
      <c r="P584" s="120"/>
      <c r="Q584" s="120"/>
      <c r="R584" s="29">
        <v>32</v>
      </c>
      <c r="S584" s="288" t="str">
        <f t="shared" si="344"/>
        <v/>
      </c>
      <c r="T584" s="288" t="str">
        <f t="shared" si="345"/>
        <v/>
      </c>
      <c r="U584" s="288" t="str">
        <f t="shared" si="346"/>
        <v/>
      </c>
      <c r="W584" s="288" t="e">
        <f t="shared" si="314"/>
        <v>#N/A</v>
      </c>
      <c r="X584" s="288" t="e">
        <f t="shared" si="347"/>
        <v>#N/A</v>
      </c>
      <c r="Y584" s="288" t="e">
        <f t="shared" si="316"/>
        <v>#N/A</v>
      </c>
      <c r="AA584" s="89"/>
      <c r="AB584" s="89"/>
      <c r="AC584" s="89"/>
      <c r="AD584" s="89"/>
      <c r="AE584" s="89"/>
      <c r="AF584" s="89"/>
      <c r="AG584" s="89"/>
      <c r="AH584" s="89"/>
      <c r="AI584" s="89"/>
      <c r="AJ584" s="89"/>
      <c r="AK584" s="89"/>
      <c r="AL584" s="89"/>
      <c r="AM584" s="89"/>
      <c r="AN584" s="89"/>
      <c r="BR584" s="180">
        <v>2044</v>
      </c>
      <c r="BS584" s="22">
        <v>30</v>
      </c>
      <c r="BT584" s="289" t="e">
        <f t="shared" si="327"/>
        <v>#DIV/0!</v>
      </c>
      <c r="BU584" s="290" t="e">
        <f t="shared" si="328"/>
        <v>#DIV/0!</v>
      </c>
      <c r="BV584" s="205" t="e">
        <f t="shared" si="329"/>
        <v>#DIV/0!</v>
      </c>
      <c r="BY584" s="180">
        <v>2044</v>
      </c>
      <c r="BZ584" s="22">
        <v>30</v>
      </c>
      <c r="CA584" s="289" t="e">
        <f t="shared" ca="1" si="330"/>
        <v>#REF!</v>
      </c>
      <c r="CB584" s="289" t="e">
        <f t="shared" ca="1" si="331"/>
        <v>#REF!</v>
      </c>
      <c r="CC584" s="290" t="e">
        <f t="shared" ca="1" si="342"/>
        <v>#REF!</v>
      </c>
      <c r="CD584" s="205" t="e">
        <f t="shared" ca="1" si="332"/>
        <v>#REF!</v>
      </c>
      <c r="CG584" s="180">
        <v>2044</v>
      </c>
      <c r="CH584" s="22">
        <v>30</v>
      </c>
      <c r="CI584" s="289" t="e">
        <f t="shared" ca="1" si="333"/>
        <v>#REF!</v>
      </c>
      <c r="CJ584" s="289" t="e">
        <f t="shared" ca="1" si="334"/>
        <v>#REF!</v>
      </c>
      <c r="CK584" s="289" t="e">
        <f t="shared" ca="1" si="335"/>
        <v>#REF!</v>
      </c>
      <c r="CL584" s="290" t="e">
        <f t="shared" ca="1" si="336"/>
        <v>#REF!</v>
      </c>
      <c r="CM584" s="205" t="e">
        <f t="shared" ca="1" si="337"/>
        <v>#REF!</v>
      </c>
      <c r="CP584" s="180">
        <v>2044</v>
      </c>
      <c r="CQ584" s="22">
        <v>30</v>
      </c>
      <c r="CR584" s="289" t="e">
        <f t="shared" ca="1" si="338"/>
        <v>#REF!</v>
      </c>
      <c r="CS584" s="290" t="e">
        <f t="shared" ca="1" si="339"/>
        <v>#REF!</v>
      </c>
      <c r="CT584" s="205" t="e">
        <f t="shared" ca="1" si="340"/>
        <v>#REF!</v>
      </c>
      <c r="CZ584" s="164" t="b">
        <f t="shared" si="317"/>
        <v>0</v>
      </c>
      <c r="DA584" s="165" t="b">
        <f t="shared" si="317"/>
        <v>0</v>
      </c>
      <c r="DB584" s="166" t="b">
        <f t="shared" si="317"/>
        <v>0</v>
      </c>
      <c r="DC584" s="164" t="str">
        <f t="shared" si="318"/>
        <v/>
      </c>
      <c r="DD584" s="166" t="str">
        <f t="shared" si="319"/>
        <v/>
      </c>
      <c r="DE584" s="164" t="str">
        <f t="shared" si="320"/>
        <v/>
      </c>
      <c r="DF584" s="166" t="str">
        <f t="shared" si="321"/>
        <v/>
      </c>
      <c r="DG584" s="164" t="str">
        <f t="shared" si="322"/>
        <v/>
      </c>
      <c r="DH584" s="166" t="str">
        <f t="shared" si="323"/>
        <v/>
      </c>
      <c r="DI584" s="164" t="str">
        <f>IFERROR(INDEX(DC$550:DC$598,_xlfn.AGGREGATE(15,6,(ROW(DC$550:DC$598)-ROW(DC$550)+1)/(DC$550:DC$598&lt;&gt;""),ROWS(DI$1:DI35))),"")</f>
        <v/>
      </c>
      <c r="DJ584" s="165" t="str">
        <f>IFERROR(INDEX(DD$550:DD$598,_xlfn.AGGREGATE(15,6,(ROW(DD$550:DD$598)-ROW(DD$550)+1)/(DD$550:DD$598&lt;&gt;""),ROWS(DJ$1:DJ35))),"")</f>
        <v/>
      </c>
      <c r="DK584" s="166" t="str">
        <f t="shared" si="324"/>
        <v/>
      </c>
      <c r="DL584" s="164" t="str">
        <f>IFERROR(INDEX(DE$550:DE$598,_xlfn.AGGREGATE(15,6,(ROW(DE$550:DE$598)-ROW(DE$550)+1)/(DE$550:DE$598&lt;&gt;""),ROWS(DL$1:DL35))),"")</f>
        <v/>
      </c>
      <c r="DM584" s="165" t="str">
        <f>IFERROR(INDEX(DF$550:DF$598,_xlfn.AGGREGATE(15,6,(ROW(DF$550:DF$598)-ROW(DF$550)+1)/(DF$550:DF$598&lt;&gt;""),ROWS(DM$1:DM35))),"")</f>
        <v/>
      </c>
      <c r="DN584" s="166" t="str">
        <f t="shared" si="325"/>
        <v/>
      </c>
      <c r="DO584" s="164" t="str">
        <f>IFERROR(INDEX(DG$550:DG$598,_xlfn.AGGREGATE(15,6,(ROW(DG$550:DG$598)-ROW(DG$550)+1)/(DG$550:DG$598&lt;&gt;""),ROWS(DO$1:DO35))),"")</f>
        <v/>
      </c>
      <c r="DP584" s="165" t="str">
        <f>IFERROR(INDEX(DH$550:DH$598,_xlfn.AGGREGATE(15,6,(ROW(DH$550:DH$598)-ROW(DH$550)+1)/(DH$550:DH$598&lt;&gt;""),ROWS(DP$1:DP35))),"")</f>
        <v/>
      </c>
      <c r="DQ584" s="166" t="str">
        <f t="shared" si="326"/>
        <v/>
      </c>
      <c r="DR584" s="65"/>
      <c r="DV584" s="145">
        <v>2049</v>
      </c>
      <c r="DW584" s="235" t="e">
        <f t="shared" ca="1" si="310"/>
        <v>#REF!</v>
      </c>
      <c r="EA584" s="55"/>
      <c r="EB584" s="55"/>
      <c r="EC584" s="55"/>
      <c r="ED584" s="55"/>
      <c r="EE584" s="55"/>
    </row>
    <row r="585" spans="2:135" ht="13.8" x14ac:dyDescent="0.45">
      <c r="B585" s="128">
        <v>2047</v>
      </c>
      <c r="C585" s="957"/>
      <c r="D585" s="947"/>
      <c r="E585" s="308"/>
      <c r="F585" s="914"/>
      <c r="G585" s="294"/>
      <c r="H585" s="292"/>
      <c r="I585" s="1112"/>
      <c r="J585" s="294"/>
      <c r="K585" s="292"/>
      <c r="L585" s="293"/>
      <c r="M585" s="292"/>
      <c r="N585" s="29" t="s">
        <v>119</v>
      </c>
      <c r="O585" s="120"/>
      <c r="P585" s="120"/>
      <c r="Q585" s="120"/>
      <c r="R585" s="29">
        <v>33</v>
      </c>
      <c r="S585" s="288" t="str">
        <f t="shared" si="344"/>
        <v/>
      </c>
      <c r="T585" s="288" t="str">
        <f t="shared" si="345"/>
        <v/>
      </c>
      <c r="U585" s="288" t="str">
        <f t="shared" si="346"/>
        <v/>
      </c>
      <c r="W585" s="288" t="e">
        <f t="shared" si="314"/>
        <v>#N/A</v>
      </c>
      <c r="X585" s="288" t="e">
        <f t="shared" si="347"/>
        <v>#N/A</v>
      </c>
      <c r="Y585" s="288" t="e">
        <f t="shared" si="316"/>
        <v>#N/A</v>
      </c>
      <c r="AA585" s="89"/>
      <c r="AB585" s="89"/>
      <c r="AC585" s="89"/>
      <c r="AD585" s="89"/>
      <c r="AE585" s="89"/>
      <c r="AF585" s="89"/>
      <c r="AG585" s="89"/>
      <c r="AH585" s="89"/>
      <c r="AI585" s="89"/>
      <c r="AJ585" s="89"/>
      <c r="AK585" s="89"/>
      <c r="AL585" s="89"/>
      <c r="AM585" s="89"/>
      <c r="AN585" s="89"/>
      <c r="BR585" s="180">
        <v>2045</v>
      </c>
      <c r="BS585" s="22">
        <v>31</v>
      </c>
      <c r="BT585" s="289" t="e">
        <f t="shared" si="327"/>
        <v>#DIV/0!</v>
      </c>
      <c r="BU585" s="289" t="e">
        <f t="shared" si="328"/>
        <v>#DIV/0!</v>
      </c>
      <c r="BV585" s="205" t="e">
        <f t="shared" si="329"/>
        <v>#DIV/0!</v>
      </c>
      <c r="BY585" s="180">
        <v>2045</v>
      </c>
      <c r="BZ585" s="22">
        <v>31</v>
      </c>
      <c r="CA585" s="289" t="e">
        <f t="shared" ca="1" si="330"/>
        <v>#REF!</v>
      </c>
      <c r="CB585" s="289" t="e">
        <f t="shared" ca="1" si="331"/>
        <v>#REF!</v>
      </c>
      <c r="CC585" s="289" t="e">
        <f t="shared" ca="1" si="342"/>
        <v>#REF!</v>
      </c>
      <c r="CD585" s="205" t="e">
        <f t="shared" ca="1" si="332"/>
        <v>#REF!</v>
      </c>
      <c r="CG585" s="180">
        <v>2045</v>
      </c>
      <c r="CH585" s="22">
        <v>31</v>
      </c>
      <c r="CI585" s="289" t="e">
        <f t="shared" ca="1" si="333"/>
        <v>#REF!</v>
      </c>
      <c r="CJ585" s="289" t="e">
        <f t="shared" ca="1" si="334"/>
        <v>#REF!</v>
      </c>
      <c r="CK585" s="289" t="e">
        <f t="shared" ca="1" si="335"/>
        <v>#REF!</v>
      </c>
      <c r="CL585" s="289" t="e">
        <f t="shared" ca="1" si="336"/>
        <v>#REF!</v>
      </c>
      <c r="CM585" s="205" t="e">
        <f t="shared" ca="1" si="337"/>
        <v>#REF!</v>
      </c>
      <c r="CP585" s="180">
        <v>2045</v>
      </c>
      <c r="CQ585" s="22">
        <v>31</v>
      </c>
      <c r="CR585" s="289" t="e">
        <f t="shared" ca="1" si="338"/>
        <v>#REF!</v>
      </c>
      <c r="CS585" s="289" t="e">
        <f t="shared" ca="1" si="339"/>
        <v>#REF!</v>
      </c>
      <c r="CT585" s="205" t="e">
        <f t="shared" ca="1" si="340"/>
        <v>#REF!</v>
      </c>
      <c r="CZ585" s="164" t="b">
        <f t="shared" si="317"/>
        <v>0</v>
      </c>
      <c r="DA585" s="165" t="b">
        <f t="shared" si="317"/>
        <v>0</v>
      </c>
      <c r="DB585" s="166" t="b">
        <f t="shared" si="317"/>
        <v>0</v>
      </c>
      <c r="DC585" s="164" t="str">
        <f t="shared" si="318"/>
        <v/>
      </c>
      <c r="DD585" s="166" t="str">
        <f t="shared" si="319"/>
        <v/>
      </c>
      <c r="DE585" s="164" t="str">
        <f t="shared" si="320"/>
        <v/>
      </c>
      <c r="DF585" s="166" t="str">
        <f t="shared" si="321"/>
        <v/>
      </c>
      <c r="DG585" s="164" t="str">
        <f t="shared" si="322"/>
        <v/>
      </c>
      <c r="DH585" s="166" t="str">
        <f t="shared" si="323"/>
        <v/>
      </c>
      <c r="DI585" s="164" t="str">
        <f>IFERROR(INDEX(DC$550:DC$598,_xlfn.AGGREGATE(15,6,(ROW(DC$550:DC$598)-ROW(DC$550)+1)/(DC$550:DC$598&lt;&gt;""),ROWS(DI$1:DI36))),"")</f>
        <v/>
      </c>
      <c r="DJ585" s="165" t="str">
        <f>IFERROR(INDEX(DD$550:DD$598,_xlfn.AGGREGATE(15,6,(ROW(DD$550:DD$598)-ROW(DD$550)+1)/(DD$550:DD$598&lt;&gt;""),ROWS(DJ$1:DJ36))),"")</f>
        <v/>
      </c>
      <c r="DK585" s="166" t="str">
        <f t="shared" si="324"/>
        <v/>
      </c>
      <c r="DL585" s="164" t="str">
        <f>IFERROR(INDEX(DE$550:DE$598,_xlfn.AGGREGATE(15,6,(ROW(DE$550:DE$598)-ROW(DE$550)+1)/(DE$550:DE$598&lt;&gt;""),ROWS(DL$1:DL36))),"")</f>
        <v/>
      </c>
      <c r="DM585" s="165" t="str">
        <f>IFERROR(INDEX(DF$550:DF$598,_xlfn.AGGREGATE(15,6,(ROW(DF$550:DF$598)-ROW(DF$550)+1)/(DF$550:DF$598&lt;&gt;""),ROWS(DM$1:DM36))),"")</f>
        <v/>
      </c>
      <c r="DN585" s="166" t="str">
        <f t="shared" si="325"/>
        <v/>
      </c>
      <c r="DO585" s="164" t="str">
        <f>IFERROR(INDEX(DG$550:DG$598,_xlfn.AGGREGATE(15,6,(ROW(DG$550:DG$598)-ROW(DG$550)+1)/(DG$550:DG$598&lt;&gt;""),ROWS(DO$1:DO36))),"")</f>
        <v/>
      </c>
      <c r="DP585" s="165" t="str">
        <f>IFERROR(INDEX(DH$550:DH$598,_xlfn.AGGREGATE(15,6,(ROW(DH$550:DH$598)-ROW(DH$550)+1)/(DH$550:DH$598&lt;&gt;""),ROWS(DP$1:DP36))),"")</f>
        <v/>
      </c>
      <c r="DQ585" s="166" t="str">
        <f t="shared" si="326"/>
        <v/>
      </c>
      <c r="DR585" s="65"/>
      <c r="DV585" s="145">
        <v>2050</v>
      </c>
      <c r="DW585" s="235" t="e">
        <f t="shared" ca="1" si="310"/>
        <v>#REF!</v>
      </c>
      <c r="EA585" s="55"/>
      <c r="EB585" s="55"/>
      <c r="EC585" s="55"/>
      <c r="ED585" s="55"/>
      <c r="EE585" s="55"/>
    </row>
    <row r="586" spans="2:135" ht="13.8" x14ac:dyDescent="0.45">
      <c r="B586" s="128">
        <v>2048</v>
      </c>
      <c r="C586" s="957"/>
      <c r="D586" s="947"/>
      <c r="E586" s="308"/>
      <c r="F586" s="914"/>
      <c r="G586" s="294"/>
      <c r="H586" s="292"/>
      <c r="I586" s="1112"/>
      <c r="J586" s="294"/>
      <c r="K586" s="292"/>
      <c r="L586" s="293"/>
      <c r="M586" s="292"/>
      <c r="N586" s="29" t="s">
        <v>119</v>
      </c>
      <c r="O586" s="120"/>
      <c r="P586" s="120"/>
      <c r="Q586" s="120"/>
      <c r="R586" s="29">
        <v>34</v>
      </c>
      <c r="S586" s="288" t="str">
        <f t="shared" si="344"/>
        <v/>
      </c>
      <c r="T586" s="288" t="str">
        <f t="shared" si="345"/>
        <v/>
      </c>
      <c r="U586" s="288" t="str">
        <f t="shared" si="346"/>
        <v/>
      </c>
      <c r="W586" s="288" t="e">
        <f t="shared" si="314"/>
        <v>#N/A</v>
      </c>
      <c r="X586" s="288" t="e">
        <f t="shared" si="347"/>
        <v>#N/A</v>
      </c>
      <c r="Y586" s="288" t="e">
        <f t="shared" si="316"/>
        <v>#N/A</v>
      </c>
      <c r="AA586" s="89"/>
      <c r="AB586" s="89"/>
      <c r="AC586" s="89"/>
      <c r="AD586" s="89"/>
      <c r="AE586" s="89"/>
      <c r="AF586" s="89"/>
      <c r="AG586" s="89"/>
      <c r="AH586" s="89"/>
      <c r="AI586" s="89"/>
      <c r="AJ586" s="89"/>
      <c r="AK586" s="89"/>
      <c r="AL586" s="89"/>
      <c r="AM586" s="89"/>
      <c r="AN586" s="89"/>
      <c r="BR586" s="180">
        <v>2046</v>
      </c>
      <c r="BS586" s="22">
        <v>32</v>
      </c>
      <c r="BT586" s="289" t="e">
        <f t="shared" si="327"/>
        <v>#DIV/0!</v>
      </c>
      <c r="BU586" s="289" t="e">
        <f t="shared" si="328"/>
        <v>#DIV/0!</v>
      </c>
      <c r="BV586" s="205" t="e">
        <f t="shared" si="329"/>
        <v>#DIV/0!</v>
      </c>
      <c r="BY586" s="180">
        <v>2046</v>
      </c>
      <c r="BZ586" s="22">
        <v>32</v>
      </c>
      <c r="CA586" s="289" t="e">
        <f t="shared" ca="1" si="330"/>
        <v>#REF!</v>
      </c>
      <c r="CB586" s="289" t="e">
        <f t="shared" ca="1" si="331"/>
        <v>#REF!</v>
      </c>
      <c r="CC586" s="289" t="e">
        <f t="shared" ca="1" si="342"/>
        <v>#REF!</v>
      </c>
      <c r="CD586" s="205" t="e">
        <f t="shared" ca="1" si="332"/>
        <v>#REF!</v>
      </c>
      <c r="CG586" s="180">
        <v>2046</v>
      </c>
      <c r="CH586" s="22">
        <v>32</v>
      </c>
      <c r="CI586" s="289" t="e">
        <f t="shared" ca="1" si="333"/>
        <v>#REF!</v>
      </c>
      <c r="CJ586" s="289" t="e">
        <f t="shared" ca="1" si="334"/>
        <v>#REF!</v>
      </c>
      <c r="CK586" s="289" t="e">
        <f t="shared" ca="1" si="335"/>
        <v>#REF!</v>
      </c>
      <c r="CL586" s="289" t="e">
        <f t="shared" ca="1" si="336"/>
        <v>#REF!</v>
      </c>
      <c r="CM586" s="205" t="e">
        <f t="shared" ca="1" si="337"/>
        <v>#REF!</v>
      </c>
      <c r="CP586" s="180">
        <v>2046</v>
      </c>
      <c r="CQ586" s="22">
        <v>32</v>
      </c>
      <c r="CR586" s="289" t="e">
        <f t="shared" ca="1" si="338"/>
        <v>#REF!</v>
      </c>
      <c r="CS586" s="289" t="e">
        <f t="shared" ca="1" si="339"/>
        <v>#REF!</v>
      </c>
      <c r="CT586" s="205" t="e">
        <f t="shared" ca="1" si="340"/>
        <v>#REF!</v>
      </c>
      <c r="CZ586" s="164" t="b">
        <f t="shared" si="317"/>
        <v>0</v>
      </c>
      <c r="DA586" s="165" t="b">
        <f t="shared" si="317"/>
        <v>0</v>
      </c>
      <c r="DB586" s="166" t="b">
        <f t="shared" si="317"/>
        <v>0</v>
      </c>
      <c r="DC586" s="164" t="str">
        <f t="shared" si="318"/>
        <v/>
      </c>
      <c r="DD586" s="166" t="str">
        <f t="shared" si="319"/>
        <v/>
      </c>
      <c r="DE586" s="164" t="str">
        <f t="shared" si="320"/>
        <v/>
      </c>
      <c r="DF586" s="166" t="str">
        <f t="shared" si="321"/>
        <v/>
      </c>
      <c r="DG586" s="164" t="str">
        <f t="shared" si="322"/>
        <v/>
      </c>
      <c r="DH586" s="166" t="str">
        <f t="shared" si="323"/>
        <v/>
      </c>
      <c r="DI586" s="164" t="str">
        <f>IFERROR(INDEX(DC$550:DC$598,_xlfn.AGGREGATE(15,6,(ROW(DC$550:DC$598)-ROW(DC$550)+1)/(DC$550:DC$598&lt;&gt;""),ROWS(DI$1:DI37))),"")</f>
        <v/>
      </c>
      <c r="DJ586" s="165" t="str">
        <f>IFERROR(INDEX(DD$550:DD$598,_xlfn.AGGREGATE(15,6,(ROW(DD$550:DD$598)-ROW(DD$550)+1)/(DD$550:DD$598&lt;&gt;""),ROWS(DJ$1:DJ37))),"")</f>
        <v/>
      </c>
      <c r="DK586" s="166" t="str">
        <f t="shared" si="324"/>
        <v/>
      </c>
      <c r="DL586" s="164" t="str">
        <f>IFERROR(INDEX(DE$550:DE$598,_xlfn.AGGREGATE(15,6,(ROW(DE$550:DE$598)-ROW(DE$550)+1)/(DE$550:DE$598&lt;&gt;""),ROWS(DL$1:DL37))),"")</f>
        <v/>
      </c>
      <c r="DM586" s="165" t="str">
        <f>IFERROR(INDEX(DF$550:DF$598,_xlfn.AGGREGATE(15,6,(ROW(DF$550:DF$598)-ROW(DF$550)+1)/(DF$550:DF$598&lt;&gt;""),ROWS(DM$1:DM37))),"")</f>
        <v/>
      </c>
      <c r="DN586" s="166" t="str">
        <f t="shared" si="325"/>
        <v/>
      </c>
      <c r="DO586" s="164" t="str">
        <f>IFERROR(INDEX(DG$550:DG$598,_xlfn.AGGREGATE(15,6,(ROW(DG$550:DG$598)-ROW(DG$550)+1)/(DG$550:DG$598&lt;&gt;""),ROWS(DO$1:DO37))),"")</f>
        <v/>
      </c>
      <c r="DP586" s="165" t="str">
        <f>IFERROR(INDEX(DH$550:DH$598,_xlfn.AGGREGATE(15,6,(ROW(DH$550:DH$598)-ROW(DH$550)+1)/(DH$550:DH$598&lt;&gt;""),ROWS(DP$1:DP37))),"")</f>
        <v/>
      </c>
      <c r="DQ586" s="166" t="str">
        <f t="shared" si="326"/>
        <v/>
      </c>
      <c r="DR586" s="65"/>
      <c r="DV586" s="145">
        <v>2051</v>
      </c>
      <c r="DW586" s="235" t="e">
        <f t="shared" ca="1" si="310"/>
        <v>#REF!</v>
      </c>
      <c r="EA586" s="55"/>
      <c r="EB586" s="55"/>
      <c r="EC586" s="55"/>
      <c r="ED586" s="55"/>
      <c r="EE586" s="55"/>
    </row>
    <row r="587" spans="2:135" ht="13.8" x14ac:dyDescent="0.45">
      <c r="B587" s="128">
        <v>2049</v>
      </c>
      <c r="C587" s="957"/>
      <c r="D587" s="947"/>
      <c r="E587" s="308"/>
      <c r="F587" s="914"/>
      <c r="G587" s="294"/>
      <c r="H587" s="292"/>
      <c r="I587" s="1112"/>
      <c r="J587" s="294"/>
      <c r="K587" s="292"/>
      <c r="L587" s="293"/>
      <c r="M587" s="292"/>
      <c r="N587" s="29" t="s">
        <v>119</v>
      </c>
      <c r="O587" s="120"/>
      <c r="P587" s="120"/>
      <c r="Q587" s="120"/>
      <c r="R587" s="29">
        <v>35</v>
      </c>
      <c r="S587" s="288" t="str">
        <f t="shared" si="344"/>
        <v/>
      </c>
      <c r="T587" s="288" t="str">
        <f t="shared" si="345"/>
        <v/>
      </c>
      <c r="U587" s="288" t="str">
        <f t="shared" si="346"/>
        <v/>
      </c>
      <c r="W587" s="288" t="e">
        <f t="shared" si="314"/>
        <v>#N/A</v>
      </c>
      <c r="X587" s="288" t="e">
        <f t="shared" si="347"/>
        <v>#N/A</v>
      </c>
      <c r="Y587" s="288" t="e">
        <f t="shared" si="316"/>
        <v>#N/A</v>
      </c>
      <c r="AA587" s="89"/>
      <c r="AB587" s="89"/>
      <c r="AC587" s="89"/>
      <c r="AD587" s="89"/>
      <c r="AE587" s="89"/>
      <c r="AF587" s="89"/>
      <c r="AG587" s="89"/>
      <c r="AH587" s="89"/>
      <c r="AI587" s="89"/>
      <c r="AJ587" s="89"/>
      <c r="AK587" s="89"/>
      <c r="AL587" s="89"/>
      <c r="AM587" s="89"/>
      <c r="AN587" s="89"/>
      <c r="BR587" s="180">
        <v>2047</v>
      </c>
      <c r="BS587" s="22">
        <v>33</v>
      </c>
      <c r="BT587" s="289" t="e">
        <f t="shared" si="327"/>
        <v>#DIV/0!</v>
      </c>
      <c r="BU587" s="289" t="e">
        <f t="shared" si="328"/>
        <v>#DIV/0!</v>
      </c>
      <c r="BV587" s="205" t="e">
        <f t="shared" si="329"/>
        <v>#DIV/0!</v>
      </c>
      <c r="BY587" s="180">
        <v>2047</v>
      </c>
      <c r="BZ587" s="22">
        <v>33</v>
      </c>
      <c r="CA587" s="289" t="e">
        <f t="shared" ca="1" si="330"/>
        <v>#REF!</v>
      </c>
      <c r="CB587" s="289" t="e">
        <f t="shared" ca="1" si="331"/>
        <v>#REF!</v>
      </c>
      <c r="CC587" s="289" t="e">
        <f t="shared" ca="1" si="342"/>
        <v>#REF!</v>
      </c>
      <c r="CD587" s="205" t="e">
        <f t="shared" ca="1" si="332"/>
        <v>#REF!</v>
      </c>
      <c r="CG587" s="180">
        <v>2047</v>
      </c>
      <c r="CH587" s="22">
        <v>33</v>
      </c>
      <c r="CI587" s="289" t="e">
        <f t="shared" ca="1" si="333"/>
        <v>#REF!</v>
      </c>
      <c r="CJ587" s="289" t="e">
        <f t="shared" ca="1" si="334"/>
        <v>#REF!</v>
      </c>
      <c r="CK587" s="289" t="e">
        <f t="shared" ca="1" si="335"/>
        <v>#REF!</v>
      </c>
      <c r="CL587" s="289" t="e">
        <f t="shared" ca="1" si="336"/>
        <v>#REF!</v>
      </c>
      <c r="CM587" s="205" t="e">
        <f t="shared" ca="1" si="337"/>
        <v>#REF!</v>
      </c>
      <c r="CP587" s="180">
        <v>2047</v>
      </c>
      <c r="CQ587" s="22">
        <v>33</v>
      </c>
      <c r="CR587" s="289" t="e">
        <f t="shared" ca="1" si="338"/>
        <v>#REF!</v>
      </c>
      <c r="CS587" s="289" t="e">
        <f t="shared" ca="1" si="339"/>
        <v>#REF!</v>
      </c>
      <c r="CT587" s="205" t="e">
        <f t="shared" ca="1" si="340"/>
        <v>#REF!</v>
      </c>
      <c r="CZ587" s="164" t="b">
        <f t="shared" si="317"/>
        <v>0</v>
      </c>
      <c r="DA587" s="165" t="b">
        <f t="shared" si="317"/>
        <v>0</v>
      </c>
      <c r="DB587" s="166" t="b">
        <f t="shared" si="317"/>
        <v>0</v>
      </c>
      <c r="DC587" s="164" t="str">
        <f t="shared" si="318"/>
        <v/>
      </c>
      <c r="DD587" s="166" t="str">
        <f t="shared" si="319"/>
        <v/>
      </c>
      <c r="DE587" s="164" t="str">
        <f t="shared" si="320"/>
        <v/>
      </c>
      <c r="DF587" s="166" t="str">
        <f t="shared" si="321"/>
        <v/>
      </c>
      <c r="DG587" s="164" t="str">
        <f t="shared" si="322"/>
        <v/>
      </c>
      <c r="DH587" s="166" t="str">
        <f t="shared" si="323"/>
        <v/>
      </c>
      <c r="DI587" s="164" t="str">
        <f>IFERROR(INDEX(DC$550:DC$598,_xlfn.AGGREGATE(15,6,(ROW(DC$550:DC$598)-ROW(DC$550)+1)/(DC$550:DC$598&lt;&gt;""),ROWS(DI$1:DI38))),"")</f>
        <v/>
      </c>
      <c r="DJ587" s="165" t="str">
        <f>IFERROR(INDEX(DD$550:DD$598,_xlfn.AGGREGATE(15,6,(ROW(DD$550:DD$598)-ROW(DD$550)+1)/(DD$550:DD$598&lt;&gt;""),ROWS(DJ$1:DJ38))),"")</f>
        <v/>
      </c>
      <c r="DK587" s="166" t="str">
        <f t="shared" si="324"/>
        <v/>
      </c>
      <c r="DL587" s="164" t="str">
        <f>IFERROR(INDEX(DE$550:DE$598,_xlfn.AGGREGATE(15,6,(ROW(DE$550:DE$598)-ROW(DE$550)+1)/(DE$550:DE$598&lt;&gt;""),ROWS(DL$1:DL38))),"")</f>
        <v/>
      </c>
      <c r="DM587" s="165" t="str">
        <f>IFERROR(INDEX(DF$550:DF$598,_xlfn.AGGREGATE(15,6,(ROW(DF$550:DF$598)-ROW(DF$550)+1)/(DF$550:DF$598&lt;&gt;""),ROWS(DM$1:DM38))),"")</f>
        <v/>
      </c>
      <c r="DN587" s="166" t="str">
        <f t="shared" si="325"/>
        <v/>
      </c>
      <c r="DO587" s="164" t="str">
        <f>IFERROR(INDEX(DG$550:DG$598,_xlfn.AGGREGATE(15,6,(ROW(DG$550:DG$598)-ROW(DG$550)+1)/(DG$550:DG$598&lt;&gt;""),ROWS(DO$1:DO38))),"")</f>
        <v/>
      </c>
      <c r="DP587" s="165" t="str">
        <f>IFERROR(INDEX(DH$550:DH$598,_xlfn.AGGREGATE(15,6,(ROW(DH$550:DH$598)-ROW(DH$550)+1)/(DH$550:DH$598&lt;&gt;""),ROWS(DP$1:DP38))),"")</f>
        <v/>
      </c>
      <c r="DQ587" s="166" t="str">
        <f t="shared" si="326"/>
        <v/>
      </c>
      <c r="DR587" s="65"/>
      <c r="DV587" s="145">
        <v>2052</v>
      </c>
      <c r="DW587" s="235" t="e">
        <f t="shared" ca="1" si="310"/>
        <v>#REF!</v>
      </c>
      <c r="EA587" s="55"/>
      <c r="EB587" s="55"/>
      <c r="EC587" s="55"/>
      <c r="ED587" s="55"/>
      <c r="EE587" s="55"/>
    </row>
    <row r="588" spans="2:135" ht="13.8" x14ac:dyDescent="0.45">
      <c r="B588" s="128">
        <v>2050</v>
      </c>
      <c r="C588" s="957"/>
      <c r="D588" s="947"/>
      <c r="E588" s="308"/>
      <c r="F588" s="914"/>
      <c r="G588" s="294"/>
      <c r="H588" s="292"/>
      <c r="I588" s="1112"/>
      <c r="J588" s="294"/>
      <c r="K588" s="292"/>
      <c r="L588" s="293"/>
      <c r="M588" s="292"/>
      <c r="N588" s="29" t="s">
        <v>119</v>
      </c>
      <c r="O588" s="120"/>
      <c r="P588" s="120"/>
      <c r="Q588" s="120"/>
      <c r="R588" s="29">
        <v>36</v>
      </c>
      <c r="S588" s="288" t="str">
        <f t="shared" si="344"/>
        <v/>
      </c>
      <c r="T588" s="288" t="str">
        <f t="shared" si="345"/>
        <v/>
      </c>
      <c r="U588" s="288" t="str">
        <f t="shared" si="346"/>
        <v/>
      </c>
      <c r="W588" s="288" t="e">
        <f t="shared" si="314"/>
        <v>#N/A</v>
      </c>
      <c r="X588" s="288" t="e">
        <f t="shared" si="347"/>
        <v>#N/A</v>
      </c>
      <c r="Y588" s="288" t="e">
        <f t="shared" si="316"/>
        <v>#N/A</v>
      </c>
      <c r="AA588" s="89"/>
      <c r="AB588" s="89"/>
      <c r="AC588" s="89"/>
      <c r="AD588" s="89"/>
      <c r="AE588" s="89"/>
      <c r="AF588" s="89"/>
      <c r="AG588" s="89"/>
      <c r="AH588" s="89"/>
      <c r="AI588" s="89"/>
      <c r="AJ588" s="89"/>
      <c r="AK588" s="89"/>
      <c r="AL588" s="89"/>
      <c r="AM588" s="89"/>
      <c r="AN588" s="89"/>
      <c r="BR588" s="180">
        <v>2048</v>
      </c>
      <c r="BS588" s="22">
        <v>34</v>
      </c>
      <c r="BT588" s="289" t="e">
        <f t="shared" si="327"/>
        <v>#DIV/0!</v>
      </c>
      <c r="BU588" s="289" t="e">
        <f t="shared" si="328"/>
        <v>#DIV/0!</v>
      </c>
      <c r="BV588" s="205" t="e">
        <f t="shared" si="329"/>
        <v>#DIV/0!</v>
      </c>
      <c r="BY588" s="180">
        <v>2048</v>
      </c>
      <c r="BZ588" s="22">
        <v>34</v>
      </c>
      <c r="CA588" s="289" t="e">
        <f t="shared" ca="1" si="330"/>
        <v>#REF!</v>
      </c>
      <c r="CB588" s="289" t="e">
        <f t="shared" ca="1" si="331"/>
        <v>#REF!</v>
      </c>
      <c r="CC588" s="289" t="e">
        <f t="shared" ca="1" si="342"/>
        <v>#REF!</v>
      </c>
      <c r="CD588" s="205" t="e">
        <f t="shared" ca="1" si="332"/>
        <v>#REF!</v>
      </c>
      <c r="CG588" s="180">
        <v>2048</v>
      </c>
      <c r="CH588" s="22">
        <v>34</v>
      </c>
      <c r="CI588" s="289" t="e">
        <f t="shared" ca="1" si="333"/>
        <v>#REF!</v>
      </c>
      <c r="CJ588" s="289" t="e">
        <f t="shared" ca="1" si="334"/>
        <v>#REF!</v>
      </c>
      <c r="CK588" s="289" t="e">
        <f t="shared" ca="1" si="335"/>
        <v>#REF!</v>
      </c>
      <c r="CL588" s="289" t="e">
        <f t="shared" ca="1" si="336"/>
        <v>#REF!</v>
      </c>
      <c r="CM588" s="205" t="e">
        <f t="shared" ca="1" si="337"/>
        <v>#REF!</v>
      </c>
      <c r="CP588" s="180">
        <v>2048</v>
      </c>
      <c r="CQ588" s="22">
        <v>34</v>
      </c>
      <c r="CR588" s="289" t="e">
        <f t="shared" ca="1" si="338"/>
        <v>#REF!</v>
      </c>
      <c r="CS588" s="289" t="e">
        <f t="shared" ca="1" si="339"/>
        <v>#REF!</v>
      </c>
      <c r="CT588" s="205" t="e">
        <f t="shared" ca="1" si="340"/>
        <v>#REF!</v>
      </c>
      <c r="CZ588" s="164" t="b">
        <f t="shared" si="317"/>
        <v>0</v>
      </c>
      <c r="DA588" s="165" t="b">
        <f t="shared" si="317"/>
        <v>0</v>
      </c>
      <c r="DB588" s="166" t="b">
        <f t="shared" si="317"/>
        <v>0</v>
      </c>
      <c r="DC588" s="164" t="str">
        <f t="shared" si="318"/>
        <v/>
      </c>
      <c r="DD588" s="166" t="str">
        <f t="shared" si="319"/>
        <v/>
      </c>
      <c r="DE588" s="164" t="str">
        <f t="shared" si="320"/>
        <v/>
      </c>
      <c r="DF588" s="166" t="str">
        <f t="shared" si="321"/>
        <v/>
      </c>
      <c r="DG588" s="164" t="str">
        <f t="shared" si="322"/>
        <v/>
      </c>
      <c r="DH588" s="166" t="str">
        <f t="shared" si="323"/>
        <v/>
      </c>
      <c r="DI588" s="164" t="str">
        <f>IFERROR(INDEX(DC$550:DC$598,_xlfn.AGGREGATE(15,6,(ROW(DC$550:DC$598)-ROW(DC$550)+1)/(DC$550:DC$598&lt;&gt;""),ROWS(DI$1:DI39))),"")</f>
        <v/>
      </c>
      <c r="DJ588" s="165" t="str">
        <f>IFERROR(INDEX(DD$550:DD$598,_xlfn.AGGREGATE(15,6,(ROW(DD$550:DD$598)-ROW(DD$550)+1)/(DD$550:DD$598&lt;&gt;""),ROWS(DJ$1:DJ39))),"")</f>
        <v/>
      </c>
      <c r="DK588" s="166" t="str">
        <f t="shared" si="324"/>
        <v/>
      </c>
      <c r="DL588" s="164" t="str">
        <f>IFERROR(INDEX(DE$550:DE$598,_xlfn.AGGREGATE(15,6,(ROW(DE$550:DE$598)-ROW(DE$550)+1)/(DE$550:DE$598&lt;&gt;""),ROWS(DL$1:DL39))),"")</f>
        <v/>
      </c>
      <c r="DM588" s="165" t="str">
        <f>IFERROR(INDEX(DF$550:DF$598,_xlfn.AGGREGATE(15,6,(ROW(DF$550:DF$598)-ROW(DF$550)+1)/(DF$550:DF$598&lt;&gt;""),ROWS(DM$1:DM39))),"")</f>
        <v/>
      </c>
      <c r="DN588" s="166" t="str">
        <f t="shared" si="325"/>
        <v/>
      </c>
      <c r="DO588" s="164" t="str">
        <f>IFERROR(INDEX(DG$550:DG$598,_xlfn.AGGREGATE(15,6,(ROW(DG$550:DG$598)-ROW(DG$550)+1)/(DG$550:DG$598&lt;&gt;""),ROWS(DO$1:DO39))),"")</f>
        <v/>
      </c>
      <c r="DP588" s="165" t="str">
        <f>IFERROR(INDEX(DH$550:DH$598,_xlfn.AGGREGATE(15,6,(ROW(DH$550:DH$598)-ROW(DH$550)+1)/(DH$550:DH$598&lt;&gt;""),ROWS(DP$1:DP39))),"")</f>
        <v/>
      </c>
      <c r="DQ588" s="166" t="str">
        <f t="shared" si="326"/>
        <v/>
      </c>
      <c r="DR588" s="65"/>
      <c r="DV588" s="145">
        <v>2053</v>
      </c>
      <c r="DW588" s="235" t="e">
        <f t="shared" ca="1" si="310"/>
        <v>#REF!</v>
      </c>
      <c r="EA588" s="55"/>
      <c r="EB588" s="55"/>
      <c r="EC588" s="55"/>
      <c r="ED588" s="55"/>
      <c r="EE588" s="55"/>
    </row>
    <row r="589" spans="2:135" ht="13.8" x14ac:dyDescent="0.45">
      <c r="B589" s="128">
        <v>2051</v>
      </c>
      <c r="C589" s="957"/>
      <c r="D589" s="947"/>
      <c r="E589" s="308"/>
      <c r="F589" s="914"/>
      <c r="G589" s="294"/>
      <c r="H589" s="292"/>
      <c r="I589" s="1112"/>
      <c r="J589" s="294"/>
      <c r="K589" s="292"/>
      <c r="L589" s="293"/>
      <c r="M589" s="292"/>
      <c r="N589" s="29" t="s">
        <v>119</v>
      </c>
      <c r="O589" s="120"/>
      <c r="P589" s="120"/>
      <c r="Q589" s="120"/>
      <c r="R589" s="29">
        <v>37</v>
      </c>
      <c r="S589" s="288" t="str">
        <f t="shared" si="344"/>
        <v/>
      </c>
      <c r="T589" s="288" t="str">
        <f t="shared" si="345"/>
        <v/>
      </c>
      <c r="U589" s="288" t="str">
        <f t="shared" si="346"/>
        <v/>
      </c>
      <c r="W589" s="288" t="e">
        <f t="shared" si="314"/>
        <v>#N/A</v>
      </c>
      <c r="X589" s="288" t="e">
        <f t="shared" si="347"/>
        <v>#N/A</v>
      </c>
      <c r="Y589" s="288" t="e">
        <f t="shared" si="316"/>
        <v>#N/A</v>
      </c>
      <c r="AA589" s="89"/>
      <c r="AB589" s="89"/>
      <c r="AC589" s="89"/>
      <c r="AD589" s="89"/>
      <c r="AE589" s="89"/>
      <c r="AF589" s="89"/>
      <c r="AG589" s="89"/>
      <c r="AH589" s="89"/>
      <c r="AI589" s="89"/>
      <c r="AJ589" s="89"/>
      <c r="AK589" s="89"/>
      <c r="AL589" s="89"/>
      <c r="AM589" s="89"/>
      <c r="AN589" s="89"/>
      <c r="BR589" s="180">
        <v>2049</v>
      </c>
      <c r="BS589" s="22">
        <v>35</v>
      </c>
      <c r="BT589" s="289" t="e">
        <f t="shared" si="327"/>
        <v>#DIV/0!</v>
      </c>
      <c r="BU589" s="289" t="e">
        <f t="shared" si="328"/>
        <v>#DIV/0!</v>
      </c>
      <c r="BV589" s="205" t="e">
        <f t="shared" si="329"/>
        <v>#DIV/0!</v>
      </c>
      <c r="BY589" s="180">
        <v>2049</v>
      </c>
      <c r="BZ589" s="22">
        <v>35</v>
      </c>
      <c r="CA589" s="289" t="e">
        <f t="shared" ca="1" si="330"/>
        <v>#REF!</v>
      </c>
      <c r="CB589" s="289" t="e">
        <f t="shared" ca="1" si="331"/>
        <v>#REF!</v>
      </c>
      <c r="CC589" s="289" t="e">
        <f t="shared" ca="1" si="342"/>
        <v>#REF!</v>
      </c>
      <c r="CD589" s="205" t="e">
        <f t="shared" ca="1" si="332"/>
        <v>#REF!</v>
      </c>
      <c r="CG589" s="180">
        <v>2049</v>
      </c>
      <c r="CH589" s="22">
        <v>35</v>
      </c>
      <c r="CI589" s="289" t="e">
        <f t="shared" ca="1" si="333"/>
        <v>#REF!</v>
      </c>
      <c r="CJ589" s="289" t="e">
        <f t="shared" ca="1" si="334"/>
        <v>#REF!</v>
      </c>
      <c r="CK589" s="289" t="e">
        <f t="shared" ca="1" si="335"/>
        <v>#REF!</v>
      </c>
      <c r="CL589" s="289" t="e">
        <f t="shared" ca="1" si="336"/>
        <v>#REF!</v>
      </c>
      <c r="CM589" s="205" t="e">
        <f t="shared" ca="1" si="337"/>
        <v>#REF!</v>
      </c>
      <c r="CP589" s="180">
        <v>2049</v>
      </c>
      <c r="CQ589" s="22">
        <v>35</v>
      </c>
      <c r="CR589" s="289" t="e">
        <f t="shared" ca="1" si="338"/>
        <v>#REF!</v>
      </c>
      <c r="CS589" s="289" t="e">
        <f t="shared" ca="1" si="339"/>
        <v>#REF!</v>
      </c>
      <c r="CT589" s="205" t="e">
        <f t="shared" ca="1" si="340"/>
        <v>#REF!</v>
      </c>
      <c r="CZ589" s="164" t="b">
        <f t="shared" si="317"/>
        <v>0</v>
      </c>
      <c r="DA589" s="165" t="b">
        <f t="shared" si="317"/>
        <v>0</v>
      </c>
      <c r="DB589" s="166" t="b">
        <f t="shared" si="317"/>
        <v>0</v>
      </c>
      <c r="DC589" s="164" t="str">
        <f t="shared" si="318"/>
        <v/>
      </c>
      <c r="DD589" s="166" t="str">
        <f t="shared" si="319"/>
        <v/>
      </c>
      <c r="DE589" s="164" t="str">
        <f t="shared" si="320"/>
        <v/>
      </c>
      <c r="DF589" s="166" t="str">
        <f t="shared" si="321"/>
        <v/>
      </c>
      <c r="DG589" s="164" t="str">
        <f t="shared" si="322"/>
        <v/>
      </c>
      <c r="DH589" s="166" t="str">
        <f t="shared" si="323"/>
        <v/>
      </c>
      <c r="DI589" s="164" t="str">
        <f>IFERROR(INDEX(DC$550:DC$598,_xlfn.AGGREGATE(15,6,(ROW(DC$550:DC$598)-ROW(DC$550)+1)/(DC$550:DC$598&lt;&gt;""),ROWS(DI$1:DI40))),"")</f>
        <v/>
      </c>
      <c r="DJ589" s="165" t="str">
        <f>IFERROR(INDEX(DD$550:DD$598,_xlfn.AGGREGATE(15,6,(ROW(DD$550:DD$598)-ROW(DD$550)+1)/(DD$550:DD$598&lt;&gt;""),ROWS(DJ$1:DJ40))),"")</f>
        <v/>
      </c>
      <c r="DK589" s="166" t="str">
        <f t="shared" si="324"/>
        <v/>
      </c>
      <c r="DL589" s="164" t="str">
        <f>IFERROR(INDEX(DE$550:DE$598,_xlfn.AGGREGATE(15,6,(ROW(DE$550:DE$598)-ROW(DE$550)+1)/(DE$550:DE$598&lt;&gt;""),ROWS(DL$1:DL40))),"")</f>
        <v/>
      </c>
      <c r="DM589" s="165" t="str">
        <f>IFERROR(INDEX(DF$550:DF$598,_xlfn.AGGREGATE(15,6,(ROW(DF$550:DF$598)-ROW(DF$550)+1)/(DF$550:DF$598&lt;&gt;""),ROWS(DM$1:DM40))),"")</f>
        <v/>
      </c>
      <c r="DN589" s="166" t="str">
        <f t="shared" si="325"/>
        <v/>
      </c>
      <c r="DO589" s="164" t="str">
        <f>IFERROR(INDEX(DG$550:DG$598,_xlfn.AGGREGATE(15,6,(ROW(DG$550:DG$598)-ROW(DG$550)+1)/(DG$550:DG$598&lt;&gt;""),ROWS(DO$1:DO40))),"")</f>
        <v/>
      </c>
      <c r="DP589" s="165" t="str">
        <f>IFERROR(INDEX(DH$550:DH$598,_xlfn.AGGREGATE(15,6,(ROW(DH$550:DH$598)-ROW(DH$550)+1)/(DH$550:DH$598&lt;&gt;""),ROWS(DP$1:DP40))),"")</f>
        <v/>
      </c>
      <c r="DQ589" s="166" t="str">
        <f t="shared" si="326"/>
        <v/>
      </c>
      <c r="DR589" s="65"/>
      <c r="DV589" s="145">
        <v>2054</v>
      </c>
      <c r="DW589" s="235" t="e">
        <f t="shared" ca="1" si="310"/>
        <v>#REF!</v>
      </c>
      <c r="EA589" s="55"/>
      <c r="EB589" s="55"/>
      <c r="EC589" s="55"/>
      <c r="ED589" s="55"/>
      <c r="EE589" s="55"/>
    </row>
    <row r="590" spans="2:135" ht="14.1" thickBot="1" x14ac:dyDescent="0.5">
      <c r="B590" s="128">
        <v>2052</v>
      </c>
      <c r="C590" s="957"/>
      <c r="D590" s="947"/>
      <c r="E590" s="308"/>
      <c r="F590" s="914"/>
      <c r="G590" s="294"/>
      <c r="H590" s="292"/>
      <c r="I590" s="1112"/>
      <c r="J590" s="294"/>
      <c r="K590" s="292"/>
      <c r="L590" s="293"/>
      <c r="M590" s="292"/>
      <c r="N590" s="29" t="s">
        <v>119</v>
      </c>
      <c r="O590" s="120"/>
      <c r="P590" s="120"/>
      <c r="Q590" s="120"/>
      <c r="R590" s="29">
        <v>38</v>
      </c>
      <c r="S590" s="288" t="str">
        <f t="shared" si="344"/>
        <v/>
      </c>
      <c r="T590" s="288" t="str">
        <f t="shared" si="345"/>
        <v/>
      </c>
      <c r="U590" s="288" t="str">
        <f t="shared" si="346"/>
        <v/>
      </c>
      <c r="W590" s="288" t="e">
        <f t="shared" si="314"/>
        <v>#N/A</v>
      </c>
      <c r="X590" s="288" t="e">
        <f t="shared" si="347"/>
        <v>#N/A</v>
      </c>
      <c r="Y590" s="288" t="e">
        <f t="shared" si="316"/>
        <v>#N/A</v>
      </c>
      <c r="AA590" s="89"/>
      <c r="AB590" s="89"/>
      <c r="AC590" s="89"/>
      <c r="AD590" s="89"/>
      <c r="AE590" s="89"/>
      <c r="AF590" s="89"/>
      <c r="AG590" s="89"/>
      <c r="AH590" s="89"/>
      <c r="AI590" s="89"/>
      <c r="AJ590" s="89"/>
      <c r="AK590" s="89"/>
      <c r="AL590" s="89"/>
      <c r="AM590" s="89"/>
      <c r="AN590" s="89"/>
      <c r="BR590" s="180">
        <v>2050</v>
      </c>
      <c r="BS590" s="22">
        <v>36</v>
      </c>
      <c r="BT590" s="289" t="e">
        <f t="shared" si="327"/>
        <v>#DIV/0!</v>
      </c>
      <c r="BU590" s="289" t="e">
        <f t="shared" si="328"/>
        <v>#DIV/0!</v>
      </c>
      <c r="BV590" s="212" t="e">
        <f t="shared" si="329"/>
        <v>#DIV/0!</v>
      </c>
      <c r="BY590" s="180">
        <v>2050</v>
      </c>
      <c r="BZ590" s="22">
        <v>36</v>
      </c>
      <c r="CA590" s="289" t="e">
        <f t="shared" ca="1" si="330"/>
        <v>#REF!</v>
      </c>
      <c r="CB590" s="289" t="e">
        <f t="shared" ca="1" si="331"/>
        <v>#REF!</v>
      </c>
      <c r="CC590" s="289" t="e">
        <f t="shared" ca="1" si="342"/>
        <v>#REF!</v>
      </c>
      <c r="CD590" s="212" t="e">
        <f t="shared" ca="1" si="332"/>
        <v>#REF!</v>
      </c>
      <c r="CG590" s="180">
        <v>2050</v>
      </c>
      <c r="CH590" s="22">
        <v>36</v>
      </c>
      <c r="CI590" s="289" t="e">
        <f t="shared" ca="1" si="333"/>
        <v>#REF!</v>
      </c>
      <c r="CJ590" s="289" t="e">
        <f t="shared" ca="1" si="334"/>
        <v>#REF!</v>
      </c>
      <c r="CK590" s="289" t="e">
        <f t="shared" ca="1" si="335"/>
        <v>#REF!</v>
      </c>
      <c r="CL590" s="289" t="e">
        <f t="shared" ca="1" si="336"/>
        <v>#REF!</v>
      </c>
      <c r="CM590" s="212" t="e">
        <f t="shared" ca="1" si="337"/>
        <v>#REF!</v>
      </c>
      <c r="CP590" s="180">
        <v>2050</v>
      </c>
      <c r="CQ590" s="22">
        <v>36</v>
      </c>
      <c r="CR590" s="289" t="e">
        <f t="shared" ca="1" si="338"/>
        <v>#REF!</v>
      </c>
      <c r="CS590" s="289" t="e">
        <f t="shared" ca="1" si="339"/>
        <v>#REF!</v>
      </c>
      <c r="CT590" s="212" t="e">
        <f t="shared" ca="1" si="340"/>
        <v>#REF!</v>
      </c>
      <c r="CZ590" s="164" t="b">
        <f t="shared" ref="CZ590:DB598" si="348">ISNUMBER(W590)</f>
        <v>0</v>
      </c>
      <c r="DA590" s="165" t="b">
        <f t="shared" si="348"/>
        <v>0</v>
      </c>
      <c r="DB590" s="166" t="b">
        <f t="shared" si="348"/>
        <v>0</v>
      </c>
      <c r="DC590" s="164" t="str">
        <f t="shared" si="318"/>
        <v/>
      </c>
      <c r="DD590" s="166" t="str">
        <f t="shared" si="319"/>
        <v/>
      </c>
      <c r="DE590" s="164" t="str">
        <f t="shared" si="320"/>
        <v/>
      </c>
      <c r="DF590" s="166" t="str">
        <f t="shared" si="321"/>
        <v/>
      </c>
      <c r="DG590" s="164" t="str">
        <f t="shared" si="322"/>
        <v/>
      </c>
      <c r="DH590" s="166" t="str">
        <f t="shared" si="323"/>
        <v/>
      </c>
      <c r="DI590" s="164" t="str">
        <f>IFERROR(INDEX(DC$550:DC$598,_xlfn.AGGREGATE(15,6,(ROW(DC$550:DC$598)-ROW(DC$550)+1)/(DC$550:DC$598&lt;&gt;""),ROWS(DI$1:DI41))),"")</f>
        <v/>
      </c>
      <c r="DJ590" s="165" t="str">
        <f>IFERROR(INDEX(DD$550:DD$598,_xlfn.AGGREGATE(15,6,(ROW(DD$550:DD$598)-ROW(DD$550)+1)/(DD$550:DD$598&lt;&gt;""),ROWS(DJ$1:DJ41))),"")</f>
        <v/>
      </c>
      <c r="DK590" s="166" t="str">
        <f t="shared" si="324"/>
        <v/>
      </c>
      <c r="DL590" s="164" t="str">
        <f>IFERROR(INDEX(DE$550:DE$598,_xlfn.AGGREGATE(15,6,(ROW(DE$550:DE$598)-ROW(DE$550)+1)/(DE$550:DE$598&lt;&gt;""),ROWS(DL$1:DL41))),"")</f>
        <v/>
      </c>
      <c r="DM590" s="165" t="str">
        <f>IFERROR(INDEX(DF$550:DF$598,_xlfn.AGGREGATE(15,6,(ROW(DF$550:DF$598)-ROW(DF$550)+1)/(DF$550:DF$598&lt;&gt;""),ROWS(DM$1:DM41))),"")</f>
        <v/>
      </c>
      <c r="DN590" s="166" t="str">
        <f t="shared" si="325"/>
        <v/>
      </c>
      <c r="DO590" s="164" t="str">
        <f>IFERROR(INDEX(DG$550:DG$598,_xlfn.AGGREGATE(15,6,(ROW(DG$550:DG$598)-ROW(DG$550)+1)/(DG$550:DG$598&lt;&gt;""),ROWS(DO$1:DO41))),"")</f>
        <v/>
      </c>
      <c r="DP590" s="165" t="str">
        <f>IFERROR(INDEX(DH$550:DH$598,_xlfn.AGGREGATE(15,6,(ROW(DH$550:DH$598)-ROW(DH$550)+1)/(DH$550:DH$598&lt;&gt;""),ROWS(DP$1:DP41))),"")</f>
        <v/>
      </c>
      <c r="DQ590" s="166" t="str">
        <f t="shared" si="326"/>
        <v/>
      </c>
      <c r="DR590" s="65"/>
      <c r="DV590" s="145">
        <v>2055</v>
      </c>
      <c r="DW590" s="235" t="e">
        <f t="shared" ca="1" si="310"/>
        <v>#REF!</v>
      </c>
      <c r="EA590" s="55"/>
      <c r="EB590" s="55"/>
      <c r="EC590" s="55"/>
      <c r="ED590" s="55"/>
      <c r="EE590" s="55"/>
    </row>
    <row r="591" spans="2:135" ht="13.8" x14ac:dyDescent="0.45">
      <c r="B591" s="128">
        <v>2053</v>
      </c>
      <c r="C591" s="957"/>
      <c r="D591" s="947"/>
      <c r="E591" s="308"/>
      <c r="F591" s="914"/>
      <c r="G591" s="294"/>
      <c r="H591" s="292"/>
      <c r="I591" s="1112"/>
      <c r="J591" s="294"/>
      <c r="K591" s="292"/>
      <c r="L591" s="293"/>
      <c r="M591" s="292"/>
      <c r="N591" s="29" t="s">
        <v>119</v>
      </c>
      <c r="O591" s="120"/>
      <c r="P591" s="120"/>
      <c r="Q591" s="120"/>
      <c r="R591" s="29">
        <v>39</v>
      </c>
      <c r="S591" s="288" t="str">
        <f t="shared" si="344"/>
        <v/>
      </c>
      <c r="T591" s="288" t="str">
        <f t="shared" si="345"/>
        <v/>
      </c>
      <c r="U591" s="288" t="str">
        <f t="shared" si="346"/>
        <v/>
      </c>
      <c r="W591" s="288" t="e">
        <f t="shared" si="314"/>
        <v>#N/A</v>
      </c>
      <c r="X591" s="288" t="e">
        <f t="shared" si="347"/>
        <v>#N/A</v>
      </c>
      <c r="Y591" s="288" t="e">
        <f t="shared" si="316"/>
        <v>#N/A</v>
      </c>
      <c r="AA591" s="89"/>
      <c r="AB591" s="89"/>
      <c r="AC591" s="89"/>
      <c r="AD591" s="89"/>
      <c r="AE591" s="89"/>
      <c r="AF591" s="89"/>
      <c r="AG591" s="89"/>
      <c r="AH591" s="89"/>
      <c r="AI591" s="89"/>
      <c r="AJ591" s="89"/>
      <c r="AK591" s="89"/>
      <c r="AL591" s="89"/>
      <c r="AM591" s="89"/>
      <c r="AN591" s="89"/>
      <c r="BR591" s="180">
        <v>2051</v>
      </c>
      <c r="BS591" s="22">
        <v>37</v>
      </c>
      <c r="BT591" s="289" t="e">
        <f t="shared" si="327"/>
        <v>#DIV/0!</v>
      </c>
      <c r="BU591" s="289" t="e">
        <f t="shared" si="328"/>
        <v>#DIV/0!</v>
      </c>
      <c r="BV591" s="285" t="e">
        <f t="shared" si="329"/>
        <v>#DIV/0!</v>
      </c>
      <c r="BY591" s="180">
        <v>2051</v>
      </c>
      <c r="BZ591" s="22">
        <v>37</v>
      </c>
      <c r="CA591" s="289" t="e">
        <f t="shared" ca="1" si="330"/>
        <v>#REF!</v>
      </c>
      <c r="CB591" s="289" t="e">
        <f t="shared" ca="1" si="331"/>
        <v>#REF!</v>
      </c>
      <c r="CC591" s="289" t="e">
        <f t="shared" ca="1" si="342"/>
        <v>#REF!</v>
      </c>
      <c r="CD591" s="285" t="e">
        <f t="shared" ca="1" si="332"/>
        <v>#REF!</v>
      </c>
      <c r="CG591" s="180">
        <v>2051</v>
      </c>
      <c r="CH591" s="22">
        <v>37</v>
      </c>
      <c r="CI591" s="289" t="e">
        <f t="shared" ca="1" si="333"/>
        <v>#REF!</v>
      </c>
      <c r="CJ591" s="289" t="e">
        <f t="shared" ca="1" si="334"/>
        <v>#REF!</v>
      </c>
      <c r="CK591" s="289" t="e">
        <f t="shared" ca="1" si="335"/>
        <v>#REF!</v>
      </c>
      <c r="CL591" s="289" t="e">
        <f t="shared" ca="1" si="336"/>
        <v>#REF!</v>
      </c>
      <c r="CM591" s="285" t="e">
        <f t="shared" ca="1" si="337"/>
        <v>#REF!</v>
      </c>
      <c r="CP591" s="180">
        <v>2051</v>
      </c>
      <c r="CQ591" s="22">
        <v>37</v>
      </c>
      <c r="CR591" s="289" t="e">
        <f t="shared" ca="1" si="338"/>
        <v>#REF!</v>
      </c>
      <c r="CS591" s="289" t="e">
        <f t="shared" ca="1" si="339"/>
        <v>#REF!</v>
      </c>
      <c r="CT591" s="285" t="e">
        <f t="shared" ca="1" si="340"/>
        <v>#REF!</v>
      </c>
      <c r="CZ591" s="164" t="b">
        <f t="shared" si="348"/>
        <v>0</v>
      </c>
      <c r="DA591" s="165" t="b">
        <f t="shared" si="348"/>
        <v>0</v>
      </c>
      <c r="DB591" s="166" t="b">
        <f t="shared" si="348"/>
        <v>0</v>
      </c>
      <c r="DC591" s="164" t="str">
        <f t="shared" si="318"/>
        <v/>
      </c>
      <c r="DD591" s="166" t="str">
        <f t="shared" si="319"/>
        <v/>
      </c>
      <c r="DE591" s="164" t="str">
        <f t="shared" si="320"/>
        <v/>
      </c>
      <c r="DF591" s="166" t="str">
        <f t="shared" si="321"/>
        <v/>
      </c>
      <c r="DG591" s="164" t="str">
        <f t="shared" si="322"/>
        <v/>
      </c>
      <c r="DH591" s="166" t="str">
        <f t="shared" si="323"/>
        <v/>
      </c>
      <c r="DI591" s="164" t="str">
        <f>IFERROR(INDEX(DC$550:DC$598,_xlfn.AGGREGATE(15,6,(ROW(DC$550:DC$598)-ROW(DC$550)+1)/(DC$550:DC$598&lt;&gt;""),ROWS(DI$1:DI42))),"")</f>
        <v/>
      </c>
      <c r="DJ591" s="165" t="str">
        <f>IFERROR(INDEX(DD$550:DD$598,_xlfn.AGGREGATE(15,6,(ROW(DD$550:DD$598)-ROW(DD$550)+1)/(DD$550:DD$598&lt;&gt;""),ROWS(DJ$1:DJ42))),"")</f>
        <v/>
      </c>
      <c r="DK591" s="166" t="str">
        <f t="shared" si="324"/>
        <v/>
      </c>
      <c r="DL591" s="164" t="str">
        <f>IFERROR(INDEX(DE$550:DE$598,_xlfn.AGGREGATE(15,6,(ROW(DE$550:DE$598)-ROW(DE$550)+1)/(DE$550:DE$598&lt;&gt;""),ROWS(DL$1:DL42))),"")</f>
        <v/>
      </c>
      <c r="DM591" s="165" t="str">
        <f>IFERROR(INDEX(DF$550:DF$598,_xlfn.AGGREGATE(15,6,(ROW(DF$550:DF$598)-ROW(DF$550)+1)/(DF$550:DF$598&lt;&gt;""),ROWS(DM$1:DM42))),"")</f>
        <v/>
      </c>
      <c r="DN591" s="166" t="str">
        <f t="shared" si="325"/>
        <v/>
      </c>
      <c r="DO591" s="164" t="str">
        <f>IFERROR(INDEX(DG$550:DG$598,_xlfn.AGGREGATE(15,6,(ROW(DG$550:DG$598)-ROW(DG$550)+1)/(DG$550:DG$598&lt;&gt;""),ROWS(DO$1:DO42))),"")</f>
        <v/>
      </c>
      <c r="DP591" s="165" t="str">
        <f>IFERROR(INDEX(DH$550:DH$598,_xlfn.AGGREGATE(15,6,(ROW(DH$550:DH$598)-ROW(DH$550)+1)/(DH$550:DH$598&lt;&gt;""),ROWS(DP$1:DP42))),"")</f>
        <v/>
      </c>
      <c r="DQ591" s="166" t="str">
        <f t="shared" si="326"/>
        <v/>
      </c>
      <c r="DR591" s="65"/>
      <c r="DV591" s="145">
        <v>2056</v>
      </c>
      <c r="DW591" s="235" t="e">
        <f t="shared" ca="1" si="310"/>
        <v>#REF!</v>
      </c>
      <c r="EA591" s="55"/>
      <c r="EB591" s="55"/>
      <c r="EC591" s="55"/>
      <c r="ED591" s="55"/>
      <c r="EE591" s="55"/>
    </row>
    <row r="592" spans="2:135" ht="13.8" x14ac:dyDescent="0.45">
      <c r="B592" s="128">
        <v>2054</v>
      </c>
      <c r="C592" s="957"/>
      <c r="D592" s="947"/>
      <c r="E592" s="308"/>
      <c r="F592" s="914"/>
      <c r="G592" s="294"/>
      <c r="H592" s="292"/>
      <c r="I592" s="1112"/>
      <c r="J592" s="294"/>
      <c r="K592" s="292"/>
      <c r="L592" s="293"/>
      <c r="M592" s="292"/>
      <c r="N592" s="29" t="s">
        <v>119</v>
      </c>
      <c r="O592" s="120"/>
      <c r="P592" s="120"/>
      <c r="Q592" s="120"/>
      <c r="R592" s="29">
        <v>40</v>
      </c>
      <c r="S592" s="288" t="str">
        <f t="shared" si="344"/>
        <v/>
      </c>
      <c r="T592" s="288" t="str">
        <f t="shared" si="345"/>
        <v/>
      </c>
      <c r="U592" s="288" t="str">
        <f t="shared" si="346"/>
        <v/>
      </c>
      <c r="W592" s="288" t="e">
        <f t="shared" si="314"/>
        <v>#N/A</v>
      </c>
      <c r="X592" s="288" t="e">
        <f t="shared" si="347"/>
        <v>#N/A</v>
      </c>
      <c r="Y592" s="288" t="e">
        <f t="shared" si="316"/>
        <v>#N/A</v>
      </c>
      <c r="AA592" s="89"/>
      <c r="AB592" s="89"/>
      <c r="AC592" s="89"/>
      <c r="AD592" s="89"/>
      <c r="AE592" s="89"/>
      <c r="AF592" s="89"/>
      <c r="AG592" s="89"/>
      <c r="AH592" s="89"/>
      <c r="AI592" s="89"/>
      <c r="AJ592" s="89"/>
      <c r="AK592" s="89"/>
      <c r="AL592" s="89"/>
      <c r="AM592" s="89"/>
      <c r="AN592" s="89"/>
      <c r="BR592" s="180">
        <v>2052</v>
      </c>
      <c r="BS592" s="22">
        <v>38</v>
      </c>
      <c r="BT592" s="289" t="e">
        <f t="shared" si="327"/>
        <v>#DIV/0!</v>
      </c>
      <c r="BU592" s="289" t="e">
        <f t="shared" si="328"/>
        <v>#DIV/0!</v>
      </c>
      <c r="BV592" s="299" t="e">
        <f t="shared" si="329"/>
        <v>#DIV/0!</v>
      </c>
      <c r="BY592" s="180">
        <v>2052</v>
      </c>
      <c r="BZ592" s="22">
        <v>38</v>
      </c>
      <c r="CA592" s="289" t="e">
        <f t="shared" ca="1" si="330"/>
        <v>#REF!</v>
      </c>
      <c r="CB592" s="289" t="e">
        <f t="shared" ca="1" si="331"/>
        <v>#REF!</v>
      </c>
      <c r="CC592" s="289" t="e">
        <f t="shared" ca="1" si="342"/>
        <v>#REF!</v>
      </c>
      <c r="CD592" s="299" t="e">
        <f t="shared" ca="1" si="332"/>
        <v>#REF!</v>
      </c>
      <c r="CG592" s="180">
        <v>2052</v>
      </c>
      <c r="CH592" s="22">
        <v>38</v>
      </c>
      <c r="CI592" s="289" t="e">
        <f t="shared" ca="1" si="333"/>
        <v>#REF!</v>
      </c>
      <c r="CJ592" s="289" t="e">
        <f t="shared" ca="1" si="334"/>
        <v>#REF!</v>
      </c>
      <c r="CK592" s="289" t="e">
        <f t="shared" ca="1" si="335"/>
        <v>#REF!</v>
      </c>
      <c r="CL592" s="289" t="e">
        <f t="shared" ca="1" si="336"/>
        <v>#REF!</v>
      </c>
      <c r="CM592" s="299" t="e">
        <f t="shared" ca="1" si="337"/>
        <v>#REF!</v>
      </c>
      <c r="CP592" s="180">
        <v>2052</v>
      </c>
      <c r="CQ592" s="22">
        <v>38</v>
      </c>
      <c r="CR592" s="289" t="e">
        <f t="shared" ca="1" si="338"/>
        <v>#REF!</v>
      </c>
      <c r="CS592" s="289" t="e">
        <f t="shared" ca="1" si="339"/>
        <v>#REF!</v>
      </c>
      <c r="CT592" s="299" t="e">
        <f t="shared" ca="1" si="340"/>
        <v>#REF!</v>
      </c>
      <c r="CZ592" s="164" t="b">
        <f t="shared" si="348"/>
        <v>0</v>
      </c>
      <c r="DA592" s="165" t="b">
        <f t="shared" si="348"/>
        <v>0</v>
      </c>
      <c r="DB592" s="166" t="b">
        <f t="shared" si="348"/>
        <v>0</v>
      </c>
      <c r="DC592" s="164" t="str">
        <f t="shared" si="318"/>
        <v/>
      </c>
      <c r="DD592" s="166" t="str">
        <f t="shared" si="319"/>
        <v/>
      </c>
      <c r="DE592" s="164" t="str">
        <f t="shared" si="320"/>
        <v/>
      </c>
      <c r="DF592" s="166" t="str">
        <f t="shared" si="321"/>
        <v/>
      </c>
      <c r="DG592" s="164" t="str">
        <f t="shared" si="322"/>
        <v/>
      </c>
      <c r="DH592" s="166" t="str">
        <f t="shared" si="323"/>
        <v/>
      </c>
      <c r="DI592" s="164" t="str">
        <f>IFERROR(INDEX(DC$550:DC$598,_xlfn.AGGREGATE(15,6,(ROW(DC$550:DC$598)-ROW(DC$550)+1)/(DC$550:DC$598&lt;&gt;""),ROWS(DI$1:DI43))),"")</f>
        <v/>
      </c>
      <c r="DJ592" s="165" t="str">
        <f>IFERROR(INDEX(DD$550:DD$598,_xlfn.AGGREGATE(15,6,(ROW(DD$550:DD$598)-ROW(DD$550)+1)/(DD$550:DD$598&lt;&gt;""),ROWS(DJ$1:DJ43))),"")</f>
        <v/>
      </c>
      <c r="DK592" s="166" t="str">
        <f t="shared" si="324"/>
        <v/>
      </c>
      <c r="DL592" s="164" t="str">
        <f>IFERROR(INDEX(DE$550:DE$598,_xlfn.AGGREGATE(15,6,(ROW(DE$550:DE$598)-ROW(DE$550)+1)/(DE$550:DE$598&lt;&gt;""),ROWS(DL$1:DL43))),"")</f>
        <v/>
      </c>
      <c r="DM592" s="165" t="str">
        <f>IFERROR(INDEX(DF$550:DF$598,_xlfn.AGGREGATE(15,6,(ROW(DF$550:DF$598)-ROW(DF$550)+1)/(DF$550:DF$598&lt;&gt;""),ROWS(DM$1:DM43))),"")</f>
        <v/>
      </c>
      <c r="DN592" s="166" t="str">
        <f t="shared" si="325"/>
        <v/>
      </c>
      <c r="DO592" s="164" t="str">
        <f>IFERROR(INDEX(DG$550:DG$598,_xlfn.AGGREGATE(15,6,(ROW(DG$550:DG$598)-ROW(DG$550)+1)/(DG$550:DG$598&lt;&gt;""),ROWS(DO$1:DO43))),"")</f>
        <v/>
      </c>
      <c r="DP592" s="165" t="str">
        <f>IFERROR(INDEX(DH$550:DH$598,_xlfn.AGGREGATE(15,6,(ROW(DH$550:DH$598)-ROW(DH$550)+1)/(DH$550:DH$598&lt;&gt;""),ROWS(DP$1:DP43))),"")</f>
        <v/>
      </c>
      <c r="DQ592" s="166" t="str">
        <f t="shared" si="326"/>
        <v/>
      </c>
      <c r="DR592" s="65"/>
      <c r="DV592" s="145">
        <v>2057</v>
      </c>
      <c r="DW592" s="235" t="e">
        <f t="shared" ca="1" si="310"/>
        <v>#REF!</v>
      </c>
      <c r="EA592" s="55"/>
      <c r="EB592" s="55"/>
      <c r="EC592" s="55"/>
      <c r="ED592" s="55"/>
      <c r="EE592" s="55"/>
    </row>
    <row r="593" spans="1:135" ht="13.8" x14ac:dyDescent="0.45">
      <c r="B593" s="128">
        <v>2055</v>
      </c>
      <c r="C593" s="957"/>
      <c r="D593" s="947"/>
      <c r="E593" s="308"/>
      <c r="F593" s="914"/>
      <c r="G593" s="294"/>
      <c r="H593" s="292"/>
      <c r="I593" s="1112"/>
      <c r="J593" s="294"/>
      <c r="K593" s="292"/>
      <c r="L593" s="293"/>
      <c r="M593" s="292"/>
      <c r="N593" s="29" t="s">
        <v>119</v>
      </c>
      <c r="O593" s="120"/>
      <c r="P593" s="120"/>
      <c r="Q593" s="120"/>
      <c r="R593" s="29">
        <v>41</v>
      </c>
      <c r="S593" s="288" t="str">
        <f t="shared" si="344"/>
        <v/>
      </c>
      <c r="T593" s="288" t="str">
        <f t="shared" si="345"/>
        <v/>
      </c>
      <c r="U593" s="288" t="str">
        <f t="shared" si="346"/>
        <v/>
      </c>
      <c r="W593" s="288" t="e">
        <f t="shared" si="314"/>
        <v>#N/A</v>
      </c>
      <c r="X593" s="288" t="e">
        <f t="shared" si="347"/>
        <v>#N/A</v>
      </c>
      <c r="Y593" s="288" t="e">
        <f t="shared" si="316"/>
        <v>#N/A</v>
      </c>
      <c r="AA593" s="89"/>
      <c r="AB593" s="89"/>
      <c r="AC593" s="89"/>
      <c r="AD593" s="89"/>
      <c r="AE593" s="89"/>
      <c r="AF593" s="89"/>
      <c r="AG593" s="89"/>
      <c r="AH593" s="89"/>
      <c r="AI593" s="89"/>
      <c r="AJ593" s="89"/>
      <c r="AK593" s="89"/>
      <c r="AL593" s="89"/>
      <c r="AM593" s="89"/>
      <c r="AN593" s="89"/>
      <c r="BR593" s="180">
        <v>2053</v>
      </c>
      <c r="BS593" s="22">
        <v>39</v>
      </c>
      <c r="BT593" s="289" t="e">
        <f t="shared" si="327"/>
        <v>#DIV/0!</v>
      </c>
      <c r="BU593" s="289" t="e">
        <f t="shared" si="328"/>
        <v>#DIV/0!</v>
      </c>
      <c r="BV593" s="299" t="e">
        <f t="shared" si="329"/>
        <v>#DIV/0!</v>
      </c>
      <c r="BY593" s="180">
        <v>2053</v>
      </c>
      <c r="BZ593" s="22">
        <v>39</v>
      </c>
      <c r="CA593" s="289" t="e">
        <f t="shared" ca="1" si="330"/>
        <v>#REF!</v>
      </c>
      <c r="CB593" s="289" t="e">
        <f t="shared" ca="1" si="331"/>
        <v>#REF!</v>
      </c>
      <c r="CC593" s="289" t="e">
        <f t="shared" ca="1" si="342"/>
        <v>#REF!</v>
      </c>
      <c r="CD593" s="299" t="e">
        <f t="shared" ca="1" si="332"/>
        <v>#REF!</v>
      </c>
      <c r="CG593" s="180">
        <v>2053</v>
      </c>
      <c r="CH593" s="22">
        <v>39</v>
      </c>
      <c r="CI593" s="289" t="e">
        <f t="shared" ca="1" si="333"/>
        <v>#REF!</v>
      </c>
      <c r="CJ593" s="289" t="e">
        <f t="shared" ca="1" si="334"/>
        <v>#REF!</v>
      </c>
      <c r="CK593" s="289" t="e">
        <f t="shared" ca="1" si="335"/>
        <v>#REF!</v>
      </c>
      <c r="CL593" s="289" t="e">
        <f t="shared" ca="1" si="336"/>
        <v>#REF!</v>
      </c>
      <c r="CM593" s="299" t="e">
        <f t="shared" ca="1" si="337"/>
        <v>#REF!</v>
      </c>
      <c r="CP593" s="180">
        <v>2053</v>
      </c>
      <c r="CQ593" s="22">
        <v>39</v>
      </c>
      <c r="CR593" s="289" t="e">
        <f t="shared" ca="1" si="338"/>
        <v>#REF!</v>
      </c>
      <c r="CS593" s="289" t="e">
        <f t="shared" ca="1" si="339"/>
        <v>#REF!</v>
      </c>
      <c r="CT593" s="299" t="e">
        <f t="shared" ca="1" si="340"/>
        <v>#REF!</v>
      </c>
      <c r="CZ593" s="164" t="b">
        <f t="shared" si="348"/>
        <v>0</v>
      </c>
      <c r="DA593" s="165" t="b">
        <f t="shared" si="348"/>
        <v>0</v>
      </c>
      <c r="DB593" s="166" t="b">
        <f t="shared" si="348"/>
        <v>0</v>
      </c>
      <c r="DC593" s="164" t="str">
        <f t="shared" si="318"/>
        <v/>
      </c>
      <c r="DD593" s="166" t="str">
        <f t="shared" si="319"/>
        <v/>
      </c>
      <c r="DE593" s="164" t="str">
        <f t="shared" si="320"/>
        <v/>
      </c>
      <c r="DF593" s="166" t="str">
        <f t="shared" si="321"/>
        <v/>
      </c>
      <c r="DG593" s="164" t="str">
        <f t="shared" si="322"/>
        <v/>
      </c>
      <c r="DH593" s="166" t="str">
        <f t="shared" si="323"/>
        <v/>
      </c>
      <c r="DI593" s="164" t="str">
        <f>IFERROR(INDEX(DC$550:DC$598,_xlfn.AGGREGATE(15,6,(ROW(DC$550:DC$598)-ROW(DC$550)+1)/(DC$550:DC$598&lt;&gt;""),ROWS(DI$1:DI44))),"")</f>
        <v/>
      </c>
      <c r="DJ593" s="165" t="str">
        <f>IFERROR(INDEX(DD$550:DD$598,_xlfn.AGGREGATE(15,6,(ROW(DD$550:DD$598)-ROW(DD$550)+1)/(DD$550:DD$598&lt;&gt;""),ROWS(DJ$1:DJ44))),"")</f>
        <v/>
      </c>
      <c r="DK593" s="166" t="str">
        <f t="shared" si="324"/>
        <v/>
      </c>
      <c r="DL593" s="164" t="str">
        <f>IFERROR(INDEX(DE$550:DE$598,_xlfn.AGGREGATE(15,6,(ROW(DE$550:DE$598)-ROW(DE$550)+1)/(DE$550:DE$598&lt;&gt;""),ROWS(DL$1:DL44))),"")</f>
        <v/>
      </c>
      <c r="DM593" s="165" t="str">
        <f>IFERROR(INDEX(DF$550:DF$598,_xlfn.AGGREGATE(15,6,(ROW(DF$550:DF$598)-ROW(DF$550)+1)/(DF$550:DF$598&lt;&gt;""),ROWS(DM$1:DM44))),"")</f>
        <v/>
      </c>
      <c r="DN593" s="166" t="str">
        <f t="shared" si="325"/>
        <v/>
      </c>
      <c r="DO593" s="164" t="str">
        <f>IFERROR(INDEX(DG$550:DG$598,_xlfn.AGGREGATE(15,6,(ROW(DG$550:DG$598)-ROW(DG$550)+1)/(DG$550:DG$598&lt;&gt;""),ROWS(DO$1:DO44))),"")</f>
        <v/>
      </c>
      <c r="DP593" s="165" t="str">
        <f>IFERROR(INDEX(DH$550:DH$598,_xlfn.AGGREGATE(15,6,(ROW(DH$550:DH$598)-ROW(DH$550)+1)/(DH$550:DH$598&lt;&gt;""),ROWS(DP$1:DP44))),"")</f>
        <v/>
      </c>
      <c r="DQ593" s="166" t="str">
        <f t="shared" si="326"/>
        <v/>
      </c>
      <c r="DR593" s="65"/>
      <c r="DV593" s="145">
        <v>2058</v>
      </c>
      <c r="DW593" s="235" t="e">
        <f t="shared" ca="1" si="310"/>
        <v>#REF!</v>
      </c>
      <c r="EA593" s="55"/>
      <c r="EB593" s="55"/>
      <c r="EC593" s="55"/>
      <c r="ED593" s="55"/>
      <c r="EE593" s="55"/>
    </row>
    <row r="594" spans="1:135" ht="13.8" x14ac:dyDescent="0.45">
      <c r="B594" s="128">
        <v>2056</v>
      </c>
      <c r="C594" s="957"/>
      <c r="D594" s="947"/>
      <c r="E594" s="308"/>
      <c r="F594" s="914"/>
      <c r="G594" s="294"/>
      <c r="H594" s="292"/>
      <c r="I594" s="1112"/>
      <c r="J594" s="294"/>
      <c r="K594" s="292"/>
      <c r="L594" s="293"/>
      <c r="M594" s="292"/>
      <c r="N594" s="29" t="s">
        <v>119</v>
      </c>
      <c r="O594" s="120"/>
      <c r="P594" s="120"/>
      <c r="Q594" s="120"/>
      <c r="R594" s="29">
        <v>42</v>
      </c>
      <c r="S594" s="288" t="str">
        <f t="shared" si="344"/>
        <v/>
      </c>
      <c r="T594" s="288" t="str">
        <f t="shared" si="345"/>
        <v/>
      </c>
      <c r="U594" s="288" t="str">
        <f t="shared" si="346"/>
        <v/>
      </c>
      <c r="W594" s="288" t="e">
        <f t="shared" si="314"/>
        <v>#N/A</v>
      </c>
      <c r="X594" s="288" t="e">
        <f t="shared" si="347"/>
        <v>#N/A</v>
      </c>
      <c r="Y594" s="288" t="e">
        <f t="shared" si="316"/>
        <v>#N/A</v>
      </c>
      <c r="AA594" s="89"/>
      <c r="AB594" s="89"/>
      <c r="AC594" s="89"/>
      <c r="AD594" s="89"/>
      <c r="AE594" s="89"/>
      <c r="AF594" s="89"/>
      <c r="AG594" s="89"/>
      <c r="AH594" s="89"/>
      <c r="AI594" s="89"/>
      <c r="AJ594" s="89"/>
      <c r="AK594" s="89"/>
      <c r="AL594" s="89"/>
      <c r="AM594" s="89"/>
      <c r="AN594" s="89"/>
      <c r="BR594" s="180">
        <v>2054</v>
      </c>
      <c r="BS594" s="22">
        <v>40</v>
      </c>
      <c r="BT594" s="289" t="e">
        <f t="shared" si="327"/>
        <v>#DIV/0!</v>
      </c>
      <c r="BU594" s="289" t="e">
        <f t="shared" si="328"/>
        <v>#DIV/0!</v>
      </c>
      <c r="BV594" s="299" t="e">
        <f t="shared" si="329"/>
        <v>#DIV/0!</v>
      </c>
      <c r="BY594" s="180">
        <v>2054</v>
      </c>
      <c r="BZ594" s="22">
        <v>40</v>
      </c>
      <c r="CA594" s="289" t="e">
        <f t="shared" ca="1" si="330"/>
        <v>#REF!</v>
      </c>
      <c r="CB594" s="289" t="e">
        <f t="shared" ca="1" si="331"/>
        <v>#REF!</v>
      </c>
      <c r="CC594" s="289" t="e">
        <f t="shared" ca="1" si="342"/>
        <v>#REF!</v>
      </c>
      <c r="CD594" s="299" t="e">
        <f t="shared" ca="1" si="332"/>
        <v>#REF!</v>
      </c>
      <c r="CG594" s="180">
        <v>2054</v>
      </c>
      <c r="CH594" s="22">
        <v>40</v>
      </c>
      <c r="CI594" s="289" t="e">
        <f t="shared" ca="1" si="333"/>
        <v>#REF!</v>
      </c>
      <c r="CJ594" s="289" t="e">
        <f t="shared" ca="1" si="334"/>
        <v>#REF!</v>
      </c>
      <c r="CK594" s="289" t="e">
        <f t="shared" ca="1" si="335"/>
        <v>#REF!</v>
      </c>
      <c r="CL594" s="289" t="e">
        <f t="shared" ca="1" si="336"/>
        <v>#REF!</v>
      </c>
      <c r="CM594" s="299" t="e">
        <f t="shared" ca="1" si="337"/>
        <v>#REF!</v>
      </c>
      <c r="CP594" s="180">
        <v>2054</v>
      </c>
      <c r="CQ594" s="22">
        <v>40</v>
      </c>
      <c r="CR594" s="289" t="e">
        <f t="shared" ca="1" si="338"/>
        <v>#REF!</v>
      </c>
      <c r="CS594" s="289" t="e">
        <f t="shared" ca="1" si="339"/>
        <v>#REF!</v>
      </c>
      <c r="CT594" s="299" t="e">
        <f t="shared" ca="1" si="340"/>
        <v>#REF!</v>
      </c>
      <c r="CZ594" s="164" t="b">
        <f t="shared" si="348"/>
        <v>0</v>
      </c>
      <c r="DA594" s="165" t="b">
        <f t="shared" si="348"/>
        <v>0</v>
      </c>
      <c r="DB594" s="166" t="b">
        <f t="shared" si="348"/>
        <v>0</v>
      </c>
      <c r="DC594" s="164" t="str">
        <f t="shared" si="318"/>
        <v/>
      </c>
      <c r="DD594" s="166" t="str">
        <f t="shared" si="319"/>
        <v/>
      </c>
      <c r="DE594" s="164" t="str">
        <f t="shared" si="320"/>
        <v/>
      </c>
      <c r="DF594" s="166" t="str">
        <f t="shared" si="321"/>
        <v/>
      </c>
      <c r="DG594" s="164" t="str">
        <f t="shared" si="322"/>
        <v/>
      </c>
      <c r="DH594" s="166" t="str">
        <f t="shared" si="323"/>
        <v/>
      </c>
      <c r="DI594" s="164" t="str">
        <f>IFERROR(INDEX(DC$550:DC$598,_xlfn.AGGREGATE(15,6,(ROW(DC$550:DC$598)-ROW(DC$550)+1)/(DC$550:DC$598&lt;&gt;""),ROWS(DI$1:DI45))),"")</f>
        <v/>
      </c>
      <c r="DJ594" s="165" t="str">
        <f>IFERROR(INDEX(DD$550:DD$598,_xlfn.AGGREGATE(15,6,(ROW(DD$550:DD$598)-ROW(DD$550)+1)/(DD$550:DD$598&lt;&gt;""),ROWS(DJ$1:DJ45))),"")</f>
        <v/>
      </c>
      <c r="DK594" s="166" t="str">
        <f t="shared" si="324"/>
        <v/>
      </c>
      <c r="DL594" s="164" t="str">
        <f>IFERROR(INDEX(DE$550:DE$598,_xlfn.AGGREGATE(15,6,(ROW(DE$550:DE$598)-ROW(DE$550)+1)/(DE$550:DE$598&lt;&gt;""),ROWS(DL$1:DL45))),"")</f>
        <v/>
      </c>
      <c r="DM594" s="165" t="str">
        <f>IFERROR(INDEX(DF$550:DF$598,_xlfn.AGGREGATE(15,6,(ROW(DF$550:DF$598)-ROW(DF$550)+1)/(DF$550:DF$598&lt;&gt;""),ROWS(DM$1:DM45))),"")</f>
        <v/>
      </c>
      <c r="DN594" s="166" t="str">
        <f t="shared" si="325"/>
        <v/>
      </c>
      <c r="DO594" s="164" t="str">
        <f>IFERROR(INDEX(DG$550:DG$598,_xlfn.AGGREGATE(15,6,(ROW(DG$550:DG$598)-ROW(DG$550)+1)/(DG$550:DG$598&lt;&gt;""),ROWS(DO$1:DO45))),"")</f>
        <v/>
      </c>
      <c r="DP594" s="165" t="str">
        <f>IFERROR(INDEX(DH$550:DH$598,_xlfn.AGGREGATE(15,6,(ROW(DH$550:DH$598)-ROW(DH$550)+1)/(DH$550:DH$598&lt;&gt;""),ROWS(DP$1:DP45))),"")</f>
        <v/>
      </c>
      <c r="DQ594" s="166" t="str">
        <f t="shared" si="326"/>
        <v/>
      </c>
      <c r="DR594" s="65"/>
      <c r="DV594" s="145">
        <v>2059</v>
      </c>
      <c r="DW594" s="235" t="e">
        <f t="shared" ca="1" si="310"/>
        <v>#REF!</v>
      </c>
      <c r="EA594" s="55"/>
      <c r="EB594" s="55"/>
      <c r="EC594" s="55"/>
      <c r="ED594" s="55"/>
      <c r="EE594" s="55"/>
    </row>
    <row r="595" spans="1:135" ht="13.8" x14ac:dyDescent="0.45">
      <c r="B595" s="128">
        <v>2057</v>
      </c>
      <c r="C595" s="957"/>
      <c r="D595" s="947"/>
      <c r="E595" s="308"/>
      <c r="F595" s="914"/>
      <c r="G595" s="294"/>
      <c r="H595" s="292"/>
      <c r="I595" s="1112"/>
      <c r="J595" s="294"/>
      <c r="K595" s="292"/>
      <c r="L595" s="293"/>
      <c r="M595" s="292"/>
      <c r="N595" s="29" t="s">
        <v>119</v>
      </c>
      <c r="O595" s="120"/>
      <c r="P595" s="120"/>
      <c r="Q595" s="120"/>
      <c r="R595" s="29">
        <v>43</v>
      </c>
      <c r="S595" s="288" t="str">
        <f t="shared" si="344"/>
        <v/>
      </c>
      <c r="T595" s="288" t="str">
        <f t="shared" si="345"/>
        <v/>
      </c>
      <c r="U595" s="288" t="str">
        <f t="shared" si="346"/>
        <v/>
      </c>
      <c r="W595" s="288" t="e">
        <f t="shared" si="314"/>
        <v>#N/A</v>
      </c>
      <c r="X595" s="288" t="e">
        <f t="shared" si="347"/>
        <v>#N/A</v>
      </c>
      <c r="Y595" s="288" t="e">
        <f t="shared" si="316"/>
        <v>#N/A</v>
      </c>
      <c r="AA595" s="89"/>
      <c r="AB595" s="89"/>
      <c r="AC595" s="89"/>
      <c r="AD595" s="89"/>
      <c r="AE595" s="89"/>
      <c r="AF595" s="89"/>
      <c r="AG595" s="89"/>
      <c r="AH595" s="89"/>
      <c r="AI595" s="89"/>
      <c r="AJ595" s="89"/>
      <c r="AK595" s="89"/>
      <c r="AL595" s="89"/>
      <c r="AM595" s="89"/>
      <c r="AN595" s="89"/>
      <c r="BR595" s="180">
        <v>2055</v>
      </c>
      <c r="BS595" s="22">
        <v>41</v>
      </c>
      <c r="BT595" s="289" t="e">
        <f t="shared" si="327"/>
        <v>#DIV/0!</v>
      </c>
      <c r="BU595" s="289" t="e">
        <f t="shared" si="328"/>
        <v>#DIV/0!</v>
      </c>
      <c r="BV595" s="299" t="e">
        <f t="shared" si="329"/>
        <v>#DIV/0!</v>
      </c>
      <c r="BY595" s="180">
        <v>2055</v>
      </c>
      <c r="BZ595" s="22">
        <v>41</v>
      </c>
      <c r="CA595" s="289" t="e">
        <f t="shared" ca="1" si="330"/>
        <v>#REF!</v>
      </c>
      <c r="CB595" s="289" t="e">
        <f t="shared" ca="1" si="331"/>
        <v>#REF!</v>
      </c>
      <c r="CC595" s="289" t="e">
        <f t="shared" ca="1" si="342"/>
        <v>#REF!</v>
      </c>
      <c r="CD595" s="299" t="e">
        <f t="shared" ca="1" si="332"/>
        <v>#REF!</v>
      </c>
      <c r="CG595" s="180">
        <v>2055</v>
      </c>
      <c r="CH595" s="22">
        <v>41</v>
      </c>
      <c r="CI595" s="289" t="e">
        <f t="shared" ca="1" si="333"/>
        <v>#REF!</v>
      </c>
      <c r="CJ595" s="289" t="e">
        <f t="shared" ca="1" si="334"/>
        <v>#REF!</v>
      </c>
      <c r="CK595" s="289" t="e">
        <f t="shared" ca="1" si="335"/>
        <v>#REF!</v>
      </c>
      <c r="CL595" s="289" t="e">
        <f t="shared" ca="1" si="336"/>
        <v>#REF!</v>
      </c>
      <c r="CM595" s="299" t="e">
        <f t="shared" ca="1" si="337"/>
        <v>#REF!</v>
      </c>
      <c r="CP595" s="180">
        <v>2055</v>
      </c>
      <c r="CQ595" s="22">
        <v>41</v>
      </c>
      <c r="CR595" s="289" t="e">
        <f t="shared" ca="1" si="338"/>
        <v>#REF!</v>
      </c>
      <c r="CS595" s="289" t="e">
        <f t="shared" ca="1" si="339"/>
        <v>#REF!</v>
      </c>
      <c r="CT595" s="299" t="e">
        <f t="shared" ca="1" si="340"/>
        <v>#REF!</v>
      </c>
      <c r="CZ595" s="164" t="b">
        <f t="shared" si="348"/>
        <v>0</v>
      </c>
      <c r="DA595" s="165" t="b">
        <f t="shared" si="348"/>
        <v>0</v>
      </c>
      <c r="DB595" s="166" t="b">
        <f t="shared" si="348"/>
        <v>0</v>
      </c>
      <c r="DC595" s="164" t="str">
        <f t="shared" si="318"/>
        <v/>
      </c>
      <c r="DD595" s="166" t="str">
        <f t="shared" si="319"/>
        <v/>
      </c>
      <c r="DE595" s="164" t="str">
        <f t="shared" si="320"/>
        <v/>
      </c>
      <c r="DF595" s="166" t="str">
        <f t="shared" si="321"/>
        <v/>
      </c>
      <c r="DG595" s="164" t="str">
        <f t="shared" si="322"/>
        <v/>
      </c>
      <c r="DH595" s="166" t="str">
        <f t="shared" si="323"/>
        <v/>
      </c>
      <c r="DI595" s="164" t="str">
        <f>IFERROR(INDEX(DC$550:DC$598,_xlfn.AGGREGATE(15,6,(ROW(DC$550:DC$598)-ROW(DC$550)+1)/(DC$550:DC$598&lt;&gt;""),ROWS(DI$1:DI46))),"")</f>
        <v/>
      </c>
      <c r="DJ595" s="165" t="str">
        <f>IFERROR(INDEX(DD$550:DD$598,_xlfn.AGGREGATE(15,6,(ROW(DD$550:DD$598)-ROW(DD$550)+1)/(DD$550:DD$598&lt;&gt;""),ROWS(DJ$1:DJ46))),"")</f>
        <v/>
      </c>
      <c r="DK595" s="166" t="str">
        <f t="shared" si="324"/>
        <v/>
      </c>
      <c r="DL595" s="164" t="str">
        <f>IFERROR(INDEX(DE$550:DE$598,_xlfn.AGGREGATE(15,6,(ROW(DE$550:DE$598)-ROW(DE$550)+1)/(DE$550:DE$598&lt;&gt;""),ROWS(DL$1:DL46))),"")</f>
        <v/>
      </c>
      <c r="DM595" s="165" t="str">
        <f>IFERROR(INDEX(DF$550:DF$598,_xlfn.AGGREGATE(15,6,(ROW(DF$550:DF$598)-ROW(DF$550)+1)/(DF$550:DF$598&lt;&gt;""),ROWS(DM$1:DM46))),"")</f>
        <v/>
      </c>
      <c r="DN595" s="166" t="str">
        <f t="shared" si="325"/>
        <v/>
      </c>
      <c r="DO595" s="164" t="str">
        <f>IFERROR(INDEX(DG$550:DG$598,_xlfn.AGGREGATE(15,6,(ROW(DG$550:DG$598)-ROW(DG$550)+1)/(DG$550:DG$598&lt;&gt;""),ROWS(DO$1:DO46))),"")</f>
        <v/>
      </c>
      <c r="DP595" s="165" t="str">
        <f>IFERROR(INDEX(DH$550:DH$598,_xlfn.AGGREGATE(15,6,(ROW(DH$550:DH$598)-ROW(DH$550)+1)/(DH$550:DH$598&lt;&gt;""),ROWS(DP$1:DP46))),"")</f>
        <v/>
      </c>
      <c r="DQ595" s="166" t="str">
        <f t="shared" si="326"/>
        <v/>
      </c>
      <c r="DR595" s="65"/>
      <c r="DV595" s="145">
        <v>2060</v>
      </c>
      <c r="DW595" s="235" t="e">
        <f t="shared" ca="1" si="310"/>
        <v>#REF!</v>
      </c>
      <c r="EA595" s="55"/>
      <c r="EB595" s="55"/>
      <c r="EC595" s="55"/>
      <c r="ED595" s="55"/>
      <c r="EE595" s="55"/>
    </row>
    <row r="596" spans="1:135" ht="13.8" x14ac:dyDescent="0.45">
      <c r="A596" s="214"/>
      <c r="B596" s="128">
        <v>2058</v>
      </c>
      <c r="C596" s="957"/>
      <c r="D596" s="947"/>
      <c r="E596" s="308"/>
      <c r="F596" s="914"/>
      <c r="G596" s="294"/>
      <c r="H596" s="292"/>
      <c r="I596" s="1112"/>
      <c r="J596" s="294"/>
      <c r="K596" s="292"/>
      <c r="L596" s="293"/>
      <c r="M596" s="292"/>
      <c r="N596" s="29" t="s">
        <v>119</v>
      </c>
      <c r="R596" s="29">
        <v>44</v>
      </c>
      <c r="S596" s="288" t="str">
        <f t="shared" si="344"/>
        <v/>
      </c>
      <c r="T596" s="288" t="str">
        <f t="shared" si="345"/>
        <v/>
      </c>
      <c r="U596" s="288" t="str">
        <f t="shared" si="346"/>
        <v/>
      </c>
      <c r="W596" s="288" t="e">
        <f t="shared" si="314"/>
        <v>#N/A</v>
      </c>
      <c r="X596" s="288" t="e">
        <f t="shared" si="347"/>
        <v>#N/A</v>
      </c>
      <c r="Y596" s="288" t="e">
        <f t="shared" si="316"/>
        <v>#N/A</v>
      </c>
      <c r="AA596" s="89"/>
      <c r="AB596" s="89"/>
      <c r="AC596" s="89"/>
      <c r="AD596" s="89"/>
      <c r="AE596" s="89"/>
      <c r="AF596" s="89"/>
      <c r="AG596" s="89"/>
      <c r="AH596" s="89"/>
      <c r="AI596" s="89"/>
      <c r="AJ596" s="89"/>
      <c r="AK596" s="89"/>
      <c r="AL596" s="89"/>
      <c r="AM596" s="89"/>
      <c r="AN596" s="89"/>
      <c r="BR596" s="180">
        <v>2056</v>
      </c>
      <c r="BS596" s="22">
        <v>42</v>
      </c>
      <c r="BT596" s="289" t="e">
        <f t="shared" si="327"/>
        <v>#DIV/0!</v>
      </c>
      <c r="BU596" s="289" t="e">
        <f t="shared" si="328"/>
        <v>#DIV/0!</v>
      </c>
      <c r="BV596" s="299" t="e">
        <f t="shared" si="329"/>
        <v>#DIV/0!</v>
      </c>
      <c r="BY596" s="180">
        <v>2056</v>
      </c>
      <c r="BZ596" s="22">
        <v>42</v>
      </c>
      <c r="CA596" s="289" t="e">
        <f t="shared" ca="1" si="330"/>
        <v>#REF!</v>
      </c>
      <c r="CB596" s="289" t="e">
        <f t="shared" ca="1" si="331"/>
        <v>#REF!</v>
      </c>
      <c r="CC596" s="289" t="e">
        <f t="shared" ca="1" si="342"/>
        <v>#REF!</v>
      </c>
      <c r="CD596" s="299" t="e">
        <f t="shared" ca="1" si="332"/>
        <v>#REF!</v>
      </c>
      <c r="CG596" s="180">
        <v>2056</v>
      </c>
      <c r="CH596" s="22">
        <v>42</v>
      </c>
      <c r="CI596" s="289" t="e">
        <f t="shared" ca="1" si="333"/>
        <v>#REF!</v>
      </c>
      <c r="CJ596" s="289" t="e">
        <f t="shared" ca="1" si="334"/>
        <v>#REF!</v>
      </c>
      <c r="CK596" s="289" t="e">
        <f t="shared" ca="1" si="335"/>
        <v>#REF!</v>
      </c>
      <c r="CL596" s="289" t="e">
        <f t="shared" ca="1" si="336"/>
        <v>#REF!</v>
      </c>
      <c r="CM596" s="299" t="e">
        <f t="shared" ca="1" si="337"/>
        <v>#REF!</v>
      </c>
      <c r="CP596" s="180">
        <v>2056</v>
      </c>
      <c r="CQ596" s="22">
        <v>42</v>
      </c>
      <c r="CR596" s="289" t="e">
        <f t="shared" ca="1" si="338"/>
        <v>#REF!</v>
      </c>
      <c r="CS596" s="289" t="e">
        <f t="shared" ca="1" si="339"/>
        <v>#REF!</v>
      </c>
      <c r="CT596" s="299" t="e">
        <f t="shared" ca="1" si="340"/>
        <v>#REF!</v>
      </c>
      <c r="CZ596" s="164" t="b">
        <f t="shared" si="348"/>
        <v>0</v>
      </c>
      <c r="DA596" s="165" t="b">
        <f t="shared" si="348"/>
        <v>0</v>
      </c>
      <c r="DB596" s="166" t="b">
        <f t="shared" si="348"/>
        <v>0</v>
      </c>
      <c r="DC596" s="164" t="str">
        <f t="shared" si="318"/>
        <v/>
      </c>
      <c r="DD596" s="166" t="str">
        <f t="shared" si="319"/>
        <v/>
      </c>
      <c r="DE596" s="164" t="str">
        <f t="shared" si="320"/>
        <v/>
      </c>
      <c r="DF596" s="166" t="str">
        <f t="shared" si="321"/>
        <v/>
      </c>
      <c r="DG596" s="164" t="str">
        <f t="shared" si="322"/>
        <v/>
      </c>
      <c r="DH596" s="166" t="str">
        <f t="shared" si="323"/>
        <v/>
      </c>
      <c r="DI596" s="164" t="str">
        <f>IFERROR(INDEX(DC$550:DC$598,_xlfn.AGGREGATE(15,6,(ROW(DC$550:DC$598)-ROW(DC$550)+1)/(DC$550:DC$598&lt;&gt;""),ROWS(DI$1:DI47))),"")</f>
        <v/>
      </c>
      <c r="DJ596" s="165" t="str">
        <f>IFERROR(INDEX(DD$550:DD$598,_xlfn.AGGREGATE(15,6,(ROW(DD$550:DD$598)-ROW(DD$550)+1)/(DD$550:DD$598&lt;&gt;""),ROWS(DJ$1:DJ47))),"")</f>
        <v/>
      </c>
      <c r="DK596" s="166" t="str">
        <f t="shared" si="324"/>
        <v/>
      </c>
      <c r="DL596" s="164" t="str">
        <f>IFERROR(INDEX(DE$550:DE$598,_xlfn.AGGREGATE(15,6,(ROW(DE$550:DE$598)-ROW(DE$550)+1)/(DE$550:DE$598&lt;&gt;""),ROWS(DL$1:DL47))),"")</f>
        <v/>
      </c>
      <c r="DM596" s="165" t="str">
        <f>IFERROR(INDEX(DF$550:DF$598,_xlfn.AGGREGATE(15,6,(ROW(DF$550:DF$598)-ROW(DF$550)+1)/(DF$550:DF$598&lt;&gt;""),ROWS(DM$1:DM47))),"")</f>
        <v/>
      </c>
      <c r="DN596" s="166" t="str">
        <f t="shared" si="325"/>
        <v/>
      </c>
      <c r="DO596" s="164" t="str">
        <f>IFERROR(INDEX(DG$550:DG$598,_xlfn.AGGREGATE(15,6,(ROW(DG$550:DG$598)-ROW(DG$550)+1)/(DG$550:DG$598&lt;&gt;""),ROWS(DO$1:DO47))),"")</f>
        <v/>
      </c>
      <c r="DP596" s="165" t="str">
        <f>IFERROR(INDEX(DH$550:DH$598,_xlfn.AGGREGATE(15,6,(ROW(DH$550:DH$598)-ROW(DH$550)+1)/(DH$550:DH$598&lt;&gt;""),ROWS(DP$1:DP47))),"")</f>
        <v/>
      </c>
      <c r="DQ596" s="166" t="str">
        <f t="shared" si="326"/>
        <v/>
      </c>
      <c r="DR596" s="65"/>
      <c r="DW596" s="54"/>
      <c r="EA596" s="55"/>
      <c r="EB596" s="55"/>
      <c r="EC596" s="55"/>
      <c r="ED596" s="55"/>
      <c r="EE596" s="55"/>
    </row>
    <row r="597" spans="1:135" ht="13.8" x14ac:dyDescent="0.45">
      <c r="A597" s="214"/>
      <c r="B597" s="128">
        <v>2059</v>
      </c>
      <c r="C597" s="957"/>
      <c r="D597" s="947"/>
      <c r="E597" s="308"/>
      <c r="F597" s="914"/>
      <c r="G597" s="294"/>
      <c r="H597" s="292"/>
      <c r="I597" s="1112"/>
      <c r="J597" s="294"/>
      <c r="K597" s="292"/>
      <c r="L597" s="293"/>
      <c r="M597" s="292"/>
      <c r="N597" s="29" t="s">
        <v>119</v>
      </c>
      <c r="R597" s="29">
        <v>45</v>
      </c>
      <c r="S597" s="288" t="str">
        <f t="shared" si="344"/>
        <v/>
      </c>
      <c r="T597" s="288" t="str">
        <f t="shared" si="345"/>
        <v/>
      </c>
      <c r="U597" s="288" t="str">
        <f t="shared" si="346"/>
        <v/>
      </c>
      <c r="W597" s="288" t="e">
        <f t="shared" si="314"/>
        <v>#N/A</v>
      </c>
      <c r="X597" s="288" t="e">
        <f t="shared" si="347"/>
        <v>#N/A</v>
      </c>
      <c r="Y597" s="288" t="e">
        <f t="shared" si="316"/>
        <v>#N/A</v>
      </c>
      <c r="AA597" s="89"/>
      <c r="AB597" s="89"/>
      <c r="AC597" s="89"/>
      <c r="AD597" s="89"/>
      <c r="AE597" s="89"/>
      <c r="AF597" s="89"/>
      <c r="AG597" s="89"/>
      <c r="AH597" s="89"/>
      <c r="AI597" s="89"/>
      <c r="AJ597" s="89"/>
      <c r="AK597" s="89"/>
      <c r="AL597" s="89"/>
      <c r="AM597" s="89"/>
      <c r="AN597" s="89"/>
      <c r="BR597" s="180">
        <v>2057</v>
      </c>
      <c r="BS597" s="22">
        <v>43</v>
      </c>
      <c r="BT597" s="289" t="e">
        <f t="shared" si="327"/>
        <v>#DIV/0!</v>
      </c>
      <c r="BU597" s="289" t="e">
        <f t="shared" si="328"/>
        <v>#DIV/0!</v>
      </c>
      <c r="BV597" s="299" t="e">
        <f t="shared" si="329"/>
        <v>#DIV/0!</v>
      </c>
      <c r="BY597" s="180">
        <v>2057</v>
      </c>
      <c r="BZ597" s="22">
        <v>43</v>
      </c>
      <c r="CA597" s="289" t="e">
        <f t="shared" ca="1" si="330"/>
        <v>#REF!</v>
      </c>
      <c r="CB597" s="289" t="e">
        <f t="shared" ca="1" si="331"/>
        <v>#REF!</v>
      </c>
      <c r="CC597" s="289" t="e">
        <f t="shared" ca="1" si="342"/>
        <v>#REF!</v>
      </c>
      <c r="CD597" s="299" t="e">
        <f t="shared" ca="1" si="332"/>
        <v>#REF!</v>
      </c>
      <c r="CG597" s="180">
        <v>2057</v>
      </c>
      <c r="CH597" s="22">
        <v>43</v>
      </c>
      <c r="CI597" s="289" t="e">
        <f t="shared" ca="1" si="333"/>
        <v>#REF!</v>
      </c>
      <c r="CJ597" s="289" t="e">
        <f t="shared" ca="1" si="334"/>
        <v>#REF!</v>
      </c>
      <c r="CK597" s="289" t="e">
        <f t="shared" ca="1" si="335"/>
        <v>#REF!</v>
      </c>
      <c r="CL597" s="289" t="e">
        <f t="shared" ca="1" si="336"/>
        <v>#REF!</v>
      </c>
      <c r="CM597" s="299" t="e">
        <f t="shared" ca="1" si="337"/>
        <v>#REF!</v>
      </c>
      <c r="CP597" s="180">
        <v>2057</v>
      </c>
      <c r="CQ597" s="22">
        <v>43</v>
      </c>
      <c r="CR597" s="289" t="e">
        <f t="shared" ca="1" si="338"/>
        <v>#REF!</v>
      </c>
      <c r="CS597" s="289" t="e">
        <f t="shared" ca="1" si="339"/>
        <v>#REF!</v>
      </c>
      <c r="CT597" s="299" t="e">
        <f t="shared" ca="1" si="340"/>
        <v>#REF!</v>
      </c>
      <c r="CZ597" s="164" t="b">
        <f t="shared" si="348"/>
        <v>0</v>
      </c>
      <c r="DA597" s="165" t="b">
        <f t="shared" si="348"/>
        <v>0</v>
      </c>
      <c r="DB597" s="166" t="b">
        <f t="shared" si="348"/>
        <v>0</v>
      </c>
      <c r="DC597" s="164" t="str">
        <f t="shared" si="318"/>
        <v/>
      </c>
      <c r="DD597" s="166" t="str">
        <f t="shared" si="319"/>
        <v/>
      </c>
      <c r="DE597" s="164" t="str">
        <f t="shared" si="320"/>
        <v/>
      </c>
      <c r="DF597" s="166" t="str">
        <f t="shared" si="321"/>
        <v/>
      </c>
      <c r="DG597" s="164" t="str">
        <f t="shared" si="322"/>
        <v/>
      </c>
      <c r="DH597" s="166" t="str">
        <f t="shared" si="323"/>
        <v/>
      </c>
      <c r="DI597" s="164" t="str">
        <f>IFERROR(INDEX(DC$550:DC$598,_xlfn.AGGREGATE(15,6,(ROW(DC$550:DC$598)-ROW(DC$550)+1)/(DC$550:DC$598&lt;&gt;""),ROWS(DI$1:DI48))),"")</f>
        <v/>
      </c>
      <c r="DJ597" s="165" t="str">
        <f>IFERROR(INDEX(DD$550:DD$598,_xlfn.AGGREGATE(15,6,(ROW(DD$550:DD$598)-ROW(DD$550)+1)/(DD$550:DD$598&lt;&gt;""),ROWS(DJ$1:DJ48))),"")</f>
        <v/>
      </c>
      <c r="DK597" s="166" t="str">
        <f t="shared" si="324"/>
        <v/>
      </c>
      <c r="DL597" s="164" t="str">
        <f>IFERROR(INDEX(DE$550:DE$598,_xlfn.AGGREGATE(15,6,(ROW(DE$550:DE$598)-ROW(DE$550)+1)/(DE$550:DE$598&lt;&gt;""),ROWS(DL$1:DL48))),"")</f>
        <v/>
      </c>
      <c r="DM597" s="165" t="str">
        <f>IFERROR(INDEX(DF$550:DF$598,_xlfn.AGGREGATE(15,6,(ROW(DF$550:DF$598)-ROW(DF$550)+1)/(DF$550:DF$598&lt;&gt;""),ROWS(DM$1:DM48))),"")</f>
        <v/>
      </c>
      <c r="DN597" s="166" t="str">
        <f t="shared" si="325"/>
        <v/>
      </c>
      <c r="DO597" s="164" t="str">
        <f>IFERROR(INDEX(DG$550:DG$598,_xlfn.AGGREGATE(15,6,(ROW(DG$550:DG$598)-ROW(DG$550)+1)/(DG$550:DG$598&lt;&gt;""),ROWS(DO$1:DO48))),"")</f>
        <v/>
      </c>
      <c r="DP597" s="165" t="str">
        <f>IFERROR(INDEX(DH$550:DH$598,_xlfn.AGGREGATE(15,6,(ROW(DH$550:DH$598)-ROW(DH$550)+1)/(DH$550:DH$598&lt;&gt;""),ROWS(DP$1:DP48))),"")</f>
        <v/>
      </c>
      <c r="DQ597" s="166" t="str">
        <f t="shared" si="326"/>
        <v/>
      </c>
      <c r="DR597" s="65"/>
      <c r="DW597" s="54"/>
      <c r="EA597" s="55"/>
      <c r="EB597" s="55"/>
      <c r="EC597" s="55"/>
      <c r="ED597" s="55"/>
      <c r="EE597" s="55"/>
    </row>
    <row r="598" spans="1:135" ht="14.1" thickBot="1" x14ac:dyDescent="0.5">
      <c r="A598" s="214"/>
      <c r="B598" s="128">
        <v>2060</v>
      </c>
      <c r="C598" s="957"/>
      <c r="D598" s="947"/>
      <c r="E598" s="308"/>
      <c r="F598" s="915"/>
      <c r="G598" s="302"/>
      <c r="H598" s="300"/>
      <c r="I598" s="1115"/>
      <c r="J598" s="302"/>
      <c r="K598" s="300"/>
      <c r="L598" s="301"/>
      <c r="M598" s="300"/>
      <c r="N598" s="29" t="s">
        <v>119</v>
      </c>
      <c r="R598" s="29">
        <v>46</v>
      </c>
      <c r="S598" s="288" t="str">
        <f t="shared" si="344"/>
        <v/>
      </c>
      <c r="T598" s="288" t="str">
        <f t="shared" si="345"/>
        <v/>
      </c>
      <c r="U598" s="288" t="str">
        <f t="shared" si="346"/>
        <v/>
      </c>
      <c r="W598" s="288" t="e">
        <f t="shared" si="314"/>
        <v>#N/A</v>
      </c>
      <c r="X598" s="288" t="e">
        <f t="shared" si="347"/>
        <v>#N/A</v>
      </c>
      <c r="Y598" s="288" t="e">
        <f t="shared" si="316"/>
        <v>#N/A</v>
      </c>
      <c r="AA598" s="89"/>
      <c r="AB598" s="89"/>
      <c r="AC598" s="89"/>
      <c r="AD598" s="89"/>
      <c r="AE598" s="89"/>
      <c r="AF598" s="89"/>
      <c r="AG598" s="89"/>
      <c r="AH598" s="89"/>
      <c r="AI598" s="89"/>
      <c r="AJ598" s="89"/>
      <c r="AK598" s="89"/>
      <c r="AL598" s="89"/>
      <c r="AM598" s="89"/>
      <c r="AN598" s="89"/>
      <c r="BR598" s="180">
        <v>2058</v>
      </c>
      <c r="BS598" s="22">
        <v>44</v>
      </c>
      <c r="BT598" s="289" t="e">
        <f t="shared" si="327"/>
        <v>#DIV/0!</v>
      </c>
      <c r="BU598" s="289" t="e">
        <f t="shared" si="328"/>
        <v>#DIV/0!</v>
      </c>
      <c r="BV598" s="299" t="e">
        <f t="shared" si="329"/>
        <v>#DIV/0!</v>
      </c>
      <c r="BY598" s="180">
        <v>2058</v>
      </c>
      <c r="BZ598" s="22">
        <v>44</v>
      </c>
      <c r="CA598" s="289" t="e">
        <f t="shared" ca="1" si="330"/>
        <v>#REF!</v>
      </c>
      <c r="CB598" s="289" t="e">
        <f t="shared" ca="1" si="331"/>
        <v>#REF!</v>
      </c>
      <c r="CC598" s="289" t="e">
        <f t="shared" ca="1" si="342"/>
        <v>#REF!</v>
      </c>
      <c r="CD598" s="299" t="e">
        <f t="shared" ca="1" si="332"/>
        <v>#REF!</v>
      </c>
      <c r="CG598" s="180">
        <v>2058</v>
      </c>
      <c r="CH598" s="22">
        <v>44</v>
      </c>
      <c r="CI598" s="289" t="e">
        <f t="shared" ca="1" si="333"/>
        <v>#REF!</v>
      </c>
      <c r="CJ598" s="289" t="e">
        <f t="shared" ca="1" si="334"/>
        <v>#REF!</v>
      </c>
      <c r="CK598" s="289" t="e">
        <f t="shared" ca="1" si="335"/>
        <v>#REF!</v>
      </c>
      <c r="CL598" s="289" t="e">
        <f t="shared" ca="1" si="336"/>
        <v>#REF!</v>
      </c>
      <c r="CM598" s="299" t="e">
        <f t="shared" ca="1" si="337"/>
        <v>#REF!</v>
      </c>
      <c r="CP598" s="180">
        <v>2058</v>
      </c>
      <c r="CQ598" s="22">
        <v>44</v>
      </c>
      <c r="CR598" s="289" t="e">
        <f t="shared" ca="1" si="338"/>
        <v>#REF!</v>
      </c>
      <c r="CS598" s="289" t="e">
        <f t="shared" ca="1" si="339"/>
        <v>#REF!</v>
      </c>
      <c r="CT598" s="299" t="e">
        <f t="shared" ca="1" si="340"/>
        <v>#REF!</v>
      </c>
      <c r="CZ598" s="164" t="b">
        <f t="shared" si="348"/>
        <v>0</v>
      </c>
      <c r="DA598" s="165" t="b">
        <f t="shared" si="348"/>
        <v>0</v>
      </c>
      <c r="DB598" s="166" t="b">
        <f t="shared" si="348"/>
        <v>0</v>
      </c>
      <c r="DC598" s="164" t="str">
        <f t="shared" si="318"/>
        <v/>
      </c>
      <c r="DD598" s="166" t="str">
        <f t="shared" si="319"/>
        <v/>
      </c>
      <c r="DE598" s="164" t="str">
        <f t="shared" si="320"/>
        <v/>
      </c>
      <c r="DF598" s="166" t="str">
        <f t="shared" si="321"/>
        <v/>
      </c>
      <c r="DG598" s="164" t="str">
        <f t="shared" si="322"/>
        <v/>
      </c>
      <c r="DH598" s="166" t="str">
        <f t="shared" si="323"/>
        <v/>
      </c>
      <c r="DI598" s="164" t="str">
        <f>IFERROR(INDEX(DC$550:DC$598,_xlfn.AGGREGATE(15,6,(ROW(DC$550:DC$598)-ROW(DC$550)+1)/(DC$550:DC$598&lt;&gt;""),ROWS(DI$1:DI49))),"")</f>
        <v/>
      </c>
      <c r="DJ598" s="165" t="str">
        <f>IFERROR(INDEX(DD$550:DD$598,_xlfn.AGGREGATE(15,6,(ROW(DD$550:DD$598)-ROW(DD$550)+1)/(DD$550:DD$598&lt;&gt;""),ROWS(DJ$1:DJ49))),"")</f>
        <v/>
      </c>
      <c r="DK598" s="166" t="str">
        <f t="shared" si="324"/>
        <v/>
      </c>
      <c r="DL598" s="164" t="str">
        <f>IFERROR(INDEX(DE$550:DE$598,_xlfn.AGGREGATE(15,6,(ROW(DE$550:DE$598)-ROW(DE$550)+1)/(DE$550:DE$598&lt;&gt;""),ROWS(DL$1:DL49))),"")</f>
        <v/>
      </c>
      <c r="DM598" s="165" t="str">
        <f>IFERROR(INDEX(DF$550:DF$598,_xlfn.AGGREGATE(15,6,(ROW(DF$550:DF$598)-ROW(DF$550)+1)/(DF$550:DF$598&lt;&gt;""),ROWS(DM$1:DM49))),"")</f>
        <v/>
      </c>
      <c r="DN598" s="166" t="str">
        <f t="shared" si="325"/>
        <v/>
      </c>
      <c r="DO598" s="164" t="str">
        <f>IFERROR(INDEX(DG$550:DG$598,_xlfn.AGGREGATE(15,6,(ROW(DG$550:DG$598)-ROW(DG$550)+1)/(DG$550:DG$598&lt;&gt;""),ROWS(DO$1:DO49))),"")</f>
        <v/>
      </c>
      <c r="DP598" s="165" t="str">
        <f>IFERROR(INDEX(DH$550:DH$598,_xlfn.AGGREGATE(15,6,(ROW(DH$550:DH$598)-ROW(DH$550)+1)/(DH$550:DH$598&lt;&gt;""),ROWS(DP$1:DP49))),"")</f>
        <v/>
      </c>
      <c r="DQ598" s="166" t="str">
        <f t="shared" si="326"/>
        <v/>
      </c>
      <c r="DR598" s="65"/>
      <c r="DW598" s="54"/>
      <c r="EA598" s="55"/>
      <c r="EB598" s="55"/>
      <c r="EC598" s="55"/>
      <c r="ED598" s="55"/>
      <c r="EE598" s="55"/>
    </row>
    <row r="599" spans="1:135" x14ac:dyDescent="0.4">
      <c r="A599" s="214"/>
      <c r="B599" s="89"/>
      <c r="C599" s="14"/>
      <c r="D599" s="14"/>
      <c r="E599" s="14"/>
      <c r="F599" s="14"/>
      <c r="G599" s="14"/>
      <c r="H599" s="14"/>
      <c r="I599" s="14"/>
      <c r="J599" s="14"/>
      <c r="K599" s="14"/>
      <c r="L599" s="14"/>
      <c r="M599" s="50"/>
      <c r="S599" s="120"/>
      <c r="T599" s="120"/>
      <c r="U599" s="120"/>
      <c r="W599" s="120"/>
      <c r="X599" s="120"/>
      <c r="Y599" s="120"/>
      <c r="AA599" s="89"/>
      <c r="AB599" s="89"/>
      <c r="AC599" s="89"/>
      <c r="AD599" s="89"/>
      <c r="AE599" s="89"/>
      <c r="AF599" s="89"/>
      <c r="AG599" s="89"/>
      <c r="AH599" s="89"/>
      <c r="AI599" s="89"/>
      <c r="AJ599" s="89"/>
      <c r="AK599" s="89"/>
      <c r="AL599" s="89"/>
      <c r="AM599" s="89"/>
      <c r="AN599" s="89"/>
      <c r="BR599" s="180">
        <v>2059</v>
      </c>
      <c r="BS599" s="22">
        <v>45</v>
      </c>
      <c r="BT599" s="289" t="e">
        <f t="shared" si="327"/>
        <v>#DIV/0!</v>
      </c>
      <c r="BU599" s="289" t="e">
        <f t="shared" si="328"/>
        <v>#DIV/0!</v>
      </c>
      <c r="BV599" s="299" t="e">
        <f t="shared" si="329"/>
        <v>#DIV/0!</v>
      </c>
      <c r="BY599" s="180">
        <v>2059</v>
      </c>
      <c r="BZ599" s="22">
        <v>45</v>
      </c>
      <c r="CA599" s="289" t="e">
        <f t="shared" ca="1" si="330"/>
        <v>#REF!</v>
      </c>
      <c r="CB599" s="289" t="e">
        <f t="shared" ca="1" si="331"/>
        <v>#REF!</v>
      </c>
      <c r="CC599" s="289" t="e">
        <f t="shared" ca="1" si="342"/>
        <v>#REF!</v>
      </c>
      <c r="CD599" s="299" t="e">
        <f t="shared" ca="1" si="332"/>
        <v>#REF!</v>
      </c>
      <c r="CG599" s="180">
        <v>2059</v>
      </c>
      <c r="CH599" s="22">
        <v>45</v>
      </c>
      <c r="CI599" s="289" t="e">
        <f t="shared" ca="1" si="333"/>
        <v>#REF!</v>
      </c>
      <c r="CJ599" s="289" t="e">
        <f t="shared" ca="1" si="334"/>
        <v>#REF!</v>
      </c>
      <c r="CK599" s="289" t="e">
        <f t="shared" ca="1" si="335"/>
        <v>#REF!</v>
      </c>
      <c r="CL599" s="289" t="e">
        <f t="shared" ca="1" si="336"/>
        <v>#REF!</v>
      </c>
      <c r="CM599" s="299" t="e">
        <f t="shared" ca="1" si="337"/>
        <v>#REF!</v>
      </c>
      <c r="CP599" s="180">
        <v>2059</v>
      </c>
      <c r="CQ599" s="22">
        <v>45</v>
      </c>
      <c r="CR599" s="289" t="e">
        <f t="shared" ca="1" si="338"/>
        <v>#REF!</v>
      </c>
      <c r="CS599" s="289" t="e">
        <f t="shared" ca="1" si="339"/>
        <v>#REF!</v>
      </c>
      <c r="CT599" s="299" t="e">
        <f t="shared" ca="1" si="340"/>
        <v>#REF!</v>
      </c>
      <c r="CZ599" s="252"/>
      <c r="DA599" s="252"/>
      <c r="DB599" s="252"/>
      <c r="DC599" s="252"/>
      <c r="DD599" s="252"/>
      <c r="DE599" s="252"/>
      <c r="DF599" s="252"/>
      <c r="DG599" s="252"/>
      <c r="DH599" s="252"/>
      <c r="DI599" s="252"/>
      <c r="DJ599" s="252"/>
      <c r="DK599" s="252"/>
      <c r="DL599" s="252"/>
      <c r="DM599" s="252"/>
      <c r="DN599" s="252"/>
      <c r="DO599" s="252"/>
      <c r="DP599" s="252"/>
      <c r="DQ599" s="252"/>
      <c r="DR599" s="65"/>
      <c r="DU599" s="65"/>
      <c r="DW599" s="54"/>
      <c r="EA599" s="55"/>
      <c r="EB599" s="55"/>
      <c r="EC599" s="55"/>
      <c r="ED599" s="55"/>
      <c r="EE599" s="55"/>
    </row>
    <row r="600" spans="1:135" x14ac:dyDescent="0.4">
      <c r="A600" s="214"/>
      <c r="B600" s="89"/>
      <c r="C600" s="14"/>
      <c r="D600" s="14"/>
      <c r="E600" s="14"/>
      <c r="F600" s="14"/>
      <c r="G600" s="14"/>
      <c r="H600" s="14"/>
      <c r="I600" s="14"/>
      <c r="J600" s="14"/>
      <c r="K600" s="14"/>
      <c r="L600" s="14"/>
      <c r="M600" s="50"/>
      <c r="S600" s="120"/>
      <c r="T600" s="120"/>
      <c r="U600" s="120"/>
      <c r="W600" s="120"/>
      <c r="X600" s="120"/>
      <c r="Y600" s="120"/>
      <c r="AA600" s="89"/>
      <c r="AB600" s="89"/>
      <c r="AC600" s="89"/>
      <c r="AD600" s="89"/>
      <c r="AE600" s="89"/>
      <c r="AF600" s="89"/>
      <c r="AG600" s="89"/>
      <c r="AH600" s="89"/>
      <c r="AI600" s="89"/>
      <c r="AJ600" s="89"/>
      <c r="AK600" s="89"/>
      <c r="AL600" s="89"/>
      <c r="AM600" s="89"/>
      <c r="AN600" s="89"/>
      <c r="BR600" s="180">
        <v>2060</v>
      </c>
      <c r="BS600" s="22">
        <v>46</v>
      </c>
      <c r="BT600" s="289" t="e">
        <f t="shared" si="327"/>
        <v>#DIV/0!</v>
      </c>
      <c r="BU600" s="289" t="e">
        <f t="shared" si="328"/>
        <v>#DIV/0!</v>
      </c>
      <c r="BV600" s="299" t="e">
        <f t="shared" si="329"/>
        <v>#DIV/0!</v>
      </c>
      <c r="BY600" s="180">
        <v>2060</v>
      </c>
      <c r="BZ600" s="22">
        <v>46</v>
      </c>
      <c r="CA600" s="289" t="e">
        <f t="shared" ca="1" si="330"/>
        <v>#REF!</v>
      </c>
      <c r="CB600" s="289" t="e">
        <f t="shared" ca="1" si="331"/>
        <v>#REF!</v>
      </c>
      <c r="CC600" s="289" t="e">
        <f t="shared" ca="1" si="342"/>
        <v>#REF!</v>
      </c>
      <c r="CD600" s="299" t="e">
        <f t="shared" ca="1" si="332"/>
        <v>#REF!</v>
      </c>
      <c r="CG600" s="180">
        <v>2060</v>
      </c>
      <c r="CH600" s="22">
        <v>46</v>
      </c>
      <c r="CI600" s="289" t="e">
        <f t="shared" ca="1" si="333"/>
        <v>#REF!</v>
      </c>
      <c r="CJ600" s="289" t="e">
        <f t="shared" ca="1" si="334"/>
        <v>#REF!</v>
      </c>
      <c r="CK600" s="289" t="e">
        <f t="shared" ca="1" si="335"/>
        <v>#REF!</v>
      </c>
      <c r="CL600" s="289" t="e">
        <f t="shared" ca="1" si="336"/>
        <v>#REF!</v>
      </c>
      <c r="CM600" s="299" t="e">
        <f t="shared" ca="1" si="337"/>
        <v>#REF!</v>
      </c>
      <c r="CP600" s="180">
        <v>2060</v>
      </c>
      <c r="CQ600" s="22">
        <v>46</v>
      </c>
      <c r="CR600" s="289" t="e">
        <f t="shared" ca="1" si="338"/>
        <v>#REF!</v>
      </c>
      <c r="CS600" s="289" t="e">
        <f t="shared" ca="1" si="339"/>
        <v>#REF!</v>
      </c>
      <c r="CT600" s="299" t="e">
        <f t="shared" ca="1" si="340"/>
        <v>#REF!</v>
      </c>
      <c r="CZ600" s="89"/>
      <c r="DA600" s="89"/>
      <c r="DB600" s="89"/>
      <c r="DC600" s="89"/>
      <c r="DD600" s="89"/>
      <c r="DE600" s="89"/>
      <c r="DF600" s="89"/>
      <c r="DG600" s="89"/>
      <c r="DH600" s="89"/>
      <c r="DI600" s="89"/>
      <c r="DJ600" s="89"/>
      <c r="DK600" s="89"/>
      <c r="DL600" s="89"/>
      <c r="DM600" s="89"/>
      <c r="DN600" s="89"/>
      <c r="DO600" s="89"/>
      <c r="DP600" s="89"/>
      <c r="DQ600" s="89"/>
      <c r="DW600" s="54"/>
      <c r="EA600" s="55"/>
      <c r="EB600" s="55"/>
      <c r="EC600" s="55"/>
      <c r="ED600" s="55"/>
      <c r="EE600" s="55"/>
    </row>
    <row r="601" spans="1:135" x14ac:dyDescent="0.4">
      <c r="A601" s="221" t="str">
        <f ca="1">HYPERLINK("#"&amp;"'"&amp;A$1&amp;"'!a1","Back to top")</f>
        <v>Back to top</v>
      </c>
      <c r="C601" s="50"/>
      <c r="D601" s="14"/>
      <c r="E601" s="14"/>
      <c r="F601" s="14"/>
      <c r="G601" s="14"/>
      <c r="H601" s="14"/>
      <c r="I601" s="14"/>
      <c r="J601" s="14"/>
      <c r="K601" s="14"/>
      <c r="L601" s="14"/>
      <c r="M601" s="14"/>
      <c r="N601" s="89"/>
      <c r="O601" s="89"/>
      <c r="P601" s="89"/>
      <c r="Q601" s="89"/>
      <c r="R601" s="89"/>
      <c r="S601" s="89"/>
      <c r="T601" s="89"/>
      <c r="U601" s="89"/>
      <c r="V601" s="89"/>
      <c r="W601" s="89"/>
      <c r="X601" s="89"/>
      <c r="Y601" s="89"/>
      <c r="Z601" s="89"/>
      <c r="AA601" s="89"/>
      <c r="AB601" s="89"/>
      <c r="AC601" s="89"/>
      <c r="AD601" s="89"/>
      <c r="AE601" s="89"/>
      <c r="AF601" s="89"/>
      <c r="AG601" s="89"/>
      <c r="AH601" s="89"/>
      <c r="AI601" s="89"/>
      <c r="AJ601" s="89"/>
      <c r="AK601" s="89"/>
      <c r="AL601" s="89"/>
      <c r="AM601" s="89"/>
      <c r="AN601" s="89"/>
      <c r="DW601" s="54"/>
      <c r="EA601" s="55"/>
      <c r="EB601" s="55"/>
      <c r="EC601" s="55"/>
      <c r="ED601" s="55"/>
      <c r="EE601" s="55"/>
    </row>
    <row r="602" spans="1:135" x14ac:dyDescent="0.4">
      <c r="A602" s="221"/>
      <c r="C602" s="50"/>
      <c r="D602" s="14"/>
      <c r="E602" s="14"/>
      <c r="F602" s="14"/>
      <c r="G602" s="14"/>
      <c r="H602" s="14"/>
      <c r="I602" s="14"/>
      <c r="J602" s="14"/>
      <c r="K602" s="14"/>
      <c r="L602" s="14"/>
      <c r="M602" s="14"/>
      <c r="N602" s="89"/>
      <c r="O602" s="89"/>
      <c r="P602" s="89"/>
      <c r="Q602" s="89"/>
      <c r="R602" s="89"/>
      <c r="S602" s="89"/>
      <c r="T602" s="89"/>
      <c r="U602" s="89"/>
      <c r="V602" s="89"/>
      <c r="W602" s="89"/>
      <c r="X602" s="89"/>
      <c r="Y602" s="89"/>
      <c r="Z602" s="89"/>
      <c r="AA602" s="89"/>
      <c r="AB602" s="89"/>
      <c r="AC602" s="89"/>
      <c r="AD602" s="89"/>
      <c r="AE602" s="89"/>
      <c r="AF602" s="89"/>
      <c r="AG602" s="89"/>
      <c r="AH602" s="89"/>
      <c r="AI602" s="89"/>
      <c r="AJ602" s="89"/>
      <c r="AK602" s="89"/>
      <c r="AL602" s="89"/>
      <c r="AM602" s="89"/>
      <c r="AN602" s="89"/>
      <c r="DW602" s="54"/>
      <c r="EA602" s="55"/>
      <c r="EB602" s="55"/>
      <c r="EC602" s="55"/>
      <c r="ED602" s="55"/>
      <c r="EE602" s="55"/>
    </row>
    <row r="603" spans="1:135" x14ac:dyDescent="0.4">
      <c r="A603" s="214"/>
      <c r="B603" s="89"/>
      <c r="C603" s="14"/>
      <c r="D603" s="14"/>
      <c r="E603" s="14"/>
      <c r="F603" s="14"/>
      <c r="G603" s="14"/>
      <c r="H603" s="14"/>
      <c r="I603" s="14"/>
      <c r="J603" s="14"/>
      <c r="K603" s="14"/>
      <c r="L603" s="14"/>
      <c r="M603" s="50"/>
      <c r="N603" s="49"/>
      <c r="O603" s="49"/>
      <c r="P603" s="49"/>
      <c r="Q603" s="49"/>
      <c r="R603" s="49"/>
      <c r="S603" s="120"/>
      <c r="T603" s="120"/>
      <c r="U603" s="120"/>
      <c r="V603" s="49"/>
      <c r="W603" s="120"/>
      <c r="X603" s="120"/>
      <c r="Y603" s="120"/>
      <c r="Z603" s="89"/>
      <c r="AA603" s="89"/>
      <c r="AB603" s="89"/>
      <c r="AC603" s="89"/>
      <c r="AD603" s="89"/>
      <c r="AE603" s="89"/>
      <c r="AF603" s="89"/>
      <c r="AG603" s="89"/>
      <c r="AH603" s="89"/>
      <c r="AI603" s="89"/>
      <c r="AJ603" s="89"/>
      <c r="AK603" s="89"/>
      <c r="AL603" s="89"/>
      <c r="AM603" s="89"/>
      <c r="AN603" s="89"/>
      <c r="AO603" s="49"/>
      <c r="AP603" s="49"/>
      <c r="AQ603" s="49"/>
      <c r="AR603" s="49"/>
      <c r="AS603" s="49"/>
      <c r="AT603" s="49"/>
      <c r="AU603" s="49"/>
      <c r="AV603" s="49"/>
      <c r="AW603" s="49"/>
      <c r="AX603" s="49"/>
      <c r="AY603" s="49"/>
      <c r="AZ603" s="49"/>
      <c r="BA603" s="49"/>
      <c r="BB603" s="49"/>
      <c r="BC603" s="49"/>
      <c r="BD603" s="49"/>
      <c r="BE603" s="49"/>
      <c r="BF603" s="49"/>
      <c r="BG603" s="49"/>
      <c r="BH603" s="49"/>
      <c r="BI603" s="49"/>
      <c r="BJ603" s="49"/>
      <c r="BK603" s="49"/>
      <c r="BL603" s="49"/>
    </row>
    <row r="604" spans="1:135" x14ac:dyDescent="0.4">
      <c r="A604" s="253"/>
      <c r="B604" s="254"/>
      <c r="C604" s="255"/>
      <c r="D604" s="255"/>
      <c r="E604" s="255"/>
      <c r="F604" s="255"/>
      <c r="G604" s="255"/>
      <c r="H604" s="255"/>
      <c r="I604" s="255"/>
      <c r="J604" s="255"/>
      <c r="K604" s="255"/>
      <c r="L604" s="255"/>
      <c r="M604" s="256"/>
      <c r="S604" s="257"/>
      <c r="T604" s="257"/>
      <c r="U604" s="257"/>
      <c r="W604" s="257"/>
      <c r="X604" s="257"/>
      <c r="Y604" s="257"/>
      <c r="Z604" s="254"/>
      <c r="AA604" s="254"/>
      <c r="AB604" s="254"/>
      <c r="AC604" s="254"/>
      <c r="AD604" s="254"/>
      <c r="AE604" s="254"/>
      <c r="AF604" s="254"/>
      <c r="AG604" s="254"/>
      <c r="AH604" s="254"/>
      <c r="AI604" s="254"/>
      <c r="AJ604" s="254"/>
      <c r="AK604" s="254"/>
      <c r="AL604" s="254"/>
      <c r="AM604" s="254"/>
      <c r="AN604" s="254"/>
      <c r="DW604" s="258"/>
      <c r="EA604" s="259"/>
      <c r="EB604" s="259"/>
      <c r="EC604" s="259"/>
      <c r="ED604" s="259"/>
      <c r="EE604" s="259"/>
    </row>
    <row r="605" spans="1:135" x14ac:dyDescent="0.4">
      <c r="A605" s="253"/>
      <c r="B605" s="254"/>
      <c r="C605" s="255"/>
      <c r="D605" s="255"/>
      <c r="E605" s="255"/>
      <c r="F605" s="255"/>
      <c r="G605" s="255"/>
      <c r="H605" s="255"/>
      <c r="I605" s="255"/>
      <c r="J605" s="255"/>
      <c r="K605" s="255"/>
      <c r="L605" s="255"/>
      <c r="M605" s="256"/>
      <c r="S605" s="257"/>
      <c r="T605" s="257"/>
      <c r="U605" s="257"/>
      <c r="W605" s="257"/>
      <c r="X605" s="257"/>
      <c r="Y605" s="257"/>
      <c r="Z605" s="254"/>
      <c r="AA605" s="254"/>
      <c r="AB605" s="254"/>
      <c r="AC605" s="254"/>
      <c r="AD605" s="254"/>
      <c r="AE605" s="254"/>
      <c r="AF605" s="254"/>
      <c r="AG605" s="254"/>
      <c r="AH605" s="254"/>
      <c r="AI605" s="254"/>
      <c r="AJ605" s="254"/>
      <c r="AK605" s="254"/>
      <c r="AL605" s="254"/>
      <c r="AM605" s="254"/>
      <c r="AN605" s="254"/>
      <c r="DW605" s="258"/>
      <c r="EA605" s="259"/>
      <c r="EB605" s="259"/>
      <c r="EC605" s="259"/>
      <c r="ED605" s="259"/>
      <c r="EE605" s="259"/>
    </row>
    <row r="606" spans="1:135" x14ac:dyDescent="0.4">
      <c r="A606" s="316"/>
      <c r="B606" s="114"/>
      <c r="C606" s="14"/>
      <c r="D606" s="14"/>
      <c r="E606" s="14"/>
      <c r="F606" s="14"/>
      <c r="G606" s="14"/>
      <c r="H606" s="14"/>
      <c r="I606" s="14"/>
      <c r="J606" s="14"/>
      <c r="K606" s="14"/>
      <c r="L606" s="14"/>
      <c r="M606" s="14"/>
      <c r="N606" s="89"/>
      <c r="O606" s="89"/>
      <c r="P606" s="89"/>
      <c r="Q606" s="89"/>
      <c r="R606" s="89"/>
      <c r="S606" s="89"/>
      <c r="T606" s="89"/>
      <c r="U606" s="89"/>
      <c r="V606" s="89"/>
      <c r="W606" s="89"/>
      <c r="X606" s="89"/>
      <c r="Y606" s="89"/>
      <c r="Z606" s="89"/>
      <c r="AA606" s="89"/>
      <c r="AB606" s="89"/>
      <c r="AC606" s="89"/>
      <c r="AD606" s="89"/>
      <c r="AE606" s="89"/>
      <c r="AF606" s="89"/>
      <c r="AG606" s="89"/>
      <c r="AH606" s="89"/>
      <c r="AI606" s="89"/>
      <c r="AJ606" s="89"/>
      <c r="AK606" s="89"/>
      <c r="AL606" s="89"/>
      <c r="AM606" s="89"/>
      <c r="AN606" s="89"/>
      <c r="AO606" s="89"/>
      <c r="AP606" s="89"/>
      <c r="DW606" s="54"/>
      <c r="EA606" s="55"/>
      <c r="EB606" s="55"/>
      <c r="EC606" s="55"/>
      <c r="ED606" s="55"/>
      <c r="EE606" s="55"/>
    </row>
    <row r="607" spans="1:135" x14ac:dyDescent="0.4">
      <c r="A607" s="316"/>
      <c r="B607" s="114"/>
      <c r="C607" s="14"/>
      <c r="D607" s="14"/>
      <c r="E607" s="14"/>
      <c r="F607" s="14"/>
      <c r="G607" s="14"/>
      <c r="H607" s="14"/>
      <c r="I607" s="14"/>
      <c r="J607" s="14"/>
      <c r="K607" s="14"/>
      <c r="L607" s="14"/>
      <c r="M607" s="14"/>
      <c r="N607" s="89"/>
      <c r="O607" s="89"/>
      <c r="P607" s="89"/>
      <c r="Q607" s="89"/>
      <c r="R607" s="89"/>
      <c r="S607" s="89"/>
      <c r="T607" s="89"/>
      <c r="U607" s="89"/>
      <c r="V607" s="89"/>
      <c r="W607" s="89"/>
      <c r="X607" s="89"/>
      <c r="Y607" s="89"/>
      <c r="Z607" s="89"/>
      <c r="AA607" s="89"/>
      <c r="AB607" s="89"/>
      <c r="AC607" s="89"/>
      <c r="AD607" s="89"/>
      <c r="AE607" s="89"/>
      <c r="AF607" s="89"/>
      <c r="AG607" s="89"/>
      <c r="AH607" s="89"/>
      <c r="AI607" s="89"/>
      <c r="AJ607" s="89"/>
      <c r="AK607" s="89"/>
      <c r="AL607" s="89"/>
      <c r="AM607" s="89"/>
      <c r="AN607" s="89"/>
      <c r="AO607" s="89"/>
      <c r="AP607" s="89"/>
      <c r="CZ607" s="89"/>
      <c r="DA607" s="89"/>
      <c r="DB607" s="89"/>
      <c r="DC607" s="89"/>
      <c r="DD607" s="89"/>
      <c r="DE607" s="89"/>
      <c r="DF607" s="89"/>
      <c r="DG607" s="89"/>
      <c r="DH607" s="89"/>
      <c r="DI607" s="89"/>
      <c r="DJ607" s="89"/>
      <c r="DK607" s="89"/>
      <c r="DL607" s="89"/>
      <c r="DM607" s="89"/>
      <c r="DN607" s="89"/>
      <c r="DO607" s="89"/>
      <c r="DP607" s="89"/>
      <c r="DQ607" s="89"/>
      <c r="DW607" s="54"/>
      <c r="EA607" s="55"/>
      <c r="EB607" s="55"/>
      <c r="EC607" s="55"/>
      <c r="ED607" s="55"/>
      <c r="EE607" s="55"/>
    </row>
    <row r="608" spans="1:135" x14ac:dyDescent="0.4">
      <c r="A608" s="261" t="s">
        <v>106</v>
      </c>
      <c r="B608" s="695"/>
      <c r="C608" s="695"/>
      <c r="D608" s="113"/>
      <c r="E608" s="113"/>
      <c r="F608" s="113"/>
      <c r="G608" s="113"/>
      <c r="H608" s="113"/>
      <c r="I608" s="113"/>
      <c r="J608" s="113"/>
      <c r="K608" s="113"/>
      <c r="L608" s="113"/>
      <c r="M608" s="113"/>
      <c r="N608" s="114"/>
      <c r="O608" s="114"/>
      <c r="P608" s="114"/>
      <c r="Q608" s="114"/>
      <c r="R608" s="114"/>
      <c r="S608" s="114"/>
      <c r="T608" s="114"/>
      <c r="U608" s="114"/>
      <c r="V608" s="114"/>
      <c r="W608" s="114"/>
      <c r="X608" s="114"/>
      <c r="Y608" s="114"/>
      <c r="Z608" s="114"/>
      <c r="AA608" s="261" t="s">
        <v>106</v>
      </c>
      <c r="AB608" s="114"/>
      <c r="AC608" s="114"/>
      <c r="AD608" s="114"/>
      <c r="AE608" s="114"/>
      <c r="AF608" s="114"/>
      <c r="AG608" s="114"/>
      <c r="AH608" s="114"/>
      <c r="AI608" s="114"/>
      <c r="AJ608" s="114"/>
      <c r="AK608" s="114"/>
      <c r="AL608" s="114"/>
      <c r="AM608" s="261" t="s">
        <v>106</v>
      </c>
      <c r="AN608" s="114"/>
      <c r="AO608" s="89"/>
      <c r="AP608" s="89"/>
      <c r="AZ608" s="261" t="s">
        <v>106</v>
      </c>
      <c r="BJ608" s="261" t="s">
        <v>106</v>
      </c>
      <c r="BR608" s="261" t="s">
        <v>106</v>
      </c>
      <c r="BY608" s="261" t="s">
        <v>106</v>
      </c>
      <c r="CG608" s="261" t="s">
        <v>106</v>
      </c>
      <c r="CP608" s="261" t="s">
        <v>106</v>
      </c>
      <c r="CZ608" s="89"/>
      <c r="DA608" s="89"/>
      <c r="DB608" s="89"/>
      <c r="DC608" s="89"/>
      <c r="DD608" s="89"/>
      <c r="DE608" s="89"/>
      <c r="DF608" s="89"/>
      <c r="DG608" s="89"/>
      <c r="DH608" s="89"/>
      <c r="DI608" s="89"/>
      <c r="DJ608" s="89"/>
      <c r="DK608" s="89"/>
      <c r="DL608" s="89"/>
      <c r="DM608" s="89"/>
      <c r="DN608" s="89"/>
      <c r="DO608" s="89"/>
      <c r="DP608" s="89"/>
      <c r="DQ608" s="89"/>
      <c r="DV608" s="261" t="s">
        <v>106</v>
      </c>
    </row>
    <row r="609" spans="1:135" x14ac:dyDescent="0.4">
      <c r="A609" s="221"/>
      <c r="C609" s="14"/>
      <c r="D609" s="14"/>
      <c r="E609" s="14"/>
      <c r="F609" s="14"/>
      <c r="G609" s="14"/>
      <c r="H609" s="14"/>
      <c r="I609" s="14"/>
      <c r="J609" s="14"/>
      <c r="K609" s="14"/>
      <c r="L609" s="14"/>
      <c r="M609" s="14"/>
      <c r="DW609" s="54"/>
      <c r="EA609" s="286"/>
      <c r="EB609" s="286"/>
      <c r="EC609" s="286"/>
      <c r="ED609" s="286"/>
      <c r="EE609" s="286"/>
    </row>
    <row r="610" spans="1:135" x14ac:dyDescent="0.4">
      <c r="A610" s="221"/>
      <c r="C610" s="14"/>
      <c r="D610" s="978"/>
      <c r="E610" s="14"/>
      <c r="F610" s="14"/>
      <c r="G610" s="14"/>
      <c r="H610" s="14"/>
      <c r="I610" s="14"/>
      <c r="J610" s="14"/>
      <c r="K610" s="14"/>
      <c r="L610" s="14"/>
      <c r="M610" s="14"/>
      <c r="DW610" s="54"/>
      <c r="EA610" s="286"/>
      <c r="EB610" s="286"/>
      <c r="EC610" s="286"/>
      <c r="ED610" s="286"/>
      <c r="EE610" s="286"/>
    </row>
    <row r="611" spans="1:135" x14ac:dyDescent="0.4">
      <c r="B611" s="694"/>
      <c r="C611" s="694"/>
      <c r="D611" s="113"/>
      <c r="E611" s="113"/>
      <c r="F611" s="113"/>
      <c r="G611" s="113"/>
      <c r="H611" s="113"/>
      <c r="I611" s="113"/>
      <c r="J611" s="113"/>
      <c r="K611" s="113"/>
      <c r="L611" s="113"/>
      <c r="M611" s="113"/>
      <c r="N611" s="114"/>
      <c r="O611" s="114"/>
      <c r="P611" s="114"/>
      <c r="Q611" s="114"/>
      <c r="R611" s="114"/>
      <c r="S611" s="114"/>
      <c r="T611" s="114"/>
      <c r="U611" s="114"/>
      <c r="V611" s="114"/>
      <c r="W611" s="114"/>
      <c r="X611" s="114"/>
      <c r="Y611" s="114"/>
      <c r="Z611" s="114"/>
      <c r="AA611" s="114"/>
      <c r="AC611" s="114"/>
      <c r="AD611" s="114"/>
      <c r="AE611" s="114"/>
      <c r="AF611" s="114"/>
      <c r="AG611" s="114"/>
      <c r="AH611" s="114"/>
      <c r="AI611" s="114"/>
      <c r="AJ611" s="114"/>
      <c r="AK611" s="114"/>
      <c r="AL611" s="114"/>
      <c r="AM611" s="114"/>
      <c r="AN611" s="114"/>
      <c r="AO611" s="89"/>
      <c r="DW611" s="54"/>
      <c r="EA611" s="55"/>
      <c r="EB611" s="55"/>
      <c r="EC611" s="55"/>
      <c r="ED611" s="55"/>
      <c r="EE611" s="55"/>
    </row>
    <row r="612" spans="1:135" ht="12.6" thickBot="1" x14ac:dyDescent="0.45">
      <c r="A612" s="233"/>
      <c r="B612" s="679"/>
      <c r="C612" s="679"/>
      <c r="D612" s="113"/>
      <c r="E612" s="113"/>
      <c r="F612" s="113"/>
      <c r="G612" s="113"/>
      <c r="H612" s="113"/>
      <c r="I612" s="113"/>
      <c r="J612" s="113"/>
      <c r="K612" s="113"/>
      <c r="L612" s="113"/>
      <c r="M612" s="113"/>
      <c r="N612" s="114"/>
      <c r="O612" s="114"/>
      <c r="P612" s="114"/>
      <c r="Q612" s="114"/>
      <c r="R612" s="114"/>
      <c r="S612" s="114"/>
      <c r="T612" s="114"/>
      <c r="U612" s="114"/>
      <c r="V612" s="114"/>
      <c r="W612" s="114"/>
      <c r="X612" s="114"/>
      <c r="Y612" s="114"/>
      <c r="Z612" s="114"/>
      <c r="AA612" s="114"/>
      <c r="AB612" s="114"/>
      <c r="AC612" s="114"/>
      <c r="AD612" s="114"/>
      <c r="AE612" s="114"/>
      <c r="AF612" s="114"/>
      <c r="AG612" s="114"/>
      <c r="AH612" s="114"/>
      <c r="AI612" s="114"/>
      <c r="AJ612" s="114"/>
      <c r="AK612" s="114"/>
      <c r="AL612" s="114"/>
      <c r="AM612" s="114"/>
      <c r="CZ612" s="116"/>
      <c r="DA612" s="116"/>
      <c r="DB612" s="116"/>
      <c r="DC612" s="116"/>
      <c r="DD612" s="116"/>
      <c r="DE612" s="116"/>
      <c r="DF612" s="116"/>
      <c r="DG612" s="116"/>
      <c r="DH612" s="116"/>
      <c r="DI612" s="117" t="str">
        <f>"DJ"&amp;MIN(DK615:DK663)</f>
        <v>DJ0</v>
      </c>
      <c r="DJ612" s="118" t="str">
        <f>"DJ"&amp;MAX(DK615:DK663)</f>
        <v>DJ0</v>
      </c>
      <c r="DK612" s="116"/>
      <c r="DL612" s="117" t="str">
        <f>"DM"&amp;MIN(DN615:DN663)</f>
        <v>DM0</v>
      </c>
      <c r="DM612" s="118" t="str">
        <f>"DM"&amp;MAX(DN615:DN663)</f>
        <v>DM0</v>
      </c>
      <c r="DN612" s="116"/>
      <c r="DO612" s="117" t="str">
        <f>"DP"&amp;MIN(DQ615:DQ663)</f>
        <v>DP0</v>
      </c>
      <c r="DP612" s="118" t="str">
        <f>"DP"&amp;MAX(DQ615:DQ663)</f>
        <v>DP0</v>
      </c>
      <c r="DQ612" s="116"/>
      <c r="DW612" s="119"/>
      <c r="EA612" s="33"/>
      <c r="EB612" s="33"/>
      <c r="EC612" s="33"/>
      <c r="ED612" s="33"/>
      <c r="EE612" s="33"/>
    </row>
    <row r="613" spans="1:135" ht="24.9" thickBot="1" x14ac:dyDescent="0.5">
      <c r="A613" s="676" t="s">
        <v>65</v>
      </c>
      <c r="C613" s="680" t="str">
        <f>A631</f>
        <v>Base Cases</v>
      </c>
      <c r="D613" s="681"/>
      <c r="E613" s="682"/>
      <c r="F613" s="683" t="str">
        <f>A632</f>
        <v>Conservative Cases</v>
      </c>
      <c r="G613" s="684"/>
      <c r="H613" s="685"/>
      <c r="I613" s="686" t="str">
        <f>A633</f>
        <v>Ambitious Cases</v>
      </c>
      <c r="J613" s="687"/>
      <c r="K613" s="688"/>
      <c r="L613" s="692" t="str">
        <f>A634</f>
        <v>Maximum Cases</v>
      </c>
      <c r="M613" s="693"/>
      <c r="O613" s="122"/>
      <c r="P613" s="122"/>
      <c r="Q613" s="122"/>
      <c r="W613" s="691" t="s">
        <v>66</v>
      </c>
      <c r="X613" s="691"/>
      <c r="Y613" s="691"/>
      <c r="Z613" s="120"/>
      <c r="AA613" s="120"/>
      <c r="AB613" s="120"/>
      <c r="AC613" s="120"/>
      <c r="AD613" s="120"/>
      <c r="AE613" s="120"/>
      <c r="AF613" s="120"/>
      <c r="AG613" s="120"/>
      <c r="AH613" s="120"/>
      <c r="AI613" s="120"/>
      <c r="AJ613" s="120"/>
      <c r="AK613" s="120"/>
      <c r="AL613" s="120"/>
      <c r="AM613" s="120"/>
      <c r="AN613" s="120"/>
      <c r="BR613" s="121" t="s">
        <v>67</v>
      </c>
      <c r="BS613" s="121"/>
      <c r="BT613" s="121"/>
      <c r="BU613" s="121"/>
      <c r="BV613" s="121"/>
      <c r="BW613" s="122"/>
      <c r="BY613" s="121" t="s">
        <v>68</v>
      </c>
      <c r="BZ613" s="121"/>
      <c r="CA613" s="121"/>
      <c r="CB613" s="121"/>
      <c r="CC613" s="121"/>
      <c r="CD613" s="121"/>
      <c r="CG613" s="121" t="s">
        <v>69</v>
      </c>
      <c r="CH613" s="121"/>
      <c r="CI613" s="121"/>
      <c r="CJ613" s="121"/>
      <c r="CK613" s="121"/>
      <c r="CL613" s="121"/>
      <c r="CM613" s="121"/>
      <c r="CP613" s="121" t="s">
        <v>70</v>
      </c>
      <c r="CQ613" s="121"/>
      <c r="CR613" s="121"/>
      <c r="CS613" s="121"/>
      <c r="CT613" s="121"/>
      <c r="CU613" s="121"/>
      <c r="CZ613" s="123"/>
      <c r="DA613" s="123"/>
      <c r="DB613" s="123"/>
      <c r="DC613" s="123"/>
      <c r="DD613" s="123"/>
      <c r="DE613" s="123"/>
      <c r="DF613" s="123"/>
      <c r="DG613" s="123"/>
      <c r="DH613" s="123"/>
      <c r="DI613" s="124" t="str">
        <f>"DI"&amp;MIN(DK615:DK663)</f>
        <v>DI0</v>
      </c>
      <c r="DJ613" s="125" t="str">
        <f>"DI"&amp;MAX(DK615:DK663)</f>
        <v>DI0</v>
      </c>
      <c r="DK613" s="123"/>
      <c r="DL613" s="124" t="str">
        <f>"DL"&amp;MIN(DN615:DN663)</f>
        <v>DL0</v>
      </c>
      <c r="DM613" s="125" t="str">
        <f>"DL"&amp;MAX(DN615:DN663)</f>
        <v>DL0</v>
      </c>
      <c r="DN613" s="123"/>
      <c r="DO613" s="124" t="str">
        <f>"DO"&amp;MIN(DQ615:DQ663)</f>
        <v>DO0</v>
      </c>
      <c r="DP613" s="125" t="str">
        <f>"DO"&amp;MAX(DQ615:DQ663)</f>
        <v>DO0</v>
      </c>
      <c r="DQ613" s="123"/>
      <c r="DV613" s="126" t="s">
        <v>71</v>
      </c>
      <c r="DZ613" s="127" t="s">
        <v>72</v>
      </c>
      <c r="EA613" s="284" t="str">
        <f>$L$41</f>
        <v>3rd Poly</v>
      </c>
    </row>
    <row r="614" spans="1:135" ht="74.099999999999994" thickBot="1" x14ac:dyDescent="0.5">
      <c r="A614" s="676" t="s">
        <v>73</v>
      </c>
      <c r="B614" s="128"/>
      <c r="C614" s="129" t="str">
        <f>A615</f>
        <v>World Bank, What a Waste 2.0</v>
      </c>
      <c r="D614" s="130" t="str">
        <f>A616</f>
        <v xml:space="preserve">US EPA: Advancing Sustainable Materials Management
</v>
      </c>
      <c r="E614" s="131" t="str">
        <f>A617</f>
        <v>[Source 3]</v>
      </c>
      <c r="F614" s="129" t="str">
        <f>A618</f>
        <v>[Source 1]</v>
      </c>
      <c r="G614" s="130" t="str">
        <f>A619</f>
        <v>[Source 2]</v>
      </c>
      <c r="H614" s="131" t="str">
        <f>A620</f>
        <v>[Source 3]</v>
      </c>
      <c r="I614" s="129" t="str">
        <f>A621</f>
        <v xml:space="preserve"> IEA Annex I – Municipal solid waste potential in cities; Table I.1</v>
      </c>
      <c r="J614" s="130" t="str">
        <f>A622</f>
        <v>[Source 2]</v>
      </c>
      <c r="K614" s="131" t="str">
        <f>A623</f>
        <v>[Source 3]</v>
      </c>
      <c r="L614" s="129" t="str">
        <f>A624</f>
        <v>[Source 1]</v>
      </c>
      <c r="M614" s="131" t="str">
        <f>A625</f>
        <v>[Source 2]</v>
      </c>
      <c r="N614" s="234" t="s">
        <v>74</v>
      </c>
      <c r="O614" s="133"/>
      <c r="P614" s="133"/>
      <c r="Q614" s="133"/>
      <c r="R614" s="135" t="s">
        <v>76</v>
      </c>
      <c r="S614" s="134" t="s">
        <v>77</v>
      </c>
      <c r="T614" s="134" t="s">
        <v>78</v>
      </c>
      <c r="U614" s="136" t="s">
        <v>79</v>
      </c>
      <c r="V614" s="691"/>
      <c r="W614" s="136" t="s">
        <v>15</v>
      </c>
      <c r="X614" s="134" t="s">
        <v>21</v>
      </c>
      <c r="Y614" s="136" t="s">
        <v>25</v>
      </c>
      <c r="AA614" s="138"/>
      <c r="AB614" s="138"/>
      <c r="AC614" s="138"/>
      <c r="AD614" s="138"/>
      <c r="AE614" s="138"/>
      <c r="AF614" s="138"/>
      <c r="AG614" s="138"/>
      <c r="AH614" s="138"/>
      <c r="AI614" s="138"/>
      <c r="AJ614" s="138"/>
      <c r="AK614" s="138"/>
      <c r="AL614" s="138"/>
      <c r="AM614" s="138"/>
      <c r="AN614" s="138"/>
      <c r="BR614" s="139"/>
      <c r="BS614" s="139"/>
      <c r="BT614" s="139"/>
      <c r="BU614" s="139"/>
      <c r="BV614" s="139"/>
      <c r="BW614" s="122"/>
      <c r="BZ614" s="139"/>
      <c r="CA614" s="139"/>
      <c r="CB614" s="139"/>
      <c r="CC614" s="139"/>
      <c r="CD614" s="139"/>
      <c r="CH614" s="139"/>
      <c r="CI614" s="139"/>
      <c r="CJ614" s="139"/>
      <c r="CK614" s="139"/>
      <c r="CL614" s="139"/>
      <c r="CM614" s="139"/>
      <c r="CQ614" s="139"/>
      <c r="CR614" s="139"/>
      <c r="CS614" s="139"/>
      <c r="CT614" s="139"/>
      <c r="CU614" s="139"/>
      <c r="CZ614" s="140"/>
      <c r="DA614" s="140"/>
      <c r="DB614" s="140"/>
      <c r="DC614" s="140"/>
      <c r="DD614" s="141"/>
      <c r="DE614" s="141"/>
      <c r="DF614" s="141"/>
      <c r="DG614" s="141"/>
      <c r="DH614" s="140"/>
      <c r="DI614" s="142"/>
      <c r="DJ614" s="143"/>
      <c r="DK614" s="144"/>
      <c r="DL614" s="142"/>
      <c r="DM614" s="143"/>
      <c r="DN614" s="140"/>
      <c r="DO614" s="142"/>
      <c r="DP614" s="143"/>
      <c r="DQ614" s="140"/>
      <c r="DV614" s="145">
        <v>2014</v>
      </c>
      <c r="DW614" s="235" t="e">
        <f t="shared" ref="DW614:DW660" ca="1" si="349">IF($J$41="N","",IF($L$41="Linear",BV619,IF($L$41="2nd Poly",CD619,IF($L$41="3rd Poly",CM619,IF($L$41="Exp",CT619)))))</f>
        <v>#REF!</v>
      </c>
      <c r="EA614" s="33" t="str">
        <f>$M$41</f>
        <v>Medium</v>
      </c>
      <c r="EB614" s="33"/>
      <c r="EC614" s="33"/>
      <c r="ED614" s="33"/>
      <c r="EE614" s="33"/>
    </row>
    <row r="615" spans="1:135" ht="14.1" thickBot="1" x14ac:dyDescent="0.5">
      <c r="A615" s="948" t="s">
        <v>549</v>
      </c>
      <c r="B615" s="128">
        <v>2012</v>
      </c>
      <c r="C615" s="977"/>
      <c r="D615" s="977"/>
      <c r="E615" s="239"/>
      <c r="F615" s="1095"/>
      <c r="G615" s="264"/>
      <c r="H615" s="239"/>
      <c r="I615" s="1152"/>
      <c r="J615" s="264"/>
      <c r="K615" s="239"/>
      <c r="L615" s="190"/>
      <c r="M615" s="239"/>
      <c r="N615" s="29" t="s">
        <v>119</v>
      </c>
      <c r="O615" s="120"/>
      <c r="P615" s="120"/>
      <c r="Q615" s="120"/>
      <c r="R615" s="29">
        <v>-2</v>
      </c>
      <c r="S615" s="288" t="str">
        <f t="shared" ref="S615:S646" si="350">IF(MIN(C615:Q615)=0,"",MIN(C615:Q615))</f>
        <v/>
      </c>
      <c r="T615" s="288" t="str">
        <f t="shared" ref="T615:T646" si="351">IF(MAX(C615:Q615)=0,"",MAX(C615:Q615))</f>
        <v/>
      </c>
      <c r="U615" s="288" t="str">
        <f t="shared" ref="U615:U646" si="352">IF(T615="","",_xlfn.STDEV.P(C615:Q615))</f>
        <v/>
      </c>
      <c r="V615" s="29"/>
      <c r="W615" s="288" t="e">
        <f t="shared" ref="W615:W663" si="353">IF(U615="",#N/A,X615-(U615*$Q$41))</f>
        <v>#N/A</v>
      </c>
      <c r="X615" s="288" t="e">
        <f t="shared" ref="X615:X646" si="354">IF(U615="",#N/A,(SUM(C615:Q615)/COUNTIFS(C615:Q615,"&gt;0")))</f>
        <v>#N/A</v>
      </c>
      <c r="Y615" s="288" t="e">
        <f t="shared" ref="Y615:Y663" si="355">IF(U615="",#N/A,X615+(U615*$Q$40))</f>
        <v>#N/A</v>
      </c>
      <c r="AA615" s="138"/>
      <c r="AB615" s="138"/>
      <c r="AC615" s="138"/>
      <c r="AD615" s="138"/>
      <c r="AE615" s="138"/>
      <c r="AF615" s="138"/>
      <c r="AG615" s="138"/>
      <c r="AH615" s="138"/>
      <c r="AI615" s="138"/>
      <c r="AJ615" s="138"/>
      <c r="AK615" s="138"/>
      <c r="AL615" s="138"/>
      <c r="AM615" s="138"/>
      <c r="AN615" s="138"/>
      <c r="BR615" s="691" t="s">
        <v>81</v>
      </c>
      <c r="BS615" s="65" t="str">
        <f>$M$41</f>
        <v>Medium</v>
      </c>
      <c r="BT615" s="691" t="s">
        <v>82</v>
      </c>
      <c r="BU615" s="691" t="s">
        <v>83</v>
      </c>
      <c r="BW615" s="133"/>
      <c r="BY615" s="691" t="s">
        <v>81</v>
      </c>
      <c r="BZ615" s="65" t="str">
        <f>$M$41</f>
        <v>Medium</v>
      </c>
      <c r="CA615" s="691" t="s">
        <v>84</v>
      </c>
      <c r="CB615" s="691" t="s">
        <v>82</v>
      </c>
      <c r="CC615" s="691" t="s">
        <v>83</v>
      </c>
      <c r="CG615" s="691" t="s">
        <v>81</v>
      </c>
      <c r="CH615" s="65" t="str">
        <f>$M$41</f>
        <v>Medium</v>
      </c>
      <c r="CI615" s="691" t="s">
        <v>85</v>
      </c>
      <c r="CJ615" s="691" t="s">
        <v>84</v>
      </c>
      <c r="CK615" s="691" t="s">
        <v>82</v>
      </c>
      <c r="CL615" s="691" t="s">
        <v>83</v>
      </c>
      <c r="CP615" s="691" t="s">
        <v>81</v>
      </c>
      <c r="CQ615" s="65" t="str">
        <f>$M$41</f>
        <v>Medium</v>
      </c>
      <c r="CR615" s="691" t="s">
        <v>86</v>
      </c>
      <c r="CS615" s="691" t="s">
        <v>87</v>
      </c>
      <c r="CZ615" s="155" t="b">
        <f t="shared" ref="CZ615:DB654" si="356">ISNUMBER(W615)</f>
        <v>0</v>
      </c>
      <c r="DA615" s="156" t="b">
        <f t="shared" si="356"/>
        <v>0</v>
      </c>
      <c r="DB615" s="157" t="b">
        <f t="shared" si="356"/>
        <v>0</v>
      </c>
      <c r="DC615" s="155" t="str">
        <f t="shared" ref="DC615:DC663" si="357">IF(CZ615=TRUE,$R615,"")</f>
        <v/>
      </c>
      <c r="DD615" s="157" t="str">
        <f t="shared" ref="DD615:DD663" si="358">IF(CZ615=TRUE,W615,"")</f>
        <v/>
      </c>
      <c r="DE615" s="155" t="str">
        <f t="shared" ref="DE615:DE663" si="359">IF(DA615=TRUE,$R615,"")</f>
        <v/>
      </c>
      <c r="DF615" s="157" t="str">
        <f t="shared" ref="DF615:DF663" si="360">IF(DA615=TRUE,X615,"")</f>
        <v/>
      </c>
      <c r="DG615" s="155" t="str">
        <f t="shared" ref="DG615:DG663" si="361">IF(DB615=TRUE,$R615,"")</f>
        <v/>
      </c>
      <c r="DH615" s="157" t="str">
        <f t="shared" ref="DH615:DH663" si="362">IF(DB615=TRUE,Y615,"")</f>
        <v/>
      </c>
      <c r="DI615" s="155" t="str">
        <f>IFERROR(INDEX(DC$615:DC$663,_xlfn.AGGREGATE(15,6,(ROW(DC$615:DC$663)-ROW(DC$615)+1)/(DC$615:DC$663&lt;&gt;""),ROWS(DI$1:DI1))),"")</f>
        <v/>
      </c>
      <c r="DJ615" s="156" t="str">
        <f>IFERROR(INDEX(DD$615:DD$663,_xlfn.AGGREGATE(15,6,(ROW(DD$615:DD$663)-ROW(DD$615)+1)/(DD$615:DD$663&lt;&gt;""),ROWS(DJ$1:DJ1))),"")</f>
        <v/>
      </c>
      <c r="DK615" s="157" t="str">
        <f t="shared" ref="DK615:DK663" si="363">IF(ISNUMBER(DI615),ROW(DI615),"")</f>
        <v/>
      </c>
      <c r="DL615" s="155" t="str">
        <f>IFERROR(INDEX(DE$615:DE$663,_xlfn.AGGREGATE(15,6,(ROW(DE$615:DE$663)-ROW(DE$615)+1)/(DE$615:DE$663&lt;&gt;""),ROWS(DL$1:DL1))),"")</f>
        <v/>
      </c>
      <c r="DM615" s="156" t="str">
        <f>IFERROR(INDEX(DF$615:DF$663,_xlfn.AGGREGATE(15,6,(ROW(DF$615:DF$663)-ROW(DF$615)+1)/(DF$615:DF$663&lt;&gt;""),ROWS(DM$1:DM1))),"")</f>
        <v/>
      </c>
      <c r="DN615" s="157" t="str">
        <f t="shared" ref="DN615:DN663" si="364">IF(ISNUMBER(DI615),ROW(DI615),"")</f>
        <v/>
      </c>
      <c r="DO615" s="155" t="str">
        <f>IFERROR(INDEX(DG$615:DG$663,_xlfn.AGGREGATE(15,6,(ROW(DG$615:DG$663)-ROW(DG$615)+1)/(DG$615:DG$663&lt;&gt;""),ROWS(DO$1:DO1))),"")</f>
        <v/>
      </c>
      <c r="DP615" s="156" t="str">
        <f>IFERROR(INDEX(DH$615:DH$663,_xlfn.AGGREGATE(15,6,(ROW(DH$615:DH$663)-ROW(DH$615)+1)/(DH$615:DH$663&lt;&gt;""),ROWS(DP$1:DP1))),"")</f>
        <v/>
      </c>
      <c r="DQ615" s="157" t="str">
        <f t="shared" ref="DQ615:DQ663" si="365">IF(ISNUMBER(DL615),ROW(DL615),"")</f>
        <v/>
      </c>
      <c r="DV615" s="145">
        <v>2015</v>
      </c>
      <c r="DW615" s="235" t="e">
        <f t="shared" ca="1" si="349"/>
        <v>#REF!</v>
      </c>
      <c r="EA615" s="33"/>
      <c r="EB615" s="33"/>
      <c r="EC615" s="33"/>
      <c r="ED615" s="33"/>
      <c r="EE615" s="33"/>
    </row>
    <row r="616" spans="1:135" ht="36.9" x14ac:dyDescent="0.45">
      <c r="A616" s="959" t="s">
        <v>987</v>
      </c>
      <c r="B616" s="128">
        <v>2013</v>
      </c>
      <c r="C616" s="977"/>
      <c r="D616" s="977"/>
      <c r="E616" s="239"/>
      <c r="F616" s="1095"/>
      <c r="G616" s="264"/>
      <c r="H616" s="239"/>
      <c r="I616" s="1152"/>
      <c r="J616" s="264"/>
      <c r="K616" s="239"/>
      <c r="L616" s="190"/>
      <c r="M616" s="239"/>
      <c r="N616" s="29" t="s">
        <v>119</v>
      </c>
      <c r="O616" s="120"/>
      <c r="P616" s="120"/>
      <c r="Q616" s="120"/>
      <c r="R616" s="29">
        <v>-1</v>
      </c>
      <c r="S616" s="288" t="str">
        <f t="shared" si="350"/>
        <v/>
      </c>
      <c r="T616" s="288" t="str">
        <f t="shared" si="351"/>
        <v/>
      </c>
      <c r="U616" s="288" t="str">
        <f t="shared" si="352"/>
        <v/>
      </c>
      <c r="V616" s="29"/>
      <c r="W616" s="288" t="e">
        <f t="shared" si="353"/>
        <v>#N/A</v>
      </c>
      <c r="X616" s="288" t="e">
        <f t="shared" si="354"/>
        <v>#N/A</v>
      </c>
      <c r="Y616" s="288" t="e">
        <f t="shared" si="355"/>
        <v>#N/A</v>
      </c>
      <c r="AA616" s="138"/>
      <c r="AB616" s="138"/>
      <c r="AC616" s="138"/>
      <c r="AD616" s="138"/>
      <c r="AE616" s="138"/>
      <c r="AF616" s="138"/>
      <c r="AG616" s="138"/>
      <c r="AH616" s="138"/>
      <c r="AI616" s="138"/>
      <c r="AJ616" s="138"/>
      <c r="AK616" s="138"/>
      <c r="AL616" s="138"/>
      <c r="AM616" s="138"/>
      <c r="AN616" s="138"/>
      <c r="BS616" s="160" t="s">
        <v>25</v>
      </c>
      <c r="BT616" s="161" t="e">
        <f>SLOPE((DH615:DH663),($B$46:$B$94))</f>
        <v>#DIV/0!</v>
      </c>
      <c r="BU616" s="162" t="e">
        <f>INTERCEPT(DP615:DP663,DO615:DO663)</f>
        <v>#DIV/0!</v>
      </c>
      <c r="BW616" s="133"/>
      <c r="BZ616" s="160" t="s">
        <v>25</v>
      </c>
      <c r="CA616" s="161" t="e">
        <f ca="1">INDEX(LINEST((INDIRECT(DO612):INDIRECT(DP612)),(INDIRECT(DO613):INDIRECT(DP613))^{1,2}),1)</f>
        <v>#REF!</v>
      </c>
      <c r="CB616" s="163" t="e">
        <f ca="1">INDEX(LINEST((INDIRECT(DO612):INDIRECT(DP612)),(INDIRECT(DO613):INDIRECT(DP613))^{1,2}),1,2)</f>
        <v>#REF!</v>
      </c>
      <c r="CC616" s="162" t="e">
        <f ca="1">INDEX(LINEST((INDIRECT(DO612):INDIRECT(DP612)),(INDIRECT(DO613):INDIRECT(DP613))^{1,2}),1,3)</f>
        <v>#REF!</v>
      </c>
      <c r="CH616" s="160" t="s">
        <v>25</v>
      </c>
      <c r="CI616" s="161" t="e">
        <f ca="1">INDEX(LINEST((INDIRECT(DO612):INDIRECT(DP612)),(INDIRECT(DO613):INDIRECT(DP613))^{1,2,3}),1)</f>
        <v>#REF!</v>
      </c>
      <c r="CJ616" s="163" t="e">
        <f ca="1">INDEX(LINEST((INDIRECT(DO612):INDIRECT(DP612)),(INDIRECT(DO613):INDIRECT(DP613))^{1,2,3}),1,2)</f>
        <v>#REF!</v>
      </c>
      <c r="CK616" s="163" t="e">
        <f ca="1">INDEX(LINEST((INDIRECT(DO612):INDIRECT(DP612)),(INDIRECT(DO613):INDIRECT(DP613))^{1,2,3}),1,3)</f>
        <v>#REF!</v>
      </c>
      <c r="CL616" s="162" t="e">
        <f ca="1">INDEX(LINEST((INDIRECT(DO612):INDIRECT(DP612)),(INDIRECT(DO613):INDIRECT(DP613))^{1,2,3}),1,4)</f>
        <v>#REF!</v>
      </c>
      <c r="CQ616" s="160" t="s">
        <v>25</v>
      </c>
      <c r="CR616" s="161" t="e">
        <f ca="1">EXP(INDEX(LINEST(LN(INDIRECT(DO612):INDIRECT(DP612)),(INDIRECT(DO613):INDIRECT(DP613))),1,2))</f>
        <v>#REF!</v>
      </c>
      <c r="CS616" s="162" t="e">
        <f ca="1">INDEX(LINEST(LN(INDIRECT(DO612):INDIRECT(DP612)),(INDIRECT(DO613):INDIRECT(DP613))),1)</f>
        <v>#REF!</v>
      </c>
      <c r="CZ616" s="164" t="b">
        <f t="shared" si="356"/>
        <v>0</v>
      </c>
      <c r="DA616" s="165" t="b">
        <f t="shared" si="356"/>
        <v>0</v>
      </c>
      <c r="DB616" s="166" t="b">
        <f t="shared" si="356"/>
        <v>0</v>
      </c>
      <c r="DC616" s="164" t="str">
        <f t="shared" si="357"/>
        <v/>
      </c>
      <c r="DD616" s="166" t="str">
        <f t="shared" si="358"/>
        <v/>
      </c>
      <c r="DE616" s="164" t="str">
        <f t="shared" si="359"/>
        <v/>
      </c>
      <c r="DF616" s="166" t="str">
        <f t="shared" si="360"/>
        <v/>
      </c>
      <c r="DG616" s="164" t="str">
        <f t="shared" si="361"/>
        <v/>
      </c>
      <c r="DH616" s="166" t="str">
        <f t="shared" si="362"/>
        <v/>
      </c>
      <c r="DI616" s="164" t="str">
        <f>IFERROR(INDEX(DC$615:DC$663,_xlfn.AGGREGATE(15,6,(ROW(DC$615:DC$663)-ROW(DC$615)+1)/(DC$615:DC$663&lt;&gt;""),ROWS(DI$1:DI2))),"")</f>
        <v/>
      </c>
      <c r="DJ616" s="165" t="str">
        <f>IFERROR(INDEX(DD$615:DD$663,_xlfn.AGGREGATE(15,6,(ROW(DD$615:DD$663)-ROW(DD$615)+1)/(DD$615:DD$663&lt;&gt;""),ROWS(DJ$1:DJ2))),"")</f>
        <v/>
      </c>
      <c r="DK616" s="166" t="str">
        <f t="shared" si="363"/>
        <v/>
      </c>
      <c r="DL616" s="164" t="str">
        <f>IFERROR(INDEX(DE$615:DE$663,_xlfn.AGGREGATE(15,6,(ROW(DE$615:DE$663)-ROW(DE$615)+1)/(DE$615:DE$663&lt;&gt;""),ROWS(DL$1:DL2))),"")</f>
        <v/>
      </c>
      <c r="DM616" s="165" t="str">
        <f>IFERROR(INDEX(DF$615:DF$663,_xlfn.AGGREGATE(15,6,(ROW(DF$615:DF$663)-ROW(DF$615)+1)/(DF$615:DF$663&lt;&gt;""),ROWS(DM$1:DM2))),"")</f>
        <v/>
      </c>
      <c r="DN616" s="166" t="str">
        <f t="shared" si="364"/>
        <v/>
      </c>
      <c r="DO616" s="164" t="str">
        <f>IFERROR(INDEX(DG$615:DG$663,_xlfn.AGGREGATE(15,6,(ROW(DG$615:DG$663)-ROW(DG$615)+1)/(DG$615:DG$663&lt;&gt;""),ROWS(DO$1:DO2))),"")</f>
        <v/>
      </c>
      <c r="DP616" s="165" t="str">
        <f>IFERROR(INDEX(DH$615:DH$663,_xlfn.AGGREGATE(15,6,(ROW(DH$615:DH$663)-ROW(DH$615)+1)/(DH$615:DH$663&lt;&gt;""),ROWS(DP$1:DP2))),"")</f>
        <v/>
      </c>
      <c r="DQ616" s="166" t="str">
        <f t="shared" si="365"/>
        <v/>
      </c>
      <c r="DV616" s="145">
        <v>2016</v>
      </c>
      <c r="DW616" s="235" t="e">
        <f t="shared" ca="1" si="349"/>
        <v>#REF!</v>
      </c>
      <c r="EA616" s="33"/>
      <c r="EB616" s="33"/>
      <c r="EC616" s="33"/>
      <c r="ED616" s="33"/>
      <c r="EE616" s="33"/>
    </row>
    <row r="617" spans="1:135" ht="13.8" x14ac:dyDescent="0.45">
      <c r="A617" s="148" t="s">
        <v>90</v>
      </c>
      <c r="B617" s="128">
        <v>2014</v>
      </c>
      <c r="C617" s="977"/>
      <c r="D617" s="977"/>
      <c r="E617" s="169"/>
      <c r="F617" s="1095"/>
      <c r="G617" s="168"/>
      <c r="H617" s="169"/>
      <c r="I617" s="1152"/>
      <c r="J617" s="168"/>
      <c r="K617" s="169"/>
      <c r="L617" s="170"/>
      <c r="M617" s="169"/>
      <c r="N617" s="29" t="s">
        <v>119</v>
      </c>
      <c r="O617" s="120"/>
      <c r="P617" s="120"/>
      <c r="Q617" s="120"/>
      <c r="R617" s="29">
        <v>0</v>
      </c>
      <c r="S617" s="288" t="str">
        <f t="shared" si="350"/>
        <v/>
      </c>
      <c r="T617" s="288" t="str">
        <f t="shared" si="351"/>
        <v/>
      </c>
      <c r="U617" s="288" t="str">
        <f t="shared" si="352"/>
        <v/>
      </c>
      <c r="V617" s="29"/>
      <c r="W617" s="288" t="e">
        <f t="shared" si="353"/>
        <v>#N/A</v>
      </c>
      <c r="X617" s="288" t="e">
        <f t="shared" si="354"/>
        <v>#N/A</v>
      </c>
      <c r="Y617" s="288" t="e">
        <f t="shared" si="355"/>
        <v>#N/A</v>
      </c>
      <c r="AA617" s="138"/>
      <c r="AB617" s="138"/>
      <c r="AC617" s="138"/>
      <c r="AD617" s="138"/>
      <c r="AE617" s="138"/>
      <c r="AF617" s="138"/>
      <c r="AG617" s="138"/>
      <c r="AH617" s="138"/>
      <c r="AI617" s="138"/>
      <c r="AJ617" s="138"/>
      <c r="AK617" s="138"/>
      <c r="AL617" s="138"/>
      <c r="AM617" s="138"/>
      <c r="AN617" s="138"/>
      <c r="BS617" s="160" t="s">
        <v>91</v>
      </c>
      <c r="BT617" s="304" t="e">
        <f>SLOPE((DF615:DF663),($B$46:$B$94))</f>
        <v>#DIV/0!</v>
      </c>
      <c r="BU617" s="305" t="e">
        <f>INTERCEPT(DM615:DM663,DL615:DL663)</f>
        <v>#DIV/0!</v>
      </c>
      <c r="BZ617" s="160" t="s">
        <v>91</v>
      </c>
      <c r="CA617" s="304" t="e">
        <f ca="1">INDEX(LINEST((INDIRECT(DL612):INDIRECT(DM612)),(INDIRECT(DL613):INDIRECT(DM613))^{1,2}),1)</f>
        <v>#REF!</v>
      </c>
      <c r="CB617" s="306" t="e">
        <f ca="1">INDEX(LINEST((INDIRECT(DL612):INDIRECT(DM612)),(INDIRECT(DL613):INDIRECT(DM613))^{1,2}),1,2)</f>
        <v>#REF!</v>
      </c>
      <c r="CC617" s="305" t="e">
        <f ca="1">INDEX(LINEST((INDIRECT(DL612):INDIRECT(DM612)),(INDIRECT(DL613):INDIRECT(DM613))^{1,2}),1,3)</f>
        <v>#REF!</v>
      </c>
      <c r="CH617" s="160" t="s">
        <v>91</v>
      </c>
      <c r="CI617" s="304" t="e">
        <f ca="1">INDEX(LINEST((INDIRECT(DL612):INDIRECT(DM612)),(INDIRECT(DL613):INDIRECT(DM613))^{1,2,3}),1)</f>
        <v>#REF!</v>
      </c>
      <c r="CJ617" s="306" t="e">
        <f ca="1">INDEX(LINEST((INDIRECT(DL612):INDIRECT(DM612)),(INDIRECT(DL613):INDIRECT(DM613))^{1,2,3}),1,2)</f>
        <v>#REF!</v>
      </c>
      <c r="CK617" s="306" t="e">
        <f ca="1">INDEX(LINEST((INDIRECT(DL612):INDIRECT(DM612)),(INDIRECT(DL613):INDIRECT(DM613))^{1,2,3}),1,3)</f>
        <v>#REF!</v>
      </c>
      <c r="CL617" s="305" t="e">
        <f ca="1">INDEX(LINEST((INDIRECT(DL612):INDIRECT(DM612)),(INDIRECT(DL613):INDIRECT(DM613))^{1,2,3}),1,4)</f>
        <v>#REF!</v>
      </c>
      <c r="CQ617" s="160" t="s">
        <v>91</v>
      </c>
      <c r="CR617" s="304" t="e">
        <f ca="1">EXP(INDEX(LINEST(LN(INDIRECT(DL612):INDIRECT(DM612)),(INDIRECT(DL613):INDIRECT(DM613))),1,2))</f>
        <v>#REF!</v>
      </c>
      <c r="CS617" s="305" t="e">
        <f ca="1">INDEX(LINEST(LN(INDIRECT(DL612):INDIRECT(DM612)),(INDIRECT(DL613):INDIRECT(DM613))),1)</f>
        <v>#REF!</v>
      </c>
      <c r="CZ617" s="164" t="b">
        <f t="shared" si="356"/>
        <v>0</v>
      </c>
      <c r="DA617" s="165" t="b">
        <f t="shared" si="356"/>
        <v>0</v>
      </c>
      <c r="DB617" s="166" t="b">
        <f t="shared" si="356"/>
        <v>0</v>
      </c>
      <c r="DC617" s="164" t="str">
        <f t="shared" si="357"/>
        <v/>
      </c>
      <c r="DD617" s="166" t="str">
        <f t="shared" si="358"/>
        <v/>
      </c>
      <c r="DE617" s="164" t="str">
        <f t="shared" si="359"/>
        <v/>
      </c>
      <c r="DF617" s="166" t="str">
        <f t="shared" si="360"/>
        <v/>
      </c>
      <c r="DG617" s="164" t="str">
        <f t="shared" si="361"/>
        <v/>
      </c>
      <c r="DH617" s="166" t="str">
        <f t="shared" si="362"/>
        <v/>
      </c>
      <c r="DI617" s="164" t="str">
        <f>IFERROR(INDEX(DC$615:DC$663,_xlfn.AGGREGATE(15,6,(ROW(DC$615:DC$663)-ROW(DC$615)+1)/(DC$615:DC$663&lt;&gt;""),ROWS(DI$1:DI3))),"")</f>
        <v/>
      </c>
      <c r="DJ617" s="165" t="str">
        <f>IFERROR(INDEX(DD$615:DD$663,_xlfn.AGGREGATE(15,6,(ROW(DD$615:DD$663)-ROW(DD$615)+1)/(DD$615:DD$663&lt;&gt;""),ROWS(DJ$1:DJ3))),"")</f>
        <v/>
      </c>
      <c r="DK617" s="166" t="str">
        <f t="shared" si="363"/>
        <v/>
      </c>
      <c r="DL617" s="164" t="str">
        <f>IFERROR(INDEX(DE$615:DE$663,_xlfn.AGGREGATE(15,6,(ROW(DE$615:DE$663)-ROW(DE$615)+1)/(DE$615:DE$663&lt;&gt;""),ROWS(DL$1:DL3))),"")</f>
        <v/>
      </c>
      <c r="DM617" s="165" t="str">
        <f>IFERROR(INDEX(DF$615:DF$663,_xlfn.AGGREGATE(15,6,(ROW(DF$615:DF$663)-ROW(DF$615)+1)/(DF$615:DF$663&lt;&gt;""),ROWS(DM$1:DM3))),"")</f>
        <v/>
      </c>
      <c r="DN617" s="166" t="str">
        <f t="shared" si="364"/>
        <v/>
      </c>
      <c r="DO617" s="164" t="str">
        <f>IFERROR(INDEX(DG$615:DG$663,_xlfn.AGGREGATE(15,6,(ROW(DG$615:DG$663)-ROW(DG$615)+1)/(DG$615:DG$663&lt;&gt;""),ROWS(DO$1:DO3))),"")</f>
        <v/>
      </c>
      <c r="DP617" s="165" t="str">
        <f>IFERROR(INDEX(DH$615:DH$663,_xlfn.AGGREGATE(15,6,(ROW(DH$615:DH$663)-ROW(DH$615)+1)/(DH$615:DH$663&lt;&gt;""),ROWS(DP$1:DP3))),"")</f>
        <v/>
      </c>
      <c r="DQ617" s="166" t="str">
        <f t="shared" si="365"/>
        <v/>
      </c>
      <c r="DV617" s="145">
        <v>2017</v>
      </c>
      <c r="DW617" s="235" t="e">
        <f t="shared" ca="1" si="349"/>
        <v>#REF!</v>
      </c>
      <c r="DZ617" s="65" t="s">
        <v>89</v>
      </c>
      <c r="EA617" s="33"/>
      <c r="EB617" s="33"/>
      <c r="EC617" s="33"/>
      <c r="ED617" s="33"/>
      <c r="EE617" s="33"/>
    </row>
    <row r="618" spans="1:135" ht="14.1" thickBot="1" x14ac:dyDescent="0.5">
      <c r="A618" s="949" t="s">
        <v>80</v>
      </c>
      <c r="B618" s="128">
        <v>2015</v>
      </c>
      <c r="C618" s="977"/>
      <c r="D618" s="977"/>
      <c r="E618" s="308"/>
      <c r="F618" s="1095"/>
      <c r="G618" s="307"/>
      <c r="H618" s="308"/>
      <c r="I618" s="1152"/>
      <c r="J618" s="307"/>
      <c r="K618" s="308"/>
      <c r="L618" s="309"/>
      <c r="M618" s="308"/>
      <c r="N618" s="29" t="s">
        <v>119</v>
      </c>
      <c r="O618" s="120"/>
      <c r="P618" s="120"/>
      <c r="Q618" s="120"/>
      <c r="R618" s="29">
        <v>1</v>
      </c>
      <c r="S618" s="288" t="str">
        <f t="shared" si="350"/>
        <v/>
      </c>
      <c r="T618" s="288" t="str">
        <f t="shared" si="351"/>
        <v/>
      </c>
      <c r="U618" s="288" t="str">
        <f t="shared" si="352"/>
        <v/>
      </c>
      <c r="V618" s="29"/>
      <c r="W618" s="288" t="e">
        <f t="shared" si="353"/>
        <v>#N/A</v>
      </c>
      <c r="X618" s="288" t="e">
        <f t="shared" si="354"/>
        <v>#N/A</v>
      </c>
      <c r="Y618" s="288" t="e">
        <f t="shared" si="355"/>
        <v>#N/A</v>
      </c>
      <c r="AA618" s="138"/>
      <c r="AB618" s="138"/>
      <c r="AC618" s="138"/>
      <c r="AD618" s="138"/>
      <c r="AE618" s="138"/>
      <c r="AF618" s="138"/>
      <c r="AG618" s="138"/>
      <c r="AH618" s="138"/>
      <c r="AI618" s="138"/>
      <c r="AJ618" s="138"/>
      <c r="AK618" s="138"/>
      <c r="AL618" s="138"/>
      <c r="AM618" s="138"/>
      <c r="AN618" s="138"/>
      <c r="BR618" s="29"/>
      <c r="BS618" s="160" t="s">
        <v>15</v>
      </c>
      <c r="BT618" s="310" t="e">
        <f>SLOPE((DD615:DD663),($B$46:$B$94))</f>
        <v>#DIV/0!</v>
      </c>
      <c r="BU618" s="311" t="e">
        <f>INTERCEPT(DJ615:DJ663,DI615:DI663)</f>
        <v>#DIV/0!</v>
      </c>
      <c r="BV618" s="691" t="s">
        <v>71</v>
      </c>
      <c r="BY618" s="29"/>
      <c r="BZ618" s="160" t="s">
        <v>15</v>
      </c>
      <c r="CA618" s="310" t="e">
        <f ca="1">INDEX(LINEST((INDIRECT(DI612):INDIRECT(DJ612)),(INDIRECT(DI613):INDIRECT(DJ613))^{1,2}),1)</f>
        <v>#REF!</v>
      </c>
      <c r="CB618" s="312" t="e">
        <f ca="1">INDEX(LINEST((INDIRECT(DI612):INDIRECT(DJ612)),(INDIRECT(DI613):INDIRECT(DJ613))^{1,2}),1,2)</f>
        <v>#REF!</v>
      </c>
      <c r="CC618" s="311" t="e">
        <f ca="1">INDEX(LINEST((INDIRECT(DI612):INDIRECT(DJ612)),(INDIRECT(DI613):INDIRECT(DJ613))^{1,2}),1,3)</f>
        <v>#REF!</v>
      </c>
      <c r="CD618" s="691" t="s">
        <v>71</v>
      </c>
      <c r="CG618" s="29"/>
      <c r="CH618" s="160" t="s">
        <v>15</v>
      </c>
      <c r="CI618" s="310" t="e">
        <f ca="1">INDEX(LINEST((INDIRECT(DI612):INDIRECT(DJ612)),(INDIRECT(DI613):INDIRECT(DJ613))^{1,2,3}),1)</f>
        <v>#REF!</v>
      </c>
      <c r="CJ618" s="312" t="e">
        <f ca="1">INDEX(LINEST((INDIRECT(DI612):INDIRECT(DJ612)),(INDIRECT(DI613):INDIRECT(DJ613))^{1,2,3}),1,2)</f>
        <v>#REF!</v>
      </c>
      <c r="CK618" s="312" t="e">
        <f ca="1">INDEX(LINEST((INDIRECT(DI612):INDIRECT(DJ612)),(INDIRECT(DI613):INDIRECT(DJ613))^{1,2,3}),1,3)</f>
        <v>#REF!</v>
      </c>
      <c r="CL618" s="311" t="e">
        <f ca="1">INDEX(LINEST((INDIRECT(DI612):INDIRECT(DJ612)),(INDIRECT(DI613):INDIRECT(DJ613))^{1,2,3}),1,4)</f>
        <v>#REF!</v>
      </c>
      <c r="CM618" s="691" t="s">
        <v>71</v>
      </c>
      <c r="CP618" s="29"/>
      <c r="CQ618" s="160" t="s">
        <v>15</v>
      </c>
      <c r="CR618" s="310" t="e">
        <f ca="1">EXP(INDEX(LINEST(LN(INDIRECT(DI612):INDIRECT(DJ612)),(INDIRECT(DI613):INDIRECT(DJ613))),1,2))</f>
        <v>#REF!</v>
      </c>
      <c r="CS618" s="311" t="e">
        <f ca="1">INDEX(LINEST(LN(INDIRECT(DI612):INDIRECT(DJ612)),(INDIRECT(DI613):INDIRECT(DJ613))),1)</f>
        <v>#REF!</v>
      </c>
      <c r="CT618" s="691" t="s">
        <v>71</v>
      </c>
      <c r="CZ618" s="164" t="b">
        <f t="shared" si="356"/>
        <v>0</v>
      </c>
      <c r="DA618" s="165" t="b">
        <f t="shared" si="356"/>
        <v>0</v>
      </c>
      <c r="DB618" s="166" t="b">
        <f t="shared" si="356"/>
        <v>0</v>
      </c>
      <c r="DC618" s="164" t="str">
        <f t="shared" si="357"/>
        <v/>
      </c>
      <c r="DD618" s="166" t="str">
        <f t="shared" si="358"/>
        <v/>
      </c>
      <c r="DE618" s="164" t="str">
        <f t="shared" si="359"/>
        <v/>
      </c>
      <c r="DF618" s="166" t="str">
        <f t="shared" si="360"/>
        <v/>
      </c>
      <c r="DG618" s="164" t="str">
        <f t="shared" si="361"/>
        <v/>
      </c>
      <c r="DH618" s="166" t="str">
        <f t="shared" si="362"/>
        <v/>
      </c>
      <c r="DI618" s="164" t="str">
        <f>IFERROR(INDEX(DC$615:DC$663,_xlfn.AGGREGATE(15,6,(ROW(DC$615:DC$663)-ROW(DC$615)+1)/(DC$615:DC$663&lt;&gt;""),ROWS(DI$1:DI4))),"")</f>
        <v/>
      </c>
      <c r="DJ618" s="165" t="str">
        <f>IFERROR(INDEX(DD$615:DD$663,_xlfn.AGGREGATE(15,6,(ROW(DD$615:DD$663)-ROW(DD$615)+1)/(DD$615:DD$663&lt;&gt;""),ROWS(DJ$1:DJ4))),"")</f>
        <v/>
      </c>
      <c r="DK618" s="166" t="str">
        <f t="shared" si="363"/>
        <v/>
      </c>
      <c r="DL618" s="164" t="str">
        <f>IFERROR(INDEX(DE$615:DE$663,_xlfn.AGGREGATE(15,6,(ROW(DE$615:DE$663)-ROW(DE$615)+1)/(DE$615:DE$663&lt;&gt;""),ROWS(DL$1:DL4))),"")</f>
        <v/>
      </c>
      <c r="DM618" s="165" t="str">
        <f>IFERROR(INDEX(DF$615:DF$663,_xlfn.AGGREGATE(15,6,(ROW(DF$615:DF$663)-ROW(DF$615)+1)/(DF$615:DF$663&lt;&gt;""),ROWS(DM$1:DM4))),"")</f>
        <v/>
      </c>
      <c r="DN618" s="166" t="str">
        <f t="shared" si="364"/>
        <v/>
      </c>
      <c r="DO618" s="164" t="str">
        <f>IFERROR(INDEX(DG$615:DG$663,_xlfn.AGGREGATE(15,6,(ROW(DG$615:DG$663)-ROW(DG$615)+1)/(DG$615:DG$663&lt;&gt;""),ROWS(DO$1:DO4))),"")</f>
        <v/>
      </c>
      <c r="DP618" s="165" t="str">
        <f>IFERROR(INDEX(DH$615:DH$663,_xlfn.AGGREGATE(15,6,(ROW(DH$615:DH$663)-ROW(DH$615)+1)/(DH$615:DH$663&lt;&gt;""),ROWS(DP$1:DP4))),"")</f>
        <v/>
      </c>
      <c r="DQ618" s="166" t="str">
        <f t="shared" si="365"/>
        <v/>
      </c>
      <c r="DV618" s="145">
        <v>2018</v>
      </c>
      <c r="DW618" s="235" t="e">
        <f t="shared" ca="1" si="349"/>
        <v>#REF!</v>
      </c>
      <c r="EA618" s="33" t="s">
        <v>85</v>
      </c>
      <c r="EB618" s="33" t="s">
        <v>84</v>
      </c>
      <c r="EC618" s="33" t="s">
        <v>82</v>
      </c>
      <c r="ED618" s="33" t="s">
        <v>83</v>
      </c>
      <c r="EE618" s="33"/>
    </row>
    <row r="619" spans="1:135" ht="13.8" x14ac:dyDescent="0.45">
      <c r="A619" s="148" t="s">
        <v>88</v>
      </c>
      <c r="B619" s="128">
        <v>2016</v>
      </c>
      <c r="C619" s="977"/>
      <c r="D619" s="977"/>
      <c r="E619" s="308"/>
      <c r="F619" s="1095"/>
      <c r="G619" s="307"/>
      <c r="H619" s="308"/>
      <c r="I619" s="1152"/>
      <c r="J619" s="307"/>
      <c r="K619" s="308"/>
      <c r="L619" s="309"/>
      <c r="M619" s="308"/>
      <c r="N619" s="29" t="s">
        <v>119</v>
      </c>
      <c r="O619" s="120"/>
      <c r="P619" s="120"/>
      <c r="Q619" s="120"/>
      <c r="R619" s="29">
        <v>2</v>
      </c>
      <c r="S619" s="288" t="str">
        <f t="shared" si="350"/>
        <v/>
      </c>
      <c r="T619" s="288" t="str">
        <f t="shared" si="351"/>
        <v/>
      </c>
      <c r="U619" s="288" t="str">
        <f t="shared" si="352"/>
        <v/>
      </c>
      <c r="V619" s="29"/>
      <c r="W619" s="288" t="e">
        <f t="shared" si="353"/>
        <v>#N/A</v>
      </c>
      <c r="X619" s="288" t="e">
        <f t="shared" si="354"/>
        <v>#N/A</v>
      </c>
      <c r="Y619" s="288" t="e">
        <f t="shared" si="355"/>
        <v>#N/A</v>
      </c>
      <c r="AA619" s="138"/>
      <c r="AB619" s="138"/>
      <c r="AC619" s="138"/>
      <c r="AD619" s="138"/>
      <c r="AE619" s="138"/>
      <c r="AF619" s="138"/>
      <c r="AG619" s="138"/>
      <c r="AH619" s="138"/>
      <c r="AI619" s="138"/>
      <c r="AJ619" s="138"/>
      <c r="AK619" s="138"/>
      <c r="AL619" s="138"/>
      <c r="AM619" s="138"/>
      <c r="AN619" s="138"/>
      <c r="BR619" s="180">
        <v>2014</v>
      </c>
      <c r="BS619" s="22">
        <v>0</v>
      </c>
      <c r="BT619" s="181" t="e">
        <f t="shared" ref="BT619:BT665" si="366">IF($BS$615="High",BS619*$BT$616,IF($BS$615="Medium",$BT$617*BS619,IF($BS$615="Low",$BT$618*BS619)))</f>
        <v>#DIV/0!</v>
      </c>
      <c r="BU619" s="182" t="e">
        <f t="shared" ref="BU619:BU665" si="367">IF($BS$615="High",$BU$616,IF($BS$615="Medium",$BU$617,IF($BS$615="Low",BU618)))</f>
        <v>#DIV/0!</v>
      </c>
      <c r="BV619" s="242" t="e">
        <f t="shared" ref="BV619:BV665" si="368">BT619+BU619</f>
        <v>#DIV/0!</v>
      </c>
      <c r="BY619" s="180">
        <v>2014</v>
      </c>
      <c r="BZ619" s="22">
        <v>0</v>
      </c>
      <c r="CA619" s="181" t="e">
        <f t="shared" ref="CA619:CA665" ca="1" si="369">IF($BZ$615="High",BZ619^2*$CA$616,IF($BZ$615="Medium",BZ619^2*$CA$617,IF($BZ$615="Low",BZ619^2*$CA$618)))</f>
        <v>#REF!</v>
      </c>
      <c r="CB619" s="181" t="e">
        <f t="shared" ref="CB619:CB665" ca="1" si="370">IF($BZ$615="High",BZ619*$CB$616,IF($BZ$615="Medium",BZ619*$CB$617,IF($BZ$615="Low",BZ619*$CB$618)))</f>
        <v>#REF!</v>
      </c>
      <c r="CC619" s="182" t="e">
        <f ca="1">IF($BZ$615="High",$CC$616,IF($BZ$615="Medium",$CC$617,IF($BZ$615="Low",$CC$618)))</f>
        <v>#REF!</v>
      </c>
      <c r="CD619" s="242" t="e">
        <f t="shared" ref="CD619:CD665" ca="1" si="371">CA619+CB619+CC619</f>
        <v>#REF!</v>
      </c>
      <c r="CG619" s="180">
        <v>2014</v>
      </c>
      <c r="CH619" s="22">
        <v>0</v>
      </c>
      <c r="CI619" s="181" t="e">
        <f t="shared" ref="CI619:CI665" ca="1" si="372">IF($CH$615="High",CH619^3*$CI$616,IF($CH$615="Medium",CH619^3*$CI$617,IF($CH$615="Low",CH619^3*$CI$618)))</f>
        <v>#REF!</v>
      </c>
      <c r="CJ619" s="181" t="e">
        <f t="shared" ref="CJ619:CJ665" ca="1" si="373">IF($CH$615="High",CH619^2*$CJ$616,IF($CH$615="Medium",CH619^2*$CJ$617,IF($CH$615="Low",CH619^2*$CJ$618)))</f>
        <v>#REF!</v>
      </c>
      <c r="CK619" s="181" t="e">
        <f t="shared" ref="CK619:CK665" ca="1" si="374">IF($CH$615="High",CH619*$CK$616,IF($CH$615="Medium",CH619*$CK$617,IF($CH$615="Low",CH619*$CK$618)))</f>
        <v>#REF!</v>
      </c>
      <c r="CL619" s="182" t="e">
        <f t="shared" ref="CL619:CL665" ca="1" si="375">IF($CH$615="High",$CL$616,IF($CH$615="Medium",$CL$617,IF($CH$615="Low",$CL$618)))</f>
        <v>#REF!</v>
      </c>
      <c r="CM619" s="242" t="e">
        <f t="shared" ref="CM619:CM665" ca="1" si="376">CI619+CJ619+CK619+CL619</f>
        <v>#REF!</v>
      </c>
      <c r="CP619" s="180">
        <v>2014</v>
      </c>
      <c r="CQ619" s="22">
        <v>0</v>
      </c>
      <c r="CR619" s="181" t="e">
        <f t="shared" ref="CR619:CR665" ca="1" si="377">IF($CQ$615="High",$CR$616,IF($CQ$615="Medium",$CR$617,IF($CQ$615="Low",$CR$618)))</f>
        <v>#REF!</v>
      </c>
      <c r="CS619" s="182" t="e">
        <f t="shared" ref="CS619:CS665" ca="1" si="378">IF($CQ$615="High",EXP(1)^($CS$616*CQ619),IF($CQ$615="Medium",EXP(1)^($CS$617*CQ619),IF($CQ$615="Low",EXP(1)^($CS$618*CQ619))))</f>
        <v>#REF!</v>
      </c>
      <c r="CT619" s="242" t="e">
        <f t="shared" ref="CT619:CT665" ca="1" si="379">(CR619*CS619)</f>
        <v>#REF!</v>
      </c>
      <c r="CZ619" s="164" t="b">
        <f t="shared" si="356"/>
        <v>0</v>
      </c>
      <c r="DA619" s="165" t="b">
        <f t="shared" si="356"/>
        <v>0</v>
      </c>
      <c r="DB619" s="166" t="b">
        <f t="shared" si="356"/>
        <v>0</v>
      </c>
      <c r="DC619" s="164" t="str">
        <f t="shared" si="357"/>
        <v/>
      </c>
      <c r="DD619" s="166" t="str">
        <f t="shared" si="358"/>
        <v/>
      </c>
      <c r="DE619" s="164" t="str">
        <f t="shared" si="359"/>
        <v/>
      </c>
      <c r="DF619" s="166" t="str">
        <f t="shared" si="360"/>
        <v/>
      </c>
      <c r="DG619" s="164" t="str">
        <f t="shared" si="361"/>
        <v/>
      </c>
      <c r="DH619" s="166" t="str">
        <f t="shared" si="362"/>
        <v/>
      </c>
      <c r="DI619" s="164" t="str">
        <f>IFERROR(INDEX(DC$615:DC$663,_xlfn.AGGREGATE(15,6,(ROW(DC$615:DC$663)-ROW(DC$615)+1)/(DC$615:DC$663&lt;&gt;""),ROWS(DI$1:DI5))),"")</f>
        <v/>
      </c>
      <c r="DJ619" s="165" t="str">
        <f>IFERROR(INDEX(DD$615:DD$663,_xlfn.AGGREGATE(15,6,(ROW(DD$615:DD$663)-ROW(DD$615)+1)/(DD$615:DD$663&lt;&gt;""),ROWS(DJ$1:DJ5))),"")</f>
        <v/>
      </c>
      <c r="DK619" s="166" t="str">
        <f t="shared" si="363"/>
        <v/>
      </c>
      <c r="DL619" s="164" t="str">
        <f>IFERROR(INDEX(DE$615:DE$663,_xlfn.AGGREGATE(15,6,(ROW(DE$615:DE$663)-ROW(DE$615)+1)/(DE$615:DE$663&lt;&gt;""),ROWS(DL$1:DL5))),"")</f>
        <v/>
      </c>
      <c r="DM619" s="165" t="str">
        <f>IFERROR(INDEX(DF$615:DF$663,_xlfn.AGGREGATE(15,6,(ROW(DF$615:DF$663)-ROW(DF$615)+1)/(DF$615:DF$663&lt;&gt;""),ROWS(DM$1:DM5))),"")</f>
        <v/>
      </c>
      <c r="DN619" s="166" t="str">
        <f t="shared" si="364"/>
        <v/>
      </c>
      <c r="DO619" s="164" t="str">
        <f>IFERROR(INDEX(DG$615:DG$663,_xlfn.AGGREGATE(15,6,(ROW(DG$615:DG$663)-ROW(DG$615)+1)/(DG$615:DG$663&lt;&gt;""),ROWS(DO$1:DO5))),"")</f>
        <v/>
      </c>
      <c r="DP619" s="165" t="str">
        <f>IFERROR(INDEX(DH$615:DH$663,_xlfn.AGGREGATE(15,6,(ROW(DH$615:DH$663)-ROW(DH$615)+1)/(DH$615:DH$663&lt;&gt;""),ROWS(DP$1:DP5))),"")</f>
        <v/>
      </c>
      <c r="DQ619" s="166" t="str">
        <f t="shared" si="365"/>
        <v/>
      </c>
      <c r="DV619" s="145">
        <v>2019</v>
      </c>
      <c r="DW619" s="235" t="e">
        <f t="shared" ca="1" si="349"/>
        <v>#REF!</v>
      </c>
      <c r="DZ619" s="135" t="s">
        <v>92</v>
      </c>
      <c r="EA619" s="33" t="e">
        <f ca="1">IF($EA$613="Linear",0,IF($EA$613="2nd Poly",0,IF($EA$613="3rd Poly",CI616,IF($EA$613="Exp",0))))</f>
        <v>#REF!</v>
      </c>
      <c r="EB619" s="33" t="e">
        <f ca="1">IF($EA$613="Linear",0,IF($EA$613="2nd Poly",CA616,IF($EA$613="3rd Poly",CJ616,IF($EA$613="Exp",0))))</f>
        <v>#REF!</v>
      </c>
      <c r="EC619" s="33" t="e">
        <f t="shared" ref="EC619:ED621" ca="1" si="380">IF($EA$613="Linear",BT616,IF($EA$613="2nd Poly",CB616,IF($EA$613="3rd Poly",CK616,IF($EA$613="Exp",0))))</f>
        <v>#REF!</v>
      </c>
      <c r="ED619" s="33" t="e">
        <f t="shared" ca="1" si="380"/>
        <v>#REF!</v>
      </c>
      <c r="EE619" s="33" t="str">
        <f>IF($EA$613="Linear","High",IF($EA$613="2nd Poly","High",IF($EA$613="3rd Poly","High","N/A")))</f>
        <v>High</v>
      </c>
    </row>
    <row r="620" spans="1:135" ht="13.8" x14ac:dyDescent="0.45">
      <c r="A620" s="262" t="s">
        <v>90</v>
      </c>
      <c r="B620" s="128">
        <v>2017</v>
      </c>
      <c r="C620" s="977"/>
      <c r="D620" s="977"/>
      <c r="E620" s="169"/>
      <c r="F620" s="1095"/>
      <c r="G620" s="168"/>
      <c r="H620" s="169"/>
      <c r="I620" s="1152"/>
      <c r="J620" s="168"/>
      <c r="K620" s="169"/>
      <c r="L620" s="170"/>
      <c r="M620" s="169"/>
      <c r="N620" s="29" t="s">
        <v>119</v>
      </c>
      <c r="O620" s="120"/>
      <c r="P620" s="120"/>
      <c r="Q620" s="120"/>
      <c r="R620" s="29">
        <v>3</v>
      </c>
      <c r="S620" s="288" t="str">
        <f t="shared" si="350"/>
        <v/>
      </c>
      <c r="T620" s="288" t="str">
        <f t="shared" si="351"/>
        <v/>
      </c>
      <c r="U620" s="288" t="str">
        <f t="shared" si="352"/>
        <v/>
      </c>
      <c r="V620" s="29"/>
      <c r="W620" s="288" t="e">
        <f t="shared" si="353"/>
        <v>#N/A</v>
      </c>
      <c r="X620" s="288" t="e">
        <f t="shared" si="354"/>
        <v>#N/A</v>
      </c>
      <c r="Y620" s="288" t="e">
        <f t="shared" si="355"/>
        <v>#N/A</v>
      </c>
      <c r="AA620" s="138"/>
      <c r="AB620" s="138"/>
      <c r="AC620" s="138"/>
      <c r="AD620" s="138"/>
      <c r="AE620" s="138"/>
      <c r="AF620" s="138"/>
      <c r="AG620" s="138"/>
      <c r="AH620" s="138"/>
      <c r="AI620" s="138"/>
      <c r="AJ620" s="138"/>
      <c r="AK620" s="138"/>
      <c r="AL620" s="138"/>
      <c r="AM620" s="138"/>
      <c r="AN620" s="138"/>
      <c r="BR620" s="180">
        <v>2015</v>
      </c>
      <c r="BS620" s="22">
        <v>1</v>
      </c>
      <c r="BT620" s="289" t="e">
        <f t="shared" si="366"/>
        <v>#DIV/0!</v>
      </c>
      <c r="BU620" s="290" t="e">
        <f t="shared" si="367"/>
        <v>#DIV/0!</v>
      </c>
      <c r="BV620" s="299" t="e">
        <f t="shared" si="368"/>
        <v>#DIV/0!</v>
      </c>
      <c r="BY620" s="180">
        <v>2015</v>
      </c>
      <c r="BZ620" s="22">
        <v>1</v>
      </c>
      <c r="CA620" s="289" t="e">
        <f t="shared" ca="1" si="369"/>
        <v>#REF!</v>
      </c>
      <c r="CB620" s="289" t="e">
        <f t="shared" ca="1" si="370"/>
        <v>#REF!</v>
      </c>
      <c r="CC620" s="290" t="e">
        <f t="shared" ref="CC620:CC665" ca="1" si="381">CC619</f>
        <v>#REF!</v>
      </c>
      <c r="CD620" s="299" t="e">
        <f t="shared" ca="1" si="371"/>
        <v>#REF!</v>
      </c>
      <c r="CG620" s="180">
        <v>2015</v>
      </c>
      <c r="CH620" s="22">
        <v>1</v>
      </c>
      <c r="CI620" s="289" t="e">
        <f t="shared" ca="1" si="372"/>
        <v>#REF!</v>
      </c>
      <c r="CJ620" s="289" t="e">
        <f t="shared" ca="1" si="373"/>
        <v>#REF!</v>
      </c>
      <c r="CK620" s="289" t="e">
        <f t="shared" ca="1" si="374"/>
        <v>#REF!</v>
      </c>
      <c r="CL620" s="290" t="e">
        <f t="shared" ca="1" si="375"/>
        <v>#REF!</v>
      </c>
      <c r="CM620" s="299" t="e">
        <f t="shared" ca="1" si="376"/>
        <v>#REF!</v>
      </c>
      <c r="CP620" s="180">
        <v>2015</v>
      </c>
      <c r="CQ620" s="22">
        <v>1</v>
      </c>
      <c r="CR620" s="289" t="e">
        <f t="shared" ca="1" si="377"/>
        <v>#REF!</v>
      </c>
      <c r="CS620" s="290" t="e">
        <f t="shared" ca="1" si="378"/>
        <v>#REF!</v>
      </c>
      <c r="CT620" s="299" t="e">
        <f t="shared" ca="1" si="379"/>
        <v>#REF!</v>
      </c>
      <c r="CZ620" s="164" t="b">
        <f t="shared" si="356"/>
        <v>0</v>
      </c>
      <c r="DA620" s="165" t="b">
        <f t="shared" si="356"/>
        <v>0</v>
      </c>
      <c r="DB620" s="166" t="b">
        <f t="shared" si="356"/>
        <v>0</v>
      </c>
      <c r="DC620" s="164" t="str">
        <f t="shared" si="357"/>
        <v/>
      </c>
      <c r="DD620" s="166" t="str">
        <f t="shared" si="358"/>
        <v/>
      </c>
      <c r="DE620" s="164" t="str">
        <f t="shared" si="359"/>
        <v/>
      </c>
      <c r="DF620" s="166" t="str">
        <f t="shared" si="360"/>
        <v/>
      </c>
      <c r="DG620" s="164" t="str">
        <f t="shared" si="361"/>
        <v/>
      </c>
      <c r="DH620" s="166" t="str">
        <f t="shared" si="362"/>
        <v/>
      </c>
      <c r="DI620" s="164" t="str">
        <f>IFERROR(INDEX(DC$615:DC$663,_xlfn.AGGREGATE(15,6,(ROW(DC$615:DC$663)-ROW(DC$615)+1)/(DC$615:DC$663&lt;&gt;""),ROWS(DI$1:DI6))),"")</f>
        <v/>
      </c>
      <c r="DJ620" s="165" t="str">
        <f>IFERROR(INDEX(DD$615:DD$663,_xlfn.AGGREGATE(15,6,(ROW(DD$615:DD$663)-ROW(DD$615)+1)/(DD$615:DD$663&lt;&gt;""),ROWS(DJ$1:DJ6))),"")</f>
        <v/>
      </c>
      <c r="DK620" s="166" t="str">
        <f t="shared" si="363"/>
        <v/>
      </c>
      <c r="DL620" s="164" t="str">
        <f>IFERROR(INDEX(DE$615:DE$663,_xlfn.AGGREGATE(15,6,(ROW(DE$615:DE$663)-ROW(DE$615)+1)/(DE$615:DE$663&lt;&gt;""),ROWS(DL$1:DL6))),"")</f>
        <v/>
      </c>
      <c r="DM620" s="165" t="str">
        <f>IFERROR(INDEX(DF$615:DF$663,_xlfn.AGGREGATE(15,6,(ROW(DF$615:DF$663)-ROW(DF$615)+1)/(DF$615:DF$663&lt;&gt;""),ROWS(DM$1:DM6))),"")</f>
        <v/>
      </c>
      <c r="DN620" s="166" t="str">
        <f t="shared" si="364"/>
        <v/>
      </c>
      <c r="DO620" s="164" t="str">
        <f>IFERROR(INDEX(DG$615:DG$663,_xlfn.AGGREGATE(15,6,(ROW(DG$615:DG$663)-ROW(DG$615)+1)/(DG$615:DG$663&lt;&gt;""),ROWS(DO$1:DO6))),"")</f>
        <v/>
      </c>
      <c r="DP620" s="165" t="str">
        <f>IFERROR(INDEX(DH$615:DH$663,_xlfn.AGGREGATE(15,6,(ROW(DH$615:DH$663)-ROW(DH$615)+1)/(DH$615:DH$663&lt;&gt;""),ROWS(DP$1:DP6))),"")</f>
        <v/>
      </c>
      <c r="DQ620" s="166" t="str">
        <f t="shared" si="365"/>
        <v/>
      </c>
      <c r="DV620" s="145">
        <v>2020</v>
      </c>
      <c r="DW620" s="235" t="e">
        <f t="shared" ca="1" si="349"/>
        <v>#REF!</v>
      </c>
      <c r="DZ620" s="135" t="s">
        <v>92</v>
      </c>
      <c r="EA620" s="33" t="e">
        <f ca="1">IF($EA$613="Linear",0,IF($EA$613="2nd Poly",0,IF($EA$613="3rd Poly",CI617,IF($EA$613="Exp",0))))</f>
        <v>#REF!</v>
      </c>
      <c r="EB620" s="33" t="e">
        <f ca="1">IF($EA$613="Linear",0,IF($EA$613="2nd Poly",CA617,IF($EA$613="3rd Poly",CJ617,IF($EA$613="Exp",0))))</f>
        <v>#REF!</v>
      </c>
      <c r="EC620" s="33" t="e">
        <f t="shared" ca="1" si="380"/>
        <v>#REF!</v>
      </c>
      <c r="ED620" s="33" t="e">
        <f t="shared" ca="1" si="380"/>
        <v>#REF!</v>
      </c>
      <c r="EE620" s="33" t="str">
        <f>IF($EA$613="Linear","Medium",IF($EA$613="2nd Poly","Medium",IF($EA$613="3rd Poly","Medium","N/A")))</f>
        <v>Medium</v>
      </c>
    </row>
    <row r="621" spans="1:135" ht="13.8" x14ac:dyDescent="0.45">
      <c r="A621" s="948" t="s">
        <v>116</v>
      </c>
      <c r="B621" s="128">
        <v>2018</v>
      </c>
      <c r="C621" s="912"/>
      <c r="D621" s="960"/>
      <c r="E621" s="308"/>
      <c r="F621" s="958"/>
      <c r="G621" s="307"/>
      <c r="H621" s="308"/>
      <c r="I621" s="1110"/>
      <c r="J621" s="307"/>
      <c r="K621" s="308"/>
      <c r="L621" s="309"/>
      <c r="M621" s="308"/>
      <c r="N621" s="29" t="s">
        <v>119</v>
      </c>
      <c r="O621" s="120"/>
      <c r="P621" s="120"/>
      <c r="Q621" s="120"/>
      <c r="R621" s="29">
        <v>4</v>
      </c>
      <c r="S621" s="288" t="str">
        <f t="shared" si="350"/>
        <v/>
      </c>
      <c r="T621" s="288" t="str">
        <f t="shared" si="351"/>
        <v/>
      </c>
      <c r="U621" s="288" t="str">
        <f t="shared" si="352"/>
        <v/>
      </c>
      <c r="V621" s="20"/>
      <c r="W621" s="288" t="e">
        <f t="shared" si="353"/>
        <v>#N/A</v>
      </c>
      <c r="X621" s="288" t="e">
        <f t="shared" si="354"/>
        <v>#N/A</v>
      </c>
      <c r="Y621" s="288" t="e">
        <f t="shared" si="355"/>
        <v>#N/A</v>
      </c>
      <c r="AA621" s="138"/>
      <c r="AB621" s="138"/>
      <c r="AC621" s="138"/>
      <c r="AD621" s="138"/>
      <c r="AE621" s="138"/>
      <c r="AF621" s="138"/>
      <c r="AG621" s="138"/>
      <c r="AH621" s="138"/>
      <c r="AI621" s="138"/>
      <c r="AJ621" s="138"/>
      <c r="AK621" s="138"/>
      <c r="AL621" s="138"/>
      <c r="AM621" s="138"/>
      <c r="AN621" s="138"/>
      <c r="BR621" s="180">
        <v>2016</v>
      </c>
      <c r="BS621" s="22">
        <v>2</v>
      </c>
      <c r="BT621" s="289" t="e">
        <f t="shared" si="366"/>
        <v>#DIV/0!</v>
      </c>
      <c r="BU621" s="290" t="e">
        <f t="shared" si="367"/>
        <v>#DIV/0!</v>
      </c>
      <c r="BV621" s="299" t="e">
        <f t="shared" si="368"/>
        <v>#DIV/0!</v>
      </c>
      <c r="BY621" s="180">
        <v>2016</v>
      </c>
      <c r="BZ621" s="22">
        <v>2</v>
      </c>
      <c r="CA621" s="289" t="e">
        <f t="shared" ca="1" si="369"/>
        <v>#REF!</v>
      </c>
      <c r="CB621" s="289" t="e">
        <f t="shared" ca="1" si="370"/>
        <v>#REF!</v>
      </c>
      <c r="CC621" s="290" t="e">
        <f t="shared" ca="1" si="381"/>
        <v>#REF!</v>
      </c>
      <c r="CD621" s="299" t="e">
        <f t="shared" ca="1" si="371"/>
        <v>#REF!</v>
      </c>
      <c r="CG621" s="180">
        <v>2016</v>
      </c>
      <c r="CH621" s="22">
        <v>2</v>
      </c>
      <c r="CI621" s="289" t="e">
        <f t="shared" ca="1" si="372"/>
        <v>#REF!</v>
      </c>
      <c r="CJ621" s="289" t="e">
        <f t="shared" ca="1" si="373"/>
        <v>#REF!</v>
      </c>
      <c r="CK621" s="289" t="e">
        <f t="shared" ca="1" si="374"/>
        <v>#REF!</v>
      </c>
      <c r="CL621" s="290" t="e">
        <f t="shared" ca="1" si="375"/>
        <v>#REF!</v>
      </c>
      <c r="CM621" s="299" t="e">
        <f t="shared" ca="1" si="376"/>
        <v>#REF!</v>
      </c>
      <c r="CP621" s="180">
        <v>2016</v>
      </c>
      <c r="CQ621" s="22">
        <v>2</v>
      </c>
      <c r="CR621" s="289" t="e">
        <f t="shared" ca="1" si="377"/>
        <v>#REF!</v>
      </c>
      <c r="CS621" s="290" t="e">
        <f t="shared" ca="1" si="378"/>
        <v>#REF!</v>
      </c>
      <c r="CT621" s="299" t="e">
        <f t="shared" ca="1" si="379"/>
        <v>#REF!</v>
      </c>
      <c r="CZ621" s="164" t="b">
        <f t="shared" si="356"/>
        <v>0</v>
      </c>
      <c r="DA621" s="165" t="b">
        <f t="shared" si="356"/>
        <v>0</v>
      </c>
      <c r="DB621" s="166" t="b">
        <f t="shared" si="356"/>
        <v>0</v>
      </c>
      <c r="DC621" s="164" t="str">
        <f t="shared" si="357"/>
        <v/>
      </c>
      <c r="DD621" s="166" t="str">
        <f t="shared" si="358"/>
        <v/>
      </c>
      <c r="DE621" s="164" t="str">
        <f t="shared" si="359"/>
        <v/>
      </c>
      <c r="DF621" s="166" t="str">
        <f t="shared" si="360"/>
        <v/>
      </c>
      <c r="DG621" s="164" t="str">
        <f t="shared" si="361"/>
        <v/>
      </c>
      <c r="DH621" s="166" t="str">
        <f t="shared" si="362"/>
        <v/>
      </c>
      <c r="DI621" s="164" t="str">
        <f>IFERROR(INDEX(DC$615:DC$663,_xlfn.AGGREGATE(15,6,(ROW(DC$615:DC$663)-ROW(DC$615)+1)/(DC$615:DC$663&lt;&gt;""),ROWS(DI$1:DI7))),"")</f>
        <v/>
      </c>
      <c r="DJ621" s="165" t="str">
        <f>IFERROR(INDEX(DD$615:DD$663,_xlfn.AGGREGATE(15,6,(ROW(DD$615:DD$663)-ROW(DD$615)+1)/(DD$615:DD$663&lt;&gt;""),ROWS(DJ$1:DJ7))),"")</f>
        <v/>
      </c>
      <c r="DK621" s="166" t="str">
        <f t="shared" si="363"/>
        <v/>
      </c>
      <c r="DL621" s="164" t="str">
        <f>IFERROR(INDEX(DE$615:DE$663,_xlfn.AGGREGATE(15,6,(ROW(DE$615:DE$663)-ROW(DE$615)+1)/(DE$615:DE$663&lt;&gt;""),ROWS(DL$1:DL7))),"")</f>
        <v/>
      </c>
      <c r="DM621" s="165" t="str">
        <f>IFERROR(INDEX(DF$615:DF$663,_xlfn.AGGREGATE(15,6,(ROW(DF$615:DF$663)-ROW(DF$615)+1)/(DF$615:DF$663&lt;&gt;""),ROWS(DM$1:DM7))),"")</f>
        <v/>
      </c>
      <c r="DN621" s="166" t="str">
        <f t="shared" si="364"/>
        <v/>
      </c>
      <c r="DO621" s="164" t="str">
        <f>IFERROR(INDEX(DG$615:DG$663,_xlfn.AGGREGATE(15,6,(ROW(DG$615:DG$663)-ROW(DG$615)+1)/(DG$615:DG$663&lt;&gt;""),ROWS(DO$1:DO7))),"")</f>
        <v/>
      </c>
      <c r="DP621" s="165" t="str">
        <f>IFERROR(INDEX(DH$615:DH$663,_xlfn.AGGREGATE(15,6,(ROW(DH$615:DH$663)-ROW(DH$615)+1)/(DH$615:DH$663&lt;&gt;""),ROWS(DP$1:DP7))),"")</f>
        <v/>
      </c>
      <c r="DQ621" s="166" t="str">
        <f t="shared" si="365"/>
        <v/>
      </c>
      <c r="DV621" s="145">
        <v>2021</v>
      </c>
      <c r="DW621" s="235" t="e">
        <f t="shared" ca="1" si="349"/>
        <v>#REF!</v>
      </c>
      <c r="DZ621" s="135" t="s">
        <v>92</v>
      </c>
      <c r="EA621" s="33" t="e">
        <f ca="1">IF($EA$613="Linear",0,IF($EA$613="2nd Poly",0,IF($EA$613="3rd Poly",CI618,IF($EA$613="Exp",0))))</f>
        <v>#REF!</v>
      </c>
      <c r="EB621" s="33" t="e">
        <f ca="1">IF($EA$613="Linear",0,IF($EA$613="2nd Poly",CA618,IF($EA$613="3rd Poly",CJ618,IF($EA$613="Exp",0))))</f>
        <v>#REF!</v>
      </c>
      <c r="EC621" s="33" t="e">
        <f t="shared" ca="1" si="380"/>
        <v>#REF!</v>
      </c>
      <c r="ED621" s="33" t="e">
        <f t="shared" ca="1" si="380"/>
        <v>#REF!</v>
      </c>
      <c r="EE621" s="33" t="str">
        <f>IF($EA$613="Linear","Low",IF($EA$613="2nd Poly","Low",IF($EA$613="3rd Poly","Low","N/A")))</f>
        <v>Low</v>
      </c>
    </row>
    <row r="622" spans="1:135" ht="13.8" x14ac:dyDescent="0.45">
      <c r="A622" s="148" t="s">
        <v>88</v>
      </c>
      <c r="B622" s="128">
        <v>2019</v>
      </c>
      <c r="C622" s="912"/>
      <c r="D622" s="960"/>
      <c r="E622" s="308"/>
      <c r="F622" s="958"/>
      <c r="G622" s="307"/>
      <c r="H622" s="308"/>
      <c r="I622" s="1110"/>
      <c r="J622" s="307"/>
      <c r="K622" s="308"/>
      <c r="L622" s="309"/>
      <c r="M622" s="308"/>
      <c r="N622" s="29" t="s">
        <v>119</v>
      </c>
      <c r="O622" s="120"/>
      <c r="P622" s="120"/>
      <c r="Q622" s="120"/>
      <c r="R622" s="29">
        <v>5</v>
      </c>
      <c r="S622" s="288" t="str">
        <f t="shared" si="350"/>
        <v/>
      </c>
      <c r="T622" s="288" t="str">
        <f t="shared" si="351"/>
        <v/>
      </c>
      <c r="U622" s="288" t="str">
        <f t="shared" si="352"/>
        <v/>
      </c>
      <c r="V622" s="20"/>
      <c r="W622" s="288" t="e">
        <f t="shared" si="353"/>
        <v>#N/A</v>
      </c>
      <c r="X622" s="288" t="e">
        <f t="shared" si="354"/>
        <v>#N/A</v>
      </c>
      <c r="Y622" s="288" t="e">
        <f t="shared" si="355"/>
        <v>#N/A</v>
      </c>
      <c r="AA622" s="138"/>
      <c r="AB622" s="138"/>
      <c r="AC622" s="138"/>
      <c r="AD622" s="138"/>
      <c r="AE622" s="138"/>
      <c r="AF622" s="138"/>
      <c r="AG622" s="138"/>
      <c r="AH622" s="138"/>
      <c r="AI622" s="138"/>
      <c r="AJ622" s="138"/>
      <c r="AK622" s="138"/>
      <c r="AL622" s="138"/>
      <c r="AM622" s="138"/>
      <c r="AN622" s="138"/>
      <c r="BR622" s="180">
        <v>2017</v>
      </c>
      <c r="BS622" s="22">
        <v>3</v>
      </c>
      <c r="BT622" s="289" t="e">
        <f t="shared" si="366"/>
        <v>#DIV/0!</v>
      </c>
      <c r="BU622" s="290" t="e">
        <f t="shared" si="367"/>
        <v>#DIV/0!</v>
      </c>
      <c r="BV622" s="299" t="e">
        <f t="shared" si="368"/>
        <v>#DIV/0!</v>
      </c>
      <c r="BY622" s="180">
        <v>2017</v>
      </c>
      <c r="BZ622" s="22">
        <v>3</v>
      </c>
      <c r="CA622" s="289" t="e">
        <f t="shared" ca="1" si="369"/>
        <v>#REF!</v>
      </c>
      <c r="CB622" s="289" t="e">
        <f t="shared" ca="1" si="370"/>
        <v>#REF!</v>
      </c>
      <c r="CC622" s="290" t="e">
        <f t="shared" ca="1" si="381"/>
        <v>#REF!</v>
      </c>
      <c r="CD622" s="299" t="e">
        <f t="shared" ca="1" si="371"/>
        <v>#REF!</v>
      </c>
      <c r="CG622" s="180">
        <v>2017</v>
      </c>
      <c r="CH622" s="22">
        <v>3</v>
      </c>
      <c r="CI622" s="289" t="e">
        <f t="shared" ca="1" si="372"/>
        <v>#REF!</v>
      </c>
      <c r="CJ622" s="289" t="e">
        <f t="shared" ca="1" si="373"/>
        <v>#REF!</v>
      </c>
      <c r="CK622" s="289" t="e">
        <f t="shared" ca="1" si="374"/>
        <v>#REF!</v>
      </c>
      <c r="CL622" s="290" t="e">
        <f t="shared" ca="1" si="375"/>
        <v>#REF!</v>
      </c>
      <c r="CM622" s="299" t="e">
        <f t="shared" ca="1" si="376"/>
        <v>#REF!</v>
      </c>
      <c r="CP622" s="180">
        <v>2017</v>
      </c>
      <c r="CQ622" s="22">
        <v>3</v>
      </c>
      <c r="CR622" s="289" t="e">
        <f t="shared" ca="1" si="377"/>
        <v>#REF!</v>
      </c>
      <c r="CS622" s="290" t="e">
        <f t="shared" ca="1" si="378"/>
        <v>#REF!</v>
      </c>
      <c r="CT622" s="299" t="e">
        <f t="shared" ca="1" si="379"/>
        <v>#REF!</v>
      </c>
      <c r="CZ622" s="164" t="b">
        <f t="shared" si="356"/>
        <v>0</v>
      </c>
      <c r="DA622" s="165" t="b">
        <f t="shared" si="356"/>
        <v>0</v>
      </c>
      <c r="DB622" s="166" t="b">
        <f t="shared" si="356"/>
        <v>0</v>
      </c>
      <c r="DC622" s="164" t="str">
        <f t="shared" si="357"/>
        <v/>
      </c>
      <c r="DD622" s="166" t="str">
        <f t="shared" si="358"/>
        <v/>
      </c>
      <c r="DE622" s="164" t="str">
        <f t="shared" si="359"/>
        <v/>
      </c>
      <c r="DF622" s="166" t="str">
        <f t="shared" si="360"/>
        <v/>
      </c>
      <c r="DG622" s="164" t="str">
        <f t="shared" si="361"/>
        <v/>
      </c>
      <c r="DH622" s="166" t="str">
        <f t="shared" si="362"/>
        <v/>
      </c>
      <c r="DI622" s="164" t="str">
        <f>IFERROR(INDEX(DC$615:DC$663,_xlfn.AGGREGATE(15,6,(ROW(DC$615:DC$663)-ROW(DC$615)+1)/(DC$615:DC$663&lt;&gt;""),ROWS(DI$1:DI8))),"")</f>
        <v/>
      </c>
      <c r="DJ622" s="165" t="str">
        <f>IFERROR(INDEX(DD$615:DD$663,_xlfn.AGGREGATE(15,6,(ROW(DD$615:DD$663)-ROW(DD$615)+1)/(DD$615:DD$663&lt;&gt;""),ROWS(DJ$1:DJ8))),"")</f>
        <v/>
      </c>
      <c r="DK622" s="166" t="str">
        <f t="shared" si="363"/>
        <v/>
      </c>
      <c r="DL622" s="164" t="str">
        <f>IFERROR(INDEX(DE$615:DE$663,_xlfn.AGGREGATE(15,6,(ROW(DE$615:DE$663)-ROW(DE$615)+1)/(DE$615:DE$663&lt;&gt;""),ROWS(DL$1:DL8))),"")</f>
        <v/>
      </c>
      <c r="DM622" s="165" t="str">
        <f>IFERROR(INDEX(DF$615:DF$663,_xlfn.AGGREGATE(15,6,(ROW(DF$615:DF$663)-ROW(DF$615)+1)/(DF$615:DF$663&lt;&gt;""),ROWS(DM$1:DM8))),"")</f>
        <v/>
      </c>
      <c r="DN622" s="166" t="str">
        <f t="shared" si="364"/>
        <v/>
      </c>
      <c r="DO622" s="164" t="str">
        <f>IFERROR(INDEX(DG$615:DG$663,_xlfn.AGGREGATE(15,6,(ROW(DG$615:DG$663)-ROW(DG$615)+1)/(DG$615:DG$663&lt;&gt;""),ROWS(DO$1:DO8))),"")</f>
        <v/>
      </c>
      <c r="DP622" s="165" t="str">
        <f>IFERROR(INDEX(DH$615:DH$663,_xlfn.AGGREGATE(15,6,(ROW(DH$615:DH$663)-ROW(DH$615)+1)/(DH$615:DH$663&lt;&gt;""),ROWS(DP$1:DP8))),"")</f>
        <v/>
      </c>
      <c r="DQ622" s="166" t="str">
        <f t="shared" si="365"/>
        <v/>
      </c>
      <c r="DV622" s="145">
        <v>2022</v>
      </c>
      <c r="DW622" s="235" t="e">
        <f t="shared" ca="1" si="349"/>
        <v>#REF!</v>
      </c>
      <c r="DZ622" s="135"/>
      <c r="EA622" s="33"/>
      <c r="EB622" s="33"/>
      <c r="EC622" s="33"/>
      <c r="ED622" s="33"/>
      <c r="EE622" s="33"/>
    </row>
    <row r="623" spans="1:135" ht="13.8" x14ac:dyDescent="0.45">
      <c r="A623" s="148" t="s">
        <v>90</v>
      </c>
      <c r="B623" s="128">
        <v>2020</v>
      </c>
      <c r="C623" s="912"/>
      <c r="D623" s="960"/>
      <c r="E623" s="169"/>
      <c r="F623" s="931"/>
      <c r="G623" s="168"/>
      <c r="H623" s="169"/>
      <c r="I623" s="931"/>
      <c r="J623" s="168"/>
      <c r="K623" s="169"/>
      <c r="L623" s="170"/>
      <c r="M623" s="169"/>
      <c r="N623" s="29" t="s">
        <v>119</v>
      </c>
      <c r="O623" s="120"/>
      <c r="P623" s="120"/>
      <c r="Q623" s="120"/>
      <c r="R623" s="29">
        <v>6</v>
      </c>
      <c r="S623" s="313" t="str">
        <f t="shared" si="350"/>
        <v/>
      </c>
      <c r="T623" s="313" t="str">
        <f t="shared" si="351"/>
        <v/>
      </c>
      <c r="U623" s="313" t="str">
        <f t="shared" si="352"/>
        <v/>
      </c>
      <c r="V623" s="20"/>
      <c r="W623" s="288" t="e">
        <f t="shared" si="353"/>
        <v>#N/A</v>
      </c>
      <c r="X623" s="288" t="e">
        <f t="shared" si="354"/>
        <v>#N/A</v>
      </c>
      <c r="Y623" s="288" t="e">
        <f t="shared" si="355"/>
        <v>#N/A</v>
      </c>
      <c r="AA623" s="138"/>
      <c r="AB623" s="138"/>
      <c r="AC623" s="138"/>
      <c r="AD623" s="138"/>
      <c r="AE623" s="138"/>
      <c r="AF623" s="138"/>
      <c r="AG623" s="138"/>
      <c r="AH623" s="138"/>
      <c r="AI623" s="138"/>
      <c r="AJ623" s="138"/>
      <c r="AK623" s="138"/>
      <c r="AL623" s="138"/>
      <c r="AM623" s="138"/>
      <c r="AN623" s="138"/>
      <c r="BR623" s="180">
        <v>2018</v>
      </c>
      <c r="BS623" s="22">
        <v>4</v>
      </c>
      <c r="BT623" s="289" t="e">
        <f t="shared" si="366"/>
        <v>#DIV/0!</v>
      </c>
      <c r="BU623" s="290" t="e">
        <f t="shared" si="367"/>
        <v>#DIV/0!</v>
      </c>
      <c r="BV623" s="299" t="e">
        <f t="shared" si="368"/>
        <v>#DIV/0!</v>
      </c>
      <c r="BY623" s="180">
        <v>2018</v>
      </c>
      <c r="BZ623" s="22">
        <v>4</v>
      </c>
      <c r="CA623" s="289" t="e">
        <f t="shared" ca="1" si="369"/>
        <v>#REF!</v>
      </c>
      <c r="CB623" s="289" t="e">
        <f t="shared" ca="1" si="370"/>
        <v>#REF!</v>
      </c>
      <c r="CC623" s="290" t="e">
        <f t="shared" ca="1" si="381"/>
        <v>#REF!</v>
      </c>
      <c r="CD623" s="299" t="e">
        <f t="shared" ca="1" si="371"/>
        <v>#REF!</v>
      </c>
      <c r="CG623" s="180">
        <v>2018</v>
      </c>
      <c r="CH623" s="22">
        <v>4</v>
      </c>
      <c r="CI623" s="289" t="e">
        <f t="shared" ca="1" si="372"/>
        <v>#REF!</v>
      </c>
      <c r="CJ623" s="289" t="e">
        <f t="shared" ca="1" si="373"/>
        <v>#REF!</v>
      </c>
      <c r="CK623" s="289" t="e">
        <f t="shared" ca="1" si="374"/>
        <v>#REF!</v>
      </c>
      <c r="CL623" s="290" t="e">
        <f t="shared" ca="1" si="375"/>
        <v>#REF!</v>
      </c>
      <c r="CM623" s="299" t="e">
        <f t="shared" ca="1" si="376"/>
        <v>#REF!</v>
      </c>
      <c r="CP623" s="180">
        <v>2018</v>
      </c>
      <c r="CQ623" s="22">
        <v>4</v>
      </c>
      <c r="CR623" s="289" t="e">
        <f t="shared" ca="1" si="377"/>
        <v>#REF!</v>
      </c>
      <c r="CS623" s="290" t="e">
        <f t="shared" ca="1" si="378"/>
        <v>#REF!</v>
      </c>
      <c r="CT623" s="299" t="e">
        <f t="shared" ca="1" si="379"/>
        <v>#REF!</v>
      </c>
      <c r="CZ623" s="164" t="b">
        <f t="shared" si="356"/>
        <v>0</v>
      </c>
      <c r="DA623" s="165" t="b">
        <f t="shared" si="356"/>
        <v>0</v>
      </c>
      <c r="DB623" s="166" t="b">
        <f t="shared" si="356"/>
        <v>0</v>
      </c>
      <c r="DC623" s="164" t="str">
        <f t="shared" si="357"/>
        <v/>
      </c>
      <c r="DD623" s="166" t="str">
        <f t="shared" si="358"/>
        <v/>
      </c>
      <c r="DE623" s="164" t="str">
        <f t="shared" si="359"/>
        <v/>
      </c>
      <c r="DF623" s="166" t="str">
        <f t="shared" si="360"/>
        <v/>
      </c>
      <c r="DG623" s="164" t="str">
        <f t="shared" si="361"/>
        <v/>
      </c>
      <c r="DH623" s="166" t="str">
        <f t="shared" si="362"/>
        <v/>
      </c>
      <c r="DI623" s="164" t="str">
        <f>IFERROR(INDEX(DC$615:DC$663,_xlfn.AGGREGATE(15,6,(ROW(DC$615:DC$663)-ROW(DC$615)+1)/(DC$615:DC$663&lt;&gt;""),ROWS(DI$1:DI9))),"")</f>
        <v/>
      </c>
      <c r="DJ623" s="165" t="str">
        <f>IFERROR(INDEX(DD$615:DD$663,_xlfn.AGGREGATE(15,6,(ROW(DD$615:DD$663)-ROW(DD$615)+1)/(DD$615:DD$663&lt;&gt;""),ROWS(DJ$1:DJ9))),"")</f>
        <v/>
      </c>
      <c r="DK623" s="166" t="str">
        <f t="shared" si="363"/>
        <v/>
      </c>
      <c r="DL623" s="164" t="str">
        <f>IFERROR(INDEX(DE$615:DE$663,_xlfn.AGGREGATE(15,6,(ROW(DE$615:DE$663)-ROW(DE$615)+1)/(DE$615:DE$663&lt;&gt;""),ROWS(DL$1:DL9))),"")</f>
        <v/>
      </c>
      <c r="DM623" s="165" t="str">
        <f>IFERROR(INDEX(DF$615:DF$663,_xlfn.AGGREGATE(15,6,(ROW(DF$615:DF$663)-ROW(DF$615)+1)/(DF$615:DF$663&lt;&gt;""),ROWS(DM$1:DM9))),"")</f>
        <v/>
      </c>
      <c r="DN623" s="166" t="str">
        <f t="shared" si="364"/>
        <v/>
      </c>
      <c r="DO623" s="164" t="str">
        <f>IFERROR(INDEX(DG$615:DG$663,_xlfn.AGGREGATE(15,6,(ROW(DG$615:DG$663)-ROW(DG$615)+1)/(DG$615:DG$663&lt;&gt;""),ROWS(DO$1:DO9))),"")</f>
        <v/>
      </c>
      <c r="DP623" s="165" t="str">
        <f>IFERROR(INDEX(DH$615:DH$663,_xlfn.AGGREGATE(15,6,(ROW(DH$615:DH$663)-ROW(DH$615)+1)/(DH$615:DH$663&lt;&gt;""),ROWS(DP$1:DP9))),"")</f>
        <v/>
      </c>
      <c r="DQ623" s="166" t="str">
        <f t="shared" si="365"/>
        <v/>
      </c>
      <c r="DV623" s="145">
        <v>2023</v>
      </c>
      <c r="DW623" s="235" t="e">
        <f t="shared" ca="1" si="349"/>
        <v>#REF!</v>
      </c>
      <c r="DZ623" s="135"/>
      <c r="EA623" s="33" t="s">
        <v>86</v>
      </c>
      <c r="EB623" s="33" t="s">
        <v>87</v>
      </c>
      <c r="EC623" s="33"/>
      <c r="ED623" s="33"/>
      <c r="EE623" s="33"/>
    </row>
    <row r="624" spans="1:135" ht="14.1" thickBot="1" x14ac:dyDescent="0.5">
      <c r="A624" s="148" t="s">
        <v>80</v>
      </c>
      <c r="B624" s="128">
        <v>2021</v>
      </c>
      <c r="C624" s="912"/>
      <c r="D624" s="960"/>
      <c r="E624" s="308"/>
      <c r="F624" s="958"/>
      <c r="G624" s="307"/>
      <c r="H624" s="308"/>
      <c r="I624" s="1110"/>
      <c r="J624" s="307"/>
      <c r="K624" s="308"/>
      <c r="L624" s="309"/>
      <c r="M624" s="308"/>
      <c r="N624" s="29" t="s">
        <v>119</v>
      </c>
      <c r="O624" s="120"/>
      <c r="P624" s="120"/>
      <c r="Q624" s="120"/>
      <c r="R624" s="29">
        <v>7</v>
      </c>
      <c r="S624" s="314" t="str">
        <f t="shared" si="350"/>
        <v/>
      </c>
      <c r="T624" s="314" t="str">
        <f t="shared" si="351"/>
        <v/>
      </c>
      <c r="U624" s="314" t="str">
        <f t="shared" si="352"/>
        <v/>
      </c>
      <c r="V624" s="20"/>
      <c r="W624" s="288" t="e">
        <f t="shared" si="353"/>
        <v>#N/A</v>
      </c>
      <c r="X624" s="288" t="e">
        <f t="shared" si="354"/>
        <v>#N/A</v>
      </c>
      <c r="Y624" s="288" t="e">
        <f t="shared" si="355"/>
        <v>#N/A</v>
      </c>
      <c r="AA624" s="138"/>
      <c r="AB624" s="138"/>
      <c r="AC624" s="138"/>
      <c r="AD624" s="138"/>
      <c r="AE624" s="138"/>
      <c r="AF624" s="138"/>
      <c r="AG624" s="138"/>
      <c r="AH624" s="138"/>
      <c r="AI624" s="138"/>
      <c r="AJ624" s="138"/>
      <c r="AK624" s="138"/>
      <c r="AL624" s="138"/>
      <c r="AM624" s="138"/>
      <c r="AN624" s="138"/>
      <c r="BR624" s="180">
        <v>2019</v>
      </c>
      <c r="BS624" s="22">
        <v>5</v>
      </c>
      <c r="BT624" s="289" t="e">
        <f t="shared" si="366"/>
        <v>#DIV/0!</v>
      </c>
      <c r="BU624" s="290" t="e">
        <f t="shared" si="367"/>
        <v>#DIV/0!</v>
      </c>
      <c r="BV624" s="315" t="e">
        <f t="shared" si="368"/>
        <v>#DIV/0!</v>
      </c>
      <c r="BY624" s="180">
        <v>2019</v>
      </c>
      <c r="BZ624" s="22">
        <v>5</v>
      </c>
      <c r="CA624" s="289" t="e">
        <f t="shared" ca="1" si="369"/>
        <v>#REF!</v>
      </c>
      <c r="CB624" s="289" t="e">
        <f t="shared" ca="1" si="370"/>
        <v>#REF!</v>
      </c>
      <c r="CC624" s="290" t="e">
        <f t="shared" ca="1" si="381"/>
        <v>#REF!</v>
      </c>
      <c r="CD624" s="315" t="e">
        <f t="shared" ca="1" si="371"/>
        <v>#REF!</v>
      </c>
      <c r="CG624" s="180">
        <v>2019</v>
      </c>
      <c r="CH624" s="22">
        <v>5</v>
      </c>
      <c r="CI624" s="289" t="e">
        <f t="shared" ca="1" si="372"/>
        <v>#REF!</v>
      </c>
      <c r="CJ624" s="289" t="e">
        <f t="shared" ca="1" si="373"/>
        <v>#REF!</v>
      </c>
      <c r="CK624" s="289" t="e">
        <f t="shared" ca="1" si="374"/>
        <v>#REF!</v>
      </c>
      <c r="CL624" s="290" t="e">
        <f t="shared" ca="1" si="375"/>
        <v>#REF!</v>
      </c>
      <c r="CM624" s="315" t="e">
        <f t="shared" ca="1" si="376"/>
        <v>#REF!</v>
      </c>
      <c r="CP624" s="180">
        <v>2019</v>
      </c>
      <c r="CQ624" s="22">
        <v>5</v>
      </c>
      <c r="CR624" s="289" t="e">
        <f t="shared" ca="1" si="377"/>
        <v>#REF!</v>
      </c>
      <c r="CS624" s="290" t="e">
        <f t="shared" ca="1" si="378"/>
        <v>#REF!</v>
      </c>
      <c r="CT624" s="315" t="e">
        <f t="shared" ca="1" si="379"/>
        <v>#REF!</v>
      </c>
      <c r="CZ624" s="164" t="b">
        <f t="shared" si="356"/>
        <v>0</v>
      </c>
      <c r="DA624" s="165" t="b">
        <f t="shared" si="356"/>
        <v>0</v>
      </c>
      <c r="DB624" s="166" t="b">
        <f t="shared" si="356"/>
        <v>0</v>
      </c>
      <c r="DC624" s="164" t="str">
        <f t="shared" si="357"/>
        <v/>
      </c>
      <c r="DD624" s="166" t="str">
        <f t="shared" si="358"/>
        <v/>
      </c>
      <c r="DE624" s="164" t="str">
        <f t="shared" si="359"/>
        <v/>
      </c>
      <c r="DF624" s="166" t="str">
        <f t="shared" si="360"/>
        <v/>
      </c>
      <c r="DG624" s="164" t="str">
        <f t="shared" si="361"/>
        <v/>
      </c>
      <c r="DH624" s="166" t="str">
        <f t="shared" si="362"/>
        <v/>
      </c>
      <c r="DI624" s="164" t="str">
        <f>IFERROR(INDEX(DC$615:DC$663,_xlfn.AGGREGATE(15,6,(ROW(DC$615:DC$663)-ROW(DC$615)+1)/(DC$615:DC$663&lt;&gt;""),ROWS(DI$1:DI10))),"")</f>
        <v/>
      </c>
      <c r="DJ624" s="165" t="str">
        <f>IFERROR(INDEX(DD$615:DD$663,_xlfn.AGGREGATE(15,6,(ROW(DD$615:DD$663)-ROW(DD$615)+1)/(DD$615:DD$663&lt;&gt;""),ROWS(DJ$1:DJ10))),"")</f>
        <v/>
      </c>
      <c r="DK624" s="166" t="str">
        <f t="shared" si="363"/>
        <v/>
      </c>
      <c r="DL624" s="164" t="str">
        <f>IFERROR(INDEX(DE$615:DE$663,_xlfn.AGGREGATE(15,6,(ROW(DE$615:DE$663)-ROW(DE$615)+1)/(DE$615:DE$663&lt;&gt;""),ROWS(DL$1:DL10))),"")</f>
        <v/>
      </c>
      <c r="DM624" s="165" t="str">
        <f>IFERROR(INDEX(DF$615:DF$663,_xlfn.AGGREGATE(15,6,(ROW(DF$615:DF$663)-ROW(DF$615)+1)/(DF$615:DF$663&lt;&gt;""),ROWS(DM$1:DM10))),"")</f>
        <v/>
      </c>
      <c r="DN624" s="166" t="str">
        <f t="shared" si="364"/>
        <v/>
      </c>
      <c r="DO624" s="164" t="str">
        <f>IFERROR(INDEX(DG$615:DG$663,_xlfn.AGGREGATE(15,6,(ROW(DG$615:DG$663)-ROW(DG$615)+1)/(DG$615:DG$663&lt;&gt;""),ROWS(DO$1:DO10))),"")</f>
        <v/>
      </c>
      <c r="DP624" s="165" t="str">
        <f>IFERROR(INDEX(DH$615:DH$663,_xlfn.AGGREGATE(15,6,(ROW(DH$615:DH$663)-ROW(DH$615)+1)/(DH$615:DH$663&lt;&gt;""),ROWS(DP$1:DP10))),"")</f>
        <v/>
      </c>
      <c r="DQ624" s="166" t="str">
        <f t="shared" si="365"/>
        <v/>
      </c>
      <c r="DV624" s="145">
        <v>2024</v>
      </c>
      <c r="DW624" s="235" t="e">
        <f t="shared" ca="1" si="349"/>
        <v>#REF!</v>
      </c>
      <c r="DZ624" s="135" t="s">
        <v>92</v>
      </c>
      <c r="EA624" s="33">
        <f t="shared" ref="EA624:EB626" si="382">IF($EA$613="Linear",0,IF($EA$613="2nd Poly",0,IF($EA$613="3rd Poly",0,IF($EA$613="Exp",CR616))))</f>
        <v>0</v>
      </c>
      <c r="EB624" s="33">
        <f t="shared" si="382"/>
        <v>0</v>
      </c>
      <c r="EC624" s="33" t="str">
        <f>IF($EA$613="Linear","N/A",IF($EA$613="2nd Poly","N/A",IF($EA$613="3rd Poly","N/A","High")))</f>
        <v>N/A</v>
      </c>
      <c r="ED624" s="33"/>
      <c r="EE624" s="33"/>
    </row>
    <row r="625" spans="1:135" ht="13.8" x14ac:dyDescent="0.45">
      <c r="A625" s="148" t="s">
        <v>88</v>
      </c>
      <c r="B625" s="128">
        <v>2022</v>
      </c>
      <c r="C625" s="912"/>
      <c r="D625" s="960"/>
      <c r="E625" s="200"/>
      <c r="F625" s="950"/>
      <c r="G625" s="199"/>
      <c r="H625" s="200"/>
      <c r="I625" s="1111"/>
      <c r="J625" s="199"/>
      <c r="K625" s="200"/>
      <c r="L625" s="201"/>
      <c r="M625" s="200"/>
      <c r="N625" s="29" t="s">
        <v>119</v>
      </c>
      <c r="O625" s="120"/>
      <c r="P625" s="120"/>
      <c r="Q625" s="120"/>
      <c r="R625" s="29">
        <v>8</v>
      </c>
      <c r="S625" s="202" t="str">
        <f t="shared" si="350"/>
        <v/>
      </c>
      <c r="T625" s="202" t="str">
        <f t="shared" si="351"/>
        <v/>
      </c>
      <c r="U625" s="202" t="str">
        <f t="shared" si="352"/>
        <v/>
      </c>
      <c r="V625" s="20"/>
      <c r="W625" s="288" t="e">
        <f t="shared" si="353"/>
        <v>#N/A</v>
      </c>
      <c r="X625" s="288" t="e">
        <f t="shared" si="354"/>
        <v>#N/A</v>
      </c>
      <c r="Y625" s="288" t="e">
        <f t="shared" si="355"/>
        <v>#N/A</v>
      </c>
      <c r="AA625" s="120"/>
      <c r="AB625" s="120"/>
      <c r="AC625" s="120"/>
      <c r="AD625" s="120"/>
      <c r="AE625" s="120"/>
      <c r="AF625" s="120"/>
      <c r="AG625" s="120"/>
      <c r="AH625" s="120"/>
      <c r="AI625" s="120"/>
      <c r="AJ625" s="120"/>
      <c r="AK625" s="120"/>
      <c r="AL625" s="120"/>
      <c r="AM625" s="120"/>
      <c r="AN625" s="120"/>
      <c r="BR625" s="180">
        <v>2020</v>
      </c>
      <c r="BS625" s="22">
        <v>6</v>
      </c>
      <c r="BT625" s="289" t="e">
        <f t="shared" si="366"/>
        <v>#DIV/0!</v>
      </c>
      <c r="BU625" s="290" t="e">
        <f t="shared" si="367"/>
        <v>#DIV/0!</v>
      </c>
      <c r="BV625" s="203" t="e">
        <f t="shared" si="368"/>
        <v>#DIV/0!</v>
      </c>
      <c r="BY625" s="180">
        <v>2020</v>
      </c>
      <c r="BZ625" s="22">
        <v>6</v>
      </c>
      <c r="CA625" s="289" t="e">
        <f t="shared" ca="1" si="369"/>
        <v>#REF!</v>
      </c>
      <c r="CB625" s="289" t="e">
        <f t="shared" ca="1" si="370"/>
        <v>#REF!</v>
      </c>
      <c r="CC625" s="290" t="e">
        <f t="shared" ca="1" si="381"/>
        <v>#REF!</v>
      </c>
      <c r="CD625" s="203" t="e">
        <f t="shared" ca="1" si="371"/>
        <v>#REF!</v>
      </c>
      <c r="CG625" s="180">
        <v>2020</v>
      </c>
      <c r="CH625" s="22">
        <v>6</v>
      </c>
      <c r="CI625" s="289" t="e">
        <f t="shared" ca="1" si="372"/>
        <v>#REF!</v>
      </c>
      <c r="CJ625" s="289" t="e">
        <f t="shared" ca="1" si="373"/>
        <v>#REF!</v>
      </c>
      <c r="CK625" s="289" t="e">
        <f t="shared" ca="1" si="374"/>
        <v>#REF!</v>
      </c>
      <c r="CL625" s="290" t="e">
        <f t="shared" ca="1" si="375"/>
        <v>#REF!</v>
      </c>
      <c r="CM625" s="203" t="e">
        <f t="shared" ca="1" si="376"/>
        <v>#REF!</v>
      </c>
      <c r="CP625" s="180">
        <v>2020</v>
      </c>
      <c r="CQ625" s="22">
        <v>6</v>
      </c>
      <c r="CR625" s="289" t="e">
        <f t="shared" ca="1" si="377"/>
        <v>#REF!</v>
      </c>
      <c r="CS625" s="290" t="e">
        <f t="shared" ca="1" si="378"/>
        <v>#REF!</v>
      </c>
      <c r="CT625" s="203" t="e">
        <f t="shared" ca="1" si="379"/>
        <v>#REF!</v>
      </c>
      <c r="CZ625" s="164" t="b">
        <f t="shared" si="356"/>
        <v>0</v>
      </c>
      <c r="DA625" s="165" t="b">
        <f t="shared" si="356"/>
        <v>0</v>
      </c>
      <c r="DB625" s="166" t="b">
        <f t="shared" si="356"/>
        <v>0</v>
      </c>
      <c r="DC625" s="164" t="str">
        <f t="shared" si="357"/>
        <v/>
      </c>
      <c r="DD625" s="166" t="str">
        <f t="shared" si="358"/>
        <v/>
      </c>
      <c r="DE625" s="164" t="str">
        <f t="shared" si="359"/>
        <v/>
      </c>
      <c r="DF625" s="166" t="str">
        <f t="shared" si="360"/>
        <v/>
      </c>
      <c r="DG625" s="164" t="str">
        <f t="shared" si="361"/>
        <v/>
      </c>
      <c r="DH625" s="166" t="str">
        <f t="shared" si="362"/>
        <v/>
      </c>
      <c r="DI625" s="164" t="str">
        <f>IFERROR(INDEX(DC$615:DC$663,_xlfn.AGGREGATE(15,6,(ROW(DC$615:DC$663)-ROW(DC$615)+1)/(DC$615:DC$663&lt;&gt;""),ROWS(DI$1:DI11))),"")</f>
        <v/>
      </c>
      <c r="DJ625" s="165" t="str">
        <f>IFERROR(INDEX(DD$615:DD$663,_xlfn.AGGREGATE(15,6,(ROW(DD$615:DD$663)-ROW(DD$615)+1)/(DD$615:DD$663&lt;&gt;""),ROWS(DJ$1:DJ11))),"")</f>
        <v/>
      </c>
      <c r="DK625" s="166" t="str">
        <f t="shared" si="363"/>
        <v/>
      </c>
      <c r="DL625" s="164" t="str">
        <f>IFERROR(INDEX(DE$615:DE$663,_xlfn.AGGREGATE(15,6,(ROW(DE$615:DE$663)-ROW(DE$615)+1)/(DE$615:DE$663&lt;&gt;""),ROWS(DL$1:DL11))),"")</f>
        <v/>
      </c>
      <c r="DM625" s="165" t="str">
        <f>IFERROR(INDEX(DF$615:DF$663,_xlfn.AGGREGATE(15,6,(ROW(DF$615:DF$663)-ROW(DF$615)+1)/(DF$615:DF$663&lt;&gt;""),ROWS(DM$1:DM11))),"")</f>
        <v/>
      </c>
      <c r="DN625" s="166" t="str">
        <f t="shared" si="364"/>
        <v/>
      </c>
      <c r="DO625" s="164" t="str">
        <f>IFERROR(INDEX(DG$615:DG$663,_xlfn.AGGREGATE(15,6,(ROW(DG$615:DG$663)-ROW(DG$615)+1)/(DG$615:DG$663&lt;&gt;""),ROWS(DO$1:DO11))),"")</f>
        <v/>
      </c>
      <c r="DP625" s="165" t="str">
        <f>IFERROR(INDEX(DH$615:DH$663,_xlfn.AGGREGATE(15,6,(ROW(DH$615:DH$663)-ROW(DH$615)+1)/(DH$615:DH$663&lt;&gt;""),ROWS(DP$1:DP11))),"")</f>
        <v/>
      </c>
      <c r="DQ625" s="166" t="str">
        <f t="shared" si="365"/>
        <v/>
      </c>
      <c r="DR625" s="65"/>
      <c r="DV625" s="145">
        <v>2025</v>
      </c>
      <c r="DW625" s="235" t="e">
        <f t="shared" ca="1" si="349"/>
        <v>#REF!</v>
      </c>
      <c r="DZ625" s="135" t="s">
        <v>92</v>
      </c>
      <c r="EA625" s="33">
        <f t="shared" si="382"/>
        <v>0</v>
      </c>
      <c r="EB625" s="33">
        <f t="shared" si="382"/>
        <v>0</v>
      </c>
      <c r="EC625" s="33" t="str">
        <f>IF($EA$613="Linear","N/A",IF($EA$613="2nd Poly","N/A",IF($EA$613="3rd Poly","N/A","Medium")))</f>
        <v>N/A</v>
      </c>
    </row>
    <row r="626" spans="1:135" ht="13.8" x14ac:dyDescent="0.45">
      <c r="B626" s="128">
        <v>2023</v>
      </c>
      <c r="C626" s="912"/>
      <c r="D626" s="960"/>
      <c r="E626" s="292"/>
      <c r="F626" s="950"/>
      <c r="G626" s="199"/>
      <c r="H626" s="200"/>
      <c r="I626" s="1111"/>
      <c r="J626" s="199"/>
      <c r="K626" s="200"/>
      <c r="L626" s="201"/>
      <c r="M626" s="200"/>
      <c r="N626" s="29" t="s">
        <v>119</v>
      </c>
      <c r="O626" s="120"/>
      <c r="P626" s="120"/>
      <c r="Q626" s="120"/>
      <c r="R626" s="29">
        <v>9</v>
      </c>
      <c r="S626" s="202" t="str">
        <f t="shared" si="350"/>
        <v/>
      </c>
      <c r="T626" s="202" t="str">
        <f t="shared" si="351"/>
        <v/>
      </c>
      <c r="U626" s="202" t="str">
        <f t="shared" si="352"/>
        <v/>
      </c>
      <c r="V626" s="20"/>
      <c r="W626" s="317" t="e">
        <f t="shared" si="353"/>
        <v>#N/A</v>
      </c>
      <c r="X626" s="317" t="e">
        <f t="shared" si="354"/>
        <v>#N/A</v>
      </c>
      <c r="Y626" s="317" t="e">
        <f t="shared" si="355"/>
        <v>#N/A</v>
      </c>
      <c r="AA626" s="120"/>
      <c r="AB626" s="120"/>
      <c r="AC626" s="120"/>
      <c r="AD626" s="120"/>
      <c r="AE626" s="120"/>
      <c r="AF626" s="120"/>
      <c r="AG626" s="120"/>
      <c r="AH626" s="120"/>
      <c r="AI626" s="120"/>
      <c r="AJ626" s="120"/>
      <c r="AK626" s="120"/>
      <c r="AL626" s="120"/>
      <c r="AM626" s="120"/>
      <c r="AN626" s="120"/>
      <c r="BR626" s="180">
        <v>2021</v>
      </c>
      <c r="BS626" s="22">
        <v>7</v>
      </c>
      <c r="BT626" s="318" t="e">
        <f t="shared" si="366"/>
        <v>#DIV/0!</v>
      </c>
      <c r="BU626" s="319" t="e">
        <f t="shared" si="367"/>
        <v>#DIV/0!</v>
      </c>
      <c r="BV626" s="205" t="e">
        <f t="shared" si="368"/>
        <v>#DIV/0!</v>
      </c>
      <c r="BY626" s="180">
        <v>2021</v>
      </c>
      <c r="BZ626" s="22">
        <v>7</v>
      </c>
      <c r="CA626" s="318" t="e">
        <f t="shared" ca="1" si="369"/>
        <v>#REF!</v>
      </c>
      <c r="CB626" s="318" t="e">
        <f t="shared" ca="1" si="370"/>
        <v>#REF!</v>
      </c>
      <c r="CC626" s="319" t="e">
        <f t="shared" ca="1" si="381"/>
        <v>#REF!</v>
      </c>
      <c r="CD626" s="205" t="e">
        <f t="shared" ca="1" si="371"/>
        <v>#REF!</v>
      </c>
      <c r="CG626" s="180">
        <v>2021</v>
      </c>
      <c r="CH626" s="22">
        <v>7</v>
      </c>
      <c r="CI626" s="318" t="e">
        <f t="shared" ca="1" si="372"/>
        <v>#REF!</v>
      </c>
      <c r="CJ626" s="318" t="e">
        <f t="shared" ca="1" si="373"/>
        <v>#REF!</v>
      </c>
      <c r="CK626" s="318" t="e">
        <f t="shared" ca="1" si="374"/>
        <v>#REF!</v>
      </c>
      <c r="CL626" s="319" t="e">
        <f t="shared" ca="1" si="375"/>
        <v>#REF!</v>
      </c>
      <c r="CM626" s="205" t="e">
        <f t="shared" ca="1" si="376"/>
        <v>#REF!</v>
      </c>
      <c r="CP626" s="180">
        <v>2021</v>
      </c>
      <c r="CQ626" s="22">
        <v>7</v>
      </c>
      <c r="CR626" s="318" t="e">
        <f t="shared" ca="1" si="377"/>
        <v>#REF!</v>
      </c>
      <c r="CS626" s="319" t="e">
        <f t="shared" ca="1" si="378"/>
        <v>#REF!</v>
      </c>
      <c r="CT626" s="205" t="e">
        <f t="shared" ca="1" si="379"/>
        <v>#REF!</v>
      </c>
      <c r="CZ626" s="164" t="b">
        <f t="shared" si="356"/>
        <v>0</v>
      </c>
      <c r="DA626" s="165" t="b">
        <f t="shared" si="356"/>
        <v>0</v>
      </c>
      <c r="DB626" s="166" t="b">
        <f t="shared" si="356"/>
        <v>0</v>
      </c>
      <c r="DC626" s="164" t="str">
        <f t="shared" si="357"/>
        <v/>
      </c>
      <c r="DD626" s="166" t="str">
        <f t="shared" si="358"/>
        <v/>
      </c>
      <c r="DE626" s="164" t="str">
        <f t="shared" si="359"/>
        <v/>
      </c>
      <c r="DF626" s="166" t="str">
        <f t="shared" si="360"/>
        <v/>
      </c>
      <c r="DG626" s="164" t="str">
        <f t="shared" si="361"/>
        <v/>
      </c>
      <c r="DH626" s="166" t="str">
        <f t="shared" si="362"/>
        <v/>
      </c>
      <c r="DI626" s="164" t="str">
        <f>IFERROR(INDEX(DC$615:DC$663,_xlfn.AGGREGATE(15,6,(ROW(DC$615:DC$663)-ROW(DC$615)+1)/(DC$615:DC$663&lt;&gt;""),ROWS(DI$1:DI12))),"")</f>
        <v/>
      </c>
      <c r="DJ626" s="165" t="str">
        <f>IFERROR(INDEX(DD$615:DD$663,_xlfn.AGGREGATE(15,6,(ROW(DD$615:DD$663)-ROW(DD$615)+1)/(DD$615:DD$663&lt;&gt;""),ROWS(DJ$1:DJ12))),"")</f>
        <v/>
      </c>
      <c r="DK626" s="166" t="str">
        <f t="shared" si="363"/>
        <v/>
      </c>
      <c r="DL626" s="164" t="str">
        <f>IFERROR(INDEX(DE$615:DE$663,_xlfn.AGGREGATE(15,6,(ROW(DE$615:DE$663)-ROW(DE$615)+1)/(DE$615:DE$663&lt;&gt;""),ROWS(DL$1:DL12))),"")</f>
        <v/>
      </c>
      <c r="DM626" s="165" t="str">
        <f>IFERROR(INDEX(DF$615:DF$663,_xlfn.AGGREGATE(15,6,(ROW(DF$615:DF$663)-ROW(DF$615)+1)/(DF$615:DF$663&lt;&gt;""),ROWS(DM$1:DM12))),"")</f>
        <v/>
      </c>
      <c r="DN626" s="166" t="str">
        <f t="shared" si="364"/>
        <v/>
      </c>
      <c r="DO626" s="164" t="str">
        <f>IFERROR(INDEX(DG$615:DG$663,_xlfn.AGGREGATE(15,6,(ROW(DG$615:DG$663)-ROW(DG$615)+1)/(DG$615:DG$663&lt;&gt;""),ROWS(DO$1:DO12))),"")</f>
        <v/>
      </c>
      <c r="DP626" s="165" t="str">
        <f>IFERROR(INDEX(DH$615:DH$663,_xlfn.AGGREGATE(15,6,(ROW(DH$615:DH$663)-ROW(DH$615)+1)/(DH$615:DH$663&lt;&gt;""),ROWS(DP$1:DP12))),"")</f>
        <v/>
      </c>
      <c r="DQ626" s="166" t="str">
        <f t="shared" si="365"/>
        <v/>
      </c>
      <c r="DR626" s="65"/>
      <c r="DV626" s="145">
        <v>2026</v>
      </c>
      <c r="DW626" s="235" t="e">
        <f t="shared" ca="1" si="349"/>
        <v>#REF!</v>
      </c>
      <c r="DZ626" s="135" t="s">
        <v>92</v>
      </c>
      <c r="EA626" s="33">
        <f t="shared" si="382"/>
        <v>0</v>
      </c>
      <c r="EB626" s="33">
        <f t="shared" si="382"/>
        <v>0</v>
      </c>
      <c r="EC626" s="33" t="str">
        <f>IF($EA$613="Linear","N/A",IF($EA$613="2nd Poly","N/A",IF($EA$613="3rd Poly","N/A","Low")))</f>
        <v>N/A</v>
      </c>
    </row>
    <row r="627" spans="1:135" ht="13.8" x14ac:dyDescent="0.45">
      <c r="B627" s="128">
        <v>2024</v>
      </c>
      <c r="C627" s="912"/>
      <c r="D627" s="960"/>
      <c r="E627" s="292"/>
      <c r="F627" s="914"/>
      <c r="G627" s="320"/>
      <c r="H627" s="292"/>
      <c r="I627" s="1112"/>
      <c r="J627" s="320"/>
      <c r="K627" s="292"/>
      <c r="L627" s="293"/>
      <c r="M627" s="292"/>
      <c r="N627" s="29" t="s">
        <v>119</v>
      </c>
      <c r="O627" s="120"/>
      <c r="P627" s="120"/>
      <c r="Q627" s="120"/>
      <c r="R627" s="29">
        <v>10</v>
      </c>
      <c r="S627" s="317" t="str">
        <f t="shared" si="350"/>
        <v/>
      </c>
      <c r="T627" s="317" t="str">
        <f t="shared" si="351"/>
        <v/>
      </c>
      <c r="U627" s="317" t="str">
        <f t="shared" si="352"/>
        <v/>
      </c>
      <c r="V627" s="20"/>
      <c r="W627" s="317" t="e">
        <f t="shared" si="353"/>
        <v>#N/A</v>
      </c>
      <c r="X627" s="317" t="e">
        <f t="shared" si="354"/>
        <v>#N/A</v>
      </c>
      <c r="Y627" s="317" t="e">
        <f t="shared" si="355"/>
        <v>#N/A</v>
      </c>
      <c r="AA627" s="120"/>
      <c r="AB627" s="120"/>
      <c r="AC627" s="120"/>
      <c r="AD627" s="120"/>
      <c r="AE627" s="120"/>
      <c r="AF627" s="120"/>
      <c r="AG627" s="120"/>
      <c r="AH627" s="120"/>
      <c r="AI627" s="120"/>
      <c r="AJ627" s="120"/>
      <c r="AK627" s="120"/>
      <c r="AL627" s="120"/>
      <c r="AM627" s="120"/>
      <c r="AN627" s="120"/>
      <c r="BR627" s="180">
        <v>2022</v>
      </c>
      <c r="BS627" s="22">
        <v>8</v>
      </c>
      <c r="BT627" s="318" t="e">
        <f t="shared" si="366"/>
        <v>#DIV/0!</v>
      </c>
      <c r="BU627" s="319" t="e">
        <f t="shared" si="367"/>
        <v>#DIV/0!</v>
      </c>
      <c r="BV627" s="205" t="e">
        <f t="shared" si="368"/>
        <v>#DIV/0!</v>
      </c>
      <c r="BY627" s="180">
        <v>2022</v>
      </c>
      <c r="BZ627" s="22">
        <v>8</v>
      </c>
      <c r="CA627" s="318" t="e">
        <f t="shared" ca="1" si="369"/>
        <v>#REF!</v>
      </c>
      <c r="CB627" s="318" t="e">
        <f t="shared" ca="1" si="370"/>
        <v>#REF!</v>
      </c>
      <c r="CC627" s="319" t="e">
        <f t="shared" ca="1" si="381"/>
        <v>#REF!</v>
      </c>
      <c r="CD627" s="205" t="e">
        <f t="shared" ca="1" si="371"/>
        <v>#REF!</v>
      </c>
      <c r="CG627" s="180">
        <v>2022</v>
      </c>
      <c r="CH627" s="22">
        <v>8</v>
      </c>
      <c r="CI627" s="318" t="e">
        <f t="shared" ca="1" si="372"/>
        <v>#REF!</v>
      </c>
      <c r="CJ627" s="318" t="e">
        <f t="shared" ca="1" si="373"/>
        <v>#REF!</v>
      </c>
      <c r="CK627" s="318" t="e">
        <f t="shared" ca="1" si="374"/>
        <v>#REF!</v>
      </c>
      <c r="CL627" s="319" t="e">
        <f t="shared" ca="1" si="375"/>
        <v>#REF!</v>
      </c>
      <c r="CM627" s="205" t="e">
        <f t="shared" ca="1" si="376"/>
        <v>#REF!</v>
      </c>
      <c r="CP627" s="180">
        <v>2022</v>
      </c>
      <c r="CQ627" s="22">
        <v>8</v>
      </c>
      <c r="CR627" s="318" t="e">
        <f t="shared" ca="1" si="377"/>
        <v>#REF!</v>
      </c>
      <c r="CS627" s="319" t="e">
        <f t="shared" ca="1" si="378"/>
        <v>#REF!</v>
      </c>
      <c r="CT627" s="205" t="e">
        <f t="shared" ca="1" si="379"/>
        <v>#REF!</v>
      </c>
      <c r="CZ627" s="164" t="b">
        <f t="shared" si="356"/>
        <v>0</v>
      </c>
      <c r="DA627" s="165" t="b">
        <f t="shared" si="356"/>
        <v>0</v>
      </c>
      <c r="DB627" s="166" t="b">
        <f t="shared" si="356"/>
        <v>0</v>
      </c>
      <c r="DC627" s="164" t="str">
        <f t="shared" si="357"/>
        <v/>
      </c>
      <c r="DD627" s="166" t="str">
        <f t="shared" si="358"/>
        <v/>
      </c>
      <c r="DE627" s="164" t="str">
        <f t="shared" si="359"/>
        <v/>
      </c>
      <c r="DF627" s="166" t="str">
        <f t="shared" si="360"/>
        <v/>
      </c>
      <c r="DG627" s="164" t="str">
        <f t="shared" si="361"/>
        <v/>
      </c>
      <c r="DH627" s="166" t="str">
        <f t="shared" si="362"/>
        <v/>
      </c>
      <c r="DI627" s="164" t="str">
        <f>IFERROR(INDEX(DC$615:DC$663,_xlfn.AGGREGATE(15,6,(ROW(DC$615:DC$663)-ROW(DC$615)+1)/(DC$615:DC$663&lt;&gt;""),ROWS(DI$1:DI13))),"")</f>
        <v/>
      </c>
      <c r="DJ627" s="165" t="str">
        <f>IFERROR(INDEX(DD$615:DD$663,_xlfn.AGGREGATE(15,6,(ROW(DD$615:DD$663)-ROW(DD$615)+1)/(DD$615:DD$663&lt;&gt;""),ROWS(DJ$1:DJ13))),"")</f>
        <v/>
      </c>
      <c r="DK627" s="166" t="str">
        <f t="shared" si="363"/>
        <v/>
      </c>
      <c r="DL627" s="164" t="str">
        <f>IFERROR(INDEX(DE$615:DE$663,_xlfn.AGGREGATE(15,6,(ROW(DE$615:DE$663)-ROW(DE$615)+1)/(DE$615:DE$663&lt;&gt;""),ROWS(DL$1:DL13))),"")</f>
        <v/>
      </c>
      <c r="DM627" s="165" t="str">
        <f>IFERROR(INDEX(DF$615:DF$663,_xlfn.AGGREGATE(15,6,(ROW(DF$615:DF$663)-ROW(DF$615)+1)/(DF$615:DF$663&lt;&gt;""),ROWS(DM$1:DM13))),"")</f>
        <v/>
      </c>
      <c r="DN627" s="166" t="str">
        <f t="shared" si="364"/>
        <v/>
      </c>
      <c r="DO627" s="164" t="str">
        <f>IFERROR(INDEX(DG$615:DG$663,_xlfn.AGGREGATE(15,6,(ROW(DG$615:DG$663)-ROW(DG$615)+1)/(DG$615:DG$663&lt;&gt;""),ROWS(DO$1:DO13))),"")</f>
        <v/>
      </c>
      <c r="DP627" s="165" t="str">
        <f>IFERROR(INDEX(DH$615:DH$663,_xlfn.AGGREGATE(15,6,(ROW(DH$615:DH$663)-ROW(DH$615)+1)/(DH$615:DH$663&lt;&gt;""),ROWS(DP$1:DP13))),"")</f>
        <v/>
      </c>
      <c r="DQ627" s="166" t="str">
        <f t="shared" si="365"/>
        <v/>
      </c>
      <c r="DR627" s="65"/>
      <c r="DV627" s="145">
        <v>2027</v>
      </c>
      <c r="DW627" s="235" t="e">
        <f t="shared" ca="1" si="349"/>
        <v>#REF!</v>
      </c>
    </row>
    <row r="628" spans="1:135" ht="13.8" x14ac:dyDescent="0.45">
      <c r="B628" s="128">
        <v>2025</v>
      </c>
      <c r="C628" s="912"/>
      <c r="D628" s="960"/>
      <c r="E628" s="292"/>
      <c r="F628" s="914"/>
      <c r="G628" s="320"/>
      <c r="H628" s="292"/>
      <c r="I628" s="1112"/>
      <c r="J628" s="320"/>
      <c r="K628" s="292"/>
      <c r="L628" s="293"/>
      <c r="M628" s="292"/>
      <c r="N628" s="29" t="s">
        <v>119</v>
      </c>
      <c r="O628" s="120"/>
      <c r="P628" s="120"/>
      <c r="Q628" s="120"/>
      <c r="R628" s="29">
        <v>11</v>
      </c>
      <c r="S628" s="317" t="str">
        <f t="shared" si="350"/>
        <v/>
      </c>
      <c r="T628" s="317" t="str">
        <f t="shared" si="351"/>
        <v/>
      </c>
      <c r="U628" s="317" t="str">
        <f t="shared" si="352"/>
        <v/>
      </c>
      <c r="W628" s="317" t="e">
        <f t="shared" si="353"/>
        <v>#N/A</v>
      </c>
      <c r="X628" s="317" t="e">
        <f t="shared" si="354"/>
        <v>#N/A</v>
      </c>
      <c r="Y628" s="317" t="e">
        <f t="shared" si="355"/>
        <v>#N/A</v>
      </c>
      <c r="AA628" s="120"/>
      <c r="AB628" s="120"/>
      <c r="AC628" s="120"/>
      <c r="AD628" s="120"/>
      <c r="AE628" s="120"/>
      <c r="AF628" s="120"/>
      <c r="AG628" s="120"/>
      <c r="AH628" s="120"/>
      <c r="AI628" s="120"/>
      <c r="AJ628" s="120"/>
      <c r="AK628" s="120"/>
      <c r="AL628" s="120"/>
      <c r="AM628" s="120"/>
      <c r="AN628" s="120"/>
      <c r="BR628" s="180">
        <v>2023</v>
      </c>
      <c r="BS628" s="22">
        <v>9</v>
      </c>
      <c r="BT628" s="318" t="e">
        <f t="shared" si="366"/>
        <v>#DIV/0!</v>
      </c>
      <c r="BU628" s="319" t="e">
        <f t="shared" si="367"/>
        <v>#DIV/0!</v>
      </c>
      <c r="BV628" s="205" t="e">
        <f t="shared" si="368"/>
        <v>#DIV/0!</v>
      </c>
      <c r="BY628" s="180">
        <v>2023</v>
      </c>
      <c r="BZ628" s="22">
        <v>9</v>
      </c>
      <c r="CA628" s="318" t="e">
        <f t="shared" ca="1" si="369"/>
        <v>#REF!</v>
      </c>
      <c r="CB628" s="318" t="e">
        <f t="shared" ca="1" si="370"/>
        <v>#REF!</v>
      </c>
      <c r="CC628" s="319" t="e">
        <f t="shared" ca="1" si="381"/>
        <v>#REF!</v>
      </c>
      <c r="CD628" s="205" t="e">
        <f t="shared" ca="1" si="371"/>
        <v>#REF!</v>
      </c>
      <c r="CG628" s="180">
        <v>2023</v>
      </c>
      <c r="CH628" s="22">
        <v>9</v>
      </c>
      <c r="CI628" s="318" t="e">
        <f t="shared" ca="1" si="372"/>
        <v>#REF!</v>
      </c>
      <c r="CJ628" s="318" t="e">
        <f t="shared" ca="1" si="373"/>
        <v>#REF!</v>
      </c>
      <c r="CK628" s="318" t="e">
        <f t="shared" ca="1" si="374"/>
        <v>#REF!</v>
      </c>
      <c r="CL628" s="319" t="e">
        <f t="shared" ca="1" si="375"/>
        <v>#REF!</v>
      </c>
      <c r="CM628" s="205" t="e">
        <f t="shared" ca="1" si="376"/>
        <v>#REF!</v>
      </c>
      <c r="CP628" s="180">
        <v>2023</v>
      </c>
      <c r="CQ628" s="22">
        <v>9</v>
      </c>
      <c r="CR628" s="318" t="e">
        <f t="shared" ca="1" si="377"/>
        <v>#REF!</v>
      </c>
      <c r="CS628" s="319" t="e">
        <f t="shared" ca="1" si="378"/>
        <v>#REF!</v>
      </c>
      <c r="CT628" s="205" t="e">
        <f t="shared" ca="1" si="379"/>
        <v>#REF!</v>
      </c>
      <c r="CZ628" s="164" t="b">
        <f t="shared" si="356"/>
        <v>0</v>
      </c>
      <c r="DA628" s="165" t="b">
        <f t="shared" si="356"/>
        <v>0</v>
      </c>
      <c r="DB628" s="166" t="b">
        <f t="shared" si="356"/>
        <v>0</v>
      </c>
      <c r="DC628" s="164" t="str">
        <f t="shared" si="357"/>
        <v/>
      </c>
      <c r="DD628" s="166" t="str">
        <f t="shared" si="358"/>
        <v/>
      </c>
      <c r="DE628" s="164" t="str">
        <f t="shared" si="359"/>
        <v/>
      </c>
      <c r="DF628" s="166" t="str">
        <f t="shared" si="360"/>
        <v/>
      </c>
      <c r="DG628" s="164" t="str">
        <f t="shared" si="361"/>
        <v/>
      </c>
      <c r="DH628" s="166" t="str">
        <f t="shared" si="362"/>
        <v/>
      </c>
      <c r="DI628" s="164" t="str">
        <f>IFERROR(INDEX(DC$615:DC$663,_xlfn.AGGREGATE(15,6,(ROW(DC$615:DC$663)-ROW(DC$615)+1)/(DC$615:DC$663&lt;&gt;""),ROWS(DI$1:DI14))),"")</f>
        <v/>
      </c>
      <c r="DJ628" s="165" t="str">
        <f>IFERROR(INDEX(DD$615:DD$663,_xlfn.AGGREGATE(15,6,(ROW(DD$615:DD$663)-ROW(DD$615)+1)/(DD$615:DD$663&lt;&gt;""),ROWS(DJ$1:DJ14))),"")</f>
        <v/>
      </c>
      <c r="DK628" s="166" t="str">
        <f t="shared" si="363"/>
        <v/>
      </c>
      <c r="DL628" s="164" t="str">
        <f>IFERROR(INDEX(DE$615:DE$663,_xlfn.AGGREGATE(15,6,(ROW(DE$615:DE$663)-ROW(DE$615)+1)/(DE$615:DE$663&lt;&gt;""),ROWS(DL$1:DL14))),"")</f>
        <v/>
      </c>
      <c r="DM628" s="165" t="str">
        <f>IFERROR(INDEX(DF$615:DF$663,_xlfn.AGGREGATE(15,6,(ROW(DF$615:DF$663)-ROW(DF$615)+1)/(DF$615:DF$663&lt;&gt;""),ROWS(DM$1:DM14))),"")</f>
        <v/>
      </c>
      <c r="DN628" s="166" t="str">
        <f t="shared" si="364"/>
        <v/>
      </c>
      <c r="DO628" s="164" t="str">
        <f>IFERROR(INDEX(DG$615:DG$663,_xlfn.AGGREGATE(15,6,(ROW(DG$615:DG$663)-ROW(DG$615)+1)/(DG$615:DG$663&lt;&gt;""),ROWS(DO$1:DO14))),"")</f>
        <v/>
      </c>
      <c r="DP628" s="165" t="str">
        <f>IFERROR(INDEX(DH$615:DH$663,_xlfn.AGGREGATE(15,6,(ROW(DH$615:DH$663)-ROW(DH$615)+1)/(DH$615:DH$663&lt;&gt;""),ROWS(DP$1:DP14))),"")</f>
        <v/>
      </c>
      <c r="DQ628" s="166" t="str">
        <f t="shared" si="365"/>
        <v/>
      </c>
      <c r="DR628" s="65"/>
      <c r="DV628" s="145">
        <v>2028</v>
      </c>
      <c r="DW628" s="235" t="e">
        <f t="shared" ca="1" si="349"/>
        <v>#REF!</v>
      </c>
    </row>
    <row r="629" spans="1:135" ht="13.8" x14ac:dyDescent="0.45">
      <c r="B629" s="128">
        <v>2026</v>
      </c>
      <c r="C629" s="912"/>
      <c r="D629" s="960"/>
      <c r="E629" s="292"/>
      <c r="F629" s="914"/>
      <c r="G629" s="320"/>
      <c r="H629" s="292"/>
      <c r="I629" s="1112"/>
      <c r="J629" s="320"/>
      <c r="K629" s="292"/>
      <c r="L629" s="293"/>
      <c r="M629" s="292"/>
      <c r="N629" s="29" t="s">
        <v>119</v>
      </c>
      <c r="O629" s="120"/>
      <c r="P629" s="120"/>
      <c r="Q629" s="120"/>
      <c r="R629" s="29">
        <v>12</v>
      </c>
      <c r="S629" s="317" t="str">
        <f t="shared" si="350"/>
        <v/>
      </c>
      <c r="T629" s="317" t="str">
        <f t="shared" si="351"/>
        <v/>
      </c>
      <c r="U629" s="317" t="str">
        <f t="shared" si="352"/>
        <v/>
      </c>
      <c r="W629" s="317" t="e">
        <f t="shared" si="353"/>
        <v>#N/A</v>
      </c>
      <c r="X629" s="317" t="e">
        <f t="shared" si="354"/>
        <v>#N/A</v>
      </c>
      <c r="Y629" s="317" t="e">
        <f t="shared" si="355"/>
        <v>#N/A</v>
      </c>
      <c r="AA629" s="120"/>
      <c r="AB629" s="120"/>
      <c r="AC629" s="120"/>
      <c r="AD629" s="120"/>
      <c r="AE629" s="120"/>
      <c r="AF629" s="120"/>
      <c r="AG629" s="120"/>
      <c r="AH629" s="120"/>
      <c r="AI629" s="120"/>
      <c r="AJ629" s="120"/>
      <c r="AK629" s="120"/>
      <c r="AL629" s="120"/>
      <c r="AM629" s="120"/>
      <c r="AN629" s="120"/>
      <c r="BR629" s="180">
        <v>2024</v>
      </c>
      <c r="BS629" s="22">
        <v>10</v>
      </c>
      <c r="BT629" s="318" t="e">
        <f t="shared" si="366"/>
        <v>#DIV/0!</v>
      </c>
      <c r="BU629" s="319" t="e">
        <f t="shared" si="367"/>
        <v>#DIV/0!</v>
      </c>
      <c r="BV629" s="205" t="e">
        <f t="shared" si="368"/>
        <v>#DIV/0!</v>
      </c>
      <c r="BY629" s="180">
        <v>2024</v>
      </c>
      <c r="BZ629" s="22">
        <v>10</v>
      </c>
      <c r="CA629" s="318" t="e">
        <f t="shared" ca="1" si="369"/>
        <v>#REF!</v>
      </c>
      <c r="CB629" s="318" t="e">
        <f t="shared" ca="1" si="370"/>
        <v>#REF!</v>
      </c>
      <c r="CC629" s="319" t="e">
        <f t="shared" ca="1" si="381"/>
        <v>#REF!</v>
      </c>
      <c r="CD629" s="205" t="e">
        <f t="shared" ca="1" si="371"/>
        <v>#REF!</v>
      </c>
      <c r="CG629" s="180">
        <v>2024</v>
      </c>
      <c r="CH629" s="22">
        <v>10</v>
      </c>
      <c r="CI629" s="318" t="e">
        <f t="shared" ca="1" si="372"/>
        <v>#REF!</v>
      </c>
      <c r="CJ629" s="318" t="e">
        <f t="shared" ca="1" si="373"/>
        <v>#REF!</v>
      </c>
      <c r="CK629" s="318" t="e">
        <f t="shared" ca="1" si="374"/>
        <v>#REF!</v>
      </c>
      <c r="CL629" s="319" t="e">
        <f t="shared" ca="1" si="375"/>
        <v>#REF!</v>
      </c>
      <c r="CM629" s="205" t="e">
        <f t="shared" ca="1" si="376"/>
        <v>#REF!</v>
      </c>
      <c r="CP629" s="180">
        <v>2024</v>
      </c>
      <c r="CQ629" s="22">
        <v>10</v>
      </c>
      <c r="CR629" s="318" t="e">
        <f t="shared" ca="1" si="377"/>
        <v>#REF!</v>
      </c>
      <c r="CS629" s="319" t="e">
        <f t="shared" ca="1" si="378"/>
        <v>#REF!</v>
      </c>
      <c r="CT629" s="205" t="e">
        <f t="shared" ca="1" si="379"/>
        <v>#REF!</v>
      </c>
      <c r="CZ629" s="164" t="b">
        <f t="shared" si="356"/>
        <v>0</v>
      </c>
      <c r="DA629" s="165" t="b">
        <f t="shared" si="356"/>
        <v>0</v>
      </c>
      <c r="DB629" s="166" t="b">
        <f t="shared" si="356"/>
        <v>0</v>
      </c>
      <c r="DC629" s="164" t="str">
        <f t="shared" si="357"/>
        <v/>
      </c>
      <c r="DD629" s="166" t="str">
        <f t="shared" si="358"/>
        <v/>
      </c>
      <c r="DE629" s="164" t="str">
        <f t="shared" si="359"/>
        <v/>
      </c>
      <c r="DF629" s="166" t="str">
        <f t="shared" si="360"/>
        <v/>
      </c>
      <c r="DG629" s="164" t="str">
        <f t="shared" si="361"/>
        <v/>
      </c>
      <c r="DH629" s="166" t="str">
        <f t="shared" si="362"/>
        <v/>
      </c>
      <c r="DI629" s="164" t="str">
        <f>IFERROR(INDEX(DC$615:DC$663,_xlfn.AGGREGATE(15,6,(ROW(DC$615:DC$663)-ROW(DC$615)+1)/(DC$615:DC$663&lt;&gt;""),ROWS(DI$1:DI15))),"")</f>
        <v/>
      </c>
      <c r="DJ629" s="165" t="str">
        <f>IFERROR(INDEX(DD$615:DD$663,_xlfn.AGGREGATE(15,6,(ROW(DD$615:DD$663)-ROW(DD$615)+1)/(DD$615:DD$663&lt;&gt;""),ROWS(DJ$1:DJ15))),"")</f>
        <v/>
      </c>
      <c r="DK629" s="166" t="str">
        <f t="shared" si="363"/>
        <v/>
      </c>
      <c r="DL629" s="164" t="str">
        <f>IFERROR(INDEX(DE$615:DE$663,_xlfn.AGGREGATE(15,6,(ROW(DE$615:DE$663)-ROW(DE$615)+1)/(DE$615:DE$663&lt;&gt;""),ROWS(DL$1:DL15))),"")</f>
        <v/>
      </c>
      <c r="DM629" s="165" t="str">
        <f>IFERROR(INDEX(DF$615:DF$663,_xlfn.AGGREGATE(15,6,(ROW(DF$615:DF$663)-ROW(DF$615)+1)/(DF$615:DF$663&lt;&gt;""),ROWS(DM$1:DM15))),"")</f>
        <v/>
      </c>
      <c r="DN629" s="166" t="str">
        <f t="shared" si="364"/>
        <v/>
      </c>
      <c r="DO629" s="164" t="str">
        <f>IFERROR(INDEX(DG$615:DG$663,_xlfn.AGGREGATE(15,6,(ROW(DG$615:DG$663)-ROW(DG$615)+1)/(DG$615:DG$663&lt;&gt;""),ROWS(DO$1:DO15))),"")</f>
        <v/>
      </c>
      <c r="DP629" s="165" t="str">
        <f>IFERROR(INDEX(DH$615:DH$663,_xlfn.AGGREGATE(15,6,(ROW(DH$615:DH$663)-ROW(DH$615)+1)/(DH$615:DH$663&lt;&gt;""),ROWS(DP$1:DP15))),"")</f>
        <v/>
      </c>
      <c r="DQ629" s="166" t="str">
        <f t="shared" si="365"/>
        <v/>
      </c>
      <c r="DR629" s="65"/>
      <c r="DV629" s="145">
        <v>2029</v>
      </c>
      <c r="DW629" s="235" t="e">
        <f t="shared" ca="1" si="349"/>
        <v>#REF!</v>
      </c>
      <c r="EA629" s="55"/>
      <c r="EB629" s="55"/>
      <c r="EC629" s="55"/>
      <c r="ED629" s="55"/>
      <c r="EE629" s="55"/>
    </row>
    <row r="630" spans="1:135" ht="13.8" x14ac:dyDescent="0.45">
      <c r="B630" s="128">
        <v>2027</v>
      </c>
      <c r="C630" s="912"/>
      <c r="D630" s="960"/>
      <c r="E630" s="292"/>
      <c r="F630" s="914"/>
      <c r="G630" s="320"/>
      <c r="H630" s="292"/>
      <c r="I630" s="1112"/>
      <c r="J630" s="320"/>
      <c r="K630" s="292"/>
      <c r="L630" s="293"/>
      <c r="M630" s="292"/>
      <c r="N630" s="29" t="s">
        <v>119</v>
      </c>
      <c r="O630" s="120"/>
      <c r="P630" s="120"/>
      <c r="Q630" s="120"/>
      <c r="R630" s="29">
        <v>13</v>
      </c>
      <c r="S630" s="317" t="str">
        <f t="shared" si="350"/>
        <v/>
      </c>
      <c r="T630" s="317" t="str">
        <f t="shared" si="351"/>
        <v/>
      </c>
      <c r="U630" s="317" t="str">
        <f t="shared" si="352"/>
        <v/>
      </c>
      <c r="W630" s="317" t="e">
        <f t="shared" si="353"/>
        <v>#N/A</v>
      </c>
      <c r="X630" s="317" t="e">
        <f t="shared" si="354"/>
        <v>#N/A</v>
      </c>
      <c r="Y630" s="317" t="e">
        <f t="shared" si="355"/>
        <v>#N/A</v>
      </c>
      <c r="AA630" s="89"/>
      <c r="AB630" s="89"/>
      <c r="AC630" s="89"/>
      <c r="AD630" s="89"/>
      <c r="AE630" s="89"/>
      <c r="AF630" s="89"/>
      <c r="AG630" s="89"/>
      <c r="AH630" s="89"/>
      <c r="AI630" s="89"/>
      <c r="AJ630" s="89"/>
      <c r="AK630" s="89"/>
      <c r="AL630" s="89"/>
      <c r="AM630" s="89"/>
      <c r="AN630" s="89"/>
      <c r="BR630" s="180">
        <v>2025</v>
      </c>
      <c r="BS630" s="22">
        <v>11</v>
      </c>
      <c r="BT630" s="318" t="e">
        <f t="shared" si="366"/>
        <v>#DIV/0!</v>
      </c>
      <c r="BU630" s="319" t="e">
        <f t="shared" si="367"/>
        <v>#DIV/0!</v>
      </c>
      <c r="BV630" s="205" t="e">
        <f t="shared" si="368"/>
        <v>#DIV/0!</v>
      </c>
      <c r="BY630" s="180">
        <v>2025</v>
      </c>
      <c r="BZ630" s="22">
        <v>11</v>
      </c>
      <c r="CA630" s="318" t="e">
        <f t="shared" ca="1" si="369"/>
        <v>#REF!</v>
      </c>
      <c r="CB630" s="318" t="e">
        <f t="shared" ca="1" si="370"/>
        <v>#REF!</v>
      </c>
      <c r="CC630" s="319" t="e">
        <f t="shared" ca="1" si="381"/>
        <v>#REF!</v>
      </c>
      <c r="CD630" s="205" t="e">
        <f t="shared" ca="1" si="371"/>
        <v>#REF!</v>
      </c>
      <c r="CG630" s="180">
        <v>2025</v>
      </c>
      <c r="CH630" s="22">
        <v>11</v>
      </c>
      <c r="CI630" s="318" t="e">
        <f t="shared" ca="1" si="372"/>
        <v>#REF!</v>
      </c>
      <c r="CJ630" s="318" t="e">
        <f t="shared" ca="1" si="373"/>
        <v>#REF!</v>
      </c>
      <c r="CK630" s="318" t="e">
        <f t="shared" ca="1" si="374"/>
        <v>#REF!</v>
      </c>
      <c r="CL630" s="319" t="e">
        <f t="shared" ca="1" si="375"/>
        <v>#REF!</v>
      </c>
      <c r="CM630" s="205" t="e">
        <f t="shared" ca="1" si="376"/>
        <v>#REF!</v>
      </c>
      <c r="CP630" s="180">
        <v>2025</v>
      </c>
      <c r="CQ630" s="22">
        <v>11</v>
      </c>
      <c r="CR630" s="318" t="e">
        <f t="shared" ca="1" si="377"/>
        <v>#REF!</v>
      </c>
      <c r="CS630" s="319" t="e">
        <f t="shared" ca="1" si="378"/>
        <v>#REF!</v>
      </c>
      <c r="CT630" s="205" t="e">
        <f t="shared" ca="1" si="379"/>
        <v>#REF!</v>
      </c>
      <c r="CZ630" s="164" t="b">
        <f t="shared" si="356"/>
        <v>0</v>
      </c>
      <c r="DA630" s="165" t="b">
        <f t="shared" si="356"/>
        <v>0</v>
      </c>
      <c r="DB630" s="166" t="b">
        <f t="shared" si="356"/>
        <v>0</v>
      </c>
      <c r="DC630" s="164" t="str">
        <f t="shared" si="357"/>
        <v/>
      </c>
      <c r="DD630" s="166" t="str">
        <f t="shared" si="358"/>
        <v/>
      </c>
      <c r="DE630" s="164" t="str">
        <f t="shared" si="359"/>
        <v/>
      </c>
      <c r="DF630" s="166" t="str">
        <f t="shared" si="360"/>
        <v/>
      </c>
      <c r="DG630" s="164" t="str">
        <f t="shared" si="361"/>
        <v/>
      </c>
      <c r="DH630" s="166" t="str">
        <f t="shared" si="362"/>
        <v/>
      </c>
      <c r="DI630" s="164" t="str">
        <f>IFERROR(INDEX(DC$615:DC$663,_xlfn.AGGREGATE(15,6,(ROW(DC$615:DC$663)-ROW(DC$615)+1)/(DC$615:DC$663&lt;&gt;""),ROWS(DI$1:DI16))),"")</f>
        <v/>
      </c>
      <c r="DJ630" s="165" t="str">
        <f>IFERROR(INDEX(DD$615:DD$663,_xlfn.AGGREGATE(15,6,(ROW(DD$615:DD$663)-ROW(DD$615)+1)/(DD$615:DD$663&lt;&gt;""),ROWS(DJ$1:DJ16))),"")</f>
        <v/>
      </c>
      <c r="DK630" s="166" t="str">
        <f t="shared" si="363"/>
        <v/>
      </c>
      <c r="DL630" s="164" t="str">
        <f>IFERROR(INDEX(DE$615:DE$663,_xlfn.AGGREGATE(15,6,(ROW(DE$615:DE$663)-ROW(DE$615)+1)/(DE$615:DE$663&lt;&gt;""),ROWS(DL$1:DL16))),"")</f>
        <v/>
      </c>
      <c r="DM630" s="165" t="str">
        <f>IFERROR(INDEX(DF$615:DF$663,_xlfn.AGGREGATE(15,6,(ROW(DF$615:DF$663)-ROW(DF$615)+1)/(DF$615:DF$663&lt;&gt;""),ROWS(DM$1:DM16))),"")</f>
        <v/>
      </c>
      <c r="DN630" s="166" t="str">
        <f t="shared" si="364"/>
        <v/>
      </c>
      <c r="DO630" s="164" t="str">
        <f>IFERROR(INDEX(DG$615:DG$663,_xlfn.AGGREGATE(15,6,(ROW(DG$615:DG$663)-ROW(DG$615)+1)/(DG$615:DG$663&lt;&gt;""),ROWS(DO$1:DO16))),"")</f>
        <v/>
      </c>
      <c r="DP630" s="165" t="str">
        <f>IFERROR(INDEX(DH$615:DH$663,_xlfn.AGGREGATE(15,6,(ROW(DH$615:DH$663)-ROW(DH$615)+1)/(DH$615:DH$663&lt;&gt;""),ROWS(DP$1:DP16))),"")</f>
        <v/>
      </c>
      <c r="DQ630" s="166" t="str">
        <f t="shared" si="365"/>
        <v/>
      </c>
      <c r="DR630" s="65"/>
      <c r="DV630" s="145">
        <v>2030</v>
      </c>
      <c r="DW630" s="235" t="e">
        <f t="shared" ca="1" si="349"/>
        <v>#REF!</v>
      </c>
    </row>
    <row r="631" spans="1:135" ht="13.8" x14ac:dyDescent="0.45">
      <c r="A631" s="321" t="str">
        <f>$A$62</f>
        <v>Base Cases</v>
      </c>
      <c r="B631" s="128">
        <v>2028</v>
      </c>
      <c r="C631" s="912"/>
      <c r="D631" s="960"/>
      <c r="E631" s="292"/>
      <c r="F631" s="914"/>
      <c r="G631" s="320"/>
      <c r="H631" s="292"/>
      <c r="I631" s="1112"/>
      <c r="J631" s="320"/>
      <c r="K631" s="292"/>
      <c r="L631" s="293"/>
      <c r="M631" s="292"/>
      <c r="N631" s="29" t="s">
        <v>119</v>
      </c>
      <c r="O631" s="120"/>
      <c r="P631" s="120"/>
      <c r="Q631" s="120"/>
      <c r="R631" s="29">
        <v>14</v>
      </c>
      <c r="S631" s="317" t="str">
        <f t="shared" si="350"/>
        <v/>
      </c>
      <c r="T631" s="317" t="str">
        <f t="shared" si="351"/>
        <v/>
      </c>
      <c r="U631" s="317" t="str">
        <f t="shared" si="352"/>
        <v/>
      </c>
      <c r="W631" s="317" t="e">
        <f t="shared" si="353"/>
        <v>#N/A</v>
      </c>
      <c r="X631" s="317" t="e">
        <f t="shared" si="354"/>
        <v>#N/A</v>
      </c>
      <c r="Y631" s="317" t="e">
        <f t="shared" si="355"/>
        <v>#N/A</v>
      </c>
      <c r="AA631" s="114"/>
      <c r="AB631" s="114"/>
      <c r="AC631" s="114"/>
      <c r="AD631" s="114"/>
      <c r="AE631" s="114"/>
      <c r="AF631" s="114"/>
      <c r="AG631" s="114"/>
      <c r="AH631" s="114"/>
      <c r="AI631" s="114"/>
      <c r="AJ631" s="114"/>
      <c r="AK631" s="114"/>
      <c r="AL631" s="114"/>
      <c r="AM631" s="114"/>
      <c r="AN631" s="114"/>
      <c r="BR631" s="180">
        <v>2026</v>
      </c>
      <c r="BS631" s="22">
        <v>12</v>
      </c>
      <c r="BT631" s="318" t="e">
        <f t="shared" si="366"/>
        <v>#DIV/0!</v>
      </c>
      <c r="BU631" s="319" t="e">
        <f t="shared" si="367"/>
        <v>#DIV/0!</v>
      </c>
      <c r="BV631" s="205" t="e">
        <f t="shared" si="368"/>
        <v>#DIV/0!</v>
      </c>
      <c r="BY631" s="180">
        <v>2026</v>
      </c>
      <c r="BZ631" s="22">
        <v>12</v>
      </c>
      <c r="CA631" s="318" t="e">
        <f t="shared" ca="1" si="369"/>
        <v>#REF!</v>
      </c>
      <c r="CB631" s="318" t="e">
        <f t="shared" ca="1" si="370"/>
        <v>#REF!</v>
      </c>
      <c r="CC631" s="319" t="e">
        <f t="shared" ca="1" si="381"/>
        <v>#REF!</v>
      </c>
      <c r="CD631" s="205" t="e">
        <f t="shared" ca="1" si="371"/>
        <v>#REF!</v>
      </c>
      <c r="CG631" s="180">
        <v>2026</v>
      </c>
      <c r="CH631" s="22">
        <v>12</v>
      </c>
      <c r="CI631" s="318" t="e">
        <f t="shared" ca="1" si="372"/>
        <v>#REF!</v>
      </c>
      <c r="CJ631" s="318" t="e">
        <f t="shared" ca="1" si="373"/>
        <v>#REF!</v>
      </c>
      <c r="CK631" s="318" t="e">
        <f t="shared" ca="1" si="374"/>
        <v>#REF!</v>
      </c>
      <c r="CL631" s="319" t="e">
        <f t="shared" ca="1" si="375"/>
        <v>#REF!</v>
      </c>
      <c r="CM631" s="205" t="e">
        <f t="shared" ca="1" si="376"/>
        <v>#REF!</v>
      </c>
      <c r="CP631" s="180">
        <v>2026</v>
      </c>
      <c r="CQ631" s="22">
        <v>12</v>
      </c>
      <c r="CR631" s="318" t="e">
        <f t="shared" ca="1" si="377"/>
        <v>#REF!</v>
      </c>
      <c r="CS631" s="319" t="e">
        <f t="shared" ca="1" si="378"/>
        <v>#REF!</v>
      </c>
      <c r="CT631" s="205" t="e">
        <f t="shared" ca="1" si="379"/>
        <v>#REF!</v>
      </c>
      <c r="CZ631" s="164" t="b">
        <f t="shared" si="356"/>
        <v>0</v>
      </c>
      <c r="DA631" s="165" t="b">
        <f t="shared" si="356"/>
        <v>0</v>
      </c>
      <c r="DB631" s="166" t="b">
        <f t="shared" si="356"/>
        <v>0</v>
      </c>
      <c r="DC631" s="164" t="str">
        <f t="shared" si="357"/>
        <v/>
      </c>
      <c r="DD631" s="166" t="str">
        <f t="shared" si="358"/>
        <v/>
      </c>
      <c r="DE631" s="164" t="str">
        <f t="shared" si="359"/>
        <v/>
      </c>
      <c r="DF631" s="166" t="str">
        <f t="shared" si="360"/>
        <v/>
      </c>
      <c r="DG631" s="164" t="str">
        <f t="shared" si="361"/>
        <v/>
      </c>
      <c r="DH631" s="166" t="str">
        <f t="shared" si="362"/>
        <v/>
      </c>
      <c r="DI631" s="164" t="str">
        <f>IFERROR(INDEX(DC$615:DC$663,_xlfn.AGGREGATE(15,6,(ROW(DC$615:DC$663)-ROW(DC$615)+1)/(DC$615:DC$663&lt;&gt;""),ROWS(DI$1:DI17))),"")</f>
        <v/>
      </c>
      <c r="DJ631" s="165" t="str">
        <f>IFERROR(INDEX(DD$615:DD$663,_xlfn.AGGREGATE(15,6,(ROW(DD$615:DD$663)-ROW(DD$615)+1)/(DD$615:DD$663&lt;&gt;""),ROWS(DJ$1:DJ17))),"")</f>
        <v/>
      </c>
      <c r="DK631" s="166" t="str">
        <f t="shared" si="363"/>
        <v/>
      </c>
      <c r="DL631" s="164" t="str">
        <f>IFERROR(INDEX(DE$615:DE$663,_xlfn.AGGREGATE(15,6,(ROW(DE$615:DE$663)-ROW(DE$615)+1)/(DE$615:DE$663&lt;&gt;""),ROWS(DL$1:DL17))),"")</f>
        <v/>
      </c>
      <c r="DM631" s="165" t="str">
        <f>IFERROR(INDEX(DF$615:DF$663,_xlfn.AGGREGATE(15,6,(ROW(DF$615:DF$663)-ROW(DF$615)+1)/(DF$615:DF$663&lt;&gt;""),ROWS(DM$1:DM17))),"")</f>
        <v/>
      </c>
      <c r="DN631" s="166" t="str">
        <f t="shared" si="364"/>
        <v/>
      </c>
      <c r="DO631" s="164" t="str">
        <f>IFERROR(INDEX(DG$615:DG$663,_xlfn.AGGREGATE(15,6,(ROW(DG$615:DG$663)-ROW(DG$615)+1)/(DG$615:DG$663&lt;&gt;""),ROWS(DO$1:DO17))),"")</f>
        <v/>
      </c>
      <c r="DP631" s="165" t="str">
        <f>IFERROR(INDEX(DH$615:DH$663,_xlfn.AGGREGATE(15,6,(ROW(DH$615:DH$663)-ROW(DH$615)+1)/(DH$615:DH$663&lt;&gt;""),ROWS(DP$1:DP17))),"")</f>
        <v/>
      </c>
      <c r="DQ631" s="166" t="str">
        <f t="shared" si="365"/>
        <v/>
      </c>
      <c r="DR631" s="65"/>
      <c r="DV631" s="145">
        <v>2031</v>
      </c>
      <c r="DW631" s="235" t="e">
        <f t="shared" ca="1" si="349"/>
        <v>#REF!</v>
      </c>
    </row>
    <row r="632" spans="1:135" ht="13.8" x14ac:dyDescent="0.45">
      <c r="A632" s="322" t="str">
        <f>$A$63</f>
        <v>Conservative Cases</v>
      </c>
      <c r="B632" s="128">
        <v>2029</v>
      </c>
      <c r="C632" s="912"/>
      <c r="D632" s="960"/>
      <c r="E632" s="292"/>
      <c r="F632" s="914"/>
      <c r="G632" s="320"/>
      <c r="H632" s="292"/>
      <c r="I632" s="1112"/>
      <c r="J632" s="320"/>
      <c r="K632" s="292"/>
      <c r="L632" s="293"/>
      <c r="M632" s="292"/>
      <c r="N632" s="29" t="s">
        <v>119</v>
      </c>
      <c r="O632" s="120"/>
      <c r="P632" s="120"/>
      <c r="Q632" s="120"/>
      <c r="R632" s="29">
        <v>15</v>
      </c>
      <c r="S632" s="317" t="str">
        <f t="shared" si="350"/>
        <v/>
      </c>
      <c r="T632" s="317" t="str">
        <f t="shared" si="351"/>
        <v/>
      </c>
      <c r="U632" s="317" t="str">
        <f t="shared" si="352"/>
        <v/>
      </c>
      <c r="W632" s="317" t="e">
        <f t="shared" si="353"/>
        <v>#N/A</v>
      </c>
      <c r="X632" s="317" t="e">
        <f t="shared" si="354"/>
        <v>#N/A</v>
      </c>
      <c r="Y632" s="317" t="e">
        <f t="shared" si="355"/>
        <v>#N/A</v>
      </c>
      <c r="AA632" s="89"/>
      <c r="AB632" s="89"/>
      <c r="AC632" s="89"/>
      <c r="AD632" s="89"/>
      <c r="AE632" s="89"/>
      <c r="AF632" s="89"/>
      <c r="AG632" s="89"/>
      <c r="AH632" s="89"/>
      <c r="AI632" s="89"/>
      <c r="AJ632" s="89"/>
      <c r="AK632" s="89"/>
      <c r="AL632" s="89"/>
      <c r="AM632" s="89"/>
      <c r="AN632" s="89"/>
      <c r="BR632" s="180">
        <v>2027</v>
      </c>
      <c r="BS632" s="22">
        <v>13</v>
      </c>
      <c r="BT632" s="318" t="e">
        <f t="shared" si="366"/>
        <v>#DIV/0!</v>
      </c>
      <c r="BU632" s="319" t="e">
        <f t="shared" si="367"/>
        <v>#DIV/0!</v>
      </c>
      <c r="BV632" s="205" t="e">
        <f t="shared" si="368"/>
        <v>#DIV/0!</v>
      </c>
      <c r="BY632" s="180">
        <v>2027</v>
      </c>
      <c r="BZ632" s="22">
        <v>13</v>
      </c>
      <c r="CA632" s="318" t="e">
        <f t="shared" ca="1" si="369"/>
        <v>#REF!</v>
      </c>
      <c r="CB632" s="318" t="e">
        <f t="shared" ca="1" si="370"/>
        <v>#REF!</v>
      </c>
      <c r="CC632" s="319" t="e">
        <f t="shared" ca="1" si="381"/>
        <v>#REF!</v>
      </c>
      <c r="CD632" s="205" t="e">
        <f t="shared" ca="1" si="371"/>
        <v>#REF!</v>
      </c>
      <c r="CG632" s="180">
        <v>2027</v>
      </c>
      <c r="CH632" s="22">
        <v>13</v>
      </c>
      <c r="CI632" s="318" t="e">
        <f t="shared" ca="1" si="372"/>
        <v>#REF!</v>
      </c>
      <c r="CJ632" s="318" t="e">
        <f t="shared" ca="1" si="373"/>
        <v>#REF!</v>
      </c>
      <c r="CK632" s="318" t="e">
        <f t="shared" ca="1" si="374"/>
        <v>#REF!</v>
      </c>
      <c r="CL632" s="319" t="e">
        <f t="shared" ca="1" si="375"/>
        <v>#REF!</v>
      </c>
      <c r="CM632" s="205" t="e">
        <f t="shared" ca="1" si="376"/>
        <v>#REF!</v>
      </c>
      <c r="CP632" s="180">
        <v>2027</v>
      </c>
      <c r="CQ632" s="22">
        <v>13</v>
      </c>
      <c r="CR632" s="318" t="e">
        <f t="shared" ca="1" si="377"/>
        <v>#REF!</v>
      </c>
      <c r="CS632" s="319" t="e">
        <f t="shared" ca="1" si="378"/>
        <v>#REF!</v>
      </c>
      <c r="CT632" s="205" t="e">
        <f t="shared" ca="1" si="379"/>
        <v>#REF!</v>
      </c>
      <c r="CZ632" s="164" t="b">
        <f t="shared" si="356"/>
        <v>0</v>
      </c>
      <c r="DA632" s="165" t="b">
        <f t="shared" si="356"/>
        <v>0</v>
      </c>
      <c r="DB632" s="166" t="b">
        <f t="shared" si="356"/>
        <v>0</v>
      </c>
      <c r="DC632" s="164" t="str">
        <f t="shared" si="357"/>
        <v/>
      </c>
      <c r="DD632" s="166" t="str">
        <f t="shared" si="358"/>
        <v/>
      </c>
      <c r="DE632" s="164" t="str">
        <f t="shared" si="359"/>
        <v/>
      </c>
      <c r="DF632" s="166" t="str">
        <f t="shared" si="360"/>
        <v/>
      </c>
      <c r="DG632" s="164" t="str">
        <f t="shared" si="361"/>
        <v/>
      </c>
      <c r="DH632" s="166" t="str">
        <f t="shared" si="362"/>
        <v/>
      </c>
      <c r="DI632" s="164" t="str">
        <f>IFERROR(INDEX(DC$615:DC$663,_xlfn.AGGREGATE(15,6,(ROW(DC$615:DC$663)-ROW(DC$615)+1)/(DC$615:DC$663&lt;&gt;""),ROWS(DI$1:DI18))),"")</f>
        <v/>
      </c>
      <c r="DJ632" s="165" t="str">
        <f>IFERROR(INDEX(DD$615:DD$663,_xlfn.AGGREGATE(15,6,(ROW(DD$615:DD$663)-ROW(DD$615)+1)/(DD$615:DD$663&lt;&gt;""),ROWS(DJ$1:DJ18))),"")</f>
        <v/>
      </c>
      <c r="DK632" s="166" t="str">
        <f t="shared" si="363"/>
        <v/>
      </c>
      <c r="DL632" s="164" t="str">
        <f>IFERROR(INDEX(DE$615:DE$663,_xlfn.AGGREGATE(15,6,(ROW(DE$615:DE$663)-ROW(DE$615)+1)/(DE$615:DE$663&lt;&gt;""),ROWS(DL$1:DL18))),"")</f>
        <v/>
      </c>
      <c r="DM632" s="165" t="str">
        <f>IFERROR(INDEX(DF$615:DF$663,_xlfn.AGGREGATE(15,6,(ROW(DF$615:DF$663)-ROW(DF$615)+1)/(DF$615:DF$663&lt;&gt;""),ROWS(DM$1:DM18))),"")</f>
        <v/>
      </c>
      <c r="DN632" s="166" t="str">
        <f t="shared" si="364"/>
        <v/>
      </c>
      <c r="DO632" s="164" t="str">
        <f>IFERROR(INDEX(DG$615:DG$663,_xlfn.AGGREGATE(15,6,(ROW(DG$615:DG$663)-ROW(DG$615)+1)/(DG$615:DG$663&lt;&gt;""),ROWS(DO$1:DO18))),"")</f>
        <v/>
      </c>
      <c r="DP632" s="165" t="str">
        <f>IFERROR(INDEX(DH$615:DH$663,_xlfn.AGGREGATE(15,6,(ROW(DH$615:DH$663)-ROW(DH$615)+1)/(DH$615:DH$663&lt;&gt;""),ROWS(DP$1:DP18))),"")</f>
        <v/>
      </c>
      <c r="DQ632" s="166" t="str">
        <f t="shared" si="365"/>
        <v/>
      </c>
      <c r="DR632" s="65"/>
      <c r="DV632" s="145">
        <v>2032</v>
      </c>
      <c r="DW632" s="235" t="e">
        <f t="shared" ca="1" si="349"/>
        <v>#REF!</v>
      </c>
    </row>
    <row r="633" spans="1:135" ht="13.8" x14ac:dyDescent="0.45">
      <c r="A633" s="323" t="str">
        <f>$A$64</f>
        <v>Ambitious Cases</v>
      </c>
      <c r="B633" s="128">
        <v>2030</v>
      </c>
      <c r="C633" s="912"/>
      <c r="D633" s="960"/>
      <c r="E633" s="292"/>
      <c r="F633" s="914"/>
      <c r="G633" s="320"/>
      <c r="H633" s="292"/>
      <c r="I633" s="1112"/>
      <c r="J633" s="320"/>
      <c r="K633" s="292"/>
      <c r="L633" s="293"/>
      <c r="M633" s="292"/>
      <c r="N633" s="29" t="s">
        <v>119</v>
      </c>
      <c r="O633" s="120"/>
      <c r="P633" s="120"/>
      <c r="Q633" s="120"/>
      <c r="R633" s="29">
        <v>16</v>
      </c>
      <c r="S633" s="317" t="str">
        <f t="shared" si="350"/>
        <v/>
      </c>
      <c r="T633" s="317" t="str">
        <f t="shared" si="351"/>
        <v/>
      </c>
      <c r="U633" s="317" t="str">
        <f t="shared" si="352"/>
        <v/>
      </c>
      <c r="W633" s="317" t="e">
        <f t="shared" si="353"/>
        <v>#N/A</v>
      </c>
      <c r="X633" s="317" t="e">
        <f t="shared" si="354"/>
        <v>#N/A</v>
      </c>
      <c r="Y633" s="317" t="e">
        <f t="shared" si="355"/>
        <v>#N/A</v>
      </c>
      <c r="AA633" s="89"/>
      <c r="AB633" s="89"/>
      <c r="AC633" s="89"/>
      <c r="AD633" s="89"/>
      <c r="AE633" s="89"/>
      <c r="AF633" s="89"/>
      <c r="AG633" s="89"/>
      <c r="AH633" s="89"/>
      <c r="AI633" s="89"/>
      <c r="AJ633" s="89"/>
      <c r="AK633" s="89"/>
      <c r="AL633" s="89"/>
      <c r="AM633" s="89"/>
      <c r="AN633" s="89"/>
      <c r="BR633" s="180">
        <v>2028</v>
      </c>
      <c r="BS633" s="22">
        <v>14</v>
      </c>
      <c r="BT633" s="318" t="e">
        <f t="shared" si="366"/>
        <v>#DIV/0!</v>
      </c>
      <c r="BU633" s="319" t="e">
        <f t="shared" si="367"/>
        <v>#DIV/0!</v>
      </c>
      <c r="BV633" s="205" t="e">
        <f t="shared" si="368"/>
        <v>#DIV/0!</v>
      </c>
      <c r="BY633" s="180">
        <v>2028</v>
      </c>
      <c r="BZ633" s="22">
        <v>14</v>
      </c>
      <c r="CA633" s="318" t="e">
        <f t="shared" ca="1" si="369"/>
        <v>#REF!</v>
      </c>
      <c r="CB633" s="318" t="e">
        <f t="shared" ca="1" si="370"/>
        <v>#REF!</v>
      </c>
      <c r="CC633" s="319" t="e">
        <f t="shared" ca="1" si="381"/>
        <v>#REF!</v>
      </c>
      <c r="CD633" s="205" t="e">
        <f t="shared" ca="1" si="371"/>
        <v>#REF!</v>
      </c>
      <c r="CG633" s="180">
        <v>2028</v>
      </c>
      <c r="CH633" s="22">
        <v>14</v>
      </c>
      <c r="CI633" s="318" t="e">
        <f t="shared" ca="1" si="372"/>
        <v>#REF!</v>
      </c>
      <c r="CJ633" s="318" t="e">
        <f t="shared" ca="1" si="373"/>
        <v>#REF!</v>
      </c>
      <c r="CK633" s="318" t="e">
        <f t="shared" ca="1" si="374"/>
        <v>#REF!</v>
      </c>
      <c r="CL633" s="319" t="e">
        <f t="shared" ca="1" si="375"/>
        <v>#REF!</v>
      </c>
      <c r="CM633" s="205" t="e">
        <f t="shared" ca="1" si="376"/>
        <v>#REF!</v>
      </c>
      <c r="CP633" s="180">
        <v>2028</v>
      </c>
      <c r="CQ633" s="22">
        <v>14</v>
      </c>
      <c r="CR633" s="318" t="e">
        <f t="shared" ca="1" si="377"/>
        <v>#REF!</v>
      </c>
      <c r="CS633" s="319" t="e">
        <f t="shared" ca="1" si="378"/>
        <v>#REF!</v>
      </c>
      <c r="CT633" s="205" t="e">
        <f t="shared" ca="1" si="379"/>
        <v>#REF!</v>
      </c>
      <c r="CZ633" s="164" t="b">
        <f t="shared" si="356"/>
        <v>0</v>
      </c>
      <c r="DA633" s="165" t="b">
        <f t="shared" si="356"/>
        <v>0</v>
      </c>
      <c r="DB633" s="166" t="b">
        <f t="shared" si="356"/>
        <v>0</v>
      </c>
      <c r="DC633" s="164" t="str">
        <f t="shared" si="357"/>
        <v/>
      </c>
      <c r="DD633" s="166" t="str">
        <f t="shared" si="358"/>
        <v/>
      </c>
      <c r="DE633" s="164" t="str">
        <f t="shared" si="359"/>
        <v/>
      </c>
      <c r="DF633" s="166" t="str">
        <f t="shared" si="360"/>
        <v/>
      </c>
      <c r="DG633" s="164" t="str">
        <f t="shared" si="361"/>
        <v/>
      </c>
      <c r="DH633" s="166" t="str">
        <f t="shared" si="362"/>
        <v/>
      </c>
      <c r="DI633" s="164" t="str">
        <f>IFERROR(INDEX(DC$615:DC$663,_xlfn.AGGREGATE(15,6,(ROW(DC$615:DC$663)-ROW(DC$615)+1)/(DC$615:DC$663&lt;&gt;""),ROWS(DI$1:DI19))),"")</f>
        <v/>
      </c>
      <c r="DJ633" s="165" t="str">
        <f>IFERROR(INDEX(DD$615:DD$663,_xlfn.AGGREGATE(15,6,(ROW(DD$615:DD$663)-ROW(DD$615)+1)/(DD$615:DD$663&lt;&gt;""),ROWS(DJ$1:DJ19))),"")</f>
        <v/>
      </c>
      <c r="DK633" s="166" t="str">
        <f t="shared" si="363"/>
        <v/>
      </c>
      <c r="DL633" s="164" t="str">
        <f>IFERROR(INDEX(DE$615:DE$663,_xlfn.AGGREGATE(15,6,(ROW(DE$615:DE$663)-ROW(DE$615)+1)/(DE$615:DE$663&lt;&gt;""),ROWS(DL$1:DL19))),"")</f>
        <v/>
      </c>
      <c r="DM633" s="165" t="str">
        <f>IFERROR(INDEX(DF$615:DF$663,_xlfn.AGGREGATE(15,6,(ROW(DF$615:DF$663)-ROW(DF$615)+1)/(DF$615:DF$663&lt;&gt;""),ROWS(DM$1:DM19))),"")</f>
        <v/>
      </c>
      <c r="DN633" s="166" t="str">
        <f t="shared" si="364"/>
        <v/>
      </c>
      <c r="DO633" s="164" t="str">
        <f>IFERROR(INDEX(DG$615:DG$663,_xlfn.AGGREGATE(15,6,(ROW(DG$615:DG$663)-ROW(DG$615)+1)/(DG$615:DG$663&lt;&gt;""),ROWS(DO$1:DO19))),"")</f>
        <v/>
      </c>
      <c r="DP633" s="165" t="str">
        <f>IFERROR(INDEX(DH$615:DH$663,_xlfn.AGGREGATE(15,6,(ROW(DH$615:DH$663)-ROW(DH$615)+1)/(DH$615:DH$663&lt;&gt;""),ROWS(DP$1:DP19))),"")</f>
        <v/>
      </c>
      <c r="DQ633" s="166" t="str">
        <f t="shared" si="365"/>
        <v/>
      </c>
      <c r="DR633" s="65"/>
      <c r="DV633" s="145">
        <v>2033</v>
      </c>
      <c r="DW633" s="235" t="e">
        <f t="shared" ca="1" si="349"/>
        <v>#REF!</v>
      </c>
    </row>
    <row r="634" spans="1:135" ht="13.8" x14ac:dyDescent="0.45">
      <c r="A634" s="324" t="str">
        <f>$A$65</f>
        <v>Maximum Cases</v>
      </c>
      <c r="B634" s="128">
        <v>2031</v>
      </c>
      <c r="C634" s="912"/>
      <c r="D634" s="960"/>
      <c r="E634" s="292"/>
      <c r="F634" s="914"/>
      <c r="G634" s="320"/>
      <c r="H634" s="292"/>
      <c r="I634" s="1112"/>
      <c r="J634" s="320"/>
      <c r="K634" s="292"/>
      <c r="L634" s="293"/>
      <c r="M634" s="292"/>
      <c r="N634" s="29" t="s">
        <v>119</v>
      </c>
      <c r="O634" s="120"/>
      <c r="P634" s="120"/>
      <c r="Q634" s="120"/>
      <c r="R634" s="29">
        <v>17</v>
      </c>
      <c r="S634" s="317" t="str">
        <f t="shared" si="350"/>
        <v/>
      </c>
      <c r="T634" s="317" t="str">
        <f t="shared" si="351"/>
        <v/>
      </c>
      <c r="U634" s="317" t="str">
        <f t="shared" si="352"/>
        <v/>
      </c>
      <c r="W634" s="317" t="e">
        <f t="shared" si="353"/>
        <v>#N/A</v>
      </c>
      <c r="X634" s="317" t="e">
        <f t="shared" si="354"/>
        <v>#N/A</v>
      </c>
      <c r="Y634" s="317" t="e">
        <f t="shared" si="355"/>
        <v>#N/A</v>
      </c>
      <c r="AA634" s="89"/>
      <c r="AB634" s="89"/>
      <c r="AC634" s="89"/>
      <c r="AD634" s="89"/>
      <c r="AE634" s="89"/>
      <c r="AF634" s="89"/>
      <c r="AG634" s="89"/>
      <c r="AH634" s="89"/>
      <c r="AI634" s="89"/>
      <c r="AJ634" s="89"/>
      <c r="AK634" s="89"/>
      <c r="AL634" s="89"/>
      <c r="AM634" s="89"/>
      <c r="AN634" s="89"/>
      <c r="BR634" s="180">
        <v>2029</v>
      </c>
      <c r="BS634" s="22">
        <v>15</v>
      </c>
      <c r="BT634" s="318" t="e">
        <f t="shared" si="366"/>
        <v>#DIV/0!</v>
      </c>
      <c r="BU634" s="319" t="e">
        <f t="shared" si="367"/>
        <v>#DIV/0!</v>
      </c>
      <c r="BV634" s="205" t="e">
        <f t="shared" si="368"/>
        <v>#DIV/0!</v>
      </c>
      <c r="BY634" s="180">
        <v>2029</v>
      </c>
      <c r="BZ634" s="22">
        <v>15</v>
      </c>
      <c r="CA634" s="318" t="e">
        <f t="shared" ca="1" si="369"/>
        <v>#REF!</v>
      </c>
      <c r="CB634" s="318" t="e">
        <f t="shared" ca="1" si="370"/>
        <v>#REF!</v>
      </c>
      <c r="CC634" s="319" t="e">
        <f t="shared" ca="1" si="381"/>
        <v>#REF!</v>
      </c>
      <c r="CD634" s="205" t="e">
        <f t="shared" ca="1" si="371"/>
        <v>#REF!</v>
      </c>
      <c r="CG634" s="180">
        <v>2029</v>
      </c>
      <c r="CH634" s="22">
        <v>15</v>
      </c>
      <c r="CI634" s="318" t="e">
        <f t="shared" ca="1" si="372"/>
        <v>#REF!</v>
      </c>
      <c r="CJ634" s="318" t="e">
        <f t="shared" ca="1" si="373"/>
        <v>#REF!</v>
      </c>
      <c r="CK634" s="318" t="e">
        <f t="shared" ca="1" si="374"/>
        <v>#REF!</v>
      </c>
      <c r="CL634" s="319" t="e">
        <f t="shared" ca="1" si="375"/>
        <v>#REF!</v>
      </c>
      <c r="CM634" s="205" t="e">
        <f t="shared" ca="1" si="376"/>
        <v>#REF!</v>
      </c>
      <c r="CP634" s="180">
        <v>2029</v>
      </c>
      <c r="CQ634" s="22">
        <v>15</v>
      </c>
      <c r="CR634" s="318" t="e">
        <f t="shared" ca="1" si="377"/>
        <v>#REF!</v>
      </c>
      <c r="CS634" s="319" t="e">
        <f t="shared" ca="1" si="378"/>
        <v>#REF!</v>
      </c>
      <c r="CT634" s="205" t="e">
        <f t="shared" ca="1" si="379"/>
        <v>#REF!</v>
      </c>
      <c r="CZ634" s="164" t="b">
        <f t="shared" si="356"/>
        <v>0</v>
      </c>
      <c r="DA634" s="165" t="b">
        <f t="shared" si="356"/>
        <v>0</v>
      </c>
      <c r="DB634" s="166" t="b">
        <f t="shared" si="356"/>
        <v>0</v>
      </c>
      <c r="DC634" s="164" t="str">
        <f t="shared" si="357"/>
        <v/>
      </c>
      <c r="DD634" s="166" t="str">
        <f t="shared" si="358"/>
        <v/>
      </c>
      <c r="DE634" s="164" t="str">
        <f t="shared" si="359"/>
        <v/>
      </c>
      <c r="DF634" s="166" t="str">
        <f t="shared" si="360"/>
        <v/>
      </c>
      <c r="DG634" s="164" t="str">
        <f t="shared" si="361"/>
        <v/>
      </c>
      <c r="DH634" s="166" t="str">
        <f t="shared" si="362"/>
        <v/>
      </c>
      <c r="DI634" s="164" t="str">
        <f>IFERROR(INDEX(DC$615:DC$663,_xlfn.AGGREGATE(15,6,(ROW(DC$615:DC$663)-ROW(DC$615)+1)/(DC$615:DC$663&lt;&gt;""),ROWS(DI$1:DI20))),"")</f>
        <v/>
      </c>
      <c r="DJ634" s="165" t="str">
        <f>IFERROR(INDEX(DD$615:DD$663,_xlfn.AGGREGATE(15,6,(ROW(DD$615:DD$663)-ROW(DD$615)+1)/(DD$615:DD$663&lt;&gt;""),ROWS(DJ$1:DJ20))),"")</f>
        <v/>
      </c>
      <c r="DK634" s="166" t="str">
        <f t="shared" si="363"/>
        <v/>
      </c>
      <c r="DL634" s="164" t="str">
        <f>IFERROR(INDEX(DE$615:DE$663,_xlfn.AGGREGATE(15,6,(ROW(DE$615:DE$663)-ROW(DE$615)+1)/(DE$615:DE$663&lt;&gt;""),ROWS(DL$1:DL20))),"")</f>
        <v/>
      </c>
      <c r="DM634" s="165" t="str">
        <f>IFERROR(INDEX(DF$615:DF$663,_xlfn.AGGREGATE(15,6,(ROW(DF$615:DF$663)-ROW(DF$615)+1)/(DF$615:DF$663&lt;&gt;""),ROWS(DM$1:DM20))),"")</f>
        <v/>
      </c>
      <c r="DN634" s="166" t="str">
        <f t="shared" si="364"/>
        <v/>
      </c>
      <c r="DO634" s="164" t="str">
        <f>IFERROR(INDEX(DG$615:DG$663,_xlfn.AGGREGATE(15,6,(ROW(DG$615:DG$663)-ROW(DG$615)+1)/(DG$615:DG$663&lt;&gt;""),ROWS(DO$1:DO20))),"")</f>
        <v/>
      </c>
      <c r="DP634" s="165" t="str">
        <f>IFERROR(INDEX(DH$615:DH$663,_xlfn.AGGREGATE(15,6,(ROW(DH$615:DH$663)-ROW(DH$615)+1)/(DH$615:DH$663&lt;&gt;""),ROWS(DP$1:DP20))),"")</f>
        <v/>
      </c>
      <c r="DQ634" s="166" t="str">
        <f t="shared" si="365"/>
        <v/>
      </c>
      <c r="DR634" s="65"/>
      <c r="DV634" s="145">
        <v>2034</v>
      </c>
      <c r="DW634" s="235" t="e">
        <f t="shared" ca="1" si="349"/>
        <v>#REF!</v>
      </c>
    </row>
    <row r="635" spans="1:135" ht="13.8" x14ac:dyDescent="0.45">
      <c r="B635" s="128">
        <v>2032</v>
      </c>
      <c r="C635" s="912"/>
      <c r="D635" s="960"/>
      <c r="E635" s="292"/>
      <c r="F635" s="914"/>
      <c r="G635" s="320"/>
      <c r="H635" s="292"/>
      <c r="I635" s="1112"/>
      <c r="J635" s="320"/>
      <c r="K635" s="292"/>
      <c r="L635" s="293"/>
      <c r="M635" s="292"/>
      <c r="N635" s="29" t="s">
        <v>119</v>
      </c>
      <c r="O635" s="120"/>
      <c r="P635" s="120"/>
      <c r="Q635" s="120"/>
      <c r="R635" s="29">
        <v>18</v>
      </c>
      <c r="S635" s="317" t="str">
        <f t="shared" si="350"/>
        <v/>
      </c>
      <c r="T635" s="317" t="str">
        <f t="shared" si="351"/>
        <v/>
      </c>
      <c r="U635" s="317" t="str">
        <f t="shared" si="352"/>
        <v/>
      </c>
      <c r="W635" s="317" t="e">
        <f t="shared" si="353"/>
        <v>#N/A</v>
      </c>
      <c r="X635" s="317" t="e">
        <f t="shared" si="354"/>
        <v>#N/A</v>
      </c>
      <c r="Y635" s="317" t="e">
        <f t="shared" si="355"/>
        <v>#N/A</v>
      </c>
      <c r="AA635" s="89"/>
      <c r="AB635" s="89"/>
      <c r="AC635" s="89"/>
      <c r="AD635" s="89"/>
      <c r="AE635" s="89"/>
      <c r="AF635" s="89"/>
      <c r="AG635" s="89"/>
      <c r="AH635" s="89"/>
      <c r="AI635" s="89"/>
      <c r="AJ635" s="89"/>
      <c r="AK635" s="89"/>
      <c r="AL635" s="89"/>
      <c r="AM635" s="89"/>
      <c r="AN635" s="89"/>
      <c r="BR635" s="180">
        <v>2030</v>
      </c>
      <c r="BS635" s="22">
        <v>16</v>
      </c>
      <c r="BT635" s="318" t="e">
        <f t="shared" si="366"/>
        <v>#DIV/0!</v>
      </c>
      <c r="BU635" s="319" t="e">
        <f t="shared" si="367"/>
        <v>#DIV/0!</v>
      </c>
      <c r="BV635" s="205" t="e">
        <f t="shared" si="368"/>
        <v>#DIV/0!</v>
      </c>
      <c r="BY635" s="180">
        <v>2030</v>
      </c>
      <c r="BZ635" s="22">
        <v>16</v>
      </c>
      <c r="CA635" s="318" t="e">
        <f t="shared" ca="1" si="369"/>
        <v>#REF!</v>
      </c>
      <c r="CB635" s="318" t="e">
        <f t="shared" ca="1" si="370"/>
        <v>#REF!</v>
      </c>
      <c r="CC635" s="319" t="e">
        <f t="shared" ca="1" si="381"/>
        <v>#REF!</v>
      </c>
      <c r="CD635" s="205" t="e">
        <f t="shared" ca="1" si="371"/>
        <v>#REF!</v>
      </c>
      <c r="CG635" s="180">
        <v>2030</v>
      </c>
      <c r="CH635" s="22">
        <v>16</v>
      </c>
      <c r="CI635" s="318" t="e">
        <f t="shared" ca="1" si="372"/>
        <v>#REF!</v>
      </c>
      <c r="CJ635" s="318" t="e">
        <f t="shared" ca="1" si="373"/>
        <v>#REF!</v>
      </c>
      <c r="CK635" s="318" t="e">
        <f t="shared" ca="1" si="374"/>
        <v>#REF!</v>
      </c>
      <c r="CL635" s="319" t="e">
        <f t="shared" ca="1" si="375"/>
        <v>#REF!</v>
      </c>
      <c r="CM635" s="205" t="e">
        <f t="shared" ca="1" si="376"/>
        <v>#REF!</v>
      </c>
      <c r="CP635" s="180">
        <v>2030</v>
      </c>
      <c r="CQ635" s="22">
        <v>16</v>
      </c>
      <c r="CR635" s="318" t="e">
        <f t="shared" ca="1" si="377"/>
        <v>#REF!</v>
      </c>
      <c r="CS635" s="319" t="e">
        <f t="shared" ca="1" si="378"/>
        <v>#REF!</v>
      </c>
      <c r="CT635" s="205" t="e">
        <f t="shared" ca="1" si="379"/>
        <v>#REF!</v>
      </c>
      <c r="CZ635" s="164" t="b">
        <f t="shared" si="356"/>
        <v>0</v>
      </c>
      <c r="DA635" s="165" t="b">
        <f t="shared" si="356"/>
        <v>0</v>
      </c>
      <c r="DB635" s="166" t="b">
        <f t="shared" si="356"/>
        <v>0</v>
      </c>
      <c r="DC635" s="164" t="str">
        <f t="shared" si="357"/>
        <v/>
      </c>
      <c r="DD635" s="166" t="str">
        <f t="shared" si="358"/>
        <v/>
      </c>
      <c r="DE635" s="164" t="str">
        <f t="shared" si="359"/>
        <v/>
      </c>
      <c r="DF635" s="166" t="str">
        <f t="shared" si="360"/>
        <v/>
      </c>
      <c r="DG635" s="164" t="str">
        <f t="shared" si="361"/>
        <v/>
      </c>
      <c r="DH635" s="166" t="str">
        <f t="shared" si="362"/>
        <v/>
      </c>
      <c r="DI635" s="164" t="str">
        <f>IFERROR(INDEX(DC$615:DC$663,_xlfn.AGGREGATE(15,6,(ROW(DC$615:DC$663)-ROW(DC$615)+1)/(DC$615:DC$663&lt;&gt;""),ROWS(DI$1:DI21))),"")</f>
        <v/>
      </c>
      <c r="DJ635" s="165" t="str">
        <f>IFERROR(INDEX(DD$615:DD$663,_xlfn.AGGREGATE(15,6,(ROW(DD$615:DD$663)-ROW(DD$615)+1)/(DD$615:DD$663&lt;&gt;""),ROWS(DJ$1:DJ21))),"")</f>
        <v/>
      </c>
      <c r="DK635" s="166" t="str">
        <f t="shared" si="363"/>
        <v/>
      </c>
      <c r="DL635" s="164" t="str">
        <f>IFERROR(INDEX(DE$615:DE$663,_xlfn.AGGREGATE(15,6,(ROW(DE$615:DE$663)-ROW(DE$615)+1)/(DE$615:DE$663&lt;&gt;""),ROWS(DL$1:DL21))),"")</f>
        <v/>
      </c>
      <c r="DM635" s="165" t="str">
        <f>IFERROR(INDEX(DF$615:DF$663,_xlfn.AGGREGATE(15,6,(ROW(DF$615:DF$663)-ROW(DF$615)+1)/(DF$615:DF$663&lt;&gt;""),ROWS(DM$1:DM21))),"")</f>
        <v/>
      </c>
      <c r="DN635" s="166" t="str">
        <f t="shared" si="364"/>
        <v/>
      </c>
      <c r="DO635" s="164" t="str">
        <f>IFERROR(INDEX(DG$615:DG$663,_xlfn.AGGREGATE(15,6,(ROW(DG$615:DG$663)-ROW(DG$615)+1)/(DG$615:DG$663&lt;&gt;""),ROWS(DO$1:DO21))),"")</f>
        <v/>
      </c>
      <c r="DP635" s="165" t="str">
        <f>IFERROR(INDEX(DH$615:DH$663,_xlfn.AGGREGATE(15,6,(ROW(DH$615:DH$663)-ROW(DH$615)+1)/(DH$615:DH$663&lt;&gt;""),ROWS(DP$1:DP21))),"")</f>
        <v/>
      </c>
      <c r="DQ635" s="166" t="str">
        <f t="shared" si="365"/>
        <v/>
      </c>
      <c r="DR635" s="65"/>
      <c r="DV635" s="145">
        <v>2035</v>
      </c>
      <c r="DW635" s="235" t="e">
        <f t="shared" ca="1" si="349"/>
        <v>#REF!</v>
      </c>
    </row>
    <row r="636" spans="1:135" ht="13.8" x14ac:dyDescent="0.45">
      <c r="B636" s="128">
        <v>2033</v>
      </c>
      <c r="C636" s="912"/>
      <c r="D636" s="960"/>
      <c r="E636" s="292"/>
      <c r="F636" s="914"/>
      <c r="G636" s="320"/>
      <c r="H636" s="292"/>
      <c r="I636" s="1112"/>
      <c r="J636" s="320"/>
      <c r="K636" s="292"/>
      <c r="L636" s="293"/>
      <c r="M636" s="292"/>
      <c r="N636" s="29" t="s">
        <v>119</v>
      </c>
      <c r="O636" s="120"/>
      <c r="P636" s="120"/>
      <c r="Q636" s="120"/>
      <c r="R636" s="29">
        <v>19</v>
      </c>
      <c r="S636" s="317" t="str">
        <f t="shared" si="350"/>
        <v/>
      </c>
      <c r="T636" s="317" t="str">
        <f t="shared" si="351"/>
        <v/>
      </c>
      <c r="U636" s="317" t="str">
        <f t="shared" si="352"/>
        <v/>
      </c>
      <c r="W636" s="317" t="e">
        <f t="shared" si="353"/>
        <v>#N/A</v>
      </c>
      <c r="X636" s="317" t="e">
        <f t="shared" si="354"/>
        <v>#N/A</v>
      </c>
      <c r="Y636" s="317" t="e">
        <f t="shared" si="355"/>
        <v>#N/A</v>
      </c>
      <c r="AA636" s="89"/>
      <c r="AB636" s="89"/>
      <c r="AC636" s="89"/>
      <c r="AD636" s="89"/>
      <c r="AE636" s="89"/>
      <c r="AF636" s="89"/>
      <c r="AG636" s="89"/>
      <c r="AH636" s="89"/>
      <c r="AI636" s="89"/>
      <c r="AJ636" s="89"/>
      <c r="AK636" s="89"/>
      <c r="AL636" s="89"/>
      <c r="AM636" s="89"/>
      <c r="AN636" s="89"/>
      <c r="BR636" s="180">
        <v>2031</v>
      </c>
      <c r="BS636" s="22">
        <v>17</v>
      </c>
      <c r="BT636" s="318" t="e">
        <f t="shared" si="366"/>
        <v>#DIV/0!</v>
      </c>
      <c r="BU636" s="319" t="e">
        <f t="shared" si="367"/>
        <v>#DIV/0!</v>
      </c>
      <c r="BV636" s="205" t="e">
        <f t="shared" si="368"/>
        <v>#DIV/0!</v>
      </c>
      <c r="BY636" s="180">
        <v>2031</v>
      </c>
      <c r="BZ636" s="22">
        <v>17</v>
      </c>
      <c r="CA636" s="318" t="e">
        <f t="shared" ca="1" si="369"/>
        <v>#REF!</v>
      </c>
      <c r="CB636" s="318" t="e">
        <f t="shared" ca="1" si="370"/>
        <v>#REF!</v>
      </c>
      <c r="CC636" s="319" t="e">
        <f t="shared" ca="1" si="381"/>
        <v>#REF!</v>
      </c>
      <c r="CD636" s="205" t="e">
        <f t="shared" ca="1" si="371"/>
        <v>#REF!</v>
      </c>
      <c r="CG636" s="180">
        <v>2031</v>
      </c>
      <c r="CH636" s="22">
        <v>17</v>
      </c>
      <c r="CI636" s="318" t="e">
        <f t="shared" ca="1" si="372"/>
        <v>#REF!</v>
      </c>
      <c r="CJ636" s="318" t="e">
        <f t="shared" ca="1" si="373"/>
        <v>#REF!</v>
      </c>
      <c r="CK636" s="318" t="e">
        <f t="shared" ca="1" si="374"/>
        <v>#REF!</v>
      </c>
      <c r="CL636" s="319" t="e">
        <f t="shared" ca="1" si="375"/>
        <v>#REF!</v>
      </c>
      <c r="CM636" s="205" t="e">
        <f t="shared" ca="1" si="376"/>
        <v>#REF!</v>
      </c>
      <c r="CP636" s="180">
        <v>2031</v>
      </c>
      <c r="CQ636" s="22">
        <v>17</v>
      </c>
      <c r="CR636" s="318" t="e">
        <f t="shared" ca="1" si="377"/>
        <v>#REF!</v>
      </c>
      <c r="CS636" s="319" t="e">
        <f t="shared" ca="1" si="378"/>
        <v>#REF!</v>
      </c>
      <c r="CT636" s="205" t="e">
        <f t="shared" ca="1" si="379"/>
        <v>#REF!</v>
      </c>
      <c r="CZ636" s="164" t="b">
        <f t="shared" si="356"/>
        <v>0</v>
      </c>
      <c r="DA636" s="165" t="b">
        <f t="shared" si="356"/>
        <v>0</v>
      </c>
      <c r="DB636" s="166" t="b">
        <f t="shared" si="356"/>
        <v>0</v>
      </c>
      <c r="DC636" s="164" t="str">
        <f t="shared" si="357"/>
        <v/>
      </c>
      <c r="DD636" s="166" t="str">
        <f t="shared" si="358"/>
        <v/>
      </c>
      <c r="DE636" s="164" t="str">
        <f t="shared" si="359"/>
        <v/>
      </c>
      <c r="DF636" s="166" t="str">
        <f t="shared" si="360"/>
        <v/>
      </c>
      <c r="DG636" s="164" t="str">
        <f t="shared" si="361"/>
        <v/>
      </c>
      <c r="DH636" s="166" t="str">
        <f t="shared" si="362"/>
        <v/>
      </c>
      <c r="DI636" s="164" t="str">
        <f>IFERROR(INDEX(DC$615:DC$663,_xlfn.AGGREGATE(15,6,(ROW(DC$615:DC$663)-ROW(DC$615)+1)/(DC$615:DC$663&lt;&gt;""),ROWS(DI$1:DI22))),"")</f>
        <v/>
      </c>
      <c r="DJ636" s="165" t="str">
        <f>IFERROR(INDEX(DD$615:DD$663,_xlfn.AGGREGATE(15,6,(ROW(DD$615:DD$663)-ROW(DD$615)+1)/(DD$615:DD$663&lt;&gt;""),ROWS(DJ$1:DJ22))),"")</f>
        <v/>
      </c>
      <c r="DK636" s="166" t="str">
        <f t="shared" si="363"/>
        <v/>
      </c>
      <c r="DL636" s="164" t="str">
        <f>IFERROR(INDEX(DE$615:DE$663,_xlfn.AGGREGATE(15,6,(ROW(DE$615:DE$663)-ROW(DE$615)+1)/(DE$615:DE$663&lt;&gt;""),ROWS(DL$1:DL22))),"")</f>
        <v/>
      </c>
      <c r="DM636" s="165" t="str">
        <f>IFERROR(INDEX(DF$615:DF$663,_xlfn.AGGREGATE(15,6,(ROW(DF$615:DF$663)-ROW(DF$615)+1)/(DF$615:DF$663&lt;&gt;""),ROWS(DM$1:DM22))),"")</f>
        <v/>
      </c>
      <c r="DN636" s="166" t="str">
        <f t="shared" si="364"/>
        <v/>
      </c>
      <c r="DO636" s="164" t="str">
        <f>IFERROR(INDEX(DG$615:DG$663,_xlfn.AGGREGATE(15,6,(ROW(DG$615:DG$663)-ROW(DG$615)+1)/(DG$615:DG$663&lt;&gt;""),ROWS(DO$1:DO22))),"")</f>
        <v/>
      </c>
      <c r="DP636" s="165" t="str">
        <f>IFERROR(INDEX(DH$615:DH$663,_xlfn.AGGREGATE(15,6,(ROW(DH$615:DH$663)-ROW(DH$615)+1)/(DH$615:DH$663&lt;&gt;""),ROWS(DP$1:DP22))),"")</f>
        <v/>
      </c>
      <c r="DQ636" s="166" t="str">
        <f t="shared" si="365"/>
        <v/>
      </c>
      <c r="DR636" s="65"/>
      <c r="DV636" s="145">
        <v>2036</v>
      </c>
      <c r="DW636" s="235" t="e">
        <f t="shared" ca="1" si="349"/>
        <v>#REF!</v>
      </c>
    </row>
    <row r="637" spans="1:135" ht="13.8" x14ac:dyDescent="0.45">
      <c r="B637" s="128">
        <v>2034</v>
      </c>
      <c r="C637" s="912"/>
      <c r="D637" s="960"/>
      <c r="E637" s="292"/>
      <c r="F637" s="914"/>
      <c r="G637" s="320"/>
      <c r="H637" s="292"/>
      <c r="I637" s="1112"/>
      <c r="J637" s="320"/>
      <c r="K637" s="292"/>
      <c r="L637" s="293"/>
      <c r="M637" s="292"/>
      <c r="N637" s="29" t="s">
        <v>119</v>
      </c>
      <c r="O637" s="120"/>
      <c r="P637" s="120"/>
      <c r="Q637" s="120"/>
      <c r="R637" s="29">
        <v>20</v>
      </c>
      <c r="S637" s="317" t="str">
        <f t="shared" si="350"/>
        <v/>
      </c>
      <c r="T637" s="317" t="str">
        <f t="shared" si="351"/>
        <v/>
      </c>
      <c r="U637" s="317" t="str">
        <f t="shared" si="352"/>
        <v/>
      </c>
      <c r="W637" s="317" t="e">
        <f t="shared" si="353"/>
        <v>#N/A</v>
      </c>
      <c r="X637" s="317" t="e">
        <f t="shared" si="354"/>
        <v>#N/A</v>
      </c>
      <c r="Y637" s="317" t="e">
        <f t="shared" si="355"/>
        <v>#N/A</v>
      </c>
      <c r="AA637" s="89"/>
      <c r="AB637" s="89"/>
      <c r="AC637" s="89"/>
      <c r="AD637" s="89"/>
      <c r="AE637" s="89"/>
      <c r="AF637" s="89"/>
      <c r="AG637" s="89"/>
      <c r="AH637" s="89"/>
      <c r="AI637" s="89"/>
      <c r="AJ637" s="89"/>
      <c r="AK637" s="89"/>
      <c r="AL637" s="89"/>
      <c r="AM637" s="89"/>
      <c r="AN637" s="89"/>
      <c r="BR637" s="180">
        <v>2032</v>
      </c>
      <c r="BS637" s="22">
        <v>18</v>
      </c>
      <c r="BT637" s="318" t="e">
        <f t="shared" si="366"/>
        <v>#DIV/0!</v>
      </c>
      <c r="BU637" s="319" t="e">
        <f t="shared" si="367"/>
        <v>#DIV/0!</v>
      </c>
      <c r="BV637" s="205" t="e">
        <f t="shared" si="368"/>
        <v>#DIV/0!</v>
      </c>
      <c r="BY637" s="180">
        <v>2032</v>
      </c>
      <c r="BZ637" s="22">
        <v>18</v>
      </c>
      <c r="CA637" s="318" t="e">
        <f t="shared" ca="1" si="369"/>
        <v>#REF!</v>
      </c>
      <c r="CB637" s="318" t="e">
        <f t="shared" ca="1" si="370"/>
        <v>#REF!</v>
      </c>
      <c r="CC637" s="319" t="e">
        <f t="shared" ca="1" si="381"/>
        <v>#REF!</v>
      </c>
      <c r="CD637" s="205" t="e">
        <f t="shared" ca="1" si="371"/>
        <v>#REF!</v>
      </c>
      <c r="CG637" s="180">
        <v>2032</v>
      </c>
      <c r="CH637" s="22">
        <v>18</v>
      </c>
      <c r="CI637" s="318" t="e">
        <f t="shared" ca="1" si="372"/>
        <v>#REF!</v>
      </c>
      <c r="CJ637" s="318" t="e">
        <f t="shared" ca="1" si="373"/>
        <v>#REF!</v>
      </c>
      <c r="CK637" s="318" t="e">
        <f t="shared" ca="1" si="374"/>
        <v>#REF!</v>
      </c>
      <c r="CL637" s="319" t="e">
        <f t="shared" ca="1" si="375"/>
        <v>#REF!</v>
      </c>
      <c r="CM637" s="205" t="e">
        <f t="shared" ca="1" si="376"/>
        <v>#REF!</v>
      </c>
      <c r="CP637" s="180">
        <v>2032</v>
      </c>
      <c r="CQ637" s="22">
        <v>18</v>
      </c>
      <c r="CR637" s="318" t="e">
        <f t="shared" ca="1" si="377"/>
        <v>#REF!</v>
      </c>
      <c r="CS637" s="319" t="e">
        <f t="shared" ca="1" si="378"/>
        <v>#REF!</v>
      </c>
      <c r="CT637" s="205" t="e">
        <f t="shared" ca="1" si="379"/>
        <v>#REF!</v>
      </c>
      <c r="CZ637" s="164" t="b">
        <f t="shared" si="356"/>
        <v>0</v>
      </c>
      <c r="DA637" s="165" t="b">
        <f t="shared" si="356"/>
        <v>0</v>
      </c>
      <c r="DB637" s="166" t="b">
        <f t="shared" si="356"/>
        <v>0</v>
      </c>
      <c r="DC637" s="164" t="str">
        <f t="shared" si="357"/>
        <v/>
      </c>
      <c r="DD637" s="166" t="str">
        <f t="shared" si="358"/>
        <v/>
      </c>
      <c r="DE637" s="164" t="str">
        <f t="shared" si="359"/>
        <v/>
      </c>
      <c r="DF637" s="166" t="str">
        <f t="shared" si="360"/>
        <v/>
      </c>
      <c r="DG637" s="164" t="str">
        <f t="shared" si="361"/>
        <v/>
      </c>
      <c r="DH637" s="166" t="str">
        <f t="shared" si="362"/>
        <v/>
      </c>
      <c r="DI637" s="164" t="str">
        <f>IFERROR(INDEX(DC$615:DC$663,_xlfn.AGGREGATE(15,6,(ROW(DC$615:DC$663)-ROW(DC$615)+1)/(DC$615:DC$663&lt;&gt;""),ROWS(DI$1:DI23))),"")</f>
        <v/>
      </c>
      <c r="DJ637" s="165" t="str">
        <f>IFERROR(INDEX(DD$615:DD$663,_xlfn.AGGREGATE(15,6,(ROW(DD$615:DD$663)-ROW(DD$615)+1)/(DD$615:DD$663&lt;&gt;""),ROWS(DJ$1:DJ23))),"")</f>
        <v/>
      </c>
      <c r="DK637" s="166" t="str">
        <f t="shared" si="363"/>
        <v/>
      </c>
      <c r="DL637" s="164" t="str">
        <f>IFERROR(INDEX(DE$615:DE$663,_xlfn.AGGREGATE(15,6,(ROW(DE$615:DE$663)-ROW(DE$615)+1)/(DE$615:DE$663&lt;&gt;""),ROWS(DL$1:DL23))),"")</f>
        <v/>
      </c>
      <c r="DM637" s="165" t="str">
        <f>IFERROR(INDEX(DF$615:DF$663,_xlfn.AGGREGATE(15,6,(ROW(DF$615:DF$663)-ROW(DF$615)+1)/(DF$615:DF$663&lt;&gt;""),ROWS(DM$1:DM23))),"")</f>
        <v/>
      </c>
      <c r="DN637" s="166" t="str">
        <f t="shared" si="364"/>
        <v/>
      </c>
      <c r="DO637" s="164" t="str">
        <f>IFERROR(INDEX(DG$615:DG$663,_xlfn.AGGREGATE(15,6,(ROW(DG$615:DG$663)-ROW(DG$615)+1)/(DG$615:DG$663&lt;&gt;""),ROWS(DO$1:DO23))),"")</f>
        <v/>
      </c>
      <c r="DP637" s="165" t="str">
        <f>IFERROR(INDEX(DH$615:DH$663,_xlfn.AGGREGATE(15,6,(ROW(DH$615:DH$663)-ROW(DH$615)+1)/(DH$615:DH$663&lt;&gt;""),ROWS(DP$1:DP23))),"")</f>
        <v/>
      </c>
      <c r="DQ637" s="166" t="str">
        <f t="shared" si="365"/>
        <v/>
      </c>
      <c r="DR637" s="65"/>
      <c r="DV637" s="145">
        <v>2037</v>
      </c>
      <c r="DW637" s="235" t="e">
        <f t="shared" ca="1" si="349"/>
        <v>#REF!</v>
      </c>
    </row>
    <row r="638" spans="1:135" ht="13.8" x14ac:dyDescent="0.45">
      <c r="B638" s="128">
        <v>2035</v>
      </c>
      <c r="C638" s="912"/>
      <c r="D638" s="960"/>
      <c r="E638" s="292"/>
      <c r="F638" s="914"/>
      <c r="G638" s="320"/>
      <c r="H638" s="292"/>
      <c r="I638" s="1112"/>
      <c r="J638" s="320"/>
      <c r="K638" s="292"/>
      <c r="L638" s="293"/>
      <c r="M638" s="292"/>
      <c r="N638" s="29" t="s">
        <v>119</v>
      </c>
      <c r="O638" s="120"/>
      <c r="P638" s="120"/>
      <c r="Q638" s="120"/>
      <c r="R638" s="29">
        <v>21</v>
      </c>
      <c r="S638" s="317" t="str">
        <f t="shared" si="350"/>
        <v/>
      </c>
      <c r="T638" s="317" t="str">
        <f t="shared" si="351"/>
        <v/>
      </c>
      <c r="U638" s="317" t="str">
        <f t="shared" si="352"/>
        <v/>
      </c>
      <c r="W638" s="317" t="e">
        <f t="shared" si="353"/>
        <v>#N/A</v>
      </c>
      <c r="X638" s="317" t="e">
        <f t="shared" si="354"/>
        <v>#N/A</v>
      </c>
      <c r="Y638" s="317" t="e">
        <f t="shared" si="355"/>
        <v>#N/A</v>
      </c>
      <c r="AA638" s="89"/>
      <c r="AB638" s="89"/>
      <c r="AC638" s="89"/>
      <c r="AD638" s="89"/>
      <c r="AE638" s="89"/>
      <c r="AF638" s="89"/>
      <c r="AG638" s="89"/>
      <c r="AH638" s="89"/>
      <c r="AI638" s="89"/>
      <c r="AJ638" s="89"/>
      <c r="AK638" s="89"/>
      <c r="AL638" s="89"/>
      <c r="AM638" s="89"/>
      <c r="AN638" s="89"/>
      <c r="BR638" s="180">
        <v>2033</v>
      </c>
      <c r="BS638" s="22">
        <v>19</v>
      </c>
      <c r="BT638" s="318" t="e">
        <f t="shared" si="366"/>
        <v>#DIV/0!</v>
      </c>
      <c r="BU638" s="319" t="e">
        <f t="shared" si="367"/>
        <v>#DIV/0!</v>
      </c>
      <c r="BV638" s="205" t="e">
        <f t="shared" si="368"/>
        <v>#DIV/0!</v>
      </c>
      <c r="BY638" s="180">
        <v>2033</v>
      </c>
      <c r="BZ638" s="22">
        <v>19</v>
      </c>
      <c r="CA638" s="318" t="e">
        <f t="shared" ca="1" si="369"/>
        <v>#REF!</v>
      </c>
      <c r="CB638" s="318" t="e">
        <f t="shared" ca="1" si="370"/>
        <v>#REF!</v>
      </c>
      <c r="CC638" s="319" t="e">
        <f t="shared" ca="1" si="381"/>
        <v>#REF!</v>
      </c>
      <c r="CD638" s="205" t="e">
        <f t="shared" ca="1" si="371"/>
        <v>#REF!</v>
      </c>
      <c r="CG638" s="180">
        <v>2033</v>
      </c>
      <c r="CH638" s="22">
        <v>19</v>
      </c>
      <c r="CI638" s="318" t="e">
        <f t="shared" ca="1" si="372"/>
        <v>#REF!</v>
      </c>
      <c r="CJ638" s="318" t="e">
        <f t="shared" ca="1" si="373"/>
        <v>#REF!</v>
      </c>
      <c r="CK638" s="318" t="e">
        <f t="shared" ca="1" si="374"/>
        <v>#REF!</v>
      </c>
      <c r="CL638" s="319" t="e">
        <f t="shared" ca="1" si="375"/>
        <v>#REF!</v>
      </c>
      <c r="CM638" s="205" t="e">
        <f t="shared" ca="1" si="376"/>
        <v>#REF!</v>
      </c>
      <c r="CP638" s="180">
        <v>2033</v>
      </c>
      <c r="CQ638" s="22">
        <v>19</v>
      </c>
      <c r="CR638" s="318" t="e">
        <f t="shared" ca="1" si="377"/>
        <v>#REF!</v>
      </c>
      <c r="CS638" s="319" t="e">
        <f t="shared" ca="1" si="378"/>
        <v>#REF!</v>
      </c>
      <c r="CT638" s="205" t="e">
        <f t="shared" ca="1" si="379"/>
        <v>#REF!</v>
      </c>
      <c r="CZ638" s="164" t="b">
        <f t="shared" si="356"/>
        <v>0</v>
      </c>
      <c r="DA638" s="165" t="b">
        <f t="shared" si="356"/>
        <v>0</v>
      </c>
      <c r="DB638" s="166" t="b">
        <f t="shared" si="356"/>
        <v>0</v>
      </c>
      <c r="DC638" s="164" t="str">
        <f t="shared" si="357"/>
        <v/>
      </c>
      <c r="DD638" s="166" t="str">
        <f t="shared" si="358"/>
        <v/>
      </c>
      <c r="DE638" s="164" t="str">
        <f t="shared" si="359"/>
        <v/>
      </c>
      <c r="DF638" s="166" t="str">
        <f t="shared" si="360"/>
        <v/>
      </c>
      <c r="DG638" s="164" t="str">
        <f t="shared" si="361"/>
        <v/>
      </c>
      <c r="DH638" s="166" t="str">
        <f t="shared" si="362"/>
        <v/>
      </c>
      <c r="DI638" s="164" t="str">
        <f>IFERROR(INDEX(DC$615:DC$663,_xlfn.AGGREGATE(15,6,(ROW(DC$615:DC$663)-ROW(DC$615)+1)/(DC$615:DC$663&lt;&gt;""),ROWS(DI$1:DI24))),"")</f>
        <v/>
      </c>
      <c r="DJ638" s="165" t="str">
        <f>IFERROR(INDEX(DD$615:DD$663,_xlfn.AGGREGATE(15,6,(ROW(DD$615:DD$663)-ROW(DD$615)+1)/(DD$615:DD$663&lt;&gt;""),ROWS(DJ$1:DJ24))),"")</f>
        <v/>
      </c>
      <c r="DK638" s="166" t="str">
        <f t="shared" si="363"/>
        <v/>
      </c>
      <c r="DL638" s="164" t="str">
        <f>IFERROR(INDEX(DE$615:DE$663,_xlfn.AGGREGATE(15,6,(ROW(DE$615:DE$663)-ROW(DE$615)+1)/(DE$615:DE$663&lt;&gt;""),ROWS(DL$1:DL24))),"")</f>
        <v/>
      </c>
      <c r="DM638" s="165" t="str">
        <f>IFERROR(INDEX(DF$615:DF$663,_xlfn.AGGREGATE(15,6,(ROW(DF$615:DF$663)-ROW(DF$615)+1)/(DF$615:DF$663&lt;&gt;""),ROWS(DM$1:DM24))),"")</f>
        <v/>
      </c>
      <c r="DN638" s="166" t="str">
        <f t="shared" si="364"/>
        <v/>
      </c>
      <c r="DO638" s="164" t="str">
        <f>IFERROR(INDEX(DG$615:DG$663,_xlfn.AGGREGATE(15,6,(ROW(DG$615:DG$663)-ROW(DG$615)+1)/(DG$615:DG$663&lt;&gt;""),ROWS(DO$1:DO24))),"")</f>
        <v/>
      </c>
      <c r="DP638" s="165" t="str">
        <f>IFERROR(INDEX(DH$615:DH$663,_xlfn.AGGREGATE(15,6,(ROW(DH$615:DH$663)-ROW(DH$615)+1)/(DH$615:DH$663&lt;&gt;""),ROWS(DP$1:DP24))),"")</f>
        <v/>
      </c>
      <c r="DQ638" s="166" t="str">
        <f t="shared" si="365"/>
        <v/>
      </c>
      <c r="DR638" s="65"/>
      <c r="DV638" s="145">
        <v>2038</v>
      </c>
      <c r="DW638" s="235" t="e">
        <f t="shared" ca="1" si="349"/>
        <v>#REF!</v>
      </c>
    </row>
    <row r="639" spans="1:135" ht="13.8" x14ac:dyDescent="0.45">
      <c r="B639" s="128">
        <v>2036</v>
      </c>
      <c r="C639" s="912"/>
      <c r="D639" s="960"/>
      <c r="E639" s="292"/>
      <c r="F639" s="914"/>
      <c r="G639" s="320"/>
      <c r="H639" s="292"/>
      <c r="I639" s="1112"/>
      <c r="J639" s="320"/>
      <c r="K639" s="292"/>
      <c r="L639" s="293"/>
      <c r="M639" s="292"/>
      <c r="N639" s="29" t="s">
        <v>119</v>
      </c>
      <c r="O639" s="120"/>
      <c r="P639" s="120"/>
      <c r="Q639" s="120"/>
      <c r="R639" s="29">
        <v>22</v>
      </c>
      <c r="S639" s="317" t="str">
        <f t="shared" si="350"/>
        <v/>
      </c>
      <c r="T639" s="317" t="str">
        <f t="shared" si="351"/>
        <v/>
      </c>
      <c r="U639" s="317" t="str">
        <f t="shared" si="352"/>
        <v/>
      </c>
      <c r="W639" s="317" t="e">
        <f t="shared" si="353"/>
        <v>#N/A</v>
      </c>
      <c r="X639" s="317" t="e">
        <f t="shared" si="354"/>
        <v>#N/A</v>
      </c>
      <c r="Y639" s="317" t="e">
        <f t="shared" si="355"/>
        <v>#N/A</v>
      </c>
      <c r="AA639" s="89"/>
      <c r="AB639" s="89"/>
      <c r="AC639" s="89"/>
      <c r="AD639" s="89"/>
      <c r="AE639" s="89"/>
      <c r="AF639" s="89"/>
      <c r="AG639" s="89"/>
      <c r="AH639" s="89"/>
      <c r="AI639" s="89"/>
      <c r="AJ639" s="89"/>
      <c r="AK639" s="89"/>
      <c r="AL639" s="89"/>
      <c r="AM639" s="89"/>
      <c r="AN639" s="89"/>
      <c r="BR639" s="180">
        <v>2034</v>
      </c>
      <c r="BS639" s="22">
        <v>20</v>
      </c>
      <c r="BT639" s="318" t="e">
        <f t="shared" si="366"/>
        <v>#DIV/0!</v>
      </c>
      <c r="BU639" s="319" t="e">
        <f t="shared" si="367"/>
        <v>#DIV/0!</v>
      </c>
      <c r="BV639" s="205" t="e">
        <f t="shared" si="368"/>
        <v>#DIV/0!</v>
      </c>
      <c r="BY639" s="180">
        <v>2034</v>
      </c>
      <c r="BZ639" s="22">
        <v>20</v>
      </c>
      <c r="CA639" s="318" t="e">
        <f t="shared" ca="1" si="369"/>
        <v>#REF!</v>
      </c>
      <c r="CB639" s="318" t="e">
        <f t="shared" ca="1" si="370"/>
        <v>#REF!</v>
      </c>
      <c r="CC639" s="319" t="e">
        <f t="shared" ca="1" si="381"/>
        <v>#REF!</v>
      </c>
      <c r="CD639" s="205" t="e">
        <f t="shared" ca="1" si="371"/>
        <v>#REF!</v>
      </c>
      <c r="CG639" s="180">
        <v>2034</v>
      </c>
      <c r="CH639" s="22">
        <v>20</v>
      </c>
      <c r="CI639" s="318" t="e">
        <f t="shared" ca="1" si="372"/>
        <v>#REF!</v>
      </c>
      <c r="CJ639" s="318" t="e">
        <f t="shared" ca="1" si="373"/>
        <v>#REF!</v>
      </c>
      <c r="CK639" s="318" t="e">
        <f t="shared" ca="1" si="374"/>
        <v>#REF!</v>
      </c>
      <c r="CL639" s="319" t="e">
        <f t="shared" ca="1" si="375"/>
        <v>#REF!</v>
      </c>
      <c r="CM639" s="205" t="e">
        <f t="shared" ca="1" si="376"/>
        <v>#REF!</v>
      </c>
      <c r="CP639" s="180">
        <v>2034</v>
      </c>
      <c r="CQ639" s="22">
        <v>20</v>
      </c>
      <c r="CR639" s="318" t="e">
        <f t="shared" ca="1" si="377"/>
        <v>#REF!</v>
      </c>
      <c r="CS639" s="319" t="e">
        <f t="shared" ca="1" si="378"/>
        <v>#REF!</v>
      </c>
      <c r="CT639" s="205" t="e">
        <f t="shared" ca="1" si="379"/>
        <v>#REF!</v>
      </c>
      <c r="CZ639" s="164" t="b">
        <f t="shared" si="356"/>
        <v>0</v>
      </c>
      <c r="DA639" s="165" t="b">
        <f t="shared" si="356"/>
        <v>0</v>
      </c>
      <c r="DB639" s="166" t="b">
        <f t="shared" si="356"/>
        <v>0</v>
      </c>
      <c r="DC639" s="164" t="str">
        <f t="shared" si="357"/>
        <v/>
      </c>
      <c r="DD639" s="166" t="str">
        <f t="shared" si="358"/>
        <v/>
      </c>
      <c r="DE639" s="164" t="str">
        <f t="shared" si="359"/>
        <v/>
      </c>
      <c r="DF639" s="166" t="str">
        <f t="shared" si="360"/>
        <v/>
      </c>
      <c r="DG639" s="164" t="str">
        <f t="shared" si="361"/>
        <v/>
      </c>
      <c r="DH639" s="166" t="str">
        <f t="shared" si="362"/>
        <v/>
      </c>
      <c r="DI639" s="164" t="str">
        <f>IFERROR(INDEX(DC$615:DC$663,_xlfn.AGGREGATE(15,6,(ROW(DC$615:DC$663)-ROW(DC$615)+1)/(DC$615:DC$663&lt;&gt;""),ROWS(DI$1:DI25))),"")</f>
        <v/>
      </c>
      <c r="DJ639" s="165" t="str">
        <f>IFERROR(INDEX(DD$615:DD$663,_xlfn.AGGREGATE(15,6,(ROW(DD$615:DD$663)-ROW(DD$615)+1)/(DD$615:DD$663&lt;&gt;""),ROWS(DJ$1:DJ25))),"")</f>
        <v/>
      </c>
      <c r="DK639" s="166" t="str">
        <f t="shared" si="363"/>
        <v/>
      </c>
      <c r="DL639" s="164" t="str">
        <f>IFERROR(INDEX(DE$615:DE$663,_xlfn.AGGREGATE(15,6,(ROW(DE$615:DE$663)-ROW(DE$615)+1)/(DE$615:DE$663&lt;&gt;""),ROWS(DL$1:DL25))),"")</f>
        <v/>
      </c>
      <c r="DM639" s="165" t="str">
        <f>IFERROR(INDEX(DF$615:DF$663,_xlfn.AGGREGATE(15,6,(ROW(DF$615:DF$663)-ROW(DF$615)+1)/(DF$615:DF$663&lt;&gt;""),ROWS(DM$1:DM25))),"")</f>
        <v/>
      </c>
      <c r="DN639" s="166" t="str">
        <f t="shared" si="364"/>
        <v/>
      </c>
      <c r="DO639" s="164" t="str">
        <f>IFERROR(INDEX(DG$615:DG$663,_xlfn.AGGREGATE(15,6,(ROW(DG$615:DG$663)-ROW(DG$615)+1)/(DG$615:DG$663&lt;&gt;""),ROWS(DO$1:DO25))),"")</f>
        <v/>
      </c>
      <c r="DP639" s="165" t="str">
        <f>IFERROR(INDEX(DH$615:DH$663,_xlfn.AGGREGATE(15,6,(ROW(DH$615:DH$663)-ROW(DH$615)+1)/(DH$615:DH$663&lt;&gt;""),ROWS(DP$1:DP25))),"")</f>
        <v/>
      </c>
      <c r="DQ639" s="166" t="str">
        <f t="shared" si="365"/>
        <v/>
      </c>
      <c r="DR639" s="65"/>
      <c r="DV639" s="145">
        <v>2039</v>
      </c>
      <c r="DW639" s="235" t="e">
        <f t="shared" ca="1" si="349"/>
        <v>#REF!</v>
      </c>
    </row>
    <row r="640" spans="1:135" ht="13.8" x14ac:dyDescent="0.45">
      <c r="B640" s="128">
        <v>2037</v>
      </c>
      <c r="C640" s="912"/>
      <c r="D640" s="960"/>
      <c r="E640" s="292"/>
      <c r="F640" s="914"/>
      <c r="G640" s="320"/>
      <c r="H640" s="292"/>
      <c r="I640" s="1112"/>
      <c r="J640" s="320"/>
      <c r="K640" s="292"/>
      <c r="L640" s="293"/>
      <c r="M640" s="292"/>
      <c r="N640" s="29" t="s">
        <v>119</v>
      </c>
      <c r="O640" s="120"/>
      <c r="P640" s="120"/>
      <c r="Q640" s="120"/>
      <c r="R640" s="29">
        <v>23</v>
      </c>
      <c r="S640" s="317" t="str">
        <f t="shared" si="350"/>
        <v/>
      </c>
      <c r="T640" s="317" t="str">
        <f t="shared" si="351"/>
        <v/>
      </c>
      <c r="U640" s="317" t="str">
        <f t="shared" si="352"/>
        <v/>
      </c>
      <c r="W640" s="317" t="e">
        <f t="shared" si="353"/>
        <v>#N/A</v>
      </c>
      <c r="X640" s="317" t="e">
        <f t="shared" si="354"/>
        <v>#N/A</v>
      </c>
      <c r="Y640" s="317" t="e">
        <f t="shared" si="355"/>
        <v>#N/A</v>
      </c>
      <c r="AA640" s="89"/>
      <c r="AB640" s="89"/>
      <c r="AC640" s="89"/>
      <c r="AD640" s="89"/>
      <c r="AE640" s="89"/>
      <c r="AF640" s="89"/>
      <c r="AG640" s="89"/>
      <c r="AH640" s="89"/>
      <c r="AI640" s="89"/>
      <c r="AJ640" s="89"/>
      <c r="AK640" s="89"/>
      <c r="AL640" s="89"/>
      <c r="AM640" s="89"/>
      <c r="AN640" s="89"/>
      <c r="BR640" s="180">
        <v>2035</v>
      </c>
      <c r="BS640" s="22">
        <v>21</v>
      </c>
      <c r="BT640" s="318" t="e">
        <f t="shared" si="366"/>
        <v>#DIV/0!</v>
      </c>
      <c r="BU640" s="319" t="e">
        <f t="shared" si="367"/>
        <v>#DIV/0!</v>
      </c>
      <c r="BV640" s="205" t="e">
        <f t="shared" si="368"/>
        <v>#DIV/0!</v>
      </c>
      <c r="BY640" s="180">
        <v>2035</v>
      </c>
      <c r="BZ640" s="22">
        <v>21</v>
      </c>
      <c r="CA640" s="318" t="e">
        <f t="shared" ca="1" si="369"/>
        <v>#REF!</v>
      </c>
      <c r="CB640" s="318" t="e">
        <f t="shared" ca="1" si="370"/>
        <v>#REF!</v>
      </c>
      <c r="CC640" s="319" t="e">
        <f t="shared" ca="1" si="381"/>
        <v>#REF!</v>
      </c>
      <c r="CD640" s="205" t="e">
        <f t="shared" ca="1" si="371"/>
        <v>#REF!</v>
      </c>
      <c r="CG640" s="180">
        <v>2035</v>
      </c>
      <c r="CH640" s="22">
        <v>21</v>
      </c>
      <c r="CI640" s="318" t="e">
        <f t="shared" ca="1" si="372"/>
        <v>#REF!</v>
      </c>
      <c r="CJ640" s="318" t="e">
        <f t="shared" ca="1" si="373"/>
        <v>#REF!</v>
      </c>
      <c r="CK640" s="318" t="e">
        <f t="shared" ca="1" si="374"/>
        <v>#REF!</v>
      </c>
      <c r="CL640" s="319" t="e">
        <f t="shared" ca="1" si="375"/>
        <v>#REF!</v>
      </c>
      <c r="CM640" s="205" t="e">
        <f t="shared" ca="1" si="376"/>
        <v>#REF!</v>
      </c>
      <c r="CP640" s="180">
        <v>2035</v>
      </c>
      <c r="CQ640" s="22">
        <v>21</v>
      </c>
      <c r="CR640" s="318" t="e">
        <f t="shared" ca="1" si="377"/>
        <v>#REF!</v>
      </c>
      <c r="CS640" s="319" t="e">
        <f t="shared" ca="1" si="378"/>
        <v>#REF!</v>
      </c>
      <c r="CT640" s="205" t="e">
        <f t="shared" ca="1" si="379"/>
        <v>#REF!</v>
      </c>
      <c r="CZ640" s="164" t="b">
        <f t="shared" si="356"/>
        <v>0</v>
      </c>
      <c r="DA640" s="165" t="b">
        <f t="shared" si="356"/>
        <v>0</v>
      </c>
      <c r="DB640" s="166" t="b">
        <f t="shared" si="356"/>
        <v>0</v>
      </c>
      <c r="DC640" s="164" t="str">
        <f t="shared" si="357"/>
        <v/>
      </c>
      <c r="DD640" s="166" t="str">
        <f t="shared" si="358"/>
        <v/>
      </c>
      <c r="DE640" s="164" t="str">
        <f t="shared" si="359"/>
        <v/>
      </c>
      <c r="DF640" s="166" t="str">
        <f t="shared" si="360"/>
        <v/>
      </c>
      <c r="DG640" s="164" t="str">
        <f t="shared" si="361"/>
        <v/>
      </c>
      <c r="DH640" s="166" t="str">
        <f t="shared" si="362"/>
        <v/>
      </c>
      <c r="DI640" s="164" t="str">
        <f>IFERROR(INDEX(DC$615:DC$663,_xlfn.AGGREGATE(15,6,(ROW(DC$615:DC$663)-ROW(DC$615)+1)/(DC$615:DC$663&lt;&gt;""),ROWS(DI$1:DI26))),"")</f>
        <v/>
      </c>
      <c r="DJ640" s="165" t="str">
        <f>IFERROR(INDEX(DD$615:DD$663,_xlfn.AGGREGATE(15,6,(ROW(DD$615:DD$663)-ROW(DD$615)+1)/(DD$615:DD$663&lt;&gt;""),ROWS(DJ$1:DJ26))),"")</f>
        <v/>
      </c>
      <c r="DK640" s="166" t="str">
        <f t="shared" si="363"/>
        <v/>
      </c>
      <c r="DL640" s="164" t="str">
        <f>IFERROR(INDEX(DE$615:DE$663,_xlfn.AGGREGATE(15,6,(ROW(DE$615:DE$663)-ROW(DE$615)+1)/(DE$615:DE$663&lt;&gt;""),ROWS(DL$1:DL26))),"")</f>
        <v/>
      </c>
      <c r="DM640" s="165" t="str">
        <f>IFERROR(INDEX(DF$615:DF$663,_xlfn.AGGREGATE(15,6,(ROW(DF$615:DF$663)-ROW(DF$615)+1)/(DF$615:DF$663&lt;&gt;""),ROWS(DM$1:DM26))),"")</f>
        <v/>
      </c>
      <c r="DN640" s="166" t="str">
        <f t="shared" si="364"/>
        <v/>
      </c>
      <c r="DO640" s="164" t="str">
        <f>IFERROR(INDEX(DG$615:DG$663,_xlfn.AGGREGATE(15,6,(ROW(DG$615:DG$663)-ROW(DG$615)+1)/(DG$615:DG$663&lt;&gt;""),ROWS(DO$1:DO26))),"")</f>
        <v/>
      </c>
      <c r="DP640" s="165" t="str">
        <f>IFERROR(INDEX(DH$615:DH$663,_xlfn.AGGREGATE(15,6,(ROW(DH$615:DH$663)-ROW(DH$615)+1)/(DH$615:DH$663&lt;&gt;""),ROWS(DP$1:DP26))),"")</f>
        <v/>
      </c>
      <c r="DQ640" s="166" t="str">
        <f t="shared" si="365"/>
        <v/>
      </c>
      <c r="DR640" s="65"/>
      <c r="DV640" s="145">
        <v>2040</v>
      </c>
      <c r="DW640" s="235" t="e">
        <f t="shared" ca="1" si="349"/>
        <v>#REF!</v>
      </c>
    </row>
    <row r="641" spans="2:135" ht="13.8" x14ac:dyDescent="0.45">
      <c r="B641" s="128">
        <v>2038</v>
      </c>
      <c r="C641" s="912"/>
      <c r="D641" s="960"/>
      <c r="E641" s="292"/>
      <c r="F641" s="914"/>
      <c r="G641" s="320"/>
      <c r="H641" s="292"/>
      <c r="I641" s="1112"/>
      <c r="J641" s="320"/>
      <c r="K641" s="292"/>
      <c r="L641" s="293"/>
      <c r="M641" s="292"/>
      <c r="N641" s="29" t="s">
        <v>119</v>
      </c>
      <c r="O641" s="120"/>
      <c r="P641" s="120"/>
      <c r="Q641" s="120"/>
      <c r="R641" s="29">
        <v>24</v>
      </c>
      <c r="S641" s="317" t="str">
        <f t="shared" si="350"/>
        <v/>
      </c>
      <c r="T641" s="317" t="str">
        <f t="shared" si="351"/>
        <v/>
      </c>
      <c r="U641" s="317" t="str">
        <f t="shared" si="352"/>
        <v/>
      </c>
      <c r="W641" s="317" t="e">
        <f t="shared" si="353"/>
        <v>#N/A</v>
      </c>
      <c r="X641" s="317" t="e">
        <f t="shared" si="354"/>
        <v>#N/A</v>
      </c>
      <c r="Y641" s="317" t="e">
        <f t="shared" si="355"/>
        <v>#N/A</v>
      </c>
      <c r="AA641" s="89"/>
      <c r="AB641" s="89"/>
      <c r="AC641" s="89"/>
      <c r="AD641" s="89"/>
      <c r="AE641" s="89"/>
      <c r="AF641" s="89"/>
      <c r="AG641" s="89"/>
      <c r="AH641" s="89"/>
      <c r="AI641" s="89"/>
      <c r="AJ641" s="89"/>
      <c r="AK641" s="89"/>
      <c r="AL641" s="89"/>
      <c r="AM641" s="89"/>
      <c r="AN641" s="89"/>
      <c r="BR641" s="180">
        <v>2036</v>
      </c>
      <c r="BS641" s="22">
        <v>22</v>
      </c>
      <c r="BT641" s="318" t="e">
        <f t="shared" si="366"/>
        <v>#DIV/0!</v>
      </c>
      <c r="BU641" s="319" t="e">
        <f t="shared" si="367"/>
        <v>#DIV/0!</v>
      </c>
      <c r="BV641" s="205" t="e">
        <f t="shared" si="368"/>
        <v>#DIV/0!</v>
      </c>
      <c r="BY641" s="180">
        <v>2036</v>
      </c>
      <c r="BZ641" s="22">
        <v>22</v>
      </c>
      <c r="CA641" s="318" t="e">
        <f t="shared" ca="1" si="369"/>
        <v>#REF!</v>
      </c>
      <c r="CB641" s="318" t="e">
        <f t="shared" ca="1" si="370"/>
        <v>#REF!</v>
      </c>
      <c r="CC641" s="319" t="e">
        <f t="shared" ca="1" si="381"/>
        <v>#REF!</v>
      </c>
      <c r="CD641" s="205" t="e">
        <f t="shared" ca="1" si="371"/>
        <v>#REF!</v>
      </c>
      <c r="CG641" s="180">
        <v>2036</v>
      </c>
      <c r="CH641" s="22">
        <v>22</v>
      </c>
      <c r="CI641" s="318" t="e">
        <f t="shared" ca="1" si="372"/>
        <v>#REF!</v>
      </c>
      <c r="CJ641" s="318" t="e">
        <f t="shared" ca="1" si="373"/>
        <v>#REF!</v>
      </c>
      <c r="CK641" s="318" t="e">
        <f t="shared" ca="1" si="374"/>
        <v>#REF!</v>
      </c>
      <c r="CL641" s="319" t="e">
        <f t="shared" ca="1" si="375"/>
        <v>#REF!</v>
      </c>
      <c r="CM641" s="205" t="e">
        <f t="shared" ca="1" si="376"/>
        <v>#REF!</v>
      </c>
      <c r="CP641" s="180">
        <v>2036</v>
      </c>
      <c r="CQ641" s="22">
        <v>22</v>
      </c>
      <c r="CR641" s="318" t="e">
        <f t="shared" ca="1" si="377"/>
        <v>#REF!</v>
      </c>
      <c r="CS641" s="319" t="e">
        <f t="shared" ca="1" si="378"/>
        <v>#REF!</v>
      </c>
      <c r="CT641" s="205" t="e">
        <f t="shared" ca="1" si="379"/>
        <v>#REF!</v>
      </c>
      <c r="CZ641" s="164" t="b">
        <f t="shared" si="356"/>
        <v>0</v>
      </c>
      <c r="DA641" s="165" t="b">
        <f t="shared" si="356"/>
        <v>0</v>
      </c>
      <c r="DB641" s="166" t="b">
        <f t="shared" si="356"/>
        <v>0</v>
      </c>
      <c r="DC641" s="164" t="str">
        <f t="shared" si="357"/>
        <v/>
      </c>
      <c r="DD641" s="166" t="str">
        <f t="shared" si="358"/>
        <v/>
      </c>
      <c r="DE641" s="164" t="str">
        <f t="shared" si="359"/>
        <v/>
      </c>
      <c r="DF641" s="166" t="str">
        <f t="shared" si="360"/>
        <v/>
      </c>
      <c r="DG641" s="164" t="str">
        <f t="shared" si="361"/>
        <v/>
      </c>
      <c r="DH641" s="166" t="str">
        <f t="shared" si="362"/>
        <v/>
      </c>
      <c r="DI641" s="164" t="str">
        <f>IFERROR(INDEX(DC$615:DC$663,_xlfn.AGGREGATE(15,6,(ROW(DC$615:DC$663)-ROW(DC$615)+1)/(DC$615:DC$663&lt;&gt;""),ROWS(DI$1:DI27))),"")</f>
        <v/>
      </c>
      <c r="DJ641" s="165" t="str">
        <f>IFERROR(INDEX(DD$615:DD$663,_xlfn.AGGREGATE(15,6,(ROW(DD$615:DD$663)-ROW(DD$615)+1)/(DD$615:DD$663&lt;&gt;""),ROWS(DJ$1:DJ27))),"")</f>
        <v/>
      </c>
      <c r="DK641" s="166" t="str">
        <f t="shared" si="363"/>
        <v/>
      </c>
      <c r="DL641" s="164" t="str">
        <f>IFERROR(INDEX(DE$615:DE$663,_xlfn.AGGREGATE(15,6,(ROW(DE$615:DE$663)-ROW(DE$615)+1)/(DE$615:DE$663&lt;&gt;""),ROWS(DL$1:DL27))),"")</f>
        <v/>
      </c>
      <c r="DM641" s="165" t="str">
        <f>IFERROR(INDEX(DF$615:DF$663,_xlfn.AGGREGATE(15,6,(ROW(DF$615:DF$663)-ROW(DF$615)+1)/(DF$615:DF$663&lt;&gt;""),ROWS(DM$1:DM27))),"")</f>
        <v/>
      </c>
      <c r="DN641" s="166" t="str">
        <f t="shared" si="364"/>
        <v/>
      </c>
      <c r="DO641" s="164" t="str">
        <f>IFERROR(INDEX(DG$615:DG$663,_xlfn.AGGREGATE(15,6,(ROW(DG$615:DG$663)-ROW(DG$615)+1)/(DG$615:DG$663&lt;&gt;""),ROWS(DO$1:DO27))),"")</f>
        <v/>
      </c>
      <c r="DP641" s="165" t="str">
        <f>IFERROR(INDEX(DH$615:DH$663,_xlfn.AGGREGATE(15,6,(ROW(DH$615:DH$663)-ROW(DH$615)+1)/(DH$615:DH$663&lt;&gt;""),ROWS(DP$1:DP27))),"")</f>
        <v/>
      </c>
      <c r="DQ641" s="166" t="str">
        <f t="shared" si="365"/>
        <v/>
      </c>
      <c r="DR641" s="65"/>
      <c r="DV641" s="145">
        <v>2041</v>
      </c>
      <c r="DW641" s="235" t="e">
        <f t="shared" ca="1" si="349"/>
        <v>#REF!</v>
      </c>
    </row>
    <row r="642" spans="2:135" ht="13.8" x14ac:dyDescent="0.45">
      <c r="B642" s="128">
        <v>2039</v>
      </c>
      <c r="C642" s="912"/>
      <c r="D642" s="960"/>
      <c r="E642" s="292"/>
      <c r="F642" s="914"/>
      <c r="G642" s="320"/>
      <c r="H642" s="292"/>
      <c r="I642" s="1112"/>
      <c r="J642" s="320"/>
      <c r="K642" s="292"/>
      <c r="L642" s="293"/>
      <c r="M642" s="292"/>
      <c r="N642" s="29" t="s">
        <v>119</v>
      </c>
      <c r="O642" s="120"/>
      <c r="P642" s="120"/>
      <c r="Q642" s="120"/>
      <c r="R642" s="29">
        <v>25</v>
      </c>
      <c r="S642" s="317" t="str">
        <f t="shared" si="350"/>
        <v/>
      </c>
      <c r="T642" s="317" t="str">
        <f t="shared" si="351"/>
        <v/>
      </c>
      <c r="U642" s="317" t="str">
        <f t="shared" si="352"/>
        <v/>
      </c>
      <c r="W642" s="317" t="e">
        <f t="shared" si="353"/>
        <v>#N/A</v>
      </c>
      <c r="X642" s="317" t="e">
        <f t="shared" si="354"/>
        <v>#N/A</v>
      </c>
      <c r="Y642" s="317" t="e">
        <f t="shared" si="355"/>
        <v>#N/A</v>
      </c>
      <c r="AA642" s="89"/>
      <c r="AB642" s="89"/>
      <c r="AC642" s="89"/>
      <c r="AD642" s="89"/>
      <c r="AE642" s="89"/>
      <c r="AF642" s="89"/>
      <c r="AG642" s="89"/>
      <c r="AH642" s="89"/>
      <c r="AI642" s="89"/>
      <c r="AJ642" s="89"/>
      <c r="AK642" s="89"/>
      <c r="AL642" s="89"/>
      <c r="AM642" s="89"/>
      <c r="AN642" s="89"/>
      <c r="BR642" s="180">
        <v>2037</v>
      </c>
      <c r="BS642" s="22">
        <v>23</v>
      </c>
      <c r="BT642" s="318" t="e">
        <f t="shared" si="366"/>
        <v>#DIV/0!</v>
      </c>
      <c r="BU642" s="319" t="e">
        <f t="shared" si="367"/>
        <v>#DIV/0!</v>
      </c>
      <c r="BV642" s="205" t="e">
        <f t="shared" si="368"/>
        <v>#DIV/0!</v>
      </c>
      <c r="BY642" s="180">
        <v>2037</v>
      </c>
      <c r="BZ642" s="22">
        <v>23</v>
      </c>
      <c r="CA642" s="318" t="e">
        <f t="shared" ca="1" si="369"/>
        <v>#REF!</v>
      </c>
      <c r="CB642" s="318" t="e">
        <f t="shared" ca="1" si="370"/>
        <v>#REF!</v>
      </c>
      <c r="CC642" s="319" t="e">
        <f t="shared" ca="1" si="381"/>
        <v>#REF!</v>
      </c>
      <c r="CD642" s="205" t="e">
        <f t="shared" ca="1" si="371"/>
        <v>#REF!</v>
      </c>
      <c r="CG642" s="180">
        <v>2037</v>
      </c>
      <c r="CH642" s="22">
        <v>23</v>
      </c>
      <c r="CI642" s="318" t="e">
        <f t="shared" ca="1" si="372"/>
        <v>#REF!</v>
      </c>
      <c r="CJ642" s="318" t="e">
        <f t="shared" ca="1" si="373"/>
        <v>#REF!</v>
      </c>
      <c r="CK642" s="318" t="e">
        <f t="shared" ca="1" si="374"/>
        <v>#REF!</v>
      </c>
      <c r="CL642" s="319" t="e">
        <f t="shared" ca="1" si="375"/>
        <v>#REF!</v>
      </c>
      <c r="CM642" s="205" t="e">
        <f t="shared" ca="1" si="376"/>
        <v>#REF!</v>
      </c>
      <c r="CP642" s="180">
        <v>2037</v>
      </c>
      <c r="CQ642" s="22">
        <v>23</v>
      </c>
      <c r="CR642" s="318" t="e">
        <f t="shared" ca="1" si="377"/>
        <v>#REF!</v>
      </c>
      <c r="CS642" s="319" t="e">
        <f t="shared" ca="1" si="378"/>
        <v>#REF!</v>
      </c>
      <c r="CT642" s="205" t="e">
        <f t="shared" ca="1" si="379"/>
        <v>#REF!</v>
      </c>
      <c r="CZ642" s="164" t="b">
        <f t="shared" si="356"/>
        <v>0</v>
      </c>
      <c r="DA642" s="165" t="b">
        <f t="shared" si="356"/>
        <v>0</v>
      </c>
      <c r="DB642" s="166" t="b">
        <f t="shared" si="356"/>
        <v>0</v>
      </c>
      <c r="DC642" s="164" t="str">
        <f t="shared" si="357"/>
        <v/>
      </c>
      <c r="DD642" s="166" t="str">
        <f t="shared" si="358"/>
        <v/>
      </c>
      <c r="DE642" s="164" t="str">
        <f t="shared" si="359"/>
        <v/>
      </c>
      <c r="DF642" s="166" t="str">
        <f t="shared" si="360"/>
        <v/>
      </c>
      <c r="DG642" s="164" t="str">
        <f t="shared" si="361"/>
        <v/>
      </c>
      <c r="DH642" s="166" t="str">
        <f t="shared" si="362"/>
        <v/>
      </c>
      <c r="DI642" s="164" t="str">
        <f>IFERROR(INDEX(DC$615:DC$663,_xlfn.AGGREGATE(15,6,(ROW(DC$615:DC$663)-ROW(DC$615)+1)/(DC$615:DC$663&lt;&gt;""),ROWS(DI$1:DI28))),"")</f>
        <v/>
      </c>
      <c r="DJ642" s="165" t="str">
        <f>IFERROR(INDEX(DD$615:DD$663,_xlfn.AGGREGATE(15,6,(ROW(DD$615:DD$663)-ROW(DD$615)+1)/(DD$615:DD$663&lt;&gt;""),ROWS(DJ$1:DJ28))),"")</f>
        <v/>
      </c>
      <c r="DK642" s="166" t="str">
        <f t="shared" si="363"/>
        <v/>
      </c>
      <c r="DL642" s="164" t="str">
        <f>IFERROR(INDEX(DE$615:DE$663,_xlfn.AGGREGATE(15,6,(ROW(DE$615:DE$663)-ROW(DE$615)+1)/(DE$615:DE$663&lt;&gt;""),ROWS(DL$1:DL28))),"")</f>
        <v/>
      </c>
      <c r="DM642" s="165" t="str">
        <f>IFERROR(INDEX(DF$615:DF$663,_xlfn.AGGREGATE(15,6,(ROW(DF$615:DF$663)-ROW(DF$615)+1)/(DF$615:DF$663&lt;&gt;""),ROWS(DM$1:DM28))),"")</f>
        <v/>
      </c>
      <c r="DN642" s="166" t="str">
        <f t="shared" si="364"/>
        <v/>
      </c>
      <c r="DO642" s="164" t="str">
        <f>IFERROR(INDEX(DG$615:DG$663,_xlfn.AGGREGATE(15,6,(ROW(DG$615:DG$663)-ROW(DG$615)+1)/(DG$615:DG$663&lt;&gt;""),ROWS(DO$1:DO28))),"")</f>
        <v/>
      </c>
      <c r="DP642" s="165" t="str">
        <f>IFERROR(INDEX(DH$615:DH$663,_xlfn.AGGREGATE(15,6,(ROW(DH$615:DH$663)-ROW(DH$615)+1)/(DH$615:DH$663&lt;&gt;""),ROWS(DP$1:DP28))),"")</f>
        <v/>
      </c>
      <c r="DQ642" s="166" t="str">
        <f t="shared" si="365"/>
        <v/>
      </c>
      <c r="DR642" s="65"/>
      <c r="DV642" s="145">
        <v>2042</v>
      </c>
      <c r="DW642" s="235" t="e">
        <f t="shared" ca="1" si="349"/>
        <v>#REF!</v>
      </c>
    </row>
    <row r="643" spans="2:135" ht="13.8" x14ac:dyDescent="0.45">
      <c r="B643" s="128">
        <v>2040</v>
      </c>
      <c r="C643" s="912"/>
      <c r="D643" s="960"/>
      <c r="E643" s="292"/>
      <c r="F643" s="914"/>
      <c r="G643" s="320"/>
      <c r="H643" s="292"/>
      <c r="I643" s="1112"/>
      <c r="J643" s="320"/>
      <c r="K643" s="292"/>
      <c r="L643" s="293"/>
      <c r="M643" s="292"/>
      <c r="N643" s="29" t="s">
        <v>119</v>
      </c>
      <c r="O643" s="120"/>
      <c r="P643" s="120"/>
      <c r="Q643" s="120"/>
      <c r="R643" s="29">
        <v>26</v>
      </c>
      <c r="S643" s="317" t="str">
        <f t="shared" si="350"/>
        <v/>
      </c>
      <c r="T643" s="317" t="str">
        <f t="shared" si="351"/>
        <v/>
      </c>
      <c r="U643" s="317" t="str">
        <f t="shared" si="352"/>
        <v/>
      </c>
      <c r="W643" s="317" t="e">
        <f t="shared" si="353"/>
        <v>#N/A</v>
      </c>
      <c r="X643" s="317" t="e">
        <f t="shared" si="354"/>
        <v>#N/A</v>
      </c>
      <c r="Y643" s="317" t="e">
        <f t="shared" si="355"/>
        <v>#N/A</v>
      </c>
      <c r="AA643" s="89"/>
      <c r="AB643" s="89"/>
      <c r="AC643" s="89"/>
      <c r="AD643" s="89"/>
      <c r="AE643" s="89"/>
      <c r="AF643" s="89"/>
      <c r="AG643" s="89"/>
      <c r="AH643" s="89"/>
      <c r="AI643" s="89"/>
      <c r="AJ643" s="89"/>
      <c r="AK643" s="89"/>
      <c r="AL643" s="89"/>
      <c r="AM643" s="89"/>
      <c r="AN643" s="89"/>
      <c r="BR643" s="180">
        <v>2038</v>
      </c>
      <c r="BS643" s="22">
        <v>24</v>
      </c>
      <c r="BT643" s="318" t="e">
        <f t="shared" si="366"/>
        <v>#DIV/0!</v>
      </c>
      <c r="BU643" s="319" t="e">
        <f t="shared" si="367"/>
        <v>#DIV/0!</v>
      </c>
      <c r="BV643" s="205" t="e">
        <f t="shared" si="368"/>
        <v>#DIV/0!</v>
      </c>
      <c r="BY643" s="180">
        <v>2038</v>
      </c>
      <c r="BZ643" s="22">
        <v>24</v>
      </c>
      <c r="CA643" s="318" t="e">
        <f t="shared" ca="1" si="369"/>
        <v>#REF!</v>
      </c>
      <c r="CB643" s="318" t="e">
        <f t="shared" ca="1" si="370"/>
        <v>#REF!</v>
      </c>
      <c r="CC643" s="319" t="e">
        <f t="shared" ca="1" si="381"/>
        <v>#REF!</v>
      </c>
      <c r="CD643" s="205" t="e">
        <f t="shared" ca="1" si="371"/>
        <v>#REF!</v>
      </c>
      <c r="CG643" s="180">
        <v>2038</v>
      </c>
      <c r="CH643" s="22">
        <v>24</v>
      </c>
      <c r="CI643" s="318" t="e">
        <f t="shared" ca="1" si="372"/>
        <v>#REF!</v>
      </c>
      <c r="CJ643" s="318" t="e">
        <f t="shared" ca="1" si="373"/>
        <v>#REF!</v>
      </c>
      <c r="CK643" s="318" t="e">
        <f t="shared" ca="1" si="374"/>
        <v>#REF!</v>
      </c>
      <c r="CL643" s="319" t="e">
        <f t="shared" ca="1" si="375"/>
        <v>#REF!</v>
      </c>
      <c r="CM643" s="205" t="e">
        <f t="shared" ca="1" si="376"/>
        <v>#REF!</v>
      </c>
      <c r="CP643" s="180">
        <v>2038</v>
      </c>
      <c r="CQ643" s="22">
        <v>24</v>
      </c>
      <c r="CR643" s="318" t="e">
        <f t="shared" ca="1" si="377"/>
        <v>#REF!</v>
      </c>
      <c r="CS643" s="319" t="e">
        <f t="shared" ca="1" si="378"/>
        <v>#REF!</v>
      </c>
      <c r="CT643" s="205" t="e">
        <f t="shared" ca="1" si="379"/>
        <v>#REF!</v>
      </c>
      <c r="CZ643" s="164" t="b">
        <f t="shared" si="356"/>
        <v>0</v>
      </c>
      <c r="DA643" s="165" t="b">
        <f t="shared" si="356"/>
        <v>0</v>
      </c>
      <c r="DB643" s="166" t="b">
        <f t="shared" si="356"/>
        <v>0</v>
      </c>
      <c r="DC643" s="164" t="str">
        <f t="shared" si="357"/>
        <v/>
      </c>
      <c r="DD643" s="166" t="str">
        <f t="shared" si="358"/>
        <v/>
      </c>
      <c r="DE643" s="164" t="str">
        <f t="shared" si="359"/>
        <v/>
      </c>
      <c r="DF643" s="166" t="str">
        <f t="shared" si="360"/>
        <v/>
      </c>
      <c r="DG643" s="164" t="str">
        <f t="shared" si="361"/>
        <v/>
      </c>
      <c r="DH643" s="166" t="str">
        <f t="shared" si="362"/>
        <v/>
      </c>
      <c r="DI643" s="164" t="str">
        <f>IFERROR(INDEX(DC$615:DC$663,_xlfn.AGGREGATE(15,6,(ROW(DC$615:DC$663)-ROW(DC$615)+1)/(DC$615:DC$663&lt;&gt;""),ROWS(DI$1:DI29))),"")</f>
        <v/>
      </c>
      <c r="DJ643" s="165" t="str">
        <f>IFERROR(INDEX(DD$615:DD$663,_xlfn.AGGREGATE(15,6,(ROW(DD$615:DD$663)-ROW(DD$615)+1)/(DD$615:DD$663&lt;&gt;""),ROWS(DJ$1:DJ29))),"")</f>
        <v/>
      </c>
      <c r="DK643" s="166" t="str">
        <f t="shared" si="363"/>
        <v/>
      </c>
      <c r="DL643" s="164" t="str">
        <f>IFERROR(INDEX(DE$615:DE$663,_xlfn.AGGREGATE(15,6,(ROW(DE$615:DE$663)-ROW(DE$615)+1)/(DE$615:DE$663&lt;&gt;""),ROWS(DL$1:DL29))),"")</f>
        <v/>
      </c>
      <c r="DM643" s="165" t="str">
        <f>IFERROR(INDEX(DF$615:DF$663,_xlfn.AGGREGATE(15,6,(ROW(DF$615:DF$663)-ROW(DF$615)+1)/(DF$615:DF$663&lt;&gt;""),ROWS(DM$1:DM29))),"")</f>
        <v/>
      </c>
      <c r="DN643" s="166" t="str">
        <f t="shared" si="364"/>
        <v/>
      </c>
      <c r="DO643" s="164" t="str">
        <f>IFERROR(INDEX(DG$615:DG$663,_xlfn.AGGREGATE(15,6,(ROW(DG$615:DG$663)-ROW(DG$615)+1)/(DG$615:DG$663&lt;&gt;""),ROWS(DO$1:DO29))),"")</f>
        <v/>
      </c>
      <c r="DP643" s="165" t="str">
        <f>IFERROR(INDEX(DH$615:DH$663,_xlfn.AGGREGATE(15,6,(ROW(DH$615:DH$663)-ROW(DH$615)+1)/(DH$615:DH$663&lt;&gt;""),ROWS(DP$1:DP29))),"")</f>
        <v/>
      </c>
      <c r="DQ643" s="166" t="str">
        <f t="shared" si="365"/>
        <v/>
      </c>
      <c r="DR643" s="65"/>
      <c r="DV643" s="145">
        <v>2043</v>
      </c>
      <c r="DW643" s="235" t="e">
        <f t="shared" ca="1" si="349"/>
        <v>#REF!</v>
      </c>
      <c r="EA643" s="55"/>
      <c r="EB643" s="55"/>
      <c r="EC643" s="55"/>
      <c r="ED643" s="55"/>
      <c r="EE643" s="55"/>
    </row>
    <row r="644" spans="2:135" ht="13.8" x14ac:dyDescent="0.45">
      <c r="B644" s="128">
        <v>2041</v>
      </c>
      <c r="C644" s="912"/>
      <c r="D644" s="960"/>
      <c r="E644" s="292"/>
      <c r="F644" s="914"/>
      <c r="G644" s="320"/>
      <c r="H644" s="292"/>
      <c r="I644" s="1112"/>
      <c r="J644" s="320"/>
      <c r="K644" s="292"/>
      <c r="L644" s="293"/>
      <c r="M644" s="292"/>
      <c r="N644" s="29" t="s">
        <v>119</v>
      </c>
      <c r="O644" s="120"/>
      <c r="P644" s="120"/>
      <c r="Q644" s="120"/>
      <c r="R644" s="29">
        <v>27</v>
      </c>
      <c r="S644" s="317" t="str">
        <f t="shared" si="350"/>
        <v/>
      </c>
      <c r="T644" s="317" t="str">
        <f t="shared" si="351"/>
        <v/>
      </c>
      <c r="U644" s="317" t="str">
        <f t="shared" si="352"/>
        <v/>
      </c>
      <c r="W644" s="317" t="e">
        <f t="shared" si="353"/>
        <v>#N/A</v>
      </c>
      <c r="X644" s="317" t="e">
        <f t="shared" si="354"/>
        <v>#N/A</v>
      </c>
      <c r="Y644" s="317" t="e">
        <f t="shared" si="355"/>
        <v>#N/A</v>
      </c>
      <c r="AA644" s="89"/>
      <c r="AB644" s="89"/>
      <c r="AC644" s="89"/>
      <c r="AD644" s="89"/>
      <c r="AE644" s="89"/>
      <c r="AF644" s="89"/>
      <c r="AG644" s="89"/>
      <c r="AH644" s="89"/>
      <c r="AI644" s="89"/>
      <c r="AJ644" s="89"/>
      <c r="AK644" s="89"/>
      <c r="AL644" s="89"/>
      <c r="AM644" s="89"/>
      <c r="AN644" s="89"/>
      <c r="BR644" s="180">
        <v>2039</v>
      </c>
      <c r="BS644" s="22">
        <v>25</v>
      </c>
      <c r="BT644" s="318" t="e">
        <f t="shared" si="366"/>
        <v>#DIV/0!</v>
      </c>
      <c r="BU644" s="319" t="e">
        <f t="shared" si="367"/>
        <v>#DIV/0!</v>
      </c>
      <c r="BV644" s="205" t="e">
        <f t="shared" si="368"/>
        <v>#DIV/0!</v>
      </c>
      <c r="BY644" s="180">
        <v>2039</v>
      </c>
      <c r="BZ644" s="22">
        <v>25</v>
      </c>
      <c r="CA644" s="318" t="e">
        <f t="shared" ca="1" si="369"/>
        <v>#REF!</v>
      </c>
      <c r="CB644" s="318" t="e">
        <f t="shared" ca="1" si="370"/>
        <v>#REF!</v>
      </c>
      <c r="CC644" s="319" t="e">
        <f t="shared" ca="1" si="381"/>
        <v>#REF!</v>
      </c>
      <c r="CD644" s="205" t="e">
        <f t="shared" ca="1" si="371"/>
        <v>#REF!</v>
      </c>
      <c r="CG644" s="180">
        <v>2039</v>
      </c>
      <c r="CH644" s="22">
        <v>25</v>
      </c>
      <c r="CI644" s="318" t="e">
        <f t="shared" ca="1" si="372"/>
        <v>#REF!</v>
      </c>
      <c r="CJ644" s="318" t="e">
        <f t="shared" ca="1" si="373"/>
        <v>#REF!</v>
      </c>
      <c r="CK644" s="318" t="e">
        <f t="shared" ca="1" si="374"/>
        <v>#REF!</v>
      </c>
      <c r="CL644" s="319" t="e">
        <f t="shared" ca="1" si="375"/>
        <v>#REF!</v>
      </c>
      <c r="CM644" s="205" t="e">
        <f t="shared" ca="1" si="376"/>
        <v>#REF!</v>
      </c>
      <c r="CP644" s="180">
        <v>2039</v>
      </c>
      <c r="CQ644" s="22">
        <v>25</v>
      </c>
      <c r="CR644" s="318" t="e">
        <f t="shared" ca="1" si="377"/>
        <v>#REF!</v>
      </c>
      <c r="CS644" s="319" t="e">
        <f t="shared" ca="1" si="378"/>
        <v>#REF!</v>
      </c>
      <c r="CT644" s="205" t="e">
        <f t="shared" ca="1" si="379"/>
        <v>#REF!</v>
      </c>
      <c r="CZ644" s="164" t="b">
        <f t="shared" si="356"/>
        <v>0</v>
      </c>
      <c r="DA644" s="165" t="b">
        <f t="shared" si="356"/>
        <v>0</v>
      </c>
      <c r="DB644" s="166" t="b">
        <f t="shared" si="356"/>
        <v>0</v>
      </c>
      <c r="DC644" s="164" t="str">
        <f t="shared" si="357"/>
        <v/>
      </c>
      <c r="DD644" s="166" t="str">
        <f t="shared" si="358"/>
        <v/>
      </c>
      <c r="DE644" s="164" t="str">
        <f t="shared" si="359"/>
        <v/>
      </c>
      <c r="DF644" s="166" t="str">
        <f t="shared" si="360"/>
        <v/>
      </c>
      <c r="DG644" s="164" t="str">
        <f t="shared" si="361"/>
        <v/>
      </c>
      <c r="DH644" s="166" t="str">
        <f t="shared" si="362"/>
        <v/>
      </c>
      <c r="DI644" s="164" t="str">
        <f>IFERROR(INDEX(DC$615:DC$663,_xlfn.AGGREGATE(15,6,(ROW(DC$615:DC$663)-ROW(DC$615)+1)/(DC$615:DC$663&lt;&gt;""),ROWS(DI$1:DI30))),"")</f>
        <v/>
      </c>
      <c r="DJ644" s="165" t="str">
        <f>IFERROR(INDEX(DD$615:DD$663,_xlfn.AGGREGATE(15,6,(ROW(DD$615:DD$663)-ROW(DD$615)+1)/(DD$615:DD$663&lt;&gt;""),ROWS(DJ$1:DJ30))),"")</f>
        <v/>
      </c>
      <c r="DK644" s="166" t="str">
        <f t="shared" si="363"/>
        <v/>
      </c>
      <c r="DL644" s="164" t="str">
        <f>IFERROR(INDEX(DE$615:DE$663,_xlfn.AGGREGATE(15,6,(ROW(DE$615:DE$663)-ROW(DE$615)+1)/(DE$615:DE$663&lt;&gt;""),ROWS(DL$1:DL30))),"")</f>
        <v/>
      </c>
      <c r="DM644" s="165" t="str">
        <f>IFERROR(INDEX(DF$615:DF$663,_xlfn.AGGREGATE(15,6,(ROW(DF$615:DF$663)-ROW(DF$615)+1)/(DF$615:DF$663&lt;&gt;""),ROWS(DM$1:DM30))),"")</f>
        <v/>
      </c>
      <c r="DN644" s="166" t="str">
        <f t="shared" si="364"/>
        <v/>
      </c>
      <c r="DO644" s="164" t="str">
        <f>IFERROR(INDEX(DG$615:DG$663,_xlfn.AGGREGATE(15,6,(ROW(DG$615:DG$663)-ROW(DG$615)+1)/(DG$615:DG$663&lt;&gt;""),ROWS(DO$1:DO30))),"")</f>
        <v/>
      </c>
      <c r="DP644" s="165" t="str">
        <f>IFERROR(INDEX(DH$615:DH$663,_xlfn.AGGREGATE(15,6,(ROW(DH$615:DH$663)-ROW(DH$615)+1)/(DH$615:DH$663&lt;&gt;""),ROWS(DP$1:DP30))),"")</f>
        <v/>
      </c>
      <c r="DQ644" s="166" t="str">
        <f t="shared" si="365"/>
        <v/>
      </c>
      <c r="DR644" s="65"/>
      <c r="DV644" s="145">
        <v>2044</v>
      </c>
      <c r="DW644" s="235" t="e">
        <f t="shared" ca="1" si="349"/>
        <v>#REF!</v>
      </c>
      <c r="EA644" s="55"/>
      <c r="EB644" s="55"/>
      <c r="EC644" s="55"/>
      <c r="ED644" s="55"/>
      <c r="EE644" s="55"/>
    </row>
    <row r="645" spans="2:135" ht="13.8" x14ac:dyDescent="0.45">
      <c r="B645" s="128">
        <v>2042</v>
      </c>
      <c r="C645" s="912"/>
      <c r="D645" s="960"/>
      <c r="E645" s="292"/>
      <c r="F645" s="914"/>
      <c r="G645" s="320"/>
      <c r="H645" s="292"/>
      <c r="I645" s="1112"/>
      <c r="J645" s="320"/>
      <c r="K645" s="292"/>
      <c r="L645" s="293"/>
      <c r="M645" s="292"/>
      <c r="N645" s="29" t="s">
        <v>119</v>
      </c>
      <c r="O645" s="120"/>
      <c r="P645" s="120"/>
      <c r="Q645" s="120"/>
      <c r="R645" s="29">
        <v>28</v>
      </c>
      <c r="S645" s="317" t="str">
        <f t="shared" si="350"/>
        <v/>
      </c>
      <c r="T645" s="317" t="str">
        <f t="shared" si="351"/>
        <v/>
      </c>
      <c r="U645" s="317" t="str">
        <f t="shared" si="352"/>
        <v/>
      </c>
      <c r="W645" s="317" t="e">
        <f t="shared" si="353"/>
        <v>#N/A</v>
      </c>
      <c r="X645" s="317" t="e">
        <f t="shared" si="354"/>
        <v>#N/A</v>
      </c>
      <c r="Y645" s="317" t="e">
        <f t="shared" si="355"/>
        <v>#N/A</v>
      </c>
      <c r="AA645" s="89"/>
      <c r="AB645" s="89"/>
      <c r="AC645" s="89"/>
      <c r="AD645" s="89"/>
      <c r="AE645" s="89"/>
      <c r="AF645" s="89"/>
      <c r="AG645" s="89"/>
      <c r="AH645" s="89"/>
      <c r="AI645" s="89"/>
      <c r="AJ645" s="89"/>
      <c r="AK645" s="89"/>
      <c r="AL645" s="89"/>
      <c r="AM645" s="89"/>
      <c r="AN645" s="89"/>
      <c r="BR645" s="180">
        <v>2040</v>
      </c>
      <c r="BS645" s="22">
        <v>26</v>
      </c>
      <c r="BT645" s="318" t="e">
        <f t="shared" si="366"/>
        <v>#DIV/0!</v>
      </c>
      <c r="BU645" s="319" t="e">
        <f t="shared" si="367"/>
        <v>#DIV/0!</v>
      </c>
      <c r="BV645" s="205" t="e">
        <f t="shared" si="368"/>
        <v>#DIV/0!</v>
      </c>
      <c r="BY645" s="180">
        <v>2040</v>
      </c>
      <c r="BZ645" s="22">
        <v>26</v>
      </c>
      <c r="CA645" s="318" t="e">
        <f t="shared" ca="1" si="369"/>
        <v>#REF!</v>
      </c>
      <c r="CB645" s="318" t="e">
        <f t="shared" ca="1" si="370"/>
        <v>#REF!</v>
      </c>
      <c r="CC645" s="319" t="e">
        <f t="shared" ca="1" si="381"/>
        <v>#REF!</v>
      </c>
      <c r="CD645" s="205" t="e">
        <f t="shared" ca="1" si="371"/>
        <v>#REF!</v>
      </c>
      <c r="CG645" s="180">
        <v>2040</v>
      </c>
      <c r="CH645" s="22">
        <v>26</v>
      </c>
      <c r="CI645" s="318" t="e">
        <f t="shared" ca="1" si="372"/>
        <v>#REF!</v>
      </c>
      <c r="CJ645" s="318" t="e">
        <f t="shared" ca="1" si="373"/>
        <v>#REF!</v>
      </c>
      <c r="CK645" s="318" t="e">
        <f t="shared" ca="1" si="374"/>
        <v>#REF!</v>
      </c>
      <c r="CL645" s="319" t="e">
        <f t="shared" ca="1" si="375"/>
        <v>#REF!</v>
      </c>
      <c r="CM645" s="205" t="e">
        <f t="shared" ca="1" si="376"/>
        <v>#REF!</v>
      </c>
      <c r="CP645" s="180">
        <v>2040</v>
      </c>
      <c r="CQ645" s="22">
        <v>26</v>
      </c>
      <c r="CR645" s="318" t="e">
        <f t="shared" ca="1" si="377"/>
        <v>#REF!</v>
      </c>
      <c r="CS645" s="319" t="e">
        <f t="shared" ca="1" si="378"/>
        <v>#REF!</v>
      </c>
      <c r="CT645" s="205" t="e">
        <f t="shared" ca="1" si="379"/>
        <v>#REF!</v>
      </c>
      <c r="CZ645" s="164" t="b">
        <f t="shared" si="356"/>
        <v>0</v>
      </c>
      <c r="DA645" s="165" t="b">
        <f t="shared" si="356"/>
        <v>0</v>
      </c>
      <c r="DB645" s="166" t="b">
        <f t="shared" si="356"/>
        <v>0</v>
      </c>
      <c r="DC645" s="164" t="str">
        <f t="shared" si="357"/>
        <v/>
      </c>
      <c r="DD645" s="166" t="str">
        <f t="shared" si="358"/>
        <v/>
      </c>
      <c r="DE645" s="164" t="str">
        <f t="shared" si="359"/>
        <v/>
      </c>
      <c r="DF645" s="166" t="str">
        <f t="shared" si="360"/>
        <v/>
      </c>
      <c r="DG645" s="164" t="str">
        <f t="shared" si="361"/>
        <v/>
      </c>
      <c r="DH645" s="166" t="str">
        <f t="shared" si="362"/>
        <v/>
      </c>
      <c r="DI645" s="164" t="str">
        <f>IFERROR(INDEX(DC$615:DC$663,_xlfn.AGGREGATE(15,6,(ROW(DC$615:DC$663)-ROW(DC$615)+1)/(DC$615:DC$663&lt;&gt;""),ROWS(DI$1:DI31))),"")</f>
        <v/>
      </c>
      <c r="DJ645" s="165" t="str">
        <f>IFERROR(INDEX(DD$615:DD$663,_xlfn.AGGREGATE(15,6,(ROW(DD$615:DD$663)-ROW(DD$615)+1)/(DD$615:DD$663&lt;&gt;""),ROWS(DJ$1:DJ31))),"")</f>
        <v/>
      </c>
      <c r="DK645" s="166" t="str">
        <f t="shared" si="363"/>
        <v/>
      </c>
      <c r="DL645" s="164" t="str">
        <f>IFERROR(INDEX(DE$615:DE$663,_xlfn.AGGREGATE(15,6,(ROW(DE$615:DE$663)-ROW(DE$615)+1)/(DE$615:DE$663&lt;&gt;""),ROWS(DL$1:DL31))),"")</f>
        <v/>
      </c>
      <c r="DM645" s="165" t="str">
        <f>IFERROR(INDEX(DF$615:DF$663,_xlfn.AGGREGATE(15,6,(ROW(DF$615:DF$663)-ROW(DF$615)+1)/(DF$615:DF$663&lt;&gt;""),ROWS(DM$1:DM31))),"")</f>
        <v/>
      </c>
      <c r="DN645" s="166" t="str">
        <f t="shared" si="364"/>
        <v/>
      </c>
      <c r="DO645" s="164" t="str">
        <f>IFERROR(INDEX(DG$615:DG$663,_xlfn.AGGREGATE(15,6,(ROW(DG$615:DG$663)-ROW(DG$615)+1)/(DG$615:DG$663&lt;&gt;""),ROWS(DO$1:DO31))),"")</f>
        <v/>
      </c>
      <c r="DP645" s="165" t="str">
        <f>IFERROR(INDEX(DH$615:DH$663,_xlfn.AGGREGATE(15,6,(ROW(DH$615:DH$663)-ROW(DH$615)+1)/(DH$615:DH$663&lt;&gt;""),ROWS(DP$1:DP31))),"")</f>
        <v/>
      </c>
      <c r="DQ645" s="166" t="str">
        <f t="shared" si="365"/>
        <v/>
      </c>
      <c r="DR645" s="65"/>
      <c r="DV645" s="145">
        <v>2045</v>
      </c>
      <c r="DW645" s="235" t="e">
        <f t="shared" ca="1" si="349"/>
        <v>#REF!</v>
      </c>
      <c r="EA645" s="55"/>
      <c r="EB645" s="55"/>
      <c r="EC645" s="55"/>
      <c r="ED645" s="55"/>
      <c r="EE645" s="55"/>
    </row>
    <row r="646" spans="2:135" ht="13.8" x14ac:dyDescent="0.45">
      <c r="B646" s="128">
        <v>2043</v>
      </c>
      <c r="C646" s="912"/>
      <c r="D646" s="960"/>
      <c r="E646" s="292"/>
      <c r="F646" s="914"/>
      <c r="G646" s="320"/>
      <c r="H646" s="292"/>
      <c r="I646" s="1112"/>
      <c r="J646" s="320"/>
      <c r="K646" s="292"/>
      <c r="L646" s="293"/>
      <c r="M646" s="292"/>
      <c r="N646" s="29" t="s">
        <v>119</v>
      </c>
      <c r="O646" s="120"/>
      <c r="P646" s="120"/>
      <c r="Q646" s="120"/>
      <c r="R646" s="29">
        <v>29</v>
      </c>
      <c r="S646" s="317" t="str">
        <f t="shared" si="350"/>
        <v/>
      </c>
      <c r="T646" s="317" t="str">
        <f t="shared" si="351"/>
        <v/>
      </c>
      <c r="U646" s="317" t="str">
        <f t="shared" si="352"/>
        <v/>
      </c>
      <c r="W646" s="317" t="e">
        <f t="shared" si="353"/>
        <v>#N/A</v>
      </c>
      <c r="X646" s="317" t="e">
        <f t="shared" si="354"/>
        <v>#N/A</v>
      </c>
      <c r="Y646" s="317" t="e">
        <f t="shared" si="355"/>
        <v>#N/A</v>
      </c>
      <c r="AA646" s="89"/>
      <c r="AB646" s="89"/>
      <c r="AC646" s="89"/>
      <c r="AD646" s="89"/>
      <c r="AE646" s="89"/>
      <c r="AF646" s="89"/>
      <c r="AG646" s="89"/>
      <c r="AH646" s="89"/>
      <c r="AI646" s="89"/>
      <c r="AJ646" s="89"/>
      <c r="AK646" s="89"/>
      <c r="AL646" s="89"/>
      <c r="AM646" s="89"/>
      <c r="AN646" s="89"/>
      <c r="BR646" s="180">
        <v>2041</v>
      </c>
      <c r="BS646" s="22">
        <v>27</v>
      </c>
      <c r="BT646" s="318" t="e">
        <f t="shared" si="366"/>
        <v>#DIV/0!</v>
      </c>
      <c r="BU646" s="319" t="e">
        <f t="shared" si="367"/>
        <v>#DIV/0!</v>
      </c>
      <c r="BV646" s="205" t="e">
        <f t="shared" si="368"/>
        <v>#DIV/0!</v>
      </c>
      <c r="BY646" s="180">
        <v>2041</v>
      </c>
      <c r="BZ646" s="22">
        <v>27</v>
      </c>
      <c r="CA646" s="318" t="e">
        <f t="shared" ca="1" si="369"/>
        <v>#REF!</v>
      </c>
      <c r="CB646" s="318" t="e">
        <f t="shared" ca="1" si="370"/>
        <v>#REF!</v>
      </c>
      <c r="CC646" s="319" t="e">
        <f t="shared" ca="1" si="381"/>
        <v>#REF!</v>
      </c>
      <c r="CD646" s="205" t="e">
        <f t="shared" ca="1" si="371"/>
        <v>#REF!</v>
      </c>
      <c r="CG646" s="180">
        <v>2041</v>
      </c>
      <c r="CH646" s="22">
        <v>27</v>
      </c>
      <c r="CI646" s="318" t="e">
        <f t="shared" ca="1" si="372"/>
        <v>#REF!</v>
      </c>
      <c r="CJ646" s="318" t="e">
        <f t="shared" ca="1" si="373"/>
        <v>#REF!</v>
      </c>
      <c r="CK646" s="318" t="e">
        <f t="shared" ca="1" si="374"/>
        <v>#REF!</v>
      </c>
      <c r="CL646" s="319" t="e">
        <f t="shared" ca="1" si="375"/>
        <v>#REF!</v>
      </c>
      <c r="CM646" s="205" t="e">
        <f t="shared" ca="1" si="376"/>
        <v>#REF!</v>
      </c>
      <c r="CP646" s="180">
        <v>2041</v>
      </c>
      <c r="CQ646" s="22">
        <v>27</v>
      </c>
      <c r="CR646" s="318" t="e">
        <f t="shared" ca="1" si="377"/>
        <v>#REF!</v>
      </c>
      <c r="CS646" s="319" t="e">
        <f t="shared" ca="1" si="378"/>
        <v>#REF!</v>
      </c>
      <c r="CT646" s="205" t="e">
        <f t="shared" ca="1" si="379"/>
        <v>#REF!</v>
      </c>
      <c r="CZ646" s="164" t="b">
        <f t="shared" si="356"/>
        <v>0</v>
      </c>
      <c r="DA646" s="165" t="b">
        <f t="shared" si="356"/>
        <v>0</v>
      </c>
      <c r="DB646" s="166" t="b">
        <f t="shared" si="356"/>
        <v>0</v>
      </c>
      <c r="DC646" s="164" t="str">
        <f t="shared" si="357"/>
        <v/>
      </c>
      <c r="DD646" s="166" t="str">
        <f t="shared" si="358"/>
        <v/>
      </c>
      <c r="DE646" s="164" t="str">
        <f t="shared" si="359"/>
        <v/>
      </c>
      <c r="DF646" s="166" t="str">
        <f t="shared" si="360"/>
        <v/>
      </c>
      <c r="DG646" s="164" t="str">
        <f t="shared" si="361"/>
        <v/>
      </c>
      <c r="DH646" s="166" t="str">
        <f t="shared" si="362"/>
        <v/>
      </c>
      <c r="DI646" s="164" t="str">
        <f>IFERROR(INDEX(DC$615:DC$663,_xlfn.AGGREGATE(15,6,(ROW(DC$615:DC$663)-ROW(DC$615)+1)/(DC$615:DC$663&lt;&gt;""),ROWS(DI$1:DI32))),"")</f>
        <v/>
      </c>
      <c r="DJ646" s="165" t="str">
        <f>IFERROR(INDEX(DD$615:DD$663,_xlfn.AGGREGATE(15,6,(ROW(DD$615:DD$663)-ROW(DD$615)+1)/(DD$615:DD$663&lt;&gt;""),ROWS(DJ$1:DJ32))),"")</f>
        <v/>
      </c>
      <c r="DK646" s="166" t="str">
        <f t="shared" si="363"/>
        <v/>
      </c>
      <c r="DL646" s="164" t="str">
        <f>IFERROR(INDEX(DE$615:DE$663,_xlfn.AGGREGATE(15,6,(ROW(DE$615:DE$663)-ROW(DE$615)+1)/(DE$615:DE$663&lt;&gt;""),ROWS(DL$1:DL32))),"")</f>
        <v/>
      </c>
      <c r="DM646" s="165" t="str">
        <f>IFERROR(INDEX(DF$615:DF$663,_xlfn.AGGREGATE(15,6,(ROW(DF$615:DF$663)-ROW(DF$615)+1)/(DF$615:DF$663&lt;&gt;""),ROWS(DM$1:DM32))),"")</f>
        <v/>
      </c>
      <c r="DN646" s="166" t="str">
        <f t="shared" si="364"/>
        <v/>
      </c>
      <c r="DO646" s="164" t="str">
        <f>IFERROR(INDEX(DG$615:DG$663,_xlfn.AGGREGATE(15,6,(ROW(DG$615:DG$663)-ROW(DG$615)+1)/(DG$615:DG$663&lt;&gt;""),ROWS(DO$1:DO32))),"")</f>
        <v/>
      </c>
      <c r="DP646" s="165" t="str">
        <f>IFERROR(INDEX(DH$615:DH$663,_xlfn.AGGREGATE(15,6,(ROW(DH$615:DH$663)-ROW(DH$615)+1)/(DH$615:DH$663&lt;&gt;""),ROWS(DP$1:DP32))),"")</f>
        <v/>
      </c>
      <c r="DQ646" s="166" t="str">
        <f t="shared" si="365"/>
        <v/>
      </c>
      <c r="DR646" s="65"/>
      <c r="DV646" s="145">
        <v>2046</v>
      </c>
      <c r="DW646" s="235" t="e">
        <f t="shared" ca="1" si="349"/>
        <v>#REF!</v>
      </c>
      <c r="EA646" s="55"/>
      <c r="EB646" s="55"/>
      <c r="EC646" s="55"/>
      <c r="ED646" s="55"/>
      <c r="EE646" s="55"/>
    </row>
    <row r="647" spans="2:135" ht="13.8" x14ac:dyDescent="0.45">
      <c r="B647" s="128">
        <v>2044</v>
      </c>
      <c r="C647" s="912"/>
      <c r="D647" s="960"/>
      <c r="E647" s="292"/>
      <c r="F647" s="914"/>
      <c r="G647" s="320"/>
      <c r="H647" s="292"/>
      <c r="I647" s="1112"/>
      <c r="J647" s="320"/>
      <c r="K647" s="292"/>
      <c r="L647" s="293"/>
      <c r="M647" s="292"/>
      <c r="N647" s="29" t="s">
        <v>119</v>
      </c>
      <c r="O647" s="120"/>
      <c r="P647" s="120"/>
      <c r="Q647" s="120"/>
      <c r="R647" s="29">
        <v>30</v>
      </c>
      <c r="S647" s="317" t="str">
        <f t="shared" ref="S647:S663" si="383">IF(MIN(C647:Q647)=0,"",MIN(C647:Q647))</f>
        <v/>
      </c>
      <c r="T647" s="317" t="str">
        <f t="shared" ref="T647:T663" si="384">IF(MAX(C647:Q647)=0,"",MAX(C647:Q647))</f>
        <v/>
      </c>
      <c r="U647" s="317" t="str">
        <f t="shared" ref="U647:U663" si="385">IF(T647="","",_xlfn.STDEV.P(C647:Q647))</f>
        <v/>
      </c>
      <c r="W647" s="317" t="e">
        <f t="shared" si="353"/>
        <v>#N/A</v>
      </c>
      <c r="X647" s="317" t="e">
        <f t="shared" ref="X647:X663" si="386">IF(U647="",#N/A,(SUM(C647:Q647)/COUNTIFS(C647:Q647,"&gt;0")))</f>
        <v>#N/A</v>
      </c>
      <c r="Y647" s="317" t="e">
        <f t="shared" si="355"/>
        <v>#N/A</v>
      </c>
      <c r="AA647" s="89"/>
      <c r="AB647" s="89"/>
      <c r="AC647" s="89"/>
      <c r="AD647" s="89"/>
      <c r="AE647" s="89"/>
      <c r="AF647" s="89"/>
      <c r="AG647" s="89"/>
      <c r="AH647" s="89"/>
      <c r="AI647" s="89"/>
      <c r="AJ647" s="89"/>
      <c r="AK647" s="89"/>
      <c r="AL647" s="89"/>
      <c r="AM647" s="89"/>
      <c r="AN647" s="89"/>
      <c r="BR647" s="180">
        <v>2042</v>
      </c>
      <c r="BS647" s="22">
        <v>28</v>
      </c>
      <c r="BT647" s="318" t="e">
        <f t="shared" si="366"/>
        <v>#DIV/0!</v>
      </c>
      <c r="BU647" s="319" t="e">
        <f t="shared" si="367"/>
        <v>#DIV/0!</v>
      </c>
      <c r="BV647" s="205" t="e">
        <f t="shared" si="368"/>
        <v>#DIV/0!</v>
      </c>
      <c r="BY647" s="180">
        <v>2042</v>
      </c>
      <c r="BZ647" s="22">
        <v>28</v>
      </c>
      <c r="CA647" s="318" t="e">
        <f t="shared" ca="1" si="369"/>
        <v>#REF!</v>
      </c>
      <c r="CB647" s="318" t="e">
        <f t="shared" ca="1" si="370"/>
        <v>#REF!</v>
      </c>
      <c r="CC647" s="319" t="e">
        <f t="shared" ca="1" si="381"/>
        <v>#REF!</v>
      </c>
      <c r="CD647" s="205" t="e">
        <f t="shared" ca="1" si="371"/>
        <v>#REF!</v>
      </c>
      <c r="CG647" s="180">
        <v>2042</v>
      </c>
      <c r="CH647" s="22">
        <v>28</v>
      </c>
      <c r="CI647" s="318" t="e">
        <f t="shared" ca="1" si="372"/>
        <v>#REF!</v>
      </c>
      <c r="CJ647" s="318" t="e">
        <f t="shared" ca="1" si="373"/>
        <v>#REF!</v>
      </c>
      <c r="CK647" s="318" t="e">
        <f t="shared" ca="1" si="374"/>
        <v>#REF!</v>
      </c>
      <c r="CL647" s="319" t="e">
        <f t="shared" ca="1" si="375"/>
        <v>#REF!</v>
      </c>
      <c r="CM647" s="205" t="e">
        <f t="shared" ca="1" si="376"/>
        <v>#REF!</v>
      </c>
      <c r="CP647" s="180">
        <v>2042</v>
      </c>
      <c r="CQ647" s="22">
        <v>28</v>
      </c>
      <c r="CR647" s="318" t="e">
        <f t="shared" ca="1" si="377"/>
        <v>#REF!</v>
      </c>
      <c r="CS647" s="319" t="e">
        <f t="shared" ca="1" si="378"/>
        <v>#REF!</v>
      </c>
      <c r="CT647" s="205" t="e">
        <f t="shared" ca="1" si="379"/>
        <v>#REF!</v>
      </c>
      <c r="CZ647" s="164" t="b">
        <f t="shared" si="356"/>
        <v>0</v>
      </c>
      <c r="DA647" s="165" t="b">
        <f t="shared" si="356"/>
        <v>0</v>
      </c>
      <c r="DB647" s="166" t="b">
        <f t="shared" si="356"/>
        <v>0</v>
      </c>
      <c r="DC647" s="164" t="str">
        <f t="shared" si="357"/>
        <v/>
      </c>
      <c r="DD647" s="166" t="str">
        <f t="shared" si="358"/>
        <v/>
      </c>
      <c r="DE647" s="164" t="str">
        <f t="shared" si="359"/>
        <v/>
      </c>
      <c r="DF647" s="166" t="str">
        <f t="shared" si="360"/>
        <v/>
      </c>
      <c r="DG647" s="164" t="str">
        <f t="shared" si="361"/>
        <v/>
      </c>
      <c r="DH647" s="166" t="str">
        <f t="shared" si="362"/>
        <v/>
      </c>
      <c r="DI647" s="164" t="str">
        <f>IFERROR(INDEX(DC$615:DC$663,_xlfn.AGGREGATE(15,6,(ROW(DC$615:DC$663)-ROW(DC$615)+1)/(DC$615:DC$663&lt;&gt;""),ROWS(DI$1:DI33))),"")</f>
        <v/>
      </c>
      <c r="DJ647" s="165" t="str">
        <f>IFERROR(INDEX(DD$615:DD$663,_xlfn.AGGREGATE(15,6,(ROW(DD$615:DD$663)-ROW(DD$615)+1)/(DD$615:DD$663&lt;&gt;""),ROWS(DJ$1:DJ33))),"")</f>
        <v/>
      </c>
      <c r="DK647" s="166" t="str">
        <f t="shared" si="363"/>
        <v/>
      </c>
      <c r="DL647" s="164" t="str">
        <f>IFERROR(INDEX(DE$615:DE$663,_xlfn.AGGREGATE(15,6,(ROW(DE$615:DE$663)-ROW(DE$615)+1)/(DE$615:DE$663&lt;&gt;""),ROWS(DL$1:DL33))),"")</f>
        <v/>
      </c>
      <c r="DM647" s="165" t="str">
        <f>IFERROR(INDEX(DF$615:DF$663,_xlfn.AGGREGATE(15,6,(ROW(DF$615:DF$663)-ROW(DF$615)+1)/(DF$615:DF$663&lt;&gt;""),ROWS(DM$1:DM33))),"")</f>
        <v/>
      </c>
      <c r="DN647" s="166" t="str">
        <f t="shared" si="364"/>
        <v/>
      </c>
      <c r="DO647" s="164" t="str">
        <f>IFERROR(INDEX(DG$615:DG$663,_xlfn.AGGREGATE(15,6,(ROW(DG$615:DG$663)-ROW(DG$615)+1)/(DG$615:DG$663&lt;&gt;""),ROWS(DO$1:DO33))),"")</f>
        <v/>
      </c>
      <c r="DP647" s="165" t="str">
        <f>IFERROR(INDEX(DH$615:DH$663,_xlfn.AGGREGATE(15,6,(ROW(DH$615:DH$663)-ROW(DH$615)+1)/(DH$615:DH$663&lt;&gt;""),ROWS(DP$1:DP33))),"")</f>
        <v/>
      </c>
      <c r="DQ647" s="166" t="str">
        <f t="shared" si="365"/>
        <v/>
      </c>
      <c r="DR647" s="65"/>
      <c r="DV647" s="145">
        <v>2047</v>
      </c>
      <c r="DW647" s="235" t="e">
        <f t="shared" ca="1" si="349"/>
        <v>#REF!</v>
      </c>
      <c r="EA647" s="55"/>
      <c r="EB647" s="55"/>
      <c r="EC647" s="55"/>
      <c r="ED647" s="55"/>
      <c r="EE647" s="55"/>
    </row>
    <row r="648" spans="2:135" ht="13.8" x14ac:dyDescent="0.45">
      <c r="B648" s="128">
        <v>2045</v>
      </c>
      <c r="C648" s="912"/>
      <c r="D648" s="960"/>
      <c r="E648" s="292"/>
      <c r="F648" s="914"/>
      <c r="G648" s="320"/>
      <c r="H648" s="292"/>
      <c r="I648" s="1112"/>
      <c r="J648" s="320"/>
      <c r="K648" s="292"/>
      <c r="L648" s="293"/>
      <c r="M648" s="292"/>
      <c r="N648" s="29" t="s">
        <v>119</v>
      </c>
      <c r="O648" s="120"/>
      <c r="P648" s="120"/>
      <c r="Q648" s="120"/>
      <c r="R648" s="29">
        <v>31</v>
      </c>
      <c r="S648" s="317" t="str">
        <f t="shared" si="383"/>
        <v/>
      </c>
      <c r="T648" s="317" t="str">
        <f t="shared" si="384"/>
        <v/>
      </c>
      <c r="U648" s="317" t="str">
        <f t="shared" si="385"/>
        <v/>
      </c>
      <c r="W648" s="317" t="e">
        <f t="shared" si="353"/>
        <v>#N/A</v>
      </c>
      <c r="X648" s="317" t="e">
        <f t="shared" si="386"/>
        <v>#N/A</v>
      </c>
      <c r="Y648" s="317" t="e">
        <f t="shared" si="355"/>
        <v>#N/A</v>
      </c>
      <c r="AA648" s="89"/>
      <c r="AB648" s="89"/>
      <c r="AC648" s="89"/>
      <c r="AD648" s="89"/>
      <c r="AE648" s="89"/>
      <c r="AF648" s="89"/>
      <c r="AG648" s="89"/>
      <c r="AH648" s="89"/>
      <c r="AI648" s="89"/>
      <c r="AJ648" s="89"/>
      <c r="AK648" s="89"/>
      <c r="AL648" s="89"/>
      <c r="AM648" s="89"/>
      <c r="AN648" s="89"/>
      <c r="BR648" s="180">
        <v>2043</v>
      </c>
      <c r="BS648" s="22">
        <v>29</v>
      </c>
      <c r="BT648" s="318" t="e">
        <f t="shared" si="366"/>
        <v>#DIV/0!</v>
      </c>
      <c r="BU648" s="319" t="e">
        <f t="shared" si="367"/>
        <v>#DIV/0!</v>
      </c>
      <c r="BV648" s="205" t="e">
        <f t="shared" si="368"/>
        <v>#DIV/0!</v>
      </c>
      <c r="BY648" s="180">
        <v>2043</v>
      </c>
      <c r="BZ648" s="22">
        <v>29</v>
      </c>
      <c r="CA648" s="318" t="e">
        <f t="shared" ca="1" si="369"/>
        <v>#REF!</v>
      </c>
      <c r="CB648" s="318" t="e">
        <f t="shared" ca="1" si="370"/>
        <v>#REF!</v>
      </c>
      <c r="CC648" s="319" t="e">
        <f t="shared" ca="1" si="381"/>
        <v>#REF!</v>
      </c>
      <c r="CD648" s="205" t="e">
        <f t="shared" ca="1" si="371"/>
        <v>#REF!</v>
      </c>
      <c r="CG648" s="180">
        <v>2043</v>
      </c>
      <c r="CH648" s="22">
        <v>29</v>
      </c>
      <c r="CI648" s="318" t="e">
        <f t="shared" ca="1" si="372"/>
        <v>#REF!</v>
      </c>
      <c r="CJ648" s="318" t="e">
        <f t="shared" ca="1" si="373"/>
        <v>#REF!</v>
      </c>
      <c r="CK648" s="318" t="e">
        <f t="shared" ca="1" si="374"/>
        <v>#REF!</v>
      </c>
      <c r="CL648" s="319" t="e">
        <f t="shared" ca="1" si="375"/>
        <v>#REF!</v>
      </c>
      <c r="CM648" s="205" t="e">
        <f t="shared" ca="1" si="376"/>
        <v>#REF!</v>
      </c>
      <c r="CP648" s="180">
        <v>2043</v>
      </c>
      <c r="CQ648" s="22">
        <v>29</v>
      </c>
      <c r="CR648" s="318" t="e">
        <f t="shared" ca="1" si="377"/>
        <v>#REF!</v>
      </c>
      <c r="CS648" s="319" t="e">
        <f t="shared" ca="1" si="378"/>
        <v>#REF!</v>
      </c>
      <c r="CT648" s="205" t="e">
        <f t="shared" ca="1" si="379"/>
        <v>#REF!</v>
      </c>
      <c r="CZ648" s="164" t="b">
        <f t="shared" si="356"/>
        <v>0</v>
      </c>
      <c r="DA648" s="165" t="b">
        <f t="shared" si="356"/>
        <v>0</v>
      </c>
      <c r="DB648" s="166" t="b">
        <f t="shared" si="356"/>
        <v>0</v>
      </c>
      <c r="DC648" s="164" t="str">
        <f t="shared" si="357"/>
        <v/>
      </c>
      <c r="DD648" s="166" t="str">
        <f t="shared" si="358"/>
        <v/>
      </c>
      <c r="DE648" s="164" t="str">
        <f t="shared" si="359"/>
        <v/>
      </c>
      <c r="DF648" s="166" t="str">
        <f t="shared" si="360"/>
        <v/>
      </c>
      <c r="DG648" s="164" t="str">
        <f t="shared" si="361"/>
        <v/>
      </c>
      <c r="DH648" s="166" t="str">
        <f t="shared" si="362"/>
        <v/>
      </c>
      <c r="DI648" s="164" t="str">
        <f>IFERROR(INDEX(DC$615:DC$663,_xlfn.AGGREGATE(15,6,(ROW(DC$615:DC$663)-ROW(DC$615)+1)/(DC$615:DC$663&lt;&gt;""),ROWS(DI$1:DI34))),"")</f>
        <v/>
      </c>
      <c r="DJ648" s="165" t="str">
        <f>IFERROR(INDEX(DD$615:DD$663,_xlfn.AGGREGATE(15,6,(ROW(DD$615:DD$663)-ROW(DD$615)+1)/(DD$615:DD$663&lt;&gt;""),ROWS(DJ$1:DJ34))),"")</f>
        <v/>
      </c>
      <c r="DK648" s="166" t="str">
        <f t="shared" si="363"/>
        <v/>
      </c>
      <c r="DL648" s="164" t="str">
        <f>IFERROR(INDEX(DE$615:DE$663,_xlfn.AGGREGATE(15,6,(ROW(DE$615:DE$663)-ROW(DE$615)+1)/(DE$615:DE$663&lt;&gt;""),ROWS(DL$1:DL34))),"")</f>
        <v/>
      </c>
      <c r="DM648" s="165" t="str">
        <f>IFERROR(INDEX(DF$615:DF$663,_xlfn.AGGREGATE(15,6,(ROW(DF$615:DF$663)-ROW(DF$615)+1)/(DF$615:DF$663&lt;&gt;""),ROWS(DM$1:DM34))),"")</f>
        <v/>
      </c>
      <c r="DN648" s="166" t="str">
        <f t="shared" si="364"/>
        <v/>
      </c>
      <c r="DO648" s="164" t="str">
        <f>IFERROR(INDEX(DG$615:DG$663,_xlfn.AGGREGATE(15,6,(ROW(DG$615:DG$663)-ROW(DG$615)+1)/(DG$615:DG$663&lt;&gt;""),ROWS(DO$1:DO34))),"")</f>
        <v/>
      </c>
      <c r="DP648" s="165" t="str">
        <f>IFERROR(INDEX(DH$615:DH$663,_xlfn.AGGREGATE(15,6,(ROW(DH$615:DH$663)-ROW(DH$615)+1)/(DH$615:DH$663&lt;&gt;""),ROWS(DP$1:DP34))),"")</f>
        <v/>
      </c>
      <c r="DQ648" s="166" t="str">
        <f t="shared" si="365"/>
        <v/>
      </c>
      <c r="DR648" s="65"/>
      <c r="DV648" s="145">
        <v>2048</v>
      </c>
      <c r="DW648" s="235" t="e">
        <f t="shared" ca="1" si="349"/>
        <v>#REF!</v>
      </c>
      <c r="EA648" s="55"/>
      <c r="EB648" s="55"/>
      <c r="EC648" s="55"/>
      <c r="ED648" s="55"/>
      <c r="EE648" s="55"/>
    </row>
    <row r="649" spans="2:135" ht="13.8" x14ac:dyDescent="0.45">
      <c r="B649" s="128">
        <v>2046</v>
      </c>
      <c r="C649" s="912"/>
      <c r="D649" s="960"/>
      <c r="E649" s="292"/>
      <c r="F649" s="914"/>
      <c r="G649" s="320"/>
      <c r="H649" s="292"/>
      <c r="I649" s="1112"/>
      <c r="J649" s="320"/>
      <c r="K649" s="292"/>
      <c r="L649" s="293"/>
      <c r="M649" s="292"/>
      <c r="N649" s="29" t="s">
        <v>119</v>
      </c>
      <c r="O649" s="120"/>
      <c r="P649" s="120"/>
      <c r="Q649" s="120"/>
      <c r="R649" s="29">
        <v>32</v>
      </c>
      <c r="S649" s="317" t="str">
        <f t="shared" si="383"/>
        <v/>
      </c>
      <c r="T649" s="317" t="str">
        <f t="shared" si="384"/>
        <v/>
      </c>
      <c r="U649" s="317" t="str">
        <f t="shared" si="385"/>
        <v/>
      </c>
      <c r="W649" s="317" t="e">
        <f t="shared" si="353"/>
        <v>#N/A</v>
      </c>
      <c r="X649" s="317" t="e">
        <f t="shared" si="386"/>
        <v>#N/A</v>
      </c>
      <c r="Y649" s="317" t="e">
        <f t="shared" si="355"/>
        <v>#N/A</v>
      </c>
      <c r="AA649" s="89"/>
      <c r="AB649" s="89"/>
      <c r="AC649" s="89"/>
      <c r="AD649" s="89"/>
      <c r="AE649" s="89"/>
      <c r="AF649" s="89"/>
      <c r="AG649" s="89"/>
      <c r="AH649" s="89"/>
      <c r="AI649" s="89"/>
      <c r="AJ649" s="89"/>
      <c r="AK649" s="89"/>
      <c r="AL649" s="89"/>
      <c r="AM649" s="89"/>
      <c r="AN649" s="89"/>
      <c r="BR649" s="180">
        <v>2044</v>
      </c>
      <c r="BS649" s="22">
        <v>30</v>
      </c>
      <c r="BT649" s="318" t="e">
        <f t="shared" si="366"/>
        <v>#DIV/0!</v>
      </c>
      <c r="BU649" s="319" t="e">
        <f t="shared" si="367"/>
        <v>#DIV/0!</v>
      </c>
      <c r="BV649" s="205" t="e">
        <f t="shared" si="368"/>
        <v>#DIV/0!</v>
      </c>
      <c r="BY649" s="180">
        <v>2044</v>
      </c>
      <c r="BZ649" s="22">
        <v>30</v>
      </c>
      <c r="CA649" s="318" t="e">
        <f t="shared" ca="1" si="369"/>
        <v>#REF!</v>
      </c>
      <c r="CB649" s="318" t="e">
        <f t="shared" ca="1" si="370"/>
        <v>#REF!</v>
      </c>
      <c r="CC649" s="319" t="e">
        <f t="shared" ca="1" si="381"/>
        <v>#REF!</v>
      </c>
      <c r="CD649" s="205" t="e">
        <f t="shared" ca="1" si="371"/>
        <v>#REF!</v>
      </c>
      <c r="CG649" s="180">
        <v>2044</v>
      </c>
      <c r="CH649" s="22">
        <v>30</v>
      </c>
      <c r="CI649" s="318" t="e">
        <f t="shared" ca="1" si="372"/>
        <v>#REF!</v>
      </c>
      <c r="CJ649" s="318" t="e">
        <f t="shared" ca="1" si="373"/>
        <v>#REF!</v>
      </c>
      <c r="CK649" s="318" t="e">
        <f t="shared" ca="1" si="374"/>
        <v>#REF!</v>
      </c>
      <c r="CL649" s="319" t="e">
        <f t="shared" ca="1" si="375"/>
        <v>#REF!</v>
      </c>
      <c r="CM649" s="205" t="e">
        <f t="shared" ca="1" si="376"/>
        <v>#REF!</v>
      </c>
      <c r="CP649" s="180">
        <v>2044</v>
      </c>
      <c r="CQ649" s="22">
        <v>30</v>
      </c>
      <c r="CR649" s="318" t="e">
        <f t="shared" ca="1" si="377"/>
        <v>#REF!</v>
      </c>
      <c r="CS649" s="319" t="e">
        <f t="shared" ca="1" si="378"/>
        <v>#REF!</v>
      </c>
      <c r="CT649" s="205" t="e">
        <f t="shared" ca="1" si="379"/>
        <v>#REF!</v>
      </c>
      <c r="CZ649" s="164" t="b">
        <f t="shared" si="356"/>
        <v>0</v>
      </c>
      <c r="DA649" s="165" t="b">
        <f t="shared" si="356"/>
        <v>0</v>
      </c>
      <c r="DB649" s="166" t="b">
        <f t="shared" si="356"/>
        <v>0</v>
      </c>
      <c r="DC649" s="164" t="str">
        <f t="shared" si="357"/>
        <v/>
      </c>
      <c r="DD649" s="166" t="str">
        <f t="shared" si="358"/>
        <v/>
      </c>
      <c r="DE649" s="164" t="str">
        <f t="shared" si="359"/>
        <v/>
      </c>
      <c r="DF649" s="166" t="str">
        <f t="shared" si="360"/>
        <v/>
      </c>
      <c r="DG649" s="164" t="str">
        <f t="shared" si="361"/>
        <v/>
      </c>
      <c r="DH649" s="166" t="str">
        <f t="shared" si="362"/>
        <v/>
      </c>
      <c r="DI649" s="164" t="str">
        <f>IFERROR(INDEX(DC$615:DC$663,_xlfn.AGGREGATE(15,6,(ROW(DC$615:DC$663)-ROW(DC$615)+1)/(DC$615:DC$663&lt;&gt;""),ROWS(DI$1:DI35))),"")</f>
        <v/>
      </c>
      <c r="DJ649" s="165" t="str">
        <f>IFERROR(INDEX(DD$615:DD$663,_xlfn.AGGREGATE(15,6,(ROW(DD$615:DD$663)-ROW(DD$615)+1)/(DD$615:DD$663&lt;&gt;""),ROWS(DJ$1:DJ35))),"")</f>
        <v/>
      </c>
      <c r="DK649" s="166" t="str">
        <f t="shared" si="363"/>
        <v/>
      </c>
      <c r="DL649" s="164" t="str">
        <f>IFERROR(INDEX(DE$615:DE$663,_xlfn.AGGREGATE(15,6,(ROW(DE$615:DE$663)-ROW(DE$615)+1)/(DE$615:DE$663&lt;&gt;""),ROWS(DL$1:DL35))),"")</f>
        <v/>
      </c>
      <c r="DM649" s="165" t="str">
        <f>IFERROR(INDEX(DF$615:DF$663,_xlfn.AGGREGATE(15,6,(ROW(DF$615:DF$663)-ROW(DF$615)+1)/(DF$615:DF$663&lt;&gt;""),ROWS(DM$1:DM35))),"")</f>
        <v/>
      </c>
      <c r="DN649" s="166" t="str">
        <f t="shared" si="364"/>
        <v/>
      </c>
      <c r="DO649" s="164" t="str">
        <f>IFERROR(INDEX(DG$615:DG$663,_xlfn.AGGREGATE(15,6,(ROW(DG$615:DG$663)-ROW(DG$615)+1)/(DG$615:DG$663&lt;&gt;""),ROWS(DO$1:DO35))),"")</f>
        <v/>
      </c>
      <c r="DP649" s="165" t="str">
        <f>IFERROR(INDEX(DH$615:DH$663,_xlfn.AGGREGATE(15,6,(ROW(DH$615:DH$663)-ROW(DH$615)+1)/(DH$615:DH$663&lt;&gt;""),ROWS(DP$1:DP35))),"")</f>
        <v/>
      </c>
      <c r="DQ649" s="166" t="str">
        <f t="shared" si="365"/>
        <v/>
      </c>
      <c r="DR649" s="65"/>
      <c r="DV649" s="145">
        <v>2049</v>
      </c>
      <c r="DW649" s="235" t="e">
        <f t="shared" ca="1" si="349"/>
        <v>#REF!</v>
      </c>
      <c r="EA649" s="55"/>
      <c r="EB649" s="55"/>
      <c r="EC649" s="55"/>
      <c r="ED649" s="55"/>
      <c r="EE649" s="55"/>
    </row>
    <row r="650" spans="2:135" ht="13.8" x14ac:dyDescent="0.45">
      <c r="B650" s="128">
        <v>2047</v>
      </c>
      <c r="C650" s="912"/>
      <c r="D650" s="960"/>
      <c r="E650" s="292"/>
      <c r="F650" s="914"/>
      <c r="G650" s="320"/>
      <c r="H650" s="292"/>
      <c r="I650" s="1112"/>
      <c r="J650" s="320"/>
      <c r="K650" s="292"/>
      <c r="L650" s="293"/>
      <c r="M650" s="292"/>
      <c r="N650" s="29" t="s">
        <v>119</v>
      </c>
      <c r="O650" s="120"/>
      <c r="P650" s="120"/>
      <c r="Q650" s="120"/>
      <c r="R650" s="29">
        <v>33</v>
      </c>
      <c r="S650" s="317" t="str">
        <f t="shared" si="383"/>
        <v/>
      </c>
      <c r="T650" s="317" t="str">
        <f t="shared" si="384"/>
        <v/>
      </c>
      <c r="U650" s="317" t="str">
        <f t="shared" si="385"/>
        <v/>
      </c>
      <c r="W650" s="317" t="e">
        <f t="shared" si="353"/>
        <v>#N/A</v>
      </c>
      <c r="X650" s="317" t="e">
        <f t="shared" si="386"/>
        <v>#N/A</v>
      </c>
      <c r="Y650" s="317" t="e">
        <f t="shared" si="355"/>
        <v>#N/A</v>
      </c>
      <c r="AA650" s="89"/>
      <c r="AB650" s="89"/>
      <c r="AC650" s="89"/>
      <c r="AD650" s="89"/>
      <c r="AE650" s="89"/>
      <c r="AF650" s="89"/>
      <c r="AG650" s="89"/>
      <c r="AH650" s="89"/>
      <c r="AI650" s="89"/>
      <c r="AJ650" s="89"/>
      <c r="AK650" s="89"/>
      <c r="AL650" s="89"/>
      <c r="AM650" s="89"/>
      <c r="AN650" s="89"/>
      <c r="BR650" s="180">
        <v>2045</v>
      </c>
      <c r="BS650" s="22">
        <v>31</v>
      </c>
      <c r="BT650" s="318" t="e">
        <f t="shared" si="366"/>
        <v>#DIV/0!</v>
      </c>
      <c r="BU650" s="318" t="e">
        <f t="shared" si="367"/>
        <v>#DIV/0!</v>
      </c>
      <c r="BV650" s="205" t="e">
        <f t="shared" si="368"/>
        <v>#DIV/0!</v>
      </c>
      <c r="BY650" s="180">
        <v>2045</v>
      </c>
      <c r="BZ650" s="22">
        <v>31</v>
      </c>
      <c r="CA650" s="318" t="e">
        <f t="shared" ca="1" si="369"/>
        <v>#REF!</v>
      </c>
      <c r="CB650" s="318" t="e">
        <f t="shared" ca="1" si="370"/>
        <v>#REF!</v>
      </c>
      <c r="CC650" s="318" t="e">
        <f t="shared" ca="1" si="381"/>
        <v>#REF!</v>
      </c>
      <c r="CD650" s="205" t="e">
        <f t="shared" ca="1" si="371"/>
        <v>#REF!</v>
      </c>
      <c r="CG650" s="180">
        <v>2045</v>
      </c>
      <c r="CH650" s="22">
        <v>31</v>
      </c>
      <c r="CI650" s="318" t="e">
        <f t="shared" ca="1" si="372"/>
        <v>#REF!</v>
      </c>
      <c r="CJ650" s="318" t="e">
        <f t="shared" ca="1" si="373"/>
        <v>#REF!</v>
      </c>
      <c r="CK650" s="318" t="e">
        <f t="shared" ca="1" si="374"/>
        <v>#REF!</v>
      </c>
      <c r="CL650" s="318" t="e">
        <f t="shared" ca="1" si="375"/>
        <v>#REF!</v>
      </c>
      <c r="CM650" s="205" t="e">
        <f t="shared" ca="1" si="376"/>
        <v>#REF!</v>
      </c>
      <c r="CP650" s="180">
        <v>2045</v>
      </c>
      <c r="CQ650" s="22">
        <v>31</v>
      </c>
      <c r="CR650" s="318" t="e">
        <f t="shared" ca="1" si="377"/>
        <v>#REF!</v>
      </c>
      <c r="CS650" s="318" t="e">
        <f t="shared" ca="1" si="378"/>
        <v>#REF!</v>
      </c>
      <c r="CT650" s="205" t="e">
        <f t="shared" ca="1" si="379"/>
        <v>#REF!</v>
      </c>
      <c r="CZ650" s="164" t="b">
        <f t="shared" si="356"/>
        <v>0</v>
      </c>
      <c r="DA650" s="165" t="b">
        <f t="shared" si="356"/>
        <v>0</v>
      </c>
      <c r="DB650" s="166" t="b">
        <f t="shared" si="356"/>
        <v>0</v>
      </c>
      <c r="DC650" s="164" t="str">
        <f t="shared" si="357"/>
        <v/>
      </c>
      <c r="DD650" s="166" t="str">
        <f t="shared" si="358"/>
        <v/>
      </c>
      <c r="DE650" s="164" t="str">
        <f t="shared" si="359"/>
        <v/>
      </c>
      <c r="DF650" s="166" t="str">
        <f t="shared" si="360"/>
        <v/>
      </c>
      <c r="DG650" s="164" t="str">
        <f t="shared" si="361"/>
        <v/>
      </c>
      <c r="DH650" s="166" t="str">
        <f t="shared" si="362"/>
        <v/>
      </c>
      <c r="DI650" s="164" t="str">
        <f>IFERROR(INDEX(DC$615:DC$663,_xlfn.AGGREGATE(15,6,(ROW(DC$615:DC$663)-ROW(DC$615)+1)/(DC$615:DC$663&lt;&gt;""),ROWS(DI$1:DI36))),"")</f>
        <v/>
      </c>
      <c r="DJ650" s="165" t="str">
        <f>IFERROR(INDEX(DD$615:DD$663,_xlfn.AGGREGATE(15,6,(ROW(DD$615:DD$663)-ROW(DD$615)+1)/(DD$615:DD$663&lt;&gt;""),ROWS(DJ$1:DJ36))),"")</f>
        <v/>
      </c>
      <c r="DK650" s="166" t="str">
        <f t="shared" si="363"/>
        <v/>
      </c>
      <c r="DL650" s="164" t="str">
        <f>IFERROR(INDEX(DE$615:DE$663,_xlfn.AGGREGATE(15,6,(ROW(DE$615:DE$663)-ROW(DE$615)+1)/(DE$615:DE$663&lt;&gt;""),ROWS(DL$1:DL36))),"")</f>
        <v/>
      </c>
      <c r="DM650" s="165" t="str">
        <f>IFERROR(INDEX(DF$615:DF$663,_xlfn.AGGREGATE(15,6,(ROW(DF$615:DF$663)-ROW(DF$615)+1)/(DF$615:DF$663&lt;&gt;""),ROWS(DM$1:DM36))),"")</f>
        <v/>
      </c>
      <c r="DN650" s="166" t="str">
        <f t="shared" si="364"/>
        <v/>
      </c>
      <c r="DO650" s="164" t="str">
        <f>IFERROR(INDEX(DG$615:DG$663,_xlfn.AGGREGATE(15,6,(ROW(DG$615:DG$663)-ROW(DG$615)+1)/(DG$615:DG$663&lt;&gt;""),ROWS(DO$1:DO36))),"")</f>
        <v/>
      </c>
      <c r="DP650" s="165" t="str">
        <f>IFERROR(INDEX(DH$615:DH$663,_xlfn.AGGREGATE(15,6,(ROW(DH$615:DH$663)-ROW(DH$615)+1)/(DH$615:DH$663&lt;&gt;""),ROWS(DP$1:DP36))),"")</f>
        <v/>
      </c>
      <c r="DQ650" s="166" t="str">
        <f t="shared" si="365"/>
        <v/>
      </c>
      <c r="DR650" s="65"/>
      <c r="DV650" s="145">
        <v>2050</v>
      </c>
      <c r="DW650" s="235" t="e">
        <f t="shared" ca="1" si="349"/>
        <v>#REF!</v>
      </c>
      <c r="EA650" s="55"/>
      <c r="EB650" s="55"/>
      <c r="EC650" s="55"/>
      <c r="ED650" s="55"/>
      <c r="EE650" s="55"/>
    </row>
    <row r="651" spans="2:135" ht="13.8" x14ac:dyDescent="0.45">
      <c r="B651" s="128">
        <v>2048</v>
      </c>
      <c r="C651" s="912"/>
      <c r="D651" s="960"/>
      <c r="E651" s="292"/>
      <c r="F651" s="914"/>
      <c r="G651" s="320"/>
      <c r="H651" s="292"/>
      <c r="I651" s="1112"/>
      <c r="J651" s="320"/>
      <c r="K651" s="292"/>
      <c r="L651" s="293"/>
      <c r="M651" s="292"/>
      <c r="N651" s="29" t="s">
        <v>119</v>
      </c>
      <c r="O651" s="120"/>
      <c r="P651" s="120"/>
      <c r="Q651" s="120"/>
      <c r="R651" s="29">
        <v>34</v>
      </c>
      <c r="S651" s="317" t="str">
        <f t="shared" si="383"/>
        <v/>
      </c>
      <c r="T651" s="317" t="str">
        <f t="shared" si="384"/>
        <v/>
      </c>
      <c r="U651" s="317" t="str">
        <f t="shared" si="385"/>
        <v/>
      </c>
      <c r="W651" s="317" t="e">
        <f t="shared" si="353"/>
        <v>#N/A</v>
      </c>
      <c r="X651" s="317" t="e">
        <f t="shared" si="386"/>
        <v>#N/A</v>
      </c>
      <c r="Y651" s="317" t="e">
        <f t="shared" si="355"/>
        <v>#N/A</v>
      </c>
      <c r="AA651" s="89"/>
      <c r="AB651" s="89"/>
      <c r="AC651" s="89"/>
      <c r="AD651" s="89"/>
      <c r="AE651" s="89"/>
      <c r="AF651" s="89"/>
      <c r="AG651" s="89"/>
      <c r="AH651" s="89"/>
      <c r="AI651" s="89"/>
      <c r="AJ651" s="89"/>
      <c r="AK651" s="89"/>
      <c r="AL651" s="89"/>
      <c r="AM651" s="89"/>
      <c r="AN651" s="89"/>
      <c r="BR651" s="180">
        <v>2046</v>
      </c>
      <c r="BS651" s="22">
        <v>32</v>
      </c>
      <c r="BT651" s="318" t="e">
        <f t="shared" si="366"/>
        <v>#DIV/0!</v>
      </c>
      <c r="BU651" s="318" t="e">
        <f t="shared" si="367"/>
        <v>#DIV/0!</v>
      </c>
      <c r="BV651" s="205" t="e">
        <f t="shared" si="368"/>
        <v>#DIV/0!</v>
      </c>
      <c r="BY651" s="180">
        <v>2046</v>
      </c>
      <c r="BZ651" s="22">
        <v>32</v>
      </c>
      <c r="CA651" s="318" t="e">
        <f t="shared" ca="1" si="369"/>
        <v>#REF!</v>
      </c>
      <c r="CB651" s="318" t="e">
        <f t="shared" ca="1" si="370"/>
        <v>#REF!</v>
      </c>
      <c r="CC651" s="318" t="e">
        <f t="shared" ca="1" si="381"/>
        <v>#REF!</v>
      </c>
      <c r="CD651" s="205" t="e">
        <f t="shared" ca="1" si="371"/>
        <v>#REF!</v>
      </c>
      <c r="CG651" s="180">
        <v>2046</v>
      </c>
      <c r="CH651" s="22">
        <v>32</v>
      </c>
      <c r="CI651" s="318" t="e">
        <f t="shared" ca="1" si="372"/>
        <v>#REF!</v>
      </c>
      <c r="CJ651" s="318" t="e">
        <f t="shared" ca="1" si="373"/>
        <v>#REF!</v>
      </c>
      <c r="CK651" s="318" t="e">
        <f t="shared" ca="1" si="374"/>
        <v>#REF!</v>
      </c>
      <c r="CL651" s="318" t="e">
        <f t="shared" ca="1" si="375"/>
        <v>#REF!</v>
      </c>
      <c r="CM651" s="205" t="e">
        <f t="shared" ca="1" si="376"/>
        <v>#REF!</v>
      </c>
      <c r="CP651" s="180">
        <v>2046</v>
      </c>
      <c r="CQ651" s="22">
        <v>32</v>
      </c>
      <c r="CR651" s="318" t="e">
        <f t="shared" ca="1" si="377"/>
        <v>#REF!</v>
      </c>
      <c r="CS651" s="318" t="e">
        <f t="shared" ca="1" si="378"/>
        <v>#REF!</v>
      </c>
      <c r="CT651" s="205" t="e">
        <f t="shared" ca="1" si="379"/>
        <v>#REF!</v>
      </c>
      <c r="CZ651" s="164" t="b">
        <f t="shared" si="356"/>
        <v>0</v>
      </c>
      <c r="DA651" s="165" t="b">
        <f t="shared" si="356"/>
        <v>0</v>
      </c>
      <c r="DB651" s="166" t="b">
        <f t="shared" si="356"/>
        <v>0</v>
      </c>
      <c r="DC651" s="164" t="str">
        <f t="shared" si="357"/>
        <v/>
      </c>
      <c r="DD651" s="166" t="str">
        <f t="shared" si="358"/>
        <v/>
      </c>
      <c r="DE651" s="164" t="str">
        <f t="shared" si="359"/>
        <v/>
      </c>
      <c r="DF651" s="166" t="str">
        <f t="shared" si="360"/>
        <v/>
      </c>
      <c r="DG651" s="164" t="str">
        <f t="shared" si="361"/>
        <v/>
      </c>
      <c r="DH651" s="166" t="str">
        <f t="shared" si="362"/>
        <v/>
      </c>
      <c r="DI651" s="164" t="str">
        <f>IFERROR(INDEX(DC$615:DC$663,_xlfn.AGGREGATE(15,6,(ROW(DC$615:DC$663)-ROW(DC$615)+1)/(DC$615:DC$663&lt;&gt;""),ROWS(DI$1:DI37))),"")</f>
        <v/>
      </c>
      <c r="DJ651" s="165" t="str">
        <f>IFERROR(INDEX(DD$615:DD$663,_xlfn.AGGREGATE(15,6,(ROW(DD$615:DD$663)-ROW(DD$615)+1)/(DD$615:DD$663&lt;&gt;""),ROWS(DJ$1:DJ37))),"")</f>
        <v/>
      </c>
      <c r="DK651" s="166" t="str">
        <f t="shared" si="363"/>
        <v/>
      </c>
      <c r="DL651" s="164" t="str">
        <f>IFERROR(INDEX(DE$615:DE$663,_xlfn.AGGREGATE(15,6,(ROW(DE$615:DE$663)-ROW(DE$615)+1)/(DE$615:DE$663&lt;&gt;""),ROWS(DL$1:DL37))),"")</f>
        <v/>
      </c>
      <c r="DM651" s="165" t="str">
        <f>IFERROR(INDEX(DF$615:DF$663,_xlfn.AGGREGATE(15,6,(ROW(DF$615:DF$663)-ROW(DF$615)+1)/(DF$615:DF$663&lt;&gt;""),ROWS(DM$1:DM37))),"")</f>
        <v/>
      </c>
      <c r="DN651" s="166" t="str">
        <f t="shared" si="364"/>
        <v/>
      </c>
      <c r="DO651" s="164" t="str">
        <f>IFERROR(INDEX(DG$615:DG$663,_xlfn.AGGREGATE(15,6,(ROW(DG$615:DG$663)-ROW(DG$615)+1)/(DG$615:DG$663&lt;&gt;""),ROWS(DO$1:DO37))),"")</f>
        <v/>
      </c>
      <c r="DP651" s="165" t="str">
        <f>IFERROR(INDEX(DH$615:DH$663,_xlfn.AGGREGATE(15,6,(ROW(DH$615:DH$663)-ROW(DH$615)+1)/(DH$615:DH$663&lt;&gt;""),ROWS(DP$1:DP37))),"")</f>
        <v/>
      </c>
      <c r="DQ651" s="166" t="str">
        <f t="shared" si="365"/>
        <v/>
      </c>
      <c r="DR651" s="65"/>
      <c r="DV651" s="145">
        <v>2051</v>
      </c>
      <c r="DW651" s="235" t="e">
        <f t="shared" ca="1" si="349"/>
        <v>#REF!</v>
      </c>
      <c r="EA651" s="55"/>
      <c r="EB651" s="55"/>
      <c r="EC651" s="55"/>
      <c r="ED651" s="55"/>
      <c r="EE651" s="55"/>
    </row>
    <row r="652" spans="2:135" ht="13.8" x14ac:dyDescent="0.45">
      <c r="B652" s="128">
        <v>2049</v>
      </c>
      <c r="C652" s="912"/>
      <c r="D652" s="960"/>
      <c r="E652" s="292"/>
      <c r="F652" s="914"/>
      <c r="G652" s="320"/>
      <c r="H652" s="292"/>
      <c r="I652" s="1112"/>
      <c r="J652" s="320"/>
      <c r="K652" s="292"/>
      <c r="L652" s="293"/>
      <c r="M652" s="292"/>
      <c r="N652" s="29" t="s">
        <v>119</v>
      </c>
      <c r="O652" s="120"/>
      <c r="P652" s="120"/>
      <c r="Q652" s="120"/>
      <c r="R652" s="29">
        <v>35</v>
      </c>
      <c r="S652" s="317" t="str">
        <f t="shared" si="383"/>
        <v/>
      </c>
      <c r="T652" s="317" t="str">
        <f t="shared" si="384"/>
        <v/>
      </c>
      <c r="U652" s="317" t="str">
        <f t="shared" si="385"/>
        <v/>
      </c>
      <c r="W652" s="317" t="e">
        <f t="shared" si="353"/>
        <v>#N/A</v>
      </c>
      <c r="X652" s="317" t="e">
        <f t="shared" si="386"/>
        <v>#N/A</v>
      </c>
      <c r="Y652" s="317" t="e">
        <f t="shared" si="355"/>
        <v>#N/A</v>
      </c>
      <c r="AA652" s="89"/>
      <c r="AB652" s="89"/>
      <c r="AC652" s="89"/>
      <c r="AD652" s="89"/>
      <c r="AE652" s="89"/>
      <c r="AF652" s="89"/>
      <c r="AG652" s="89"/>
      <c r="AH652" s="89"/>
      <c r="AI652" s="89"/>
      <c r="AJ652" s="89"/>
      <c r="AK652" s="89"/>
      <c r="AL652" s="89"/>
      <c r="AM652" s="89"/>
      <c r="AN652" s="89"/>
      <c r="BR652" s="180">
        <v>2047</v>
      </c>
      <c r="BS652" s="22">
        <v>33</v>
      </c>
      <c r="BT652" s="318" t="e">
        <f t="shared" si="366"/>
        <v>#DIV/0!</v>
      </c>
      <c r="BU652" s="318" t="e">
        <f t="shared" si="367"/>
        <v>#DIV/0!</v>
      </c>
      <c r="BV652" s="205" t="e">
        <f t="shared" si="368"/>
        <v>#DIV/0!</v>
      </c>
      <c r="BY652" s="180">
        <v>2047</v>
      </c>
      <c r="BZ652" s="22">
        <v>33</v>
      </c>
      <c r="CA652" s="318" t="e">
        <f t="shared" ca="1" si="369"/>
        <v>#REF!</v>
      </c>
      <c r="CB652" s="318" t="e">
        <f t="shared" ca="1" si="370"/>
        <v>#REF!</v>
      </c>
      <c r="CC652" s="318" t="e">
        <f t="shared" ca="1" si="381"/>
        <v>#REF!</v>
      </c>
      <c r="CD652" s="205" t="e">
        <f t="shared" ca="1" si="371"/>
        <v>#REF!</v>
      </c>
      <c r="CG652" s="180">
        <v>2047</v>
      </c>
      <c r="CH652" s="22">
        <v>33</v>
      </c>
      <c r="CI652" s="318" t="e">
        <f t="shared" ca="1" si="372"/>
        <v>#REF!</v>
      </c>
      <c r="CJ652" s="318" t="e">
        <f t="shared" ca="1" si="373"/>
        <v>#REF!</v>
      </c>
      <c r="CK652" s="318" t="e">
        <f t="shared" ca="1" si="374"/>
        <v>#REF!</v>
      </c>
      <c r="CL652" s="318" t="e">
        <f t="shared" ca="1" si="375"/>
        <v>#REF!</v>
      </c>
      <c r="CM652" s="205" t="e">
        <f t="shared" ca="1" si="376"/>
        <v>#REF!</v>
      </c>
      <c r="CP652" s="180">
        <v>2047</v>
      </c>
      <c r="CQ652" s="22">
        <v>33</v>
      </c>
      <c r="CR652" s="318" t="e">
        <f t="shared" ca="1" si="377"/>
        <v>#REF!</v>
      </c>
      <c r="CS652" s="318" t="e">
        <f t="shared" ca="1" si="378"/>
        <v>#REF!</v>
      </c>
      <c r="CT652" s="205" t="e">
        <f t="shared" ca="1" si="379"/>
        <v>#REF!</v>
      </c>
      <c r="CZ652" s="164" t="b">
        <f t="shared" si="356"/>
        <v>0</v>
      </c>
      <c r="DA652" s="165" t="b">
        <f t="shared" si="356"/>
        <v>0</v>
      </c>
      <c r="DB652" s="166" t="b">
        <f t="shared" si="356"/>
        <v>0</v>
      </c>
      <c r="DC652" s="164" t="str">
        <f t="shared" si="357"/>
        <v/>
      </c>
      <c r="DD652" s="166" t="str">
        <f t="shared" si="358"/>
        <v/>
      </c>
      <c r="DE652" s="164" t="str">
        <f t="shared" si="359"/>
        <v/>
      </c>
      <c r="DF652" s="166" t="str">
        <f t="shared" si="360"/>
        <v/>
      </c>
      <c r="DG652" s="164" t="str">
        <f t="shared" si="361"/>
        <v/>
      </c>
      <c r="DH652" s="166" t="str">
        <f t="shared" si="362"/>
        <v/>
      </c>
      <c r="DI652" s="164" t="str">
        <f>IFERROR(INDEX(DC$615:DC$663,_xlfn.AGGREGATE(15,6,(ROW(DC$615:DC$663)-ROW(DC$615)+1)/(DC$615:DC$663&lt;&gt;""),ROWS(DI$1:DI38))),"")</f>
        <v/>
      </c>
      <c r="DJ652" s="165" t="str">
        <f>IFERROR(INDEX(DD$615:DD$663,_xlfn.AGGREGATE(15,6,(ROW(DD$615:DD$663)-ROW(DD$615)+1)/(DD$615:DD$663&lt;&gt;""),ROWS(DJ$1:DJ38))),"")</f>
        <v/>
      </c>
      <c r="DK652" s="166" t="str">
        <f t="shared" si="363"/>
        <v/>
      </c>
      <c r="DL652" s="164" t="str">
        <f>IFERROR(INDEX(DE$615:DE$663,_xlfn.AGGREGATE(15,6,(ROW(DE$615:DE$663)-ROW(DE$615)+1)/(DE$615:DE$663&lt;&gt;""),ROWS(DL$1:DL38))),"")</f>
        <v/>
      </c>
      <c r="DM652" s="165" t="str">
        <f>IFERROR(INDEX(DF$615:DF$663,_xlfn.AGGREGATE(15,6,(ROW(DF$615:DF$663)-ROW(DF$615)+1)/(DF$615:DF$663&lt;&gt;""),ROWS(DM$1:DM38))),"")</f>
        <v/>
      </c>
      <c r="DN652" s="166" t="str">
        <f t="shared" si="364"/>
        <v/>
      </c>
      <c r="DO652" s="164" t="str">
        <f>IFERROR(INDEX(DG$615:DG$663,_xlfn.AGGREGATE(15,6,(ROW(DG$615:DG$663)-ROW(DG$615)+1)/(DG$615:DG$663&lt;&gt;""),ROWS(DO$1:DO38))),"")</f>
        <v/>
      </c>
      <c r="DP652" s="165" t="str">
        <f>IFERROR(INDEX(DH$615:DH$663,_xlfn.AGGREGATE(15,6,(ROW(DH$615:DH$663)-ROW(DH$615)+1)/(DH$615:DH$663&lt;&gt;""),ROWS(DP$1:DP38))),"")</f>
        <v/>
      </c>
      <c r="DQ652" s="166" t="str">
        <f t="shared" si="365"/>
        <v/>
      </c>
      <c r="DR652" s="65"/>
      <c r="DV652" s="145">
        <v>2052</v>
      </c>
      <c r="DW652" s="235" t="e">
        <f t="shared" ca="1" si="349"/>
        <v>#REF!</v>
      </c>
      <c r="EA652" s="55"/>
      <c r="EB652" s="55"/>
      <c r="EC652" s="55"/>
      <c r="ED652" s="55"/>
      <c r="EE652" s="55"/>
    </row>
    <row r="653" spans="2:135" ht="13.8" x14ac:dyDescent="0.45">
      <c r="B653" s="128">
        <v>2050</v>
      </c>
      <c r="C653" s="912"/>
      <c r="D653" s="960"/>
      <c r="E653" s="292"/>
      <c r="F653" s="914"/>
      <c r="G653" s="320"/>
      <c r="H653" s="292"/>
      <c r="I653" s="1112"/>
      <c r="J653" s="320"/>
      <c r="K653" s="292"/>
      <c r="L653" s="293"/>
      <c r="M653" s="292"/>
      <c r="N653" s="29" t="s">
        <v>119</v>
      </c>
      <c r="O653" s="120"/>
      <c r="P653" s="120"/>
      <c r="Q653" s="120"/>
      <c r="R653" s="29">
        <v>36</v>
      </c>
      <c r="S653" s="317" t="str">
        <f t="shared" si="383"/>
        <v/>
      </c>
      <c r="T653" s="317" t="str">
        <f t="shared" si="384"/>
        <v/>
      </c>
      <c r="U653" s="317" t="str">
        <f t="shared" si="385"/>
        <v/>
      </c>
      <c r="W653" s="317" t="e">
        <f t="shared" si="353"/>
        <v>#N/A</v>
      </c>
      <c r="X653" s="317" t="e">
        <f t="shared" si="386"/>
        <v>#N/A</v>
      </c>
      <c r="Y653" s="317" t="e">
        <f t="shared" si="355"/>
        <v>#N/A</v>
      </c>
      <c r="AA653" s="89"/>
      <c r="AB653" s="89"/>
      <c r="AC653" s="89"/>
      <c r="AD653" s="89"/>
      <c r="AE653" s="89"/>
      <c r="AF653" s="89"/>
      <c r="AG653" s="89"/>
      <c r="AH653" s="89"/>
      <c r="AI653" s="89"/>
      <c r="AJ653" s="89"/>
      <c r="AK653" s="89"/>
      <c r="AL653" s="89"/>
      <c r="AM653" s="89"/>
      <c r="AN653" s="89"/>
      <c r="BR653" s="180">
        <v>2048</v>
      </c>
      <c r="BS653" s="22">
        <v>34</v>
      </c>
      <c r="BT653" s="318" t="e">
        <f t="shared" si="366"/>
        <v>#DIV/0!</v>
      </c>
      <c r="BU653" s="318" t="e">
        <f t="shared" si="367"/>
        <v>#DIV/0!</v>
      </c>
      <c r="BV653" s="205" t="e">
        <f t="shared" si="368"/>
        <v>#DIV/0!</v>
      </c>
      <c r="BY653" s="180">
        <v>2048</v>
      </c>
      <c r="BZ653" s="22">
        <v>34</v>
      </c>
      <c r="CA653" s="318" t="e">
        <f t="shared" ca="1" si="369"/>
        <v>#REF!</v>
      </c>
      <c r="CB653" s="318" t="e">
        <f t="shared" ca="1" si="370"/>
        <v>#REF!</v>
      </c>
      <c r="CC653" s="318" t="e">
        <f t="shared" ca="1" si="381"/>
        <v>#REF!</v>
      </c>
      <c r="CD653" s="205" t="e">
        <f t="shared" ca="1" si="371"/>
        <v>#REF!</v>
      </c>
      <c r="CG653" s="180">
        <v>2048</v>
      </c>
      <c r="CH653" s="22">
        <v>34</v>
      </c>
      <c r="CI653" s="318" t="e">
        <f t="shared" ca="1" si="372"/>
        <v>#REF!</v>
      </c>
      <c r="CJ653" s="318" t="e">
        <f t="shared" ca="1" si="373"/>
        <v>#REF!</v>
      </c>
      <c r="CK653" s="318" t="e">
        <f t="shared" ca="1" si="374"/>
        <v>#REF!</v>
      </c>
      <c r="CL653" s="318" t="e">
        <f t="shared" ca="1" si="375"/>
        <v>#REF!</v>
      </c>
      <c r="CM653" s="205" t="e">
        <f t="shared" ca="1" si="376"/>
        <v>#REF!</v>
      </c>
      <c r="CP653" s="180">
        <v>2048</v>
      </c>
      <c r="CQ653" s="22">
        <v>34</v>
      </c>
      <c r="CR653" s="318" t="e">
        <f t="shared" ca="1" si="377"/>
        <v>#REF!</v>
      </c>
      <c r="CS653" s="318" t="e">
        <f t="shared" ca="1" si="378"/>
        <v>#REF!</v>
      </c>
      <c r="CT653" s="205" t="e">
        <f t="shared" ca="1" si="379"/>
        <v>#REF!</v>
      </c>
      <c r="CZ653" s="164" t="b">
        <f t="shared" si="356"/>
        <v>0</v>
      </c>
      <c r="DA653" s="165" t="b">
        <f t="shared" si="356"/>
        <v>0</v>
      </c>
      <c r="DB653" s="166" t="b">
        <f t="shared" si="356"/>
        <v>0</v>
      </c>
      <c r="DC653" s="164" t="str">
        <f t="shared" si="357"/>
        <v/>
      </c>
      <c r="DD653" s="166" t="str">
        <f t="shared" si="358"/>
        <v/>
      </c>
      <c r="DE653" s="164" t="str">
        <f t="shared" si="359"/>
        <v/>
      </c>
      <c r="DF653" s="166" t="str">
        <f t="shared" si="360"/>
        <v/>
      </c>
      <c r="DG653" s="164" t="str">
        <f t="shared" si="361"/>
        <v/>
      </c>
      <c r="DH653" s="166" t="str">
        <f t="shared" si="362"/>
        <v/>
      </c>
      <c r="DI653" s="164" t="str">
        <f>IFERROR(INDEX(DC$615:DC$663,_xlfn.AGGREGATE(15,6,(ROW(DC$615:DC$663)-ROW(DC$615)+1)/(DC$615:DC$663&lt;&gt;""),ROWS(DI$1:DI39))),"")</f>
        <v/>
      </c>
      <c r="DJ653" s="165" t="str">
        <f>IFERROR(INDEX(DD$615:DD$663,_xlfn.AGGREGATE(15,6,(ROW(DD$615:DD$663)-ROW(DD$615)+1)/(DD$615:DD$663&lt;&gt;""),ROWS(DJ$1:DJ39))),"")</f>
        <v/>
      </c>
      <c r="DK653" s="166" t="str">
        <f t="shared" si="363"/>
        <v/>
      </c>
      <c r="DL653" s="164" t="str">
        <f>IFERROR(INDEX(DE$615:DE$663,_xlfn.AGGREGATE(15,6,(ROW(DE$615:DE$663)-ROW(DE$615)+1)/(DE$615:DE$663&lt;&gt;""),ROWS(DL$1:DL39))),"")</f>
        <v/>
      </c>
      <c r="DM653" s="165" t="str">
        <f>IFERROR(INDEX(DF$615:DF$663,_xlfn.AGGREGATE(15,6,(ROW(DF$615:DF$663)-ROW(DF$615)+1)/(DF$615:DF$663&lt;&gt;""),ROWS(DM$1:DM39))),"")</f>
        <v/>
      </c>
      <c r="DN653" s="166" t="str">
        <f t="shared" si="364"/>
        <v/>
      </c>
      <c r="DO653" s="164" t="str">
        <f>IFERROR(INDEX(DG$615:DG$663,_xlfn.AGGREGATE(15,6,(ROW(DG$615:DG$663)-ROW(DG$615)+1)/(DG$615:DG$663&lt;&gt;""),ROWS(DO$1:DO39))),"")</f>
        <v/>
      </c>
      <c r="DP653" s="165" t="str">
        <f>IFERROR(INDEX(DH$615:DH$663,_xlfn.AGGREGATE(15,6,(ROW(DH$615:DH$663)-ROW(DH$615)+1)/(DH$615:DH$663&lt;&gt;""),ROWS(DP$1:DP39))),"")</f>
        <v/>
      </c>
      <c r="DQ653" s="166" t="str">
        <f t="shared" si="365"/>
        <v/>
      </c>
      <c r="DR653" s="65"/>
      <c r="DV653" s="145">
        <v>2053</v>
      </c>
      <c r="DW653" s="235" t="e">
        <f t="shared" ca="1" si="349"/>
        <v>#REF!</v>
      </c>
      <c r="EA653" s="55"/>
      <c r="EB653" s="55"/>
      <c r="EC653" s="55"/>
      <c r="ED653" s="55"/>
      <c r="EE653" s="55"/>
    </row>
    <row r="654" spans="2:135" ht="13.8" x14ac:dyDescent="0.45">
      <c r="B654" s="128">
        <v>2051</v>
      </c>
      <c r="C654" s="912"/>
      <c r="D654" s="960"/>
      <c r="E654" s="292"/>
      <c r="F654" s="914"/>
      <c r="G654" s="320"/>
      <c r="H654" s="292"/>
      <c r="I654" s="1112"/>
      <c r="J654" s="320"/>
      <c r="K654" s="292"/>
      <c r="L654" s="293"/>
      <c r="M654" s="292"/>
      <c r="N654" s="29" t="s">
        <v>119</v>
      </c>
      <c r="O654" s="120"/>
      <c r="P654" s="120"/>
      <c r="Q654" s="120"/>
      <c r="R654" s="29">
        <v>37</v>
      </c>
      <c r="S654" s="317" t="str">
        <f t="shared" si="383"/>
        <v/>
      </c>
      <c r="T654" s="317" t="str">
        <f t="shared" si="384"/>
        <v/>
      </c>
      <c r="U654" s="317" t="str">
        <f t="shared" si="385"/>
        <v/>
      </c>
      <c r="W654" s="317" t="e">
        <f t="shared" si="353"/>
        <v>#N/A</v>
      </c>
      <c r="X654" s="317" t="e">
        <f t="shared" si="386"/>
        <v>#N/A</v>
      </c>
      <c r="Y654" s="317" t="e">
        <f t="shared" si="355"/>
        <v>#N/A</v>
      </c>
      <c r="AA654" s="89"/>
      <c r="AB654" s="89"/>
      <c r="AC654" s="89"/>
      <c r="AD654" s="89"/>
      <c r="AE654" s="89"/>
      <c r="AF654" s="89"/>
      <c r="AG654" s="89"/>
      <c r="AH654" s="89"/>
      <c r="AI654" s="89"/>
      <c r="AJ654" s="89"/>
      <c r="AK654" s="89"/>
      <c r="AL654" s="89"/>
      <c r="AM654" s="89"/>
      <c r="AN654" s="89"/>
      <c r="BR654" s="180">
        <v>2049</v>
      </c>
      <c r="BS654" s="22">
        <v>35</v>
      </c>
      <c r="BT654" s="318" t="e">
        <f t="shared" si="366"/>
        <v>#DIV/0!</v>
      </c>
      <c r="BU654" s="318" t="e">
        <f t="shared" si="367"/>
        <v>#DIV/0!</v>
      </c>
      <c r="BV654" s="205" t="e">
        <f t="shared" si="368"/>
        <v>#DIV/0!</v>
      </c>
      <c r="BY654" s="180">
        <v>2049</v>
      </c>
      <c r="BZ654" s="22">
        <v>35</v>
      </c>
      <c r="CA654" s="318" t="e">
        <f t="shared" ca="1" si="369"/>
        <v>#REF!</v>
      </c>
      <c r="CB654" s="318" t="e">
        <f t="shared" ca="1" si="370"/>
        <v>#REF!</v>
      </c>
      <c r="CC654" s="318" t="e">
        <f t="shared" ca="1" si="381"/>
        <v>#REF!</v>
      </c>
      <c r="CD654" s="205" t="e">
        <f t="shared" ca="1" si="371"/>
        <v>#REF!</v>
      </c>
      <c r="CG654" s="180">
        <v>2049</v>
      </c>
      <c r="CH654" s="22">
        <v>35</v>
      </c>
      <c r="CI654" s="318" t="e">
        <f t="shared" ca="1" si="372"/>
        <v>#REF!</v>
      </c>
      <c r="CJ654" s="318" t="e">
        <f t="shared" ca="1" si="373"/>
        <v>#REF!</v>
      </c>
      <c r="CK654" s="318" t="e">
        <f t="shared" ca="1" si="374"/>
        <v>#REF!</v>
      </c>
      <c r="CL654" s="318" t="e">
        <f t="shared" ca="1" si="375"/>
        <v>#REF!</v>
      </c>
      <c r="CM654" s="205" t="e">
        <f t="shared" ca="1" si="376"/>
        <v>#REF!</v>
      </c>
      <c r="CP654" s="180">
        <v>2049</v>
      </c>
      <c r="CQ654" s="22">
        <v>35</v>
      </c>
      <c r="CR654" s="318" t="e">
        <f t="shared" ca="1" si="377"/>
        <v>#REF!</v>
      </c>
      <c r="CS654" s="318" t="e">
        <f t="shared" ca="1" si="378"/>
        <v>#REF!</v>
      </c>
      <c r="CT654" s="205" t="e">
        <f t="shared" ca="1" si="379"/>
        <v>#REF!</v>
      </c>
      <c r="CZ654" s="164" t="b">
        <f t="shared" si="356"/>
        <v>0</v>
      </c>
      <c r="DA654" s="165" t="b">
        <f t="shared" si="356"/>
        <v>0</v>
      </c>
      <c r="DB654" s="166" t="b">
        <f t="shared" si="356"/>
        <v>0</v>
      </c>
      <c r="DC654" s="164" t="str">
        <f t="shared" si="357"/>
        <v/>
      </c>
      <c r="DD654" s="166" t="str">
        <f t="shared" si="358"/>
        <v/>
      </c>
      <c r="DE654" s="164" t="str">
        <f t="shared" si="359"/>
        <v/>
      </c>
      <c r="DF654" s="166" t="str">
        <f t="shared" si="360"/>
        <v/>
      </c>
      <c r="DG654" s="164" t="str">
        <f t="shared" si="361"/>
        <v/>
      </c>
      <c r="DH654" s="166" t="str">
        <f t="shared" si="362"/>
        <v/>
      </c>
      <c r="DI654" s="164" t="str">
        <f>IFERROR(INDEX(DC$615:DC$663,_xlfn.AGGREGATE(15,6,(ROW(DC$615:DC$663)-ROW(DC$615)+1)/(DC$615:DC$663&lt;&gt;""),ROWS(DI$1:DI40))),"")</f>
        <v/>
      </c>
      <c r="DJ654" s="165" t="str">
        <f>IFERROR(INDEX(DD$615:DD$663,_xlfn.AGGREGATE(15,6,(ROW(DD$615:DD$663)-ROW(DD$615)+1)/(DD$615:DD$663&lt;&gt;""),ROWS(DJ$1:DJ40))),"")</f>
        <v/>
      </c>
      <c r="DK654" s="166" t="str">
        <f t="shared" si="363"/>
        <v/>
      </c>
      <c r="DL654" s="164" t="str">
        <f>IFERROR(INDEX(DE$615:DE$663,_xlfn.AGGREGATE(15,6,(ROW(DE$615:DE$663)-ROW(DE$615)+1)/(DE$615:DE$663&lt;&gt;""),ROWS(DL$1:DL40))),"")</f>
        <v/>
      </c>
      <c r="DM654" s="165" t="str">
        <f>IFERROR(INDEX(DF$615:DF$663,_xlfn.AGGREGATE(15,6,(ROW(DF$615:DF$663)-ROW(DF$615)+1)/(DF$615:DF$663&lt;&gt;""),ROWS(DM$1:DM40))),"")</f>
        <v/>
      </c>
      <c r="DN654" s="166" t="str">
        <f t="shared" si="364"/>
        <v/>
      </c>
      <c r="DO654" s="164" t="str">
        <f>IFERROR(INDEX(DG$615:DG$663,_xlfn.AGGREGATE(15,6,(ROW(DG$615:DG$663)-ROW(DG$615)+1)/(DG$615:DG$663&lt;&gt;""),ROWS(DO$1:DO40))),"")</f>
        <v/>
      </c>
      <c r="DP654" s="165" t="str">
        <f>IFERROR(INDEX(DH$615:DH$663,_xlfn.AGGREGATE(15,6,(ROW(DH$615:DH$663)-ROW(DH$615)+1)/(DH$615:DH$663&lt;&gt;""),ROWS(DP$1:DP40))),"")</f>
        <v/>
      </c>
      <c r="DQ654" s="166" t="str">
        <f t="shared" si="365"/>
        <v/>
      </c>
      <c r="DR654" s="65"/>
      <c r="DV654" s="145">
        <v>2054</v>
      </c>
      <c r="DW654" s="235" t="e">
        <f t="shared" ca="1" si="349"/>
        <v>#REF!</v>
      </c>
      <c r="EA654" s="55"/>
      <c r="EB654" s="55"/>
      <c r="EC654" s="55"/>
      <c r="ED654" s="55"/>
      <c r="EE654" s="55"/>
    </row>
    <row r="655" spans="2:135" ht="14.1" thickBot="1" x14ac:dyDescent="0.5">
      <c r="B655" s="128">
        <v>2052</v>
      </c>
      <c r="C655" s="912"/>
      <c r="D655" s="960"/>
      <c r="E655" s="292"/>
      <c r="F655" s="914"/>
      <c r="G655" s="320"/>
      <c r="H655" s="292"/>
      <c r="I655" s="1112"/>
      <c r="J655" s="320"/>
      <c r="K655" s="292"/>
      <c r="L655" s="293"/>
      <c r="M655" s="292"/>
      <c r="N655" s="29" t="s">
        <v>119</v>
      </c>
      <c r="O655" s="120"/>
      <c r="P655" s="120"/>
      <c r="Q655" s="120"/>
      <c r="R655" s="29">
        <v>38</v>
      </c>
      <c r="S655" s="317" t="str">
        <f t="shared" si="383"/>
        <v/>
      </c>
      <c r="T655" s="317" t="str">
        <f t="shared" si="384"/>
        <v/>
      </c>
      <c r="U655" s="317" t="str">
        <f t="shared" si="385"/>
        <v/>
      </c>
      <c r="W655" s="317" t="e">
        <f t="shared" si="353"/>
        <v>#N/A</v>
      </c>
      <c r="X655" s="317" t="e">
        <f t="shared" si="386"/>
        <v>#N/A</v>
      </c>
      <c r="Y655" s="317" t="e">
        <f t="shared" si="355"/>
        <v>#N/A</v>
      </c>
      <c r="AA655" s="89"/>
      <c r="AB655" s="89"/>
      <c r="AC655" s="89"/>
      <c r="AD655" s="89"/>
      <c r="AE655" s="89"/>
      <c r="AF655" s="89"/>
      <c r="AG655" s="89"/>
      <c r="AH655" s="89"/>
      <c r="AI655" s="89"/>
      <c r="AJ655" s="89"/>
      <c r="AK655" s="89"/>
      <c r="AL655" s="89"/>
      <c r="AM655" s="89"/>
      <c r="AN655" s="89"/>
      <c r="BR655" s="180">
        <v>2050</v>
      </c>
      <c r="BS655" s="22">
        <v>36</v>
      </c>
      <c r="BT655" s="318" t="e">
        <f t="shared" si="366"/>
        <v>#DIV/0!</v>
      </c>
      <c r="BU655" s="318" t="e">
        <f t="shared" si="367"/>
        <v>#DIV/0!</v>
      </c>
      <c r="BV655" s="212" t="e">
        <f t="shared" si="368"/>
        <v>#DIV/0!</v>
      </c>
      <c r="BY655" s="180">
        <v>2050</v>
      </c>
      <c r="BZ655" s="22">
        <v>36</v>
      </c>
      <c r="CA655" s="318" t="e">
        <f t="shared" ca="1" si="369"/>
        <v>#REF!</v>
      </c>
      <c r="CB655" s="318" t="e">
        <f t="shared" ca="1" si="370"/>
        <v>#REF!</v>
      </c>
      <c r="CC655" s="318" t="e">
        <f t="shared" ca="1" si="381"/>
        <v>#REF!</v>
      </c>
      <c r="CD655" s="212" t="e">
        <f t="shared" ca="1" si="371"/>
        <v>#REF!</v>
      </c>
      <c r="CG655" s="180">
        <v>2050</v>
      </c>
      <c r="CH655" s="22">
        <v>36</v>
      </c>
      <c r="CI655" s="318" t="e">
        <f t="shared" ca="1" si="372"/>
        <v>#REF!</v>
      </c>
      <c r="CJ655" s="318" t="e">
        <f t="shared" ca="1" si="373"/>
        <v>#REF!</v>
      </c>
      <c r="CK655" s="318" t="e">
        <f t="shared" ca="1" si="374"/>
        <v>#REF!</v>
      </c>
      <c r="CL655" s="318" t="e">
        <f t="shared" ca="1" si="375"/>
        <v>#REF!</v>
      </c>
      <c r="CM655" s="212" t="e">
        <f t="shared" ca="1" si="376"/>
        <v>#REF!</v>
      </c>
      <c r="CP655" s="180">
        <v>2050</v>
      </c>
      <c r="CQ655" s="22">
        <v>36</v>
      </c>
      <c r="CR655" s="318" t="e">
        <f t="shared" ca="1" si="377"/>
        <v>#REF!</v>
      </c>
      <c r="CS655" s="318" t="e">
        <f t="shared" ca="1" si="378"/>
        <v>#REF!</v>
      </c>
      <c r="CT655" s="212" t="e">
        <f t="shared" ca="1" si="379"/>
        <v>#REF!</v>
      </c>
      <c r="CZ655" s="164" t="b">
        <f t="shared" ref="CZ655:DB663" si="387">ISNUMBER(W655)</f>
        <v>0</v>
      </c>
      <c r="DA655" s="165" t="b">
        <f t="shared" si="387"/>
        <v>0</v>
      </c>
      <c r="DB655" s="166" t="b">
        <f t="shared" si="387"/>
        <v>0</v>
      </c>
      <c r="DC655" s="164" t="str">
        <f t="shared" si="357"/>
        <v/>
      </c>
      <c r="DD655" s="166" t="str">
        <f t="shared" si="358"/>
        <v/>
      </c>
      <c r="DE655" s="164" t="str">
        <f t="shared" si="359"/>
        <v/>
      </c>
      <c r="DF655" s="166" t="str">
        <f t="shared" si="360"/>
        <v/>
      </c>
      <c r="DG655" s="164" t="str">
        <f t="shared" si="361"/>
        <v/>
      </c>
      <c r="DH655" s="166" t="str">
        <f t="shared" si="362"/>
        <v/>
      </c>
      <c r="DI655" s="164" t="str">
        <f>IFERROR(INDEX(DC$615:DC$663,_xlfn.AGGREGATE(15,6,(ROW(DC$615:DC$663)-ROW(DC$615)+1)/(DC$615:DC$663&lt;&gt;""),ROWS(DI$1:DI41))),"")</f>
        <v/>
      </c>
      <c r="DJ655" s="165" t="str">
        <f>IFERROR(INDEX(DD$615:DD$663,_xlfn.AGGREGATE(15,6,(ROW(DD$615:DD$663)-ROW(DD$615)+1)/(DD$615:DD$663&lt;&gt;""),ROWS(DJ$1:DJ41))),"")</f>
        <v/>
      </c>
      <c r="DK655" s="166" t="str">
        <f t="shared" si="363"/>
        <v/>
      </c>
      <c r="DL655" s="164" t="str">
        <f>IFERROR(INDEX(DE$615:DE$663,_xlfn.AGGREGATE(15,6,(ROW(DE$615:DE$663)-ROW(DE$615)+1)/(DE$615:DE$663&lt;&gt;""),ROWS(DL$1:DL41))),"")</f>
        <v/>
      </c>
      <c r="DM655" s="165" t="str">
        <f>IFERROR(INDEX(DF$615:DF$663,_xlfn.AGGREGATE(15,6,(ROW(DF$615:DF$663)-ROW(DF$615)+1)/(DF$615:DF$663&lt;&gt;""),ROWS(DM$1:DM41))),"")</f>
        <v/>
      </c>
      <c r="DN655" s="166" t="str">
        <f t="shared" si="364"/>
        <v/>
      </c>
      <c r="DO655" s="164" t="str">
        <f>IFERROR(INDEX(DG$615:DG$663,_xlfn.AGGREGATE(15,6,(ROW(DG$615:DG$663)-ROW(DG$615)+1)/(DG$615:DG$663&lt;&gt;""),ROWS(DO$1:DO41))),"")</f>
        <v/>
      </c>
      <c r="DP655" s="165" t="str">
        <f>IFERROR(INDEX(DH$615:DH$663,_xlfn.AGGREGATE(15,6,(ROW(DH$615:DH$663)-ROW(DH$615)+1)/(DH$615:DH$663&lt;&gt;""),ROWS(DP$1:DP41))),"")</f>
        <v/>
      </c>
      <c r="DQ655" s="166" t="str">
        <f t="shared" si="365"/>
        <v/>
      </c>
      <c r="DR655" s="65"/>
      <c r="DV655" s="145">
        <v>2055</v>
      </c>
      <c r="DW655" s="235" t="e">
        <f t="shared" ca="1" si="349"/>
        <v>#REF!</v>
      </c>
      <c r="EA655" s="55"/>
      <c r="EB655" s="55"/>
      <c r="EC655" s="55"/>
      <c r="ED655" s="55"/>
      <c r="EE655" s="55"/>
    </row>
    <row r="656" spans="2:135" ht="13.8" x14ac:dyDescent="0.45">
      <c r="B656" s="128">
        <v>2053</v>
      </c>
      <c r="C656" s="912"/>
      <c r="D656" s="960"/>
      <c r="E656" s="292"/>
      <c r="F656" s="914"/>
      <c r="G656" s="320"/>
      <c r="H656" s="292"/>
      <c r="I656" s="1112"/>
      <c r="J656" s="320"/>
      <c r="K656" s="292"/>
      <c r="L656" s="293"/>
      <c r="M656" s="292"/>
      <c r="N656" s="29" t="s">
        <v>119</v>
      </c>
      <c r="O656" s="120"/>
      <c r="P656" s="120"/>
      <c r="Q656" s="120"/>
      <c r="R656" s="29">
        <v>39</v>
      </c>
      <c r="S656" s="317" t="str">
        <f t="shared" si="383"/>
        <v/>
      </c>
      <c r="T656" s="317" t="str">
        <f t="shared" si="384"/>
        <v/>
      </c>
      <c r="U656" s="317" t="str">
        <f t="shared" si="385"/>
        <v/>
      </c>
      <c r="W656" s="317" t="e">
        <f t="shared" si="353"/>
        <v>#N/A</v>
      </c>
      <c r="X656" s="317" t="e">
        <f t="shared" si="386"/>
        <v>#N/A</v>
      </c>
      <c r="Y656" s="317" t="e">
        <f t="shared" si="355"/>
        <v>#N/A</v>
      </c>
      <c r="AA656" s="89"/>
      <c r="AB656" s="89"/>
      <c r="AC656" s="89"/>
      <c r="AD656" s="89"/>
      <c r="AE656" s="89"/>
      <c r="AF656" s="89"/>
      <c r="AG656" s="89"/>
      <c r="AH656" s="89"/>
      <c r="AI656" s="89"/>
      <c r="AJ656" s="89"/>
      <c r="AK656" s="89"/>
      <c r="AL656" s="89"/>
      <c r="AM656" s="89"/>
      <c r="AN656" s="89"/>
      <c r="BR656" s="180">
        <v>2051</v>
      </c>
      <c r="BS656" s="22">
        <v>37</v>
      </c>
      <c r="BT656" s="318" t="e">
        <f t="shared" si="366"/>
        <v>#DIV/0!</v>
      </c>
      <c r="BU656" s="318" t="e">
        <f t="shared" si="367"/>
        <v>#DIV/0!</v>
      </c>
      <c r="BV656" s="285" t="e">
        <f t="shared" si="368"/>
        <v>#DIV/0!</v>
      </c>
      <c r="BY656" s="180">
        <v>2051</v>
      </c>
      <c r="BZ656" s="22">
        <v>37</v>
      </c>
      <c r="CA656" s="318" t="e">
        <f t="shared" ca="1" si="369"/>
        <v>#REF!</v>
      </c>
      <c r="CB656" s="318" t="e">
        <f t="shared" ca="1" si="370"/>
        <v>#REF!</v>
      </c>
      <c r="CC656" s="318" t="e">
        <f t="shared" ca="1" si="381"/>
        <v>#REF!</v>
      </c>
      <c r="CD656" s="285" t="e">
        <f t="shared" ca="1" si="371"/>
        <v>#REF!</v>
      </c>
      <c r="CG656" s="180">
        <v>2051</v>
      </c>
      <c r="CH656" s="22">
        <v>37</v>
      </c>
      <c r="CI656" s="318" t="e">
        <f t="shared" ca="1" si="372"/>
        <v>#REF!</v>
      </c>
      <c r="CJ656" s="318" t="e">
        <f t="shared" ca="1" si="373"/>
        <v>#REF!</v>
      </c>
      <c r="CK656" s="318" t="e">
        <f t="shared" ca="1" si="374"/>
        <v>#REF!</v>
      </c>
      <c r="CL656" s="318" t="e">
        <f t="shared" ca="1" si="375"/>
        <v>#REF!</v>
      </c>
      <c r="CM656" s="285" t="e">
        <f t="shared" ca="1" si="376"/>
        <v>#REF!</v>
      </c>
      <c r="CP656" s="180">
        <v>2051</v>
      </c>
      <c r="CQ656" s="22">
        <v>37</v>
      </c>
      <c r="CR656" s="318" t="e">
        <f t="shared" ca="1" si="377"/>
        <v>#REF!</v>
      </c>
      <c r="CS656" s="318" t="e">
        <f t="shared" ca="1" si="378"/>
        <v>#REF!</v>
      </c>
      <c r="CT656" s="285" t="e">
        <f t="shared" ca="1" si="379"/>
        <v>#REF!</v>
      </c>
      <c r="CZ656" s="164" t="b">
        <f t="shared" si="387"/>
        <v>0</v>
      </c>
      <c r="DA656" s="165" t="b">
        <f t="shared" si="387"/>
        <v>0</v>
      </c>
      <c r="DB656" s="166" t="b">
        <f t="shared" si="387"/>
        <v>0</v>
      </c>
      <c r="DC656" s="164" t="str">
        <f t="shared" si="357"/>
        <v/>
      </c>
      <c r="DD656" s="166" t="str">
        <f t="shared" si="358"/>
        <v/>
      </c>
      <c r="DE656" s="164" t="str">
        <f t="shared" si="359"/>
        <v/>
      </c>
      <c r="DF656" s="166" t="str">
        <f t="shared" si="360"/>
        <v/>
      </c>
      <c r="DG656" s="164" t="str">
        <f t="shared" si="361"/>
        <v/>
      </c>
      <c r="DH656" s="166" t="str">
        <f t="shared" si="362"/>
        <v/>
      </c>
      <c r="DI656" s="164" t="str">
        <f>IFERROR(INDEX(DC$615:DC$663,_xlfn.AGGREGATE(15,6,(ROW(DC$615:DC$663)-ROW(DC$615)+1)/(DC$615:DC$663&lt;&gt;""),ROWS(DI$1:DI42))),"")</f>
        <v/>
      </c>
      <c r="DJ656" s="165" t="str">
        <f>IFERROR(INDEX(DD$615:DD$663,_xlfn.AGGREGATE(15,6,(ROW(DD$615:DD$663)-ROW(DD$615)+1)/(DD$615:DD$663&lt;&gt;""),ROWS(DJ$1:DJ42))),"")</f>
        <v/>
      </c>
      <c r="DK656" s="166" t="str">
        <f t="shared" si="363"/>
        <v/>
      </c>
      <c r="DL656" s="164" t="str">
        <f>IFERROR(INDEX(DE$615:DE$663,_xlfn.AGGREGATE(15,6,(ROW(DE$615:DE$663)-ROW(DE$615)+1)/(DE$615:DE$663&lt;&gt;""),ROWS(DL$1:DL42))),"")</f>
        <v/>
      </c>
      <c r="DM656" s="165" t="str">
        <f>IFERROR(INDEX(DF$615:DF$663,_xlfn.AGGREGATE(15,6,(ROW(DF$615:DF$663)-ROW(DF$615)+1)/(DF$615:DF$663&lt;&gt;""),ROWS(DM$1:DM42))),"")</f>
        <v/>
      </c>
      <c r="DN656" s="166" t="str">
        <f t="shared" si="364"/>
        <v/>
      </c>
      <c r="DO656" s="164" t="str">
        <f>IFERROR(INDEX(DG$615:DG$663,_xlfn.AGGREGATE(15,6,(ROW(DG$615:DG$663)-ROW(DG$615)+1)/(DG$615:DG$663&lt;&gt;""),ROWS(DO$1:DO42))),"")</f>
        <v/>
      </c>
      <c r="DP656" s="165" t="str">
        <f>IFERROR(INDEX(DH$615:DH$663,_xlfn.AGGREGATE(15,6,(ROW(DH$615:DH$663)-ROW(DH$615)+1)/(DH$615:DH$663&lt;&gt;""),ROWS(DP$1:DP42))),"")</f>
        <v/>
      </c>
      <c r="DQ656" s="166" t="str">
        <f t="shared" si="365"/>
        <v/>
      </c>
      <c r="DR656" s="65"/>
      <c r="DV656" s="145">
        <v>2056</v>
      </c>
      <c r="DW656" s="235" t="e">
        <f t="shared" ca="1" si="349"/>
        <v>#REF!</v>
      </c>
      <c r="EA656" s="55"/>
      <c r="EB656" s="55"/>
      <c r="EC656" s="55"/>
      <c r="ED656" s="55"/>
      <c r="EE656" s="55"/>
    </row>
    <row r="657" spans="1:135" ht="13.8" x14ac:dyDescent="0.45">
      <c r="B657" s="128">
        <v>2054</v>
      </c>
      <c r="C657" s="912"/>
      <c r="D657" s="960"/>
      <c r="E657" s="292"/>
      <c r="F657" s="914"/>
      <c r="G657" s="320"/>
      <c r="H657" s="292"/>
      <c r="I657" s="1112"/>
      <c r="J657" s="320"/>
      <c r="K657" s="292"/>
      <c r="L657" s="293"/>
      <c r="M657" s="292"/>
      <c r="N657" s="29" t="s">
        <v>119</v>
      </c>
      <c r="O657" s="120"/>
      <c r="P657" s="120"/>
      <c r="Q657" s="120"/>
      <c r="R657" s="29">
        <v>40</v>
      </c>
      <c r="S657" s="317" t="str">
        <f t="shared" si="383"/>
        <v/>
      </c>
      <c r="T657" s="317" t="str">
        <f t="shared" si="384"/>
        <v/>
      </c>
      <c r="U657" s="317" t="str">
        <f t="shared" si="385"/>
        <v/>
      </c>
      <c r="W657" s="317" t="e">
        <f t="shared" si="353"/>
        <v>#N/A</v>
      </c>
      <c r="X657" s="317" t="e">
        <f t="shared" si="386"/>
        <v>#N/A</v>
      </c>
      <c r="Y657" s="317" t="e">
        <f t="shared" si="355"/>
        <v>#N/A</v>
      </c>
      <c r="AA657" s="89"/>
      <c r="AB657" s="89"/>
      <c r="AC657" s="89"/>
      <c r="AD657" s="89"/>
      <c r="AE657" s="89"/>
      <c r="AF657" s="89"/>
      <c r="AG657" s="89"/>
      <c r="AH657" s="89"/>
      <c r="AI657" s="89"/>
      <c r="AJ657" s="89"/>
      <c r="AK657" s="89"/>
      <c r="AL657" s="89"/>
      <c r="AM657" s="89"/>
      <c r="AN657" s="89"/>
      <c r="BR657" s="180">
        <v>2052</v>
      </c>
      <c r="BS657" s="22">
        <v>38</v>
      </c>
      <c r="BT657" s="318" t="e">
        <f t="shared" si="366"/>
        <v>#DIV/0!</v>
      </c>
      <c r="BU657" s="318" t="e">
        <f t="shared" si="367"/>
        <v>#DIV/0!</v>
      </c>
      <c r="BV657" s="325" t="e">
        <f t="shared" si="368"/>
        <v>#DIV/0!</v>
      </c>
      <c r="BY657" s="180">
        <v>2052</v>
      </c>
      <c r="BZ657" s="22">
        <v>38</v>
      </c>
      <c r="CA657" s="318" t="e">
        <f t="shared" ca="1" si="369"/>
        <v>#REF!</v>
      </c>
      <c r="CB657" s="318" t="e">
        <f t="shared" ca="1" si="370"/>
        <v>#REF!</v>
      </c>
      <c r="CC657" s="318" t="e">
        <f t="shared" ca="1" si="381"/>
        <v>#REF!</v>
      </c>
      <c r="CD657" s="325" t="e">
        <f t="shared" ca="1" si="371"/>
        <v>#REF!</v>
      </c>
      <c r="CG657" s="180">
        <v>2052</v>
      </c>
      <c r="CH657" s="22">
        <v>38</v>
      </c>
      <c r="CI657" s="318" t="e">
        <f t="shared" ca="1" si="372"/>
        <v>#REF!</v>
      </c>
      <c r="CJ657" s="318" t="e">
        <f t="shared" ca="1" si="373"/>
        <v>#REF!</v>
      </c>
      <c r="CK657" s="318" t="e">
        <f t="shared" ca="1" si="374"/>
        <v>#REF!</v>
      </c>
      <c r="CL657" s="318" t="e">
        <f t="shared" ca="1" si="375"/>
        <v>#REF!</v>
      </c>
      <c r="CM657" s="325" t="e">
        <f t="shared" ca="1" si="376"/>
        <v>#REF!</v>
      </c>
      <c r="CP657" s="180">
        <v>2052</v>
      </c>
      <c r="CQ657" s="22">
        <v>38</v>
      </c>
      <c r="CR657" s="318" t="e">
        <f t="shared" ca="1" si="377"/>
        <v>#REF!</v>
      </c>
      <c r="CS657" s="318" t="e">
        <f t="shared" ca="1" si="378"/>
        <v>#REF!</v>
      </c>
      <c r="CT657" s="325" t="e">
        <f t="shared" ca="1" si="379"/>
        <v>#REF!</v>
      </c>
      <c r="CZ657" s="164" t="b">
        <f t="shared" si="387"/>
        <v>0</v>
      </c>
      <c r="DA657" s="165" t="b">
        <f t="shared" si="387"/>
        <v>0</v>
      </c>
      <c r="DB657" s="166" t="b">
        <f t="shared" si="387"/>
        <v>0</v>
      </c>
      <c r="DC657" s="164" t="str">
        <f t="shared" si="357"/>
        <v/>
      </c>
      <c r="DD657" s="166" t="str">
        <f t="shared" si="358"/>
        <v/>
      </c>
      <c r="DE657" s="164" t="str">
        <f t="shared" si="359"/>
        <v/>
      </c>
      <c r="DF657" s="166" t="str">
        <f t="shared" si="360"/>
        <v/>
      </c>
      <c r="DG657" s="164" t="str">
        <f t="shared" si="361"/>
        <v/>
      </c>
      <c r="DH657" s="166" t="str">
        <f t="shared" si="362"/>
        <v/>
      </c>
      <c r="DI657" s="164" t="str">
        <f>IFERROR(INDEX(DC$615:DC$663,_xlfn.AGGREGATE(15,6,(ROW(DC$615:DC$663)-ROW(DC$615)+1)/(DC$615:DC$663&lt;&gt;""),ROWS(DI$1:DI43))),"")</f>
        <v/>
      </c>
      <c r="DJ657" s="165" t="str">
        <f>IFERROR(INDEX(DD$615:DD$663,_xlfn.AGGREGATE(15,6,(ROW(DD$615:DD$663)-ROW(DD$615)+1)/(DD$615:DD$663&lt;&gt;""),ROWS(DJ$1:DJ43))),"")</f>
        <v/>
      </c>
      <c r="DK657" s="166" t="str">
        <f t="shared" si="363"/>
        <v/>
      </c>
      <c r="DL657" s="164" t="str">
        <f>IFERROR(INDEX(DE$615:DE$663,_xlfn.AGGREGATE(15,6,(ROW(DE$615:DE$663)-ROW(DE$615)+1)/(DE$615:DE$663&lt;&gt;""),ROWS(DL$1:DL43))),"")</f>
        <v/>
      </c>
      <c r="DM657" s="165" t="str">
        <f>IFERROR(INDEX(DF$615:DF$663,_xlfn.AGGREGATE(15,6,(ROW(DF$615:DF$663)-ROW(DF$615)+1)/(DF$615:DF$663&lt;&gt;""),ROWS(DM$1:DM43))),"")</f>
        <v/>
      </c>
      <c r="DN657" s="166" t="str">
        <f t="shared" si="364"/>
        <v/>
      </c>
      <c r="DO657" s="164" t="str">
        <f>IFERROR(INDEX(DG$615:DG$663,_xlfn.AGGREGATE(15,6,(ROW(DG$615:DG$663)-ROW(DG$615)+1)/(DG$615:DG$663&lt;&gt;""),ROWS(DO$1:DO43))),"")</f>
        <v/>
      </c>
      <c r="DP657" s="165" t="str">
        <f>IFERROR(INDEX(DH$615:DH$663,_xlfn.AGGREGATE(15,6,(ROW(DH$615:DH$663)-ROW(DH$615)+1)/(DH$615:DH$663&lt;&gt;""),ROWS(DP$1:DP43))),"")</f>
        <v/>
      </c>
      <c r="DQ657" s="166" t="str">
        <f t="shared" si="365"/>
        <v/>
      </c>
      <c r="DR657" s="65"/>
      <c r="DV657" s="145">
        <v>2057</v>
      </c>
      <c r="DW657" s="235" t="e">
        <f t="shared" ca="1" si="349"/>
        <v>#REF!</v>
      </c>
      <c r="EA657" s="55"/>
      <c r="EB657" s="55"/>
      <c r="EC657" s="55"/>
      <c r="ED657" s="55"/>
      <c r="EE657" s="55"/>
    </row>
    <row r="658" spans="1:135" ht="13.8" x14ac:dyDescent="0.45">
      <c r="B658" s="128">
        <v>2055</v>
      </c>
      <c r="C658" s="912"/>
      <c r="D658" s="960"/>
      <c r="E658" s="292"/>
      <c r="F658" s="914"/>
      <c r="G658" s="320"/>
      <c r="H658" s="292"/>
      <c r="I658" s="1112"/>
      <c r="J658" s="320"/>
      <c r="K658" s="292"/>
      <c r="L658" s="293"/>
      <c r="M658" s="292"/>
      <c r="N658" s="29" t="s">
        <v>119</v>
      </c>
      <c r="O658" s="120"/>
      <c r="P658" s="120"/>
      <c r="Q658" s="120"/>
      <c r="R658" s="29">
        <v>41</v>
      </c>
      <c r="S658" s="317" t="str">
        <f t="shared" si="383"/>
        <v/>
      </c>
      <c r="T658" s="317" t="str">
        <f t="shared" si="384"/>
        <v/>
      </c>
      <c r="U658" s="317" t="str">
        <f t="shared" si="385"/>
        <v/>
      </c>
      <c r="W658" s="317" t="e">
        <f t="shared" si="353"/>
        <v>#N/A</v>
      </c>
      <c r="X658" s="317" t="e">
        <f t="shared" si="386"/>
        <v>#N/A</v>
      </c>
      <c r="Y658" s="317" t="e">
        <f t="shared" si="355"/>
        <v>#N/A</v>
      </c>
      <c r="AA658" s="89"/>
      <c r="AB658" s="89"/>
      <c r="AC658" s="89"/>
      <c r="AD658" s="89"/>
      <c r="AE658" s="89"/>
      <c r="AF658" s="89"/>
      <c r="AG658" s="89"/>
      <c r="AH658" s="89"/>
      <c r="AI658" s="89"/>
      <c r="AJ658" s="89"/>
      <c r="AK658" s="89"/>
      <c r="AL658" s="89"/>
      <c r="AM658" s="89"/>
      <c r="AN658" s="89"/>
      <c r="BR658" s="180">
        <v>2053</v>
      </c>
      <c r="BS658" s="22">
        <v>39</v>
      </c>
      <c r="BT658" s="318" t="e">
        <f t="shared" si="366"/>
        <v>#DIV/0!</v>
      </c>
      <c r="BU658" s="318" t="e">
        <f t="shared" si="367"/>
        <v>#DIV/0!</v>
      </c>
      <c r="BV658" s="325" t="e">
        <f t="shared" si="368"/>
        <v>#DIV/0!</v>
      </c>
      <c r="BY658" s="180">
        <v>2053</v>
      </c>
      <c r="BZ658" s="22">
        <v>39</v>
      </c>
      <c r="CA658" s="318" t="e">
        <f t="shared" ca="1" si="369"/>
        <v>#REF!</v>
      </c>
      <c r="CB658" s="318" t="e">
        <f t="shared" ca="1" si="370"/>
        <v>#REF!</v>
      </c>
      <c r="CC658" s="318" t="e">
        <f t="shared" ca="1" si="381"/>
        <v>#REF!</v>
      </c>
      <c r="CD658" s="325" t="e">
        <f t="shared" ca="1" si="371"/>
        <v>#REF!</v>
      </c>
      <c r="CG658" s="180">
        <v>2053</v>
      </c>
      <c r="CH658" s="22">
        <v>39</v>
      </c>
      <c r="CI658" s="318" t="e">
        <f t="shared" ca="1" si="372"/>
        <v>#REF!</v>
      </c>
      <c r="CJ658" s="318" t="e">
        <f t="shared" ca="1" si="373"/>
        <v>#REF!</v>
      </c>
      <c r="CK658" s="318" t="e">
        <f t="shared" ca="1" si="374"/>
        <v>#REF!</v>
      </c>
      <c r="CL658" s="318" t="e">
        <f t="shared" ca="1" si="375"/>
        <v>#REF!</v>
      </c>
      <c r="CM658" s="325" t="e">
        <f t="shared" ca="1" si="376"/>
        <v>#REF!</v>
      </c>
      <c r="CP658" s="180">
        <v>2053</v>
      </c>
      <c r="CQ658" s="22">
        <v>39</v>
      </c>
      <c r="CR658" s="318" t="e">
        <f t="shared" ca="1" si="377"/>
        <v>#REF!</v>
      </c>
      <c r="CS658" s="318" t="e">
        <f t="shared" ca="1" si="378"/>
        <v>#REF!</v>
      </c>
      <c r="CT658" s="325" t="e">
        <f t="shared" ca="1" si="379"/>
        <v>#REF!</v>
      </c>
      <c r="CZ658" s="164" t="b">
        <f t="shared" si="387"/>
        <v>0</v>
      </c>
      <c r="DA658" s="165" t="b">
        <f t="shared" si="387"/>
        <v>0</v>
      </c>
      <c r="DB658" s="166" t="b">
        <f t="shared" si="387"/>
        <v>0</v>
      </c>
      <c r="DC658" s="164" t="str">
        <f t="shared" si="357"/>
        <v/>
      </c>
      <c r="DD658" s="166" t="str">
        <f t="shared" si="358"/>
        <v/>
      </c>
      <c r="DE658" s="164" t="str">
        <f t="shared" si="359"/>
        <v/>
      </c>
      <c r="DF658" s="166" t="str">
        <f t="shared" si="360"/>
        <v/>
      </c>
      <c r="DG658" s="164" t="str">
        <f t="shared" si="361"/>
        <v/>
      </c>
      <c r="DH658" s="166" t="str">
        <f t="shared" si="362"/>
        <v/>
      </c>
      <c r="DI658" s="164" t="str">
        <f>IFERROR(INDEX(DC$615:DC$663,_xlfn.AGGREGATE(15,6,(ROW(DC$615:DC$663)-ROW(DC$615)+1)/(DC$615:DC$663&lt;&gt;""),ROWS(DI$1:DI44))),"")</f>
        <v/>
      </c>
      <c r="DJ658" s="165" t="str">
        <f>IFERROR(INDEX(DD$615:DD$663,_xlfn.AGGREGATE(15,6,(ROW(DD$615:DD$663)-ROW(DD$615)+1)/(DD$615:DD$663&lt;&gt;""),ROWS(DJ$1:DJ44))),"")</f>
        <v/>
      </c>
      <c r="DK658" s="166" t="str">
        <f t="shared" si="363"/>
        <v/>
      </c>
      <c r="DL658" s="164" t="str">
        <f>IFERROR(INDEX(DE$615:DE$663,_xlfn.AGGREGATE(15,6,(ROW(DE$615:DE$663)-ROW(DE$615)+1)/(DE$615:DE$663&lt;&gt;""),ROWS(DL$1:DL44))),"")</f>
        <v/>
      </c>
      <c r="DM658" s="165" t="str">
        <f>IFERROR(INDEX(DF$615:DF$663,_xlfn.AGGREGATE(15,6,(ROW(DF$615:DF$663)-ROW(DF$615)+1)/(DF$615:DF$663&lt;&gt;""),ROWS(DM$1:DM44))),"")</f>
        <v/>
      </c>
      <c r="DN658" s="166" t="str">
        <f t="shared" si="364"/>
        <v/>
      </c>
      <c r="DO658" s="164" t="str">
        <f>IFERROR(INDEX(DG$615:DG$663,_xlfn.AGGREGATE(15,6,(ROW(DG$615:DG$663)-ROW(DG$615)+1)/(DG$615:DG$663&lt;&gt;""),ROWS(DO$1:DO44))),"")</f>
        <v/>
      </c>
      <c r="DP658" s="165" t="str">
        <f>IFERROR(INDEX(DH$615:DH$663,_xlfn.AGGREGATE(15,6,(ROW(DH$615:DH$663)-ROW(DH$615)+1)/(DH$615:DH$663&lt;&gt;""),ROWS(DP$1:DP44))),"")</f>
        <v/>
      </c>
      <c r="DQ658" s="166" t="str">
        <f t="shared" si="365"/>
        <v/>
      </c>
      <c r="DR658" s="65"/>
      <c r="DV658" s="145">
        <v>2058</v>
      </c>
      <c r="DW658" s="235" t="e">
        <f t="shared" ca="1" si="349"/>
        <v>#REF!</v>
      </c>
      <c r="EA658" s="55"/>
      <c r="EB658" s="55"/>
      <c r="EC658" s="55"/>
      <c r="ED658" s="55"/>
      <c r="EE658" s="55"/>
    </row>
    <row r="659" spans="1:135" ht="13.8" x14ac:dyDescent="0.45">
      <c r="B659" s="128">
        <v>2056</v>
      </c>
      <c r="C659" s="912"/>
      <c r="D659" s="960"/>
      <c r="E659" s="292"/>
      <c r="F659" s="914"/>
      <c r="G659" s="320"/>
      <c r="H659" s="292"/>
      <c r="I659" s="1112"/>
      <c r="J659" s="320"/>
      <c r="K659" s="292"/>
      <c r="L659" s="293"/>
      <c r="M659" s="292"/>
      <c r="N659" s="29" t="s">
        <v>119</v>
      </c>
      <c r="O659" s="120"/>
      <c r="P659" s="120"/>
      <c r="Q659" s="120"/>
      <c r="R659" s="29">
        <v>42</v>
      </c>
      <c r="S659" s="317" t="str">
        <f t="shared" si="383"/>
        <v/>
      </c>
      <c r="T659" s="317" t="str">
        <f t="shared" si="384"/>
        <v/>
      </c>
      <c r="U659" s="317" t="str">
        <f t="shared" si="385"/>
        <v/>
      </c>
      <c r="W659" s="317" t="e">
        <f t="shared" si="353"/>
        <v>#N/A</v>
      </c>
      <c r="X659" s="317" t="e">
        <f t="shared" si="386"/>
        <v>#N/A</v>
      </c>
      <c r="Y659" s="317" t="e">
        <f t="shared" si="355"/>
        <v>#N/A</v>
      </c>
      <c r="AA659" s="89"/>
      <c r="AB659" s="89"/>
      <c r="AC659" s="89"/>
      <c r="AD659" s="89"/>
      <c r="AE659" s="89"/>
      <c r="AF659" s="89"/>
      <c r="AG659" s="89"/>
      <c r="AH659" s="89"/>
      <c r="AI659" s="89"/>
      <c r="AJ659" s="89"/>
      <c r="AK659" s="89"/>
      <c r="AL659" s="89"/>
      <c r="AM659" s="89"/>
      <c r="AN659" s="89"/>
      <c r="BR659" s="180">
        <v>2054</v>
      </c>
      <c r="BS659" s="22">
        <v>40</v>
      </c>
      <c r="BT659" s="318" t="e">
        <f t="shared" si="366"/>
        <v>#DIV/0!</v>
      </c>
      <c r="BU659" s="318" t="e">
        <f t="shared" si="367"/>
        <v>#DIV/0!</v>
      </c>
      <c r="BV659" s="325" t="e">
        <f t="shared" si="368"/>
        <v>#DIV/0!</v>
      </c>
      <c r="BY659" s="180">
        <v>2054</v>
      </c>
      <c r="BZ659" s="22">
        <v>40</v>
      </c>
      <c r="CA659" s="318" t="e">
        <f t="shared" ca="1" si="369"/>
        <v>#REF!</v>
      </c>
      <c r="CB659" s="318" t="e">
        <f t="shared" ca="1" si="370"/>
        <v>#REF!</v>
      </c>
      <c r="CC659" s="318" t="e">
        <f t="shared" ca="1" si="381"/>
        <v>#REF!</v>
      </c>
      <c r="CD659" s="325" t="e">
        <f t="shared" ca="1" si="371"/>
        <v>#REF!</v>
      </c>
      <c r="CG659" s="180">
        <v>2054</v>
      </c>
      <c r="CH659" s="22">
        <v>40</v>
      </c>
      <c r="CI659" s="318" t="e">
        <f t="shared" ca="1" si="372"/>
        <v>#REF!</v>
      </c>
      <c r="CJ659" s="318" t="e">
        <f t="shared" ca="1" si="373"/>
        <v>#REF!</v>
      </c>
      <c r="CK659" s="318" t="e">
        <f t="shared" ca="1" si="374"/>
        <v>#REF!</v>
      </c>
      <c r="CL659" s="318" t="e">
        <f t="shared" ca="1" si="375"/>
        <v>#REF!</v>
      </c>
      <c r="CM659" s="325" t="e">
        <f t="shared" ca="1" si="376"/>
        <v>#REF!</v>
      </c>
      <c r="CP659" s="180">
        <v>2054</v>
      </c>
      <c r="CQ659" s="22">
        <v>40</v>
      </c>
      <c r="CR659" s="318" t="e">
        <f t="shared" ca="1" si="377"/>
        <v>#REF!</v>
      </c>
      <c r="CS659" s="318" t="e">
        <f t="shared" ca="1" si="378"/>
        <v>#REF!</v>
      </c>
      <c r="CT659" s="325" t="e">
        <f t="shared" ca="1" si="379"/>
        <v>#REF!</v>
      </c>
      <c r="CZ659" s="164" t="b">
        <f t="shared" si="387"/>
        <v>0</v>
      </c>
      <c r="DA659" s="165" t="b">
        <f t="shared" si="387"/>
        <v>0</v>
      </c>
      <c r="DB659" s="166" t="b">
        <f t="shared" si="387"/>
        <v>0</v>
      </c>
      <c r="DC659" s="164" t="str">
        <f t="shared" si="357"/>
        <v/>
      </c>
      <c r="DD659" s="166" t="str">
        <f t="shared" si="358"/>
        <v/>
      </c>
      <c r="DE659" s="164" t="str">
        <f t="shared" si="359"/>
        <v/>
      </c>
      <c r="DF659" s="166" t="str">
        <f t="shared" si="360"/>
        <v/>
      </c>
      <c r="DG659" s="164" t="str">
        <f t="shared" si="361"/>
        <v/>
      </c>
      <c r="DH659" s="166" t="str">
        <f t="shared" si="362"/>
        <v/>
      </c>
      <c r="DI659" s="164" t="str">
        <f>IFERROR(INDEX(DC$615:DC$663,_xlfn.AGGREGATE(15,6,(ROW(DC$615:DC$663)-ROW(DC$615)+1)/(DC$615:DC$663&lt;&gt;""),ROWS(DI$1:DI45))),"")</f>
        <v/>
      </c>
      <c r="DJ659" s="165" t="str">
        <f>IFERROR(INDEX(DD$615:DD$663,_xlfn.AGGREGATE(15,6,(ROW(DD$615:DD$663)-ROW(DD$615)+1)/(DD$615:DD$663&lt;&gt;""),ROWS(DJ$1:DJ45))),"")</f>
        <v/>
      </c>
      <c r="DK659" s="166" t="str">
        <f t="shared" si="363"/>
        <v/>
      </c>
      <c r="DL659" s="164" t="str">
        <f>IFERROR(INDEX(DE$615:DE$663,_xlfn.AGGREGATE(15,6,(ROW(DE$615:DE$663)-ROW(DE$615)+1)/(DE$615:DE$663&lt;&gt;""),ROWS(DL$1:DL45))),"")</f>
        <v/>
      </c>
      <c r="DM659" s="165" t="str">
        <f>IFERROR(INDEX(DF$615:DF$663,_xlfn.AGGREGATE(15,6,(ROW(DF$615:DF$663)-ROW(DF$615)+1)/(DF$615:DF$663&lt;&gt;""),ROWS(DM$1:DM45))),"")</f>
        <v/>
      </c>
      <c r="DN659" s="166" t="str">
        <f t="shared" si="364"/>
        <v/>
      </c>
      <c r="DO659" s="164" t="str">
        <f>IFERROR(INDEX(DG$615:DG$663,_xlfn.AGGREGATE(15,6,(ROW(DG$615:DG$663)-ROW(DG$615)+1)/(DG$615:DG$663&lt;&gt;""),ROWS(DO$1:DO45))),"")</f>
        <v/>
      </c>
      <c r="DP659" s="165" t="str">
        <f>IFERROR(INDEX(DH$615:DH$663,_xlfn.AGGREGATE(15,6,(ROW(DH$615:DH$663)-ROW(DH$615)+1)/(DH$615:DH$663&lt;&gt;""),ROWS(DP$1:DP45))),"")</f>
        <v/>
      </c>
      <c r="DQ659" s="166" t="str">
        <f t="shared" si="365"/>
        <v/>
      </c>
      <c r="DR659" s="65"/>
      <c r="DV659" s="145">
        <v>2059</v>
      </c>
      <c r="DW659" s="235" t="e">
        <f t="shared" ca="1" si="349"/>
        <v>#REF!</v>
      </c>
      <c r="EA659" s="55"/>
      <c r="EB659" s="55"/>
      <c r="EC659" s="55"/>
      <c r="ED659" s="55"/>
      <c r="EE659" s="55"/>
    </row>
    <row r="660" spans="1:135" ht="13.8" x14ac:dyDescent="0.45">
      <c r="B660" s="128">
        <v>2057</v>
      </c>
      <c r="C660" s="912"/>
      <c r="D660" s="960"/>
      <c r="E660" s="292"/>
      <c r="F660" s="914"/>
      <c r="G660" s="320"/>
      <c r="H660" s="292"/>
      <c r="I660" s="1112"/>
      <c r="J660" s="320"/>
      <c r="K660" s="292"/>
      <c r="L660" s="293"/>
      <c r="M660" s="292"/>
      <c r="N660" s="29" t="s">
        <v>119</v>
      </c>
      <c r="O660" s="120"/>
      <c r="P660" s="120"/>
      <c r="Q660" s="120"/>
      <c r="R660" s="29">
        <v>43</v>
      </c>
      <c r="S660" s="317" t="str">
        <f t="shared" si="383"/>
        <v/>
      </c>
      <c r="T660" s="317" t="str">
        <f t="shared" si="384"/>
        <v/>
      </c>
      <c r="U660" s="317" t="str">
        <f t="shared" si="385"/>
        <v/>
      </c>
      <c r="W660" s="317" t="e">
        <f t="shared" si="353"/>
        <v>#N/A</v>
      </c>
      <c r="X660" s="317" t="e">
        <f t="shared" si="386"/>
        <v>#N/A</v>
      </c>
      <c r="Y660" s="317" t="e">
        <f t="shared" si="355"/>
        <v>#N/A</v>
      </c>
      <c r="AA660" s="89"/>
      <c r="AB660" s="89"/>
      <c r="AC660" s="89"/>
      <c r="AD660" s="89"/>
      <c r="AE660" s="89"/>
      <c r="AF660" s="89"/>
      <c r="AG660" s="89"/>
      <c r="AH660" s="89"/>
      <c r="AI660" s="89"/>
      <c r="AJ660" s="89"/>
      <c r="AK660" s="89"/>
      <c r="AL660" s="89"/>
      <c r="AM660" s="89"/>
      <c r="AN660" s="89"/>
      <c r="BR660" s="180">
        <v>2055</v>
      </c>
      <c r="BS660" s="22">
        <v>41</v>
      </c>
      <c r="BT660" s="318" t="e">
        <f t="shared" si="366"/>
        <v>#DIV/0!</v>
      </c>
      <c r="BU660" s="318" t="e">
        <f t="shared" si="367"/>
        <v>#DIV/0!</v>
      </c>
      <c r="BV660" s="325" t="e">
        <f t="shared" si="368"/>
        <v>#DIV/0!</v>
      </c>
      <c r="BY660" s="180">
        <v>2055</v>
      </c>
      <c r="BZ660" s="22">
        <v>41</v>
      </c>
      <c r="CA660" s="318" t="e">
        <f t="shared" ca="1" si="369"/>
        <v>#REF!</v>
      </c>
      <c r="CB660" s="318" t="e">
        <f t="shared" ca="1" si="370"/>
        <v>#REF!</v>
      </c>
      <c r="CC660" s="318" t="e">
        <f t="shared" ca="1" si="381"/>
        <v>#REF!</v>
      </c>
      <c r="CD660" s="325" t="e">
        <f t="shared" ca="1" si="371"/>
        <v>#REF!</v>
      </c>
      <c r="CG660" s="180">
        <v>2055</v>
      </c>
      <c r="CH660" s="22">
        <v>41</v>
      </c>
      <c r="CI660" s="318" t="e">
        <f t="shared" ca="1" si="372"/>
        <v>#REF!</v>
      </c>
      <c r="CJ660" s="318" t="e">
        <f t="shared" ca="1" si="373"/>
        <v>#REF!</v>
      </c>
      <c r="CK660" s="318" t="e">
        <f t="shared" ca="1" si="374"/>
        <v>#REF!</v>
      </c>
      <c r="CL660" s="318" t="e">
        <f t="shared" ca="1" si="375"/>
        <v>#REF!</v>
      </c>
      <c r="CM660" s="325" t="e">
        <f t="shared" ca="1" si="376"/>
        <v>#REF!</v>
      </c>
      <c r="CP660" s="180">
        <v>2055</v>
      </c>
      <c r="CQ660" s="22">
        <v>41</v>
      </c>
      <c r="CR660" s="318" t="e">
        <f t="shared" ca="1" si="377"/>
        <v>#REF!</v>
      </c>
      <c r="CS660" s="318" t="e">
        <f t="shared" ca="1" si="378"/>
        <v>#REF!</v>
      </c>
      <c r="CT660" s="325" t="e">
        <f t="shared" ca="1" si="379"/>
        <v>#REF!</v>
      </c>
      <c r="CZ660" s="164" t="b">
        <f t="shared" si="387"/>
        <v>0</v>
      </c>
      <c r="DA660" s="165" t="b">
        <f t="shared" si="387"/>
        <v>0</v>
      </c>
      <c r="DB660" s="166" t="b">
        <f t="shared" si="387"/>
        <v>0</v>
      </c>
      <c r="DC660" s="164" t="str">
        <f t="shared" si="357"/>
        <v/>
      </c>
      <c r="DD660" s="166" t="str">
        <f t="shared" si="358"/>
        <v/>
      </c>
      <c r="DE660" s="164" t="str">
        <f t="shared" si="359"/>
        <v/>
      </c>
      <c r="DF660" s="166" t="str">
        <f t="shared" si="360"/>
        <v/>
      </c>
      <c r="DG660" s="164" t="str">
        <f t="shared" si="361"/>
        <v/>
      </c>
      <c r="DH660" s="166" t="str">
        <f t="shared" si="362"/>
        <v/>
      </c>
      <c r="DI660" s="164" t="str">
        <f>IFERROR(INDEX(DC$615:DC$663,_xlfn.AGGREGATE(15,6,(ROW(DC$615:DC$663)-ROW(DC$615)+1)/(DC$615:DC$663&lt;&gt;""),ROWS(DI$1:DI46))),"")</f>
        <v/>
      </c>
      <c r="DJ660" s="165" t="str">
        <f>IFERROR(INDEX(DD$615:DD$663,_xlfn.AGGREGATE(15,6,(ROW(DD$615:DD$663)-ROW(DD$615)+1)/(DD$615:DD$663&lt;&gt;""),ROWS(DJ$1:DJ46))),"")</f>
        <v/>
      </c>
      <c r="DK660" s="166" t="str">
        <f t="shared" si="363"/>
        <v/>
      </c>
      <c r="DL660" s="164" t="str">
        <f>IFERROR(INDEX(DE$615:DE$663,_xlfn.AGGREGATE(15,6,(ROW(DE$615:DE$663)-ROW(DE$615)+1)/(DE$615:DE$663&lt;&gt;""),ROWS(DL$1:DL46))),"")</f>
        <v/>
      </c>
      <c r="DM660" s="165" t="str">
        <f>IFERROR(INDEX(DF$615:DF$663,_xlfn.AGGREGATE(15,6,(ROW(DF$615:DF$663)-ROW(DF$615)+1)/(DF$615:DF$663&lt;&gt;""),ROWS(DM$1:DM46))),"")</f>
        <v/>
      </c>
      <c r="DN660" s="166" t="str">
        <f t="shared" si="364"/>
        <v/>
      </c>
      <c r="DO660" s="164" t="str">
        <f>IFERROR(INDEX(DG$615:DG$663,_xlfn.AGGREGATE(15,6,(ROW(DG$615:DG$663)-ROW(DG$615)+1)/(DG$615:DG$663&lt;&gt;""),ROWS(DO$1:DO46))),"")</f>
        <v/>
      </c>
      <c r="DP660" s="165" t="str">
        <f>IFERROR(INDEX(DH$615:DH$663,_xlfn.AGGREGATE(15,6,(ROW(DH$615:DH$663)-ROW(DH$615)+1)/(DH$615:DH$663&lt;&gt;""),ROWS(DP$1:DP46))),"")</f>
        <v/>
      </c>
      <c r="DQ660" s="166" t="str">
        <f t="shared" si="365"/>
        <v/>
      </c>
      <c r="DR660" s="65"/>
      <c r="DV660" s="145">
        <v>2060</v>
      </c>
      <c r="DW660" s="235" t="e">
        <f t="shared" ca="1" si="349"/>
        <v>#REF!</v>
      </c>
      <c r="EA660" s="55"/>
      <c r="EB660" s="55"/>
      <c r="EC660" s="55"/>
      <c r="ED660" s="55"/>
      <c r="EE660" s="55"/>
    </row>
    <row r="661" spans="1:135" ht="13.8" x14ac:dyDescent="0.45">
      <c r="A661" s="214"/>
      <c r="B661" s="128">
        <v>2058</v>
      </c>
      <c r="C661" s="912"/>
      <c r="D661" s="960"/>
      <c r="E661" s="292"/>
      <c r="F661" s="914"/>
      <c r="G661" s="320"/>
      <c r="H661" s="292"/>
      <c r="I661" s="1112"/>
      <c r="J661" s="320"/>
      <c r="K661" s="292"/>
      <c r="L661" s="293"/>
      <c r="M661" s="292"/>
      <c r="N661" s="29" t="s">
        <v>119</v>
      </c>
      <c r="R661" s="29">
        <v>44</v>
      </c>
      <c r="S661" s="317" t="str">
        <f t="shared" si="383"/>
        <v/>
      </c>
      <c r="T661" s="317" t="str">
        <f t="shared" si="384"/>
        <v/>
      </c>
      <c r="U661" s="317" t="str">
        <f t="shared" si="385"/>
        <v/>
      </c>
      <c r="W661" s="317" t="e">
        <f t="shared" si="353"/>
        <v>#N/A</v>
      </c>
      <c r="X661" s="317" t="e">
        <f t="shared" si="386"/>
        <v>#N/A</v>
      </c>
      <c r="Y661" s="317" t="e">
        <f t="shared" si="355"/>
        <v>#N/A</v>
      </c>
      <c r="AA661" s="89"/>
      <c r="AB661" s="89"/>
      <c r="AC661" s="89"/>
      <c r="AD661" s="89"/>
      <c r="AE661" s="89"/>
      <c r="AF661" s="89"/>
      <c r="AG661" s="89"/>
      <c r="AH661" s="89"/>
      <c r="AI661" s="89"/>
      <c r="AJ661" s="89"/>
      <c r="AK661" s="89"/>
      <c r="AL661" s="89"/>
      <c r="AM661" s="89"/>
      <c r="AN661" s="89"/>
      <c r="BR661" s="180">
        <v>2056</v>
      </c>
      <c r="BS661" s="22">
        <v>42</v>
      </c>
      <c r="BT661" s="318" t="e">
        <f t="shared" si="366"/>
        <v>#DIV/0!</v>
      </c>
      <c r="BU661" s="318" t="e">
        <f t="shared" si="367"/>
        <v>#DIV/0!</v>
      </c>
      <c r="BV661" s="325" t="e">
        <f t="shared" si="368"/>
        <v>#DIV/0!</v>
      </c>
      <c r="BY661" s="180">
        <v>2056</v>
      </c>
      <c r="BZ661" s="22">
        <v>42</v>
      </c>
      <c r="CA661" s="318" t="e">
        <f t="shared" ca="1" si="369"/>
        <v>#REF!</v>
      </c>
      <c r="CB661" s="318" t="e">
        <f t="shared" ca="1" si="370"/>
        <v>#REF!</v>
      </c>
      <c r="CC661" s="318" t="e">
        <f t="shared" ca="1" si="381"/>
        <v>#REF!</v>
      </c>
      <c r="CD661" s="325" t="e">
        <f t="shared" ca="1" si="371"/>
        <v>#REF!</v>
      </c>
      <c r="CG661" s="180">
        <v>2056</v>
      </c>
      <c r="CH661" s="22">
        <v>42</v>
      </c>
      <c r="CI661" s="318" t="e">
        <f t="shared" ca="1" si="372"/>
        <v>#REF!</v>
      </c>
      <c r="CJ661" s="318" t="e">
        <f t="shared" ca="1" si="373"/>
        <v>#REF!</v>
      </c>
      <c r="CK661" s="318" t="e">
        <f t="shared" ca="1" si="374"/>
        <v>#REF!</v>
      </c>
      <c r="CL661" s="318" t="e">
        <f t="shared" ca="1" si="375"/>
        <v>#REF!</v>
      </c>
      <c r="CM661" s="325" t="e">
        <f t="shared" ca="1" si="376"/>
        <v>#REF!</v>
      </c>
      <c r="CP661" s="180">
        <v>2056</v>
      </c>
      <c r="CQ661" s="22">
        <v>42</v>
      </c>
      <c r="CR661" s="318" t="e">
        <f t="shared" ca="1" si="377"/>
        <v>#REF!</v>
      </c>
      <c r="CS661" s="318" t="e">
        <f t="shared" ca="1" si="378"/>
        <v>#REF!</v>
      </c>
      <c r="CT661" s="325" t="e">
        <f t="shared" ca="1" si="379"/>
        <v>#REF!</v>
      </c>
      <c r="CZ661" s="164" t="b">
        <f t="shared" si="387"/>
        <v>0</v>
      </c>
      <c r="DA661" s="165" t="b">
        <f t="shared" si="387"/>
        <v>0</v>
      </c>
      <c r="DB661" s="166" t="b">
        <f t="shared" si="387"/>
        <v>0</v>
      </c>
      <c r="DC661" s="164" t="str">
        <f t="shared" si="357"/>
        <v/>
      </c>
      <c r="DD661" s="166" t="str">
        <f t="shared" si="358"/>
        <v/>
      </c>
      <c r="DE661" s="164" t="str">
        <f t="shared" si="359"/>
        <v/>
      </c>
      <c r="DF661" s="166" t="str">
        <f t="shared" si="360"/>
        <v/>
      </c>
      <c r="DG661" s="164" t="str">
        <f t="shared" si="361"/>
        <v/>
      </c>
      <c r="DH661" s="166" t="str">
        <f t="shared" si="362"/>
        <v/>
      </c>
      <c r="DI661" s="164" t="str">
        <f>IFERROR(INDEX(DC$615:DC$663,_xlfn.AGGREGATE(15,6,(ROW(DC$615:DC$663)-ROW(DC$615)+1)/(DC$615:DC$663&lt;&gt;""),ROWS(DI$1:DI47))),"")</f>
        <v/>
      </c>
      <c r="DJ661" s="165" t="str">
        <f>IFERROR(INDEX(DD$615:DD$663,_xlfn.AGGREGATE(15,6,(ROW(DD$615:DD$663)-ROW(DD$615)+1)/(DD$615:DD$663&lt;&gt;""),ROWS(DJ$1:DJ47))),"")</f>
        <v/>
      </c>
      <c r="DK661" s="166" t="str">
        <f t="shared" si="363"/>
        <v/>
      </c>
      <c r="DL661" s="164" t="str">
        <f>IFERROR(INDEX(DE$615:DE$663,_xlfn.AGGREGATE(15,6,(ROW(DE$615:DE$663)-ROW(DE$615)+1)/(DE$615:DE$663&lt;&gt;""),ROWS(DL$1:DL47))),"")</f>
        <v/>
      </c>
      <c r="DM661" s="165" t="str">
        <f>IFERROR(INDEX(DF$615:DF$663,_xlfn.AGGREGATE(15,6,(ROW(DF$615:DF$663)-ROW(DF$615)+1)/(DF$615:DF$663&lt;&gt;""),ROWS(DM$1:DM47))),"")</f>
        <v/>
      </c>
      <c r="DN661" s="166" t="str">
        <f t="shared" si="364"/>
        <v/>
      </c>
      <c r="DO661" s="164" t="str">
        <f>IFERROR(INDEX(DG$615:DG$663,_xlfn.AGGREGATE(15,6,(ROW(DG$615:DG$663)-ROW(DG$615)+1)/(DG$615:DG$663&lt;&gt;""),ROWS(DO$1:DO47))),"")</f>
        <v/>
      </c>
      <c r="DP661" s="165" t="str">
        <f>IFERROR(INDEX(DH$615:DH$663,_xlfn.AGGREGATE(15,6,(ROW(DH$615:DH$663)-ROW(DH$615)+1)/(DH$615:DH$663&lt;&gt;""),ROWS(DP$1:DP47))),"")</f>
        <v/>
      </c>
      <c r="DQ661" s="166" t="str">
        <f t="shared" si="365"/>
        <v/>
      </c>
      <c r="DR661" s="65"/>
      <c r="DW661" s="54"/>
      <c r="EA661" s="55"/>
      <c r="EB661" s="55"/>
      <c r="EC661" s="55"/>
      <c r="ED661" s="55"/>
      <c r="EE661" s="55"/>
    </row>
    <row r="662" spans="1:135" ht="13.8" x14ac:dyDescent="0.45">
      <c r="A662" s="214"/>
      <c r="B662" s="128">
        <v>2059</v>
      </c>
      <c r="C662" s="912"/>
      <c r="D662" s="960"/>
      <c r="E662" s="292"/>
      <c r="F662" s="914"/>
      <c r="G662" s="320"/>
      <c r="H662" s="292"/>
      <c r="I662" s="1112"/>
      <c r="J662" s="320"/>
      <c r="K662" s="292"/>
      <c r="L662" s="293"/>
      <c r="M662" s="292"/>
      <c r="N662" s="29" t="s">
        <v>119</v>
      </c>
      <c r="R662" s="29">
        <v>45</v>
      </c>
      <c r="S662" s="317" t="str">
        <f t="shared" si="383"/>
        <v/>
      </c>
      <c r="T662" s="317" t="str">
        <f t="shared" si="384"/>
        <v/>
      </c>
      <c r="U662" s="317" t="str">
        <f t="shared" si="385"/>
        <v/>
      </c>
      <c r="W662" s="317" t="e">
        <f t="shared" si="353"/>
        <v>#N/A</v>
      </c>
      <c r="X662" s="317" t="e">
        <f t="shared" si="386"/>
        <v>#N/A</v>
      </c>
      <c r="Y662" s="317" t="e">
        <f t="shared" si="355"/>
        <v>#N/A</v>
      </c>
      <c r="AA662" s="89"/>
      <c r="AB662" s="89"/>
      <c r="AC662" s="89"/>
      <c r="AD662" s="89"/>
      <c r="AE662" s="89"/>
      <c r="AF662" s="89"/>
      <c r="AG662" s="89"/>
      <c r="AH662" s="89"/>
      <c r="AI662" s="89"/>
      <c r="AJ662" s="89"/>
      <c r="AK662" s="89"/>
      <c r="AL662" s="89"/>
      <c r="AM662" s="89"/>
      <c r="AN662" s="89"/>
      <c r="BR662" s="180">
        <v>2057</v>
      </c>
      <c r="BS662" s="22">
        <v>43</v>
      </c>
      <c r="BT662" s="318" t="e">
        <f t="shared" si="366"/>
        <v>#DIV/0!</v>
      </c>
      <c r="BU662" s="318" t="e">
        <f t="shared" si="367"/>
        <v>#DIV/0!</v>
      </c>
      <c r="BV662" s="325" t="e">
        <f t="shared" si="368"/>
        <v>#DIV/0!</v>
      </c>
      <c r="BY662" s="180">
        <v>2057</v>
      </c>
      <c r="BZ662" s="22">
        <v>43</v>
      </c>
      <c r="CA662" s="318" t="e">
        <f t="shared" ca="1" si="369"/>
        <v>#REF!</v>
      </c>
      <c r="CB662" s="318" t="e">
        <f t="shared" ca="1" si="370"/>
        <v>#REF!</v>
      </c>
      <c r="CC662" s="318" t="e">
        <f t="shared" ca="1" si="381"/>
        <v>#REF!</v>
      </c>
      <c r="CD662" s="325" t="e">
        <f t="shared" ca="1" si="371"/>
        <v>#REF!</v>
      </c>
      <c r="CG662" s="180">
        <v>2057</v>
      </c>
      <c r="CH662" s="22">
        <v>43</v>
      </c>
      <c r="CI662" s="318" t="e">
        <f t="shared" ca="1" si="372"/>
        <v>#REF!</v>
      </c>
      <c r="CJ662" s="318" t="e">
        <f t="shared" ca="1" si="373"/>
        <v>#REF!</v>
      </c>
      <c r="CK662" s="318" t="e">
        <f t="shared" ca="1" si="374"/>
        <v>#REF!</v>
      </c>
      <c r="CL662" s="318" t="e">
        <f t="shared" ca="1" si="375"/>
        <v>#REF!</v>
      </c>
      <c r="CM662" s="325" t="e">
        <f t="shared" ca="1" si="376"/>
        <v>#REF!</v>
      </c>
      <c r="CP662" s="180">
        <v>2057</v>
      </c>
      <c r="CQ662" s="22">
        <v>43</v>
      </c>
      <c r="CR662" s="318" t="e">
        <f t="shared" ca="1" si="377"/>
        <v>#REF!</v>
      </c>
      <c r="CS662" s="318" t="e">
        <f t="shared" ca="1" si="378"/>
        <v>#REF!</v>
      </c>
      <c r="CT662" s="325" t="e">
        <f t="shared" ca="1" si="379"/>
        <v>#REF!</v>
      </c>
      <c r="CZ662" s="164" t="b">
        <f t="shared" si="387"/>
        <v>0</v>
      </c>
      <c r="DA662" s="165" t="b">
        <f t="shared" si="387"/>
        <v>0</v>
      </c>
      <c r="DB662" s="166" t="b">
        <f t="shared" si="387"/>
        <v>0</v>
      </c>
      <c r="DC662" s="164" t="str">
        <f t="shared" si="357"/>
        <v/>
      </c>
      <c r="DD662" s="166" t="str">
        <f t="shared" si="358"/>
        <v/>
      </c>
      <c r="DE662" s="164" t="str">
        <f t="shared" si="359"/>
        <v/>
      </c>
      <c r="DF662" s="166" t="str">
        <f t="shared" si="360"/>
        <v/>
      </c>
      <c r="DG662" s="164" t="str">
        <f t="shared" si="361"/>
        <v/>
      </c>
      <c r="DH662" s="166" t="str">
        <f t="shared" si="362"/>
        <v/>
      </c>
      <c r="DI662" s="164" t="str">
        <f>IFERROR(INDEX(DC$615:DC$663,_xlfn.AGGREGATE(15,6,(ROW(DC$615:DC$663)-ROW(DC$615)+1)/(DC$615:DC$663&lt;&gt;""),ROWS(DI$1:DI48))),"")</f>
        <v/>
      </c>
      <c r="DJ662" s="165" t="str">
        <f>IFERROR(INDEX(DD$615:DD$663,_xlfn.AGGREGATE(15,6,(ROW(DD$615:DD$663)-ROW(DD$615)+1)/(DD$615:DD$663&lt;&gt;""),ROWS(DJ$1:DJ48))),"")</f>
        <v/>
      </c>
      <c r="DK662" s="166" t="str">
        <f t="shared" si="363"/>
        <v/>
      </c>
      <c r="DL662" s="164" t="str">
        <f>IFERROR(INDEX(DE$615:DE$663,_xlfn.AGGREGATE(15,6,(ROW(DE$615:DE$663)-ROW(DE$615)+1)/(DE$615:DE$663&lt;&gt;""),ROWS(DL$1:DL48))),"")</f>
        <v/>
      </c>
      <c r="DM662" s="165" t="str">
        <f>IFERROR(INDEX(DF$615:DF$663,_xlfn.AGGREGATE(15,6,(ROW(DF$615:DF$663)-ROW(DF$615)+1)/(DF$615:DF$663&lt;&gt;""),ROWS(DM$1:DM48))),"")</f>
        <v/>
      </c>
      <c r="DN662" s="166" t="str">
        <f t="shared" si="364"/>
        <v/>
      </c>
      <c r="DO662" s="164" t="str">
        <f>IFERROR(INDEX(DG$615:DG$663,_xlfn.AGGREGATE(15,6,(ROW(DG$615:DG$663)-ROW(DG$615)+1)/(DG$615:DG$663&lt;&gt;""),ROWS(DO$1:DO48))),"")</f>
        <v/>
      </c>
      <c r="DP662" s="165" t="str">
        <f>IFERROR(INDEX(DH$615:DH$663,_xlfn.AGGREGATE(15,6,(ROW(DH$615:DH$663)-ROW(DH$615)+1)/(DH$615:DH$663&lt;&gt;""),ROWS(DP$1:DP48))),"")</f>
        <v/>
      </c>
      <c r="DQ662" s="166" t="str">
        <f t="shared" si="365"/>
        <v/>
      </c>
      <c r="DR662" s="65"/>
      <c r="DW662" s="54"/>
      <c r="EA662" s="55"/>
      <c r="EB662" s="55"/>
      <c r="EC662" s="55"/>
      <c r="ED662" s="55"/>
      <c r="EE662" s="55"/>
    </row>
    <row r="663" spans="1:135" ht="14.1" thickBot="1" x14ac:dyDescent="0.5">
      <c r="A663" s="214"/>
      <c r="B663" s="128">
        <v>2060</v>
      </c>
      <c r="C663" s="912"/>
      <c r="D663" s="960"/>
      <c r="E663" s="300"/>
      <c r="F663" s="915"/>
      <c r="G663" s="302"/>
      <c r="H663" s="300"/>
      <c r="I663" s="1115"/>
      <c r="J663" s="302"/>
      <c r="K663" s="300"/>
      <c r="L663" s="301"/>
      <c r="M663" s="300"/>
      <c r="N663" s="29" t="s">
        <v>119</v>
      </c>
      <c r="R663" s="29">
        <v>46</v>
      </c>
      <c r="S663" s="317" t="str">
        <f t="shared" si="383"/>
        <v/>
      </c>
      <c r="T663" s="317" t="str">
        <f t="shared" si="384"/>
        <v/>
      </c>
      <c r="U663" s="317" t="str">
        <f t="shared" si="385"/>
        <v/>
      </c>
      <c r="W663" s="317" t="e">
        <f t="shared" si="353"/>
        <v>#N/A</v>
      </c>
      <c r="X663" s="317" t="e">
        <f t="shared" si="386"/>
        <v>#N/A</v>
      </c>
      <c r="Y663" s="317" t="e">
        <f t="shared" si="355"/>
        <v>#N/A</v>
      </c>
      <c r="AA663" s="89"/>
      <c r="AB663" s="89"/>
      <c r="AC663" s="89"/>
      <c r="AD663" s="89"/>
      <c r="AE663" s="89"/>
      <c r="AF663" s="89"/>
      <c r="AG663" s="89"/>
      <c r="AH663" s="89"/>
      <c r="AI663" s="89"/>
      <c r="AJ663" s="89"/>
      <c r="AK663" s="89"/>
      <c r="AL663" s="89"/>
      <c r="AM663" s="89"/>
      <c r="AN663" s="89"/>
      <c r="BR663" s="180">
        <v>2058</v>
      </c>
      <c r="BS663" s="22">
        <v>44</v>
      </c>
      <c r="BT663" s="318" t="e">
        <f t="shared" si="366"/>
        <v>#DIV/0!</v>
      </c>
      <c r="BU663" s="318" t="e">
        <f t="shared" si="367"/>
        <v>#DIV/0!</v>
      </c>
      <c r="BV663" s="325" t="e">
        <f t="shared" si="368"/>
        <v>#DIV/0!</v>
      </c>
      <c r="BY663" s="180">
        <v>2058</v>
      </c>
      <c r="BZ663" s="22">
        <v>44</v>
      </c>
      <c r="CA663" s="318" t="e">
        <f t="shared" ca="1" si="369"/>
        <v>#REF!</v>
      </c>
      <c r="CB663" s="318" t="e">
        <f t="shared" ca="1" si="370"/>
        <v>#REF!</v>
      </c>
      <c r="CC663" s="318" t="e">
        <f t="shared" ca="1" si="381"/>
        <v>#REF!</v>
      </c>
      <c r="CD663" s="325" t="e">
        <f t="shared" ca="1" si="371"/>
        <v>#REF!</v>
      </c>
      <c r="CG663" s="180">
        <v>2058</v>
      </c>
      <c r="CH663" s="22">
        <v>44</v>
      </c>
      <c r="CI663" s="318" t="e">
        <f t="shared" ca="1" si="372"/>
        <v>#REF!</v>
      </c>
      <c r="CJ663" s="318" t="e">
        <f t="shared" ca="1" si="373"/>
        <v>#REF!</v>
      </c>
      <c r="CK663" s="318" t="e">
        <f t="shared" ca="1" si="374"/>
        <v>#REF!</v>
      </c>
      <c r="CL663" s="318" t="e">
        <f t="shared" ca="1" si="375"/>
        <v>#REF!</v>
      </c>
      <c r="CM663" s="325" t="e">
        <f t="shared" ca="1" si="376"/>
        <v>#REF!</v>
      </c>
      <c r="CP663" s="180">
        <v>2058</v>
      </c>
      <c r="CQ663" s="22">
        <v>44</v>
      </c>
      <c r="CR663" s="318" t="e">
        <f t="shared" ca="1" si="377"/>
        <v>#REF!</v>
      </c>
      <c r="CS663" s="318" t="e">
        <f t="shared" ca="1" si="378"/>
        <v>#REF!</v>
      </c>
      <c r="CT663" s="325" t="e">
        <f t="shared" ca="1" si="379"/>
        <v>#REF!</v>
      </c>
      <c r="CZ663" s="164" t="b">
        <f t="shared" si="387"/>
        <v>0</v>
      </c>
      <c r="DA663" s="165" t="b">
        <f t="shared" si="387"/>
        <v>0</v>
      </c>
      <c r="DB663" s="166" t="b">
        <f t="shared" si="387"/>
        <v>0</v>
      </c>
      <c r="DC663" s="164" t="str">
        <f t="shared" si="357"/>
        <v/>
      </c>
      <c r="DD663" s="166" t="str">
        <f t="shared" si="358"/>
        <v/>
      </c>
      <c r="DE663" s="164" t="str">
        <f t="shared" si="359"/>
        <v/>
      </c>
      <c r="DF663" s="166" t="str">
        <f t="shared" si="360"/>
        <v/>
      </c>
      <c r="DG663" s="164" t="str">
        <f t="shared" si="361"/>
        <v/>
      </c>
      <c r="DH663" s="166" t="str">
        <f t="shared" si="362"/>
        <v/>
      </c>
      <c r="DI663" s="164" t="str">
        <f>IFERROR(INDEX(DC$615:DC$663,_xlfn.AGGREGATE(15,6,(ROW(DC$615:DC$663)-ROW(DC$615)+1)/(DC$615:DC$663&lt;&gt;""),ROWS(DI$1:DI49))),"")</f>
        <v/>
      </c>
      <c r="DJ663" s="165" t="str">
        <f>IFERROR(INDEX(DD$615:DD$663,_xlfn.AGGREGATE(15,6,(ROW(DD$615:DD$663)-ROW(DD$615)+1)/(DD$615:DD$663&lt;&gt;""),ROWS(DJ$1:DJ49))),"")</f>
        <v/>
      </c>
      <c r="DK663" s="166" t="str">
        <f t="shared" si="363"/>
        <v/>
      </c>
      <c r="DL663" s="164" t="str">
        <f>IFERROR(INDEX(DE$615:DE$663,_xlfn.AGGREGATE(15,6,(ROW(DE$615:DE$663)-ROW(DE$615)+1)/(DE$615:DE$663&lt;&gt;""),ROWS(DL$1:DL49))),"")</f>
        <v/>
      </c>
      <c r="DM663" s="165" t="str">
        <f>IFERROR(INDEX(DF$615:DF$663,_xlfn.AGGREGATE(15,6,(ROW(DF$615:DF$663)-ROW(DF$615)+1)/(DF$615:DF$663&lt;&gt;""),ROWS(DM$1:DM49))),"")</f>
        <v/>
      </c>
      <c r="DN663" s="166" t="str">
        <f t="shared" si="364"/>
        <v/>
      </c>
      <c r="DO663" s="164" t="str">
        <f>IFERROR(INDEX(DG$615:DG$663,_xlfn.AGGREGATE(15,6,(ROW(DG$615:DG$663)-ROW(DG$615)+1)/(DG$615:DG$663&lt;&gt;""),ROWS(DO$1:DO49))),"")</f>
        <v/>
      </c>
      <c r="DP663" s="165" t="str">
        <f>IFERROR(INDEX(DH$615:DH$663,_xlfn.AGGREGATE(15,6,(ROW(DH$615:DH$663)-ROW(DH$615)+1)/(DH$615:DH$663&lt;&gt;""),ROWS(DP$1:DP49))),"")</f>
        <v/>
      </c>
      <c r="DQ663" s="166" t="str">
        <f t="shared" si="365"/>
        <v/>
      </c>
      <c r="DR663" s="180"/>
      <c r="DW663" s="54"/>
      <c r="EA663" s="55"/>
      <c r="EB663" s="55"/>
      <c r="EC663" s="55"/>
      <c r="ED663" s="55"/>
      <c r="EE663" s="55"/>
    </row>
    <row r="664" spans="1:135" x14ac:dyDescent="0.4">
      <c r="A664" s="214"/>
      <c r="B664" s="89"/>
      <c r="C664" s="14"/>
      <c r="D664" s="14"/>
      <c r="E664" s="14"/>
      <c r="F664" s="14"/>
      <c r="G664" s="14"/>
      <c r="H664" s="14"/>
      <c r="I664" s="14"/>
      <c r="J664" s="14"/>
      <c r="K664" s="14"/>
      <c r="L664" s="14"/>
      <c r="M664" s="50"/>
      <c r="S664" s="120"/>
      <c r="T664" s="120"/>
      <c r="U664" s="120"/>
      <c r="W664" s="120"/>
      <c r="X664" s="120"/>
      <c r="Y664" s="120"/>
      <c r="AA664" s="89"/>
      <c r="AB664" s="89"/>
      <c r="AC664" s="89"/>
      <c r="AD664" s="89"/>
      <c r="AE664" s="89"/>
      <c r="AF664" s="89"/>
      <c r="AG664" s="89"/>
      <c r="AH664" s="89"/>
      <c r="AI664" s="89"/>
      <c r="AJ664" s="89"/>
      <c r="AK664" s="89"/>
      <c r="AL664" s="89"/>
      <c r="AM664" s="89"/>
      <c r="AN664" s="89"/>
      <c r="BR664" s="180">
        <v>2059</v>
      </c>
      <c r="BS664" s="22">
        <v>45</v>
      </c>
      <c r="BT664" s="318" t="e">
        <f t="shared" si="366"/>
        <v>#DIV/0!</v>
      </c>
      <c r="BU664" s="318" t="e">
        <f t="shared" si="367"/>
        <v>#DIV/0!</v>
      </c>
      <c r="BV664" s="325" t="e">
        <f t="shared" si="368"/>
        <v>#DIV/0!</v>
      </c>
      <c r="BY664" s="180">
        <v>2059</v>
      </c>
      <c r="BZ664" s="22">
        <v>45</v>
      </c>
      <c r="CA664" s="318" t="e">
        <f t="shared" ca="1" si="369"/>
        <v>#REF!</v>
      </c>
      <c r="CB664" s="318" t="e">
        <f t="shared" ca="1" si="370"/>
        <v>#REF!</v>
      </c>
      <c r="CC664" s="318" t="e">
        <f t="shared" ca="1" si="381"/>
        <v>#REF!</v>
      </c>
      <c r="CD664" s="325" t="e">
        <f t="shared" ca="1" si="371"/>
        <v>#REF!</v>
      </c>
      <c r="CG664" s="180">
        <v>2059</v>
      </c>
      <c r="CH664" s="22">
        <v>45</v>
      </c>
      <c r="CI664" s="318" t="e">
        <f t="shared" ca="1" si="372"/>
        <v>#REF!</v>
      </c>
      <c r="CJ664" s="318" t="e">
        <f t="shared" ca="1" si="373"/>
        <v>#REF!</v>
      </c>
      <c r="CK664" s="318" t="e">
        <f t="shared" ca="1" si="374"/>
        <v>#REF!</v>
      </c>
      <c r="CL664" s="318" t="e">
        <f t="shared" ca="1" si="375"/>
        <v>#REF!</v>
      </c>
      <c r="CM664" s="325" t="e">
        <f t="shared" ca="1" si="376"/>
        <v>#REF!</v>
      </c>
      <c r="CP664" s="180">
        <v>2059</v>
      </c>
      <c r="CQ664" s="22">
        <v>45</v>
      </c>
      <c r="CR664" s="318" t="e">
        <f t="shared" ca="1" si="377"/>
        <v>#REF!</v>
      </c>
      <c r="CS664" s="318" t="e">
        <f t="shared" ca="1" si="378"/>
        <v>#REF!</v>
      </c>
      <c r="CT664" s="325" t="e">
        <f t="shared" ca="1" si="379"/>
        <v>#REF!</v>
      </c>
      <c r="CZ664" s="252"/>
      <c r="DA664" s="252"/>
      <c r="DB664" s="252"/>
      <c r="DC664" s="252"/>
      <c r="DD664" s="252"/>
      <c r="DE664" s="252"/>
      <c r="DF664" s="252"/>
      <c r="DG664" s="252"/>
      <c r="DH664" s="252"/>
      <c r="DI664" s="252"/>
      <c r="DJ664" s="252"/>
      <c r="DK664" s="252"/>
      <c r="DL664" s="252"/>
      <c r="DM664" s="252"/>
      <c r="DN664" s="252"/>
      <c r="DO664" s="252"/>
      <c r="DP664" s="252"/>
      <c r="DQ664" s="252"/>
      <c r="DR664" s="180"/>
      <c r="DU664" s="65"/>
      <c r="DW664" s="54"/>
      <c r="EA664" s="55"/>
      <c r="EB664" s="55"/>
      <c r="EC664" s="55"/>
      <c r="ED664" s="55"/>
      <c r="EE664" s="55"/>
    </row>
    <row r="665" spans="1:135" x14ac:dyDescent="0.4">
      <c r="A665" s="214"/>
      <c r="B665" s="89"/>
      <c r="C665" s="14"/>
      <c r="D665" s="14"/>
      <c r="E665" s="14"/>
      <c r="F665" s="14"/>
      <c r="G665" s="14"/>
      <c r="H665" s="14"/>
      <c r="I665" s="14"/>
      <c r="J665" s="14"/>
      <c r="K665" s="14"/>
      <c r="L665" s="14"/>
      <c r="M665" s="50"/>
      <c r="S665" s="120"/>
      <c r="T665" s="120"/>
      <c r="U665" s="120"/>
      <c r="W665" s="120"/>
      <c r="X665" s="120"/>
      <c r="Y665" s="120"/>
      <c r="AA665" s="89"/>
      <c r="AB665" s="89"/>
      <c r="AC665" s="89"/>
      <c r="AD665" s="89"/>
      <c r="AE665" s="89"/>
      <c r="AF665" s="89"/>
      <c r="AG665" s="89"/>
      <c r="AH665" s="89"/>
      <c r="AI665" s="89"/>
      <c r="AJ665" s="89"/>
      <c r="AK665" s="89"/>
      <c r="AL665" s="89"/>
      <c r="AM665" s="89"/>
      <c r="AN665" s="89"/>
      <c r="BR665" s="180">
        <v>2060</v>
      </c>
      <c r="BS665" s="22">
        <v>46</v>
      </c>
      <c r="BT665" s="318" t="e">
        <f t="shared" si="366"/>
        <v>#DIV/0!</v>
      </c>
      <c r="BU665" s="318" t="e">
        <f t="shared" si="367"/>
        <v>#DIV/0!</v>
      </c>
      <c r="BV665" s="325" t="e">
        <f t="shared" si="368"/>
        <v>#DIV/0!</v>
      </c>
      <c r="BY665" s="180">
        <v>2060</v>
      </c>
      <c r="BZ665" s="22">
        <v>46</v>
      </c>
      <c r="CA665" s="318" t="e">
        <f t="shared" ca="1" si="369"/>
        <v>#REF!</v>
      </c>
      <c r="CB665" s="318" t="e">
        <f t="shared" ca="1" si="370"/>
        <v>#REF!</v>
      </c>
      <c r="CC665" s="318" t="e">
        <f t="shared" ca="1" si="381"/>
        <v>#REF!</v>
      </c>
      <c r="CD665" s="325" t="e">
        <f t="shared" ca="1" si="371"/>
        <v>#REF!</v>
      </c>
      <c r="CG665" s="180">
        <v>2060</v>
      </c>
      <c r="CH665" s="22">
        <v>46</v>
      </c>
      <c r="CI665" s="318" t="e">
        <f t="shared" ca="1" si="372"/>
        <v>#REF!</v>
      </c>
      <c r="CJ665" s="318" t="e">
        <f t="shared" ca="1" si="373"/>
        <v>#REF!</v>
      </c>
      <c r="CK665" s="318" t="e">
        <f t="shared" ca="1" si="374"/>
        <v>#REF!</v>
      </c>
      <c r="CL665" s="318" t="e">
        <f t="shared" ca="1" si="375"/>
        <v>#REF!</v>
      </c>
      <c r="CM665" s="325" t="e">
        <f t="shared" ca="1" si="376"/>
        <v>#REF!</v>
      </c>
      <c r="CP665" s="180">
        <v>2060</v>
      </c>
      <c r="CQ665" s="22">
        <v>46</v>
      </c>
      <c r="CR665" s="318" t="e">
        <f t="shared" ca="1" si="377"/>
        <v>#REF!</v>
      </c>
      <c r="CS665" s="318" t="e">
        <f t="shared" ca="1" si="378"/>
        <v>#REF!</v>
      </c>
      <c r="CT665" s="325" t="e">
        <f t="shared" ca="1" si="379"/>
        <v>#REF!</v>
      </c>
      <c r="CZ665" s="89"/>
      <c r="DA665" s="89"/>
      <c r="DB665" s="89"/>
      <c r="DC665" s="89"/>
      <c r="DD665" s="89"/>
      <c r="DE665" s="89"/>
      <c r="DF665" s="89"/>
      <c r="DG665" s="89"/>
      <c r="DH665" s="89"/>
      <c r="DI665" s="89"/>
      <c r="DJ665" s="89"/>
      <c r="DK665" s="89"/>
      <c r="DL665" s="89"/>
      <c r="DM665" s="89"/>
      <c r="DN665" s="89"/>
      <c r="DO665" s="89"/>
      <c r="DP665" s="89"/>
      <c r="DQ665" s="89"/>
      <c r="DR665" s="89"/>
      <c r="DW665" s="54"/>
      <c r="EA665" s="55"/>
      <c r="EB665" s="55"/>
      <c r="EC665" s="55"/>
      <c r="ED665" s="55"/>
      <c r="EE665" s="55"/>
    </row>
    <row r="666" spans="1:135" x14ac:dyDescent="0.4">
      <c r="A666" s="221" t="str">
        <f ca="1">HYPERLINK("#"&amp;"'"&amp;A$1&amp;"'!a1","Back to top")</f>
        <v>Back to top</v>
      </c>
      <c r="C666" s="50"/>
      <c r="D666" s="14"/>
      <c r="E666" s="14"/>
      <c r="F666" s="14"/>
      <c r="G666" s="14"/>
      <c r="H666" s="14"/>
      <c r="I666" s="14"/>
      <c r="J666" s="14"/>
      <c r="K666" s="14"/>
      <c r="L666" s="14"/>
      <c r="M666" s="14"/>
      <c r="N666" s="89"/>
      <c r="O666" s="89"/>
      <c r="P666" s="89"/>
      <c r="Q666" s="89"/>
      <c r="R666" s="89"/>
      <c r="S666" s="89"/>
      <c r="T666" s="89"/>
      <c r="U666" s="89"/>
      <c r="V666" s="89"/>
      <c r="W666" s="89"/>
      <c r="X666" s="89"/>
      <c r="Y666" s="89"/>
      <c r="Z666" s="89"/>
      <c r="AA666" s="89"/>
      <c r="AB666" s="89"/>
      <c r="AC666" s="89"/>
      <c r="AD666" s="89"/>
      <c r="AE666" s="89"/>
      <c r="AF666" s="89"/>
      <c r="AG666" s="89"/>
      <c r="AH666" s="89"/>
      <c r="AI666" s="89"/>
      <c r="AJ666" s="89"/>
      <c r="AK666" s="89"/>
      <c r="AL666" s="89"/>
      <c r="AM666" s="89"/>
      <c r="AN666" s="89"/>
      <c r="DI666" s="326"/>
      <c r="DJ666" s="326"/>
      <c r="DK666" s="326"/>
      <c r="DL666" s="326"/>
      <c r="DM666" s="326"/>
      <c r="DN666" s="327"/>
      <c r="DO666" s="326"/>
      <c r="DP666" s="326"/>
      <c r="DQ666" s="327"/>
      <c r="DW666" s="54"/>
      <c r="EA666" s="55"/>
      <c r="EB666" s="55"/>
      <c r="EC666" s="55"/>
      <c r="ED666" s="55"/>
      <c r="EE666" s="55"/>
    </row>
    <row r="667" spans="1:135" x14ac:dyDescent="0.4">
      <c r="A667" s="221"/>
      <c r="C667" s="50"/>
      <c r="D667" s="14"/>
      <c r="E667" s="14"/>
      <c r="F667" s="14"/>
      <c r="G667" s="14"/>
      <c r="H667" s="14"/>
      <c r="I667" s="14"/>
      <c r="J667" s="14"/>
      <c r="K667" s="14"/>
      <c r="L667" s="14"/>
      <c r="M667" s="14"/>
      <c r="N667" s="89"/>
      <c r="O667" s="89"/>
      <c r="P667" s="89"/>
      <c r="Q667" s="89"/>
      <c r="R667" s="89"/>
      <c r="S667" s="89"/>
      <c r="T667" s="89"/>
      <c r="U667" s="89"/>
      <c r="V667" s="89"/>
      <c r="W667" s="89"/>
      <c r="X667" s="89"/>
      <c r="Y667" s="89"/>
      <c r="Z667" s="89"/>
      <c r="AA667" s="89"/>
      <c r="AB667" s="89"/>
      <c r="AC667" s="89"/>
      <c r="AD667" s="89"/>
      <c r="AE667" s="89"/>
      <c r="AF667" s="89"/>
      <c r="AG667" s="89"/>
      <c r="AH667" s="89"/>
      <c r="AI667" s="89"/>
      <c r="AJ667" s="89"/>
      <c r="AK667" s="89"/>
      <c r="AL667" s="89"/>
      <c r="AM667" s="89"/>
      <c r="AN667" s="89"/>
      <c r="DI667" s="326"/>
      <c r="DJ667" s="326"/>
      <c r="DK667" s="326"/>
      <c r="DL667" s="326"/>
      <c r="DM667" s="326"/>
      <c r="DN667" s="327"/>
      <c r="DO667" s="326"/>
      <c r="DP667" s="326"/>
      <c r="DQ667" s="327"/>
      <c r="DW667" s="54"/>
      <c r="EA667" s="55"/>
      <c r="EB667" s="55"/>
      <c r="EC667" s="55"/>
      <c r="ED667" s="55"/>
      <c r="EE667" s="55"/>
    </row>
    <row r="668" spans="1:135" x14ac:dyDescent="0.4">
      <c r="A668" s="214"/>
      <c r="B668" s="89"/>
      <c r="C668" s="14"/>
      <c r="D668" s="14"/>
      <c r="E668" s="14"/>
      <c r="F668" s="14"/>
      <c r="G668" s="14"/>
      <c r="H668" s="14"/>
      <c r="I668" s="14"/>
      <c r="J668" s="14"/>
      <c r="K668" s="14"/>
      <c r="L668" s="14"/>
      <c r="M668" s="50"/>
      <c r="N668" s="49"/>
      <c r="O668" s="49"/>
      <c r="P668" s="49"/>
      <c r="Q668" s="49"/>
      <c r="R668" s="49"/>
      <c r="S668" s="120"/>
      <c r="T668" s="120"/>
      <c r="U668" s="120"/>
      <c r="V668" s="49"/>
      <c r="W668" s="120"/>
      <c r="X668" s="120"/>
      <c r="Y668" s="120"/>
      <c r="Z668" s="89"/>
      <c r="AA668" s="89"/>
      <c r="AB668" s="89"/>
      <c r="AC668" s="89"/>
      <c r="AD668" s="89"/>
      <c r="AE668" s="89"/>
      <c r="AF668" s="89"/>
      <c r="AG668" s="89"/>
      <c r="AH668" s="89"/>
      <c r="AI668" s="89"/>
      <c r="AJ668" s="89"/>
      <c r="AK668" s="89"/>
      <c r="AL668" s="89"/>
      <c r="AM668" s="89"/>
      <c r="AN668" s="8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1:135" x14ac:dyDescent="0.4">
      <c r="C669" s="256"/>
      <c r="D669" s="256"/>
      <c r="E669" s="256"/>
      <c r="F669" s="256"/>
      <c r="G669" s="328"/>
      <c r="H669" s="328"/>
      <c r="I669" s="328"/>
      <c r="J669" s="256"/>
      <c r="K669" s="328"/>
      <c r="L669" s="255"/>
      <c r="M669" s="256"/>
      <c r="X669" s="257"/>
      <c r="Y669" s="257"/>
      <c r="Z669" s="254"/>
      <c r="AA669" s="254"/>
      <c r="AB669" s="254"/>
      <c r="AC669" s="254"/>
      <c r="AD669" s="254"/>
      <c r="AE669" s="254"/>
      <c r="AF669" s="254"/>
      <c r="AG669" s="254"/>
      <c r="AH669" s="254"/>
      <c r="AI669" s="254"/>
      <c r="AJ669" s="254"/>
      <c r="AK669" s="254"/>
      <c r="AL669" s="254"/>
      <c r="AM669" s="254"/>
      <c r="AN669" s="254"/>
      <c r="DW669" s="258"/>
      <c r="EA669" s="259"/>
      <c r="EB669" s="259"/>
      <c r="EC669" s="259"/>
      <c r="ED669" s="259"/>
      <c r="EE669" s="259"/>
    </row>
    <row r="670" spans="1:135" x14ac:dyDescent="0.4">
      <c r="C670" s="256"/>
      <c r="D670" s="256"/>
      <c r="E670" s="256"/>
      <c r="F670" s="256"/>
      <c r="G670" s="256"/>
      <c r="H670" s="256"/>
      <c r="I670" s="256"/>
      <c r="J670" s="256"/>
      <c r="K670" s="256"/>
      <c r="L670" s="256"/>
      <c r="M670" s="256"/>
      <c r="AJ670" s="254"/>
      <c r="AK670" s="254"/>
      <c r="AL670" s="254"/>
      <c r="AM670" s="254"/>
      <c r="AN670" s="254"/>
      <c r="DW670" s="258"/>
      <c r="EA670" s="259"/>
      <c r="EB670" s="259"/>
      <c r="EC670" s="259"/>
      <c r="ED670" s="259"/>
      <c r="EE670" s="259"/>
    </row>
    <row r="671" spans="1:135" x14ac:dyDescent="0.4">
      <c r="C671" s="329"/>
      <c r="D671" s="329"/>
      <c r="E671" s="329"/>
      <c r="F671" s="329"/>
      <c r="G671" s="329"/>
      <c r="H671" s="329"/>
      <c r="I671" s="329"/>
      <c r="J671" s="329"/>
      <c r="K671" s="329"/>
      <c r="L671" s="329"/>
      <c r="M671" s="329"/>
      <c r="AJ671" s="330"/>
      <c r="AK671" s="330"/>
      <c r="AL671" s="330"/>
      <c r="DW671" s="331"/>
      <c r="EA671" s="332"/>
      <c r="EB671" s="332"/>
      <c r="EC671" s="332"/>
      <c r="ED671" s="332"/>
      <c r="EE671" s="332"/>
    </row>
    <row r="672" spans="1:135" x14ac:dyDescent="0.4">
      <c r="A672" s="333" t="s">
        <v>107</v>
      </c>
      <c r="C672" s="329"/>
      <c r="D672" s="329"/>
      <c r="E672" s="329"/>
      <c r="F672" s="329"/>
      <c r="G672" s="329"/>
      <c r="H672" s="329"/>
      <c r="I672" s="329"/>
      <c r="J672" s="329"/>
      <c r="K672" s="329"/>
      <c r="L672" s="329"/>
      <c r="M672" s="329"/>
      <c r="AJ672" s="330"/>
      <c r="AK672" s="330"/>
      <c r="AL672" s="330"/>
      <c r="DW672" s="331"/>
      <c r="EA672" s="332"/>
      <c r="EB672" s="332"/>
      <c r="EC672" s="332"/>
      <c r="ED672" s="332"/>
      <c r="EE672" s="332"/>
    </row>
    <row r="673" spans="3:135" x14ac:dyDescent="0.4">
      <c r="C673" s="329"/>
      <c r="D673" s="329"/>
      <c r="E673" s="329"/>
      <c r="F673" s="329"/>
      <c r="G673" s="329"/>
      <c r="H673" s="329"/>
      <c r="I673" s="329"/>
      <c r="J673" s="329"/>
      <c r="K673" s="329"/>
      <c r="L673" s="329"/>
      <c r="M673" s="329"/>
      <c r="AJ673" s="330"/>
      <c r="AK673" s="330"/>
      <c r="AL673" s="330"/>
      <c r="DW673" s="331"/>
      <c r="EA673" s="332"/>
      <c r="EB673" s="332"/>
      <c r="EC673" s="332"/>
      <c r="ED673" s="332"/>
      <c r="EE673" s="332"/>
    </row>
    <row r="674" spans="3:135" x14ac:dyDescent="0.4">
      <c r="C674" s="329"/>
      <c r="D674" s="329"/>
      <c r="E674" s="329"/>
      <c r="F674" s="329"/>
      <c r="G674" s="329"/>
      <c r="H674" s="329"/>
      <c r="I674" s="329"/>
      <c r="J674" s="329"/>
      <c r="K674" s="329"/>
      <c r="L674" s="329"/>
      <c r="M674" s="329"/>
      <c r="AJ674" s="330"/>
      <c r="AK674" s="330"/>
      <c r="AL674" s="330"/>
      <c r="DW674" s="331"/>
      <c r="EA674" s="332"/>
      <c r="EB674" s="332"/>
      <c r="EC674" s="332"/>
      <c r="ED674" s="332"/>
      <c r="EE674" s="332"/>
    </row>
    <row r="675" spans="3:135" x14ac:dyDescent="0.4">
      <c r="C675" s="329"/>
      <c r="D675" s="329"/>
      <c r="E675" s="329"/>
      <c r="F675" s="329"/>
      <c r="G675" s="329"/>
      <c r="H675" s="329"/>
      <c r="I675" s="329"/>
      <c r="J675" s="329"/>
      <c r="K675" s="329"/>
      <c r="L675" s="329"/>
      <c r="M675" s="329"/>
      <c r="AJ675" s="330"/>
      <c r="AK675" s="330"/>
      <c r="AL675" s="330"/>
      <c r="AM675" s="330"/>
      <c r="AN675" s="330"/>
      <c r="AO675" s="330"/>
      <c r="AP675" s="330"/>
      <c r="DW675" s="331"/>
      <c r="EA675" s="332"/>
      <c r="EB675" s="332"/>
      <c r="EC675" s="332"/>
      <c r="ED675" s="332"/>
      <c r="EE675" s="332"/>
    </row>
    <row r="676" spans="3:135" x14ac:dyDescent="0.4">
      <c r="C676" s="329"/>
      <c r="D676" s="329"/>
      <c r="E676" s="329"/>
      <c r="F676" s="329"/>
      <c r="G676" s="329"/>
      <c r="H676" s="329"/>
      <c r="I676" s="329"/>
      <c r="J676" s="329"/>
      <c r="K676" s="329"/>
      <c r="L676" s="329"/>
      <c r="M676" s="329"/>
      <c r="AJ676" s="330"/>
      <c r="AK676" s="330"/>
      <c r="AL676" s="330"/>
      <c r="AM676" s="330"/>
      <c r="AN676" s="330"/>
      <c r="AO676" s="330"/>
      <c r="AP676" s="330"/>
      <c r="DW676" s="331"/>
      <c r="EA676" s="332"/>
      <c r="EB676" s="332"/>
      <c r="EC676" s="332"/>
      <c r="ED676" s="332"/>
      <c r="EE676" s="332"/>
    </row>
    <row r="677" spans="3:135" x14ac:dyDescent="0.4">
      <c r="C677" s="329"/>
      <c r="D677" s="329"/>
      <c r="E677" s="329"/>
      <c r="F677" s="329"/>
      <c r="G677" s="329"/>
      <c r="H677" s="329"/>
      <c r="I677" s="329"/>
      <c r="J677" s="329"/>
      <c r="K677" s="329"/>
      <c r="L677" s="329"/>
      <c r="M677" s="329"/>
      <c r="AJ677" s="330"/>
      <c r="AK677" s="330"/>
      <c r="AL677" s="330"/>
      <c r="AM677" s="330"/>
      <c r="AN677" s="330"/>
      <c r="AO677" s="330"/>
      <c r="AP677" s="330"/>
      <c r="DW677" s="331"/>
      <c r="EA677" s="332"/>
      <c r="EB677" s="332"/>
      <c r="EC677" s="332"/>
      <c r="ED677" s="332"/>
      <c r="EE677" s="332"/>
    </row>
    <row r="678" spans="3:135" x14ac:dyDescent="0.4">
      <c r="C678" s="329"/>
      <c r="D678" s="329"/>
      <c r="E678" s="329"/>
      <c r="F678" s="329"/>
      <c r="G678" s="329"/>
      <c r="H678" s="329"/>
      <c r="I678" s="329"/>
      <c r="J678" s="329"/>
      <c r="K678" s="329"/>
      <c r="L678" s="329"/>
      <c r="M678" s="329"/>
      <c r="AJ678" s="330"/>
      <c r="AK678" s="330"/>
      <c r="AL678" s="330"/>
      <c r="AM678" s="330"/>
      <c r="AN678" s="330"/>
      <c r="AO678" s="330"/>
      <c r="AP678" s="330"/>
      <c r="DW678" s="331"/>
      <c r="EA678" s="332"/>
      <c r="EB678" s="332"/>
      <c r="EC678" s="332"/>
      <c r="ED678" s="332"/>
      <c r="EE678" s="332"/>
    </row>
    <row r="679" spans="3:135" x14ac:dyDescent="0.4">
      <c r="C679" s="329"/>
      <c r="D679" s="329"/>
      <c r="E679" s="329"/>
      <c r="F679" s="329"/>
      <c r="G679" s="329"/>
      <c r="H679" s="329"/>
      <c r="I679" s="329"/>
      <c r="J679" s="329"/>
      <c r="K679" s="329"/>
      <c r="L679" s="329"/>
      <c r="M679" s="329"/>
      <c r="DW679" s="331"/>
      <c r="EA679" s="332"/>
      <c r="EB679" s="332"/>
      <c r="EC679" s="332"/>
      <c r="ED679" s="332"/>
      <c r="EE679" s="332"/>
    </row>
    <row r="680" spans="3:135" x14ac:dyDescent="0.4">
      <c r="C680" s="329"/>
      <c r="D680" s="329"/>
      <c r="E680" s="329"/>
      <c r="F680" s="329"/>
      <c r="G680" s="329"/>
      <c r="H680" s="329"/>
      <c r="I680" s="329"/>
      <c r="J680" s="329"/>
      <c r="K680" s="329"/>
      <c r="L680" s="329"/>
      <c r="M680" s="329"/>
      <c r="DW680" s="331"/>
      <c r="EA680" s="332"/>
      <c r="EB680" s="332"/>
      <c r="EC680" s="332"/>
      <c r="ED680" s="332"/>
      <c r="EE680" s="332"/>
    </row>
    <row r="681" spans="3:135" x14ac:dyDescent="0.4">
      <c r="C681" s="329"/>
      <c r="D681" s="329"/>
      <c r="E681" s="329"/>
      <c r="F681" s="329"/>
      <c r="G681" s="329"/>
      <c r="H681" s="329"/>
      <c r="I681" s="329"/>
      <c r="J681" s="329"/>
      <c r="K681" s="329"/>
      <c r="L681" s="329"/>
      <c r="M681" s="329"/>
      <c r="DW681" s="331"/>
      <c r="EA681" s="332"/>
      <c r="EB681" s="332"/>
      <c r="EC681" s="332"/>
      <c r="ED681" s="332"/>
      <c r="EE681" s="332"/>
    </row>
    <row r="682" spans="3:135" x14ac:dyDescent="0.4">
      <c r="C682" s="329"/>
      <c r="D682" s="329"/>
      <c r="E682" s="329"/>
      <c r="F682" s="329"/>
      <c r="G682" s="329"/>
      <c r="H682" s="329"/>
      <c r="I682" s="329"/>
      <c r="J682" s="329"/>
      <c r="K682" s="329"/>
      <c r="L682" s="329"/>
      <c r="M682" s="329"/>
      <c r="DW682" s="331"/>
      <c r="EA682" s="332"/>
      <c r="EB682" s="332"/>
      <c r="EC682" s="332"/>
      <c r="ED682" s="332"/>
      <c r="EE682" s="332"/>
    </row>
    <row r="683" spans="3:135" x14ac:dyDescent="0.4">
      <c r="C683" s="329"/>
      <c r="D683" s="329"/>
      <c r="E683" s="329"/>
      <c r="F683" s="329"/>
      <c r="G683" s="329"/>
      <c r="H683" s="329"/>
      <c r="I683" s="329"/>
      <c r="J683" s="329"/>
      <c r="K683" s="329"/>
      <c r="L683" s="329"/>
      <c r="M683" s="329"/>
      <c r="DW683" s="331"/>
      <c r="EA683" s="332"/>
      <c r="EB683" s="332"/>
      <c r="EC683" s="332"/>
      <c r="ED683" s="332"/>
      <c r="EE683" s="332"/>
    </row>
    <row r="684" spans="3:135" x14ac:dyDescent="0.4">
      <c r="C684" s="329"/>
      <c r="D684" s="329"/>
      <c r="E684" s="329"/>
      <c r="F684" s="329"/>
      <c r="G684" s="329"/>
      <c r="H684" s="329"/>
      <c r="I684" s="329"/>
      <c r="J684" s="329"/>
      <c r="K684" s="329"/>
      <c r="L684" s="329"/>
      <c r="M684" s="329"/>
      <c r="DW684" s="331"/>
      <c r="EA684" s="332"/>
      <c r="EB684" s="332"/>
      <c r="EC684" s="332"/>
      <c r="ED684" s="332"/>
      <c r="EE684" s="332"/>
    </row>
    <row r="685" spans="3:135" x14ac:dyDescent="0.4">
      <c r="C685" s="329"/>
      <c r="D685" s="329"/>
      <c r="E685" s="329"/>
      <c r="F685" s="329"/>
      <c r="G685" s="329"/>
      <c r="H685" s="329"/>
      <c r="I685" s="329"/>
      <c r="J685" s="329"/>
      <c r="K685" s="329"/>
      <c r="L685" s="329"/>
      <c r="M685" s="329"/>
      <c r="DW685" s="331"/>
      <c r="EA685" s="332"/>
      <c r="EB685" s="332"/>
      <c r="EC685" s="332"/>
      <c r="ED685" s="332"/>
      <c r="EE685" s="332"/>
    </row>
    <row r="686" spans="3:135" x14ac:dyDescent="0.4">
      <c r="C686" s="329"/>
      <c r="D686" s="329"/>
      <c r="E686" s="329"/>
      <c r="F686" s="329"/>
      <c r="G686" s="329"/>
      <c r="H686" s="329"/>
      <c r="I686" s="329"/>
      <c r="J686" s="329"/>
      <c r="K686" s="329"/>
      <c r="L686" s="329"/>
      <c r="M686" s="329"/>
      <c r="DW686" s="331"/>
      <c r="EA686" s="332"/>
      <c r="EB686" s="332"/>
      <c r="EC686" s="332"/>
      <c r="ED686" s="332"/>
      <c r="EE686" s="332"/>
    </row>
    <row r="687" spans="3:135" x14ac:dyDescent="0.4">
      <c r="C687" s="329"/>
      <c r="D687" s="329"/>
      <c r="E687" s="329"/>
      <c r="F687" s="329"/>
      <c r="G687" s="329"/>
      <c r="H687" s="329"/>
      <c r="I687" s="329"/>
      <c r="J687" s="329"/>
      <c r="K687" s="329"/>
      <c r="L687" s="329"/>
      <c r="M687" s="329"/>
      <c r="DW687" s="331"/>
      <c r="EA687" s="332"/>
      <c r="EB687" s="332"/>
      <c r="EC687" s="332"/>
      <c r="ED687" s="332"/>
      <c r="EE687" s="332"/>
    </row>
    <row r="688" spans="3:135" x14ac:dyDescent="0.4">
      <c r="C688" s="329"/>
      <c r="D688" s="329"/>
      <c r="E688" s="329"/>
      <c r="F688" s="329"/>
      <c r="G688" s="329"/>
      <c r="H688" s="329"/>
      <c r="I688" s="329"/>
      <c r="J688" s="329"/>
      <c r="K688" s="329"/>
      <c r="L688" s="329"/>
      <c r="M688" s="329"/>
      <c r="DW688" s="331"/>
      <c r="EA688" s="332"/>
      <c r="EB688" s="332"/>
      <c r="EC688" s="332"/>
      <c r="ED688" s="332"/>
      <c r="EE688" s="332"/>
    </row>
    <row r="689" spans="3:135" x14ac:dyDescent="0.4">
      <c r="C689" s="329"/>
      <c r="D689" s="329"/>
      <c r="E689" s="329"/>
      <c r="F689" s="329"/>
      <c r="G689" s="329"/>
      <c r="H689" s="329"/>
      <c r="I689" s="329"/>
      <c r="J689" s="329"/>
      <c r="K689" s="329"/>
      <c r="L689" s="329"/>
      <c r="M689" s="329"/>
      <c r="DW689" s="331"/>
      <c r="EA689" s="332"/>
      <c r="EB689" s="332"/>
      <c r="EC689" s="332"/>
      <c r="ED689" s="332"/>
      <c r="EE689" s="332"/>
    </row>
    <row r="690" spans="3:135" x14ac:dyDescent="0.4">
      <c r="C690" s="329"/>
      <c r="D690" s="329"/>
      <c r="E690" s="329"/>
      <c r="F690" s="329"/>
      <c r="G690" s="329"/>
      <c r="H690" s="329"/>
      <c r="I690" s="329"/>
      <c r="J690" s="329"/>
      <c r="K690" s="329"/>
      <c r="L690" s="329"/>
      <c r="M690" s="329"/>
      <c r="DW690" s="331"/>
      <c r="EA690" s="332"/>
      <c r="EB690" s="332"/>
      <c r="EC690" s="332"/>
      <c r="ED690" s="332"/>
      <c r="EE690" s="332"/>
    </row>
    <row r="691" spans="3:135" x14ac:dyDescent="0.4">
      <c r="C691" s="329"/>
      <c r="D691" s="329"/>
      <c r="E691" s="329"/>
      <c r="F691" s="329"/>
      <c r="G691" s="329"/>
      <c r="H691" s="329"/>
      <c r="I691" s="329"/>
      <c r="J691" s="329"/>
      <c r="K691" s="329"/>
      <c r="L691" s="329"/>
      <c r="M691" s="329"/>
      <c r="DW691" s="331"/>
      <c r="EA691" s="332"/>
      <c r="EB691" s="332"/>
      <c r="EC691" s="332"/>
      <c r="ED691" s="332"/>
      <c r="EE691" s="332"/>
    </row>
    <row r="692" spans="3:135" x14ac:dyDescent="0.4">
      <c r="C692" s="329"/>
      <c r="D692" s="329"/>
      <c r="E692" s="329"/>
      <c r="F692" s="329"/>
      <c r="G692" s="329"/>
      <c r="H692" s="329"/>
      <c r="I692" s="329"/>
      <c r="J692" s="329"/>
      <c r="K692" s="329"/>
      <c r="L692" s="329"/>
      <c r="M692" s="329"/>
      <c r="DW692" s="331"/>
      <c r="EA692" s="332"/>
      <c r="EB692" s="332"/>
      <c r="EC692" s="332"/>
      <c r="ED692" s="332"/>
      <c r="EE692" s="332"/>
    </row>
    <row r="693" spans="3:135" x14ac:dyDescent="0.4">
      <c r="C693" s="329"/>
      <c r="D693" s="329"/>
      <c r="E693" s="329"/>
      <c r="F693" s="329"/>
      <c r="G693" s="329"/>
      <c r="H693" s="329"/>
      <c r="I693" s="329"/>
      <c r="J693" s="329"/>
      <c r="K693" s="329"/>
      <c r="L693" s="329"/>
      <c r="M693" s="329"/>
      <c r="DW693" s="331"/>
      <c r="EA693" s="332"/>
      <c r="EB693" s="332"/>
      <c r="EC693" s="332"/>
      <c r="ED693" s="332"/>
      <c r="EE693" s="332"/>
    </row>
    <row r="694" spans="3:135" x14ac:dyDescent="0.4">
      <c r="C694" s="329"/>
      <c r="D694" s="329"/>
      <c r="E694" s="329"/>
      <c r="F694" s="329"/>
      <c r="G694" s="329"/>
      <c r="H694" s="329"/>
      <c r="I694" s="329"/>
      <c r="J694" s="329"/>
      <c r="K694" s="329"/>
      <c r="L694" s="329"/>
      <c r="M694" s="329"/>
      <c r="DW694" s="331"/>
      <c r="EA694" s="332"/>
      <c r="EB694" s="332"/>
      <c r="EC694" s="332"/>
      <c r="ED694" s="332"/>
      <c r="EE694" s="332"/>
    </row>
    <row r="695" spans="3:135" x14ac:dyDescent="0.4">
      <c r="C695" s="329"/>
      <c r="D695" s="329"/>
      <c r="E695" s="329"/>
      <c r="F695" s="329"/>
      <c r="G695" s="329"/>
      <c r="H695" s="329"/>
      <c r="I695" s="329"/>
      <c r="J695" s="329"/>
      <c r="K695" s="329"/>
      <c r="L695" s="329"/>
      <c r="M695" s="329"/>
      <c r="DW695" s="331"/>
      <c r="EA695" s="332"/>
      <c r="EB695" s="332"/>
      <c r="EC695" s="332"/>
      <c r="ED695" s="332"/>
      <c r="EE695" s="332"/>
    </row>
    <row r="696" spans="3:135" x14ac:dyDescent="0.4">
      <c r="C696" s="329"/>
      <c r="D696" s="329"/>
      <c r="E696" s="329"/>
      <c r="F696" s="329"/>
      <c r="G696" s="329"/>
      <c r="H696" s="329"/>
      <c r="I696" s="329"/>
      <c r="J696" s="329"/>
      <c r="K696" s="329"/>
      <c r="L696" s="329"/>
      <c r="M696" s="329"/>
      <c r="DW696" s="331"/>
      <c r="EA696" s="332"/>
      <c r="EB696" s="332"/>
      <c r="EC696" s="332"/>
      <c r="ED696" s="332"/>
      <c r="EE696" s="332"/>
    </row>
    <row r="697" spans="3:135" x14ac:dyDescent="0.4">
      <c r="C697" s="329"/>
      <c r="D697" s="329"/>
      <c r="E697" s="329"/>
      <c r="F697" s="329"/>
      <c r="G697" s="329"/>
      <c r="H697" s="329"/>
      <c r="I697" s="329"/>
      <c r="J697" s="329"/>
      <c r="K697" s="329"/>
      <c r="L697" s="329"/>
      <c r="M697" s="329"/>
      <c r="DW697" s="331"/>
      <c r="EA697" s="332"/>
      <c r="EB697" s="332"/>
      <c r="EC697" s="332"/>
      <c r="ED697" s="332"/>
      <c r="EE697" s="332"/>
    </row>
    <row r="698" spans="3:135" x14ac:dyDescent="0.4">
      <c r="C698" s="329"/>
      <c r="D698" s="329"/>
      <c r="E698" s="329"/>
      <c r="F698" s="329"/>
      <c r="G698" s="329"/>
      <c r="H698" s="329"/>
      <c r="I698" s="329"/>
      <c r="J698" s="329"/>
      <c r="K698" s="329"/>
      <c r="L698" s="329"/>
      <c r="M698" s="329"/>
      <c r="DW698" s="331"/>
      <c r="EA698" s="332"/>
      <c r="EB698" s="332"/>
      <c r="EC698" s="332"/>
      <c r="ED698" s="332"/>
      <c r="EE698" s="332"/>
    </row>
    <row r="699" spans="3:135" x14ac:dyDescent="0.4">
      <c r="C699" s="329"/>
      <c r="D699" s="329"/>
      <c r="E699" s="329"/>
      <c r="F699" s="329"/>
      <c r="G699" s="329"/>
      <c r="H699" s="329"/>
      <c r="I699" s="329"/>
      <c r="J699" s="329"/>
      <c r="K699" s="329"/>
      <c r="L699" s="329"/>
      <c r="M699" s="329"/>
      <c r="DW699" s="331"/>
      <c r="EA699" s="332"/>
      <c r="EB699" s="332"/>
      <c r="EC699" s="332"/>
      <c r="ED699" s="332"/>
      <c r="EE699" s="332"/>
    </row>
    <row r="700" spans="3:135" x14ac:dyDescent="0.4">
      <c r="C700" s="329"/>
      <c r="D700" s="329"/>
      <c r="E700" s="329"/>
      <c r="F700" s="329"/>
      <c r="G700" s="329"/>
      <c r="H700" s="329"/>
      <c r="I700" s="329"/>
      <c r="J700" s="329"/>
      <c r="K700" s="329"/>
      <c r="L700" s="329"/>
      <c r="M700" s="329"/>
      <c r="DW700" s="331"/>
      <c r="EA700" s="332"/>
      <c r="EB700" s="332"/>
      <c r="EC700" s="332"/>
      <c r="ED700" s="332"/>
      <c r="EE700" s="332"/>
    </row>
    <row r="701" spans="3:135" x14ac:dyDescent="0.4">
      <c r="C701" s="329"/>
      <c r="D701" s="329"/>
      <c r="E701" s="329"/>
      <c r="F701" s="329"/>
      <c r="G701" s="329"/>
      <c r="H701" s="329"/>
      <c r="I701" s="329"/>
      <c r="J701" s="329"/>
      <c r="K701" s="329"/>
      <c r="L701" s="329"/>
      <c r="M701" s="329"/>
      <c r="DW701" s="331"/>
      <c r="EA701" s="332"/>
      <c r="EB701" s="332"/>
      <c r="EC701" s="332"/>
      <c r="ED701" s="332"/>
      <c r="EE701" s="332"/>
    </row>
    <row r="702" spans="3:135" x14ac:dyDescent="0.4">
      <c r="C702" s="329"/>
      <c r="D702" s="329"/>
      <c r="E702" s="329"/>
      <c r="F702" s="329"/>
      <c r="G702" s="329"/>
      <c r="H702" s="329"/>
      <c r="I702" s="329"/>
      <c r="J702" s="329"/>
      <c r="K702" s="329"/>
      <c r="L702" s="329"/>
      <c r="M702" s="329"/>
      <c r="DW702" s="331"/>
      <c r="EA702" s="332"/>
      <c r="EB702" s="332"/>
      <c r="EC702" s="332"/>
      <c r="ED702" s="332"/>
      <c r="EE702" s="332"/>
    </row>
    <row r="703" spans="3:135" x14ac:dyDescent="0.4">
      <c r="C703" s="329"/>
      <c r="D703" s="329"/>
      <c r="E703" s="329"/>
      <c r="F703" s="329"/>
      <c r="G703" s="329"/>
      <c r="H703" s="329"/>
      <c r="I703" s="329"/>
      <c r="J703" s="329"/>
      <c r="K703" s="329"/>
      <c r="L703" s="329"/>
      <c r="M703" s="329"/>
      <c r="DW703" s="331"/>
      <c r="EA703" s="332"/>
      <c r="EB703" s="332"/>
      <c r="EC703" s="332"/>
      <c r="ED703" s="332"/>
      <c r="EE703" s="332"/>
    </row>
    <row r="704" spans="3:135" x14ac:dyDescent="0.4">
      <c r="C704" s="329"/>
      <c r="D704" s="329"/>
      <c r="E704" s="329"/>
      <c r="F704" s="329"/>
      <c r="G704" s="329"/>
      <c r="H704" s="329"/>
      <c r="I704" s="329"/>
      <c r="J704" s="329"/>
      <c r="K704" s="329"/>
      <c r="L704" s="329"/>
      <c r="M704" s="329"/>
      <c r="DW704" s="331"/>
      <c r="EA704" s="332"/>
      <c r="EB704" s="332"/>
      <c r="EC704" s="332"/>
      <c r="ED704" s="332"/>
      <c r="EE704" s="332"/>
    </row>
    <row r="705" spans="3:135" x14ac:dyDescent="0.4">
      <c r="C705" s="329"/>
      <c r="D705" s="329"/>
      <c r="E705" s="329"/>
      <c r="F705" s="329"/>
      <c r="G705" s="329"/>
      <c r="H705" s="329"/>
      <c r="I705" s="329"/>
      <c r="J705" s="329"/>
      <c r="K705" s="329"/>
      <c r="L705" s="329"/>
      <c r="M705" s="329"/>
      <c r="DW705" s="331"/>
      <c r="EA705" s="332"/>
      <c r="EB705" s="332"/>
      <c r="EC705" s="332"/>
      <c r="ED705" s="332"/>
      <c r="EE705" s="332"/>
    </row>
    <row r="706" spans="3:135" x14ac:dyDescent="0.4">
      <c r="C706" s="329"/>
      <c r="D706" s="329"/>
      <c r="E706" s="329"/>
      <c r="F706" s="329"/>
      <c r="G706" s="329"/>
      <c r="H706" s="329"/>
      <c r="I706" s="329"/>
      <c r="J706" s="329"/>
      <c r="K706" s="329"/>
      <c r="L706" s="329"/>
      <c r="M706" s="329"/>
      <c r="DW706" s="331"/>
      <c r="EA706" s="332"/>
      <c r="EB706" s="332"/>
      <c r="EC706" s="332"/>
      <c r="ED706" s="332"/>
      <c r="EE706" s="332"/>
    </row>
    <row r="707" spans="3:135" x14ac:dyDescent="0.4">
      <c r="C707" s="256"/>
      <c r="D707" s="256"/>
      <c r="E707" s="256"/>
      <c r="F707" s="256"/>
      <c r="G707" s="256"/>
      <c r="H707" s="256"/>
      <c r="I707" s="256"/>
      <c r="J707" s="256"/>
      <c r="K707" s="256"/>
      <c r="L707" s="256"/>
      <c r="M707" s="256"/>
      <c r="AJ707" s="254"/>
      <c r="AK707" s="254"/>
      <c r="AL707" s="254"/>
      <c r="AM707" s="254"/>
      <c r="AN707" s="254"/>
      <c r="DW707" s="258"/>
      <c r="EA707" s="259"/>
      <c r="EB707" s="259"/>
      <c r="EC707" s="259"/>
      <c r="ED707" s="259"/>
      <c r="EE707" s="259"/>
    </row>
  </sheetData>
  <mergeCells count="6">
    <mergeCell ref="AA357:AC357"/>
    <mergeCell ref="AA44:AC44"/>
    <mergeCell ref="AA104:AC104"/>
    <mergeCell ref="AA168:AC168"/>
    <mergeCell ref="AA231:AC231"/>
    <mergeCell ref="AA294:AC294"/>
  </mergeCell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172"/>
    <cellWatch r="BB172"/>
    <cellWatch r="AZ173"/>
    <cellWatch r="AZ174"/>
    <cellWatch r="AZ175"/>
    <cellWatch r="AZ176"/>
    <cellWatch r="AZ242"/>
    <cellWatch r="AZ243"/>
    <cellWatch r="AZ244"/>
    <cellWatch r="AZ245"/>
    <cellWatch r="AZ246"/>
    <cellWatch r="AZ177"/>
    <cellWatch r="AZ178"/>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Y183"/>
    <cellWatch r="AY184"/>
    <cellWatch r="AY185"/>
    <cellWatch r="AY186"/>
    <cellWatch r="AY187"/>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Y148"/>
    <cellWatch r="AY149"/>
    <cellWatch r="AY150"/>
    <cellWatch r="AY151"/>
    <cellWatch r="AY152"/>
    <cellWatch r="AZ247"/>
    <cellWatch r="AZ179"/>
    <cellWatch r="AZ180"/>
    <cellWatch r="AZ181"/>
    <cellWatch r="AZ182"/>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BA172"/>
    <cellWatch r="AZ322"/>
    <cellWatch r="BB173"/>
    <cellWatch r="AY188"/>
    <cellWatch r="AY145"/>
    <cellWatch r="AY146"/>
    <cellWatch r="AY147"/>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AY139"/>
    <cellWatch r="AY140"/>
    <cellWatch r="AY141"/>
    <cellWatch r="AY142"/>
    <cellWatch r="AY143"/>
    <cellWatch r="AY144"/>
    <cellWatch r="AY135"/>
    <cellWatch r="AY136"/>
    <cellWatch r="AY137"/>
    <cellWatch r="AY138"/>
    <cellWatch r="AZ323"/>
    <cellWatch r="BB174"/>
    <cellWatch r="BB175"/>
    <cellWatch r="AZ324"/>
    <cellWatch r="AZ325"/>
    <cellWatch r="AY189"/>
    <cellWatch r="AY190"/>
    <cellWatch r="AY191"/>
    <cellWatch r="AZ183"/>
    <cellWatch r="AZ184"/>
    <cellWatch r="AZ185"/>
    <cellWatch r="AZ186"/>
    <cellWatch r="AZ187"/>
    <cellWatch r="AZ188"/>
    <cellWatch r="AZ189"/>
    <cellWatch r="AZ190"/>
    <cellWatch r="AZ191"/>
    <cellWatch r="AZ192"/>
    <cellWatch r="AZ193"/>
    <cellWatch r="AZ194"/>
    <cellWatch r="AZ195"/>
    <cellWatch r="AZ196"/>
    <cellWatch r="AZ197"/>
    <cellWatch r="AZ198"/>
    <cellWatch r="AZ199"/>
    <cellWatch r="AZ200"/>
    <cellWatch r="AZ201"/>
    <cellWatch r="AZ202"/>
    <cellWatch r="AZ248"/>
    <cellWatch r="AZ249"/>
    <cellWatch r="AZ250"/>
    <cellWatch r="AZ253"/>
    <cellWatch r="AZ254"/>
    <cellWatch r="AZ255"/>
    <cellWatch r="AZ256"/>
    <cellWatch r="AZ257"/>
    <cellWatch r="AZ258"/>
    <cellWatch r="AZ259"/>
    <cellWatch r="AZ260"/>
    <cellWatch r="AZ261"/>
    <cellWatch r="AZ262"/>
    <cellWatch r="AZ263"/>
    <cellWatch r="AZ264"/>
    <cellWatch r="AZ265"/>
    <cellWatch r="AZ268"/>
    <cellWatch r="AZ269"/>
    <cellWatch r="AZ270"/>
    <cellWatch r="AZ271"/>
    <cellWatch r="AZ272"/>
    <cellWatch r="AZ273"/>
    <cellWatch r="AZ274"/>
    <cellWatch r="AZ275"/>
    <cellWatch r="AZ276"/>
    <cellWatch r="AZ277"/>
    <cellWatch r="AU144"/>
    <cellWatch r="AU145"/>
    <cellWatch r="AU146"/>
    <cellWatch r="AU147"/>
    <cellWatch r="AU148"/>
    <cellWatch r="AU149"/>
    <cellWatch r="AU150"/>
    <cellWatch r="AU151"/>
    <cellWatch r="AU152"/>
    <cellWatch r="AU153"/>
    <cellWatch r="AU154"/>
    <cellWatch r="AU155"/>
    <cellWatch r="AU156"/>
    <cellWatch r="AU157"/>
    <cellWatch r="AU158"/>
    <cellWatch r="AU159"/>
    <cellWatch r="AU160"/>
    <cellWatch r="AU161"/>
    <cellWatch r="AU162"/>
    <cellWatch r="AU163"/>
    <cellWatch r="AU164"/>
    <cellWatch r="AU165"/>
    <cellWatch r="AU166"/>
    <cellWatch r="AU167"/>
    <cellWatch r="AU168"/>
    <cellWatch r="AU169"/>
    <cellWatch r="AU170"/>
    <cellWatch r="AU171"/>
    <cellWatch r="AU172"/>
    <cellWatch r="AU173"/>
    <cellWatch r="AU174"/>
    <cellWatch r="AU175"/>
    <cellWatch r="AU176"/>
    <cellWatch r="AU177"/>
    <cellWatch r="AU178"/>
    <cellWatch r="AU224"/>
    <cellWatch r="AU225"/>
    <cellWatch r="AU226"/>
    <cellWatch r="AU227"/>
    <cellWatch r="AU228"/>
    <cellWatch r="AU229"/>
    <cellWatch r="AU230"/>
    <cellWatch r="AU231"/>
    <cellWatch r="AU232"/>
    <cellWatch r="AU233"/>
    <cellWatch r="AU234"/>
    <cellWatch r="AU235"/>
    <cellWatch r="AU236"/>
    <cellWatch r="AU237"/>
    <cellWatch r="AU238"/>
    <cellWatch r="AU239"/>
    <cellWatch r="AU240"/>
    <cellWatch r="AU241"/>
    <cellWatch r="AU242"/>
    <cellWatch r="AU243"/>
    <cellWatch r="AU244"/>
    <cellWatch r="AU245"/>
    <cellWatch r="AU246"/>
    <cellWatch r="AU247"/>
    <cellWatch r="AU248"/>
    <cellWatch r="AU249"/>
    <cellWatch r="AU250"/>
    <cellWatch r="AU251"/>
    <cellWatch r="AU252"/>
    <cellWatch r="AU253"/>
    <cellWatch r="AU179"/>
    <cellWatch r="AU180"/>
    <cellWatch r="AU181"/>
    <cellWatch r="AU182"/>
    <cellWatch r="AU183"/>
    <cellWatch r="AU219"/>
    <cellWatch r="AU220"/>
    <cellWatch r="AU221"/>
    <cellWatch r="AU222"/>
    <cellWatch r="AU223"/>
    <cellWatch r="AV144"/>
    <cellWatch r="AV145"/>
    <cellWatch r="AV146"/>
    <cellWatch r="AV147"/>
    <cellWatch r="AV148"/>
    <cellWatch r="AV149"/>
    <cellWatch r="AV150"/>
    <cellWatch r="AV151"/>
    <cellWatch r="AV152"/>
    <cellWatch r="AV153"/>
    <cellWatch r="AV154"/>
    <cellWatch r="AV155"/>
    <cellWatch r="AV156"/>
    <cellWatch r="AV157"/>
    <cellWatch r="AV158"/>
    <cellWatch r="AV159"/>
    <cellWatch r="AV160"/>
    <cellWatch r="AV161"/>
    <cellWatch r="AV162"/>
    <cellWatch r="AV163"/>
    <cellWatch r="AV164"/>
    <cellWatch r="AV165"/>
    <cellWatch r="AV166"/>
    <cellWatch r="AV167"/>
    <cellWatch r="AV168"/>
    <cellWatch r="AV169"/>
    <cellWatch r="AV170"/>
    <cellWatch r="AV171"/>
    <cellWatch r="AV172"/>
    <cellWatch r="AV173"/>
    <cellWatch r="AV174"/>
    <cellWatch r="AV175"/>
    <cellWatch r="AV176"/>
    <cellWatch r="AV177"/>
    <cellWatch r="AV178"/>
    <cellWatch r="AT155"/>
    <cellWatch r="AT156"/>
    <cellWatch r="AT157"/>
    <cellWatch r="AT158"/>
    <cellWatch r="AT159"/>
    <cellWatch r="AT160"/>
    <cellWatch r="AT161"/>
    <cellWatch r="AT162"/>
    <cellWatch r="AT163"/>
    <cellWatch r="AT164"/>
    <cellWatch r="AT165"/>
    <cellWatch r="AT166"/>
    <cellWatch r="AT167"/>
    <cellWatch r="AT168"/>
    <cellWatch r="AT169"/>
    <cellWatch r="AT170"/>
    <cellWatch r="AT171"/>
    <cellWatch r="AT172"/>
    <cellWatch r="AT173"/>
    <cellWatch r="AT174"/>
    <cellWatch r="AT175"/>
    <cellWatch r="AT176"/>
    <cellWatch r="AT177"/>
    <cellWatch r="AT178"/>
    <cellWatch r="AT179"/>
    <cellWatch r="AT180"/>
    <cellWatch r="AT181"/>
    <cellWatch r="AT182"/>
    <cellWatch r="AT183"/>
    <cellWatch r="AT184"/>
    <cellWatch r="AT185"/>
    <cellWatch r="AT186"/>
    <cellWatch r="AT187"/>
    <cellWatch r="AT188"/>
    <cellWatch r="AT189"/>
    <cellWatch r="AU303"/>
    <cellWatch r="AU304"/>
    <cellWatch r="AU305"/>
    <cellWatch r="AU306"/>
    <cellWatch r="AU307"/>
    <cellWatch r="AU308"/>
    <cellWatch r="AU309"/>
    <cellWatch r="AU310"/>
    <cellWatch r="AU311"/>
    <cellWatch r="AU312"/>
    <cellWatch r="AU313"/>
    <cellWatch r="AU314"/>
    <cellWatch r="AU315"/>
    <cellWatch r="AU316"/>
    <cellWatch r="AU317"/>
    <cellWatch r="AU318"/>
    <cellWatch r="AU319"/>
    <cellWatch r="AU320"/>
    <cellWatch r="AU321"/>
    <cellWatch r="AU322"/>
    <cellWatch r="AU323"/>
    <cellWatch r="AU324"/>
    <cellWatch r="AU325"/>
    <cellWatch r="AU326"/>
    <cellWatch r="AU327"/>
    <cellWatch r="AU328"/>
    <cellWatch r="AW144"/>
    <cellWatch r="AW145"/>
    <cellWatch r="AW147"/>
    <cellWatch r="AW148"/>
    <cellWatch r="AW149"/>
    <cellWatch r="AW150"/>
    <cellWatch r="AW151"/>
    <cellWatch r="AW152"/>
    <cellWatch r="AW153"/>
    <cellWatch r="AW154"/>
    <cellWatch r="AW155"/>
    <cellWatch r="AW156"/>
    <cellWatch r="AW157"/>
    <cellWatch r="AW158"/>
    <cellWatch r="AW159"/>
    <cellWatch r="AW160"/>
    <cellWatch r="AW161"/>
    <cellWatch r="AW162"/>
    <cellWatch r="AW163"/>
    <cellWatch r="AW164"/>
    <cellWatch r="AW165"/>
    <cellWatch r="AW166"/>
    <cellWatch r="AW167"/>
    <cellWatch r="AW168"/>
    <cellWatch r="AW169"/>
    <cellWatch r="AW170"/>
    <cellWatch r="AW171"/>
    <cellWatch r="AW172"/>
    <cellWatch r="AW173"/>
    <cellWatch r="AW174"/>
    <cellWatch r="AW175"/>
    <cellWatch r="AW176"/>
    <cellWatch r="AW177"/>
    <cellWatch r="AW178"/>
    <cellWatch r="AW179"/>
    <cellWatch r="AU184"/>
    <cellWatch r="AU185"/>
    <cellWatch r="AT190"/>
    <cellWatch r="AT191"/>
    <cellWatch r="AT192"/>
    <cellWatch r="AT193"/>
    <cellWatch r="AT194"/>
    <cellWatch r="AU142"/>
    <cellWatch r="AU143"/>
    <cellWatch r="AT151"/>
    <cellWatch r="AT152"/>
    <cellWatch r="AT153"/>
    <cellWatch r="AT154"/>
    <cellWatch r="AU140"/>
    <cellWatch r="AU141"/>
    <cellWatch r="AU215"/>
    <cellWatch r="AU216"/>
    <cellWatch r="AU217"/>
    <cellWatch r="AU218"/>
    <cellWatch r="AV140"/>
    <cellWatch r="AV141"/>
    <cellWatch r="AV142"/>
    <cellWatch r="AV143"/>
    <cellWatch r="AT142"/>
    <cellWatch r="AT143"/>
    <cellWatch r="AT144"/>
    <cellWatch r="AT145"/>
    <cellWatch r="AT146"/>
    <cellWatch r="AT147"/>
    <cellWatch r="AT148"/>
    <cellWatch r="AT149"/>
    <cellWatch r="AT150"/>
    <cellWatch r="AU299"/>
    <cellWatch r="AU300"/>
    <cellWatch r="AU301"/>
    <cellWatch r="AU302"/>
    <cellWatch r="AW140"/>
    <cellWatch r="AW141"/>
    <cellWatch r="AW142"/>
    <cellWatch r="AW143"/>
    <cellWatch r="AW146"/>
    <cellWatch r="AT138"/>
    <cellWatch r="AT139"/>
    <cellWatch r="AT140"/>
    <cellWatch r="AT141"/>
  </cellWatch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CD219"/>
  <sheetViews>
    <sheetView topLeftCell="A13" zoomScale="60" zoomScaleNormal="60" workbookViewId="0">
      <selection activeCell="Y65" sqref="Y65"/>
    </sheetView>
  </sheetViews>
  <sheetFormatPr defaultColWidth="10.6640625" defaultRowHeight="12.3" x14ac:dyDescent="0.4"/>
  <cols>
    <col min="4" max="5" width="11.1640625" bestFit="1" customWidth="1"/>
    <col min="6" max="6" width="12.33203125" bestFit="1" customWidth="1"/>
    <col min="7" max="8" width="11.1640625" bestFit="1" customWidth="1"/>
    <col min="20" max="20" width="11.5" customWidth="1"/>
  </cols>
  <sheetData>
    <row r="2" spans="1:82" x14ac:dyDescent="0.4">
      <c r="N2" s="609"/>
      <c r="O2" s="609"/>
      <c r="P2" s="609"/>
      <c r="Q2" s="609"/>
      <c r="R2" s="609"/>
      <c r="S2" s="609"/>
      <c r="T2" s="609"/>
      <c r="U2" s="609"/>
      <c r="V2" s="609"/>
      <c r="W2" s="609"/>
      <c r="X2" s="609"/>
    </row>
    <row r="3" spans="1:82" ht="200.05" customHeight="1" x14ac:dyDescent="0.75">
      <c r="A3" s="336" t="s">
        <v>121</v>
      </c>
      <c r="C3" s="1276" t="s">
        <v>457</v>
      </c>
      <c r="D3" s="1276"/>
      <c r="E3" s="1276"/>
      <c r="F3" s="1276"/>
      <c r="G3" s="1276"/>
      <c r="H3" s="1276"/>
      <c r="I3" s="1276"/>
      <c r="J3" s="1276"/>
      <c r="K3" s="1276"/>
      <c r="L3" s="1276"/>
      <c r="N3" s="1276" t="s">
        <v>458</v>
      </c>
      <c r="O3" s="1276"/>
      <c r="P3" s="1276"/>
      <c r="Q3" s="1276"/>
      <c r="R3" s="1276"/>
      <c r="S3" s="1276"/>
      <c r="T3" s="1276"/>
      <c r="U3" s="1276"/>
      <c r="V3" s="1276"/>
      <c r="W3" s="1276"/>
      <c r="X3" s="1276"/>
      <c r="AA3" s="1276" t="s">
        <v>459</v>
      </c>
      <c r="AB3" s="1276"/>
      <c r="AC3" s="1276"/>
      <c r="AD3" s="1276"/>
      <c r="AE3" s="1276"/>
      <c r="AF3" s="1276"/>
      <c r="AG3" s="1276"/>
      <c r="AH3" s="1276"/>
      <c r="AI3" s="1276"/>
      <c r="AJ3" s="1276"/>
      <c r="AK3" s="1276"/>
      <c r="AM3" s="1276" t="s">
        <v>460</v>
      </c>
      <c r="AN3" s="1276"/>
      <c r="AO3" s="1276"/>
      <c r="AP3" s="1276"/>
      <c r="AQ3" s="1276"/>
      <c r="AR3" s="1276"/>
      <c r="AS3" s="1276"/>
      <c r="AT3" s="1276"/>
      <c r="AU3" s="1276"/>
      <c r="AV3" s="1276"/>
      <c r="AW3" s="1276"/>
      <c r="AY3" s="1275" t="s">
        <v>1067</v>
      </c>
      <c r="AZ3" s="1276"/>
      <c r="BA3" s="1276"/>
      <c r="BB3" s="1276"/>
      <c r="BC3" s="609"/>
      <c r="BD3" s="1275" t="s">
        <v>465</v>
      </c>
      <c r="BE3" s="1276"/>
      <c r="BF3" s="1276"/>
      <c r="BG3" s="1276"/>
      <c r="BH3" s="609"/>
      <c r="BI3" s="609"/>
    </row>
    <row r="4" spans="1:82" x14ac:dyDescent="0.4">
      <c r="P4" s="1282" t="s">
        <v>1052</v>
      </c>
      <c r="Q4" s="1282"/>
      <c r="R4" s="1282"/>
      <c r="S4" s="1282"/>
      <c r="T4" s="1282"/>
      <c r="U4" s="1282"/>
      <c r="V4" s="1282"/>
      <c r="W4" s="1282"/>
      <c r="X4" s="1282"/>
      <c r="AY4" s="1" t="s">
        <v>145</v>
      </c>
      <c r="BB4" s="609"/>
      <c r="BC4" s="609"/>
      <c r="BH4" s="609"/>
      <c r="BI4" s="609"/>
    </row>
    <row r="5" spans="1:82" x14ac:dyDescent="0.4">
      <c r="B5" s="1" t="s">
        <v>117</v>
      </c>
      <c r="N5" s="1" t="s">
        <v>120</v>
      </c>
      <c r="P5" s="1246">
        <v>0.3923628847237593</v>
      </c>
      <c r="Q5" s="1246">
        <v>2.8208158898636228E-2</v>
      </c>
      <c r="R5" s="1246">
        <v>0.16053697893771696</v>
      </c>
      <c r="S5" s="1246">
        <v>0.28956111294522879</v>
      </c>
      <c r="T5" s="1246">
        <v>0.12904008783177426</v>
      </c>
      <c r="U5" s="1246">
        <v>0.13109840341779183</v>
      </c>
      <c r="V5" s="1246">
        <v>0.1618518300474058</v>
      </c>
      <c r="W5" s="1246">
        <v>0.12005863532819515</v>
      </c>
      <c r="X5" s="1246">
        <v>7.8882908327004189E-2</v>
      </c>
      <c r="AA5" s="1" t="s">
        <v>124</v>
      </c>
      <c r="AC5" s="1165">
        <v>0.29521194923138244</v>
      </c>
      <c r="AD5" s="1165">
        <v>4.7083317113059776E-2</v>
      </c>
      <c r="AE5" s="1165">
        <v>0.14491616365292201</v>
      </c>
      <c r="AF5" s="1165">
        <v>0.39560111045185731</v>
      </c>
      <c r="AG5" s="1165">
        <v>0.11718745955077833</v>
      </c>
      <c r="AM5" s="1" t="s">
        <v>122</v>
      </c>
      <c r="AY5" s="1" t="s">
        <v>123</v>
      </c>
      <c r="BA5" t="s">
        <v>462</v>
      </c>
      <c r="BB5" s="609"/>
      <c r="BC5" s="609"/>
      <c r="BH5" s="609"/>
      <c r="BI5" s="609"/>
    </row>
    <row r="6" spans="1:82" ht="15" x14ac:dyDescent="0.5">
      <c r="B6" s="2" t="s">
        <v>114</v>
      </c>
      <c r="C6" s="334" t="s">
        <v>115</v>
      </c>
      <c r="D6" s="2" t="s">
        <v>36</v>
      </c>
      <c r="E6" s="2" t="s">
        <v>44</v>
      </c>
      <c r="F6" s="2" t="s">
        <v>46</v>
      </c>
      <c r="G6" s="2" t="s">
        <v>49</v>
      </c>
      <c r="H6" s="2" t="s">
        <v>52</v>
      </c>
      <c r="I6" s="2" t="s">
        <v>55</v>
      </c>
      <c r="J6" s="2" t="s">
        <v>58</v>
      </c>
      <c r="K6" s="2" t="s">
        <v>60</v>
      </c>
      <c r="L6" s="2" t="s">
        <v>61</v>
      </c>
      <c r="N6" s="2" t="s">
        <v>114</v>
      </c>
      <c r="O6" s="334" t="s">
        <v>115</v>
      </c>
      <c r="P6" s="2" t="s">
        <v>36</v>
      </c>
      <c r="Q6" s="2" t="s">
        <v>44</v>
      </c>
      <c r="R6" s="2" t="s">
        <v>46</v>
      </c>
      <c r="S6" s="2" t="s">
        <v>49</v>
      </c>
      <c r="T6" s="2" t="s">
        <v>52</v>
      </c>
      <c r="U6" s="2" t="s">
        <v>55</v>
      </c>
      <c r="V6" s="2" t="s">
        <v>58</v>
      </c>
      <c r="W6" s="2" t="s">
        <v>60</v>
      </c>
      <c r="X6" s="2" t="s">
        <v>61</v>
      </c>
      <c r="AA6" s="2" t="s">
        <v>114</v>
      </c>
      <c r="AB6" s="334" t="s">
        <v>115</v>
      </c>
      <c r="AC6" s="2" t="s">
        <v>36</v>
      </c>
      <c r="AD6" s="2" t="s">
        <v>44</v>
      </c>
      <c r="AE6" s="2" t="s">
        <v>46</v>
      </c>
      <c r="AF6" s="2" t="s">
        <v>49</v>
      </c>
      <c r="AG6" s="2" t="s">
        <v>52</v>
      </c>
      <c r="AH6" s="2" t="s">
        <v>55</v>
      </c>
      <c r="AI6" s="2" t="s">
        <v>58</v>
      </c>
      <c r="AJ6" s="2" t="s">
        <v>60</v>
      </c>
      <c r="AK6" s="2" t="s">
        <v>61</v>
      </c>
      <c r="AM6" s="2" t="s">
        <v>114</v>
      </c>
      <c r="AN6" s="334" t="s">
        <v>115</v>
      </c>
      <c r="AO6" s="2" t="s">
        <v>36</v>
      </c>
      <c r="AP6" s="2" t="s">
        <v>44</v>
      </c>
      <c r="AQ6" s="2" t="s">
        <v>46</v>
      </c>
      <c r="AR6" s="2" t="s">
        <v>49</v>
      </c>
      <c r="AS6" s="2" t="s">
        <v>52</v>
      </c>
      <c r="AT6" s="2" t="s">
        <v>55</v>
      </c>
      <c r="AU6" s="2" t="s">
        <v>58</v>
      </c>
      <c r="AV6" s="2" t="s">
        <v>60</v>
      </c>
      <c r="AW6" s="2" t="s">
        <v>61</v>
      </c>
      <c r="AY6" s="2" t="s">
        <v>114</v>
      </c>
      <c r="AZ6" s="334" t="s">
        <v>115</v>
      </c>
      <c r="BA6" s="625" t="s">
        <v>461</v>
      </c>
      <c r="BB6" s="730" t="s">
        <v>1066</v>
      </c>
      <c r="BC6" s="609"/>
      <c r="BD6" s="2" t="s">
        <v>114</v>
      </c>
      <c r="BE6" s="334" t="s">
        <v>156</v>
      </c>
      <c r="BF6" s="334" t="s">
        <v>157</v>
      </c>
      <c r="BG6" s="334" t="s">
        <v>158</v>
      </c>
      <c r="BH6" s="609"/>
      <c r="BI6" s="609"/>
    </row>
    <row r="7" spans="1:82" ht="14.4" x14ac:dyDescent="0.55000000000000004">
      <c r="B7" s="3">
        <v>2014</v>
      </c>
      <c r="C7" s="707">
        <v>1773.3333333333333</v>
      </c>
      <c r="D7" s="965"/>
      <c r="E7" s="965"/>
      <c r="F7" s="965"/>
      <c r="G7" s="965"/>
      <c r="H7" s="965"/>
      <c r="I7" s="965"/>
      <c r="J7" s="965"/>
      <c r="K7" s="965"/>
      <c r="L7" s="965"/>
      <c r="M7" s="968"/>
      <c r="N7" s="3">
        <v>2014</v>
      </c>
      <c r="O7" s="707">
        <f>C7*Compost!J6/100</f>
        <v>804.14197831832109</v>
      </c>
      <c r="P7" s="1116"/>
      <c r="Q7" s="1116"/>
      <c r="R7" s="1116"/>
      <c r="S7" s="1116"/>
      <c r="T7" s="1116"/>
      <c r="U7" s="1116"/>
      <c r="V7" s="1116"/>
      <c r="W7" s="1116"/>
      <c r="X7" s="1116"/>
      <c r="AA7" s="3">
        <v>2014</v>
      </c>
      <c r="AB7" s="707">
        <f>C7*'H&amp;C Recycling'!M4/100</f>
        <v>627.40533333333326</v>
      </c>
      <c r="AC7" s="1129">
        <f t="shared" ref="AC7:AC53" si="0">AB7*$AC$5</f>
        <v>185.21755141149856</v>
      </c>
      <c r="AD7" s="1129">
        <f t="shared" ref="AD7:AD53" si="1">AB7*$AD$5</f>
        <v>29.540324267758304</v>
      </c>
      <c r="AE7" s="1129">
        <f t="shared" ref="AE7:AE53" si="2">AB7*$AE$5</f>
        <v>90.921173962049409</v>
      </c>
      <c r="AF7" s="1129">
        <f t="shared" ref="AF7:AF53" si="3">AB7*$AF$5</f>
        <v>248.20224657008433</v>
      </c>
      <c r="AG7" s="1129">
        <f t="shared" ref="AG7:AG53" si="4">AB7*$AG$5</f>
        <v>73.524037121942584</v>
      </c>
      <c r="AH7" s="2"/>
      <c r="AI7" s="2"/>
      <c r="AJ7" s="2"/>
      <c r="AK7" s="2"/>
      <c r="AM7" s="3">
        <v>2014</v>
      </c>
      <c r="AN7" s="707">
        <f>C7-O7-AB7</f>
        <v>341.7860216816789</v>
      </c>
      <c r="AO7" s="528"/>
      <c r="AP7" s="528"/>
      <c r="AQ7" s="528"/>
      <c r="AR7" s="528"/>
      <c r="AS7" s="528"/>
      <c r="AT7" s="528"/>
      <c r="AU7" s="528"/>
      <c r="AV7" s="528"/>
      <c r="AW7" s="528"/>
      <c r="AY7" s="3">
        <v>2014</v>
      </c>
      <c r="AZ7" s="707">
        <f>C7*Bioplastics!AL12</f>
        <v>241.19999999999996</v>
      </c>
      <c r="BB7" s="609"/>
      <c r="BC7" s="609"/>
      <c r="BD7" s="3">
        <v>2014</v>
      </c>
      <c r="BE7" s="1131">
        <f t="shared" ref="BE7:BE53" si="5">O7/C7</f>
        <v>0.45346352160807585</v>
      </c>
      <c r="BF7" s="1131">
        <f t="shared" ref="BF7:BF53" si="6">AB7/C7</f>
        <v>0.35379999999999995</v>
      </c>
      <c r="BG7" s="1131">
        <f t="shared" ref="BG7:BG53" si="7">AN7/C7</f>
        <v>0.1927364783919242</v>
      </c>
      <c r="BH7" s="609"/>
      <c r="BI7" s="609"/>
    </row>
    <row r="8" spans="1:82" ht="14.4" x14ac:dyDescent="0.55000000000000004">
      <c r="A8" s="609"/>
      <c r="B8" s="3">
        <v>2015</v>
      </c>
      <c r="C8" s="707">
        <v>1891.6666666666667</v>
      </c>
      <c r="D8" s="965"/>
      <c r="E8" s="965"/>
      <c r="F8" s="965"/>
      <c r="G8" s="965"/>
      <c r="H8" s="965"/>
      <c r="I8" s="965"/>
      <c r="J8" s="965"/>
      <c r="K8" s="965"/>
      <c r="L8" s="965"/>
      <c r="M8" s="968"/>
      <c r="N8" s="3">
        <v>2015</v>
      </c>
      <c r="O8" s="1170">
        <f>C8*Compost!J7/100</f>
        <v>862.10382892596351</v>
      </c>
      <c r="P8" s="1116"/>
      <c r="Q8" s="1116"/>
      <c r="R8" s="1116"/>
      <c r="S8" s="1116"/>
      <c r="T8" s="1116"/>
      <c r="U8" s="1116"/>
      <c r="V8" s="1116"/>
      <c r="W8" s="1116"/>
      <c r="X8" s="1116"/>
      <c r="AA8" s="3">
        <v>2015</v>
      </c>
      <c r="AB8" s="707">
        <f>C8*'H&amp;C Recycling'!M5/100</f>
        <v>665.67750000000001</v>
      </c>
      <c r="AC8" s="1129">
        <f t="shared" si="0"/>
        <v>196.51595233447358</v>
      </c>
      <c r="AD8" s="1129">
        <f t="shared" si="1"/>
        <v>31.342304827528849</v>
      </c>
      <c r="AE8" s="1129">
        <f t="shared" si="2"/>
        <v>96.467429530067989</v>
      </c>
      <c r="AF8" s="1129">
        <f t="shared" si="3"/>
        <v>263.34275820281624</v>
      </c>
      <c r="AG8" s="1129">
        <f t="shared" si="4"/>
        <v>78.009055105113248</v>
      </c>
      <c r="AH8" s="2"/>
      <c r="AI8" s="2"/>
      <c r="AJ8" s="2"/>
      <c r="AK8" s="2"/>
      <c r="AM8" s="3">
        <v>2015</v>
      </c>
      <c r="AN8" s="707">
        <f t="shared" ref="AN8:AN53" si="8">C8-O8-AB8</f>
        <v>363.88533774070333</v>
      </c>
      <c r="AO8" s="528"/>
      <c r="AP8" s="528"/>
      <c r="AQ8" s="528"/>
      <c r="AR8" s="528"/>
      <c r="AS8" s="528"/>
      <c r="AT8" s="528"/>
      <c r="AU8" s="528"/>
      <c r="AV8" s="528"/>
      <c r="AW8" s="528"/>
      <c r="AY8" s="3">
        <v>2015</v>
      </c>
      <c r="AZ8" s="707">
        <f>C8*Bioplastics!AL13</f>
        <v>249.73118971061089</v>
      </c>
      <c r="BB8" s="609"/>
      <c r="BC8" s="609"/>
      <c r="BD8" s="3">
        <v>2015</v>
      </c>
      <c r="BE8" s="1131">
        <f t="shared" si="5"/>
        <v>0.45573770692121418</v>
      </c>
      <c r="BF8" s="1131">
        <f t="shared" si="6"/>
        <v>0.35189999999999999</v>
      </c>
      <c r="BG8" s="1131">
        <f t="shared" si="7"/>
        <v>0.19236229307878588</v>
      </c>
      <c r="BH8" s="609"/>
      <c r="BI8" s="609"/>
      <c r="CD8">
        <v>2100</v>
      </c>
    </row>
    <row r="9" spans="1:82" ht="14.4" x14ac:dyDescent="0.55000000000000004">
      <c r="A9" s="609"/>
      <c r="B9" s="3">
        <v>2016</v>
      </c>
      <c r="C9" s="707">
        <v>2009.9999999999998</v>
      </c>
      <c r="D9" s="965"/>
      <c r="E9" s="965"/>
      <c r="F9" s="965"/>
      <c r="G9" s="965"/>
      <c r="H9" s="965"/>
      <c r="I9" s="965"/>
      <c r="J9" s="965"/>
      <c r="K9" s="965"/>
      <c r="L9" s="965"/>
      <c r="M9" s="968"/>
      <c r="N9" s="3">
        <v>2016</v>
      </c>
      <c r="O9" s="1170">
        <f>C9*Compost!J8/100</f>
        <v>924.59999999999991</v>
      </c>
      <c r="P9" s="1116"/>
      <c r="Q9" s="1116"/>
      <c r="R9" s="1116"/>
      <c r="S9" s="1116"/>
      <c r="T9" s="1116"/>
      <c r="U9" s="1116"/>
      <c r="V9" s="1116"/>
      <c r="W9" s="1116"/>
      <c r="X9" s="1116"/>
      <c r="AA9" s="3">
        <v>2016</v>
      </c>
      <c r="AB9" s="707">
        <f>C9*'H&amp;C Recycling'!M6/100</f>
        <v>703.49999999999989</v>
      </c>
      <c r="AC9" s="1129">
        <f t="shared" si="0"/>
        <v>207.68160628427751</v>
      </c>
      <c r="AD9" s="1129">
        <f t="shared" si="1"/>
        <v>33.123113589037544</v>
      </c>
      <c r="AE9" s="1129">
        <f t="shared" si="2"/>
        <v>101.94852112983061</v>
      </c>
      <c r="AF9" s="1129">
        <f t="shared" si="3"/>
        <v>278.30538120288156</v>
      </c>
      <c r="AG9" s="1129">
        <f t="shared" si="4"/>
        <v>82.441377793972549</v>
      </c>
      <c r="AH9" s="2"/>
      <c r="AI9" s="2"/>
      <c r="AJ9" s="2"/>
      <c r="AK9" s="2"/>
      <c r="AM9" s="3">
        <v>2016</v>
      </c>
      <c r="AN9" s="707">
        <f t="shared" si="8"/>
        <v>381.9</v>
      </c>
      <c r="AO9" s="528"/>
      <c r="AP9" s="528"/>
      <c r="AQ9" s="528"/>
      <c r="AR9" s="528"/>
      <c r="AS9" s="528"/>
      <c r="AT9" s="528"/>
      <c r="AU9" s="528"/>
      <c r="AV9" s="528"/>
      <c r="AW9" s="528"/>
      <c r="AY9" s="3">
        <v>2016</v>
      </c>
      <c r="AZ9" s="707">
        <f>C9*Bioplastics!AL14</f>
        <v>259.81350482315111</v>
      </c>
      <c r="BB9" s="609"/>
      <c r="BC9" s="609"/>
      <c r="BD9" s="3">
        <v>2016</v>
      </c>
      <c r="BE9" s="1131">
        <f t="shared" si="5"/>
        <v>0.46</v>
      </c>
      <c r="BF9" s="1131">
        <f t="shared" si="6"/>
        <v>0.35</v>
      </c>
      <c r="BG9" s="1131">
        <f t="shared" si="7"/>
        <v>0.19</v>
      </c>
      <c r="BH9" s="609"/>
      <c r="BI9" s="609"/>
      <c r="CD9">
        <f>CD8*0.44</f>
        <v>924</v>
      </c>
    </row>
    <row r="10" spans="1:82" ht="14.4" x14ac:dyDescent="0.55000000000000004">
      <c r="A10" s="609"/>
      <c r="B10" s="3">
        <v>2017</v>
      </c>
      <c r="C10" s="707">
        <v>2123.324211440809</v>
      </c>
      <c r="D10" s="965"/>
      <c r="E10" s="965"/>
      <c r="F10" s="965"/>
      <c r="G10" s="965"/>
      <c r="H10" s="965"/>
      <c r="I10" s="965"/>
      <c r="J10" s="965"/>
      <c r="K10" s="965"/>
      <c r="L10" s="965"/>
      <c r="M10" s="968"/>
      <c r="N10" s="3">
        <v>2017</v>
      </c>
      <c r="O10" s="1170">
        <f>C10*Compost!J9/100</f>
        <v>976.21069943703117</v>
      </c>
      <c r="P10" s="1116"/>
      <c r="Q10" s="1116"/>
      <c r="R10" s="1116"/>
      <c r="S10" s="1116"/>
      <c r="T10" s="1116"/>
      <c r="U10" s="1116"/>
      <c r="V10" s="1116"/>
      <c r="W10" s="1116"/>
      <c r="X10" s="1116"/>
      <c r="AA10" s="3">
        <v>2017</v>
      </c>
      <c r="AB10" s="707">
        <f>C10*'H&amp;C Recycling'!M7/100</f>
        <v>739.12915800254564</v>
      </c>
      <c r="AC10" s="1129">
        <f t="shared" si="0"/>
        <v>218.19975946768196</v>
      </c>
      <c r="AD10" s="1129">
        <f t="shared" si="1"/>
        <v>34.800652533742721</v>
      </c>
      <c r="AE10" s="1129">
        <f t="shared" si="2"/>
        <v>107.11176202174335</v>
      </c>
      <c r="AF10" s="1129">
        <f t="shared" si="3"/>
        <v>292.40031567315333</v>
      </c>
      <c r="AG10" s="1129">
        <f t="shared" si="4"/>
        <v>86.61666830622417</v>
      </c>
      <c r="AH10" s="2"/>
      <c r="AI10" s="2"/>
      <c r="AJ10" s="2"/>
      <c r="AK10" s="2"/>
      <c r="AM10" s="3">
        <v>2017</v>
      </c>
      <c r="AN10" s="707">
        <f t="shared" si="8"/>
        <v>407.9843540012323</v>
      </c>
      <c r="AO10" s="528"/>
      <c r="AP10" s="528"/>
      <c r="AQ10" s="528"/>
      <c r="AR10" s="528"/>
      <c r="AS10" s="528"/>
      <c r="AT10" s="528"/>
      <c r="AU10" s="528"/>
      <c r="AV10" s="528"/>
      <c r="AW10" s="528"/>
      <c r="AY10" s="3">
        <v>2017</v>
      </c>
      <c r="AZ10" s="707">
        <f>C10*Bioplastics!AL15</f>
        <v>269.89581993569129</v>
      </c>
      <c r="BD10" s="3">
        <v>2017</v>
      </c>
      <c r="BE10" s="1131">
        <f t="shared" si="5"/>
        <v>0.45975583670974618</v>
      </c>
      <c r="BF10" s="1131">
        <f t="shared" si="6"/>
        <v>0.34810000000000002</v>
      </c>
      <c r="BG10" s="1131">
        <f t="shared" si="7"/>
        <v>0.19214416329025386</v>
      </c>
    </row>
    <row r="11" spans="1:82" ht="14.4" x14ac:dyDescent="0.55000000000000004">
      <c r="A11" s="609"/>
      <c r="B11" s="3">
        <v>2018</v>
      </c>
      <c r="C11" s="707">
        <v>2160.7043297289983</v>
      </c>
      <c r="D11" s="965"/>
      <c r="E11" s="965"/>
      <c r="F11" s="965"/>
      <c r="G11" s="965"/>
      <c r="H11" s="965"/>
      <c r="I11" s="965"/>
      <c r="J11" s="965"/>
      <c r="K11" s="965"/>
      <c r="L11" s="965"/>
      <c r="M11" s="968"/>
      <c r="N11" s="3">
        <v>2018</v>
      </c>
      <c r="O11" s="1170">
        <f>C11*Compost!J10/100</f>
        <v>997.21871385837414</v>
      </c>
      <c r="P11" s="1116"/>
      <c r="Q11" s="1116"/>
      <c r="R11" s="1116"/>
      <c r="S11" s="1116"/>
      <c r="T11" s="1116"/>
      <c r="U11" s="1116"/>
      <c r="V11" s="1116"/>
      <c r="W11" s="1116"/>
      <c r="X11" s="1116"/>
      <c r="AA11" s="3">
        <v>2018</v>
      </c>
      <c r="AB11" s="707">
        <f>C11*'H&amp;C Recycling'!M8/100</f>
        <v>748.03583895217935</v>
      </c>
      <c r="AC11" s="1129">
        <f t="shared" si="0"/>
        <v>220.82911811200535</v>
      </c>
      <c r="AD11" s="1129">
        <f t="shared" si="1"/>
        <v>35.220008617319174</v>
      </c>
      <c r="AE11" s="1129">
        <f t="shared" si="2"/>
        <v>108.40248405584484</v>
      </c>
      <c r="AF11" s="1129">
        <f t="shared" si="3"/>
        <v>295.92380854726883</v>
      </c>
      <c r="AG11" s="1129">
        <f t="shared" si="4"/>
        <v>87.660419619741049</v>
      </c>
      <c r="AH11" s="2"/>
      <c r="AI11" s="2"/>
      <c r="AJ11" s="2"/>
      <c r="AK11" s="2"/>
      <c r="AM11" s="3">
        <v>2018</v>
      </c>
      <c r="AN11" s="707">
        <f t="shared" si="8"/>
        <v>415.44977691844497</v>
      </c>
      <c r="AO11" s="528"/>
      <c r="AP11" s="528"/>
      <c r="AQ11" s="528"/>
      <c r="AR11" s="528"/>
      <c r="AS11" s="528"/>
      <c r="AT11" s="528"/>
      <c r="AU11" s="528"/>
      <c r="AV11" s="528"/>
      <c r="AW11" s="528"/>
      <c r="AY11" s="3">
        <v>2018</v>
      </c>
      <c r="AZ11" s="707">
        <f>C11*Bioplastics!AL16</f>
        <v>278.42700964630222</v>
      </c>
      <c r="BD11" s="3">
        <v>2018</v>
      </c>
      <c r="BE11" s="1131">
        <f t="shared" si="5"/>
        <v>0.46152483712727516</v>
      </c>
      <c r="BF11" s="1131">
        <f t="shared" si="6"/>
        <v>0.34620000000000006</v>
      </c>
      <c r="BG11" s="1131">
        <f t="shared" si="7"/>
        <v>0.19227516287272486</v>
      </c>
    </row>
    <row r="12" spans="1:82" ht="14.4" x14ac:dyDescent="0.55000000000000004">
      <c r="A12" s="609"/>
      <c r="B12" s="3">
        <v>2019</v>
      </c>
      <c r="C12" s="707">
        <v>2197.9034203535862</v>
      </c>
      <c r="D12" s="965"/>
      <c r="E12" s="965"/>
      <c r="F12" s="965"/>
      <c r="G12" s="965"/>
      <c r="H12" s="965"/>
      <c r="I12" s="965"/>
      <c r="J12" s="965"/>
      <c r="K12" s="965"/>
      <c r="L12" s="965"/>
      <c r="M12" s="968"/>
      <c r="N12" s="3">
        <v>2019</v>
      </c>
      <c r="O12" s="1170">
        <f>C12*Compost!J11/100</f>
        <v>1017.9576307940937</v>
      </c>
      <c r="P12" s="1116"/>
      <c r="Q12" s="1116"/>
      <c r="R12" s="1116"/>
      <c r="S12" s="1116"/>
      <c r="T12" s="1116"/>
      <c r="U12" s="1116"/>
      <c r="V12" s="1116"/>
      <c r="W12" s="1116"/>
      <c r="X12" s="1116"/>
      <c r="AA12" s="3">
        <v>2019</v>
      </c>
      <c r="AB12" s="707">
        <f>C12*'H&amp;C Recycling'!M9/100</f>
        <v>756.73814762773986</v>
      </c>
      <c r="AC12" s="1129">
        <f t="shared" si="0"/>
        <v>223.39814361893073</v>
      </c>
      <c r="AD12" s="1129">
        <f t="shared" si="1"/>
        <v>35.629742176306323</v>
      </c>
      <c r="AE12" s="1129">
        <f t="shared" si="2"/>
        <v>109.6635892440306</v>
      </c>
      <c r="AF12" s="1129">
        <f t="shared" si="3"/>
        <v>299.3664515228154</v>
      </c>
      <c r="AG12" s="1129">
        <f t="shared" si="4"/>
        <v>88.680221065656681</v>
      </c>
      <c r="AH12" s="2"/>
      <c r="AI12" s="2"/>
      <c r="AJ12" s="2"/>
      <c r="AK12" s="2"/>
      <c r="AM12" s="3">
        <v>2019</v>
      </c>
      <c r="AN12" s="707">
        <f t="shared" si="8"/>
        <v>423.20764193175251</v>
      </c>
      <c r="AO12" s="528"/>
      <c r="AP12" s="528"/>
      <c r="AQ12" s="528"/>
      <c r="AR12" s="528"/>
      <c r="AS12" s="528"/>
      <c r="AT12" s="528"/>
      <c r="AU12" s="528"/>
      <c r="AV12" s="528"/>
      <c r="AW12" s="528"/>
      <c r="AY12" s="3">
        <v>2019</v>
      </c>
      <c r="AZ12" s="707">
        <f>C12*Bioplastics!AL17</f>
        <v>266.56313642222557</v>
      </c>
      <c r="BD12" s="3">
        <v>2019</v>
      </c>
      <c r="BE12" s="1131">
        <f t="shared" si="5"/>
        <v>0.46314939108212977</v>
      </c>
      <c r="BF12" s="1131">
        <f t="shared" si="6"/>
        <v>0.34430000000000005</v>
      </c>
      <c r="BG12" s="1131">
        <f t="shared" si="7"/>
        <v>0.19255060891787013</v>
      </c>
      <c r="CD12">
        <f>826/CD9</f>
        <v>0.89393939393939392</v>
      </c>
    </row>
    <row r="13" spans="1:82" ht="14.4" x14ac:dyDescent="0.55000000000000004">
      <c r="A13" s="609"/>
      <c r="B13" s="3">
        <v>2020</v>
      </c>
      <c r="C13" s="707">
        <v>2235.4879894080063</v>
      </c>
      <c r="D13" s="965"/>
      <c r="E13" s="965"/>
      <c r="F13" s="965"/>
      <c r="G13" s="965"/>
      <c r="H13" s="965"/>
      <c r="I13" s="965"/>
      <c r="J13" s="965"/>
      <c r="K13" s="965"/>
      <c r="L13" s="965"/>
      <c r="M13" s="968"/>
      <c r="N13" s="3">
        <v>2020</v>
      </c>
      <c r="O13" s="1170">
        <f>C13*Compost!J12/100</f>
        <v>1038.6979423397006</v>
      </c>
      <c r="P13" s="1116"/>
      <c r="Q13" s="1116"/>
      <c r="R13" s="1116"/>
      <c r="S13" s="1116"/>
      <c r="T13" s="1116"/>
      <c r="U13" s="1116"/>
      <c r="V13" s="1116"/>
      <c r="W13" s="1116"/>
      <c r="X13" s="1116"/>
      <c r="AA13" s="3">
        <v>2020</v>
      </c>
      <c r="AB13" s="707">
        <f>C13*'H&amp;C Recycling'!M10/100</f>
        <v>765.43108757330162</v>
      </c>
      <c r="AC13" s="1129">
        <f t="shared" si="0"/>
        <v>225.96440336481137</v>
      </c>
      <c r="AD13" s="1129">
        <f t="shared" si="1"/>
        <v>36.039034624407989</v>
      </c>
      <c r="AE13" s="1129">
        <f t="shared" si="2"/>
        <v>110.92333675180666</v>
      </c>
      <c r="AF13" s="1129">
        <f t="shared" si="3"/>
        <v>302.80538821837098</v>
      </c>
      <c r="AG13" s="1129">
        <f t="shared" si="4"/>
        <v>89.698924613904552</v>
      </c>
      <c r="AH13" s="2"/>
      <c r="AI13" s="2"/>
      <c r="AJ13" s="2"/>
      <c r="AK13" s="2"/>
      <c r="AM13" s="3">
        <v>2020</v>
      </c>
      <c r="AN13" s="707">
        <f t="shared" si="8"/>
        <v>431.35895949500411</v>
      </c>
      <c r="AO13" s="528"/>
      <c r="AP13" s="528"/>
      <c r="AQ13" s="528"/>
      <c r="AR13" s="528"/>
      <c r="AS13" s="528"/>
      <c r="AT13" s="528"/>
      <c r="AU13" s="528"/>
      <c r="AV13" s="528"/>
      <c r="AW13" s="528"/>
      <c r="AY13" s="3">
        <v>2020</v>
      </c>
      <c r="AZ13" s="707">
        <f>C13*Bioplastics!AL18</f>
        <v>276.48690247270673</v>
      </c>
      <c r="BD13" s="3">
        <v>2020</v>
      </c>
      <c r="BE13" s="1131">
        <f t="shared" si="5"/>
        <v>0.46464035917936858</v>
      </c>
      <c r="BF13" s="1131">
        <f t="shared" si="6"/>
        <v>0.34240000000000009</v>
      </c>
      <c r="BG13" s="1131">
        <f t="shared" si="7"/>
        <v>0.1929596408206313</v>
      </c>
    </row>
    <row r="14" spans="1:82" ht="14.4" x14ac:dyDescent="0.55000000000000004">
      <c r="A14" s="609"/>
      <c r="B14" s="3">
        <v>2021</v>
      </c>
      <c r="C14" s="707">
        <v>2270.2853275329462</v>
      </c>
      <c r="D14" s="965"/>
      <c r="E14" s="965"/>
      <c r="F14" s="965"/>
      <c r="G14" s="965"/>
      <c r="H14" s="965"/>
      <c r="I14" s="965"/>
      <c r="J14" s="965"/>
      <c r="K14" s="965"/>
      <c r="L14" s="965"/>
      <c r="M14" s="968"/>
      <c r="N14" s="3">
        <v>2021</v>
      </c>
      <c r="O14" s="1170">
        <f>C14*Compost!J13/100</f>
        <v>1057.9709881700378</v>
      </c>
      <c r="P14" s="1116"/>
      <c r="Q14" s="1116"/>
      <c r="R14" s="1116"/>
      <c r="S14" s="1116"/>
      <c r="T14" s="1116"/>
      <c r="U14" s="1116"/>
      <c r="V14" s="1116"/>
      <c r="W14" s="1116"/>
      <c r="X14" s="1116"/>
      <c r="AA14" s="3">
        <v>2021</v>
      </c>
      <c r="AB14" s="707">
        <f>C14*'H&amp;C Recycling'!M11/100</f>
        <v>773.03215402496846</v>
      </c>
      <c r="AC14" s="1129">
        <f t="shared" si="0"/>
        <v>228.20832900824522</v>
      </c>
      <c r="AD14" s="1129">
        <f t="shared" si="1"/>
        <v>36.39691804654926</v>
      </c>
      <c r="AE14" s="1129">
        <f t="shared" si="2"/>
        <v>112.02485414165314</v>
      </c>
      <c r="AF14" s="1129">
        <f t="shared" si="3"/>
        <v>305.81237854726874</v>
      </c>
      <c r="AG14" s="1129">
        <f t="shared" si="4"/>
        <v>90.589674281252044</v>
      </c>
      <c r="AH14" s="2"/>
      <c r="AI14" s="2"/>
      <c r="AJ14" s="2"/>
      <c r="AK14" s="2"/>
      <c r="AM14" s="3">
        <v>2021</v>
      </c>
      <c r="AN14" s="707">
        <f t="shared" si="8"/>
        <v>439.28218533793995</v>
      </c>
      <c r="AO14" s="528"/>
      <c r="AP14" s="528"/>
      <c r="AQ14" s="528"/>
      <c r="AR14" s="528"/>
      <c r="AS14" s="528"/>
      <c r="AT14" s="528"/>
      <c r="AU14" s="528"/>
      <c r="AV14" s="528"/>
      <c r="AW14" s="528"/>
      <c r="AY14" s="3">
        <v>2021</v>
      </c>
      <c r="AZ14" s="707">
        <f>C14*Bioplastics!AL19</f>
        <v>284.01502082012212</v>
      </c>
      <c r="BD14" s="3">
        <v>2021</v>
      </c>
      <c r="BE14" s="1131">
        <f t="shared" si="5"/>
        <v>0.46600793976839222</v>
      </c>
      <c r="BF14" s="1131">
        <f t="shared" si="6"/>
        <v>0.34050000000000014</v>
      </c>
      <c r="BG14" s="1131">
        <f t="shared" si="7"/>
        <v>0.19349206023160767</v>
      </c>
    </row>
    <row r="15" spans="1:82" ht="14.4" x14ac:dyDescent="0.55000000000000004">
      <c r="A15" s="609"/>
      <c r="B15" s="3">
        <v>2022</v>
      </c>
      <c r="C15" s="707">
        <v>2305.4281717581962</v>
      </c>
      <c r="D15" s="965"/>
      <c r="E15" s="965"/>
      <c r="F15" s="965"/>
      <c r="G15" s="965"/>
      <c r="H15" s="965"/>
      <c r="I15" s="965"/>
      <c r="J15" s="965"/>
      <c r="K15" s="965"/>
      <c r="L15" s="965"/>
      <c r="M15" s="968"/>
      <c r="N15" s="3">
        <v>2022</v>
      </c>
      <c r="O15" s="1170">
        <f>C15*Compost!J14/100</f>
        <v>1077.2382470595867</v>
      </c>
      <c r="P15" s="1116"/>
      <c r="Q15" s="1116"/>
      <c r="R15" s="1116"/>
      <c r="S15" s="1116"/>
      <c r="T15" s="1116"/>
      <c r="U15" s="1116"/>
      <c r="V15" s="1116"/>
      <c r="W15" s="1116"/>
      <c r="X15" s="1116"/>
      <c r="AA15" s="3">
        <v>2022</v>
      </c>
      <c r="AB15" s="707">
        <f>C15*'H&amp;C Recycling'!M12/100</f>
        <v>780.61797895732559</v>
      </c>
      <c r="AC15" s="1129">
        <f t="shared" si="0"/>
        <v>230.44775517305436</v>
      </c>
      <c r="AD15" s="1129">
        <f t="shared" si="1"/>
        <v>36.754083847403585</v>
      </c>
      <c r="AE15" s="1129">
        <f t="shared" si="2"/>
        <v>113.12416278899302</v>
      </c>
      <c r="AF15" s="1129">
        <f t="shared" si="3"/>
        <v>308.81333931420261</v>
      </c>
      <c r="AG15" s="1129">
        <f t="shared" si="4"/>
        <v>91.478637833671925</v>
      </c>
      <c r="AH15" s="2"/>
      <c r="AI15" s="2"/>
      <c r="AJ15" s="2"/>
      <c r="AK15" s="2"/>
      <c r="AM15" s="3">
        <v>2022</v>
      </c>
      <c r="AN15" s="707">
        <f t="shared" si="8"/>
        <v>447.57194574128391</v>
      </c>
      <c r="AO15" s="528"/>
      <c r="AP15" s="528"/>
      <c r="AQ15" s="528"/>
      <c r="AR15" s="528"/>
      <c r="AS15" s="528"/>
      <c r="AT15" s="528"/>
      <c r="AU15" s="528"/>
      <c r="AV15" s="528"/>
      <c r="AW15" s="528"/>
      <c r="AY15" s="3">
        <v>2022</v>
      </c>
      <c r="AZ15" s="707">
        <f>C15*Bioplastics!AL20</f>
        <v>291.54163156610923</v>
      </c>
      <c r="BD15" s="3">
        <v>2022</v>
      </c>
      <c r="BE15" s="1131">
        <f t="shared" si="5"/>
        <v>0.46726168277801905</v>
      </c>
      <c r="BF15" s="1131">
        <f t="shared" si="6"/>
        <v>0.33860000000000018</v>
      </c>
      <c r="BG15" s="1131">
        <f t="shared" si="7"/>
        <v>0.1941383172219808</v>
      </c>
    </row>
    <row r="16" spans="1:82" ht="14.4" x14ac:dyDescent="0.55000000000000004">
      <c r="A16" s="609"/>
      <c r="B16" s="3">
        <v>2023</v>
      </c>
      <c r="C16" s="707">
        <v>2340.1548550480929</v>
      </c>
      <c r="D16" s="965"/>
      <c r="E16" s="965"/>
      <c r="F16" s="965"/>
      <c r="G16" s="965"/>
      <c r="H16" s="965"/>
      <c r="I16" s="965"/>
      <c r="J16" s="965"/>
      <c r="K16" s="965"/>
      <c r="L16" s="965"/>
      <c r="M16" s="968"/>
      <c r="N16" s="3">
        <v>2023</v>
      </c>
      <c r="O16" s="1170">
        <f>C16*Compost!J15/100</f>
        <v>1096.1531259048074</v>
      </c>
      <c r="P16" s="1116"/>
      <c r="Q16" s="1116"/>
      <c r="R16" s="1116"/>
      <c r="S16" s="1116"/>
      <c r="T16" s="1116"/>
      <c r="U16" s="1116"/>
      <c r="V16" s="1116"/>
      <c r="W16" s="1116"/>
      <c r="X16" s="1116"/>
      <c r="AA16" s="3">
        <v>2023</v>
      </c>
      <c r="AB16" s="707">
        <f>C16*'H&amp;C Recycling'!M13/100</f>
        <v>787.93013969469325</v>
      </c>
      <c r="AC16" s="1129">
        <f t="shared" si="0"/>
        <v>232.60639239742585</v>
      </c>
      <c r="AD16" s="1129">
        <f t="shared" si="1"/>
        <v>37.098364630182729</v>
      </c>
      <c r="AE16" s="1129">
        <f t="shared" si="2"/>
        <v>114.18381307106587</v>
      </c>
      <c r="AF16" s="1129">
        <f t="shared" si="3"/>
        <v>311.70603822170773</v>
      </c>
      <c r="AG16" s="1129">
        <f t="shared" si="4"/>
        <v>92.335531374310989</v>
      </c>
      <c r="AH16" s="2"/>
      <c r="AI16" s="2"/>
      <c r="AJ16" s="2"/>
      <c r="AK16" s="2"/>
      <c r="AM16" s="3">
        <v>2023</v>
      </c>
      <c r="AN16" s="707">
        <f t="shared" si="8"/>
        <v>456.07158944859225</v>
      </c>
      <c r="AO16" s="528"/>
      <c r="AP16" s="528"/>
      <c r="AQ16" s="528"/>
      <c r="AR16" s="528"/>
      <c r="AS16" s="528"/>
      <c r="AT16" s="528"/>
      <c r="AU16" s="528"/>
      <c r="AV16" s="528"/>
      <c r="AW16" s="528"/>
      <c r="AY16" s="3">
        <v>2023</v>
      </c>
      <c r="AZ16" s="707">
        <f>C16*Bioplastics!AL21</f>
        <v>299.06202574315938</v>
      </c>
      <c r="BD16" s="3">
        <v>2023</v>
      </c>
      <c r="BE16" s="1131">
        <f t="shared" si="5"/>
        <v>0.46841050862092637</v>
      </c>
      <c r="BF16" s="1131">
        <f t="shared" si="6"/>
        <v>0.33670000000000017</v>
      </c>
      <c r="BG16" s="1131">
        <f t="shared" si="7"/>
        <v>0.19488949137907347</v>
      </c>
    </row>
    <row r="17" spans="1:59" ht="14.4" x14ac:dyDescent="0.55000000000000004">
      <c r="A17" s="609"/>
      <c r="B17" s="3">
        <v>2024</v>
      </c>
      <c r="C17" s="707">
        <v>2374.4267580491282</v>
      </c>
      <c r="D17" s="965"/>
      <c r="E17" s="965"/>
      <c r="F17" s="965"/>
      <c r="G17" s="965"/>
      <c r="H17" s="965"/>
      <c r="I17" s="965"/>
      <c r="J17" s="965"/>
      <c r="K17" s="965"/>
      <c r="L17" s="965"/>
      <c r="M17" s="968"/>
      <c r="N17" s="3">
        <v>2024</v>
      </c>
      <c r="O17" s="1170">
        <f>C17*Compost!J16/100</f>
        <v>1114.7048702357774</v>
      </c>
      <c r="P17" s="1116"/>
      <c r="Q17" s="1116"/>
      <c r="R17" s="1116"/>
      <c r="S17" s="1116"/>
      <c r="T17" s="1116"/>
      <c r="U17" s="1116"/>
      <c r="V17" s="1116"/>
      <c r="W17" s="1116"/>
      <c r="X17" s="1116"/>
      <c r="AA17" s="3">
        <v>2024</v>
      </c>
      <c r="AB17" s="707">
        <f>C17*'H&amp;C Recycling'!M14/100</f>
        <v>794.95807859484864</v>
      </c>
      <c r="AC17" s="1129">
        <f t="shared" si="0"/>
        <v>234.68112393921979</v>
      </c>
      <c r="AD17" s="1129">
        <f t="shared" si="1"/>
        <v>37.429263306069956</v>
      </c>
      <c r="AE17" s="1129">
        <f t="shared" si="2"/>
        <v>115.20227501486352</v>
      </c>
      <c r="AF17" s="1129">
        <f t="shared" si="3"/>
        <v>314.486298654797</v>
      </c>
      <c r="AG17" s="1129">
        <f t="shared" si="4"/>
        <v>93.159117679898287</v>
      </c>
      <c r="AH17" s="2"/>
      <c r="AI17" s="2"/>
      <c r="AJ17" s="2"/>
      <c r="AK17" s="2"/>
      <c r="AM17" s="3">
        <v>2024</v>
      </c>
      <c r="AN17" s="707">
        <f t="shared" si="8"/>
        <v>464.76380921850216</v>
      </c>
      <c r="AO17" s="528"/>
      <c r="AP17" s="528"/>
      <c r="AQ17" s="528"/>
      <c r="AR17" s="528"/>
      <c r="AS17" s="528"/>
      <c r="AT17" s="528"/>
      <c r="AU17" s="528"/>
      <c r="AV17" s="528"/>
      <c r="AW17" s="528"/>
      <c r="AY17" s="3">
        <v>2024</v>
      </c>
      <c r="AZ17" s="707">
        <f>C17*Bioplastics!AL22</f>
        <v>308.00463287468511</v>
      </c>
      <c r="BD17" s="3">
        <v>2024</v>
      </c>
      <c r="BE17" s="1131">
        <f t="shared" si="5"/>
        <v>0.4694627309336924</v>
      </c>
      <c r="BF17" s="1131">
        <f t="shared" si="6"/>
        <v>0.33480000000000021</v>
      </c>
      <c r="BG17" s="1131">
        <f t="shared" si="7"/>
        <v>0.1957372690663074</v>
      </c>
    </row>
    <row r="18" spans="1:59" ht="14.4" x14ac:dyDescent="0.55000000000000004">
      <c r="A18" s="609"/>
      <c r="B18" s="3">
        <v>2025</v>
      </c>
      <c r="C18" s="707">
        <v>2407.1768875846901</v>
      </c>
      <c r="D18" s="965"/>
      <c r="E18" s="965"/>
      <c r="F18" s="965"/>
      <c r="G18" s="965"/>
      <c r="H18" s="965"/>
      <c r="I18" s="965"/>
      <c r="J18" s="965"/>
      <c r="K18" s="965"/>
      <c r="L18" s="965"/>
      <c r="M18" s="968"/>
      <c r="N18" s="3">
        <v>2025</v>
      </c>
      <c r="O18" s="1170">
        <f>C18*Compost!J17/100</f>
        <v>1131.3731371648043</v>
      </c>
      <c r="P18" s="1116"/>
      <c r="Q18" s="1116"/>
      <c r="R18" s="1116"/>
      <c r="S18" s="1116"/>
      <c r="T18" s="1116"/>
      <c r="U18" s="1116"/>
      <c r="V18" s="1116"/>
      <c r="W18" s="1116"/>
      <c r="X18" s="1116"/>
      <c r="AA18" s="3">
        <v>2025</v>
      </c>
      <c r="AB18" s="707">
        <f>C18*'H&amp;C Recycling'!M15/100</f>
        <v>801.34918587694381</v>
      </c>
      <c r="AC18" s="1129">
        <f t="shared" si="0"/>
        <v>236.56785517771399</v>
      </c>
      <c r="AD18" s="1129">
        <f t="shared" si="1"/>
        <v>37.730177836936427</v>
      </c>
      <c r="AE18" s="1129">
        <f t="shared" si="2"/>
        <v>116.128449763679</v>
      </c>
      <c r="AF18" s="1129">
        <f t="shared" si="3"/>
        <v>317.01462779261078</v>
      </c>
      <c r="AG18" s="1129">
        <f t="shared" si="4"/>
        <v>93.908075306003497</v>
      </c>
      <c r="AH18" s="2"/>
      <c r="AI18" s="2"/>
      <c r="AJ18" s="2"/>
      <c r="AK18" s="2"/>
      <c r="AM18" s="3">
        <v>2025</v>
      </c>
      <c r="AN18" s="707">
        <f t="shared" si="8"/>
        <v>474.45456454294197</v>
      </c>
      <c r="AO18" s="528"/>
      <c r="AP18" s="528"/>
      <c r="AQ18" s="528"/>
      <c r="AR18" s="528"/>
      <c r="AS18" s="528"/>
      <c r="AT18" s="528"/>
      <c r="AU18" s="528"/>
      <c r="AV18" s="528"/>
      <c r="AW18" s="528"/>
      <c r="AY18" s="3">
        <v>2025</v>
      </c>
      <c r="AZ18" s="707">
        <f>C18*Bioplastics!AL23</f>
        <v>317.11756746264888</v>
      </c>
      <c r="BD18" s="3">
        <v>2025</v>
      </c>
      <c r="BE18" s="1131">
        <f t="shared" si="5"/>
        <v>0.47</v>
      </c>
      <c r="BF18" s="1131">
        <f t="shared" si="6"/>
        <v>0.3329000000000002</v>
      </c>
      <c r="BG18" s="1131">
        <f t="shared" si="7"/>
        <v>0.1970999999999998</v>
      </c>
    </row>
    <row r="19" spans="1:59" ht="14.4" x14ac:dyDescent="0.55000000000000004">
      <c r="A19" s="609"/>
      <c r="B19" s="3">
        <v>2026</v>
      </c>
      <c r="C19" s="707">
        <v>2449.9180750781911</v>
      </c>
      <c r="D19" s="965"/>
      <c r="E19" s="965"/>
      <c r="F19" s="965"/>
      <c r="G19" s="965"/>
      <c r="H19" s="965"/>
      <c r="I19" s="965"/>
      <c r="J19" s="965"/>
      <c r="K19" s="965"/>
      <c r="L19" s="965"/>
      <c r="M19" s="968"/>
      <c r="N19" s="3">
        <v>2026</v>
      </c>
      <c r="O19" s="1170">
        <f>C19*Compost!J18/100</f>
        <v>1154.6653528194031</v>
      </c>
      <c r="P19" s="1116"/>
      <c r="Q19" s="1116"/>
      <c r="R19" s="1116"/>
      <c r="S19" s="1116"/>
      <c r="T19" s="1116"/>
      <c r="U19" s="1116"/>
      <c r="V19" s="1116"/>
      <c r="W19" s="1116"/>
      <c r="X19" s="1116"/>
      <c r="AA19" s="3">
        <v>2026</v>
      </c>
      <c r="AB19" s="707">
        <f>C19*'H&amp;C Recycling'!M16/100</f>
        <v>810.92288285088182</v>
      </c>
      <c r="AC19" s="1129">
        <f t="shared" si="0"/>
        <v>239.39412492274082</v>
      </c>
      <c r="AD19" s="1129">
        <f t="shared" si="1"/>
        <v>38.180939247504689</v>
      </c>
      <c r="AE19" s="1129">
        <f t="shared" si="2"/>
        <v>117.51583320111769</v>
      </c>
      <c r="AF19" s="1129">
        <f t="shared" si="3"/>
        <v>320.80199294663026</v>
      </c>
      <c r="AG19" s="1129">
        <f t="shared" si="4"/>
        <v>95.029992532888272</v>
      </c>
      <c r="AH19" s="2"/>
      <c r="AI19" s="2"/>
      <c r="AJ19" s="2"/>
      <c r="AK19" s="2"/>
      <c r="AM19" s="3">
        <v>2026</v>
      </c>
      <c r="AN19" s="707">
        <f t="shared" si="8"/>
        <v>484.32983940790621</v>
      </c>
      <c r="AO19" s="528"/>
      <c r="AP19" s="528"/>
      <c r="AQ19" s="528"/>
      <c r="AR19" s="528"/>
      <c r="AS19" s="528"/>
      <c r="AT19" s="528"/>
      <c r="AU19" s="528"/>
      <c r="AV19" s="528"/>
      <c r="AW19" s="528"/>
      <c r="AY19" s="3">
        <v>2026</v>
      </c>
      <c r="AZ19" s="707">
        <f>C19*Bioplastics!AL24</f>
        <v>326.40580647666104</v>
      </c>
      <c r="BD19" s="3">
        <v>2026</v>
      </c>
      <c r="BE19" s="1131">
        <f t="shared" si="5"/>
        <v>0.47130774068130871</v>
      </c>
      <c r="BF19" s="1131">
        <f t="shared" si="6"/>
        <v>0.33100000000000024</v>
      </c>
      <c r="BG19" s="1131">
        <f t="shared" si="7"/>
        <v>0.19769225931869105</v>
      </c>
    </row>
    <row r="20" spans="1:59" ht="14.4" x14ac:dyDescent="0.55000000000000004">
      <c r="A20" s="609"/>
      <c r="B20" s="3">
        <v>2027</v>
      </c>
      <c r="C20" s="707">
        <v>2495.0576024378797</v>
      </c>
      <c r="D20" s="965"/>
      <c r="E20" s="965"/>
      <c r="F20" s="965"/>
      <c r="G20" s="965"/>
      <c r="H20" s="965"/>
      <c r="I20" s="965"/>
      <c r="J20" s="965"/>
      <c r="K20" s="965"/>
      <c r="L20" s="965"/>
      <c r="M20" s="968"/>
      <c r="N20" s="3">
        <v>2027</v>
      </c>
      <c r="O20" s="1170">
        <f>C20*Compost!J19/100</f>
        <v>1177.952523115335</v>
      </c>
      <c r="P20" s="1116"/>
      <c r="Q20" s="1116"/>
      <c r="R20" s="1116"/>
      <c r="S20" s="1116"/>
      <c r="T20" s="1116"/>
      <c r="U20" s="1116"/>
      <c r="V20" s="1116"/>
      <c r="W20" s="1116"/>
      <c r="X20" s="1116"/>
      <c r="AA20" s="3">
        <v>2027</v>
      </c>
      <c r="AB20" s="707">
        <f>C20*'H&amp;C Recycling'!M17/100</f>
        <v>821.12345696230682</v>
      </c>
      <c r="AC20" s="1129">
        <f t="shared" si="0"/>
        <v>242.40545628945375</v>
      </c>
      <c r="AD20" s="1129">
        <f t="shared" si="1"/>
        <v>38.661216113128184</v>
      </c>
      <c r="AE20" s="1129">
        <f t="shared" si="2"/>
        <v>118.99406126840272</v>
      </c>
      <c r="AF20" s="1129">
        <f t="shared" si="3"/>
        <v>324.83735139235642</v>
      </c>
      <c r="AG20" s="1129">
        <f t="shared" si="4"/>
        <v>96.225371898965605</v>
      </c>
      <c r="AH20" s="2"/>
      <c r="AI20" s="2"/>
      <c r="AJ20" s="2"/>
      <c r="AK20" s="2"/>
      <c r="AM20" s="3">
        <v>2027</v>
      </c>
      <c r="AN20" s="707">
        <f t="shared" si="8"/>
        <v>495.98162236023791</v>
      </c>
      <c r="AO20" s="528"/>
      <c r="AP20" s="528"/>
      <c r="AQ20" s="528"/>
      <c r="AR20" s="528"/>
      <c r="AS20" s="528"/>
      <c r="AT20" s="528"/>
      <c r="AU20" s="528"/>
      <c r="AV20" s="528"/>
      <c r="AW20" s="528"/>
      <c r="AY20" s="3">
        <v>2027</v>
      </c>
      <c r="AZ20" s="707">
        <f>C20*Bioplastics!AL25</f>
        <v>335.87421801706392</v>
      </c>
      <c r="BD20" s="3">
        <v>2027</v>
      </c>
      <c r="BE20" s="1131">
        <f t="shared" si="5"/>
        <v>0.47211435999087836</v>
      </c>
      <c r="BF20" s="1131">
        <f t="shared" si="6"/>
        <v>0.32910000000000023</v>
      </c>
      <c r="BG20" s="1131">
        <f t="shared" si="7"/>
        <v>0.19878564000912141</v>
      </c>
    </row>
    <row r="21" spans="1:59" ht="14.4" x14ac:dyDescent="0.55000000000000004">
      <c r="A21" s="609"/>
      <c r="B21" s="3">
        <v>2028</v>
      </c>
      <c r="C21" s="707">
        <v>2539.731549883209</v>
      </c>
      <c r="D21" s="965"/>
      <c r="E21" s="965"/>
      <c r="F21" s="965"/>
      <c r="G21" s="965"/>
      <c r="H21" s="965"/>
      <c r="I21" s="965"/>
      <c r="J21" s="965"/>
      <c r="K21" s="965"/>
      <c r="L21" s="965"/>
      <c r="M21" s="968"/>
      <c r="N21" s="3">
        <v>2028</v>
      </c>
      <c r="O21" s="1170">
        <f>C21*Compost!J20/100</f>
        <v>1200.9173898220702</v>
      </c>
      <c r="P21" s="1116"/>
      <c r="Q21" s="1116"/>
      <c r="R21" s="1116"/>
      <c r="S21" s="1116"/>
      <c r="T21" s="1116"/>
      <c r="U21" s="1116"/>
      <c r="V21" s="1116"/>
      <c r="W21" s="1116"/>
      <c r="X21" s="1116"/>
      <c r="AA21" s="3">
        <v>2028</v>
      </c>
      <c r="AB21" s="707">
        <f>C21*'H&amp;C Recycling'!M18/100</f>
        <v>831.00016312178673</v>
      </c>
      <c r="AC21" s="1129">
        <f t="shared" si="0"/>
        <v>245.32117796677943</v>
      </c>
      <c r="AD21" s="1129">
        <f t="shared" si="1"/>
        <v>39.12624420126749</v>
      </c>
      <c r="AE21" s="1129">
        <f t="shared" si="2"/>
        <v>120.42535563456173</v>
      </c>
      <c r="AF21" s="1129">
        <f t="shared" si="3"/>
        <v>328.74458731665339</v>
      </c>
      <c r="AG21" s="1129">
        <f t="shared" si="4"/>
        <v>97.382798002524581</v>
      </c>
      <c r="AH21" s="2"/>
      <c r="AI21" s="2"/>
      <c r="AJ21" s="2"/>
      <c r="AK21" s="2"/>
      <c r="AM21" s="3">
        <v>2028</v>
      </c>
      <c r="AN21" s="707">
        <f t="shared" si="8"/>
        <v>507.81399693935214</v>
      </c>
      <c r="AO21" s="528"/>
      <c r="AP21" s="528"/>
      <c r="AQ21" s="528"/>
      <c r="AR21" s="528"/>
      <c r="AS21" s="528"/>
      <c r="AT21" s="528"/>
      <c r="AU21" s="528"/>
      <c r="AV21" s="528"/>
      <c r="AW21" s="528"/>
      <c r="AY21" s="3">
        <v>2028</v>
      </c>
      <c r="AZ21" s="707">
        <f>C21*Bioplastics!AL26</f>
        <v>345.52774301711798</v>
      </c>
      <c r="BD21" s="3">
        <v>2028</v>
      </c>
      <c r="BE21" s="1131">
        <f t="shared" si="5"/>
        <v>0.47285209725307187</v>
      </c>
      <c r="BF21" s="1131">
        <f t="shared" si="6"/>
        <v>0.32720000000000027</v>
      </c>
      <c r="BG21" s="1131">
        <f t="shared" si="7"/>
        <v>0.19994790274692781</v>
      </c>
    </row>
    <row r="22" spans="1:59" ht="14.4" x14ac:dyDescent="0.55000000000000004">
      <c r="A22" s="609"/>
      <c r="B22" s="3">
        <v>2029</v>
      </c>
      <c r="C22" s="707">
        <v>2583.9516360536154</v>
      </c>
      <c r="D22" s="965"/>
      <c r="E22" s="965"/>
      <c r="F22" s="965"/>
      <c r="G22" s="965"/>
      <c r="H22" s="965"/>
      <c r="I22" s="965"/>
      <c r="J22" s="965"/>
      <c r="K22" s="965"/>
      <c r="L22" s="965"/>
      <c r="M22" s="968"/>
      <c r="N22" s="3">
        <v>2029</v>
      </c>
      <c r="O22" s="1170">
        <f>C22*Compost!J21/100</f>
        <v>1223.5699434085859</v>
      </c>
      <c r="P22" s="1116"/>
      <c r="Q22" s="1116"/>
      <c r="R22" s="1116"/>
      <c r="S22" s="1116"/>
      <c r="T22" s="1116"/>
      <c r="U22" s="1116"/>
      <c r="V22" s="1116"/>
      <c r="W22" s="1116"/>
      <c r="X22" s="1116"/>
      <c r="AA22" s="3">
        <v>2029</v>
      </c>
      <c r="AB22" s="707">
        <f>C22*'H&amp;C Recycling'!M19/100</f>
        <v>840.55946720824181</v>
      </c>
      <c r="AC22" s="1129">
        <f t="shared" si="0"/>
        <v>248.14319875943735</v>
      </c>
      <c r="AD22" s="1129">
        <f t="shared" si="1"/>
        <v>39.576327946950222</v>
      </c>
      <c r="AE22" s="1129">
        <f t="shared" si="2"/>
        <v>121.8106533099625</v>
      </c>
      <c r="AF22" s="1129">
        <f t="shared" si="3"/>
        <v>332.52625862840199</v>
      </c>
      <c r="AG22" s="1129">
        <f t="shared" si="4"/>
        <v>98.503028563489622</v>
      </c>
      <c r="AH22" s="2"/>
      <c r="AI22" s="2"/>
      <c r="AJ22" s="2"/>
      <c r="AK22" s="2"/>
      <c r="AM22" s="3">
        <v>2029</v>
      </c>
      <c r="AN22" s="707">
        <f t="shared" si="8"/>
        <v>519.82222543678768</v>
      </c>
      <c r="AO22" s="528"/>
      <c r="AP22" s="528"/>
      <c r="AQ22" s="528"/>
      <c r="AR22" s="528"/>
      <c r="AS22" s="528"/>
      <c r="AT22" s="528"/>
      <c r="AU22" s="528"/>
      <c r="AV22" s="528"/>
      <c r="AW22" s="528"/>
      <c r="AY22" s="3">
        <v>2029</v>
      </c>
      <c r="AZ22" s="707">
        <f>C22*Bioplastics!AL27</f>
        <v>355.37095102546516</v>
      </c>
      <c r="BD22" s="3">
        <v>2029</v>
      </c>
      <c r="BE22" s="1131">
        <f t="shared" si="5"/>
        <v>0.47352664281182294</v>
      </c>
      <c r="BF22" s="1131">
        <f t="shared" si="6"/>
        <v>0.32530000000000026</v>
      </c>
      <c r="BG22" s="1131">
        <f t="shared" si="7"/>
        <v>0.20117335718817675</v>
      </c>
    </row>
    <row r="23" spans="1:59" ht="14.4" x14ac:dyDescent="0.55000000000000004">
      <c r="A23" s="609"/>
      <c r="B23" s="3">
        <v>2030</v>
      </c>
      <c r="C23" s="707">
        <v>2630.7549019692192</v>
      </c>
      <c r="D23" s="965"/>
      <c r="E23" s="965"/>
      <c r="F23" s="965"/>
      <c r="G23" s="965"/>
      <c r="H23" s="965"/>
      <c r="I23" s="965"/>
      <c r="J23" s="965"/>
      <c r="K23" s="965"/>
      <c r="L23" s="965"/>
      <c r="M23" s="968"/>
      <c r="N23" s="3">
        <v>2030</v>
      </c>
      <c r="O23" s="1170">
        <f>C23*Compost!J22/100</f>
        <v>1247.3546766109268</v>
      </c>
      <c r="P23" s="1116"/>
      <c r="Q23" s="1116"/>
      <c r="R23" s="1116"/>
      <c r="S23" s="1116"/>
      <c r="T23" s="1116"/>
      <c r="U23" s="1116"/>
      <c r="V23" s="1116"/>
      <c r="W23" s="1116"/>
      <c r="X23" s="1116"/>
      <c r="AA23" s="3">
        <v>2030</v>
      </c>
      <c r="AB23" s="707">
        <f>C23*'H&amp;C Recycling'!M20/100</f>
        <v>850.78613529684628</v>
      </c>
      <c r="AC23" s="1129">
        <f t="shared" si="0"/>
        <v>251.16223338001666</v>
      </c>
      <c r="AD23" s="1129">
        <f t="shared" si="1"/>
        <v>40.057833403575991</v>
      </c>
      <c r="AE23" s="1129">
        <f t="shared" si="2"/>
        <v>123.29266281631482</v>
      </c>
      <c r="AF23" s="1129">
        <f t="shared" si="3"/>
        <v>336.57193988047652</v>
      </c>
      <c r="AG23" s="1129">
        <f t="shared" si="4"/>
        <v>99.701465816462189</v>
      </c>
      <c r="AH23" s="2"/>
      <c r="AI23" s="2"/>
      <c r="AJ23" s="2"/>
      <c r="AK23" s="2"/>
      <c r="AM23" s="3">
        <v>2030</v>
      </c>
      <c r="AN23" s="707">
        <f t="shared" si="8"/>
        <v>532.61409006144606</v>
      </c>
      <c r="AO23" s="528"/>
      <c r="AP23" s="528"/>
      <c r="AQ23" s="528"/>
      <c r="AR23" s="528"/>
      <c r="AS23" s="528"/>
      <c r="AT23" s="528"/>
      <c r="AU23" s="528"/>
      <c r="AV23" s="528"/>
      <c r="AW23" s="528"/>
      <c r="AY23" s="3">
        <v>2030</v>
      </c>
      <c r="AZ23" s="707">
        <f>C23*Bioplastics!AL28</f>
        <v>365.40786438957912</v>
      </c>
      <c r="BD23" s="3">
        <v>2030</v>
      </c>
      <c r="BE23" s="1131">
        <f t="shared" si="5"/>
        <v>0.47414324902606275</v>
      </c>
      <c r="BF23" s="1131">
        <f t="shared" si="6"/>
        <v>0.3234000000000003</v>
      </c>
      <c r="BG23" s="1131">
        <f t="shared" si="7"/>
        <v>0.20245675097393692</v>
      </c>
    </row>
    <row r="24" spans="1:59" ht="14.4" x14ac:dyDescent="0.55000000000000004">
      <c r="A24" s="609"/>
      <c r="B24" s="3">
        <v>2031</v>
      </c>
      <c r="C24" s="707">
        <v>2671.0676895055658</v>
      </c>
      <c r="D24" s="965"/>
      <c r="E24" s="965"/>
      <c r="F24" s="965"/>
      <c r="G24" s="965"/>
      <c r="H24" s="965"/>
      <c r="I24" s="965"/>
      <c r="J24" s="965"/>
      <c r="K24" s="965"/>
      <c r="L24" s="965"/>
      <c r="M24" s="968"/>
      <c r="N24" s="3">
        <v>2031</v>
      </c>
      <c r="O24" s="1170">
        <f>C24*Compost!J23/100</f>
        <v>1267.97388472032</v>
      </c>
      <c r="P24" s="1116"/>
      <c r="Q24" s="1116"/>
      <c r="R24" s="1116"/>
      <c r="S24" s="1116"/>
      <c r="T24" s="1116"/>
      <c r="U24" s="1116"/>
      <c r="V24" s="1116"/>
      <c r="W24" s="1116"/>
      <c r="X24" s="1116"/>
      <c r="AA24" s="3">
        <v>2031</v>
      </c>
      <c r="AB24" s="707">
        <f>C24*'H&amp;C Recycling'!M21/100</f>
        <v>858.74826217604027</v>
      </c>
      <c r="AC24" s="1129">
        <f t="shared" si="0"/>
        <v>253.51274837605109</v>
      </c>
      <c r="AD24" s="1129">
        <f t="shared" si="1"/>
        <v>40.4327167483235</v>
      </c>
      <c r="AE24" s="1129">
        <f t="shared" si="2"/>
        <v>124.44650369816543</v>
      </c>
      <c r="AF24" s="1129">
        <f t="shared" si="3"/>
        <v>339.72176611544421</v>
      </c>
      <c r="AG24" s="1129">
        <f t="shared" si="4"/>
        <v>100.63452723805591</v>
      </c>
      <c r="AH24" s="2"/>
      <c r="AI24" s="2"/>
      <c r="AJ24" s="2"/>
      <c r="AK24" s="2"/>
      <c r="AM24" s="3">
        <v>2031</v>
      </c>
      <c r="AN24" s="707">
        <f t="shared" si="8"/>
        <v>544.34554260920549</v>
      </c>
      <c r="AO24" s="528"/>
      <c r="AP24" s="528"/>
      <c r="AQ24" s="528"/>
      <c r="AR24" s="528"/>
      <c r="AS24" s="528"/>
      <c r="AT24" s="528"/>
      <c r="AU24" s="528"/>
      <c r="AV24" s="528"/>
      <c r="AW24" s="528"/>
      <c r="AY24" s="3">
        <v>2031</v>
      </c>
      <c r="AZ24" s="707">
        <f>C24*Bioplastics!AL29</f>
        <v>375.64180154204911</v>
      </c>
      <c r="BD24" s="3">
        <v>2031</v>
      </c>
      <c r="BE24" s="1131">
        <f t="shared" si="5"/>
        <v>0.47470675853783073</v>
      </c>
      <c r="BF24" s="1131">
        <f t="shared" si="6"/>
        <v>0.32150000000000034</v>
      </c>
      <c r="BG24" s="1131">
        <f t="shared" si="7"/>
        <v>0.20379324146216896</v>
      </c>
    </row>
    <row r="25" spans="1:59" ht="14.4" x14ac:dyDescent="0.55000000000000004">
      <c r="A25" s="609"/>
      <c r="B25" s="3">
        <v>2032</v>
      </c>
      <c r="C25" s="707">
        <v>2713.0477280924774</v>
      </c>
      <c r="D25" s="965"/>
      <c r="E25" s="965"/>
      <c r="F25" s="965"/>
      <c r="G25" s="965"/>
      <c r="H25" s="965"/>
      <c r="I25" s="965"/>
      <c r="J25" s="965"/>
      <c r="K25" s="965"/>
      <c r="L25" s="965"/>
      <c r="M25" s="968"/>
      <c r="N25" s="3">
        <v>2032</v>
      </c>
      <c r="O25" s="1170">
        <f>C25*Compost!J24/100</f>
        <v>1289.2989681742556</v>
      </c>
      <c r="P25" s="1116"/>
      <c r="Q25" s="1116"/>
      <c r="R25" s="1116"/>
      <c r="S25" s="1116"/>
      <c r="T25" s="1116"/>
      <c r="U25" s="1116"/>
      <c r="V25" s="1116"/>
      <c r="W25" s="1116"/>
      <c r="X25" s="1116"/>
      <c r="AA25" s="3">
        <v>2032</v>
      </c>
      <c r="AB25" s="707">
        <f>C25*'H&amp;C Recycling'!M22/100</f>
        <v>867.0900538983567</v>
      </c>
      <c r="AC25" s="1129">
        <f t="shared" si="0"/>
        <v>255.97534497047835</v>
      </c>
      <c r="AD25" s="1129">
        <f t="shared" si="1"/>
        <v>40.825475973276419</v>
      </c>
      <c r="AE25" s="1129">
        <f t="shared" si="2"/>
        <v>125.65536415255522</v>
      </c>
      <c r="AF25" s="1129">
        <f t="shared" si="3"/>
        <v>343.02178818395072</v>
      </c>
      <c r="AG25" s="1129">
        <f t="shared" si="4"/>
        <v>101.61208061809587</v>
      </c>
      <c r="AH25" s="2"/>
      <c r="AI25" s="2"/>
      <c r="AJ25" s="2"/>
      <c r="AK25" s="2"/>
      <c r="AM25" s="3">
        <v>2032</v>
      </c>
      <c r="AN25" s="707">
        <f t="shared" si="8"/>
        <v>556.65870601986512</v>
      </c>
      <c r="AO25" s="528"/>
      <c r="AP25" s="528"/>
      <c r="AQ25" s="528"/>
      <c r="AR25" s="528"/>
      <c r="AS25" s="528"/>
      <c r="AT25" s="528"/>
      <c r="AU25" s="528"/>
      <c r="AV25" s="528"/>
      <c r="AW25" s="528"/>
      <c r="AY25" s="3">
        <v>2032</v>
      </c>
      <c r="AZ25" s="707">
        <f>C25*Bioplastics!AL30</f>
        <v>386.07545162912402</v>
      </c>
      <c r="BD25" s="3">
        <v>2032</v>
      </c>
      <c r="BE25" s="1131">
        <f t="shared" si="5"/>
        <v>0.47522163168163339</v>
      </c>
      <c r="BF25" s="1131">
        <f t="shared" si="6"/>
        <v>0.31960000000000033</v>
      </c>
      <c r="BG25" s="1131">
        <f t="shared" si="7"/>
        <v>0.20517836831836625</v>
      </c>
    </row>
    <row r="26" spans="1:59" ht="14.4" x14ac:dyDescent="0.55000000000000004">
      <c r="B26" s="3">
        <v>2033</v>
      </c>
      <c r="C26" s="707">
        <v>2754.6471629240004</v>
      </c>
      <c r="D26" s="965"/>
      <c r="E26" s="965"/>
      <c r="F26" s="965"/>
      <c r="G26" s="965"/>
      <c r="H26" s="965"/>
      <c r="I26" s="965"/>
      <c r="J26" s="965"/>
      <c r="K26" s="965"/>
      <c r="L26" s="965"/>
      <c r="M26" s="968"/>
      <c r="N26" s="3">
        <v>2033</v>
      </c>
      <c r="O26" s="1170">
        <f>C26*Compost!J25/100</f>
        <v>1310.363543472585</v>
      </c>
      <c r="P26" s="1116"/>
      <c r="Q26" s="1116"/>
      <c r="R26" s="1116"/>
      <c r="S26" s="1116"/>
      <c r="T26" s="1116"/>
      <c r="U26" s="1116"/>
      <c r="V26" s="1116"/>
      <c r="W26" s="1116"/>
      <c r="X26" s="1116"/>
      <c r="AA26" s="3">
        <v>2033</v>
      </c>
      <c r="AB26" s="707">
        <f>C26*'H&amp;C Recycling'!M23/100</f>
        <v>875.15140366095579</v>
      </c>
      <c r="AC26" s="1129">
        <f t="shared" si="0"/>
        <v>258.35515174733115</v>
      </c>
      <c r="AD26" s="1129">
        <f t="shared" si="1"/>
        <v>41.205031060508162</v>
      </c>
      <c r="AE26" s="1129">
        <f t="shared" si="2"/>
        <v>126.82358403401548</v>
      </c>
      <c r="AF26" s="1129">
        <f t="shared" si="3"/>
        <v>346.2108671017757</v>
      </c>
      <c r="AG26" s="1129">
        <f t="shared" si="4"/>
        <v>102.55676971732514</v>
      </c>
      <c r="AH26" s="2"/>
      <c r="AI26" s="2"/>
      <c r="AJ26" s="2"/>
      <c r="AK26" s="2"/>
      <c r="AM26" s="3">
        <v>2033</v>
      </c>
      <c r="AN26" s="707">
        <f t="shared" si="8"/>
        <v>569.13221579045967</v>
      </c>
      <c r="AO26" s="528"/>
      <c r="AP26" s="528"/>
      <c r="AQ26" s="528"/>
      <c r="AR26" s="528"/>
      <c r="AS26" s="528"/>
      <c r="AT26" s="528"/>
      <c r="AU26" s="528"/>
      <c r="AV26" s="528"/>
      <c r="AW26" s="528"/>
      <c r="AY26" s="3">
        <v>2033</v>
      </c>
      <c r="AZ26" s="707">
        <f>C26*Bioplastics!AL31</f>
        <v>396.71095811012998</v>
      </c>
      <c r="BD26" s="3">
        <v>2033</v>
      </c>
      <c r="BE26" s="1131">
        <f t="shared" si="5"/>
        <v>0.47569197286292791</v>
      </c>
      <c r="BF26" s="1131">
        <f t="shared" si="6"/>
        <v>0.31770000000000032</v>
      </c>
      <c r="BG26" s="1131">
        <f t="shared" si="7"/>
        <v>0.20660802713707177</v>
      </c>
    </row>
    <row r="27" spans="1:59" ht="14.4" x14ac:dyDescent="0.55000000000000004">
      <c r="B27" s="3">
        <v>2034</v>
      </c>
      <c r="C27" s="707">
        <v>2795.9182687269372</v>
      </c>
      <c r="D27" s="965"/>
      <c r="E27" s="965"/>
      <c r="F27" s="965"/>
      <c r="G27" s="965"/>
      <c r="H27" s="965"/>
      <c r="I27" s="965"/>
      <c r="J27" s="965"/>
      <c r="K27" s="965"/>
      <c r="L27" s="965"/>
      <c r="M27" s="968"/>
      <c r="N27" s="3">
        <v>2034</v>
      </c>
      <c r="O27" s="1170">
        <f>C27*Compost!J26/100</f>
        <v>1331.1969559513291</v>
      </c>
      <c r="P27" s="1116"/>
      <c r="Q27" s="1116"/>
      <c r="R27" s="1116"/>
      <c r="S27" s="1116"/>
      <c r="T27" s="1116"/>
      <c r="U27" s="1116"/>
      <c r="V27" s="1116"/>
      <c r="W27" s="1116"/>
      <c r="X27" s="1116"/>
      <c r="AA27" s="3">
        <v>2034</v>
      </c>
      <c r="AB27" s="707">
        <f>C27*'H&amp;C Recycling'!M24/100</f>
        <v>882.95098926396759</v>
      </c>
      <c r="AC27" s="1129">
        <f t="shared" si="0"/>
        <v>260.65768261639329</v>
      </c>
      <c r="AD27" s="1129">
        <f t="shared" si="1"/>
        <v>41.572261422805227</v>
      </c>
      <c r="AE27" s="1129">
        <f t="shared" si="2"/>
        <v>127.95387005768652</v>
      </c>
      <c r="AF27" s="1129">
        <f t="shared" si="3"/>
        <v>349.29639182739152</v>
      </c>
      <c r="AG27" s="1129">
        <f t="shared" si="4"/>
        <v>103.47078333969091</v>
      </c>
      <c r="AH27" s="2"/>
      <c r="AI27" s="2"/>
      <c r="AJ27" s="2"/>
      <c r="AK27" s="2"/>
      <c r="AM27" s="3">
        <v>2034</v>
      </c>
      <c r="AN27" s="707">
        <f t="shared" si="8"/>
        <v>581.77032351164053</v>
      </c>
      <c r="AO27" s="528"/>
      <c r="AP27" s="528"/>
      <c r="AQ27" s="528"/>
      <c r="AR27" s="528"/>
      <c r="AS27" s="528"/>
      <c r="AT27" s="528"/>
      <c r="AU27" s="528"/>
      <c r="AV27" s="528"/>
      <c r="AW27" s="528"/>
      <c r="AY27" s="3">
        <v>2034</v>
      </c>
      <c r="AZ27" s="707">
        <f>C27*Bioplastics!AL32</f>
        <v>407.54984895826954</v>
      </c>
      <c r="BD27" s="3">
        <v>2034</v>
      </c>
      <c r="BE27" s="1131">
        <f t="shared" si="5"/>
        <v>0.47612155578405435</v>
      </c>
      <c r="BF27" s="1131">
        <f t="shared" si="6"/>
        <v>0.3158000000000003</v>
      </c>
      <c r="BG27" s="1131">
        <f t="shared" si="7"/>
        <v>0.20807844421594535</v>
      </c>
    </row>
    <row r="28" spans="1:59" ht="14.4" x14ac:dyDescent="0.55000000000000004">
      <c r="B28" s="3">
        <v>2035</v>
      </c>
      <c r="C28" s="707">
        <v>2837.0275955231041</v>
      </c>
      <c r="D28" s="965"/>
      <c r="E28" s="965"/>
      <c r="F28" s="965"/>
      <c r="G28" s="965"/>
      <c r="H28" s="965"/>
      <c r="I28" s="965"/>
      <c r="J28" s="965"/>
      <c r="K28" s="965"/>
      <c r="L28" s="965"/>
      <c r="M28" s="968"/>
      <c r="N28" s="3">
        <v>2035</v>
      </c>
      <c r="O28" s="1170">
        <f>C28*Compost!J27/100</f>
        <v>1351.8829348290292</v>
      </c>
      <c r="P28" s="1116"/>
      <c r="Q28" s="1116"/>
      <c r="R28" s="1116"/>
      <c r="S28" s="1116"/>
      <c r="T28" s="1116"/>
      <c r="U28" s="1116"/>
      <c r="V28" s="1116"/>
      <c r="W28" s="1116"/>
      <c r="X28" s="1116"/>
      <c r="AA28" s="3">
        <v>2035</v>
      </c>
      <c r="AB28" s="707">
        <f>C28*'H&amp;C Recycling'!M25/100</f>
        <v>890.54296223470317</v>
      </c>
      <c r="AC28" s="1129">
        <f t="shared" si="0"/>
        <v>262.89892375559612</v>
      </c>
      <c r="AD28" s="1129">
        <f t="shared" si="1"/>
        <v>41.929716693700144</v>
      </c>
      <c r="AE28" s="1129">
        <f t="shared" si="2"/>
        <v>129.05406965516218</v>
      </c>
      <c r="AF28" s="1129">
        <f t="shared" si="3"/>
        <v>352.29978476513497</v>
      </c>
      <c r="AG28" s="1129">
        <f t="shared" si="4"/>
        <v>104.3604673651096</v>
      </c>
      <c r="AH28" s="2"/>
      <c r="AI28" s="2"/>
      <c r="AJ28" s="2"/>
      <c r="AK28" s="2"/>
      <c r="AM28" s="3">
        <v>2035</v>
      </c>
      <c r="AN28" s="707">
        <f t="shared" si="8"/>
        <v>594.60169845937173</v>
      </c>
      <c r="AO28" s="528"/>
      <c r="AP28" s="528"/>
      <c r="AQ28" s="528"/>
      <c r="AR28" s="528"/>
      <c r="AS28" s="528"/>
      <c r="AT28" s="528"/>
      <c r="AU28" s="528"/>
      <c r="AV28" s="528"/>
      <c r="AW28" s="528"/>
      <c r="AY28" s="3">
        <v>2035</v>
      </c>
      <c r="AZ28" s="707">
        <f>C28*Bioplastics!AL33</f>
        <v>418.59297059231375</v>
      </c>
      <c r="BD28" s="3">
        <v>2035</v>
      </c>
      <c r="BE28" s="1131">
        <f t="shared" si="5"/>
        <v>0.47651384743748426</v>
      </c>
      <c r="BF28" s="1131">
        <f t="shared" si="6"/>
        <v>0.31390000000000029</v>
      </c>
      <c r="BG28" s="1131">
        <f t="shared" si="7"/>
        <v>0.20958615256251548</v>
      </c>
    </row>
    <row r="29" spans="1:59" ht="14.4" x14ac:dyDescent="0.55000000000000004">
      <c r="B29" s="3">
        <v>2036</v>
      </c>
      <c r="C29" s="707">
        <v>2877.593182128237</v>
      </c>
      <c r="D29" s="965"/>
      <c r="E29" s="965"/>
      <c r="F29" s="965"/>
      <c r="G29" s="965"/>
      <c r="H29" s="965"/>
      <c r="I29" s="965"/>
      <c r="J29" s="965"/>
      <c r="K29" s="965"/>
      <c r="L29" s="965"/>
      <c r="M29" s="968"/>
      <c r="N29" s="3">
        <v>2036</v>
      </c>
      <c r="O29" s="1170">
        <f>C29*Compost!J28/100</f>
        <v>1372.2437046355562</v>
      </c>
      <c r="P29" s="1116"/>
      <c r="Q29" s="1116"/>
      <c r="R29" s="1116"/>
      <c r="S29" s="1116"/>
      <c r="T29" s="1116"/>
      <c r="U29" s="1116"/>
      <c r="V29" s="1116"/>
      <c r="W29" s="1116"/>
      <c r="X29" s="1116"/>
      <c r="AA29" s="3">
        <v>2036</v>
      </c>
      <c r="AB29" s="707">
        <f>C29*'H&amp;C Recycling'!M26/100</f>
        <v>897.80907282401085</v>
      </c>
      <c r="AC29" s="1129">
        <f t="shared" si="0"/>
        <v>265.04396642599642</v>
      </c>
      <c r="AD29" s="1129">
        <f t="shared" si="1"/>
        <v>42.271829282755078</v>
      </c>
      <c r="AE29" s="1129">
        <f t="shared" si="2"/>
        <v>130.10704652644253</v>
      </c>
      <c r="AF29" s="1129">
        <f t="shared" si="3"/>
        <v>355.17426618293109</v>
      </c>
      <c r="AG29" s="1129">
        <f t="shared" si="4"/>
        <v>105.21196440588557</v>
      </c>
      <c r="AH29" s="2"/>
      <c r="AI29" s="2"/>
      <c r="AJ29" s="2"/>
      <c r="AK29" s="2"/>
      <c r="AM29" s="3">
        <v>2036</v>
      </c>
      <c r="AN29" s="707">
        <f t="shared" si="8"/>
        <v>607.54040466866991</v>
      </c>
      <c r="AO29" s="528"/>
      <c r="AP29" s="528"/>
      <c r="AQ29" s="528"/>
      <c r="AR29" s="528"/>
      <c r="AS29" s="528"/>
      <c r="AT29" s="528"/>
      <c r="AU29" s="528"/>
      <c r="AV29" s="528"/>
      <c r="AW29" s="528"/>
      <c r="AY29" s="3">
        <v>2036</v>
      </c>
      <c r="AZ29" s="707">
        <f>C29*Bioplastics!AL34</f>
        <v>429.84041128086119</v>
      </c>
      <c r="BD29" s="3">
        <v>2036</v>
      </c>
      <c r="BE29" s="1131">
        <f t="shared" si="5"/>
        <v>0.47687203082009649</v>
      </c>
      <c r="BF29" s="1131">
        <f t="shared" si="6"/>
        <v>0.31200000000000033</v>
      </c>
      <c r="BG29" s="1131">
        <f t="shared" si="7"/>
        <v>0.21112796917990317</v>
      </c>
    </row>
    <row r="30" spans="1:59" ht="14.4" x14ac:dyDescent="0.55000000000000004">
      <c r="B30" s="3">
        <v>2037</v>
      </c>
      <c r="C30" s="707">
        <v>2918.0432097870271</v>
      </c>
      <c r="D30" s="965"/>
      <c r="E30" s="965"/>
      <c r="F30" s="965"/>
      <c r="G30" s="965"/>
      <c r="H30" s="965"/>
      <c r="I30" s="965"/>
      <c r="J30" s="965"/>
      <c r="K30" s="965"/>
      <c r="L30" s="965"/>
      <c r="M30" s="968"/>
      <c r="N30" s="3">
        <v>2037</v>
      </c>
      <c r="O30" s="1170">
        <f>C30*Compost!J29/100</f>
        <v>1392.4873785559694</v>
      </c>
      <c r="P30" s="1116"/>
      <c r="Q30" s="1116"/>
      <c r="R30" s="1116"/>
      <c r="S30" s="1116"/>
      <c r="T30" s="1116"/>
      <c r="U30" s="1116"/>
      <c r="V30" s="1116"/>
      <c r="W30" s="1116"/>
      <c r="X30" s="1116"/>
      <c r="AA30" s="3">
        <v>2037</v>
      </c>
      <c r="AB30" s="707">
        <f>C30*'H&amp;C Recycling'!M27/100</f>
        <v>904.88519935495788</v>
      </c>
      <c r="AC30" s="1129">
        <f t="shared" si="0"/>
        <v>267.13292353220521</v>
      </c>
      <c r="AD30" s="1129">
        <f t="shared" si="1"/>
        <v>42.604996792143794</v>
      </c>
      <c r="AE30" s="1129">
        <f t="shared" si="2"/>
        <v>131.13249163683003</v>
      </c>
      <c r="AF30" s="1129">
        <f t="shared" si="3"/>
        <v>357.97358969627163</v>
      </c>
      <c r="AG30" s="1129">
        <f t="shared" si="4"/>
        <v>106.04119769750712</v>
      </c>
      <c r="AH30" s="2"/>
      <c r="AI30" s="2"/>
      <c r="AJ30" s="2"/>
      <c r="AK30" s="2"/>
      <c r="AM30" s="3">
        <v>2037</v>
      </c>
      <c r="AN30" s="707">
        <f t="shared" si="8"/>
        <v>620.67063187609983</v>
      </c>
      <c r="AO30" s="528"/>
      <c r="AP30" s="528"/>
      <c r="AQ30" s="528"/>
      <c r="AR30" s="528"/>
      <c r="AS30" s="528"/>
      <c r="AT30" s="528"/>
      <c r="AU30" s="528"/>
      <c r="AV30" s="528"/>
      <c r="AW30" s="528"/>
      <c r="AY30" s="3">
        <v>2037</v>
      </c>
      <c r="AZ30" s="707">
        <f>C30*Bioplastics!AL35</f>
        <v>441.29169627121814</v>
      </c>
      <c r="BD30" s="3">
        <v>2037</v>
      </c>
      <c r="BE30" s="1131">
        <f t="shared" si="5"/>
        <v>0.47719902634944183</v>
      </c>
      <c r="BF30" s="1131">
        <f t="shared" si="6"/>
        <v>0.31010000000000026</v>
      </c>
      <c r="BG30" s="1131">
        <f t="shared" si="7"/>
        <v>0.2127009736505579</v>
      </c>
    </row>
    <row r="31" spans="1:59" ht="14.4" x14ac:dyDescent="0.55000000000000004">
      <c r="B31" s="3">
        <v>2038</v>
      </c>
      <c r="C31" s="707">
        <v>2958.2622662500853</v>
      </c>
      <c r="D31" s="965"/>
      <c r="E31" s="965"/>
      <c r="F31" s="965"/>
      <c r="G31" s="965"/>
      <c r="H31" s="965"/>
      <c r="I31" s="965"/>
      <c r="J31" s="965"/>
      <c r="K31" s="965"/>
      <c r="L31" s="965"/>
      <c r="M31" s="968"/>
      <c r="N31" s="3">
        <v>2038</v>
      </c>
      <c r="O31" s="1170">
        <f>C31*Compost!J30/100</f>
        <v>1412.5628719322981</v>
      </c>
      <c r="P31" s="1116"/>
      <c r="Q31" s="1116"/>
      <c r="R31" s="1116"/>
      <c r="S31" s="1116"/>
      <c r="T31" s="1116"/>
      <c r="U31" s="1116"/>
      <c r="V31" s="1116"/>
      <c r="W31" s="1116"/>
      <c r="X31" s="1116"/>
      <c r="AA31" s="3">
        <v>2038</v>
      </c>
      <c r="AB31" s="707">
        <f>C31*'H&amp;C Recycling'!M28/100</f>
        <v>911.73643045827703</v>
      </c>
      <c r="AC31" s="1129">
        <f t="shared" si="0"/>
        <v>269.15548882085074</v>
      </c>
      <c r="AD31" s="1129">
        <f t="shared" si="1"/>
        <v>42.927575478796228</v>
      </c>
      <c r="AE31" s="1129">
        <f t="shared" si="2"/>
        <v>132.12534576462261</v>
      </c>
      <c r="AF31" s="1129">
        <f t="shared" si="3"/>
        <v>360.68394432870696</v>
      </c>
      <c r="AG31" s="1129">
        <f t="shared" si="4"/>
        <v>106.84407606530036</v>
      </c>
      <c r="AH31" s="2"/>
      <c r="AI31" s="2"/>
      <c r="AJ31" s="2"/>
      <c r="AK31" s="2"/>
      <c r="AM31" s="3">
        <v>2038</v>
      </c>
      <c r="AN31" s="707">
        <f t="shared" si="8"/>
        <v>633.96296385951018</v>
      </c>
      <c r="AO31" s="528"/>
      <c r="AP31" s="528"/>
      <c r="AQ31" s="528"/>
      <c r="AR31" s="528"/>
      <c r="AS31" s="528"/>
      <c r="AT31" s="528"/>
      <c r="AU31" s="528"/>
      <c r="AV31" s="528"/>
      <c r="AW31" s="528"/>
      <c r="AY31" s="3">
        <v>2038</v>
      </c>
      <c r="AZ31" s="707">
        <f>C31*Bioplastics!AL36</f>
        <v>452.94598093298129</v>
      </c>
      <c r="BD31" s="3">
        <v>2038</v>
      </c>
      <c r="BE31" s="1131">
        <f t="shared" si="5"/>
        <v>0.47749751198458579</v>
      </c>
      <c r="BF31" s="1131">
        <f t="shared" si="6"/>
        <v>0.30820000000000025</v>
      </c>
      <c r="BG31" s="1131">
        <f t="shared" si="7"/>
        <v>0.21430248801541393</v>
      </c>
    </row>
    <row r="32" spans="1:59" ht="14.4" x14ac:dyDescent="0.55000000000000004">
      <c r="B32" s="3">
        <v>2039</v>
      </c>
      <c r="C32" s="707">
        <v>2998.2486488063391</v>
      </c>
      <c r="D32" s="965"/>
      <c r="E32" s="965"/>
      <c r="F32" s="965"/>
      <c r="G32" s="965"/>
      <c r="H32" s="965"/>
      <c r="I32" s="965"/>
      <c r="J32" s="965"/>
      <c r="K32" s="965"/>
      <c r="L32" s="965"/>
      <c r="M32" s="968"/>
      <c r="N32" s="3">
        <v>2039</v>
      </c>
      <c r="O32" s="1170">
        <f>C32*Compost!J31/100</f>
        <v>1432.4730832547109</v>
      </c>
      <c r="P32" s="1116"/>
      <c r="Q32" s="1116"/>
      <c r="R32" s="1116"/>
      <c r="S32" s="1116"/>
      <c r="T32" s="1116"/>
      <c r="U32" s="1116"/>
      <c r="V32" s="1116"/>
      <c r="W32" s="1116"/>
      <c r="X32" s="1116"/>
      <c r="AA32" s="3">
        <v>2039</v>
      </c>
      <c r="AB32" s="707">
        <f>C32*'H&amp;C Recycling'!M29/100</f>
        <v>918.36356112938245</v>
      </c>
      <c r="AC32" s="1129">
        <f t="shared" si="0"/>
        <v>271.11189698407884</v>
      </c>
      <c r="AD32" s="1129">
        <f t="shared" si="1"/>
        <v>43.239602773733573</v>
      </c>
      <c r="AE32" s="1129">
        <f t="shared" si="2"/>
        <v>133.08572411750583</v>
      </c>
      <c r="AF32" s="1129">
        <f t="shared" si="3"/>
        <v>363.30564458130584</v>
      </c>
      <c r="AG32" s="1129">
        <f t="shared" si="4"/>
        <v>107.62069267275825</v>
      </c>
      <c r="AH32" s="2"/>
      <c r="AI32" s="2"/>
      <c r="AJ32" s="2"/>
      <c r="AK32" s="2"/>
      <c r="AM32" s="3">
        <v>2039</v>
      </c>
      <c r="AN32" s="707">
        <f t="shared" si="8"/>
        <v>647.41200442224579</v>
      </c>
      <c r="AO32" s="528"/>
      <c r="AP32" s="528"/>
      <c r="AQ32" s="528"/>
      <c r="AR32" s="528"/>
      <c r="AS32" s="528"/>
      <c r="AT32" s="528"/>
      <c r="AU32" s="528"/>
      <c r="AV32" s="528"/>
      <c r="AW32" s="528"/>
      <c r="AY32" s="3">
        <v>2039</v>
      </c>
      <c r="AZ32" s="707">
        <f>C32*Bioplastics!AL37</f>
        <v>464.80197842811947</v>
      </c>
      <c r="BD32" s="3">
        <v>2039</v>
      </c>
      <c r="BE32" s="1131">
        <f t="shared" si="5"/>
        <v>0.47776994207101742</v>
      </c>
      <c r="BF32" s="1131">
        <f t="shared" si="6"/>
        <v>0.30630000000000024</v>
      </c>
      <c r="BG32" s="1131">
        <f t="shared" si="7"/>
        <v>0.21593005792898232</v>
      </c>
    </row>
    <row r="33" spans="2:59" ht="14.4" x14ac:dyDescent="0.55000000000000004">
      <c r="B33" s="3">
        <v>2040</v>
      </c>
      <c r="C33" s="707">
        <v>3034.5160714120425</v>
      </c>
      <c r="D33" s="965"/>
      <c r="E33" s="965"/>
      <c r="F33" s="965"/>
      <c r="G33" s="965"/>
      <c r="H33" s="965"/>
      <c r="I33" s="965"/>
      <c r="J33" s="965"/>
      <c r="K33" s="965"/>
      <c r="L33" s="965"/>
      <c r="M33" s="968"/>
      <c r="N33" s="3">
        <v>2040</v>
      </c>
      <c r="O33" s="1170">
        <f>C33*Compost!J32/100</f>
        <v>1450.5550177499715</v>
      </c>
      <c r="P33" s="1116"/>
      <c r="Q33" s="1116"/>
      <c r="R33" s="1116"/>
      <c r="S33" s="1116"/>
      <c r="T33" s="1116"/>
      <c r="U33" s="1116"/>
      <c r="V33" s="1116"/>
      <c r="W33" s="1116"/>
      <c r="X33" s="1116"/>
      <c r="AA33" s="3">
        <v>2040</v>
      </c>
      <c r="AB33" s="707">
        <f>C33*'H&amp;C Recycling'!M30/100</f>
        <v>923.70669213782651</v>
      </c>
      <c r="AC33" s="1129">
        <f t="shared" si="0"/>
        <v>272.68925310408025</v>
      </c>
      <c r="AD33" s="1129">
        <f t="shared" si="1"/>
        <v>43.491175105380762</v>
      </c>
      <c r="AE33" s="1129">
        <f t="shared" si="2"/>
        <v>133.86003016514451</v>
      </c>
      <c r="AF33" s="1129">
        <f t="shared" si="3"/>
        <v>365.41939314153603</v>
      </c>
      <c r="AG33" s="1129">
        <f t="shared" si="4"/>
        <v>108.2468406216848</v>
      </c>
      <c r="AH33" s="2"/>
      <c r="AI33" s="2"/>
      <c r="AJ33" s="2"/>
      <c r="AK33" s="2"/>
      <c r="AM33" s="3">
        <v>2040</v>
      </c>
      <c r="AN33" s="707">
        <f t="shared" si="8"/>
        <v>660.25436152424447</v>
      </c>
      <c r="AO33" s="528"/>
      <c r="AP33" s="528"/>
      <c r="AQ33" s="528"/>
      <c r="AR33" s="528"/>
      <c r="AS33" s="528"/>
      <c r="AT33" s="528"/>
      <c r="AU33" s="528"/>
      <c r="AV33" s="528"/>
      <c r="AW33" s="528"/>
      <c r="AY33" s="3">
        <v>2040</v>
      </c>
      <c r="AZ33" s="707">
        <f>C33*Bioplastics!AL38</f>
        <v>476.85789740991805</v>
      </c>
      <c r="BD33" s="3">
        <v>2040</v>
      </c>
      <c r="BE33" s="1131">
        <f t="shared" si="5"/>
        <v>0.47801856494204986</v>
      </c>
      <c r="BF33" s="1131">
        <f t="shared" si="6"/>
        <v>0.30440000000000028</v>
      </c>
      <c r="BG33" s="1131">
        <f t="shared" si="7"/>
        <v>0.21758143505794986</v>
      </c>
    </row>
    <row r="34" spans="2:59" ht="14.4" x14ac:dyDescent="0.55000000000000004">
      <c r="B34" s="3">
        <v>2041</v>
      </c>
      <c r="C34" s="707">
        <v>3077.4302876550992</v>
      </c>
      <c r="D34" s="965"/>
      <c r="E34" s="965"/>
      <c r="F34" s="965"/>
      <c r="G34" s="965"/>
      <c r="H34" s="965"/>
      <c r="I34" s="965"/>
      <c r="J34" s="965"/>
      <c r="K34" s="965"/>
      <c r="L34" s="965"/>
      <c r="M34" s="968"/>
      <c r="N34" s="3">
        <v>2041</v>
      </c>
      <c r="O34" s="1170">
        <f>C34*Compost!J33/100</f>
        <v>1471.7669998925037</v>
      </c>
      <c r="P34" s="1116"/>
      <c r="Q34" s="1116"/>
      <c r="R34" s="1116"/>
      <c r="S34" s="1116"/>
      <c r="T34" s="1116"/>
      <c r="U34" s="1116"/>
      <c r="V34" s="1116"/>
      <c r="W34" s="1116"/>
      <c r="X34" s="1116"/>
      <c r="AA34" s="3">
        <v>2041</v>
      </c>
      <c r="AB34" s="707">
        <f>C34*'H&amp;C Recycling'!M31/100</f>
        <v>930.92266201566815</v>
      </c>
      <c r="AC34" s="1129">
        <f t="shared" si="0"/>
        <v>274.8194936373128</v>
      </c>
      <c r="AD34" s="1129">
        <f t="shared" si="1"/>
        <v>43.83092690341747</v>
      </c>
      <c r="AE34" s="1129">
        <f t="shared" si="2"/>
        <v>134.90574083687636</v>
      </c>
      <c r="AF34" s="1129">
        <f t="shared" si="3"/>
        <v>368.27403883819738</v>
      </c>
      <c r="AG34" s="1129">
        <f t="shared" si="4"/>
        <v>109.092461799864</v>
      </c>
      <c r="AH34" s="2"/>
      <c r="AI34" s="2"/>
      <c r="AJ34" s="2"/>
      <c r="AK34" s="2"/>
      <c r="AM34" s="3">
        <v>2041</v>
      </c>
      <c r="AN34" s="707">
        <f t="shared" si="8"/>
        <v>674.74062574692732</v>
      </c>
      <c r="AO34" s="528"/>
      <c r="AP34" s="528"/>
      <c r="AQ34" s="528"/>
      <c r="AR34" s="528"/>
      <c r="AS34" s="528"/>
      <c r="AT34" s="528"/>
      <c r="AU34" s="528"/>
      <c r="AV34" s="528"/>
      <c r="AW34" s="528"/>
      <c r="AY34" s="3">
        <v>2041</v>
      </c>
      <c r="AZ34" s="707">
        <f>C34*Bioplastics!AL39</f>
        <v>489.11149640624438</v>
      </c>
      <c r="BD34" s="3">
        <v>2041</v>
      </c>
      <c r="BE34" s="1131">
        <f t="shared" si="5"/>
        <v>0.47824543931877067</v>
      </c>
      <c r="BF34" s="1131">
        <f t="shared" si="6"/>
        <v>0.30250000000000021</v>
      </c>
      <c r="BG34" s="1131">
        <f t="shared" si="7"/>
        <v>0.21925456068122912</v>
      </c>
    </row>
    <row r="35" spans="2:59" ht="14.4" x14ac:dyDescent="0.55000000000000004">
      <c r="B35" s="3">
        <v>2042</v>
      </c>
      <c r="C35" s="707">
        <v>3115.5167307311153</v>
      </c>
      <c r="D35" s="965"/>
      <c r="E35" s="965"/>
      <c r="F35" s="965"/>
      <c r="G35" s="965"/>
      <c r="H35" s="965"/>
      <c r="I35" s="965"/>
      <c r="J35" s="965"/>
      <c r="K35" s="965"/>
      <c r="L35" s="965"/>
      <c r="M35" s="968"/>
      <c r="N35" s="3">
        <v>2042</v>
      </c>
      <c r="O35" s="1170">
        <f>C35*Compost!J34/100</f>
        <v>1490.626611455775</v>
      </c>
      <c r="P35" s="1116"/>
      <c r="Q35" s="1116"/>
      <c r="R35" s="1116"/>
      <c r="S35" s="1116"/>
      <c r="T35" s="1116"/>
      <c r="U35" s="1116"/>
      <c r="V35" s="1116"/>
      <c r="W35" s="1116"/>
      <c r="X35" s="1116"/>
      <c r="AA35" s="3">
        <v>2042</v>
      </c>
      <c r="AB35" s="707">
        <f>C35*'H&amp;C Recycling'!M32/100</f>
        <v>936.52432925777396</v>
      </c>
      <c r="AC35" s="1129">
        <f t="shared" si="0"/>
        <v>276.47317274280044</v>
      </c>
      <c r="AD35" s="1129">
        <f t="shared" si="1"/>
        <v>44.094671978539374</v>
      </c>
      <c r="AE35" s="1129">
        <f t="shared" si="2"/>
        <v>135.71751296366259</v>
      </c>
      <c r="AF35" s="1129">
        <f t="shared" si="3"/>
        <v>370.49006461955622</v>
      </c>
      <c r="AG35" s="1129">
        <f t="shared" si="4"/>
        <v>109.7489069532152</v>
      </c>
      <c r="AH35" s="2"/>
      <c r="AI35" s="2"/>
      <c r="AJ35" s="2"/>
      <c r="AK35" s="2"/>
      <c r="AM35" s="3">
        <v>2042</v>
      </c>
      <c r="AN35" s="707">
        <f t="shared" si="8"/>
        <v>688.36579001756638</v>
      </c>
      <c r="AO35" s="528"/>
      <c r="AP35" s="528"/>
      <c r="AQ35" s="528"/>
      <c r="AR35" s="528"/>
      <c r="AS35" s="528"/>
      <c r="AT35" s="528"/>
      <c r="AU35" s="528"/>
      <c r="AV35" s="528"/>
      <c r="AW35" s="528"/>
      <c r="AY35" s="3">
        <v>2042</v>
      </c>
      <c r="AZ35" s="707">
        <f>C35*Bioplastics!AL40</f>
        <v>501.56004261312142</v>
      </c>
      <c r="BD35" s="3">
        <v>2042</v>
      </c>
      <c r="BE35" s="1131">
        <f t="shared" si="5"/>
        <v>0.47845244955753169</v>
      </c>
      <c r="BF35" s="1131">
        <f t="shared" si="6"/>
        <v>0.3006000000000002</v>
      </c>
      <c r="BG35" s="1131">
        <f t="shared" si="7"/>
        <v>0.22094755044246808</v>
      </c>
    </row>
    <row r="36" spans="2:59" ht="14.4" x14ac:dyDescent="0.55000000000000004">
      <c r="B36" s="3">
        <v>2043</v>
      </c>
      <c r="C36" s="707">
        <v>3153.4350652335165</v>
      </c>
      <c r="D36" s="965"/>
      <c r="E36" s="965"/>
      <c r="F36" s="965"/>
      <c r="G36" s="965"/>
      <c r="H36" s="965"/>
      <c r="I36" s="965"/>
      <c r="J36" s="965"/>
      <c r="K36" s="965"/>
      <c r="L36" s="965"/>
      <c r="M36" s="968"/>
      <c r="N36" s="3">
        <v>2043</v>
      </c>
      <c r="O36" s="1170">
        <f>C36*Compost!J35/100</f>
        <v>1509.3643215227776</v>
      </c>
      <c r="P36" s="1116"/>
      <c r="Q36" s="1116"/>
      <c r="R36" s="1116"/>
      <c r="S36" s="1116"/>
      <c r="T36" s="1116"/>
      <c r="U36" s="1116"/>
      <c r="V36" s="1116"/>
      <c r="W36" s="1116"/>
      <c r="X36" s="1116"/>
      <c r="AA36" s="3">
        <v>2043</v>
      </c>
      <c r="AB36" s="707">
        <f>C36*'H&amp;C Recycling'!M33/100</f>
        <v>941.93105398525188</v>
      </c>
      <c r="AC36" s="1129">
        <f t="shared" si="0"/>
        <v>278.06930248855673</v>
      </c>
      <c r="AD36" s="1129">
        <f t="shared" si="1"/>
        <v>44.349238513426243</v>
      </c>
      <c r="AE36" s="1129">
        <f t="shared" si="2"/>
        <v>136.50103476909607</v>
      </c>
      <c r="AF36" s="1129">
        <f t="shared" si="3"/>
        <v>372.62897092565402</v>
      </c>
      <c r="AG36" s="1129">
        <f t="shared" si="4"/>
        <v>110.38250728851871</v>
      </c>
      <c r="AH36" s="2"/>
      <c r="AI36" s="2"/>
      <c r="AJ36" s="2"/>
      <c r="AK36" s="2"/>
      <c r="AM36" s="3">
        <v>2043</v>
      </c>
      <c r="AN36" s="707">
        <f t="shared" si="8"/>
        <v>702.13968972548707</v>
      </c>
      <c r="AO36" s="528"/>
      <c r="AP36" s="528"/>
      <c r="AQ36" s="528"/>
      <c r="AR36" s="528"/>
      <c r="AS36" s="528"/>
      <c r="AT36" s="528"/>
      <c r="AU36" s="528"/>
      <c r="AV36" s="528"/>
      <c r="AW36" s="528"/>
      <c r="AY36" s="3">
        <v>2043</v>
      </c>
      <c r="AZ36" s="707">
        <f>C36*Bioplastics!AL41</f>
        <v>514.20037072312857</v>
      </c>
      <c r="BD36" s="3">
        <v>2043</v>
      </c>
      <c r="BE36" s="1131">
        <f t="shared" si="5"/>
        <v>0.47864131979867069</v>
      </c>
      <c r="BF36" s="1131">
        <f t="shared" si="6"/>
        <v>0.29870000000000013</v>
      </c>
      <c r="BG36" s="1131">
        <f t="shared" si="7"/>
        <v>0.22265868020132915</v>
      </c>
    </row>
    <row r="37" spans="2:59" ht="14.4" x14ac:dyDescent="0.55000000000000004">
      <c r="B37" s="3">
        <v>2044</v>
      </c>
      <c r="C37" s="707">
        <v>3191.205104072636</v>
      </c>
      <c r="D37" s="965"/>
      <c r="E37" s="965"/>
      <c r="F37" s="965"/>
      <c r="G37" s="965"/>
      <c r="H37" s="965"/>
      <c r="I37" s="965"/>
      <c r="J37" s="965"/>
      <c r="K37" s="965"/>
      <c r="L37" s="965"/>
      <c r="M37" s="968"/>
      <c r="N37" s="3">
        <v>2044</v>
      </c>
      <c r="O37" s="1170">
        <f>C37*Compost!J36/100</f>
        <v>1527.9924906151241</v>
      </c>
      <c r="P37" s="1116"/>
      <c r="Q37" s="1116"/>
      <c r="R37" s="1116"/>
      <c r="S37" s="1116"/>
      <c r="T37" s="1116"/>
      <c r="U37" s="1116"/>
      <c r="V37" s="1116"/>
      <c r="W37" s="1116"/>
      <c r="X37" s="1116"/>
      <c r="AA37" s="3">
        <v>2044</v>
      </c>
      <c r="AB37" s="707">
        <f>C37*'H&amp;C Recycling'!M34/100</f>
        <v>947.14967488875891</v>
      </c>
      <c r="AC37" s="1129">
        <f t="shared" si="0"/>
        <v>279.60990173778066</v>
      </c>
      <c r="AD37" s="1129">
        <f t="shared" si="1"/>
        <v>44.594948496318906</v>
      </c>
      <c r="AE37" s="1129">
        <f t="shared" si="2"/>
        <v>137.25729728999127</v>
      </c>
      <c r="AF37" s="1129">
        <f t="shared" si="3"/>
        <v>374.69346315010864</v>
      </c>
      <c r="AG37" s="1129">
        <f t="shared" si="4"/>
        <v>110.99406421455929</v>
      </c>
      <c r="AH37" s="2"/>
      <c r="AI37" s="2"/>
      <c r="AJ37" s="2"/>
      <c r="AK37" s="2"/>
      <c r="AM37" s="3">
        <v>2044</v>
      </c>
      <c r="AN37" s="707">
        <f t="shared" si="8"/>
        <v>716.062938568753</v>
      </c>
      <c r="AO37" s="528"/>
      <c r="AP37" s="528"/>
      <c r="AQ37" s="528"/>
      <c r="AR37" s="528"/>
      <c r="AS37" s="528"/>
      <c r="AT37" s="528"/>
      <c r="AU37" s="528"/>
      <c r="AV37" s="528"/>
      <c r="AW37" s="528"/>
      <c r="AY37" s="3">
        <v>2044</v>
      </c>
      <c r="AZ37" s="707">
        <f>C37*Bioplastics!AL42</f>
        <v>527.02895645584624</v>
      </c>
      <c r="BD37" s="3">
        <v>2044</v>
      </c>
      <c r="BE37" s="1131">
        <f t="shared" si="5"/>
        <v>0.47881362707307357</v>
      </c>
      <c r="BF37" s="1131">
        <f t="shared" si="6"/>
        <v>0.29680000000000017</v>
      </c>
      <c r="BG37" s="1131">
        <f t="shared" si="7"/>
        <v>0.22438637292692626</v>
      </c>
    </row>
    <row r="38" spans="2:59" ht="14.4" x14ac:dyDescent="0.55000000000000004">
      <c r="B38" s="3">
        <v>2045</v>
      </c>
      <c r="C38" s="707">
        <v>3228.9513540957141</v>
      </c>
      <c r="D38" s="965"/>
      <c r="E38" s="965"/>
      <c r="F38" s="965"/>
      <c r="G38" s="965"/>
      <c r="H38" s="965"/>
      <c r="I38" s="965"/>
      <c r="J38" s="965"/>
      <c r="K38" s="965"/>
      <c r="L38" s="965"/>
      <c r="M38" s="968"/>
      <c r="N38" s="3">
        <v>2045</v>
      </c>
      <c r="O38" s="1170">
        <f>C38*Compost!J37/100</f>
        <v>1546.5734565798705</v>
      </c>
      <c r="P38" s="1116"/>
      <c r="Q38" s="1116"/>
      <c r="R38" s="1116"/>
      <c r="S38" s="1116"/>
      <c r="T38" s="1116"/>
      <c r="U38" s="1116"/>
      <c r="V38" s="1116"/>
      <c r="W38" s="1116"/>
      <c r="X38" s="1116"/>
      <c r="AA38" s="3">
        <v>2045</v>
      </c>
      <c r="AB38" s="707">
        <f>C38*'H&amp;C Recycling'!M35/100</f>
        <v>952.21775432282664</v>
      </c>
      <c r="AC38" s="1129">
        <f t="shared" si="0"/>
        <v>281.1060593463713</v>
      </c>
      <c r="AD38" s="1129">
        <f t="shared" si="1"/>
        <v>44.833570487467291</v>
      </c>
      <c r="AE38" s="1129">
        <f t="shared" si="2"/>
        <v>137.99174391866464</v>
      </c>
      <c r="AF38" s="1129">
        <f t="shared" si="3"/>
        <v>376.69840100208404</v>
      </c>
      <c r="AG38" s="1129">
        <f t="shared" si="4"/>
        <v>111.58797956823922</v>
      </c>
      <c r="AH38" s="2"/>
      <c r="AI38" s="2"/>
      <c r="AJ38" s="2"/>
      <c r="AK38" s="2"/>
      <c r="AM38" s="3">
        <v>2045</v>
      </c>
      <c r="AN38" s="707">
        <f t="shared" si="8"/>
        <v>730.16014319301701</v>
      </c>
      <c r="AO38" s="528"/>
      <c r="AP38" s="528"/>
      <c r="AQ38" s="528"/>
      <c r="AR38" s="528"/>
      <c r="AS38" s="528"/>
      <c r="AT38" s="528"/>
      <c r="AU38" s="528"/>
      <c r="AV38" s="528"/>
      <c r="AW38" s="528"/>
      <c r="AY38" s="3">
        <v>2045</v>
      </c>
      <c r="AZ38" s="707">
        <f>C38*Bioplastics!AL43</f>
        <v>540.04209034223186</v>
      </c>
      <c r="BD38" s="3">
        <v>2045</v>
      </c>
      <c r="BE38" s="1131">
        <f t="shared" si="5"/>
        <v>0.47897081342465658</v>
      </c>
      <c r="BF38" s="1131">
        <f t="shared" si="6"/>
        <v>0.29490000000000016</v>
      </c>
      <c r="BG38" s="1131">
        <f t="shared" si="7"/>
        <v>0.22612918657534326</v>
      </c>
    </row>
    <row r="39" spans="2:59" ht="14.4" x14ac:dyDescent="0.55000000000000004">
      <c r="B39" s="3">
        <v>2046</v>
      </c>
      <c r="C39" s="707">
        <v>3266.2667302830773</v>
      </c>
      <c r="D39" s="965"/>
      <c r="E39" s="965"/>
      <c r="F39" s="965"/>
      <c r="G39" s="965"/>
      <c r="H39" s="965"/>
      <c r="I39" s="965"/>
      <c r="J39" s="965"/>
      <c r="K39" s="965"/>
      <c r="L39" s="965"/>
      <c r="M39" s="968"/>
      <c r="N39" s="3">
        <v>2046</v>
      </c>
      <c r="O39" s="1170">
        <f>C39*Compost!J38/100</f>
        <v>1564.9147620174915</v>
      </c>
      <c r="P39" s="1116"/>
      <c r="Q39" s="1116"/>
      <c r="R39" s="1116"/>
      <c r="S39" s="1116"/>
      <c r="T39" s="1116"/>
      <c r="U39" s="1116"/>
      <c r="V39" s="1116"/>
      <c r="W39" s="1116"/>
      <c r="X39" s="1116"/>
      <c r="AA39" s="3">
        <v>2046</v>
      </c>
      <c r="AB39" s="707">
        <f>C39*'H&amp;C Recycling'!M36/100</f>
        <v>957.01615197294223</v>
      </c>
      <c r="AC39" s="1129">
        <f t="shared" si="0"/>
        <v>282.52260366984922</v>
      </c>
      <c r="AD39" s="1129">
        <f t="shared" si="1"/>
        <v>45.059494965662246</v>
      </c>
      <c r="AE39" s="1129">
        <f t="shared" si="2"/>
        <v>138.68710929780059</v>
      </c>
      <c r="AF39" s="1129">
        <f t="shared" si="3"/>
        <v>378.59665244085937</v>
      </c>
      <c r="AG39" s="1129">
        <f t="shared" si="4"/>
        <v>112.15029159877069</v>
      </c>
      <c r="AH39" s="2"/>
      <c r="AI39" s="2"/>
      <c r="AJ39" s="2"/>
      <c r="AK39" s="2"/>
      <c r="AM39" s="3">
        <v>2046</v>
      </c>
      <c r="AN39" s="707">
        <f t="shared" si="8"/>
        <v>744.33581629264359</v>
      </c>
      <c r="AO39" s="528"/>
      <c r="AP39" s="528"/>
      <c r="AQ39" s="528"/>
      <c r="AR39" s="528"/>
      <c r="AS39" s="528"/>
      <c r="AT39" s="528"/>
      <c r="AU39" s="528"/>
      <c r="AV39" s="528"/>
      <c r="AW39" s="528"/>
      <c r="AY39" s="3">
        <v>2046</v>
      </c>
      <c r="AZ39" s="707">
        <f>C39*Bioplastics!AL44</f>
        <v>553.23599859639353</v>
      </c>
      <c r="BD39" s="3">
        <v>2046</v>
      </c>
      <c r="BE39" s="1131">
        <f t="shared" si="5"/>
        <v>0.47911419710718639</v>
      </c>
      <c r="BF39" s="1131">
        <f t="shared" si="6"/>
        <v>0.29300000000000015</v>
      </c>
      <c r="BG39" s="1131">
        <f t="shared" si="7"/>
        <v>0.22788580289281343</v>
      </c>
    </row>
    <row r="40" spans="2:59" ht="14.4" x14ac:dyDescent="0.55000000000000004">
      <c r="B40" s="3">
        <v>2047</v>
      </c>
      <c r="C40" s="707">
        <v>3303.191895125663</v>
      </c>
      <c r="D40" s="965"/>
      <c r="E40" s="965"/>
      <c r="F40" s="965"/>
      <c r="G40" s="965"/>
      <c r="H40" s="965"/>
      <c r="I40" s="965"/>
      <c r="J40" s="965"/>
      <c r="K40" s="965"/>
      <c r="L40" s="965"/>
      <c r="M40" s="968"/>
      <c r="N40" s="3">
        <v>2047</v>
      </c>
      <c r="O40" s="1170">
        <f>C40*Compost!J39/100</f>
        <v>1583.0381433388645</v>
      </c>
      <c r="P40" s="1116"/>
      <c r="Q40" s="1116"/>
      <c r="R40" s="1116"/>
      <c r="S40" s="1116"/>
      <c r="T40" s="1116"/>
      <c r="U40" s="1116"/>
      <c r="V40" s="1116"/>
      <c r="W40" s="1116"/>
      <c r="X40" s="1116"/>
      <c r="AA40" s="3">
        <v>2047</v>
      </c>
      <c r="AB40" s="707">
        <f>C40*'H&amp;C Recycling'!M37/100</f>
        <v>961.55916067108092</v>
      </c>
      <c r="AC40" s="1129">
        <f t="shared" si="0"/>
        <v>283.86375412300185</v>
      </c>
      <c r="AD40" s="1129">
        <f t="shared" si="1"/>
        <v>45.273394884844102</v>
      </c>
      <c r="AE40" s="1129">
        <f t="shared" si="2"/>
        <v>139.34546468977669</v>
      </c>
      <c r="AF40" s="1129">
        <f t="shared" si="3"/>
        <v>380.3938717266355</v>
      </c>
      <c r="AG40" s="1129">
        <f t="shared" si="4"/>
        <v>112.68267524682265</v>
      </c>
      <c r="AH40" s="2"/>
      <c r="AI40" s="2"/>
      <c r="AJ40" s="2"/>
      <c r="AK40" s="2"/>
      <c r="AM40" s="3">
        <v>2047</v>
      </c>
      <c r="AN40" s="707">
        <f t="shared" si="8"/>
        <v>758.59459111571755</v>
      </c>
      <c r="AO40" s="528"/>
      <c r="AP40" s="528"/>
      <c r="AQ40" s="528"/>
      <c r="AR40" s="528"/>
      <c r="AS40" s="528"/>
      <c r="AT40" s="528"/>
      <c r="AU40" s="528"/>
      <c r="AV40" s="528"/>
      <c r="AW40" s="528"/>
      <c r="AY40" s="3">
        <v>2047</v>
      </c>
      <c r="AZ40" s="707">
        <f>C40*Bioplastics!AL45</f>
        <v>566.60678646055908</v>
      </c>
      <c r="BD40" s="3">
        <v>2047</v>
      </c>
      <c r="BE40" s="1131">
        <f t="shared" si="5"/>
        <v>0.47924498291330458</v>
      </c>
      <c r="BF40" s="1131">
        <f t="shared" si="6"/>
        <v>0.29110000000000014</v>
      </c>
      <c r="BG40" s="1131">
        <f t="shared" si="7"/>
        <v>0.22965501708669531</v>
      </c>
    </row>
    <row r="41" spans="2:59" ht="14.4" x14ac:dyDescent="0.55000000000000004">
      <c r="B41" s="3">
        <v>2048</v>
      </c>
      <c r="C41" s="707">
        <v>3339.8027616596228</v>
      </c>
      <c r="D41" s="965"/>
      <c r="E41" s="965"/>
      <c r="F41" s="965"/>
      <c r="G41" s="965"/>
      <c r="H41" s="965"/>
      <c r="I41" s="965"/>
      <c r="J41" s="965"/>
      <c r="K41" s="965"/>
      <c r="L41" s="965"/>
      <c r="M41" s="968"/>
      <c r="N41" s="3">
        <v>2048</v>
      </c>
      <c r="O41" s="1170">
        <f>C41*Compost!J40/100</f>
        <v>1600.9821184392006</v>
      </c>
      <c r="P41" s="1116"/>
      <c r="Q41" s="1116"/>
      <c r="R41" s="1116"/>
      <c r="S41" s="1116"/>
      <c r="T41" s="1116"/>
      <c r="U41" s="1116"/>
      <c r="V41" s="1116"/>
      <c r="W41" s="1116"/>
      <c r="X41" s="1116"/>
      <c r="AA41" s="3">
        <v>2048</v>
      </c>
      <c r="AB41" s="707">
        <f>C41*'H&amp;C Recycling'!M38/100</f>
        <v>965.87095867196331</v>
      </c>
      <c r="AC41" s="1129">
        <f t="shared" si="0"/>
        <v>285.1366484155343</v>
      </c>
      <c r="AD41" s="1129">
        <f t="shared" si="1"/>
        <v>45.476408637447101</v>
      </c>
      <c r="AE41" s="1129">
        <f t="shared" si="2"/>
        <v>139.97031391451091</v>
      </c>
      <c r="AF41" s="1129">
        <f t="shared" si="3"/>
        <v>382.09962380382865</v>
      </c>
      <c r="AG41" s="1129">
        <f t="shared" si="4"/>
        <v>113.18796390064219</v>
      </c>
      <c r="AH41" s="2"/>
      <c r="AI41" s="2"/>
      <c r="AJ41" s="2"/>
      <c r="AK41" s="2"/>
      <c r="AM41" s="3">
        <v>2048</v>
      </c>
      <c r="AN41" s="707">
        <f t="shared" si="8"/>
        <v>772.94968454845889</v>
      </c>
      <c r="AO41" s="528"/>
      <c r="AP41" s="528"/>
      <c r="AQ41" s="528"/>
      <c r="AR41" s="528"/>
      <c r="AS41" s="528"/>
      <c r="AT41" s="528"/>
      <c r="AU41" s="528"/>
      <c r="AV41" s="528"/>
      <c r="AW41" s="528"/>
      <c r="AY41" s="3">
        <v>2048</v>
      </c>
      <c r="AZ41" s="707">
        <f>C41*Bioplastics!AL46</f>
        <v>580.15031958382735</v>
      </c>
      <c r="BD41" s="3">
        <v>2048</v>
      </c>
      <c r="BE41" s="1131">
        <f t="shared" si="5"/>
        <v>0.47936427169239082</v>
      </c>
      <c r="BF41" s="1131">
        <f t="shared" si="6"/>
        <v>0.28920000000000012</v>
      </c>
      <c r="BG41" s="1131">
        <f t="shared" si="7"/>
        <v>0.23143572830760906</v>
      </c>
    </row>
    <row r="42" spans="2:59" ht="14.4" x14ac:dyDescent="0.55000000000000004">
      <c r="B42" s="3">
        <v>2049</v>
      </c>
      <c r="C42" s="707">
        <v>3376.0991857820768</v>
      </c>
      <c r="D42" s="965"/>
      <c r="E42" s="965"/>
      <c r="F42" s="965"/>
      <c r="G42" s="965"/>
      <c r="H42" s="965"/>
      <c r="I42" s="965"/>
      <c r="J42" s="965"/>
      <c r="K42" s="965"/>
      <c r="L42" s="965"/>
      <c r="M42" s="968"/>
      <c r="N42" s="3">
        <v>2049</v>
      </c>
      <c r="O42" s="1170">
        <f>C42*Compost!J41/100</f>
        <v>1618.7486382340012</v>
      </c>
      <c r="P42" s="1116"/>
      <c r="Q42" s="1116"/>
      <c r="R42" s="1116"/>
      <c r="S42" s="1116"/>
      <c r="T42" s="1116"/>
      <c r="U42" s="1116"/>
      <c r="V42" s="1116"/>
      <c r="W42" s="1116"/>
      <c r="X42" s="1116"/>
      <c r="AA42" s="3">
        <v>2049</v>
      </c>
      <c r="AB42" s="707">
        <f>C42*'H&amp;C Recycling'!M39/100</f>
        <v>969.95329607519102</v>
      </c>
      <c r="AC42" s="1129">
        <f t="shared" si="0"/>
        <v>286.34180319776135</v>
      </c>
      <c r="AD42" s="1129">
        <f t="shared" si="1"/>
        <v>45.668618623965777</v>
      </c>
      <c r="AE42" s="1129">
        <f t="shared" si="2"/>
        <v>140.56191058972351</v>
      </c>
      <c r="AF42" s="1129">
        <f t="shared" si="3"/>
        <v>383.71460101378472</v>
      </c>
      <c r="AG42" s="1129">
        <f t="shared" si="4"/>
        <v>113.66636264995557</v>
      </c>
      <c r="AH42" s="2"/>
      <c r="AI42" s="2"/>
      <c r="AJ42" s="2"/>
      <c r="AK42" s="2"/>
      <c r="AM42" s="3">
        <v>2049</v>
      </c>
      <c r="AN42" s="707">
        <f t="shared" si="8"/>
        <v>787.39725147288459</v>
      </c>
      <c r="AO42" s="528"/>
      <c r="AP42" s="528"/>
      <c r="AQ42" s="528"/>
      <c r="AR42" s="528"/>
      <c r="AS42" s="528"/>
      <c r="AT42" s="528"/>
      <c r="AU42" s="528"/>
      <c r="AV42" s="528"/>
      <c r="AW42" s="528"/>
      <c r="AY42" s="3">
        <v>2049</v>
      </c>
      <c r="AZ42" s="707">
        <f>C42*Bioplastics!AL47</f>
        <v>593.86232160032046</v>
      </c>
      <c r="BD42" s="3">
        <v>2049</v>
      </c>
      <c r="BE42" s="1131">
        <f t="shared" si="5"/>
        <v>0.47947306911216131</v>
      </c>
      <c r="BF42" s="1131">
        <f t="shared" si="6"/>
        <v>0.28730000000000011</v>
      </c>
      <c r="BG42" s="1131">
        <f t="shared" si="7"/>
        <v>0.23322693088783861</v>
      </c>
    </row>
    <row r="43" spans="2:59" ht="14.4" x14ac:dyDescent="0.55000000000000004">
      <c r="B43" s="3">
        <v>2050</v>
      </c>
      <c r="C43" s="707">
        <v>3411.4131493703135</v>
      </c>
      <c r="D43" s="965"/>
      <c r="E43" s="965"/>
      <c r="F43" s="965"/>
      <c r="G43" s="965"/>
      <c r="H43" s="965"/>
      <c r="I43" s="965"/>
      <c r="J43" s="965"/>
      <c r="K43" s="965"/>
      <c r="L43" s="965"/>
      <c r="M43" s="968"/>
      <c r="N43" s="3">
        <v>2050</v>
      </c>
      <c r="O43" s="1170">
        <f>C43*Compost!J42/100</f>
        <v>1636.01922885913</v>
      </c>
      <c r="P43" s="1116"/>
      <c r="Q43" s="1116"/>
      <c r="R43" s="1116"/>
      <c r="S43" s="1116"/>
      <c r="T43" s="1116"/>
      <c r="U43" s="1116"/>
      <c r="V43" s="1116"/>
      <c r="W43" s="1116"/>
      <c r="X43" s="1116"/>
      <c r="AA43" s="3">
        <v>2050</v>
      </c>
      <c r="AB43" s="707">
        <f>C43*'H&amp;C Recycling'!M40/100</f>
        <v>973.6173128302878</v>
      </c>
      <c r="AC43" s="1129">
        <f t="shared" si="0"/>
        <v>287.42346472604993</v>
      </c>
      <c r="AD43" s="1129">
        <f t="shared" si="1"/>
        <v>45.841132686753561</v>
      </c>
      <c r="AE43" s="1129">
        <f t="shared" si="2"/>
        <v>141.09288584143215</v>
      </c>
      <c r="AF43" s="1129">
        <f t="shared" si="3"/>
        <v>385.16409011081521</v>
      </c>
      <c r="AG43" s="1129">
        <f t="shared" si="4"/>
        <v>114.09573946523685</v>
      </c>
      <c r="AH43" s="2"/>
      <c r="AI43" s="2"/>
      <c r="AJ43" s="2"/>
      <c r="AK43" s="2"/>
      <c r="AM43" s="3">
        <v>2050</v>
      </c>
      <c r="AN43" s="707">
        <f t="shared" si="8"/>
        <v>801.77660768089572</v>
      </c>
      <c r="AO43" s="528"/>
      <c r="AP43" s="528"/>
      <c r="AQ43" s="528"/>
      <c r="AR43" s="528"/>
      <c r="AS43" s="528"/>
      <c r="AT43" s="528"/>
      <c r="AU43" s="528"/>
      <c r="AV43" s="528"/>
      <c r="AW43" s="528"/>
      <c r="AY43" s="3">
        <v>2050</v>
      </c>
      <c r="AZ43" s="707">
        <f>C43*Bioplastics!AL48</f>
        <v>606.72504354337991</v>
      </c>
      <c r="BD43" s="3">
        <v>2050</v>
      </c>
      <c r="BE43" s="1131">
        <f t="shared" si="5"/>
        <v>0.47957229371678717</v>
      </c>
      <c r="BF43" s="1131">
        <f t="shared" si="6"/>
        <v>0.2854000000000001</v>
      </c>
      <c r="BG43" s="1131">
        <f t="shared" si="7"/>
        <v>0.23502770628321273</v>
      </c>
    </row>
    <row r="44" spans="2:59" ht="14.4" x14ac:dyDescent="0.55000000000000004">
      <c r="B44" s="3">
        <v>2051</v>
      </c>
      <c r="C44" s="707">
        <v>3447.7514379580948</v>
      </c>
      <c r="D44" s="965"/>
      <c r="E44" s="965"/>
      <c r="F44" s="965"/>
      <c r="G44" s="965"/>
      <c r="H44" s="965"/>
      <c r="I44" s="965"/>
      <c r="J44" s="965"/>
      <c r="K44" s="965"/>
      <c r="L44" s="965"/>
      <c r="M44" s="968"/>
      <c r="N44" s="3">
        <v>2051</v>
      </c>
      <c r="O44" s="1170">
        <f>C44*Compost!J43/100</f>
        <v>1653.7580544155035</v>
      </c>
      <c r="P44" s="1116"/>
      <c r="Q44" s="1116"/>
      <c r="R44" s="1116"/>
      <c r="S44" s="1116"/>
      <c r="T44" s="1116"/>
      <c r="U44" s="1116"/>
      <c r="V44" s="1116"/>
      <c r="W44" s="1116"/>
      <c r="X44" s="1116"/>
      <c r="AA44" s="3">
        <v>2051</v>
      </c>
      <c r="AB44" s="707">
        <f>C44*'H&amp;C Recycling'!M41/100</f>
        <v>977.43753266112026</v>
      </c>
      <c r="AC44" s="1129">
        <f t="shared" si="0"/>
        <v>288.55123926880236</v>
      </c>
      <c r="AD44" s="1129">
        <f t="shared" si="1"/>
        <v>46.021001308490249</v>
      </c>
      <c r="AE44" s="1129">
        <f t="shared" si="2"/>
        <v>141.6464974436272</v>
      </c>
      <c r="AF44" s="1129">
        <f t="shared" si="3"/>
        <v>386.67537331806273</v>
      </c>
      <c r="AG44" s="1129">
        <f t="shared" si="4"/>
        <v>114.5434213221376</v>
      </c>
      <c r="AH44" s="2"/>
      <c r="AI44" s="2"/>
      <c r="AJ44" s="2"/>
      <c r="AK44" s="2"/>
      <c r="AM44" s="3">
        <v>2051</v>
      </c>
      <c r="AN44" s="707">
        <f t="shared" si="8"/>
        <v>816.55585088147109</v>
      </c>
      <c r="AO44" s="528"/>
      <c r="AP44" s="528"/>
      <c r="AQ44" s="528"/>
      <c r="AR44" s="528"/>
      <c r="AS44" s="528"/>
      <c r="AT44" s="528"/>
      <c r="AU44" s="528"/>
      <c r="AV44" s="528"/>
      <c r="AW44" s="528"/>
      <c r="AY44" s="3">
        <v>2051</v>
      </c>
      <c r="AZ44" s="707">
        <f>C44*Bioplastics!AL49</f>
        <v>621.77418456820612</v>
      </c>
      <c r="BD44" s="3">
        <v>2051</v>
      </c>
      <c r="BE44" s="1131">
        <f t="shared" si="5"/>
        <v>0.47966278433196141</v>
      </c>
      <c r="BF44" s="1131">
        <f t="shared" si="6"/>
        <v>0.28350000000000009</v>
      </c>
      <c r="BG44" s="1131">
        <f t="shared" si="7"/>
        <v>0.23683721566803848</v>
      </c>
    </row>
    <row r="45" spans="2:59" ht="14.4" x14ac:dyDescent="0.55000000000000004">
      <c r="B45" s="3">
        <v>2052</v>
      </c>
      <c r="C45" s="707">
        <v>3483.1120613277576</v>
      </c>
      <c r="D45" s="965"/>
      <c r="E45" s="965"/>
      <c r="F45" s="965"/>
      <c r="G45" s="965"/>
      <c r="H45" s="965"/>
      <c r="I45" s="965"/>
      <c r="J45" s="965"/>
      <c r="K45" s="965"/>
      <c r="L45" s="965"/>
      <c r="M45" s="968"/>
      <c r="N45" s="3">
        <v>2052</v>
      </c>
      <c r="O45" s="1170">
        <f>C45*Compost!J44/100</f>
        <v>1671.0066647062019</v>
      </c>
      <c r="P45" s="1116"/>
      <c r="Q45" s="1116"/>
      <c r="R45" s="1116"/>
      <c r="S45" s="1116"/>
      <c r="T45" s="1116"/>
      <c r="U45" s="1116"/>
      <c r="V45" s="1116"/>
      <c r="W45" s="1116"/>
      <c r="X45" s="1116"/>
      <c r="AA45" s="3">
        <v>2052</v>
      </c>
      <c r="AB45" s="707">
        <f>C45*'H&amp;C Recycling'!M42/100</f>
        <v>980.84435646989675</v>
      </c>
      <c r="AC45" s="1129">
        <f t="shared" si="0"/>
        <v>289.55697436607915</v>
      </c>
      <c r="AD45" s="1129">
        <f t="shared" si="1"/>
        <v>46.181405874227195</v>
      </c>
      <c r="AE45" s="1129">
        <f t="shared" si="2"/>
        <v>142.14020128023654</v>
      </c>
      <c r="AF45" s="1129">
        <f t="shared" si="3"/>
        <v>388.02311659992853</v>
      </c>
      <c r="AG45" s="1129">
        <f t="shared" si="4"/>
        <v>114.94265834942523</v>
      </c>
      <c r="AH45" s="2"/>
      <c r="AI45" s="2"/>
      <c r="AJ45" s="2"/>
      <c r="AK45" s="2"/>
      <c r="AM45" s="3">
        <v>2052</v>
      </c>
      <c r="AN45" s="707">
        <f t="shared" si="8"/>
        <v>831.2610401516589</v>
      </c>
      <c r="AO45" s="528"/>
      <c r="AP45" s="528"/>
      <c r="AQ45" s="528"/>
      <c r="AR45" s="528"/>
      <c r="AS45" s="528"/>
      <c r="AT45" s="528"/>
      <c r="AU45" s="528"/>
      <c r="AV45" s="528"/>
      <c r="AW45" s="528"/>
      <c r="AY45" s="3">
        <v>2052</v>
      </c>
      <c r="AZ45" s="707">
        <f>C45*Bioplastics!AL50</f>
        <v>635.96513204630094</v>
      </c>
      <c r="BD45" s="3">
        <v>2052</v>
      </c>
      <c r="BE45" s="1131">
        <f t="shared" si="5"/>
        <v>0.47974530686480882</v>
      </c>
      <c r="BF45" s="1131">
        <f t="shared" si="6"/>
        <v>0.28160000000000007</v>
      </c>
      <c r="BG45" s="1131">
        <f t="shared" si="7"/>
        <v>0.23865469313519111</v>
      </c>
    </row>
    <row r="46" spans="2:59" ht="14.4" x14ac:dyDescent="0.55000000000000004">
      <c r="B46" s="3">
        <v>2053</v>
      </c>
      <c r="C46" s="707">
        <v>3518.1641751714656</v>
      </c>
      <c r="D46" s="965"/>
      <c r="E46" s="965"/>
      <c r="F46" s="965"/>
      <c r="G46" s="965"/>
      <c r="H46" s="965"/>
      <c r="I46" s="965"/>
      <c r="J46" s="965"/>
      <c r="K46" s="965"/>
      <c r="L46" s="965"/>
      <c r="M46" s="968"/>
      <c r="N46" s="3">
        <v>2053</v>
      </c>
      <c r="O46" s="1170">
        <f>C46*Compost!J45/100</f>
        <v>1688.0875066163242</v>
      </c>
      <c r="P46" s="1116"/>
      <c r="Q46" s="1116"/>
      <c r="R46" s="1116"/>
      <c r="S46" s="1116"/>
      <c r="T46" s="1116"/>
      <c r="U46" s="1116"/>
      <c r="V46" s="1116"/>
      <c r="W46" s="1116"/>
      <c r="X46" s="1116"/>
      <c r="AA46" s="3">
        <v>2053</v>
      </c>
      <c r="AB46" s="707">
        <f>C46*'H&amp;C Recycling'!M43/100</f>
        <v>984.0305197954591</v>
      </c>
      <c r="AC46" s="1129">
        <f t="shared" si="0"/>
        <v>290.49756785198792</v>
      </c>
      <c r="AD46" s="1129">
        <f t="shared" si="1"/>
        <v>46.331421012458648</v>
      </c>
      <c r="AE46" s="1129">
        <f t="shared" si="2"/>
        <v>142.60192784614867</v>
      </c>
      <c r="AF46" s="1129">
        <f t="shared" si="3"/>
        <v>389.28356634960198</v>
      </c>
      <c r="AG46" s="1129">
        <f t="shared" si="4"/>
        <v>115.31603673526175</v>
      </c>
      <c r="AH46" s="2"/>
      <c r="AI46" s="2"/>
      <c r="AJ46" s="2"/>
      <c r="AK46" s="2"/>
      <c r="AM46" s="3">
        <v>2053</v>
      </c>
      <c r="AN46" s="707">
        <f t="shared" si="8"/>
        <v>846.0461487596823</v>
      </c>
      <c r="AO46" s="528"/>
      <c r="AP46" s="528"/>
      <c r="AQ46" s="528"/>
      <c r="AR46" s="528"/>
      <c r="AS46" s="528"/>
      <c r="AT46" s="528"/>
      <c r="AU46" s="528"/>
      <c r="AV46" s="528"/>
      <c r="AW46" s="528"/>
      <c r="AY46" s="3">
        <v>2053</v>
      </c>
      <c r="AZ46" s="707">
        <f>C46*Bioplastics!AL51</f>
        <v>650.30623236969711</v>
      </c>
      <c r="BD46" s="3">
        <v>2053</v>
      </c>
      <c r="BE46" s="1131">
        <f t="shared" si="5"/>
        <v>0.47982056054392386</v>
      </c>
      <c r="BF46" s="1131">
        <f t="shared" si="6"/>
        <v>0.27970000000000006</v>
      </c>
      <c r="BG46" s="1131">
        <f t="shared" si="7"/>
        <v>0.24047943945607608</v>
      </c>
    </row>
    <row r="47" spans="2:59" ht="14.4" x14ac:dyDescent="0.55000000000000004">
      <c r="B47" s="3">
        <v>2054</v>
      </c>
      <c r="C47" s="707">
        <v>3552.9086715023973</v>
      </c>
      <c r="D47" s="965"/>
      <c r="E47" s="965"/>
      <c r="F47" s="965"/>
      <c r="G47" s="965"/>
      <c r="H47" s="965"/>
      <c r="I47" s="965"/>
      <c r="J47" s="965"/>
      <c r="K47" s="965"/>
      <c r="L47" s="965"/>
      <c r="M47" s="968"/>
      <c r="N47" s="3">
        <v>2054</v>
      </c>
      <c r="O47" s="1170">
        <f>C47*Compost!J46/100</f>
        <v>1705.0024419224751</v>
      </c>
      <c r="P47" s="1116"/>
      <c r="Q47" s="1116"/>
      <c r="R47" s="1116"/>
      <c r="S47" s="1116"/>
      <c r="T47" s="1116"/>
      <c r="U47" s="1116"/>
      <c r="V47" s="1116"/>
      <c r="W47" s="1116"/>
      <c r="X47" s="1116"/>
      <c r="AA47" s="3">
        <v>2054</v>
      </c>
      <c r="AB47" s="707">
        <f>C47*'H&amp;C Recycling'!M44/100</f>
        <v>986.99802894336608</v>
      </c>
      <c r="AC47" s="1129">
        <f t="shared" si="0"/>
        <v>291.3736120119035</v>
      </c>
      <c r="AD47" s="1129">
        <f t="shared" si="1"/>
        <v>46.471141186705459</v>
      </c>
      <c r="AE47" s="1129">
        <f t="shared" si="2"/>
        <v>143.03196788746828</v>
      </c>
      <c r="AF47" s="1129">
        <f t="shared" si="3"/>
        <v>390.45751626379001</v>
      </c>
      <c r="AG47" s="1129">
        <f t="shared" si="4"/>
        <v>115.66379159349866</v>
      </c>
      <c r="AH47" s="2"/>
      <c r="AI47" s="2"/>
      <c r="AJ47" s="2"/>
      <c r="AK47" s="2"/>
      <c r="AM47" s="3">
        <v>2054</v>
      </c>
      <c r="AN47" s="707">
        <f t="shared" si="8"/>
        <v>860.9082006365561</v>
      </c>
      <c r="AO47" s="528"/>
      <c r="AP47" s="528"/>
      <c r="AQ47" s="528"/>
      <c r="AR47" s="528"/>
      <c r="AS47" s="528"/>
      <c r="AT47" s="528"/>
      <c r="AU47" s="528"/>
      <c r="AV47" s="528"/>
      <c r="AW47" s="528"/>
      <c r="AY47" s="3">
        <v>2054</v>
      </c>
      <c r="AZ47" s="707">
        <f>C47*Bioplastics!AL52</f>
        <v>664.7922930911418</v>
      </c>
      <c r="BD47" s="3">
        <v>2054</v>
      </c>
      <c r="BE47" s="1131">
        <f t="shared" si="5"/>
        <v>0.47988918364217081</v>
      </c>
      <c r="BF47" s="1131">
        <f t="shared" si="6"/>
        <v>0.27780000000000005</v>
      </c>
      <c r="BG47" s="1131">
        <f t="shared" si="7"/>
        <v>0.24231081635782914</v>
      </c>
    </row>
    <row r="48" spans="2:59" ht="14.4" x14ac:dyDescent="0.55000000000000004">
      <c r="B48" s="3">
        <v>2055</v>
      </c>
      <c r="C48" s="707">
        <v>3587.3475451386416</v>
      </c>
      <c r="D48" s="965"/>
      <c r="E48" s="965"/>
      <c r="F48" s="965"/>
      <c r="G48" s="965"/>
      <c r="H48" s="965"/>
      <c r="I48" s="965"/>
      <c r="J48" s="965"/>
      <c r="K48" s="965"/>
      <c r="L48" s="965"/>
      <c r="M48" s="968"/>
      <c r="N48" s="3">
        <v>2055</v>
      </c>
      <c r="O48" s="1170">
        <f>C48*Compost!J47/100</f>
        <v>1721.7537634372247</v>
      </c>
      <c r="P48" s="1116"/>
      <c r="Q48" s="1116"/>
      <c r="R48" s="1116"/>
      <c r="S48" s="1116"/>
      <c r="T48" s="1116"/>
      <c r="U48" s="1116"/>
      <c r="V48" s="1116"/>
      <c r="W48" s="1116"/>
      <c r="X48" s="1116"/>
      <c r="AA48" s="3">
        <v>2055</v>
      </c>
      <c r="AB48" s="707">
        <f>C48*'H&amp;C Recycling'!M45/100</f>
        <v>989.74918770375143</v>
      </c>
      <c r="AC48" s="1129">
        <f t="shared" si="0"/>
        <v>292.18578695220185</v>
      </c>
      <c r="AD48" s="1129">
        <f t="shared" si="1"/>
        <v>46.600674867049051</v>
      </c>
      <c r="AE48" s="1129">
        <f t="shared" si="2"/>
        <v>143.43065526062347</v>
      </c>
      <c r="AF48" s="1129">
        <f t="shared" si="3"/>
        <v>391.54587772442784</v>
      </c>
      <c r="AG48" s="1129">
        <f t="shared" si="4"/>
        <v>115.98619289944908</v>
      </c>
      <c r="AH48" s="2"/>
      <c r="AI48" s="2"/>
      <c r="AJ48" s="2"/>
      <c r="AK48" s="2"/>
      <c r="AM48" s="3">
        <v>2055</v>
      </c>
      <c r="AN48" s="707">
        <f t="shared" si="8"/>
        <v>875.84459399766547</v>
      </c>
      <c r="AO48" s="528"/>
      <c r="AP48" s="528"/>
      <c r="AQ48" s="528"/>
      <c r="AR48" s="528"/>
      <c r="AS48" s="528"/>
      <c r="AT48" s="528"/>
      <c r="AU48" s="528"/>
      <c r="AV48" s="528"/>
      <c r="AW48" s="528"/>
      <c r="AY48" s="3">
        <v>2055</v>
      </c>
      <c r="AZ48" s="707">
        <f>C48*Bioplastics!AL53</f>
        <v>679.41827484496139</v>
      </c>
      <c r="BD48" s="3">
        <v>2055</v>
      </c>
      <c r="BE48" s="1131">
        <f t="shared" si="5"/>
        <v>0.47995175872224655</v>
      </c>
      <c r="BF48" s="1131">
        <f t="shared" si="6"/>
        <v>0.27590000000000003</v>
      </c>
      <c r="BG48" s="1131">
        <f t="shared" si="7"/>
        <v>0.24414824127775342</v>
      </c>
    </row>
    <row r="49" spans="1:59" ht="14.4" x14ac:dyDescent="0.55000000000000004">
      <c r="B49" s="3">
        <v>2056</v>
      </c>
      <c r="C49" s="707">
        <v>3621.4835044729898</v>
      </c>
      <c r="D49" s="965"/>
      <c r="E49" s="965"/>
      <c r="F49" s="965"/>
      <c r="G49" s="965"/>
      <c r="H49" s="965"/>
      <c r="I49" s="965"/>
      <c r="J49" s="965"/>
      <c r="K49" s="965"/>
      <c r="L49" s="965"/>
      <c r="M49" s="968"/>
      <c r="N49" s="3">
        <v>2056</v>
      </c>
      <c r="O49" s="1170">
        <f>C49*Compost!J48/100</f>
        <v>1738.3440143692965</v>
      </c>
      <c r="P49" s="1116"/>
      <c r="Q49" s="1116"/>
      <c r="R49" s="1116"/>
      <c r="S49" s="1116"/>
      <c r="T49" s="1116"/>
      <c r="U49" s="1116"/>
      <c r="V49" s="1116"/>
      <c r="W49" s="1116"/>
      <c r="X49" s="1116"/>
      <c r="AA49" s="3">
        <v>2056</v>
      </c>
      <c r="AB49" s="707">
        <f>C49*'H&amp;C Recycling'!M46/100</f>
        <v>992.28648022559923</v>
      </c>
      <c r="AC49" s="1129">
        <f t="shared" si="0"/>
        <v>292.93482602334677</v>
      </c>
      <c r="AD49" s="1129">
        <f t="shared" si="1"/>
        <v>46.720139015463808</v>
      </c>
      <c r="AE49" s="1129">
        <f t="shared" si="2"/>
        <v>143.7983499589549</v>
      </c>
      <c r="AF49" s="1129">
        <f t="shared" si="3"/>
        <v>392.549633463612</v>
      </c>
      <c r="AG49" s="1129">
        <f t="shared" si="4"/>
        <v>116.28353176422162</v>
      </c>
      <c r="AH49" s="2"/>
      <c r="AI49" s="2"/>
      <c r="AJ49" s="2"/>
      <c r="AK49" s="2"/>
      <c r="AM49" s="3">
        <v>2056</v>
      </c>
      <c r="AN49" s="707">
        <f t="shared" si="8"/>
        <v>890.8530098780941</v>
      </c>
      <c r="AO49" s="528"/>
      <c r="AP49" s="528"/>
      <c r="AQ49" s="528"/>
      <c r="AR49" s="528"/>
      <c r="AS49" s="528"/>
      <c r="AT49" s="528"/>
      <c r="AU49" s="528"/>
      <c r="AV49" s="528"/>
      <c r="AW49" s="528"/>
      <c r="AY49" s="3">
        <v>2056</v>
      </c>
      <c r="AZ49" s="707">
        <f>C49*Bioplastics!AL54</f>
        <v>694.17944159351691</v>
      </c>
      <c r="BD49" s="3">
        <v>2056</v>
      </c>
      <c r="BE49" s="1131">
        <f t="shared" si="5"/>
        <v>0.48000881744241602</v>
      </c>
      <c r="BF49" s="1131">
        <f t="shared" si="6"/>
        <v>0.27400000000000002</v>
      </c>
      <c r="BG49" s="1131">
        <f t="shared" si="7"/>
        <v>0.24599118255758395</v>
      </c>
    </row>
    <row r="50" spans="1:59" ht="14.4" x14ac:dyDescent="0.55000000000000004">
      <c r="B50" s="3">
        <v>2057</v>
      </c>
      <c r="C50" s="707">
        <v>3655.3211397416994</v>
      </c>
      <c r="D50" s="965"/>
      <c r="E50" s="965"/>
      <c r="F50" s="965"/>
      <c r="G50" s="965"/>
      <c r="H50" s="965"/>
      <c r="I50" s="965"/>
      <c r="J50" s="965"/>
      <c r="K50" s="965"/>
      <c r="L50" s="965"/>
      <c r="M50" s="968"/>
      <c r="N50" s="3">
        <v>2057</v>
      </c>
      <c r="O50" s="1170">
        <f>C50*Compost!J49/100</f>
        <v>1754.7765549347521</v>
      </c>
      <c r="P50" s="1116"/>
      <c r="Q50" s="1116"/>
      <c r="R50" s="1116"/>
      <c r="S50" s="1116"/>
      <c r="T50" s="1116"/>
      <c r="U50" s="1116"/>
      <c r="V50" s="1116"/>
      <c r="W50" s="1116"/>
      <c r="X50" s="1116"/>
      <c r="AA50" s="3">
        <v>2057</v>
      </c>
      <c r="AB50" s="707">
        <f>C50*'H&amp;C Recycling'!M47/100</f>
        <v>994.61288212371642</v>
      </c>
      <c r="AC50" s="1129">
        <f t="shared" si="0"/>
        <v>293.62160766238554</v>
      </c>
      <c r="AD50" s="1129">
        <f t="shared" si="1"/>
        <v>46.829673733765283</v>
      </c>
      <c r="AE50" s="1129">
        <f t="shared" si="2"/>
        <v>144.13548319714491</v>
      </c>
      <c r="AF50" s="1129">
        <f t="shared" si="3"/>
        <v>393.46996063786446</v>
      </c>
      <c r="AG50" s="1129">
        <f t="shared" si="4"/>
        <v>116.55615689255607</v>
      </c>
      <c r="AH50" s="2"/>
      <c r="AI50" s="2"/>
      <c r="AJ50" s="2"/>
      <c r="AK50" s="2"/>
      <c r="AM50" s="3">
        <v>2057</v>
      </c>
      <c r="AN50" s="707">
        <f t="shared" si="8"/>
        <v>905.93170268323092</v>
      </c>
      <c r="AO50" s="528"/>
      <c r="AP50" s="528"/>
      <c r="AQ50" s="528"/>
      <c r="AR50" s="528"/>
      <c r="AS50" s="528"/>
      <c r="AT50" s="528"/>
      <c r="AU50" s="528"/>
      <c r="AV50" s="528"/>
      <c r="AW50" s="528"/>
      <c r="AY50" s="3">
        <v>2057</v>
      </c>
      <c r="AZ50" s="707">
        <f>C50*Bioplastics!AL55</f>
        <v>709.07130636970987</v>
      </c>
      <c r="BD50" s="3">
        <v>2057</v>
      </c>
      <c r="BE50" s="1131">
        <f t="shared" si="5"/>
        <v>0.48006084495731943</v>
      </c>
      <c r="BF50" s="1131">
        <f t="shared" si="6"/>
        <v>0.27210000000000001</v>
      </c>
      <c r="BG50" s="1131">
        <f t="shared" si="7"/>
        <v>0.24783915504268059</v>
      </c>
    </row>
    <row r="51" spans="1:59" ht="14.4" x14ac:dyDescent="0.55000000000000004">
      <c r="B51" s="3">
        <v>2058</v>
      </c>
      <c r="C51" s="707">
        <v>3688.8672576804943</v>
      </c>
      <c r="D51" s="965"/>
      <c r="E51" s="965"/>
      <c r="F51" s="965"/>
      <c r="G51" s="965"/>
      <c r="H51" s="965"/>
      <c r="I51" s="965"/>
      <c r="J51" s="965"/>
      <c r="K51" s="965"/>
      <c r="L51" s="965"/>
      <c r="M51" s="968"/>
      <c r="N51" s="3">
        <v>2058</v>
      </c>
      <c r="O51" s="1170">
        <f>C51*Compost!J50/100</f>
        <v>1771.0557287907629</v>
      </c>
      <c r="P51" s="1116"/>
      <c r="Q51" s="1116"/>
      <c r="R51" s="1116"/>
      <c r="S51" s="1116"/>
      <c r="T51" s="1116"/>
      <c r="U51" s="1116"/>
      <c r="V51" s="1116"/>
      <c r="W51" s="1116"/>
      <c r="X51" s="1116"/>
      <c r="AA51" s="3">
        <v>2058</v>
      </c>
      <c r="AB51" s="707">
        <f>C51*'H&amp;C Recycling'!M48/100</f>
        <v>996.73193302526954</v>
      </c>
      <c r="AC51" s="1129">
        <f t="shared" si="0"/>
        <v>294.24717680955354</v>
      </c>
      <c r="AD51" s="1129">
        <f t="shared" si="1"/>
        <v>46.929445679341825</v>
      </c>
      <c r="AE51" s="1129">
        <f t="shared" si="2"/>
        <v>144.44256792438327</v>
      </c>
      <c r="AF51" s="1129">
        <f t="shared" si="3"/>
        <v>394.30825952762291</v>
      </c>
      <c r="AG51" s="1129">
        <f t="shared" si="4"/>
        <v>116.80448308436787</v>
      </c>
      <c r="AH51" s="2"/>
      <c r="AI51" s="2"/>
      <c r="AJ51" s="2"/>
      <c r="AK51" s="2"/>
      <c r="AM51" s="3">
        <v>2058</v>
      </c>
      <c r="AN51" s="707">
        <f t="shared" si="8"/>
        <v>921.07959586446179</v>
      </c>
      <c r="AO51" s="528"/>
      <c r="AP51" s="528"/>
      <c r="AQ51" s="528"/>
      <c r="AR51" s="528"/>
      <c r="AS51" s="528"/>
      <c r="AT51" s="528"/>
      <c r="AU51" s="528"/>
      <c r="AV51" s="528"/>
      <c r="AW51" s="528"/>
      <c r="AY51" s="3">
        <v>2058</v>
      </c>
      <c r="AZ51" s="707">
        <f>C51*Bioplastics!AL56</f>
        <v>724.08938858247984</v>
      </c>
      <c r="BD51" s="3">
        <v>2058</v>
      </c>
      <c r="BE51" s="1131">
        <f t="shared" si="5"/>
        <v>0.48010828394632366</v>
      </c>
      <c r="BF51" s="1131">
        <f t="shared" si="6"/>
        <v>0.2702</v>
      </c>
      <c r="BG51" s="1131">
        <f t="shared" si="7"/>
        <v>0.24969171605367638</v>
      </c>
    </row>
    <row r="52" spans="1:59" ht="14.4" x14ac:dyDescent="0.55000000000000004">
      <c r="B52" s="3">
        <v>2059</v>
      </c>
      <c r="C52" s="707">
        <v>3722.1302215748697</v>
      </c>
      <c r="D52" s="965"/>
      <c r="E52" s="965"/>
      <c r="F52" s="965"/>
      <c r="G52" s="965"/>
      <c r="H52" s="965"/>
      <c r="I52" s="965"/>
      <c r="J52" s="965"/>
      <c r="K52" s="965"/>
      <c r="L52" s="965"/>
      <c r="M52" s="968"/>
      <c r="N52" s="3">
        <v>2059</v>
      </c>
      <c r="O52" s="1170">
        <f>C52*Compost!J51/100</f>
        <v>1787.1865516405094</v>
      </c>
      <c r="P52" s="1116"/>
      <c r="Q52" s="1116"/>
      <c r="R52" s="1116"/>
      <c r="S52" s="1116"/>
      <c r="T52" s="1116"/>
      <c r="U52" s="1116"/>
      <c r="V52" s="1116"/>
      <c r="W52" s="1116"/>
      <c r="X52" s="1116"/>
      <c r="AA52" s="3">
        <v>2059</v>
      </c>
      <c r="AB52" s="707">
        <f>C52*'H&amp;C Recycling'!M49/100</f>
        <v>998.64753844853749</v>
      </c>
      <c r="AC52" s="1129">
        <f t="shared" si="0"/>
        <v>294.81268642051469</v>
      </c>
      <c r="AD52" s="1129">
        <f t="shared" si="1"/>
        <v>47.019638736949048</v>
      </c>
      <c r="AE52" s="1129">
        <f t="shared" si="2"/>
        <v>144.72017011339599</v>
      </c>
      <c r="AF52" s="1129">
        <f t="shared" si="3"/>
        <v>395.06607516025531</v>
      </c>
      <c r="AG52" s="1129">
        <f t="shared" si="4"/>
        <v>117.02896801742234</v>
      </c>
      <c r="AH52" s="2"/>
      <c r="AI52" s="2"/>
      <c r="AJ52" s="2"/>
      <c r="AK52" s="2"/>
      <c r="AM52" s="3">
        <v>2059</v>
      </c>
      <c r="AN52" s="707">
        <f t="shared" si="8"/>
        <v>936.2961314858228</v>
      </c>
      <c r="AO52" s="528"/>
      <c r="AP52" s="528"/>
      <c r="AQ52" s="528"/>
      <c r="AR52" s="528"/>
      <c r="AS52" s="528"/>
      <c r="AT52" s="528"/>
      <c r="AU52" s="528"/>
      <c r="AV52" s="528"/>
      <c r="AW52" s="528"/>
      <c r="AY52" s="3">
        <v>2059</v>
      </c>
      <c r="AZ52" s="707">
        <f>C52*Bioplastics!AL57</f>
        <v>739.22931294908301</v>
      </c>
      <c r="BD52" s="3">
        <v>2059</v>
      </c>
      <c r="BE52" s="1131">
        <f t="shared" si="5"/>
        <v>0.48015153829957441</v>
      </c>
      <c r="BF52" s="1131">
        <f t="shared" si="6"/>
        <v>0.26829999999999998</v>
      </c>
      <c r="BG52" s="1131">
        <f t="shared" si="7"/>
        <v>0.25154846170042561</v>
      </c>
    </row>
    <row r="53" spans="1:59" ht="14.4" x14ac:dyDescent="0.55000000000000004">
      <c r="B53" s="3">
        <v>2060</v>
      </c>
      <c r="C53" s="707">
        <v>3755.1180285792939</v>
      </c>
      <c r="D53" s="965"/>
      <c r="E53" s="965"/>
      <c r="F53" s="965"/>
      <c r="G53" s="965"/>
      <c r="H53" s="965"/>
      <c r="I53" s="965"/>
      <c r="J53" s="965"/>
      <c r="K53" s="965"/>
      <c r="L53" s="965"/>
      <c r="M53" s="968"/>
      <c r="N53" s="3">
        <v>2060</v>
      </c>
      <c r="O53" s="1170">
        <f>C53*Compost!J52/100</f>
        <v>1803.1737929775679</v>
      </c>
      <c r="P53" s="1116"/>
      <c r="Q53" s="1116"/>
      <c r="R53" s="1116"/>
      <c r="S53" s="1116"/>
      <c r="T53" s="1116"/>
      <c r="U53" s="1116"/>
      <c r="V53" s="1116"/>
      <c r="W53" s="1116"/>
      <c r="X53" s="1116"/>
      <c r="AA53" s="3">
        <v>2060</v>
      </c>
      <c r="AB53" s="707">
        <f>C53*'H&amp;C Recycling'!M50/100</f>
        <v>1000.3634428135238</v>
      </c>
      <c r="AC53" s="1129">
        <f t="shared" si="0"/>
        <v>295.31924189279692</v>
      </c>
      <c r="AD53" s="1129">
        <f t="shared" si="1"/>
        <v>47.100429206301378</v>
      </c>
      <c r="AE53" s="1129">
        <f t="shared" si="2"/>
        <v>144.96883239116511</v>
      </c>
      <c r="AF53" s="1129">
        <f t="shared" si="3"/>
        <v>395.74488883247307</v>
      </c>
      <c r="AG53" s="1129">
        <f t="shared" si="4"/>
        <v>117.23005049078716</v>
      </c>
      <c r="AH53" s="2"/>
      <c r="AI53" s="2"/>
      <c r="AJ53" s="2"/>
      <c r="AK53" s="2"/>
      <c r="AM53" s="3">
        <v>2060</v>
      </c>
      <c r="AN53" s="707">
        <f t="shared" si="8"/>
        <v>951.58079278820219</v>
      </c>
      <c r="AO53" s="528"/>
      <c r="AP53" s="528"/>
      <c r="AQ53" s="528"/>
      <c r="AR53" s="528"/>
      <c r="AS53" s="528"/>
      <c r="AT53" s="528"/>
      <c r="AU53" s="528"/>
      <c r="AV53" s="528"/>
      <c r="AW53" s="528"/>
      <c r="AY53" s="3">
        <v>2060</v>
      </c>
      <c r="AZ53" s="707">
        <f>C53*Bioplastics!AL58</f>
        <v>754.48668025133588</v>
      </c>
      <c r="BD53" s="3">
        <v>2060</v>
      </c>
      <c r="BE53" s="1131">
        <f t="shared" si="5"/>
        <v>0.48019097648969988</v>
      </c>
      <c r="BF53" s="1131">
        <f t="shared" si="6"/>
        <v>0.26639999999999997</v>
      </c>
      <c r="BG53" s="1131">
        <f t="shared" si="7"/>
        <v>0.25340902351030015</v>
      </c>
    </row>
    <row r="54" spans="1:59" x14ac:dyDescent="0.4">
      <c r="O54" s="929"/>
      <c r="P54" s="1117"/>
      <c r="Q54" s="1117"/>
      <c r="R54" s="1117"/>
      <c r="S54" s="1117"/>
      <c r="T54" s="1117"/>
      <c r="U54" s="1117"/>
      <c r="V54" s="1117"/>
      <c r="W54" s="1117"/>
      <c r="X54" s="1117"/>
    </row>
    <row r="55" spans="1:59" x14ac:dyDescent="0.4">
      <c r="O55" s="929"/>
      <c r="P55" s="1117"/>
      <c r="Q55" s="1117"/>
      <c r="R55" s="1117"/>
      <c r="S55" s="1117"/>
      <c r="T55" s="1117"/>
      <c r="U55" s="1117"/>
      <c r="V55" s="1117"/>
      <c r="W55" s="1117"/>
      <c r="X55" s="1117"/>
    </row>
    <row r="56" spans="1:59" ht="22.5" x14ac:dyDescent="0.75">
      <c r="A56" s="336" t="s">
        <v>146</v>
      </c>
      <c r="O56" s="929"/>
      <c r="P56" s="1117"/>
      <c r="Q56" s="1117"/>
      <c r="R56" s="1117"/>
      <c r="S56" s="1117"/>
      <c r="T56" s="1117"/>
      <c r="U56" s="1117"/>
      <c r="V56" s="1117"/>
      <c r="W56" s="1117"/>
      <c r="X56" s="1117"/>
    </row>
    <row r="57" spans="1:59" ht="200.05" customHeight="1" x14ac:dyDescent="0.4">
      <c r="B57" s="1280" t="s">
        <v>466</v>
      </c>
      <c r="C57" s="1281"/>
      <c r="D57" s="341"/>
      <c r="E57" s="1280" t="s">
        <v>467</v>
      </c>
      <c r="F57" s="1281"/>
      <c r="H57" s="1280" t="s">
        <v>468</v>
      </c>
      <c r="I57" s="1281"/>
      <c r="L57" s="1280" t="s">
        <v>469</v>
      </c>
      <c r="M57" s="1281"/>
      <c r="Q57" s="1280" t="s">
        <v>1093</v>
      </c>
      <c r="R57" s="1281"/>
      <c r="T57" s="1280" t="s">
        <v>470</v>
      </c>
      <c r="U57" s="1281"/>
      <c r="W57" s="1275" t="s">
        <v>471</v>
      </c>
      <c r="X57" s="1276"/>
      <c r="Y57" s="1276"/>
      <c r="AA57" s="1275" t="s">
        <v>1031</v>
      </c>
      <c r="AB57" s="1276"/>
      <c r="AD57" s="1275" t="s">
        <v>1094</v>
      </c>
      <c r="AE57" s="1276"/>
      <c r="AG57" s="1275" t="s">
        <v>472</v>
      </c>
      <c r="AH57" s="1276"/>
      <c r="AK57" s="1275" t="s">
        <v>473</v>
      </c>
      <c r="AL57" s="1276"/>
      <c r="AM57" s="1276"/>
      <c r="AN57" s="1276"/>
    </row>
    <row r="58" spans="1:59" ht="135.30000000000001" x14ac:dyDescent="0.4">
      <c r="B58" s="641" t="s">
        <v>148</v>
      </c>
      <c r="C58" s="641"/>
      <c r="D58" s="341"/>
      <c r="E58" s="340" t="s">
        <v>125</v>
      </c>
      <c r="F58" s="340" t="s">
        <v>149</v>
      </c>
      <c r="G58" s="341"/>
      <c r="H58" s="340" t="s">
        <v>126</v>
      </c>
      <c r="I58" s="341"/>
      <c r="J58" s="341"/>
      <c r="K58" s="341"/>
      <c r="L58" s="641" t="s">
        <v>455</v>
      </c>
      <c r="M58" s="641"/>
      <c r="N58" s="341"/>
      <c r="O58" s="341"/>
      <c r="P58" s="341"/>
      <c r="Q58" s="1198" t="s">
        <v>127</v>
      </c>
      <c r="R58" s="641"/>
      <c r="S58" s="341"/>
      <c r="T58" s="340" t="s">
        <v>128</v>
      </c>
      <c r="U58" s="340" t="s">
        <v>149</v>
      </c>
      <c r="V58" s="341"/>
      <c r="W58" s="641" t="s">
        <v>129</v>
      </c>
      <c r="X58" s="641"/>
      <c r="Y58" s="340" t="s">
        <v>149</v>
      </c>
      <c r="Z58" s="341"/>
      <c r="AA58" s="641" t="s">
        <v>130</v>
      </c>
      <c r="AB58" s="641"/>
      <c r="AD58" s="641" t="s">
        <v>150</v>
      </c>
      <c r="AE58" s="641"/>
      <c r="AF58" s="341"/>
      <c r="AG58" s="1173" t="s">
        <v>131</v>
      </c>
      <c r="AH58" s="341"/>
    </row>
    <row r="59" spans="1:59" x14ac:dyDescent="0.4">
      <c r="B59" s="2"/>
      <c r="C59" s="334" t="s">
        <v>147</v>
      </c>
      <c r="E59" s="2"/>
      <c r="F59" s="334" t="s">
        <v>115</v>
      </c>
      <c r="H59" s="2"/>
      <c r="I59" s="334" t="s">
        <v>115</v>
      </c>
      <c r="L59" s="2"/>
      <c r="M59" s="334" t="s">
        <v>115</v>
      </c>
      <c r="Q59" s="2"/>
      <c r="R59" s="334" t="s">
        <v>115</v>
      </c>
      <c r="T59" s="2"/>
      <c r="U59" s="334" t="s">
        <v>115</v>
      </c>
      <c r="W59" s="2"/>
      <c r="X59" s="342"/>
      <c r="Y59" s="334" t="s">
        <v>115</v>
      </c>
      <c r="AA59" s="2"/>
      <c r="AB59" s="334" t="s">
        <v>115</v>
      </c>
      <c r="AD59" s="2"/>
      <c r="AE59" s="334" t="s">
        <v>115</v>
      </c>
      <c r="AG59" s="2"/>
      <c r="AH59" s="334" t="s">
        <v>115</v>
      </c>
      <c r="AK59" s="2" t="s">
        <v>114</v>
      </c>
      <c r="AL59" s="334" t="s">
        <v>156</v>
      </c>
      <c r="AM59" s="2" t="s">
        <v>157</v>
      </c>
      <c r="AN59" s="2" t="s">
        <v>158</v>
      </c>
    </row>
    <row r="60" spans="1:59" ht="14.4" x14ac:dyDescent="0.55000000000000004">
      <c r="B60" s="3">
        <v>2014</v>
      </c>
      <c r="C60" s="707">
        <f>'Food System Summary'!C12</f>
        <v>0</v>
      </c>
      <c r="E60" s="3">
        <v>2014</v>
      </c>
      <c r="F60" s="335">
        <f>C7-C60</f>
        <v>1773.3333333333333</v>
      </c>
      <c r="H60" s="3">
        <v>2014</v>
      </c>
      <c r="I60" s="335">
        <f t="shared" ref="I60:I106" si="9">O7-C60</f>
        <v>804.14197831832109</v>
      </c>
      <c r="L60" s="3">
        <v>2014</v>
      </c>
      <c r="M60" s="707">
        <f>Bioplastics!B10</f>
        <v>1.67</v>
      </c>
      <c r="Q60" s="3">
        <v>2014</v>
      </c>
      <c r="R60" s="1197">
        <v>0.39100000000000001</v>
      </c>
      <c r="T60" s="3">
        <v>2014</v>
      </c>
      <c r="U60" s="335">
        <f>F60</f>
        <v>1773.3333333333333</v>
      </c>
      <c r="W60" s="3">
        <v>2014</v>
      </c>
      <c r="X60" s="343"/>
      <c r="Y60" s="335">
        <f>I60+R60*M60</f>
        <v>804.79494831832108</v>
      </c>
      <c r="AA60" s="3">
        <v>2014</v>
      </c>
      <c r="AB60" s="335">
        <f t="shared" ref="AB60:AB106" si="10">AB7-R60*M60</f>
        <v>626.75236333333328</v>
      </c>
      <c r="AD60" s="3">
        <v>2014</v>
      </c>
      <c r="AE60" s="335">
        <f>U60-Y60-AB60</f>
        <v>341.7860216816789</v>
      </c>
      <c r="AG60" s="3">
        <v>2014</v>
      </c>
      <c r="AH60" s="335">
        <f t="shared" ref="AH60:AH106" si="11">AZ7-M60</f>
        <v>239.52999999999997</v>
      </c>
      <c r="AK60" s="3">
        <v>2014</v>
      </c>
      <c r="AL60" s="338">
        <f>Y60/U60</f>
        <v>0.45383173777348934</v>
      </c>
      <c r="AM60" s="338">
        <f>AB60/U60</f>
        <v>0.35343178383458645</v>
      </c>
      <c r="AN60" s="338">
        <f>AE60/U60</f>
        <v>0.1927364783919242</v>
      </c>
    </row>
    <row r="61" spans="1:59" ht="14.4" x14ac:dyDescent="0.55000000000000004">
      <c r="B61" s="3">
        <v>2015</v>
      </c>
      <c r="C61" s="707">
        <f>'Food System Summary'!C13</f>
        <v>0</v>
      </c>
      <c r="E61" s="3">
        <v>2015</v>
      </c>
      <c r="F61" s="335">
        <f t="shared" ref="F61:F106" si="12">C8-C61</f>
        <v>1891.6666666666667</v>
      </c>
      <c r="H61" s="3">
        <v>2015</v>
      </c>
      <c r="I61" s="335">
        <f t="shared" si="9"/>
        <v>862.10382892596351</v>
      </c>
      <c r="L61" s="3">
        <v>2015</v>
      </c>
      <c r="M61" s="707">
        <f>Bioplastics!B11</f>
        <v>2.0299999999999998</v>
      </c>
      <c r="Q61" s="3">
        <v>2015</v>
      </c>
      <c r="R61" s="1197">
        <v>0.36300000000000004</v>
      </c>
      <c r="T61" s="3">
        <v>2015</v>
      </c>
      <c r="U61" s="335">
        <f t="shared" ref="U61:U106" si="13">F61</f>
        <v>1891.6666666666667</v>
      </c>
      <c r="W61" s="3">
        <v>2015</v>
      </c>
      <c r="X61" s="343"/>
      <c r="Y61" s="335">
        <f t="shared" ref="Y61:Y106" si="14">I61+R61*M61</f>
        <v>862.84071892596353</v>
      </c>
      <c r="AA61" s="3">
        <v>2015</v>
      </c>
      <c r="AB61" s="335">
        <f t="shared" si="10"/>
        <v>664.94060999999999</v>
      </c>
      <c r="AD61" s="3">
        <v>2015</v>
      </c>
      <c r="AE61" s="335">
        <f>U61-Y61-AB61</f>
        <v>363.88533774070322</v>
      </c>
      <c r="AG61" s="3">
        <v>2015</v>
      </c>
      <c r="AH61" s="335">
        <f t="shared" si="11"/>
        <v>247.70118971061089</v>
      </c>
      <c r="AK61" s="3">
        <v>2015</v>
      </c>
      <c r="AL61" s="338">
        <f t="shared" ref="AL61:AL106" si="15">Y61/U61</f>
        <v>0.45612725229566353</v>
      </c>
      <c r="AM61" s="338">
        <f t="shared" ref="AM61:AM106" si="16">AB61/U61</f>
        <v>0.35151045462555064</v>
      </c>
      <c r="AN61" s="338">
        <f t="shared" ref="AN61:AN106" si="17">AE61/U61</f>
        <v>0.19236229307878583</v>
      </c>
    </row>
    <row r="62" spans="1:59" ht="14.4" x14ac:dyDescent="0.55000000000000004">
      <c r="B62" s="3">
        <v>2016</v>
      </c>
      <c r="C62" s="707">
        <f>'Food System Summary'!C14</f>
        <v>0</v>
      </c>
      <c r="E62" s="3">
        <v>2016</v>
      </c>
      <c r="F62" s="335">
        <f t="shared" si="12"/>
        <v>2009.9999999999998</v>
      </c>
      <c r="H62" s="3">
        <v>2016</v>
      </c>
      <c r="I62" s="335">
        <f t="shared" si="9"/>
        <v>924.59999999999991</v>
      </c>
      <c r="L62" s="3">
        <v>2016</v>
      </c>
      <c r="M62" s="707">
        <f>Bioplastics!B12</f>
        <v>2.0499999999999998</v>
      </c>
      <c r="Q62" s="3">
        <v>2016</v>
      </c>
      <c r="R62" s="1197">
        <v>0.36899999999999999</v>
      </c>
      <c r="T62" s="3">
        <v>2016</v>
      </c>
      <c r="U62" s="335">
        <f t="shared" si="13"/>
        <v>2009.9999999999998</v>
      </c>
      <c r="W62" s="3">
        <v>2016</v>
      </c>
      <c r="X62" s="343"/>
      <c r="Y62" s="335">
        <f t="shared" si="14"/>
        <v>925.35644999999988</v>
      </c>
      <c r="AA62" s="3">
        <v>2016</v>
      </c>
      <c r="AB62" s="335">
        <f t="shared" si="10"/>
        <v>702.74354999999991</v>
      </c>
      <c r="AD62" s="3">
        <v>2016</v>
      </c>
      <c r="AE62" s="335">
        <f t="shared" ref="AE62:AE106" si="18">U62-Y62-AB62</f>
        <v>381.89999999999986</v>
      </c>
      <c r="AG62" s="3">
        <v>2016</v>
      </c>
      <c r="AH62" s="335">
        <f t="shared" si="11"/>
        <v>257.7635048231511</v>
      </c>
      <c r="AK62" s="3">
        <v>2016</v>
      </c>
      <c r="AL62" s="338">
        <f t="shared" si="15"/>
        <v>0.46037634328358207</v>
      </c>
      <c r="AM62" s="338">
        <f t="shared" si="16"/>
        <v>0.34962365671641793</v>
      </c>
      <c r="AN62" s="338">
        <f t="shared" si="17"/>
        <v>0.18999999999999995</v>
      </c>
    </row>
    <row r="63" spans="1:59" ht="14.4" x14ac:dyDescent="0.55000000000000004">
      <c r="B63" s="3">
        <v>2017</v>
      </c>
      <c r="C63" s="707">
        <f>'Food System Summary'!C15</f>
        <v>0</v>
      </c>
      <c r="E63" s="3">
        <v>2017</v>
      </c>
      <c r="F63" s="335">
        <f t="shared" si="12"/>
        <v>2123.324211440809</v>
      </c>
      <c r="H63" s="3">
        <v>2017</v>
      </c>
      <c r="I63" s="335">
        <f t="shared" si="9"/>
        <v>976.21069943703117</v>
      </c>
      <c r="L63" s="3">
        <v>2017</v>
      </c>
      <c r="M63" s="707">
        <f>Bioplastics!B13</f>
        <v>2.27</v>
      </c>
      <c r="Q63" s="3">
        <v>2017</v>
      </c>
      <c r="R63" s="1197">
        <v>0.38700000000000001</v>
      </c>
      <c r="T63" s="3">
        <v>2017</v>
      </c>
      <c r="U63" s="335">
        <f t="shared" si="13"/>
        <v>2123.324211440809</v>
      </c>
      <c r="W63" s="3">
        <v>2017</v>
      </c>
      <c r="X63" s="343"/>
      <c r="Y63" s="335">
        <f t="shared" si="14"/>
        <v>977.08918943703122</v>
      </c>
      <c r="AA63" s="3">
        <v>2017</v>
      </c>
      <c r="AB63" s="335">
        <f t="shared" si="10"/>
        <v>738.25066800254558</v>
      </c>
      <c r="AD63" s="3">
        <v>2017</v>
      </c>
      <c r="AE63" s="335">
        <f t="shared" si="18"/>
        <v>407.9843540012323</v>
      </c>
      <c r="AG63" s="3">
        <v>2017</v>
      </c>
      <c r="AH63" s="335">
        <f t="shared" si="11"/>
        <v>267.62581993569131</v>
      </c>
      <c r="AK63" s="3">
        <v>2017</v>
      </c>
      <c r="AL63" s="338">
        <f t="shared" si="15"/>
        <v>0.46016957004131498</v>
      </c>
      <c r="AM63" s="338">
        <f t="shared" si="16"/>
        <v>0.34768626666843122</v>
      </c>
      <c r="AN63" s="338">
        <f t="shared" si="17"/>
        <v>0.19214416329025386</v>
      </c>
    </row>
    <row r="64" spans="1:59" ht="14.4" x14ac:dyDescent="0.55000000000000004">
      <c r="B64" s="3">
        <v>2018</v>
      </c>
      <c r="C64" s="707">
        <f>'Food System Summary'!C16</f>
        <v>0</v>
      </c>
      <c r="E64" s="3">
        <v>2018</v>
      </c>
      <c r="F64" s="335">
        <f t="shared" si="12"/>
        <v>2160.7043297289983</v>
      </c>
      <c r="H64" s="3">
        <v>2018</v>
      </c>
      <c r="I64" s="335">
        <f t="shared" si="9"/>
        <v>997.21871385837414</v>
      </c>
      <c r="L64" s="3">
        <v>2018</v>
      </c>
      <c r="M64" s="707">
        <f>Bioplastics!B14</f>
        <v>2.1099999999999852</v>
      </c>
      <c r="Q64" s="3">
        <v>2018</v>
      </c>
      <c r="R64" s="1197">
        <v>0.43200000000000005</v>
      </c>
      <c r="T64" s="3">
        <v>2018</v>
      </c>
      <c r="U64" s="335">
        <f t="shared" si="13"/>
        <v>2160.7043297289983</v>
      </c>
      <c r="W64" s="3">
        <v>2018</v>
      </c>
      <c r="X64" s="343"/>
      <c r="Y64" s="335">
        <f t="shared" si="14"/>
        <v>998.13023385837414</v>
      </c>
      <c r="AA64" s="3">
        <v>2018</v>
      </c>
      <c r="AB64" s="335">
        <f t="shared" si="10"/>
        <v>747.12431895217935</v>
      </c>
      <c r="AD64" s="3">
        <v>2018</v>
      </c>
      <c r="AE64" s="335">
        <f t="shared" si="18"/>
        <v>415.44977691844485</v>
      </c>
      <c r="AG64" s="3">
        <v>2018</v>
      </c>
      <c r="AH64" s="335">
        <f t="shared" si="11"/>
        <v>276.31700964630227</v>
      </c>
      <c r="AK64" s="3">
        <v>2018</v>
      </c>
      <c r="AL64" s="338">
        <f t="shared" si="15"/>
        <v>0.4619466995669706</v>
      </c>
      <c r="AM64" s="338">
        <f t="shared" si="16"/>
        <v>0.34577813756030462</v>
      </c>
      <c r="AN64" s="338">
        <f t="shared" si="17"/>
        <v>0.19227516287272481</v>
      </c>
    </row>
    <row r="65" spans="2:40" ht="14.4" x14ac:dyDescent="0.55000000000000004">
      <c r="B65" s="3">
        <v>2019</v>
      </c>
      <c r="C65" s="707">
        <f>'Food System Summary'!C17</f>
        <v>35.56819850190854</v>
      </c>
      <c r="E65" s="3">
        <v>2019</v>
      </c>
      <c r="F65" s="335">
        <f t="shared" si="12"/>
        <v>2162.3352218516775</v>
      </c>
      <c r="H65" s="3">
        <v>2019</v>
      </c>
      <c r="I65" s="335">
        <f t="shared" si="9"/>
        <v>982.38943229218512</v>
      </c>
      <c r="L65" s="3">
        <v>2019</v>
      </c>
      <c r="M65" s="707">
        <f>Bioplastics!B15</f>
        <v>2.211199999999991</v>
      </c>
      <c r="Q65" s="3">
        <v>2019</v>
      </c>
      <c r="R65" s="1197">
        <v>0.43442538507158451</v>
      </c>
      <c r="T65" s="3">
        <v>2019</v>
      </c>
      <c r="U65" s="335">
        <f t="shared" si="13"/>
        <v>2162.3352218516775</v>
      </c>
      <c r="W65" s="3">
        <v>2019</v>
      </c>
      <c r="X65" s="343"/>
      <c r="Y65" s="335">
        <f t="shared" si="14"/>
        <v>983.35003370365541</v>
      </c>
      <c r="AA65" s="3">
        <v>2019</v>
      </c>
      <c r="AB65" s="335">
        <f t="shared" si="10"/>
        <v>755.77754621626957</v>
      </c>
      <c r="AD65" s="3">
        <v>2019</v>
      </c>
      <c r="AE65" s="335">
        <f t="shared" si="18"/>
        <v>423.20764193175262</v>
      </c>
      <c r="AG65" s="3">
        <v>2019</v>
      </c>
      <c r="AH65" s="335">
        <f t="shared" si="11"/>
        <v>264.35193642222555</v>
      </c>
      <c r="AK65" s="3">
        <v>2019</v>
      </c>
      <c r="AL65" s="338">
        <f t="shared" si="15"/>
        <v>0.45476299130972903</v>
      </c>
      <c r="AM65" s="338">
        <f t="shared" si="16"/>
        <v>0.34951913957590391</v>
      </c>
      <c r="AN65" s="338">
        <f t="shared" si="17"/>
        <v>0.19571786911436712</v>
      </c>
    </row>
    <row r="66" spans="2:40" ht="14.4" x14ac:dyDescent="0.55000000000000004">
      <c r="B66" s="3">
        <v>2020</v>
      </c>
      <c r="C66" s="707">
        <f>'Food System Summary'!C18</f>
        <v>71.65690171818423</v>
      </c>
      <c r="E66" s="3">
        <v>2020</v>
      </c>
      <c r="F66" s="335">
        <f t="shared" si="12"/>
        <v>2163.8310876898222</v>
      </c>
      <c r="H66" s="3">
        <v>2020</v>
      </c>
      <c r="I66" s="335">
        <f t="shared" si="9"/>
        <v>967.04104062151634</v>
      </c>
      <c r="L66" s="3">
        <v>2020</v>
      </c>
      <c r="M66" s="707">
        <f>Bioplastics!B16</f>
        <v>2.3123999999999967</v>
      </c>
      <c r="Q66" s="3">
        <v>2020</v>
      </c>
      <c r="R66" s="1197">
        <v>0.44838947206870899</v>
      </c>
      <c r="T66" s="3">
        <v>2020</v>
      </c>
      <c r="U66" s="335">
        <f t="shared" si="13"/>
        <v>2163.8310876898222</v>
      </c>
      <c r="W66" s="3">
        <v>2020</v>
      </c>
      <c r="X66" s="343"/>
      <c r="Y66" s="335">
        <f t="shared" si="14"/>
        <v>968.077896436728</v>
      </c>
      <c r="AA66" s="3">
        <v>2020</v>
      </c>
      <c r="AB66" s="335">
        <f t="shared" si="10"/>
        <v>764.39423175808997</v>
      </c>
      <c r="AD66" s="3">
        <v>2020</v>
      </c>
      <c r="AE66" s="335">
        <f t="shared" si="18"/>
        <v>431.35895949500423</v>
      </c>
      <c r="AG66" s="3">
        <v>2020</v>
      </c>
      <c r="AH66" s="335">
        <f t="shared" si="11"/>
        <v>274.17450247270676</v>
      </c>
      <c r="AK66" s="3">
        <v>2020</v>
      </c>
      <c r="AL66" s="338">
        <f t="shared" si="15"/>
        <v>0.44739069604101123</v>
      </c>
      <c r="AM66" s="338">
        <f t="shared" si="16"/>
        <v>0.35325965880922</v>
      </c>
      <c r="AN66" s="338">
        <f t="shared" si="17"/>
        <v>0.19934964514976877</v>
      </c>
    </row>
    <row r="67" spans="2:40" ht="14.4" x14ac:dyDescent="0.55000000000000004">
      <c r="B67" s="3">
        <v>2021</v>
      </c>
      <c r="C67" s="707">
        <f>'Food System Summary'!C19</f>
        <v>108.1389309845767</v>
      </c>
      <c r="E67" s="3">
        <v>2021</v>
      </c>
      <c r="F67" s="335">
        <f t="shared" si="12"/>
        <v>2162.1463965483695</v>
      </c>
      <c r="H67" s="3">
        <v>2021</v>
      </c>
      <c r="I67" s="335">
        <f t="shared" si="9"/>
        <v>949.83205718546105</v>
      </c>
      <c r="L67" s="3">
        <v>2021</v>
      </c>
      <c r="M67" s="707">
        <f>Bioplastics!B17</f>
        <v>2.413599999999974</v>
      </c>
      <c r="Q67" s="3">
        <v>2021</v>
      </c>
      <c r="R67" s="1197">
        <v>0.46200878452943045</v>
      </c>
      <c r="T67" s="3">
        <v>2021</v>
      </c>
      <c r="U67" s="335">
        <f t="shared" si="13"/>
        <v>2162.1463965483695</v>
      </c>
      <c r="W67" s="3">
        <v>2021</v>
      </c>
      <c r="X67" s="343"/>
      <c r="Y67" s="335">
        <f t="shared" si="14"/>
        <v>950.94716158780125</v>
      </c>
      <c r="AA67" s="3">
        <v>2021</v>
      </c>
      <c r="AB67" s="335">
        <f t="shared" si="10"/>
        <v>771.91704962262827</v>
      </c>
      <c r="AD67" s="3">
        <v>2021</v>
      </c>
      <c r="AE67" s="335">
        <f t="shared" si="18"/>
        <v>439.28218533793995</v>
      </c>
      <c r="AG67" s="3">
        <v>2021</v>
      </c>
      <c r="AH67" s="335">
        <f t="shared" si="11"/>
        <v>281.60142082012214</v>
      </c>
      <c r="AK67" s="3">
        <v>2021</v>
      </c>
      <c r="AL67" s="338">
        <f t="shared" si="15"/>
        <v>0.43981626919707401</v>
      </c>
      <c r="AM67" s="338">
        <f t="shared" si="16"/>
        <v>0.35701423865419546</v>
      </c>
      <c r="AN67" s="338">
        <f t="shared" si="17"/>
        <v>0.20316949214873053</v>
      </c>
    </row>
    <row r="68" spans="2:40" ht="14.4" x14ac:dyDescent="0.55000000000000004">
      <c r="B68" s="3">
        <v>2022</v>
      </c>
      <c r="C68" s="707">
        <f>'Food System Summary'!C20</f>
        <v>145.00472804000998</v>
      </c>
      <c r="E68" s="3">
        <v>2022</v>
      </c>
      <c r="F68" s="335">
        <f t="shared" si="12"/>
        <v>2160.4234437181863</v>
      </c>
      <c r="H68" s="3">
        <v>2022</v>
      </c>
      <c r="I68" s="335">
        <f t="shared" si="9"/>
        <v>932.23351901957676</v>
      </c>
      <c r="L68" s="3">
        <v>2022</v>
      </c>
      <c r="M68" s="707">
        <f>Bioplastics!B18</f>
        <v>2.5147999999999797</v>
      </c>
      <c r="Q68" s="3">
        <v>2022</v>
      </c>
      <c r="R68" s="1197">
        <v>0.47529183496738303</v>
      </c>
      <c r="T68" s="3">
        <v>2022</v>
      </c>
      <c r="U68" s="335">
        <f t="shared" si="13"/>
        <v>2160.4234437181863</v>
      </c>
      <c r="W68" s="3">
        <v>2022</v>
      </c>
      <c r="X68" s="343"/>
      <c r="Y68" s="335">
        <f t="shared" si="14"/>
        <v>933.42878292615273</v>
      </c>
      <c r="AA68" s="3">
        <v>2022</v>
      </c>
      <c r="AB68" s="335">
        <f t="shared" si="10"/>
        <v>779.42271505074962</v>
      </c>
      <c r="AD68" s="3">
        <v>2022</v>
      </c>
      <c r="AE68" s="335">
        <f t="shared" si="18"/>
        <v>447.57194574128391</v>
      </c>
      <c r="AG68" s="3">
        <v>2022</v>
      </c>
      <c r="AH68" s="335">
        <f t="shared" si="11"/>
        <v>289.02683156610925</v>
      </c>
      <c r="AK68" s="3">
        <v>2022</v>
      </c>
      <c r="AL68" s="338">
        <f t="shared" si="15"/>
        <v>0.43205825489454958</v>
      </c>
      <c r="AM68" s="338">
        <f t="shared" si="16"/>
        <v>0.36077312404522327</v>
      </c>
      <c r="AN68" s="338">
        <f t="shared" si="17"/>
        <v>0.20716862106022715</v>
      </c>
    </row>
    <row r="69" spans="2:40" ht="14.4" x14ac:dyDescent="0.55000000000000004">
      <c r="B69" s="3">
        <v>2023</v>
      </c>
      <c r="C69" s="707">
        <f>'Food System Summary'!C21</f>
        <v>182.22106275890874</v>
      </c>
      <c r="E69" s="3">
        <v>2023</v>
      </c>
      <c r="F69" s="335">
        <f t="shared" si="12"/>
        <v>2157.9337922891841</v>
      </c>
      <c r="H69" s="3">
        <v>2023</v>
      </c>
      <c r="I69" s="335">
        <f t="shared" si="9"/>
        <v>913.93206314589872</v>
      </c>
      <c r="L69" s="3">
        <v>2023</v>
      </c>
      <c r="M69" s="707">
        <f>Bioplastics!B19</f>
        <v>2.6159999999999854</v>
      </c>
      <c r="Q69" s="3">
        <v>2023</v>
      </c>
      <c r="R69" s="1197">
        <v>0.49235474006116209</v>
      </c>
      <c r="T69" s="3">
        <v>2023</v>
      </c>
      <c r="U69" s="335">
        <f t="shared" si="13"/>
        <v>2157.9337922891841</v>
      </c>
      <c r="W69" s="3">
        <v>2023</v>
      </c>
      <c r="X69" s="343"/>
      <c r="Y69" s="335">
        <f t="shared" si="14"/>
        <v>915.22006314589873</v>
      </c>
      <c r="AA69" s="3">
        <v>2023</v>
      </c>
      <c r="AB69" s="335">
        <f t="shared" si="10"/>
        <v>786.64213969469324</v>
      </c>
      <c r="AD69" s="3">
        <v>2023</v>
      </c>
      <c r="AE69" s="335">
        <f t="shared" si="18"/>
        <v>456.07158944859225</v>
      </c>
      <c r="AG69" s="3">
        <v>2023</v>
      </c>
      <c r="AH69" s="335">
        <f t="shared" si="11"/>
        <v>296.4460257431594</v>
      </c>
      <c r="AK69" s="3">
        <v>2023</v>
      </c>
      <c r="AL69" s="338">
        <f t="shared" si="15"/>
        <v>0.42411869465884444</v>
      </c>
      <c r="AM69" s="338">
        <f t="shared" si="16"/>
        <v>0.36453488170283749</v>
      </c>
      <c r="AN69" s="338">
        <f t="shared" si="17"/>
        <v>0.2113464236383181</v>
      </c>
    </row>
    <row r="70" spans="2:40" ht="14.4" x14ac:dyDescent="0.55000000000000004">
      <c r="B70" s="3">
        <v>2024</v>
      </c>
      <c r="C70" s="707">
        <f>'Food System Summary'!C22</f>
        <v>219.75873914715552</v>
      </c>
      <c r="E70" s="3">
        <v>2024</v>
      </c>
      <c r="F70" s="335">
        <f t="shared" si="12"/>
        <v>2154.6680189019726</v>
      </c>
      <c r="H70" s="3">
        <v>2024</v>
      </c>
      <c r="I70" s="335">
        <f t="shared" si="9"/>
        <v>894.94613108862188</v>
      </c>
      <c r="L70" s="3">
        <v>2024</v>
      </c>
      <c r="M70" s="707">
        <f>Bioplastics!B20</f>
        <v>3.666790941497311</v>
      </c>
      <c r="Q70" s="3">
        <v>2024</v>
      </c>
      <c r="R70" s="1197">
        <v>0.5008821541451981</v>
      </c>
      <c r="T70" s="3">
        <v>2024</v>
      </c>
      <c r="U70" s="335">
        <f t="shared" si="13"/>
        <v>2154.6680189019726</v>
      </c>
      <c r="W70" s="3">
        <v>2024</v>
      </c>
      <c r="X70" s="343"/>
      <c r="Y70" s="335">
        <f t="shared" si="14"/>
        <v>896.78276123419914</v>
      </c>
      <c r="AA70" s="3">
        <v>2024</v>
      </c>
      <c r="AB70" s="335">
        <f t="shared" si="10"/>
        <v>793.12144844927138</v>
      </c>
      <c r="AD70" s="3">
        <v>2024</v>
      </c>
      <c r="AE70" s="335">
        <f t="shared" si="18"/>
        <v>464.76380921850205</v>
      </c>
      <c r="AG70" s="3">
        <v>2024</v>
      </c>
      <c r="AH70" s="335">
        <f t="shared" si="11"/>
        <v>304.3378419331878</v>
      </c>
      <c r="AK70" s="3">
        <v>2024</v>
      </c>
      <c r="AL70" s="338">
        <f t="shared" si="15"/>
        <v>0.41620460941876475</v>
      </c>
      <c r="AM70" s="338">
        <f t="shared" si="16"/>
        <v>0.36809450063376781</v>
      </c>
      <c r="AN70" s="338">
        <f t="shared" si="17"/>
        <v>0.21570088994746742</v>
      </c>
    </row>
    <row r="71" spans="2:40" ht="14.4" x14ac:dyDescent="0.55000000000000004">
      <c r="B71" s="3">
        <v>2025</v>
      </c>
      <c r="C71" s="707">
        <f>'Food System Summary'!C23</f>
        <v>257.59136536958215</v>
      </c>
      <c r="E71" s="3">
        <v>2025</v>
      </c>
      <c r="F71" s="335">
        <f t="shared" si="12"/>
        <v>2149.5855222151081</v>
      </c>
      <c r="H71" s="3">
        <v>2025</v>
      </c>
      <c r="I71" s="335">
        <f t="shared" si="9"/>
        <v>873.7817717952222</v>
      </c>
      <c r="L71" s="3">
        <v>2025</v>
      </c>
      <c r="M71" s="707">
        <f>Bioplastics!B21</f>
        <v>4.5678132564062253</v>
      </c>
      <c r="Q71" s="3">
        <v>2025</v>
      </c>
      <c r="R71" s="1197">
        <v>0.51320541766758221</v>
      </c>
      <c r="T71" s="3">
        <v>2025</v>
      </c>
      <c r="U71" s="335">
        <f t="shared" si="13"/>
        <v>2149.5855222151081</v>
      </c>
      <c r="W71" s="3">
        <v>2025</v>
      </c>
      <c r="X71" s="343"/>
      <c r="Y71" s="335">
        <f t="shared" si="14"/>
        <v>876.12599830530371</v>
      </c>
      <c r="AA71" s="3">
        <v>2025</v>
      </c>
      <c r="AB71" s="335">
        <f t="shared" si="10"/>
        <v>799.00495936686229</v>
      </c>
      <c r="AD71" s="3">
        <v>2025</v>
      </c>
      <c r="AE71" s="335">
        <f t="shared" si="18"/>
        <v>474.45456454294208</v>
      </c>
      <c r="AG71" s="3">
        <v>2025</v>
      </c>
      <c r="AH71" s="335">
        <f t="shared" si="11"/>
        <v>312.54975420624265</v>
      </c>
      <c r="AK71" s="3">
        <v>2025</v>
      </c>
      <c r="AL71" s="338">
        <f t="shared" si="15"/>
        <v>0.40757903756370301</v>
      </c>
      <c r="AM71" s="338">
        <f t="shared" si="16"/>
        <v>0.37170187048129283</v>
      </c>
      <c r="AN71" s="338">
        <f t="shared" si="17"/>
        <v>0.22071909195500417</v>
      </c>
    </row>
    <row r="72" spans="2:40" ht="14.4" x14ac:dyDescent="0.55000000000000004">
      <c r="B72" s="3">
        <v>2026</v>
      </c>
      <c r="C72" s="707">
        <f>'Food System Summary'!C24</f>
        <v>295.69363141168691</v>
      </c>
      <c r="E72" s="3">
        <v>2026</v>
      </c>
      <c r="F72" s="335">
        <f t="shared" si="12"/>
        <v>2154.2244436665042</v>
      </c>
      <c r="H72" s="3">
        <v>2026</v>
      </c>
      <c r="I72" s="335">
        <f t="shared" si="9"/>
        <v>858.97172140771613</v>
      </c>
      <c r="L72" s="3">
        <v>2026</v>
      </c>
      <c r="M72" s="707">
        <f>Bioplastics!B22</f>
        <v>5.6675428241724148</v>
      </c>
      <c r="Q72" s="3">
        <v>2026</v>
      </c>
      <c r="R72" s="1197">
        <v>0.52522441872950065</v>
      </c>
      <c r="T72" s="3">
        <v>2026</v>
      </c>
      <c r="U72" s="335">
        <f t="shared" si="13"/>
        <v>2154.2244436665042</v>
      </c>
      <c r="W72" s="3">
        <v>2026</v>
      </c>
      <c r="X72" s="343"/>
      <c r="Y72" s="335">
        <f t="shared" si="14"/>
        <v>861.94845329316661</v>
      </c>
      <c r="AA72" s="3">
        <v>2026</v>
      </c>
      <c r="AB72" s="335">
        <f t="shared" si="10"/>
        <v>807.94615096543134</v>
      </c>
      <c r="AD72" s="3">
        <v>2026</v>
      </c>
      <c r="AE72" s="335">
        <f t="shared" si="18"/>
        <v>484.32983940790632</v>
      </c>
      <c r="AG72" s="3">
        <v>2026</v>
      </c>
      <c r="AH72" s="335">
        <f t="shared" si="11"/>
        <v>320.73826365248863</v>
      </c>
      <c r="AK72" s="3">
        <v>2026</v>
      </c>
      <c r="AL72" s="338">
        <f t="shared" si="15"/>
        <v>0.40012007840098812</v>
      </c>
      <c r="AM72" s="338">
        <f t="shared" si="16"/>
        <v>0.37505198371544873</v>
      </c>
      <c r="AN72" s="338">
        <f t="shared" si="17"/>
        <v>0.22482793788356323</v>
      </c>
    </row>
    <row r="73" spans="2:40" ht="14.4" x14ac:dyDescent="0.55000000000000004">
      <c r="B73" s="3">
        <v>2027</v>
      </c>
      <c r="C73" s="707">
        <f>'Food System Summary'!C25</f>
        <v>334.04098811636828</v>
      </c>
      <c r="E73" s="3">
        <v>2027</v>
      </c>
      <c r="F73" s="335">
        <f t="shared" si="12"/>
        <v>2161.0166143215115</v>
      </c>
      <c r="H73" s="3">
        <v>2027</v>
      </c>
      <c r="I73" s="335">
        <f t="shared" si="9"/>
        <v>843.91153499896677</v>
      </c>
      <c r="L73" s="3">
        <v>2027</v>
      </c>
      <c r="M73" s="707">
        <f>Bioplastics!B23</f>
        <v>6.9661754110711627</v>
      </c>
      <c r="Q73" s="3">
        <v>2027</v>
      </c>
      <c r="R73" s="1197">
        <v>0.53694666959786874</v>
      </c>
      <c r="T73" s="3">
        <v>2027</v>
      </c>
      <c r="U73" s="335">
        <f t="shared" si="13"/>
        <v>2161.0166143215115</v>
      </c>
      <c r="W73" s="3">
        <v>2027</v>
      </c>
      <c r="X73" s="343"/>
      <c r="Y73" s="335">
        <f t="shared" si="14"/>
        <v>847.65199968577599</v>
      </c>
      <c r="AA73" s="3">
        <v>2027</v>
      </c>
      <c r="AB73" s="335">
        <f t="shared" si="10"/>
        <v>817.3829922754976</v>
      </c>
      <c r="AD73" s="3">
        <v>2027</v>
      </c>
      <c r="AE73" s="335">
        <f t="shared" si="18"/>
        <v>495.98162236023791</v>
      </c>
      <c r="AG73" s="3">
        <v>2027</v>
      </c>
      <c r="AH73" s="335">
        <f t="shared" si="11"/>
        <v>328.90804260599276</v>
      </c>
      <c r="AK73" s="3">
        <v>2027</v>
      </c>
      <c r="AL73" s="338">
        <f t="shared" si="15"/>
        <v>0.39224686847301771</v>
      </c>
      <c r="AM73" s="338">
        <f t="shared" si="16"/>
        <v>0.37824003150115953</v>
      </c>
      <c r="AN73" s="338">
        <f t="shared" si="17"/>
        <v>0.22951310002582276</v>
      </c>
    </row>
    <row r="74" spans="2:40" ht="14.4" x14ac:dyDescent="0.55000000000000004">
      <c r="B74" s="3">
        <v>2028</v>
      </c>
      <c r="C74" s="707">
        <f>'Food System Summary'!C26</f>
        <v>372.61028955407261</v>
      </c>
      <c r="E74" s="3">
        <v>2028</v>
      </c>
      <c r="F74" s="335">
        <f t="shared" si="12"/>
        <v>2167.1212603291365</v>
      </c>
      <c r="H74" s="3">
        <v>2028</v>
      </c>
      <c r="I74" s="335">
        <f t="shared" si="9"/>
        <v>828.30710026799761</v>
      </c>
      <c r="L74" s="3">
        <v>2028</v>
      </c>
      <c r="M74" s="707">
        <f>Bioplastics!B24</f>
        <v>8.4639067831449211</v>
      </c>
      <c r="Q74" s="3">
        <v>2028</v>
      </c>
      <c r="R74" s="1197">
        <v>0.54837949706107092</v>
      </c>
      <c r="T74" s="3">
        <v>2028</v>
      </c>
      <c r="U74" s="335">
        <f t="shared" si="13"/>
        <v>2167.1212603291365</v>
      </c>
      <c r="W74" s="3">
        <v>2028</v>
      </c>
      <c r="X74" s="343"/>
      <c r="Y74" s="335">
        <f t="shared" si="14"/>
        <v>832.94853321291043</v>
      </c>
      <c r="AA74" s="3">
        <v>2028</v>
      </c>
      <c r="AB74" s="335">
        <f t="shared" si="10"/>
        <v>826.35873017687391</v>
      </c>
      <c r="AD74" s="3">
        <v>2028</v>
      </c>
      <c r="AE74" s="335">
        <f t="shared" si="18"/>
        <v>507.81399693935214</v>
      </c>
      <c r="AG74" s="3">
        <v>2028</v>
      </c>
      <c r="AH74" s="335">
        <f t="shared" si="11"/>
        <v>337.06383623397306</v>
      </c>
      <c r="AK74" s="3">
        <v>2028</v>
      </c>
      <c r="AL74" s="338">
        <f t="shared" si="15"/>
        <v>0.38435714164255141</v>
      </c>
      <c r="AM74" s="338">
        <f t="shared" si="16"/>
        <v>0.38131633208718962</v>
      </c>
      <c r="AN74" s="338">
        <f t="shared" si="17"/>
        <v>0.23432652627025896</v>
      </c>
    </row>
    <row r="75" spans="2:40" ht="14.4" x14ac:dyDescent="0.55000000000000004">
      <c r="B75" s="3">
        <v>2029</v>
      </c>
      <c r="C75" s="707">
        <f>'Food System Summary'!C27</f>
        <v>411.37894501375746</v>
      </c>
      <c r="E75" s="3">
        <v>2029</v>
      </c>
      <c r="F75" s="335">
        <f t="shared" si="12"/>
        <v>2172.572691039858</v>
      </c>
      <c r="H75" s="3">
        <v>2029</v>
      </c>
      <c r="I75" s="335">
        <f t="shared" si="9"/>
        <v>812.19099839482851</v>
      </c>
      <c r="L75" s="3">
        <v>2029</v>
      </c>
      <c r="M75" s="707">
        <f>Bioplastics!B25</f>
        <v>10.160932706610765</v>
      </c>
      <c r="Q75" s="3">
        <v>2029</v>
      </c>
      <c r="R75" s="1197">
        <v>0.55953004700844178</v>
      </c>
      <c r="T75" s="3">
        <v>2029</v>
      </c>
      <c r="U75" s="335">
        <f t="shared" si="13"/>
        <v>2172.572691039858</v>
      </c>
      <c r="W75" s="3">
        <v>2029</v>
      </c>
      <c r="X75" s="343"/>
      <c r="Y75" s="335">
        <f t="shared" si="14"/>
        <v>817.87634554980809</v>
      </c>
      <c r="AA75" s="3">
        <v>2029</v>
      </c>
      <c r="AB75" s="335">
        <f t="shared" si="10"/>
        <v>834.87412005326223</v>
      </c>
      <c r="AD75" s="3">
        <v>2029</v>
      </c>
      <c r="AE75" s="335">
        <f t="shared" si="18"/>
        <v>519.82222543678768</v>
      </c>
      <c r="AG75" s="3">
        <v>2029</v>
      </c>
      <c r="AH75" s="335">
        <f t="shared" si="11"/>
        <v>345.2100183188544</v>
      </c>
      <c r="AK75" s="3">
        <v>2029</v>
      </c>
      <c r="AL75" s="338">
        <f t="shared" si="15"/>
        <v>0.37645522698637446</v>
      </c>
      <c r="AM75" s="338">
        <f t="shared" si="16"/>
        <v>0.38427902711677125</v>
      </c>
      <c r="AN75" s="338">
        <f t="shared" si="17"/>
        <v>0.23926574589685434</v>
      </c>
    </row>
    <row r="76" spans="2:40" ht="14.4" x14ac:dyDescent="0.55000000000000004">
      <c r="B76" s="3">
        <v>2030</v>
      </c>
      <c r="C76" s="707">
        <f>'Food System Summary'!C28</f>
        <v>450.325006870214</v>
      </c>
      <c r="E76" s="3">
        <v>2030</v>
      </c>
      <c r="F76" s="335">
        <f t="shared" si="12"/>
        <v>2180.4298950990051</v>
      </c>
      <c r="H76" s="3">
        <v>2030</v>
      </c>
      <c r="I76" s="335">
        <f t="shared" si="9"/>
        <v>797.02966974071285</v>
      </c>
      <c r="L76" s="3">
        <v>2030</v>
      </c>
      <c r="M76" s="707">
        <f>Bioplastics!B26</f>
        <v>12.057448947627563</v>
      </c>
      <c r="Q76" s="3">
        <v>2030</v>
      </c>
      <c r="R76" s="1197">
        <v>0.57040528889667952</v>
      </c>
      <c r="T76" s="3">
        <v>2030</v>
      </c>
      <c r="U76" s="335">
        <f t="shared" si="13"/>
        <v>2180.4298950990051</v>
      </c>
      <c r="W76" s="3">
        <v>2030</v>
      </c>
      <c r="X76" s="343"/>
      <c r="Y76" s="335">
        <f t="shared" si="14"/>
        <v>803.9073023910413</v>
      </c>
      <c r="AA76" s="3">
        <v>2030</v>
      </c>
      <c r="AB76" s="335">
        <f t="shared" si="10"/>
        <v>843.90850264651783</v>
      </c>
      <c r="AD76" s="3">
        <v>2030</v>
      </c>
      <c r="AE76" s="335">
        <f t="shared" si="18"/>
        <v>532.61409006144584</v>
      </c>
      <c r="AG76" s="3">
        <v>2030</v>
      </c>
      <c r="AH76" s="335">
        <f t="shared" si="11"/>
        <v>353.35041544195155</v>
      </c>
      <c r="AK76" s="3">
        <v>2030</v>
      </c>
      <c r="AL76" s="338">
        <f t="shared" si="15"/>
        <v>0.368692111678527</v>
      </c>
      <c r="AM76" s="338">
        <f t="shared" si="16"/>
        <v>0.38703766837144704</v>
      </c>
      <c r="AN76" s="338">
        <f t="shared" si="17"/>
        <v>0.24427021995002587</v>
      </c>
    </row>
    <row r="77" spans="2:40" ht="14.4" x14ac:dyDescent="0.55000000000000004">
      <c r="B77" s="3">
        <v>2031</v>
      </c>
      <c r="C77" s="707">
        <f>'Food System Summary'!C29</f>
        <v>488.45606275684906</v>
      </c>
      <c r="E77" s="3">
        <v>2031</v>
      </c>
      <c r="F77" s="335">
        <f t="shared" si="12"/>
        <v>2182.6116267487168</v>
      </c>
      <c r="H77" s="3">
        <v>2031</v>
      </c>
      <c r="I77" s="335">
        <f t="shared" si="9"/>
        <v>779.51782196347096</v>
      </c>
      <c r="L77" s="3">
        <v>2031</v>
      </c>
      <c r="M77" s="707">
        <f>Bioplastics!B27</f>
        <v>14.153651272470597</v>
      </c>
      <c r="Q77" s="3">
        <v>2031</v>
      </c>
      <c r="R77" s="1197">
        <v>0.58101202010598352</v>
      </c>
      <c r="T77" s="3">
        <v>2031</v>
      </c>
      <c r="U77" s="335">
        <f t="shared" si="13"/>
        <v>2182.6116267487168</v>
      </c>
      <c r="W77" s="3">
        <v>2031</v>
      </c>
      <c r="X77" s="343"/>
      <c r="Y77" s="335">
        <f t="shared" si="14"/>
        <v>787.74126348116476</v>
      </c>
      <c r="AA77" s="3">
        <v>2031</v>
      </c>
      <c r="AB77" s="335">
        <f t="shared" si="10"/>
        <v>850.52482065834647</v>
      </c>
      <c r="AD77" s="3">
        <v>2031</v>
      </c>
      <c r="AE77" s="335">
        <f t="shared" si="18"/>
        <v>544.34554260920549</v>
      </c>
      <c r="AG77" s="3">
        <v>2031</v>
      </c>
      <c r="AH77" s="335">
        <f t="shared" si="11"/>
        <v>361.48815026957851</v>
      </c>
      <c r="AK77" s="3">
        <v>2031</v>
      </c>
      <c r="AL77" s="338">
        <f t="shared" si="15"/>
        <v>0.36091682726651997</v>
      </c>
      <c r="AM77" s="338">
        <f t="shared" si="16"/>
        <v>0.38968216343890438</v>
      </c>
      <c r="AN77" s="338">
        <f t="shared" si="17"/>
        <v>0.24940100929457559</v>
      </c>
    </row>
    <row r="78" spans="2:40" ht="14.4" x14ac:dyDescent="0.55000000000000004">
      <c r="B78" s="3">
        <v>2032</v>
      </c>
      <c r="C78" s="707">
        <f>'Food System Summary'!C30</f>
        <v>526.591531777863</v>
      </c>
      <c r="E78" s="3">
        <v>2032</v>
      </c>
      <c r="F78" s="335">
        <f t="shared" si="12"/>
        <v>2186.4561963146143</v>
      </c>
      <c r="H78" s="3">
        <v>2032</v>
      </c>
      <c r="I78" s="335">
        <f t="shared" si="9"/>
        <v>762.70743639639261</v>
      </c>
      <c r="L78" s="3">
        <v>2032</v>
      </c>
      <c r="M78" s="707">
        <f>Bioplastics!B28</f>
        <v>16.44973544718232</v>
      </c>
      <c r="Q78" s="3">
        <v>2032</v>
      </c>
      <c r="R78" s="1197">
        <v>0.59135687018863792</v>
      </c>
      <c r="T78" s="3">
        <v>2032</v>
      </c>
      <c r="U78" s="335">
        <f t="shared" si="13"/>
        <v>2186.4561963146143</v>
      </c>
      <c r="W78" s="3">
        <v>2032</v>
      </c>
      <c r="X78" s="343"/>
      <c r="Y78" s="335">
        <f t="shared" si="14"/>
        <v>772.43510046586948</v>
      </c>
      <c r="AA78" s="3">
        <v>2032</v>
      </c>
      <c r="AB78" s="335">
        <f t="shared" si="10"/>
        <v>857.36238982887983</v>
      </c>
      <c r="AD78" s="3">
        <v>2032</v>
      </c>
      <c r="AE78" s="335">
        <f t="shared" si="18"/>
        <v>556.65870601986501</v>
      </c>
      <c r="AG78" s="3">
        <v>2032</v>
      </c>
      <c r="AH78" s="335">
        <f t="shared" si="11"/>
        <v>369.6257161819417</v>
      </c>
      <c r="AK78" s="3">
        <v>2032</v>
      </c>
      <c r="AL78" s="338">
        <f t="shared" si="15"/>
        <v>0.35328176332452899</v>
      </c>
      <c r="AM78" s="338">
        <f t="shared" si="16"/>
        <v>0.39212420137847204</v>
      </c>
      <c r="AN78" s="338">
        <f t="shared" si="17"/>
        <v>0.25459403529699898</v>
      </c>
    </row>
    <row r="79" spans="2:40" ht="14.4" x14ac:dyDescent="0.55000000000000004">
      <c r="B79" s="3">
        <v>2033</v>
      </c>
      <c r="C79" s="707">
        <f>'Food System Summary'!C31</f>
        <v>564.72128346671252</v>
      </c>
      <c r="E79" s="3">
        <v>2033</v>
      </c>
      <c r="F79" s="335">
        <f t="shared" si="12"/>
        <v>2189.9258794572879</v>
      </c>
      <c r="H79" s="3">
        <v>2033</v>
      </c>
      <c r="I79" s="335">
        <f t="shared" si="9"/>
        <v>745.64226000587246</v>
      </c>
      <c r="L79" s="3">
        <v>2033</v>
      </c>
      <c r="M79" s="707">
        <f>Bioplastics!B29</f>
        <v>18.945897238038015</v>
      </c>
      <c r="Q79" s="3">
        <v>2033</v>
      </c>
      <c r="R79" s="1197">
        <v>0.60144630501269802</v>
      </c>
      <c r="T79" s="3">
        <v>2033</v>
      </c>
      <c r="U79" s="335">
        <f t="shared" si="13"/>
        <v>2189.9258794572879</v>
      </c>
      <c r="W79" s="3">
        <v>2033</v>
      </c>
      <c r="X79" s="343"/>
      <c r="Y79" s="335">
        <f t="shared" si="14"/>
        <v>757.03719989484068</v>
      </c>
      <c r="AA79" s="3">
        <v>2033</v>
      </c>
      <c r="AB79" s="335">
        <f t="shared" si="10"/>
        <v>863.75646377198757</v>
      </c>
      <c r="AD79" s="3">
        <v>2033</v>
      </c>
      <c r="AE79" s="335">
        <f t="shared" si="18"/>
        <v>569.13221579045955</v>
      </c>
      <c r="AG79" s="3">
        <v>2033</v>
      </c>
      <c r="AH79" s="335">
        <f t="shared" si="11"/>
        <v>377.76506087209196</v>
      </c>
      <c r="AK79" s="3">
        <v>2033</v>
      </c>
      <c r="AL79" s="338">
        <f t="shared" si="15"/>
        <v>0.34569078661349545</v>
      </c>
      <c r="AM79" s="338">
        <f t="shared" si="16"/>
        <v>0.39442269342286851</v>
      </c>
      <c r="AN79" s="338">
        <f t="shared" si="17"/>
        <v>0.25988651996363599</v>
      </c>
    </row>
    <row r="80" spans="2:40" ht="14.4" x14ac:dyDescent="0.55000000000000004">
      <c r="B80" s="3">
        <v>2034</v>
      </c>
      <c r="C80" s="707">
        <f>'Food System Summary'!C32</f>
        <v>602.83838655037994</v>
      </c>
      <c r="E80" s="3">
        <v>2034</v>
      </c>
      <c r="F80" s="335">
        <f t="shared" si="12"/>
        <v>2193.0798821765575</v>
      </c>
      <c r="H80" s="3">
        <v>2034</v>
      </c>
      <c r="I80" s="335">
        <f t="shared" si="9"/>
        <v>728.35856940094914</v>
      </c>
      <c r="L80" s="3">
        <v>2034</v>
      </c>
      <c r="M80" s="707">
        <f>Bioplastics!B30</f>
        <v>21.642332411254756</v>
      </c>
      <c r="Q80" s="3">
        <v>2034</v>
      </c>
      <c r="R80" s="1197">
        <v>0.61128663080336754</v>
      </c>
      <c r="T80" s="3">
        <v>2034</v>
      </c>
      <c r="U80" s="335">
        <f t="shared" si="13"/>
        <v>2193.0798821765575</v>
      </c>
      <c r="W80" s="3">
        <v>2034</v>
      </c>
      <c r="X80" s="343"/>
      <c r="Y80" s="335">
        <f t="shared" si="14"/>
        <v>741.58823786335154</v>
      </c>
      <c r="AA80" s="3">
        <v>2034</v>
      </c>
      <c r="AB80" s="335">
        <f t="shared" si="10"/>
        <v>869.72132080156518</v>
      </c>
      <c r="AD80" s="3">
        <v>2034</v>
      </c>
      <c r="AE80" s="335">
        <f t="shared" si="18"/>
        <v>581.77032351164087</v>
      </c>
      <c r="AG80" s="3">
        <v>2034</v>
      </c>
      <c r="AH80" s="335">
        <f t="shared" si="11"/>
        <v>385.90751654701478</v>
      </c>
      <c r="AK80" s="3">
        <v>2034</v>
      </c>
      <c r="AL80" s="338">
        <f t="shared" si="15"/>
        <v>0.33814921375656881</v>
      </c>
      <c r="AM80" s="338">
        <f t="shared" si="16"/>
        <v>0.39657530392299084</v>
      </c>
      <c r="AN80" s="338">
        <f t="shared" si="17"/>
        <v>0.2652754823204404</v>
      </c>
    </row>
    <row r="81" spans="2:40" ht="14.4" x14ac:dyDescent="0.55000000000000004">
      <c r="B81" s="3">
        <v>2035</v>
      </c>
      <c r="C81" s="707">
        <f>'Food System Summary'!C33</f>
        <v>640.93538891223034</v>
      </c>
      <c r="E81" s="3">
        <v>2035</v>
      </c>
      <c r="F81" s="335">
        <f t="shared" si="12"/>
        <v>2196.0922066108737</v>
      </c>
      <c r="H81" s="3">
        <v>2035</v>
      </c>
      <c r="I81" s="335">
        <f t="shared" si="9"/>
        <v>710.94754591679884</v>
      </c>
      <c r="L81" s="3">
        <v>2035</v>
      </c>
      <c r="M81" s="707">
        <f>Bioplastics!B31</f>
        <v>24.539236732874997</v>
      </c>
      <c r="Q81" s="3">
        <v>2035</v>
      </c>
      <c r="R81" s="1197">
        <v>0.6208839980845956</v>
      </c>
      <c r="T81" s="3">
        <v>2035</v>
      </c>
      <c r="U81" s="335">
        <f t="shared" si="13"/>
        <v>2196.0922066108737</v>
      </c>
      <c r="W81" s="3">
        <v>2035</v>
      </c>
      <c r="X81" s="343"/>
      <c r="Y81" s="335">
        <f t="shared" si="14"/>
        <v>726.18356532945063</v>
      </c>
      <c r="AA81" s="3">
        <v>2035</v>
      </c>
      <c r="AB81" s="335">
        <f t="shared" si="10"/>
        <v>875.30694282205138</v>
      </c>
      <c r="AD81" s="3">
        <v>2035</v>
      </c>
      <c r="AE81" s="335">
        <f t="shared" si="18"/>
        <v>594.60169845937173</v>
      </c>
      <c r="AG81" s="3">
        <v>2035</v>
      </c>
      <c r="AH81" s="335">
        <f t="shared" si="11"/>
        <v>394.05373385943875</v>
      </c>
      <c r="AK81" s="3">
        <v>2035</v>
      </c>
      <c r="AL81" s="338">
        <f t="shared" si="15"/>
        <v>0.33067079931499582</v>
      </c>
      <c r="AM81" s="338">
        <f t="shared" si="16"/>
        <v>0.39857476848518653</v>
      </c>
      <c r="AN81" s="338">
        <f t="shared" si="17"/>
        <v>0.27075443219981765</v>
      </c>
    </row>
    <row r="82" spans="2:40" ht="14.4" x14ac:dyDescent="0.55000000000000004">
      <c r="B82" s="3">
        <v>2036</v>
      </c>
      <c r="C82" s="707">
        <f>'Food System Summary'!C34</f>
        <v>679.00324128366879</v>
      </c>
      <c r="E82" s="3">
        <v>2036</v>
      </c>
      <c r="F82" s="335">
        <f t="shared" si="12"/>
        <v>2198.5899408445684</v>
      </c>
      <c r="H82" s="3">
        <v>2036</v>
      </c>
      <c r="I82" s="335">
        <f t="shared" si="9"/>
        <v>693.24046335188746</v>
      </c>
      <c r="L82" s="3">
        <v>2036</v>
      </c>
      <c r="M82" s="707">
        <f>Bioplastics!B32</f>
        <v>27.636805969232228</v>
      </c>
      <c r="Q82" s="3">
        <v>2036</v>
      </c>
      <c r="R82" s="1197">
        <v>0.63024440552335381</v>
      </c>
      <c r="T82" s="3">
        <v>2036</v>
      </c>
      <c r="U82" s="335">
        <f t="shared" si="13"/>
        <v>2198.5899408445684</v>
      </c>
      <c r="W82" s="3">
        <v>2036</v>
      </c>
      <c r="X82" s="343"/>
      <c r="Y82" s="335">
        <f t="shared" si="14"/>
        <v>710.65840570053047</v>
      </c>
      <c r="AA82" s="3">
        <v>2036</v>
      </c>
      <c r="AB82" s="335">
        <f t="shared" si="10"/>
        <v>880.39113047536785</v>
      </c>
      <c r="AD82" s="3">
        <v>2036</v>
      </c>
      <c r="AE82" s="335">
        <f t="shared" si="18"/>
        <v>607.54040466867013</v>
      </c>
      <c r="AG82" s="3">
        <v>2036</v>
      </c>
      <c r="AH82" s="335">
        <f t="shared" si="11"/>
        <v>402.20360531162896</v>
      </c>
      <c r="AK82" s="3">
        <v>2036</v>
      </c>
      <c r="AL82" s="338">
        <f t="shared" si="15"/>
        <v>0.32323372016681629</v>
      </c>
      <c r="AM82" s="338">
        <f t="shared" si="16"/>
        <v>0.40043443941946427</v>
      </c>
      <c r="AN82" s="338">
        <f t="shared" si="17"/>
        <v>0.27633184041371944</v>
      </c>
    </row>
    <row r="83" spans="2:40" ht="14.4" x14ac:dyDescent="0.55000000000000004">
      <c r="B83" s="3">
        <v>2037</v>
      </c>
      <c r="C83" s="707">
        <f>'Food System Summary'!C35</f>
        <v>717.02844449102145</v>
      </c>
      <c r="E83" s="3">
        <v>2037</v>
      </c>
      <c r="F83" s="335">
        <f t="shared" si="12"/>
        <v>2201.0147652960059</v>
      </c>
      <c r="H83" s="3">
        <v>2037</v>
      </c>
      <c r="I83" s="335">
        <f t="shared" si="9"/>
        <v>675.45893406494793</v>
      </c>
      <c r="L83" s="3">
        <v>2037</v>
      </c>
      <c r="M83" s="707">
        <f>Bioplastics!B33</f>
        <v>30.935235886368901</v>
      </c>
      <c r="Q83" s="3">
        <v>2037</v>
      </c>
      <c r="R83" s="1197">
        <v>0.63937370367899826</v>
      </c>
      <c r="T83" s="3">
        <v>2037</v>
      </c>
      <c r="U83" s="335">
        <f t="shared" si="13"/>
        <v>2201.0147652960059</v>
      </c>
      <c r="W83" s="3">
        <v>2037</v>
      </c>
      <c r="X83" s="343"/>
      <c r="Y83" s="335">
        <f t="shared" si="14"/>
        <v>695.23811040779901</v>
      </c>
      <c r="AA83" s="3">
        <v>2037</v>
      </c>
      <c r="AB83" s="335">
        <f t="shared" si="10"/>
        <v>885.10602301210679</v>
      </c>
      <c r="AD83" s="3">
        <v>2037</v>
      </c>
      <c r="AE83" s="335">
        <f t="shared" si="18"/>
        <v>620.67063187610006</v>
      </c>
      <c r="AG83" s="3">
        <v>2037</v>
      </c>
      <c r="AH83" s="335">
        <f t="shared" si="11"/>
        <v>410.35646038484924</v>
      </c>
      <c r="AK83" s="3">
        <v>2037</v>
      </c>
      <c r="AL83" s="338">
        <f t="shared" si="15"/>
        <v>0.31587162492946708</v>
      </c>
      <c r="AM83" s="338">
        <f t="shared" si="16"/>
        <v>0.40213543178710676</v>
      </c>
      <c r="AN83" s="338">
        <f t="shared" si="17"/>
        <v>0.28199294328342611</v>
      </c>
    </row>
    <row r="84" spans="2:40" ht="14.4" x14ac:dyDescent="0.55000000000000004">
      <c r="B84" s="3">
        <v>2038</v>
      </c>
      <c r="C84" s="707">
        <f>'Food System Summary'!C36</f>
        <v>754.99343044710758</v>
      </c>
      <c r="E84" s="3">
        <v>2038</v>
      </c>
      <c r="F84" s="335">
        <f t="shared" si="12"/>
        <v>2203.2688358029777</v>
      </c>
      <c r="H84" s="3">
        <v>2038</v>
      </c>
      <c r="I84" s="335">
        <f t="shared" si="9"/>
        <v>657.56944148519051</v>
      </c>
      <c r="L84" s="3">
        <v>2038</v>
      </c>
      <c r="M84" s="707">
        <f>Bioplastics!B34</f>
        <v>34.434722250560299</v>
      </c>
      <c r="Q84" s="3">
        <v>2038</v>
      </c>
      <c r="R84" s="1197">
        <v>0.64827759866006029</v>
      </c>
      <c r="T84" s="3">
        <v>2038</v>
      </c>
      <c r="U84" s="335">
        <f t="shared" si="13"/>
        <v>2203.2688358029777</v>
      </c>
      <c r="W84" s="3">
        <v>2038</v>
      </c>
      <c r="X84" s="343"/>
      <c r="Y84" s="335">
        <f t="shared" si="14"/>
        <v>679.89270053630992</v>
      </c>
      <c r="AA84" s="3">
        <v>2038</v>
      </c>
      <c r="AB84" s="335">
        <f t="shared" si="10"/>
        <v>889.41317140715762</v>
      </c>
      <c r="AD84" s="3">
        <v>2038</v>
      </c>
      <c r="AE84" s="335">
        <f t="shared" si="18"/>
        <v>633.9629638595103</v>
      </c>
      <c r="AG84" s="3">
        <v>2038</v>
      </c>
      <c r="AH84" s="335">
        <f t="shared" si="11"/>
        <v>418.51125868242099</v>
      </c>
      <c r="AK84" s="3">
        <v>2038</v>
      </c>
      <c r="AL84" s="338">
        <f t="shared" si="15"/>
        <v>0.30858363241384662</v>
      </c>
      <c r="AM84" s="338">
        <f t="shared" si="16"/>
        <v>0.40367891423608887</v>
      </c>
      <c r="AN84" s="338">
        <f t="shared" si="17"/>
        <v>0.28773745335006451</v>
      </c>
    </row>
    <row r="85" spans="2:40" ht="14.4" x14ac:dyDescent="0.55000000000000004">
      <c r="B85" s="3">
        <v>2039</v>
      </c>
      <c r="C85" s="707">
        <f>'Food System Summary'!C37</f>
        <v>792.87638471019363</v>
      </c>
      <c r="E85" s="3">
        <v>2039</v>
      </c>
      <c r="F85" s="335">
        <f t="shared" si="12"/>
        <v>2205.3722640961455</v>
      </c>
      <c r="H85" s="3">
        <v>2039</v>
      </c>
      <c r="I85" s="335">
        <f t="shared" si="9"/>
        <v>639.59669854451727</v>
      </c>
      <c r="L85" s="3">
        <v>2039</v>
      </c>
      <c r="M85" s="707">
        <f>Bioplastics!B35</f>
        <v>38.135460827907082</v>
      </c>
      <c r="Q85" s="3">
        <v>2039</v>
      </c>
      <c r="R85" s="1197">
        <v>0.6569616556907496</v>
      </c>
      <c r="T85" s="3">
        <v>2039</v>
      </c>
      <c r="U85" s="335">
        <f t="shared" si="13"/>
        <v>2205.3722640961455</v>
      </c>
      <c r="W85" s="3">
        <v>2039</v>
      </c>
      <c r="X85" s="343"/>
      <c r="Y85" s="335">
        <f t="shared" si="14"/>
        <v>664.65023403054886</v>
      </c>
      <c r="AA85" s="3">
        <v>2039</v>
      </c>
      <c r="AB85" s="335">
        <f t="shared" si="10"/>
        <v>893.31002564335085</v>
      </c>
      <c r="AD85" s="3">
        <v>2039</v>
      </c>
      <c r="AE85" s="335">
        <f t="shared" si="18"/>
        <v>647.4120044222459</v>
      </c>
      <c r="AG85" s="3">
        <v>2039</v>
      </c>
      <c r="AH85" s="335">
        <f t="shared" si="11"/>
        <v>426.66651760021239</v>
      </c>
      <c r="AK85" s="3">
        <v>2039</v>
      </c>
      <c r="AL85" s="338">
        <f t="shared" si="15"/>
        <v>0.30137779677888105</v>
      </c>
      <c r="AM85" s="338">
        <f t="shared" si="16"/>
        <v>0.40506087801438229</v>
      </c>
      <c r="AN85" s="338">
        <f t="shared" si="17"/>
        <v>0.29356132520673678</v>
      </c>
    </row>
    <row r="86" spans="2:40" ht="14.4" x14ac:dyDescent="0.55000000000000004">
      <c r="B86" s="3">
        <v>2040</v>
      </c>
      <c r="C86" s="707">
        <f>'Food System Summary'!C38</f>
        <v>830.65576130600334</v>
      </c>
      <c r="E86" s="3">
        <v>2040</v>
      </c>
      <c r="F86" s="335">
        <f t="shared" si="12"/>
        <v>2203.8603101060389</v>
      </c>
      <c r="H86" s="3">
        <v>2040</v>
      </c>
      <c r="I86" s="335">
        <f t="shared" si="9"/>
        <v>619.89925644396817</v>
      </c>
      <c r="L86" s="3">
        <v>2040</v>
      </c>
      <c r="M86" s="707">
        <f>Bioplastics!B36</f>
        <v>42.037647384684533</v>
      </c>
      <c r="Q86" s="3">
        <v>2040</v>
      </c>
      <c r="R86" s="1197">
        <v>0.66543130258940009</v>
      </c>
      <c r="T86" s="3">
        <v>2040</v>
      </c>
      <c r="U86" s="335">
        <f t="shared" si="13"/>
        <v>2203.8603101060389</v>
      </c>
      <c r="W86" s="3">
        <v>2040</v>
      </c>
      <c r="X86" s="343"/>
      <c r="Y86" s="335">
        <f t="shared" si="14"/>
        <v>647.87242290095264</v>
      </c>
      <c r="AA86" s="3">
        <v>2040</v>
      </c>
      <c r="AB86" s="335">
        <f t="shared" si="10"/>
        <v>895.73352568084204</v>
      </c>
      <c r="AD86" s="3">
        <v>2040</v>
      </c>
      <c r="AE86" s="335">
        <f t="shared" si="18"/>
        <v>660.25436152424425</v>
      </c>
      <c r="AG86" s="3">
        <v>2040</v>
      </c>
      <c r="AH86" s="335">
        <f t="shared" si="11"/>
        <v>434.82025002523352</v>
      </c>
      <c r="AK86" s="3">
        <v>2040</v>
      </c>
      <c r="AL86" s="338">
        <f t="shared" si="15"/>
        <v>0.29397163691821293</v>
      </c>
      <c r="AM86" s="338">
        <f t="shared" si="16"/>
        <v>0.40643843059079537</v>
      </c>
      <c r="AN86" s="338">
        <f t="shared" si="17"/>
        <v>0.29958993249099169</v>
      </c>
    </row>
    <row r="87" spans="2:40" ht="14.4" x14ac:dyDescent="0.55000000000000004">
      <c r="B87" s="3">
        <v>2041</v>
      </c>
      <c r="C87" s="707">
        <f>'Food System Summary'!C39</f>
        <v>868.31492364607482</v>
      </c>
      <c r="E87" s="3">
        <v>2041</v>
      </c>
      <c r="F87" s="335">
        <f t="shared" si="12"/>
        <v>2209.1153640090242</v>
      </c>
      <c r="H87" s="3">
        <v>2041</v>
      </c>
      <c r="I87" s="335">
        <f t="shared" si="9"/>
        <v>603.45207624642887</v>
      </c>
      <c r="L87" s="3">
        <v>2041</v>
      </c>
      <c r="M87" s="707">
        <f>Bioplastics!B37</f>
        <v>46.141477686935104</v>
      </c>
      <c r="Q87" s="3">
        <v>2041</v>
      </c>
      <c r="R87" s="1197">
        <v>0.67369183316103387</v>
      </c>
      <c r="T87" s="3">
        <v>2041</v>
      </c>
      <c r="U87" s="335">
        <f t="shared" si="13"/>
        <v>2209.1153640090242</v>
      </c>
      <c r="W87" s="3">
        <v>2041</v>
      </c>
      <c r="X87" s="343"/>
      <c r="Y87" s="335">
        <f t="shared" si="14"/>
        <v>634.5372129340991</v>
      </c>
      <c r="AA87" s="3">
        <v>2041</v>
      </c>
      <c r="AB87" s="335">
        <f t="shared" si="10"/>
        <v>899.83752532799792</v>
      </c>
      <c r="AD87" s="3">
        <v>2041</v>
      </c>
      <c r="AE87" s="335">
        <f t="shared" si="18"/>
        <v>674.74062574692732</v>
      </c>
      <c r="AG87" s="3">
        <v>2041</v>
      </c>
      <c r="AH87" s="335">
        <f t="shared" si="11"/>
        <v>442.97001871930928</v>
      </c>
      <c r="AK87" s="3">
        <v>2041</v>
      </c>
      <c r="AL87" s="338">
        <f t="shared" si="15"/>
        <v>0.28723588784542398</v>
      </c>
      <c r="AM87" s="338">
        <f t="shared" si="16"/>
        <v>0.40732935001411819</v>
      </c>
      <c r="AN87" s="338">
        <f t="shared" si="17"/>
        <v>0.30543476214045789</v>
      </c>
    </row>
    <row r="88" spans="2:40" ht="14.4" x14ac:dyDescent="0.55000000000000004">
      <c r="B88" s="3">
        <v>2042</v>
      </c>
      <c r="C88" s="707">
        <f>'Food System Summary'!C40</f>
        <v>905.83872199026155</v>
      </c>
      <c r="E88" s="3">
        <v>2042</v>
      </c>
      <c r="F88" s="335">
        <f t="shared" si="12"/>
        <v>2209.6780087408538</v>
      </c>
      <c r="H88" s="3">
        <v>2042</v>
      </c>
      <c r="I88" s="335">
        <f t="shared" si="9"/>
        <v>584.78788946551344</v>
      </c>
      <c r="L88" s="3">
        <v>2042</v>
      </c>
      <c r="M88" s="707">
        <f>Bioplastics!B38</f>
        <v>50.447147500992287</v>
      </c>
      <c r="Q88" s="3">
        <v>2042</v>
      </c>
      <c r="R88" s="1197">
        <v>0.68174841050616153</v>
      </c>
      <c r="T88" s="3">
        <v>2042</v>
      </c>
      <c r="U88" s="335">
        <f t="shared" si="13"/>
        <v>2209.6780087408538</v>
      </c>
      <c r="W88" s="3">
        <v>2042</v>
      </c>
      <c r="X88" s="343"/>
      <c r="Y88" s="335">
        <f t="shared" si="14"/>
        <v>619.18015208888482</v>
      </c>
      <c r="AA88" s="3">
        <v>2042</v>
      </c>
      <c r="AB88" s="335">
        <f t="shared" si="10"/>
        <v>902.13206663440258</v>
      </c>
      <c r="AD88" s="3">
        <v>2042</v>
      </c>
      <c r="AE88" s="335">
        <f t="shared" si="18"/>
        <v>688.36579001756638</v>
      </c>
      <c r="AG88" s="3">
        <v>2042</v>
      </c>
      <c r="AH88" s="335">
        <f t="shared" si="11"/>
        <v>451.11289511212914</v>
      </c>
      <c r="AK88" s="3">
        <v>2042</v>
      </c>
      <c r="AL88" s="338">
        <f t="shared" si="15"/>
        <v>0.28021284080286146</v>
      </c>
      <c r="AM88" s="338">
        <f t="shared" si="16"/>
        <v>0.40826403804799899</v>
      </c>
      <c r="AN88" s="338">
        <f t="shared" si="17"/>
        <v>0.31152312114913955</v>
      </c>
    </row>
    <row r="89" spans="2:40" ht="14.4" x14ac:dyDescent="0.55000000000000004">
      <c r="B89" s="3">
        <v>2043</v>
      </c>
      <c r="C89" s="707">
        <f>'Food System Summary'!C41</f>
        <v>943.20706879418799</v>
      </c>
      <c r="E89" s="3">
        <v>2043</v>
      </c>
      <c r="F89" s="335">
        <f t="shared" si="12"/>
        <v>2210.2279964393283</v>
      </c>
      <c r="H89" s="3">
        <v>2043</v>
      </c>
      <c r="I89" s="335">
        <f t="shared" si="9"/>
        <v>566.15725272858958</v>
      </c>
      <c r="L89" s="3">
        <v>2043</v>
      </c>
      <c r="M89" s="707">
        <f>Bioplastics!B39</f>
        <v>54.954852592898533</v>
      </c>
      <c r="Q89" s="3">
        <v>2043</v>
      </c>
      <c r="R89" s="1197">
        <v>0.68960607024788745</v>
      </c>
      <c r="T89" s="3">
        <v>2043</v>
      </c>
      <c r="U89" s="335">
        <f t="shared" si="13"/>
        <v>2210.2279964393283</v>
      </c>
      <c r="W89" s="3">
        <v>2043</v>
      </c>
      <c r="X89" s="343"/>
      <c r="Y89" s="335">
        <f t="shared" si="14"/>
        <v>604.0544526662303</v>
      </c>
      <c r="AA89" s="3">
        <v>2043</v>
      </c>
      <c r="AB89" s="335">
        <f t="shared" si="10"/>
        <v>904.03385404761116</v>
      </c>
      <c r="AD89" s="3">
        <v>2043</v>
      </c>
      <c r="AE89" s="335">
        <f t="shared" si="18"/>
        <v>702.13968972548696</v>
      </c>
      <c r="AG89" s="3">
        <v>2043</v>
      </c>
      <c r="AH89" s="335">
        <f t="shared" si="11"/>
        <v>459.24551813023004</v>
      </c>
      <c r="AK89" s="3">
        <v>2043</v>
      </c>
      <c r="AL89" s="338">
        <f t="shared" si="15"/>
        <v>0.27329961146060971</v>
      </c>
      <c r="AM89" s="338">
        <f t="shared" si="16"/>
        <v>0.40902289515109186</v>
      </c>
      <c r="AN89" s="338">
        <f t="shared" si="17"/>
        <v>0.31767749338829848</v>
      </c>
    </row>
    <row r="90" spans="2:40" ht="14.4" x14ac:dyDescent="0.55000000000000004">
      <c r="B90" s="3">
        <v>2044</v>
      </c>
      <c r="C90" s="707">
        <f>'Food System Summary'!C42</f>
        <v>980.39863684178079</v>
      </c>
      <c r="E90" s="3">
        <v>2044</v>
      </c>
      <c r="F90" s="335">
        <f t="shared" si="12"/>
        <v>2210.8064672308551</v>
      </c>
      <c r="H90" s="3">
        <v>2044</v>
      </c>
      <c r="I90" s="335">
        <f t="shared" si="9"/>
        <v>547.59385377334331</v>
      </c>
      <c r="L90" s="3">
        <v>2044</v>
      </c>
      <c r="M90" s="707">
        <f>Bioplastics!B40</f>
        <v>59.664788728929125</v>
      </c>
      <c r="Q90" s="3">
        <v>2044</v>
      </c>
      <c r="R90" s="1197">
        <v>0.69726972367933859</v>
      </c>
      <c r="T90" s="3">
        <v>2044</v>
      </c>
      <c r="U90" s="335">
        <f t="shared" si="13"/>
        <v>2210.8064672308551</v>
      </c>
      <c r="W90" s="3">
        <v>2044</v>
      </c>
      <c r="X90" s="343"/>
      <c r="Y90" s="335">
        <f t="shared" si="14"/>
        <v>589.19630452374986</v>
      </c>
      <c r="AA90" s="3">
        <v>2044</v>
      </c>
      <c r="AB90" s="335">
        <f t="shared" si="10"/>
        <v>905.54722413835236</v>
      </c>
      <c r="AD90" s="3">
        <v>2044</v>
      </c>
      <c r="AE90" s="335">
        <f t="shared" si="18"/>
        <v>716.06293856875288</v>
      </c>
      <c r="AG90" s="3">
        <v>2044</v>
      </c>
      <c r="AH90" s="335">
        <f t="shared" si="11"/>
        <v>467.36416772691712</v>
      </c>
      <c r="AK90" s="3">
        <v>2044</v>
      </c>
      <c r="AL90" s="338">
        <f t="shared" si="15"/>
        <v>0.26650740951637775</v>
      </c>
      <c r="AM90" s="338">
        <f t="shared" si="16"/>
        <v>0.40960040490228672</v>
      </c>
      <c r="AN90" s="338">
        <f t="shared" si="17"/>
        <v>0.32389218558133553</v>
      </c>
    </row>
    <row r="91" spans="2:40" ht="14.4" x14ac:dyDescent="0.55000000000000004">
      <c r="B91" s="3">
        <v>2045</v>
      </c>
      <c r="C91" s="707">
        <f>'Food System Summary'!C43</f>
        <v>1017.392325359511</v>
      </c>
      <c r="E91" s="3">
        <v>2045</v>
      </c>
      <c r="F91" s="335">
        <f t="shared" si="12"/>
        <v>2211.5590287362029</v>
      </c>
      <c r="H91" s="3">
        <v>2045</v>
      </c>
      <c r="I91" s="335">
        <f t="shared" si="9"/>
        <v>529.18113122035948</v>
      </c>
      <c r="L91" s="3">
        <v>2045</v>
      </c>
      <c r="M91" s="707">
        <f>Bioplastics!B41</f>
        <v>64.577151675184723</v>
      </c>
      <c r="Q91" s="3">
        <v>2045</v>
      </c>
      <c r="R91" s="1197">
        <v>0.70474416083338287</v>
      </c>
      <c r="T91" s="3">
        <v>2045</v>
      </c>
      <c r="U91" s="335">
        <f t="shared" si="13"/>
        <v>2211.5590287362029</v>
      </c>
      <c r="W91" s="3">
        <v>2045</v>
      </c>
      <c r="X91" s="343"/>
      <c r="Y91" s="335">
        <f t="shared" si="14"/>
        <v>574.69150178669759</v>
      </c>
      <c r="AA91" s="3">
        <v>2045</v>
      </c>
      <c r="AB91" s="335">
        <f t="shared" si="10"/>
        <v>906.70738375648853</v>
      </c>
      <c r="AD91" s="3">
        <v>2045</v>
      </c>
      <c r="AE91" s="335">
        <f t="shared" si="18"/>
        <v>730.16014319301667</v>
      </c>
      <c r="AG91" s="3">
        <v>2045</v>
      </c>
      <c r="AH91" s="335">
        <f t="shared" si="11"/>
        <v>475.46493866704714</v>
      </c>
      <c r="AK91" s="3">
        <v>2045</v>
      </c>
      <c r="AL91" s="338">
        <f t="shared" si="15"/>
        <v>0.25985808848842051</v>
      </c>
      <c r="AM91" s="338">
        <f t="shared" si="16"/>
        <v>0.4099856128527698</v>
      </c>
      <c r="AN91" s="338">
        <f t="shared" si="17"/>
        <v>0.33015629865880958</v>
      </c>
    </row>
    <row r="92" spans="2:40" ht="14.4" x14ac:dyDescent="0.55000000000000004">
      <c r="B92" s="3">
        <v>2046</v>
      </c>
      <c r="C92" s="707">
        <f>'Food System Summary'!C44</f>
        <v>1054.1693722477883</v>
      </c>
      <c r="E92" s="3">
        <v>2046</v>
      </c>
      <c r="F92" s="335">
        <f t="shared" si="12"/>
        <v>2212.0973580352893</v>
      </c>
      <c r="H92" s="3">
        <v>2046</v>
      </c>
      <c r="I92" s="335">
        <f t="shared" si="9"/>
        <v>510.74538976970325</v>
      </c>
      <c r="L92" s="3">
        <v>2046</v>
      </c>
      <c r="M92" s="707">
        <f>Bioplastics!B42</f>
        <v>69.69213719794061</v>
      </c>
      <c r="Q92" s="3">
        <v>2046</v>
      </c>
      <c r="R92" s="1197">
        <v>0.71203405347655502</v>
      </c>
      <c r="T92" s="3">
        <v>2046</v>
      </c>
      <c r="U92" s="335">
        <f t="shared" si="13"/>
        <v>2212.0973580352893</v>
      </c>
      <c r="W92" s="3">
        <v>2046</v>
      </c>
      <c r="X92" s="343"/>
      <c r="Y92" s="335">
        <f t="shared" si="14"/>
        <v>560.36856471419708</v>
      </c>
      <c r="AA92" s="3">
        <v>2046</v>
      </c>
      <c r="AB92" s="335">
        <f t="shared" si="10"/>
        <v>907.3929770284484</v>
      </c>
      <c r="AD92" s="3">
        <v>2046</v>
      </c>
      <c r="AE92" s="335">
        <f t="shared" si="18"/>
        <v>744.33581629264393</v>
      </c>
      <c r="AG92" s="3">
        <v>2046</v>
      </c>
      <c r="AH92" s="335">
        <f t="shared" si="11"/>
        <v>483.54386139845292</v>
      </c>
      <c r="AK92" s="3">
        <v>2046</v>
      </c>
      <c r="AL92" s="338">
        <f t="shared" si="15"/>
        <v>0.25332002801716541</v>
      </c>
      <c r="AM92" s="338">
        <f t="shared" si="16"/>
        <v>0.41019576906613386</v>
      </c>
      <c r="AN92" s="338">
        <f t="shared" si="17"/>
        <v>0.33648420291670078</v>
      </c>
    </row>
    <row r="93" spans="2:40" ht="14.4" x14ac:dyDescent="0.55000000000000004">
      <c r="B93" s="3">
        <v>2047</v>
      </c>
      <c r="C93" s="707">
        <f>'Food System Summary'!C45</f>
        <v>1090.711457520207</v>
      </c>
      <c r="E93" s="3">
        <v>2047</v>
      </c>
      <c r="F93" s="335">
        <f t="shared" si="12"/>
        <v>2212.4804376054562</v>
      </c>
      <c r="H93" s="3">
        <v>2047</v>
      </c>
      <c r="I93" s="335">
        <f t="shared" si="9"/>
        <v>492.32668581865755</v>
      </c>
      <c r="L93" s="3">
        <v>2047</v>
      </c>
      <c r="M93" s="707">
        <f>Bioplastics!B43</f>
        <v>75.009941063297447</v>
      </c>
      <c r="Q93" s="3">
        <v>2047</v>
      </c>
      <c r="R93" s="1197">
        <v>0.71914395802906339</v>
      </c>
      <c r="T93" s="3">
        <v>2047</v>
      </c>
      <c r="U93" s="335">
        <f t="shared" si="13"/>
        <v>2212.4804376054562</v>
      </c>
      <c r="W93" s="3">
        <v>2047</v>
      </c>
      <c r="X93" s="343"/>
      <c r="Y93" s="335">
        <f t="shared" si="14"/>
        <v>546.269631726444</v>
      </c>
      <c r="AA93" s="3">
        <v>2047</v>
      </c>
      <c r="AB93" s="335">
        <f t="shared" si="10"/>
        <v>907.61621476329447</v>
      </c>
      <c r="AD93" s="3">
        <v>2047</v>
      </c>
      <c r="AE93" s="335">
        <f t="shared" si="18"/>
        <v>758.59459111571778</v>
      </c>
      <c r="AG93" s="3">
        <v>2047</v>
      </c>
      <c r="AH93" s="335">
        <f t="shared" si="11"/>
        <v>491.59684539726163</v>
      </c>
      <c r="AK93" s="3">
        <v>2047</v>
      </c>
      <c r="AL93" s="338">
        <f t="shared" si="15"/>
        <v>0.24690371152735061</v>
      </c>
      <c r="AM93" s="338">
        <f t="shared" si="16"/>
        <v>0.41022564508891102</v>
      </c>
      <c r="AN93" s="338">
        <f t="shared" si="17"/>
        <v>0.34287064338373835</v>
      </c>
    </row>
    <row r="94" spans="2:40" ht="14.4" x14ac:dyDescent="0.55000000000000004">
      <c r="B94" s="3">
        <v>2048</v>
      </c>
      <c r="C94" s="707">
        <f>'Food System Summary'!C46</f>
        <v>1126.9983105518609</v>
      </c>
      <c r="E94" s="3">
        <v>2048</v>
      </c>
      <c r="F94" s="335">
        <f t="shared" si="12"/>
        <v>2212.8044511077619</v>
      </c>
      <c r="H94" s="3">
        <v>2048</v>
      </c>
      <c r="I94" s="335">
        <f t="shared" si="9"/>
        <v>473.98380788733971</v>
      </c>
      <c r="L94" s="3">
        <v>2048</v>
      </c>
      <c r="M94" s="707">
        <f>Bioplastics!B44</f>
        <v>80.530759037472308</v>
      </c>
      <c r="Q94" s="3">
        <v>2048</v>
      </c>
      <c r="R94" s="1197">
        <v>0.7260783184127001</v>
      </c>
      <c r="T94" s="3">
        <v>2048</v>
      </c>
      <c r="U94" s="335">
        <f t="shared" si="13"/>
        <v>2212.8044511077619</v>
      </c>
      <c r="W94" s="3">
        <v>2048</v>
      </c>
      <c r="X94" s="343"/>
      <c r="Y94" s="335">
        <f t="shared" si="14"/>
        <v>532.45544598976596</v>
      </c>
      <c r="AA94" s="3">
        <v>2048</v>
      </c>
      <c r="AB94" s="335">
        <f t="shared" si="10"/>
        <v>907.39932056953705</v>
      </c>
      <c r="AD94" s="3">
        <v>2048</v>
      </c>
      <c r="AE94" s="335">
        <f t="shared" si="18"/>
        <v>772.949684548459</v>
      </c>
      <c r="AG94" s="3">
        <v>2048</v>
      </c>
      <c r="AH94" s="335">
        <f t="shared" si="11"/>
        <v>499.61956054635505</v>
      </c>
      <c r="AK94" s="3">
        <v>2048</v>
      </c>
      <c r="AL94" s="338">
        <f t="shared" si="15"/>
        <v>0.24062471752676159</v>
      </c>
      <c r="AM94" s="338">
        <f t="shared" si="16"/>
        <v>0.41006755934320355</v>
      </c>
      <c r="AN94" s="338">
        <f t="shared" si="17"/>
        <v>0.34930772313003494</v>
      </c>
    </row>
    <row r="95" spans="2:40" ht="14.4" x14ac:dyDescent="0.55000000000000004">
      <c r="B95" s="3">
        <v>2049</v>
      </c>
      <c r="C95" s="707">
        <f>'Food System Summary'!C47</f>
        <v>1163.0093560141352</v>
      </c>
      <c r="E95" s="3">
        <v>2049</v>
      </c>
      <c r="F95" s="335">
        <f t="shared" si="12"/>
        <v>2213.0898297679414</v>
      </c>
      <c r="H95" s="3">
        <v>2049</v>
      </c>
      <c r="I95" s="335">
        <f t="shared" si="9"/>
        <v>455.73928221986603</v>
      </c>
      <c r="L95" s="3">
        <v>2049</v>
      </c>
      <c r="M95" s="707">
        <f>Bioplastics!B45</f>
        <v>86.254786886624061</v>
      </c>
      <c r="Q95" s="3">
        <v>2049</v>
      </c>
      <c r="R95" s="1197">
        <v>0.73284146882843759</v>
      </c>
      <c r="T95" s="3">
        <v>2049</v>
      </c>
      <c r="U95" s="335">
        <f t="shared" si="13"/>
        <v>2213.0898297679414</v>
      </c>
      <c r="W95" s="3">
        <v>2049</v>
      </c>
      <c r="X95" s="343"/>
      <c r="Y95" s="335">
        <f t="shared" si="14"/>
        <v>518.95036693534348</v>
      </c>
      <c r="AA95" s="3">
        <v>2049</v>
      </c>
      <c r="AB95" s="335">
        <f t="shared" si="10"/>
        <v>906.74221135971356</v>
      </c>
      <c r="AD95" s="3">
        <v>2049</v>
      </c>
      <c r="AE95" s="335">
        <f t="shared" si="18"/>
        <v>787.39725147288436</v>
      </c>
      <c r="AG95" s="3">
        <v>2049</v>
      </c>
      <c r="AH95" s="335">
        <f t="shared" si="11"/>
        <v>507.6075347136964</v>
      </c>
      <c r="AK95" s="3">
        <v>2049</v>
      </c>
      <c r="AL95" s="338">
        <f t="shared" si="15"/>
        <v>0.23449132518482507</v>
      </c>
      <c r="AM95" s="338">
        <f t="shared" si="16"/>
        <v>0.40971776163952284</v>
      </c>
      <c r="AN95" s="338">
        <f t="shared" si="17"/>
        <v>0.35579091317565209</v>
      </c>
    </row>
    <row r="96" spans="2:40" ht="14.4" x14ac:dyDescent="0.55000000000000004">
      <c r="B96" s="3">
        <v>2050</v>
      </c>
      <c r="C96" s="707">
        <f>'Food System Summary'!C48</f>
        <v>1198.7249822894426</v>
      </c>
      <c r="E96" s="3">
        <v>2050</v>
      </c>
      <c r="F96" s="335">
        <f t="shared" si="12"/>
        <v>2212.6881670808707</v>
      </c>
      <c r="H96" s="3">
        <v>2050</v>
      </c>
      <c r="I96" s="335">
        <f t="shared" si="9"/>
        <v>437.2942465696874</v>
      </c>
      <c r="L96" s="3">
        <v>2050</v>
      </c>
      <c r="M96" s="707">
        <f>Bioplastics!B46</f>
        <v>92.182220376911573</v>
      </c>
      <c r="Q96" s="3">
        <v>2050</v>
      </c>
      <c r="R96" s="1197">
        <v>0.7394376364654448</v>
      </c>
      <c r="T96" s="3">
        <v>2050</v>
      </c>
      <c r="U96" s="335">
        <f t="shared" si="13"/>
        <v>2212.6881670808707</v>
      </c>
      <c r="W96" s="3">
        <v>2050</v>
      </c>
      <c r="X96" s="343"/>
      <c r="Y96" s="335">
        <f t="shared" si="14"/>
        <v>505.45724972932766</v>
      </c>
      <c r="AA96" s="3">
        <v>2050</v>
      </c>
      <c r="AB96" s="335">
        <f t="shared" si="10"/>
        <v>905.45430967064749</v>
      </c>
      <c r="AD96" s="3">
        <v>2050</v>
      </c>
      <c r="AE96" s="335">
        <f t="shared" si="18"/>
        <v>801.77660768089549</v>
      </c>
      <c r="AG96" s="3">
        <v>2050</v>
      </c>
      <c r="AH96" s="335">
        <f t="shared" si="11"/>
        <v>514.54282316646834</v>
      </c>
      <c r="AK96" s="3">
        <v>2050</v>
      </c>
      <c r="AL96" s="338">
        <f t="shared" si="15"/>
        <v>0.22843582627196915</v>
      </c>
      <c r="AM96" s="338">
        <f t="shared" si="16"/>
        <v>0.40921008352712646</v>
      </c>
      <c r="AN96" s="338">
        <f t="shared" si="17"/>
        <v>0.36235409020090431</v>
      </c>
    </row>
    <row r="97" spans="1:74" ht="14.4" x14ac:dyDescent="0.55000000000000004">
      <c r="B97" s="3">
        <v>2051</v>
      </c>
      <c r="C97" s="707">
        <f>'Food System Summary'!C49</f>
        <v>1206.4458033222447</v>
      </c>
      <c r="E97" s="3">
        <v>2051</v>
      </c>
      <c r="F97" s="335">
        <f t="shared" si="12"/>
        <v>2241.3056346358499</v>
      </c>
      <c r="H97" s="3">
        <v>2051</v>
      </c>
      <c r="I97" s="335">
        <f t="shared" si="9"/>
        <v>447.31225109325874</v>
      </c>
      <c r="L97" s="3">
        <v>2051</v>
      </c>
      <c r="M97" s="707">
        <f>Bioplastics!B47</f>
        <v>98.313255274610128</v>
      </c>
      <c r="Q97" s="3">
        <v>2051</v>
      </c>
      <c r="R97" s="1197">
        <v>0.7432277927881854</v>
      </c>
      <c r="T97" s="3">
        <v>2051</v>
      </c>
      <c r="U97" s="335">
        <f t="shared" si="13"/>
        <v>2241.3056346358499</v>
      </c>
      <c r="W97" s="3">
        <v>2051</v>
      </c>
      <c r="X97" s="343"/>
      <c r="Y97" s="335">
        <f t="shared" si="14"/>
        <v>520.3813948128286</v>
      </c>
      <c r="AA97" s="3">
        <v>2051</v>
      </c>
      <c r="AB97" s="335">
        <f t="shared" si="10"/>
        <v>904.36838894155039</v>
      </c>
      <c r="AD97" s="3">
        <v>2051</v>
      </c>
      <c r="AE97" s="335">
        <f t="shared" si="18"/>
        <v>816.55585088147086</v>
      </c>
      <c r="AG97" s="3">
        <v>2051</v>
      </c>
      <c r="AH97" s="335">
        <f t="shared" si="11"/>
        <v>523.460929293596</v>
      </c>
      <c r="AK97" s="3">
        <v>2051</v>
      </c>
      <c r="AL97" s="338">
        <f t="shared" si="15"/>
        <v>0.23217779260942972</v>
      </c>
      <c r="AM97" s="338">
        <f t="shared" si="16"/>
        <v>0.4035006984170123</v>
      </c>
      <c r="AN97" s="338">
        <f t="shared" si="17"/>
        <v>0.36432150897355797</v>
      </c>
    </row>
    <row r="98" spans="1:74" ht="14.4" x14ac:dyDescent="0.55000000000000004">
      <c r="B98" s="3">
        <v>2052</v>
      </c>
      <c r="C98" s="707">
        <f>'Food System Summary'!C50</f>
        <v>1214.0360571673757</v>
      </c>
      <c r="E98" s="3">
        <v>2052</v>
      </c>
      <c r="F98" s="335">
        <f t="shared" si="12"/>
        <v>2269.0760041603817</v>
      </c>
      <c r="H98" s="3">
        <v>2052</v>
      </c>
      <c r="I98" s="335">
        <f t="shared" si="9"/>
        <v>456.97060753882624</v>
      </c>
      <c r="L98" s="3">
        <v>2052</v>
      </c>
      <c r="M98" s="707">
        <f>Bioplastics!B48</f>
        <v>104.64808734576218</v>
      </c>
      <c r="Q98" s="3">
        <v>2052</v>
      </c>
      <c r="R98" s="1197">
        <v>0.74865445113542495</v>
      </c>
      <c r="T98" s="3">
        <v>2052</v>
      </c>
      <c r="U98" s="335">
        <f t="shared" si="13"/>
        <v>2269.0760041603817</v>
      </c>
      <c r="W98" s="3">
        <v>2052</v>
      </c>
      <c r="X98" s="343"/>
      <c r="Y98" s="335">
        <f t="shared" si="14"/>
        <v>535.31586393303985</v>
      </c>
      <c r="AA98" s="3">
        <v>2052</v>
      </c>
      <c r="AB98" s="335">
        <f t="shared" si="10"/>
        <v>902.49910007568315</v>
      </c>
      <c r="AD98" s="3">
        <v>2052</v>
      </c>
      <c r="AE98" s="335">
        <f t="shared" si="18"/>
        <v>831.26104015165856</v>
      </c>
      <c r="AG98" s="3">
        <v>2052</v>
      </c>
      <c r="AH98" s="335">
        <f t="shared" si="11"/>
        <v>531.31704470053876</v>
      </c>
      <c r="AK98" s="3">
        <v>2052</v>
      </c>
      <c r="AL98" s="338">
        <f t="shared" si="15"/>
        <v>0.23591799611451134</v>
      </c>
      <c r="AM98" s="338">
        <f t="shared" si="16"/>
        <v>0.39773859422114499</v>
      </c>
      <c r="AN98" s="338">
        <f t="shared" si="17"/>
        <v>0.36634340966434359</v>
      </c>
    </row>
    <row r="99" spans="1:74" ht="14.4" x14ac:dyDescent="0.55000000000000004">
      <c r="B99" s="3">
        <v>2053</v>
      </c>
      <c r="C99" s="707">
        <f>'Food System Summary'!C51</f>
        <v>1221.4943580522961</v>
      </c>
      <c r="E99" s="3">
        <v>2053</v>
      </c>
      <c r="F99" s="335">
        <f t="shared" si="12"/>
        <v>2296.6698171191692</v>
      </c>
      <c r="H99" s="3">
        <v>2053</v>
      </c>
      <c r="I99" s="335">
        <f t="shared" si="9"/>
        <v>466.59314856402807</v>
      </c>
      <c r="L99" s="3">
        <v>2053</v>
      </c>
      <c r="M99" s="707">
        <f>Bioplastics!B49</f>
        <v>111.18691235664301</v>
      </c>
      <c r="Q99" s="3">
        <v>2053</v>
      </c>
      <c r="R99" s="1197">
        <v>0.75382368813664513</v>
      </c>
      <c r="T99" s="3">
        <v>2053</v>
      </c>
      <c r="U99" s="335">
        <f t="shared" si="13"/>
        <v>2296.6698171191692</v>
      </c>
      <c r="W99" s="3">
        <v>2053</v>
      </c>
      <c r="X99" s="343"/>
      <c r="Y99" s="335">
        <f t="shared" si="14"/>
        <v>550.40847690923863</v>
      </c>
      <c r="AA99" s="3">
        <v>2053</v>
      </c>
      <c r="AB99" s="335">
        <f t="shared" si="10"/>
        <v>900.21519145024854</v>
      </c>
      <c r="AD99" s="3">
        <v>2053</v>
      </c>
      <c r="AE99" s="335">
        <f t="shared" si="18"/>
        <v>846.04614875968196</v>
      </c>
      <c r="AG99" s="3">
        <v>2053</v>
      </c>
      <c r="AH99" s="335">
        <f t="shared" si="11"/>
        <v>539.11932001305411</v>
      </c>
      <c r="AK99" s="3">
        <v>2053</v>
      </c>
      <c r="AL99" s="338">
        <f t="shared" si="15"/>
        <v>0.23965503130077453</v>
      </c>
      <c r="AM99" s="338">
        <f t="shared" si="16"/>
        <v>0.39196543827942781</v>
      </c>
      <c r="AN99" s="338">
        <f t="shared" si="17"/>
        <v>0.3683795304197976</v>
      </c>
    </row>
    <row r="100" spans="1:74" ht="14.4" x14ac:dyDescent="0.55000000000000004">
      <c r="B100" s="3">
        <v>2054</v>
      </c>
      <c r="C100" s="707">
        <f>'Food System Summary'!C52</f>
        <v>1228.819979851994</v>
      </c>
      <c r="E100" s="3">
        <v>2054</v>
      </c>
      <c r="F100" s="335">
        <f t="shared" si="12"/>
        <v>2324.0886916504032</v>
      </c>
      <c r="H100" s="3">
        <v>2054</v>
      </c>
      <c r="I100" s="335">
        <f t="shared" si="9"/>
        <v>476.18246207048105</v>
      </c>
      <c r="L100" s="3">
        <v>2054</v>
      </c>
      <c r="M100" s="707">
        <f>Bioplastics!B50</f>
        <v>117.92992607335327</v>
      </c>
      <c r="Q100" s="3">
        <v>2054</v>
      </c>
      <c r="R100" s="1197">
        <v>0.75873550379184596</v>
      </c>
      <c r="T100" s="3">
        <v>2054</v>
      </c>
      <c r="U100" s="335">
        <f t="shared" si="13"/>
        <v>2324.0886916504032</v>
      </c>
      <c r="W100" s="3">
        <v>2054</v>
      </c>
      <c r="X100" s="343"/>
      <c r="Y100" s="335">
        <f t="shared" si="14"/>
        <v>565.66008394188191</v>
      </c>
      <c r="AA100" s="3">
        <v>2054</v>
      </c>
      <c r="AB100" s="335">
        <f t="shared" si="10"/>
        <v>897.52040707196522</v>
      </c>
      <c r="AD100" s="3">
        <v>2054</v>
      </c>
      <c r="AE100" s="335">
        <f t="shared" si="18"/>
        <v>860.90820063655599</v>
      </c>
      <c r="AG100" s="3">
        <v>2054</v>
      </c>
      <c r="AH100" s="335">
        <f t="shared" si="11"/>
        <v>546.86236701778853</v>
      </c>
      <c r="AK100" s="3">
        <v>2054</v>
      </c>
      <c r="AL100" s="338">
        <f t="shared" si="15"/>
        <v>0.24339005906878286</v>
      </c>
      <c r="AM100" s="338">
        <f t="shared" si="16"/>
        <v>0.38618165059553289</v>
      </c>
      <c r="AN100" s="338">
        <f t="shared" si="17"/>
        <v>0.3704282903356842</v>
      </c>
    </row>
    <row r="101" spans="1:74" ht="14.4" x14ac:dyDescent="0.55000000000000004">
      <c r="B101" s="3">
        <v>2055</v>
      </c>
      <c r="C101" s="707">
        <f>'Food System Summary'!C53</f>
        <v>1236.0132992791862</v>
      </c>
      <c r="E101" s="3">
        <v>2055</v>
      </c>
      <c r="F101" s="335">
        <f t="shared" si="12"/>
        <v>2351.3342458594552</v>
      </c>
      <c r="H101" s="3">
        <v>2055</v>
      </c>
      <c r="I101" s="335">
        <f t="shared" si="9"/>
        <v>485.74046415803855</v>
      </c>
      <c r="L101" s="3">
        <v>2055</v>
      </c>
      <c r="M101" s="707">
        <f>Bioplastics!B51</f>
        <v>124.87732426216826</v>
      </c>
      <c r="Q101" s="3">
        <v>2055</v>
      </c>
      <c r="R101" s="1197">
        <v>0.76338989810102742</v>
      </c>
      <c r="T101" s="3">
        <v>2055</v>
      </c>
      <c r="U101" s="335">
        <f t="shared" si="13"/>
        <v>2351.3342458594552</v>
      </c>
      <c r="W101" s="3">
        <v>2055</v>
      </c>
      <c r="X101" s="343"/>
      <c r="Y101" s="335">
        <f t="shared" si="14"/>
        <v>581.07055200166417</v>
      </c>
      <c r="AA101" s="3">
        <v>2055</v>
      </c>
      <c r="AB101" s="335">
        <f t="shared" si="10"/>
        <v>894.41909986012581</v>
      </c>
      <c r="AD101" s="3">
        <v>2055</v>
      </c>
      <c r="AE101" s="335">
        <f t="shared" si="18"/>
        <v>875.84459399766536</v>
      </c>
      <c r="AG101" s="3">
        <v>2055</v>
      </c>
      <c r="AH101" s="335">
        <f t="shared" si="11"/>
        <v>554.54095058279313</v>
      </c>
      <c r="AK101" s="3">
        <v>2055</v>
      </c>
      <c r="AL101" s="338">
        <f t="shared" si="15"/>
        <v>0.24712375666066666</v>
      </c>
      <c r="AM101" s="338">
        <f t="shared" si="16"/>
        <v>0.38038790164994152</v>
      </c>
      <c r="AN101" s="338">
        <f t="shared" si="17"/>
        <v>0.37248834168939188</v>
      </c>
    </row>
    <row r="102" spans="1:74" ht="14.4" x14ac:dyDescent="0.55000000000000004">
      <c r="B102" s="3">
        <v>2056</v>
      </c>
      <c r="C102" s="707">
        <f>'Food System Summary'!C54</f>
        <v>1243.0743439358525</v>
      </c>
      <c r="E102" s="3">
        <v>2056</v>
      </c>
      <c r="F102" s="335">
        <f t="shared" si="12"/>
        <v>2378.4091605371373</v>
      </c>
      <c r="H102" s="3">
        <v>2056</v>
      </c>
      <c r="I102" s="335">
        <f t="shared" si="9"/>
        <v>495.26967043344393</v>
      </c>
      <c r="L102" s="3">
        <v>2056</v>
      </c>
      <c r="M102" s="707">
        <f>Bioplastics!B52</f>
        <v>132.02930268924683</v>
      </c>
      <c r="Q102" s="3">
        <v>2056</v>
      </c>
      <c r="R102" s="1197">
        <v>0.76778687106418952</v>
      </c>
      <c r="T102" s="3">
        <v>2056</v>
      </c>
      <c r="U102" s="335">
        <f t="shared" si="13"/>
        <v>2378.4091605371373</v>
      </c>
      <c r="W102" s="3">
        <v>2056</v>
      </c>
      <c r="X102" s="343"/>
      <c r="Y102" s="335">
        <f t="shared" si="14"/>
        <v>596.64003563400752</v>
      </c>
      <c r="AA102" s="3">
        <v>2056</v>
      </c>
      <c r="AB102" s="335">
        <f t="shared" si="10"/>
        <v>890.91611502503565</v>
      </c>
      <c r="AD102" s="3">
        <v>2056</v>
      </c>
      <c r="AE102" s="335">
        <f t="shared" si="18"/>
        <v>890.8530098780941</v>
      </c>
      <c r="AG102" s="3">
        <v>2056</v>
      </c>
      <c r="AH102" s="335">
        <f t="shared" si="11"/>
        <v>562.15013890427008</v>
      </c>
      <c r="AK102" s="3">
        <v>2056</v>
      </c>
      <c r="AL102" s="338">
        <f t="shared" si="15"/>
        <v>0.25085676826911607</v>
      </c>
      <c r="AM102" s="338">
        <f t="shared" si="16"/>
        <v>0.37458488211668012</v>
      </c>
      <c r="AN102" s="338">
        <f t="shared" si="17"/>
        <v>0.37455834961420381</v>
      </c>
    </row>
    <row r="103" spans="1:74" ht="14.4" x14ac:dyDescent="0.55000000000000004">
      <c r="B103" s="3">
        <v>2057</v>
      </c>
      <c r="C103" s="707">
        <f>'Food System Summary'!C55</f>
        <v>1250.0056956534447</v>
      </c>
      <c r="E103" s="3">
        <v>2057</v>
      </c>
      <c r="F103" s="335">
        <f t="shared" si="12"/>
        <v>2405.3154440882545</v>
      </c>
      <c r="H103" s="3">
        <v>2057</v>
      </c>
      <c r="I103" s="335">
        <f t="shared" si="9"/>
        <v>504.77085928130737</v>
      </c>
      <c r="L103" s="3">
        <v>2057</v>
      </c>
      <c r="M103" s="707">
        <f>Bioplastics!B53</f>
        <v>139.38605712068966</v>
      </c>
      <c r="Q103" s="3">
        <v>2057</v>
      </c>
      <c r="R103" s="1197">
        <v>0.77192642268133227</v>
      </c>
      <c r="T103" s="3">
        <v>2057</v>
      </c>
      <c r="U103" s="335">
        <f t="shared" si="13"/>
        <v>2405.3154440882545</v>
      </c>
      <c r="W103" s="3">
        <v>2057</v>
      </c>
      <c r="X103" s="343"/>
      <c r="Y103" s="335">
        <f t="shared" si="14"/>
        <v>612.36663972613724</v>
      </c>
      <c r="AA103" s="3">
        <v>2057</v>
      </c>
      <c r="AB103" s="335">
        <f t="shared" si="10"/>
        <v>887.01710167888655</v>
      </c>
      <c r="AD103" s="3">
        <v>2057</v>
      </c>
      <c r="AE103" s="335">
        <f t="shared" si="18"/>
        <v>905.9317026832307</v>
      </c>
      <c r="AG103" s="3">
        <v>2057</v>
      </c>
      <c r="AH103" s="335">
        <f t="shared" si="11"/>
        <v>569.68524924902022</v>
      </c>
      <c r="AK103" s="3">
        <v>2057</v>
      </c>
      <c r="AL103" s="338">
        <f t="shared" si="15"/>
        <v>0.25458891108490661</v>
      </c>
      <c r="AM103" s="338">
        <f t="shared" si="16"/>
        <v>0.36877371068272269</v>
      </c>
      <c r="AN103" s="338">
        <f t="shared" si="17"/>
        <v>0.37663737823237076</v>
      </c>
    </row>
    <row r="104" spans="1:74" ht="14.4" x14ac:dyDescent="0.55000000000000004">
      <c r="B104" s="3">
        <v>2058</v>
      </c>
      <c r="C104" s="707">
        <f>'Food System Summary'!C56</f>
        <v>1256.8140731168446</v>
      </c>
      <c r="E104" s="3">
        <v>2058</v>
      </c>
      <c r="F104" s="335">
        <f t="shared" si="12"/>
        <v>2432.0531845636497</v>
      </c>
      <c r="H104" s="3">
        <v>2058</v>
      </c>
      <c r="I104" s="335">
        <f t="shared" si="9"/>
        <v>514.24165567391833</v>
      </c>
      <c r="L104" s="3">
        <v>2058</v>
      </c>
      <c r="M104" s="707">
        <f>Bioplastics!B54</f>
        <v>146.94778332277201</v>
      </c>
      <c r="Q104" s="3">
        <v>2058</v>
      </c>
      <c r="R104" s="1197">
        <v>0.77580855295245554</v>
      </c>
      <c r="T104" s="3">
        <v>2058</v>
      </c>
      <c r="U104" s="335">
        <f t="shared" si="13"/>
        <v>2432.0531845636497</v>
      </c>
      <c r="W104" s="3">
        <v>2058</v>
      </c>
      <c r="X104" s="343"/>
      <c r="Y104" s="335">
        <f t="shared" si="14"/>
        <v>628.24500281312908</v>
      </c>
      <c r="AA104" s="3">
        <v>2058</v>
      </c>
      <c r="AB104" s="335">
        <f t="shared" si="10"/>
        <v>882.7285858860588</v>
      </c>
      <c r="AD104" s="3">
        <v>2058</v>
      </c>
      <c r="AE104" s="335">
        <f t="shared" si="18"/>
        <v>921.07959586446179</v>
      </c>
      <c r="AG104" s="3">
        <v>2058</v>
      </c>
      <c r="AH104" s="335">
        <f t="shared" si="11"/>
        <v>577.14160525970783</v>
      </c>
      <c r="AK104" s="3">
        <v>2058</v>
      </c>
      <c r="AL104" s="338">
        <f t="shared" si="15"/>
        <v>0.25831877641518214</v>
      </c>
      <c r="AM104" s="338">
        <f t="shared" si="16"/>
        <v>0.36295611933520888</v>
      </c>
      <c r="AN104" s="338">
        <f t="shared" si="17"/>
        <v>0.37872510424960898</v>
      </c>
    </row>
    <row r="105" spans="1:74" ht="14.4" x14ac:dyDescent="0.55000000000000004">
      <c r="B105" s="3">
        <v>2059</v>
      </c>
      <c r="C105" s="707">
        <f>'Food System Summary'!C57</f>
        <v>1263.5085129412628</v>
      </c>
      <c r="E105" s="3">
        <v>2059</v>
      </c>
      <c r="F105" s="335">
        <f t="shared" si="12"/>
        <v>2458.6217086336069</v>
      </c>
      <c r="H105" s="3">
        <v>2059</v>
      </c>
      <c r="I105" s="335">
        <f t="shared" si="9"/>
        <v>523.6780386992466</v>
      </c>
      <c r="L105" s="3">
        <v>2059</v>
      </c>
      <c r="M105" s="707">
        <f>Bioplastics!B55</f>
        <v>154.71467706159456</v>
      </c>
      <c r="Q105" s="3">
        <v>2059</v>
      </c>
      <c r="R105" s="1197">
        <v>0.77943326187755946</v>
      </c>
      <c r="T105" s="3">
        <v>2059</v>
      </c>
      <c r="U105" s="335">
        <f t="shared" si="13"/>
        <v>2458.6217086336069</v>
      </c>
      <c r="W105" s="3">
        <v>2059</v>
      </c>
      <c r="X105" s="343"/>
      <c r="Y105" s="335">
        <f t="shared" si="14"/>
        <v>644.26780410169852</v>
      </c>
      <c r="AA105" s="3">
        <v>2059</v>
      </c>
      <c r="AB105" s="335">
        <f t="shared" si="10"/>
        <v>878.05777304608557</v>
      </c>
      <c r="AD105" s="3">
        <v>2059</v>
      </c>
      <c r="AE105" s="335">
        <f t="shared" si="18"/>
        <v>936.29613148582291</v>
      </c>
      <c r="AG105" s="3">
        <v>2059</v>
      </c>
      <c r="AH105" s="335">
        <f t="shared" si="11"/>
        <v>584.51463588748845</v>
      </c>
      <c r="AK105" s="3">
        <v>2059</v>
      </c>
      <c r="AL105" s="338">
        <f t="shared" si="15"/>
        <v>0.262044299795821</v>
      </c>
      <c r="AM105" s="338">
        <f t="shared" si="16"/>
        <v>0.35713414957767992</v>
      </c>
      <c r="AN105" s="338">
        <f t="shared" si="17"/>
        <v>0.38082155062649914</v>
      </c>
      <c r="BQ105" s="609"/>
      <c r="BR105" s="609"/>
      <c r="BS105" s="609"/>
      <c r="BT105" s="609"/>
      <c r="BU105" s="609"/>
      <c r="BV105" s="609"/>
    </row>
    <row r="106" spans="1:74" ht="14.4" x14ac:dyDescent="0.55000000000000004">
      <c r="B106" s="3">
        <v>2060</v>
      </c>
      <c r="C106" s="707">
        <f>'Food System Summary'!C58</f>
        <v>1270.0968906403518</v>
      </c>
      <c r="E106" s="3">
        <v>2060</v>
      </c>
      <c r="F106" s="335">
        <f t="shared" si="12"/>
        <v>2485.021137938942</v>
      </c>
      <c r="H106" s="3">
        <v>2060</v>
      </c>
      <c r="I106" s="335">
        <f t="shared" si="9"/>
        <v>533.0769023372161</v>
      </c>
      <c r="L106" s="3">
        <v>2060</v>
      </c>
      <c r="M106" s="707">
        <f>Bioplastics!B56</f>
        <v>162.68693410337437</v>
      </c>
      <c r="Q106" s="3">
        <v>2060</v>
      </c>
      <c r="R106" s="339">
        <v>0.78280054945664412</v>
      </c>
      <c r="T106" s="3">
        <v>2060</v>
      </c>
      <c r="U106" s="335">
        <f t="shared" si="13"/>
        <v>2485.021137938942</v>
      </c>
      <c r="W106" s="3">
        <v>2060</v>
      </c>
      <c r="X106" s="343"/>
      <c r="Y106" s="335">
        <f t="shared" si="14"/>
        <v>660.4283237427544</v>
      </c>
      <c r="AA106" s="3">
        <v>2060</v>
      </c>
      <c r="AB106" s="335">
        <f t="shared" si="10"/>
        <v>873.01202140798546</v>
      </c>
      <c r="AD106" s="3">
        <v>2060</v>
      </c>
      <c r="AE106" s="335">
        <f t="shared" si="18"/>
        <v>951.58079278820219</v>
      </c>
      <c r="AG106" s="3">
        <v>2060</v>
      </c>
      <c r="AH106" s="335">
        <f t="shared" si="11"/>
        <v>591.79974614796151</v>
      </c>
      <c r="AK106" s="3">
        <v>2060</v>
      </c>
      <c r="AL106" s="338">
        <f t="shared" si="15"/>
        <v>0.26576366440508781</v>
      </c>
      <c r="AM106" s="338">
        <f t="shared" si="16"/>
        <v>0.35130969635616666</v>
      </c>
      <c r="AN106" s="338">
        <f t="shared" si="17"/>
        <v>0.38292663923874554</v>
      </c>
      <c r="BQ106" s="609"/>
      <c r="BR106" s="609"/>
      <c r="BS106" s="609"/>
      <c r="BT106" s="609"/>
      <c r="BU106" s="609"/>
      <c r="BV106" s="609"/>
    </row>
    <row r="107" spans="1:74" x14ac:dyDescent="0.4">
      <c r="BQ107" s="609"/>
      <c r="BR107" s="609"/>
      <c r="BS107" s="609"/>
      <c r="BT107" s="609"/>
      <c r="BU107" s="609"/>
      <c r="BV107" s="609"/>
    </row>
    <row r="108" spans="1:74" x14ac:dyDescent="0.4">
      <c r="BQ108" s="609"/>
      <c r="BR108" s="609"/>
      <c r="BS108" s="609"/>
      <c r="BT108" s="609"/>
      <c r="BU108" s="609"/>
      <c r="BV108" s="609"/>
    </row>
    <row r="109" spans="1:74" ht="22.5" x14ac:dyDescent="0.75">
      <c r="A109" s="336" t="s">
        <v>456</v>
      </c>
      <c r="Q109" s="638"/>
      <c r="R109" s="638"/>
      <c r="S109" s="638"/>
      <c r="T109" s="638"/>
      <c r="BQ109" s="609"/>
      <c r="BR109" s="609"/>
      <c r="BS109" s="609"/>
      <c r="BT109" s="609"/>
      <c r="BU109" s="609"/>
      <c r="BV109" s="609"/>
    </row>
    <row r="110" spans="1:74" ht="200.05" customHeight="1" x14ac:dyDescent="0.4">
      <c r="B110" s="1275" t="s">
        <v>474</v>
      </c>
      <c r="C110" s="1276"/>
      <c r="D110" s="1276"/>
      <c r="F110" s="1275" t="s">
        <v>475</v>
      </c>
      <c r="G110" s="1276"/>
      <c r="H110" s="1276"/>
      <c r="J110" s="1275" t="s">
        <v>481</v>
      </c>
      <c r="K110" s="1276"/>
      <c r="L110" s="1276"/>
      <c r="M110" s="1276"/>
      <c r="N110" s="1276"/>
      <c r="P110" s="1280" t="s">
        <v>476</v>
      </c>
      <c r="Q110" s="1281"/>
      <c r="R110" s="1281"/>
      <c r="S110" s="1281"/>
      <c r="V110" s="1275" t="s">
        <v>482</v>
      </c>
      <c r="W110" s="1276"/>
      <c r="X110" s="1276"/>
      <c r="Y110" s="1276"/>
      <c r="Z110" s="1276"/>
      <c r="AA110" s="1276"/>
      <c r="AB110" s="1276"/>
      <c r="AC110" s="1276"/>
      <c r="AE110" s="1275" t="s">
        <v>484</v>
      </c>
      <c r="AF110" s="1276"/>
      <c r="AG110" s="1276"/>
      <c r="AH110" s="1276"/>
      <c r="AI110" s="1276"/>
      <c r="AK110" s="1275" t="s">
        <v>486</v>
      </c>
      <c r="AL110" s="1276"/>
      <c r="AM110" s="1276"/>
      <c r="AN110" s="1276"/>
      <c r="AO110" s="1276"/>
      <c r="AP110" s="1276"/>
      <c r="AQ110" s="1276"/>
      <c r="AR110" s="1276"/>
      <c r="AS110" s="1276"/>
      <c r="AT110" s="1276"/>
      <c r="BQ110" s="609"/>
      <c r="BR110" s="609"/>
      <c r="BS110" s="609"/>
      <c r="BT110" s="609"/>
      <c r="BU110" s="609"/>
      <c r="BV110" s="609"/>
    </row>
    <row r="111" spans="1:74" ht="135.30000000000001" x14ac:dyDescent="0.4">
      <c r="B111" s="1173" t="s">
        <v>132</v>
      </c>
      <c r="C111" s="341" t="s">
        <v>149</v>
      </c>
      <c r="F111" s="641" t="s">
        <v>151</v>
      </c>
      <c r="G111" s="641"/>
      <c r="H111" s="641"/>
      <c r="J111" s="642" t="s">
        <v>495</v>
      </c>
      <c r="K111" s="642"/>
      <c r="Q111" s="1173" t="s">
        <v>1096</v>
      </c>
      <c r="R111" s="1173" t="s">
        <v>160</v>
      </c>
      <c r="S111" s="1173" t="s">
        <v>1097</v>
      </c>
      <c r="V111" s="641" t="s">
        <v>152</v>
      </c>
      <c r="W111" s="641"/>
      <c r="X111" s="641"/>
      <c r="Y111" s="641"/>
      <c r="Z111" s="641"/>
      <c r="AA111" s="641"/>
      <c r="AB111" s="641"/>
      <c r="AC111" s="641"/>
      <c r="AE111" s="340" t="s">
        <v>10</v>
      </c>
      <c r="AF111" s="707">
        <f>'WTE Tonnes and Composition'!M$52</f>
        <v>1.4992613764679676</v>
      </c>
      <c r="AG111" s="707">
        <f>'WTE Tonnes and Composition'!M$53</f>
        <v>3.5494778268358278</v>
      </c>
      <c r="AH111" s="707">
        <f>'WTE Tonnes and Composition'!M$54</f>
        <v>2.1207208550108536</v>
      </c>
      <c r="AI111" s="341" t="s">
        <v>483</v>
      </c>
      <c r="AK111" s="345" t="s">
        <v>153</v>
      </c>
      <c r="AL111" s="345"/>
      <c r="AO111" s="341" t="s">
        <v>485</v>
      </c>
      <c r="AP111" s="1207">
        <f>'WTE Tonnes and Composition'!R$31</f>
        <v>0.1982538444179904</v>
      </c>
      <c r="AQ111" s="1207">
        <f>'WTE Tonnes and Composition'!R$32</f>
        <v>0.28006004602560974</v>
      </c>
      <c r="AR111" s="1207">
        <f>'WTE Tonnes and Composition'!R$33</f>
        <v>0.3429125448437737</v>
      </c>
      <c r="AS111" s="345" t="s">
        <v>278</v>
      </c>
      <c r="AT111" s="345" t="s">
        <v>279</v>
      </c>
      <c r="AU111" s="609"/>
      <c r="AV111" s="609"/>
      <c r="BQ111" s="609"/>
      <c r="BR111" s="609"/>
      <c r="BS111" s="609"/>
      <c r="BT111" s="609"/>
      <c r="BU111" s="609"/>
      <c r="BV111" s="609"/>
    </row>
    <row r="112" spans="1:74" x14ac:dyDescent="0.4">
      <c r="B112" s="2"/>
      <c r="C112" s="334" t="s">
        <v>115</v>
      </c>
      <c r="D112" s="334" t="s">
        <v>133</v>
      </c>
      <c r="F112" s="2"/>
      <c r="G112" s="334" t="s">
        <v>115</v>
      </c>
      <c r="H112" s="334" t="s">
        <v>134</v>
      </c>
      <c r="J112" s="2"/>
      <c r="K112" s="334" t="s">
        <v>115</v>
      </c>
      <c r="L112" s="334" t="s">
        <v>159</v>
      </c>
      <c r="M112" s="334" t="s">
        <v>157</v>
      </c>
      <c r="N112" s="334" t="s">
        <v>158</v>
      </c>
      <c r="P112" s="2"/>
      <c r="Q112" s="334" t="s">
        <v>115</v>
      </c>
      <c r="R112" s="334" t="str">
        <f t="shared" ref="R112:R159" si="19">AE59</f>
        <v>World</v>
      </c>
      <c r="S112" s="334" t="s">
        <v>115</v>
      </c>
      <c r="V112" s="334" t="s">
        <v>115</v>
      </c>
      <c r="W112" s="334" t="s">
        <v>156</v>
      </c>
      <c r="X112" s="334" t="s">
        <v>157</v>
      </c>
      <c r="Y112" s="334" t="s">
        <v>158</v>
      </c>
      <c r="Z112" s="334" t="s">
        <v>155</v>
      </c>
      <c r="AA112" s="334" t="s">
        <v>161</v>
      </c>
      <c r="AB112" s="334" t="s">
        <v>162</v>
      </c>
      <c r="AC112" s="334" t="s">
        <v>163</v>
      </c>
      <c r="AE112" s="334" t="s">
        <v>115</v>
      </c>
      <c r="AF112" s="347" t="s">
        <v>156</v>
      </c>
      <c r="AG112" s="347" t="s">
        <v>157</v>
      </c>
      <c r="AH112" s="347" t="s">
        <v>158</v>
      </c>
      <c r="AI112" s="347" t="s">
        <v>165</v>
      </c>
      <c r="AK112" s="334" t="s">
        <v>115</v>
      </c>
      <c r="AL112" s="347" t="s">
        <v>138</v>
      </c>
      <c r="AM112" s="347" t="s">
        <v>156</v>
      </c>
      <c r="AN112" s="347" t="s">
        <v>157</v>
      </c>
      <c r="AO112" s="347" t="s">
        <v>158</v>
      </c>
      <c r="AP112" s="347" t="s">
        <v>156</v>
      </c>
      <c r="AQ112" s="347" t="s">
        <v>157</v>
      </c>
      <c r="AR112" s="347" t="s">
        <v>158</v>
      </c>
      <c r="AS112" s="527" t="s">
        <v>115</v>
      </c>
      <c r="AT112" s="527" t="s">
        <v>115</v>
      </c>
      <c r="AU112" s="609"/>
      <c r="AV112" s="609"/>
      <c r="BQ112" s="609"/>
      <c r="BR112" s="609"/>
      <c r="BS112" s="609"/>
      <c r="BT112" s="609"/>
      <c r="BU112" s="609"/>
      <c r="BV112" s="609"/>
    </row>
    <row r="113" spans="2:74" ht="14.4" x14ac:dyDescent="0.55000000000000004">
      <c r="B113" s="3">
        <v>2014</v>
      </c>
      <c r="C113" s="707">
        <f>Compost!E5</f>
        <v>110.54366841083268</v>
      </c>
      <c r="D113" s="338">
        <f t="shared" ref="D113:D159" si="20">C113/Y60</f>
        <v>0.13735631497417061</v>
      </c>
      <c r="F113" s="3">
        <v>2014</v>
      </c>
      <c r="G113" s="707">
        <f>'H&amp;C Recycling'!E5</f>
        <v>206.02941101227444</v>
      </c>
      <c r="H113" s="338">
        <f t="shared" ref="H113:H159" si="21">G113/AB60</f>
        <v>0.32872538352551745</v>
      </c>
      <c r="J113" s="3">
        <v>2014</v>
      </c>
      <c r="K113" s="335">
        <f t="shared" ref="K113:K159" si="22">U60-C113-G113</f>
        <v>1456.7602539102261</v>
      </c>
      <c r="L113" s="338">
        <f t="shared" ref="L113:L159" si="23">(Y60-C113)/K113</f>
        <v>0.47657209073626483</v>
      </c>
      <c r="M113" s="338">
        <f t="shared" ref="M113:M159" si="24">(AB60-G113)/K113</f>
        <v>0.28880727023664815</v>
      </c>
      <c r="N113" s="338">
        <f t="shared" ref="N113:N159" si="25">AE60/K113</f>
        <v>0.2346206390270871</v>
      </c>
      <c r="O113" s="723"/>
      <c r="P113" s="3">
        <v>2014</v>
      </c>
      <c r="Q113" s="707">
        <f>Paper!F6</f>
        <v>175.25105629820052</v>
      </c>
      <c r="R113" s="335">
        <f t="shared" si="19"/>
        <v>341.7860216816789</v>
      </c>
      <c r="S113" s="707">
        <f>Paper!G6</f>
        <v>227.24220300000002</v>
      </c>
      <c r="V113" s="335">
        <f t="shared" ref="V113:V159" si="26">U60-C113-G113-S113-U170</f>
        <v>1229.5180509102261</v>
      </c>
      <c r="W113" s="335">
        <f t="shared" ref="W113:W159" si="27">Y60-C113</f>
        <v>694.25127990748842</v>
      </c>
      <c r="X113" s="335">
        <f t="shared" ref="X113:X159" si="28">AB60-G113</f>
        <v>420.72295232105887</v>
      </c>
      <c r="Y113" s="335">
        <f t="shared" ref="Y113:Y159" si="29">R113-S113-U170</f>
        <v>114.54381868167889</v>
      </c>
      <c r="Z113" s="338">
        <f t="shared" ref="Z113:Z159" si="30">W113/$V113</f>
        <v>0.56465318210946669</v>
      </c>
      <c r="AA113" s="338">
        <f t="shared" ref="AA113:AA159" si="31">X113/$V113</f>
        <v>0.34218525869513905</v>
      </c>
      <c r="AB113" s="338">
        <f t="shared" ref="AB113:AB159" si="32">Y113/$V113</f>
        <v>9.3161559195394331E-2</v>
      </c>
      <c r="AC113" s="338">
        <f t="shared" ref="AC113:AC159" si="33">1-V113/U60</f>
        <v>0.30666275324611314</v>
      </c>
      <c r="AD113" s="609"/>
      <c r="AE113" s="346">
        <f>MIN('WTE Tonnes and Composition'!G67,V113)</f>
        <v>142.75688198659913</v>
      </c>
      <c r="AF113" s="335">
        <f>AF$111*Z113</f>
        <v>0.84656270703645708</v>
      </c>
      <c r="AG113" s="335">
        <f t="shared" ref="AG113:AG159" si="34">AG$111*AA113</f>
        <v>1.2145789884084777</v>
      </c>
      <c r="AH113" s="335">
        <f t="shared" ref="AH113:AH159" si="35">AH$111*AB113</f>
        <v>0.19756966147100091</v>
      </c>
      <c r="AI113" s="711">
        <f>AF113+AG113+AH113</f>
        <v>2.2587113569159354</v>
      </c>
      <c r="AK113" s="610">
        <f>V113-AE113</f>
        <v>1086.7611689236269</v>
      </c>
      <c r="AL113" s="338">
        <f t="shared" ref="AL113:AL159" si="36">AK113/U60</f>
        <v>0.61283524563362424</v>
      </c>
      <c r="AM113" s="335">
        <f t="shared" ref="AM113:AM159" si="37">Z113*$AK113</f>
        <v>613.64315222572964</v>
      </c>
      <c r="AN113" s="335">
        <f>AA113*$AK113</f>
        <v>371.87365172796297</v>
      </c>
      <c r="AO113" s="335">
        <f t="shared" ref="AO113:AO159" si="38">AB113*$AK113</f>
        <v>101.24436496993441</v>
      </c>
      <c r="AP113" s="335">
        <f>AP$111*AM113</f>
        <v>121.657114029525</v>
      </c>
      <c r="AQ113" s="335">
        <f t="shared" ref="AQ113:AQ159" si="39">AQ$111*AN113</f>
        <v>104.14695201864488</v>
      </c>
      <c r="AR113" s="335">
        <f t="shared" ref="AR113:AR159" si="40">AR$111*AO113</f>
        <v>34.717962842932025</v>
      </c>
      <c r="AS113" s="335">
        <f>SUM(AP113:AR113)</f>
        <v>260.52202889110191</v>
      </c>
      <c r="AT113" s="712">
        <f>AS113/AK113</f>
        <v>0.23972335076080578</v>
      </c>
      <c r="AU113" s="723"/>
      <c r="AV113" s="723"/>
      <c r="AW113" s="968"/>
      <c r="BQ113" s="609"/>
      <c r="BR113" s="609"/>
      <c r="BS113" s="609"/>
      <c r="BT113" s="609"/>
      <c r="BU113" s="609"/>
      <c r="BV113" s="609"/>
    </row>
    <row r="114" spans="2:74" ht="14.4" x14ac:dyDescent="0.55000000000000004">
      <c r="B114" s="3">
        <v>2015</v>
      </c>
      <c r="C114" s="707">
        <f>Compost!E6</f>
        <v>121.04208551354085</v>
      </c>
      <c r="D114" s="338">
        <f t="shared" si="20"/>
        <v>0.14028323288243763</v>
      </c>
      <c r="F114" s="3">
        <v>2015</v>
      </c>
      <c r="G114" s="707">
        <f>'H&amp;C Recycling'!E6</f>
        <v>235.52664728670166</v>
      </c>
      <c r="H114" s="338">
        <f t="shared" si="21"/>
        <v>0.354207043072165</v>
      </c>
      <c r="J114" s="3">
        <v>2015</v>
      </c>
      <c r="K114" s="335">
        <f t="shared" si="22"/>
        <v>1535.0979338664242</v>
      </c>
      <c r="L114" s="338">
        <f t="shared" si="23"/>
        <v>0.48322560863857555</v>
      </c>
      <c r="M114" s="338">
        <f t="shared" si="24"/>
        <v>0.27973066293675541</v>
      </c>
      <c r="N114" s="338">
        <f t="shared" si="25"/>
        <v>0.23704372842466903</v>
      </c>
      <c r="P114" s="3">
        <v>2015</v>
      </c>
      <c r="Q114" s="707">
        <f>Paper!F7</f>
        <v>175.9042719794345</v>
      </c>
      <c r="R114" s="335">
        <f t="shared" si="19"/>
        <v>363.88533774070322</v>
      </c>
      <c r="S114" s="707">
        <f>Paper!G7</f>
        <v>228.08920600000005</v>
      </c>
      <c r="V114" s="335">
        <f t="shared" si="26"/>
        <v>1263.5304896051864</v>
      </c>
      <c r="W114" s="335">
        <f t="shared" si="27"/>
        <v>741.79863341242265</v>
      </c>
      <c r="X114" s="335">
        <f t="shared" si="28"/>
        <v>429.41396271329836</v>
      </c>
      <c r="Y114" s="335">
        <f t="shared" si="29"/>
        <v>92.317893479465539</v>
      </c>
      <c r="Z114" s="338">
        <f t="shared" si="30"/>
        <v>0.58708407871044843</v>
      </c>
      <c r="AA114" s="338">
        <f t="shared" si="31"/>
        <v>0.33985247387855022</v>
      </c>
      <c r="AB114" s="338">
        <f t="shared" si="32"/>
        <v>7.3063447411001514E-2</v>
      </c>
      <c r="AC114" s="338">
        <f t="shared" si="33"/>
        <v>0.33205436672853583</v>
      </c>
      <c r="AD114" s="609"/>
      <c r="AE114" s="346">
        <f>MIN('WTE Tonnes and Composition'!G68,V114)</f>
        <v>151.22621540688968</v>
      </c>
      <c r="AF114" s="335">
        <f t="shared" ref="AF114:AF159" si="41">AF$111*Z114</f>
        <v>0.88019248394985561</v>
      </c>
      <c r="AG114" s="335">
        <f t="shared" si="34"/>
        <v>1.2062988204272165</v>
      </c>
      <c r="AH114" s="335">
        <f t="shared" si="35"/>
        <v>0.15494717666349966</v>
      </c>
      <c r="AI114" s="711">
        <f t="shared" ref="AI114:AI159" si="42">AF114+AG114+AH114</f>
        <v>2.2414384810405719</v>
      </c>
      <c r="AK114" s="610">
        <f t="shared" ref="AK114:AK159" si="43">V114-AE114</f>
        <v>1112.3042741982968</v>
      </c>
      <c r="AL114" s="338">
        <f t="shared" si="36"/>
        <v>0.58800225948808638</v>
      </c>
      <c r="AM114" s="335">
        <f t="shared" si="37"/>
        <v>653.01613006340108</v>
      </c>
      <c r="AN114" s="335">
        <f t="shared" ref="AN114:AN159" si="44">AA114*$AK114</f>
        <v>378.0193592919764</v>
      </c>
      <c r="AO114" s="335">
        <f t="shared" si="38"/>
        <v>81.268784842919459</v>
      </c>
      <c r="AP114" s="335">
        <f t="shared" ref="AP114:AP159" si="45">AP$111*AM114</f>
        <v>129.4629582520277</v>
      </c>
      <c r="AQ114" s="335">
        <f t="shared" si="39"/>
        <v>105.86811916188242</v>
      </c>
      <c r="AR114" s="335">
        <f t="shared" si="40"/>
        <v>27.868085826846617</v>
      </c>
      <c r="AS114" s="335">
        <f>SUM(AP114:AR114)</f>
        <v>263.19916324075672</v>
      </c>
      <c r="AT114" s="712">
        <f t="shared" ref="AT114:AT159" si="46">AS114/AK114</f>
        <v>0.23662514776405033</v>
      </c>
      <c r="AU114" s="723"/>
      <c r="AV114" s="609"/>
      <c r="AW114" s="968"/>
      <c r="BQ114" s="609"/>
      <c r="BR114" s="609"/>
      <c r="BS114" s="609"/>
      <c r="BT114" s="609"/>
      <c r="BU114" s="609"/>
      <c r="BV114" s="609"/>
    </row>
    <row r="115" spans="2:74" ht="14.4" x14ac:dyDescent="0.55000000000000004">
      <c r="B115" s="3">
        <v>2016</v>
      </c>
      <c r="C115" s="707">
        <f>Compost!E7</f>
        <v>131.54050261624903</v>
      </c>
      <c r="D115" s="338">
        <f t="shared" si="20"/>
        <v>0.14215117062862537</v>
      </c>
      <c r="E115" s="533"/>
      <c r="F115" s="3">
        <v>2016</v>
      </c>
      <c r="G115" s="707">
        <f>'H&amp;C Recycling'!E7</f>
        <v>266.79999999999995</v>
      </c>
      <c r="H115" s="338">
        <f t="shared" si="21"/>
        <v>0.37965485417831296</v>
      </c>
      <c r="I115" s="609"/>
      <c r="J115" s="3">
        <v>2016</v>
      </c>
      <c r="K115" s="335">
        <f t="shared" si="22"/>
        <v>1611.6594973837507</v>
      </c>
      <c r="L115" s="338">
        <f t="shared" si="23"/>
        <v>0.49254569508781054</v>
      </c>
      <c r="M115" s="338">
        <f t="shared" si="24"/>
        <v>0.27049358174457977</v>
      </c>
      <c r="N115" s="338">
        <f t="shared" si="25"/>
        <v>0.23696072316760966</v>
      </c>
      <c r="P115" s="3">
        <v>2016</v>
      </c>
      <c r="Q115" s="707">
        <f>Paper!F8</f>
        <v>177.60189408740359</v>
      </c>
      <c r="R115" s="335">
        <f t="shared" si="19"/>
        <v>381.89999999999986</v>
      </c>
      <c r="S115" s="707">
        <f>Paper!G8</f>
        <v>230.29045599999998</v>
      </c>
      <c r="V115" s="335">
        <f t="shared" si="26"/>
        <v>1365.5334841836038</v>
      </c>
      <c r="W115" s="335">
        <f t="shared" si="27"/>
        <v>793.81594738375088</v>
      </c>
      <c r="X115" s="335">
        <f t="shared" si="28"/>
        <v>435.94354999999996</v>
      </c>
      <c r="Y115" s="335">
        <f t="shared" si="29"/>
        <v>135.77398679985308</v>
      </c>
      <c r="Z115" s="338">
        <f t="shared" si="30"/>
        <v>0.58132294563127518</v>
      </c>
      <c r="AA115" s="338">
        <f t="shared" si="31"/>
        <v>0.31924779219942206</v>
      </c>
      <c r="AB115" s="338">
        <f t="shared" si="32"/>
        <v>9.9429262169302826E-2</v>
      </c>
      <c r="AC115" s="338">
        <f t="shared" si="33"/>
        <v>0.32063010737134134</v>
      </c>
      <c r="AD115" s="609"/>
      <c r="AE115" s="346">
        <f>MIN('WTE Tonnes and Composition'!G69,V115)</f>
        <v>159.07322452483973</v>
      </c>
      <c r="AF115" s="335">
        <f t="shared" si="41"/>
        <v>0.87155503963955916</v>
      </c>
      <c r="AG115" s="335">
        <f t="shared" si="34"/>
        <v>1.1331629596781405</v>
      </c>
      <c r="AH115" s="335">
        <f t="shared" si="35"/>
        <v>0.21086170988078221</v>
      </c>
      <c r="AI115" s="711">
        <f t="shared" si="42"/>
        <v>2.2155797091984817</v>
      </c>
      <c r="AK115" s="610">
        <f t="shared" si="43"/>
        <v>1206.460259658764</v>
      </c>
      <c r="AL115" s="338">
        <f t="shared" si="36"/>
        <v>0.60022898490485777</v>
      </c>
      <c r="AM115" s="335">
        <f t="shared" si="37"/>
        <v>701.34303193190578</v>
      </c>
      <c r="AN115" s="335">
        <f t="shared" si="44"/>
        <v>385.15977427240188</v>
      </c>
      <c r="AO115" s="335">
        <f t="shared" si="38"/>
        <v>119.95745345445641</v>
      </c>
      <c r="AP115" s="335">
        <f t="shared" si="45"/>
        <v>139.04395233626971</v>
      </c>
      <c r="AQ115" s="335">
        <f t="shared" si="39"/>
        <v>107.86786410994233</v>
      </c>
      <c r="AR115" s="335">
        <f t="shared" si="40"/>
        <v>41.134915637046184</v>
      </c>
      <c r="AS115" s="335">
        <f>SUM(AP115:AR115)</f>
        <v>288.04673208325823</v>
      </c>
      <c r="AT115" s="712">
        <f t="shared" si="46"/>
        <v>0.23875360151914954</v>
      </c>
      <c r="AU115" s="723"/>
      <c r="AV115" s="609"/>
      <c r="AW115" s="968"/>
      <c r="BQ115" s="609"/>
      <c r="BR115" s="609"/>
      <c r="BS115" s="609"/>
      <c r="BT115" s="609"/>
      <c r="BU115" s="609"/>
      <c r="BV115" s="609"/>
    </row>
    <row r="116" spans="2:74" ht="14.4" x14ac:dyDescent="0.55000000000000004">
      <c r="B116" s="3">
        <v>2017</v>
      </c>
      <c r="C116" s="707">
        <f>Compost!E8</f>
        <v>142.0389197189572</v>
      </c>
      <c r="D116" s="338">
        <f t="shared" si="20"/>
        <v>0.14536945168822885</v>
      </c>
      <c r="F116" s="3">
        <v>2017</v>
      </c>
      <c r="G116" s="707">
        <f>'H&amp;C Recycling'!E8</f>
        <v>283.94991370375845</v>
      </c>
      <c r="H116" s="338">
        <f t="shared" si="21"/>
        <v>0.38462533934717597</v>
      </c>
      <c r="I116" s="609"/>
      <c r="J116" s="3">
        <v>2017</v>
      </c>
      <c r="K116" s="335">
        <f t="shared" si="22"/>
        <v>1697.3353780180933</v>
      </c>
      <c r="L116" s="338">
        <f t="shared" si="23"/>
        <v>0.49197717818921965</v>
      </c>
      <c r="M116" s="338">
        <f t="shared" si="24"/>
        <v>0.26765526729859063</v>
      </c>
      <c r="N116" s="338">
        <f t="shared" si="25"/>
        <v>0.2403675545121898</v>
      </c>
      <c r="P116" s="3">
        <v>2017</v>
      </c>
      <c r="Q116" s="707">
        <f>Paper!F9</f>
        <v>180.34826683804627</v>
      </c>
      <c r="R116" s="335">
        <f t="shared" si="19"/>
        <v>407.9843540012323</v>
      </c>
      <c r="S116" s="707">
        <f>Paper!G9</f>
        <v>233.851586</v>
      </c>
      <c r="V116" s="335">
        <f t="shared" si="26"/>
        <v>1447.6583722067594</v>
      </c>
      <c r="W116" s="335">
        <f t="shared" si="27"/>
        <v>835.05026971807399</v>
      </c>
      <c r="X116" s="335">
        <f t="shared" si="28"/>
        <v>454.30075429878713</v>
      </c>
      <c r="Y116" s="335">
        <f t="shared" si="29"/>
        <v>158.30734818989845</v>
      </c>
      <c r="Z116" s="338">
        <f t="shared" si="30"/>
        <v>0.57682826677205123</v>
      </c>
      <c r="AA116" s="338">
        <f t="shared" si="31"/>
        <v>0.31381765409629558</v>
      </c>
      <c r="AB116" s="338">
        <f t="shared" si="32"/>
        <v>0.10935407913165335</v>
      </c>
      <c r="AC116" s="338">
        <f t="shared" si="33"/>
        <v>0.31821133842559435</v>
      </c>
      <c r="AD116" s="609"/>
      <c r="AE116" s="346">
        <f>MIN('WTE Tonnes and Composition'!G70,V116)</f>
        <v>162.84287810907378</v>
      </c>
      <c r="AF116" s="335">
        <f t="shared" si="41"/>
        <v>0.86481634122629758</v>
      </c>
      <c r="AG116" s="335">
        <f t="shared" si="34"/>
        <v>1.1138888048844369</v>
      </c>
      <c r="AH116" s="335">
        <f t="shared" si="35"/>
        <v>0.23190947619500443</v>
      </c>
      <c r="AI116" s="711">
        <f t="shared" si="42"/>
        <v>2.2106146223057386</v>
      </c>
      <c r="AK116" s="610">
        <f t="shared" si="43"/>
        <v>1284.8154940976856</v>
      </c>
      <c r="AL116" s="338">
        <f t="shared" si="36"/>
        <v>0.60509623880088359</v>
      </c>
      <c r="AM116" s="335">
        <f t="shared" si="37"/>
        <v>741.11789458224462</v>
      </c>
      <c r="AN116" s="335">
        <f t="shared" si="44"/>
        <v>403.19778430430858</v>
      </c>
      <c r="AO116" s="335">
        <f t="shared" si="38"/>
        <v>140.49981521113261</v>
      </c>
      <c r="AP116" s="335">
        <f t="shared" si="45"/>
        <v>146.92947176789693</v>
      </c>
      <c r="AQ116" s="335">
        <f t="shared" si="39"/>
        <v>112.91959002968854</v>
      </c>
      <c r="AR116" s="335">
        <f t="shared" si="40"/>
        <v>48.179149184129429</v>
      </c>
      <c r="AS116" s="335">
        <f t="shared" ref="AS116:AS159" si="47">SUM(AP116:AR116)</f>
        <v>308.02821098171489</v>
      </c>
      <c r="AT116" s="712">
        <f t="shared" si="46"/>
        <v>0.23974509367046537</v>
      </c>
      <c r="AU116" s="723"/>
      <c r="AV116" s="609"/>
      <c r="AW116" s="968"/>
      <c r="BQ116" s="609"/>
      <c r="BR116" s="609"/>
      <c r="BS116" s="609"/>
      <c r="BT116" s="609"/>
      <c r="BU116" s="609"/>
      <c r="BV116" s="609"/>
    </row>
    <row r="117" spans="2:74" ht="14.4" x14ac:dyDescent="0.55000000000000004">
      <c r="B117" s="3">
        <v>2018</v>
      </c>
      <c r="C117" s="707">
        <f>Compost!E9</f>
        <v>152.53733682166535</v>
      </c>
      <c r="D117" s="338">
        <f t="shared" si="20"/>
        <v>0.15282308024276223</v>
      </c>
      <c r="F117" s="3">
        <v>2018</v>
      </c>
      <c r="G117" s="707">
        <f>'H&amp;C Recycling'!E9</f>
        <v>292.60634965639559</v>
      </c>
      <c r="H117" s="338">
        <f t="shared" si="21"/>
        <v>0.39164345509026888</v>
      </c>
      <c r="I117" s="609"/>
      <c r="J117" s="3">
        <v>2018</v>
      </c>
      <c r="K117" s="335">
        <f t="shared" si="22"/>
        <v>1715.5606432509373</v>
      </c>
      <c r="L117" s="338">
        <f t="shared" si="23"/>
        <v>0.49289595233097383</v>
      </c>
      <c r="M117" s="338">
        <f t="shared" si="24"/>
        <v>0.26493844509890685</v>
      </c>
      <c r="N117" s="338">
        <f t="shared" si="25"/>
        <v>0.24216560257011938</v>
      </c>
      <c r="P117" s="3">
        <v>2018</v>
      </c>
      <c r="Q117" s="707">
        <f>Paper!F10</f>
        <v>176.70263907455015</v>
      </c>
      <c r="R117" s="335">
        <f t="shared" si="19"/>
        <v>415.44977691844485</v>
      </c>
      <c r="S117" s="707">
        <f>Paper!G10</f>
        <v>229.12442200000001</v>
      </c>
      <c r="V117" s="335">
        <f t="shared" si="26"/>
        <v>1470.6331524553725</v>
      </c>
      <c r="W117" s="335">
        <f t="shared" si="27"/>
        <v>845.59289703670879</v>
      </c>
      <c r="X117" s="335">
        <f t="shared" si="28"/>
        <v>454.51796929578376</v>
      </c>
      <c r="Y117" s="335">
        <f t="shared" si="29"/>
        <v>170.52228612287999</v>
      </c>
      <c r="Z117" s="338">
        <f t="shared" si="30"/>
        <v>0.57498560781450148</v>
      </c>
      <c r="AA117" s="338">
        <f t="shared" si="31"/>
        <v>0.30906277920970265</v>
      </c>
      <c r="AB117" s="338">
        <f t="shared" si="32"/>
        <v>0.1159516129757959</v>
      </c>
      <c r="AC117" s="338">
        <f t="shared" si="33"/>
        <v>0.31937325610865808</v>
      </c>
      <c r="AD117" s="609"/>
      <c r="AE117" s="346">
        <f>MIN('WTE Tonnes and Composition'!G71,V117)</f>
        <v>165.19016908698848</v>
      </c>
      <c r="AF117" s="335">
        <f t="shared" si="41"/>
        <v>0.86205371382124052</v>
      </c>
      <c r="AG117" s="335">
        <f t="shared" si="34"/>
        <v>1.0970114819050967</v>
      </c>
      <c r="AH117" s="335">
        <f t="shared" si="35"/>
        <v>0.24590100380991747</v>
      </c>
      <c r="AI117" s="711">
        <f t="shared" si="42"/>
        <v>2.2049661995362548</v>
      </c>
      <c r="AK117" s="610">
        <f t="shared" si="43"/>
        <v>1305.4429833683839</v>
      </c>
      <c r="AL117" s="338">
        <f t="shared" si="36"/>
        <v>0.60417474311819253</v>
      </c>
      <c r="AM117" s="335">
        <f t="shared" si="37"/>
        <v>750.61092725924641</v>
      </c>
      <c r="AN117" s="335">
        <f t="shared" si="44"/>
        <v>403.46383653963835</v>
      </c>
      <c r="AO117" s="335">
        <f t="shared" si="38"/>
        <v>151.36821956949922</v>
      </c>
      <c r="AP117" s="335">
        <f t="shared" si="45"/>
        <v>148.81150199129814</v>
      </c>
      <c r="AQ117" s="335">
        <f t="shared" si="39"/>
        <v>112.9941006309602</v>
      </c>
      <c r="AR117" s="335">
        <f t="shared" si="40"/>
        <v>51.906061381048083</v>
      </c>
      <c r="AS117" s="335">
        <f t="shared" si="47"/>
        <v>313.7116640033064</v>
      </c>
      <c r="AT117" s="712">
        <f t="shared" si="46"/>
        <v>0.24031050608878249</v>
      </c>
      <c r="AU117" s="723"/>
      <c r="AV117" s="609"/>
      <c r="AW117" s="968"/>
      <c r="BQ117" s="609"/>
      <c r="BR117" s="609"/>
      <c r="BS117" s="609"/>
      <c r="BT117" s="609"/>
      <c r="BU117" s="609"/>
      <c r="BV117" s="609"/>
    </row>
    <row r="118" spans="2:74" ht="14.4" x14ac:dyDescent="0.55000000000000004">
      <c r="B118" s="3">
        <v>2019</v>
      </c>
      <c r="C118" s="707">
        <f>Compost!E10</f>
        <v>159.84366853160702</v>
      </c>
      <c r="D118" s="338">
        <f t="shared" si="20"/>
        <v>0.16255012259426826</v>
      </c>
      <c r="F118" s="3">
        <v>2019</v>
      </c>
      <c r="G118" s="707">
        <f>'H&amp;C Recycling'!E10</f>
        <v>301.23625591804961</v>
      </c>
      <c r="H118" s="338">
        <f t="shared" si="21"/>
        <v>0.39857793794769514</v>
      </c>
      <c r="I118" s="609"/>
      <c r="J118" s="3">
        <v>2019</v>
      </c>
      <c r="K118" s="335">
        <f t="shared" si="22"/>
        <v>1701.2552974020209</v>
      </c>
      <c r="L118" s="338">
        <f t="shared" si="23"/>
        <v>0.48405807548674273</v>
      </c>
      <c r="M118" s="338">
        <f t="shared" si="24"/>
        <v>0.26717994118363531</v>
      </c>
      <c r="N118" s="338">
        <f t="shared" si="25"/>
        <v>0.24876198332962199</v>
      </c>
      <c r="P118" s="3">
        <v>2019</v>
      </c>
      <c r="Q118" s="707">
        <f>Paper!F11</f>
        <v>190.82356384483535</v>
      </c>
      <c r="R118" s="335">
        <f t="shared" si="19"/>
        <v>423.20764193175262</v>
      </c>
      <c r="S118" s="707">
        <f>Paper!G11</f>
        <v>247.4345544521365</v>
      </c>
      <c r="V118" s="335">
        <f t="shared" si="26"/>
        <v>1438.0556502057912</v>
      </c>
      <c r="W118" s="335">
        <f t="shared" si="27"/>
        <v>823.50636517204839</v>
      </c>
      <c r="X118" s="335">
        <f t="shared" si="28"/>
        <v>454.54129029821996</v>
      </c>
      <c r="Y118" s="335">
        <f t="shared" si="29"/>
        <v>160.00799473552294</v>
      </c>
      <c r="Z118" s="338">
        <f t="shared" si="30"/>
        <v>0.57265264042751163</v>
      </c>
      <c r="AA118" s="338">
        <f t="shared" si="31"/>
        <v>0.31608045921809313</v>
      </c>
      <c r="AB118" s="338">
        <f t="shared" si="32"/>
        <v>0.11126690035439532</v>
      </c>
      <c r="AC118" s="338">
        <f t="shared" si="33"/>
        <v>0.33495249225310331</v>
      </c>
      <c r="AD118" s="609"/>
      <c r="AE118" s="346">
        <f>MIN('WTE Tonnes and Composition'!G72,V118)</f>
        <v>246.60823880527803</v>
      </c>
      <c r="AF118" s="335">
        <f t="shared" si="41"/>
        <v>0.85855598592536719</v>
      </c>
      <c r="AG118" s="335">
        <f t="shared" si="34"/>
        <v>1.1219205814907076</v>
      </c>
      <c r="AH118" s="335">
        <f t="shared" si="35"/>
        <v>0.2359660360539807</v>
      </c>
      <c r="AI118" s="711">
        <f t="shared" si="42"/>
        <v>2.2164426034700555</v>
      </c>
      <c r="AK118" s="610">
        <f t="shared" si="43"/>
        <v>1191.4474114005131</v>
      </c>
      <c r="AL118" s="338">
        <f t="shared" si="36"/>
        <v>0.55100032564804557</v>
      </c>
      <c r="AM118" s="335">
        <f t="shared" si="37"/>
        <v>682.28550606902752</v>
      </c>
      <c r="AN118" s="335">
        <f t="shared" si="44"/>
        <v>376.59324492968256</v>
      </c>
      <c r="AO118" s="335">
        <f t="shared" si="38"/>
        <v>132.56866040180316</v>
      </c>
      <c r="AP118" s="335">
        <f t="shared" si="45"/>
        <v>135.26572456885884</v>
      </c>
      <c r="AQ118" s="335">
        <f t="shared" si="39"/>
        <v>105.46872150794061</v>
      </c>
      <c r="AR118" s="335">
        <f t="shared" si="40"/>
        <v>45.459456704912334</v>
      </c>
      <c r="AS118" s="335">
        <f t="shared" si="47"/>
        <v>286.19390278171181</v>
      </c>
      <c r="AT118" s="712">
        <f t="shared" si="46"/>
        <v>0.24020691139468664</v>
      </c>
      <c r="AU118" s="723"/>
      <c r="AV118" s="609"/>
      <c r="AW118" s="968"/>
      <c r="BQ118" s="609"/>
      <c r="BR118" s="609"/>
      <c r="BS118" s="609"/>
      <c r="BT118" s="609"/>
      <c r="BU118" s="609"/>
      <c r="BV118" s="609"/>
    </row>
    <row r="119" spans="2:74" ht="14.4" x14ac:dyDescent="0.55000000000000004">
      <c r="B119" s="3">
        <v>2020</v>
      </c>
      <c r="C119" s="707">
        <f>Compost!E11</f>
        <v>166.9303328480238</v>
      </c>
      <c r="D119" s="338">
        <f t="shared" si="20"/>
        <v>0.17243481486609286</v>
      </c>
      <c r="F119" s="3">
        <v>2020</v>
      </c>
      <c r="G119" s="707">
        <f>'H&amp;C Recycling'!E11</f>
        <v>310.0681332686745</v>
      </c>
      <c r="H119" s="338">
        <f t="shared" si="21"/>
        <v>0.40563902811710734</v>
      </c>
      <c r="I119" s="609"/>
      <c r="J119" s="3">
        <v>2020</v>
      </c>
      <c r="K119" s="335">
        <f t="shared" si="22"/>
        <v>1686.832621573124</v>
      </c>
      <c r="L119" s="338">
        <f t="shared" si="23"/>
        <v>0.47494194346417229</v>
      </c>
      <c r="M119" s="338">
        <f t="shared" si="24"/>
        <v>0.26933679884950013</v>
      </c>
      <c r="N119" s="338">
        <f t="shared" si="25"/>
        <v>0.25572125768632753</v>
      </c>
      <c r="P119" s="3">
        <v>2020</v>
      </c>
      <c r="Q119" s="707">
        <f>Paper!F12</f>
        <v>197.83813285717787</v>
      </c>
      <c r="R119" s="335">
        <f t="shared" si="19"/>
        <v>431.35895949500423</v>
      </c>
      <c r="S119" s="707">
        <f>Paper!G12</f>
        <v>256.53011227147397</v>
      </c>
      <c r="V119" s="335">
        <f t="shared" si="26"/>
        <v>1414.5884218030003</v>
      </c>
      <c r="W119" s="335">
        <f t="shared" si="27"/>
        <v>801.1475635887042</v>
      </c>
      <c r="X119" s="335">
        <f t="shared" si="28"/>
        <v>454.32609848941547</v>
      </c>
      <c r="Y119" s="335">
        <f t="shared" si="29"/>
        <v>159.11475972488068</v>
      </c>
      <c r="Z119" s="338">
        <f t="shared" si="30"/>
        <v>0.56634675587658267</v>
      </c>
      <c r="AA119" s="338">
        <f t="shared" si="31"/>
        <v>0.32117193346623207</v>
      </c>
      <c r="AB119" s="338">
        <f t="shared" si="32"/>
        <v>0.11248131065718525</v>
      </c>
      <c r="AC119" s="338">
        <f t="shared" si="33"/>
        <v>0.34625746443394445</v>
      </c>
      <c r="AD119" s="609"/>
      <c r="AE119" s="346">
        <f>MIN('WTE Tonnes and Composition'!G73,V119)</f>
        <v>273.17799049209589</v>
      </c>
      <c r="AF119" s="335">
        <f t="shared" si="41"/>
        <v>0.84910181677369334</v>
      </c>
      <c r="AG119" s="335">
        <f t="shared" si="34"/>
        <v>1.1399926564403824</v>
      </c>
      <c r="AH119" s="335">
        <f t="shared" si="35"/>
        <v>0.23854146130964735</v>
      </c>
      <c r="AI119" s="711">
        <f t="shared" si="42"/>
        <v>2.2276359345237231</v>
      </c>
      <c r="AK119" s="610">
        <f t="shared" si="43"/>
        <v>1141.4104313109044</v>
      </c>
      <c r="AL119" s="338">
        <f t="shared" si="36"/>
        <v>0.52749516254039586</v>
      </c>
      <c r="AM119" s="335">
        <f t="shared" si="37"/>
        <v>646.43409489662167</v>
      </c>
      <c r="AN119" s="335">
        <f t="shared" si="44"/>
        <v>366.58899510264905</v>
      </c>
      <c r="AO119" s="335">
        <f t="shared" si="38"/>
        <v>128.38734131163363</v>
      </c>
      <c r="AP119" s="335">
        <f t="shared" si="45"/>
        <v>128.15804447611927</v>
      </c>
      <c r="AQ119" s="335">
        <f t="shared" si="39"/>
        <v>102.66693084092992</v>
      </c>
      <c r="AR119" s="335">
        <f t="shared" si="40"/>
        <v>44.025629934898447</v>
      </c>
      <c r="AS119" s="335">
        <f t="shared" si="47"/>
        <v>274.85060525194763</v>
      </c>
      <c r="AT119" s="712">
        <f t="shared" si="46"/>
        <v>0.24079910057969509</v>
      </c>
      <c r="AU119" s="723"/>
      <c r="AV119" s="609"/>
      <c r="AW119" s="968"/>
      <c r="BQ119" s="609"/>
      <c r="BR119" s="609"/>
      <c r="BS119" s="609"/>
      <c r="BT119" s="609"/>
      <c r="BU119" s="609"/>
      <c r="BV119" s="609"/>
    </row>
    <row r="120" spans="2:74" ht="14.4" x14ac:dyDescent="0.55000000000000004">
      <c r="B120" s="3">
        <v>2021</v>
      </c>
      <c r="C120" s="707">
        <f>Compost!E12</f>
        <v>173.92674888400089</v>
      </c>
      <c r="D120" s="338">
        <f t="shared" si="20"/>
        <v>0.18289843632699268</v>
      </c>
      <c r="F120" s="3">
        <v>2021</v>
      </c>
      <c r="G120" s="707">
        <f>'H&amp;C Recycling'!E12</f>
        <v>318.56706004052148</v>
      </c>
      <c r="H120" s="338">
        <f t="shared" si="21"/>
        <v>0.41269597581276546</v>
      </c>
      <c r="I120" s="609"/>
      <c r="J120" s="3">
        <v>2021</v>
      </c>
      <c r="K120" s="335">
        <f t="shared" si="22"/>
        <v>1669.652587623847</v>
      </c>
      <c r="L120" s="338">
        <f t="shared" si="23"/>
        <v>0.46537849757691863</v>
      </c>
      <c r="M120" s="338">
        <f t="shared" si="24"/>
        <v>0.27152354504315673</v>
      </c>
      <c r="N120" s="338">
        <f t="shared" si="25"/>
        <v>0.26309795737992475</v>
      </c>
      <c r="P120" s="3">
        <v>2021</v>
      </c>
      <c r="Q120" s="707">
        <f>Paper!F13</f>
        <v>205.00634445125723</v>
      </c>
      <c r="R120" s="335">
        <f t="shared" si="19"/>
        <v>439.28218533793995</v>
      </c>
      <c r="S120" s="707">
        <f>Paper!G13</f>
        <v>265.82489330513022</v>
      </c>
      <c r="V120" s="335">
        <f t="shared" si="26"/>
        <v>1388.3333971552647</v>
      </c>
      <c r="W120" s="335">
        <f t="shared" si="27"/>
        <v>777.02041270380039</v>
      </c>
      <c r="X120" s="335">
        <f t="shared" si="28"/>
        <v>453.34998958210679</v>
      </c>
      <c r="Y120" s="335">
        <f t="shared" si="29"/>
        <v>157.96299486935754</v>
      </c>
      <c r="Z120" s="338">
        <f t="shared" si="30"/>
        <v>0.55967854284564333</v>
      </c>
      <c r="AA120" s="338">
        <f t="shared" si="31"/>
        <v>0.32654259453171264</v>
      </c>
      <c r="AB120" s="338">
        <f t="shared" si="32"/>
        <v>0.11377886262264401</v>
      </c>
      <c r="AC120" s="338">
        <f t="shared" si="33"/>
        <v>0.35789112181691896</v>
      </c>
      <c r="AD120" s="609"/>
      <c r="AE120" s="346">
        <f>MIN('WTE Tonnes and Composition'!G74,V120)</f>
        <v>297.36425092534949</v>
      </c>
      <c r="AF120" s="335">
        <f t="shared" si="41"/>
        <v>0.83910442252634565</v>
      </c>
      <c r="AG120" s="335">
        <f t="shared" si="34"/>
        <v>1.1590556988077563</v>
      </c>
      <c r="AH120" s="335">
        <f t="shared" si="35"/>
        <v>0.24129320682325606</v>
      </c>
      <c r="AI120" s="711">
        <f t="shared" si="42"/>
        <v>2.2394533281573579</v>
      </c>
      <c r="AK120" s="610">
        <f t="shared" si="43"/>
        <v>1090.9691462299152</v>
      </c>
      <c r="AL120" s="338">
        <f t="shared" si="36"/>
        <v>0.50457690930250065</v>
      </c>
      <c r="AM120" s="335">
        <f t="shared" si="37"/>
        <v>610.5920220515145</v>
      </c>
      <c r="AN120" s="335">
        <f t="shared" si="44"/>
        <v>356.24789556396388</v>
      </c>
      <c r="AO120" s="335">
        <f t="shared" si="38"/>
        <v>124.12922861443674</v>
      </c>
      <c r="AP120" s="335">
        <f t="shared" si="45"/>
        <v>121.05221574266713</v>
      </c>
      <c r="AQ120" s="335">
        <f t="shared" si="39"/>
        <v>99.770802028170337</v>
      </c>
      <c r="AR120" s="335">
        <f t="shared" si="40"/>
        <v>42.565469673671075</v>
      </c>
      <c r="AS120" s="335">
        <f t="shared" si="47"/>
        <v>263.38848744450854</v>
      </c>
      <c r="AT120" s="712">
        <f t="shared" si="46"/>
        <v>0.24142615614264218</v>
      </c>
      <c r="AU120" s="723"/>
      <c r="AV120" s="609"/>
      <c r="AW120" s="968"/>
      <c r="BQ120" s="609"/>
      <c r="BR120" s="609"/>
      <c r="BS120" s="609"/>
      <c r="BT120" s="609"/>
      <c r="BU120" s="609"/>
      <c r="BV120" s="609"/>
    </row>
    <row r="121" spans="2:74" ht="14.4" x14ac:dyDescent="0.55000000000000004">
      <c r="B121" s="3">
        <v>2022</v>
      </c>
      <c r="C121" s="707">
        <f>Compost!E13</f>
        <v>181.06223349464767</v>
      </c>
      <c r="D121" s="338">
        <f t="shared" si="20"/>
        <v>0.19397541280765521</v>
      </c>
      <c r="F121" s="3">
        <v>2022</v>
      </c>
      <c r="G121" s="707">
        <f>'H&amp;C Recycling'!E13</f>
        <v>327.16027319774361</v>
      </c>
      <c r="H121" s="338">
        <f t="shared" si="21"/>
        <v>0.41974690611427923</v>
      </c>
      <c r="I121" s="609"/>
      <c r="J121" s="3">
        <v>2022</v>
      </c>
      <c r="K121" s="335">
        <f t="shared" si="22"/>
        <v>1652.2009370257949</v>
      </c>
      <c r="L121" s="338">
        <f t="shared" si="23"/>
        <v>0.45537230525112499</v>
      </c>
      <c r="M121" s="338">
        <f t="shared" si="24"/>
        <v>0.27373331640105775</v>
      </c>
      <c r="N121" s="338">
        <f t="shared" si="25"/>
        <v>0.27089437834781727</v>
      </c>
      <c r="P121" s="3">
        <v>2022</v>
      </c>
      <c r="Q121" s="707">
        <f>Paper!F14</f>
        <v>212.19173278956757</v>
      </c>
      <c r="R121" s="335">
        <f t="shared" si="19"/>
        <v>447.57194574128391</v>
      </c>
      <c r="S121" s="707">
        <f>Paper!G14</f>
        <v>275.14194685047261</v>
      </c>
      <c r="V121" s="335">
        <f t="shared" si="26"/>
        <v>1361.7806150888014</v>
      </c>
      <c r="W121" s="335">
        <f t="shared" si="27"/>
        <v>752.36654943150506</v>
      </c>
      <c r="X121" s="335">
        <f t="shared" si="28"/>
        <v>452.26244185300601</v>
      </c>
      <c r="Y121" s="335">
        <f t="shared" si="29"/>
        <v>157.1516238042903</v>
      </c>
      <c r="Z121" s="338">
        <f t="shared" si="30"/>
        <v>0.55248733980725917</v>
      </c>
      <c r="AA121" s="338">
        <f t="shared" si="31"/>
        <v>0.33211108811643208</v>
      </c>
      <c r="AB121" s="338">
        <f t="shared" si="32"/>
        <v>0.11540157207630869</v>
      </c>
      <c r="AC121" s="338">
        <f t="shared" si="33"/>
        <v>0.36966958072575096</v>
      </c>
      <c r="AD121" s="609"/>
      <c r="AE121" s="346">
        <f>MIN('WTE Tonnes and Composition'!G75,V121)</f>
        <v>322.81854120686864</v>
      </c>
      <c r="AF121" s="335">
        <f t="shared" si="41"/>
        <v>0.8283229295605572</v>
      </c>
      <c r="AG121" s="335">
        <f t="shared" si="34"/>
        <v>1.1788209433155954</v>
      </c>
      <c r="AH121" s="335">
        <f t="shared" si="35"/>
        <v>0.244734520603266</v>
      </c>
      <c r="AI121" s="711">
        <f t="shared" si="42"/>
        <v>2.2518783934794189</v>
      </c>
      <c r="AK121" s="610">
        <f t="shared" si="43"/>
        <v>1038.9620738819326</v>
      </c>
      <c r="AL121" s="338">
        <f t="shared" si="36"/>
        <v>0.48090668378132018</v>
      </c>
      <c r="AM121" s="335">
        <f t="shared" si="37"/>
        <v>574.01339235966202</v>
      </c>
      <c r="AN121" s="335">
        <f t="shared" si="44"/>
        <v>345.05082486863353</v>
      </c>
      <c r="AO121" s="335">
        <f t="shared" si="38"/>
        <v>119.89785665363701</v>
      </c>
      <c r="AP121" s="335">
        <f t="shared" si="45"/>
        <v>113.80036178271531</v>
      </c>
      <c r="AQ121" s="335">
        <f t="shared" si="39"/>
        <v>96.634949893884112</v>
      </c>
      <c r="AR121" s="335">
        <f t="shared" si="40"/>
        <v>41.114479146412648</v>
      </c>
      <c r="AS121" s="335">
        <f t="shared" si="47"/>
        <v>251.54979082301207</v>
      </c>
      <c r="AT121" s="712">
        <f t="shared" si="46"/>
        <v>0.24211643249222023</v>
      </c>
      <c r="AU121" s="723"/>
      <c r="AV121" s="609"/>
      <c r="AW121" s="968"/>
      <c r="BQ121" s="609"/>
      <c r="BR121" s="609"/>
      <c r="BS121" s="609"/>
      <c r="BT121" s="609"/>
      <c r="BU121" s="609"/>
      <c r="BV121" s="609"/>
    </row>
    <row r="122" spans="2:74" ht="14.4" x14ac:dyDescent="0.55000000000000004">
      <c r="B122" s="3">
        <v>2023</v>
      </c>
      <c r="C122" s="707">
        <f>Compost!E14</f>
        <v>188.27708525069994</v>
      </c>
      <c r="D122" s="338">
        <f t="shared" si="20"/>
        <v>0.20571782987747503</v>
      </c>
      <c r="F122" s="3">
        <v>2023</v>
      </c>
      <c r="G122" s="707">
        <f>'H&amp;C Recycling'!E14</f>
        <v>335.73870719203529</v>
      </c>
      <c r="H122" s="338">
        <f t="shared" si="21"/>
        <v>0.42679979910857579</v>
      </c>
      <c r="I122" s="609"/>
      <c r="J122" s="3">
        <v>2023</v>
      </c>
      <c r="K122" s="335">
        <f t="shared" si="22"/>
        <v>1633.917999846449</v>
      </c>
      <c r="L122" s="338">
        <f t="shared" si="23"/>
        <v>0.44490787050728053</v>
      </c>
      <c r="M122" s="338">
        <f t="shared" si="24"/>
        <v>0.2759645420057999</v>
      </c>
      <c r="N122" s="338">
        <f t="shared" si="25"/>
        <v>0.27912758748691952</v>
      </c>
      <c r="P122" s="3">
        <v>2023</v>
      </c>
      <c r="Q122" s="707">
        <f>Paper!F15</f>
        <v>219.73440559422301</v>
      </c>
      <c r="R122" s="335">
        <f t="shared" si="19"/>
        <v>456.07158944859225</v>
      </c>
      <c r="S122" s="707">
        <f>Paper!G15</f>
        <v>284.92227925384248</v>
      </c>
      <c r="V122" s="335">
        <f t="shared" si="26"/>
        <v>1333.9280666898937</v>
      </c>
      <c r="W122" s="335">
        <f t="shared" si="27"/>
        <v>726.94297789519874</v>
      </c>
      <c r="X122" s="335">
        <f t="shared" si="28"/>
        <v>450.90343250265795</v>
      </c>
      <c r="Y122" s="335">
        <f t="shared" si="29"/>
        <v>156.08165629203683</v>
      </c>
      <c r="Z122" s="338">
        <f t="shared" si="30"/>
        <v>0.54496415215183824</v>
      </c>
      <c r="AA122" s="338">
        <f t="shared" si="31"/>
        <v>0.33802679751807202</v>
      </c>
      <c r="AB122" s="338">
        <f t="shared" si="32"/>
        <v>0.11700905033008956</v>
      </c>
      <c r="AC122" s="338">
        <f t="shared" si="33"/>
        <v>0.38184940082205521</v>
      </c>
      <c r="AE122" s="346">
        <f>MIN('WTE Tonnes and Composition'!G76,V122)</f>
        <v>348.23572707903827</v>
      </c>
      <c r="AF122" s="335">
        <f t="shared" si="41"/>
        <v>0.81704370488086397</v>
      </c>
      <c r="AG122" s="335">
        <f t="shared" si="34"/>
        <v>1.1998186226667207</v>
      </c>
      <c r="AH122" s="335">
        <f t="shared" si="35"/>
        <v>0.24814353326003552</v>
      </c>
      <c r="AI122" s="711">
        <f t="shared" si="42"/>
        <v>2.2650058608076202</v>
      </c>
      <c r="AK122" s="610">
        <f t="shared" si="43"/>
        <v>985.69233961085547</v>
      </c>
      <c r="AL122" s="338">
        <f t="shared" si="36"/>
        <v>0.45677598781434864</v>
      </c>
      <c r="AM122" s="335">
        <f t="shared" si="37"/>
        <v>537.1669901385917</v>
      </c>
      <c r="AN122" s="335">
        <f t="shared" si="44"/>
        <v>333.19042489675331</v>
      </c>
      <c r="AO122" s="335">
        <f t="shared" si="38"/>
        <v>115.33492457551031</v>
      </c>
      <c r="AP122" s="335">
        <f t="shared" si="45"/>
        <v>106.49542088941655</v>
      </c>
      <c r="AQ122" s="335">
        <f t="shared" si="39"/>
        <v>93.3133257318772</v>
      </c>
      <c r="AR122" s="335">
        <f t="shared" si="40"/>
        <v>39.549792495552936</v>
      </c>
      <c r="AS122" s="335">
        <f t="shared" si="47"/>
        <v>239.35853911684669</v>
      </c>
      <c r="AT122" s="712">
        <f t="shared" si="46"/>
        <v>0.24283290992333753</v>
      </c>
      <c r="AU122" s="723"/>
      <c r="AV122" s="609"/>
      <c r="AW122" s="968"/>
      <c r="BQ122" s="609"/>
      <c r="BR122" s="609"/>
      <c r="BS122" s="609"/>
      <c r="BT122" s="609"/>
      <c r="BU122" s="609"/>
      <c r="BV122" s="609"/>
    </row>
    <row r="123" spans="2:74" ht="14.4" x14ac:dyDescent="0.55000000000000004">
      <c r="B123" s="3">
        <v>2024</v>
      </c>
      <c r="C123" s="707">
        <f>Compost!E15</f>
        <v>195.56542141078231</v>
      </c>
      <c r="D123" s="338">
        <f t="shared" si="20"/>
        <v>0.21807446559480581</v>
      </c>
      <c r="F123" s="3">
        <v>2024</v>
      </c>
      <c r="G123" s="707">
        <f>'H&amp;C Recycling'!E15</f>
        <v>344.29326204271939</v>
      </c>
      <c r="H123" s="338">
        <f t="shared" si="21"/>
        <v>0.43409904336326954</v>
      </c>
      <c r="I123" s="609"/>
      <c r="J123" s="3">
        <v>2024</v>
      </c>
      <c r="K123" s="335">
        <f t="shared" si="22"/>
        <v>1614.8093354484708</v>
      </c>
      <c r="L123" s="338">
        <f t="shared" si="23"/>
        <v>0.43424156922443863</v>
      </c>
      <c r="M123" s="338">
        <f t="shared" si="24"/>
        <v>0.27794500350835644</v>
      </c>
      <c r="N123" s="338">
        <f t="shared" si="25"/>
        <v>0.28781342726720499</v>
      </c>
      <c r="P123" s="3">
        <v>2024</v>
      </c>
      <c r="Q123" s="707">
        <f>Paper!F16</f>
        <v>227.64186188428988</v>
      </c>
      <c r="R123" s="335">
        <f t="shared" si="19"/>
        <v>464.76380921850205</v>
      </c>
      <c r="S123" s="707">
        <f>Paper!G16</f>
        <v>295.17561424329585</v>
      </c>
      <c r="V123" s="335">
        <f t="shared" si="26"/>
        <v>1304.7691535035574</v>
      </c>
      <c r="W123" s="335">
        <f t="shared" si="27"/>
        <v>701.21733982341686</v>
      </c>
      <c r="X123" s="335">
        <f t="shared" si="28"/>
        <v>448.82818640655199</v>
      </c>
      <c r="Y123" s="335">
        <f t="shared" si="29"/>
        <v>154.72362727358876</v>
      </c>
      <c r="Z123" s="338">
        <f t="shared" si="30"/>
        <v>0.53742636231130447</v>
      </c>
      <c r="AA123" s="338">
        <f t="shared" si="31"/>
        <v>0.34399049456477537</v>
      </c>
      <c r="AB123" s="338">
        <f t="shared" si="32"/>
        <v>0.11858314312392036</v>
      </c>
      <c r="AC123" s="338">
        <f t="shared" si="33"/>
        <v>0.39444538923983619</v>
      </c>
      <c r="AE123" s="346">
        <f>MIN('WTE Tonnes and Composition'!G77,V123)</f>
        <v>373.61608173336145</v>
      </c>
      <c r="AF123" s="335">
        <f t="shared" si="41"/>
        <v>0.80574258770901908</v>
      </c>
      <c r="AG123" s="335">
        <f t="shared" si="34"/>
        <v>1.2209866330999606</v>
      </c>
      <c r="AH123" s="335">
        <f t="shared" si="35"/>
        <v>0.25148174467563483</v>
      </c>
      <c r="AI123" s="711">
        <f t="shared" si="42"/>
        <v>2.2782109654846145</v>
      </c>
      <c r="AK123" s="610">
        <f t="shared" si="43"/>
        <v>931.15307177019599</v>
      </c>
      <c r="AL123" s="338">
        <f t="shared" si="36"/>
        <v>0.43215616679766533</v>
      </c>
      <c r="AM123" s="335">
        <f t="shared" si="37"/>
        <v>500.42620811645344</v>
      </c>
      <c r="AN123" s="335">
        <f t="shared" si="44"/>
        <v>320.30780567373949</v>
      </c>
      <c r="AO123" s="335">
        <f t="shared" si="38"/>
        <v>110.41905798000325</v>
      </c>
      <c r="AP123" s="335">
        <f t="shared" si="45"/>
        <v>99.211419606604252</v>
      </c>
      <c r="AQ123" s="335">
        <f t="shared" si="39"/>
        <v>89.705418799349545</v>
      </c>
      <c r="AR123" s="335">
        <f t="shared" si="40"/>
        <v>37.864080171175111</v>
      </c>
      <c r="AS123" s="335">
        <f t="shared" si="47"/>
        <v>226.78091857712892</v>
      </c>
      <c r="AT123" s="712">
        <f t="shared" si="46"/>
        <v>0.24354848354417213</v>
      </c>
      <c r="AU123" s="723"/>
      <c r="AV123" s="609"/>
      <c r="AW123" s="968"/>
      <c r="BQ123" s="609"/>
      <c r="BR123" s="609"/>
      <c r="BS123" s="609"/>
      <c r="BT123" s="609"/>
      <c r="BU123" s="609"/>
      <c r="BV123" s="609"/>
    </row>
    <row r="124" spans="2:74" ht="14.4" x14ac:dyDescent="0.55000000000000004">
      <c r="B124" s="3">
        <v>2025</v>
      </c>
      <c r="C124" s="707">
        <f>Compost!E16</f>
        <v>202.65080862506096</v>
      </c>
      <c r="D124" s="338">
        <f t="shared" si="20"/>
        <v>0.23130327032532963</v>
      </c>
      <c r="F124" s="3">
        <v>2025</v>
      </c>
      <c r="G124" s="707">
        <f>'H&amp;C Recycling'!E16</f>
        <v>352.66490326431153</v>
      </c>
      <c r="H124" s="338">
        <f t="shared" si="21"/>
        <v>0.44138011802050131</v>
      </c>
      <c r="I124" s="609"/>
      <c r="J124" s="3">
        <v>2025</v>
      </c>
      <c r="K124" s="335">
        <f t="shared" si="22"/>
        <v>1594.2698103257355</v>
      </c>
      <c r="L124" s="338">
        <f t="shared" si="23"/>
        <v>0.42243488857299544</v>
      </c>
      <c r="M124" s="338">
        <f t="shared" si="24"/>
        <v>0.27996519360255345</v>
      </c>
      <c r="N124" s="338">
        <f t="shared" si="25"/>
        <v>0.29759991782445105</v>
      </c>
      <c r="P124" s="3">
        <v>2025</v>
      </c>
      <c r="Q124" s="707">
        <f>Paper!F17</f>
        <v>236.83853075631973</v>
      </c>
      <c r="R124" s="335">
        <f t="shared" si="19"/>
        <v>474.45456454294208</v>
      </c>
      <c r="S124" s="707">
        <f>Paper!G17</f>
        <v>307.10062821402789</v>
      </c>
      <c r="V124" s="335">
        <f t="shared" si="26"/>
        <v>1272.5012298530207</v>
      </c>
      <c r="W124" s="335">
        <f t="shared" si="27"/>
        <v>673.47518968024269</v>
      </c>
      <c r="X124" s="335">
        <f t="shared" si="28"/>
        <v>446.34005610255076</v>
      </c>
      <c r="Y124" s="335">
        <f t="shared" si="29"/>
        <v>152.68598407022733</v>
      </c>
      <c r="Z124" s="338">
        <f t="shared" si="30"/>
        <v>0.52925307565952762</v>
      </c>
      <c r="AA124" s="338">
        <f t="shared" si="31"/>
        <v>0.35075805479111788</v>
      </c>
      <c r="AB124" s="338">
        <f t="shared" si="32"/>
        <v>0.11998886954935455</v>
      </c>
      <c r="AC124" s="338">
        <f t="shared" si="33"/>
        <v>0.40802484167192765</v>
      </c>
      <c r="AE124" s="346">
        <f>MIN('WTE Tonnes and Composition'!G78,V124)</f>
        <v>396.94034470855428</v>
      </c>
      <c r="AF124" s="335">
        <f t="shared" si="41"/>
        <v>0.79348869471320882</v>
      </c>
      <c r="AG124" s="335">
        <f t="shared" si="34"/>
        <v>1.2450079380651393</v>
      </c>
      <c r="AH124" s="335">
        <f t="shared" si="35"/>
        <v>0.25446289802249294</v>
      </c>
      <c r="AI124" s="711">
        <f t="shared" si="42"/>
        <v>2.2929595308008413</v>
      </c>
      <c r="AK124" s="610">
        <f t="shared" si="43"/>
        <v>875.56088514446651</v>
      </c>
      <c r="AL124" s="338">
        <f t="shared" si="36"/>
        <v>0.40731614355227758</v>
      </c>
      <c r="AM124" s="335">
        <f t="shared" si="37"/>
        <v>463.39329138988728</v>
      </c>
      <c r="AN124" s="335">
        <f t="shared" si="44"/>
        <v>307.11003292446247</v>
      </c>
      <c r="AO124" s="335">
        <f t="shared" si="38"/>
        <v>105.05756083011678</v>
      </c>
      <c r="AP124" s="335">
        <f t="shared" si="45"/>
        <v>91.869501495551205</v>
      </c>
      <c r="AQ124" s="335">
        <f t="shared" si="39"/>
        <v>86.009249955751486</v>
      </c>
      <c r="AR124" s="335">
        <f t="shared" si="40"/>
        <v>36.025555539334903</v>
      </c>
      <c r="AS124" s="335">
        <f t="shared" si="47"/>
        <v>213.90430699063759</v>
      </c>
      <c r="AT124" s="712">
        <f t="shared" si="46"/>
        <v>0.24430546249829746</v>
      </c>
      <c r="AU124" s="723"/>
      <c r="AV124" s="609"/>
      <c r="AW124" s="968"/>
      <c r="BQ124" s="609"/>
      <c r="BR124" s="609"/>
      <c r="BS124" s="609"/>
      <c r="BT124" s="609"/>
      <c r="BU124" s="609"/>
      <c r="BV124" s="609"/>
    </row>
    <row r="125" spans="2:74" ht="14.4" x14ac:dyDescent="0.55000000000000004">
      <c r="B125" s="3">
        <v>2026</v>
      </c>
      <c r="C125" s="707">
        <f>Compost!E17</f>
        <v>211.06749222219909</v>
      </c>
      <c r="D125" s="338">
        <f t="shared" si="20"/>
        <v>0.24487252273125276</v>
      </c>
      <c r="F125" s="3">
        <v>2026</v>
      </c>
      <c r="G125" s="707">
        <f>'H&amp;C Recycling'!E17</f>
        <v>362.54982004813644</v>
      </c>
      <c r="H125" s="338">
        <f t="shared" si="21"/>
        <v>0.44873017788984854</v>
      </c>
      <c r="I125" s="609"/>
      <c r="J125" s="3">
        <v>2026</v>
      </c>
      <c r="K125" s="335">
        <f t="shared" si="22"/>
        <v>1580.6071313961688</v>
      </c>
      <c r="L125" s="338">
        <f t="shared" si="23"/>
        <v>0.41179174011193831</v>
      </c>
      <c r="M125" s="338">
        <f t="shared" si="24"/>
        <v>0.28178813195906</v>
      </c>
      <c r="N125" s="338">
        <f t="shared" si="25"/>
        <v>0.30642012792900164</v>
      </c>
      <c r="P125" s="3">
        <v>2026</v>
      </c>
      <c r="Q125" s="707">
        <f>Paper!F18</f>
        <v>244.58207588345104</v>
      </c>
      <c r="R125" s="335">
        <f t="shared" si="19"/>
        <v>484.32983940790632</v>
      </c>
      <c r="S125" s="707">
        <f>Paper!G18</f>
        <v>317.14142506220816</v>
      </c>
      <c r="V125" s="335">
        <f t="shared" si="26"/>
        <v>1248.9916107711219</v>
      </c>
      <c r="W125" s="335">
        <f t="shared" si="27"/>
        <v>650.88096107096749</v>
      </c>
      <c r="X125" s="335">
        <f t="shared" si="28"/>
        <v>445.3963309172949</v>
      </c>
      <c r="Y125" s="335">
        <f t="shared" si="29"/>
        <v>152.71431878285949</v>
      </c>
      <c r="Z125" s="338">
        <f t="shared" si="30"/>
        <v>0.52112516646057894</v>
      </c>
      <c r="AA125" s="338">
        <f t="shared" si="31"/>
        <v>0.35660474183834523</v>
      </c>
      <c r="AB125" s="338">
        <f t="shared" si="32"/>
        <v>0.12227009170107583</v>
      </c>
      <c r="AC125" s="338">
        <f t="shared" si="33"/>
        <v>0.42021286851367723</v>
      </c>
      <c r="AE125" s="346">
        <f>MIN('WTE Tonnes and Composition'!G79,V125)</f>
        <v>423.67644056405226</v>
      </c>
      <c r="AF125" s="335">
        <f t="shared" si="41"/>
        <v>0.78130283437978632</v>
      </c>
      <c r="AG125" s="335">
        <f t="shared" si="34"/>
        <v>1.265760624099721</v>
      </c>
      <c r="AH125" s="335">
        <f t="shared" si="35"/>
        <v>0.259300733414561</v>
      </c>
      <c r="AI125" s="711">
        <f t="shared" si="42"/>
        <v>2.3063641918940685</v>
      </c>
      <c r="AK125" s="610">
        <f t="shared" si="43"/>
        <v>825.31517020706974</v>
      </c>
      <c r="AL125" s="338">
        <f t="shared" si="36"/>
        <v>0.38311475511919169</v>
      </c>
      <c r="AM125" s="335">
        <f t="shared" si="37"/>
        <v>430.09250545660024</v>
      </c>
      <c r="AN125" s="335">
        <f t="shared" si="44"/>
        <v>294.31130320696207</v>
      </c>
      <c r="AO125" s="335">
        <f t="shared" si="38"/>
        <v>100.91136154350743</v>
      </c>
      <c r="AP125" s="335">
        <f t="shared" si="45"/>
        <v>85.267492662136519</v>
      </c>
      <c r="AQ125" s="335">
        <f t="shared" si="39"/>
        <v>82.424837121998976</v>
      </c>
      <c r="AR125" s="335">
        <f t="shared" si="40"/>
        <v>34.603771790534253</v>
      </c>
      <c r="AS125" s="335">
        <f t="shared" si="47"/>
        <v>202.29610157466976</v>
      </c>
      <c r="AT125" s="712">
        <f t="shared" si="46"/>
        <v>0.24511375638947011</v>
      </c>
      <c r="AU125" s="723"/>
      <c r="AV125" s="609"/>
      <c r="AW125" s="968"/>
      <c r="BQ125" s="609"/>
      <c r="BR125" s="609"/>
      <c r="BS125" s="609"/>
      <c r="BT125" s="609"/>
      <c r="BU125" s="609"/>
      <c r="BV125" s="609"/>
    </row>
    <row r="126" spans="2:74" ht="14.4" x14ac:dyDescent="0.55000000000000004">
      <c r="B126" s="3">
        <v>2027</v>
      </c>
      <c r="C126" s="707">
        <f>Compost!E18</f>
        <v>219.65228833518719</v>
      </c>
      <c r="D126" s="338">
        <f t="shared" si="20"/>
        <v>0.25913026621374352</v>
      </c>
      <c r="F126" s="3">
        <v>2027</v>
      </c>
      <c r="G126" s="707">
        <f>'H&amp;C Recycling'!E18</f>
        <v>372.84922348795908</v>
      </c>
      <c r="H126" s="338">
        <f t="shared" si="21"/>
        <v>0.45614996520785311</v>
      </c>
      <c r="I126" s="609"/>
      <c r="J126" s="3">
        <v>2027</v>
      </c>
      <c r="K126" s="335">
        <f t="shared" si="22"/>
        <v>1568.5151024983652</v>
      </c>
      <c r="L126" s="338">
        <f t="shared" si="23"/>
        <v>0.40037849195732772</v>
      </c>
      <c r="M126" s="338">
        <f t="shared" si="24"/>
        <v>0.28341057607891401</v>
      </c>
      <c r="N126" s="338">
        <f t="shared" si="25"/>
        <v>0.31621093196375827</v>
      </c>
      <c r="P126" s="3">
        <v>2027</v>
      </c>
      <c r="Q126" s="707">
        <f>Paper!F19</f>
        <v>253.63080836108202</v>
      </c>
      <c r="R126" s="335">
        <f t="shared" si="19"/>
        <v>495.98162236023791</v>
      </c>
      <c r="S126" s="707">
        <f>Paper!G19</f>
        <v>328.87461484153636</v>
      </c>
      <c r="V126" s="335">
        <f t="shared" si="26"/>
        <v>1225.3587862406041</v>
      </c>
      <c r="W126" s="335">
        <f t="shared" si="27"/>
        <v>627.99971135058877</v>
      </c>
      <c r="X126" s="335">
        <f t="shared" si="28"/>
        <v>444.53376878753852</v>
      </c>
      <c r="Y126" s="335">
        <f t="shared" si="29"/>
        <v>152.82530610247682</v>
      </c>
      <c r="Z126" s="338">
        <f t="shared" si="30"/>
        <v>0.51250272034796385</v>
      </c>
      <c r="AA126" s="338">
        <f t="shared" si="31"/>
        <v>0.36277845621964028</v>
      </c>
      <c r="AB126" s="338">
        <f t="shared" si="32"/>
        <v>0.12471882343239588</v>
      </c>
      <c r="AC126" s="338">
        <f t="shared" si="33"/>
        <v>0.43297114047162166</v>
      </c>
      <c r="AE126" s="346">
        <f>MIN('WTE Tonnes and Composition'!G80,V126)</f>
        <v>448.33821664518143</v>
      </c>
      <c r="AF126" s="335">
        <f t="shared" si="41"/>
        <v>0.76837553395246616</v>
      </c>
      <c r="AG126" s="335">
        <f t="shared" si="34"/>
        <v>1.2876740864053453</v>
      </c>
      <c r="AH126" s="335">
        <f t="shared" si="35"/>
        <v>0.26449380986549825</v>
      </c>
      <c r="AI126" s="711">
        <f t="shared" si="42"/>
        <v>2.3205434302233097</v>
      </c>
      <c r="AK126" s="610">
        <f t="shared" si="43"/>
        <v>777.02056959542267</v>
      </c>
      <c r="AL126" s="338">
        <f t="shared" si="36"/>
        <v>0.35956251536704714</v>
      </c>
      <c r="AM126" s="335">
        <f t="shared" si="37"/>
        <v>398.22515568397847</v>
      </c>
      <c r="AN126" s="335">
        <f t="shared" si="44"/>
        <v>281.886322688733</v>
      </c>
      <c r="AO126" s="335">
        <f t="shared" si="38"/>
        <v>96.909091222711197</v>
      </c>
      <c r="AP126" s="335">
        <f t="shared" si="45"/>
        <v>78.949668058301469</v>
      </c>
      <c r="AQ126" s="335">
        <f t="shared" si="39"/>
        <v>78.94509650619645</v>
      </c>
      <c r="AR126" s="335">
        <f t="shared" si="40"/>
        <v>33.23134308967731</v>
      </c>
      <c r="AS126" s="335">
        <f t="shared" si="47"/>
        <v>191.1261076541752</v>
      </c>
      <c r="AT126" s="712">
        <f t="shared" si="46"/>
        <v>0.24597303486275829</v>
      </c>
      <c r="AU126" s="723"/>
      <c r="AV126" s="609"/>
      <c r="BQ126" s="609"/>
      <c r="BR126" s="609"/>
      <c r="BS126" s="609"/>
      <c r="BT126" s="609"/>
      <c r="BU126" s="609"/>
      <c r="BV126" s="609"/>
    </row>
    <row r="127" spans="2:74" ht="14.4" x14ac:dyDescent="0.55000000000000004">
      <c r="B127" s="3">
        <v>2028</v>
      </c>
      <c r="C127" s="707">
        <f>Compost!E19</f>
        <v>228.34468948059947</v>
      </c>
      <c r="D127" s="338">
        <f t="shared" si="20"/>
        <v>0.2741402144017368</v>
      </c>
      <c r="F127" s="3">
        <v>2028</v>
      </c>
      <c r="G127" s="707">
        <f>'H&amp;C Recycling'!E19</f>
        <v>383.14165086648291</v>
      </c>
      <c r="H127" s="338">
        <f t="shared" si="21"/>
        <v>0.4636505150547332</v>
      </c>
      <c r="I127" s="609"/>
      <c r="J127" s="3">
        <v>2028</v>
      </c>
      <c r="K127" s="335">
        <f t="shared" si="22"/>
        <v>1555.634919982054</v>
      </c>
      <c r="L127" s="338">
        <f t="shared" si="23"/>
        <v>0.38865407041601102</v>
      </c>
      <c r="M127" s="338">
        <f t="shared" si="24"/>
        <v>0.2849107291288524</v>
      </c>
      <c r="N127" s="338">
        <f t="shared" si="25"/>
        <v>0.32643520045513658</v>
      </c>
      <c r="P127" s="3">
        <v>2028</v>
      </c>
      <c r="Q127" s="707">
        <f>Paper!F20</f>
        <v>266.11408809523505</v>
      </c>
      <c r="R127" s="335">
        <f t="shared" si="19"/>
        <v>507.81399693935214</v>
      </c>
      <c r="S127" s="707">
        <f>Paper!G20</f>
        <v>345.06126756348812</v>
      </c>
      <c r="V127" s="335">
        <f t="shared" si="26"/>
        <v>1196.4804631168217</v>
      </c>
      <c r="W127" s="335">
        <f t="shared" si="27"/>
        <v>604.60384373231091</v>
      </c>
      <c r="X127" s="335">
        <f t="shared" si="28"/>
        <v>443.217079310391</v>
      </c>
      <c r="Y127" s="335">
        <f t="shared" si="29"/>
        <v>148.65954007411983</v>
      </c>
      <c r="Z127" s="338">
        <f t="shared" si="30"/>
        <v>0.50531860934638484</v>
      </c>
      <c r="AA127" s="338">
        <f t="shared" si="31"/>
        <v>0.37043402961701033</v>
      </c>
      <c r="AB127" s="338">
        <f t="shared" si="32"/>
        <v>0.12424736103660478</v>
      </c>
      <c r="AC127" s="338">
        <f t="shared" si="33"/>
        <v>0.44789408649190976</v>
      </c>
      <c r="AE127" s="346">
        <f>MIN('WTE Tonnes and Composition'!G81,V127)</f>
        <v>472.43314509528648</v>
      </c>
      <c r="AF127" s="335">
        <f t="shared" si="41"/>
        <v>0.75760467380354013</v>
      </c>
      <c r="AG127" s="335">
        <f t="shared" si="34"/>
        <v>1.3148473744310245</v>
      </c>
      <c r="AH127" s="335">
        <f t="shared" si="35"/>
        <v>0.26349396973039069</v>
      </c>
      <c r="AI127" s="711">
        <f t="shared" si="42"/>
        <v>2.3359460179649552</v>
      </c>
      <c r="AK127" s="610">
        <f t="shared" si="43"/>
        <v>724.04731802153526</v>
      </c>
      <c r="AL127" s="338">
        <f t="shared" si="36"/>
        <v>0.33410558572600085</v>
      </c>
      <c r="AM127" s="335">
        <f t="shared" si="37"/>
        <v>365.87458384362185</v>
      </c>
      <c r="AN127" s="335">
        <f t="shared" si="44"/>
        <v>268.21176564810628</v>
      </c>
      <c r="AO127" s="335">
        <f t="shared" si="38"/>
        <v>89.96096852980709</v>
      </c>
      <c r="AP127" s="335">
        <f t="shared" si="45"/>
        <v>72.536042821830392</v>
      </c>
      <c r="AQ127" s="335">
        <f t="shared" si="39"/>
        <v>75.115399432018705</v>
      </c>
      <c r="AR127" s="335">
        <f t="shared" si="40"/>
        <v>30.84874465516679</v>
      </c>
      <c r="AS127" s="335">
        <f t="shared" si="47"/>
        <v>178.50018690901589</v>
      </c>
      <c r="AT127" s="712">
        <f t="shared" si="46"/>
        <v>0.24653110710605075</v>
      </c>
      <c r="AU127" s="723"/>
      <c r="AV127" s="609"/>
      <c r="BQ127" s="609"/>
      <c r="BR127" s="609"/>
      <c r="BS127" s="609"/>
      <c r="BT127" s="609"/>
      <c r="BU127" s="609"/>
      <c r="BV127" s="609"/>
    </row>
    <row r="128" spans="2:74" ht="14.4" x14ac:dyDescent="0.55000000000000004">
      <c r="B128" s="3">
        <v>2029</v>
      </c>
      <c r="C128" s="707">
        <f>Compost!E20</f>
        <v>237.14295530314223</v>
      </c>
      <c r="D128" s="338">
        <f t="shared" si="20"/>
        <v>0.28994964409164514</v>
      </c>
      <c r="F128" s="3">
        <v>2029</v>
      </c>
      <c r="G128" s="707">
        <f>'H&amp;C Recycling'!E20</f>
        <v>393.42427370673022</v>
      </c>
      <c r="H128" s="338">
        <f t="shared" si="21"/>
        <v>0.47123783604842251</v>
      </c>
      <c r="I128" s="609"/>
      <c r="J128" s="3">
        <v>2029</v>
      </c>
      <c r="K128" s="335">
        <f t="shared" si="22"/>
        <v>1542.0054620299857</v>
      </c>
      <c r="L128" s="338">
        <f t="shared" si="23"/>
        <v>0.37660916549682949</v>
      </c>
      <c r="M128" s="338">
        <f t="shared" si="24"/>
        <v>0.28628293298350693</v>
      </c>
      <c r="N128" s="338">
        <f t="shared" si="25"/>
        <v>0.33710790151966352</v>
      </c>
      <c r="P128" s="3">
        <v>2029</v>
      </c>
      <c r="Q128" s="707">
        <f>Paper!F21</f>
        <v>272.92703942026151</v>
      </c>
      <c r="R128" s="335">
        <f t="shared" si="19"/>
        <v>519.82222543678768</v>
      </c>
      <c r="S128" s="707">
        <f>Paper!G21</f>
        <v>353.89539444827244</v>
      </c>
      <c r="V128" s="335">
        <f t="shared" si="26"/>
        <v>1174.2013108786498</v>
      </c>
      <c r="W128" s="335">
        <f t="shared" si="27"/>
        <v>580.73339024666586</v>
      </c>
      <c r="X128" s="335">
        <f t="shared" si="28"/>
        <v>441.44984634653201</v>
      </c>
      <c r="Y128" s="335">
        <f t="shared" si="29"/>
        <v>152.01807428545175</v>
      </c>
      <c r="Z128" s="338">
        <f t="shared" si="30"/>
        <v>0.49457736494273336</v>
      </c>
      <c r="AA128" s="338">
        <f t="shared" si="31"/>
        <v>0.37595754855374586</v>
      </c>
      <c r="AB128" s="338">
        <f t="shared" si="32"/>
        <v>0.12946508650352065</v>
      </c>
      <c r="AC128" s="338">
        <f t="shared" si="33"/>
        <v>0.45953416623466714</v>
      </c>
      <c r="AE128" s="346">
        <f>MIN('WTE Tonnes and Composition'!G82,V128)</f>
        <v>496.30217363209351</v>
      </c>
      <c r="AF128" s="335">
        <f t="shared" si="41"/>
        <v>0.7415007409339428</v>
      </c>
      <c r="AG128" s="335">
        <f t="shared" si="34"/>
        <v>1.3344529824230751</v>
      </c>
      <c r="AH128" s="335">
        <f t="shared" si="35"/>
        <v>0.27455930894380043</v>
      </c>
      <c r="AI128" s="711">
        <f t="shared" si="42"/>
        <v>2.3505130323008183</v>
      </c>
      <c r="AK128" s="610">
        <f t="shared" si="43"/>
        <v>677.89913724655628</v>
      </c>
      <c r="AL128" s="338">
        <f t="shared" si="36"/>
        <v>0.31202598653769026</v>
      </c>
      <c r="AM128" s="335">
        <f t="shared" si="37"/>
        <v>335.27356899635413</v>
      </c>
      <c r="AN128" s="335">
        <f t="shared" si="44"/>
        <v>254.8612978059146</v>
      </c>
      <c r="AO128" s="335">
        <f t="shared" si="38"/>
        <v>87.764270444287419</v>
      </c>
      <c r="AP128" s="335">
        <f t="shared" si="45"/>
        <v>66.469273985267563</v>
      </c>
      <c r="AQ128" s="335">
        <f t="shared" si="39"/>
        <v>71.376466793671071</v>
      </c>
      <c r="AR128" s="335">
        <f t="shared" si="40"/>
        <v>30.095469324407791</v>
      </c>
      <c r="AS128" s="335">
        <f t="shared" si="47"/>
        <v>167.94121010334644</v>
      </c>
      <c r="AT128" s="712">
        <f t="shared" si="46"/>
        <v>0.24773775459499536</v>
      </c>
      <c r="AU128" s="723"/>
      <c r="AV128" s="609"/>
      <c r="BQ128" s="609"/>
      <c r="BR128" s="609"/>
      <c r="BS128" s="609"/>
      <c r="BT128" s="609"/>
      <c r="BU128" s="609"/>
      <c r="BV128" s="609"/>
    </row>
    <row r="129" spans="2:74" ht="14.4" x14ac:dyDescent="0.55000000000000004">
      <c r="B129" s="3">
        <v>2030</v>
      </c>
      <c r="C129" s="707">
        <f>Compost!E21</f>
        <v>246.32878267889808</v>
      </c>
      <c r="D129" s="338">
        <f t="shared" si="20"/>
        <v>0.30641441114696755</v>
      </c>
      <c r="F129" s="3">
        <v>2030</v>
      </c>
      <c r="G129" s="707">
        <f>'H&amp;C Recycling'!E21</f>
        <v>404.15961257089981</v>
      </c>
      <c r="H129" s="338">
        <f t="shared" si="21"/>
        <v>0.47891401888172158</v>
      </c>
      <c r="J129" s="3">
        <v>2030</v>
      </c>
      <c r="K129" s="335">
        <f t="shared" si="22"/>
        <v>1529.9414998492073</v>
      </c>
      <c r="L129" s="338">
        <f t="shared" si="23"/>
        <v>0.36444433971305362</v>
      </c>
      <c r="M129" s="338">
        <f t="shared" si="24"/>
        <v>0.28742856515687704</v>
      </c>
      <c r="N129" s="338">
        <f t="shared" si="25"/>
        <v>0.34812709513006929</v>
      </c>
      <c r="P129" s="3">
        <v>2030</v>
      </c>
      <c r="Q129" s="707">
        <f>Paper!F22</f>
        <v>283.19180913933087</v>
      </c>
      <c r="R129" s="335">
        <f t="shared" si="19"/>
        <v>532.61409006144584</v>
      </c>
      <c r="S129" s="707">
        <f>Paper!G22</f>
        <v>367.20537918399901</v>
      </c>
      <c r="V129" s="335">
        <f t="shared" si="26"/>
        <v>1149.007946889426</v>
      </c>
      <c r="W129" s="335">
        <f t="shared" si="27"/>
        <v>557.57851971214325</v>
      </c>
      <c r="X129" s="335">
        <f t="shared" si="28"/>
        <v>439.74889007561802</v>
      </c>
      <c r="Y129" s="335">
        <f t="shared" si="29"/>
        <v>151.68053710166458</v>
      </c>
      <c r="Z129" s="338">
        <f t="shared" si="30"/>
        <v>0.4852695068137779</v>
      </c>
      <c r="AA129" s="338">
        <f t="shared" si="31"/>
        <v>0.38272049489831506</v>
      </c>
      <c r="AB129" s="338">
        <f t="shared" si="32"/>
        <v>0.13200999828790694</v>
      </c>
      <c r="AC129" s="338">
        <f t="shared" si="33"/>
        <v>0.47303605152723616</v>
      </c>
      <c r="AE129" s="346">
        <f>MIN('WTE Tonnes and Composition'!G83,V129)</f>
        <v>519.22918248800215</v>
      </c>
      <c r="AF129" s="335">
        <f t="shared" si="41"/>
        <v>0.72754582874355644</v>
      </c>
      <c r="AG129" s="335">
        <f t="shared" si="34"/>
        <v>1.3584579105172039</v>
      </c>
      <c r="AH129" s="335">
        <f t="shared" si="35"/>
        <v>0.27995635643911132</v>
      </c>
      <c r="AI129" s="711">
        <f t="shared" si="42"/>
        <v>2.3659600956998719</v>
      </c>
      <c r="AK129" s="610">
        <f t="shared" si="43"/>
        <v>629.77876440142381</v>
      </c>
      <c r="AL129" s="338">
        <f t="shared" si="36"/>
        <v>0.28883238384182397</v>
      </c>
      <c r="AM129" s="335">
        <f t="shared" si="37"/>
        <v>305.61243040286934</v>
      </c>
      <c r="AN129" s="335">
        <f t="shared" si="44"/>
        <v>241.02924038816229</v>
      </c>
      <c r="AO129" s="335">
        <f t="shared" si="38"/>
        <v>83.1370936103921</v>
      </c>
      <c r="AP129" s="335">
        <f t="shared" si="45"/>
        <v>60.588839229294379</v>
      </c>
      <c r="AQ129" s="335">
        <f t="shared" si="39"/>
        <v>67.50266015662649</v>
      </c>
      <c r="AR129" s="335">
        <f t="shared" si="40"/>
        <v>28.508752340854592</v>
      </c>
      <c r="AS129" s="335">
        <f t="shared" si="47"/>
        <v>156.60025172677547</v>
      </c>
      <c r="AT129" s="712">
        <f t="shared" si="46"/>
        <v>0.24865914917854831</v>
      </c>
      <c r="AU129" s="723"/>
      <c r="AV129" s="609"/>
      <c r="BQ129" s="609"/>
      <c r="BR129" s="609"/>
      <c r="BS129" s="609"/>
      <c r="BT129" s="609"/>
      <c r="BU129" s="609"/>
      <c r="BV129" s="609"/>
    </row>
    <row r="130" spans="2:74" ht="14.4" x14ac:dyDescent="0.55000000000000004">
      <c r="B130" s="3">
        <v>2031</v>
      </c>
      <c r="C130" s="707">
        <f>Compost!E22</f>
        <v>255.05002871114968</v>
      </c>
      <c r="D130" s="338">
        <f t="shared" si="20"/>
        <v>0.32377385892423549</v>
      </c>
      <c r="F130" s="3">
        <v>2031</v>
      </c>
      <c r="G130" s="707">
        <f>'H&amp;C Recycling'!E22</f>
        <v>413.94710550810652</v>
      </c>
      <c r="H130" s="338">
        <f t="shared" si="21"/>
        <v>0.486696090994372</v>
      </c>
      <c r="J130" s="3">
        <v>2031</v>
      </c>
      <c r="K130" s="335">
        <f t="shared" si="22"/>
        <v>1513.6144925294607</v>
      </c>
      <c r="L130" s="338">
        <f t="shared" si="23"/>
        <v>0.35193322830822915</v>
      </c>
      <c r="M130" s="338">
        <f t="shared" si="24"/>
        <v>0.28843388941173376</v>
      </c>
      <c r="N130" s="338">
        <f t="shared" si="25"/>
        <v>0.35963288228003704</v>
      </c>
      <c r="P130" s="3">
        <v>2031</v>
      </c>
      <c r="Q130" s="707">
        <f>Paper!F23</f>
        <v>293.45142025446677</v>
      </c>
      <c r="R130" s="335">
        <f t="shared" si="19"/>
        <v>544.34554260920549</v>
      </c>
      <c r="S130" s="707">
        <f>Paper!G23</f>
        <v>380.50867492995854</v>
      </c>
      <c r="V130" s="335">
        <f t="shared" si="26"/>
        <v>1119.5550558578761</v>
      </c>
      <c r="W130" s="335">
        <f t="shared" si="27"/>
        <v>532.69123477001506</v>
      </c>
      <c r="X130" s="335">
        <f t="shared" si="28"/>
        <v>436.57771515023995</v>
      </c>
      <c r="Y130" s="335">
        <f t="shared" si="29"/>
        <v>150.28610593762085</v>
      </c>
      <c r="Z130" s="338">
        <f t="shared" si="30"/>
        <v>0.47580619817024744</v>
      </c>
      <c r="AA130" s="338">
        <f t="shared" si="31"/>
        <v>0.38995644998959483</v>
      </c>
      <c r="AB130" s="338">
        <f t="shared" si="32"/>
        <v>0.13423735184015745</v>
      </c>
      <c r="AC130" s="338">
        <f t="shared" si="33"/>
        <v>0.48705713735906442</v>
      </c>
      <c r="AE130" s="346">
        <f>MIN('WTE Tonnes and Composition'!G84,V130)</f>
        <v>542.06651819247668</v>
      </c>
      <c r="AF130" s="335">
        <f t="shared" si="41"/>
        <v>0.71335785560071574</v>
      </c>
      <c r="AG130" s="335">
        <f t="shared" si="34"/>
        <v>1.3841417726696812</v>
      </c>
      <c r="AH130" s="335">
        <f t="shared" si="35"/>
        <v>0.28467995156885151</v>
      </c>
      <c r="AI130" s="711">
        <f t="shared" si="42"/>
        <v>2.3821795798392484</v>
      </c>
      <c r="AK130" s="610">
        <f t="shared" si="43"/>
        <v>577.48853766539946</v>
      </c>
      <c r="AL130" s="338">
        <f t="shared" si="36"/>
        <v>0.26458602647766682</v>
      </c>
      <c r="AM130" s="335">
        <f t="shared" si="37"/>
        <v>274.77262559346946</v>
      </c>
      <c r="AN130" s="335">
        <f t="shared" si="44"/>
        <v>225.1953800576816</v>
      </c>
      <c r="AO130" s="335">
        <f t="shared" si="38"/>
        <v>77.520532014248246</v>
      </c>
      <c r="AP130" s="335">
        <f t="shared" si="45"/>
        <v>54.474729364730422</v>
      </c>
      <c r="AQ130" s="335">
        <f t="shared" si="39"/>
        <v>63.068228503708987</v>
      </c>
      <c r="AR130" s="335">
        <f t="shared" si="40"/>
        <v>26.582762910649098</v>
      </c>
      <c r="AS130" s="335">
        <f t="shared" si="47"/>
        <v>144.12572077908851</v>
      </c>
      <c r="AT130" s="712">
        <f t="shared" si="46"/>
        <v>0.24957330124982649</v>
      </c>
      <c r="AU130" s="723"/>
      <c r="AV130" s="609"/>
      <c r="BQ130" s="609"/>
      <c r="BR130" s="609"/>
      <c r="BS130" s="609"/>
      <c r="BT130" s="609"/>
      <c r="BU130" s="609"/>
      <c r="BV130" s="609"/>
    </row>
    <row r="131" spans="2:74" ht="14.4" x14ac:dyDescent="0.55000000000000004">
      <c r="B131" s="3">
        <v>2032</v>
      </c>
      <c r="C131" s="707">
        <f>Compost!E23</f>
        <v>264.06467111355244</v>
      </c>
      <c r="D131" s="338">
        <f t="shared" si="20"/>
        <v>0.34186000992742338</v>
      </c>
      <c r="F131" s="3">
        <v>2032</v>
      </c>
      <c r="G131" s="707">
        <f>'H&amp;C Recycling'!E23</f>
        <v>424.03559082086588</v>
      </c>
      <c r="H131" s="338">
        <f t="shared" si="21"/>
        <v>0.4945815163474791</v>
      </c>
      <c r="J131" s="3">
        <v>2032</v>
      </c>
      <c r="K131" s="335">
        <f t="shared" si="22"/>
        <v>1498.3559343801962</v>
      </c>
      <c r="L131" s="338">
        <f t="shared" si="23"/>
        <v>0.33928549130925123</v>
      </c>
      <c r="M131" s="338">
        <f t="shared" si="24"/>
        <v>0.28920151017872942</v>
      </c>
      <c r="N131" s="338">
        <f t="shared" si="25"/>
        <v>0.37151299851201924</v>
      </c>
      <c r="P131" s="3">
        <v>2032</v>
      </c>
      <c r="Q131" s="707">
        <f>Paper!F24</f>
        <v>304.10586673884802</v>
      </c>
      <c r="R131" s="335">
        <f t="shared" si="19"/>
        <v>556.65870601986501</v>
      </c>
      <c r="S131" s="707">
        <f>Paper!G24</f>
        <v>394.32394053803961</v>
      </c>
      <c r="V131" s="335">
        <f t="shared" si="26"/>
        <v>1090.6556092400108</v>
      </c>
      <c r="W131" s="335">
        <f t="shared" si="27"/>
        <v>508.37042935231705</v>
      </c>
      <c r="X131" s="335">
        <f t="shared" si="28"/>
        <v>433.32679900801395</v>
      </c>
      <c r="Y131" s="335">
        <f t="shared" si="29"/>
        <v>148.95838087967945</v>
      </c>
      <c r="Z131" s="338">
        <f t="shared" si="30"/>
        <v>0.46611453243848355</v>
      </c>
      <c r="AA131" s="338">
        <f t="shared" si="31"/>
        <v>0.39730855032228202</v>
      </c>
      <c r="AB131" s="338">
        <f t="shared" si="32"/>
        <v>0.13657691723923415</v>
      </c>
      <c r="AC131" s="338">
        <f t="shared" si="33"/>
        <v>0.50117655634795355</v>
      </c>
      <c r="AE131" s="346">
        <f>MIN('WTE Tonnes and Composition'!G85,V131)</f>
        <v>563.9457072319284</v>
      </c>
      <c r="AF131" s="335">
        <f t="shared" si="41"/>
        <v>0.69882751549544397</v>
      </c>
      <c r="AG131" s="335">
        <f t="shared" si="34"/>
        <v>1.4102378897812267</v>
      </c>
      <c r="AH131" s="335">
        <f t="shared" si="35"/>
        <v>0.28964151670233523</v>
      </c>
      <c r="AI131" s="711">
        <f t="shared" si="42"/>
        <v>2.3987069219790058</v>
      </c>
      <c r="AK131" s="610">
        <f t="shared" si="43"/>
        <v>526.70990200808239</v>
      </c>
      <c r="AL131" s="338">
        <f t="shared" si="36"/>
        <v>0.2408966175018184</v>
      </c>
      <c r="AM131" s="335">
        <f t="shared" si="37"/>
        <v>245.50713970521682</v>
      </c>
      <c r="AN131" s="335">
        <f t="shared" si="44"/>
        <v>209.26634760722243</v>
      </c>
      <c r="AO131" s="335">
        <f t="shared" si="38"/>
        <v>71.936414695642995</v>
      </c>
      <c r="AP131" s="335">
        <f t="shared" si="45"/>
        <v>48.672734278623892</v>
      </c>
      <c r="AQ131" s="335">
        <f t="shared" si="39"/>
        <v>58.607142942489958</v>
      </c>
      <c r="AR131" s="335">
        <f t="shared" si="40"/>
        <v>24.667899030219981</v>
      </c>
      <c r="AS131" s="335">
        <f t="shared" si="47"/>
        <v>131.94777625133383</v>
      </c>
      <c r="AT131" s="712">
        <f t="shared" si="46"/>
        <v>0.25051318714207332</v>
      </c>
      <c r="AU131" s="723"/>
      <c r="AV131" s="609"/>
      <c r="BQ131" s="609"/>
      <c r="BR131" s="609"/>
      <c r="BS131" s="609"/>
      <c r="BT131" s="609"/>
      <c r="BU131" s="609"/>
      <c r="BV131" s="609"/>
    </row>
    <row r="132" spans="2:74" ht="14.4" x14ac:dyDescent="0.55000000000000004">
      <c r="B132" s="3">
        <v>2033</v>
      </c>
      <c r="C132" s="707">
        <f>Compost!E24</f>
        <v>273.17888730075089</v>
      </c>
      <c r="D132" s="338">
        <f t="shared" si="20"/>
        <v>0.36085265999966437</v>
      </c>
      <c r="F132" s="3">
        <v>2033</v>
      </c>
      <c r="G132" s="707">
        <f>'H&amp;C Recycling'!E24</f>
        <v>434.1041790329362</v>
      </c>
      <c r="H132" s="338">
        <f t="shared" si="21"/>
        <v>0.50257705411224574</v>
      </c>
      <c r="J132" s="3">
        <v>2033</v>
      </c>
      <c r="K132" s="335">
        <f t="shared" si="22"/>
        <v>1482.6428131236009</v>
      </c>
      <c r="L132" s="338">
        <f t="shared" si="23"/>
        <v>0.32634853675559738</v>
      </c>
      <c r="M132" s="338">
        <f t="shared" si="24"/>
        <v>0.28978812761643441</v>
      </c>
      <c r="N132" s="338">
        <f t="shared" si="25"/>
        <v>0.38386333562796804</v>
      </c>
      <c r="P132" s="3">
        <v>2033</v>
      </c>
      <c r="Q132" s="707">
        <f>Paper!F25</f>
        <v>315.16236767932605</v>
      </c>
      <c r="R132" s="335">
        <f t="shared" si="19"/>
        <v>569.13221579045955</v>
      </c>
      <c r="S132" s="707">
        <f>Paper!G25</f>
        <v>408.66053675752613</v>
      </c>
      <c r="V132" s="335">
        <f t="shared" si="26"/>
        <v>1060.776786825292</v>
      </c>
      <c r="W132" s="335">
        <f t="shared" si="27"/>
        <v>483.8583125940898</v>
      </c>
      <c r="X132" s="335">
        <f t="shared" si="28"/>
        <v>429.65228473905137</v>
      </c>
      <c r="Y132" s="335">
        <f t="shared" si="29"/>
        <v>147.26618949215066</v>
      </c>
      <c r="Z132" s="338">
        <f t="shared" si="30"/>
        <v>0.4561358417751466</v>
      </c>
      <c r="AA132" s="338">
        <f t="shared" si="31"/>
        <v>0.40503552686604399</v>
      </c>
      <c r="AB132" s="338">
        <f t="shared" si="32"/>
        <v>0.13882863135880927</v>
      </c>
      <c r="AC132" s="338">
        <f t="shared" si="33"/>
        <v>0.5156106438231709</v>
      </c>
      <c r="AE132" s="346">
        <f>MIN('WTE Tonnes and Composition'!G86,V132)</f>
        <v>585.01833555366329</v>
      </c>
      <c r="AF132" s="335">
        <f t="shared" si="41"/>
        <v>0.68386684999618141</v>
      </c>
      <c r="AG132" s="335">
        <f t="shared" si="34"/>
        <v>1.4376646216917903</v>
      </c>
      <c r="AH132" s="335">
        <f t="shared" si="35"/>
        <v>0.29441677379524062</v>
      </c>
      <c r="AI132" s="711">
        <f t="shared" si="42"/>
        <v>2.4159482454832126</v>
      </c>
      <c r="AK132" s="610">
        <f t="shared" si="43"/>
        <v>475.7584512716287</v>
      </c>
      <c r="AL132" s="338">
        <f t="shared" si="36"/>
        <v>0.21724865473051178</v>
      </c>
      <c r="AM132" s="335">
        <f t="shared" si="37"/>
        <v>217.01048165242443</v>
      </c>
      <c r="AN132" s="335">
        <f t="shared" si="44"/>
        <v>192.69907497177724</v>
      </c>
      <c r="AO132" s="335">
        <f t="shared" si="38"/>
        <v>66.048894647426962</v>
      </c>
      <c r="AP132" s="335">
        <f t="shared" si="45"/>
        <v>43.023162266592912</v>
      </c>
      <c r="AQ132" s="335">
        <f t="shared" si="39"/>
        <v>53.967311805688354</v>
      </c>
      <c r="AR132" s="335">
        <f t="shared" si="40"/>
        <v>22.648994547667485</v>
      </c>
      <c r="AS132" s="335">
        <f t="shared" si="47"/>
        <v>119.63946861994876</v>
      </c>
      <c r="AT132" s="712">
        <f t="shared" si="46"/>
        <v>0.25147103178129782</v>
      </c>
      <c r="AU132" s="723"/>
      <c r="AV132" s="609"/>
      <c r="BQ132" s="609"/>
      <c r="BR132" s="609"/>
      <c r="BS132" s="609"/>
      <c r="BT132" s="609"/>
      <c r="BU132" s="609"/>
      <c r="BV132" s="609"/>
    </row>
    <row r="133" spans="2:74" ht="14.4" x14ac:dyDescent="0.55000000000000004">
      <c r="B133" s="3">
        <v>2034</v>
      </c>
      <c r="C133" s="707">
        <f>Compost!E25</f>
        <v>282.39592529023861</v>
      </c>
      <c r="D133" s="338">
        <f t="shared" si="20"/>
        <v>0.38079881917204056</v>
      </c>
      <c r="F133" s="3">
        <v>2034</v>
      </c>
      <c r="G133" s="707">
        <f>'H&amp;C Recycling'!E25</f>
        <v>444.15660503008326</v>
      </c>
      <c r="H133" s="338">
        <f t="shared" si="21"/>
        <v>0.51068841755050132</v>
      </c>
      <c r="J133" s="3">
        <v>2034</v>
      </c>
      <c r="K133" s="335">
        <f t="shared" si="22"/>
        <v>1466.5273518562356</v>
      </c>
      <c r="L133" s="338">
        <f t="shared" si="23"/>
        <v>0.31311540967299178</v>
      </c>
      <c r="M133" s="338">
        <f t="shared" si="24"/>
        <v>0.29018532469430564</v>
      </c>
      <c r="N133" s="338">
        <f t="shared" si="25"/>
        <v>0.39669926563270269</v>
      </c>
      <c r="P133" s="3">
        <v>2034</v>
      </c>
      <c r="Q133" s="707">
        <f>Paper!F26</f>
        <v>327.72909083682998</v>
      </c>
      <c r="R133" s="335">
        <f t="shared" si="19"/>
        <v>581.77032351164087</v>
      </c>
      <c r="S133" s="707">
        <f>Paper!G26</f>
        <v>424.95538778508956</v>
      </c>
      <c r="V133" s="335">
        <f t="shared" si="26"/>
        <v>1028.533856586208</v>
      </c>
      <c r="W133" s="335">
        <f t="shared" si="27"/>
        <v>459.19231257311293</v>
      </c>
      <c r="X133" s="335">
        <f t="shared" si="28"/>
        <v>425.56471577148193</v>
      </c>
      <c r="Y133" s="335">
        <f t="shared" si="29"/>
        <v>143.77682824161349</v>
      </c>
      <c r="Z133" s="338">
        <f t="shared" si="30"/>
        <v>0.44645327874496182</v>
      </c>
      <c r="AA133" s="338">
        <f t="shared" si="31"/>
        <v>0.41375858757237965</v>
      </c>
      <c r="AB133" s="338">
        <f t="shared" si="32"/>
        <v>0.13978813368265883</v>
      </c>
      <c r="AC133" s="338">
        <f t="shared" si="33"/>
        <v>0.53100939690102722</v>
      </c>
      <c r="AE133" s="346">
        <f>MIN('WTE Tonnes and Composition'!G87,V133)</f>
        <v>605.09858449771889</v>
      </c>
      <c r="AF133" s="335">
        <f t="shared" si="41"/>
        <v>0.66935015721980873</v>
      </c>
      <c r="AG133" s="335">
        <f t="shared" si="34"/>
        <v>1.4686269322510717</v>
      </c>
      <c r="AH133" s="335">
        <f t="shared" si="35"/>
        <v>0.29645161038385975</v>
      </c>
      <c r="AI133" s="711">
        <f t="shared" si="42"/>
        <v>2.43442869985474</v>
      </c>
      <c r="AK133" s="610">
        <f t="shared" si="43"/>
        <v>423.43527208848911</v>
      </c>
      <c r="AL133" s="338">
        <f t="shared" si="36"/>
        <v>0.19307790634066824</v>
      </c>
      <c r="AM133" s="335">
        <f t="shared" si="37"/>
        <v>189.04406556017099</v>
      </c>
      <c r="AN133" s="335">
        <f t="shared" si="44"/>
        <v>175.19998010765954</v>
      </c>
      <c r="AO133" s="335">
        <f t="shared" si="38"/>
        <v>59.19122642065873</v>
      </c>
      <c r="AP133" s="335">
        <f t="shared" si="45"/>
        <v>37.478712761710518</v>
      </c>
      <c r="AQ133" s="335">
        <f t="shared" si="39"/>
        <v>49.06651449263704</v>
      </c>
      <c r="AR133" s="335">
        <f t="shared" si="40"/>
        <v>20.2974140843321</v>
      </c>
      <c r="AS133" s="335">
        <f t="shared" si="47"/>
        <v>106.84264133867967</v>
      </c>
      <c r="AT133" s="712">
        <f t="shared" si="46"/>
        <v>0.25232343260329948</v>
      </c>
      <c r="AU133" s="723"/>
      <c r="AV133" s="609"/>
      <c r="BQ133" s="609"/>
      <c r="BR133" s="609"/>
      <c r="BS133" s="609"/>
      <c r="BT133" s="609"/>
      <c r="BU133" s="609"/>
      <c r="BV133" s="609"/>
    </row>
    <row r="134" spans="2:74" ht="14.4" x14ac:dyDescent="0.55000000000000004">
      <c r="B134" s="3">
        <v>2035</v>
      </c>
      <c r="C134" s="707">
        <f>Compost!E26</f>
        <v>291.73120151655121</v>
      </c>
      <c r="D134" s="338">
        <f t="shared" si="20"/>
        <v>0.40173203504571237</v>
      </c>
      <c r="F134" s="3">
        <v>2035</v>
      </c>
      <c r="G134" s="707">
        <f>'H&amp;C Recycling'!E26</f>
        <v>454.21489862481195</v>
      </c>
      <c r="H134" s="338">
        <f t="shared" si="21"/>
        <v>0.51892070815797608</v>
      </c>
      <c r="J134" s="3">
        <v>2035</v>
      </c>
      <c r="K134" s="335">
        <f t="shared" si="22"/>
        <v>1450.1461064695106</v>
      </c>
      <c r="L134" s="338">
        <f t="shared" si="23"/>
        <v>0.29959213204427121</v>
      </c>
      <c r="M134" s="338">
        <f t="shared" si="24"/>
        <v>0.29037904685509214</v>
      </c>
      <c r="N134" s="338">
        <f t="shared" si="25"/>
        <v>0.41002882110063665</v>
      </c>
      <c r="P134" s="3">
        <v>2035</v>
      </c>
      <c r="Q134" s="707">
        <f>Paper!F27</f>
        <v>338.51115311507277</v>
      </c>
      <c r="R134" s="335">
        <f t="shared" si="19"/>
        <v>594.60169845937173</v>
      </c>
      <c r="S134" s="707">
        <f>Paper!G27</f>
        <v>438.93612853921104</v>
      </c>
      <c r="V134" s="335">
        <f t="shared" si="26"/>
        <v>998.33602624487435</v>
      </c>
      <c r="W134" s="335">
        <f t="shared" si="27"/>
        <v>434.45236381289942</v>
      </c>
      <c r="X134" s="335">
        <f t="shared" si="28"/>
        <v>421.09204419723943</v>
      </c>
      <c r="Y134" s="335">
        <f t="shared" si="29"/>
        <v>142.79161823473544</v>
      </c>
      <c r="Z134" s="338">
        <f t="shared" si="30"/>
        <v>0.43517648606455867</v>
      </c>
      <c r="AA134" s="338">
        <f t="shared" si="31"/>
        <v>0.42179389817387292</v>
      </c>
      <c r="AB134" s="338">
        <f t="shared" si="32"/>
        <v>0.14302961576156839</v>
      </c>
      <c r="AC134" s="338">
        <f t="shared" si="33"/>
        <v>0.54540341100451351</v>
      </c>
      <c r="AE134" s="346">
        <f>MIN('WTE Tonnes and Composition'!G88,V134)</f>
        <v>624.4372886075306</v>
      </c>
      <c r="AF134" s="335">
        <f t="shared" si="41"/>
        <v>0.6524432975036436</v>
      </c>
      <c r="AG134" s="335">
        <f t="shared" si="34"/>
        <v>1.4971480890628108</v>
      </c>
      <c r="AH134" s="335">
        <f t="shared" si="35"/>
        <v>0.30332588902974716</v>
      </c>
      <c r="AI134" s="711">
        <f t="shared" si="42"/>
        <v>2.4529172755962017</v>
      </c>
      <c r="AK134" s="610">
        <f t="shared" si="43"/>
        <v>373.89873763734374</v>
      </c>
      <c r="AL134" s="338">
        <f t="shared" si="36"/>
        <v>0.17025639292913122</v>
      </c>
      <c r="AM134" s="335">
        <f t="shared" si="37"/>
        <v>162.71193878899359</v>
      </c>
      <c r="AN134" s="335">
        <f t="shared" si="44"/>
        <v>157.7082060703454</v>
      </c>
      <c r="AO134" s="335">
        <f t="shared" si="38"/>
        <v>53.478592778004746</v>
      </c>
      <c r="AP134" s="335">
        <f t="shared" si="45"/>
        <v>32.258267397622717</v>
      </c>
      <c r="AQ134" s="335">
        <f t="shared" si="39"/>
        <v>44.167767450677275</v>
      </c>
      <c r="AR134" s="335">
        <f t="shared" si="40"/>
        <v>18.338480344169465</v>
      </c>
      <c r="AS134" s="335">
        <f t="shared" si="47"/>
        <v>94.76451519246946</v>
      </c>
      <c r="AT134" s="712">
        <f t="shared" si="46"/>
        <v>0.25344967942733354</v>
      </c>
      <c r="AU134" s="723"/>
      <c r="AV134" s="609"/>
      <c r="BQ134" s="609"/>
      <c r="BR134" s="609"/>
      <c r="BS134" s="609"/>
      <c r="BT134" s="609"/>
      <c r="BU134" s="609"/>
      <c r="BV134" s="609"/>
    </row>
    <row r="135" spans="2:74" ht="14.4" x14ac:dyDescent="0.55000000000000004">
      <c r="B135" s="3">
        <v>2036</v>
      </c>
      <c r="C135" s="707">
        <f>Compost!E27</f>
        <v>301.14397191355829</v>
      </c>
      <c r="D135" s="338">
        <f t="shared" si="20"/>
        <v>0.42375347916514977</v>
      </c>
      <c r="F135" s="3">
        <v>2036</v>
      </c>
      <c r="G135" s="707">
        <f>'H&amp;C Recycling'!E27</f>
        <v>464.21443744336341</v>
      </c>
      <c r="H135" s="338">
        <f t="shared" si="21"/>
        <v>0.52728204700643733</v>
      </c>
      <c r="J135" s="3">
        <v>2036</v>
      </c>
      <c r="K135" s="335">
        <f t="shared" si="22"/>
        <v>1433.2315314876469</v>
      </c>
      <c r="L135" s="338">
        <f t="shared" si="23"/>
        <v>0.28572803820601811</v>
      </c>
      <c r="M135" s="338">
        <f t="shared" si="24"/>
        <v>0.29037645620315566</v>
      </c>
      <c r="N135" s="338">
        <f t="shared" si="25"/>
        <v>0.42389550559082617</v>
      </c>
      <c r="P135" s="3">
        <v>2036</v>
      </c>
      <c r="Q135" s="707">
        <f>Paper!F28</f>
        <v>350.81863337780754</v>
      </c>
      <c r="R135" s="335">
        <f t="shared" si="19"/>
        <v>607.54040466867013</v>
      </c>
      <c r="S135" s="707">
        <f>Paper!G28</f>
        <v>454.89482794655709</v>
      </c>
      <c r="V135" s="335">
        <f t="shared" si="26"/>
        <v>965.62418292963139</v>
      </c>
      <c r="W135" s="335">
        <f t="shared" si="27"/>
        <v>409.51443378697218</v>
      </c>
      <c r="X135" s="335">
        <f t="shared" si="28"/>
        <v>416.17669303200444</v>
      </c>
      <c r="Y135" s="335">
        <f t="shared" si="29"/>
        <v>139.93305611065472</v>
      </c>
      <c r="Z135" s="338">
        <f t="shared" si="30"/>
        <v>0.42409297636326387</v>
      </c>
      <c r="AA135" s="338">
        <f t="shared" si="31"/>
        <v>0.43099240925113902</v>
      </c>
      <c r="AB135" s="338">
        <f t="shared" si="32"/>
        <v>0.144914614385597</v>
      </c>
      <c r="AC135" s="338">
        <f t="shared" si="33"/>
        <v>0.56079841675310516</v>
      </c>
      <c r="AE135" s="346">
        <f>MIN('WTE Tonnes and Composition'!G89,V135)</f>
        <v>642.59597575340285</v>
      </c>
      <c r="AF135" s="335">
        <f t="shared" si="41"/>
        <v>0.63582621949278428</v>
      </c>
      <c r="AG135" s="335">
        <f t="shared" si="34"/>
        <v>1.5297980001714706</v>
      </c>
      <c r="AH135" s="335">
        <f t="shared" si="35"/>
        <v>0.30732344492339142</v>
      </c>
      <c r="AI135" s="711">
        <f t="shared" si="42"/>
        <v>2.4729476645876463</v>
      </c>
      <c r="AK135" s="610">
        <f t="shared" si="43"/>
        <v>323.02820717622853</v>
      </c>
      <c r="AL135" s="338">
        <f t="shared" si="36"/>
        <v>0.14692517289155801</v>
      </c>
      <c r="AM135" s="335">
        <f t="shared" si="37"/>
        <v>136.9939938306558</v>
      </c>
      <c r="AN135" s="335">
        <f t="shared" si="44"/>
        <v>139.2227052669588</v>
      </c>
      <c r="AO135" s="335">
        <f t="shared" si="38"/>
        <v>46.811508078613898</v>
      </c>
      <c r="AP135" s="335">
        <f t="shared" si="45"/>
        <v>27.159585939101973</v>
      </c>
      <c r="AQ135" s="335">
        <f t="shared" si="39"/>
        <v>38.990717244874382</v>
      </c>
      <c r="AR135" s="335">
        <f t="shared" si="40"/>
        <v>16.052253363212362</v>
      </c>
      <c r="AS135" s="335">
        <f t="shared" si="47"/>
        <v>82.202556547188706</v>
      </c>
      <c r="AT135" s="712">
        <f t="shared" si="46"/>
        <v>0.2544748561302666</v>
      </c>
      <c r="AU135" s="723"/>
      <c r="AV135" s="609"/>
      <c r="BQ135" s="609"/>
      <c r="BR135" s="609"/>
      <c r="BS135" s="609"/>
      <c r="BT135" s="609"/>
      <c r="BU135" s="609"/>
      <c r="BV135" s="609"/>
    </row>
    <row r="136" spans="2:74" ht="14.4" x14ac:dyDescent="0.55000000000000004">
      <c r="B136" s="3">
        <v>2037</v>
      </c>
      <c r="C136" s="707">
        <f>Compost!E28</f>
        <v>310.67699002273372</v>
      </c>
      <c r="D136" s="338">
        <f t="shared" si="20"/>
        <v>0.4468641539810051</v>
      </c>
      <c r="F136" s="3">
        <v>2037</v>
      </c>
      <c r="G136" s="707">
        <f>'H&amp;C Recycling'!E28</f>
        <v>474.21887583656201</v>
      </c>
      <c r="H136" s="338">
        <f t="shared" si="21"/>
        <v>0.53577635165417403</v>
      </c>
      <c r="J136" s="3">
        <v>2037</v>
      </c>
      <c r="K136" s="335">
        <f t="shared" si="22"/>
        <v>1416.1188994367103</v>
      </c>
      <c r="L136" s="338">
        <f t="shared" si="23"/>
        <v>0.27155990965026466</v>
      </c>
      <c r="M136" s="338">
        <f t="shared" si="24"/>
        <v>0.29015017548242833</v>
      </c>
      <c r="N136" s="338">
        <f t="shared" si="25"/>
        <v>0.4382899148673069</v>
      </c>
      <c r="P136" s="3">
        <v>2037</v>
      </c>
      <c r="Q136" s="707">
        <f>Paper!F29</f>
        <v>363.55856912579111</v>
      </c>
      <c r="R136" s="335">
        <f t="shared" si="19"/>
        <v>620.67063187610006</v>
      </c>
      <c r="S136" s="707">
        <f>Paper!G29</f>
        <v>471.41427796644246</v>
      </c>
      <c r="V136" s="335">
        <f t="shared" si="26"/>
        <v>932.15111341150975</v>
      </c>
      <c r="W136" s="335">
        <f t="shared" si="27"/>
        <v>384.56112038506529</v>
      </c>
      <c r="X136" s="335">
        <f t="shared" si="28"/>
        <v>410.88714717554478</v>
      </c>
      <c r="Y136" s="335">
        <f t="shared" si="29"/>
        <v>136.70284585089951</v>
      </c>
      <c r="Z136" s="338">
        <f t="shared" si="30"/>
        <v>0.41255233711800116</v>
      </c>
      <c r="AA136" s="338">
        <f t="shared" si="31"/>
        <v>0.44079456781612353</v>
      </c>
      <c r="AB136" s="338">
        <f t="shared" si="32"/>
        <v>0.14665309506587515</v>
      </c>
      <c r="AC136" s="338">
        <f t="shared" si="33"/>
        <v>0.57649029524518047</v>
      </c>
      <c r="AE136" s="346">
        <f>MIN('WTE Tonnes and Composition'!G90,V136)</f>
        <v>659.61418432924825</v>
      </c>
      <c r="AF136" s="335">
        <f t="shared" si="41"/>
        <v>0.61852378481261139</v>
      </c>
      <c r="AG136" s="335">
        <f t="shared" si="34"/>
        <v>1.5645905446530122</v>
      </c>
      <c r="AH136" s="335">
        <f t="shared" si="35"/>
        <v>0.31101027715809076</v>
      </c>
      <c r="AI136" s="711">
        <f t="shared" si="42"/>
        <v>2.4941246066237142</v>
      </c>
      <c r="AK136" s="610">
        <f t="shared" si="43"/>
        <v>272.53692908226151</v>
      </c>
      <c r="AL136" s="338">
        <f t="shared" si="36"/>
        <v>0.12382330794841764</v>
      </c>
      <c r="AM136" s="335">
        <f t="shared" si="37"/>
        <v>112.43574704384993</v>
      </c>
      <c r="AN136" s="335">
        <f t="shared" si="44"/>
        <v>120.13279786874897</v>
      </c>
      <c r="AO136" s="335">
        <f t="shared" si="38"/>
        <v>39.968384169662571</v>
      </c>
      <c r="AP136" s="335">
        <f t="shared" si="45"/>
        <v>22.290819101451948</v>
      </c>
      <c r="AQ136" s="335">
        <f t="shared" si="39"/>
        <v>33.644396900307108</v>
      </c>
      <c r="AR136" s="335">
        <f t="shared" si="40"/>
        <v>13.705660328912591</v>
      </c>
      <c r="AS136" s="335">
        <f t="shared" si="47"/>
        <v>69.640876330671645</v>
      </c>
      <c r="AT136" s="712">
        <f t="shared" si="46"/>
        <v>0.25552821984594798</v>
      </c>
      <c r="AU136" s="723"/>
      <c r="AV136" s="609"/>
      <c r="BQ136" s="609"/>
      <c r="BR136" s="609"/>
      <c r="BS136" s="609"/>
      <c r="BT136" s="609"/>
      <c r="BU136" s="609"/>
      <c r="BV136" s="609"/>
    </row>
    <row r="137" spans="2:74" ht="14.4" x14ac:dyDescent="0.55000000000000004">
      <c r="B137" s="3">
        <v>2038</v>
      </c>
      <c r="C137" s="707">
        <f>Compost!E29</f>
        <v>320.31727823188743</v>
      </c>
      <c r="D137" s="338">
        <f t="shared" si="20"/>
        <v>0.47112916196808141</v>
      </c>
      <c r="F137" s="3">
        <v>2038</v>
      </c>
      <c r="G137" s="707">
        <f>'H&amp;C Recycling'!E29</f>
        <v>484.20479862937236</v>
      </c>
      <c r="H137" s="338">
        <f t="shared" si="21"/>
        <v>0.54440929614669709</v>
      </c>
      <c r="J137" s="3">
        <v>2038</v>
      </c>
      <c r="K137" s="335">
        <f t="shared" si="22"/>
        <v>1398.7467589417179</v>
      </c>
      <c r="L137" s="338">
        <f t="shared" si="23"/>
        <v>0.25706970901328469</v>
      </c>
      <c r="M137" s="338">
        <f t="shared" si="24"/>
        <v>0.28969387788563178</v>
      </c>
      <c r="N137" s="338">
        <f t="shared" si="25"/>
        <v>0.45323641310108365</v>
      </c>
      <c r="P137" s="3">
        <v>2038</v>
      </c>
      <c r="Q137" s="707">
        <f>Paper!F30</f>
        <v>375.73599999999993</v>
      </c>
      <c r="R137" s="335">
        <f t="shared" si="19"/>
        <v>633.9629638595103</v>
      </c>
      <c r="S137" s="707">
        <f>Paper!G30</f>
        <v>487.20434666666659</v>
      </c>
      <c r="V137" s="335">
        <f t="shared" si="26"/>
        <v>899.14547913507658</v>
      </c>
      <c r="W137" s="335">
        <f t="shared" si="27"/>
        <v>359.57542230442249</v>
      </c>
      <c r="X137" s="335">
        <f t="shared" si="28"/>
        <v>405.20837277778526</v>
      </c>
      <c r="Y137" s="335">
        <f t="shared" si="29"/>
        <v>134.36168405286907</v>
      </c>
      <c r="Z137" s="338">
        <f t="shared" si="30"/>
        <v>0.39990794665431922</v>
      </c>
      <c r="AA137" s="338">
        <f t="shared" si="31"/>
        <v>0.45065941183129915</v>
      </c>
      <c r="AB137" s="338">
        <f t="shared" si="32"/>
        <v>0.14943264151438193</v>
      </c>
      <c r="AC137" s="338">
        <f t="shared" si="33"/>
        <v>0.59190387277121159</v>
      </c>
      <c r="AE137" s="346">
        <f>MIN('WTE Tonnes and Composition'!G91,V137)</f>
        <v>675.53514756313143</v>
      </c>
      <c r="AF137" s="335">
        <f t="shared" si="41"/>
        <v>0.59956653856143327</v>
      </c>
      <c r="AG137" s="335">
        <f t="shared" si="34"/>
        <v>1.5996055897500721</v>
      </c>
      <c r="AH137" s="335">
        <f t="shared" si="35"/>
        <v>0.3169049192789104</v>
      </c>
      <c r="AI137" s="711">
        <f t="shared" si="42"/>
        <v>2.5160770475904157</v>
      </c>
      <c r="AK137" s="610">
        <f t="shared" si="43"/>
        <v>223.61033157194515</v>
      </c>
      <c r="AL137" s="338">
        <f t="shared" si="36"/>
        <v>0.10149026207709724</v>
      </c>
      <c r="AM137" s="335">
        <f t="shared" si="37"/>
        <v>89.42354854962808</v>
      </c>
      <c r="AN137" s="335">
        <f t="shared" si="44"/>
        <v>100.77210050561459</v>
      </c>
      <c r="AO137" s="335">
        <f t="shared" si="38"/>
        <v>33.414682516702563</v>
      </c>
      <c r="AP137" s="335">
        <f t="shared" si="45"/>
        <v>17.728562281462576</v>
      </c>
      <c r="AQ137" s="335">
        <f t="shared" si="39"/>
        <v>28.222239105699792</v>
      </c>
      <c r="AR137" s="335">
        <f t="shared" si="40"/>
        <v>11.458313816949229</v>
      </c>
      <c r="AS137" s="335">
        <f t="shared" si="47"/>
        <v>57.4091152041116</v>
      </c>
      <c r="AT137" s="712">
        <f t="shared" si="46"/>
        <v>0.25673731084129536</v>
      </c>
      <c r="AU137" s="723"/>
      <c r="AV137" s="609"/>
      <c r="BQ137" s="609"/>
      <c r="BR137" s="609"/>
      <c r="BS137" s="609"/>
      <c r="BT137" s="609"/>
      <c r="BU137" s="609"/>
      <c r="BV137" s="609"/>
    </row>
    <row r="138" spans="2:74" ht="14.4" x14ac:dyDescent="0.55000000000000004">
      <c r="B138" s="3">
        <v>2039</v>
      </c>
      <c r="C138" s="707">
        <f>Compost!E30</f>
        <v>330.06355266360714</v>
      </c>
      <c r="D138" s="338">
        <f t="shared" si="20"/>
        <v>0.49659736168608143</v>
      </c>
      <c r="F138" s="3">
        <v>2039</v>
      </c>
      <c r="G138" s="707">
        <f>'H&amp;C Recycling'!E30</f>
        <v>494.16634904710713</v>
      </c>
      <c r="H138" s="338">
        <f t="shared" si="21"/>
        <v>0.55318571924815763</v>
      </c>
      <c r="J138" s="3">
        <v>2039</v>
      </c>
      <c r="K138" s="335">
        <f t="shared" si="22"/>
        <v>1381.1423623854312</v>
      </c>
      <c r="L138" s="338">
        <f t="shared" si="23"/>
        <v>0.24225357970271977</v>
      </c>
      <c r="M138" s="338">
        <f t="shared" si="24"/>
        <v>0.28899531827180025</v>
      </c>
      <c r="N138" s="338">
        <f t="shared" si="25"/>
        <v>0.46875110202548015</v>
      </c>
      <c r="P138" s="3">
        <v>2039</v>
      </c>
      <c r="Q138" s="707">
        <f>Paper!F31</f>
        <v>385.31699999999995</v>
      </c>
      <c r="R138" s="335">
        <f t="shared" si="19"/>
        <v>647.4120044222459</v>
      </c>
      <c r="S138" s="707">
        <f>Paper!G31</f>
        <v>499.62770999999992</v>
      </c>
      <c r="V138" s="335">
        <f t="shared" si="26"/>
        <v>869.27202334200626</v>
      </c>
      <c r="W138" s="335">
        <f t="shared" si="27"/>
        <v>334.58668136694172</v>
      </c>
      <c r="X138" s="335">
        <f t="shared" si="28"/>
        <v>399.14367659624372</v>
      </c>
      <c r="Y138" s="335">
        <f t="shared" si="29"/>
        <v>135.54166537882105</v>
      </c>
      <c r="Z138" s="338">
        <f t="shared" si="30"/>
        <v>0.38490446302480619</v>
      </c>
      <c r="AA138" s="338">
        <f t="shared" si="31"/>
        <v>0.45917004790018956</v>
      </c>
      <c r="AB138" s="338">
        <f t="shared" si="32"/>
        <v>0.1559254890750045</v>
      </c>
      <c r="AC138" s="338">
        <f t="shared" si="33"/>
        <v>0.60583887015634041</v>
      </c>
      <c r="AE138" s="346">
        <f>MIN('WTE Tonnes and Composition'!G92,V138)</f>
        <v>690.64706571979582</v>
      </c>
      <c r="AF138" s="335">
        <f t="shared" si="41"/>
        <v>0.57707239504323493</v>
      </c>
      <c r="AG138" s="335">
        <f t="shared" si="34"/>
        <v>1.6298139037688677</v>
      </c>
      <c r="AH138" s="335">
        <f t="shared" si="35"/>
        <v>0.33067443650912909</v>
      </c>
      <c r="AI138" s="711">
        <f t="shared" si="42"/>
        <v>2.5375607353212315</v>
      </c>
      <c r="AK138" s="610">
        <f t="shared" si="43"/>
        <v>178.62495762221045</v>
      </c>
      <c r="AL138" s="338">
        <f t="shared" si="36"/>
        <v>8.0995376848732828E-2</v>
      </c>
      <c r="AM138" s="335">
        <f t="shared" si="37"/>
        <v>68.753543396405675</v>
      </c>
      <c r="AN138" s="335">
        <f t="shared" si="44"/>
        <v>82.019230347559699</v>
      </c>
      <c r="AO138" s="335">
        <f t="shared" si="38"/>
        <v>27.852183878245118</v>
      </c>
      <c r="AP138" s="335">
        <f t="shared" si="45"/>
        <v>13.630654295696562</v>
      </c>
      <c r="AQ138" s="335">
        <f t="shared" si="39"/>
        <v>22.970309426122657</v>
      </c>
      <c r="AR138" s="335">
        <f t="shared" si="40"/>
        <v>9.55086325314576</v>
      </c>
      <c r="AS138" s="335">
        <f t="shared" si="47"/>
        <v>46.151826974964976</v>
      </c>
      <c r="AT138" s="712">
        <f t="shared" si="46"/>
        <v>0.25837278054153839</v>
      </c>
      <c r="AU138" s="723"/>
      <c r="AV138" s="609"/>
      <c r="BQ138" s="609"/>
      <c r="BR138" s="609"/>
      <c r="BS138" s="609"/>
      <c r="BT138" s="609"/>
      <c r="BU138" s="609"/>
      <c r="BV138" s="609"/>
    </row>
    <row r="139" spans="2:74" ht="14.4" x14ac:dyDescent="0.55000000000000004">
      <c r="B139" s="3">
        <v>2040</v>
      </c>
      <c r="C139" s="707">
        <f>Compost!E31</f>
        <v>339.52464589579961</v>
      </c>
      <c r="D139" s="338">
        <f t="shared" si="20"/>
        <v>0.52406096307591477</v>
      </c>
      <c r="F139" s="3">
        <v>2040</v>
      </c>
      <c r="G139" s="707">
        <f>'H&amp;C Recycling'!E31</f>
        <v>503.52606273794868</v>
      </c>
      <c r="H139" s="338">
        <f t="shared" si="21"/>
        <v>0.56213823453266565</v>
      </c>
      <c r="J139" s="3">
        <v>2040</v>
      </c>
      <c r="K139" s="335">
        <f t="shared" si="22"/>
        <v>1360.8096014722908</v>
      </c>
      <c r="L139" s="338">
        <f t="shared" si="23"/>
        <v>0.22659141783798747</v>
      </c>
      <c r="M139" s="338">
        <f t="shared" si="24"/>
        <v>0.28821626663903255</v>
      </c>
      <c r="N139" s="338">
        <f t="shared" si="25"/>
        <v>0.48519231552297992</v>
      </c>
      <c r="P139" s="3">
        <v>2040</v>
      </c>
      <c r="Q139" s="707">
        <f>Paper!F32</f>
        <v>395.29999999999995</v>
      </c>
      <c r="R139" s="335">
        <f t="shared" si="19"/>
        <v>660.25436152424425</v>
      </c>
      <c r="S139" s="707">
        <f>Paper!G32</f>
        <v>512.57233333333329</v>
      </c>
      <c r="V139" s="335">
        <f t="shared" si="26"/>
        <v>836.14687872798265</v>
      </c>
      <c r="W139" s="335">
        <f t="shared" si="27"/>
        <v>308.34777700515303</v>
      </c>
      <c r="X139" s="335">
        <f t="shared" si="28"/>
        <v>392.20746294289336</v>
      </c>
      <c r="Y139" s="335">
        <f t="shared" si="29"/>
        <v>135.59163877993615</v>
      </c>
      <c r="Z139" s="338">
        <f t="shared" si="30"/>
        <v>0.36877226340214025</v>
      </c>
      <c r="AA139" s="338">
        <f t="shared" si="31"/>
        <v>0.46906527180912583</v>
      </c>
      <c r="AB139" s="338">
        <f t="shared" si="32"/>
        <v>0.16216246478873378</v>
      </c>
      <c r="AC139" s="338">
        <f t="shared" si="33"/>
        <v>0.6205989667794547</v>
      </c>
      <c r="AE139" s="346">
        <f>MIN('WTE Tonnes and Composition'!G93,V139)</f>
        <v>705.25119147049998</v>
      </c>
      <c r="AF139" s="335">
        <f t="shared" si="41"/>
        <v>0.55288601123150072</v>
      </c>
      <c r="AG139" s="335">
        <f t="shared" si="34"/>
        <v>1.6649367816252127</v>
      </c>
      <c r="AH139" s="335">
        <f t="shared" si="35"/>
        <v>0.34390132097743092</v>
      </c>
      <c r="AI139" s="711">
        <f t="shared" si="42"/>
        <v>2.5617241138341447</v>
      </c>
      <c r="AK139" s="610">
        <f t="shared" si="43"/>
        <v>130.89568725748268</v>
      </c>
      <c r="AL139" s="338">
        <f t="shared" si="36"/>
        <v>5.9393822129853877E-2</v>
      </c>
      <c r="AM139" s="335">
        <f t="shared" si="37"/>
        <v>48.270698859520579</v>
      </c>
      <c r="AN139" s="335">
        <f t="shared" si="44"/>
        <v>61.398621122073443</v>
      </c>
      <c r="AO139" s="335">
        <f t="shared" si="38"/>
        <v>21.226367275888645</v>
      </c>
      <c r="AP139" s="335">
        <f t="shared" si="45"/>
        <v>9.5698516216430605</v>
      </c>
      <c r="AQ139" s="335">
        <f t="shared" si="39"/>
        <v>17.195300657356864</v>
      </c>
      <c r="AR139" s="335">
        <f t="shared" si="40"/>
        <v>7.278787620363576</v>
      </c>
      <c r="AS139" s="335">
        <f t="shared" si="47"/>
        <v>34.043939899363501</v>
      </c>
      <c r="AT139" s="712">
        <f t="shared" si="46"/>
        <v>0.26008450402492062</v>
      </c>
      <c r="AU139" s="723"/>
      <c r="AV139" s="609"/>
      <c r="BQ139" s="609"/>
      <c r="BR139" s="609"/>
      <c r="BS139" s="609"/>
      <c r="BT139" s="609"/>
      <c r="BU139" s="609"/>
      <c r="BV139" s="609"/>
    </row>
    <row r="140" spans="2:74" ht="14.4" x14ac:dyDescent="0.55000000000000004">
      <c r="B140" s="3">
        <v>2041</v>
      </c>
      <c r="C140" s="707">
        <f>Compost!E32</f>
        <v>349.85910192109833</v>
      </c>
      <c r="D140" s="338">
        <f t="shared" si="20"/>
        <v>0.55136104674357922</v>
      </c>
      <c r="F140" s="3">
        <v>2041</v>
      </c>
      <c r="G140" s="707">
        <f>'H&amp;C Recycling'!E32</f>
        <v>513.98060290587523</v>
      </c>
      <c r="H140" s="338">
        <f t="shared" si="21"/>
        <v>0.57119267472038937</v>
      </c>
      <c r="J140" s="3">
        <v>2041</v>
      </c>
      <c r="K140" s="335">
        <f t="shared" si="22"/>
        <v>1345.2756591820507</v>
      </c>
      <c r="L140" s="338">
        <f t="shared" si="23"/>
        <v>0.21161321775946623</v>
      </c>
      <c r="M140" s="338">
        <f t="shared" si="24"/>
        <v>0.2868236853826151</v>
      </c>
      <c r="N140" s="338">
        <f t="shared" si="25"/>
        <v>0.50156309685791867</v>
      </c>
      <c r="P140" s="3">
        <v>2041</v>
      </c>
      <c r="Q140" s="707">
        <f>Paper!F33</f>
        <v>405.68499999999995</v>
      </c>
      <c r="R140" s="335">
        <f t="shared" si="19"/>
        <v>674.74062574692732</v>
      </c>
      <c r="S140" s="707">
        <f>Paper!G33</f>
        <v>526.03821666666659</v>
      </c>
      <c r="V140" s="335">
        <f t="shared" si="26"/>
        <v>807.29719503607009</v>
      </c>
      <c r="W140" s="335">
        <f t="shared" si="27"/>
        <v>284.67811101300077</v>
      </c>
      <c r="X140" s="335">
        <f t="shared" si="28"/>
        <v>385.85692242212269</v>
      </c>
      <c r="Y140" s="335">
        <f t="shared" si="29"/>
        <v>136.76216160094668</v>
      </c>
      <c r="Z140" s="338">
        <f t="shared" si="30"/>
        <v>0.35263111622762588</v>
      </c>
      <c r="AA140" s="338">
        <f t="shared" si="31"/>
        <v>0.47796143080229897</v>
      </c>
      <c r="AB140" s="338">
        <f t="shared" si="32"/>
        <v>0.16940745297007523</v>
      </c>
      <c r="AC140" s="338">
        <f t="shared" si="33"/>
        <v>0.63456087075008361</v>
      </c>
      <c r="AE140" s="346">
        <f>MIN('WTE Tonnes and Composition'!G94,V140)</f>
        <v>716.82798433607491</v>
      </c>
      <c r="AF140" s="335">
        <f t="shared" si="41"/>
        <v>0.52868621270086624</v>
      </c>
      <c r="AG140" s="335">
        <f t="shared" si="34"/>
        <v>1.696513500715487</v>
      </c>
      <c r="AH140" s="335">
        <f t="shared" si="35"/>
        <v>0.3592659185079089</v>
      </c>
      <c r="AI140" s="711">
        <f t="shared" si="42"/>
        <v>2.5844656319242625</v>
      </c>
      <c r="AK140" s="610">
        <f t="shared" si="43"/>
        <v>90.469210699995187</v>
      </c>
      <c r="AL140" s="338">
        <f t="shared" si="36"/>
        <v>4.0952687294616825E-2</v>
      </c>
      <c r="AM140" s="335">
        <f t="shared" si="37"/>
        <v>31.90225875337158</v>
      </c>
      <c r="AN140" s="335">
        <f t="shared" si="44"/>
        <v>43.240793389724352</v>
      </c>
      <c r="AO140" s="335">
        <f t="shared" si="38"/>
        <v>15.326158556899262</v>
      </c>
      <c r="AP140" s="335">
        <f t="shared" si="45"/>
        <v>6.3247454434734021</v>
      </c>
      <c r="AQ140" s="335">
        <f t="shared" si="39"/>
        <v>12.110018586910083</v>
      </c>
      <c r="AR140" s="335">
        <f t="shared" si="40"/>
        <v>5.2555320334255047</v>
      </c>
      <c r="AS140" s="335">
        <f t="shared" si="47"/>
        <v>23.690296063808987</v>
      </c>
      <c r="AT140" s="712">
        <f t="shared" si="46"/>
        <v>0.26186031557596257</v>
      </c>
      <c r="AU140" s="723"/>
      <c r="AV140" s="609"/>
      <c r="BQ140" s="609"/>
      <c r="BR140" s="609"/>
      <c r="BS140" s="609"/>
      <c r="BT140" s="609"/>
      <c r="BU140" s="609"/>
      <c r="BV140" s="609"/>
    </row>
    <row r="141" spans="2:74" ht="14.4" x14ac:dyDescent="0.55000000000000004">
      <c r="B141" s="3">
        <v>2042</v>
      </c>
      <c r="C141" s="707">
        <f>Compost!E33</f>
        <v>359.77782771524176</v>
      </c>
      <c r="D141" s="338">
        <f t="shared" si="20"/>
        <v>0.58105516867988172</v>
      </c>
      <c r="F141" s="3">
        <v>2042</v>
      </c>
      <c r="G141" s="707">
        <f>'H&amp;C Recycling'!E33</f>
        <v>523.64066397480224</v>
      </c>
      <c r="H141" s="338">
        <f t="shared" si="21"/>
        <v>0.58044790041479866</v>
      </c>
      <c r="J141" s="3">
        <v>2042</v>
      </c>
      <c r="K141" s="335">
        <f t="shared" si="22"/>
        <v>1326.2595170508098</v>
      </c>
      <c r="L141" s="338">
        <f t="shared" si="23"/>
        <v>0.19558941597680177</v>
      </c>
      <c r="M141" s="338">
        <f t="shared" si="24"/>
        <v>0.2853826101103108</v>
      </c>
      <c r="N141" s="338">
        <f t="shared" si="25"/>
        <v>0.51902797391288746</v>
      </c>
      <c r="P141" s="3">
        <v>2042</v>
      </c>
      <c r="Q141" s="707">
        <f>Paper!F34</f>
        <v>416.47199999999998</v>
      </c>
      <c r="R141" s="335">
        <f t="shared" si="19"/>
        <v>688.36579001756638</v>
      </c>
      <c r="S141" s="707">
        <f>Paper!G34</f>
        <v>540.02535999999998</v>
      </c>
      <c r="V141" s="335">
        <f t="shared" si="26"/>
        <v>774.44238432604789</v>
      </c>
      <c r="W141" s="335">
        <f t="shared" si="27"/>
        <v>259.40232437364307</v>
      </c>
      <c r="X141" s="335">
        <f t="shared" si="28"/>
        <v>378.49140265960034</v>
      </c>
      <c r="Y141" s="335">
        <f t="shared" si="29"/>
        <v>136.54865729280448</v>
      </c>
      <c r="Z141" s="338">
        <f t="shared" si="30"/>
        <v>0.33495367715364111</v>
      </c>
      <c r="AA141" s="338">
        <f t="shared" si="31"/>
        <v>0.48872764497384702</v>
      </c>
      <c r="AB141" s="338">
        <f t="shared" si="32"/>
        <v>0.17631867787251188</v>
      </c>
      <c r="AC141" s="338">
        <f t="shared" si="33"/>
        <v>0.64952251809423123</v>
      </c>
      <c r="AE141" s="346">
        <f>MIN('WTE Tonnes and Composition'!G95,V141)</f>
        <v>727.55448240198814</v>
      </c>
      <c r="AF141" s="335">
        <f t="shared" si="41"/>
        <v>0.50218311106237523</v>
      </c>
      <c r="AG141" s="335">
        <f t="shared" si="34"/>
        <v>1.7347279391963626</v>
      </c>
      <c r="AH141" s="335">
        <f t="shared" si="35"/>
        <v>0.37392269729217664</v>
      </c>
      <c r="AI141" s="711">
        <f t="shared" si="42"/>
        <v>2.6108337475509145</v>
      </c>
      <c r="AK141" s="610">
        <f t="shared" si="43"/>
        <v>46.887901924059747</v>
      </c>
      <c r="AL141" s="338">
        <f t="shared" si="36"/>
        <v>2.1219336816760012E-2</v>
      </c>
      <c r="AM141" s="335">
        <f t="shared" si="37"/>
        <v>15.705275163483096</v>
      </c>
      <c r="AN141" s="335">
        <f t="shared" si="44"/>
        <v>22.915413885110432</v>
      </c>
      <c r="AO141" s="335">
        <f t="shared" si="38"/>
        <v>8.2672128754662211</v>
      </c>
      <c r="AP141" s="335">
        <f t="shared" si="45"/>
        <v>3.1136311788029065</v>
      </c>
      <c r="AQ141" s="335">
        <f t="shared" si="39"/>
        <v>6.4176918673599239</v>
      </c>
      <c r="AR141" s="335">
        <f t="shared" si="40"/>
        <v>2.8349310058913337</v>
      </c>
      <c r="AS141" s="335">
        <f t="shared" si="47"/>
        <v>12.366254052054163</v>
      </c>
      <c r="AT141" s="712">
        <f t="shared" si="46"/>
        <v>0.26374082747576783</v>
      </c>
      <c r="AU141" s="723"/>
      <c r="AV141" s="609"/>
      <c r="BQ141" s="609"/>
      <c r="BR141" s="609"/>
      <c r="BS141" s="609"/>
      <c r="BT141" s="609"/>
      <c r="BU141" s="609"/>
      <c r="BV141" s="609"/>
    </row>
    <row r="142" spans="2:74" ht="14.4" x14ac:dyDescent="0.55000000000000004">
      <c r="B142" s="3">
        <v>2043</v>
      </c>
      <c r="C142" s="707">
        <f>Compost!E34</f>
        <v>369.80146427029553</v>
      </c>
      <c r="D142" s="338">
        <f t="shared" si="20"/>
        <v>0.61219888809366818</v>
      </c>
      <c r="F142" s="3">
        <v>2043</v>
      </c>
      <c r="G142" s="707">
        <f>'H&amp;C Recycling'!E34</f>
        <v>533.26735857658002</v>
      </c>
      <c r="H142" s="338">
        <f t="shared" si="21"/>
        <v>0.58987543020539956</v>
      </c>
      <c r="J142" s="3">
        <v>2043</v>
      </c>
      <c r="K142" s="335">
        <f t="shared" si="22"/>
        <v>1307.1591735924526</v>
      </c>
      <c r="L142" s="338">
        <f t="shared" si="23"/>
        <v>0.1792076995123246</v>
      </c>
      <c r="M142" s="338">
        <f t="shared" si="24"/>
        <v>0.28364295868578671</v>
      </c>
      <c r="N142" s="338">
        <f t="shared" si="25"/>
        <v>0.53714934180188889</v>
      </c>
      <c r="P142" s="3">
        <v>2043</v>
      </c>
      <c r="Q142" s="707">
        <f>Paper!F35</f>
        <v>427.66099999999994</v>
      </c>
      <c r="R142" s="335">
        <f t="shared" si="19"/>
        <v>702.13968972548696</v>
      </c>
      <c r="S142" s="707">
        <f>Paper!G35</f>
        <v>554.53376333333324</v>
      </c>
      <c r="V142" s="335">
        <f t="shared" si="26"/>
        <v>740.9811230074738</v>
      </c>
      <c r="W142" s="335">
        <f t="shared" si="27"/>
        <v>234.25298839593478</v>
      </c>
      <c r="X142" s="335">
        <f t="shared" si="28"/>
        <v>370.76649547103113</v>
      </c>
      <c r="Y142" s="335">
        <f t="shared" si="29"/>
        <v>135.96163914050817</v>
      </c>
      <c r="Z142" s="338">
        <f t="shared" si="30"/>
        <v>0.31613894217055788</v>
      </c>
      <c r="AA142" s="338">
        <f t="shared" si="31"/>
        <v>0.50037239000930855</v>
      </c>
      <c r="AB142" s="338">
        <f t="shared" si="32"/>
        <v>0.18348866782013395</v>
      </c>
      <c r="AC142" s="338">
        <f t="shared" si="33"/>
        <v>0.66474901041829515</v>
      </c>
      <c r="AE142" s="346">
        <f>MIN('WTE Tonnes and Composition'!G96,V142)</f>
        <v>736.65508942157817</v>
      </c>
      <c r="AF142" s="335">
        <f t="shared" si="41"/>
        <v>0.47397490559375782</v>
      </c>
      <c r="AG142" s="335">
        <f t="shared" si="34"/>
        <v>1.7760607034988898</v>
      </c>
      <c r="AH142" s="335">
        <f t="shared" si="35"/>
        <v>0.38912824450431699</v>
      </c>
      <c r="AI142" s="711">
        <f t="shared" si="42"/>
        <v>2.6391638535969646</v>
      </c>
      <c r="AK142" s="610">
        <f t="shared" si="43"/>
        <v>4.3260335858956296</v>
      </c>
      <c r="AL142" s="338">
        <f t="shared" si="36"/>
        <v>1.9572793362788179E-3</v>
      </c>
      <c r="AM142" s="335">
        <f t="shared" si="37"/>
        <v>1.3676276816393496</v>
      </c>
      <c r="AN142" s="335">
        <f t="shared" si="44"/>
        <v>2.1646277646351355</v>
      </c>
      <c r="AO142" s="335">
        <f t="shared" si="38"/>
        <v>0.79377813962114607</v>
      </c>
      <c r="AP142" s="335">
        <f t="shared" si="45"/>
        <v>0.2711374456174645</v>
      </c>
      <c r="AQ142" s="335">
        <f t="shared" si="39"/>
        <v>0.60622575139202883</v>
      </c>
      <c r="AR142" s="335">
        <f t="shared" si="40"/>
        <v>0.27219648189884349</v>
      </c>
      <c r="AS142" s="335">
        <f t="shared" si="47"/>
        <v>1.1495596789083367</v>
      </c>
      <c r="AT142" s="712">
        <f t="shared" si="46"/>
        <v>0.26573064126369711</v>
      </c>
      <c r="AU142" s="723"/>
      <c r="AV142" s="609"/>
      <c r="BQ142" s="609"/>
      <c r="BR142" s="609"/>
      <c r="BS142" s="609"/>
      <c r="BT142" s="609"/>
      <c r="BU142" s="609"/>
      <c r="BV142" s="609"/>
    </row>
    <row r="143" spans="2:74" ht="14.4" x14ac:dyDescent="0.55000000000000004">
      <c r="B143" s="3">
        <v>2044</v>
      </c>
      <c r="C143" s="707">
        <f>Compost!E35</f>
        <v>379.93165197372355</v>
      </c>
      <c r="D143" s="338">
        <f t="shared" si="20"/>
        <v>0.64483033762546094</v>
      </c>
      <c r="F143" s="3">
        <v>2044</v>
      </c>
      <c r="G143" s="707">
        <f>'H&amp;C Recycling'!E35</f>
        <v>542.86050262015374</v>
      </c>
      <c r="H143" s="338">
        <f t="shared" si="21"/>
        <v>0.59948337110380656</v>
      </c>
      <c r="J143" s="3">
        <v>2044</v>
      </c>
      <c r="K143" s="335">
        <f t="shared" si="22"/>
        <v>1288.0143126369778</v>
      </c>
      <c r="L143" s="338">
        <f t="shared" si="23"/>
        <v>0.16247075090461888</v>
      </c>
      <c r="M143" s="338">
        <f t="shared" si="24"/>
        <v>0.28158594043544649</v>
      </c>
      <c r="N143" s="338">
        <f t="shared" si="25"/>
        <v>0.55594330865993458</v>
      </c>
      <c r="P143" s="3">
        <v>2044</v>
      </c>
      <c r="Q143" s="707">
        <f>Paper!F36</f>
        <v>439.25199999999995</v>
      </c>
      <c r="R143" s="335">
        <f t="shared" si="19"/>
        <v>716.06293856875288</v>
      </c>
      <c r="S143" s="707">
        <f>Paper!G36</f>
        <v>569.5634266666666</v>
      </c>
      <c r="V143" s="335">
        <f t="shared" si="26"/>
        <v>706.9534782155057</v>
      </c>
      <c r="W143" s="335">
        <f t="shared" si="27"/>
        <v>209.26465255002631</v>
      </c>
      <c r="X143" s="335">
        <f t="shared" si="28"/>
        <v>362.68672151819862</v>
      </c>
      <c r="Y143" s="335">
        <f t="shared" si="29"/>
        <v>135.00210414728076</v>
      </c>
      <c r="Z143" s="338">
        <f t="shared" si="30"/>
        <v>0.29600908546097382</v>
      </c>
      <c r="AA143" s="338">
        <f t="shared" si="31"/>
        <v>0.51302770648175278</v>
      </c>
      <c r="AB143" s="338">
        <f t="shared" si="32"/>
        <v>0.19096320805727346</v>
      </c>
      <c r="AC143" s="338">
        <f t="shared" si="33"/>
        <v>0.68022823856626402</v>
      </c>
      <c r="AE143" s="346">
        <f>MIN('WTE Tonnes and Composition'!G97,V143)</f>
        <v>706.9534782155057</v>
      </c>
      <c r="AF143" s="335">
        <f t="shared" si="41"/>
        <v>0.44379498891524388</v>
      </c>
      <c r="AG143" s="335">
        <f t="shared" si="34"/>
        <v>1.8209804687094209</v>
      </c>
      <c r="AH143" s="335">
        <f t="shared" si="35"/>
        <v>0.40497965786683648</v>
      </c>
      <c r="AI143" s="711">
        <f t="shared" si="42"/>
        <v>2.6697551154915011</v>
      </c>
      <c r="AK143" s="610">
        <f t="shared" si="43"/>
        <v>0</v>
      </c>
      <c r="AL143" s="338">
        <f t="shared" si="36"/>
        <v>0</v>
      </c>
      <c r="AM143" s="335">
        <f t="shared" si="37"/>
        <v>0</v>
      </c>
      <c r="AN143" s="335">
        <f t="shared" si="44"/>
        <v>0</v>
      </c>
      <c r="AO143" s="335">
        <f t="shared" si="38"/>
        <v>0</v>
      </c>
      <c r="AP143" s="335">
        <f t="shared" si="45"/>
        <v>0</v>
      </c>
      <c r="AQ143" s="335">
        <f t="shared" si="39"/>
        <v>0</v>
      </c>
      <c r="AR143" s="335">
        <f t="shared" si="40"/>
        <v>0</v>
      </c>
      <c r="AS143" s="335">
        <f t="shared" si="47"/>
        <v>0</v>
      </c>
      <c r="AT143" s="712" t="e">
        <f t="shared" si="46"/>
        <v>#DIV/0!</v>
      </c>
      <c r="AU143" s="723"/>
      <c r="AV143" s="609"/>
      <c r="BQ143" s="609"/>
      <c r="BR143" s="609"/>
      <c r="BS143" s="609"/>
      <c r="BT143" s="609"/>
      <c r="BU143" s="609"/>
      <c r="BV143" s="609"/>
    </row>
    <row r="144" spans="2:74" ht="14.4" x14ac:dyDescent="0.55000000000000004">
      <c r="B144" s="3">
        <v>2045</v>
      </c>
      <c r="C144" s="707">
        <f>Compost!E36</f>
        <v>390.1828214111618</v>
      </c>
      <c r="D144" s="338">
        <f t="shared" si="20"/>
        <v>0.67894308546080084</v>
      </c>
      <c r="F144" s="3">
        <v>2045</v>
      </c>
      <c r="G144" s="707">
        <f>'H&amp;C Recycling'!E36</f>
        <v>552.43773813026735</v>
      </c>
      <c r="H144" s="338">
        <f t="shared" si="21"/>
        <v>0.60927896698217887</v>
      </c>
      <c r="J144" s="3">
        <v>2045</v>
      </c>
      <c r="K144" s="335">
        <f t="shared" si="22"/>
        <v>1268.9384691947739</v>
      </c>
      <c r="L144" s="338">
        <f t="shared" si="23"/>
        <v>0.14540396154324081</v>
      </c>
      <c r="M144" s="338">
        <f t="shared" si="24"/>
        <v>0.27918583463785196</v>
      </c>
      <c r="N144" s="338">
        <f t="shared" si="25"/>
        <v>0.57541020381890695</v>
      </c>
      <c r="P144" s="3">
        <v>2045</v>
      </c>
      <c r="Q144" s="707">
        <f>Paper!F37</f>
        <v>451.24499999999995</v>
      </c>
      <c r="R144" s="335">
        <f t="shared" si="19"/>
        <v>730.16014319301667</v>
      </c>
      <c r="S144" s="707">
        <f>Paper!G37</f>
        <v>585.11434999999994</v>
      </c>
      <c r="V144" s="335">
        <f t="shared" si="26"/>
        <v>672.47288083553178</v>
      </c>
      <c r="W144" s="335">
        <f t="shared" si="27"/>
        <v>184.50868037553579</v>
      </c>
      <c r="X144" s="335">
        <f t="shared" si="28"/>
        <v>354.26964562622118</v>
      </c>
      <c r="Y144" s="335">
        <f t="shared" si="29"/>
        <v>133.69455483377453</v>
      </c>
      <c r="Z144" s="338">
        <f t="shared" si="30"/>
        <v>0.27437341435432772</v>
      </c>
      <c r="AA144" s="338">
        <f t="shared" si="31"/>
        <v>0.52681625642070418</v>
      </c>
      <c r="AB144" s="338">
        <f t="shared" si="32"/>
        <v>0.19881032922496769</v>
      </c>
      <c r="AC144" s="338">
        <f t="shared" si="33"/>
        <v>0.69592813391021402</v>
      </c>
      <c r="AE144" s="346">
        <f>MIN('WTE Tonnes and Composition'!G98,V144)</f>
        <v>672.47288083553178</v>
      </c>
      <c r="AF144" s="335">
        <f t="shared" si="41"/>
        <v>0.41135746287108538</v>
      </c>
      <c r="AG144" s="335">
        <f t="shared" si="34"/>
        <v>1.8699226209819473</v>
      </c>
      <c r="AH144" s="335">
        <f t="shared" si="35"/>
        <v>0.4216212113789628</v>
      </c>
      <c r="AI144" s="711">
        <f t="shared" si="42"/>
        <v>2.7029012952319955</v>
      </c>
      <c r="AK144" s="610">
        <f t="shared" si="43"/>
        <v>0</v>
      </c>
      <c r="AL144" s="338">
        <f t="shared" si="36"/>
        <v>0</v>
      </c>
      <c r="AM144" s="335">
        <f t="shared" si="37"/>
        <v>0</v>
      </c>
      <c r="AN144" s="335">
        <f t="shared" si="44"/>
        <v>0</v>
      </c>
      <c r="AO144" s="335">
        <f t="shared" si="38"/>
        <v>0</v>
      </c>
      <c r="AP144" s="335">
        <f t="shared" si="45"/>
        <v>0</v>
      </c>
      <c r="AQ144" s="335">
        <f t="shared" si="39"/>
        <v>0</v>
      </c>
      <c r="AR144" s="335">
        <f t="shared" si="40"/>
        <v>0</v>
      </c>
      <c r="AS144" s="335">
        <f t="shared" si="47"/>
        <v>0</v>
      </c>
      <c r="AT144" s="712" t="e">
        <f t="shared" si="46"/>
        <v>#DIV/0!</v>
      </c>
      <c r="AU144" s="723"/>
      <c r="AV144" s="609"/>
      <c r="BQ144" s="609"/>
      <c r="BR144" s="609"/>
      <c r="BS144" s="609"/>
      <c r="BT144" s="609"/>
      <c r="BU144" s="609"/>
      <c r="BV144" s="609"/>
    </row>
    <row r="145" spans="2:74" ht="14.4" x14ac:dyDescent="0.55000000000000004">
      <c r="B145" s="3">
        <v>2046</v>
      </c>
      <c r="C145" s="707">
        <f>Compost!E37</f>
        <v>400.50510275993332</v>
      </c>
      <c r="D145" s="338">
        <f t="shared" si="20"/>
        <v>0.71471729140302798</v>
      </c>
      <c r="F145" s="3">
        <v>2046</v>
      </c>
      <c r="G145" s="707">
        <f>'H&amp;C Recycling'!E37</f>
        <v>561.9262414354929</v>
      </c>
      <c r="H145" s="338">
        <f t="shared" si="21"/>
        <v>0.61927550208257287</v>
      </c>
      <c r="J145" s="3">
        <v>2046</v>
      </c>
      <c r="K145" s="335">
        <f t="shared" si="22"/>
        <v>1249.6660138398629</v>
      </c>
      <c r="L145" s="338">
        <f t="shared" si="23"/>
        <v>0.12792494969359813</v>
      </c>
      <c r="M145" s="338">
        <f t="shared" si="24"/>
        <v>0.27644725211933702</v>
      </c>
      <c r="N145" s="338">
        <f t="shared" si="25"/>
        <v>0.59562779818706513</v>
      </c>
      <c r="P145" s="3">
        <v>2046</v>
      </c>
      <c r="Q145" s="707">
        <f>Paper!F38</f>
        <v>463.63999999999993</v>
      </c>
      <c r="R145" s="335">
        <f t="shared" si="19"/>
        <v>744.33581629264393</v>
      </c>
      <c r="S145" s="707">
        <f>Paper!G38</f>
        <v>601.18653333333327</v>
      </c>
      <c r="V145" s="335">
        <f t="shared" si="26"/>
        <v>637.27309136245356</v>
      </c>
      <c r="W145" s="335">
        <f t="shared" si="27"/>
        <v>159.86346195426376</v>
      </c>
      <c r="X145" s="335">
        <f t="shared" si="28"/>
        <v>345.4667355929555</v>
      </c>
      <c r="Y145" s="335">
        <f t="shared" si="29"/>
        <v>131.94289381523458</v>
      </c>
      <c r="Z145" s="338">
        <f t="shared" si="30"/>
        <v>0.25085550311324895</v>
      </c>
      <c r="AA145" s="338">
        <f t="shared" si="31"/>
        <v>0.54210155783349856</v>
      </c>
      <c r="AB145" s="338">
        <f t="shared" si="32"/>
        <v>0.20704293905325297</v>
      </c>
      <c r="AC145" s="338">
        <f t="shared" si="33"/>
        <v>0.71191453710316877</v>
      </c>
      <c r="AE145" s="346">
        <f>MIN('WTE Tonnes and Composition'!G99,V145)</f>
        <v>637.27309136245356</v>
      </c>
      <c r="AF145" s="335">
        <f t="shared" si="41"/>
        <v>0.37609796689213415</v>
      </c>
      <c r="AG145" s="335">
        <f t="shared" si="34"/>
        <v>1.9241774594231633</v>
      </c>
      <c r="AH145" s="335">
        <f t="shared" si="35"/>
        <v>0.43908027873297467</v>
      </c>
      <c r="AI145" s="711">
        <f t="shared" si="42"/>
        <v>2.739355705048272</v>
      </c>
      <c r="AK145" s="610">
        <f t="shared" si="43"/>
        <v>0</v>
      </c>
      <c r="AL145" s="338">
        <f t="shared" si="36"/>
        <v>0</v>
      </c>
      <c r="AM145" s="335">
        <f t="shared" si="37"/>
        <v>0</v>
      </c>
      <c r="AN145" s="335">
        <f t="shared" si="44"/>
        <v>0</v>
      </c>
      <c r="AO145" s="335">
        <f t="shared" si="38"/>
        <v>0</v>
      </c>
      <c r="AP145" s="335">
        <f t="shared" si="45"/>
        <v>0</v>
      </c>
      <c r="AQ145" s="335">
        <f t="shared" si="39"/>
        <v>0</v>
      </c>
      <c r="AR145" s="335">
        <f t="shared" si="40"/>
        <v>0</v>
      </c>
      <c r="AS145" s="335">
        <f t="shared" si="47"/>
        <v>0</v>
      </c>
      <c r="AT145" s="712" t="e">
        <f t="shared" si="46"/>
        <v>#DIV/0!</v>
      </c>
      <c r="AU145" s="723"/>
      <c r="AV145" s="609"/>
      <c r="BQ145" s="609"/>
      <c r="BR145" s="609"/>
      <c r="BS145" s="609"/>
      <c r="BT145" s="609"/>
      <c r="BU145" s="609"/>
      <c r="BV145" s="609"/>
    </row>
    <row r="146" spans="2:74" ht="14.4" x14ac:dyDescent="0.55000000000000004">
      <c r="B146" s="3">
        <v>2047</v>
      </c>
      <c r="C146" s="707">
        <f>Compost!E38</f>
        <v>410.90142394952579</v>
      </c>
      <c r="D146" s="338">
        <f t="shared" si="20"/>
        <v>0.75219525319557456</v>
      </c>
      <c r="F146" s="3">
        <v>2047</v>
      </c>
      <c r="G146" s="707">
        <f>'H&amp;C Recycling'!E38</f>
        <v>571.32917577005298</v>
      </c>
      <c r="H146" s="338">
        <f t="shared" si="21"/>
        <v>0.62948321821140574</v>
      </c>
      <c r="J146" s="3">
        <v>2047</v>
      </c>
      <c r="K146" s="335">
        <f t="shared" si="22"/>
        <v>1230.2498378858772</v>
      </c>
      <c r="L146" s="338">
        <f t="shared" si="23"/>
        <v>0.1100331035276068</v>
      </c>
      <c r="M146" s="338">
        <f t="shared" si="24"/>
        <v>0.27334857411656638</v>
      </c>
      <c r="N146" s="338">
        <f t="shared" si="25"/>
        <v>0.61661832235582703</v>
      </c>
      <c r="P146" s="3">
        <v>2047</v>
      </c>
      <c r="Q146" s="707">
        <f>Paper!F39</f>
        <v>476.4369999999999</v>
      </c>
      <c r="R146" s="335">
        <f t="shared" si="19"/>
        <v>758.59459111571778</v>
      </c>
      <c r="S146" s="707">
        <f>Paper!G39</f>
        <v>617.77997666666647</v>
      </c>
      <c r="V146" s="335">
        <f t="shared" si="26"/>
        <v>601.40698002778709</v>
      </c>
      <c r="W146" s="335">
        <f t="shared" si="27"/>
        <v>135.36820777691821</v>
      </c>
      <c r="X146" s="335">
        <f t="shared" si="28"/>
        <v>336.28703899324148</v>
      </c>
      <c r="Y146" s="335">
        <f t="shared" si="29"/>
        <v>129.75173325762762</v>
      </c>
      <c r="Z146" s="338">
        <f t="shared" si="30"/>
        <v>0.2250858607771126</v>
      </c>
      <c r="AA146" s="338">
        <f t="shared" si="31"/>
        <v>0.55916716992161253</v>
      </c>
      <c r="AB146" s="338">
        <f t="shared" si="32"/>
        <v>0.21574696930127521</v>
      </c>
      <c r="AC146" s="338">
        <f t="shared" si="33"/>
        <v>0.72817523273621187</v>
      </c>
      <c r="AE146" s="346">
        <f>MIN('WTE Tonnes and Composition'!G100,V146)</f>
        <v>601.40698002778709</v>
      </c>
      <c r="AF146" s="335">
        <f t="shared" si="41"/>
        <v>0.33746253745217114</v>
      </c>
      <c r="AG146" s="335">
        <f t="shared" si="34"/>
        <v>1.9847514711313052</v>
      </c>
      <c r="AH146" s="335">
        <f t="shared" si="35"/>
        <v>0.45753909720260078</v>
      </c>
      <c r="AI146" s="711">
        <f t="shared" si="42"/>
        <v>2.7797531057860771</v>
      </c>
      <c r="AK146" s="610">
        <f t="shared" si="43"/>
        <v>0</v>
      </c>
      <c r="AL146" s="338">
        <f t="shared" si="36"/>
        <v>0</v>
      </c>
      <c r="AM146" s="335">
        <f t="shared" si="37"/>
        <v>0</v>
      </c>
      <c r="AN146" s="335">
        <f t="shared" si="44"/>
        <v>0</v>
      </c>
      <c r="AO146" s="335">
        <f t="shared" si="38"/>
        <v>0</v>
      </c>
      <c r="AP146" s="335">
        <f t="shared" si="45"/>
        <v>0</v>
      </c>
      <c r="AQ146" s="335">
        <f t="shared" si="39"/>
        <v>0</v>
      </c>
      <c r="AR146" s="335">
        <f t="shared" si="40"/>
        <v>0</v>
      </c>
      <c r="AS146" s="335">
        <f t="shared" si="47"/>
        <v>0</v>
      </c>
      <c r="AT146" s="712" t="e">
        <f t="shared" si="46"/>
        <v>#DIV/0!</v>
      </c>
      <c r="AU146" s="723"/>
      <c r="AV146" s="609"/>
      <c r="BQ146" s="609"/>
      <c r="BR146" s="609"/>
      <c r="BS146" s="609"/>
      <c r="BT146" s="609"/>
      <c r="BU146" s="609"/>
      <c r="BV146" s="609"/>
    </row>
    <row r="147" spans="2:74" ht="14.4" x14ac:dyDescent="0.55000000000000004">
      <c r="B147" s="3">
        <v>2048</v>
      </c>
      <c r="C147" s="707">
        <f>Compost!E39</f>
        <v>421.37944865100434</v>
      </c>
      <c r="D147" s="338">
        <f t="shared" si="20"/>
        <v>0.79138912339926271</v>
      </c>
      <c r="F147" s="3">
        <v>2048</v>
      </c>
      <c r="G147" s="707">
        <f>'H&amp;C Recycling'!E39</f>
        <v>580.65611741361636</v>
      </c>
      <c r="H147" s="338">
        <f t="shared" si="21"/>
        <v>0.63991244455546048</v>
      </c>
      <c r="J147" s="3">
        <v>2048</v>
      </c>
      <c r="K147" s="335">
        <f t="shared" si="22"/>
        <v>1210.7688850431412</v>
      </c>
      <c r="L147" s="338">
        <f t="shared" si="23"/>
        <v>9.1740049410671681E-2</v>
      </c>
      <c r="M147" s="338">
        <f t="shared" si="24"/>
        <v>0.26986422197682958</v>
      </c>
      <c r="N147" s="338">
        <f t="shared" si="25"/>
        <v>0.63839572861249894</v>
      </c>
      <c r="P147" s="3">
        <v>2048</v>
      </c>
      <c r="Q147" s="707">
        <f>Paper!F40</f>
        <v>489.63599999999991</v>
      </c>
      <c r="R147" s="335">
        <f t="shared" si="19"/>
        <v>772.949684548459</v>
      </c>
      <c r="S147" s="707">
        <f>Paper!G40</f>
        <v>634.89467999999988</v>
      </c>
      <c r="V147" s="335">
        <f t="shared" si="26"/>
        <v>564.95414624623811</v>
      </c>
      <c r="W147" s="335">
        <f t="shared" si="27"/>
        <v>111.07599733876162</v>
      </c>
      <c r="X147" s="335">
        <f t="shared" si="28"/>
        <v>326.7432031559207</v>
      </c>
      <c r="Y147" s="335">
        <f t="shared" si="29"/>
        <v>127.13494575155596</v>
      </c>
      <c r="Z147" s="338">
        <f t="shared" si="30"/>
        <v>0.19661064190216349</v>
      </c>
      <c r="AA147" s="338">
        <f t="shared" si="31"/>
        <v>0.57835349174251038</v>
      </c>
      <c r="AB147" s="338">
        <f t="shared" si="32"/>
        <v>0.22503586635532638</v>
      </c>
      <c r="AC147" s="338">
        <f t="shared" si="33"/>
        <v>0.74468862534897107</v>
      </c>
      <c r="AE147" s="346">
        <f>MIN('WTE Tonnes and Composition'!G101,V147)</f>
        <v>564.95414624623811</v>
      </c>
      <c r="AF147" s="335">
        <f t="shared" si="41"/>
        <v>0.29477074160648831</v>
      </c>
      <c r="AG147" s="335">
        <f t="shared" si="34"/>
        <v>2.0528528950131189</v>
      </c>
      <c r="AH147" s="335">
        <f t="shared" si="35"/>
        <v>0.47723825490517596</v>
      </c>
      <c r="AI147" s="711">
        <f t="shared" si="42"/>
        <v>2.8248618915247832</v>
      </c>
      <c r="AK147" s="610">
        <f t="shared" si="43"/>
        <v>0</v>
      </c>
      <c r="AL147" s="338">
        <f t="shared" si="36"/>
        <v>0</v>
      </c>
      <c r="AM147" s="335">
        <f t="shared" si="37"/>
        <v>0</v>
      </c>
      <c r="AN147" s="335">
        <f t="shared" si="44"/>
        <v>0</v>
      </c>
      <c r="AO147" s="335">
        <f t="shared" si="38"/>
        <v>0</v>
      </c>
      <c r="AP147" s="335">
        <f t="shared" si="45"/>
        <v>0</v>
      </c>
      <c r="AQ147" s="335">
        <f t="shared" si="39"/>
        <v>0</v>
      </c>
      <c r="AR147" s="335">
        <f t="shared" si="40"/>
        <v>0</v>
      </c>
      <c r="AS147" s="335">
        <f t="shared" si="47"/>
        <v>0</v>
      </c>
      <c r="AT147" s="712" t="e">
        <f t="shared" si="46"/>
        <v>#DIV/0!</v>
      </c>
      <c r="AU147" s="723"/>
      <c r="AV147" s="609"/>
      <c r="BQ147" s="609"/>
      <c r="BR147" s="609"/>
      <c r="BS147" s="609"/>
      <c r="BT147" s="609"/>
      <c r="BU147" s="609"/>
      <c r="BV147" s="609"/>
    </row>
    <row r="148" spans="2:74" ht="14.4" x14ac:dyDescent="0.55000000000000004">
      <c r="B148" s="3">
        <v>2049</v>
      </c>
      <c r="C148" s="707">
        <f>Compost!E40</f>
        <v>431.93764557097978</v>
      </c>
      <c r="D148" s="338">
        <f t="shared" si="20"/>
        <v>0.83232939620369384</v>
      </c>
      <c r="F148" s="3">
        <v>2049</v>
      </c>
      <c r="G148" s="707">
        <f>'H&amp;C Recycling'!E40</f>
        <v>589.90407926296848</v>
      </c>
      <c r="H148" s="338">
        <f t="shared" si="21"/>
        <v>0.65057529237375245</v>
      </c>
      <c r="J148" s="3">
        <v>2049</v>
      </c>
      <c r="K148" s="335">
        <f t="shared" si="22"/>
        <v>1191.2481049339931</v>
      </c>
      <c r="L148" s="338">
        <f t="shared" si="23"/>
        <v>7.3043324059839793E-2</v>
      </c>
      <c r="M148" s="338">
        <f t="shared" si="24"/>
        <v>0.26597157282722483</v>
      </c>
      <c r="N148" s="338">
        <f t="shared" si="25"/>
        <v>0.66098510311293546</v>
      </c>
      <c r="P148" s="3">
        <v>2049</v>
      </c>
      <c r="Q148" s="707">
        <f>Paper!F41</f>
        <v>503.23699999999997</v>
      </c>
      <c r="R148" s="335">
        <f t="shared" si="19"/>
        <v>787.39725147288436</v>
      </c>
      <c r="S148" s="707">
        <f>Paper!G41</f>
        <v>652.53064333333327</v>
      </c>
      <c r="V148" s="335">
        <f t="shared" si="26"/>
        <v>527.93970902180365</v>
      </c>
      <c r="W148" s="335">
        <f t="shared" si="27"/>
        <v>87.012721364363699</v>
      </c>
      <c r="X148" s="335">
        <f t="shared" si="28"/>
        <v>316.83813209674508</v>
      </c>
      <c r="Y148" s="335">
        <f t="shared" si="29"/>
        <v>124.08885556069492</v>
      </c>
      <c r="Z148" s="338">
        <f t="shared" si="30"/>
        <v>0.16481564064500046</v>
      </c>
      <c r="AA148" s="338">
        <f t="shared" si="31"/>
        <v>0.60014074842712739</v>
      </c>
      <c r="AB148" s="338">
        <f t="shared" si="32"/>
        <v>0.23504361092787229</v>
      </c>
      <c r="AC148" s="338">
        <f t="shared" si="33"/>
        <v>0.76144677820097251</v>
      </c>
      <c r="AE148" s="346">
        <f>MIN('WTE Tonnes and Composition'!G102,V148)</f>
        <v>527.93970902180365</v>
      </c>
      <c r="AF148" s="335">
        <f t="shared" si="41"/>
        <v>0.2471017242568733</v>
      </c>
      <c r="AG148" s="335">
        <f t="shared" si="34"/>
        <v>2.1301862795227473</v>
      </c>
      <c r="AH148" s="335">
        <f t="shared" si="35"/>
        <v>0.49846188753179577</v>
      </c>
      <c r="AI148" s="711">
        <f t="shared" si="42"/>
        <v>2.8757498913114166</v>
      </c>
      <c r="AK148" s="610">
        <f t="shared" si="43"/>
        <v>0</v>
      </c>
      <c r="AL148" s="338">
        <f t="shared" si="36"/>
        <v>0</v>
      </c>
      <c r="AM148" s="335">
        <f t="shared" si="37"/>
        <v>0</v>
      </c>
      <c r="AN148" s="335">
        <f t="shared" si="44"/>
        <v>0</v>
      </c>
      <c r="AO148" s="335">
        <f t="shared" si="38"/>
        <v>0</v>
      </c>
      <c r="AP148" s="335">
        <f t="shared" si="45"/>
        <v>0</v>
      </c>
      <c r="AQ148" s="335">
        <f t="shared" si="39"/>
        <v>0</v>
      </c>
      <c r="AR148" s="335">
        <f t="shared" si="40"/>
        <v>0</v>
      </c>
      <c r="AS148" s="335">
        <f t="shared" si="47"/>
        <v>0</v>
      </c>
      <c r="AT148" s="712" t="e">
        <f t="shared" si="46"/>
        <v>#DIV/0!</v>
      </c>
      <c r="AU148" s="723"/>
      <c r="AV148" s="609"/>
      <c r="BQ148" s="609"/>
      <c r="BR148" s="609"/>
      <c r="BS148" s="609"/>
      <c r="BT148" s="609"/>
      <c r="BU148" s="609"/>
      <c r="BV148" s="609"/>
    </row>
    <row r="149" spans="2:74" ht="14.4" x14ac:dyDescent="0.55000000000000004">
      <c r="B149" s="3">
        <v>2050</v>
      </c>
      <c r="C149" s="707">
        <f>Compost!E41</f>
        <v>442.48784978199905</v>
      </c>
      <c r="D149" s="338">
        <f t="shared" si="20"/>
        <v>0.87542091842376635</v>
      </c>
      <c r="F149" s="3">
        <v>2050</v>
      </c>
      <c r="G149" s="707">
        <f>'H&amp;C Recycling'!E41</f>
        <v>598.95138243934446</v>
      </c>
      <c r="H149" s="338">
        <f t="shared" si="21"/>
        <v>0.66149266290113384</v>
      </c>
      <c r="J149" s="3">
        <v>2050</v>
      </c>
      <c r="K149" s="335">
        <f t="shared" si="22"/>
        <v>1171.2489348595273</v>
      </c>
      <c r="L149" s="338">
        <f t="shared" si="23"/>
        <v>5.3762610213072076E-2</v>
      </c>
      <c r="M149" s="338">
        <f t="shared" si="24"/>
        <v>0.26168896987561674</v>
      </c>
      <c r="N149" s="338">
        <f t="shared" si="25"/>
        <v>0.6845484199113111</v>
      </c>
      <c r="P149" s="3">
        <v>2050</v>
      </c>
      <c r="Q149" s="707">
        <f>Paper!F42</f>
        <v>517.2399999999999</v>
      </c>
      <c r="R149" s="335">
        <f t="shared" si="19"/>
        <v>801.77660768089549</v>
      </c>
      <c r="S149" s="707">
        <f>Paper!G42</f>
        <v>670.68786666666654</v>
      </c>
      <c r="V149" s="335">
        <f t="shared" si="26"/>
        <v>489.92494844954251</v>
      </c>
      <c r="W149" s="335">
        <f t="shared" si="27"/>
        <v>62.969399947328611</v>
      </c>
      <c r="X149" s="335">
        <f t="shared" si="28"/>
        <v>306.50292723130303</v>
      </c>
      <c r="Y149" s="335">
        <f t="shared" si="29"/>
        <v>120.45262127091075</v>
      </c>
      <c r="Z149" s="338">
        <f t="shared" si="30"/>
        <v>0.12852866576116778</v>
      </c>
      <c r="AA149" s="338">
        <f t="shared" si="31"/>
        <v>0.62561200077948231</v>
      </c>
      <c r="AB149" s="338">
        <f t="shared" si="32"/>
        <v>0.24585933345934963</v>
      </c>
      <c r="AC149" s="338">
        <f t="shared" si="33"/>
        <v>0.7785838258917952</v>
      </c>
      <c r="AE149" s="346">
        <f>MIN('WTE Tonnes and Composition'!G103,V149)</f>
        <v>489.92494844954251</v>
      </c>
      <c r="AF149" s="335">
        <f t="shared" si="41"/>
        <v>0.19269806434467976</v>
      </c>
      <c r="AG149" s="335">
        <f t="shared" si="34"/>
        <v>2.2205959249691709</v>
      </c>
      <c r="AH149" s="335">
        <f t="shared" si="35"/>
        <v>0.52139901586631054</v>
      </c>
      <c r="AI149" s="711">
        <f t="shared" si="42"/>
        <v>2.9346930051801614</v>
      </c>
      <c r="AK149" s="610">
        <f t="shared" si="43"/>
        <v>0</v>
      </c>
      <c r="AL149" s="338">
        <f t="shared" si="36"/>
        <v>0</v>
      </c>
      <c r="AM149" s="335">
        <f t="shared" si="37"/>
        <v>0</v>
      </c>
      <c r="AN149" s="335">
        <f t="shared" si="44"/>
        <v>0</v>
      </c>
      <c r="AO149" s="335">
        <f t="shared" si="38"/>
        <v>0</v>
      </c>
      <c r="AP149" s="335">
        <f t="shared" si="45"/>
        <v>0</v>
      </c>
      <c r="AQ149" s="335">
        <f t="shared" si="39"/>
        <v>0</v>
      </c>
      <c r="AR149" s="335">
        <f t="shared" si="40"/>
        <v>0</v>
      </c>
      <c r="AS149" s="335">
        <f t="shared" si="47"/>
        <v>0</v>
      </c>
      <c r="AT149" s="712" t="e">
        <f t="shared" si="46"/>
        <v>#DIV/0!</v>
      </c>
      <c r="AU149" s="723"/>
      <c r="AV149" s="609"/>
      <c r="BQ149" s="609"/>
      <c r="BR149" s="609"/>
      <c r="BS149" s="609"/>
      <c r="BT149" s="609"/>
      <c r="BU149" s="609"/>
      <c r="BV149" s="609"/>
    </row>
    <row r="150" spans="2:74" ht="14.4" x14ac:dyDescent="0.55000000000000004">
      <c r="B150" s="3">
        <v>2051</v>
      </c>
      <c r="C150" s="707">
        <f>Compost!E42</f>
        <v>453.28884032753376</v>
      </c>
      <c r="D150" s="338">
        <f t="shared" si="20"/>
        <v>0.87107042036076876</v>
      </c>
      <c r="F150" s="3">
        <v>2051</v>
      </c>
      <c r="G150" s="707">
        <f>'H&amp;C Recycling'!E42</f>
        <v>601.24489577747249</v>
      </c>
      <c r="H150" s="338">
        <f t="shared" si="21"/>
        <v>0.66482298931429273</v>
      </c>
      <c r="J150" s="3">
        <v>2051</v>
      </c>
      <c r="K150" s="335">
        <f t="shared" si="22"/>
        <v>1186.7718985308436</v>
      </c>
      <c r="L150" s="338">
        <f t="shared" si="23"/>
        <v>5.6533656188145022E-2</v>
      </c>
      <c r="M150" s="338">
        <f t="shared" si="24"/>
        <v>0.25541849578619752</v>
      </c>
      <c r="N150" s="338">
        <f t="shared" si="25"/>
        <v>0.68804784802565744</v>
      </c>
      <c r="P150" s="3">
        <v>2051</v>
      </c>
      <c r="Q150" s="707">
        <f>Paper!F43</f>
        <v>531.64499999999998</v>
      </c>
      <c r="R150" s="335">
        <f t="shared" si="19"/>
        <v>816.55585088147086</v>
      </c>
      <c r="S150" s="707">
        <f>Paper!G43</f>
        <v>689.36635000000001</v>
      </c>
      <c r="V150" s="335">
        <f t="shared" si="26"/>
        <v>486.90935006665086</v>
      </c>
      <c r="W150" s="335">
        <f t="shared" si="27"/>
        <v>67.092554485294841</v>
      </c>
      <c r="X150" s="335">
        <f t="shared" si="28"/>
        <v>303.1234931640779</v>
      </c>
      <c r="Y150" s="335">
        <f t="shared" si="29"/>
        <v>116.69330241727812</v>
      </c>
      <c r="Z150" s="338">
        <f t="shared" si="30"/>
        <v>0.13779270099477622</v>
      </c>
      <c r="AA150" s="338">
        <f t="shared" si="31"/>
        <v>0.62254605117479189</v>
      </c>
      <c r="AB150" s="338">
        <f t="shared" si="32"/>
        <v>0.23966124783043186</v>
      </c>
      <c r="AC150" s="338">
        <f t="shared" si="33"/>
        <v>0.78275637978942569</v>
      </c>
      <c r="AE150" s="346">
        <f>MIN('WTE Tonnes and Composition'!G104,V150)</f>
        <v>486.90935006665086</v>
      </c>
      <c r="AF150" s="335">
        <f t="shared" si="41"/>
        <v>0.20658727456066731</v>
      </c>
      <c r="AG150" s="335">
        <f t="shared" si="34"/>
        <v>2.2097134048291265</v>
      </c>
      <c r="AH150" s="335">
        <f t="shared" si="35"/>
        <v>0.50825460641192155</v>
      </c>
      <c r="AI150" s="711">
        <f t="shared" si="42"/>
        <v>2.9245552858017154</v>
      </c>
      <c r="AK150" s="610">
        <f t="shared" si="43"/>
        <v>0</v>
      </c>
      <c r="AL150" s="338">
        <f t="shared" si="36"/>
        <v>0</v>
      </c>
      <c r="AM150" s="335">
        <f t="shared" si="37"/>
        <v>0</v>
      </c>
      <c r="AN150" s="335">
        <f t="shared" si="44"/>
        <v>0</v>
      </c>
      <c r="AO150" s="335">
        <f t="shared" si="38"/>
        <v>0</v>
      </c>
      <c r="AP150" s="335">
        <f t="shared" si="45"/>
        <v>0</v>
      </c>
      <c r="AQ150" s="335">
        <f t="shared" si="39"/>
        <v>0</v>
      </c>
      <c r="AR150" s="335">
        <f t="shared" si="40"/>
        <v>0</v>
      </c>
      <c r="AS150" s="335">
        <f t="shared" si="47"/>
        <v>0</v>
      </c>
      <c r="AT150" s="712" t="e">
        <f t="shared" si="46"/>
        <v>#DIV/0!</v>
      </c>
      <c r="AU150" s="723"/>
      <c r="AV150" s="609"/>
      <c r="BQ150" s="609"/>
      <c r="BR150" s="609"/>
      <c r="BS150" s="609"/>
      <c r="BT150" s="609"/>
      <c r="BU150" s="609"/>
      <c r="BV150" s="609"/>
    </row>
    <row r="151" spans="2:74" ht="14.4" x14ac:dyDescent="0.55000000000000004">
      <c r="B151" s="3">
        <v>2052</v>
      </c>
      <c r="C151" s="707">
        <f>Compost!E43</f>
        <v>464.079437630717</v>
      </c>
      <c r="D151" s="338">
        <f t="shared" si="20"/>
        <v>0.86692636795977063</v>
      </c>
      <c r="F151" s="3">
        <v>2052</v>
      </c>
      <c r="G151" s="707">
        <f>'H&amp;C Recycling'!E43</f>
        <v>603.28481885847646</v>
      </c>
      <c r="H151" s="338">
        <f t="shared" si="21"/>
        <v>0.66846029963673681</v>
      </c>
      <c r="J151" s="3">
        <v>2052</v>
      </c>
      <c r="K151" s="335">
        <f t="shared" si="22"/>
        <v>1201.7117476711883</v>
      </c>
      <c r="L151" s="338">
        <f t="shared" si="23"/>
        <v>5.9279129492053967E-2</v>
      </c>
      <c r="M151" s="338">
        <f t="shared" si="24"/>
        <v>0.24899006088361678</v>
      </c>
      <c r="N151" s="338">
        <f t="shared" si="25"/>
        <v>0.69173080962432909</v>
      </c>
      <c r="P151" s="3">
        <v>2052</v>
      </c>
      <c r="Q151" s="707">
        <f>Paper!F44</f>
        <v>546.452</v>
      </c>
      <c r="R151" s="335">
        <f t="shared" si="19"/>
        <v>831.26104015165856</v>
      </c>
      <c r="S151" s="707">
        <f>Paper!G44</f>
        <v>708.56609333333336</v>
      </c>
      <c r="V151" s="335">
        <f t="shared" si="26"/>
        <v>482.78799616126105</v>
      </c>
      <c r="W151" s="335">
        <f t="shared" si="27"/>
        <v>71.236426302322855</v>
      </c>
      <c r="X151" s="335">
        <f t="shared" si="28"/>
        <v>299.21428121720669</v>
      </c>
      <c r="Y151" s="335">
        <f t="shared" si="29"/>
        <v>112.33728864173133</v>
      </c>
      <c r="Z151" s="338">
        <f t="shared" si="30"/>
        <v>0.14755219033765793</v>
      </c>
      <c r="AA151" s="338">
        <f t="shared" si="31"/>
        <v>0.61976329899731597</v>
      </c>
      <c r="AB151" s="338">
        <f t="shared" si="32"/>
        <v>0.23268451066502571</v>
      </c>
      <c r="AC151" s="338">
        <f t="shared" si="33"/>
        <v>0.78723145664752403</v>
      </c>
      <c r="AE151" s="346">
        <f>MIN('WTE Tonnes and Composition'!G105,V151)</f>
        <v>482.78799616126105</v>
      </c>
      <c r="AF151" s="335">
        <f t="shared" si="41"/>
        <v>0.22121929998650058</v>
      </c>
      <c r="AG151" s="335">
        <f t="shared" si="34"/>
        <v>2.1998360876775966</v>
      </c>
      <c r="AH151" s="335">
        <f t="shared" si="35"/>
        <v>0.49345889440531543</v>
      </c>
      <c r="AI151" s="711">
        <f t="shared" si="42"/>
        <v>2.9145142820694128</v>
      </c>
      <c r="AK151" s="610">
        <f t="shared" si="43"/>
        <v>0</v>
      </c>
      <c r="AL151" s="338">
        <f t="shared" si="36"/>
        <v>0</v>
      </c>
      <c r="AM151" s="335">
        <f t="shared" si="37"/>
        <v>0</v>
      </c>
      <c r="AN151" s="335">
        <f t="shared" si="44"/>
        <v>0</v>
      </c>
      <c r="AO151" s="335">
        <f t="shared" si="38"/>
        <v>0</v>
      </c>
      <c r="AP151" s="335">
        <f t="shared" si="45"/>
        <v>0</v>
      </c>
      <c r="AQ151" s="335">
        <f t="shared" si="39"/>
        <v>0</v>
      </c>
      <c r="AR151" s="335">
        <f t="shared" si="40"/>
        <v>0</v>
      </c>
      <c r="AS151" s="335">
        <f t="shared" si="47"/>
        <v>0</v>
      </c>
      <c r="AT151" s="712" t="e">
        <f t="shared" si="46"/>
        <v>#DIV/0!</v>
      </c>
      <c r="AU151" s="723"/>
      <c r="AV151" s="609"/>
      <c r="BQ151" s="609"/>
      <c r="BR151" s="609"/>
      <c r="BS151" s="609"/>
      <c r="BT151" s="609"/>
      <c r="BU151" s="609"/>
      <c r="BV151" s="609"/>
    </row>
    <row r="152" spans="2:74" ht="14.4" x14ac:dyDescent="0.55000000000000004">
      <c r="B152" s="3">
        <v>2053</v>
      </c>
      <c r="C152" s="707">
        <f>Compost!E44</f>
        <v>474.9449356764768</v>
      </c>
      <c r="D152" s="338">
        <f t="shared" si="20"/>
        <v>0.86289538697419876</v>
      </c>
      <c r="F152" s="3">
        <v>2053</v>
      </c>
      <c r="G152" s="707">
        <f>'H&amp;C Recycling'!E44</f>
        <v>605.19134361296699</v>
      </c>
      <c r="H152" s="338">
        <f t="shared" si="21"/>
        <v>0.67227408441975134</v>
      </c>
      <c r="J152" s="3">
        <v>2053</v>
      </c>
      <c r="K152" s="335">
        <f t="shared" si="22"/>
        <v>1216.5335378297254</v>
      </c>
      <c r="L152" s="338">
        <f t="shared" si="23"/>
        <v>6.2031615969574884E-2</v>
      </c>
      <c r="M152" s="338">
        <f t="shared" si="24"/>
        <v>0.24251189027110501</v>
      </c>
      <c r="N152" s="338">
        <f t="shared" si="25"/>
        <v>0.69545649375932006</v>
      </c>
      <c r="P152" s="3">
        <v>2053</v>
      </c>
      <c r="Q152" s="707">
        <f>Paper!F45</f>
        <v>561.66099999999994</v>
      </c>
      <c r="R152" s="335">
        <f t="shared" si="19"/>
        <v>846.04614875968196</v>
      </c>
      <c r="S152" s="707">
        <f>Paper!G45</f>
        <v>728.28709666666657</v>
      </c>
      <c r="V152" s="335">
        <f t="shared" si="26"/>
        <v>478.02730407723061</v>
      </c>
      <c r="W152" s="335">
        <f t="shared" si="27"/>
        <v>75.463541232761827</v>
      </c>
      <c r="X152" s="335">
        <f t="shared" si="28"/>
        <v>295.02384783728155</v>
      </c>
      <c r="Y152" s="335">
        <f t="shared" si="29"/>
        <v>107.53991500718712</v>
      </c>
      <c r="Z152" s="338">
        <f t="shared" si="30"/>
        <v>0.15786449976625155</v>
      </c>
      <c r="AA152" s="338">
        <f t="shared" si="31"/>
        <v>0.61716944894347958</v>
      </c>
      <c r="AB152" s="338">
        <f t="shared" si="32"/>
        <v>0.22496605129026867</v>
      </c>
      <c r="AC152" s="338">
        <f t="shared" si="33"/>
        <v>0.79186067561211526</v>
      </c>
      <c r="AE152" s="346">
        <f>MIN('WTE Tonnes and Composition'!G106,V152)</f>
        <v>478.02730407723061</v>
      </c>
      <c r="AF152" s="335">
        <f t="shared" si="41"/>
        <v>0.23668014721497746</v>
      </c>
      <c r="AG152" s="335">
        <f t="shared" si="34"/>
        <v>2.1906292744253673</v>
      </c>
      <c r="AH152" s="335">
        <f t="shared" si="35"/>
        <v>0.47709019664071411</v>
      </c>
      <c r="AI152" s="711">
        <f t="shared" si="42"/>
        <v>2.9043996182810585</v>
      </c>
      <c r="AK152" s="610">
        <f t="shared" si="43"/>
        <v>0</v>
      </c>
      <c r="AL152" s="338">
        <f t="shared" si="36"/>
        <v>0</v>
      </c>
      <c r="AM152" s="335">
        <f t="shared" si="37"/>
        <v>0</v>
      </c>
      <c r="AN152" s="335">
        <f t="shared" si="44"/>
        <v>0</v>
      </c>
      <c r="AO152" s="335">
        <f t="shared" si="38"/>
        <v>0</v>
      </c>
      <c r="AP152" s="335">
        <f t="shared" si="45"/>
        <v>0</v>
      </c>
      <c r="AQ152" s="335">
        <f t="shared" si="39"/>
        <v>0</v>
      </c>
      <c r="AR152" s="335">
        <f t="shared" si="40"/>
        <v>0</v>
      </c>
      <c r="AS152" s="335">
        <f t="shared" si="47"/>
        <v>0</v>
      </c>
      <c r="AT152" s="712" t="e">
        <f t="shared" si="46"/>
        <v>#DIV/0!</v>
      </c>
      <c r="AU152" s="723"/>
      <c r="AV152" s="609"/>
      <c r="BQ152" s="609"/>
      <c r="BR152" s="609"/>
      <c r="BS152" s="609"/>
      <c r="BT152" s="609"/>
      <c r="BU152" s="609"/>
      <c r="BV152" s="609"/>
    </row>
    <row r="153" spans="2:74" ht="14.4" x14ac:dyDescent="0.55000000000000004">
      <c r="B153" s="3">
        <v>2054</v>
      </c>
      <c r="C153" s="707">
        <f>Compost!E45</f>
        <v>485.88394998302073</v>
      </c>
      <c r="D153" s="338">
        <f t="shared" si="20"/>
        <v>0.85896806894534616</v>
      </c>
      <c r="F153" s="3">
        <v>2054</v>
      </c>
      <c r="G153" s="707">
        <f>'H&amp;C Recycling'!E45</f>
        <v>606.96595884240969</v>
      </c>
      <c r="H153" s="338">
        <f t="shared" si="21"/>
        <v>0.67626981410099773</v>
      </c>
      <c r="J153" s="3">
        <v>2054</v>
      </c>
      <c r="K153" s="335">
        <f t="shared" si="22"/>
        <v>1231.2387828249728</v>
      </c>
      <c r="L153" s="338">
        <f t="shared" si="23"/>
        <v>6.4793389447838565E-2</v>
      </c>
      <c r="M153" s="338">
        <f t="shared" si="24"/>
        <v>0.23598545812771024</v>
      </c>
      <c r="N153" s="338">
        <f t="shared" si="25"/>
        <v>0.69922115242445115</v>
      </c>
      <c r="P153" s="3">
        <v>2054</v>
      </c>
      <c r="Q153" s="707">
        <f>Paper!F46</f>
        <v>577.27199999999993</v>
      </c>
      <c r="R153" s="335">
        <f t="shared" si="19"/>
        <v>860.90820063655599</v>
      </c>
      <c r="S153" s="707">
        <f>Paper!G46</f>
        <v>748.52935999999988</v>
      </c>
      <c r="V153" s="335">
        <f t="shared" si="26"/>
        <v>472.62919160899492</v>
      </c>
      <c r="W153" s="335">
        <f t="shared" si="27"/>
        <v>79.77613395886118</v>
      </c>
      <c r="X153" s="335">
        <f t="shared" si="28"/>
        <v>290.55444822955553</v>
      </c>
      <c r="Y153" s="335">
        <f t="shared" si="29"/>
        <v>102.29860942057815</v>
      </c>
      <c r="Z153" s="338">
        <f t="shared" si="30"/>
        <v>0.16879222734269828</v>
      </c>
      <c r="AA153" s="338">
        <f t="shared" si="31"/>
        <v>0.61476196009054507</v>
      </c>
      <c r="AB153" s="338">
        <f t="shared" si="32"/>
        <v>0.21644581256675646</v>
      </c>
      <c r="AC153" s="338">
        <f t="shared" si="33"/>
        <v>0.79663891773709927</v>
      </c>
      <c r="AE153" s="346">
        <f>MIN('WTE Tonnes and Composition'!G107,V153)</f>
        <v>472.62919160899492</v>
      </c>
      <c r="AF153" s="335">
        <f t="shared" si="41"/>
        <v>0.25306366710290795</v>
      </c>
      <c r="AG153" s="335">
        <f t="shared" si="34"/>
        <v>2.1820839461235217</v>
      </c>
      <c r="AH153" s="335">
        <f t="shared" si="35"/>
        <v>0.45902114869009075</v>
      </c>
      <c r="AI153" s="711">
        <f t="shared" si="42"/>
        <v>2.8941687619165206</v>
      </c>
      <c r="AK153" s="610">
        <f t="shared" si="43"/>
        <v>0</v>
      </c>
      <c r="AL153" s="338">
        <f t="shared" si="36"/>
        <v>0</v>
      </c>
      <c r="AM153" s="335">
        <f t="shared" si="37"/>
        <v>0</v>
      </c>
      <c r="AN153" s="335">
        <f t="shared" si="44"/>
        <v>0</v>
      </c>
      <c r="AO153" s="335">
        <f t="shared" si="38"/>
        <v>0</v>
      </c>
      <c r="AP153" s="335">
        <f t="shared" si="45"/>
        <v>0</v>
      </c>
      <c r="AQ153" s="335">
        <f t="shared" si="39"/>
        <v>0</v>
      </c>
      <c r="AR153" s="335">
        <f t="shared" si="40"/>
        <v>0</v>
      </c>
      <c r="AS153" s="335">
        <f t="shared" si="47"/>
        <v>0</v>
      </c>
      <c r="AT153" s="712" t="e">
        <f t="shared" si="46"/>
        <v>#DIV/0!</v>
      </c>
      <c r="AU153" s="723"/>
      <c r="AV153" s="609"/>
      <c r="BQ153" s="609"/>
      <c r="BR153" s="609"/>
      <c r="BS153" s="609"/>
      <c r="BT153" s="609"/>
      <c r="BU153" s="609"/>
      <c r="BV153" s="609"/>
    </row>
    <row r="154" spans="2:74" ht="14.4" x14ac:dyDescent="0.55000000000000004">
      <c r="B154" s="3">
        <v>2055</v>
      </c>
      <c r="C154" s="707">
        <f>Compost!E46</f>
        <v>496.89524938649873</v>
      </c>
      <c r="D154" s="338">
        <f t="shared" si="20"/>
        <v>0.85513755201464015</v>
      </c>
      <c r="F154" s="3">
        <v>2055</v>
      </c>
      <c r="G154" s="707">
        <f>'H&amp;C Recycling'!E46</f>
        <v>608.6102537799743</v>
      </c>
      <c r="H154" s="338">
        <f t="shared" si="21"/>
        <v>0.68045310512169532</v>
      </c>
      <c r="J154" s="3">
        <v>2055</v>
      </c>
      <c r="K154" s="335">
        <f t="shared" si="22"/>
        <v>1245.8287426929821</v>
      </c>
      <c r="L154" s="338">
        <f t="shared" si="23"/>
        <v>6.7565709258892354E-2</v>
      </c>
      <c r="M154" s="338">
        <f t="shared" si="24"/>
        <v>0.22941262814529981</v>
      </c>
      <c r="N154" s="338">
        <f t="shared" si="25"/>
        <v>0.70302166259580801</v>
      </c>
      <c r="P154" s="3">
        <v>2055</v>
      </c>
      <c r="Q154" s="707">
        <f>Paper!F47</f>
        <v>593.28499999999997</v>
      </c>
      <c r="R154" s="335">
        <f t="shared" si="19"/>
        <v>875.84459399766536</v>
      </c>
      <c r="S154" s="707">
        <f>Paper!G47</f>
        <v>769.29288333333329</v>
      </c>
      <c r="V154" s="335">
        <f t="shared" si="26"/>
        <v>466.59407223605842</v>
      </c>
      <c r="W154" s="335">
        <f t="shared" si="27"/>
        <v>84.175302615165435</v>
      </c>
      <c r="X154" s="335">
        <f t="shared" si="28"/>
        <v>285.80884608015151</v>
      </c>
      <c r="Y154" s="335">
        <f t="shared" si="29"/>
        <v>96.609923540741647</v>
      </c>
      <c r="Z154" s="338">
        <f t="shared" si="30"/>
        <v>0.18040371197124772</v>
      </c>
      <c r="AA154" s="338">
        <f t="shared" si="31"/>
        <v>0.6125428141649335</v>
      </c>
      <c r="AB154" s="338">
        <f t="shared" si="32"/>
        <v>0.20705347386381912</v>
      </c>
      <c r="AC154" s="338">
        <f t="shared" si="33"/>
        <v>0.80156199695653652</v>
      </c>
      <c r="AE154" s="346">
        <f>MIN('WTE Tonnes and Composition'!G108,V154)</f>
        <v>466.59407223605842</v>
      </c>
      <c r="AF154" s="335">
        <f t="shared" si="41"/>
        <v>0.27047231752994361</v>
      </c>
      <c r="AG154" s="335">
        <f t="shared" si="34"/>
        <v>2.1742071368660505</v>
      </c>
      <c r="AH154" s="335">
        <f t="shared" si="35"/>
        <v>0.43910262012544593</v>
      </c>
      <c r="AI154" s="711">
        <f t="shared" si="42"/>
        <v>2.8837820745214398</v>
      </c>
      <c r="AK154" s="610">
        <f t="shared" si="43"/>
        <v>0</v>
      </c>
      <c r="AL154" s="338">
        <f t="shared" si="36"/>
        <v>0</v>
      </c>
      <c r="AM154" s="335">
        <f t="shared" si="37"/>
        <v>0</v>
      </c>
      <c r="AN154" s="335">
        <f t="shared" si="44"/>
        <v>0</v>
      </c>
      <c r="AO154" s="335">
        <f t="shared" si="38"/>
        <v>0</v>
      </c>
      <c r="AP154" s="335">
        <f t="shared" si="45"/>
        <v>0</v>
      </c>
      <c r="AQ154" s="335">
        <f t="shared" si="39"/>
        <v>0</v>
      </c>
      <c r="AR154" s="335">
        <f t="shared" si="40"/>
        <v>0</v>
      </c>
      <c r="AS154" s="335">
        <f t="shared" si="47"/>
        <v>0</v>
      </c>
      <c r="AT154" s="712" t="e">
        <f t="shared" si="46"/>
        <v>#DIV/0!</v>
      </c>
      <c r="AU154" s="723"/>
      <c r="AV154" s="609"/>
      <c r="BQ154" s="609"/>
      <c r="BR154" s="609"/>
      <c r="BS154" s="609"/>
      <c r="BT154" s="609"/>
      <c r="BU154" s="609"/>
      <c r="BV154" s="609"/>
    </row>
    <row r="155" spans="2:74" ht="14.4" x14ac:dyDescent="0.55000000000000004">
      <c r="B155" s="3">
        <v>2056</v>
      </c>
      <c r="C155" s="707">
        <f>Compost!E47</f>
        <v>507.97771102160652</v>
      </c>
      <c r="D155" s="338">
        <f t="shared" si="20"/>
        <v>0.85139729264365283</v>
      </c>
      <c r="F155" s="3">
        <v>2056</v>
      </c>
      <c r="G155" s="707">
        <f>'H&amp;C Recycling'!E47</f>
        <v>610.1259682338075</v>
      </c>
      <c r="H155" s="338">
        <f t="shared" si="21"/>
        <v>0.68482987112278504</v>
      </c>
      <c r="J155" s="3">
        <v>2056</v>
      </c>
      <c r="K155" s="335">
        <f t="shared" si="22"/>
        <v>1260.3054812817234</v>
      </c>
      <c r="L155" s="338">
        <f t="shared" si="23"/>
        <v>7.034986828925946E-2</v>
      </c>
      <c r="M155" s="338">
        <f t="shared" si="24"/>
        <v>0.22279530713908044</v>
      </c>
      <c r="N155" s="338">
        <f t="shared" si="25"/>
        <v>0.70685482457166005</v>
      </c>
      <c r="P155" s="3">
        <v>2056</v>
      </c>
      <c r="Q155" s="707">
        <f>Paper!F48</f>
        <v>609.69999999999993</v>
      </c>
      <c r="R155" s="335">
        <f t="shared" si="19"/>
        <v>890.8530098780941</v>
      </c>
      <c r="S155" s="707">
        <f>Paper!G48</f>
        <v>790.57766666666657</v>
      </c>
      <c r="V155" s="335">
        <f t="shared" si="26"/>
        <v>459.92298535359464</v>
      </c>
      <c r="W155" s="335">
        <f t="shared" si="27"/>
        <v>88.662324612400994</v>
      </c>
      <c r="X155" s="335">
        <f t="shared" si="28"/>
        <v>280.79014679122815</v>
      </c>
      <c r="Y155" s="335">
        <f t="shared" si="29"/>
        <v>90.47051394996538</v>
      </c>
      <c r="Z155" s="338">
        <f t="shared" si="30"/>
        <v>0.19277645918095673</v>
      </c>
      <c r="AA155" s="338">
        <f t="shared" si="31"/>
        <v>0.61051557702721271</v>
      </c>
      <c r="AB155" s="338">
        <f t="shared" si="32"/>
        <v>0.19670796379183028</v>
      </c>
      <c r="AC155" s="338">
        <f t="shared" si="33"/>
        <v>0.80662579299445425</v>
      </c>
      <c r="AE155" s="346">
        <f>MIN('WTE Tonnes and Composition'!G109,V155)</f>
        <v>459.92298535359464</v>
      </c>
      <c r="AF155" s="335">
        <f t="shared" si="41"/>
        <v>0.28902229954226216</v>
      </c>
      <c r="AG155" s="335">
        <f t="shared" si="34"/>
        <v>2.1670115035959725</v>
      </c>
      <c r="AH155" s="335">
        <f t="shared" si="35"/>
        <v>0.41716268116005434</v>
      </c>
      <c r="AI155" s="711">
        <f t="shared" si="42"/>
        <v>2.8731964842982891</v>
      </c>
      <c r="AK155" s="610">
        <f t="shared" si="43"/>
        <v>0</v>
      </c>
      <c r="AL155" s="338">
        <f t="shared" si="36"/>
        <v>0</v>
      </c>
      <c r="AM155" s="335">
        <f t="shared" si="37"/>
        <v>0</v>
      </c>
      <c r="AN155" s="335">
        <f t="shared" si="44"/>
        <v>0</v>
      </c>
      <c r="AO155" s="335">
        <f t="shared" si="38"/>
        <v>0</v>
      </c>
      <c r="AP155" s="335">
        <f t="shared" si="45"/>
        <v>0</v>
      </c>
      <c r="AQ155" s="335">
        <f t="shared" si="39"/>
        <v>0</v>
      </c>
      <c r="AR155" s="335">
        <f t="shared" si="40"/>
        <v>0</v>
      </c>
      <c r="AS155" s="335">
        <f t="shared" si="47"/>
        <v>0</v>
      </c>
      <c r="AT155" s="712" t="e">
        <f t="shared" si="46"/>
        <v>#DIV/0!</v>
      </c>
      <c r="AU155" s="723"/>
      <c r="AV155" s="609"/>
      <c r="BQ155" s="609"/>
      <c r="BR155" s="609"/>
      <c r="BS155" s="609"/>
      <c r="BT155" s="609"/>
      <c r="BU155" s="609"/>
      <c r="BV155" s="609"/>
    </row>
    <row r="156" spans="2:74" ht="14.4" x14ac:dyDescent="0.55000000000000004">
      <c r="B156" s="3">
        <v>2057</v>
      </c>
      <c r="C156" s="707">
        <f>Compost!E48</f>
        <v>519.13049243346063</v>
      </c>
      <c r="D156" s="338">
        <f t="shared" si="20"/>
        <v>0.84774456796932363</v>
      </c>
      <c r="F156" s="3">
        <v>2057</v>
      </c>
      <c r="G156" s="707">
        <f>'H&amp;C Recycling'!E48</f>
        <v>611.5149806715466</v>
      </c>
      <c r="H156" s="338">
        <f t="shared" si="21"/>
        <v>0.68940607741847593</v>
      </c>
      <c r="J156" s="3">
        <v>2057</v>
      </c>
      <c r="K156" s="335">
        <f t="shared" si="22"/>
        <v>1274.6699709832474</v>
      </c>
      <c r="L156" s="338">
        <f t="shared" si="23"/>
        <v>7.3145323428900316E-2</v>
      </c>
      <c r="M156" s="338">
        <f t="shared" si="24"/>
        <v>0.21613604091953681</v>
      </c>
      <c r="N156" s="338">
        <f t="shared" si="25"/>
        <v>0.71071863565156279</v>
      </c>
      <c r="P156" s="3">
        <v>2057</v>
      </c>
      <c r="Q156" s="707">
        <f>Paper!F49</f>
        <v>626.51699999999983</v>
      </c>
      <c r="R156" s="335">
        <f t="shared" si="19"/>
        <v>905.9317026832307</v>
      </c>
      <c r="S156" s="707">
        <f>Paper!G49</f>
        <v>812.38370999999972</v>
      </c>
      <c r="V156" s="335">
        <f t="shared" si="26"/>
        <v>452.61541072932243</v>
      </c>
      <c r="W156" s="335">
        <f t="shared" si="27"/>
        <v>93.236147292676606</v>
      </c>
      <c r="X156" s="335">
        <f t="shared" si="28"/>
        <v>275.50212100733995</v>
      </c>
      <c r="Y156" s="335">
        <f t="shared" si="29"/>
        <v>83.877142429305763</v>
      </c>
      <c r="Z156" s="338">
        <f t="shared" si="30"/>
        <v>0.20599419525384788</v>
      </c>
      <c r="AA156" s="338">
        <f t="shared" si="31"/>
        <v>0.60868921931626063</v>
      </c>
      <c r="AB156" s="338">
        <f t="shared" si="32"/>
        <v>0.18531658542989118</v>
      </c>
      <c r="AC156" s="338">
        <f t="shared" si="33"/>
        <v>0.81182700512660277</v>
      </c>
      <c r="AE156" s="346">
        <f>MIN('WTE Tonnes and Composition'!G110,V156)</f>
        <v>452.61541072932243</v>
      </c>
      <c r="AF156" s="335">
        <f t="shared" si="41"/>
        <v>0.30883914072069524</v>
      </c>
      <c r="AG156" s="335">
        <f t="shared" si="34"/>
        <v>2.1605288873970774</v>
      </c>
      <c r="AH156" s="335">
        <f t="shared" si="35"/>
        <v>0.39300474750057074</v>
      </c>
      <c r="AI156" s="711">
        <f t="shared" si="42"/>
        <v>2.8623727756183435</v>
      </c>
      <c r="AK156" s="610">
        <f t="shared" si="43"/>
        <v>0</v>
      </c>
      <c r="AL156" s="338">
        <f t="shared" si="36"/>
        <v>0</v>
      </c>
      <c r="AM156" s="335">
        <f t="shared" si="37"/>
        <v>0</v>
      </c>
      <c r="AN156" s="335">
        <f t="shared" si="44"/>
        <v>0</v>
      </c>
      <c r="AO156" s="335">
        <f t="shared" si="38"/>
        <v>0</v>
      </c>
      <c r="AP156" s="335">
        <f t="shared" si="45"/>
        <v>0</v>
      </c>
      <c r="AQ156" s="335">
        <f t="shared" si="39"/>
        <v>0</v>
      </c>
      <c r="AR156" s="335">
        <f t="shared" si="40"/>
        <v>0</v>
      </c>
      <c r="AS156" s="335">
        <f t="shared" si="47"/>
        <v>0</v>
      </c>
      <c r="AT156" s="712" t="e">
        <f t="shared" si="46"/>
        <v>#DIV/0!</v>
      </c>
      <c r="AU156" s="723"/>
      <c r="AV156" s="609"/>
      <c r="BQ156" s="609"/>
      <c r="BR156" s="609"/>
      <c r="BS156" s="609"/>
      <c r="BT156" s="609"/>
      <c r="BU156" s="609"/>
      <c r="BV156" s="609"/>
    </row>
    <row r="157" spans="2:74" ht="14.4" x14ac:dyDescent="0.55000000000000004">
      <c r="B157" s="3">
        <v>2058</v>
      </c>
      <c r="C157" s="707">
        <f>Compost!E49</f>
        <v>530.35309614534515</v>
      </c>
      <c r="D157" s="338">
        <f t="shared" si="20"/>
        <v>0.84418195731052748</v>
      </c>
      <c r="F157" s="3">
        <v>2058</v>
      </c>
      <c r="G157" s="707">
        <f>'H&amp;C Recycling'!E49</f>
        <v>612.77930575005428</v>
      </c>
      <c r="H157" s="338">
        <f t="shared" si="21"/>
        <v>0.69418767619829957</v>
      </c>
      <c r="J157" s="3">
        <v>2058</v>
      </c>
      <c r="K157" s="335">
        <f t="shared" si="22"/>
        <v>1288.92078266825</v>
      </c>
      <c r="L157" s="338">
        <f t="shared" si="23"/>
        <v>7.594873787753946E-2</v>
      </c>
      <c r="M157" s="338">
        <f t="shared" si="24"/>
        <v>0.20943822441684196</v>
      </c>
      <c r="N157" s="338">
        <f t="shared" si="25"/>
        <v>0.71461303770561879</v>
      </c>
      <c r="P157" s="3">
        <v>2058</v>
      </c>
      <c r="Q157" s="707">
        <f>Paper!F50</f>
        <v>643.73599999999988</v>
      </c>
      <c r="R157" s="335">
        <f t="shared" si="19"/>
        <v>921.07959586446179</v>
      </c>
      <c r="S157" s="707">
        <f>Paper!G50</f>
        <v>834.7110133333332</v>
      </c>
      <c r="V157" s="335">
        <f t="shared" si="26"/>
        <v>444.66895268238591</v>
      </c>
      <c r="W157" s="335">
        <f t="shared" si="27"/>
        <v>97.891906667783928</v>
      </c>
      <c r="X157" s="335">
        <f t="shared" si="28"/>
        <v>269.94928013600452</v>
      </c>
      <c r="Y157" s="335">
        <f t="shared" si="29"/>
        <v>76.827765878597688</v>
      </c>
      <c r="Z157" s="338">
        <f t="shared" si="30"/>
        <v>0.22014558488347008</v>
      </c>
      <c r="AA157" s="338">
        <f t="shared" si="31"/>
        <v>0.60707921816349841</v>
      </c>
      <c r="AB157" s="338">
        <f t="shared" si="32"/>
        <v>0.17277519695303198</v>
      </c>
      <c r="AC157" s="338">
        <f t="shared" si="33"/>
        <v>0.81716314614140861</v>
      </c>
      <c r="AE157" s="346">
        <f>MIN('WTE Tonnes and Composition'!G111,V157)</f>
        <v>444.66895268238591</v>
      </c>
      <c r="AF157" s="335">
        <f t="shared" si="41"/>
        <v>0.33005577261573715</v>
      </c>
      <c r="AG157" s="335">
        <f t="shared" si="34"/>
        <v>2.1548142240041677</v>
      </c>
      <c r="AH157" s="335">
        <f t="shared" si="35"/>
        <v>0.36640796340690263</v>
      </c>
      <c r="AI157" s="711">
        <f t="shared" si="42"/>
        <v>2.851277960026807</v>
      </c>
      <c r="AK157" s="610">
        <f t="shared" si="43"/>
        <v>0</v>
      </c>
      <c r="AL157" s="338">
        <f t="shared" si="36"/>
        <v>0</v>
      </c>
      <c r="AM157" s="335">
        <f t="shared" si="37"/>
        <v>0</v>
      </c>
      <c r="AN157" s="335">
        <f t="shared" si="44"/>
        <v>0</v>
      </c>
      <c r="AO157" s="335">
        <f t="shared" si="38"/>
        <v>0</v>
      </c>
      <c r="AP157" s="335">
        <f t="shared" si="45"/>
        <v>0</v>
      </c>
      <c r="AQ157" s="335">
        <f t="shared" si="39"/>
        <v>0</v>
      </c>
      <c r="AR157" s="335">
        <f t="shared" si="40"/>
        <v>0</v>
      </c>
      <c r="AS157" s="335">
        <f t="shared" si="47"/>
        <v>0</v>
      </c>
      <c r="AT157" s="712" t="e">
        <f t="shared" si="46"/>
        <v>#DIV/0!</v>
      </c>
      <c r="AU157" s="723"/>
      <c r="AV157" s="609"/>
      <c r="BQ157" s="609"/>
      <c r="BR157" s="609"/>
      <c r="BS157" s="609"/>
      <c r="BT157" s="609"/>
      <c r="BU157" s="609"/>
      <c r="BV157" s="609"/>
    </row>
    <row r="158" spans="2:74" ht="14.4" x14ac:dyDescent="0.55000000000000004">
      <c r="B158" s="3">
        <v>2059</v>
      </c>
      <c r="C158" s="707">
        <f>Compost!E50</f>
        <v>541.64529299858157</v>
      </c>
      <c r="D158" s="338">
        <f t="shared" si="20"/>
        <v>0.84071451273868425</v>
      </c>
      <c r="F158" s="3">
        <v>2059</v>
      </c>
      <c r="G158" s="707">
        <f>'H&amp;C Recycling'!E50</f>
        <v>613.92107833994635</v>
      </c>
      <c r="H158" s="338">
        <f t="shared" si="21"/>
        <v>0.69918073409928594</v>
      </c>
      <c r="J158" s="3">
        <v>2059</v>
      </c>
      <c r="K158" s="335">
        <f t="shared" si="22"/>
        <v>1303.055337295079</v>
      </c>
      <c r="L158" s="338">
        <f t="shared" si="23"/>
        <v>7.8755297772805113E-2</v>
      </c>
      <c r="M158" s="338">
        <f t="shared" si="24"/>
        <v>0.20270566195173417</v>
      </c>
      <c r="N158" s="338">
        <f t="shared" si="25"/>
        <v>0.71853904027546078</v>
      </c>
      <c r="P158" s="3">
        <v>2059</v>
      </c>
      <c r="Q158" s="707">
        <f>Paper!F51</f>
        <v>661.35699999999986</v>
      </c>
      <c r="R158" s="335">
        <f t="shared" si="19"/>
        <v>936.29613148582291</v>
      </c>
      <c r="S158" s="707">
        <f>Paper!G51</f>
        <v>857.55957666666643</v>
      </c>
      <c r="V158" s="335">
        <f t="shared" si="26"/>
        <v>436.08014883536123</v>
      </c>
      <c r="W158" s="335">
        <f t="shared" si="27"/>
        <v>102.62251110311695</v>
      </c>
      <c r="X158" s="335">
        <f t="shared" si="28"/>
        <v>264.13669470613922</v>
      </c>
      <c r="Y158" s="335">
        <f t="shared" si="29"/>
        <v>69.320943026105169</v>
      </c>
      <c r="Z158" s="338">
        <f t="shared" si="30"/>
        <v>0.23532947183491562</v>
      </c>
      <c r="AA158" s="338">
        <f t="shared" si="31"/>
        <v>0.60570676150145519</v>
      </c>
      <c r="AB158" s="338">
        <f t="shared" si="32"/>
        <v>0.15896376666362946</v>
      </c>
      <c r="AC158" s="338">
        <f t="shared" si="33"/>
        <v>0.82263227103867265</v>
      </c>
      <c r="AE158" s="346">
        <f>MIN('WTE Tonnes and Composition'!G112,V158)</f>
        <v>436.08014883536123</v>
      </c>
      <c r="AF158" s="335">
        <f t="shared" si="41"/>
        <v>0.3528203878666954</v>
      </c>
      <c r="AG158" s="335">
        <f t="shared" si="34"/>
        <v>2.1499427195139522</v>
      </c>
      <c r="AH158" s="335">
        <f t="shared" si="35"/>
        <v>0.33711777515463809</v>
      </c>
      <c r="AI158" s="711">
        <f t="shared" si="42"/>
        <v>2.8398808825352857</v>
      </c>
      <c r="AK158" s="610">
        <f t="shared" si="43"/>
        <v>0</v>
      </c>
      <c r="AL158" s="338">
        <f t="shared" si="36"/>
        <v>0</v>
      </c>
      <c r="AM158" s="335">
        <f t="shared" si="37"/>
        <v>0</v>
      </c>
      <c r="AN158" s="335">
        <f t="shared" si="44"/>
        <v>0</v>
      </c>
      <c r="AO158" s="335">
        <f t="shared" si="38"/>
        <v>0</v>
      </c>
      <c r="AP158" s="335">
        <f t="shared" si="45"/>
        <v>0</v>
      </c>
      <c r="AQ158" s="335">
        <f t="shared" si="39"/>
        <v>0</v>
      </c>
      <c r="AR158" s="335">
        <f t="shared" si="40"/>
        <v>0</v>
      </c>
      <c r="AS158" s="335">
        <f t="shared" si="47"/>
        <v>0</v>
      </c>
      <c r="AT158" s="712" t="e">
        <f t="shared" si="46"/>
        <v>#DIV/0!</v>
      </c>
      <c r="AU158" s="723"/>
      <c r="AV158" s="609"/>
      <c r="BQ158" s="609"/>
      <c r="BR158" s="609"/>
      <c r="BS158" s="609"/>
      <c r="BT158" s="609"/>
      <c r="BU158" s="609"/>
      <c r="BV158" s="609"/>
    </row>
    <row r="159" spans="2:74" ht="14.4" x14ac:dyDescent="0.55000000000000004">
      <c r="B159" s="3">
        <v>2060</v>
      </c>
      <c r="C159" s="707">
        <f>Compost!E51</f>
        <v>553.00685259893748</v>
      </c>
      <c r="D159" s="338">
        <f t="shared" si="20"/>
        <v>0.83734575383587118</v>
      </c>
      <c r="F159" s="3">
        <v>2060</v>
      </c>
      <c r="G159" s="707">
        <f>'H&amp;C Recycling'!E51</f>
        <v>614.94242029233385</v>
      </c>
      <c r="H159" s="338">
        <f t="shared" si="21"/>
        <v>0.70439169818138425</v>
      </c>
      <c r="J159" s="3">
        <v>2060</v>
      </c>
      <c r="K159" s="335">
        <f t="shared" si="22"/>
        <v>1317.0718650476706</v>
      </c>
      <c r="L159" s="338">
        <f t="shared" si="23"/>
        <v>8.1560827464740401E-2</v>
      </c>
      <c r="M159" s="338">
        <f t="shared" si="24"/>
        <v>0.19594192842796088</v>
      </c>
      <c r="N159" s="338">
        <f t="shared" si="25"/>
        <v>0.72249724410729876</v>
      </c>
      <c r="P159" s="3">
        <v>2060</v>
      </c>
      <c r="Q159" s="707">
        <f>Paper!F52</f>
        <v>679.37999999999988</v>
      </c>
      <c r="R159" s="335">
        <f t="shared" si="19"/>
        <v>951.58079278820219</v>
      </c>
      <c r="S159" s="707">
        <f>Paper!G52</f>
        <v>880.92939999999987</v>
      </c>
      <c r="V159" s="335">
        <f t="shared" si="26"/>
        <v>426.847539033163</v>
      </c>
      <c r="W159" s="335">
        <f t="shared" si="27"/>
        <v>107.42147114381692</v>
      </c>
      <c r="X159" s="335">
        <f t="shared" si="28"/>
        <v>258.06960111565161</v>
      </c>
      <c r="Y159" s="335">
        <f t="shared" si="29"/>
        <v>61.356466773694592</v>
      </c>
      <c r="Z159" s="338">
        <f t="shared" si="30"/>
        <v>0.2516623883720483</v>
      </c>
      <c r="AA159" s="338">
        <f t="shared" si="31"/>
        <v>0.60459432822359893</v>
      </c>
      <c r="AB159" s="338">
        <f t="shared" si="32"/>
        <v>0.14374328340435302</v>
      </c>
      <c r="AC159" s="338">
        <f t="shared" si="33"/>
        <v>0.82823182768288761</v>
      </c>
      <c r="AE159" s="346">
        <f>MIN('WTE Tonnes and Composition'!G113,V159)</f>
        <v>426.847539033163</v>
      </c>
      <c r="AF159" s="335">
        <f t="shared" si="41"/>
        <v>0.37730769879589338</v>
      </c>
      <c r="AG159" s="335">
        <f t="shared" si="34"/>
        <v>2.1459941622603673</v>
      </c>
      <c r="AH159" s="335">
        <f t="shared" si="35"/>
        <v>0.304839378883347</v>
      </c>
      <c r="AI159" s="711">
        <f t="shared" si="42"/>
        <v>2.8281412399396073</v>
      </c>
      <c r="AK159" s="610">
        <f t="shared" si="43"/>
        <v>0</v>
      </c>
      <c r="AL159" s="338">
        <f t="shared" si="36"/>
        <v>0</v>
      </c>
      <c r="AM159" s="335">
        <f t="shared" si="37"/>
        <v>0</v>
      </c>
      <c r="AN159" s="335">
        <f t="shared" si="44"/>
        <v>0</v>
      </c>
      <c r="AO159" s="335">
        <f t="shared" si="38"/>
        <v>0</v>
      </c>
      <c r="AP159" s="335">
        <f t="shared" si="45"/>
        <v>0</v>
      </c>
      <c r="AQ159" s="335">
        <f t="shared" si="39"/>
        <v>0</v>
      </c>
      <c r="AR159" s="335">
        <f t="shared" si="40"/>
        <v>0</v>
      </c>
      <c r="AS159" s="335">
        <f t="shared" si="47"/>
        <v>0</v>
      </c>
      <c r="AT159" s="712" t="e">
        <f t="shared" si="46"/>
        <v>#DIV/0!</v>
      </c>
      <c r="AU159" s="723"/>
      <c r="AV159" s="609"/>
      <c r="BQ159" s="609"/>
      <c r="BR159" s="609"/>
      <c r="BS159" s="609"/>
      <c r="BT159" s="609"/>
      <c r="BU159" s="609"/>
      <c r="BV159" s="609"/>
    </row>
    <row r="160" spans="2:74" x14ac:dyDescent="0.4">
      <c r="Z160" s="341"/>
      <c r="BQ160" s="609"/>
      <c r="BR160" s="609"/>
      <c r="BS160" s="609"/>
      <c r="BT160" s="609"/>
      <c r="BU160" s="609"/>
      <c r="BV160" s="609"/>
    </row>
    <row r="161" spans="1:74" x14ac:dyDescent="0.4">
      <c r="Z161" s="341"/>
      <c r="BQ161" s="609"/>
      <c r="BR161" s="609"/>
      <c r="BS161" s="609"/>
      <c r="BT161" s="609"/>
      <c r="BU161" s="609"/>
      <c r="BV161" s="609"/>
    </row>
    <row r="162" spans="1:74" ht="22.5" x14ac:dyDescent="0.75">
      <c r="A162" s="336" t="s">
        <v>154</v>
      </c>
      <c r="Z162" s="341"/>
      <c r="BQ162" s="609"/>
      <c r="BR162" s="609"/>
      <c r="BS162" s="609"/>
      <c r="BT162" s="609"/>
      <c r="BU162" s="609"/>
      <c r="BV162" s="609"/>
    </row>
    <row r="163" spans="1:74" x14ac:dyDescent="0.4">
      <c r="BQ163" s="609"/>
      <c r="BR163" s="609"/>
      <c r="BS163" s="609"/>
      <c r="BT163" s="609"/>
      <c r="BU163" s="609"/>
      <c r="BV163" s="609"/>
    </row>
    <row r="164" spans="1:74" x14ac:dyDescent="0.4">
      <c r="K164" s="609"/>
      <c r="L164" s="609"/>
      <c r="BQ164" s="609"/>
      <c r="BR164" s="609"/>
      <c r="BS164" s="609"/>
      <c r="BT164" s="609"/>
      <c r="BU164" s="609"/>
      <c r="BV164" s="609"/>
    </row>
    <row r="165" spans="1:74" x14ac:dyDescent="0.4">
      <c r="K165" s="609"/>
      <c r="L165" s="609"/>
      <c r="BQ165" s="609"/>
      <c r="BR165" s="609"/>
      <c r="BS165" s="609"/>
      <c r="BT165" s="609"/>
      <c r="BU165" s="609"/>
      <c r="BV165" s="609"/>
    </row>
    <row r="166" spans="1:74" x14ac:dyDescent="0.4">
      <c r="K166" s="609"/>
      <c r="L166" s="609"/>
      <c r="BQ166" s="609"/>
      <c r="BR166" s="609"/>
      <c r="BS166" s="609"/>
      <c r="BT166" s="609"/>
      <c r="BU166" s="609"/>
      <c r="BV166" s="609"/>
    </row>
    <row r="167" spans="1:74" ht="200.05" customHeight="1" x14ac:dyDescent="0.4">
      <c r="B167" s="1277" t="s">
        <v>487</v>
      </c>
      <c r="C167" s="1278"/>
      <c r="D167" s="1278"/>
      <c r="E167" s="1278"/>
      <c r="F167" s="1278"/>
      <c r="G167" s="1278"/>
      <c r="H167" s="1278"/>
      <c r="I167" s="1278"/>
      <c r="J167" s="1278"/>
      <c r="K167" s="1278"/>
      <c r="L167" s="609"/>
      <c r="N167" s="1275" t="s">
        <v>477</v>
      </c>
      <c r="O167" s="1276"/>
      <c r="P167" s="1276"/>
      <c r="Q167" s="1276"/>
      <c r="R167" s="1276"/>
      <c r="S167" s="1276"/>
      <c r="T167" s="1276"/>
      <c r="U167" s="1276"/>
      <c r="V167" s="1276"/>
      <c r="Y167" s="1279" t="s">
        <v>537</v>
      </c>
      <c r="Z167" s="1279"/>
      <c r="AA167" s="1279"/>
      <c r="AB167" s="1279"/>
      <c r="AC167" s="1279"/>
      <c r="AD167" s="1279"/>
      <c r="AE167" s="1279"/>
      <c r="AF167" s="1279"/>
      <c r="AI167" s="1279" t="s">
        <v>539</v>
      </c>
      <c r="AJ167" s="1279"/>
      <c r="AK167" s="1279"/>
      <c r="AL167" s="1279"/>
      <c r="AM167" s="1279"/>
      <c r="AN167" s="1279"/>
      <c r="AO167" s="1279"/>
      <c r="AP167" s="1279"/>
      <c r="AS167" s="1279" t="s">
        <v>541</v>
      </c>
      <c r="AT167" s="1279"/>
      <c r="AU167" s="1279"/>
      <c r="AV167" s="1279"/>
      <c r="AW167" s="1279"/>
      <c r="AX167" s="1279"/>
      <c r="AY167" s="1279"/>
      <c r="AZ167" s="1279"/>
      <c r="BQ167" s="609"/>
      <c r="BR167" s="609"/>
      <c r="BS167" s="609"/>
      <c r="BT167" s="609"/>
      <c r="BU167" s="609"/>
      <c r="BV167" s="609"/>
    </row>
    <row r="168" spans="1:74" x14ac:dyDescent="0.4">
      <c r="B168" s="1" t="s">
        <v>139</v>
      </c>
      <c r="K168" s="609"/>
      <c r="L168" s="609"/>
      <c r="N168" s="1" t="s">
        <v>140</v>
      </c>
      <c r="O168" s="1"/>
      <c r="P168" s="609"/>
      <c r="Q168" s="609"/>
      <c r="R168" s="609"/>
      <c r="S168" s="609"/>
      <c r="T168" s="609"/>
      <c r="U168" s="609"/>
      <c r="V168" s="609"/>
      <c r="AT168" s="609"/>
      <c r="AU168" s="609"/>
      <c r="BA168" s="609"/>
      <c r="BB168" s="609"/>
      <c r="BC168" s="609"/>
      <c r="BQ168" s="609"/>
      <c r="BR168" s="609"/>
      <c r="BS168" s="609"/>
      <c r="BT168" s="609"/>
      <c r="BU168" s="609"/>
      <c r="BV168" s="609"/>
    </row>
    <row r="169" spans="1:74" ht="14.4" x14ac:dyDescent="0.55000000000000004">
      <c r="B169" s="2"/>
      <c r="C169" s="334" t="str">
        <f t="shared" ref="C169:C216" si="48">Y59</f>
        <v>World</v>
      </c>
      <c r="D169" s="334" t="s">
        <v>454</v>
      </c>
      <c r="E169" s="344" t="s">
        <v>144</v>
      </c>
      <c r="F169" s="344" t="s">
        <v>135</v>
      </c>
      <c r="G169" s="344" t="s">
        <v>136</v>
      </c>
      <c r="H169" s="344" t="s">
        <v>538</v>
      </c>
      <c r="I169" s="344" t="s">
        <v>137</v>
      </c>
      <c r="J169" s="344" t="s">
        <v>143</v>
      </c>
      <c r="K169" s="344" t="s">
        <v>138</v>
      </c>
      <c r="L169" s="609"/>
      <c r="N169" s="3"/>
      <c r="O169" s="334" t="s">
        <v>115</v>
      </c>
      <c r="P169" s="334" t="s">
        <v>141</v>
      </c>
      <c r="Q169" s="334" t="s">
        <v>1103</v>
      </c>
      <c r="R169" s="334" t="s">
        <v>164</v>
      </c>
      <c r="S169" s="583" t="s">
        <v>359</v>
      </c>
      <c r="T169" s="583" t="s">
        <v>360</v>
      </c>
      <c r="U169" s="1189" t="s">
        <v>361</v>
      </c>
      <c r="V169" s="584" t="s">
        <v>362</v>
      </c>
      <c r="Y169" s="584" t="s">
        <v>114</v>
      </c>
      <c r="Z169" s="344" t="s">
        <v>527</v>
      </c>
      <c r="AA169" s="344" t="s">
        <v>1133</v>
      </c>
      <c r="AB169" s="632" t="s">
        <v>533</v>
      </c>
      <c r="AC169" s="632" t="s">
        <v>534</v>
      </c>
      <c r="AD169" s="632" t="s">
        <v>535</v>
      </c>
      <c r="AE169" s="632" t="s">
        <v>536</v>
      </c>
      <c r="AF169" s="335" t="s">
        <v>441</v>
      </c>
      <c r="AI169" s="584" t="s">
        <v>114</v>
      </c>
      <c r="AJ169" s="344" t="s">
        <v>532</v>
      </c>
      <c r="AK169" s="344" t="s">
        <v>137</v>
      </c>
      <c r="AL169" s="344" t="s">
        <v>528</v>
      </c>
      <c r="AM169" s="344" t="s">
        <v>529</v>
      </c>
      <c r="AN169" s="344" t="s">
        <v>531</v>
      </c>
      <c r="AO169" s="344" t="s">
        <v>530</v>
      </c>
      <c r="AP169" s="344" t="s">
        <v>205</v>
      </c>
      <c r="AS169" s="584" t="str">
        <f>Y169</f>
        <v>Year</v>
      </c>
      <c r="AT169" s="344" t="str">
        <f t="shared" ref="AT169:AT216" si="49">AB169</f>
        <v xml:space="preserve">Compost </v>
      </c>
      <c r="AU169" s="344" t="str">
        <f t="shared" ref="AU169:AU216" si="50">AC169</f>
        <v>Recycling</v>
      </c>
      <c r="AV169" s="632" t="str">
        <f t="shared" ref="AV169:AV216" si="51">AD169</f>
        <v>Paper Recycling</v>
      </c>
      <c r="AW169" s="632" t="str">
        <f t="shared" ref="AW169:AW216" si="52">AE169</f>
        <v>Used Paper to Insulation</v>
      </c>
      <c r="AX169" s="632" t="str">
        <f t="shared" ref="AX169:AX216" si="53">AF169</f>
        <v>Reduced Food Waste</v>
      </c>
      <c r="AY169" s="632" t="s">
        <v>402</v>
      </c>
      <c r="AZ169" s="335" t="s">
        <v>423</v>
      </c>
      <c r="BA169" s="609"/>
      <c r="BB169" s="609"/>
      <c r="BC169" s="609"/>
      <c r="BQ169" s="609"/>
      <c r="BR169" s="609"/>
      <c r="BS169" s="609"/>
      <c r="BT169" s="609"/>
      <c r="BU169" s="609"/>
      <c r="BV169" s="609"/>
    </row>
    <row r="170" spans="1:74" ht="14.4" x14ac:dyDescent="0.55000000000000004">
      <c r="B170" s="3">
        <v>2014</v>
      </c>
      <c r="C170" s="1205">
        <f t="shared" si="48"/>
        <v>804.79494831832108</v>
      </c>
      <c r="D170" s="1205">
        <f>'Food System Summary'!B12-'Food System Summary'!C12</f>
        <v>1351.0179807789712</v>
      </c>
      <c r="E170" s="1205">
        <f>D170/C170</f>
        <v>1.678710811495554</v>
      </c>
      <c r="F170" s="1205">
        <f t="shared" ref="F170:F216" si="54">D170/U60</f>
        <v>0.76185224480017177</v>
      </c>
      <c r="G170" s="1205">
        <f t="shared" ref="G170:G216" si="55">M60*R60</f>
        <v>0.65297000000000005</v>
      </c>
      <c r="H170" s="1205">
        <f>G170/C170</f>
        <v>8.1134952619226733E-4</v>
      </c>
      <c r="I170" s="1205">
        <f t="shared" ref="I170:I216" si="56">C170-D170-G170</f>
        <v>-546.87600246065006</v>
      </c>
      <c r="J170" s="1205">
        <f t="shared" ref="J170:J216" si="57">I170/C170</f>
        <v>-0.67952216102174612</v>
      </c>
      <c r="K170" s="1205">
        <f t="shared" ref="K170:K216" si="58">I170/U60</f>
        <v>-0.30838872319209593</v>
      </c>
      <c r="L170" s="609"/>
      <c r="N170" s="3">
        <v>2014</v>
      </c>
      <c r="O170" s="1205">
        <f t="shared" ref="O170:O216" si="59">R113</f>
        <v>341.7860216816789</v>
      </c>
      <c r="P170" s="1205">
        <f t="shared" ref="P170:P216" si="60">M60*(1-R60)</f>
        <v>1.0170299999999999</v>
      </c>
      <c r="Q170" s="1205">
        <f t="shared" ref="Q170:Q216" si="61">S113</f>
        <v>227.24220300000002</v>
      </c>
      <c r="R170" s="1205">
        <f>O170-Q170</f>
        <v>114.54381868167889</v>
      </c>
      <c r="S170" s="1206">
        <f>Paper!E6</f>
        <v>341.7860216816789</v>
      </c>
      <c r="T170" s="1205">
        <f t="shared" ref="T170:T216" si="62">S170-Q170</f>
        <v>114.54381868167889</v>
      </c>
      <c r="U170" s="1206">
        <f>Paper!I6</f>
        <v>0</v>
      </c>
      <c r="V170" s="1205">
        <f t="shared" ref="V170:V216" si="63">IF((T170-U170)&lt;0,0,(T170-U170))</f>
        <v>114.54381868167889</v>
      </c>
      <c r="Y170">
        <f>N170</f>
        <v>2014</v>
      </c>
      <c r="Z170" s="335">
        <f t="shared" ref="Z170:Z216" si="64">C7</f>
        <v>1773.3333333333333</v>
      </c>
      <c r="AA170" s="335">
        <f t="shared" ref="AA170:AA202" si="65">V113</f>
        <v>1229.5180509102261</v>
      </c>
      <c r="AB170" s="335">
        <f t="shared" ref="AB170:AB202" si="66">C113</f>
        <v>110.54366841083268</v>
      </c>
      <c r="AC170" s="335">
        <f t="shared" ref="AC170:AC202" si="67">G113</f>
        <v>206.02941101227444</v>
      </c>
      <c r="AD170" s="335">
        <f t="shared" ref="AD170:AD202" si="68">S113</f>
        <v>227.24220300000002</v>
      </c>
      <c r="AE170" s="335">
        <f>MIN(Paper!I6,Paper!H6)</f>
        <v>0</v>
      </c>
      <c r="AF170" s="335">
        <f t="shared" ref="AF170:AF202" si="69">C60</f>
        <v>0</v>
      </c>
      <c r="AG170" s="533"/>
      <c r="AI170" s="609">
        <f t="shared" ref="AI170:AI216" si="70">Y170</f>
        <v>2014</v>
      </c>
      <c r="AJ170" s="335">
        <f t="shared" ref="AJ170:AJ216" si="71">D170-E170*C113</f>
        <v>1165.4471294753268</v>
      </c>
      <c r="AK170" s="335">
        <f t="shared" ref="AK170:AK216" si="72">I170-J170*C113</f>
        <v>-471.75913001484969</v>
      </c>
      <c r="AL170" s="335">
        <f t="shared" ref="AL170:AL216" si="73">G170-(H170*C113)</f>
        <v>0.56328044701131585</v>
      </c>
      <c r="AM170" s="335">
        <f t="shared" ref="AM170:AM216" si="74">AH60/AB60*X113</f>
        <v>160.7904088841328</v>
      </c>
      <c r="AN170" s="335">
        <f t="shared" ref="AN170:AN216" si="75">AB60-AM170-G113</f>
        <v>259.93254343692604</v>
      </c>
      <c r="AO170" s="335">
        <f t="shared" ref="AO170:AO216" si="76">T170-AE170</f>
        <v>114.54381868167889</v>
      </c>
      <c r="AP170" s="335">
        <f t="shared" ref="AP170:AP216" si="77">AA170-AJ170-AK170-AL170-AM170-AN170-AO170</f>
        <v>-1.1368683772161603E-13</v>
      </c>
      <c r="AS170" s="609">
        <f t="shared" ref="AS170:AS213" si="78">Y170</f>
        <v>2014</v>
      </c>
      <c r="AT170" s="335">
        <f t="shared" si="49"/>
        <v>110.54366841083268</v>
      </c>
      <c r="AU170" s="335">
        <f t="shared" si="50"/>
        <v>206.02941101227444</v>
      </c>
      <c r="AV170" s="335">
        <f t="shared" si="51"/>
        <v>227.24220300000002</v>
      </c>
      <c r="AW170" s="335">
        <f t="shared" si="52"/>
        <v>0</v>
      </c>
      <c r="AX170" s="335">
        <f t="shared" si="53"/>
        <v>0</v>
      </c>
      <c r="AY170" s="335">
        <f t="shared" ref="AY170:AY216" si="79">AE113</f>
        <v>142.75688198659913</v>
      </c>
      <c r="AZ170" s="335">
        <f t="shared" ref="AZ170:AZ216" si="80">AK113</f>
        <v>1086.7611689236269</v>
      </c>
      <c r="BA170" s="609"/>
      <c r="BB170" s="609"/>
      <c r="BC170" s="609"/>
      <c r="BQ170" s="609"/>
      <c r="BR170" s="609"/>
      <c r="BS170" s="609"/>
      <c r="BT170" s="609"/>
      <c r="BU170" s="609"/>
      <c r="BV170" s="609"/>
    </row>
    <row r="171" spans="1:74" ht="14.4" x14ac:dyDescent="0.55000000000000004">
      <c r="B171" s="3">
        <v>2015</v>
      </c>
      <c r="C171" s="1205">
        <f t="shared" si="48"/>
        <v>862.84071892596353</v>
      </c>
      <c r="D171" s="1205">
        <f>'Food System Summary'!B13-'Food System Summary'!C13</f>
        <v>1373.0725590764539</v>
      </c>
      <c r="E171" s="1205">
        <f t="shared" ref="E171:E215" si="81">D171/C171</f>
        <v>1.5913395473333833</v>
      </c>
      <c r="F171" s="1205">
        <f t="shared" si="54"/>
        <v>0.72585333519460116</v>
      </c>
      <c r="G171" s="1205">
        <f t="shared" si="55"/>
        <v>0.73689000000000004</v>
      </c>
      <c r="H171" s="1205">
        <f t="shared" ref="H171:H216" si="82">G171/C171</f>
        <v>8.5402784527514777E-4</v>
      </c>
      <c r="I171" s="1205">
        <f t="shared" si="56"/>
        <v>-510.96873015049039</v>
      </c>
      <c r="J171" s="1205">
        <f t="shared" si="57"/>
        <v>-0.59219357517865856</v>
      </c>
      <c r="K171" s="1205">
        <f t="shared" si="58"/>
        <v>-0.27011562827338698</v>
      </c>
      <c r="L171" s="609"/>
      <c r="N171" s="3">
        <v>2015</v>
      </c>
      <c r="O171" s="1205">
        <f t="shared" si="59"/>
        <v>363.88533774070322</v>
      </c>
      <c r="P171" s="1205">
        <f t="shared" si="60"/>
        <v>1.29311</v>
      </c>
      <c r="Q171" s="1205">
        <f t="shared" si="61"/>
        <v>228.08920600000005</v>
      </c>
      <c r="R171" s="1205">
        <f t="shared" ref="R171:R216" si="83">O171-Q171</f>
        <v>135.79613174070317</v>
      </c>
      <c r="S171" s="1206">
        <f>Paper!E7</f>
        <v>363.88533774070322</v>
      </c>
      <c r="T171" s="1205">
        <f t="shared" si="62"/>
        <v>135.79613174070317</v>
      </c>
      <c r="U171" s="1206">
        <f>Paper!I7</f>
        <v>43.478238261237635</v>
      </c>
      <c r="V171" s="1205">
        <f t="shared" si="63"/>
        <v>92.317893479465539</v>
      </c>
      <c r="Y171" s="609">
        <f t="shared" ref="Y171:Y202" si="84">N171</f>
        <v>2015</v>
      </c>
      <c r="Z171" s="335">
        <f t="shared" si="64"/>
        <v>1891.6666666666667</v>
      </c>
      <c r="AA171" s="335">
        <f t="shared" si="65"/>
        <v>1263.5304896051864</v>
      </c>
      <c r="AB171" s="335">
        <f t="shared" si="66"/>
        <v>121.04208551354085</v>
      </c>
      <c r="AC171" s="335">
        <f t="shared" si="67"/>
        <v>235.52664728670166</v>
      </c>
      <c r="AD171" s="335">
        <f t="shared" si="68"/>
        <v>228.08920600000005</v>
      </c>
      <c r="AE171" s="335">
        <f>MIN(Paper!I7,Paper!H7)</f>
        <v>43.478238261237635</v>
      </c>
      <c r="AF171" s="335">
        <f t="shared" si="69"/>
        <v>0</v>
      </c>
      <c r="AI171" s="609">
        <f t="shared" si="70"/>
        <v>2015</v>
      </c>
      <c r="AJ171" s="335">
        <f t="shared" si="71"/>
        <v>1180.4535015070471</v>
      </c>
      <c r="AK171" s="335">
        <f t="shared" si="72"/>
        <v>-439.28838478314572</v>
      </c>
      <c r="AL171" s="335">
        <f t="shared" si="73"/>
        <v>0.63351668852126053</v>
      </c>
      <c r="AM171" s="335">
        <f t="shared" si="74"/>
        <v>159.96368373775803</v>
      </c>
      <c r="AN171" s="335">
        <f t="shared" si="75"/>
        <v>269.4502789755403</v>
      </c>
      <c r="AO171" s="335">
        <f t="shared" si="76"/>
        <v>92.317893479465539</v>
      </c>
      <c r="AP171" s="335">
        <f t="shared" si="77"/>
        <v>-1.4210854715202004E-13</v>
      </c>
      <c r="AS171" s="609">
        <f t="shared" si="78"/>
        <v>2015</v>
      </c>
      <c r="AT171" s="335">
        <f t="shared" si="49"/>
        <v>121.04208551354085</v>
      </c>
      <c r="AU171" s="335">
        <f t="shared" si="50"/>
        <v>235.52664728670166</v>
      </c>
      <c r="AV171" s="335">
        <f t="shared" si="51"/>
        <v>228.08920600000005</v>
      </c>
      <c r="AW171" s="335">
        <f t="shared" si="52"/>
        <v>43.478238261237635</v>
      </c>
      <c r="AX171" s="335">
        <f t="shared" si="53"/>
        <v>0</v>
      </c>
      <c r="AY171" s="335">
        <f t="shared" si="79"/>
        <v>151.22621540688968</v>
      </c>
      <c r="AZ171" s="335">
        <f t="shared" si="80"/>
        <v>1112.3042741982968</v>
      </c>
      <c r="BA171" s="609"/>
      <c r="BB171" s="609"/>
      <c r="BC171" s="609"/>
      <c r="BQ171" s="609"/>
      <c r="BR171" s="609"/>
      <c r="BS171" s="609"/>
      <c r="BT171" s="609"/>
      <c r="BU171" s="609"/>
      <c r="BV171" s="609"/>
    </row>
    <row r="172" spans="1:74" ht="14.4" x14ac:dyDescent="0.55000000000000004">
      <c r="B172" s="3">
        <v>2016</v>
      </c>
      <c r="C172" s="1205">
        <f t="shared" si="48"/>
        <v>925.35644999999988</v>
      </c>
      <c r="D172" s="1205">
        <f>'Food System Summary'!B14-'Food System Summary'!C14</f>
        <v>1381.3419093589625</v>
      </c>
      <c r="E172" s="1205">
        <f t="shared" si="81"/>
        <v>1.4927673647911166</v>
      </c>
      <c r="F172" s="1205">
        <f t="shared" si="54"/>
        <v>0.68723478077560329</v>
      </c>
      <c r="G172" s="1205">
        <f t="shared" si="55"/>
        <v>0.75644999999999996</v>
      </c>
      <c r="H172" s="1205">
        <f t="shared" si="82"/>
        <v>8.1746877108815753E-4</v>
      </c>
      <c r="I172" s="1205">
        <f t="shared" si="56"/>
        <v>-456.74190935896263</v>
      </c>
      <c r="J172" s="1205">
        <f t="shared" si="57"/>
        <v>-0.49358483356220478</v>
      </c>
      <c r="K172" s="1205">
        <f t="shared" si="58"/>
        <v>-0.22723478077560333</v>
      </c>
      <c r="L172" s="609"/>
      <c r="N172" s="3">
        <v>2016</v>
      </c>
      <c r="O172" s="1205">
        <f t="shared" si="59"/>
        <v>381.89999999999986</v>
      </c>
      <c r="P172" s="1205">
        <f t="shared" si="60"/>
        <v>1.29355</v>
      </c>
      <c r="Q172" s="1205">
        <f t="shared" si="61"/>
        <v>230.29045599999998</v>
      </c>
      <c r="R172" s="1205">
        <f t="shared" si="83"/>
        <v>151.60954399999989</v>
      </c>
      <c r="S172" s="1206">
        <f>Paper!E8</f>
        <v>381.89999999999986</v>
      </c>
      <c r="T172" s="1205">
        <f t="shared" si="62"/>
        <v>151.60954399999989</v>
      </c>
      <c r="U172" s="1206">
        <f>Paper!I8</f>
        <v>15.835557200146809</v>
      </c>
      <c r="V172" s="1205">
        <f t="shared" si="63"/>
        <v>135.77398679985308</v>
      </c>
      <c r="Y172" s="609">
        <f t="shared" si="84"/>
        <v>2016</v>
      </c>
      <c r="Z172" s="335">
        <f t="shared" si="64"/>
        <v>2009.9999999999998</v>
      </c>
      <c r="AA172" s="335">
        <f t="shared" si="65"/>
        <v>1365.5334841836038</v>
      </c>
      <c r="AB172" s="335">
        <f t="shared" si="66"/>
        <v>131.54050261624903</v>
      </c>
      <c r="AC172" s="335">
        <f t="shared" si="67"/>
        <v>266.79999999999995</v>
      </c>
      <c r="AD172" s="335">
        <f t="shared" si="68"/>
        <v>230.29045599999998</v>
      </c>
      <c r="AE172" s="335">
        <f>MIN(Paper!I8,Paper!H8)</f>
        <v>15.835557200146809</v>
      </c>
      <c r="AF172" s="335">
        <f t="shared" si="69"/>
        <v>0</v>
      </c>
      <c r="AI172" s="609">
        <f t="shared" si="70"/>
        <v>2016</v>
      </c>
      <c r="AJ172" s="335">
        <f t="shared" si="71"/>
        <v>1184.9825399052056</v>
      </c>
      <c r="AK172" s="335">
        <f t="shared" si="72"/>
        <v>-391.8155122684326</v>
      </c>
      <c r="AL172" s="335">
        <f t="shared" si="73"/>
        <v>0.64891974697797628</v>
      </c>
      <c r="AM172" s="335">
        <f t="shared" si="74"/>
        <v>159.90233898702678</v>
      </c>
      <c r="AN172" s="335">
        <f t="shared" si="75"/>
        <v>276.04121101297324</v>
      </c>
      <c r="AO172" s="335">
        <f t="shared" si="76"/>
        <v>135.77398679985308</v>
      </c>
      <c r="AP172" s="335">
        <f t="shared" si="77"/>
        <v>-2.5579538487363607E-13</v>
      </c>
      <c r="AS172" s="609">
        <f t="shared" si="78"/>
        <v>2016</v>
      </c>
      <c r="AT172" s="335">
        <f t="shared" si="49"/>
        <v>131.54050261624903</v>
      </c>
      <c r="AU172" s="335">
        <f t="shared" si="50"/>
        <v>266.79999999999995</v>
      </c>
      <c r="AV172" s="335">
        <f t="shared" si="51"/>
        <v>230.29045599999998</v>
      </c>
      <c r="AW172" s="335">
        <f t="shared" si="52"/>
        <v>15.835557200146809</v>
      </c>
      <c r="AX172" s="335">
        <f t="shared" si="53"/>
        <v>0</v>
      </c>
      <c r="AY172" s="335">
        <f t="shared" si="79"/>
        <v>159.07322452483973</v>
      </c>
      <c r="AZ172" s="335">
        <f t="shared" si="80"/>
        <v>1206.460259658764</v>
      </c>
      <c r="BA172" s="609"/>
      <c r="BB172" s="609"/>
      <c r="BC172" s="609"/>
      <c r="BQ172" s="609"/>
      <c r="BR172" s="609"/>
      <c r="BS172" s="609"/>
      <c r="BT172" s="609"/>
      <c r="BU172" s="609"/>
      <c r="BV172" s="609"/>
    </row>
    <row r="173" spans="1:74" ht="14.4" x14ac:dyDescent="0.55000000000000004">
      <c r="B173" s="3">
        <v>2017</v>
      </c>
      <c r="C173" s="1205">
        <f t="shared" si="48"/>
        <v>977.08918943703122</v>
      </c>
      <c r="D173" s="1205">
        <f>'Food System Summary'!B15-'Food System Summary'!C15</f>
        <v>1402.4337305219585</v>
      </c>
      <c r="E173" s="1205">
        <f t="shared" si="81"/>
        <v>1.435318030005017</v>
      </c>
      <c r="F173" s="1205">
        <f t="shared" si="54"/>
        <v>0.66048968073995584</v>
      </c>
      <c r="G173" s="1205">
        <f t="shared" si="55"/>
        <v>0.87848999999999999</v>
      </c>
      <c r="H173" s="1205">
        <f t="shared" si="82"/>
        <v>8.9908885442296102E-4</v>
      </c>
      <c r="I173" s="1205">
        <f t="shared" si="56"/>
        <v>-426.2230310849273</v>
      </c>
      <c r="J173" s="1205">
        <f t="shared" si="57"/>
        <v>-0.43621711885943998</v>
      </c>
      <c r="K173" s="1205">
        <f t="shared" si="58"/>
        <v>-0.20073384403020966</v>
      </c>
      <c r="L173" s="609"/>
      <c r="N173" s="3">
        <v>2017</v>
      </c>
      <c r="O173" s="1205">
        <f t="shared" si="59"/>
        <v>407.9843540012323</v>
      </c>
      <c r="P173" s="1205">
        <f t="shared" si="60"/>
        <v>1.39151</v>
      </c>
      <c r="Q173" s="1205">
        <f t="shared" si="61"/>
        <v>233.851586</v>
      </c>
      <c r="R173" s="1205">
        <f t="shared" si="83"/>
        <v>174.13276800123231</v>
      </c>
      <c r="S173" s="1206">
        <f>Paper!E9</f>
        <v>407.9843540012323</v>
      </c>
      <c r="T173" s="1205">
        <f t="shared" si="62"/>
        <v>174.13276800123231</v>
      </c>
      <c r="U173" s="1206">
        <f>Paper!I9</f>
        <v>15.825419811333859</v>
      </c>
      <c r="V173" s="1205">
        <f t="shared" si="63"/>
        <v>158.30734818989845</v>
      </c>
      <c r="X173" s="533"/>
      <c r="Y173" s="609">
        <f t="shared" si="84"/>
        <v>2017</v>
      </c>
      <c r="Z173" s="335">
        <f t="shared" si="64"/>
        <v>2123.324211440809</v>
      </c>
      <c r="AA173" s="335">
        <f t="shared" si="65"/>
        <v>1447.6583722067594</v>
      </c>
      <c r="AB173" s="335">
        <f t="shared" si="66"/>
        <v>142.0389197189572</v>
      </c>
      <c r="AC173" s="335">
        <f t="shared" si="67"/>
        <v>283.94991370375845</v>
      </c>
      <c r="AD173" s="335">
        <f t="shared" si="68"/>
        <v>233.851586</v>
      </c>
      <c r="AE173" s="335">
        <f>MIN(Paper!I9,Paper!H9)</f>
        <v>15.825419811333859</v>
      </c>
      <c r="AF173" s="335">
        <f t="shared" si="69"/>
        <v>0</v>
      </c>
      <c r="AI173" s="609">
        <f t="shared" si="70"/>
        <v>2017</v>
      </c>
      <c r="AJ173" s="335">
        <f t="shared" si="71"/>
        <v>1198.5627080869042</v>
      </c>
      <c r="AK173" s="335">
        <f t="shared" si="72"/>
        <v>-364.26322275921649</v>
      </c>
      <c r="AL173" s="335">
        <f t="shared" si="73"/>
        <v>0.75078439038640787</v>
      </c>
      <c r="AM173" s="335">
        <f t="shared" si="74"/>
        <v>164.69014812485983</v>
      </c>
      <c r="AN173" s="335">
        <f t="shared" si="75"/>
        <v>289.61060617392724</v>
      </c>
      <c r="AO173" s="335">
        <f t="shared" si="76"/>
        <v>158.30734818989845</v>
      </c>
      <c r="AP173" s="335">
        <f t="shared" si="77"/>
        <v>-3.4106051316484809E-13</v>
      </c>
      <c r="AS173" s="609">
        <f t="shared" si="78"/>
        <v>2017</v>
      </c>
      <c r="AT173" s="335">
        <f t="shared" si="49"/>
        <v>142.0389197189572</v>
      </c>
      <c r="AU173" s="335">
        <f t="shared" si="50"/>
        <v>283.94991370375845</v>
      </c>
      <c r="AV173" s="335">
        <f t="shared" si="51"/>
        <v>233.851586</v>
      </c>
      <c r="AW173" s="335">
        <f t="shared" si="52"/>
        <v>15.825419811333859</v>
      </c>
      <c r="AX173" s="335">
        <f t="shared" si="53"/>
        <v>0</v>
      </c>
      <c r="AY173" s="335">
        <f t="shared" si="79"/>
        <v>162.84287810907378</v>
      </c>
      <c r="AZ173" s="335">
        <f t="shared" si="80"/>
        <v>1284.8154940976856</v>
      </c>
      <c r="BA173" s="609"/>
      <c r="BB173" s="609"/>
      <c r="BC173" s="609"/>
      <c r="BQ173" s="609"/>
      <c r="BR173" s="609"/>
      <c r="BS173" s="609"/>
      <c r="BT173" s="609"/>
      <c r="BU173" s="609"/>
      <c r="BV173" s="609"/>
    </row>
    <row r="174" spans="1:74" ht="14.4" x14ac:dyDescent="0.55000000000000004">
      <c r="B174" s="3">
        <v>2018</v>
      </c>
      <c r="C174" s="1205">
        <f t="shared" si="48"/>
        <v>998.13023385837414</v>
      </c>
      <c r="D174" s="1205">
        <f>'Food System Summary'!B16-'Food System Summary'!C16</f>
        <v>1422.5384092203535</v>
      </c>
      <c r="E174" s="1205">
        <f t="shared" si="81"/>
        <v>1.4252032059197188</v>
      </c>
      <c r="F174" s="1205">
        <f t="shared" si="54"/>
        <v>0.6583679171868797</v>
      </c>
      <c r="G174" s="1205">
        <f t="shared" si="55"/>
        <v>0.91151999999999367</v>
      </c>
      <c r="H174" s="1205">
        <f t="shared" si="82"/>
        <v>9.1322752190004322E-4</v>
      </c>
      <c r="I174" s="1205">
        <f t="shared" si="56"/>
        <v>-425.31969536197937</v>
      </c>
      <c r="J174" s="1205">
        <f t="shared" si="57"/>
        <v>-0.42611643344161887</v>
      </c>
      <c r="K174" s="1205">
        <f t="shared" si="58"/>
        <v>-0.19684308005960452</v>
      </c>
      <c r="L174" s="609"/>
      <c r="N174" s="3">
        <v>2018</v>
      </c>
      <c r="O174" s="1205">
        <f t="shared" si="59"/>
        <v>415.44977691844485</v>
      </c>
      <c r="P174" s="1205">
        <f t="shared" si="60"/>
        <v>1.1984799999999916</v>
      </c>
      <c r="Q174" s="1205">
        <f t="shared" si="61"/>
        <v>229.12442200000001</v>
      </c>
      <c r="R174" s="1205">
        <f t="shared" si="83"/>
        <v>186.32535491844484</v>
      </c>
      <c r="S174" s="1206">
        <f>Paper!E10</f>
        <v>408.843143</v>
      </c>
      <c r="T174" s="1205">
        <f t="shared" si="62"/>
        <v>179.71872099999999</v>
      </c>
      <c r="U174" s="1206">
        <f>Paper!I10</f>
        <v>15.803068795564855</v>
      </c>
      <c r="V174" s="1205">
        <f t="shared" si="63"/>
        <v>163.91565220443513</v>
      </c>
      <c r="X174" s="533"/>
      <c r="Y174" s="609">
        <f t="shared" si="84"/>
        <v>2018</v>
      </c>
      <c r="Z174" s="335">
        <f t="shared" si="64"/>
        <v>2160.7043297289983</v>
      </c>
      <c r="AA174" s="335">
        <f t="shared" si="65"/>
        <v>1470.6331524553725</v>
      </c>
      <c r="AB174" s="335">
        <f t="shared" si="66"/>
        <v>152.53733682166535</v>
      </c>
      <c r="AC174" s="335">
        <f t="shared" si="67"/>
        <v>292.60634965639559</v>
      </c>
      <c r="AD174" s="335">
        <f t="shared" si="68"/>
        <v>229.12442200000001</v>
      </c>
      <c r="AE174" s="335">
        <f>MIN(Paper!I10,Paper!H10)</f>
        <v>15.803068795564855</v>
      </c>
      <c r="AF174" s="335">
        <f t="shared" si="69"/>
        <v>0</v>
      </c>
      <c r="AI174" s="609">
        <f t="shared" si="70"/>
        <v>2018</v>
      </c>
      <c r="AJ174" s="335">
        <f t="shared" si="71"/>
        <v>1205.14170775966</v>
      </c>
      <c r="AK174" s="335">
        <f t="shared" si="72"/>
        <v>-360.32102942884842</v>
      </c>
      <c r="AL174" s="335">
        <f t="shared" si="73"/>
        <v>0.77221870589711195</v>
      </c>
      <c r="AM174" s="335">
        <f t="shared" si="74"/>
        <v>168.09926128821328</v>
      </c>
      <c r="AN174" s="335">
        <f t="shared" si="75"/>
        <v>286.4187080075705</v>
      </c>
      <c r="AO174" s="335">
        <f t="shared" si="76"/>
        <v>163.91565220443513</v>
      </c>
      <c r="AP174" s="335">
        <f>AA174-AJ174-AK174-AL174-AM174-AN174-AO174</f>
        <v>6.6066339184449419</v>
      </c>
      <c r="AS174" s="609">
        <f t="shared" si="78"/>
        <v>2018</v>
      </c>
      <c r="AT174" s="335">
        <f t="shared" si="49"/>
        <v>152.53733682166535</v>
      </c>
      <c r="AU174" s="335">
        <f t="shared" si="50"/>
        <v>292.60634965639559</v>
      </c>
      <c r="AV174" s="335">
        <f t="shared" si="51"/>
        <v>229.12442200000001</v>
      </c>
      <c r="AW174" s="335">
        <f t="shared" si="52"/>
        <v>15.803068795564855</v>
      </c>
      <c r="AX174" s="335">
        <f t="shared" si="53"/>
        <v>0</v>
      </c>
      <c r="AY174" s="335">
        <f t="shared" si="79"/>
        <v>165.19016908698848</v>
      </c>
      <c r="AZ174" s="335">
        <f t="shared" si="80"/>
        <v>1305.4429833683839</v>
      </c>
      <c r="BA174" s="609"/>
      <c r="BB174" s="609"/>
      <c r="BC174" s="609"/>
      <c r="BQ174" s="609"/>
      <c r="BR174" s="609"/>
      <c r="BS174" s="609"/>
      <c r="BT174" s="609"/>
      <c r="BU174" s="609"/>
      <c r="BV174" s="609"/>
    </row>
    <row r="175" spans="1:74" ht="14.4" x14ac:dyDescent="0.55000000000000004">
      <c r="B175" s="3">
        <v>2019</v>
      </c>
      <c r="C175" s="1205">
        <f t="shared" si="48"/>
        <v>983.35003370365541</v>
      </c>
      <c r="D175" s="1205">
        <f>'Food System Summary'!B17-'Food System Summary'!C17</f>
        <v>1407.0741458560112</v>
      </c>
      <c r="E175" s="1205">
        <f t="shared" si="81"/>
        <v>1.4308985586307004</v>
      </c>
      <c r="F175" s="1205">
        <f t="shared" si="54"/>
        <v>0.65071970878367702</v>
      </c>
      <c r="G175" s="1205">
        <f t="shared" si="55"/>
        <v>0.96060141147028377</v>
      </c>
      <c r="H175" s="1205">
        <f t="shared" si="82"/>
        <v>9.768662007894665E-4</v>
      </c>
      <c r="I175" s="1205">
        <f t="shared" si="56"/>
        <v>-424.68471356382611</v>
      </c>
      <c r="J175" s="1205">
        <f t="shared" si="57"/>
        <v>-0.43187542483148994</v>
      </c>
      <c r="K175" s="1205">
        <f t="shared" si="58"/>
        <v>-0.1964009600695284</v>
      </c>
      <c r="L175" s="609"/>
      <c r="N175" s="3">
        <v>2019</v>
      </c>
      <c r="O175" s="1205">
        <f t="shared" si="59"/>
        <v>423.20764193175262</v>
      </c>
      <c r="P175" s="1205">
        <f t="shared" si="60"/>
        <v>1.2505985885297073</v>
      </c>
      <c r="Q175" s="1205">
        <f t="shared" si="61"/>
        <v>247.4345544521365</v>
      </c>
      <c r="R175" s="1205">
        <f t="shared" si="83"/>
        <v>175.77308747961612</v>
      </c>
      <c r="S175" s="1206">
        <f>Paper!E11</f>
        <v>414.74298663357462</v>
      </c>
      <c r="T175" s="1205">
        <f t="shared" si="62"/>
        <v>167.30843218143812</v>
      </c>
      <c r="U175" s="1206">
        <f>Paper!I11</f>
        <v>15.765092744093181</v>
      </c>
      <c r="V175" s="1205">
        <f t="shared" si="63"/>
        <v>151.54333943734494</v>
      </c>
      <c r="X175" s="533"/>
      <c r="Y175" s="609">
        <f t="shared" si="84"/>
        <v>2019</v>
      </c>
      <c r="Z175" s="335">
        <f t="shared" si="64"/>
        <v>2197.9034203535862</v>
      </c>
      <c r="AA175" s="335">
        <f t="shared" si="65"/>
        <v>1438.0556502057912</v>
      </c>
      <c r="AB175" s="335">
        <f t="shared" si="66"/>
        <v>159.84366853160702</v>
      </c>
      <c r="AC175" s="335">
        <f t="shared" si="67"/>
        <v>301.23625591804961</v>
      </c>
      <c r="AD175" s="335">
        <f t="shared" si="68"/>
        <v>247.4345544521365</v>
      </c>
      <c r="AE175" s="335">
        <f>MIN(Paper!I11,Paper!H11)</f>
        <v>15.765092744093181</v>
      </c>
      <c r="AF175" s="335">
        <f t="shared" si="69"/>
        <v>35.56819850190854</v>
      </c>
      <c r="AI175" s="609">
        <f t="shared" si="70"/>
        <v>2019</v>
      </c>
      <c r="AJ175" s="335">
        <f t="shared" si="71"/>
        <v>1178.3540709478914</v>
      </c>
      <c r="AK175" s="335">
        <f t="shared" si="72"/>
        <v>-355.65216131011448</v>
      </c>
      <c r="AL175" s="335">
        <f t="shared" si="73"/>
        <v>0.80445553427156202</v>
      </c>
      <c r="AM175" s="335">
        <f t="shared" si="74"/>
        <v>158.98708671057466</v>
      </c>
      <c r="AN175" s="335">
        <f t="shared" si="75"/>
        <v>295.5542035876453</v>
      </c>
      <c r="AO175" s="335">
        <f t="shared" si="76"/>
        <v>151.54333943734494</v>
      </c>
      <c r="AP175" s="335">
        <f t="shared" si="77"/>
        <v>8.4646552981777461</v>
      </c>
      <c r="AS175" s="609">
        <f t="shared" si="78"/>
        <v>2019</v>
      </c>
      <c r="AT175" s="335">
        <f t="shared" si="49"/>
        <v>159.84366853160702</v>
      </c>
      <c r="AU175" s="335">
        <f t="shared" si="50"/>
        <v>301.23625591804961</v>
      </c>
      <c r="AV175" s="335">
        <f t="shared" si="51"/>
        <v>247.4345544521365</v>
      </c>
      <c r="AW175" s="335">
        <f t="shared" si="52"/>
        <v>15.765092744093181</v>
      </c>
      <c r="AX175" s="335">
        <f t="shared" si="53"/>
        <v>35.56819850190854</v>
      </c>
      <c r="AY175" s="335">
        <f t="shared" si="79"/>
        <v>246.60823880527803</v>
      </c>
      <c r="AZ175" s="335">
        <f t="shared" si="80"/>
        <v>1191.4474114005131</v>
      </c>
      <c r="BA175" s="609"/>
      <c r="BB175" s="609"/>
      <c r="BC175" s="609"/>
      <c r="BQ175" s="609"/>
      <c r="BR175" s="609"/>
      <c r="BS175" s="609"/>
      <c r="BT175" s="609"/>
      <c r="BU175" s="609"/>
      <c r="BV175" s="609"/>
    </row>
    <row r="176" spans="1:74" ht="14.4" x14ac:dyDescent="0.55000000000000004">
      <c r="B176" s="3">
        <v>2020</v>
      </c>
      <c r="C176" s="1205">
        <f t="shared" si="48"/>
        <v>968.077896436728</v>
      </c>
      <c r="D176" s="1205">
        <f>'Food System Summary'!B18-'Food System Summary'!C18</f>
        <v>1390.8760037564734</v>
      </c>
      <c r="E176" s="1205">
        <f t="shared" si="81"/>
        <v>1.436739759141251</v>
      </c>
      <c r="F176" s="1205">
        <f t="shared" si="54"/>
        <v>0.64278400087199905</v>
      </c>
      <c r="G176" s="1205">
        <f t="shared" si="55"/>
        <v>1.0368558152116811</v>
      </c>
      <c r="H176" s="1205">
        <f t="shared" si="82"/>
        <v>1.0710458518143103E-3</v>
      </c>
      <c r="I176" s="1205">
        <f t="shared" si="56"/>
        <v>-423.83496313495715</v>
      </c>
      <c r="J176" s="1205">
        <f t="shared" si="57"/>
        <v>-0.43781080499306524</v>
      </c>
      <c r="K176" s="1205">
        <f t="shared" si="58"/>
        <v>-0.1958724807801229</v>
      </c>
      <c r="N176" s="3">
        <v>2020</v>
      </c>
      <c r="O176" s="1205">
        <f t="shared" si="59"/>
        <v>431.35895949500423</v>
      </c>
      <c r="P176" s="1205">
        <f t="shared" si="60"/>
        <v>1.2755441847883155</v>
      </c>
      <c r="Q176" s="1205">
        <f t="shared" si="61"/>
        <v>256.53011227147397</v>
      </c>
      <c r="R176" s="1205">
        <f t="shared" si="83"/>
        <v>174.82884722353026</v>
      </c>
      <c r="S176" s="1206">
        <f>Paper!E12</f>
        <v>424.86563496218895</v>
      </c>
      <c r="T176" s="1205">
        <f t="shared" si="62"/>
        <v>168.33552269071498</v>
      </c>
      <c r="U176" s="1206">
        <f>Paper!I12</f>
        <v>15.714087498649576</v>
      </c>
      <c r="V176" s="1205">
        <f t="shared" si="63"/>
        <v>152.62143519206541</v>
      </c>
      <c r="X176" s="533"/>
      <c r="Y176" s="609">
        <f t="shared" si="84"/>
        <v>2020</v>
      </c>
      <c r="Z176" s="335">
        <f t="shared" si="64"/>
        <v>2235.4879894080063</v>
      </c>
      <c r="AA176" s="335">
        <f t="shared" si="65"/>
        <v>1414.5884218030003</v>
      </c>
      <c r="AB176" s="335">
        <f t="shared" si="66"/>
        <v>166.9303328480238</v>
      </c>
      <c r="AC176" s="335">
        <f t="shared" si="67"/>
        <v>310.0681332686745</v>
      </c>
      <c r="AD176" s="335">
        <f t="shared" si="68"/>
        <v>256.53011227147397</v>
      </c>
      <c r="AE176" s="335">
        <f>MIN(Paper!I12,Paper!H12)</f>
        <v>15.714087498649576</v>
      </c>
      <c r="AF176" s="335">
        <f t="shared" si="69"/>
        <v>71.65690171818423</v>
      </c>
      <c r="AI176" s="609">
        <f t="shared" si="70"/>
        <v>2020</v>
      </c>
      <c r="AJ176" s="335">
        <f t="shared" si="71"/>
        <v>1151.040557547035</v>
      </c>
      <c r="AK176" s="335">
        <f t="shared" si="72"/>
        <v>-350.75105973300356</v>
      </c>
      <c r="AL176" s="335">
        <f t="shared" si="73"/>
        <v>0.85806577467282308</v>
      </c>
      <c r="AM176" s="335">
        <f t="shared" si="74"/>
        <v>162.95862375518655</v>
      </c>
      <c r="AN176" s="335">
        <f t="shared" si="75"/>
        <v>291.36747473422895</v>
      </c>
      <c r="AO176" s="335">
        <f t="shared" si="76"/>
        <v>152.62143519206541</v>
      </c>
      <c r="AP176" s="335">
        <f t="shared" si="77"/>
        <v>6.4933245328152225</v>
      </c>
      <c r="AS176" s="609">
        <f t="shared" si="78"/>
        <v>2020</v>
      </c>
      <c r="AT176" s="335">
        <f t="shared" si="49"/>
        <v>166.9303328480238</v>
      </c>
      <c r="AU176" s="335">
        <f t="shared" si="50"/>
        <v>310.0681332686745</v>
      </c>
      <c r="AV176" s="335">
        <f t="shared" si="51"/>
        <v>256.53011227147397</v>
      </c>
      <c r="AW176" s="335">
        <f t="shared" si="52"/>
        <v>15.714087498649576</v>
      </c>
      <c r="AX176" s="335">
        <f t="shared" si="53"/>
        <v>71.65690171818423</v>
      </c>
      <c r="AY176" s="335">
        <f t="shared" si="79"/>
        <v>273.17799049209589</v>
      </c>
      <c r="AZ176" s="335">
        <f t="shared" si="80"/>
        <v>1141.4104313109044</v>
      </c>
      <c r="BQ176" s="609"/>
      <c r="BR176" s="609"/>
      <c r="BS176" s="609"/>
      <c r="BT176" s="609"/>
      <c r="BU176" s="609"/>
      <c r="BV176" s="609"/>
    </row>
    <row r="177" spans="2:74" ht="14.4" x14ac:dyDescent="0.55000000000000004">
      <c r="B177" s="3">
        <v>2021</v>
      </c>
      <c r="C177" s="1205">
        <f t="shared" si="48"/>
        <v>950.94716158780125</v>
      </c>
      <c r="D177" s="1205">
        <f>'Food System Summary'!B19-'Food System Summary'!C19</f>
        <v>1372.8329544862322</v>
      </c>
      <c r="E177" s="1205">
        <f t="shared" si="81"/>
        <v>1.443647985860756</v>
      </c>
      <c r="F177" s="1205">
        <f t="shared" si="54"/>
        <v>0.63493987117514805</v>
      </c>
      <c r="G177" s="1205">
        <f t="shared" si="55"/>
        <v>1.1151044023402212</v>
      </c>
      <c r="H177" s="1205">
        <f t="shared" si="82"/>
        <v>1.172624986311885E-3</v>
      </c>
      <c r="I177" s="1205">
        <f t="shared" si="56"/>
        <v>-423.00089730077116</v>
      </c>
      <c r="J177" s="1205">
        <f t="shared" si="57"/>
        <v>-0.44482061084706792</v>
      </c>
      <c r="K177" s="1205">
        <f t="shared" si="58"/>
        <v>-0.19563934152472093</v>
      </c>
      <c r="N177" s="3">
        <v>2021</v>
      </c>
      <c r="O177" s="1205">
        <f t="shared" si="59"/>
        <v>439.28218533793995</v>
      </c>
      <c r="P177" s="1205">
        <f t="shared" si="60"/>
        <v>1.2984955976597525</v>
      </c>
      <c r="Q177" s="1205">
        <f t="shared" si="61"/>
        <v>265.82489330513022</v>
      </c>
      <c r="R177" s="1205">
        <f t="shared" si="83"/>
        <v>173.45729203280973</v>
      </c>
      <c r="S177" s="1206">
        <f>Paper!E13</f>
        <v>435.00883978153735</v>
      </c>
      <c r="T177" s="1205">
        <f t="shared" si="62"/>
        <v>169.18394647640713</v>
      </c>
      <c r="U177" s="1206">
        <f>Paper!I13</f>
        <v>15.494297163452188</v>
      </c>
      <c r="V177" s="1205">
        <f t="shared" si="63"/>
        <v>153.68964931295494</v>
      </c>
      <c r="X177" s="533"/>
      <c r="Y177" s="609">
        <f t="shared" si="84"/>
        <v>2021</v>
      </c>
      <c r="Z177" s="335">
        <f t="shared" si="64"/>
        <v>2270.2853275329462</v>
      </c>
      <c r="AA177" s="335">
        <f t="shared" si="65"/>
        <v>1388.3333971552647</v>
      </c>
      <c r="AB177" s="335">
        <f t="shared" si="66"/>
        <v>173.92674888400089</v>
      </c>
      <c r="AC177" s="335">
        <f t="shared" si="67"/>
        <v>318.56706004052148</v>
      </c>
      <c r="AD177" s="335">
        <f t="shared" si="68"/>
        <v>265.82489330513022</v>
      </c>
      <c r="AE177" s="335">
        <f>MIN(Paper!I13,Paper!H13)</f>
        <v>15.494297163452188</v>
      </c>
      <c r="AF177" s="335">
        <f t="shared" si="69"/>
        <v>108.1389309845767</v>
      </c>
      <c r="AI177" s="609">
        <f t="shared" si="70"/>
        <v>2021</v>
      </c>
      <c r="AJ177" s="335">
        <f t="shared" si="71"/>
        <v>1121.743953772535</v>
      </c>
      <c r="AK177" s="335">
        <f t="shared" si="72"/>
        <v>-345.63469461954531</v>
      </c>
      <c r="AL177" s="335">
        <f t="shared" si="73"/>
        <v>0.91115355081084903</v>
      </c>
      <c r="AM177" s="335">
        <f t="shared" si="74"/>
        <v>165.38564766450062</v>
      </c>
      <c r="AN177" s="335">
        <f t="shared" si="75"/>
        <v>287.96434191760613</v>
      </c>
      <c r="AO177" s="335">
        <f t="shared" si="76"/>
        <v>153.68964931295494</v>
      </c>
      <c r="AP177" s="335">
        <f t="shared" si="77"/>
        <v>4.2733455564026031</v>
      </c>
      <c r="AS177" s="609">
        <f t="shared" si="78"/>
        <v>2021</v>
      </c>
      <c r="AT177" s="335">
        <f t="shared" si="49"/>
        <v>173.92674888400089</v>
      </c>
      <c r="AU177" s="335">
        <f t="shared" si="50"/>
        <v>318.56706004052148</v>
      </c>
      <c r="AV177" s="335">
        <f t="shared" si="51"/>
        <v>265.82489330513022</v>
      </c>
      <c r="AW177" s="335">
        <f t="shared" si="52"/>
        <v>15.494297163452188</v>
      </c>
      <c r="AX177" s="335">
        <f t="shared" si="53"/>
        <v>108.1389309845767</v>
      </c>
      <c r="AY177" s="335">
        <f t="shared" si="79"/>
        <v>297.36425092534949</v>
      </c>
      <c r="AZ177" s="335">
        <f t="shared" si="80"/>
        <v>1090.9691462299152</v>
      </c>
      <c r="BQ177" s="609"/>
      <c r="BR177" s="609"/>
      <c r="BS177" s="609"/>
      <c r="BT177" s="609"/>
      <c r="BU177" s="609"/>
      <c r="BV177" s="609"/>
    </row>
    <row r="178" spans="2:74" ht="14.4" x14ac:dyDescent="0.55000000000000004">
      <c r="B178" s="3">
        <v>2022</v>
      </c>
      <c r="C178" s="1205">
        <f t="shared" si="48"/>
        <v>933.42878292615273</v>
      </c>
      <c r="D178" s="1205">
        <f>'Food System Summary'!B20-'Food System Summary'!C20</f>
        <v>1354.0745884482151</v>
      </c>
      <c r="E178" s="1205">
        <f t="shared" si="81"/>
        <v>1.4506458480993094</v>
      </c>
      <c r="F178" s="1205">
        <f t="shared" si="54"/>
        <v>0.62676351359981153</v>
      </c>
      <c r="G178" s="1205">
        <f t="shared" si="55"/>
        <v>1.1952639065759652</v>
      </c>
      <c r="H178" s="1205">
        <f t="shared" si="82"/>
        <v>1.2805089455555467E-3</v>
      </c>
      <c r="I178" s="1205">
        <f t="shared" si="56"/>
        <v>-421.84106942863832</v>
      </c>
      <c r="J178" s="1205">
        <f t="shared" si="57"/>
        <v>-0.45192635704486506</v>
      </c>
      <c r="K178" s="1205">
        <f t="shared" si="58"/>
        <v>-0.19525851316565551</v>
      </c>
      <c r="N178" s="3">
        <v>2022</v>
      </c>
      <c r="O178" s="1205">
        <f t="shared" si="59"/>
        <v>447.57194574128391</v>
      </c>
      <c r="P178" s="1205">
        <f t="shared" si="60"/>
        <v>1.3195360934240146</v>
      </c>
      <c r="Q178" s="1205">
        <f t="shared" si="61"/>
        <v>275.14194685047261</v>
      </c>
      <c r="R178" s="1205">
        <f t="shared" si="83"/>
        <v>172.42999889081131</v>
      </c>
      <c r="S178" s="1206">
        <f>Paper!E14</f>
        <v>444.54089977599546</v>
      </c>
      <c r="T178" s="1205">
        <f t="shared" si="62"/>
        <v>169.39895292552285</v>
      </c>
      <c r="U178" s="1206">
        <f>Paper!I14</f>
        <v>15.27837508652101</v>
      </c>
      <c r="V178" s="1205">
        <f t="shared" si="63"/>
        <v>154.12057783900184</v>
      </c>
      <c r="X178" s="533"/>
      <c r="Y178" s="609">
        <f t="shared" si="84"/>
        <v>2022</v>
      </c>
      <c r="Z178" s="335">
        <f t="shared" si="64"/>
        <v>2305.4281717581962</v>
      </c>
      <c r="AA178" s="335">
        <f t="shared" si="65"/>
        <v>1361.7806150888014</v>
      </c>
      <c r="AB178" s="335">
        <f t="shared" si="66"/>
        <v>181.06223349464767</v>
      </c>
      <c r="AC178" s="335">
        <f t="shared" si="67"/>
        <v>327.16027319774361</v>
      </c>
      <c r="AD178" s="335">
        <f t="shared" si="68"/>
        <v>275.14194685047261</v>
      </c>
      <c r="AE178" s="335">
        <f>MIN(Paper!I14,Paper!H14)</f>
        <v>15.27837508652101</v>
      </c>
      <c r="AF178" s="335">
        <f t="shared" si="69"/>
        <v>145.00472804000998</v>
      </c>
      <c r="AI178" s="609">
        <f t="shared" si="70"/>
        <v>2022</v>
      </c>
      <c r="AJ178" s="335">
        <f t="shared" si="71"/>
        <v>1091.4174111816167</v>
      </c>
      <c r="AK178" s="335">
        <f t="shared" si="72"/>
        <v>-340.01427384699548</v>
      </c>
      <c r="AL178" s="335">
        <f t="shared" si="73"/>
        <v>0.96341209688380169</v>
      </c>
      <c r="AM178" s="335">
        <f t="shared" si="74"/>
        <v>167.70871323222201</v>
      </c>
      <c r="AN178" s="335">
        <f t="shared" si="75"/>
        <v>284.55372862078394</v>
      </c>
      <c r="AO178" s="335">
        <f t="shared" si="76"/>
        <v>154.12057783900184</v>
      </c>
      <c r="AP178" s="335">
        <f t="shared" si="77"/>
        <v>3.0310459652886266</v>
      </c>
      <c r="AS178" s="609">
        <f t="shared" si="78"/>
        <v>2022</v>
      </c>
      <c r="AT178" s="335">
        <f t="shared" si="49"/>
        <v>181.06223349464767</v>
      </c>
      <c r="AU178" s="335">
        <f t="shared" si="50"/>
        <v>327.16027319774361</v>
      </c>
      <c r="AV178" s="335">
        <f t="shared" si="51"/>
        <v>275.14194685047261</v>
      </c>
      <c r="AW178" s="335">
        <f t="shared" si="52"/>
        <v>15.27837508652101</v>
      </c>
      <c r="AX178" s="335">
        <f t="shared" si="53"/>
        <v>145.00472804000998</v>
      </c>
      <c r="AY178" s="335">
        <f t="shared" si="79"/>
        <v>322.81854120686864</v>
      </c>
      <c r="AZ178" s="335">
        <f t="shared" si="80"/>
        <v>1038.9620738819326</v>
      </c>
      <c r="BQ178" s="609"/>
      <c r="BR178" s="609"/>
      <c r="BS178" s="609"/>
      <c r="BT178" s="609"/>
      <c r="BU178" s="609"/>
      <c r="BV178" s="609"/>
    </row>
    <row r="179" spans="2:74" ht="14.4" x14ac:dyDescent="0.55000000000000004">
      <c r="B179" s="3">
        <v>2023</v>
      </c>
      <c r="C179" s="1205">
        <f t="shared" si="48"/>
        <v>915.22006314589873</v>
      </c>
      <c r="D179" s="1205">
        <f>'Food System Summary'!B21-'Food System Summary'!C21</f>
        <v>1334.6708346893518</v>
      </c>
      <c r="E179" s="1205">
        <f t="shared" si="81"/>
        <v>1.4583059183620484</v>
      </c>
      <c r="F179" s="1205">
        <f t="shared" si="54"/>
        <v>0.61849480250897937</v>
      </c>
      <c r="G179" s="1205">
        <f t="shared" si="55"/>
        <v>1.2879999999999929</v>
      </c>
      <c r="H179" s="1205">
        <f t="shared" si="82"/>
        <v>1.4073118060510305E-3</v>
      </c>
      <c r="I179" s="1205">
        <f t="shared" si="56"/>
        <v>-420.73877154345303</v>
      </c>
      <c r="J179" s="1205">
        <f t="shared" si="57"/>
        <v>-0.4597132301680994</v>
      </c>
      <c r="K179" s="1205">
        <f t="shared" si="58"/>
        <v>-0.19497297509629524</v>
      </c>
      <c r="N179" s="3">
        <v>2023</v>
      </c>
      <c r="O179" s="1205">
        <f t="shared" si="59"/>
        <v>456.07158944859225</v>
      </c>
      <c r="P179" s="1205">
        <f t="shared" si="60"/>
        <v>1.3279999999999925</v>
      </c>
      <c r="Q179" s="1205">
        <f t="shared" si="61"/>
        <v>284.92227925384248</v>
      </c>
      <c r="R179" s="1205">
        <f t="shared" si="83"/>
        <v>171.14931019474977</v>
      </c>
      <c r="S179" s="1206">
        <f>Paper!E15</f>
        <v>454.17772675559291</v>
      </c>
      <c r="T179" s="1205">
        <f t="shared" si="62"/>
        <v>169.25544750175044</v>
      </c>
      <c r="U179" s="1206">
        <f>Paper!I15</f>
        <v>15.067653902712948</v>
      </c>
      <c r="V179" s="1205">
        <f t="shared" si="63"/>
        <v>154.18779359903749</v>
      </c>
      <c r="X179" s="533"/>
      <c r="Y179" s="609">
        <f t="shared" si="84"/>
        <v>2023</v>
      </c>
      <c r="Z179" s="335">
        <f t="shared" si="64"/>
        <v>2340.1548550480929</v>
      </c>
      <c r="AA179" s="335">
        <f t="shared" si="65"/>
        <v>1333.9280666898937</v>
      </c>
      <c r="AB179" s="335">
        <f t="shared" si="66"/>
        <v>188.27708525069994</v>
      </c>
      <c r="AC179" s="335">
        <f t="shared" si="67"/>
        <v>335.73870719203529</v>
      </c>
      <c r="AD179" s="335">
        <f t="shared" si="68"/>
        <v>284.92227925384248</v>
      </c>
      <c r="AE179" s="335">
        <f>MIN(Paper!I15,Paper!H15)</f>
        <v>15.067653902712948</v>
      </c>
      <c r="AF179" s="335">
        <f t="shared" si="69"/>
        <v>182.22106275890874</v>
      </c>
      <c r="AI179" s="609">
        <f t="shared" si="70"/>
        <v>2023</v>
      </c>
      <c r="AJ179" s="335">
        <f t="shared" si="71"/>
        <v>1060.1052469763001</v>
      </c>
      <c r="AK179" s="335">
        <f t="shared" si="72"/>
        <v>-334.18530451621916</v>
      </c>
      <c r="AL179" s="335">
        <f t="shared" si="73"/>
        <v>1.0230354351178066</v>
      </c>
      <c r="AM179" s="335">
        <f t="shared" si="74"/>
        <v>169.92292150944328</v>
      </c>
      <c r="AN179" s="335">
        <f t="shared" si="75"/>
        <v>280.98051099321464</v>
      </c>
      <c r="AO179" s="335">
        <f t="shared" si="76"/>
        <v>154.18779359903749</v>
      </c>
      <c r="AP179" s="335">
        <f t="shared" si="77"/>
        <v>1.8938626929995621</v>
      </c>
      <c r="AS179" s="609">
        <f t="shared" si="78"/>
        <v>2023</v>
      </c>
      <c r="AT179" s="335">
        <f t="shared" si="49"/>
        <v>188.27708525069994</v>
      </c>
      <c r="AU179" s="335">
        <f t="shared" si="50"/>
        <v>335.73870719203529</v>
      </c>
      <c r="AV179" s="335">
        <f t="shared" si="51"/>
        <v>284.92227925384248</v>
      </c>
      <c r="AW179" s="335">
        <f t="shared" si="52"/>
        <v>15.067653902712948</v>
      </c>
      <c r="AX179" s="335">
        <f t="shared" si="53"/>
        <v>182.22106275890874</v>
      </c>
      <c r="AY179" s="335">
        <f t="shared" si="79"/>
        <v>348.23572707903827</v>
      </c>
      <c r="AZ179" s="335">
        <f t="shared" si="80"/>
        <v>985.69233961085547</v>
      </c>
      <c r="BQ179" s="609"/>
      <c r="BR179" s="609"/>
      <c r="BS179" s="609"/>
      <c r="BT179" s="609"/>
      <c r="BU179" s="609"/>
      <c r="BV179" s="609"/>
    </row>
    <row r="180" spans="2:74" ht="14.4" x14ac:dyDescent="0.55000000000000004">
      <c r="B180" s="3">
        <v>2024</v>
      </c>
      <c r="C180" s="1205">
        <f t="shared" si="48"/>
        <v>896.78276123419914</v>
      </c>
      <c r="D180" s="1205">
        <f>'Food System Summary'!B22-'Food System Summary'!C22</f>
        <v>1314.6831744473786</v>
      </c>
      <c r="E180" s="1205">
        <f t="shared" si="81"/>
        <v>1.465999605788634</v>
      </c>
      <c r="F180" s="1205">
        <f t="shared" si="54"/>
        <v>0.61015579333532155</v>
      </c>
      <c r="G180" s="1205">
        <f t="shared" si="55"/>
        <v>1.8366301455772722</v>
      </c>
      <c r="H180" s="1205">
        <f t="shared" si="82"/>
        <v>2.0480212432380015E-3</v>
      </c>
      <c r="I180" s="1205">
        <f t="shared" si="56"/>
        <v>-419.73704335875675</v>
      </c>
      <c r="J180" s="1205">
        <f t="shared" si="57"/>
        <v>-0.46804762703187197</v>
      </c>
      <c r="K180" s="1205">
        <f t="shared" si="58"/>
        <v>-0.19480357979817997</v>
      </c>
      <c r="N180" s="3">
        <v>2024</v>
      </c>
      <c r="O180" s="1205">
        <f t="shared" si="59"/>
        <v>464.76380921850205</v>
      </c>
      <c r="P180" s="1205">
        <f t="shared" si="60"/>
        <v>1.8301607959200388</v>
      </c>
      <c r="Q180" s="1205">
        <f t="shared" si="61"/>
        <v>295.17561424329585</v>
      </c>
      <c r="R180" s="1205">
        <f t="shared" si="83"/>
        <v>169.58819497520619</v>
      </c>
      <c r="S180" s="1206">
        <f>Paper!E16</f>
        <v>463.86975570882623</v>
      </c>
      <c r="T180" s="1205">
        <f t="shared" si="62"/>
        <v>168.69414146553038</v>
      </c>
      <c r="U180" s="1206">
        <f>Paper!I16</f>
        <v>14.864567701617432</v>
      </c>
      <c r="V180" s="1205">
        <f t="shared" si="63"/>
        <v>153.82957376391295</v>
      </c>
      <c r="X180" s="533"/>
      <c r="Y180" s="609">
        <f t="shared" si="84"/>
        <v>2024</v>
      </c>
      <c r="Z180" s="335">
        <f t="shared" si="64"/>
        <v>2374.4267580491282</v>
      </c>
      <c r="AA180" s="335">
        <f t="shared" si="65"/>
        <v>1304.7691535035574</v>
      </c>
      <c r="AB180" s="335">
        <f t="shared" si="66"/>
        <v>195.56542141078231</v>
      </c>
      <c r="AC180" s="335">
        <f t="shared" si="67"/>
        <v>344.29326204271939</v>
      </c>
      <c r="AD180" s="335">
        <f t="shared" si="68"/>
        <v>295.17561424329585</v>
      </c>
      <c r="AE180" s="335">
        <f>MIN(Paper!I16,Paper!H16)</f>
        <v>14.864567701617432</v>
      </c>
      <c r="AF180" s="335">
        <f t="shared" si="69"/>
        <v>219.75873914715552</v>
      </c>
      <c r="AI180" s="609">
        <f t="shared" si="70"/>
        <v>2024</v>
      </c>
      <c r="AJ180" s="335">
        <f t="shared" si="71"/>
        <v>1027.9843437532836</v>
      </c>
      <c r="AK180" s="335">
        <f t="shared" si="72"/>
        <v>-328.20311193795203</v>
      </c>
      <c r="AL180" s="335">
        <f t="shared" si="73"/>
        <v>1.4361080080851982</v>
      </c>
      <c r="AM180" s="335">
        <f t="shared" si="74"/>
        <v>172.22507589074905</v>
      </c>
      <c r="AN180" s="335">
        <f t="shared" si="75"/>
        <v>276.60311051580294</v>
      </c>
      <c r="AO180" s="335">
        <f t="shared" si="76"/>
        <v>153.82957376391295</v>
      </c>
      <c r="AP180" s="335">
        <f t="shared" si="77"/>
        <v>0.8940535096757003</v>
      </c>
      <c r="AS180" s="609">
        <f t="shared" si="78"/>
        <v>2024</v>
      </c>
      <c r="AT180" s="335">
        <f t="shared" si="49"/>
        <v>195.56542141078231</v>
      </c>
      <c r="AU180" s="335">
        <f t="shared" si="50"/>
        <v>344.29326204271939</v>
      </c>
      <c r="AV180" s="335">
        <f t="shared" si="51"/>
        <v>295.17561424329585</v>
      </c>
      <c r="AW180" s="335">
        <f t="shared" si="52"/>
        <v>14.864567701617432</v>
      </c>
      <c r="AX180" s="335">
        <f t="shared" si="53"/>
        <v>219.75873914715552</v>
      </c>
      <c r="AY180" s="335">
        <f t="shared" si="79"/>
        <v>373.61608173336145</v>
      </c>
      <c r="AZ180" s="335">
        <f t="shared" si="80"/>
        <v>931.15307177019599</v>
      </c>
    </row>
    <row r="181" spans="2:74" ht="14.4" x14ac:dyDescent="0.55000000000000004">
      <c r="B181" s="3">
        <v>2025</v>
      </c>
      <c r="C181" s="1205">
        <f t="shared" si="48"/>
        <v>876.12599830530371</v>
      </c>
      <c r="D181" s="1205">
        <f>'Food System Summary'!B23-'Food System Summary'!C23</f>
        <v>1294.1645095427534</v>
      </c>
      <c r="E181" s="1205">
        <f t="shared" si="81"/>
        <v>1.4771442829525254</v>
      </c>
      <c r="F181" s="1205">
        <f t="shared" si="54"/>
        <v>0.60205304518851654</v>
      </c>
      <c r="G181" s="1205">
        <f t="shared" si="55"/>
        <v>2.3442265100814756</v>
      </c>
      <c r="H181" s="1205">
        <f t="shared" si="82"/>
        <v>2.6756728080389448E-3</v>
      </c>
      <c r="I181" s="1205">
        <f t="shared" si="56"/>
        <v>-420.38273774753117</v>
      </c>
      <c r="J181" s="1205">
        <f t="shared" si="57"/>
        <v>-0.47981995576056441</v>
      </c>
      <c r="K181" s="1205">
        <f t="shared" si="58"/>
        <v>-0.19556455577274942</v>
      </c>
      <c r="N181" s="3">
        <v>2025</v>
      </c>
      <c r="O181" s="1205">
        <f t="shared" si="59"/>
        <v>474.45456454294208</v>
      </c>
      <c r="P181" s="1205">
        <f t="shared" si="60"/>
        <v>2.2235867463247496</v>
      </c>
      <c r="Q181" s="1205">
        <f t="shared" si="61"/>
        <v>307.10062821402789</v>
      </c>
      <c r="R181" s="1205">
        <f t="shared" si="83"/>
        <v>167.35393632891419</v>
      </c>
      <c r="S181" s="1206">
        <f>Paper!E17</f>
        <v>474.09423178165162</v>
      </c>
      <c r="T181" s="1205">
        <f t="shared" si="62"/>
        <v>166.99360356762372</v>
      </c>
      <c r="U181" s="1206">
        <f>Paper!I17</f>
        <v>14.667952258686853</v>
      </c>
      <c r="V181" s="1205">
        <f t="shared" si="63"/>
        <v>152.32565130893687</v>
      </c>
      <c r="X181" s="533"/>
      <c r="Y181" s="609">
        <f t="shared" si="84"/>
        <v>2025</v>
      </c>
      <c r="Z181" s="335">
        <f t="shared" si="64"/>
        <v>2407.1768875846901</v>
      </c>
      <c r="AA181" s="335">
        <f t="shared" si="65"/>
        <v>1272.5012298530207</v>
      </c>
      <c r="AB181" s="335">
        <f t="shared" si="66"/>
        <v>202.65080862506096</v>
      </c>
      <c r="AC181" s="335">
        <f t="shared" si="67"/>
        <v>352.66490326431153</v>
      </c>
      <c r="AD181" s="335">
        <f t="shared" si="68"/>
        <v>307.10062821402789</v>
      </c>
      <c r="AE181" s="335">
        <f>MIN(Paper!I17,Paper!H17)</f>
        <v>14.667952258686853</v>
      </c>
      <c r="AF181" s="335">
        <f t="shared" si="69"/>
        <v>257.59136536958215</v>
      </c>
      <c r="AI181" s="609">
        <f t="shared" si="70"/>
        <v>2025</v>
      </c>
      <c r="AJ181" s="335">
        <f t="shared" si="71"/>
        <v>994.82002614653834</v>
      </c>
      <c r="AK181" s="335">
        <f t="shared" si="72"/>
        <v>-323.14683571821183</v>
      </c>
      <c r="AL181" s="335">
        <f t="shared" si="73"/>
        <v>1.801999251916296</v>
      </c>
      <c r="AM181" s="335">
        <f t="shared" si="74"/>
        <v>174.5965068074126</v>
      </c>
      <c r="AN181" s="335">
        <f t="shared" si="75"/>
        <v>271.74354929513811</v>
      </c>
      <c r="AO181" s="335">
        <f t="shared" si="76"/>
        <v>152.32565130893687</v>
      </c>
      <c r="AP181" s="335">
        <f t="shared" si="77"/>
        <v>0.3603327612903513</v>
      </c>
      <c r="AS181" s="609">
        <f t="shared" si="78"/>
        <v>2025</v>
      </c>
      <c r="AT181" s="335">
        <f t="shared" si="49"/>
        <v>202.65080862506096</v>
      </c>
      <c r="AU181" s="335">
        <f t="shared" si="50"/>
        <v>352.66490326431153</v>
      </c>
      <c r="AV181" s="335">
        <f t="shared" si="51"/>
        <v>307.10062821402789</v>
      </c>
      <c r="AW181" s="335">
        <f t="shared" si="52"/>
        <v>14.667952258686853</v>
      </c>
      <c r="AX181" s="335">
        <f t="shared" si="53"/>
        <v>257.59136536958215</v>
      </c>
      <c r="AY181" s="335">
        <f t="shared" si="79"/>
        <v>396.94034470855428</v>
      </c>
      <c r="AZ181" s="335">
        <f t="shared" si="80"/>
        <v>875.56088514446651</v>
      </c>
    </row>
    <row r="182" spans="2:74" ht="14.4" x14ac:dyDescent="0.55000000000000004">
      <c r="B182" s="3">
        <v>2026</v>
      </c>
      <c r="C182" s="1205">
        <f t="shared" si="48"/>
        <v>861.94845329316661</v>
      </c>
      <c r="D182" s="1205">
        <f>'Food System Summary'!B24-'Food System Summary'!C24</f>
        <v>1273.1585608023261</v>
      </c>
      <c r="E182" s="1205">
        <f t="shared" si="81"/>
        <v>1.4770704163782498</v>
      </c>
      <c r="F182" s="1205">
        <f t="shared" si="54"/>
        <v>0.59100553080504548</v>
      </c>
      <c r="G182" s="1205">
        <f t="shared" si="55"/>
        <v>2.9767318854505089</v>
      </c>
      <c r="H182" s="1205">
        <f t="shared" si="82"/>
        <v>3.4534917651717861E-3</v>
      </c>
      <c r="I182" s="1205">
        <f t="shared" si="56"/>
        <v>-414.18683939460999</v>
      </c>
      <c r="J182" s="1205">
        <f t="shared" si="57"/>
        <v>-0.48052390814342166</v>
      </c>
      <c r="K182" s="1205">
        <f t="shared" si="58"/>
        <v>-0.19226726379989509</v>
      </c>
      <c r="N182" s="3">
        <v>2026</v>
      </c>
      <c r="O182" s="1205">
        <f t="shared" si="59"/>
        <v>484.32983940790632</v>
      </c>
      <c r="P182" s="1205">
        <f t="shared" si="60"/>
        <v>2.6908109387219059</v>
      </c>
      <c r="Q182" s="1205">
        <f t="shared" si="61"/>
        <v>317.14142506220816</v>
      </c>
      <c r="R182" s="1205">
        <f t="shared" si="83"/>
        <v>167.18841434569816</v>
      </c>
      <c r="S182" s="1206">
        <f>Paper!E18</f>
        <v>484.32983940790632</v>
      </c>
      <c r="T182" s="1205">
        <f t="shared" si="62"/>
        <v>167.18841434569816</v>
      </c>
      <c r="U182" s="1206">
        <f>Paper!I18</f>
        <v>14.47409556283867</v>
      </c>
      <c r="V182" s="1205">
        <f t="shared" si="63"/>
        <v>152.71431878285949</v>
      </c>
      <c r="X182" s="533"/>
      <c r="Y182" s="609">
        <f t="shared" si="84"/>
        <v>2026</v>
      </c>
      <c r="Z182" s="335">
        <f t="shared" si="64"/>
        <v>2449.9180750781911</v>
      </c>
      <c r="AA182" s="335">
        <f t="shared" si="65"/>
        <v>1248.9916107711219</v>
      </c>
      <c r="AB182" s="335">
        <f t="shared" si="66"/>
        <v>211.06749222219909</v>
      </c>
      <c r="AC182" s="335">
        <f t="shared" si="67"/>
        <v>362.54982004813644</v>
      </c>
      <c r="AD182" s="335">
        <f t="shared" si="68"/>
        <v>317.14142506220816</v>
      </c>
      <c r="AE182" s="335">
        <f>MIN(Paper!I18,Paper!H18)</f>
        <v>14.47409556283867</v>
      </c>
      <c r="AF182" s="335">
        <f t="shared" si="69"/>
        <v>295.69363141168691</v>
      </c>
      <c r="AI182" s="609">
        <f t="shared" si="70"/>
        <v>2026</v>
      </c>
      <c r="AJ182" s="335">
        <f t="shared" si="71"/>
        <v>961.39701218176947</v>
      </c>
      <c r="AK182" s="335">
        <f t="shared" si="72"/>
        <v>-312.76386314996762</v>
      </c>
      <c r="AL182" s="335">
        <f t="shared" si="73"/>
        <v>2.2478120391656846</v>
      </c>
      <c r="AM182" s="335">
        <f t="shared" si="74"/>
        <v>176.81332554762628</v>
      </c>
      <c r="AN182" s="335">
        <f t="shared" si="75"/>
        <v>268.58300536966863</v>
      </c>
      <c r="AO182" s="335">
        <f t="shared" si="76"/>
        <v>152.71431878285949</v>
      </c>
      <c r="AP182" s="335">
        <f t="shared" si="77"/>
        <v>0</v>
      </c>
      <c r="AS182" s="609">
        <f t="shared" si="78"/>
        <v>2026</v>
      </c>
      <c r="AT182" s="335">
        <f t="shared" si="49"/>
        <v>211.06749222219909</v>
      </c>
      <c r="AU182" s="335">
        <f t="shared" si="50"/>
        <v>362.54982004813644</v>
      </c>
      <c r="AV182" s="335">
        <f t="shared" si="51"/>
        <v>317.14142506220816</v>
      </c>
      <c r="AW182" s="335">
        <f t="shared" si="52"/>
        <v>14.47409556283867</v>
      </c>
      <c r="AX182" s="335">
        <f t="shared" si="53"/>
        <v>295.69363141168691</v>
      </c>
      <c r="AY182" s="335">
        <f t="shared" si="79"/>
        <v>423.67644056405226</v>
      </c>
      <c r="AZ182" s="335">
        <f t="shared" si="80"/>
        <v>825.31517020706974</v>
      </c>
    </row>
    <row r="183" spans="2:74" ht="14.4" x14ac:dyDescent="0.55000000000000004">
      <c r="B183" s="3">
        <v>2027</v>
      </c>
      <c r="C183" s="1205">
        <f t="shared" si="48"/>
        <v>847.65199968577599</v>
      </c>
      <c r="D183" s="1205">
        <f>'Food System Summary'!B25-'Food System Summary'!C25</f>
        <v>1251.7032588172094</v>
      </c>
      <c r="E183" s="1205">
        <f t="shared" si="81"/>
        <v>1.4766711566553432</v>
      </c>
      <c r="F183" s="1205">
        <f t="shared" si="54"/>
        <v>0.57921963696248735</v>
      </c>
      <c r="G183" s="1205">
        <f t="shared" si="55"/>
        <v>3.7404646868092248</v>
      </c>
      <c r="H183" s="1205">
        <f t="shared" si="82"/>
        <v>4.4127362268900593E-3</v>
      </c>
      <c r="I183" s="1205">
        <f t="shared" si="56"/>
        <v>-407.79172381824264</v>
      </c>
      <c r="J183" s="1205">
        <f t="shared" si="57"/>
        <v>-0.48108389288223324</v>
      </c>
      <c r="K183" s="1205">
        <f t="shared" si="58"/>
        <v>-0.18870365045586468</v>
      </c>
      <c r="N183" s="3">
        <v>2027</v>
      </c>
      <c r="O183" s="1205">
        <f t="shared" si="59"/>
        <v>495.98162236023791</v>
      </c>
      <c r="P183" s="1205">
        <f t="shared" si="60"/>
        <v>3.2257107242619378</v>
      </c>
      <c r="Q183" s="1205">
        <f t="shared" si="61"/>
        <v>328.87461484153636</v>
      </c>
      <c r="R183" s="1205">
        <f t="shared" si="83"/>
        <v>167.10700751870155</v>
      </c>
      <c r="S183" s="1206">
        <f>Paper!E19</f>
        <v>495.41509035042276</v>
      </c>
      <c r="T183" s="1205">
        <f t="shared" si="62"/>
        <v>166.5404755088864</v>
      </c>
      <c r="U183" s="1206">
        <f>Paper!I19</f>
        <v>14.281701416224735</v>
      </c>
      <c r="V183" s="1205">
        <f t="shared" si="63"/>
        <v>152.25877409266167</v>
      </c>
      <c r="X183" s="533"/>
      <c r="Y183" s="609">
        <f t="shared" si="84"/>
        <v>2027</v>
      </c>
      <c r="Z183" s="335">
        <f t="shared" si="64"/>
        <v>2495.0576024378797</v>
      </c>
      <c r="AA183" s="335">
        <f t="shared" si="65"/>
        <v>1225.3587862406041</v>
      </c>
      <c r="AB183" s="335">
        <f t="shared" si="66"/>
        <v>219.65228833518719</v>
      </c>
      <c r="AC183" s="335">
        <f t="shared" si="67"/>
        <v>372.84922348795908</v>
      </c>
      <c r="AD183" s="335">
        <f t="shared" si="68"/>
        <v>328.87461484153636</v>
      </c>
      <c r="AE183" s="335">
        <f>MIN(Paper!I19,Paper!H19)</f>
        <v>14.281701416224735</v>
      </c>
      <c r="AF183" s="335">
        <f t="shared" si="69"/>
        <v>334.04098811636828</v>
      </c>
      <c r="AI183" s="609">
        <f t="shared" si="70"/>
        <v>2027</v>
      </c>
      <c r="AJ183" s="335">
        <f t="shared" si="71"/>
        <v>927.3490601392956</v>
      </c>
      <c r="AK183" s="335">
        <f t="shared" si="72"/>
        <v>-302.12054586546003</v>
      </c>
      <c r="AL183" s="335">
        <f t="shared" si="73"/>
        <v>2.7711970767532437</v>
      </c>
      <c r="AM183" s="335">
        <f t="shared" si="74"/>
        <v>178.87665041468608</v>
      </c>
      <c r="AN183" s="335">
        <f t="shared" si="75"/>
        <v>265.65711837285244</v>
      </c>
      <c r="AO183" s="335">
        <f t="shared" si="76"/>
        <v>152.25877409266167</v>
      </c>
      <c r="AP183" s="335">
        <f t="shared" si="77"/>
        <v>0.56653200981514829</v>
      </c>
      <c r="AS183" s="609">
        <f t="shared" si="78"/>
        <v>2027</v>
      </c>
      <c r="AT183" s="335">
        <f t="shared" si="49"/>
        <v>219.65228833518719</v>
      </c>
      <c r="AU183" s="335">
        <f t="shared" si="50"/>
        <v>372.84922348795908</v>
      </c>
      <c r="AV183" s="335">
        <f t="shared" si="51"/>
        <v>328.87461484153636</v>
      </c>
      <c r="AW183" s="335">
        <f t="shared" si="52"/>
        <v>14.281701416224735</v>
      </c>
      <c r="AX183" s="335">
        <f t="shared" si="53"/>
        <v>334.04098811636828</v>
      </c>
      <c r="AY183" s="335">
        <f t="shared" si="79"/>
        <v>448.33821664518143</v>
      </c>
      <c r="AZ183" s="335">
        <f t="shared" si="80"/>
        <v>777.02056959542267</v>
      </c>
    </row>
    <row r="184" spans="2:74" ht="14.4" x14ac:dyDescent="0.55000000000000004">
      <c r="B184" s="3">
        <v>2028</v>
      </c>
      <c r="C184" s="1205">
        <f t="shared" si="48"/>
        <v>832.94853321291043</v>
      </c>
      <c r="D184" s="1205">
        <f>'Food System Summary'!B26-'Food System Summary'!C26</f>
        <v>1229.8332846170215</v>
      </c>
      <c r="E184" s="1205">
        <f t="shared" si="81"/>
        <v>1.4764817219537179</v>
      </c>
      <c r="F184" s="1205">
        <f t="shared" si="54"/>
        <v>0.56749629433760329</v>
      </c>
      <c r="G184" s="1205">
        <f t="shared" si="55"/>
        <v>4.6414329449127987</v>
      </c>
      <c r="H184" s="1205">
        <f t="shared" si="82"/>
        <v>5.5722925965299699E-3</v>
      </c>
      <c r="I184" s="1205">
        <f t="shared" si="56"/>
        <v>-401.52618434902388</v>
      </c>
      <c r="J184" s="1205">
        <f t="shared" si="57"/>
        <v>-0.48205401455024777</v>
      </c>
      <c r="K184" s="1205">
        <f t="shared" si="58"/>
        <v>-0.18528090314985013</v>
      </c>
      <c r="N184" s="3">
        <v>2028</v>
      </c>
      <c r="O184" s="1205">
        <f t="shared" si="59"/>
        <v>507.81399693935214</v>
      </c>
      <c r="P184" s="1205">
        <f t="shared" si="60"/>
        <v>3.8224738382321224</v>
      </c>
      <c r="Q184" s="1205">
        <f t="shared" si="61"/>
        <v>345.06126756348812</v>
      </c>
      <c r="R184" s="1205">
        <f t="shared" si="83"/>
        <v>162.75272937586402</v>
      </c>
      <c r="S184" s="1206">
        <f>Paper!E20</f>
        <v>506.50122051119558</v>
      </c>
      <c r="T184" s="1205">
        <f t="shared" si="62"/>
        <v>161.43995294770747</v>
      </c>
      <c r="U184" s="1206">
        <f>Paper!I20</f>
        <v>14.093189301744189</v>
      </c>
      <c r="V184" s="1205">
        <f t="shared" si="63"/>
        <v>147.34676364596328</v>
      </c>
      <c r="X184" s="533"/>
      <c r="Y184" s="609">
        <f t="shared" si="84"/>
        <v>2028</v>
      </c>
      <c r="Z184" s="335">
        <f t="shared" si="64"/>
        <v>2539.731549883209</v>
      </c>
      <c r="AA184" s="335">
        <f t="shared" si="65"/>
        <v>1196.4804631168217</v>
      </c>
      <c r="AB184" s="335">
        <f t="shared" si="66"/>
        <v>228.34468948059947</v>
      </c>
      <c r="AC184" s="335">
        <f t="shared" si="67"/>
        <v>383.14165086648291</v>
      </c>
      <c r="AD184" s="335">
        <f t="shared" si="68"/>
        <v>345.06126756348812</v>
      </c>
      <c r="AE184" s="335">
        <f>MIN(Paper!I20,Paper!H20)</f>
        <v>14.093189301744189</v>
      </c>
      <c r="AF184" s="335">
        <f t="shared" si="69"/>
        <v>372.61028955407261</v>
      </c>
      <c r="AI184" s="609">
        <f t="shared" si="70"/>
        <v>2028</v>
      </c>
      <c r="AJ184" s="335">
        <f t="shared" si="71"/>
        <v>892.686524293719</v>
      </c>
      <c r="AK184" s="335">
        <f t="shared" si="72"/>
        <v>-291.45171008367117</v>
      </c>
      <c r="AL184" s="335">
        <f t="shared" si="73"/>
        <v>3.3690295222631192</v>
      </c>
      <c r="AM184" s="335">
        <f t="shared" si="74"/>
        <v>180.7840149577672</v>
      </c>
      <c r="AN184" s="335">
        <f t="shared" si="75"/>
        <v>262.43306435262377</v>
      </c>
      <c r="AO184" s="335">
        <f t="shared" si="76"/>
        <v>147.34676364596328</v>
      </c>
      <c r="AP184" s="335">
        <f t="shared" si="77"/>
        <v>1.3127764281565533</v>
      </c>
      <c r="AS184" s="609">
        <f t="shared" si="78"/>
        <v>2028</v>
      </c>
      <c r="AT184" s="335">
        <f t="shared" si="49"/>
        <v>228.34468948059947</v>
      </c>
      <c r="AU184" s="335">
        <f t="shared" si="50"/>
        <v>383.14165086648291</v>
      </c>
      <c r="AV184" s="335">
        <f t="shared" si="51"/>
        <v>345.06126756348812</v>
      </c>
      <c r="AW184" s="335">
        <f t="shared" si="52"/>
        <v>14.093189301744189</v>
      </c>
      <c r="AX184" s="335">
        <f t="shared" si="53"/>
        <v>372.61028955407261</v>
      </c>
      <c r="AY184" s="335">
        <f t="shared" si="79"/>
        <v>472.43314509528648</v>
      </c>
      <c r="AZ184" s="335">
        <f t="shared" si="80"/>
        <v>724.04731802153526</v>
      </c>
    </row>
    <row r="185" spans="2:74" ht="14.4" x14ac:dyDescent="0.55000000000000004">
      <c r="B185" s="3">
        <v>2029</v>
      </c>
      <c r="C185" s="1205">
        <f t="shared" si="48"/>
        <v>817.87634554980809</v>
      </c>
      <c r="D185" s="1205">
        <f>'Food System Summary'!B27-'Food System Summary'!C27</f>
        <v>1207.5796337378365</v>
      </c>
      <c r="E185" s="1205">
        <f t="shared" si="81"/>
        <v>1.4764819160114659</v>
      </c>
      <c r="F185" s="1205">
        <f t="shared" si="54"/>
        <v>0.55582933483337349</v>
      </c>
      <c r="G185" s="1205">
        <f t="shared" si="55"/>
        <v>5.6853471549795351</v>
      </c>
      <c r="H185" s="1205">
        <f t="shared" si="82"/>
        <v>6.9513529593004976E-3</v>
      </c>
      <c r="I185" s="1205">
        <f t="shared" si="56"/>
        <v>-395.38863534300793</v>
      </c>
      <c r="J185" s="1205">
        <f t="shared" si="57"/>
        <v>-0.48343326897076649</v>
      </c>
      <c r="K185" s="1205">
        <f t="shared" si="58"/>
        <v>-0.18199098100315492</v>
      </c>
      <c r="N185" s="3">
        <v>2029</v>
      </c>
      <c r="O185" s="1205">
        <f t="shared" si="59"/>
        <v>519.82222543678768</v>
      </c>
      <c r="P185" s="1205">
        <f t="shared" si="60"/>
        <v>4.4755855516312302</v>
      </c>
      <c r="Q185" s="1205">
        <f t="shared" si="61"/>
        <v>353.89539444827244</v>
      </c>
      <c r="R185" s="1205">
        <f t="shared" si="83"/>
        <v>165.92683098851523</v>
      </c>
      <c r="S185" s="1206">
        <f>Paper!E21</f>
        <v>517.85417053637252</v>
      </c>
      <c r="T185" s="1205">
        <f t="shared" si="62"/>
        <v>163.95877608810008</v>
      </c>
      <c r="U185" s="1206">
        <f>Paper!I21</f>
        <v>13.908756703063489</v>
      </c>
      <c r="V185" s="1205">
        <f t="shared" si="63"/>
        <v>150.05001938503659</v>
      </c>
      <c r="X185" s="533"/>
      <c r="Y185" s="609">
        <f t="shared" si="84"/>
        <v>2029</v>
      </c>
      <c r="Z185" s="335">
        <f t="shared" si="64"/>
        <v>2583.9516360536154</v>
      </c>
      <c r="AA185" s="335">
        <f t="shared" si="65"/>
        <v>1174.2013108786498</v>
      </c>
      <c r="AB185" s="335">
        <f t="shared" si="66"/>
        <v>237.14295530314223</v>
      </c>
      <c r="AC185" s="335">
        <f t="shared" si="67"/>
        <v>393.42427370673022</v>
      </c>
      <c r="AD185" s="335">
        <f t="shared" si="68"/>
        <v>353.89539444827244</v>
      </c>
      <c r="AE185" s="335">
        <f>MIN(Paper!I21,Paper!H21)</f>
        <v>13.908756703063489</v>
      </c>
      <c r="AF185" s="335">
        <f t="shared" si="69"/>
        <v>411.37894501375746</v>
      </c>
      <c r="AI185" s="609">
        <f t="shared" si="70"/>
        <v>2029</v>
      </c>
      <c r="AJ185" s="335">
        <f t="shared" si="71"/>
        <v>857.44234872323159</v>
      </c>
      <c r="AK185" s="335">
        <f t="shared" si="72"/>
        <v>-280.74584124742154</v>
      </c>
      <c r="AL185" s="335">
        <f t="shared" si="73"/>
        <v>4.0368827708557715</v>
      </c>
      <c r="AM185" s="335">
        <f t="shared" si="74"/>
        <v>182.53399630404115</v>
      </c>
      <c r="AN185" s="335">
        <f t="shared" si="75"/>
        <v>258.91585004249089</v>
      </c>
      <c r="AO185" s="335">
        <f t="shared" si="76"/>
        <v>150.05001938503659</v>
      </c>
      <c r="AP185" s="335">
        <f t="shared" si="77"/>
        <v>1.9680549004154386</v>
      </c>
      <c r="AS185" s="609">
        <f t="shared" si="78"/>
        <v>2029</v>
      </c>
      <c r="AT185" s="335">
        <f t="shared" si="49"/>
        <v>237.14295530314223</v>
      </c>
      <c r="AU185" s="335">
        <f t="shared" si="50"/>
        <v>393.42427370673022</v>
      </c>
      <c r="AV185" s="335">
        <f t="shared" si="51"/>
        <v>353.89539444827244</v>
      </c>
      <c r="AW185" s="335">
        <f t="shared" si="52"/>
        <v>13.908756703063489</v>
      </c>
      <c r="AX185" s="335">
        <f t="shared" si="53"/>
        <v>411.37894501375746</v>
      </c>
      <c r="AY185" s="335">
        <f t="shared" si="79"/>
        <v>496.30217363209351</v>
      </c>
      <c r="AZ185" s="335">
        <f t="shared" si="80"/>
        <v>677.89913724655628</v>
      </c>
    </row>
    <row r="186" spans="2:74" ht="14.4" x14ac:dyDescent="0.55000000000000004">
      <c r="B186" s="3">
        <v>2030</v>
      </c>
      <c r="C186" s="1205">
        <f t="shared" si="48"/>
        <v>803.9073023910413</v>
      </c>
      <c r="D186" s="1205">
        <f>'Food System Summary'!B28-'Food System Summary'!C28</f>
        <v>1184.9711823878106</v>
      </c>
      <c r="E186" s="1205">
        <f t="shared" si="81"/>
        <v>1.4740147015251392</v>
      </c>
      <c r="F186" s="1205">
        <f t="shared" si="54"/>
        <v>0.54345759295049723</v>
      </c>
      <c r="G186" s="1205">
        <f t="shared" si="55"/>
        <v>6.8776326503284642</v>
      </c>
      <c r="H186" s="1205">
        <f t="shared" si="82"/>
        <v>8.5552558483701965E-3</v>
      </c>
      <c r="I186" s="1205">
        <f t="shared" si="56"/>
        <v>-387.94151264709774</v>
      </c>
      <c r="J186" s="1205">
        <f t="shared" si="57"/>
        <v>-0.48256995737350938</v>
      </c>
      <c r="K186" s="1205">
        <f t="shared" si="58"/>
        <v>-0.17791973661665594</v>
      </c>
      <c r="N186" s="3">
        <v>2030</v>
      </c>
      <c r="O186" s="1205">
        <f t="shared" si="59"/>
        <v>532.61409006144584</v>
      </c>
      <c r="P186" s="1205">
        <f t="shared" si="60"/>
        <v>5.1798162972990989</v>
      </c>
      <c r="Q186" s="1205">
        <f t="shared" si="61"/>
        <v>367.20537918399901</v>
      </c>
      <c r="R186" s="1205">
        <f t="shared" si="83"/>
        <v>165.40871087744682</v>
      </c>
      <c r="S186" s="1206">
        <f>Paper!E22</f>
        <v>529.5753875852597</v>
      </c>
      <c r="T186" s="1205">
        <f t="shared" si="62"/>
        <v>162.37000840126069</v>
      </c>
      <c r="U186" s="1206">
        <f>Paper!I22</f>
        <v>13.728173775782238</v>
      </c>
      <c r="V186" s="1205">
        <f t="shared" si="63"/>
        <v>148.64183462547845</v>
      </c>
      <c r="X186" s="533"/>
      <c r="Y186" s="609">
        <f t="shared" si="84"/>
        <v>2030</v>
      </c>
      <c r="Z186" s="335">
        <f t="shared" si="64"/>
        <v>2630.7549019692192</v>
      </c>
      <c r="AA186" s="335">
        <f t="shared" si="65"/>
        <v>1149.007946889426</v>
      </c>
      <c r="AB186" s="335">
        <f t="shared" si="66"/>
        <v>246.32878267889808</v>
      </c>
      <c r="AC186" s="335">
        <f t="shared" si="67"/>
        <v>404.15961257089981</v>
      </c>
      <c r="AD186" s="335">
        <f t="shared" si="68"/>
        <v>367.20537918399901</v>
      </c>
      <c r="AE186" s="335">
        <f>MIN(Paper!I22,Paper!H22)</f>
        <v>13.728173775782238</v>
      </c>
      <c r="AF186" s="335">
        <f t="shared" si="69"/>
        <v>450.325006870214</v>
      </c>
      <c r="AI186" s="609">
        <f t="shared" si="70"/>
        <v>2030</v>
      </c>
      <c r="AJ186" s="335">
        <f t="shared" si="71"/>
        <v>821.87893531032375</v>
      </c>
      <c r="AK186" s="335">
        <f t="shared" si="72"/>
        <v>-269.07064248987342</v>
      </c>
      <c r="AL186" s="335">
        <f t="shared" si="73"/>
        <v>4.7702268916929107</v>
      </c>
      <c r="AM186" s="335">
        <f t="shared" si="74"/>
        <v>184.12594790912061</v>
      </c>
      <c r="AN186" s="335">
        <f t="shared" si="75"/>
        <v>255.62294216649747</v>
      </c>
      <c r="AO186" s="335">
        <f t="shared" si="76"/>
        <v>148.64183462547845</v>
      </c>
      <c r="AP186" s="335">
        <f t="shared" si="77"/>
        <v>3.0387024761861881</v>
      </c>
      <c r="AS186" s="609">
        <f t="shared" si="78"/>
        <v>2030</v>
      </c>
      <c r="AT186" s="335">
        <f t="shared" si="49"/>
        <v>246.32878267889808</v>
      </c>
      <c r="AU186" s="335">
        <f t="shared" si="50"/>
        <v>404.15961257089981</v>
      </c>
      <c r="AV186" s="335">
        <f t="shared" si="51"/>
        <v>367.20537918399901</v>
      </c>
      <c r="AW186" s="335">
        <f t="shared" si="52"/>
        <v>13.728173775782238</v>
      </c>
      <c r="AX186" s="335">
        <f t="shared" si="53"/>
        <v>450.325006870214</v>
      </c>
      <c r="AY186" s="335">
        <f t="shared" si="79"/>
        <v>519.22918248800215</v>
      </c>
      <c r="AZ186" s="335">
        <f t="shared" si="80"/>
        <v>629.77876440142381</v>
      </c>
    </row>
    <row r="187" spans="2:74" ht="14.4" x14ac:dyDescent="0.55000000000000004">
      <c r="B187" s="3">
        <v>2031</v>
      </c>
      <c r="C187" s="1205">
        <f t="shared" si="48"/>
        <v>787.74126348116476</v>
      </c>
      <c r="D187" s="1205">
        <f>'Food System Summary'!B29-'Food System Summary'!C29</f>
        <v>1160.6510073343256</v>
      </c>
      <c r="E187" s="1205">
        <f t="shared" si="81"/>
        <v>1.4733911515631519</v>
      </c>
      <c r="F187" s="1205">
        <f t="shared" si="54"/>
        <v>0.53177165974473706</v>
      </c>
      <c r="G187" s="1205">
        <f t="shared" si="55"/>
        <v>8.2234415176937663</v>
      </c>
      <c r="H187" s="1205">
        <f t="shared" si="82"/>
        <v>1.0439267179369223E-2</v>
      </c>
      <c r="I187" s="1205">
        <f t="shared" si="56"/>
        <v>-381.13318537085462</v>
      </c>
      <c r="J187" s="1205">
        <f t="shared" si="57"/>
        <v>-0.48383041874252114</v>
      </c>
      <c r="K187" s="1205">
        <f t="shared" si="58"/>
        <v>-0.17462253966758251</v>
      </c>
      <c r="N187" s="3">
        <v>2031</v>
      </c>
      <c r="O187" s="1205">
        <f t="shared" si="59"/>
        <v>544.34554260920549</v>
      </c>
      <c r="P187" s="1205">
        <f t="shared" si="60"/>
        <v>5.9302097547768318</v>
      </c>
      <c r="Q187" s="1205">
        <f t="shared" si="61"/>
        <v>380.50867492995854</v>
      </c>
      <c r="R187" s="1205">
        <f t="shared" si="83"/>
        <v>163.83686767924695</v>
      </c>
      <c r="S187" s="1206">
        <f>Paper!E23</f>
        <v>541.34905474398454</v>
      </c>
      <c r="T187" s="1205">
        <f t="shared" si="62"/>
        <v>160.84037981402599</v>
      </c>
      <c r="U187" s="1206">
        <f>Paper!I23</f>
        <v>13.550761741626104</v>
      </c>
      <c r="V187" s="1205">
        <f t="shared" si="63"/>
        <v>147.28961807239989</v>
      </c>
      <c r="X187" s="533"/>
      <c r="Y187" s="609">
        <f t="shared" si="84"/>
        <v>2031</v>
      </c>
      <c r="Z187" s="335">
        <f t="shared" si="64"/>
        <v>2671.0676895055658</v>
      </c>
      <c r="AA187" s="335">
        <f t="shared" si="65"/>
        <v>1119.5550558578761</v>
      </c>
      <c r="AB187" s="335">
        <f t="shared" si="66"/>
        <v>255.05002871114968</v>
      </c>
      <c r="AC187" s="335">
        <f t="shared" si="67"/>
        <v>413.94710550810652</v>
      </c>
      <c r="AD187" s="335">
        <f t="shared" si="68"/>
        <v>380.50867492995854</v>
      </c>
      <c r="AE187" s="335">
        <f>MIN(Paper!I23,Paper!H23)</f>
        <v>13.550761741626104</v>
      </c>
      <c r="AF187" s="335">
        <f t="shared" si="69"/>
        <v>488.45606275684906</v>
      </c>
      <c r="AI187" s="609">
        <f t="shared" si="70"/>
        <v>2031</v>
      </c>
      <c r="AJ187" s="335">
        <f t="shared" si="71"/>
        <v>784.8625518253898</v>
      </c>
      <c r="AK187" s="335">
        <f t="shared" si="72"/>
        <v>-257.73222317924706</v>
      </c>
      <c r="AL187" s="335">
        <f t="shared" si="73"/>
        <v>5.5609061238722841</v>
      </c>
      <c r="AM187" s="335">
        <f t="shared" si="74"/>
        <v>185.55328059258849</v>
      </c>
      <c r="AN187" s="335">
        <f t="shared" si="75"/>
        <v>251.02443455765143</v>
      </c>
      <c r="AO187" s="335">
        <f t="shared" si="76"/>
        <v>147.28961807239989</v>
      </c>
      <c r="AP187" s="335">
        <f t="shared" si="77"/>
        <v>2.9964878652212406</v>
      </c>
      <c r="AS187" s="609">
        <f t="shared" si="78"/>
        <v>2031</v>
      </c>
      <c r="AT187" s="335">
        <f t="shared" si="49"/>
        <v>255.05002871114968</v>
      </c>
      <c r="AU187" s="335">
        <f t="shared" si="50"/>
        <v>413.94710550810652</v>
      </c>
      <c r="AV187" s="335">
        <f t="shared" si="51"/>
        <v>380.50867492995854</v>
      </c>
      <c r="AW187" s="335">
        <f t="shared" si="52"/>
        <v>13.550761741626104</v>
      </c>
      <c r="AX187" s="335">
        <f t="shared" si="53"/>
        <v>488.45606275684906</v>
      </c>
      <c r="AY187" s="335">
        <f t="shared" si="79"/>
        <v>542.06651819247668</v>
      </c>
      <c r="AZ187" s="335">
        <f t="shared" si="80"/>
        <v>577.48853766539946</v>
      </c>
    </row>
    <row r="188" spans="2:74" ht="14.4" x14ac:dyDescent="0.55000000000000004">
      <c r="B188" s="3">
        <v>2032</v>
      </c>
      <c r="C188" s="1205">
        <f t="shared" si="48"/>
        <v>772.43510046586948</v>
      </c>
      <c r="D188" s="1205">
        <f>'Food System Summary'!B30-'Food System Summary'!C30</f>
        <v>1136.1435344460351</v>
      </c>
      <c r="E188" s="1205">
        <f t="shared" si="81"/>
        <v>1.4708595372747906</v>
      </c>
      <c r="F188" s="1205">
        <f t="shared" si="54"/>
        <v>0.51962785093113883</v>
      </c>
      <c r="G188" s="1205">
        <f t="shared" si="55"/>
        <v>9.7276640694768304</v>
      </c>
      <c r="H188" s="1205">
        <f t="shared" si="82"/>
        <v>1.2593503407095174E-2</v>
      </c>
      <c r="I188" s="1205">
        <f t="shared" si="56"/>
        <v>-373.43609804964245</v>
      </c>
      <c r="J188" s="1205">
        <f t="shared" si="57"/>
        <v>-0.48345304068188566</v>
      </c>
      <c r="K188" s="1205">
        <f t="shared" si="58"/>
        <v>-0.17079514269670182</v>
      </c>
      <c r="N188" s="3">
        <v>2032</v>
      </c>
      <c r="O188" s="1205">
        <f t="shared" si="59"/>
        <v>556.65870601986501</v>
      </c>
      <c r="P188" s="1205">
        <f t="shared" si="60"/>
        <v>6.7220713777054888</v>
      </c>
      <c r="Q188" s="1205">
        <f t="shared" si="61"/>
        <v>394.32394053803961</v>
      </c>
      <c r="R188" s="1205">
        <f t="shared" si="83"/>
        <v>162.3347654818254</v>
      </c>
      <c r="S188" s="1206">
        <f>Paper!E24</f>
        <v>553.43367037320627</v>
      </c>
      <c r="T188" s="1205">
        <f t="shared" si="62"/>
        <v>159.10972983516666</v>
      </c>
      <c r="U188" s="1206">
        <f>Paper!I24</f>
        <v>13.376384602145947</v>
      </c>
      <c r="V188" s="1205">
        <f t="shared" si="63"/>
        <v>145.73334523302071</v>
      </c>
      <c r="Y188" s="609">
        <f t="shared" si="84"/>
        <v>2032</v>
      </c>
      <c r="Z188" s="335">
        <f t="shared" si="64"/>
        <v>2713.0477280924774</v>
      </c>
      <c r="AA188" s="335">
        <f t="shared" si="65"/>
        <v>1090.6556092400108</v>
      </c>
      <c r="AB188" s="335">
        <f t="shared" si="66"/>
        <v>264.06467111355244</v>
      </c>
      <c r="AC188" s="335">
        <f t="shared" si="67"/>
        <v>424.03559082086588</v>
      </c>
      <c r="AD188" s="335">
        <f t="shared" si="68"/>
        <v>394.32394053803961</v>
      </c>
      <c r="AE188" s="335">
        <f>MIN(Paper!I24,Paper!H24)</f>
        <v>13.376384602145947</v>
      </c>
      <c r="AF188" s="335">
        <f t="shared" si="69"/>
        <v>526.591531777863</v>
      </c>
      <c r="AI188" s="609">
        <f t="shared" si="70"/>
        <v>2032</v>
      </c>
      <c r="AJ188" s="335">
        <f t="shared" si="71"/>
        <v>747.74149448133562</v>
      </c>
      <c r="AK188" s="335">
        <f t="shared" si="72"/>
        <v>-245.77322986313345</v>
      </c>
      <c r="AL188" s="335">
        <f t="shared" si="73"/>
        <v>6.4021647341148409</v>
      </c>
      <c r="AM188" s="335">
        <f t="shared" si="74"/>
        <v>186.81566899165404</v>
      </c>
      <c r="AN188" s="335">
        <f t="shared" si="75"/>
        <v>246.51113001635997</v>
      </c>
      <c r="AO188" s="335">
        <f t="shared" si="76"/>
        <v>145.73334523302071</v>
      </c>
      <c r="AP188" s="335">
        <f t="shared" si="77"/>
        <v>3.2250356466590233</v>
      </c>
      <c r="AS188" s="609">
        <f t="shared" si="78"/>
        <v>2032</v>
      </c>
      <c r="AT188" s="335">
        <f t="shared" si="49"/>
        <v>264.06467111355244</v>
      </c>
      <c r="AU188" s="335">
        <f t="shared" si="50"/>
        <v>424.03559082086588</v>
      </c>
      <c r="AV188" s="335">
        <f t="shared" si="51"/>
        <v>394.32394053803961</v>
      </c>
      <c r="AW188" s="335">
        <f t="shared" si="52"/>
        <v>13.376384602145947</v>
      </c>
      <c r="AX188" s="335">
        <f t="shared" si="53"/>
        <v>526.591531777863</v>
      </c>
      <c r="AY188" s="335">
        <f t="shared" si="79"/>
        <v>563.9457072319284</v>
      </c>
      <c r="AZ188" s="335">
        <f t="shared" si="80"/>
        <v>526.70990200808239</v>
      </c>
    </row>
    <row r="189" spans="2:74" ht="14.4" x14ac:dyDescent="0.55000000000000004">
      <c r="B189" s="3">
        <v>2033</v>
      </c>
      <c r="C189" s="1205">
        <f t="shared" si="48"/>
        <v>757.03719989484068</v>
      </c>
      <c r="D189" s="1205">
        <f>'Food System Summary'!B31-'Food System Summary'!C31</f>
        <v>1111.4817761953998</v>
      </c>
      <c r="E189" s="1205">
        <f t="shared" si="81"/>
        <v>1.4681996820629089</v>
      </c>
      <c r="F189" s="1205">
        <f t="shared" si="54"/>
        <v>0.50754310299801086</v>
      </c>
      <c r="G189" s="1205">
        <f t="shared" si="55"/>
        <v>11.394939888968246</v>
      </c>
      <c r="H189" s="1205">
        <f t="shared" si="82"/>
        <v>1.5052021077103088E-2</v>
      </c>
      <c r="I189" s="1205">
        <f t="shared" si="56"/>
        <v>-365.83951618952733</v>
      </c>
      <c r="J189" s="1205">
        <f t="shared" si="57"/>
        <v>-0.48325170314001181</v>
      </c>
      <c r="K189" s="1205">
        <f t="shared" si="58"/>
        <v>-0.16705566139078207</v>
      </c>
      <c r="N189" s="3">
        <v>2033</v>
      </c>
      <c r="O189" s="1205">
        <f t="shared" si="59"/>
        <v>569.13221579045955</v>
      </c>
      <c r="P189" s="1205">
        <f t="shared" si="60"/>
        <v>7.5509573490697699</v>
      </c>
      <c r="Q189" s="1205">
        <f t="shared" si="61"/>
        <v>408.66053675752613</v>
      </c>
      <c r="R189" s="1205">
        <f t="shared" si="83"/>
        <v>160.47167903293342</v>
      </c>
      <c r="S189" s="1206">
        <f>Paper!E25</f>
        <v>565.67615347742219</v>
      </c>
      <c r="T189" s="1205">
        <f t="shared" si="62"/>
        <v>157.01561671989606</v>
      </c>
      <c r="U189" s="1206">
        <f>Paper!I25</f>
        <v>13.205489540782764</v>
      </c>
      <c r="V189" s="1205">
        <f t="shared" si="63"/>
        <v>143.81012717911329</v>
      </c>
      <c r="Y189" s="609">
        <f t="shared" si="84"/>
        <v>2033</v>
      </c>
      <c r="Z189" s="335">
        <f t="shared" si="64"/>
        <v>2754.6471629240004</v>
      </c>
      <c r="AA189" s="335">
        <f t="shared" si="65"/>
        <v>1060.776786825292</v>
      </c>
      <c r="AB189" s="335">
        <f t="shared" si="66"/>
        <v>273.17888730075089</v>
      </c>
      <c r="AC189" s="335">
        <f t="shared" si="67"/>
        <v>434.1041790329362</v>
      </c>
      <c r="AD189" s="335">
        <f t="shared" si="68"/>
        <v>408.66053675752613</v>
      </c>
      <c r="AE189" s="335">
        <f>MIN(Paper!I25,Paper!H25)</f>
        <v>13.205489540782764</v>
      </c>
      <c r="AF189" s="335">
        <f t="shared" si="69"/>
        <v>564.72128346671252</v>
      </c>
      <c r="AI189" s="609">
        <f t="shared" si="70"/>
        <v>2033</v>
      </c>
      <c r="AJ189" s="335">
        <f t="shared" si="71"/>
        <v>710.40062071413809</v>
      </c>
      <c r="AK189" s="335">
        <f t="shared" si="72"/>
        <v>-233.82535363954611</v>
      </c>
      <c r="AL189" s="335">
        <f t="shared" si="73"/>
        <v>7.2830455194977741</v>
      </c>
      <c r="AM189" s="335">
        <f t="shared" si="74"/>
        <v>187.9090094324628</v>
      </c>
      <c r="AN189" s="335">
        <f t="shared" si="75"/>
        <v>241.7432753065886</v>
      </c>
      <c r="AO189" s="335">
        <f t="shared" si="76"/>
        <v>143.81012717911329</v>
      </c>
      <c r="AP189" s="335">
        <f t="shared" si="77"/>
        <v>3.4560623130375916</v>
      </c>
      <c r="AS189" s="609">
        <f t="shared" si="78"/>
        <v>2033</v>
      </c>
      <c r="AT189" s="335">
        <f t="shared" si="49"/>
        <v>273.17888730075089</v>
      </c>
      <c r="AU189" s="335">
        <f t="shared" si="50"/>
        <v>434.1041790329362</v>
      </c>
      <c r="AV189" s="335">
        <f t="shared" si="51"/>
        <v>408.66053675752613</v>
      </c>
      <c r="AW189" s="335">
        <f t="shared" si="52"/>
        <v>13.205489540782764</v>
      </c>
      <c r="AX189" s="335">
        <f t="shared" si="53"/>
        <v>564.72128346671252</v>
      </c>
      <c r="AY189" s="335">
        <f t="shared" si="79"/>
        <v>585.01833555366329</v>
      </c>
      <c r="AZ189" s="335">
        <f t="shared" si="80"/>
        <v>475.7584512716287</v>
      </c>
    </row>
    <row r="190" spans="2:74" ht="14.4" x14ac:dyDescent="0.55000000000000004">
      <c r="B190" s="3">
        <v>2034</v>
      </c>
      <c r="C190" s="1205">
        <f t="shared" si="48"/>
        <v>741.58823786335154</v>
      </c>
      <c r="D190" s="1205">
        <f>'Food System Summary'!B32-'Food System Summary'!C32</f>
        <v>1086.6988027072637</v>
      </c>
      <c r="E190" s="1205">
        <f t="shared" si="81"/>
        <v>1.4653668265265876</v>
      </c>
      <c r="F190" s="1205">
        <f t="shared" si="54"/>
        <v>0.49551264025492403</v>
      </c>
      <c r="G190" s="1205">
        <f t="shared" si="55"/>
        <v>13.229668462402442</v>
      </c>
      <c r="H190" s="1205">
        <f t="shared" si="82"/>
        <v>1.7839641713465526E-2</v>
      </c>
      <c r="I190" s="1205">
        <f t="shared" si="56"/>
        <v>-358.34023330631459</v>
      </c>
      <c r="J190" s="1205">
        <f t="shared" si="57"/>
        <v>-0.4832064682400532</v>
      </c>
      <c r="K190" s="1205">
        <f t="shared" si="58"/>
        <v>-0.16339588731746243</v>
      </c>
      <c r="N190" s="3">
        <v>2034</v>
      </c>
      <c r="O190" s="1205">
        <f t="shared" si="59"/>
        <v>581.77032351164087</v>
      </c>
      <c r="P190" s="1205">
        <f t="shared" si="60"/>
        <v>8.4126639488523143</v>
      </c>
      <c r="Q190" s="1205">
        <f t="shared" si="61"/>
        <v>424.95538778508956</v>
      </c>
      <c r="R190" s="1205">
        <f t="shared" si="83"/>
        <v>156.81493572655131</v>
      </c>
      <c r="S190" s="1206">
        <f>Paper!E26</f>
        <v>578.04232088820231</v>
      </c>
      <c r="T190" s="1205">
        <f t="shared" si="62"/>
        <v>153.08693310311276</v>
      </c>
      <c r="U190" s="1206">
        <f>Paper!I26</f>
        <v>13.038107484937825</v>
      </c>
      <c r="V190" s="1205">
        <f t="shared" si="63"/>
        <v>140.04882561817493</v>
      </c>
      <c r="Y190" s="609">
        <f t="shared" si="84"/>
        <v>2034</v>
      </c>
      <c r="Z190" s="335">
        <f t="shared" si="64"/>
        <v>2795.9182687269372</v>
      </c>
      <c r="AA190" s="335">
        <f t="shared" si="65"/>
        <v>1028.533856586208</v>
      </c>
      <c r="AB190" s="335">
        <f t="shared" si="66"/>
        <v>282.39592529023861</v>
      </c>
      <c r="AC190" s="335">
        <f t="shared" si="67"/>
        <v>444.15660503008326</v>
      </c>
      <c r="AD190" s="335">
        <f t="shared" si="68"/>
        <v>424.95538778508956</v>
      </c>
      <c r="AE190" s="335">
        <f>MIN(Paper!I26,Paper!H26)</f>
        <v>13.038107484937825</v>
      </c>
      <c r="AF190" s="335">
        <f t="shared" si="69"/>
        <v>602.83838655037994</v>
      </c>
      <c r="AI190" s="609">
        <f t="shared" si="70"/>
        <v>2034</v>
      </c>
      <c r="AJ190" s="335">
        <f t="shared" si="71"/>
        <v>672.88518184066743</v>
      </c>
      <c r="AK190" s="335">
        <f t="shared" si="72"/>
        <v>-221.88469560143648</v>
      </c>
      <c r="AL190" s="335">
        <f t="shared" si="73"/>
        <v>8.1918263338820072</v>
      </c>
      <c r="AM190" s="335">
        <f t="shared" si="74"/>
        <v>188.8290176007759</v>
      </c>
      <c r="AN190" s="335">
        <f t="shared" si="75"/>
        <v>236.73569817070597</v>
      </c>
      <c r="AO190" s="335">
        <f t="shared" si="76"/>
        <v>140.04882561817493</v>
      </c>
      <c r="AP190" s="335">
        <f t="shared" si="77"/>
        <v>3.7280026234383286</v>
      </c>
      <c r="AS190" s="609">
        <f t="shared" si="78"/>
        <v>2034</v>
      </c>
      <c r="AT190" s="335">
        <f t="shared" si="49"/>
        <v>282.39592529023861</v>
      </c>
      <c r="AU190" s="335">
        <f t="shared" si="50"/>
        <v>444.15660503008326</v>
      </c>
      <c r="AV190" s="335">
        <f t="shared" si="51"/>
        <v>424.95538778508956</v>
      </c>
      <c r="AW190" s="335">
        <f t="shared" si="52"/>
        <v>13.038107484937825</v>
      </c>
      <c r="AX190" s="335">
        <f t="shared" si="53"/>
        <v>602.83838655037994</v>
      </c>
      <c r="AY190" s="335">
        <f t="shared" si="79"/>
        <v>605.09858449771889</v>
      </c>
      <c r="AZ190" s="335">
        <f t="shared" si="80"/>
        <v>423.43527208848911</v>
      </c>
    </row>
    <row r="191" spans="2:74" ht="14.4" x14ac:dyDescent="0.55000000000000004">
      <c r="B191" s="3">
        <v>2035</v>
      </c>
      <c r="C191" s="1205">
        <f t="shared" si="48"/>
        <v>726.18356532945063</v>
      </c>
      <c r="D191" s="1205">
        <f>'Food System Summary'!B33-'Food System Summary'!C33</f>
        <v>1061.8208649021958</v>
      </c>
      <c r="E191" s="1205">
        <f t="shared" si="81"/>
        <v>1.462193466772379</v>
      </c>
      <c r="F191" s="1205">
        <f t="shared" si="54"/>
        <v>0.48350468241078742</v>
      </c>
      <c r="G191" s="1205">
        <f t="shared" si="55"/>
        <v>15.236019412651798</v>
      </c>
      <c r="H191" s="1205">
        <f t="shared" si="82"/>
        <v>2.0980947710844449E-2</v>
      </c>
      <c r="I191" s="1205">
        <f t="shared" si="56"/>
        <v>-350.87331898539696</v>
      </c>
      <c r="J191" s="1205">
        <f t="shared" si="57"/>
        <v>-0.48317441448322346</v>
      </c>
      <c r="K191" s="1205">
        <f t="shared" si="58"/>
        <v>-0.15977166984572261</v>
      </c>
      <c r="N191" s="3">
        <v>2035</v>
      </c>
      <c r="O191" s="1205">
        <f t="shared" si="59"/>
        <v>594.60169845937173</v>
      </c>
      <c r="P191" s="1205">
        <f t="shared" si="60"/>
        <v>9.3032173202231991</v>
      </c>
      <c r="Q191" s="1205">
        <f t="shared" si="61"/>
        <v>438.93612853921104</v>
      </c>
      <c r="R191" s="1205">
        <f t="shared" si="83"/>
        <v>155.66556992016069</v>
      </c>
      <c r="S191" s="1206">
        <f>Paper!E27</f>
        <v>590.49284513009445</v>
      </c>
      <c r="T191" s="1205">
        <f t="shared" si="62"/>
        <v>151.55671659088341</v>
      </c>
      <c r="U191" s="1206">
        <f>Paper!I27</f>
        <v>12.873951685425254</v>
      </c>
      <c r="V191" s="1205">
        <f t="shared" si="63"/>
        <v>138.68276490545816</v>
      </c>
      <c r="Y191" s="609">
        <f t="shared" si="84"/>
        <v>2035</v>
      </c>
      <c r="Z191" s="335">
        <f t="shared" si="64"/>
        <v>2837.0275955231041</v>
      </c>
      <c r="AA191" s="335">
        <f t="shared" si="65"/>
        <v>998.33602624487435</v>
      </c>
      <c r="AB191" s="335">
        <f t="shared" si="66"/>
        <v>291.73120151655121</v>
      </c>
      <c r="AC191" s="335">
        <f t="shared" si="67"/>
        <v>454.21489862481195</v>
      </c>
      <c r="AD191" s="335">
        <f t="shared" si="68"/>
        <v>438.93612853921104</v>
      </c>
      <c r="AE191" s="335">
        <f>MIN(Paper!I27,Paper!H27)</f>
        <v>12.873951685425254</v>
      </c>
      <c r="AF191" s="335">
        <f t="shared" si="69"/>
        <v>640.93538891223034</v>
      </c>
      <c r="AI191" s="609">
        <f t="shared" si="70"/>
        <v>2035</v>
      </c>
      <c r="AJ191" s="335">
        <f t="shared" si="71"/>
        <v>635.25340799103833</v>
      </c>
      <c r="AK191" s="335">
        <f t="shared" si="72"/>
        <v>-209.91626650615007</v>
      </c>
      <c r="AL191" s="335">
        <f t="shared" si="73"/>
        <v>9.1152223280112121</v>
      </c>
      <c r="AM191" s="335">
        <f t="shared" si="74"/>
        <v>189.57109123280418</v>
      </c>
      <c r="AN191" s="335">
        <f t="shared" si="75"/>
        <v>231.52095296443525</v>
      </c>
      <c r="AO191" s="335">
        <f t="shared" si="76"/>
        <v>138.68276490545816</v>
      </c>
      <c r="AP191" s="335">
        <f t="shared" si="77"/>
        <v>4.1088533292773377</v>
      </c>
      <c r="AS191" s="609">
        <f t="shared" si="78"/>
        <v>2035</v>
      </c>
      <c r="AT191" s="335">
        <f t="shared" si="49"/>
        <v>291.73120151655121</v>
      </c>
      <c r="AU191" s="335">
        <f t="shared" si="50"/>
        <v>454.21489862481195</v>
      </c>
      <c r="AV191" s="335">
        <f t="shared" si="51"/>
        <v>438.93612853921104</v>
      </c>
      <c r="AW191" s="335">
        <f t="shared" si="52"/>
        <v>12.873951685425254</v>
      </c>
      <c r="AX191" s="335">
        <f t="shared" si="53"/>
        <v>640.93538891223034</v>
      </c>
      <c r="AY191" s="335">
        <f t="shared" si="79"/>
        <v>624.4372886075306</v>
      </c>
      <c r="AZ191" s="335">
        <f t="shared" si="80"/>
        <v>373.89873763734374</v>
      </c>
    </row>
    <row r="192" spans="2:74" ht="14.4" x14ac:dyDescent="0.55000000000000004">
      <c r="B192" s="3">
        <v>2036</v>
      </c>
      <c r="C192" s="1205">
        <f t="shared" si="48"/>
        <v>710.65840570053047</v>
      </c>
      <c r="D192" s="1205">
        <f>'Food System Summary'!B34-'Food System Summary'!C34</f>
        <v>1036.8675411904576</v>
      </c>
      <c r="E192" s="1205">
        <f t="shared" si="81"/>
        <v>1.4590238191418661</v>
      </c>
      <c r="F192" s="1205">
        <f t="shared" si="54"/>
        <v>0.47160569687322151</v>
      </c>
      <c r="G192" s="1205">
        <f t="shared" si="55"/>
        <v>17.417942348643042</v>
      </c>
      <c r="H192" s="1205">
        <f t="shared" si="82"/>
        <v>2.4509584645626376E-2</v>
      </c>
      <c r="I192" s="1205">
        <f t="shared" si="56"/>
        <v>-343.62707783857019</v>
      </c>
      <c r="J192" s="1205">
        <f t="shared" si="57"/>
        <v>-0.48353340378749238</v>
      </c>
      <c r="K192" s="1205">
        <f t="shared" si="58"/>
        <v>-0.15629430093115451</v>
      </c>
      <c r="N192" s="3">
        <v>2036</v>
      </c>
      <c r="O192" s="1205">
        <f t="shared" si="59"/>
        <v>607.54040466867013</v>
      </c>
      <c r="P192" s="1205">
        <f t="shared" si="60"/>
        <v>10.218863620589186</v>
      </c>
      <c r="Q192" s="1205">
        <f t="shared" si="61"/>
        <v>454.89482794655709</v>
      </c>
      <c r="R192" s="1205">
        <f t="shared" si="83"/>
        <v>152.64557672211305</v>
      </c>
      <c r="S192" s="1206">
        <f>Paper!E28</f>
        <v>602.98378988232821</v>
      </c>
      <c r="T192" s="1205">
        <f t="shared" si="62"/>
        <v>148.08896193577112</v>
      </c>
      <c r="U192" s="1206">
        <f>Paper!I28</f>
        <v>12.712520611458331</v>
      </c>
      <c r="V192" s="1205">
        <f t="shared" si="63"/>
        <v>135.37644132431279</v>
      </c>
      <c r="Y192" s="609">
        <f t="shared" si="84"/>
        <v>2036</v>
      </c>
      <c r="Z192" s="335">
        <f t="shared" si="64"/>
        <v>2877.593182128237</v>
      </c>
      <c r="AA192" s="335">
        <f t="shared" si="65"/>
        <v>965.62418292963139</v>
      </c>
      <c r="AB192" s="335">
        <f t="shared" si="66"/>
        <v>301.14397191355829</v>
      </c>
      <c r="AC192" s="335">
        <f t="shared" si="67"/>
        <v>464.21443744336341</v>
      </c>
      <c r="AD192" s="335">
        <f t="shared" si="68"/>
        <v>454.89482794655709</v>
      </c>
      <c r="AE192" s="335">
        <f>MIN(Paper!I28,Paper!H28)</f>
        <v>12.712520611458331</v>
      </c>
      <c r="AF192" s="335">
        <f t="shared" si="69"/>
        <v>679.00324128366879</v>
      </c>
      <c r="AI192" s="609">
        <f t="shared" si="70"/>
        <v>2036</v>
      </c>
      <c r="AJ192" s="335">
        <f t="shared" si="71"/>
        <v>597.4913131775869</v>
      </c>
      <c r="AK192" s="335">
        <f t="shared" si="72"/>
        <v>-198.01390806912235</v>
      </c>
      <c r="AL192" s="335">
        <f t="shared" si="73"/>
        <v>10.037028678507554</v>
      </c>
      <c r="AM192" s="335">
        <f t="shared" si="74"/>
        <v>190.12886498954404</v>
      </c>
      <c r="AN192" s="335">
        <f t="shared" si="75"/>
        <v>226.04782804246042</v>
      </c>
      <c r="AO192" s="335">
        <f t="shared" si="76"/>
        <v>135.37644132431279</v>
      </c>
      <c r="AP192" s="335">
        <f t="shared" si="77"/>
        <v>4.5566147863419815</v>
      </c>
      <c r="AS192" s="609">
        <f t="shared" si="78"/>
        <v>2036</v>
      </c>
      <c r="AT192" s="335">
        <f t="shared" si="49"/>
        <v>301.14397191355829</v>
      </c>
      <c r="AU192" s="335">
        <f t="shared" si="50"/>
        <v>464.21443744336341</v>
      </c>
      <c r="AV192" s="335">
        <f t="shared" si="51"/>
        <v>454.89482794655709</v>
      </c>
      <c r="AW192" s="335">
        <f t="shared" si="52"/>
        <v>12.712520611458331</v>
      </c>
      <c r="AX192" s="335">
        <f t="shared" si="53"/>
        <v>679.00324128366879</v>
      </c>
      <c r="AY192" s="335">
        <f t="shared" si="79"/>
        <v>642.59597575340285</v>
      </c>
      <c r="AZ192" s="335">
        <f t="shared" si="80"/>
        <v>323.02820717622853</v>
      </c>
    </row>
    <row r="193" spans="2:52" ht="14.4" x14ac:dyDescent="0.55000000000000004">
      <c r="B193" s="3">
        <v>2037</v>
      </c>
      <c r="C193" s="1205">
        <f t="shared" si="48"/>
        <v>695.23811040779901</v>
      </c>
      <c r="D193" s="1205">
        <f>'Food System Summary'!B35-'Food System Summary'!C35</f>
        <v>1011.8500551933589</v>
      </c>
      <c r="E193" s="1205">
        <f t="shared" si="81"/>
        <v>1.4554007325631904</v>
      </c>
      <c r="F193" s="1205">
        <f t="shared" si="54"/>
        <v>0.4597197943182717</v>
      </c>
      <c r="G193" s="1205">
        <f t="shared" si="55"/>
        <v>19.779176342851141</v>
      </c>
      <c r="H193" s="1205">
        <f t="shared" si="82"/>
        <v>2.8449499598417388E-2</v>
      </c>
      <c r="I193" s="1205">
        <f t="shared" si="56"/>
        <v>-336.39112112841104</v>
      </c>
      <c r="J193" s="1205">
        <f t="shared" si="57"/>
        <v>-0.48385023216160777</v>
      </c>
      <c r="K193" s="1205">
        <f t="shared" si="58"/>
        <v>-0.15283455905538695</v>
      </c>
      <c r="N193" s="3">
        <v>2037</v>
      </c>
      <c r="O193" s="1205">
        <f t="shared" si="59"/>
        <v>620.67063187610006</v>
      </c>
      <c r="P193" s="1205">
        <f t="shared" si="60"/>
        <v>11.156059543517758</v>
      </c>
      <c r="Q193" s="1205">
        <f t="shared" si="61"/>
        <v>471.41427796644246</v>
      </c>
      <c r="R193" s="1205">
        <f t="shared" si="83"/>
        <v>149.25635390965761</v>
      </c>
      <c r="S193" s="1206">
        <f>Paper!E29</f>
        <v>615.46723432447584</v>
      </c>
      <c r="T193" s="1205">
        <f t="shared" si="62"/>
        <v>144.05295635803338</v>
      </c>
      <c r="U193" s="1206">
        <f>Paper!I29</f>
        <v>12.553508058758098</v>
      </c>
      <c r="V193" s="1205">
        <f t="shared" si="63"/>
        <v>131.49944829927529</v>
      </c>
      <c r="Y193" s="609">
        <f t="shared" si="84"/>
        <v>2037</v>
      </c>
      <c r="Z193" s="335">
        <f t="shared" si="64"/>
        <v>2918.0432097870271</v>
      </c>
      <c r="AA193" s="335">
        <f t="shared" si="65"/>
        <v>932.15111341150975</v>
      </c>
      <c r="AB193" s="335">
        <f t="shared" si="66"/>
        <v>310.67699002273372</v>
      </c>
      <c r="AC193" s="335">
        <f t="shared" si="67"/>
        <v>474.21887583656201</v>
      </c>
      <c r="AD193" s="335">
        <f t="shared" si="68"/>
        <v>471.41427796644246</v>
      </c>
      <c r="AE193" s="335">
        <f>MIN(Paper!I29,Paper!H29)</f>
        <v>12.553508058758098</v>
      </c>
      <c r="AF193" s="335">
        <f t="shared" si="69"/>
        <v>717.02844449102145</v>
      </c>
      <c r="AI193" s="609">
        <f t="shared" si="70"/>
        <v>2037</v>
      </c>
      <c r="AJ193" s="335">
        <f t="shared" si="71"/>
        <v>559.69053632374528</v>
      </c>
      <c r="AK193" s="335">
        <f t="shared" si="72"/>
        <v>-186.06998737864183</v>
      </c>
      <c r="AL193" s="335">
        <f t="shared" si="73"/>
        <v>10.940571439961856</v>
      </c>
      <c r="AM193" s="335">
        <f t="shared" si="74"/>
        <v>190.49717316213412</v>
      </c>
      <c r="AN193" s="335">
        <f t="shared" si="75"/>
        <v>220.38997401341067</v>
      </c>
      <c r="AO193" s="335">
        <f t="shared" si="76"/>
        <v>131.49944829927529</v>
      </c>
      <c r="AP193" s="335">
        <f t="shared" si="77"/>
        <v>5.2033975516243345</v>
      </c>
      <c r="AS193" s="609">
        <f t="shared" si="78"/>
        <v>2037</v>
      </c>
      <c r="AT193" s="335">
        <f t="shared" si="49"/>
        <v>310.67699002273372</v>
      </c>
      <c r="AU193" s="335">
        <f t="shared" si="50"/>
        <v>474.21887583656201</v>
      </c>
      <c r="AV193" s="335">
        <f t="shared" si="51"/>
        <v>471.41427796644246</v>
      </c>
      <c r="AW193" s="335">
        <f t="shared" si="52"/>
        <v>12.553508058758098</v>
      </c>
      <c r="AX193" s="335">
        <f t="shared" si="53"/>
        <v>717.02844449102145</v>
      </c>
      <c r="AY193" s="335">
        <f t="shared" si="79"/>
        <v>659.61418432924825</v>
      </c>
      <c r="AZ193" s="335">
        <f t="shared" si="80"/>
        <v>272.53692908226151</v>
      </c>
    </row>
    <row r="194" spans="2:52" ht="14.4" x14ac:dyDescent="0.55000000000000004">
      <c r="B194" s="3">
        <v>2038</v>
      </c>
      <c r="C194" s="1205">
        <f t="shared" si="48"/>
        <v>679.89270053630992</v>
      </c>
      <c r="D194" s="1205">
        <f>'Food System Summary'!B36-'Food System Summary'!C36</f>
        <v>986.77482733007901</v>
      </c>
      <c r="E194" s="1205">
        <f t="shared" si="81"/>
        <v>1.4513684682181405</v>
      </c>
      <c r="F194" s="1205">
        <f t="shared" si="54"/>
        <v>0.4478685538936743</v>
      </c>
      <c r="G194" s="1205">
        <f t="shared" si="55"/>
        <v>22.323259051119379</v>
      </c>
      <c r="H194" s="1205">
        <f t="shared" si="82"/>
        <v>3.2833503041745329E-2</v>
      </c>
      <c r="I194" s="1205">
        <f t="shared" si="56"/>
        <v>-329.2053858448885</v>
      </c>
      <c r="J194" s="1205">
        <f t="shared" si="57"/>
        <v>-0.48420197125988584</v>
      </c>
      <c r="K194" s="1205">
        <f t="shared" si="58"/>
        <v>-0.14941680311332053</v>
      </c>
      <c r="N194" s="3">
        <v>2038</v>
      </c>
      <c r="O194" s="1205">
        <f t="shared" si="59"/>
        <v>633.9629638595103</v>
      </c>
      <c r="P194" s="1205">
        <f t="shared" si="60"/>
        <v>12.111463199440921</v>
      </c>
      <c r="Q194" s="1205">
        <f t="shared" si="61"/>
        <v>487.20434666666659</v>
      </c>
      <c r="R194" s="1205">
        <f t="shared" si="83"/>
        <v>146.7586171928437</v>
      </c>
      <c r="S194" s="1206">
        <f>Paper!E30</f>
        <v>627.89500953747279</v>
      </c>
      <c r="T194" s="1205">
        <f t="shared" si="62"/>
        <v>140.69066287080619</v>
      </c>
      <c r="U194" s="1206">
        <f>Paper!I30</f>
        <v>12.396933139974635</v>
      </c>
      <c r="V194" s="1205">
        <f t="shared" si="63"/>
        <v>128.29372973083156</v>
      </c>
      <c r="Y194" s="609">
        <f t="shared" si="84"/>
        <v>2038</v>
      </c>
      <c r="Z194" s="335">
        <f t="shared" si="64"/>
        <v>2958.2622662500853</v>
      </c>
      <c r="AA194" s="335">
        <f t="shared" si="65"/>
        <v>899.14547913507658</v>
      </c>
      <c r="AB194" s="335">
        <f t="shared" si="66"/>
        <v>320.31727823188743</v>
      </c>
      <c r="AC194" s="335">
        <f t="shared" si="67"/>
        <v>484.20479862937236</v>
      </c>
      <c r="AD194" s="335">
        <f t="shared" si="68"/>
        <v>487.20434666666659</v>
      </c>
      <c r="AE194" s="335">
        <f>MIN(Paper!I30,Paper!H30)</f>
        <v>12.396933139974635</v>
      </c>
      <c r="AF194" s="335">
        <f t="shared" si="69"/>
        <v>754.99343044710758</v>
      </c>
      <c r="AI194" s="609">
        <f t="shared" si="70"/>
        <v>2038</v>
      </c>
      <c r="AJ194" s="335">
        <f t="shared" si="71"/>
        <v>521.87642987886056</v>
      </c>
      <c r="AK194" s="335">
        <f t="shared" si="72"/>
        <v>-174.1071282964073</v>
      </c>
      <c r="AL194" s="335">
        <f t="shared" si="73"/>
        <v>11.806120721969119</v>
      </c>
      <c r="AM194" s="335">
        <f t="shared" si="74"/>
        <v>190.66983891365589</v>
      </c>
      <c r="AN194" s="335">
        <f t="shared" si="75"/>
        <v>214.53853386412936</v>
      </c>
      <c r="AO194" s="335">
        <f t="shared" si="76"/>
        <v>128.29372973083156</v>
      </c>
      <c r="AP194" s="335">
        <f t="shared" si="77"/>
        <v>6.0679543220373375</v>
      </c>
      <c r="AS194" s="609">
        <f t="shared" si="78"/>
        <v>2038</v>
      </c>
      <c r="AT194" s="335">
        <f t="shared" si="49"/>
        <v>320.31727823188743</v>
      </c>
      <c r="AU194" s="335">
        <f t="shared" si="50"/>
        <v>484.20479862937236</v>
      </c>
      <c r="AV194" s="335">
        <f t="shared" si="51"/>
        <v>487.20434666666659</v>
      </c>
      <c r="AW194" s="335">
        <f t="shared" si="52"/>
        <v>12.396933139974635</v>
      </c>
      <c r="AX194" s="335">
        <f t="shared" si="53"/>
        <v>754.99343044710758</v>
      </c>
      <c r="AY194" s="335">
        <f t="shared" si="79"/>
        <v>675.53514756313143</v>
      </c>
      <c r="AZ194" s="335">
        <f t="shared" si="80"/>
        <v>223.61033157194515</v>
      </c>
    </row>
    <row r="195" spans="2:52" ht="14.4" x14ac:dyDescent="0.55000000000000004">
      <c r="B195" s="3">
        <v>2039</v>
      </c>
      <c r="C195" s="1205">
        <f t="shared" si="48"/>
        <v>664.65023403054886</v>
      </c>
      <c r="D195" s="1205">
        <f>'Food System Summary'!B37-'Food System Summary'!C37</f>
        <v>961.64488034290571</v>
      </c>
      <c r="E195" s="1205">
        <f t="shared" si="81"/>
        <v>1.4468435142365514</v>
      </c>
      <c r="F195" s="1205">
        <f t="shared" si="54"/>
        <v>0.43604651060442545</v>
      </c>
      <c r="G195" s="1205">
        <f t="shared" si="55"/>
        <v>25.05353548603156</v>
      </c>
      <c r="H195" s="1205">
        <f t="shared" si="82"/>
        <v>3.76943153003991E-2</v>
      </c>
      <c r="I195" s="1205">
        <f t="shared" si="56"/>
        <v>-322.04818179838838</v>
      </c>
      <c r="J195" s="1205">
        <f t="shared" si="57"/>
        <v>-0.48453782953695057</v>
      </c>
      <c r="K195" s="1205">
        <f t="shared" si="58"/>
        <v>-0.14602894352186718</v>
      </c>
      <c r="N195" s="3">
        <v>2039</v>
      </c>
      <c r="O195" s="1205">
        <f t="shared" si="59"/>
        <v>647.4120044222459</v>
      </c>
      <c r="P195" s="1205">
        <f t="shared" si="60"/>
        <v>13.08192534187552</v>
      </c>
      <c r="Q195" s="1205">
        <f t="shared" si="61"/>
        <v>499.62770999999992</v>
      </c>
      <c r="R195" s="1205">
        <f t="shared" si="83"/>
        <v>147.78429442224598</v>
      </c>
      <c r="S195" s="1206">
        <f>Paper!E31</f>
        <v>640.22067145497829</v>
      </c>
      <c r="T195" s="1205">
        <f t="shared" si="62"/>
        <v>140.59296145497837</v>
      </c>
      <c r="U195" s="1206">
        <f>Paper!I31</f>
        <v>12.242629043424927</v>
      </c>
      <c r="V195" s="1205">
        <f t="shared" si="63"/>
        <v>128.35033241155344</v>
      </c>
      <c r="Y195" s="609">
        <f t="shared" si="84"/>
        <v>2039</v>
      </c>
      <c r="Z195" s="335">
        <f t="shared" si="64"/>
        <v>2998.2486488063391</v>
      </c>
      <c r="AA195" s="335">
        <f t="shared" si="65"/>
        <v>869.27202334200626</v>
      </c>
      <c r="AB195" s="335">
        <f t="shared" si="66"/>
        <v>330.06355266360714</v>
      </c>
      <c r="AC195" s="335">
        <f t="shared" si="67"/>
        <v>494.16634904710713</v>
      </c>
      <c r="AD195" s="335">
        <f t="shared" si="68"/>
        <v>499.62770999999992</v>
      </c>
      <c r="AE195" s="335">
        <f>MIN(Paper!I31,Paper!H31)</f>
        <v>12.242629043424927</v>
      </c>
      <c r="AF195" s="335">
        <f t="shared" si="69"/>
        <v>792.87638471019363</v>
      </c>
      <c r="AI195" s="609">
        <f t="shared" si="70"/>
        <v>2039</v>
      </c>
      <c r="AJ195" s="335">
        <f t="shared" si="71"/>
        <v>484.09456988569127</v>
      </c>
      <c r="AK195" s="335">
        <f t="shared" si="72"/>
        <v>-162.1199043815092</v>
      </c>
      <c r="AL195" s="335">
        <f t="shared" si="73"/>
        <v>12.612015862759669</v>
      </c>
      <c r="AM195" s="335">
        <f t="shared" si="74"/>
        <v>190.64069318243222</v>
      </c>
      <c r="AN195" s="335">
        <f t="shared" si="75"/>
        <v>208.50298341381153</v>
      </c>
      <c r="AO195" s="335">
        <f t="shared" si="76"/>
        <v>128.35033241155344</v>
      </c>
      <c r="AP195" s="335">
        <f t="shared" si="77"/>
        <v>7.1913329672673285</v>
      </c>
      <c r="AS195" s="609">
        <f t="shared" si="78"/>
        <v>2039</v>
      </c>
      <c r="AT195" s="335">
        <f t="shared" si="49"/>
        <v>330.06355266360714</v>
      </c>
      <c r="AU195" s="335">
        <f t="shared" si="50"/>
        <v>494.16634904710713</v>
      </c>
      <c r="AV195" s="335">
        <f t="shared" si="51"/>
        <v>499.62770999999992</v>
      </c>
      <c r="AW195" s="335">
        <f t="shared" si="52"/>
        <v>12.242629043424927</v>
      </c>
      <c r="AX195" s="335">
        <f t="shared" si="53"/>
        <v>792.87638471019363</v>
      </c>
      <c r="AY195" s="335">
        <f t="shared" si="79"/>
        <v>690.64706571979582</v>
      </c>
      <c r="AZ195" s="335">
        <f t="shared" si="80"/>
        <v>178.62495762221045</v>
      </c>
    </row>
    <row r="196" spans="2:52" ht="14.4" x14ac:dyDescent="0.55000000000000004">
      <c r="B196" s="3">
        <v>2040</v>
      </c>
      <c r="C196" s="1205">
        <f t="shared" si="48"/>
        <v>647.87242290095264</v>
      </c>
      <c r="D196" s="1205">
        <f>'Food System Summary'!B38-'Food System Summary'!C38</f>
        <v>936.46602292101738</v>
      </c>
      <c r="E196" s="1205">
        <f t="shared" si="81"/>
        <v>1.4454481929140317</v>
      </c>
      <c r="F196" s="1205">
        <f t="shared" si="54"/>
        <v>0.42492077135141076</v>
      </c>
      <c r="G196" s="1205">
        <f t="shared" si="55"/>
        <v>27.973166456984515</v>
      </c>
      <c r="H196" s="1205">
        <f t="shared" si="82"/>
        <v>4.31769673599166E-2</v>
      </c>
      <c r="I196" s="1205">
        <f t="shared" si="56"/>
        <v>-316.56676647704927</v>
      </c>
      <c r="J196" s="1205">
        <f t="shared" si="57"/>
        <v>-0.48862516027394842</v>
      </c>
      <c r="K196" s="1205">
        <f t="shared" si="58"/>
        <v>-0.14364193820515678</v>
      </c>
      <c r="N196" s="3">
        <v>2040</v>
      </c>
      <c r="O196" s="1205">
        <f t="shared" si="59"/>
        <v>660.25436152424425</v>
      </c>
      <c r="P196" s="1205">
        <f t="shared" si="60"/>
        <v>14.064480927700016</v>
      </c>
      <c r="Q196" s="1205">
        <f t="shared" si="61"/>
        <v>512.57233333333329</v>
      </c>
      <c r="R196" s="1205">
        <f t="shared" si="83"/>
        <v>147.68202819091096</v>
      </c>
      <c r="S196" s="1206">
        <f>Paper!E32</f>
        <v>652.40480941635178</v>
      </c>
      <c r="T196" s="1205">
        <f t="shared" si="62"/>
        <v>139.83247608301849</v>
      </c>
      <c r="U196" s="1206">
        <f>Paper!I32</f>
        <v>12.090389410974808</v>
      </c>
      <c r="V196" s="1205">
        <f t="shared" si="63"/>
        <v>127.74208667204368</v>
      </c>
      <c r="Y196" s="609">
        <f t="shared" si="84"/>
        <v>2040</v>
      </c>
      <c r="Z196" s="335">
        <f t="shared" si="64"/>
        <v>3034.5160714120425</v>
      </c>
      <c r="AA196" s="335">
        <f t="shared" si="65"/>
        <v>836.14687872798265</v>
      </c>
      <c r="AB196" s="335">
        <f t="shared" si="66"/>
        <v>339.52464589579961</v>
      </c>
      <c r="AC196" s="335">
        <f t="shared" si="67"/>
        <v>503.52606273794868</v>
      </c>
      <c r="AD196" s="335">
        <f t="shared" si="68"/>
        <v>512.57233333333329</v>
      </c>
      <c r="AE196" s="335">
        <f>MIN(Paper!I32,Paper!H32)</f>
        <v>12.090389410974808</v>
      </c>
      <c r="AF196" s="335">
        <f t="shared" si="69"/>
        <v>830.65576130600334</v>
      </c>
      <c r="AI196" s="609">
        <f t="shared" si="70"/>
        <v>2040</v>
      </c>
      <c r="AJ196" s="335">
        <f t="shared" si="71"/>
        <v>445.70073706115733</v>
      </c>
      <c r="AK196" s="335">
        <f t="shared" si="72"/>
        <v>-150.66648195925859</v>
      </c>
      <c r="AL196" s="335">
        <f t="shared" si="73"/>
        <v>13.313521903254333</v>
      </c>
      <c r="AM196" s="335">
        <f t="shared" si="74"/>
        <v>190.39116233699647</v>
      </c>
      <c r="AN196" s="335">
        <f t="shared" si="75"/>
        <v>201.81630060589691</v>
      </c>
      <c r="AO196" s="335">
        <f t="shared" si="76"/>
        <v>127.74208667204368</v>
      </c>
      <c r="AP196" s="335">
        <f t="shared" si="77"/>
        <v>7.8495521078924639</v>
      </c>
      <c r="AS196" s="609">
        <f t="shared" si="78"/>
        <v>2040</v>
      </c>
      <c r="AT196" s="335">
        <f t="shared" si="49"/>
        <v>339.52464589579961</v>
      </c>
      <c r="AU196" s="335">
        <f t="shared" si="50"/>
        <v>503.52606273794868</v>
      </c>
      <c r="AV196" s="335">
        <f t="shared" si="51"/>
        <v>512.57233333333329</v>
      </c>
      <c r="AW196" s="335">
        <f t="shared" si="52"/>
        <v>12.090389410974808</v>
      </c>
      <c r="AX196" s="335">
        <f t="shared" si="53"/>
        <v>830.65576130600334</v>
      </c>
      <c r="AY196" s="335">
        <f t="shared" si="79"/>
        <v>705.25119147049998</v>
      </c>
      <c r="AZ196" s="335">
        <f t="shared" si="80"/>
        <v>130.89568725748268</v>
      </c>
    </row>
    <row r="197" spans="2:52" ht="14.4" x14ac:dyDescent="0.55000000000000004">
      <c r="B197" s="3">
        <v>2041</v>
      </c>
      <c r="C197" s="1205">
        <f t="shared" si="48"/>
        <v>634.5372129340991</v>
      </c>
      <c r="D197" s="1205">
        <f>'Food System Summary'!B39-'Food System Summary'!C39</f>
        <v>911.25091579917091</v>
      </c>
      <c r="E197" s="1205">
        <f t="shared" si="81"/>
        <v>1.4360874306891287</v>
      </c>
      <c r="F197" s="1205">
        <f t="shared" si="54"/>
        <v>0.41249584817764567</v>
      </c>
      <c r="G197" s="1205">
        <f t="shared" si="55"/>
        <v>31.08513668767025</v>
      </c>
      <c r="H197" s="1205">
        <f t="shared" si="82"/>
        <v>4.8988674035258903E-2</v>
      </c>
      <c r="I197" s="1205">
        <f t="shared" si="56"/>
        <v>-307.79883955274204</v>
      </c>
      <c r="J197" s="1205">
        <f t="shared" si="57"/>
        <v>-0.4850761047243875</v>
      </c>
      <c r="K197" s="1205">
        <f t="shared" si="58"/>
        <v>-0.13933126561310932</v>
      </c>
      <c r="N197" s="3">
        <v>2041</v>
      </c>
      <c r="O197" s="1205">
        <f t="shared" si="59"/>
        <v>674.74062574692732</v>
      </c>
      <c r="P197" s="1205">
        <f t="shared" si="60"/>
        <v>15.056340999264853</v>
      </c>
      <c r="Q197" s="1205">
        <f t="shared" si="61"/>
        <v>526.03821666666659</v>
      </c>
      <c r="R197" s="1205">
        <f t="shared" si="83"/>
        <v>148.70240908026074</v>
      </c>
      <c r="S197" s="1206">
        <f>Paper!E33</f>
        <v>664.41938351539886</v>
      </c>
      <c r="T197" s="1205">
        <f t="shared" si="62"/>
        <v>138.38116684873228</v>
      </c>
      <c r="U197" s="1206">
        <f>Paper!I33</f>
        <v>11.940247479314053</v>
      </c>
      <c r="V197" s="1205">
        <f t="shared" si="63"/>
        <v>126.44091936941822</v>
      </c>
      <c r="Y197" s="609">
        <f t="shared" si="84"/>
        <v>2041</v>
      </c>
      <c r="Z197" s="335">
        <f t="shared" si="64"/>
        <v>3077.4302876550992</v>
      </c>
      <c r="AA197" s="335">
        <f t="shared" si="65"/>
        <v>807.29719503607009</v>
      </c>
      <c r="AB197" s="335">
        <f t="shared" si="66"/>
        <v>349.85910192109833</v>
      </c>
      <c r="AC197" s="335">
        <f t="shared" si="67"/>
        <v>513.98060290587523</v>
      </c>
      <c r="AD197" s="335">
        <f t="shared" si="68"/>
        <v>526.03821666666659</v>
      </c>
      <c r="AE197" s="335">
        <f>MIN(Paper!I33,Paper!H33)</f>
        <v>11.940247479314053</v>
      </c>
      <c r="AF197" s="335">
        <f t="shared" si="69"/>
        <v>868.31492364607482</v>
      </c>
      <c r="AI197" s="609">
        <f t="shared" si="70"/>
        <v>2041</v>
      </c>
      <c r="AJ197" s="335">
        <f t="shared" si="71"/>
        <v>408.82265701809479</v>
      </c>
      <c r="AK197" s="335">
        <f t="shared" si="72"/>
        <v>-138.09054919048319</v>
      </c>
      <c r="AL197" s="335">
        <f t="shared" si="73"/>
        <v>13.946003185389142</v>
      </c>
      <c r="AM197" s="335">
        <f t="shared" si="74"/>
        <v>189.94878890608607</v>
      </c>
      <c r="AN197" s="335">
        <f t="shared" si="75"/>
        <v>195.90813351603663</v>
      </c>
      <c r="AO197" s="335">
        <f t="shared" si="76"/>
        <v>126.44091936941822</v>
      </c>
      <c r="AP197" s="335">
        <f t="shared" si="77"/>
        <v>10.321242231528458</v>
      </c>
      <c r="AS197" s="609">
        <f t="shared" si="78"/>
        <v>2041</v>
      </c>
      <c r="AT197" s="335">
        <f t="shared" si="49"/>
        <v>349.85910192109833</v>
      </c>
      <c r="AU197" s="335">
        <f t="shared" si="50"/>
        <v>513.98060290587523</v>
      </c>
      <c r="AV197" s="335">
        <f t="shared" si="51"/>
        <v>526.03821666666659</v>
      </c>
      <c r="AW197" s="335">
        <f t="shared" si="52"/>
        <v>11.940247479314053</v>
      </c>
      <c r="AX197" s="335">
        <f t="shared" si="53"/>
        <v>868.31492364607482</v>
      </c>
      <c r="AY197" s="335">
        <f t="shared" si="79"/>
        <v>716.82798433607491</v>
      </c>
      <c r="AZ197" s="335">
        <f t="shared" si="80"/>
        <v>90.469210699995187</v>
      </c>
    </row>
    <row r="198" spans="2:52" ht="14.4" x14ac:dyDescent="0.55000000000000004">
      <c r="B198" s="3">
        <v>2042</v>
      </c>
      <c r="C198" s="1205">
        <f t="shared" si="48"/>
        <v>619.18015208888482</v>
      </c>
      <c r="D198" s="1205">
        <f>'Food System Summary'!B40-'Food System Summary'!C40</f>
        <v>886.01366797283299</v>
      </c>
      <c r="E198" s="1205">
        <f t="shared" si="81"/>
        <v>1.4309464943017804</v>
      </c>
      <c r="F198" s="1205">
        <f t="shared" si="54"/>
        <v>0.40096958220519757</v>
      </c>
      <c r="G198" s="1205">
        <f t="shared" si="55"/>
        <v>34.392262623371373</v>
      </c>
      <c r="H198" s="1205">
        <f t="shared" si="82"/>
        <v>5.5544840233241646E-2</v>
      </c>
      <c r="I198" s="1205">
        <f t="shared" si="56"/>
        <v>-301.22577850731955</v>
      </c>
      <c r="J198" s="1205">
        <f t="shared" si="57"/>
        <v>-0.48649133453502214</v>
      </c>
      <c r="K198" s="1205">
        <f t="shared" si="58"/>
        <v>-0.13632111887603379</v>
      </c>
      <c r="N198" s="3">
        <v>2042</v>
      </c>
      <c r="O198" s="1205">
        <f t="shared" si="59"/>
        <v>688.36579001756638</v>
      </c>
      <c r="P198" s="1205">
        <f t="shared" si="60"/>
        <v>16.054884877620918</v>
      </c>
      <c r="Q198" s="1205">
        <f t="shared" si="61"/>
        <v>540.02535999999998</v>
      </c>
      <c r="R198" s="1205">
        <f t="shared" si="83"/>
        <v>148.3404300175664</v>
      </c>
      <c r="S198" s="1206">
        <f>Paper!E34</f>
        <v>676.24735064553647</v>
      </c>
      <c r="T198" s="1205">
        <f t="shared" si="62"/>
        <v>136.22199064553649</v>
      </c>
      <c r="U198" s="1206">
        <f>Paper!I34</f>
        <v>11.791772724761927</v>
      </c>
      <c r="V198" s="1205">
        <f t="shared" si="63"/>
        <v>124.43021792077457</v>
      </c>
      <c r="Y198" s="609">
        <f t="shared" si="84"/>
        <v>2042</v>
      </c>
      <c r="Z198" s="335">
        <f t="shared" si="64"/>
        <v>3115.5167307311153</v>
      </c>
      <c r="AA198" s="335">
        <f t="shared" si="65"/>
        <v>774.44238432604789</v>
      </c>
      <c r="AB198" s="335">
        <f t="shared" si="66"/>
        <v>359.77782771524176</v>
      </c>
      <c r="AC198" s="335">
        <f t="shared" si="67"/>
        <v>523.64066397480224</v>
      </c>
      <c r="AD198" s="335">
        <f t="shared" si="68"/>
        <v>540.02535999999998</v>
      </c>
      <c r="AE198" s="335">
        <f>MIN(Paper!I34,Paper!H34)</f>
        <v>11.791772724761927</v>
      </c>
      <c r="AF198" s="335">
        <f t="shared" si="69"/>
        <v>905.83872199026155</v>
      </c>
      <c r="AI198" s="609">
        <f t="shared" si="70"/>
        <v>2042</v>
      </c>
      <c r="AJ198" s="335">
        <f t="shared" si="71"/>
        <v>371.19084667619791</v>
      </c>
      <c r="AK198" s="335">
        <f t="shared" si="72"/>
        <v>-126.1969829660203</v>
      </c>
      <c r="AL198" s="335">
        <f t="shared" si="73"/>
        <v>14.408460663465529</v>
      </c>
      <c r="AM198" s="335">
        <f t="shared" si="74"/>
        <v>189.26536229425247</v>
      </c>
      <c r="AN198" s="335">
        <f t="shared" si="75"/>
        <v>189.2260403653479</v>
      </c>
      <c r="AO198" s="335">
        <f t="shared" si="76"/>
        <v>124.43021792077457</v>
      </c>
      <c r="AP198" s="335">
        <f t="shared" si="77"/>
        <v>12.118439372029798</v>
      </c>
      <c r="AS198" s="609">
        <f t="shared" si="78"/>
        <v>2042</v>
      </c>
      <c r="AT198" s="335">
        <f t="shared" si="49"/>
        <v>359.77782771524176</v>
      </c>
      <c r="AU198" s="335">
        <f t="shared" si="50"/>
        <v>523.64066397480224</v>
      </c>
      <c r="AV198" s="335">
        <f t="shared" si="51"/>
        <v>540.02535999999998</v>
      </c>
      <c r="AW198" s="335">
        <f t="shared" si="52"/>
        <v>11.791772724761927</v>
      </c>
      <c r="AX198" s="335">
        <f t="shared" si="53"/>
        <v>905.83872199026155</v>
      </c>
      <c r="AY198" s="335">
        <f t="shared" si="79"/>
        <v>727.55448240198814</v>
      </c>
      <c r="AZ198" s="335">
        <f t="shared" si="80"/>
        <v>46.887901924059747</v>
      </c>
    </row>
    <row r="199" spans="2:52" ht="14.4" x14ac:dyDescent="0.55000000000000004">
      <c r="B199" s="3">
        <v>2043</v>
      </c>
      <c r="C199" s="1205">
        <f t="shared" si="48"/>
        <v>604.0544526662303</v>
      </c>
      <c r="D199" s="1205">
        <f>'Food System Summary'!B41-'Food System Summary'!C41</f>
        <v>860.76372467209353</v>
      </c>
      <c r="E199" s="1205">
        <f t="shared" si="81"/>
        <v>1.4249770378693123</v>
      </c>
      <c r="F199" s="1205">
        <f t="shared" si="54"/>
        <v>0.38944567078997355</v>
      </c>
      <c r="G199" s="1205">
        <f t="shared" si="55"/>
        <v>37.897199937640686</v>
      </c>
      <c r="H199" s="1205">
        <f t="shared" si="82"/>
        <v>6.2738052455977425E-2</v>
      </c>
      <c r="I199" s="1205">
        <f t="shared" si="56"/>
        <v>-294.60647194350389</v>
      </c>
      <c r="J199" s="1205">
        <f t="shared" si="57"/>
        <v>-0.48771509032528959</v>
      </c>
      <c r="K199" s="1205">
        <f t="shared" si="58"/>
        <v>-0.13329234468937781</v>
      </c>
      <c r="N199" s="3">
        <v>2043</v>
      </c>
      <c r="O199" s="1205">
        <f t="shared" si="59"/>
        <v>702.13968972548696</v>
      </c>
      <c r="P199" s="1205">
        <f t="shared" si="60"/>
        <v>17.057652655257847</v>
      </c>
      <c r="Q199" s="1205">
        <f t="shared" si="61"/>
        <v>554.53376333333324</v>
      </c>
      <c r="R199" s="1205">
        <f t="shared" si="83"/>
        <v>147.60592639215372</v>
      </c>
      <c r="S199" s="1206">
        <f>Paper!E35</f>
        <v>687.88010807954925</v>
      </c>
      <c r="T199" s="1205">
        <f t="shared" si="62"/>
        <v>133.346344746216</v>
      </c>
      <c r="U199" s="1206">
        <f>Paper!I35</f>
        <v>11.644287251645551</v>
      </c>
      <c r="V199" s="1205">
        <f t="shared" si="63"/>
        <v>121.70205749457045</v>
      </c>
      <c r="Y199" s="609">
        <f t="shared" si="84"/>
        <v>2043</v>
      </c>
      <c r="Z199" s="335">
        <f t="shared" si="64"/>
        <v>3153.4350652335165</v>
      </c>
      <c r="AA199" s="335">
        <f t="shared" si="65"/>
        <v>740.9811230074738</v>
      </c>
      <c r="AB199" s="335">
        <f t="shared" si="66"/>
        <v>369.80146427029553</v>
      </c>
      <c r="AC199" s="335">
        <f t="shared" si="67"/>
        <v>533.26735857658002</v>
      </c>
      <c r="AD199" s="335">
        <f t="shared" si="68"/>
        <v>554.53376333333324</v>
      </c>
      <c r="AE199" s="335">
        <f>MIN(Paper!I35,Paper!H35)</f>
        <v>11.644287251645551</v>
      </c>
      <c r="AF199" s="335">
        <f t="shared" si="69"/>
        <v>943.20706879418799</v>
      </c>
      <c r="AI199" s="609">
        <f t="shared" si="70"/>
        <v>2043</v>
      </c>
      <c r="AJ199" s="335">
        <f t="shared" si="71"/>
        <v>333.80512951647347</v>
      </c>
      <c r="AK199" s="335">
        <f t="shared" si="72"/>
        <v>-114.24871739449236</v>
      </c>
      <c r="AL199" s="335">
        <f t="shared" si="73"/>
        <v>14.696576273953625</v>
      </c>
      <c r="AM199" s="335">
        <f t="shared" si="74"/>
        <v>188.34787055325896</v>
      </c>
      <c r="AN199" s="335">
        <f t="shared" si="75"/>
        <v>182.41862491777215</v>
      </c>
      <c r="AO199" s="335">
        <f t="shared" si="76"/>
        <v>121.70205749457045</v>
      </c>
      <c r="AP199" s="335">
        <f t="shared" si="77"/>
        <v>14.259581645937487</v>
      </c>
      <c r="AS199" s="609">
        <f t="shared" si="78"/>
        <v>2043</v>
      </c>
      <c r="AT199" s="335">
        <f t="shared" si="49"/>
        <v>369.80146427029553</v>
      </c>
      <c r="AU199" s="335">
        <f t="shared" si="50"/>
        <v>533.26735857658002</v>
      </c>
      <c r="AV199" s="335">
        <f t="shared" si="51"/>
        <v>554.53376333333324</v>
      </c>
      <c r="AW199" s="335">
        <f t="shared" si="52"/>
        <v>11.644287251645551</v>
      </c>
      <c r="AX199" s="335">
        <f t="shared" si="53"/>
        <v>943.20706879418799</v>
      </c>
      <c r="AY199" s="335">
        <f t="shared" si="79"/>
        <v>736.65508942157817</v>
      </c>
      <c r="AZ199" s="335">
        <f t="shared" si="80"/>
        <v>4.3260335858956296</v>
      </c>
    </row>
    <row r="200" spans="2:52" ht="14.4" x14ac:dyDescent="0.55000000000000004">
      <c r="B200" s="3">
        <v>2044</v>
      </c>
      <c r="C200" s="1205">
        <f t="shared" si="48"/>
        <v>589.19630452374986</v>
      </c>
      <c r="D200" s="1205">
        <f>'Food System Summary'!B42-'Food System Summary'!C42</f>
        <v>835.51037081158745</v>
      </c>
      <c r="E200" s="1205">
        <f t="shared" si="81"/>
        <v>1.4180509354805515</v>
      </c>
      <c r="F200" s="1205">
        <f t="shared" si="54"/>
        <v>0.37792108137719793</v>
      </c>
      <c r="G200" s="1205">
        <f t="shared" si="55"/>
        <v>41.602450750406526</v>
      </c>
      <c r="H200" s="1205">
        <f t="shared" si="82"/>
        <v>7.060881141139197E-2</v>
      </c>
      <c r="I200" s="1205">
        <f t="shared" si="56"/>
        <v>-287.91651703824414</v>
      </c>
      <c r="J200" s="1205">
        <f t="shared" si="57"/>
        <v>-0.48865974689194364</v>
      </c>
      <c r="K200" s="1205">
        <f t="shared" si="58"/>
        <v>-0.13023144327910072</v>
      </c>
      <c r="N200" s="3">
        <v>2044</v>
      </c>
      <c r="O200" s="1205">
        <f t="shared" si="59"/>
        <v>716.06293856875288</v>
      </c>
      <c r="P200" s="1205">
        <f t="shared" si="60"/>
        <v>18.062337978522599</v>
      </c>
      <c r="Q200" s="1205">
        <f t="shared" si="61"/>
        <v>569.5634266666666</v>
      </c>
      <c r="R200" s="1205">
        <f t="shared" si="83"/>
        <v>146.49951190208628</v>
      </c>
      <c r="S200" s="1206">
        <f>Paper!E36</f>
        <v>699.32011372535237</v>
      </c>
      <c r="T200" s="1205">
        <f t="shared" si="62"/>
        <v>129.75668705868577</v>
      </c>
      <c r="U200" s="1206">
        <f>Paper!I36</f>
        <v>11.497407754805522</v>
      </c>
      <c r="V200" s="1205">
        <f t="shared" si="63"/>
        <v>118.25927930388025</v>
      </c>
      <c r="Y200" s="609">
        <f t="shared" si="84"/>
        <v>2044</v>
      </c>
      <c r="Z200" s="335">
        <f t="shared" si="64"/>
        <v>3191.205104072636</v>
      </c>
      <c r="AA200" s="335">
        <f t="shared" si="65"/>
        <v>706.9534782155057</v>
      </c>
      <c r="AB200" s="335">
        <f t="shared" si="66"/>
        <v>379.93165197372355</v>
      </c>
      <c r="AC200" s="335">
        <f t="shared" si="67"/>
        <v>542.86050262015374</v>
      </c>
      <c r="AD200" s="335">
        <f t="shared" si="68"/>
        <v>569.5634266666666</v>
      </c>
      <c r="AE200" s="335">
        <f>MIN(Paper!I36,Paper!H36)</f>
        <v>11.497407754805522</v>
      </c>
      <c r="AF200" s="335">
        <f t="shared" si="69"/>
        <v>980.39863684178079</v>
      </c>
      <c r="AI200" s="609">
        <f t="shared" si="70"/>
        <v>2044</v>
      </c>
      <c r="AJ200" s="335">
        <f t="shared" si="71"/>
        <v>296.7479363115774</v>
      </c>
      <c r="AK200" s="335">
        <f t="shared" si="72"/>
        <v>-102.25921214852636</v>
      </c>
      <c r="AL200" s="335">
        <f t="shared" si="73"/>
        <v>14.775928386975274</v>
      </c>
      <c r="AM200" s="335">
        <f t="shared" si="74"/>
        <v>187.18712092485998</v>
      </c>
      <c r="AN200" s="335">
        <f t="shared" si="75"/>
        <v>175.49960059333864</v>
      </c>
      <c r="AO200" s="335">
        <f t="shared" si="76"/>
        <v>118.25927930388025</v>
      </c>
      <c r="AP200" s="335">
        <f t="shared" si="77"/>
        <v>16.742824843400456</v>
      </c>
      <c r="AS200" s="609">
        <f t="shared" si="78"/>
        <v>2044</v>
      </c>
      <c r="AT200" s="335">
        <f t="shared" si="49"/>
        <v>379.93165197372355</v>
      </c>
      <c r="AU200" s="335">
        <f t="shared" si="50"/>
        <v>542.86050262015374</v>
      </c>
      <c r="AV200" s="335">
        <f t="shared" si="51"/>
        <v>569.5634266666666</v>
      </c>
      <c r="AW200" s="335">
        <f t="shared" si="52"/>
        <v>11.497407754805522</v>
      </c>
      <c r="AX200" s="335">
        <f t="shared" si="53"/>
        <v>980.39863684178079</v>
      </c>
      <c r="AY200" s="335">
        <f t="shared" si="79"/>
        <v>706.9534782155057</v>
      </c>
      <c r="AZ200" s="335">
        <f t="shared" si="80"/>
        <v>0</v>
      </c>
    </row>
    <row r="201" spans="2:52" ht="14.4" x14ac:dyDescent="0.55000000000000004">
      <c r="B201" s="3">
        <v>2045</v>
      </c>
      <c r="C201" s="1205">
        <f t="shared" si="48"/>
        <v>574.69150178669759</v>
      </c>
      <c r="D201" s="1205">
        <f>'Food System Summary'!B43-'Food System Summary'!C43</f>
        <v>810.26408847225457</v>
      </c>
      <c r="E201" s="1205">
        <f t="shared" si="81"/>
        <v>1.4099113801981922</v>
      </c>
      <c r="F201" s="1205">
        <f t="shared" si="54"/>
        <v>0.36637687619637294</v>
      </c>
      <c r="G201" s="1205">
        <f t="shared" si="55"/>
        <v>45.510370566338139</v>
      </c>
      <c r="H201" s="1205">
        <f t="shared" si="82"/>
        <v>7.9190957974579132E-2</v>
      </c>
      <c r="I201" s="1205">
        <f t="shared" si="56"/>
        <v>-281.0829572518951</v>
      </c>
      <c r="J201" s="1205">
        <f t="shared" si="57"/>
        <v>-0.48910233817277116</v>
      </c>
      <c r="K201" s="1205">
        <f t="shared" si="58"/>
        <v>-0.12709719867279337</v>
      </c>
      <c r="N201" s="3">
        <v>2045</v>
      </c>
      <c r="O201" s="1205">
        <f t="shared" si="59"/>
        <v>730.16014319301667</v>
      </c>
      <c r="P201" s="1205">
        <f t="shared" si="60"/>
        <v>19.06678110884658</v>
      </c>
      <c r="Q201" s="1205">
        <f t="shared" si="61"/>
        <v>585.11434999999994</v>
      </c>
      <c r="R201" s="1205">
        <f t="shared" si="83"/>
        <v>145.04579319301672</v>
      </c>
      <c r="S201" s="1206">
        <f>Paper!E37</f>
        <v>710.58087292819198</v>
      </c>
      <c r="T201" s="1205">
        <f t="shared" si="62"/>
        <v>125.46652292819203</v>
      </c>
      <c r="U201" s="1206">
        <f>Paper!I37</f>
        <v>11.351238359242188</v>
      </c>
      <c r="V201" s="1205">
        <f t="shared" si="63"/>
        <v>114.11528456894985</v>
      </c>
      <c r="Y201" s="609">
        <f t="shared" si="84"/>
        <v>2045</v>
      </c>
      <c r="Z201" s="335">
        <f t="shared" si="64"/>
        <v>3228.9513540957141</v>
      </c>
      <c r="AA201" s="335">
        <f t="shared" si="65"/>
        <v>672.47288083553178</v>
      </c>
      <c r="AB201" s="335">
        <f t="shared" si="66"/>
        <v>390.1828214111618</v>
      </c>
      <c r="AC201" s="335">
        <f t="shared" si="67"/>
        <v>552.43773813026735</v>
      </c>
      <c r="AD201" s="335">
        <f t="shared" si="68"/>
        <v>585.11434999999994</v>
      </c>
      <c r="AE201" s="335">
        <f>MIN(Paper!I37,Paper!H37)</f>
        <v>11.351238359242188</v>
      </c>
      <c r="AF201" s="335">
        <f t="shared" si="69"/>
        <v>1017.392325359511</v>
      </c>
      <c r="AI201" s="609">
        <f t="shared" si="70"/>
        <v>2045</v>
      </c>
      <c r="AJ201" s="335">
        <f t="shared" si="71"/>
        <v>260.14088820681866</v>
      </c>
      <c r="AK201" s="335">
        <f t="shared" si="72"/>
        <v>-90.243626984847054</v>
      </c>
      <c r="AL201" s="335">
        <f t="shared" si="73"/>
        <v>14.61141915356411</v>
      </c>
      <c r="AM201" s="335">
        <f t="shared" si="74"/>
        <v>185.77415199974362</v>
      </c>
      <c r="AN201" s="335">
        <f t="shared" si="75"/>
        <v>168.49549362647758</v>
      </c>
      <c r="AO201" s="335">
        <f t="shared" si="76"/>
        <v>114.11528456894985</v>
      </c>
      <c r="AP201" s="335">
        <f t="shared" si="77"/>
        <v>19.579270264825027</v>
      </c>
      <c r="AS201" s="609">
        <f t="shared" si="78"/>
        <v>2045</v>
      </c>
      <c r="AT201" s="335">
        <f t="shared" si="49"/>
        <v>390.1828214111618</v>
      </c>
      <c r="AU201" s="335">
        <f t="shared" si="50"/>
        <v>552.43773813026735</v>
      </c>
      <c r="AV201" s="335">
        <f t="shared" si="51"/>
        <v>585.11434999999994</v>
      </c>
      <c r="AW201" s="335">
        <f t="shared" si="52"/>
        <v>11.351238359242188</v>
      </c>
      <c r="AX201" s="335">
        <f t="shared" si="53"/>
        <v>1017.392325359511</v>
      </c>
      <c r="AY201" s="335">
        <f t="shared" si="79"/>
        <v>672.47288083553178</v>
      </c>
      <c r="AZ201" s="335">
        <f t="shared" si="80"/>
        <v>0</v>
      </c>
    </row>
    <row r="202" spans="2:52" ht="14.4" x14ac:dyDescent="0.55000000000000004">
      <c r="B202" s="3">
        <v>2046</v>
      </c>
      <c r="C202" s="1205">
        <f t="shared" si="48"/>
        <v>560.36856471419708</v>
      </c>
      <c r="D202" s="1205">
        <f>'Food System Summary'!B44-'Food System Summary'!C44</f>
        <v>785.03780951652311</v>
      </c>
      <c r="E202" s="1205">
        <f t="shared" si="81"/>
        <v>1.4009312066191888</v>
      </c>
      <c r="F202" s="1205">
        <f t="shared" si="54"/>
        <v>0.35488393251089428</v>
      </c>
      <c r="G202" s="1205">
        <f t="shared" si="55"/>
        <v>49.623174944493854</v>
      </c>
      <c r="H202" s="1205">
        <f t="shared" si="82"/>
        <v>8.8554530123942626E-2</v>
      </c>
      <c r="I202" s="1205">
        <f t="shared" si="56"/>
        <v>-274.29241974681986</v>
      </c>
      <c r="J202" s="1205">
        <f t="shared" si="57"/>
        <v>-0.48948573674313139</v>
      </c>
      <c r="K202" s="1205">
        <f t="shared" si="58"/>
        <v>-0.1239965405457729</v>
      </c>
      <c r="N202" s="3">
        <v>2046</v>
      </c>
      <c r="O202" s="1205">
        <f t="shared" si="59"/>
        <v>744.33581629264393</v>
      </c>
      <c r="P202" s="1205">
        <f t="shared" si="60"/>
        <v>20.068962253446756</v>
      </c>
      <c r="Q202" s="1205">
        <f t="shared" si="61"/>
        <v>601.18653333333327</v>
      </c>
      <c r="R202" s="1205">
        <f t="shared" si="83"/>
        <v>143.14928295931065</v>
      </c>
      <c r="S202" s="1206">
        <f>Paper!E38</f>
        <v>721.68660694963353</v>
      </c>
      <c r="T202" s="1205">
        <f t="shared" si="62"/>
        <v>120.50007361630026</v>
      </c>
      <c r="U202" s="1206">
        <f>Paper!I38</f>
        <v>11.20638914407607</v>
      </c>
      <c r="V202" s="1205">
        <f t="shared" si="63"/>
        <v>109.29368447222419</v>
      </c>
      <c r="Y202" s="609">
        <f t="shared" si="84"/>
        <v>2046</v>
      </c>
      <c r="Z202" s="335">
        <f t="shared" si="64"/>
        <v>3266.2667302830773</v>
      </c>
      <c r="AA202" s="335">
        <f t="shared" si="65"/>
        <v>637.27309136245356</v>
      </c>
      <c r="AB202" s="335">
        <f t="shared" si="66"/>
        <v>400.50510275993332</v>
      </c>
      <c r="AC202" s="335">
        <f t="shared" si="67"/>
        <v>561.9262414354929</v>
      </c>
      <c r="AD202" s="335">
        <f t="shared" si="68"/>
        <v>601.18653333333327</v>
      </c>
      <c r="AE202" s="335">
        <f>MIN(Paper!I38,Paper!H38)</f>
        <v>11.20638914407607</v>
      </c>
      <c r="AF202" s="335">
        <f t="shared" si="69"/>
        <v>1054.1693722477883</v>
      </c>
      <c r="AI202" s="609">
        <f t="shared" si="70"/>
        <v>2046</v>
      </c>
      <c r="AJ202" s="335">
        <f t="shared" si="71"/>
        <v>223.95771264990753</v>
      </c>
      <c r="AK202" s="335">
        <f t="shared" si="72"/>
        <v>-78.250884452990363</v>
      </c>
      <c r="AL202" s="335">
        <f t="shared" si="73"/>
        <v>14.156633757346604</v>
      </c>
      <c r="AM202" s="335">
        <f t="shared" si="74"/>
        <v>184.09699385197996</v>
      </c>
      <c r="AN202" s="335">
        <f t="shared" si="75"/>
        <v>161.36974174097554</v>
      </c>
      <c r="AO202" s="335">
        <f t="shared" si="76"/>
        <v>109.29368447222419</v>
      </c>
      <c r="AP202" s="335">
        <f t="shared" si="77"/>
        <v>22.649209343010114</v>
      </c>
      <c r="AS202" s="609">
        <f t="shared" si="78"/>
        <v>2046</v>
      </c>
      <c r="AT202" s="335">
        <f t="shared" si="49"/>
        <v>400.50510275993332</v>
      </c>
      <c r="AU202" s="335">
        <f t="shared" si="50"/>
        <v>561.9262414354929</v>
      </c>
      <c r="AV202" s="335">
        <f t="shared" si="51"/>
        <v>601.18653333333327</v>
      </c>
      <c r="AW202" s="335">
        <f t="shared" si="52"/>
        <v>11.20638914407607</v>
      </c>
      <c r="AX202" s="335">
        <f t="shared" si="53"/>
        <v>1054.1693722477883</v>
      </c>
      <c r="AY202" s="335">
        <f t="shared" si="79"/>
        <v>637.27309136245356</v>
      </c>
      <c r="AZ202" s="335">
        <f t="shared" si="80"/>
        <v>0</v>
      </c>
    </row>
    <row r="203" spans="2:52" ht="14.4" x14ac:dyDescent="0.55000000000000004">
      <c r="B203" s="3">
        <v>2047</v>
      </c>
      <c r="C203" s="1205">
        <f t="shared" si="48"/>
        <v>546.269631726444</v>
      </c>
      <c r="D203" s="1205">
        <f>'Food System Summary'!B45-'Food System Summary'!C45</f>
        <v>759.84498359225154</v>
      </c>
      <c r="E203" s="1205">
        <f t="shared" si="81"/>
        <v>1.3909705747156742</v>
      </c>
      <c r="F203" s="1205">
        <f t="shared" si="54"/>
        <v>0.34343579752263192</v>
      </c>
      <c r="G203" s="1205">
        <f t="shared" si="55"/>
        <v>53.942945907786495</v>
      </c>
      <c r="H203" s="1205">
        <f t="shared" si="82"/>
        <v>9.8747839482315497E-2</v>
      </c>
      <c r="I203" s="1205">
        <f t="shared" si="56"/>
        <v>-267.51829777359404</v>
      </c>
      <c r="J203" s="1205">
        <f t="shared" si="57"/>
        <v>-0.48971841419798978</v>
      </c>
      <c r="K203" s="1205">
        <f t="shared" si="58"/>
        <v>-0.12091329406877206</v>
      </c>
      <c r="N203" s="3">
        <v>2047</v>
      </c>
      <c r="O203" s="1205">
        <f t="shared" si="59"/>
        <v>758.59459111571778</v>
      </c>
      <c r="P203" s="1205">
        <f t="shared" si="60"/>
        <v>21.066995155510948</v>
      </c>
      <c r="Q203" s="1205">
        <f t="shared" si="61"/>
        <v>617.77997666666647</v>
      </c>
      <c r="R203" s="1205">
        <f t="shared" si="83"/>
        <v>140.81461444905131</v>
      </c>
      <c r="S203" s="1206">
        <f>Paper!E39</f>
        <v>732.67074481100497</v>
      </c>
      <c r="T203" s="1205">
        <f t="shared" si="62"/>
        <v>114.89076814433849</v>
      </c>
      <c r="U203" s="1206">
        <f>Paper!I39</f>
        <v>11.062881191423685</v>
      </c>
      <c r="V203" s="1205">
        <f t="shared" si="63"/>
        <v>103.82788695291481</v>
      </c>
      <c r="Y203" s="609">
        <f t="shared" ref="Y203:Y216" si="85">N203</f>
        <v>2047</v>
      </c>
      <c r="Z203" s="335">
        <f t="shared" si="64"/>
        <v>3303.191895125663</v>
      </c>
      <c r="AA203" s="335">
        <f t="shared" ref="AA203:AA216" si="86">V146</f>
        <v>601.40698002778709</v>
      </c>
      <c r="AB203" s="335">
        <f t="shared" ref="AB203:AB216" si="87">C146</f>
        <v>410.90142394952579</v>
      </c>
      <c r="AC203" s="335">
        <f t="shared" ref="AC203:AC216" si="88">G146</f>
        <v>571.32917577005298</v>
      </c>
      <c r="AD203" s="335">
        <f t="shared" ref="AD203:AD216" si="89">S146</f>
        <v>617.77997666666647</v>
      </c>
      <c r="AE203" s="335">
        <f>MIN(Paper!I39,Paper!H39)</f>
        <v>11.062881191423685</v>
      </c>
      <c r="AF203" s="335">
        <f t="shared" ref="AF203:AF216" si="90">C93</f>
        <v>1090.711457520207</v>
      </c>
      <c r="AI203" s="609">
        <f t="shared" si="70"/>
        <v>2047</v>
      </c>
      <c r="AJ203" s="335">
        <f t="shared" si="71"/>
        <v>188.29319376969079</v>
      </c>
      <c r="AK203" s="335">
        <f t="shared" si="72"/>
        <v>-66.29230404533638</v>
      </c>
      <c r="AL203" s="335">
        <f t="shared" si="73"/>
        <v>13.367318052563853</v>
      </c>
      <c r="AM203" s="335">
        <f t="shared" si="74"/>
        <v>182.1448810940185</v>
      </c>
      <c r="AN203" s="335">
        <f t="shared" si="75"/>
        <v>154.14215789922298</v>
      </c>
      <c r="AO203" s="335">
        <f t="shared" si="76"/>
        <v>103.82788695291481</v>
      </c>
      <c r="AP203" s="335">
        <f t="shared" si="77"/>
        <v>25.923846304712526</v>
      </c>
      <c r="AS203" s="609">
        <f t="shared" si="78"/>
        <v>2047</v>
      </c>
      <c r="AT203" s="335">
        <f t="shared" si="49"/>
        <v>410.90142394952579</v>
      </c>
      <c r="AU203" s="335">
        <f t="shared" si="50"/>
        <v>571.32917577005298</v>
      </c>
      <c r="AV203" s="335">
        <f t="shared" si="51"/>
        <v>617.77997666666647</v>
      </c>
      <c r="AW203" s="335">
        <f t="shared" si="52"/>
        <v>11.062881191423685</v>
      </c>
      <c r="AX203" s="335">
        <f t="shared" si="53"/>
        <v>1090.711457520207</v>
      </c>
      <c r="AY203" s="335">
        <f t="shared" si="79"/>
        <v>601.40698002778709</v>
      </c>
      <c r="AZ203" s="335">
        <f t="shared" si="80"/>
        <v>0</v>
      </c>
    </row>
    <row r="204" spans="2:52" ht="14.4" x14ac:dyDescent="0.55000000000000004">
      <c r="B204" s="3">
        <v>2048</v>
      </c>
      <c r="C204" s="1205">
        <f t="shared" si="48"/>
        <v>532.45544598976596</v>
      </c>
      <c r="D204" s="1205">
        <f>'Food System Summary'!B46-'Food System Summary'!C46</f>
        <v>734.69788231262919</v>
      </c>
      <c r="E204" s="1205">
        <f t="shared" si="81"/>
        <v>1.3798297826533084</v>
      </c>
      <c r="F204" s="1205">
        <f t="shared" si="54"/>
        <v>0.33202115168596519</v>
      </c>
      <c r="G204" s="1205">
        <f t="shared" si="55"/>
        <v>58.471638102426247</v>
      </c>
      <c r="H204" s="1205">
        <f t="shared" si="82"/>
        <v>0.10981508132334906</v>
      </c>
      <c r="I204" s="1205">
        <f t="shared" si="56"/>
        <v>-260.71407442528948</v>
      </c>
      <c r="J204" s="1205">
        <f t="shared" si="57"/>
        <v>-0.48964486397665752</v>
      </c>
      <c r="K204" s="1205">
        <f t="shared" si="58"/>
        <v>-0.11782065708281284</v>
      </c>
      <c r="N204" s="3">
        <v>2048</v>
      </c>
      <c r="O204" s="1205">
        <f t="shared" si="59"/>
        <v>772.949684548459</v>
      </c>
      <c r="P204" s="1205">
        <f t="shared" si="60"/>
        <v>22.059120935046064</v>
      </c>
      <c r="Q204" s="1205">
        <f t="shared" si="61"/>
        <v>634.89467999999988</v>
      </c>
      <c r="R204" s="1205">
        <f t="shared" si="83"/>
        <v>138.05500454845912</v>
      </c>
      <c r="S204" s="1206">
        <f>Paper!E40</f>
        <v>743.57402231909225</v>
      </c>
      <c r="T204" s="1205">
        <f t="shared" si="62"/>
        <v>108.67934231909237</v>
      </c>
      <c r="U204" s="1206">
        <f>Paper!I40</f>
        <v>10.920058796903163</v>
      </c>
      <c r="V204" s="1205">
        <f t="shared" si="63"/>
        <v>97.759283522189207</v>
      </c>
      <c r="Y204" s="609">
        <f t="shared" si="85"/>
        <v>2048</v>
      </c>
      <c r="Z204" s="335">
        <f t="shared" si="64"/>
        <v>3339.8027616596228</v>
      </c>
      <c r="AA204" s="335">
        <f t="shared" si="86"/>
        <v>564.95414624623811</v>
      </c>
      <c r="AB204" s="335">
        <f t="shared" si="87"/>
        <v>421.37944865100434</v>
      </c>
      <c r="AC204" s="335">
        <f t="shared" si="88"/>
        <v>580.65611741361636</v>
      </c>
      <c r="AD204" s="335">
        <f t="shared" si="89"/>
        <v>634.89467999999988</v>
      </c>
      <c r="AE204" s="335">
        <f>MIN(Paper!I40,Paper!H40)</f>
        <v>10.920058796903163</v>
      </c>
      <c r="AF204" s="335">
        <f t="shared" si="90"/>
        <v>1126.9983105518609</v>
      </c>
      <c r="AI204" s="609">
        <f t="shared" si="70"/>
        <v>2048</v>
      </c>
      <c r="AJ204" s="335">
        <f t="shared" si="71"/>
        <v>153.265969265943</v>
      </c>
      <c r="AK204" s="335">
        <f t="shared" si="72"/>
        <v>-54.387791608009508</v>
      </c>
      <c r="AL204" s="335">
        <f t="shared" si="73"/>
        <v>12.197819680828218</v>
      </c>
      <c r="AM204" s="335">
        <f t="shared" si="74"/>
        <v>179.9067862094121</v>
      </c>
      <c r="AN204" s="335">
        <f t="shared" si="75"/>
        <v>146.83641694650862</v>
      </c>
      <c r="AO204" s="335">
        <f t="shared" si="76"/>
        <v>97.759283522189207</v>
      </c>
      <c r="AP204" s="335">
        <f t="shared" si="77"/>
        <v>29.375662229366412</v>
      </c>
      <c r="AS204" s="609">
        <f t="shared" si="78"/>
        <v>2048</v>
      </c>
      <c r="AT204" s="335">
        <f t="shared" si="49"/>
        <v>421.37944865100434</v>
      </c>
      <c r="AU204" s="335">
        <f t="shared" si="50"/>
        <v>580.65611741361636</v>
      </c>
      <c r="AV204" s="335">
        <f t="shared" si="51"/>
        <v>634.89467999999988</v>
      </c>
      <c r="AW204" s="335">
        <f t="shared" si="52"/>
        <v>10.920058796903163</v>
      </c>
      <c r="AX204" s="335">
        <f t="shared" si="53"/>
        <v>1126.9983105518609</v>
      </c>
      <c r="AY204" s="335">
        <f t="shared" si="79"/>
        <v>564.95414624623811</v>
      </c>
      <c r="AZ204" s="335">
        <f t="shared" si="80"/>
        <v>0</v>
      </c>
    </row>
    <row r="205" spans="2:52" ht="14.4" x14ac:dyDescent="0.55000000000000004">
      <c r="B205" s="3">
        <v>2049</v>
      </c>
      <c r="C205" s="1205">
        <f t="shared" si="48"/>
        <v>518.95036693534348</v>
      </c>
      <c r="D205" s="1205">
        <f>'Food System Summary'!B47-'Food System Summary'!C47</f>
        <v>709.60893846067938</v>
      </c>
      <c r="E205" s="1205">
        <f t="shared" si="81"/>
        <v>1.3673926904633835</v>
      </c>
      <c r="F205" s="1205">
        <f t="shared" si="54"/>
        <v>0.32064172403480207</v>
      </c>
      <c r="G205" s="1205">
        <f t="shared" si="55"/>
        <v>63.211084715477433</v>
      </c>
      <c r="H205" s="1205">
        <f t="shared" si="82"/>
        <v>0.12180564605584519</v>
      </c>
      <c r="I205" s="1205">
        <f t="shared" si="56"/>
        <v>-253.86965624081333</v>
      </c>
      <c r="J205" s="1205">
        <f t="shared" si="57"/>
        <v>-0.48919833651922862</v>
      </c>
      <c r="K205" s="1205">
        <f t="shared" si="58"/>
        <v>-0.11471276620860592</v>
      </c>
      <c r="N205" s="3">
        <v>2049</v>
      </c>
      <c r="O205" s="1205">
        <f t="shared" si="59"/>
        <v>787.39725147288436</v>
      </c>
      <c r="P205" s="1205">
        <f t="shared" si="60"/>
        <v>23.043702171146627</v>
      </c>
      <c r="Q205" s="1205">
        <f t="shared" si="61"/>
        <v>652.53064333333327</v>
      </c>
      <c r="R205" s="1205">
        <f t="shared" si="83"/>
        <v>134.86660813955109</v>
      </c>
      <c r="S205" s="1206">
        <f>Paper!E41</f>
        <v>754.44304206296385</v>
      </c>
      <c r="T205" s="1205">
        <f t="shared" si="62"/>
        <v>101.91239872963058</v>
      </c>
      <c r="U205" s="1206">
        <f>Paper!I41</f>
        <v>10.777752578856166</v>
      </c>
      <c r="V205" s="1205">
        <f t="shared" si="63"/>
        <v>91.134646150774415</v>
      </c>
      <c r="Y205" s="609">
        <f t="shared" si="85"/>
        <v>2049</v>
      </c>
      <c r="Z205" s="335">
        <f t="shared" si="64"/>
        <v>3376.0991857820768</v>
      </c>
      <c r="AA205" s="335">
        <f t="shared" si="86"/>
        <v>527.93970902180365</v>
      </c>
      <c r="AB205" s="335">
        <f t="shared" si="87"/>
        <v>431.93764557097978</v>
      </c>
      <c r="AC205" s="335">
        <f t="shared" si="88"/>
        <v>589.90407926296848</v>
      </c>
      <c r="AD205" s="335">
        <f t="shared" si="89"/>
        <v>652.53064333333327</v>
      </c>
      <c r="AE205" s="335">
        <f>MIN(Paper!I41,Paper!H41)</f>
        <v>10.777752578856166</v>
      </c>
      <c r="AF205" s="335">
        <f t="shared" si="90"/>
        <v>1163.0093560141352</v>
      </c>
      <c r="AI205" s="609">
        <f t="shared" si="70"/>
        <v>2049</v>
      </c>
      <c r="AJ205" s="335">
        <f t="shared" si="71"/>
        <v>118.98055917095792</v>
      </c>
      <c r="AK205" s="335">
        <f t="shared" si="72"/>
        <v>-42.566478547457848</v>
      </c>
      <c r="AL205" s="335">
        <f t="shared" si="73"/>
        <v>10.598640740863559</v>
      </c>
      <c r="AM205" s="335">
        <f t="shared" si="74"/>
        <v>177.37061440621369</v>
      </c>
      <c r="AN205" s="335">
        <f t="shared" si="75"/>
        <v>139.46751769053139</v>
      </c>
      <c r="AO205" s="335">
        <f t="shared" si="76"/>
        <v>91.134646150774415</v>
      </c>
      <c r="AP205" s="335">
        <f t="shared" si="77"/>
        <v>32.954209409920509</v>
      </c>
      <c r="AS205" s="609">
        <f t="shared" si="78"/>
        <v>2049</v>
      </c>
      <c r="AT205" s="335">
        <f t="shared" si="49"/>
        <v>431.93764557097978</v>
      </c>
      <c r="AU205" s="335">
        <f t="shared" si="50"/>
        <v>589.90407926296848</v>
      </c>
      <c r="AV205" s="335">
        <f t="shared" si="51"/>
        <v>652.53064333333327</v>
      </c>
      <c r="AW205" s="335">
        <f t="shared" si="52"/>
        <v>10.777752578856166</v>
      </c>
      <c r="AX205" s="335">
        <f t="shared" si="53"/>
        <v>1163.0093560141352</v>
      </c>
      <c r="AY205" s="335">
        <f t="shared" si="79"/>
        <v>527.93970902180365</v>
      </c>
      <c r="AZ205" s="335">
        <f t="shared" si="80"/>
        <v>0</v>
      </c>
    </row>
    <row r="206" spans="2:52" ht="14.4" x14ac:dyDescent="0.55000000000000004">
      <c r="B206" s="3">
        <v>2050</v>
      </c>
      <c r="C206" s="1205">
        <f t="shared" si="48"/>
        <v>505.45724972932766</v>
      </c>
      <c r="D206" s="1205">
        <f>'Food System Summary'!B48-'Food System Summary'!C48</f>
        <v>684.59139831269067</v>
      </c>
      <c r="E206" s="1205">
        <f t="shared" si="81"/>
        <v>1.3544001964148094</v>
      </c>
      <c r="F206" s="1205">
        <f t="shared" si="54"/>
        <v>0.30939352797093428</v>
      </c>
      <c r="G206" s="1205">
        <f t="shared" si="55"/>
        <v>68.163003159640255</v>
      </c>
      <c r="H206" s="1205">
        <f t="shared" si="82"/>
        <v>0.1348541408717385</v>
      </c>
      <c r="I206" s="1205">
        <f t="shared" si="56"/>
        <v>-247.29715174300327</v>
      </c>
      <c r="J206" s="1205">
        <f t="shared" si="57"/>
        <v>-0.48925433728654777</v>
      </c>
      <c r="K206" s="1205">
        <f t="shared" si="58"/>
        <v>-0.11176321879519723</v>
      </c>
      <c r="N206" s="3">
        <v>2050</v>
      </c>
      <c r="O206" s="1205">
        <f t="shared" si="59"/>
        <v>801.77660768089549</v>
      </c>
      <c r="P206" s="1205">
        <f t="shared" si="60"/>
        <v>24.019217217271315</v>
      </c>
      <c r="Q206" s="1205">
        <f t="shared" si="61"/>
        <v>670.68786666666654</v>
      </c>
      <c r="R206" s="1205">
        <f t="shared" si="83"/>
        <v>131.08874101422896</v>
      </c>
      <c r="S206" s="1206">
        <f>Paper!E42</f>
        <v>765.27987240923528</v>
      </c>
      <c r="T206" s="1205">
        <f t="shared" si="62"/>
        <v>94.592005742568745</v>
      </c>
      <c r="U206" s="1206">
        <f>Paper!I42</f>
        <v>10.636119743318204</v>
      </c>
      <c r="V206" s="1205">
        <f t="shared" si="63"/>
        <v>83.95588599925054</v>
      </c>
      <c r="Y206" s="609">
        <f t="shared" si="85"/>
        <v>2050</v>
      </c>
      <c r="Z206" s="335">
        <f t="shared" si="64"/>
        <v>3411.4131493703135</v>
      </c>
      <c r="AA206" s="335">
        <f t="shared" si="86"/>
        <v>489.92494844954251</v>
      </c>
      <c r="AB206" s="335">
        <f t="shared" si="87"/>
        <v>442.48784978199905</v>
      </c>
      <c r="AC206" s="335">
        <f t="shared" si="88"/>
        <v>598.95138243934446</v>
      </c>
      <c r="AD206" s="335">
        <f t="shared" si="89"/>
        <v>670.68786666666654</v>
      </c>
      <c r="AE206" s="335">
        <f>MIN(Paper!I42,Paper!H42)</f>
        <v>10.636119743318204</v>
      </c>
      <c r="AF206" s="335">
        <f t="shared" si="90"/>
        <v>1198.7249822894426</v>
      </c>
      <c r="AI206" s="609">
        <f t="shared" si="70"/>
        <v>2050</v>
      </c>
      <c r="AJ206" s="335">
        <f t="shared" si="71"/>
        <v>85.285767656784515</v>
      </c>
      <c r="AK206" s="335">
        <f t="shared" si="72"/>
        <v>-30.808052040561819</v>
      </c>
      <c r="AL206" s="335">
        <f t="shared" si="73"/>
        <v>8.491684331105894</v>
      </c>
      <c r="AM206" s="335">
        <f t="shared" si="74"/>
        <v>174.17652089341397</v>
      </c>
      <c r="AN206" s="335">
        <f t="shared" si="75"/>
        <v>132.32640633788913</v>
      </c>
      <c r="AO206" s="335">
        <f t="shared" si="76"/>
        <v>83.95588599925054</v>
      </c>
      <c r="AP206" s="335">
        <f t="shared" si="77"/>
        <v>36.496735271660327</v>
      </c>
      <c r="AS206" s="609">
        <f t="shared" si="78"/>
        <v>2050</v>
      </c>
      <c r="AT206" s="335">
        <f t="shared" si="49"/>
        <v>442.48784978199905</v>
      </c>
      <c r="AU206" s="335">
        <f t="shared" si="50"/>
        <v>598.95138243934446</v>
      </c>
      <c r="AV206" s="335">
        <f t="shared" si="51"/>
        <v>670.68786666666654</v>
      </c>
      <c r="AW206" s="335">
        <f t="shared" si="52"/>
        <v>10.636119743318204</v>
      </c>
      <c r="AX206" s="335">
        <f t="shared" si="53"/>
        <v>1198.7249822894426</v>
      </c>
      <c r="AY206" s="335">
        <f t="shared" si="79"/>
        <v>489.92494844954251</v>
      </c>
      <c r="AZ206" s="335">
        <f t="shared" si="80"/>
        <v>0</v>
      </c>
    </row>
    <row r="207" spans="2:52" ht="14.4" x14ac:dyDescent="0.55000000000000004">
      <c r="B207" s="3">
        <v>2051</v>
      </c>
      <c r="C207" s="1205">
        <f t="shared" si="48"/>
        <v>520.3813948128286</v>
      </c>
      <c r="D207" s="1205">
        <f>'Food System Summary'!B49-'Food System Summary'!C49</f>
        <v>687.34199455219255</v>
      </c>
      <c r="E207" s="1205">
        <f t="shared" si="81"/>
        <v>1.3208427538025578</v>
      </c>
      <c r="F207" s="1205">
        <f t="shared" si="54"/>
        <v>0.30667035496203826</v>
      </c>
      <c r="G207" s="1205">
        <f t="shared" si="55"/>
        <v>73.069143719569908</v>
      </c>
      <c r="H207" s="1205">
        <f t="shared" si="82"/>
        <v>0.14041459677060802</v>
      </c>
      <c r="I207" s="1205">
        <f t="shared" si="56"/>
        <v>-240.02974345893386</v>
      </c>
      <c r="J207" s="1205">
        <f t="shared" si="57"/>
        <v>-0.46125735057316575</v>
      </c>
      <c r="K207" s="1205">
        <f t="shared" si="58"/>
        <v>-0.10709371348095149</v>
      </c>
      <c r="N207" s="3">
        <v>2051</v>
      </c>
      <c r="O207" s="1205">
        <f t="shared" si="59"/>
        <v>816.55585088147086</v>
      </c>
      <c r="P207" s="1205">
        <f t="shared" si="60"/>
        <v>25.244111555040217</v>
      </c>
      <c r="Q207" s="1205">
        <f t="shared" si="61"/>
        <v>689.36635000000001</v>
      </c>
      <c r="R207" s="1205">
        <f t="shared" si="83"/>
        <v>127.18950088147085</v>
      </c>
      <c r="S207" s="1206">
        <f>Paper!E43</f>
        <v>770.98974869333063</v>
      </c>
      <c r="T207" s="1205">
        <f t="shared" si="62"/>
        <v>81.623398693330614</v>
      </c>
      <c r="U207" s="1206">
        <f>Paper!I43</f>
        <v>10.49619846419273</v>
      </c>
      <c r="V207" s="1205">
        <f t="shared" si="63"/>
        <v>71.127200229137884</v>
      </c>
      <c r="Y207" s="609">
        <f t="shared" si="85"/>
        <v>2051</v>
      </c>
      <c r="Z207" s="335">
        <f t="shared" si="64"/>
        <v>3447.7514379580948</v>
      </c>
      <c r="AA207" s="335">
        <f t="shared" si="86"/>
        <v>486.90935006665086</v>
      </c>
      <c r="AB207" s="335">
        <f t="shared" si="87"/>
        <v>453.28884032753376</v>
      </c>
      <c r="AC207" s="335">
        <f t="shared" si="88"/>
        <v>601.24489577747249</v>
      </c>
      <c r="AD207" s="335">
        <f t="shared" si="89"/>
        <v>689.36635000000001</v>
      </c>
      <c r="AE207" s="335">
        <f>MIN(Paper!I43,Paper!H43)</f>
        <v>10.49619846419273</v>
      </c>
      <c r="AF207" s="335">
        <f t="shared" si="90"/>
        <v>1206.4458033222447</v>
      </c>
      <c r="AI207" s="609">
        <f t="shared" si="70"/>
        <v>2051</v>
      </c>
      <c r="AJ207" s="335">
        <f t="shared" si="71"/>
        <v>88.618714426004999</v>
      </c>
      <c r="AK207" s="335">
        <f t="shared" si="72"/>
        <v>-30.946933925072869</v>
      </c>
      <c r="AL207" s="335">
        <f t="shared" si="73"/>
        <v>9.4207739843627323</v>
      </c>
      <c r="AM207" s="335">
        <f t="shared" si="74"/>
        <v>175.45206949138989</v>
      </c>
      <c r="AN207" s="335">
        <f t="shared" si="75"/>
        <v>127.67142367268798</v>
      </c>
      <c r="AO207" s="335">
        <f t="shared" si="76"/>
        <v>71.127200229137884</v>
      </c>
      <c r="AP207" s="335">
        <f t="shared" si="77"/>
        <v>45.566102188140263</v>
      </c>
      <c r="AS207" s="609">
        <f t="shared" si="78"/>
        <v>2051</v>
      </c>
      <c r="AT207" s="335">
        <f t="shared" si="49"/>
        <v>453.28884032753376</v>
      </c>
      <c r="AU207" s="335">
        <f t="shared" si="50"/>
        <v>601.24489577747249</v>
      </c>
      <c r="AV207" s="335">
        <f t="shared" si="51"/>
        <v>689.36635000000001</v>
      </c>
      <c r="AW207" s="335">
        <f t="shared" si="52"/>
        <v>10.49619846419273</v>
      </c>
      <c r="AX207" s="335">
        <f t="shared" si="53"/>
        <v>1206.4458033222447</v>
      </c>
      <c r="AY207" s="335">
        <f t="shared" si="79"/>
        <v>486.90935006665086</v>
      </c>
      <c r="AZ207" s="335">
        <f t="shared" si="80"/>
        <v>0</v>
      </c>
    </row>
    <row r="208" spans="2:52" ht="14.4" x14ac:dyDescent="0.55000000000000004">
      <c r="B208" s="3">
        <v>2052</v>
      </c>
      <c r="C208" s="1205">
        <f t="shared" si="48"/>
        <v>535.31586393303985</v>
      </c>
      <c r="D208" s="1205">
        <f>'Food System Summary'!B50-'Food System Summary'!C50</f>
        <v>689.99559170300381</v>
      </c>
      <c r="E208" s="1205">
        <f t="shared" si="81"/>
        <v>1.2889503902116977</v>
      </c>
      <c r="F208" s="1205">
        <f t="shared" si="54"/>
        <v>0.30408659314976116</v>
      </c>
      <c r="G208" s="1205">
        <f t="shared" si="55"/>
        <v>78.345256394213592</v>
      </c>
      <c r="H208" s="1205">
        <f t="shared" si="82"/>
        <v>0.14635332459344683</v>
      </c>
      <c r="I208" s="1205">
        <f t="shared" si="56"/>
        <v>-233.02498416417757</v>
      </c>
      <c r="J208" s="1205">
        <f t="shared" si="57"/>
        <v>-0.43530371480514457</v>
      </c>
      <c r="K208" s="1205">
        <f t="shared" si="58"/>
        <v>-0.10269598009803246</v>
      </c>
      <c r="N208" s="3">
        <v>2052</v>
      </c>
      <c r="O208" s="1205">
        <f t="shared" si="59"/>
        <v>831.26104015165856</v>
      </c>
      <c r="P208" s="1205">
        <f t="shared" si="60"/>
        <v>26.302830951548586</v>
      </c>
      <c r="Q208" s="1205">
        <f t="shared" si="61"/>
        <v>708.56609333333336</v>
      </c>
      <c r="R208" s="1205">
        <f t="shared" si="83"/>
        <v>122.69494681832521</v>
      </c>
      <c r="S208" s="1206">
        <f>Paper!E44</f>
        <v>779.89526650228277</v>
      </c>
      <c r="T208" s="1205">
        <f t="shared" si="62"/>
        <v>71.32917316894941</v>
      </c>
      <c r="U208" s="1206">
        <f>Paper!I44</f>
        <v>10.357658176593873</v>
      </c>
      <c r="V208" s="1205">
        <f t="shared" si="63"/>
        <v>60.971514992355537</v>
      </c>
      <c r="Y208" s="609">
        <f t="shared" si="85"/>
        <v>2052</v>
      </c>
      <c r="Z208" s="335">
        <f t="shared" si="64"/>
        <v>3483.1120613277576</v>
      </c>
      <c r="AA208" s="335">
        <f t="shared" si="86"/>
        <v>482.78799616126105</v>
      </c>
      <c r="AB208" s="335">
        <f t="shared" si="87"/>
        <v>464.079437630717</v>
      </c>
      <c r="AC208" s="335">
        <f t="shared" si="88"/>
        <v>603.28481885847646</v>
      </c>
      <c r="AD208" s="335">
        <f t="shared" si="89"/>
        <v>708.56609333333336</v>
      </c>
      <c r="AE208" s="335">
        <f>MIN(Paper!I44,Paper!H44)</f>
        <v>10.357658176593873</v>
      </c>
      <c r="AF208" s="335">
        <f t="shared" si="90"/>
        <v>1214.0360571673757</v>
      </c>
      <c r="AI208" s="609">
        <f t="shared" si="70"/>
        <v>2052</v>
      </c>
      <c r="AJ208" s="335">
        <f t="shared" si="71"/>
        <v>91.82021947966598</v>
      </c>
      <c r="AK208" s="335">
        <f t="shared" si="72"/>
        <v>-31.009480998844055</v>
      </c>
      <c r="AL208" s="335">
        <f t="shared" si="73"/>
        <v>10.425687821501</v>
      </c>
      <c r="AM208" s="335">
        <f t="shared" si="74"/>
        <v>176.15269379791116</v>
      </c>
      <c r="AN208" s="335">
        <f t="shared" si="75"/>
        <v>123.06158741929551</v>
      </c>
      <c r="AO208" s="335">
        <f t="shared" si="76"/>
        <v>60.971514992355537</v>
      </c>
      <c r="AP208" s="335">
        <f t="shared" si="77"/>
        <v>51.365773649375939</v>
      </c>
      <c r="AS208" s="609">
        <f t="shared" si="78"/>
        <v>2052</v>
      </c>
      <c r="AT208" s="335">
        <f t="shared" si="49"/>
        <v>464.079437630717</v>
      </c>
      <c r="AU208" s="335">
        <f t="shared" si="50"/>
        <v>603.28481885847646</v>
      </c>
      <c r="AV208" s="335">
        <f t="shared" si="51"/>
        <v>708.56609333333336</v>
      </c>
      <c r="AW208" s="335">
        <f t="shared" si="52"/>
        <v>10.357658176593873</v>
      </c>
      <c r="AX208" s="335">
        <f t="shared" si="53"/>
        <v>1214.0360571673757</v>
      </c>
      <c r="AY208" s="335">
        <f t="shared" si="79"/>
        <v>482.78799616126105</v>
      </c>
      <c r="AZ208" s="335">
        <f t="shared" si="80"/>
        <v>0</v>
      </c>
    </row>
    <row r="209" spans="2:52" ht="14.4" x14ac:dyDescent="0.55000000000000004">
      <c r="B209" s="3">
        <v>2053</v>
      </c>
      <c r="C209" s="1205">
        <f t="shared" si="48"/>
        <v>550.40847690923863</v>
      </c>
      <c r="D209" s="1205">
        <f>'Food System Summary'!B51-'Food System Summary'!C51</f>
        <v>692.55194126736569</v>
      </c>
      <c r="E209" s="1205">
        <f t="shared" si="81"/>
        <v>1.2582508633521032</v>
      </c>
      <c r="F209" s="1205">
        <f t="shared" si="54"/>
        <v>0.30154615004087487</v>
      </c>
      <c r="G209" s="1205">
        <f t="shared" si="55"/>
        <v>83.815328345210546</v>
      </c>
      <c r="H209" s="1205">
        <f t="shared" si="82"/>
        <v>0.15227841114633039</v>
      </c>
      <c r="I209" s="1205">
        <f t="shared" si="56"/>
        <v>-225.95879270333762</v>
      </c>
      <c r="J209" s="1205">
        <f t="shared" si="57"/>
        <v>-0.41052927449843368</v>
      </c>
      <c r="K209" s="1205">
        <f t="shared" si="58"/>
        <v>-9.8385406129806383E-2</v>
      </c>
      <c r="N209" s="3">
        <v>2053</v>
      </c>
      <c r="O209" s="1205">
        <f t="shared" si="59"/>
        <v>846.04614875968196</v>
      </c>
      <c r="P209" s="1205">
        <f t="shared" si="60"/>
        <v>27.371584011432454</v>
      </c>
      <c r="Q209" s="1205">
        <f t="shared" si="61"/>
        <v>728.28709666666657</v>
      </c>
      <c r="R209" s="1205">
        <f t="shared" si="83"/>
        <v>117.75905209301538</v>
      </c>
      <c r="S209" s="1206">
        <f>Paper!E45</f>
        <v>788.65304314376851</v>
      </c>
      <c r="T209" s="1205">
        <f t="shared" si="62"/>
        <v>60.365946477101943</v>
      </c>
      <c r="U209" s="1206">
        <f>Paper!I45</f>
        <v>10.219137085828265</v>
      </c>
      <c r="V209" s="1205">
        <f t="shared" si="63"/>
        <v>50.146809391273678</v>
      </c>
      <c r="Y209" s="609">
        <f t="shared" si="85"/>
        <v>2053</v>
      </c>
      <c r="Z209" s="335">
        <f t="shared" si="64"/>
        <v>3518.1641751714656</v>
      </c>
      <c r="AA209" s="335">
        <f t="shared" si="86"/>
        <v>478.02730407723061</v>
      </c>
      <c r="AB209" s="335">
        <f t="shared" si="87"/>
        <v>474.9449356764768</v>
      </c>
      <c r="AC209" s="335">
        <f t="shared" si="88"/>
        <v>605.19134361296699</v>
      </c>
      <c r="AD209" s="335">
        <f t="shared" si="89"/>
        <v>728.28709666666657</v>
      </c>
      <c r="AE209" s="335">
        <f>MIN(Paper!I45,Paper!H45)</f>
        <v>10.219137085828265</v>
      </c>
      <c r="AF209" s="335">
        <f t="shared" si="90"/>
        <v>1221.4943580522961</v>
      </c>
      <c r="AI209" s="609">
        <f t="shared" si="70"/>
        <v>2053</v>
      </c>
      <c r="AJ209" s="335">
        <f t="shared" si="71"/>
        <v>94.952065907729661</v>
      </c>
      <c r="AK209" s="335">
        <f t="shared" si="72"/>
        <v>-30.979992833368357</v>
      </c>
      <c r="AL209" s="335">
        <f t="shared" si="73"/>
        <v>11.491468158400565</v>
      </c>
      <c r="AM209" s="335">
        <f t="shared" si="74"/>
        <v>176.68337275827923</v>
      </c>
      <c r="AN209" s="335">
        <f t="shared" si="75"/>
        <v>118.34047507900232</v>
      </c>
      <c r="AO209" s="335">
        <f t="shared" si="76"/>
        <v>50.146809391273678</v>
      </c>
      <c r="AP209" s="335">
        <f t="shared" si="77"/>
        <v>57.393105615913498</v>
      </c>
      <c r="AS209" s="609">
        <f t="shared" si="78"/>
        <v>2053</v>
      </c>
      <c r="AT209" s="335">
        <f t="shared" si="49"/>
        <v>474.9449356764768</v>
      </c>
      <c r="AU209" s="335">
        <f t="shared" si="50"/>
        <v>605.19134361296699</v>
      </c>
      <c r="AV209" s="335">
        <f t="shared" si="51"/>
        <v>728.28709666666657</v>
      </c>
      <c r="AW209" s="335">
        <f t="shared" si="52"/>
        <v>10.219137085828265</v>
      </c>
      <c r="AX209" s="335">
        <f t="shared" si="53"/>
        <v>1221.4943580522961</v>
      </c>
      <c r="AY209" s="335">
        <f t="shared" si="79"/>
        <v>478.02730407723061</v>
      </c>
      <c r="AZ209" s="335">
        <f t="shared" si="80"/>
        <v>0</v>
      </c>
    </row>
    <row r="210" spans="2:52" ht="14.4" x14ac:dyDescent="0.55000000000000004">
      <c r="B210" s="3">
        <v>2054</v>
      </c>
      <c r="C210" s="1205">
        <f t="shared" si="48"/>
        <v>565.66008394188191</v>
      </c>
      <c r="D210" s="1205">
        <f>'Food System Summary'!B52-'Food System Summary'!C52</f>
        <v>695.01113734020009</v>
      </c>
      <c r="E210" s="1205">
        <f t="shared" si="81"/>
        <v>1.2286727613815653</v>
      </c>
      <c r="F210" s="1205">
        <f t="shared" si="54"/>
        <v>0.29904673596886372</v>
      </c>
      <c r="G210" s="1205">
        <f t="shared" si="55"/>
        <v>89.477621871400842</v>
      </c>
      <c r="H210" s="1205">
        <f t="shared" si="82"/>
        <v>0.15818266908257594</v>
      </c>
      <c r="I210" s="1205">
        <f t="shared" si="56"/>
        <v>-218.82867526971904</v>
      </c>
      <c r="J210" s="1205">
        <f t="shared" si="57"/>
        <v>-0.38685543046414134</v>
      </c>
      <c r="K210" s="1205">
        <f t="shared" si="58"/>
        <v>-9.4156766071746778E-2</v>
      </c>
      <c r="N210" s="3">
        <v>2054</v>
      </c>
      <c r="O210" s="1205">
        <f t="shared" si="59"/>
        <v>860.90820063655599</v>
      </c>
      <c r="P210" s="1205">
        <f t="shared" si="60"/>
        <v>28.452304201952426</v>
      </c>
      <c r="Q210" s="1205">
        <f t="shared" si="61"/>
        <v>748.52935999999988</v>
      </c>
      <c r="R210" s="1205">
        <f t="shared" si="83"/>
        <v>112.37884063655611</v>
      </c>
      <c r="S210" s="1206">
        <f>Paper!E46</f>
        <v>797.29985723244988</v>
      </c>
      <c r="T210" s="1205">
        <f t="shared" si="62"/>
        <v>48.770497232449998</v>
      </c>
      <c r="U210" s="1206">
        <f>Paper!I46</f>
        <v>10.08023121597796</v>
      </c>
      <c r="V210" s="1205">
        <f t="shared" si="63"/>
        <v>38.690266016472037</v>
      </c>
      <c r="Y210" s="609">
        <f t="shared" si="85"/>
        <v>2054</v>
      </c>
      <c r="Z210" s="335">
        <f t="shared" si="64"/>
        <v>3552.9086715023973</v>
      </c>
      <c r="AA210" s="335">
        <f t="shared" si="86"/>
        <v>472.62919160899492</v>
      </c>
      <c r="AB210" s="335">
        <f t="shared" si="87"/>
        <v>485.88394998302073</v>
      </c>
      <c r="AC210" s="335">
        <f t="shared" si="88"/>
        <v>606.96595884240969</v>
      </c>
      <c r="AD210" s="335">
        <f t="shared" si="89"/>
        <v>748.52935999999988</v>
      </c>
      <c r="AE210" s="335">
        <f>MIN(Paper!I46,Paper!H46)</f>
        <v>10.08023121597796</v>
      </c>
      <c r="AF210" s="335">
        <f t="shared" si="90"/>
        <v>1228.819979851994</v>
      </c>
      <c r="AI210" s="609">
        <f t="shared" si="70"/>
        <v>2054</v>
      </c>
      <c r="AJ210" s="335">
        <f t="shared" si="71"/>
        <v>98.018762803579648</v>
      </c>
      <c r="AK210" s="335">
        <f t="shared" si="72"/>
        <v>-30.861830643420234</v>
      </c>
      <c r="AL210" s="335">
        <f t="shared" si="73"/>
        <v>12.619201798701795</v>
      </c>
      <c r="AM210" s="335">
        <f t="shared" si="74"/>
        <v>177.03585573583712</v>
      </c>
      <c r="AN210" s="335">
        <f t="shared" si="75"/>
        <v>113.51859249371842</v>
      </c>
      <c r="AO210" s="335">
        <f t="shared" si="76"/>
        <v>38.690266016472037</v>
      </c>
      <c r="AP210" s="335">
        <f t="shared" si="77"/>
        <v>63.608343404106165</v>
      </c>
      <c r="AS210" s="609">
        <f t="shared" si="78"/>
        <v>2054</v>
      </c>
      <c r="AT210" s="335">
        <f t="shared" si="49"/>
        <v>485.88394998302073</v>
      </c>
      <c r="AU210" s="335">
        <f t="shared" si="50"/>
        <v>606.96595884240969</v>
      </c>
      <c r="AV210" s="335">
        <f t="shared" si="51"/>
        <v>748.52935999999988</v>
      </c>
      <c r="AW210" s="335">
        <f t="shared" si="52"/>
        <v>10.08023121597796</v>
      </c>
      <c r="AX210" s="335">
        <f t="shared" si="53"/>
        <v>1228.819979851994</v>
      </c>
      <c r="AY210" s="335">
        <f t="shared" si="79"/>
        <v>472.62919160899492</v>
      </c>
      <c r="AZ210" s="335">
        <f t="shared" si="80"/>
        <v>0</v>
      </c>
    </row>
    <row r="211" spans="2:52" ht="14.4" x14ac:dyDescent="0.55000000000000004">
      <c r="B211" s="3">
        <v>2055</v>
      </c>
      <c r="C211" s="1205">
        <f t="shared" si="48"/>
        <v>581.07055200166417</v>
      </c>
      <c r="D211" s="1205">
        <f>'Food System Summary'!B53-'Food System Summary'!C53</f>
        <v>697.37392590788568</v>
      </c>
      <c r="E211" s="1205">
        <f t="shared" si="81"/>
        <v>1.2001536190494961</v>
      </c>
      <c r="F211" s="1205">
        <f t="shared" si="54"/>
        <v>0.2965864709094061</v>
      </c>
      <c r="G211" s="1205">
        <f t="shared" si="55"/>
        <v>95.330087843625591</v>
      </c>
      <c r="H211" s="1205">
        <f t="shared" si="82"/>
        <v>0.16405940296790772</v>
      </c>
      <c r="I211" s="1205">
        <f t="shared" si="56"/>
        <v>-211.6334617498471</v>
      </c>
      <c r="J211" s="1205">
        <f t="shared" si="57"/>
        <v>-0.3642130220174038</v>
      </c>
      <c r="K211" s="1205">
        <f t="shared" si="58"/>
        <v>-9.0005690225674936E-2</v>
      </c>
      <c r="N211" s="3">
        <v>2055</v>
      </c>
      <c r="O211" s="1205">
        <f t="shared" si="59"/>
        <v>875.84459399766536</v>
      </c>
      <c r="P211" s="1205">
        <f t="shared" si="60"/>
        <v>29.547236418542674</v>
      </c>
      <c r="Q211" s="1205">
        <f t="shared" si="61"/>
        <v>769.29288333333329</v>
      </c>
      <c r="R211" s="1205">
        <f t="shared" si="83"/>
        <v>106.55171066433206</v>
      </c>
      <c r="S211" s="1206">
        <f>Paper!E47</f>
        <v>805.8701617764026</v>
      </c>
      <c r="T211" s="1205">
        <f t="shared" si="62"/>
        <v>36.577278443069304</v>
      </c>
      <c r="U211" s="1206">
        <f>Paper!I47</f>
        <v>9.9417871235904158</v>
      </c>
      <c r="V211" s="1205">
        <f t="shared" si="63"/>
        <v>26.635491319478888</v>
      </c>
      <c r="Y211" s="609">
        <f t="shared" si="85"/>
        <v>2055</v>
      </c>
      <c r="Z211" s="335">
        <f t="shared" si="64"/>
        <v>3587.3475451386416</v>
      </c>
      <c r="AA211" s="335">
        <f t="shared" si="86"/>
        <v>466.59407223605842</v>
      </c>
      <c r="AB211" s="335">
        <f t="shared" si="87"/>
        <v>496.89524938649873</v>
      </c>
      <c r="AC211" s="335">
        <f t="shared" si="88"/>
        <v>608.6102537799743</v>
      </c>
      <c r="AD211" s="335">
        <f t="shared" si="89"/>
        <v>769.29288333333329</v>
      </c>
      <c r="AE211" s="335">
        <f>MIN(Paper!I47,Paper!H47)</f>
        <v>9.9417871235904158</v>
      </c>
      <c r="AF211" s="335">
        <f t="shared" si="90"/>
        <v>1236.0132992791862</v>
      </c>
      <c r="AI211" s="609">
        <f t="shared" si="70"/>
        <v>2055</v>
      </c>
      <c r="AJ211" s="335">
        <f t="shared" si="71"/>
        <v>101.02329406817728</v>
      </c>
      <c r="AK211" s="335">
        <f t="shared" si="72"/>
        <v>-30.657741344698877</v>
      </c>
      <c r="AL211" s="335">
        <f t="shared" si="73"/>
        <v>13.809749891686991</v>
      </c>
      <c r="AM211" s="335">
        <f t="shared" si="74"/>
        <v>177.20183884159493</v>
      </c>
      <c r="AN211" s="335">
        <f t="shared" si="75"/>
        <v>108.60700723855655</v>
      </c>
      <c r="AO211" s="335">
        <f t="shared" si="76"/>
        <v>26.635491319478888</v>
      </c>
      <c r="AP211" s="335">
        <f t="shared" si="77"/>
        <v>69.974432221262674</v>
      </c>
      <c r="AS211" s="609">
        <f t="shared" si="78"/>
        <v>2055</v>
      </c>
      <c r="AT211" s="335">
        <f t="shared" si="49"/>
        <v>496.89524938649873</v>
      </c>
      <c r="AU211" s="335">
        <f t="shared" si="50"/>
        <v>608.6102537799743</v>
      </c>
      <c r="AV211" s="335">
        <f t="shared" si="51"/>
        <v>769.29288333333329</v>
      </c>
      <c r="AW211" s="335">
        <f t="shared" si="52"/>
        <v>9.9417871235904158</v>
      </c>
      <c r="AX211" s="335">
        <f t="shared" si="53"/>
        <v>1236.0132992791862</v>
      </c>
      <c r="AY211" s="335">
        <f t="shared" si="79"/>
        <v>466.59407223605842</v>
      </c>
      <c r="AZ211" s="335">
        <f t="shared" si="80"/>
        <v>0</v>
      </c>
    </row>
    <row r="212" spans="2:52" ht="14.4" x14ac:dyDescent="0.55000000000000004">
      <c r="B212" s="3">
        <v>2056</v>
      </c>
      <c r="C212" s="1205">
        <f t="shared" si="48"/>
        <v>596.64003563400752</v>
      </c>
      <c r="D212" s="1205">
        <f>'Food System Summary'!B54-'Food System Summary'!C54</f>
        <v>699.64089389851915</v>
      </c>
      <c r="E212" s="1205">
        <f t="shared" si="81"/>
        <v>1.1726348419697648</v>
      </c>
      <c r="F212" s="1205">
        <f t="shared" si="54"/>
        <v>0.29416338681630078</v>
      </c>
      <c r="G212" s="1205">
        <f t="shared" si="55"/>
        <v>101.37036520056361</v>
      </c>
      <c r="H212" s="1205">
        <f t="shared" si="82"/>
        <v>0.16990205005744283</v>
      </c>
      <c r="I212" s="1205">
        <f t="shared" si="56"/>
        <v>-204.37122346507525</v>
      </c>
      <c r="J212" s="1205">
        <f t="shared" si="57"/>
        <v>-0.34253689202720744</v>
      </c>
      <c r="K212" s="1205">
        <f t="shared" si="58"/>
        <v>-8.592769774689242E-2</v>
      </c>
      <c r="N212" s="3">
        <v>2056</v>
      </c>
      <c r="O212" s="1205">
        <f t="shared" si="59"/>
        <v>890.8530098780941</v>
      </c>
      <c r="P212" s="1205">
        <f t="shared" si="60"/>
        <v>30.658937488683225</v>
      </c>
      <c r="Q212" s="1205">
        <f t="shared" si="61"/>
        <v>790.57766666666657</v>
      </c>
      <c r="R212" s="1205">
        <f t="shared" si="83"/>
        <v>100.27534321142753</v>
      </c>
      <c r="S212" s="1206">
        <f>Paper!E48</f>
        <v>814.3953438896981</v>
      </c>
      <c r="T212" s="1205">
        <f t="shared" si="62"/>
        <v>23.817677223031524</v>
      </c>
      <c r="U212" s="1206">
        <f>Paper!I48</f>
        <v>9.804829261462146</v>
      </c>
      <c r="V212" s="1205">
        <f t="shared" si="63"/>
        <v>14.012847961569378</v>
      </c>
      <c r="Y212" s="609">
        <f t="shared" si="85"/>
        <v>2056</v>
      </c>
      <c r="Z212" s="335">
        <f t="shared" si="64"/>
        <v>3621.4835044729898</v>
      </c>
      <c r="AA212" s="335">
        <f t="shared" si="86"/>
        <v>459.92298535359464</v>
      </c>
      <c r="AB212" s="335">
        <f t="shared" si="87"/>
        <v>507.97771102160652</v>
      </c>
      <c r="AC212" s="335">
        <f t="shared" si="88"/>
        <v>610.1259682338075</v>
      </c>
      <c r="AD212" s="335">
        <f t="shared" si="89"/>
        <v>790.57766666666657</v>
      </c>
      <c r="AE212" s="335">
        <f>MIN(Paper!I48,Paper!H48)</f>
        <v>9.804829261462146</v>
      </c>
      <c r="AF212" s="335">
        <f t="shared" si="90"/>
        <v>1243.0743439358525</v>
      </c>
      <c r="AI212" s="609">
        <f t="shared" si="70"/>
        <v>2056</v>
      </c>
      <c r="AJ212" s="335">
        <f t="shared" si="71"/>
        <v>103.96853101053478</v>
      </c>
      <c r="AK212" s="335">
        <f t="shared" si="72"/>
        <v>-30.370117112639235</v>
      </c>
      <c r="AL212" s="335">
        <f t="shared" si="73"/>
        <v>15.063910714505397</v>
      </c>
      <c r="AM212" s="335">
        <f t="shared" si="74"/>
        <v>177.17293172680309</v>
      </c>
      <c r="AN212" s="335">
        <f t="shared" si="75"/>
        <v>103.61721506442507</v>
      </c>
      <c r="AO212" s="335">
        <f t="shared" si="76"/>
        <v>14.012847961569378</v>
      </c>
      <c r="AP212" s="335">
        <f t="shared" si="77"/>
        <v>76.457665988396229</v>
      </c>
      <c r="AS212" s="609">
        <f t="shared" si="78"/>
        <v>2056</v>
      </c>
      <c r="AT212" s="335">
        <f t="shared" si="49"/>
        <v>507.97771102160652</v>
      </c>
      <c r="AU212" s="335">
        <f t="shared" si="50"/>
        <v>610.1259682338075</v>
      </c>
      <c r="AV212" s="335">
        <f t="shared" si="51"/>
        <v>790.57766666666657</v>
      </c>
      <c r="AW212" s="335">
        <f t="shared" si="52"/>
        <v>9.804829261462146</v>
      </c>
      <c r="AX212" s="335">
        <f t="shared" si="53"/>
        <v>1243.0743439358525</v>
      </c>
      <c r="AY212" s="335">
        <f t="shared" si="79"/>
        <v>459.92298535359464</v>
      </c>
      <c r="AZ212" s="335">
        <f t="shared" si="80"/>
        <v>0</v>
      </c>
    </row>
    <row r="213" spans="2:52" ht="14.4" x14ac:dyDescent="0.55000000000000004">
      <c r="B213" s="3">
        <v>2057</v>
      </c>
      <c r="C213" s="1205">
        <f t="shared" si="48"/>
        <v>612.36663972613724</v>
      </c>
      <c r="D213" s="1205">
        <f>'Food System Summary'!B55-'Food System Summary'!C55</f>
        <v>701.81408456371082</v>
      </c>
      <c r="E213" s="1205">
        <f t="shared" si="81"/>
        <v>1.1460684482707555</v>
      </c>
      <c r="F213" s="1205">
        <f t="shared" si="54"/>
        <v>0.29177631827402023</v>
      </c>
      <c r="G213" s="1205">
        <f t="shared" si="55"/>
        <v>107.59578044482981</v>
      </c>
      <c r="H213" s="1205">
        <f t="shared" si="82"/>
        <v>0.17570483671832421</v>
      </c>
      <c r="I213" s="1205">
        <f t="shared" si="56"/>
        <v>-197.0432252824034</v>
      </c>
      <c r="J213" s="1205">
        <f t="shared" si="57"/>
        <v>-0.32177328498907959</v>
      </c>
      <c r="K213" s="1205">
        <f t="shared" si="58"/>
        <v>-8.1919910241583099E-2</v>
      </c>
      <c r="N213" s="3">
        <v>2057</v>
      </c>
      <c r="O213" s="1205">
        <f t="shared" si="59"/>
        <v>905.9317026832307</v>
      </c>
      <c r="P213" s="1205">
        <f t="shared" si="60"/>
        <v>31.79027667585985</v>
      </c>
      <c r="Q213" s="1205">
        <f t="shared" si="61"/>
        <v>812.38370999999972</v>
      </c>
      <c r="R213" s="1205">
        <f t="shared" si="83"/>
        <v>93.547992683230973</v>
      </c>
      <c r="S213" s="1206">
        <f>Paper!E49</f>
        <v>822.90366684399692</v>
      </c>
      <c r="T213" s="1205">
        <f t="shared" si="62"/>
        <v>10.519956843997193</v>
      </c>
      <c r="U213" s="1206">
        <f>Paper!I49</f>
        <v>9.6708502539252095</v>
      </c>
      <c r="V213" s="1205">
        <f t="shared" si="63"/>
        <v>0.84910659007198319</v>
      </c>
      <c r="Y213" s="609">
        <f t="shared" si="85"/>
        <v>2057</v>
      </c>
      <c r="Z213" s="335">
        <f t="shared" si="64"/>
        <v>3655.3211397416994</v>
      </c>
      <c r="AA213" s="335">
        <f t="shared" si="86"/>
        <v>452.61541072932243</v>
      </c>
      <c r="AB213" s="335">
        <f t="shared" si="87"/>
        <v>519.13049243346063</v>
      </c>
      <c r="AC213" s="335">
        <f t="shared" si="88"/>
        <v>611.5149806715466</v>
      </c>
      <c r="AD213" s="335">
        <f t="shared" si="89"/>
        <v>812.38370999999972</v>
      </c>
      <c r="AE213" s="335">
        <f>MIN(Paper!I49,Paper!H49)</f>
        <v>9.6708502539252095</v>
      </c>
      <c r="AF213" s="335">
        <f t="shared" si="90"/>
        <v>1250.0056956534447</v>
      </c>
      <c r="AI213" s="609">
        <f t="shared" si="70"/>
        <v>2057</v>
      </c>
      <c r="AJ213" s="335">
        <f t="shared" si="71"/>
        <v>106.85500665046141</v>
      </c>
      <c r="AK213" s="335">
        <f t="shared" si="72"/>
        <v>-30.000901394090249</v>
      </c>
      <c r="AL213" s="335">
        <f t="shared" si="73"/>
        <v>16.382042036305378</v>
      </c>
      <c r="AM213" s="335">
        <f t="shared" si="74"/>
        <v>176.94077620108641</v>
      </c>
      <c r="AN213" s="335">
        <f t="shared" si="75"/>
        <v>98.561344806253487</v>
      </c>
      <c r="AO213" s="335">
        <f t="shared" si="76"/>
        <v>0.84910659007198319</v>
      </c>
      <c r="AP213" s="335">
        <f t="shared" si="77"/>
        <v>83.028035839234008</v>
      </c>
      <c r="AS213" s="609">
        <f t="shared" si="78"/>
        <v>2057</v>
      </c>
      <c r="AT213" s="335">
        <f t="shared" si="49"/>
        <v>519.13049243346063</v>
      </c>
      <c r="AU213" s="335">
        <f t="shared" si="50"/>
        <v>611.5149806715466</v>
      </c>
      <c r="AV213" s="335">
        <f t="shared" si="51"/>
        <v>812.38370999999972</v>
      </c>
      <c r="AW213" s="335">
        <f t="shared" si="52"/>
        <v>9.6708502539252095</v>
      </c>
      <c r="AX213" s="335">
        <f t="shared" si="53"/>
        <v>1250.0056956534447</v>
      </c>
      <c r="AY213" s="335">
        <f t="shared" si="79"/>
        <v>452.61541072932243</v>
      </c>
      <c r="AZ213" s="335">
        <f t="shared" si="80"/>
        <v>0</v>
      </c>
    </row>
    <row r="214" spans="2:52" ht="14.4" x14ac:dyDescent="0.55000000000000004">
      <c r="B214" s="3">
        <v>2058</v>
      </c>
      <c r="C214" s="1205">
        <f t="shared" si="48"/>
        <v>628.24500281312908</v>
      </c>
      <c r="D214" s="1205">
        <f>'Food System Summary'!B56-'Food System Summary'!C56</f>
        <v>703.89780381880041</v>
      </c>
      <c r="E214" s="1205">
        <f t="shared" si="81"/>
        <v>1.1204192642470954</v>
      </c>
      <c r="F214" s="1205">
        <f t="shared" si="54"/>
        <v>0.28942533341230825</v>
      </c>
      <c r="G214" s="1205">
        <f t="shared" si="55"/>
        <v>114.00334713921073</v>
      </c>
      <c r="H214" s="1205">
        <f t="shared" si="82"/>
        <v>0.18146319768359689</v>
      </c>
      <c r="I214" s="1205">
        <f t="shared" si="56"/>
        <v>-189.65614814488208</v>
      </c>
      <c r="J214" s="1205">
        <f t="shared" si="57"/>
        <v>-0.30188246193069224</v>
      </c>
      <c r="K214" s="1205">
        <f t="shared" si="58"/>
        <v>-7.7981908187139223E-2</v>
      </c>
      <c r="N214" s="3">
        <v>2058</v>
      </c>
      <c r="O214" s="1205">
        <f t="shared" si="59"/>
        <v>921.07959586446179</v>
      </c>
      <c r="P214" s="1205">
        <f t="shared" si="60"/>
        <v>32.94443618356128</v>
      </c>
      <c r="Q214" s="1205">
        <f t="shared" si="61"/>
        <v>834.7110133333332</v>
      </c>
      <c r="R214" s="1205">
        <f t="shared" si="83"/>
        <v>86.368582531128595</v>
      </c>
      <c r="S214" s="1206">
        <f>Paper!E50</f>
        <v>831.42001936786221</v>
      </c>
      <c r="T214" s="1205">
        <f t="shared" si="62"/>
        <v>-3.2909939654709888</v>
      </c>
      <c r="U214" s="1206">
        <f>Paper!I50</f>
        <v>9.540816652530907</v>
      </c>
      <c r="V214" s="1205">
        <f t="shared" si="63"/>
        <v>0</v>
      </c>
      <c r="Y214" s="609">
        <f t="shared" si="85"/>
        <v>2058</v>
      </c>
      <c r="Z214" s="335">
        <f t="shared" si="64"/>
        <v>3688.8672576804943</v>
      </c>
      <c r="AA214" s="335">
        <f t="shared" si="86"/>
        <v>444.66895268238591</v>
      </c>
      <c r="AB214" s="335">
        <f t="shared" si="87"/>
        <v>530.35309614534515</v>
      </c>
      <c r="AC214" s="335">
        <f t="shared" si="88"/>
        <v>612.77930575005428</v>
      </c>
      <c r="AD214" s="335">
        <f t="shared" si="89"/>
        <v>834.7110133333332</v>
      </c>
      <c r="AE214" s="335">
        <f>MIN(Paper!I50,Paper!H50)</f>
        <v>-3.2909939654709888</v>
      </c>
      <c r="AF214" s="335">
        <f t="shared" si="90"/>
        <v>1256.8140731168446</v>
      </c>
      <c r="AI214" s="609">
        <f t="shared" si="70"/>
        <v>2058</v>
      </c>
      <c r="AJ214" s="335">
        <f t="shared" si="71"/>
        <v>109.67997804446372</v>
      </c>
      <c r="AK214" s="335">
        <f t="shared" si="72"/>
        <v>-29.551849787960151</v>
      </c>
      <c r="AL214" s="335">
        <f t="shared" si="73"/>
        <v>17.763778411280299</v>
      </c>
      <c r="AM214" s="335">
        <f t="shared" si="74"/>
        <v>176.49701546711492</v>
      </c>
      <c r="AN214" s="335">
        <f t="shared" si="75"/>
        <v>93.452264668889597</v>
      </c>
      <c r="AO214" s="335">
        <f t="shared" si="76"/>
        <v>0</v>
      </c>
      <c r="AP214" s="335">
        <f t="shared" si="77"/>
        <v>76.827765878597461</v>
      </c>
      <c r="AS214" s="609">
        <f>Y214</f>
        <v>2058</v>
      </c>
      <c r="AT214" s="335">
        <f t="shared" si="49"/>
        <v>530.35309614534515</v>
      </c>
      <c r="AU214" s="335">
        <f t="shared" si="50"/>
        <v>612.77930575005428</v>
      </c>
      <c r="AV214" s="335">
        <f t="shared" si="51"/>
        <v>834.7110133333332</v>
      </c>
      <c r="AW214" s="335">
        <f t="shared" si="52"/>
        <v>-3.2909939654709888</v>
      </c>
      <c r="AX214" s="335">
        <f t="shared" si="53"/>
        <v>1256.8140731168446</v>
      </c>
      <c r="AY214" s="335">
        <f t="shared" si="79"/>
        <v>444.66895268238591</v>
      </c>
      <c r="AZ214" s="335">
        <f t="shared" si="80"/>
        <v>0</v>
      </c>
    </row>
    <row r="215" spans="2:52" ht="14.4" x14ac:dyDescent="0.55000000000000004">
      <c r="B215" s="3">
        <v>2059</v>
      </c>
      <c r="C215" s="1205">
        <f t="shared" si="48"/>
        <v>644.26780410169852</v>
      </c>
      <c r="D215" s="1205">
        <f>'Food System Summary'!B57-'Food System Summary'!C57</f>
        <v>705.89760654561314</v>
      </c>
      <c r="E215" s="1205">
        <f t="shared" si="81"/>
        <v>1.0956586718311105</v>
      </c>
      <c r="F215" s="1205">
        <f t="shared" si="54"/>
        <v>0.28711110947520257</v>
      </c>
      <c r="G215" s="1205">
        <f t="shared" si="55"/>
        <v>120.58976540245187</v>
      </c>
      <c r="H215" s="1205">
        <f t="shared" si="82"/>
        <v>0.18717335343272348</v>
      </c>
      <c r="I215" s="1205">
        <f t="shared" si="56"/>
        <v>-182.21956784636649</v>
      </c>
      <c r="J215" s="1205">
        <f t="shared" si="57"/>
        <v>-0.28283202526383405</v>
      </c>
      <c r="K215" s="1205">
        <f t="shared" si="58"/>
        <v>-7.4114520020095345E-2</v>
      </c>
      <c r="N215" s="3">
        <v>2059</v>
      </c>
      <c r="O215" s="1205">
        <f t="shared" si="59"/>
        <v>936.29613148582291</v>
      </c>
      <c r="P215" s="1205">
        <f t="shared" si="60"/>
        <v>34.124911659142683</v>
      </c>
      <c r="Q215" s="1205">
        <f t="shared" si="61"/>
        <v>857.55957666666643</v>
      </c>
      <c r="R215" s="1205">
        <f t="shared" si="83"/>
        <v>78.736554819156481</v>
      </c>
      <c r="S215" s="1206">
        <f>Paper!E51</f>
        <v>839.96570260949193</v>
      </c>
      <c r="T215" s="1205">
        <f t="shared" si="62"/>
        <v>-17.593874057174503</v>
      </c>
      <c r="U215" s="1206">
        <f>Paper!I51</f>
        <v>9.4156117930513119</v>
      </c>
      <c r="V215" s="1205">
        <f t="shared" si="63"/>
        <v>0</v>
      </c>
      <c r="Y215" s="609">
        <f t="shared" si="85"/>
        <v>2059</v>
      </c>
      <c r="Z215" s="335">
        <f t="shared" si="64"/>
        <v>3722.1302215748697</v>
      </c>
      <c r="AA215" s="335">
        <f t="shared" si="86"/>
        <v>436.08014883536123</v>
      </c>
      <c r="AB215" s="335">
        <f t="shared" si="87"/>
        <v>541.64529299858157</v>
      </c>
      <c r="AC215" s="335">
        <f t="shared" si="88"/>
        <v>613.92107833994635</v>
      </c>
      <c r="AD215" s="335">
        <f t="shared" si="89"/>
        <v>857.55957666666643</v>
      </c>
      <c r="AE215" s="335">
        <f>MIN(Paper!I51,Paper!H51)</f>
        <v>-17.593874057174503</v>
      </c>
      <c r="AF215" s="335">
        <f t="shared" si="90"/>
        <v>1263.5085129412628</v>
      </c>
      <c r="AI215" s="609">
        <f t="shared" si="70"/>
        <v>2059</v>
      </c>
      <c r="AJ215" s="335">
        <f t="shared" si="71"/>
        <v>112.43924421521456</v>
      </c>
      <c r="AK215" s="335">
        <f t="shared" si="72"/>
        <v>-29.024932652954874</v>
      </c>
      <c r="AL215" s="335">
        <f t="shared" si="73"/>
        <v>19.208199540857294</v>
      </c>
      <c r="AM215" s="335">
        <f t="shared" si="74"/>
        <v>175.83326367589743</v>
      </c>
      <c r="AN215" s="335">
        <f t="shared" si="75"/>
        <v>88.303431030241768</v>
      </c>
      <c r="AO215" s="335">
        <f t="shared" si="76"/>
        <v>0</v>
      </c>
      <c r="AP215" s="335">
        <f t="shared" si="77"/>
        <v>69.320943026105084</v>
      </c>
      <c r="AS215" s="609">
        <f>Y215</f>
        <v>2059</v>
      </c>
      <c r="AT215" s="335">
        <f t="shared" si="49"/>
        <v>541.64529299858157</v>
      </c>
      <c r="AU215" s="335">
        <f t="shared" si="50"/>
        <v>613.92107833994635</v>
      </c>
      <c r="AV215" s="335">
        <f t="shared" si="51"/>
        <v>857.55957666666643</v>
      </c>
      <c r="AW215" s="335">
        <f t="shared" si="52"/>
        <v>-17.593874057174503</v>
      </c>
      <c r="AX215" s="335">
        <f t="shared" si="53"/>
        <v>1263.5085129412628</v>
      </c>
      <c r="AY215" s="335">
        <f t="shared" si="79"/>
        <v>436.08014883536123</v>
      </c>
      <c r="AZ215" s="335">
        <f t="shared" si="80"/>
        <v>0</v>
      </c>
    </row>
    <row r="216" spans="2:52" ht="14.4" x14ac:dyDescent="0.55000000000000004">
      <c r="B216" s="3">
        <v>2060</v>
      </c>
      <c r="C216" s="1205">
        <f t="shared" si="48"/>
        <v>660.4283237427544</v>
      </c>
      <c r="D216" s="1205">
        <f>'Food System Summary'!B58-'Food System Summary'!C58</f>
        <v>707.81837004232466</v>
      </c>
      <c r="E216" s="1205">
        <f>D216/C216</f>
        <v>1.0717565322319964</v>
      </c>
      <c r="F216" s="1205">
        <f t="shared" si="54"/>
        <v>0.28483394335606493</v>
      </c>
      <c r="G216" s="1205">
        <f t="shared" si="55"/>
        <v>127.35142140553832</v>
      </c>
      <c r="H216" s="1205">
        <f t="shared" si="82"/>
        <v>0.19283155616921024</v>
      </c>
      <c r="I216" s="1205">
        <f t="shared" si="56"/>
        <v>-174.74146770510856</v>
      </c>
      <c r="J216" s="1205">
        <f t="shared" si="57"/>
        <v>-0.26458808840120657</v>
      </c>
      <c r="K216" s="1205">
        <f t="shared" si="58"/>
        <v>-7.0317899931441968E-2</v>
      </c>
      <c r="N216" s="3">
        <v>2060</v>
      </c>
      <c r="O216" s="1205">
        <f t="shared" si="59"/>
        <v>951.58079278820219</v>
      </c>
      <c r="P216" s="1205">
        <f t="shared" si="60"/>
        <v>35.335512697836059</v>
      </c>
      <c r="Q216" s="1205">
        <f t="shared" si="61"/>
        <v>880.92939999999987</v>
      </c>
      <c r="R216" s="1205">
        <f t="shared" si="83"/>
        <v>70.651392788202315</v>
      </c>
      <c r="S216" s="1206">
        <f>Paper!E52</f>
        <v>848.55787966948071</v>
      </c>
      <c r="T216" s="1205">
        <f t="shared" si="62"/>
        <v>-32.371520330519161</v>
      </c>
      <c r="U216" s="1206">
        <f>Paper!I52</f>
        <v>9.2949260145077233</v>
      </c>
      <c r="V216" s="1205">
        <f t="shared" si="63"/>
        <v>0</v>
      </c>
      <c r="Y216" s="609">
        <f t="shared" si="85"/>
        <v>2060</v>
      </c>
      <c r="Z216" s="335">
        <f t="shared" si="64"/>
        <v>3755.1180285792939</v>
      </c>
      <c r="AA216" s="335">
        <f t="shared" si="86"/>
        <v>426.847539033163</v>
      </c>
      <c r="AB216" s="335">
        <f t="shared" si="87"/>
        <v>553.00685259893748</v>
      </c>
      <c r="AC216" s="335">
        <f t="shared" si="88"/>
        <v>614.94242029233385</v>
      </c>
      <c r="AD216" s="335">
        <f t="shared" si="89"/>
        <v>880.92939999999987</v>
      </c>
      <c r="AE216" s="335">
        <f>MIN(Paper!I52,Paper!H52)</f>
        <v>-32.371520330519161</v>
      </c>
      <c r="AF216" s="335">
        <f t="shared" si="90"/>
        <v>1270.0968906403518</v>
      </c>
      <c r="AI216" s="609">
        <f t="shared" si="70"/>
        <v>2060</v>
      </c>
      <c r="AJ216" s="335">
        <f t="shared" si="71"/>
        <v>115.12966340035666</v>
      </c>
      <c r="AK216" s="335">
        <f t="shared" si="72"/>
        <v>-28.422441703187872</v>
      </c>
      <c r="AL216" s="335">
        <f t="shared" si="73"/>
        <v>20.714249446648139</v>
      </c>
      <c r="AM216" s="335">
        <f t="shared" si="74"/>
        <v>174.94091797548677</v>
      </c>
      <c r="AN216" s="335">
        <f t="shared" si="75"/>
        <v>83.128683140164867</v>
      </c>
      <c r="AO216" s="335">
        <f t="shared" si="76"/>
        <v>0</v>
      </c>
      <c r="AP216" s="335">
        <f t="shared" si="77"/>
        <v>61.35646677369445</v>
      </c>
      <c r="AS216" s="609">
        <f>Y216</f>
        <v>2060</v>
      </c>
      <c r="AT216" s="335">
        <f t="shared" si="49"/>
        <v>553.00685259893748</v>
      </c>
      <c r="AU216" s="335">
        <f t="shared" si="50"/>
        <v>614.94242029233385</v>
      </c>
      <c r="AV216" s="335">
        <f t="shared" si="51"/>
        <v>880.92939999999987</v>
      </c>
      <c r="AW216" s="335">
        <f t="shared" si="52"/>
        <v>-32.371520330519161</v>
      </c>
      <c r="AX216" s="335">
        <f t="shared" si="53"/>
        <v>1270.0968906403518</v>
      </c>
      <c r="AY216" s="335">
        <f t="shared" si="79"/>
        <v>426.847539033163</v>
      </c>
      <c r="AZ216" s="335">
        <f t="shared" si="80"/>
        <v>0</v>
      </c>
    </row>
    <row r="218" spans="2:52" x14ac:dyDescent="0.4">
      <c r="AR218" s="609"/>
    </row>
    <row r="219" spans="2:52" x14ac:dyDescent="0.4">
      <c r="AR219" s="609"/>
    </row>
  </sheetData>
  <mergeCells count="30">
    <mergeCell ref="AY3:BB3"/>
    <mergeCell ref="BD3:BG3"/>
    <mergeCell ref="P4:X4"/>
    <mergeCell ref="C3:L3"/>
    <mergeCell ref="N3:X3"/>
    <mergeCell ref="AA3:AK3"/>
    <mergeCell ref="AM3:AW3"/>
    <mergeCell ref="AD57:AE57"/>
    <mergeCell ref="AG57:AH57"/>
    <mergeCell ref="AK57:AN57"/>
    <mergeCell ref="B57:C57"/>
    <mergeCell ref="E57:F57"/>
    <mergeCell ref="H57:I57"/>
    <mergeCell ref="L57:M57"/>
    <mergeCell ref="Q57:R57"/>
    <mergeCell ref="T57:U57"/>
    <mergeCell ref="W57:Y57"/>
    <mergeCell ref="AA57:AB57"/>
    <mergeCell ref="AE110:AI110"/>
    <mergeCell ref="AK110:AT110"/>
    <mergeCell ref="B167:K167"/>
    <mergeCell ref="N167:V167"/>
    <mergeCell ref="Y167:AF167"/>
    <mergeCell ref="AI167:AP167"/>
    <mergeCell ref="AS167:AZ167"/>
    <mergeCell ref="B110:D110"/>
    <mergeCell ref="F110:H110"/>
    <mergeCell ref="J110:N110"/>
    <mergeCell ref="P110:S110"/>
    <mergeCell ref="V110:AC110"/>
  </mergeCells>
  <pageMargins left="0.7" right="0.7" top="0.75" bottom="0.75" header="0.3" footer="0.3"/>
  <cellWatches>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Z174"/>
    <cellWatch r="AZ175"/>
    <cellWatch r="AZ176"/>
    <cellWatch r="AZ177"/>
    <cellWatch r="AZ137"/>
    <cellWatch r="AZ138"/>
    <cellWatch r="AZ139"/>
    <cellWatch r="AZ140"/>
    <cellWatch r="AZ141"/>
    <cellWatch r="AZ142"/>
    <cellWatch r="AZ143"/>
    <cellWatch r="AZ144"/>
    <cellWatch r="AZ131"/>
    <cellWatch r="AZ132"/>
    <cellWatch r="AZ133"/>
    <cellWatch r="AZ134"/>
    <cellWatch r="AZ135"/>
    <cellWatch r="AZ136"/>
    <cellWatch r="AY142"/>
    <cellWatch r="AY143"/>
    <cellWatch r="AY144"/>
    <cellWatch r="AY145"/>
    <cellWatch r="AY146"/>
    <cellWatch r="AY147"/>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Z204"/>
    <cellWatch r="AZ205"/>
    <cellWatch r="AZ206"/>
    <cellWatch r="AZ207"/>
    <cellWatch r="AZ208"/>
    <cellWatch r="AZ209"/>
    <cellWatch r="AZ210"/>
    <cellWatch r="AZ21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BA131"/>
    <cellWatch r="BA132"/>
    <cellWatch r="BA133"/>
    <cellWatch r="BA134"/>
    <cellWatch r="BA135"/>
    <cellWatch r="BA136"/>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AZ234"/>
    <cellWatch r="AZ235"/>
    <cellWatch r="AZ236"/>
    <cellWatch r="AZ237"/>
    <cellWatch r="AY133"/>
    <cellWatch r="AY134"/>
    <cellWatch r="AY135"/>
    <cellWatch r="AY136"/>
    <cellWatch r="AY137"/>
    <cellWatch r="AY138"/>
    <cellWatch r="AY139"/>
    <cellWatch r="AY140"/>
    <cellWatch r="AY141"/>
    <cellWatch r="AZ288"/>
    <cellWatch r="AZ289"/>
    <cellWatch r="AZ290"/>
    <cellWatch r="AZ291"/>
    <cellWatch r="AZ292"/>
    <cellWatch r="AZ293"/>
    <cellWatch r="AZ294"/>
    <cellWatch r="AZ295"/>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BB131"/>
    <cellWatch r="BB132"/>
    <cellWatch r="BB133"/>
    <cellWatch r="BB134"/>
    <cellWatch r="BB135"/>
    <cellWatch r="BB136"/>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AY129"/>
    <cellWatch r="AY130"/>
    <cellWatch r="AY131"/>
    <cellWatch r="AY132"/>
    <cellWatch r="BB166"/>
    <cellWatch r="AZ238"/>
    <cellWatch r="AY175"/>
    <cellWatch r="AY176"/>
    <cellWatch r="AY177"/>
    <cellWatch r="AY178"/>
    <cellWatch r="AY179"/>
    <cellWatch r="AY212"/>
    <cellWatch r="AY213"/>
    <cellWatch r="AY214"/>
    <cellWatch r="AY215"/>
    <cellWatch r="AY216"/>
    <cellWatch r="AY217"/>
    <cellWatch r="AY218"/>
    <cellWatch r="AY219"/>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X150"/>
    <cellWatch r="AX151"/>
    <cellWatch r="AX152"/>
    <cellWatch r="AX153"/>
    <cellWatch r="AX154"/>
    <cellWatch r="AX155"/>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Y296"/>
    <cellWatch r="AY297"/>
    <cellWatch r="AY298"/>
    <cellWatch r="AY299"/>
    <cellWatch r="AY300"/>
    <cellWatch r="AY301"/>
    <cellWatch r="AY302"/>
    <cellWatch r="AY303"/>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BA166"/>
    <cellWatch r="BA167"/>
    <cellWatch r="BA168"/>
    <cellWatch r="BA169"/>
    <cellWatch r="BA170"/>
    <cellWatch r="BA171"/>
    <cellWatch r="BA172"/>
    <cellWatch r="AY242"/>
    <cellWatch r="AY243"/>
    <cellWatch r="AY244"/>
    <cellWatch r="AY245"/>
    <cellWatch r="AY246"/>
    <cellWatch r="AX183"/>
    <cellWatch r="AX184"/>
    <cellWatch r="AX185"/>
    <cellWatch r="AX186"/>
    <cellWatch r="AX187"/>
    <cellWatch r="AZ314"/>
    <cellWatch r="BB167"/>
    <cellWatch r="AZ239"/>
    <cellWatch r="AY180"/>
    <cellWatch r="AZ178"/>
    <cellWatch r="AZ179"/>
    <cellWatch r="AZ180"/>
    <cellWatch r="AZ181"/>
    <cellWatch r="AZ182"/>
    <cellWatch r="AZ183"/>
    <cellWatch r="AZ184"/>
    <cellWatch r="AZ185"/>
    <cellWatch r="AZ186"/>
    <cellWatch r="AZ187"/>
    <cellWatch r="AZ188"/>
    <cellWatch r="AZ189"/>
    <cellWatch r="AZ190"/>
    <cellWatch r="AZ191"/>
    <cellWatch r="AZ192"/>
    <cellWatch r="AZ193"/>
    <cellWatch r="AZ194"/>
    <cellWatch r="AZ240"/>
    <cellWatch r="AZ241"/>
    <cellWatch r="AZ242"/>
    <cellWatch r="AZ245"/>
    <cellWatch r="AZ246"/>
    <cellWatch r="AZ247"/>
    <cellWatch r="AZ248"/>
    <cellWatch r="AZ249"/>
    <cellWatch r="AZ250"/>
    <cellWatch r="AZ251"/>
    <cellWatch r="AZ252"/>
    <cellWatch r="AZ253"/>
    <cellWatch r="AZ254"/>
    <cellWatch r="AZ255"/>
    <cellWatch r="AZ256"/>
    <cellWatch r="AZ257"/>
    <cellWatch r="AZ260"/>
    <cellWatch r="AZ261"/>
    <cellWatch r="AZ262"/>
    <cellWatch r="AZ263"/>
    <cellWatch r="AZ264"/>
    <cellWatch r="AZ265"/>
    <cellWatch r="AZ266"/>
    <cellWatch r="AZ267"/>
    <cellWatch r="AZ268"/>
    <cellWatch r="AZ269"/>
    <cellWatch r="AZ315"/>
    <cellWatch r="BB168"/>
    <cellWatch r="BB169"/>
    <cellWatch r="AZ243"/>
    <cellWatch r="AZ316"/>
    <cellWatch r="AZ317"/>
    <cellWatch r="AZ318"/>
    <cellWatch r="AZ319"/>
    <cellWatch r="BB170"/>
    <cellWatch r="AZ244"/>
    <cellWatch r="AY181"/>
    <cellWatch r="AY182"/>
    <cellWatch r="AY183"/>
    <cellWatch r="AY184"/>
    <cellWatch r="AY185"/>
    <cellWatch r="AZ320"/>
    <cellWatch r="BB171"/>
    <cellWatch r="AY186"/>
    <cellWatch r="AU142"/>
    <cellWatch r="AU143"/>
    <cellWatch r="AU144"/>
    <cellWatch r="AU145"/>
    <cellWatch r="AU146"/>
    <cellWatch r="AU147"/>
    <cellWatch r="AU148"/>
    <cellWatch r="AU149"/>
    <cellWatch r="AU150"/>
    <cellWatch r="AU151"/>
    <cellWatch r="AU152"/>
    <cellWatch r="AU153"/>
    <cellWatch r="AU154"/>
    <cellWatch r="AU155"/>
    <cellWatch r="AU156"/>
    <cellWatch r="AU157"/>
    <cellWatch r="AU158"/>
    <cellWatch r="AU159"/>
    <cellWatch r="AU160"/>
    <cellWatch r="AU161"/>
    <cellWatch r="AU162"/>
    <cellWatch r="AU163"/>
    <cellWatch r="AU164"/>
    <cellWatch r="AU165"/>
    <cellWatch r="AU166"/>
    <cellWatch r="AU167"/>
    <cellWatch r="AU168"/>
    <cellWatch r="AU169"/>
    <cellWatch r="AU170"/>
    <cellWatch r="AU171"/>
    <cellWatch r="AU172"/>
    <cellWatch r="AU173"/>
    <cellWatch r="AU174"/>
    <cellWatch r="AU175"/>
    <cellWatch r="AU176"/>
    <cellWatch r="AU222"/>
    <cellWatch r="AU223"/>
    <cellWatch r="AU224"/>
    <cellWatch r="AU225"/>
    <cellWatch r="AU226"/>
    <cellWatch r="AU227"/>
    <cellWatch r="AU228"/>
    <cellWatch r="AU229"/>
    <cellWatch r="AU230"/>
    <cellWatch r="AU231"/>
    <cellWatch r="AU232"/>
    <cellWatch r="AU233"/>
    <cellWatch r="AU234"/>
    <cellWatch r="AU235"/>
    <cellWatch r="AU236"/>
    <cellWatch r="AU237"/>
    <cellWatch r="AU238"/>
    <cellWatch r="AU239"/>
    <cellWatch r="AU240"/>
    <cellWatch r="AU241"/>
    <cellWatch r="AU242"/>
    <cellWatch r="AU243"/>
    <cellWatch r="AU244"/>
    <cellWatch r="AU245"/>
    <cellWatch r="AU246"/>
    <cellWatch r="AU247"/>
    <cellWatch r="AU248"/>
    <cellWatch r="AU249"/>
    <cellWatch r="AU250"/>
    <cellWatch r="AU251"/>
    <cellWatch r="AU177"/>
    <cellWatch r="AU178"/>
    <cellWatch r="AU179"/>
    <cellWatch r="AU180"/>
    <cellWatch r="AU181"/>
    <cellWatch r="AU217"/>
    <cellWatch r="AU218"/>
    <cellWatch r="AU219"/>
    <cellWatch r="AU220"/>
    <cellWatch r="AU221"/>
    <cellWatch r="AV142"/>
    <cellWatch r="AV143"/>
    <cellWatch r="AV144"/>
    <cellWatch r="AV145"/>
    <cellWatch r="AV146"/>
    <cellWatch r="AV147"/>
    <cellWatch r="AV148"/>
    <cellWatch r="AV149"/>
    <cellWatch r="AV150"/>
    <cellWatch r="AV151"/>
    <cellWatch r="AV152"/>
    <cellWatch r="AV153"/>
    <cellWatch r="AV154"/>
    <cellWatch r="AV155"/>
    <cellWatch r="AV156"/>
    <cellWatch r="AV157"/>
    <cellWatch r="AV158"/>
    <cellWatch r="AV159"/>
    <cellWatch r="AV160"/>
    <cellWatch r="AV161"/>
    <cellWatch r="AV162"/>
    <cellWatch r="AV163"/>
    <cellWatch r="AV164"/>
    <cellWatch r="AV165"/>
    <cellWatch r="AV166"/>
    <cellWatch r="AV167"/>
    <cellWatch r="AV168"/>
    <cellWatch r="AV169"/>
    <cellWatch r="AV170"/>
    <cellWatch r="AV171"/>
    <cellWatch r="AV172"/>
    <cellWatch r="AV173"/>
    <cellWatch r="AV174"/>
    <cellWatch r="AV175"/>
    <cellWatch r="AV176"/>
    <cellWatch r="AT153"/>
    <cellWatch r="AT154"/>
    <cellWatch r="AT155"/>
    <cellWatch r="AT156"/>
    <cellWatch r="AT157"/>
    <cellWatch r="AT158"/>
    <cellWatch r="AT159"/>
    <cellWatch r="AT160"/>
    <cellWatch r="AT161"/>
    <cellWatch r="AT162"/>
    <cellWatch r="AT163"/>
    <cellWatch r="AT164"/>
    <cellWatch r="AT165"/>
    <cellWatch r="AT166"/>
    <cellWatch r="AS167"/>
    <cellWatch r="AT168"/>
    <cellWatch r="AT169"/>
    <cellWatch r="AT170"/>
    <cellWatch r="AT171"/>
    <cellWatch r="AT172"/>
    <cellWatch r="AT173"/>
    <cellWatch r="AT174"/>
    <cellWatch r="AT175"/>
    <cellWatch r="AT176"/>
    <cellWatch r="AT177"/>
    <cellWatch r="AT178"/>
    <cellWatch r="AT179"/>
    <cellWatch r="AT180"/>
    <cellWatch r="AT181"/>
    <cellWatch r="AT182"/>
    <cellWatch r="AT183"/>
    <cellWatch r="AT184"/>
    <cellWatch r="AT185"/>
    <cellWatch r="AT186"/>
    <cellWatch r="AT187"/>
    <cellWatch r="AU301"/>
    <cellWatch r="AU302"/>
    <cellWatch r="AU303"/>
    <cellWatch r="AU304"/>
    <cellWatch r="AU305"/>
    <cellWatch r="AU306"/>
    <cellWatch r="AU307"/>
    <cellWatch r="AU308"/>
    <cellWatch r="AU309"/>
    <cellWatch r="AU310"/>
    <cellWatch r="AU311"/>
    <cellWatch r="AU312"/>
    <cellWatch r="AU313"/>
    <cellWatch r="AU314"/>
    <cellWatch r="AU315"/>
    <cellWatch r="AU316"/>
    <cellWatch r="AU317"/>
    <cellWatch r="AU318"/>
    <cellWatch r="AU319"/>
    <cellWatch r="AU320"/>
    <cellWatch r="AU321"/>
    <cellWatch r="AU322"/>
    <cellWatch r="AU323"/>
    <cellWatch r="AU324"/>
    <cellWatch r="AU325"/>
    <cellWatch r="AU326"/>
    <cellWatch r="AW142"/>
    <cellWatch r="AW143"/>
    <cellWatch r="AW145"/>
    <cellWatch r="AW146"/>
    <cellWatch r="AW147"/>
    <cellWatch r="AW148"/>
    <cellWatch r="AW149"/>
    <cellWatch r="AW150"/>
    <cellWatch r="AW151"/>
    <cellWatch r="AW152"/>
    <cellWatch r="AW153"/>
    <cellWatch r="AW154"/>
    <cellWatch r="AW155"/>
    <cellWatch r="AW156"/>
    <cellWatch r="AW157"/>
    <cellWatch r="AW158"/>
    <cellWatch r="AW159"/>
    <cellWatch r="AW160"/>
    <cellWatch r="AW161"/>
    <cellWatch r="AW162"/>
    <cellWatch r="AW163"/>
    <cellWatch r="AW164"/>
    <cellWatch r="AW165"/>
    <cellWatch r="AW166"/>
    <cellWatch r="AW167"/>
    <cellWatch r="AW168"/>
    <cellWatch r="AW169"/>
    <cellWatch r="AW170"/>
    <cellWatch r="AW171"/>
    <cellWatch r="AW172"/>
    <cellWatch r="AW173"/>
    <cellWatch r="AW174"/>
    <cellWatch r="AW175"/>
    <cellWatch r="AW176"/>
    <cellWatch r="AW177"/>
    <cellWatch r="AU182"/>
    <cellWatch r="AU183"/>
    <cellWatch r="AT188"/>
    <cellWatch r="AT189"/>
    <cellWatch r="AT190"/>
    <cellWatch r="AT191"/>
    <cellWatch r="AT192"/>
    <cellWatch r="AU140"/>
    <cellWatch r="AU141"/>
    <cellWatch r="AT149"/>
    <cellWatch r="AT150"/>
    <cellWatch r="AT151"/>
    <cellWatch r="AT152"/>
    <cellWatch r="AU138"/>
    <cellWatch r="AU139"/>
    <cellWatch r="AU213"/>
    <cellWatch r="AU214"/>
    <cellWatch r="AU215"/>
    <cellWatch r="AU216"/>
    <cellWatch r="AV138"/>
    <cellWatch r="AV139"/>
    <cellWatch r="AV140"/>
    <cellWatch r="AV141"/>
    <cellWatch r="AT140"/>
    <cellWatch r="AT141"/>
    <cellWatch r="AT142"/>
    <cellWatch r="AT143"/>
    <cellWatch r="AT144"/>
    <cellWatch r="AT145"/>
    <cellWatch r="AT146"/>
    <cellWatch r="AT147"/>
    <cellWatch r="AT148"/>
    <cellWatch r="AU297"/>
    <cellWatch r="AU298"/>
    <cellWatch r="AU299"/>
    <cellWatch r="AU300"/>
    <cellWatch r="AW138"/>
    <cellWatch r="AW139"/>
    <cellWatch r="AW140"/>
    <cellWatch r="AW141"/>
    <cellWatch r="AW144"/>
    <cellWatch r="AT136"/>
    <cellWatch r="AT137"/>
    <cellWatch r="AT138"/>
    <cellWatch r="AT139"/>
    <cellWatch r="AZ321"/>
    <cellWatch r="BB172"/>
    <cellWatch r="AY187"/>
  </cellWatches>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18B20-C682-4574-9562-38998E37B6D9}">
  <dimension ref="A3:CD216"/>
  <sheetViews>
    <sheetView topLeftCell="A37" zoomScale="70" zoomScaleNormal="70" workbookViewId="0">
      <selection activeCell="O57" sqref="O57"/>
    </sheetView>
  </sheetViews>
  <sheetFormatPr defaultColWidth="10.6640625" defaultRowHeight="12.3" x14ac:dyDescent="0.4"/>
  <cols>
    <col min="1" max="3" width="10.6640625" style="609"/>
    <col min="4" max="5" width="11.1640625" style="609" bestFit="1" customWidth="1"/>
    <col min="6" max="6" width="12.33203125" style="609" bestFit="1" customWidth="1"/>
    <col min="7" max="8" width="11.1640625" style="609" bestFit="1" customWidth="1"/>
    <col min="9" max="19" width="10.6640625" style="609"/>
    <col min="20" max="20" width="11.5" style="609" customWidth="1"/>
    <col min="21" max="16384" width="10.6640625" style="609"/>
  </cols>
  <sheetData>
    <row r="3" spans="1:82" ht="200.05" customHeight="1" x14ac:dyDescent="0.75">
      <c r="A3" s="336" t="s">
        <v>121</v>
      </c>
      <c r="C3" s="1276" t="s">
        <v>457</v>
      </c>
      <c r="D3" s="1276"/>
      <c r="E3" s="1276"/>
      <c r="F3" s="1276"/>
      <c r="G3" s="1276"/>
      <c r="H3" s="1276"/>
      <c r="I3" s="1276"/>
      <c r="J3" s="1276"/>
      <c r="K3" s="1276"/>
      <c r="L3" s="1276"/>
      <c r="N3" s="1276" t="s">
        <v>458</v>
      </c>
      <c r="O3" s="1276"/>
      <c r="P3" s="1276"/>
      <c r="Q3" s="1276"/>
      <c r="R3" s="1276"/>
      <c r="S3" s="1276"/>
      <c r="T3" s="1276"/>
      <c r="U3" s="1276"/>
      <c r="V3" s="1276"/>
      <c r="W3" s="1276"/>
      <c r="X3" s="1276"/>
      <c r="AA3" s="1276" t="s">
        <v>459</v>
      </c>
      <c r="AB3" s="1276"/>
      <c r="AC3" s="1276"/>
      <c r="AD3" s="1276"/>
      <c r="AE3" s="1276"/>
      <c r="AF3" s="1276"/>
      <c r="AG3" s="1276"/>
      <c r="AH3" s="1276"/>
      <c r="AI3" s="1276"/>
      <c r="AJ3" s="1276"/>
      <c r="AK3" s="1276"/>
      <c r="AM3" s="1276" t="s">
        <v>460</v>
      </c>
      <c r="AN3" s="1276"/>
      <c r="AO3" s="1276"/>
      <c r="AP3" s="1276"/>
      <c r="AQ3" s="1276"/>
      <c r="AR3" s="1276"/>
      <c r="AS3" s="1276"/>
      <c r="AT3" s="1276"/>
      <c r="AU3" s="1276"/>
      <c r="AV3" s="1276"/>
      <c r="AW3" s="1276"/>
      <c r="AY3" s="1275" t="s">
        <v>1067</v>
      </c>
      <c r="AZ3" s="1276"/>
      <c r="BA3" s="1276"/>
      <c r="BB3" s="1276"/>
      <c r="BD3" s="1275" t="s">
        <v>465</v>
      </c>
      <c r="BE3" s="1276"/>
      <c r="BF3" s="1276"/>
      <c r="BG3" s="1276"/>
    </row>
    <row r="4" spans="1:82" x14ac:dyDescent="0.4">
      <c r="P4" s="1282" t="s">
        <v>1052</v>
      </c>
      <c r="Q4" s="1282"/>
      <c r="R4" s="1282"/>
      <c r="S4" s="1282"/>
      <c r="T4" s="1282"/>
      <c r="U4" s="1282"/>
      <c r="V4" s="1282"/>
      <c r="W4" s="1282"/>
      <c r="X4" s="1282"/>
      <c r="AY4" s="1" t="s">
        <v>145</v>
      </c>
    </row>
    <row r="5" spans="1:82" x14ac:dyDescent="0.4">
      <c r="B5" s="1" t="s">
        <v>117</v>
      </c>
      <c r="N5" s="1" t="s">
        <v>120</v>
      </c>
      <c r="P5" s="1246">
        <v>0.3923628847237593</v>
      </c>
      <c r="Q5" s="1246">
        <v>2.8208158898636228E-2</v>
      </c>
      <c r="R5" s="1246">
        <v>0.16053697893771696</v>
      </c>
      <c r="S5" s="1246">
        <v>0.28956111294522879</v>
      </c>
      <c r="T5" s="1246">
        <v>0.12904008783177426</v>
      </c>
      <c r="U5" s="1246">
        <v>0.13109840341779183</v>
      </c>
      <c r="V5" s="1246">
        <v>0.1618518300474058</v>
      </c>
      <c r="W5" s="1246">
        <v>0.12005863532819515</v>
      </c>
      <c r="X5" s="1246">
        <v>7.8882908327004189E-2</v>
      </c>
      <c r="AA5" s="1" t="s">
        <v>124</v>
      </c>
      <c r="AC5" s="1165">
        <v>0.29521194923138244</v>
      </c>
      <c r="AD5" s="1165">
        <v>4.7083317113059776E-2</v>
      </c>
      <c r="AE5" s="1165">
        <v>0.14491616365292201</v>
      </c>
      <c r="AF5" s="1165">
        <v>0.39560111045185731</v>
      </c>
      <c r="AG5" s="1165">
        <v>0.11718745955077833</v>
      </c>
      <c r="AM5" s="1" t="s">
        <v>122</v>
      </c>
      <c r="AY5" s="1" t="s">
        <v>123</v>
      </c>
      <c r="BA5" s="609" t="s">
        <v>462</v>
      </c>
    </row>
    <row r="6" spans="1:82" ht="15" x14ac:dyDescent="0.5">
      <c r="B6" s="2" t="s">
        <v>114</v>
      </c>
      <c r="C6" s="334" t="s">
        <v>115</v>
      </c>
      <c r="D6" s="2" t="s">
        <v>36</v>
      </c>
      <c r="E6" s="2" t="s">
        <v>44</v>
      </c>
      <c r="F6" s="2" t="s">
        <v>46</v>
      </c>
      <c r="G6" s="2" t="s">
        <v>49</v>
      </c>
      <c r="H6" s="2" t="s">
        <v>52</v>
      </c>
      <c r="I6" s="2" t="s">
        <v>55</v>
      </c>
      <c r="J6" s="2" t="s">
        <v>58</v>
      </c>
      <c r="K6" s="2" t="s">
        <v>60</v>
      </c>
      <c r="L6" s="2" t="s">
        <v>61</v>
      </c>
      <c r="N6" s="2" t="s">
        <v>114</v>
      </c>
      <c r="O6" s="334" t="s">
        <v>115</v>
      </c>
      <c r="P6" s="2" t="s">
        <v>36</v>
      </c>
      <c r="Q6" s="2" t="s">
        <v>44</v>
      </c>
      <c r="R6" s="2" t="s">
        <v>46</v>
      </c>
      <c r="S6" s="2" t="s">
        <v>49</v>
      </c>
      <c r="T6" s="2" t="s">
        <v>52</v>
      </c>
      <c r="U6" s="2" t="s">
        <v>55</v>
      </c>
      <c r="V6" s="2" t="s">
        <v>58</v>
      </c>
      <c r="W6" s="2" t="s">
        <v>60</v>
      </c>
      <c r="X6" s="2" t="s">
        <v>61</v>
      </c>
      <c r="AA6" s="2" t="s">
        <v>114</v>
      </c>
      <c r="AB6" s="334" t="s">
        <v>115</v>
      </c>
      <c r="AC6" s="2" t="s">
        <v>36</v>
      </c>
      <c r="AD6" s="2" t="s">
        <v>44</v>
      </c>
      <c r="AE6" s="2" t="s">
        <v>46</v>
      </c>
      <c r="AF6" s="2" t="s">
        <v>49</v>
      </c>
      <c r="AG6" s="2" t="s">
        <v>52</v>
      </c>
      <c r="AH6" s="2" t="s">
        <v>55</v>
      </c>
      <c r="AI6" s="2" t="s">
        <v>58</v>
      </c>
      <c r="AJ6" s="2" t="s">
        <v>60</v>
      </c>
      <c r="AK6" s="2" t="s">
        <v>61</v>
      </c>
      <c r="AM6" s="2" t="s">
        <v>114</v>
      </c>
      <c r="AN6" s="334" t="s">
        <v>115</v>
      </c>
      <c r="AO6" s="2" t="s">
        <v>36</v>
      </c>
      <c r="AP6" s="2" t="s">
        <v>44</v>
      </c>
      <c r="AQ6" s="2" t="s">
        <v>46</v>
      </c>
      <c r="AR6" s="2" t="s">
        <v>49</v>
      </c>
      <c r="AS6" s="2" t="s">
        <v>52</v>
      </c>
      <c r="AT6" s="2" t="s">
        <v>55</v>
      </c>
      <c r="AU6" s="2" t="s">
        <v>58</v>
      </c>
      <c r="AV6" s="2" t="s">
        <v>60</v>
      </c>
      <c r="AW6" s="2" t="s">
        <v>61</v>
      </c>
      <c r="AY6" s="2" t="s">
        <v>114</v>
      </c>
      <c r="AZ6" s="334" t="s">
        <v>115</v>
      </c>
      <c r="BA6" s="625" t="s">
        <v>461</v>
      </c>
      <c r="BB6" s="730" t="s">
        <v>1066</v>
      </c>
      <c r="BD6" s="2" t="s">
        <v>114</v>
      </c>
      <c r="BE6" s="334" t="s">
        <v>156</v>
      </c>
      <c r="BF6" s="334" t="s">
        <v>157</v>
      </c>
      <c r="BG6" s="334" t="s">
        <v>158</v>
      </c>
    </row>
    <row r="7" spans="1:82" ht="14.4" x14ac:dyDescent="0.55000000000000004">
      <c r="B7" s="3">
        <v>2014</v>
      </c>
      <c r="C7" s="707">
        <v>1773.3333333333333</v>
      </c>
      <c r="D7" s="965">
        <v>531.34132420091328</v>
      </c>
      <c r="E7" s="965">
        <v>176.93333333333334</v>
      </c>
      <c r="F7" s="965">
        <v>747.38515981735168</v>
      </c>
      <c r="G7" s="965">
        <v>255.31210045662093</v>
      </c>
      <c r="H7" s="965">
        <v>223.56415525114156</v>
      </c>
      <c r="I7" s="965">
        <v>187.34498425204768</v>
      </c>
      <c r="J7" s="965">
        <v>142.35164391935592</v>
      </c>
      <c r="K7" s="965">
        <v>240.31441209510257</v>
      </c>
      <c r="L7" s="965">
        <v>234.41660400000001</v>
      </c>
      <c r="M7" s="968"/>
      <c r="N7" s="3">
        <v>2014</v>
      </c>
      <c r="O7" s="707">
        <f>C7*Compost!J6/100</f>
        <v>804.14197831832109</v>
      </c>
      <c r="P7" s="1116">
        <f>O7*$P$5</f>
        <v>315.51546634044718</v>
      </c>
      <c r="Q7" s="1116">
        <f t="shared" ref="Q7:Q8" si="0">O7*$Q$5</f>
        <v>22.683364701466889</v>
      </c>
      <c r="R7" s="1116">
        <f t="shared" ref="R7:R8" si="1">O7*$R$5</f>
        <v>129.09452383622235</v>
      </c>
      <c r="S7" s="1116">
        <f t="shared" ref="S7:S8" si="2">O7*$S$5</f>
        <v>232.8482462078311</v>
      </c>
      <c r="T7" s="1116">
        <f t="shared" ref="T7:T8" si="3">O7*$T$5</f>
        <v>103.76655151141287</v>
      </c>
      <c r="U7" s="1116">
        <f t="shared" ref="U7:U8" si="4">O7*$U$5</f>
        <v>105.42172947875648</v>
      </c>
      <c r="V7" s="1116">
        <f t="shared" ref="V7:V8" si="5">O7*$V$5</f>
        <v>130.15185080876159</v>
      </c>
      <c r="W7" s="1116">
        <f t="shared" ref="W7:W8" si="6">O7*$W$5</f>
        <v>96.544188527012722</v>
      </c>
      <c r="X7" s="1116">
        <f t="shared" ref="X7:X8" si="7">O7*$X$5</f>
        <v>63.433057957579912</v>
      </c>
      <c r="AA7" s="3">
        <v>2014</v>
      </c>
      <c r="AB7" s="707">
        <f>C7*'H&amp;C Recycling'!M4/100</f>
        <v>627.40533333333326</v>
      </c>
      <c r="AC7" s="1129">
        <f t="shared" ref="AC7:AC53" si="8">AB7*$AC$5</f>
        <v>185.21755141149856</v>
      </c>
      <c r="AD7" s="1129">
        <f t="shared" ref="AD7:AD53" si="9">AB7*$AD$5</f>
        <v>29.540324267758304</v>
      </c>
      <c r="AE7" s="1129">
        <f t="shared" ref="AE7:AE53" si="10">AB7*$AE$5</f>
        <v>90.921173962049409</v>
      </c>
      <c r="AF7" s="1129">
        <f t="shared" ref="AF7:AF53" si="11">AB7*$AF$5</f>
        <v>248.20224657008433</v>
      </c>
      <c r="AG7" s="1129">
        <f t="shared" ref="AG7:AG53" si="12">AB7*$AG$5</f>
        <v>73.524037121942584</v>
      </c>
      <c r="AH7" s="2"/>
      <c r="AI7" s="2"/>
      <c r="AJ7" s="2"/>
      <c r="AK7" s="2"/>
      <c r="AM7" s="3">
        <v>2014</v>
      </c>
      <c r="AN7" s="707">
        <f>C7-O7-AB7</f>
        <v>341.7860216816789</v>
      </c>
      <c r="AO7" s="528">
        <f t="shared" ref="AO7:AT22" si="13">D7-P7-AC7</f>
        <v>30.608306448967539</v>
      </c>
      <c r="AP7" s="528">
        <f t="shared" si="13"/>
        <v>124.70964436410813</v>
      </c>
      <c r="AQ7" s="528">
        <f t="shared" si="13"/>
        <v>527.36946201907995</v>
      </c>
      <c r="AR7" s="528">
        <f t="shared" si="13"/>
        <v>-225.7383923212945</v>
      </c>
      <c r="AS7" s="528">
        <f t="shared" si="13"/>
        <v>46.273566617786102</v>
      </c>
      <c r="AT7" s="528">
        <f t="shared" si="13"/>
        <v>81.923254773291205</v>
      </c>
      <c r="AU7" s="528"/>
      <c r="AV7" s="528"/>
      <c r="AW7" s="528"/>
      <c r="AY7" s="3">
        <v>2014</v>
      </c>
      <c r="AZ7" s="707">
        <f>C7*Bioplastics!AL12</f>
        <v>241.19999999999996</v>
      </c>
      <c r="BD7" s="3">
        <v>2014</v>
      </c>
      <c r="BE7" s="1131">
        <f t="shared" ref="BE7:BE53" si="14">O7/C7</f>
        <v>0.45346352160807585</v>
      </c>
      <c r="BF7" s="1131">
        <f t="shared" ref="BF7:BF53" si="15">AB7/C7</f>
        <v>0.35379999999999995</v>
      </c>
      <c r="BG7" s="1131">
        <f t="shared" ref="BG7:BG53" si="16">AN7/C7</f>
        <v>0.1927364783919242</v>
      </c>
    </row>
    <row r="8" spans="1:82" ht="14.4" x14ac:dyDescent="0.55000000000000004">
      <c r="B8" s="3">
        <v>2015</v>
      </c>
      <c r="C8" s="707">
        <v>1891.6666666666667</v>
      </c>
      <c r="D8" s="965">
        <v>536.51495433789955</v>
      </c>
      <c r="E8" s="965">
        <v>178.23333333333335</v>
      </c>
      <c r="F8" s="965">
        <v>763.63413242009142</v>
      </c>
      <c r="G8" s="965">
        <v>269.2521689497716</v>
      </c>
      <c r="H8" s="965">
        <v>227.61244292237444</v>
      </c>
      <c r="I8" s="965">
        <v>198.67249212602385</v>
      </c>
      <c r="J8" s="965">
        <v>155.37582195967795</v>
      </c>
      <c r="K8" s="965">
        <v>240.6021865475513</v>
      </c>
      <c r="L8" s="965">
        <v>237.78226035</v>
      </c>
      <c r="M8" s="968"/>
      <c r="N8" s="3">
        <v>2015</v>
      </c>
      <c r="O8" s="1170">
        <f>C8*Compost!J7/100</f>
        <v>862.10382892596351</v>
      </c>
      <c r="P8" s="1116">
        <f t="shared" ref="P8" si="17">O8*$P$5</f>
        <v>338.25754524878931</v>
      </c>
      <c r="Q8" s="1116">
        <f t="shared" si="0"/>
        <v>24.318361793466284</v>
      </c>
      <c r="R8" s="1116">
        <f t="shared" si="1"/>
        <v>138.39954422641256</v>
      </c>
      <c r="S8" s="1116">
        <f t="shared" si="2"/>
        <v>249.63174417814511</v>
      </c>
      <c r="T8" s="1116">
        <f t="shared" si="3"/>
        <v>111.24595380471523</v>
      </c>
      <c r="U8" s="1116">
        <f t="shared" si="4"/>
        <v>113.02043555255896</v>
      </c>
      <c r="V8" s="1116">
        <f t="shared" si="5"/>
        <v>139.53308240254285</v>
      </c>
      <c r="W8" s="1116">
        <f t="shared" si="6"/>
        <v>103.50300921206299</v>
      </c>
      <c r="X8" s="1116">
        <f t="shared" si="7"/>
        <v>68.005257305526086</v>
      </c>
      <c r="AA8" s="3">
        <v>2015</v>
      </c>
      <c r="AB8" s="707">
        <f>C8*'H&amp;C Recycling'!M5/100</f>
        <v>665.67750000000001</v>
      </c>
      <c r="AC8" s="1129">
        <f t="shared" si="8"/>
        <v>196.51595233447358</v>
      </c>
      <c r="AD8" s="1129">
        <f t="shared" si="9"/>
        <v>31.342304827528849</v>
      </c>
      <c r="AE8" s="1129">
        <f t="shared" si="10"/>
        <v>96.467429530067989</v>
      </c>
      <c r="AF8" s="1129">
        <f t="shared" si="11"/>
        <v>263.34275820281624</v>
      </c>
      <c r="AG8" s="1129">
        <f t="shared" si="12"/>
        <v>78.009055105113248</v>
      </c>
      <c r="AH8" s="2"/>
      <c r="AI8" s="2"/>
      <c r="AJ8" s="2"/>
      <c r="AK8" s="2"/>
      <c r="AM8" s="3">
        <v>2015</v>
      </c>
      <c r="AN8" s="707">
        <f t="shared" ref="AN8:AT53" si="18">C8-O8-AB8</f>
        <v>363.88533774070333</v>
      </c>
      <c r="AO8" s="528">
        <f t="shared" si="13"/>
        <v>1.7414567546366584</v>
      </c>
      <c r="AP8" s="528">
        <f t="shared" si="13"/>
        <v>122.5726667123382</v>
      </c>
      <c r="AQ8" s="528">
        <f t="shared" si="13"/>
        <v>528.76715866361087</v>
      </c>
      <c r="AR8" s="528">
        <f t="shared" si="13"/>
        <v>-243.72233343118975</v>
      </c>
      <c r="AS8" s="528">
        <f t="shared" si="13"/>
        <v>38.357434012545966</v>
      </c>
      <c r="AT8" s="528">
        <f t="shared" si="13"/>
        <v>85.65205657346489</v>
      </c>
      <c r="AU8" s="528"/>
      <c r="AV8" s="528"/>
      <c r="AW8" s="528"/>
      <c r="AY8" s="3">
        <v>2015</v>
      </c>
      <c r="AZ8" s="707">
        <f>C8*Bioplastics!AL13</f>
        <v>249.73118971061089</v>
      </c>
      <c r="BD8" s="3">
        <v>2015</v>
      </c>
      <c r="BE8" s="1131">
        <f t="shared" si="14"/>
        <v>0.45573770692121418</v>
      </c>
      <c r="BF8" s="1131">
        <f t="shared" si="15"/>
        <v>0.35189999999999999</v>
      </c>
      <c r="BG8" s="1131">
        <f t="shared" si="16"/>
        <v>0.19236229307878588</v>
      </c>
      <c r="CD8" s="609">
        <v>2100</v>
      </c>
    </row>
    <row r="9" spans="1:82" ht="14.4" x14ac:dyDescent="0.55000000000000004">
      <c r="B9" s="3">
        <v>2016</v>
      </c>
      <c r="C9" s="707">
        <v>2009.9999999999998</v>
      </c>
      <c r="D9" s="965">
        <v>535.70000000000005</v>
      </c>
      <c r="E9" s="965">
        <v>178.2</v>
      </c>
      <c r="F9" s="965">
        <v>769.1</v>
      </c>
      <c r="G9" s="965">
        <v>302.39999999999998</v>
      </c>
      <c r="H9" s="965">
        <v>230.8</v>
      </c>
      <c r="I9" s="965">
        <v>210</v>
      </c>
      <c r="J9" s="965">
        <v>168.4</v>
      </c>
      <c r="K9" s="965">
        <v>240.889961</v>
      </c>
      <c r="L9" s="965">
        <v>242.05510170000002</v>
      </c>
      <c r="M9" s="968"/>
      <c r="N9" s="3">
        <v>2016</v>
      </c>
      <c r="O9" s="1170">
        <f>C9*Compost!J8/100</f>
        <v>924.59999999999991</v>
      </c>
      <c r="P9" s="1116">
        <f>O9*$P$5</f>
        <v>362.77872321558783</v>
      </c>
      <c r="Q9" s="1116">
        <f>O9*$Q$5</f>
        <v>26.081263717679054</v>
      </c>
      <c r="R9" s="1116">
        <f>O9*$R$5</f>
        <v>148.4324907258131</v>
      </c>
      <c r="S9" s="1116">
        <f>O9*$S$5</f>
        <v>267.72820502915852</v>
      </c>
      <c r="T9" s="1116">
        <f>O9*$T$5</f>
        <v>119.31046520925847</v>
      </c>
      <c r="U9" s="1116">
        <f>O9*$U$5</f>
        <v>121.21358380009032</v>
      </c>
      <c r="V9" s="1116">
        <f>O9*$V$5</f>
        <v>149.6482020618314</v>
      </c>
      <c r="W9" s="1116">
        <f>O9*$W$5</f>
        <v>111.00621422444922</v>
      </c>
      <c r="X9" s="1116">
        <f>O9*$X$5</f>
        <v>72.93513703914806</v>
      </c>
      <c r="AA9" s="3">
        <v>2016</v>
      </c>
      <c r="AB9" s="707">
        <f>C9*'H&amp;C Recycling'!M6/100</f>
        <v>703.49999999999989</v>
      </c>
      <c r="AC9" s="1129">
        <f t="shared" si="8"/>
        <v>207.68160628427751</v>
      </c>
      <c r="AD9" s="1129">
        <f t="shared" si="9"/>
        <v>33.123113589037544</v>
      </c>
      <c r="AE9" s="1129">
        <f t="shared" si="10"/>
        <v>101.94852112983061</v>
      </c>
      <c r="AF9" s="1129">
        <f t="shared" si="11"/>
        <v>278.30538120288156</v>
      </c>
      <c r="AG9" s="1129">
        <f t="shared" si="12"/>
        <v>82.441377793972549</v>
      </c>
      <c r="AH9" s="2"/>
      <c r="AI9" s="2"/>
      <c r="AJ9" s="2"/>
      <c r="AK9" s="2"/>
      <c r="AM9" s="3">
        <v>2016</v>
      </c>
      <c r="AN9" s="707">
        <f t="shared" si="18"/>
        <v>381.9</v>
      </c>
      <c r="AO9" s="528">
        <f t="shared" si="13"/>
        <v>-34.760329499865293</v>
      </c>
      <c r="AP9" s="528">
        <f t="shared" si="13"/>
        <v>118.99562269328338</v>
      </c>
      <c r="AQ9" s="528">
        <f t="shared" si="13"/>
        <v>518.71898814435633</v>
      </c>
      <c r="AR9" s="528">
        <f t="shared" si="13"/>
        <v>-243.6335862320401</v>
      </c>
      <c r="AS9" s="528">
        <f t="shared" si="13"/>
        <v>29.048156996768995</v>
      </c>
      <c r="AT9" s="528">
        <f t="shared" si="13"/>
        <v>88.786416199909681</v>
      </c>
      <c r="AU9" s="528"/>
      <c r="AV9" s="528"/>
      <c r="AW9" s="528"/>
      <c r="AY9" s="3">
        <v>2016</v>
      </c>
      <c r="AZ9" s="707">
        <f>C9*Bioplastics!AL14</f>
        <v>259.81350482315111</v>
      </c>
      <c r="BD9" s="3">
        <v>2016</v>
      </c>
      <c r="BE9" s="1131">
        <f t="shared" si="14"/>
        <v>0.46</v>
      </c>
      <c r="BF9" s="1131">
        <f t="shared" si="15"/>
        <v>0.35</v>
      </c>
      <c r="BG9" s="1131">
        <f t="shared" si="16"/>
        <v>0.19</v>
      </c>
      <c r="CD9" s="609">
        <f>CD8*0.44</f>
        <v>924</v>
      </c>
    </row>
    <row r="10" spans="1:82" ht="14.4" x14ac:dyDescent="0.55000000000000004">
      <c r="B10" s="3">
        <v>2017</v>
      </c>
      <c r="C10" s="707">
        <v>2111.0920259528007</v>
      </c>
      <c r="D10" s="965">
        <v>612.4452342779241</v>
      </c>
      <c r="E10" s="965">
        <v>147.97131501652729</v>
      </c>
      <c r="F10" s="965">
        <v>870.50337370220768</v>
      </c>
      <c r="G10" s="965">
        <v>286.76167414823118</v>
      </c>
      <c r="H10" s="965">
        <v>255.26964705259638</v>
      </c>
      <c r="I10" s="965">
        <v>221.32750787397617</v>
      </c>
      <c r="J10" s="965">
        <v>185.47971344525075</v>
      </c>
      <c r="K10" s="965">
        <v>241.17773545244873</v>
      </c>
      <c r="L10" s="965">
        <v>242.93507115</v>
      </c>
      <c r="M10" s="968"/>
      <c r="N10" s="3">
        <v>2017</v>
      </c>
      <c r="O10" s="1170">
        <f>C10*Compost!J9/100</f>
        <v>970.58688076320288</v>
      </c>
      <c r="P10" s="1116">
        <f t="shared" ref="P10:P53" si="19">O10*$P$5</f>
        <v>380.82226841128568</v>
      </c>
      <c r="Q10" s="1116">
        <f t="shared" ref="Q10:Q53" si="20">O10*$Q$5</f>
        <v>27.378468957500122</v>
      </c>
      <c r="R10" s="1116">
        <f t="shared" ref="R10:R53" si="21">O10*$R$5</f>
        <v>155.81508563430671</v>
      </c>
      <c r="S10" s="1116">
        <f t="shared" ref="S10:S53" si="22">O10*$S$5</f>
        <v>281.04421740383111</v>
      </c>
      <c r="T10" s="1116">
        <f t="shared" ref="T10:T53" si="23">O10*$T$5</f>
        <v>125.24461634205151</v>
      </c>
      <c r="U10" s="1116">
        <f t="shared" ref="U10:U53" si="24">O10*$U$5</f>
        <v>127.24239044631059</v>
      </c>
      <c r="V10" s="1116">
        <f t="shared" ref="V10:V53" si="25">O10*$V$5</f>
        <v>157.09126287152765</v>
      </c>
      <c r="W10" s="1116">
        <f t="shared" ref="W10:W53" si="26">O10*$W$5</f>
        <v>116.5273363718798</v>
      </c>
      <c r="X10" s="1116">
        <f t="shared" ref="X10:X53" si="27">O10*$X$5</f>
        <v>76.562715938636686</v>
      </c>
      <c r="AA10" s="3">
        <v>2017</v>
      </c>
      <c r="AB10" s="707">
        <f>C10*'H&amp;C Recycling'!M7/100</f>
        <v>734.87113423416997</v>
      </c>
      <c r="AC10" s="1129">
        <f t="shared" si="8"/>
        <v>216.94273997114621</v>
      </c>
      <c r="AD10" s="1129">
        <f t="shared" si="9"/>
        <v>34.600170650381344</v>
      </c>
      <c r="AE10" s="1129">
        <f t="shared" si="10"/>
        <v>106.49470555248739</v>
      </c>
      <c r="AF10" s="1129">
        <f t="shared" si="11"/>
        <v>290.71583674205351</v>
      </c>
      <c r="AG10" s="1129">
        <f t="shared" si="12"/>
        <v>86.11768131810139</v>
      </c>
      <c r="AH10" s="2"/>
      <c r="AI10" s="2"/>
      <c r="AJ10" s="2"/>
      <c r="AK10" s="2"/>
      <c r="AM10" s="3">
        <v>2017</v>
      </c>
      <c r="AN10" s="707">
        <f t="shared" si="18"/>
        <v>405.63401095542793</v>
      </c>
      <c r="AO10" s="528">
        <f t="shared" si="13"/>
        <v>14.680225895492214</v>
      </c>
      <c r="AP10" s="528">
        <f t="shared" si="13"/>
        <v>85.992675408645823</v>
      </c>
      <c r="AQ10" s="528">
        <f t="shared" si="13"/>
        <v>608.1935825154136</v>
      </c>
      <c r="AR10" s="528">
        <f t="shared" si="13"/>
        <v>-284.99837999765344</v>
      </c>
      <c r="AS10" s="528">
        <f t="shared" si="13"/>
        <v>43.907349392443464</v>
      </c>
      <c r="AT10" s="528">
        <f t="shared" si="13"/>
        <v>94.08511742766558</v>
      </c>
      <c r="AU10" s="528"/>
      <c r="AV10" s="528"/>
      <c r="AW10" s="528"/>
      <c r="AY10" s="3">
        <v>2017</v>
      </c>
      <c r="AZ10" s="707">
        <f>C10*Bioplastics!AL15</f>
        <v>268.34098638078581</v>
      </c>
      <c r="BD10" s="3">
        <v>2017</v>
      </c>
      <c r="BE10" s="1131">
        <f t="shared" si="14"/>
        <v>0.45975583670974607</v>
      </c>
      <c r="BF10" s="1131">
        <f t="shared" si="15"/>
        <v>0.34810000000000002</v>
      </c>
      <c r="BG10" s="1131">
        <f t="shared" si="16"/>
        <v>0.19214416329025394</v>
      </c>
    </row>
    <row r="11" spans="1:82" ht="14.4" x14ac:dyDescent="0.55000000000000004">
      <c r="B11" s="3">
        <v>2018</v>
      </c>
      <c r="C11" s="707">
        <v>2147.6619980403138</v>
      </c>
      <c r="D11" s="965">
        <v>616.65469522192245</v>
      </c>
      <c r="E11" s="965">
        <v>149.95467314588655</v>
      </c>
      <c r="F11" s="965">
        <v>894.12035425610475</v>
      </c>
      <c r="G11" s="965">
        <v>297.67525327476079</v>
      </c>
      <c r="H11" s="965">
        <v>260.88751696904802</v>
      </c>
      <c r="I11" s="965">
        <v>232.65501574795235</v>
      </c>
      <c r="J11" s="965">
        <v>200.44496071080712</v>
      </c>
      <c r="K11" s="965">
        <v>241.46550990489743</v>
      </c>
      <c r="L11" s="965">
        <v>262.80323360844432</v>
      </c>
      <c r="M11" s="968"/>
      <c r="N11" s="3">
        <v>2018</v>
      </c>
      <c r="O11" s="1170">
        <f>C11*Compost!J10/100</f>
        <v>991.19935384999405</v>
      </c>
      <c r="P11" s="1116">
        <f t="shared" si="19"/>
        <v>388.90983781290993</v>
      </c>
      <c r="Q11" s="1116">
        <f t="shared" si="20"/>
        <v>27.95990887362619</v>
      </c>
      <c r="R11" s="1116">
        <f t="shared" si="21"/>
        <v>159.12414979209515</v>
      </c>
      <c r="S11" s="1116">
        <f t="shared" si="22"/>
        <v>287.01278805139594</v>
      </c>
      <c r="T11" s="1116">
        <f t="shared" si="23"/>
        <v>127.90445167960112</v>
      </c>
      <c r="U11" s="1116">
        <f t="shared" si="24"/>
        <v>129.94465275848111</v>
      </c>
      <c r="V11" s="1116">
        <f t="shared" si="25"/>
        <v>160.42742936242769</v>
      </c>
      <c r="W11" s="1116">
        <f t="shared" si="26"/>
        <v>119.00204176141909</v>
      </c>
      <c r="X11" s="1116">
        <f t="shared" si="27"/>
        <v>78.188687763534872</v>
      </c>
      <c r="AA11" s="3">
        <v>2018</v>
      </c>
      <c r="AB11" s="707">
        <f>C11*'H&amp;C Recycling'!M8/100</f>
        <v>743.5205837215567</v>
      </c>
      <c r="AC11" s="1129">
        <f t="shared" si="8"/>
        <v>219.49616081409604</v>
      </c>
      <c r="AD11" s="1129">
        <f t="shared" si="9"/>
        <v>35.007415423449366</v>
      </c>
      <c r="AE11" s="1129">
        <f t="shared" si="10"/>
        <v>107.74815058990922</v>
      </c>
      <c r="AF11" s="1129">
        <f t="shared" si="11"/>
        <v>294.13756856406098</v>
      </c>
      <c r="AG11" s="1129">
        <f t="shared" si="12"/>
        <v>87.131288330041016</v>
      </c>
      <c r="AH11" s="2"/>
      <c r="AI11" s="2"/>
      <c r="AJ11" s="2"/>
      <c r="AK11" s="2"/>
      <c r="AM11" s="3">
        <v>2018</v>
      </c>
      <c r="AN11" s="707">
        <f t="shared" si="18"/>
        <v>412.94206046876297</v>
      </c>
      <c r="AO11" s="528">
        <f t="shared" si="13"/>
        <v>8.2486965949164812</v>
      </c>
      <c r="AP11" s="528">
        <f t="shared" si="13"/>
        <v>86.987348848810996</v>
      </c>
      <c r="AQ11" s="528">
        <f t="shared" si="13"/>
        <v>627.24805387410038</v>
      </c>
      <c r="AR11" s="528">
        <f t="shared" si="13"/>
        <v>-283.47510334069614</v>
      </c>
      <c r="AS11" s="528">
        <f t="shared" si="13"/>
        <v>45.851776959405882</v>
      </c>
      <c r="AT11" s="528">
        <f t="shared" si="13"/>
        <v>102.71036298947124</v>
      </c>
      <c r="AU11" s="528"/>
      <c r="AV11" s="528"/>
      <c r="AW11" s="528"/>
      <c r="AY11" s="3">
        <v>2018</v>
      </c>
      <c r="AZ11" s="707">
        <f>C11*Bioplastics!AL16</f>
        <v>276.74638293540414</v>
      </c>
      <c r="BD11" s="3">
        <v>2018</v>
      </c>
      <c r="BE11" s="1131">
        <f t="shared" si="14"/>
        <v>0.4615248371272751</v>
      </c>
      <c r="BF11" s="1131">
        <f t="shared" si="15"/>
        <v>0.34620000000000001</v>
      </c>
      <c r="BG11" s="1131">
        <f t="shared" si="16"/>
        <v>0.19227516287272484</v>
      </c>
    </row>
    <row r="12" spans="1:82" ht="14.4" x14ac:dyDescent="0.55000000000000004">
      <c r="B12" s="3">
        <v>2019</v>
      </c>
      <c r="C12" s="707">
        <v>2184.0313313767401</v>
      </c>
      <c r="D12" s="965">
        <v>620.86697520238636</v>
      </c>
      <c r="E12" s="965">
        <v>151.84910144339386</v>
      </c>
      <c r="F12" s="965">
        <v>917.5106983517112</v>
      </c>
      <c r="G12" s="965">
        <v>311.70862325040395</v>
      </c>
      <c r="H12" s="965">
        <v>266.41819457150513</v>
      </c>
      <c r="I12" s="965">
        <v>243.98252362192852</v>
      </c>
      <c r="J12" s="965">
        <v>215.41020797636349</v>
      </c>
      <c r="K12" s="965">
        <v>261.67664217867309</v>
      </c>
      <c r="L12" s="965">
        <v>267.8192337286855</v>
      </c>
      <c r="M12" s="968"/>
      <c r="N12" s="3">
        <v>2019</v>
      </c>
      <c r="O12" s="1170">
        <f>C12*Compost!J11/100</f>
        <v>1011.5327812314302</v>
      </c>
      <c r="P12" s="1116">
        <f t="shared" si="19"/>
        <v>396.88792003661132</v>
      </c>
      <c r="Q12" s="1116">
        <f t="shared" si="20"/>
        <v>28.533477424155624</v>
      </c>
      <c r="R12" s="1116">
        <f t="shared" si="21"/>
        <v>162.38841679536037</v>
      </c>
      <c r="S12" s="1116">
        <f t="shared" si="22"/>
        <v>292.90055791395559</v>
      </c>
      <c r="T12" s="1116">
        <f t="shared" si="23"/>
        <v>130.52827893482265</v>
      </c>
      <c r="U12" s="1116">
        <f t="shared" si="24"/>
        <v>132.610332624199</v>
      </c>
      <c r="V12" s="1116">
        <f t="shared" si="25"/>
        <v>163.71843179524916</v>
      </c>
      <c r="W12" s="1116">
        <f t="shared" si="26"/>
        <v>121.44324530437929</v>
      </c>
      <c r="X12" s="1116">
        <f t="shared" si="27"/>
        <v>79.792647651638489</v>
      </c>
      <c r="AA12" s="3">
        <v>2019</v>
      </c>
      <c r="AB12" s="707">
        <f>C12*'H&amp;C Recycling'!M9/100</f>
        <v>751.96198739301178</v>
      </c>
      <c r="AC12" s="1129">
        <f t="shared" si="8"/>
        <v>221.98816404619524</v>
      </c>
      <c r="AD12" s="1129">
        <f t="shared" si="9"/>
        <v>35.404864709391831</v>
      </c>
      <c r="AE12" s="1129">
        <f t="shared" si="10"/>
        <v>108.97144642582217</v>
      </c>
      <c r="AF12" s="1129">
        <f t="shared" si="11"/>
        <v>297.47699723026096</v>
      </c>
      <c r="AG12" s="1129">
        <f t="shared" si="12"/>
        <v>88.120514981341458</v>
      </c>
      <c r="AH12" s="2"/>
      <c r="AI12" s="2"/>
      <c r="AJ12" s="2"/>
      <c r="AK12" s="2"/>
      <c r="AM12" s="3">
        <v>2019</v>
      </c>
      <c r="AN12" s="707">
        <f t="shared" si="18"/>
        <v>420.53656275229798</v>
      </c>
      <c r="AO12" s="528">
        <f t="shared" si="13"/>
        <v>1.9908911195797998</v>
      </c>
      <c r="AP12" s="528">
        <f t="shared" si="13"/>
        <v>87.910759309846412</v>
      </c>
      <c r="AQ12" s="528">
        <f t="shared" si="13"/>
        <v>646.15083513052866</v>
      </c>
      <c r="AR12" s="528">
        <f t="shared" si="13"/>
        <v>-278.66893189381261</v>
      </c>
      <c r="AS12" s="528">
        <f t="shared" si="13"/>
        <v>47.769400655341016</v>
      </c>
      <c r="AT12" s="528">
        <f t="shared" si="13"/>
        <v>111.37219099772952</v>
      </c>
      <c r="AU12" s="528"/>
      <c r="AV12" s="528"/>
      <c r="AW12" s="528"/>
      <c r="AY12" s="3">
        <v>2019</v>
      </c>
      <c r="AZ12" s="707">
        <f>C12*Bioplastics!AL17</f>
        <v>264.88072057439848</v>
      </c>
      <c r="BD12" s="3">
        <v>2019</v>
      </c>
      <c r="BE12" s="1131">
        <f t="shared" si="14"/>
        <v>0.46314939108212971</v>
      </c>
      <c r="BF12" s="1131">
        <f t="shared" si="15"/>
        <v>0.34430000000000005</v>
      </c>
      <c r="BG12" s="1131">
        <f t="shared" si="16"/>
        <v>0.19255060891787015</v>
      </c>
      <c r="CD12" s="609">
        <f>826/CD9</f>
        <v>0.89393939393939392</v>
      </c>
    </row>
    <row r="13" spans="1:82" ht="14.4" x14ac:dyDescent="0.55000000000000004">
      <c r="B13" s="3">
        <v>2020</v>
      </c>
      <c r="C13" s="707">
        <v>2220.6184110457084</v>
      </c>
      <c r="D13" s="965">
        <v>625.17687311497821</v>
      </c>
      <c r="E13" s="965">
        <v>154.05903802176672</v>
      </c>
      <c r="F13" s="965">
        <v>940.44287980800891</v>
      </c>
      <c r="G13" s="965">
        <v>325.70609554144056</v>
      </c>
      <c r="H13" s="965">
        <v>272.17187746723528</v>
      </c>
      <c r="I13" s="965">
        <v>255.31003149590467</v>
      </c>
      <c r="J13" s="965">
        <v>230.37545524191984</v>
      </c>
      <c r="K13" s="965">
        <v>263.38052940489746</v>
      </c>
      <c r="L13" s="965">
        <v>273.10413996261036</v>
      </c>
      <c r="M13" s="968"/>
      <c r="N13" s="3">
        <v>2020</v>
      </c>
      <c r="O13" s="1170">
        <f>C13*Compost!J12/100</f>
        <v>1031.7889361085968</v>
      </c>
      <c r="P13" s="1116">
        <f t="shared" si="19"/>
        <v>404.83568339762758</v>
      </c>
      <c r="Q13" s="1116">
        <f t="shared" si="20"/>
        <v>29.104866259606123</v>
      </c>
      <c r="R13" s="1116">
        <f t="shared" si="21"/>
        <v>165.64027870423519</v>
      </c>
      <c r="S13" s="1116">
        <f t="shared" si="22"/>
        <v>298.76595266417883</v>
      </c>
      <c r="T13" s="1116">
        <f t="shared" si="23"/>
        <v>133.14213493930626</v>
      </c>
      <c r="U13" s="1116">
        <f t="shared" si="24"/>
        <v>135.26588218797906</v>
      </c>
      <c r="V13" s="1116">
        <f t="shared" si="25"/>
        <v>166.99692753184226</v>
      </c>
      <c r="W13" s="1116">
        <f t="shared" si="26"/>
        <v>123.87517161592847</v>
      </c>
      <c r="X13" s="1116">
        <f t="shared" si="27"/>
        <v>81.390512059871625</v>
      </c>
      <c r="AA13" s="3">
        <v>2020</v>
      </c>
      <c r="AB13" s="707">
        <f>C13*'H&amp;C Recycling'!M10/100</f>
        <v>760.33974394205075</v>
      </c>
      <c r="AC13" s="1129">
        <f t="shared" si="8"/>
        <v>224.46137788722302</v>
      </c>
      <c r="AD13" s="1129">
        <f t="shared" si="9"/>
        <v>35.799317277686249</v>
      </c>
      <c r="AE13" s="1129">
        <f t="shared" si="10"/>
        <v>110.18551876492704</v>
      </c>
      <c r="AF13" s="1129">
        <f t="shared" si="11"/>
        <v>300.79124702415612</v>
      </c>
      <c r="AG13" s="1129">
        <f t="shared" si="12"/>
        <v>89.102282988058221</v>
      </c>
      <c r="AH13" s="2"/>
      <c r="AI13" s="2"/>
      <c r="AJ13" s="2"/>
      <c r="AK13" s="2"/>
      <c r="AM13" s="3">
        <v>2020</v>
      </c>
      <c r="AN13" s="707">
        <f t="shared" si="18"/>
        <v>428.48973099506088</v>
      </c>
      <c r="AO13" s="528">
        <f t="shared" si="13"/>
        <v>-4.1201881698723923</v>
      </c>
      <c r="AP13" s="528">
        <f t="shared" si="13"/>
        <v>89.154854484474356</v>
      </c>
      <c r="AQ13" s="528">
        <f t="shared" si="13"/>
        <v>664.61708233884667</v>
      </c>
      <c r="AR13" s="528">
        <f t="shared" si="13"/>
        <v>-273.85110414689439</v>
      </c>
      <c r="AS13" s="528">
        <f t="shared" si="13"/>
        <v>49.927459539870796</v>
      </c>
      <c r="AT13" s="528">
        <f t="shared" si="13"/>
        <v>120.04414930792561</v>
      </c>
      <c r="AU13" s="528"/>
      <c r="AV13" s="528"/>
      <c r="AW13" s="528"/>
      <c r="AY13" s="3">
        <v>2020</v>
      </c>
      <c r="AZ13" s="707">
        <f>C13*Bioplastics!AL18</f>
        <v>274.64782139423687</v>
      </c>
      <c r="BD13" s="3">
        <v>2020</v>
      </c>
      <c r="BE13" s="1131">
        <f t="shared" si="14"/>
        <v>0.46464035917936863</v>
      </c>
      <c r="BF13" s="1131">
        <f t="shared" si="15"/>
        <v>0.34240000000000009</v>
      </c>
      <c r="BG13" s="1131">
        <f t="shared" si="16"/>
        <v>0.1929596408206313</v>
      </c>
    </row>
    <row r="14" spans="1:82" ht="14.4" x14ac:dyDescent="0.55000000000000004">
      <c r="B14" s="3">
        <v>2021</v>
      </c>
      <c r="C14" s="707">
        <v>2256.0862349785043</v>
      </c>
      <c r="D14" s="965">
        <v>629.30320601969402</v>
      </c>
      <c r="E14" s="965">
        <v>155.378009568442</v>
      </c>
      <c r="F14" s="965">
        <v>963.49479779432568</v>
      </c>
      <c r="G14" s="965">
        <v>339.57379557518897</v>
      </c>
      <c r="H14" s="965">
        <v>277.21237014330131</v>
      </c>
      <c r="I14" s="965">
        <v>266.63753936988087</v>
      </c>
      <c r="J14" s="965">
        <v>245.34070250747621</v>
      </c>
      <c r="K14" s="965">
        <v>265.08441663112183</v>
      </c>
      <c r="L14" s="965">
        <v>278.65795231021883</v>
      </c>
      <c r="M14" s="968"/>
      <c r="N14" s="3">
        <v>2021</v>
      </c>
      <c r="O14" s="1170">
        <f>C14*Compost!J13/100</f>
        <v>1051.3540983021617</v>
      </c>
      <c r="P14" s="1116">
        <f t="shared" si="19"/>
        <v>412.51232687598298</v>
      </c>
      <c r="Q14" s="1116">
        <f t="shared" si="20"/>
        <v>29.656763463639791</v>
      </c>
      <c r="R14" s="1116">
        <f t="shared" si="21"/>
        <v>168.78121073521652</v>
      </c>
      <c r="S14" s="1116">
        <f t="shared" si="22"/>
        <v>304.4312628039014</v>
      </c>
      <c r="T14" s="1116">
        <f t="shared" si="23"/>
        <v>135.66682518720677</v>
      </c>
      <c r="U14" s="1116">
        <f t="shared" si="24"/>
        <v>137.83084371416555</v>
      </c>
      <c r="V14" s="1116">
        <f t="shared" si="25"/>
        <v>170.16358483804504</v>
      </c>
      <c r="W14" s="1116">
        <f t="shared" si="26"/>
        <v>126.22413828886266</v>
      </c>
      <c r="X14" s="1116">
        <f t="shared" si="27"/>
        <v>82.933868955589574</v>
      </c>
      <c r="AA14" s="3">
        <v>2021</v>
      </c>
      <c r="AB14" s="707">
        <f>C14*'H&amp;C Recycling'!M11/100</f>
        <v>768.19736301018099</v>
      </c>
      <c r="AC14" s="1129">
        <f t="shared" si="8"/>
        <v>226.78104092864342</v>
      </c>
      <c r="AD14" s="1129">
        <f t="shared" si="9"/>
        <v>36.169280048024646</v>
      </c>
      <c r="AE14" s="1129">
        <f t="shared" si="10"/>
        <v>111.32421477572653</v>
      </c>
      <c r="AF14" s="1129">
        <f t="shared" si="11"/>
        <v>303.89972985301614</v>
      </c>
      <c r="AG14" s="1129">
        <f t="shared" si="12"/>
        <v>90.023097404770169</v>
      </c>
      <c r="AH14" s="2"/>
      <c r="AI14" s="2"/>
      <c r="AJ14" s="2"/>
      <c r="AK14" s="2"/>
      <c r="AM14" s="3">
        <v>2021</v>
      </c>
      <c r="AN14" s="707">
        <f t="shared" si="18"/>
        <v>436.53477366616164</v>
      </c>
      <c r="AO14" s="528">
        <f t="shared" si="13"/>
        <v>-9.9901617849323827</v>
      </c>
      <c r="AP14" s="528">
        <f t="shared" si="13"/>
        <v>89.551966056777559</v>
      </c>
      <c r="AQ14" s="528">
        <f t="shared" si="13"/>
        <v>683.38937228338261</v>
      </c>
      <c r="AR14" s="528">
        <f t="shared" si="13"/>
        <v>-268.75719708172858</v>
      </c>
      <c r="AS14" s="528">
        <f t="shared" si="13"/>
        <v>51.522447551324376</v>
      </c>
      <c r="AT14" s="528">
        <f t="shared" si="13"/>
        <v>128.80669565571532</v>
      </c>
      <c r="AU14" s="528"/>
      <c r="AV14" s="528"/>
      <c r="AW14" s="528"/>
      <c r="AY14" s="3">
        <v>2021</v>
      </c>
      <c r="AZ14" s="707">
        <f>C14*Bioplastics!AL19</f>
        <v>282.238699791849</v>
      </c>
      <c r="BD14" s="3">
        <v>2021</v>
      </c>
      <c r="BE14" s="1131">
        <f t="shared" si="14"/>
        <v>0.46600793976839222</v>
      </c>
      <c r="BF14" s="1131">
        <f t="shared" si="15"/>
        <v>0.34050000000000014</v>
      </c>
      <c r="BG14" s="1131">
        <f t="shared" si="16"/>
        <v>0.19349206023160764</v>
      </c>
    </row>
    <row r="15" spans="1:82" ht="14.4" x14ac:dyDescent="0.55000000000000004">
      <c r="B15" s="3">
        <v>2022</v>
      </c>
      <c r="C15" s="707">
        <v>2292.067049961684</v>
      </c>
      <c r="D15" s="965">
        <v>633.45069028043122</v>
      </c>
      <c r="E15" s="965">
        <v>157.19024520565935</v>
      </c>
      <c r="F15" s="965">
        <v>986.3798519092295</v>
      </c>
      <c r="G15" s="965">
        <v>353.52985480053525</v>
      </c>
      <c r="H15" s="965">
        <v>282.37723916937966</v>
      </c>
      <c r="I15" s="965">
        <v>277.96504724385699</v>
      </c>
      <c r="J15" s="965">
        <v>260.30594977303258</v>
      </c>
      <c r="K15" s="965">
        <v>266.78830385734619</v>
      </c>
      <c r="L15" s="965">
        <v>284.48067077151097</v>
      </c>
      <c r="M15" s="968"/>
      <c r="N15" s="3">
        <v>2022</v>
      </c>
      <c r="O15" s="1170">
        <f>C15*Compost!J14/100</f>
        <v>1070.9951068051464</v>
      </c>
      <c r="P15" s="1116">
        <f t="shared" si="19"/>
        <v>420.21872963109791</v>
      </c>
      <c r="Q15" s="1116">
        <f t="shared" si="20"/>
        <v>30.210800152421449</v>
      </c>
      <c r="R15" s="1116">
        <f t="shared" si="21"/>
        <v>171.9343189035757</v>
      </c>
      <c r="S15" s="1116">
        <f t="shared" si="22"/>
        <v>310.11853508539235</v>
      </c>
      <c r="T15" s="1116">
        <f t="shared" si="23"/>
        <v>138.20130264953656</v>
      </c>
      <c r="U15" s="1116">
        <f t="shared" si="24"/>
        <v>140.40574857042213</v>
      </c>
      <c r="V15" s="1116">
        <f t="shared" si="25"/>
        <v>173.34251800822977</v>
      </c>
      <c r="W15" s="1116">
        <f t="shared" si="26"/>
        <v>128.58221096620048</v>
      </c>
      <c r="X15" s="1116">
        <f t="shared" si="27"/>
        <v>84.48320882878042</v>
      </c>
      <c r="AA15" s="3">
        <v>2022</v>
      </c>
      <c r="AB15" s="707">
        <f>C15*'H&amp;C Recycling'!M12/100</f>
        <v>776.09390311702646</v>
      </c>
      <c r="AC15" s="1129">
        <f t="shared" si="8"/>
        <v>229.11219392576905</v>
      </c>
      <c r="AD15" s="1129">
        <f t="shared" si="9"/>
        <v>36.541075349971251</v>
      </c>
      <c r="AE15" s="1129">
        <f t="shared" si="10"/>
        <v>112.468551074142</v>
      </c>
      <c r="AF15" s="1129">
        <f t="shared" si="11"/>
        <v>307.02360988801183</v>
      </c>
      <c r="AG15" s="1129">
        <f t="shared" si="12"/>
        <v>90.948472879132211</v>
      </c>
      <c r="AH15" s="2"/>
      <c r="AI15" s="2"/>
      <c r="AJ15" s="2"/>
      <c r="AK15" s="2"/>
      <c r="AM15" s="3">
        <v>2022</v>
      </c>
      <c r="AN15" s="707">
        <f t="shared" si="18"/>
        <v>444.97804003951114</v>
      </c>
      <c r="AO15" s="528">
        <f t="shared" si="13"/>
        <v>-15.880233276435746</v>
      </c>
      <c r="AP15" s="528">
        <f t="shared" si="13"/>
        <v>90.438369703266645</v>
      </c>
      <c r="AQ15" s="528">
        <f t="shared" si="13"/>
        <v>701.97698193151177</v>
      </c>
      <c r="AR15" s="528">
        <f t="shared" si="13"/>
        <v>-263.61229017286894</v>
      </c>
      <c r="AS15" s="528">
        <f t="shared" si="13"/>
        <v>53.227463640710894</v>
      </c>
      <c r="AT15" s="528">
        <f t="shared" si="13"/>
        <v>137.55929867343485</v>
      </c>
      <c r="AU15" s="528"/>
      <c r="AV15" s="528"/>
      <c r="AW15" s="528"/>
      <c r="AY15" s="3">
        <v>2022</v>
      </c>
      <c r="AZ15" s="707">
        <f>C15*Bioplastics!AL20</f>
        <v>289.85200041827005</v>
      </c>
      <c r="BD15" s="3">
        <v>2022</v>
      </c>
      <c r="BE15" s="1131">
        <f t="shared" si="14"/>
        <v>0.46726168277801911</v>
      </c>
      <c r="BF15" s="1131">
        <f t="shared" si="15"/>
        <v>0.33860000000000012</v>
      </c>
      <c r="BG15" s="1131">
        <f t="shared" si="16"/>
        <v>0.1941383172219808</v>
      </c>
    </row>
    <row r="16" spans="1:82" ht="14.4" x14ac:dyDescent="0.55000000000000004">
      <c r="B16" s="3">
        <v>2023</v>
      </c>
      <c r="C16" s="707">
        <v>2327.8121531494985</v>
      </c>
      <c r="D16" s="965">
        <v>637.60454708429847</v>
      </c>
      <c r="E16" s="965">
        <v>158.92340554750592</v>
      </c>
      <c r="F16" s="965">
        <v>1008.979690245764</v>
      </c>
      <c r="G16" s="965">
        <v>367.45543056687239</v>
      </c>
      <c r="H16" s="965">
        <v>287.44590300639197</v>
      </c>
      <c r="I16" s="965">
        <v>289.29255511783316</v>
      </c>
      <c r="J16" s="965">
        <v>275.27119703858892</v>
      </c>
      <c r="K16" s="965">
        <v>268.49219108357056</v>
      </c>
      <c r="L16" s="965">
        <v>290.57229534648678</v>
      </c>
      <c r="M16" s="968"/>
      <c r="N16" s="3">
        <v>2023</v>
      </c>
      <c r="O16" s="1170">
        <f>C16*Compost!J15/100</f>
        <v>1090.3716746307305</v>
      </c>
      <c r="P16" s="1116">
        <f t="shared" si="19"/>
        <v>427.82137567918966</v>
      </c>
      <c r="Q16" s="1116">
        <f t="shared" si="20"/>
        <v>30.757377456555727</v>
      </c>
      <c r="R16" s="1116">
        <f t="shared" si="21"/>
        <v>175.04497456447675</v>
      </c>
      <c r="S16" s="1116">
        <f t="shared" si="22"/>
        <v>315.72923563002723</v>
      </c>
      <c r="T16" s="1116">
        <f t="shared" si="23"/>
        <v>140.70165666362826</v>
      </c>
      <c r="U16" s="1116">
        <f t="shared" si="24"/>
        <v>142.94598567607275</v>
      </c>
      <c r="V16" s="1116">
        <f t="shared" si="25"/>
        <v>176.47865097083826</v>
      </c>
      <c r="W16" s="1116">
        <f t="shared" si="26"/>
        <v>130.90853525668433</v>
      </c>
      <c r="X16" s="1116">
        <f t="shared" si="27"/>
        <v>86.011688852257947</v>
      </c>
      <c r="AA16" s="3">
        <v>2023</v>
      </c>
      <c r="AB16" s="707">
        <f>C16*'H&amp;C Recycling'!M13/100</f>
        <v>783.77435196543649</v>
      </c>
      <c r="AC16" s="1129">
        <f t="shared" si="8"/>
        <v>231.37955420128011</v>
      </c>
      <c r="AD16" s="1129">
        <f t="shared" si="9"/>
        <v>36.902696358671569</v>
      </c>
      <c r="AE16" s="1129">
        <f t="shared" si="10"/>
        <v>113.5815722563861</v>
      </c>
      <c r="AF16" s="1129">
        <f t="shared" si="11"/>
        <v>310.06200398121155</v>
      </c>
      <c r="AG16" s="1129">
        <f t="shared" si="12"/>
        <v>91.84852516788709</v>
      </c>
      <c r="AH16" s="2"/>
      <c r="AI16" s="2"/>
      <c r="AJ16" s="2"/>
      <c r="AK16" s="2"/>
      <c r="AM16" s="3">
        <v>2023</v>
      </c>
      <c r="AN16" s="707">
        <f t="shared" si="18"/>
        <v>453.66612655333154</v>
      </c>
      <c r="AO16" s="528">
        <f t="shared" si="13"/>
        <v>-21.596382796171298</v>
      </c>
      <c r="AP16" s="528">
        <f t="shared" si="13"/>
        <v>91.26333173227863</v>
      </c>
      <c r="AQ16" s="528">
        <f t="shared" si="13"/>
        <v>720.35314342490119</v>
      </c>
      <c r="AR16" s="528">
        <f t="shared" si="13"/>
        <v>-258.33580904436639</v>
      </c>
      <c r="AS16" s="528">
        <f t="shared" si="13"/>
        <v>54.895721174876627</v>
      </c>
      <c r="AT16" s="528">
        <f t="shared" si="13"/>
        <v>146.34656944176041</v>
      </c>
      <c r="AU16" s="528"/>
      <c r="AV16" s="528"/>
      <c r="AW16" s="528"/>
      <c r="AY16" s="3">
        <v>2023</v>
      </c>
      <c r="AZ16" s="707">
        <f>C16*Bioplastics!AL21</f>
        <v>297.48467994274148</v>
      </c>
      <c r="BD16" s="3">
        <v>2023</v>
      </c>
      <c r="BE16" s="1131">
        <f t="shared" si="14"/>
        <v>0.46841050862092642</v>
      </c>
      <c r="BF16" s="1131">
        <f t="shared" si="15"/>
        <v>0.33670000000000017</v>
      </c>
      <c r="BG16" s="1131">
        <f t="shared" si="16"/>
        <v>0.19488949137907344</v>
      </c>
    </row>
    <row r="17" spans="2:59" ht="14.4" x14ac:dyDescent="0.55000000000000004">
      <c r="B17" s="3">
        <v>2024</v>
      </c>
      <c r="C17" s="707">
        <v>2363.3235557594176</v>
      </c>
      <c r="D17" s="965">
        <v>641.76803572153256</v>
      </c>
      <c r="E17" s="965">
        <v>160.57978572975696</v>
      </c>
      <c r="F17" s="965">
        <v>1031.2959903210772</v>
      </c>
      <c r="G17" s="965">
        <v>381.36098174446442</v>
      </c>
      <c r="H17" s="965">
        <v>292.41719687986119</v>
      </c>
      <c r="I17" s="965">
        <v>300.62006299180933</v>
      </c>
      <c r="J17" s="965">
        <v>290.23644430414527</v>
      </c>
      <c r="K17" s="965">
        <v>270.19607830979493</v>
      </c>
      <c r="L17" s="965">
        <v>296.93282603514621</v>
      </c>
      <c r="M17" s="968"/>
      <c r="N17" s="3">
        <v>2024</v>
      </c>
      <c r="O17" s="1170">
        <f>C17*Compost!J16/100</f>
        <v>1109.4923305667407</v>
      </c>
      <c r="P17" s="1116">
        <f t="shared" si="19"/>
        <v>435.32361140005315</v>
      </c>
      <c r="Q17" s="1116">
        <f t="shared" si="20"/>
        <v>31.296735957444856</v>
      </c>
      <c r="R17" s="1116">
        <f t="shared" si="21"/>
        <v>178.11454690375135</v>
      </c>
      <c r="S17" s="1116">
        <f t="shared" si="22"/>
        <v>321.26583404310117</v>
      </c>
      <c r="T17" s="1116">
        <f t="shared" si="23"/>
        <v>143.16898778501215</v>
      </c>
      <c r="U17" s="1116">
        <f t="shared" si="24"/>
        <v>145.45267314158463</v>
      </c>
      <c r="V17" s="1116">
        <f t="shared" si="25"/>
        <v>179.57336412578832</v>
      </c>
      <c r="W17" s="1116">
        <f t="shared" si="26"/>
        <v>133.20413511494166</v>
      </c>
      <c r="X17" s="1116">
        <f t="shared" si="27"/>
        <v>87.519981801610442</v>
      </c>
      <c r="AA17" s="3">
        <v>2024</v>
      </c>
      <c r="AB17" s="707">
        <f>C17*'H&amp;C Recycling'!M14/100</f>
        <v>791.24072646825346</v>
      </c>
      <c r="AC17" s="1129">
        <f t="shared" si="8"/>
        <v>233.58371717194819</v>
      </c>
      <c r="AD17" s="1129">
        <f t="shared" si="9"/>
        <v>37.254238037072568</v>
      </c>
      <c r="AE17" s="1129">
        <f t="shared" si="10"/>
        <v>114.66357060573031</v>
      </c>
      <c r="AF17" s="1129">
        <f t="shared" si="11"/>
        <v>313.01571002557534</v>
      </c>
      <c r="AG17" s="1129">
        <f t="shared" si="12"/>
        <v>92.723490627926921</v>
      </c>
      <c r="AH17" s="2"/>
      <c r="AI17" s="2"/>
      <c r="AJ17" s="2"/>
      <c r="AK17" s="2"/>
      <c r="AM17" s="3">
        <v>2024</v>
      </c>
      <c r="AN17" s="707">
        <f t="shared" si="18"/>
        <v>462.59049872442336</v>
      </c>
      <c r="AO17" s="528">
        <f t="shared" si="13"/>
        <v>-27.139292850468792</v>
      </c>
      <c r="AP17" s="528">
        <f t="shared" si="13"/>
        <v>92.028811735239529</v>
      </c>
      <c r="AQ17" s="528">
        <f t="shared" si="13"/>
        <v>738.51787281159545</v>
      </c>
      <c r="AR17" s="528">
        <f t="shared" si="13"/>
        <v>-252.92056232421209</v>
      </c>
      <c r="AS17" s="528">
        <f t="shared" si="13"/>
        <v>56.524718466922124</v>
      </c>
      <c r="AT17" s="528">
        <f t="shared" si="13"/>
        <v>155.16738985022471</v>
      </c>
      <c r="AU17" s="528"/>
      <c r="AV17" s="528"/>
      <c r="AW17" s="528"/>
      <c r="AY17" s="3">
        <v>2024</v>
      </c>
      <c r="AZ17" s="707">
        <f>C17*Bioplastics!AL22</f>
        <v>306.56435355952715</v>
      </c>
      <c r="BD17" s="3">
        <v>2024</v>
      </c>
      <c r="BE17" s="1131">
        <f t="shared" si="14"/>
        <v>0.46946273093369245</v>
      </c>
      <c r="BF17" s="1131">
        <f t="shared" si="15"/>
        <v>0.33480000000000021</v>
      </c>
      <c r="BG17" s="1131">
        <f t="shared" si="16"/>
        <v>0.19573726906630737</v>
      </c>
    </row>
    <row r="18" spans="2:59" ht="14.4" x14ac:dyDescent="0.55000000000000004">
      <c r="B18" s="3">
        <v>2025</v>
      </c>
      <c r="C18" s="707">
        <v>2397.5749666971119</v>
      </c>
      <c r="D18" s="965">
        <v>645.33761464870258</v>
      </c>
      <c r="E18" s="965">
        <v>162.56453111349254</v>
      </c>
      <c r="F18" s="965">
        <v>1054.7670288822792</v>
      </c>
      <c r="G18" s="965">
        <v>393.15077791454638</v>
      </c>
      <c r="H18" s="965">
        <v>297.67413785955728</v>
      </c>
      <c r="I18" s="965">
        <v>311.94757086578551</v>
      </c>
      <c r="J18" s="965">
        <v>305.20169156970167</v>
      </c>
      <c r="K18" s="965">
        <v>271.89996553601929</v>
      </c>
      <c r="L18" s="965">
        <v>303.5622628374893</v>
      </c>
      <c r="M18" s="968"/>
      <c r="N18" s="3">
        <v>2025</v>
      </c>
      <c r="O18" s="1170">
        <f>C18*Compost!J17/100</f>
        <v>1126.8602343476425</v>
      </c>
      <c r="P18" s="1116">
        <f t="shared" si="19"/>
        <v>442.13813222913245</v>
      </c>
      <c r="Q18" s="1116">
        <f t="shared" si="20"/>
        <v>31.786652547032759</v>
      </c>
      <c r="R18" s="1116">
        <f t="shared" si="21"/>
        <v>180.90273770721828</v>
      </c>
      <c r="S18" s="1116">
        <f t="shared" si="22"/>
        <v>326.29490359142471</v>
      </c>
      <c r="T18" s="1116">
        <f t="shared" si="23"/>
        <v>145.4101436143535</v>
      </c>
      <c r="U18" s="1116">
        <f t="shared" si="24"/>
        <v>147.72957759797467</v>
      </c>
      <c r="V18" s="1116">
        <f t="shared" si="25"/>
        <v>182.38439113681451</v>
      </c>
      <c r="W18" s="1116">
        <f t="shared" si="26"/>
        <v>135.28930194138815</v>
      </c>
      <c r="X18" s="1116">
        <f t="shared" si="27"/>
        <v>88.890012563391537</v>
      </c>
      <c r="AA18" s="3">
        <v>2025</v>
      </c>
      <c r="AB18" s="707">
        <f>C18*'H&amp;C Recycling'!M15/100</f>
        <v>798.15270641346899</v>
      </c>
      <c r="AC18" s="1129">
        <f t="shared" si="8"/>
        <v>235.62421624462351</v>
      </c>
      <c r="AD18" s="1129">
        <f t="shared" si="9"/>
        <v>37.579676980712257</v>
      </c>
      <c r="AE18" s="1129">
        <f t="shared" si="10"/>
        <v>115.66522822263688</v>
      </c>
      <c r="AF18" s="1129">
        <f t="shared" si="11"/>
        <v>315.7500969673236</v>
      </c>
      <c r="AG18" s="1129">
        <f t="shared" si="12"/>
        <v>93.533487998172646</v>
      </c>
      <c r="AH18" s="2"/>
      <c r="AI18" s="2"/>
      <c r="AJ18" s="2"/>
      <c r="AK18" s="2"/>
      <c r="AM18" s="3">
        <v>2025</v>
      </c>
      <c r="AN18" s="707">
        <f t="shared" si="18"/>
        <v>472.5620259360004</v>
      </c>
      <c r="AO18" s="528">
        <f t="shared" si="13"/>
        <v>-32.42473382505338</v>
      </c>
      <c r="AP18" s="528">
        <f t="shared" si="13"/>
        <v>93.198201585747512</v>
      </c>
      <c r="AQ18" s="528">
        <f t="shared" si="13"/>
        <v>758.19906295242401</v>
      </c>
      <c r="AR18" s="528">
        <f t="shared" si="13"/>
        <v>-248.89422264420193</v>
      </c>
      <c r="AS18" s="528">
        <f t="shared" si="13"/>
        <v>58.73050624703113</v>
      </c>
      <c r="AT18" s="528">
        <f t="shared" si="13"/>
        <v>164.21799326781084</v>
      </c>
      <c r="AU18" s="528"/>
      <c r="AV18" s="528"/>
      <c r="AW18" s="528"/>
      <c r="AY18" s="3">
        <v>2025</v>
      </c>
      <c r="AZ18" s="707">
        <f>C18*Bioplastics!AL23</f>
        <v>315.85262602417703</v>
      </c>
      <c r="BD18" s="3">
        <v>2025</v>
      </c>
      <c r="BE18" s="1131">
        <f t="shared" si="14"/>
        <v>0.47</v>
      </c>
      <c r="BF18" s="1131">
        <f t="shared" si="15"/>
        <v>0.3329000000000002</v>
      </c>
      <c r="BG18" s="1131">
        <f t="shared" si="16"/>
        <v>0.19709999999999986</v>
      </c>
    </row>
    <row r="19" spans="2:59" ht="14.4" x14ac:dyDescent="0.55000000000000004">
      <c r="B19" s="3">
        <v>2026</v>
      </c>
      <c r="C19" s="707">
        <v>2442.0419175786424</v>
      </c>
      <c r="D19" s="965">
        <v>650.12912558417747</v>
      </c>
      <c r="E19" s="965">
        <v>163.67203816548002</v>
      </c>
      <c r="F19" s="965">
        <v>1073.8381094455226</v>
      </c>
      <c r="G19" s="965">
        <v>405.95202258375934</v>
      </c>
      <c r="H19" s="965">
        <v>302.06574838952901</v>
      </c>
      <c r="I19" s="965">
        <v>323.27507873976163</v>
      </c>
      <c r="J19" s="965">
        <v>320.16693883525807</v>
      </c>
      <c r="K19" s="965">
        <v>273.60385276224366</v>
      </c>
      <c r="L19" s="965">
        <v>310.46060575351601</v>
      </c>
      <c r="M19" s="968"/>
      <c r="N19" s="3">
        <v>2026</v>
      </c>
      <c r="O19" s="1170">
        <f>C19*Compost!J18/100</f>
        <v>1150.9532588230409</v>
      </c>
      <c r="P19" s="1116">
        <f t="shared" si="19"/>
        <v>451.59134081401987</v>
      </c>
      <c r="Q19" s="1116">
        <f t="shared" si="20"/>
        <v>32.466272409783528</v>
      </c>
      <c r="R19" s="1116">
        <f t="shared" si="21"/>
        <v>184.7705590699712</v>
      </c>
      <c r="S19" s="1116">
        <f t="shared" si="22"/>
        <v>333.27130657273767</v>
      </c>
      <c r="T19" s="1116">
        <f t="shared" si="23"/>
        <v>148.51910960879201</v>
      </c>
      <c r="U19" s="1116">
        <f t="shared" si="24"/>
        <v>150.88813464020518</v>
      </c>
      <c r="V19" s="1116">
        <f t="shared" si="25"/>
        <v>186.28389123953468</v>
      </c>
      <c r="W19" s="1116">
        <f t="shared" si="26"/>
        <v>138.18187758083326</v>
      </c>
      <c r="X19" s="1116">
        <f t="shared" si="27"/>
        <v>90.790540404404652</v>
      </c>
      <c r="AA19" s="3">
        <v>2026</v>
      </c>
      <c r="AB19" s="707">
        <f>C19*'H&amp;C Recycling'!M16/100</f>
        <v>808.31587471853118</v>
      </c>
      <c r="AC19" s="1129">
        <f t="shared" si="8"/>
        <v>238.62450497032751</v>
      </c>
      <c r="AD19" s="1129">
        <f t="shared" si="9"/>
        <v>38.058192656892899</v>
      </c>
      <c r="AE19" s="1129">
        <f t="shared" si="10"/>
        <v>117.13803558396546</v>
      </c>
      <c r="AF19" s="1129">
        <f t="shared" si="11"/>
        <v>319.77065763451532</v>
      </c>
      <c r="AG19" s="1129">
        <f t="shared" si="12"/>
        <v>94.724483872829879</v>
      </c>
      <c r="AH19" s="2"/>
      <c r="AI19" s="2"/>
      <c r="AJ19" s="2"/>
      <c r="AK19" s="2"/>
      <c r="AM19" s="3">
        <v>2026</v>
      </c>
      <c r="AN19" s="707">
        <f t="shared" si="18"/>
        <v>482.77278403707032</v>
      </c>
      <c r="AO19" s="528">
        <f t="shared" si="13"/>
        <v>-40.086720200169907</v>
      </c>
      <c r="AP19" s="528">
        <f t="shared" si="13"/>
        <v>93.147573098803591</v>
      </c>
      <c r="AQ19" s="528">
        <f t="shared" si="13"/>
        <v>771.92951479158592</v>
      </c>
      <c r="AR19" s="528">
        <f t="shared" si="13"/>
        <v>-247.08994162349364</v>
      </c>
      <c r="AS19" s="528">
        <f t="shared" si="13"/>
        <v>58.82215490790712</v>
      </c>
      <c r="AT19" s="528">
        <f t="shared" si="13"/>
        <v>172.38694409955644</v>
      </c>
      <c r="AU19" s="528"/>
      <c r="AV19" s="528"/>
      <c r="AW19" s="528"/>
      <c r="AY19" s="3">
        <v>2026</v>
      </c>
      <c r="AZ19" s="707">
        <f>C19*Bioplastics!AL24</f>
        <v>325.35645565684013</v>
      </c>
      <c r="BD19" s="3">
        <v>2026</v>
      </c>
      <c r="BE19" s="1131">
        <f t="shared" si="14"/>
        <v>0.47130774068130882</v>
      </c>
      <c r="BF19" s="1131">
        <f t="shared" si="15"/>
        <v>0.33100000000000024</v>
      </c>
      <c r="BG19" s="1131">
        <f t="shared" si="16"/>
        <v>0.19769225931869097</v>
      </c>
    </row>
    <row r="20" spans="2:59" ht="14.4" x14ac:dyDescent="0.55000000000000004">
      <c r="B20" s="3">
        <v>2027</v>
      </c>
      <c r="C20" s="707">
        <v>2489.1118050597343</v>
      </c>
      <c r="D20" s="965">
        <v>654.32417528593624</v>
      </c>
      <c r="E20" s="965">
        <v>165.11270561844327</v>
      </c>
      <c r="F20" s="965">
        <v>1095.2129011047398</v>
      </c>
      <c r="G20" s="965">
        <v>419.75745462802143</v>
      </c>
      <c r="H20" s="965">
        <v>306.74374586939211</v>
      </c>
      <c r="I20" s="965">
        <v>334.6025866137378</v>
      </c>
      <c r="J20" s="965">
        <v>335.13218610081441</v>
      </c>
      <c r="K20" s="965">
        <v>275.30773998846803</v>
      </c>
      <c r="L20" s="965">
        <v>317.62785478322638</v>
      </c>
      <c r="M20" s="968"/>
      <c r="N20" s="3">
        <v>2027</v>
      </c>
      <c r="O20" s="1170">
        <f>C20*Compost!J19/100</f>
        <v>1175.1454267915165</v>
      </c>
      <c r="P20" s="1116">
        <f t="shared" si="19"/>
        <v>461.08344962585267</v>
      </c>
      <c r="Q20" s="1116">
        <f t="shared" si="20"/>
        <v>33.148688927940782</v>
      </c>
      <c r="R20" s="1116">
        <f t="shared" si="21"/>
        <v>188.65429662958408</v>
      </c>
      <c r="S20" s="1116">
        <f t="shared" si="22"/>
        <v>340.27641765424738</v>
      </c>
      <c r="T20" s="1116">
        <f t="shared" si="23"/>
        <v>151.64086908828514</v>
      </c>
      <c r="U20" s="1116">
        <f t="shared" si="24"/>
        <v>154.05968923608739</v>
      </c>
      <c r="V20" s="1116">
        <f t="shared" si="25"/>
        <v>190.19943789804668</v>
      </c>
      <c r="W20" s="1116">
        <f t="shared" si="26"/>
        <v>141.08635625275892</v>
      </c>
      <c r="X20" s="1116">
        <f t="shared" si="27"/>
        <v>92.698888972493407</v>
      </c>
      <c r="AA20" s="3">
        <v>2027</v>
      </c>
      <c r="AB20" s="707">
        <f>C20*'H&amp;C Recycling'!M17/100</f>
        <v>819.16669504515914</v>
      </c>
      <c r="AC20" s="1129">
        <f t="shared" si="8"/>
        <v>241.82779678971087</v>
      </c>
      <c r="AD20" s="1129">
        <f t="shared" si="9"/>
        <v>38.569085271268364</v>
      </c>
      <c r="AE20" s="1129">
        <f t="shared" si="10"/>
        <v>118.71049483818754</v>
      </c>
      <c r="AF20" s="1129">
        <f t="shared" si="11"/>
        <v>324.06325420504294</v>
      </c>
      <c r="AG20" s="1129">
        <f t="shared" si="12"/>
        <v>95.996063940949355</v>
      </c>
      <c r="AH20" s="2"/>
      <c r="AI20" s="2"/>
      <c r="AJ20" s="2"/>
      <c r="AK20" s="2"/>
      <c r="AM20" s="3">
        <v>2027</v>
      </c>
      <c r="AN20" s="707">
        <f t="shared" si="18"/>
        <v>494.79968322305865</v>
      </c>
      <c r="AO20" s="528">
        <f t="shared" si="13"/>
        <v>-48.587071129627304</v>
      </c>
      <c r="AP20" s="528">
        <f t="shared" si="13"/>
        <v>93.394931419234126</v>
      </c>
      <c r="AQ20" s="528">
        <f t="shared" si="13"/>
        <v>787.84810963696816</v>
      </c>
      <c r="AR20" s="528">
        <f t="shared" si="13"/>
        <v>-244.58221723126888</v>
      </c>
      <c r="AS20" s="528">
        <f t="shared" si="13"/>
        <v>59.106812840157616</v>
      </c>
      <c r="AT20" s="528">
        <f t="shared" si="13"/>
        <v>180.54289737765041</v>
      </c>
      <c r="AU20" s="528"/>
      <c r="AV20" s="528"/>
      <c r="AW20" s="528"/>
      <c r="AY20" s="3">
        <v>2027</v>
      </c>
      <c r="AZ20" s="707">
        <f>C20*Bioplastics!AL25</f>
        <v>335.07381964432847</v>
      </c>
      <c r="BD20" s="3">
        <v>2027</v>
      </c>
      <c r="BE20" s="1131">
        <f t="shared" si="14"/>
        <v>0.47211435999087836</v>
      </c>
      <c r="BF20" s="1131">
        <f t="shared" si="15"/>
        <v>0.32910000000000023</v>
      </c>
      <c r="BG20" s="1131">
        <f t="shared" si="16"/>
        <v>0.19878564000912138</v>
      </c>
    </row>
    <row r="21" spans="2:59" ht="14.4" x14ac:dyDescent="0.55000000000000004">
      <c r="B21" s="3">
        <v>2028</v>
      </c>
      <c r="C21" s="707">
        <v>2535.9468423081339</v>
      </c>
      <c r="D21" s="965">
        <v>658.52255454040869</v>
      </c>
      <c r="E21" s="965">
        <v>166.48745371756607</v>
      </c>
      <c r="F21" s="965">
        <v>1116.2976019953801</v>
      </c>
      <c r="G21" s="965">
        <v>433.59206384940489</v>
      </c>
      <c r="H21" s="965">
        <v>311.3257948284695</v>
      </c>
      <c r="I21" s="965">
        <v>345.93009448771397</v>
      </c>
      <c r="J21" s="965">
        <v>350.09743336637075</v>
      </c>
      <c r="K21" s="965">
        <v>277.01162721469234</v>
      </c>
      <c r="L21" s="965">
        <v>325.06400992662037</v>
      </c>
      <c r="M21" s="968"/>
      <c r="N21" s="3">
        <v>2028</v>
      </c>
      <c r="O21" s="1170">
        <f>C21*Compost!J20/100</f>
        <v>1199.1277829077062</v>
      </c>
      <c r="P21" s="1116">
        <f t="shared" si="19"/>
        <v>470.49323605407341</v>
      </c>
      <c r="Q21" s="1116">
        <f t="shared" si="20"/>
        <v>33.825187040029945</v>
      </c>
      <c r="R21" s="1116">
        <f t="shared" si="21"/>
        <v>192.50435162828566</v>
      </c>
      <c r="S21" s="1116">
        <f t="shared" si="22"/>
        <v>347.22077538230013</v>
      </c>
      <c r="T21" s="1116">
        <f t="shared" si="23"/>
        <v>154.73555442793113</v>
      </c>
      <c r="U21" s="1116">
        <f t="shared" si="24"/>
        <v>157.20373783311678</v>
      </c>
      <c r="V21" s="1116">
        <f t="shared" si="25"/>
        <v>194.08102612430059</v>
      </c>
      <c r="W21" s="1116">
        <f t="shared" si="26"/>
        <v>143.96564520002346</v>
      </c>
      <c r="X21" s="1116">
        <f t="shared" si="27"/>
        <v>94.590686971472365</v>
      </c>
      <c r="AA21" s="3">
        <v>2028</v>
      </c>
      <c r="AB21" s="707">
        <f>C21*'H&amp;C Recycling'!M18/100</f>
        <v>829.76180680322216</v>
      </c>
      <c r="AC21" s="1129">
        <f t="shared" si="8"/>
        <v>244.95560038413299</v>
      </c>
      <c r="AD21" s="1129">
        <f t="shared" si="9"/>
        <v>39.067938278021551</v>
      </c>
      <c r="AE21" s="1129">
        <f t="shared" si="10"/>
        <v>120.24589778763999</v>
      </c>
      <c r="AF21" s="1129">
        <f t="shared" si="11"/>
        <v>328.2546921818942</v>
      </c>
      <c r="AG21" s="1129">
        <f t="shared" si="12"/>
        <v>97.237678171533346</v>
      </c>
      <c r="AH21" s="2"/>
      <c r="AI21" s="2"/>
      <c r="AJ21" s="2"/>
      <c r="AK21" s="2"/>
      <c r="AM21" s="3">
        <v>2028</v>
      </c>
      <c r="AN21" s="707">
        <f t="shared" si="18"/>
        <v>507.05725259720555</v>
      </c>
      <c r="AO21" s="528">
        <f t="shared" si="13"/>
        <v>-56.926281897797708</v>
      </c>
      <c r="AP21" s="528">
        <f t="shared" si="13"/>
        <v>93.59432839951458</v>
      </c>
      <c r="AQ21" s="528">
        <f t="shared" si="13"/>
        <v>803.54735257945435</v>
      </c>
      <c r="AR21" s="528">
        <f t="shared" si="13"/>
        <v>-241.88340371478944</v>
      </c>
      <c r="AS21" s="528">
        <f t="shared" si="13"/>
        <v>59.352562229005017</v>
      </c>
      <c r="AT21" s="528">
        <f t="shared" si="13"/>
        <v>188.7263566545972</v>
      </c>
      <c r="AU21" s="528"/>
      <c r="AV21" s="528"/>
      <c r="AW21" s="528"/>
      <c r="AY21" s="3">
        <v>2028</v>
      </c>
      <c r="AZ21" s="707">
        <f>C21*Bioplastics!AL26</f>
        <v>345.01283762624877</v>
      </c>
      <c r="BD21" s="3">
        <v>2028</v>
      </c>
      <c r="BE21" s="1131">
        <f t="shared" si="14"/>
        <v>0.47285209725307187</v>
      </c>
      <c r="BF21" s="1131">
        <f t="shared" si="15"/>
        <v>0.32720000000000027</v>
      </c>
      <c r="BG21" s="1131">
        <f t="shared" si="16"/>
        <v>0.19994790274692786</v>
      </c>
    </row>
    <row r="22" spans="2:59" ht="14.4" x14ac:dyDescent="0.55000000000000004">
      <c r="B22" s="3">
        <v>2029</v>
      </c>
      <c r="C22" s="707">
        <v>2582.5519206119802</v>
      </c>
      <c r="D22" s="965">
        <v>662.71694470772582</v>
      </c>
      <c r="E22" s="965">
        <v>167.80032966400597</v>
      </c>
      <c r="F22" s="965">
        <v>1137.0970317191409</v>
      </c>
      <c r="G22" s="965">
        <v>447.47094582272166</v>
      </c>
      <c r="H22" s="965">
        <v>315.81377932164031</v>
      </c>
      <c r="I22" s="965">
        <v>357.25760236169015</v>
      </c>
      <c r="J22" s="965">
        <v>365.06268063192715</v>
      </c>
      <c r="K22" s="965">
        <v>278.71551444091676</v>
      </c>
      <c r="L22" s="965">
        <v>332.76907118369809</v>
      </c>
      <c r="M22" s="968"/>
      <c r="N22" s="3">
        <v>2029</v>
      </c>
      <c r="O22" s="1170">
        <f>C22*Compost!J21/100</f>
        <v>1222.9071408546165</v>
      </c>
      <c r="P22" s="1116">
        <f t="shared" si="19"/>
        <v>479.82337353500196</v>
      </c>
      <c r="Q22" s="1116">
        <f t="shared" si="20"/>
        <v>34.495958947503937</v>
      </c>
      <c r="R22" s="1116">
        <f t="shared" si="21"/>
        <v>196.32181791416124</v>
      </c>
      <c r="S22" s="1116">
        <f t="shared" si="22"/>
        <v>354.10635273453045</v>
      </c>
      <c r="T22" s="1116">
        <f t="shared" si="23"/>
        <v>157.80404486598366</v>
      </c>
      <c r="U22" s="1116">
        <f t="shared" si="24"/>
        <v>160.32117369425688</v>
      </c>
      <c r="V22" s="1116">
        <f t="shared" si="25"/>
        <v>197.92975872536033</v>
      </c>
      <c r="W22" s="1116">
        <f t="shared" si="26"/>
        <v>146.82056246411017</v>
      </c>
      <c r="X22" s="1116">
        <f t="shared" si="27"/>
        <v>96.466471884473506</v>
      </c>
      <c r="AA22" s="3">
        <v>2029</v>
      </c>
      <c r="AB22" s="707">
        <f>C22*'H&amp;C Recycling'!M19/100</f>
        <v>840.1041397750779</v>
      </c>
      <c r="AC22" s="1129">
        <f t="shared" si="8"/>
        <v>248.00878066035452</v>
      </c>
      <c r="AD22" s="1129">
        <f t="shared" si="9"/>
        <v>39.554889621024287</v>
      </c>
      <c r="AE22" s="1129">
        <f t="shared" si="10"/>
        <v>121.74466900514246</v>
      </c>
      <c r="AF22" s="1129">
        <f t="shared" si="11"/>
        <v>332.34613059022314</v>
      </c>
      <c r="AG22" s="1129">
        <f t="shared" si="12"/>
        <v>98.449669898333369</v>
      </c>
      <c r="AH22" s="2"/>
      <c r="AI22" s="2"/>
      <c r="AJ22" s="2"/>
      <c r="AK22" s="2"/>
      <c r="AM22" s="3">
        <v>2029</v>
      </c>
      <c r="AN22" s="707">
        <f t="shared" si="18"/>
        <v>519.54063998228582</v>
      </c>
      <c r="AO22" s="528">
        <f t="shared" si="13"/>
        <v>-65.115209487630665</v>
      </c>
      <c r="AP22" s="528">
        <f t="shared" si="13"/>
        <v>93.749481095477748</v>
      </c>
      <c r="AQ22" s="528">
        <f t="shared" si="13"/>
        <v>819.03054479983723</v>
      </c>
      <c r="AR22" s="528">
        <f t="shared" si="13"/>
        <v>-238.98153750203193</v>
      </c>
      <c r="AS22" s="528">
        <f t="shared" si="13"/>
        <v>59.560064557323287</v>
      </c>
      <c r="AT22" s="528">
        <f t="shared" si="13"/>
        <v>196.93642866743326</v>
      </c>
      <c r="AU22" s="528"/>
      <c r="AV22" s="528"/>
      <c r="AW22" s="528"/>
      <c r="AY22" s="3">
        <v>2029</v>
      </c>
      <c r="AZ22" s="707">
        <f>C22*Bioplastics!AL27</f>
        <v>355.17844811607688</v>
      </c>
      <c r="BD22" s="3">
        <v>2029</v>
      </c>
      <c r="BE22" s="1131">
        <f t="shared" si="14"/>
        <v>0.47352664281182294</v>
      </c>
      <c r="BF22" s="1131">
        <f t="shared" si="15"/>
        <v>0.32530000000000026</v>
      </c>
      <c r="BG22" s="1131">
        <f t="shared" si="16"/>
        <v>0.20117335718817678</v>
      </c>
    </row>
    <row r="23" spans="2:59" ht="14.4" x14ac:dyDescent="0.55000000000000004">
      <c r="B23" s="3">
        <v>2030</v>
      </c>
      <c r="C23" s="707">
        <v>2631.964314994379</v>
      </c>
      <c r="D23" s="965">
        <v>671.07859175619342</v>
      </c>
      <c r="E23" s="965">
        <v>170.39176235591665</v>
      </c>
      <c r="F23" s="965">
        <v>1159.581693955625</v>
      </c>
      <c r="G23" s="965">
        <v>461.82297590791268</v>
      </c>
      <c r="H23" s="965">
        <v>321.08927903679051</v>
      </c>
      <c r="I23" s="965">
        <v>368.58511023566632</v>
      </c>
      <c r="J23" s="965">
        <v>380.02792789748349</v>
      </c>
      <c r="K23" s="965">
        <v>280.41940166714107</v>
      </c>
      <c r="L23" s="965">
        <v>340.74303855445942</v>
      </c>
      <c r="M23" s="968"/>
      <c r="N23" s="3">
        <v>2030</v>
      </c>
      <c r="O23" s="1170">
        <f>C23*Compost!J22/100</f>
        <v>1247.9281116320906</v>
      </c>
      <c r="P23" s="1116">
        <f t="shared" si="19"/>
        <v>489.64067380784059</v>
      </c>
      <c r="Q23" s="1116">
        <f t="shared" si="20"/>
        <v>35.201754466993059</v>
      </c>
      <c r="R23" s="1116">
        <f t="shared" si="21"/>
        <v>200.33860897286581</v>
      </c>
      <c r="S23" s="1116">
        <f t="shared" si="22"/>
        <v>361.35145287982584</v>
      </c>
      <c r="T23" s="1116">
        <f t="shared" si="23"/>
        <v>161.03275313274517</v>
      </c>
      <c r="U23" s="1116">
        <f t="shared" si="24"/>
        <v>163.60138301514698</v>
      </c>
      <c r="V23" s="1116">
        <f t="shared" si="25"/>
        <v>201.97944863525717</v>
      </c>
      <c r="W23" s="1116">
        <f t="shared" si="26"/>
        <v>149.82454607024036</v>
      </c>
      <c r="X23" s="1116">
        <f t="shared" si="27"/>
        <v>98.440198828565656</v>
      </c>
      <c r="AA23" s="3">
        <v>2030</v>
      </c>
      <c r="AB23" s="707">
        <f>C23*'H&amp;C Recycling'!M20/100</f>
        <v>851.17725946918301</v>
      </c>
      <c r="AC23" s="1129">
        <f t="shared" si="8"/>
        <v>251.27769790932371</v>
      </c>
      <c r="AD23" s="1129">
        <f t="shared" si="9"/>
        <v>40.076248827012705</v>
      </c>
      <c r="AE23" s="1129">
        <f t="shared" si="10"/>
        <v>123.34934303088178</v>
      </c>
      <c r="AF23" s="1129">
        <f t="shared" si="11"/>
        <v>336.72666903737746</v>
      </c>
      <c r="AG23" s="1129">
        <f t="shared" si="12"/>
        <v>99.747300664587243</v>
      </c>
      <c r="AH23" s="2"/>
      <c r="AI23" s="2"/>
      <c r="AJ23" s="2"/>
      <c r="AK23" s="2"/>
      <c r="AM23" s="3">
        <v>2030</v>
      </c>
      <c r="AN23" s="707">
        <f t="shared" si="18"/>
        <v>532.85894389310545</v>
      </c>
      <c r="AO23" s="528">
        <f t="shared" si="18"/>
        <v>-69.839779960970873</v>
      </c>
      <c r="AP23" s="528">
        <f t="shared" si="18"/>
        <v>95.113759061910883</v>
      </c>
      <c r="AQ23" s="528">
        <f t="shared" si="18"/>
        <v>835.89374195187747</v>
      </c>
      <c r="AR23" s="528">
        <f t="shared" si="18"/>
        <v>-236.25514600929063</v>
      </c>
      <c r="AS23" s="528">
        <f t="shared" si="18"/>
        <v>60.309225239458101</v>
      </c>
      <c r="AT23" s="528">
        <f t="shared" si="18"/>
        <v>204.98372722051934</v>
      </c>
      <c r="AU23" s="528"/>
      <c r="AV23" s="528"/>
      <c r="AW23" s="528"/>
      <c r="AY23" s="3">
        <v>2030</v>
      </c>
      <c r="AZ23" s="707">
        <f>C23*Bioplastics!AL28</f>
        <v>365.57585002380057</v>
      </c>
      <c r="BD23" s="3">
        <v>2030</v>
      </c>
      <c r="BE23" s="1131">
        <f t="shared" si="14"/>
        <v>0.47414324902606275</v>
      </c>
      <c r="BF23" s="1131">
        <f t="shared" si="15"/>
        <v>0.3234000000000003</v>
      </c>
      <c r="BG23" s="1131">
        <f t="shared" si="16"/>
        <v>0.20245675097393692</v>
      </c>
    </row>
    <row r="24" spans="2:59" ht="14.4" x14ac:dyDescent="0.55000000000000004">
      <c r="B24" s="3">
        <v>2031</v>
      </c>
      <c r="C24" s="707">
        <v>2675.0918435535782</v>
      </c>
      <c r="D24" s="965">
        <v>673.6172807220504</v>
      </c>
      <c r="E24" s="965">
        <v>170.25647725236496</v>
      </c>
      <c r="F24" s="965">
        <v>1177.8633437726871</v>
      </c>
      <c r="G24" s="965">
        <v>475.42061042428685</v>
      </c>
      <c r="H24" s="965">
        <v>324.51569785489437</v>
      </c>
      <c r="I24" s="965">
        <v>372.01380893553295</v>
      </c>
      <c r="J24" s="965">
        <v>392.15029247603758</v>
      </c>
      <c r="K24" s="965">
        <v>282.67666114411583</v>
      </c>
      <c r="L24" s="965">
        <v>347.8564488960472</v>
      </c>
      <c r="M24" s="968"/>
      <c r="N24" s="3">
        <v>2031</v>
      </c>
      <c r="O24" s="1170">
        <f>C24*Compost!J23/100</f>
        <v>1269.8841778443089</v>
      </c>
      <c r="P24" s="1116">
        <f t="shared" si="19"/>
        <v>498.25541928405238</v>
      </c>
      <c r="Q24" s="1116">
        <f t="shared" si="20"/>
        <v>35.82109467149629</v>
      </c>
      <c r="R24" s="1116">
        <f t="shared" si="21"/>
        <v>203.86336951193184</v>
      </c>
      <c r="S24" s="1116">
        <f t="shared" si="22"/>
        <v>367.70907584813494</v>
      </c>
      <c r="T24" s="1116">
        <f t="shared" si="23"/>
        <v>163.86596584521007</v>
      </c>
      <c r="U24" s="1116">
        <f t="shared" si="24"/>
        <v>166.4797882409041</v>
      </c>
      <c r="V24" s="1116">
        <f t="shared" si="25"/>
        <v>205.53307813234673</v>
      </c>
      <c r="W24" s="1116">
        <f t="shared" si="26"/>
        <v>152.4605614168548</v>
      </c>
      <c r="X24" s="1116">
        <f t="shared" si="27"/>
        <v>100.17215718680571</v>
      </c>
      <c r="AA24" s="3">
        <v>2031</v>
      </c>
      <c r="AB24" s="707">
        <f>C24*'H&amp;C Recycling'!M21/100</f>
        <v>860.04202770247639</v>
      </c>
      <c r="AC24" s="1129">
        <f t="shared" si="8"/>
        <v>253.89468341895866</v>
      </c>
      <c r="AD24" s="1129">
        <f t="shared" si="9"/>
        <v>40.493631520874636</v>
      </c>
      <c r="AE24" s="1129">
        <f t="shared" si="10"/>
        <v>124.63399123492296</v>
      </c>
      <c r="AF24" s="1129">
        <f t="shared" si="11"/>
        <v>340.23358119436671</v>
      </c>
      <c r="AG24" s="1129">
        <f t="shared" si="12"/>
        <v>100.78614033335333</v>
      </c>
      <c r="AH24" s="2"/>
      <c r="AI24" s="2"/>
      <c r="AJ24" s="2"/>
      <c r="AK24" s="2"/>
      <c r="AM24" s="3">
        <v>2031</v>
      </c>
      <c r="AN24" s="707">
        <f t="shared" si="18"/>
        <v>545.16563800679296</v>
      </c>
      <c r="AO24" s="528">
        <f t="shared" si="18"/>
        <v>-78.532821980960648</v>
      </c>
      <c r="AP24" s="528">
        <f t="shared" si="18"/>
        <v>93.941751059994033</v>
      </c>
      <c r="AQ24" s="528">
        <f t="shared" si="18"/>
        <v>849.36598302583229</v>
      </c>
      <c r="AR24" s="528">
        <f t="shared" si="18"/>
        <v>-232.5220466182148</v>
      </c>
      <c r="AS24" s="528">
        <f t="shared" si="18"/>
        <v>59.863591676330969</v>
      </c>
      <c r="AT24" s="528">
        <f t="shared" si="18"/>
        <v>205.53402069462885</v>
      </c>
      <c r="AU24" s="528"/>
      <c r="AV24" s="528"/>
      <c r="AW24" s="528"/>
      <c r="AY24" s="3">
        <v>2031</v>
      </c>
      <c r="AZ24" s="707">
        <f>C24*Bioplastics!AL29</f>
        <v>376.20773271714336</v>
      </c>
      <c r="BD24" s="3">
        <v>2031</v>
      </c>
      <c r="BE24" s="1131">
        <f t="shared" si="14"/>
        <v>0.47470675853783073</v>
      </c>
      <c r="BF24" s="1131">
        <f t="shared" si="15"/>
        <v>0.3215000000000004</v>
      </c>
      <c r="BG24" s="1131">
        <f t="shared" si="16"/>
        <v>0.20379324146216893</v>
      </c>
    </row>
    <row r="25" spans="2:59" ht="14.4" x14ac:dyDescent="0.55000000000000004">
      <c r="B25" s="3">
        <v>2032</v>
      </c>
      <c r="C25" s="707">
        <v>2720.1024132340781</v>
      </c>
      <c r="D25" s="965">
        <v>675.03466669669638</v>
      </c>
      <c r="E25" s="965">
        <v>171.39075851600956</v>
      </c>
      <c r="F25" s="965">
        <v>1196.9042163092404</v>
      </c>
      <c r="G25" s="965">
        <v>489.40506611942709</v>
      </c>
      <c r="H25" s="965">
        <v>328.64345039472619</v>
      </c>
      <c r="I25" s="965">
        <v>375.44250763539964</v>
      </c>
      <c r="J25" s="965">
        <v>404.27265705459166</v>
      </c>
      <c r="K25" s="965">
        <v>284.93392062109058</v>
      </c>
      <c r="L25" s="965">
        <v>355.23876535131865</v>
      </c>
      <c r="M25" s="968"/>
      <c r="N25" s="3">
        <v>2032</v>
      </c>
      <c r="O25" s="1170">
        <f>C25*Compost!J24/100</f>
        <v>1292.6515071582471</v>
      </c>
      <c r="P25" s="1116">
        <f t="shared" si="19"/>
        <v>507.18847429112503</v>
      </c>
      <c r="Q25" s="1116">
        <f t="shared" si="20"/>
        <v>36.463319114481443</v>
      </c>
      <c r="R25" s="1116">
        <f t="shared" si="21"/>
        <v>207.5183677784716</v>
      </c>
      <c r="S25" s="1116">
        <f t="shared" si="22"/>
        <v>374.30160906306941</v>
      </c>
      <c r="T25" s="1116">
        <f t="shared" si="23"/>
        <v>166.80386401957557</v>
      </c>
      <c r="U25" s="1116">
        <f t="shared" si="24"/>
        <v>169.46454876404852</v>
      </c>
      <c r="V25" s="1116">
        <f t="shared" si="25"/>
        <v>209.21801204709959</v>
      </c>
      <c r="W25" s="1116">
        <f t="shared" si="26"/>
        <v>155.19397590435383</v>
      </c>
      <c r="X25" s="1116">
        <f t="shared" si="27"/>
        <v>101.96811033792781</v>
      </c>
      <c r="AA25" s="3">
        <v>2032</v>
      </c>
      <c r="AB25" s="707">
        <f>C25*'H&amp;C Recycling'!M22/100</f>
        <v>869.34473126961223</v>
      </c>
      <c r="AC25" s="1129">
        <f t="shared" si="8"/>
        <v>256.64095267213457</v>
      </c>
      <c r="AD25" s="1129">
        <f t="shared" si="9"/>
        <v>40.931633662934885</v>
      </c>
      <c r="AE25" s="1129">
        <f t="shared" si="10"/>
        <v>125.98210334747263</v>
      </c>
      <c r="AF25" s="1129">
        <f t="shared" si="11"/>
        <v>343.9137410557301</v>
      </c>
      <c r="AG25" s="1129">
        <f t="shared" si="12"/>
        <v>101.87630053133994</v>
      </c>
      <c r="AH25" s="2"/>
      <c r="AI25" s="2"/>
      <c r="AJ25" s="2"/>
      <c r="AK25" s="2"/>
      <c r="AM25" s="3">
        <v>2032</v>
      </c>
      <c r="AN25" s="707">
        <f t="shared" si="18"/>
        <v>558.10617480621875</v>
      </c>
      <c r="AO25" s="528">
        <f t="shared" si="18"/>
        <v>-88.79476026656323</v>
      </c>
      <c r="AP25" s="528">
        <f t="shared" si="18"/>
        <v>93.995805738593234</v>
      </c>
      <c r="AQ25" s="528">
        <f t="shared" si="18"/>
        <v>863.40374518329611</v>
      </c>
      <c r="AR25" s="528">
        <f t="shared" si="18"/>
        <v>-228.81028399937242</v>
      </c>
      <c r="AS25" s="528">
        <f t="shared" si="18"/>
        <v>59.963285843810681</v>
      </c>
      <c r="AT25" s="528">
        <f t="shared" si="18"/>
        <v>205.97795887135112</v>
      </c>
      <c r="AU25" s="528"/>
      <c r="AV25" s="528"/>
      <c r="AW25" s="528"/>
      <c r="AY25" s="3">
        <v>2032</v>
      </c>
      <c r="AZ25" s="707">
        <f>C25*Bioplastics!AL30</f>
        <v>387.07935610302718</v>
      </c>
      <c r="BD25" s="3">
        <v>2032</v>
      </c>
      <c r="BE25" s="1131">
        <f t="shared" si="14"/>
        <v>0.47522163168163334</v>
      </c>
      <c r="BF25" s="1131">
        <f t="shared" si="15"/>
        <v>0.31960000000000033</v>
      </c>
      <c r="BG25" s="1131">
        <f t="shared" si="16"/>
        <v>0.20517836831836633</v>
      </c>
    </row>
    <row r="26" spans="2:59" ht="14.4" x14ac:dyDescent="0.55000000000000004">
      <c r="B26" s="3">
        <v>2033</v>
      </c>
      <c r="C26" s="707">
        <v>2764.905276871817</v>
      </c>
      <c r="D26" s="965">
        <v>678.97857490345075</v>
      </c>
      <c r="E26" s="965">
        <v>172.48002659293451</v>
      </c>
      <c r="F26" s="965">
        <v>1215.6785487016321</v>
      </c>
      <c r="G26" s="965">
        <v>503.48746350188276</v>
      </c>
      <c r="H26" s="965">
        <v>332.684016103646</v>
      </c>
      <c r="I26" s="965">
        <v>378.87120633526627</v>
      </c>
      <c r="J26" s="965">
        <v>416.3950216331458</v>
      </c>
      <c r="K26" s="965">
        <v>287.19118009806533</v>
      </c>
      <c r="L26" s="965">
        <v>362.88998792027377</v>
      </c>
      <c r="M26" s="968"/>
      <c r="N26" s="3">
        <v>2033</v>
      </c>
      <c r="O26" s="1170">
        <f>C26*Compost!J25/100</f>
        <v>1315.2432459342745</v>
      </c>
      <c r="P26" s="1116">
        <f t="shared" si="19"/>
        <v>516.0526340882127</v>
      </c>
      <c r="Q26" s="1116">
        <f t="shared" si="20"/>
        <v>37.100590471672099</v>
      </c>
      <c r="R26" s="1116">
        <f t="shared" si="21"/>
        <v>211.1451772705251</v>
      </c>
      <c r="S26" s="1116">
        <f t="shared" si="22"/>
        <v>380.84329808642377</v>
      </c>
      <c r="T26" s="1116">
        <f t="shared" si="23"/>
        <v>169.71910397550664</v>
      </c>
      <c r="U26" s="1116">
        <f t="shared" si="24"/>
        <v>172.4262896480175</v>
      </c>
      <c r="V26" s="1116">
        <f t="shared" si="25"/>
        <v>212.87452631195254</v>
      </c>
      <c r="W26" s="1116">
        <f t="shared" si="26"/>
        <v>157.90630923149473</v>
      </c>
      <c r="X26" s="1116">
        <f t="shared" si="27"/>
        <v>103.7502123967448</v>
      </c>
      <c r="AA26" s="3">
        <v>2033</v>
      </c>
      <c r="AB26" s="707">
        <f>C26*'H&amp;C Recycling'!M23/100</f>
        <v>878.41040646217721</v>
      </c>
      <c r="AC26" s="1129">
        <f t="shared" si="8"/>
        <v>259.31724831683027</v>
      </c>
      <c r="AD26" s="1129">
        <f t="shared" si="9"/>
        <v>41.358475722870423</v>
      </c>
      <c r="AE26" s="1129">
        <f t="shared" si="10"/>
        <v>127.29586621730262</v>
      </c>
      <c r="AF26" s="1129">
        <f t="shared" si="11"/>
        <v>347.50013222890465</v>
      </c>
      <c r="AG26" s="1129">
        <f t="shared" si="12"/>
        <v>102.93868397626915</v>
      </c>
      <c r="AH26" s="2"/>
      <c r="AI26" s="2"/>
      <c r="AJ26" s="2"/>
      <c r="AK26" s="2"/>
      <c r="AM26" s="3">
        <v>2033</v>
      </c>
      <c r="AN26" s="707">
        <f t="shared" si="18"/>
        <v>571.25162447536536</v>
      </c>
      <c r="AO26" s="528">
        <f t="shared" si="18"/>
        <v>-96.391307501592223</v>
      </c>
      <c r="AP26" s="528">
        <f t="shared" si="18"/>
        <v>94.020960398391992</v>
      </c>
      <c r="AQ26" s="528">
        <f t="shared" si="18"/>
        <v>877.2375052138043</v>
      </c>
      <c r="AR26" s="528">
        <f t="shared" si="18"/>
        <v>-224.85596681344566</v>
      </c>
      <c r="AS26" s="528">
        <f t="shared" si="18"/>
        <v>60.026228151870214</v>
      </c>
      <c r="AT26" s="528">
        <f t="shared" si="18"/>
        <v>206.44491668724876</v>
      </c>
      <c r="AU26" s="528"/>
      <c r="AV26" s="528"/>
      <c r="AW26" s="528"/>
      <c r="AY26" s="3">
        <v>2033</v>
      </c>
      <c r="AZ26" s="707">
        <f>C26*Bioplastics!AL31</f>
        <v>398.1882820547043</v>
      </c>
      <c r="BD26" s="3">
        <v>2033</v>
      </c>
      <c r="BE26" s="1131">
        <f t="shared" si="14"/>
        <v>0.47569197286292786</v>
      </c>
      <c r="BF26" s="1131">
        <f t="shared" si="15"/>
        <v>0.31770000000000032</v>
      </c>
      <c r="BG26" s="1131">
        <f t="shared" si="16"/>
        <v>0.2066080271370718</v>
      </c>
    </row>
    <row r="27" spans="2:59" ht="14.4" x14ac:dyDescent="0.55000000000000004">
      <c r="B27" s="3">
        <v>2034</v>
      </c>
      <c r="C27" s="707">
        <v>2809.5135667565687</v>
      </c>
      <c r="D27" s="965">
        <v>682.90037147244834</v>
      </c>
      <c r="E27" s="965">
        <v>173.53016241063759</v>
      </c>
      <c r="F27" s="965">
        <v>1234.1954414635343</v>
      </c>
      <c r="G27" s="965">
        <v>517.68394231792342</v>
      </c>
      <c r="H27" s="965">
        <v>336.64012647165691</v>
      </c>
      <c r="I27" s="965">
        <v>382.29990503513295</v>
      </c>
      <c r="J27" s="965">
        <v>428.51738621169989</v>
      </c>
      <c r="K27" s="965">
        <v>289.44843957504008</v>
      </c>
      <c r="L27" s="965">
        <v>370.8101166029125</v>
      </c>
      <c r="M27" s="968"/>
      <c r="N27" s="3">
        <v>2034</v>
      </c>
      <c r="O27" s="1170">
        <f>C27*Compost!J26/100</f>
        <v>1337.6699704005453</v>
      </c>
      <c r="P27" s="1116">
        <f t="shared" si="19"/>
        <v>524.85204839470362</v>
      </c>
      <c r="Q27" s="1116">
        <f t="shared" si="20"/>
        <v>37.733207078992599</v>
      </c>
      <c r="R27" s="1116">
        <f t="shared" si="21"/>
        <v>214.7454958638088</v>
      </c>
      <c r="S27" s="1116">
        <f t="shared" si="22"/>
        <v>387.33720538259314</v>
      </c>
      <c r="T27" s="1116">
        <f t="shared" si="23"/>
        <v>172.61305047041324</v>
      </c>
      <c r="U27" s="1116">
        <f t="shared" si="24"/>
        <v>175.36639741943634</v>
      </c>
      <c r="V27" s="1116">
        <f t="shared" si="25"/>
        <v>216.50433270878742</v>
      </c>
      <c r="W27" s="1116">
        <f t="shared" si="26"/>
        <v>160.59883116579667</v>
      </c>
      <c r="X27" s="1116">
        <f t="shared" si="27"/>
        <v>105.51929764689262</v>
      </c>
      <c r="AA27" s="3">
        <v>2034</v>
      </c>
      <c r="AB27" s="707">
        <f>C27*'H&amp;C Recycling'!M24/100</f>
        <v>887.24438438172524</v>
      </c>
      <c r="AC27" s="1129">
        <f t="shared" si="8"/>
        <v>261.92514415792704</v>
      </c>
      <c r="AD27" s="1129">
        <f t="shared" si="9"/>
        <v>41.774408706626268</v>
      </c>
      <c r="AE27" s="1129">
        <f t="shared" si="10"/>
        <v>128.57605240719815</v>
      </c>
      <c r="AF27" s="1129">
        <f t="shared" si="11"/>
        <v>350.99486370358505</v>
      </c>
      <c r="AG27" s="1129">
        <f t="shared" si="12"/>
        <v>103.97391540638866</v>
      </c>
      <c r="AH27" s="2"/>
      <c r="AI27" s="2"/>
      <c r="AJ27" s="2"/>
      <c r="AK27" s="2"/>
      <c r="AM27" s="3">
        <v>2034</v>
      </c>
      <c r="AN27" s="707">
        <f t="shared" si="18"/>
        <v>584.59921197429821</v>
      </c>
      <c r="AO27" s="528">
        <f t="shared" si="18"/>
        <v>-103.87682108018231</v>
      </c>
      <c r="AP27" s="528">
        <f t="shared" si="18"/>
        <v>94.02254662501872</v>
      </c>
      <c r="AQ27" s="528">
        <f t="shared" si="18"/>
        <v>890.87389319252725</v>
      </c>
      <c r="AR27" s="528">
        <f t="shared" si="18"/>
        <v>-220.64812676825477</v>
      </c>
      <c r="AS27" s="528">
        <f t="shared" si="18"/>
        <v>60.053160594855015</v>
      </c>
      <c r="AT27" s="528">
        <f t="shared" si="18"/>
        <v>206.93350761569661</v>
      </c>
      <c r="AU27" s="528"/>
      <c r="AV27" s="528"/>
      <c r="AW27" s="528"/>
      <c r="AY27" s="3">
        <v>2034</v>
      </c>
      <c r="AZ27" s="707">
        <f>C27*Bioplastics!AL32</f>
        <v>409.53158130019591</v>
      </c>
      <c r="BD27" s="3">
        <v>2034</v>
      </c>
      <c r="BE27" s="1131">
        <f t="shared" si="14"/>
        <v>0.47612155578405441</v>
      </c>
      <c r="BF27" s="1131">
        <f t="shared" si="15"/>
        <v>0.3158000000000003</v>
      </c>
      <c r="BG27" s="1131">
        <f t="shared" si="16"/>
        <v>0.20807844421594532</v>
      </c>
    </row>
    <row r="28" spans="2:59" ht="14.4" x14ac:dyDescent="0.55000000000000004">
      <c r="B28" s="3">
        <v>2035</v>
      </c>
      <c r="C28" s="707">
        <v>2854.0638327332344</v>
      </c>
      <c r="D28" s="965">
        <v>687.45041571051388</v>
      </c>
      <c r="E28" s="965">
        <v>174.40262511343715</v>
      </c>
      <c r="F28" s="965">
        <v>1252.7291363804557</v>
      </c>
      <c r="G28" s="965">
        <v>531.63511115357085</v>
      </c>
      <c r="H28" s="965">
        <v>340.48837179829752</v>
      </c>
      <c r="I28" s="965">
        <v>385.72860373499964</v>
      </c>
      <c r="J28" s="965">
        <v>440.63975079025397</v>
      </c>
      <c r="K28" s="965">
        <v>291.70569905201484</v>
      </c>
      <c r="L28" s="965">
        <v>378.9991513992349</v>
      </c>
      <c r="M28" s="968"/>
      <c r="N28" s="3">
        <v>2035</v>
      </c>
      <c r="O28" s="1170">
        <f>C28*Compost!J27/100</f>
        <v>1360.0009377678862</v>
      </c>
      <c r="P28" s="1116">
        <f t="shared" si="19"/>
        <v>533.61389116962562</v>
      </c>
      <c r="Q28" s="1116">
        <f t="shared" si="20"/>
        <v>38.363122554850811</v>
      </c>
      <c r="R28" s="1116">
        <f t="shared" si="21"/>
        <v>218.33044190171844</v>
      </c>
      <c r="S28" s="1116">
        <f t="shared" si="22"/>
        <v>393.80338514662395</v>
      </c>
      <c r="T28" s="1116">
        <f t="shared" si="23"/>
        <v>175.49464046086339</v>
      </c>
      <c r="U28" s="1116">
        <f t="shared" si="24"/>
        <v>178.29395158806955</v>
      </c>
      <c r="V28" s="1116">
        <f t="shared" si="25"/>
        <v>220.11864064392043</v>
      </c>
      <c r="W28" s="1116">
        <f t="shared" si="26"/>
        <v>163.27985663347806</v>
      </c>
      <c r="X28" s="1116">
        <f t="shared" si="27"/>
        <v>107.2808292985839</v>
      </c>
      <c r="AA28" s="3">
        <v>2035</v>
      </c>
      <c r="AB28" s="707">
        <f>C28*'H&amp;C Recycling'!M25/100</f>
        <v>895.89063709496315</v>
      </c>
      <c r="AC28" s="1129">
        <f t="shared" si="8"/>
        <v>264.47762127494912</v>
      </c>
      <c r="AD28" s="1129">
        <f t="shared" si="9"/>
        <v>42.181502964963308</v>
      </c>
      <c r="AE28" s="1129">
        <f t="shared" si="10"/>
        <v>129.82903418037424</v>
      </c>
      <c r="AF28" s="1129">
        <f t="shared" si="11"/>
        <v>354.41533087818931</v>
      </c>
      <c r="AG28" s="1129">
        <f t="shared" si="12"/>
        <v>104.98714779648702</v>
      </c>
      <c r="AH28" s="2"/>
      <c r="AI28" s="2"/>
      <c r="AJ28" s="2"/>
      <c r="AK28" s="2"/>
      <c r="AM28" s="3">
        <v>2035</v>
      </c>
      <c r="AN28" s="707">
        <f t="shared" si="18"/>
        <v>598.17225787038512</v>
      </c>
      <c r="AO28" s="528">
        <f t="shared" si="18"/>
        <v>-110.64109673406085</v>
      </c>
      <c r="AP28" s="528">
        <f t="shared" si="18"/>
        <v>93.857999593623049</v>
      </c>
      <c r="AQ28" s="528">
        <f t="shared" si="18"/>
        <v>904.56966029836303</v>
      </c>
      <c r="AR28" s="528">
        <f t="shared" si="18"/>
        <v>-216.58360487124241</v>
      </c>
      <c r="AS28" s="528">
        <f t="shared" si="18"/>
        <v>60.006583540947105</v>
      </c>
      <c r="AT28" s="528">
        <f t="shared" si="18"/>
        <v>207.43465214693009</v>
      </c>
      <c r="AU28" s="528"/>
      <c r="AV28" s="528"/>
      <c r="AW28" s="528"/>
      <c r="AY28" s="3">
        <v>2035</v>
      </c>
      <c r="AZ28" s="707">
        <f>C28*Bioplastics!AL33</f>
        <v>421.10660463406822</v>
      </c>
      <c r="BD28" s="3">
        <v>2035</v>
      </c>
      <c r="BE28" s="1131">
        <f t="shared" si="14"/>
        <v>0.47651384743748432</v>
      </c>
      <c r="BF28" s="1131">
        <f t="shared" si="15"/>
        <v>0.31390000000000029</v>
      </c>
      <c r="BG28" s="1131">
        <f t="shared" si="16"/>
        <v>0.20958615256251539</v>
      </c>
    </row>
    <row r="29" spans="2:59" ht="14.4" x14ac:dyDescent="0.55000000000000004">
      <c r="B29" s="3">
        <v>2036</v>
      </c>
      <c r="C29" s="707">
        <v>2898.1595420928984</v>
      </c>
      <c r="D29" s="965">
        <v>690.66495132921341</v>
      </c>
      <c r="E29" s="965">
        <v>175.53367971695428</v>
      </c>
      <c r="F29" s="965">
        <v>1270.5044930849463</v>
      </c>
      <c r="G29" s="965">
        <v>546.48345974309211</v>
      </c>
      <c r="H29" s="965">
        <v>344.31158870693434</v>
      </c>
      <c r="I29" s="965">
        <v>389.15730243486627</v>
      </c>
      <c r="J29" s="965">
        <v>452.76211536880805</v>
      </c>
      <c r="K29" s="965">
        <v>293.96295852898959</v>
      </c>
      <c r="L29" s="965">
        <v>387.45709230924092</v>
      </c>
      <c r="M29" s="968"/>
      <c r="N29" s="3">
        <v>2036</v>
      </c>
      <c r="O29" s="1170">
        <f>C29*Compost!J28/100</f>
        <v>1382.0512264784813</v>
      </c>
      <c r="P29" s="1116">
        <f t="shared" si="19"/>
        <v>542.26560605710654</v>
      </c>
      <c r="Q29" s="1116">
        <f t="shared" si="20"/>
        <v>38.985120602560087</v>
      </c>
      <c r="R29" s="1116">
        <f t="shared" si="21"/>
        <v>221.87032863602184</v>
      </c>
      <c r="S29" s="1116">
        <f t="shared" si="22"/>
        <v>400.1882912864275</v>
      </c>
      <c r="T29" s="1116">
        <f t="shared" si="23"/>
        <v>178.34001165279457</v>
      </c>
      <c r="U29" s="1116">
        <f t="shared" si="24"/>
        <v>181.18470923292992</v>
      </c>
      <c r="V29" s="1116">
        <f t="shared" si="25"/>
        <v>223.6875202248039</v>
      </c>
      <c r="W29" s="1116">
        <f t="shared" si="26"/>
        <v>165.92718420466483</v>
      </c>
      <c r="X29" s="1116">
        <f t="shared" si="27"/>
        <v>109.02022020152575</v>
      </c>
      <c r="AA29" s="3">
        <v>2036</v>
      </c>
      <c r="AB29" s="707">
        <f>C29*'H&amp;C Recycling'!M26/100</f>
        <v>904.22577713298506</v>
      </c>
      <c r="AC29" s="1129">
        <f t="shared" si="8"/>
        <v>266.93825421269014</v>
      </c>
      <c r="AD29" s="1129">
        <f t="shared" si="9"/>
        <v>42.573949006555253</v>
      </c>
      <c r="AE29" s="1129">
        <f t="shared" si="10"/>
        <v>131.03693069819425</v>
      </c>
      <c r="AF29" s="1129">
        <f t="shared" si="11"/>
        <v>357.71272153300254</v>
      </c>
      <c r="AG29" s="1129">
        <f t="shared" si="12"/>
        <v>105.96392168254279</v>
      </c>
      <c r="AH29" s="2"/>
      <c r="AI29" s="2"/>
      <c r="AJ29" s="2"/>
      <c r="AK29" s="2"/>
      <c r="AM29" s="3">
        <v>2036</v>
      </c>
      <c r="AN29" s="707">
        <f t="shared" si="18"/>
        <v>611.88253848143199</v>
      </c>
      <c r="AO29" s="528">
        <f t="shared" si="18"/>
        <v>-118.53890894058327</v>
      </c>
      <c r="AP29" s="528">
        <f t="shared" si="18"/>
        <v>93.974610107838956</v>
      </c>
      <c r="AQ29" s="528">
        <f t="shared" si="18"/>
        <v>917.59723375073008</v>
      </c>
      <c r="AR29" s="528">
        <f t="shared" si="18"/>
        <v>-211.41755307633792</v>
      </c>
      <c r="AS29" s="528">
        <f t="shared" si="18"/>
        <v>60.007655371596982</v>
      </c>
      <c r="AT29" s="528">
        <f t="shared" si="18"/>
        <v>207.97259320193635</v>
      </c>
      <c r="AU29" s="528"/>
      <c r="AV29" s="528"/>
      <c r="AW29" s="528"/>
      <c r="AY29" s="3">
        <v>2036</v>
      </c>
      <c r="AZ29" s="707">
        <f>C29*Bioplastics!AL34</f>
        <v>432.91251079814674</v>
      </c>
      <c r="BD29" s="3">
        <v>2036</v>
      </c>
      <c r="BE29" s="1131">
        <f t="shared" si="14"/>
        <v>0.47687203082009649</v>
      </c>
      <c r="BF29" s="1131">
        <f t="shared" si="15"/>
        <v>0.31200000000000028</v>
      </c>
      <c r="BG29" s="1131">
        <f t="shared" si="16"/>
        <v>0.21112796917990326</v>
      </c>
    </row>
    <row r="30" spans="2:59" ht="14.4" x14ac:dyDescent="0.55000000000000004">
      <c r="B30" s="3">
        <v>2037</v>
      </c>
      <c r="C30" s="707">
        <v>2942.2306487243113</v>
      </c>
      <c r="D30" s="965">
        <v>694.50218260989516</v>
      </c>
      <c r="E30" s="965">
        <v>176.49510302014977</v>
      </c>
      <c r="F30" s="965">
        <v>1288.3271201081338</v>
      </c>
      <c r="G30" s="965">
        <v>561.11811845006946</v>
      </c>
      <c r="H30" s="965">
        <v>348.03416152175635</v>
      </c>
      <c r="I30" s="965">
        <v>392.58600113473295</v>
      </c>
      <c r="J30" s="965">
        <v>464.88447994736214</v>
      </c>
      <c r="K30" s="965">
        <v>296.2202180059644</v>
      </c>
      <c r="L30" s="965">
        <v>396.18393933293061</v>
      </c>
      <c r="M30" s="968"/>
      <c r="N30" s="3">
        <v>2037</v>
      </c>
      <c r="O30" s="1170">
        <f>C30*Compost!J29/100</f>
        <v>1404.0296008667281</v>
      </c>
      <c r="P30" s="1116">
        <f t="shared" si="19"/>
        <v>550.88910443361783</v>
      </c>
      <c r="Q30" s="1116">
        <f t="shared" si="20"/>
        <v>39.605090079637471</v>
      </c>
      <c r="R30" s="1116">
        <f t="shared" si="21"/>
        <v>225.39867046227306</v>
      </c>
      <c r="S30" s="1116">
        <f t="shared" si="22"/>
        <v>406.55237383501515</v>
      </c>
      <c r="T30" s="1116">
        <f t="shared" si="23"/>
        <v>181.17610301425356</v>
      </c>
      <c r="U30" s="1116">
        <f t="shared" si="24"/>
        <v>184.06603902494757</v>
      </c>
      <c r="V30" s="1116">
        <f t="shared" si="25"/>
        <v>227.24476034100869</v>
      </c>
      <c r="W30" s="1116">
        <f t="shared" si="26"/>
        <v>168.5658778404499</v>
      </c>
      <c r="X30" s="1116">
        <f t="shared" si="27"/>
        <v>110.75393829357039</v>
      </c>
      <c r="AA30" s="3">
        <v>2037</v>
      </c>
      <c r="AB30" s="707">
        <f>C30*'H&amp;C Recycling'!M27/100</f>
        <v>912.38572416940963</v>
      </c>
      <c r="AC30" s="1129">
        <f t="shared" si="8"/>
        <v>269.34716808293786</v>
      </c>
      <c r="AD30" s="1129">
        <f t="shared" si="9"/>
        <v>42.958146380496999</v>
      </c>
      <c r="AE30" s="1129">
        <f t="shared" si="10"/>
        <v>132.21943891832393</v>
      </c>
      <c r="AF30" s="1129">
        <f t="shared" si="11"/>
        <v>360.94080564184043</v>
      </c>
      <c r="AG30" s="1129">
        <f t="shared" si="12"/>
        <v>106.92016514581029</v>
      </c>
      <c r="AH30" s="2"/>
      <c r="AI30" s="2"/>
      <c r="AJ30" s="2"/>
      <c r="AK30" s="2"/>
      <c r="AM30" s="3">
        <v>2037</v>
      </c>
      <c r="AN30" s="707">
        <f t="shared" si="18"/>
        <v>625.81532368817363</v>
      </c>
      <c r="AO30" s="528">
        <f t="shared" si="18"/>
        <v>-125.73408990666053</v>
      </c>
      <c r="AP30" s="528">
        <f t="shared" si="18"/>
        <v>93.931866560015294</v>
      </c>
      <c r="AQ30" s="528">
        <f t="shared" si="18"/>
        <v>930.70901072753691</v>
      </c>
      <c r="AR30" s="528">
        <f t="shared" si="18"/>
        <v>-206.37506102678611</v>
      </c>
      <c r="AS30" s="528">
        <f t="shared" si="18"/>
        <v>59.937893361692502</v>
      </c>
      <c r="AT30" s="528">
        <f t="shared" si="18"/>
        <v>208.51996210978538</v>
      </c>
      <c r="AU30" s="528"/>
      <c r="AV30" s="528"/>
      <c r="AW30" s="528"/>
      <c r="AY30" s="3">
        <v>2037</v>
      </c>
      <c r="AZ30" s="707">
        <f>C30*Bioplastics!AL35</f>
        <v>444.94952968550461</v>
      </c>
      <c r="BD30" s="3">
        <v>2037</v>
      </c>
      <c r="BE30" s="1131">
        <f t="shared" si="14"/>
        <v>0.47719902634944183</v>
      </c>
      <c r="BF30" s="1131">
        <f t="shared" si="15"/>
        <v>0.31010000000000021</v>
      </c>
      <c r="BG30" s="1131">
        <f t="shared" si="16"/>
        <v>0.2127009736505579</v>
      </c>
    </row>
    <row r="31" spans="2:59" ht="14.4" x14ac:dyDescent="0.55000000000000004">
      <c r="B31" s="3">
        <v>2038</v>
      </c>
      <c r="C31" s="707">
        <v>2986.1741721298445</v>
      </c>
      <c r="D31" s="965">
        <v>698.3069148581211</v>
      </c>
      <c r="E31" s="965">
        <v>177.43492975454276</v>
      </c>
      <c r="F31" s="965">
        <v>1305.9520082317495</v>
      </c>
      <c r="G31" s="965">
        <v>575.92958531519014</v>
      </c>
      <c r="H31" s="965">
        <v>351.68678026435288</v>
      </c>
      <c r="I31" s="965">
        <v>396.01469983459958</v>
      </c>
      <c r="J31" s="965">
        <v>477.00684452591622</v>
      </c>
      <c r="K31" s="965">
        <v>298.47747748293909</v>
      </c>
      <c r="L31" s="965">
        <v>405.17969247030391</v>
      </c>
      <c r="M31" s="968"/>
      <c r="N31" s="3">
        <v>2038</v>
      </c>
      <c r="O31" s="1170">
        <f>C31*Compost!J30/100</f>
        <v>1425.8907375446308</v>
      </c>
      <c r="P31" s="1116">
        <f t="shared" si="19"/>
        <v>559.46660308390017</v>
      </c>
      <c r="Q31" s="1116">
        <f t="shared" si="20"/>
        <v>40.221752496752551</v>
      </c>
      <c r="R31" s="1116">
        <f t="shared" si="21"/>
        <v>228.90819130068809</v>
      </c>
      <c r="S31" s="1116">
        <f t="shared" si="22"/>
        <v>412.88250890171645</v>
      </c>
      <c r="T31" s="1116">
        <f t="shared" si="23"/>
        <v>183.99706601127255</v>
      </c>
      <c r="U31" s="1116">
        <f t="shared" si="24"/>
        <v>186.93199914031874</v>
      </c>
      <c r="V31" s="1116">
        <f t="shared" si="25"/>
        <v>230.78302531924371</v>
      </c>
      <c r="W31" s="1116">
        <f t="shared" si="26"/>
        <v>171.19049607672204</v>
      </c>
      <c r="X31" s="1116">
        <f t="shared" si="27"/>
        <v>112.47840833405751</v>
      </c>
      <c r="AA31" s="3">
        <v>2038</v>
      </c>
      <c r="AB31" s="707">
        <f>C31*'H&amp;C Recycling'!M28/100</f>
        <v>920.33887985041872</v>
      </c>
      <c r="AC31" s="1129">
        <f t="shared" si="8"/>
        <v>271.69503467406918</v>
      </c>
      <c r="AD31" s="1129">
        <f t="shared" si="9"/>
        <v>43.332607331475486</v>
      </c>
      <c r="AE31" s="1129">
        <f t="shared" si="10"/>
        <v>133.3719797285502</v>
      </c>
      <c r="AF31" s="1129">
        <f t="shared" si="11"/>
        <v>364.08708286084413</v>
      </c>
      <c r="AG31" s="1129">
        <f t="shared" si="12"/>
        <v>107.85217525547958</v>
      </c>
      <c r="AH31" s="2"/>
      <c r="AI31" s="2"/>
      <c r="AJ31" s="2"/>
      <c r="AK31" s="2"/>
      <c r="AM31" s="3">
        <v>2038</v>
      </c>
      <c r="AN31" s="707">
        <f t="shared" si="18"/>
        <v>639.94455473479491</v>
      </c>
      <c r="AO31" s="528">
        <f t="shared" si="18"/>
        <v>-132.85472289984824</v>
      </c>
      <c r="AP31" s="528">
        <f t="shared" si="18"/>
        <v>93.880569926314735</v>
      </c>
      <c r="AQ31" s="528">
        <f t="shared" si="18"/>
        <v>943.67183720251126</v>
      </c>
      <c r="AR31" s="528">
        <f t="shared" si="18"/>
        <v>-201.04000644737044</v>
      </c>
      <c r="AS31" s="528">
        <f t="shared" si="18"/>
        <v>59.837538997600745</v>
      </c>
      <c r="AT31" s="528">
        <f t="shared" si="18"/>
        <v>209.08270069428085</v>
      </c>
      <c r="AU31" s="528"/>
      <c r="AV31" s="528"/>
      <c r="AW31" s="528"/>
      <c r="AY31" s="3">
        <v>2038</v>
      </c>
      <c r="AZ31" s="707">
        <f>C31*Bioplastics!AL36</f>
        <v>457.21963365561243</v>
      </c>
      <c r="BD31" s="3">
        <v>2038</v>
      </c>
      <c r="BE31" s="1131">
        <f t="shared" si="14"/>
        <v>0.47749751198458573</v>
      </c>
      <c r="BF31" s="1131">
        <f t="shared" si="15"/>
        <v>0.3082000000000002</v>
      </c>
      <c r="BG31" s="1131">
        <f t="shared" si="16"/>
        <v>0.21430248801541402</v>
      </c>
    </row>
    <row r="32" spans="2:59" ht="14.4" x14ac:dyDescent="0.55000000000000004">
      <c r="B32" s="3">
        <v>2039</v>
      </c>
      <c r="C32" s="707">
        <v>3030.0104932724716</v>
      </c>
      <c r="D32" s="965">
        <v>702.07799575612376</v>
      </c>
      <c r="E32" s="965">
        <v>178.35701123367366</v>
      </c>
      <c r="F32" s="965">
        <v>1323.3990406204261</v>
      </c>
      <c r="G32" s="965">
        <v>590.93264993697483</v>
      </c>
      <c r="H32" s="965">
        <v>355.27398846887093</v>
      </c>
      <c r="I32" s="965">
        <v>399.44339853446627</v>
      </c>
      <c r="J32" s="965">
        <v>489.12920910447036</v>
      </c>
      <c r="K32" s="965">
        <v>300.7347369599139</v>
      </c>
      <c r="L32" s="965">
        <v>414.44435172136093</v>
      </c>
      <c r="M32" s="968"/>
      <c r="N32" s="3">
        <v>2039</v>
      </c>
      <c r="O32" s="1170">
        <f>C32*Compost!J31/100</f>
        <v>1447.6479378453637</v>
      </c>
      <c r="P32" s="1116">
        <f t="shared" si="19"/>
        <v>568.00332095740828</v>
      </c>
      <c r="Q32" s="1116">
        <f t="shared" si="20"/>
        <v>40.835483060025084</v>
      </c>
      <c r="R32" s="1116">
        <f t="shared" si="21"/>
        <v>232.40102650711054</v>
      </c>
      <c r="S32" s="1116">
        <f t="shared" si="22"/>
        <v>419.18254803536888</v>
      </c>
      <c r="T32" s="1116">
        <f t="shared" si="23"/>
        <v>186.80461704905261</v>
      </c>
      <c r="U32" s="1116">
        <f t="shared" si="24"/>
        <v>189.78433336258593</v>
      </c>
      <c r="V32" s="1116">
        <f t="shared" si="25"/>
        <v>234.30446800462528</v>
      </c>
      <c r="W32" s="1116">
        <f t="shared" si="26"/>
        <v>173.80263585339023</v>
      </c>
      <c r="X32" s="1116">
        <f t="shared" si="27"/>
        <v>114.19467957083248</v>
      </c>
      <c r="AA32" s="3">
        <v>2039</v>
      </c>
      <c r="AB32" s="707">
        <f>C32*'H&amp;C Recycling'!M29/100</f>
        <v>928.09221408935878</v>
      </c>
      <c r="AC32" s="1129">
        <f t="shared" si="8"/>
        <v>273.98391158778912</v>
      </c>
      <c r="AD32" s="1129">
        <f t="shared" si="9"/>
        <v>43.697660026131047</v>
      </c>
      <c r="AE32" s="1129">
        <f t="shared" si="10"/>
        <v>134.49556318197625</v>
      </c>
      <c r="AF32" s="1129">
        <f t="shared" si="11"/>
        <v>367.15431049547323</v>
      </c>
      <c r="AG32" s="1129">
        <f t="shared" si="12"/>
        <v>108.76076879798903</v>
      </c>
      <c r="AH32" s="2"/>
      <c r="AI32" s="2"/>
      <c r="AJ32" s="2"/>
      <c r="AK32" s="2"/>
      <c r="AM32" s="3">
        <v>2039</v>
      </c>
      <c r="AN32" s="707">
        <f t="shared" si="18"/>
        <v>654.27034133774919</v>
      </c>
      <c r="AO32" s="528">
        <f t="shared" si="18"/>
        <v>-139.90923678907365</v>
      </c>
      <c r="AP32" s="528">
        <f t="shared" si="18"/>
        <v>93.823868147517516</v>
      </c>
      <c r="AQ32" s="528">
        <f t="shared" si="18"/>
        <v>956.50245093133935</v>
      </c>
      <c r="AR32" s="528">
        <f t="shared" si="18"/>
        <v>-195.40420859386728</v>
      </c>
      <c r="AS32" s="528">
        <f t="shared" si="18"/>
        <v>59.708602621829286</v>
      </c>
      <c r="AT32" s="528">
        <f t="shared" si="18"/>
        <v>209.65906517188034</v>
      </c>
      <c r="AU32" s="528"/>
      <c r="AV32" s="528"/>
      <c r="AW32" s="528"/>
      <c r="AY32" s="3">
        <v>2039</v>
      </c>
      <c r="AZ32" s="707">
        <f>C32*Bioplastics!AL37</f>
        <v>469.72584228186025</v>
      </c>
      <c r="BD32" s="3">
        <v>2039</v>
      </c>
      <c r="BE32" s="1131">
        <f t="shared" si="14"/>
        <v>0.47776994207101742</v>
      </c>
      <c r="BF32" s="1131">
        <f t="shared" si="15"/>
        <v>0.30630000000000024</v>
      </c>
      <c r="BG32" s="1131">
        <f t="shared" si="16"/>
        <v>0.21593005792898234</v>
      </c>
    </row>
    <row r="33" spans="2:59" ht="14.4" x14ac:dyDescent="0.55000000000000004">
      <c r="B33" s="3">
        <v>2040</v>
      </c>
      <c r="C33" s="707">
        <v>3070.2682565731338</v>
      </c>
      <c r="D33" s="965">
        <v>705.68365117188807</v>
      </c>
      <c r="E33" s="965">
        <v>179.0045732074062</v>
      </c>
      <c r="F33" s="965">
        <v>1337.925299012205</v>
      </c>
      <c r="G33" s="965">
        <v>605.05013855796085</v>
      </c>
      <c r="H33" s="965">
        <v>358.35471869490266</v>
      </c>
      <c r="I33" s="965">
        <v>402.87209723433295</v>
      </c>
      <c r="J33" s="965">
        <v>501.25157368302445</v>
      </c>
      <c r="K33" s="965">
        <v>302.9919964368886</v>
      </c>
      <c r="L33" s="965">
        <v>423.97791708610151</v>
      </c>
      <c r="M33" s="968"/>
      <c r="N33" s="3">
        <v>2040</v>
      </c>
      <c r="O33" s="1170">
        <f>C33*Compost!J32/100</f>
        <v>1467.6452259942189</v>
      </c>
      <c r="P33" s="1116">
        <f t="shared" si="19"/>
        <v>575.84951462214542</v>
      </c>
      <c r="Q33" s="1116">
        <f t="shared" si="20"/>
        <v>41.399569741669801</v>
      </c>
      <c r="R33" s="1116">
        <f t="shared" si="21"/>
        <v>235.61133073347477</v>
      </c>
      <c r="S33" s="1116">
        <f t="shared" si="22"/>
        <v>424.97298504763785</v>
      </c>
      <c r="T33" s="1116">
        <f t="shared" si="23"/>
        <v>189.38506886817819</v>
      </c>
      <c r="U33" s="1116">
        <f t="shared" si="24"/>
        <v>192.40594591158637</v>
      </c>
      <c r="V33" s="1116">
        <f t="shared" si="25"/>
        <v>237.54106568750279</v>
      </c>
      <c r="W33" s="1116">
        <f t="shared" si="26"/>
        <v>176.20348297880648</v>
      </c>
      <c r="X33" s="1116">
        <f t="shared" si="27"/>
        <v>115.77212381866731</v>
      </c>
      <c r="AA33" s="3">
        <v>2040</v>
      </c>
      <c r="AB33" s="707">
        <f>C33*'H&amp;C Recycling'!M30/100</f>
        <v>934.58965730086265</v>
      </c>
      <c r="AC33" s="1129">
        <f t="shared" si="8"/>
        <v>275.9020344632774</v>
      </c>
      <c r="AD33" s="1129">
        <f t="shared" si="9"/>
        <v>44.00358120528238</v>
      </c>
      <c r="AE33" s="1129">
        <f t="shared" si="10"/>
        <v>135.43714772574012</v>
      </c>
      <c r="AF33" s="1129">
        <f t="shared" si="11"/>
        <v>369.72470624504206</v>
      </c>
      <c r="AG33" s="1129">
        <f t="shared" si="12"/>
        <v>109.52218766152063</v>
      </c>
      <c r="AH33" s="2"/>
      <c r="AI33" s="2"/>
      <c r="AJ33" s="2"/>
      <c r="AK33" s="2"/>
      <c r="AM33" s="3">
        <v>2040</v>
      </c>
      <c r="AN33" s="707">
        <f t="shared" si="18"/>
        <v>668.0333732780523</v>
      </c>
      <c r="AO33" s="528">
        <f t="shared" si="18"/>
        <v>-146.06789791353475</v>
      </c>
      <c r="AP33" s="528">
        <f t="shared" si="18"/>
        <v>93.601422260454001</v>
      </c>
      <c r="AQ33" s="528">
        <f t="shared" si="18"/>
        <v>966.87682055299013</v>
      </c>
      <c r="AR33" s="528">
        <f t="shared" si="18"/>
        <v>-189.64755273471906</v>
      </c>
      <c r="AS33" s="528">
        <f t="shared" si="18"/>
        <v>59.447462165203831</v>
      </c>
      <c r="AT33" s="528">
        <f t="shared" si="18"/>
        <v>210.46615132274658</v>
      </c>
      <c r="AU33" s="528"/>
      <c r="AV33" s="528"/>
      <c r="AW33" s="528"/>
      <c r="AY33" s="3">
        <v>2040</v>
      </c>
      <c r="AZ33" s="707">
        <f>C33*Bioplastics!AL38</f>
        <v>482.47616122613005</v>
      </c>
      <c r="BD33" s="3">
        <v>2040</v>
      </c>
      <c r="BE33" s="1131">
        <f t="shared" si="14"/>
        <v>0.47801856494204992</v>
      </c>
      <c r="BF33" s="1131">
        <f t="shared" si="15"/>
        <v>0.30440000000000023</v>
      </c>
      <c r="BG33" s="1131">
        <f t="shared" si="16"/>
        <v>0.21758143505794988</v>
      </c>
    </row>
    <row r="34" spans="2:59" ht="14.4" x14ac:dyDescent="0.55000000000000004">
      <c r="B34" s="3">
        <v>2041</v>
      </c>
      <c r="C34" s="707">
        <v>3117.3237746717477</v>
      </c>
      <c r="D34" s="965">
        <v>709.51237059419577</v>
      </c>
      <c r="E34" s="965">
        <v>180.16266736746564</v>
      </c>
      <c r="F34" s="965">
        <v>1357.8450343633424</v>
      </c>
      <c r="G34" s="965">
        <v>621.57770527739956</v>
      </c>
      <c r="H34" s="965">
        <v>362.27090526455441</v>
      </c>
      <c r="I34" s="965">
        <v>406.30079593419958</v>
      </c>
      <c r="J34" s="965">
        <v>513.37393826157859</v>
      </c>
      <c r="K34" s="965">
        <v>305.24925591386341</v>
      </c>
      <c r="L34" s="965">
        <v>433.78038856452577</v>
      </c>
      <c r="M34" s="968"/>
      <c r="N34" s="3">
        <v>2041</v>
      </c>
      <c r="O34" s="1170">
        <f>C34*Compost!J33/100</f>
        <v>1490.8458781167385</v>
      </c>
      <c r="P34" s="1116">
        <f t="shared" si="19"/>
        <v>584.95258941640952</v>
      </c>
      <c r="Q34" s="1116">
        <f t="shared" si="20"/>
        <v>42.054017423293821</v>
      </c>
      <c r="R34" s="1116">
        <f t="shared" si="21"/>
        <v>239.33589333460898</v>
      </c>
      <c r="S34" s="1116">
        <f t="shared" si="22"/>
        <v>431.69099169728969</v>
      </c>
      <c r="T34" s="1116">
        <f t="shared" si="23"/>
        <v>192.37888305582257</v>
      </c>
      <c r="U34" s="1116">
        <f t="shared" si="24"/>
        <v>195.44751436310028</v>
      </c>
      <c r="V34" s="1116">
        <f t="shared" si="25"/>
        <v>241.29613369182582</v>
      </c>
      <c r="W34" s="1116">
        <f t="shared" si="26"/>
        <v>178.98892161136038</v>
      </c>
      <c r="X34" s="1116">
        <f t="shared" si="27"/>
        <v>117.60225873317475</v>
      </c>
      <c r="AA34" s="3">
        <v>2041</v>
      </c>
      <c r="AB34" s="707">
        <f>C34*'H&amp;C Recycling'!M31/100</f>
        <v>942.99044183820445</v>
      </c>
      <c r="AC34" s="1129">
        <f t="shared" si="8"/>
        <v>278.38204644161891</v>
      </c>
      <c r="AD34" s="1129">
        <f t="shared" si="9"/>
        <v>44.399118007652532</v>
      </c>
      <c r="AE34" s="1129">
        <f t="shared" si="10"/>
        <v>136.65455719256647</v>
      </c>
      <c r="AF34" s="1129">
        <f t="shared" si="11"/>
        <v>373.04806593668127</v>
      </c>
      <c r="AG34" s="1129">
        <f t="shared" si="12"/>
        <v>110.50665425968518</v>
      </c>
      <c r="AH34" s="2"/>
      <c r="AI34" s="2"/>
      <c r="AJ34" s="2"/>
      <c r="AK34" s="2"/>
      <c r="AM34" s="3">
        <v>2041</v>
      </c>
      <c r="AN34" s="707">
        <f t="shared" si="18"/>
        <v>683.48745471680479</v>
      </c>
      <c r="AO34" s="528">
        <f t="shared" si="18"/>
        <v>-153.82226526383266</v>
      </c>
      <c r="AP34" s="528">
        <f t="shared" si="18"/>
        <v>93.709531936519284</v>
      </c>
      <c r="AQ34" s="528">
        <f t="shared" si="18"/>
        <v>981.85458383616697</v>
      </c>
      <c r="AR34" s="528">
        <f t="shared" si="18"/>
        <v>-183.1613523565714</v>
      </c>
      <c r="AS34" s="528">
        <f t="shared" si="18"/>
        <v>59.385367949046667</v>
      </c>
      <c r="AT34" s="528">
        <f t="shared" si="18"/>
        <v>210.8532815710993</v>
      </c>
      <c r="AU34" s="528"/>
      <c r="AV34" s="528"/>
      <c r="AW34" s="528"/>
      <c r="AY34" s="3">
        <v>2041</v>
      </c>
      <c r="AZ34" s="707">
        <f>C34*Bioplastics!AL39</f>
        <v>495.45196923834999</v>
      </c>
      <c r="BD34" s="3">
        <v>2041</v>
      </c>
      <c r="BE34" s="1131">
        <f t="shared" si="14"/>
        <v>0.47824543931877067</v>
      </c>
      <c r="BF34" s="1131">
        <f t="shared" si="15"/>
        <v>0.30250000000000027</v>
      </c>
      <c r="BG34" s="1131">
        <f t="shared" si="16"/>
        <v>0.21925456068122909</v>
      </c>
    </row>
    <row r="35" spans="2:59" ht="14.4" x14ac:dyDescent="0.55000000000000004">
      <c r="B35" s="3">
        <v>2042</v>
      </c>
      <c r="C35" s="707">
        <v>3159.6894567667218</v>
      </c>
      <c r="D35" s="965">
        <v>712.99832549504788</v>
      </c>
      <c r="E35" s="965">
        <v>180.99800718575892</v>
      </c>
      <c r="F35" s="965">
        <v>1373.7288007663074</v>
      </c>
      <c r="G35" s="965">
        <v>637.0788480696973</v>
      </c>
      <c r="H35" s="965">
        <v>365.60321462533091</v>
      </c>
      <c r="I35" s="965">
        <v>409.72949463406627</v>
      </c>
      <c r="J35" s="965">
        <v>525.49630284013256</v>
      </c>
      <c r="K35" s="965">
        <v>307.5065153908381</v>
      </c>
      <c r="L35" s="965">
        <v>443.85176615663369</v>
      </c>
      <c r="M35" s="968"/>
      <c r="N35" s="3">
        <v>2042</v>
      </c>
      <c r="O35" s="1170">
        <f>C35*Compost!J34/100</f>
        <v>1511.7611604311446</v>
      </c>
      <c r="P35" s="1116">
        <f t="shared" si="19"/>
        <v>593.15896992010175</v>
      </c>
      <c r="Q35" s="1116">
        <f t="shared" si="20"/>
        <v>42.643999030228422</v>
      </c>
      <c r="R35" s="1116">
        <f t="shared" si="21"/>
        <v>242.69356957099322</v>
      </c>
      <c r="S35" s="1116">
        <f t="shared" si="22"/>
        <v>437.7472441218128</v>
      </c>
      <c r="T35" s="1116">
        <f t="shared" si="23"/>
        <v>195.07779292269987</v>
      </c>
      <c r="U35" s="1116">
        <f t="shared" si="24"/>
        <v>198.18947448155131</v>
      </c>
      <c r="V35" s="1116">
        <f t="shared" si="25"/>
        <v>244.6813104103706</v>
      </c>
      <c r="W35" s="1116">
        <f t="shared" si="26"/>
        <v>181.4999818635319</v>
      </c>
      <c r="X35" s="1116">
        <f t="shared" si="27"/>
        <v>119.25211703061545</v>
      </c>
      <c r="AA35" s="3">
        <v>2042</v>
      </c>
      <c r="AB35" s="707">
        <f>C35*'H&amp;C Recycling'!M32/100</f>
        <v>949.80265070407722</v>
      </c>
      <c r="AC35" s="1129">
        <f t="shared" si="8"/>
        <v>280.39309189948449</v>
      </c>
      <c r="AD35" s="1129">
        <f t="shared" si="9"/>
        <v>44.719859397924814</v>
      </c>
      <c r="AE35" s="1129">
        <f t="shared" si="10"/>
        <v>137.64175636741118</v>
      </c>
      <c r="AF35" s="1129">
        <f t="shared" si="11"/>
        <v>375.7429833286505</v>
      </c>
      <c r="AG35" s="1129">
        <f t="shared" si="12"/>
        <v>111.3049597106061</v>
      </c>
      <c r="AH35" s="2"/>
      <c r="AI35" s="2"/>
      <c r="AJ35" s="2"/>
      <c r="AK35" s="2"/>
      <c r="AM35" s="3">
        <v>2042</v>
      </c>
      <c r="AN35" s="707">
        <f t="shared" si="18"/>
        <v>698.12564563149999</v>
      </c>
      <c r="AO35" s="528">
        <f t="shared" si="18"/>
        <v>-160.55373632453836</v>
      </c>
      <c r="AP35" s="528">
        <f t="shared" si="18"/>
        <v>93.634148757605686</v>
      </c>
      <c r="AQ35" s="528">
        <f t="shared" si="18"/>
        <v>993.39347482790288</v>
      </c>
      <c r="AR35" s="528">
        <f t="shared" si="18"/>
        <v>-176.41137938076599</v>
      </c>
      <c r="AS35" s="528">
        <f t="shared" si="18"/>
        <v>59.220461992024937</v>
      </c>
      <c r="AT35" s="528">
        <f t="shared" si="18"/>
        <v>211.54002015251496</v>
      </c>
      <c r="AU35" s="528"/>
      <c r="AV35" s="528"/>
      <c r="AW35" s="528"/>
      <c r="AY35" s="3">
        <v>2042</v>
      </c>
      <c r="AZ35" s="707">
        <f>C35*Bioplastics!AL40</f>
        <v>508.67131058809952</v>
      </c>
      <c r="BD35" s="3">
        <v>2042</v>
      </c>
      <c r="BE35" s="1131">
        <f t="shared" si="14"/>
        <v>0.47845244955753169</v>
      </c>
      <c r="BF35" s="1131">
        <f t="shared" si="15"/>
        <v>0.3006000000000002</v>
      </c>
      <c r="BG35" s="1131">
        <f t="shared" si="16"/>
        <v>0.22094755044246814</v>
      </c>
    </row>
    <row r="36" spans="2:59" ht="14.4" x14ac:dyDescent="0.55000000000000004">
      <c r="B36" s="3">
        <v>2043</v>
      </c>
      <c r="C36" s="707">
        <v>3202.0346277752164</v>
      </c>
      <c r="D36" s="965">
        <v>716.44290495497853</v>
      </c>
      <c r="E36" s="965">
        <v>181.82885792074455</v>
      </c>
      <c r="F36" s="965">
        <v>1389.522624811186</v>
      </c>
      <c r="G36" s="965">
        <v>652.83377866618207</v>
      </c>
      <c r="H36" s="965">
        <v>368.88837427477495</v>
      </c>
      <c r="I36" s="965">
        <v>413.1581933339329</v>
      </c>
      <c r="J36" s="965">
        <v>537.61866741868675</v>
      </c>
      <c r="K36" s="965">
        <v>309.76377486781291</v>
      </c>
      <c r="L36" s="965">
        <v>454.19204986242528</v>
      </c>
      <c r="M36" s="968"/>
      <c r="N36" s="3">
        <v>2043</v>
      </c>
      <c r="O36" s="1170">
        <f>C36*Compost!J35/100</f>
        <v>1532.6260802793747</v>
      </c>
      <c r="P36" s="1116">
        <f t="shared" si="19"/>
        <v>601.34559006128336</v>
      </c>
      <c r="Q36" s="1116">
        <f t="shared" si="20"/>
        <v>43.232560004714607</v>
      </c>
      <c r="R36" s="1116">
        <f t="shared" si="21"/>
        <v>246.04316076920568</v>
      </c>
      <c r="S36" s="1116">
        <f t="shared" si="22"/>
        <v>443.78891353457931</v>
      </c>
      <c r="T36" s="1116">
        <f t="shared" si="23"/>
        <v>197.77020401251841</v>
      </c>
      <c r="U36" s="1116">
        <f t="shared" si="24"/>
        <v>200.92483216109449</v>
      </c>
      <c r="V36" s="1116">
        <f t="shared" si="25"/>
        <v>248.05833587159907</v>
      </c>
      <c r="W36" s="1116">
        <f t="shared" si="26"/>
        <v>184.00499566674259</v>
      </c>
      <c r="X36" s="1116">
        <f t="shared" si="27"/>
        <v>120.89800259025368</v>
      </c>
      <c r="AA36" s="3">
        <v>2043</v>
      </c>
      <c r="AB36" s="707">
        <f>C36*'H&amp;C Recycling'!M33/100</f>
        <v>956.44774331645783</v>
      </c>
      <c r="AC36" s="1129">
        <f t="shared" si="8"/>
        <v>282.35480264240846</v>
      </c>
      <c r="AD36" s="1129">
        <f t="shared" si="9"/>
        <v>45.032732400639183</v>
      </c>
      <c r="AE36" s="1129">
        <f t="shared" si="10"/>
        <v>138.60473769591576</v>
      </c>
      <c r="AF36" s="1129">
        <f t="shared" si="11"/>
        <v>378.37178934516368</v>
      </c>
      <c r="AG36" s="1129">
        <f t="shared" si="12"/>
        <v>112.08368123233062</v>
      </c>
      <c r="AH36" s="2"/>
      <c r="AI36" s="2"/>
      <c r="AJ36" s="2"/>
      <c r="AK36" s="2"/>
      <c r="AM36" s="3">
        <v>2043</v>
      </c>
      <c r="AN36" s="707">
        <f t="shared" si="18"/>
        <v>712.9608041793839</v>
      </c>
      <c r="AO36" s="528">
        <f t="shared" si="18"/>
        <v>-167.25748774871329</v>
      </c>
      <c r="AP36" s="528">
        <f t="shared" si="18"/>
        <v>93.563565515390763</v>
      </c>
      <c r="AQ36" s="528">
        <f t="shared" si="18"/>
        <v>1004.8747263460644</v>
      </c>
      <c r="AR36" s="528">
        <f t="shared" si="18"/>
        <v>-169.32692421356091</v>
      </c>
      <c r="AS36" s="528">
        <f t="shared" si="18"/>
        <v>59.034489029925922</v>
      </c>
      <c r="AT36" s="528">
        <f t="shared" si="18"/>
        <v>212.23336117283841</v>
      </c>
      <c r="AU36" s="528"/>
      <c r="AV36" s="528"/>
      <c r="AW36" s="528"/>
      <c r="AY36" s="3">
        <v>2043</v>
      </c>
      <c r="AZ36" s="707">
        <f>C36*Bioplastics!AL41</f>
        <v>522.12503464008591</v>
      </c>
      <c r="BD36" s="3">
        <v>2043</v>
      </c>
      <c r="BE36" s="1131">
        <f t="shared" si="14"/>
        <v>0.47864131979867064</v>
      </c>
      <c r="BF36" s="1131">
        <f t="shared" si="15"/>
        <v>0.29870000000000019</v>
      </c>
      <c r="BG36" s="1131">
        <f t="shared" si="16"/>
        <v>0.22265868020132915</v>
      </c>
    </row>
    <row r="37" spans="2:59" ht="14.4" x14ac:dyDescent="0.55000000000000004">
      <c r="B37" s="3">
        <v>2044</v>
      </c>
      <c r="C37" s="707">
        <v>3244.3847108106588</v>
      </c>
      <c r="D37" s="965">
        <v>719.84512989598704</v>
      </c>
      <c r="E37" s="965">
        <v>182.65703837620498</v>
      </c>
      <c r="F37" s="965">
        <v>1405.2501598353724</v>
      </c>
      <c r="G37" s="965">
        <v>668.86069531141254</v>
      </c>
      <c r="H37" s="965">
        <v>372.13146710088756</v>
      </c>
      <c r="I37" s="965">
        <v>416.58689203379959</v>
      </c>
      <c r="J37" s="965">
        <v>549.74103199724084</v>
      </c>
      <c r="K37" s="965">
        <v>312.02103434478761</v>
      </c>
      <c r="L37" s="965">
        <v>464.80123968190048</v>
      </c>
      <c r="M37" s="968"/>
      <c r="N37" s="3">
        <v>2044</v>
      </c>
      <c r="O37" s="1170">
        <f>C37*Compost!J36/100</f>
        <v>1553.4556110036765</v>
      </c>
      <c r="P37" s="1116">
        <f t="shared" si="19"/>
        <v>609.51832482371253</v>
      </c>
      <c r="Q37" s="1116">
        <f t="shared" si="20"/>
        <v>43.820122717169738</v>
      </c>
      <c r="R37" s="1116">
        <f t="shared" si="21"/>
        <v>249.38707070437545</v>
      </c>
      <c r="S37" s="1116">
        <f t="shared" si="22"/>
        <v>449.82033563323495</v>
      </c>
      <c r="T37" s="1116">
        <f t="shared" si="23"/>
        <v>200.45804848667697</v>
      </c>
      <c r="U37" s="1116">
        <f t="shared" si="24"/>
        <v>203.65555038299229</v>
      </c>
      <c r="V37" s="1116">
        <f t="shared" si="25"/>
        <v>251.429633538356</v>
      </c>
      <c r="W37" s="1116">
        <f t="shared" si="26"/>
        <v>186.50576070002899</v>
      </c>
      <c r="X37" s="1116">
        <f t="shared" si="27"/>
        <v>122.5410965528733</v>
      </c>
      <c r="AA37" s="3">
        <v>2044</v>
      </c>
      <c r="AB37" s="707">
        <f>C37*'H&amp;C Recycling'!M34/100</f>
        <v>962.93338216860411</v>
      </c>
      <c r="AC37" s="1129">
        <f t="shared" si="8"/>
        <v>284.26944072996133</v>
      </c>
      <c r="AD37" s="1129">
        <f t="shared" si="9"/>
        <v>45.338097791395569</v>
      </c>
      <c r="AE37" s="1129">
        <f t="shared" si="10"/>
        <v>139.54461159720714</v>
      </c>
      <c r="AF37" s="1129">
        <f t="shared" si="11"/>
        <v>380.93751527706246</v>
      </c>
      <c r="AG37" s="1129">
        <f t="shared" si="12"/>
        <v>112.84371677297747</v>
      </c>
      <c r="AH37" s="2"/>
      <c r="AI37" s="2"/>
      <c r="AJ37" s="2"/>
      <c r="AK37" s="2"/>
      <c r="AM37" s="3">
        <v>2044</v>
      </c>
      <c r="AN37" s="707">
        <f t="shared" si="18"/>
        <v>727.99571763837821</v>
      </c>
      <c r="AO37" s="528">
        <f t="shared" si="18"/>
        <v>-173.94263565768682</v>
      </c>
      <c r="AP37" s="528">
        <f t="shared" si="18"/>
        <v>93.498817867639673</v>
      </c>
      <c r="AQ37" s="528">
        <f t="shared" si="18"/>
        <v>1016.3184775337899</v>
      </c>
      <c r="AR37" s="528">
        <f t="shared" si="18"/>
        <v>-161.89715559888486</v>
      </c>
      <c r="AS37" s="528">
        <f t="shared" si="18"/>
        <v>58.829701841233117</v>
      </c>
      <c r="AT37" s="528">
        <f t="shared" si="18"/>
        <v>212.9313416508073</v>
      </c>
      <c r="AU37" s="528"/>
      <c r="AV37" s="528"/>
      <c r="AW37" s="528"/>
      <c r="AY37" s="3">
        <v>2044</v>
      </c>
      <c r="AZ37" s="707">
        <f>C37*Bioplastics!AL42</f>
        <v>535.81159239739191</v>
      </c>
      <c r="BD37" s="3">
        <v>2044</v>
      </c>
      <c r="BE37" s="1131">
        <f t="shared" si="14"/>
        <v>0.47881362707307357</v>
      </c>
      <c r="BF37" s="1131">
        <f t="shared" si="15"/>
        <v>0.29680000000000017</v>
      </c>
      <c r="BG37" s="1131">
        <f t="shared" si="16"/>
        <v>0.22438637292692623</v>
      </c>
    </row>
    <row r="38" spans="2:59" ht="14.4" x14ac:dyDescent="0.55000000000000004">
      <c r="B38" s="3">
        <v>2045</v>
      </c>
      <c r="C38" s="707">
        <v>3286.87091114945</v>
      </c>
      <c r="D38" s="965">
        <v>723.9831674710947</v>
      </c>
      <c r="E38" s="965">
        <v>183.4066926906994</v>
      </c>
      <c r="F38" s="965">
        <v>1419.5356615159428</v>
      </c>
      <c r="G38" s="965">
        <v>685.69714146341209</v>
      </c>
      <c r="H38" s="965">
        <v>375.41515751045313</v>
      </c>
      <c r="I38" s="965">
        <v>420.01559073366627</v>
      </c>
      <c r="J38" s="965">
        <v>561.86339657579492</v>
      </c>
      <c r="K38" s="965">
        <v>314.27829382176242</v>
      </c>
      <c r="L38" s="965">
        <v>475.67933561505936</v>
      </c>
      <c r="M38" s="968"/>
      <c r="N38" s="3">
        <v>2045</v>
      </c>
      <c r="O38" s="1170">
        <f>C38*Compost!J37/100</f>
        <v>1574.3152339350941</v>
      </c>
      <c r="P38" s="1116">
        <f t="shared" si="19"/>
        <v>617.70286665133347</v>
      </c>
      <c r="Q38" s="1116">
        <f t="shared" si="20"/>
        <v>44.408534275384802</v>
      </c>
      <c r="R38" s="1116">
        <f t="shared" si="21"/>
        <v>252.73581155156515</v>
      </c>
      <c r="S38" s="1116">
        <f t="shared" si="22"/>
        <v>455.86047126487404</v>
      </c>
      <c r="T38" s="1116">
        <f t="shared" si="23"/>
        <v>203.14977606188478</v>
      </c>
      <c r="U38" s="1116">
        <f t="shared" si="24"/>
        <v>206.39021364519829</v>
      </c>
      <c r="V38" s="1116">
        <f t="shared" si="25"/>
        <v>254.80580168390475</v>
      </c>
      <c r="W38" s="1116">
        <f t="shared" si="26"/>
        <v>189.01013856263569</v>
      </c>
      <c r="X38" s="1116">
        <f t="shared" si="27"/>
        <v>124.18656427630818</v>
      </c>
      <c r="AA38" s="3">
        <v>2045</v>
      </c>
      <c r="AB38" s="707">
        <f>C38*'H&amp;C Recycling'!M35/100</f>
        <v>969.29823169797339</v>
      </c>
      <c r="AC38" s="1129">
        <f t="shared" si="8"/>
        <v>286.14842036609087</v>
      </c>
      <c r="AD38" s="1129">
        <f t="shared" si="9"/>
        <v>45.63777602016377</v>
      </c>
      <c r="AE38" s="1129">
        <f t="shared" si="10"/>
        <v>140.46698117323143</v>
      </c>
      <c r="AF38" s="1129">
        <f t="shared" si="11"/>
        <v>383.45545681873995</v>
      </c>
      <c r="AG38" s="1129">
        <f t="shared" si="12"/>
        <v>113.58959731974723</v>
      </c>
      <c r="AH38" s="2"/>
      <c r="AI38" s="2"/>
      <c r="AJ38" s="2"/>
      <c r="AK38" s="2"/>
      <c r="AM38" s="3">
        <v>2045</v>
      </c>
      <c r="AN38" s="707">
        <f t="shared" si="18"/>
        <v>743.25744551638252</v>
      </c>
      <c r="AO38" s="528">
        <f t="shared" si="18"/>
        <v>-179.86811954632964</v>
      </c>
      <c r="AP38" s="528">
        <f t="shared" si="18"/>
        <v>93.360382395150836</v>
      </c>
      <c r="AQ38" s="528">
        <f t="shared" si="18"/>
        <v>1026.3328687911462</v>
      </c>
      <c r="AR38" s="528">
        <f t="shared" si="18"/>
        <v>-153.61878662020189</v>
      </c>
      <c r="AS38" s="528">
        <f t="shared" si="18"/>
        <v>58.675784128821121</v>
      </c>
      <c r="AT38" s="528">
        <f t="shared" si="18"/>
        <v>213.62537708846799</v>
      </c>
      <c r="AU38" s="528"/>
      <c r="AV38" s="528"/>
      <c r="AW38" s="528"/>
      <c r="AY38" s="3">
        <v>2045</v>
      </c>
      <c r="AZ38" s="707">
        <f>C38*Bioplastics!AL43</f>
        <v>549.72913583559932</v>
      </c>
      <c r="BD38" s="3">
        <v>2045</v>
      </c>
      <c r="BE38" s="1131">
        <f t="shared" si="14"/>
        <v>0.47897081342465653</v>
      </c>
      <c r="BF38" s="1131">
        <f t="shared" si="15"/>
        <v>0.29490000000000016</v>
      </c>
      <c r="BG38" s="1131">
        <f t="shared" si="16"/>
        <v>0.22612918657534328</v>
      </c>
    </row>
    <row r="39" spans="2:59" ht="14.4" x14ac:dyDescent="0.55000000000000004">
      <c r="B39" s="3">
        <v>2046</v>
      </c>
      <c r="C39" s="707">
        <v>3329.08709032667</v>
      </c>
      <c r="D39" s="965">
        <v>726.67485091643607</v>
      </c>
      <c r="E39" s="965">
        <v>184.33002797606051</v>
      </c>
      <c r="F39" s="965">
        <v>1434.9819015996841</v>
      </c>
      <c r="G39" s="965">
        <v>702.80387377529735</v>
      </c>
      <c r="H39" s="965">
        <v>378.50502937953888</v>
      </c>
      <c r="I39" s="965">
        <v>423.4442894335329</v>
      </c>
      <c r="J39" s="965">
        <v>573.98576115434901</v>
      </c>
      <c r="K39" s="965">
        <v>316.53555329873711</v>
      </c>
      <c r="L39" s="965">
        <v>486.82633766190179</v>
      </c>
      <c r="M39" s="968"/>
      <c r="N39" s="3">
        <v>2046</v>
      </c>
      <c r="O39" s="1170">
        <f>C39*Compost!J38/100</f>
        <v>1595.0128883817617</v>
      </c>
      <c r="P39" s="1116">
        <f t="shared" si="19"/>
        <v>625.82385805704348</v>
      </c>
      <c r="Q39" s="1116">
        <f t="shared" si="20"/>
        <v>44.992377000845465</v>
      </c>
      <c r="R39" s="1116">
        <f t="shared" si="21"/>
        <v>256.05855046752998</v>
      </c>
      <c r="S39" s="1116">
        <f t="shared" si="22"/>
        <v>461.85370712180691</v>
      </c>
      <c r="T39" s="1116">
        <f t="shared" si="23"/>
        <v>205.82060320959448</v>
      </c>
      <c r="U39" s="1116">
        <f t="shared" si="24"/>
        <v>209.10364309764958</v>
      </c>
      <c r="V39" s="1116">
        <f t="shared" si="25"/>
        <v>258.15575493378674</v>
      </c>
      <c r="W39" s="1116">
        <f t="shared" si="26"/>
        <v>191.49507070999718</v>
      </c>
      <c r="X39" s="1116">
        <f t="shared" si="27"/>
        <v>125.81925545460868</v>
      </c>
      <c r="AA39" s="3">
        <v>2046</v>
      </c>
      <c r="AB39" s="707">
        <f>C39*'H&amp;C Recycling'!M36/100</f>
        <v>975.4225174657148</v>
      </c>
      <c r="AC39" s="1129">
        <f t="shared" si="8"/>
        <v>287.95638270523585</v>
      </c>
      <c r="AD39" s="1129">
        <f t="shared" si="9"/>
        <v>45.92612770905734</v>
      </c>
      <c r="AE39" s="1129">
        <f t="shared" si="10"/>
        <v>141.3544891718067</v>
      </c>
      <c r="AF39" s="1129">
        <f t="shared" si="11"/>
        <v>385.87823106918296</v>
      </c>
      <c r="AG39" s="1129">
        <f t="shared" si="12"/>
        <v>114.30728681043183</v>
      </c>
      <c r="AH39" s="2"/>
      <c r="AI39" s="2"/>
      <c r="AJ39" s="2"/>
      <c r="AK39" s="2"/>
      <c r="AM39" s="3">
        <v>2046</v>
      </c>
      <c r="AN39" s="707">
        <f t="shared" si="18"/>
        <v>758.65168447919348</v>
      </c>
      <c r="AO39" s="528">
        <f t="shared" si="18"/>
        <v>-187.10538984584326</v>
      </c>
      <c r="AP39" s="528">
        <f t="shared" si="18"/>
        <v>93.411523266157701</v>
      </c>
      <c r="AQ39" s="528">
        <f t="shared" si="18"/>
        <v>1037.5688619603472</v>
      </c>
      <c r="AR39" s="528">
        <f t="shared" si="18"/>
        <v>-144.92806441569252</v>
      </c>
      <c r="AS39" s="528">
        <f t="shared" si="18"/>
        <v>58.377139359512569</v>
      </c>
      <c r="AT39" s="528">
        <f t="shared" si="18"/>
        <v>214.34064633588332</v>
      </c>
      <c r="AU39" s="528"/>
      <c r="AV39" s="528"/>
      <c r="AW39" s="528"/>
      <c r="AY39" s="3">
        <v>2046</v>
      </c>
      <c r="AZ39" s="707">
        <f>C39*Bioplastics!AL44</f>
        <v>563.87642924422676</v>
      </c>
      <c r="BD39" s="3">
        <v>2046</v>
      </c>
      <c r="BE39" s="1131">
        <f t="shared" si="14"/>
        <v>0.47911419710718639</v>
      </c>
      <c r="BF39" s="1131">
        <f t="shared" si="15"/>
        <v>0.29300000000000015</v>
      </c>
      <c r="BG39" s="1131">
        <f t="shared" si="16"/>
        <v>0.22788580289281349</v>
      </c>
    </row>
    <row r="40" spans="2:59" ht="14.4" x14ac:dyDescent="0.55000000000000004">
      <c r="B40" s="3">
        <v>2047</v>
      </c>
      <c r="C40" s="707">
        <v>3371.0816863003333</v>
      </c>
      <c r="D40" s="965">
        <v>729.85095808262213</v>
      </c>
      <c r="E40" s="965">
        <v>185.18473253608644</v>
      </c>
      <c r="F40" s="965">
        <v>1449.6776843747739</v>
      </c>
      <c r="G40" s="965">
        <v>720.10351988151581</v>
      </c>
      <c r="H40" s="965">
        <v>381.61126639878267</v>
      </c>
      <c r="I40" s="965">
        <v>426.87298813339959</v>
      </c>
      <c r="J40" s="965">
        <v>586.10812573290309</v>
      </c>
      <c r="K40" s="965">
        <v>318.79281277571187</v>
      </c>
      <c r="L40" s="965">
        <v>498.24224582242789</v>
      </c>
      <c r="M40" s="968"/>
      <c r="N40" s="3">
        <v>2047</v>
      </c>
      <c r="O40" s="1170">
        <f>C40*Compost!J39/100</f>
        <v>1615.5739851503572</v>
      </c>
      <c r="P40" s="1116">
        <f t="shared" si="19"/>
        <v>633.89126929825397</v>
      </c>
      <c r="Q40" s="1116">
        <f t="shared" si="20"/>
        <v>45.572367685624243</v>
      </c>
      <c r="R40" s="1116">
        <f t="shared" si="21"/>
        <v>259.35936682640636</v>
      </c>
      <c r="S40" s="1116">
        <f t="shared" si="22"/>
        <v>467.80740118549596</v>
      </c>
      <c r="T40" s="1116">
        <f t="shared" si="23"/>
        <v>208.47380894253166</v>
      </c>
      <c r="U40" s="1116">
        <f t="shared" si="24"/>
        <v>211.79917005653115</v>
      </c>
      <c r="V40" s="1116">
        <f t="shared" si="25"/>
        <v>261.48360607356574</v>
      </c>
      <c r="W40" s="1116">
        <f t="shared" si="26"/>
        <v>193.96360792888569</v>
      </c>
      <c r="X40" s="1116">
        <f t="shared" si="27"/>
        <v>127.44117456610846</v>
      </c>
      <c r="AA40" s="3">
        <v>2047</v>
      </c>
      <c r="AB40" s="707">
        <f>C40*'H&amp;C Recycling'!M37/100</f>
        <v>981.32187888202748</v>
      </c>
      <c r="AC40" s="1129">
        <f t="shared" si="8"/>
        <v>289.69794468816593</v>
      </c>
      <c r="AD40" s="1129">
        <f t="shared" si="9"/>
        <v>46.203889213386141</v>
      </c>
      <c r="AE40" s="1129">
        <f t="shared" si="10"/>
        <v>142.20940199626079</v>
      </c>
      <c r="AF40" s="1129">
        <f t="shared" si="11"/>
        <v>388.21202499643312</v>
      </c>
      <c r="AG40" s="1129">
        <f t="shared" si="12"/>
        <v>114.99861798778139</v>
      </c>
      <c r="AH40" s="2"/>
      <c r="AI40" s="2"/>
      <c r="AJ40" s="2"/>
      <c r="AK40" s="2"/>
      <c r="AM40" s="3">
        <v>2047</v>
      </c>
      <c r="AN40" s="707">
        <f t="shared" si="18"/>
        <v>774.18582226794865</v>
      </c>
      <c r="AO40" s="528">
        <f t="shared" si="18"/>
        <v>-193.73825590379778</v>
      </c>
      <c r="AP40" s="528">
        <f t="shared" si="18"/>
        <v>93.408475637076066</v>
      </c>
      <c r="AQ40" s="528">
        <f t="shared" si="18"/>
        <v>1048.1089155521067</v>
      </c>
      <c r="AR40" s="528">
        <f t="shared" si="18"/>
        <v>-135.91590630041327</v>
      </c>
      <c r="AS40" s="528">
        <f t="shared" si="18"/>
        <v>58.138839468469627</v>
      </c>
      <c r="AT40" s="528">
        <f t="shared" si="18"/>
        <v>215.07381807686843</v>
      </c>
      <c r="AU40" s="528"/>
      <c r="AV40" s="528"/>
      <c r="AW40" s="528"/>
      <c r="AY40" s="3">
        <v>2047</v>
      </c>
      <c r="AZ40" s="707">
        <f>C40*Bioplastics!AL45</f>
        <v>578.25213363754915</v>
      </c>
      <c r="BD40" s="3">
        <v>2047</v>
      </c>
      <c r="BE40" s="1131">
        <f t="shared" si="14"/>
        <v>0.47924498291330458</v>
      </c>
      <c r="BF40" s="1131">
        <f t="shared" si="15"/>
        <v>0.29110000000000014</v>
      </c>
      <c r="BG40" s="1131">
        <f t="shared" si="16"/>
        <v>0.22965501708669531</v>
      </c>
    </row>
    <row r="41" spans="2:59" ht="14.4" x14ac:dyDescent="0.55000000000000004">
      <c r="B41" s="3">
        <v>2048</v>
      </c>
      <c r="C41" s="707">
        <v>3412.9379410699567</v>
      </c>
      <c r="D41" s="965">
        <v>732.93522009747676</v>
      </c>
      <c r="E41" s="965">
        <v>186.04894873098192</v>
      </c>
      <c r="F41" s="965">
        <v>1464.0691130192936</v>
      </c>
      <c r="G41" s="965">
        <v>737.76754769195156</v>
      </c>
      <c r="H41" s="965">
        <v>384.67229168439553</v>
      </c>
      <c r="I41" s="965">
        <v>430.30168683326622</v>
      </c>
      <c r="J41" s="965">
        <v>598.23049031145729</v>
      </c>
      <c r="K41" s="965">
        <v>321.05007225268662</v>
      </c>
      <c r="L41" s="965">
        <v>509.92706009663772</v>
      </c>
      <c r="M41" s="968"/>
      <c r="N41" s="3">
        <v>2048</v>
      </c>
      <c r="O41" s="1170">
        <f>C41*Compost!J40/100</f>
        <v>1636.0405104523277</v>
      </c>
      <c r="P41" s="1116">
        <f t="shared" si="19"/>
        <v>641.92157420600699</v>
      </c>
      <c r="Q41" s="1116">
        <f t="shared" si="20"/>
        <v>46.149690683445186</v>
      </c>
      <c r="R41" s="1116">
        <f t="shared" si="21"/>
        <v>262.64500096773702</v>
      </c>
      <c r="S41" s="1116">
        <f t="shared" si="22"/>
        <v>473.73371103005621</v>
      </c>
      <c r="T41" s="1116">
        <f t="shared" si="23"/>
        <v>211.11481116510916</v>
      </c>
      <c r="U41" s="1116">
        <f t="shared" si="24"/>
        <v>214.48229884712933</v>
      </c>
      <c r="V41" s="1116">
        <f t="shared" si="25"/>
        <v>264.79615064840118</v>
      </c>
      <c r="W41" s="1116">
        <f t="shared" si="26"/>
        <v>196.42079102655026</v>
      </c>
      <c r="X41" s="1116">
        <f t="shared" si="27"/>
        <v>129.05563360527611</v>
      </c>
      <c r="AA41" s="3">
        <v>2048</v>
      </c>
      <c r="AB41" s="707">
        <f>C41*'H&amp;C Recycling'!M38/100</f>
        <v>987.02165255743193</v>
      </c>
      <c r="AC41" s="1129">
        <f t="shared" si="8"/>
        <v>291.38058598505978</v>
      </c>
      <c r="AD41" s="1129">
        <f t="shared" si="9"/>
        <v>46.472253464817875</v>
      </c>
      <c r="AE41" s="1129">
        <f t="shared" si="10"/>
        <v>143.03539133099034</v>
      </c>
      <c r="AF41" s="1129">
        <f t="shared" si="11"/>
        <v>390.46686179174736</v>
      </c>
      <c r="AG41" s="1129">
        <f t="shared" si="12"/>
        <v>115.66655998481644</v>
      </c>
      <c r="AH41" s="2"/>
      <c r="AI41" s="2"/>
      <c r="AJ41" s="2"/>
      <c r="AK41" s="2"/>
      <c r="AM41" s="3">
        <v>2048</v>
      </c>
      <c r="AN41" s="707">
        <f t="shared" si="18"/>
        <v>789.87577806019704</v>
      </c>
      <c r="AO41" s="528">
        <f t="shared" si="18"/>
        <v>-200.36694009359002</v>
      </c>
      <c r="AP41" s="528">
        <f t="shared" si="18"/>
        <v>93.427004582718865</v>
      </c>
      <c r="AQ41" s="528">
        <f t="shared" si="18"/>
        <v>1058.3887207205664</v>
      </c>
      <c r="AR41" s="528">
        <f t="shared" si="18"/>
        <v>-126.43302512985201</v>
      </c>
      <c r="AS41" s="528">
        <f t="shared" si="18"/>
        <v>57.890920534469927</v>
      </c>
      <c r="AT41" s="528">
        <f t="shared" si="18"/>
        <v>215.81938798613689</v>
      </c>
      <c r="AU41" s="528"/>
      <c r="AV41" s="528"/>
      <c r="AW41" s="528"/>
      <c r="AY41" s="3">
        <v>2048</v>
      </c>
      <c r="AZ41" s="707">
        <f>C41*Bioplastics!AL46</f>
        <v>592.85448229511314</v>
      </c>
      <c r="BD41" s="3">
        <v>2048</v>
      </c>
      <c r="BE41" s="1131">
        <f t="shared" si="14"/>
        <v>0.47936427169239082</v>
      </c>
      <c r="BF41" s="1131">
        <f t="shared" si="15"/>
        <v>0.28920000000000012</v>
      </c>
      <c r="BG41" s="1131">
        <f t="shared" si="16"/>
        <v>0.23143572830760903</v>
      </c>
    </row>
    <row r="42" spans="2:59" ht="14.4" x14ac:dyDescent="0.55000000000000004">
      <c r="B42" s="3">
        <v>2049</v>
      </c>
      <c r="C42" s="707">
        <v>3454.663023726212</v>
      </c>
      <c r="D42" s="965">
        <v>735.92360942219148</v>
      </c>
      <c r="E42" s="965">
        <v>186.92623443357729</v>
      </c>
      <c r="F42" s="965">
        <v>1478.1577069457985</v>
      </c>
      <c r="G42" s="965">
        <v>755.81289562784968</v>
      </c>
      <c r="H42" s="965">
        <v>387.69114014181821</v>
      </c>
      <c r="I42" s="965">
        <v>433.7303855331329</v>
      </c>
      <c r="J42" s="965">
        <v>610.35285489001126</v>
      </c>
      <c r="K42" s="965">
        <v>323.30733172966143</v>
      </c>
      <c r="L42" s="965">
        <v>521.88078048453121</v>
      </c>
      <c r="M42" s="968"/>
      <c r="N42" s="3">
        <v>2049</v>
      </c>
      <c r="O42" s="1170">
        <f>C42*Compost!J41/100</f>
        <v>1656.4178827343064</v>
      </c>
      <c r="P42" s="1116">
        <f t="shared" si="19"/>
        <v>649.91689877765407</v>
      </c>
      <c r="Q42" s="1116">
        <f t="shared" si="20"/>
        <v>46.724498838711909</v>
      </c>
      <c r="R42" s="1116">
        <f t="shared" si="21"/>
        <v>265.91632275257507</v>
      </c>
      <c r="S42" s="1116">
        <f t="shared" si="22"/>
        <v>479.63420562692522</v>
      </c>
      <c r="T42" s="1116">
        <f t="shared" si="23"/>
        <v>213.74430907415646</v>
      </c>
      <c r="U42" s="1116">
        <f t="shared" si="24"/>
        <v>217.15373981914669</v>
      </c>
      <c r="V42" s="1116">
        <f t="shared" si="25"/>
        <v>268.09426564379675</v>
      </c>
      <c r="W42" s="1116">
        <f t="shared" si="26"/>
        <v>198.86727053429922</v>
      </c>
      <c r="X42" s="1116">
        <f t="shared" si="27"/>
        <v>130.66305999494068</v>
      </c>
      <c r="AA42" s="3">
        <v>2049</v>
      </c>
      <c r="AB42" s="707">
        <f>C42*'H&amp;C Recycling'!M39/100</f>
        <v>992.52468671654105</v>
      </c>
      <c r="AC42" s="1129">
        <f t="shared" si="8"/>
        <v>293.00514742585727</v>
      </c>
      <c r="AD42" s="1129">
        <f t="shared" si="9"/>
        <v>46.731354567215213</v>
      </c>
      <c r="AE42" s="1129">
        <f t="shared" si="10"/>
        <v>143.83286992977941</v>
      </c>
      <c r="AF42" s="1129">
        <f t="shared" si="11"/>
        <v>392.64386821594542</v>
      </c>
      <c r="AG42" s="1129">
        <f t="shared" si="12"/>
        <v>116.3114465777436</v>
      </c>
      <c r="AH42" s="2"/>
      <c r="AI42" s="2"/>
      <c r="AJ42" s="2"/>
      <c r="AK42" s="2"/>
      <c r="AM42" s="3">
        <v>2049</v>
      </c>
      <c r="AN42" s="707">
        <f t="shared" si="18"/>
        <v>805.72045427536455</v>
      </c>
      <c r="AO42" s="528">
        <f t="shared" si="18"/>
        <v>-206.99843678131987</v>
      </c>
      <c r="AP42" s="528">
        <f t="shared" si="18"/>
        <v>93.470381027650177</v>
      </c>
      <c r="AQ42" s="528">
        <f t="shared" si="18"/>
        <v>1068.408514263444</v>
      </c>
      <c r="AR42" s="528">
        <f t="shared" si="18"/>
        <v>-116.46517821502096</v>
      </c>
      <c r="AS42" s="528">
        <f t="shared" si="18"/>
        <v>57.635384489918152</v>
      </c>
      <c r="AT42" s="528">
        <f t="shared" si="18"/>
        <v>216.57664571398621</v>
      </c>
      <c r="AU42" s="528"/>
      <c r="AV42" s="528"/>
      <c r="AW42" s="528"/>
      <c r="AY42" s="3">
        <v>2049</v>
      </c>
      <c r="AZ42" s="707">
        <f>C42*Bioplastics!AL47</f>
        <v>607.68185136763907</v>
      </c>
      <c r="BD42" s="3">
        <v>2049</v>
      </c>
      <c r="BE42" s="1131">
        <f t="shared" si="14"/>
        <v>0.47947306911216137</v>
      </c>
      <c r="BF42" s="1131">
        <f t="shared" si="15"/>
        <v>0.28730000000000011</v>
      </c>
      <c r="BG42" s="1131">
        <f t="shared" si="16"/>
        <v>0.23322693088783852</v>
      </c>
    </row>
    <row r="43" spans="2:59" ht="14.4" x14ac:dyDescent="0.55000000000000004">
      <c r="B43" s="3">
        <v>2050</v>
      </c>
      <c r="C43" s="707">
        <v>3495.5715615028498</v>
      </c>
      <c r="D43" s="965">
        <v>736.71609395174778</v>
      </c>
      <c r="E43" s="965">
        <v>187.35348085003628</v>
      </c>
      <c r="F43" s="965">
        <v>1488.1708988088521</v>
      </c>
      <c r="G43" s="965">
        <v>777.66303689987399</v>
      </c>
      <c r="H43" s="965">
        <v>390.36959096872897</v>
      </c>
      <c r="I43" s="965">
        <v>437.15908423299959</v>
      </c>
      <c r="J43" s="965">
        <v>622.47521946856546</v>
      </c>
      <c r="K43" s="965">
        <v>325.56459120663612</v>
      </c>
      <c r="L43" s="965">
        <v>534.10340698610821</v>
      </c>
      <c r="M43" s="968"/>
      <c r="N43" s="3">
        <v>2050</v>
      </c>
      <c r="O43" s="1170">
        <f>C43*Compost!J42/100</f>
        <v>1676.379271601093</v>
      </c>
      <c r="P43" s="1116">
        <f t="shared" si="19"/>
        <v>657.74900689651929</v>
      </c>
      <c r="Q43" s="1116">
        <f t="shared" si="20"/>
        <v>47.287572867703695</v>
      </c>
      <c r="R43" s="1116">
        <f t="shared" si="21"/>
        <v>269.12086381664994</v>
      </c>
      <c r="S43" s="1116">
        <f t="shared" si="22"/>
        <v>485.41424760312447</v>
      </c>
      <c r="T43" s="1116">
        <f t="shared" si="23"/>
        <v>216.32012844677081</v>
      </c>
      <c r="U43" s="1116">
        <f t="shared" si="24"/>
        <v>219.77064602958413</v>
      </c>
      <c r="V43" s="1116">
        <f t="shared" si="25"/>
        <v>271.32505296217403</v>
      </c>
      <c r="W43" s="1116">
        <f t="shared" si="26"/>
        <v>201.26380764090104</v>
      </c>
      <c r="X43" s="1116">
        <f t="shared" si="27"/>
        <v>132.23767240299907</v>
      </c>
      <c r="AA43" s="3">
        <v>2050</v>
      </c>
      <c r="AB43" s="707">
        <f>C43*'H&amp;C Recycling'!M40/100</f>
        <v>997.63612365291362</v>
      </c>
      <c r="AC43" s="1129">
        <f t="shared" si="8"/>
        <v>294.51410468721713</v>
      </c>
      <c r="AD43" s="1129">
        <f t="shared" si="9"/>
        <v>46.972017973393847</v>
      </c>
      <c r="AE43" s="1129">
        <f t="shared" si="10"/>
        <v>144.57359976135237</v>
      </c>
      <c r="AF43" s="1129">
        <f t="shared" si="11"/>
        <v>394.66595834397907</v>
      </c>
      <c r="AG43" s="1129">
        <f t="shared" si="12"/>
        <v>116.91044288697111</v>
      </c>
      <c r="AH43" s="2"/>
      <c r="AI43" s="2"/>
      <c r="AJ43" s="2"/>
      <c r="AK43" s="2"/>
      <c r="AM43" s="3">
        <v>2050</v>
      </c>
      <c r="AN43" s="707">
        <f t="shared" si="18"/>
        <v>821.55616624884317</v>
      </c>
      <c r="AO43" s="528">
        <f t="shared" si="18"/>
        <v>-215.54701763198864</v>
      </c>
      <c r="AP43" s="528">
        <f t="shared" si="18"/>
        <v>93.093890008938743</v>
      </c>
      <c r="AQ43" s="528">
        <f t="shared" si="18"/>
        <v>1074.4764352308498</v>
      </c>
      <c r="AR43" s="528">
        <f t="shared" si="18"/>
        <v>-102.41716904722955</v>
      </c>
      <c r="AS43" s="528">
        <f t="shared" si="18"/>
        <v>57.139019634987051</v>
      </c>
      <c r="AT43" s="528">
        <f t="shared" si="18"/>
        <v>217.38843820341546</v>
      </c>
      <c r="AU43" s="528"/>
      <c r="AV43" s="528"/>
      <c r="AW43" s="528"/>
      <c r="AY43" s="3">
        <v>2050</v>
      </c>
      <c r="AZ43" s="707">
        <f>C43*Bioplastics!AL48</f>
        <v>621.6927457916637</v>
      </c>
      <c r="BD43" s="3">
        <v>2050</v>
      </c>
      <c r="BE43" s="1131">
        <f t="shared" si="14"/>
        <v>0.47957229371678717</v>
      </c>
      <c r="BF43" s="1131">
        <f t="shared" si="15"/>
        <v>0.2854000000000001</v>
      </c>
      <c r="BG43" s="1131">
        <f t="shared" si="16"/>
        <v>0.23502770628321276</v>
      </c>
    </row>
    <row r="44" spans="2:59" ht="14.4" x14ac:dyDescent="0.55000000000000004">
      <c r="B44" s="3">
        <v>2051</v>
      </c>
      <c r="C44" s="707">
        <v>3537.7483490613135</v>
      </c>
      <c r="D44" s="965">
        <v>741.59665984596722</v>
      </c>
      <c r="E44" s="965">
        <v>188.73424585318924</v>
      </c>
      <c r="F44" s="965">
        <v>1505.4324682949823</v>
      </c>
      <c r="G44" s="965">
        <v>794.83414030727874</v>
      </c>
      <c r="H44" s="965">
        <v>393.61444619385657</v>
      </c>
      <c r="I44" s="965">
        <v>440.58778293286622</v>
      </c>
      <c r="J44" s="965">
        <v>634.59758404711943</v>
      </c>
      <c r="K44" s="965">
        <v>327.82185068361093</v>
      </c>
      <c r="L44" s="965">
        <v>546.59493960136888</v>
      </c>
      <c r="M44" s="968"/>
      <c r="N44" s="3">
        <v>2051</v>
      </c>
      <c r="O44" s="1170">
        <f>C44*Compost!J43/100</f>
        <v>1696.9262233765496</v>
      </c>
      <c r="P44" s="1116">
        <f t="shared" si="19"/>
        <v>665.81086816741731</v>
      </c>
      <c r="Q44" s="1116">
        <f t="shared" si="20"/>
        <v>47.867164548268384</v>
      </c>
      <c r="R44" s="1116">
        <f t="shared" si="21"/>
        <v>272.41940938106075</v>
      </c>
      <c r="S44" s="1116">
        <f t="shared" si="22"/>
        <v>491.36384582685764</v>
      </c>
      <c r="T44" s="1116">
        <f t="shared" si="23"/>
        <v>218.97150890855096</v>
      </c>
      <c r="U44" s="1116">
        <f t="shared" si="24"/>
        <v>222.46431860244883</v>
      </c>
      <c r="V44" s="1116">
        <f t="shared" si="25"/>
        <v>274.65061470892749</v>
      </c>
      <c r="W44" s="1116">
        <f t="shared" si="26"/>
        <v>203.73064663121659</v>
      </c>
      <c r="X44" s="1116">
        <f t="shared" si="27"/>
        <v>133.8584757163018</v>
      </c>
      <c r="AA44" s="3">
        <v>2051</v>
      </c>
      <c r="AB44" s="707">
        <f>C44*'H&amp;C Recycling'!M41/100</f>
        <v>1002.9516569588827</v>
      </c>
      <c r="AC44" s="1129">
        <f t="shared" si="8"/>
        <v>296.08331363567657</v>
      </c>
      <c r="AD44" s="1129">
        <f t="shared" si="9"/>
        <v>47.222290913663819</v>
      </c>
      <c r="AE44" s="1129">
        <f t="shared" si="10"/>
        <v>145.34390645582275</v>
      </c>
      <c r="AF44" s="1129">
        <f t="shared" si="11"/>
        <v>396.76878922246425</v>
      </c>
      <c r="AG44" s="1129">
        <f t="shared" si="12"/>
        <v>117.53335673125518</v>
      </c>
      <c r="AH44" s="2"/>
      <c r="AI44" s="2"/>
      <c r="AJ44" s="2"/>
      <c r="AK44" s="2"/>
      <c r="AM44" s="3">
        <v>2051</v>
      </c>
      <c r="AN44" s="707">
        <f t="shared" si="18"/>
        <v>837.87046872588121</v>
      </c>
      <c r="AO44" s="528">
        <f t="shared" si="18"/>
        <v>-220.29752195712666</v>
      </c>
      <c r="AP44" s="528">
        <f t="shared" si="18"/>
        <v>93.644790391257033</v>
      </c>
      <c r="AQ44" s="528">
        <f t="shared" si="18"/>
        <v>1087.669152458099</v>
      </c>
      <c r="AR44" s="528">
        <f t="shared" si="18"/>
        <v>-93.298494742043147</v>
      </c>
      <c r="AS44" s="528">
        <f t="shared" si="18"/>
        <v>57.109580554050424</v>
      </c>
      <c r="AT44" s="528">
        <f t="shared" si="18"/>
        <v>218.12346433041739</v>
      </c>
      <c r="AU44" s="528"/>
      <c r="AV44" s="528"/>
      <c r="AW44" s="528"/>
      <c r="AY44" s="3">
        <v>2051</v>
      </c>
      <c r="AZ44" s="707">
        <f>C44*Bioplastics!AL49</f>
        <v>638.00440215256936</v>
      </c>
      <c r="BD44" s="3">
        <v>2051</v>
      </c>
      <c r="BE44" s="1131">
        <f t="shared" si="14"/>
        <v>0.47966278433196147</v>
      </c>
      <c r="BF44" s="1131">
        <f t="shared" si="15"/>
        <v>0.28350000000000009</v>
      </c>
      <c r="BG44" s="1131">
        <f t="shared" si="16"/>
        <v>0.23683721566803842</v>
      </c>
    </row>
    <row r="45" spans="2:59" ht="14.4" x14ac:dyDescent="0.55000000000000004">
      <c r="B45" s="3">
        <v>2052</v>
      </c>
      <c r="C45" s="707">
        <v>3579.1229299215083</v>
      </c>
      <c r="D45" s="965">
        <v>744.27326586741106</v>
      </c>
      <c r="E45" s="965">
        <v>189.67208731586652</v>
      </c>
      <c r="F45" s="965">
        <v>1518.6216745427705</v>
      </c>
      <c r="G45" s="965">
        <v>812.33999506211455</v>
      </c>
      <c r="H45" s="965">
        <v>396.52497359935398</v>
      </c>
      <c r="I45" s="965">
        <v>444.0164816327329</v>
      </c>
      <c r="J45" s="965">
        <v>646.71994862567362</v>
      </c>
      <c r="K45" s="965">
        <v>330.07911016058563</v>
      </c>
      <c r="L45" s="965">
        <v>559.35537833031333</v>
      </c>
      <c r="M45" s="968"/>
      <c r="N45" s="3">
        <v>2052</v>
      </c>
      <c r="O45" s="1170">
        <f>C45*Compost!J44/100</f>
        <v>1717.0674283220681</v>
      </c>
      <c r="P45" s="1116">
        <f t="shared" si="19"/>
        <v>673.71352944165346</v>
      </c>
      <c r="Q45" s="1116">
        <f t="shared" si="20"/>
        <v>48.435310857781566</v>
      </c>
      <c r="R45" s="1116">
        <f t="shared" si="21"/>
        <v>275.65281757517965</v>
      </c>
      <c r="S45" s="1116">
        <f t="shared" si="22"/>
        <v>497.1959555469399</v>
      </c>
      <c r="T45" s="1116">
        <f t="shared" si="23"/>
        <v>221.57053176375842</v>
      </c>
      <c r="U45" s="1116">
        <f t="shared" si="24"/>
        <v>225.10479841371685</v>
      </c>
      <c r="V45" s="1116">
        <f t="shared" si="25"/>
        <v>277.9105055887195</v>
      </c>
      <c r="W45" s="1116">
        <f t="shared" si="26"/>
        <v>206.14877221084103</v>
      </c>
      <c r="X45" s="1116">
        <f t="shared" si="27"/>
        <v>135.44727253961454</v>
      </c>
      <c r="AA45" s="3">
        <v>2052</v>
      </c>
      <c r="AB45" s="707">
        <f>C45*'H&amp;C Recycling'!M42/100</f>
        <v>1007.881017065897</v>
      </c>
      <c r="AC45" s="1129">
        <f t="shared" si="8"/>
        <v>297.53851964133167</v>
      </c>
      <c r="AD45" s="1129">
        <f t="shared" si="9"/>
        <v>47.454381538746844</v>
      </c>
      <c r="AE45" s="1129">
        <f t="shared" si="10"/>
        <v>146.058250411795</v>
      </c>
      <c r="AF45" s="1129">
        <f t="shared" si="11"/>
        <v>398.71884955461621</v>
      </c>
      <c r="AG45" s="1129">
        <f t="shared" si="12"/>
        <v>118.11101591940714</v>
      </c>
      <c r="AH45" s="2"/>
      <c r="AI45" s="2"/>
      <c r="AJ45" s="2"/>
      <c r="AK45" s="2"/>
      <c r="AM45" s="3">
        <v>2052</v>
      </c>
      <c r="AN45" s="707">
        <f t="shared" si="18"/>
        <v>854.17448453354325</v>
      </c>
      <c r="AO45" s="528">
        <f t="shared" si="18"/>
        <v>-226.97878321557408</v>
      </c>
      <c r="AP45" s="528">
        <f t="shared" si="18"/>
        <v>93.782394919338117</v>
      </c>
      <c r="AQ45" s="528">
        <f t="shared" si="18"/>
        <v>1096.910606555796</v>
      </c>
      <c r="AR45" s="528">
        <f t="shared" si="18"/>
        <v>-83.574810039441559</v>
      </c>
      <c r="AS45" s="528">
        <f t="shared" si="18"/>
        <v>56.843425916188423</v>
      </c>
      <c r="AT45" s="528">
        <f t="shared" si="18"/>
        <v>218.91168321901606</v>
      </c>
      <c r="AU45" s="528"/>
      <c r="AV45" s="528"/>
      <c r="AW45" s="528"/>
      <c r="AY45" s="3">
        <v>2052</v>
      </c>
      <c r="AZ45" s="707">
        <f>C45*Bioplastics!AL50</f>
        <v>653.49530725973602</v>
      </c>
      <c r="BD45" s="3">
        <v>2052</v>
      </c>
      <c r="BE45" s="1131">
        <f t="shared" si="14"/>
        <v>0.47974530686480893</v>
      </c>
      <c r="BF45" s="1131">
        <f t="shared" si="15"/>
        <v>0.28160000000000007</v>
      </c>
      <c r="BG45" s="1131">
        <f t="shared" si="16"/>
        <v>0.238654693135191</v>
      </c>
    </row>
    <row r="46" spans="2:59" ht="14.4" x14ac:dyDescent="0.55000000000000004">
      <c r="B46" s="3">
        <v>2053</v>
      </c>
      <c r="C46" s="707">
        <v>3620.3950150310288</v>
      </c>
      <c r="D46" s="965">
        <v>746.8378890434808</v>
      </c>
      <c r="E46" s="965">
        <v>190.63722977756515</v>
      </c>
      <c r="F46" s="965">
        <v>1531.5141237227631</v>
      </c>
      <c r="G46" s="965">
        <v>832.43039877469721</v>
      </c>
      <c r="H46" s="965">
        <v>399.40546379842476</v>
      </c>
      <c r="I46" s="965">
        <v>447.44518033259953</v>
      </c>
      <c r="J46" s="965">
        <v>658.84231320422771</v>
      </c>
      <c r="K46" s="965">
        <v>332.33636963756044</v>
      </c>
      <c r="L46" s="965">
        <v>572.38472317294122</v>
      </c>
      <c r="M46" s="968"/>
      <c r="N46" s="3">
        <v>2053</v>
      </c>
      <c r="O46" s="1170">
        <f>C46*Compost!J45/100</f>
        <v>1737.139965502616</v>
      </c>
      <c r="P46" s="1116">
        <f t="shared" si="19"/>
        <v>681.58924803353807</v>
      </c>
      <c r="Q46" s="1116">
        <f t="shared" si="20"/>
        <v>49.001520176069249</v>
      </c>
      <c r="R46" s="1116">
        <f t="shared" si="21"/>
        <v>278.87520205375984</v>
      </c>
      <c r="S46" s="1116">
        <f t="shared" si="22"/>
        <v>503.00818175257382</v>
      </c>
      <c r="T46" s="1116">
        <f t="shared" si="23"/>
        <v>224.16069372454288</v>
      </c>
      <c r="U46" s="1116">
        <f t="shared" si="24"/>
        <v>227.73627599063093</v>
      </c>
      <c r="V46" s="1116">
        <f t="shared" si="25"/>
        <v>281.15928246508577</v>
      </c>
      <c r="W46" s="1116">
        <f t="shared" si="26"/>
        <v>208.55865363231206</v>
      </c>
      <c r="X46" s="1116">
        <f t="shared" si="27"/>
        <v>137.03065264991807</v>
      </c>
      <c r="AA46" s="3">
        <v>2053</v>
      </c>
      <c r="AB46" s="707">
        <f>C46*'H&amp;C Recycling'!M43/100</f>
        <v>1012.6244857041789</v>
      </c>
      <c r="AC46" s="1129">
        <f t="shared" si="8"/>
        <v>298.93884826415683</v>
      </c>
      <c r="AD46" s="1129">
        <f t="shared" si="9"/>
        <v>47.677719776858922</v>
      </c>
      <c r="AE46" s="1129">
        <f t="shared" si="10"/>
        <v>146.74565568926278</v>
      </c>
      <c r="AF46" s="1129">
        <f t="shared" si="11"/>
        <v>400.59537101531407</v>
      </c>
      <c r="AG46" s="1129">
        <f t="shared" si="12"/>
        <v>118.66689095858618</v>
      </c>
      <c r="AH46" s="2"/>
      <c r="AI46" s="2"/>
      <c r="AJ46" s="2"/>
      <c r="AK46" s="2"/>
      <c r="AM46" s="3">
        <v>2053</v>
      </c>
      <c r="AN46" s="707">
        <f t="shared" si="18"/>
        <v>870.63056382423395</v>
      </c>
      <c r="AO46" s="528">
        <f t="shared" si="18"/>
        <v>-233.6902072542141</v>
      </c>
      <c r="AP46" s="528">
        <f t="shared" si="18"/>
        <v>93.957989824636982</v>
      </c>
      <c r="AQ46" s="528">
        <f t="shared" si="18"/>
        <v>1105.8932659797404</v>
      </c>
      <c r="AR46" s="528">
        <f t="shared" si="18"/>
        <v>-71.173153993190681</v>
      </c>
      <c r="AS46" s="528">
        <f t="shared" si="18"/>
        <v>56.577879115295701</v>
      </c>
      <c r="AT46" s="528">
        <f t="shared" si="18"/>
        <v>219.7089043419686</v>
      </c>
      <c r="AU46" s="528"/>
      <c r="AV46" s="528"/>
      <c r="AW46" s="528"/>
      <c r="AY46" s="3">
        <v>2053</v>
      </c>
      <c r="AZ46" s="707">
        <f>C46*Bioplastics!AL51</f>
        <v>669.20283553854222</v>
      </c>
      <c r="BD46" s="3">
        <v>2053</v>
      </c>
      <c r="BE46" s="1131">
        <f t="shared" si="14"/>
        <v>0.47982056054392386</v>
      </c>
      <c r="BF46" s="1131">
        <f t="shared" si="15"/>
        <v>0.27970000000000006</v>
      </c>
      <c r="BG46" s="1131">
        <f t="shared" si="16"/>
        <v>0.24047943945607608</v>
      </c>
    </row>
    <row r="47" spans="2:59" ht="14.4" x14ac:dyDescent="0.55000000000000004">
      <c r="B47" s="3">
        <v>2054</v>
      </c>
      <c r="C47" s="707">
        <v>3661.5717734805517</v>
      </c>
      <c r="D47" s="965">
        <v>749.28650183536797</v>
      </c>
      <c r="E47" s="965">
        <v>191.63323111111549</v>
      </c>
      <c r="F47" s="965">
        <v>1544.1113352475138</v>
      </c>
      <c r="G47" s="965">
        <v>852.87333779202584</v>
      </c>
      <c r="H47" s="965">
        <v>402.25895169650971</v>
      </c>
      <c r="I47" s="965">
        <v>450.87387903246622</v>
      </c>
      <c r="J47" s="965">
        <v>670.96467778278179</v>
      </c>
      <c r="K47" s="965">
        <v>334.59362911453513</v>
      </c>
      <c r="L47" s="965">
        <v>585.6829741292529</v>
      </c>
      <c r="M47" s="968"/>
      <c r="N47" s="3">
        <v>2054</v>
      </c>
      <c r="O47" s="1170">
        <f>C47*Compost!J46/100</f>
        <v>1757.1486892227977</v>
      </c>
      <c r="P47" s="1116">
        <f t="shared" si="19"/>
        <v>689.43992859202933</v>
      </c>
      <c r="Q47" s="1116">
        <f t="shared" si="20"/>
        <v>49.565929434127042</v>
      </c>
      <c r="R47" s="1116">
        <f t="shared" si="21"/>
        <v>282.08734211219723</v>
      </c>
      <c r="S47" s="1116">
        <f t="shared" si="22"/>
        <v>508.80193006160323</v>
      </c>
      <c r="T47" s="1116">
        <f t="shared" si="23"/>
        <v>226.74262119079683</v>
      </c>
      <c r="U47" s="1116">
        <f t="shared" si="24"/>
        <v>230.35938772477445</v>
      </c>
      <c r="V47" s="1116">
        <f t="shared" si="25"/>
        <v>284.39773101611013</v>
      </c>
      <c r="W47" s="1116">
        <f t="shared" si="26"/>
        <v>210.96087369681598</v>
      </c>
      <c r="X47" s="1116">
        <f t="shared" si="27"/>
        <v>138.60899896887753</v>
      </c>
      <c r="AA47" s="3">
        <v>2054</v>
      </c>
      <c r="AB47" s="707">
        <f>C47*'H&amp;C Recycling'!M44/100</f>
        <v>1017.1846386728974</v>
      </c>
      <c r="AC47" s="1129">
        <f t="shared" si="8"/>
        <v>300.28505991084552</v>
      </c>
      <c r="AD47" s="1129">
        <f t="shared" si="9"/>
        <v>47.89242690516916</v>
      </c>
      <c r="AE47" s="1129">
        <f t="shared" si="10"/>
        <v>147.40649556315995</v>
      </c>
      <c r="AF47" s="1129">
        <f t="shared" si="11"/>
        <v>402.39937259356947</v>
      </c>
      <c r="AG47" s="1129">
        <f t="shared" si="12"/>
        <v>119.20128370015324</v>
      </c>
      <c r="AH47" s="2"/>
      <c r="AI47" s="2"/>
      <c r="AJ47" s="2"/>
      <c r="AK47" s="2"/>
      <c r="AM47" s="3">
        <v>2054</v>
      </c>
      <c r="AN47" s="707">
        <f t="shared" si="18"/>
        <v>887.23844558485655</v>
      </c>
      <c r="AO47" s="528">
        <f t="shared" si="18"/>
        <v>-240.43848666750688</v>
      </c>
      <c r="AP47" s="528">
        <f t="shared" si="18"/>
        <v>94.17487477181929</v>
      </c>
      <c r="AQ47" s="528">
        <f t="shared" si="18"/>
        <v>1114.6174975721567</v>
      </c>
      <c r="AR47" s="528">
        <f t="shared" si="18"/>
        <v>-58.32796486314686</v>
      </c>
      <c r="AS47" s="528">
        <f t="shared" si="18"/>
        <v>56.315046805559646</v>
      </c>
      <c r="AT47" s="528">
        <f t="shared" si="18"/>
        <v>220.51449130769177</v>
      </c>
      <c r="AU47" s="528"/>
      <c r="AV47" s="528"/>
      <c r="AW47" s="528"/>
      <c r="AY47" s="3">
        <v>2054</v>
      </c>
      <c r="AZ47" s="707">
        <f>C47*Bioplastics!AL52</f>
        <v>685.12447706138357</v>
      </c>
      <c r="BD47" s="3">
        <v>2054</v>
      </c>
      <c r="BE47" s="1131">
        <f t="shared" si="14"/>
        <v>0.47988918364217087</v>
      </c>
      <c r="BF47" s="1131">
        <f t="shared" si="15"/>
        <v>0.27780000000000005</v>
      </c>
      <c r="BG47" s="1131">
        <f t="shared" si="16"/>
        <v>0.24231081635782908</v>
      </c>
    </row>
    <row r="48" spans="2:59" ht="14.4" x14ac:dyDescent="0.55000000000000004">
      <c r="B48" s="3">
        <v>2055</v>
      </c>
      <c r="C48" s="707">
        <v>3702.6603743607484</v>
      </c>
      <c r="D48" s="965">
        <v>751.61507670426408</v>
      </c>
      <c r="E48" s="965">
        <v>192.66364918934789</v>
      </c>
      <c r="F48" s="965">
        <v>1556.4148285295782</v>
      </c>
      <c r="G48" s="965">
        <v>873.67770409275761</v>
      </c>
      <c r="H48" s="965">
        <v>405.08847219904976</v>
      </c>
      <c r="I48" s="965">
        <v>454.30257773233291</v>
      </c>
      <c r="J48" s="965">
        <v>683.08704236133588</v>
      </c>
      <c r="K48" s="965">
        <v>336.85088859150994</v>
      </c>
      <c r="L48" s="965">
        <v>599.25013119924824</v>
      </c>
      <c r="M48" s="968"/>
      <c r="N48" s="3">
        <v>2055</v>
      </c>
      <c r="O48" s="1170">
        <f>C48*Compost!J47/100</f>
        <v>1777.0983586256129</v>
      </c>
      <c r="P48" s="1116">
        <f t="shared" si="19"/>
        <v>697.26743842820326</v>
      </c>
      <c r="Q48" s="1116">
        <f t="shared" si="20"/>
        <v>50.128672878616918</v>
      </c>
      <c r="R48" s="1116">
        <f t="shared" si="21"/>
        <v>285.2900017689314</v>
      </c>
      <c r="S48" s="1116">
        <f t="shared" si="22"/>
        <v>514.57857853677183</v>
      </c>
      <c r="T48" s="1116">
        <f t="shared" si="23"/>
        <v>229.31692828275095</v>
      </c>
      <c r="U48" s="1116">
        <f t="shared" si="24"/>
        <v>232.97475753219632</v>
      </c>
      <c r="V48" s="1116">
        <f t="shared" si="25"/>
        <v>287.62662151779654</v>
      </c>
      <c r="W48" s="1116">
        <f t="shared" si="26"/>
        <v>213.35600378056662</v>
      </c>
      <c r="X48" s="1116">
        <f t="shared" si="27"/>
        <v>140.18268691153384</v>
      </c>
      <c r="AA48" s="3">
        <v>2055</v>
      </c>
      <c r="AB48" s="707">
        <f>C48*'H&amp;C Recycling'!M45/100</f>
        <v>1021.5639972861306</v>
      </c>
      <c r="AC48" s="1129">
        <f t="shared" si="8"/>
        <v>301.57789890344134</v>
      </c>
      <c r="AD48" s="1129">
        <f t="shared" si="9"/>
        <v>48.098621635507826</v>
      </c>
      <c r="AE48" s="1129">
        <f t="shared" si="10"/>
        <v>148.04113541265008</v>
      </c>
      <c r="AF48" s="1129">
        <f t="shared" si="11"/>
        <v>404.13185172403143</v>
      </c>
      <c r="AG48" s="1129">
        <f t="shared" si="12"/>
        <v>119.71448961049987</v>
      </c>
      <c r="AH48" s="2"/>
      <c r="AI48" s="2"/>
      <c r="AJ48" s="2"/>
      <c r="AK48" s="2"/>
      <c r="AM48" s="3">
        <v>2055</v>
      </c>
      <c r="AN48" s="707">
        <f t="shared" si="18"/>
        <v>903.9980184490048</v>
      </c>
      <c r="AO48" s="528">
        <f t="shared" si="18"/>
        <v>-247.23026062738052</v>
      </c>
      <c r="AP48" s="528">
        <f t="shared" si="18"/>
        <v>94.436354675223143</v>
      </c>
      <c r="AQ48" s="528">
        <f t="shared" si="18"/>
        <v>1123.0836913479966</v>
      </c>
      <c r="AR48" s="528">
        <f t="shared" si="18"/>
        <v>-45.032726168045656</v>
      </c>
      <c r="AS48" s="528">
        <f t="shared" si="18"/>
        <v>56.057054305798943</v>
      </c>
      <c r="AT48" s="528">
        <f t="shared" si="18"/>
        <v>221.32782020013659</v>
      </c>
      <c r="AU48" s="528"/>
      <c r="AV48" s="528"/>
      <c r="AW48" s="528"/>
      <c r="AY48" s="3">
        <v>2055</v>
      </c>
      <c r="AZ48" s="707">
        <f>C48*Bioplastics!AL53</f>
        <v>701.25770983467817</v>
      </c>
      <c r="BD48" s="3">
        <v>2055</v>
      </c>
      <c r="BE48" s="1131">
        <f t="shared" si="14"/>
        <v>0.47995175872224655</v>
      </c>
      <c r="BF48" s="1131">
        <f t="shared" si="15"/>
        <v>0.27590000000000003</v>
      </c>
      <c r="BG48" s="1131">
        <f t="shared" si="16"/>
        <v>0.24414824127775342</v>
      </c>
    </row>
    <row r="49" spans="1:59" ht="14.4" x14ac:dyDescent="0.55000000000000004">
      <c r="B49" s="3">
        <v>2056</v>
      </c>
      <c r="C49" s="707">
        <v>3743.6679867622934</v>
      </c>
      <c r="D49" s="965">
        <v>753.81958611136042</v>
      </c>
      <c r="E49" s="965">
        <v>193.73204188509274</v>
      </c>
      <c r="F49" s="965">
        <v>1568.4261229815106</v>
      </c>
      <c r="G49" s="965">
        <v>894.85238965554993</v>
      </c>
      <c r="H49" s="965">
        <v>407.89706021148572</v>
      </c>
      <c r="I49" s="965">
        <v>457.73127643219959</v>
      </c>
      <c r="J49" s="965">
        <v>695.20940693988996</v>
      </c>
      <c r="K49" s="965">
        <v>339.10814806848464</v>
      </c>
      <c r="L49" s="965">
        <v>613.08619438292715</v>
      </c>
      <c r="M49" s="968"/>
      <c r="N49" s="3">
        <v>2056</v>
      </c>
      <c r="O49" s="1170">
        <f>C49*Compost!J48/100</f>
        <v>1796.9936432227987</v>
      </c>
      <c r="P49" s="1116">
        <f t="shared" si="19"/>
        <v>705.07360968515525</v>
      </c>
      <c r="Q49" s="1116">
        <f t="shared" si="20"/>
        <v>50.689882227867926</v>
      </c>
      <c r="R49" s="1116">
        <f t="shared" si="21"/>
        <v>288.48393065326968</v>
      </c>
      <c r="S49" s="1116">
        <f t="shared" si="22"/>
        <v>520.33947928709495</v>
      </c>
      <c r="T49" s="1116">
        <f t="shared" si="23"/>
        <v>231.88421755460996</v>
      </c>
      <c r="U49" s="1116">
        <f t="shared" si="24"/>
        <v>235.58299757842994</v>
      </c>
      <c r="V49" s="1116">
        <f t="shared" si="25"/>
        <v>290.84670973916502</v>
      </c>
      <c r="W49" s="1116">
        <f t="shared" si="26"/>
        <v>215.7446044987708</v>
      </c>
      <c r="X49" s="1116">
        <f t="shared" si="27"/>
        <v>141.75208482255331</v>
      </c>
      <c r="AA49" s="3">
        <v>2056</v>
      </c>
      <c r="AB49" s="707">
        <f>C49*'H&amp;C Recycling'!M46/100</f>
        <v>1025.7650283728683</v>
      </c>
      <c r="AC49" s="1129">
        <f t="shared" si="8"/>
        <v>302.81809347933876</v>
      </c>
      <c r="AD49" s="1129">
        <f t="shared" si="9"/>
        <v>48.296420114366519</v>
      </c>
      <c r="AE49" s="1129">
        <f t="shared" si="10"/>
        <v>148.64993272112676</v>
      </c>
      <c r="AF49" s="1129">
        <f t="shared" si="11"/>
        <v>405.7937842869876</v>
      </c>
      <c r="AG49" s="1129">
        <f t="shared" si="12"/>
        <v>120.2067977710485</v>
      </c>
      <c r="AH49" s="2"/>
      <c r="AI49" s="2"/>
      <c r="AJ49" s="2"/>
      <c r="AK49" s="2"/>
      <c r="AM49" s="3">
        <v>2056</v>
      </c>
      <c r="AN49" s="707">
        <f t="shared" si="18"/>
        <v>920.90931516662636</v>
      </c>
      <c r="AO49" s="528">
        <f t="shared" si="18"/>
        <v>-254.07211705313358</v>
      </c>
      <c r="AP49" s="528">
        <f t="shared" si="18"/>
        <v>94.745739542858303</v>
      </c>
      <c r="AQ49" s="528">
        <f t="shared" si="18"/>
        <v>1131.2922596071141</v>
      </c>
      <c r="AR49" s="528">
        <f t="shared" si="18"/>
        <v>-31.28087391853262</v>
      </c>
      <c r="AS49" s="528">
        <f t="shared" si="18"/>
        <v>55.806044885827262</v>
      </c>
      <c r="AT49" s="528">
        <f t="shared" si="18"/>
        <v>222.14827885376965</v>
      </c>
      <c r="AU49" s="528"/>
      <c r="AV49" s="528"/>
      <c r="AW49" s="528"/>
      <c r="AY49" s="3">
        <v>2056</v>
      </c>
      <c r="AZ49" s="707">
        <f>C49*Bioplastics!AL54</f>
        <v>717.60021807426597</v>
      </c>
      <c r="BD49" s="3">
        <v>2056</v>
      </c>
      <c r="BE49" s="1131">
        <f t="shared" si="14"/>
        <v>0.48000881744241602</v>
      </c>
      <c r="BF49" s="1131">
        <f t="shared" si="15"/>
        <v>0.27399999999999997</v>
      </c>
      <c r="BG49" s="1131">
        <f t="shared" si="16"/>
        <v>0.24599118255758404</v>
      </c>
    </row>
    <row r="50" spans="1:59" ht="14.4" x14ac:dyDescent="0.55000000000000004">
      <c r="B50" s="3">
        <v>2057</v>
      </c>
      <c r="C50" s="707">
        <v>3784.60177977586</v>
      </c>
      <c r="D50" s="965">
        <v>755.8960025178485</v>
      </c>
      <c r="E50" s="965">
        <v>194.84196707118036</v>
      </c>
      <c r="F50" s="965">
        <v>1580.146738015866</v>
      </c>
      <c r="G50" s="965">
        <v>916.40628645906054</v>
      </c>
      <c r="H50" s="965">
        <v>410.68775063925852</v>
      </c>
      <c r="I50" s="965">
        <v>461.15997513206622</v>
      </c>
      <c r="J50" s="965">
        <v>707.33177151844416</v>
      </c>
      <c r="K50" s="965">
        <v>341.36540754545945</v>
      </c>
      <c r="L50" s="965">
        <v>627.19116368028972</v>
      </c>
      <c r="M50" s="968"/>
      <c r="N50" s="3">
        <v>2057</v>
      </c>
      <c r="O50" s="1170">
        <f>C50*Compost!J49/100</f>
        <v>1816.8391282261741</v>
      </c>
      <c r="P50" s="1116">
        <f t="shared" si="19"/>
        <v>712.86024142982171</v>
      </c>
      <c r="Q50" s="1116">
        <f t="shared" si="20"/>
        <v>51.249686822263641</v>
      </c>
      <c r="R50" s="1116">
        <f t="shared" si="21"/>
        <v>291.66986486126535</v>
      </c>
      <c r="S50" s="1116">
        <f t="shared" si="22"/>
        <v>526.08596001161027</v>
      </c>
      <c r="T50" s="1116">
        <f t="shared" si="23"/>
        <v>234.44508068250968</v>
      </c>
      <c r="U50" s="1116">
        <f t="shared" si="24"/>
        <v>238.18470897742421</v>
      </c>
      <c r="V50" s="1116">
        <f t="shared" si="25"/>
        <v>294.05873780513963</v>
      </c>
      <c r="W50" s="1116">
        <f t="shared" si="26"/>
        <v>218.12722634570221</v>
      </c>
      <c r="X50" s="1116">
        <f t="shared" si="27"/>
        <v>143.31755439677951</v>
      </c>
      <c r="AA50" s="3">
        <v>2057</v>
      </c>
      <c r="AB50" s="707">
        <f>C50*'H&amp;C Recycling'!M47/100</f>
        <v>1029.7901442770117</v>
      </c>
      <c r="AC50" s="1129">
        <f t="shared" si="8"/>
        <v>304.00635579128317</v>
      </c>
      <c r="AD50" s="1129">
        <f t="shared" si="9"/>
        <v>48.485935922898122</v>
      </c>
      <c r="AE50" s="1129">
        <f t="shared" si="10"/>
        <v>149.23323707621358</v>
      </c>
      <c r="AF50" s="1129">
        <f t="shared" si="11"/>
        <v>407.38612460836418</v>
      </c>
      <c r="AG50" s="1129">
        <f t="shared" si="12"/>
        <v>120.67849087825249</v>
      </c>
      <c r="AH50" s="2"/>
      <c r="AI50" s="2"/>
      <c r="AJ50" s="2"/>
      <c r="AK50" s="2"/>
      <c r="AM50" s="3">
        <v>2057</v>
      </c>
      <c r="AN50" s="707">
        <f t="shared" si="18"/>
        <v>937.97250727267419</v>
      </c>
      <c r="AO50" s="528">
        <f t="shared" si="18"/>
        <v>-260.97059470325638</v>
      </c>
      <c r="AP50" s="528">
        <f t="shared" si="18"/>
        <v>95.106344326018601</v>
      </c>
      <c r="AQ50" s="528">
        <f t="shared" si="18"/>
        <v>1139.2436360783872</v>
      </c>
      <c r="AR50" s="528">
        <f t="shared" si="18"/>
        <v>-17.065798160913914</v>
      </c>
      <c r="AS50" s="528">
        <f t="shared" si="18"/>
        <v>55.564179078496352</v>
      </c>
      <c r="AT50" s="528">
        <f t="shared" si="18"/>
        <v>222.97526615464201</v>
      </c>
      <c r="AU50" s="528"/>
      <c r="AV50" s="528"/>
      <c r="AW50" s="528"/>
      <c r="AY50" s="3">
        <v>2057</v>
      </c>
      <c r="AZ50" s="707">
        <f>C50*Bioplastics!AL55</f>
        <v>734.14959328701536</v>
      </c>
      <c r="BD50" s="3">
        <v>2057</v>
      </c>
      <c r="BE50" s="1131">
        <f t="shared" si="14"/>
        <v>0.48006084495731938</v>
      </c>
      <c r="BF50" s="1131">
        <f t="shared" si="15"/>
        <v>0.27210000000000006</v>
      </c>
      <c r="BG50" s="1131">
        <f t="shared" si="16"/>
        <v>0.24783915504268056</v>
      </c>
    </row>
    <row r="51" spans="1:59" ht="14.4" x14ac:dyDescent="0.55000000000000004">
      <c r="B51" s="3">
        <v>2058</v>
      </c>
      <c r="C51" s="707">
        <v>3825.4689224921226</v>
      </c>
      <c r="D51" s="965">
        <v>757.84029838491983</v>
      </c>
      <c r="E51" s="965">
        <v>195.99698262044117</v>
      </c>
      <c r="F51" s="965">
        <v>1591.5781930451988</v>
      </c>
      <c r="G51" s="965">
        <v>938.3482864819465</v>
      </c>
      <c r="H51" s="965">
        <v>413.46357838780892</v>
      </c>
      <c r="I51" s="965">
        <v>464.58867383193285</v>
      </c>
      <c r="J51" s="965">
        <v>719.45413609699813</v>
      </c>
      <c r="K51" s="965">
        <v>343.62266702243414</v>
      </c>
      <c r="L51" s="965">
        <v>641.56503909133596</v>
      </c>
      <c r="M51" s="968"/>
      <c r="N51" s="3">
        <v>2058</v>
      </c>
      <c r="O51" s="1170">
        <f>C51*Compost!J50/100</f>
        <v>1836.6393196676845</v>
      </c>
      <c r="P51" s="1116">
        <f t="shared" si="19"/>
        <v>720.62910166189545</v>
      </c>
      <c r="Q51" s="1116">
        <f t="shared" si="20"/>
        <v>51.808213768669184</v>
      </c>
      <c r="R51" s="1116">
        <f t="shared" si="21"/>
        <v>294.84852777767389</v>
      </c>
      <c r="S51" s="1116">
        <f t="shared" si="22"/>
        <v>531.81932548194254</v>
      </c>
      <c r="T51" s="1116">
        <f t="shared" si="23"/>
        <v>237.00009912520812</v>
      </c>
      <c r="U51" s="1116">
        <f t="shared" si="24"/>
        <v>240.78048246277282</v>
      </c>
      <c r="V51" s="1116">
        <f t="shared" si="25"/>
        <v>297.26343502523707</v>
      </c>
      <c r="W51" s="1116">
        <f t="shared" si="26"/>
        <v>220.50441030940698</v>
      </c>
      <c r="X51" s="1116">
        <f t="shared" si="27"/>
        <v>144.87945108311729</v>
      </c>
      <c r="AA51" s="3">
        <v>2058</v>
      </c>
      <c r="AB51" s="707">
        <f>C51*'H&amp;C Recycling'!M48/100</f>
        <v>1033.6417028573715</v>
      </c>
      <c r="AC51" s="1129">
        <f t="shared" si="8"/>
        <v>305.14338190737004</v>
      </c>
      <c r="AD51" s="1129">
        <f t="shared" si="9"/>
        <v>48.667280076916725</v>
      </c>
      <c r="AE51" s="1129">
        <f t="shared" si="10"/>
        <v>149.79139016976382</v>
      </c>
      <c r="AF51" s="1129">
        <f t="shared" si="11"/>
        <v>408.90980545972485</v>
      </c>
      <c r="AG51" s="1129">
        <f t="shared" si="12"/>
        <v>121.12984524359585</v>
      </c>
      <c r="AH51" s="2"/>
      <c r="AI51" s="2"/>
      <c r="AJ51" s="2"/>
      <c r="AK51" s="2"/>
      <c r="AM51" s="3">
        <v>2058</v>
      </c>
      <c r="AN51" s="707">
        <f t="shared" si="18"/>
        <v>955.18789996706664</v>
      </c>
      <c r="AO51" s="528">
        <f t="shared" si="18"/>
        <v>-267.93218518434566</v>
      </c>
      <c r="AP51" s="528">
        <f t="shared" si="18"/>
        <v>95.521488774855257</v>
      </c>
      <c r="AQ51" s="528">
        <f t="shared" si="18"/>
        <v>1146.9382750977611</v>
      </c>
      <c r="AR51" s="528">
        <f t="shared" si="18"/>
        <v>-2.3808444597208904</v>
      </c>
      <c r="AS51" s="528">
        <f t="shared" si="18"/>
        <v>55.333634019004947</v>
      </c>
      <c r="AT51" s="528">
        <f t="shared" si="18"/>
        <v>223.80819136916003</v>
      </c>
      <c r="AU51" s="528"/>
      <c r="AV51" s="528"/>
      <c r="AW51" s="528"/>
      <c r="AY51" s="3">
        <v>2058</v>
      </c>
      <c r="AZ51" s="707">
        <f>C51*Bioplastics!AL56</f>
        <v>750.90298989785902</v>
      </c>
      <c r="BD51" s="3">
        <v>2058</v>
      </c>
      <c r="BE51" s="1131">
        <f t="shared" si="14"/>
        <v>0.4801082839463236</v>
      </c>
      <c r="BF51" s="1131">
        <f t="shared" si="15"/>
        <v>0.2702</v>
      </c>
      <c r="BG51" s="1131">
        <f t="shared" si="16"/>
        <v>0.24969171605367643</v>
      </c>
    </row>
    <row r="52" spans="1:59" ht="14.4" x14ac:dyDescent="0.55000000000000004">
      <c r="B52" s="3">
        <v>2059</v>
      </c>
      <c r="C52" s="707">
        <v>3866.2765840017541</v>
      </c>
      <c r="D52" s="965">
        <v>759.64844617376582</v>
      </c>
      <c r="E52" s="965">
        <v>197.20064640570544</v>
      </c>
      <c r="F52" s="965">
        <v>1602.7220074820641</v>
      </c>
      <c r="G52" s="965">
        <v>960.68728170286556</v>
      </c>
      <c r="H52" s="965">
        <v>416.2275783625779</v>
      </c>
      <c r="I52" s="965">
        <v>468.01737253179954</v>
      </c>
      <c r="J52" s="965">
        <v>731.57650067555232</v>
      </c>
      <c r="K52" s="965">
        <v>345.87992649940895</v>
      </c>
      <c r="L52" s="965">
        <v>656.20782061606587</v>
      </c>
      <c r="M52" s="968"/>
      <c r="N52" s="3">
        <v>2059</v>
      </c>
      <c r="O52" s="1170">
        <f>C52*Compost!J51/100</f>
        <v>1856.3986493000657</v>
      </c>
      <c r="P52" s="1116">
        <f t="shared" si="19"/>
        <v>728.38192923666418</v>
      </c>
      <c r="Q52" s="1116">
        <f t="shared" si="20"/>
        <v>52.365588078669923</v>
      </c>
      <c r="R52" s="1116">
        <f t="shared" si="21"/>
        <v>298.02063086269084</v>
      </c>
      <c r="S52" s="1116">
        <f t="shared" si="22"/>
        <v>537.54085896134654</v>
      </c>
      <c r="T52" s="1116">
        <f t="shared" si="23"/>
        <v>239.54984475646756</v>
      </c>
      <c r="U52" s="1116">
        <f t="shared" si="24"/>
        <v>243.37089903018386</v>
      </c>
      <c r="V52" s="1116">
        <f t="shared" si="25"/>
        <v>300.46151868674792</v>
      </c>
      <c r="W52" s="1116">
        <f t="shared" si="26"/>
        <v>222.87668846007062</v>
      </c>
      <c r="X52" s="1116">
        <f t="shared" si="27"/>
        <v>146.43812447111148</v>
      </c>
      <c r="AA52" s="3">
        <v>2059</v>
      </c>
      <c r="AB52" s="707">
        <f>C52*'H&amp;C Recycling'!M49/100</f>
        <v>1037.3220074876706</v>
      </c>
      <c r="AC52" s="1129">
        <f t="shared" si="8"/>
        <v>306.22985181104593</v>
      </c>
      <c r="AD52" s="1129">
        <f t="shared" si="9"/>
        <v>48.84056102689776</v>
      </c>
      <c r="AE52" s="1129">
        <f t="shared" si="10"/>
        <v>150.32472579786085</v>
      </c>
      <c r="AF52" s="1129">
        <f t="shared" si="11"/>
        <v>410.36573805827231</v>
      </c>
      <c r="AG52" s="1129">
        <f t="shared" si="12"/>
        <v>121.56113079359358</v>
      </c>
      <c r="AH52" s="2"/>
      <c r="AI52" s="2"/>
      <c r="AJ52" s="2"/>
      <c r="AK52" s="2"/>
      <c r="AM52" s="3">
        <v>2059</v>
      </c>
      <c r="AN52" s="707">
        <f t="shared" si="18"/>
        <v>972.55592721401786</v>
      </c>
      <c r="AO52" s="528">
        <f t="shared" si="18"/>
        <v>-274.96333487394429</v>
      </c>
      <c r="AP52" s="528">
        <f t="shared" si="18"/>
        <v>95.994497300137752</v>
      </c>
      <c r="AQ52" s="528">
        <f t="shared" si="18"/>
        <v>1154.3766508215124</v>
      </c>
      <c r="AR52" s="528">
        <f t="shared" si="18"/>
        <v>12.780684683246704</v>
      </c>
      <c r="AS52" s="528">
        <f t="shared" si="18"/>
        <v>55.11660281251676</v>
      </c>
      <c r="AT52" s="528">
        <f t="shared" si="18"/>
        <v>224.64647350161567</v>
      </c>
      <c r="AU52" s="528"/>
      <c r="AV52" s="528"/>
      <c r="AW52" s="528"/>
      <c r="AY52" s="3">
        <v>2059</v>
      </c>
      <c r="AZ52" s="707">
        <f>C52*Bioplastics!AL57</f>
        <v>767.85733242118249</v>
      </c>
      <c r="BD52" s="3">
        <v>2059</v>
      </c>
      <c r="BE52" s="1131">
        <f t="shared" si="14"/>
        <v>0.48015153829957435</v>
      </c>
      <c r="BF52" s="1131">
        <f t="shared" si="15"/>
        <v>0.26829999999999998</v>
      </c>
      <c r="BG52" s="1131">
        <f t="shared" si="16"/>
        <v>0.25154846170042566</v>
      </c>
    </row>
    <row r="53" spans="1:59" ht="14.4" x14ac:dyDescent="0.55000000000000004">
      <c r="B53" s="3">
        <v>2060</v>
      </c>
      <c r="C53" s="707">
        <v>3907.0319333954285</v>
      </c>
      <c r="D53" s="965">
        <v>761.31641834557797</v>
      </c>
      <c r="E53" s="965">
        <v>198.45651629980361</v>
      </c>
      <c r="F53" s="965">
        <v>1613.5797007390161</v>
      </c>
      <c r="G53" s="965">
        <v>983.43216410047501</v>
      </c>
      <c r="H53" s="965">
        <v>418.98278546900627</v>
      </c>
      <c r="I53" s="965">
        <v>471.44607123166622</v>
      </c>
      <c r="J53" s="965">
        <v>743.69886525410629</v>
      </c>
      <c r="K53" s="965">
        <v>348.13718597638371</v>
      </c>
      <c r="L53" s="965">
        <v>671.11950825447934</v>
      </c>
      <c r="M53" s="968"/>
      <c r="N53" s="3">
        <v>2060</v>
      </c>
      <c r="O53" s="1170">
        <f>C53*Compost!J52/100</f>
        <v>1876.1214792735909</v>
      </c>
      <c r="P53" s="1116">
        <f t="shared" si="19"/>
        <v>736.12043569999275</v>
      </c>
      <c r="Q53" s="1116">
        <f t="shared" si="20"/>
        <v>52.921932800493906</v>
      </c>
      <c r="R53" s="1116">
        <f t="shared" si="21"/>
        <v>301.18687440274283</v>
      </c>
      <c r="S53" s="1116">
        <f t="shared" si="22"/>
        <v>543.25182355891002</v>
      </c>
      <c r="T53" s="1116">
        <f t="shared" si="23"/>
        <v>242.09488046854241</v>
      </c>
      <c r="U53" s="1116">
        <f t="shared" si="24"/>
        <v>245.95653055059358</v>
      </c>
      <c r="V53" s="1116">
        <f t="shared" si="25"/>
        <v>303.65369481167681</v>
      </c>
      <c r="W53" s="1116">
        <f t="shared" si="26"/>
        <v>225.2445845115021</v>
      </c>
      <c r="X53" s="1116">
        <f t="shared" si="27"/>
        <v>147.99391865986217</v>
      </c>
      <c r="AA53" s="3">
        <v>2060</v>
      </c>
      <c r="AB53" s="707">
        <f>C53*'H&amp;C Recycling'!M50/100</f>
        <v>1040.833307056542</v>
      </c>
      <c r="AC53" s="1129">
        <f t="shared" si="8"/>
        <v>307.26642940110776</v>
      </c>
      <c r="AD53" s="1129">
        <f t="shared" si="9"/>
        <v>49.005884657977887</v>
      </c>
      <c r="AE53" s="1129">
        <f t="shared" si="10"/>
        <v>150.83356986081787</v>
      </c>
      <c r="AF53" s="1129">
        <f t="shared" si="11"/>
        <v>411.75481206684697</v>
      </c>
      <c r="AG53" s="1129">
        <f t="shared" si="12"/>
        <v>121.97261106979137</v>
      </c>
      <c r="AH53" s="2"/>
      <c r="AI53" s="2"/>
      <c r="AJ53" s="2"/>
      <c r="AK53" s="2"/>
      <c r="AM53" s="3">
        <v>2060</v>
      </c>
      <c r="AN53" s="707">
        <f t="shared" si="18"/>
        <v>990.07714706529555</v>
      </c>
      <c r="AO53" s="528">
        <f t="shared" si="18"/>
        <v>-282.07044675552254</v>
      </c>
      <c r="AP53" s="528">
        <f t="shared" si="18"/>
        <v>96.528698841331803</v>
      </c>
      <c r="AQ53" s="528">
        <f t="shared" si="18"/>
        <v>1161.5592564754552</v>
      </c>
      <c r="AR53" s="528">
        <f t="shared" si="18"/>
        <v>28.425528474718021</v>
      </c>
      <c r="AS53" s="528">
        <f t="shared" si="18"/>
        <v>54.91529393067249</v>
      </c>
      <c r="AT53" s="528">
        <f t="shared" si="18"/>
        <v>225.48954068107264</v>
      </c>
      <c r="AU53" s="528"/>
      <c r="AV53" s="528"/>
      <c r="AW53" s="528"/>
      <c r="AY53" s="3">
        <v>2060</v>
      </c>
      <c r="AZ53" s="707">
        <f>C53*Bioplastics!AL58</f>
        <v>785.00956045281566</v>
      </c>
      <c r="BD53" s="3">
        <v>2060</v>
      </c>
      <c r="BE53" s="1131">
        <f t="shared" si="14"/>
        <v>0.48019097648969988</v>
      </c>
      <c r="BF53" s="1131">
        <f t="shared" si="15"/>
        <v>0.26639999999999997</v>
      </c>
      <c r="BG53" s="1131">
        <f t="shared" si="16"/>
        <v>0.25340902351030015</v>
      </c>
    </row>
    <row r="54" spans="1:59" x14ac:dyDescent="0.4">
      <c r="O54" s="929"/>
      <c r="P54" s="1117"/>
      <c r="Q54" s="1117"/>
      <c r="R54" s="1117"/>
      <c r="S54" s="1117"/>
      <c r="T54" s="1117"/>
      <c r="U54" s="1117"/>
      <c r="V54" s="1117"/>
      <c r="W54" s="1117"/>
      <c r="X54" s="1117"/>
    </row>
    <row r="55" spans="1:59" x14ac:dyDescent="0.4">
      <c r="O55" s="929"/>
      <c r="P55" s="1117"/>
      <c r="Q55" s="1117"/>
      <c r="R55" s="1117"/>
      <c r="S55" s="1117"/>
      <c r="T55" s="1117"/>
      <c r="U55" s="1117"/>
      <c r="V55" s="1117"/>
      <c r="W55" s="1117"/>
      <c r="X55" s="1117"/>
    </row>
    <row r="56" spans="1:59" ht="22.5" x14ac:dyDescent="0.75">
      <c r="A56" s="336" t="s">
        <v>146</v>
      </c>
      <c r="O56" s="929"/>
      <c r="P56" s="1117"/>
      <c r="Q56" s="1117"/>
      <c r="R56" s="1117"/>
      <c r="S56" s="1117"/>
      <c r="T56" s="1117"/>
      <c r="U56" s="1117"/>
      <c r="V56" s="1117"/>
      <c r="W56" s="1117"/>
      <c r="X56" s="1117"/>
    </row>
    <row r="57" spans="1:59" ht="200.05" customHeight="1" x14ac:dyDescent="0.4">
      <c r="B57" s="1280" t="s">
        <v>466</v>
      </c>
      <c r="C57" s="1281"/>
      <c r="D57" s="341"/>
      <c r="E57" s="1280" t="s">
        <v>467</v>
      </c>
      <c r="F57" s="1281"/>
      <c r="H57" s="1280" t="s">
        <v>468</v>
      </c>
      <c r="I57" s="1281"/>
      <c r="L57" s="1280" t="s">
        <v>469</v>
      </c>
      <c r="M57" s="1281"/>
      <c r="Q57" s="1280" t="s">
        <v>1093</v>
      </c>
      <c r="R57" s="1281"/>
      <c r="T57" s="1280" t="s">
        <v>470</v>
      </c>
      <c r="U57" s="1281"/>
      <c r="W57" s="1275" t="s">
        <v>471</v>
      </c>
      <c r="X57" s="1276"/>
      <c r="Y57" s="1276"/>
      <c r="AA57" s="1275" t="s">
        <v>1031</v>
      </c>
      <c r="AB57" s="1276"/>
      <c r="AD57" s="1275" t="s">
        <v>1094</v>
      </c>
      <c r="AE57" s="1276"/>
      <c r="AG57" s="1275" t="s">
        <v>472</v>
      </c>
      <c r="AH57" s="1276"/>
      <c r="AK57" s="1275" t="s">
        <v>473</v>
      </c>
      <c r="AL57" s="1276"/>
      <c r="AM57" s="1276"/>
      <c r="AN57" s="1276"/>
    </row>
    <row r="58" spans="1:59" ht="135.30000000000001" x14ac:dyDescent="0.4">
      <c r="B58" s="641" t="s">
        <v>148</v>
      </c>
      <c r="C58" s="641"/>
      <c r="D58" s="341"/>
      <c r="E58" s="340" t="s">
        <v>125</v>
      </c>
      <c r="F58" s="340" t="s">
        <v>149</v>
      </c>
      <c r="G58" s="341"/>
      <c r="H58" s="340" t="s">
        <v>126</v>
      </c>
      <c r="I58" s="341"/>
      <c r="J58" s="341"/>
      <c r="K58" s="341"/>
      <c r="L58" s="641" t="s">
        <v>455</v>
      </c>
      <c r="M58" s="641"/>
      <c r="N58" s="341"/>
      <c r="O58" s="341"/>
      <c r="P58" s="341"/>
      <c r="Q58" s="1198" t="s">
        <v>127</v>
      </c>
      <c r="R58" s="641"/>
      <c r="S58" s="341"/>
      <c r="T58" s="340" t="s">
        <v>128</v>
      </c>
      <c r="U58" s="340" t="s">
        <v>149</v>
      </c>
      <c r="V58" s="341"/>
      <c r="W58" s="641" t="s">
        <v>129</v>
      </c>
      <c r="X58" s="641"/>
      <c r="Y58" s="340" t="s">
        <v>149</v>
      </c>
      <c r="Z58" s="341"/>
      <c r="AA58" s="641" t="s">
        <v>130</v>
      </c>
      <c r="AB58" s="641"/>
      <c r="AD58" s="641" t="s">
        <v>150</v>
      </c>
      <c r="AE58" s="641"/>
      <c r="AF58" s="341"/>
      <c r="AG58" s="1173" t="s">
        <v>131</v>
      </c>
      <c r="AH58" s="341"/>
    </row>
    <row r="59" spans="1:59" x14ac:dyDescent="0.4">
      <c r="B59" s="2"/>
      <c r="C59" s="334" t="s">
        <v>147</v>
      </c>
      <c r="E59" s="2"/>
      <c r="F59" s="334" t="s">
        <v>115</v>
      </c>
      <c r="H59" s="2"/>
      <c r="I59" s="334" t="s">
        <v>115</v>
      </c>
      <c r="L59" s="2"/>
      <c r="M59" s="334" t="s">
        <v>115</v>
      </c>
      <c r="Q59" s="2"/>
      <c r="R59" s="334" t="s">
        <v>115</v>
      </c>
      <c r="T59" s="2"/>
      <c r="U59" s="334" t="s">
        <v>115</v>
      </c>
      <c r="W59" s="2"/>
      <c r="X59" s="342"/>
      <c r="Y59" s="334" t="s">
        <v>115</v>
      </c>
      <c r="AA59" s="2"/>
      <c r="AB59" s="334" t="s">
        <v>115</v>
      </c>
      <c r="AD59" s="2"/>
      <c r="AE59" s="334" t="s">
        <v>115</v>
      </c>
      <c r="AG59" s="2"/>
      <c r="AH59" s="334" t="s">
        <v>115</v>
      </c>
      <c r="AK59" s="2" t="s">
        <v>114</v>
      </c>
      <c r="AL59" s="334" t="s">
        <v>156</v>
      </c>
      <c r="AM59" s="2" t="s">
        <v>157</v>
      </c>
      <c r="AN59" s="2" t="s">
        <v>158</v>
      </c>
    </row>
    <row r="60" spans="1:59" ht="14.4" x14ac:dyDescent="0.55000000000000004">
      <c r="B60" s="3">
        <v>2014</v>
      </c>
      <c r="C60" s="707">
        <f>'Food System Summary'!C12</f>
        <v>0</v>
      </c>
      <c r="E60" s="3">
        <v>2014</v>
      </c>
      <c r="F60" s="335">
        <f>C7-C60</f>
        <v>1773.3333333333333</v>
      </c>
      <c r="H60" s="3">
        <v>2014</v>
      </c>
      <c r="I60" s="335">
        <f t="shared" ref="I60:I106" si="28">O7-C60</f>
        <v>804.14197831832109</v>
      </c>
      <c r="L60" s="3">
        <v>2014</v>
      </c>
      <c r="M60" s="707">
        <f>Bioplastics!B10</f>
        <v>1.67</v>
      </c>
      <c r="Q60" s="3">
        <v>2014</v>
      </c>
      <c r="R60" s="1197">
        <v>0.39100000000000001</v>
      </c>
      <c r="T60" s="3">
        <v>2014</v>
      </c>
      <c r="U60" s="335">
        <f>F60</f>
        <v>1773.3333333333333</v>
      </c>
      <c r="W60" s="3">
        <v>2014</v>
      </c>
      <c r="X60" s="343"/>
      <c r="Y60" s="335">
        <f>I60+R60*M60</f>
        <v>804.79494831832108</v>
      </c>
      <c r="AA60" s="3">
        <v>2014</v>
      </c>
      <c r="AB60" s="335">
        <f t="shared" ref="AB60:AB106" si="29">AB7-R60*M60</f>
        <v>626.75236333333328</v>
      </c>
      <c r="AD60" s="3">
        <v>2014</v>
      </c>
      <c r="AE60" s="335">
        <f>U60-Y60-AB60</f>
        <v>341.7860216816789</v>
      </c>
      <c r="AG60" s="3">
        <v>2014</v>
      </c>
      <c r="AH60" s="335">
        <f t="shared" ref="AH60:AH106" si="30">AZ7-M60</f>
        <v>239.52999999999997</v>
      </c>
      <c r="AK60" s="3">
        <v>2014</v>
      </c>
      <c r="AL60" s="338">
        <f>Y60/U60</f>
        <v>0.45383173777348934</v>
      </c>
      <c r="AM60" s="338">
        <f>AB60/U60</f>
        <v>0.35343178383458645</v>
      </c>
      <c r="AN60" s="338">
        <f>AE60/U60</f>
        <v>0.1927364783919242</v>
      </c>
    </row>
    <row r="61" spans="1:59" ht="14.4" x14ac:dyDescent="0.55000000000000004">
      <c r="B61" s="3">
        <v>2015</v>
      </c>
      <c r="C61" s="707">
        <f>'Food System Summary'!C13</f>
        <v>0</v>
      </c>
      <c r="E61" s="3">
        <v>2015</v>
      </c>
      <c r="F61" s="335">
        <f t="shared" ref="F61:F106" si="31">C8-C61</f>
        <v>1891.6666666666667</v>
      </c>
      <c r="H61" s="3">
        <v>2015</v>
      </c>
      <c r="I61" s="335">
        <f t="shared" si="28"/>
        <v>862.10382892596351</v>
      </c>
      <c r="L61" s="3">
        <v>2015</v>
      </c>
      <c r="M61" s="707">
        <f>Bioplastics!B11</f>
        <v>2.0299999999999998</v>
      </c>
      <c r="Q61" s="3">
        <v>2015</v>
      </c>
      <c r="R61" s="1197">
        <v>0.36300000000000004</v>
      </c>
      <c r="T61" s="3">
        <v>2015</v>
      </c>
      <c r="U61" s="335">
        <f t="shared" ref="U61:U106" si="32">F61</f>
        <v>1891.6666666666667</v>
      </c>
      <c r="W61" s="3">
        <v>2015</v>
      </c>
      <c r="X61" s="343"/>
      <c r="Y61" s="335">
        <f t="shared" ref="Y61:Y106" si="33">I61+R61*M61</f>
        <v>862.84071892596353</v>
      </c>
      <c r="AA61" s="3">
        <v>2015</v>
      </c>
      <c r="AB61" s="335">
        <f t="shared" si="29"/>
        <v>664.94060999999999</v>
      </c>
      <c r="AD61" s="3">
        <v>2015</v>
      </c>
      <c r="AE61" s="335">
        <f>U61-Y61-AB61</f>
        <v>363.88533774070322</v>
      </c>
      <c r="AG61" s="3">
        <v>2015</v>
      </c>
      <c r="AH61" s="335">
        <f t="shared" si="30"/>
        <v>247.70118971061089</v>
      </c>
      <c r="AK61" s="3">
        <v>2015</v>
      </c>
      <c r="AL61" s="338">
        <f t="shared" ref="AL61:AL106" si="34">Y61/U61</f>
        <v>0.45612725229566353</v>
      </c>
      <c r="AM61" s="338">
        <f t="shared" ref="AM61:AM106" si="35">AB61/U61</f>
        <v>0.35151045462555064</v>
      </c>
      <c r="AN61" s="338">
        <f t="shared" ref="AN61:AN106" si="36">AE61/U61</f>
        <v>0.19236229307878583</v>
      </c>
    </row>
    <row r="62" spans="1:59" ht="14.4" x14ac:dyDescent="0.55000000000000004">
      <c r="B62" s="3">
        <v>2016</v>
      </c>
      <c r="C62" s="707">
        <f>'Food System Summary'!C14</f>
        <v>0</v>
      </c>
      <c r="E62" s="3">
        <v>2016</v>
      </c>
      <c r="F62" s="335">
        <f t="shared" si="31"/>
        <v>2009.9999999999998</v>
      </c>
      <c r="H62" s="3">
        <v>2016</v>
      </c>
      <c r="I62" s="335">
        <f t="shared" si="28"/>
        <v>924.59999999999991</v>
      </c>
      <c r="L62" s="3">
        <v>2016</v>
      </c>
      <c r="M62" s="707">
        <f>Bioplastics!B12</f>
        <v>2.0499999999999998</v>
      </c>
      <c r="Q62" s="3">
        <v>2016</v>
      </c>
      <c r="R62" s="1197">
        <v>0.36899999999999999</v>
      </c>
      <c r="T62" s="3">
        <v>2016</v>
      </c>
      <c r="U62" s="335">
        <f t="shared" si="32"/>
        <v>2009.9999999999998</v>
      </c>
      <c r="W62" s="3">
        <v>2016</v>
      </c>
      <c r="X62" s="343"/>
      <c r="Y62" s="335">
        <f t="shared" si="33"/>
        <v>925.35644999999988</v>
      </c>
      <c r="AA62" s="3">
        <v>2016</v>
      </c>
      <c r="AB62" s="335">
        <f t="shared" si="29"/>
        <v>702.74354999999991</v>
      </c>
      <c r="AD62" s="3">
        <v>2016</v>
      </c>
      <c r="AE62" s="335">
        <f t="shared" ref="AE62:AE106" si="37">U62-Y62-AB62</f>
        <v>381.89999999999986</v>
      </c>
      <c r="AG62" s="3">
        <v>2016</v>
      </c>
      <c r="AH62" s="335">
        <f t="shared" si="30"/>
        <v>257.7635048231511</v>
      </c>
      <c r="AK62" s="3">
        <v>2016</v>
      </c>
      <c r="AL62" s="338">
        <f t="shared" si="34"/>
        <v>0.46037634328358207</v>
      </c>
      <c r="AM62" s="338">
        <f t="shared" si="35"/>
        <v>0.34962365671641793</v>
      </c>
      <c r="AN62" s="338">
        <f t="shared" si="36"/>
        <v>0.18999999999999995</v>
      </c>
    </row>
    <row r="63" spans="1:59" ht="14.4" x14ac:dyDescent="0.55000000000000004">
      <c r="B63" s="3">
        <v>2017</v>
      </c>
      <c r="C63" s="707">
        <f>'Food System Summary'!C15</f>
        <v>0</v>
      </c>
      <c r="E63" s="3">
        <v>2017</v>
      </c>
      <c r="F63" s="335">
        <f t="shared" si="31"/>
        <v>2111.0920259528007</v>
      </c>
      <c r="H63" s="3">
        <v>2017</v>
      </c>
      <c r="I63" s="335">
        <f t="shared" si="28"/>
        <v>970.58688076320288</v>
      </c>
      <c r="L63" s="3">
        <v>2017</v>
      </c>
      <c r="M63" s="707">
        <f>Bioplastics!B13</f>
        <v>2.27</v>
      </c>
      <c r="Q63" s="3">
        <v>2017</v>
      </c>
      <c r="R63" s="1197">
        <v>0.38700000000000001</v>
      </c>
      <c r="T63" s="3">
        <v>2017</v>
      </c>
      <c r="U63" s="335">
        <f t="shared" si="32"/>
        <v>2111.0920259528007</v>
      </c>
      <c r="W63" s="3">
        <v>2017</v>
      </c>
      <c r="X63" s="343"/>
      <c r="Y63" s="335">
        <f t="shared" si="33"/>
        <v>971.46537076320294</v>
      </c>
      <c r="AA63" s="3">
        <v>2017</v>
      </c>
      <c r="AB63" s="335">
        <f t="shared" si="29"/>
        <v>733.99264423416992</v>
      </c>
      <c r="AD63" s="3">
        <v>2017</v>
      </c>
      <c r="AE63" s="335">
        <f t="shared" si="37"/>
        <v>405.63401095542793</v>
      </c>
      <c r="AG63" s="3">
        <v>2017</v>
      </c>
      <c r="AH63" s="335">
        <f t="shared" si="30"/>
        <v>266.07098638078583</v>
      </c>
      <c r="AK63" s="3">
        <v>2017</v>
      </c>
      <c r="AL63" s="338">
        <f t="shared" si="34"/>
        <v>0.46017196731381277</v>
      </c>
      <c r="AM63" s="338">
        <f t="shared" si="35"/>
        <v>0.34768386939593338</v>
      </c>
      <c r="AN63" s="338">
        <f t="shared" si="36"/>
        <v>0.19214416329025394</v>
      </c>
    </row>
    <row r="64" spans="1:59" ht="14.4" x14ac:dyDescent="0.55000000000000004">
      <c r="B64" s="3">
        <v>2018</v>
      </c>
      <c r="C64" s="707">
        <f>'Food System Summary'!C16</f>
        <v>0</v>
      </c>
      <c r="E64" s="3">
        <v>2018</v>
      </c>
      <c r="F64" s="335">
        <f t="shared" si="31"/>
        <v>2147.6619980403138</v>
      </c>
      <c r="H64" s="3">
        <v>2018</v>
      </c>
      <c r="I64" s="335">
        <f t="shared" si="28"/>
        <v>991.19935384999405</v>
      </c>
      <c r="L64" s="3">
        <v>2018</v>
      </c>
      <c r="M64" s="707">
        <f>Bioplastics!B14</f>
        <v>2.1099999999999852</v>
      </c>
      <c r="Q64" s="3">
        <v>2018</v>
      </c>
      <c r="R64" s="1197">
        <v>0.43200000000000005</v>
      </c>
      <c r="T64" s="3">
        <v>2018</v>
      </c>
      <c r="U64" s="335">
        <f t="shared" si="32"/>
        <v>2147.6619980403138</v>
      </c>
      <c r="W64" s="3">
        <v>2018</v>
      </c>
      <c r="X64" s="343"/>
      <c r="Y64" s="335">
        <f t="shared" si="33"/>
        <v>992.11087384999405</v>
      </c>
      <c r="AA64" s="3">
        <v>2018</v>
      </c>
      <c r="AB64" s="335">
        <f t="shared" si="29"/>
        <v>742.60906372155671</v>
      </c>
      <c r="AD64" s="3">
        <v>2018</v>
      </c>
      <c r="AE64" s="335">
        <f t="shared" si="37"/>
        <v>412.94206046876309</v>
      </c>
      <c r="AG64" s="3">
        <v>2018</v>
      </c>
      <c r="AH64" s="335">
        <f t="shared" si="30"/>
        <v>274.63638293540419</v>
      </c>
      <c r="AK64" s="3">
        <v>2018</v>
      </c>
      <c r="AL64" s="338">
        <f t="shared" si="34"/>
        <v>0.46194926145514037</v>
      </c>
      <c r="AM64" s="338">
        <f t="shared" si="35"/>
        <v>0.34577557567213479</v>
      </c>
      <c r="AN64" s="338">
        <f t="shared" si="36"/>
        <v>0.19227516287272489</v>
      </c>
    </row>
    <row r="65" spans="2:40" ht="14.4" x14ac:dyDescent="0.55000000000000004">
      <c r="B65" s="3">
        <v>2019</v>
      </c>
      <c r="C65" s="707">
        <f>'Food System Summary'!C17</f>
        <v>35.56819850190854</v>
      </c>
      <c r="E65" s="3">
        <v>2019</v>
      </c>
      <c r="F65" s="335">
        <f t="shared" si="31"/>
        <v>2148.4631328748314</v>
      </c>
      <c r="H65" s="3">
        <v>2019</v>
      </c>
      <c r="I65" s="335">
        <f t="shared" si="28"/>
        <v>975.96458272952168</v>
      </c>
      <c r="L65" s="3">
        <v>2019</v>
      </c>
      <c r="M65" s="707">
        <f>Bioplastics!B15</f>
        <v>2.211199999999991</v>
      </c>
      <c r="Q65" s="3">
        <v>2019</v>
      </c>
      <c r="R65" s="1197">
        <v>0.43442538507158451</v>
      </c>
      <c r="T65" s="3">
        <v>2019</v>
      </c>
      <c r="U65" s="335">
        <f t="shared" si="32"/>
        <v>2148.4631328748314</v>
      </c>
      <c r="W65" s="3">
        <v>2019</v>
      </c>
      <c r="X65" s="343"/>
      <c r="Y65" s="335">
        <f t="shared" si="33"/>
        <v>976.92518414099197</v>
      </c>
      <c r="AA65" s="3">
        <v>2019</v>
      </c>
      <c r="AB65" s="335">
        <f t="shared" si="29"/>
        <v>751.00138598154149</v>
      </c>
      <c r="AD65" s="3">
        <v>2019</v>
      </c>
      <c r="AE65" s="335">
        <f t="shared" si="37"/>
        <v>420.5365627522981</v>
      </c>
      <c r="AG65" s="3">
        <v>2019</v>
      </c>
      <c r="AH65" s="335">
        <f t="shared" si="30"/>
        <v>262.66952057439846</v>
      </c>
      <c r="AK65" s="3">
        <v>2019</v>
      </c>
      <c r="AL65" s="338">
        <f t="shared" si="34"/>
        <v>0.45470884242438953</v>
      </c>
      <c r="AM65" s="338">
        <f t="shared" si="35"/>
        <v>0.34955283825449496</v>
      </c>
      <c r="AN65" s="338">
        <f t="shared" si="36"/>
        <v>0.19573831932111557</v>
      </c>
    </row>
    <row r="66" spans="2:40" ht="14.4" x14ac:dyDescent="0.55000000000000004">
      <c r="B66" s="3">
        <v>2020</v>
      </c>
      <c r="C66" s="707">
        <f>'Food System Summary'!C18</f>
        <v>71.65690171818423</v>
      </c>
      <c r="E66" s="3">
        <v>2020</v>
      </c>
      <c r="F66" s="335">
        <f t="shared" si="31"/>
        <v>2148.9615093275243</v>
      </c>
      <c r="H66" s="3">
        <v>2020</v>
      </c>
      <c r="I66" s="335">
        <f t="shared" si="28"/>
        <v>960.13203439041251</v>
      </c>
      <c r="L66" s="3">
        <v>2020</v>
      </c>
      <c r="M66" s="707">
        <f>Bioplastics!B16</f>
        <v>2.3123999999999967</v>
      </c>
      <c r="Q66" s="3">
        <v>2020</v>
      </c>
      <c r="R66" s="1197">
        <v>0.44838947206870899</v>
      </c>
      <c r="T66" s="3">
        <v>2020</v>
      </c>
      <c r="U66" s="335">
        <f t="shared" si="32"/>
        <v>2148.9615093275243</v>
      </c>
      <c r="W66" s="3">
        <v>2020</v>
      </c>
      <c r="X66" s="343"/>
      <c r="Y66" s="335">
        <f t="shared" si="33"/>
        <v>961.16889020562417</v>
      </c>
      <c r="AA66" s="3">
        <v>2020</v>
      </c>
      <c r="AB66" s="335">
        <f t="shared" si="29"/>
        <v>759.30288812683909</v>
      </c>
      <c r="AD66" s="3">
        <v>2020</v>
      </c>
      <c r="AE66" s="335">
        <f t="shared" si="37"/>
        <v>428.489730995061</v>
      </c>
      <c r="AG66" s="3">
        <v>2020</v>
      </c>
      <c r="AH66" s="335">
        <f t="shared" si="30"/>
        <v>272.33542139423685</v>
      </c>
      <c r="AK66" s="3">
        <v>2020</v>
      </c>
      <c r="AL66" s="338">
        <f t="shared" si="34"/>
        <v>0.44727133828767518</v>
      </c>
      <c r="AM66" s="338">
        <f t="shared" si="35"/>
        <v>0.35333480140574886</v>
      </c>
      <c r="AN66" s="338">
        <f t="shared" si="36"/>
        <v>0.19939386030657597</v>
      </c>
    </row>
    <row r="67" spans="2:40" ht="14.4" x14ac:dyDescent="0.55000000000000004">
      <c r="B67" s="3">
        <v>2021</v>
      </c>
      <c r="C67" s="707">
        <f>'Food System Summary'!C19</f>
        <v>108.1389309845767</v>
      </c>
      <c r="E67" s="3">
        <v>2021</v>
      </c>
      <c r="F67" s="335">
        <f t="shared" si="31"/>
        <v>2147.9473039939276</v>
      </c>
      <c r="H67" s="3">
        <v>2021</v>
      </c>
      <c r="I67" s="335">
        <f t="shared" si="28"/>
        <v>943.21516731758493</v>
      </c>
      <c r="L67" s="3">
        <v>2021</v>
      </c>
      <c r="M67" s="707">
        <f>Bioplastics!B17</f>
        <v>2.413599999999974</v>
      </c>
      <c r="Q67" s="3">
        <v>2021</v>
      </c>
      <c r="R67" s="1197">
        <v>0.46200878452943045</v>
      </c>
      <c r="T67" s="3">
        <v>2021</v>
      </c>
      <c r="U67" s="335">
        <f t="shared" si="32"/>
        <v>2147.9473039939276</v>
      </c>
      <c r="W67" s="3">
        <v>2021</v>
      </c>
      <c r="X67" s="343"/>
      <c r="Y67" s="335">
        <f t="shared" si="33"/>
        <v>944.33027171992512</v>
      </c>
      <c r="AA67" s="3">
        <v>2021</v>
      </c>
      <c r="AB67" s="335">
        <f t="shared" si="29"/>
        <v>767.0822586078408</v>
      </c>
      <c r="AD67" s="3">
        <v>2021</v>
      </c>
      <c r="AE67" s="335">
        <f t="shared" si="37"/>
        <v>436.53477366616164</v>
      </c>
      <c r="AG67" s="3">
        <v>2021</v>
      </c>
      <c r="AH67" s="335">
        <f t="shared" si="30"/>
        <v>279.82509979184903</v>
      </c>
      <c r="AK67" s="3">
        <v>2021</v>
      </c>
      <c r="AL67" s="338">
        <f t="shared" si="34"/>
        <v>0.43964312809910294</v>
      </c>
      <c r="AM67" s="338">
        <f t="shared" si="35"/>
        <v>0.35712340669695003</v>
      </c>
      <c r="AN67" s="338">
        <f t="shared" si="36"/>
        <v>0.203233465203947</v>
      </c>
    </row>
    <row r="68" spans="2:40" ht="14.4" x14ac:dyDescent="0.55000000000000004">
      <c r="B68" s="3">
        <v>2022</v>
      </c>
      <c r="C68" s="707">
        <f>'Food System Summary'!C20</f>
        <v>145.00472804000998</v>
      </c>
      <c r="E68" s="3">
        <v>2022</v>
      </c>
      <c r="F68" s="335">
        <f t="shared" si="31"/>
        <v>2147.0623219216741</v>
      </c>
      <c r="H68" s="3">
        <v>2022</v>
      </c>
      <c r="I68" s="335">
        <f t="shared" si="28"/>
        <v>925.99037876513648</v>
      </c>
      <c r="L68" s="3">
        <v>2022</v>
      </c>
      <c r="M68" s="707">
        <f>Bioplastics!B18</f>
        <v>2.5147999999999797</v>
      </c>
      <c r="Q68" s="3">
        <v>2022</v>
      </c>
      <c r="R68" s="1197">
        <v>0.47529183496738303</v>
      </c>
      <c r="T68" s="3">
        <v>2022</v>
      </c>
      <c r="U68" s="335">
        <f t="shared" si="32"/>
        <v>2147.0623219216741</v>
      </c>
      <c r="W68" s="3">
        <v>2022</v>
      </c>
      <c r="X68" s="343"/>
      <c r="Y68" s="335">
        <f t="shared" si="33"/>
        <v>927.18564267171246</v>
      </c>
      <c r="AA68" s="3">
        <v>2022</v>
      </c>
      <c r="AB68" s="335">
        <f t="shared" si="29"/>
        <v>774.89863921045048</v>
      </c>
      <c r="AD68" s="3">
        <v>2022</v>
      </c>
      <c r="AE68" s="335">
        <f t="shared" si="37"/>
        <v>444.97804003951114</v>
      </c>
      <c r="AG68" s="3">
        <v>2022</v>
      </c>
      <c r="AH68" s="335">
        <f t="shared" si="30"/>
        <v>287.33720041827007</v>
      </c>
      <c r="AK68" s="3">
        <v>2022</v>
      </c>
      <c r="AL68" s="338">
        <f t="shared" si="34"/>
        <v>0.43183918473398492</v>
      </c>
      <c r="AM68" s="338">
        <f t="shared" si="35"/>
        <v>0.36091110691043982</v>
      </c>
      <c r="AN68" s="338">
        <f t="shared" si="36"/>
        <v>0.20724970835557524</v>
      </c>
    </row>
    <row r="69" spans="2:40" ht="14.4" x14ac:dyDescent="0.55000000000000004">
      <c r="B69" s="3">
        <v>2023</v>
      </c>
      <c r="C69" s="707">
        <f>'Food System Summary'!C21</f>
        <v>182.22106275890874</v>
      </c>
      <c r="E69" s="3">
        <v>2023</v>
      </c>
      <c r="F69" s="335">
        <f t="shared" si="31"/>
        <v>2145.5910903905897</v>
      </c>
      <c r="H69" s="3">
        <v>2023</v>
      </c>
      <c r="I69" s="335">
        <f t="shared" si="28"/>
        <v>908.15061187182175</v>
      </c>
      <c r="L69" s="3">
        <v>2023</v>
      </c>
      <c r="M69" s="707">
        <f>Bioplastics!B19</f>
        <v>2.6159999999999854</v>
      </c>
      <c r="Q69" s="3">
        <v>2023</v>
      </c>
      <c r="R69" s="1197">
        <v>0.49235474006116209</v>
      </c>
      <c r="T69" s="3">
        <v>2023</v>
      </c>
      <c r="U69" s="335">
        <f t="shared" si="32"/>
        <v>2145.5910903905897</v>
      </c>
      <c r="W69" s="3">
        <v>2023</v>
      </c>
      <c r="X69" s="343"/>
      <c r="Y69" s="335">
        <f t="shared" si="33"/>
        <v>909.43861187182176</v>
      </c>
      <c r="AA69" s="3">
        <v>2023</v>
      </c>
      <c r="AB69" s="335">
        <f t="shared" si="29"/>
        <v>782.48635196543648</v>
      </c>
      <c r="AD69" s="3">
        <v>2023</v>
      </c>
      <c r="AE69" s="335">
        <f t="shared" si="37"/>
        <v>453.66612655333154</v>
      </c>
      <c r="AG69" s="3">
        <v>2023</v>
      </c>
      <c r="AH69" s="335">
        <f t="shared" si="30"/>
        <v>294.86867994274149</v>
      </c>
      <c r="AK69" s="3">
        <v>2023</v>
      </c>
      <c r="AL69" s="338">
        <f t="shared" si="34"/>
        <v>0.42386390209434777</v>
      </c>
      <c r="AM69" s="338">
        <f t="shared" si="35"/>
        <v>0.36469500431370189</v>
      </c>
      <c r="AN69" s="338">
        <f t="shared" si="36"/>
        <v>0.21144109359195037</v>
      </c>
    </row>
    <row r="70" spans="2:40" ht="14.4" x14ac:dyDescent="0.55000000000000004">
      <c r="B70" s="3">
        <v>2024</v>
      </c>
      <c r="C70" s="707">
        <f>'Food System Summary'!C22</f>
        <v>219.75873914715552</v>
      </c>
      <c r="E70" s="3">
        <v>2024</v>
      </c>
      <c r="F70" s="335">
        <f t="shared" si="31"/>
        <v>2143.5648166122619</v>
      </c>
      <c r="H70" s="3">
        <v>2024</v>
      </c>
      <c r="I70" s="335">
        <f t="shared" si="28"/>
        <v>889.7335914195852</v>
      </c>
      <c r="L70" s="3">
        <v>2024</v>
      </c>
      <c r="M70" s="707">
        <f>Bioplastics!B20</f>
        <v>3.666790941497311</v>
      </c>
      <c r="Q70" s="3">
        <v>2024</v>
      </c>
      <c r="R70" s="1197">
        <v>0.5008821541451981</v>
      </c>
      <c r="T70" s="3">
        <v>2024</v>
      </c>
      <c r="U70" s="335">
        <f t="shared" si="32"/>
        <v>2143.5648166122619</v>
      </c>
      <c r="W70" s="3">
        <v>2024</v>
      </c>
      <c r="X70" s="343"/>
      <c r="Y70" s="335">
        <f t="shared" si="33"/>
        <v>891.57022156516246</v>
      </c>
      <c r="AA70" s="3">
        <v>2024</v>
      </c>
      <c r="AB70" s="335">
        <f t="shared" si="29"/>
        <v>789.4040963226762</v>
      </c>
      <c r="AD70" s="3">
        <v>2024</v>
      </c>
      <c r="AE70" s="335">
        <f t="shared" si="37"/>
        <v>462.59049872442324</v>
      </c>
      <c r="AG70" s="3">
        <v>2024</v>
      </c>
      <c r="AH70" s="335">
        <f t="shared" si="30"/>
        <v>302.89756261802984</v>
      </c>
      <c r="AK70" s="3">
        <v>2024</v>
      </c>
      <c r="AL70" s="338">
        <f t="shared" si="34"/>
        <v>0.41592874386426071</v>
      </c>
      <c r="AM70" s="338">
        <f t="shared" si="35"/>
        <v>0.36826695894844375</v>
      </c>
      <c r="AN70" s="338">
        <f t="shared" si="36"/>
        <v>0.21580429718729555</v>
      </c>
    </row>
    <row r="71" spans="2:40" ht="14.4" x14ac:dyDescent="0.55000000000000004">
      <c r="B71" s="3">
        <v>2025</v>
      </c>
      <c r="C71" s="707">
        <f>'Food System Summary'!C23</f>
        <v>257.59136536958215</v>
      </c>
      <c r="E71" s="3">
        <v>2025</v>
      </c>
      <c r="F71" s="335">
        <f t="shared" si="31"/>
        <v>2139.9836013275299</v>
      </c>
      <c r="H71" s="3">
        <v>2025</v>
      </c>
      <c r="I71" s="335">
        <f t="shared" si="28"/>
        <v>869.26886897806037</v>
      </c>
      <c r="L71" s="3">
        <v>2025</v>
      </c>
      <c r="M71" s="707">
        <f>Bioplastics!B21</f>
        <v>4.5678132564062253</v>
      </c>
      <c r="Q71" s="3">
        <v>2025</v>
      </c>
      <c r="R71" s="1197">
        <v>0.51320541766758221</v>
      </c>
      <c r="T71" s="3">
        <v>2025</v>
      </c>
      <c r="U71" s="335">
        <f t="shared" si="32"/>
        <v>2139.9836013275299</v>
      </c>
      <c r="W71" s="3">
        <v>2025</v>
      </c>
      <c r="X71" s="343"/>
      <c r="Y71" s="335">
        <f t="shared" si="33"/>
        <v>871.61309548814188</v>
      </c>
      <c r="AA71" s="3">
        <v>2025</v>
      </c>
      <c r="AB71" s="335">
        <f t="shared" si="29"/>
        <v>795.80847990338748</v>
      </c>
      <c r="AD71" s="3">
        <v>2025</v>
      </c>
      <c r="AE71" s="335">
        <f t="shared" si="37"/>
        <v>472.56202593600051</v>
      </c>
      <c r="AG71" s="3">
        <v>2025</v>
      </c>
      <c r="AH71" s="335">
        <f t="shared" si="30"/>
        <v>311.2848127677708</v>
      </c>
      <c r="AK71" s="3">
        <v>2025</v>
      </c>
      <c r="AL71" s="338">
        <f t="shared" si="34"/>
        <v>0.40729896011700295</v>
      </c>
      <c r="AM71" s="338">
        <f t="shared" si="35"/>
        <v>0.37187597111011084</v>
      </c>
      <c r="AN71" s="338">
        <f t="shared" si="36"/>
        <v>0.22082506877288621</v>
      </c>
    </row>
    <row r="72" spans="2:40" ht="14.4" x14ac:dyDescent="0.55000000000000004">
      <c r="B72" s="3">
        <v>2026</v>
      </c>
      <c r="C72" s="707">
        <f>'Food System Summary'!C24</f>
        <v>295.69363141168691</v>
      </c>
      <c r="E72" s="3">
        <v>2026</v>
      </c>
      <c r="F72" s="335">
        <f t="shared" si="31"/>
        <v>2146.3482861669554</v>
      </c>
      <c r="H72" s="3">
        <v>2026</v>
      </c>
      <c r="I72" s="335">
        <f t="shared" si="28"/>
        <v>855.2596274113539</v>
      </c>
      <c r="L72" s="3">
        <v>2026</v>
      </c>
      <c r="M72" s="707">
        <f>Bioplastics!B22</f>
        <v>5.6675428241724148</v>
      </c>
      <c r="Q72" s="3">
        <v>2026</v>
      </c>
      <c r="R72" s="1197">
        <v>0.52522441872950065</v>
      </c>
      <c r="T72" s="3">
        <v>2026</v>
      </c>
      <c r="U72" s="335">
        <f t="shared" si="32"/>
        <v>2146.3482861669554</v>
      </c>
      <c r="W72" s="3">
        <v>2026</v>
      </c>
      <c r="X72" s="343"/>
      <c r="Y72" s="335">
        <f t="shared" si="33"/>
        <v>858.23635929680438</v>
      </c>
      <c r="AA72" s="3">
        <v>2026</v>
      </c>
      <c r="AB72" s="335">
        <f t="shared" si="29"/>
        <v>805.3391428330807</v>
      </c>
      <c r="AD72" s="3">
        <v>2026</v>
      </c>
      <c r="AE72" s="335">
        <f t="shared" si="37"/>
        <v>482.77278403707021</v>
      </c>
      <c r="AG72" s="3">
        <v>2026</v>
      </c>
      <c r="AH72" s="335">
        <f t="shared" si="30"/>
        <v>319.68891283266771</v>
      </c>
      <c r="AK72" s="3">
        <v>2026</v>
      </c>
      <c r="AL72" s="338">
        <f t="shared" si="34"/>
        <v>0.39985885088085177</v>
      </c>
      <c r="AM72" s="338">
        <f t="shared" si="35"/>
        <v>0.37521363518839307</v>
      </c>
      <c r="AN72" s="338">
        <f t="shared" si="36"/>
        <v>0.22492751393075511</v>
      </c>
    </row>
    <row r="73" spans="2:40" ht="14.4" x14ac:dyDescent="0.55000000000000004">
      <c r="B73" s="3">
        <v>2027</v>
      </c>
      <c r="C73" s="707">
        <f>'Food System Summary'!C25</f>
        <v>334.04098811636828</v>
      </c>
      <c r="E73" s="3">
        <v>2027</v>
      </c>
      <c r="F73" s="335">
        <f t="shared" si="31"/>
        <v>2155.070816943366</v>
      </c>
      <c r="H73" s="3">
        <v>2027</v>
      </c>
      <c r="I73" s="335">
        <f t="shared" si="28"/>
        <v>841.10443867514823</v>
      </c>
      <c r="L73" s="3">
        <v>2027</v>
      </c>
      <c r="M73" s="707">
        <f>Bioplastics!B23</f>
        <v>6.9661754110711627</v>
      </c>
      <c r="Q73" s="3">
        <v>2027</v>
      </c>
      <c r="R73" s="1197">
        <v>0.53694666959786874</v>
      </c>
      <c r="T73" s="3">
        <v>2027</v>
      </c>
      <c r="U73" s="335">
        <f t="shared" si="32"/>
        <v>2155.070816943366</v>
      </c>
      <c r="W73" s="3">
        <v>2027</v>
      </c>
      <c r="X73" s="343"/>
      <c r="Y73" s="335">
        <f t="shared" si="33"/>
        <v>844.84490336195745</v>
      </c>
      <c r="AA73" s="3">
        <v>2027</v>
      </c>
      <c r="AB73" s="335">
        <f t="shared" si="29"/>
        <v>815.42623035834993</v>
      </c>
      <c r="AD73" s="3">
        <v>2027</v>
      </c>
      <c r="AE73" s="335">
        <f t="shared" si="37"/>
        <v>494.79968322305865</v>
      </c>
      <c r="AG73" s="3">
        <v>2027</v>
      </c>
      <c r="AH73" s="335">
        <f t="shared" si="30"/>
        <v>328.1076442332573</v>
      </c>
      <c r="AK73" s="3">
        <v>2027</v>
      </c>
      <c r="AL73" s="338">
        <f t="shared" si="34"/>
        <v>0.39202651565772628</v>
      </c>
      <c r="AM73" s="338">
        <f t="shared" si="35"/>
        <v>0.37837560786745078</v>
      </c>
      <c r="AN73" s="338">
        <f t="shared" si="36"/>
        <v>0.22959787647482291</v>
      </c>
    </row>
    <row r="74" spans="2:40" ht="14.4" x14ac:dyDescent="0.55000000000000004">
      <c r="B74" s="3">
        <v>2028</v>
      </c>
      <c r="C74" s="707">
        <f>'Food System Summary'!C26</f>
        <v>372.61028955407261</v>
      </c>
      <c r="E74" s="3">
        <v>2028</v>
      </c>
      <c r="F74" s="335">
        <f t="shared" si="31"/>
        <v>2163.3365527540614</v>
      </c>
      <c r="H74" s="3">
        <v>2028</v>
      </c>
      <c r="I74" s="335">
        <f t="shared" si="28"/>
        <v>826.51749335363365</v>
      </c>
      <c r="L74" s="3">
        <v>2028</v>
      </c>
      <c r="M74" s="707">
        <f>Bioplastics!B24</f>
        <v>8.4639067831449211</v>
      </c>
      <c r="Q74" s="3">
        <v>2028</v>
      </c>
      <c r="R74" s="1197">
        <v>0.54837949706107092</v>
      </c>
      <c r="T74" s="3">
        <v>2028</v>
      </c>
      <c r="U74" s="335">
        <f t="shared" si="32"/>
        <v>2163.3365527540614</v>
      </c>
      <c r="W74" s="3">
        <v>2028</v>
      </c>
      <c r="X74" s="343"/>
      <c r="Y74" s="335">
        <f t="shared" si="33"/>
        <v>831.15892629854648</v>
      </c>
      <c r="AA74" s="3">
        <v>2028</v>
      </c>
      <c r="AB74" s="335">
        <f t="shared" si="29"/>
        <v>825.12037385830934</v>
      </c>
      <c r="AD74" s="3">
        <v>2028</v>
      </c>
      <c r="AE74" s="335">
        <f t="shared" si="37"/>
        <v>507.05725259720555</v>
      </c>
      <c r="AG74" s="3">
        <v>2028</v>
      </c>
      <c r="AH74" s="335">
        <f t="shared" si="30"/>
        <v>336.54893084310385</v>
      </c>
      <c r="AK74" s="3">
        <v>2028</v>
      </c>
      <c r="AL74" s="338">
        <f t="shared" si="34"/>
        <v>0.38420232175175412</v>
      </c>
      <c r="AM74" s="338">
        <f t="shared" si="35"/>
        <v>0.38141100736632033</v>
      </c>
      <c r="AN74" s="338">
        <f t="shared" si="36"/>
        <v>0.23438667088192555</v>
      </c>
    </row>
    <row r="75" spans="2:40" ht="14.4" x14ac:dyDescent="0.55000000000000004">
      <c r="B75" s="3">
        <v>2029</v>
      </c>
      <c r="C75" s="707">
        <f>'Food System Summary'!C27</f>
        <v>411.37894501375746</v>
      </c>
      <c r="E75" s="3">
        <v>2029</v>
      </c>
      <c r="F75" s="335">
        <f t="shared" si="31"/>
        <v>2171.1729755982228</v>
      </c>
      <c r="H75" s="3">
        <v>2029</v>
      </c>
      <c r="I75" s="335">
        <f t="shared" si="28"/>
        <v>811.5281958408591</v>
      </c>
      <c r="L75" s="3">
        <v>2029</v>
      </c>
      <c r="M75" s="707">
        <f>Bioplastics!B25</f>
        <v>10.160932706610765</v>
      </c>
      <c r="Q75" s="3">
        <v>2029</v>
      </c>
      <c r="R75" s="1197">
        <v>0.55953004700844178</v>
      </c>
      <c r="T75" s="3">
        <v>2029</v>
      </c>
      <c r="U75" s="335">
        <f t="shared" si="32"/>
        <v>2171.1729755982228</v>
      </c>
      <c r="W75" s="3">
        <v>2029</v>
      </c>
      <c r="X75" s="343"/>
      <c r="Y75" s="335">
        <f t="shared" si="33"/>
        <v>817.21354299583868</v>
      </c>
      <c r="AA75" s="3">
        <v>2029</v>
      </c>
      <c r="AB75" s="335">
        <f t="shared" si="29"/>
        <v>834.41879262009832</v>
      </c>
      <c r="AD75" s="3">
        <v>2029</v>
      </c>
      <c r="AE75" s="335">
        <f t="shared" si="37"/>
        <v>519.54063998228582</v>
      </c>
      <c r="AG75" s="3">
        <v>2029</v>
      </c>
      <c r="AH75" s="335">
        <f t="shared" si="30"/>
        <v>345.01751540946611</v>
      </c>
      <c r="AK75" s="3">
        <v>2029</v>
      </c>
      <c r="AL75" s="338">
        <f t="shared" si="34"/>
        <v>0.37639264682293311</v>
      </c>
      <c r="AM75" s="338">
        <f t="shared" si="35"/>
        <v>0.38431704981506187</v>
      </c>
      <c r="AN75" s="338">
        <f t="shared" si="36"/>
        <v>0.23929030336200499</v>
      </c>
    </row>
    <row r="76" spans="2:40" ht="14.4" x14ac:dyDescent="0.55000000000000004">
      <c r="B76" s="3">
        <v>2030</v>
      </c>
      <c r="C76" s="707">
        <f>'Food System Summary'!C28</f>
        <v>450.325006870214</v>
      </c>
      <c r="E76" s="3">
        <v>2030</v>
      </c>
      <c r="F76" s="335">
        <f t="shared" si="31"/>
        <v>2181.6393081241649</v>
      </c>
      <c r="H76" s="3">
        <v>2030</v>
      </c>
      <c r="I76" s="335">
        <f t="shared" si="28"/>
        <v>797.60310476187658</v>
      </c>
      <c r="L76" s="3">
        <v>2030</v>
      </c>
      <c r="M76" s="707">
        <f>Bioplastics!B26</f>
        <v>12.057448947627563</v>
      </c>
      <c r="Q76" s="3">
        <v>2030</v>
      </c>
      <c r="R76" s="1197">
        <v>0.57040528889667952</v>
      </c>
      <c r="T76" s="3">
        <v>2030</v>
      </c>
      <c r="U76" s="335">
        <f t="shared" si="32"/>
        <v>2181.6393081241649</v>
      </c>
      <c r="W76" s="3">
        <v>2030</v>
      </c>
      <c r="X76" s="343"/>
      <c r="Y76" s="335">
        <f t="shared" si="33"/>
        <v>804.48073741220503</v>
      </c>
      <c r="AA76" s="3">
        <v>2030</v>
      </c>
      <c r="AB76" s="335">
        <f t="shared" si="29"/>
        <v>844.29962681885456</v>
      </c>
      <c r="AD76" s="3">
        <v>2030</v>
      </c>
      <c r="AE76" s="335">
        <f t="shared" si="37"/>
        <v>532.85894389310522</v>
      </c>
      <c r="AG76" s="3">
        <v>2030</v>
      </c>
      <c r="AH76" s="335">
        <f t="shared" si="30"/>
        <v>353.51840107617301</v>
      </c>
      <c r="AK76" s="3">
        <v>2030</v>
      </c>
      <c r="AL76" s="338">
        <f t="shared" si="34"/>
        <v>0.36875056954484392</v>
      </c>
      <c r="AM76" s="338">
        <f t="shared" si="35"/>
        <v>0.38700239020940963</v>
      </c>
      <c r="AN76" s="338">
        <f t="shared" si="36"/>
        <v>0.24424704024574639</v>
      </c>
    </row>
    <row r="77" spans="2:40" ht="14.4" x14ac:dyDescent="0.55000000000000004">
      <c r="B77" s="3">
        <v>2031</v>
      </c>
      <c r="C77" s="707">
        <f>'Food System Summary'!C29</f>
        <v>488.45606275684906</v>
      </c>
      <c r="E77" s="3">
        <v>2031</v>
      </c>
      <c r="F77" s="335">
        <f t="shared" si="31"/>
        <v>2186.6357807967293</v>
      </c>
      <c r="H77" s="3">
        <v>2031</v>
      </c>
      <c r="I77" s="335">
        <f t="shared" si="28"/>
        <v>781.42811508745979</v>
      </c>
      <c r="L77" s="3">
        <v>2031</v>
      </c>
      <c r="M77" s="707">
        <f>Bioplastics!B27</f>
        <v>14.153651272470597</v>
      </c>
      <c r="Q77" s="3">
        <v>2031</v>
      </c>
      <c r="R77" s="1197">
        <v>0.58101202010598352</v>
      </c>
      <c r="T77" s="3">
        <v>2031</v>
      </c>
      <c r="U77" s="335">
        <f t="shared" si="32"/>
        <v>2186.6357807967293</v>
      </c>
      <c r="W77" s="3">
        <v>2031</v>
      </c>
      <c r="X77" s="343"/>
      <c r="Y77" s="335">
        <f t="shared" si="33"/>
        <v>789.65155660515359</v>
      </c>
      <c r="AA77" s="3">
        <v>2031</v>
      </c>
      <c r="AB77" s="335">
        <f t="shared" si="29"/>
        <v>851.81858618478259</v>
      </c>
      <c r="AD77" s="3">
        <v>2031</v>
      </c>
      <c r="AE77" s="335">
        <f t="shared" si="37"/>
        <v>545.16563800679319</v>
      </c>
      <c r="AG77" s="3">
        <v>2031</v>
      </c>
      <c r="AH77" s="335">
        <f t="shared" si="30"/>
        <v>362.05408144467276</v>
      </c>
      <c r="AK77" s="3">
        <v>2031</v>
      </c>
      <c r="AL77" s="338">
        <f t="shared" si="34"/>
        <v>0.36112623946793448</v>
      </c>
      <c r="AM77" s="338">
        <f t="shared" si="35"/>
        <v>0.38955668505269375</v>
      </c>
      <c r="AN77" s="338">
        <f t="shared" si="36"/>
        <v>0.24931707547937179</v>
      </c>
    </row>
    <row r="78" spans="2:40" ht="14.4" x14ac:dyDescent="0.55000000000000004">
      <c r="B78" s="3">
        <v>2032</v>
      </c>
      <c r="C78" s="707">
        <f>'Food System Summary'!C30</f>
        <v>526.591531777863</v>
      </c>
      <c r="E78" s="3">
        <v>2032</v>
      </c>
      <c r="F78" s="335">
        <f t="shared" si="31"/>
        <v>2193.510881456215</v>
      </c>
      <c r="H78" s="3">
        <v>2032</v>
      </c>
      <c r="I78" s="335">
        <f t="shared" si="28"/>
        <v>766.05997538038412</v>
      </c>
      <c r="L78" s="3">
        <v>2032</v>
      </c>
      <c r="M78" s="707">
        <f>Bioplastics!B28</f>
        <v>16.44973544718232</v>
      </c>
      <c r="Q78" s="3">
        <v>2032</v>
      </c>
      <c r="R78" s="1197">
        <v>0.59135687018863792</v>
      </c>
      <c r="T78" s="3">
        <v>2032</v>
      </c>
      <c r="U78" s="335">
        <f t="shared" si="32"/>
        <v>2193.510881456215</v>
      </c>
      <c r="W78" s="3">
        <v>2032</v>
      </c>
      <c r="X78" s="343"/>
      <c r="Y78" s="335">
        <f t="shared" si="33"/>
        <v>775.78763944986099</v>
      </c>
      <c r="AA78" s="3">
        <v>2032</v>
      </c>
      <c r="AB78" s="335">
        <f t="shared" si="29"/>
        <v>859.61706720013535</v>
      </c>
      <c r="AD78" s="3">
        <v>2032</v>
      </c>
      <c r="AE78" s="335">
        <f t="shared" si="37"/>
        <v>558.10617480621863</v>
      </c>
      <c r="AG78" s="3">
        <v>2032</v>
      </c>
      <c r="AH78" s="335">
        <f t="shared" si="30"/>
        <v>370.62962065584486</v>
      </c>
      <c r="AK78" s="3">
        <v>2032</v>
      </c>
      <c r="AL78" s="338">
        <f t="shared" si="34"/>
        <v>0.3536739416286076</v>
      </c>
      <c r="AM78" s="338">
        <f t="shared" si="35"/>
        <v>0.3918909518376576</v>
      </c>
      <c r="AN78" s="338">
        <f t="shared" si="36"/>
        <v>0.2544351065337348</v>
      </c>
    </row>
    <row r="79" spans="2:40" ht="14.4" x14ac:dyDescent="0.55000000000000004">
      <c r="B79" s="3">
        <v>2033</v>
      </c>
      <c r="C79" s="707">
        <f>'Food System Summary'!C31</f>
        <v>564.72128346671252</v>
      </c>
      <c r="E79" s="3">
        <v>2033</v>
      </c>
      <c r="F79" s="335">
        <f t="shared" si="31"/>
        <v>2200.1839934051045</v>
      </c>
      <c r="H79" s="3">
        <v>2033</v>
      </c>
      <c r="I79" s="335">
        <f t="shared" si="28"/>
        <v>750.52196246756193</v>
      </c>
      <c r="L79" s="3">
        <v>2033</v>
      </c>
      <c r="M79" s="707">
        <f>Bioplastics!B29</f>
        <v>18.945897238038015</v>
      </c>
      <c r="Q79" s="3">
        <v>2033</v>
      </c>
      <c r="R79" s="1197">
        <v>0.60144630501269802</v>
      </c>
      <c r="T79" s="3">
        <v>2033</v>
      </c>
      <c r="U79" s="335">
        <f t="shared" si="32"/>
        <v>2200.1839934051045</v>
      </c>
      <c r="W79" s="3">
        <v>2033</v>
      </c>
      <c r="X79" s="343"/>
      <c r="Y79" s="335">
        <f t="shared" si="33"/>
        <v>761.91690235653016</v>
      </c>
      <c r="AA79" s="3">
        <v>2033</v>
      </c>
      <c r="AB79" s="335">
        <f t="shared" si="29"/>
        <v>867.01546657320898</v>
      </c>
      <c r="AD79" s="3">
        <v>2033</v>
      </c>
      <c r="AE79" s="335">
        <f t="shared" si="37"/>
        <v>571.25162447536547</v>
      </c>
      <c r="AG79" s="3">
        <v>2033</v>
      </c>
      <c r="AH79" s="335">
        <f t="shared" si="30"/>
        <v>379.24238481666629</v>
      </c>
      <c r="AK79" s="3">
        <v>2033</v>
      </c>
      <c r="AL79" s="338">
        <f t="shared" si="34"/>
        <v>0.34629690273191788</v>
      </c>
      <c r="AM79" s="338">
        <f t="shared" si="35"/>
        <v>0.39406498237057735</v>
      </c>
      <c r="AN79" s="338">
        <f t="shared" si="36"/>
        <v>0.25963811489750482</v>
      </c>
    </row>
    <row r="80" spans="2:40" ht="14.4" x14ac:dyDescent="0.55000000000000004">
      <c r="B80" s="3">
        <v>2034</v>
      </c>
      <c r="C80" s="707">
        <f>'Food System Summary'!C32</f>
        <v>602.83838655037994</v>
      </c>
      <c r="E80" s="3">
        <v>2034</v>
      </c>
      <c r="F80" s="335">
        <f t="shared" si="31"/>
        <v>2206.675180206189</v>
      </c>
      <c r="H80" s="3">
        <v>2034</v>
      </c>
      <c r="I80" s="335">
        <f t="shared" si="28"/>
        <v>734.83158385016532</v>
      </c>
      <c r="L80" s="3">
        <v>2034</v>
      </c>
      <c r="M80" s="707">
        <f>Bioplastics!B30</f>
        <v>21.642332411254756</v>
      </c>
      <c r="Q80" s="3">
        <v>2034</v>
      </c>
      <c r="R80" s="1197">
        <v>0.61128663080336754</v>
      </c>
      <c r="T80" s="3">
        <v>2034</v>
      </c>
      <c r="U80" s="335">
        <f t="shared" si="32"/>
        <v>2206.675180206189</v>
      </c>
      <c r="W80" s="3">
        <v>2034</v>
      </c>
      <c r="X80" s="343"/>
      <c r="Y80" s="335">
        <f t="shared" si="33"/>
        <v>748.06125231256772</v>
      </c>
      <c r="AA80" s="3">
        <v>2034</v>
      </c>
      <c r="AB80" s="335">
        <f t="shared" si="29"/>
        <v>874.01471591932284</v>
      </c>
      <c r="AD80" s="3">
        <v>2034</v>
      </c>
      <c r="AE80" s="335">
        <f t="shared" si="37"/>
        <v>584.59921197429833</v>
      </c>
      <c r="AG80" s="3">
        <v>2034</v>
      </c>
      <c r="AH80" s="335">
        <f t="shared" si="30"/>
        <v>387.88924888894115</v>
      </c>
      <c r="AK80" s="3">
        <v>2034</v>
      </c>
      <c r="AL80" s="338">
        <f t="shared" si="34"/>
        <v>0.33899925962038047</v>
      </c>
      <c r="AM80" s="338">
        <f t="shared" si="35"/>
        <v>0.39607764829151521</v>
      </c>
      <c r="AN80" s="338">
        <f t="shared" si="36"/>
        <v>0.26492309208810427</v>
      </c>
    </row>
    <row r="81" spans="2:40" ht="14.4" x14ac:dyDescent="0.55000000000000004">
      <c r="B81" s="3">
        <v>2035</v>
      </c>
      <c r="C81" s="707">
        <f>'Food System Summary'!C33</f>
        <v>640.93538891223034</v>
      </c>
      <c r="E81" s="3">
        <v>2035</v>
      </c>
      <c r="F81" s="335">
        <f t="shared" si="31"/>
        <v>2213.1284438210041</v>
      </c>
      <c r="H81" s="3">
        <v>2035</v>
      </c>
      <c r="I81" s="335">
        <f t="shared" si="28"/>
        <v>719.06554885565583</v>
      </c>
      <c r="L81" s="3">
        <v>2035</v>
      </c>
      <c r="M81" s="707">
        <f>Bioplastics!B31</f>
        <v>24.539236732874997</v>
      </c>
      <c r="Q81" s="3">
        <v>2035</v>
      </c>
      <c r="R81" s="1197">
        <v>0.6208839980845956</v>
      </c>
      <c r="T81" s="3">
        <v>2035</v>
      </c>
      <c r="U81" s="335">
        <f t="shared" si="32"/>
        <v>2213.1284438210041</v>
      </c>
      <c r="W81" s="3">
        <v>2035</v>
      </c>
      <c r="X81" s="343"/>
      <c r="Y81" s="335">
        <f t="shared" si="33"/>
        <v>734.30156826830762</v>
      </c>
      <c r="AA81" s="3">
        <v>2035</v>
      </c>
      <c r="AB81" s="335">
        <f t="shared" si="29"/>
        <v>880.65461768231137</v>
      </c>
      <c r="AD81" s="3">
        <v>2035</v>
      </c>
      <c r="AE81" s="335">
        <f t="shared" si="37"/>
        <v>598.17225787038512</v>
      </c>
      <c r="AG81" s="3">
        <v>2035</v>
      </c>
      <c r="AH81" s="335">
        <f t="shared" si="30"/>
        <v>396.56736790119322</v>
      </c>
      <c r="AK81" s="3">
        <v>2035</v>
      </c>
      <c r="AL81" s="338">
        <f t="shared" si="34"/>
        <v>0.33179347105607815</v>
      </c>
      <c r="AM81" s="338">
        <f t="shared" si="35"/>
        <v>0.39792295839903719</v>
      </c>
      <c r="AN81" s="338">
        <f t="shared" si="36"/>
        <v>0.27028357054488467</v>
      </c>
    </row>
    <row r="82" spans="2:40" ht="14.4" x14ac:dyDescent="0.55000000000000004">
      <c r="B82" s="3">
        <v>2036</v>
      </c>
      <c r="C82" s="707">
        <f>'Food System Summary'!C34</f>
        <v>679.00324128366879</v>
      </c>
      <c r="E82" s="3">
        <v>2036</v>
      </c>
      <c r="F82" s="335">
        <f t="shared" si="31"/>
        <v>2219.1563008092298</v>
      </c>
      <c r="H82" s="3">
        <v>2036</v>
      </c>
      <c r="I82" s="335">
        <f t="shared" si="28"/>
        <v>703.04798519481255</v>
      </c>
      <c r="L82" s="3">
        <v>2036</v>
      </c>
      <c r="M82" s="707">
        <f>Bioplastics!B32</f>
        <v>27.636805969232228</v>
      </c>
      <c r="Q82" s="3">
        <v>2036</v>
      </c>
      <c r="R82" s="1197">
        <v>0.63024440552335381</v>
      </c>
      <c r="T82" s="3">
        <v>2036</v>
      </c>
      <c r="U82" s="335">
        <f t="shared" si="32"/>
        <v>2219.1563008092298</v>
      </c>
      <c r="W82" s="3">
        <v>2036</v>
      </c>
      <c r="X82" s="343"/>
      <c r="Y82" s="335">
        <f t="shared" si="33"/>
        <v>720.46592754345556</v>
      </c>
      <c r="AA82" s="3">
        <v>2036</v>
      </c>
      <c r="AB82" s="335">
        <f t="shared" si="29"/>
        <v>886.80783478434205</v>
      </c>
      <c r="AD82" s="3">
        <v>2036</v>
      </c>
      <c r="AE82" s="335">
        <f t="shared" si="37"/>
        <v>611.88253848143222</v>
      </c>
      <c r="AG82" s="3">
        <v>2036</v>
      </c>
      <c r="AH82" s="335">
        <f t="shared" si="30"/>
        <v>405.27570482891451</v>
      </c>
      <c r="AK82" s="3">
        <v>2036</v>
      </c>
      <c r="AL82" s="338">
        <f t="shared" si="34"/>
        <v>0.32465758598469741</v>
      </c>
      <c r="AM82" s="338">
        <f t="shared" si="35"/>
        <v>0.3996148601434526</v>
      </c>
      <c r="AN82" s="338">
        <f t="shared" si="36"/>
        <v>0.27572755387185</v>
      </c>
    </row>
    <row r="83" spans="2:40" ht="14.4" x14ac:dyDescent="0.55000000000000004">
      <c r="B83" s="3">
        <v>2037</v>
      </c>
      <c r="C83" s="707">
        <f>'Food System Summary'!C35</f>
        <v>717.02844449102145</v>
      </c>
      <c r="E83" s="3">
        <v>2037</v>
      </c>
      <c r="F83" s="335">
        <f t="shared" si="31"/>
        <v>2225.2022042332901</v>
      </c>
      <c r="H83" s="3">
        <v>2037</v>
      </c>
      <c r="I83" s="335">
        <f t="shared" si="28"/>
        <v>687.00115637570661</v>
      </c>
      <c r="L83" s="3">
        <v>2037</v>
      </c>
      <c r="M83" s="707">
        <f>Bioplastics!B33</f>
        <v>30.935235886368901</v>
      </c>
      <c r="Q83" s="3">
        <v>2037</v>
      </c>
      <c r="R83" s="1197">
        <v>0.63937370367899826</v>
      </c>
      <c r="T83" s="3">
        <v>2037</v>
      </c>
      <c r="U83" s="335">
        <f t="shared" si="32"/>
        <v>2225.2022042332901</v>
      </c>
      <c r="W83" s="3">
        <v>2037</v>
      </c>
      <c r="X83" s="343"/>
      <c r="Y83" s="335">
        <f t="shared" si="33"/>
        <v>706.7803327185577</v>
      </c>
      <c r="AA83" s="3">
        <v>2037</v>
      </c>
      <c r="AB83" s="335">
        <f t="shared" si="29"/>
        <v>892.60654782655854</v>
      </c>
      <c r="AD83" s="3">
        <v>2037</v>
      </c>
      <c r="AE83" s="335">
        <f t="shared" si="37"/>
        <v>625.81532368817386</v>
      </c>
      <c r="AG83" s="3">
        <v>2037</v>
      </c>
      <c r="AH83" s="335">
        <f t="shared" si="30"/>
        <v>414.01429379913571</v>
      </c>
      <c r="AK83" s="3">
        <v>2037</v>
      </c>
      <c r="AL83" s="338">
        <f t="shared" si="34"/>
        <v>0.31762521687869893</v>
      </c>
      <c r="AM83" s="338">
        <f t="shared" si="35"/>
        <v>0.40113502769700549</v>
      </c>
      <c r="AN83" s="338">
        <f t="shared" si="36"/>
        <v>0.28123975542429552</v>
      </c>
    </row>
    <row r="84" spans="2:40" ht="14.4" x14ac:dyDescent="0.55000000000000004">
      <c r="B84" s="3">
        <v>2038</v>
      </c>
      <c r="C84" s="707">
        <f>'Food System Summary'!C36</f>
        <v>754.99343044710758</v>
      </c>
      <c r="E84" s="3">
        <v>2038</v>
      </c>
      <c r="F84" s="335">
        <f t="shared" si="31"/>
        <v>2231.1807416827369</v>
      </c>
      <c r="H84" s="3">
        <v>2038</v>
      </c>
      <c r="I84" s="335">
        <f t="shared" si="28"/>
        <v>670.89730709752325</v>
      </c>
      <c r="L84" s="3">
        <v>2038</v>
      </c>
      <c r="M84" s="707">
        <f>Bioplastics!B34</f>
        <v>34.434722250560299</v>
      </c>
      <c r="Q84" s="3">
        <v>2038</v>
      </c>
      <c r="R84" s="1197">
        <v>0.64827759866006029</v>
      </c>
      <c r="T84" s="3">
        <v>2038</v>
      </c>
      <c r="U84" s="335">
        <f t="shared" si="32"/>
        <v>2231.1807416827369</v>
      </c>
      <c r="W84" s="3">
        <v>2038</v>
      </c>
      <c r="X84" s="343"/>
      <c r="Y84" s="335">
        <f t="shared" si="33"/>
        <v>693.22056614864266</v>
      </c>
      <c r="AA84" s="3">
        <v>2038</v>
      </c>
      <c r="AB84" s="335">
        <f t="shared" si="29"/>
        <v>898.01562079929931</v>
      </c>
      <c r="AD84" s="3">
        <v>2038</v>
      </c>
      <c r="AE84" s="335">
        <f t="shared" si="37"/>
        <v>639.94455473479479</v>
      </c>
      <c r="AG84" s="3">
        <v>2038</v>
      </c>
      <c r="AH84" s="335">
        <f t="shared" si="30"/>
        <v>422.78491140505213</v>
      </c>
      <c r="AK84" s="3">
        <v>2038</v>
      </c>
      <c r="AL84" s="338">
        <f t="shared" si="34"/>
        <v>0.31069673254073615</v>
      </c>
      <c r="AM84" s="338">
        <f t="shared" si="35"/>
        <v>0.40248448008834276</v>
      </c>
      <c r="AN84" s="338">
        <f t="shared" si="36"/>
        <v>0.28681878737092104</v>
      </c>
    </row>
    <row r="85" spans="2:40" ht="14.4" x14ac:dyDescent="0.55000000000000004">
      <c r="B85" s="3">
        <v>2039</v>
      </c>
      <c r="C85" s="707">
        <f>'Food System Summary'!C37</f>
        <v>792.87638471019363</v>
      </c>
      <c r="E85" s="3">
        <v>2039</v>
      </c>
      <c r="F85" s="335">
        <f t="shared" si="31"/>
        <v>2237.134108562278</v>
      </c>
      <c r="H85" s="3">
        <v>2039</v>
      </c>
      <c r="I85" s="335">
        <f t="shared" si="28"/>
        <v>654.77155313517005</v>
      </c>
      <c r="L85" s="3">
        <v>2039</v>
      </c>
      <c r="M85" s="707">
        <f>Bioplastics!B35</f>
        <v>38.135460827907082</v>
      </c>
      <c r="Q85" s="3">
        <v>2039</v>
      </c>
      <c r="R85" s="1197">
        <v>0.6569616556907496</v>
      </c>
      <c r="T85" s="3">
        <v>2039</v>
      </c>
      <c r="U85" s="335">
        <f t="shared" si="32"/>
        <v>2237.134108562278</v>
      </c>
      <c r="W85" s="3">
        <v>2039</v>
      </c>
      <c r="X85" s="343"/>
      <c r="Y85" s="335">
        <f t="shared" si="33"/>
        <v>679.82508862120164</v>
      </c>
      <c r="AA85" s="3">
        <v>2039</v>
      </c>
      <c r="AB85" s="335">
        <f t="shared" si="29"/>
        <v>903.03867860332718</v>
      </c>
      <c r="AD85" s="3">
        <v>2039</v>
      </c>
      <c r="AE85" s="335">
        <f t="shared" si="37"/>
        <v>654.27034133774907</v>
      </c>
      <c r="AG85" s="3">
        <v>2039</v>
      </c>
      <c r="AH85" s="335">
        <f t="shared" si="30"/>
        <v>431.59038145395317</v>
      </c>
      <c r="AK85" s="3">
        <v>2039</v>
      </c>
      <c r="AL85" s="338">
        <f t="shared" si="34"/>
        <v>0.30388213474519848</v>
      </c>
      <c r="AM85" s="338">
        <f t="shared" si="35"/>
        <v>0.40365871457910774</v>
      </c>
      <c r="AN85" s="338">
        <f t="shared" si="36"/>
        <v>0.29245915067569372</v>
      </c>
    </row>
    <row r="86" spans="2:40" ht="14.4" x14ac:dyDescent="0.55000000000000004">
      <c r="B86" s="3">
        <v>2040</v>
      </c>
      <c r="C86" s="707">
        <f>'Food System Summary'!C38</f>
        <v>830.65576130600334</v>
      </c>
      <c r="E86" s="3">
        <v>2040</v>
      </c>
      <c r="F86" s="335">
        <f t="shared" si="31"/>
        <v>2239.6124952671307</v>
      </c>
      <c r="H86" s="3">
        <v>2040</v>
      </c>
      <c r="I86" s="335">
        <f t="shared" si="28"/>
        <v>636.98946468821555</v>
      </c>
      <c r="L86" s="3">
        <v>2040</v>
      </c>
      <c r="M86" s="707">
        <f>Bioplastics!B36</f>
        <v>42.037647384684533</v>
      </c>
      <c r="Q86" s="3">
        <v>2040</v>
      </c>
      <c r="R86" s="1197">
        <v>0.66543130258940009</v>
      </c>
      <c r="T86" s="3">
        <v>2040</v>
      </c>
      <c r="U86" s="335">
        <f t="shared" si="32"/>
        <v>2239.6124952671307</v>
      </c>
      <c r="W86" s="3">
        <v>2040</v>
      </c>
      <c r="X86" s="343"/>
      <c r="Y86" s="335">
        <f t="shared" si="33"/>
        <v>664.96263114520002</v>
      </c>
      <c r="AA86" s="3">
        <v>2040</v>
      </c>
      <c r="AB86" s="335">
        <f t="shared" si="29"/>
        <v>906.61649084387818</v>
      </c>
      <c r="AD86" s="3">
        <v>2040</v>
      </c>
      <c r="AE86" s="335">
        <f t="shared" si="37"/>
        <v>668.03337327805252</v>
      </c>
      <c r="AG86" s="3">
        <v>2040</v>
      </c>
      <c r="AH86" s="335">
        <f t="shared" si="30"/>
        <v>440.43851384144551</v>
      </c>
      <c r="AK86" s="3">
        <v>2040</v>
      </c>
      <c r="AL86" s="338">
        <f t="shared" si="34"/>
        <v>0.29690968082667635</v>
      </c>
      <c r="AM86" s="338">
        <f t="shared" si="35"/>
        <v>0.40480953413136816</v>
      </c>
      <c r="AN86" s="338">
        <f t="shared" si="36"/>
        <v>0.29828078504195549</v>
      </c>
    </row>
    <row r="87" spans="2:40" ht="14.4" x14ac:dyDescent="0.55000000000000004">
      <c r="B87" s="3">
        <v>2041</v>
      </c>
      <c r="C87" s="707">
        <f>'Food System Summary'!C39</f>
        <v>868.31492364607482</v>
      </c>
      <c r="E87" s="3">
        <v>2041</v>
      </c>
      <c r="F87" s="335">
        <f t="shared" si="31"/>
        <v>2249.0088510256728</v>
      </c>
      <c r="H87" s="3">
        <v>2041</v>
      </c>
      <c r="I87" s="335">
        <f t="shared" si="28"/>
        <v>622.53095447066369</v>
      </c>
      <c r="L87" s="3">
        <v>2041</v>
      </c>
      <c r="M87" s="707">
        <f>Bioplastics!B37</f>
        <v>46.141477686935104</v>
      </c>
      <c r="Q87" s="3">
        <v>2041</v>
      </c>
      <c r="R87" s="1197">
        <v>0.67369183316103387</v>
      </c>
      <c r="T87" s="3">
        <v>2041</v>
      </c>
      <c r="U87" s="335">
        <f t="shared" si="32"/>
        <v>2249.0088510256728</v>
      </c>
      <c r="W87" s="3">
        <v>2041</v>
      </c>
      <c r="X87" s="343"/>
      <c r="Y87" s="335">
        <f t="shared" si="33"/>
        <v>653.61609115833392</v>
      </c>
      <c r="AA87" s="3">
        <v>2041</v>
      </c>
      <c r="AB87" s="335">
        <f t="shared" si="29"/>
        <v>911.90530515053422</v>
      </c>
      <c r="AD87" s="3">
        <v>2041</v>
      </c>
      <c r="AE87" s="335">
        <f t="shared" si="37"/>
        <v>683.48745471680479</v>
      </c>
      <c r="AG87" s="3">
        <v>2041</v>
      </c>
      <c r="AH87" s="335">
        <f t="shared" si="30"/>
        <v>449.31049155141488</v>
      </c>
      <c r="AK87" s="3">
        <v>2041</v>
      </c>
      <c r="AL87" s="338">
        <f t="shared" si="34"/>
        <v>0.2906240635114658</v>
      </c>
      <c r="AM87" s="338">
        <f t="shared" si="35"/>
        <v>0.40546986052751849</v>
      </c>
      <c r="AN87" s="338">
        <f t="shared" si="36"/>
        <v>0.30390607596101571</v>
      </c>
    </row>
    <row r="88" spans="2:40" ht="14.4" x14ac:dyDescent="0.55000000000000004">
      <c r="B88" s="3">
        <v>2042</v>
      </c>
      <c r="C88" s="707">
        <f>'Food System Summary'!C40</f>
        <v>905.83872199026155</v>
      </c>
      <c r="E88" s="3">
        <v>2042</v>
      </c>
      <c r="F88" s="335">
        <f t="shared" si="31"/>
        <v>2253.8507347764603</v>
      </c>
      <c r="H88" s="3">
        <v>2042</v>
      </c>
      <c r="I88" s="335">
        <f t="shared" si="28"/>
        <v>605.92243844088307</v>
      </c>
      <c r="L88" s="3">
        <v>2042</v>
      </c>
      <c r="M88" s="707">
        <f>Bioplastics!B38</f>
        <v>50.447147500992287</v>
      </c>
      <c r="Q88" s="3">
        <v>2042</v>
      </c>
      <c r="R88" s="1197">
        <v>0.68174841050616153</v>
      </c>
      <c r="T88" s="3">
        <v>2042</v>
      </c>
      <c r="U88" s="335">
        <f t="shared" si="32"/>
        <v>2253.8507347764603</v>
      </c>
      <c r="W88" s="3">
        <v>2042</v>
      </c>
      <c r="X88" s="343"/>
      <c r="Y88" s="335">
        <f t="shared" si="33"/>
        <v>640.31470106425445</v>
      </c>
      <c r="AA88" s="3">
        <v>2042</v>
      </c>
      <c r="AB88" s="335">
        <f t="shared" si="29"/>
        <v>915.41038808070584</v>
      </c>
      <c r="AD88" s="3">
        <v>2042</v>
      </c>
      <c r="AE88" s="335">
        <f t="shared" si="37"/>
        <v>698.12564563149999</v>
      </c>
      <c r="AG88" s="3">
        <v>2042</v>
      </c>
      <c r="AH88" s="335">
        <f t="shared" si="30"/>
        <v>458.22416308710723</v>
      </c>
      <c r="AK88" s="3">
        <v>2042</v>
      </c>
      <c r="AL88" s="338">
        <f t="shared" si="34"/>
        <v>0.28409809539927749</v>
      </c>
      <c r="AM88" s="338">
        <f t="shared" si="35"/>
        <v>0.40615395418876193</v>
      </c>
      <c r="AN88" s="338">
        <f t="shared" si="36"/>
        <v>0.30974795041196063</v>
      </c>
    </row>
    <row r="89" spans="2:40" ht="14.4" x14ac:dyDescent="0.55000000000000004">
      <c r="B89" s="3">
        <v>2043</v>
      </c>
      <c r="C89" s="707">
        <f>'Food System Summary'!C41</f>
        <v>943.20706879418799</v>
      </c>
      <c r="E89" s="3">
        <v>2043</v>
      </c>
      <c r="F89" s="335">
        <f t="shared" si="31"/>
        <v>2258.8275589810282</v>
      </c>
      <c r="H89" s="3">
        <v>2043</v>
      </c>
      <c r="I89" s="335">
        <f t="shared" si="28"/>
        <v>589.41901148518673</v>
      </c>
      <c r="L89" s="3">
        <v>2043</v>
      </c>
      <c r="M89" s="707">
        <f>Bioplastics!B39</f>
        <v>54.954852592898533</v>
      </c>
      <c r="Q89" s="3">
        <v>2043</v>
      </c>
      <c r="R89" s="1197">
        <v>0.68960607024788745</v>
      </c>
      <c r="T89" s="3">
        <v>2043</v>
      </c>
      <c r="U89" s="335">
        <f t="shared" si="32"/>
        <v>2258.8275589810282</v>
      </c>
      <c r="W89" s="3">
        <v>2043</v>
      </c>
      <c r="X89" s="343"/>
      <c r="Y89" s="335">
        <f t="shared" si="33"/>
        <v>627.31621142282745</v>
      </c>
      <c r="AA89" s="3">
        <v>2043</v>
      </c>
      <c r="AB89" s="335">
        <f t="shared" si="29"/>
        <v>918.55054337881711</v>
      </c>
      <c r="AD89" s="3">
        <v>2043</v>
      </c>
      <c r="AE89" s="335">
        <f t="shared" si="37"/>
        <v>712.96080417938356</v>
      </c>
      <c r="AG89" s="3">
        <v>2043</v>
      </c>
      <c r="AH89" s="335">
        <f t="shared" si="30"/>
        <v>467.17018204718738</v>
      </c>
      <c r="AK89" s="3">
        <v>2043</v>
      </c>
      <c r="AL89" s="338">
        <f t="shared" si="34"/>
        <v>0.27771761900488495</v>
      </c>
      <c r="AM89" s="338">
        <f t="shared" si="35"/>
        <v>0.40664925471034241</v>
      </c>
      <c r="AN89" s="338">
        <f t="shared" si="36"/>
        <v>0.31563312628477264</v>
      </c>
    </row>
    <row r="90" spans="2:40" ht="14.4" x14ac:dyDescent="0.55000000000000004">
      <c r="B90" s="3">
        <v>2044</v>
      </c>
      <c r="C90" s="707">
        <f>'Food System Summary'!C42</f>
        <v>980.39863684178079</v>
      </c>
      <c r="E90" s="3">
        <v>2044</v>
      </c>
      <c r="F90" s="335">
        <f t="shared" si="31"/>
        <v>2263.9860739688779</v>
      </c>
      <c r="H90" s="3">
        <v>2044</v>
      </c>
      <c r="I90" s="335">
        <f t="shared" si="28"/>
        <v>573.05697416189571</v>
      </c>
      <c r="L90" s="3">
        <v>2044</v>
      </c>
      <c r="M90" s="707">
        <f>Bioplastics!B40</f>
        <v>59.664788728929125</v>
      </c>
      <c r="Q90" s="3">
        <v>2044</v>
      </c>
      <c r="R90" s="1197">
        <v>0.69726972367933859</v>
      </c>
      <c r="T90" s="3">
        <v>2044</v>
      </c>
      <c r="U90" s="335">
        <f t="shared" si="32"/>
        <v>2263.9860739688779</v>
      </c>
      <c r="W90" s="3">
        <v>2044</v>
      </c>
      <c r="X90" s="343"/>
      <c r="Y90" s="335">
        <f t="shared" si="33"/>
        <v>614.65942491230226</v>
      </c>
      <c r="AA90" s="3">
        <v>2044</v>
      </c>
      <c r="AB90" s="335">
        <f t="shared" si="29"/>
        <v>921.33093141819757</v>
      </c>
      <c r="AD90" s="3">
        <v>2044</v>
      </c>
      <c r="AE90" s="335">
        <f t="shared" si="37"/>
        <v>727.9957176383781</v>
      </c>
      <c r="AG90" s="3">
        <v>2044</v>
      </c>
      <c r="AH90" s="335">
        <f t="shared" si="30"/>
        <v>476.14680366846278</v>
      </c>
      <c r="AK90" s="3">
        <v>2044</v>
      </c>
      <c r="AL90" s="338">
        <f t="shared" si="34"/>
        <v>0.27149434882997064</v>
      </c>
      <c r="AM90" s="338">
        <f t="shared" si="35"/>
        <v>0.40695079444683135</v>
      </c>
      <c r="AN90" s="338">
        <f t="shared" si="36"/>
        <v>0.321554856723198</v>
      </c>
    </row>
    <row r="91" spans="2:40" ht="14.4" x14ac:dyDescent="0.55000000000000004">
      <c r="B91" s="3">
        <v>2045</v>
      </c>
      <c r="C91" s="707">
        <f>'Food System Summary'!C43</f>
        <v>1017.392325359511</v>
      </c>
      <c r="E91" s="3">
        <v>2045</v>
      </c>
      <c r="F91" s="335">
        <f t="shared" si="31"/>
        <v>2269.4785857899387</v>
      </c>
      <c r="H91" s="3">
        <v>2045</v>
      </c>
      <c r="I91" s="335">
        <f t="shared" si="28"/>
        <v>556.92290857558305</v>
      </c>
      <c r="L91" s="3">
        <v>2045</v>
      </c>
      <c r="M91" s="707">
        <f>Bioplastics!B41</f>
        <v>64.577151675184723</v>
      </c>
      <c r="Q91" s="3">
        <v>2045</v>
      </c>
      <c r="R91" s="1197">
        <v>0.70474416083338287</v>
      </c>
      <c r="T91" s="3">
        <v>2045</v>
      </c>
      <c r="U91" s="335">
        <f t="shared" si="32"/>
        <v>2269.4785857899387</v>
      </c>
      <c r="W91" s="3">
        <v>2045</v>
      </c>
      <c r="X91" s="343"/>
      <c r="Y91" s="335">
        <f t="shared" si="33"/>
        <v>602.43327914192116</v>
      </c>
      <c r="AA91" s="3">
        <v>2045</v>
      </c>
      <c r="AB91" s="335">
        <f t="shared" si="29"/>
        <v>923.78786113163528</v>
      </c>
      <c r="AD91" s="3">
        <v>2045</v>
      </c>
      <c r="AE91" s="335">
        <f t="shared" si="37"/>
        <v>743.2574455163824</v>
      </c>
      <c r="AG91" s="3">
        <v>2045</v>
      </c>
      <c r="AH91" s="335">
        <f t="shared" si="30"/>
        <v>485.1519841604146</v>
      </c>
      <c r="AK91" s="3">
        <v>2045</v>
      </c>
      <c r="AL91" s="338">
        <f t="shared" si="34"/>
        <v>0.26545008307810575</v>
      </c>
      <c r="AM91" s="338">
        <f t="shared" si="35"/>
        <v>0.40704850308604779</v>
      </c>
      <c r="AN91" s="338">
        <f t="shared" si="36"/>
        <v>0.32750141383584652</v>
      </c>
    </row>
    <row r="92" spans="2:40" ht="14.4" x14ac:dyDescent="0.55000000000000004">
      <c r="B92" s="3">
        <v>2046</v>
      </c>
      <c r="C92" s="707">
        <f>'Food System Summary'!C44</f>
        <v>1054.1693722477883</v>
      </c>
      <c r="E92" s="3">
        <v>2046</v>
      </c>
      <c r="F92" s="335">
        <f t="shared" si="31"/>
        <v>2274.917718078882</v>
      </c>
      <c r="H92" s="3">
        <v>2046</v>
      </c>
      <c r="I92" s="335">
        <f t="shared" si="28"/>
        <v>540.84351613397348</v>
      </c>
      <c r="L92" s="3">
        <v>2046</v>
      </c>
      <c r="M92" s="707">
        <f>Bioplastics!B42</f>
        <v>69.69213719794061</v>
      </c>
      <c r="Q92" s="3">
        <v>2046</v>
      </c>
      <c r="R92" s="1197">
        <v>0.71203405347655502</v>
      </c>
      <c r="T92" s="3">
        <v>2046</v>
      </c>
      <c r="U92" s="335">
        <f t="shared" si="32"/>
        <v>2274.917718078882</v>
      </c>
      <c r="W92" s="3">
        <v>2046</v>
      </c>
      <c r="X92" s="343"/>
      <c r="Y92" s="335">
        <f t="shared" si="33"/>
        <v>590.46669107846731</v>
      </c>
      <c r="AA92" s="3">
        <v>2046</v>
      </c>
      <c r="AB92" s="335">
        <f t="shared" si="29"/>
        <v>925.79934252122098</v>
      </c>
      <c r="AD92" s="3">
        <v>2046</v>
      </c>
      <c r="AE92" s="335">
        <f t="shared" si="37"/>
        <v>758.65168447919382</v>
      </c>
      <c r="AG92" s="3">
        <v>2046</v>
      </c>
      <c r="AH92" s="335">
        <f t="shared" si="30"/>
        <v>494.18429204628615</v>
      </c>
      <c r="AK92" s="3">
        <v>2046</v>
      </c>
      <c r="AL92" s="338">
        <f t="shared" si="34"/>
        <v>0.25955518583639298</v>
      </c>
      <c r="AM92" s="338">
        <f t="shared" si="35"/>
        <v>0.40695948480415289</v>
      </c>
      <c r="AN92" s="338">
        <f t="shared" si="36"/>
        <v>0.33348532935945413</v>
      </c>
    </row>
    <row r="93" spans="2:40" ht="14.4" x14ac:dyDescent="0.55000000000000004">
      <c r="B93" s="3">
        <v>2047</v>
      </c>
      <c r="C93" s="707">
        <f>'Food System Summary'!C45</f>
        <v>1090.711457520207</v>
      </c>
      <c r="E93" s="3">
        <v>2047</v>
      </c>
      <c r="F93" s="335">
        <f t="shared" si="31"/>
        <v>2280.3702287801261</v>
      </c>
      <c r="H93" s="3">
        <v>2047</v>
      </c>
      <c r="I93" s="335">
        <f t="shared" si="28"/>
        <v>524.86252763015023</v>
      </c>
      <c r="L93" s="3">
        <v>2047</v>
      </c>
      <c r="M93" s="707">
        <f>Bioplastics!B43</f>
        <v>75.009941063297447</v>
      </c>
      <c r="Q93" s="3">
        <v>2047</v>
      </c>
      <c r="R93" s="1197">
        <v>0.71914395802906339</v>
      </c>
      <c r="T93" s="3">
        <v>2047</v>
      </c>
      <c r="U93" s="335">
        <f t="shared" si="32"/>
        <v>2280.3702287801261</v>
      </c>
      <c r="W93" s="3">
        <v>2047</v>
      </c>
      <c r="X93" s="343"/>
      <c r="Y93" s="335">
        <f t="shared" si="33"/>
        <v>578.80547353793668</v>
      </c>
      <c r="AA93" s="3">
        <v>2047</v>
      </c>
      <c r="AB93" s="335">
        <f t="shared" si="29"/>
        <v>927.37893297424102</v>
      </c>
      <c r="AD93" s="3">
        <v>2047</v>
      </c>
      <c r="AE93" s="335">
        <f t="shared" si="37"/>
        <v>774.18582226794842</v>
      </c>
      <c r="AG93" s="3">
        <v>2047</v>
      </c>
      <c r="AH93" s="335">
        <f t="shared" si="30"/>
        <v>503.2421925742517</v>
      </c>
      <c r="AK93" s="3">
        <v>2047</v>
      </c>
      <c r="AL93" s="338">
        <f t="shared" si="34"/>
        <v>0.25382083410533124</v>
      </c>
      <c r="AM93" s="338">
        <f t="shared" si="35"/>
        <v>0.4066791090630657</v>
      </c>
      <c r="AN93" s="338">
        <f t="shared" si="36"/>
        <v>0.339500056831603</v>
      </c>
    </row>
    <row r="94" spans="2:40" ht="14.4" x14ac:dyDescent="0.55000000000000004">
      <c r="B94" s="3">
        <v>2048</v>
      </c>
      <c r="C94" s="707">
        <f>'Food System Summary'!C46</f>
        <v>1126.9983105518609</v>
      </c>
      <c r="E94" s="3">
        <v>2048</v>
      </c>
      <c r="F94" s="335">
        <f t="shared" si="31"/>
        <v>2285.9396305180958</v>
      </c>
      <c r="H94" s="3">
        <v>2048</v>
      </c>
      <c r="I94" s="335">
        <f t="shared" si="28"/>
        <v>509.04219990046681</v>
      </c>
      <c r="L94" s="3">
        <v>2048</v>
      </c>
      <c r="M94" s="707">
        <f>Bioplastics!B44</f>
        <v>80.530759037472308</v>
      </c>
      <c r="Q94" s="3">
        <v>2048</v>
      </c>
      <c r="R94" s="1197">
        <v>0.7260783184127001</v>
      </c>
      <c r="T94" s="3">
        <v>2048</v>
      </c>
      <c r="U94" s="335">
        <f t="shared" si="32"/>
        <v>2285.9396305180958</v>
      </c>
      <c r="W94" s="3">
        <v>2048</v>
      </c>
      <c r="X94" s="343"/>
      <c r="Y94" s="335">
        <f t="shared" si="33"/>
        <v>567.51383800289307</v>
      </c>
      <c r="AA94" s="3">
        <v>2048</v>
      </c>
      <c r="AB94" s="335">
        <f t="shared" si="29"/>
        <v>928.55001445500568</v>
      </c>
      <c r="AD94" s="3">
        <v>2048</v>
      </c>
      <c r="AE94" s="335">
        <f t="shared" si="37"/>
        <v>789.87577806019715</v>
      </c>
      <c r="AG94" s="3">
        <v>2048</v>
      </c>
      <c r="AH94" s="335">
        <f t="shared" si="30"/>
        <v>512.32372325764084</v>
      </c>
      <c r="AK94" s="3">
        <v>2048</v>
      </c>
      <c r="AL94" s="338">
        <f t="shared" si="34"/>
        <v>0.24826282830324314</v>
      </c>
      <c r="AM94" s="338">
        <f t="shared" si="35"/>
        <v>0.40620058467797543</v>
      </c>
      <c r="AN94" s="338">
        <f t="shared" si="36"/>
        <v>0.34553658701878148</v>
      </c>
    </row>
    <row r="95" spans="2:40" ht="14.4" x14ac:dyDescent="0.55000000000000004">
      <c r="B95" s="3">
        <v>2049</v>
      </c>
      <c r="C95" s="707">
        <f>'Food System Summary'!C47</f>
        <v>1163.0093560141352</v>
      </c>
      <c r="E95" s="3">
        <v>2049</v>
      </c>
      <c r="F95" s="335">
        <f t="shared" si="31"/>
        <v>2291.6536677120766</v>
      </c>
      <c r="H95" s="3">
        <v>2049</v>
      </c>
      <c r="I95" s="335">
        <f t="shared" si="28"/>
        <v>493.40852672017127</v>
      </c>
      <c r="L95" s="3">
        <v>2049</v>
      </c>
      <c r="M95" s="707">
        <f>Bioplastics!B45</f>
        <v>86.254786886624061</v>
      </c>
      <c r="Q95" s="3">
        <v>2049</v>
      </c>
      <c r="R95" s="1197">
        <v>0.73284146882843759</v>
      </c>
      <c r="T95" s="3">
        <v>2049</v>
      </c>
      <c r="U95" s="335">
        <f t="shared" si="32"/>
        <v>2291.6536677120766</v>
      </c>
      <c r="W95" s="3">
        <v>2049</v>
      </c>
      <c r="X95" s="343"/>
      <c r="Y95" s="335">
        <f t="shared" si="33"/>
        <v>556.61961143564872</v>
      </c>
      <c r="AA95" s="3">
        <v>2049</v>
      </c>
      <c r="AB95" s="335">
        <f t="shared" si="29"/>
        <v>929.3136020010636</v>
      </c>
      <c r="AD95" s="3">
        <v>2049</v>
      </c>
      <c r="AE95" s="335">
        <f t="shared" si="37"/>
        <v>805.72045427536432</v>
      </c>
      <c r="AG95" s="3">
        <v>2049</v>
      </c>
      <c r="AH95" s="335">
        <f t="shared" si="30"/>
        <v>521.42706448101501</v>
      </c>
      <c r="AK95" s="3">
        <v>2049</v>
      </c>
      <c r="AL95" s="338">
        <f t="shared" si="34"/>
        <v>0.24288993545493384</v>
      </c>
      <c r="AM95" s="338">
        <f t="shared" si="35"/>
        <v>0.40552096291620909</v>
      </c>
      <c r="AN95" s="338">
        <f t="shared" si="36"/>
        <v>0.35158910162885704</v>
      </c>
    </row>
    <row r="96" spans="2:40" ht="14.4" x14ac:dyDescent="0.55000000000000004">
      <c r="B96" s="3">
        <v>2050</v>
      </c>
      <c r="C96" s="707">
        <f>'Food System Summary'!C48</f>
        <v>1198.7249822894426</v>
      </c>
      <c r="E96" s="3">
        <v>2050</v>
      </c>
      <c r="F96" s="335">
        <f t="shared" si="31"/>
        <v>2296.8465792134075</v>
      </c>
      <c r="H96" s="3">
        <v>2050</v>
      </c>
      <c r="I96" s="335">
        <f t="shared" si="28"/>
        <v>477.65428931165047</v>
      </c>
      <c r="L96" s="3">
        <v>2050</v>
      </c>
      <c r="M96" s="707">
        <f>Bioplastics!B46</f>
        <v>92.182220376911573</v>
      </c>
      <c r="Q96" s="3">
        <v>2050</v>
      </c>
      <c r="R96" s="1197">
        <v>0.7394376364654448</v>
      </c>
      <c r="T96" s="3">
        <v>2050</v>
      </c>
      <c r="U96" s="335">
        <f t="shared" si="32"/>
        <v>2296.8465792134075</v>
      </c>
      <c r="W96" s="3">
        <v>2050</v>
      </c>
      <c r="X96" s="343"/>
      <c r="Y96" s="335">
        <f t="shared" si="33"/>
        <v>545.81729247129078</v>
      </c>
      <c r="AA96" s="3">
        <v>2050</v>
      </c>
      <c r="AB96" s="335">
        <f t="shared" si="29"/>
        <v>929.47312049327343</v>
      </c>
      <c r="AD96" s="3">
        <v>2050</v>
      </c>
      <c r="AE96" s="335">
        <f t="shared" si="37"/>
        <v>821.55616624884328</v>
      </c>
      <c r="AG96" s="3">
        <v>2050</v>
      </c>
      <c r="AH96" s="335">
        <f t="shared" si="30"/>
        <v>529.51052541475212</v>
      </c>
      <c r="AK96" s="3">
        <v>2050</v>
      </c>
      <c r="AL96" s="338">
        <f t="shared" si="34"/>
        <v>0.23763768003094696</v>
      </c>
      <c r="AM96" s="338">
        <f t="shared" si="35"/>
        <v>0.40467357676610105</v>
      </c>
      <c r="AN96" s="338">
        <f t="shared" si="36"/>
        <v>0.35768874320295202</v>
      </c>
    </row>
    <row r="97" spans="1:46" ht="14.4" x14ac:dyDescent="0.55000000000000004">
      <c r="B97" s="3">
        <v>2051</v>
      </c>
      <c r="C97" s="707">
        <f>'Food System Summary'!C49</f>
        <v>1206.4458033222447</v>
      </c>
      <c r="E97" s="3">
        <v>2051</v>
      </c>
      <c r="F97" s="335">
        <f t="shared" si="31"/>
        <v>2331.3025457390686</v>
      </c>
      <c r="H97" s="3">
        <v>2051</v>
      </c>
      <c r="I97" s="335">
        <f t="shared" si="28"/>
        <v>490.48042005430489</v>
      </c>
      <c r="L97" s="3">
        <v>2051</v>
      </c>
      <c r="M97" s="707">
        <f>Bioplastics!B47</f>
        <v>98.313255274610128</v>
      </c>
      <c r="Q97" s="3">
        <v>2051</v>
      </c>
      <c r="R97" s="1197">
        <v>0.7432277927881854</v>
      </c>
      <c r="T97" s="3">
        <v>2051</v>
      </c>
      <c r="U97" s="335">
        <f t="shared" si="32"/>
        <v>2331.3025457390686</v>
      </c>
      <c r="W97" s="3">
        <v>2051</v>
      </c>
      <c r="X97" s="343"/>
      <c r="Y97" s="335">
        <f t="shared" si="33"/>
        <v>563.54956377387475</v>
      </c>
      <c r="AA97" s="3">
        <v>2051</v>
      </c>
      <c r="AB97" s="335">
        <f t="shared" si="29"/>
        <v>929.88251323931286</v>
      </c>
      <c r="AD97" s="3">
        <v>2051</v>
      </c>
      <c r="AE97" s="335">
        <f t="shared" si="37"/>
        <v>837.87046872588098</v>
      </c>
      <c r="AG97" s="3">
        <v>2051</v>
      </c>
      <c r="AH97" s="335">
        <f t="shared" si="30"/>
        <v>539.69114687795923</v>
      </c>
      <c r="AK97" s="3">
        <v>2051</v>
      </c>
      <c r="AL97" s="338">
        <f t="shared" si="34"/>
        <v>0.2417316297294303</v>
      </c>
      <c r="AM97" s="338">
        <f t="shared" si="35"/>
        <v>0.39886822709427527</v>
      </c>
      <c r="AN97" s="338">
        <f t="shared" si="36"/>
        <v>0.35940014317629443</v>
      </c>
    </row>
    <row r="98" spans="1:46" ht="14.4" x14ac:dyDescent="0.55000000000000004">
      <c r="B98" s="3">
        <v>2052</v>
      </c>
      <c r="C98" s="707">
        <f>'Food System Summary'!C50</f>
        <v>1214.0360571673757</v>
      </c>
      <c r="E98" s="3">
        <v>2052</v>
      </c>
      <c r="F98" s="335">
        <f t="shared" si="31"/>
        <v>2365.0868727541329</v>
      </c>
      <c r="H98" s="3">
        <v>2052</v>
      </c>
      <c r="I98" s="335">
        <f t="shared" si="28"/>
        <v>503.03137115469235</v>
      </c>
      <c r="L98" s="3">
        <v>2052</v>
      </c>
      <c r="M98" s="707">
        <f>Bioplastics!B48</f>
        <v>104.64808734576218</v>
      </c>
      <c r="Q98" s="3">
        <v>2052</v>
      </c>
      <c r="R98" s="1197">
        <v>0.74865445113542495</v>
      </c>
      <c r="T98" s="3">
        <v>2052</v>
      </c>
      <c r="U98" s="335">
        <f t="shared" si="32"/>
        <v>2365.0868727541329</v>
      </c>
      <c r="W98" s="3">
        <v>2052</v>
      </c>
      <c r="X98" s="343"/>
      <c r="Y98" s="335">
        <f t="shared" si="33"/>
        <v>581.37662754890596</v>
      </c>
      <c r="AA98" s="3">
        <v>2052</v>
      </c>
      <c r="AB98" s="335">
        <f t="shared" si="29"/>
        <v>929.53576067168342</v>
      </c>
      <c r="AD98" s="3">
        <v>2052</v>
      </c>
      <c r="AE98" s="335">
        <f t="shared" si="37"/>
        <v>854.17448453354336</v>
      </c>
      <c r="AG98" s="3">
        <v>2052</v>
      </c>
      <c r="AH98" s="335">
        <f t="shared" si="30"/>
        <v>548.84721991397384</v>
      </c>
      <c r="AK98" s="3">
        <v>2052</v>
      </c>
      <c r="AL98" s="338">
        <f t="shared" si="34"/>
        <v>0.24581618301060354</v>
      </c>
      <c r="AM98" s="338">
        <f t="shared" si="35"/>
        <v>0.39302393978841177</v>
      </c>
      <c r="AN98" s="338">
        <f t="shared" si="36"/>
        <v>0.36115987720098464</v>
      </c>
    </row>
    <row r="99" spans="1:46" ht="14.4" x14ac:dyDescent="0.55000000000000004">
      <c r="B99" s="3">
        <v>2053</v>
      </c>
      <c r="C99" s="707">
        <f>'Food System Summary'!C51</f>
        <v>1221.4943580522961</v>
      </c>
      <c r="E99" s="3">
        <v>2053</v>
      </c>
      <c r="F99" s="335">
        <f t="shared" si="31"/>
        <v>2398.9006569787325</v>
      </c>
      <c r="H99" s="3">
        <v>2053</v>
      </c>
      <c r="I99" s="335">
        <f t="shared" si="28"/>
        <v>515.64560745031986</v>
      </c>
      <c r="L99" s="3">
        <v>2053</v>
      </c>
      <c r="M99" s="707">
        <f>Bioplastics!B49</f>
        <v>111.18691235664301</v>
      </c>
      <c r="Q99" s="3">
        <v>2053</v>
      </c>
      <c r="R99" s="1197">
        <v>0.75382368813664513</v>
      </c>
      <c r="T99" s="3">
        <v>2053</v>
      </c>
      <c r="U99" s="335">
        <f t="shared" si="32"/>
        <v>2398.9006569787325</v>
      </c>
      <c r="W99" s="3">
        <v>2053</v>
      </c>
      <c r="X99" s="343"/>
      <c r="Y99" s="335">
        <f t="shared" si="33"/>
        <v>599.46093579553042</v>
      </c>
      <c r="AA99" s="3">
        <v>2053</v>
      </c>
      <c r="AB99" s="335">
        <f t="shared" si="29"/>
        <v>928.80915735896838</v>
      </c>
      <c r="AD99" s="3">
        <v>2053</v>
      </c>
      <c r="AE99" s="335">
        <f t="shared" si="37"/>
        <v>870.6305638242336</v>
      </c>
      <c r="AG99" s="3">
        <v>2053</v>
      </c>
      <c r="AH99" s="335">
        <f t="shared" si="30"/>
        <v>558.01592318189921</v>
      </c>
      <c r="AK99" s="3">
        <v>2053</v>
      </c>
      <c r="AL99" s="338">
        <f t="shared" si="34"/>
        <v>0.24988985435958591</v>
      </c>
      <c r="AM99" s="338">
        <f t="shared" si="35"/>
        <v>0.38718116761397958</v>
      </c>
      <c r="AN99" s="338">
        <f t="shared" si="36"/>
        <v>0.36292897802643448</v>
      </c>
    </row>
    <row r="100" spans="1:46" ht="14.4" x14ac:dyDescent="0.55000000000000004">
      <c r="B100" s="3">
        <v>2054</v>
      </c>
      <c r="C100" s="707">
        <f>'Food System Summary'!C52</f>
        <v>1228.819979851994</v>
      </c>
      <c r="E100" s="3">
        <v>2054</v>
      </c>
      <c r="F100" s="335">
        <f t="shared" si="31"/>
        <v>2432.7517936285576</v>
      </c>
      <c r="H100" s="3">
        <v>2054</v>
      </c>
      <c r="I100" s="335">
        <f t="shared" si="28"/>
        <v>528.32870937080361</v>
      </c>
      <c r="L100" s="3">
        <v>2054</v>
      </c>
      <c r="M100" s="707">
        <f>Bioplastics!B50</f>
        <v>117.92992607335327</v>
      </c>
      <c r="Q100" s="3">
        <v>2054</v>
      </c>
      <c r="R100" s="1197">
        <v>0.75873550379184596</v>
      </c>
      <c r="T100" s="3">
        <v>2054</v>
      </c>
      <c r="U100" s="335">
        <f t="shared" si="32"/>
        <v>2432.7517936285576</v>
      </c>
      <c r="W100" s="3">
        <v>2054</v>
      </c>
      <c r="X100" s="343"/>
      <c r="Y100" s="335">
        <f t="shared" si="33"/>
        <v>617.80633124220446</v>
      </c>
      <c r="AA100" s="3">
        <v>2054</v>
      </c>
      <c r="AB100" s="335">
        <f t="shared" si="29"/>
        <v>927.70701680149659</v>
      </c>
      <c r="AD100" s="3">
        <v>2054</v>
      </c>
      <c r="AE100" s="335">
        <f t="shared" si="37"/>
        <v>887.23844558485644</v>
      </c>
      <c r="AG100" s="3">
        <v>2054</v>
      </c>
      <c r="AH100" s="335">
        <f t="shared" si="30"/>
        <v>567.1945509880303</v>
      </c>
      <c r="AK100" s="3">
        <v>2054</v>
      </c>
      <c r="AL100" s="338">
        <f t="shared" si="34"/>
        <v>0.25395370496088249</v>
      </c>
      <c r="AM100" s="338">
        <f t="shared" si="35"/>
        <v>0.38134059513641555</v>
      </c>
      <c r="AN100" s="338">
        <f t="shared" si="36"/>
        <v>0.36470569990270185</v>
      </c>
    </row>
    <row r="101" spans="1:46" ht="14.4" x14ac:dyDescent="0.55000000000000004">
      <c r="B101" s="3">
        <v>2055</v>
      </c>
      <c r="C101" s="707">
        <f>'Food System Summary'!C53</f>
        <v>1236.0132992791862</v>
      </c>
      <c r="E101" s="3">
        <v>2055</v>
      </c>
      <c r="F101" s="335">
        <f t="shared" si="31"/>
        <v>2466.6470750815624</v>
      </c>
      <c r="H101" s="3">
        <v>2055</v>
      </c>
      <c r="I101" s="335">
        <f t="shared" si="28"/>
        <v>541.08505934642676</v>
      </c>
      <c r="L101" s="3">
        <v>2055</v>
      </c>
      <c r="M101" s="707">
        <f>Bioplastics!B51</f>
        <v>124.87732426216826</v>
      </c>
      <c r="Q101" s="3">
        <v>2055</v>
      </c>
      <c r="R101" s="1197">
        <v>0.76338989810102742</v>
      </c>
      <c r="T101" s="3">
        <v>2055</v>
      </c>
      <c r="U101" s="335">
        <f t="shared" si="32"/>
        <v>2466.6470750815624</v>
      </c>
      <c r="W101" s="3">
        <v>2055</v>
      </c>
      <c r="X101" s="343"/>
      <c r="Y101" s="335">
        <f t="shared" si="33"/>
        <v>636.41514719005238</v>
      </c>
      <c r="AA101" s="3">
        <v>2055</v>
      </c>
      <c r="AB101" s="335">
        <f t="shared" si="29"/>
        <v>926.23390944250502</v>
      </c>
      <c r="AD101" s="3">
        <v>2055</v>
      </c>
      <c r="AE101" s="335">
        <f t="shared" si="37"/>
        <v>903.99801844900514</v>
      </c>
      <c r="AG101" s="3">
        <v>2055</v>
      </c>
      <c r="AH101" s="335">
        <f t="shared" si="30"/>
        <v>576.38038557250991</v>
      </c>
      <c r="AK101" s="3">
        <v>2055</v>
      </c>
      <c r="AL101" s="338">
        <f t="shared" si="34"/>
        <v>0.25800818999167469</v>
      </c>
      <c r="AM101" s="338">
        <f t="shared" si="35"/>
        <v>0.37550321600502096</v>
      </c>
      <c r="AN101" s="338">
        <f t="shared" si="36"/>
        <v>0.36648859400330447</v>
      </c>
    </row>
    <row r="102" spans="1:46" ht="14.4" x14ac:dyDescent="0.55000000000000004">
      <c r="B102" s="3">
        <v>2056</v>
      </c>
      <c r="C102" s="707">
        <f>'Food System Summary'!C54</f>
        <v>1243.0743439358525</v>
      </c>
      <c r="E102" s="3">
        <v>2056</v>
      </c>
      <c r="F102" s="335">
        <f t="shared" si="31"/>
        <v>2500.5936428264408</v>
      </c>
      <c r="H102" s="3">
        <v>2056</v>
      </c>
      <c r="I102" s="335">
        <f t="shared" si="28"/>
        <v>553.91929928694617</v>
      </c>
      <c r="L102" s="3">
        <v>2056</v>
      </c>
      <c r="M102" s="707">
        <f>Bioplastics!B52</f>
        <v>132.02930268924683</v>
      </c>
      <c r="Q102" s="3">
        <v>2056</v>
      </c>
      <c r="R102" s="1197">
        <v>0.76778687106418952</v>
      </c>
      <c r="T102" s="3">
        <v>2056</v>
      </c>
      <c r="U102" s="335">
        <f t="shared" si="32"/>
        <v>2500.5936428264408</v>
      </c>
      <c r="W102" s="3">
        <v>2056</v>
      </c>
      <c r="X102" s="343"/>
      <c r="Y102" s="335">
        <f t="shared" si="33"/>
        <v>655.28966448750975</v>
      </c>
      <c r="AA102" s="3">
        <v>2056</v>
      </c>
      <c r="AB102" s="335">
        <f t="shared" si="29"/>
        <v>924.39466317230472</v>
      </c>
      <c r="AD102" s="3">
        <v>2056</v>
      </c>
      <c r="AE102" s="335">
        <f t="shared" si="37"/>
        <v>920.90931516662636</v>
      </c>
      <c r="AG102" s="3">
        <v>2056</v>
      </c>
      <c r="AH102" s="335">
        <f t="shared" si="30"/>
        <v>585.57091538501913</v>
      </c>
      <c r="AK102" s="3">
        <v>2056</v>
      </c>
      <c r="AL102" s="338">
        <f t="shared" si="34"/>
        <v>0.26205363928976105</v>
      </c>
      <c r="AM102" s="338">
        <f t="shared" si="35"/>
        <v>0.36967008447140337</v>
      </c>
      <c r="AN102" s="338">
        <f t="shared" si="36"/>
        <v>0.36827627623883552</v>
      </c>
    </row>
    <row r="103" spans="1:46" ht="14.4" x14ac:dyDescent="0.55000000000000004">
      <c r="B103" s="3">
        <v>2057</v>
      </c>
      <c r="C103" s="707">
        <f>'Food System Summary'!C55</f>
        <v>1250.0056956534447</v>
      </c>
      <c r="E103" s="3">
        <v>2057</v>
      </c>
      <c r="F103" s="335">
        <f t="shared" si="31"/>
        <v>2534.596084122415</v>
      </c>
      <c r="H103" s="3">
        <v>2057</v>
      </c>
      <c r="I103" s="335">
        <f t="shared" si="28"/>
        <v>566.83343257272941</v>
      </c>
      <c r="L103" s="3">
        <v>2057</v>
      </c>
      <c r="M103" s="707">
        <f>Bioplastics!B53</f>
        <v>139.38605712068966</v>
      </c>
      <c r="Q103" s="3">
        <v>2057</v>
      </c>
      <c r="R103" s="1197">
        <v>0.77192642268133227</v>
      </c>
      <c r="T103" s="3">
        <v>2057</v>
      </c>
      <c r="U103" s="335">
        <f t="shared" si="32"/>
        <v>2534.596084122415</v>
      </c>
      <c r="W103" s="3">
        <v>2057</v>
      </c>
      <c r="X103" s="343"/>
      <c r="Y103" s="335">
        <f t="shared" si="33"/>
        <v>674.42921301755928</v>
      </c>
      <c r="AA103" s="3">
        <v>2057</v>
      </c>
      <c r="AB103" s="335">
        <f t="shared" si="29"/>
        <v>922.19436383218181</v>
      </c>
      <c r="AD103" s="3">
        <v>2057</v>
      </c>
      <c r="AE103" s="335">
        <f t="shared" si="37"/>
        <v>937.97250727267397</v>
      </c>
      <c r="AG103" s="3">
        <v>2057</v>
      </c>
      <c r="AH103" s="335">
        <f t="shared" si="30"/>
        <v>594.76353616632571</v>
      </c>
      <c r="AK103" s="3">
        <v>2057</v>
      </c>
      <c r="AL103" s="338">
        <f t="shared" si="34"/>
        <v>0.26608942436328087</v>
      </c>
      <c r="AM103" s="338">
        <f t="shared" si="35"/>
        <v>0.36384273202705775</v>
      </c>
      <c r="AN103" s="338">
        <f t="shared" si="36"/>
        <v>0.37006784360966133</v>
      </c>
    </row>
    <row r="104" spans="1:46" ht="14.4" x14ac:dyDescent="0.55000000000000004">
      <c r="B104" s="3">
        <v>2058</v>
      </c>
      <c r="C104" s="707">
        <f>'Food System Summary'!C56</f>
        <v>1256.8140731168446</v>
      </c>
      <c r="E104" s="3">
        <v>2058</v>
      </c>
      <c r="F104" s="335">
        <f t="shared" si="31"/>
        <v>2568.654849375278</v>
      </c>
      <c r="H104" s="3">
        <v>2058</v>
      </c>
      <c r="I104" s="335">
        <f t="shared" si="28"/>
        <v>579.82524655083989</v>
      </c>
      <c r="L104" s="3">
        <v>2058</v>
      </c>
      <c r="M104" s="707">
        <f>Bioplastics!B54</f>
        <v>146.94778332277201</v>
      </c>
      <c r="Q104" s="3">
        <v>2058</v>
      </c>
      <c r="R104" s="1197">
        <v>0.77580855295245554</v>
      </c>
      <c r="T104" s="3">
        <v>2058</v>
      </c>
      <c r="U104" s="335">
        <f t="shared" si="32"/>
        <v>2568.654849375278</v>
      </c>
      <c r="W104" s="3">
        <v>2058</v>
      </c>
      <c r="X104" s="343"/>
      <c r="Y104" s="335">
        <f t="shared" si="33"/>
        <v>693.82859369005064</v>
      </c>
      <c r="AA104" s="3">
        <v>2058</v>
      </c>
      <c r="AB104" s="335">
        <f t="shared" si="29"/>
        <v>919.63835571816071</v>
      </c>
      <c r="AD104" s="3">
        <v>2058</v>
      </c>
      <c r="AE104" s="335">
        <f t="shared" si="37"/>
        <v>955.18789996706664</v>
      </c>
      <c r="AG104" s="3">
        <v>2058</v>
      </c>
      <c r="AH104" s="335">
        <f t="shared" si="30"/>
        <v>603.955206575087</v>
      </c>
      <c r="AK104" s="3">
        <v>2058</v>
      </c>
      <c r="AL104" s="338">
        <f t="shared" si="34"/>
        <v>0.27011359422570791</v>
      </c>
      <c r="AM104" s="338">
        <f t="shared" si="35"/>
        <v>0.35802332724531899</v>
      </c>
      <c r="AN104" s="338">
        <f t="shared" si="36"/>
        <v>0.3718630785289731</v>
      </c>
    </row>
    <row r="105" spans="1:46" ht="14.4" x14ac:dyDescent="0.55000000000000004">
      <c r="B105" s="3">
        <v>2059</v>
      </c>
      <c r="C105" s="707">
        <f>'Food System Summary'!C57</f>
        <v>1263.5085129412628</v>
      </c>
      <c r="E105" s="3">
        <v>2059</v>
      </c>
      <c r="F105" s="335">
        <f t="shared" si="31"/>
        <v>2602.7680710604914</v>
      </c>
      <c r="H105" s="3">
        <v>2059</v>
      </c>
      <c r="I105" s="335">
        <f t="shared" si="28"/>
        <v>592.89013635880292</v>
      </c>
      <c r="L105" s="3">
        <v>2059</v>
      </c>
      <c r="M105" s="707">
        <f>Bioplastics!B55</f>
        <v>154.71467706159456</v>
      </c>
      <c r="Q105" s="3">
        <v>2059</v>
      </c>
      <c r="R105" s="1197">
        <v>0.77943326187755946</v>
      </c>
      <c r="T105" s="3">
        <v>2059</v>
      </c>
      <c r="U105" s="335">
        <f t="shared" si="32"/>
        <v>2602.7680710604914</v>
      </c>
      <c r="W105" s="3">
        <v>2059</v>
      </c>
      <c r="X105" s="343"/>
      <c r="Y105" s="335">
        <f t="shared" si="33"/>
        <v>713.47990176125484</v>
      </c>
      <c r="AA105" s="3">
        <v>2059</v>
      </c>
      <c r="AB105" s="335">
        <f t="shared" si="29"/>
        <v>916.73224208521867</v>
      </c>
      <c r="AD105" s="3">
        <v>2059</v>
      </c>
      <c r="AE105" s="335">
        <f t="shared" si="37"/>
        <v>972.55592721401774</v>
      </c>
      <c r="AG105" s="3">
        <v>2059</v>
      </c>
      <c r="AH105" s="335">
        <f t="shared" si="30"/>
        <v>613.14265535958793</v>
      </c>
      <c r="AK105" s="3">
        <v>2059</v>
      </c>
      <c r="AL105" s="338">
        <f t="shared" si="34"/>
        <v>0.2741235032403595</v>
      </c>
      <c r="AM105" s="338">
        <f t="shared" si="35"/>
        <v>0.35221434144598923</v>
      </c>
      <c r="AN105" s="338">
        <f t="shared" si="36"/>
        <v>0.37366215531365121</v>
      </c>
    </row>
    <row r="106" spans="1:46" ht="14.4" x14ac:dyDescent="0.55000000000000004">
      <c r="B106" s="3">
        <v>2060</v>
      </c>
      <c r="C106" s="707">
        <f>'Food System Summary'!C58</f>
        <v>1270.0968906403518</v>
      </c>
      <c r="E106" s="3">
        <v>2060</v>
      </c>
      <c r="F106" s="335">
        <f t="shared" si="31"/>
        <v>2636.9350427550767</v>
      </c>
      <c r="H106" s="3">
        <v>2060</v>
      </c>
      <c r="I106" s="335">
        <f t="shared" si="28"/>
        <v>606.02458863323909</v>
      </c>
      <c r="L106" s="3">
        <v>2060</v>
      </c>
      <c r="M106" s="707">
        <f>Bioplastics!B56</f>
        <v>162.68693410337437</v>
      </c>
      <c r="Q106" s="3">
        <v>2060</v>
      </c>
      <c r="R106" s="339">
        <v>0.78280054945664412</v>
      </c>
      <c r="T106" s="3">
        <v>2060</v>
      </c>
      <c r="U106" s="335">
        <f t="shared" si="32"/>
        <v>2636.9350427550767</v>
      </c>
      <c r="W106" s="3">
        <v>2060</v>
      </c>
      <c r="X106" s="343"/>
      <c r="Y106" s="335">
        <f t="shared" si="33"/>
        <v>733.37601003877739</v>
      </c>
      <c r="AA106" s="3">
        <v>2060</v>
      </c>
      <c r="AB106" s="335">
        <f t="shared" si="29"/>
        <v>913.48188565100372</v>
      </c>
      <c r="AD106" s="3">
        <v>2060</v>
      </c>
      <c r="AE106" s="335">
        <f t="shared" si="37"/>
        <v>990.07714706529555</v>
      </c>
      <c r="AG106" s="3">
        <v>2060</v>
      </c>
      <c r="AH106" s="335">
        <f t="shared" si="30"/>
        <v>622.32262634944129</v>
      </c>
      <c r="AK106" s="3">
        <v>2060</v>
      </c>
      <c r="AL106" s="338">
        <f t="shared" si="34"/>
        <v>0.27811682811592664</v>
      </c>
      <c r="AM106" s="338">
        <f t="shared" si="35"/>
        <v>0.3464180462695795</v>
      </c>
      <c r="AN106" s="338">
        <f t="shared" si="36"/>
        <v>0.37546512561449386</v>
      </c>
    </row>
    <row r="109" spans="1:46" ht="22.5" x14ac:dyDescent="0.75">
      <c r="A109" s="336" t="s">
        <v>456</v>
      </c>
      <c r="Q109" s="638"/>
      <c r="R109" s="638"/>
      <c r="S109" s="638"/>
      <c r="T109" s="638"/>
    </row>
    <row r="110" spans="1:46" ht="200.05" customHeight="1" x14ac:dyDescent="0.4">
      <c r="B110" s="1275" t="s">
        <v>474</v>
      </c>
      <c r="C110" s="1276"/>
      <c r="D110" s="1276"/>
      <c r="F110" s="1275" t="s">
        <v>475</v>
      </c>
      <c r="G110" s="1276"/>
      <c r="H110" s="1276"/>
      <c r="J110" s="1275" t="s">
        <v>481</v>
      </c>
      <c r="K110" s="1276"/>
      <c r="L110" s="1276"/>
      <c r="M110" s="1276"/>
      <c r="N110" s="1276"/>
      <c r="P110" s="1280" t="s">
        <v>476</v>
      </c>
      <c r="Q110" s="1281"/>
      <c r="R110" s="1281"/>
      <c r="S110" s="1281"/>
      <c r="V110" s="1275" t="s">
        <v>482</v>
      </c>
      <c r="W110" s="1276"/>
      <c r="X110" s="1276"/>
      <c r="Y110" s="1276"/>
      <c r="Z110" s="1276"/>
      <c r="AA110" s="1276"/>
      <c r="AB110" s="1276"/>
      <c r="AC110" s="1276"/>
      <c r="AE110" s="1275" t="s">
        <v>484</v>
      </c>
      <c r="AF110" s="1276"/>
      <c r="AG110" s="1276"/>
      <c r="AH110" s="1276"/>
      <c r="AI110" s="1276"/>
      <c r="AK110" s="1275" t="s">
        <v>486</v>
      </c>
      <c r="AL110" s="1276"/>
      <c r="AM110" s="1276"/>
      <c r="AN110" s="1276"/>
      <c r="AO110" s="1276"/>
      <c r="AP110" s="1276"/>
      <c r="AQ110" s="1276"/>
      <c r="AR110" s="1276"/>
      <c r="AS110" s="1276"/>
      <c r="AT110" s="1276"/>
    </row>
    <row r="111" spans="1:46" ht="135.30000000000001" x14ac:dyDescent="0.4">
      <c r="B111" s="1173" t="s">
        <v>132</v>
      </c>
      <c r="C111" s="341" t="s">
        <v>149</v>
      </c>
      <c r="F111" s="641" t="s">
        <v>151</v>
      </c>
      <c r="G111" s="641"/>
      <c r="H111" s="641"/>
      <c r="J111" s="642" t="s">
        <v>495</v>
      </c>
      <c r="K111" s="642"/>
      <c r="Q111" s="1173" t="s">
        <v>1096</v>
      </c>
      <c r="R111" s="1173" t="s">
        <v>160</v>
      </c>
      <c r="S111" s="1173" t="s">
        <v>1097</v>
      </c>
      <c r="V111" s="641" t="s">
        <v>152</v>
      </c>
      <c r="W111" s="641"/>
      <c r="X111" s="641"/>
      <c r="Y111" s="641"/>
      <c r="Z111" s="641"/>
      <c r="AA111" s="641"/>
      <c r="AB111" s="641"/>
      <c r="AC111" s="641"/>
      <c r="AE111" s="340" t="s">
        <v>10</v>
      </c>
      <c r="AF111" s="707">
        <f>'WTE Tonnes and Composition'!M$52</f>
        <v>1.4992613764679676</v>
      </c>
      <c r="AG111" s="707">
        <f>'WTE Tonnes and Composition'!M$53</f>
        <v>3.5494778268358278</v>
      </c>
      <c r="AH111" s="707">
        <f>'WTE Tonnes and Composition'!M$54</f>
        <v>2.1207208550108536</v>
      </c>
      <c r="AI111" s="341" t="s">
        <v>483</v>
      </c>
      <c r="AK111" s="1249" t="s">
        <v>153</v>
      </c>
      <c r="AL111" s="1249"/>
      <c r="AO111" s="341" t="s">
        <v>485</v>
      </c>
      <c r="AP111" s="1207">
        <f>'WTE Tonnes and Composition'!R$31</f>
        <v>0.1982538444179904</v>
      </c>
      <c r="AQ111" s="1207">
        <f>'WTE Tonnes and Composition'!R$32</f>
        <v>0.28006004602560974</v>
      </c>
      <c r="AR111" s="1207">
        <f>'WTE Tonnes and Composition'!R$33</f>
        <v>0.3429125448437737</v>
      </c>
      <c r="AS111" s="1249" t="s">
        <v>278</v>
      </c>
      <c r="AT111" s="1249" t="s">
        <v>279</v>
      </c>
    </row>
    <row r="112" spans="1:46" x14ac:dyDescent="0.4">
      <c r="B112" s="2"/>
      <c r="C112" s="334" t="s">
        <v>115</v>
      </c>
      <c r="D112" s="334" t="s">
        <v>133</v>
      </c>
      <c r="F112" s="2"/>
      <c r="G112" s="334" t="s">
        <v>115</v>
      </c>
      <c r="H112" s="334" t="s">
        <v>134</v>
      </c>
      <c r="J112" s="2"/>
      <c r="K112" s="334" t="s">
        <v>115</v>
      </c>
      <c r="L112" s="334" t="s">
        <v>159</v>
      </c>
      <c r="M112" s="334" t="s">
        <v>157</v>
      </c>
      <c r="N112" s="334" t="s">
        <v>158</v>
      </c>
      <c r="P112" s="2"/>
      <c r="Q112" s="334" t="s">
        <v>115</v>
      </c>
      <c r="R112" s="334" t="str">
        <f t="shared" ref="R112:R159" si="38">AE59</f>
        <v>World</v>
      </c>
      <c r="S112" s="334" t="s">
        <v>115</v>
      </c>
      <c r="V112" s="334" t="s">
        <v>115</v>
      </c>
      <c r="W112" s="334" t="s">
        <v>156</v>
      </c>
      <c r="X112" s="334" t="s">
        <v>157</v>
      </c>
      <c r="Y112" s="334" t="s">
        <v>158</v>
      </c>
      <c r="Z112" s="334" t="s">
        <v>155</v>
      </c>
      <c r="AA112" s="334" t="s">
        <v>161</v>
      </c>
      <c r="AB112" s="334" t="s">
        <v>162</v>
      </c>
      <c r="AC112" s="334" t="s">
        <v>163</v>
      </c>
      <c r="AE112" s="334" t="s">
        <v>115</v>
      </c>
      <c r="AF112" s="347" t="s">
        <v>156</v>
      </c>
      <c r="AG112" s="347" t="s">
        <v>157</v>
      </c>
      <c r="AH112" s="347" t="s">
        <v>158</v>
      </c>
      <c r="AI112" s="347" t="s">
        <v>165</v>
      </c>
      <c r="AK112" s="334" t="s">
        <v>115</v>
      </c>
      <c r="AL112" s="347" t="s">
        <v>138</v>
      </c>
      <c r="AM112" s="347" t="s">
        <v>156</v>
      </c>
      <c r="AN112" s="347" t="s">
        <v>157</v>
      </c>
      <c r="AO112" s="347" t="s">
        <v>158</v>
      </c>
      <c r="AP112" s="347" t="s">
        <v>156</v>
      </c>
      <c r="AQ112" s="347" t="s">
        <v>157</v>
      </c>
      <c r="AR112" s="347" t="s">
        <v>158</v>
      </c>
      <c r="AS112" s="527" t="s">
        <v>115</v>
      </c>
      <c r="AT112" s="527" t="s">
        <v>115</v>
      </c>
    </row>
    <row r="113" spans="2:49" ht="14.4" x14ac:dyDescent="0.55000000000000004">
      <c r="B113" s="3">
        <v>2014</v>
      </c>
      <c r="C113" s="707">
        <f>Compost!E5</f>
        <v>110.54366841083268</v>
      </c>
      <c r="D113" s="338">
        <f t="shared" ref="D113:D159" si="39">C113/Y60</f>
        <v>0.13735631497417061</v>
      </c>
      <c r="F113" s="3">
        <v>2014</v>
      </c>
      <c r="G113" s="707">
        <f>'H&amp;C Recycling'!E5</f>
        <v>206.02941101227444</v>
      </c>
      <c r="H113" s="338">
        <f t="shared" ref="H113:H159" si="40">G113/AB60</f>
        <v>0.32872538352551745</v>
      </c>
      <c r="J113" s="3">
        <v>2014</v>
      </c>
      <c r="K113" s="335">
        <f t="shared" ref="K113:K159" si="41">U60-C113-G113</f>
        <v>1456.7602539102261</v>
      </c>
      <c r="L113" s="338">
        <f t="shared" ref="L113:L159" si="42">(Y60-C113)/K113</f>
        <v>0.47657209073626483</v>
      </c>
      <c r="M113" s="338">
        <f t="shared" ref="M113:M159" si="43">(AB60-G113)/K113</f>
        <v>0.28880727023664815</v>
      </c>
      <c r="N113" s="338">
        <f t="shared" ref="N113:N159" si="44">AE60/K113</f>
        <v>0.2346206390270871</v>
      </c>
      <c r="O113" s="723"/>
      <c r="P113" s="3">
        <v>2014</v>
      </c>
      <c r="Q113" s="707">
        <f>Paper!F6</f>
        <v>175.25105629820052</v>
      </c>
      <c r="R113" s="335">
        <f t="shared" si="38"/>
        <v>341.7860216816789</v>
      </c>
      <c r="S113" s="707">
        <f>Paper!G6</f>
        <v>227.24220300000002</v>
      </c>
      <c r="V113" s="335">
        <f t="shared" ref="V113:V159" si="45">U60-C113-G113-S113-U170</f>
        <v>1229.5180509102261</v>
      </c>
      <c r="W113" s="335">
        <f t="shared" ref="W113:W159" si="46">Y60-C113</f>
        <v>694.25127990748842</v>
      </c>
      <c r="X113" s="335">
        <f t="shared" ref="X113:X159" si="47">AB60-G113</f>
        <v>420.72295232105887</v>
      </c>
      <c r="Y113" s="335">
        <f t="shared" ref="Y113:Y159" si="48">R113-S113-U170</f>
        <v>114.54381868167889</v>
      </c>
      <c r="Z113" s="338">
        <f t="shared" ref="Z113:AB159" si="49">W113/$V113</f>
        <v>0.56465318210946669</v>
      </c>
      <c r="AA113" s="338">
        <f t="shared" si="49"/>
        <v>0.34218525869513905</v>
      </c>
      <c r="AB113" s="338">
        <f t="shared" si="49"/>
        <v>9.3161559195394331E-2</v>
      </c>
      <c r="AC113" s="338">
        <f t="shared" ref="AC113:AC159" si="50">1-V113/U60</f>
        <v>0.30666275324611314</v>
      </c>
      <c r="AE113" s="346">
        <f>MIN('WTE Tonnes and Composition'!G67,V113)</f>
        <v>142.75688198659913</v>
      </c>
      <c r="AF113" s="335">
        <f>AF$111*Z113</f>
        <v>0.84656270703645708</v>
      </c>
      <c r="AG113" s="335">
        <f t="shared" ref="AG113:AH159" si="51">AG$111*AA113</f>
        <v>1.2145789884084777</v>
      </c>
      <c r="AH113" s="335">
        <f t="shared" si="51"/>
        <v>0.19756966147100091</v>
      </c>
      <c r="AI113" s="711">
        <f>AF113+AG113+AH113</f>
        <v>2.2587113569159354</v>
      </c>
      <c r="AK113" s="610">
        <f>V113-AE113</f>
        <v>1086.7611689236269</v>
      </c>
      <c r="AL113" s="338">
        <f t="shared" ref="AL113:AL159" si="52">AK113/U60</f>
        <v>0.61283524563362424</v>
      </c>
      <c r="AM113" s="335">
        <f t="shared" ref="AM113:AN159" si="53">Z113*$AK113</f>
        <v>613.64315222572964</v>
      </c>
      <c r="AN113" s="335">
        <f>AA113*$AK113</f>
        <v>371.87365172796297</v>
      </c>
      <c r="AO113" s="335">
        <f t="shared" ref="AO113:AO159" si="54">AB113*$AK113</f>
        <v>101.24436496993441</v>
      </c>
      <c r="AP113" s="335">
        <f>AP$111*AM113</f>
        <v>121.657114029525</v>
      </c>
      <c r="AQ113" s="335">
        <f t="shared" ref="AQ113:AR159" si="55">AQ$111*AN113</f>
        <v>104.14695201864488</v>
      </c>
      <c r="AR113" s="335">
        <f t="shared" si="55"/>
        <v>34.717962842932025</v>
      </c>
      <c r="AS113" s="335">
        <f>SUM(AP113:AR113)</f>
        <v>260.52202889110191</v>
      </c>
      <c r="AT113" s="712">
        <f>AS113/AK113</f>
        <v>0.23972335076080578</v>
      </c>
      <c r="AU113" s="723"/>
      <c r="AV113" s="723"/>
      <c r="AW113" s="968"/>
    </row>
    <row r="114" spans="2:49" ht="14.4" x14ac:dyDescent="0.55000000000000004">
      <c r="B114" s="3">
        <v>2015</v>
      </c>
      <c r="C114" s="707">
        <f>Compost!E6</f>
        <v>121.04208551354085</v>
      </c>
      <c r="D114" s="338">
        <f t="shared" si="39"/>
        <v>0.14028323288243763</v>
      </c>
      <c r="F114" s="3">
        <v>2015</v>
      </c>
      <c r="G114" s="707">
        <f>'H&amp;C Recycling'!E6</f>
        <v>235.52664728670166</v>
      </c>
      <c r="H114" s="338">
        <f t="shared" si="40"/>
        <v>0.354207043072165</v>
      </c>
      <c r="J114" s="3">
        <v>2015</v>
      </c>
      <c r="K114" s="335">
        <f t="shared" si="41"/>
        <v>1535.0979338664242</v>
      </c>
      <c r="L114" s="338">
        <f t="shared" si="42"/>
        <v>0.48322560863857555</v>
      </c>
      <c r="M114" s="338">
        <f t="shared" si="43"/>
        <v>0.27973066293675541</v>
      </c>
      <c r="N114" s="338">
        <f t="shared" si="44"/>
        <v>0.23704372842466903</v>
      </c>
      <c r="P114" s="3">
        <v>2015</v>
      </c>
      <c r="Q114" s="707">
        <f>Paper!F7</f>
        <v>175.9042719794345</v>
      </c>
      <c r="R114" s="335">
        <f t="shared" si="38"/>
        <v>363.88533774070322</v>
      </c>
      <c r="S114" s="707">
        <f>Paper!G7</f>
        <v>228.08920600000005</v>
      </c>
      <c r="V114" s="335">
        <f t="shared" si="45"/>
        <v>1263.5304896051864</v>
      </c>
      <c r="W114" s="335">
        <f t="shared" si="46"/>
        <v>741.79863341242265</v>
      </c>
      <c r="X114" s="335">
        <f t="shared" si="47"/>
        <v>429.41396271329836</v>
      </c>
      <c r="Y114" s="335">
        <f t="shared" si="48"/>
        <v>92.317893479465539</v>
      </c>
      <c r="Z114" s="338">
        <f t="shared" si="49"/>
        <v>0.58708407871044843</v>
      </c>
      <c r="AA114" s="338">
        <f t="shared" si="49"/>
        <v>0.33985247387855022</v>
      </c>
      <c r="AB114" s="338">
        <f t="shared" si="49"/>
        <v>7.3063447411001514E-2</v>
      </c>
      <c r="AC114" s="338">
        <f t="shared" si="50"/>
        <v>0.33205436672853583</v>
      </c>
      <c r="AE114" s="346">
        <f>MIN('WTE Tonnes and Composition'!G68,V114)</f>
        <v>151.22621540688968</v>
      </c>
      <c r="AF114" s="335">
        <f t="shared" ref="AF114:AF159" si="56">AF$111*Z114</f>
        <v>0.88019248394985561</v>
      </c>
      <c r="AG114" s="335">
        <f t="shared" si="51"/>
        <v>1.2062988204272165</v>
      </c>
      <c r="AH114" s="335">
        <f t="shared" si="51"/>
        <v>0.15494717666349966</v>
      </c>
      <c r="AI114" s="711">
        <f t="shared" ref="AI114:AI159" si="57">AF114+AG114+AH114</f>
        <v>2.2414384810405719</v>
      </c>
      <c r="AK114" s="610">
        <f t="shared" ref="AK114:AK159" si="58">V114-AE114</f>
        <v>1112.3042741982968</v>
      </c>
      <c r="AL114" s="338">
        <f t="shared" si="52"/>
        <v>0.58800225948808638</v>
      </c>
      <c r="AM114" s="335">
        <f t="shared" si="53"/>
        <v>653.01613006340108</v>
      </c>
      <c r="AN114" s="335">
        <f t="shared" si="53"/>
        <v>378.0193592919764</v>
      </c>
      <c r="AO114" s="335">
        <f t="shared" si="54"/>
        <v>81.268784842919459</v>
      </c>
      <c r="AP114" s="335">
        <f t="shared" ref="AP114:AP159" si="59">AP$111*AM114</f>
        <v>129.4629582520277</v>
      </c>
      <c r="AQ114" s="335">
        <f t="shared" si="55"/>
        <v>105.86811916188242</v>
      </c>
      <c r="AR114" s="335">
        <f t="shared" si="55"/>
        <v>27.868085826846617</v>
      </c>
      <c r="AS114" s="335">
        <f>SUM(AP114:AR114)</f>
        <v>263.19916324075672</v>
      </c>
      <c r="AT114" s="712">
        <f t="shared" ref="AT114:AT159" si="60">AS114/AK114</f>
        <v>0.23662514776405033</v>
      </c>
      <c r="AU114" s="723"/>
      <c r="AW114" s="968"/>
    </row>
    <row r="115" spans="2:49" ht="14.4" x14ac:dyDescent="0.55000000000000004">
      <c r="B115" s="3">
        <v>2016</v>
      </c>
      <c r="C115" s="707">
        <f>Compost!E7</f>
        <v>131.54050261624903</v>
      </c>
      <c r="D115" s="338">
        <f t="shared" si="39"/>
        <v>0.14215117062862537</v>
      </c>
      <c r="E115" s="533"/>
      <c r="F115" s="3">
        <v>2016</v>
      </c>
      <c r="G115" s="707">
        <f>'H&amp;C Recycling'!E7</f>
        <v>266.79999999999995</v>
      </c>
      <c r="H115" s="338">
        <f t="shared" si="40"/>
        <v>0.37965485417831296</v>
      </c>
      <c r="J115" s="3">
        <v>2016</v>
      </c>
      <c r="K115" s="335">
        <f t="shared" si="41"/>
        <v>1611.6594973837507</v>
      </c>
      <c r="L115" s="338">
        <f t="shared" si="42"/>
        <v>0.49254569508781054</v>
      </c>
      <c r="M115" s="338">
        <f t="shared" si="43"/>
        <v>0.27049358174457977</v>
      </c>
      <c r="N115" s="338">
        <f t="shared" si="44"/>
        <v>0.23696072316760966</v>
      </c>
      <c r="P115" s="3">
        <v>2016</v>
      </c>
      <c r="Q115" s="707">
        <f>Paper!F8</f>
        <v>177.60189408740359</v>
      </c>
      <c r="R115" s="335">
        <f t="shared" si="38"/>
        <v>381.89999999999986</v>
      </c>
      <c r="S115" s="707">
        <f>Paper!G8</f>
        <v>230.29045599999998</v>
      </c>
      <c r="V115" s="335">
        <f t="shared" si="45"/>
        <v>1365.5334841836038</v>
      </c>
      <c r="W115" s="335">
        <f t="shared" si="46"/>
        <v>793.81594738375088</v>
      </c>
      <c r="X115" s="335">
        <f t="shared" si="47"/>
        <v>435.94354999999996</v>
      </c>
      <c r="Y115" s="335">
        <f t="shared" si="48"/>
        <v>135.77398679985308</v>
      </c>
      <c r="Z115" s="338">
        <f t="shared" si="49"/>
        <v>0.58132294563127518</v>
      </c>
      <c r="AA115" s="338">
        <f t="shared" si="49"/>
        <v>0.31924779219942206</v>
      </c>
      <c r="AB115" s="338">
        <f t="shared" si="49"/>
        <v>9.9429262169302826E-2</v>
      </c>
      <c r="AC115" s="338">
        <f t="shared" si="50"/>
        <v>0.32063010737134134</v>
      </c>
      <c r="AE115" s="346">
        <f>MIN('WTE Tonnes and Composition'!G69,V115)</f>
        <v>159.07322452483973</v>
      </c>
      <c r="AF115" s="335">
        <f t="shared" si="56"/>
        <v>0.87155503963955916</v>
      </c>
      <c r="AG115" s="335">
        <f t="shared" si="51"/>
        <v>1.1331629596781405</v>
      </c>
      <c r="AH115" s="335">
        <f t="shared" si="51"/>
        <v>0.21086170988078221</v>
      </c>
      <c r="AI115" s="711">
        <f t="shared" si="57"/>
        <v>2.2155797091984817</v>
      </c>
      <c r="AK115" s="610">
        <f t="shared" si="58"/>
        <v>1206.460259658764</v>
      </c>
      <c r="AL115" s="338">
        <f t="shared" si="52"/>
        <v>0.60022898490485777</v>
      </c>
      <c r="AM115" s="335">
        <f t="shared" si="53"/>
        <v>701.34303193190578</v>
      </c>
      <c r="AN115" s="335">
        <f t="shared" si="53"/>
        <v>385.15977427240188</v>
      </c>
      <c r="AO115" s="335">
        <f t="shared" si="54"/>
        <v>119.95745345445641</v>
      </c>
      <c r="AP115" s="335">
        <f t="shared" si="59"/>
        <v>139.04395233626971</v>
      </c>
      <c r="AQ115" s="335">
        <f t="shared" si="55"/>
        <v>107.86786410994233</v>
      </c>
      <c r="AR115" s="335">
        <f t="shared" si="55"/>
        <v>41.134915637046184</v>
      </c>
      <c r="AS115" s="335">
        <f>SUM(AP115:AR115)</f>
        <v>288.04673208325823</v>
      </c>
      <c r="AT115" s="712">
        <f t="shared" si="60"/>
        <v>0.23875360151914954</v>
      </c>
      <c r="AU115" s="723"/>
      <c r="AW115" s="968"/>
    </row>
    <row r="116" spans="2:49" ht="14.4" x14ac:dyDescent="0.55000000000000004">
      <c r="B116" s="3">
        <v>2017</v>
      </c>
      <c r="C116" s="707">
        <f>Compost!E8</f>
        <v>142.0389197189572</v>
      </c>
      <c r="D116" s="338">
        <f t="shared" si="39"/>
        <v>0.1462109962883891</v>
      </c>
      <c r="F116" s="3">
        <v>2017</v>
      </c>
      <c r="G116" s="707">
        <f>'H&amp;C Recycling'!E8</f>
        <v>283.94991370375845</v>
      </c>
      <c r="H116" s="338">
        <f t="shared" si="40"/>
        <v>0.38685662034123636</v>
      </c>
      <c r="J116" s="3">
        <v>2017</v>
      </c>
      <c r="K116" s="335">
        <f t="shared" si="41"/>
        <v>1685.1031925300849</v>
      </c>
      <c r="L116" s="338">
        <f t="shared" si="42"/>
        <v>0.49221107331647146</v>
      </c>
      <c r="M116" s="338">
        <f t="shared" si="43"/>
        <v>0.26707131796166045</v>
      </c>
      <c r="N116" s="338">
        <f t="shared" si="44"/>
        <v>0.2407176087218682</v>
      </c>
      <c r="P116" s="3">
        <v>2017</v>
      </c>
      <c r="Q116" s="707">
        <f>Paper!F9</f>
        <v>180.34826683804627</v>
      </c>
      <c r="R116" s="335">
        <f t="shared" si="38"/>
        <v>405.63401095542793</v>
      </c>
      <c r="S116" s="707">
        <f>Paper!G9</f>
        <v>233.851586</v>
      </c>
      <c r="V116" s="335">
        <f t="shared" si="45"/>
        <v>1435.4261867187511</v>
      </c>
      <c r="W116" s="335">
        <f t="shared" si="46"/>
        <v>829.42645104424571</v>
      </c>
      <c r="X116" s="335">
        <f t="shared" si="47"/>
        <v>450.04273053041146</v>
      </c>
      <c r="Y116" s="335">
        <f t="shared" si="48"/>
        <v>155.95700514409407</v>
      </c>
      <c r="Z116" s="338">
        <f t="shared" si="49"/>
        <v>0.57782591589765853</v>
      </c>
      <c r="AA116" s="338">
        <f t="shared" si="49"/>
        <v>0.31352551227950404</v>
      </c>
      <c r="AB116" s="338">
        <f t="shared" si="49"/>
        <v>0.10864857182283756</v>
      </c>
      <c r="AC116" s="338">
        <f t="shared" si="50"/>
        <v>0.32005513304380984</v>
      </c>
      <c r="AE116" s="346">
        <f>MIN('WTE Tonnes and Composition'!G70,V116)</f>
        <v>162.84287810907378</v>
      </c>
      <c r="AF116" s="335">
        <f t="shared" si="56"/>
        <v>0.86631207802758758</v>
      </c>
      <c r="AG116" s="335">
        <f t="shared" si="51"/>
        <v>1.1128518539834436</v>
      </c>
      <c r="AH116" s="335">
        <f t="shared" si="51"/>
        <v>0.2304132921318362</v>
      </c>
      <c r="AI116" s="711">
        <f t="shared" si="57"/>
        <v>2.2095772241428673</v>
      </c>
      <c r="AK116" s="610">
        <f t="shared" si="58"/>
        <v>1272.5833086096773</v>
      </c>
      <c r="AL116" s="338">
        <f t="shared" si="52"/>
        <v>0.60280806945652754</v>
      </c>
      <c r="AM116" s="335">
        <f t="shared" si="53"/>
        <v>735.33161585345943</v>
      </c>
      <c r="AN116" s="335">
        <f t="shared" si="53"/>
        <v>398.98733375019526</v>
      </c>
      <c r="AO116" s="335">
        <f t="shared" si="54"/>
        <v>138.26435900602277</v>
      </c>
      <c r="AP116" s="335">
        <f t="shared" si="59"/>
        <v>145.78231976504122</v>
      </c>
      <c r="AQ116" s="335">
        <f t="shared" si="55"/>
        <v>111.74041105371501</v>
      </c>
      <c r="AR116" s="335">
        <f t="shared" si="55"/>
        <v>47.412583207948408</v>
      </c>
      <c r="AS116" s="335">
        <f t="shared" ref="AS116:AS159" si="61">SUM(AP116:AR116)</f>
        <v>304.93531402670465</v>
      </c>
      <c r="AT116" s="712">
        <f t="shared" si="60"/>
        <v>0.23961913688766873</v>
      </c>
      <c r="AU116" s="723"/>
      <c r="AW116" s="968"/>
    </row>
    <row r="117" spans="2:49" ht="14.4" x14ac:dyDescent="0.55000000000000004">
      <c r="B117" s="3">
        <v>2018</v>
      </c>
      <c r="C117" s="707">
        <f>Compost!E9</f>
        <v>152.53733682166535</v>
      </c>
      <c r="D117" s="338">
        <f t="shared" si="39"/>
        <v>0.15375029227300738</v>
      </c>
      <c r="F117" s="3">
        <v>2018</v>
      </c>
      <c r="G117" s="707">
        <f>'H&amp;C Recycling'!E9</f>
        <v>292.60634965639559</v>
      </c>
      <c r="H117" s="338">
        <f t="shared" si="40"/>
        <v>0.39402474862077519</v>
      </c>
      <c r="J117" s="3">
        <v>2018</v>
      </c>
      <c r="K117" s="335">
        <f t="shared" si="41"/>
        <v>1702.5183115622528</v>
      </c>
      <c r="L117" s="338">
        <f t="shared" si="42"/>
        <v>0.49313627426299173</v>
      </c>
      <c r="M117" s="338">
        <f t="shared" si="43"/>
        <v>0.26431593188106906</v>
      </c>
      <c r="N117" s="338">
        <f t="shared" si="44"/>
        <v>0.24254779385593928</v>
      </c>
      <c r="P117" s="3">
        <v>2018</v>
      </c>
      <c r="Q117" s="707">
        <f>Paper!F10</f>
        <v>176.70263907455015</v>
      </c>
      <c r="R117" s="335">
        <f t="shared" si="38"/>
        <v>412.94206046876309</v>
      </c>
      <c r="S117" s="707">
        <f>Paper!G10</f>
        <v>229.12442200000001</v>
      </c>
      <c r="V117" s="335">
        <f t="shared" si="45"/>
        <v>1457.590820766688</v>
      </c>
      <c r="W117" s="335">
        <f t="shared" si="46"/>
        <v>839.5735370283287</v>
      </c>
      <c r="X117" s="335">
        <f t="shared" si="47"/>
        <v>450.00271406516111</v>
      </c>
      <c r="Y117" s="335">
        <f t="shared" si="48"/>
        <v>168.01456967319822</v>
      </c>
      <c r="Z117" s="338">
        <f t="shared" si="49"/>
        <v>0.57600083992482598</v>
      </c>
      <c r="AA117" s="338">
        <f t="shared" si="49"/>
        <v>0.30873048022384031</v>
      </c>
      <c r="AB117" s="338">
        <f t="shared" si="49"/>
        <v>0.11526867985133379</v>
      </c>
      <c r="AC117" s="338">
        <f t="shared" si="50"/>
        <v>0.32131274749159688</v>
      </c>
      <c r="AE117" s="346">
        <f>MIN('WTE Tonnes and Composition'!G71,V117)</f>
        <v>165.19016908698848</v>
      </c>
      <c r="AF117" s="335">
        <f t="shared" si="56"/>
        <v>0.86357581211240009</v>
      </c>
      <c r="AG117" s="335">
        <f t="shared" si="51"/>
        <v>1.0958319940228982</v>
      </c>
      <c r="AH117" s="335">
        <f t="shared" si="51"/>
        <v>0.24445269329029296</v>
      </c>
      <c r="AI117" s="711">
        <f t="shared" si="57"/>
        <v>2.2038604994255913</v>
      </c>
      <c r="AK117" s="610">
        <f t="shared" si="58"/>
        <v>1292.4006516796994</v>
      </c>
      <c r="AL117" s="338">
        <f t="shared" si="52"/>
        <v>0.60177097367229182</v>
      </c>
      <c r="AM117" s="335">
        <f t="shared" si="53"/>
        <v>744.42386088689932</v>
      </c>
      <c r="AN117" s="335">
        <f t="shared" si="53"/>
        <v>399.00347383467778</v>
      </c>
      <c r="AO117" s="335">
        <f t="shared" si="54"/>
        <v>148.97331695812244</v>
      </c>
      <c r="AP117" s="335">
        <f t="shared" si="59"/>
        <v>147.58489229731106</v>
      </c>
      <c r="AQ117" s="335">
        <f t="shared" si="55"/>
        <v>111.74493124651804</v>
      </c>
      <c r="AR117" s="335">
        <f t="shared" si="55"/>
        <v>51.084819231927874</v>
      </c>
      <c r="AS117" s="335">
        <f t="shared" si="61"/>
        <v>310.41464277575699</v>
      </c>
      <c r="AT117" s="712">
        <f t="shared" si="60"/>
        <v>0.24018452975268867</v>
      </c>
      <c r="AU117" s="723"/>
      <c r="AW117" s="968"/>
    </row>
    <row r="118" spans="2:49" ht="14.4" x14ac:dyDescent="0.55000000000000004">
      <c r="B118" s="3">
        <v>2019</v>
      </c>
      <c r="C118" s="707">
        <f>Compost!E10</f>
        <v>159.84366853160702</v>
      </c>
      <c r="D118" s="338">
        <f t="shared" si="39"/>
        <v>0.16361915029568735</v>
      </c>
      <c r="F118" s="3">
        <v>2019</v>
      </c>
      <c r="G118" s="707">
        <f>'H&amp;C Recycling'!E10</f>
        <v>301.23625591804961</v>
      </c>
      <c r="H118" s="338">
        <f t="shared" si="40"/>
        <v>0.40111278293360375</v>
      </c>
      <c r="J118" s="3">
        <v>2019</v>
      </c>
      <c r="K118" s="335">
        <f t="shared" si="41"/>
        <v>1687.3832084251749</v>
      </c>
      <c r="L118" s="338">
        <f t="shared" si="42"/>
        <v>0.4842299671643423</v>
      </c>
      <c r="M118" s="338">
        <f t="shared" si="43"/>
        <v>0.26654593207861488</v>
      </c>
      <c r="N118" s="338">
        <f t="shared" si="44"/>
        <v>0.2492241007570429</v>
      </c>
      <c r="P118" s="3">
        <v>2019</v>
      </c>
      <c r="Q118" s="707">
        <f>Paper!F11</f>
        <v>190.82356384483535</v>
      </c>
      <c r="R118" s="335">
        <f t="shared" si="38"/>
        <v>420.5365627522981</v>
      </c>
      <c r="S118" s="707">
        <f>Paper!G11</f>
        <v>247.4345544521365</v>
      </c>
      <c r="V118" s="335">
        <f t="shared" si="45"/>
        <v>1424.1835612289451</v>
      </c>
      <c r="W118" s="335">
        <f t="shared" si="46"/>
        <v>817.08151560938495</v>
      </c>
      <c r="X118" s="335">
        <f t="shared" si="47"/>
        <v>449.76513006349188</v>
      </c>
      <c r="Y118" s="335">
        <f t="shared" si="48"/>
        <v>157.33691555606842</v>
      </c>
      <c r="Z118" s="338">
        <f t="shared" si="49"/>
        <v>0.57371924367973715</v>
      </c>
      <c r="AA118" s="338">
        <f t="shared" si="49"/>
        <v>0.315805590169419</v>
      </c>
      <c r="AB118" s="338">
        <f t="shared" si="49"/>
        <v>0.110475166150844</v>
      </c>
      <c r="AC118" s="338">
        <f t="shared" si="50"/>
        <v>0.33711519670190337</v>
      </c>
      <c r="AE118" s="346">
        <f>MIN('WTE Tonnes and Composition'!G72,V118)</f>
        <v>246.60823880527803</v>
      </c>
      <c r="AF118" s="335">
        <f t="shared" si="56"/>
        <v>0.86015510298544406</v>
      </c>
      <c r="AG118" s="335">
        <f t="shared" si="51"/>
        <v>1.1209449398971554</v>
      </c>
      <c r="AH118" s="335">
        <f t="shared" si="51"/>
        <v>0.23428698881688401</v>
      </c>
      <c r="AI118" s="711">
        <f t="shared" si="57"/>
        <v>2.2153870316994833</v>
      </c>
      <c r="AK118" s="610">
        <f t="shared" si="58"/>
        <v>1177.5753224236671</v>
      </c>
      <c r="AL118" s="338">
        <f t="shared" si="52"/>
        <v>0.54810124707514452</v>
      </c>
      <c r="AM118" s="335">
        <f t="shared" si="53"/>
        <v>675.59762335682888</v>
      </c>
      <c r="AN118" s="335">
        <f t="shared" si="53"/>
        <v>371.88486966695007</v>
      </c>
      <c r="AO118" s="335">
        <f t="shared" si="54"/>
        <v>130.09282939988833</v>
      </c>
      <c r="AP118" s="335">
        <f t="shared" si="59"/>
        <v>133.93982611014883</v>
      </c>
      <c r="AQ118" s="335">
        <f t="shared" si="55"/>
        <v>104.15009371515391</v>
      </c>
      <c r="AR118" s="335">
        <f t="shared" si="55"/>
        <v>44.610463195442613</v>
      </c>
      <c r="AS118" s="335">
        <f t="shared" si="61"/>
        <v>282.70038302074533</v>
      </c>
      <c r="AT118" s="712">
        <f t="shared" si="60"/>
        <v>0.24006989416090668</v>
      </c>
      <c r="AU118" s="723"/>
      <c r="AW118" s="968"/>
    </row>
    <row r="119" spans="2:49" ht="14.4" x14ac:dyDescent="0.55000000000000004">
      <c r="B119" s="3">
        <v>2020</v>
      </c>
      <c r="C119" s="707">
        <f>Compost!E11</f>
        <v>166.9303328480238</v>
      </c>
      <c r="D119" s="338">
        <f t="shared" si="39"/>
        <v>0.17367429860564065</v>
      </c>
      <c r="F119" s="3">
        <v>2020</v>
      </c>
      <c r="G119" s="707">
        <f>'H&amp;C Recycling'!E11</f>
        <v>310.0681332686745</v>
      </c>
      <c r="H119" s="338">
        <f t="shared" si="40"/>
        <v>0.40835895413699336</v>
      </c>
      <c r="J119" s="3">
        <v>2020</v>
      </c>
      <c r="K119" s="335">
        <f t="shared" si="41"/>
        <v>1671.9630432108261</v>
      </c>
      <c r="L119" s="338">
        <f t="shared" si="42"/>
        <v>0.475033560450206</v>
      </c>
      <c r="M119" s="338">
        <f t="shared" si="43"/>
        <v>0.26868701236090564</v>
      </c>
      <c r="N119" s="338">
        <f t="shared" si="44"/>
        <v>0.2562794271888883</v>
      </c>
      <c r="P119" s="3">
        <v>2020</v>
      </c>
      <c r="Q119" s="707">
        <f>Paper!F12</f>
        <v>197.83813285717787</v>
      </c>
      <c r="R119" s="335">
        <f t="shared" si="38"/>
        <v>428.489730995061</v>
      </c>
      <c r="S119" s="707">
        <f>Paper!G12</f>
        <v>256.53011227147397</v>
      </c>
      <c r="V119" s="335">
        <f t="shared" si="45"/>
        <v>1399.7188434407024</v>
      </c>
      <c r="W119" s="335">
        <f t="shared" si="46"/>
        <v>794.23855735760037</v>
      </c>
      <c r="X119" s="335">
        <f t="shared" si="47"/>
        <v>449.23475485816459</v>
      </c>
      <c r="Y119" s="335">
        <f t="shared" si="48"/>
        <v>156.24553122493745</v>
      </c>
      <c r="Z119" s="338">
        <f t="shared" si="49"/>
        <v>0.5674272094567594</v>
      </c>
      <c r="AA119" s="338">
        <f t="shared" si="49"/>
        <v>0.32094642217853087</v>
      </c>
      <c r="AB119" s="338">
        <f t="shared" si="49"/>
        <v>0.11162636836470984</v>
      </c>
      <c r="AC119" s="338">
        <f t="shared" si="50"/>
        <v>0.34865336704950234</v>
      </c>
      <c r="AE119" s="346">
        <f>MIN('WTE Tonnes and Composition'!G73,V119)</f>
        <v>273.17799049209589</v>
      </c>
      <c r="AF119" s="335">
        <f t="shared" si="56"/>
        <v>0.85072169909551887</v>
      </c>
      <c r="AG119" s="335">
        <f t="shared" si="51"/>
        <v>1.1391922091249858</v>
      </c>
      <c r="AH119" s="335">
        <f t="shared" si="51"/>
        <v>0.23672836736016395</v>
      </c>
      <c r="AI119" s="711">
        <f t="shared" si="57"/>
        <v>2.2266422755806685</v>
      </c>
      <c r="AK119" s="610">
        <f t="shared" si="58"/>
        <v>1126.5408529486065</v>
      </c>
      <c r="AL119" s="338">
        <f t="shared" si="52"/>
        <v>0.52422570067396668</v>
      </c>
      <c r="AM119" s="335">
        <f t="shared" si="53"/>
        <v>639.22993252766526</v>
      </c>
      <c r="AN119" s="335">
        <f t="shared" si="53"/>
        <v>361.55925619180573</v>
      </c>
      <c r="AO119" s="335">
        <f t="shared" si="54"/>
        <v>125.75166422913556</v>
      </c>
      <c r="AP119" s="335">
        <f t="shared" si="59"/>
        <v>126.72979159066224</v>
      </c>
      <c r="AQ119" s="335">
        <f t="shared" si="55"/>
        <v>101.25830193006233</v>
      </c>
      <c r="AR119" s="335">
        <f t="shared" si="55"/>
        <v>43.121823199152622</v>
      </c>
      <c r="AS119" s="335">
        <f t="shared" si="61"/>
        <v>271.10991671987722</v>
      </c>
      <c r="AT119" s="712">
        <f t="shared" si="60"/>
        <v>0.24065697751686013</v>
      </c>
      <c r="AU119" s="723"/>
      <c r="AW119" s="968"/>
    </row>
    <row r="120" spans="2:49" ht="14.4" x14ac:dyDescent="0.55000000000000004">
      <c r="B120" s="3">
        <v>2021</v>
      </c>
      <c r="C120" s="707">
        <f>Compost!E12</f>
        <v>173.92674888400089</v>
      </c>
      <c r="D120" s="338">
        <f t="shared" si="39"/>
        <v>0.18417999940553115</v>
      </c>
      <c r="F120" s="3">
        <v>2021</v>
      </c>
      <c r="G120" s="707">
        <f>'H&amp;C Recycling'!E12</f>
        <v>318.56706004052148</v>
      </c>
      <c r="H120" s="338">
        <f t="shared" si="40"/>
        <v>0.41529712943522018</v>
      </c>
      <c r="J120" s="3">
        <v>2021</v>
      </c>
      <c r="K120" s="335">
        <f t="shared" si="41"/>
        <v>1655.4534950694051</v>
      </c>
      <c r="L120" s="338">
        <f t="shared" si="42"/>
        <v>0.46537309874937016</v>
      </c>
      <c r="M120" s="338">
        <f t="shared" si="43"/>
        <v>0.27093192282548251</v>
      </c>
      <c r="N120" s="338">
        <f t="shared" si="44"/>
        <v>0.26369497842514739</v>
      </c>
      <c r="P120" s="3">
        <v>2021</v>
      </c>
      <c r="Q120" s="707">
        <f>Paper!F13</f>
        <v>205.00634445125723</v>
      </c>
      <c r="R120" s="335">
        <f t="shared" si="38"/>
        <v>436.53477366616164</v>
      </c>
      <c r="S120" s="707">
        <f>Paper!G13</f>
        <v>265.82489330513022</v>
      </c>
      <c r="V120" s="335">
        <f t="shared" si="45"/>
        <v>1374.1343046008228</v>
      </c>
      <c r="W120" s="335">
        <f t="shared" si="46"/>
        <v>770.40352283592426</v>
      </c>
      <c r="X120" s="335">
        <f t="shared" si="47"/>
        <v>448.51519856731932</v>
      </c>
      <c r="Y120" s="335">
        <f t="shared" si="48"/>
        <v>155.21558319757924</v>
      </c>
      <c r="Z120" s="338">
        <f t="shared" si="49"/>
        <v>0.56064645228380461</v>
      </c>
      <c r="AA120" s="338">
        <f t="shared" si="49"/>
        <v>0.32639837100756325</v>
      </c>
      <c r="AB120" s="338">
        <f t="shared" si="49"/>
        <v>0.1129551767086321</v>
      </c>
      <c r="AC120" s="338">
        <f t="shared" si="50"/>
        <v>0.36025697555720504</v>
      </c>
      <c r="AE120" s="346">
        <f>MIN('WTE Tonnes and Composition'!G74,V120)</f>
        <v>297.36425092534949</v>
      </c>
      <c r="AF120" s="335">
        <f t="shared" si="56"/>
        <v>0.84055557176289963</v>
      </c>
      <c r="AG120" s="335">
        <f t="shared" si="51"/>
        <v>1.1585437806066798</v>
      </c>
      <c r="AH120" s="335">
        <f t="shared" si="51"/>
        <v>0.23954639892743232</v>
      </c>
      <c r="AI120" s="711">
        <f t="shared" si="57"/>
        <v>2.2386457512970117</v>
      </c>
      <c r="AK120" s="610">
        <f t="shared" si="58"/>
        <v>1076.7700536754733</v>
      </c>
      <c r="AL120" s="338">
        <f t="shared" si="52"/>
        <v>0.50130189491767785</v>
      </c>
      <c r="AM120" s="335">
        <f t="shared" si="53"/>
        <v>603.68731051859595</v>
      </c>
      <c r="AN120" s="335">
        <f t="shared" si="53"/>
        <v>351.45599146940094</v>
      </c>
      <c r="AO120" s="335">
        <f t="shared" si="54"/>
        <v>121.62675168747636</v>
      </c>
      <c r="AP120" s="335">
        <f t="shared" si="59"/>
        <v>119.68333013666879</v>
      </c>
      <c r="AQ120" s="335">
        <f t="shared" si="55"/>
        <v>98.428781146896739</v>
      </c>
      <c r="AR120" s="335">
        <f t="shared" si="55"/>
        <v>41.707338942234266</v>
      </c>
      <c r="AS120" s="335">
        <f t="shared" si="61"/>
        <v>259.81945022579981</v>
      </c>
      <c r="AT120" s="712">
        <f t="shared" si="60"/>
        <v>0.2412952044300691</v>
      </c>
      <c r="AU120" s="723"/>
      <c r="AW120" s="968"/>
    </row>
    <row r="121" spans="2:49" ht="14.4" x14ac:dyDescent="0.55000000000000004">
      <c r="B121" s="3">
        <v>2022</v>
      </c>
      <c r="C121" s="707">
        <f>Compost!E13</f>
        <v>181.06223349464767</v>
      </c>
      <c r="D121" s="338">
        <f t="shared" si="39"/>
        <v>0.19528153280384236</v>
      </c>
      <c r="F121" s="3">
        <v>2022</v>
      </c>
      <c r="G121" s="707">
        <f>'H&amp;C Recycling'!E13</f>
        <v>327.16027319774361</v>
      </c>
      <c r="H121" s="338">
        <f t="shared" si="40"/>
        <v>0.42219750641334131</v>
      </c>
      <c r="J121" s="3">
        <v>2022</v>
      </c>
      <c r="K121" s="335">
        <f t="shared" si="41"/>
        <v>1638.8398152292827</v>
      </c>
      <c r="L121" s="338">
        <f t="shared" si="42"/>
        <v>0.45527537361708409</v>
      </c>
      <c r="M121" s="338">
        <f t="shared" si="43"/>
        <v>0.27320447175617696</v>
      </c>
      <c r="N121" s="338">
        <f t="shared" si="44"/>
        <v>0.27152015462673895</v>
      </c>
      <c r="P121" s="3">
        <v>2022</v>
      </c>
      <c r="Q121" s="707">
        <f>Paper!F14</f>
        <v>212.19173278956757</v>
      </c>
      <c r="R121" s="335">
        <f t="shared" si="38"/>
        <v>444.97804003951114</v>
      </c>
      <c r="S121" s="707">
        <f>Paper!G14</f>
        <v>275.14194685047261</v>
      </c>
      <c r="V121" s="335">
        <f t="shared" si="45"/>
        <v>1348.4194932922892</v>
      </c>
      <c r="W121" s="335">
        <f t="shared" si="46"/>
        <v>746.12340917706479</v>
      </c>
      <c r="X121" s="335">
        <f t="shared" si="47"/>
        <v>447.73836601270688</v>
      </c>
      <c r="Y121" s="335">
        <f t="shared" si="48"/>
        <v>154.55771810251753</v>
      </c>
      <c r="Z121" s="338">
        <f t="shared" si="49"/>
        <v>0.55333181764922168</v>
      </c>
      <c r="AA121" s="338">
        <f t="shared" si="49"/>
        <v>0.33204679125448772</v>
      </c>
      <c r="AB121" s="338">
        <f t="shared" si="49"/>
        <v>0.11462139109629063</v>
      </c>
      <c r="AC121" s="338">
        <f t="shared" si="50"/>
        <v>0.37197002642875299</v>
      </c>
      <c r="AE121" s="346">
        <f>MIN('WTE Tonnes and Composition'!G75,V121)</f>
        <v>322.81854120686864</v>
      </c>
      <c r="AF121" s="335">
        <f t="shared" si="56"/>
        <v>0.82958902257229461</v>
      </c>
      <c r="AG121" s="335">
        <f t="shared" si="51"/>
        <v>1.1785927230297888</v>
      </c>
      <c r="AH121" s="335">
        <f t="shared" si="51"/>
        <v>0.24307997452825891</v>
      </c>
      <c r="AI121" s="711">
        <f t="shared" si="57"/>
        <v>2.2512617201303424</v>
      </c>
      <c r="AK121" s="610">
        <f t="shared" si="58"/>
        <v>1025.6009520854204</v>
      </c>
      <c r="AL121" s="338">
        <f t="shared" si="52"/>
        <v>0.47767637744557045</v>
      </c>
      <c r="AM121" s="335">
        <f t="shared" si="53"/>
        <v>567.49763900019798</v>
      </c>
      <c r="AN121" s="335">
        <f t="shared" si="53"/>
        <v>340.54750524751148</v>
      </c>
      <c r="AO121" s="335">
        <f t="shared" si="54"/>
        <v>117.555807837711</v>
      </c>
      <c r="AP121" s="335">
        <f t="shared" si="59"/>
        <v>112.50858862992213</v>
      </c>
      <c r="AQ121" s="335">
        <f t="shared" si="55"/>
        <v>95.37374999352464</v>
      </c>
      <c r="AR121" s="335">
        <f t="shared" si="55"/>
        <v>40.311361226795121</v>
      </c>
      <c r="AS121" s="335">
        <f t="shared" si="61"/>
        <v>248.1936998502419</v>
      </c>
      <c r="AT121" s="712">
        <f t="shared" si="60"/>
        <v>0.24199831264350299</v>
      </c>
      <c r="AU121" s="723"/>
      <c r="AW121" s="968"/>
    </row>
    <row r="122" spans="2:49" ht="14.4" x14ac:dyDescent="0.55000000000000004">
      <c r="B122" s="3">
        <v>2023</v>
      </c>
      <c r="C122" s="707">
        <f>Compost!E14</f>
        <v>188.27708525069994</v>
      </c>
      <c r="D122" s="338">
        <f t="shared" si="39"/>
        <v>0.20702561205663447</v>
      </c>
      <c r="F122" s="3">
        <v>2023</v>
      </c>
      <c r="G122" s="707">
        <f>'H&amp;C Recycling'!E14</f>
        <v>335.73870719203529</v>
      </c>
      <c r="H122" s="338">
        <f t="shared" si="40"/>
        <v>0.42906653432194986</v>
      </c>
      <c r="J122" s="3">
        <v>2023</v>
      </c>
      <c r="K122" s="335">
        <f t="shared" si="41"/>
        <v>1621.5752979478546</v>
      </c>
      <c r="L122" s="338">
        <f t="shared" si="42"/>
        <v>0.44472897899577674</v>
      </c>
      <c r="M122" s="338">
        <f t="shared" si="43"/>
        <v>0.27550225101404285</v>
      </c>
      <c r="N122" s="338">
        <f t="shared" si="44"/>
        <v>0.27976876999018035</v>
      </c>
      <c r="P122" s="3">
        <v>2023</v>
      </c>
      <c r="Q122" s="707">
        <f>Paper!F15</f>
        <v>219.73440559422301</v>
      </c>
      <c r="R122" s="335">
        <f t="shared" si="38"/>
        <v>453.66612655333154</v>
      </c>
      <c r="S122" s="707">
        <f>Paper!G15</f>
        <v>284.92227925384248</v>
      </c>
      <c r="V122" s="335">
        <f t="shared" si="45"/>
        <v>1321.5853647912993</v>
      </c>
      <c r="W122" s="335">
        <f t="shared" si="46"/>
        <v>721.16152662112177</v>
      </c>
      <c r="X122" s="335">
        <f t="shared" si="47"/>
        <v>446.74764477340119</v>
      </c>
      <c r="Y122" s="335">
        <f t="shared" si="48"/>
        <v>153.67619339677611</v>
      </c>
      <c r="Z122" s="338">
        <f t="shared" si="49"/>
        <v>0.54567911073607067</v>
      </c>
      <c r="AA122" s="338">
        <f t="shared" si="49"/>
        <v>0.3380391888979114</v>
      </c>
      <c r="AB122" s="338">
        <f t="shared" si="49"/>
        <v>0.11628170036601773</v>
      </c>
      <c r="AC122" s="338">
        <f t="shared" si="50"/>
        <v>0.38404602316338199</v>
      </c>
      <c r="AE122" s="346">
        <f>MIN('WTE Tonnes and Composition'!G76,V122)</f>
        <v>348.23572707903827</v>
      </c>
      <c r="AF122" s="335">
        <f t="shared" si="56"/>
        <v>0.81811561467197791</v>
      </c>
      <c r="AG122" s="335">
        <f t="shared" si="51"/>
        <v>1.1998626055947044</v>
      </c>
      <c r="AH122" s="335">
        <f t="shared" si="51"/>
        <v>0.24660102702233702</v>
      </c>
      <c r="AI122" s="711">
        <f t="shared" si="57"/>
        <v>2.2645792472890194</v>
      </c>
      <c r="AK122" s="610">
        <f t="shared" si="58"/>
        <v>973.34963771226103</v>
      </c>
      <c r="AL122" s="338">
        <f t="shared" si="52"/>
        <v>0.45365104379468207</v>
      </c>
      <c r="AM122" s="335">
        <f t="shared" si="53"/>
        <v>531.13656474210313</v>
      </c>
      <c r="AN122" s="335">
        <f t="shared" si="53"/>
        <v>329.03032204632865</v>
      </c>
      <c r="AO122" s="335">
        <f t="shared" si="54"/>
        <v>113.18275092382905</v>
      </c>
      <c r="AP122" s="335">
        <f t="shared" si="59"/>
        <v>105.29986587108681</v>
      </c>
      <c r="AQ122" s="335">
        <f t="shared" si="55"/>
        <v>92.148247136115998</v>
      </c>
      <c r="AR122" s="335">
        <f t="shared" si="55"/>
        <v>38.811785151709195</v>
      </c>
      <c r="AS122" s="335">
        <f t="shared" si="61"/>
        <v>236.25989815891199</v>
      </c>
      <c r="AT122" s="712">
        <f t="shared" si="60"/>
        <v>0.24272870611449748</v>
      </c>
      <c r="AU122" s="723"/>
      <c r="AW122" s="968"/>
    </row>
    <row r="123" spans="2:49" ht="14.4" x14ac:dyDescent="0.55000000000000004">
      <c r="B123" s="3">
        <v>2024</v>
      </c>
      <c r="C123" s="707">
        <f>Compost!E15</f>
        <v>195.56542141078231</v>
      </c>
      <c r="D123" s="338">
        <f t="shared" si="39"/>
        <v>0.21934943168858287</v>
      </c>
      <c r="F123" s="3">
        <v>2024</v>
      </c>
      <c r="G123" s="707">
        <f>'H&amp;C Recycling'!E15</f>
        <v>344.29326204271939</v>
      </c>
      <c r="H123" s="338">
        <f t="shared" si="40"/>
        <v>0.43614324228435009</v>
      </c>
      <c r="J123" s="3">
        <v>2024</v>
      </c>
      <c r="K123" s="335">
        <f t="shared" si="41"/>
        <v>1603.7061331587602</v>
      </c>
      <c r="L123" s="338">
        <f t="shared" si="42"/>
        <v>0.43399771676590493</v>
      </c>
      <c r="M123" s="338">
        <f t="shared" si="43"/>
        <v>0.27755136996529323</v>
      </c>
      <c r="N123" s="338">
        <f t="shared" si="44"/>
        <v>0.2884509132688019</v>
      </c>
      <c r="P123" s="3">
        <v>2024</v>
      </c>
      <c r="Q123" s="707">
        <f>Paper!F16</f>
        <v>227.64186188428988</v>
      </c>
      <c r="R123" s="335">
        <f t="shared" si="38"/>
        <v>462.59049872442324</v>
      </c>
      <c r="S123" s="707">
        <f>Paper!G16</f>
        <v>295.17561424329585</v>
      </c>
      <c r="V123" s="335">
        <f t="shared" si="45"/>
        <v>1293.6659512138467</v>
      </c>
      <c r="W123" s="335">
        <f t="shared" si="46"/>
        <v>696.00480015438018</v>
      </c>
      <c r="X123" s="335">
        <f t="shared" si="47"/>
        <v>445.1108342799568</v>
      </c>
      <c r="Y123" s="335">
        <f t="shared" si="48"/>
        <v>152.55031677950996</v>
      </c>
      <c r="Z123" s="338">
        <f t="shared" si="49"/>
        <v>0.53800967668764788</v>
      </c>
      <c r="AA123" s="338">
        <f t="shared" si="49"/>
        <v>0.34406937421697564</v>
      </c>
      <c r="AB123" s="338">
        <f t="shared" si="49"/>
        <v>0.11792094909537659</v>
      </c>
      <c r="AC123" s="338">
        <f t="shared" si="50"/>
        <v>0.39648853107302562</v>
      </c>
      <c r="AE123" s="346">
        <f>MIN('WTE Tonnes and Composition'!G77,V123)</f>
        <v>373.61608173336145</v>
      </c>
      <c r="AF123" s="335">
        <f t="shared" si="56"/>
        <v>0.80661712842380917</v>
      </c>
      <c r="AG123" s="335">
        <f t="shared" si="51"/>
        <v>1.2212666146764339</v>
      </c>
      <c r="AH123" s="335">
        <f t="shared" si="51"/>
        <v>0.25007741598923838</v>
      </c>
      <c r="AI123" s="711">
        <f t="shared" si="57"/>
        <v>2.2779611590894815</v>
      </c>
      <c r="AK123" s="610">
        <f t="shared" si="58"/>
        <v>920.04986948048531</v>
      </c>
      <c r="AL123" s="338">
        <f t="shared" si="52"/>
        <v>0.42921485851524321</v>
      </c>
      <c r="AM123" s="335">
        <f t="shared" si="53"/>
        <v>494.99573281570855</v>
      </c>
      <c r="AN123" s="335">
        <f t="shared" si="53"/>
        <v>316.56098284056071</v>
      </c>
      <c r="AO123" s="335">
        <f t="shared" si="54"/>
        <v>108.49315382421619</v>
      </c>
      <c r="AP123" s="335">
        <f t="shared" si="59"/>
        <v>98.134807001214625</v>
      </c>
      <c r="AQ123" s="335">
        <f t="shared" si="55"/>
        <v>88.656083424239682</v>
      </c>
      <c r="AR123" s="335">
        <f t="shared" si="55"/>
        <v>37.203663475988975</v>
      </c>
      <c r="AS123" s="335">
        <f t="shared" si="61"/>
        <v>223.99455390144328</v>
      </c>
      <c r="AT123" s="712">
        <f t="shared" si="60"/>
        <v>0.24345914426130388</v>
      </c>
      <c r="AU123" s="723"/>
      <c r="AW123" s="968"/>
    </row>
    <row r="124" spans="2:49" ht="14.4" x14ac:dyDescent="0.55000000000000004">
      <c r="B124" s="3">
        <v>2025</v>
      </c>
      <c r="C124" s="707">
        <f>Compost!E16</f>
        <v>202.65080862506096</v>
      </c>
      <c r="D124" s="338">
        <f t="shared" si="39"/>
        <v>0.23250087644858933</v>
      </c>
      <c r="F124" s="3">
        <v>2025</v>
      </c>
      <c r="G124" s="707">
        <f>'H&amp;C Recycling'!E16</f>
        <v>352.66490326431153</v>
      </c>
      <c r="H124" s="338">
        <f t="shared" si="40"/>
        <v>0.44315298488290256</v>
      </c>
      <c r="J124" s="3">
        <v>2025</v>
      </c>
      <c r="K124" s="335">
        <f t="shared" si="41"/>
        <v>1584.6678894381573</v>
      </c>
      <c r="L124" s="338">
        <f t="shared" si="42"/>
        <v>0.42214667901187858</v>
      </c>
      <c r="M124" s="338">
        <f t="shared" si="43"/>
        <v>0.27964444764271212</v>
      </c>
      <c r="N124" s="338">
        <f t="shared" si="44"/>
        <v>0.2982088733454093</v>
      </c>
      <c r="P124" s="3">
        <v>2025</v>
      </c>
      <c r="Q124" s="707">
        <f>Paper!F17</f>
        <v>236.83853075631973</v>
      </c>
      <c r="R124" s="335">
        <f t="shared" si="38"/>
        <v>472.56202593600051</v>
      </c>
      <c r="S124" s="707">
        <f>Paper!G17</f>
        <v>307.10062821402789</v>
      </c>
      <c r="V124" s="335">
        <f t="shared" si="45"/>
        <v>1262.8993089654425</v>
      </c>
      <c r="W124" s="335">
        <f t="shared" si="46"/>
        <v>668.96228686308086</v>
      </c>
      <c r="X124" s="335">
        <f t="shared" si="47"/>
        <v>443.14357663907595</v>
      </c>
      <c r="Y124" s="335">
        <f t="shared" si="48"/>
        <v>150.79344546328576</v>
      </c>
      <c r="Z124" s="338">
        <f t="shared" si="49"/>
        <v>0.52970358136555606</v>
      </c>
      <c r="AA124" s="338">
        <f t="shared" si="49"/>
        <v>0.35089383095956855</v>
      </c>
      <c r="AB124" s="338">
        <f t="shared" si="49"/>
        <v>0.11940258767487537</v>
      </c>
      <c r="AC124" s="338">
        <f t="shared" si="50"/>
        <v>0.40985561376170909</v>
      </c>
      <c r="AE124" s="346">
        <f>MIN('WTE Tonnes and Composition'!G78,V124)</f>
        <v>396.94034470855428</v>
      </c>
      <c r="AF124" s="335">
        <f t="shared" si="56"/>
        <v>0.79416412051813567</v>
      </c>
      <c r="AG124" s="335">
        <f t="shared" si="51"/>
        <v>1.2454898725644676</v>
      </c>
      <c r="AH124" s="335">
        <f t="shared" si="51"/>
        <v>0.25321955782437011</v>
      </c>
      <c r="AI124" s="711">
        <f t="shared" si="57"/>
        <v>2.2928735509069735</v>
      </c>
      <c r="AK124" s="610">
        <f t="shared" si="58"/>
        <v>865.95896425688829</v>
      </c>
      <c r="AL124" s="338">
        <f t="shared" si="52"/>
        <v>0.40465682247270224</v>
      </c>
      <c r="AM124" s="335">
        <f t="shared" si="53"/>
        <v>458.70156468248126</v>
      </c>
      <c r="AN124" s="335">
        <f t="shared" si="53"/>
        <v>303.8596584218796</v>
      </c>
      <c r="AO124" s="335">
        <f t="shared" si="54"/>
        <v>103.39774115252737</v>
      </c>
      <c r="AP124" s="335">
        <f t="shared" si="59"/>
        <v>90.939348638849395</v>
      </c>
      <c r="AQ124" s="335">
        <f t="shared" si="55"/>
        <v>85.098949922957658</v>
      </c>
      <c r="AR124" s="335">
        <f t="shared" si="55"/>
        <v>35.456382549710952</v>
      </c>
      <c r="AS124" s="335">
        <f t="shared" si="61"/>
        <v>211.49468111151799</v>
      </c>
      <c r="AT124" s="712">
        <f t="shared" si="60"/>
        <v>0.24423175905686187</v>
      </c>
      <c r="AU124" s="723"/>
      <c r="AW124" s="968"/>
    </row>
    <row r="125" spans="2:49" ht="14.4" x14ac:dyDescent="0.55000000000000004">
      <c r="B125" s="3">
        <v>2026</v>
      </c>
      <c r="C125" s="707">
        <f>Compost!E17</f>
        <v>211.06749222219909</v>
      </c>
      <c r="D125" s="338">
        <f t="shared" si="39"/>
        <v>0.24593165965974356</v>
      </c>
      <c r="F125" s="3">
        <v>2026</v>
      </c>
      <c r="G125" s="707">
        <f>'H&amp;C Recycling'!E17</f>
        <v>362.54982004813644</v>
      </c>
      <c r="H125" s="338">
        <f t="shared" si="40"/>
        <v>0.45018278730713657</v>
      </c>
      <c r="J125" s="3">
        <v>2026</v>
      </c>
      <c r="K125" s="335">
        <f t="shared" si="41"/>
        <v>1572.7309738966201</v>
      </c>
      <c r="L125" s="338">
        <f t="shared" si="42"/>
        <v>0.41149368697888022</v>
      </c>
      <c r="M125" s="338">
        <f t="shared" si="43"/>
        <v>0.28154168140268981</v>
      </c>
      <c r="N125" s="338">
        <f t="shared" si="44"/>
        <v>0.30696463161842974</v>
      </c>
      <c r="P125" s="3">
        <v>2026</v>
      </c>
      <c r="Q125" s="707">
        <f>Paper!F18</f>
        <v>244.58207588345104</v>
      </c>
      <c r="R125" s="335">
        <f t="shared" si="38"/>
        <v>482.77278403707021</v>
      </c>
      <c r="S125" s="707">
        <f>Paper!G18</f>
        <v>317.14142506220816</v>
      </c>
      <c r="V125" s="335">
        <f t="shared" si="45"/>
        <v>1241.1154532715732</v>
      </c>
      <c r="W125" s="335">
        <f t="shared" si="46"/>
        <v>647.16886707460526</v>
      </c>
      <c r="X125" s="335">
        <f t="shared" si="47"/>
        <v>442.78932278494426</v>
      </c>
      <c r="Y125" s="335">
        <f t="shared" si="48"/>
        <v>151.15726341202338</v>
      </c>
      <c r="Z125" s="338">
        <f t="shared" si="49"/>
        <v>0.5214413094033048</v>
      </c>
      <c r="AA125" s="338">
        <f t="shared" si="49"/>
        <v>0.35676723033119456</v>
      </c>
      <c r="AB125" s="338">
        <f t="shared" si="49"/>
        <v>0.12179146026550045</v>
      </c>
      <c r="AC125" s="338">
        <f t="shared" si="50"/>
        <v>0.42175486556843367</v>
      </c>
      <c r="AE125" s="346">
        <f>MIN('WTE Tonnes and Composition'!G79,V125)</f>
        <v>423.67644056405226</v>
      </c>
      <c r="AF125" s="335">
        <f t="shared" si="56"/>
        <v>0.78177681528325815</v>
      </c>
      <c r="AG125" s="335">
        <f t="shared" si="51"/>
        <v>1.2663373734022056</v>
      </c>
      <c r="AH125" s="335">
        <f t="shared" si="51"/>
        <v>0.25828568974727251</v>
      </c>
      <c r="AI125" s="711">
        <f t="shared" si="57"/>
        <v>2.3063998784327362</v>
      </c>
      <c r="AK125" s="610">
        <f t="shared" si="58"/>
        <v>817.43901270752099</v>
      </c>
      <c r="AL125" s="338">
        <f t="shared" si="52"/>
        <v>0.38085105664157615</v>
      </c>
      <c r="AM125" s="335">
        <f t="shared" si="53"/>
        <v>426.24646914355446</v>
      </c>
      <c r="AN125" s="335">
        <f t="shared" si="53"/>
        <v>291.63545252832841</v>
      </c>
      <c r="AO125" s="335">
        <f t="shared" si="54"/>
        <v>99.557091035637953</v>
      </c>
      <c r="AP125" s="335">
        <f t="shared" si="59"/>
        <v>84.505001177303996</v>
      </c>
      <c r="AQ125" s="335">
        <f t="shared" si="55"/>
        <v>81.675438257783185</v>
      </c>
      <c r="AR125" s="335">
        <f t="shared" si="55"/>
        <v>34.13937544427386</v>
      </c>
      <c r="AS125" s="335">
        <f t="shared" si="61"/>
        <v>200.31981487936105</v>
      </c>
      <c r="AT125" s="712">
        <f t="shared" si="60"/>
        <v>0.24505781075442176</v>
      </c>
      <c r="AU125" s="723"/>
      <c r="AW125" s="968"/>
    </row>
    <row r="126" spans="2:49" ht="14.4" x14ac:dyDescent="0.55000000000000004">
      <c r="B126" s="3">
        <v>2027</v>
      </c>
      <c r="C126" s="707">
        <f>Compost!E18</f>
        <v>219.65228833518719</v>
      </c>
      <c r="D126" s="338">
        <f t="shared" si="39"/>
        <v>0.25999125692906194</v>
      </c>
      <c r="F126" s="3">
        <v>2027</v>
      </c>
      <c r="G126" s="707">
        <f>'H&amp;C Recycling'!E18</f>
        <v>372.84922348795908</v>
      </c>
      <c r="H126" s="338">
        <f t="shared" si="40"/>
        <v>0.45724457910080413</v>
      </c>
      <c r="J126" s="3">
        <v>2027</v>
      </c>
      <c r="K126" s="335">
        <f t="shared" si="41"/>
        <v>1562.5693051202197</v>
      </c>
      <c r="L126" s="338">
        <f t="shared" si="42"/>
        <v>0.40010552682568512</v>
      </c>
      <c r="M126" s="338">
        <f t="shared" si="43"/>
        <v>0.28323672135383476</v>
      </c>
      <c r="N126" s="338">
        <f t="shared" si="44"/>
        <v>0.31665775182048017</v>
      </c>
      <c r="P126" s="3">
        <v>2027</v>
      </c>
      <c r="Q126" s="707">
        <f>Paper!F19</f>
        <v>253.63080836108202</v>
      </c>
      <c r="R126" s="335">
        <f t="shared" si="38"/>
        <v>494.79968322305865</v>
      </c>
      <c r="S126" s="707">
        <f>Paper!G19</f>
        <v>328.87461484153636</v>
      </c>
      <c r="V126" s="335">
        <f t="shared" si="45"/>
        <v>1219.4129888624586</v>
      </c>
      <c r="W126" s="335">
        <f t="shared" si="46"/>
        <v>625.19261502677023</v>
      </c>
      <c r="X126" s="335">
        <f t="shared" si="47"/>
        <v>442.57700687039085</v>
      </c>
      <c r="Y126" s="335">
        <f t="shared" si="48"/>
        <v>151.64336696529756</v>
      </c>
      <c r="Z126" s="338">
        <f t="shared" si="49"/>
        <v>0.5126996519940199</v>
      </c>
      <c r="AA126" s="338">
        <f t="shared" si="49"/>
        <v>0.36294267070523262</v>
      </c>
      <c r="AB126" s="338">
        <f t="shared" si="49"/>
        <v>0.12435767730074744</v>
      </c>
      <c r="AC126" s="338">
        <f t="shared" si="50"/>
        <v>0.43416569920796988</v>
      </c>
      <c r="AE126" s="346">
        <f>MIN('WTE Tonnes and Composition'!G80,V126)</f>
        <v>448.33821664518143</v>
      </c>
      <c r="AF126" s="335">
        <f t="shared" si="56"/>
        <v>0.76867078596320226</v>
      </c>
      <c r="AG126" s="335">
        <f t="shared" si="51"/>
        <v>1.2882569620808004</v>
      </c>
      <c r="AH126" s="335">
        <f t="shared" si="51"/>
        <v>0.26372791973240495</v>
      </c>
      <c r="AI126" s="711">
        <f t="shared" si="57"/>
        <v>2.3206556677764079</v>
      </c>
      <c r="AK126" s="610">
        <f t="shared" si="58"/>
        <v>771.0747722172772</v>
      </c>
      <c r="AL126" s="338">
        <f t="shared" si="52"/>
        <v>0.35779556112727995</v>
      </c>
      <c r="AM126" s="335">
        <f t="shared" si="53"/>
        <v>395.32976737716621</v>
      </c>
      <c r="AN126" s="335">
        <f t="shared" si="53"/>
        <v>279.8559371419675</v>
      </c>
      <c r="AO126" s="335">
        <f t="shared" si="54"/>
        <v>95.889067698143492</v>
      </c>
      <c r="AP126" s="335">
        <f t="shared" si="59"/>
        <v>78.375646195393045</v>
      </c>
      <c r="AQ126" s="335">
        <f t="shared" si="55"/>
        <v>78.376466636519567</v>
      </c>
      <c r="AR126" s="335">
        <f t="shared" si="55"/>
        <v>32.88156422706728</v>
      </c>
      <c r="AS126" s="335">
        <f t="shared" si="61"/>
        <v>189.63367705897988</v>
      </c>
      <c r="AT126" s="712">
        <f t="shared" si="60"/>
        <v>0.24593422569600551</v>
      </c>
      <c r="AU126" s="723"/>
    </row>
    <row r="127" spans="2:49" ht="14.4" x14ac:dyDescent="0.55000000000000004">
      <c r="B127" s="3">
        <v>2028</v>
      </c>
      <c r="C127" s="707">
        <f>Compost!E19</f>
        <v>228.34468948059947</v>
      </c>
      <c r="D127" s="338">
        <f t="shared" si="39"/>
        <v>0.27473047843870435</v>
      </c>
      <c r="F127" s="3">
        <v>2028</v>
      </c>
      <c r="G127" s="707">
        <f>'H&amp;C Recycling'!E19</f>
        <v>383.14165086648291</v>
      </c>
      <c r="H127" s="338">
        <f t="shared" si="40"/>
        <v>0.46434637054820371</v>
      </c>
      <c r="J127" s="3">
        <v>2028</v>
      </c>
      <c r="K127" s="335">
        <f t="shared" si="41"/>
        <v>1551.8502124069789</v>
      </c>
      <c r="L127" s="338">
        <f t="shared" si="42"/>
        <v>0.38844872526901875</v>
      </c>
      <c r="M127" s="338">
        <f t="shared" si="43"/>
        <v>0.28480759254870386</v>
      </c>
      <c r="N127" s="338">
        <f t="shared" si="44"/>
        <v>0.32674368218227734</v>
      </c>
      <c r="P127" s="3">
        <v>2028</v>
      </c>
      <c r="Q127" s="707">
        <f>Paper!F20</f>
        <v>266.11408809523505</v>
      </c>
      <c r="R127" s="335">
        <f t="shared" si="38"/>
        <v>507.05725259720555</v>
      </c>
      <c r="S127" s="707">
        <f>Paper!G20</f>
        <v>345.06126756348812</v>
      </c>
      <c r="V127" s="335">
        <f t="shared" si="45"/>
        <v>1192.6957555417466</v>
      </c>
      <c r="W127" s="335">
        <f t="shared" si="46"/>
        <v>602.81423681794695</v>
      </c>
      <c r="X127" s="335">
        <f t="shared" si="47"/>
        <v>441.97872299182643</v>
      </c>
      <c r="Y127" s="335">
        <f t="shared" si="48"/>
        <v>147.90279573197324</v>
      </c>
      <c r="Z127" s="338">
        <f t="shared" si="49"/>
        <v>0.50542163331849577</v>
      </c>
      <c r="AA127" s="338">
        <f t="shared" si="49"/>
        <v>0.37057122148562582</v>
      </c>
      <c r="AB127" s="338">
        <f t="shared" si="49"/>
        <v>0.12400714519587838</v>
      </c>
      <c r="AC127" s="338">
        <f t="shared" si="50"/>
        <v>0.44867766690144861</v>
      </c>
      <c r="AE127" s="346">
        <f>MIN('WTE Tonnes and Composition'!G81,V127)</f>
        <v>472.43314509528648</v>
      </c>
      <c r="AF127" s="335">
        <f t="shared" si="56"/>
        <v>0.75775913366577641</v>
      </c>
      <c r="AG127" s="335">
        <f t="shared" si="51"/>
        <v>1.3153343339266974</v>
      </c>
      <c r="AH127" s="335">
        <f t="shared" si="51"/>
        <v>0.26298453898725827</v>
      </c>
      <c r="AI127" s="711">
        <f t="shared" si="57"/>
        <v>2.336078006579732</v>
      </c>
      <c r="AK127" s="610">
        <f t="shared" si="58"/>
        <v>720.26261044646014</v>
      </c>
      <c r="AL127" s="338">
        <f t="shared" si="52"/>
        <v>0.33294061875371228</v>
      </c>
      <c r="AM127" s="335">
        <f t="shared" si="53"/>
        <v>364.03630499009336</v>
      </c>
      <c r="AN127" s="335">
        <f t="shared" si="53"/>
        <v>266.9085953435702</v>
      </c>
      <c r="AO127" s="335">
        <f t="shared" si="54"/>
        <v>89.317710112796576</v>
      </c>
      <c r="AP127" s="335">
        <f t="shared" si="59"/>
        <v>72.171596972006071</v>
      </c>
      <c r="AQ127" s="335">
        <f t="shared" si="55"/>
        <v>74.750433496551111</v>
      </c>
      <c r="AR127" s="335">
        <f t="shared" si="55"/>
        <v>30.628163274397536</v>
      </c>
      <c r="AS127" s="335">
        <f t="shared" si="61"/>
        <v>177.55019374295472</v>
      </c>
      <c r="AT127" s="712">
        <f t="shared" si="60"/>
        <v>0.24650758094037245</v>
      </c>
      <c r="AU127" s="723"/>
    </row>
    <row r="128" spans="2:49" ht="14.4" x14ac:dyDescent="0.55000000000000004">
      <c r="B128" s="3">
        <v>2029</v>
      </c>
      <c r="C128" s="707">
        <f>Compost!E20</f>
        <v>237.14295530314223</v>
      </c>
      <c r="D128" s="338">
        <f t="shared" si="39"/>
        <v>0.29018480828621041</v>
      </c>
      <c r="F128" s="3">
        <v>2029</v>
      </c>
      <c r="G128" s="707">
        <f>'H&amp;C Recycling'!E20</f>
        <v>393.42427370673022</v>
      </c>
      <c r="H128" s="338">
        <f t="shared" si="40"/>
        <v>0.47149498211967039</v>
      </c>
      <c r="J128" s="3">
        <v>2029</v>
      </c>
      <c r="K128" s="335">
        <f t="shared" si="41"/>
        <v>1540.6057465883505</v>
      </c>
      <c r="L128" s="338">
        <f t="shared" si="42"/>
        <v>0.37652111124293447</v>
      </c>
      <c r="M128" s="338">
        <f t="shared" si="43"/>
        <v>0.28624748407562689</v>
      </c>
      <c r="N128" s="338">
        <f t="shared" si="44"/>
        <v>0.33723140468143858</v>
      </c>
      <c r="P128" s="3">
        <v>2029</v>
      </c>
      <c r="Q128" s="707">
        <f>Paper!F21</f>
        <v>272.92703942026151</v>
      </c>
      <c r="R128" s="335">
        <f t="shared" si="38"/>
        <v>519.54063998228582</v>
      </c>
      <c r="S128" s="707">
        <f>Paper!G21</f>
        <v>353.89539444827244</v>
      </c>
      <c r="V128" s="335">
        <f t="shared" si="45"/>
        <v>1172.8015954370146</v>
      </c>
      <c r="W128" s="335">
        <f t="shared" si="46"/>
        <v>580.07058769269645</v>
      </c>
      <c r="X128" s="335">
        <f t="shared" si="47"/>
        <v>440.9945189133681</v>
      </c>
      <c r="Y128" s="335">
        <f t="shared" si="48"/>
        <v>151.7364888309499</v>
      </c>
      <c r="Z128" s="338">
        <f t="shared" si="49"/>
        <v>0.49460248856205546</v>
      </c>
      <c r="AA128" s="338">
        <f t="shared" si="49"/>
        <v>0.37601800733315233</v>
      </c>
      <c r="AB128" s="338">
        <f t="shared" si="49"/>
        <v>0.12937950410479204</v>
      </c>
      <c r="AC128" s="338">
        <f t="shared" si="50"/>
        <v>0.45983041949300574</v>
      </c>
      <c r="AE128" s="346">
        <f>MIN('WTE Tonnes and Composition'!G82,V128)</f>
        <v>496.30217363209351</v>
      </c>
      <c r="AF128" s="335">
        <f t="shared" si="56"/>
        <v>0.74153840780602953</v>
      </c>
      <c r="AG128" s="335">
        <f t="shared" si="51"/>
        <v>1.3346675795200158</v>
      </c>
      <c r="AH128" s="335">
        <f t="shared" si="51"/>
        <v>0.27437781256599481</v>
      </c>
      <c r="AI128" s="711">
        <f t="shared" si="57"/>
        <v>2.35058379989204</v>
      </c>
      <c r="AK128" s="610">
        <f t="shared" si="58"/>
        <v>676.4994218049211</v>
      </c>
      <c r="AL128" s="338">
        <f t="shared" si="52"/>
        <v>0.31158246229484565</v>
      </c>
      <c r="AM128" s="335">
        <f t="shared" si="53"/>
        <v>334.59829753550565</v>
      </c>
      <c r="AN128" s="335">
        <f t="shared" si="53"/>
        <v>254.37596454911613</v>
      </c>
      <c r="AO128" s="335">
        <f t="shared" si="54"/>
        <v>87.525159720299229</v>
      </c>
      <c r="AP128" s="335">
        <f t="shared" si="59"/>
        <v>66.335398822128596</v>
      </c>
      <c r="AQ128" s="335">
        <f t="shared" si="55"/>
        <v>71.240544339434337</v>
      </c>
      <c r="AR128" s="335">
        <f t="shared" si="55"/>
        <v>30.013475257545565</v>
      </c>
      <c r="AS128" s="335">
        <f t="shared" si="61"/>
        <v>167.58941841910848</v>
      </c>
      <c r="AT128" s="712">
        <f t="shared" si="60"/>
        <v>0.247730320259513</v>
      </c>
      <c r="AU128" s="723"/>
    </row>
    <row r="129" spans="2:47" ht="14.4" x14ac:dyDescent="0.55000000000000004">
      <c r="B129" s="3">
        <v>2030</v>
      </c>
      <c r="C129" s="707">
        <f>Compost!E21</f>
        <v>246.32878267889808</v>
      </c>
      <c r="D129" s="338">
        <f t="shared" si="39"/>
        <v>0.30619599851609941</v>
      </c>
      <c r="F129" s="3">
        <v>2030</v>
      </c>
      <c r="G129" s="707">
        <f>'H&amp;C Recycling'!E21</f>
        <v>404.15961257089981</v>
      </c>
      <c r="H129" s="338">
        <f t="shared" si="40"/>
        <v>0.47869216061801328</v>
      </c>
      <c r="J129" s="3">
        <v>2030</v>
      </c>
      <c r="K129" s="335">
        <f t="shared" si="41"/>
        <v>1531.1509128743671</v>
      </c>
      <c r="L129" s="338">
        <f t="shared" si="42"/>
        <v>0.36453098779499865</v>
      </c>
      <c r="M129" s="338">
        <f t="shared" si="43"/>
        <v>0.2874569779811566</v>
      </c>
      <c r="N129" s="338">
        <f t="shared" si="44"/>
        <v>0.34801203422384464</v>
      </c>
      <c r="P129" s="3">
        <v>2030</v>
      </c>
      <c r="Q129" s="707">
        <f>Paper!F22</f>
        <v>283.19180913933087</v>
      </c>
      <c r="R129" s="335">
        <f t="shared" si="38"/>
        <v>532.85894389310522</v>
      </c>
      <c r="S129" s="707">
        <f>Paper!G22</f>
        <v>367.20537918399901</v>
      </c>
      <c r="V129" s="335">
        <f t="shared" si="45"/>
        <v>1150.2173599145858</v>
      </c>
      <c r="W129" s="335">
        <f t="shared" si="46"/>
        <v>558.15195473330698</v>
      </c>
      <c r="X129" s="335">
        <f t="shared" si="47"/>
        <v>440.14001424795475</v>
      </c>
      <c r="Y129" s="335">
        <f t="shared" si="48"/>
        <v>151.92539093332397</v>
      </c>
      <c r="Z129" s="338">
        <f t="shared" si="49"/>
        <v>0.48525780794575635</v>
      </c>
      <c r="AA129" s="338">
        <f t="shared" si="49"/>
        <v>0.38265812148813261</v>
      </c>
      <c r="AB129" s="338">
        <f t="shared" si="49"/>
        <v>0.13208407056611093</v>
      </c>
      <c r="AC129" s="338">
        <f t="shared" si="50"/>
        <v>0.47277381937916441</v>
      </c>
      <c r="AE129" s="346">
        <f>MIN('WTE Tonnes and Composition'!G83,V129)</f>
        <v>519.22918248800215</v>
      </c>
      <c r="AF129" s="335">
        <f t="shared" si="56"/>
        <v>0.72752828908258338</v>
      </c>
      <c r="AG129" s="335">
        <f t="shared" si="51"/>
        <v>1.3582365174807771</v>
      </c>
      <c r="AH129" s="335">
        <f t="shared" si="51"/>
        <v>0.28011344306427671</v>
      </c>
      <c r="AI129" s="711">
        <f t="shared" si="57"/>
        <v>2.3658782496276372</v>
      </c>
      <c r="AK129" s="610">
        <f t="shared" si="58"/>
        <v>630.98817742658366</v>
      </c>
      <c r="AL129" s="338">
        <f t="shared" si="52"/>
        <v>0.28922662654493747</v>
      </c>
      <c r="AM129" s="335">
        <f t="shared" si="53"/>
        <v>306.19193981771195</v>
      </c>
      <c r="AN129" s="335">
        <f t="shared" si="53"/>
        <v>241.45275065527701</v>
      </c>
      <c r="AO129" s="335">
        <f t="shared" si="54"/>
        <v>83.343486953594606</v>
      </c>
      <c r="AP129" s="335">
        <f t="shared" si="59"/>
        <v>60.703729198663346</v>
      </c>
      <c r="AQ129" s="335">
        <f t="shared" si="55"/>
        <v>67.621268461526952</v>
      </c>
      <c r="AR129" s="335">
        <f t="shared" si="55"/>
        <v>28.57952720741098</v>
      </c>
      <c r="AS129" s="335">
        <f t="shared" si="61"/>
        <v>156.90452486760128</v>
      </c>
      <c r="AT129" s="712">
        <f t="shared" si="60"/>
        <v>0.2486647618462825</v>
      </c>
      <c r="AU129" s="723"/>
    </row>
    <row r="130" spans="2:47" ht="14.4" x14ac:dyDescent="0.55000000000000004">
      <c r="B130" s="3">
        <v>2031</v>
      </c>
      <c r="C130" s="707">
        <f>Compost!E22</f>
        <v>255.05002871114968</v>
      </c>
      <c r="D130" s="338">
        <f t="shared" si="39"/>
        <v>0.32299059829331961</v>
      </c>
      <c r="F130" s="3">
        <v>2031</v>
      </c>
      <c r="G130" s="707">
        <f>'H&amp;C Recycling'!E22</f>
        <v>413.94710550810652</v>
      </c>
      <c r="H130" s="338">
        <f t="shared" si="40"/>
        <v>0.48595688356852801</v>
      </c>
      <c r="J130" s="3">
        <v>2031</v>
      </c>
      <c r="K130" s="335">
        <f t="shared" si="41"/>
        <v>1517.6386465774731</v>
      </c>
      <c r="L130" s="338">
        <f t="shared" si="42"/>
        <v>0.35225877325911475</v>
      </c>
      <c r="M130" s="338">
        <f t="shared" si="43"/>
        <v>0.28852156714916882</v>
      </c>
      <c r="N130" s="338">
        <f t="shared" si="44"/>
        <v>0.35921965959171648</v>
      </c>
      <c r="P130" s="3">
        <v>2031</v>
      </c>
      <c r="Q130" s="707">
        <f>Paper!F23</f>
        <v>293.45142025446677</v>
      </c>
      <c r="R130" s="335">
        <f t="shared" si="38"/>
        <v>545.16563800679319</v>
      </c>
      <c r="S130" s="707">
        <f>Paper!G23</f>
        <v>380.50867492995854</v>
      </c>
      <c r="V130" s="335">
        <f t="shared" si="45"/>
        <v>1123.5792099058885</v>
      </c>
      <c r="W130" s="335">
        <f t="shared" si="46"/>
        <v>534.60152789400388</v>
      </c>
      <c r="X130" s="335">
        <f t="shared" si="47"/>
        <v>437.87148067667607</v>
      </c>
      <c r="Y130" s="335">
        <f t="shared" si="48"/>
        <v>151.10620133520854</v>
      </c>
      <c r="Z130" s="338">
        <f t="shared" si="49"/>
        <v>0.47580226047328011</v>
      </c>
      <c r="AA130" s="338">
        <f t="shared" si="49"/>
        <v>0.38971126985640148</v>
      </c>
      <c r="AB130" s="338">
        <f t="shared" si="49"/>
        <v>0.13448646967031835</v>
      </c>
      <c r="AC130" s="338">
        <f t="shared" si="50"/>
        <v>0.48616078645868599</v>
      </c>
      <c r="AE130" s="346">
        <f>MIN('WTE Tonnes and Composition'!G84,V130)</f>
        <v>542.06651819247668</v>
      </c>
      <c r="AF130" s="335">
        <f t="shared" si="56"/>
        <v>0.71335195196374046</v>
      </c>
      <c r="AG130" s="335">
        <f t="shared" si="51"/>
        <v>1.3832715112233307</v>
      </c>
      <c r="AH130" s="335">
        <f t="shared" si="51"/>
        <v>0.28520826094662877</v>
      </c>
      <c r="AI130" s="711">
        <f t="shared" si="57"/>
        <v>2.3818317241336997</v>
      </c>
      <c r="AK130" s="610">
        <f t="shared" si="58"/>
        <v>581.51269171341187</v>
      </c>
      <c r="AL130" s="338">
        <f t="shared" si="52"/>
        <v>0.26593943848368296</v>
      </c>
      <c r="AM130" s="335">
        <f t="shared" si="53"/>
        <v>276.68505321114304</v>
      </c>
      <c r="AN130" s="335">
        <f t="shared" si="53"/>
        <v>226.62204952524786</v>
      </c>
      <c r="AO130" s="335">
        <f t="shared" si="54"/>
        <v>78.205588977020952</v>
      </c>
      <c r="AP130" s="335">
        <f t="shared" si="59"/>
        <v>54.853875492105352</v>
      </c>
      <c r="AQ130" s="335">
        <f t="shared" si="55"/>
        <v>63.467781620458929</v>
      </c>
      <c r="AR130" s="335">
        <f t="shared" si="55"/>
        <v>26.817677537116431</v>
      </c>
      <c r="AS130" s="335">
        <f t="shared" si="61"/>
        <v>145.13933464968071</v>
      </c>
      <c r="AT130" s="712">
        <f t="shared" si="60"/>
        <v>0.2495892810559843</v>
      </c>
      <c r="AU130" s="723"/>
    </row>
    <row r="131" spans="2:47" ht="14.4" x14ac:dyDescent="0.55000000000000004">
      <c r="B131" s="3">
        <v>2032</v>
      </c>
      <c r="C131" s="707">
        <f>Compost!E23</f>
        <v>264.06467111355244</v>
      </c>
      <c r="D131" s="338">
        <f t="shared" si="39"/>
        <v>0.3403826739245423</v>
      </c>
      <c r="F131" s="3">
        <v>2032</v>
      </c>
      <c r="G131" s="707">
        <f>'H&amp;C Recycling'!E23</f>
        <v>424.03559082086588</v>
      </c>
      <c r="H131" s="338">
        <f t="shared" si="40"/>
        <v>0.49328428552726983</v>
      </c>
      <c r="J131" s="3">
        <v>2032</v>
      </c>
      <c r="K131" s="335">
        <f t="shared" si="41"/>
        <v>1505.4106195217969</v>
      </c>
      <c r="L131" s="338">
        <f t="shared" si="42"/>
        <v>0.33992251794986045</v>
      </c>
      <c r="M131" s="338">
        <f t="shared" si="43"/>
        <v>0.28934396418542246</v>
      </c>
      <c r="N131" s="338">
        <f t="shared" si="44"/>
        <v>0.37073351786471692</v>
      </c>
      <c r="P131" s="3">
        <v>2032</v>
      </c>
      <c r="Q131" s="707">
        <f>Paper!F24</f>
        <v>304.10586673884802</v>
      </c>
      <c r="R131" s="335">
        <f t="shared" si="38"/>
        <v>558.10617480621863</v>
      </c>
      <c r="S131" s="707">
        <f>Paper!G24</f>
        <v>394.32394053803961</v>
      </c>
      <c r="V131" s="335">
        <f t="shared" si="45"/>
        <v>1097.7102943816114</v>
      </c>
      <c r="W131" s="335">
        <f t="shared" si="46"/>
        <v>511.72296833630855</v>
      </c>
      <c r="X131" s="335">
        <f t="shared" si="47"/>
        <v>435.58147637926947</v>
      </c>
      <c r="Y131" s="335">
        <f t="shared" si="48"/>
        <v>150.40584966603308</v>
      </c>
      <c r="Z131" s="338">
        <f t="shared" si="49"/>
        <v>0.46617306128534092</v>
      </c>
      <c r="AA131" s="338">
        <f t="shared" si="49"/>
        <v>0.39680913863038125</v>
      </c>
      <c r="AB131" s="338">
        <f t="shared" si="49"/>
        <v>0.13701780008427752</v>
      </c>
      <c r="AC131" s="338">
        <f t="shared" si="50"/>
        <v>0.4995646916267541</v>
      </c>
      <c r="AE131" s="346">
        <f>MIN('WTE Tonnes and Composition'!G85,V131)</f>
        <v>563.9457072319284</v>
      </c>
      <c r="AF131" s="335">
        <f t="shared" si="56"/>
        <v>0.69891526553494643</v>
      </c>
      <c r="AG131" s="335">
        <f t="shared" si="51"/>
        <v>1.4084652390543624</v>
      </c>
      <c r="AH131" s="335">
        <f t="shared" si="51"/>
        <v>0.29057650614643526</v>
      </c>
      <c r="AI131" s="711">
        <f t="shared" si="57"/>
        <v>2.3979570107357442</v>
      </c>
      <c r="AK131" s="610">
        <f t="shared" si="58"/>
        <v>533.76458714968305</v>
      </c>
      <c r="AL131" s="338">
        <f t="shared" si="52"/>
        <v>0.24333801653873291</v>
      </c>
      <c r="AM131" s="335">
        <f t="shared" si="53"/>
        <v>248.8266715972739</v>
      </c>
      <c r="AN131" s="335">
        <f t="shared" si="53"/>
        <v>211.80266605826679</v>
      </c>
      <c r="AO131" s="335">
        <f t="shared" si="54"/>
        <v>73.135249494142201</v>
      </c>
      <c r="AP131" s="335">
        <f t="shared" si="59"/>
        <v>49.330844237892329</v>
      </c>
      <c r="AQ131" s="335">
        <f t="shared" si="55"/>
        <v>59.317464404625049</v>
      </c>
      <c r="AR131" s="335">
        <f t="shared" si="55"/>
        <v>25.078994521820615</v>
      </c>
      <c r="AS131" s="335">
        <f t="shared" si="61"/>
        <v>133.727303164338</v>
      </c>
      <c r="AT131" s="712">
        <f t="shared" si="60"/>
        <v>0.25053610970792445</v>
      </c>
      <c r="AU131" s="723"/>
    </row>
    <row r="132" spans="2:47" ht="14.4" x14ac:dyDescent="0.55000000000000004">
      <c r="B132" s="3">
        <v>2033</v>
      </c>
      <c r="C132" s="707">
        <f>Compost!E24</f>
        <v>273.17888730075089</v>
      </c>
      <c r="D132" s="338">
        <f t="shared" si="39"/>
        <v>0.35854157645779594</v>
      </c>
      <c r="F132" s="3">
        <v>2033</v>
      </c>
      <c r="G132" s="707">
        <f>'H&amp;C Recycling'!E24</f>
        <v>434.1041790329362</v>
      </c>
      <c r="H132" s="338">
        <f t="shared" si="40"/>
        <v>0.50068792976518528</v>
      </c>
      <c r="J132" s="3">
        <v>2033</v>
      </c>
      <c r="K132" s="335">
        <f t="shared" si="41"/>
        <v>1492.9009270714175</v>
      </c>
      <c r="L132" s="338">
        <f t="shared" si="42"/>
        <v>0.32737471468687684</v>
      </c>
      <c r="M132" s="338">
        <f t="shared" si="43"/>
        <v>0.28997991741454865</v>
      </c>
      <c r="N132" s="338">
        <f t="shared" si="44"/>
        <v>0.38264536789857451</v>
      </c>
      <c r="P132" s="3">
        <v>2033</v>
      </c>
      <c r="Q132" s="707">
        <f>Paper!F25</f>
        <v>315.16236767932605</v>
      </c>
      <c r="R132" s="335">
        <f t="shared" si="38"/>
        <v>571.25162447536547</v>
      </c>
      <c r="S132" s="707">
        <f>Paper!G25</f>
        <v>408.66053675752613</v>
      </c>
      <c r="V132" s="335">
        <f t="shared" si="45"/>
        <v>1071.0349007731086</v>
      </c>
      <c r="W132" s="335">
        <f t="shared" si="46"/>
        <v>488.73801505577927</v>
      </c>
      <c r="X132" s="335">
        <f t="shared" si="47"/>
        <v>432.91128754027278</v>
      </c>
      <c r="Y132" s="335">
        <f t="shared" si="48"/>
        <v>149.38559817705658</v>
      </c>
      <c r="Z132" s="338">
        <f t="shared" si="49"/>
        <v>0.45632314568179982</v>
      </c>
      <c r="AA132" s="338">
        <f t="shared" si="49"/>
        <v>0.40419904825490094</v>
      </c>
      <c r="AB132" s="338">
        <f t="shared" si="49"/>
        <v>0.13947780606329924</v>
      </c>
      <c r="AC132" s="338">
        <f t="shared" si="50"/>
        <v>0.5132066663590592</v>
      </c>
      <c r="AE132" s="346">
        <f>MIN('WTE Tonnes and Composition'!G86,V132)</f>
        <v>585.01833555366329</v>
      </c>
      <c r="AF132" s="335">
        <f t="shared" si="56"/>
        <v>0.68414766750908818</v>
      </c>
      <c r="AG132" s="335">
        <f t="shared" si="51"/>
        <v>1.4346955594089157</v>
      </c>
      <c r="AH132" s="335">
        <f t="shared" si="51"/>
        <v>0.29579349212959799</v>
      </c>
      <c r="AI132" s="711">
        <f t="shared" si="57"/>
        <v>2.4146367190476021</v>
      </c>
      <c r="AK132" s="610">
        <f t="shared" si="58"/>
        <v>486.01656521944528</v>
      </c>
      <c r="AL132" s="338">
        <f t="shared" si="52"/>
        <v>0.22089814609880148</v>
      </c>
      <c r="AM132" s="335">
        <f t="shared" si="53"/>
        <v>221.7806078944009</v>
      </c>
      <c r="AN132" s="335">
        <f t="shared" si="53"/>
        <v>196.44743309781578</v>
      </c>
      <c r="AO132" s="335">
        <f t="shared" si="54"/>
        <v>67.788524227228621</v>
      </c>
      <c r="AP132" s="335">
        <f t="shared" si="59"/>
        <v>43.96885813242389</v>
      </c>
      <c r="AQ132" s="335">
        <f t="shared" si="55"/>
        <v>55.017077154987177</v>
      </c>
      <c r="AR132" s="335">
        <f t="shared" si="55"/>
        <v>23.245535353962776</v>
      </c>
      <c r="AS132" s="335">
        <f t="shared" si="61"/>
        <v>122.23147064137385</v>
      </c>
      <c r="AT132" s="712">
        <f t="shared" si="60"/>
        <v>0.25149651141249502</v>
      </c>
      <c r="AU132" s="723"/>
    </row>
    <row r="133" spans="2:47" ht="14.4" x14ac:dyDescent="0.55000000000000004">
      <c r="B133" s="3">
        <v>2034</v>
      </c>
      <c r="C133" s="707">
        <f>Compost!E25</f>
        <v>282.39592529023861</v>
      </c>
      <c r="D133" s="338">
        <f t="shared" si="39"/>
        <v>0.37750374640744411</v>
      </c>
      <c r="F133" s="3">
        <v>2034</v>
      </c>
      <c r="G133" s="707">
        <f>'H&amp;C Recycling'!E25</f>
        <v>444.15660503008326</v>
      </c>
      <c r="H133" s="338">
        <f t="shared" si="40"/>
        <v>0.50817977883004173</v>
      </c>
      <c r="J133" s="3">
        <v>2034</v>
      </c>
      <c r="K133" s="335">
        <f t="shared" si="41"/>
        <v>1480.1226498858671</v>
      </c>
      <c r="L133" s="338">
        <f t="shared" si="42"/>
        <v>0.31461266203732291</v>
      </c>
      <c r="M133" s="338">
        <f t="shared" si="43"/>
        <v>0.29042060191591967</v>
      </c>
      <c r="N133" s="338">
        <f t="shared" si="44"/>
        <v>0.39496673604675736</v>
      </c>
      <c r="P133" s="3">
        <v>2034</v>
      </c>
      <c r="Q133" s="707">
        <f>Paper!F26</f>
        <v>327.72909083682998</v>
      </c>
      <c r="R133" s="335">
        <f t="shared" si="38"/>
        <v>584.59921197429833</v>
      </c>
      <c r="S133" s="707">
        <f>Paper!G26</f>
        <v>424.95538778508956</v>
      </c>
      <c r="V133" s="335">
        <f t="shared" si="45"/>
        <v>1042.1291546158395</v>
      </c>
      <c r="W133" s="335">
        <f t="shared" si="46"/>
        <v>465.66532702232911</v>
      </c>
      <c r="X133" s="335">
        <f t="shared" si="47"/>
        <v>429.85811088923958</v>
      </c>
      <c r="Y133" s="335">
        <f t="shared" si="48"/>
        <v>146.60571670427095</v>
      </c>
      <c r="Z133" s="338">
        <f t="shared" si="49"/>
        <v>0.44684032200786811</v>
      </c>
      <c r="AA133" s="338">
        <f t="shared" si="49"/>
        <v>0.4124806498170549</v>
      </c>
      <c r="AB133" s="338">
        <f t="shared" si="49"/>
        <v>0.14067902817507708</v>
      </c>
      <c r="AC133" s="338">
        <f t="shared" si="50"/>
        <v>0.52773785468577017</v>
      </c>
      <c r="AE133" s="346">
        <f>MIN('WTE Tonnes and Composition'!G87,V133)</f>
        <v>605.09858449771889</v>
      </c>
      <c r="AF133" s="335">
        <f t="shared" si="56"/>
        <v>0.66993043623490622</v>
      </c>
      <c r="AG133" s="335">
        <f t="shared" si="51"/>
        <v>1.4640909205244701</v>
      </c>
      <c r="AH133" s="335">
        <f t="shared" si="51"/>
        <v>0.2983409489135454</v>
      </c>
      <c r="AI133" s="711">
        <f t="shared" si="57"/>
        <v>2.432362305672922</v>
      </c>
      <c r="AK133" s="610">
        <f t="shared" si="58"/>
        <v>437.03057011812064</v>
      </c>
      <c r="AL133" s="338">
        <f t="shared" si="52"/>
        <v>0.19804934321021594</v>
      </c>
      <c r="AM133" s="335">
        <f t="shared" si="53"/>
        <v>195.28288067886319</v>
      </c>
      <c r="AN133" s="335">
        <f t="shared" si="53"/>
        <v>180.26665355224037</v>
      </c>
      <c r="AO133" s="335">
        <f t="shared" si="54"/>
        <v>61.481035887017093</v>
      </c>
      <c r="AP133" s="335">
        <f t="shared" si="59"/>
        <v>38.715581843604326</v>
      </c>
      <c r="AQ133" s="335">
        <f t="shared" si="55"/>
        <v>50.485487290723086</v>
      </c>
      <c r="AR133" s="335">
        <f t="shared" si="55"/>
        <v>21.08261847564841</v>
      </c>
      <c r="AS133" s="335">
        <f t="shared" si="61"/>
        <v>110.28368760997583</v>
      </c>
      <c r="AT133" s="712">
        <f t="shared" si="60"/>
        <v>0.25234776500913508</v>
      </c>
      <c r="AU133" s="723"/>
    </row>
    <row r="134" spans="2:47" ht="14.4" x14ac:dyDescent="0.55000000000000004">
      <c r="B134" s="3">
        <v>2035</v>
      </c>
      <c r="C134" s="707">
        <f>Compost!E26</f>
        <v>291.73120151655121</v>
      </c>
      <c r="D134" s="338">
        <f t="shared" si="39"/>
        <v>0.3972907237615419</v>
      </c>
      <c r="F134" s="3">
        <v>2035</v>
      </c>
      <c r="G134" s="707">
        <f>'H&amp;C Recycling'!E26</f>
        <v>454.21489862481195</v>
      </c>
      <c r="H134" s="338">
        <f t="shared" si="40"/>
        <v>0.5157696212621985</v>
      </c>
      <c r="J134" s="3">
        <v>2035</v>
      </c>
      <c r="K134" s="335">
        <f t="shared" si="41"/>
        <v>1467.182343679641</v>
      </c>
      <c r="L134" s="338">
        <f t="shared" si="42"/>
        <v>0.30164646450270505</v>
      </c>
      <c r="M134" s="338">
        <f t="shared" si="43"/>
        <v>0.290652161194909</v>
      </c>
      <c r="N134" s="338">
        <f t="shared" si="44"/>
        <v>0.4077013743023859</v>
      </c>
      <c r="P134" s="3">
        <v>2035</v>
      </c>
      <c r="Q134" s="707">
        <f>Paper!F27</f>
        <v>338.51115311507277</v>
      </c>
      <c r="R134" s="335">
        <f t="shared" si="38"/>
        <v>598.17225787038512</v>
      </c>
      <c r="S134" s="707">
        <f>Paper!G27</f>
        <v>438.93612853921104</v>
      </c>
      <c r="V134" s="335">
        <f t="shared" si="45"/>
        <v>1015.3722634550047</v>
      </c>
      <c r="W134" s="335">
        <f t="shared" si="46"/>
        <v>442.57036675175641</v>
      </c>
      <c r="X134" s="335">
        <f t="shared" si="47"/>
        <v>426.43971905749942</v>
      </c>
      <c r="Y134" s="335">
        <f t="shared" si="48"/>
        <v>146.36217764574883</v>
      </c>
      <c r="Z134" s="338">
        <f t="shared" si="49"/>
        <v>0.43587005739729712</v>
      </c>
      <c r="AA134" s="338">
        <f t="shared" si="49"/>
        <v>0.41998362020098329</v>
      </c>
      <c r="AB134" s="338">
        <f t="shared" si="49"/>
        <v>0.14414632240171954</v>
      </c>
      <c r="AC134" s="338">
        <f t="shared" si="50"/>
        <v>0.54120500041924946</v>
      </c>
      <c r="AE134" s="346">
        <f>MIN('WTE Tonnes and Composition'!G88,V134)</f>
        <v>624.4372886075306</v>
      </c>
      <c r="AF134" s="335">
        <f t="shared" si="56"/>
        <v>0.65348314221464376</v>
      </c>
      <c r="AG134" s="335">
        <f t="shared" si="51"/>
        <v>1.4907225475376298</v>
      </c>
      <c r="AH134" s="335">
        <f t="shared" si="51"/>
        <v>0.30569411209044484</v>
      </c>
      <c r="AI134" s="711">
        <f t="shared" si="57"/>
        <v>2.4498998018427183</v>
      </c>
      <c r="AK134" s="610">
        <f t="shared" si="58"/>
        <v>390.93497484747411</v>
      </c>
      <c r="AL134" s="338">
        <f t="shared" si="52"/>
        <v>0.17664359966948787</v>
      </c>
      <c r="AM134" s="335">
        <f t="shared" si="53"/>
        <v>170.39684992537946</v>
      </c>
      <c r="AN134" s="335">
        <f t="shared" si="53"/>
        <v>164.18628599962253</v>
      </c>
      <c r="AO134" s="335">
        <f t="shared" si="54"/>
        <v>56.351838922472119</v>
      </c>
      <c r="AP134" s="335">
        <f t="shared" si="59"/>
        <v>33.781830574421839</v>
      </c>
      <c r="AQ134" s="335">
        <f t="shared" si="55"/>
        <v>45.982018813828212</v>
      </c>
      <c r="AR134" s="335">
        <f t="shared" si="55"/>
        <v>19.323752491531334</v>
      </c>
      <c r="AS134" s="335">
        <f t="shared" si="61"/>
        <v>99.087601879781388</v>
      </c>
      <c r="AT134" s="712">
        <f t="shared" si="60"/>
        <v>0.25346312879383859</v>
      </c>
      <c r="AU134" s="723"/>
    </row>
    <row r="135" spans="2:47" ht="14.4" x14ac:dyDescent="0.55000000000000004">
      <c r="B135" s="3">
        <v>2036</v>
      </c>
      <c r="C135" s="707">
        <f>Compost!E27</f>
        <v>301.14397191355829</v>
      </c>
      <c r="D135" s="338">
        <f t="shared" si="39"/>
        <v>0.41798502941056087</v>
      </c>
      <c r="F135" s="3">
        <v>2036</v>
      </c>
      <c r="G135" s="707">
        <f>'H&amp;C Recycling'!E27</f>
        <v>464.21443744336341</v>
      </c>
      <c r="H135" s="338">
        <f t="shared" si="40"/>
        <v>0.52346677513990747</v>
      </c>
      <c r="J135" s="3">
        <v>2036</v>
      </c>
      <c r="K135" s="335">
        <f t="shared" si="41"/>
        <v>1453.7978914523082</v>
      </c>
      <c r="L135" s="338">
        <f t="shared" si="42"/>
        <v>0.28843208405743731</v>
      </c>
      <c r="M135" s="338">
        <f t="shared" si="43"/>
        <v>0.29068235676062115</v>
      </c>
      <c r="N135" s="338">
        <f t="shared" si="44"/>
        <v>0.42088555918194148</v>
      </c>
      <c r="P135" s="3">
        <v>2036</v>
      </c>
      <c r="Q135" s="707">
        <f>Paper!F28</f>
        <v>350.81863337780754</v>
      </c>
      <c r="R135" s="335">
        <f t="shared" si="38"/>
        <v>611.88253848143222</v>
      </c>
      <c r="S135" s="707">
        <f>Paper!G28</f>
        <v>454.89482794655709</v>
      </c>
      <c r="V135" s="335">
        <f t="shared" si="45"/>
        <v>986.19054289429278</v>
      </c>
      <c r="W135" s="335">
        <f t="shared" si="46"/>
        <v>419.32195562989727</v>
      </c>
      <c r="X135" s="335">
        <f t="shared" si="47"/>
        <v>422.59339734097864</v>
      </c>
      <c r="Y135" s="335">
        <f t="shared" si="48"/>
        <v>144.2751899234168</v>
      </c>
      <c r="Z135" s="338">
        <f t="shared" si="49"/>
        <v>0.42519364908860552</v>
      </c>
      <c r="AA135" s="338">
        <f t="shared" si="49"/>
        <v>0.42851090023713129</v>
      </c>
      <c r="AB135" s="338">
        <f t="shared" si="49"/>
        <v>0.14629545067426314</v>
      </c>
      <c r="AC135" s="338">
        <f t="shared" si="50"/>
        <v>0.55560113429834934</v>
      </c>
      <c r="AE135" s="346">
        <f>MIN('WTE Tonnes and Composition'!G89,V135)</f>
        <v>642.59597575340285</v>
      </c>
      <c r="AF135" s="335">
        <f t="shared" si="56"/>
        <v>0.63747641559802071</v>
      </c>
      <c r="AG135" s="335">
        <f t="shared" si="51"/>
        <v>1.520989938949157</v>
      </c>
      <c r="AH135" s="335">
        <f t="shared" si="51"/>
        <v>0.31025181323812151</v>
      </c>
      <c r="AI135" s="711">
        <f t="shared" si="57"/>
        <v>2.468718167785299</v>
      </c>
      <c r="AK135" s="610">
        <f t="shared" si="58"/>
        <v>343.59456714088992</v>
      </c>
      <c r="AL135" s="338">
        <f t="shared" si="52"/>
        <v>0.15483117030359508</v>
      </c>
      <c r="AM135" s="335">
        <f t="shared" si="53"/>
        <v>146.09422780965485</v>
      </c>
      <c r="AN135" s="335">
        <f t="shared" si="53"/>
        <v>147.2340172821302</v>
      </c>
      <c r="AO135" s="335">
        <f t="shared" si="54"/>
        <v>50.266322049104858</v>
      </c>
      <c r="AP135" s="335">
        <f t="shared" si="59"/>
        <v>28.963742310541761</v>
      </c>
      <c r="AQ135" s="335">
        <f t="shared" si="55"/>
        <v>41.234365656568805</v>
      </c>
      <c r="AR135" s="335">
        <f t="shared" si="55"/>
        <v>17.23695241379524</v>
      </c>
      <c r="AS135" s="335">
        <f t="shared" si="61"/>
        <v>87.435060380905796</v>
      </c>
      <c r="AT135" s="712">
        <f t="shared" si="60"/>
        <v>0.25447160328659479</v>
      </c>
      <c r="AU135" s="723"/>
    </row>
    <row r="136" spans="2:47" ht="14.4" x14ac:dyDescent="0.55000000000000004">
      <c r="B136" s="3">
        <v>2037</v>
      </c>
      <c r="C136" s="707">
        <f>Compost!E28</f>
        <v>310.67699002273372</v>
      </c>
      <c r="D136" s="338">
        <f t="shared" si="39"/>
        <v>0.4395665465502509</v>
      </c>
      <c r="F136" s="3">
        <v>2037</v>
      </c>
      <c r="G136" s="707">
        <f>'H&amp;C Recycling'!E28</f>
        <v>474.21887583656201</v>
      </c>
      <c r="H136" s="338">
        <f t="shared" si="40"/>
        <v>0.53127425178680965</v>
      </c>
      <c r="J136" s="3">
        <v>2037</v>
      </c>
      <c r="K136" s="335">
        <f t="shared" si="41"/>
        <v>1440.3063383739945</v>
      </c>
      <c r="L136" s="338">
        <f t="shared" si="42"/>
        <v>0.2750132608199149</v>
      </c>
      <c r="M136" s="338">
        <f t="shared" si="43"/>
        <v>0.29048519807413126</v>
      </c>
      <c r="N136" s="338">
        <f t="shared" si="44"/>
        <v>0.43450154110595368</v>
      </c>
      <c r="P136" s="3">
        <v>2037</v>
      </c>
      <c r="Q136" s="707">
        <f>Paper!F29</f>
        <v>363.55856912579111</v>
      </c>
      <c r="R136" s="335">
        <f t="shared" si="38"/>
        <v>625.81532368817386</v>
      </c>
      <c r="S136" s="707">
        <f>Paper!G29</f>
        <v>471.41427796644246</v>
      </c>
      <c r="V136" s="335">
        <f t="shared" si="45"/>
        <v>956.338552348794</v>
      </c>
      <c r="W136" s="335">
        <f t="shared" si="46"/>
        <v>396.10334269582398</v>
      </c>
      <c r="X136" s="335">
        <f t="shared" si="47"/>
        <v>418.38767198999653</v>
      </c>
      <c r="Y136" s="335">
        <f t="shared" si="48"/>
        <v>141.84753766297331</v>
      </c>
      <c r="Z136" s="338">
        <f t="shared" si="49"/>
        <v>0.41418736254329935</v>
      </c>
      <c r="AA136" s="338">
        <f t="shared" si="49"/>
        <v>0.4374890784883918</v>
      </c>
      <c r="AB136" s="338">
        <f t="shared" si="49"/>
        <v>0.14832355896830868</v>
      </c>
      <c r="AC136" s="338">
        <f t="shared" si="50"/>
        <v>0.57022397761002241</v>
      </c>
      <c r="AE136" s="346">
        <f>MIN('WTE Tonnes and Composition'!G90,V136)</f>
        <v>659.61418432924825</v>
      </c>
      <c r="AF136" s="335">
        <f t="shared" si="56"/>
        <v>0.62097511528230409</v>
      </c>
      <c r="AG136" s="335">
        <f t="shared" si="51"/>
        <v>1.5528577835773858</v>
      </c>
      <c r="AH136" s="335">
        <f t="shared" si="51"/>
        <v>0.31455286479352434</v>
      </c>
      <c r="AI136" s="711">
        <f t="shared" si="57"/>
        <v>2.4883857636532141</v>
      </c>
      <c r="AK136" s="610">
        <f t="shared" si="58"/>
        <v>296.72436801954575</v>
      </c>
      <c r="AL136" s="338">
        <f t="shared" si="52"/>
        <v>0.13334714816255736</v>
      </c>
      <c r="AM136" s="335">
        <f t="shared" si="53"/>
        <v>122.89948339234297</v>
      </c>
      <c r="AN136" s="335">
        <f t="shared" si="53"/>
        <v>129.81367032992151</v>
      </c>
      <c r="AO136" s="335">
        <f t="shared" si="54"/>
        <v>44.011214297281221</v>
      </c>
      <c r="AP136" s="335">
        <f t="shared" si="59"/>
        <v>24.36529505951696</v>
      </c>
      <c r="AQ136" s="335">
        <f t="shared" si="55"/>
        <v>36.355622487351148</v>
      </c>
      <c r="AR136" s="335">
        <f t="shared" si="55"/>
        <v>15.091997496345382</v>
      </c>
      <c r="AS136" s="335">
        <f t="shared" si="61"/>
        <v>75.812915043213494</v>
      </c>
      <c r="AT136" s="712">
        <f t="shared" si="60"/>
        <v>0.25549945745682595</v>
      </c>
      <c r="AU136" s="723"/>
    </row>
    <row r="137" spans="2:47" ht="14.4" x14ac:dyDescent="0.55000000000000004">
      <c r="B137" s="3">
        <v>2038</v>
      </c>
      <c r="C137" s="707">
        <f>Compost!E29</f>
        <v>320.31727823188743</v>
      </c>
      <c r="D137" s="338">
        <f t="shared" si="39"/>
        <v>0.4620712279375796</v>
      </c>
      <c r="F137" s="3">
        <v>2038</v>
      </c>
      <c r="G137" s="707">
        <f>'H&amp;C Recycling'!E29</f>
        <v>484.20479862937236</v>
      </c>
      <c r="H137" s="338">
        <f t="shared" si="40"/>
        <v>0.53919418261165086</v>
      </c>
      <c r="J137" s="3">
        <v>2038</v>
      </c>
      <c r="K137" s="335">
        <f t="shared" si="41"/>
        <v>1426.658664821477</v>
      </c>
      <c r="L137" s="338">
        <f t="shared" si="42"/>
        <v>0.26138227532050773</v>
      </c>
      <c r="M137" s="338">
        <f t="shared" si="43"/>
        <v>0.29005594146214969</v>
      </c>
      <c r="N137" s="338">
        <f t="shared" si="44"/>
        <v>0.44856178321734258</v>
      </c>
      <c r="P137" s="3">
        <v>2038</v>
      </c>
      <c r="Q137" s="707">
        <f>Paper!F30</f>
        <v>375.73599999999993</v>
      </c>
      <c r="R137" s="335">
        <f t="shared" si="38"/>
        <v>639.94455473479479</v>
      </c>
      <c r="S137" s="707">
        <f>Paper!G30</f>
        <v>487.20434666666659</v>
      </c>
      <c r="V137" s="335">
        <f t="shared" si="45"/>
        <v>927.05738501483575</v>
      </c>
      <c r="W137" s="335">
        <f t="shared" si="46"/>
        <v>372.90328791675523</v>
      </c>
      <c r="X137" s="335">
        <f t="shared" si="47"/>
        <v>413.81082216992695</v>
      </c>
      <c r="Y137" s="335">
        <f t="shared" si="48"/>
        <v>140.34327492815356</v>
      </c>
      <c r="Z137" s="338">
        <f t="shared" si="49"/>
        <v>0.40224401848736435</v>
      </c>
      <c r="AA137" s="338">
        <f t="shared" si="49"/>
        <v>0.44637023431219924</v>
      </c>
      <c r="AB137" s="338">
        <f t="shared" si="49"/>
        <v>0.1513857472004364</v>
      </c>
      <c r="AC137" s="338">
        <f t="shared" si="50"/>
        <v>0.58449919914795556</v>
      </c>
      <c r="AE137" s="346">
        <f>MIN('WTE Tonnes and Composition'!G91,V137)</f>
        <v>675.53514756313143</v>
      </c>
      <c r="AF137" s="335">
        <f t="shared" si="56"/>
        <v>0.60306892083337249</v>
      </c>
      <c r="AG137" s="335">
        <f t="shared" si="51"/>
        <v>1.5843812492506641</v>
      </c>
      <c r="AH137" s="335">
        <f t="shared" si="51"/>
        <v>0.32104691123936641</v>
      </c>
      <c r="AI137" s="711">
        <f t="shared" si="57"/>
        <v>2.5084970813234033</v>
      </c>
      <c r="AK137" s="610">
        <f t="shared" si="58"/>
        <v>251.52223745170431</v>
      </c>
      <c r="AL137" s="338">
        <f t="shared" si="52"/>
        <v>0.11273055237201826</v>
      </c>
      <c r="AM137" s="335">
        <f t="shared" si="53"/>
        <v>101.1733155315066</v>
      </c>
      <c r="AN137" s="335">
        <f t="shared" si="53"/>
        <v>112.27204006604588</v>
      </c>
      <c r="AO137" s="335">
        <f t="shared" si="54"/>
        <v>38.07688185415185</v>
      </c>
      <c r="AP137" s="335">
        <f t="shared" si="59"/>
        <v>20.057998756635563</v>
      </c>
      <c r="AQ137" s="335">
        <f t="shared" si="55"/>
        <v>31.44291270828591</v>
      </c>
      <c r="AR137" s="335">
        <f t="shared" si="55"/>
        <v>13.05704045632292</v>
      </c>
      <c r="AS137" s="335">
        <f t="shared" si="61"/>
        <v>64.557951921244396</v>
      </c>
      <c r="AT137" s="712">
        <f t="shared" si="60"/>
        <v>0.25666896325077576</v>
      </c>
      <c r="AU137" s="723"/>
    </row>
    <row r="138" spans="2:47" ht="14.4" x14ac:dyDescent="0.55000000000000004">
      <c r="B138" s="3">
        <v>2039</v>
      </c>
      <c r="C138" s="707">
        <f>Compost!E30</f>
        <v>330.06355266360714</v>
      </c>
      <c r="D138" s="338">
        <f t="shared" si="39"/>
        <v>0.48551246223205874</v>
      </c>
      <c r="F138" s="3">
        <v>2039</v>
      </c>
      <c r="G138" s="707">
        <f>'H&amp;C Recycling'!E30</f>
        <v>494.16634904710713</v>
      </c>
      <c r="H138" s="338">
        <f t="shared" si="40"/>
        <v>0.54722611639559338</v>
      </c>
      <c r="J138" s="3">
        <v>2039</v>
      </c>
      <c r="K138" s="335">
        <f t="shared" si="41"/>
        <v>1412.9042068515637</v>
      </c>
      <c r="L138" s="338">
        <f t="shared" si="42"/>
        <v>0.2475479471725712</v>
      </c>
      <c r="M138" s="338">
        <f t="shared" si="43"/>
        <v>0.28938432455185914</v>
      </c>
      <c r="N138" s="338">
        <f t="shared" si="44"/>
        <v>0.46306772827556958</v>
      </c>
      <c r="P138" s="3">
        <v>2039</v>
      </c>
      <c r="Q138" s="707">
        <f>Paper!F31</f>
        <v>385.31699999999995</v>
      </c>
      <c r="R138" s="335">
        <f t="shared" si="38"/>
        <v>654.27034133774907</v>
      </c>
      <c r="S138" s="707">
        <f>Paper!G31</f>
        <v>499.62770999999992</v>
      </c>
      <c r="V138" s="335">
        <f t="shared" si="45"/>
        <v>901.03386780813878</v>
      </c>
      <c r="W138" s="335">
        <f t="shared" si="46"/>
        <v>349.7615359575945</v>
      </c>
      <c r="X138" s="335">
        <f t="shared" si="47"/>
        <v>408.87232955622005</v>
      </c>
      <c r="Y138" s="335">
        <f t="shared" si="48"/>
        <v>142.40000229432422</v>
      </c>
      <c r="Z138" s="338">
        <f t="shared" si="49"/>
        <v>0.38817801245188133</v>
      </c>
      <c r="AA138" s="338">
        <f t="shared" si="49"/>
        <v>0.45378131074123296</v>
      </c>
      <c r="AB138" s="338">
        <f t="shared" si="49"/>
        <v>0.15804067680688569</v>
      </c>
      <c r="AC138" s="338">
        <f t="shared" si="50"/>
        <v>0.59723743679041252</v>
      </c>
      <c r="AE138" s="346">
        <f>MIN('WTE Tonnes and Composition'!G92,V138)</f>
        <v>690.64706571979582</v>
      </c>
      <c r="AF138" s="335">
        <f t="shared" si="56"/>
        <v>0.58198030126320743</v>
      </c>
      <c r="AG138" s="335">
        <f t="shared" si="51"/>
        <v>1.6106867007085051</v>
      </c>
      <c r="AH138" s="335">
        <f t="shared" si="51"/>
        <v>0.33516015924439257</v>
      </c>
      <c r="AI138" s="711">
        <f t="shared" si="57"/>
        <v>2.5278271612161052</v>
      </c>
      <c r="AK138" s="610">
        <f t="shared" si="58"/>
        <v>210.38680208834296</v>
      </c>
      <c r="AL138" s="338">
        <f t="shared" si="52"/>
        <v>9.4042999605218419E-2</v>
      </c>
      <c r="AM138" s="335">
        <f t="shared" si="53"/>
        <v>81.667530680760279</v>
      </c>
      <c r="AN138" s="335">
        <f t="shared" si="53"/>
        <v>95.469598814304632</v>
      </c>
      <c r="AO138" s="335">
        <f t="shared" si="54"/>
        <v>33.249672593278035</v>
      </c>
      <c r="AP138" s="335">
        <f t="shared" si="59"/>
        <v>16.190901921584906</v>
      </c>
      <c r="AQ138" s="335">
        <f t="shared" si="55"/>
        <v>26.737220237980651</v>
      </c>
      <c r="AR138" s="335">
        <f t="shared" si="55"/>
        <v>11.401729844183247</v>
      </c>
      <c r="AS138" s="335">
        <f t="shared" si="61"/>
        <v>54.329852003748812</v>
      </c>
      <c r="AT138" s="712">
        <f t="shared" si="60"/>
        <v>0.25823792873155277</v>
      </c>
      <c r="AU138" s="723"/>
    </row>
    <row r="139" spans="2:47" ht="14.4" x14ac:dyDescent="0.55000000000000004">
      <c r="B139" s="3">
        <v>2040</v>
      </c>
      <c r="C139" s="707">
        <f>Compost!E31</f>
        <v>339.52464589579961</v>
      </c>
      <c r="D139" s="338">
        <f t="shared" si="39"/>
        <v>0.51059206937849955</v>
      </c>
      <c r="F139" s="3">
        <v>2040</v>
      </c>
      <c r="G139" s="707">
        <f>'H&amp;C Recycling'!E31</f>
        <v>503.52606273794868</v>
      </c>
      <c r="H139" s="338">
        <f t="shared" si="40"/>
        <v>0.55539036386737994</v>
      </c>
      <c r="J139" s="3">
        <v>2040</v>
      </c>
      <c r="K139" s="335">
        <f t="shared" si="41"/>
        <v>1396.5617866333826</v>
      </c>
      <c r="L139" s="338">
        <f t="shared" si="42"/>
        <v>0.23302798942674532</v>
      </c>
      <c r="M139" s="338">
        <f t="shared" si="43"/>
        <v>0.28863057257039676</v>
      </c>
      <c r="N139" s="338">
        <f t="shared" si="44"/>
        <v>0.47834143800285783</v>
      </c>
      <c r="P139" s="3">
        <v>2040</v>
      </c>
      <c r="Q139" s="707">
        <f>Paper!F32</f>
        <v>395.29999999999995</v>
      </c>
      <c r="R139" s="335">
        <f t="shared" si="38"/>
        <v>668.03337327805252</v>
      </c>
      <c r="S139" s="707">
        <f>Paper!G32</f>
        <v>512.57233333333329</v>
      </c>
      <c r="V139" s="335">
        <f t="shared" si="45"/>
        <v>871.89906388907445</v>
      </c>
      <c r="W139" s="335">
        <f t="shared" si="46"/>
        <v>325.43798524940041</v>
      </c>
      <c r="X139" s="335">
        <f t="shared" si="47"/>
        <v>403.0904281059295</v>
      </c>
      <c r="Y139" s="335">
        <f t="shared" si="48"/>
        <v>143.37065053374442</v>
      </c>
      <c r="Z139" s="338">
        <f t="shared" si="49"/>
        <v>0.3732519034918973</v>
      </c>
      <c r="AA139" s="338">
        <f t="shared" si="49"/>
        <v>0.46231317912873898</v>
      </c>
      <c r="AB139" s="338">
        <f t="shared" si="49"/>
        <v>0.16443491737936361</v>
      </c>
      <c r="AC139" s="338">
        <f t="shared" si="50"/>
        <v>0.61069199884729242</v>
      </c>
      <c r="AE139" s="346">
        <f>MIN('WTE Tonnes and Composition'!G93,V139)</f>
        <v>705.25119147049998</v>
      </c>
      <c r="AF139" s="335">
        <f t="shared" si="56"/>
        <v>0.559602162598551</v>
      </c>
      <c r="AG139" s="335">
        <f t="shared" si="51"/>
        <v>1.6409703783714393</v>
      </c>
      <c r="AH139" s="335">
        <f t="shared" si="51"/>
        <v>0.34872055857840306</v>
      </c>
      <c r="AI139" s="711">
        <f t="shared" si="57"/>
        <v>2.5492930995483936</v>
      </c>
      <c r="AK139" s="610">
        <f t="shared" si="58"/>
        <v>166.64787241857448</v>
      </c>
      <c r="AL139" s="338">
        <f t="shared" si="52"/>
        <v>7.4409243907481187E-2</v>
      </c>
      <c r="AM139" s="335">
        <f t="shared" si="53"/>
        <v>62.201635593107774</v>
      </c>
      <c r="AN139" s="335">
        <f t="shared" si="53"/>
        <v>77.043507692871657</v>
      </c>
      <c r="AO139" s="335">
        <f t="shared" si="54"/>
        <v>27.402729132595024</v>
      </c>
      <c r="AP139" s="335">
        <f t="shared" si="59"/>
        <v>12.331713385420523</v>
      </c>
      <c r="AQ139" s="335">
        <f t="shared" si="55"/>
        <v>21.576808310440054</v>
      </c>
      <c r="AR139" s="335">
        <f t="shared" si="55"/>
        <v>9.3967395825227751</v>
      </c>
      <c r="AS139" s="335">
        <f t="shared" si="61"/>
        <v>43.305261278383355</v>
      </c>
      <c r="AT139" s="712">
        <f t="shared" si="60"/>
        <v>0.25986087100837524</v>
      </c>
      <c r="AU139" s="723"/>
    </row>
    <row r="140" spans="2:47" ht="14.4" x14ac:dyDescent="0.55000000000000004">
      <c r="B140" s="3">
        <v>2041</v>
      </c>
      <c r="C140" s="707">
        <f>Compost!E32</f>
        <v>349.85910192109833</v>
      </c>
      <c r="D140" s="338">
        <f t="shared" si="39"/>
        <v>0.53526696581334232</v>
      </c>
      <c r="F140" s="3">
        <v>2041</v>
      </c>
      <c r="G140" s="707">
        <f>'H&amp;C Recycling'!E32</f>
        <v>513.98060290587523</v>
      </c>
      <c r="H140" s="338">
        <f t="shared" si="40"/>
        <v>0.56363374574405956</v>
      </c>
      <c r="J140" s="3">
        <v>2041</v>
      </c>
      <c r="K140" s="335">
        <f t="shared" si="41"/>
        <v>1385.1691461986993</v>
      </c>
      <c r="L140" s="338">
        <f t="shared" si="42"/>
        <v>0.21929234423884744</v>
      </c>
      <c r="M140" s="338">
        <f t="shared" si="43"/>
        <v>0.28727517021056836</v>
      </c>
      <c r="N140" s="338">
        <f t="shared" si="44"/>
        <v>0.49343248555058422</v>
      </c>
      <c r="P140" s="3">
        <v>2041</v>
      </c>
      <c r="Q140" s="707">
        <f>Paper!F33</f>
        <v>405.68499999999995</v>
      </c>
      <c r="R140" s="335">
        <f t="shared" si="38"/>
        <v>683.48745471680479</v>
      </c>
      <c r="S140" s="707">
        <f>Paper!G33</f>
        <v>526.03821666666659</v>
      </c>
      <c r="V140" s="335">
        <f t="shared" si="45"/>
        <v>847.19068205271867</v>
      </c>
      <c r="W140" s="335">
        <f t="shared" si="46"/>
        <v>303.75698923723559</v>
      </c>
      <c r="X140" s="335">
        <f t="shared" si="47"/>
        <v>397.92470224465899</v>
      </c>
      <c r="Y140" s="335">
        <f t="shared" si="48"/>
        <v>145.50899057082415</v>
      </c>
      <c r="Z140" s="338">
        <f t="shared" si="49"/>
        <v>0.35854618762005402</v>
      </c>
      <c r="AA140" s="338">
        <f t="shared" si="49"/>
        <v>0.46969910160071504</v>
      </c>
      <c r="AB140" s="338">
        <f t="shared" si="49"/>
        <v>0.17175471077923102</v>
      </c>
      <c r="AC140" s="338">
        <f t="shared" si="50"/>
        <v>0.62330486975791466</v>
      </c>
      <c r="AE140" s="346">
        <f>MIN('WTE Tonnes and Composition'!G94,V140)</f>
        <v>716.82798433607491</v>
      </c>
      <c r="AF140" s="335">
        <f t="shared" si="56"/>
        <v>0.53755445077858433</v>
      </c>
      <c r="AG140" s="335">
        <f t="shared" si="51"/>
        <v>1.6671865464164468</v>
      </c>
      <c r="AH140" s="335">
        <f t="shared" si="51"/>
        <v>0.36424379709587268</v>
      </c>
      <c r="AI140" s="711">
        <f t="shared" si="57"/>
        <v>2.5689847942909037</v>
      </c>
      <c r="AK140" s="610">
        <f t="shared" si="58"/>
        <v>130.36269771664377</v>
      </c>
      <c r="AL140" s="338">
        <f t="shared" si="52"/>
        <v>5.796451074756382E-2</v>
      </c>
      <c r="AM140" s="335">
        <f t="shared" si="53"/>
        <v>46.741048274168143</v>
      </c>
      <c r="AN140" s="335">
        <f t="shared" si="53"/>
        <v>61.231241999753159</v>
      </c>
      <c r="AO140" s="335">
        <f t="shared" si="54"/>
        <v>22.39040744272247</v>
      </c>
      <c r="AP140" s="335">
        <f t="shared" si="59"/>
        <v>9.2665925124807096</v>
      </c>
      <c r="AQ140" s="335">
        <f t="shared" si="55"/>
        <v>17.148424452656119</v>
      </c>
      <c r="AR140" s="335">
        <f t="shared" si="55"/>
        <v>7.6779515962729334</v>
      </c>
      <c r="AS140" s="335">
        <f t="shared" si="61"/>
        <v>34.092968561409762</v>
      </c>
      <c r="AT140" s="712">
        <f t="shared" si="60"/>
        <v>0.26152395707178605</v>
      </c>
      <c r="AU140" s="723"/>
    </row>
    <row r="141" spans="2:47" ht="14.4" x14ac:dyDescent="0.55000000000000004">
      <c r="B141" s="3">
        <v>2042</v>
      </c>
      <c r="C141" s="707">
        <f>Compost!E33</f>
        <v>359.77782771524176</v>
      </c>
      <c r="D141" s="338">
        <f t="shared" si="39"/>
        <v>0.5618765696262511</v>
      </c>
      <c r="F141" s="3">
        <v>2042</v>
      </c>
      <c r="G141" s="707">
        <f>'H&amp;C Recycling'!E33</f>
        <v>523.64066397480224</v>
      </c>
      <c r="H141" s="338">
        <f t="shared" si="40"/>
        <v>0.57202831734594239</v>
      </c>
      <c r="J141" s="3">
        <v>2042</v>
      </c>
      <c r="K141" s="335">
        <f t="shared" si="41"/>
        <v>1370.4322430864163</v>
      </c>
      <c r="L141" s="338">
        <f t="shared" si="42"/>
        <v>0.20470685417996451</v>
      </c>
      <c r="M141" s="338">
        <f t="shared" si="43"/>
        <v>0.28587310761426643</v>
      </c>
      <c r="N141" s="338">
        <f t="shared" si="44"/>
        <v>0.50942003820576909</v>
      </c>
      <c r="P141" s="3">
        <v>2042</v>
      </c>
      <c r="Q141" s="707">
        <f>Paper!F34</f>
        <v>416.47199999999998</v>
      </c>
      <c r="R141" s="335">
        <f t="shared" si="38"/>
        <v>698.12564563149999</v>
      </c>
      <c r="S141" s="707">
        <f>Paper!G34</f>
        <v>540.02535999999998</v>
      </c>
      <c r="V141" s="335">
        <f t="shared" si="45"/>
        <v>818.61511036165439</v>
      </c>
      <c r="W141" s="335">
        <f t="shared" si="46"/>
        <v>280.53687334901269</v>
      </c>
      <c r="X141" s="335">
        <f t="shared" si="47"/>
        <v>391.76972410590361</v>
      </c>
      <c r="Y141" s="335">
        <f t="shared" si="48"/>
        <v>146.30851290673809</v>
      </c>
      <c r="Z141" s="338">
        <f t="shared" si="49"/>
        <v>0.34269691555665865</v>
      </c>
      <c r="AA141" s="338">
        <f t="shared" si="49"/>
        <v>0.47857621872240352</v>
      </c>
      <c r="AB141" s="338">
        <f t="shared" si="49"/>
        <v>0.17872686572093779</v>
      </c>
      <c r="AC141" s="338">
        <f t="shared" si="50"/>
        <v>0.63679266877322926</v>
      </c>
      <c r="AE141" s="346">
        <f>MIN('WTE Tonnes and Composition'!G95,V141)</f>
        <v>727.55448240198814</v>
      </c>
      <c r="AF141" s="335">
        <f t="shared" si="56"/>
        <v>0.51379224932880296</v>
      </c>
      <c r="AG141" s="335">
        <f t="shared" si="51"/>
        <v>1.6986956768061046</v>
      </c>
      <c r="AH141" s="335">
        <f t="shared" si="51"/>
        <v>0.37902979148511723</v>
      </c>
      <c r="AI141" s="711">
        <f t="shared" si="57"/>
        <v>2.5915177176200248</v>
      </c>
      <c r="AK141" s="610">
        <f t="shared" si="58"/>
        <v>91.060627959666249</v>
      </c>
      <c r="AL141" s="338">
        <f t="shared" si="52"/>
        <v>4.0402244281140365E-2</v>
      </c>
      <c r="AM141" s="335">
        <f t="shared" si="53"/>
        <v>31.206196330430053</v>
      </c>
      <c r="AN141" s="335">
        <f t="shared" si="53"/>
        <v>43.579451003424651</v>
      </c>
      <c r="AO141" s="335">
        <f t="shared" si="54"/>
        <v>16.274980625811544</v>
      </c>
      <c r="AP141" s="335">
        <f t="shared" si="59"/>
        <v>6.186748392170343</v>
      </c>
      <c r="AQ141" s="335">
        <f t="shared" si="55"/>
        <v>12.204863053789913</v>
      </c>
      <c r="AR141" s="335">
        <f t="shared" si="55"/>
        <v>5.5808950236801493</v>
      </c>
      <c r="AS141" s="335">
        <f t="shared" si="61"/>
        <v>23.972506469640404</v>
      </c>
      <c r="AT141" s="712">
        <f t="shared" si="60"/>
        <v>0.26325874317777181</v>
      </c>
      <c r="AU141" s="723"/>
    </row>
    <row r="142" spans="2:47" ht="14.4" x14ac:dyDescent="0.55000000000000004">
      <c r="B142" s="3">
        <v>2043</v>
      </c>
      <c r="C142" s="707">
        <f>Compost!E34</f>
        <v>369.80146427029553</v>
      </c>
      <c r="D142" s="338">
        <f t="shared" si="39"/>
        <v>0.5894977007393799</v>
      </c>
      <c r="F142" s="3">
        <v>2043</v>
      </c>
      <c r="G142" s="707">
        <f>'H&amp;C Recycling'!E34</f>
        <v>533.26735857658002</v>
      </c>
      <c r="H142" s="338">
        <f t="shared" si="40"/>
        <v>0.58055309250049247</v>
      </c>
      <c r="J142" s="3">
        <v>2043</v>
      </c>
      <c r="K142" s="335">
        <f t="shared" si="41"/>
        <v>1355.7587361341525</v>
      </c>
      <c r="L142" s="338">
        <f t="shared" si="42"/>
        <v>0.18994142563065203</v>
      </c>
      <c r="M142" s="338">
        <f t="shared" si="43"/>
        <v>0.28418270488217107</v>
      </c>
      <c r="N142" s="338">
        <f t="shared" si="44"/>
        <v>0.52587586948717691</v>
      </c>
      <c r="P142" s="3">
        <v>2043</v>
      </c>
      <c r="Q142" s="707">
        <f>Paper!F35</f>
        <v>427.66099999999994</v>
      </c>
      <c r="R142" s="335">
        <f t="shared" si="38"/>
        <v>712.96080417938356</v>
      </c>
      <c r="S142" s="707">
        <f>Paper!G35</f>
        <v>554.53376333333324</v>
      </c>
      <c r="V142" s="335">
        <f t="shared" si="45"/>
        <v>789.58068554917372</v>
      </c>
      <c r="W142" s="335">
        <f t="shared" si="46"/>
        <v>257.51474715253192</v>
      </c>
      <c r="X142" s="335">
        <f t="shared" si="47"/>
        <v>385.28318480223709</v>
      </c>
      <c r="Y142" s="335">
        <f t="shared" si="48"/>
        <v>146.78275359440477</v>
      </c>
      <c r="Z142" s="338">
        <f t="shared" si="49"/>
        <v>0.32614114284396883</v>
      </c>
      <c r="AA142" s="338">
        <f t="shared" si="49"/>
        <v>0.48795923184755047</v>
      </c>
      <c r="AB142" s="338">
        <f t="shared" si="49"/>
        <v>0.18589962530848075</v>
      </c>
      <c r="AC142" s="338">
        <f t="shared" si="50"/>
        <v>0.65044667424486413</v>
      </c>
      <c r="AE142" s="346">
        <f>MIN('WTE Tonnes and Composition'!G96,V142)</f>
        <v>736.65508942157817</v>
      </c>
      <c r="AF142" s="335">
        <f t="shared" si="56"/>
        <v>0.48897081874308479</v>
      </c>
      <c r="AG142" s="335">
        <f t="shared" si="51"/>
        <v>1.7320004738427233</v>
      </c>
      <c r="AH142" s="335">
        <f t="shared" si="51"/>
        <v>0.3942412123303986</v>
      </c>
      <c r="AI142" s="711">
        <f t="shared" si="57"/>
        <v>2.6152125049162067</v>
      </c>
      <c r="AK142" s="610">
        <f t="shared" si="58"/>
        <v>52.925596127595554</v>
      </c>
      <c r="AL142" s="338">
        <f t="shared" si="52"/>
        <v>2.3430560653983978E-2</v>
      </c>
      <c r="AM142" s="335">
        <f t="shared" si="53"/>
        <v>17.261214406752345</v>
      </c>
      <c r="AN142" s="335">
        <f t="shared" si="53"/>
        <v>25.825533231495218</v>
      </c>
      <c r="AO142" s="335">
        <f t="shared" si="54"/>
        <v>9.8388484893479937</v>
      </c>
      <c r="AP142" s="335">
        <f t="shared" si="59"/>
        <v>3.4221021154618541</v>
      </c>
      <c r="AQ142" s="335">
        <f t="shared" si="55"/>
        <v>7.232700025448465</v>
      </c>
      <c r="AR142" s="335">
        <f t="shared" si="55"/>
        <v>3.3738645738146391</v>
      </c>
      <c r="AS142" s="335">
        <f t="shared" si="61"/>
        <v>14.02866671472496</v>
      </c>
      <c r="AT142" s="712">
        <f t="shared" si="60"/>
        <v>0.26506393392157512</v>
      </c>
      <c r="AU142" s="723"/>
    </row>
    <row r="143" spans="2:47" ht="14.4" x14ac:dyDescent="0.55000000000000004">
      <c r="B143" s="3">
        <v>2044</v>
      </c>
      <c r="C143" s="707">
        <f>Compost!E35</f>
        <v>379.93165197372355</v>
      </c>
      <c r="D143" s="338">
        <f t="shared" si="39"/>
        <v>0.61811734527284123</v>
      </c>
      <c r="F143" s="3">
        <v>2044</v>
      </c>
      <c r="G143" s="707">
        <f>'H&amp;C Recycling'!E35</f>
        <v>542.86050262015374</v>
      </c>
      <c r="H143" s="338">
        <f t="shared" si="40"/>
        <v>0.58921336960274717</v>
      </c>
      <c r="J143" s="3">
        <v>2044</v>
      </c>
      <c r="K143" s="335">
        <f t="shared" si="41"/>
        <v>1341.1939193750006</v>
      </c>
      <c r="L143" s="338">
        <f t="shared" si="42"/>
        <v>0.17501404498460774</v>
      </c>
      <c r="M143" s="338">
        <f t="shared" si="43"/>
        <v>0.28218919227907913</v>
      </c>
      <c r="N143" s="338">
        <f t="shared" si="44"/>
        <v>0.54279676273631317</v>
      </c>
      <c r="P143" s="3">
        <v>2044</v>
      </c>
      <c r="Q143" s="707">
        <f>Paper!F36</f>
        <v>439.25199999999995</v>
      </c>
      <c r="R143" s="335">
        <f t="shared" si="38"/>
        <v>727.9957176383781</v>
      </c>
      <c r="S143" s="707">
        <f>Paper!G36</f>
        <v>569.5634266666666</v>
      </c>
      <c r="V143" s="335">
        <f t="shared" si="45"/>
        <v>760.13308495352851</v>
      </c>
      <c r="W143" s="335">
        <f t="shared" si="46"/>
        <v>234.72777293857871</v>
      </c>
      <c r="X143" s="335">
        <f t="shared" si="47"/>
        <v>378.47042879804383</v>
      </c>
      <c r="Y143" s="335">
        <f t="shared" si="48"/>
        <v>146.93488321690597</v>
      </c>
      <c r="Z143" s="338">
        <f t="shared" si="49"/>
        <v>0.30879825860089882</v>
      </c>
      <c r="AA143" s="338">
        <f t="shared" si="49"/>
        <v>0.49790021811928104</v>
      </c>
      <c r="AB143" s="338">
        <f t="shared" si="49"/>
        <v>0.19330152327982011</v>
      </c>
      <c r="AC143" s="338">
        <f t="shared" si="50"/>
        <v>0.66425010573453824</v>
      </c>
      <c r="AE143" s="346">
        <f>MIN('WTE Tonnes and Composition'!G97,V143)</f>
        <v>744.02338957388417</v>
      </c>
      <c r="AF143" s="335">
        <f t="shared" si="56"/>
        <v>0.462969302240895</v>
      </c>
      <c r="AG143" s="335">
        <f t="shared" si="51"/>
        <v>1.7672857841911103</v>
      </c>
      <c r="AH143" s="335">
        <f t="shared" si="51"/>
        <v>0.40993857172488052</v>
      </c>
      <c r="AI143" s="711">
        <f t="shared" si="57"/>
        <v>2.6401936581568859</v>
      </c>
      <c r="AK143" s="610">
        <f t="shared" si="58"/>
        <v>16.109695379644336</v>
      </c>
      <c r="AL143" s="338">
        <f t="shared" si="52"/>
        <v>7.1156336007859164E-3</v>
      </c>
      <c r="AM143" s="335">
        <f t="shared" si="53"/>
        <v>4.9746458798251165</v>
      </c>
      <c r="AN143" s="335">
        <f t="shared" si="53"/>
        <v>8.0210208433600894</v>
      </c>
      <c r="AO143" s="335">
        <f t="shared" si="54"/>
        <v>3.11402865645913</v>
      </c>
      <c r="AP143" s="335">
        <f t="shared" si="59"/>
        <v>0.98624267029344559</v>
      </c>
      <c r="AQ143" s="335">
        <f t="shared" si="55"/>
        <v>2.2463674665638016</v>
      </c>
      <c r="AR143" s="335">
        <f t="shared" si="55"/>
        <v>1.0678394913028377</v>
      </c>
      <c r="AS143" s="335">
        <f t="shared" si="61"/>
        <v>4.3004496281600844</v>
      </c>
      <c r="AT143" s="712">
        <f t="shared" si="60"/>
        <v>0.26694791718991701</v>
      </c>
      <c r="AU143" s="723"/>
    </row>
    <row r="144" spans="2:47" ht="14.4" x14ac:dyDescent="0.55000000000000004">
      <c r="B144" s="3">
        <v>2045</v>
      </c>
      <c r="C144" s="707">
        <f>Compost!E36</f>
        <v>390.1828214111618</v>
      </c>
      <c r="D144" s="338">
        <f t="shared" si="39"/>
        <v>0.64767806646890536</v>
      </c>
      <c r="F144" s="3">
        <v>2045</v>
      </c>
      <c r="G144" s="707">
        <f>'H&amp;C Recycling'!E36</f>
        <v>552.43773813026735</v>
      </c>
      <c r="H144" s="338">
        <f t="shared" si="40"/>
        <v>0.59801363643546257</v>
      </c>
      <c r="J144" s="3">
        <v>2045</v>
      </c>
      <c r="K144" s="335">
        <f t="shared" si="41"/>
        <v>1326.8580262485098</v>
      </c>
      <c r="L144" s="338">
        <f t="shared" si="42"/>
        <v>0.1599647087570216</v>
      </c>
      <c r="M144" s="338">
        <f t="shared" si="43"/>
        <v>0.27987178406065355</v>
      </c>
      <c r="N144" s="338">
        <f t="shared" si="44"/>
        <v>0.56016350718232477</v>
      </c>
      <c r="P144" s="3">
        <v>2045</v>
      </c>
      <c r="Q144" s="707">
        <f>Paper!F37</f>
        <v>451.24499999999995</v>
      </c>
      <c r="R144" s="335">
        <f t="shared" si="38"/>
        <v>743.2574455163824</v>
      </c>
      <c r="S144" s="707">
        <f>Paper!G37</f>
        <v>585.11434999999994</v>
      </c>
      <c r="V144" s="335">
        <f t="shared" si="45"/>
        <v>730.39243788926763</v>
      </c>
      <c r="W144" s="335">
        <f t="shared" si="46"/>
        <v>212.25045773075936</v>
      </c>
      <c r="X144" s="335">
        <f t="shared" si="47"/>
        <v>371.35012300136793</v>
      </c>
      <c r="Y144" s="335">
        <f t="shared" si="48"/>
        <v>146.79185715714027</v>
      </c>
      <c r="Z144" s="338">
        <f t="shared" si="49"/>
        <v>0.2905978303172656</v>
      </c>
      <c r="AA144" s="338">
        <f t="shared" si="49"/>
        <v>0.50842547613789379</v>
      </c>
      <c r="AB144" s="338">
        <f t="shared" si="49"/>
        <v>0.20097669354484046</v>
      </c>
      <c r="AC144" s="338">
        <f t="shared" si="50"/>
        <v>0.67816729249505592</v>
      </c>
      <c r="AE144" s="346">
        <f>MIN('WTE Tonnes and Composition'!G98,V144)</f>
        <v>730.39243788926763</v>
      </c>
      <c r="AF144" s="335">
        <f t="shared" si="56"/>
        <v>0.43568210308006855</v>
      </c>
      <c r="AG144" s="335">
        <f t="shared" si="51"/>
        <v>1.8046449541499023</v>
      </c>
      <c r="AH144" s="335">
        <f t="shared" si="51"/>
        <v>0.42621546537166838</v>
      </c>
      <c r="AI144" s="711">
        <f t="shared" si="57"/>
        <v>2.666542522601639</v>
      </c>
      <c r="AK144" s="610">
        <f t="shared" si="58"/>
        <v>0</v>
      </c>
      <c r="AL144" s="338">
        <f t="shared" si="52"/>
        <v>0</v>
      </c>
      <c r="AM144" s="335">
        <f t="shared" si="53"/>
        <v>0</v>
      </c>
      <c r="AN144" s="335">
        <f t="shared" si="53"/>
        <v>0</v>
      </c>
      <c r="AO144" s="335">
        <f t="shared" si="54"/>
        <v>0</v>
      </c>
      <c r="AP144" s="335">
        <f t="shared" si="59"/>
        <v>0</v>
      </c>
      <c r="AQ144" s="335">
        <f t="shared" si="55"/>
        <v>0</v>
      </c>
      <c r="AR144" s="335">
        <f t="shared" si="55"/>
        <v>0</v>
      </c>
      <c r="AS144" s="335">
        <f t="shared" si="61"/>
        <v>0</v>
      </c>
      <c r="AT144" s="712" t="e">
        <f t="shared" si="60"/>
        <v>#DIV/0!</v>
      </c>
      <c r="AU144" s="723"/>
    </row>
    <row r="145" spans="2:47" ht="14.4" x14ac:dyDescent="0.55000000000000004">
      <c r="B145" s="3">
        <v>2046</v>
      </c>
      <c r="C145" s="707">
        <f>Compost!E37</f>
        <v>400.50510275993332</v>
      </c>
      <c r="D145" s="338">
        <f t="shared" si="39"/>
        <v>0.67828568285270141</v>
      </c>
      <c r="F145" s="3">
        <v>2046</v>
      </c>
      <c r="G145" s="707">
        <f>'H&amp;C Recycling'!E37</f>
        <v>561.9262414354929</v>
      </c>
      <c r="H145" s="338">
        <f t="shared" si="40"/>
        <v>0.60696331875242449</v>
      </c>
      <c r="J145" s="3">
        <v>2046</v>
      </c>
      <c r="K145" s="335">
        <f t="shared" si="41"/>
        <v>1312.4863738834556</v>
      </c>
      <c r="L145" s="338">
        <f t="shared" si="42"/>
        <v>0.14473414132023737</v>
      </c>
      <c r="M145" s="338">
        <f t="shared" si="43"/>
        <v>0.27723952669244151</v>
      </c>
      <c r="N145" s="338">
        <f t="shared" si="44"/>
        <v>0.57802633198732134</v>
      </c>
      <c r="P145" s="3">
        <v>2046</v>
      </c>
      <c r="Q145" s="707">
        <f>Paper!F38</f>
        <v>463.63999999999993</v>
      </c>
      <c r="R145" s="335">
        <f t="shared" si="38"/>
        <v>758.65168447919382</v>
      </c>
      <c r="S145" s="707">
        <f>Paper!G38</f>
        <v>601.18653333333327</v>
      </c>
      <c r="V145" s="335">
        <f t="shared" si="45"/>
        <v>700.09345140604626</v>
      </c>
      <c r="W145" s="335">
        <f t="shared" si="46"/>
        <v>189.96158831853398</v>
      </c>
      <c r="X145" s="335">
        <f t="shared" si="47"/>
        <v>363.87310108572808</v>
      </c>
      <c r="Y145" s="335">
        <f t="shared" si="48"/>
        <v>146.25876200178448</v>
      </c>
      <c r="Z145" s="338">
        <f t="shared" si="49"/>
        <v>0.27133747350017479</v>
      </c>
      <c r="AA145" s="338">
        <f t="shared" si="49"/>
        <v>0.51974932825744402</v>
      </c>
      <c r="AB145" s="338">
        <f t="shared" si="49"/>
        <v>0.20891319824238158</v>
      </c>
      <c r="AC145" s="338">
        <f t="shared" si="50"/>
        <v>0.69225548430065431</v>
      </c>
      <c r="AE145" s="346">
        <f>MIN('WTE Tonnes and Composition'!G99,V145)</f>
        <v>700.09345140604626</v>
      </c>
      <c r="AF145" s="335">
        <f t="shared" si="56"/>
        <v>0.40680579400721273</v>
      </c>
      <c r="AG145" s="335">
        <f t="shared" si="51"/>
        <v>1.8448387161626136</v>
      </c>
      <c r="AH145" s="335">
        <f t="shared" si="51"/>
        <v>0.44304657639963541</v>
      </c>
      <c r="AI145" s="711">
        <f t="shared" si="57"/>
        <v>2.6946910865694615</v>
      </c>
      <c r="AK145" s="610">
        <f t="shared" si="58"/>
        <v>0</v>
      </c>
      <c r="AL145" s="338">
        <f t="shared" si="52"/>
        <v>0</v>
      </c>
      <c r="AM145" s="335">
        <f t="shared" si="53"/>
        <v>0</v>
      </c>
      <c r="AN145" s="335">
        <f t="shared" si="53"/>
        <v>0</v>
      </c>
      <c r="AO145" s="335">
        <f t="shared" si="54"/>
        <v>0</v>
      </c>
      <c r="AP145" s="335">
        <f t="shared" si="59"/>
        <v>0</v>
      </c>
      <c r="AQ145" s="335">
        <f t="shared" si="55"/>
        <v>0</v>
      </c>
      <c r="AR145" s="335">
        <f t="shared" si="55"/>
        <v>0</v>
      </c>
      <c r="AS145" s="335">
        <f t="shared" si="61"/>
        <v>0</v>
      </c>
      <c r="AT145" s="712" t="e">
        <f t="shared" si="60"/>
        <v>#DIV/0!</v>
      </c>
      <c r="AU145" s="723"/>
    </row>
    <row r="146" spans="2:47" ht="14.4" x14ac:dyDescent="0.55000000000000004">
      <c r="B146" s="3">
        <v>2047</v>
      </c>
      <c r="C146" s="707">
        <f>Compost!E38</f>
        <v>410.90142394952579</v>
      </c>
      <c r="D146" s="338">
        <f t="shared" si="39"/>
        <v>0.70991281654248917</v>
      </c>
      <c r="F146" s="3">
        <v>2047</v>
      </c>
      <c r="G146" s="707">
        <f>'H&amp;C Recycling'!E38</f>
        <v>571.32917577005298</v>
      </c>
      <c r="H146" s="338">
        <f t="shared" si="40"/>
        <v>0.61606874542396173</v>
      </c>
      <c r="J146" s="3">
        <v>2047</v>
      </c>
      <c r="K146" s="335">
        <f t="shared" si="41"/>
        <v>1298.1396290605471</v>
      </c>
      <c r="L146" s="338">
        <f t="shared" si="42"/>
        <v>0.12934205676312466</v>
      </c>
      <c r="M146" s="338">
        <f t="shared" si="43"/>
        <v>0.27427693387795138</v>
      </c>
      <c r="N146" s="338">
        <f t="shared" si="44"/>
        <v>0.59638100935892413</v>
      </c>
      <c r="P146" s="3">
        <v>2047</v>
      </c>
      <c r="Q146" s="707">
        <f>Paper!F39</f>
        <v>476.4369999999999</v>
      </c>
      <c r="R146" s="335">
        <f t="shared" si="38"/>
        <v>774.18582226794842</v>
      </c>
      <c r="S146" s="707">
        <f>Paper!G39</f>
        <v>617.77997666666647</v>
      </c>
      <c r="V146" s="335">
        <f t="shared" si="45"/>
        <v>669.29677120245697</v>
      </c>
      <c r="W146" s="335">
        <f t="shared" si="46"/>
        <v>167.90404958841089</v>
      </c>
      <c r="X146" s="335">
        <f t="shared" si="47"/>
        <v>356.04975720418804</v>
      </c>
      <c r="Y146" s="335">
        <f t="shared" si="48"/>
        <v>145.34296440985827</v>
      </c>
      <c r="Z146" s="338">
        <f t="shared" si="49"/>
        <v>0.25086636722713435</v>
      </c>
      <c r="AA146" s="338">
        <f t="shared" si="49"/>
        <v>0.53197590743566547</v>
      </c>
      <c r="AB146" s="338">
        <f t="shared" si="49"/>
        <v>0.21715772533720049</v>
      </c>
      <c r="AC146" s="338">
        <f t="shared" si="50"/>
        <v>0.70649644397414613</v>
      </c>
      <c r="AE146" s="346">
        <f>MIN('WTE Tonnes and Composition'!G100,V146)</f>
        <v>669.29677120245697</v>
      </c>
      <c r="AF146" s="335">
        <f t="shared" si="56"/>
        <v>0.37611425503847207</v>
      </c>
      <c r="AG146" s="335">
        <f t="shared" si="51"/>
        <v>1.8882366878537633</v>
      </c>
      <c r="AH146" s="335">
        <f t="shared" si="51"/>
        <v>0.46053091694931991</v>
      </c>
      <c r="AI146" s="711">
        <f t="shared" si="57"/>
        <v>2.7248818598415552</v>
      </c>
      <c r="AK146" s="610">
        <f t="shared" si="58"/>
        <v>0</v>
      </c>
      <c r="AL146" s="338">
        <f t="shared" si="52"/>
        <v>0</v>
      </c>
      <c r="AM146" s="335">
        <f t="shared" si="53"/>
        <v>0</v>
      </c>
      <c r="AN146" s="335">
        <f t="shared" si="53"/>
        <v>0</v>
      </c>
      <c r="AO146" s="335">
        <f t="shared" si="54"/>
        <v>0</v>
      </c>
      <c r="AP146" s="335">
        <f t="shared" si="59"/>
        <v>0</v>
      </c>
      <c r="AQ146" s="335">
        <f t="shared" si="55"/>
        <v>0</v>
      </c>
      <c r="AR146" s="335">
        <f t="shared" si="55"/>
        <v>0</v>
      </c>
      <c r="AS146" s="335">
        <f t="shared" si="61"/>
        <v>0</v>
      </c>
      <c r="AT146" s="712" t="e">
        <f t="shared" si="60"/>
        <v>#DIV/0!</v>
      </c>
      <c r="AU146" s="723"/>
    </row>
    <row r="147" spans="2:47" ht="14.4" x14ac:dyDescent="0.55000000000000004">
      <c r="B147" s="3">
        <v>2048</v>
      </c>
      <c r="C147" s="707">
        <f>Compost!E39</f>
        <v>421.37944865100434</v>
      </c>
      <c r="D147" s="338">
        <f t="shared" si="39"/>
        <v>0.74250074700179602</v>
      </c>
      <c r="F147" s="3">
        <v>2048</v>
      </c>
      <c r="G147" s="707">
        <f>'H&amp;C Recycling'!E39</f>
        <v>580.65611741361636</v>
      </c>
      <c r="H147" s="338">
        <f t="shared" si="40"/>
        <v>0.62533639370456651</v>
      </c>
      <c r="J147" s="3">
        <v>2048</v>
      </c>
      <c r="K147" s="335">
        <f t="shared" si="41"/>
        <v>1283.904064453475</v>
      </c>
      <c r="L147" s="338">
        <f t="shared" si="42"/>
        <v>0.11382033393133184</v>
      </c>
      <c r="M147" s="338">
        <f t="shared" si="43"/>
        <v>0.27096564819231944</v>
      </c>
      <c r="N147" s="338">
        <f t="shared" si="44"/>
        <v>0.61521401787634888</v>
      </c>
      <c r="P147" s="3">
        <v>2048</v>
      </c>
      <c r="Q147" s="707">
        <f>Paper!F40</f>
        <v>489.63599999999991</v>
      </c>
      <c r="R147" s="335">
        <f t="shared" si="38"/>
        <v>789.87577806019715</v>
      </c>
      <c r="S147" s="707">
        <f>Paper!G40</f>
        <v>634.89467999999988</v>
      </c>
      <c r="V147" s="335">
        <f t="shared" si="45"/>
        <v>638.08932565657199</v>
      </c>
      <c r="W147" s="335">
        <f t="shared" si="46"/>
        <v>146.13438935188873</v>
      </c>
      <c r="X147" s="335">
        <f t="shared" si="47"/>
        <v>347.89389704138932</v>
      </c>
      <c r="Y147" s="335">
        <f t="shared" si="48"/>
        <v>144.06103926329411</v>
      </c>
      <c r="Z147" s="338">
        <f t="shared" si="49"/>
        <v>0.22901870236039673</v>
      </c>
      <c r="AA147" s="338">
        <f t="shared" si="49"/>
        <v>0.54521190537612974</v>
      </c>
      <c r="AB147" s="338">
        <f t="shared" si="49"/>
        <v>0.22576939226347384</v>
      </c>
      <c r="AC147" s="338">
        <f t="shared" si="50"/>
        <v>0.72086343963862576</v>
      </c>
      <c r="AE147" s="346">
        <f>MIN('WTE Tonnes and Composition'!G101,V147)</f>
        <v>638.08932565657199</v>
      </c>
      <c r="AF147" s="335">
        <f t="shared" si="56"/>
        <v>0.34335889493775618</v>
      </c>
      <c r="AG147" s="335">
        <f t="shared" si="51"/>
        <v>1.9352175690594859</v>
      </c>
      <c r="AH147" s="335">
        <f t="shared" si="51"/>
        <v>0.47879385859627505</v>
      </c>
      <c r="AI147" s="711">
        <f t="shared" si="57"/>
        <v>2.7573703225935171</v>
      </c>
      <c r="AK147" s="610">
        <f t="shared" si="58"/>
        <v>0</v>
      </c>
      <c r="AL147" s="338">
        <f t="shared" si="52"/>
        <v>0</v>
      </c>
      <c r="AM147" s="335">
        <f t="shared" si="53"/>
        <v>0</v>
      </c>
      <c r="AN147" s="335">
        <f t="shared" si="53"/>
        <v>0</v>
      </c>
      <c r="AO147" s="335">
        <f t="shared" si="54"/>
        <v>0</v>
      </c>
      <c r="AP147" s="335">
        <f t="shared" si="59"/>
        <v>0</v>
      </c>
      <c r="AQ147" s="335">
        <f t="shared" si="55"/>
        <v>0</v>
      </c>
      <c r="AR147" s="335">
        <f t="shared" si="55"/>
        <v>0</v>
      </c>
      <c r="AS147" s="335">
        <f t="shared" si="61"/>
        <v>0</v>
      </c>
      <c r="AT147" s="712" t="e">
        <f t="shared" si="60"/>
        <v>#DIV/0!</v>
      </c>
      <c r="AU147" s="723"/>
    </row>
    <row r="148" spans="2:47" ht="14.4" x14ac:dyDescent="0.55000000000000004">
      <c r="B148" s="3">
        <v>2049</v>
      </c>
      <c r="C148" s="707">
        <f>Compost!E40</f>
        <v>431.93764557097978</v>
      </c>
      <c r="D148" s="338">
        <f t="shared" si="39"/>
        <v>0.77600148592844986</v>
      </c>
      <c r="F148" s="3">
        <v>2049</v>
      </c>
      <c r="G148" s="707">
        <f>'H&amp;C Recycling'!E40</f>
        <v>589.90407926296848</v>
      </c>
      <c r="H148" s="338">
        <f t="shared" si="40"/>
        <v>0.63477396434609956</v>
      </c>
      <c r="J148" s="3">
        <v>2049</v>
      </c>
      <c r="K148" s="335">
        <f t="shared" si="41"/>
        <v>1269.8119428781283</v>
      </c>
      <c r="L148" s="338">
        <f t="shared" si="42"/>
        <v>9.818931579905249E-2</v>
      </c>
      <c r="M148" s="338">
        <f t="shared" si="43"/>
        <v>0.26729117224145554</v>
      </c>
      <c r="N148" s="338">
        <f t="shared" si="44"/>
        <v>0.63451951195949197</v>
      </c>
      <c r="P148" s="3">
        <v>2049</v>
      </c>
      <c r="Q148" s="707">
        <f>Paper!F41</f>
        <v>503.23699999999997</v>
      </c>
      <c r="R148" s="335">
        <f t="shared" si="38"/>
        <v>805.72045427536432</v>
      </c>
      <c r="S148" s="707">
        <f>Paper!G41</f>
        <v>652.53064333333327</v>
      </c>
      <c r="V148" s="335">
        <f t="shared" si="45"/>
        <v>606.50354696593888</v>
      </c>
      <c r="W148" s="335">
        <f t="shared" si="46"/>
        <v>124.68196586466894</v>
      </c>
      <c r="X148" s="335">
        <f t="shared" si="47"/>
        <v>339.40952273809512</v>
      </c>
      <c r="Y148" s="335">
        <f t="shared" si="48"/>
        <v>142.41205836317488</v>
      </c>
      <c r="Z148" s="338">
        <f t="shared" si="49"/>
        <v>0.20557499867625845</v>
      </c>
      <c r="AA148" s="338">
        <f t="shared" si="49"/>
        <v>0.5596167152459478</v>
      </c>
      <c r="AB148" s="338">
        <f t="shared" si="49"/>
        <v>0.23480828607779389</v>
      </c>
      <c r="AC148" s="338">
        <f t="shared" si="50"/>
        <v>0.73534240556887676</v>
      </c>
      <c r="AE148" s="346">
        <f>MIN('WTE Tonnes and Composition'!G102,V148)</f>
        <v>606.50354696593888</v>
      </c>
      <c r="AF148" s="335">
        <f t="shared" si="56"/>
        <v>0.30821065548276788</v>
      </c>
      <c r="AG148" s="335">
        <f t="shared" si="51"/>
        <v>1.9863471222921911</v>
      </c>
      <c r="AH148" s="335">
        <f t="shared" si="51"/>
        <v>0.49796282921453217</v>
      </c>
      <c r="AI148" s="711">
        <f t="shared" si="57"/>
        <v>2.7925206069894912</v>
      </c>
      <c r="AK148" s="610">
        <f t="shared" si="58"/>
        <v>0</v>
      </c>
      <c r="AL148" s="338">
        <f t="shared" si="52"/>
        <v>0</v>
      </c>
      <c r="AM148" s="335">
        <f t="shared" si="53"/>
        <v>0</v>
      </c>
      <c r="AN148" s="335">
        <f t="shared" si="53"/>
        <v>0</v>
      </c>
      <c r="AO148" s="335">
        <f t="shared" si="54"/>
        <v>0</v>
      </c>
      <c r="AP148" s="335">
        <f t="shared" si="59"/>
        <v>0</v>
      </c>
      <c r="AQ148" s="335">
        <f t="shared" si="55"/>
        <v>0</v>
      </c>
      <c r="AR148" s="335">
        <f t="shared" si="55"/>
        <v>0</v>
      </c>
      <c r="AS148" s="335">
        <f t="shared" si="61"/>
        <v>0</v>
      </c>
      <c r="AT148" s="712" t="e">
        <f t="shared" si="60"/>
        <v>#DIV/0!</v>
      </c>
      <c r="AU148" s="723"/>
    </row>
    <row r="149" spans="2:47" ht="14.4" x14ac:dyDescent="0.55000000000000004">
      <c r="B149" s="3">
        <v>2050</v>
      </c>
      <c r="C149" s="707">
        <f>Compost!E41</f>
        <v>442.48784978199905</v>
      </c>
      <c r="D149" s="338">
        <f t="shared" si="39"/>
        <v>0.8106885873449553</v>
      </c>
      <c r="F149" s="3">
        <v>2050</v>
      </c>
      <c r="G149" s="707">
        <f>'H&amp;C Recycling'!E41</f>
        <v>598.95138243934446</v>
      </c>
      <c r="H149" s="338">
        <f t="shared" si="40"/>
        <v>0.64439882039996987</v>
      </c>
      <c r="J149" s="3">
        <v>2050</v>
      </c>
      <c r="K149" s="335">
        <f t="shared" si="41"/>
        <v>1255.407346992064</v>
      </c>
      <c r="L149" s="338">
        <f t="shared" si="42"/>
        <v>8.230750197285959E-2</v>
      </c>
      <c r="M149" s="338">
        <f t="shared" si="43"/>
        <v>0.2632784799657687</v>
      </c>
      <c r="N149" s="338">
        <f t="shared" si="44"/>
        <v>0.65441401806137167</v>
      </c>
      <c r="P149" s="3">
        <v>2050</v>
      </c>
      <c r="Q149" s="707">
        <f>Paper!F42</f>
        <v>517.2399999999999</v>
      </c>
      <c r="R149" s="335">
        <f t="shared" si="38"/>
        <v>821.55616624884328</v>
      </c>
      <c r="S149" s="707">
        <f>Paper!G42</f>
        <v>670.68786666666654</v>
      </c>
      <c r="V149" s="335">
        <f t="shared" si="45"/>
        <v>574.08336058207931</v>
      </c>
      <c r="W149" s="335">
        <f t="shared" si="46"/>
        <v>103.32944268929174</v>
      </c>
      <c r="X149" s="335">
        <f t="shared" si="47"/>
        <v>330.52173805392897</v>
      </c>
      <c r="Y149" s="335">
        <f t="shared" si="48"/>
        <v>140.23217983885854</v>
      </c>
      <c r="Z149" s="338">
        <f t="shared" si="49"/>
        <v>0.17999031113621392</v>
      </c>
      <c r="AA149" s="338">
        <f t="shared" si="49"/>
        <v>0.57573823027861959</v>
      </c>
      <c r="AB149" s="338">
        <f t="shared" si="49"/>
        <v>0.24427145858516641</v>
      </c>
      <c r="AC149" s="338">
        <f t="shared" si="50"/>
        <v>0.75005585232484995</v>
      </c>
      <c r="AE149" s="346">
        <f>MIN('WTE Tonnes and Composition'!G103,V149)</f>
        <v>574.08336058207931</v>
      </c>
      <c r="AF149" s="335">
        <f t="shared" si="56"/>
        <v>0.26985252162497786</v>
      </c>
      <c r="AG149" s="335">
        <f t="shared" si="51"/>
        <v>2.04357008243566</v>
      </c>
      <c r="AH149" s="335">
        <f t="shared" si="51"/>
        <v>0.51803157650548248</v>
      </c>
      <c r="AI149" s="711">
        <f t="shared" si="57"/>
        <v>2.8314541805661206</v>
      </c>
      <c r="AK149" s="610">
        <f t="shared" si="58"/>
        <v>0</v>
      </c>
      <c r="AL149" s="338">
        <f t="shared" si="52"/>
        <v>0</v>
      </c>
      <c r="AM149" s="335">
        <f t="shared" si="53"/>
        <v>0</v>
      </c>
      <c r="AN149" s="335">
        <f t="shared" si="53"/>
        <v>0</v>
      </c>
      <c r="AO149" s="335">
        <f t="shared" si="54"/>
        <v>0</v>
      </c>
      <c r="AP149" s="335">
        <f t="shared" si="59"/>
        <v>0</v>
      </c>
      <c r="AQ149" s="335">
        <f t="shared" si="55"/>
        <v>0</v>
      </c>
      <c r="AR149" s="335">
        <f t="shared" si="55"/>
        <v>0</v>
      </c>
      <c r="AS149" s="335">
        <f t="shared" si="61"/>
        <v>0</v>
      </c>
      <c r="AT149" s="712" t="e">
        <f t="shared" si="60"/>
        <v>#DIV/0!</v>
      </c>
      <c r="AU149" s="723"/>
    </row>
    <row r="150" spans="2:47" ht="14.4" x14ac:dyDescent="0.55000000000000004">
      <c r="B150" s="3">
        <v>2051</v>
      </c>
      <c r="C150" s="707">
        <f>Compost!E42</f>
        <v>453.28884032753376</v>
      </c>
      <c r="D150" s="338">
        <f t="shared" si="39"/>
        <v>0.80434600515353549</v>
      </c>
      <c r="F150" s="3">
        <v>2051</v>
      </c>
      <c r="G150" s="707">
        <f>'H&amp;C Recycling'!E42</f>
        <v>601.24489577747249</v>
      </c>
      <c r="H150" s="338">
        <f t="shared" si="40"/>
        <v>0.64658157048570841</v>
      </c>
      <c r="J150" s="3">
        <v>2051</v>
      </c>
      <c r="K150" s="335">
        <f t="shared" si="41"/>
        <v>1276.7688096340623</v>
      </c>
      <c r="L150" s="338">
        <f t="shared" si="42"/>
        <v>8.6359192529102485E-2</v>
      </c>
      <c r="M150" s="338">
        <f t="shared" si="43"/>
        <v>0.25739790554253278</v>
      </c>
      <c r="N150" s="338">
        <f t="shared" si="44"/>
        <v>0.65624290192836476</v>
      </c>
      <c r="P150" s="3">
        <v>2051</v>
      </c>
      <c r="Q150" s="707">
        <f>Paper!F43</f>
        <v>531.64499999999998</v>
      </c>
      <c r="R150" s="335">
        <f t="shared" si="38"/>
        <v>837.87046872588098</v>
      </c>
      <c r="S150" s="707">
        <f>Paper!G43</f>
        <v>689.36635000000001</v>
      </c>
      <c r="V150" s="335">
        <f t="shared" si="45"/>
        <v>576.90626116986959</v>
      </c>
      <c r="W150" s="335">
        <f t="shared" si="46"/>
        <v>110.26072344634099</v>
      </c>
      <c r="X150" s="335">
        <f t="shared" si="47"/>
        <v>328.63761746184036</v>
      </c>
      <c r="Y150" s="335">
        <f t="shared" si="48"/>
        <v>138.00792026168824</v>
      </c>
      <c r="Z150" s="338">
        <f t="shared" si="49"/>
        <v>0.19112415806122585</v>
      </c>
      <c r="AA150" s="338">
        <f t="shared" si="49"/>
        <v>0.5696551408463103</v>
      </c>
      <c r="AB150" s="338">
        <f t="shared" si="49"/>
        <v>0.23922070109246382</v>
      </c>
      <c r="AC150" s="338">
        <f t="shared" si="50"/>
        <v>0.75253908497449906</v>
      </c>
      <c r="AE150" s="346">
        <f>MIN('WTE Tonnes and Composition'!G104,V150)</f>
        <v>576.90626116986959</v>
      </c>
      <c r="AF150" s="335">
        <f t="shared" si="56"/>
        <v>0.28654506829115489</v>
      </c>
      <c r="AG150" s="335">
        <f t="shared" si="51"/>
        <v>2.0219782913770188</v>
      </c>
      <c r="AH150" s="335">
        <f t="shared" si="51"/>
        <v>0.50732032975710573</v>
      </c>
      <c r="AI150" s="711">
        <f t="shared" si="57"/>
        <v>2.8158436894252792</v>
      </c>
      <c r="AK150" s="610">
        <f t="shared" si="58"/>
        <v>0</v>
      </c>
      <c r="AL150" s="338">
        <f t="shared" si="52"/>
        <v>0</v>
      </c>
      <c r="AM150" s="335">
        <f t="shared" si="53"/>
        <v>0</v>
      </c>
      <c r="AN150" s="335">
        <f t="shared" si="53"/>
        <v>0</v>
      </c>
      <c r="AO150" s="335">
        <f t="shared" si="54"/>
        <v>0</v>
      </c>
      <c r="AP150" s="335">
        <f t="shared" si="59"/>
        <v>0</v>
      </c>
      <c r="AQ150" s="335">
        <f t="shared" si="55"/>
        <v>0</v>
      </c>
      <c r="AR150" s="335">
        <f t="shared" si="55"/>
        <v>0</v>
      </c>
      <c r="AS150" s="335">
        <f t="shared" si="61"/>
        <v>0</v>
      </c>
      <c r="AT150" s="712" t="e">
        <f t="shared" si="60"/>
        <v>#DIV/0!</v>
      </c>
      <c r="AU150" s="723"/>
    </row>
    <row r="151" spans="2:47" ht="14.4" x14ac:dyDescent="0.55000000000000004">
      <c r="B151" s="3">
        <v>2052</v>
      </c>
      <c r="C151" s="707">
        <f>Compost!E43</f>
        <v>464.079437630717</v>
      </c>
      <c r="D151" s="338">
        <f t="shared" si="39"/>
        <v>0.79824233661969524</v>
      </c>
      <c r="F151" s="3">
        <v>2052</v>
      </c>
      <c r="G151" s="707">
        <f>'H&amp;C Recycling'!E43</f>
        <v>603.28481885847646</v>
      </c>
      <c r="H151" s="338">
        <f t="shared" si="40"/>
        <v>0.64901733142847806</v>
      </c>
      <c r="J151" s="3">
        <v>2052</v>
      </c>
      <c r="K151" s="335">
        <f t="shared" si="41"/>
        <v>1297.7226162649395</v>
      </c>
      <c r="L151" s="338">
        <f t="shared" si="42"/>
        <v>9.0386950530144644E-2</v>
      </c>
      <c r="M151" s="338">
        <f t="shared" si="43"/>
        <v>0.25140267860339155</v>
      </c>
      <c r="N151" s="338">
        <f t="shared" si="44"/>
        <v>0.65821037086646372</v>
      </c>
      <c r="P151" s="3">
        <v>2052</v>
      </c>
      <c r="Q151" s="707">
        <f>Paper!F44</f>
        <v>546.452</v>
      </c>
      <c r="R151" s="335">
        <f t="shared" si="38"/>
        <v>854.17448453354336</v>
      </c>
      <c r="S151" s="707">
        <f>Paper!G44</f>
        <v>708.56609333333336</v>
      </c>
      <c r="V151" s="335">
        <f t="shared" si="45"/>
        <v>578.79886475501223</v>
      </c>
      <c r="W151" s="335">
        <f t="shared" si="46"/>
        <v>117.29718991818896</v>
      </c>
      <c r="X151" s="335">
        <f t="shared" si="47"/>
        <v>326.25094181320696</v>
      </c>
      <c r="Y151" s="335">
        <f t="shared" si="48"/>
        <v>135.25073302361614</v>
      </c>
      <c r="Z151" s="338">
        <f t="shared" si="49"/>
        <v>0.20265621973504952</v>
      </c>
      <c r="AA151" s="338">
        <f t="shared" si="49"/>
        <v>0.56366893869306212</v>
      </c>
      <c r="AB151" s="338">
        <f t="shared" si="49"/>
        <v>0.23367484157188803</v>
      </c>
      <c r="AC151" s="338">
        <f t="shared" si="50"/>
        <v>0.75527374007999815</v>
      </c>
      <c r="AE151" s="346">
        <f>MIN('WTE Tonnes and Composition'!G105,V151)</f>
        <v>578.79886475501223</v>
      </c>
      <c r="AF151" s="335">
        <f t="shared" si="56"/>
        <v>0.30383464294976525</v>
      </c>
      <c r="AG151" s="335">
        <f t="shared" si="51"/>
        <v>2.0007303995671077</v>
      </c>
      <c r="AH151" s="335">
        <f t="shared" si="51"/>
        <v>0.49555910981286017</v>
      </c>
      <c r="AI151" s="711">
        <f t="shared" si="57"/>
        <v>2.8001241523297331</v>
      </c>
      <c r="AK151" s="610">
        <f t="shared" si="58"/>
        <v>0</v>
      </c>
      <c r="AL151" s="338">
        <f t="shared" si="52"/>
        <v>0</v>
      </c>
      <c r="AM151" s="335">
        <f t="shared" si="53"/>
        <v>0</v>
      </c>
      <c r="AN151" s="335">
        <f t="shared" si="53"/>
        <v>0</v>
      </c>
      <c r="AO151" s="335">
        <f t="shared" si="54"/>
        <v>0</v>
      </c>
      <c r="AP151" s="335">
        <f t="shared" si="59"/>
        <v>0</v>
      </c>
      <c r="AQ151" s="335">
        <f t="shared" si="55"/>
        <v>0</v>
      </c>
      <c r="AR151" s="335">
        <f t="shared" si="55"/>
        <v>0</v>
      </c>
      <c r="AS151" s="335">
        <f t="shared" si="61"/>
        <v>0</v>
      </c>
      <c r="AT151" s="712" t="e">
        <f t="shared" si="60"/>
        <v>#DIV/0!</v>
      </c>
      <c r="AU151" s="723"/>
    </row>
    <row r="152" spans="2:47" ht="14.4" x14ac:dyDescent="0.55000000000000004">
      <c r="B152" s="3">
        <v>2053</v>
      </c>
      <c r="C152" s="707">
        <f>Compost!E44</f>
        <v>474.9449356764768</v>
      </c>
      <c r="D152" s="338">
        <f t="shared" si="39"/>
        <v>0.79228671514047633</v>
      </c>
      <c r="F152" s="3">
        <v>2053</v>
      </c>
      <c r="G152" s="707">
        <f>'H&amp;C Recycling'!E44</f>
        <v>605.19134361296699</v>
      </c>
      <c r="H152" s="338">
        <f t="shared" si="40"/>
        <v>0.65157770982125574</v>
      </c>
      <c r="J152" s="3">
        <v>2053</v>
      </c>
      <c r="K152" s="335">
        <f t="shared" si="41"/>
        <v>1318.7643776892887</v>
      </c>
      <c r="L152" s="338">
        <f t="shared" si="42"/>
        <v>9.4418686329113571E-2</v>
      </c>
      <c r="M152" s="338">
        <f t="shared" si="43"/>
        <v>0.24539471889060102</v>
      </c>
      <c r="N152" s="338">
        <f t="shared" si="44"/>
        <v>0.6601865947802853</v>
      </c>
      <c r="P152" s="3">
        <v>2053</v>
      </c>
      <c r="Q152" s="707">
        <f>Paper!F45</f>
        <v>561.66099999999994</v>
      </c>
      <c r="R152" s="335">
        <f t="shared" si="38"/>
        <v>870.6305638242336</v>
      </c>
      <c r="S152" s="707">
        <f>Paper!G45</f>
        <v>728.28709666666657</v>
      </c>
      <c r="V152" s="335">
        <f t="shared" si="45"/>
        <v>580.25814393679389</v>
      </c>
      <c r="W152" s="335">
        <f t="shared" si="46"/>
        <v>124.51600011905361</v>
      </c>
      <c r="X152" s="335">
        <f t="shared" si="47"/>
        <v>323.61781374600139</v>
      </c>
      <c r="Y152" s="335">
        <f t="shared" si="48"/>
        <v>132.12433007173877</v>
      </c>
      <c r="Z152" s="338">
        <f t="shared" si="49"/>
        <v>0.21458725124350317</v>
      </c>
      <c r="AA152" s="338">
        <f t="shared" si="49"/>
        <v>0.55771352307164224</v>
      </c>
      <c r="AB152" s="338">
        <f t="shared" si="49"/>
        <v>0.22769922568485443</v>
      </c>
      <c r="AC152" s="338">
        <f t="shared" si="50"/>
        <v>0.7581149756040364</v>
      </c>
      <c r="AE152" s="346">
        <f>MIN('WTE Tonnes and Composition'!G106,V152)</f>
        <v>580.25814393679389</v>
      </c>
      <c r="AF152" s="335">
        <f t="shared" si="56"/>
        <v>0.32172237767181217</v>
      </c>
      <c r="AG152" s="335">
        <f t="shared" si="51"/>
        <v>1.979591783869286</v>
      </c>
      <c r="AH152" s="335">
        <f t="shared" si="51"/>
        <v>0.48288649657969379</v>
      </c>
      <c r="AI152" s="711">
        <f t="shared" si="57"/>
        <v>2.7842006581207923</v>
      </c>
      <c r="AK152" s="610">
        <f t="shared" si="58"/>
        <v>0</v>
      </c>
      <c r="AL152" s="338">
        <f t="shared" si="52"/>
        <v>0</v>
      </c>
      <c r="AM152" s="335">
        <f t="shared" si="53"/>
        <v>0</v>
      </c>
      <c r="AN152" s="335">
        <f t="shared" si="53"/>
        <v>0</v>
      </c>
      <c r="AO152" s="335">
        <f t="shared" si="54"/>
        <v>0</v>
      </c>
      <c r="AP152" s="335">
        <f t="shared" si="59"/>
        <v>0</v>
      </c>
      <c r="AQ152" s="335">
        <f t="shared" si="55"/>
        <v>0</v>
      </c>
      <c r="AR152" s="335">
        <f t="shared" si="55"/>
        <v>0</v>
      </c>
      <c r="AS152" s="335">
        <f t="shared" si="61"/>
        <v>0</v>
      </c>
      <c r="AT152" s="712" t="e">
        <f t="shared" si="60"/>
        <v>#DIV/0!</v>
      </c>
      <c r="AU152" s="723"/>
    </row>
    <row r="153" spans="2:47" ht="14.4" x14ac:dyDescent="0.55000000000000004">
      <c r="B153" s="3">
        <v>2054</v>
      </c>
      <c r="C153" s="707">
        <f>Compost!E45</f>
        <v>485.88394998302073</v>
      </c>
      <c r="D153" s="338">
        <f t="shared" si="39"/>
        <v>0.7864664465416995</v>
      </c>
      <c r="F153" s="3">
        <v>2054</v>
      </c>
      <c r="G153" s="707">
        <f>'H&amp;C Recycling'!E45</f>
        <v>606.96595884240969</v>
      </c>
      <c r="H153" s="338">
        <f t="shared" si="40"/>
        <v>0.65426470625939381</v>
      </c>
      <c r="J153" s="3">
        <v>2054</v>
      </c>
      <c r="K153" s="335">
        <f t="shared" si="41"/>
        <v>1339.9018848031271</v>
      </c>
      <c r="L153" s="338">
        <f t="shared" si="42"/>
        <v>9.8456747285318724E-2</v>
      </c>
      <c r="M153" s="338">
        <f t="shared" si="43"/>
        <v>0.2393765256970391</v>
      </c>
      <c r="N153" s="338">
        <f t="shared" si="44"/>
        <v>0.66216672701764212</v>
      </c>
      <c r="P153" s="3">
        <v>2054</v>
      </c>
      <c r="Q153" s="707">
        <f>Paper!F46</f>
        <v>577.27199999999993</v>
      </c>
      <c r="R153" s="335">
        <f t="shared" si="38"/>
        <v>887.23844558485644</v>
      </c>
      <c r="S153" s="707">
        <f>Paper!G46</f>
        <v>748.52935999999988</v>
      </c>
      <c r="V153" s="335">
        <f t="shared" si="45"/>
        <v>581.29229358714929</v>
      </c>
      <c r="W153" s="335">
        <f t="shared" si="46"/>
        <v>131.92238125918374</v>
      </c>
      <c r="X153" s="335">
        <f t="shared" si="47"/>
        <v>320.7410579590869</v>
      </c>
      <c r="Y153" s="335">
        <f t="shared" si="48"/>
        <v>128.62885436887859</v>
      </c>
      <c r="Z153" s="338">
        <f t="shared" si="49"/>
        <v>0.22694672321405115</v>
      </c>
      <c r="AA153" s="338">
        <f t="shared" si="49"/>
        <v>0.55177242412727823</v>
      </c>
      <c r="AB153" s="338">
        <f t="shared" si="49"/>
        <v>0.22128085265867045</v>
      </c>
      <c r="AC153" s="338">
        <f t="shared" si="50"/>
        <v>0.7610556510082247</v>
      </c>
      <c r="AE153" s="346">
        <f>MIN('WTE Tonnes and Composition'!G107,V153)</f>
        <v>581.29229358714929</v>
      </c>
      <c r="AF153" s="335">
        <f t="shared" si="56"/>
        <v>0.34025245663079318</v>
      </c>
      <c r="AG153" s="335">
        <f t="shared" si="51"/>
        <v>1.9585039848992283</v>
      </c>
      <c r="AH153" s="335">
        <f t="shared" si="51"/>
        <v>0.46927491904782631</v>
      </c>
      <c r="AI153" s="711">
        <f t="shared" si="57"/>
        <v>2.7680313605778477</v>
      </c>
      <c r="AK153" s="610">
        <f t="shared" si="58"/>
        <v>0</v>
      </c>
      <c r="AL153" s="338">
        <f t="shared" si="52"/>
        <v>0</v>
      </c>
      <c r="AM153" s="335">
        <f t="shared" si="53"/>
        <v>0</v>
      </c>
      <c r="AN153" s="335">
        <f t="shared" si="53"/>
        <v>0</v>
      </c>
      <c r="AO153" s="335">
        <f t="shared" si="54"/>
        <v>0</v>
      </c>
      <c r="AP153" s="335">
        <f t="shared" si="59"/>
        <v>0</v>
      </c>
      <c r="AQ153" s="335">
        <f t="shared" si="55"/>
        <v>0</v>
      </c>
      <c r="AR153" s="335">
        <f t="shared" si="55"/>
        <v>0</v>
      </c>
      <c r="AS153" s="335">
        <f t="shared" si="61"/>
        <v>0</v>
      </c>
      <c r="AT153" s="712" t="e">
        <f t="shared" si="60"/>
        <v>#DIV/0!</v>
      </c>
      <c r="AU153" s="723"/>
    </row>
    <row r="154" spans="2:47" ht="14.4" x14ac:dyDescent="0.55000000000000004">
      <c r="B154" s="3">
        <v>2055</v>
      </c>
      <c r="C154" s="707">
        <f>Compost!E46</f>
        <v>496.89524938649873</v>
      </c>
      <c r="D154" s="338">
        <f t="shared" si="39"/>
        <v>0.78077219183174329</v>
      </c>
      <c r="F154" s="3">
        <v>2055</v>
      </c>
      <c r="G154" s="707">
        <f>'H&amp;C Recycling'!E46</f>
        <v>608.6102537799743</v>
      </c>
      <c r="H154" s="338">
        <f t="shared" si="40"/>
        <v>0.65708051451743266</v>
      </c>
      <c r="J154" s="3">
        <v>2055</v>
      </c>
      <c r="K154" s="335">
        <f t="shared" si="41"/>
        <v>1361.1415719150893</v>
      </c>
      <c r="L154" s="338">
        <f t="shared" si="42"/>
        <v>0.10250212078031892</v>
      </c>
      <c r="M154" s="338">
        <f t="shared" si="43"/>
        <v>0.23335093293465634</v>
      </c>
      <c r="N154" s="338">
        <f t="shared" si="44"/>
        <v>0.66414694628502491</v>
      </c>
      <c r="P154" s="3">
        <v>2055</v>
      </c>
      <c r="Q154" s="707">
        <f>Paper!F47</f>
        <v>593.28499999999997</v>
      </c>
      <c r="R154" s="335">
        <f t="shared" si="38"/>
        <v>903.99801844900514</v>
      </c>
      <c r="S154" s="707">
        <f>Paper!G47</f>
        <v>769.29288333333329</v>
      </c>
      <c r="V154" s="335">
        <f t="shared" si="45"/>
        <v>581.90690145816563</v>
      </c>
      <c r="W154" s="335">
        <f t="shared" si="46"/>
        <v>139.51989780355365</v>
      </c>
      <c r="X154" s="335">
        <f t="shared" si="47"/>
        <v>317.62365566253072</v>
      </c>
      <c r="Y154" s="335">
        <f t="shared" si="48"/>
        <v>124.76334799208144</v>
      </c>
      <c r="Z154" s="338">
        <f t="shared" si="49"/>
        <v>0.2397632635975602</v>
      </c>
      <c r="AA154" s="338">
        <f t="shared" si="49"/>
        <v>0.54583242588568148</v>
      </c>
      <c r="AB154" s="338">
        <f t="shared" si="49"/>
        <v>0.21440431051675868</v>
      </c>
      <c r="AC154" s="338">
        <f t="shared" si="50"/>
        <v>0.76408992298222311</v>
      </c>
      <c r="AE154" s="346">
        <f>MIN('WTE Tonnes and Composition'!G108,V154)</f>
        <v>581.90690145816563</v>
      </c>
      <c r="AF154" s="335">
        <f t="shared" si="56"/>
        <v>0.35946780060773026</v>
      </c>
      <c r="AG154" s="335">
        <f t="shared" si="51"/>
        <v>1.9374200928492367</v>
      </c>
      <c r="AH154" s="335">
        <f t="shared" si="51"/>
        <v>0.45469169271711302</v>
      </c>
      <c r="AI154" s="711">
        <f t="shared" si="57"/>
        <v>2.7515795861740799</v>
      </c>
      <c r="AK154" s="610">
        <f t="shared" si="58"/>
        <v>0</v>
      </c>
      <c r="AL154" s="338">
        <f t="shared" si="52"/>
        <v>0</v>
      </c>
      <c r="AM154" s="335">
        <f t="shared" si="53"/>
        <v>0</v>
      </c>
      <c r="AN154" s="335">
        <f t="shared" si="53"/>
        <v>0</v>
      </c>
      <c r="AO154" s="335">
        <f t="shared" si="54"/>
        <v>0</v>
      </c>
      <c r="AP154" s="335">
        <f t="shared" si="59"/>
        <v>0</v>
      </c>
      <c r="AQ154" s="335">
        <f t="shared" si="55"/>
        <v>0</v>
      </c>
      <c r="AR154" s="335">
        <f t="shared" si="55"/>
        <v>0</v>
      </c>
      <c r="AS154" s="335">
        <f t="shared" si="61"/>
        <v>0</v>
      </c>
      <c r="AT154" s="712" t="e">
        <f t="shared" si="60"/>
        <v>#DIV/0!</v>
      </c>
      <c r="AU154" s="723"/>
    </row>
    <row r="155" spans="2:47" ht="14.4" x14ac:dyDescent="0.55000000000000004">
      <c r="B155" s="3">
        <v>2056</v>
      </c>
      <c r="C155" s="707">
        <f>Compost!E47</f>
        <v>507.97771102160652</v>
      </c>
      <c r="D155" s="338">
        <f t="shared" si="39"/>
        <v>0.77519567078611984</v>
      </c>
      <c r="F155" s="3">
        <v>2056</v>
      </c>
      <c r="G155" s="707">
        <f>'H&amp;C Recycling'!E47</f>
        <v>610.1259682338075</v>
      </c>
      <c r="H155" s="338">
        <f t="shared" si="40"/>
        <v>0.6600275753864685</v>
      </c>
      <c r="J155" s="3">
        <v>2056</v>
      </c>
      <c r="K155" s="335">
        <f t="shared" si="41"/>
        <v>1382.4899635710269</v>
      </c>
      <c r="L155" s="338">
        <f t="shared" si="42"/>
        <v>0.10655553193702076</v>
      </c>
      <c r="M155" s="338">
        <f t="shared" si="43"/>
        <v>0.22732077860929176</v>
      </c>
      <c r="N155" s="338">
        <f t="shared" si="44"/>
        <v>0.66612368945368738</v>
      </c>
      <c r="P155" s="3">
        <v>2056</v>
      </c>
      <c r="Q155" s="707">
        <f>Paper!F48</f>
        <v>609.69999999999993</v>
      </c>
      <c r="R155" s="335">
        <f t="shared" si="38"/>
        <v>920.90931516662636</v>
      </c>
      <c r="S155" s="707">
        <f>Paper!G48</f>
        <v>790.57766666666657</v>
      </c>
      <c r="V155" s="335">
        <f t="shared" si="45"/>
        <v>582.1074676428982</v>
      </c>
      <c r="W155" s="335">
        <f t="shared" si="46"/>
        <v>147.31195346590323</v>
      </c>
      <c r="X155" s="335">
        <f t="shared" si="47"/>
        <v>314.26869493849722</v>
      </c>
      <c r="Y155" s="335">
        <f t="shared" si="48"/>
        <v>120.52681923849764</v>
      </c>
      <c r="Z155" s="338">
        <f t="shared" si="49"/>
        <v>0.25306659277608473</v>
      </c>
      <c r="AA155" s="338">
        <f t="shared" si="49"/>
        <v>0.53988088524452615</v>
      </c>
      <c r="AB155" s="338">
        <f t="shared" si="49"/>
        <v>0.20705252197938898</v>
      </c>
      <c r="AC155" s="338">
        <f t="shared" si="50"/>
        <v>0.76721229004448022</v>
      </c>
      <c r="AE155" s="346">
        <f>MIN('WTE Tonnes and Composition'!G109,V155)</f>
        <v>582.1074676428982</v>
      </c>
      <c r="AF155" s="335">
        <f t="shared" si="56"/>
        <v>0.37941296822353143</v>
      </c>
      <c r="AG155" s="335">
        <f t="shared" si="51"/>
        <v>1.9162952313079435</v>
      </c>
      <c r="AH155" s="335">
        <f t="shared" si="51"/>
        <v>0.43910060144428337</v>
      </c>
      <c r="AI155" s="711">
        <f t="shared" si="57"/>
        <v>2.7348088009757587</v>
      </c>
      <c r="AK155" s="610">
        <f t="shared" si="58"/>
        <v>0</v>
      </c>
      <c r="AL155" s="338">
        <f t="shared" si="52"/>
        <v>0</v>
      </c>
      <c r="AM155" s="335">
        <f t="shared" si="53"/>
        <v>0</v>
      </c>
      <c r="AN155" s="335">
        <f t="shared" si="53"/>
        <v>0</v>
      </c>
      <c r="AO155" s="335">
        <f t="shared" si="54"/>
        <v>0</v>
      </c>
      <c r="AP155" s="335">
        <f t="shared" si="59"/>
        <v>0</v>
      </c>
      <c r="AQ155" s="335">
        <f t="shared" si="55"/>
        <v>0</v>
      </c>
      <c r="AR155" s="335">
        <f t="shared" si="55"/>
        <v>0</v>
      </c>
      <c r="AS155" s="335">
        <f t="shared" si="61"/>
        <v>0</v>
      </c>
      <c r="AT155" s="712" t="e">
        <f t="shared" si="60"/>
        <v>#DIV/0!</v>
      </c>
      <c r="AU155" s="723"/>
    </row>
    <row r="156" spans="2:47" ht="14.4" x14ac:dyDescent="0.55000000000000004">
      <c r="B156" s="3">
        <v>2057</v>
      </c>
      <c r="C156" s="707">
        <f>Compost!E48</f>
        <v>519.13049243346063</v>
      </c>
      <c r="D156" s="338">
        <f t="shared" si="39"/>
        <v>0.76973310528876016</v>
      </c>
      <c r="F156" s="3">
        <v>2057</v>
      </c>
      <c r="G156" s="707">
        <f>'H&amp;C Recycling'!E48</f>
        <v>611.5149806715466</v>
      </c>
      <c r="H156" s="338">
        <f t="shared" si="40"/>
        <v>0.66310856437074073</v>
      </c>
      <c r="J156" s="3">
        <v>2057</v>
      </c>
      <c r="K156" s="335">
        <f t="shared" si="41"/>
        <v>1403.9506110174079</v>
      </c>
      <c r="L156" s="338">
        <f t="shared" si="42"/>
        <v>0.11061551550702881</v>
      </c>
      <c r="M156" s="338">
        <f t="shared" si="43"/>
        <v>0.22128939630967048</v>
      </c>
      <c r="N156" s="338">
        <f t="shared" si="44"/>
        <v>0.66809508818330066</v>
      </c>
      <c r="P156" s="3">
        <v>2057</v>
      </c>
      <c r="Q156" s="707">
        <f>Paper!F49</f>
        <v>626.51699999999983</v>
      </c>
      <c r="R156" s="335">
        <f t="shared" si="38"/>
        <v>937.97250727267397</v>
      </c>
      <c r="S156" s="707">
        <f>Paper!G49</f>
        <v>812.38370999999972</v>
      </c>
      <c r="V156" s="335">
        <f t="shared" si="45"/>
        <v>581.896050763483</v>
      </c>
      <c r="W156" s="335">
        <f t="shared" si="46"/>
        <v>155.29872058409865</v>
      </c>
      <c r="X156" s="335">
        <f t="shared" si="47"/>
        <v>310.67938316063521</v>
      </c>
      <c r="Y156" s="335">
        <f t="shared" si="48"/>
        <v>115.91794701874903</v>
      </c>
      <c r="Z156" s="338">
        <f t="shared" si="49"/>
        <v>0.26688395698911738</v>
      </c>
      <c r="AA156" s="338">
        <f t="shared" si="49"/>
        <v>0.53390873293091601</v>
      </c>
      <c r="AB156" s="338">
        <f t="shared" si="49"/>
        <v>0.19920731007996642</v>
      </c>
      <c r="AC156" s="338">
        <f t="shared" si="50"/>
        <v>0.77041862630157099</v>
      </c>
      <c r="AE156" s="346">
        <f>MIN('WTE Tonnes and Composition'!G110,V156)</f>
        <v>581.896050763483</v>
      </c>
      <c r="AF156" s="335">
        <f t="shared" si="56"/>
        <v>0.400128808712722</v>
      </c>
      <c r="AG156" s="335">
        <f t="shared" si="51"/>
        <v>1.8950972090922982</v>
      </c>
      <c r="AH156" s="335">
        <f t="shared" si="51"/>
        <v>0.42246309695719864</v>
      </c>
      <c r="AI156" s="711">
        <f t="shared" si="57"/>
        <v>2.7176891147622189</v>
      </c>
      <c r="AK156" s="610">
        <f t="shared" si="58"/>
        <v>0</v>
      </c>
      <c r="AL156" s="338">
        <f t="shared" si="52"/>
        <v>0</v>
      </c>
      <c r="AM156" s="335">
        <f t="shared" si="53"/>
        <v>0</v>
      </c>
      <c r="AN156" s="335">
        <f t="shared" si="53"/>
        <v>0</v>
      </c>
      <c r="AO156" s="335">
        <f t="shared" si="54"/>
        <v>0</v>
      </c>
      <c r="AP156" s="335">
        <f t="shared" si="59"/>
        <v>0</v>
      </c>
      <c r="AQ156" s="335">
        <f t="shared" si="55"/>
        <v>0</v>
      </c>
      <c r="AR156" s="335">
        <f t="shared" si="55"/>
        <v>0</v>
      </c>
      <c r="AS156" s="335">
        <f t="shared" si="61"/>
        <v>0</v>
      </c>
      <c r="AT156" s="712" t="e">
        <f t="shared" si="60"/>
        <v>#DIV/0!</v>
      </c>
      <c r="AU156" s="723"/>
    </row>
    <row r="157" spans="2:47" ht="14.4" x14ac:dyDescent="0.55000000000000004">
      <c r="B157" s="3">
        <v>2058</v>
      </c>
      <c r="C157" s="707">
        <f>Compost!E49</f>
        <v>530.35309614534515</v>
      </c>
      <c r="D157" s="338">
        <f t="shared" si="39"/>
        <v>0.76438633542719947</v>
      </c>
      <c r="F157" s="3">
        <v>2058</v>
      </c>
      <c r="G157" s="707">
        <f>'H&amp;C Recycling'!E49</f>
        <v>612.77930575005428</v>
      </c>
      <c r="H157" s="338">
        <f t="shared" si="40"/>
        <v>0.66632639008572547</v>
      </c>
      <c r="J157" s="3">
        <v>2058</v>
      </c>
      <c r="K157" s="335">
        <f t="shared" si="41"/>
        <v>1425.5224474798783</v>
      </c>
      <c r="L157" s="338">
        <f t="shared" si="42"/>
        <v>0.1146776031718806</v>
      </c>
      <c r="M157" s="338">
        <f t="shared" si="43"/>
        <v>0.21526076317534651</v>
      </c>
      <c r="N157" s="338">
        <f t="shared" si="44"/>
        <v>0.67006163365277305</v>
      </c>
      <c r="P157" s="3">
        <v>2058</v>
      </c>
      <c r="Q157" s="707">
        <f>Paper!F50</f>
        <v>643.73599999999988</v>
      </c>
      <c r="R157" s="335">
        <f t="shared" si="38"/>
        <v>955.18789996706664</v>
      </c>
      <c r="S157" s="707">
        <f>Paper!G50</f>
        <v>834.7110133333332</v>
      </c>
      <c r="V157" s="335">
        <f t="shared" si="45"/>
        <v>581.27061749401423</v>
      </c>
      <c r="W157" s="335">
        <f t="shared" si="46"/>
        <v>163.47549754470549</v>
      </c>
      <c r="X157" s="335">
        <f t="shared" si="47"/>
        <v>306.85904996810643</v>
      </c>
      <c r="Y157" s="335">
        <f t="shared" si="48"/>
        <v>110.93606998120254</v>
      </c>
      <c r="Z157" s="338">
        <f t="shared" si="49"/>
        <v>0.28123819203090705</v>
      </c>
      <c r="AA157" s="338">
        <f t="shared" si="49"/>
        <v>0.52791082282989543</v>
      </c>
      <c r="AB157" s="338">
        <f t="shared" si="49"/>
        <v>0.19085098513919796</v>
      </c>
      <c r="AC157" s="338">
        <f t="shared" si="50"/>
        <v>0.77370621917717552</v>
      </c>
      <c r="AE157" s="346">
        <f>MIN('WTE Tonnes and Composition'!G111,V157)</f>
        <v>581.27061749401423</v>
      </c>
      <c r="AF157" s="335">
        <f t="shared" si="56"/>
        <v>0.4216495588996203</v>
      </c>
      <c r="AG157" s="335">
        <f t="shared" si="51"/>
        <v>1.873807760181371</v>
      </c>
      <c r="AH157" s="335">
        <f t="shared" si="51"/>
        <v>0.40474166438406362</v>
      </c>
      <c r="AI157" s="711">
        <f t="shared" si="57"/>
        <v>2.700198983465055</v>
      </c>
      <c r="AK157" s="610">
        <f t="shared" si="58"/>
        <v>0</v>
      </c>
      <c r="AL157" s="338">
        <f t="shared" si="52"/>
        <v>0</v>
      </c>
      <c r="AM157" s="335">
        <f t="shared" si="53"/>
        <v>0</v>
      </c>
      <c r="AN157" s="335">
        <f t="shared" si="53"/>
        <v>0</v>
      </c>
      <c r="AO157" s="335">
        <f t="shared" si="54"/>
        <v>0</v>
      </c>
      <c r="AP157" s="335">
        <f t="shared" si="59"/>
        <v>0</v>
      </c>
      <c r="AQ157" s="335">
        <f t="shared" si="55"/>
        <v>0</v>
      </c>
      <c r="AR157" s="335">
        <f t="shared" si="55"/>
        <v>0</v>
      </c>
      <c r="AS157" s="335">
        <f t="shared" si="61"/>
        <v>0</v>
      </c>
      <c r="AT157" s="712" t="e">
        <f t="shared" si="60"/>
        <v>#DIV/0!</v>
      </c>
      <c r="AU157" s="723"/>
    </row>
    <row r="158" spans="2:47" ht="14.4" x14ac:dyDescent="0.55000000000000004">
      <c r="B158" s="3">
        <v>2059</v>
      </c>
      <c r="C158" s="707">
        <f>Compost!E50</f>
        <v>541.64529299858157</v>
      </c>
      <c r="D158" s="338">
        <f t="shared" si="39"/>
        <v>0.75915984691581029</v>
      </c>
      <c r="F158" s="3">
        <v>2059</v>
      </c>
      <c r="G158" s="707">
        <f>'H&amp;C Recycling'!E50</f>
        <v>613.92107833994635</v>
      </c>
      <c r="H158" s="338">
        <f t="shared" si="40"/>
        <v>0.66968417838507388</v>
      </c>
      <c r="J158" s="3">
        <v>2059</v>
      </c>
      <c r="K158" s="335">
        <f t="shared" si="41"/>
        <v>1447.2016997219635</v>
      </c>
      <c r="L158" s="338">
        <f t="shared" si="42"/>
        <v>0.11873577041519931</v>
      </c>
      <c r="M158" s="338">
        <f t="shared" si="43"/>
        <v>0.20923908796088925</v>
      </c>
      <c r="N158" s="338">
        <f t="shared" si="44"/>
        <v>0.67202514162391136</v>
      </c>
      <c r="P158" s="3">
        <v>2059</v>
      </c>
      <c r="Q158" s="707">
        <f>Paper!F51</f>
        <v>661.35699999999986</v>
      </c>
      <c r="R158" s="335">
        <f t="shared" si="38"/>
        <v>972.55592721401774</v>
      </c>
      <c r="S158" s="707">
        <f>Paper!G51</f>
        <v>857.55957666666643</v>
      </c>
      <c r="V158" s="335">
        <f t="shared" si="45"/>
        <v>580.22651126224571</v>
      </c>
      <c r="W158" s="335">
        <f t="shared" si="46"/>
        <v>171.83460876267327</v>
      </c>
      <c r="X158" s="335">
        <f t="shared" si="47"/>
        <v>302.81116374527232</v>
      </c>
      <c r="Y158" s="335">
        <f t="shared" si="48"/>
        <v>105.5807387543</v>
      </c>
      <c r="Z158" s="338">
        <f t="shared" si="49"/>
        <v>0.29615090904560371</v>
      </c>
      <c r="AA158" s="338">
        <f t="shared" si="49"/>
        <v>0.52188439836457312</v>
      </c>
      <c r="AB158" s="338">
        <f t="shared" si="49"/>
        <v>0.18196469258982298</v>
      </c>
      <c r="AC158" s="338">
        <f t="shared" si="50"/>
        <v>0.777073294499946</v>
      </c>
      <c r="AE158" s="346">
        <f>MIN('WTE Tonnes and Composition'!G112,V158)</f>
        <v>580.22651126224571</v>
      </c>
      <c r="AF158" s="335">
        <f t="shared" si="56"/>
        <v>0.4440076195379517</v>
      </c>
      <c r="AG158" s="335">
        <f t="shared" si="51"/>
        <v>1.8524171001666085</v>
      </c>
      <c r="AH158" s="335">
        <f t="shared" si="51"/>
        <v>0.38589631845087652</v>
      </c>
      <c r="AI158" s="711">
        <f t="shared" si="57"/>
        <v>2.682321038155437</v>
      </c>
      <c r="AK158" s="610">
        <f t="shared" si="58"/>
        <v>0</v>
      </c>
      <c r="AL158" s="338">
        <f t="shared" si="52"/>
        <v>0</v>
      </c>
      <c r="AM158" s="335">
        <f t="shared" si="53"/>
        <v>0</v>
      </c>
      <c r="AN158" s="335">
        <f t="shared" si="53"/>
        <v>0</v>
      </c>
      <c r="AO158" s="335">
        <f t="shared" si="54"/>
        <v>0</v>
      </c>
      <c r="AP158" s="335">
        <f t="shared" si="59"/>
        <v>0</v>
      </c>
      <c r="AQ158" s="335">
        <f t="shared" si="55"/>
        <v>0</v>
      </c>
      <c r="AR158" s="335">
        <f t="shared" si="55"/>
        <v>0</v>
      </c>
      <c r="AS158" s="335">
        <f t="shared" si="61"/>
        <v>0</v>
      </c>
      <c r="AT158" s="712" t="e">
        <f t="shared" si="60"/>
        <v>#DIV/0!</v>
      </c>
      <c r="AU158" s="723"/>
    </row>
    <row r="159" spans="2:47" ht="14.4" x14ac:dyDescent="0.55000000000000004">
      <c r="B159" s="3">
        <v>2060</v>
      </c>
      <c r="C159" s="707">
        <f>Compost!E51</f>
        <v>553.00685259893748</v>
      </c>
      <c r="D159" s="338">
        <f t="shared" si="39"/>
        <v>0.75405637085087796</v>
      </c>
      <c r="F159" s="3">
        <v>2060</v>
      </c>
      <c r="G159" s="707">
        <f>'H&amp;C Recycling'!E51</f>
        <v>614.94242029233385</v>
      </c>
      <c r="H159" s="338">
        <f t="shared" si="40"/>
        <v>0.67318512819122611</v>
      </c>
      <c r="J159" s="3">
        <v>2060</v>
      </c>
      <c r="K159" s="335">
        <f t="shared" si="41"/>
        <v>1468.9857698638052</v>
      </c>
      <c r="L159" s="338">
        <f t="shared" si="42"/>
        <v>0.12278482279413949</v>
      </c>
      <c r="M159" s="338">
        <f t="shared" si="43"/>
        <v>0.20322828953363414</v>
      </c>
      <c r="N159" s="338">
        <f t="shared" si="44"/>
        <v>0.67398688767222648</v>
      </c>
      <c r="P159" s="3">
        <v>2060</v>
      </c>
      <c r="Q159" s="707">
        <f>Paper!F52</f>
        <v>679.37999999999988</v>
      </c>
      <c r="R159" s="335">
        <f t="shared" si="38"/>
        <v>990.07714706529555</v>
      </c>
      <c r="S159" s="707">
        <f>Paper!G52</f>
        <v>880.92939999999987</v>
      </c>
      <c r="V159" s="335">
        <f t="shared" si="45"/>
        <v>578.76144384929762</v>
      </c>
      <c r="W159" s="335">
        <f t="shared" si="46"/>
        <v>180.36915743983991</v>
      </c>
      <c r="X159" s="335">
        <f t="shared" si="47"/>
        <v>298.53946535866987</v>
      </c>
      <c r="Y159" s="335">
        <f t="shared" si="48"/>
        <v>99.852821050787952</v>
      </c>
      <c r="Z159" s="338">
        <f t="shared" si="49"/>
        <v>0.31164680950448009</v>
      </c>
      <c r="AA159" s="338">
        <f t="shared" si="49"/>
        <v>0.51582472974202798</v>
      </c>
      <c r="AB159" s="338">
        <f t="shared" si="49"/>
        <v>0.17252846075349207</v>
      </c>
      <c r="AC159" s="338">
        <f t="shared" si="50"/>
        <v>0.78051736790429005</v>
      </c>
      <c r="AE159" s="346">
        <f>MIN('WTE Tonnes and Composition'!G113,V159)</f>
        <v>578.76144384929762</v>
      </c>
      <c r="AF159" s="335">
        <f t="shared" si="56"/>
        <v>0.46724002458953734</v>
      </c>
      <c r="AG159" s="335">
        <f t="shared" si="51"/>
        <v>1.8309084407529117</v>
      </c>
      <c r="AH159" s="335">
        <f t="shared" si="51"/>
        <v>0.36588470480285218</v>
      </c>
      <c r="AI159" s="711">
        <f t="shared" si="57"/>
        <v>2.6640331701453013</v>
      </c>
      <c r="AK159" s="610">
        <f t="shared" si="58"/>
        <v>0</v>
      </c>
      <c r="AL159" s="338">
        <f t="shared" si="52"/>
        <v>0</v>
      </c>
      <c r="AM159" s="335">
        <f t="shared" si="53"/>
        <v>0</v>
      </c>
      <c r="AN159" s="335">
        <f t="shared" si="53"/>
        <v>0</v>
      </c>
      <c r="AO159" s="335">
        <f t="shared" si="54"/>
        <v>0</v>
      </c>
      <c r="AP159" s="335">
        <f t="shared" si="59"/>
        <v>0</v>
      </c>
      <c r="AQ159" s="335">
        <f t="shared" si="55"/>
        <v>0</v>
      </c>
      <c r="AR159" s="335">
        <f t="shared" si="55"/>
        <v>0</v>
      </c>
      <c r="AS159" s="335">
        <f t="shared" si="61"/>
        <v>0</v>
      </c>
      <c r="AT159" s="712" t="e">
        <f t="shared" si="60"/>
        <v>#DIV/0!</v>
      </c>
      <c r="AU159" s="723"/>
    </row>
    <row r="160" spans="2:47" x14ac:dyDescent="0.4">
      <c r="Z160" s="341"/>
    </row>
    <row r="161" spans="1:52" x14ac:dyDescent="0.4">
      <c r="Z161" s="341"/>
    </row>
    <row r="162" spans="1:52" ht="22.5" x14ac:dyDescent="0.75">
      <c r="A162" s="336" t="s">
        <v>154</v>
      </c>
      <c r="Z162" s="341"/>
    </row>
    <row r="167" spans="1:52" ht="200.05" customHeight="1" x14ac:dyDescent="0.4">
      <c r="B167" s="1277" t="s">
        <v>487</v>
      </c>
      <c r="C167" s="1278"/>
      <c r="D167" s="1278"/>
      <c r="E167" s="1278"/>
      <c r="F167" s="1278"/>
      <c r="G167" s="1278"/>
      <c r="H167" s="1278"/>
      <c r="I167" s="1278"/>
      <c r="J167" s="1278"/>
      <c r="K167" s="1278"/>
      <c r="N167" s="1275" t="s">
        <v>477</v>
      </c>
      <c r="O167" s="1276"/>
      <c r="P167" s="1276"/>
      <c r="Q167" s="1276"/>
      <c r="R167" s="1276"/>
      <c r="S167" s="1276"/>
      <c r="T167" s="1276"/>
      <c r="U167" s="1276"/>
      <c r="V167" s="1276"/>
      <c r="Y167" s="1279" t="s">
        <v>537</v>
      </c>
      <c r="Z167" s="1279"/>
      <c r="AA167" s="1279"/>
      <c r="AB167" s="1279"/>
      <c r="AC167" s="1279"/>
      <c r="AD167" s="1279"/>
      <c r="AE167" s="1279"/>
      <c r="AF167" s="1279"/>
      <c r="AI167" s="1279" t="s">
        <v>539</v>
      </c>
      <c r="AJ167" s="1279"/>
      <c r="AK167" s="1279"/>
      <c r="AL167" s="1279"/>
      <c r="AM167" s="1279"/>
      <c r="AN167" s="1279"/>
      <c r="AO167" s="1279"/>
      <c r="AP167" s="1279"/>
      <c r="AS167" s="1279" t="s">
        <v>541</v>
      </c>
      <c r="AT167" s="1279"/>
      <c r="AU167" s="1279"/>
      <c r="AV167" s="1279"/>
      <c r="AW167" s="1279"/>
      <c r="AX167" s="1279"/>
      <c r="AY167" s="1279"/>
      <c r="AZ167" s="1279"/>
    </row>
    <row r="168" spans="1:52" x14ac:dyDescent="0.4">
      <c r="B168" s="1" t="s">
        <v>139</v>
      </c>
      <c r="N168" s="1" t="s">
        <v>140</v>
      </c>
      <c r="O168" s="1"/>
    </row>
    <row r="169" spans="1:52" ht="14.4" x14ac:dyDescent="0.55000000000000004">
      <c r="B169" s="2"/>
      <c r="C169" s="334" t="str">
        <f t="shared" ref="C169:C216" si="62">Y59</f>
        <v>World</v>
      </c>
      <c r="D169" s="334" t="s">
        <v>454</v>
      </c>
      <c r="E169" s="344" t="s">
        <v>144</v>
      </c>
      <c r="F169" s="344" t="s">
        <v>135</v>
      </c>
      <c r="G169" s="344" t="s">
        <v>136</v>
      </c>
      <c r="H169" s="344" t="s">
        <v>538</v>
      </c>
      <c r="I169" s="344" t="s">
        <v>137</v>
      </c>
      <c r="J169" s="344" t="s">
        <v>143</v>
      </c>
      <c r="K169" s="344" t="s">
        <v>138</v>
      </c>
      <c r="N169" s="3"/>
      <c r="O169" s="334" t="s">
        <v>115</v>
      </c>
      <c r="P169" s="334" t="s">
        <v>141</v>
      </c>
      <c r="Q169" s="334" t="s">
        <v>1103</v>
      </c>
      <c r="R169" s="334" t="s">
        <v>164</v>
      </c>
      <c r="S169" s="583" t="s">
        <v>359</v>
      </c>
      <c r="T169" s="583" t="s">
        <v>360</v>
      </c>
      <c r="U169" s="1189" t="s">
        <v>361</v>
      </c>
      <c r="V169" s="584" t="s">
        <v>362</v>
      </c>
      <c r="Y169" s="584" t="s">
        <v>114</v>
      </c>
      <c r="Z169" s="344" t="s">
        <v>527</v>
      </c>
      <c r="AA169" s="344" t="s">
        <v>1133</v>
      </c>
      <c r="AB169" s="632" t="s">
        <v>533</v>
      </c>
      <c r="AC169" s="632" t="s">
        <v>534</v>
      </c>
      <c r="AD169" s="632" t="s">
        <v>535</v>
      </c>
      <c r="AE169" s="632" t="s">
        <v>536</v>
      </c>
      <c r="AF169" s="335" t="s">
        <v>441</v>
      </c>
      <c r="AI169" s="584" t="s">
        <v>114</v>
      </c>
      <c r="AJ169" s="344" t="s">
        <v>532</v>
      </c>
      <c r="AK169" s="344" t="s">
        <v>137</v>
      </c>
      <c r="AL169" s="344" t="s">
        <v>528</v>
      </c>
      <c r="AM169" s="344" t="s">
        <v>529</v>
      </c>
      <c r="AN169" s="344" t="s">
        <v>531</v>
      </c>
      <c r="AO169" s="344" t="s">
        <v>530</v>
      </c>
      <c r="AP169" s="344" t="s">
        <v>205</v>
      </c>
      <c r="AS169" s="584" t="str">
        <f>Y169</f>
        <v>Year</v>
      </c>
      <c r="AT169" s="344" t="str">
        <f t="shared" ref="AT169:AX216" si="63">AB169</f>
        <v xml:space="preserve">Compost </v>
      </c>
      <c r="AU169" s="344" t="str">
        <f t="shared" si="63"/>
        <v>Recycling</v>
      </c>
      <c r="AV169" s="632" t="str">
        <f t="shared" si="63"/>
        <v>Paper Recycling</v>
      </c>
      <c r="AW169" s="632" t="str">
        <f t="shared" si="63"/>
        <v>Used Paper to Insulation</v>
      </c>
      <c r="AX169" s="632" t="str">
        <f t="shared" si="63"/>
        <v>Reduced Food Waste</v>
      </c>
      <c r="AY169" s="632" t="s">
        <v>402</v>
      </c>
      <c r="AZ169" s="335" t="s">
        <v>423</v>
      </c>
    </row>
    <row r="170" spans="1:52" ht="14.4" x14ac:dyDescent="0.55000000000000004">
      <c r="B170" s="3">
        <v>2014</v>
      </c>
      <c r="C170" s="1205">
        <f t="shared" si="62"/>
        <v>804.79494831832108</v>
      </c>
      <c r="D170" s="1205">
        <f>'Food System Summary'!B12-'Food System Summary'!C12</f>
        <v>1351.0179807789712</v>
      </c>
      <c r="E170" s="1205">
        <f>D170/C170</f>
        <v>1.678710811495554</v>
      </c>
      <c r="F170" s="1205">
        <f t="shared" ref="F170:F216" si="64">D170/U60</f>
        <v>0.76185224480017177</v>
      </c>
      <c r="G170" s="1205">
        <f t="shared" ref="G170:G216" si="65">M60*R60</f>
        <v>0.65297000000000005</v>
      </c>
      <c r="H170" s="1205">
        <f>G170/C170</f>
        <v>8.1134952619226733E-4</v>
      </c>
      <c r="I170" s="1205">
        <f t="shared" ref="I170:I216" si="66">C170-D170-G170</f>
        <v>-546.87600246065006</v>
      </c>
      <c r="J170" s="1205">
        <f t="shared" ref="J170:J216" si="67">I170/C170</f>
        <v>-0.67952216102174612</v>
      </c>
      <c r="K170" s="1205">
        <f t="shared" ref="K170:K216" si="68">I170/U60</f>
        <v>-0.30838872319209593</v>
      </c>
      <c r="N170" s="3">
        <v>2014</v>
      </c>
      <c r="O170" s="1205">
        <f t="shared" ref="O170:O216" si="69">R113</f>
        <v>341.7860216816789</v>
      </c>
      <c r="P170" s="1205">
        <f t="shared" ref="P170:P216" si="70">M60*(1-R60)</f>
        <v>1.0170299999999999</v>
      </c>
      <c r="Q170" s="1205">
        <f t="shared" ref="Q170:Q216" si="71">S113</f>
        <v>227.24220300000002</v>
      </c>
      <c r="R170" s="1205">
        <f>O170-Q170</f>
        <v>114.54381868167889</v>
      </c>
      <c r="S170" s="1206">
        <f>Paper!E6</f>
        <v>341.7860216816789</v>
      </c>
      <c r="T170" s="1205">
        <f t="shared" ref="T170:T216" si="72">S170-Q170</f>
        <v>114.54381868167889</v>
      </c>
      <c r="U170" s="1206">
        <f>Paper!I6</f>
        <v>0</v>
      </c>
      <c r="V170" s="1205">
        <f t="shared" ref="V170:V216" si="73">IF((T170-U170)&lt;0,0,(T170-U170))</f>
        <v>114.54381868167889</v>
      </c>
      <c r="Y170" s="609">
        <f>N170</f>
        <v>2014</v>
      </c>
      <c r="Z170" s="335">
        <f t="shared" ref="Z170:Z216" si="74">C7</f>
        <v>1773.3333333333333</v>
      </c>
      <c r="AA170" s="335">
        <f t="shared" ref="AA170:AA216" si="75">V113</f>
        <v>1229.5180509102261</v>
      </c>
      <c r="AB170" s="335">
        <f t="shared" ref="AB170:AB216" si="76">C113</f>
        <v>110.54366841083268</v>
      </c>
      <c r="AC170" s="335">
        <f t="shared" ref="AC170:AC216" si="77">G113</f>
        <v>206.02941101227444</v>
      </c>
      <c r="AD170" s="335">
        <f t="shared" ref="AD170:AD216" si="78">S113</f>
        <v>227.24220300000002</v>
      </c>
      <c r="AE170" s="335">
        <f>MIN(Paper!I6,Paper!H6)</f>
        <v>0</v>
      </c>
      <c r="AF170" s="335">
        <f t="shared" ref="AF170:AF216" si="79">C60</f>
        <v>0</v>
      </c>
      <c r="AG170" s="533"/>
      <c r="AI170" s="609">
        <f t="shared" ref="AI170:AI216" si="80">Y170</f>
        <v>2014</v>
      </c>
      <c r="AJ170" s="335">
        <f t="shared" ref="AJ170:AJ216" si="81">D170-E170*C113</f>
        <v>1165.4471294753268</v>
      </c>
      <c r="AK170" s="335">
        <f t="shared" ref="AK170:AK216" si="82">I170-J170*C113</f>
        <v>-471.75913001484969</v>
      </c>
      <c r="AL170" s="335">
        <f t="shared" ref="AL170:AL216" si="83">G170-(H170*C113)</f>
        <v>0.56328044701131585</v>
      </c>
      <c r="AM170" s="335">
        <f t="shared" ref="AM170:AM216" si="84">AH60/AB60*X113</f>
        <v>160.7904088841328</v>
      </c>
      <c r="AN170" s="335">
        <f t="shared" ref="AN170:AN216" si="85">AB60-AM170-G113</f>
        <v>259.93254343692604</v>
      </c>
      <c r="AO170" s="335">
        <f t="shared" ref="AO170:AO216" si="86">T170-AE170</f>
        <v>114.54381868167889</v>
      </c>
      <c r="AP170" s="335">
        <f t="shared" ref="AP170:AP216" si="87">AA170-AJ170-AK170-AL170-AM170-AN170-AO170</f>
        <v>-1.1368683772161603E-13</v>
      </c>
      <c r="AS170" s="609">
        <f t="shared" ref="AS170:AS213" si="88">Y170</f>
        <v>2014</v>
      </c>
      <c r="AT170" s="335">
        <f t="shared" si="63"/>
        <v>110.54366841083268</v>
      </c>
      <c r="AU170" s="335">
        <f t="shared" si="63"/>
        <v>206.02941101227444</v>
      </c>
      <c r="AV170" s="335">
        <f t="shared" si="63"/>
        <v>227.24220300000002</v>
      </c>
      <c r="AW170" s="335">
        <f t="shared" si="63"/>
        <v>0</v>
      </c>
      <c r="AX170" s="335">
        <f t="shared" si="63"/>
        <v>0</v>
      </c>
      <c r="AY170" s="335">
        <f t="shared" ref="AY170:AY216" si="89">AE113</f>
        <v>142.75688198659913</v>
      </c>
      <c r="AZ170" s="335">
        <f t="shared" ref="AZ170:AZ216" si="90">AK113</f>
        <v>1086.7611689236269</v>
      </c>
    </row>
    <row r="171" spans="1:52" ht="14.4" x14ac:dyDescent="0.55000000000000004">
      <c r="B171" s="3">
        <v>2015</v>
      </c>
      <c r="C171" s="1205">
        <f t="shared" si="62"/>
        <v>862.84071892596353</v>
      </c>
      <c r="D171" s="1205">
        <f>'Food System Summary'!B13-'Food System Summary'!C13</f>
        <v>1373.0725590764539</v>
      </c>
      <c r="E171" s="1205">
        <f t="shared" ref="E171:E215" si="91">D171/C171</f>
        <v>1.5913395473333833</v>
      </c>
      <c r="F171" s="1205">
        <f t="shared" si="64"/>
        <v>0.72585333519460116</v>
      </c>
      <c r="G171" s="1205">
        <f t="shared" si="65"/>
        <v>0.73689000000000004</v>
      </c>
      <c r="H171" s="1205">
        <f t="shared" ref="H171:H216" si="92">G171/C171</f>
        <v>8.5402784527514777E-4</v>
      </c>
      <c r="I171" s="1205">
        <f t="shared" si="66"/>
        <v>-510.96873015049039</v>
      </c>
      <c r="J171" s="1205">
        <f t="shared" si="67"/>
        <v>-0.59219357517865856</v>
      </c>
      <c r="K171" s="1205">
        <f t="shared" si="68"/>
        <v>-0.27011562827338698</v>
      </c>
      <c r="N171" s="3">
        <v>2015</v>
      </c>
      <c r="O171" s="1205">
        <f t="shared" si="69"/>
        <v>363.88533774070322</v>
      </c>
      <c r="P171" s="1205">
        <f t="shared" si="70"/>
        <v>1.29311</v>
      </c>
      <c r="Q171" s="1205">
        <f t="shared" si="71"/>
        <v>228.08920600000005</v>
      </c>
      <c r="R171" s="1205">
        <f t="shared" ref="R171:R216" si="93">O171-Q171</f>
        <v>135.79613174070317</v>
      </c>
      <c r="S171" s="1206">
        <f>Paper!E7</f>
        <v>363.88533774070322</v>
      </c>
      <c r="T171" s="1205">
        <f t="shared" si="72"/>
        <v>135.79613174070317</v>
      </c>
      <c r="U171" s="1206">
        <f>Paper!I7</f>
        <v>43.478238261237635</v>
      </c>
      <c r="V171" s="1205">
        <f t="shared" si="73"/>
        <v>92.317893479465539</v>
      </c>
      <c r="Y171" s="609">
        <f t="shared" ref="Y171:Y216" si="94">N171</f>
        <v>2015</v>
      </c>
      <c r="Z171" s="335">
        <f t="shared" si="74"/>
        <v>1891.6666666666667</v>
      </c>
      <c r="AA171" s="335">
        <f t="shared" si="75"/>
        <v>1263.5304896051864</v>
      </c>
      <c r="AB171" s="335">
        <f t="shared" si="76"/>
        <v>121.04208551354085</v>
      </c>
      <c r="AC171" s="335">
        <f t="shared" si="77"/>
        <v>235.52664728670166</v>
      </c>
      <c r="AD171" s="335">
        <f t="shared" si="78"/>
        <v>228.08920600000005</v>
      </c>
      <c r="AE171" s="335">
        <f>MIN(Paper!I7,Paper!H7)</f>
        <v>43.478238261237635</v>
      </c>
      <c r="AF171" s="335">
        <f t="shared" si="79"/>
        <v>0</v>
      </c>
      <c r="AI171" s="609">
        <f t="shared" si="80"/>
        <v>2015</v>
      </c>
      <c r="AJ171" s="335">
        <f t="shared" si="81"/>
        <v>1180.4535015070471</v>
      </c>
      <c r="AK171" s="335">
        <f t="shared" si="82"/>
        <v>-439.28838478314572</v>
      </c>
      <c r="AL171" s="335">
        <f t="shared" si="83"/>
        <v>0.63351668852126053</v>
      </c>
      <c r="AM171" s="335">
        <f t="shared" si="84"/>
        <v>159.96368373775803</v>
      </c>
      <c r="AN171" s="335">
        <f t="shared" si="85"/>
        <v>269.4502789755403</v>
      </c>
      <c r="AO171" s="335">
        <f t="shared" si="86"/>
        <v>92.317893479465539</v>
      </c>
      <c r="AP171" s="335">
        <f t="shared" si="87"/>
        <v>-1.4210854715202004E-13</v>
      </c>
      <c r="AS171" s="609">
        <f t="shared" si="88"/>
        <v>2015</v>
      </c>
      <c r="AT171" s="335">
        <f t="shared" si="63"/>
        <v>121.04208551354085</v>
      </c>
      <c r="AU171" s="335">
        <f t="shared" si="63"/>
        <v>235.52664728670166</v>
      </c>
      <c r="AV171" s="335">
        <f t="shared" si="63"/>
        <v>228.08920600000005</v>
      </c>
      <c r="AW171" s="335">
        <f t="shared" si="63"/>
        <v>43.478238261237635</v>
      </c>
      <c r="AX171" s="335">
        <f t="shared" si="63"/>
        <v>0</v>
      </c>
      <c r="AY171" s="335">
        <f t="shared" si="89"/>
        <v>151.22621540688968</v>
      </c>
      <c r="AZ171" s="335">
        <f t="shared" si="90"/>
        <v>1112.3042741982968</v>
      </c>
    </row>
    <row r="172" spans="1:52" ht="14.4" x14ac:dyDescent="0.55000000000000004">
      <c r="B172" s="3">
        <v>2016</v>
      </c>
      <c r="C172" s="1205">
        <f t="shared" si="62"/>
        <v>925.35644999999988</v>
      </c>
      <c r="D172" s="1205">
        <f>'Food System Summary'!B14-'Food System Summary'!C14</f>
        <v>1381.3419093589625</v>
      </c>
      <c r="E172" s="1205">
        <f t="shared" si="91"/>
        <v>1.4927673647911166</v>
      </c>
      <c r="F172" s="1205">
        <f t="shared" si="64"/>
        <v>0.68723478077560329</v>
      </c>
      <c r="G172" s="1205">
        <f t="shared" si="65"/>
        <v>0.75644999999999996</v>
      </c>
      <c r="H172" s="1205">
        <f t="shared" si="92"/>
        <v>8.1746877108815753E-4</v>
      </c>
      <c r="I172" s="1205">
        <f t="shared" si="66"/>
        <v>-456.74190935896263</v>
      </c>
      <c r="J172" s="1205">
        <f t="shared" si="67"/>
        <v>-0.49358483356220478</v>
      </c>
      <c r="K172" s="1205">
        <f t="shared" si="68"/>
        <v>-0.22723478077560333</v>
      </c>
      <c r="N172" s="3">
        <v>2016</v>
      </c>
      <c r="O172" s="1205">
        <f t="shared" si="69"/>
        <v>381.89999999999986</v>
      </c>
      <c r="P172" s="1205">
        <f t="shared" si="70"/>
        <v>1.29355</v>
      </c>
      <c r="Q172" s="1205">
        <f t="shared" si="71"/>
        <v>230.29045599999998</v>
      </c>
      <c r="R172" s="1205">
        <f t="shared" si="93"/>
        <v>151.60954399999989</v>
      </c>
      <c r="S172" s="1206">
        <f>Paper!E8</f>
        <v>381.89999999999986</v>
      </c>
      <c r="T172" s="1205">
        <f t="shared" si="72"/>
        <v>151.60954399999989</v>
      </c>
      <c r="U172" s="1206">
        <f>Paper!I8</f>
        <v>15.835557200146809</v>
      </c>
      <c r="V172" s="1205">
        <f t="shared" si="73"/>
        <v>135.77398679985308</v>
      </c>
      <c r="Y172" s="609">
        <f t="shared" si="94"/>
        <v>2016</v>
      </c>
      <c r="Z172" s="335">
        <f t="shared" si="74"/>
        <v>2009.9999999999998</v>
      </c>
      <c r="AA172" s="335">
        <f t="shared" si="75"/>
        <v>1365.5334841836038</v>
      </c>
      <c r="AB172" s="335">
        <f t="shared" si="76"/>
        <v>131.54050261624903</v>
      </c>
      <c r="AC172" s="335">
        <f t="shared" si="77"/>
        <v>266.79999999999995</v>
      </c>
      <c r="AD172" s="335">
        <f t="shared" si="78"/>
        <v>230.29045599999998</v>
      </c>
      <c r="AE172" s="335">
        <f>MIN(Paper!I8,Paper!H8)</f>
        <v>15.835557200146809</v>
      </c>
      <c r="AF172" s="335">
        <f t="shared" si="79"/>
        <v>0</v>
      </c>
      <c r="AI172" s="609">
        <f t="shared" si="80"/>
        <v>2016</v>
      </c>
      <c r="AJ172" s="335">
        <f t="shared" si="81"/>
        <v>1184.9825399052056</v>
      </c>
      <c r="AK172" s="335">
        <f t="shared" si="82"/>
        <v>-391.8155122684326</v>
      </c>
      <c r="AL172" s="335">
        <f t="shared" si="83"/>
        <v>0.64891974697797628</v>
      </c>
      <c r="AM172" s="335">
        <f t="shared" si="84"/>
        <v>159.90233898702678</v>
      </c>
      <c r="AN172" s="335">
        <f t="shared" si="85"/>
        <v>276.04121101297324</v>
      </c>
      <c r="AO172" s="335">
        <f t="shared" si="86"/>
        <v>135.77398679985308</v>
      </c>
      <c r="AP172" s="335">
        <f t="shared" si="87"/>
        <v>-2.5579538487363607E-13</v>
      </c>
      <c r="AS172" s="609">
        <f t="shared" si="88"/>
        <v>2016</v>
      </c>
      <c r="AT172" s="335">
        <f t="shared" si="63"/>
        <v>131.54050261624903</v>
      </c>
      <c r="AU172" s="335">
        <f t="shared" si="63"/>
        <v>266.79999999999995</v>
      </c>
      <c r="AV172" s="335">
        <f t="shared" si="63"/>
        <v>230.29045599999998</v>
      </c>
      <c r="AW172" s="335">
        <f t="shared" si="63"/>
        <v>15.835557200146809</v>
      </c>
      <c r="AX172" s="335">
        <f t="shared" si="63"/>
        <v>0</v>
      </c>
      <c r="AY172" s="335">
        <f t="shared" si="89"/>
        <v>159.07322452483973</v>
      </c>
      <c r="AZ172" s="335">
        <f t="shared" si="90"/>
        <v>1206.460259658764</v>
      </c>
    </row>
    <row r="173" spans="1:52" ht="14.4" x14ac:dyDescent="0.55000000000000004">
      <c r="B173" s="3">
        <v>2017</v>
      </c>
      <c r="C173" s="1205">
        <f t="shared" si="62"/>
        <v>971.46537076320294</v>
      </c>
      <c r="D173" s="1205">
        <f>'Food System Summary'!B15-'Food System Summary'!C15</f>
        <v>1402.4337305219585</v>
      </c>
      <c r="E173" s="1205">
        <f t="shared" si="91"/>
        <v>1.4436270944173524</v>
      </c>
      <c r="F173" s="1205">
        <f t="shared" si="64"/>
        <v>0.66431672010555631</v>
      </c>
      <c r="G173" s="1205">
        <f t="shared" si="65"/>
        <v>0.87848999999999999</v>
      </c>
      <c r="H173" s="1205">
        <f t="shared" si="92"/>
        <v>9.0429368502331728E-4</v>
      </c>
      <c r="I173" s="1205">
        <f t="shared" si="66"/>
        <v>-431.84684975875558</v>
      </c>
      <c r="J173" s="1205">
        <f t="shared" si="67"/>
        <v>-0.44453138810237564</v>
      </c>
      <c r="K173" s="1205">
        <f t="shared" si="68"/>
        <v>-0.20456088339581019</v>
      </c>
      <c r="N173" s="3">
        <v>2017</v>
      </c>
      <c r="O173" s="1205">
        <f t="shared" si="69"/>
        <v>405.63401095542793</v>
      </c>
      <c r="P173" s="1205">
        <f t="shared" si="70"/>
        <v>1.39151</v>
      </c>
      <c r="Q173" s="1205">
        <f t="shared" si="71"/>
        <v>233.851586</v>
      </c>
      <c r="R173" s="1205">
        <f t="shared" si="93"/>
        <v>171.78242495542793</v>
      </c>
      <c r="S173" s="1206">
        <f>Paper!E9</f>
        <v>407.9843540012323</v>
      </c>
      <c r="T173" s="1205">
        <f t="shared" si="72"/>
        <v>174.13276800123231</v>
      </c>
      <c r="U173" s="1206">
        <f>Paper!I9</f>
        <v>15.825419811333859</v>
      </c>
      <c r="V173" s="1205">
        <f t="shared" si="73"/>
        <v>158.30734818989845</v>
      </c>
      <c r="X173" s="533"/>
      <c r="Y173" s="609">
        <f t="shared" si="94"/>
        <v>2017</v>
      </c>
      <c r="Z173" s="335">
        <f t="shared" si="74"/>
        <v>2111.0920259528007</v>
      </c>
      <c r="AA173" s="335">
        <f t="shared" si="75"/>
        <v>1435.4261867187511</v>
      </c>
      <c r="AB173" s="335">
        <f t="shared" si="76"/>
        <v>142.0389197189572</v>
      </c>
      <c r="AC173" s="335">
        <f t="shared" si="77"/>
        <v>283.94991370375845</v>
      </c>
      <c r="AD173" s="335">
        <f t="shared" si="78"/>
        <v>233.851586</v>
      </c>
      <c r="AE173" s="335">
        <f>MIN(Paper!I9,Paper!H9)</f>
        <v>15.825419811333859</v>
      </c>
      <c r="AF173" s="335">
        <f t="shared" si="79"/>
        <v>0</v>
      </c>
      <c r="AI173" s="609">
        <f t="shared" si="80"/>
        <v>2017</v>
      </c>
      <c r="AJ173" s="335">
        <f t="shared" si="81"/>
        <v>1197.3824975539007</v>
      </c>
      <c r="AK173" s="335">
        <f t="shared" si="82"/>
        <v>-368.70609161152566</v>
      </c>
      <c r="AL173" s="335">
        <f t="shared" si="83"/>
        <v>0.75004510187061302</v>
      </c>
      <c r="AM173" s="335">
        <f t="shared" si="84"/>
        <v>163.13966381865589</v>
      </c>
      <c r="AN173" s="335">
        <f t="shared" si="85"/>
        <v>286.90306671175557</v>
      </c>
      <c r="AO173" s="335">
        <f t="shared" si="86"/>
        <v>158.30734818989845</v>
      </c>
      <c r="AP173" s="335">
        <f t="shared" si="87"/>
        <v>-2.35034304580455</v>
      </c>
      <c r="AS173" s="609">
        <f t="shared" si="88"/>
        <v>2017</v>
      </c>
      <c r="AT173" s="335">
        <f t="shared" si="63"/>
        <v>142.0389197189572</v>
      </c>
      <c r="AU173" s="335">
        <f t="shared" si="63"/>
        <v>283.94991370375845</v>
      </c>
      <c r="AV173" s="335">
        <f t="shared" si="63"/>
        <v>233.851586</v>
      </c>
      <c r="AW173" s="335">
        <f t="shared" si="63"/>
        <v>15.825419811333859</v>
      </c>
      <c r="AX173" s="335">
        <f t="shared" si="63"/>
        <v>0</v>
      </c>
      <c r="AY173" s="335">
        <f t="shared" si="89"/>
        <v>162.84287810907378</v>
      </c>
      <c r="AZ173" s="335">
        <f t="shared" si="90"/>
        <v>1272.5833086096773</v>
      </c>
    </row>
    <row r="174" spans="1:52" ht="14.4" x14ac:dyDescent="0.55000000000000004">
      <c r="B174" s="3">
        <v>2018</v>
      </c>
      <c r="C174" s="1205">
        <f t="shared" si="62"/>
        <v>992.11087384999405</v>
      </c>
      <c r="D174" s="1205">
        <f>'Food System Summary'!B16-'Food System Summary'!C16</f>
        <v>1422.5384092203535</v>
      </c>
      <c r="E174" s="1205">
        <f t="shared" si="91"/>
        <v>1.4338502346013391</v>
      </c>
      <c r="F174" s="1205">
        <f t="shared" si="64"/>
        <v>0.66236605691136829</v>
      </c>
      <c r="G174" s="1205">
        <f t="shared" si="65"/>
        <v>0.91151999999999367</v>
      </c>
      <c r="H174" s="1205">
        <f t="shared" si="92"/>
        <v>9.1876827885450062E-4</v>
      </c>
      <c r="I174" s="1205">
        <f t="shared" si="66"/>
        <v>-431.33905537035946</v>
      </c>
      <c r="J174" s="1205">
        <f t="shared" si="67"/>
        <v>-0.4347690028801936</v>
      </c>
      <c r="K174" s="1205">
        <f t="shared" si="68"/>
        <v>-0.20084121978409322</v>
      </c>
      <c r="N174" s="3">
        <v>2018</v>
      </c>
      <c r="O174" s="1205">
        <f t="shared" si="69"/>
        <v>412.94206046876309</v>
      </c>
      <c r="P174" s="1205">
        <f t="shared" si="70"/>
        <v>1.1984799999999916</v>
      </c>
      <c r="Q174" s="1205">
        <f t="shared" si="71"/>
        <v>229.12442200000001</v>
      </c>
      <c r="R174" s="1205">
        <f t="shared" si="93"/>
        <v>183.81763846876308</v>
      </c>
      <c r="S174" s="1206">
        <f>Paper!E10</f>
        <v>408.843143</v>
      </c>
      <c r="T174" s="1205">
        <f t="shared" si="72"/>
        <v>179.71872099999999</v>
      </c>
      <c r="U174" s="1206">
        <f>Paper!I10</f>
        <v>15.803068795564855</v>
      </c>
      <c r="V174" s="1205">
        <f t="shared" si="73"/>
        <v>163.91565220443513</v>
      </c>
      <c r="X174" s="533"/>
      <c r="Y174" s="609">
        <f t="shared" si="94"/>
        <v>2018</v>
      </c>
      <c r="Z174" s="335">
        <f t="shared" si="74"/>
        <v>2147.6619980403138</v>
      </c>
      <c r="AA174" s="335">
        <f t="shared" si="75"/>
        <v>1457.590820766688</v>
      </c>
      <c r="AB174" s="335">
        <f t="shared" si="76"/>
        <v>152.53733682166535</v>
      </c>
      <c r="AC174" s="335">
        <f t="shared" si="77"/>
        <v>292.60634965639559</v>
      </c>
      <c r="AD174" s="335">
        <f t="shared" si="78"/>
        <v>229.12442200000001</v>
      </c>
      <c r="AE174" s="335">
        <f>MIN(Paper!I10,Paper!H10)</f>
        <v>15.803068795564855</v>
      </c>
      <c r="AF174" s="335">
        <f t="shared" si="79"/>
        <v>0</v>
      </c>
      <c r="AI174" s="609">
        <f t="shared" si="80"/>
        <v>2018</v>
      </c>
      <c r="AJ174" s="335">
        <f t="shared" si="81"/>
        <v>1203.8227130331452</v>
      </c>
      <c r="AK174" s="335">
        <f t="shared" si="82"/>
        <v>-365.02054953840377</v>
      </c>
      <c r="AL174" s="335">
        <f t="shared" si="83"/>
        <v>0.77137353358730298</v>
      </c>
      <c r="AM174" s="335">
        <f t="shared" si="84"/>
        <v>166.42285118716262</v>
      </c>
      <c r="AN174" s="335">
        <f t="shared" si="85"/>
        <v>283.57986287799855</v>
      </c>
      <c r="AO174" s="335">
        <f t="shared" si="86"/>
        <v>163.91565220443513</v>
      </c>
      <c r="AP174" s="335">
        <f>AA174-AJ174-AK174-AL174-AM174-AN174-AO174</f>
        <v>4.0989174687630054</v>
      </c>
      <c r="AS174" s="609">
        <f t="shared" si="88"/>
        <v>2018</v>
      </c>
      <c r="AT174" s="335">
        <f t="shared" si="63"/>
        <v>152.53733682166535</v>
      </c>
      <c r="AU174" s="335">
        <f t="shared" si="63"/>
        <v>292.60634965639559</v>
      </c>
      <c r="AV174" s="335">
        <f t="shared" si="63"/>
        <v>229.12442200000001</v>
      </c>
      <c r="AW174" s="335">
        <f t="shared" si="63"/>
        <v>15.803068795564855</v>
      </c>
      <c r="AX174" s="335">
        <f t="shared" si="63"/>
        <v>0</v>
      </c>
      <c r="AY174" s="335">
        <f t="shared" si="89"/>
        <v>165.19016908698848</v>
      </c>
      <c r="AZ174" s="335">
        <f t="shared" si="90"/>
        <v>1292.4006516796994</v>
      </c>
    </row>
    <row r="175" spans="1:52" ht="14.4" x14ac:dyDescent="0.55000000000000004">
      <c r="B175" s="3">
        <v>2019</v>
      </c>
      <c r="C175" s="1205">
        <f t="shared" si="62"/>
        <v>976.92518414099197</v>
      </c>
      <c r="D175" s="1205">
        <f>'Food System Summary'!B17-'Food System Summary'!C17</f>
        <v>1407.0741458560112</v>
      </c>
      <c r="E175" s="1205">
        <f t="shared" si="91"/>
        <v>1.4403090110664392</v>
      </c>
      <c r="F175" s="1205">
        <f t="shared" si="64"/>
        <v>0.65492124315543787</v>
      </c>
      <c r="G175" s="1205">
        <f t="shared" si="65"/>
        <v>0.96060141147028377</v>
      </c>
      <c r="H175" s="1205">
        <f t="shared" si="92"/>
        <v>9.8329066244201525E-4</v>
      </c>
      <c r="I175" s="1205">
        <f t="shared" si="66"/>
        <v>-431.10956312648955</v>
      </c>
      <c r="J175" s="1205">
        <f t="shared" si="67"/>
        <v>-0.44129230172888129</v>
      </c>
      <c r="K175" s="1205">
        <f t="shared" si="68"/>
        <v>-0.20065951168993404</v>
      </c>
      <c r="N175" s="3">
        <v>2019</v>
      </c>
      <c r="O175" s="1205">
        <f t="shared" si="69"/>
        <v>420.5365627522981</v>
      </c>
      <c r="P175" s="1205">
        <f t="shared" si="70"/>
        <v>1.2505985885297073</v>
      </c>
      <c r="Q175" s="1205">
        <f t="shared" si="71"/>
        <v>247.4345544521365</v>
      </c>
      <c r="R175" s="1205">
        <f t="shared" si="93"/>
        <v>173.1020083001616</v>
      </c>
      <c r="S175" s="1206">
        <f>Paper!E11</f>
        <v>414.74298663357462</v>
      </c>
      <c r="T175" s="1205">
        <f t="shared" si="72"/>
        <v>167.30843218143812</v>
      </c>
      <c r="U175" s="1206">
        <f>Paper!I11</f>
        <v>15.765092744093181</v>
      </c>
      <c r="V175" s="1205">
        <f t="shared" si="73"/>
        <v>151.54333943734494</v>
      </c>
      <c r="X175" s="533"/>
      <c r="Y175" s="609">
        <f t="shared" si="94"/>
        <v>2019</v>
      </c>
      <c r="Z175" s="335">
        <f t="shared" si="74"/>
        <v>2184.0313313767401</v>
      </c>
      <c r="AA175" s="335">
        <f t="shared" si="75"/>
        <v>1424.1835612289451</v>
      </c>
      <c r="AB175" s="335">
        <f t="shared" si="76"/>
        <v>159.84366853160702</v>
      </c>
      <c r="AC175" s="335">
        <f t="shared" si="77"/>
        <v>301.23625591804961</v>
      </c>
      <c r="AD175" s="335">
        <f t="shared" si="78"/>
        <v>247.4345544521365</v>
      </c>
      <c r="AE175" s="335">
        <f>MIN(Paper!I11,Paper!H11)</f>
        <v>15.765092744093181</v>
      </c>
      <c r="AF175" s="335">
        <f t="shared" si="79"/>
        <v>35.56819850190854</v>
      </c>
      <c r="AI175" s="609">
        <f t="shared" si="80"/>
        <v>2019</v>
      </c>
      <c r="AJ175" s="335">
        <f t="shared" si="81"/>
        <v>1176.8498697080206</v>
      </c>
      <c r="AK175" s="335">
        <f t="shared" si="82"/>
        <v>-360.57178272338831</v>
      </c>
      <c r="AL175" s="335">
        <f t="shared" si="83"/>
        <v>0.80342862475267796</v>
      </c>
      <c r="AM175" s="335">
        <f t="shared" si="84"/>
        <v>157.30941818496601</v>
      </c>
      <c r="AN175" s="335">
        <f t="shared" si="85"/>
        <v>292.45571187852585</v>
      </c>
      <c r="AO175" s="335">
        <f t="shared" si="86"/>
        <v>151.54333943734494</v>
      </c>
      <c r="AP175" s="335">
        <f t="shared" si="87"/>
        <v>5.7935761187233368</v>
      </c>
      <c r="AS175" s="609">
        <f t="shared" si="88"/>
        <v>2019</v>
      </c>
      <c r="AT175" s="335">
        <f t="shared" si="63"/>
        <v>159.84366853160702</v>
      </c>
      <c r="AU175" s="335">
        <f t="shared" si="63"/>
        <v>301.23625591804961</v>
      </c>
      <c r="AV175" s="335">
        <f t="shared" si="63"/>
        <v>247.4345544521365</v>
      </c>
      <c r="AW175" s="335">
        <f t="shared" si="63"/>
        <v>15.765092744093181</v>
      </c>
      <c r="AX175" s="335">
        <f t="shared" si="63"/>
        <v>35.56819850190854</v>
      </c>
      <c r="AY175" s="335">
        <f t="shared" si="89"/>
        <v>246.60823880527803</v>
      </c>
      <c r="AZ175" s="335">
        <f t="shared" si="90"/>
        <v>1177.5753224236671</v>
      </c>
    </row>
    <row r="176" spans="1:52" ht="14.4" x14ac:dyDescent="0.55000000000000004">
      <c r="B176" s="3">
        <v>2020</v>
      </c>
      <c r="C176" s="1205">
        <f t="shared" si="62"/>
        <v>961.16889020562417</v>
      </c>
      <c r="D176" s="1205">
        <f>'Food System Summary'!B18-'Food System Summary'!C18</f>
        <v>1390.8760037564734</v>
      </c>
      <c r="E176" s="1205">
        <f t="shared" si="91"/>
        <v>1.4470672302543224</v>
      </c>
      <c r="F176" s="1205">
        <f t="shared" si="64"/>
        <v>0.64723169666809022</v>
      </c>
      <c r="G176" s="1205">
        <f t="shared" si="65"/>
        <v>1.0368558152116811</v>
      </c>
      <c r="H176" s="1205">
        <f t="shared" si="92"/>
        <v>1.0787446678490241E-3</v>
      </c>
      <c r="I176" s="1205">
        <f t="shared" si="66"/>
        <v>-430.74396936606098</v>
      </c>
      <c r="J176" s="1205">
        <f t="shared" si="67"/>
        <v>-0.4481459749221714</v>
      </c>
      <c r="K176" s="1205">
        <f t="shared" si="68"/>
        <v>-0.20044284995167452</v>
      </c>
      <c r="N176" s="3">
        <v>2020</v>
      </c>
      <c r="O176" s="1205">
        <f t="shared" si="69"/>
        <v>428.489730995061</v>
      </c>
      <c r="P176" s="1205">
        <f t="shared" si="70"/>
        <v>1.2755441847883155</v>
      </c>
      <c r="Q176" s="1205">
        <f t="shared" si="71"/>
        <v>256.53011227147397</v>
      </c>
      <c r="R176" s="1205">
        <f t="shared" si="93"/>
        <v>171.95961872358703</v>
      </c>
      <c r="S176" s="1206">
        <f>Paper!E12</f>
        <v>424.86563496218895</v>
      </c>
      <c r="T176" s="1205">
        <f t="shared" si="72"/>
        <v>168.33552269071498</v>
      </c>
      <c r="U176" s="1206">
        <f>Paper!I12</f>
        <v>15.714087498649576</v>
      </c>
      <c r="V176" s="1205">
        <f t="shared" si="73"/>
        <v>152.62143519206541</v>
      </c>
      <c r="X176" s="533"/>
      <c r="Y176" s="609">
        <f t="shared" si="94"/>
        <v>2020</v>
      </c>
      <c r="Z176" s="335">
        <f t="shared" si="74"/>
        <v>2220.6184110457084</v>
      </c>
      <c r="AA176" s="335">
        <f t="shared" si="75"/>
        <v>1399.7188434407024</v>
      </c>
      <c r="AB176" s="335">
        <f t="shared" si="76"/>
        <v>166.9303328480238</v>
      </c>
      <c r="AC176" s="335">
        <f t="shared" si="77"/>
        <v>310.0681332686745</v>
      </c>
      <c r="AD176" s="335">
        <f t="shared" si="78"/>
        <v>256.53011227147397</v>
      </c>
      <c r="AE176" s="335">
        <f>MIN(Paper!I12,Paper!H12)</f>
        <v>15.714087498649576</v>
      </c>
      <c r="AF176" s="335">
        <f t="shared" si="79"/>
        <v>71.65690171818423</v>
      </c>
      <c r="AI176" s="609">
        <f t="shared" si="80"/>
        <v>2020</v>
      </c>
      <c r="AJ176" s="335">
        <f t="shared" si="81"/>
        <v>1149.3165893566515</v>
      </c>
      <c r="AK176" s="335">
        <f t="shared" si="82"/>
        <v>-355.93481260780078</v>
      </c>
      <c r="AL176" s="335">
        <f t="shared" si="83"/>
        <v>0.8567806087496127</v>
      </c>
      <c r="AM176" s="335">
        <f t="shared" si="84"/>
        <v>161.12481353922891</v>
      </c>
      <c r="AN176" s="335">
        <f t="shared" si="85"/>
        <v>288.10994131893563</v>
      </c>
      <c r="AO176" s="335">
        <f t="shared" si="86"/>
        <v>152.62143519206541</v>
      </c>
      <c r="AP176" s="335">
        <f t="shared" si="87"/>
        <v>3.6240960328719325</v>
      </c>
      <c r="AS176" s="609">
        <f t="shared" si="88"/>
        <v>2020</v>
      </c>
      <c r="AT176" s="335">
        <f t="shared" si="63"/>
        <v>166.9303328480238</v>
      </c>
      <c r="AU176" s="335">
        <f t="shared" si="63"/>
        <v>310.0681332686745</v>
      </c>
      <c r="AV176" s="335">
        <f t="shared" si="63"/>
        <v>256.53011227147397</v>
      </c>
      <c r="AW176" s="335">
        <f t="shared" si="63"/>
        <v>15.714087498649576</v>
      </c>
      <c r="AX176" s="335">
        <f t="shared" si="63"/>
        <v>71.65690171818423</v>
      </c>
      <c r="AY176" s="335">
        <f t="shared" si="89"/>
        <v>273.17799049209589</v>
      </c>
      <c r="AZ176" s="335">
        <f t="shared" si="90"/>
        <v>1126.5408529486065</v>
      </c>
    </row>
    <row r="177" spans="2:52" ht="14.4" x14ac:dyDescent="0.55000000000000004">
      <c r="B177" s="3">
        <v>2021</v>
      </c>
      <c r="C177" s="1205">
        <f t="shared" si="62"/>
        <v>944.33027171992512</v>
      </c>
      <c r="D177" s="1205">
        <f>'Food System Summary'!B19-'Food System Summary'!C19</f>
        <v>1372.8329544862322</v>
      </c>
      <c r="E177" s="1205">
        <f t="shared" si="91"/>
        <v>1.4537635778485294</v>
      </c>
      <c r="F177" s="1205">
        <f t="shared" si="64"/>
        <v>0.63913716688187117</v>
      </c>
      <c r="G177" s="1205">
        <f t="shared" si="65"/>
        <v>1.1151044023402212</v>
      </c>
      <c r="H177" s="1205">
        <f t="shared" si="92"/>
        <v>1.1808415294251471E-3</v>
      </c>
      <c r="I177" s="1205">
        <f t="shared" si="66"/>
        <v>-429.61778716864728</v>
      </c>
      <c r="J177" s="1205">
        <f t="shared" si="67"/>
        <v>-0.45494441937795443</v>
      </c>
      <c r="K177" s="1205">
        <f t="shared" si="68"/>
        <v>-0.20001318764655404</v>
      </c>
      <c r="N177" s="3">
        <v>2021</v>
      </c>
      <c r="O177" s="1205">
        <f t="shared" si="69"/>
        <v>436.53477366616164</v>
      </c>
      <c r="P177" s="1205">
        <f t="shared" si="70"/>
        <v>1.2984955976597525</v>
      </c>
      <c r="Q177" s="1205">
        <f t="shared" si="71"/>
        <v>265.82489330513022</v>
      </c>
      <c r="R177" s="1205">
        <f t="shared" si="93"/>
        <v>170.70988036103142</v>
      </c>
      <c r="S177" s="1206">
        <f>Paper!E13</f>
        <v>435.00883978153735</v>
      </c>
      <c r="T177" s="1205">
        <f t="shared" si="72"/>
        <v>169.18394647640713</v>
      </c>
      <c r="U177" s="1206">
        <f>Paper!I13</f>
        <v>15.494297163452188</v>
      </c>
      <c r="V177" s="1205">
        <f t="shared" si="73"/>
        <v>153.68964931295494</v>
      </c>
      <c r="X177" s="533"/>
      <c r="Y177" s="609">
        <f t="shared" si="94"/>
        <v>2021</v>
      </c>
      <c r="Z177" s="335">
        <f t="shared" si="74"/>
        <v>2256.0862349785043</v>
      </c>
      <c r="AA177" s="335">
        <f t="shared" si="75"/>
        <v>1374.1343046008228</v>
      </c>
      <c r="AB177" s="335">
        <f t="shared" si="76"/>
        <v>173.92674888400089</v>
      </c>
      <c r="AC177" s="335">
        <f t="shared" si="77"/>
        <v>318.56706004052148</v>
      </c>
      <c r="AD177" s="335">
        <f t="shared" si="78"/>
        <v>265.82489330513022</v>
      </c>
      <c r="AE177" s="335">
        <f>MIN(Paper!I13,Paper!H13)</f>
        <v>15.494297163452188</v>
      </c>
      <c r="AF177" s="335">
        <f t="shared" si="79"/>
        <v>108.1389309845767</v>
      </c>
      <c r="AI177" s="609">
        <f t="shared" si="80"/>
        <v>2021</v>
      </c>
      <c r="AJ177" s="335">
        <f t="shared" si="81"/>
        <v>1119.9845817450644</v>
      </c>
      <c r="AK177" s="335">
        <f t="shared" si="82"/>
        <v>-350.49078338332021</v>
      </c>
      <c r="AL177" s="335">
        <f t="shared" si="83"/>
        <v>0.90972447418009406</v>
      </c>
      <c r="AM177" s="335">
        <f t="shared" si="84"/>
        <v>163.6145391043701</v>
      </c>
      <c r="AN177" s="335">
        <f t="shared" si="85"/>
        <v>284.90065946294919</v>
      </c>
      <c r="AO177" s="335">
        <f t="shared" si="86"/>
        <v>153.68964931295494</v>
      </c>
      <c r="AP177" s="335">
        <f t="shared" si="87"/>
        <v>1.525933884624294</v>
      </c>
      <c r="AS177" s="609">
        <f t="shared" si="88"/>
        <v>2021</v>
      </c>
      <c r="AT177" s="335">
        <f t="shared" si="63"/>
        <v>173.92674888400089</v>
      </c>
      <c r="AU177" s="335">
        <f t="shared" si="63"/>
        <v>318.56706004052148</v>
      </c>
      <c r="AV177" s="335">
        <f t="shared" si="63"/>
        <v>265.82489330513022</v>
      </c>
      <c r="AW177" s="335">
        <f t="shared" si="63"/>
        <v>15.494297163452188</v>
      </c>
      <c r="AX177" s="335">
        <f t="shared" si="63"/>
        <v>108.1389309845767</v>
      </c>
      <c r="AY177" s="335">
        <f t="shared" si="89"/>
        <v>297.36425092534949</v>
      </c>
      <c r="AZ177" s="335">
        <f t="shared" si="90"/>
        <v>1076.7700536754733</v>
      </c>
    </row>
    <row r="178" spans="2:52" ht="14.4" x14ac:dyDescent="0.55000000000000004">
      <c r="B178" s="3">
        <v>2022</v>
      </c>
      <c r="C178" s="1205">
        <f t="shared" si="62"/>
        <v>927.18564267171246</v>
      </c>
      <c r="D178" s="1205">
        <f>'Food System Summary'!B20-'Food System Summary'!C20</f>
        <v>1354.0745884482151</v>
      </c>
      <c r="E178" s="1205">
        <f t="shared" si="91"/>
        <v>1.4604136713618749</v>
      </c>
      <c r="F178" s="1205">
        <f t="shared" si="64"/>
        <v>0.63066384921527785</v>
      </c>
      <c r="G178" s="1205">
        <f t="shared" si="65"/>
        <v>1.1952639065759652</v>
      </c>
      <c r="H178" s="1205">
        <f t="shared" si="92"/>
        <v>1.2891311637783533E-3</v>
      </c>
      <c r="I178" s="1205">
        <f t="shared" si="66"/>
        <v>-428.0842096830786</v>
      </c>
      <c r="J178" s="1205">
        <f t="shared" si="67"/>
        <v>-0.46170280252565332</v>
      </c>
      <c r="K178" s="1205">
        <f t="shared" si="68"/>
        <v>-0.19938136183207417</v>
      </c>
      <c r="N178" s="3">
        <v>2022</v>
      </c>
      <c r="O178" s="1205">
        <f t="shared" si="69"/>
        <v>444.97804003951114</v>
      </c>
      <c r="P178" s="1205">
        <f t="shared" si="70"/>
        <v>1.3195360934240146</v>
      </c>
      <c r="Q178" s="1205">
        <f t="shared" si="71"/>
        <v>275.14194685047261</v>
      </c>
      <c r="R178" s="1205">
        <f t="shared" si="93"/>
        <v>169.83609318903854</v>
      </c>
      <c r="S178" s="1206">
        <f>Paper!E14</f>
        <v>444.54089977599546</v>
      </c>
      <c r="T178" s="1205">
        <f t="shared" si="72"/>
        <v>169.39895292552285</v>
      </c>
      <c r="U178" s="1206">
        <f>Paper!I14</f>
        <v>15.27837508652101</v>
      </c>
      <c r="V178" s="1205">
        <f t="shared" si="73"/>
        <v>154.12057783900184</v>
      </c>
      <c r="X178" s="533"/>
      <c r="Y178" s="609">
        <f t="shared" si="94"/>
        <v>2022</v>
      </c>
      <c r="Z178" s="335">
        <f t="shared" si="74"/>
        <v>2292.067049961684</v>
      </c>
      <c r="AA178" s="335">
        <f t="shared" si="75"/>
        <v>1348.4194932922892</v>
      </c>
      <c r="AB178" s="335">
        <f t="shared" si="76"/>
        <v>181.06223349464767</v>
      </c>
      <c r="AC178" s="335">
        <f t="shared" si="77"/>
        <v>327.16027319774361</v>
      </c>
      <c r="AD178" s="335">
        <f t="shared" si="78"/>
        <v>275.14194685047261</v>
      </c>
      <c r="AE178" s="335">
        <f>MIN(Paper!I14,Paper!H14)</f>
        <v>15.27837508652101</v>
      </c>
      <c r="AF178" s="335">
        <f t="shared" si="79"/>
        <v>145.00472804000998</v>
      </c>
      <c r="AI178" s="609">
        <f t="shared" si="80"/>
        <v>2022</v>
      </c>
      <c r="AJ178" s="335">
        <f t="shared" si="81"/>
        <v>1089.6488272853157</v>
      </c>
      <c r="AK178" s="335">
        <f t="shared" si="82"/>
        <v>-344.48726904704557</v>
      </c>
      <c r="AL178" s="335">
        <f t="shared" si="83"/>
        <v>0.96185093879470207</v>
      </c>
      <c r="AM178" s="335">
        <f t="shared" si="84"/>
        <v>166.02415090188595</v>
      </c>
      <c r="AN178" s="335">
        <f t="shared" si="85"/>
        <v>281.71421511082093</v>
      </c>
      <c r="AO178" s="335">
        <f t="shared" si="86"/>
        <v>154.12057783900184</v>
      </c>
      <c r="AP178" s="335">
        <f t="shared" si="87"/>
        <v>0.43714026351568691</v>
      </c>
      <c r="AS178" s="609">
        <f t="shared" si="88"/>
        <v>2022</v>
      </c>
      <c r="AT178" s="335">
        <f t="shared" si="63"/>
        <v>181.06223349464767</v>
      </c>
      <c r="AU178" s="335">
        <f t="shared" si="63"/>
        <v>327.16027319774361</v>
      </c>
      <c r="AV178" s="335">
        <f t="shared" si="63"/>
        <v>275.14194685047261</v>
      </c>
      <c r="AW178" s="335">
        <f t="shared" si="63"/>
        <v>15.27837508652101</v>
      </c>
      <c r="AX178" s="335">
        <f t="shared" si="63"/>
        <v>145.00472804000998</v>
      </c>
      <c r="AY178" s="335">
        <f t="shared" si="89"/>
        <v>322.81854120686864</v>
      </c>
      <c r="AZ178" s="335">
        <f t="shared" si="90"/>
        <v>1025.6009520854204</v>
      </c>
    </row>
    <row r="179" spans="2:52" ht="14.4" x14ac:dyDescent="0.55000000000000004">
      <c r="B179" s="3">
        <v>2023</v>
      </c>
      <c r="C179" s="1205">
        <f t="shared" si="62"/>
        <v>909.43861187182176</v>
      </c>
      <c r="D179" s="1205">
        <f>'Food System Summary'!B21-'Food System Summary'!C21</f>
        <v>1334.6708346893518</v>
      </c>
      <c r="E179" s="1205">
        <f t="shared" si="91"/>
        <v>1.467576609643074</v>
      </c>
      <c r="F179" s="1205">
        <f t="shared" si="64"/>
        <v>0.62205274838570679</v>
      </c>
      <c r="G179" s="1205">
        <f t="shared" si="65"/>
        <v>1.2879999999999929</v>
      </c>
      <c r="H179" s="1205">
        <f t="shared" si="92"/>
        <v>1.4162583193482513E-3</v>
      </c>
      <c r="I179" s="1205">
        <f t="shared" si="66"/>
        <v>-426.52022281753</v>
      </c>
      <c r="J179" s="1205">
        <f t="shared" si="67"/>
        <v>-0.4689928679624224</v>
      </c>
      <c r="K179" s="1205">
        <f t="shared" si="68"/>
        <v>-0.19878914706897158</v>
      </c>
      <c r="N179" s="3">
        <v>2023</v>
      </c>
      <c r="O179" s="1205">
        <f t="shared" si="69"/>
        <v>453.66612655333154</v>
      </c>
      <c r="P179" s="1205">
        <f t="shared" si="70"/>
        <v>1.3279999999999925</v>
      </c>
      <c r="Q179" s="1205">
        <f t="shared" si="71"/>
        <v>284.92227925384248</v>
      </c>
      <c r="R179" s="1205">
        <f t="shared" si="93"/>
        <v>168.74384729948906</v>
      </c>
      <c r="S179" s="1206">
        <f>Paper!E15</f>
        <v>454.17772675559291</v>
      </c>
      <c r="T179" s="1205">
        <f t="shared" si="72"/>
        <v>169.25544750175044</v>
      </c>
      <c r="U179" s="1206">
        <f>Paper!I15</f>
        <v>15.067653902712948</v>
      </c>
      <c r="V179" s="1205">
        <f t="shared" si="73"/>
        <v>154.18779359903749</v>
      </c>
      <c r="X179" s="533"/>
      <c r="Y179" s="609">
        <f t="shared" si="94"/>
        <v>2023</v>
      </c>
      <c r="Z179" s="335">
        <f t="shared" si="74"/>
        <v>2327.8121531494985</v>
      </c>
      <c r="AA179" s="335">
        <f t="shared" si="75"/>
        <v>1321.5853647912993</v>
      </c>
      <c r="AB179" s="335">
        <f t="shared" si="76"/>
        <v>188.27708525069994</v>
      </c>
      <c r="AC179" s="335">
        <f t="shared" si="77"/>
        <v>335.73870719203529</v>
      </c>
      <c r="AD179" s="335">
        <f t="shared" si="78"/>
        <v>284.92227925384248</v>
      </c>
      <c r="AE179" s="335">
        <f>MIN(Paper!I15,Paper!H15)</f>
        <v>15.067653902712948</v>
      </c>
      <c r="AF179" s="335">
        <f t="shared" si="79"/>
        <v>182.22106275890874</v>
      </c>
      <c r="AI179" s="609">
        <f t="shared" si="80"/>
        <v>2023</v>
      </c>
      <c r="AJ179" s="335">
        <f t="shared" si="81"/>
        <v>1058.3597882436495</v>
      </c>
      <c r="AK179" s="335">
        <f t="shared" si="82"/>
        <v>-338.21961263419871</v>
      </c>
      <c r="AL179" s="335">
        <f t="shared" si="83"/>
        <v>1.0213510116710491</v>
      </c>
      <c r="AM179" s="335">
        <f t="shared" si="84"/>
        <v>168.35039735962116</v>
      </c>
      <c r="AN179" s="335">
        <f t="shared" si="85"/>
        <v>278.39724741378001</v>
      </c>
      <c r="AO179" s="335">
        <f t="shared" si="86"/>
        <v>154.18779359903749</v>
      </c>
      <c r="AP179" s="335">
        <f t="shared" si="87"/>
        <v>-0.51160020226126335</v>
      </c>
      <c r="AS179" s="609">
        <f t="shared" si="88"/>
        <v>2023</v>
      </c>
      <c r="AT179" s="335">
        <f t="shared" si="63"/>
        <v>188.27708525069994</v>
      </c>
      <c r="AU179" s="335">
        <f t="shared" si="63"/>
        <v>335.73870719203529</v>
      </c>
      <c r="AV179" s="335">
        <f t="shared" si="63"/>
        <v>284.92227925384248</v>
      </c>
      <c r="AW179" s="335">
        <f t="shared" si="63"/>
        <v>15.067653902712948</v>
      </c>
      <c r="AX179" s="335">
        <f t="shared" si="63"/>
        <v>182.22106275890874</v>
      </c>
      <c r="AY179" s="335">
        <f t="shared" si="89"/>
        <v>348.23572707903827</v>
      </c>
      <c r="AZ179" s="335">
        <f t="shared" si="90"/>
        <v>973.34963771226103</v>
      </c>
    </row>
    <row r="180" spans="2:52" ht="14.4" x14ac:dyDescent="0.55000000000000004">
      <c r="B180" s="3">
        <v>2024</v>
      </c>
      <c r="C180" s="1205">
        <f t="shared" si="62"/>
        <v>891.57022156516246</v>
      </c>
      <c r="D180" s="1205">
        <f>'Food System Summary'!B22-'Food System Summary'!C22</f>
        <v>1314.6831744473786</v>
      </c>
      <c r="E180" s="1205">
        <f t="shared" si="91"/>
        <v>1.4745705303385259</v>
      </c>
      <c r="F180" s="1205">
        <f t="shared" si="64"/>
        <v>0.61331626842295983</v>
      </c>
      <c r="G180" s="1205">
        <f t="shared" si="65"/>
        <v>1.8366301455772722</v>
      </c>
      <c r="H180" s="1205">
        <f t="shared" si="92"/>
        <v>2.0599949405589674E-3</v>
      </c>
      <c r="I180" s="1205">
        <f t="shared" si="66"/>
        <v>-424.94958302779344</v>
      </c>
      <c r="J180" s="1205">
        <f t="shared" si="67"/>
        <v>-0.47663052527908484</v>
      </c>
      <c r="K180" s="1205">
        <f t="shared" si="68"/>
        <v>-0.19824433566669253</v>
      </c>
      <c r="N180" s="3">
        <v>2024</v>
      </c>
      <c r="O180" s="1205">
        <f t="shared" si="69"/>
        <v>462.59049872442324</v>
      </c>
      <c r="P180" s="1205">
        <f t="shared" si="70"/>
        <v>1.8301607959200388</v>
      </c>
      <c r="Q180" s="1205">
        <f t="shared" si="71"/>
        <v>295.17561424329585</v>
      </c>
      <c r="R180" s="1205">
        <f t="shared" si="93"/>
        <v>167.41488448112739</v>
      </c>
      <c r="S180" s="1206">
        <f>Paper!E16</f>
        <v>463.86975570882623</v>
      </c>
      <c r="T180" s="1205">
        <f t="shared" si="72"/>
        <v>168.69414146553038</v>
      </c>
      <c r="U180" s="1206">
        <f>Paper!I16</f>
        <v>14.864567701617432</v>
      </c>
      <c r="V180" s="1205">
        <f t="shared" si="73"/>
        <v>153.82957376391295</v>
      </c>
      <c r="X180" s="533"/>
      <c r="Y180" s="609">
        <f t="shared" si="94"/>
        <v>2024</v>
      </c>
      <c r="Z180" s="335">
        <f t="shared" si="74"/>
        <v>2363.3235557594176</v>
      </c>
      <c r="AA180" s="335">
        <f t="shared" si="75"/>
        <v>1293.6659512138467</v>
      </c>
      <c r="AB180" s="335">
        <f t="shared" si="76"/>
        <v>195.56542141078231</v>
      </c>
      <c r="AC180" s="335">
        <f t="shared" si="77"/>
        <v>344.29326204271939</v>
      </c>
      <c r="AD180" s="335">
        <f t="shared" si="78"/>
        <v>295.17561424329585</v>
      </c>
      <c r="AE180" s="335">
        <f>MIN(Paper!I16,Paper!H16)</f>
        <v>14.864567701617432</v>
      </c>
      <c r="AF180" s="335">
        <f t="shared" si="79"/>
        <v>219.75873914715552</v>
      </c>
      <c r="AI180" s="609">
        <f t="shared" si="80"/>
        <v>2024</v>
      </c>
      <c r="AJ180" s="335">
        <f t="shared" si="81"/>
        <v>1026.3081672818041</v>
      </c>
      <c r="AK180" s="335">
        <f t="shared" si="82"/>
        <v>-331.73713349434666</v>
      </c>
      <c r="AL180" s="335">
        <f t="shared" si="83"/>
        <v>1.4337663669227783</v>
      </c>
      <c r="AM180" s="335">
        <f t="shared" si="84"/>
        <v>170.79083757777533</v>
      </c>
      <c r="AN180" s="335">
        <f t="shared" si="85"/>
        <v>274.31999670218141</v>
      </c>
      <c r="AO180" s="335">
        <f t="shared" si="86"/>
        <v>153.82957376391295</v>
      </c>
      <c r="AP180" s="335">
        <f t="shared" si="87"/>
        <v>-1.2792569844032755</v>
      </c>
      <c r="AS180" s="609">
        <f t="shared" si="88"/>
        <v>2024</v>
      </c>
      <c r="AT180" s="335">
        <f t="shared" si="63"/>
        <v>195.56542141078231</v>
      </c>
      <c r="AU180" s="335">
        <f t="shared" si="63"/>
        <v>344.29326204271939</v>
      </c>
      <c r="AV180" s="335">
        <f t="shared" si="63"/>
        <v>295.17561424329585</v>
      </c>
      <c r="AW180" s="335">
        <f t="shared" si="63"/>
        <v>14.864567701617432</v>
      </c>
      <c r="AX180" s="335">
        <f t="shared" si="63"/>
        <v>219.75873914715552</v>
      </c>
      <c r="AY180" s="335">
        <f t="shared" si="89"/>
        <v>373.61608173336145</v>
      </c>
      <c r="AZ180" s="335">
        <f t="shared" si="90"/>
        <v>920.04986948048531</v>
      </c>
    </row>
    <row r="181" spans="2:52" ht="14.4" x14ac:dyDescent="0.55000000000000004">
      <c r="B181" s="3">
        <v>2025</v>
      </c>
      <c r="C181" s="1205">
        <f t="shared" si="62"/>
        <v>871.61309548814188</v>
      </c>
      <c r="D181" s="1205">
        <f>'Food System Summary'!B23-'Food System Summary'!C23</f>
        <v>1294.1645095427534</v>
      </c>
      <c r="E181" s="1205">
        <f t="shared" si="91"/>
        <v>1.4847924110387121</v>
      </c>
      <c r="F181" s="1205">
        <f t="shared" si="64"/>
        <v>0.604754405005685</v>
      </c>
      <c r="G181" s="1205">
        <f t="shared" si="65"/>
        <v>2.3442265100814756</v>
      </c>
      <c r="H181" s="1205">
        <f t="shared" si="92"/>
        <v>2.6895264908435149E-3</v>
      </c>
      <c r="I181" s="1205">
        <f t="shared" si="66"/>
        <v>-424.895640564693</v>
      </c>
      <c r="J181" s="1205">
        <f t="shared" si="67"/>
        <v>-0.48748193752955565</v>
      </c>
      <c r="K181" s="1205">
        <f t="shared" si="68"/>
        <v>-0.1985508862316098</v>
      </c>
      <c r="N181" s="3">
        <v>2025</v>
      </c>
      <c r="O181" s="1205">
        <f t="shared" si="69"/>
        <v>472.56202593600051</v>
      </c>
      <c r="P181" s="1205">
        <f t="shared" si="70"/>
        <v>2.2235867463247496</v>
      </c>
      <c r="Q181" s="1205">
        <f t="shared" si="71"/>
        <v>307.10062821402789</v>
      </c>
      <c r="R181" s="1205">
        <f t="shared" si="93"/>
        <v>165.46139772197262</v>
      </c>
      <c r="S181" s="1206">
        <f>Paper!E17</f>
        <v>474.09423178165162</v>
      </c>
      <c r="T181" s="1205">
        <f t="shared" si="72"/>
        <v>166.99360356762372</v>
      </c>
      <c r="U181" s="1206">
        <f>Paper!I17</f>
        <v>14.667952258686853</v>
      </c>
      <c r="V181" s="1205">
        <f t="shared" si="73"/>
        <v>152.32565130893687</v>
      </c>
      <c r="X181" s="533"/>
      <c r="Y181" s="609">
        <f t="shared" si="94"/>
        <v>2025</v>
      </c>
      <c r="Z181" s="335">
        <f t="shared" si="74"/>
        <v>2397.5749666971119</v>
      </c>
      <c r="AA181" s="335">
        <f t="shared" si="75"/>
        <v>1262.8993089654425</v>
      </c>
      <c r="AB181" s="335">
        <f t="shared" si="76"/>
        <v>202.65080862506096</v>
      </c>
      <c r="AC181" s="335">
        <f t="shared" si="77"/>
        <v>352.66490326431153</v>
      </c>
      <c r="AD181" s="335">
        <f t="shared" si="78"/>
        <v>307.10062821402789</v>
      </c>
      <c r="AE181" s="335">
        <f>MIN(Paper!I17,Paper!H17)</f>
        <v>14.667952258686853</v>
      </c>
      <c r="AF181" s="335">
        <f t="shared" si="79"/>
        <v>257.59136536958215</v>
      </c>
      <c r="AI181" s="609">
        <f t="shared" si="80"/>
        <v>2025</v>
      </c>
      <c r="AJ181" s="335">
        <f t="shared" si="81"/>
        <v>993.27012680540452</v>
      </c>
      <c r="AK181" s="335">
        <f t="shared" si="82"/>
        <v>-326.10703173421712</v>
      </c>
      <c r="AL181" s="335">
        <f t="shared" si="83"/>
        <v>1.7991917918935147</v>
      </c>
      <c r="AM181" s="335">
        <f t="shared" si="84"/>
        <v>173.33801884101771</v>
      </c>
      <c r="AN181" s="335">
        <f t="shared" si="85"/>
        <v>269.8055577980582</v>
      </c>
      <c r="AO181" s="335">
        <f t="shared" si="86"/>
        <v>152.32565130893687</v>
      </c>
      <c r="AP181" s="335">
        <f t="shared" si="87"/>
        <v>-1.5322058456511627</v>
      </c>
      <c r="AS181" s="609">
        <f t="shared" si="88"/>
        <v>2025</v>
      </c>
      <c r="AT181" s="335">
        <f t="shared" si="63"/>
        <v>202.65080862506096</v>
      </c>
      <c r="AU181" s="335">
        <f t="shared" si="63"/>
        <v>352.66490326431153</v>
      </c>
      <c r="AV181" s="335">
        <f t="shared" si="63"/>
        <v>307.10062821402789</v>
      </c>
      <c r="AW181" s="335">
        <f t="shared" si="63"/>
        <v>14.667952258686853</v>
      </c>
      <c r="AX181" s="335">
        <f t="shared" si="63"/>
        <v>257.59136536958215</v>
      </c>
      <c r="AY181" s="335">
        <f t="shared" si="89"/>
        <v>396.94034470855428</v>
      </c>
      <c r="AZ181" s="335">
        <f t="shared" si="90"/>
        <v>865.95896425688829</v>
      </c>
    </row>
    <row r="182" spans="2:52" ht="14.4" x14ac:dyDescent="0.55000000000000004">
      <c r="B182" s="3">
        <v>2026</v>
      </c>
      <c r="C182" s="1205">
        <f t="shared" si="62"/>
        <v>858.23635929680438</v>
      </c>
      <c r="D182" s="1205">
        <f>'Food System Summary'!B24-'Food System Summary'!C24</f>
        <v>1273.1585608023261</v>
      </c>
      <c r="E182" s="1205">
        <f t="shared" si="91"/>
        <v>1.4834591275595548</v>
      </c>
      <c r="F182" s="1205">
        <f t="shared" si="64"/>
        <v>0.5931742620746745</v>
      </c>
      <c r="G182" s="1205">
        <f t="shared" si="65"/>
        <v>2.9767318854505089</v>
      </c>
      <c r="H182" s="1205">
        <f t="shared" si="92"/>
        <v>3.4684290093343201E-3</v>
      </c>
      <c r="I182" s="1205">
        <f t="shared" si="66"/>
        <v>-417.89893339097222</v>
      </c>
      <c r="J182" s="1205">
        <f t="shared" si="67"/>
        <v>-0.4869275565688892</v>
      </c>
      <c r="K182" s="1205">
        <f t="shared" si="68"/>
        <v>-0.19470229323185698</v>
      </c>
      <c r="N182" s="3">
        <v>2026</v>
      </c>
      <c r="O182" s="1205">
        <f t="shared" si="69"/>
        <v>482.77278403707021</v>
      </c>
      <c r="P182" s="1205">
        <f t="shared" si="70"/>
        <v>2.6908109387219059</v>
      </c>
      <c r="Q182" s="1205">
        <f t="shared" si="71"/>
        <v>317.14142506220816</v>
      </c>
      <c r="R182" s="1205">
        <f t="shared" si="93"/>
        <v>165.63135897486205</v>
      </c>
      <c r="S182" s="1206">
        <f>Paper!E18</f>
        <v>484.32983940790632</v>
      </c>
      <c r="T182" s="1205">
        <f t="shared" si="72"/>
        <v>167.18841434569816</v>
      </c>
      <c r="U182" s="1206">
        <f>Paper!I18</f>
        <v>14.47409556283867</v>
      </c>
      <c r="V182" s="1205">
        <f t="shared" si="73"/>
        <v>152.71431878285949</v>
      </c>
      <c r="X182" s="533"/>
      <c r="Y182" s="609">
        <f t="shared" si="94"/>
        <v>2026</v>
      </c>
      <c r="Z182" s="335">
        <f t="shared" si="74"/>
        <v>2442.0419175786424</v>
      </c>
      <c r="AA182" s="335">
        <f t="shared" si="75"/>
        <v>1241.1154532715732</v>
      </c>
      <c r="AB182" s="335">
        <f t="shared" si="76"/>
        <v>211.06749222219909</v>
      </c>
      <c r="AC182" s="335">
        <f t="shared" si="77"/>
        <v>362.54982004813644</v>
      </c>
      <c r="AD182" s="335">
        <f t="shared" si="78"/>
        <v>317.14142506220816</v>
      </c>
      <c r="AE182" s="335">
        <f>MIN(Paper!I18,Paper!H18)</f>
        <v>14.47409556283867</v>
      </c>
      <c r="AF182" s="335">
        <f t="shared" si="79"/>
        <v>295.69363141168691</v>
      </c>
      <c r="AI182" s="609">
        <f t="shared" si="80"/>
        <v>2026</v>
      </c>
      <c r="AJ182" s="335">
        <f t="shared" si="81"/>
        <v>960.04856293419948</v>
      </c>
      <c r="AK182" s="335">
        <f t="shared" si="82"/>
        <v>-315.1243551320938</v>
      </c>
      <c r="AL182" s="335">
        <f t="shared" si="83"/>
        <v>2.2446592724995877</v>
      </c>
      <c r="AM182" s="335">
        <f t="shared" si="84"/>
        <v>175.77046698246915</v>
      </c>
      <c r="AN182" s="335">
        <f t="shared" si="85"/>
        <v>267.01885580247506</v>
      </c>
      <c r="AO182" s="335">
        <f t="shared" si="86"/>
        <v>152.71431878285949</v>
      </c>
      <c r="AP182" s="335">
        <f t="shared" si="87"/>
        <v>-1.5570553708357693</v>
      </c>
      <c r="AS182" s="609">
        <f t="shared" si="88"/>
        <v>2026</v>
      </c>
      <c r="AT182" s="335">
        <f t="shared" si="63"/>
        <v>211.06749222219909</v>
      </c>
      <c r="AU182" s="335">
        <f t="shared" si="63"/>
        <v>362.54982004813644</v>
      </c>
      <c r="AV182" s="335">
        <f t="shared" si="63"/>
        <v>317.14142506220816</v>
      </c>
      <c r="AW182" s="335">
        <f t="shared" si="63"/>
        <v>14.47409556283867</v>
      </c>
      <c r="AX182" s="335">
        <f t="shared" si="63"/>
        <v>295.69363141168691</v>
      </c>
      <c r="AY182" s="335">
        <f t="shared" si="89"/>
        <v>423.67644056405226</v>
      </c>
      <c r="AZ182" s="335">
        <f t="shared" si="90"/>
        <v>817.43901270752099</v>
      </c>
    </row>
    <row r="183" spans="2:52" ht="14.4" x14ac:dyDescent="0.55000000000000004">
      <c r="B183" s="3">
        <v>2027</v>
      </c>
      <c r="C183" s="1205">
        <f t="shared" si="62"/>
        <v>844.84490336195745</v>
      </c>
      <c r="D183" s="1205">
        <f>'Food System Summary'!B25-'Food System Summary'!C25</f>
        <v>1251.7032588172094</v>
      </c>
      <c r="E183" s="1205">
        <f t="shared" si="91"/>
        <v>1.4815775698429483</v>
      </c>
      <c r="F183" s="1205">
        <f t="shared" si="64"/>
        <v>0.58081769238217262</v>
      </c>
      <c r="G183" s="1205">
        <f t="shared" si="65"/>
        <v>3.7404646868092248</v>
      </c>
      <c r="H183" s="1205">
        <f t="shared" si="92"/>
        <v>4.4273980607854781E-3</v>
      </c>
      <c r="I183" s="1205">
        <f t="shared" si="66"/>
        <v>-410.59882014206119</v>
      </c>
      <c r="J183" s="1205">
        <f t="shared" si="67"/>
        <v>-0.48600496790373376</v>
      </c>
      <c r="K183" s="1205">
        <f t="shared" si="68"/>
        <v>-0.19052683415964583</v>
      </c>
      <c r="N183" s="3">
        <v>2027</v>
      </c>
      <c r="O183" s="1205">
        <f t="shared" si="69"/>
        <v>494.79968322305865</v>
      </c>
      <c r="P183" s="1205">
        <f t="shared" si="70"/>
        <v>3.2257107242619378</v>
      </c>
      <c r="Q183" s="1205">
        <f t="shared" si="71"/>
        <v>328.87461484153636</v>
      </c>
      <c r="R183" s="1205">
        <f t="shared" si="93"/>
        <v>165.92506838152229</v>
      </c>
      <c r="S183" s="1206">
        <f>Paper!E19</f>
        <v>495.41509035042276</v>
      </c>
      <c r="T183" s="1205">
        <f t="shared" si="72"/>
        <v>166.5404755088864</v>
      </c>
      <c r="U183" s="1206">
        <f>Paper!I19</f>
        <v>14.281701416224735</v>
      </c>
      <c r="V183" s="1205">
        <f t="shared" si="73"/>
        <v>152.25877409266167</v>
      </c>
      <c r="X183" s="533"/>
      <c r="Y183" s="609">
        <f t="shared" si="94"/>
        <v>2027</v>
      </c>
      <c r="Z183" s="335">
        <f t="shared" si="74"/>
        <v>2489.1118050597343</v>
      </c>
      <c r="AA183" s="335">
        <f t="shared" si="75"/>
        <v>1219.4129888624586</v>
      </c>
      <c r="AB183" s="335">
        <f t="shared" si="76"/>
        <v>219.65228833518719</v>
      </c>
      <c r="AC183" s="335">
        <f t="shared" si="77"/>
        <v>372.84922348795908</v>
      </c>
      <c r="AD183" s="335">
        <f t="shared" si="78"/>
        <v>328.87461484153636</v>
      </c>
      <c r="AE183" s="335">
        <f>MIN(Paper!I19,Paper!H19)</f>
        <v>14.281701416224735</v>
      </c>
      <c r="AF183" s="335">
        <f t="shared" si="79"/>
        <v>334.04098811636828</v>
      </c>
      <c r="AI183" s="609">
        <f t="shared" si="80"/>
        <v>2027</v>
      </c>
      <c r="AJ183" s="335">
        <f t="shared" si="81"/>
        <v>926.27135525512017</v>
      </c>
      <c r="AK183" s="335">
        <f t="shared" si="82"/>
        <v>-303.84671679973684</v>
      </c>
      <c r="AL183" s="335">
        <f t="shared" si="83"/>
        <v>2.7679765713869244</v>
      </c>
      <c r="AM183" s="335">
        <f t="shared" si="84"/>
        <v>178.08220254606519</v>
      </c>
      <c r="AN183" s="335">
        <f t="shared" si="85"/>
        <v>264.49480432432563</v>
      </c>
      <c r="AO183" s="335">
        <f t="shared" si="86"/>
        <v>152.25877409266167</v>
      </c>
      <c r="AP183" s="335">
        <f t="shared" si="87"/>
        <v>-0.61540712736410796</v>
      </c>
      <c r="AS183" s="609">
        <f t="shared" si="88"/>
        <v>2027</v>
      </c>
      <c r="AT183" s="335">
        <f t="shared" si="63"/>
        <v>219.65228833518719</v>
      </c>
      <c r="AU183" s="335">
        <f t="shared" si="63"/>
        <v>372.84922348795908</v>
      </c>
      <c r="AV183" s="335">
        <f t="shared" si="63"/>
        <v>328.87461484153636</v>
      </c>
      <c r="AW183" s="335">
        <f t="shared" si="63"/>
        <v>14.281701416224735</v>
      </c>
      <c r="AX183" s="335">
        <f t="shared" si="63"/>
        <v>334.04098811636828</v>
      </c>
      <c r="AY183" s="335">
        <f t="shared" si="89"/>
        <v>448.33821664518143</v>
      </c>
      <c r="AZ183" s="335">
        <f t="shared" si="90"/>
        <v>771.0747722172772</v>
      </c>
    </row>
    <row r="184" spans="2:52" ht="14.4" x14ac:dyDescent="0.55000000000000004">
      <c r="B184" s="3">
        <v>2028</v>
      </c>
      <c r="C184" s="1205">
        <f t="shared" si="62"/>
        <v>831.15892629854648</v>
      </c>
      <c r="D184" s="1205">
        <f>'Food System Summary'!B26-'Food System Summary'!C26</f>
        <v>1229.8332846170215</v>
      </c>
      <c r="E184" s="1205">
        <f t="shared" si="91"/>
        <v>1.4796608033723673</v>
      </c>
      <c r="F184" s="1205">
        <f t="shared" si="64"/>
        <v>0.56848911606072927</v>
      </c>
      <c r="G184" s="1205">
        <f t="shared" si="65"/>
        <v>4.6414329449127987</v>
      </c>
      <c r="H184" s="1205">
        <f t="shared" si="92"/>
        <v>5.5842905587055302E-3</v>
      </c>
      <c r="I184" s="1205">
        <f t="shared" si="66"/>
        <v>-403.31579126338784</v>
      </c>
      <c r="J184" s="1205">
        <f t="shared" si="67"/>
        <v>-0.48524509393107285</v>
      </c>
      <c r="K184" s="1205">
        <f t="shared" si="68"/>
        <v>-0.18643229170696621</v>
      </c>
      <c r="N184" s="3">
        <v>2028</v>
      </c>
      <c r="O184" s="1205">
        <f t="shared" si="69"/>
        <v>507.05725259720555</v>
      </c>
      <c r="P184" s="1205">
        <f t="shared" si="70"/>
        <v>3.8224738382321224</v>
      </c>
      <c r="Q184" s="1205">
        <f t="shared" si="71"/>
        <v>345.06126756348812</v>
      </c>
      <c r="R184" s="1205">
        <f t="shared" si="93"/>
        <v>161.99598503371743</v>
      </c>
      <c r="S184" s="1206">
        <f>Paper!E20</f>
        <v>506.50122051119558</v>
      </c>
      <c r="T184" s="1205">
        <f t="shared" si="72"/>
        <v>161.43995294770747</v>
      </c>
      <c r="U184" s="1206">
        <f>Paper!I20</f>
        <v>14.093189301744189</v>
      </c>
      <c r="V184" s="1205">
        <f t="shared" si="73"/>
        <v>147.34676364596328</v>
      </c>
      <c r="X184" s="533"/>
      <c r="Y184" s="609">
        <f t="shared" si="94"/>
        <v>2028</v>
      </c>
      <c r="Z184" s="335">
        <f t="shared" si="74"/>
        <v>2535.9468423081339</v>
      </c>
      <c r="AA184" s="335">
        <f t="shared" si="75"/>
        <v>1192.6957555417466</v>
      </c>
      <c r="AB184" s="335">
        <f t="shared" si="76"/>
        <v>228.34468948059947</v>
      </c>
      <c r="AC184" s="335">
        <f t="shared" si="77"/>
        <v>383.14165086648291</v>
      </c>
      <c r="AD184" s="335">
        <f t="shared" si="78"/>
        <v>345.06126756348812</v>
      </c>
      <c r="AE184" s="335">
        <f>MIN(Paper!I20,Paper!H20)</f>
        <v>14.093189301744189</v>
      </c>
      <c r="AF184" s="335">
        <f t="shared" si="79"/>
        <v>372.61028955407261</v>
      </c>
      <c r="AI184" s="609">
        <f t="shared" si="80"/>
        <v>2028</v>
      </c>
      <c r="AJ184" s="335">
        <f t="shared" si="81"/>
        <v>891.96059793434392</v>
      </c>
      <c r="AK184" s="335">
        <f t="shared" si="82"/>
        <v>-292.51265096771272</v>
      </c>
      <c r="AL184" s="335">
        <f t="shared" si="83"/>
        <v>3.3662898513157411</v>
      </c>
      <c r="AM184" s="335">
        <f t="shared" si="84"/>
        <v>180.27365629423014</v>
      </c>
      <c r="AN184" s="335">
        <f t="shared" si="85"/>
        <v>261.70506669759629</v>
      </c>
      <c r="AO184" s="335">
        <f t="shared" si="86"/>
        <v>147.34676364596328</v>
      </c>
      <c r="AP184" s="335">
        <f t="shared" si="87"/>
        <v>0.55603208600996368</v>
      </c>
      <c r="AS184" s="609">
        <f t="shared" si="88"/>
        <v>2028</v>
      </c>
      <c r="AT184" s="335">
        <f t="shared" si="63"/>
        <v>228.34468948059947</v>
      </c>
      <c r="AU184" s="335">
        <f t="shared" si="63"/>
        <v>383.14165086648291</v>
      </c>
      <c r="AV184" s="335">
        <f t="shared" si="63"/>
        <v>345.06126756348812</v>
      </c>
      <c r="AW184" s="335">
        <f t="shared" si="63"/>
        <v>14.093189301744189</v>
      </c>
      <c r="AX184" s="335">
        <f t="shared" si="63"/>
        <v>372.61028955407261</v>
      </c>
      <c r="AY184" s="335">
        <f t="shared" si="89"/>
        <v>472.43314509528648</v>
      </c>
      <c r="AZ184" s="335">
        <f t="shared" si="90"/>
        <v>720.26261044646014</v>
      </c>
    </row>
    <row r="185" spans="2:52" ht="14.4" x14ac:dyDescent="0.55000000000000004">
      <c r="B185" s="3">
        <v>2029</v>
      </c>
      <c r="C185" s="1205">
        <f t="shared" si="62"/>
        <v>817.21354299583868</v>
      </c>
      <c r="D185" s="1205">
        <f>'Food System Summary'!B27-'Food System Summary'!C27</f>
        <v>1207.5796337378365</v>
      </c>
      <c r="E185" s="1205">
        <f t="shared" si="91"/>
        <v>1.4776794193974654</v>
      </c>
      <c r="F185" s="1205">
        <f t="shared" si="64"/>
        <v>0.55618766782278706</v>
      </c>
      <c r="G185" s="1205">
        <f t="shared" si="65"/>
        <v>5.6853471549795351</v>
      </c>
      <c r="H185" s="1205">
        <f t="shared" si="92"/>
        <v>6.9569908669617894E-3</v>
      </c>
      <c r="I185" s="1205">
        <f t="shared" si="66"/>
        <v>-396.05143789697735</v>
      </c>
      <c r="J185" s="1205">
        <f t="shared" si="67"/>
        <v>-0.48463641026442716</v>
      </c>
      <c r="K185" s="1205">
        <f t="shared" si="68"/>
        <v>-0.18241358120619264</v>
      </c>
      <c r="N185" s="3">
        <v>2029</v>
      </c>
      <c r="O185" s="1205">
        <f t="shared" si="69"/>
        <v>519.54063998228582</v>
      </c>
      <c r="P185" s="1205">
        <f t="shared" si="70"/>
        <v>4.4755855516312302</v>
      </c>
      <c r="Q185" s="1205">
        <f t="shared" si="71"/>
        <v>353.89539444827244</v>
      </c>
      <c r="R185" s="1205">
        <f t="shared" si="93"/>
        <v>165.64524553401338</v>
      </c>
      <c r="S185" s="1206">
        <f>Paper!E21</f>
        <v>517.85417053637252</v>
      </c>
      <c r="T185" s="1205">
        <f t="shared" si="72"/>
        <v>163.95877608810008</v>
      </c>
      <c r="U185" s="1206">
        <f>Paper!I21</f>
        <v>13.908756703063489</v>
      </c>
      <c r="V185" s="1205">
        <f t="shared" si="73"/>
        <v>150.05001938503659</v>
      </c>
      <c r="X185" s="533"/>
      <c r="Y185" s="609">
        <f t="shared" si="94"/>
        <v>2029</v>
      </c>
      <c r="Z185" s="335">
        <f t="shared" si="74"/>
        <v>2582.5519206119802</v>
      </c>
      <c r="AA185" s="335">
        <f t="shared" si="75"/>
        <v>1172.8015954370146</v>
      </c>
      <c r="AB185" s="335">
        <f t="shared" si="76"/>
        <v>237.14295530314223</v>
      </c>
      <c r="AC185" s="335">
        <f t="shared" si="77"/>
        <v>393.42427370673022</v>
      </c>
      <c r="AD185" s="335">
        <f t="shared" si="78"/>
        <v>353.89539444827244</v>
      </c>
      <c r="AE185" s="335">
        <f>MIN(Paper!I21,Paper!H21)</f>
        <v>13.908756703063489</v>
      </c>
      <c r="AF185" s="335">
        <f t="shared" si="79"/>
        <v>411.37894501375746</v>
      </c>
      <c r="AI185" s="609">
        <f t="shared" si="80"/>
        <v>2029</v>
      </c>
      <c r="AJ185" s="335">
        <f t="shared" si="81"/>
        <v>857.15836923129018</v>
      </c>
      <c r="AK185" s="335">
        <f t="shared" si="82"/>
        <v>-281.12332731936499</v>
      </c>
      <c r="AL185" s="335">
        <f t="shared" si="83"/>
        <v>4.0355457807712467</v>
      </c>
      <c r="AM185" s="335">
        <f t="shared" si="84"/>
        <v>182.34348815050677</v>
      </c>
      <c r="AN185" s="335">
        <f t="shared" si="85"/>
        <v>258.6510307628613</v>
      </c>
      <c r="AO185" s="335">
        <f t="shared" si="86"/>
        <v>150.05001938503659</v>
      </c>
      <c r="AP185" s="335">
        <f t="shared" si="87"/>
        <v>1.6864694459134739</v>
      </c>
      <c r="AS185" s="609">
        <f t="shared" si="88"/>
        <v>2029</v>
      </c>
      <c r="AT185" s="335">
        <f t="shared" si="63"/>
        <v>237.14295530314223</v>
      </c>
      <c r="AU185" s="335">
        <f t="shared" si="63"/>
        <v>393.42427370673022</v>
      </c>
      <c r="AV185" s="335">
        <f t="shared" si="63"/>
        <v>353.89539444827244</v>
      </c>
      <c r="AW185" s="335">
        <f t="shared" si="63"/>
        <v>13.908756703063489</v>
      </c>
      <c r="AX185" s="335">
        <f t="shared" si="63"/>
        <v>411.37894501375746</v>
      </c>
      <c r="AY185" s="335">
        <f t="shared" si="89"/>
        <v>496.30217363209351</v>
      </c>
      <c r="AZ185" s="335">
        <f t="shared" si="90"/>
        <v>676.4994218049211</v>
      </c>
    </row>
    <row r="186" spans="2:52" ht="14.4" x14ac:dyDescent="0.55000000000000004">
      <c r="B186" s="3">
        <v>2030</v>
      </c>
      <c r="C186" s="1205">
        <f t="shared" si="62"/>
        <v>804.48073741220503</v>
      </c>
      <c r="D186" s="1205">
        <f>'Food System Summary'!B28-'Food System Summary'!C28</f>
        <v>1184.9711823878106</v>
      </c>
      <c r="E186" s="1205">
        <f t="shared" si="91"/>
        <v>1.4729640217359827</v>
      </c>
      <c r="F186" s="1205">
        <f t="shared" si="64"/>
        <v>0.54315632193420749</v>
      </c>
      <c r="G186" s="1205">
        <f t="shared" si="65"/>
        <v>6.8776326503284642</v>
      </c>
      <c r="H186" s="1205">
        <f t="shared" si="92"/>
        <v>8.5491576497554577E-3</v>
      </c>
      <c r="I186" s="1205">
        <f t="shared" si="66"/>
        <v>-387.36807762593401</v>
      </c>
      <c r="J186" s="1205">
        <f t="shared" si="67"/>
        <v>-0.48151317938573818</v>
      </c>
      <c r="K186" s="1205">
        <f t="shared" si="68"/>
        <v>-0.17755825914183954</v>
      </c>
      <c r="N186" s="3">
        <v>2030</v>
      </c>
      <c r="O186" s="1205">
        <f t="shared" si="69"/>
        <v>532.85894389310522</v>
      </c>
      <c r="P186" s="1205">
        <f t="shared" si="70"/>
        <v>5.1798162972990989</v>
      </c>
      <c r="Q186" s="1205">
        <f t="shared" si="71"/>
        <v>367.20537918399901</v>
      </c>
      <c r="R186" s="1205">
        <f t="shared" si="93"/>
        <v>165.65356470910621</v>
      </c>
      <c r="S186" s="1206">
        <f>Paper!E22</f>
        <v>529.5753875852597</v>
      </c>
      <c r="T186" s="1205">
        <f t="shared" si="72"/>
        <v>162.37000840126069</v>
      </c>
      <c r="U186" s="1206">
        <f>Paper!I22</f>
        <v>13.728173775782238</v>
      </c>
      <c r="V186" s="1205">
        <f t="shared" si="73"/>
        <v>148.64183462547845</v>
      </c>
      <c r="X186" s="533"/>
      <c r="Y186" s="609">
        <f t="shared" si="94"/>
        <v>2030</v>
      </c>
      <c r="Z186" s="335">
        <f t="shared" si="74"/>
        <v>2631.964314994379</v>
      </c>
      <c r="AA186" s="335">
        <f t="shared" si="75"/>
        <v>1150.2173599145858</v>
      </c>
      <c r="AB186" s="335">
        <f t="shared" si="76"/>
        <v>246.32878267889808</v>
      </c>
      <c r="AC186" s="335">
        <f t="shared" si="77"/>
        <v>404.15961257089981</v>
      </c>
      <c r="AD186" s="335">
        <f t="shared" si="78"/>
        <v>367.20537918399901</v>
      </c>
      <c r="AE186" s="335">
        <f>MIN(Paper!I22,Paper!H22)</f>
        <v>13.728173775782238</v>
      </c>
      <c r="AF186" s="335">
        <f t="shared" si="79"/>
        <v>450.325006870214</v>
      </c>
      <c r="AI186" s="609">
        <f t="shared" si="80"/>
        <v>2030</v>
      </c>
      <c r="AJ186" s="335">
        <f t="shared" si="81"/>
        <v>822.13774798377199</v>
      </c>
      <c r="AK186" s="335">
        <f t="shared" si="82"/>
        <v>-268.75752230399922</v>
      </c>
      <c r="AL186" s="335">
        <f t="shared" si="83"/>
        <v>4.7717290535342132</v>
      </c>
      <c r="AM186" s="335">
        <f t="shared" si="84"/>
        <v>184.29191384679436</v>
      </c>
      <c r="AN186" s="335">
        <f t="shared" si="85"/>
        <v>255.84810040116037</v>
      </c>
      <c r="AO186" s="335">
        <f t="shared" si="86"/>
        <v>148.64183462547845</v>
      </c>
      <c r="AP186" s="335">
        <f t="shared" si="87"/>
        <v>3.2835563078456289</v>
      </c>
      <c r="AS186" s="609">
        <f t="shared" si="88"/>
        <v>2030</v>
      </c>
      <c r="AT186" s="335">
        <f t="shared" si="63"/>
        <v>246.32878267889808</v>
      </c>
      <c r="AU186" s="335">
        <f t="shared" si="63"/>
        <v>404.15961257089981</v>
      </c>
      <c r="AV186" s="335">
        <f t="shared" si="63"/>
        <v>367.20537918399901</v>
      </c>
      <c r="AW186" s="335">
        <f t="shared" si="63"/>
        <v>13.728173775782238</v>
      </c>
      <c r="AX186" s="335">
        <f t="shared" si="63"/>
        <v>450.325006870214</v>
      </c>
      <c r="AY186" s="335">
        <f t="shared" si="89"/>
        <v>519.22918248800215</v>
      </c>
      <c r="AZ186" s="335">
        <f t="shared" si="90"/>
        <v>630.98817742658366</v>
      </c>
    </row>
    <row r="187" spans="2:52" ht="14.4" x14ac:dyDescent="0.55000000000000004">
      <c r="B187" s="3">
        <v>2031</v>
      </c>
      <c r="C187" s="1205">
        <f t="shared" si="62"/>
        <v>789.65155660515359</v>
      </c>
      <c r="D187" s="1205">
        <f>'Food System Summary'!B29-'Food System Summary'!C29</f>
        <v>1160.6510073343256</v>
      </c>
      <c r="E187" s="1205">
        <f t="shared" si="91"/>
        <v>1.4698267832512886</v>
      </c>
      <c r="F187" s="1205">
        <f t="shared" si="64"/>
        <v>0.53079301890478869</v>
      </c>
      <c r="G187" s="1205">
        <f t="shared" si="65"/>
        <v>8.2234415176937663</v>
      </c>
      <c r="H187" s="1205">
        <f t="shared" si="92"/>
        <v>1.0414012926217407E-2</v>
      </c>
      <c r="I187" s="1205">
        <f t="shared" si="66"/>
        <v>-379.2228922468658</v>
      </c>
      <c r="J187" s="1205">
        <f t="shared" si="67"/>
        <v>-0.48024079617750587</v>
      </c>
      <c r="K187" s="1205">
        <f t="shared" si="68"/>
        <v>-0.1734275527626695</v>
      </c>
      <c r="N187" s="3">
        <v>2031</v>
      </c>
      <c r="O187" s="1205">
        <f t="shared" si="69"/>
        <v>545.16563800679319</v>
      </c>
      <c r="P187" s="1205">
        <f t="shared" si="70"/>
        <v>5.9302097547768318</v>
      </c>
      <c r="Q187" s="1205">
        <f t="shared" si="71"/>
        <v>380.50867492995854</v>
      </c>
      <c r="R187" s="1205">
        <f t="shared" si="93"/>
        <v>164.65696307683464</v>
      </c>
      <c r="S187" s="1206">
        <f>Paper!E23</f>
        <v>541.34905474398454</v>
      </c>
      <c r="T187" s="1205">
        <f t="shared" si="72"/>
        <v>160.84037981402599</v>
      </c>
      <c r="U187" s="1206">
        <f>Paper!I23</f>
        <v>13.550761741626104</v>
      </c>
      <c r="V187" s="1205">
        <f t="shared" si="73"/>
        <v>147.28961807239989</v>
      </c>
      <c r="X187" s="533"/>
      <c r="Y187" s="609">
        <f t="shared" si="94"/>
        <v>2031</v>
      </c>
      <c r="Z187" s="335">
        <f t="shared" si="74"/>
        <v>2675.0918435535782</v>
      </c>
      <c r="AA187" s="335">
        <f t="shared" si="75"/>
        <v>1123.5792099058885</v>
      </c>
      <c r="AB187" s="335">
        <f t="shared" si="76"/>
        <v>255.05002871114968</v>
      </c>
      <c r="AC187" s="335">
        <f t="shared" si="77"/>
        <v>413.94710550810652</v>
      </c>
      <c r="AD187" s="335">
        <f t="shared" si="78"/>
        <v>380.50867492995854</v>
      </c>
      <c r="AE187" s="335">
        <f>MIN(Paper!I23,Paper!H23)</f>
        <v>13.550761741626104</v>
      </c>
      <c r="AF187" s="335">
        <f t="shared" si="79"/>
        <v>488.45606275684906</v>
      </c>
      <c r="AI187" s="609">
        <f t="shared" si="80"/>
        <v>2031</v>
      </c>
      <c r="AJ187" s="335">
        <f t="shared" si="81"/>
        <v>785.77164406566772</v>
      </c>
      <c r="AK187" s="335">
        <f t="shared" si="82"/>
        <v>-256.73746339352755</v>
      </c>
      <c r="AL187" s="335">
        <f t="shared" si="83"/>
        <v>5.5673472218637325</v>
      </c>
      <c r="AM187" s="335">
        <f t="shared" si="84"/>
        <v>186.11140834255357</v>
      </c>
      <c r="AN187" s="335">
        <f t="shared" si="85"/>
        <v>251.76007233412253</v>
      </c>
      <c r="AO187" s="335">
        <f t="shared" si="86"/>
        <v>147.28961807239989</v>
      </c>
      <c r="AP187" s="335">
        <f t="shared" si="87"/>
        <v>3.816583262808706</v>
      </c>
      <c r="AS187" s="609">
        <f t="shared" si="88"/>
        <v>2031</v>
      </c>
      <c r="AT187" s="335">
        <f t="shared" si="63"/>
        <v>255.05002871114968</v>
      </c>
      <c r="AU187" s="335">
        <f t="shared" si="63"/>
        <v>413.94710550810652</v>
      </c>
      <c r="AV187" s="335">
        <f t="shared" si="63"/>
        <v>380.50867492995854</v>
      </c>
      <c r="AW187" s="335">
        <f t="shared" si="63"/>
        <v>13.550761741626104</v>
      </c>
      <c r="AX187" s="335">
        <f t="shared" si="63"/>
        <v>488.45606275684906</v>
      </c>
      <c r="AY187" s="335">
        <f t="shared" si="89"/>
        <v>542.06651819247668</v>
      </c>
      <c r="AZ187" s="335">
        <f t="shared" si="90"/>
        <v>581.51269171341187</v>
      </c>
    </row>
    <row r="188" spans="2:52" ht="14.4" x14ac:dyDescent="0.55000000000000004">
      <c r="B188" s="3">
        <v>2032</v>
      </c>
      <c r="C188" s="1205">
        <f t="shared" si="62"/>
        <v>775.78763944986099</v>
      </c>
      <c r="D188" s="1205">
        <f>'Food System Summary'!B30-'Food System Summary'!C30</f>
        <v>1136.1435344460351</v>
      </c>
      <c r="E188" s="1205">
        <f t="shared" si="91"/>
        <v>1.4645032695438607</v>
      </c>
      <c r="F188" s="1205">
        <f t="shared" si="64"/>
        <v>0.51795664386756035</v>
      </c>
      <c r="G188" s="1205">
        <f t="shared" si="65"/>
        <v>9.7276640694768304</v>
      </c>
      <c r="H188" s="1205">
        <f t="shared" si="92"/>
        <v>1.2539081025285564E-2</v>
      </c>
      <c r="I188" s="1205">
        <f t="shared" si="66"/>
        <v>-370.08355906565095</v>
      </c>
      <c r="J188" s="1205">
        <f t="shared" si="67"/>
        <v>-0.47704235056914618</v>
      </c>
      <c r="K188" s="1205">
        <f t="shared" si="68"/>
        <v>-0.16871744844956596</v>
      </c>
      <c r="N188" s="3">
        <v>2032</v>
      </c>
      <c r="O188" s="1205">
        <f t="shared" si="69"/>
        <v>558.10617480621863</v>
      </c>
      <c r="P188" s="1205">
        <f t="shared" si="70"/>
        <v>6.7220713777054888</v>
      </c>
      <c r="Q188" s="1205">
        <f t="shared" si="71"/>
        <v>394.32394053803961</v>
      </c>
      <c r="R188" s="1205">
        <f t="shared" si="93"/>
        <v>163.78223426817902</v>
      </c>
      <c r="S188" s="1206">
        <f>Paper!E24</f>
        <v>553.43367037320627</v>
      </c>
      <c r="T188" s="1205">
        <f t="shared" si="72"/>
        <v>159.10972983516666</v>
      </c>
      <c r="U188" s="1206">
        <f>Paper!I24</f>
        <v>13.376384602145947</v>
      </c>
      <c r="V188" s="1205">
        <f t="shared" si="73"/>
        <v>145.73334523302071</v>
      </c>
      <c r="Y188" s="609">
        <f t="shared" si="94"/>
        <v>2032</v>
      </c>
      <c r="Z188" s="335">
        <f t="shared" si="74"/>
        <v>2720.1024132340781</v>
      </c>
      <c r="AA188" s="335">
        <f t="shared" si="75"/>
        <v>1097.7102943816114</v>
      </c>
      <c r="AB188" s="335">
        <f t="shared" si="76"/>
        <v>264.06467111355244</v>
      </c>
      <c r="AC188" s="335">
        <f t="shared" si="77"/>
        <v>424.03559082086588</v>
      </c>
      <c r="AD188" s="335">
        <f t="shared" si="78"/>
        <v>394.32394053803961</v>
      </c>
      <c r="AE188" s="335">
        <f>MIN(Paper!I24,Paper!H24)</f>
        <v>13.376384602145947</v>
      </c>
      <c r="AF188" s="335">
        <f t="shared" si="79"/>
        <v>526.591531777863</v>
      </c>
      <c r="AI188" s="609">
        <f t="shared" si="80"/>
        <v>2032</v>
      </c>
      <c r="AJ188" s="335">
        <f t="shared" si="81"/>
        <v>749.4199602292133</v>
      </c>
      <c r="AK188" s="335">
        <f t="shared" si="82"/>
        <v>-244.11352765537339</v>
      </c>
      <c r="AL188" s="335">
        <f t="shared" si="83"/>
        <v>6.4165357624686123</v>
      </c>
      <c r="AM188" s="335">
        <f t="shared" si="84"/>
        <v>187.80385303538336</v>
      </c>
      <c r="AN188" s="335">
        <f t="shared" si="85"/>
        <v>247.77762334388615</v>
      </c>
      <c r="AO188" s="335">
        <f t="shared" si="86"/>
        <v>145.73334523302071</v>
      </c>
      <c r="AP188" s="335">
        <f t="shared" si="87"/>
        <v>4.6725044330128185</v>
      </c>
      <c r="AS188" s="609">
        <f t="shared" si="88"/>
        <v>2032</v>
      </c>
      <c r="AT188" s="335">
        <f t="shared" si="63"/>
        <v>264.06467111355244</v>
      </c>
      <c r="AU188" s="335">
        <f t="shared" si="63"/>
        <v>424.03559082086588</v>
      </c>
      <c r="AV188" s="335">
        <f t="shared" si="63"/>
        <v>394.32394053803961</v>
      </c>
      <c r="AW188" s="335">
        <f t="shared" si="63"/>
        <v>13.376384602145947</v>
      </c>
      <c r="AX188" s="335">
        <f t="shared" si="63"/>
        <v>526.591531777863</v>
      </c>
      <c r="AY188" s="335">
        <f t="shared" si="89"/>
        <v>563.9457072319284</v>
      </c>
      <c r="AZ188" s="335">
        <f t="shared" si="90"/>
        <v>533.76458714968305</v>
      </c>
    </row>
    <row r="189" spans="2:52" ht="14.4" x14ac:dyDescent="0.55000000000000004">
      <c r="B189" s="3">
        <v>2033</v>
      </c>
      <c r="C189" s="1205">
        <f t="shared" si="62"/>
        <v>761.91690235653016</v>
      </c>
      <c r="D189" s="1205">
        <f>'Food System Summary'!B31-'Food System Summary'!C31</f>
        <v>1111.4817761953998</v>
      </c>
      <c r="E189" s="1205">
        <f t="shared" si="91"/>
        <v>1.4587965862913681</v>
      </c>
      <c r="F189" s="1205">
        <f t="shared" si="64"/>
        <v>0.50517673954859577</v>
      </c>
      <c r="G189" s="1205">
        <f t="shared" si="65"/>
        <v>11.394939888968246</v>
      </c>
      <c r="H189" s="1205">
        <f t="shared" si="92"/>
        <v>1.4955620296288054E-2</v>
      </c>
      <c r="I189" s="1205">
        <f t="shared" si="66"/>
        <v>-360.95981372783785</v>
      </c>
      <c r="J189" s="1205">
        <f t="shared" si="67"/>
        <v>-0.47375220658765604</v>
      </c>
      <c r="K189" s="1205">
        <f t="shared" si="68"/>
        <v>-0.16405892180371701</v>
      </c>
      <c r="N189" s="3">
        <v>2033</v>
      </c>
      <c r="O189" s="1205">
        <f t="shared" si="69"/>
        <v>571.25162447536547</v>
      </c>
      <c r="P189" s="1205">
        <f t="shared" si="70"/>
        <v>7.5509573490697699</v>
      </c>
      <c r="Q189" s="1205">
        <f t="shared" si="71"/>
        <v>408.66053675752613</v>
      </c>
      <c r="R189" s="1205">
        <f t="shared" si="93"/>
        <v>162.59108771783934</v>
      </c>
      <c r="S189" s="1206">
        <f>Paper!E25</f>
        <v>565.67615347742219</v>
      </c>
      <c r="T189" s="1205">
        <f t="shared" si="72"/>
        <v>157.01561671989606</v>
      </c>
      <c r="U189" s="1206">
        <f>Paper!I25</f>
        <v>13.205489540782764</v>
      </c>
      <c r="V189" s="1205">
        <f t="shared" si="73"/>
        <v>143.81012717911329</v>
      </c>
      <c r="Y189" s="609">
        <f t="shared" si="94"/>
        <v>2033</v>
      </c>
      <c r="Z189" s="335">
        <f t="shared" si="74"/>
        <v>2764.905276871817</v>
      </c>
      <c r="AA189" s="335">
        <f t="shared" si="75"/>
        <v>1071.0349007731086</v>
      </c>
      <c r="AB189" s="335">
        <f t="shared" si="76"/>
        <v>273.17888730075089</v>
      </c>
      <c r="AC189" s="335">
        <f t="shared" si="77"/>
        <v>434.1041790329362</v>
      </c>
      <c r="AD189" s="335">
        <f t="shared" si="78"/>
        <v>408.66053675752613</v>
      </c>
      <c r="AE189" s="335">
        <f>MIN(Paper!I25,Paper!H25)</f>
        <v>13.205489540782764</v>
      </c>
      <c r="AF189" s="335">
        <f t="shared" si="79"/>
        <v>564.72128346671252</v>
      </c>
      <c r="AI189" s="609">
        <f t="shared" si="80"/>
        <v>2033</v>
      </c>
      <c r="AJ189" s="335">
        <f t="shared" si="81"/>
        <v>712.96934795418997</v>
      </c>
      <c r="AK189" s="335">
        <f t="shared" si="82"/>
        <v>-231.54071307594651</v>
      </c>
      <c r="AL189" s="335">
        <f t="shared" si="83"/>
        <v>7.3093801775357488</v>
      </c>
      <c r="AM189" s="335">
        <f t="shared" si="84"/>
        <v>189.36030028359792</v>
      </c>
      <c r="AN189" s="335">
        <f t="shared" si="85"/>
        <v>243.55098725667489</v>
      </c>
      <c r="AO189" s="335">
        <f t="shared" si="86"/>
        <v>143.81012717911329</v>
      </c>
      <c r="AP189" s="335">
        <f t="shared" si="87"/>
        <v>5.5754709979432846</v>
      </c>
      <c r="AS189" s="609">
        <f t="shared" si="88"/>
        <v>2033</v>
      </c>
      <c r="AT189" s="335">
        <f t="shared" si="63"/>
        <v>273.17888730075089</v>
      </c>
      <c r="AU189" s="335">
        <f t="shared" si="63"/>
        <v>434.1041790329362</v>
      </c>
      <c r="AV189" s="335">
        <f t="shared" si="63"/>
        <v>408.66053675752613</v>
      </c>
      <c r="AW189" s="335">
        <f t="shared" si="63"/>
        <v>13.205489540782764</v>
      </c>
      <c r="AX189" s="335">
        <f t="shared" si="63"/>
        <v>564.72128346671252</v>
      </c>
      <c r="AY189" s="335">
        <f t="shared" si="89"/>
        <v>585.01833555366329</v>
      </c>
      <c r="AZ189" s="335">
        <f t="shared" si="90"/>
        <v>486.01656521944528</v>
      </c>
    </row>
    <row r="190" spans="2:52" ht="14.4" x14ac:dyDescent="0.55000000000000004">
      <c r="B190" s="3">
        <v>2034</v>
      </c>
      <c r="C190" s="1205">
        <f t="shared" si="62"/>
        <v>748.06125231256772</v>
      </c>
      <c r="D190" s="1205">
        <f>'Food System Summary'!B32-'Food System Summary'!C32</f>
        <v>1086.6988027072637</v>
      </c>
      <c r="E190" s="1205">
        <f t="shared" si="91"/>
        <v>1.4526869281730965</v>
      </c>
      <c r="F190" s="1205">
        <f t="shared" si="64"/>
        <v>0.4924597931108845</v>
      </c>
      <c r="G190" s="1205">
        <f t="shared" si="65"/>
        <v>13.229668462402442</v>
      </c>
      <c r="H190" s="1205">
        <f t="shared" si="92"/>
        <v>1.7685274329480437E-2</v>
      </c>
      <c r="I190" s="1205">
        <f t="shared" si="66"/>
        <v>-351.86721885709841</v>
      </c>
      <c r="J190" s="1205">
        <f t="shared" si="67"/>
        <v>-0.47037220250257694</v>
      </c>
      <c r="K190" s="1205">
        <f t="shared" si="68"/>
        <v>-0.15945582839438124</v>
      </c>
      <c r="N190" s="3">
        <v>2034</v>
      </c>
      <c r="O190" s="1205">
        <f t="shared" si="69"/>
        <v>584.59921197429833</v>
      </c>
      <c r="P190" s="1205">
        <f t="shared" si="70"/>
        <v>8.4126639488523143</v>
      </c>
      <c r="Q190" s="1205">
        <f t="shared" si="71"/>
        <v>424.95538778508956</v>
      </c>
      <c r="R190" s="1205">
        <f t="shared" si="93"/>
        <v>159.64382418920877</v>
      </c>
      <c r="S190" s="1206">
        <f>Paper!E26</f>
        <v>578.04232088820231</v>
      </c>
      <c r="T190" s="1205">
        <f t="shared" si="72"/>
        <v>153.08693310311276</v>
      </c>
      <c r="U190" s="1206">
        <f>Paper!I26</f>
        <v>13.038107484937825</v>
      </c>
      <c r="V190" s="1205">
        <f t="shared" si="73"/>
        <v>140.04882561817493</v>
      </c>
      <c r="Y190" s="609">
        <f t="shared" si="94"/>
        <v>2034</v>
      </c>
      <c r="Z190" s="335">
        <f t="shared" si="74"/>
        <v>2809.5135667565687</v>
      </c>
      <c r="AA190" s="335">
        <f t="shared" si="75"/>
        <v>1042.1291546158395</v>
      </c>
      <c r="AB190" s="335">
        <f t="shared" si="76"/>
        <v>282.39592529023861</v>
      </c>
      <c r="AC190" s="335">
        <f t="shared" si="77"/>
        <v>444.15660503008326</v>
      </c>
      <c r="AD190" s="335">
        <f t="shared" si="78"/>
        <v>424.95538778508956</v>
      </c>
      <c r="AE190" s="335">
        <f>MIN(Paper!I26,Paper!H26)</f>
        <v>13.038107484937825</v>
      </c>
      <c r="AF190" s="335">
        <f t="shared" si="79"/>
        <v>602.83838655037994</v>
      </c>
      <c r="AI190" s="609">
        <f t="shared" si="80"/>
        <v>2034</v>
      </c>
      <c r="AJ190" s="335">
        <f t="shared" si="81"/>
        <v>676.46593346878763</v>
      </c>
      <c r="AK190" s="335">
        <f t="shared" si="82"/>
        <v>-219.0360255005757</v>
      </c>
      <c r="AL190" s="335">
        <f t="shared" si="83"/>
        <v>8.2354190541171093</v>
      </c>
      <c r="AM190" s="335">
        <f t="shared" si="84"/>
        <v>190.77177617800803</v>
      </c>
      <c r="AN190" s="335">
        <f t="shared" si="85"/>
        <v>239.08633471123153</v>
      </c>
      <c r="AO190" s="335">
        <f t="shared" si="86"/>
        <v>140.04882561817493</v>
      </c>
      <c r="AP190" s="335">
        <f t="shared" si="87"/>
        <v>6.5568910860960727</v>
      </c>
      <c r="AS190" s="609">
        <f t="shared" si="88"/>
        <v>2034</v>
      </c>
      <c r="AT190" s="335">
        <f t="shared" si="63"/>
        <v>282.39592529023861</v>
      </c>
      <c r="AU190" s="335">
        <f t="shared" si="63"/>
        <v>444.15660503008326</v>
      </c>
      <c r="AV190" s="335">
        <f t="shared" si="63"/>
        <v>424.95538778508956</v>
      </c>
      <c r="AW190" s="335">
        <f t="shared" si="63"/>
        <v>13.038107484937825</v>
      </c>
      <c r="AX190" s="335">
        <f t="shared" si="63"/>
        <v>602.83838655037994</v>
      </c>
      <c r="AY190" s="335">
        <f t="shared" si="89"/>
        <v>605.09858449771889</v>
      </c>
      <c r="AZ190" s="335">
        <f t="shared" si="90"/>
        <v>437.03057011812064</v>
      </c>
    </row>
    <row r="191" spans="2:52" ht="14.4" x14ac:dyDescent="0.55000000000000004">
      <c r="B191" s="3">
        <v>2035</v>
      </c>
      <c r="C191" s="1205">
        <f t="shared" si="62"/>
        <v>734.30156826830762</v>
      </c>
      <c r="D191" s="1205">
        <f>'Food System Summary'!B33-'Food System Summary'!C33</f>
        <v>1061.8208649021958</v>
      </c>
      <c r="E191" s="1205">
        <f t="shared" si="91"/>
        <v>1.4460283224047472</v>
      </c>
      <c r="F191" s="1205">
        <f t="shared" si="64"/>
        <v>0.47978275633606876</v>
      </c>
      <c r="G191" s="1205">
        <f t="shared" si="65"/>
        <v>15.236019412651798</v>
      </c>
      <c r="H191" s="1205">
        <f t="shared" si="92"/>
        <v>2.0748994787771834E-2</v>
      </c>
      <c r="I191" s="1205">
        <f t="shared" si="66"/>
        <v>-342.75531604653997</v>
      </c>
      <c r="J191" s="1205">
        <f t="shared" si="67"/>
        <v>-0.46677731719251903</v>
      </c>
      <c r="K191" s="1205">
        <f t="shared" si="68"/>
        <v>-0.15487366628154986</v>
      </c>
      <c r="N191" s="3">
        <v>2035</v>
      </c>
      <c r="O191" s="1205">
        <f t="shared" si="69"/>
        <v>598.17225787038512</v>
      </c>
      <c r="P191" s="1205">
        <f t="shared" si="70"/>
        <v>9.3032173202231991</v>
      </c>
      <c r="Q191" s="1205">
        <f t="shared" si="71"/>
        <v>438.93612853921104</v>
      </c>
      <c r="R191" s="1205">
        <f t="shared" si="93"/>
        <v>159.23612933117408</v>
      </c>
      <c r="S191" s="1206">
        <f>Paper!E27</f>
        <v>590.49284513009445</v>
      </c>
      <c r="T191" s="1205">
        <f t="shared" si="72"/>
        <v>151.55671659088341</v>
      </c>
      <c r="U191" s="1206">
        <f>Paper!I27</f>
        <v>12.873951685425254</v>
      </c>
      <c r="V191" s="1205">
        <f t="shared" si="73"/>
        <v>138.68276490545816</v>
      </c>
      <c r="Y191" s="609">
        <f t="shared" si="94"/>
        <v>2035</v>
      </c>
      <c r="Z191" s="335">
        <f t="shared" si="74"/>
        <v>2854.0638327332344</v>
      </c>
      <c r="AA191" s="335">
        <f t="shared" si="75"/>
        <v>1015.3722634550047</v>
      </c>
      <c r="AB191" s="335">
        <f t="shared" si="76"/>
        <v>291.73120151655121</v>
      </c>
      <c r="AC191" s="335">
        <f t="shared" si="77"/>
        <v>454.21489862481195</v>
      </c>
      <c r="AD191" s="335">
        <f t="shared" si="78"/>
        <v>438.93612853921104</v>
      </c>
      <c r="AE191" s="335">
        <f>MIN(Paper!I27,Paper!H27)</f>
        <v>12.873951685425254</v>
      </c>
      <c r="AF191" s="335">
        <f t="shared" si="79"/>
        <v>640.93538891223034</v>
      </c>
      <c r="AI191" s="609">
        <f t="shared" si="80"/>
        <v>2035</v>
      </c>
      <c r="AJ191" s="335">
        <f t="shared" si="81"/>
        <v>639.96928498009606</v>
      </c>
      <c r="AK191" s="335">
        <f t="shared" si="82"/>
        <v>-206.58180846129406</v>
      </c>
      <c r="AL191" s="335">
        <f t="shared" si="83"/>
        <v>9.1828902329544633</v>
      </c>
      <c r="AM191" s="335">
        <f t="shared" si="84"/>
        <v>192.02996675384784</v>
      </c>
      <c r="AN191" s="335">
        <f t="shared" si="85"/>
        <v>234.4097523036516</v>
      </c>
      <c r="AO191" s="335">
        <f t="shared" si="86"/>
        <v>138.68276490545816</v>
      </c>
      <c r="AP191" s="335">
        <f t="shared" si="87"/>
        <v>7.6794127402906156</v>
      </c>
      <c r="AS191" s="609">
        <f t="shared" si="88"/>
        <v>2035</v>
      </c>
      <c r="AT191" s="335">
        <f t="shared" si="63"/>
        <v>291.73120151655121</v>
      </c>
      <c r="AU191" s="335">
        <f t="shared" si="63"/>
        <v>454.21489862481195</v>
      </c>
      <c r="AV191" s="335">
        <f t="shared" si="63"/>
        <v>438.93612853921104</v>
      </c>
      <c r="AW191" s="335">
        <f t="shared" si="63"/>
        <v>12.873951685425254</v>
      </c>
      <c r="AX191" s="335">
        <f t="shared" si="63"/>
        <v>640.93538891223034</v>
      </c>
      <c r="AY191" s="335">
        <f t="shared" si="89"/>
        <v>624.4372886075306</v>
      </c>
      <c r="AZ191" s="335">
        <f t="shared" si="90"/>
        <v>390.93497484747411</v>
      </c>
    </row>
    <row r="192" spans="2:52" ht="14.4" x14ac:dyDescent="0.55000000000000004">
      <c r="B192" s="3">
        <v>2036</v>
      </c>
      <c r="C192" s="1205">
        <f t="shared" si="62"/>
        <v>720.46592754345556</v>
      </c>
      <c r="D192" s="1205">
        <f>'Food System Summary'!B34-'Food System Summary'!C34</f>
        <v>1036.8675411904576</v>
      </c>
      <c r="E192" s="1205">
        <f t="shared" si="91"/>
        <v>1.4391624940902121</v>
      </c>
      <c r="F192" s="1205">
        <f t="shared" si="64"/>
        <v>0.46723502117104465</v>
      </c>
      <c r="G192" s="1205">
        <f t="shared" si="65"/>
        <v>17.417942348643042</v>
      </c>
      <c r="H192" s="1205">
        <f t="shared" si="92"/>
        <v>2.4175941821471442E-2</v>
      </c>
      <c r="I192" s="1205">
        <f t="shared" si="66"/>
        <v>-333.81955599564509</v>
      </c>
      <c r="J192" s="1205">
        <f t="shared" si="67"/>
        <v>-0.46333843591168361</v>
      </c>
      <c r="K192" s="1205">
        <f t="shared" si="68"/>
        <v>-0.15042633809701264</v>
      </c>
      <c r="N192" s="3">
        <v>2036</v>
      </c>
      <c r="O192" s="1205">
        <f t="shared" si="69"/>
        <v>611.88253848143222</v>
      </c>
      <c r="P192" s="1205">
        <f t="shared" si="70"/>
        <v>10.218863620589186</v>
      </c>
      <c r="Q192" s="1205">
        <f t="shared" si="71"/>
        <v>454.89482794655709</v>
      </c>
      <c r="R192" s="1205">
        <f t="shared" si="93"/>
        <v>156.98771053487513</v>
      </c>
      <c r="S192" s="1206">
        <f>Paper!E28</f>
        <v>602.98378988232821</v>
      </c>
      <c r="T192" s="1205">
        <f t="shared" si="72"/>
        <v>148.08896193577112</v>
      </c>
      <c r="U192" s="1206">
        <f>Paper!I28</f>
        <v>12.712520611458331</v>
      </c>
      <c r="V192" s="1205">
        <f t="shared" si="73"/>
        <v>135.37644132431279</v>
      </c>
      <c r="Y192" s="609">
        <f t="shared" si="94"/>
        <v>2036</v>
      </c>
      <c r="Z192" s="335">
        <f t="shared" si="74"/>
        <v>2898.1595420928984</v>
      </c>
      <c r="AA192" s="335">
        <f t="shared" si="75"/>
        <v>986.19054289429278</v>
      </c>
      <c r="AB192" s="335">
        <f t="shared" si="76"/>
        <v>301.14397191355829</v>
      </c>
      <c r="AC192" s="335">
        <f t="shared" si="77"/>
        <v>464.21443744336341</v>
      </c>
      <c r="AD192" s="335">
        <f t="shared" si="78"/>
        <v>454.89482794655709</v>
      </c>
      <c r="AE192" s="335">
        <f>MIN(Paper!I28,Paper!H28)</f>
        <v>12.712520611458331</v>
      </c>
      <c r="AF192" s="335">
        <f t="shared" si="79"/>
        <v>679.00324128366879</v>
      </c>
      <c r="AI192" s="609">
        <f t="shared" si="80"/>
        <v>2036</v>
      </c>
      <c r="AJ192" s="335">
        <f t="shared" si="81"/>
        <v>603.47243149110818</v>
      </c>
      <c r="AK192" s="335">
        <f t="shared" si="82"/>
        <v>-194.28797906498502</v>
      </c>
      <c r="AL192" s="335">
        <f t="shared" si="83"/>
        <v>10.137503203774028</v>
      </c>
      <c r="AM192" s="335">
        <f t="shared" si="84"/>
        <v>193.12733857956962</v>
      </c>
      <c r="AN192" s="335">
        <f t="shared" si="85"/>
        <v>229.46605876140904</v>
      </c>
      <c r="AO192" s="335">
        <f t="shared" si="86"/>
        <v>135.37644132431279</v>
      </c>
      <c r="AP192" s="335">
        <f t="shared" si="87"/>
        <v>8.8987485991041808</v>
      </c>
      <c r="AS192" s="609">
        <f t="shared" si="88"/>
        <v>2036</v>
      </c>
      <c r="AT192" s="335">
        <f t="shared" si="63"/>
        <v>301.14397191355829</v>
      </c>
      <c r="AU192" s="335">
        <f t="shared" si="63"/>
        <v>464.21443744336341</v>
      </c>
      <c r="AV192" s="335">
        <f t="shared" si="63"/>
        <v>454.89482794655709</v>
      </c>
      <c r="AW192" s="335">
        <f t="shared" si="63"/>
        <v>12.712520611458331</v>
      </c>
      <c r="AX192" s="335">
        <f t="shared" si="63"/>
        <v>679.00324128366879</v>
      </c>
      <c r="AY192" s="335">
        <f t="shared" si="89"/>
        <v>642.59597575340285</v>
      </c>
      <c r="AZ192" s="335">
        <f t="shared" si="90"/>
        <v>343.59456714088992</v>
      </c>
    </row>
    <row r="193" spans="2:52" ht="14.4" x14ac:dyDescent="0.55000000000000004">
      <c r="B193" s="3">
        <v>2037</v>
      </c>
      <c r="C193" s="1205">
        <f t="shared" si="62"/>
        <v>706.7803327185577</v>
      </c>
      <c r="D193" s="1205">
        <f>'Food System Summary'!B35-'Food System Summary'!C35</f>
        <v>1011.8500551933589</v>
      </c>
      <c r="E193" s="1205">
        <f t="shared" si="91"/>
        <v>1.4316330100773771</v>
      </c>
      <c r="F193" s="1205">
        <f t="shared" si="64"/>
        <v>0.45472274531653151</v>
      </c>
      <c r="G193" s="1205">
        <f t="shared" si="65"/>
        <v>19.779176342851141</v>
      </c>
      <c r="H193" s="1205">
        <f t="shared" si="92"/>
        <v>2.7984899164882782E-2</v>
      </c>
      <c r="I193" s="1205">
        <f t="shared" si="66"/>
        <v>-324.84889881765235</v>
      </c>
      <c r="J193" s="1205">
        <f t="shared" si="67"/>
        <v>-0.45961790924225998</v>
      </c>
      <c r="K193" s="1205">
        <f t="shared" si="68"/>
        <v>-0.14598623810440697</v>
      </c>
      <c r="N193" s="3">
        <v>2037</v>
      </c>
      <c r="O193" s="1205">
        <f t="shared" si="69"/>
        <v>625.81532368817386</v>
      </c>
      <c r="P193" s="1205">
        <f t="shared" si="70"/>
        <v>11.156059543517758</v>
      </c>
      <c r="Q193" s="1205">
        <f t="shared" si="71"/>
        <v>471.41427796644246</v>
      </c>
      <c r="R193" s="1205">
        <f t="shared" si="93"/>
        <v>154.40104572173141</v>
      </c>
      <c r="S193" s="1206">
        <f>Paper!E29</f>
        <v>615.46723432447584</v>
      </c>
      <c r="T193" s="1205">
        <f t="shared" si="72"/>
        <v>144.05295635803338</v>
      </c>
      <c r="U193" s="1206">
        <f>Paper!I29</f>
        <v>12.553508058758098</v>
      </c>
      <c r="V193" s="1205">
        <f t="shared" si="73"/>
        <v>131.49944829927529</v>
      </c>
      <c r="Y193" s="609">
        <f t="shared" si="94"/>
        <v>2037</v>
      </c>
      <c r="Z193" s="335">
        <f t="shared" si="74"/>
        <v>2942.2306487243113</v>
      </c>
      <c r="AA193" s="335">
        <f t="shared" si="75"/>
        <v>956.338552348794</v>
      </c>
      <c r="AB193" s="335">
        <f t="shared" si="76"/>
        <v>310.67699002273372</v>
      </c>
      <c r="AC193" s="335">
        <f t="shared" si="77"/>
        <v>474.21887583656201</v>
      </c>
      <c r="AD193" s="335">
        <f t="shared" si="78"/>
        <v>471.41427796644246</v>
      </c>
      <c r="AE193" s="335">
        <f>MIN(Paper!I29,Paper!H29)</f>
        <v>12.553508058758098</v>
      </c>
      <c r="AF193" s="335">
        <f t="shared" si="79"/>
        <v>717.02844449102145</v>
      </c>
      <c r="AI193" s="609">
        <f t="shared" si="80"/>
        <v>2037</v>
      </c>
      <c r="AJ193" s="335">
        <f t="shared" si="81"/>
        <v>567.07462080533332</v>
      </c>
      <c r="AK193" s="335">
        <f t="shared" si="82"/>
        <v>-182.05619021372502</v>
      </c>
      <c r="AL193" s="335">
        <f t="shared" si="83"/>
        <v>11.084912104215643</v>
      </c>
      <c r="AM193" s="335">
        <f t="shared" si="84"/>
        <v>194.05915963195551</v>
      </c>
      <c r="AN193" s="335">
        <f t="shared" si="85"/>
        <v>224.32851235804105</v>
      </c>
      <c r="AO193" s="335">
        <f t="shared" si="86"/>
        <v>131.49944829927529</v>
      </c>
      <c r="AP193" s="335">
        <f t="shared" si="87"/>
        <v>10.34808936369825</v>
      </c>
      <c r="AS193" s="609">
        <f t="shared" si="88"/>
        <v>2037</v>
      </c>
      <c r="AT193" s="335">
        <f t="shared" si="63"/>
        <v>310.67699002273372</v>
      </c>
      <c r="AU193" s="335">
        <f t="shared" si="63"/>
        <v>474.21887583656201</v>
      </c>
      <c r="AV193" s="335">
        <f t="shared" si="63"/>
        <v>471.41427796644246</v>
      </c>
      <c r="AW193" s="335">
        <f t="shared" si="63"/>
        <v>12.553508058758098</v>
      </c>
      <c r="AX193" s="335">
        <f t="shared" si="63"/>
        <v>717.02844449102145</v>
      </c>
      <c r="AY193" s="335">
        <f t="shared" si="89"/>
        <v>659.61418432924825</v>
      </c>
      <c r="AZ193" s="335">
        <f t="shared" si="90"/>
        <v>296.72436801954575</v>
      </c>
    </row>
    <row r="194" spans="2:52" ht="14.4" x14ac:dyDescent="0.55000000000000004">
      <c r="B194" s="3">
        <v>2038</v>
      </c>
      <c r="C194" s="1205">
        <f t="shared" si="62"/>
        <v>693.22056614864266</v>
      </c>
      <c r="D194" s="1205">
        <f>'Food System Summary'!B36-'Food System Summary'!C36</f>
        <v>986.77482733007901</v>
      </c>
      <c r="E194" s="1205">
        <f t="shared" si="91"/>
        <v>1.4234644433767296</v>
      </c>
      <c r="F194" s="1205">
        <f t="shared" si="64"/>
        <v>0.44226575144506763</v>
      </c>
      <c r="G194" s="1205">
        <f t="shared" si="65"/>
        <v>22.323259051119379</v>
      </c>
      <c r="H194" s="1205">
        <f t="shared" si="92"/>
        <v>3.220224578036069E-2</v>
      </c>
      <c r="I194" s="1205">
        <f t="shared" si="66"/>
        <v>-315.87752023255575</v>
      </c>
      <c r="J194" s="1205">
        <f t="shared" si="67"/>
        <v>-0.45566668915709035</v>
      </c>
      <c r="K194" s="1205">
        <f t="shared" si="68"/>
        <v>-0.14157415144876326</v>
      </c>
      <c r="N194" s="3">
        <v>2038</v>
      </c>
      <c r="O194" s="1205">
        <f t="shared" si="69"/>
        <v>639.94455473479479</v>
      </c>
      <c r="P194" s="1205">
        <f t="shared" si="70"/>
        <v>12.111463199440921</v>
      </c>
      <c r="Q194" s="1205">
        <f t="shared" si="71"/>
        <v>487.20434666666659</v>
      </c>
      <c r="R194" s="1205">
        <f t="shared" si="93"/>
        <v>152.7402080681282</v>
      </c>
      <c r="S194" s="1206">
        <f>Paper!E30</f>
        <v>627.89500953747279</v>
      </c>
      <c r="T194" s="1205">
        <f t="shared" si="72"/>
        <v>140.69066287080619</v>
      </c>
      <c r="U194" s="1206">
        <f>Paper!I30</f>
        <v>12.396933139974635</v>
      </c>
      <c r="V194" s="1205">
        <f t="shared" si="73"/>
        <v>128.29372973083156</v>
      </c>
      <c r="Y194" s="609">
        <f t="shared" si="94"/>
        <v>2038</v>
      </c>
      <c r="Z194" s="335">
        <f t="shared" si="74"/>
        <v>2986.1741721298445</v>
      </c>
      <c r="AA194" s="335">
        <f t="shared" si="75"/>
        <v>927.05738501483575</v>
      </c>
      <c r="AB194" s="335">
        <f t="shared" si="76"/>
        <v>320.31727823188743</v>
      </c>
      <c r="AC194" s="335">
        <f t="shared" si="77"/>
        <v>484.20479862937236</v>
      </c>
      <c r="AD194" s="335">
        <f t="shared" si="78"/>
        <v>487.20434666666659</v>
      </c>
      <c r="AE194" s="335">
        <f>MIN(Paper!I30,Paper!H30)</f>
        <v>12.396933139974635</v>
      </c>
      <c r="AF194" s="335">
        <f t="shared" si="79"/>
        <v>754.99343044710758</v>
      </c>
      <c r="AI194" s="609">
        <f t="shared" si="80"/>
        <v>2038</v>
      </c>
      <c r="AJ194" s="335">
        <f t="shared" si="81"/>
        <v>530.81457116777642</v>
      </c>
      <c r="AK194" s="335">
        <f t="shared" si="82"/>
        <v>-169.91960658082107</v>
      </c>
      <c r="AL194" s="335">
        <f t="shared" si="83"/>
        <v>12.008323329799961</v>
      </c>
      <c r="AM194" s="335">
        <f t="shared" si="84"/>
        <v>194.82174667946583</v>
      </c>
      <c r="AN194" s="335">
        <f t="shared" si="85"/>
        <v>218.98907549046112</v>
      </c>
      <c r="AO194" s="335">
        <f t="shared" si="86"/>
        <v>128.29372973083156</v>
      </c>
      <c r="AP194" s="335">
        <f t="shared" si="87"/>
        <v>12.049545197321947</v>
      </c>
      <c r="AS194" s="609">
        <f t="shared" si="88"/>
        <v>2038</v>
      </c>
      <c r="AT194" s="335">
        <f t="shared" si="63"/>
        <v>320.31727823188743</v>
      </c>
      <c r="AU194" s="335">
        <f t="shared" si="63"/>
        <v>484.20479862937236</v>
      </c>
      <c r="AV194" s="335">
        <f t="shared" si="63"/>
        <v>487.20434666666659</v>
      </c>
      <c r="AW194" s="335">
        <f t="shared" si="63"/>
        <v>12.396933139974635</v>
      </c>
      <c r="AX194" s="335">
        <f t="shared" si="63"/>
        <v>754.99343044710758</v>
      </c>
      <c r="AY194" s="335">
        <f t="shared" si="89"/>
        <v>675.53514756313143</v>
      </c>
      <c r="AZ194" s="335">
        <f t="shared" si="90"/>
        <v>251.52223745170431</v>
      </c>
    </row>
    <row r="195" spans="2:52" ht="14.4" x14ac:dyDescent="0.55000000000000004">
      <c r="B195" s="3">
        <v>2039</v>
      </c>
      <c r="C195" s="1205">
        <f t="shared" si="62"/>
        <v>679.82508862120164</v>
      </c>
      <c r="D195" s="1205">
        <f>'Food System Summary'!B37-'Food System Summary'!C37</f>
        <v>961.64488034290571</v>
      </c>
      <c r="E195" s="1205">
        <f t="shared" si="91"/>
        <v>1.4145475011716344</v>
      </c>
      <c r="F195" s="1205">
        <f t="shared" si="64"/>
        <v>0.42985571435452241</v>
      </c>
      <c r="G195" s="1205">
        <f t="shared" si="65"/>
        <v>25.05353548603156</v>
      </c>
      <c r="H195" s="1205">
        <f t="shared" si="92"/>
        <v>3.6852913941208459E-2</v>
      </c>
      <c r="I195" s="1205">
        <f t="shared" si="66"/>
        <v>-306.8733272077356</v>
      </c>
      <c r="J195" s="1205">
        <f t="shared" si="67"/>
        <v>-0.45140041511284285</v>
      </c>
      <c r="K195" s="1205">
        <f t="shared" si="68"/>
        <v>-0.13717252176935943</v>
      </c>
      <c r="N195" s="3">
        <v>2039</v>
      </c>
      <c r="O195" s="1205">
        <f t="shared" si="69"/>
        <v>654.27034133774907</v>
      </c>
      <c r="P195" s="1205">
        <f t="shared" si="70"/>
        <v>13.08192534187552</v>
      </c>
      <c r="Q195" s="1205">
        <f t="shared" si="71"/>
        <v>499.62770999999992</v>
      </c>
      <c r="R195" s="1205">
        <f t="shared" si="93"/>
        <v>154.64263133774915</v>
      </c>
      <c r="S195" s="1206">
        <f>Paper!E31</f>
        <v>640.22067145497829</v>
      </c>
      <c r="T195" s="1205">
        <f t="shared" si="72"/>
        <v>140.59296145497837</v>
      </c>
      <c r="U195" s="1206">
        <f>Paper!I31</f>
        <v>12.242629043424927</v>
      </c>
      <c r="V195" s="1205">
        <f t="shared" si="73"/>
        <v>128.35033241155344</v>
      </c>
      <c r="Y195" s="609">
        <f t="shared" si="94"/>
        <v>2039</v>
      </c>
      <c r="Z195" s="335">
        <f t="shared" si="74"/>
        <v>3030.0104932724716</v>
      </c>
      <c r="AA195" s="335">
        <f t="shared" si="75"/>
        <v>901.03386780813878</v>
      </c>
      <c r="AB195" s="335">
        <f t="shared" si="76"/>
        <v>330.06355266360714</v>
      </c>
      <c r="AC195" s="335">
        <f t="shared" si="77"/>
        <v>494.16634904710713</v>
      </c>
      <c r="AD195" s="335">
        <f t="shared" si="78"/>
        <v>499.62770999999992</v>
      </c>
      <c r="AE195" s="335">
        <f>MIN(Paper!I31,Paper!H31)</f>
        <v>12.242629043424927</v>
      </c>
      <c r="AF195" s="335">
        <f t="shared" si="79"/>
        <v>792.87638471019363</v>
      </c>
      <c r="AI195" s="609">
        <f t="shared" si="80"/>
        <v>2039</v>
      </c>
      <c r="AJ195" s="335">
        <f t="shared" si="81"/>
        <v>494.75430669476805</v>
      </c>
      <c r="AK195" s="335">
        <f t="shared" si="82"/>
        <v>-157.88250252176368</v>
      </c>
      <c r="AL195" s="335">
        <f t="shared" si="83"/>
        <v>12.88973178459012</v>
      </c>
      <c r="AM195" s="335">
        <f t="shared" si="84"/>
        <v>195.41285313721366</v>
      </c>
      <c r="AN195" s="335">
        <f t="shared" si="85"/>
        <v>213.45947641900636</v>
      </c>
      <c r="AO195" s="335">
        <f t="shared" si="86"/>
        <v>128.35033241155344</v>
      </c>
      <c r="AP195" s="335">
        <f t="shared" si="87"/>
        <v>14.049669882770843</v>
      </c>
      <c r="AS195" s="609">
        <f t="shared" si="88"/>
        <v>2039</v>
      </c>
      <c r="AT195" s="335">
        <f t="shared" si="63"/>
        <v>330.06355266360714</v>
      </c>
      <c r="AU195" s="335">
        <f t="shared" si="63"/>
        <v>494.16634904710713</v>
      </c>
      <c r="AV195" s="335">
        <f t="shared" si="63"/>
        <v>499.62770999999992</v>
      </c>
      <c r="AW195" s="335">
        <f t="shared" si="63"/>
        <v>12.242629043424927</v>
      </c>
      <c r="AX195" s="335">
        <f t="shared" si="63"/>
        <v>792.87638471019363</v>
      </c>
      <c r="AY195" s="335">
        <f t="shared" si="89"/>
        <v>690.64706571979582</v>
      </c>
      <c r="AZ195" s="335">
        <f t="shared" si="90"/>
        <v>210.38680208834296</v>
      </c>
    </row>
    <row r="196" spans="2:52" ht="14.4" x14ac:dyDescent="0.55000000000000004">
      <c r="B196" s="3">
        <v>2040</v>
      </c>
      <c r="C196" s="1205">
        <f t="shared" si="62"/>
        <v>664.96263114520002</v>
      </c>
      <c r="D196" s="1205">
        <f>'Food System Summary'!B38-'Food System Summary'!C38</f>
        <v>936.46602292101738</v>
      </c>
      <c r="E196" s="1205">
        <f t="shared" si="91"/>
        <v>1.4082987209495272</v>
      </c>
      <c r="F196" s="1205">
        <f t="shared" si="64"/>
        <v>0.41813752374574065</v>
      </c>
      <c r="G196" s="1205">
        <f t="shared" si="65"/>
        <v>27.973166456984515</v>
      </c>
      <c r="H196" s="1205">
        <f t="shared" si="92"/>
        <v>4.2067275884073468E-2</v>
      </c>
      <c r="I196" s="1205">
        <f t="shared" si="66"/>
        <v>-299.47655823280189</v>
      </c>
      <c r="J196" s="1205">
        <f t="shared" si="67"/>
        <v>-0.45036599683360062</v>
      </c>
      <c r="K196" s="1205">
        <f t="shared" si="68"/>
        <v>-0.13371802437505231</v>
      </c>
      <c r="N196" s="3">
        <v>2040</v>
      </c>
      <c r="O196" s="1205">
        <f t="shared" si="69"/>
        <v>668.03337327805252</v>
      </c>
      <c r="P196" s="1205">
        <f t="shared" si="70"/>
        <v>14.064480927700016</v>
      </c>
      <c r="Q196" s="1205">
        <f t="shared" si="71"/>
        <v>512.57233333333329</v>
      </c>
      <c r="R196" s="1205">
        <f t="shared" si="93"/>
        <v>155.46103994471923</v>
      </c>
      <c r="S196" s="1206">
        <f>Paper!E32</f>
        <v>652.40480941635178</v>
      </c>
      <c r="T196" s="1205">
        <f t="shared" si="72"/>
        <v>139.83247608301849</v>
      </c>
      <c r="U196" s="1206">
        <f>Paper!I32</f>
        <v>12.090389410974808</v>
      </c>
      <c r="V196" s="1205">
        <f t="shared" si="73"/>
        <v>127.74208667204368</v>
      </c>
      <c r="Y196" s="609">
        <f t="shared" si="94"/>
        <v>2040</v>
      </c>
      <c r="Z196" s="335">
        <f t="shared" si="74"/>
        <v>3070.2682565731338</v>
      </c>
      <c r="AA196" s="335">
        <f t="shared" si="75"/>
        <v>871.89906388907445</v>
      </c>
      <c r="AB196" s="335">
        <f t="shared" si="76"/>
        <v>339.52464589579961</v>
      </c>
      <c r="AC196" s="335">
        <f t="shared" si="77"/>
        <v>503.52606273794868</v>
      </c>
      <c r="AD196" s="335">
        <f t="shared" si="78"/>
        <v>512.57233333333329</v>
      </c>
      <c r="AE196" s="335">
        <f>MIN(Paper!I32,Paper!H32)</f>
        <v>12.090389410974808</v>
      </c>
      <c r="AF196" s="335">
        <f t="shared" si="79"/>
        <v>830.65576130600334</v>
      </c>
      <c r="AI196" s="609">
        <f t="shared" si="80"/>
        <v>2040</v>
      </c>
      <c r="AJ196" s="335">
        <f t="shared" si="81"/>
        <v>458.31389837512165</v>
      </c>
      <c r="AK196" s="335">
        <f t="shared" si="82"/>
        <v>-146.56620263436483</v>
      </c>
      <c r="AL196" s="335">
        <f t="shared" si="83"/>
        <v>13.690289508643561</v>
      </c>
      <c r="AM196" s="335">
        <f t="shared" si="84"/>
        <v>195.82320737783701</v>
      </c>
      <c r="AN196" s="335">
        <f t="shared" si="85"/>
        <v>207.26722072809252</v>
      </c>
      <c r="AO196" s="335">
        <f t="shared" si="86"/>
        <v>127.74208667204368</v>
      </c>
      <c r="AP196" s="335">
        <f t="shared" si="87"/>
        <v>15.628563861700854</v>
      </c>
      <c r="AS196" s="609">
        <f t="shared" si="88"/>
        <v>2040</v>
      </c>
      <c r="AT196" s="335">
        <f t="shared" si="63"/>
        <v>339.52464589579961</v>
      </c>
      <c r="AU196" s="335">
        <f t="shared" si="63"/>
        <v>503.52606273794868</v>
      </c>
      <c r="AV196" s="335">
        <f t="shared" si="63"/>
        <v>512.57233333333329</v>
      </c>
      <c r="AW196" s="335">
        <f t="shared" si="63"/>
        <v>12.090389410974808</v>
      </c>
      <c r="AX196" s="335">
        <f t="shared" si="63"/>
        <v>830.65576130600334</v>
      </c>
      <c r="AY196" s="335">
        <f t="shared" si="89"/>
        <v>705.25119147049998</v>
      </c>
      <c r="AZ196" s="335">
        <f t="shared" si="90"/>
        <v>166.64787241857448</v>
      </c>
    </row>
    <row r="197" spans="2:52" ht="14.4" x14ac:dyDescent="0.55000000000000004">
      <c r="B197" s="3">
        <v>2041</v>
      </c>
      <c r="C197" s="1205">
        <f t="shared" si="62"/>
        <v>653.61609115833392</v>
      </c>
      <c r="D197" s="1205">
        <f>'Food System Summary'!B39-'Food System Summary'!C39</f>
        <v>911.25091579917091</v>
      </c>
      <c r="E197" s="1205">
        <f t="shared" si="91"/>
        <v>1.3941684241345074</v>
      </c>
      <c r="F197" s="1205">
        <f t="shared" si="64"/>
        <v>0.40517889264134727</v>
      </c>
      <c r="G197" s="1205">
        <f t="shared" si="65"/>
        <v>31.08513668767025</v>
      </c>
      <c r="H197" s="1205">
        <f t="shared" si="92"/>
        <v>4.7558707792186364E-2</v>
      </c>
      <c r="I197" s="1205">
        <f t="shared" si="66"/>
        <v>-288.71996132850722</v>
      </c>
      <c r="J197" s="1205">
        <f t="shared" si="67"/>
        <v>-0.44172713192669372</v>
      </c>
      <c r="K197" s="1205">
        <f t="shared" si="68"/>
        <v>-0.12837653404380109</v>
      </c>
      <c r="N197" s="3">
        <v>2041</v>
      </c>
      <c r="O197" s="1205">
        <f t="shared" si="69"/>
        <v>683.48745471680479</v>
      </c>
      <c r="P197" s="1205">
        <f t="shared" si="70"/>
        <v>15.056340999264853</v>
      </c>
      <c r="Q197" s="1205">
        <f t="shared" si="71"/>
        <v>526.03821666666659</v>
      </c>
      <c r="R197" s="1205">
        <f t="shared" si="93"/>
        <v>157.44923805013821</v>
      </c>
      <c r="S197" s="1206">
        <f>Paper!E33</f>
        <v>664.41938351539886</v>
      </c>
      <c r="T197" s="1205">
        <f t="shared" si="72"/>
        <v>138.38116684873228</v>
      </c>
      <c r="U197" s="1206">
        <f>Paper!I33</f>
        <v>11.940247479314053</v>
      </c>
      <c r="V197" s="1205">
        <f t="shared" si="73"/>
        <v>126.44091936941822</v>
      </c>
      <c r="Y197" s="609">
        <f t="shared" si="94"/>
        <v>2041</v>
      </c>
      <c r="Z197" s="335">
        <f t="shared" si="74"/>
        <v>3117.3237746717477</v>
      </c>
      <c r="AA197" s="335">
        <f t="shared" si="75"/>
        <v>847.19068205271867</v>
      </c>
      <c r="AB197" s="335">
        <f t="shared" si="76"/>
        <v>349.85910192109833</v>
      </c>
      <c r="AC197" s="335">
        <f t="shared" si="77"/>
        <v>513.98060290587523</v>
      </c>
      <c r="AD197" s="335">
        <f t="shared" si="78"/>
        <v>526.03821666666659</v>
      </c>
      <c r="AE197" s="335">
        <f>MIN(Paper!I33,Paper!H33)</f>
        <v>11.940247479314053</v>
      </c>
      <c r="AF197" s="335">
        <f t="shared" si="79"/>
        <v>868.31492364607482</v>
      </c>
      <c r="AI197" s="609">
        <f t="shared" si="80"/>
        <v>2041</v>
      </c>
      <c r="AJ197" s="335">
        <f t="shared" si="81"/>
        <v>423.48840300471926</v>
      </c>
      <c r="AK197" s="335">
        <f t="shared" si="82"/>
        <v>-134.17770365845163</v>
      </c>
      <c r="AL197" s="335">
        <f t="shared" si="83"/>
        <v>14.446289890967989</v>
      </c>
      <c r="AM197" s="335">
        <f t="shared" si="84"/>
        <v>196.06393619618629</v>
      </c>
      <c r="AN197" s="335">
        <f t="shared" si="85"/>
        <v>201.86076604847267</v>
      </c>
      <c r="AO197" s="335">
        <f t="shared" si="86"/>
        <v>126.44091936941822</v>
      </c>
      <c r="AP197" s="335">
        <f t="shared" si="87"/>
        <v>19.068071201405814</v>
      </c>
      <c r="AS197" s="609">
        <f t="shared" si="88"/>
        <v>2041</v>
      </c>
      <c r="AT197" s="335">
        <f t="shared" si="63"/>
        <v>349.85910192109833</v>
      </c>
      <c r="AU197" s="335">
        <f t="shared" si="63"/>
        <v>513.98060290587523</v>
      </c>
      <c r="AV197" s="335">
        <f t="shared" si="63"/>
        <v>526.03821666666659</v>
      </c>
      <c r="AW197" s="335">
        <f t="shared" si="63"/>
        <v>11.940247479314053</v>
      </c>
      <c r="AX197" s="335">
        <f t="shared" si="63"/>
        <v>868.31492364607482</v>
      </c>
      <c r="AY197" s="335">
        <f t="shared" si="89"/>
        <v>716.82798433607491</v>
      </c>
      <c r="AZ197" s="335">
        <f t="shared" si="90"/>
        <v>130.36269771664377</v>
      </c>
    </row>
    <row r="198" spans="2:52" ht="14.4" x14ac:dyDescent="0.55000000000000004">
      <c r="B198" s="3">
        <v>2042</v>
      </c>
      <c r="C198" s="1205">
        <f t="shared" si="62"/>
        <v>640.31470106425445</v>
      </c>
      <c r="D198" s="1205">
        <f>'Food System Summary'!B40-'Food System Summary'!C40</f>
        <v>886.01366797283299</v>
      </c>
      <c r="E198" s="1205">
        <f t="shared" si="91"/>
        <v>1.3837159548269111</v>
      </c>
      <c r="F198" s="1205">
        <f t="shared" si="64"/>
        <v>0.39311106733991813</v>
      </c>
      <c r="G198" s="1205">
        <f t="shared" si="65"/>
        <v>34.392262623371373</v>
      </c>
      <c r="H198" s="1205">
        <f t="shared" si="92"/>
        <v>5.3711499308400495E-2</v>
      </c>
      <c r="I198" s="1205">
        <f t="shared" si="66"/>
        <v>-280.09122953194992</v>
      </c>
      <c r="J198" s="1205">
        <f t="shared" si="67"/>
        <v>-0.43742745413531159</v>
      </c>
      <c r="K198" s="1205">
        <f t="shared" si="68"/>
        <v>-0.12427230659519682</v>
      </c>
      <c r="N198" s="3">
        <v>2042</v>
      </c>
      <c r="O198" s="1205">
        <f t="shared" si="69"/>
        <v>698.12564563149999</v>
      </c>
      <c r="P198" s="1205">
        <f t="shared" si="70"/>
        <v>16.054884877620918</v>
      </c>
      <c r="Q198" s="1205">
        <f t="shared" si="71"/>
        <v>540.02535999999998</v>
      </c>
      <c r="R198" s="1205">
        <f t="shared" si="93"/>
        <v>158.10028563150001</v>
      </c>
      <c r="S198" s="1206">
        <f>Paper!E34</f>
        <v>676.24735064553647</v>
      </c>
      <c r="T198" s="1205">
        <f t="shared" si="72"/>
        <v>136.22199064553649</v>
      </c>
      <c r="U198" s="1206">
        <f>Paper!I34</f>
        <v>11.791772724761927</v>
      </c>
      <c r="V198" s="1205">
        <f t="shared" si="73"/>
        <v>124.43021792077457</v>
      </c>
      <c r="Y198" s="609">
        <f t="shared" si="94"/>
        <v>2042</v>
      </c>
      <c r="Z198" s="335">
        <f t="shared" si="74"/>
        <v>3159.6894567667218</v>
      </c>
      <c r="AA198" s="335">
        <f t="shared" si="75"/>
        <v>818.61511036165439</v>
      </c>
      <c r="AB198" s="335">
        <f t="shared" si="76"/>
        <v>359.77782771524176</v>
      </c>
      <c r="AC198" s="335">
        <f t="shared" si="77"/>
        <v>523.64066397480224</v>
      </c>
      <c r="AD198" s="335">
        <f t="shared" si="78"/>
        <v>540.02535999999998</v>
      </c>
      <c r="AE198" s="335">
        <f>MIN(Paper!I34,Paper!H34)</f>
        <v>11.791772724761927</v>
      </c>
      <c r="AF198" s="335">
        <f t="shared" si="79"/>
        <v>905.83872199026155</v>
      </c>
      <c r="AI198" s="609">
        <f t="shared" si="80"/>
        <v>2042</v>
      </c>
      <c r="AJ198" s="335">
        <f t="shared" si="81"/>
        <v>388.18334757028532</v>
      </c>
      <c r="AK198" s="335">
        <f t="shared" si="82"/>
        <v>-122.71453030013896</v>
      </c>
      <c r="AL198" s="335">
        <f t="shared" si="83"/>
        <v>15.068056078866334</v>
      </c>
      <c r="AM198" s="335">
        <f t="shared" si="84"/>
        <v>196.10696610913661</v>
      </c>
      <c r="AN198" s="335">
        <f t="shared" si="85"/>
        <v>195.66275799676703</v>
      </c>
      <c r="AO198" s="335">
        <f t="shared" si="86"/>
        <v>124.43021792077457</v>
      </c>
      <c r="AP198" s="335">
        <f t="shared" si="87"/>
        <v>21.878294985963521</v>
      </c>
      <c r="AS198" s="609">
        <f t="shared" si="88"/>
        <v>2042</v>
      </c>
      <c r="AT198" s="335">
        <f t="shared" si="63"/>
        <v>359.77782771524176</v>
      </c>
      <c r="AU198" s="335">
        <f t="shared" si="63"/>
        <v>523.64066397480224</v>
      </c>
      <c r="AV198" s="335">
        <f t="shared" si="63"/>
        <v>540.02535999999998</v>
      </c>
      <c r="AW198" s="335">
        <f t="shared" si="63"/>
        <v>11.791772724761927</v>
      </c>
      <c r="AX198" s="335">
        <f t="shared" si="63"/>
        <v>905.83872199026155</v>
      </c>
      <c r="AY198" s="335">
        <f t="shared" si="89"/>
        <v>727.55448240198814</v>
      </c>
      <c r="AZ198" s="335">
        <f t="shared" si="90"/>
        <v>91.060627959666249</v>
      </c>
    </row>
    <row r="199" spans="2:52" ht="14.4" x14ac:dyDescent="0.55000000000000004">
      <c r="B199" s="3">
        <v>2043</v>
      </c>
      <c r="C199" s="1205">
        <f t="shared" si="62"/>
        <v>627.31621142282745</v>
      </c>
      <c r="D199" s="1205">
        <f>'Food System Summary'!B41-'Food System Summary'!C41</f>
        <v>860.76372467209353</v>
      </c>
      <c r="E199" s="1205">
        <f t="shared" si="91"/>
        <v>1.3721369047992231</v>
      </c>
      <c r="F199" s="1205">
        <f t="shared" si="64"/>
        <v>0.38106659414957272</v>
      </c>
      <c r="G199" s="1205">
        <f t="shared" si="65"/>
        <v>37.897199937640686</v>
      </c>
      <c r="H199" s="1205">
        <f t="shared" si="92"/>
        <v>6.0411638098249287E-2</v>
      </c>
      <c r="I199" s="1205">
        <f t="shared" si="66"/>
        <v>-271.34471318690674</v>
      </c>
      <c r="J199" s="1205">
        <f t="shared" si="67"/>
        <v>-0.43254854289747241</v>
      </c>
      <c r="K199" s="1205">
        <f t="shared" si="68"/>
        <v>-0.12012635143751836</v>
      </c>
      <c r="N199" s="3">
        <v>2043</v>
      </c>
      <c r="O199" s="1205">
        <f t="shared" si="69"/>
        <v>712.96080417938356</v>
      </c>
      <c r="P199" s="1205">
        <f t="shared" si="70"/>
        <v>17.057652655257847</v>
      </c>
      <c r="Q199" s="1205">
        <f t="shared" si="71"/>
        <v>554.53376333333324</v>
      </c>
      <c r="R199" s="1205">
        <f t="shared" si="93"/>
        <v>158.42704084605032</v>
      </c>
      <c r="S199" s="1206">
        <f>Paper!E35</f>
        <v>687.88010807954925</v>
      </c>
      <c r="T199" s="1205">
        <f t="shared" si="72"/>
        <v>133.346344746216</v>
      </c>
      <c r="U199" s="1206">
        <f>Paper!I35</f>
        <v>11.644287251645551</v>
      </c>
      <c r="V199" s="1205">
        <f t="shared" si="73"/>
        <v>121.70205749457045</v>
      </c>
      <c r="Y199" s="609">
        <f t="shared" si="94"/>
        <v>2043</v>
      </c>
      <c r="Z199" s="335">
        <f t="shared" si="74"/>
        <v>3202.0346277752164</v>
      </c>
      <c r="AA199" s="335">
        <f t="shared" si="75"/>
        <v>789.58068554917372</v>
      </c>
      <c r="AB199" s="335">
        <f t="shared" si="76"/>
        <v>369.80146427029553</v>
      </c>
      <c r="AC199" s="335">
        <f t="shared" si="77"/>
        <v>533.26735857658002</v>
      </c>
      <c r="AD199" s="335">
        <f t="shared" si="78"/>
        <v>554.53376333333324</v>
      </c>
      <c r="AE199" s="335">
        <f>MIN(Paper!I35,Paper!H35)</f>
        <v>11.644287251645551</v>
      </c>
      <c r="AF199" s="335">
        <f t="shared" si="79"/>
        <v>943.20706879418799</v>
      </c>
      <c r="AI199" s="609">
        <f t="shared" si="80"/>
        <v>2043</v>
      </c>
      <c r="AJ199" s="335">
        <f t="shared" si="81"/>
        <v>353.3454880980297</v>
      </c>
      <c r="AK199" s="335">
        <f t="shared" si="82"/>
        <v>-111.3876286554387</v>
      </c>
      <c r="AL199" s="335">
        <f t="shared" si="83"/>
        <v>15.556887709940927</v>
      </c>
      <c r="AM199" s="335">
        <f t="shared" si="84"/>
        <v>195.9530881356747</v>
      </c>
      <c r="AN199" s="335">
        <f t="shared" si="85"/>
        <v>189.33009666656233</v>
      </c>
      <c r="AO199" s="335">
        <f t="shared" si="86"/>
        <v>121.70205749457045</v>
      </c>
      <c r="AP199" s="335">
        <f t="shared" si="87"/>
        <v>25.080696099834256</v>
      </c>
      <c r="AS199" s="609">
        <f t="shared" si="88"/>
        <v>2043</v>
      </c>
      <c r="AT199" s="335">
        <f t="shared" si="63"/>
        <v>369.80146427029553</v>
      </c>
      <c r="AU199" s="335">
        <f t="shared" si="63"/>
        <v>533.26735857658002</v>
      </c>
      <c r="AV199" s="335">
        <f t="shared" si="63"/>
        <v>554.53376333333324</v>
      </c>
      <c r="AW199" s="335">
        <f t="shared" si="63"/>
        <v>11.644287251645551</v>
      </c>
      <c r="AX199" s="335">
        <f t="shared" si="63"/>
        <v>943.20706879418799</v>
      </c>
      <c r="AY199" s="335">
        <f t="shared" si="89"/>
        <v>736.65508942157817</v>
      </c>
      <c r="AZ199" s="335">
        <f t="shared" si="90"/>
        <v>52.925596127595554</v>
      </c>
    </row>
    <row r="200" spans="2:52" ht="14.4" x14ac:dyDescent="0.55000000000000004">
      <c r="B200" s="3">
        <v>2044</v>
      </c>
      <c r="C200" s="1205">
        <f t="shared" si="62"/>
        <v>614.65942491230226</v>
      </c>
      <c r="D200" s="1205">
        <f>'Food System Summary'!B42-'Food System Summary'!C42</f>
        <v>835.51037081158745</v>
      </c>
      <c r="E200" s="1205">
        <f t="shared" si="91"/>
        <v>1.3593062059217518</v>
      </c>
      <c r="F200" s="1205">
        <f t="shared" si="64"/>
        <v>0.36904395323726397</v>
      </c>
      <c r="G200" s="1205">
        <f t="shared" si="65"/>
        <v>41.602450750406526</v>
      </c>
      <c r="H200" s="1205">
        <f t="shared" si="92"/>
        <v>6.7683743328823501E-2</v>
      </c>
      <c r="I200" s="1205">
        <f t="shared" si="66"/>
        <v>-262.45339664969174</v>
      </c>
      <c r="J200" s="1205">
        <f t="shared" si="67"/>
        <v>-0.42698994925057532</v>
      </c>
      <c r="K200" s="1205">
        <f t="shared" si="68"/>
        <v>-0.11592535822872715</v>
      </c>
      <c r="N200" s="3">
        <v>2044</v>
      </c>
      <c r="O200" s="1205">
        <f t="shared" si="69"/>
        <v>727.9957176383781</v>
      </c>
      <c r="P200" s="1205">
        <f t="shared" si="70"/>
        <v>18.062337978522599</v>
      </c>
      <c r="Q200" s="1205">
        <f t="shared" si="71"/>
        <v>569.5634266666666</v>
      </c>
      <c r="R200" s="1205">
        <f t="shared" si="93"/>
        <v>158.4322909717115</v>
      </c>
      <c r="S200" s="1206">
        <f>Paper!E36</f>
        <v>699.32011372535237</v>
      </c>
      <c r="T200" s="1205">
        <f t="shared" si="72"/>
        <v>129.75668705868577</v>
      </c>
      <c r="U200" s="1206">
        <f>Paper!I36</f>
        <v>11.497407754805522</v>
      </c>
      <c r="V200" s="1205">
        <f t="shared" si="73"/>
        <v>118.25927930388025</v>
      </c>
      <c r="Y200" s="609">
        <f t="shared" si="94"/>
        <v>2044</v>
      </c>
      <c r="Z200" s="335">
        <f t="shared" si="74"/>
        <v>3244.3847108106588</v>
      </c>
      <c r="AA200" s="335">
        <f t="shared" si="75"/>
        <v>760.13308495352851</v>
      </c>
      <c r="AB200" s="335">
        <f t="shared" si="76"/>
        <v>379.93165197372355</v>
      </c>
      <c r="AC200" s="335">
        <f t="shared" si="77"/>
        <v>542.86050262015374</v>
      </c>
      <c r="AD200" s="335">
        <f t="shared" si="78"/>
        <v>569.5634266666666</v>
      </c>
      <c r="AE200" s="335">
        <f>MIN(Paper!I36,Paper!H36)</f>
        <v>11.497407754805522</v>
      </c>
      <c r="AF200" s="335">
        <f t="shared" si="79"/>
        <v>980.39863684178079</v>
      </c>
      <c r="AI200" s="609">
        <f t="shared" si="80"/>
        <v>2044</v>
      </c>
      <c r="AJ200" s="335">
        <f t="shared" si="81"/>
        <v>319.0669184576019</v>
      </c>
      <c r="AK200" s="335">
        <f t="shared" si="82"/>
        <v>-100.22639985474427</v>
      </c>
      <c r="AL200" s="335">
        <f t="shared" si="83"/>
        <v>15.887254335721121</v>
      </c>
      <c r="AM200" s="335">
        <f t="shared" si="84"/>
        <v>195.59474105339012</v>
      </c>
      <c r="AN200" s="335">
        <f t="shared" si="85"/>
        <v>182.87568774465376</v>
      </c>
      <c r="AO200" s="335">
        <f t="shared" si="86"/>
        <v>118.25927930388025</v>
      </c>
      <c r="AP200" s="335">
        <f t="shared" si="87"/>
        <v>28.675603913025668</v>
      </c>
      <c r="AS200" s="609">
        <f t="shared" si="88"/>
        <v>2044</v>
      </c>
      <c r="AT200" s="335">
        <f t="shared" si="63"/>
        <v>379.93165197372355</v>
      </c>
      <c r="AU200" s="335">
        <f t="shared" si="63"/>
        <v>542.86050262015374</v>
      </c>
      <c r="AV200" s="335">
        <f t="shared" si="63"/>
        <v>569.5634266666666</v>
      </c>
      <c r="AW200" s="335">
        <f t="shared" si="63"/>
        <v>11.497407754805522</v>
      </c>
      <c r="AX200" s="335">
        <f t="shared" si="63"/>
        <v>980.39863684178079</v>
      </c>
      <c r="AY200" s="335">
        <f t="shared" si="89"/>
        <v>744.02338957388417</v>
      </c>
      <c r="AZ200" s="335">
        <f t="shared" si="90"/>
        <v>16.109695379644336</v>
      </c>
    </row>
    <row r="201" spans="2:52" ht="14.4" x14ac:dyDescent="0.55000000000000004">
      <c r="B201" s="3">
        <v>2045</v>
      </c>
      <c r="C201" s="1205">
        <f t="shared" si="62"/>
        <v>602.43327914192116</v>
      </c>
      <c r="D201" s="1205">
        <f>'Food System Summary'!B43-'Food System Summary'!C43</f>
        <v>810.26408847225457</v>
      </c>
      <c r="E201" s="1205">
        <f t="shared" si="91"/>
        <v>1.3449856050886801</v>
      </c>
      <c r="F201" s="1205">
        <f t="shared" si="64"/>
        <v>0.35702654060964645</v>
      </c>
      <c r="G201" s="1205">
        <f t="shared" si="65"/>
        <v>45.510370566338139</v>
      </c>
      <c r="H201" s="1205">
        <f t="shared" si="92"/>
        <v>7.5544250528724211E-2</v>
      </c>
      <c r="I201" s="1205">
        <f t="shared" si="66"/>
        <v>-253.34117989667155</v>
      </c>
      <c r="J201" s="1205">
        <f t="shared" si="67"/>
        <v>-0.42052985561740436</v>
      </c>
      <c r="K201" s="1205">
        <f t="shared" si="68"/>
        <v>-0.1116296851104638</v>
      </c>
      <c r="N201" s="3">
        <v>2045</v>
      </c>
      <c r="O201" s="1205">
        <f t="shared" si="69"/>
        <v>743.2574455163824</v>
      </c>
      <c r="P201" s="1205">
        <f t="shared" si="70"/>
        <v>19.06678110884658</v>
      </c>
      <c r="Q201" s="1205">
        <f t="shared" si="71"/>
        <v>585.11434999999994</v>
      </c>
      <c r="R201" s="1205">
        <f t="shared" si="93"/>
        <v>158.14309551638246</v>
      </c>
      <c r="S201" s="1206">
        <f>Paper!E37</f>
        <v>710.58087292819198</v>
      </c>
      <c r="T201" s="1205">
        <f t="shared" si="72"/>
        <v>125.46652292819203</v>
      </c>
      <c r="U201" s="1206">
        <f>Paper!I37</f>
        <v>11.351238359242188</v>
      </c>
      <c r="V201" s="1205">
        <f t="shared" si="73"/>
        <v>114.11528456894985</v>
      </c>
      <c r="Y201" s="609">
        <f t="shared" si="94"/>
        <v>2045</v>
      </c>
      <c r="Z201" s="335">
        <f t="shared" si="74"/>
        <v>3286.87091114945</v>
      </c>
      <c r="AA201" s="335">
        <f t="shared" si="75"/>
        <v>730.39243788926763</v>
      </c>
      <c r="AB201" s="335">
        <f t="shared" si="76"/>
        <v>390.1828214111618</v>
      </c>
      <c r="AC201" s="335">
        <f t="shared" si="77"/>
        <v>552.43773813026735</v>
      </c>
      <c r="AD201" s="335">
        <f t="shared" si="78"/>
        <v>585.11434999999994</v>
      </c>
      <c r="AE201" s="335">
        <f>MIN(Paper!I37,Paper!H37)</f>
        <v>11.351238359242188</v>
      </c>
      <c r="AF201" s="335">
        <f t="shared" si="79"/>
        <v>1017.392325359511</v>
      </c>
      <c r="AI201" s="609">
        <f t="shared" si="80"/>
        <v>2045</v>
      </c>
      <c r="AJ201" s="335">
        <f t="shared" si="81"/>
        <v>285.47381032135468</v>
      </c>
      <c r="AK201" s="335">
        <f t="shared" si="82"/>
        <v>-89.257654344244202</v>
      </c>
      <c r="AL201" s="335">
        <f t="shared" si="83"/>
        <v>16.034301753648876</v>
      </c>
      <c r="AM201" s="335">
        <f t="shared" si="84"/>
        <v>195.02448188876514</v>
      </c>
      <c r="AN201" s="335">
        <f t="shared" si="85"/>
        <v>176.32564111260274</v>
      </c>
      <c r="AO201" s="335">
        <f t="shared" si="86"/>
        <v>114.11528456894985</v>
      </c>
      <c r="AP201" s="335">
        <f t="shared" si="87"/>
        <v>32.676572588190595</v>
      </c>
      <c r="AS201" s="609">
        <f t="shared" si="88"/>
        <v>2045</v>
      </c>
      <c r="AT201" s="335">
        <f t="shared" si="63"/>
        <v>390.1828214111618</v>
      </c>
      <c r="AU201" s="335">
        <f t="shared" si="63"/>
        <v>552.43773813026735</v>
      </c>
      <c r="AV201" s="335">
        <f t="shared" si="63"/>
        <v>585.11434999999994</v>
      </c>
      <c r="AW201" s="335">
        <f t="shared" si="63"/>
        <v>11.351238359242188</v>
      </c>
      <c r="AX201" s="335">
        <f t="shared" si="63"/>
        <v>1017.392325359511</v>
      </c>
      <c r="AY201" s="335">
        <f t="shared" si="89"/>
        <v>730.39243788926763</v>
      </c>
      <c r="AZ201" s="335">
        <f t="shared" si="90"/>
        <v>0</v>
      </c>
    </row>
    <row r="202" spans="2:52" ht="14.4" x14ac:dyDescent="0.55000000000000004">
      <c r="B202" s="3">
        <v>2046</v>
      </c>
      <c r="C202" s="1205">
        <f t="shared" si="62"/>
        <v>590.46669107846731</v>
      </c>
      <c r="D202" s="1205">
        <f>'Food System Summary'!B44-'Food System Summary'!C44</f>
        <v>785.03780951652311</v>
      </c>
      <c r="E202" s="1205">
        <f t="shared" si="91"/>
        <v>1.3295209050364523</v>
      </c>
      <c r="F202" s="1205">
        <f t="shared" si="64"/>
        <v>0.34508404558010575</v>
      </c>
      <c r="G202" s="1205">
        <f t="shared" si="65"/>
        <v>49.623174944493854</v>
      </c>
      <c r="H202" s="1205">
        <f t="shared" si="92"/>
        <v>8.4040599908961525E-2</v>
      </c>
      <c r="I202" s="1205">
        <f t="shared" si="66"/>
        <v>-244.19429338254966</v>
      </c>
      <c r="J202" s="1205">
        <f t="shared" si="67"/>
        <v>-0.41356150494541377</v>
      </c>
      <c r="K202" s="1205">
        <f t="shared" si="68"/>
        <v>-0.10734203327088523</v>
      </c>
      <c r="N202" s="3">
        <v>2046</v>
      </c>
      <c r="O202" s="1205">
        <f t="shared" si="69"/>
        <v>758.65168447919382</v>
      </c>
      <c r="P202" s="1205">
        <f t="shared" si="70"/>
        <v>20.068962253446756</v>
      </c>
      <c r="Q202" s="1205">
        <f t="shared" si="71"/>
        <v>601.18653333333327</v>
      </c>
      <c r="R202" s="1205">
        <f t="shared" si="93"/>
        <v>157.46515114586055</v>
      </c>
      <c r="S202" s="1206">
        <f>Paper!E38</f>
        <v>721.68660694963353</v>
      </c>
      <c r="T202" s="1205">
        <f t="shared" si="72"/>
        <v>120.50007361630026</v>
      </c>
      <c r="U202" s="1206">
        <f>Paper!I38</f>
        <v>11.20638914407607</v>
      </c>
      <c r="V202" s="1205">
        <f t="shared" si="73"/>
        <v>109.29368447222419</v>
      </c>
      <c r="Y202" s="609">
        <f t="shared" si="94"/>
        <v>2046</v>
      </c>
      <c r="Z202" s="335">
        <f t="shared" si="74"/>
        <v>3329.08709032667</v>
      </c>
      <c r="AA202" s="335">
        <f t="shared" si="75"/>
        <v>700.09345140604626</v>
      </c>
      <c r="AB202" s="335">
        <f t="shared" si="76"/>
        <v>400.50510275993332</v>
      </c>
      <c r="AC202" s="335">
        <f t="shared" si="77"/>
        <v>561.9262414354929</v>
      </c>
      <c r="AD202" s="335">
        <f t="shared" si="78"/>
        <v>601.18653333333327</v>
      </c>
      <c r="AE202" s="335">
        <f>MIN(Paper!I38,Paper!H38)</f>
        <v>11.20638914407607</v>
      </c>
      <c r="AF202" s="335">
        <f t="shared" si="79"/>
        <v>1054.1693722477883</v>
      </c>
      <c r="AI202" s="609">
        <f t="shared" si="80"/>
        <v>2046</v>
      </c>
      <c r="AJ202" s="335">
        <f t="shared" si="81"/>
        <v>252.55790282341923</v>
      </c>
      <c r="AK202" s="335">
        <f t="shared" si="82"/>
        <v>-78.560800346834043</v>
      </c>
      <c r="AL202" s="335">
        <f t="shared" si="83"/>
        <v>15.964485841948779</v>
      </c>
      <c r="AM202" s="335">
        <f t="shared" si="84"/>
        <v>194.2325540705549</v>
      </c>
      <c r="AN202" s="335">
        <f t="shared" si="85"/>
        <v>169.64054701517318</v>
      </c>
      <c r="AO202" s="335">
        <f t="shared" si="86"/>
        <v>109.29368447222419</v>
      </c>
      <c r="AP202" s="335">
        <f t="shared" si="87"/>
        <v>36.965077529560062</v>
      </c>
      <c r="AS202" s="609">
        <f t="shared" si="88"/>
        <v>2046</v>
      </c>
      <c r="AT202" s="335">
        <f t="shared" si="63"/>
        <v>400.50510275993332</v>
      </c>
      <c r="AU202" s="335">
        <f t="shared" si="63"/>
        <v>561.9262414354929</v>
      </c>
      <c r="AV202" s="335">
        <f t="shared" si="63"/>
        <v>601.18653333333327</v>
      </c>
      <c r="AW202" s="335">
        <f t="shared" si="63"/>
        <v>11.20638914407607</v>
      </c>
      <c r="AX202" s="335">
        <f t="shared" si="63"/>
        <v>1054.1693722477883</v>
      </c>
      <c r="AY202" s="335">
        <f t="shared" si="89"/>
        <v>700.09345140604626</v>
      </c>
      <c r="AZ202" s="335">
        <f t="shared" si="90"/>
        <v>0</v>
      </c>
    </row>
    <row r="203" spans="2:52" ht="14.4" x14ac:dyDescent="0.55000000000000004">
      <c r="B203" s="3">
        <v>2047</v>
      </c>
      <c r="C203" s="1205">
        <f t="shared" si="62"/>
        <v>578.80547353793668</v>
      </c>
      <c r="D203" s="1205">
        <f>'Food System Summary'!B45-'Food System Summary'!C45</f>
        <v>759.84498359225154</v>
      </c>
      <c r="E203" s="1205">
        <f t="shared" si="91"/>
        <v>1.3127812682000302</v>
      </c>
      <c r="F203" s="1205">
        <f t="shared" si="64"/>
        <v>0.33321123649238626</v>
      </c>
      <c r="G203" s="1205">
        <f t="shared" si="65"/>
        <v>53.942945907786495</v>
      </c>
      <c r="H203" s="1205">
        <f t="shared" si="92"/>
        <v>9.3197021061430768E-2</v>
      </c>
      <c r="I203" s="1205">
        <f t="shared" si="66"/>
        <v>-234.98245596210137</v>
      </c>
      <c r="J203" s="1205">
        <f t="shared" si="67"/>
        <v>-0.40597828926146101</v>
      </c>
      <c r="K203" s="1205">
        <f t="shared" si="68"/>
        <v>-0.10304574800899947</v>
      </c>
      <c r="N203" s="3">
        <v>2047</v>
      </c>
      <c r="O203" s="1205">
        <f t="shared" si="69"/>
        <v>774.18582226794842</v>
      </c>
      <c r="P203" s="1205">
        <f t="shared" si="70"/>
        <v>21.066995155510948</v>
      </c>
      <c r="Q203" s="1205">
        <f t="shared" si="71"/>
        <v>617.77997666666647</v>
      </c>
      <c r="R203" s="1205">
        <f t="shared" si="93"/>
        <v>156.40584560128195</v>
      </c>
      <c r="S203" s="1206">
        <f>Paper!E39</f>
        <v>732.67074481100497</v>
      </c>
      <c r="T203" s="1205">
        <f t="shared" si="72"/>
        <v>114.89076814433849</v>
      </c>
      <c r="U203" s="1206">
        <f>Paper!I39</f>
        <v>11.062881191423685</v>
      </c>
      <c r="V203" s="1205">
        <f t="shared" si="73"/>
        <v>103.82788695291481</v>
      </c>
      <c r="Y203" s="609">
        <f t="shared" si="94"/>
        <v>2047</v>
      </c>
      <c r="Z203" s="335">
        <f t="shared" si="74"/>
        <v>3371.0816863003333</v>
      </c>
      <c r="AA203" s="335">
        <f t="shared" si="75"/>
        <v>669.29677120245697</v>
      </c>
      <c r="AB203" s="335">
        <f t="shared" si="76"/>
        <v>410.90142394952579</v>
      </c>
      <c r="AC203" s="335">
        <f t="shared" si="77"/>
        <v>571.32917577005298</v>
      </c>
      <c r="AD203" s="335">
        <f t="shared" si="78"/>
        <v>617.77997666666647</v>
      </c>
      <c r="AE203" s="335">
        <f>MIN(Paper!I39,Paper!H39)</f>
        <v>11.062881191423685</v>
      </c>
      <c r="AF203" s="335">
        <f t="shared" si="79"/>
        <v>1090.711457520207</v>
      </c>
      <c r="AI203" s="609">
        <f t="shared" si="80"/>
        <v>2047</v>
      </c>
      <c r="AJ203" s="335">
        <f t="shared" si="81"/>
        <v>220.42129115459477</v>
      </c>
      <c r="AK203" s="335">
        <f t="shared" si="82"/>
        <v>-68.165398811974569</v>
      </c>
      <c r="AL203" s="335">
        <f t="shared" si="83"/>
        <v>15.648157245790649</v>
      </c>
      <c r="AM203" s="335">
        <f t="shared" si="84"/>
        <v>193.21040635062869</v>
      </c>
      <c r="AN203" s="335">
        <f t="shared" si="85"/>
        <v>162.83935085355938</v>
      </c>
      <c r="AO203" s="335">
        <f t="shared" si="86"/>
        <v>103.82788695291481</v>
      </c>
      <c r="AP203" s="335">
        <f t="shared" si="87"/>
        <v>41.515077456943231</v>
      </c>
      <c r="AS203" s="609">
        <f t="shared" si="88"/>
        <v>2047</v>
      </c>
      <c r="AT203" s="335">
        <f t="shared" si="63"/>
        <v>410.90142394952579</v>
      </c>
      <c r="AU203" s="335">
        <f t="shared" si="63"/>
        <v>571.32917577005298</v>
      </c>
      <c r="AV203" s="335">
        <f t="shared" si="63"/>
        <v>617.77997666666647</v>
      </c>
      <c r="AW203" s="335">
        <f t="shared" si="63"/>
        <v>11.062881191423685</v>
      </c>
      <c r="AX203" s="335">
        <f t="shared" si="63"/>
        <v>1090.711457520207</v>
      </c>
      <c r="AY203" s="335">
        <f t="shared" si="89"/>
        <v>669.29677120245697</v>
      </c>
      <c r="AZ203" s="335">
        <f t="shared" si="90"/>
        <v>0</v>
      </c>
    </row>
    <row r="204" spans="2:52" ht="14.4" x14ac:dyDescent="0.55000000000000004">
      <c r="B204" s="3">
        <v>2048</v>
      </c>
      <c r="C204" s="1205">
        <f t="shared" si="62"/>
        <v>567.51383800289307</v>
      </c>
      <c r="D204" s="1205">
        <f>'Food System Summary'!B46-'Food System Summary'!C46</f>
        <v>734.69788231262919</v>
      </c>
      <c r="E204" s="1205">
        <f t="shared" si="91"/>
        <v>1.2945902515752996</v>
      </c>
      <c r="F204" s="1205">
        <f t="shared" si="64"/>
        <v>0.32139863734989094</v>
      </c>
      <c r="G204" s="1205">
        <f t="shared" si="65"/>
        <v>58.471638102426247</v>
      </c>
      <c r="H204" s="1205">
        <f t="shared" si="92"/>
        <v>0.10303121120040103</v>
      </c>
      <c r="I204" s="1205">
        <f t="shared" si="66"/>
        <v>-225.65568241216238</v>
      </c>
      <c r="J204" s="1205">
        <f t="shared" si="67"/>
        <v>-0.39762146277570071</v>
      </c>
      <c r="K204" s="1205">
        <f t="shared" si="68"/>
        <v>-9.8714628942768168E-2</v>
      </c>
      <c r="N204" s="3">
        <v>2048</v>
      </c>
      <c r="O204" s="1205">
        <f t="shared" si="69"/>
        <v>789.87577806019715</v>
      </c>
      <c r="P204" s="1205">
        <f t="shared" si="70"/>
        <v>22.059120935046064</v>
      </c>
      <c r="Q204" s="1205">
        <f t="shared" si="71"/>
        <v>634.89467999999988</v>
      </c>
      <c r="R204" s="1205">
        <f t="shared" si="93"/>
        <v>154.98109806019727</v>
      </c>
      <c r="S204" s="1206">
        <f>Paper!E40</f>
        <v>743.57402231909225</v>
      </c>
      <c r="T204" s="1205">
        <f t="shared" si="72"/>
        <v>108.67934231909237</v>
      </c>
      <c r="U204" s="1206">
        <f>Paper!I40</f>
        <v>10.920058796903163</v>
      </c>
      <c r="V204" s="1205">
        <f t="shared" si="73"/>
        <v>97.759283522189207</v>
      </c>
      <c r="Y204" s="609">
        <f t="shared" si="94"/>
        <v>2048</v>
      </c>
      <c r="Z204" s="335">
        <f t="shared" si="74"/>
        <v>3412.9379410699567</v>
      </c>
      <c r="AA204" s="335">
        <f t="shared" si="75"/>
        <v>638.08932565657199</v>
      </c>
      <c r="AB204" s="335">
        <f t="shared" si="76"/>
        <v>421.37944865100434</v>
      </c>
      <c r="AC204" s="335">
        <f t="shared" si="77"/>
        <v>580.65611741361636</v>
      </c>
      <c r="AD204" s="335">
        <f t="shared" si="78"/>
        <v>634.89467999999988</v>
      </c>
      <c r="AE204" s="335">
        <f>MIN(Paper!I40,Paper!H40)</f>
        <v>10.920058796903163</v>
      </c>
      <c r="AF204" s="335">
        <f t="shared" si="79"/>
        <v>1126.9983105518609</v>
      </c>
      <c r="AI204" s="609">
        <f t="shared" si="80"/>
        <v>2048</v>
      </c>
      <c r="AJ204" s="335">
        <f t="shared" si="81"/>
        <v>189.18415587486447</v>
      </c>
      <c r="AK204" s="335">
        <f t="shared" si="82"/>
        <v>-58.10616965593178</v>
      </c>
      <c r="AL204" s="335">
        <f t="shared" si="83"/>
        <v>15.056403132956078</v>
      </c>
      <c r="AM204" s="335">
        <f t="shared" si="84"/>
        <v>191.94905374641138</v>
      </c>
      <c r="AN204" s="335">
        <f t="shared" si="85"/>
        <v>155.944843294978</v>
      </c>
      <c r="AO204" s="335">
        <f t="shared" si="86"/>
        <v>97.759283522189207</v>
      </c>
      <c r="AP204" s="335">
        <f t="shared" si="87"/>
        <v>46.301755741104671</v>
      </c>
      <c r="AS204" s="609">
        <f t="shared" si="88"/>
        <v>2048</v>
      </c>
      <c r="AT204" s="335">
        <f t="shared" si="63"/>
        <v>421.37944865100434</v>
      </c>
      <c r="AU204" s="335">
        <f t="shared" si="63"/>
        <v>580.65611741361636</v>
      </c>
      <c r="AV204" s="335">
        <f t="shared" si="63"/>
        <v>634.89467999999988</v>
      </c>
      <c r="AW204" s="335">
        <f t="shared" si="63"/>
        <v>10.920058796903163</v>
      </c>
      <c r="AX204" s="335">
        <f t="shared" si="63"/>
        <v>1126.9983105518609</v>
      </c>
      <c r="AY204" s="335">
        <f t="shared" si="89"/>
        <v>638.08932565657199</v>
      </c>
      <c r="AZ204" s="335">
        <f t="shared" si="90"/>
        <v>0</v>
      </c>
    </row>
    <row r="205" spans="2:52" ht="14.4" x14ac:dyDescent="0.55000000000000004">
      <c r="B205" s="3">
        <v>2049</v>
      </c>
      <c r="C205" s="1205">
        <f t="shared" si="62"/>
        <v>556.61961143564872</v>
      </c>
      <c r="D205" s="1205">
        <f>'Food System Summary'!B47-'Food System Summary'!C47</f>
        <v>709.60893846067938</v>
      </c>
      <c r="E205" s="1205">
        <f t="shared" si="91"/>
        <v>1.2748543599289224</v>
      </c>
      <c r="F205" s="1205">
        <f t="shared" si="64"/>
        <v>0.30964929319757695</v>
      </c>
      <c r="G205" s="1205">
        <f t="shared" si="65"/>
        <v>63.211084715477433</v>
      </c>
      <c r="H205" s="1205">
        <f t="shared" si="92"/>
        <v>0.11356244626818242</v>
      </c>
      <c r="I205" s="1205">
        <f t="shared" si="66"/>
        <v>-216.20041174050809</v>
      </c>
      <c r="J205" s="1205">
        <f t="shared" si="67"/>
        <v>-0.38841680619710467</v>
      </c>
      <c r="K205" s="1205">
        <f t="shared" si="68"/>
        <v>-9.4342532986826308E-2</v>
      </c>
      <c r="N205" s="3">
        <v>2049</v>
      </c>
      <c r="O205" s="1205">
        <f t="shared" si="69"/>
        <v>805.72045427536432</v>
      </c>
      <c r="P205" s="1205">
        <f t="shared" si="70"/>
        <v>23.043702171146627</v>
      </c>
      <c r="Q205" s="1205">
        <f t="shared" si="71"/>
        <v>652.53064333333327</v>
      </c>
      <c r="R205" s="1205">
        <f t="shared" si="93"/>
        <v>153.18981094203104</v>
      </c>
      <c r="S205" s="1206">
        <f>Paper!E41</f>
        <v>754.44304206296385</v>
      </c>
      <c r="T205" s="1205">
        <f t="shared" si="72"/>
        <v>101.91239872963058</v>
      </c>
      <c r="U205" s="1206">
        <f>Paper!I41</f>
        <v>10.777752578856166</v>
      </c>
      <c r="V205" s="1205">
        <f t="shared" si="73"/>
        <v>91.134646150774415</v>
      </c>
      <c r="Y205" s="609">
        <f t="shared" si="94"/>
        <v>2049</v>
      </c>
      <c r="Z205" s="335">
        <f t="shared" si="74"/>
        <v>3454.663023726212</v>
      </c>
      <c r="AA205" s="335">
        <f t="shared" si="75"/>
        <v>606.50354696593888</v>
      </c>
      <c r="AB205" s="335">
        <f t="shared" si="76"/>
        <v>431.93764557097978</v>
      </c>
      <c r="AC205" s="335">
        <f t="shared" si="77"/>
        <v>589.90407926296848</v>
      </c>
      <c r="AD205" s="335">
        <f t="shared" si="78"/>
        <v>652.53064333333327</v>
      </c>
      <c r="AE205" s="335">
        <f>MIN(Paper!I41,Paper!H41)</f>
        <v>10.777752578856166</v>
      </c>
      <c r="AF205" s="335">
        <f t="shared" si="79"/>
        <v>1163.0093560141352</v>
      </c>
      <c r="AI205" s="609">
        <f t="shared" si="80"/>
        <v>2049</v>
      </c>
      <c r="AJ205" s="335">
        <f t="shared" si="81"/>
        <v>158.95134778708223</v>
      </c>
      <c r="AK205" s="335">
        <f t="shared" si="82"/>
        <v>-48.428570971531144</v>
      </c>
      <c r="AL205" s="335">
        <f t="shared" si="83"/>
        <v>14.159189049117821</v>
      </c>
      <c r="AM205" s="335">
        <f t="shared" si="84"/>
        <v>190.43873964305183</v>
      </c>
      <c r="AN205" s="335">
        <f t="shared" si="85"/>
        <v>148.97078309504332</v>
      </c>
      <c r="AO205" s="335">
        <f t="shared" si="86"/>
        <v>91.134646150774415</v>
      </c>
      <c r="AP205" s="335">
        <f t="shared" si="87"/>
        <v>51.277412212400463</v>
      </c>
      <c r="AS205" s="609">
        <f t="shared" si="88"/>
        <v>2049</v>
      </c>
      <c r="AT205" s="335">
        <f t="shared" si="63"/>
        <v>431.93764557097978</v>
      </c>
      <c r="AU205" s="335">
        <f t="shared" si="63"/>
        <v>589.90407926296848</v>
      </c>
      <c r="AV205" s="335">
        <f t="shared" si="63"/>
        <v>652.53064333333327</v>
      </c>
      <c r="AW205" s="335">
        <f t="shared" si="63"/>
        <v>10.777752578856166</v>
      </c>
      <c r="AX205" s="335">
        <f t="shared" si="63"/>
        <v>1163.0093560141352</v>
      </c>
      <c r="AY205" s="335">
        <f t="shared" si="89"/>
        <v>606.50354696593888</v>
      </c>
      <c r="AZ205" s="335">
        <f t="shared" si="90"/>
        <v>0</v>
      </c>
    </row>
    <row r="206" spans="2:52" ht="14.4" x14ac:dyDescent="0.55000000000000004">
      <c r="B206" s="3">
        <v>2050</v>
      </c>
      <c r="C206" s="1205">
        <f t="shared" si="62"/>
        <v>545.81729247129078</v>
      </c>
      <c r="D206" s="1205">
        <f>'Food System Summary'!B48-'Food System Summary'!C48</f>
        <v>684.59139831269067</v>
      </c>
      <c r="E206" s="1205">
        <f t="shared" si="91"/>
        <v>1.2542501085172182</v>
      </c>
      <c r="F206" s="1205">
        <f t="shared" si="64"/>
        <v>0.29805708596659519</v>
      </c>
      <c r="G206" s="1205">
        <f t="shared" si="65"/>
        <v>68.163003159640255</v>
      </c>
      <c r="H206" s="1205">
        <f t="shared" si="92"/>
        <v>0.1248824544400552</v>
      </c>
      <c r="I206" s="1205">
        <f t="shared" si="66"/>
        <v>-206.93710900104014</v>
      </c>
      <c r="J206" s="1205">
        <f t="shared" si="67"/>
        <v>-0.37913256295727338</v>
      </c>
      <c r="K206" s="1205">
        <f t="shared" si="68"/>
        <v>-9.0096182685353382E-2</v>
      </c>
      <c r="N206" s="3">
        <v>2050</v>
      </c>
      <c r="O206" s="1205">
        <f t="shared" si="69"/>
        <v>821.55616624884328</v>
      </c>
      <c r="P206" s="1205">
        <f t="shared" si="70"/>
        <v>24.019217217271315</v>
      </c>
      <c r="Q206" s="1205">
        <f t="shared" si="71"/>
        <v>670.68786666666654</v>
      </c>
      <c r="R206" s="1205">
        <f t="shared" si="93"/>
        <v>150.86829958217675</v>
      </c>
      <c r="S206" s="1206">
        <f>Paper!E42</f>
        <v>765.27987240923528</v>
      </c>
      <c r="T206" s="1205">
        <f t="shared" si="72"/>
        <v>94.592005742568745</v>
      </c>
      <c r="U206" s="1206">
        <f>Paper!I42</f>
        <v>10.636119743318204</v>
      </c>
      <c r="V206" s="1205">
        <f t="shared" si="73"/>
        <v>83.95588599925054</v>
      </c>
      <c r="Y206" s="609">
        <f t="shared" si="94"/>
        <v>2050</v>
      </c>
      <c r="Z206" s="335">
        <f t="shared" si="74"/>
        <v>3495.5715615028498</v>
      </c>
      <c r="AA206" s="335">
        <f t="shared" si="75"/>
        <v>574.08336058207931</v>
      </c>
      <c r="AB206" s="335">
        <f t="shared" si="76"/>
        <v>442.48784978199905</v>
      </c>
      <c r="AC206" s="335">
        <f t="shared" si="77"/>
        <v>598.95138243934446</v>
      </c>
      <c r="AD206" s="335">
        <f t="shared" si="78"/>
        <v>670.68786666666654</v>
      </c>
      <c r="AE206" s="335">
        <f>MIN(Paper!I42,Paper!H42)</f>
        <v>10.636119743318204</v>
      </c>
      <c r="AF206" s="335">
        <f t="shared" si="79"/>
        <v>1198.7249822894426</v>
      </c>
      <c r="AI206" s="609">
        <f t="shared" si="80"/>
        <v>2050</v>
      </c>
      <c r="AJ206" s="335">
        <f t="shared" si="81"/>
        <v>129.60096470606788</v>
      </c>
      <c r="AK206" s="335">
        <f t="shared" si="82"/>
        <v>-39.17555643573786</v>
      </c>
      <c r="AL206" s="335">
        <f t="shared" si="83"/>
        <v>12.904034418961764</v>
      </c>
      <c r="AM206" s="335">
        <f t="shared" si="84"/>
        <v>188.29456744811759</v>
      </c>
      <c r="AN206" s="335">
        <f t="shared" si="85"/>
        <v>142.22717060581135</v>
      </c>
      <c r="AO206" s="335">
        <f t="shared" si="86"/>
        <v>83.95588599925054</v>
      </c>
      <c r="AP206" s="335">
        <f t="shared" si="87"/>
        <v>56.276293839608002</v>
      </c>
      <c r="AS206" s="609">
        <f t="shared" si="88"/>
        <v>2050</v>
      </c>
      <c r="AT206" s="335">
        <f t="shared" si="63"/>
        <v>442.48784978199905</v>
      </c>
      <c r="AU206" s="335">
        <f t="shared" si="63"/>
        <v>598.95138243934446</v>
      </c>
      <c r="AV206" s="335">
        <f t="shared" si="63"/>
        <v>670.68786666666654</v>
      </c>
      <c r="AW206" s="335">
        <f t="shared" si="63"/>
        <v>10.636119743318204</v>
      </c>
      <c r="AX206" s="335">
        <f t="shared" si="63"/>
        <v>1198.7249822894426</v>
      </c>
      <c r="AY206" s="335">
        <f t="shared" si="89"/>
        <v>574.08336058207931</v>
      </c>
      <c r="AZ206" s="335">
        <f t="shared" si="90"/>
        <v>0</v>
      </c>
    </row>
    <row r="207" spans="2:52" ht="14.4" x14ac:dyDescent="0.55000000000000004">
      <c r="B207" s="3">
        <v>2051</v>
      </c>
      <c r="C207" s="1205">
        <f t="shared" si="62"/>
        <v>563.54956377387475</v>
      </c>
      <c r="D207" s="1205">
        <f>'Food System Summary'!B49-'Food System Summary'!C49</f>
        <v>687.34199455219255</v>
      </c>
      <c r="E207" s="1205">
        <f t="shared" si="91"/>
        <v>1.2196655604687678</v>
      </c>
      <c r="F207" s="1205">
        <f t="shared" si="64"/>
        <v>0.29483174365697423</v>
      </c>
      <c r="G207" s="1205">
        <f t="shared" si="65"/>
        <v>73.069143719569908</v>
      </c>
      <c r="H207" s="1205">
        <f t="shared" si="92"/>
        <v>0.12965877079249952</v>
      </c>
      <c r="I207" s="1205">
        <f t="shared" si="66"/>
        <v>-196.86157449788772</v>
      </c>
      <c r="J207" s="1205">
        <f t="shared" si="67"/>
        <v>-0.34932433126126733</v>
      </c>
      <c r="K207" s="1205">
        <f t="shared" si="68"/>
        <v>-8.4442739899929523E-2</v>
      </c>
      <c r="N207" s="3">
        <v>2051</v>
      </c>
      <c r="O207" s="1205">
        <f t="shared" si="69"/>
        <v>837.87046872588098</v>
      </c>
      <c r="P207" s="1205">
        <f t="shared" si="70"/>
        <v>25.244111555040217</v>
      </c>
      <c r="Q207" s="1205">
        <f t="shared" si="71"/>
        <v>689.36635000000001</v>
      </c>
      <c r="R207" s="1205">
        <f t="shared" si="93"/>
        <v>148.50411872588097</v>
      </c>
      <c r="S207" s="1206">
        <f>Paper!E43</f>
        <v>770.98974869333063</v>
      </c>
      <c r="T207" s="1205">
        <f t="shared" si="72"/>
        <v>81.623398693330614</v>
      </c>
      <c r="U207" s="1206">
        <f>Paper!I43</f>
        <v>10.49619846419273</v>
      </c>
      <c r="V207" s="1205">
        <f t="shared" si="73"/>
        <v>71.127200229137884</v>
      </c>
      <c r="Y207" s="609">
        <f t="shared" si="94"/>
        <v>2051</v>
      </c>
      <c r="Z207" s="335">
        <f t="shared" si="74"/>
        <v>3537.7483490613135</v>
      </c>
      <c r="AA207" s="335">
        <f t="shared" si="75"/>
        <v>576.90626116986959</v>
      </c>
      <c r="AB207" s="335">
        <f t="shared" si="76"/>
        <v>453.28884032753376</v>
      </c>
      <c r="AC207" s="335">
        <f t="shared" si="77"/>
        <v>601.24489577747249</v>
      </c>
      <c r="AD207" s="335">
        <f t="shared" si="78"/>
        <v>689.36635000000001</v>
      </c>
      <c r="AE207" s="335">
        <f>MIN(Paper!I43,Paper!H43)</f>
        <v>10.49619846419273</v>
      </c>
      <c r="AF207" s="335">
        <f t="shared" si="79"/>
        <v>1206.4458033222447</v>
      </c>
      <c r="AI207" s="609">
        <f t="shared" si="80"/>
        <v>2051</v>
      </c>
      <c r="AJ207" s="335">
        <f t="shared" si="81"/>
        <v>134.48120705987321</v>
      </c>
      <c r="AK207" s="335">
        <f t="shared" si="82"/>
        <v>-38.516753482276613</v>
      </c>
      <c r="AL207" s="335">
        <f t="shared" si="83"/>
        <v>14.296269868744297</v>
      </c>
      <c r="AM207" s="335">
        <f t="shared" si="84"/>
        <v>190.73679755237521</v>
      </c>
      <c r="AN207" s="335">
        <f t="shared" si="85"/>
        <v>137.9008199094651</v>
      </c>
      <c r="AO207" s="335">
        <f t="shared" si="86"/>
        <v>71.127200229137884</v>
      </c>
      <c r="AP207" s="335">
        <f t="shared" si="87"/>
        <v>66.880720032550528</v>
      </c>
      <c r="AS207" s="609">
        <f t="shared" si="88"/>
        <v>2051</v>
      </c>
      <c r="AT207" s="335">
        <f t="shared" si="63"/>
        <v>453.28884032753376</v>
      </c>
      <c r="AU207" s="335">
        <f t="shared" si="63"/>
        <v>601.24489577747249</v>
      </c>
      <c r="AV207" s="335">
        <f t="shared" si="63"/>
        <v>689.36635000000001</v>
      </c>
      <c r="AW207" s="335">
        <f t="shared" si="63"/>
        <v>10.49619846419273</v>
      </c>
      <c r="AX207" s="335">
        <f t="shared" si="63"/>
        <v>1206.4458033222447</v>
      </c>
      <c r="AY207" s="335">
        <f t="shared" si="89"/>
        <v>576.90626116986959</v>
      </c>
      <c r="AZ207" s="335">
        <f t="shared" si="90"/>
        <v>0</v>
      </c>
    </row>
    <row r="208" spans="2:52" ht="14.4" x14ac:dyDescent="0.55000000000000004">
      <c r="B208" s="3">
        <v>2052</v>
      </c>
      <c r="C208" s="1205">
        <f t="shared" si="62"/>
        <v>581.37662754890596</v>
      </c>
      <c r="D208" s="1205">
        <f>'Food System Summary'!B50-'Food System Summary'!C50</f>
        <v>689.99559170300381</v>
      </c>
      <c r="E208" s="1205">
        <f t="shared" si="91"/>
        <v>1.1868306344065418</v>
      </c>
      <c r="F208" s="1205">
        <f t="shared" si="64"/>
        <v>0.29174217642986922</v>
      </c>
      <c r="G208" s="1205">
        <f t="shared" si="65"/>
        <v>78.345256394213592</v>
      </c>
      <c r="H208" s="1205">
        <f t="shared" si="92"/>
        <v>0.13475818029444797</v>
      </c>
      <c r="I208" s="1205">
        <f t="shared" si="66"/>
        <v>-186.96422054831146</v>
      </c>
      <c r="J208" s="1205">
        <f t="shared" si="67"/>
        <v>-0.32158881470098977</v>
      </c>
      <c r="K208" s="1205">
        <f t="shared" si="68"/>
        <v>-7.9051734928701572E-2</v>
      </c>
      <c r="N208" s="3">
        <v>2052</v>
      </c>
      <c r="O208" s="1205">
        <f t="shared" si="69"/>
        <v>854.17448453354336</v>
      </c>
      <c r="P208" s="1205">
        <f t="shared" si="70"/>
        <v>26.302830951548586</v>
      </c>
      <c r="Q208" s="1205">
        <f t="shared" si="71"/>
        <v>708.56609333333336</v>
      </c>
      <c r="R208" s="1205">
        <f t="shared" si="93"/>
        <v>145.60839120021001</v>
      </c>
      <c r="S208" s="1206">
        <f>Paper!E44</f>
        <v>779.89526650228277</v>
      </c>
      <c r="T208" s="1205">
        <f t="shared" si="72"/>
        <v>71.32917316894941</v>
      </c>
      <c r="U208" s="1206">
        <f>Paper!I44</f>
        <v>10.357658176593873</v>
      </c>
      <c r="V208" s="1205">
        <f t="shared" si="73"/>
        <v>60.971514992355537</v>
      </c>
      <c r="Y208" s="609">
        <f t="shared" si="94"/>
        <v>2052</v>
      </c>
      <c r="Z208" s="335">
        <f t="shared" si="74"/>
        <v>3579.1229299215083</v>
      </c>
      <c r="AA208" s="335">
        <f t="shared" si="75"/>
        <v>578.79886475501223</v>
      </c>
      <c r="AB208" s="335">
        <f t="shared" si="76"/>
        <v>464.079437630717</v>
      </c>
      <c r="AC208" s="335">
        <f t="shared" si="77"/>
        <v>603.28481885847646</v>
      </c>
      <c r="AD208" s="335">
        <f t="shared" si="78"/>
        <v>708.56609333333336</v>
      </c>
      <c r="AE208" s="335">
        <f>MIN(Paper!I44,Paper!H44)</f>
        <v>10.357658176593873</v>
      </c>
      <c r="AF208" s="335">
        <f t="shared" si="79"/>
        <v>1214.0360571673757</v>
      </c>
      <c r="AI208" s="609">
        <f t="shared" si="80"/>
        <v>2052</v>
      </c>
      <c r="AJ208" s="335">
        <f t="shared" si="81"/>
        <v>139.21189832470884</v>
      </c>
      <c r="AK208" s="335">
        <f t="shared" si="82"/>
        <v>-37.721464273547269</v>
      </c>
      <c r="AL208" s="335">
        <f t="shared" si="83"/>
        <v>15.806755867027412</v>
      </c>
      <c r="AM208" s="335">
        <f t="shared" si="84"/>
        <v>192.6358618834675</v>
      </c>
      <c r="AN208" s="335">
        <f t="shared" si="85"/>
        <v>133.61507992973952</v>
      </c>
      <c r="AO208" s="335">
        <f t="shared" si="86"/>
        <v>60.971514992355537</v>
      </c>
      <c r="AP208" s="335">
        <f t="shared" si="87"/>
        <v>74.279218031260712</v>
      </c>
      <c r="AS208" s="609">
        <f t="shared" si="88"/>
        <v>2052</v>
      </c>
      <c r="AT208" s="335">
        <f t="shared" si="63"/>
        <v>464.079437630717</v>
      </c>
      <c r="AU208" s="335">
        <f t="shared" si="63"/>
        <v>603.28481885847646</v>
      </c>
      <c r="AV208" s="335">
        <f t="shared" si="63"/>
        <v>708.56609333333336</v>
      </c>
      <c r="AW208" s="335">
        <f t="shared" si="63"/>
        <v>10.357658176593873</v>
      </c>
      <c r="AX208" s="335">
        <f t="shared" si="63"/>
        <v>1214.0360571673757</v>
      </c>
      <c r="AY208" s="335">
        <f t="shared" si="89"/>
        <v>578.79886475501223</v>
      </c>
      <c r="AZ208" s="335">
        <f t="shared" si="90"/>
        <v>0</v>
      </c>
    </row>
    <row r="209" spans="2:52" ht="14.4" x14ac:dyDescent="0.55000000000000004">
      <c r="B209" s="3">
        <v>2053</v>
      </c>
      <c r="C209" s="1205">
        <f t="shared" si="62"/>
        <v>599.46093579553042</v>
      </c>
      <c r="D209" s="1205">
        <f>'Food System Summary'!B51-'Food System Summary'!C51</f>
        <v>692.55194126736569</v>
      </c>
      <c r="E209" s="1205">
        <f t="shared" si="91"/>
        <v>1.1552911956611425</v>
      </c>
      <c r="F209" s="1205">
        <f t="shared" si="64"/>
        <v>0.28869554862667474</v>
      </c>
      <c r="G209" s="1205">
        <f t="shared" si="65"/>
        <v>83.815328345210546</v>
      </c>
      <c r="H209" s="1205">
        <f t="shared" si="92"/>
        <v>0.13981783188921429</v>
      </c>
      <c r="I209" s="1205">
        <f t="shared" si="66"/>
        <v>-176.90633381704583</v>
      </c>
      <c r="J209" s="1205">
        <f t="shared" si="67"/>
        <v>-0.29510902755035678</v>
      </c>
      <c r="K209" s="1205">
        <f t="shared" si="68"/>
        <v>-7.3744751914757684E-2</v>
      </c>
      <c r="N209" s="3">
        <v>2053</v>
      </c>
      <c r="O209" s="1205">
        <f t="shared" si="69"/>
        <v>870.6305638242336</v>
      </c>
      <c r="P209" s="1205">
        <f t="shared" si="70"/>
        <v>27.371584011432454</v>
      </c>
      <c r="Q209" s="1205">
        <f t="shared" si="71"/>
        <v>728.28709666666657</v>
      </c>
      <c r="R209" s="1205">
        <f t="shared" si="93"/>
        <v>142.34346715756703</v>
      </c>
      <c r="S209" s="1206">
        <f>Paper!E45</f>
        <v>788.65304314376851</v>
      </c>
      <c r="T209" s="1205">
        <f t="shared" si="72"/>
        <v>60.365946477101943</v>
      </c>
      <c r="U209" s="1206">
        <f>Paper!I45</f>
        <v>10.219137085828265</v>
      </c>
      <c r="V209" s="1205">
        <f t="shared" si="73"/>
        <v>50.146809391273678</v>
      </c>
      <c r="Y209" s="609">
        <f t="shared" si="94"/>
        <v>2053</v>
      </c>
      <c r="Z209" s="335">
        <f t="shared" si="74"/>
        <v>3620.3950150310288</v>
      </c>
      <c r="AA209" s="335">
        <f t="shared" si="75"/>
        <v>580.25814393679389</v>
      </c>
      <c r="AB209" s="335">
        <f t="shared" si="76"/>
        <v>474.9449356764768</v>
      </c>
      <c r="AC209" s="335">
        <f t="shared" si="77"/>
        <v>605.19134361296699</v>
      </c>
      <c r="AD209" s="335">
        <f t="shared" si="78"/>
        <v>728.28709666666657</v>
      </c>
      <c r="AE209" s="335">
        <f>MIN(Paper!I45,Paper!H45)</f>
        <v>10.219137085828265</v>
      </c>
      <c r="AF209" s="335">
        <f t="shared" si="79"/>
        <v>1221.4943580522961</v>
      </c>
      <c r="AI209" s="609">
        <f t="shared" si="80"/>
        <v>2053</v>
      </c>
      <c r="AJ209" s="335">
        <f t="shared" si="81"/>
        <v>143.85223865648436</v>
      </c>
      <c r="AK209" s="335">
        <f t="shared" si="82"/>
        <v>-36.745795709594006</v>
      </c>
      <c r="AL209" s="335">
        <f t="shared" si="83"/>
        <v>17.409557172163218</v>
      </c>
      <c r="AM209" s="335">
        <f t="shared" si="84"/>
        <v>194.42518591124352</v>
      </c>
      <c r="AN209" s="335">
        <f t="shared" si="85"/>
        <v>129.1926278347579</v>
      </c>
      <c r="AO209" s="335">
        <f t="shared" si="86"/>
        <v>50.146809391273678</v>
      </c>
      <c r="AP209" s="335">
        <f t="shared" si="87"/>
        <v>81.977520680465204</v>
      </c>
      <c r="AS209" s="609">
        <f t="shared" si="88"/>
        <v>2053</v>
      </c>
      <c r="AT209" s="335">
        <f t="shared" si="63"/>
        <v>474.9449356764768</v>
      </c>
      <c r="AU209" s="335">
        <f t="shared" si="63"/>
        <v>605.19134361296699</v>
      </c>
      <c r="AV209" s="335">
        <f t="shared" si="63"/>
        <v>728.28709666666657</v>
      </c>
      <c r="AW209" s="335">
        <f t="shared" si="63"/>
        <v>10.219137085828265</v>
      </c>
      <c r="AX209" s="335">
        <f t="shared" si="63"/>
        <v>1221.4943580522961</v>
      </c>
      <c r="AY209" s="335">
        <f t="shared" si="89"/>
        <v>580.25814393679389</v>
      </c>
      <c r="AZ209" s="335">
        <f t="shared" si="90"/>
        <v>0</v>
      </c>
    </row>
    <row r="210" spans="2:52" ht="14.4" x14ac:dyDescent="0.55000000000000004">
      <c r="B210" s="3">
        <v>2054</v>
      </c>
      <c r="C210" s="1205">
        <f t="shared" si="62"/>
        <v>617.80633124220446</v>
      </c>
      <c r="D210" s="1205">
        <f>'Food System Summary'!B52-'Food System Summary'!C52</f>
        <v>695.01113734020009</v>
      </c>
      <c r="E210" s="1205">
        <f t="shared" si="91"/>
        <v>1.1249660325473878</v>
      </c>
      <c r="F210" s="1205">
        <f t="shared" si="64"/>
        <v>0.28568929192055392</v>
      </c>
      <c r="G210" s="1205">
        <f t="shared" si="65"/>
        <v>89.477621871400842</v>
      </c>
      <c r="H210" s="1205">
        <f t="shared" si="92"/>
        <v>0.14483118308530588</v>
      </c>
      <c r="I210" s="1205">
        <f t="shared" si="66"/>
        <v>-166.68242796939649</v>
      </c>
      <c r="J210" s="1205">
        <f t="shared" si="67"/>
        <v>-0.26979721563269377</v>
      </c>
      <c r="K210" s="1205">
        <f t="shared" si="68"/>
        <v>-6.8516002498052717E-2</v>
      </c>
      <c r="N210" s="3">
        <v>2054</v>
      </c>
      <c r="O210" s="1205">
        <f t="shared" si="69"/>
        <v>887.23844558485644</v>
      </c>
      <c r="P210" s="1205">
        <f t="shared" si="70"/>
        <v>28.452304201952426</v>
      </c>
      <c r="Q210" s="1205">
        <f t="shared" si="71"/>
        <v>748.52935999999988</v>
      </c>
      <c r="R210" s="1205">
        <f t="shared" si="93"/>
        <v>138.70908558485655</v>
      </c>
      <c r="S210" s="1206">
        <f>Paper!E46</f>
        <v>797.29985723244988</v>
      </c>
      <c r="T210" s="1205">
        <f t="shared" si="72"/>
        <v>48.770497232449998</v>
      </c>
      <c r="U210" s="1206">
        <f>Paper!I46</f>
        <v>10.08023121597796</v>
      </c>
      <c r="V210" s="1205">
        <f t="shared" si="73"/>
        <v>38.690266016472037</v>
      </c>
      <c r="Y210" s="609">
        <f t="shared" si="94"/>
        <v>2054</v>
      </c>
      <c r="Z210" s="335">
        <f t="shared" si="74"/>
        <v>3661.5717734805517</v>
      </c>
      <c r="AA210" s="335">
        <f t="shared" si="75"/>
        <v>581.29229358714929</v>
      </c>
      <c r="AB210" s="335">
        <f t="shared" si="76"/>
        <v>485.88394998302073</v>
      </c>
      <c r="AC210" s="335">
        <f t="shared" si="77"/>
        <v>606.96595884240969</v>
      </c>
      <c r="AD210" s="335">
        <f t="shared" si="78"/>
        <v>748.52935999999988</v>
      </c>
      <c r="AE210" s="335">
        <f>MIN(Paper!I46,Paper!H46)</f>
        <v>10.08023121597796</v>
      </c>
      <c r="AF210" s="335">
        <f t="shared" si="79"/>
        <v>1228.819979851994</v>
      </c>
      <c r="AI210" s="609">
        <f t="shared" si="80"/>
        <v>2054</v>
      </c>
      <c r="AJ210" s="335">
        <f t="shared" si="81"/>
        <v>148.40819784934786</v>
      </c>
      <c r="AK210" s="335">
        <f t="shared" si="82"/>
        <v>-35.592291143362445</v>
      </c>
      <c r="AL210" s="335">
        <f t="shared" si="83"/>
        <v>19.106474553198368</v>
      </c>
      <c r="AM210" s="335">
        <f t="shared" si="84"/>
        <v>196.09917469391789</v>
      </c>
      <c r="AN210" s="335">
        <f t="shared" si="85"/>
        <v>124.64188326516899</v>
      </c>
      <c r="AO210" s="335">
        <f t="shared" si="86"/>
        <v>38.690266016472037</v>
      </c>
      <c r="AP210" s="335">
        <f t="shared" si="87"/>
        <v>89.938588352406583</v>
      </c>
      <c r="AS210" s="609">
        <f t="shared" si="88"/>
        <v>2054</v>
      </c>
      <c r="AT210" s="335">
        <f t="shared" si="63"/>
        <v>485.88394998302073</v>
      </c>
      <c r="AU210" s="335">
        <f t="shared" si="63"/>
        <v>606.96595884240969</v>
      </c>
      <c r="AV210" s="335">
        <f t="shared" si="63"/>
        <v>748.52935999999988</v>
      </c>
      <c r="AW210" s="335">
        <f t="shared" si="63"/>
        <v>10.08023121597796</v>
      </c>
      <c r="AX210" s="335">
        <f t="shared" si="63"/>
        <v>1228.819979851994</v>
      </c>
      <c r="AY210" s="335">
        <f t="shared" si="89"/>
        <v>581.29229358714929</v>
      </c>
      <c r="AZ210" s="335">
        <f t="shared" si="90"/>
        <v>0</v>
      </c>
    </row>
    <row r="211" spans="2:52" ht="14.4" x14ac:dyDescent="0.55000000000000004">
      <c r="B211" s="3">
        <v>2055</v>
      </c>
      <c r="C211" s="1205">
        <f t="shared" si="62"/>
        <v>636.41514719005238</v>
      </c>
      <c r="D211" s="1205">
        <f>'Food System Summary'!B53-'Food System Summary'!C53</f>
        <v>697.37392590788568</v>
      </c>
      <c r="E211" s="1205">
        <f t="shared" si="91"/>
        <v>1.095784613215105</v>
      </c>
      <c r="F211" s="1205">
        <f t="shared" si="64"/>
        <v>0.28272140467635654</v>
      </c>
      <c r="G211" s="1205">
        <f t="shared" si="65"/>
        <v>95.330087843625591</v>
      </c>
      <c r="H211" s="1205">
        <f t="shared" si="92"/>
        <v>0.14979229872911431</v>
      </c>
      <c r="I211" s="1205">
        <f t="shared" si="66"/>
        <v>-156.28886656145889</v>
      </c>
      <c r="J211" s="1205">
        <f t="shared" si="67"/>
        <v>-0.24557691194421935</v>
      </c>
      <c r="K211" s="1205">
        <f t="shared" si="68"/>
        <v>-6.3360854554472906E-2</v>
      </c>
      <c r="N211" s="3">
        <v>2055</v>
      </c>
      <c r="O211" s="1205">
        <f t="shared" si="69"/>
        <v>903.99801844900514</v>
      </c>
      <c r="P211" s="1205">
        <f t="shared" si="70"/>
        <v>29.547236418542674</v>
      </c>
      <c r="Q211" s="1205">
        <f t="shared" si="71"/>
        <v>769.29288333333329</v>
      </c>
      <c r="R211" s="1205">
        <f t="shared" si="93"/>
        <v>134.70513511567185</v>
      </c>
      <c r="S211" s="1206">
        <f>Paper!E47</f>
        <v>805.8701617764026</v>
      </c>
      <c r="T211" s="1205">
        <f t="shared" si="72"/>
        <v>36.577278443069304</v>
      </c>
      <c r="U211" s="1206">
        <f>Paper!I47</f>
        <v>9.9417871235904158</v>
      </c>
      <c r="V211" s="1205">
        <f t="shared" si="73"/>
        <v>26.635491319478888</v>
      </c>
      <c r="Y211" s="609">
        <f t="shared" si="94"/>
        <v>2055</v>
      </c>
      <c r="Z211" s="335">
        <f t="shared" si="74"/>
        <v>3702.6603743607484</v>
      </c>
      <c r="AA211" s="335">
        <f t="shared" si="75"/>
        <v>581.90690145816563</v>
      </c>
      <c r="AB211" s="335">
        <f t="shared" si="76"/>
        <v>496.89524938649873</v>
      </c>
      <c r="AC211" s="335">
        <f t="shared" si="77"/>
        <v>608.6102537799743</v>
      </c>
      <c r="AD211" s="335">
        <f t="shared" si="78"/>
        <v>769.29288333333329</v>
      </c>
      <c r="AE211" s="335">
        <f>MIN(Paper!I47,Paper!H47)</f>
        <v>9.9417871235904158</v>
      </c>
      <c r="AF211" s="335">
        <f t="shared" si="79"/>
        <v>1236.0132992791862</v>
      </c>
      <c r="AI211" s="609">
        <f t="shared" si="80"/>
        <v>2055</v>
      </c>
      <c r="AJ211" s="335">
        <f t="shared" si="81"/>
        <v>152.88375725047797</v>
      </c>
      <c r="AK211" s="335">
        <f t="shared" si="82"/>
        <v>-34.262865657369773</v>
      </c>
      <c r="AL211" s="335">
        <f t="shared" si="83"/>
        <v>20.899006210445421</v>
      </c>
      <c r="AM211" s="335">
        <f t="shared" si="84"/>
        <v>197.6520652627689</v>
      </c>
      <c r="AN211" s="335">
        <f t="shared" si="85"/>
        <v>119.97159039976179</v>
      </c>
      <c r="AO211" s="335">
        <f t="shared" si="86"/>
        <v>26.635491319478888</v>
      </c>
      <c r="AP211" s="335">
        <f t="shared" si="87"/>
        <v>98.127856672602462</v>
      </c>
      <c r="AS211" s="609">
        <f t="shared" si="88"/>
        <v>2055</v>
      </c>
      <c r="AT211" s="335">
        <f t="shared" si="63"/>
        <v>496.89524938649873</v>
      </c>
      <c r="AU211" s="335">
        <f t="shared" si="63"/>
        <v>608.6102537799743</v>
      </c>
      <c r="AV211" s="335">
        <f t="shared" si="63"/>
        <v>769.29288333333329</v>
      </c>
      <c r="AW211" s="335">
        <f t="shared" si="63"/>
        <v>9.9417871235904158</v>
      </c>
      <c r="AX211" s="335">
        <f t="shared" si="63"/>
        <v>1236.0132992791862</v>
      </c>
      <c r="AY211" s="335">
        <f t="shared" si="89"/>
        <v>581.90690145816563</v>
      </c>
      <c r="AZ211" s="335">
        <f t="shared" si="90"/>
        <v>0</v>
      </c>
    </row>
    <row r="212" spans="2:52" ht="14.4" x14ac:dyDescent="0.55000000000000004">
      <c r="B212" s="3">
        <v>2056</v>
      </c>
      <c r="C212" s="1205">
        <f t="shared" si="62"/>
        <v>655.28966448750975</v>
      </c>
      <c r="D212" s="1205">
        <f>'Food System Summary'!B54-'Food System Summary'!C54</f>
        <v>699.64089389851915</v>
      </c>
      <c r="E212" s="1205">
        <f t="shared" si="91"/>
        <v>1.0676818692779104</v>
      </c>
      <c r="F212" s="1205">
        <f t="shared" si="64"/>
        <v>0.27978991944797138</v>
      </c>
      <c r="G212" s="1205">
        <f t="shared" si="65"/>
        <v>101.37036520056361</v>
      </c>
      <c r="H212" s="1205">
        <f t="shared" si="92"/>
        <v>0.15469550443748192</v>
      </c>
      <c r="I212" s="1205">
        <f t="shared" si="66"/>
        <v>-145.72159461157301</v>
      </c>
      <c r="J212" s="1205">
        <f t="shared" si="67"/>
        <v>-0.22237737371539232</v>
      </c>
      <c r="K212" s="1205">
        <f t="shared" si="68"/>
        <v>-5.8274800077817816E-2</v>
      </c>
      <c r="N212" s="3">
        <v>2056</v>
      </c>
      <c r="O212" s="1205">
        <f t="shared" si="69"/>
        <v>920.90931516662636</v>
      </c>
      <c r="P212" s="1205">
        <f t="shared" si="70"/>
        <v>30.658937488683225</v>
      </c>
      <c r="Q212" s="1205">
        <f t="shared" si="71"/>
        <v>790.57766666666657</v>
      </c>
      <c r="R212" s="1205">
        <f t="shared" si="93"/>
        <v>130.33164849995978</v>
      </c>
      <c r="S212" s="1206">
        <f>Paper!E48</f>
        <v>814.3953438896981</v>
      </c>
      <c r="T212" s="1205">
        <f t="shared" si="72"/>
        <v>23.817677223031524</v>
      </c>
      <c r="U212" s="1206">
        <f>Paper!I48</f>
        <v>9.804829261462146</v>
      </c>
      <c r="V212" s="1205">
        <f t="shared" si="73"/>
        <v>14.012847961569378</v>
      </c>
      <c r="Y212" s="609">
        <f t="shared" si="94"/>
        <v>2056</v>
      </c>
      <c r="Z212" s="335">
        <f t="shared" si="74"/>
        <v>3743.6679867622934</v>
      </c>
      <c r="AA212" s="335">
        <f t="shared" si="75"/>
        <v>582.1074676428982</v>
      </c>
      <c r="AB212" s="335">
        <f t="shared" si="76"/>
        <v>507.97771102160652</v>
      </c>
      <c r="AC212" s="335">
        <f t="shared" si="77"/>
        <v>610.1259682338075</v>
      </c>
      <c r="AD212" s="335">
        <f t="shared" si="78"/>
        <v>790.57766666666657</v>
      </c>
      <c r="AE212" s="335">
        <f>MIN(Paper!I48,Paper!H48)</f>
        <v>9.804829261462146</v>
      </c>
      <c r="AF212" s="335">
        <f t="shared" si="79"/>
        <v>1243.0743439358525</v>
      </c>
      <c r="AI212" s="609">
        <f t="shared" si="80"/>
        <v>2056</v>
      </c>
      <c r="AJ212" s="335">
        <f t="shared" si="81"/>
        <v>157.28230184345614</v>
      </c>
      <c r="AK212" s="335">
        <f t="shared" si="82"/>
        <v>-32.758845328631651</v>
      </c>
      <c r="AL212" s="335">
        <f t="shared" si="83"/>
        <v>22.78849695107877</v>
      </c>
      <c r="AM212" s="335">
        <f t="shared" si="84"/>
        <v>199.07796388661006</v>
      </c>
      <c r="AN212" s="335">
        <f t="shared" si="85"/>
        <v>115.19073105188716</v>
      </c>
      <c r="AO212" s="335">
        <f t="shared" si="86"/>
        <v>14.012847961569378</v>
      </c>
      <c r="AP212" s="335">
        <f t="shared" si="87"/>
        <v>106.51397127692837</v>
      </c>
      <c r="AS212" s="609">
        <f t="shared" si="88"/>
        <v>2056</v>
      </c>
      <c r="AT212" s="335">
        <f t="shared" si="63"/>
        <v>507.97771102160652</v>
      </c>
      <c r="AU212" s="335">
        <f t="shared" si="63"/>
        <v>610.1259682338075</v>
      </c>
      <c r="AV212" s="335">
        <f t="shared" si="63"/>
        <v>790.57766666666657</v>
      </c>
      <c r="AW212" s="335">
        <f t="shared" si="63"/>
        <v>9.804829261462146</v>
      </c>
      <c r="AX212" s="335">
        <f t="shared" si="63"/>
        <v>1243.0743439358525</v>
      </c>
      <c r="AY212" s="335">
        <f t="shared" si="89"/>
        <v>582.1074676428982</v>
      </c>
      <c r="AZ212" s="335">
        <f t="shared" si="90"/>
        <v>0</v>
      </c>
    </row>
    <row r="213" spans="2:52" ht="14.4" x14ac:dyDescent="0.55000000000000004">
      <c r="B213" s="3">
        <v>2057</v>
      </c>
      <c r="C213" s="1205">
        <f t="shared" si="62"/>
        <v>674.42921301755928</v>
      </c>
      <c r="D213" s="1205">
        <f>'Food System Summary'!B55-'Food System Summary'!C55</f>
        <v>701.81408456371082</v>
      </c>
      <c r="E213" s="1205">
        <f t="shared" si="91"/>
        <v>1.0406045156668482</v>
      </c>
      <c r="F213" s="1205">
        <f t="shared" si="64"/>
        <v>0.27689385656362231</v>
      </c>
      <c r="G213" s="1205">
        <f t="shared" si="65"/>
        <v>107.59578044482981</v>
      </c>
      <c r="H213" s="1205">
        <f t="shared" si="92"/>
        <v>0.15953606155851449</v>
      </c>
      <c r="I213" s="1205">
        <f t="shared" si="66"/>
        <v>-134.98065199098136</v>
      </c>
      <c r="J213" s="1205">
        <f t="shared" si="67"/>
        <v>-0.2001405772253626</v>
      </c>
      <c r="K213" s="1205">
        <f t="shared" si="68"/>
        <v>-5.3255290985631504E-2</v>
      </c>
      <c r="N213" s="3">
        <v>2057</v>
      </c>
      <c r="O213" s="1205">
        <f t="shared" si="69"/>
        <v>937.97250727267397</v>
      </c>
      <c r="P213" s="1205">
        <f t="shared" si="70"/>
        <v>31.79027667585985</v>
      </c>
      <c r="Q213" s="1205">
        <f t="shared" si="71"/>
        <v>812.38370999999972</v>
      </c>
      <c r="R213" s="1205">
        <f t="shared" si="93"/>
        <v>125.58879727267424</v>
      </c>
      <c r="S213" s="1206">
        <f>Paper!E49</f>
        <v>822.90366684399692</v>
      </c>
      <c r="T213" s="1205">
        <f t="shared" si="72"/>
        <v>10.519956843997193</v>
      </c>
      <c r="U213" s="1206">
        <f>Paper!I49</f>
        <v>9.6708502539252095</v>
      </c>
      <c r="V213" s="1205">
        <f t="shared" si="73"/>
        <v>0.84910659007198319</v>
      </c>
      <c r="Y213" s="609">
        <f t="shared" si="94"/>
        <v>2057</v>
      </c>
      <c r="Z213" s="335">
        <f t="shared" si="74"/>
        <v>3784.60177977586</v>
      </c>
      <c r="AA213" s="335">
        <f t="shared" si="75"/>
        <v>581.896050763483</v>
      </c>
      <c r="AB213" s="335">
        <f t="shared" si="76"/>
        <v>519.13049243346063</v>
      </c>
      <c r="AC213" s="335">
        <f t="shared" si="77"/>
        <v>611.5149806715466</v>
      </c>
      <c r="AD213" s="335">
        <f t="shared" si="78"/>
        <v>812.38370999999972</v>
      </c>
      <c r="AE213" s="335">
        <f>MIN(Paper!I49,Paper!H49)</f>
        <v>9.6708502539252095</v>
      </c>
      <c r="AF213" s="335">
        <f t="shared" si="79"/>
        <v>1250.0056956534447</v>
      </c>
      <c r="AI213" s="609">
        <f t="shared" si="80"/>
        <v>2057</v>
      </c>
      <c r="AJ213" s="335">
        <f t="shared" si="81"/>
        <v>161.60454991709707</v>
      </c>
      <c r="AK213" s="335">
        <f t="shared" si="82"/>
        <v>-31.081575580061809</v>
      </c>
      <c r="AL213" s="335">
        <f t="shared" si="83"/>
        <v>24.775746247063296</v>
      </c>
      <c r="AM213" s="335">
        <f t="shared" si="84"/>
        <v>200.37074155900837</v>
      </c>
      <c r="AN213" s="335">
        <f t="shared" si="85"/>
        <v>110.30864160162685</v>
      </c>
      <c r="AO213" s="335">
        <f t="shared" si="86"/>
        <v>0.84910659007198319</v>
      </c>
      <c r="AP213" s="335">
        <f t="shared" si="87"/>
        <v>115.06884042867722</v>
      </c>
      <c r="AS213" s="609">
        <f t="shared" si="88"/>
        <v>2057</v>
      </c>
      <c r="AT213" s="335">
        <f t="shared" si="63"/>
        <v>519.13049243346063</v>
      </c>
      <c r="AU213" s="335">
        <f t="shared" si="63"/>
        <v>611.5149806715466</v>
      </c>
      <c r="AV213" s="335">
        <f t="shared" si="63"/>
        <v>812.38370999999972</v>
      </c>
      <c r="AW213" s="335">
        <f t="shared" si="63"/>
        <v>9.6708502539252095</v>
      </c>
      <c r="AX213" s="335">
        <f t="shared" si="63"/>
        <v>1250.0056956534447</v>
      </c>
      <c r="AY213" s="335">
        <f t="shared" si="89"/>
        <v>581.896050763483</v>
      </c>
      <c r="AZ213" s="335">
        <f t="shared" si="90"/>
        <v>0</v>
      </c>
    </row>
    <row r="214" spans="2:52" ht="14.4" x14ac:dyDescent="0.55000000000000004">
      <c r="B214" s="3">
        <v>2058</v>
      </c>
      <c r="C214" s="1205">
        <f t="shared" si="62"/>
        <v>693.82859369005064</v>
      </c>
      <c r="D214" s="1205">
        <f>'Food System Summary'!B56-'Food System Summary'!C56</f>
        <v>703.89780381880041</v>
      </c>
      <c r="E214" s="1205">
        <f t="shared" si="91"/>
        <v>1.0145125326634317</v>
      </c>
      <c r="F214" s="1205">
        <f t="shared" si="64"/>
        <v>0.27403362658474539</v>
      </c>
      <c r="G214" s="1205">
        <f t="shared" si="65"/>
        <v>114.00334713921073</v>
      </c>
      <c r="H214" s="1205">
        <f t="shared" si="92"/>
        <v>0.16431053458448078</v>
      </c>
      <c r="I214" s="1205">
        <f t="shared" si="66"/>
        <v>-124.07255726796051</v>
      </c>
      <c r="J214" s="1205">
        <f t="shared" si="67"/>
        <v>-0.17882306724791253</v>
      </c>
      <c r="K214" s="1205">
        <f t="shared" si="68"/>
        <v>-4.8302541424799117E-2</v>
      </c>
      <c r="N214" s="3">
        <v>2058</v>
      </c>
      <c r="O214" s="1205">
        <f t="shared" si="69"/>
        <v>955.18789996706664</v>
      </c>
      <c r="P214" s="1205">
        <f t="shared" si="70"/>
        <v>32.94443618356128</v>
      </c>
      <c r="Q214" s="1205">
        <f t="shared" si="71"/>
        <v>834.7110133333332</v>
      </c>
      <c r="R214" s="1205">
        <f t="shared" si="93"/>
        <v>120.47688663373344</v>
      </c>
      <c r="S214" s="1206">
        <f>Paper!E50</f>
        <v>831.42001936786221</v>
      </c>
      <c r="T214" s="1205">
        <f t="shared" si="72"/>
        <v>-3.2909939654709888</v>
      </c>
      <c r="U214" s="1206">
        <f>Paper!I50</f>
        <v>9.540816652530907</v>
      </c>
      <c r="V214" s="1205">
        <f t="shared" si="73"/>
        <v>0</v>
      </c>
      <c r="Y214" s="609">
        <f t="shared" si="94"/>
        <v>2058</v>
      </c>
      <c r="Z214" s="335">
        <f t="shared" si="74"/>
        <v>3825.4689224921226</v>
      </c>
      <c r="AA214" s="335">
        <f t="shared" si="75"/>
        <v>581.27061749401423</v>
      </c>
      <c r="AB214" s="335">
        <f t="shared" si="76"/>
        <v>530.35309614534515</v>
      </c>
      <c r="AC214" s="335">
        <f t="shared" si="77"/>
        <v>612.77930575005428</v>
      </c>
      <c r="AD214" s="335">
        <f t="shared" si="78"/>
        <v>834.7110133333332</v>
      </c>
      <c r="AE214" s="335">
        <f>MIN(Paper!I50,Paper!H50)</f>
        <v>-3.2909939654709888</v>
      </c>
      <c r="AF214" s="335">
        <f t="shared" si="79"/>
        <v>1256.8140731168446</v>
      </c>
      <c r="AI214" s="609">
        <f t="shared" si="80"/>
        <v>2058</v>
      </c>
      <c r="AJ214" s="335">
        <f t="shared" si="81"/>
        <v>165.84794104249386</v>
      </c>
      <c r="AK214" s="335">
        <f t="shared" si="82"/>
        <v>-29.233189890822828</v>
      </c>
      <c r="AL214" s="335">
        <f t="shared" si="83"/>
        <v>26.860746393034532</v>
      </c>
      <c r="AM214" s="335">
        <f t="shared" si="84"/>
        <v>201.52391400443071</v>
      </c>
      <c r="AN214" s="335">
        <f t="shared" si="85"/>
        <v>105.33513596367573</v>
      </c>
      <c r="AO214" s="335">
        <f t="shared" si="86"/>
        <v>0</v>
      </c>
      <c r="AP214" s="335">
        <f t="shared" si="87"/>
        <v>110.93606998120219</v>
      </c>
      <c r="AS214" s="609">
        <f>Y214</f>
        <v>2058</v>
      </c>
      <c r="AT214" s="335">
        <f t="shared" si="63"/>
        <v>530.35309614534515</v>
      </c>
      <c r="AU214" s="335">
        <f t="shared" si="63"/>
        <v>612.77930575005428</v>
      </c>
      <c r="AV214" s="335">
        <f t="shared" si="63"/>
        <v>834.7110133333332</v>
      </c>
      <c r="AW214" s="335">
        <f t="shared" si="63"/>
        <v>-3.2909939654709888</v>
      </c>
      <c r="AX214" s="335">
        <f t="shared" si="63"/>
        <v>1256.8140731168446</v>
      </c>
      <c r="AY214" s="335">
        <f t="shared" si="89"/>
        <v>581.27061749401423</v>
      </c>
      <c r="AZ214" s="335">
        <f t="shared" si="90"/>
        <v>0</v>
      </c>
    </row>
    <row r="215" spans="2:52" ht="14.4" x14ac:dyDescent="0.55000000000000004">
      <c r="B215" s="3">
        <v>2059</v>
      </c>
      <c r="C215" s="1205">
        <f t="shared" si="62"/>
        <v>713.47990176125484</v>
      </c>
      <c r="D215" s="1205">
        <f>'Food System Summary'!B57-'Food System Summary'!C57</f>
        <v>705.89760654561314</v>
      </c>
      <c r="E215" s="1205">
        <f t="shared" si="91"/>
        <v>0.98937279775236209</v>
      </c>
      <c r="F215" s="1205">
        <f t="shared" si="64"/>
        <v>0.27121033733059319</v>
      </c>
      <c r="G215" s="1205">
        <f t="shared" si="65"/>
        <v>120.58976540245187</v>
      </c>
      <c r="H215" s="1205">
        <f t="shared" si="92"/>
        <v>0.16901634524640571</v>
      </c>
      <c r="I215" s="1205">
        <f t="shared" si="66"/>
        <v>-113.00747018681018</v>
      </c>
      <c r="J215" s="1205">
        <f t="shared" si="67"/>
        <v>-0.15838914299876777</v>
      </c>
      <c r="K215" s="1205">
        <f t="shared" si="68"/>
        <v>-4.3418186754060485E-2</v>
      </c>
      <c r="N215" s="3">
        <v>2059</v>
      </c>
      <c r="O215" s="1205">
        <f t="shared" si="69"/>
        <v>972.55592721401774</v>
      </c>
      <c r="P215" s="1205">
        <f t="shared" si="70"/>
        <v>34.124911659142683</v>
      </c>
      <c r="Q215" s="1205">
        <f t="shared" si="71"/>
        <v>857.55957666666643</v>
      </c>
      <c r="R215" s="1205">
        <f t="shared" si="93"/>
        <v>114.99635054735131</v>
      </c>
      <c r="S215" s="1206">
        <f>Paper!E51</f>
        <v>839.96570260949193</v>
      </c>
      <c r="T215" s="1205">
        <f t="shared" si="72"/>
        <v>-17.593874057174503</v>
      </c>
      <c r="U215" s="1206">
        <f>Paper!I51</f>
        <v>9.4156117930513119</v>
      </c>
      <c r="V215" s="1205">
        <f t="shared" si="73"/>
        <v>0</v>
      </c>
      <c r="Y215" s="609">
        <f t="shared" si="94"/>
        <v>2059</v>
      </c>
      <c r="Z215" s="335">
        <f t="shared" si="74"/>
        <v>3866.2765840017541</v>
      </c>
      <c r="AA215" s="335">
        <f t="shared" si="75"/>
        <v>580.22651126224571</v>
      </c>
      <c r="AB215" s="335">
        <f t="shared" si="76"/>
        <v>541.64529299858157</v>
      </c>
      <c r="AC215" s="335">
        <f t="shared" si="77"/>
        <v>613.92107833994635</v>
      </c>
      <c r="AD215" s="335">
        <f t="shared" si="78"/>
        <v>857.55957666666643</v>
      </c>
      <c r="AE215" s="335">
        <f>MIN(Paper!I51,Paper!H51)</f>
        <v>-17.593874057174503</v>
      </c>
      <c r="AF215" s="335">
        <f t="shared" si="79"/>
        <v>1263.5085129412628</v>
      </c>
      <c r="AI215" s="609">
        <f t="shared" si="80"/>
        <v>2059</v>
      </c>
      <c r="AJ215" s="335">
        <f t="shared" si="81"/>
        <v>170.00848762220858</v>
      </c>
      <c r="AK215" s="335">
        <f t="shared" si="82"/>
        <v>-27.216736419448381</v>
      </c>
      <c r="AL215" s="335">
        <f t="shared" si="83"/>
        <v>29.042857559913031</v>
      </c>
      <c r="AM215" s="335">
        <f t="shared" si="84"/>
        <v>202.53071997225973</v>
      </c>
      <c r="AN215" s="335">
        <f t="shared" si="85"/>
        <v>100.28044377301262</v>
      </c>
      <c r="AO215" s="335">
        <f t="shared" si="86"/>
        <v>0</v>
      </c>
      <c r="AP215" s="335">
        <f t="shared" si="87"/>
        <v>105.58073875430009</v>
      </c>
      <c r="AS215" s="609">
        <f>Y215</f>
        <v>2059</v>
      </c>
      <c r="AT215" s="335">
        <f t="shared" si="63"/>
        <v>541.64529299858157</v>
      </c>
      <c r="AU215" s="335">
        <f t="shared" si="63"/>
        <v>613.92107833994635</v>
      </c>
      <c r="AV215" s="335">
        <f t="shared" si="63"/>
        <v>857.55957666666643</v>
      </c>
      <c r="AW215" s="335">
        <f t="shared" si="63"/>
        <v>-17.593874057174503</v>
      </c>
      <c r="AX215" s="335">
        <f t="shared" si="63"/>
        <v>1263.5085129412628</v>
      </c>
      <c r="AY215" s="335">
        <f t="shared" si="89"/>
        <v>580.22651126224571</v>
      </c>
      <c r="AZ215" s="335">
        <f t="shared" si="90"/>
        <v>0</v>
      </c>
    </row>
    <row r="216" spans="2:52" ht="14.4" x14ac:dyDescent="0.55000000000000004">
      <c r="B216" s="3">
        <v>2060</v>
      </c>
      <c r="C216" s="1205">
        <f t="shared" si="62"/>
        <v>733.37601003877739</v>
      </c>
      <c r="D216" s="1205">
        <f>'Food System Summary'!B58-'Food System Summary'!C58</f>
        <v>707.81837004232466</v>
      </c>
      <c r="E216" s="1205">
        <f>D216/C216</f>
        <v>0.96515070080475995</v>
      </c>
      <c r="F216" s="1205">
        <f t="shared" si="64"/>
        <v>0.2684246515616836</v>
      </c>
      <c r="G216" s="1205">
        <f t="shared" si="65"/>
        <v>127.35142140553832</v>
      </c>
      <c r="H216" s="1205">
        <f t="shared" si="92"/>
        <v>0.17365092348576358</v>
      </c>
      <c r="I216" s="1205">
        <f t="shared" si="66"/>
        <v>-101.79378140908558</v>
      </c>
      <c r="J216" s="1205">
        <f t="shared" si="67"/>
        <v>-0.13880162429052351</v>
      </c>
      <c r="K216" s="1205">
        <f t="shared" si="68"/>
        <v>-3.860306748501896E-2</v>
      </c>
      <c r="N216" s="3">
        <v>2060</v>
      </c>
      <c r="O216" s="1205">
        <f t="shared" si="69"/>
        <v>990.07714706529555</v>
      </c>
      <c r="P216" s="1205">
        <f t="shared" si="70"/>
        <v>35.335512697836059</v>
      </c>
      <c r="Q216" s="1205">
        <f t="shared" si="71"/>
        <v>880.92939999999987</v>
      </c>
      <c r="R216" s="1205">
        <f t="shared" si="93"/>
        <v>109.14774706529568</v>
      </c>
      <c r="S216" s="1206">
        <f>Paper!E52</f>
        <v>848.55787966948071</v>
      </c>
      <c r="T216" s="1205">
        <f t="shared" si="72"/>
        <v>-32.371520330519161</v>
      </c>
      <c r="U216" s="1206">
        <f>Paper!I52</f>
        <v>9.2949260145077233</v>
      </c>
      <c r="V216" s="1205">
        <f t="shared" si="73"/>
        <v>0</v>
      </c>
      <c r="Y216" s="609">
        <f t="shared" si="94"/>
        <v>2060</v>
      </c>
      <c r="Z216" s="335">
        <f t="shared" si="74"/>
        <v>3907.0319333954285</v>
      </c>
      <c r="AA216" s="335">
        <f t="shared" si="75"/>
        <v>578.76144384929762</v>
      </c>
      <c r="AB216" s="335">
        <f t="shared" si="76"/>
        <v>553.00685259893748</v>
      </c>
      <c r="AC216" s="335">
        <f t="shared" si="77"/>
        <v>614.94242029233385</v>
      </c>
      <c r="AD216" s="335">
        <f t="shared" si="78"/>
        <v>880.92939999999987</v>
      </c>
      <c r="AE216" s="335">
        <f>MIN(Paper!I52,Paper!H52)</f>
        <v>-32.371520330519161</v>
      </c>
      <c r="AF216" s="335">
        <f t="shared" si="79"/>
        <v>1270.0968906403518</v>
      </c>
      <c r="AI216" s="609">
        <f t="shared" si="80"/>
        <v>2060</v>
      </c>
      <c r="AJ216" s="335">
        <f t="shared" si="81"/>
        <v>174.08341870662559</v>
      </c>
      <c r="AK216" s="335">
        <f t="shared" si="82"/>
        <v>-25.035532024562954</v>
      </c>
      <c r="AL216" s="335">
        <f t="shared" si="83"/>
        <v>31.321270757777285</v>
      </c>
      <c r="AM216" s="335">
        <f t="shared" si="84"/>
        <v>203.38428935409218</v>
      </c>
      <c r="AN216" s="335">
        <f t="shared" si="85"/>
        <v>95.155176004577697</v>
      </c>
      <c r="AO216" s="335">
        <f t="shared" si="86"/>
        <v>0</v>
      </c>
      <c r="AP216" s="335">
        <f t="shared" si="87"/>
        <v>99.852821050787838</v>
      </c>
      <c r="AS216" s="609">
        <f>Y216</f>
        <v>2060</v>
      </c>
      <c r="AT216" s="335">
        <f t="shared" si="63"/>
        <v>553.00685259893748</v>
      </c>
      <c r="AU216" s="335">
        <f t="shared" si="63"/>
        <v>614.94242029233385</v>
      </c>
      <c r="AV216" s="335">
        <f t="shared" si="63"/>
        <v>880.92939999999987</v>
      </c>
      <c r="AW216" s="335">
        <f t="shared" si="63"/>
        <v>-32.371520330519161</v>
      </c>
      <c r="AX216" s="335">
        <f t="shared" si="63"/>
        <v>1270.0968906403518</v>
      </c>
      <c r="AY216" s="335">
        <f t="shared" si="89"/>
        <v>578.76144384929762</v>
      </c>
      <c r="AZ216" s="335">
        <f t="shared" si="90"/>
        <v>0</v>
      </c>
    </row>
  </sheetData>
  <mergeCells count="30">
    <mergeCell ref="BD3:BG3"/>
    <mergeCell ref="C3:L3"/>
    <mergeCell ref="N3:X3"/>
    <mergeCell ref="AA3:AK3"/>
    <mergeCell ref="AM3:AW3"/>
    <mergeCell ref="AY3:BB3"/>
    <mergeCell ref="P4:X4"/>
    <mergeCell ref="B57:C57"/>
    <mergeCell ref="E57:F57"/>
    <mergeCell ref="H57:I57"/>
    <mergeCell ref="L57:M57"/>
    <mergeCell ref="Q57:R57"/>
    <mergeCell ref="T57:U57"/>
    <mergeCell ref="W57:Y57"/>
    <mergeCell ref="AA57:AB57"/>
    <mergeCell ref="AD57:AE57"/>
    <mergeCell ref="AG57:AH57"/>
    <mergeCell ref="AK57:AN57"/>
    <mergeCell ref="B110:D110"/>
    <mergeCell ref="F110:H110"/>
    <mergeCell ref="J110:N110"/>
    <mergeCell ref="P110:S110"/>
    <mergeCell ref="V110:AC110"/>
    <mergeCell ref="AE110:AI110"/>
    <mergeCell ref="AK110:AT110"/>
    <mergeCell ref="B167:K167"/>
    <mergeCell ref="N167:V167"/>
    <mergeCell ref="Y167:AF167"/>
    <mergeCell ref="AI167:AP167"/>
    <mergeCell ref="AS167:AZ167"/>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CD1127"/>
  <sheetViews>
    <sheetView topLeftCell="A123" zoomScale="50" zoomScaleNormal="50" workbookViewId="0">
      <selection activeCell="AT113" sqref="AT113:AT159"/>
    </sheetView>
  </sheetViews>
  <sheetFormatPr defaultColWidth="10.6640625" defaultRowHeight="12.3" x14ac:dyDescent="0.4"/>
  <cols>
    <col min="15" max="15" width="12.6640625" bestFit="1" customWidth="1"/>
    <col min="16" max="20" width="11.6640625" bestFit="1" customWidth="1"/>
    <col min="21" max="21" width="11" bestFit="1" customWidth="1"/>
    <col min="22" max="22" width="11.6640625" bestFit="1" customWidth="1"/>
  </cols>
  <sheetData>
    <row r="3" spans="1:82" ht="200.05" customHeight="1" x14ac:dyDescent="0.75">
      <c r="A3" s="336" t="s">
        <v>121</v>
      </c>
      <c r="C3" s="1276" t="s">
        <v>457</v>
      </c>
      <c r="D3" s="1276"/>
      <c r="E3" s="1276"/>
      <c r="F3" s="1276"/>
      <c r="G3" s="1276"/>
      <c r="H3" s="1276"/>
      <c r="I3" s="1276"/>
      <c r="J3" s="1276"/>
      <c r="K3" s="1276"/>
      <c r="L3" s="1276"/>
      <c r="N3" s="1276" t="s">
        <v>458</v>
      </c>
      <c r="O3" s="1276"/>
      <c r="P3" s="1276"/>
      <c r="Q3" s="1276"/>
      <c r="R3" s="1276"/>
      <c r="S3" s="1276"/>
      <c r="T3" s="1276"/>
      <c r="U3" s="1276"/>
      <c r="V3" s="1276"/>
      <c r="W3" s="1276"/>
      <c r="X3" s="1276"/>
      <c r="AA3" s="1276" t="s">
        <v>459</v>
      </c>
      <c r="AB3" s="1276"/>
      <c r="AC3" s="1276"/>
      <c r="AD3" s="1276"/>
      <c r="AE3" s="1276"/>
      <c r="AF3" s="1276"/>
      <c r="AG3" s="1276"/>
      <c r="AH3" s="1276"/>
      <c r="AI3" s="1276"/>
      <c r="AJ3" s="1276"/>
      <c r="AK3" s="1276"/>
      <c r="AM3" s="1276" t="s">
        <v>460</v>
      </c>
      <c r="AN3" s="1276"/>
      <c r="AO3" s="1276"/>
      <c r="AP3" s="1276"/>
      <c r="AQ3" s="1276"/>
      <c r="AR3" s="1276"/>
      <c r="AS3" s="1276"/>
      <c r="AT3" s="1276"/>
      <c r="AU3" s="1276"/>
      <c r="AV3" s="1276"/>
      <c r="AW3" s="1276"/>
      <c r="AY3" s="1275" t="s">
        <v>464</v>
      </c>
      <c r="AZ3" s="1276"/>
      <c r="BA3" s="1276"/>
      <c r="BB3" s="1171"/>
      <c r="BD3" s="1275" t="s">
        <v>465</v>
      </c>
      <c r="BE3" s="1276"/>
      <c r="BF3" s="1276"/>
      <c r="BG3" s="1276"/>
    </row>
    <row r="4" spans="1:82" x14ac:dyDescent="0.4">
      <c r="AY4" s="1" t="s">
        <v>145</v>
      </c>
    </row>
    <row r="5" spans="1:82" x14ac:dyDescent="0.4">
      <c r="B5" s="1" t="s">
        <v>117</v>
      </c>
      <c r="N5" s="1" t="s">
        <v>120</v>
      </c>
      <c r="P5" s="723">
        <v>0.3923628847237593</v>
      </c>
      <c r="Q5" s="723">
        <v>2.8208158898636228E-2</v>
      </c>
      <c r="R5" s="723">
        <v>0.16053697893771696</v>
      </c>
      <c r="S5" s="723">
        <v>0.28956111294522879</v>
      </c>
      <c r="T5" s="723">
        <v>0.12904008783177426</v>
      </c>
      <c r="U5" s="723">
        <v>0.13109840341779183</v>
      </c>
      <c r="V5" s="723">
        <v>0.1618518300474058</v>
      </c>
      <c r="W5" s="723">
        <v>0.12005863532819515</v>
      </c>
      <c r="X5" s="723">
        <v>7.8882908327004189E-2</v>
      </c>
      <c r="AA5" s="1" t="s">
        <v>124</v>
      </c>
      <c r="AC5" s="1165">
        <v>0.29521194923138244</v>
      </c>
      <c r="AD5" s="1165">
        <v>4.7083317113059776E-2</v>
      </c>
      <c r="AE5" s="1165">
        <v>0.14491616365292201</v>
      </c>
      <c r="AF5" s="1165">
        <v>0.39560111045185731</v>
      </c>
      <c r="AG5" s="1165">
        <v>0.11718745955077833</v>
      </c>
      <c r="AM5" s="1" t="s">
        <v>122</v>
      </c>
      <c r="AY5" s="1" t="s">
        <v>123</v>
      </c>
      <c r="BA5" s="609" t="s">
        <v>462</v>
      </c>
    </row>
    <row r="6" spans="1:82" ht="15" x14ac:dyDescent="0.5">
      <c r="B6" s="2" t="s">
        <v>114</v>
      </c>
      <c r="C6" s="334" t="s">
        <v>115</v>
      </c>
      <c r="D6" s="2" t="s">
        <v>36</v>
      </c>
      <c r="E6" s="2" t="s">
        <v>44</v>
      </c>
      <c r="F6" s="2" t="s">
        <v>46</v>
      </c>
      <c r="G6" s="2" t="s">
        <v>49</v>
      </c>
      <c r="H6" s="2" t="s">
        <v>52</v>
      </c>
      <c r="I6" s="2" t="s">
        <v>55</v>
      </c>
      <c r="J6" s="2" t="s">
        <v>58</v>
      </c>
      <c r="K6" s="2" t="s">
        <v>60</v>
      </c>
      <c r="L6" s="2" t="s">
        <v>61</v>
      </c>
      <c r="N6" s="2" t="s">
        <v>114</v>
      </c>
      <c r="O6" s="334" t="s">
        <v>115</v>
      </c>
      <c r="P6" s="2" t="s">
        <v>36</v>
      </c>
      <c r="Q6" s="2" t="s">
        <v>44</v>
      </c>
      <c r="R6" s="2" t="s">
        <v>46</v>
      </c>
      <c r="S6" s="2" t="s">
        <v>49</v>
      </c>
      <c r="T6" s="2" t="s">
        <v>52</v>
      </c>
      <c r="U6" s="2" t="s">
        <v>55</v>
      </c>
      <c r="V6" s="2" t="s">
        <v>58</v>
      </c>
      <c r="W6" s="2" t="s">
        <v>60</v>
      </c>
      <c r="X6" s="2" t="s">
        <v>61</v>
      </c>
      <c r="AA6" s="2" t="s">
        <v>114</v>
      </c>
      <c r="AB6" s="334" t="s">
        <v>115</v>
      </c>
      <c r="AC6" s="2" t="s">
        <v>36</v>
      </c>
      <c r="AD6" s="2" t="s">
        <v>44</v>
      </c>
      <c r="AE6" s="2" t="s">
        <v>46</v>
      </c>
      <c r="AF6" s="2" t="s">
        <v>49</v>
      </c>
      <c r="AG6" s="2" t="s">
        <v>52</v>
      </c>
      <c r="AH6" s="2" t="s">
        <v>55</v>
      </c>
      <c r="AI6" s="2" t="s">
        <v>58</v>
      </c>
      <c r="AJ6" s="2" t="s">
        <v>60</v>
      </c>
      <c r="AK6" s="2" t="s">
        <v>61</v>
      </c>
      <c r="AM6" s="2" t="s">
        <v>114</v>
      </c>
      <c r="AN6" s="334" t="s">
        <v>115</v>
      </c>
      <c r="AO6" s="2" t="s">
        <v>36</v>
      </c>
      <c r="AP6" s="2" t="s">
        <v>44</v>
      </c>
      <c r="AQ6" s="2" t="s">
        <v>46</v>
      </c>
      <c r="AR6" s="2" t="s">
        <v>49</v>
      </c>
      <c r="AS6" s="2" t="s">
        <v>52</v>
      </c>
      <c r="AT6" s="2" t="s">
        <v>55</v>
      </c>
      <c r="AU6" s="2" t="s">
        <v>58</v>
      </c>
      <c r="AV6" s="2" t="s">
        <v>60</v>
      </c>
      <c r="AW6" s="2" t="s">
        <v>61</v>
      </c>
      <c r="AY6" s="2" t="s">
        <v>114</v>
      </c>
      <c r="AZ6" s="334" t="s">
        <v>115</v>
      </c>
      <c r="BA6" s="625" t="s">
        <v>461</v>
      </c>
      <c r="BD6" s="2" t="s">
        <v>114</v>
      </c>
      <c r="BE6" s="334" t="s">
        <v>156</v>
      </c>
      <c r="BF6" s="334" t="s">
        <v>157</v>
      </c>
      <c r="BG6" s="334" t="s">
        <v>158</v>
      </c>
    </row>
    <row r="7" spans="1:82" ht="14.4" x14ac:dyDescent="0.55000000000000004">
      <c r="B7" s="3">
        <v>2014</v>
      </c>
      <c r="C7" s="707">
        <v>1773.3333333333333</v>
      </c>
      <c r="D7" s="965"/>
      <c r="E7" s="965"/>
      <c r="F7" s="965"/>
      <c r="G7" s="965"/>
      <c r="H7" s="965"/>
      <c r="I7" s="965"/>
      <c r="J7" s="965"/>
      <c r="K7" s="965"/>
      <c r="L7" s="965"/>
      <c r="N7" s="3">
        <v>2014</v>
      </c>
      <c r="O7" s="707">
        <f>C7*Compost!J6/100</f>
        <v>804.14197831832109</v>
      </c>
      <c r="P7" s="1130"/>
      <c r="Q7" s="1130"/>
      <c r="R7" s="1130"/>
      <c r="S7" s="1130"/>
      <c r="T7" s="1130"/>
      <c r="U7" s="1130"/>
      <c r="V7" s="1130"/>
      <c r="W7" s="1130"/>
      <c r="X7" s="1130"/>
      <c r="AA7" s="3">
        <v>2014</v>
      </c>
      <c r="AB7" s="1243">
        <f>C7*'H&amp;C Recycling'!M4/100</f>
        <v>627.40533333333326</v>
      </c>
      <c r="AC7" s="1129"/>
      <c r="AD7" s="1129"/>
      <c r="AE7" s="1129"/>
      <c r="AF7" s="1129"/>
      <c r="AG7" s="1129"/>
      <c r="AH7" s="528"/>
      <c r="AI7" s="528"/>
      <c r="AJ7" s="528"/>
      <c r="AK7" s="528"/>
      <c r="AM7" s="3">
        <v>2014</v>
      </c>
      <c r="AN7" s="707">
        <f t="shared" ref="AN7:AN53" si="0">C7-O7-AB7</f>
        <v>341.7860216816789</v>
      </c>
      <c r="AO7" s="335"/>
      <c r="AP7" s="335"/>
      <c r="AQ7" s="335"/>
      <c r="AR7" s="335"/>
      <c r="AS7" s="335"/>
      <c r="AT7" s="335"/>
      <c r="AU7" s="335"/>
      <c r="AV7" s="335"/>
      <c r="AW7" s="335"/>
      <c r="AY7" s="3">
        <v>2014</v>
      </c>
      <c r="AZ7" s="707">
        <f>C7*Bioplastics!AL12</f>
        <v>241.19999999999996</v>
      </c>
      <c r="BD7" s="3">
        <v>2014</v>
      </c>
      <c r="BE7" s="1131">
        <f t="shared" ref="BE7:BE53" si="1">O7/C7</f>
        <v>0.45346352160807585</v>
      </c>
      <c r="BF7" s="1131">
        <f t="shared" ref="BF7:BF53" si="2">AB7/C7</f>
        <v>0.35379999999999995</v>
      </c>
      <c r="BG7" s="1131">
        <f t="shared" ref="BG7:BG53" si="3">AN7/C7</f>
        <v>0.1927364783919242</v>
      </c>
    </row>
    <row r="8" spans="1:82" ht="14.4" x14ac:dyDescent="0.55000000000000004">
      <c r="B8" s="3">
        <v>2015</v>
      </c>
      <c r="C8" s="707">
        <v>1891.6666666666667</v>
      </c>
      <c r="D8" s="965"/>
      <c r="E8" s="965"/>
      <c r="F8" s="965"/>
      <c r="G8" s="965"/>
      <c r="H8" s="965"/>
      <c r="I8" s="965"/>
      <c r="J8" s="965"/>
      <c r="K8" s="965"/>
      <c r="L8" s="965"/>
      <c r="N8" s="3">
        <v>2015</v>
      </c>
      <c r="O8" s="707">
        <f>C8*Compost!J7/100</f>
        <v>862.10382892596351</v>
      </c>
      <c r="P8" s="1130"/>
      <c r="Q8" s="1130"/>
      <c r="R8" s="1130"/>
      <c r="S8" s="1130"/>
      <c r="T8" s="1130"/>
      <c r="U8" s="1130"/>
      <c r="V8" s="1130"/>
      <c r="W8" s="1130"/>
      <c r="X8" s="1130"/>
      <c r="AA8" s="3">
        <v>2015</v>
      </c>
      <c r="AB8" s="1243">
        <f>C8*'H&amp;C Recycling'!M5/100</f>
        <v>665.67750000000001</v>
      </c>
      <c r="AC8" s="1129"/>
      <c r="AD8" s="1129"/>
      <c r="AE8" s="1129"/>
      <c r="AF8" s="1129"/>
      <c r="AG8" s="1129"/>
      <c r="AH8" s="528"/>
      <c r="AI8" s="528"/>
      <c r="AJ8" s="528"/>
      <c r="AK8" s="528"/>
      <c r="AM8" s="3">
        <v>2015</v>
      </c>
      <c r="AN8" s="707">
        <f t="shared" si="0"/>
        <v>363.88533774070333</v>
      </c>
      <c r="AO8" s="335"/>
      <c r="AP8" s="335"/>
      <c r="AQ8" s="335"/>
      <c r="AR8" s="335"/>
      <c r="AS8" s="335"/>
      <c r="AT8" s="335"/>
      <c r="AU8" s="335"/>
      <c r="AV8" s="335"/>
      <c r="AW8" s="335"/>
      <c r="AY8" s="3">
        <v>2015</v>
      </c>
      <c r="AZ8" s="707">
        <f>C8*Bioplastics!AL13</f>
        <v>249.73118971061089</v>
      </c>
      <c r="BD8" s="3">
        <v>2015</v>
      </c>
      <c r="BE8" s="1131">
        <f t="shared" si="1"/>
        <v>0.45573770692121418</v>
      </c>
      <c r="BF8" s="1131">
        <f t="shared" si="2"/>
        <v>0.35189999999999999</v>
      </c>
      <c r="BG8" s="1131">
        <f t="shared" si="3"/>
        <v>0.19236229307878588</v>
      </c>
      <c r="CD8" s="609">
        <v>2100</v>
      </c>
    </row>
    <row r="9" spans="1:82" ht="14.4" x14ac:dyDescent="0.55000000000000004">
      <c r="B9" s="3">
        <v>2016</v>
      </c>
      <c r="C9" s="707">
        <v>2009.9999999999998</v>
      </c>
      <c r="D9" s="965"/>
      <c r="E9" s="965"/>
      <c r="F9" s="965"/>
      <c r="G9" s="965"/>
      <c r="H9" s="965"/>
      <c r="I9" s="965"/>
      <c r="J9" s="965"/>
      <c r="K9" s="965"/>
      <c r="L9" s="965"/>
      <c r="N9" s="3">
        <v>2016</v>
      </c>
      <c r="O9" s="707">
        <f>C9*Compost!J8/100</f>
        <v>924.59999999999991</v>
      </c>
      <c r="P9" s="1130"/>
      <c r="Q9" s="1130"/>
      <c r="R9" s="1130"/>
      <c r="S9" s="1130"/>
      <c r="T9" s="1130"/>
      <c r="U9" s="1130"/>
      <c r="V9" s="1130"/>
      <c r="W9" s="1130"/>
      <c r="X9" s="1130"/>
      <c r="AA9" s="3">
        <v>2016</v>
      </c>
      <c r="AB9" s="1243">
        <f>C9*'H&amp;C Recycling'!M6/100</f>
        <v>703.49999999999989</v>
      </c>
      <c r="AC9" s="1129"/>
      <c r="AD9" s="1129"/>
      <c r="AE9" s="1129"/>
      <c r="AF9" s="1129"/>
      <c r="AG9" s="1129"/>
      <c r="AH9" s="528"/>
      <c r="AI9" s="528"/>
      <c r="AJ9" s="528"/>
      <c r="AK9" s="528"/>
      <c r="AM9" s="3">
        <v>2016</v>
      </c>
      <c r="AN9" s="707">
        <f t="shared" si="0"/>
        <v>381.9</v>
      </c>
      <c r="AO9" s="335"/>
      <c r="AP9" s="335"/>
      <c r="AQ9" s="335"/>
      <c r="AR9" s="335"/>
      <c r="AS9" s="335"/>
      <c r="AT9" s="335"/>
      <c r="AU9" s="335"/>
      <c r="AV9" s="335"/>
      <c r="AW9" s="335"/>
      <c r="AY9" s="3">
        <v>2016</v>
      </c>
      <c r="AZ9" s="707">
        <f>C9*Bioplastics!AL14</f>
        <v>259.81350482315111</v>
      </c>
      <c r="BD9" s="3">
        <v>2016</v>
      </c>
      <c r="BE9" s="1131">
        <f t="shared" si="1"/>
        <v>0.46</v>
      </c>
      <c r="BF9" s="1131">
        <f t="shared" si="2"/>
        <v>0.35</v>
      </c>
      <c r="BG9" s="1131">
        <f t="shared" si="3"/>
        <v>0.19</v>
      </c>
      <c r="CD9" s="609">
        <f>CD8*0.44</f>
        <v>924</v>
      </c>
    </row>
    <row r="10" spans="1:82" ht="14.4" x14ac:dyDescent="0.55000000000000004">
      <c r="B10" s="3">
        <v>2017</v>
      </c>
      <c r="C10" s="707">
        <v>2123.324211440809</v>
      </c>
      <c r="D10" s="965"/>
      <c r="E10" s="965"/>
      <c r="F10" s="965"/>
      <c r="G10" s="965"/>
      <c r="H10" s="965"/>
      <c r="I10" s="965"/>
      <c r="J10" s="965"/>
      <c r="K10" s="965"/>
      <c r="L10" s="965"/>
      <c r="N10" s="3">
        <v>2017</v>
      </c>
      <c r="O10" s="707">
        <f>C10*Compost!J9/100</f>
        <v>976.21069943703117</v>
      </c>
      <c r="P10" s="1130"/>
      <c r="Q10" s="1130"/>
      <c r="R10" s="1130"/>
      <c r="S10" s="1130"/>
      <c r="T10" s="1130"/>
      <c r="U10" s="1130"/>
      <c r="V10" s="1130"/>
      <c r="W10" s="1130"/>
      <c r="X10" s="1130"/>
      <c r="AA10" s="3">
        <v>2017</v>
      </c>
      <c r="AB10" s="1243">
        <f>C10*'H&amp;C Recycling'!M7/100</f>
        <v>739.12915800254564</v>
      </c>
      <c r="AC10" s="1129"/>
      <c r="AD10" s="1129"/>
      <c r="AE10" s="1129"/>
      <c r="AF10" s="1129"/>
      <c r="AG10" s="1129"/>
      <c r="AH10" s="528"/>
      <c r="AI10" s="528"/>
      <c r="AJ10" s="528"/>
      <c r="AK10" s="528"/>
      <c r="AM10" s="3">
        <v>2017</v>
      </c>
      <c r="AN10" s="707">
        <f t="shared" si="0"/>
        <v>407.9843540012323</v>
      </c>
      <c r="AO10" s="335"/>
      <c r="AP10" s="335"/>
      <c r="AQ10" s="335"/>
      <c r="AR10" s="335"/>
      <c r="AS10" s="335"/>
      <c r="AT10" s="335"/>
      <c r="AU10" s="335"/>
      <c r="AV10" s="335"/>
      <c r="AW10" s="335"/>
      <c r="AY10" s="3">
        <v>2017</v>
      </c>
      <c r="AZ10" s="707">
        <f>C10*Bioplastics!AL15</f>
        <v>269.89581993569129</v>
      </c>
      <c r="BD10" s="3">
        <v>2017</v>
      </c>
      <c r="BE10" s="1131">
        <f t="shared" si="1"/>
        <v>0.45975583670974618</v>
      </c>
      <c r="BF10" s="1131">
        <f t="shared" si="2"/>
        <v>0.34810000000000002</v>
      </c>
      <c r="BG10" s="1131">
        <f t="shared" si="3"/>
        <v>0.19214416329025386</v>
      </c>
    </row>
    <row r="11" spans="1:82" ht="14.4" x14ac:dyDescent="0.55000000000000004">
      <c r="B11" s="3">
        <v>2018</v>
      </c>
      <c r="C11" s="707">
        <v>2160.7043297289983</v>
      </c>
      <c r="D11" s="965"/>
      <c r="E11" s="965"/>
      <c r="F11" s="965"/>
      <c r="G11" s="965"/>
      <c r="H11" s="965"/>
      <c r="I11" s="965"/>
      <c r="J11" s="965"/>
      <c r="K11" s="965"/>
      <c r="L11" s="965"/>
      <c r="N11" s="3">
        <v>2018</v>
      </c>
      <c r="O11" s="707">
        <f>C11*Compost!J10/100</f>
        <v>997.21871385837414</v>
      </c>
      <c r="P11" s="1130"/>
      <c r="Q11" s="1130"/>
      <c r="R11" s="1130"/>
      <c r="S11" s="1130"/>
      <c r="T11" s="1130"/>
      <c r="U11" s="1130"/>
      <c r="V11" s="1130"/>
      <c r="W11" s="1130"/>
      <c r="X11" s="1130"/>
      <c r="AA11" s="3">
        <v>2018</v>
      </c>
      <c r="AB11" s="1243">
        <f>C11*'H&amp;C Recycling'!M8/100</f>
        <v>748.03583895217935</v>
      </c>
      <c r="AC11" s="1129"/>
      <c r="AD11" s="1129"/>
      <c r="AE11" s="1129"/>
      <c r="AF11" s="1129"/>
      <c r="AG11" s="1129"/>
      <c r="AH11" s="528"/>
      <c r="AI11" s="528"/>
      <c r="AJ11" s="528"/>
      <c r="AK11" s="528"/>
      <c r="AM11" s="3">
        <v>2018</v>
      </c>
      <c r="AN11" s="707">
        <f t="shared" si="0"/>
        <v>415.44977691844497</v>
      </c>
      <c r="AO11" s="335"/>
      <c r="AP11" s="335"/>
      <c r="AQ11" s="335"/>
      <c r="AR11" s="335"/>
      <c r="AS11" s="335"/>
      <c r="AT11" s="335"/>
      <c r="AU11" s="335"/>
      <c r="AV11" s="335"/>
      <c r="AW11" s="335"/>
      <c r="AY11" s="3">
        <v>2018</v>
      </c>
      <c r="AZ11" s="707">
        <f>C11*Bioplastics!AL16</f>
        <v>278.42700964630222</v>
      </c>
      <c r="BD11" s="3">
        <v>2018</v>
      </c>
      <c r="BE11" s="1131">
        <f t="shared" si="1"/>
        <v>0.46152483712727516</v>
      </c>
      <c r="BF11" s="1131">
        <f t="shared" si="2"/>
        <v>0.34620000000000006</v>
      </c>
      <c r="BG11" s="1131">
        <f t="shared" si="3"/>
        <v>0.19227516287272486</v>
      </c>
    </row>
    <row r="12" spans="1:82" ht="14.4" x14ac:dyDescent="0.55000000000000004">
      <c r="B12" s="3">
        <v>2019</v>
      </c>
      <c r="C12" s="707">
        <v>2197.9034203535862</v>
      </c>
      <c r="D12" s="965"/>
      <c r="E12" s="965"/>
      <c r="F12" s="965"/>
      <c r="G12" s="965"/>
      <c r="H12" s="965"/>
      <c r="I12" s="965"/>
      <c r="J12" s="965"/>
      <c r="K12" s="965"/>
      <c r="L12" s="965"/>
      <c r="N12" s="3">
        <v>2019</v>
      </c>
      <c r="O12" s="707">
        <f>C12*Compost!J11/100</f>
        <v>1017.9576307940937</v>
      </c>
      <c r="P12" s="1130"/>
      <c r="Q12" s="1130"/>
      <c r="R12" s="1130"/>
      <c r="S12" s="1130"/>
      <c r="T12" s="1130"/>
      <c r="U12" s="1130"/>
      <c r="V12" s="1130"/>
      <c r="W12" s="1130"/>
      <c r="X12" s="1130"/>
      <c r="AA12" s="3">
        <v>2019</v>
      </c>
      <c r="AB12" s="1243">
        <f>C12*'H&amp;C Recycling'!M9/100</f>
        <v>756.73814762773986</v>
      </c>
      <c r="AC12" s="1129"/>
      <c r="AD12" s="1129"/>
      <c r="AE12" s="1129"/>
      <c r="AF12" s="1129"/>
      <c r="AG12" s="1129"/>
      <c r="AH12" s="528"/>
      <c r="AI12" s="528"/>
      <c r="AJ12" s="528"/>
      <c r="AK12" s="528"/>
      <c r="AM12" s="3">
        <v>2019</v>
      </c>
      <c r="AN12" s="707">
        <f t="shared" si="0"/>
        <v>423.20764193175251</v>
      </c>
      <c r="AO12" s="335"/>
      <c r="AP12" s="335"/>
      <c r="AQ12" s="335"/>
      <c r="AR12" s="335"/>
      <c r="AS12" s="335"/>
      <c r="AT12" s="335"/>
      <c r="AU12" s="335"/>
      <c r="AV12" s="335"/>
      <c r="AW12" s="335"/>
      <c r="AY12" s="3">
        <v>2019</v>
      </c>
      <c r="AZ12" s="707">
        <f>C12*Bioplastics!AL17</f>
        <v>266.56313642222557</v>
      </c>
      <c r="BD12" s="3">
        <v>2019</v>
      </c>
      <c r="BE12" s="1131">
        <f t="shared" si="1"/>
        <v>0.46314939108212977</v>
      </c>
      <c r="BF12" s="1131">
        <f t="shared" si="2"/>
        <v>0.34430000000000005</v>
      </c>
      <c r="BG12" s="1131">
        <f t="shared" si="3"/>
        <v>0.19255060891787013</v>
      </c>
      <c r="CD12" s="609">
        <f>826/CD9</f>
        <v>0.89393939393939392</v>
      </c>
    </row>
    <row r="13" spans="1:82" ht="14.4" x14ac:dyDescent="0.55000000000000004">
      <c r="B13" s="3">
        <v>2020</v>
      </c>
      <c r="C13" s="707">
        <v>2235.4879894080063</v>
      </c>
      <c r="D13" s="965"/>
      <c r="E13" s="965"/>
      <c r="F13" s="965"/>
      <c r="G13" s="965"/>
      <c r="H13" s="965"/>
      <c r="I13" s="965"/>
      <c r="J13" s="965"/>
      <c r="K13" s="965"/>
      <c r="L13" s="965"/>
      <c r="N13" s="3">
        <v>2020</v>
      </c>
      <c r="O13" s="707">
        <f>C13*Compost!J12/100</f>
        <v>1038.6979423397006</v>
      </c>
      <c r="P13" s="1130"/>
      <c r="Q13" s="1130"/>
      <c r="R13" s="1130"/>
      <c r="S13" s="1130"/>
      <c r="T13" s="1130"/>
      <c r="U13" s="1130"/>
      <c r="V13" s="1130"/>
      <c r="W13" s="1130"/>
      <c r="X13" s="1130"/>
      <c r="AA13" s="3">
        <v>2020</v>
      </c>
      <c r="AB13" s="1243">
        <f>C13*'H&amp;C Recycling'!M10/100</f>
        <v>765.43108757330162</v>
      </c>
      <c r="AC13" s="1129"/>
      <c r="AD13" s="1129"/>
      <c r="AE13" s="1129"/>
      <c r="AF13" s="1129"/>
      <c r="AG13" s="1129"/>
      <c r="AH13" s="528"/>
      <c r="AI13" s="528"/>
      <c r="AJ13" s="528"/>
      <c r="AK13" s="528"/>
      <c r="AM13" s="3">
        <v>2020</v>
      </c>
      <c r="AN13" s="707">
        <f t="shared" si="0"/>
        <v>431.35895949500411</v>
      </c>
      <c r="AO13" s="335"/>
      <c r="AP13" s="335"/>
      <c r="AQ13" s="335"/>
      <c r="AR13" s="335"/>
      <c r="AS13" s="335"/>
      <c r="AT13" s="335"/>
      <c r="AU13" s="335"/>
      <c r="AV13" s="335"/>
      <c r="AW13" s="335"/>
      <c r="AY13" s="3">
        <v>2020</v>
      </c>
      <c r="AZ13" s="707">
        <f>C13*Bioplastics!AL18</f>
        <v>276.48690247270673</v>
      </c>
      <c r="BD13" s="3">
        <v>2020</v>
      </c>
      <c r="BE13" s="1131">
        <f t="shared" si="1"/>
        <v>0.46464035917936858</v>
      </c>
      <c r="BF13" s="1131">
        <f t="shared" si="2"/>
        <v>0.34240000000000009</v>
      </c>
      <c r="BG13" s="1131">
        <f t="shared" si="3"/>
        <v>0.1929596408206313</v>
      </c>
    </row>
    <row r="14" spans="1:82" ht="14.4" x14ac:dyDescent="0.55000000000000004">
      <c r="B14" s="3">
        <v>2021</v>
      </c>
      <c r="C14" s="707">
        <v>2270.2853275329462</v>
      </c>
      <c r="D14" s="965"/>
      <c r="E14" s="965"/>
      <c r="F14" s="965"/>
      <c r="G14" s="965"/>
      <c r="H14" s="965"/>
      <c r="I14" s="965"/>
      <c r="J14" s="965"/>
      <c r="K14" s="965"/>
      <c r="L14" s="965"/>
      <c r="N14" s="3">
        <v>2021</v>
      </c>
      <c r="O14" s="707">
        <f>C14*Compost!J13/100</f>
        <v>1057.9709881700378</v>
      </c>
      <c r="P14" s="1130"/>
      <c r="Q14" s="1130"/>
      <c r="R14" s="1130"/>
      <c r="S14" s="1130"/>
      <c r="T14" s="1130"/>
      <c r="U14" s="1130"/>
      <c r="V14" s="1130"/>
      <c r="W14" s="1130"/>
      <c r="X14" s="1130"/>
      <c r="AA14" s="3">
        <v>2021</v>
      </c>
      <c r="AB14" s="1243">
        <f>C14*'H&amp;C Recycling'!M11/100</f>
        <v>773.03215402496846</v>
      </c>
      <c r="AC14" s="1129"/>
      <c r="AD14" s="1129"/>
      <c r="AE14" s="1129"/>
      <c r="AF14" s="1129"/>
      <c r="AG14" s="1129"/>
      <c r="AH14" s="528"/>
      <c r="AI14" s="528"/>
      <c r="AJ14" s="528"/>
      <c r="AK14" s="528"/>
      <c r="AM14" s="3">
        <v>2021</v>
      </c>
      <c r="AN14" s="707">
        <f t="shared" si="0"/>
        <v>439.28218533793995</v>
      </c>
      <c r="AO14" s="335"/>
      <c r="AP14" s="335"/>
      <c r="AQ14" s="335"/>
      <c r="AR14" s="335"/>
      <c r="AS14" s="335"/>
      <c r="AT14" s="335"/>
      <c r="AU14" s="335"/>
      <c r="AV14" s="335"/>
      <c r="AW14" s="335"/>
      <c r="AY14" s="3">
        <v>2021</v>
      </c>
      <c r="AZ14" s="707">
        <f>C14*Bioplastics!AL19</f>
        <v>284.01502082012212</v>
      </c>
      <c r="BD14" s="3">
        <v>2021</v>
      </c>
      <c r="BE14" s="1131">
        <f t="shared" si="1"/>
        <v>0.46600793976839222</v>
      </c>
      <c r="BF14" s="1131">
        <f t="shared" si="2"/>
        <v>0.34050000000000014</v>
      </c>
      <c r="BG14" s="1131">
        <f t="shared" si="3"/>
        <v>0.19349206023160767</v>
      </c>
    </row>
    <row r="15" spans="1:82" ht="14.4" x14ac:dyDescent="0.55000000000000004">
      <c r="B15" s="3">
        <v>2022</v>
      </c>
      <c r="C15" s="707">
        <v>2305.4281717581962</v>
      </c>
      <c r="D15" s="965"/>
      <c r="E15" s="965"/>
      <c r="F15" s="965"/>
      <c r="G15" s="965"/>
      <c r="H15" s="965"/>
      <c r="I15" s="965"/>
      <c r="J15" s="965"/>
      <c r="K15" s="965"/>
      <c r="L15" s="965"/>
      <c r="N15" s="3">
        <v>2022</v>
      </c>
      <c r="O15" s="707">
        <f>C15*Compost!J14/100</f>
        <v>1077.2382470595867</v>
      </c>
      <c r="P15" s="1130"/>
      <c r="Q15" s="1130"/>
      <c r="R15" s="1130"/>
      <c r="S15" s="1130"/>
      <c r="T15" s="1130"/>
      <c r="U15" s="1130"/>
      <c r="V15" s="1130"/>
      <c r="W15" s="1130"/>
      <c r="X15" s="1130"/>
      <c r="AA15" s="3">
        <v>2022</v>
      </c>
      <c r="AB15" s="1243">
        <f>C15*'H&amp;C Recycling'!M12/100</f>
        <v>780.61797895732559</v>
      </c>
      <c r="AC15" s="1129"/>
      <c r="AD15" s="1129"/>
      <c r="AE15" s="1129"/>
      <c r="AF15" s="1129"/>
      <c r="AG15" s="1129"/>
      <c r="AH15" s="528"/>
      <c r="AI15" s="528"/>
      <c r="AJ15" s="528"/>
      <c r="AK15" s="528"/>
      <c r="AM15" s="3">
        <v>2022</v>
      </c>
      <c r="AN15" s="707">
        <f t="shared" si="0"/>
        <v>447.57194574128391</v>
      </c>
      <c r="AO15" s="335"/>
      <c r="AP15" s="335"/>
      <c r="AQ15" s="335"/>
      <c r="AR15" s="335"/>
      <c r="AS15" s="335"/>
      <c r="AT15" s="335"/>
      <c r="AU15" s="335"/>
      <c r="AV15" s="335"/>
      <c r="AW15" s="335"/>
      <c r="AY15" s="3">
        <v>2022</v>
      </c>
      <c r="AZ15" s="707">
        <f>C15*Bioplastics!AL20</f>
        <v>291.54163156610923</v>
      </c>
      <c r="BD15" s="3">
        <v>2022</v>
      </c>
      <c r="BE15" s="1131">
        <f t="shared" si="1"/>
        <v>0.46726168277801905</v>
      </c>
      <c r="BF15" s="1131">
        <f t="shared" si="2"/>
        <v>0.33860000000000018</v>
      </c>
      <c r="BG15" s="1131">
        <f t="shared" si="3"/>
        <v>0.1941383172219808</v>
      </c>
    </row>
    <row r="16" spans="1:82" ht="14.4" x14ac:dyDescent="0.55000000000000004">
      <c r="B16" s="3">
        <v>2023</v>
      </c>
      <c r="C16" s="707">
        <v>2340.1548550480929</v>
      </c>
      <c r="D16" s="965"/>
      <c r="E16" s="965"/>
      <c r="F16" s="965"/>
      <c r="G16" s="965"/>
      <c r="H16" s="965"/>
      <c r="I16" s="965"/>
      <c r="J16" s="965"/>
      <c r="K16" s="965"/>
      <c r="L16" s="965"/>
      <c r="N16" s="3">
        <v>2023</v>
      </c>
      <c r="O16" s="707">
        <f>C16*Compost!J15/100</f>
        <v>1096.1531259048074</v>
      </c>
      <c r="P16" s="1130"/>
      <c r="Q16" s="1130"/>
      <c r="R16" s="1130"/>
      <c r="S16" s="1130"/>
      <c r="T16" s="1130"/>
      <c r="U16" s="1130"/>
      <c r="V16" s="1130"/>
      <c r="W16" s="1130"/>
      <c r="X16" s="1130"/>
      <c r="AA16" s="3">
        <v>2023</v>
      </c>
      <c r="AB16" s="1243">
        <f>C16*'H&amp;C Recycling'!M13/100</f>
        <v>787.93013969469325</v>
      </c>
      <c r="AC16" s="1129"/>
      <c r="AD16" s="1129"/>
      <c r="AE16" s="1129"/>
      <c r="AF16" s="1129"/>
      <c r="AG16" s="1129"/>
      <c r="AH16" s="528"/>
      <c r="AI16" s="528"/>
      <c r="AJ16" s="528"/>
      <c r="AK16" s="528"/>
      <c r="AM16" s="3">
        <v>2023</v>
      </c>
      <c r="AN16" s="707">
        <f t="shared" si="0"/>
        <v>456.07158944859225</v>
      </c>
      <c r="AO16" s="335"/>
      <c r="AP16" s="335"/>
      <c r="AQ16" s="335"/>
      <c r="AR16" s="335"/>
      <c r="AS16" s="335"/>
      <c r="AT16" s="335"/>
      <c r="AU16" s="335"/>
      <c r="AV16" s="335"/>
      <c r="AW16" s="335"/>
      <c r="AY16" s="3">
        <v>2023</v>
      </c>
      <c r="AZ16" s="707">
        <f>C16*Bioplastics!AL21</f>
        <v>299.06202574315938</v>
      </c>
      <c r="BD16" s="3">
        <v>2023</v>
      </c>
      <c r="BE16" s="1131">
        <f t="shared" si="1"/>
        <v>0.46841050862092637</v>
      </c>
      <c r="BF16" s="1131">
        <f t="shared" si="2"/>
        <v>0.33670000000000017</v>
      </c>
      <c r="BG16" s="1131">
        <f t="shared" si="3"/>
        <v>0.19488949137907347</v>
      </c>
    </row>
    <row r="17" spans="2:59" ht="14.4" x14ac:dyDescent="0.55000000000000004">
      <c r="B17" s="3">
        <v>2024</v>
      </c>
      <c r="C17" s="707">
        <v>2374.4267580491282</v>
      </c>
      <c r="D17" s="965"/>
      <c r="E17" s="965"/>
      <c r="F17" s="965"/>
      <c r="G17" s="965"/>
      <c r="H17" s="965"/>
      <c r="I17" s="965"/>
      <c r="J17" s="965"/>
      <c r="K17" s="965"/>
      <c r="L17" s="965"/>
      <c r="N17" s="3">
        <v>2024</v>
      </c>
      <c r="O17" s="707">
        <f>C17*Compost!J16/100</f>
        <v>1114.7048702357774</v>
      </c>
      <c r="P17" s="1130"/>
      <c r="Q17" s="1130"/>
      <c r="R17" s="1130"/>
      <c r="S17" s="1130"/>
      <c r="T17" s="1130"/>
      <c r="U17" s="1130"/>
      <c r="V17" s="1130"/>
      <c r="W17" s="1130"/>
      <c r="X17" s="1130"/>
      <c r="AA17" s="3">
        <v>2024</v>
      </c>
      <c r="AB17" s="1243">
        <f>C17*'H&amp;C Recycling'!M14/100</f>
        <v>794.95807859484864</v>
      </c>
      <c r="AC17" s="1129"/>
      <c r="AD17" s="1129"/>
      <c r="AE17" s="1129"/>
      <c r="AF17" s="1129"/>
      <c r="AG17" s="1129"/>
      <c r="AH17" s="528"/>
      <c r="AI17" s="528"/>
      <c r="AJ17" s="528"/>
      <c r="AK17" s="528"/>
      <c r="AM17" s="3">
        <v>2024</v>
      </c>
      <c r="AN17" s="707">
        <f t="shared" si="0"/>
        <v>464.76380921850216</v>
      </c>
      <c r="AO17" s="335"/>
      <c r="AP17" s="335"/>
      <c r="AQ17" s="335"/>
      <c r="AR17" s="335"/>
      <c r="AS17" s="335"/>
      <c r="AT17" s="335"/>
      <c r="AU17" s="335"/>
      <c r="AV17" s="335"/>
      <c r="AW17" s="335"/>
      <c r="AY17" s="3">
        <v>2024</v>
      </c>
      <c r="AZ17" s="707">
        <f>C17*Bioplastics!AL22</f>
        <v>308.00463287468511</v>
      </c>
      <c r="BD17" s="3">
        <v>2024</v>
      </c>
      <c r="BE17" s="1131">
        <f t="shared" si="1"/>
        <v>0.4694627309336924</v>
      </c>
      <c r="BF17" s="1131">
        <f t="shared" si="2"/>
        <v>0.33480000000000021</v>
      </c>
      <c r="BG17" s="1131">
        <f t="shared" si="3"/>
        <v>0.1957372690663074</v>
      </c>
    </row>
    <row r="18" spans="2:59" ht="14.4" x14ac:dyDescent="0.55000000000000004">
      <c r="B18" s="3">
        <v>2025</v>
      </c>
      <c r="C18" s="707">
        <v>2407.1768875846901</v>
      </c>
      <c r="D18" s="965"/>
      <c r="E18" s="965"/>
      <c r="F18" s="965"/>
      <c r="G18" s="965"/>
      <c r="H18" s="965"/>
      <c r="I18" s="965"/>
      <c r="J18" s="965"/>
      <c r="K18" s="965"/>
      <c r="L18" s="965"/>
      <c r="N18" s="3">
        <v>2025</v>
      </c>
      <c r="O18" s="707">
        <f>C18*Compost!J17/100</f>
        <v>1131.3731371648043</v>
      </c>
      <c r="P18" s="1130"/>
      <c r="Q18" s="1130"/>
      <c r="R18" s="1130"/>
      <c r="S18" s="1130"/>
      <c r="T18" s="1130"/>
      <c r="U18" s="1130"/>
      <c r="V18" s="1130"/>
      <c r="W18" s="1130"/>
      <c r="X18" s="1130"/>
      <c r="AA18" s="3">
        <v>2025</v>
      </c>
      <c r="AB18" s="1243">
        <f>C18*'H&amp;C Recycling'!M15/100</f>
        <v>801.34918587694381</v>
      </c>
      <c r="AC18" s="1129"/>
      <c r="AD18" s="1129"/>
      <c r="AE18" s="1129"/>
      <c r="AF18" s="1129"/>
      <c r="AG18" s="1129"/>
      <c r="AH18" s="528"/>
      <c r="AI18" s="528"/>
      <c r="AJ18" s="528"/>
      <c r="AK18" s="528"/>
      <c r="AM18" s="3">
        <v>2025</v>
      </c>
      <c r="AN18" s="707">
        <f t="shared" si="0"/>
        <v>474.45456454294197</v>
      </c>
      <c r="AO18" s="335"/>
      <c r="AP18" s="335"/>
      <c r="AQ18" s="335"/>
      <c r="AR18" s="335"/>
      <c r="AS18" s="335"/>
      <c r="AT18" s="335"/>
      <c r="AU18" s="335"/>
      <c r="AV18" s="335"/>
      <c r="AW18" s="335"/>
      <c r="AY18" s="3">
        <v>2025</v>
      </c>
      <c r="AZ18" s="707">
        <f>C18*Bioplastics!AL23</f>
        <v>317.11756746264888</v>
      </c>
      <c r="BD18" s="3">
        <v>2025</v>
      </c>
      <c r="BE18" s="1131">
        <f t="shared" si="1"/>
        <v>0.47</v>
      </c>
      <c r="BF18" s="1131">
        <f t="shared" si="2"/>
        <v>0.3329000000000002</v>
      </c>
      <c r="BG18" s="1131">
        <f t="shared" si="3"/>
        <v>0.1970999999999998</v>
      </c>
    </row>
    <row r="19" spans="2:59" ht="14.4" x14ac:dyDescent="0.55000000000000004">
      <c r="B19" s="3">
        <v>2026</v>
      </c>
      <c r="C19" s="707">
        <v>2449.9180750781911</v>
      </c>
      <c r="D19" s="965"/>
      <c r="E19" s="965"/>
      <c r="F19" s="965"/>
      <c r="G19" s="965"/>
      <c r="H19" s="965"/>
      <c r="I19" s="965"/>
      <c r="J19" s="965"/>
      <c r="K19" s="965"/>
      <c r="L19" s="965"/>
      <c r="N19" s="3">
        <v>2026</v>
      </c>
      <c r="O19" s="707">
        <f>C19*Compost!J18/100</f>
        <v>1154.6653528194031</v>
      </c>
      <c r="P19" s="1130"/>
      <c r="Q19" s="1130"/>
      <c r="R19" s="1130"/>
      <c r="S19" s="1130"/>
      <c r="T19" s="1130"/>
      <c r="U19" s="1130"/>
      <c r="V19" s="1130"/>
      <c r="W19" s="1130"/>
      <c r="X19" s="1130"/>
      <c r="AA19" s="3">
        <v>2026</v>
      </c>
      <c r="AB19" s="1243">
        <f>C19*'H&amp;C Recycling'!M16/100</f>
        <v>810.92288285088182</v>
      </c>
      <c r="AC19" s="1129"/>
      <c r="AD19" s="1129"/>
      <c r="AE19" s="1129"/>
      <c r="AF19" s="1129"/>
      <c r="AG19" s="1129"/>
      <c r="AH19" s="528"/>
      <c r="AI19" s="528"/>
      <c r="AJ19" s="528"/>
      <c r="AK19" s="528"/>
      <c r="AM19" s="3">
        <v>2026</v>
      </c>
      <c r="AN19" s="707">
        <f t="shared" si="0"/>
        <v>484.32983940790621</v>
      </c>
      <c r="AO19" s="335"/>
      <c r="AP19" s="335"/>
      <c r="AQ19" s="335"/>
      <c r="AR19" s="335"/>
      <c r="AS19" s="335"/>
      <c r="AT19" s="335"/>
      <c r="AU19" s="335"/>
      <c r="AV19" s="335"/>
      <c r="AW19" s="335"/>
      <c r="AY19" s="3">
        <v>2026</v>
      </c>
      <c r="AZ19" s="707">
        <f>C19*Bioplastics!AL24</f>
        <v>326.40580647666104</v>
      </c>
      <c r="BD19" s="3">
        <v>2026</v>
      </c>
      <c r="BE19" s="1131">
        <f t="shared" si="1"/>
        <v>0.47130774068130871</v>
      </c>
      <c r="BF19" s="1131">
        <f t="shared" si="2"/>
        <v>0.33100000000000024</v>
      </c>
      <c r="BG19" s="1131">
        <f t="shared" si="3"/>
        <v>0.19769225931869105</v>
      </c>
    </row>
    <row r="20" spans="2:59" ht="14.4" x14ac:dyDescent="0.55000000000000004">
      <c r="B20" s="3">
        <v>2027</v>
      </c>
      <c r="C20" s="707">
        <v>2495.0576024378797</v>
      </c>
      <c r="D20" s="965"/>
      <c r="E20" s="965"/>
      <c r="F20" s="965"/>
      <c r="G20" s="965"/>
      <c r="H20" s="965"/>
      <c r="I20" s="965"/>
      <c r="J20" s="965"/>
      <c r="K20" s="965"/>
      <c r="L20" s="965"/>
      <c r="N20" s="3">
        <v>2027</v>
      </c>
      <c r="O20" s="707">
        <f>C20*Compost!J19/100</f>
        <v>1177.952523115335</v>
      </c>
      <c r="P20" s="1130"/>
      <c r="Q20" s="1130"/>
      <c r="R20" s="1130"/>
      <c r="S20" s="1130"/>
      <c r="T20" s="1130"/>
      <c r="U20" s="1130"/>
      <c r="V20" s="1130"/>
      <c r="W20" s="1130"/>
      <c r="X20" s="1130"/>
      <c r="AA20" s="3">
        <v>2027</v>
      </c>
      <c r="AB20" s="1243">
        <f>C20*'H&amp;C Recycling'!M17/100</f>
        <v>821.12345696230682</v>
      </c>
      <c r="AC20" s="1129"/>
      <c r="AD20" s="1129"/>
      <c r="AE20" s="1129"/>
      <c r="AF20" s="1129"/>
      <c r="AG20" s="1129"/>
      <c r="AH20" s="528"/>
      <c r="AI20" s="528"/>
      <c r="AJ20" s="528"/>
      <c r="AK20" s="528"/>
      <c r="AM20" s="3">
        <v>2027</v>
      </c>
      <c r="AN20" s="707">
        <f t="shared" si="0"/>
        <v>495.98162236023791</v>
      </c>
      <c r="AO20" s="335"/>
      <c r="AP20" s="335"/>
      <c r="AQ20" s="335"/>
      <c r="AR20" s="335"/>
      <c r="AS20" s="335"/>
      <c r="AT20" s="335"/>
      <c r="AU20" s="335"/>
      <c r="AV20" s="335"/>
      <c r="AW20" s="335"/>
      <c r="AY20" s="3">
        <v>2027</v>
      </c>
      <c r="AZ20" s="707">
        <f>C20*Bioplastics!AL25</f>
        <v>335.87421801706392</v>
      </c>
      <c r="BD20" s="3">
        <v>2027</v>
      </c>
      <c r="BE20" s="1131">
        <f t="shared" si="1"/>
        <v>0.47211435999087836</v>
      </c>
      <c r="BF20" s="1131">
        <f t="shared" si="2"/>
        <v>0.32910000000000023</v>
      </c>
      <c r="BG20" s="1131">
        <f t="shared" si="3"/>
        <v>0.19878564000912141</v>
      </c>
    </row>
    <row r="21" spans="2:59" ht="14.4" x14ac:dyDescent="0.55000000000000004">
      <c r="B21" s="3">
        <v>2028</v>
      </c>
      <c r="C21" s="707">
        <v>2539.731549883209</v>
      </c>
      <c r="D21" s="965"/>
      <c r="E21" s="965"/>
      <c r="F21" s="965"/>
      <c r="G21" s="965"/>
      <c r="H21" s="965"/>
      <c r="I21" s="965"/>
      <c r="J21" s="965"/>
      <c r="K21" s="965"/>
      <c r="L21" s="965"/>
      <c r="N21" s="3">
        <v>2028</v>
      </c>
      <c r="O21" s="707">
        <f>C21*Compost!J20/100</f>
        <v>1200.9173898220702</v>
      </c>
      <c r="P21" s="1130"/>
      <c r="Q21" s="1130"/>
      <c r="R21" s="1130"/>
      <c r="S21" s="1130"/>
      <c r="T21" s="1130"/>
      <c r="U21" s="1130"/>
      <c r="V21" s="1130"/>
      <c r="W21" s="1130"/>
      <c r="X21" s="1130"/>
      <c r="AA21" s="3">
        <v>2028</v>
      </c>
      <c r="AB21" s="1243">
        <f>C21*'H&amp;C Recycling'!M18/100</f>
        <v>831.00016312178673</v>
      </c>
      <c r="AC21" s="1129"/>
      <c r="AD21" s="1129"/>
      <c r="AE21" s="1129"/>
      <c r="AF21" s="1129"/>
      <c r="AG21" s="1129"/>
      <c r="AH21" s="528"/>
      <c r="AI21" s="528"/>
      <c r="AJ21" s="528"/>
      <c r="AK21" s="528"/>
      <c r="AM21" s="3">
        <v>2028</v>
      </c>
      <c r="AN21" s="707">
        <f t="shared" si="0"/>
        <v>507.81399693935214</v>
      </c>
      <c r="AO21" s="335"/>
      <c r="AP21" s="335"/>
      <c r="AQ21" s="335"/>
      <c r="AR21" s="335"/>
      <c r="AS21" s="335"/>
      <c r="AT21" s="335"/>
      <c r="AU21" s="335"/>
      <c r="AV21" s="335"/>
      <c r="AW21" s="335"/>
      <c r="AY21" s="3">
        <v>2028</v>
      </c>
      <c r="AZ21" s="707">
        <f>C21*Bioplastics!AL26</f>
        <v>345.52774301711798</v>
      </c>
      <c r="BD21" s="3">
        <v>2028</v>
      </c>
      <c r="BE21" s="1131">
        <f t="shared" si="1"/>
        <v>0.47285209725307187</v>
      </c>
      <c r="BF21" s="1131">
        <f t="shared" si="2"/>
        <v>0.32720000000000027</v>
      </c>
      <c r="BG21" s="1131">
        <f t="shared" si="3"/>
        <v>0.19994790274692781</v>
      </c>
    </row>
    <row r="22" spans="2:59" ht="14.4" x14ac:dyDescent="0.55000000000000004">
      <c r="B22" s="3">
        <v>2029</v>
      </c>
      <c r="C22" s="707">
        <v>2583.9516360536154</v>
      </c>
      <c r="D22" s="965"/>
      <c r="E22" s="965"/>
      <c r="F22" s="965"/>
      <c r="G22" s="965"/>
      <c r="H22" s="965"/>
      <c r="I22" s="965"/>
      <c r="J22" s="965"/>
      <c r="K22" s="965"/>
      <c r="L22" s="965"/>
      <c r="N22" s="3">
        <v>2029</v>
      </c>
      <c r="O22" s="707">
        <f>C22*Compost!J21/100</f>
        <v>1223.5699434085859</v>
      </c>
      <c r="P22" s="1130"/>
      <c r="Q22" s="1130"/>
      <c r="R22" s="1130"/>
      <c r="S22" s="1130"/>
      <c r="T22" s="1130"/>
      <c r="U22" s="1130"/>
      <c r="V22" s="1130"/>
      <c r="W22" s="1130"/>
      <c r="X22" s="1130"/>
      <c r="AA22" s="3">
        <v>2029</v>
      </c>
      <c r="AB22" s="1243">
        <f>C22*'H&amp;C Recycling'!M19/100</f>
        <v>840.55946720824181</v>
      </c>
      <c r="AC22" s="1129"/>
      <c r="AD22" s="1129"/>
      <c r="AE22" s="1129"/>
      <c r="AF22" s="1129"/>
      <c r="AG22" s="1129"/>
      <c r="AH22" s="528"/>
      <c r="AI22" s="528"/>
      <c r="AJ22" s="528"/>
      <c r="AK22" s="528"/>
      <c r="AM22" s="3">
        <v>2029</v>
      </c>
      <c r="AN22" s="707">
        <f t="shared" si="0"/>
        <v>519.82222543678768</v>
      </c>
      <c r="AO22" s="335"/>
      <c r="AP22" s="335"/>
      <c r="AQ22" s="335"/>
      <c r="AR22" s="335"/>
      <c r="AS22" s="335"/>
      <c r="AT22" s="335"/>
      <c r="AU22" s="335"/>
      <c r="AV22" s="335"/>
      <c r="AW22" s="335"/>
      <c r="AY22" s="3">
        <v>2029</v>
      </c>
      <c r="AZ22" s="707">
        <f>C22*Bioplastics!AL27</f>
        <v>355.37095102546516</v>
      </c>
      <c r="BD22" s="3">
        <v>2029</v>
      </c>
      <c r="BE22" s="1131">
        <f t="shared" si="1"/>
        <v>0.47352664281182294</v>
      </c>
      <c r="BF22" s="1131">
        <f t="shared" si="2"/>
        <v>0.32530000000000026</v>
      </c>
      <c r="BG22" s="1131">
        <f t="shared" si="3"/>
        <v>0.20117335718817675</v>
      </c>
    </row>
    <row r="23" spans="2:59" ht="14.4" x14ac:dyDescent="0.55000000000000004">
      <c r="B23" s="3">
        <v>2030</v>
      </c>
      <c r="C23" s="707">
        <v>2630.7549019692192</v>
      </c>
      <c r="D23" s="965"/>
      <c r="E23" s="965"/>
      <c r="F23" s="965"/>
      <c r="G23" s="965"/>
      <c r="H23" s="965"/>
      <c r="I23" s="965"/>
      <c r="J23" s="965"/>
      <c r="K23" s="965"/>
      <c r="L23" s="965"/>
      <c r="N23" s="3">
        <v>2030</v>
      </c>
      <c r="O23" s="707">
        <f>C23*Compost!J22/100</f>
        <v>1247.3546766109268</v>
      </c>
      <c r="P23" s="1130"/>
      <c r="Q23" s="1130"/>
      <c r="R23" s="1130"/>
      <c r="S23" s="1130"/>
      <c r="T23" s="1130"/>
      <c r="U23" s="1130"/>
      <c r="V23" s="1130"/>
      <c r="W23" s="1130"/>
      <c r="X23" s="1130"/>
      <c r="AA23" s="3">
        <v>2030</v>
      </c>
      <c r="AB23" s="1243">
        <f>C23*'H&amp;C Recycling'!M20/100</f>
        <v>850.78613529684628</v>
      </c>
      <c r="AC23" s="1129"/>
      <c r="AD23" s="1129"/>
      <c r="AE23" s="1129"/>
      <c r="AF23" s="1129"/>
      <c r="AG23" s="1129"/>
      <c r="AH23" s="528"/>
      <c r="AI23" s="528"/>
      <c r="AJ23" s="528"/>
      <c r="AK23" s="528"/>
      <c r="AM23" s="3">
        <v>2030</v>
      </c>
      <c r="AN23" s="707">
        <f t="shared" si="0"/>
        <v>532.61409006144606</v>
      </c>
      <c r="AO23" s="335"/>
      <c r="AP23" s="335"/>
      <c r="AQ23" s="335"/>
      <c r="AR23" s="335"/>
      <c r="AS23" s="335"/>
      <c r="AT23" s="335"/>
      <c r="AU23" s="335"/>
      <c r="AV23" s="335"/>
      <c r="AW23" s="335"/>
      <c r="AY23" s="3">
        <v>2030</v>
      </c>
      <c r="AZ23" s="707">
        <f>C23*Bioplastics!AL28</f>
        <v>365.40786438957912</v>
      </c>
      <c r="BD23" s="3">
        <v>2030</v>
      </c>
      <c r="BE23" s="1131">
        <f t="shared" si="1"/>
        <v>0.47414324902606275</v>
      </c>
      <c r="BF23" s="1131">
        <f t="shared" si="2"/>
        <v>0.3234000000000003</v>
      </c>
      <c r="BG23" s="1131">
        <f t="shared" si="3"/>
        <v>0.20245675097393692</v>
      </c>
    </row>
    <row r="24" spans="2:59" ht="14.4" x14ac:dyDescent="0.55000000000000004">
      <c r="B24" s="3">
        <v>2031</v>
      </c>
      <c r="C24" s="707">
        <v>2671.0676895055658</v>
      </c>
      <c r="D24" s="965"/>
      <c r="E24" s="965"/>
      <c r="F24" s="965"/>
      <c r="G24" s="965"/>
      <c r="H24" s="965"/>
      <c r="I24" s="965"/>
      <c r="J24" s="965"/>
      <c r="K24" s="965"/>
      <c r="L24" s="965"/>
      <c r="N24" s="3">
        <v>2031</v>
      </c>
      <c r="O24" s="707">
        <f>C24*Compost!J23/100</f>
        <v>1267.97388472032</v>
      </c>
      <c r="P24" s="1130"/>
      <c r="Q24" s="1130"/>
      <c r="R24" s="1130"/>
      <c r="S24" s="1130"/>
      <c r="T24" s="1130"/>
      <c r="U24" s="1130"/>
      <c r="V24" s="1130"/>
      <c r="W24" s="1130"/>
      <c r="X24" s="1130"/>
      <c r="AA24" s="3">
        <v>2031</v>
      </c>
      <c r="AB24" s="1243">
        <f>C24*'H&amp;C Recycling'!M21/100</f>
        <v>858.74826217604027</v>
      </c>
      <c r="AC24" s="1129"/>
      <c r="AD24" s="1129"/>
      <c r="AE24" s="1129"/>
      <c r="AF24" s="1129"/>
      <c r="AG24" s="1129"/>
      <c r="AH24" s="528"/>
      <c r="AI24" s="528"/>
      <c r="AJ24" s="528"/>
      <c r="AK24" s="528"/>
      <c r="AM24" s="3">
        <v>2031</v>
      </c>
      <c r="AN24" s="707">
        <f t="shared" si="0"/>
        <v>544.34554260920549</v>
      </c>
      <c r="AO24" s="335"/>
      <c r="AP24" s="335"/>
      <c r="AQ24" s="335"/>
      <c r="AR24" s="335"/>
      <c r="AS24" s="335"/>
      <c r="AT24" s="335"/>
      <c r="AU24" s="335"/>
      <c r="AV24" s="335"/>
      <c r="AW24" s="335"/>
      <c r="AY24" s="3">
        <v>2031</v>
      </c>
      <c r="AZ24" s="707">
        <f>C24*Bioplastics!AL29</f>
        <v>375.64180154204911</v>
      </c>
      <c r="BD24" s="3">
        <v>2031</v>
      </c>
      <c r="BE24" s="1131">
        <f t="shared" si="1"/>
        <v>0.47470675853783073</v>
      </c>
      <c r="BF24" s="1131">
        <f t="shared" si="2"/>
        <v>0.32150000000000034</v>
      </c>
      <c r="BG24" s="1131">
        <f t="shared" si="3"/>
        <v>0.20379324146216896</v>
      </c>
    </row>
    <row r="25" spans="2:59" ht="14.4" x14ac:dyDescent="0.55000000000000004">
      <c r="B25" s="3">
        <v>2032</v>
      </c>
      <c r="C25" s="707">
        <v>2713.0477280924774</v>
      </c>
      <c r="D25" s="965"/>
      <c r="E25" s="965"/>
      <c r="F25" s="965"/>
      <c r="G25" s="965"/>
      <c r="H25" s="965"/>
      <c r="I25" s="965"/>
      <c r="J25" s="965"/>
      <c r="K25" s="965"/>
      <c r="L25" s="965"/>
      <c r="N25" s="3">
        <v>2032</v>
      </c>
      <c r="O25" s="707">
        <f>C25*Compost!J24/100</f>
        <v>1289.2989681742556</v>
      </c>
      <c r="P25" s="1130"/>
      <c r="Q25" s="1130"/>
      <c r="R25" s="1130"/>
      <c r="S25" s="1130"/>
      <c r="T25" s="1130"/>
      <c r="U25" s="1130"/>
      <c r="V25" s="1130"/>
      <c r="W25" s="1130"/>
      <c r="X25" s="1130"/>
      <c r="AA25" s="3">
        <v>2032</v>
      </c>
      <c r="AB25" s="1243">
        <f>C25*'H&amp;C Recycling'!M22/100</f>
        <v>867.0900538983567</v>
      </c>
      <c r="AC25" s="1129"/>
      <c r="AD25" s="1129"/>
      <c r="AE25" s="1129"/>
      <c r="AF25" s="1129"/>
      <c r="AG25" s="1129"/>
      <c r="AH25" s="528"/>
      <c r="AI25" s="528"/>
      <c r="AJ25" s="528"/>
      <c r="AK25" s="528"/>
      <c r="AM25" s="3">
        <v>2032</v>
      </c>
      <c r="AN25" s="707">
        <f t="shared" si="0"/>
        <v>556.65870601986512</v>
      </c>
      <c r="AO25" s="335"/>
      <c r="AP25" s="335"/>
      <c r="AQ25" s="335"/>
      <c r="AR25" s="335"/>
      <c r="AS25" s="335"/>
      <c r="AT25" s="335"/>
      <c r="AU25" s="335"/>
      <c r="AV25" s="335"/>
      <c r="AW25" s="335"/>
      <c r="AY25" s="3">
        <v>2032</v>
      </c>
      <c r="AZ25" s="707">
        <f>C25*Bioplastics!AL30</f>
        <v>386.07545162912402</v>
      </c>
      <c r="BD25" s="3">
        <v>2032</v>
      </c>
      <c r="BE25" s="1131">
        <f t="shared" si="1"/>
        <v>0.47522163168163339</v>
      </c>
      <c r="BF25" s="1131">
        <f t="shared" si="2"/>
        <v>0.31960000000000033</v>
      </c>
      <c r="BG25" s="1131">
        <f t="shared" si="3"/>
        <v>0.20517836831836625</v>
      </c>
    </row>
    <row r="26" spans="2:59" ht="14.4" x14ac:dyDescent="0.55000000000000004">
      <c r="B26" s="3">
        <v>2033</v>
      </c>
      <c r="C26" s="707">
        <v>2754.6471629240004</v>
      </c>
      <c r="D26" s="965"/>
      <c r="E26" s="965"/>
      <c r="F26" s="965"/>
      <c r="G26" s="965"/>
      <c r="H26" s="965"/>
      <c r="I26" s="965"/>
      <c r="J26" s="965"/>
      <c r="K26" s="965"/>
      <c r="L26" s="965"/>
      <c r="N26" s="3">
        <v>2033</v>
      </c>
      <c r="O26" s="707">
        <f>C26*Compost!J25/100</f>
        <v>1310.363543472585</v>
      </c>
      <c r="P26" s="1130"/>
      <c r="Q26" s="1130"/>
      <c r="R26" s="1130"/>
      <c r="S26" s="1130"/>
      <c r="T26" s="1130"/>
      <c r="U26" s="1130"/>
      <c r="V26" s="1130"/>
      <c r="W26" s="1130"/>
      <c r="X26" s="1130"/>
      <c r="AA26" s="3">
        <v>2033</v>
      </c>
      <c r="AB26" s="1243">
        <f>C26*'H&amp;C Recycling'!M23/100</f>
        <v>875.15140366095579</v>
      </c>
      <c r="AC26" s="1129"/>
      <c r="AD26" s="1129"/>
      <c r="AE26" s="1129"/>
      <c r="AF26" s="1129"/>
      <c r="AG26" s="1129"/>
      <c r="AH26" s="528"/>
      <c r="AI26" s="528"/>
      <c r="AJ26" s="528"/>
      <c r="AK26" s="528"/>
      <c r="AM26" s="3">
        <v>2033</v>
      </c>
      <c r="AN26" s="707">
        <f t="shared" si="0"/>
        <v>569.13221579045967</v>
      </c>
      <c r="AO26" s="335"/>
      <c r="AP26" s="335"/>
      <c r="AQ26" s="335"/>
      <c r="AR26" s="335"/>
      <c r="AS26" s="335"/>
      <c r="AT26" s="335"/>
      <c r="AU26" s="335"/>
      <c r="AV26" s="335"/>
      <c r="AW26" s="335"/>
      <c r="AY26" s="3">
        <v>2033</v>
      </c>
      <c r="AZ26" s="707">
        <f>C26*Bioplastics!AL31</f>
        <v>396.71095811012998</v>
      </c>
      <c r="BD26" s="3">
        <v>2033</v>
      </c>
      <c r="BE26" s="1131">
        <f t="shared" si="1"/>
        <v>0.47569197286292791</v>
      </c>
      <c r="BF26" s="1131">
        <f t="shared" si="2"/>
        <v>0.31770000000000032</v>
      </c>
      <c r="BG26" s="1131">
        <f t="shared" si="3"/>
        <v>0.20660802713707177</v>
      </c>
    </row>
    <row r="27" spans="2:59" ht="14.4" x14ac:dyDescent="0.55000000000000004">
      <c r="B27" s="3">
        <v>2034</v>
      </c>
      <c r="C27" s="707">
        <v>2795.9182687269372</v>
      </c>
      <c r="D27" s="965"/>
      <c r="E27" s="965"/>
      <c r="F27" s="965"/>
      <c r="G27" s="965"/>
      <c r="H27" s="965"/>
      <c r="I27" s="965"/>
      <c r="J27" s="965"/>
      <c r="K27" s="965"/>
      <c r="L27" s="965"/>
      <c r="N27" s="3">
        <v>2034</v>
      </c>
      <c r="O27" s="707">
        <f>C27*Compost!J26/100</f>
        <v>1331.1969559513291</v>
      </c>
      <c r="P27" s="1130"/>
      <c r="Q27" s="1130"/>
      <c r="R27" s="1130"/>
      <c r="S27" s="1130"/>
      <c r="T27" s="1130"/>
      <c r="U27" s="1130"/>
      <c r="V27" s="1130"/>
      <c r="W27" s="1130"/>
      <c r="X27" s="1130"/>
      <c r="AA27" s="3">
        <v>2034</v>
      </c>
      <c r="AB27" s="1243">
        <f>C27*'H&amp;C Recycling'!M24/100</f>
        <v>882.95098926396759</v>
      </c>
      <c r="AC27" s="1129"/>
      <c r="AD27" s="1129"/>
      <c r="AE27" s="1129"/>
      <c r="AF27" s="1129"/>
      <c r="AG27" s="1129"/>
      <c r="AH27" s="528"/>
      <c r="AI27" s="528"/>
      <c r="AJ27" s="528"/>
      <c r="AK27" s="528"/>
      <c r="AM27" s="3">
        <v>2034</v>
      </c>
      <c r="AN27" s="707">
        <f t="shared" si="0"/>
        <v>581.77032351164053</v>
      </c>
      <c r="AO27" s="335"/>
      <c r="AP27" s="335"/>
      <c r="AQ27" s="335"/>
      <c r="AR27" s="335"/>
      <c r="AS27" s="335"/>
      <c r="AT27" s="335"/>
      <c r="AU27" s="335"/>
      <c r="AV27" s="335"/>
      <c r="AW27" s="335"/>
      <c r="AY27" s="3">
        <v>2034</v>
      </c>
      <c r="AZ27" s="707">
        <f>C27*Bioplastics!AL32</f>
        <v>407.54984895826954</v>
      </c>
      <c r="BD27" s="3">
        <v>2034</v>
      </c>
      <c r="BE27" s="1131">
        <f t="shared" si="1"/>
        <v>0.47612155578405435</v>
      </c>
      <c r="BF27" s="1131">
        <f t="shared" si="2"/>
        <v>0.3158000000000003</v>
      </c>
      <c r="BG27" s="1131">
        <f t="shared" si="3"/>
        <v>0.20807844421594535</v>
      </c>
    </row>
    <row r="28" spans="2:59" ht="14.4" x14ac:dyDescent="0.55000000000000004">
      <c r="B28" s="3">
        <v>2035</v>
      </c>
      <c r="C28" s="707">
        <v>2837.0275955231041</v>
      </c>
      <c r="D28" s="965"/>
      <c r="E28" s="965"/>
      <c r="F28" s="965"/>
      <c r="G28" s="965"/>
      <c r="H28" s="965"/>
      <c r="I28" s="965"/>
      <c r="J28" s="965"/>
      <c r="K28" s="965"/>
      <c r="L28" s="965"/>
      <c r="N28" s="3">
        <v>2035</v>
      </c>
      <c r="O28" s="707">
        <f>C28*Compost!J27/100</f>
        <v>1351.8829348290292</v>
      </c>
      <c r="P28" s="1130"/>
      <c r="Q28" s="1130"/>
      <c r="R28" s="1130"/>
      <c r="S28" s="1130"/>
      <c r="T28" s="1130"/>
      <c r="U28" s="1130"/>
      <c r="V28" s="1130"/>
      <c r="W28" s="1130"/>
      <c r="X28" s="1130"/>
      <c r="AA28" s="3">
        <v>2035</v>
      </c>
      <c r="AB28" s="1243">
        <f>C28*'H&amp;C Recycling'!M25/100</f>
        <v>890.54296223470317</v>
      </c>
      <c r="AC28" s="1129"/>
      <c r="AD28" s="1129"/>
      <c r="AE28" s="1129"/>
      <c r="AF28" s="1129"/>
      <c r="AG28" s="1129"/>
      <c r="AH28" s="528"/>
      <c r="AI28" s="528"/>
      <c r="AJ28" s="528"/>
      <c r="AK28" s="528"/>
      <c r="AM28" s="3">
        <v>2035</v>
      </c>
      <c r="AN28" s="707">
        <f t="shared" si="0"/>
        <v>594.60169845937173</v>
      </c>
      <c r="AO28" s="335"/>
      <c r="AP28" s="335"/>
      <c r="AQ28" s="335"/>
      <c r="AR28" s="335"/>
      <c r="AS28" s="335"/>
      <c r="AT28" s="335"/>
      <c r="AU28" s="335"/>
      <c r="AV28" s="335"/>
      <c r="AW28" s="335"/>
      <c r="AY28" s="3">
        <v>2035</v>
      </c>
      <c r="AZ28" s="707">
        <f>C28*Bioplastics!AL33</f>
        <v>418.59297059231375</v>
      </c>
      <c r="BD28" s="3">
        <v>2035</v>
      </c>
      <c r="BE28" s="1131">
        <f t="shared" si="1"/>
        <v>0.47651384743748426</v>
      </c>
      <c r="BF28" s="1131">
        <f t="shared" si="2"/>
        <v>0.31390000000000029</v>
      </c>
      <c r="BG28" s="1131">
        <f t="shared" si="3"/>
        <v>0.20958615256251548</v>
      </c>
    </row>
    <row r="29" spans="2:59" ht="14.4" x14ac:dyDescent="0.55000000000000004">
      <c r="B29" s="3">
        <v>2036</v>
      </c>
      <c r="C29" s="707">
        <v>2877.593182128237</v>
      </c>
      <c r="D29" s="965"/>
      <c r="E29" s="965"/>
      <c r="F29" s="965"/>
      <c r="G29" s="965"/>
      <c r="H29" s="965"/>
      <c r="I29" s="965"/>
      <c r="J29" s="965"/>
      <c r="K29" s="965"/>
      <c r="L29" s="965"/>
      <c r="N29" s="3">
        <v>2036</v>
      </c>
      <c r="O29" s="707">
        <f>C29*Compost!J28/100</f>
        <v>1372.2437046355562</v>
      </c>
      <c r="P29" s="1130"/>
      <c r="Q29" s="1130"/>
      <c r="R29" s="1130"/>
      <c r="S29" s="1130"/>
      <c r="T29" s="1130"/>
      <c r="U29" s="1130"/>
      <c r="V29" s="1130"/>
      <c r="W29" s="1130"/>
      <c r="X29" s="1130"/>
      <c r="AA29" s="3">
        <v>2036</v>
      </c>
      <c r="AB29" s="1243">
        <f>C29*'H&amp;C Recycling'!M26/100</f>
        <v>897.80907282401085</v>
      </c>
      <c r="AC29" s="1129"/>
      <c r="AD29" s="1129"/>
      <c r="AE29" s="1129"/>
      <c r="AF29" s="1129"/>
      <c r="AG29" s="1129"/>
      <c r="AH29" s="528"/>
      <c r="AI29" s="528"/>
      <c r="AJ29" s="528"/>
      <c r="AK29" s="528"/>
      <c r="AM29" s="3">
        <v>2036</v>
      </c>
      <c r="AN29" s="707">
        <f t="shared" si="0"/>
        <v>607.54040466866991</v>
      </c>
      <c r="AO29" s="335"/>
      <c r="AP29" s="335"/>
      <c r="AQ29" s="335"/>
      <c r="AR29" s="335"/>
      <c r="AS29" s="335"/>
      <c r="AT29" s="335"/>
      <c r="AU29" s="335"/>
      <c r="AV29" s="335"/>
      <c r="AW29" s="335"/>
      <c r="AY29" s="3">
        <v>2036</v>
      </c>
      <c r="AZ29" s="707">
        <f>C29*Bioplastics!AL34</f>
        <v>429.84041128086119</v>
      </c>
      <c r="BD29" s="3">
        <v>2036</v>
      </c>
      <c r="BE29" s="1131">
        <f t="shared" si="1"/>
        <v>0.47687203082009649</v>
      </c>
      <c r="BF29" s="1131">
        <f t="shared" si="2"/>
        <v>0.31200000000000033</v>
      </c>
      <c r="BG29" s="1131">
        <f t="shared" si="3"/>
        <v>0.21112796917990317</v>
      </c>
    </row>
    <row r="30" spans="2:59" ht="14.4" x14ac:dyDescent="0.55000000000000004">
      <c r="B30" s="3">
        <v>2037</v>
      </c>
      <c r="C30" s="707">
        <v>2918.0432097870271</v>
      </c>
      <c r="D30" s="965"/>
      <c r="E30" s="965"/>
      <c r="F30" s="965"/>
      <c r="G30" s="965"/>
      <c r="H30" s="965"/>
      <c r="I30" s="965"/>
      <c r="J30" s="965"/>
      <c r="K30" s="965"/>
      <c r="L30" s="965"/>
      <c r="N30" s="3">
        <v>2037</v>
      </c>
      <c r="O30" s="707">
        <f>C30*Compost!J29/100</f>
        <v>1392.4873785559694</v>
      </c>
      <c r="P30" s="1130"/>
      <c r="Q30" s="1130"/>
      <c r="R30" s="1130"/>
      <c r="S30" s="1130"/>
      <c r="T30" s="1130"/>
      <c r="U30" s="1130"/>
      <c r="V30" s="1130"/>
      <c r="W30" s="1130"/>
      <c r="X30" s="1130"/>
      <c r="AA30" s="3">
        <v>2037</v>
      </c>
      <c r="AB30" s="1243">
        <f>C30*'H&amp;C Recycling'!M27/100</f>
        <v>904.88519935495788</v>
      </c>
      <c r="AC30" s="1129"/>
      <c r="AD30" s="1129"/>
      <c r="AE30" s="1129"/>
      <c r="AF30" s="1129"/>
      <c r="AG30" s="1129"/>
      <c r="AH30" s="528"/>
      <c r="AI30" s="528"/>
      <c r="AJ30" s="528"/>
      <c r="AK30" s="528"/>
      <c r="AM30" s="3">
        <v>2037</v>
      </c>
      <c r="AN30" s="707">
        <f t="shared" si="0"/>
        <v>620.67063187609983</v>
      </c>
      <c r="AO30" s="335"/>
      <c r="AP30" s="335"/>
      <c r="AQ30" s="335"/>
      <c r="AR30" s="335"/>
      <c r="AS30" s="335"/>
      <c r="AT30" s="335"/>
      <c r="AU30" s="335"/>
      <c r="AV30" s="335"/>
      <c r="AW30" s="335"/>
      <c r="AY30" s="3">
        <v>2037</v>
      </c>
      <c r="AZ30" s="707">
        <f>C30*Bioplastics!AL35</f>
        <v>441.29169627121814</v>
      </c>
      <c r="BD30" s="3">
        <v>2037</v>
      </c>
      <c r="BE30" s="1131">
        <f t="shared" si="1"/>
        <v>0.47719902634944183</v>
      </c>
      <c r="BF30" s="1131">
        <f t="shared" si="2"/>
        <v>0.31010000000000026</v>
      </c>
      <c r="BG30" s="1131">
        <f t="shared" si="3"/>
        <v>0.2127009736505579</v>
      </c>
    </row>
    <row r="31" spans="2:59" ht="14.4" x14ac:dyDescent="0.55000000000000004">
      <c r="B31" s="3">
        <v>2038</v>
      </c>
      <c r="C31" s="707">
        <v>2958.2622662500853</v>
      </c>
      <c r="D31" s="965"/>
      <c r="E31" s="965"/>
      <c r="F31" s="965"/>
      <c r="G31" s="965"/>
      <c r="H31" s="965"/>
      <c r="I31" s="965"/>
      <c r="J31" s="965"/>
      <c r="K31" s="965"/>
      <c r="L31" s="965"/>
      <c r="N31" s="3">
        <v>2038</v>
      </c>
      <c r="O31" s="707">
        <f>C31*Compost!J30/100</f>
        <v>1412.5628719322981</v>
      </c>
      <c r="P31" s="1130"/>
      <c r="Q31" s="1130"/>
      <c r="R31" s="1130"/>
      <c r="S31" s="1130"/>
      <c r="T31" s="1130"/>
      <c r="U31" s="1130"/>
      <c r="V31" s="1130"/>
      <c r="W31" s="1130"/>
      <c r="X31" s="1130"/>
      <c r="AA31" s="3">
        <v>2038</v>
      </c>
      <c r="AB31" s="1243">
        <f>C31*'H&amp;C Recycling'!M28/100</f>
        <v>911.73643045827703</v>
      </c>
      <c r="AC31" s="1129"/>
      <c r="AD31" s="1129"/>
      <c r="AE31" s="1129"/>
      <c r="AF31" s="1129"/>
      <c r="AG31" s="1129"/>
      <c r="AH31" s="528"/>
      <c r="AI31" s="528"/>
      <c r="AJ31" s="528"/>
      <c r="AK31" s="528"/>
      <c r="AM31" s="3">
        <v>2038</v>
      </c>
      <c r="AN31" s="707">
        <f t="shared" si="0"/>
        <v>633.96296385951018</v>
      </c>
      <c r="AO31" s="335"/>
      <c r="AP31" s="335"/>
      <c r="AQ31" s="335"/>
      <c r="AR31" s="335"/>
      <c r="AS31" s="335"/>
      <c r="AT31" s="335"/>
      <c r="AU31" s="335"/>
      <c r="AV31" s="335"/>
      <c r="AW31" s="335"/>
      <c r="AY31" s="3">
        <v>2038</v>
      </c>
      <c r="AZ31" s="707">
        <f>C31*Bioplastics!AL36</f>
        <v>452.94598093298129</v>
      </c>
      <c r="BD31" s="3">
        <v>2038</v>
      </c>
      <c r="BE31" s="1131">
        <f t="shared" si="1"/>
        <v>0.47749751198458579</v>
      </c>
      <c r="BF31" s="1131">
        <f t="shared" si="2"/>
        <v>0.30820000000000025</v>
      </c>
      <c r="BG31" s="1131">
        <f t="shared" si="3"/>
        <v>0.21430248801541393</v>
      </c>
    </row>
    <row r="32" spans="2:59" ht="14.4" x14ac:dyDescent="0.55000000000000004">
      <c r="B32" s="3">
        <v>2039</v>
      </c>
      <c r="C32" s="707">
        <v>2998.2486488063391</v>
      </c>
      <c r="D32" s="965"/>
      <c r="E32" s="965"/>
      <c r="F32" s="965"/>
      <c r="G32" s="965"/>
      <c r="H32" s="965"/>
      <c r="I32" s="965"/>
      <c r="J32" s="965"/>
      <c r="K32" s="965"/>
      <c r="L32" s="965"/>
      <c r="N32" s="3">
        <v>2039</v>
      </c>
      <c r="O32" s="707">
        <f>C32*Compost!J31/100</f>
        <v>1432.4730832547109</v>
      </c>
      <c r="P32" s="1130"/>
      <c r="Q32" s="1130"/>
      <c r="R32" s="1130"/>
      <c r="S32" s="1130"/>
      <c r="T32" s="1130"/>
      <c r="U32" s="1130"/>
      <c r="V32" s="1130"/>
      <c r="W32" s="1130"/>
      <c r="X32" s="1130"/>
      <c r="AA32" s="3">
        <v>2039</v>
      </c>
      <c r="AB32" s="1243">
        <f>C32*'H&amp;C Recycling'!M29/100</f>
        <v>918.36356112938245</v>
      </c>
      <c r="AC32" s="1129"/>
      <c r="AD32" s="1129"/>
      <c r="AE32" s="1129"/>
      <c r="AF32" s="1129"/>
      <c r="AG32" s="1129"/>
      <c r="AH32" s="528"/>
      <c r="AI32" s="528"/>
      <c r="AJ32" s="528"/>
      <c r="AK32" s="528"/>
      <c r="AM32" s="3">
        <v>2039</v>
      </c>
      <c r="AN32" s="707">
        <f t="shared" si="0"/>
        <v>647.41200442224579</v>
      </c>
      <c r="AO32" s="335"/>
      <c r="AP32" s="335"/>
      <c r="AQ32" s="335"/>
      <c r="AR32" s="335"/>
      <c r="AS32" s="335"/>
      <c r="AT32" s="335"/>
      <c r="AU32" s="335"/>
      <c r="AV32" s="335"/>
      <c r="AW32" s="335"/>
      <c r="AY32" s="3">
        <v>2039</v>
      </c>
      <c r="AZ32" s="707">
        <f>C32*Bioplastics!AL37</f>
        <v>464.80197842811947</v>
      </c>
      <c r="BD32" s="3">
        <v>2039</v>
      </c>
      <c r="BE32" s="1131">
        <f t="shared" si="1"/>
        <v>0.47776994207101742</v>
      </c>
      <c r="BF32" s="1131">
        <f t="shared" si="2"/>
        <v>0.30630000000000024</v>
      </c>
      <c r="BG32" s="1131">
        <f t="shared" si="3"/>
        <v>0.21593005792898232</v>
      </c>
    </row>
    <row r="33" spans="2:59" ht="14.4" x14ac:dyDescent="0.55000000000000004">
      <c r="B33" s="3">
        <v>2040</v>
      </c>
      <c r="C33" s="707">
        <v>3034.5160714120425</v>
      </c>
      <c r="D33" s="965"/>
      <c r="E33" s="965"/>
      <c r="F33" s="965"/>
      <c r="G33" s="965"/>
      <c r="H33" s="965"/>
      <c r="I33" s="965"/>
      <c r="J33" s="965"/>
      <c r="K33" s="965"/>
      <c r="L33" s="965"/>
      <c r="N33" s="3">
        <v>2040</v>
      </c>
      <c r="O33" s="707">
        <f>C33*Compost!J32/100</f>
        <v>1450.5550177499715</v>
      </c>
      <c r="P33" s="1130"/>
      <c r="Q33" s="1130"/>
      <c r="R33" s="1130"/>
      <c r="S33" s="1130"/>
      <c r="T33" s="1130"/>
      <c r="U33" s="1130"/>
      <c r="V33" s="1130"/>
      <c r="W33" s="1130"/>
      <c r="X33" s="1130"/>
      <c r="AA33" s="3">
        <v>2040</v>
      </c>
      <c r="AB33" s="1243">
        <f>C33*'H&amp;C Recycling'!M30/100</f>
        <v>923.70669213782651</v>
      </c>
      <c r="AC33" s="1129"/>
      <c r="AD33" s="1129"/>
      <c r="AE33" s="1129"/>
      <c r="AF33" s="1129"/>
      <c r="AG33" s="1129"/>
      <c r="AH33" s="528"/>
      <c r="AI33" s="528"/>
      <c r="AJ33" s="528"/>
      <c r="AK33" s="528"/>
      <c r="AM33" s="3">
        <v>2040</v>
      </c>
      <c r="AN33" s="707">
        <f t="shared" si="0"/>
        <v>660.25436152424447</v>
      </c>
      <c r="AO33" s="335"/>
      <c r="AP33" s="335"/>
      <c r="AQ33" s="335"/>
      <c r="AR33" s="335"/>
      <c r="AS33" s="335"/>
      <c r="AT33" s="335"/>
      <c r="AU33" s="335"/>
      <c r="AV33" s="335"/>
      <c r="AW33" s="335"/>
      <c r="AY33" s="3">
        <v>2040</v>
      </c>
      <c r="AZ33" s="707">
        <f>C33*Bioplastics!AL38</f>
        <v>476.85789740991805</v>
      </c>
      <c r="BD33" s="3">
        <v>2040</v>
      </c>
      <c r="BE33" s="1131">
        <f t="shared" si="1"/>
        <v>0.47801856494204986</v>
      </c>
      <c r="BF33" s="1131">
        <f t="shared" si="2"/>
        <v>0.30440000000000028</v>
      </c>
      <c r="BG33" s="1131">
        <f t="shared" si="3"/>
        <v>0.21758143505794986</v>
      </c>
    </row>
    <row r="34" spans="2:59" ht="14.4" x14ac:dyDescent="0.55000000000000004">
      <c r="B34" s="3">
        <v>2041</v>
      </c>
      <c r="C34" s="707">
        <v>3077.4302876550992</v>
      </c>
      <c r="D34" s="965"/>
      <c r="E34" s="965"/>
      <c r="F34" s="965"/>
      <c r="G34" s="965"/>
      <c r="H34" s="965"/>
      <c r="I34" s="965"/>
      <c r="J34" s="965"/>
      <c r="K34" s="965"/>
      <c r="L34" s="965"/>
      <c r="N34" s="3">
        <v>2041</v>
      </c>
      <c r="O34" s="707">
        <f>C34*Compost!J33/100</f>
        <v>1471.7669998925037</v>
      </c>
      <c r="P34" s="1130"/>
      <c r="Q34" s="1130"/>
      <c r="R34" s="1130"/>
      <c r="S34" s="1130"/>
      <c r="T34" s="1130"/>
      <c r="U34" s="1130"/>
      <c r="V34" s="1130"/>
      <c r="W34" s="1130"/>
      <c r="X34" s="1130"/>
      <c r="AA34" s="3">
        <v>2041</v>
      </c>
      <c r="AB34" s="1243">
        <f>C34*'H&amp;C Recycling'!M31/100</f>
        <v>930.92266201566815</v>
      </c>
      <c r="AC34" s="1129"/>
      <c r="AD34" s="1129"/>
      <c r="AE34" s="1129"/>
      <c r="AF34" s="1129"/>
      <c r="AG34" s="1129"/>
      <c r="AH34" s="528"/>
      <c r="AI34" s="528"/>
      <c r="AJ34" s="528"/>
      <c r="AK34" s="528"/>
      <c r="AM34" s="3">
        <v>2041</v>
      </c>
      <c r="AN34" s="707">
        <f t="shared" si="0"/>
        <v>674.74062574692732</v>
      </c>
      <c r="AO34" s="335"/>
      <c r="AP34" s="335"/>
      <c r="AQ34" s="335"/>
      <c r="AR34" s="335"/>
      <c r="AS34" s="335"/>
      <c r="AT34" s="335"/>
      <c r="AU34" s="335"/>
      <c r="AV34" s="335"/>
      <c r="AW34" s="335"/>
      <c r="AY34" s="3">
        <v>2041</v>
      </c>
      <c r="AZ34" s="707">
        <f>C34*Bioplastics!AL39</f>
        <v>489.11149640624438</v>
      </c>
      <c r="BD34" s="3">
        <v>2041</v>
      </c>
      <c r="BE34" s="1131">
        <f t="shared" si="1"/>
        <v>0.47824543931877067</v>
      </c>
      <c r="BF34" s="1131">
        <f t="shared" si="2"/>
        <v>0.30250000000000021</v>
      </c>
      <c r="BG34" s="1131">
        <f t="shared" si="3"/>
        <v>0.21925456068122912</v>
      </c>
    </row>
    <row r="35" spans="2:59" ht="14.4" x14ac:dyDescent="0.55000000000000004">
      <c r="B35" s="3">
        <v>2042</v>
      </c>
      <c r="C35" s="707">
        <v>3115.5167307311153</v>
      </c>
      <c r="D35" s="965"/>
      <c r="E35" s="965"/>
      <c r="F35" s="965"/>
      <c r="G35" s="965"/>
      <c r="H35" s="965"/>
      <c r="I35" s="965"/>
      <c r="J35" s="965"/>
      <c r="K35" s="965"/>
      <c r="L35" s="965"/>
      <c r="N35" s="3">
        <v>2042</v>
      </c>
      <c r="O35" s="707">
        <f>C35*Compost!J34/100</f>
        <v>1490.626611455775</v>
      </c>
      <c r="P35" s="1130"/>
      <c r="Q35" s="1130"/>
      <c r="R35" s="1130"/>
      <c r="S35" s="1130"/>
      <c r="T35" s="1130"/>
      <c r="U35" s="1130"/>
      <c r="V35" s="1130"/>
      <c r="W35" s="1130"/>
      <c r="X35" s="1130"/>
      <c r="AA35" s="3">
        <v>2042</v>
      </c>
      <c r="AB35" s="1243">
        <f>C35*'H&amp;C Recycling'!M32/100</f>
        <v>936.52432925777396</v>
      </c>
      <c r="AC35" s="1129"/>
      <c r="AD35" s="1129"/>
      <c r="AE35" s="1129"/>
      <c r="AF35" s="1129"/>
      <c r="AG35" s="1129"/>
      <c r="AH35" s="528"/>
      <c r="AI35" s="528"/>
      <c r="AJ35" s="528"/>
      <c r="AK35" s="528"/>
      <c r="AM35" s="3">
        <v>2042</v>
      </c>
      <c r="AN35" s="707">
        <f t="shared" si="0"/>
        <v>688.36579001756638</v>
      </c>
      <c r="AO35" s="335"/>
      <c r="AP35" s="335"/>
      <c r="AQ35" s="335"/>
      <c r="AR35" s="335"/>
      <c r="AS35" s="335"/>
      <c r="AT35" s="335"/>
      <c r="AU35" s="335"/>
      <c r="AV35" s="335"/>
      <c r="AW35" s="335"/>
      <c r="AY35" s="3">
        <v>2042</v>
      </c>
      <c r="AZ35" s="707">
        <f>C35*Bioplastics!AL40</f>
        <v>501.56004261312142</v>
      </c>
      <c r="BD35" s="3">
        <v>2042</v>
      </c>
      <c r="BE35" s="1131">
        <f t="shared" si="1"/>
        <v>0.47845244955753169</v>
      </c>
      <c r="BF35" s="1131">
        <f t="shared" si="2"/>
        <v>0.3006000000000002</v>
      </c>
      <c r="BG35" s="1131">
        <f t="shared" si="3"/>
        <v>0.22094755044246808</v>
      </c>
    </row>
    <row r="36" spans="2:59" ht="14.4" x14ac:dyDescent="0.55000000000000004">
      <c r="B36" s="3">
        <v>2043</v>
      </c>
      <c r="C36" s="707">
        <v>3153.4350652335165</v>
      </c>
      <c r="D36" s="965"/>
      <c r="E36" s="965"/>
      <c r="F36" s="965"/>
      <c r="G36" s="965"/>
      <c r="H36" s="965"/>
      <c r="I36" s="965"/>
      <c r="J36" s="965"/>
      <c r="K36" s="965"/>
      <c r="L36" s="965"/>
      <c r="N36" s="3">
        <v>2043</v>
      </c>
      <c r="O36" s="707">
        <f>C36*Compost!J35/100</f>
        <v>1509.3643215227776</v>
      </c>
      <c r="P36" s="1130"/>
      <c r="Q36" s="1130"/>
      <c r="R36" s="1130"/>
      <c r="S36" s="1130"/>
      <c r="T36" s="1130"/>
      <c r="U36" s="1130"/>
      <c r="V36" s="1130"/>
      <c r="W36" s="1130"/>
      <c r="X36" s="1130"/>
      <c r="AA36" s="3">
        <v>2043</v>
      </c>
      <c r="AB36" s="1243">
        <f>C36*'H&amp;C Recycling'!M33/100</f>
        <v>941.93105398525188</v>
      </c>
      <c r="AC36" s="1129"/>
      <c r="AD36" s="1129"/>
      <c r="AE36" s="1129"/>
      <c r="AF36" s="1129"/>
      <c r="AG36" s="1129"/>
      <c r="AH36" s="528"/>
      <c r="AI36" s="528"/>
      <c r="AJ36" s="528"/>
      <c r="AK36" s="528"/>
      <c r="AM36" s="3">
        <v>2043</v>
      </c>
      <c r="AN36" s="707">
        <f t="shared" si="0"/>
        <v>702.13968972548707</v>
      </c>
      <c r="AO36" s="335"/>
      <c r="AP36" s="335"/>
      <c r="AQ36" s="335"/>
      <c r="AR36" s="335"/>
      <c r="AS36" s="335"/>
      <c r="AT36" s="335"/>
      <c r="AU36" s="335"/>
      <c r="AV36" s="335"/>
      <c r="AW36" s="335"/>
      <c r="AY36" s="3">
        <v>2043</v>
      </c>
      <c r="AZ36" s="707">
        <f>C36*Bioplastics!AL41</f>
        <v>514.20037072312857</v>
      </c>
      <c r="BD36" s="3">
        <v>2043</v>
      </c>
      <c r="BE36" s="1131">
        <f t="shared" si="1"/>
        <v>0.47864131979867069</v>
      </c>
      <c r="BF36" s="1131">
        <f t="shared" si="2"/>
        <v>0.29870000000000013</v>
      </c>
      <c r="BG36" s="1131">
        <f t="shared" si="3"/>
        <v>0.22265868020132915</v>
      </c>
    </row>
    <row r="37" spans="2:59" ht="14.4" x14ac:dyDescent="0.55000000000000004">
      <c r="B37" s="3">
        <v>2044</v>
      </c>
      <c r="C37" s="707">
        <v>3191.205104072636</v>
      </c>
      <c r="D37" s="965"/>
      <c r="E37" s="965"/>
      <c r="F37" s="965"/>
      <c r="G37" s="965"/>
      <c r="H37" s="965"/>
      <c r="I37" s="965"/>
      <c r="J37" s="965"/>
      <c r="K37" s="965"/>
      <c r="L37" s="965"/>
      <c r="N37" s="3">
        <v>2044</v>
      </c>
      <c r="O37" s="707">
        <f>C37*Compost!J36/100</f>
        <v>1527.9924906151241</v>
      </c>
      <c r="P37" s="1130"/>
      <c r="Q37" s="1130"/>
      <c r="R37" s="1130"/>
      <c r="S37" s="1130"/>
      <c r="T37" s="1130"/>
      <c r="U37" s="1130"/>
      <c r="V37" s="1130"/>
      <c r="W37" s="1130"/>
      <c r="X37" s="1130"/>
      <c r="AA37" s="3">
        <v>2044</v>
      </c>
      <c r="AB37" s="1243">
        <f>C37*'H&amp;C Recycling'!M34/100</f>
        <v>947.14967488875891</v>
      </c>
      <c r="AC37" s="1129"/>
      <c r="AD37" s="1129"/>
      <c r="AE37" s="1129"/>
      <c r="AF37" s="1129"/>
      <c r="AG37" s="1129"/>
      <c r="AH37" s="528"/>
      <c r="AI37" s="528"/>
      <c r="AJ37" s="528"/>
      <c r="AK37" s="528"/>
      <c r="AM37" s="3">
        <v>2044</v>
      </c>
      <c r="AN37" s="707">
        <f t="shared" si="0"/>
        <v>716.062938568753</v>
      </c>
      <c r="AO37" s="335"/>
      <c r="AP37" s="335"/>
      <c r="AQ37" s="335"/>
      <c r="AR37" s="335"/>
      <c r="AS37" s="335"/>
      <c r="AT37" s="335"/>
      <c r="AU37" s="335"/>
      <c r="AV37" s="335"/>
      <c r="AW37" s="335"/>
      <c r="AY37" s="3">
        <v>2044</v>
      </c>
      <c r="AZ37" s="707">
        <f>C37*Bioplastics!AL42</f>
        <v>527.02895645584624</v>
      </c>
      <c r="BD37" s="3">
        <v>2044</v>
      </c>
      <c r="BE37" s="1131">
        <f t="shared" si="1"/>
        <v>0.47881362707307357</v>
      </c>
      <c r="BF37" s="1131">
        <f t="shared" si="2"/>
        <v>0.29680000000000017</v>
      </c>
      <c r="BG37" s="1131">
        <f t="shared" si="3"/>
        <v>0.22438637292692626</v>
      </c>
    </row>
    <row r="38" spans="2:59" ht="14.4" x14ac:dyDescent="0.55000000000000004">
      <c r="B38" s="3">
        <v>2045</v>
      </c>
      <c r="C38" s="707">
        <v>3228.9513540957141</v>
      </c>
      <c r="D38" s="965"/>
      <c r="E38" s="965"/>
      <c r="F38" s="965"/>
      <c r="G38" s="965"/>
      <c r="H38" s="965"/>
      <c r="I38" s="965"/>
      <c r="J38" s="965"/>
      <c r="K38" s="965"/>
      <c r="L38" s="965"/>
      <c r="N38" s="3">
        <v>2045</v>
      </c>
      <c r="O38" s="707">
        <f>C38*Compost!J37/100</f>
        <v>1546.5734565798705</v>
      </c>
      <c r="P38" s="1130"/>
      <c r="Q38" s="1130"/>
      <c r="R38" s="1130"/>
      <c r="S38" s="1130"/>
      <c r="T38" s="1130"/>
      <c r="U38" s="1130"/>
      <c r="V38" s="1130"/>
      <c r="W38" s="1130"/>
      <c r="X38" s="1130"/>
      <c r="AA38" s="3">
        <v>2045</v>
      </c>
      <c r="AB38" s="1243">
        <f>C38*'H&amp;C Recycling'!M35/100</f>
        <v>952.21775432282664</v>
      </c>
      <c r="AC38" s="1129"/>
      <c r="AD38" s="1129"/>
      <c r="AE38" s="1129"/>
      <c r="AF38" s="1129"/>
      <c r="AG38" s="1129"/>
      <c r="AH38" s="528"/>
      <c r="AI38" s="528"/>
      <c r="AJ38" s="528"/>
      <c r="AK38" s="528"/>
      <c r="AM38" s="3">
        <v>2045</v>
      </c>
      <c r="AN38" s="707">
        <f t="shared" si="0"/>
        <v>730.16014319301701</v>
      </c>
      <c r="AO38" s="335"/>
      <c r="AP38" s="335"/>
      <c r="AQ38" s="335"/>
      <c r="AR38" s="335"/>
      <c r="AS38" s="335"/>
      <c r="AT38" s="335"/>
      <c r="AU38" s="335"/>
      <c r="AV38" s="335"/>
      <c r="AW38" s="335"/>
      <c r="AY38" s="3">
        <v>2045</v>
      </c>
      <c r="AZ38" s="707">
        <f>C38*Bioplastics!AL43</f>
        <v>540.04209034223186</v>
      </c>
      <c r="BD38" s="3">
        <v>2045</v>
      </c>
      <c r="BE38" s="1131">
        <f t="shared" si="1"/>
        <v>0.47897081342465658</v>
      </c>
      <c r="BF38" s="1131">
        <f t="shared" si="2"/>
        <v>0.29490000000000016</v>
      </c>
      <c r="BG38" s="1131">
        <f t="shared" si="3"/>
        <v>0.22612918657534326</v>
      </c>
    </row>
    <row r="39" spans="2:59" ht="14.4" x14ac:dyDescent="0.55000000000000004">
      <c r="B39" s="3">
        <v>2046</v>
      </c>
      <c r="C39" s="707">
        <v>3266.2667302830773</v>
      </c>
      <c r="D39" s="965"/>
      <c r="E39" s="965"/>
      <c r="F39" s="965"/>
      <c r="G39" s="965"/>
      <c r="H39" s="965"/>
      <c r="I39" s="965"/>
      <c r="J39" s="965"/>
      <c r="K39" s="965"/>
      <c r="L39" s="965"/>
      <c r="N39" s="3">
        <v>2046</v>
      </c>
      <c r="O39" s="707">
        <f>C39*Compost!J38/100</f>
        <v>1564.9147620174915</v>
      </c>
      <c r="P39" s="1130"/>
      <c r="Q39" s="1130"/>
      <c r="R39" s="1130"/>
      <c r="S39" s="1130"/>
      <c r="T39" s="1130"/>
      <c r="U39" s="1130"/>
      <c r="V39" s="1130"/>
      <c r="W39" s="1130"/>
      <c r="X39" s="1130"/>
      <c r="AA39" s="3">
        <v>2046</v>
      </c>
      <c r="AB39" s="1243">
        <f>C39*'H&amp;C Recycling'!M36/100</f>
        <v>957.01615197294223</v>
      </c>
      <c r="AC39" s="1129"/>
      <c r="AD39" s="1129"/>
      <c r="AE39" s="1129"/>
      <c r="AF39" s="1129"/>
      <c r="AG39" s="1129"/>
      <c r="AH39" s="528"/>
      <c r="AI39" s="528"/>
      <c r="AJ39" s="528"/>
      <c r="AK39" s="528"/>
      <c r="AM39" s="3">
        <v>2046</v>
      </c>
      <c r="AN39" s="707">
        <f t="shared" si="0"/>
        <v>744.33581629264359</v>
      </c>
      <c r="AO39" s="335"/>
      <c r="AP39" s="335"/>
      <c r="AQ39" s="335"/>
      <c r="AR39" s="335"/>
      <c r="AS39" s="335"/>
      <c r="AT39" s="335"/>
      <c r="AU39" s="335"/>
      <c r="AV39" s="335"/>
      <c r="AW39" s="335"/>
      <c r="AY39" s="3">
        <v>2046</v>
      </c>
      <c r="AZ39" s="707">
        <f>C39*Bioplastics!AL44</f>
        <v>553.23599859639353</v>
      </c>
      <c r="BD39" s="3">
        <v>2046</v>
      </c>
      <c r="BE39" s="1131">
        <f t="shared" si="1"/>
        <v>0.47911419710718639</v>
      </c>
      <c r="BF39" s="1131">
        <f t="shared" si="2"/>
        <v>0.29300000000000015</v>
      </c>
      <c r="BG39" s="1131">
        <f t="shared" si="3"/>
        <v>0.22788580289281343</v>
      </c>
    </row>
    <row r="40" spans="2:59" ht="14.4" x14ac:dyDescent="0.55000000000000004">
      <c r="B40" s="3">
        <v>2047</v>
      </c>
      <c r="C40" s="707">
        <v>3303.191895125663</v>
      </c>
      <c r="D40" s="965"/>
      <c r="E40" s="965"/>
      <c r="F40" s="965"/>
      <c r="G40" s="965"/>
      <c r="H40" s="965"/>
      <c r="I40" s="965"/>
      <c r="J40" s="965"/>
      <c r="K40" s="965"/>
      <c r="L40" s="965"/>
      <c r="N40" s="3">
        <v>2047</v>
      </c>
      <c r="O40" s="707">
        <f>C40*Compost!J39/100</f>
        <v>1583.0381433388645</v>
      </c>
      <c r="P40" s="1130"/>
      <c r="Q40" s="1130"/>
      <c r="R40" s="1130"/>
      <c r="S40" s="1130"/>
      <c r="T40" s="1130"/>
      <c r="U40" s="1130"/>
      <c r="V40" s="1130"/>
      <c r="W40" s="1130"/>
      <c r="X40" s="1130"/>
      <c r="AA40" s="3">
        <v>2047</v>
      </c>
      <c r="AB40" s="1243">
        <f>C40*'H&amp;C Recycling'!M37/100</f>
        <v>961.55916067108092</v>
      </c>
      <c r="AC40" s="1129"/>
      <c r="AD40" s="1129"/>
      <c r="AE40" s="1129"/>
      <c r="AF40" s="1129"/>
      <c r="AG40" s="1129"/>
      <c r="AH40" s="528"/>
      <c r="AI40" s="528"/>
      <c r="AJ40" s="528"/>
      <c r="AK40" s="528"/>
      <c r="AM40" s="3">
        <v>2047</v>
      </c>
      <c r="AN40" s="707">
        <f t="shared" si="0"/>
        <v>758.59459111571755</v>
      </c>
      <c r="AO40" s="335"/>
      <c r="AP40" s="335"/>
      <c r="AQ40" s="335"/>
      <c r="AR40" s="335"/>
      <c r="AS40" s="335"/>
      <c r="AT40" s="335"/>
      <c r="AU40" s="335"/>
      <c r="AV40" s="335"/>
      <c r="AW40" s="335"/>
      <c r="AY40" s="3">
        <v>2047</v>
      </c>
      <c r="AZ40" s="707">
        <f>C40*Bioplastics!AL45</f>
        <v>566.60678646055908</v>
      </c>
      <c r="BD40" s="3">
        <v>2047</v>
      </c>
      <c r="BE40" s="1131">
        <f t="shared" si="1"/>
        <v>0.47924498291330458</v>
      </c>
      <c r="BF40" s="1131">
        <f t="shared" si="2"/>
        <v>0.29110000000000014</v>
      </c>
      <c r="BG40" s="1131">
        <f t="shared" si="3"/>
        <v>0.22965501708669531</v>
      </c>
    </row>
    <row r="41" spans="2:59" ht="14.4" x14ac:dyDescent="0.55000000000000004">
      <c r="B41" s="3">
        <v>2048</v>
      </c>
      <c r="C41" s="707">
        <v>3339.8027616596228</v>
      </c>
      <c r="D41" s="965"/>
      <c r="E41" s="965"/>
      <c r="F41" s="965"/>
      <c r="G41" s="965"/>
      <c r="H41" s="965"/>
      <c r="I41" s="965"/>
      <c r="J41" s="965"/>
      <c r="K41" s="965"/>
      <c r="L41" s="965"/>
      <c r="N41" s="3">
        <v>2048</v>
      </c>
      <c r="O41" s="707">
        <f>C41*Compost!J40/100</f>
        <v>1600.9821184392006</v>
      </c>
      <c r="P41" s="1130"/>
      <c r="Q41" s="1130"/>
      <c r="R41" s="1130"/>
      <c r="S41" s="1130"/>
      <c r="T41" s="1130"/>
      <c r="U41" s="1130"/>
      <c r="V41" s="1130"/>
      <c r="W41" s="1130"/>
      <c r="X41" s="1130"/>
      <c r="AA41" s="3">
        <v>2048</v>
      </c>
      <c r="AB41" s="1243">
        <f>C41*'H&amp;C Recycling'!M38/100</f>
        <v>965.87095867196331</v>
      </c>
      <c r="AC41" s="1129"/>
      <c r="AD41" s="1129"/>
      <c r="AE41" s="1129"/>
      <c r="AF41" s="1129"/>
      <c r="AG41" s="1129"/>
      <c r="AH41" s="528"/>
      <c r="AI41" s="528"/>
      <c r="AJ41" s="528"/>
      <c r="AK41" s="528"/>
      <c r="AM41" s="3">
        <v>2048</v>
      </c>
      <c r="AN41" s="707">
        <f t="shared" si="0"/>
        <v>772.94968454845889</v>
      </c>
      <c r="AO41" s="335"/>
      <c r="AP41" s="335"/>
      <c r="AQ41" s="335"/>
      <c r="AR41" s="335"/>
      <c r="AS41" s="335"/>
      <c r="AT41" s="335"/>
      <c r="AU41" s="335"/>
      <c r="AV41" s="335"/>
      <c r="AW41" s="335"/>
      <c r="AY41" s="3">
        <v>2048</v>
      </c>
      <c r="AZ41" s="707">
        <f>C41*Bioplastics!AL46</f>
        <v>580.15031958382735</v>
      </c>
      <c r="BD41" s="3">
        <v>2048</v>
      </c>
      <c r="BE41" s="1131">
        <f t="shared" si="1"/>
        <v>0.47936427169239082</v>
      </c>
      <c r="BF41" s="1131">
        <f t="shared" si="2"/>
        <v>0.28920000000000012</v>
      </c>
      <c r="BG41" s="1131">
        <f t="shared" si="3"/>
        <v>0.23143572830760906</v>
      </c>
    </row>
    <row r="42" spans="2:59" ht="14.4" x14ac:dyDescent="0.55000000000000004">
      <c r="B42" s="3">
        <v>2049</v>
      </c>
      <c r="C42" s="707">
        <v>3376.0991857820768</v>
      </c>
      <c r="D42" s="965"/>
      <c r="E42" s="965"/>
      <c r="F42" s="965"/>
      <c r="G42" s="965"/>
      <c r="H42" s="965"/>
      <c r="I42" s="965"/>
      <c r="J42" s="965"/>
      <c r="K42" s="965"/>
      <c r="L42" s="965"/>
      <c r="N42" s="3">
        <v>2049</v>
      </c>
      <c r="O42" s="707">
        <f>C42*Compost!J41/100</f>
        <v>1618.7486382340012</v>
      </c>
      <c r="P42" s="1130"/>
      <c r="Q42" s="1130"/>
      <c r="R42" s="1130"/>
      <c r="S42" s="1130"/>
      <c r="T42" s="1130"/>
      <c r="U42" s="1130"/>
      <c r="V42" s="1130"/>
      <c r="W42" s="1130"/>
      <c r="X42" s="1130"/>
      <c r="AA42" s="3">
        <v>2049</v>
      </c>
      <c r="AB42" s="1243">
        <f>C42*'H&amp;C Recycling'!M39/100</f>
        <v>969.95329607519102</v>
      </c>
      <c r="AC42" s="1129"/>
      <c r="AD42" s="1129"/>
      <c r="AE42" s="1129"/>
      <c r="AF42" s="1129"/>
      <c r="AG42" s="1129"/>
      <c r="AH42" s="528"/>
      <c r="AI42" s="528"/>
      <c r="AJ42" s="528"/>
      <c r="AK42" s="528"/>
      <c r="AM42" s="3">
        <v>2049</v>
      </c>
      <c r="AN42" s="707">
        <f t="shared" si="0"/>
        <v>787.39725147288459</v>
      </c>
      <c r="AO42" s="335"/>
      <c r="AP42" s="335"/>
      <c r="AQ42" s="335"/>
      <c r="AR42" s="335"/>
      <c r="AS42" s="335"/>
      <c r="AT42" s="335"/>
      <c r="AU42" s="335"/>
      <c r="AV42" s="335"/>
      <c r="AW42" s="335"/>
      <c r="AY42" s="3">
        <v>2049</v>
      </c>
      <c r="AZ42" s="707">
        <f>C42*Bioplastics!AL47</f>
        <v>593.86232160032046</v>
      </c>
      <c r="BD42" s="3">
        <v>2049</v>
      </c>
      <c r="BE42" s="1131">
        <f t="shared" si="1"/>
        <v>0.47947306911216131</v>
      </c>
      <c r="BF42" s="1131">
        <f t="shared" si="2"/>
        <v>0.28730000000000011</v>
      </c>
      <c r="BG42" s="1131">
        <f t="shared" si="3"/>
        <v>0.23322693088783861</v>
      </c>
    </row>
    <row r="43" spans="2:59" ht="14.4" x14ac:dyDescent="0.55000000000000004">
      <c r="B43" s="3">
        <v>2050</v>
      </c>
      <c r="C43" s="707">
        <v>3411.4131493703135</v>
      </c>
      <c r="D43" s="965"/>
      <c r="E43" s="965"/>
      <c r="F43" s="965"/>
      <c r="G43" s="965"/>
      <c r="H43" s="965"/>
      <c r="I43" s="965"/>
      <c r="J43" s="965"/>
      <c r="K43" s="965"/>
      <c r="L43" s="965"/>
      <c r="N43" s="3">
        <v>2050</v>
      </c>
      <c r="O43" s="707">
        <f>C43*Compost!J42/100</f>
        <v>1636.01922885913</v>
      </c>
      <c r="P43" s="1130"/>
      <c r="Q43" s="1130"/>
      <c r="R43" s="1130"/>
      <c r="S43" s="1130"/>
      <c r="T43" s="1130"/>
      <c r="U43" s="1130"/>
      <c r="V43" s="1130"/>
      <c r="W43" s="1130"/>
      <c r="X43" s="1130"/>
      <c r="AA43" s="3">
        <v>2050</v>
      </c>
      <c r="AB43" s="1243">
        <f>C43*'H&amp;C Recycling'!M40/100</f>
        <v>973.6173128302878</v>
      </c>
      <c r="AC43" s="1129"/>
      <c r="AD43" s="1129"/>
      <c r="AE43" s="1129"/>
      <c r="AF43" s="1129"/>
      <c r="AG43" s="1129"/>
      <c r="AH43" s="528"/>
      <c r="AI43" s="528"/>
      <c r="AJ43" s="528"/>
      <c r="AK43" s="528"/>
      <c r="AM43" s="3">
        <v>2050</v>
      </c>
      <c r="AN43" s="707">
        <f t="shared" si="0"/>
        <v>801.77660768089572</v>
      </c>
      <c r="AO43" s="335"/>
      <c r="AP43" s="335"/>
      <c r="AQ43" s="335"/>
      <c r="AR43" s="335"/>
      <c r="AS43" s="335"/>
      <c r="AT43" s="335"/>
      <c r="AU43" s="335"/>
      <c r="AV43" s="335"/>
      <c r="AW43" s="335"/>
      <c r="AY43" s="3">
        <v>2050</v>
      </c>
      <c r="AZ43" s="707">
        <f>C43*Bioplastics!AL48</f>
        <v>606.72504354337991</v>
      </c>
      <c r="BD43" s="3">
        <v>2050</v>
      </c>
      <c r="BE43" s="1131">
        <f t="shared" si="1"/>
        <v>0.47957229371678717</v>
      </c>
      <c r="BF43" s="1131">
        <f t="shared" si="2"/>
        <v>0.2854000000000001</v>
      </c>
      <c r="BG43" s="1131">
        <f t="shared" si="3"/>
        <v>0.23502770628321273</v>
      </c>
    </row>
    <row r="44" spans="2:59" ht="14.4" x14ac:dyDescent="0.55000000000000004">
      <c r="B44" s="3">
        <v>2051</v>
      </c>
      <c r="C44" s="707">
        <v>3447.7514379580948</v>
      </c>
      <c r="D44" s="965"/>
      <c r="E44" s="965"/>
      <c r="F44" s="965"/>
      <c r="G44" s="965"/>
      <c r="H44" s="965"/>
      <c r="I44" s="965"/>
      <c r="J44" s="965"/>
      <c r="K44" s="965"/>
      <c r="L44" s="965"/>
      <c r="N44" s="3">
        <v>2051</v>
      </c>
      <c r="O44" s="707">
        <f>C44*Compost!J43/100</f>
        <v>1653.7580544155035</v>
      </c>
      <c r="P44" s="1130"/>
      <c r="Q44" s="1130"/>
      <c r="R44" s="1130"/>
      <c r="S44" s="1130"/>
      <c r="T44" s="1130"/>
      <c r="U44" s="1130"/>
      <c r="V44" s="1130"/>
      <c r="W44" s="1130"/>
      <c r="X44" s="1130"/>
      <c r="AA44" s="3">
        <v>2051</v>
      </c>
      <c r="AB44" s="1243">
        <f>C44*'H&amp;C Recycling'!M41/100</f>
        <v>977.43753266112026</v>
      </c>
      <c r="AC44" s="1129"/>
      <c r="AD44" s="1129"/>
      <c r="AE44" s="1129"/>
      <c r="AF44" s="1129"/>
      <c r="AG44" s="1129"/>
      <c r="AH44" s="528"/>
      <c r="AI44" s="528"/>
      <c r="AJ44" s="528"/>
      <c r="AK44" s="528"/>
      <c r="AM44" s="3">
        <v>2051</v>
      </c>
      <c r="AN44" s="707">
        <f t="shared" si="0"/>
        <v>816.55585088147109</v>
      </c>
      <c r="AO44" s="335"/>
      <c r="AP44" s="335"/>
      <c r="AQ44" s="335"/>
      <c r="AR44" s="335"/>
      <c r="AS44" s="335"/>
      <c r="AT44" s="335"/>
      <c r="AU44" s="335"/>
      <c r="AV44" s="335"/>
      <c r="AW44" s="335"/>
      <c r="AY44" s="3">
        <v>2051</v>
      </c>
      <c r="AZ44" s="707">
        <f>C44*Bioplastics!AL49</f>
        <v>621.77418456820612</v>
      </c>
      <c r="BD44" s="3">
        <v>2051</v>
      </c>
      <c r="BE44" s="1131">
        <f t="shared" si="1"/>
        <v>0.47966278433196141</v>
      </c>
      <c r="BF44" s="1131">
        <f t="shared" si="2"/>
        <v>0.28350000000000009</v>
      </c>
      <c r="BG44" s="1131">
        <f t="shared" si="3"/>
        <v>0.23683721566803848</v>
      </c>
    </row>
    <row r="45" spans="2:59" ht="14.4" x14ac:dyDescent="0.55000000000000004">
      <c r="B45" s="3">
        <v>2052</v>
      </c>
      <c r="C45" s="707">
        <v>3483.1120613277576</v>
      </c>
      <c r="D45" s="965"/>
      <c r="E45" s="965"/>
      <c r="F45" s="965"/>
      <c r="G45" s="965"/>
      <c r="H45" s="965"/>
      <c r="I45" s="965"/>
      <c r="J45" s="965"/>
      <c r="K45" s="965"/>
      <c r="L45" s="965"/>
      <c r="N45" s="3">
        <v>2052</v>
      </c>
      <c r="O45" s="707">
        <f>C45*Compost!J44/100</f>
        <v>1671.0066647062019</v>
      </c>
      <c r="P45" s="1130"/>
      <c r="Q45" s="1130"/>
      <c r="R45" s="1130"/>
      <c r="S45" s="1130"/>
      <c r="T45" s="1130"/>
      <c r="U45" s="1130"/>
      <c r="V45" s="1130"/>
      <c r="W45" s="1130"/>
      <c r="X45" s="1130"/>
      <c r="AA45" s="3">
        <v>2052</v>
      </c>
      <c r="AB45" s="1243">
        <f>C45*'H&amp;C Recycling'!M42/100</f>
        <v>980.84435646989675</v>
      </c>
      <c r="AC45" s="1129"/>
      <c r="AD45" s="1129"/>
      <c r="AE45" s="1129"/>
      <c r="AF45" s="1129"/>
      <c r="AG45" s="1129"/>
      <c r="AH45" s="528"/>
      <c r="AI45" s="528"/>
      <c r="AJ45" s="528"/>
      <c r="AK45" s="528"/>
      <c r="AM45" s="3">
        <v>2052</v>
      </c>
      <c r="AN45" s="707">
        <f t="shared" si="0"/>
        <v>831.2610401516589</v>
      </c>
      <c r="AO45" s="335"/>
      <c r="AP45" s="335"/>
      <c r="AQ45" s="335"/>
      <c r="AR45" s="335"/>
      <c r="AS45" s="335"/>
      <c r="AT45" s="335"/>
      <c r="AU45" s="335"/>
      <c r="AV45" s="335"/>
      <c r="AW45" s="335"/>
      <c r="AY45" s="3">
        <v>2052</v>
      </c>
      <c r="AZ45" s="707">
        <f>C45*Bioplastics!AL50</f>
        <v>635.96513204630094</v>
      </c>
      <c r="BD45" s="3">
        <v>2052</v>
      </c>
      <c r="BE45" s="1131">
        <f t="shared" si="1"/>
        <v>0.47974530686480882</v>
      </c>
      <c r="BF45" s="1131">
        <f t="shared" si="2"/>
        <v>0.28160000000000007</v>
      </c>
      <c r="BG45" s="1131">
        <f t="shared" si="3"/>
        <v>0.23865469313519111</v>
      </c>
    </row>
    <row r="46" spans="2:59" ht="14.4" x14ac:dyDescent="0.55000000000000004">
      <c r="B46" s="3">
        <v>2053</v>
      </c>
      <c r="C46" s="707">
        <v>3518.1641751714656</v>
      </c>
      <c r="D46" s="965"/>
      <c r="E46" s="965"/>
      <c r="F46" s="965"/>
      <c r="G46" s="965"/>
      <c r="H46" s="965"/>
      <c r="I46" s="965"/>
      <c r="J46" s="965"/>
      <c r="K46" s="965"/>
      <c r="L46" s="965"/>
      <c r="N46" s="3">
        <v>2053</v>
      </c>
      <c r="O46" s="707">
        <f>C46*Compost!J45/100</f>
        <v>1688.0875066163242</v>
      </c>
      <c r="P46" s="1130"/>
      <c r="Q46" s="1130"/>
      <c r="R46" s="1130"/>
      <c r="S46" s="1130"/>
      <c r="T46" s="1130"/>
      <c r="U46" s="1130"/>
      <c r="V46" s="1130"/>
      <c r="W46" s="1130"/>
      <c r="X46" s="1130"/>
      <c r="AA46" s="3">
        <v>2053</v>
      </c>
      <c r="AB46" s="1243">
        <f>C46*'H&amp;C Recycling'!M43/100</f>
        <v>984.0305197954591</v>
      </c>
      <c r="AC46" s="1129"/>
      <c r="AD46" s="1129"/>
      <c r="AE46" s="1129"/>
      <c r="AF46" s="1129"/>
      <c r="AG46" s="1129"/>
      <c r="AH46" s="528"/>
      <c r="AI46" s="528"/>
      <c r="AJ46" s="528"/>
      <c r="AK46" s="528"/>
      <c r="AM46" s="3">
        <v>2053</v>
      </c>
      <c r="AN46" s="707">
        <f t="shared" si="0"/>
        <v>846.0461487596823</v>
      </c>
      <c r="AO46" s="335"/>
      <c r="AP46" s="335"/>
      <c r="AQ46" s="335"/>
      <c r="AR46" s="335"/>
      <c r="AS46" s="335"/>
      <c r="AT46" s="335"/>
      <c r="AU46" s="335"/>
      <c r="AV46" s="335"/>
      <c r="AW46" s="335"/>
      <c r="AY46" s="3">
        <v>2053</v>
      </c>
      <c r="AZ46" s="707">
        <f>C46*Bioplastics!AL51</f>
        <v>650.30623236969711</v>
      </c>
      <c r="BD46" s="3">
        <v>2053</v>
      </c>
      <c r="BE46" s="1131">
        <f t="shared" si="1"/>
        <v>0.47982056054392386</v>
      </c>
      <c r="BF46" s="1131">
        <f t="shared" si="2"/>
        <v>0.27970000000000006</v>
      </c>
      <c r="BG46" s="1131">
        <f t="shared" si="3"/>
        <v>0.24047943945607608</v>
      </c>
    </row>
    <row r="47" spans="2:59" ht="14.4" x14ac:dyDescent="0.55000000000000004">
      <c r="B47" s="3">
        <v>2054</v>
      </c>
      <c r="C47" s="707">
        <v>3552.9086715023973</v>
      </c>
      <c r="D47" s="965"/>
      <c r="E47" s="965"/>
      <c r="F47" s="965"/>
      <c r="G47" s="965"/>
      <c r="H47" s="965"/>
      <c r="I47" s="965"/>
      <c r="J47" s="965"/>
      <c r="K47" s="965"/>
      <c r="L47" s="965"/>
      <c r="N47" s="3">
        <v>2054</v>
      </c>
      <c r="O47" s="707">
        <f>C47*Compost!J46/100</f>
        <v>1705.0024419224751</v>
      </c>
      <c r="P47" s="1130"/>
      <c r="Q47" s="1130"/>
      <c r="R47" s="1130"/>
      <c r="S47" s="1130"/>
      <c r="T47" s="1130"/>
      <c r="U47" s="1130"/>
      <c r="V47" s="1130"/>
      <c r="W47" s="1130"/>
      <c r="X47" s="1130"/>
      <c r="AA47" s="3">
        <v>2054</v>
      </c>
      <c r="AB47" s="1243">
        <f>C47*'H&amp;C Recycling'!M44/100</f>
        <v>986.99802894336608</v>
      </c>
      <c r="AC47" s="1129"/>
      <c r="AD47" s="1129"/>
      <c r="AE47" s="1129"/>
      <c r="AF47" s="1129"/>
      <c r="AG47" s="1129"/>
      <c r="AH47" s="528"/>
      <c r="AI47" s="528"/>
      <c r="AJ47" s="528"/>
      <c r="AK47" s="528"/>
      <c r="AM47" s="3">
        <v>2054</v>
      </c>
      <c r="AN47" s="707">
        <f t="shared" si="0"/>
        <v>860.9082006365561</v>
      </c>
      <c r="AO47" s="335"/>
      <c r="AP47" s="335"/>
      <c r="AQ47" s="335"/>
      <c r="AR47" s="335"/>
      <c r="AS47" s="335"/>
      <c r="AT47" s="335"/>
      <c r="AU47" s="335"/>
      <c r="AV47" s="335"/>
      <c r="AW47" s="335"/>
      <c r="AY47" s="3">
        <v>2054</v>
      </c>
      <c r="AZ47" s="707">
        <f>C47*Bioplastics!AL52</f>
        <v>664.7922930911418</v>
      </c>
      <c r="BD47" s="3">
        <v>2054</v>
      </c>
      <c r="BE47" s="1131">
        <f t="shared" si="1"/>
        <v>0.47988918364217081</v>
      </c>
      <c r="BF47" s="1131">
        <f t="shared" si="2"/>
        <v>0.27780000000000005</v>
      </c>
      <c r="BG47" s="1131">
        <f t="shared" si="3"/>
        <v>0.24231081635782914</v>
      </c>
    </row>
    <row r="48" spans="2:59" ht="14.4" x14ac:dyDescent="0.55000000000000004">
      <c r="B48" s="3">
        <v>2055</v>
      </c>
      <c r="C48" s="707">
        <v>3587.3475451386416</v>
      </c>
      <c r="D48" s="965"/>
      <c r="E48" s="965"/>
      <c r="F48" s="965"/>
      <c r="G48" s="965"/>
      <c r="H48" s="965"/>
      <c r="I48" s="965"/>
      <c r="J48" s="965"/>
      <c r="K48" s="965"/>
      <c r="L48" s="965"/>
      <c r="N48" s="3">
        <v>2055</v>
      </c>
      <c r="O48" s="707">
        <f>C48*Compost!J47/100</f>
        <v>1721.7537634372247</v>
      </c>
      <c r="P48" s="1130"/>
      <c r="Q48" s="1130"/>
      <c r="R48" s="1130"/>
      <c r="S48" s="1130"/>
      <c r="T48" s="1130"/>
      <c r="U48" s="1130"/>
      <c r="V48" s="1130"/>
      <c r="W48" s="1130"/>
      <c r="X48" s="1130"/>
      <c r="AA48" s="3">
        <v>2055</v>
      </c>
      <c r="AB48" s="1243">
        <f>C48*'H&amp;C Recycling'!M45/100</f>
        <v>989.74918770375143</v>
      </c>
      <c r="AC48" s="1129"/>
      <c r="AD48" s="1129"/>
      <c r="AE48" s="1129"/>
      <c r="AF48" s="1129"/>
      <c r="AG48" s="1129"/>
      <c r="AH48" s="528"/>
      <c r="AI48" s="528"/>
      <c r="AJ48" s="528"/>
      <c r="AK48" s="528"/>
      <c r="AM48" s="3">
        <v>2055</v>
      </c>
      <c r="AN48" s="707">
        <f t="shared" si="0"/>
        <v>875.84459399766547</v>
      </c>
      <c r="AO48" s="335"/>
      <c r="AP48" s="335"/>
      <c r="AQ48" s="335"/>
      <c r="AR48" s="335"/>
      <c r="AS48" s="335"/>
      <c r="AT48" s="335"/>
      <c r="AU48" s="335"/>
      <c r="AV48" s="335"/>
      <c r="AW48" s="335"/>
      <c r="AY48" s="3">
        <v>2055</v>
      </c>
      <c r="AZ48" s="707">
        <f>C48*Bioplastics!AL53</f>
        <v>679.41827484496139</v>
      </c>
      <c r="BD48" s="3">
        <v>2055</v>
      </c>
      <c r="BE48" s="1131">
        <f t="shared" si="1"/>
        <v>0.47995175872224655</v>
      </c>
      <c r="BF48" s="1131">
        <f t="shared" si="2"/>
        <v>0.27590000000000003</v>
      </c>
      <c r="BG48" s="1131">
        <f t="shared" si="3"/>
        <v>0.24414824127775342</v>
      </c>
    </row>
    <row r="49" spans="1:60" ht="14.4" x14ac:dyDescent="0.55000000000000004">
      <c r="B49" s="3">
        <v>2056</v>
      </c>
      <c r="C49" s="707">
        <v>3621.4835044729898</v>
      </c>
      <c r="D49" s="965"/>
      <c r="E49" s="965"/>
      <c r="F49" s="965"/>
      <c r="G49" s="965"/>
      <c r="H49" s="965"/>
      <c r="I49" s="965"/>
      <c r="J49" s="965"/>
      <c r="K49" s="965"/>
      <c r="L49" s="965"/>
      <c r="N49" s="3">
        <v>2056</v>
      </c>
      <c r="O49" s="707">
        <f>C49*Compost!J48/100</f>
        <v>1738.3440143692965</v>
      </c>
      <c r="P49" s="1130"/>
      <c r="Q49" s="1130"/>
      <c r="R49" s="1130"/>
      <c r="S49" s="1130"/>
      <c r="T49" s="1130"/>
      <c r="U49" s="1130"/>
      <c r="V49" s="1130"/>
      <c r="W49" s="1130"/>
      <c r="X49" s="1130"/>
      <c r="AA49" s="3">
        <v>2056</v>
      </c>
      <c r="AB49" s="1243">
        <f>C49*'H&amp;C Recycling'!M46/100</f>
        <v>992.28648022559923</v>
      </c>
      <c r="AC49" s="1129"/>
      <c r="AD49" s="1129"/>
      <c r="AE49" s="1129"/>
      <c r="AF49" s="1129"/>
      <c r="AG49" s="1129"/>
      <c r="AH49" s="528"/>
      <c r="AI49" s="528"/>
      <c r="AJ49" s="528"/>
      <c r="AK49" s="528"/>
      <c r="AM49" s="3">
        <v>2056</v>
      </c>
      <c r="AN49" s="707">
        <f t="shared" si="0"/>
        <v>890.8530098780941</v>
      </c>
      <c r="AO49" s="335"/>
      <c r="AP49" s="335"/>
      <c r="AQ49" s="335"/>
      <c r="AR49" s="335"/>
      <c r="AS49" s="335"/>
      <c r="AT49" s="335"/>
      <c r="AU49" s="335"/>
      <c r="AV49" s="335"/>
      <c r="AW49" s="335"/>
      <c r="AY49" s="3">
        <v>2056</v>
      </c>
      <c r="AZ49" s="707">
        <f>C49*Bioplastics!AL54</f>
        <v>694.17944159351691</v>
      </c>
      <c r="BD49" s="3">
        <v>2056</v>
      </c>
      <c r="BE49" s="1131">
        <f t="shared" si="1"/>
        <v>0.48000881744241602</v>
      </c>
      <c r="BF49" s="1131">
        <f t="shared" si="2"/>
        <v>0.27400000000000002</v>
      </c>
      <c r="BG49" s="1131">
        <f t="shared" si="3"/>
        <v>0.24599118255758395</v>
      </c>
    </row>
    <row r="50" spans="1:60" ht="14.4" x14ac:dyDescent="0.55000000000000004">
      <c r="B50" s="3">
        <v>2057</v>
      </c>
      <c r="C50" s="707">
        <v>3655.3211397416994</v>
      </c>
      <c r="D50" s="965"/>
      <c r="E50" s="965"/>
      <c r="F50" s="965"/>
      <c r="G50" s="965"/>
      <c r="H50" s="965"/>
      <c r="I50" s="965"/>
      <c r="J50" s="965"/>
      <c r="K50" s="965"/>
      <c r="L50" s="965"/>
      <c r="N50" s="3">
        <v>2057</v>
      </c>
      <c r="O50" s="707">
        <f>C50*Compost!J49/100</f>
        <v>1754.7765549347521</v>
      </c>
      <c r="P50" s="1130"/>
      <c r="Q50" s="1130"/>
      <c r="R50" s="1130"/>
      <c r="S50" s="1130"/>
      <c r="T50" s="1130"/>
      <c r="U50" s="1130"/>
      <c r="V50" s="1130"/>
      <c r="W50" s="1130"/>
      <c r="X50" s="1130"/>
      <c r="AA50" s="3">
        <v>2057</v>
      </c>
      <c r="AB50" s="1243">
        <f>C50*'H&amp;C Recycling'!M47/100</f>
        <v>994.61288212371642</v>
      </c>
      <c r="AC50" s="1129"/>
      <c r="AD50" s="1129"/>
      <c r="AE50" s="1129"/>
      <c r="AF50" s="1129"/>
      <c r="AG50" s="1129"/>
      <c r="AH50" s="528"/>
      <c r="AI50" s="528"/>
      <c r="AJ50" s="528"/>
      <c r="AK50" s="528"/>
      <c r="AM50" s="3">
        <v>2057</v>
      </c>
      <c r="AN50" s="707">
        <f t="shared" si="0"/>
        <v>905.93170268323092</v>
      </c>
      <c r="AO50" s="335"/>
      <c r="AP50" s="335"/>
      <c r="AQ50" s="335"/>
      <c r="AR50" s="335"/>
      <c r="AS50" s="335"/>
      <c r="AT50" s="335"/>
      <c r="AU50" s="335"/>
      <c r="AV50" s="335"/>
      <c r="AW50" s="335"/>
      <c r="AY50" s="3">
        <v>2057</v>
      </c>
      <c r="AZ50" s="707">
        <f>C50*Bioplastics!AL55</f>
        <v>709.07130636970987</v>
      </c>
      <c r="BD50" s="3">
        <v>2057</v>
      </c>
      <c r="BE50" s="1131">
        <f t="shared" si="1"/>
        <v>0.48006084495731943</v>
      </c>
      <c r="BF50" s="1131">
        <f t="shared" si="2"/>
        <v>0.27210000000000001</v>
      </c>
      <c r="BG50" s="1131">
        <f t="shared" si="3"/>
        <v>0.24783915504268059</v>
      </c>
    </row>
    <row r="51" spans="1:60" ht="14.4" x14ac:dyDescent="0.55000000000000004">
      <c r="B51" s="3">
        <v>2058</v>
      </c>
      <c r="C51" s="707">
        <v>3688.8672576804943</v>
      </c>
      <c r="D51" s="965"/>
      <c r="E51" s="965"/>
      <c r="F51" s="965"/>
      <c r="G51" s="965"/>
      <c r="H51" s="965"/>
      <c r="I51" s="965"/>
      <c r="J51" s="965"/>
      <c r="K51" s="965"/>
      <c r="L51" s="965"/>
      <c r="N51" s="3">
        <v>2058</v>
      </c>
      <c r="O51" s="707">
        <f>C51*Compost!J50/100</f>
        <v>1771.0557287907629</v>
      </c>
      <c r="P51" s="1130"/>
      <c r="Q51" s="1130"/>
      <c r="R51" s="1130"/>
      <c r="S51" s="1130"/>
      <c r="T51" s="1130"/>
      <c r="U51" s="1130"/>
      <c r="V51" s="1130"/>
      <c r="W51" s="1130"/>
      <c r="X51" s="1130"/>
      <c r="AA51" s="3">
        <v>2058</v>
      </c>
      <c r="AB51" s="1243">
        <f>C51*'H&amp;C Recycling'!M48/100</f>
        <v>996.73193302526954</v>
      </c>
      <c r="AC51" s="1129"/>
      <c r="AD51" s="1129"/>
      <c r="AE51" s="1129"/>
      <c r="AF51" s="1129"/>
      <c r="AG51" s="1129"/>
      <c r="AH51" s="528"/>
      <c r="AI51" s="528"/>
      <c r="AJ51" s="528"/>
      <c r="AK51" s="528"/>
      <c r="AM51" s="3">
        <v>2058</v>
      </c>
      <c r="AN51" s="707">
        <f t="shared" si="0"/>
        <v>921.07959586446179</v>
      </c>
      <c r="AO51" s="335"/>
      <c r="AP51" s="335"/>
      <c r="AQ51" s="335"/>
      <c r="AR51" s="335"/>
      <c r="AS51" s="335"/>
      <c r="AT51" s="335"/>
      <c r="AU51" s="335"/>
      <c r="AV51" s="335"/>
      <c r="AW51" s="335"/>
      <c r="AY51" s="3">
        <v>2058</v>
      </c>
      <c r="AZ51" s="707">
        <f>C51*Bioplastics!AL56</f>
        <v>724.08938858247984</v>
      </c>
      <c r="BD51" s="3">
        <v>2058</v>
      </c>
      <c r="BE51" s="1131">
        <f t="shared" si="1"/>
        <v>0.48010828394632366</v>
      </c>
      <c r="BF51" s="1131">
        <f t="shared" si="2"/>
        <v>0.2702</v>
      </c>
      <c r="BG51" s="1131">
        <f t="shared" si="3"/>
        <v>0.24969171605367638</v>
      </c>
      <c r="BH51" s="1132"/>
    </row>
    <row r="52" spans="1:60" ht="14.4" x14ac:dyDescent="0.55000000000000004">
      <c r="B52" s="3">
        <v>2059</v>
      </c>
      <c r="C52" s="707">
        <v>3722.1302215748697</v>
      </c>
      <c r="D52" s="965"/>
      <c r="E52" s="965"/>
      <c r="F52" s="965"/>
      <c r="G52" s="965"/>
      <c r="H52" s="965"/>
      <c r="I52" s="965"/>
      <c r="J52" s="965"/>
      <c r="K52" s="965"/>
      <c r="L52" s="965"/>
      <c r="N52" s="3">
        <v>2059</v>
      </c>
      <c r="O52" s="707">
        <f>C52*Compost!J51/100</f>
        <v>1787.1865516405094</v>
      </c>
      <c r="P52" s="1130"/>
      <c r="Q52" s="1130"/>
      <c r="R52" s="1130"/>
      <c r="S52" s="1130"/>
      <c r="T52" s="1130"/>
      <c r="U52" s="1130"/>
      <c r="V52" s="1130"/>
      <c r="W52" s="1130"/>
      <c r="X52" s="1130"/>
      <c r="AA52" s="3">
        <v>2059</v>
      </c>
      <c r="AB52" s="1243">
        <f>C52*'H&amp;C Recycling'!M49/100</f>
        <v>998.64753844853749</v>
      </c>
      <c r="AC52" s="1129"/>
      <c r="AD52" s="1129"/>
      <c r="AE52" s="1129"/>
      <c r="AF52" s="1129"/>
      <c r="AG52" s="1129"/>
      <c r="AH52" s="528"/>
      <c r="AI52" s="528"/>
      <c r="AJ52" s="528"/>
      <c r="AK52" s="528"/>
      <c r="AM52" s="3">
        <v>2059</v>
      </c>
      <c r="AN52" s="707">
        <f t="shared" si="0"/>
        <v>936.2961314858228</v>
      </c>
      <c r="AO52" s="335"/>
      <c r="AP52" s="335"/>
      <c r="AQ52" s="335"/>
      <c r="AR52" s="335"/>
      <c r="AS52" s="335"/>
      <c r="AT52" s="335"/>
      <c r="AU52" s="335"/>
      <c r="AV52" s="335"/>
      <c r="AW52" s="335"/>
      <c r="AY52" s="3">
        <v>2059</v>
      </c>
      <c r="AZ52" s="707">
        <f>C52*Bioplastics!AL57</f>
        <v>739.22931294908301</v>
      </c>
      <c r="BD52" s="3">
        <v>2059</v>
      </c>
      <c r="BE52" s="1131">
        <f t="shared" si="1"/>
        <v>0.48015153829957441</v>
      </c>
      <c r="BF52" s="1131">
        <f t="shared" si="2"/>
        <v>0.26829999999999998</v>
      </c>
      <c r="BG52" s="1131">
        <f t="shared" si="3"/>
        <v>0.25154846170042561</v>
      </c>
      <c r="BH52" s="1132"/>
    </row>
    <row r="53" spans="1:60" ht="14.4" x14ac:dyDescent="0.55000000000000004">
      <c r="B53" s="3">
        <v>2060</v>
      </c>
      <c r="C53" s="707">
        <v>3755.1180285792939</v>
      </c>
      <c r="D53" s="965"/>
      <c r="E53" s="965"/>
      <c r="F53" s="965"/>
      <c r="G53" s="965"/>
      <c r="H53" s="965"/>
      <c r="I53" s="965"/>
      <c r="J53" s="965"/>
      <c r="K53" s="965"/>
      <c r="L53" s="965"/>
      <c r="N53" s="3">
        <v>2060</v>
      </c>
      <c r="O53" s="707">
        <f>C53*Compost!J52/100</f>
        <v>1803.1737929775679</v>
      </c>
      <c r="P53" s="1130"/>
      <c r="Q53" s="1130"/>
      <c r="R53" s="1130"/>
      <c r="S53" s="1130"/>
      <c r="T53" s="1130"/>
      <c r="U53" s="1130"/>
      <c r="V53" s="1130"/>
      <c r="W53" s="1130"/>
      <c r="X53" s="1130"/>
      <c r="AA53" s="3">
        <v>2060</v>
      </c>
      <c r="AB53" s="1243">
        <f>C53*'H&amp;C Recycling'!M50/100</f>
        <v>1000.3634428135238</v>
      </c>
      <c r="AC53" s="1129"/>
      <c r="AD53" s="1129"/>
      <c r="AE53" s="1129"/>
      <c r="AF53" s="1129"/>
      <c r="AG53" s="1129"/>
      <c r="AH53" s="528"/>
      <c r="AI53" s="528"/>
      <c r="AJ53" s="528"/>
      <c r="AK53" s="528"/>
      <c r="AM53" s="3">
        <v>2060</v>
      </c>
      <c r="AN53" s="707">
        <f t="shared" si="0"/>
        <v>951.58079278820219</v>
      </c>
      <c r="AO53" s="335"/>
      <c r="AP53" s="335"/>
      <c r="AQ53" s="335"/>
      <c r="AR53" s="335"/>
      <c r="AS53" s="335"/>
      <c r="AT53" s="335"/>
      <c r="AU53" s="335"/>
      <c r="AV53" s="335"/>
      <c r="AW53" s="335"/>
      <c r="AY53" s="3">
        <v>2060</v>
      </c>
      <c r="AZ53" s="707">
        <f>C53*Bioplastics!AL58</f>
        <v>754.48668025133588</v>
      </c>
      <c r="BD53" s="3">
        <v>2060</v>
      </c>
      <c r="BE53" s="1131">
        <f t="shared" si="1"/>
        <v>0.48019097648969988</v>
      </c>
      <c r="BF53" s="1131">
        <f t="shared" si="2"/>
        <v>0.26639999999999997</v>
      </c>
      <c r="BG53" s="1131">
        <f t="shared" si="3"/>
        <v>0.25340902351030015</v>
      </c>
      <c r="BH53" s="1132"/>
    </row>
    <row r="54" spans="1:60" x14ac:dyDescent="0.4">
      <c r="C54" s="609"/>
    </row>
    <row r="55" spans="1:60" x14ac:dyDescent="0.4">
      <c r="C55" s="609"/>
    </row>
    <row r="56" spans="1:60" ht="22.5" x14ac:dyDescent="0.75">
      <c r="A56" s="336" t="s">
        <v>146</v>
      </c>
    </row>
    <row r="57" spans="1:60" ht="200.05" customHeight="1" x14ac:dyDescent="0.4">
      <c r="B57" s="1280" t="s">
        <v>466</v>
      </c>
      <c r="C57" s="1281"/>
      <c r="D57" s="341"/>
      <c r="E57" s="1280" t="s">
        <v>467</v>
      </c>
      <c r="F57" s="1281"/>
      <c r="H57" s="1280" t="s">
        <v>468</v>
      </c>
      <c r="I57" s="1281"/>
      <c r="L57" s="1280" t="s">
        <v>469</v>
      </c>
      <c r="M57" s="1281"/>
      <c r="Q57" s="1280" t="s">
        <v>1093</v>
      </c>
      <c r="R57" s="1281"/>
      <c r="T57" s="639" t="s">
        <v>470</v>
      </c>
      <c r="U57" s="640"/>
      <c r="W57" s="1275" t="s">
        <v>471</v>
      </c>
      <c r="X57" s="1276"/>
      <c r="Y57" s="637"/>
      <c r="AA57" s="1275" t="s">
        <v>1031</v>
      </c>
      <c r="AB57" s="1276"/>
      <c r="AD57" s="1275" t="s">
        <v>1095</v>
      </c>
      <c r="AE57" s="1276"/>
      <c r="AG57" s="1275" t="s">
        <v>472</v>
      </c>
      <c r="AH57" s="1276"/>
      <c r="AK57" s="1275" t="s">
        <v>473</v>
      </c>
      <c r="AL57" s="1276"/>
      <c r="AM57" s="1276"/>
      <c r="AN57" s="1276"/>
    </row>
    <row r="58" spans="1:60" ht="135.30000000000001" x14ac:dyDescent="0.4">
      <c r="B58" s="641" t="s">
        <v>148</v>
      </c>
      <c r="C58" s="641"/>
      <c r="D58" s="341"/>
      <c r="E58" s="340" t="s">
        <v>125</v>
      </c>
      <c r="F58" s="340" t="s">
        <v>149</v>
      </c>
      <c r="G58" s="341"/>
      <c r="H58" s="340" t="s">
        <v>126</v>
      </c>
      <c r="I58" s="341"/>
      <c r="J58" s="341"/>
      <c r="K58" s="341"/>
      <c r="L58" s="641" t="s">
        <v>488</v>
      </c>
      <c r="M58" s="641"/>
      <c r="N58" s="341"/>
      <c r="O58" s="341"/>
      <c r="P58" s="341"/>
      <c r="Q58" s="1198" t="s">
        <v>127</v>
      </c>
      <c r="R58" s="641"/>
      <c r="S58" s="341"/>
      <c r="T58" s="340" t="s">
        <v>128</v>
      </c>
      <c r="U58" s="340" t="s">
        <v>149</v>
      </c>
      <c r="V58" s="341"/>
      <c r="W58" s="641" t="s">
        <v>129</v>
      </c>
      <c r="X58" s="641"/>
      <c r="Y58" s="340" t="s">
        <v>149</v>
      </c>
      <c r="Z58" s="341"/>
      <c r="AA58" s="641" t="s">
        <v>130</v>
      </c>
      <c r="AB58" s="641"/>
      <c r="AD58" s="641" t="s">
        <v>150</v>
      </c>
      <c r="AE58" s="641"/>
      <c r="AF58" s="341"/>
      <c r="AG58" s="1173" t="s">
        <v>131</v>
      </c>
      <c r="AH58" s="341"/>
    </row>
    <row r="59" spans="1:60" x14ac:dyDescent="0.4">
      <c r="B59" s="2"/>
      <c r="C59" s="334" t="s">
        <v>147</v>
      </c>
      <c r="E59" s="2"/>
      <c r="F59" s="334" t="s">
        <v>115</v>
      </c>
      <c r="H59" s="2"/>
      <c r="I59" s="334" t="s">
        <v>115</v>
      </c>
      <c r="L59" s="2"/>
      <c r="M59" s="334" t="s">
        <v>115</v>
      </c>
      <c r="Q59" s="2"/>
      <c r="R59" s="334" t="s">
        <v>115</v>
      </c>
      <c r="T59" s="2"/>
      <c r="U59" s="334" t="s">
        <v>115</v>
      </c>
      <c r="W59" s="2"/>
      <c r="X59" s="342"/>
      <c r="Y59" s="334" t="s">
        <v>115</v>
      </c>
      <c r="AA59" s="2"/>
      <c r="AB59" s="334" t="s">
        <v>115</v>
      </c>
      <c r="AD59" s="2"/>
      <c r="AE59" s="334" t="s">
        <v>115</v>
      </c>
      <c r="AG59" s="2"/>
      <c r="AH59" s="334" t="s">
        <v>115</v>
      </c>
      <c r="AK59" s="2" t="s">
        <v>114</v>
      </c>
      <c r="AL59" s="334" t="s">
        <v>156</v>
      </c>
      <c r="AM59" s="2" t="s">
        <v>157</v>
      </c>
      <c r="AN59" s="2" t="s">
        <v>158</v>
      </c>
    </row>
    <row r="60" spans="1:60" ht="14.4" x14ac:dyDescent="0.55000000000000004">
      <c r="B60" s="3">
        <v>2014</v>
      </c>
      <c r="C60" s="707">
        <f>'Food System Summary'!F12</f>
        <v>-2.3841857910156249E-13</v>
      </c>
      <c r="E60" s="3">
        <v>2014</v>
      </c>
      <c r="F60" s="335">
        <f t="shared" ref="F60:F106" si="4">C7-C60</f>
        <v>1773.3333333333335</v>
      </c>
      <c r="H60" s="3">
        <v>2014</v>
      </c>
      <c r="I60" s="335">
        <f t="shared" ref="I60:I106" si="5">O7-C60</f>
        <v>804.14197831832132</v>
      </c>
      <c r="L60" s="3">
        <v>2014</v>
      </c>
      <c r="M60" s="707">
        <f>Bioplastics!B60</f>
        <v>1.67</v>
      </c>
      <c r="Q60" s="3">
        <v>2014</v>
      </c>
      <c r="R60" s="1197">
        <v>0.39100000000000001</v>
      </c>
      <c r="T60" s="3">
        <v>2014</v>
      </c>
      <c r="U60" s="335">
        <f t="shared" ref="U60:U106" si="6">F60</f>
        <v>1773.3333333333335</v>
      </c>
      <c r="W60" s="3">
        <v>2014</v>
      </c>
      <c r="X60" s="343"/>
      <c r="Y60" s="335">
        <f t="shared" ref="Y60:Y106" si="7">I60+R60*M60</f>
        <v>804.7949483183213</v>
      </c>
      <c r="AA60" s="3">
        <v>2014</v>
      </c>
      <c r="AB60" s="335">
        <f t="shared" ref="AB60:AB106" si="8">AB7-M60*R60</f>
        <v>626.75236333333328</v>
      </c>
      <c r="AD60" s="3">
        <v>2014</v>
      </c>
      <c r="AE60" s="335">
        <f t="shared" ref="AE60:AE106" si="9">U60-Y60-AB60</f>
        <v>341.7860216816789</v>
      </c>
      <c r="AG60" s="3">
        <v>2014</v>
      </c>
      <c r="AH60" s="335">
        <f t="shared" ref="AH60:AH106" si="10">AZ7-M60</f>
        <v>239.52999999999997</v>
      </c>
      <c r="AK60" s="3">
        <v>2014</v>
      </c>
      <c r="AL60" s="338">
        <f t="shared" ref="AL60:AL106" si="11">Y60/U60</f>
        <v>0.4538317377734894</v>
      </c>
      <c r="AM60" s="338">
        <f t="shared" ref="AM60:AM106" si="12">AB60/U60</f>
        <v>0.3534317838345864</v>
      </c>
      <c r="AN60" s="338">
        <f t="shared" ref="AN60:AN106" si="13">AE60/U60</f>
        <v>0.19273647839192418</v>
      </c>
    </row>
    <row r="61" spans="1:60" ht="14.4" x14ac:dyDescent="0.55000000000000004">
      <c r="B61" s="3">
        <v>2015</v>
      </c>
      <c r="C61" s="707">
        <f>'Food System Summary'!F13</f>
        <v>0</v>
      </c>
      <c r="E61" s="3">
        <v>2015</v>
      </c>
      <c r="F61" s="335">
        <f t="shared" si="4"/>
        <v>1891.6666666666667</v>
      </c>
      <c r="H61" s="3">
        <v>2015</v>
      </c>
      <c r="I61" s="335">
        <f t="shared" si="5"/>
        <v>862.10382892596351</v>
      </c>
      <c r="L61" s="3">
        <v>2015</v>
      </c>
      <c r="M61" s="707">
        <v>2.1702979421864401</v>
      </c>
      <c r="Q61" s="3">
        <v>2015</v>
      </c>
      <c r="R61" s="1197">
        <v>0.36300000000000004</v>
      </c>
      <c r="T61" s="3">
        <v>2015</v>
      </c>
      <c r="U61" s="335">
        <f t="shared" si="6"/>
        <v>1891.6666666666667</v>
      </c>
      <c r="W61" s="3">
        <v>2015</v>
      </c>
      <c r="X61" s="343"/>
      <c r="Y61" s="335">
        <f t="shared" si="7"/>
        <v>862.89164707897714</v>
      </c>
      <c r="AA61" s="3">
        <v>2015</v>
      </c>
      <c r="AB61" s="335">
        <f t="shared" si="8"/>
        <v>664.88968184698638</v>
      </c>
      <c r="AD61" s="3">
        <v>2015</v>
      </c>
      <c r="AE61" s="335">
        <f t="shared" si="9"/>
        <v>363.88533774070333</v>
      </c>
      <c r="AG61" s="3">
        <v>2015</v>
      </c>
      <c r="AH61" s="335">
        <f t="shared" si="10"/>
        <v>247.56089176842445</v>
      </c>
      <c r="AK61" s="3">
        <v>2015</v>
      </c>
      <c r="AL61" s="338">
        <f t="shared" si="11"/>
        <v>0.45615417466730068</v>
      </c>
      <c r="AM61" s="338">
        <f t="shared" si="12"/>
        <v>0.35148353225391349</v>
      </c>
      <c r="AN61" s="338">
        <f t="shared" si="13"/>
        <v>0.19236229307878588</v>
      </c>
    </row>
    <row r="62" spans="1:60" ht="14.4" x14ac:dyDescent="0.55000000000000004">
      <c r="B62" s="3">
        <v>2016</v>
      </c>
      <c r="C62" s="707">
        <f>'Food System Summary'!F14</f>
        <v>0</v>
      </c>
      <c r="E62" s="3">
        <v>2016</v>
      </c>
      <c r="F62" s="335">
        <f t="shared" si="4"/>
        <v>2009.9999999999998</v>
      </c>
      <c r="H62" s="3">
        <v>2016</v>
      </c>
      <c r="I62" s="335">
        <f t="shared" si="5"/>
        <v>924.59999999999991</v>
      </c>
      <c r="L62" s="3">
        <v>2016</v>
      </c>
      <c r="M62" s="707">
        <f>Bioplastics!B62</f>
        <v>2.0499999999999998</v>
      </c>
      <c r="Q62" s="3">
        <v>2016</v>
      </c>
      <c r="R62" s="1197">
        <v>0.36899999999999999</v>
      </c>
      <c r="T62" s="3">
        <v>2016</v>
      </c>
      <c r="U62" s="335">
        <f t="shared" si="6"/>
        <v>2009.9999999999998</v>
      </c>
      <c r="W62" s="3">
        <v>2016</v>
      </c>
      <c r="X62" s="343"/>
      <c r="Y62" s="335">
        <f t="shared" si="7"/>
        <v>925.35644999999988</v>
      </c>
      <c r="AA62" s="3">
        <v>2016</v>
      </c>
      <c r="AB62" s="335">
        <f t="shared" si="8"/>
        <v>702.74354999999991</v>
      </c>
      <c r="AD62" s="3">
        <v>2016</v>
      </c>
      <c r="AE62" s="335">
        <f t="shared" si="9"/>
        <v>381.89999999999986</v>
      </c>
      <c r="AG62" s="3">
        <v>2016</v>
      </c>
      <c r="AH62" s="335">
        <f t="shared" si="10"/>
        <v>257.7635048231511</v>
      </c>
      <c r="AK62" s="3">
        <v>2016</v>
      </c>
      <c r="AL62" s="338">
        <f t="shared" si="11"/>
        <v>0.46037634328358207</v>
      </c>
      <c r="AM62" s="338">
        <f t="shared" si="12"/>
        <v>0.34962365671641793</v>
      </c>
      <c r="AN62" s="338">
        <f t="shared" si="13"/>
        <v>0.18999999999999995</v>
      </c>
    </row>
    <row r="63" spans="1:60" ht="14.4" x14ac:dyDescent="0.55000000000000004">
      <c r="B63" s="3">
        <v>2017</v>
      </c>
      <c r="C63" s="707">
        <f>'Food System Summary'!F15</f>
        <v>2.3841857910156249E-13</v>
      </c>
      <c r="E63" s="3">
        <v>2017</v>
      </c>
      <c r="F63" s="335">
        <f t="shared" si="4"/>
        <v>2123.3242114408085</v>
      </c>
      <c r="H63" s="3">
        <v>2017</v>
      </c>
      <c r="I63" s="335">
        <f t="shared" si="5"/>
        <v>976.21069943703094</v>
      </c>
      <c r="L63" s="3">
        <v>2017</v>
      </c>
      <c r="M63" s="707">
        <f>Bioplastics!B63</f>
        <v>2.27</v>
      </c>
      <c r="Q63" s="3">
        <v>2017</v>
      </c>
      <c r="R63" s="1197">
        <v>0.38700000000000001</v>
      </c>
      <c r="T63" s="3">
        <v>2017</v>
      </c>
      <c r="U63" s="335">
        <f t="shared" si="6"/>
        <v>2123.3242114408085</v>
      </c>
      <c r="W63" s="3">
        <v>2017</v>
      </c>
      <c r="X63" s="343"/>
      <c r="Y63" s="335">
        <f t="shared" si="7"/>
        <v>977.089189437031</v>
      </c>
      <c r="AA63" s="3">
        <v>2017</v>
      </c>
      <c r="AB63" s="335">
        <f t="shared" si="8"/>
        <v>738.25066800254558</v>
      </c>
      <c r="AD63" s="3">
        <v>2017</v>
      </c>
      <c r="AE63" s="335">
        <f t="shared" si="9"/>
        <v>407.98435400123185</v>
      </c>
      <c r="AG63" s="3">
        <v>2017</v>
      </c>
      <c r="AH63" s="335">
        <f t="shared" si="10"/>
        <v>267.62581993569131</v>
      </c>
      <c r="AK63" s="3">
        <v>2017</v>
      </c>
      <c r="AL63" s="338">
        <f t="shared" si="11"/>
        <v>0.46016957004131498</v>
      </c>
      <c r="AM63" s="338">
        <f t="shared" si="12"/>
        <v>0.34768626666843133</v>
      </c>
      <c r="AN63" s="338">
        <f t="shared" si="13"/>
        <v>0.19214416329025369</v>
      </c>
    </row>
    <row r="64" spans="1:60" ht="14.4" x14ac:dyDescent="0.55000000000000004">
      <c r="B64" s="3">
        <v>2018</v>
      </c>
      <c r="C64" s="707">
        <f>'Food System Summary'!F16</f>
        <v>0</v>
      </c>
      <c r="E64" s="3">
        <v>2018</v>
      </c>
      <c r="F64" s="335">
        <f t="shared" si="4"/>
        <v>2160.7043297289983</v>
      </c>
      <c r="H64" s="3">
        <v>2018</v>
      </c>
      <c r="I64" s="335">
        <f t="shared" si="5"/>
        <v>997.21871385837414</v>
      </c>
      <c r="L64" s="3">
        <v>2018</v>
      </c>
      <c r="M64" s="707">
        <f>Bioplastics!B64</f>
        <v>2.1100000000000136</v>
      </c>
      <c r="Q64" s="3">
        <v>2018</v>
      </c>
      <c r="R64" s="1197">
        <v>0.43200000000000005</v>
      </c>
      <c r="T64" s="3">
        <v>2018</v>
      </c>
      <c r="U64" s="335">
        <f t="shared" si="6"/>
        <v>2160.7043297289983</v>
      </c>
      <c r="W64" s="3">
        <v>2018</v>
      </c>
      <c r="X64" s="343"/>
      <c r="Y64" s="335">
        <f t="shared" si="7"/>
        <v>998.13023385837414</v>
      </c>
      <c r="AA64" s="3">
        <v>2018</v>
      </c>
      <c r="AB64" s="335">
        <f t="shared" si="8"/>
        <v>747.12431895217935</v>
      </c>
      <c r="AD64" s="3">
        <v>2018</v>
      </c>
      <c r="AE64" s="335">
        <f t="shared" si="9"/>
        <v>415.44977691844485</v>
      </c>
      <c r="AG64" s="3">
        <v>2018</v>
      </c>
      <c r="AH64" s="335">
        <f t="shared" si="10"/>
        <v>276.31700964630221</v>
      </c>
      <c r="AK64" s="3">
        <v>2018</v>
      </c>
      <c r="AL64" s="338">
        <f t="shared" si="11"/>
        <v>0.4619466995669706</v>
      </c>
      <c r="AM64" s="338">
        <f t="shared" si="12"/>
        <v>0.34577813756030462</v>
      </c>
      <c r="AN64" s="338">
        <f t="shared" si="13"/>
        <v>0.19227516287272481</v>
      </c>
    </row>
    <row r="65" spans="2:40" ht="14.4" x14ac:dyDescent="0.55000000000000004">
      <c r="B65" s="3">
        <v>2019</v>
      </c>
      <c r="C65" s="707">
        <f>'Food System Summary'!F17</f>
        <v>53.117315912884713</v>
      </c>
      <c r="E65" s="3">
        <v>2019</v>
      </c>
      <c r="F65" s="335">
        <f t="shared" si="4"/>
        <v>2144.7861044407014</v>
      </c>
      <c r="H65" s="3">
        <v>2019</v>
      </c>
      <c r="I65" s="335">
        <f t="shared" si="5"/>
        <v>964.840314881209</v>
      </c>
      <c r="L65" s="3">
        <v>2019</v>
      </c>
      <c r="M65" s="707">
        <f>Bioplastics!B65</f>
        <v>2.2120000000000175</v>
      </c>
      <c r="Q65" s="3">
        <v>2019</v>
      </c>
      <c r="R65" s="1197">
        <v>0.43442538507158451</v>
      </c>
      <c r="T65" s="3">
        <v>2019</v>
      </c>
      <c r="U65" s="335">
        <f t="shared" si="6"/>
        <v>2144.7861044407014</v>
      </c>
      <c r="W65" s="3">
        <v>2019</v>
      </c>
      <c r="X65" s="343"/>
      <c r="Y65" s="335">
        <f t="shared" si="7"/>
        <v>965.80126383298739</v>
      </c>
      <c r="AA65" s="3">
        <v>2019</v>
      </c>
      <c r="AB65" s="335">
        <f t="shared" si="8"/>
        <v>755.77719867596147</v>
      </c>
      <c r="AD65" s="3">
        <v>2019</v>
      </c>
      <c r="AE65" s="335">
        <f t="shared" si="9"/>
        <v>423.20764193175251</v>
      </c>
      <c r="AG65" s="3">
        <v>2019</v>
      </c>
      <c r="AH65" s="335">
        <f t="shared" si="10"/>
        <v>264.35113642222552</v>
      </c>
      <c r="AK65" s="3">
        <v>2019</v>
      </c>
      <c r="AL65" s="338">
        <f t="shared" si="11"/>
        <v>0.45030190275539883</v>
      </c>
      <c r="AM65" s="338">
        <f t="shared" si="12"/>
        <v>0.35237882095149364</v>
      </c>
      <c r="AN65" s="338">
        <f t="shared" si="13"/>
        <v>0.19731927629310753</v>
      </c>
    </row>
    <row r="66" spans="2:40" ht="14.4" x14ac:dyDescent="0.55000000000000004">
      <c r="B66" s="3">
        <v>2020</v>
      </c>
      <c r="C66" s="707">
        <f>'Food System Summary'!F18</f>
        <v>106.54635670267987</v>
      </c>
      <c r="E66" s="3">
        <v>2020</v>
      </c>
      <c r="F66" s="335">
        <f t="shared" si="4"/>
        <v>2128.9416327053264</v>
      </c>
      <c r="H66" s="3">
        <v>2020</v>
      </c>
      <c r="I66" s="335">
        <f t="shared" si="5"/>
        <v>932.15158563702073</v>
      </c>
      <c r="L66" s="3">
        <v>2020</v>
      </c>
      <c r="M66" s="707">
        <f>Bioplastics!B66</f>
        <v>2.3140000000000214</v>
      </c>
      <c r="Q66" s="3">
        <v>2020</v>
      </c>
      <c r="R66" s="1197">
        <v>0.44838947206870899</v>
      </c>
      <c r="T66" s="3">
        <v>2020</v>
      </c>
      <c r="U66" s="335">
        <f t="shared" si="6"/>
        <v>2128.9416327053264</v>
      </c>
      <c r="W66" s="3">
        <v>2020</v>
      </c>
      <c r="X66" s="343"/>
      <c r="Y66" s="335">
        <f t="shared" si="7"/>
        <v>933.18915887538776</v>
      </c>
      <c r="AA66" s="3">
        <v>2020</v>
      </c>
      <c r="AB66" s="335">
        <f t="shared" si="8"/>
        <v>764.39351433493459</v>
      </c>
      <c r="AD66" s="3">
        <v>2020</v>
      </c>
      <c r="AE66" s="335">
        <f t="shared" si="9"/>
        <v>431.35895949500389</v>
      </c>
      <c r="AG66" s="3">
        <v>2020</v>
      </c>
      <c r="AH66" s="335">
        <f t="shared" si="10"/>
        <v>274.17290247270671</v>
      </c>
      <c r="AK66" s="3">
        <v>2020</v>
      </c>
      <c r="AL66" s="338">
        <f t="shared" si="11"/>
        <v>0.43833477843615143</v>
      </c>
      <c r="AM66" s="338">
        <f t="shared" si="12"/>
        <v>0.35904860076581385</v>
      </c>
      <c r="AN66" s="338">
        <f t="shared" si="13"/>
        <v>0.20261662079803466</v>
      </c>
    </row>
    <row r="67" spans="2:40" ht="14.4" x14ac:dyDescent="0.55000000000000004">
      <c r="B67" s="3">
        <v>2021</v>
      </c>
      <c r="C67" s="707">
        <f>'Food System Summary'!F19</f>
        <v>160.09996373372053</v>
      </c>
      <c r="E67" s="3">
        <v>2021</v>
      </c>
      <c r="F67" s="335">
        <f t="shared" si="4"/>
        <v>2110.1853637992258</v>
      </c>
      <c r="H67" s="3">
        <v>2021</v>
      </c>
      <c r="I67" s="335">
        <f t="shared" si="5"/>
        <v>897.87102443631727</v>
      </c>
      <c r="L67" s="3">
        <v>2021</v>
      </c>
      <c r="M67" s="707">
        <f>Bioplastics!B67</f>
        <v>2.4160000000000252</v>
      </c>
      <c r="Q67" s="3">
        <v>2021</v>
      </c>
      <c r="R67" s="1197">
        <v>0.46200878452943045</v>
      </c>
      <c r="T67" s="3">
        <v>2021</v>
      </c>
      <c r="U67" s="335">
        <f t="shared" si="6"/>
        <v>2110.1853637992258</v>
      </c>
      <c r="W67" s="3">
        <v>2021</v>
      </c>
      <c r="X67" s="343"/>
      <c r="Y67" s="335">
        <f t="shared" si="7"/>
        <v>898.98723765974034</v>
      </c>
      <c r="AA67" s="3">
        <v>2021</v>
      </c>
      <c r="AB67" s="335">
        <f t="shared" si="8"/>
        <v>771.91594080154539</v>
      </c>
      <c r="AD67" s="3">
        <v>2021</v>
      </c>
      <c r="AE67" s="335">
        <f t="shared" si="9"/>
        <v>439.28218533793995</v>
      </c>
      <c r="AG67" s="3">
        <v>2021</v>
      </c>
      <c r="AH67" s="335">
        <f t="shared" si="10"/>
        <v>281.59902082012206</v>
      </c>
      <c r="AK67" s="3">
        <v>2021</v>
      </c>
      <c r="AL67" s="338">
        <f t="shared" si="11"/>
        <v>0.42602287603833211</v>
      </c>
      <c r="AM67" s="338">
        <f t="shared" si="12"/>
        <v>0.36580480276470612</v>
      </c>
      <c r="AN67" s="338">
        <f t="shared" si="13"/>
        <v>0.20817232119696172</v>
      </c>
    </row>
    <row r="68" spans="2:40" ht="14.4" x14ac:dyDescent="0.55000000000000004">
      <c r="B68" s="3">
        <v>2022</v>
      </c>
      <c r="C68" s="707">
        <f>'Food System Summary'!F20</f>
        <v>213.7669753937831</v>
      </c>
      <c r="E68" s="3">
        <v>2022</v>
      </c>
      <c r="F68" s="335">
        <f t="shared" si="4"/>
        <v>2091.6611963644132</v>
      </c>
      <c r="H68" s="3">
        <v>2022</v>
      </c>
      <c r="I68" s="335">
        <f t="shared" si="5"/>
        <v>863.47127166580356</v>
      </c>
      <c r="L68" s="3">
        <v>2022</v>
      </c>
      <c r="M68" s="707">
        <f>Bioplastics!B68</f>
        <v>2.5180000000000291</v>
      </c>
      <c r="Q68" s="3">
        <v>2022</v>
      </c>
      <c r="R68" s="1197">
        <v>0.47529183496738303</v>
      </c>
      <c r="T68" s="3">
        <v>2022</v>
      </c>
      <c r="U68" s="335">
        <f t="shared" si="6"/>
        <v>2091.6611963644132</v>
      </c>
      <c r="W68" s="3">
        <v>2022</v>
      </c>
      <c r="X68" s="343"/>
      <c r="Y68" s="335">
        <f t="shared" si="7"/>
        <v>864.66805650625145</v>
      </c>
      <c r="AA68" s="3">
        <v>2022</v>
      </c>
      <c r="AB68" s="335">
        <f t="shared" si="8"/>
        <v>779.4211941168777</v>
      </c>
      <c r="AD68" s="3">
        <v>2022</v>
      </c>
      <c r="AE68" s="335">
        <f t="shared" si="9"/>
        <v>447.57194574128391</v>
      </c>
      <c r="AG68" s="3">
        <v>2022</v>
      </c>
      <c r="AH68" s="335">
        <f t="shared" si="10"/>
        <v>289.0236315661092</v>
      </c>
      <c r="AK68" s="3">
        <v>2022</v>
      </c>
      <c r="AL68" s="338">
        <f t="shared" si="11"/>
        <v>0.41338819977592939</v>
      </c>
      <c r="AM68" s="338">
        <f t="shared" si="12"/>
        <v>0.37263262112985407</v>
      </c>
      <c r="AN68" s="338">
        <f t="shared" si="13"/>
        <v>0.21397917909421649</v>
      </c>
    </row>
    <row r="69" spans="2:40" ht="14.4" x14ac:dyDescent="0.55000000000000004">
      <c r="B69" s="3">
        <v>2023</v>
      </c>
      <c r="C69" s="707">
        <f>'Food System Summary'!F21</f>
        <v>267.50114115409565</v>
      </c>
      <c r="E69" s="3">
        <v>2023</v>
      </c>
      <c r="F69" s="335">
        <f t="shared" si="4"/>
        <v>2072.6537138939975</v>
      </c>
      <c r="H69" s="3">
        <v>2023</v>
      </c>
      <c r="I69" s="335">
        <f t="shared" si="5"/>
        <v>828.65198475071179</v>
      </c>
      <c r="L69" s="3">
        <v>2023</v>
      </c>
      <c r="M69" s="707">
        <f>Bioplastics!B69</f>
        <v>2.6200000000000045</v>
      </c>
      <c r="Q69" s="3">
        <v>2023</v>
      </c>
      <c r="R69" s="1197">
        <v>0.49235474006116209</v>
      </c>
      <c r="T69" s="3">
        <v>2023</v>
      </c>
      <c r="U69" s="335">
        <f t="shared" si="6"/>
        <v>2072.6537138939975</v>
      </c>
      <c r="W69" s="3">
        <v>2023</v>
      </c>
      <c r="X69" s="343"/>
      <c r="Y69" s="335">
        <f t="shared" si="7"/>
        <v>829.94195416967204</v>
      </c>
      <c r="AA69" s="3">
        <v>2023</v>
      </c>
      <c r="AB69" s="335">
        <f t="shared" si="8"/>
        <v>786.640170275733</v>
      </c>
      <c r="AD69" s="3">
        <v>2023</v>
      </c>
      <c r="AE69" s="335">
        <f t="shared" si="9"/>
        <v>456.07158944859248</v>
      </c>
      <c r="AG69" s="3">
        <v>2023</v>
      </c>
      <c r="AH69" s="335">
        <f t="shared" si="10"/>
        <v>296.44202574315938</v>
      </c>
      <c r="AK69" s="3">
        <v>2023</v>
      </c>
      <c r="AL69" s="338">
        <f t="shared" si="11"/>
        <v>0.40042480256406116</v>
      </c>
      <c r="AM69" s="338">
        <f t="shared" si="12"/>
        <v>0.37953284960362871</v>
      </c>
      <c r="AN69" s="338">
        <f t="shared" si="13"/>
        <v>0.22004234783231016</v>
      </c>
    </row>
    <row r="70" spans="2:40" ht="14.4" x14ac:dyDescent="0.55000000000000004">
      <c r="B70" s="3">
        <v>2024</v>
      </c>
      <c r="C70" s="707">
        <f>'Food System Summary'!F22</f>
        <v>321.26232008042575</v>
      </c>
      <c r="E70" s="3">
        <v>2024</v>
      </c>
      <c r="F70" s="335">
        <f t="shared" si="4"/>
        <v>2053.1644379687023</v>
      </c>
      <c r="H70" s="3">
        <v>2024</v>
      </c>
      <c r="I70" s="335">
        <f t="shared" si="5"/>
        <v>793.44255015535168</v>
      </c>
      <c r="L70" s="3">
        <v>2024</v>
      </c>
      <c r="M70" s="707">
        <f>Bioplastics!B70</f>
        <v>6.5650350579526275</v>
      </c>
      <c r="Q70" s="3">
        <v>2024</v>
      </c>
      <c r="R70" s="1197">
        <v>0.5008821541451981</v>
      </c>
      <c r="T70" s="3">
        <v>2024</v>
      </c>
      <c r="U70" s="335">
        <f t="shared" si="6"/>
        <v>2053.1644379687023</v>
      </c>
      <c r="W70" s="3">
        <v>2024</v>
      </c>
      <c r="X70" s="343"/>
      <c r="Y70" s="335">
        <f t="shared" si="7"/>
        <v>796.73085905721769</v>
      </c>
      <c r="AA70" s="3">
        <v>2024</v>
      </c>
      <c r="AB70" s="335">
        <f t="shared" si="8"/>
        <v>791.66976969298264</v>
      </c>
      <c r="AD70" s="3">
        <v>2024</v>
      </c>
      <c r="AE70" s="335">
        <f t="shared" si="9"/>
        <v>464.76380921850193</v>
      </c>
      <c r="AG70" s="3">
        <v>2024</v>
      </c>
      <c r="AH70" s="335">
        <f t="shared" si="10"/>
        <v>301.43959781673249</v>
      </c>
      <c r="AK70" s="3">
        <v>2024</v>
      </c>
      <c r="AL70" s="338">
        <f t="shared" si="11"/>
        <v>0.38805019428714788</v>
      </c>
      <c r="AM70" s="338">
        <f t="shared" si="12"/>
        <v>0.38558517528007691</v>
      </c>
      <c r="AN70" s="338">
        <f t="shared" si="13"/>
        <v>0.22636463043277522</v>
      </c>
    </row>
    <row r="71" spans="2:40" ht="14.4" x14ac:dyDescent="0.55000000000000004">
      <c r="B71" s="3">
        <v>2025</v>
      </c>
      <c r="C71" s="707">
        <f>'Food System Summary'!F23</f>
        <v>375.01456949694608</v>
      </c>
      <c r="E71" s="3">
        <v>2025</v>
      </c>
      <c r="F71" s="335">
        <f t="shared" si="4"/>
        <v>2032.1623180877441</v>
      </c>
      <c r="H71" s="3">
        <v>2025</v>
      </c>
      <c r="I71" s="335">
        <f t="shared" si="5"/>
        <v>756.35856766785832</v>
      </c>
      <c r="L71" s="3">
        <v>2025</v>
      </c>
      <c r="M71" s="707">
        <f>Bioplastics!B71</f>
        <v>9.903950645821169</v>
      </c>
      <c r="Q71" s="3">
        <v>2025</v>
      </c>
      <c r="R71" s="1197">
        <v>0.51320541766758221</v>
      </c>
      <c r="T71" s="3">
        <v>2025</v>
      </c>
      <c r="U71" s="335">
        <f t="shared" si="6"/>
        <v>2032.1623180877441</v>
      </c>
      <c r="W71" s="3">
        <v>2025</v>
      </c>
      <c r="X71" s="343"/>
      <c r="Y71" s="335">
        <f t="shared" si="7"/>
        <v>761.44132879560607</v>
      </c>
      <c r="AA71" s="3">
        <v>2025</v>
      </c>
      <c r="AB71" s="335">
        <f t="shared" si="8"/>
        <v>796.26642474919606</v>
      </c>
      <c r="AD71" s="3">
        <v>2025</v>
      </c>
      <c r="AE71" s="335">
        <f t="shared" si="9"/>
        <v>474.45456454294197</v>
      </c>
      <c r="AG71" s="3">
        <v>2025</v>
      </c>
      <c r="AH71" s="335">
        <f t="shared" si="10"/>
        <v>307.21361681682771</v>
      </c>
      <c r="AK71" s="3">
        <v>2025</v>
      </c>
      <c r="AL71" s="338">
        <f t="shared" si="11"/>
        <v>0.37469513238101915</v>
      </c>
      <c r="AM71" s="338">
        <f t="shared" si="12"/>
        <v>0.39183209808677061</v>
      </c>
      <c r="AN71" s="338">
        <f t="shared" si="13"/>
        <v>0.23347276953221022</v>
      </c>
    </row>
    <row r="72" spans="2:40" ht="14.4" x14ac:dyDescent="0.55000000000000004">
      <c r="B72" s="3">
        <v>2026</v>
      </c>
      <c r="C72" s="707">
        <f>'Food System Summary'!F24</f>
        <v>428.72361475064184</v>
      </c>
      <c r="E72" s="3">
        <v>2026</v>
      </c>
      <c r="F72" s="335">
        <f t="shared" si="4"/>
        <v>2021.1944603275492</v>
      </c>
      <c r="H72" s="3">
        <v>2026</v>
      </c>
      <c r="I72" s="335">
        <f t="shared" si="5"/>
        <v>725.9417380687612</v>
      </c>
      <c r="L72" s="3">
        <v>2026</v>
      </c>
      <c r="M72" s="707">
        <f>Bioplastics!B72</f>
        <v>14.047043510247022</v>
      </c>
      <c r="Q72" s="3">
        <v>2026</v>
      </c>
      <c r="R72" s="1197">
        <v>0.52522441872950065</v>
      </c>
      <c r="T72" s="3">
        <v>2026</v>
      </c>
      <c r="U72" s="335">
        <f t="shared" si="6"/>
        <v>2021.1944603275492</v>
      </c>
      <c r="W72" s="3">
        <v>2026</v>
      </c>
      <c r="X72" s="343"/>
      <c r="Y72" s="335">
        <f t="shared" si="7"/>
        <v>733.31958833129875</v>
      </c>
      <c r="AA72" s="3">
        <v>2026</v>
      </c>
      <c r="AB72" s="335">
        <f t="shared" si="8"/>
        <v>803.54503258834427</v>
      </c>
      <c r="AD72" s="3">
        <v>2026</v>
      </c>
      <c r="AE72" s="335">
        <f t="shared" si="9"/>
        <v>484.32983940790621</v>
      </c>
      <c r="AG72" s="3">
        <v>2026</v>
      </c>
      <c r="AH72" s="335">
        <f t="shared" si="10"/>
        <v>312.35876296641402</v>
      </c>
      <c r="AK72" s="3">
        <v>2026</v>
      </c>
      <c r="AL72" s="338">
        <f t="shared" si="11"/>
        <v>0.36281496052213552</v>
      </c>
      <c r="AM72" s="338">
        <f t="shared" si="12"/>
        <v>0.39755948690761994</v>
      </c>
      <c r="AN72" s="338">
        <f t="shared" si="13"/>
        <v>0.23962555257024454</v>
      </c>
    </row>
    <row r="73" spans="2:40" ht="14.4" x14ac:dyDescent="0.55000000000000004">
      <c r="B73" s="3">
        <v>2027</v>
      </c>
      <c r="C73" s="707">
        <f>'Food System Summary'!F25</f>
        <v>482.35637881691815</v>
      </c>
      <c r="E73" s="3">
        <v>2027</v>
      </c>
      <c r="F73" s="335">
        <f t="shared" si="4"/>
        <v>2012.7012236209616</v>
      </c>
      <c r="H73" s="3">
        <v>2027</v>
      </c>
      <c r="I73" s="335">
        <f t="shared" si="5"/>
        <v>695.5961442984169</v>
      </c>
      <c r="L73" s="3">
        <v>2027</v>
      </c>
      <c r="M73" s="707">
        <f>Bioplastics!B73</f>
        <v>18.995106076123193</v>
      </c>
      <c r="Q73" s="3">
        <v>2027</v>
      </c>
      <c r="R73" s="1197">
        <v>0.53694666959786874</v>
      </c>
      <c r="T73" s="3">
        <v>2027</v>
      </c>
      <c r="U73" s="335">
        <f t="shared" si="6"/>
        <v>2012.7012236209616</v>
      </c>
      <c r="W73" s="3">
        <v>2027</v>
      </c>
      <c r="X73" s="343"/>
      <c r="Y73" s="335">
        <f t="shared" si="7"/>
        <v>705.79550324464947</v>
      </c>
      <c r="AA73" s="3">
        <v>2027</v>
      </c>
      <c r="AB73" s="335">
        <f t="shared" si="8"/>
        <v>810.92409801607425</v>
      </c>
      <c r="AD73" s="3">
        <v>2027</v>
      </c>
      <c r="AE73" s="335">
        <f t="shared" si="9"/>
        <v>495.98162236023802</v>
      </c>
      <c r="AG73" s="3">
        <v>2027</v>
      </c>
      <c r="AH73" s="335">
        <f t="shared" si="10"/>
        <v>316.87911194094073</v>
      </c>
      <c r="AK73" s="3">
        <v>2027</v>
      </c>
      <c r="AL73" s="338">
        <f t="shared" si="11"/>
        <v>0.35067077764025206</v>
      </c>
      <c r="AM73" s="338">
        <f t="shared" si="12"/>
        <v>0.40290336613259303</v>
      </c>
      <c r="AN73" s="338">
        <f t="shared" si="13"/>
        <v>0.24642585622715499</v>
      </c>
    </row>
    <row r="74" spans="2:40" ht="14.4" x14ac:dyDescent="0.55000000000000004">
      <c r="B74" s="3">
        <v>2028</v>
      </c>
      <c r="C74" s="707">
        <f>'Food System Summary'!F26</f>
        <v>535.88183749903942</v>
      </c>
      <c r="E74" s="3">
        <v>2028</v>
      </c>
      <c r="F74" s="335">
        <f t="shared" si="4"/>
        <v>2003.8497123841696</v>
      </c>
      <c r="H74" s="3">
        <v>2028</v>
      </c>
      <c r="I74" s="335">
        <f t="shared" si="5"/>
        <v>665.03555232303074</v>
      </c>
      <c r="L74" s="3">
        <v>2028</v>
      </c>
      <c r="M74" s="707">
        <f>Bioplastics!B74</f>
        <v>24.748930767644197</v>
      </c>
      <c r="Q74" s="3">
        <v>2028</v>
      </c>
      <c r="R74" s="1197">
        <v>0.54837949706107092</v>
      </c>
      <c r="T74" s="3">
        <v>2028</v>
      </c>
      <c r="U74" s="335">
        <f t="shared" si="6"/>
        <v>2003.8497123841696</v>
      </c>
      <c r="W74" s="3">
        <v>2028</v>
      </c>
      <c r="X74" s="343"/>
      <c r="Y74" s="335">
        <f t="shared" si="7"/>
        <v>678.60735853019071</v>
      </c>
      <c r="AA74" s="3">
        <v>2028</v>
      </c>
      <c r="AB74" s="335">
        <f t="shared" si="8"/>
        <v>817.42835691462676</v>
      </c>
      <c r="AD74" s="3">
        <v>2028</v>
      </c>
      <c r="AE74" s="335">
        <f t="shared" si="9"/>
        <v>507.81399693935202</v>
      </c>
      <c r="AG74" s="3">
        <v>2028</v>
      </c>
      <c r="AH74" s="335">
        <f t="shared" si="10"/>
        <v>320.77881224947379</v>
      </c>
      <c r="AK74" s="3">
        <v>2028</v>
      </c>
      <c r="AL74" s="338">
        <f t="shared" si="11"/>
        <v>0.33865182320623605</v>
      </c>
      <c r="AM74" s="338">
        <f t="shared" si="12"/>
        <v>0.40792897384607496</v>
      </c>
      <c r="AN74" s="338">
        <f t="shared" si="13"/>
        <v>0.25341920294768894</v>
      </c>
    </row>
    <row r="75" spans="2:40" ht="14.4" x14ac:dyDescent="0.55000000000000004">
      <c r="B75" s="3">
        <v>2029</v>
      </c>
      <c r="C75" s="707">
        <f>'Food System Summary'!F27</f>
        <v>589.26979756236983</v>
      </c>
      <c r="E75" s="3">
        <v>2029</v>
      </c>
      <c r="F75" s="335">
        <f t="shared" si="4"/>
        <v>1994.6818384912456</v>
      </c>
      <c r="H75" s="3">
        <v>2029</v>
      </c>
      <c r="I75" s="335">
        <f t="shared" si="5"/>
        <v>634.30014584621608</v>
      </c>
      <c r="L75" s="3">
        <v>2029</v>
      </c>
      <c r="M75" s="707">
        <f>Bioplastics!B75</f>
        <v>31.309310009470209</v>
      </c>
      <c r="Q75" s="3">
        <v>2029</v>
      </c>
      <c r="R75" s="1197">
        <v>0.55953004700844178</v>
      </c>
      <c r="T75" s="3">
        <v>2029</v>
      </c>
      <c r="U75" s="335">
        <f t="shared" si="6"/>
        <v>1994.6818384912456</v>
      </c>
      <c r="W75" s="3">
        <v>2029</v>
      </c>
      <c r="X75" s="343"/>
      <c r="Y75" s="335">
        <f t="shared" si="7"/>
        <v>651.81864554761682</v>
      </c>
      <c r="AA75" s="3">
        <v>2029</v>
      </c>
      <c r="AB75" s="335">
        <f t="shared" si="8"/>
        <v>823.04096750684107</v>
      </c>
      <c r="AD75" s="3">
        <v>2029</v>
      </c>
      <c r="AE75" s="335">
        <f t="shared" si="9"/>
        <v>519.82222543678768</v>
      </c>
      <c r="AG75" s="3">
        <v>2029</v>
      </c>
      <c r="AH75" s="335">
        <f t="shared" si="10"/>
        <v>324.06164101599495</v>
      </c>
      <c r="AK75" s="3">
        <v>2029</v>
      </c>
      <c r="AL75" s="338">
        <f t="shared" si="11"/>
        <v>0.32677825253607612</v>
      </c>
      <c r="AM75" s="338">
        <f t="shared" si="12"/>
        <v>0.41261766745185779</v>
      </c>
      <c r="AN75" s="338">
        <f t="shared" si="13"/>
        <v>0.26060408001206609</v>
      </c>
    </row>
    <row r="76" spans="2:40" ht="14.4" x14ac:dyDescent="0.55000000000000004">
      <c r="B76" s="3">
        <v>2030</v>
      </c>
      <c r="C76" s="707">
        <f>'Food System Summary'!F28</f>
        <v>642.49102313794742</v>
      </c>
      <c r="E76" s="3">
        <v>2030</v>
      </c>
      <c r="F76" s="335">
        <f t="shared" si="4"/>
        <v>1988.2638788312718</v>
      </c>
      <c r="H76" s="3">
        <v>2030</v>
      </c>
      <c r="I76" s="335">
        <f t="shared" si="5"/>
        <v>604.86365347297942</v>
      </c>
      <c r="L76" s="3">
        <v>2030</v>
      </c>
      <c r="M76" s="707">
        <f>Bioplastics!B76</f>
        <v>38.677036226727068</v>
      </c>
      <c r="Q76" s="3">
        <v>2030</v>
      </c>
      <c r="R76" s="1197">
        <v>0.57040528889667952</v>
      </c>
      <c r="T76" s="3">
        <v>2030</v>
      </c>
      <c r="U76" s="335">
        <f t="shared" si="6"/>
        <v>1988.2638788312718</v>
      </c>
      <c r="W76" s="3">
        <v>2030</v>
      </c>
      <c r="X76" s="343"/>
      <c r="Y76" s="335">
        <f t="shared" si="7"/>
        <v>626.925239495553</v>
      </c>
      <c r="AA76" s="3">
        <v>2030</v>
      </c>
      <c r="AB76" s="335">
        <f t="shared" si="8"/>
        <v>828.7245492742727</v>
      </c>
      <c r="AD76" s="3">
        <v>2030</v>
      </c>
      <c r="AE76" s="335">
        <f t="shared" si="9"/>
        <v>532.61409006144595</v>
      </c>
      <c r="AG76" s="3">
        <v>2030</v>
      </c>
      <c r="AH76" s="335">
        <f t="shared" si="10"/>
        <v>326.73082816285205</v>
      </c>
      <c r="AK76" s="3">
        <v>2030</v>
      </c>
      <c r="AL76" s="338">
        <f t="shared" si="11"/>
        <v>0.31531289491818765</v>
      </c>
      <c r="AM76" s="338">
        <f t="shared" si="12"/>
        <v>0.41680812999600847</v>
      </c>
      <c r="AN76" s="338">
        <f t="shared" si="13"/>
        <v>0.26787897508580383</v>
      </c>
    </row>
    <row r="77" spans="2:40" ht="14.4" x14ac:dyDescent="0.55000000000000004">
      <c r="B77" s="3">
        <v>2031</v>
      </c>
      <c r="C77" s="707">
        <f>'Food System Summary'!F29</f>
        <v>694.17839459097922</v>
      </c>
      <c r="E77" s="3">
        <v>2031</v>
      </c>
      <c r="F77" s="335">
        <f t="shared" si="4"/>
        <v>1976.8892949145866</v>
      </c>
      <c r="H77" s="3">
        <v>2031</v>
      </c>
      <c r="I77" s="335">
        <f t="shared" si="5"/>
        <v>573.79549012934081</v>
      </c>
      <c r="L77" s="3">
        <v>2031</v>
      </c>
      <c r="M77" s="707">
        <f>Bioplastics!B77</f>
        <v>46.852901843376458</v>
      </c>
      <c r="Q77" s="3">
        <v>2031</v>
      </c>
      <c r="R77" s="1197">
        <v>0.58101202010598352</v>
      </c>
      <c r="T77" s="3">
        <v>2031</v>
      </c>
      <c r="U77" s="335">
        <f t="shared" si="6"/>
        <v>1976.8892949145866</v>
      </c>
      <c r="W77" s="3">
        <v>2031</v>
      </c>
      <c r="X77" s="343"/>
      <c r="Y77" s="335">
        <f t="shared" si="7"/>
        <v>601.01758927718834</v>
      </c>
      <c r="AA77" s="3">
        <v>2031</v>
      </c>
      <c r="AB77" s="335">
        <f t="shared" si="8"/>
        <v>831.52616302819274</v>
      </c>
      <c r="AD77" s="3">
        <v>2031</v>
      </c>
      <c r="AE77" s="335">
        <f t="shared" si="9"/>
        <v>544.34554260920549</v>
      </c>
      <c r="AG77" s="3">
        <v>2031</v>
      </c>
      <c r="AH77" s="335">
        <f t="shared" si="10"/>
        <v>328.78889969867265</v>
      </c>
      <c r="AK77" s="3">
        <v>2031</v>
      </c>
      <c r="AL77" s="338">
        <f t="shared" si="11"/>
        <v>0.30402187458006136</v>
      </c>
      <c r="AM77" s="338">
        <f t="shared" si="12"/>
        <v>0.42062353474584402</v>
      </c>
      <c r="AN77" s="338">
        <f t="shared" si="13"/>
        <v>0.27535459067409462</v>
      </c>
    </row>
    <row r="78" spans="2:40" ht="14.4" x14ac:dyDescent="0.55000000000000004">
      <c r="B78" s="3">
        <v>2032</v>
      </c>
      <c r="C78" s="707">
        <f>'Food System Summary'!F30</f>
        <v>745.48174787789981</v>
      </c>
      <c r="E78" s="3">
        <v>2032</v>
      </c>
      <c r="F78" s="335">
        <f t="shared" si="4"/>
        <v>1967.5659802145776</v>
      </c>
      <c r="H78" s="3">
        <v>2032</v>
      </c>
      <c r="I78" s="335">
        <f t="shared" si="5"/>
        <v>543.8172202963558</v>
      </c>
      <c r="L78" s="3">
        <v>2032</v>
      </c>
      <c r="M78" s="707">
        <f>Bioplastics!B78</f>
        <v>55.837699284311384</v>
      </c>
      <c r="Q78" s="3">
        <v>2032</v>
      </c>
      <c r="R78" s="1197">
        <v>0.59135687018863792</v>
      </c>
      <c r="T78" s="3">
        <v>2032</v>
      </c>
      <c r="U78" s="335">
        <f t="shared" si="6"/>
        <v>1967.5659802145776</v>
      </c>
      <c r="W78" s="3">
        <v>2032</v>
      </c>
      <c r="X78" s="343"/>
      <c r="Y78" s="335">
        <f t="shared" si="7"/>
        <v>576.83722738366055</v>
      </c>
      <c r="AA78" s="3">
        <v>2032</v>
      </c>
      <c r="AB78" s="335">
        <f t="shared" si="8"/>
        <v>834.07004681105195</v>
      </c>
      <c r="AD78" s="3">
        <v>2032</v>
      </c>
      <c r="AE78" s="335">
        <f t="shared" si="9"/>
        <v>556.65870601986512</v>
      </c>
      <c r="AG78" s="3">
        <v>2032</v>
      </c>
      <c r="AH78" s="335">
        <f t="shared" si="10"/>
        <v>330.23775234481263</v>
      </c>
      <c r="AK78" s="3">
        <v>2032</v>
      </c>
      <c r="AL78" s="338">
        <f t="shared" si="11"/>
        <v>0.29317300318475326</v>
      </c>
      <c r="AM78" s="338">
        <f t="shared" si="12"/>
        <v>0.42390956908092631</v>
      </c>
      <c r="AN78" s="338">
        <f t="shared" si="13"/>
        <v>0.28291742773432044</v>
      </c>
    </row>
    <row r="79" spans="2:40" ht="14.4" x14ac:dyDescent="0.55000000000000004">
      <c r="B79" s="3">
        <v>2033</v>
      </c>
      <c r="C79" s="707">
        <f>'Food System Summary'!F31</f>
        <v>796.39203699699715</v>
      </c>
      <c r="E79" s="3">
        <v>2033</v>
      </c>
      <c r="F79" s="335">
        <f t="shared" si="4"/>
        <v>1958.2551259270033</v>
      </c>
      <c r="H79" s="3">
        <v>2033</v>
      </c>
      <c r="I79" s="335">
        <f t="shared" si="5"/>
        <v>513.97150647558783</v>
      </c>
      <c r="L79" s="3">
        <v>2033</v>
      </c>
      <c r="M79" s="707">
        <f>Bioplastics!B79</f>
        <v>65.632220974424854</v>
      </c>
      <c r="Q79" s="3">
        <v>2033</v>
      </c>
      <c r="R79" s="1197">
        <v>0.60144630501269802</v>
      </c>
      <c r="T79" s="3">
        <v>2033</v>
      </c>
      <c r="U79" s="335">
        <f t="shared" si="6"/>
        <v>1958.2551259270033</v>
      </c>
      <c r="W79" s="3">
        <v>2033</v>
      </c>
      <c r="X79" s="343"/>
      <c r="Y79" s="335">
        <f t="shared" si="7"/>
        <v>553.44576327043251</v>
      </c>
      <c r="Z79" s="533"/>
      <c r="AA79" s="3">
        <v>2033</v>
      </c>
      <c r="AB79" s="335">
        <f t="shared" si="8"/>
        <v>835.67714686611112</v>
      </c>
      <c r="AD79" s="3">
        <v>2033</v>
      </c>
      <c r="AE79" s="335">
        <f t="shared" si="9"/>
        <v>569.13221579045967</v>
      </c>
      <c r="AG79" s="3">
        <v>2033</v>
      </c>
      <c r="AH79" s="335">
        <f t="shared" si="10"/>
        <v>331.07873713570513</v>
      </c>
      <c r="AK79" s="3">
        <v>2033</v>
      </c>
      <c r="AL79" s="338">
        <f t="shared" si="11"/>
        <v>0.28262188922316295</v>
      </c>
      <c r="AM79" s="338">
        <f t="shared" si="12"/>
        <v>0.42674579823735498</v>
      </c>
      <c r="AN79" s="338">
        <f t="shared" si="13"/>
        <v>0.29063231253948207</v>
      </c>
    </row>
    <row r="80" spans="2:40" ht="14.4" x14ac:dyDescent="0.55000000000000004">
      <c r="B80" s="3">
        <v>2034</v>
      </c>
      <c r="C80" s="707">
        <f>'Food System Summary'!F32</f>
        <v>846.90450605275487</v>
      </c>
      <c r="E80" s="3">
        <v>2034</v>
      </c>
      <c r="F80" s="335">
        <f t="shared" si="4"/>
        <v>1949.0137626741823</v>
      </c>
      <c r="H80" s="3">
        <v>2034</v>
      </c>
      <c r="I80" s="335">
        <f t="shared" si="5"/>
        <v>484.2924498985742</v>
      </c>
      <c r="L80" s="3">
        <v>2034</v>
      </c>
      <c r="M80" s="707">
        <f>Bioplastics!B80</f>
        <v>76.237259338144213</v>
      </c>
      <c r="Q80" s="3">
        <v>2034</v>
      </c>
      <c r="R80" s="1197">
        <v>0.61128663080336754</v>
      </c>
      <c r="T80" s="3">
        <v>2034</v>
      </c>
      <c r="U80" s="335">
        <f t="shared" si="6"/>
        <v>1949.0137626741823</v>
      </c>
      <c r="W80" s="3">
        <v>2034</v>
      </c>
      <c r="X80" s="343"/>
      <c r="Y80" s="335">
        <f t="shared" si="7"/>
        <v>530.89526730107093</v>
      </c>
      <c r="AA80" s="3">
        <v>2034</v>
      </c>
      <c r="AB80" s="335">
        <f t="shared" si="8"/>
        <v>836.34817186147086</v>
      </c>
      <c r="AD80" s="3">
        <v>2034</v>
      </c>
      <c r="AE80" s="335">
        <f t="shared" si="9"/>
        <v>581.77032351164041</v>
      </c>
      <c r="AG80" s="3">
        <v>2034</v>
      </c>
      <c r="AH80" s="335">
        <f t="shared" si="10"/>
        <v>331.31258962012532</v>
      </c>
      <c r="AK80" s="3">
        <v>2034</v>
      </c>
      <c r="AL80" s="338">
        <f t="shared" si="11"/>
        <v>0.27239174882615796</v>
      </c>
      <c r="AM80" s="338">
        <f t="shared" si="12"/>
        <v>0.42911352802041947</v>
      </c>
      <c r="AN80" s="338">
        <f t="shared" si="13"/>
        <v>0.29849472315342251</v>
      </c>
    </row>
    <row r="81" spans="2:40" ht="14.4" x14ac:dyDescent="0.55000000000000004">
      <c r="B81" s="3">
        <v>2035</v>
      </c>
      <c r="C81" s="707">
        <f>'Food System Summary'!F33</f>
        <v>897.01340133899123</v>
      </c>
      <c r="E81" s="3">
        <v>2035</v>
      </c>
      <c r="F81" s="335">
        <f t="shared" si="4"/>
        <v>1940.014194184113</v>
      </c>
      <c r="H81" s="3">
        <v>2035</v>
      </c>
      <c r="I81" s="335">
        <f t="shared" si="5"/>
        <v>454.86953349003795</v>
      </c>
      <c r="L81" s="3">
        <v>2035</v>
      </c>
      <c r="M81" s="707">
        <f>Bioplastics!B81</f>
        <v>87.653606799896806</v>
      </c>
      <c r="Q81" s="3">
        <v>2035</v>
      </c>
      <c r="R81" s="1197">
        <v>0.6208839980845956</v>
      </c>
      <c r="T81" s="3">
        <v>2035</v>
      </c>
      <c r="U81" s="335">
        <f t="shared" si="6"/>
        <v>1940.014194184113</v>
      </c>
      <c r="W81" s="3">
        <v>2035</v>
      </c>
      <c r="X81" s="343"/>
      <c r="Y81" s="335">
        <f t="shared" si="7"/>
        <v>509.29225532649298</v>
      </c>
      <c r="AA81" s="3">
        <v>2035</v>
      </c>
      <c r="AB81" s="335">
        <f t="shared" si="8"/>
        <v>836.12024039824814</v>
      </c>
      <c r="AD81" s="3">
        <v>2035</v>
      </c>
      <c r="AE81" s="335">
        <f t="shared" si="9"/>
        <v>594.60169845937185</v>
      </c>
      <c r="AG81" s="3">
        <v>2035</v>
      </c>
      <c r="AH81" s="335">
        <f t="shared" si="10"/>
        <v>330.93936379241694</v>
      </c>
      <c r="AK81" s="3">
        <v>2035</v>
      </c>
      <c r="AL81" s="338">
        <f t="shared" si="11"/>
        <v>0.26251986034601132</v>
      </c>
      <c r="AM81" s="338">
        <f t="shared" si="12"/>
        <v>0.43098666128568436</v>
      </c>
      <c r="AN81" s="338">
        <f t="shared" si="13"/>
        <v>0.30649347836830437</v>
      </c>
    </row>
    <row r="82" spans="2:40" ht="14.4" x14ac:dyDescent="0.55000000000000004">
      <c r="B82" s="3">
        <v>2036</v>
      </c>
      <c r="C82" s="707">
        <f>'Food System Summary'!F34</f>
        <v>946.71047306904484</v>
      </c>
      <c r="E82" s="3">
        <v>2036</v>
      </c>
      <c r="F82" s="335">
        <f t="shared" si="4"/>
        <v>1930.8827090591922</v>
      </c>
      <c r="H82" s="3">
        <v>2036</v>
      </c>
      <c r="I82" s="335">
        <f t="shared" si="5"/>
        <v>425.5332315665114</v>
      </c>
      <c r="L82" s="3">
        <v>2036</v>
      </c>
      <c r="M82" s="707">
        <f>Bioplastics!B82</f>
        <v>99.882055784575641</v>
      </c>
      <c r="Q82" s="3">
        <v>2036</v>
      </c>
      <c r="R82" s="1197">
        <v>0.63024440552335381</v>
      </c>
      <c r="T82" s="3">
        <v>2036</v>
      </c>
      <c r="U82" s="335">
        <f t="shared" si="6"/>
        <v>1930.8827090591922</v>
      </c>
      <c r="W82" s="3">
        <v>2036</v>
      </c>
      <c r="X82" s="343"/>
      <c r="Y82" s="335">
        <f t="shared" si="7"/>
        <v>488.48333843691177</v>
      </c>
      <c r="AA82" s="3">
        <v>2036</v>
      </c>
      <c r="AB82" s="335">
        <f t="shared" si="8"/>
        <v>834.85896595361055</v>
      </c>
      <c r="AD82" s="3">
        <v>2036</v>
      </c>
      <c r="AE82" s="335">
        <f t="shared" si="9"/>
        <v>607.54040466866991</v>
      </c>
      <c r="AG82" s="3">
        <v>2036</v>
      </c>
      <c r="AH82" s="335">
        <f t="shared" si="10"/>
        <v>329.95835549628555</v>
      </c>
      <c r="AK82" s="3">
        <v>2036</v>
      </c>
      <c r="AL82" s="338">
        <f t="shared" si="11"/>
        <v>0.25298446982050066</v>
      </c>
      <c r="AM82" s="338">
        <f t="shared" si="12"/>
        <v>0.43237166195371296</v>
      </c>
      <c r="AN82" s="338">
        <f t="shared" si="13"/>
        <v>0.31464386822578638</v>
      </c>
    </row>
    <row r="83" spans="2:40" ht="14.4" x14ac:dyDescent="0.55000000000000004">
      <c r="B83" s="3">
        <v>2037</v>
      </c>
      <c r="C83" s="707">
        <f>'Food System Summary'!F35</f>
        <v>995.98110159934879</v>
      </c>
      <c r="E83" s="3">
        <v>2037</v>
      </c>
      <c r="F83" s="335">
        <f t="shared" si="4"/>
        <v>1922.0621081876784</v>
      </c>
      <c r="H83" s="3">
        <v>2037</v>
      </c>
      <c r="I83" s="335">
        <f t="shared" si="5"/>
        <v>396.50627695662058</v>
      </c>
      <c r="L83" s="3">
        <v>2037</v>
      </c>
      <c r="M83" s="707">
        <f>Bioplastics!B83</f>
        <v>112.92339871684089</v>
      </c>
      <c r="Q83" s="3">
        <v>2037</v>
      </c>
      <c r="R83" s="1197">
        <v>0.63937370367899826</v>
      </c>
      <c r="T83" s="3">
        <v>2037</v>
      </c>
      <c r="U83" s="335">
        <f t="shared" si="6"/>
        <v>1922.0621081876784</v>
      </c>
      <c r="W83" s="3">
        <v>2037</v>
      </c>
      <c r="X83" s="343"/>
      <c r="Y83" s="335">
        <f t="shared" si="7"/>
        <v>468.7065286262274</v>
      </c>
      <c r="AA83" s="3">
        <v>2037</v>
      </c>
      <c r="AB83" s="335">
        <f t="shared" si="8"/>
        <v>832.68494768535106</v>
      </c>
      <c r="AD83" s="3">
        <v>2037</v>
      </c>
      <c r="AE83" s="335">
        <f t="shared" si="9"/>
        <v>620.67063187610006</v>
      </c>
      <c r="AG83" s="3">
        <v>2037</v>
      </c>
      <c r="AH83" s="335">
        <f t="shared" si="10"/>
        <v>328.36829755437725</v>
      </c>
      <c r="AK83" s="3">
        <v>2037</v>
      </c>
      <c r="AL83" s="338">
        <f t="shared" si="11"/>
        <v>0.2438560786509511</v>
      </c>
      <c r="AM83" s="338">
        <f t="shared" si="12"/>
        <v>0.43322478713785878</v>
      </c>
      <c r="AN83" s="338">
        <f t="shared" si="13"/>
        <v>0.32291913421119017</v>
      </c>
    </row>
    <row r="84" spans="2:40" ht="14.4" x14ac:dyDescent="0.55000000000000004">
      <c r="B84" s="3">
        <v>2038</v>
      </c>
      <c r="C84" s="707">
        <f>'Food System Summary'!F36</f>
        <v>1044.8050009697686</v>
      </c>
      <c r="E84" s="3">
        <v>2038</v>
      </c>
      <c r="F84" s="335">
        <f t="shared" si="4"/>
        <v>1913.4572652803167</v>
      </c>
      <c r="H84" s="3">
        <v>2038</v>
      </c>
      <c r="I84" s="335">
        <f t="shared" si="5"/>
        <v>367.75787096252952</v>
      </c>
      <c r="L84" s="3">
        <v>2038</v>
      </c>
      <c r="M84" s="707">
        <f>Bioplastics!B84</f>
        <v>126.77842802088708</v>
      </c>
      <c r="Q84" s="3">
        <v>2038</v>
      </c>
      <c r="R84" s="1197">
        <v>0.64827759866006029</v>
      </c>
      <c r="T84" s="3">
        <v>2038</v>
      </c>
      <c r="U84" s="335">
        <f t="shared" si="6"/>
        <v>1913.4572652803167</v>
      </c>
      <c r="W84" s="3">
        <v>2038</v>
      </c>
      <c r="X84" s="343"/>
      <c r="Y84" s="335">
        <f t="shared" si="7"/>
        <v>449.94548584180751</v>
      </c>
      <c r="AA84" s="3">
        <v>2038</v>
      </c>
      <c r="AB84" s="335">
        <f t="shared" si="8"/>
        <v>829.5488155789991</v>
      </c>
      <c r="AD84" s="3">
        <v>2038</v>
      </c>
      <c r="AE84" s="335">
        <f t="shared" si="9"/>
        <v>633.96296385951007</v>
      </c>
      <c r="AG84" s="3">
        <v>2038</v>
      </c>
      <c r="AH84" s="335">
        <f t="shared" si="10"/>
        <v>326.16755291209421</v>
      </c>
      <c r="AK84" s="3">
        <v>2038</v>
      </c>
      <c r="AL84" s="338">
        <f t="shared" si="11"/>
        <v>0.2351479147227736</v>
      </c>
      <c r="AM84" s="338">
        <f t="shared" si="12"/>
        <v>0.43353401752480336</v>
      </c>
      <c r="AN84" s="338">
        <f t="shared" si="13"/>
        <v>0.33131806775242301</v>
      </c>
    </row>
    <row r="85" spans="2:40" ht="14.4" x14ac:dyDescent="0.55000000000000004">
      <c r="B85" s="3">
        <v>2039</v>
      </c>
      <c r="C85" s="707">
        <f>'Food System Summary'!F37</f>
        <v>1093.1560763959806</v>
      </c>
      <c r="E85" s="3">
        <v>2039</v>
      </c>
      <c r="F85" s="335">
        <f t="shared" si="4"/>
        <v>1905.0925724103586</v>
      </c>
      <c r="H85" s="3">
        <v>2039</v>
      </c>
      <c r="I85" s="335">
        <f t="shared" si="5"/>
        <v>339.31700685873034</v>
      </c>
      <c r="L85" s="3">
        <v>2039</v>
      </c>
      <c r="M85" s="707">
        <f>Bioplastics!B85</f>
        <v>141.44793612184003</v>
      </c>
      <c r="Q85" s="3">
        <v>2039</v>
      </c>
      <c r="R85" s="1197">
        <v>0.6569616556907496</v>
      </c>
      <c r="T85" s="3">
        <v>2039</v>
      </c>
      <c r="U85" s="335">
        <f t="shared" si="6"/>
        <v>1905.0925724103586</v>
      </c>
      <c r="W85" s="3">
        <v>2039</v>
      </c>
      <c r="X85" s="343"/>
      <c r="Y85" s="335">
        <f t="shared" si="7"/>
        <v>432.24287716737376</v>
      </c>
      <c r="AA85" s="3">
        <v>2039</v>
      </c>
      <c r="AB85" s="335">
        <f t="shared" si="8"/>
        <v>825.43769082073902</v>
      </c>
      <c r="AD85" s="3">
        <v>2039</v>
      </c>
      <c r="AE85" s="335">
        <f t="shared" si="9"/>
        <v>647.41200442224579</v>
      </c>
      <c r="AG85" s="3">
        <v>2039</v>
      </c>
      <c r="AH85" s="335">
        <f t="shared" si="10"/>
        <v>323.35404230627944</v>
      </c>
      <c r="AK85" s="3">
        <v>2039</v>
      </c>
      <c r="AL85" s="338">
        <f t="shared" si="11"/>
        <v>0.22688812261783795</v>
      </c>
      <c r="AM85" s="338">
        <f t="shared" si="12"/>
        <v>0.43327957012418555</v>
      </c>
      <c r="AN85" s="338">
        <f t="shared" si="13"/>
        <v>0.33983230725797647</v>
      </c>
    </row>
    <row r="86" spans="2:40" ht="14.4" x14ac:dyDescent="0.55000000000000004">
      <c r="B86" s="3">
        <v>2040</v>
      </c>
      <c r="C86" s="707">
        <f>'Food System Summary'!F38</f>
        <v>1141.0087076754892</v>
      </c>
      <c r="E86" s="3">
        <v>2040</v>
      </c>
      <c r="F86" s="335">
        <f t="shared" si="4"/>
        <v>1893.5073637365533</v>
      </c>
      <c r="H86" s="3">
        <v>2040</v>
      </c>
      <c r="I86" s="335">
        <f t="shared" si="5"/>
        <v>309.54631007448234</v>
      </c>
      <c r="L86" s="3">
        <v>2040</v>
      </c>
      <c r="M86" s="707">
        <f>Bioplastics!B86</f>
        <v>156.9327154441271</v>
      </c>
      <c r="Q86" s="3">
        <v>2040</v>
      </c>
      <c r="R86" s="1197">
        <v>0.66543130258940009</v>
      </c>
      <c r="T86" s="3">
        <v>2040</v>
      </c>
      <c r="U86" s="335">
        <f t="shared" si="6"/>
        <v>1893.5073637365533</v>
      </c>
      <c r="W86" s="3">
        <v>2040</v>
      </c>
      <c r="X86" s="343"/>
      <c r="Y86" s="335">
        <f t="shared" si="7"/>
        <v>413.97425133135948</v>
      </c>
      <c r="AA86" s="3">
        <v>2040</v>
      </c>
      <c r="AB86" s="335">
        <f t="shared" si="8"/>
        <v>819.27875088094936</v>
      </c>
      <c r="AD86" s="3">
        <v>2040</v>
      </c>
      <c r="AE86" s="335">
        <f t="shared" si="9"/>
        <v>660.25436152424447</v>
      </c>
      <c r="AG86" s="3">
        <v>2040</v>
      </c>
      <c r="AH86" s="335">
        <f t="shared" si="10"/>
        <v>319.92518196579096</v>
      </c>
      <c r="AK86" s="3">
        <v>2040</v>
      </c>
      <c r="AL86" s="338">
        <f t="shared" si="11"/>
        <v>0.21862827642478413</v>
      </c>
      <c r="AM86" s="338">
        <f t="shared" si="12"/>
        <v>0.43267787945869163</v>
      </c>
      <c r="AN86" s="338">
        <f t="shared" si="13"/>
        <v>0.34869384411652421</v>
      </c>
    </row>
    <row r="87" spans="2:40" ht="14.4" x14ac:dyDescent="0.55000000000000004">
      <c r="B87" s="3">
        <v>2041</v>
      </c>
      <c r="C87" s="707">
        <f>'Food System Summary'!F39</f>
        <v>1188.3440798795241</v>
      </c>
      <c r="E87" s="3">
        <v>2041</v>
      </c>
      <c r="F87" s="335">
        <f t="shared" si="4"/>
        <v>1889.0862077755751</v>
      </c>
      <c r="H87" s="3">
        <v>2041</v>
      </c>
      <c r="I87" s="335">
        <f t="shared" si="5"/>
        <v>283.4229200129796</v>
      </c>
      <c r="L87" s="3">
        <v>2041</v>
      </c>
      <c r="M87" s="707">
        <f>Bioplastics!B87</f>
        <v>173.23355841217563</v>
      </c>
      <c r="Q87" s="3">
        <v>2041</v>
      </c>
      <c r="R87" s="1197">
        <v>0.67369183316103387</v>
      </c>
      <c r="T87" s="3">
        <v>2041</v>
      </c>
      <c r="U87" s="335">
        <f t="shared" si="6"/>
        <v>1889.0862077755751</v>
      </c>
      <c r="W87" s="3">
        <v>2041</v>
      </c>
      <c r="X87" s="343"/>
      <c r="Y87" s="335">
        <f t="shared" si="7"/>
        <v>400.12895354468725</v>
      </c>
      <c r="AA87" s="3">
        <v>2041</v>
      </c>
      <c r="AB87" s="335">
        <f t="shared" si="8"/>
        <v>814.21662848396056</v>
      </c>
      <c r="AD87" s="3">
        <v>2041</v>
      </c>
      <c r="AE87" s="335">
        <f t="shared" si="9"/>
        <v>674.74062574692732</v>
      </c>
      <c r="AG87" s="3">
        <v>2041</v>
      </c>
      <c r="AH87" s="335">
        <f t="shared" si="10"/>
        <v>315.87793799406876</v>
      </c>
      <c r="AK87" s="3">
        <v>2041</v>
      </c>
      <c r="AL87" s="338">
        <f t="shared" si="11"/>
        <v>0.21181084902199598</v>
      </c>
      <c r="AM87" s="338">
        <f t="shared" si="12"/>
        <v>0.43101083747930796</v>
      </c>
      <c r="AN87" s="338">
        <f t="shared" si="13"/>
        <v>0.35717831349869611</v>
      </c>
    </row>
    <row r="88" spans="2:40" ht="14.4" x14ac:dyDescent="0.55000000000000004">
      <c r="B88" s="3">
        <v>2042</v>
      </c>
      <c r="C88" s="707">
        <f>'Food System Summary'!F40</f>
        <v>1235.1453961614427</v>
      </c>
      <c r="E88" s="3">
        <v>2042</v>
      </c>
      <c r="F88" s="335">
        <f t="shared" si="4"/>
        <v>1880.3713345696726</v>
      </c>
      <c r="H88" s="3">
        <v>2042</v>
      </c>
      <c r="I88" s="335">
        <f t="shared" si="5"/>
        <v>255.48121529433229</v>
      </c>
      <c r="L88" s="3">
        <v>2042</v>
      </c>
      <c r="M88" s="707">
        <f>Bioplastics!B88</f>
        <v>190.35125745111145</v>
      </c>
      <c r="Q88" s="3">
        <v>2042</v>
      </c>
      <c r="R88" s="1197">
        <v>0.68174841050616153</v>
      </c>
      <c r="T88" s="3">
        <v>2042</v>
      </c>
      <c r="U88" s="335">
        <f t="shared" si="6"/>
        <v>1880.3713345696726</v>
      </c>
      <c r="W88" s="3">
        <v>2042</v>
      </c>
      <c r="X88" s="343"/>
      <c r="Y88" s="335">
        <f t="shared" si="7"/>
        <v>385.25288249947664</v>
      </c>
      <c r="AA88" s="3">
        <v>2042</v>
      </c>
      <c r="AB88" s="335">
        <f t="shared" si="8"/>
        <v>806.7526620526296</v>
      </c>
      <c r="AD88" s="3">
        <v>2042</v>
      </c>
      <c r="AE88" s="335">
        <f t="shared" si="9"/>
        <v>688.36579001756627</v>
      </c>
      <c r="AG88" s="3">
        <v>2042</v>
      </c>
      <c r="AH88" s="335">
        <f t="shared" si="10"/>
        <v>311.20878516200997</v>
      </c>
      <c r="AK88" s="3">
        <v>2042</v>
      </c>
      <c r="AL88" s="338">
        <f t="shared" si="11"/>
        <v>0.20488127819053498</v>
      </c>
      <c r="AM88" s="338">
        <f t="shared" si="12"/>
        <v>0.4290390133166207</v>
      </c>
      <c r="AN88" s="338">
        <f t="shared" si="13"/>
        <v>0.36607970849284427</v>
      </c>
    </row>
    <row r="89" spans="2:40" ht="14.4" x14ac:dyDescent="0.55000000000000004">
      <c r="B89" s="3">
        <v>2043</v>
      </c>
      <c r="C89" s="707">
        <f>'Food System Summary'!F41</f>
        <v>1281.3891594945849</v>
      </c>
      <c r="E89" s="3">
        <v>2043</v>
      </c>
      <c r="F89" s="335">
        <f t="shared" si="4"/>
        <v>1872.0459057389317</v>
      </c>
      <c r="H89" s="3">
        <v>2043</v>
      </c>
      <c r="I89" s="335">
        <f t="shared" si="5"/>
        <v>227.9751620281927</v>
      </c>
      <c r="L89" s="3">
        <v>2043</v>
      </c>
      <c r="M89" s="707">
        <f>Bioplastics!B89</f>
        <v>208.28660498512909</v>
      </c>
      <c r="Q89" s="3">
        <v>2043</v>
      </c>
      <c r="R89" s="1197">
        <v>0.68960607024788745</v>
      </c>
      <c r="T89" s="3">
        <v>2043</v>
      </c>
      <c r="U89" s="335">
        <f t="shared" si="6"/>
        <v>1872.0459057389317</v>
      </c>
      <c r="W89" s="3">
        <v>2043</v>
      </c>
      <c r="X89" s="343"/>
      <c r="Y89" s="335">
        <f t="shared" si="7"/>
        <v>371.61086917726163</v>
      </c>
      <c r="AA89" s="3">
        <v>2043</v>
      </c>
      <c r="AB89" s="335">
        <f t="shared" si="8"/>
        <v>798.29534683618294</v>
      </c>
      <c r="AD89" s="3">
        <v>2043</v>
      </c>
      <c r="AE89" s="335">
        <f t="shared" si="9"/>
        <v>702.13968972548719</v>
      </c>
      <c r="AG89" s="3">
        <v>2043</v>
      </c>
      <c r="AH89" s="335">
        <f t="shared" si="10"/>
        <v>305.91376573799948</v>
      </c>
      <c r="AK89" s="3">
        <v>2043</v>
      </c>
      <c r="AL89" s="338">
        <f t="shared" si="11"/>
        <v>0.19850521188505785</v>
      </c>
      <c r="AM89" s="338">
        <f t="shared" si="12"/>
        <v>0.42642936500057715</v>
      </c>
      <c r="AN89" s="338">
        <f t="shared" si="13"/>
        <v>0.37506542311436508</v>
      </c>
    </row>
    <row r="90" spans="2:40" ht="14.4" x14ac:dyDescent="0.55000000000000004">
      <c r="B90" s="3">
        <v>2044</v>
      </c>
      <c r="C90" s="707">
        <f>'Food System Summary'!F42</f>
        <v>1327.0502859997002</v>
      </c>
      <c r="E90" s="3">
        <v>2044</v>
      </c>
      <c r="F90" s="335">
        <f t="shared" si="4"/>
        <v>1864.1548180729358</v>
      </c>
      <c r="H90" s="3">
        <v>2044</v>
      </c>
      <c r="I90" s="335">
        <f t="shared" si="5"/>
        <v>200.94220461542386</v>
      </c>
      <c r="L90" s="3">
        <v>2044</v>
      </c>
      <c r="M90" s="707">
        <f>Bioplastics!B90</f>
        <v>227.04039343912154</v>
      </c>
      <c r="Q90" s="3">
        <v>2044</v>
      </c>
      <c r="R90" s="1197">
        <v>0.69726972367933859</v>
      </c>
      <c r="T90" s="3">
        <v>2044</v>
      </c>
      <c r="U90" s="335">
        <f t="shared" si="6"/>
        <v>1864.1548180729358</v>
      </c>
      <c r="W90" s="3">
        <v>2044</v>
      </c>
      <c r="X90" s="343"/>
      <c r="Y90" s="335">
        <f t="shared" si="7"/>
        <v>359.25059701276848</v>
      </c>
      <c r="AA90" s="3">
        <v>2044</v>
      </c>
      <c r="AB90" s="335">
        <f t="shared" si="8"/>
        <v>788.84128249141429</v>
      </c>
      <c r="AD90" s="3">
        <v>2044</v>
      </c>
      <c r="AE90" s="335">
        <f t="shared" si="9"/>
        <v>716.06293856875311</v>
      </c>
      <c r="AG90" s="3">
        <v>2044</v>
      </c>
      <c r="AH90" s="335">
        <f t="shared" si="10"/>
        <v>299.9885630167247</v>
      </c>
      <c r="AK90" s="3">
        <v>2044</v>
      </c>
      <c r="AL90" s="338">
        <f t="shared" si="11"/>
        <v>0.1927150006693879</v>
      </c>
      <c r="AM90" s="338">
        <f t="shared" si="12"/>
        <v>0.4231629663178279</v>
      </c>
      <c r="AN90" s="338">
        <f t="shared" si="13"/>
        <v>0.3841220330127843</v>
      </c>
    </row>
    <row r="91" spans="2:40" ht="14.4" x14ac:dyDescent="0.55000000000000004">
      <c r="B91" s="3">
        <v>2045</v>
      </c>
      <c r="C91" s="707">
        <f>'Food System Summary'!F43</f>
        <v>1372.1041315775694</v>
      </c>
      <c r="E91" s="3">
        <v>2045</v>
      </c>
      <c r="F91" s="335">
        <f t="shared" si="4"/>
        <v>1856.8472225181447</v>
      </c>
      <c r="H91" s="3">
        <v>2045</v>
      </c>
      <c r="I91" s="335">
        <f t="shared" si="5"/>
        <v>174.46932500230105</v>
      </c>
      <c r="L91" s="3">
        <v>2045</v>
      </c>
      <c r="M91" s="707">
        <f>Bioplastics!B91</f>
        <v>246.6134152370505</v>
      </c>
      <c r="Q91" s="3">
        <v>2045</v>
      </c>
      <c r="R91" s="1197">
        <v>0.70474416083338287</v>
      </c>
      <c r="T91" s="3">
        <v>2045</v>
      </c>
      <c r="U91" s="335">
        <f t="shared" si="6"/>
        <v>1856.8472225181447</v>
      </c>
      <c r="W91" s="3">
        <v>2045</v>
      </c>
      <c r="X91" s="343"/>
      <c r="Y91" s="335">
        <f t="shared" si="7"/>
        <v>348.26868937379083</v>
      </c>
      <c r="AA91" s="3">
        <v>2045</v>
      </c>
      <c r="AB91" s="335">
        <f t="shared" si="8"/>
        <v>778.41838995133685</v>
      </c>
      <c r="AD91" s="3">
        <v>2045</v>
      </c>
      <c r="AE91" s="335">
        <f t="shared" si="9"/>
        <v>730.16014319301712</v>
      </c>
      <c r="AG91" s="3">
        <v>2045</v>
      </c>
      <c r="AH91" s="335">
        <f t="shared" si="10"/>
        <v>293.42867510518136</v>
      </c>
      <c r="AK91" s="3">
        <v>2045</v>
      </c>
      <c r="AL91" s="338">
        <f t="shared" si="11"/>
        <v>0.18755915142091753</v>
      </c>
      <c r="AM91" s="338">
        <f t="shared" si="12"/>
        <v>0.41921509778046928</v>
      </c>
      <c r="AN91" s="338">
        <f t="shared" si="13"/>
        <v>0.39322575079861327</v>
      </c>
    </row>
    <row r="92" spans="2:40" ht="14.4" x14ac:dyDescent="0.55000000000000004">
      <c r="B92" s="3">
        <v>2046</v>
      </c>
      <c r="C92" s="707">
        <f>'Food System Summary'!F44</f>
        <v>1416.5293195718832</v>
      </c>
      <c r="E92" s="3">
        <v>2046</v>
      </c>
      <c r="F92" s="335">
        <f t="shared" si="4"/>
        <v>1849.7374107111941</v>
      </c>
      <c r="H92" s="3">
        <v>2046</v>
      </c>
      <c r="I92" s="335">
        <f t="shared" si="5"/>
        <v>148.38544244560831</v>
      </c>
      <c r="L92" s="3">
        <v>2046</v>
      </c>
      <c r="M92" s="707">
        <f>Bioplastics!B92</f>
        <v>267.00646280474029</v>
      </c>
      <c r="Q92" s="3">
        <v>2046</v>
      </c>
      <c r="R92" s="1197">
        <v>0.71203405347655502</v>
      </c>
      <c r="T92" s="3">
        <v>2046</v>
      </c>
      <c r="U92" s="335">
        <f t="shared" si="6"/>
        <v>1849.7374107111941</v>
      </c>
      <c r="W92" s="3">
        <v>2046</v>
      </c>
      <c r="X92" s="343"/>
      <c r="Y92" s="335">
        <f t="shared" si="7"/>
        <v>338.50313646090456</v>
      </c>
      <c r="AA92" s="3">
        <v>2046</v>
      </c>
      <c r="AB92" s="335">
        <f t="shared" si="8"/>
        <v>766.89845795764597</v>
      </c>
      <c r="AD92" s="3">
        <v>2046</v>
      </c>
      <c r="AE92" s="335">
        <f t="shared" si="9"/>
        <v>744.3358162926437</v>
      </c>
      <c r="AG92" s="3">
        <v>2046</v>
      </c>
      <c r="AH92" s="335">
        <f t="shared" si="10"/>
        <v>286.22953579165323</v>
      </c>
      <c r="AK92" s="3">
        <v>2046</v>
      </c>
      <c r="AL92" s="338">
        <f t="shared" si="11"/>
        <v>0.18300064349715217</v>
      </c>
      <c r="AM92" s="338">
        <f t="shared" si="12"/>
        <v>0.41459855518777983</v>
      </c>
      <c r="AN92" s="338">
        <f t="shared" si="13"/>
        <v>0.40240080131506806</v>
      </c>
    </row>
    <row r="93" spans="2:40" ht="14.4" x14ac:dyDescent="0.55000000000000004">
      <c r="B93" s="3">
        <v>2047</v>
      </c>
      <c r="C93" s="707">
        <f>'Food System Summary'!F45</f>
        <v>1460.3051706408896</v>
      </c>
      <c r="E93" s="3">
        <v>2047</v>
      </c>
      <c r="F93" s="335">
        <f t="shared" si="4"/>
        <v>1842.8867244847734</v>
      </c>
      <c r="H93" s="3">
        <v>2047</v>
      </c>
      <c r="I93" s="335">
        <f t="shared" si="5"/>
        <v>122.7329726979749</v>
      </c>
      <c r="L93" s="3">
        <v>2047</v>
      </c>
      <c r="M93" s="707">
        <f>Bioplastics!B93</f>
        <v>288.22032856568694</v>
      </c>
      <c r="Q93" s="3">
        <v>2047</v>
      </c>
      <c r="R93" s="1197">
        <v>0.71914395802906339</v>
      </c>
      <c r="T93" s="3">
        <v>2047</v>
      </c>
      <c r="U93" s="335">
        <f t="shared" si="6"/>
        <v>1842.8867244847734</v>
      </c>
      <c r="W93" s="3">
        <v>2047</v>
      </c>
      <c r="X93" s="343"/>
      <c r="Y93" s="335">
        <f t="shared" si="7"/>
        <v>330.00488056714016</v>
      </c>
      <c r="AA93" s="3">
        <v>2047</v>
      </c>
      <c r="AB93" s="335">
        <f t="shared" si="8"/>
        <v>754.28725280191566</v>
      </c>
      <c r="AD93" s="3">
        <v>2047</v>
      </c>
      <c r="AE93" s="335">
        <f t="shared" si="9"/>
        <v>758.59459111571755</v>
      </c>
      <c r="AG93" s="3">
        <v>2047</v>
      </c>
      <c r="AH93" s="335">
        <f t="shared" si="10"/>
        <v>278.38645789487214</v>
      </c>
      <c r="AK93" s="3">
        <v>2047</v>
      </c>
      <c r="AL93" s="338">
        <f t="shared" si="11"/>
        <v>0.17906954137911085</v>
      </c>
      <c r="AM93" s="338">
        <f t="shared" si="12"/>
        <v>0.40929659038745103</v>
      </c>
      <c r="AN93" s="338">
        <f t="shared" si="13"/>
        <v>0.41163386823343812</v>
      </c>
    </row>
    <row r="94" spans="2:40" ht="14.4" x14ac:dyDescent="0.55000000000000004">
      <c r="B94" s="3">
        <v>2048</v>
      </c>
      <c r="C94" s="707">
        <f>'Food System Summary'!F46</f>
        <v>1503.4085068024622</v>
      </c>
      <c r="E94" s="3">
        <v>2048</v>
      </c>
      <c r="F94" s="335">
        <f t="shared" si="4"/>
        <v>1836.3942548571606</v>
      </c>
      <c r="H94" s="3">
        <v>2048</v>
      </c>
      <c r="I94" s="335">
        <f t="shared" si="5"/>
        <v>97.573611636738406</v>
      </c>
      <c r="L94" s="3">
        <v>2048</v>
      </c>
      <c r="M94" s="707">
        <f>Bioplastics!B94</f>
        <v>310.25580494501628</v>
      </c>
      <c r="Q94" s="3">
        <v>2048</v>
      </c>
      <c r="R94" s="1197">
        <v>0.7260783184127001</v>
      </c>
      <c r="T94" s="3">
        <v>2048</v>
      </c>
      <c r="U94" s="335">
        <f t="shared" si="6"/>
        <v>1836.3942548571606</v>
      </c>
      <c r="W94" s="3">
        <v>2048</v>
      </c>
      <c r="X94" s="343"/>
      <c r="Y94" s="335">
        <f t="shared" si="7"/>
        <v>322.84362476899452</v>
      </c>
      <c r="AA94" s="3">
        <v>2048</v>
      </c>
      <c r="AB94" s="335">
        <f t="shared" si="8"/>
        <v>740.60094553970725</v>
      </c>
      <c r="AD94" s="3">
        <v>2048</v>
      </c>
      <c r="AE94" s="335">
        <f t="shared" si="9"/>
        <v>772.94968454845889</v>
      </c>
      <c r="AG94" s="3">
        <v>2048</v>
      </c>
      <c r="AH94" s="335">
        <f t="shared" si="10"/>
        <v>269.89451463881107</v>
      </c>
      <c r="AK94" s="3">
        <v>2048</v>
      </c>
      <c r="AL94" s="338">
        <f t="shared" si="11"/>
        <v>0.17580300303983804</v>
      </c>
      <c r="AM94" s="338">
        <f t="shared" si="12"/>
        <v>0.40329082035671748</v>
      </c>
      <c r="AN94" s="338">
        <f t="shared" si="13"/>
        <v>0.42090617660344448</v>
      </c>
    </row>
    <row r="95" spans="2:40" ht="14.4" x14ac:dyDescent="0.55000000000000004">
      <c r="B95" s="3">
        <v>2049</v>
      </c>
      <c r="C95" s="707">
        <f>'Food System Summary'!F47</f>
        <v>1545.8158890591249</v>
      </c>
      <c r="E95" s="3">
        <v>2049</v>
      </c>
      <c r="F95" s="335">
        <f t="shared" si="4"/>
        <v>1830.2832967229519</v>
      </c>
      <c r="H95" s="3">
        <v>2049</v>
      </c>
      <c r="I95" s="335">
        <f t="shared" si="5"/>
        <v>72.932749174876335</v>
      </c>
      <c r="L95" s="3">
        <v>2049</v>
      </c>
      <c r="M95" s="707">
        <f>Bioplastics!B95</f>
        <v>333.11368436738849</v>
      </c>
      <c r="Q95" s="3">
        <v>2049</v>
      </c>
      <c r="R95" s="1197">
        <v>0.73284146882843759</v>
      </c>
      <c r="T95" s="3">
        <v>2049</v>
      </c>
      <c r="U95" s="335">
        <f t="shared" si="6"/>
        <v>1830.2832967229519</v>
      </c>
      <c r="W95" s="3">
        <v>2049</v>
      </c>
      <c r="X95" s="343"/>
      <c r="Y95" s="335">
        <f t="shared" si="7"/>
        <v>317.05227091352583</v>
      </c>
      <c r="AA95" s="3">
        <v>2049</v>
      </c>
      <c r="AB95" s="335">
        <f t="shared" si="8"/>
        <v>725.83377433654152</v>
      </c>
      <c r="AD95" s="3">
        <v>2049</v>
      </c>
      <c r="AE95" s="335">
        <f t="shared" si="9"/>
        <v>787.3972514728847</v>
      </c>
      <c r="AG95" s="3">
        <v>2049</v>
      </c>
      <c r="AH95" s="335">
        <f t="shared" si="10"/>
        <v>260.74863723293197</v>
      </c>
      <c r="AK95" s="3">
        <v>2049</v>
      </c>
      <c r="AL95" s="338">
        <f t="shared" si="11"/>
        <v>0.17322579049986145</v>
      </c>
      <c r="AM95" s="338">
        <f t="shared" si="12"/>
        <v>0.39656908612787839</v>
      </c>
      <c r="AN95" s="338">
        <f t="shared" si="13"/>
        <v>0.43020512337226025</v>
      </c>
    </row>
    <row r="96" spans="2:40" ht="14.4" x14ac:dyDescent="0.55000000000000004">
      <c r="B96" s="3">
        <v>2050</v>
      </c>
      <c r="C96" s="707">
        <f>'Food System Summary'!F48</f>
        <v>1587.5052903575274</v>
      </c>
      <c r="E96" s="3">
        <v>2050</v>
      </c>
      <c r="F96" s="335">
        <f t="shared" si="4"/>
        <v>1823.907859012786</v>
      </c>
      <c r="H96" s="3">
        <v>2050</v>
      </c>
      <c r="I96" s="335">
        <f t="shared" si="5"/>
        <v>48.513938501602524</v>
      </c>
      <c r="L96" s="3">
        <v>2050</v>
      </c>
      <c r="M96" s="707">
        <f>Bioplastics!B96</f>
        <v>356.79475925723091</v>
      </c>
      <c r="Q96" s="3">
        <v>2050</v>
      </c>
      <c r="R96" s="1197">
        <v>0.7394376364654448</v>
      </c>
      <c r="T96" s="3">
        <v>2050</v>
      </c>
      <c r="U96" s="335">
        <f t="shared" si="6"/>
        <v>1823.907859012786</v>
      </c>
      <c r="W96" s="3">
        <v>2050</v>
      </c>
      <c r="X96" s="343"/>
      <c r="Y96" s="335">
        <f t="shared" si="7"/>
        <v>312.34141199002676</v>
      </c>
      <c r="AA96" s="3">
        <v>2050</v>
      </c>
      <c r="AB96" s="335">
        <f t="shared" si="8"/>
        <v>709.78983934186363</v>
      </c>
      <c r="AD96" s="3">
        <v>2050</v>
      </c>
      <c r="AE96" s="335">
        <f t="shared" si="9"/>
        <v>801.77660768089572</v>
      </c>
      <c r="AG96" s="3">
        <v>2050</v>
      </c>
      <c r="AH96" s="335">
        <f t="shared" si="10"/>
        <v>249.930284286149</v>
      </c>
      <c r="AK96" s="3">
        <v>2050</v>
      </c>
      <c r="AL96" s="338">
        <f t="shared" si="11"/>
        <v>0.17124845997378707</v>
      </c>
      <c r="AM96" s="338">
        <f t="shared" si="12"/>
        <v>0.38915882501106536</v>
      </c>
      <c r="AN96" s="338">
        <f t="shared" si="13"/>
        <v>0.43959271501514763</v>
      </c>
    </row>
    <row r="97" spans="1:74" ht="14.4" x14ac:dyDescent="0.55000000000000004">
      <c r="B97" s="3">
        <v>2051</v>
      </c>
      <c r="C97" s="707">
        <f>'Food System Summary'!F49</f>
        <v>1597.0345551669989</v>
      </c>
      <c r="E97" s="3">
        <v>2051</v>
      </c>
      <c r="F97" s="335">
        <f t="shared" si="4"/>
        <v>1850.7168827910959</v>
      </c>
      <c r="H97" s="3">
        <v>2051</v>
      </c>
      <c r="I97" s="335">
        <f t="shared" si="5"/>
        <v>56.723499248504595</v>
      </c>
      <c r="L97" s="3">
        <v>2051</v>
      </c>
      <c r="M97" s="707">
        <f>Bioplastics!B97</f>
        <v>381.29982203943655</v>
      </c>
      <c r="Q97" s="3">
        <v>2051</v>
      </c>
      <c r="R97" s="1197">
        <v>0.7432277927881854</v>
      </c>
      <c r="T97" s="3">
        <v>2051</v>
      </c>
      <c r="U97" s="335">
        <f t="shared" si="6"/>
        <v>1850.7168827910959</v>
      </c>
      <c r="W97" s="3">
        <v>2051</v>
      </c>
      <c r="X97" s="343"/>
      <c r="Y97" s="335">
        <f t="shared" si="7"/>
        <v>340.1161243734029</v>
      </c>
      <c r="AA97" s="3">
        <v>2051</v>
      </c>
      <c r="AB97" s="335">
        <f t="shared" si="8"/>
        <v>694.0449075362219</v>
      </c>
      <c r="AD97" s="3">
        <v>2051</v>
      </c>
      <c r="AE97" s="335">
        <f t="shared" si="9"/>
        <v>816.55585088147109</v>
      </c>
      <c r="AG97" s="3">
        <v>2051</v>
      </c>
      <c r="AH97" s="335">
        <f t="shared" si="10"/>
        <v>240.47436252876957</v>
      </c>
      <c r="AK97" s="3">
        <v>2051</v>
      </c>
      <c r="AL97" s="338">
        <f t="shared" si="11"/>
        <v>0.18377533999715195</v>
      </c>
      <c r="AM97" s="338">
        <f t="shared" si="12"/>
        <v>0.37501408993985164</v>
      </c>
      <c r="AN97" s="338">
        <f t="shared" si="13"/>
        <v>0.44121057006299635</v>
      </c>
    </row>
    <row r="98" spans="1:74" ht="14.4" x14ac:dyDescent="0.55000000000000004">
      <c r="B98" s="3">
        <v>2052</v>
      </c>
      <c r="C98" s="707">
        <f>'Food System Summary'!F50</f>
        <v>1606.3814292614609</v>
      </c>
      <c r="E98" s="3">
        <v>2052</v>
      </c>
      <c r="F98" s="335">
        <f t="shared" si="4"/>
        <v>1876.7306320662967</v>
      </c>
      <c r="H98" s="3">
        <v>2052</v>
      </c>
      <c r="I98" s="335">
        <f t="shared" si="5"/>
        <v>64.625235444741065</v>
      </c>
      <c r="L98" s="3">
        <v>2052</v>
      </c>
      <c r="M98" s="707">
        <f>Bioplastics!B98</f>
        <v>406.62966513843276</v>
      </c>
      <c r="Q98" s="3">
        <v>2052</v>
      </c>
      <c r="R98" s="1197">
        <v>0.74865445113542495</v>
      </c>
      <c r="T98" s="3">
        <v>2052</v>
      </c>
      <c r="U98" s="335">
        <f t="shared" si="6"/>
        <v>1876.7306320662967</v>
      </c>
      <c r="W98" s="3">
        <v>2052</v>
      </c>
      <c r="X98" s="343"/>
      <c r="Y98" s="335">
        <f t="shared" si="7"/>
        <v>369.05034421433606</v>
      </c>
      <c r="AA98" s="3">
        <v>2052</v>
      </c>
      <c r="AB98" s="335">
        <f t="shared" si="8"/>
        <v>676.41924770030175</v>
      </c>
      <c r="AD98" s="3">
        <v>2052</v>
      </c>
      <c r="AE98" s="335">
        <f t="shared" si="9"/>
        <v>831.2610401516589</v>
      </c>
      <c r="AG98" s="3">
        <v>2052</v>
      </c>
      <c r="AH98" s="335">
        <f t="shared" si="10"/>
        <v>229.33546690786818</v>
      </c>
      <c r="AK98" s="3">
        <v>2052</v>
      </c>
      <c r="AL98" s="338">
        <f t="shared" si="11"/>
        <v>0.19664534585232854</v>
      </c>
      <c r="AM98" s="338">
        <f t="shared" si="12"/>
        <v>0.36042425915729753</v>
      </c>
      <c r="AN98" s="338">
        <f t="shared" si="13"/>
        <v>0.4429303949903739</v>
      </c>
    </row>
    <row r="99" spans="1:74" ht="14.4" x14ac:dyDescent="0.55000000000000004">
      <c r="B99" s="3">
        <v>2053</v>
      </c>
      <c r="C99" s="707">
        <f>'Food System Summary'!F51</f>
        <v>1615.5443097038897</v>
      </c>
      <c r="E99" s="3">
        <v>2053</v>
      </c>
      <c r="F99" s="335">
        <f t="shared" si="4"/>
        <v>1902.6198654675759</v>
      </c>
      <c r="H99" s="3">
        <v>2053</v>
      </c>
      <c r="I99" s="335">
        <f t="shared" si="5"/>
        <v>72.543196912434496</v>
      </c>
      <c r="L99" s="3">
        <v>2053</v>
      </c>
      <c r="M99" s="707">
        <f>Bioplastics!B99</f>
        <v>432.78508097887971</v>
      </c>
      <c r="Q99" s="3">
        <v>2053</v>
      </c>
      <c r="R99" s="1197">
        <v>0.75382368813664513</v>
      </c>
      <c r="T99" s="3">
        <v>2053</v>
      </c>
      <c r="U99" s="335">
        <f t="shared" si="6"/>
        <v>1902.6198654675759</v>
      </c>
      <c r="W99" s="3">
        <v>2053</v>
      </c>
      <c r="X99" s="343"/>
      <c r="Y99" s="335">
        <f t="shared" si="7"/>
        <v>398.7868428264502</v>
      </c>
      <c r="AA99" s="3">
        <v>2053</v>
      </c>
      <c r="AB99" s="335">
        <f t="shared" si="8"/>
        <v>657.7868738814434</v>
      </c>
      <c r="AD99" s="3">
        <v>2053</v>
      </c>
      <c r="AE99" s="335">
        <f t="shared" si="9"/>
        <v>846.04614875968241</v>
      </c>
      <c r="AG99" s="3">
        <v>2053</v>
      </c>
      <c r="AH99" s="335">
        <f t="shared" si="10"/>
        <v>217.52115139081741</v>
      </c>
      <c r="AK99" s="3">
        <v>2053</v>
      </c>
      <c r="AL99" s="338">
        <f t="shared" si="11"/>
        <v>0.20959880113963114</v>
      </c>
      <c r="AM99" s="338">
        <f t="shared" si="12"/>
        <v>0.34572690310882981</v>
      </c>
      <c r="AN99" s="338">
        <f t="shared" si="13"/>
        <v>0.44467429575153911</v>
      </c>
    </row>
    <row r="100" spans="1:74" ht="14.4" x14ac:dyDescent="0.55000000000000004">
      <c r="B100" s="3">
        <v>2054</v>
      </c>
      <c r="C100" s="707">
        <f>'Food System Summary'!F52</f>
        <v>1624.5224550885387</v>
      </c>
      <c r="E100" s="3">
        <v>2054</v>
      </c>
      <c r="F100" s="335">
        <f t="shared" si="4"/>
        <v>1928.3862164138586</v>
      </c>
      <c r="H100" s="3">
        <v>2054</v>
      </c>
      <c r="I100" s="335">
        <f t="shared" si="5"/>
        <v>80.479986833936437</v>
      </c>
      <c r="L100" s="3">
        <v>2054</v>
      </c>
      <c r="M100" s="707">
        <f>Bioplastics!B100</f>
        <v>459.76686198543757</v>
      </c>
      <c r="Q100" s="3">
        <v>2054</v>
      </c>
      <c r="R100" s="1197">
        <v>0.75873550379184596</v>
      </c>
      <c r="T100" s="3">
        <v>2054</v>
      </c>
      <c r="U100" s="335">
        <f t="shared" si="6"/>
        <v>1928.3862164138586</v>
      </c>
      <c r="W100" s="3">
        <v>2054</v>
      </c>
      <c r="X100" s="343"/>
      <c r="Y100" s="335">
        <f t="shared" si="7"/>
        <v>429.32142848925355</v>
      </c>
      <c r="AA100" s="3">
        <v>2054</v>
      </c>
      <c r="AB100" s="335">
        <f t="shared" si="8"/>
        <v>638.15658728804897</v>
      </c>
      <c r="AD100" s="3">
        <v>2054</v>
      </c>
      <c r="AE100" s="335">
        <f t="shared" si="9"/>
        <v>860.9082006365561</v>
      </c>
      <c r="AG100" s="3">
        <v>2054</v>
      </c>
      <c r="AH100" s="335">
        <f t="shared" si="10"/>
        <v>205.02543110570423</v>
      </c>
      <c r="AK100" s="3">
        <v>2054</v>
      </c>
      <c r="AL100" s="338">
        <f t="shared" si="11"/>
        <v>0.22263249178769029</v>
      </c>
      <c r="AM100" s="338">
        <f t="shared" si="12"/>
        <v>0.33092778918260618</v>
      </c>
      <c r="AN100" s="338">
        <f t="shared" si="13"/>
        <v>0.44643971902970353</v>
      </c>
    </row>
    <row r="101" spans="1:74" ht="14.4" x14ac:dyDescent="0.55000000000000004">
      <c r="B101" s="3">
        <v>2055</v>
      </c>
      <c r="C101" s="707">
        <f>'Food System Summary'!F53</f>
        <v>1633.3165947135749</v>
      </c>
      <c r="E101" s="3">
        <v>2055</v>
      </c>
      <c r="F101" s="335">
        <f t="shared" si="4"/>
        <v>1954.0309504250667</v>
      </c>
      <c r="H101" s="3">
        <v>2055</v>
      </c>
      <c r="I101" s="335">
        <f t="shared" si="5"/>
        <v>88.437168723649847</v>
      </c>
      <c r="L101" s="3">
        <v>2055</v>
      </c>
      <c r="M101" s="707">
        <f>Bioplastics!B101</f>
        <v>487.5758005825337</v>
      </c>
      <c r="Q101" s="3">
        <v>2055</v>
      </c>
      <c r="R101" s="1197">
        <v>0.76338989810102742</v>
      </c>
      <c r="T101" s="3">
        <v>2055</v>
      </c>
      <c r="U101" s="335">
        <f t="shared" si="6"/>
        <v>1954.0309504250667</v>
      </c>
      <c r="W101" s="3">
        <v>2055</v>
      </c>
      <c r="X101" s="343"/>
      <c r="Y101" s="335">
        <f t="shared" si="7"/>
        <v>460.64760944687714</v>
      </c>
      <c r="AA101" s="3">
        <v>2055</v>
      </c>
      <c r="AB101" s="335">
        <f t="shared" si="8"/>
        <v>617.53874698052414</v>
      </c>
      <c r="AD101" s="3">
        <v>2055</v>
      </c>
      <c r="AE101" s="335">
        <f t="shared" si="9"/>
        <v>875.84459399766547</v>
      </c>
      <c r="AG101" s="3">
        <v>2055</v>
      </c>
      <c r="AH101" s="335">
        <f t="shared" si="10"/>
        <v>191.84247426242769</v>
      </c>
      <c r="AK101" s="3">
        <v>2055</v>
      </c>
      <c r="AL101" s="338">
        <f t="shared" si="11"/>
        <v>0.23574222780180168</v>
      </c>
      <c r="AM101" s="338">
        <f t="shared" si="12"/>
        <v>0.316033247501115</v>
      </c>
      <c r="AN101" s="338">
        <f t="shared" si="13"/>
        <v>0.44822452469708329</v>
      </c>
    </row>
    <row r="102" spans="1:74" ht="14.4" x14ac:dyDescent="0.55000000000000004">
      <c r="B102" s="3">
        <v>2056</v>
      </c>
      <c r="C102" s="707">
        <f>'Food System Summary'!F54</f>
        <v>1641.9270103226868</v>
      </c>
      <c r="E102" s="3">
        <v>2056</v>
      </c>
      <c r="F102" s="335">
        <f t="shared" si="4"/>
        <v>1979.556494150303</v>
      </c>
      <c r="H102" s="3">
        <v>2056</v>
      </c>
      <c r="I102" s="335">
        <f t="shared" si="5"/>
        <v>96.417004046609691</v>
      </c>
      <c r="L102" s="3">
        <v>2056</v>
      </c>
      <c r="M102" s="707">
        <f>Bioplastics!B102</f>
        <v>516.2126891950611</v>
      </c>
      <c r="Q102" s="3">
        <v>2056</v>
      </c>
      <c r="R102" s="1197">
        <v>0.76778687106418952</v>
      </c>
      <c r="T102" s="3">
        <v>2056</v>
      </c>
      <c r="U102" s="335">
        <f t="shared" si="6"/>
        <v>1979.556494150303</v>
      </c>
      <c r="W102" s="3">
        <v>2056</v>
      </c>
      <c r="X102" s="343"/>
      <c r="Y102" s="335">
        <f t="shared" si="7"/>
        <v>492.75832948731659</v>
      </c>
      <c r="AA102" s="3">
        <v>2056</v>
      </c>
      <c r="AB102" s="335">
        <f t="shared" si="8"/>
        <v>595.94515478489234</v>
      </c>
      <c r="AD102" s="3">
        <v>2056</v>
      </c>
      <c r="AE102" s="335">
        <f t="shared" si="9"/>
        <v>890.8530098780941</v>
      </c>
      <c r="AG102" s="3">
        <v>2056</v>
      </c>
      <c r="AH102" s="335">
        <f t="shared" si="10"/>
        <v>177.96675239845581</v>
      </c>
      <c r="AK102" s="3">
        <v>2056</v>
      </c>
      <c r="AL102" s="338">
        <f t="shared" si="11"/>
        <v>0.24892360028291399</v>
      </c>
      <c r="AM102" s="338">
        <f t="shared" si="12"/>
        <v>0.30104983441793282</v>
      </c>
      <c r="AN102" s="338">
        <f t="shared" si="13"/>
        <v>0.45002656529915319</v>
      </c>
    </row>
    <row r="103" spans="1:74" ht="14.4" x14ac:dyDescent="0.55000000000000004">
      <c r="B103" s="3">
        <v>2057</v>
      </c>
      <c r="C103" s="707">
        <f>'Food System Summary'!F55</f>
        <v>1650.3573682046656</v>
      </c>
      <c r="E103" s="3">
        <v>2057</v>
      </c>
      <c r="F103" s="335">
        <f t="shared" si="4"/>
        <v>2004.9637715370338</v>
      </c>
      <c r="H103" s="3">
        <v>2057</v>
      </c>
      <c r="I103" s="335">
        <f t="shared" si="5"/>
        <v>104.41918673008649</v>
      </c>
      <c r="L103" s="3">
        <v>2057</v>
      </c>
      <c r="M103" s="707">
        <f>Bioplastics!B103</f>
        <v>545.67832024744712</v>
      </c>
      <c r="Q103" s="3">
        <v>2057</v>
      </c>
      <c r="R103" s="1197">
        <v>0.77192642268133227</v>
      </c>
      <c r="T103" s="3">
        <v>2057</v>
      </c>
      <c r="U103" s="335">
        <f t="shared" si="6"/>
        <v>2004.9637715370338</v>
      </c>
      <c r="W103" s="3">
        <v>2057</v>
      </c>
      <c r="X103" s="343"/>
      <c r="Y103" s="335">
        <f t="shared" si="7"/>
        <v>525.64270041345674</v>
      </c>
      <c r="AA103" s="3">
        <v>2057</v>
      </c>
      <c r="AB103" s="335">
        <f t="shared" si="8"/>
        <v>573.38936844034617</v>
      </c>
      <c r="AD103" s="3">
        <v>2057</v>
      </c>
      <c r="AE103" s="335">
        <f t="shared" si="9"/>
        <v>905.93170268323081</v>
      </c>
      <c r="AG103" s="3">
        <v>2057</v>
      </c>
      <c r="AH103" s="335">
        <f t="shared" si="10"/>
        <v>163.39298612226276</v>
      </c>
      <c r="AK103" s="3">
        <v>2057</v>
      </c>
      <c r="AL103" s="338">
        <f t="shared" si="11"/>
        <v>0.26217067254561488</v>
      </c>
      <c r="AM103" s="338">
        <f t="shared" si="12"/>
        <v>0.28598490236099267</v>
      </c>
      <c r="AN103" s="338">
        <f t="shared" si="13"/>
        <v>0.4518444250933924</v>
      </c>
    </row>
    <row r="104" spans="1:74" ht="14.4" x14ac:dyDescent="0.55000000000000004">
      <c r="B104" s="3">
        <v>2058</v>
      </c>
      <c r="C104" s="707">
        <f>'Food System Summary'!F56</f>
        <v>1658.6167789636181</v>
      </c>
      <c r="E104" s="3">
        <v>2058</v>
      </c>
      <c r="F104" s="335">
        <f t="shared" si="4"/>
        <v>2030.2504787168762</v>
      </c>
      <c r="H104" s="3">
        <v>2058</v>
      </c>
      <c r="I104" s="335">
        <f t="shared" si="5"/>
        <v>112.43894982714482</v>
      </c>
      <c r="L104" s="3">
        <v>2058</v>
      </c>
      <c r="M104" s="707">
        <f>Bioplastics!B104</f>
        <v>575.97348616435193</v>
      </c>
      <c r="Q104" s="3">
        <v>2058</v>
      </c>
      <c r="R104" s="1197">
        <v>0.77580855295245554</v>
      </c>
      <c r="T104" s="3">
        <v>2058</v>
      </c>
      <c r="U104" s="335">
        <f t="shared" si="6"/>
        <v>2030.2504787168762</v>
      </c>
      <c r="W104" s="3">
        <v>2058</v>
      </c>
      <c r="X104" s="343"/>
      <c r="Y104" s="335">
        <f t="shared" si="7"/>
        <v>559.28410666729178</v>
      </c>
      <c r="AA104" s="3">
        <v>2058</v>
      </c>
      <c r="AB104" s="335">
        <f t="shared" si="8"/>
        <v>549.88677618512247</v>
      </c>
      <c r="AD104" s="3">
        <v>2058</v>
      </c>
      <c r="AE104" s="335">
        <f t="shared" si="9"/>
        <v>921.07959586446191</v>
      </c>
      <c r="AG104" s="3">
        <v>2058</v>
      </c>
      <c r="AH104" s="335">
        <f t="shared" si="10"/>
        <v>148.11590241812792</v>
      </c>
      <c r="AK104" s="3">
        <v>2058</v>
      </c>
      <c r="AL104" s="338">
        <f t="shared" si="11"/>
        <v>0.27547542164391503</v>
      </c>
      <c r="AM104" s="338">
        <f t="shared" si="12"/>
        <v>0.27084676592843482</v>
      </c>
      <c r="AN104" s="338">
        <f t="shared" si="13"/>
        <v>0.45367781242765015</v>
      </c>
    </row>
    <row r="105" spans="1:74" ht="14.4" x14ac:dyDescent="0.55000000000000004">
      <c r="B105" s="3">
        <v>2059</v>
      </c>
      <c r="C105" s="707">
        <f>'Food System Summary'!F57</f>
        <v>1666.7173955002281</v>
      </c>
      <c r="E105" s="3">
        <v>2059</v>
      </c>
      <c r="F105" s="335">
        <f t="shared" si="4"/>
        <v>2055.4128260746415</v>
      </c>
      <c r="H105" s="3">
        <v>2059</v>
      </c>
      <c r="I105" s="335">
        <f t="shared" si="5"/>
        <v>120.46915614028126</v>
      </c>
      <c r="L105" s="3">
        <v>2059</v>
      </c>
      <c r="M105" s="707">
        <f>Bioplastics!B105</f>
        <v>607.09897937066853</v>
      </c>
      <c r="Q105" s="3">
        <v>2059</v>
      </c>
      <c r="R105" s="1197">
        <v>0.77943326187755946</v>
      </c>
      <c r="T105" s="3">
        <v>2059</v>
      </c>
      <c r="U105" s="335">
        <f t="shared" si="6"/>
        <v>2055.4128260746415</v>
      </c>
      <c r="W105" s="3">
        <v>2059</v>
      </c>
      <c r="X105" s="343"/>
      <c r="Y105" s="335">
        <f t="shared" si="7"/>
        <v>593.66229391369859</v>
      </c>
      <c r="AA105" s="3">
        <v>2059</v>
      </c>
      <c r="AB105" s="335">
        <f t="shared" si="8"/>
        <v>525.45440067512016</v>
      </c>
      <c r="AD105" s="3">
        <v>2059</v>
      </c>
      <c r="AE105" s="335">
        <f t="shared" si="9"/>
        <v>936.29613148582268</v>
      </c>
      <c r="AG105" s="3">
        <v>2059</v>
      </c>
      <c r="AH105" s="335">
        <f t="shared" si="10"/>
        <v>132.13033357841448</v>
      </c>
      <c r="AK105" s="3">
        <v>2059</v>
      </c>
      <c r="AL105" s="338">
        <f t="shared" si="11"/>
        <v>0.28882873862739045</v>
      </c>
      <c r="AM105" s="338">
        <f t="shared" si="12"/>
        <v>0.25564421609580756</v>
      </c>
      <c r="AN105" s="338">
        <f t="shared" si="13"/>
        <v>0.45552704527680193</v>
      </c>
    </row>
    <row r="106" spans="1:74" ht="14.4" x14ac:dyDescent="0.55000000000000004">
      <c r="B106" s="3">
        <v>2060</v>
      </c>
      <c r="C106" s="707">
        <f>'Food System Summary'!F58</f>
        <v>1674.6698257524004</v>
      </c>
      <c r="E106" s="3">
        <v>2060</v>
      </c>
      <c r="F106" s="335">
        <f t="shared" si="4"/>
        <v>2080.4482028268935</v>
      </c>
      <c r="H106" s="3">
        <v>2060</v>
      </c>
      <c r="I106" s="335">
        <f t="shared" si="5"/>
        <v>128.50396722516757</v>
      </c>
      <c r="L106" s="3">
        <v>2060</v>
      </c>
      <c r="M106" s="707">
        <f>Bioplastics!B106</f>
        <v>639.05559229059145</v>
      </c>
      <c r="Q106" s="3">
        <v>2060</v>
      </c>
      <c r="R106" s="339">
        <v>0.78280054945664412</v>
      </c>
      <c r="T106" s="3">
        <v>2060</v>
      </c>
      <c r="U106" s="335">
        <f t="shared" si="6"/>
        <v>2080.4482028268935</v>
      </c>
      <c r="W106" s="3">
        <v>2060</v>
      </c>
      <c r="X106" s="343"/>
      <c r="Y106" s="335">
        <f t="shared" si="7"/>
        <v>628.75703600358372</v>
      </c>
      <c r="AA106" s="3">
        <v>2060</v>
      </c>
      <c r="AB106" s="335">
        <f t="shared" si="8"/>
        <v>500.11037403510761</v>
      </c>
      <c r="AD106" s="3">
        <v>2060</v>
      </c>
      <c r="AE106" s="335">
        <f t="shared" si="9"/>
        <v>951.58079278820207</v>
      </c>
      <c r="AG106" s="3">
        <v>2060</v>
      </c>
      <c r="AH106" s="335">
        <f t="shared" si="10"/>
        <v>115.43108796074443</v>
      </c>
      <c r="AK106" s="3">
        <v>2060</v>
      </c>
      <c r="AL106" s="338">
        <f t="shared" si="11"/>
        <v>0.30222191311912239</v>
      </c>
      <c r="AM106" s="338">
        <f t="shared" si="12"/>
        <v>0.24038588096332431</v>
      </c>
      <c r="AN106" s="338">
        <f t="shared" si="13"/>
        <v>0.45739220591755325</v>
      </c>
    </row>
    <row r="109" spans="1:74" ht="22.5" x14ac:dyDescent="0.75">
      <c r="A109" s="336" t="s">
        <v>489</v>
      </c>
      <c r="Q109" s="638"/>
      <c r="R109" s="638"/>
      <c r="S109" s="638"/>
      <c r="T109" s="638"/>
    </row>
    <row r="110" spans="1:74" ht="200.05" customHeight="1" x14ac:dyDescent="0.4">
      <c r="B110" s="1275" t="s">
        <v>490</v>
      </c>
      <c r="C110" s="1276"/>
      <c r="D110" s="1276"/>
      <c r="F110" s="1275" t="s">
        <v>491</v>
      </c>
      <c r="G110" s="1276"/>
      <c r="H110" s="1276"/>
      <c r="J110" s="1275" t="s">
        <v>481</v>
      </c>
      <c r="K110" s="1276"/>
      <c r="L110" s="1276"/>
      <c r="M110" s="1276"/>
      <c r="N110" s="1276"/>
      <c r="P110" s="1280" t="s">
        <v>492</v>
      </c>
      <c r="Q110" s="1281"/>
      <c r="R110" s="1281"/>
      <c r="S110" s="1281"/>
      <c r="V110" s="1275" t="s">
        <v>493</v>
      </c>
      <c r="W110" s="1276"/>
      <c r="X110" s="1276"/>
      <c r="Y110" s="1276"/>
      <c r="Z110" s="1276"/>
      <c r="AA110" s="1276"/>
      <c r="AB110" s="1276"/>
      <c r="AC110" s="1276"/>
      <c r="AE110" s="1275" t="s">
        <v>484</v>
      </c>
      <c r="AF110" s="1276"/>
      <c r="AG110" s="1276"/>
      <c r="AH110" s="1276"/>
      <c r="AI110" s="1276"/>
      <c r="AK110" s="1275" t="s">
        <v>486</v>
      </c>
      <c r="AL110" s="1276"/>
      <c r="AM110" s="1276"/>
      <c r="AN110" s="1276"/>
      <c r="AO110" s="1276"/>
      <c r="AP110" s="1276"/>
      <c r="AQ110" s="1276"/>
      <c r="AR110" s="1276"/>
      <c r="AS110" s="1276"/>
      <c r="AT110" s="1276"/>
    </row>
    <row r="111" spans="1:74" ht="123" x14ac:dyDescent="0.4">
      <c r="B111" s="1173" t="s">
        <v>132</v>
      </c>
      <c r="C111" s="341" t="s">
        <v>149</v>
      </c>
      <c r="F111" s="641" t="s">
        <v>151</v>
      </c>
      <c r="G111" s="641"/>
      <c r="H111" s="641"/>
      <c r="J111" s="642" t="s">
        <v>496</v>
      </c>
      <c r="K111" s="642"/>
      <c r="Q111" s="1173" t="s">
        <v>1101</v>
      </c>
      <c r="R111" s="1173" t="s">
        <v>160</v>
      </c>
      <c r="S111" s="1173" t="s">
        <v>1102</v>
      </c>
      <c r="V111" s="641" t="s">
        <v>152</v>
      </c>
      <c r="W111" s="641"/>
      <c r="X111" s="641"/>
      <c r="Y111" s="641"/>
      <c r="Z111" s="641"/>
      <c r="AA111" s="641"/>
      <c r="AB111" s="641"/>
      <c r="AC111" s="641"/>
      <c r="AE111" s="340" t="s">
        <v>10</v>
      </c>
      <c r="AF111" s="335">
        <f>'WTE Tonnes and Composition'!M52</f>
        <v>1.4992613764679676</v>
      </c>
      <c r="AG111" s="335">
        <f>'WTE Tonnes and Composition'!M53</f>
        <v>3.5494778268358278</v>
      </c>
      <c r="AH111" s="335">
        <f>'WTE Tonnes and Composition'!M54</f>
        <v>2.1207208550108536</v>
      </c>
      <c r="AI111" s="341" t="s">
        <v>483</v>
      </c>
      <c r="AK111" s="345" t="s">
        <v>153</v>
      </c>
      <c r="AL111" s="345"/>
      <c r="AO111" s="341" t="s">
        <v>485</v>
      </c>
      <c r="AP111" s="338">
        <f>'WTE Tonnes and Composition'!R$31</f>
        <v>0.1982538444179904</v>
      </c>
      <c r="AQ111" s="338">
        <f>'WTE Tonnes and Composition'!R$32</f>
        <v>0.28006004602560974</v>
      </c>
      <c r="AR111" s="338">
        <f>'WTE Tonnes and Composition'!R$33</f>
        <v>0.3429125448437737</v>
      </c>
      <c r="AS111" s="345" t="s">
        <v>278</v>
      </c>
      <c r="AT111" s="345" t="s">
        <v>279</v>
      </c>
      <c r="AU111" s="609"/>
      <c r="AV111" s="609"/>
      <c r="AW111" s="609"/>
      <c r="AX111" s="609"/>
      <c r="AY111" s="609"/>
      <c r="AZ111" s="609"/>
      <c r="BA111" s="609"/>
      <c r="BQ111" s="609"/>
      <c r="BR111" s="609"/>
      <c r="BS111" s="609"/>
      <c r="BT111" s="609"/>
      <c r="BU111" s="609"/>
      <c r="BV111" s="609"/>
    </row>
    <row r="112" spans="1:74" x14ac:dyDescent="0.4">
      <c r="B112" s="2"/>
      <c r="C112" s="334" t="s">
        <v>115</v>
      </c>
      <c r="D112" s="334" t="s">
        <v>133</v>
      </c>
      <c r="F112" s="2"/>
      <c r="G112" s="334" t="s">
        <v>115</v>
      </c>
      <c r="H112" s="334" t="s">
        <v>134</v>
      </c>
      <c r="J112" s="2"/>
      <c r="K112" s="334" t="s">
        <v>115</v>
      </c>
      <c r="L112" s="334" t="s">
        <v>159</v>
      </c>
      <c r="M112" s="334" t="s">
        <v>157</v>
      </c>
      <c r="N112" s="334" t="s">
        <v>158</v>
      </c>
      <c r="P112" s="2"/>
      <c r="Q112" s="334" t="s">
        <v>115</v>
      </c>
      <c r="R112" s="334" t="str">
        <f t="shared" ref="R112:R159" si="14">AE59</f>
        <v>World</v>
      </c>
      <c r="S112" s="334" t="s">
        <v>115</v>
      </c>
      <c r="V112" s="334" t="s">
        <v>115</v>
      </c>
      <c r="W112" s="334" t="s">
        <v>156</v>
      </c>
      <c r="X112" s="334" t="s">
        <v>157</v>
      </c>
      <c r="Y112" s="334" t="s">
        <v>158</v>
      </c>
      <c r="Z112" s="334" t="s">
        <v>155</v>
      </c>
      <c r="AA112" s="334" t="s">
        <v>161</v>
      </c>
      <c r="AB112" s="334" t="s">
        <v>162</v>
      </c>
      <c r="AC112" s="334" t="s">
        <v>163</v>
      </c>
      <c r="AE112" s="334" t="s">
        <v>115</v>
      </c>
      <c r="AF112" s="347" t="s">
        <v>156</v>
      </c>
      <c r="AG112" s="347" t="s">
        <v>157</v>
      </c>
      <c r="AH112" s="347" t="s">
        <v>158</v>
      </c>
      <c r="AI112" s="347" t="s">
        <v>165</v>
      </c>
      <c r="AK112" s="334" t="s">
        <v>115</v>
      </c>
      <c r="AL112" s="347" t="s">
        <v>138</v>
      </c>
      <c r="AM112" s="347" t="s">
        <v>156</v>
      </c>
      <c r="AN112" s="347" t="s">
        <v>157</v>
      </c>
      <c r="AO112" s="347" t="s">
        <v>158</v>
      </c>
      <c r="AP112" s="347" t="s">
        <v>156</v>
      </c>
      <c r="AQ112" s="347" t="s">
        <v>157</v>
      </c>
      <c r="AR112" s="347" t="s">
        <v>158</v>
      </c>
      <c r="AS112" s="527" t="s">
        <v>115</v>
      </c>
      <c r="AT112" s="527" t="s">
        <v>115</v>
      </c>
    </row>
    <row r="113" spans="2:46" ht="14.4" x14ac:dyDescent="0.55000000000000004">
      <c r="B113" s="3">
        <v>2014</v>
      </c>
      <c r="C113" s="707">
        <f>Compost!E56</f>
        <v>110.54366841083268</v>
      </c>
      <c r="D113" s="338">
        <f t="shared" ref="D113:D159" si="15">C113/Y60</f>
        <v>0.13735631497417058</v>
      </c>
      <c r="F113" s="3">
        <v>2014</v>
      </c>
      <c r="G113" s="707">
        <f>'H&amp;C Recycling'!E56</f>
        <v>206.02941101227444</v>
      </c>
      <c r="H113" s="338">
        <f t="shared" ref="H113:H159" si="16">G113/AB60</f>
        <v>0.32872538352551745</v>
      </c>
      <c r="J113" s="3">
        <v>2014</v>
      </c>
      <c r="K113" s="335">
        <f>U60-C113-G113</f>
        <v>1456.7602539102263</v>
      </c>
      <c r="L113" s="338">
        <f t="shared" ref="L113:L159" si="17">(Y60-C113)/K113</f>
        <v>0.47657209073626489</v>
      </c>
      <c r="M113" s="338">
        <f t="shared" ref="M113:M159" si="18">(AB60-G113)/K113</f>
        <v>0.28880727023664815</v>
      </c>
      <c r="N113" s="338">
        <f t="shared" ref="N113:N159" si="19">AE60/K113</f>
        <v>0.23462063902708707</v>
      </c>
      <c r="P113" s="3">
        <v>2014</v>
      </c>
      <c r="Q113" s="707">
        <f>Paper!F61</f>
        <v>175.25105629820052</v>
      </c>
      <c r="R113" s="334">
        <f t="shared" si="14"/>
        <v>341.7860216816789</v>
      </c>
      <c r="S113" s="707">
        <f>Paper!G61</f>
        <v>227.24220300000002</v>
      </c>
      <c r="V113" s="335">
        <f t="shared" ref="V113:V159" si="20">U60-C113-G113-S113-U170</f>
        <v>1229.5180509102263</v>
      </c>
      <c r="W113" s="335">
        <f t="shared" ref="W113:W159" si="21">Y60-C113</f>
        <v>694.25127990748865</v>
      </c>
      <c r="X113" s="335">
        <f t="shared" ref="X113:X159" si="22">AB60-G113</f>
        <v>420.72295232105887</v>
      </c>
      <c r="Y113" s="335">
        <f t="shared" ref="Y113:Y159" si="23">R113-S113-U170</f>
        <v>114.54381868167889</v>
      </c>
      <c r="Z113" s="338">
        <f t="shared" ref="Z113:Z159" si="24">W113/$V113</f>
        <v>0.5646531821094668</v>
      </c>
      <c r="AA113" s="338">
        <f t="shared" ref="AA113:AA159" si="25">X113/$V113</f>
        <v>0.34218525869513899</v>
      </c>
      <c r="AB113" s="338">
        <f t="shared" ref="AB113:AB159" si="26">Y113/$V113</f>
        <v>9.3161559195394317E-2</v>
      </c>
      <c r="AC113" s="338">
        <f t="shared" ref="AC113:AC159" si="27">1-V113/U60</f>
        <v>0.30666275324611303</v>
      </c>
      <c r="AE113" s="346">
        <f>MIN('WTE Tonnes and Composition'!G67,V113)</f>
        <v>142.75688198659913</v>
      </c>
      <c r="AF113" s="335">
        <f>AF111*Z113</f>
        <v>0.8465627070364572</v>
      </c>
      <c r="AG113" s="335">
        <f>AG$111*AA113</f>
        <v>1.2145789884084774</v>
      </c>
      <c r="AH113" s="335">
        <f>AH$111*AB113</f>
        <v>0.19756966147100088</v>
      </c>
      <c r="AI113" s="335">
        <f>AF113+AG113+AH113</f>
        <v>2.2587113569159354</v>
      </c>
      <c r="AK113" s="610">
        <f t="shared" ref="AK113:AK159" si="28">V113-AE113</f>
        <v>1086.7611689236271</v>
      </c>
      <c r="AL113" s="338">
        <f t="shared" ref="AL113:AL159" si="29">AK113/U60</f>
        <v>0.61283524563362424</v>
      </c>
      <c r="AM113" s="335">
        <f t="shared" ref="AM113:AM159" si="30">Z113*$AK113</f>
        <v>613.64315222572986</v>
      </c>
      <c r="AN113" s="335">
        <f t="shared" ref="AN113:AN159" si="31">AA113*$AK113</f>
        <v>371.87365172796297</v>
      </c>
      <c r="AO113" s="335">
        <f t="shared" ref="AO113:AO159" si="32">AB113*$AK113</f>
        <v>101.24436496993441</v>
      </c>
      <c r="AP113" s="335">
        <f>AP$111*AM113</f>
        <v>121.65711402952505</v>
      </c>
      <c r="AQ113" s="335">
        <f>AQ$111*AN113</f>
        <v>104.14695201864488</v>
      </c>
      <c r="AR113" s="335">
        <f>AR$111*AO113</f>
        <v>34.717962842932025</v>
      </c>
      <c r="AS113" s="335">
        <f>SUM(AP113:AR113)</f>
        <v>260.52202889110197</v>
      </c>
      <c r="AT113" s="610">
        <f>AS113/AK113</f>
        <v>0.23972335076080578</v>
      </c>
    </row>
    <row r="114" spans="2:46" ht="14.4" x14ac:dyDescent="0.55000000000000004">
      <c r="B114" s="3">
        <v>2015</v>
      </c>
      <c r="C114" s="707">
        <f>Compost!E57</f>
        <v>121.04208551354085</v>
      </c>
      <c r="D114" s="338">
        <f t="shared" si="15"/>
        <v>0.14027495331921128</v>
      </c>
      <c r="F114" s="3">
        <v>2015</v>
      </c>
      <c r="G114" s="707">
        <f>'H&amp;C Recycling'!E57</f>
        <v>235.52664728670166</v>
      </c>
      <c r="H114" s="338">
        <f t="shared" si="16"/>
        <v>0.35423417405491386</v>
      </c>
      <c r="J114" s="3">
        <v>2015</v>
      </c>
      <c r="K114" s="335">
        <f t="shared" ref="K114:K159" si="33">U61-C114-G114</f>
        <v>1535.0979338664242</v>
      </c>
      <c r="L114" s="338">
        <f t="shared" si="17"/>
        <v>0.48325878447178466</v>
      </c>
      <c r="M114" s="338">
        <f t="shared" si="18"/>
        <v>0.27969748710354631</v>
      </c>
      <c r="N114" s="338">
        <f t="shared" si="19"/>
        <v>0.23704372842466911</v>
      </c>
      <c r="P114" s="3">
        <v>2015</v>
      </c>
      <c r="Q114" s="707">
        <f>Paper!F62</f>
        <v>175.90427197943453</v>
      </c>
      <c r="R114" s="334">
        <f t="shared" si="14"/>
        <v>363.88533774070333</v>
      </c>
      <c r="S114" s="707">
        <f>Paper!G62</f>
        <v>228.0892060000001</v>
      </c>
      <c r="V114" s="335">
        <f t="shared" si="20"/>
        <v>1251.5724786637911</v>
      </c>
      <c r="W114" s="335">
        <f t="shared" si="21"/>
        <v>741.84956156543626</v>
      </c>
      <c r="X114" s="335">
        <f t="shared" si="22"/>
        <v>429.36303456028475</v>
      </c>
      <c r="Y114" s="335">
        <f t="shared" si="23"/>
        <v>80.35988253807011</v>
      </c>
      <c r="Z114" s="338">
        <f t="shared" si="24"/>
        <v>0.59273399999770904</v>
      </c>
      <c r="AA114" s="338">
        <f t="shared" si="25"/>
        <v>0.34305886545115072</v>
      </c>
      <c r="AB114" s="338">
        <f t="shared" si="26"/>
        <v>6.4207134551140216E-2</v>
      </c>
      <c r="AC114" s="338">
        <f t="shared" si="27"/>
        <v>0.33837578220416331</v>
      </c>
      <c r="AE114" s="346">
        <f>MIN('WTE Tonnes and Composition'!G68,V114)</f>
        <v>151.22621540688968</v>
      </c>
      <c r="AF114" s="335">
        <f>AF$111*Z114</f>
        <v>0.88866319271592953</v>
      </c>
      <c r="AG114" s="335">
        <f t="shared" ref="AG114:AH129" si="34">AG$111*AA114</f>
        <v>1.217679836218315</v>
      </c>
      <c r="AH114" s="335">
        <f t="shared" si="34"/>
        <v>0.13616540928309101</v>
      </c>
      <c r="AI114" s="335">
        <f t="shared" ref="AI114:AI159" si="35">AF114+AG114+AH114</f>
        <v>2.2425084382173357</v>
      </c>
      <c r="AK114" s="610">
        <f t="shared" si="28"/>
        <v>1100.3462632569015</v>
      </c>
      <c r="AL114" s="338">
        <f t="shared" si="29"/>
        <v>0.5816808440124589</v>
      </c>
      <c r="AM114" s="335">
        <f t="shared" si="30"/>
        <v>652.21264200279541</v>
      </c>
      <c r="AN114" s="335">
        <f t="shared" si="31"/>
        <v>377.48354067632584</v>
      </c>
      <c r="AO114" s="335">
        <f t="shared" si="32"/>
        <v>70.65008057778023</v>
      </c>
      <c r="AP114" s="335">
        <f t="shared" ref="AP114:AP159" si="36">AP$111*AM114</f>
        <v>129.30366365506868</v>
      </c>
      <c r="AQ114" s="335">
        <f t="shared" ref="AQ114:AQ159" si="37">AQ$111*AN114</f>
        <v>105.71805777572195</v>
      </c>
      <c r="AR114" s="335">
        <f t="shared" ref="AR114:AR159" si="38">AR$111*AO114</f>
        <v>24.226798924344287</v>
      </c>
      <c r="AS114" s="335">
        <f t="shared" ref="AS114:AS159" si="39">SUM(AP114:AR114)</f>
        <v>259.24852035513493</v>
      </c>
      <c r="AT114" s="610">
        <f t="shared" ref="AT114:AT159" si="40">AS114/AK114</f>
        <v>0.23560630777059977</v>
      </c>
    </row>
    <row r="115" spans="2:46" ht="14.4" x14ac:dyDescent="0.55000000000000004">
      <c r="B115" s="3">
        <v>2016</v>
      </c>
      <c r="C115" s="707">
        <f>Compost!E58</f>
        <v>131.54050261624903</v>
      </c>
      <c r="D115" s="338">
        <f t="shared" si="15"/>
        <v>0.14215117062862537</v>
      </c>
      <c r="F115" s="3">
        <v>2016</v>
      </c>
      <c r="G115" s="707">
        <f>'H&amp;C Recycling'!E58</f>
        <v>266.79999999999995</v>
      </c>
      <c r="H115" s="338">
        <f t="shared" si="16"/>
        <v>0.37965485417831296</v>
      </c>
      <c r="J115" s="3">
        <v>2016</v>
      </c>
      <c r="K115" s="335">
        <f t="shared" si="33"/>
        <v>1611.6594973837507</v>
      </c>
      <c r="L115" s="338">
        <f t="shared" si="17"/>
        <v>0.49254569508781054</v>
      </c>
      <c r="M115" s="338">
        <f t="shared" si="18"/>
        <v>0.27049358174457977</v>
      </c>
      <c r="N115" s="338">
        <f t="shared" si="19"/>
        <v>0.23696072316760966</v>
      </c>
      <c r="P115" s="3">
        <v>2016</v>
      </c>
      <c r="Q115" s="707">
        <f>Paper!F63</f>
        <v>177.60189408740362</v>
      </c>
      <c r="R115" s="334">
        <f t="shared" si="14"/>
        <v>381.89999999999986</v>
      </c>
      <c r="S115" s="707">
        <f>Paper!G63</f>
        <v>230.29045600000003</v>
      </c>
      <c r="V115" s="335">
        <f t="shared" si="20"/>
        <v>1359.6819123831051</v>
      </c>
      <c r="W115" s="335">
        <f t="shared" si="21"/>
        <v>793.81594738375088</v>
      </c>
      <c r="X115" s="335">
        <f t="shared" si="22"/>
        <v>435.94354999999996</v>
      </c>
      <c r="Y115" s="335">
        <f t="shared" si="23"/>
        <v>129.92241499935417</v>
      </c>
      <c r="Z115" s="338">
        <f t="shared" si="24"/>
        <v>0.58382474618084401</v>
      </c>
      <c r="AA115" s="338">
        <f t="shared" si="25"/>
        <v>0.32062171749856166</v>
      </c>
      <c r="AB115" s="338">
        <f t="shared" si="26"/>
        <v>9.5553536320594323E-2</v>
      </c>
      <c r="AC115" s="338">
        <f t="shared" si="27"/>
        <v>0.32354133712283317</v>
      </c>
      <c r="AE115" s="346">
        <f>MIN('WTE Tonnes and Composition'!G69,V115)</f>
        <v>159.07322452483973</v>
      </c>
      <c r="AF115" s="335">
        <f t="shared" ref="AF115:AF159" si="41">AF$111*Z115</f>
        <v>0.87530589257515401</v>
      </c>
      <c r="AG115" s="335">
        <f t="shared" si="34"/>
        <v>1.1380396770631653</v>
      </c>
      <c r="AH115" s="335">
        <f t="shared" si="34"/>
        <v>0.20264237724512144</v>
      </c>
      <c r="AI115" s="335">
        <f t="shared" si="35"/>
        <v>2.2159879468834407</v>
      </c>
      <c r="AK115" s="610">
        <f t="shared" si="28"/>
        <v>1200.6086878582653</v>
      </c>
      <c r="AL115" s="338">
        <f t="shared" si="29"/>
        <v>0.59731775515336583</v>
      </c>
      <c r="AM115" s="335">
        <f t="shared" si="30"/>
        <v>700.9450624513679</v>
      </c>
      <c r="AN115" s="335">
        <f t="shared" si="31"/>
        <v>384.94121954481153</v>
      </c>
      <c r="AO115" s="335">
        <f t="shared" si="32"/>
        <v>114.72240586208585</v>
      </c>
      <c r="AP115" s="335">
        <f t="shared" si="36"/>
        <v>138.96505335679205</v>
      </c>
      <c r="AQ115" s="335">
        <f t="shared" si="37"/>
        <v>107.80665566287426</v>
      </c>
      <c r="AR115" s="335">
        <f t="shared" si="38"/>
        <v>39.33975214476812</v>
      </c>
      <c r="AS115" s="335">
        <f t="shared" si="39"/>
        <v>286.11146116443444</v>
      </c>
      <c r="AT115" s="610">
        <f t="shared" si="40"/>
        <v>0.23830533966468398</v>
      </c>
    </row>
    <row r="116" spans="2:46" ht="14.4" x14ac:dyDescent="0.55000000000000004">
      <c r="B116" s="3">
        <v>2017</v>
      </c>
      <c r="C116" s="707">
        <f>Compost!E59</f>
        <v>142.0389197189572</v>
      </c>
      <c r="D116" s="338">
        <f t="shared" si="15"/>
        <v>0.1453694516882289</v>
      </c>
      <c r="F116" s="3">
        <v>2017</v>
      </c>
      <c r="G116" s="707">
        <f>'H&amp;C Recycling'!E59</f>
        <v>283.94991370375845</v>
      </c>
      <c r="H116" s="338">
        <f t="shared" si="16"/>
        <v>0.38462533934717597</v>
      </c>
      <c r="J116" s="3">
        <v>2017</v>
      </c>
      <c r="K116" s="335">
        <f t="shared" si="33"/>
        <v>1697.3353780180928</v>
      </c>
      <c r="L116" s="338">
        <f t="shared" si="17"/>
        <v>0.49197717818921965</v>
      </c>
      <c r="M116" s="338">
        <f t="shared" si="18"/>
        <v>0.26765526729859068</v>
      </c>
      <c r="N116" s="338">
        <f t="shared" si="19"/>
        <v>0.24036755451218958</v>
      </c>
      <c r="P116" s="3">
        <v>2017</v>
      </c>
      <c r="Q116" s="707">
        <f>Paper!F64</f>
        <v>180.34826683804627</v>
      </c>
      <c r="R116" s="334">
        <f t="shared" si="14"/>
        <v>407.98435400123185</v>
      </c>
      <c r="S116" s="707">
        <f>Paper!G64</f>
        <v>233.851586</v>
      </c>
      <c r="V116" s="335">
        <f t="shared" si="20"/>
        <v>1441.8929922040236</v>
      </c>
      <c r="W116" s="335">
        <f t="shared" si="21"/>
        <v>835.05026971807376</v>
      </c>
      <c r="X116" s="335">
        <f t="shared" si="22"/>
        <v>454.30075429878713</v>
      </c>
      <c r="Y116" s="335">
        <f t="shared" si="23"/>
        <v>152.54196818716269</v>
      </c>
      <c r="Z116" s="338">
        <f t="shared" si="24"/>
        <v>0.57913470294466662</v>
      </c>
      <c r="AA116" s="338">
        <f t="shared" si="25"/>
        <v>0.31507244764700604</v>
      </c>
      <c r="AB116" s="338">
        <f t="shared" si="26"/>
        <v>0.10579284940832728</v>
      </c>
      <c r="AC116" s="338">
        <f t="shared" si="27"/>
        <v>0.32092659969924764</v>
      </c>
      <c r="AE116" s="346">
        <f>MIN('WTE Tonnes and Composition'!G70,V116)</f>
        <v>162.84287810907378</v>
      </c>
      <c r="AF116" s="335">
        <f t="shared" si="41"/>
        <v>0.86827429189718841</v>
      </c>
      <c r="AG116" s="335">
        <f t="shared" si="34"/>
        <v>1.1183426667699401</v>
      </c>
      <c r="AH116" s="335">
        <f t="shared" si="34"/>
        <v>0.2243571020512623</v>
      </c>
      <c r="AI116" s="335">
        <f t="shared" si="35"/>
        <v>2.210974060718391</v>
      </c>
      <c r="AK116" s="610">
        <f t="shared" si="28"/>
        <v>1279.0501140949498</v>
      </c>
      <c r="AL116" s="338">
        <f t="shared" si="29"/>
        <v>0.6023809775272303</v>
      </c>
      <c r="AM116" s="335">
        <f t="shared" si="30"/>
        <v>740.74230787772069</v>
      </c>
      <c r="AN116" s="335">
        <f t="shared" si="31"/>
        <v>402.99345011107818</v>
      </c>
      <c r="AO116" s="335">
        <f t="shared" si="32"/>
        <v>135.31435610615085</v>
      </c>
      <c r="AP116" s="335">
        <f t="shared" si="36"/>
        <v>146.85501025981279</v>
      </c>
      <c r="AQ116" s="335">
        <f t="shared" si="37"/>
        <v>112.86236418612782</v>
      </c>
      <c r="AR116" s="335">
        <f t="shared" si="38"/>
        <v>46.400990206256822</v>
      </c>
      <c r="AS116" s="335">
        <f t="shared" si="39"/>
        <v>306.11836465219744</v>
      </c>
      <c r="AT116" s="610">
        <f t="shared" si="40"/>
        <v>0.2393325807009567</v>
      </c>
    </row>
    <row r="117" spans="2:46" ht="14.4" x14ac:dyDescent="0.55000000000000004">
      <c r="B117" s="3">
        <v>2018</v>
      </c>
      <c r="C117" s="707">
        <f>Compost!E60</f>
        <v>152.53733682166535</v>
      </c>
      <c r="D117" s="338">
        <f t="shared" si="15"/>
        <v>0.15282308024276223</v>
      </c>
      <c r="F117" s="3">
        <v>2018</v>
      </c>
      <c r="G117" s="707">
        <f>'H&amp;C Recycling'!E60</f>
        <v>292.60634965639559</v>
      </c>
      <c r="H117" s="338">
        <f t="shared" si="16"/>
        <v>0.39164345509026888</v>
      </c>
      <c r="J117" s="3">
        <v>2018</v>
      </c>
      <c r="K117" s="335">
        <f t="shared" si="33"/>
        <v>1715.5606432509373</v>
      </c>
      <c r="L117" s="338">
        <f t="shared" si="17"/>
        <v>0.49289595233097383</v>
      </c>
      <c r="M117" s="338">
        <f t="shared" si="18"/>
        <v>0.26493844509890685</v>
      </c>
      <c r="N117" s="338">
        <f t="shared" si="19"/>
        <v>0.24216560257011938</v>
      </c>
      <c r="P117" s="3">
        <v>2018</v>
      </c>
      <c r="Q117" s="707">
        <f>Paper!F65</f>
        <v>177.11259463680977</v>
      </c>
      <c r="R117" s="334">
        <f t="shared" si="14"/>
        <v>415.44977691844485</v>
      </c>
      <c r="S117" s="707">
        <f>Paper!G65</f>
        <v>229.65599771239667</v>
      </c>
      <c r="V117" s="335">
        <f t="shared" si="20"/>
        <v>1464.4236372873065</v>
      </c>
      <c r="W117" s="335">
        <f t="shared" si="21"/>
        <v>845.59289703670879</v>
      </c>
      <c r="X117" s="335">
        <f t="shared" si="22"/>
        <v>454.51796929578376</v>
      </c>
      <c r="Y117" s="335">
        <f t="shared" si="23"/>
        <v>164.31277095481383</v>
      </c>
      <c r="Z117" s="338">
        <f t="shared" si="24"/>
        <v>0.57742368772678532</v>
      </c>
      <c r="AA117" s="338">
        <f t="shared" si="25"/>
        <v>0.31037328114815965</v>
      </c>
      <c r="AB117" s="338">
        <f t="shared" si="26"/>
        <v>0.11220303112505495</v>
      </c>
      <c r="AC117" s="338">
        <f t="shared" si="27"/>
        <v>0.32224709455227563</v>
      </c>
      <c r="AE117" s="346">
        <f>MIN('WTE Tonnes and Composition'!G71,V117)</f>
        <v>165.19016908698848</v>
      </c>
      <c r="AF117" s="335">
        <f t="shared" si="41"/>
        <v>0.86570903286647005</v>
      </c>
      <c r="AG117" s="335">
        <f t="shared" si="34"/>
        <v>1.1016630794776752</v>
      </c>
      <c r="AH117" s="335">
        <f t="shared" si="34"/>
        <v>0.23795130810233595</v>
      </c>
      <c r="AI117" s="335">
        <f t="shared" si="35"/>
        <v>2.2053234204464811</v>
      </c>
      <c r="AK117" s="610">
        <f t="shared" si="28"/>
        <v>1299.2334682003179</v>
      </c>
      <c r="AL117" s="338">
        <f t="shared" si="29"/>
        <v>0.60130090467457498</v>
      </c>
      <c r="AM117" s="335">
        <f t="shared" si="30"/>
        <v>750.20818042628866</v>
      </c>
      <c r="AN117" s="335">
        <f t="shared" si="31"/>
        <v>403.24735450283583</v>
      </c>
      <c r="AO117" s="335">
        <f t="shared" si="32"/>
        <v>145.77793327119335</v>
      </c>
      <c r="AP117" s="335">
        <f t="shared" si="36"/>
        <v>148.73165588333711</v>
      </c>
      <c r="AQ117" s="335">
        <f t="shared" si="37"/>
        <v>112.93347266176957</v>
      </c>
      <c r="AR117" s="335">
        <f t="shared" si="38"/>
        <v>49.989082080090739</v>
      </c>
      <c r="AS117" s="335">
        <f t="shared" si="39"/>
        <v>311.65421062519738</v>
      </c>
      <c r="AT117" s="610">
        <f t="shared" si="40"/>
        <v>0.2398754482955992</v>
      </c>
    </row>
    <row r="118" spans="2:46" ht="14.4" x14ac:dyDescent="0.55000000000000004">
      <c r="B118" s="3">
        <v>2019</v>
      </c>
      <c r="C118" s="707">
        <f>Compost!E61</f>
        <v>168.45419494524072</v>
      </c>
      <c r="D118" s="338">
        <f t="shared" si="15"/>
        <v>0.17441910800229696</v>
      </c>
      <c r="F118" s="3">
        <v>2019</v>
      </c>
      <c r="G118" s="707">
        <f>'H&amp;C Recycling'!E61</f>
        <v>303.19282365827195</v>
      </c>
      <c r="H118" s="338">
        <f t="shared" si="16"/>
        <v>0.40116693674992104</v>
      </c>
      <c r="J118" s="3">
        <v>2019</v>
      </c>
      <c r="K118" s="335">
        <f t="shared" si="33"/>
        <v>1673.1390858371888</v>
      </c>
      <c r="L118" s="338">
        <f t="shared" si="17"/>
        <v>0.47655755318678605</v>
      </c>
      <c r="M118" s="338">
        <f t="shared" si="18"/>
        <v>0.27050015079363821</v>
      </c>
      <c r="N118" s="338">
        <f t="shared" si="19"/>
        <v>0.25294229601957574</v>
      </c>
      <c r="P118" s="3">
        <v>2019</v>
      </c>
      <c r="Q118" s="707">
        <f>Paper!F66</f>
        <v>198.38819189692467</v>
      </c>
      <c r="R118" s="334">
        <f t="shared" si="14"/>
        <v>423.20764193175251</v>
      </c>
      <c r="S118" s="707">
        <f>Paper!G66</f>
        <v>257.2433554930123</v>
      </c>
      <c r="V118" s="335">
        <f t="shared" si="20"/>
        <v>1394.5421435156763</v>
      </c>
      <c r="W118" s="335">
        <f t="shared" si="21"/>
        <v>797.34706888774667</v>
      </c>
      <c r="X118" s="335">
        <f t="shared" si="22"/>
        <v>452.58437501768952</v>
      </c>
      <c r="Y118" s="335">
        <f t="shared" si="23"/>
        <v>144.6106996102402</v>
      </c>
      <c r="Z118" s="338">
        <f t="shared" si="24"/>
        <v>0.57176261943408491</v>
      </c>
      <c r="AA118" s="338">
        <f t="shared" si="25"/>
        <v>0.32453976175772842</v>
      </c>
      <c r="AB118" s="338">
        <f t="shared" si="26"/>
        <v>0.1036976188081867</v>
      </c>
      <c r="AC118" s="338">
        <f t="shared" si="27"/>
        <v>0.34979896567386015</v>
      </c>
      <c r="AE118" s="346">
        <f>MIN('WTE Tonnes and Composition'!G72,V118)</f>
        <v>246.60823880527803</v>
      </c>
      <c r="AF118" s="335">
        <f t="shared" si="41"/>
        <v>0.85722161182567691</v>
      </c>
      <c r="AG118" s="335">
        <f t="shared" si="34"/>
        <v>1.1519466882856391</v>
      </c>
      <c r="AH118" s="335">
        <f t="shared" si="34"/>
        <v>0.21991370282148728</v>
      </c>
      <c r="AI118" s="335">
        <f t="shared" si="35"/>
        <v>2.2290820029328033</v>
      </c>
      <c r="AK118" s="610">
        <f t="shared" si="28"/>
        <v>1147.9339047103983</v>
      </c>
      <c r="AL118" s="338">
        <f t="shared" si="29"/>
        <v>0.5352206927924622</v>
      </c>
      <c r="AM118" s="335">
        <f t="shared" si="30"/>
        <v>656.34569629441455</v>
      </c>
      <c r="AN118" s="335">
        <f t="shared" si="31"/>
        <v>372.55019594833158</v>
      </c>
      <c r="AO118" s="335">
        <f t="shared" si="32"/>
        <v>119.03801246765221</v>
      </c>
      <c r="AP118" s="335">
        <f t="shared" si="36"/>
        <v>130.12305755757043</v>
      </c>
      <c r="AQ118" s="335">
        <f t="shared" si="37"/>
        <v>104.33642502413967</v>
      </c>
      <c r="AR118" s="335">
        <f t="shared" si="38"/>
        <v>40.819627788427482</v>
      </c>
      <c r="AS118" s="335">
        <f t="shared" si="39"/>
        <v>275.27911037013757</v>
      </c>
      <c r="AT118" s="610">
        <f t="shared" si="40"/>
        <v>0.2398039723720724</v>
      </c>
    </row>
    <row r="119" spans="2:46" ht="14.4" x14ac:dyDescent="0.55000000000000004">
      <c r="B119" s="3">
        <v>2020</v>
      </c>
      <c r="C119" s="707">
        <f>Compost!E62</f>
        <v>179.07781811226951</v>
      </c>
      <c r="D119" s="338">
        <f t="shared" si="15"/>
        <v>0.19189873393737361</v>
      </c>
      <c r="F119" s="3">
        <v>2020</v>
      </c>
      <c r="G119" s="707">
        <f>'H&amp;C Recycling'!E62</f>
        <v>312.70631564662119</v>
      </c>
      <c r="H119" s="338">
        <f t="shared" si="16"/>
        <v>0.40909074944034984</v>
      </c>
      <c r="J119" s="3">
        <v>2020</v>
      </c>
      <c r="K119" s="335">
        <f t="shared" si="33"/>
        <v>1637.1574989464357</v>
      </c>
      <c r="L119" s="338">
        <f t="shared" si="17"/>
        <v>0.46062235383487143</v>
      </c>
      <c r="M119" s="338">
        <f t="shared" si="18"/>
        <v>0.27589721757313446</v>
      </c>
      <c r="N119" s="338">
        <f t="shared" si="19"/>
        <v>0.26348042859199405</v>
      </c>
      <c r="P119" s="3">
        <v>2020</v>
      </c>
      <c r="Q119" s="707">
        <f>Paper!F67</f>
        <v>205.71874736723038</v>
      </c>
      <c r="R119" s="334">
        <f t="shared" si="14"/>
        <v>431.35895949500389</v>
      </c>
      <c r="S119" s="707">
        <f>Paper!G67</f>
        <v>266.74864241950871</v>
      </c>
      <c r="V119" s="335">
        <f t="shared" si="20"/>
        <v>1349.1971703529148</v>
      </c>
      <c r="W119" s="335">
        <f t="shared" si="21"/>
        <v>754.11134076311828</v>
      </c>
      <c r="X119" s="335">
        <f t="shared" si="22"/>
        <v>451.6871986883134</v>
      </c>
      <c r="Y119" s="335">
        <f t="shared" si="23"/>
        <v>143.3986309014831</v>
      </c>
      <c r="Z119" s="338">
        <f t="shared" si="24"/>
        <v>0.5589333844851323</v>
      </c>
      <c r="AA119" s="338">
        <f t="shared" si="25"/>
        <v>0.33478220130728842</v>
      </c>
      <c r="AB119" s="338">
        <f t="shared" si="26"/>
        <v>0.10628441420757928</v>
      </c>
      <c r="AC119" s="338">
        <f t="shared" si="27"/>
        <v>0.36625920146131996</v>
      </c>
      <c r="AE119" s="346">
        <f>MIN('WTE Tonnes and Composition'!G73,V119)</f>
        <v>273.17799049209589</v>
      </c>
      <c r="AF119" s="335">
        <f t="shared" si="41"/>
        <v>0.8379872353770792</v>
      </c>
      <c r="AG119" s="335">
        <f t="shared" si="34"/>
        <v>1.1883020003595086</v>
      </c>
      <c r="AH119" s="335">
        <f t="shared" si="34"/>
        <v>0.22539957377262526</v>
      </c>
      <c r="AI119" s="335">
        <f t="shared" si="35"/>
        <v>2.2516888095092131</v>
      </c>
      <c r="AK119" s="610">
        <f t="shared" si="28"/>
        <v>1076.0191798608189</v>
      </c>
      <c r="AL119" s="338">
        <f t="shared" si="29"/>
        <v>0.50542446224487647</v>
      </c>
      <c r="AM119" s="335">
        <f t="shared" si="30"/>
        <v>601.42304197052385</v>
      </c>
      <c r="AN119" s="335">
        <f t="shared" si="31"/>
        <v>360.23206968266805</v>
      </c>
      <c r="AO119" s="335">
        <f t="shared" si="32"/>
        <v>114.36406820762703</v>
      </c>
      <c r="AP119" s="335">
        <f t="shared" si="36"/>
        <v>119.23443019221875</v>
      </c>
      <c r="AQ119" s="335">
        <f t="shared" si="37"/>
        <v>100.88661001522867</v>
      </c>
      <c r="AR119" s="335">
        <f t="shared" si="38"/>
        <v>39.216873667764297</v>
      </c>
      <c r="AS119" s="335">
        <f t="shared" si="39"/>
        <v>259.33791387521171</v>
      </c>
      <c r="AT119" s="610">
        <f t="shared" si="40"/>
        <v>0.24101606990756111</v>
      </c>
    </row>
    <row r="120" spans="2:46" ht="14.4" x14ac:dyDescent="0.55000000000000004">
      <c r="B120" s="3">
        <v>2021</v>
      </c>
      <c r="C120" s="707">
        <f>Compost!E63</f>
        <v>189.72182074311098</v>
      </c>
      <c r="D120" s="338">
        <f t="shared" si="15"/>
        <v>0.21103950400563887</v>
      </c>
      <c r="F120" s="3">
        <v>2021</v>
      </c>
      <c r="G120" s="707">
        <f>'H&amp;C Recycling'!E63</f>
        <v>321.89682261817683</v>
      </c>
      <c r="H120" s="338">
        <f t="shared" si="16"/>
        <v>0.41701020228177205</v>
      </c>
      <c r="J120" s="3">
        <v>2021</v>
      </c>
      <c r="K120" s="335">
        <f t="shared" si="33"/>
        <v>1598.5667204379379</v>
      </c>
      <c r="L120" s="338">
        <f t="shared" si="17"/>
        <v>0.44368834146773772</v>
      </c>
      <c r="M120" s="338">
        <f t="shared" si="18"/>
        <v>0.28151412914443935</v>
      </c>
      <c r="N120" s="338">
        <f t="shared" si="19"/>
        <v>0.27479752938782293</v>
      </c>
      <c r="P120" s="3">
        <v>2021</v>
      </c>
      <c r="Q120" s="707">
        <f>Paper!F68</f>
        <v>213.88079712929371</v>
      </c>
      <c r="R120" s="334">
        <f t="shared" si="14"/>
        <v>439.28218533793995</v>
      </c>
      <c r="S120" s="707">
        <f>Paper!G68</f>
        <v>277.33210027765085</v>
      </c>
      <c r="V120" s="335">
        <f t="shared" si="20"/>
        <v>1300.3690031264036</v>
      </c>
      <c r="W120" s="335">
        <f t="shared" si="21"/>
        <v>709.26541691662942</v>
      </c>
      <c r="X120" s="335">
        <f t="shared" si="22"/>
        <v>450.01911818336856</v>
      </c>
      <c r="Y120" s="335">
        <f t="shared" si="23"/>
        <v>141.0844680264056</v>
      </c>
      <c r="Z120" s="338">
        <f t="shared" si="24"/>
        <v>0.54543396159965574</v>
      </c>
      <c r="AA120" s="338">
        <f t="shared" si="25"/>
        <v>0.34607032088692752</v>
      </c>
      <c r="AB120" s="338">
        <f t="shared" si="26"/>
        <v>0.10849571751341673</v>
      </c>
      <c r="AC120" s="338">
        <f t="shared" si="27"/>
        <v>0.38376550921328079</v>
      </c>
      <c r="AE120" s="346">
        <f>MIN('WTE Tonnes and Composition'!G74,V120)</f>
        <v>297.36425092534949</v>
      </c>
      <c r="AF120" s="335">
        <f t="shared" si="41"/>
        <v>0.81774807204027644</v>
      </c>
      <c r="AG120" s="335">
        <f t="shared" si="34"/>
        <v>1.228368930514109</v>
      </c>
      <c r="AH120" s="335">
        <f t="shared" si="34"/>
        <v>0.23008913081006918</v>
      </c>
      <c r="AI120" s="335">
        <f t="shared" si="35"/>
        <v>2.2762061333644543</v>
      </c>
      <c r="AK120" s="610">
        <f t="shared" si="28"/>
        <v>1003.0047522010541</v>
      </c>
      <c r="AL120" s="338">
        <f t="shared" si="29"/>
        <v>0.4753159458917019</v>
      </c>
      <c r="AM120" s="335">
        <f t="shared" si="30"/>
        <v>547.07285549630194</v>
      </c>
      <c r="AN120" s="335">
        <f t="shared" si="31"/>
        <v>347.110176445332</v>
      </c>
      <c r="AO120" s="335">
        <f t="shared" si="32"/>
        <v>108.82172025942012</v>
      </c>
      <c r="AP120" s="335">
        <f t="shared" si="36"/>
        <v>108.45929677886959</v>
      </c>
      <c r="AQ120" s="335">
        <f t="shared" si="37"/>
        <v>97.211691991237203</v>
      </c>
      <c r="AR120" s="335">
        <f t="shared" si="38"/>
        <v>37.316333028434997</v>
      </c>
      <c r="AS120" s="335">
        <f t="shared" si="39"/>
        <v>242.98732179854179</v>
      </c>
      <c r="AT120" s="610">
        <f t="shared" si="40"/>
        <v>0.24225939235613367</v>
      </c>
    </row>
    <row r="121" spans="2:46" ht="14.4" x14ac:dyDescent="0.55000000000000004">
      <c r="B121" s="3">
        <v>2022</v>
      </c>
      <c r="C121" s="707">
        <f>Compost!E64</f>
        <v>200.62773406524477</v>
      </c>
      <c r="D121" s="338">
        <f t="shared" si="15"/>
        <v>0.23202861786740961</v>
      </c>
      <c r="F121" s="3">
        <v>2022</v>
      </c>
      <c r="G121" s="707">
        <f>'H&amp;C Recycling'!E64</f>
        <v>331.19429062257535</v>
      </c>
      <c r="H121" s="338">
        <f t="shared" si="16"/>
        <v>0.42492338304687066</v>
      </c>
      <c r="J121" s="3">
        <v>2022</v>
      </c>
      <c r="K121" s="335">
        <f t="shared" si="33"/>
        <v>1559.839171676593</v>
      </c>
      <c r="L121" s="338">
        <f t="shared" si="17"/>
        <v>0.42571076204430935</v>
      </c>
      <c r="M121" s="338">
        <f t="shared" si="18"/>
        <v>0.28735456297877537</v>
      </c>
      <c r="N121" s="338">
        <f t="shared" si="19"/>
        <v>0.28693467497691527</v>
      </c>
      <c r="P121" s="3">
        <v>2022</v>
      </c>
      <c r="Q121" s="707">
        <f>Paper!F69</f>
        <v>222.56713006213093</v>
      </c>
      <c r="R121" s="334">
        <f t="shared" si="14"/>
        <v>447.57194574128391</v>
      </c>
      <c r="S121" s="707">
        <f>Paper!G69</f>
        <v>288.59537864722978</v>
      </c>
      <c r="V121" s="335">
        <f t="shared" si="20"/>
        <v>1250.7173756721616</v>
      </c>
      <c r="W121" s="335">
        <f t="shared" si="21"/>
        <v>664.04032244100665</v>
      </c>
      <c r="X121" s="335">
        <f t="shared" si="22"/>
        <v>448.22690349430235</v>
      </c>
      <c r="Y121" s="335">
        <f t="shared" si="23"/>
        <v>138.45014973685255</v>
      </c>
      <c r="Z121" s="338">
        <f t="shared" si="24"/>
        <v>0.53092755834157779</v>
      </c>
      <c r="AA121" s="338">
        <f t="shared" si="25"/>
        <v>0.35837585070201483</v>
      </c>
      <c r="AB121" s="338">
        <f t="shared" si="26"/>
        <v>0.11069659095640737</v>
      </c>
      <c r="AC121" s="338">
        <f t="shared" si="27"/>
        <v>0.40204590597842726</v>
      </c>
      <c r="AE121" s="346">
        <f>MIN('WTE Tonnes and Composition'!G75,V121)</f>
        <v>322.81854120686864</v>
      </c>
      <c r="AF121" s="335">
        <f t="shared" si="41"/>
        <v>0.79599918192397112</v>
      </c>
      <c r="AG121" s="335">
        <f t="shared" si="34"/>
        <v>1.2720471357402288</v>
      </c>
      <c r="AH121" s="335">
        <f t="shared" si="34"/>
        <v>0.23475656901985895</v>
      </c>
      <c r="AI121" s="335">
        <f t="shared" si="35"/>
        <v>2.3028028866840584</v>
      </c>
      <c r="AK121" s="610">
        <f t="shared" si="28"/>
        <v>927.89883446529291</v>
      </c>
      <c r="AL121" s="338">
        <f t="shared" si="29"/>
        <v>0.44361813284011059</v>
      </c>
      <c r="AM121" s="335">
        <f t="shared" si="30"/>
        <v>492.64706257065382</v>
      </c>
      <c r="AN121" s="335">
        <f t="shared" si="31"/>
        <v>332.53653416690736</v>
      </c>
      <c r="AO121" s="335">
        <f t="shared" si="32"/>
        <v>102.71523772773168</v>
      </c>
      <c r="AP121" s="335">
        <f t="shared" si="36"/>
        <v>97.669174095862388</v>
      </c>
      <c r="AQ121" s="335">
        <f t="shared" si="37"/>
        <v>93.130197063980816</v>
      </c>
      <c r="AR121" s="335">
        <f t="shared" si="38"/>
        <v>35.222343563449662</v>
      </c>
      <c r="AS121" s="335">
        <f t="shared" si="39"/>
        <v>226.02171472329286</v>
      </c>
      <c r="AT121" s="610">
        <f>AS121/AK121</f>
        <v>0.24358443650113989</v>
      </c>
    </row>
    <row r="122" spans="2:46" ht="14.4" x14ac:dyDescent="0.55000000000000004">
      <c r="B122" s="3">
        <v>2023</v>
      </c>
      <c r="C122" s="707">
        <f>Compost!E65</f>
        <v>211.72829404443874</v>
      </c>
      <c r="D122" s="338">
        <f t="shared" si="15"/>
        <v>0.25511217137620851</v>
      </c>
      <c r="F122" s="3">
        <v>2023</v>
      </c>
      <c r="G122" s="707">
        <f>'H&amp;C Recycling'!E65</f>
        <v>340.4880497901313</v>
      </c>
      <c r="H122" s="338">
        <f t="shared" si="16"/>
        <v>0.4328383709044295</v>
      </c>
      <c r="J122" s="3">
        <v>2023</v>
      </c>
      <c r="K122" s="335">
        <f t="shared" si="33"/>
        <v>1520.4373700594274</v>
      </c>
      <c r="L122" s="338">
        <f t="shared" si="17"/>
        <v>0.40660251602541841</v>
      </c>
      <c r="M122" s="338">
        <f t="shared" si="18"/>
        <v>0.29343669740777517</v>
      </c>
      <c r="N122" s="338">
        <f t="shared" si="19"/>
        <v>0.29996078656680647</v>
      </c>
      <c r="P122" s="3">
        <v>2023</v>
      </c>
      <c r="Q122" s="707">
        <f>Paper!F70</f>
        <v>231.89961845224667</v>
      </c>
      <c r="R122" s="334">
        <f t="shared" si="14"/>
        <v>456.07158944859248</v>
      </c>
      <c r="S122" s="707">
        <f>Paper!G70</f>
        <v>300.69650525974652</v>
      </c>
      <c r="V122" s="335">
        <f t="shared" si="20"/>
        <v>1199.5452073724309</v>
      </c>
      <c r="W122" s="335">
        <f t="shared" si="21"/>
        <v>618.21366012523333</v>
      </c>
      <c r="X122" s="335">
        <f t="shared" si="22"/>
        <v>446.1521204856017</v>
      </c>
      <c r="Y122" s="335">
        <f t="shared" si="23"/>
        <v>135.17942676159601</v>
      </c>
      <c r="Z122" s="338">
        <f t="shared" si="24"/>
        <v>0.51537337344660183</v>
      </c>
      <c r="AA122" s="338">
        <f t="shared" si="25"/>
        <v>0.37193439458849992</v>
      </c>
      <c r="AB122" s="338">
        <f t="shared" si="26"/>
        <v>0.11269223196489829</v>
      </c>
      <c r="AC122" s="338">
        <f t="shared" si="27"/>
        <v>0.42125150992116978</v>
      </c>
      <c r="AE122" s="346">
        <f>MIN('WTE Tonnes and Composition'!G76,V122)</f>
        <v>348.23572707903827</v>
      </c>
      <c r="AF122" s="335">
        <f t="shared" si="41"/>
        <v>0.77267939326849222</v>
      </c>
      <c r="AG122" s="335">
        <f t="shared" si="34"/>
        <v>1.320172886629488</v>
      </c>
      <c r="AH122" s="335">
        <f t="shared" si="34"/>
        <v>0.23898876652568055</v>
      </c>
      <c r="AI122" s="335">
        <f t="shared" si="35"/>
        <v>2.3318410464236607</v>
      </c>
      <c r="AK122" s="610">
        <f t="shared" si="28"/>
        <v>851.30948029339265</v>
      </c>
      <c r="AL122" s="338">
        <f t="shared" si="29"/>
        <v>0.41073406261096806</v>
      </c>
      <c r="AM122" s="335">
        <f t="shared" si="30"/>
        <v>438.74223870587917</v>
      </c>
      <c r="AN122" s="335">
        <f t="shared" si="31"/>
        <v>316.63127616037349</v>
      </c>
      <c r="AO122" s="335">
        <f t="shared" si="32"/>
        <v>95.935965427140019</v>
      </c>
      <c r="AP122" s="335">
        <f t="shared" si="36"/>
        <v>86.982335531996171</v>
      </c>
      <c r="AQ122" s="335">
        <f t="shared" si="37"/>
        <v>88.675769774621742</v>
      </c>
      <c r="AR122" s="335">
        <f t="shared" si="38"/>
        <v>32.897646046664875</v>
      </c>
      <c r="AS122" s="335">
        <f t="shared" si="39"/>
        <v>208.5557513532828</v>
      </c>
      <c r="AT122" s="610">
        <f t="shared" si="40"/>
        <v>0.24498229631062818</v>
      </c>
    </row>
    <row r="123" spans="2:46" ht="14.4" x14ac:dyDescent="0.55000000000000004">
      <c r="B123" s="3">
        <v>2024</v>
      </c>
      <c r="C123" s="707">
        <f>Compost!E66</f>
        <v>223.01384741942891</v>
      </c>
      <c r="D123" s="338">
        <f t="shared" si="15"/>
        <v>0.27991114550693341</v>
      </c>
      <c r="F123" s="3">
        <v>2024</v>
      </c>
      <c r="G123" s="707">
        <f>'H&amp;C Recycling'!E66</f>
        <v>349.76822339077961</v>
      </c>
      <c r="H123" s="338">
        <f t="shared" si="16"/>
        <v>0.44181076097729888</v>
      </c>
      <c r="J123" s="3">
        <v>2024</v>
      </c>
      <c r="K123" s="335">
        <f t="shared" si="33"/>
        <v>1480.3823671584937</v>
      </c>
      <c r="L123" s="338">
        <f t="shared" si="17"/>
        <v>0.38754650444736427</v>
      </c>
      <c r="M123" s="338">
        <f t="shared" si="18"/>
        <v>0.29850500526455664</v>
      </c>
      <c r="N123" s="338">
        <f t="shared" si="19"/>
        <v>0.31394849028807914</v>
      </c>
      <c r="P123" s="3">
        <v>2024</v>
      </c>
      <c r="Q123" s="707">
        <f>Paper!F71</f>
        <v>241.85671669846457</v>
      </c>
      <c r="R123" s="334">
        <f t="shared" si="14"/>
        <v>464.76380921850193</v>
      </c>
      <c r="S123" s="707">
        <f>Paper!G71</f>
        <v>313.60754265234237</v>
      </c>
      <c r="V123" s="335">
        <f t="shared" si="20"/>
        <v>1146.8985744055938</v>
      </c>
      <c r="W123" s="335">
        <f t="shared" si="21"/>
        <v>573.7170116377888</v>
      </c>
      <c r="X123" s="335">
        <f t="shared" si="22"/>
        <v>441.90154630220303</v>
      </c>
      <c r="Y123" s="335">
        <f t="shared" si="23"/>
        <v>131.28001646560199</v>
      </c>
      <c r="Z123" s="338">
        <f t="shared" si="24"/>
        <v>0.50023343340114501</v>
      </c>
      <c r="AA123" s="338">
        <f t="shared" si="25"/>
        <v>0.38530133018190255</v>
      </c>
      <c r="AB123" s="338">
        <f t="shared" si="26"/>
        <v>0.11446523641695243</v>
      </c>
      <c r="AC123" s="338">
        <f t="shared" si="27"/>
        <v>0.44139955222472216</v>
      </c>
      <c r="AE123" s="346">
        <f>MIN('WTE Tonnes and Composition'!G77,V123)</f>
        <v>373.61608173336145</v>
      </c>
      <c r="AF123" s="335">
        <f t="shared" si="41"/>
        <v>0.74998066591629808</v>
      </c>
      <c r="AG123" s="335">
        <f t="shared" si="34"/>
        <v>1.3676185281310131</v>
      </c>
      <c r="AH123" s="335">
        <f t="shared" si="34"/>
        <v>0.24274881404317886</v>
      </c>
      <c r="AI123" s="335">
        <f t="shared" si="35"/>
        <v>2.3603480080904902</v>
      </c>
      <c r="AK123" s="610">
        <f t="shared" si="28"/>
        <v>773.28249267223237</v>
      </c>
      <c r="AL123" s="338">
        <f t="shared" si="29"/>
        <v>0.3766295959408294</v>
      </c>
      <c r="AM123" s="335">
        <f t="shared" si="30"/>
        <v>386.82175629842658</v>
      </c>
      <c r="AN123" s="335">
        <f t="shared" si="31"/>
        <v>297.94677303298846</v>
      </c>
      <c r="AO123" s="335">
        <f t="shared" si="32"/>
        <v>88.513963340817355</v>
      </c>
      <c r="AP123" s="335">
        <f t="shared" si="36"/>
        <v>76.688900290682056</v>
      </c>
      <c r="AQ123" s="335">
        <f t="shared" si="37"/>
        <v>83.442986968800653</v>
      </c>
      <c r="AR123" s="335">
        <f t="shared" si="38"/>
        <v>30.352548423408173</v>
      </c>
      <c r="AS123" s="335">
        <f t="shared" si="39"/>
        <v>190.48443568289088</v>
      </c>
      <c r="AT123" s="610">
        <f t="shared" si="40"/>
        <v>0.24633227505854141</v>
      </c>
    </row>
    <row r="124" spans="2:46" ht="14.4" x14ac:dyDescent="0.55000000000000004">
      <c r="B124" s="3">
        <v>2025</v>
      </c>
      <c r="C124" s="707">
        <f>Compost!E67</f>
        <v>234.1620096494986</v>
      </c>
      <c r="D124" s="338">
        <f t="shared" si="15"/>
        <v>0.30752469139005034</v>
      </c>
      <c r="F124" s="3">
        <v>2025</v>
      </c>
      <c r="G124" s="707">
        <f>'H&amp;C Recycling'!E67</f>
        <v>358.87233999154341</v>
      </c>
      <c r="H124" s="338">
        <f t="shared" si="16"/>
        <v>0.45069379900650614</v>
      </c>
      <c r="J124" s="3">
        <v>2025</v>
      </c>
      <c r="K124" s="335">
        <f t="shared" si="33"/>
        <v>1439.1279684467022</v>
      </c>
      <c r="L124" s="338">
        <f t="shared" si="17"/>
        <v>0.36638807021116909</v>
      </c>
      <c r="M124" s="338">
        <f t="shared" si="18"/>
        <v>0.30392994531941891</v>
      </c>
      <c r="N124" s="338">
        <f t="shared" si="19"/>
        <v>0.32968198446941188</v>
      </c>
      <c r="P124" s="3">
        <v>2025</v>
      </c>
      <c r="Q124" s="707">
        <f>Paper!F72</f>
        <v>253.2331577842215</v>
      </c>
      <c r="R124" s="334">
        <f t="shared" si="14"/>
        <v>474.45456454294197</v>
      </c>
      <c r="S124" s="707">
        <f>Paper!G72</f>
        <v>328.35899459354056</v>
      </c>
      <c r="V124" s="335">
        <f t="shared" si="20"/>
        <v>1091.202246528379</v>
      </c>
      <c r="W124" s="335">
        <f t="shared" si="21"/>
        <v>527.27931914610747</v>
      </c>
      <c r="X124" s="335">
        <f t="shared" si="22"/>
        <v>437.39408475765265</v>
      </c>
      <c r="Y124" s="335">
        <f t="shared" si="23"/>
        <v>126.52884262461856</v>
      </c>
      <c r="Z124" s="338">
        <f t="shared" si="24"/>
        <v>0.48320952492869934</v>
      </c>
      <c r="AA124" s="338">
        <f t="shared" si="25"/>
        <v>0.40083686241409999</v>
      </c>
      <c r="AB124" s="338">
        <f t="shared" si="26"/>
        <v>0.1159536126572004</v>
      </c>
      <c r="AC124" s="338">
        <f t="shared" si="27"/>
        <v>0.46303391376964631</v>
      </c>
      <c r="AE124" s="346">
        <f>MIN('WTE Tonnes and Composition'!G78,V124)</f>
        <v>396.94034470855428</v>
      </c>
      <c r="AF124" s="335">
        <f t="shared" si="41"/>
        <v>0.72445737746703454</v>
      </c>
      <c r="AG124" s="335">
        <f t="shared" si="34"/>
        <v>1.4227615553172914</v>
      </c>
      <c r="AH124" s="335">
        <f t="shared" si="34"/>
        <v>0.24590524457597537</v>
      </c>
      <c r="AI124" s="335">
        <f t="shared" si="35"/>
        <v>2.3931241773603014</v>
      </c>
      <c r="AK124" s="610">
        <f t="shared" si="28"/>
        <v>694.26190181982474</v>
      </c>
      <c r="AL124" s="338">
        <f t="shared" si="29"/>
        <v>0.34163703147154217</v>
      </c>
      <c r="AM124" s="335">
        <f t="shared" si="30"/>
        <v>335.47396375445283</v>
      </c>
      <c r="AN124" s="335">
        <f t="shared" si="31"/>
        <v>278.28576241910451</v>
      </c>
      <c r="AO124" s="335">
        <f t="shared" si="32"/>
        <v>80.502175646267247</v>
      </c>
      <c r="AP124" s="335">
        <f t="shared" si="36"/>
        <v>66.509003016461847</v>
      </c>
      <c r="AQ124" s="335">
        <f t="shared" si="37"/>
        <v>77.936723431366303</v>
      </c>
      <c r="AR124" s="335">
        <f t="shared" si="38"/>
        <v>27.605205916321964</v>
      </c>
      <c r="AS124" s="335">
        <f t="shared" si="39"/>
        <v>172.05093236415013</v>
      </c>
      <c r="AT124" s="610">
        <f t="shared" si="40"/>
        <v>0.24781848451306909</v>
      </c>
    </row>
    <row r="125" spans="2:46" ht="14.4" x14ac:dyDescent="0.55000000000000004">
      <c r="B125" s="3">
        <v>2026</v>
      </c>
      <c r="C125" s="707">
        <f>Compost!E68</f>
        <v>246.95310720809101</v>
      </c>
      <c r="D125" s="338">
        <f t="shared" si="15"/>
        <v>0.33676054906707698</v>
      </c>
      <c r="F125" s="3">
        <v>2026</v>
      </c>
      <c r="G125" s="707">
        <f>'H&amp;C Recycling'!E68</f>
        <v>369.52785314509538</v>
      </c>
      <c r="H125" s="338">
        <f t="shared" si="16"/>
        <v>0.45987198994285156</v>
      </c>
      <c r="J125" s="3">
        <v>2026</v>
      </c>
      <c r="K125" s="335">
        <f t="shared" si="33"/>
        <v>1404.7134999743628</v>
      </c>
      <c r="L125" s="338">
        <f t="shared" si="17"/>
        <v>0.34623891714010319</v>
      </c>
      <c r="M125" s="338">
        <f t="shared" si="18"/>
        <v>0.30897202842513444</v>
      </c>
      <c r="N125" s="338">
        <f t="shared" si="19"/>
        <v>0.34478905443476243</v>
      </c>
      <c r="P125" s="3">
        <v>2026</v>
      </c>
      <c r="Q125" s="707">
        <f>Paper!F73</f>
        <v>263.62463524419655</v>
      </c>
      <c r="R125" s="334">
        <f t="shared" si="14"/>
        <v>484.32983940790621</v>
      </c>
      <c r="S125" s="707">
        <f>Paper!G73</f>
        <v>341.83327703330821</v>
      </c>
      <c r="V125" s="335">
        <f t="shared" si="20"/>
        <v>1043.6177034785167</v>
      </c>
      <c r="W125" s="335">
        <f t="shared" si="21"/>
        <v>486.36648112320773</v>
      </c>
      <c r="X125" s="335">
        <f t="shared" si="22"/>
        <v>434.01717944324889</v>
      </c>
      <c r="Y125" s="335">
        <f t="shared" si="23"/>
        <v>123.23404291206003</v>
      </c>
      <c r="Z125" s="338">
        <f t="shared" si="24"/>
        <v>0.46603893312856187</v>
      </c>
      <c r="AA125" s="338">
        <f t="shared" si="25"/>
        <v>0.41587755554223726</v>
      </c>
      <c r="AB125" s="338">
        <f t="shared" si="26"/>
        <v>0.11808351132920089</v>
      </c>
      <c r="AC125" s="338">
        <f t="shared" si="27"/>
        <v>0.48366289144222629</v>
      </c>
      <c r="AE125" s="346">
        <f>MIN('WTE Tonnes and Composition'!G79,V125)</f>
        <v>423.67644056405226</v>
      </c>
      <c r="AF125" s="335">
        <f t="shared" si="41"/>
        <v>0.69871417236999078</v>
      </c>
      <c r="AG125" s="335">
        <f t="shared" si="34"/>
        <v>1.4761481620758565</v>
      </c>
      <c r="AH125" s="335">
        <f t="shared" si="34"/>
        <v>0.25042216510874671</v>
      </c>
      <c r="AI125" s="335">
        <f t="shared" si="35"/>
        <v>2.4252844995545937</v>
      </c>
      <c r="AK125" s="610">
        <f t="shared" si="28"/>
        <v>619.94126291446446</v>
      </c>
      <c r="AL125" s="338">
        <f t="shared" si="29"/>
        <v>0.30672024641013435</v>
      </c>
      <c r="AM125" s="335">
        <f t="shared" si="30"/>
        <v>288.91676477103027</v>
      </c>
      <c r="AN125" s="335">
        <f t="shared" si="31"/>
        <v>257.81965700063489</v>
      </c>
      <c r="AO125" s="335">
        <f t="shared" si="32"/>
        <v>73.204841142799268</v>
      </c>
      <c r="AP125" s="335">
        <f t="shared" si="36"/>
        <v>57.278859332664965</v>
      </c>
      <c r="AQ125" s="335">
        <f t="shared" si="37"/>
        <v>72.204985005904732</v>
      </c>
      <c r="AR125" s="335">
        <f t="shared" si="38"/>
        <v>25.102858371161485</v>
      </c>
      <c r="AS125" s="335">
        <f t="shared" si="39"/>
        <v>154.58670270973118</v>
      </c>
      <c r="AT125" s="610">
        <f t="shared" si="40"/>
        <v>0.24935701486135803</v>
      </c>
    </row>
    <row r="126" spans="2:46" ht="14.4" x14ac:dyDescent="0.55000000000000004">
      <c r="B126" s="3">
        <v>2027</v>
      </c>
      <c r="C126" s="707">
        <f>Compost!E69</f>
        <v>260.06056510689001</v>
      </c>
      <c r="D126" s="338">
        <f t="shared" si="15"/>
        <v>0.3684644686900837</v>
      </c>
      <c r="F126" s="3">
        <v>2027</v>
      </c>
      <c r="G126" s="707">
        <f>'H&amp;C Recycling'!E69</f>
        <v>380.6198899393969</v>
      </c>
      <c r="H126" s="338">
        <f t="shared" si="16"/>
        <v>0.46936561741176941</v>
      </c>
      <c r="J126" s="3">
        <v>2027</v>
      </c>
      <c r="K126" s="335">
        <f t="shared" si="33"/>
        <v>1372.0207685746748</v>
      </c>
      <c r="L126" s="338">
        <f t="shared" si="17"/>
        <v>0.32487477474616633</v>
      </c>
      <c r="M126" s="338">
        <f t="shared" si="18"/>
        <v>0.31362805719311326</v>
      </c>
      <c r="N126" s="338">
        <f t="shared" si="19"/>
        <v>0.36149716806072041</v>
      </c>
      <c r="P126" s="3">
        <v>2027</v>
      </c>
      <c r="Q126" s="707">
        <f>Paper!F74</f>
        <v>275.44573673631595</v>
      </c>
      <c r="R126" s="334">
        <f t="shared" si="14"/>
        <v>495.98162236023802</v>
      </c>
      <c r="S126" s="707">
        <f>Paper!G74</f>
        <v>357.161305301423</v>
      </c>
      <c r="V126" s="335">
        <f t="shared" si="20"/>
        <v>995.8974632540054</v>
      </c>
      <c r="W126" s="335">
        <f t="shared" si="21"/>
        <v>445.73493813775946</v>
      </c>
      <c r="X126" s="335">
        <f t="shared" si="22"/>
        <v>430.30420807667736</v>
      </c>
      <c r="Y126" s="335">
        <f t="shared" si="23"/>
        <v>119.85831703956865</v>
      </c>
      <c r="Z126" s="338">
        <f t="shared" si="24"/>
        <v>0.44757111508383668</v>
      </c>
      <c r="AA126" s="338">
        <f t="shared" si="25"/>
        <v>0.43207681910414458</v>
      </c>
      <c r="AB126" s="338">
        <f t="shared" si="26"/>
        <v>0.12035206581201881</v>
      </c>
      <c r="AC126" s="338">
        <f t="shared" si="27"/>
        <v>0.50519359179285916</v>
      </c>
      <c r="AE126" s="346">
        <f>MIN('WTE Tonnes and Composition'!G80,V126)</f>
        <v>448.33821664518143</v>
      </c>
      <c r="AF126" s="335">
        <f t="shared" si="41"/>
        <v>0.67102608606789615</v>
      </c>
      <c r="AG126" s="335">
        <f t="shared" si="34"/>
        <v>1.5336470888999163</v>
      </c>
      <c r="AH126" s="335">
        <f t="shared" si="34"/>
        <v>0.25523313591118707</v>
      </c>
      <c r="AI126" s="335">
        <f t="shared" si="35"/>
        <v>2.4599063108789996</v>
      </c>
      <c r="AK126" s="610">
        <f t="shared" si="28"/>
        <v>547.55924660882397</v>
      </c>
      <c r="AL126" s="338">
        <f t="shared" si="29"/>
        <v>0.27205192712296083</v>
      </c>
      <c r="AM126" s="335">
        <f t="shared" si="30"/>
        <v>245.07170257917687</v>
      </c>
      <c r="AN126" s="335">
        <f t="shared" si="31"/>
        <v>236.58765754580253</v>
      </c>
      <c r="AO126" s="335">
        <f t="shared" si="32"/>
        <v>65.899886483844625</v>
      </c>
      <c r="AP126" s="335">
        <f t="shared" si="36"/>
        <v>48.586407194384151</v>
      </c>
      <c r="AQ126" s="335">
        <f t="shared" si="37"/>
        <v>66.258750261368647</v>
      </c>
      <c r="AR126" s="335">
        <f t="shared" si="38"/>
        <v>22.597897779090967</v>
      </c>
      <c r="AS126" s="335">
        <f t="shared" si="39"/>
        <v>137.44305523484377</v>
      </c>
      <c r="AT126" s="610">
        <f t="shared" si="40"/>
        <v>0.25101038122552793</v>
      </c>
    </row>
    <row r="127" spans="2:46" ht="14.4" x14ac:dyDescent="0.55000000000000004">
      <c r="B127" s="3">
        <v>2028</v>
      </c>
      <c r="C127" s="707">
        <f>Compost!E70</f>
        <v>273.41181106170205</v>
      </c>
      <c r="D127" s="338">
        <f t="shared" si="15"/>
        <v>0.40290133554385582</v>
      </c>
      <c r="F127" s="3">
        <v>2028</v>
      </c>
      <c r="G127" s="707">
        <f>'H&amp;C Recycling'!E70</f>
        <v>391.71885614745759</v>
      </c>
      <c r="H127" s="338">
        <f t="shared" si="16"/>
        <v>0.47920879283659251</v>
      </c>
      <c r="J127" s="3">
        <v>2028</v>
      </c>
      <c r="K127" s="335">
        <f t="shared" si="33"/>
        <v>1338.7190451750098</v>
      </c>
      <c r="L127" s="338">
        <f t="shared" si="17"/>
        <v>0.30267407409260971</v>
      </c>
      <c r="M127" s="338">
        <f t="shared" si="18"/>
        <v>0.31799764282244636</v>
      </c>
      <c r="N127" s="338">
        <f t="shared" si="19"/>
        <v>0.37932828308494398</v>
      </c>
      <c r="P127" s="3">
        <v>2028</v>
      </c>
      <c r="Q127" s="707">
        <f>Paper!F75</f>
        <v>297.7550860898719</v>
      </c>
      <c r="R127" s="334">
        <f t="shared" si="14"/>
        <v>507.81399693935202</v>
      </c>
      <c r="S127" s="707">
        <f>Paper!G75</f>
        <v>386.08909496320052</v>
      </c>
      <c r="V127" s="335">
        <f t="shared" si="20"/>
        <v>933.96188159350788</v>
      </c>
      <c r="W127" s="335">
        <f t="shared" si="21"/>
        <v>405.19554746848866</v>
      </c>
      <c r="X127" s="335">
        <f t="shared" si="22"/>
        <v>425.70950076716917</v>
      </c>
      <c r="Y127" s="335">
        <f t="shared" si="23"/>
        <v>103.05683335785011</v>
      </c>
      <c r="Z127" s="338">
        <f t="shared" si="24"/>
        <v>0.43384591539983597</v>
      </c>
      <c r="AA127" s="338">
        <f t="shared" si="25"/>
        <v>0.45581035924167673</v>
      </c>
      <c r="AB127" s="338">
        <f t="shared" si="26"/>
        <v>0.11034372535848734</v>
      </c>
      <c r="AC127" s="338">
        <f t="shared" si="27"/>
        <v>0.53391620348499835</v>
      </c>
      <c r="AE127" s="346">
        <f>MIN('WTE Tonnes and Composition'!G81,V127)</f>
        <v>472.43314509528648</v>
      </c>
      <c r="AF127" s="335">
        <f t="shared" si="41"/>
        <v>0.65044842429736349</v>
      </c>
      <c r="AG127" s="335">
        <f t="shared" si="34"/>
        <v>1.6178887633704047</v>
      </c>
      <c r="AH127" s="335">
        <f t="shared" si="34"/>
        <v>0.23400823958733408</v>
      </c>
      <c r="AI127" s="335">
        <f t="shared" si="35"/>
        <v>2.5023454272551025</v>
      </c>
      <c r="AK127" s="610">
        <f t="shared" si="28"/>
        <v>461.52873649822141</v>
      </c>
      <c r="AL127" s="338">
        <f t="shared" si="29"/>
        <v>0.23032103338183829</v>
      </c>
      <c r="AM127" s="335">
        <f t="shared" si="30"/>
        <v>200.23235716940056</v>
      </c>
      <c r="AN127" s="335">
        <f t="shared" si="31"/>
        <v>210.36957918361145</v>
      </c>
      <c r="AO127" s="335">
        <f t="shared" si="32"/>
        <v>50.926800145209413</v>
      </c>
      <c r="AP127" s="335">
        <f t="shared" si="36"/>
        <v>39.696834585709823</v>
      </c>
      <c r="AQ127" s="335">
        <f t="shared" si="37"/>
        <v>58.916114028550375</v>
      </c>
      <c r="AR127" s="335">
        <f t="shared" si="38"/>
        <v>17.463438638544023</v>
      </c>
      <c r="AS127" s="335">
        <f t="shared" si="39"/>
        <v>116.07638725280422</v>
      </c>
      <c r="AT127" s="610">
        <f t="shared" si="40"/>
        <v>0.25150413847145475</v>
      </c>
    </row>
    <row r="128" spans="2:46" ht="14.4" x14ac:dyDescent="0.55000000000000004">
      <c r="B128" s="3">
        <v>2029</v>
      </c>
      <c r="C128" s="707">
        <f>Compost!E71</f>
        <v>287.0022865937637</v>
      </c>
      <c r="D128" s="338">
        <f t="shared" si="15"/>
        <v>0.44031002880048409</v>
      </c>
      <c r="F128" s="3">
        <v>2029</v>
      </c>
      <c r="G128" s="707">
        <f>'H&amp;C Recycling'!E71</f>
        <v>402.8211857878531</v>
      </c>
      <c r="H128" s="338">
        <f t="shared" si="16"/>
        <v>0.48943029775064611</v>
      </c>
      <c r="J128" s="3">
        <v>2029</v>
      </c>
      <c r="K128" s="335">
        <f t="shared" si="33"/>
        <v>1304.8583661096286</v>
      </c>
      <c r="L128" s="338">
        <f t="shared" si="17"/>
        <v>0.27958310911668921</v>
      </c>
      <c r="M128" s="338">
        <f t="shared" si="18"/>
        <v>0.32204244738979043</v>
      </c>
      <c r="N128" s="338">
        <f t="shared" si="19"/>
        <v>0.39837444349352047</v>
      </c>
      <c r="P128" s="3">
        <v>2029</v>
      </c>
      <c r="Q128" s="707">
        <f>Paper!F76</f>
        <v>301.02058348418632</v>
      </c>
      <c r="R128" s="334">
        <f t="shared" si="14"/>
        <v>519.82222543678768</v>
      </c>
      <c r="S128" s="707">
        <f>Paper!G76</f>
        <v>390.32335658449489</v>
      </c>
      <c r="V128" s="335">
        <f t="shared" si="20"/>
        <v>896.15408955243754</v>
      </c>
      <c r="W128" s="335">
        <f t="shared" si="21"/>
        <v>364.81635895385313</v>
      </c>
      <c r="X128" s="335">
        <f t="shared" si="22"/>
        <v>420.21978171898797</v>
      </c>
      <c r="Y128" s="335">
        <f t="shared" si="23"/>
        <v>111.11794887959655</v>
      </c>
      <c r="Z128" s="338">
        <f t="shared" si="24"/>
        <v>0.40709110543260685</v>
      </c>
      <c r="AA128" s="338">
        <f t="shared" si="25"/>
        <v>0.46891465052495218</v>
      </c>
      <c r="AB128" s="338">
        <f t="shared" si="26"/>
        <v>0.1239942440424411</v>
      </c>
      <c r="AC128" s="338">
        <f t="shared" si="27"/>
        <v>0.55072830550746965</v>
      </c>
      <c r="AE128" s="346">
        <f>MIN('WTE Tonnes and Composition'!G82,V128)</f>
        <v>496.30217363209351</v>
      </c>
      <c r="AF128" s="335">
        <f t="shared" si="41"/>
        <v>0.6103359710787567</v>
      </c>
      <c r="AG128" s="335">
        <f t="shared" si="34"/>
        <v>1.6644021547167889</v>
      </c>
      <c r="AH128" s="335">
        <f t="shared" si="34"/>
        <v>0.2629571792421101</v>
      </c>
      <c r="AI128" s="335">
        <f t="shared" si="35"/>
        <v>2.5376953050376558</v>
      </c>
      <c r="AK128" s="610">
        <f t="shared" si="28"/>
        <v>399.85191592034403</v>
      </c>
      <c r="AL128" s="338">
        <f t="shared" si="29"/>
        <v>0.20045899461479402</v>
      </c>
      <c r="AM128" s="335">
        <f t="shared" si="30"/>
        <v>162.77615846135862</v>
      </c>
      <c r="AN128" s="335">
        <f t="shared" si="31"/>
        <v>187.49642141552067</v>
      </c>
      <c r="AO128" s="335">
        <f t="shared" si="32"/>
        <v>49.579336043464778</v>
      </c>
      <c r="AP128" s="335">
        <f t="shared" si="36"/>
        <v>32.270999194556346</v>
      </c>
      <c r="AQ128" s="335">
        <f t="shared" si="37"/>
        <v>52.510256411267839</v>
      </c>
      <c r="AR128" s="335">
        <f t="shared" si="38"/>
        <v>17.001376294329141</v>
      </c>
      <c r="AS128" s="335">
        <f t="shared" si="39"/>
        <v>101.78263190015332</v>
      </c>
      <c r="AT128" s="610">
        <f t="shared" si="40"/>
        <v>0.25455081705905797</v>
      </c>
    </row>
    <row r="129" spans="2:46" ht="14.4" x14ac:dyDescent="0.55000000000000004">
      <c r="B129" s="3">
        <v>2030</v>
      </c>
      <c r="C129" s="707">
        <f>Compost!E72</f>
        <v>301.17407641967475</v>
      </c>
      <c r="D129" s="338">
        <f t="shared" si="15"/>
        <v>0.48039871015882279</v>
      </c>
      <c r="F129" s="3">
        <v>2030</v>
      </c>
      <c r="G129" s="707">
        <f>'H&amp;C Recycling'!E72</f>
        <v>414.40047675454667</v>
      </c>
      <c r="H129" s="338">
        <f t="shared" si="16"/>
        <v>0.5000460974849168</v>
      </c>
      <c r="J129" s="3">
        <v>2030</v>
      </c>
      <c r="K129" s="335">
        <f t="shared" si="33"/>
        <v>1272.6893256570504</v>
      </c>
      <c r="L129" s="338">
        <f t="shared" si="17"/>
        <v>0.25595497385640675</v>
      </c>
      <c r="M129" s="338">
        <f t="shared" si="18"/>
        <v>0.32555004914952301</v>
      </c>
      <c r="N129" s="338">
        <f t="shared" si="19"/>
        <v>0.41849497699407012</v>
      </c>
      <c r="P129" s="3">
        <v>2030</v>
      </c>
      <c r="Q129" s="707">
        <f>Paper!F77</f>
        <v>314.80455028844688</v>
      </c>
      <c r="R129" s="334">
        <f t="shared" si="14"/>
        <v>532.61409006144595</v>
      </c>
      <c r="S129" s="707">
        <f>Paper!G77</f>
        <v>408.19656687401942</v>
      </c>
      <c r="V129" s="335">
        <f t="shared" si="20"/>
        <v>846.3925293417858</v>
      </c>
      <c r="W129" s="335">
        <f t="shared" si="21"/>
        <v>325.75116307587825</v>
      </c>
      <c r="X129" s="335">
        <f t="shared" si="22"/>
        <v>414.32407251972603</v>
      </c>
      <c r="Y129" s="335">
        <f t="shared" si="23"/>
        <v>106.31729374618141</v>
      </c>
      <c r="Z129" s="338">
        <f t="shared" si="24"/>
        <v>0.38487008306796516</v>
      </c>
      <c r="AA129" s="338">
        <f t="shared" si="25"/>
        <v>0.48951763886896954</v>
      </c>
      <c r="AB129" s="338">
        <f t="shared" si="26"/>
        <v>0.12561227806306513</v>
      </c>
      <c r="AC129" s="338">
        <f t="shared" si="27"/>
        <v>0.57430573559516318</v>
      </c>
      <c r="AE129" s="346">
        <f>MIN('WTE Tonnes and Composition'!G83,V129)</f>
        <v>519.22918248800215</v>
      </c>
      <c r="AF129" s="335">
        <f t="shared" si="41"/>
        <v>0.57702085050181851</v>
      </c>
      <c r="AG129" s="335">
        <f t="shared" si="34"/>
        <v>1.7375320050104355</v>
      </c>
      <c r="AH129" s="335">
        <f t="shared" si="34"/>
        <v>0.26638857773376456</v>
      </c>
      <c r="AI129" s="335">
        <f t="shared" si="35"/>
        <v>2.5809414332460183</v>
      </c>
      <c r="AK129" s="610">
        <f t="shared" si="28"/>
        <v>327.16334685378365</v>
      </c>
      <c r="AL129" s="338">
        <f t="shared" si="29"/>
        <v>0.16454724663916073</v>
      </c>
      <c r="AM129" s="335">
        <f t="shared" si="30"/>
        <v>125.91538448040922</v>
      </c>
      <c r="AN129" s="335">
        <f t="shared" si="31"/>
        <v>160.1522290763339</v>
      </c>
      <c r="AO129" s="335">
        <f t="shared" si="32"/>
        <v>41.095733297040496</v>
      </c>
      <c r="AP129" s="335">
        <f t="shared" si="36"/>
        <v>24.963209044610494</v>
      </c>
      <c r="AQ129" s="335">
        <f t="shared" si="37"/>
        <v>44.852240646222064</v>
      </c>
      <c r="AR129" s="335">
        <f t="shared" si="38"/>
        <v>14.092242487109162</v>
      </c>
      <c r="AS129" s="335">
        <f t="shared" si="39"/>
        <v>83.907692177941726</v>
      </c>
      <c r="AT129" s="610">
        <f t="shared" si="40"/>
        <v>0.25647033197591623</v>
      </c>
    </row>
    <row r="130" spans="2:46" ht="14.4" x14ac:dyDescent="0.55000000000000004">
      <c r="B130" s="3">
        <v>2031</v>
      </c>
      <c r="C130" s="707">
        <f>Compost!E73</f>
        <v>314.88306344366322</v>
      </c>
      <c r="D130" s="338">
        <f t="shared" si="15"/>
        <v>0.52391655262927694</v>
      </c>
      <c r="F130" s="3">
        <v>2031</v>
      </c>
      <c r="G130" s="707">
        <f>'H&amp;C Recycling'!E73</f>
        <v>425.02005581551936</v>
      </c>
      <c r="H130" s="338">
        <f t="shared" si="16"/>
        <v>0.51113251117404601</v>
      </c>
      <c r="J130" s="3">
        <v>2031</v>
      </c>
      <c r="K130" s="335">
        <f t="shared" si="33"/>
        <v>1236.9861756554042</v>
      </c>
      <c r="L130" s="338">
        <f t="shared" si="17"/>
        <v>0.23131586388337746</v>
      </c>
      <c r="M130" s="338">
        <f t="shared" si="18"/>
        <v>0.32862623302745514</v>
      </c>
      <c r="N130" s="338">
        <f t="shared" si="19"/>
        <v>0.44005790308916726</v>
      </c>
      <c r="P130" s="3">
        <v>2031</v>
      </c>
      <c r="Q130" s="707">
        <f>Paper!F78</f>
        <v>328.80734788451042</v>
      </c>
      <c r="R130" s="334">
        <f t="shared" si="14"/>
        <v>544.34554260920549</v>
      </c>
      <c r="S130" s="707">
        <f>Paper!G78</f>
        <v>426.35352775691518</v>
      </c>
      <c r="V130" s="335">
        <f t="shared" si="20"/>
        <v>792.80752120506816</v>
      </c>
      <c r="W130" s="335">
        <f t="shared" si="21"/>
        <v>286.13452583352512</v>
      </c>
      <c r="X130" s="335">
        <f t="shared" si="22"/>
        <v>406.50610721267338</v>
      </c>
      <c r="Y130" s="335">
        <f t="shared" si="23"/>
        <v>100.16688815886943</v>
      </c>
      <c r="Z130" s="338">
        <f t="shared" si="24"/>
        <v>0.36091298099518576</v>
      </c>
      <c r="AA130" s="338">
        <f t="shared" si="25"/>
        <v>0.51274249592736421</v>
      </c>
      <c r="AB130" s="338">
        <f t="shared" si="26"/>
        <v>0.1263445230774497</v>
      </c>
      <c r="AC130" s="338">
        <f t="shared" si="27"/>
        <v>0.59896210513936632</v>
      </c>
      <c r="AE130" s="346">
        <f>MIN('WTE Tonnes and Composition'!G84,V130)</f>
        <v>542.06651819247668</v>
      </c>
      <c r="AF130" s="335">
        <f t="shared" si="41"/>
        <v>0.54110289267199962</v>
      </c>
      <c r="AG130" s="335">
        <f t="shared" ref="AG130:AG159" si="42">AG$111*AA130</f>
        <v>1.819968120170639</v>
      </c>
      <c r="AH130" s="335">
        <f t="shared" ref="AH130:AH159" si="43">AH$111*AB130</f>
        <v>0.26794146500674765</v>
      </c>
      <c r="AI130" s="335">
        <f t="shared" si="35"/>
        <v>2.6290124778493866</v>
      </c>
      <c r="AK130" s="610">
        <f t="shared" si="28"/>
        <v>250.74100301259148</v>
      </c>
      <c r="AL130" s="338">
        <f t="shared" si="29"/>
        <v>0.12683613779365677</v>
      </c>
      <c r="AM130" s="335">
        <f t="shared" si="30"/>
        <v>90.495682854997241</v>
      </c>
      <c r="AN130" s="335">
        <f t="shared" si="31"/>
        <v>128.56556771600691</v>
      </c>
      <c r="AO130" s="335">
        <f t="shared" si="32"/>
        <v>31.679752441587247</v>
      </c>
      <c r="AP130" s="335">
        <f t="shared" si="36"/>
        <v>17.941117029234423</v>
      </c>
      <c r="AQ130" s="335">
        <f t="shared" si="37"/>
        <v>36.006078811853541</v>
      </c>
      <c r="AR130" s="335">
        <f t="shared" si="38"/>
        <v>10.863384529765437</v>
      </c>
      <c r="AS130" s="335">
        <f t="shared" si="39"/>
        <v>64.810580370853401</v>
      </c>
      <c r="AT130" s="610">
        <f t="shared" si="40"/>
        <v>0.25847619492691748</v>
      </c>
    </row>
    <row r="131" spans="2:46" ht="14.4" x14ac:dyDescent="0.55000000000000004">
      <c r="B131" s="3">
        <v>2032</v>
      </c>
      <c r="C131" s="707">
        <f>Compost!E74</f>
        <v>329.05170036910079</v>
      </c>
      <c r="D131" s="338">
        <f t="shared" si="15"/>
        <v>0.57044116563275316</v>
      </c>
      <c r="F131" s="3">
        <v>2032</v>
      </c>
      <c r="G131" s="707">
        <f>'H&amp;C Recycling'!E74</f>
        <v>435.95939636409753</v>
      </c>
      <c r="H131" s="338">
        <f t="shared" si="16"/>
        <v>0.52268918903265527</v>
      </c>
      <c r="J131" s="3">
        <v>2032</v>
      </c>
      <c r="K131" s="335">
        <f t="shared" si="33"/>
        <v>1202.5548834813792</v>
      </c>
      <c r="L131" s="338">
        <f t="shared" si="17"/>
        <v>0.20604924599967048</v>
      </c>
      <c r="M131" s="338">
        <f t="shared" si="18"/>
        <v>0.33105403829422719</v>
      </c>
      <c r="N131" s="338">
        <f t="shared" si="19"/>
        <v>0.46289671570610241</v>
      </c>
      <c r="P131" s="3">
        <v>2032</v>
      </c>
      <c r="Q131" s="707">
        <f>Paper!F79</f>
        <v>343.47657869481304</v>
      </c>
      <c r="R131" s="334">
        <f t="shared" si="14"/>
        <v>556.65870601986512</v>
      </c>
      <c r="S131" s="707">
        <f>Paper!G79</f>
        <v>445.37463037427426</v>
      </c>
      <c r="V131" s="335">
        <f t="shared" si="20"/>
        <v>739.62484969529294</v>
      </c>
      <c r="W131" s="335">
        <f t="shared" si="21"/>
        <v>247.78552701455976</v>
      </c>
      <c r="X131" s="335">
        <f t="shared" si="22"/>
        <v>398.11065044695442</v>
      </c>
      <c r="Y131" s="335">
        <f t="shared" si="23"/>
        <v>93.728672233778866</v>
      </c>
      <c r="Z131" s="338">
        <f t="shared" si="24"/>
        <v>0.33501514601171289</v>
      </c>
      <c r="AA131" s="338">
        <f t="shared" si="25"/>
        <v>0.53826024181173215</v>
      </c>
      <c r="AB131" s="338">
        <f t="shared" si="26"/>
        <v>0.12672461217655512</v>
      </c>
      <c r="AC131" s="338">
        <f t="shared" si="27"/>
        <v>0.62409146268394444</v>
      </c>
      <c r="AE131" s="346">
        <f>MIN('WTE Tonnes and Composition'!G85,V131)</f>
        <v>563.9457072319284</v>
      </c>
      <c r="AF131" s="335">
        <f t="shared" si="41"/>
        <v>0.50227526894713781</v>
      </c>
      <c r="AG131" s="335">
        <f t="shared" si="42"/>
        <v>1.9105427933780341</v>
      </c>
      <c r="AH131" s="335">
        <f t="shared" si="43"/>
        <v>0.26874752788598277</v>
      </c>
      <c r="AI131" s="335">
        <f t="shared" si="35"/>
        <v>2.6815655902111546</v>
      </c>
      <c r="AK131" s="610">
        <f t="shared" si="28"/>
        <v>175.67914246336454</v>
      </c>
      <c r="AL131" s="338">
        <f t="shared" si="29"/>
        <v>8.9287548285524557E-2</v>
      </c>
      <c r="AM131" s="335">
        <f t="shared" si="30"/>
        <v>58.855173563576585</v>
      </c>
      <c r="AN131" s="335">
        <f t="shared" si="31"/>
        <v>94.56109770360834</v>
      </c>
      <c r="AO131" s="335">
        <f t="shared" si="32"/>
        <v>22.262871196179649</v>
      </c>
      <c r="AP131" s="335">
        <f t="shared" si="36"/>
        <v>11.668264422867134</v>
      </c>
      <c r="AQ131" s="335">
        <f t="shared" si="37"/>
        <v>26.482785375104733</v>
      </c>
      <c r="AR131" s="335">
        <f t="shared" si="38"/>
        <v>7.6342178174111117</v>
      </c>
      <c r="AS131" s="335">
        <f t="shared" si="39"/>
        <v>45.785267615382978</v>
      </c>
      <c r="AT131" s="610">
        <f t="shared" si="40"/>
        <v>0.26061868798642879</v>
      </c>
    </row>
    <row r="132" spans="2:46" ht="14.4" x14ac:dyDescent="0.55000000000000004">
      <c r="B132" s="3">
        <v>2033</v>
      </c>
      <c r="C132" s="707">
        <f>Compost!E75</f>
        <v>343.4410591847132</v>
      </c>
      <c r="D132" s="338">
        <f t="shared" si="15"/>
        <v>0.62055052541236311</v>
      </c>
      <c r="F132" s="3">
        <v>2033</v>
      </c>
      <c r="G132" s="707">
        <f>'H&amp;C Recycling'!E75</f>
        <v>446.8889190704553</v>
      </c>
      <c r="H132" s="338">
        <f t="shared" si="16"/>
        <v>0.53476264218345804</v>
      </c>
      <c r="J132" s="3">
        <v>2033</v>
      </c>
      <c r="K132" s="335">
        <f t="shared" si="33"/>
        <v>1167.9251476718348</v>
      </c>
      <c r="L132" s="338">
        <f t="shared" si="17"/>
        <v>0.17981007130837698</v>
      </c>
      <c r="M132" s="338">
        <f t="shared" si="18"/>
        <v>0.33288796681077892</v>
      </c>
      <c r="N132" s="338">
        <f t="shared" si="19"/>
        <v>0.48730196188084413</v>
      </c>
      <c r="P132" s="3">
        <v>2033</v>
      </c>
      <c r="Q132" s="707">
        <f>Paper!F80</f>
        <v>358.82888507586529</v>
      </c>
      <c r="R132" s="334">
        <f t="shared" si="14"/>
        <v>569.13221579045967</v>
      </c>
      <c r="S132" s="707">
        <f>Paper!G80</f>
        <v>465.28145431503862</v>
      </c>
      <c r="V132" s="335">
        <f t="shared" si="20"/>
        <v>685.35213088464013</v>
      </c>
      <c r="W132" s="335">
        <f t="shared" si="21"/>
        <v>210.00470408571931</v>
      </c>
      <c r="X132" s="335">
        <f t="shared" si="22"/>
        <v>388.78822779565581</v>
      </c>
      <c r="Y132" s="335">
        <f t="shared" si="23"/>
        <v>86.559199003265064</v>
      </c>
      <c r="Z132" s="338">
        <f t="shared" si="24"/>
        <v>0.30641869284720691</v>
      </c>
      <c r="AA132" s="338">
        <f t="shared" si="25"/>
        <v>0.56728243814433754</v>
      </c>
      <c r="AB132" s="338">
        <f t="shared" si="26"/>
        <v>0.12629886900845558</v>
      </c>
      <c r="AC132" s="338">
        <f t="shared" si="27"/>
        <v>0.65001897770587647</v>
      </c>
      <c r="AE132" s="346">
        <f>MIN('WTE Tonnes and Composition'!G86,V132)</f>
        <v>585.01833555366329</v>
      </c>
      <c r="AF132" s="335">
        <f t="shared" si="41"/>
        <v>0.45940171121361884</v>
      </c>
      <c r="AG132" s="335">
        <f t="shared" si="42"/>
        <v>2.0135564357466933</v>
      </c>
      <c r="AH132" s="335">
        <f t="shared" si="43"/>
        <v>0.26784464547051573</v>
      </c>
      <c r="AI132" s="335">
        <f t="shared" si="35"/>
        <v>2.740802792430828</v>
      </c>
      <c r="AK132" s="610">
        <f t="shared" si="28"/>
        <v>100.33379533097684</v>
      </c>
      <c r="AL132" s="338">
        <f t="shared" si="29"/>
        <v>5.1236324625209703E-2</v>
      </c>
      <c r="AM132" s="335">
        <f t="shared" si="30"/>
        <v>30.744150413717115</v>
      </c>
      <c r="AN132" s="335">
        <f t="shared" si="31"/>
        <v>56.917600043631495</v>
      </c>
      <c r="AO132" s="335">
        <f t="shared" si="32"/>
        <v>12.672044873628236</v>
      </c>
      <c r="AP132" s="335">
        <f t="shared" si="36"/>
        <v>6.095146012884368</v>
      </c>
      <c r="AQ132" s="335">
        <f t="shared" si="37"/>
        <v>15.940345687886683</v>
      </c>
      <c r="AR132" s="335">
        <f t="shared" si="38"/>
        <v>4.345403155990355</v>
      </c>
      <c r="AS132" s="335">
        <f t="shared" si="39"/>
        <v>26.380894856761405</v>
      </c>
      <c r="AT132" s="610">
        <f t="shared" si="40"/>
        <v>0.26293129617729732</v>
      </c>
    </row>
    <row r="133" spans="2:46" ht="14.4" x14ac:dyDescent="0.55000000000000004">
      <c r="B133" s="3">
        <v>2034</v>
      </c>
      <c r="C133" s="707">
        <f>Compost!E76</f>
        <v>358.05344411639214</v>
      </c>
      <c r="D133" s="338">
        <f t="shared" si="15"/>
        <v>0.67443329441725819</v>
      </c>
      <c r="F133" s="3">
        <v>2034</v>
      </c>
      <c r="G133" s="707">
        <f>'H&amp;C Recycling'!E76</f>
        <v>457.81194616724525</v>
      </c>
      <c r="H133" s="338">
        <f t="shared" si="16"/>
        <v>0.54739397008340118</v>
      </c>
      <c r="J133" s="3">
        <v>2034</v>
      </c>
      <c r="K133" s="335">
        <f t="shared" si="33"/>
        <v>1133.1483723905451</v>
      </c>
      <c r="L133" s="338">
        <f t="shared" si="17"/>
        <v>0.15253238445733566</v>
      </c>
      <c r="M133" s="338">
        <f t="shared" si="18"/>
        <v>0.33405707047493449</v>
      </c>
      <c r="N133" s="338">
        <f t="shared" si="19"/>
        <v>0.51341054506772965</v>
      </c>
      <c r="P133" s="3">
        <v>2034</v>
      </c>
      <c r="Q133" s="707">
        <f>Paper!F81</f>
        <v>372.00799999999998</v>
      </c>
      <c r="R133" s="334">
        <f t="shared" si="14"/>
        <v>581.77032351164041</v>
      </c>
      <c r="S133" s="707">
        <f>Paper!G81</f>
        <v>482.3703733333333</v>
      </c>
      <c r="V133" s="335">
        <f t="shared" si="20"/>
        <v>633.74439826756566</v>
      </c>
      <c r="W133" s="335">
        <f t="shared" si="21"/>
        <v>172.84182318467879</v>
      </c>
      <c r="X133" s="335">
        <f t="shared" si="22"/>
        <v>378.53622569422561</v>
      </c>
      <c r="Y133" s="335">
        <f t="shared" si="23"/>
        <v>82.366349388660979</v>
      </c>
      <c r="Z133" s="338">
        <f t="shared" si="24"/>
        <v>0.27273112576169123</v>
      </c>
      <c r="AA133" s="338">
        <f t="shared" si="25"/>
        <v>0.59730109919552832</v>
      </c>
      <c r="AB133" s="338">
        <f t="shared" si="26"/>
        <v>0.12996777504278004</v>
      </c>
      <c r="AC133" s="338">
        <f t="shared" si="27"/>
        <v>0.67483841807354694</v>
      </c>
      <c r="AE133" s="346">
        <f>MIN('WTE Tonnes and Composition'!G87,V133)</f>
        <v>605.09858449771889</v>
      </c>
      <c r="AF133" s="335">
        <f t="shared" si="41"/>
        <v>0.40889524301513158</v>
      </c>
      <c r="AG133" s="335">
        <f t="shared" si="42"/>
        <v>2.120107007539195</v>
      </c>
      <c r="AH133" s="335">
        <f t="shared" si="43"/>
        <v>0.27562537101258278</v>
      </c>
      <c r="AI133" s="335">
        <f t="shared" si="35"/>
        <v>2.8046276215669095</v>
      </c>
      <c r="AK133" s="610">
        <f t="shared" si="28"/>
        <v>28.645813769846768</v>
      </c>
      <c r="AL133" s="338">
        <f t="shared" si="29"/>
        <v>1.4697594403100941E-2</v>
      </c>
      <c r="AM133" s="335">
        <f t="shared" si="30"/>
        <v>7.8126050378100649</v>
      </c>
      <c r="AN133" s="335">
        <f t="shared" si="31"/>
        <v>17.110176052079876</v>
      </c>
      <c r="AO133" s="335">
        <f t="shared" si="32"/>
        <v>3.7230326799568156</v>
      </c>
      <c r="AP133" s="335">
        <f t="shared" si="36"/>
        <v>1.5488789836652046</v>
      </c>
      <c r="AQ133" s="335">
        <f t="shared" si="37"/>
        <v>4.7918766926517753</v>
      </c>
      <c r="AR133" s="335">
        <f t="shared" si="38"/>
        <v>1.2766746108205265</v>
      </c>
      <c r="AS133" s="335">
        <f t="shared" si="39"/>
        <v>7.6174302871375064</v>
      </c>
      <c r="AT133" s="610">
        <f t="shared" si="40"/>
        <v>0.26591774799415147</v>
      </c>
    </row>
    <row r="134" spans="2:46" ht="14.4" x14ac:dyDescent="0.55000000000000004">
      <c r="B134" s="3">
        <v>2035</v>
      </c>
      <c r="C134" s="707">
        <f>Compost!E77</f>
        <v>372.90697304325437</v>
      </c>
      <c r="D134" s="338">
        <f t="shared" si="15"/>
        <v>0.7322062512107006</v>
      </c>
      <c r="F134" s="3">
        <v>2035</v>
      </c>
      <c r="G134" s="707">
        <f>'H&amp;C Recycling'!E77</f>
        <v>468.7507283590387</v>
      </c>
      <c r="H134" s="338">
        <f t="shared" si="16"/>
        <v>0.56062597902877032</v>
      </c>
      <c r="J134" s="3">
        <v>2035</v>
      </c>
      <c r="K134" s="335">
        <f t="shared" si="33"/>
        <v>1098.35649278182</v>
      </c>
      <c r="L134" s="338">
        <f t="shared" si="17"/>
        <v>0.12417214554612779</v>
      </c>
      <c r="M134" s="338">
        <f t="shared" si="18"/>
        <v>0.33447201746745131</v>
      </c>
      <c r="N134" s="338">
        <f t="shared" si="19"/>
        <v>0.54135583698642087</v>
      </c>
      <c r="P134" s="3">
        <v>2035</v>
      </c>
      <c r="Q134" s="707">
        <f>Paper!F82</f>
        <v>380.69499999999999</v>
      </c>
      <c r="R134" s="334">
        <f t="shared" si="14"/>
        <v>594.60169845937185</v>
      </c>
      <c r="S134" s="707">
        <f>Paper!G82</f>
        <v>493.63451666666663</v>
      </c>
      <c r="V134" s="335">
        <f t="shared" si="20"/>
        <v>587.94084676586101</v>
      </c>
      <c r="W134" s="335">
        <f t="shared" si="21"/>
        <v>136.38528228323861</v>
      </c>
      <c r="X134" s="335">
        <f t="shared" si="22"/>
        <v>367.36951203920944</v>
      </c>
      <c r="Y134" s="335">
        <f t="shared" si="23"/>
        <v>84.186052443412905</v>
      </c>
      <c r="Z134" s="338">
        <f t="shared" si="24"/>
        <v>0.23197109544857339</v>
      </c>
      <c r="AA134" s="338">
        <f t="shared" si="25"/>
        <v>0.62484094115935629</v>
      </c>
      <c r="AB134" s="338">
        <f t="shared" si="26"/>
        <v>0.14318796339207027</v>
      </c>
      <c r="AC134" s="338">
        <f t="shared" si="27"/>
        <v>0.69693992521888548</v>
      </c>
      <c r="AE134" s="346">
        <f>MIN('WTE Tonnes and Composition'!G88,V134)</f>
        <v>587.94084676586101</v>
      </c>
      <c r="AF134" s="335">
        <f t="shared" si="41"/>
        <v>0.34778530386301043</v>
      </c>
      <c r="AG134" s="335">
        <f t="shared" si="42"/>
        <v>2.2178590659443653</v>
      </c>
      <c r="AH134" s="335">
        <f t="shared" si="43"/>
        <v>0.30366170015209404</v>
      </c>
      <c r="AI134" s="335">
        <f t="shared" si="35"/>
        <v>2.8693060699594697</v>
      </c>
      <c r="AK134" s="610">
        <f t="shared" si="28"/>
        <v>0</v>
      </c>
      <c r="AL134" s="338">
        <f t="shared" si="29"/>
        <v>0</v>
      </c>
      <c r="AM134" s="335">
        <f t="shared" si="30"/>
        <v>0</v>
      </c>
      <c r="AN134" s="335">
        <f t="shared" si="31"/>
        <v>0</v>
      </c>
      <c r="AO134" s="335">
        <f t="shared" si="32"/>
        <v>0</v>
      </c>
      <c r="AP134" s="335">
        <f t="shared" si="36"/>
        <v>0</v>
      </c>
      <c r="AQ134" s="335">
        <f t="shared" si="37"/>
        <v>0</v>
      </c>
      <c r="AR134" s="335">
        <f t="shared" si="38"/>
        <v>0</v>
      </c>
      <c r="AS134" s="335">
        <f t="shared" si="39"/>
        <v>0</v>
      </c>
      <c r="AT134" s="610" t="e">
        <f t="shared" si="40"/>
        <v>#DIV/0!</v>
      </c>
    </row>
    <row r="135" spans="2:46" ht="14.4" x14ac:dyDescent="0.55000000000000004">
      <c r="B135" s="3">
        <v>2036</v>
      </c>
      <c r="C135" s="707">
        <f>Compost!E78</f>
        <v>387.94813895171484</v>
      </c>
      <c r="D135" s="338">
        <f t="shared" si="15"/>
        <v>0.7941890918799861</v>
      </c>
      <c r="F135" s="3">
        <v>2036</v>
      </c>
      <c r="G135" s="707">
        <f>'H&amp;C Recycling'!E78</f>
        <v>479.63811941172094</v>
      </c>
      <c r="H135" s="338">
        <f t="shared" si="16"/>
        <v>0.5745139466327206</v>
      </c>
      <c r="J135" s="3">
        <v>2036</v>
      </c>
      <c r="K135" s="335">
        <f t="shared" si="33"/>
        <v>1063.2964506957564</v>
      </c>
      <c r="L135" s="338">
        <f t="shared" si="17"/>
        <v>9.4550489112808389E-2</v>
      </c>
      <c r="M135" s="338">
        <f t="shared" si="18"/>
        <v>0.33407507972913358</v>
      </c>
      <c r="N135" s="338">
        <f t="shared" si="19"/>
        <v>0.57137443115805797</v>
      </c>
      <c r="P135" s="3">
        <v>2036</v>
      </c>
      <c r="Q135" s="707">
        <f>Paper!F83</f>
        <v>389.82</v>
      </c>
      <c r="R135" s="334">
        <f t="shared" si="14"/>
        <v>607.54040466866991</v>
      </c>
      <c r="S135" s="707">
        <f>Paper!G83</f>
        <v>505.46659999999997</v>
      </c>
      <c r="V135" s="335">
        <f t="shared" si="20"/>
        <v>545.14172847866462</v>
      </c>
      <c r="W135" s="335">
        <f t="shared" si="21"/>
        <v>100.53519948519693</v>
      </c>
      <c r="X135" s="335">
        <f t="shared" si="22"/>
        <v>355.22084654188961</v>
      </c>
      <c r="Y135" s="335">
        <f t="shared" si="23"/>
        <v>89.38568245157802</v>
      </c>
      <c r="Z135" s="338">
        <f t="shared" si="24"/>
        <v>0.1844202970221378</v>
      </c>
      <c r="AA135" s="338">
        <f t="shared" si="25"/>
        <v>0.65161191665369278</v>
      </c>
      <c r="AB135" s="338">
        <f t="shared" si="26"/>
        <v>0.16396778632416933</v>
      </c>
      <c r="AC135" s="338">
        <f t="shared" si="27"/>
        <v>0.71767227189875205</v>
      </c>
      <c r="AE135" s="346">
        <f>MIN('WTE Tonnes and Composition'!G89,V135)</f>
        <v>545.14172847866462</v>
      </c>
      <c r="AF135" s="335">
        <f t="shared" si="41"/>
        <v>0.27649422836204174</v>
      </c>
      <c r="AG135" s="335">
        <f t="shared" si="42"/>
        <v>2.3128820498642781</v>
      </c>
      <c r="AH135" s="335">
        <f t="shared" si="43"/>
        <v>0.34772990400762932</v>
      </c>
      <c r="AI135" s="335">
        <f t="shared" si="35"/>
        <v>2.9371061822339493</v>
      </c>
      <c r="AK135" s="610">
        <f t="shared" si="28"/>
        <v>0</v>
      </c>
      <c r="AL135" s="338">
        <f t="shared" si="29"/>
        <v>0</v>
      </c>
      <c r="AM135" s="335">
        <f t="shared" si="30"/>
        <v>0</v>
      </c>
      <c r="AN135" s="335">
        <f t="shared" si="31"/>
        <v>0</v>
      </c>
      <c r="AO135" s="335">
        <f t="shared" si="32"/>
        <v>0</v>
      </c>
      <c r="AP135" s="335">
        <f t="shared" si="36"/>
        <v>0</v>
      </c>
      <c r="AQ135" s="335">
        <f t="shared" si="37"/>
        <v>0</v>
      </c>
      <c r="AR135" s="335">
        <f t="shared" si="38"/>
        <v>0</v>
      </c>
      <c r="AS135" s="335">
        <f t="shared" si="39"/>
        <v>0</v>
      </c>
      <c r="AT135" s="610" t="e">
        <f t="shared" si="40"/>
        <v>#DIV/0!</v>
      </c>
    </row>
    <row r="136" spans="2:46" ht="14.4" x14ac:dyDescent="0.55000000000000004">
      <c r="B136" s="3">
        <v>2037</v>
      </c>
      <c r="C136" s="707">
        <f>Compost!E79</f>
        <v>403.23030053741212</v>
      </c>
      <c r="D136" s="338">
        <f t="shared" si="15"/>
        <v>0.86030442485892988</v>
      </c>
      <c r="F136" s="3">
        <v>2037</v>
      </c>
      <c r="G136" s="707">
        <f>'H&amp;C Recycling'!E79</f>
        <v>490.53937722223554</v>
      </c>
      <c r="H136" s="338">
        <f t="shared" si="16"/>
        <v>0.58910561381685622</v>
      </c>
      <c r="J136" s="3">
        <v>2037</v>
      </c>
      <c r="K136" s="335">
        <f t="shared" si="33"/>
        <v>1028.2924304280307</v>
      </c>
      <c r="L136" s="338">
        <f t="shared" si="17"/>
        <v>6.3674715626916109E-2</v>
      </c>
      <c r="M136" s="338">
        <f t="shared" si="18"/>
        <v>0.33273177973380208</v>
      </c>
      <c r="N136" s="338">
        <f t="shared" si="19"/>
        <v>0.60359350463928196</v>
      </c>
      <c r="P136" s="3">
        <v>2037</v>
      </c>
      <c r="Q136" s="707">
        <f>Paper!F84</f>
        <v>399.38299999999998</v>
      </c>
      <c r="R136" s="334">
        <f t="shared" si="14"/>
        <v>620.67063187610006</v>
      </c>
      <c r="S136" s="707">
        <f>Paper!G84</f>
        <v>517.86662333333334</v>
      </c>
      <c r="V136" s="335">
        <f t="shared" si="20"/>
        <v>504.16274702886409</v>
      </c>
      <c r="W136" s="335">
        <f t="shared" si="21"/>
        <v>65.476228088815276</v>
      </c>
      <c r="X136" s="335">
        <f t="shared" si="22"/>
        <v>342.14557046311552</v>
      </c>
      <c r="Y136" s="335">
        <f t="shared" si="23"/>
        <v>96.540948476933465</v>
      </c>
      <c r="Z136" s="338">
        <f t="shared" si="24"/>
        <v>0.12987121415590561</v>
      </c>
      <c r="AA136" s="338">
        <f t="shared" si="25"/>
        <v>0.67864111832825913</v>
      </c>
      <c r="AB136" s="338">
        <f t="shared" si="26"/>
        <v>0.19148766751583562</v>
      </c>
      <c r="AC136" s="338">
        <f t="shared" si="27"/>
        <v>0.73769695324557349</v>
      </c>
      <c r="AE136" s="346">
        <f>MIN('WTE Tonnes and Composition'!G90,V136)</f>
        <v>504.16274702886409</v>
      </c>
      <c r="AF136" s="335">
        <f t="shared" si="41"/>
        <v>0.19471089529894925</v>
      </c>
      <c r="AG136" s="335">
        <f t="shared" si="42"/>
        <v>2.4088216018852249</v>
      </c>
      <c r="AH136" s="335">
        <f t="shared" si="43"/>
        <v>0.40609188997821699</v>
      </c>
      <c r="AI136" s="335">
        <f t="shared" si="35"/>
        <v>3.0096243871623911</v>
      </c>
      <c r="AK136" s="610">
        <f t="shared" si="28"/>
        <v>0</v>
      </c>
      <c r="AL136" s="338">
        <f t="shared" si="29"/>
        <v>0</v>
      </c>
      <c r="AM136" s="335">
        <f t="shared" si="30"/>
        <v>0</v>
      </c>
      <c r="AN136" s="335">
        <f t="shared" si="31"/>
        <v>0</v>
      </c>
      <c r="AO136" s="335">
        <f t="shared" si="32"/>
        <v>0</v>
      </c>
      <c r="AP136" s="335">
        <f t="shared" si="36"/>
        <v>0</v>
      </c>
      <c r="AQ136" s="335">
        <f t="shared" si="37"/>
        <v>0</v>
      </c>
      <c r="AR136" s="335">
        <f t="shared" si="38"/>
        <v>0</v>
      </c>
      <c r="AS136" s="335">
        <f t="shared" si="39"/>
        <v>0</v>
      </c>
      <c r="AT136" s="610" t="e">
        <f t="shared" si="40"/>
        <v>#DIV/0!</v>
      </c>
    </row>
    <row r="137" spans="2:46" ht="14.4" x14ac:dyDescent="0.55000000000000004">
      <c r="B137" s="3">
        <v>2038</v>
      </c>
      <c r="C137" s="707">
        <f>Compost!E80</f>
        <v>418.73569938066373</v>
      </c>
      <c r="D137" s="338">
        <f t="shared" si="15"/>
        <v>0.93063651610427189</v>
      </c>
      <c r="F137" s="3">
        <v>2038</v>
      </c>
      <c r="G137" s="707">
        <f>'H&amp;C Recycling'!E80</f>
        <v>501.42991900940564</v>
      </c>
      <c r="H137" s="338">
        <f t="shared" si="16"/>
        <v>0.60446101494271109</v>
      </c>
      <c r="J137" s="3">
        <v>2038</v>
      </c>
      <c r="K137" s="335">
        <f t="shared" si="33"/>
        <v>993.29164689024719</v>
      </c>
      <c r="L137" s="338">
        <f t="shared" si="17"/>
        <v>3.1420566717593947E-2</v>
      </c>
      <c r="M137" s="338">
        <f t="shared" si="18"/>
        <v>0.3303348997213994</v>
      </c>
      <c r="N137" s="338">
        <f t="shared" si="19"/>
        <v>0.63824453356100674</v>
      </c>
      <c r="P137" s="3">
        <v>2038</v>
      </c>
      <c r="Q137" s="707">
        <f>Paper!F85</f>
        <v>409.38399999999996</v>
      </c>
      <c r="R137" s="334">
        <f t="shared" si="14"/>
        <v>633.96296385951007</v>
      </c>
      <c r="S137" s="707">
        <f>Paper!G85</f>
        <v>530.83458666666661</v>
      </c>
      <c r="V137" s="335">
        <f t="shared" si="20"/>
        <v>462.45706022358058</v>
      </c>
      <c r="W137" s="335">
        <f t="shared" si="21"/>
        <v>31.209786461143779</v>
      </c>
      <c r="X137" s="335">
        <f t="shared" si="22"/>
        <v>328.11889656959346</v>
      </c>
      <c r="Y137" s="335">
        <f t="shared" si="23"/>
        <v>103.12837719284346</v>
      </c>
      <c r="Z137" s="338">
        <f t="shared" si="24"/>
        <v>6.7486885044105549E-2</v>
      </c>
      <c r="AA137" s="338">
        <f t="shared" si="25"/>
        <v>0.70951213591800355</v>
      </c>
      <c r="AB137" s="338">
        <f t="shared" si="26"/>
        <v>0.22300097903789115</v>
      </c>
      <c r="AC137" s="338">
        <f t="shared" si="27"/>
        <v>0.75831335843508807</v>
      </c>
      <c r="AE137" s="346">
        <f>MIN('WTE Tonnes and Composition'!G91,V137)</f>
        <v>462.45706022358058</v>
      </c>
      <c r="AF137" s="335">
        <f t="shared" si="41"/>
        <v>0.10118048016476118</v>
      </c>
      <c r="AG137" s="335">
        <f t="shared" si="42"/>
        <v>2.5183975943118817</v>
      </c>
      <c r="AH137" s="335">
        <f t="shared" si="43"/>
        <v>0.47292282693349397</v>
      </c>
      <c r="AI137" s="335">
        <f t="shared" si="35"/>
        <v>3.092500901410137</v>
      </c>
      <c r="AK137" s="610">
        <f t="shared" si="28"/>
        <v>0</v>
      </c>
      <c r="AL137" s="338">
        <f t="shared" si="29"/>
        <v>0</v>
      </c>
      <c r="AM137" s="335">
        <f t="shared" si="30"/>
        <v>0</v>
      </c>
      <c r="AN137" s="335">
        <f t="shared" si="31"/>
        <v>0</v>
      </c>
      <c r="AO137" s="335">
        <f t="shared" si="32"/>
        <v>0</v>
      </c>
      <c r="AP137" s="335">
        <f t="shared" si="36"/>
        <v>0</v>
      </c>
      <c r="AQ137" s="335">
        <f t="shared" si="37"/>
        <v>0</v>
      </c>
      <c r="AR137" s="335">
        <f t="shared" si="38"/>
        <v>0</v>
      </c>
      <c r="AS137" s="335">
        <f t="shared" si="39"/>
        <v>0</v>
      </c>
      <c r="AT137" s="610" t="e">
        <f t="shared" si="40"/>
        <v>#DIV/0!</v>
      </c>
    </row>
    <row r="138" spans="2:46" ht="14.4" x14ac:dyDescent="0.55000000000000004">
      <c r="B138" s="3">
        <v>2039</v>
      </c>
      <c r="C138" s="707">
        <f>Compost!E81</f>
        <v>432.24287716737376</v>
      </c>
      <c r="D138" s="338">
        <f t="shared" si="15"/>
        <v>1</v>
      </c>
      <c r="F138" s="3">
        <v>2039</v>
      </c>
      <c r="G138" s="707">
        <f>'H&amp;C Recycling'!E81</f>
        <v>512.30327676836032</v>
      </c>
      <c r="H138" s="338">
        <f t="shared" si="16"/>
        <v>0.62064439565265461</v>
      </c>
      <c r="J138" s="3">
        <v>2039</v>
      </c>
      <c r="K138" s="335">
        <f t="shared" si="33"/>
        <v>960.54641847462449</v>
      </c>
      <c r="L138" s="338">
        <f t="shared" si="17"/>
        <v>0</v>
      </c>
      <c r="M138" s="338">
        <f t="shared" si="18"/>
        <v>0.32599612890092833</v>
      </c>
      <c r="N138" s="338">
        <f t="shared" si="19"/>
        <v>0.67400387109907167</v>
      </c>
      <c r="P138" s="3">
        <v>2039</v>
      </c>
      <c r="Q138" s="707">
        <f>Paper!F86</f>
        <v>419.82299999999998</v>
      </c>
      <c r="R138" s="334">
        <f t="shared" si="14"/>
        <v>647.41200442224579</v>
      </c>
      <c r="S138" s="707">
        <f>Paper!G86</f>
        <v>544.3704899999999</v>
      </c>
      <c r="V138" s="335">
        <f t="shared" si="20"/>
        <v>416.17592847462458</v>
      </c>
      <c r="W138" s="335">
        <f t="shared" si="21"/>
        <v>0</v>
      </c>
      <c r="X138" s="335">
        <f t="shared" si="22"/>
        <v>313.1344140523787</v>
      </c>
      <c r="Y138" s="335">
        <f t="shared" si="23"/>
        <v>103.04151442224588</v>
      </c>
      <c r="Z138" s="338">
        <f t="shared" si="24"/>
        <v>0</v>
      </c>
      <c r="AA138" s="338">
        <f t="shared" si="25"/>
        <v>0.75240875943999097</v>
      </c>
      <c r="AB138" s="338">
        <f t="shared" si="26"/>
        <v>0.24759124056000903</v>
      </c>
      <c r="AC138" s="338">
        <f t="shared" si="27"/>
        <v>0.7815455613539708</v>
      </c>
      <c r="AE138" s="346">
        <f>MIN('WTE Tonnes and Composition'!G92,V138)</f>
        <v>416.17592847462458</v>
      </c>
      <c r="AF138" s="335">
        <f t="shared" si="41"/>
        <v>0</v>
      </c>
      <c r="AG138" s="335">
        <f t="shared" si="42"/>
        <v>2.6706582083493005</v>
      </c>
      <c r="AH138" s="335">
        <f t="shared" si="43"/>
        <v>0.52507190737362031</v>
      </c>
      <c r="AI138" s="335">
        <f t="shared" si="35"/>
        <v>3.1957301157229208</v>
      </c>
      <c r="AK138" s="610">
        <f t="shared" si="28"/>
        <v>0</v>
      </c>
      <c r="AL138" s="338">
        <f t="shared" si="29"/>
        <v>0</v>
      </c>
      <c r="AM138" s="335">
        <f t="shared" si="30"/>
        <v>0</v>
      </c>
      <c r="AN138" s="335">
        <f t="shared" si="31"/>
        <v>0</v>
      </c>
      <c r="AO138" s="335">
        <f t="shared" si="32"/>
        <v>0</v>
      </c>
      <c r="AP138" s="335">
        <f t="shared" si="36"/>
        <v>0</v>
      </c>
      <c r="AQ138" s="335">
        <f t="shared" si="37"/>
        <v>0</v>
      </c>
      <c r="AR138" s="335">
        <f t="shared" si="38"/>
        <v>0</v>
      </c>
      <c r="AS138" s="335">
        <f t="shared" si="39"/>
        <v>0</v>
      </c>
      <c r="AT138" s="610" t="e">
        <f t="shared" si="40"/>
        <v>#DIV/0!</v>
      </c>
    </row>
    <row r="139" spans="2:46" ht="14.4" x14ac:dyDescent="0.55000000000000004">
      <c r="B139" s="3">
        <v>2040</v>
      </c>
      <c r="C139" s="707">
        <f>Compost!E82</f>
        <v>413.97425133135948</v>
      </c>
      <c r="D139" s="338">
        <f t="shared" si="15"/>
        <v>1</v>
      </c>
      <c r="F139" s="3">
        <v>2040</v>
      </c>
      <c r="G139" s="707">
        <f>'H&amp;C Recycling'!E82</f>
        <v>522.5597625091267</v>
      </c>
      <c r="H139" s="338">
        <f t="shared" si="16"/>
        <v>0.63782901966788674</v>
      </c>
      <c r="J139" s="3">
        <v>2040</v>
      </c>
      <c r="K139" s="335">
        <f t="shared" si="33"/>
        <v>956.97334989606713</v>
      </c>
      <c r="L139" s="338">
        <f t="shared" si="17"/>
        <v>0</v>
      </c>
      <c r="M139" s="338">
        <f t="shared" si="18"/>
        <v>0.31005982392722647</v>
      </c>
      <c r="N139" s="338">
        <f t="shared" si="19"/>
        <v>0.68994017607277358</v>
      </c>
      <c r="P139" s="3">
        <v>2040</v>
      </c>
      <c r="Q139" s="707">
        <f>Paper!F87</f>
        <v>430.7</v>
      </c>
      <c r="R139" s="334">
        <f t="shared" si="14"/>
        <v>660.25436152424447</v>
      </c>
      <c r="S139" s="707">
        <f>Paper!G87</f>
        <v>558.47433333333333</v>
      </c>
      <c r="V139" s="335">
        <f t="shared" si="20"/>
        <v>398.4990165627338</v>
      </c>
      <c r="W139" s="335">
        <f t="shared" si="21"/>
        <v>0</v>
      </c>
      <c r="X139" s="335">
        <f t="shared" si="22"/>
        <v>296.71898837182266</v>
      </c>
      <c r="Y139" s="335">
        <f t="shared" si="23"/>
        <v>101.78002819091114</v>
      </c>
      <c r="Z139" s="338">
        <f t="shared" si="24"/>
        <v>0</v>
      </c>
      <c r="AA139" s="338">
        <f t="shared" si="25"/>
        <v>0.74459151977633953</v>
      </c>
      <c r="AB139" s="338">
        <f t="shared" si="26"/>
        <v>0.25540848022366047</v>
      </c>
      <c r="AC139" s="338">
        <f t="shared" si="27"/>
        <v>0.78954451184369534</v>
      </c>
      <c r="AE139" s="346">
        <f>MIN('WTE Tonnes and Composition'!G93,V139)</f>
        <v>398.4990165627338</v>
      </c>
      <c r="AF139" s="335">
        <f t="shared" si="41"/>
        <v>0</v>
      </c>
      <c r="AG139" s="335">
        <f t="shared" si="42"/>
        <v>2.6429110894961081</v>
      </c>
      <c r="AH139" s="335">
        <f t="shared" si="43"/>
        <v>0.54165009055694391</v>
      </c>
      <c r="AI139" s="335">
        <f t="shared" si="35"/>
        <v>3.184561180053052</v>
      </c>
      <c r="AK139" s="610">
        <f t="shared" si="28"/>
        <v>0</v>
      </c>
      <c r="AL139" s="338">
        <f t="shared" si="29"/>
        <v>0</v>
      </c>
      <c r="AM139" s="335">
        <f t="shared" si="30"/>
        <v>0</v>
      </c>
      <c r="AN139" s="335">
        <f t="shared" si="31"/>
        <v>0</v>
      </c>
      <c r="AO139" s="335">
        <f t="shared" si="32"/>
        <v>0</v>
      </c>
      <c r="AP139" s="335">
        <f t="shared" si="36"/>
        <v>0</v>
      </c>
      <c r="AQ139" s="335">
        <f t="shared" si="37"/>
        <v>0</v>
      </c>
      <c r="AR139" s="335">
        <f t="shared" si="38"/>
        <v>0</v>
      </c>
      <c r="AS139" s="335">
        <f t="shared" si="39"/>
        <v>0</v>
      </c>
      <c r="AT139" s="610" t="e">
        <f t="shared" si="40"/>
        <v>#DIV/0!</v>
      </c>
    </row>
    <row r="140" spans="2:46" ht="14.4" x14ac:dyDescent="0.55000000000000004">
      <c r="B140" s="3">
        <v>2041</v>
      </c>
      <c r="C140" s="707">
        <f>Compost!E83</f>
        <v>400.12895354468725</v>
      </c>
      <c r="D140" s="338">
        <f t="shared" si="15"/>
        <v>1</v>
      </c>
      <c r="F140" s="3">
        <v>2041</v>
      </c>
      <c r="G140" s="707">
        <f>'H&amp;C Recycling'!E83</f>
        <v>533.95976168059667</v>
      </c>
      <c r="H140" s="338">
        <f t="shared" si="16"/>
        <v>0.65579569736227172</v>
      </c>
      <c r="J140" s="3">
        <v>2041</v>
      </c>
      <c r="K140" s="335">
        <f t="shared" si="33"/>
        <v>954.99749255029121</v>
      </c>
      <c r="L140" s="338">
        <f t="shared" si="17"/>
        <v>0</v>
      </c>
      <c r="M140" s="338">
        <f t="shared" si="18"/>
        <v>0.29346345827039461</v>
      </c>
      <c r="N140" s="338">
        <f t="shared" si="19"/>
        <v>0.70653654172960534</v>
      </c>
      <c r="P140" s="3">
        <v>2041</v>
      </c>
      <c r="Q140" s="707">
        <f>Paper!F88</f>
        <v>442.01499999999999</v>
      </c>
      <c r="R140" s="334">
        <f t="shared" si="14"/>
        <v>674.74062574692732</v>
      </c>
      <c r="S140" s="707">
        <f>Paper!G88</f>
        <v>573.14611666666667</v>
      </c>
      <c r="V140" s="335">
        <f t="shared" si="20"/>
        <v>381.85137588362454</v>
      </c>
      <c r="W140" s="335">
        <f t="shared" si="21"/>
        <v>0</v>
      </c>
      <c r="X140" s="335">
        <f t="shared" si="22"/>
        <v>280.25686680336389</v>
      </c>
      <c r="Y140" s="335">
        <f t="shared" si="23"/>
        <v>101.59450908026065</v>
      </c>
      <c r="Z140" s="338">
        <f t="shared" si="24"/>
        <v>0</v>
      </c>
      <c r="AA140" s="338">
        <f t="shared" si="25"/>
        <v>0.73394227310255067</v>
      </c>
      <c r="AB140" s="338">
        <f t="shared" si="26"/>
        <v>0.26605772689744933</v>
      </c>
      <c r="AC140" s="338">
        <f t="shared" si="27"/>
        <v>0.79786450490617911</v>
      </c>
      <c r="AE140" s="346">
        <f>MIN('WTE Tonnes and Composition'!G94,V140)</f>
        <v>381.85137588362454</v>
      </c>
      <c r="AF140" s="335">
        <f t="shared" si="41"/>
        <v>0</v>
      </c>
      <c r="AG140" s="335">
        <f t="shared" si="42"/>
        <v>2.6051118245549891</v>
      </c>
      <c r="AH140" s="335">
        <f t="shared" si="43"/>
        <v>0.56423417006820298</v>
      </c>
      <c r="AI140" s="335">
        <f t="shared" si="35"/>
        <v>3.1693459946231921</v>
      </c>
      <c r="AK140" s="610">
        <f t="shared" si="28"/>
        <v>0</v>
      </c>
      <c r="AL140" s="338">
        <f t="shared" si="29"/>
        <v>0</v>
      </c>
      <c r="AM140" s="335">
        <f t="shared" si="30"/>
        <v>0</v>
      </c>
      <c r="AN140" s="335">
        <f t="shared" si="31"/>
        <v>0</v>
      </c>
      <c r="AO140" s="335">
        <f t="shared" si="32"/>
        <v>0</v>
      </c>
      <c r="AP140" s="335">
        <f t="shared" si="36"/>
        <v>0</v>
      </c>
      <c r="AQ140" s="335">
        <f t="shared" si="37"/>
        <v>0</v>
      </c>
      <c r="AR140" s="335">
        <f t="shared" si="38"/>
        <v>0</v>
      </c>
      <c r="AS140" s="335">
        <f t="shared" si="39"/>
        <v>0</v>
      </c>
      <c r="AT140" s="610" t="e">
        <f t="shared" si="40"/>
        <v>#DIV/0!</v>
      </c>
    </row>
    <row r="141" spans="2:46" ht="14.4" x14ac:dyDescent="0.55000000000000004">
      <c r="B141" s="3">
        <v>2042</v>
      </c>
      <c r="C141" s="707">
        <f>Compost!E84</f>
        <v>385.25288249947664</v>
      </c>
      <c r="D141" s="338">
        <f t="shared" si="15"/>
        <v>1</v>
      </c>
      <c r="F141" s="3">
        <v>2042</v>
      </c>
      <c r="G141" s="707">
        <f>'H&amp;C Recycling'!E84</f>
        <v>544.54175200640452</v>
      </c>
      <c r="H141" s="338">
        <f t="shared" si="16"/>
        <v>0.67497980188986428</v>
      </c>
      <c r="J141" s="3">
        <v>2042</v>
      </c>
      <c r="K141" s="335">
        <f t="shared" si="33"/>
        <v>950.57670006379135</v>
      </c>
      <c r="L141" s="338">
        <f t="shared" si="17"/>
        <v>0</v>
      </c>
      <c r="M141" s="338">
        <f t="shared" si="18"/>
        <v>0.27584403239489103</v>
      </c>
      <c r="N141" s="338">
        <f t="shared" si="19"/>
        <v>0.72415596760510892</v>
      </c>
      <c r="P141" s="3">
        <v>2042</v>
      </c>
      <c r="Q141" s="707">
        <f>Paper!F89</f>
        <v>453.76800000000003</v>
      </c>
      <c r="R141" s="334">
        <f t="shared" si="14"/>
        <v>688.36579001756627</v>
      </c>
      <c r="S141" s="707">
        <f>Paper!G89</f>
        <v>588.38584000000003</v>
      </c>
      <c r="V141" s="335">
        <f t="shared" si="20"/>
        <v>362.19086006379132</v>
      </c>
      <c r="W141" s="335">
        <f t="shared" si="21"/>
        <v>0</v>
      </c>
      <c r="X141" s="335">
        <f t="shared" si="22"/>
        <v>262.21091004622508</v>
      </c>
      <c r="Y141" s="335">
        <f t="shared" si="23"/>
        <v>99.979950017566239</v>
      </c>
      <c r="Z141" s="338">
        <f t="shared" si="24"/>
        <v>0</v>
      </c>
      <c r="AA141" s="338">
        <f t="shared" si="25"/>
        <v>0.72395783261908608</v>
      </c>
      <c r="AB141" s="338">
        <f t="shared" si="26"/>
        <v>0.27604216738091386</v>
      </c>
      <c r="AC141" s="338">
        <f t="shared" si="27"/>
        <v>0.80738333253379468</v>
      </c>
      <c r="AE141" s="346">
        <f>MIN('WTE Tonnes and Composition'!G95,V141)</f>
        <v>362.19086006379132</v>
      </c>
      <c r="AF141" s="335">
        <f t="shared" si="41"/>
        <v>0</v>
      </c>
      <c r="AG141" s="335">
        <f t="shared" si="42"/>
        <v>2.5696722744455696</v>
      </c>
      <c r="AH141" s="335">
        <f t="shared" si="43"/>
        <v>0.58540838122710082</v>
      </c>
      <c r="AI141" s="335">
        <f t="shared" si="35"/>
        <v>3.1550806556726703</v>
      </c>
      <c r="AK141" s="610">
        <f t="shared" si="28"/>
        <v>0</v>
      </c>
      <c r="AL141" s="338">
        <f t="shared" si="29"/>
        <v>0</v>
      </c>
      <c r="AM141" s="335">
        <f t="shared" si="30"/>
        <v>0</v>
      </c>
      <c r="AN141" s="335">
        <f t="shared" si="31"/>
        <v>0</v>
      </c>
      <c r="AO141" s="335">
        <f t="shared" si="32"/>
        <v>0</v>
      </c>
      <c r="AP141" s="335">
        <f t="shared" si="36"/>
        <v>0</v>
      </c>
      <c r="AQ141" s="335">
        <f t="shared" si="37"/>
        <v>0</v>
      </c>
      <c r="AR141" s="335">
        <f t="shared" si="38"/>
        <v>0</v>
      </c>
      <c r="AS141" s="335">
        <f t="shared" si="39"/>
        <v>0</v>
      </c>
      <c r="AT141" s="610" t="e">
        <f t="shared" si="40"/>
        <v>#DIV/0!</v>
      </c>
    </row>
    <row r="142" spans="2:46" ht="14.4" x14ac:dyDescent="0.55000000000000004">
      <c r="B142" s="3">
        <v>2043</v>
      </c>
      <c r="C142" s="707">
        <f>Compost!E85</f>
        <v>371.61086917726163</v>
      </c>
      <c r="D142" s="338">
        <f t="shared" si="15"/>
        <v>1</v>
      </c>
      <c r="F142" s="3">
        <v>2043</v>
      </c>
      <c r="G142" s="707">
        <f>'H&amp;C Recycling'!E85</f>
        <v>555.09526866201861</v>
      </c>
      <c r="H142" s="338">
        <f t="shared" si="16"/>
        <v>0.69535075064884344</v>
      </c>
      <c r="J142" s="3">
        <v>2043</v>
      </c>
      <c r="K142" s="335">
        <f t="shared" si="33"/>
        <v>945.33976789965152</v>
      </c>
      <c r="L142" s="338">
        <f t="shared" si="17"/>
        <v>0</v>
      </c>
      <c r="M142" s="338">
        <f t="shared" si="18"/>
        <v>0.2572620833613129</v>
      </c>
      <c r="N142" s="338">
        <f t="shared" si="19"/>
        <v>0.74273791663868716</v>
      </c>
      <c r="P142" s="3">
        <v>2043</v>
      </c>
      <c r="Q142" s="707">
        <f>Paper!F90</f>
        <v>465.95899999999995</v>
      </c>
      <c r="R142" s="334">
        <f t="shared" si="14"/>
        <v>702.13968972548719</v>
      </c>
      <c r="S142" s="707">
        <f>Paper!G90</f>
        <v>604.1935033333333</v>
      </c>
      <c r="V142" s="335">
        <f t="shared" si="20"/>
        <v>341.14626456631822</v>
      </c>
      <c r="W142" s="335">
        <f t="shared" si="21"/>
        <v>0</v>
      </c>
      <c r="X142" s="335">
        <f t="shared" si="22"/>
        <v>243.20007817416433</v>
      </c>
      <c r="Y142" s="335">
        <f t="shared" si="23"/>
        <v>97.946186392153891</v>
      </c>
      <c r="Z142" s="338">
        <f t="shared" si="24"/>
        <v>0</v>
      </c>
      <c r="AA142" s="338">
        <f t="shared" si="25"/>
        <v>0.71289093105953294</v>
      </c>
      <c r="AB142" s="338">
        <f t="shared" si="26"/>
        <v>0.28710906894046712</v>
      </c>
      <c r="AC142" s="338">
        <f t="shared" si="27"/>
        <v>0.8177682163025477</v>
      </c>
      <c r="AE142" s="346">
        <f>MIN('WTE Tonnes and Composition'!G96,V142)</f>
        <v>341.14626456631822</v>
      </c>
      <c r="AF142" s="335">
        <f t="shared" si="41"/>
        <v>0</v>
      </c>
      <c r="AG142" s="335">
        <f t="shared" si="42"/>
        <v>2.5303905527481607</v>
      </c>
      <c r="AH142" s="335">
        <f t="shared" si="43"/>
        <v>0.60887819016479749</v>
      </c>
      <c r="AI142" s="335">
        <f t="shared" si="35"/>
        <v>3.1392687429129582</v>
      </c>
      <c r="AK142" s="610">
        <f t="shared" si="28"/>
        <v>0</v>
      </c>
      <c r="AL142" s="338">
        <f t="shared" si="29"/>
        <v>0</v>
      </c>
      <c r="AM142" s="335">
        <f t="shared" si="30"/>
        <v>0</v>
      </c>
      <c r="AN142" s="335">
        <f t="shared" si="31"/>
        <v>0</v>
      </c>
      <c r="AO142" s="335">
        <f t="shared" si="32"/>
        <v>0</v>
      </c>
      <c r="AP142" s="335">
        <f t="shared" si="36"/>
        <v>0</v>
      </c>
      <c r="AQ142" s="335">
        <f t="shared" si="37"/>
        <v>0</v>
      </c>
      <c r="AR142" s="335">
        <f t="shared" si="38"/>
        <v>0</v>
      </c>
      <c r="AS142" s="335">
        <f t="shared" si="39"/>
        <v>0</v>
      </c>
      <c r="AT142" s="610" t="e">
        <f t="shared" si="40"/>
        <v>#DIV/0!</v>
      </c>
    </row>
    <row r="143" spans="2:46" ht="14.4" x14ac:dyDescent="0.55000000000000004">
      <c r="B143" s="3">
        <v>2044</v>
      </c>
      <c r="C143" s="707">
        <f>Compost!E86</f>
        <v>359.25059701276848</v>
      </c>
      <c r="D143" s="338">
        <f t="shared" si="15"/>
        <v>1</v>
      </c>
      <c r="F143" s="3">
        <v>2044</v>
      </c>
      <c r="G143" s="707">
        <f>'H&amp;C Recycling'!E86</f>
        <v>565.61978887730038</v>
      </c>
      <c r="H143" s="338">
        <f t="shared" si="16"/>
        <v>0.71702610072699458</v>
      </c>
      <c r="J143" s="3">
        <v>2044</v>
      </c>
      <c r="K143" s="335">
        <f t="shared" si="33"/>
        <v>939.28443218286702</v>
      </c>
      <c r="L143" s="338">
        <f t="shared" si="17"/>
        <v>0</v>
      </c>
      <c r="M143" s="338">
        <f t="shared" si="18"/>
        <v>0.23765058374847572</v>
      </c>
      <c r="N143" s="338">
        <f t="shared" si="19"/>
        <v>0.7623494162515243</v>
      </c>
      <c r="P143" s="3">
        <v>2044</v>
      </c>
      <c r="Q143" s="707">
        <f>Paper!F91</f>
        <v>478.58800000000002</v>
      </c>
      <c r="R143" s="334">
        <f t="shared" si="14"/>
        <v>716.06293856875311</v>
      </c>
      <c r="S143" s="707">
        <f>Paper!G91</f>
        <v>620.5691066666667</v>
      </c>
      <c r="V143" s="335">
        <f t="shared" si="20"/>
        <v>318.71532551620032</v>
      </c>
      <c r="W143" s="335">
        <f t="shared" si="21"/>
        <v>0</v>
      </c>
      <c r="X143" s="335">
        <f t="shared" si="22"/>
        <v>223.22149361411391</v>
      </c>
      <c r="Y143" s="335">
        <f t="shared" si="23"/>
        <v>95.493831902086413</v>
      </c>
      <c r="Z143" s="338">
        <f t="shared" si="24"/>
        <v>0</v>
      </c>
      <c r="AA143" s="338">
        <f t="shared" si="25"/>
        <v>0.70037891416918241</v>
      </c>
      <c r="AB143" s="338">
        <f t="shared" si="26"/>
        <v>0.29962108583081754</v>
      </c>
      <c r="AC143" s="338">
        <f t="shared" si="27"/>
        <v>0.82902958358057877</v>
      </c>
      <c r="AE143" s="346">
        <f>MIN('WTE Tonnes and Composition'!G97,V143)</f>
        <v>318.71532551620032</v>
      </c>
      <c r="AF143" s="335">
        <f t="shared" si="41"/>
        <v>0</v>
      </c>
      <c r="AG143" s="335">
        <f t="shared" si="42"/>
        <v>2.4859794262268662</v>
      </c>
      <c r="AH143" s="335">
        <f t="shared" si="43"/>
        <v>0.63541268532241169</v>
      </c>
      <c r="AI143" s="335">
        <f t="shared" si="35"/>
        <v>3.121392111549278</v>
      </c>
      <c r="AK143" s="610">
        <f t="shared" si="28"/>
        <v>0</v>
      </c>
      <c r="AL143" s="338">
        <f t="shared" si="29"/>
        <v>0</v>
      </c>
      <c r="AM143" s="335">
        <f t="shared" si="30"/>
        <v>0</v>
      </c>
      <c r="AN143" s="335">
        <f t="shared" si="31"/>
        <v>0</v>
      </c>
      <c r="AO143" s="335">
        <f t="shared" si="32"/>
        <v>0</v>
      </c>
      <c r="AP143" s="335">
        <f t="shared" si="36"/>
        <v>0</v>
      </c>
      <c r="AQ143" s="335">
        <f t="shared" si="37"/>
        <v>0</v>
      </c>
      <c r="AR143" s="335">
        <f t="shared" si="38"/>
        <v>0</v>
      </c>
      <c r="AS143" s="335">
        <f t="shared" si="39"/>
        <v>0</v>
      </c>
      <c r="AT143" s="610" t="e">
        <f t="shared" si="40"/>
        <v>#DIV/0!</v>
      </c>
    </row>
    <row r="144" spans="2:46" ht="14.4" x14ac:dyDescent="0.55000000000000004">
      <c r="B144" s="3">
        <v>2045</v>
      </c>
      <c r="C144" s="707">
        <f>Compost!E87</f>
        <v>348.26868937379083</v>
      </c>
      <c r="D144" s="338">
        <f t="shared" si="15"/>
        <v>1</v>
      </c>
      <c r="F144" s="3">
        <v>2045</v>
      </c>
      <c r="G144" s="707">
        <f>'H&amp;C Recycling'!E87</f>
        <v>576.1333960315178</v>
      </c>
      <c r="H144" s="338">
        <f t="shared" si="16"/>
        <v>0.74013333121219682</v>
      </c>
      <c r="J144" s="3">
        <v>2045</v>
      </c>
      <c r="K144" s="335">
        <f t="shared" si="33"/>
        <v>932.44513711283616</v>
      </c>
      <c r="L144" s="338">
        <f t="shared" si="17"/>
        <v>0</v>
      </c>
      <c r="M144" s="338">
        <f t="shared" si="18"/>
        <v>0.21694037093288024</v>
      </c>
      <c r="N144" s="338">
        <f t="shared" si="19"/>
        <v>0.78305962906711979</v>
      </c>
      <c r="P144" s="3">
        <v>2045</v>
      </c>
      <c r="Q144" s="707">
        <f>Paper!F92</f>
        <v>491.65499999999997</v>
      </c>
      <c r="R144" s="334">
        <f t="shared" si="14"/>
        <v>730.16014319301712</v>
      </c>
      <c r="S144" s="707">
        <f>Paper!G92</f>
        <v>637.51264999999989</v>
      </c>
      <c r="V144" s="335">
        <f t="shared" si="20"/>
        <v>294.93248711283627</v>
      </c>
      <c r="W144" s="335">
        <f t="shared" si="21"/>
        <v>0</v>
      </c>
      <c r="X144" s="335">
        <f t="shared" si="22"/>
        <v>202.28499391981904</v>
      </c>
      <c r="Y144" s="335">
        <f t="shared" si="23"/>
        <v>92.647493193017226</v>
      </c>
      <c r="Z144" s="338">
        <f t="shared" si="24"/>
        <v>0</v>
      </c>
      <c r="AA144" s="338">
        <f t="shared" si="25"/>
        <v>0.68586880984198995</v>
      </c>
      <c r="AB144" s="338">
        <f t="shared" si="26"/>
        <v>0.31413119015801005</v>
      </c>
      <c r="AC144" s="338">
        <f t="shared" si="27"/>
        <v>0.84116491462724297</v>
      </c>
      <c r="AE144" s="346">
        <f>MIN('WTE Tonnes and Composition'!G98,V144)</f>
        <v>294.93248711283627</v>
      </c>
      <c r="AF144" s="335">
        <f t="shared" si="41"/>
        <v>0</v>
      </c>
      <c r="AG144" s="335">
        <f t="shared" si="42"/>
        <v>2.434476132652422</v>
      </c>
      <c r="AH144" s="335">
        <f t="shared" si="43"/>
        <v>0.66618456617747213</v>
      </c>
      <c r="AI144" s="335">
        <f t="shared" si="35"/>
        <v>3.1006606988298939</v>
      </c>
      <c r="AK144" s="610">
        <f t="shared" si="28"/>
        <v>0</v>
      </c>
      <c r="AL144" s="338">
        <f t="shared" si="29"/>
        <v>0</v>
      </c>
      <c r="AM144" s="335">
        <f t="shared" si="30"/>
        <v>0</v>
      </c>
      <c r="AN144" s="335">
        <f t="shared" si="31"/>
        <v>0</v>
      </c>
      <c r="AO144" s="335">
        <f t="shared" si="32"/>
        <v>0</v>
      </c>
      <c r="AP144" s="335">
        <f t="shared" si="36"/>
        <v>0</v>
      </c>
      <c r="AQ144" s="335">
        <f t="shared" si="37"/>
        <v>0</v>
      </c>
      <c r="AR144" s="335">
        <f t="shared" si="38"/>
        <v>0</v>
      </c>
      <c r="AS144" s="335">
        <f t="shared" si="39"/>
        <v>0</v>
      </c>
      <c r="AT144" s="610" t="e">
        <f t="shared" si="40"/>
        <v>#DIV/0!</v>
      </c>
    </row>
    <row r="145" spans="2:46" ht="14.4" x14ac:dyDescent="0.55000000000000004">
      <c r="B145" s="3">
        <v>2046</v>
      </c>
      <c r="C145" s="707">
        <f>Compost!E88</f>
        <v>338.50313646090456</v>
      </c>
      <c r="D145" s="338">
        <f t="shared" si="15"/>
        <v>1</v>
      </c>
      <c r="F145" s="3">
        <v>2046</v>
      </c>
      <c r="G145" s="707">
        <f>'H&amp;C Recycling'!E88</f>
        <v>586.5598238585759</v>
      </c>
      <c r="H145" s="338">
        <f t="shared" si="16"/>
        <v>0.76484679004396983</v>
      </c>
      <c r="J145" s="3">
        <v>2046</v>
      </c>
      <c r="K145" s="335">
        <f t="shared" si="33"/>
        <v>924.67445039171378</v>
      </c>
      <c r="L145" s="338">
        <f t="shared" si="17"/>
        <v>0</v>
      </c>
      <c r="M145" s="338">
        <f t="shared" si="18"/>
        <v>0.19502932521026661</v>
      </c>
      <c r="N145" s="338">
        <f t="shared" si="19"/>
        <v>0.80497067478973339</v>
      </c>
      <c r="P145" s="3">
        <v>2046</v>
      </c>
      <c r="Q145" s="707">
        <f>Paper!F93</f>
        <v>505.15999999999997</v>
      </c>
      <c r="R145" s="334">
        <f t="shared" si="14"/>
        <v>744.3358162926437</v>
      </c>
      <c r="S145" s="707">
        <f>Paper!G93</f>
        <v>655.02413333333322</v>
      </c>
      <c r="V145" s="335">
        <f t="shared" si="20"/>
        <v>269.65031705838055</v>
      </c>
      <c r="W145" s="335">
        <f t="shared" si="21"/>
        <v>0</v>
      </c>
      <c r="X145" s="335">
        <f t="shared" si="22"/>
        <v>180.33863409907008</v>
      </c>
      <c r="Y145" s="335">
        <f t="shared" si="23"/>
        <v>89.311682959310474</v>
      </c>
      <c r="Z145" s="338">
        <f t="shared" si="24"/>
        <v>0</v>
      </c>
      <c r="AA145" s="338">
        <f t="shared" si="25"/>
        <v>0.66878702783066235</v>
      </c>
      <c r="AB145" s="338">
        <f t="shared" si="26"/>
        <v>0.33121297216933765</v>
      </c>
      <c r="AC145" s="338">
        <f t="shared" si="27"/>
        <v>0.85422238016221752</v>
      </c>
      <c r="AE145" s="346">
        <f>MIN('WTE Tonnes and Composition'!G99,V145)</f>
        <v>269.65031705838055</v>
      </c>
      <c r="AF145" s="335">
        <f t="shared" si="41"/>
        <v>0</v>
      </c>
      <c r="AG145" s="335">
        <f t="shared" si="42"/>
        <v>2.3738447261603719</v>
      </c>
      <c r="AH145" s="335">
        <f t="shared" si="43"/>
        <v>0.70241025752964381</v>
      </c>
      <c r="AI145" s="335">
        <f t="shared" si="35"/>
        <v>3.0762549836900157</v>
      </c>
      <c r="AK145" s="610">
        <f t="shared" si="28"/>
        <v>0</v>
      </c>
      <c r="AL145" s="338">
        <f t="shared" si="29"/>
        <v>0</v>
      </c>
      <c r="AM145" s="335">
        <f t="shared" si="30"/>
        <v>0</v>
      </c>
      <c r="AN145" s="335">
        <f t="shared" si="31"/>
        <v>0</v>
      </c>
      <c r="AO145" s="335">
        <f t="shared" si="32"/>
        <v>0</v>
      </c>
      <c r="AP145" s="335">
        <f t="shared" si="36"/>
        <v>0</v>
      </c>
      <c r="AQ145" s="335">
        <f t="shared" si="37"/>
        <v>0</v>
      </c>
      <c r="AR145" s="335">
        <f t="shared" si="38"/>
        <v>0</v>
      </c>
      <c r="AS145" s="335">
        <f t="shared" si="39"/>
        <v>0</v>
      </c>
      <c r="AT145" s="610" t="e">
        <f>AS145/AK145</f>
        <v>#DIV/0!</v>
      </c>
    </row>
    <row r="146" spans="2:46" ht="14.4" x14ac:dyDescent="0.55000000000000004">
      <c r="B146" s="3">
        <v>2047</v>
      </c>
      <c r="C146" s="707">
        <f>Compost!E89</f>
        <v>330.00488056714016</v>
      </c>
      <c r="D146" s="338">
        <f t="shared" si="15"/>
        <v>1</v>
      </c>
      <c r="F146" s="3">
        <v>2047</v>
      </c>
      <c r="G146" s="707">
        <f>'H&amp;C Recycling'!E89</f>
        <v>596.90193740437724</v>
      </c>
      <c r="H146" s="338">
        <f t="shared" si="16"/>
        <v>0.79134565139089053</v>
      </c>
      <c r="J146" s="3">
        <v>2047</v>
      </c>
      <c r="K146" s="335">
        <f t="shared" si="33"/>
        <v>915.97990651325597</v>
      </c>
      <c r="L146" s="338">
        <f t="shared" si="17"/>
        <v>0</v>
      </c>
      <c r="M146" s="338">
        <f t="shared" si="18"/>
        <v>0.17182179901373279</v>
      </c>
      <c r="N146" s="338">
        <f t="shared" si="19"/>
        <v>0.82817820098626715</v>
      </c>
      <c r="P146" s="3">
        <v>2047</v>
      </c>
      <c r="Q146" s="707">
        <f>Paper!F94</f>
        <v>519.10299999999995</v>
      </c>
      <c r="R146" s="334">
        <f t="shared" si="14"/>
        <v>758.59459111571755</v>
      </c>
      <c r="S146" s="707">
        <f>Paper!G94</f>
        <v>673.10355666666658</v>
      </c>
      <c r="V146" s="335">
        <f t="shared" si="20"/>
        <v>242.87634984658939</v>
      </c>
      <c r="W146" s="335">
        <f t="shared" si="21"/>
        <v>0</v>
      </c>
      <c r="X146" s="335">
        <f t="shared" si="22"/>
        <v>157.38531539753842</v>
      </c>
      <c r="Y146" s="335">
        <f t="shared" si="23"/>
        <v>85.491034449050971</v>
      </c>
      <c r="Z146" s="338">
        <f t="shared" si="24"/>
        <v>0</v>
      </c>
      <c r="AA146" s="338">
        <f t="shared" si="25"/>
        <v>0.64800593181241983</v>
      </c>
      <c r="AB146" s="338">
        <f t="shared" si="26"/>
        <v>0.35199406818758022</v>
      </c>
      <c r="AC146" s="338">
        <f t="shared" si="27"/>
        <v>0.86820874738544129</v>
      </c>
      <c r="AE146" s="346">
        <f>MIN('WTE Tonnes and Composition'!G100,V146)</f>
        <v>242.87634984658939</v>
      </c>
      <c r="AF146" s="335">
        <f t="shared" si="41"/>
        <v>0</v>
      </c>
      <c r="AG146" s="335">
        <f t="shared" si="42"/>
        <v>2.3000826866262734</v>
      </c>
      <c r="AH146" s="335">
        <f t="shared" si="43"/>
        <v>0.74648116124551389</v>
      </c>
      <c r="AI146" s="335">
        <f t="shared" si="35"/>
        <v>3.0465638478717874</v>
      </c>
      <c r="AK146" s="610">
        <f t="shared" si="28"/>
        <v>0</v>
      </c>
      <c r="AL146" s="338">
        <f t="shared" si="29"/>
        <v>0</v>
      </c>
      <c r="AM146" s="335">
        <f t="shared" si="30"/>
        <v>0</v>
      </c>
      <c r="AN146" s="335">
        <f t="shared" si="31"/>
        <v>0</v>
      </c>
      <c r="AO146" s="335">
        <f t="shared" si="32"/>
        <v>0</v>
      </c>
      <c r="AP146" s="335">
        <f t="shared" si="36"/>
        <v>0</v>
      </c>
      <c r="AQ146" s="335">
        <f t="shared" si="37"/>
        <v>0</v>
      </c>
      <c r="AR146" s="335">
        <f t="shared" si="38"/>
        <v>0</v>
      </c>
      <c r="AS146" s="335">
        <f t="shared" si="39"/>
        <v>0</v>
      </c>
      <c r="AT146" s="610" t="e">
        <f t="shared" si="40"/>
        <v>#DIV/0!</v>
      </c>
    </row>
    <row r="147" spans="2:46" ht="14.4" x14ac:dyDescent="0.55000000000000004">
      <c r="B147" s="3">
        <v>2048</v>
      </c>
      <c r="C147" s="707">
        <f>Compost!E90</f>
        <v>322.84362476899452</v>
      </c>
      <c r="D147" s="338">
        <f t="shared" si="15"/>
        <v>1</v>
      </c>
      <c r="F147" s="3">
        <v>2048</v>
      </c>
      <c r="G147" s="707">
        <f>'H&amp;C Recycling'!E90</f>
        <v>607.16933966205306</v>
      </c>
      <c r="H147" s="338">
        <f t="shared" si="16"/>
        <v>0.81983333037683748</v>
      </c>
      <c r="J147" s="3">
        <v>2048</v>
      </c>
      <c r="K147" s="335">
        <f t="shared" si="33"/>
        <v>906.38129042611308</v>
      </c>
      <c r="L147" s="338">
        <f t="shared" si="17"/>
        <v>0</v>
      </c>
      <c r="M147" s="338">
        <f t="shared" si="18"/>
        <v>0.14721354830142686</v>
      </c>
      <c r="N147" s="338">
        <f t="shared" si="19"/>
        <v>0.85278645169857314</v>
      </c>
      <c r="P147" s="3">
        <v>2048</v>
      </c>
      <c r="Q147" s="707">
        <f>Paper!F95</f>
        <v>533.48399999999992</v>
      </c>
      <c r="R147" s="334">
        <f t="shared" si="14"/>
        <v>772.94968454845889</v>
      </c>
      <c r="S147" s="707">
        <f>Paper!G95</f>
        <v>691.75091999999984</v>
      </c>
      <c r="V147" s="335">
        <f t="shared" si="20"/>
        <v>214.63037042611325</v>
      </c>
      <c r="W147" s="335">
        <f t="shared" si="21"/>
        <v>0</v>
      </c>
      <c r="X147" s="335">
        <f t="shared" si="22"/>
        <v>133.43160587765419</v>
      </c>
      <c r="Y147" s="335">
        <f t="shared" si="23"/>
        <v>81.198764548459053</v>
      </c>
      <c r="Z147" s="338">
        <f t="shared" si="24"/>
        <v>0</v>
      </c>
      <c r="AA147" s="338">
        <f t="shared" si="25"/>
        <v>0.62168091874764841</v>
      </c>
      <c r="AB147" s="338">
        <f t="shared" si="26"/>
        <v>0.37831908125235159</v>
      </c>
      <c r="AC147" s="338">
        <f t="shared" si="27"/>
        <v>0.883124024234759</v>
      </c>
      <c r="AE147" s="346">
        <f>MIN('WTE Tonnes and Composition'!G101,V147)</f>
        <v>214.63037042611325</v>
      </c>
      <c r="AF147" s="335">
        <f t="shared" si="41"/>
        <v>0</v>
      </c>
      <c r="AG147" s="335">
        <f t="shared" si="42"/>
        <v>2.2066426364617038</v>
      </c>
      <c r="AH147" s="335">
        <f t="shared" si="43"/>
        <v>0.80230916546040765</v>
      </c>
      <c r="AI147" s="335">
        <f t="shared" si="35"/>
        <v>3.0089518019221115</v>
      </c>
      <c r="AK147" s="610">
        <f t="shared" si="28"/>
        <v>0</v>
      </c>
      <c r="AL147" s="338">
        <f t="shared" si="29"/>
        <v>0</v>
      </c>
      <c r="AM147" s="335">
        <f t="shared" si="30"/>
        <v>0</v>
      </c>
      <c r="AN147" s="335">
        <f t="shared" si="31"/>
        <v>0</v>
      </c>
      <c r="AO147" s="335">
        <f t="shared" si="32"/>
        <v>0</v>
      </c>
      <c r="AP147" s="335">
        <f t="shared" si="36"/>
        <v>0</v>
      </c>
      <c r="AQ147" s="335">
        <f t="shared" si="37"/>
        <v>0</v>
      </c>
      <c r="AR147" s="335">
        <f t="shared" si="38"/>
        <v>0</v>
      </c>
      <c r="AS147" s="335">
        <f t="shared" si="39"/>
        <v>0</v>
      </c>
      <c r="AT147" s="610" t="e">
        <f t="shared" si="40"/>
        <v>#DIV/0!</v>
      </c>
    </row>
    <row r="148" spans="2:46" ht="14.4" x14ac:dyDescent="0.55000000000000004">
      <c r="B148" s="3">
        <v>2049</v>
      </c>
      <c r="C148" s="707">
        <f>Compost!E91</f>
        <v>317.05227091352583</v>
      </c>
      <c r="D148" s="338">
        <f t="shared" si="15"/>
        <v>1</v>
      </c>
      <c r="F148" s="3">
        <v>2049</v>
      </c>
      <c r="G148" s="707">
        <f>'H&amp;C Recycling'!E91</f>
        <v>617.35853831596739</v>
      </c>
      <c r="H148" s="338">
        <f t="shared" si="16"/>
        <v>0.85055085633108296</v>
      </c>
      <c r="J148" s="3">
        <v>2049</v>
      </c>
      <c r="K148" s="335">
        <f t="shared" si="33"/>
        <v>895.87248749345883</v>
      </c>
      <c r="L148" s="338">
        <f t="shared" si="17"/>
        <v>0</v>
      </c>
      <c r="M148" s="338">
        <f t="shared" si="18"/>
        <v>0.12108334337186145</v>
      </c>
      <c r="N148" s="338">
        <f t="shared" si="19"/>
        <v>0.87891665662813856</v>
      </c>
      <c r="P148" s="3">
        <v>2049</v>
      </c>
      <c r="Q148" s="707">
        <f>Paper!F96</f>
        <v>548.303</v>
      </c>
      <c r="R148" s="334">
        <f t="shared" si="14"/>
        <v>787.3972514728847</v>
      </c>
      <c r="S148" s="707">
        <f>Paper!G96</f>
        <v>710.96622333333335</v>
      </c>
      <c r="V148" s="335">
        <f t="shared" si="20"/>
        <v>184.90626416012549</v>
      </c>
      <c r="W148" s="335">
        <f t="shared" si="21"/>
        <v>0</v>
      </c>
      <c r="X148" s="335">
        <f t="shared" si="22"/>
        <v>108.47523602057413</v>
      </c>
      <c r="Y148" s="335">
        <f t="shared" si="23"/>
        <v>76.431028139551358</v>
      </c>
      <c r="Z148" s="338">
        <f t="shared" si="24"/>
        <v>0</v>
      </c>
      <c r="AA148" s="338">
        <f t="shared" si="25"/>
        <v>0.58664987102133292</v>
      </c>
      <c r="AB148" s="338">
        <f t="shared" si="26"/>
        <v>0.41335012897866708</v>
      </c>
      <c r="AC148" s="338">
        <f t="shared" si="27"/>
        <v>0.89897396512813477</v>
      </c>
      <c r="AE148" s="346">
        <f>MIN('WTE Tonnes and Composition'!G102,V148)</f>
        <v>184.90626416012549</v>
      </c>
      <c r="AF148" s="335">
        <f t="shared" si="41"/>
        <v>0</v>
      </c>
      <c r="AG148" s="335">
        <f t="shared" si="42"/>
        <v>2.0823007093063195</v>
      </c>
      <c r="AH148" s="335">
        <f t="shared" si="43"/>
        <v>0.87660023894648542</v>
      </c>
      <c r="AI148" s="335">
        <f t="shared" si="35"/>
        <v>2.958900948252805</v>
      </c>
      <c r="AK148" s="610">
        <f t="shared" si="28"/>
        <v>0</v>
      </c>
      <c r="AL148" s="338">
        <f t="shared" si="29"/>
        <v>0</v>
      </c>
      <c r="AM148" s="335">
        <f t="shared" si="30"/>
        <v>0</v>
      </c>
      <c r="AN148" s="335">
        <f t="shared" si="31"/>
        <v>0</v>
      </c>
      <c r="AO148" s="335">
        <f t="shared" si="32"/>
        <v>0</v>
      </c>
      <c r="AP148" s="335">
        <f t="shared" si="36"/>
        <v>0</v>
      </c>
      <c r="AQ148" s="335">
        <f t="shared" si="37"/>
        <v>0</v>
      </c>
      <c r="AR148" s="335">
        <f t="shared" si="38"/>
        <v>0</v>
      </c>
      <c r="AS148" s="335">
        <f t="shared" si="39"/>
        <v>0</v>
      </c>
      <c r="AT148" s="610" t="e">
        <f t="shared" si="40"/>
        <v>#DIV/0!</v>
      </c>
    </row>
    <row r="149" spans="2:46" ht="14.4" x14ac:dyDescent="0.55000000000000004">
      <c r="B149" s="3">
        <v>2050</v>
      </c>
      <c r="C149" s="707">
        <f>Compost!E92</f>
        <v>312.34141199002676</v>
      </c>
      <c r="D149" s="338">
        <f t="shared" si="15"/>
        <v>1</v>
      </c>
      <c r="F149" s="3">
        <v>2050</v>
      </c>
      <c r="G149" s="707">
        <f>'H&amp;C Recycling'!E92</f>
        <v>627.34172982917778</v>
      </c>
      <c r="H149" s="338">
        <f t="shared" si="16"/>
        <v>0.88384151907678199</v>
      </c>
      <c r="J149" s="3">
        <v>2050</v>
      </c>
      <c r="K149" s="335">
        <f t="shared" si="33"/>
        <v>884.22471719358157</v>
      </c>
      <c r="L149" s="338">
        <f t="shared" si="17"/>
        <v>0</v>
      </c>
      <c r="M149" s="338">
        <f t="shared" si="18"/>
        <v>9.3243389275936339E-2</v>
      </c>
      <c r="N149" s="338">
        <f t="shared" si="19"/>
        <v>0.90675661072406366</v>
      </c>
      <c r="P149" s="3">
        <v>2050</v>
      </c>
      <c r="Q149" s="707">
        <f>Paper!F97</f>
        <v>563.55999999999995</v>
      </c>
      <c r="R149" s="334">
        <f t="shared" si="14"/>
        <v>801.77660768089572</v>
      </c>
      <c r="S149" s="707">
        <f>Paper!G97</f>
        <v>730.74946666666654</v>
      </c>
      <c r="V149" s="335">
        <f t="shared" si="20"/>
        <v>153.47525052691503</v>
      </c>
      <c r="W149" s="335">
        <f t="shared" si="21"/>
        <v>0</v>
      </c>
      <c r="X149" s="335">
        <f t="shared" si="22"/>
        <v>82.448109512685846</v>
      </c>
      <c r="Y149" s="335">
        <f t="shared" si="23"/>
        <v>71.027141014229187</v>
      </c>
      <c r="Z149" s="338">
        <f t="shared" si="24"/>
        <v>0</v>
      </c>
      <c r="AA149" s="338">
        <f t="shared" si="25"/>
        <v>0.53720785097025714</v>
      </c>
      <c r="AB149" s="338">
        <f t="shared" si="26"/>
        <v>0.46279214902974286</v>
      </c>
      <c r="AC149" s="338">
        <f t="shared" si="27"/>
        <v>0.91585361630604223</v>
      </c>
      <c r="AE149" s="346">
        <f>MIN('WTE Tonnes and Composition'!G103,V149)</f>
        <v>153.47525052691503</v>
      </c>
      <c r="AF149" s="335">
        <f t="shared" si="41"/>
        <v>0</v>
      </c>
      <c r="AG149" s="335">
        <f t="shared" si="42"/>
        <v>1.9068073554210536</v>
      </c>
      <c r="AH149" s="335">
        <f t="shared" si="43"/>
        <v>0.98145296198266663</v>
      </c>
      <c r="AI149" s="335">
        <f t="shared" si="35"/>
        <v>2.88826031740372</v>
      </c>
      <c r="AK149" s="610">
        <f t="shared" si="28"/>
        <v>0</v>
      </c>
      <c r="AL149" s="338">
        <f t="shared" si="29"/>
        <v>0</v>
      </c>
      <c r="AM149" s="335">
        <f t="shared" si="30"/>
        <v>0</v>
      </c>
      <c r="AN149" s="335">
        <f t="shared" si="31"/>
        <v>0</v>
      </c>
      <c r="AO149" s="335">
        <f t="shared" si="32"/>
        <v>0</v>
      </c>
      <c r="AP149" s="335">
        <f t="shared" si="36"/>
        <v>0</v>
      </c>
      <c r="AQ149" s="335">
        <f t="shared" si="37"/>
        <v>0</v>
      </c>
      <c r="AR149" s="335">
        <f t="shared" si="38"/>
        <v>0</v>
      </c>
      <c r="AS149" s="335">
        <f t="shared" si="39"/>
        <v>0</v>
      </c>
      <c r="AT149" s="610" t="e">
        <f t="shared" si="40"/>
        <v>#DIV/0!</v>
      </c>
    </row>
    <row r="150" spans="2:46" ht="14.4" x14ac:dyDescent="0.55000000000000004">
      <c r="B150" s="3">
        <v>2051</v>
      </c>
      <c r="C150" s="707">
        <f>Compost!E93</f>
        <v>340.1161243734029</v>
      </c>
      <c r="D150" s="338">
        <f t="shared" si="15"/>
        <v>1</v>
      </c>
      <c r="F150" s="3">
        <v>2051</v>
      </c>
      <c r="G150" s="707">
        <f>'H&amp;C Recycling'!E93</f>
        <v>629.74395589812468</v>
      </c>
      <c r="H150" s="338">
        <f t="shared" si="16"/>
        <v>0.90735332693909088</v>
      </c>
      <c r="J150" s="3">
        <v>2051</v>
      </c>
      <c r="K150" s="335">
        <f t="shared" si="33"/>
        <v>880.8568025195683</v>
      </c>
      <c r="L150" s="338">
        <f t="shared" si="17"/>
        <v>0</v>
      </c>
      <c r="M150" s="338">
        <f t="shared" si="18"/>
        <v>7.2998189324500071E-2</v>
      </c>
      <c r="N150" s="338">
        <f t="shared" si="19"/>
        <v>0.92700181067549992</v>
      </c>
      <c r="P150" s="3">
        <v>2051</v>
      </c>
      <c r="Q150" s="707">
        <f>Paper!F98</f>
        <v>579.255</v>
      </c>
      <c r="R150" s="334">
        <f t="shared" si="14"/>
        <v>816.55585088147109</v>
      </c>
      <c r="S150" s="707">
        <f>Paper!G98</f>
        <v>751.10064999999997</v>
      </c>
      <c r="V150" s="335">
        <f t="shared" si="20"/>
        <v>129.75615251956833</v>
      </c>
      <c r="W150" s="335">
        <f t="shared" si="21"/>
        <v>0</v>
      </c>
      <c r="X150" s="335">
        <f t="shared" si="22"/>
        <v>64.300951638097217</v>
      </c>
      <c r="Y150" s="335">
        <f t="shared" si="23"/>
        <v>65.455200881471114</v>
      </c>
      <c r="Z150" s="338">
        <f t="shared" si="24"/>
        <v>0</v>
      </c>
      <c r="AA150" s="338">
        <f t="shared" si="25"/>
        <v>0.49555223694229134</v>
      </c>
      <c r="AB150" s="338">
        <f t="shared" si="26"/>
        <v>0.50444776305770866</v>
      </c>
      <c r="AC150" s="338">
        <f t="shared" si="27"/>
        <v>0.92988870759968378</v>
      </c>
      <c r="AE150" s="346">
        <f>MIN('WTE Tonnes and Composition'!G104,V150)</f>
        <v>129.75615251956833</v>
      </c>
      <c r="AF150" s="335">
        <f t="shared" si="41"/>
        <v>0</v>
      </c>
      <c r="AG150" s="335">
        <f t="shared" si="42"/>
        <v>1.7589516770655576</v>
      </c>
      <c r="AH150" s="335">
        <f t="shared" si="43"/>
        <v>1.0697928913800565</v>
      </c>
      <c r="AI150" s="335">
        <f t="shared" si="35"/>
        <v>2.8287445684456141</v>
      </c>
      <c r="AK150" s="610">
        <f t="shared" si="28"/>
        <v>0</v>
      </c>
      <c r="AL150" s="338">
        <f t="shared" si="29"/>
        <v>0</v>
      </c>
      <c r="AM150" s="335">
        <f t="shared" si="30"/>
        <v>0</v>
      </c>
      <c r="AN150" s="335">
        <f t="shared" si="31"/>
        <v>0</v>
      </c>
      <c r="AO150" s="335">
        <f t="shared" si="32"/>
        <v>0</v>
      </c>
      <c r="AP150" s="335">
        <f t="shared" si="36"/>
        <v>0</v>
      </c>
      <c r="AQ150" s="335">
        <f t="shared" si="37"/>
        <v>0</v>
      </c>
      <c r="AR150" s="335">
        <f t="shared" si="38"/>
        <v>0</v>
      </c>
      <c r="AS150" s="335">
        <f t="shared" si="39"/>
        <v>0</v>
      </c>
      <c r="AT150" s="610" t="e">
        <f t="shared" si="40"/>
        <v>#DIV/0!</v>
      </c>
    </row>
    <row r="151" spans="2:46" ht="14.4" x14ac:dyDescent="0.55000000000000004">
      <c r="B151" s="3">
        <v>2052</v>
      </c>
      <c r="C151" s="707">
        <f>Compost!E94</f>
        <v>369.05034421433606</v>
      </c>
      <c r="D151" s="338">
        <f t="shared" si="15"/>
        <v>1</v>
      </c>
      <c r="F151" s="3">
        <v>2052</v>
      </c>
      <c r="G151" s="707">
        <f>'H&amp;C Recycling'!E94</f>
        <v>631.88057150980183</v>
      </c>
      <c r="H151" s="338">
        <f t="shared" si="16"/>
        <v>0.93415522053530697</v>
      </c>
      <c r="J151" s="3">
        <v>2052</v>
      </c>
      <c r="K151" s="335">
        <f t="shared" si="33"/>
        <v>875.79971634215883</v>
      </c>
      <c r="L151" s="338">
        <f t="shared" si="17"/>
        <v>0</v>
      </c>
      <c r="M151" s="338">
        <f t="shared" si="18"/>
        <v>5.0854864827450441E-2</v>
      </c>
      <c r="N151" s="338">
        <f t="shared" si="19"/>
        <v>0.9491451351725495</v>
      </c>
      <c r="P151" s="3">
        <v>2052</v>
      </c>
      <c r="Q151" s="707">
        <f>Paper!F99</f>
        <v>595.38800000000003</v>
      </c>
      <c r="R151" s="334">
        <f t="shared" si="14"/>
        <v>831.2610401516589</v>
      </c>
      <c r="S151" s="707">
        <f>Paper!G99</f>
        <v>772.01977333333332</v>
      </c>
      <c r="V151" s="335">
        <f t="shared" si="20"/>
        <v>103.77994300882551</v>
      </c>
      <c r="W151" s="335">
        <f t="shared" si="21"/>
        <v>0</v>
      </c>
      <c r="X151" s="335">
        <f t="shared" si="22"/>
        <v>44.538676190499928</v>
      </c>
      <c r="Y151" s="335">
        <f t="shared" si="23"/>
        <v>59.241266818325585</v>
      </c>
      <c r="Z151" s="338">
        <f t="shared" si="24"/>
        <v>0</v>
      </c>
      <c r="AA151" s="338">
        <f t="shared" si="25"/>
        <v>0.42916458517145584</v>
      </c>
      <c r="AB151" s="338">
        <f t="shared" si="26"/>
        <v>0.57083541482854416</v>
      </c>
      <c r="AC151" s="338">
        <f t="shared" si="27"/>
        <v>0.94470173756658782</v>
      </c>
      <c r="AE151" s="346">
        <f>MIN('WTE Tonnes and Composition'!G105,V151)</f>
        <v>103.77994300882551</v>
      </c>
      <c r="AF151" s="335">
        <f t="shared" si="41"/>
        <v>0</v>
      </c>
      <c r="AG151" s="335">
        <f t="shared" si="42"/>
        <v>1.5233101791292787</v>
      </c>
      <c r="AH151" s="335">
        <f t="shared" si="43"/>
        <v>1.2105825690056655</v>
      </c>
      <c r="AI151" s="335">
        <f t="shared" si="35"/>
        <v>2.7338927481349442</v>
      </c>
      <c r="AK151" s="610">
        <f t="shared" si="28"/>
        <v>0</v>
      </c>
      <c r="AL151" s="338">
        <f t="shared" si="29"/>
        <v>0</v>
      </c>
      <c r="AM151" s="335">
        <f t="shared" si="30"/>
        <v>0</v>
      </c>
      <c r="AN151" s="335">
        <f t="shared" si="31"/>
        <v>0</v>
      </c>
      <c r="AO151" s="335">
        <f t="shared" si="32"/>
        <v>0</v>
      </c>
      <c r="AP151" s="335">
        <f t="shared" si="36"/>
        <v>0</v>
      </c>
      <c r="AQ151" s="335">
        <f t="shared" si="37"/>
        <v>0</v>
      </c>
      <c r="AR151" s="335">
        <f t="shared" si="38"/>
        <v>0</v>
      </c>
      <c r="AS151" s="335">
        <f t="shared" si="39"/>
        <v>0</v>
      </c>
      <c r="AT151" s="610" t="e">
        <f t="shared" si="40"/>
        <v>#DIV/0!</v>
      </c>
    </row>
    <row r="152" spans="2:46" ht="14.4" x14ac:dyDescent="0.55000000000000004">
      <c r="B152" s="3">
        <v>2053</v>
      </c>
      <c r="C152" s="707">
        <f>Compost!E95</f>
        <v>398.7868428264502</v>
      </c>
      <c r="D152" s="338">
        <f t="shared" si="15"/>
        <v>1</v>
      </c>
      <c r="F152" s="3">
        <v>2053</v>
      </c>
      <c r="G152" s="707">
        <f>'H&amp;C Recycling'!E95</f>
        <v>633.87746570273794</v>
      </c>
      <c r="H152" s="338">
        <f t="shared" si="16"/>
        <v>0.9636517402093755</v>
      </c>
      <c r="J152" s="3">
        <v>2053</v>
      </c>
      <c r="K152" s="335">
        <f t="shared" si="33"/>
        <v>869.95555693838787</v>
      </c>
      <c r="L152" s="338">
        <f t="shared" si="17"/>
        <v>0</v>
      </c>
      <c r="M152" s="338">
        <f t="shared" si="18"/>
        <v>2.7483482331958686E-2</v>
      </c>
      <c r="N152" s="338">
        <f t="shared" si="19"/>
        <v>0.97251651766804137</v>
      </c>
      <c r="P152" s="3">
        <v>2053</v>
      </c>
      <c r="Q152" s="707">
        <f>Paper!F100</f>
        <v>611.95899999999995</v>
      </c>
      <c r="R152" s="334">
        <f t="shared" si="14"/>
        <v>846.04614875968241</v>
      </c>
      <c r="S152" s="707">
        <f>Paper!G100</f>
        <v>793.50683666666657</v>
      </c>
      <c r="V152" s="335">
        <f t="shared" si="20"/>
        <v>76.448720271721299</v>
      </c>
      <c r="W152" s="335">
        <f t="shared" si="21"/>
        <v>0</v>
      </c>
      <c r="X152" s="335">
        <f t="shared" si="22"/>
        <v>23.909408178705462</v>
      </c>
      <c r="Y152" s="335">
        <f t="shared" si="23"/>
        <v>52.539312093015837</v>
      </c>
      <c r="Z152" s="338">
        <f t="shared" si="24"/>
        <v>0</v>
      </c>
      <c r="AA152" s="338">
        <f t="shared" si="25"/>
        <v>0.31275092759858336</v>
      </c>
      <c r="AB152" s="338">
        <f t="shared" si="26"/>
        <v>0.68724907240141664</v>
      </c>
      <c r="AC152" s="338">
        <f t="shared" si="27"/>
        <v>0.95981923574999894</v>
      </c>
      <c r="AE152" s="346">
        <f>MIN('WTE Tonnes and Composition'!G106,V152)</f>
        <v>76.448720271721299</v>
      </c>
      <c r="AF152" s="335">
        <f t="shared" si="41"/>
        <v>0</v>
      </c>
      <c r="AG152" s="335">
        <f t="shared" si="42"/>
        <v>1.1101024828335091</v>
      </c>
      <c r="AH152" s="335">
        <f t="shared" si="43"/>
        <v>1.4574634404285483</v>
      </c>
      <c r="AI152" s="335">
        <f t="shared" si="35"/>
        <v>2.5675659232620571</v>
      </c>
      <c r="AK152" s="610">
        <f t="shared" si="28"/>
        <v>0</v>
      </c>
      <c r="AL152" s="338">
        <f t="shared" si="29"/>
        <v>0</v>
      </c>
      <c r="AM152" s="335">
        <f t="shared" si="30"/>
        <v>0</v>
      </c>
      <c r="AN152" s="335">
        <f t="shared" si="31"/>
        <v>0</v>
      </c>
      <c r="AO152" s="335">
        <f t="shared" si="32"/>
        <v>0</v>
      </c>
      <c r="AP152" s="335">
        <f t="shared" si="36"/>
        <v>0</v>
      </c>
      <c r="AQ152" s="335">
        <f t="shared" si="37"/>
        <v>0</v>
      </c>
      <c r="AR152" s="335">
        <f t="shared" si="38"/>
        <v>0</v>
      </c>
      <c r="AS152" s="335">
        <f t="shared" si="39"/>
        <v>0</v>
      </c>
      <c r="AT152" s="610" t="e">
        <f t="shared" si="40"/>
        <v>#DIV/0!</v>
      </c>
    </row>
    <row r="153" spans="2:46" ht="14.4" x14ac:dyDescent="0.55000000000000004">
      <c r="B153" s="3">
        <v>2054</v>
      </c>
      <c r="C153" s="707">
        <f>Compost!E96</f>
        <v>429.32142848925355</v>
      </c>
      <c r="D153" s="338">
        <f t="shared" si="15"/>
        <v>1</v>
      </c>
      <c r="F153" s="3">
        <v>2054</v>
      </c>
      <c r="G153" s="707">
        <f>'H&amp;C Recycling'!E96</f>
        <v>635.73619784771722</v>
      </c>
      <c r="H153" s="338">
        <f t="shared" si="16"/>
        <v>0.996207217023932</v>
      </c>
      <c r="J153" s="3">
        <v>2054</v>
      </c>
      <c r="K153" s="335">
        <f t="shared" si="33"/>
        <v>863.32859007688785</v>
      </c>
      <c r="L153" s="338">
        <f t="shared" si="17"/>
        <v>0</v>
      </c>
      <c r="M153" s="338">
        <f t="shared" si="18"/>
        <v>2.803555295343789E-3</v>
      </c>
      <c r="N153" s="338">
        <f t="shared" si="19"/>
        <v>0.99719644470465618</v>
      </c>
      <c r="P153" s="3">
        <v>2054</v>
      </c>
      <c r="Q153" s="707">
        <f>Paper!F101</f>
        <v>628.96799999999996</v>
      </c>
      <c r="R153" s="334">
        <f t="shared" si="14"/>
        <v>860.9082006365561</v>
      </c>
      <c r="S153" s="707">
        <f>Paper!G101</f>
        <v>815.56183999999996</v>
      </c>
      <c r="V153" s="335">
        <f t="shared" si="20"/>
        <v>47.766750076887888</v>
      </c>
      <c r="W153" s="335">
        <f t="shared" si="21"/>
        <v>0</v>
      </c>
      <c r="X153" s="335">
        <f t="shared" si="22"/>
        <v>2.4203894403317463</v>
      </c>
      <c r="Y153" s="335">
        <f t="shared" si="23"/>
        <v>45.346360636556142</v>
      </c>
      <c r="Z153" s="338">
        <f t="shared" si="24"/>
        <v>0</v>
      </c>
      <c r="AA153" s="338">
        <f t="shared" si="25"/>
        <v>5.0671009361862793E-2</v>
      </c>
      <c r="AB153" s="338">
        <f t="shared" si="26"/>
        <v>0.94932899063813725</v>
      </c>
      <c r="AC153" s="338">
        <f t="shared" si="27"/>
        <v>0.97522967667456273</v>
      </c>
      <c r="AE153" s="346">
        <f>MIN('WTE Tonnes and Composition'!G107,V153)</f>
        <v>47.766750076887888</v>
      </c>
      <c r="AF153" s="335">
        <f t="shared" si="41"/>
        <v>0</v>
      </c>
      <c r="AG153" s="335">
        <f t="shared" si="42"/>
        <v>0.17985562419332263</v>
      </c>
      <c r="AH153" s="335">
        <f t="shared" si="43"/>
        <v>2.0132617887127009</v>
      </c>
      <c r="AI153" s="335">
        <f t="shared" si="35"/>
        <v>2.1931174129060236</v>
      </c>
      <c r="AK153" s="610">
        <f t="shared" si="28"/>
        <v>0</v>
      </c>
      <c r="AL153" s="338">
        <f t="shared" si="29"/>
        <v>0</v>
      </c>
      <c r="AM153" s="335">
        <f t="shared" si="30"/>
        <v>0</v>
      </c>
      <c r="AN153" s="335">
        <f t="shared" si="31"/>
        <v>0</v>
      </c>
      <c r="AO153" s="335">
        <f t="shared" si="32"/>
        <v>0</v>
      </c>
      <c r="AP153" s="335">
        <f t="shared" si="36"/>
        <v>0</v>
      </c>
      <c r="AQ153" s="335">
        <f t="shared" si="37"/>
        <v>0</v>
      </c>
      <c r="AR153" s="335">
        <f t="shared" si="38"/>
        <v>0</v>
      </c>
      <c r="AS153" s="335">
        <f t="shared" si="39"/>
        <v>0</v>
      </c>
      <c r="AT153" s="610" t="e">
        <f t="shared" si="40"/>
        <v>#DIV/0!</v>
      </c>
    </row>
    <row r="154" spans="2:46" ht="14.4" x14ac:dyDescent="0.55000000000000004">
      <c r="B154" s="3">
        <v>2055</v>
      </c>
      <c r="C154" s="707">
        <f>Compost!E97</f>
        <v>460.64760944687714</v>
      </c>
      <c r="D154" s="338">
        <f t="shared" si="15"/>
        <v>1</v>
      </c>
      <c r="F154" s="3">
        <v>2055</v>
      </c>
      <c r="G154" s="707">
        <f>'H&amp;C Recycling'!E97</f>
        <v>617.53874698052414</v>
      </c>
      <c r="H154" s="338">
        <f t="shared" si="16"/>
        <v>1</v>
      </c>
      <c r="J154" s="3">
        <v>2055</v>
      </c>
      <c r="K154" s="335">
        <f t="shared" si="33"/>
        <v>875.84459399766547</v>
      </c>
      <c r="L154" s="338">
        <f t="shared" si="17"/>
        <v>0</v>
      </c>
      <c r="M154" s="338">
        <f t="shared" si="18"/>
        <v>0</v>
      </c>
      <c r="N154" s="338">
        <f t="shared" si="19"/>
        <v>1</v>
      </c>
      <c r="P154" s="3">
        <v>2055</v>
      </c>
      <c r="Q154" s="707">
        <f>Paper!F102</f>
        <v>646.41499999999996</v>
      </c>
      <c r="R154" s="334">
        <f t="shared" si="14"/>
        <v>875.84459399766547</v>
      </c>
      <c r="S154" s="707">
        <f>Paper!G102</f>
        <v>838.18478333333326</v>
      </c>
      <c r="V154" s="335">
        <f t="shared" si="20"/>
        <v>37.659810664332213</v>
      </c>
      <c r="W154" s="335">
        <f t="shared" si="21"/>
        <v>0</v>
      </c>
      <c r="X154" s="335">
        <f t="shared" si="22"/>
        <v>0</v>
      </c>
      <c r="Y154" s="335">
        <f t="shared" si="23"/>
        <v>37.659810664332213</v>
      </c>
      <c r="Z154" s="338">
        <f t="shared" si="24"/>
        <v>0</v>
      </c>
      <c r="AA154" s="338">
        <f t="shared" si="25"/>
        <v>0</v>
      </c>
      <c r="AB154" s="338">
        <f t="shared" si="26"/>
        <v>1</v>
      </c>
      <c r="AC154" s="338">
        <f t="shared" si="27"/>
        <v>0.98072711660163825</v>
      </c>
      <c r="AE154" s="346">
        <f>MIN('WTE Tonnes and Composition'!G108,V154)</f>
        <v>37.659810664332213</v>
      </c>
      <c r="AF154" s="335">
        <f t="shared" si="41"/>
        <v>0</v>
      </c>
      <c r="AG154" s="335">
        <f t="shared" si="42"/>
        <v>0</v>
      </c>
      <c r="AH154" s="335">
        <f t="shared" si="43"/>
        <v>2.1207208550108536</v>
      </c>
      <c r="AI154" s="335">
        <f t="shared" si="35"/>
        <v>2.1207208550108536</v>
      </c>
      <c r="AK154" s="610">
        <f t="shared" si="28"/>
        <v>0</v>
      </c>
      <c r="AL154" s="338">
        <f t="shared" si="29"/>
        <v>0</v>
      </c>
      <c r="AM154" s="335">
        <f t="shared" si="30"/>
        <v>0</v>
      </c>
      <c r="AN154" s="335">
        <f t="shared" si="31"/>
        <v>0</v>
      </c>
      <c r="AO154" s="335">
        <f t="shared" si="32"/>
        <v>0</v>
      </c>
      <c r="AP154" s="335">
        <f t="shared" si="36"/>
        <v>0</v>
      </c>
      <c r="AQ154" s="335">
        <f t="shared" si="37"/>
        <v>0</v>
      </c>
      <c r="AR154" s="335">
        <f t="shared" si="38"/>
        <v>0</v>
      </c>
      <c r="AS154" s="335">
        <f t="shared" si="39"/>
        <v>0</v>
      </c>
      <c r="AT154" s="610" t="e">
        <f t="shared" si="40"/>
        <v>#DIV/0!</v>
      </c>
    </row>
    <row r="155" spans="2:46" ht="14.4" x14ac:dyDescent="0.55000000000000004">
      <c r="B155" s="3">
        <v>2056</v>
      </c>
      <c r="C155" s="707">
        <f>Compost!E98</f>
        <v>492.75832948731659</v>
      </c>
      <c r="D155" s="338">
        <f t="shared" si="15"/>
        <v>1</v>
      </c>
      <c r="F155" s="3">
        <v>2056</v>
      </c>
      <c r="G155" s="707">
        <f>'H&amp;C Recycling'!E98</f>
        <v>595.94515478489234</v>
      </c>
      <c r="H155" s="338">
        <f t="shared" si="16"/>
        <v>1</v>
      </c>
      <c r="J155" s="3">
        <v>2056</v>
      </c>
      <c r="K155" s="335">
        <f t="shared" si="33"/>
        <v>890.8530098780941</v>
      </c>
      <c r="L155" s="338">
        <f t="shared" si="17"/>
        <v>0</v>
      </c>
      <c r="M155" s="338">
        <f t="shared" si="18"/>
        <v>0</v>
      </c>
      <c r="N155" s="338">
        <f t="shared" si="19"/>
        <v>1</v>
      </c>
      <c r="P155" s="3">
        <v>2056</v>
      </c>
      <c r="Q155" s="707">
        <f>Paper!F103</f>
        <v>664.3</v>
      </c>
      <c r="R155" s="334">
        <f t="shared" si="14"/>
        <v>890.8530098780941</v>
      </c>
      <c r="S155" s="707">
        <f>Paper!G103</f>
        <v>861.37566666666658</v>
      </c>
      <c r="V155" s="335">
        <f t="shared" si="20"/>
        <v>27.303825301838287</v>
      </c>
      <c r="W155" s="335">
        <f t="shared" si="21"/>
        <v>0</v>
      </c>
      <c r="X155" s="335">
        <f t="shared" si="22"/>
        <v>0</v>
      </c>
      <c r="Y155" s="335">
        <f t="shared" si="23"/>
        <v>27.303825301838287</v>
      </c>
      <c r="Z155" s="338">
        <f t="shared" si="24"/>
        <v>0</v>
      </c>
      <c r="AA155" s="338">
        <f t="shared" si="25"/>
        <v>0</v>
      </c>
      <c r="AB155" s="338">
        <f t="shared" si="26"/>
        <v>1</v>
      </c>
      <c r="AC155" s="338">
        <f t="shared" si="27"/>
        <v>0.98620709973040799</v>
      </c>
      <c r="AE155" s="346">
        <f>MIN('WTE Tonnes and Composition'!G109,V155)</f>
        <v>27.303825301838287</v>
      </c>
      <c r="AF155" s="335">
        <f t="shared" si="41"/>
        <v>0</v>
      </c>
      <c r="AG155" s="335">
        <f t="shared" si="42"/>
        <v>0</v>
      </c>
      <c r="AH155" s="335">
        <f t="shared" si="43"/>
        <v>2.1207208550108536</v>
      </c>
      <c r="AI155" s="335">
        <f t="shared" si="35"/>
        <v>2.1207208550108536</v>
      </c>
      <c r="AK155" s="610">
        <f t="shared" si="28"/>
        <v>0</v>
      </c>
      <c r="AL155" s="338">
        <f t="shared" si="29"/>
        <v>0</v>
      </c>
      <c r="AM155" s="335">
        <f t="shared" si="30"/>
        <v>0</v>
      </c>
      <c r="AN155" s="335">
        <f t="shared" si="31"/>
        <v>0</v>
      </c>
      <c r="AO155" s="335">
        <f t="shared" si="32"/>
        <v>0</v>
      </c>
      <c r="AP155" s="335">
        <f t="shared" si="36"/>
        <v>0</v>
      </c>
      <c r="AQ155" s="335">
        <f t="shared" si="37"/>
        <v>0</v>
      </c>
      <c r="AR155" s="335">
        <f t="shared" si="38"/>
        <v>0</v>
      </c>
      <c r="AS155" s="335">
        <f t="shared" si="39"/>
        <v>0</v>
      </c>
      <c r="AT155" s="610" t="e">
        <f t="shared" si="40"/>
        <v>#DIV/0!</v>
      </c>
    </row>
    <row r="156" spans="2:46" ht="14.4" x14ac:dyDescent="0.55000000000000004">
      <c r="B156" s="3">
        <v>2057</v>
      </c>
      <c r="C156" s="707">
        <f>Compost!E99</f>
        <v>525.64270041345674</v>
      </c>
      <c r="D156" s="338">
        <f t="shared" si="15"/>
        <v>1</v>
      </c>
      <c r="F156" s="3">
        <v>2057</v>
      </c>
      <c r="G156" s="707">
        <f>'H&amp;C Recycling'!E99</f>
        <v>573.38936844034617</v>
      </c>
      <c r="H156" s="338">
        <f t="shared" si="16"/>
        <v>1</v>
      </c>
      <c r="J156" s="3">
        <v>2057</v>
      </c>
      <c r="K156" s="335">
        <f t="shared" si="33"/>
        <v>905.93170268323081</v>
      </c>
      <c r="L156" s="338">
        <f t="shared" si="17"/>
        <v>0</v>
      </c>
      <c r="M156" s="338">
        <f t="shared" si="18"/>
        <v>0</v>
      </c>
      <c r="N156" s="338">
        <f t="shared" si="19"/>
        <v>1</v>
      </c>
      <c r="P156" s="3">
        <v>2057</v>
      </c>
      <c r="Q156" s="707">
        <f>Paper!F104</f>
        <v>682.62299999999993</v>
      </c>
      <c r="R156" s="334">
        <f t="shared" si="14"/>
        <v>905.93170268323081</v>
      </c>
      <c r="S156" s="707">
        <f>Paper!G104</f>
        <v>885.13448999999991</v>
      </c>
      <c r="V156" s="335">
        <f t="shared" si="20"/>
        <v>11.604530112669977</v>
      </c>
      <c r="W156" s="335">
        <f t="shared" si="21"/>
        <v>0</v>
      </c>
      <c r="X156" s="335">
        <f t="shared" si="22"/>
        <v>0</v>
      </c>
      <c r="Y156" s="335">
        <f t="shared" si="23"/>
        <v>11.604530112669977</v>
      </c>
      <c r="Z156" s="338">
        <f t="shared" si="24"/>
        <v>0</v>
      </c>
      <c r="AA156" s="338">
        <f t="shared" si="25"/>
        <v>0</v>
      </c>
      <c r="AB156" s="338">
        <f t="shared" si="26"/>
        <v>1</v>
      </c>
      <c r="AC156" s="338">
        <f t="shared" si="27"/>
        <v>0.99421209985067527</v>
      </c>
      <c r="AE156" s="346">
        <f>MIN('WTE Tonnes and Composition'!G110,V156)</f>
        <v>11.604530112669977</v>
      </c>
      <c r="AF156" s="335">
        <f t="shared" si="41"/>
        <v>0</v>
      </c>
      <c r="AG156" s="335">
        <f t="shared" si="42"/>
        <v>0</v>
      </c>
      <c r="AH156" s="335">
        <f t="shared" si="43"/>
        <v>2.1207208550108536</v>
      </c>
      <c r="AI156" s="335">
        <f t="shared" si="35"/>
        <v>2.1207208550108536</v>
      </c>
      <c r="AK156" s="610">
        <f t="shared" si="28"/>
        <v>0</v>
      </c>
      <c r="AL156" s="338">
        <f t="shared" si="29"/>
        <v>0</v>
      </c>
      <c r="AM156" s="335">
        <f t="shared" si="30"/>
        <v>0</v>
      </c>
      <c r="AN156" s="335">
        <f t="shared" si="31"/>
        <v>0</v>
      </c>
      <c r="AO156" s="335">
        <f t="shared" si="32"/>
        <v>0</v>
      </c>
      <c r="AP156" s="335">
        <f t="shared" si="36"/>
        <v>0</v>
      </c>
      <c r="AQ156" s="335">
        <f t="shared" si="37"/>
        <v>0</v>
      </c>
      <c r="AR156" s="335">
        <f t="shared" si="38"/>
        <v>0</v>
      </c>
      <c r="AS156" s="335">
        <f t="shared" si="39"/>
        <v>0</v>
      </c>
      <c r="AT156" s="610" t="e">
        <f t="shared" si="40"/>
        <v>#DIV/0!</v>
      </c>
    </row>
    <row r="157" spans="2:46" ht="14.4" x14ac:dyDescent="0.55000000000000004">
      <c r="B157" s="3">
        <v>2058</v>
      </c>
      <c r="C157" s="707">
        <f>Compost!E100</f>
        <v>559.28410666729178</v>
      </c>
      <c r="D157" s="338">
        <f t="shared" si="15"/>
        <v>1</v>
      </c>
      <c r="F157" s="3">
        <v>2058</v>
      </c>
      <c r="G157" s="707">
        <f>'H&amp;C Recycling'!E100</f>
        <v>549.88677618512247</v>
      </c>
      <c r="H157" s="338">
        <f t="shared" si="16"/>
        <v>1</v>
      </c>
      <c r="J157" s="3">
        <v>2058</v>
      </c>
      <c r="K157" s="335">
        <f t="shared" si="33"/>
        <v>921.07959586446191</v>
      </c>
      <c r="L157" s="338">
        <f t="shared" si="17"/>
        <v>0</v>
      </c>
      <c r="M157" s="338">
        <f t="shared" si="18"/>
        <v>0</v>
      </c>
      <c r="N157" s="338">
        <f t="shared" si="19"/>
        <v>1</v>
      </c>
      <c r="P157" s="3">
        <v>2058</v>
      </c>
      <c r="Q157" s="707">
        <f>Paper!F105</f>
        <v>701.3839999999999</v>
      </c>
      <c r="R157" s="334">
        <f t="shared" si="14"/>
        <v>921.07959586446191</v>
      </c>
      <c r="S157" s="707">
        <f>Paper!G105</f>
        <v>909.46125333333316</v>
      </c>
      <c r="V157" s="335">
        <f t="shared" si="20"/>
        <v>-0.246632127661087</v>
      </c>
      <c r="W157" s="335">
        <f t="shared" si="21"/>
        <v>0</v>
      </c>
      <c r="X157" s="335">
        <f t="shared" si="22"/>
        <v>0</v>
      </c>
      <c r="Y157" s="335">
        <f t="shared" si="23"/>
        <v>-0.246632127661087</v>
      </c>
      <c r="Z157" s="338">
        <f t="shared" si="24"/>
        <v>0</v>
      </c>
      <c r="AA157" s="338">
        <f t="shared" si="25"/>
        <v>0</v>
      </c>
      <c r="AB157" s="338">
        <f t="shared" si="26"/>
        <v>1</v>
      </c>
      <c r="AC157" s="338">
        <f t="shared" si="27"/>
        <v>1.0001214786698718</v>
      </c>
      <c r="AE157" s="346">
        <f>MIN('WTE Tonnes and Composition'!G111,V157)</f>
        <v>-0.246632127661087</v>
      </c>
      <c r="AF157" s="335">
        <f t="shared" si="41"/>
        <v>0</v>
      </c>
      <c r="AG157" s="335">
        <f t="shared" si="42"/>
        <v>0</v>
      </c>
      <c r="AH157" s="335">
        <f t="shared" si="43"/>
        <v>2.1207208550108536</v>
      </c>
      <c r="AI157" s="335">
        <f t="shared" si="35"/>
        <v>2.1207208550108536</v>
      </c>
      <c r="AK157" s="610">
        <f t="shared" si="28"/>
        <v>0</v>
      </c>
      <c r="AL157" s="338">
        <f t="shared" si="29"/>
        <v>0</v>
      </c>
      <c r="AM157" s="335">
        <f t="shared" si="30"/>
        <v>0</v>
      </c>
      <c r="AN157" s="335">
        <f t="shared" si="31"/>
        <v>0</v>
      </c>
      <c r="AO157" s="335">
        <f t="shared" si="32"/>
        <v>0</v>
      </c>
      <c r="AP157" s="335">
        <f t="shared" si="36"/>
        <v>0</v>
      </c>
      <c r="AQ157" s="335">
        <f t="shared" si="37"/>
        <v>0</v>
      </c>
      <c r="AR157" s="335">
        <f t="shared" si="38"/>
        <v>0</v>
      </c>
      <c r="AS157" s="335">
        <f t="shared" si="39"/>
        <v>0</v>
      </c>
      <c r="AT157" s="610" t="e">
        <f t="shared" si="40"/>
        <v>#DIV/0!</v>
      </c>
    </row>
    <row r="158" spans="2:46" ht="14.4" x14ac:dyDescent="0.55000000000000004">
      <c r="B158" s="3">
        <v>2059</v>
      </c>
      <c r="C158" s="707">
        <f>Compost!E101</f>
        <v>593.66229391369859</v>
      </c>
      <c r="D158" s="338">
        <f t="shared" si="15"/>
        <v>1</v>
      </c>
      <c r="F158" s="3">
        <v>2059</v>
      </c>
      <c r="G158" s="707">
        <f>'H&amp;C Recycling'!E101</f>
        <v>525.45440067512016</v>
      </c>
      <c r="H158" s="338">
        <f t="shared" si="16"/>
        <v>1</v>
      </c>
      <c r="J158" s="3">
        <v>2059</v>
      </c>
      <c r="K158" s="335">
        <f t="shared" si="33"/>
        <v>936.29613148582268</v>
      </c>
      <c r="L158" s="338">
        <f t="shared" si="17"/>
        <v>0</v>
      </c>
      <c r="M158" s="338">
        <f t="shared" si="18"/>
        <v>0</v>
      </c>
      <c r="N158" s="338">
        <f t="shared" si="19"/>
        <v>1</v>
      </c>
      <c r="P158" s="3">
        <v>2059</v>
      </c>
      <c r="Q158" s="707">
        <f>Paper!F106</f>
        <v>720.58299999999997</v>
      </c>
      <c r="R158" s="334">
        <f t="shared" si="14"/>
        <v>936.29613148582268</v>
      </c>
      <c r="S158" s="707">
        <f>Paper!G106</f>
        <v>934.35595666666666</v>
      </c>
      <c r="V158" s="335">
        <f t="shared" si="20"/>
        <v>-9.7474071525775798</v>
      </c>
      <c r="W158" s="335">
        <f t="shared" si="21"/>
        <v>0</v>
      </c>
      <c r="X158" s="335">
        <f t="shared" si="22"/>
        <v>0</v>
      </c>
      <c r="Y158" s="335">
        <f t="shared" si="23"/>
        <v>-9.7474071525775798</v>
      </c>
      <c r="Z158" s="338">
        <f t="shared" si="24"/>
        <v>0</v>
      </c>
      <c r="AA158" s="338">
        <f t="shared" si="25"/>
        <v>0</v>
      </c>
      <c r="AB158" s="338">
        <f t="shared" si="26"/>
        <v>1</v>
      </c>
      <c r="AC158" s="338">
        <f t="shared" si="27"/>
        <v>1.0047423111449552</v>
      </c>
      <c r="AE158" s="346">
        <f>MIN('WTE Tonnes and Composition'!G112,V158)</f>
        <v>-9.7474071525775798</v>
      </c>
      <c r="AF158" s="335">
        <f t="shared" si="41"/>
        <v>0</v>
      </c>
      <c r="AG158" s="335">
        <f t="shared" si="42"/>
        <v>0</v>
      </c>
      <c r="AH158" s="335">
        <f t="shared" si="43"/>
        <v>2.1207208550108536</v>
      </c>
      <c r="AI158" s="335">
        <f t="shared" si="35"/>
        <v>2.1207208550108536</v>
      </c>
      <c r="AK158" s="610">
        <f t="shared" si="28"/>
        <v>0</v>
      </c>
      <c r="AL158" s="338">
        <f t="shared" si="29"/>
        <v>0</v>
      </c>
      <c r="AM158" s="335">
        <f t="shared" si="30"/>
        <v>0</v>
      </c>
      <c r="AN158" s="335">
        <f t="shared" si="31"/>
        <v>0</v>
      </c>
      <c r="AO158" s="335">
        <f t="shared" si="32"/>
        <v>0</v>
      </c>
      <c r="AP158" s="335">
        <f t="shared" si="36"/>
        <v>0</v>
      </c>
      <c r="AQ158" s="335">
        <f t="shared" si="37"/>
        <v>0</v>
      </c>
      <c r="AR158" s="335">
        <f t="shared" si="38"/>
        <v>0</v>
      </c>
      <c r="AS158" s="335">
        <f t="shared" si="39"/>
        <v>0</v>
      </c>
      <c r="AT158" s="610" t="e">
        <f t="shared" si="40"/>
        <v>#DIV/0!</v>
      </c>
    </row>
    <row r="159" spans="2:46" ht="14.4" x14ac:dyDescent="0.55000000000000004">
      <c r="B159" s="3">
        <v>2060</v>
      </c>
      <c r="C159" s="707">
        <f>Compost!E102</f>
        <v>628.75703600358372</v>
      </c>
      <c r="D159" s="338">
        <f t="shared" si="15"/>
        <v>1</v>
      </c>
      <c r="F159" s="3">
        <v>2060</v>
      </c>
      <c r="G159" s="707">
        <f>'H&amp;C Recycling'!E102</f>
        <v>500.11037403510761</v>
      </c>
      <c r="H159" s="338">
        <f t="shared" si="16"/>
        <v>1</v>
      </c>
      <c r="J159" s="3">
        <v>2060</v>
      </c>
      <c r="K159" s="335">
        <f t="shared" si="33"/>
        <v>951.58079278820207</v>
      </c>
      <c r="L159" s="338">
        <f t="shared" si="17"/>
        <v>0</v>
      </c>
      <c r="M159" s="338">
        <f t="shared" si="18"/>
        <v>0</v>
      </c>
      <c r="N159" s="338">
        <f t="shared" si="19"/>
        <v>1</v>
      </c>
      <c r="P159" s="3">
        <v>2060</v>
      </c>
      <c r="Q159" s="707">
        <f>Paper!F107</f>
        <v>740.22</v>
      </c>
      <c r="R159" s="334">
        <f t="shared" si="14"/>
        <v>951.58079278820207</v>
      </c>
      <c r="S159" s="707">
        <f>Paper!G107</f>
        <v>959.81860000000006</v>
      </c>
      <c r="V159" s="335">
        <f t="shared" si="20"/>
        <v>-19.754318165240306</v>
      </c>
      <c r="W159" s="335">
        <f t="shared" si="21"/>
        <v>0</v>
      </c>
      <c r="X159" s="335">
        <f t="shared" si="22"/>
        <v>0</v>
      </c>
      <c r="Y159" s="335">
        <f t="shared" si="23"/>
        <v>-19.754318165240306</v>
      </c>
      <c r="Z159" s="338">
        <f t="shared" si="24"/>
        <v>0</v>
      </c>
      <c r="AA159" s="338">
        <f t="shared" si="25"/>
        <v>0</v>
      </c>
      <c r="AB159" s="338">
        <f t="shared" si="26"/>
        <v>1</v>
      </c>
      <c r="AC159" s="338">
        <f t="shared" si="27"/>
        <v>1.0094952222979636</v>
      </c>
      <c r="AE159" s="346">
        <f>MIN('WTE Tonnes and Composition'!G113,V159)</f>
        <v>-19.754318165240306</v>
      </c>
      <c r="AF159" s="335">
        <f t="shared" si="41"/>
        <v>0</v>
      </c>
      <c r="AG159" s="335">
        <f t="shared" si="42"/>
        <v>0</v>
      </c>
      <c r="AH159" s="335">
        <f t="shared" si="43"/>
        <v>2.1207208550108536</v>
      </c>
      <c r="AI159" s="335">
        <f t="shared" si="35"/>
        <v>2.1207208550108536</v>
      </c>
      <c r="AK159" s="610">
        <f t="shared" si="28"/>
        <v>0</v>
      </c>
      <c r="AL159" s="338">
        <f t="shared" si="29"/>
        <v>0</v>
      </c>
      <c r="AM159" s="335">
        <f t="shared" si="30"/>
        <v>0</v>
      </c>
      <c r="AN159" s="335">
        <f t="shared" si="31"/>
        <v>0</v>
      </c>
      <c r="AO159" s="335">
        <f t="shared" si="32"/>
        <v>0</v>
      </c>
      <c r="AP159" s="335">
        <f t="shared" si="36"/>
        <v>0</v>
      </c>
      <c r="AQ159" s="335">
        <f t="shared" si="37"/>
        <v>0</v>
      </c>
      <c r="AR159" s="335">
        <f t="shared" si="38"/>
        <v>0</v>
      </c>
      <c r="AS159" s="335">
        <f t="shared" si="39"/>
        <v>0</v>
      </c>
      <c r="AT159" s="610" t="e">
        <f t="shared" si="40"/>
        <v>#DIV/0!</v>
      </c>
    </row>
    <row r="160" spans="2:46" x14ac:dyDescent="0.4">
      <c r="Z160" s="341"/>
    </row>
    <row r="161" spans="1:52" x14ac:dyDescent="0.4">
      <c r="Z161" s="341"/>
    </row>
    <row r="162" spans="1:52" ht="22.5" x14ac:dyDescent="0.75">
      <c r="A162" s="336" t="s">
        <v>154</v>
      </c>
      <c r="Z162" s="341"/>
    </row>
    <row r="167" spans="1:52" ht="200.05" customHeight="1" x14ac:dyDescent="0.4">
      <c r="B167" s="1275" t="s">
        <v>487</v>
      </c>
      <c r="C167" s="1276"/>
      <c r="D167" s="1276"/>
      <c r="E167" s="1276"/>
      <c r="F167" s="1276"/>
      <c r="G167" s="1276"/>
      <c r="H167" s="1276"/>
      <c r="I167" s="1276"/>
      <c r="J167" s="1276"/>
      <c r="K167" s="1276"/>
      <c r="N167" s="1275" t="s">
        <v>477</v>
      </c>
      <c r="O167" s="1276"/>
      <c r="P167" s="1276"/>
      <c r="Q167" s="1276"/>
      <c r="R167" s="1276"/>
      <c r="S167" s="1276"/>
      <c r="T167" s="1276"/>
      <c r="U167" s="1276"/>
      <c r="V167" s="1276"/>
      <c r="Y167" s="1279" t="s">
        <v>537</v>
      </c>
      <c r="Z167" s="1279"/>
      <c r="AA167" s="1279"/>
      <c r="AB167" s="1279"/>
      <c r="AC167" s="1279"/>
      <c r="AD167" s="1279"/>
      <c r="AE167" s="1279"/>
      <c r="AF167" s="1279"/>
      <c r="AI167" s="1279" t="s">
        <v>539</v>
      </c>
      <c r="AJ167" s="1279"/>
      <c r="AK167" s="1279"/>
      <c r="AL167" s="1279"/>
      <c r="AM167" s="1279"/>
      <c r="AN167" s="1279"/>
      <c r="AO167" s="1279"/>
      <c r="AP167" s="1279"/>
      <c r="AS167" s="1279" t="s">
        <v>541</v>
      </c>
      <c r="AT167" s="1279"/>
      <c r="AU167" s="1279"/>
      <c r="AV167" s="1279"/>
      <c r="AW167" s="1279"/>
      <c r="AX167" s="1279"/>
      <c r="AY167" s="1279"/>
      <c r="AZ167" s="1279"/>
    </row>
    <row r="168" spans="1:52" x14ac:dyDescent="0.4">
      <c r="B168" s="1" t="s">
        <v>139</v>
      </c>
      <c r="N168" s="1" t="s">
        <v>140</v>
      </c>
      <c r="O168" s="1"/>
    </row>
    <row r="169" spans="1:52" ht="14.4" x14ac:dyDescent="0.55000000000000004">
      <c r="B169" s="2"/>
      <c r="C169" s="334" t="str">
        <f t="shared" ref="C169:C216" si="44">Y59</f>
        <v>World</v>
      </c>
      <c r="D169" s="334" t="s">
        <v>494</v>
      </c>
      <c r="E169" s="344" t="s">
        <v>144</v>
      </c>
      <c r="F169" s="344" t="s">
        <v>135</v>
      </c>
      <c r="G169" s="344" t="s">
        <v>136</v>
      </c>
      <c r="H169" s="344" t="s">
        <v>538</v>
      </c>
      <c r="I169" s="344" t="s">
        <v>137</v>
      </c>
      <c r="J169" s="344" t="s">
        <v>143</v>
      </c>
      <c r="K169" s="344" t="s">
        <v>138</v>
      </c>
      <c r="N169" s="3"/>
      <c r="O169" s="334" t="s">
        <v>115</v>
      </c>
      <c r="P169" s="334" t="s">
        <v>141</v>
      </c>
      <c r="Q169" s="334" t="s">
        <v>142</v>
      </c>
      <c r="R169" s="334" t="s">
        <v>164</v>
      </c>
      <c r="S169" s="583" t="s">
        <v>359</v>
      </c>
      <c r="T169" s="583" t="s">
        <v>360</v>
      </c>
      <c r="U169" s="1189" t="s">
        <v>361</v>
      </c>
      <c r="V169" s="584" t="s">
        <v>362</v>
      </c>
      <c r="Y169" s="584" t="s">
        <v>114</v>
      </c>
      <c r="Z169" s="344" t="s">
        <v>527</v>
      </c>
      <c r="AA169" s="344" t="s">
        <v>1134</v>
      </c>
      <c r="AB169" s="632" t="s">
        <v>533</v>
      </c>
      <c r="AC169" s="632" t="s">
        <v>534</v>
      </c>
      <c r="AD169" s="632" t="s">
        <v>535</v>
      </c>
      <c r="AE169" s="632" t="s">
        <v>536</v>
      </c>
      <c r="AF169" s="335" t="s">
        <v>441</v>
      </c>
      <c r="AI169" s="584" t="s">
        <v>114</v>
      </c>
      <c r="AJ169" s="344" t="s">
        <v>532</v>
      </c>
      <c r="AK169" s="344" t="s">
        <v>137</v>
      </c>
      <c r="AL169" s="344" t="s">
        <v>528</v>
      </c>
      <c r="AM169" s="344" t="s">
        <v>529</v>
      </c>
      <c r="AN169" s="344" t="s">
        <v>531</v>
      </c>
      <c r="AO169" s="344" t="s">
        <v>530</v>
      </c>
      <c r="AP169" s="344" t="s">
        <v>205</v>
      </c>
      <c r="AS169" s="584" t="str">
        <f>Y169</f>
        <v>Year</v>
      </c>
      <c r="AT169" s="344" t="str">
        <f t="shared" ref="AT169:AT216" si="45">AB169</f>
        <v xml:space="preserve">Compost </v>
      </c>
      <c r="AU169" s="344" t="str">
        <f t="shared" ref="AU169:AU216" si="46">AC169</f>
        <v>Recycling</v>
      </c>
      <c r="AV169" s="632" t="str">
        <f t="shared" ref="AV169:AV216" si="47">AD169</f>
        <v>Paper Recycling</v>
      </c>
      <c r="AW169" s="632" t="str">
        <f t="shared" ref="AW169:AW216" si="48">AE169</f>
        <v>Used Paper to Insulation</v>
      </c>
      <c r="AX169" s="632" t="str">
        <f t="shared" ref="AX169:AX216" si="49">AF169</f>
        <v>Reduced Food Waste</v>
      </c>
      <c r="AY169" s="632" t="s">
        <v>402</v>
      </c>
      <c r="AZ169" s="335" t="s">
        <v>423</v>
      </c>
    </row>
    <row r="170" spans="1:52" ht="14.4" x14ac:dyDescent="0.55000000000000004">
      <c r="B170" s="3">
        <v>2014</v>
      </c>
      <c r="C170" s="334">
        <f t="shared" si="44"/>
        <v>804.7949483183213</v>
      </c>
      <c r="D170" s="532">
        <f>'Food System Summary'!E12-'Food System Summary'!F12</f>
        <v>1351.0179807789714</v>
      </c>
      <c r="E170" s="338">
        <f>D170/C170</f>
        <v>1.6787108114955538</v>
      </c>
      <c r="F170" s="338">
        <f t="shared" ref="F170:F216" si="50">D170/U60</f>
        <v>0.76185224480017177</v>
      </c>
      <c r="G170" s="334">
        <f t="shared" ref="G170:G216" si="51">M60*R60</f>
        <v>0.65297000000000005</v>
      </c>
      <c r="H170" s="338">
        <f>G170/C170</f>
        <v>8.1134952619226711E-4</v>
      </c>
      <c r="I170" s="334">
        <f>C170-D170-G170</f>
        <v>-546.87600246065006</v>
      </c>
      <c r="J170" s="338">
        <f>I170/C170</f>
        <v>-0.67952216102174601</v>
      </c>
      <c r="K170" s="338">
        <f t="shared" ref="K170:K216" si="52">I170/U60</f>
        <v>-0.30838872319209587</v>
      </c>
      <c r="N170" s="3">
        <v>2014</v>
      </c>
      <c r="O170" s="1205">
        <f t="shared" ref="O170:O216" si="53">R113</f>
        <v>341.7860216816789</v>
      </c>
      <c r="P170" s="1205">
        <f t="shared" ref="P170:P216" si="54">M60*(1-R60)</f>
        <v>1.0170299999999999</v>
      </c>
      <c r="Q170" s="1205">
        <f t="shared" ref="Q170:Q216" si="55">S113</f>
        <v>227.24220300000002</v>
      </c>
      <c r="R170" s="1205">
        <f>O170-P170-Q170</f>
        <v>113.52678868167891</v>
      </c>
      <c r="S170" s="1206">
        <f>Paper!E61</f>
        <v>341.7860216816789</v>
      </c>
      <c r="T170" s="1205">
        <f t="shared" ref="T170:T216" si="56">S170-Q170</f>
        <v>114.54381868167889</v>
      </c>
      <c r="U170" s="1206">
        <f>Paper!I61</f>
        <v>0</v>
      </c>
      <c r="V170" s="1205">
        <f t="shared" ref="V170:V216" si="57">IF((T170-U170)&lt;0,0,(T170-U170))</f>
        <v>114.54381868167889</v>
      </c>
      <c r="Y170" s="609">
        <f>N170</f>
        <v>2014</v>
      </c>
      <c r="Z170" s="335">
        <f t="shared" ref="Z170:Z216" si="58">C7</f>
        <v>1773.3333333333333</v>
      </c>
      <c r="AA170" s="335">
        <f t="shared" ref="AA170:AA216" si="59">V113</f>
        <v>1229.5180509102263</v>
      </c>
      <c r="AB170" s="335">
        <f t="shared" ref="AB170:AB216" si="60">C113</f>
        <v>110.54366841083268</v>
      </c>
      <c r="AC170" s="335">
        <f t="shared" ref="AC170:AC216" si="61">G113</f>
        <v>206.02941101227444</v>
      </c>
      <c r="AD170" s="335">
        <f t="shared" ref="AD170:AD216" si="62">S113</f>
        <v>227.24220300000002</v>
      </c>
      <c r="AE170" s="335">
        <f>MIN(Paper!H61,Paper!I61)</f>
        <v>0</v>
      </c>
      <c r="AF170" s="335">
        <f t="shared" ref="AF170:AF216" si="63">C60</f>
        <v>-2.3841857910156249E-13</v>
      </c>
      <c r="AG170" s="533"/>
      <c r="AI170" s="609">
        <f t="shared" ref="AI170:AI216" si="64">Y170</f>
        <v>2014</v>
      </c>
      <c r="AJ170" s="335">
        <f t="shared" ref="AJ170:AJ216" si="65">D170-E170*C113</f>
        <v>1165.4471294753271</v>
      </c>
      <c r="AK170" s="335">
        <f t="shared" ref="AK170:AK216" si="66">I170-J170*C113</f>
        <v>-471.75913001484969</v>
      </c>
      <c r="AL170" s="335">
        <f t="shared" ref="AL170:AL216" si="67">G170-(H170*C113)</f>
        <v>0.56328044701131585</v>
      </c>
      <c r="AM170" s="335">
        <f t="shared" ref="AM170:AM216" si="68">AH60/AB60*X113</f>
        <v>160.7904088841328</v>
      </c>
      <c r="AN170" s="335">
        <f t="shared" ref="AN170:AN216" si="69">AB60-AM170-G113</f>
        <v>259.93254343692604</v>
      </c>
      <c r="AO170" s="335">
        <f>T170-AE170</f>
        <v>114.54381868167889</v>
      </c>
      <c r="AP170" s="335">
        <f t="shared" ref="AP170:AP216" si="70">AA170-AJ170-AK170-AL170-AM170-AN170-AO170</f>
        <v>-1.1368683772161603E-13</v>
      </c>
      <c r="AS170" s="609">
        <f t="shared" ref="AS170:AS213" si="71">Y170</f>
        <v>2014</v>
      </c>
      <c r="AT170" s="335">
        <f t="shared" si="45"/>
        <v>110.54366841083268</v>
      </c>
      <c r="AU170" s="335">
        <f t="shared" si="46"/>
        <v>206.02941101227444</v>
      </c>
      <c r="AV170" s="335">
        <f t="shared" si="47"/>
        <v>227.24220300000002</v>
      </c>
      <c r="AW170" s="335">
        <f t="shared" si="48"/>
        <v>0</v>
      </c>
      <c r="AX170" s="335">
        <f t="shared" si="49"/>
        <v>-2.3841857910156249E-13</v>
      </c>
      <c r="AY170" s="335">
        <f>AE113</f>
        <v>142.75688198659913</v>
      </c>
      <c r="AZ170" s="335">
        <f>AK113</f>
        <v>1086.7611689236271</v>
      </c>
    </row>
    <row r="171" spans="1:52" ht="14.4" x14ac:dyDescent="0.55000000000000004">
      <c r="B171" s="3">
        <v>2015</v>
      </c>
      <c r="C171" s="334">
        <f t="shared" si="44"/>
        <v>862.89164707897714</v>
      </c>
      <c r="D171" s="532">
        <f>'Food System Summary'!E13-'Food System Summary'!F13</f>
        <v>1373.0725590764539</v>
      </c>
      <c r="E171" s="338">
        <f t="shared" ref="E171:E216" si="72">D171/C171</f>
        <v>1.5912456259421663</v>
      </c>
      <c r="F171" s="338">
        <f t="shared" si="50"/>
        <v>0.72585333519460116</v>
      </c>
      <c r="G171" s="334">
        <f t="shared" si="51"/>
        <v>0.78781815301367786</v>
      </c>
      <c r="H171" s="338">
        <f t="shared" ref="H171:H216" si="73">G171/C171</f>
        <v>9.1299777403172839E-4</v>
      </c>
      <c r="I171" s="334">
        <f t="shared" ref="I171:I216" si="74">C171-D171-G171</f>
        <v>-510.96873015049044</v>
      </c>
      <c r="J171" s="338">
        <f t="shared" ref="J171:J216" si="75">I171/C171</f>
        <v>-0.5921586237161981</v>
      </c>
      <c r="K171" s="338">
        <f t="shared" si="52"/>
        <v>-0.27011562827338703</v>
      </c>
      <c r="N171" s="3">
        <v>2015</v>
      </c>
      <c r="O171" s="1205">
        <f t="shared" si="53"/>
        <v>363.88533774070333</v>
      </c>
      <c r="P171" s="1205">
        <f t="shared" si="54"/>
        <v>1.3824797891727625</v>
      </c>
      <c r="Q171" s="1205">
        <f t="shared" si="55"/>
        <v>228.0892060000001</v>
      </c>
      <c r="R171" s="1205">
        <f t="shared" ref="R171:R216" si="76">O171-P171-Q171</f>
        <v>134.41365195153048</v>
      </c>
      <c r="S171" s="1206">
        <f>Paper!E62</f>
        <v>363.88533774070333</v>
      </c>
      <c r="T171" s="1205">
        <f t="shared" si="56"/>
        <v>135.79613174070323</v>
      </c>
      <c r="U171" s="1206">
        <f>Paper!I62</f>
        <v>55.436249202633121</v>
      </c>
      <c r="V171" s="1205">
        <f t="shared" si="57"/>
        <v>80.35988253807011</v>
      </c>
      <c r="Y171" s="609">
        <f t="shared" ref="Y171:Y216" si="77">N171</f>
        <v>2015</v>
      </c>
      <c r="Z171" s="335">
        <f t="shared" si="58"/>
        <v>1891.6666666666667</v>
      </c>
      <c r="AA171" s="335">
        <f t="shared" si="59"/>
        <v>1251.5724786637911</v>
      </c>
      <c r="AB171" s="335">
        <f t="shared" si="60"/>
        <v>121.04208551354085</v>
      </c>
      <c r="AC171" s="335">
        <f t="shared" si="61"/>
        <v>235.52664728670166</v>
      </c>
      <c r="AD171" s="335">
        <f t="shared" si="62"/>
        <v>228.0892060000001</v>
      </c>
      <c r="AE171" s="335">
        <f>MIN(Paper!H62,Paper!I62)</f>
        <v>55.436249202633121</v>
      </c>
      <c r="AF171" s="335">
        <f t="shared" si="63"/>
        <v>0</v>
      </c>
      <c r="AG171" s="533"/>
      <c r="AI171" s="609">
        <f t="shared" si="64"/>
        <v>2015</v>
      </c>
      <c r="AJ171" s="335">
        <f t="shared" si="65"/>
        <v>1180.4648699481145</v>
      </c>
      <c r="AK171" s="335">
        <f t="shared" si="66"/>
        <v>-439.29261538105374</v>
      </c>
      <c r="AL171" s="335">
        <f t="shared" si="67"/>
        <v>0.677306998375657</v>
      </c>
      <c r="AM171" s="335">
        <f t="shared" si="68"/>
        <v>159.86636374453872</v>
      </c>
      <c r="AN171" s="335">
        <f t="shared" si="69"/>
        <v>269.49667081574603</v>
      </c>
      <c r="AO171" s="335">
        <f t="shared" ref="AO171:AO216" si="78">T171-AE171</f>
        <v>80.35988253807011</v>
      </c>
      <c r="AP171" s="335">
        <f t="shared" si="70"/>
        <v>-1.7053025658242404E-13</v>
      </c>
      <c r="AS171" s="609">
        <f t="shared" si="71"/>
        <v>2015</v>
      </c>
      <c r="AT171" s="335">
        <f t="shared" si="45"/>
        <v>121.04208551354085</v>
      </c>
      <c r="AU171" s="335">
        <f t="shared" si="46"/>
        <v>235.52664728670166</v>
      </c>
      <c r="AV171" s="335">
        <f t="shared" si="47"/>
        <v>228.0892060000001</v>
      </c>
      <c r="AW171" s="335">
        <f t="shared" si="48"/>
        <v>55.436249202633121</v>
      </c>
      <c r="AX171" s="335">
        <f t="shared" si="49"/>
        <v>0</v>
      </c>
      <c r="AY171" s="335">
        <f t="shared" ref="AY171:AY216" si="79">AE114</f>
        <v>151.22621540688968</v>
      </c>
      <c r="AZ171" s="335">
        <f t="shared" ref="AZ171:AZ216" si="80">AK114</f>
        <v>1100.3462632569015</v>
      </c>
    </row>
    <row r="172" spans="1:52" ht="14.4" x14ac:dyDescent="0.55000000000000004">
      <c r="B172" s="3">
        <v>2016</v>
      </c>
      <c r="C172" s="334">
        <f t="shared" si="44"/>
        <v>925.35644999999988</v>
      </c>
      <c r="D172" s="532">
        <f>'Food System Summary'!E14-'Food System Summary'!F14</f>
        <v>1381.3419093589625</v>
      </c>
      <c r="E172" s="338">
        <f t="shared" si="72"/>
        <v>1.4927673647911166</v>
      </c>
      <c r="F172" s="338">
        <f t="shared" si="50"/>
        <v>0.68723478077560329</v>
      </c>
      <c r="G172" s="334">
        <f t="shared" si="51"/>
        <v>0.75644999999999996</v>
      </c>
      <c r="H172" s="338">
        <f t="shared" si="73"/>
        <v>8.1746877108815753E-4</v>
      </c>
      <c r="I172" s="334">
        <f t="shared" si="74"/>
        <v>-456.74190935896263</v>
      </c>
      <c r="J172" s="338">
        <f t="shared" si="75"/>
        <v>-0.49358483356220478</v>
      </c>
      <c r="K172" s="338">
        <f t="shared" si="52"/>
        <v>-0.22723478077560333</v>
      </c>
      <c r="N172" s="3">
        <v>2016</v>
      </c>
      <c r="O172" s="1205">
        <f t="shared" si="53"/>
        <v>381.89999999999986</v>
      </c>
      <c r="P172" s="1205">
        <f t="shared" si="54"/>
        <v>1.29355</v>
      </c>
      <c r="Q172" s="1205">
        <f t="shared" si="55"/>
        <v>230.29045600000003</v>
      </c>
      <c r="R172" s="1205">
        <f t="shared" si="76"/>
        <v>150.31599399999985</v>
      </c>
      <c r="S172" s="1206">
        <f>Paper!E63</f>
        <v>381.89999999999986</v>
      </c>
      <c r="T172" s="1205">
        <f t="shared" si="56"/>
        <v>151.60954399999983</v>
      </c>
      <c r="U172" s="1206">
        <f>Paper!I63</f>
        <v>21.687129000645655</v>
      </c>
      <c r="V172" s="1205">
        <f t="shared" si="57"/>
        <v>129.92241499935417</v>
      </c>
      <c r="Y172" s="609">
        <f t="shared" si="77"/>
        <v>2016</v>
      </c>
      <c r="Z172" s="335">
        <f t="shared" si="58"/>
        <v>2009.9999999999998</v>
      </c>
      <c r="AA172" s="335">
        <f t="shared" si="59"/>
        <v>1359.6819123831051</v>
      </c>
      <c r="AB172" s="335">
        <f t="shared" si="60"/>
        <v>131.54050261624903</v>
      </c>
      <c r="AC172" s="335">
        <f t="shared" si="61"/>
        <v>266.79999999999995</v>
      </c>
      <c r="AD172" s="335">
        <f t="shared" si="62"/>
        <v>230.29045600000003</v>
      </c>
      <c r="AE172" s="335">
        <f>MIN(Paper!H63,Paper!I63)</f>
        <v>21.687129000645655</v>
      </c>
      <c r="AF172" s="335">
        <f t="shared" si="63"/>
        <v>0</v>
      </c>
      <c r="AG172" s="533"/>
      <c r="AI172" s="609">
        <f t="shared" si="64"/>
        <v>2016</v>
      </c>
      <c r="AJ172" s="335">
        <f t="shared" si="65"/>
        <v>1184.9825399052056</v>
      </c>
      <c r="AK172" s="335">
        <f t="shared" si="66"/>
        <v>-391.8155122684326</v>
      </c>
      <c r="AL172" s="335">
        <f t="shared" si="67"/>
        <v>0.64891974697797628</v>
      </c>
      <c r="AM172" s="335">
        <f t="shared" si="68"/>
        <v>159.90233898702678</v>
      </c>
      <c r="AN172" s="335">
        <f t="shared" si="69"/>
        <v>276.04121101297324</v>
      </c>
      <c r="AO172" s="335">
        <f t="shared" si="78"/>
        <v>129.92241499935417</v>
      </c>
      <c r="AP172" s="335">
        <f t="shared" si="70"/>
        <v>0</v>
      </c>
      <c r="AS172" s="609">
        <f t="shared" si="71"/>
        <v>2016</v>
      </c>
      <c r="AT172" s="335">
        <f t="shared" si="45"/>
        <v>131.54050261624903</v>
      </c>
      <c r="AU172" s="335">
        <f t="shared" si="46"/>
        <v>266.79999999999995</v>
      </c>
      <c r="AV172" s="335">
        <f t="shared" si="47"/>
        <v>230.29045600000003</v>
      </c>
      <c r="AW172" s="335">
        <f t="shared" si="48"/>
        <v>21.687129000645655</v>
      </c>
      <c r="AX172" s="335">
        <f t="shared" si="49"/>
        <v>0</v>
      </c>
      <c r="AY172" s="335">
        <f t="shared" si="79"/>
        <v>159.07322452483973</v>
      </c>
      <c r="AZ172" s="335">
        <f t="shared" si="80"/>
        <v>1200.6086878582653</v>
      </c>
    </row>
    <row r="173" spans="1:52" ht="14.4" x14ac:dyDescent="0.55000000000000004">
      <c r="B173" s="3">
        <v>2017</v>
      </c>
      <c r="C173" s="334">
        <f t="shared" si="44"/>
        <v>977.089189437031</v>
      </c>
      <c r="D173" s="532">
        <f>'Food System Summary'!E15-'Food System Summary'!F15</f>
        <v>1402.4337305219583</v>
      </c>
      <c r="E173" s="338">
        <f t="shared" si="72"/>
        <v>1.435318030005017</v>
      </c>
      <c r="F173" s="338">
        <f t="shared" si="50"/>
        <v>0.66048968073995595</v>
      </c>
      <c r="G173" s="334">
        <f t="shared" si="51"/>
        <v>0.87848999999999999</v>
      </c>
      <c r="H173" s="338">
        <f t="shared" si="73"/>
        <v>8.9908885442296124E-4</v>
      </c>
      <c r="I173" s="334">
        <f t="shared" si="74"/>
        <v>-426.2230310849273</v>
      </c>
      <c r="J173" s="338">
        <f t="shared" si="75"/>
        <v>-0.43621711885944009</v>
      </c>
      <c r="K173" s="338">
        <f t="shared" si="52"/>
        <v>-0.20073384403020972</v>
      </c>
      <c r="N173" s="3">
        <v>2017</v>
      </c>
      <c r="O173" s="1205">
        <f t="shared" si="53"/>
        <v>407.98435400123185</v>
      </c>
      <c r="P173" s="1205">
        <f t="shared" si="54"/>
        <v>1.39151</v>
      </c>
      <c r="Q173" s="1205">
        <f t="shared" si="55"/>
        <v>233.851586</v>
      </c>
      <c r="R173" s="1205">
        <f t="shared" si="76"/>
        <v>172.74125800123187</v>
      </c>
      <c r="S173" s="1206">
        <f>Paper!E64</f>
        <v>407.98435400123185</v>
      </c>
      <c r="T173" s="1205">
        <f t="shared" si="56"/>
        <v>174.13276800123185</v>
      </c>
      <c r="U173" s="1206">
        <f>Paper!I64</f>
        <v>21.590799814069157</v>
      </c>
      <c r="V173" s="1205">
        <f t="shared" si="57"/>
        <v>152.54196818716269</v>
      </c>
      <c r="Y173" s="609">
        <f t="shared" si="77"/>
        <v>2017</v>
      </c>
      <c r="Z173" s="335">
        <f t="shared" si="58"/>
        <v>2123.324211440809</v>
      </c>
      <c r="AA173" s="335">
        <f t="shared" si="59"/>
        <v>1441.8929922040236</v>
      </c>
      <c r="AB173" s="335">
        <f t="shared" si="60"/>
        <v>142.0389197189572</v>
      </c>
      <c r="AC173" s="335">
        <f t="shared" si="61"/>
        <v>283.94991370375845</v>
      </c>
      <c r="AD173" s="335">
        <f t="shared" si="62"/>
        <v>233.851586</v>
      </c>
      <c r="AE173" s="335">
        <f>MIN(Paper!H64,Paper!I64)</f>
        <v>21.590799814069157</v>
      </c>
      <c r="AF173" s="335">
        <f t="shared" si="63"/>
        <v>2.3841857910156249E-13</v>
      </c>
      <c r="AG173" s="533"/>
      <c r="AI173" s="609">
        <f t="shared" si="64"/>
        <v>2017</v>
      </c>
      <c r="AJ173" s="335">
        <f t="shared" si="65"/>
        <v>1198.562708086904</v>
      </c>
      <c r="AK173" s="335">
        <f t="shared" si="66"/>
        <v>-364.26322275921649</v>
      </c>
      <c r="AL173" s="335">
        <f t="shared" si="67"/>
        <v>0.75078439038640776</v>
      </c>
      <c r="AM173" s="335">
        <f t="shared" si="68"/>
        <v>164.69014812485983</v>
      </c>
      <c r="AN173" s="335">
        <f t="shared" si="69"/>
        <v>289.61060617392724</v>
      </c>
      <c r="AO173" s="335">
        <f t="shared" si="78"/>
        <v>152.54196818716269</v>
      </c>
      <c r="AP173" s="335">
        <f t="shared" si="70"/>
        <v>0</v>
      </c>
      <c r="AS173" s="609">
        <f t="shared" si="71"/>
        <v>2017</v>
      </c>
      <c r="AT173" s="335">
        <f t="shared" si="45"/>
        <v>142.0389197189572</v>
      </c>
      <c r="AU173" s="335">
        <f t="shared" si="46"/>
        <v>283.94991370375845</v>
      </c>
      <c r="AV173" s="335">
        <f t="shared" si="47"/>
        <v>233.851586</v>
      </c>
      <c r="AW173" s="335">
        <f t="shared" si="48"/>
        <v>21.590799814069157</v>
      </c>
      <c r="AX173" s="335">
        <f t="shared" si="49"/>
        <v>2.3841857910156249E-13</v>
      </c>
      <c r="AY173" s="335">
        <f t="shared" si="79"/>
        <v>162.84287810907378</v>
      </c>
      <c r="AZ173" s="335">
        <f t="shared" si="80"/>
        <v>1279.0501140949498</v>
      </c>
    </row>
    <row r="174" spans="1:52" ht="14.4" x14ac:dyDescent="0.55000000000000004">
      <c r="B174" s="3">
        <v>2018</v>
      </c>
      <c r="C174" s="334">
        <f t="shared" si="44"/>
        <v>998.13023385837414</v>
      </c>
      <c r="D174" s="532">
        <f>'Food System Summary'!E16-'Food System Summary'!F16</f>
        <v>1422.5384092203535</v>
      </c>
      <c r="E174" s="338">
        <f t="shared" si="72"/>
        <v>1.4252032059197188</v>
      </c>
      <c r="F174" s="338">
        <f t="shared" si="50"/>
        <v>0.6583679171868797</v>
      </c>
      <c r="G174" s="334">
        <f t="shared" si="51"/>
        <v>0.91152000000000599</v>
      </c>
      <c r="H174" s="338">
        <f t="shared" si="73"/>
        <v>9.1322752190005558E-4</v>
      </c>
      <c r="I174" s="334">
        <f t="shared" si="74"/>
        <v>-425.31969536197937</v>
      </c>
      <c r="J174" s="338">
        <f t="shared" si="75"/>
        <v>-0.42611643344161887</v>
      </c>
      <c r="K174" s="338">
        <f t="shared" si="52"/>
        <v>-0.19684308005960452</v>
      </c>
      <c r="N174" s="3">
        <v>2018</v>
      </c>
      <c r="O174" s="1205">
        <f t="shared" si="53"/>
        <v>415.44977691844485</v>
      </c>
      <c r="P174" s="1205">
        <f t="shared" si="54"/>
        <v>1.1984800000000075</v>
      </c>
      <c r="Q174" s="1205">
        <f t="shared" si="55"/>
        <v>229.65599771239667</v>
      </c>
      <c r="R174" s="1205">
        <f t="shared" si="76"/>
        <v>184.59529920604817</v>
      </c>
      <c r="S174" s="1206">
        <f>Paper!E65</f>
        <v>408.843143</v>
      </c>
      <c r="T174" s="1205">
        <f t="shared" si="56"/>
        <v>179.18714528760333</v>
      </c>
      <c r="U174" s="1206">
        <f>Paper!I65</f>
        <v>21.481008251234357</v>
      </c>
      <c r="V174" s="1205">
        <f t="shared" si="57"/>
        <v>157.70613703636897</v>
      </c>
      <c r="Y174" s="609">
        <f t="shared" si="77"/>
        <v>2018</v>
      </c>
      <c r="Z174" s="335">
        <f t="shared" si="58"/>
        <v>2160.7043297289983</v>
      </c>
      <c r="AA174" s="335">
        <f t="shared" si="59"/>
        <v>1464.4236372873065</v>
      </c>
      <c r="AB174" s="335">
        <f t="shared" si="60"/>
        <v>152.53733682166535</v>
      </c>
      <c r="AC174" s="335">
        <f t="shared" si="61"/>
        <v>292.60634965639559</v>
      </c>
      <c r="AD174" s="335">
        <f t="shared" si="62"/>
        <v>229.65599771239667</v>
      </c>
      <c r="AE174" s="335">
        <f>MIN(Paper!H65,Paper!I65)</f>
        <v>21.481008251234357</v>
      </c>
      <c r="AF174" s="335">
        <f t="shared" si="63"/>
        <v>0</v>
      </c>
      <c r="AG174" s="533"/>
      <c r="AI174" s="609">
        <f t="shared" si="64"/>
        <v>2018</v>
      </c>
      <c r="AJ174" s="335">
        <f t="shared" si="65"/>
        <v>1205.14170775966</v>
      </c>
      <c r="AK174" s="335">
        <f t="shared" si="66"/>
        <v>-360.32102942884842</v>
      </c>
      <c r="AL174" s="335">
        <f t="shared" si="67"/>
        <v>0.77221870589712238</v>
      </c>
      <c r="AM174" s="335">
        <f t="shared" si="68"/>
        <v>168.09926128821326</v>
      </c>
      <c r="AN174" s="335">
        <f t="shared" si="69"/>
        <v>286.4187080075705</v>
      </c>
      <c r="AO174" s="335">
        <f t="shared" si="78"/>
        <v>157.70613703636897</v>
      </c>
      <c r="AP174" s="335">
        <f t="shared" si="70"/>
        <v>6.6066339184451124</v>
      </c>
      <c r="AS174" s="609">
        <f t="shared" si="71"/>
        <v>2018</v>
      </c>
      <c r="AT174" s="335">
        <f t="shared" si="45"/>
        <v>152.53733682166535</v>
      </c>
      <c r="AU174" s="335">
        <f t="shared" si="46"/>
        <v>292.60634965639559</v>
      </c>
      <c r="AV174" s="335">
        <f t="shared" si="47"/>
        <v>229.65599771239667</v>
      </c>
      <c r="AW174" s="335">
        <f t="shared" si="48"/>
        <v>21.481008251234357</v>
      </c>
      <c r="AX174" s="335">
        <f t="shared" si="49"/>
        <v>0</v>
      </c>
      <c r="AY174" s="335">
        <f t="shared" si="79"/>
        <v>165.19016908698848</v>
      </c>
      <c r="AZ174" s="335">
        <f t="shared" si="80"/>
        <v>1299.2334682003179</v>
      </c>
    </row>
    <row r="175" spans="1:52" ht="14.4" x14ac:dyDescent="0.55000000000000004">
      <c r="B175" s="3">
        <v>2019</v>
      </c>
      <c r="C175" s="334">
        <f t="shared" si="44"/>
        <v>965.80126383298739</v>
      </c>
      <c r="D175" s="532">
        <f>'Food System Summary'!E17-'Food System Summary'!F17</f>
        <v>1389.5250284450349</v>
      </c>
      <c r="E175" s="338">
        <f t="shared" si="72"/>
        <v>1.4387276973840455</v>
      </c>
      <c r="F175" s="338">
        <f t="shared" si="50"/>
        <v>0.64786181967892931</v>
      </c>
      <c r="G175" s="334">
        <f t="shared" si="51"/>
        <v>0.9609489517783526</v>
      </c>
      <c r="H175" s="338">
        <f t="shared" si="73"/>
        <v>9.9497586901535267E-4</v>
      </c>
      <c r="I175" s="334">
        <f t="shared" si="74"/>
        <v>-424.68471356382582</v>
      </c>
      <c r="J175" s="338">
        <f t="shared" si="75"/>
        <v>-0.43972267325306075</v>
      </c>
      <c r="K175" s="338">
        <f t="shared" si="52"/>
        <v>-0.19800795645054378</v>
      </c>
      <c r="N175" s="3">
        <v>2019</v>
      </c>
      <c r="O175" s="1205">
        <f t="shared" si="53"/>
        <v>423.20764193175251</v>
      </c>
      <c r="P175" s="1205">
        <f t="shared" si="54"/>
        <v>1.251051048221665</v>
      </c>
      <c r="Q175" s="1205">
        <f t="shared" si="55"/>
        <v>257.2433554930123</v>
      </c>
      <c r="R175" s="1205">
        <f t="shared" si="76"/>
        <v>164.71323539051855</v>
      </c>
      <c r="S175" s="1206">
        <f>Paper!E66</f>
        <v>414.74298663357462</v>
      </c>
      <c r="T175" s="1205">
        <f t="shared" si="56"/>
        <v>157.49963114056231</v>
      </c>
      <c r="U175" s="1206">
        <f>Paper!I66</f>
        <v>21.353586828499999</v>
      </c>
      <c r="V175" s="1205">
        <f t="shared" si="57"/>
        <v>136.14604431206232</v>
      </c>
      <c r="Y175" s="609">
        <f t="shared" si="77"/>
        <v>2019</v>
      </c>
      <c r="Z175" s="335">
        <f t="shared" si="58"/>
        <v>2197.9034203535862</v>
      </c>
      <c r="AA175" s="335">
        <f t="shared" si="59"/>
        <v>1394.5421435156763</v>
      </c>
      <c r="AB175" s="335">
        <f t="shared" si="60"/>
        <v>168.45419494524072</v>
      </c>
      <c r="AC175" s="335">
        <f t="shared" si="61"/>
        <v>303.19282365827195</v>
      </c>
      <c r="AD175" s="335">
        <f t="shared" si="62"/>
        <v>257.2433554930123</v>
      </c>
      <c r="AE175" s="335">
        <f>MIN(Paper!H66,Paper!I66)</f>
        <v>21.353586828499999</v>
      </c>
      <c r="AF175" s="335">
        <f t="shared" si="63"/>
        <v>53.117315912884713</v>
      </c>
      <c r="AG175" s="533"/>
      <c r="AI175" s="609">
        <f t="shared" si="64"/>
        <v>2019</v>
      </c>
      <c r="AJ175" s="335">
        <f t="shared" si="65"/>
        <v>1147.1653124367856</v>
      </c>
      <c r="AK175" s="335">
        <f t="shared" si="66"/>
        <v>-350.61158464181233</v>
      </c>
      <c r="AL175" s="335">
        <f t="shared" si="67"/>
        <v>0.79334109277343012</v>
      </c>
      <c r="AM175" s="335">
        <f t="shared" si="68"/>
        <v>158.30220079736083</v>
      </c>
      <c r="AN175" s="335">
        <f t="shared" si="69"/>
        <v>294.28217422032873</v>
      </c>
      <c r="AO175" s="335">
        <f t="shared" si="78"/>
        <v>136.14604431206232</v>
      </c>
      <c r="AP175" s="335">
        <f t="shared" si="70"/>
        <v>8.4646552981778314</v>
      </c>
      <c r="AS175" s="609">
        <f t="shared" si="71"/>
        <v>2019</v>
      </c>
      <c r="AT175" s="335">
        <f t="shared" si="45"/>
        <v>168.45419494524072</v>
      </c>
      <c r="AU175" s="335">
        <f t="shared" si="46"/>
        <v>303.19282365827195</v>
      </c>
      <c r="AV175" s="335">
        <f t="shared" si="47"/>
        <v>257.2433554930123</v>
      </c>
      <c r="AW175" s="335">
        <f t="shared" si="48"/>
        <v>21.353586828499999</v>
      </c>
      <c r="AX175" s="335">
        <f t="shared" si="49"/>
        <v>53.117315912884713</v>
      </c>
      <c r="AY175" s="335">
        <f t="shared" si="79"/>
        <v>246.60823880527803</v>
      </c>
      <c r="AZ175" s="335">
        <f t="shared" si="80"/>
        <v>1147.9339047103983</v>
      </c>
    </row>
    <row r="176" spans="1:52" ht="14.4" x14ac:dyDescent="0.55000000000000004">
      <c r="B176" s="3">
        <v>2020</v>
      </c>
      <c r="C176" s="334">
        <f t="shared" si="44"/>
        <v>933.18915887538776</v>
      </c>
      <c r="D176" s="532">
        <f>'Food System Summary'!E18-'Food System Summary'!F18</f>
        <v>1355.9865487719776</v>
      </c>
      <c r="E176" s="338">
        <f t="shared" si="72"/>
        <v>1.4530671899426209</v>
      </c>
      <c r="F176" s="338">
        <f t="shared" si="50"/>
        <v>0.63692988475633994</v>
      </c>
      <c r="G176" s="334">
        <f t="shared" si="51"/>
        <v>1.0375732383670022</v>
      </c>
      <c r="H176" s="338">
        <f t="shared" si="73"/>
        <v>1.1118573640711928E-3</v>
      </c>
      <c r="I176" s="334">
        <f t="shared" si="74"/>
        <v>-423.83496313495681</v>
      </c>
      <c r="J176" s="338">
        <f t="shared" si="75"/>
        <v>-0.45417904730669195</v>
      </c>
      <c r="K176" s="338">
        <f t="shared" si="52"/>
        <v>-0.19908247207152116</v>
      </c>
      <c r="N176" s="3">
        <v>2020</v>
      </c>
      <c r="O176" s="1205">
        <f t="shared" si="53"/>
        <v>431.35895949500389</v>
      </c>
      <c r="P176" s="1205">
        <f t="shared" si="54"/>
        <v>1.2764267616330194</v>
      </c>
      <c r="Q176" s="1205">
        <f t="shared" si="55"/>
        <v>266.74864241950871</v>
      </c>
      <c r="R176" s="1205">
        <f t="shared" si="76"/>
        <v>163.33389031386213</v>
      </c>
      <c r="S176" s="1206">
        <f>Paper!E67</f>
        <v>424.86563496218895</v>
      </c>
      <c r="T176" s="1205">
        <f t="shared" si="56"/>
        <v>158.11699254268024</v>
      </c>
      <c r="U176" s="1206">
        <f>Paper!I67</f>
        <v>21.211686174012073</v>
      </c>
      <c r="V176" s="1205">
        <f t="shared" si="57"/>
        <v>136.90530636866816</v>
      </c>
      <c r="Y176" s="609">
        <f t="shared" si="77"/>
        <v>2020</v>
      </c>
      <c r="Z176" s="335">
        <f t="shared" si="58"/>
        <v>2235.4879894080063</v>
      </c>
      <c r="AA176" s="335">
        <f t="shared" si="59"/>
        <v>1349.1971703529148</v>
      </c>
      <c r="AB176" s="335">
        <f t="shared" si="60"/>
        <v>179.07781811226951</v>
      </c>
      <c r="AC176" s="335">
        <f t="shared" si="61"/>
        <v>312.70631564662119</v>
      </c>
      <c r="AD176" s="335">
        <f t="shared" si="62"/>
        <v>266.74864241950871</v>
      </c>
      <c r="AE176" s="335">
        <f>MIN(Paper!H67,Paper!I67)</f>
        <v>21.211686174012073</v>
      </c>
      <c r="AF176" s="335">
        <f t="shared" si="63"/>
        <v>106.54635670267987</v>
      </c>
      <c r="AG176" s="533"/>
      <c r="AI176" s="609">
        <f t="shared" si="64"/>
        <v>2020</v>
      </c>
      <c r="AJ176" s="335">
        <f t="shared" si="65"/>
        <v>1095.7744468265264</v>
      </c>
      <c r="AK176" s="335">
        <f t="shared" si="66"/>
        <v>-342.50157031096518</v>
      </c>
      <c r="AL176" s="335">
        <f t="shared" si="67"/>
        <v>0.83846424755707372</v>
      </c>
      <c r="AM176" s="335">
        <f t="shared" si="68"/>
        <v>162.01130432391116</v>
      </c>
      <c r="AN176" s="335">
        <f t="shared" si="69"/>
        <v>289.67589436440221</v>
      </c>
      <c r="AO176" s="335">
        <f t="shared" si="78"/>
        <v>136.90530636866816</v>
      </c>
      <c r="AP176" s="335">
        <f t="shared" si="70"/>
        <v>6.4933245328149383</v>
      </c>
      <c r="AS176" s="609">
        <f t="shared" si="71"/>
        <v>2020</v>
      </c>
      <c r="AT176" s="335">
        <f t="shared" si="45"/>
        <v>179.07781811226951</v>
      </c>
      <c r="AU176" s="335">
        <f t="shared" si="46"/>
        <v>312.70631564662119</v>
      </c>
      <c r="AV176" s="335">
        <f t="shared" si="47"/>
        <v>266.74864241950871</v>
      </c>
      <c r="AW176" s="335">
        <f t="shared" si="48"/>
        <v>21.211686174012073</v>
      </c>
      <c r="AX176" s="335">
        <f t="shared" si="49"/>
        <v>106.54635670267987</v>
      </c>
      <c r="AY176" s="335">
        <f t="shared" si="79"/>
        <v>273.17799049209589</v>
      </c>
      <c r="AZ176" s="335">
        <f t="shared" si="80"/>
        <v>1076.0191798608189</v>
      </c>
    </row>
    <row r="177" spans="2:52" ht="14.4" x14ac:dyDescent="0.55000000000000004">
      <c r="B177" s="3">
        <v>2021</v>
      </c>
      <c r="C177" s="334">
        <f t="shared" si="44"/>
        <v>898.98723765974034</v>
      </c>
      <c r="D177" s="532">
        <f>'Food System Summary'!E19-'Food System Summary'!F19</f>
        <v>1320.8719217370885</v>
      </c>
      <c r="E177" s="338">
        <f t="shared" si="72"/>
        <v>1.4692888468312475</v>
      </c>
      <c r="F177" s="338">
        <f t="shared" si="50"/>
        <v>0.62595066025809254</v>
      </c>
      <c r="G177" s="334">
        <f t="shared" si="51"/>
        <v>1.1162132234231157</v>
      </c>
      <c r="H177" s="338">
        <f t="shared" si="73"/>
        <v>1.241634115217099E-3</v>
      </c>
      <c r="I177" s="334">
        <f t="shared" si="74"/>
        <v>-423.00089730077133</v>
      </c>
      <c r="J177" s="338">
        <f t="shared" si="75"/>
        <v>-0.47053048094646466</v>
      </c>
      <c r="K177" s="338">
        <f t="shared" si="52"/>
        <v>-0.20045674875651251</v>
      </c>
      <c r="N177" s="3">
        <v>2021</v>
      </c>
      <c r="O177" s="1205">
        <f t="shared" si="53"/>
        <v>439.28218533793995</v>
      </c>
      <c r="P177" s="1205">
        <f t="shared" si="54"/>
        <v>1.2997867765769096</v>
      </c>
      <c r="Q177" s="1205">
        <f t="shared" si="55"/>
        <v>277.33210027765085</v>
      </c>
      <c r="R177" s="1205">
        <f t="shared" si="76"/>
        <v>160.65029828371217</v>
      </c>
      <c r="S177" s="1206">
        <f>Paper!E68</f>
        <v>435.00883978153735</v>
      </c>
      <c r="T177" s="1205">
        <f t="shared" si="56"/>
        <v>157.67673950388649</v>
      </c>
      <c r="U177" s="1206">
        <f>Paper!I68</f>
        <v>20.865617033883495</v>
      </c>
      <c r="V177" s="1205">
        <f t="shared" si="57"/>
        <v>136.811122470003</v>
      </c>
      <c r="Y177" s="609">
        <f t="shared" si="77"/>
        <v>2021</v>
      </c>
      <c r="Z177" s="335">
        <f t="shared" si="58"/>
        <v>2270.2853275329462</v>
      </c>
      <c r="AA177" s="335">
        <f t="shared" si="59"/>
        <v>1300.3690031264036</v>
      </c>
      <c r="AB177" s="335">
        <f t="shared" si="60"/>
        <v>189.72182074311098</v>
      </c>
      <c r="AC177" s="335">
        <f t="shared" si="61"/>
        <v>321.89682261817683</v>
      </c>
      <c r="AD177" s="335">
        <f t="shared" si="62"/>
        <v>277.33210027765085</v>
      </c>
      <c r="AE177" s="335">
        <f>MIN(Paper!H68,Paper!I68)</f>
        <v>20.865617033883495</v>
      </c>
      <c r="AF177" s="335">
        <f t="shared" si="63"/>
        <v>160.09996373372053</v>
      </c>
      <c r="AG177" s="533"/>
      <c r="AI177" s="609">
        <f t="shared" si="64"/>
        <v>2021</v>
      </c>
      <c r="AJ177" s="335">
        <f t="shared" si="65"/>
        <v>1042.1157665187184</v>
      </c>
      <c r="AK177" s="335">
        <f t="shared" si="66"/>
        <v>-333.73099774047637</v>
      </c>
      <c r="AL177" s="335">
        <f t="shared" si="67"/>
        <v>0.880648138387366</v>
      </c>
      <c r="AM177" s="335">
        <f t="shared" si="68"/>
        <v>164.16935618557403</v>
      </c>
      <c r="AN177" s="335">
        <f t="shared" si="69"/>
        <v>285.84976199779459</v>
      </c>
      <c r="AO177" s="335">
        <f t="shared" si="78"/>
        <v>136.811122470003</v>
      </c>
      <c r="AP177" s="335">
        <f t="shared" si="70"/>
        <v>4.2733455564026031</v>
      </c>
      <c r="AS177" s="609">
        <f t="shared" si="71"/>
        <v>2021</v>
      </c>
      <c r="AT177" s="335">
        <f t="shared" si="45"/>
        <v>189.72182074311098</v>
      </c>
      <c r="AU177" s="335">
        <f t="shared" si="46"/>
        <v>321.89682261817683</v>
      </c>
      <c r="AV177" s="335">
        <f t="shared" si="47"/>
        <v>277.33210027765085</v>
      </c>
      <c r="AW177" s="335">
        <f t="shared" si="48"/>
        <v>20.865617033883495</v>
      </c>
      <c r="AX177" s="335">
        <f t="shared" si="49"/>
        <v>160.09996373372053</v>
      </c>
      <c r="AY177" s="335">
        <f t="shared" si="79"/>
        <v>297.36425092534949</v>
      </c>
      <c r="AZ177" s="335">
        <f t="shared" si="80"/>
        <v>1003.0047522010541</v>
      </c>
    </row>
    <row r="178" spans="2:52" ht="14.4" x14ac:dyDescent="0.55000000000000004">
      <c r="B178" s="3">
        <v>2022</v>
      </c>
      <c r="C178" s="334">
        <f t="shared" si="44"/>
        <v>864.66805650625145</v>
      </c>
      <c r="D178" s="532">
        <f>'Food System Summary'!E20-'Food System Summary'!F20</f>
        <v>1285.312341094442</v>
      </c>
      <c r="E178" s="338">
        <f t="shared" si="72"/>
        <v>1.4864806574303573</v>
      </c>
      <c r="F178" s="338">
        <f t="shared" si="50"/>
        <v>0.61449356297687541</v>
      </c>
      <c r="G178" s="334">
        <f t="shared" si="51"/>
        <v>1.1967848404478842</v>
      </c>
      <c r="H178" s="338">
        <f t="shared" si="73"/>
        <v>1.3840974365163584E-3</v>
      </c>
      <c r="I178" s="334">
        <f t="shared" si="74"/>
        <v>-421.84106942863843</v>
      </c>
      <c r="J178" s="338">
        <f t="shared" si="75"/>
        <v>-0.4878647548668737</v>
      </c>
      <c r="K178" s="338">
        <f t="shared" si="52"/>
        <v>-0.20167753274854197</v>
      </c>
      <c r="N178" s="3">
        <v>2022</v>
      </c>
      <c r="O178" s="1205">
        <f t="shared" si="53"/>
        <v>447.57194574128391</v>
      </c>
      <c r="P178" s="1205">
        <f t="shared" si="54"/>
        <v>1.3212151595521449</v>
      </c>
      <c r="Q178" s="1205">
        <f t="shared" si="55"/>
        <v>288.59537864722978</v>
      </c>
      <c r="R178" s="1205">
        <f t="shared" si="76"/>
        <v>157.65535193450199</v>
      </c>
      <c r="S178" s="1206">
        <f>Paper!E69</f>
        <v>444.54089977599546</v>
      </c>
      <c r="T178" s="1205">
        <f t="shared" si="56"/>
        <v>155.94552112876568</v>
      </c>
      <c r="U178" s="1206">
        <f>Paper!I69</f>
        <v>20.526417357201581</v>
      </c>
      <c r="V178" s="1205">
        <f t="shared" si="57"/>
        <v>135.4191037715641</v>
      </c>
      <c r="Y178" s="609">
        <f t="shared" si="77"/>
        <v>2022</v>
      </c>
      <c r="Z178" s="335">
        <f t="shared" si="58"/>
        <v>2305.4281717581962</v>
      </c>
      <c r="AA178" s="335">
        <f t="shared" si="59"/>
        <v>1250.7173756721616</v>
      </c>
      <c r="AB178" s="335">
        <f t="shared" si="60"/>
        <v>200.62773406524477</v>
      </c>
      <c r="AC178" s="335">
        <f t="shared" si="61"/>
        <v>331.19429062257535</v>
      </c>
      <c r="AD178" s="335">
        <f t="shared" si="62"/>
        <v>288.59537864722978</v>
      </c>
      <c r="AE178" s="335">
        <f>MIN(Paper!H69,Paper!I69)</f>
        <v>20.526417357201581</v>
      </c>
      <c r="AF178" s="335">
        <f t="shared" si="63"/>
        <v>213.7669753937831</v>
      </c>
      <c r="AG178" s="533"/>
      <c r="AI178" s="609">
        <f t="shared" si="64"/>
        <v>2022</v>
      </c>
      <c r="AJ178" s="335">
        <f t="shared" si="65"/>
        <v>987.08309506237401</v>
      </c>
      <c r="AK178" s="335">
        <f t="shared" si="66"/>
        <v>-323.96186912940146</v>
      </c>
      <c r="AL178" s="335">
        <f t="shared" si="67"/>
        <v>0.91909650803409337</v>
      </c>
      <c r="AM178" s="335">
        <f t="shared" si="68"/>
        <v>166.21073226054577</v>
      </c>
      <c r="AN178" s="335">
        <f t="shared" si="69"/>
        <v>282.01617123375655</v>
      </c>
      <c r="AO178" s="335">
        <f t="shared" si="78"/>
        <v>135.4191037715641</v>
      </c>
      <c r="AP178" s="335">
        <f t="shared" si="70"/>
        <v>3.0310459652885697</v>
      </c>
      <c r="AS178" s="609">
        <f t="shared" si="71"/>
        <v>2022</v>
      </c>
      <c r="AT178" s="335">
        <f t="shared" si="45"/>
        <v>200.62773406524477</v>
      </c>
      <c r="AU178" s="335">
        <f t="shared" si="46"/>
        <v>331.19429062257535</v>
      </c>
      <c r="AV178" s="335">
        <f t="shared" si="47"/>
        <v>288.59537864722978</v>
      </c>
      <c r="AW178" s="335">
        <f t="shared" si="48"/>
        <v>20.526417357201581</v>
      </c>
      <c r="AX178" s="335">
        <f t="shared" si="49"/>
        <v>213.7669753937831</v>
      </c>
      <c r="AY178" s="335">
        <f t="shared" si="79"/>
        <v>322.81854120686864</v>
      </c>
      <c r="AZ178" s="335">
        <f t="shared" si="80"/>
        <v>927.89883446529291</v>
      </c>
    </row>
    <row r="179" spans="2:52" ht="14.4" x14ac:dyDescent="0.55000000000000004">
      <c r="B179" s="3">
        <v>2023</v>
      </c>
      <c r="C179" s="334">
        <f t="shared" si="44"/>
        <v>829.94195416967204</v>
      </c>
      <c r="D179" s="532">
        <f>'Food System Summary'!E21-'Food System Summary'!F21</f>
        <v>1249.3907562941649</v>
      </c>
      <c r="E179" s="338">
        <f t="shared" si="72"/>
        <v>1.5053953472494794</v>
      </c>
      <c r="F179" s="338">
        <f t="shared" si="50"/>
        <v>0.602797634703229</v>
      </c>
      <c r="G179" s="334">
        <f t="shared" si="51"/>
        <v>1.2899694189602469</v>
      </c>
      <c r="H179" s="338">
        <f t="shared" si="73"/>
        <v>1.5542887216140511E-3</v>
      </c>
      <c r="I179" s="334">
        <f t="shared" si="74"/>
        <v>-420.73877154345314</v>
      </c>
      <c r="J179" s="338">
        <f t="shared" si="75"/>
        <v>-0.50694963597109344</v>
      </c>
      <c r="K179" s="338">
        <f t="shared" si="52"/>
        <v>-0.20299520789364775</v>
      </c>
      <c r="N179" s="3">
        <v>2023</v>
      </c>
      <c r="O179" s="1205">
        <f t="shared" si="53"/>
        <v>456.07158944859248</v>
      </c>
      <c r="P179" s="1205">
        <f t="shared" si="54"/>
        <v>1.3300305810397577</v>
      </c>
      <c r="Q179" s="1205">
        <f t="shared" si="55"/>
        <v>300.69650525974652</v>
      </c>
      <c r="R179" s="1205">
        <f t="shared" si="76"/>
        <v>154.04505360780621</v>
      </c>
      <c r="S179" s="1206">
        <f>Paper!E70</f>
        <v>454.17772675559291</v>
      </c>
      <c r="T179" s="1205">
        <f t="shared" si="56"/>
        <v>153.4812214958464</v>
      </c>
      <c r="U179" s="1206">
        <f>Paper!I70</f>
        <v>20.195657427249955</v>
      </c>
      <c r="V179" s="1205">
        <f t="shared" si="57"/>
        <v>133.28556406859644</v>
      </c>
      <c r="Y179" s="609">
        <f t="shared" si="77"/>
        <v>2023</v>
      </c>
      <c r="Z179" s="335">
        <f t="shared" si="58"/>
        <v>2340.1548550480929</v>
      </c>
      <c r="AA179" s="335">
        <f t="shared" si="59"/>
        <v>1199.5452073724309</v>
      </c>
      <c r="AB179" s="335">
        <f t="shared" si="60"/>
        <v>211.72829404443874</v>
      </c>
      <c r="AC179" s="335">
        <f t="shared" si="61"/>
        <v>340.4880497901313</v>
      </c>
      <c r="AD179" s="335">
        <f t="shared" si="62"/>
        <v>300.69650525974652</v>
      </c>
      <c r="AE179" s="335">
        <f>MIN(Paper!H70,Paper!I70)</f>
        <v>20.195657427249955</v>
      </c>
      <c r="AF179" s="335">
        <f t="shared" si="63"/>
        <v>267.50114115409565</v>
      </c>
      <c r="AG179" s="533"/>
      <c r="AI179" s="609">
        <f t="shared" si="64"/>
        <v>2023</v>
      </c>
      <c r="AJ179" s="335">
        <f t="shared" si="65"/>
        <v>930.65596755859724</v>
      </c>
      <c r="AK179" s="335">
        <f t="shared" si="66"/>
        <v>-313.40318995284429</v>
      </c>
      <c r="AL179" s="335">
        <f t="shared" si="67"/>
        <v>0.96088251948039227</v>
      </c>
      <c r="AM179" s="335">
        <f t="shared" si="68"/>
        <v>168.13054225288133</v>
      </c>
      <c r="AN179" s="335">
        <f t="shared" si="69"/>
        <v>278.02157823272034</v>
      </c>
      <c r="AO179" s="335">
        <f t="shared" si="78"/>
        <v>133.28556406859644</v>
      </c>
      <c r="AP179" s="335">
        <f t="shared" si="70"/>
        <v>1.8938626929994484</v>
      </c>
      <c r="AS179" s="609">
        <f t="shared" si="71"/>
        <v>2023</v>
      </c>
      <c r="AT179" s="335">
        <f t="shared" si="45"/>
        <v>211.72829404443874</v>
      </c>
      <c r="AU179" s="335">
        <f t="shared" si="46"/>
        <v>340.4880497901313</v>
      </c>
      <c r="AV179" s="335">
        <f t="shared" si="47"/>
        <v>300.69650525974652</v>
      </c>
      <c r="AW179" s="335">
        <f t="shared" si="48"/>
        <v>20.195657427249955</v>
      </c>
      <c r="AX179" s="335">
        <f t="shared" si="49"/>
        <v>267.50114115409565</v>
      </c>
      <c r="AY179" s="335">
        <f t="shared" si="79"/>
        <v>348.23572707903827</v>
      </c>
      <c r="AZ179" s="335">
        <f t="shared" si="80"/>
        <v>851.30948029339265</v>
      </c>
    </row>
    <row r="180" spans="2:52" ht="14.4" x14ac:dyDescent="0.55000000000000004">
      <c r="B180" s="3">
        <v>2024</v>
      </c>
      <c r="C180" s="334">
        <f t="shared" si="44"/>
        <v>796.73085905721769</v>
      </c>
      <c r="D180" s="532">
        <f>'Food System Summary'!E22-'Food System Summary'!F22</f>
        <v>1213.1795935141083</v>
      </c>
      <c r="E180" s="338">
        <f t="shared" si="72"/>
        <v>1.5226968802861232</v>
      </c>
      <c r="F180" s="338">
        <f t="shared" si="50"/>
        <v>0.59088282023546412</v>
      </c>
      <c r="G180" s="334">
        <f t="shared" si="51"/>
        <v>3.2883089018660576</v>
      </c>
      <c r="H180" s="338">
        <f t="shared" si="73"/>
        <v>4.1272518372856273E-3</v>
      </c>
      <c r="I180" s="334">
        <f t="shared" si="74"/>
        <v>-419.73704335875669</v>
      </c>
      <c r="J180" s="338">
        <f t="shared" si="75"/>
        <v>-0.52682413212340884</v>
      </c>
      <c r="K180" s="338">
        <f t="shared" si="52"/>
        <v>-0.20443420682564686</v>
      </c>
      <c r="N180" s="3">
        <v>2024</v>
      </c>
      <c r="O180" s="1205">
        <f t="shared" si="53"/>
        <v>464.76380921850193</v>
      </c>
      <c r="P180" s="1205">
        <f t="shared" si="54"/>
        <v>3.2767261560865699</v>
      </c>
      <c r="Q180" s="1205">
        <f t="shared" si="55"/>
        <v>313.60754265234237</v>
      </c>
      <c r="R180" s="1205">
        <f t="shared" si="76"/>
        <v>147.87954041007299</v>
      </c>
      <c r="S180" s="1206">
        <f>Paper!E71</f>
        <v>463.86975570882623</v>
      </c>
      <c r="T180" s="1205">
        <f t="shared" si="56"/>
        <v>150.26221305648386</v>
      </c>
      <c r="U180" s="1206">
        <f>Paper!I71</f>
        <v>19.87625010055757</v>
      </c>
      <c r="V180" s="1205">
        <f t="shared" si="57"/>
        <v>130.38596295592629</v>
      </c>
      <c r="Y180" s="609">
        <f t="shared" si="77"/>
        <v>2024</v>
      </c>
      <c r="Z180" s="335">
        <f t="shared" si="58"/>
        <v>2374.4267580491282</v>
      </c>
      <c r="AA180" s="335">
        <f t="shared" si="59"/>
        <v>1146.8985744055938</v>
      </c>
      <c r="AB180" s="335">
        <f t="shared" si="60"/>
        <v>223.01384741942891</v>
      </c>
      <c r="AC180" s="335">
        <f t="shared" si="61"/>
        <v>349.76822339077961</v>
      </c>
      <c r="AD180" s="335">
        <f t="shared" si="62"/>
        <v>313.60754265234237</v>
      </c>
      <c r="AE180" s="335">
        <f>MIN(Paper!H71,Paper!I71)</f>
        <v>19.87625010055757</v>
      </c>
      <c r="AF180" s="335">
        <f t="shared" si="63"/>
        <v>321.26232008042575</v>
      </c>
      <c r="AG180" s="533"/>
      <c r="AI180" s="609">
        <f t="shared" si="64"/>
        <v>2024</v>
      </c>
      <c r="AJ180" s="335">
        <f t="shared" si="65"/>
        <v>873.59710378793841</v>
      </c>
      <c r="AK180" s="335">
        <f t="shared" si="66"/>
        <v>-302.24796674051373</v>
      </c>
      <c r="AL180" s="335">
        <f t="shared" si="67"/>
        <v>2.367874590364083</v>
      </c>
      <c r="AM180" s="335">
        <f t="shared" si="68"/>
        <v>168.26033971663099</v>
      </c>
      <c r="AN180" s="335">
        <f t="shared" si="69"/>
        <v>273.64120658557209</v>
      </c>
      <c r="AO180" s="335">
        <f t="shared" si="78"/>
        <v>130.38596295592629</v>
      </c>
      <c r="AP180" s="335">
        <f t="shared" si="70"/>
        <v>0.8940535096757003</v>
      </c>
      <c r="AS180" s="609">
        <f t="shared" si="71"/>
        <v>2024</v>
      </c>
      <c r="AT180" s="335">
        <f t="shared" si="45"/>
        <v>223.01384741942891</v>
      </c>
      <c r="AU180" s="335">
        <f t="shared" si="46"/>
        <v>349.76822339077961</v>
      </c>
      <c r="AV180" s="335">
        <f t="shared" si="47"/>
        <v>313.60754265234237</v>
      </c>
      <c r="AW180" s="335">
        <f t="shared" si="48"/>
        <v>19.87625010055757</v>
      </c>
      <c r="AX180" s="335">
        <f t="shared" si="49"/>
        <v>321.26232008042575</v>
      </c>
      <c r="AY180" s="335">
        <f t="shared" si="79"/>
        <v>373.61608173336145</v>
      </c>
      <c r="AZ180" s="335">
        <f t="shared" si="80"/>
        <v>773.28249267223237</v>
      </c>
    </row>
    <row r="181" spans="2:52" ht="14.4" x14ac:dyDescent="0.55000000000000004">
      <c r="B181" s="3">
        <v>2025</v>
      </c>
      <c r="C181" s="334">
        <f t="shared" si="44"/>
        <v>761.44132879560607</v>
      </c>
      <c r="D181" s="532">
        <f>'Food System Summary'!E23-'Food System Summary'!F23</f>
        <v>1176.7413054153897</v>
      </c>
      <c r="E181" s="338">
        <f t="shared" si="72"/>
        <v>1.5454129700008215</v>
      </c>
      <c r="F181" s="338">
        <f t="shared" si="50"/>
        <v>0.57905871737780179</v>
      </c>
      <c r="G181" s="334">
        <f t="shared" si="51"/>
        <v>5.0827611277477738</v>
      </c>
      <c r="H181" s="338">
        <f t="shared" si="73"/>
        <v>6.6751842007148803E-3</v>
      </c>
      <c r="I181" s="334">
        <f t="shared" si="74"/>
        <v>-420.38273774753139</v>
      </c>
      <c r="J181" s="338">
        <f t="shared" si="75"/>
        <v>-0.55208815420153645</v>
      </c>
      <c r="K181" s="338">
        <f t="shared" si="52"/>
        <v>-0.20686474402453722</v>
      </c>
      <c r="N181" s="3">
        <v>2025</v>
      </c>
      <c r="O181" s="1205">
        <f t="shared" si="53"/>
        <v>474.45456454294197</v>
      </c>
      <c r="P181" s="1205">
        <f t="shared" si="54"/>
        <v>4.8211895180733952</v>
      </c>
      <c r="Q181" s="1205">
        <f t="shared" si="55"/>
        <v>328.35899459354056</v>
      </c>
      <c r="R181" s="1205">
        <f t="shared" si="76"/>
        <v>141.27438043132804</v>
      </c>
      <c r="S181" s="1206">
        <f>Paper!E72</f>
        <v>474.09423178165162</v>
      </c>
      <c r="T181" s="1205">
        <f t="shared" si="56"/>
        <v>145.73523718811106</v>
      </c>
      <c r="U181" s="1206">
        <f>Paper!I72</f>
        <v>19.566727324782846</v>
      </c>
      <c r="V181" s="1205">
        <f t="shared" si="57"/>
        <v>126.16850986332821</v>
      </c>
      <c r="Y181" s="609">
        <f t="shared" si="77"/>
        <v>2025</v>
      </c>
      <c r="Z181" s="335">
        <f t="shared" si="58"/>
        <v>2407.1768875846901</v>
      </c>
      <c r="AA181" s="335">
        <f t="shared" si="59"/>
        <v>1091.202246528379</v>
      </c>
      <c r="AB181" s="335">
        <f t="shared" si="60"/>
        <v>234.1620096494986</v>
      </c>
      <c r="AC181" s="335">
        <f t="shared" si="61"/>
        <v>358.87233999154341</v>
      </c>
      <c r="AD181" s="335">
        <f t="shared" si="62"/>
        <v>328.35899459354056</v>
      </c>
      <c r="AE181" s="335">
        <f>MIN(Paper!H72,Paper!I72)</f>
        <v>19.566727324782846</v>
      </c>
      <c r="AF181" s="335">
        <f t="shared" si="63"/>
        <v>375.01456949694608</v>
      </c>
      <c r="AG181" s="533"/>
      <c r="AI181" s="609">
        <f t="shared" si="64"/>
        <v>2025</v>
      </c>
      <c r="AJ181" s="335">
        <f t="shared" si="65"/>
        <v>814.86429862159707</v>
      </c>
      <c r="AK181" s="335">
        <f t="shared" si="66"/>
        <v>-291.10466605601732</v>
      </c>
      <c r="AL181" s="335">
        <f t="shared" si="67"/>
        <v>3.5196865805277957</v>
      </c>
      <c r="AM181" s="335">
        <f t="shared" si="68"/>
        <v>168.75434474712256</v>
      </c>
      <c r="AN181" s="335">
        <f t="shared" si="69"/>
        <v>268.63974001053009</v>
      </c>
      <c r="AO181" s="335">
        <f t="shared" si="78"/>
        <v>126.16850986332821</v>
      </c>
      <c r="AP181" s="335">
        <f t="shared" si="70"/>
        <v>0.36033276129052183</v>
      </c>
      <c r="AS181" s="609">
        <f t="shared" si="71"/>
        <v>2025</v>
      </c>
      <c r="AT181" s="335">
        <f t="shared" si="45"/>
        <v>234.1620096494986</v>
      </c>
      <c r="AU181" s="335">
        <f t="shared" si="46"/>
        <v>358.87233999154341</v>
      </c>
      <c r="AV181" s="335">
        <f t="shared" si="47"/>
        <v>328.35899459354056</v>
      </c>
      <c r="AW181" s="335">
        <f t="shared" si="48"/>
        <v>19.566727324782846</v>
      </c>
      <c r="AX181" s="335">
        <f t="shared" si="49"/>
        <v>375.01456949694608</v>
      </c>
      <c r="AY181" s="335">
        <f t="shared" si="79"/>
        <v>396.94034470855428</v>
      </c>
      <c r="AZ181" s="335">
        <f t="shared" si="80"/>
        <v>694.26190181982474</v>
      </c>
    </row>
    <row r="182" spans="2:52" ht="14.4" x14ac:dyDescent="0.55000000000000004">
      <c r="B182" s="3">
        <v>2026</v>
      </c>
      <c r="C182" s="334">
        <f t="shared" si="44"/>
        <v>733.31958833129875</v>
      </c>
      <c r="D182" s="532">
        <f>'Food System Summary'!E24-'Food System Summary'!F24</f>
        <v>1140.1285774633711</v>
      </c>
      <c r="E182" s="338">
        <f t="shared" si="72"/>
        <v>1.5547499284149551</v>
      </c>
      <c r="F182" s="338">
        <f t="shared" si="50"/>
        <v>0.56408653389966501</v>
      </c>
      <c r="G182" s="334">
        <f t="shared" si="51"/>
        <v>7.3778502625374962</v>
      </c>
      <c r="H182" s="338">
        <f t="shared" si="73"/>
        <v>1.0060893476643821E-2</v>
      </c>
      <c r="I182" s="334">
        <f t="shared" si="74"/>
        <v>-414.18683939460988</v>
      </c>
      <c r="J182" s="338">
        <f t="shared" si="75"/>
        <v>-0.56481082189159904</v>
      </c>
      <c r="K182" s="338">
        <f t="shared" si="52"/>
        <v>-0.20492181604707541</v>
      </c>
      <c r="N182" s="3">
        <v>2026</v>
      </c>
      <c r="O182" s="1205">
        <f t="shared" si="53"/>
        <v>484.32983940790621</v>
      </c>
      <c r="P182" s="1205">
        <f t="shared" si="54"/>
        <v>6.6691932477095257</v>
      </c>
      <c r="Q182" s="1205">
        <f t="shared" si="55"/>
        <v>341.83327703330821</v>
      </c>
      <c r="R182" s="1205">
        <f t="shared" si="76"/>
        <v>135.82736912688847</v>
      </c>
      <c r="S182" s="1206">
        <f>Paper!E73</f>
        <v>484.32983940790621</v>
      </c>
      <c r="T182" s="1205">
        <f t="shared" si="56"/>
        <v>142.496562374598</v>
      </c>
      <c r="U182" s="1206">
        <f>Paper!I73</f>
        <v>19.262519462537966</v>
      </c>
      <c r="V182" s="1205">
        <f t="shared" si="57"/>
        <v>123.23404291206003</v>
      </c>
      <c r="Y182" s="609">
        <f t="shared" si="77"/>
        <v>2026</v>
      </c>
      <c r="Z182" s="335">
        <f t="shared" si="58"/>
        <v>2449.9180750781911</v>
      </c>
      <c r="AA182" s="335">
        <f t="shared" si="59"/>
        <v>1043.6177034785167</v>
      </c>
      <c r="AB182" s="335">
        <f t="shared" si="60"/>
        <v>246.95310720809101</v>
      </c>
      <c r="AC182" s="335">
        <f t="shared" si="61"/>
        <v>369.52785314509538</v>
      </c>
      <c r="AD182" s="335">
        <f t="shared" si="62"/>
        <v>341.83327703330821</v>
      </c>
      <c r="AE182" s="335">
        <f>MIN(Paper!H73,Paper!I73)</f>
        <v>19.262519462537966</v>
      </c>
      <c r="AF182" s="335">
        <f t="shared" si="63"/>
        <v>428.72361475064184</v>
      </c>
      <c r="AG182" s="533"/>
      <c r="AI182" s="609">
        <f t="shared" si="64"/>
        <v>2026</v>
      </c>
      <c r="AJ182" s="335">
        <f t="shared" si="65"/>
        <v>756.17825170974083</v>
      </c>
      <c r="AK182" s="335">
        <f t="shared" si="66"/>
        <v>-274.70505194372379</v>
      </c>
      <c r="AL182" s="335">
        <f t="shared" si="67"/>
        <v>4.8932813571906912</v>
      </c>
      <c r="AM182" s="335">
        <f t="shared" si="68"/>
        <v>168.71371706496171</v>
      </c>
      <c r="AN182" s="335">
        <f t="shared" si="69"/>
        <v>265.30346237828712</v>
      </c>
      <c r="AO182" s="335">
        <f t="shared" si="78"/>
        <v>123.23404291206003</v>
      </c>
      <c r="AP182" s="335">
        <f t="shared" si="70"/>
        <v>0</v>
      </c>
      <c r="AS182" s="609">
        <f t="shared" si="71"/>
        <v>2026</v>
      </c>
      <c r="AT182" s="335">
        <f t="shared" si="45"/>
        <v>246.95310720809101</v>
      </c>
      <c r="AU182" s="335">
        <f t="shared" si="46"/>
        <v>369.52785314509538</v>
      </c>
      <c r="AV182" s="335">
        <f t="shared" si="47"/>
        <v>341.83327703330821</v>
      </c>
      <c r="AW182" s="335">
        <f t="shared" si="48"/>
        <v>19.262519462537966</v>
      </c>
      <c r="AX182" s="335">
        <f t="shared" si="49"/>
        <v>428.72361475064184</v>
      </c>
      <c r="AY182" s="335">
        <f t="shared" si="79"/>
        <v>423.67644056405226</v>
      </c>
      <c r="AZ182" s="335">
        <f t="shared" si="80"/>
        <v>619.94126291446446</v>
      </c>
    </row>
    <row r="183" spans="2:52" ht="14.4" x14ac:dyDescent="0.55000000000000004">
      <c r="B183" s="3">
        <v>2027</v>
      </c>
      <c r="C183" s="334">
        <f t="shared" si="44"/>
        <v>705.79550324464947</v>
      </c>
      <c r="D183" s="532">
        <f>'Food System Summary'!E25-'Food System Summary'!F25</f>
        <v>1103.3878681166595</v>
      </c>
      <c r="E183" s="338">
        <f t="shared" si="72"/>
        <v>1.5633251601125502</v>
      </c>
      <c r="F183" s="338">
        <f t="shared" si="50"/>
        <v>0.54821244960123949</v>
      </c>
      <c r="G183" s="334">
        <f t="shared" si="51"/>
        <v>10.199358946232589</v>
      </c>
      <c r="H183" s="338">
        <f t="shared" si="73"/>
        <v>1.4450869833180549E-2</v>
      </c>
      <c r="I183" s="334">
        <f t="shared" si="74"/>
        <v>-407.79172381824264</v>
      </c>
      <c r="J183" s="338">
        <f t="shared" si="75"/>
        <v>-0.57777602994573063</v>
      </c>
      <c r="K183" s="338">
        <f t="shared" si="52"/>
        <v>-0.20260916972296694</v>
      </c>
      <c r="N183" s="3">
        <v>2027</v>
      </c>
      <c r="O183" s="1205">
        <f t="shared" si="53"/>
        <v>495.98162236023802</v>
      </c>
      <c r="P183" s="1205">
        <f t="shared" si="54"/>
        <v>8.7957471298906036</v>
      </c>
      <c r="Q183" s="1205">
        <f t="shared" si="55"/>
        <v>357.161305301423</v>
      </c>
      <c r="R183" s="1205">
        <f t="shared" si="76"/>
        <v>130.02456992892439</v>
      </c>
      <c r="S183" s="1206">
        <f>Paper!E74</f>
        <v>495.41509035042276</v>
      </c>
      <c r="T183" s="1205">
        <f t="shared" si="56"/>
        <v>138.25378504899976</v>
      </c>
      <c r="U183" s="1206">
        <f>Paper!I74</f>
        <v>18.962000019246375</v>
      </c>
      <c r="V183" s="1205">
        <f t="shared" si="57"/>
        <v>119.29178502975338</v>
      </c>
      <c r="Y183" s="609">
        <f t="shared" si="77"/>
        <v>2027</v>
      </c>
      <c r="Z183" s="335">
        <f t="shared" si="58"/>
        <v>2495.0576024378797</v>
      </c>
      <c r="AA183" s="335">
        <f t="shared" si="59"/>
        <v>995.8974632540054</v>
      </c>
      <c r="AB183" s="335">
        <f t="shared" si="60"/>
        <v>260.06056510689001</v>
      </c>
      <c r="AC183" s="335">
        <f t="shared" si="61"/>
        <v>380.6198899393969</v>
      </c>
      <c r="AD183" s="335">
        <f t="shared" si="62"/>
        <v>357.161305301423</v>
      </c>
      <c r="AE183" s="335">
        <f>MIN(Paper!H74,Paper!I74)</f>
        <v>18.962000019246375</v>
      </c>
      <c r="AF183" s="335">
        <f t="shared" si="63"/>
        <v>482.35637881691815</v>
      </c>
      <c r="AG183" s="533"/>
      <c r="AI183" s="609">
        <f t="shared" si="64"/>
        <v>2027</v>
      </c>
      <c r="AJ183" s="335">
        <f t="shared" si="65"/>
        <v>696.82864353197044</v>
      </c>
      <c r="AK183" s="335">
        <f t="shared" si="66"/>
        <v>-257.53496296534053</v>
      </c>
      <c r="AL183" s="335">
        <f t="shared" si="67"/>
        <v>6.4412575711295466</v>
      </c>
      <c r="AM183" s="335">
        <f t="shared" si="68"/>
        <v>168.1469519198879</v>
      </c>
      <c r="AN183" s="335">
        <f t="shared" si="69"/>
        <v>262.15725615678946</v>
      </c>
      <c r="AO183" s="335">
        <f t="shared" si="78"/>
        <v>119.29178502975338</v>
      </c>
      <c r="AP183" s="335">
        <f t="shared" si="70"/>
        <v>0.56653200981526197</v>
      </c>
      <c r="AS183" s="609">
        <f t="shared" si="71"/>
        <v>2027</v>
      </c>
      <c r="AT183" s="335">
        <f t="shared" si="45"/>
        <v>260.06056510689001</v>
      </c>
      <c r="AU183" s="335">
        <f t="shared" si="46"/>
        <v>380.6198899393969</v>
      </c>
      <c r="AV183" s="335">
        <f t="shared" si="47"/>
        <v>357.161305301423</v>
      </c>
      <c r="AW183" s="335">
        <f t="shared" si="48"/>
        <v>18.962000019246375</v>
      </c>
      <c r="AX183" s="335">
        <f t="shared" si="49"/>
        <v>482.35637881691815</v>
      </c>
      <c r="AY183" s="335">
        <f t="shared" si="79"/>
        <v>448.33821664518143</v>
      </c>
      <c r="AZ183" s="335">
        <f t="shared" si="80"/>
        <v>547.55924660882397</v>
      </c>
    </row>
    <row r="184" spans="2:52" ht="14.4" x14ac:dyDescent="0.55000000000000004">
      <c r="B184" s="3">
        <v>2028</v>
      </c>
      <c r="C184" s="334">
        <f t="shared" si="44"/>
        <v>678.60735853019071</v>
      </c>
      <c r="D184" s="532">
        <f>'Food System Summary'!E26-'Food System Summary'!F26</f>
        <v>1066.5617366720546</v>
      </c>
      <c r="E184" s="338">
        <f t="shared" si="72"/>
        <v>1.5716919707180041</v>
      </c>
      <c r="F184" s="338">
        <f t="shared" si="50"/>
        <v>0.53225635140225425</v>
      </c>
      <c r="G184" s="334">
        <f t="shared" si="51"/>
        <v>13.571806207159989</v>
      </c>
      <c r="H184" s="338">
        <f t="shared" si="73"/>
        <v>1.9999497554160681E-2</v>
      </c>
      <c r="I184" s="334">
        <f t="shared" si="74"/>
        <v>-401.52618434902388</v>
      </c>
      <c r="J184" s="338">
        <f t="shared" si="75"/>
        <v>-0.59169146827216479</v>
      </c>
      <c r="K184" s="338">
        <f t="shared" si="52"/>
        <v>-0.20037739450594336</v>
      </c>
      <c r="N184" s="3">
        <v>2028</v>
      </c>
      <c r="O184" s="1205">
        <f t="shared" si="53"/>
        <v>507.81399693935202</v>
      </c>
      <c r="P184" s="1205">
        <f t="shared" si="54"/>
        <v>11.177124560484208</v>
      </c>
      <c r="Q184" s="1205">
        <f t="shared" si="55"/>
        <v>386.08909496320052</v>
      </c>
      <c r="R184" s="1205">
        <f t="shared" si="76"/>
        <v>110.54777741566727</v>
      </c>
      <c r="S184" s="1206">
        <f>Paper!E75</f>
        <v>506.50122051119558</v>
      </c>
      <c r="T184" s="1205">
        <f t="shared" si="56"/>
        <v>120.41212554799506</v>
      </c>
      <c r="U184" s="1206">
        <f>Paper!I75</f>
        <v>18.66806861830139</v>
      </c>
      <c r="V184" s="1205">
        <f t="shared" si="57"/>
        <v>101.74405692969367</v>
      </c>
      <c r="Y184" s="609">
        <f t="shared" si="77"/>
        <v>2028</v>
      </c>
      <c r="Z184" s="335">
        <f t="shared" si="58"/>
        <v>2539.731549883209</v>
      </c>
      <c r="AA184" s="335">
        <f t="shared" si="59"/>
        <v>933.96188159350788</v>
      </c>
      <c r="AB184" s="335">
        <f t="shared" si="60"/>
        <v>273.41181106170205</v>
      </c>
      <c r="AC184" s="335">
        <f t="shared" si="61"/>
        <v>391.71885614745759</v>
      </c>
      <c r="AD184" s="335">
        <f t="shared" si="62"/>
        <v>386.08909496320052</v>
      </c>
      <c r="AE184" s="335">
        <f>MIN(Paper!H75,Paper!I75)</f>
        <v>18.66806861830139</v>
      </c>
      <c r="AF184" s="335">
        <f t="shared" si="63"/>
        <v>535.88183749903942</v>
      </c>
      <c r="AG184" s="533"/>
      <c r="AI184" s="609">
        <f t="shared" si="64"/>
        <v>2028</v>
      </c>
      <c r="AJ184" s="335">
        <f t="shared" si="65"/>
        <v>636.84258852690959</v>
      </c>
      <c r="AK184" s="335">
        <f t="shared" si="66"/>
        <v>-239.75074841897367</v>
      </c>
      <c r="AL184" s="335">
        <f t="shared" si="67"/>
        <v>8.1037073605528356</v>
      </c>
      <c r="AM184" s="335">
        <f t="shared" si="68"/>
        <v>167.05878486384751</v>
      </c>
      <c r="AN184" s="335">
        <f t="shared" si="69"/>
        <v>258.65071590332161</v>
      </c>
      <c r="AO184" s="335">
        <f t="shared" si="78"/>
        <v>101.74405692969367</v>
      </c>
      <c r="AP184" s="335">
        <f t="shared" si="70"/>
        <v>1.3127764281563827</v>
      </c>
      <c r="AS184" s="609">
        <f t="shared" si="71"/>
        <v>2028</v>
      </c>
      <c r="AT184" s="335">
        <f t="shared" si="45"/>
        <v>273.41181106170205</v>
      </c>
      <c r="AU184" s="335">
        <f t="shared" si="46"/>
        <v>391.71885614745759</v>
      </c>
      <c r="AV184" s="335">
        <f t="shared" si="47"/>
        <v>386.08909496320052</v>
      </c>
      <c r="AW184" s="335">
        <f t="shared" si="48"/>
        <v>18.66806861830139</v>
      </c>
      <c r="AX184" s="335">
        <f t="shared" si="49"/>
        <v>535.88183749903942</v>
      </c>
      <c r="AY184" s="335">
        <f t="shared" si="79"/>
        <v>472.43314509528648</v>
      </c>
      <c r="AZ184" s="335">
        <f t="shared" si="80"/>
        <v>461.52873649822141</v>
      </c>
    </row>
    <row r="185" spans="2:52" ht="14.4" x14ac:dyDescent="0.55000000000000004">
      <c r="B185" s="3">
        <v>2029</v>
      </c>
      <c r="C185" s="334">
        <f t="shared" si="44"/>
        <v>651.81864554761682</v>
      </c>
      <c r="D185" s="532">
        <f>'Food System Summary'!E27-'Food System Summary'!F27</f>
        <v>1029.6887811892241</v>
      </c>
      <c r="E185" s="338">
        <f t="shared" si="72"/>
        <v>1.5797166715354463</v>
      </c>
      <c r="F185" s="338">
        <f t="shared" si="50"/>
        <v>0.51621705342645963</v>
      </c>
      <c r="G185" s="334">
        <f t="shared" si="51"/>
        <v>17.518499701400742</v>
      </c>
      <c r="H185" s="338">
        <f t="shared" si="73"/>
        <v>2.6876340253634209E-2</v>
      </c>
      <c r="I185" s="334">
        <f t="shared" si="74"/>
        <v>-395.38863534300799</v>
      </c>
      <c r="J185" s="338">
        <f t="shared" si="75"/>
        <v>-0.60659301178908043</v>
      </c>
      <c r="K185" s="338">
        <f t="shared" si="52"/>
        <v>-0.19822140439303113</v>
      </c>
      <c r="N185" s="3">
        <v>2029</v>
      </c>
      <c r="O185" s="1205">
        <f t="shared" si="53"/>
        <v>519.82222543678768</v>
      </c>
      <c r="P185" s="1205">
        <f t="shared" si="54"/>
        <v>13.790810308069467</v>
      </c>
      <c r="Q185" s="1205">
        <f t="shared" si="55"/>
        <v>390.32335658449489</v>
      </c>
      <c r="R185" s="1205">
        <f t="shared" si="76"/>
        <v>115.70805854422332</v>
      </c>
      <c r="S185" s="1206">
        <f>Paper!E76</f>
        <v>517.85417053637252</v>
      </c>
      <c r="T185" s="1205">
        <f t="shared" si="56"/>
        <v>127.53081395187763</v>
      </c>
      <c r="U185" s="1206">
        <f>Paper!I76</f>
        <v>18.380919972696233</v>
      </c>
      <c r="V185" s="1205">
        <f t="shared" si="57"/>
        <v>109.1498939791814</v>
      </c>
      <c r="Y185" s="609">
        <f t="shared" si="77"/>
        <v>2029</v>
      </c>
      <c r="Z185" s="335">
        <f t="shared" si="58"/>
        <v>2583.9516360536154</v>
      </c>
      <c r="AA185" s="335">
        <f t="shared" si="59"/>
        <v>896.15408955243754</v>
      </c>
      <c r="AB185" s="335">
        <f t="shared" si="60"/>
        <v>287.0022865937637</v>
      </c>
      <c r="AC185" s="335">
        <f t="shared" si="61"/>
        <v>402.8211857878531</v>
      </c>
      <c r="AD185" s="335">
        <f t="shared" si="62"/>
        <v>390.32335658449489</v>
      </c>
      <c r="AE185" s="335">
        <f>MIN(Paper!H76,Paper!I76)</f>
        <v>18.380919972696233</v>
      </c>
      <c r="AF185" s="335">
        <f t="shared" si="63"/>
        <v>589.26979756236983</v>
      </c>
      <c r="AG185" s="533"/>
      <c r="AI185" s="609">
        <f t="shared" si="64"/>
        <v>2029</v>
      </c>
      <c r="AJ185" s="335">
        <f t="shared" si="65"/>
        <v>576.30648428826146</v>
      </c>
      <c r="AK185" s="335">
        <f t="shared" si="66"/>
        <v>-221.29505392774405</v>
      </c>
      <c r="AL185" s="335">
        <f t="shared" si="67"/>
        <v>9.8049285933357098</v>
      </c>
      <c r="AM185" s="335">
        <f t="shared" si="68"/>
        <v>165.45605556397354</v>
      </c>
      <c r="AN185" s="335">
        <f t="shared" si="69"/>
        <v>254.76372615501441</v>
      </c>
      <c r="AO185" s="335">
        <f t="shared" si="78"/>
        <v>109.1498939791814</v>
      </c>
      <c r="AP185" s="335">
        <f t="shared" si="70"/>
        <v>1.9680549004149839</v>
      </c>
      <c r="AS185" s="609">
        <f t="shared" si="71"/>
        <v>2029</v>
      </c>
      <c r="AT185" s="335">
        <f t="shared" si="45"/>
        <v>287.0022865937637</v>
      </c>
      <c r="AU185" s="335">
        <f t="shared" si="46"/>
        <v>402.8211857878531</v>
      </c>
      <c r="AV185" s="335">
        <f t="shared" si="47"/>
        <v>390.32335658449489</v>
      </c>
      <c r="AW185" s="335">
        <f t="shared" si="48"/>
        <v>18.380919972696233</v>
      </c>
      <c r="AX185" s="335">
        <f t="shared" si="49"/>
        <v>589.26979756236983</v>
      </c>
      <c r="AY185" s="335">
        <f t="shared" si="79"/>
        <v>496.30217363209351</v>
      </c>
      <c r="AZ185" s="335">
        <f t="shared" si="80"/>
        <v>399.85191592034403</v>
      </c>
    </row>
    <row r="186" spans="2:52" ht="14.4" x14ac:dyDescent="0.55000000000000004">
      <c r="B186" s="3">
        <v>2030</v>
      </c>
      <c r="C186" s="334">
        <f t="shared" si="44"/>
        <v>626.925239495553</v>
      </c>
      <c r="D186" s="532">
        <f>'Food System Summary'!E28-'Food System Summary'!F28</f>
        <v>992.80516612007727</v>
      </c>
      <c r="E186" s="338">
        <f t="shared" si="72"/>
        <v>1.5836101397336062</v>
      </c>
      <c r="F186" s="338">
        <f t="shared" si="50"/>
        <v>0.49933269758119908</v>
      </c>
      <c r="G186" s="334">
        <f t="shared" si="51"/>
        <v>22.061586022573593</v>
      </c>
      <c r="H186" s="338">
        <f t="shared" si="73"/>
        <v>3.5190138524850513E-2</v>
      </c>
      <c r="I186" s="334">
        <f t="shared" si="74"/>
        <v>-387.94151264709785</v>
      </c>
      <c r="J186" s="338">
        <f t="shared" si="75"/>
        <v>-0.61880027825845674</v>
      </c>
      <c r="K186" s="338">
        <f t="shared" si="52"/>
        <v>-0.19511570711385406</v>
      </c>
      <c r="N186" s="3">
        <v>2030</v>
      </c>
      <c r="O186" s="1205">
        <f t="shared" si="53"/>
        <v>532.61409006144595</v>
      </c>
      <c r="P186" s="1205">
        <f t="shared" si="54"/>
        <v>16.615450204153476</v>
      </c>
      <c r="Q186" s="1205">
        <f t="shared" si="55"/>
        <v>408.19656687401942</v>
      </c>
      <c r="R186" s="1205">
        <f t="shared" si="76"/>
        <v>107.80207298327304</v>
      </c>
      <c r="S186" s="1206">
        <f>Paper!E77</f>
        <v>529.5753875852597</v>
      </c>
      <c r="T186" s="1205">
        <f t="shared" si="56"/>
        <v>121.37882071124028</v>
      </c>
      <c r="U186" s="1206">
        <f>Paper!I77</f>
        <v>18.100229441245119</v>
      </c>
      <c r="V186" s="1205">
        <f t="shared" si="57"/>
        <v>103.27859126999516</v>
      </c>
      <c r="Y186" s="609">
        <f t="shared" si="77"/>
        <v>2030</v>
      </c>
      <c r="Z186" s="335">
        <f t="shared" si="58"/>
        <v>2630.7549019692192</v>
      </c>
      <c r="AA186" s="335">
        <f t="shared" si="59"/>
        <v>846.3925293417858</v>
      </c>
      <c r="AB186" s="335">
        <f t="shared" si="60"/>
        <v>301.17407641967475</v>
      </c>
      <c r="AC186" s="335">
        <f t="shared" si="61"/>
        <v>414.40047675454667</v>
      </c>
      <c r="AD186" s="335">
        <f t="shared" si="62"/>
        <v>408.19656687401942</v>
      </c>
      <c r="AE186" s="335">
        <f>MIN(Paper!H77,Paper!I77)</f>
        <v>18.100229441245119</v>
      </c>
      <c r="AF186" s="335">
        <f t="shared" si="63"/>
        <v>642.49102313794742</v>
      </c>
      <c r="AG186" s="533"/>
      <c r="AI186" s="609">
        <f t="shared" si="64"/>
        <v>2030</v>
      </c>
      <c r="AJ186" s="335">
        <f t="shared" si="65"/>
        <v>515.8628448769764</v>
      </c>
      <c r="AK186" s="335">
        <f t="shared" si="66"/>
        <v>-201.57491035436939</v>
      </c>
      <c r="AL186" s="335">
        <f t="shared" si="67"/>
        <v>11.463228553271325</v>
      </c>
      <c r="AM186" s="335">
        <f t="shared" si="68"/>
        <v>163.35035261200295</v>
      </c>
      <c r="AN186" s="335">
        <f t="shared" si="69"/>
        <v>250.97371990772302</v>
      </c>
      <c r="AO186" s="335">
        <f t="shared" si="78"/>
        <v>103.27859126999516</v>
      </c>
      <c r="AP186" s="335">
        <f t="shared" si="70"/>
        <v>3.0387024761864154</v>
      </c>
      <c r="AS186" s="609">
        <f t="shared" si="71"/>
        <v>2030</v>
      </c>
      <c r="AT186" s="335">
        <f t="shared" si="45"/>
        <v>301.17407641967475</v>
      </c>
      <c r="AU186" s="335">
        <f t="shared" si="46"/>
        <v>414.40047675454667</v>
      </c>
      <c r="AV186" s="335">
        <f t="shared" si="47"/>
        <v>408.19656687401942</v>
      </c>
      <c r="AW186" s="335">
        <f t="shared" si="48"/>
        <v>18.100229441245119</v>
      </c>
      <c r="AX186" s="335">
        <f t="shared" si="49"/>
        <v>642.49102313794742</v>
      </c>
      <c r="AY186" s="335">
        <f t="shared" si="79"/>
        <v>519.22918248800215</v>
      </c>
      <c r="AZ186" s="335">
        <f t="shared" si="80"/>
        <v>327.16334685378365</v>
      </c>
    </row>
    <row r="187" spans="2:52" ht="14.4" x14ac:dyDescent="0.55000000000000004">
      <c r="B187" s="3">
        <v>2031</v>
      </c>
      <c r="C187" s="334">
        <f t="shared" si="44"/>
        <v>601.01758927718834</v>
      </c>
      <c r="D187" s="532">
        <f>'Food System Summary'!E29-'Food System Summary'!F29</f>
        <v>954.92867550019537</v>
      </c>
      <c r="E187" s="338">
        <f t="shared" si="72"/>
        <v>1.5888531259935952</v>
      </c>
      <c r="F187" s="338">
        <f t="shared" si="50"/>
        <v>0.48304610579696322</v>
      </c>
      <c r="G187" s="334">
        <f t="shared" si="51"/>
        <v>27.222099147847516</v>
      </c>
      <c r="H187" s="338">
        <f t="shared" si="73"/>
        <v>4.5293348536747609E-2</v>
      </c>
      <c r="I187" s="334">
        <f t="shared" si="74"/>
        <v>-381.13318537085456</v>
      </c>
      <c r="J187" s="338">
        <f t="shared" si="75"/>
        <v>-0.63414647453034279</v>
      </c>
      <c r="K187" s="338">
        <f t="shared" si="52"/>
        <v>-0.19279439994505196</v>
      </c>
      <c r="N187" s="3">
        <v>2031</v>
      </c>
      <c r="O187" s="1205">
        <f t="shared" si="53"/>
        <v>544.34554260920549</v>
      </c>
      <c r="P187" s="1205">
        <f t="shared" si="54"/>
        <v>19.630802695528942</v>
      </c>
      <c r="Q187" s="1205">
        <f t="shared" si="55"/>
        <v>426.35352775691518</v>
      </c>
      <c r="R187" s="1205">
        <f t="shared" si="76"/>
        <v>98.361212156761383</v>
      </c>
      <c r="S187" s="1206">
        <f>Paper!E78</f>
        <v>541.34905474398454</v>
      </c>
      <c r="T187" s="1205">
        <f t="shared" si="56"/>
        <v>114.99552698706935</v>
      </c>
      <c r="U187" s="1206">
        <f>Paper!I78</f>
        <v>17.825126693420884</v>
      </c>
      <c r="V187" s="1205">
        <f t="shared" si="57"/>
        <v>97.17040029364847</v>
      </c>
      <c r="Y187" s="609">
        <f t="shared" si="77"/>
        <v>2031</v>
      </c>
      <c r="Z187" s="335">
        <f t="shared" si="58"/>
        <v>2671.0676895055658</v>
      </c>
      <c r="AA187" s="335">
        <f t="shared" si="59"/>
        <v>792.80752120506816</v>
      </c>
      <c r="AB187" s="335">
        <f t="shared" si="60"/>
        <v>314.88306344366322</v>
      </c>
      <c r="AC187" s="335">
        <f t="shared" si="61"/>
        <v>425.02005581551936</v>
      </c>
      <c r="AD187" s="335">
        <f t="shared" si="62"/>
        <v>426.35352775691518</v>
      </c>
      <c r="AE187" s="335">
        <f>MIN(Paper!H78,Paper!I78)</f>
        <v>17.825126693420884</v>
      </c>
      <c r="AF187" s="335">
        <f t="shared" si="63"/>
        <v>694.17839459097922</v>
      </c>
      <c r="AG187" s="533"/>
      <c r="AI187" s="609">
        <f t="shared" si="64"/>
        <v>2031</v>
      </c>
      <c r="AJ187" s="335">
        <f t="shared" si="65"/>
        <v>454.62573582529149</v>
      </c>
      <c r="AK187" s="335">
        <f t="shared" si="66"/>
        <v>-181.45120079874127</v>
      </c>
      <c r="AL187" s="335">
        <f t="shared" si="67"/>
        <v>12.959990806974869</v>
      </c>
      <c r="AM187" s="335">
        <f t="shared" si="68"/>
        <v>160.73420374953855</v>
      </c>
      <c r="AN187" s="335">
        <f t="shared" si="69"/>
        <v>245.77190346313483</v>
      </c>
      <c r="AO187" s="335">
        <f t="shared" si="78"/>
        <v>97.17040029364847</v>
      </c>
      <c r="AP187" s="335">
        <f t="shared" si="70"/>
        <v>2.9964878652212406</v>
      </c>
      <c r="AS187" s="609">
        <f t="shared" si="71"/>
        <v>2031</v>
      </c>
      <c r="AT187" s="335">
        <f t="shared" si="45"/>
        <v>314.88306344366322</v>
      </c>
      <c r="AU187" s="335">
        <f t="shared" si="46"/>
        <v>425.02005581551936</v>
      </c>
      <c r="AV187" s="335">
        <f t="shared" si="47"/>
        <v>426.35352775691518</v>
      </c>
      <c r="AW187" s="335">
        <f t="shared" si="48"/>
        <v>17.825126693420884</v>
      </c>
      <c r="AX187" s="335">
        <f t="shared" si="49"/>
        <v>694.17839459097922</v>
      </c>
      <c r="AY187" s="335">
        <f t="shared" si="79"/>
        <v>542.06651819247668</v>
      </c>
      <c r="AZ187" s="335">
        <f t="shared" si="80"/>
        <v>250.74100301259148</v>
      </c>
    </row>
    <row r="188" spans="2:52" ht="14.4" x14ac:dyDescent="0.55000000000000004">
      <c r="B188" s="3">
        <v>2032</v>
      </c>
      <c r="C188" s="334">
        <f t="shared" si="44"/>
        <v>576.83722738366055</v>
      </c>
      <c r="D188" s="532">
        <f>'Food System Summary'!E30-'Food System Summary'!F30</f>
        <v>917.2533183459982</v>
      </c>
      <c r="E188" s="338">
        <f t="shared" si="72"/>
        <v>1.5901423743164955</v>
      </c>
      <c r="F188" s="338">
        <f t="shared" si="50"/>
        <v>0.46618681536970108</v>
      </c>
      <c r="G188" s="334">
        <f t="shared" si="51"/>
        <v>33.020007087304727</v>
      </c>
      <c r="H188" s="338">
        <f t="shared" si="73"/>
        <v>5.7243197074974446E-2</v>
      </c>
      <c r="I188" s="334">
        <f t="shared" si="74"/>
        <v>-373.4360980496424</v>
      </c>
      <c r="J188" s="338">
        <f t="shared" si="75"/>
        <v>-0.64738557139147002</v>
      </c>
      <c r="K188" s="338">
        <f t="shared" si="52"/>
        <v>-0.18979597218331476</v>
      </c>
      <c r="N188" s="3">
        <v>2032</v>
      </c>
      <c r="O188" s="1205">
        <f t="shared" si="53"/>
        <v>556.65870601986512</v>
      </c>
      <c r="P188" s="1205">
        <f t="shared" si="54"/>
        <v>22.817692197006657</v>
      </c>
      <c r="Q188" s="1205">
        <f t="shared" si="55"/>
        <v>445.37463037427426</v>
      </c>
      <c r="R188" s="1205">
        <f t="shared" si="76"/>
        <v>88.466383448584224</v>
      </c>
      <c r="S188" s="1206">
        <f>Paper!E79</f>
        <v>553.43367037320627</v>
      </c>
      <c r="T188" s="1205">
        <f t="shared" si="56"/>
        <v>108.05903999893201</v>
      </c>
      <c r="U188" s="1206">
        <f>Paper!I79</f>
        <v>17.555403411811994</v>
      </c>
      <c r="V188" s="1205">
        <f t="shared" si="57"/>
        <v>90.503636587120013</v>
      </c>
      <c r="Y188" s="609">
        <f t="shared" si="77"/>
        <v>2032</v>
      </c>
      <c r="Z188" s="335">
        <f t="shared" si="58"/>
        <v>2713.0477280924774</v>
      </c>
      <c r="AA188" s="335">
        <f t="shared" si="59"/>
        <v>739.62484969529294</v>
      </c>
      <c r="AB188" s="335">
        <f t="shared" si="60"/>
        <v>329.05170036910079</v>
      </c>
      <c r="AC188" s="335">
        <f t="shared" si="61"/>
        <v>435.95939636409753</v>
      </c>
      <c r="AD188" s="335">
        <f t="shared" si="62"/>
        <v>445.37463037427426</v>
      </c>
      <c r="AE188" s="335">
        <f>MIN(Paper!H79,Paper!I79)</f>
        <v>17.555403411811994</v>
      </c>
      <c r="AF188" s="335">
        <f t="shared" si="63"/>
        <v>745.48174787789981</v>
      </c>
      <c r="AG188" s="533"/>
      <c r="AI188" s="609">
        <f t="shared" si="64"/>
        <v>2032</v>
      </c>
      <c r="AJ188" s="335">
        <f t="shared" si="65"/>
        <v>394.01426624819624</v>
      </c>
      <c r="AK188" s="335">
        <f t="shared" si="66"/>
        <v>-160.41277498885731</v>
      </c>
      <c r="AL188" s="335">
        <f t="shared" si="67"/>
        <v>14.184035755220847</v>
      </c>
      <c r="AM188" s="335">
        <f t="shared" si="68"/>
        <v>157.62604938373568</v>
      </c>
      <c r="AN188" s="335">
        <f t="shared" si="69"/>
        <v>240.48460106321875</v>
      </c>
      <c r="AO188" s="335">
        <f t="shared" si="78"/>
        <v>90.503636587120013</v>
      </c>
      <c r="AP188" s="335">
        <f t="shared" si="70"/>
        <v>3.2250356466587391</v>
      </c>
      <c r="AS188" s="609">
        <f t="shared" si="71"/>
        <v>2032</v>
      </c>
      <c r="AT188" s="335">
        <f t="shared" si="45"/>
        <v>329.05170036910079</v>
      </c>
      <c r="AU188" s="335">
        <f t="shared" si="46"/>
        <v>435.95939636409753</v>
      </c>
      <c r="AV188" s="335">
        <f t="shared" si="47"/>
        <v>445.37463037427426</v>
      </c>
      <c r="AW188" s="335">
        <f t="shared" si="48"/>
        <v>17.555403411811994</v>
      </c>
      <c r="AX188" s="335">
        <f t="shared" si="49"/>
        <v>745.48174787789981</v>
      </c>
      <c r="AY188" s="335">
        <f t="shared" si="79"/>
        <v>563.9457072319284</v>
      </c>
      <c r="AZ188" s="335">
        <f t="shared" si="80"/>
        <v>175.67914246336454</v>
      </c>
    </row>
    <row r="189" spans="2:52" ht="14.4" x14ac:dyDescent="0.55000000000000004">
      <c r="B189" s="3">
        <v>2033</v>
      </c>
      <c r="C189" s="334">
        <f t="shared" si="44"/>
        <v>553.44576327043251</v>
      </c>
      <c r="D189" s="532">
        <f>'Food System Summary'!E31-'Food System Summary'!F31</f>
        <v>879.81102266511516</v>
      </c>
      <c r="E189" s="338">
        <f t="shared" si="72"/>
        <v>1.5896969153149147</v>
      </c>
      <c r="F189" s="338">
        <f t="shared" si="50"/>
        <v>0.44928314549853571</v>
      </c>
      <c r="G189" s="334">
        <f t="shared" si="51"/>
        <v>39.474256794844727</v>
      </c>
      <c r="H189" s="338">
        <f t="shared" si="73"/>
        <v>7.1324526113602668E-2</v>
      </c>
      <c r="I189" s="334">
        <f t="shared" si="74"/>
        <v>-365.83951618952739</v>
      </c>
      <c r="J189" s="338">
        <f t="shared" si="75"/>
        <v>-0.6610214414285176</v>
      </c>
      <c r="K189" s="338">
        <f t="shared" si="52"/>
        <v>-0.18681912859354596</v>
      </c>
      <c r="N189" s="3">
        <v>2033</v>
      </c>
      <c r="O189" s="1205">
        <f t="shared" si="53"/>
        <v>569.13221579045967</v>
      </c>
      <c r="P189" s="1205">
        <f t="shared" si="54"/>
        <v>26.157964179580127</v>
      </c>
      <c r="Q189" s="1205">
        <f t="shared" si="55"/>
        <v>465.28145431503862</v>
      </c>
      <c r="R189" s="1205">
        <f t="shared" si="76"/>
        <v>77.692797295840876</v>
      </c>
      <c r="S189" s="1206">
        <f>Paper!E80</f>
        <v>565.67615347742219</v>
      </c>
      <c r="T189" s="1205">
        <f t="shared" si="56"/>
        <v>100.39469916238357</v>
      </c>
      <c r="U189" s="1206">
        <f>Paper!I80</f>
        <v>17.291562472155988</v>
      </c>
      <c r="V189" s="1205">
        <f t="shared" si="57"/>
        <v>83.103136690227586</v>
      </c>
      <c r="Y189" s="609">
        <f t="shared" si="77"/>
        <v>2033</v>
      </c>
      <c r="Z189" s="335">
        <f t="shared" si="58"/>
        <v>2754.6471629240004</v>
      </c>
      <c r="AA189" s="335">
        <f t="shared" si="59"/>
        <v>685.35213088464013</v>
      </c>
      <c r="AB189" s="335">
        <f t="shared" si="60"/>
        <v>343.4410591847132</v>
      </c>
      <c r="AC189" s="335">
        <f t="shared" si="61"/>
        <v>446.8889190704553</v>
      </c>
      <c r="AD189" s="335">
        <f t="shared" si="62"/>
        <v>465.28145431503862</v>
      </c>
      <c r="AE189" s="335">
        <f>MIN(Paper!H80,Paper!I80)</f>
        <v>17.291562472155988</v>
      </c>
      <c r="AF189" s="335">
        <f t="shared" si="63"/>
        <v>796.39203699699715</v>
      </c>
      <c r="AG189" s="533"/>
      <c r="AI189" s="609">
        <f t="shared" si="64"/>
        <v>2033</v>
      </c>
      <c r="AJ189" s="335">
        <f t="shared" si="65"/>
        <v>333.84383028668947</v>
      </c>
      <c r="AK189" s="335">
        <f t="shared" si="66"/>
        <v>-138.81761220151145</v>
      </c>
      <c r="AL189" s="335">
        <f t="shared" si="67"/>
        <v>14.978486000541292</v>
      </c>
      <c r="AM189" s="335">
        <f t="shared" si="68"/>
        <v>154.03019689425287</v>
      </c>
      <c r="AN189" s="335">
        <f t="shared" si="69"/>
        <v>234.75803090140295</v>
      </c>
      <c r="AO189" s="335">
        <f t="shared" si="78"/>
        <v>83.103136690227586</v>
      </c>
      <c r="AP189" s="335">
        <f t="shared" si="70"/>
        <v>3.4560623130374211</v>
      </c>
      <c r="AS189" s="609">
        <f t="shared" si="71"/>
        <v>2033</v>
      </c>
      <c r="AT189" s="335">
        <f t="shared" si="45"/>
        <v>343.4410591847132</v>
      </c>
      <c r="AU189" s="335">
        <f t="shared" si="46"/>
        <v>446.8889190704553</v>
      </c>
      <c r="AV189" s="335">
        <f t="shared" si="47"/>
        <v>465.28145431503862</v>
      </c>
      <c r="AW189" s="335">
        <f t="shared" si="48"/>
        <v>17.291562472155988</v>
      </c>
      <c r="AX189" s="335">
        <f t="shared" si="49"/>
        <v>796.39203699699715</v>
      </c>
      <c r="AY189" s="335">
        <f t="shared" si="79"/>
        <v>585.01833555366329</v>
      </c>
      <c r="AZ189" s="335">
        <f t="shared" si="80"/>
        <v>100.33379533097684</v>
      </c>
    </row>
    <row r="190" spans="2:52" ht="14.4" x14ac:dyDescent="0.55000000000000004">
      <c r="B190" s="3">
        <v>2034</v>
      </c>
      <c r="C190" s="334">
        <f t="shared" si="44"/>
        <v>530.89526730107093</v>
      </c>
      <c r="D190" s="532">
        <f>'Food System Summary'!E32-'Food System Summary'!F32</f>
        <v>842.63268320488874</v>
      </c>
      <c r="E190" s="338">
        <f t="shared" si="72"/>
        <v>1.587191928623902</v>
      </c>
      <c r="F190" s="338">
        <f t="shared" si="50"/>
        <v>0.43233798516062716</v>
      </c>
      <c r="G190" s="334">
        <f t="shared" si="51"/>
        <v>46.602817402496747</v>
      </c>
      <c r="H190" s="338">
        <f t="shared" si="73"/>
        <v>8.7781564976860627E-2</v>
      </c>
      <c r="I190" s="334">
        <f t="shared" si="74"/>
        <v>-358.34023330631453</v>
      </c>
      <c r="J190" s="338">
        <f t="shared" si="75"/>
        <v>-0.67497349360076253</v>
      </c>
      <c r="K190" s="338">
        <f t="shared" si="52"/>
        <v>-0.18385721033321326</v>
      </c>
      <c r="N190" s="3">
        <v>2034</v>
      </c>
      <c r="O190" s="1205">
        <f t="shared" si="53"/>
        <v>581.77032351164041</v>
      </c>
      <c r="P190" s="1205">
        <f t="shared" si="54"/>
        <v>29.634441935647466</v>
      </c>
      <c r="Q190" s="1205">
        <f t="shared" si="55"/>
        <v>482.3703733333333</v>
      </c>
      <c r="R190" s="1205">
        <f t="shared" si="76"/>
        <v>69.765508242659621</v>
      </c>
      <c r="S190" s="1206">
        <f>Paper!E81</f>
        <v>578.04232088820231</v>
      </c>
      <c r="T190" s="1205">
        <f t="shared" si="56"/>
        <v>95.671947554869007</v>
      </c>
      <c r="U190" s="1206">
        <f>Paper!I81</f>
        <v>17.03360078964613</v>
      </c>
      <c r="V190" s="1205">
        <f t="shared" si="57"/>
        <v>78.638346765222877</v>
      </c>
      <c r="Y190" s="609">
        <f t="shared" si="77"/>
        <v>2034</v>
      </c>
      <c r="Z190" s="335">
        <f t="shared" si="58"/>
        <v>2795.9182687269372</v>
      </c>
      <c r="AA190" s="335">
        <f t="shared" si="59"/>
        <v>633.74439826756566</v>
      </c>
      <c r="AB190" s="335">
        <f t="shared" si="60"/>
        <v>358.05344411639214</v>
      </c>
      <c r="AC190" s="335">
        <f t="shared" si="61"/>
        <v>457.81194616724525</v>
      </c>
      <c r="AD190" s="335">
        <f t="shared" si="62"/>
        <v>482.3703733333333</v>
      </c>
      <c r="AE190" s="335">
        <f>MIN(Paper!H81,Paper!I81)</f>
        <v>17.03360078964613</v>
      </c>
      <c r="AF190" s="335">
        <f t="shared" si="63"/>
        <v>846.90450605275487</v>
      </c>
      <c r="AG190" s="533"/>
      <c r="AI190" s="609">
        <f t="shared" si="64"/>
        <v>2034</v>
      </c>
      <c r="AJ190" s="335">
        <f t="shared" si="65"/>
        <v>274.33314668736182</v>
      </c>
      <c r="AK190" s="335">
        <f t="shared" si="66"/>
        <v>-116.66364923528792</v>
      </c>
      <c r="AL190" s="335">
        <f t="shared" si="67"/>
        <v>15.172325732604936</v>
      </c>
      <c r="AM190" s="335">
        <f t="shared" si="68"/>
        <v>149.95407584935228</v>
      </c>
      <c r="AN190" s="335">
        <f t="shared" si="69"/>
        <v>228.5821498448733</v>
      </c>
      <c r="AO190" s="335">
        <f t="shared" si="78"/>
        <v>78.638346765222877</v>
      </c>
      <c r="AP190" s="335">
        <f t="shared" si="70"/>
        <v>3.7280026234383854</v>
      </c>
      <c r="AS190" s="609">
        <f t="shared" si="71"/>
        <v>2034</v>
      </c>
      <c r="AT190" s="335">
        <f t="shared" si="45"/>
        <v>358.05344411639214</v>
      </c>
      <c r="AU190" s="335">
        <f t="shared" si="46"/>
        <v>457.81194616724525</v>
      </c>
      <c r="AV190" s="335">
        <f t="shared" si="47"/>
        <v>482.3703733333333</v>
      </c>
      <c r="AW190" s="335">
        <f t="shared" si="48"/>
        <v>17.03360078964613</v>
      </c>
      <c r="AX190" s="335">
        <f t="shared" si="49"/>
        <v>846.90450605275487</v>
      </c>
      <c r="AY190" s="335">
        <f t="shared" si="79"/>
        <v>605.09858449771889</v>
      </c>
      <c r="AZ190" s="335">
        <f t="shared" si="80"/>
        <v>28.645813769846768</v>
      </c>
    </row>
    <row r="191" spans="2:52" ht="14.4" x14ac:dyDescent="0.55000000000000004">
      <c r="B191" s="3">
        <v>2035</v>
      </c>
      <c r="C191" s="334">
        <f t="shared" si="44"/>
        <v>509.29225532649298</v>
      </c>
      <c r="D191" s="532">
        <f>'Food System Summary'!E33-'Food System Summary'!F33</f>
        <v>805.74285247543492</v>
      </c>
      <c r="E191" s="338">
        <f t="shared" si="72"/>
        <v>1.5820834580704468</v>
      </c>
      <c r="F191" s="338">
        <f t="shared" si="50"/>
        <v>0.4153283284683883</v>
      </c>
      <c r="G191" s="334">
        <f t="shared" si="51"/>
        <v>54.422721836455025</v>
      </c>
      <c r="H191" s="338">
        <f t="shared" si="73"/>
        <v>0.10685951193498151</v>
      </c>
      <c r="I191" s="334">
        <f t="shared" si="74"/>
        <v>-350.87331898539696</v>
      </c>
      <c r="J191" s="338">
        <f t="shared" si="75"/>
        <v>-0.68894297000542826</v>
      </c>
      <c r="K191" s="338">
        <f t="shared" si="52"/>
        <v>-0.18086121227219129</v>
      </c>
      <c r="N191" s="3">
        <v>2035</v>
      </c>
      <c r="O191" s="1205">
        <f t="shared" si="53"/>
        <v>594.60169845937185</v>
      </c>
      <c r="P191" s="1205">
        <f t="shared" si="54"/>
        <v>33.230884963441781</v>
      </c>
      <c r="Q191" s="1205">
        <f t="shared" si="55"/>
        <v>493.63451666666663</v>
      </c>
      <c r="R191" s="1205">
        <f t="shared" si="76"/>
        <v>67.736296829263438</v>
      </c>
      <c r="S191" s="1206">
        <f>Paper!E82</f>
        <v>590.49284513009445</v>
      </c>
      <c r="T191" s="1205">
        <f t="shared" si="56"/>
        <v>96.858328463427824</v>
      </c>
      <c r="U191" s="1206">
        <f>Paper!I82</f>
        <v>16.781129349292314</v>
      </c>
      <c r="V191" s="1205">
        <f t="shared" si="57"/>
        <v>80.07719911413551</v>
      </c>
      <c r="Y191" s="609">
        <f t="shared" si="77"/>
        <v>2035</v>
      </c>
      <c r="Z191" s="335">
        <f t="shared" si="58"/>
        <v>2837.0275955231041</v>
      </c>
      <c r="AA191" s="335">
        <f t="shared" si="59"/>
        <v>587.94084676586101</v>
      </c>
      <c r="AB191" s="335">
        <f t="shared" si="60"/>
        <v>372.90697304325437</v>
      </c>
      <c r="AC191" s="335">
        <f t="shared" si="61"/>
        <v>468.7507283590387</v>
      </c>
      <c r="AD191" s="335">
        <f t="shared" si="62"/>
        <v>493.63451666666663</v>
      </c>
      <c r="AE191" s="335">
        <f>MIN(Paper!H82,Paper!I82)</f>
        <v>16.781129349292314</v>
      </c>
      <c r="AF191" s="335">
        <f t="shared" si="63"/>
        <v>897.01340133899123</v>
      </c>
      <c r="AG191" s="533"/>
      <c r="AI191" s="609">
        <f t="shared" si="64"/>
        <v>2035</v>
      </c>
      <c r="AJ191" s="335">
        <f t="shared" si="65"/>
        <v>215.77289902458017</v>
      </c>
      <c r="AK191" s="335">
        <f t="shared" si="66"/>
        <v>-93.961681441243115</v>
      </c>
      <c r="AL191" s="335">
        <f t="shared" si="67"/>
        <v>14.574064699901555</v>
      </c>
      <c r="AM191" s="335">
        <f t="shared" si="68"/>
        <v>145.40615896713479</v>
      </c>
      <c r="AN191" s="335">
        <f t="shared" si="69"/>
        <v>221.9633530720746</v>
      </c>
      <c r="AO191" s="335">
        <f t="shared" si="78"/>
        <v>80.07719911413551</v>
      </c>
      <c r="AP191" s="335">
        <f t="shared" si="70"/>
        <v>4.1088533292775082</v>
      </c>
      <c r="AS191" s="609">
        <f t="shared" si="71"/>
        <v>2035</v>
      </c>
      <c r="AT191" s="335">
        <f t="shared" si="45"/>
        <v>372.90697304325437</v>
      </c>
      <c r="AU191" s="335">
        <f t="shared" si="46"/>
        <v>468.7507283590387</v>
      </c>
      <c r="AV191" s="335">
        <f t="shared" si="47"/>
        <v>493.63451666666663</v>
      </c>
      <c r="AW191" s="335">
        <f t="shared" si="48"/>
        <v>16.781129349292314</v>
      </c>
      <c r="AX191" s="335">
        <f t="shared" si="49"/>
        <v>897.01340133899123</v>
      </c>
      <c r="AY191" s="335">
        <f t="shared" si="79"/>
        <v>587.94084676586101</v>
      </c>
      <c r="AZ191" s="335">
        <f t="shared" si="80"/>
        <v>0</v>
      </c>
    </row>
    <row r="192" spans="2:52" ht="14.4" x14ac:dyDescent="0.55000000000000004">
      <c r="B192" s="3">
        <v>2036</v>
      </c>
      <c r="C192" s="334">
        <f t="shared" si="44"/>
        <v>488.48333843691177</v>
      </c>
      <c r="D192" s="532">
        <f>'Food System Summary'!E34-'Food System Summary'!F34</f>
        <v>769.16030940508153</v>
      </c>
      <c r="E192" s="338">
        <f t="shared" si="72"/>
        <v>1.5745886274571872</v>
      </c>
      <c r="F192" s="338">
        <f t="shared" si="50"/>
        <v>0.39834646910264632</v>
      </c>
      <c r="G192" s="334">
        <f t="shared" si="51"/>
        <v>62.95010687040034</v>
      </c>
      <c r="H192" s="338">
        <f t="shared" si="73"/>
        <v>0.12886848315406857</v>
      </c>
      <c r="I192" s="334">
        <f t="shared" si="74"/>
        <v>-343.62707783857013</v>
      </c>
      <c r="J192" s="338">
        <f t="shared" si="75"/>
        <v>-0.70345711061125582</v>
      </c>
      <c r="K192" s="338">
        <f t="shared" si="52"/>
        <v>-0.17796372416944983</v>
      </c>
      <c r="N192" s="3">
        <v>2036</v>
      </c>
      <c r="O192" s="1205">
        <f t="shared" si="53"/>
        <v>607.54040466866991</v>
      </c>
      <c r="P192" s="1205">
        <f t="shared" si="54"/>
        <v>36.931948914175301</v>
      </c>
      <c r="Q192" s="1205">
        <f t="shared" si="55"/>
        <v>505.46659999999997</v>
      </c>
      <c r="R192" s="1205">
        <f t="shared" si="76"/>
        <v>65.1418557544946</v>
      </c>
      <c r="S192" s="1206">
        <f>Paper!E83</f>
        <v>602.98378988232821</v>
      </c>
      <c r="T192" s="1205">
        <f t="shared" si="56"/>
        <v>97.517189882328239</v>
      </c>
      <c r="U192" s="1206">
        <f>Paper!I83</f>
        <v>12.688122217091916</v>
      </c>
      <c r="V192" s="1205">
        <f t="shared" si="57"/>
        <v>84.829067665236323</v>
      </c>
      <c r="Y192" s="609">
        <f t="shared" si="77"/>
        <v>2036</v>
      </c>
      <c r="Z192" s="335">
        <f t="shared" si="58"/>
        <v>2877.593182128237</v>
      </c>
      <c r="AA192" s="335">
        <f t="shared" si="59"/>
        <v>545.14172847866462</v>
      </c>
      <c r="AB192" s="335">
        <f t="shared" si="60"/>
        <v>387.94813895171484</v>
      </c>
      <c r="AC192" s="335">
        <f t="shared" si="61"/>
        <v>479.63811941172094</v>
      </c>
      <c r="AD192" s="335">
        <f t="shared" si="62"/>
        <v>505.46659999999997</v>
      </c>
      <c r="AE192" s="335">
        <f>MIN(Paper!H83,Paper!I83)</f>
        <v>12.688122217091916</v>
      </c>
      <c r="AF192" s="335">
        <f t="shared" si="63"/>
        <v>946.71047306904484</v>
      </c>
      <c r="AG192" s="533"/>
      <c r="AI192" s="609">
        <f t="shared" si="64"/>
        <v>2036</v>
      </c>
      <c r="AJ192" s="335">
        <f t="shared" si="65"/>
        <v>158.3015817685307</v>
      </c>
      <c r="AK192" s="335">
        <f t="shared" si="66"/>
        <v>-70.722200944582823</v>
      </c>
      <c r="AL192" s="335">
        <f t="shared" si="67"/>
        <v>12.955818661249026</v>
      </c>
      <c r="AM192" s="335">
        <f t="shared" si="68"/>
        <v>140.3926784556723</v>
      </c>
      <c r="AN192" s="335">
        <f t="shared" si="69"/>
        <v>214.82816808621737</v>
      </c>
      <c r="AO192" s="335">
        <f t="shared" si="78"/>
        <v>84.829067665236323</v>
      </c>
      <c r="AP192" s="335">
        <f t="shared" si="70"/>
        <v>4.5566147863416973</v>
      </c>
      <c r="AS192" s="609">
        <f t="shared" si="71"/>
        <v>2036</v>
      </c>
      <c r="AT192" s="335">
        <f t="shared" si="45"/>
        <v>387.94813895171484</v>
      </c>
      <c r="AU192" s="335">
        <f t="shared" si="46"/>
        <v>479.63811941172094</v>
      </c>
      <c r="AV192" s="335">
        <f t="shared" si="47"/>
        <v>505.46659999999997</v>
      </c>
      <c r="AW192" s="335">
        <f t="shared" si="48"/>
        <v>12.688122217091916</v>
      </c>
      <c r="AX192" s="335">
        <f t="shared" si="49"/>
        <v>946.71047306904484</v>
      </c>
      <c r="AY192" s="335">
        <f t="shared" si="79"/>
        <v>545.14172847866462</v>
      </c>
      <c r="AZ192" s="335">
        <f t="shared" si="80"/>
        <v>0</v>
      </c>
    </row>
    <row r="193" spans="2:52" ht="14.4" x14ac:dyDescent="0.55000000000000004">
      <c r="B193" s="3">
        <v>2037</v>
      </c>
      <c r="C193" s="334">
        <f t="shared" si="44"/>
        <v>468.7065286262274</v>
      </c>
      <c r="D193" s="532">
        <f>'Food System Summary'!E35-'Food System Summary'!F35</f>
        <v>732.89739808503157</v>
      </c>
      <c r="E193" s="338">
        <f t="shared" si="72"/>
        <v>1.5636594613545156</v>
      </c>
      <c r="F193" s="338">
        <f t="shared" si="50"/>
        <v>0.38130786459137062</v>
      </c>
      <c r="G193" s="334">
        <f t="shared" si="51"/>
        <v>72.2002516696068</v>
      </c>
      <c r="H193" s="338">
        <f t="shared" si="73"/>
        <v>0.15404148920482241</v>
      </c>
      <c r="I193" s="334">
        <f t="shared" si="74"/>
        <v>-336.39112112841099</v>
      </c>
      <c r="J193" s="338">
        <f t="shared" si="75"/>
        <v>-0.71770095055933802</v>
      </c>
      <c r="K193" s="338">
        <f t="shared" si="52"/>
        <v>-0.17501573944746029</v>
      </c>
      <c r="N193" s="3">
        <v>2037</v>
      </c>
      <c r="O193" s="1205">
        <f t="shared" si="53"/>
        <v>620.67063187610006</v>
      </c>
      <c r="P193" s="1205">
        <f t="shared" si="54"/>
        <v>40.723147047234093</v>
      </c>
      <c r="Q193" s="1205">
        <f t="shared" si="55"/>
        <v>517.86662333333334</v>
      </c>
      <c r="R193" s="1205">
        <f t="shared" si="76"/>
        <v>62.080861495532645</v>
      </c>
      <c r="S193" s="1206">
        <f>Paper!E84</f>
        <v>615.46723432447584</v>
      </c>
      <c r="T193" s="1205">
        <f t="shared" si="56"/>
        <v>97.600610991142503</v>
      </c>
      <c r="U193" s="1206">
        <f>Paper!I84</f>
        <v>6.2630600658332582</v>
      </c>
      <c r="V193" s="1205">
        <f t="shared" si="57"/>
        <v>91.337550925309245</v>
      </c>
      <c r="Y193" s="609">
        <f t="shared" si="77"/>
        <v>2037</v>
      </c>
      <c r="Z193" s="335">
        <f t="shared" si="58"/>
        <v>2918.0432097870271</v>
      </c>
      <c r="AA193" s="335">
        <f t="shared" si="59"/>
        <v>504.16274702886409</v>
      </c>
      <c r="AB193" s="335">
        <f t="shared" si="60"/>
        <v>403.23030053741212</v>
      </c>
      <c r="AC193" s="335">
        <f t="shared" si="61"/>
        <v>490.53937722223554</v>
      </c>
      <c r="AD193" s="335">
        <f t="shared" si="62"/>
        <v>517.86662333333334</v>
      </c>
      <c r="AE193" s="335">
        <f>MIN(Paper!H84,Paper!I84)</f>
        <v>6.2630600658332582</v>
      </c>
      <c r="AF193" s="335">
        <f t="shared" si="63"/>
        <v>995.98110159934879</v>
      </c>
      <c r="AG193" s="533"/>
      <c r="AI193" s="609">
        <f t="shared" si="64"/>
        <v>2037</v>
      </c>
      <c r="AJ193" s="335">
        <f t="shared" si="65"/>
        <v>102.38252354488225</v>
      </c>
      <c r="AK193" s="335">
        <f t="shared" si="66"/>
        <v>-46.99235113838273</v>
      </c>
      <c r="AL193" s="335">
        <f t="shared" si="67"/>
        <v>10.086055682315731</v>
      </c>
      <c r="AM193" s="335">
        <f t="shared" si="68"/>
        <v>134.92469006560975</v>
      </c>
      <c r="AN193" s="335">
        <f t="shared" si="69"/>
        <v>207.22088039750577</v>
      </c>
      <c r="AO193" s="335">
        <f t="shared" si="78"/>
        <v>91.337550925309245</v>
      </c>
      <c r="AP193" s="335">
        <f t="shared" si="70"/>
        <v>5.2033975516240503</v>
      </c>
      <c r="AS193" s="609">
        <f t="shared" si="71"/>
        <v>2037</v>
      </c>
      <c r="AT193" s="335">
        <f t="shared" si="45"/>
        <v>403.23030053741212</v>
      </c>
      <c r="AU193" s="335">
        <f t="shared" si="46"/>
        <v>490.53937722223554</v>
      </c>
      <c r="AV193" s="335">
        <f t="shared" si="47"/>
        <v>517.86662333333334</v>
      </c>
      <c r="AW193" s="335">
        <f t="shared" si="48"/>
        <v>6.2630600658332582</v>
      </c>
      <c r="AX193" s="335">
        <f t="shared" si="49"/>
        <v>995.98110159934879</v>
      </c>
      <c r="AY193" s="335">
        <f t="shared" si="79"/>
        <v>504.16274702886409</v>
      </c>
      <c r="AZ193" s="335">
        <f t="shared" si="80"/>
        <v>0</v>
      </c>
    </row>
    <row r="194" spans="2:52" ht="14.4" x14ac:dyDescent="0.55000000000000004">
      <c r="B194" s="3">
        <v>2038</v>
      </c>
      <c r="C194" s="334">
        <f t="shared" si="44"/>
        <v>449.94548584180751</v>
      </c>
      <c r="D194" s="532">
        <f>'Food System Summary'!E36-'Food System Summary'!F36</f>
        <v>696.96325680741802</v>
      </c>
      <c r="E194" s="338">
        <f t="shared" si="72"/>
        <v>1.5489948865771206</v>
      </c>
      <c r="F194" s="338">
        <f t="shared" si="50"/>
        <v>0.36424291749484911</v>
      </c>
      <c r="G194" s="334">
        <f t="shared" si="51"/>
        <v>82.187614879277973</v>
      </c>
      <c r="H194" s="338">
        <f t="shared" si="73"/>
        <v>0.18266127223281803</v>
      </c>
      <c r="I194" s="334">
        <f t="shared" si="74"/>
        <v>-329.2053858448885</v>
      </c>
      <c r="J194" s="338">
        <f t="shared" si="75"/>
        <v>-0.73165615880993862</v>
      </c>
      <c r="K194" s="338">
        <f t="shared" si="52"/>
        <v>-0.17204742003823154</v>
      </c>
      <c r="N194" s="3">
        <v>2038</v>
      </c>
      <c r="O194" s="1205">
        <f t="shared" si="53"/>
        <v>633.96296385951007</v>
      </c>
      <c r="P194" s="1205">
        <f t="shared" si="54"/>
        <v>44.590813141609104</v>
      </c>
      <c r="Q194" s="1205">
        <f t="shared" si="55"/>
        <v>530.83458666666661</v>
      </c>
      <c r="R194" s="1205">
        <f t="shared" si="76"/>
        <v>58.537564051234313</v>
      </c>
      <c r="S194" s="1206">
        <f>Paper!E85</f>
        <v>627.89500953747279</v>
      </c>
      <c r="T194" s="1205">
        <f t="shared" si="56"/>
        <v>97.060422870806178</v>
      </c>
      <c r="U194" s="1206">
        <f>Paper!I85</f>
        <v>0</v>
      </c>
      <c r="V194" s="1205">
        <f t="shared" si="57"/>
        <v>97.060422870806178</v>
      </c>
      <c r="Y194" s="609">
        <f t="shared" si="77"/>
        <v>2038</v>
      </c>
      <c r="Z194" s="335">
        <f t="shared" si="58"/>
        <v>2958.2622662500853</v>
      </c>
      <c r="AA194" s="335">
        <f t="shared" si="59"/>
        <v>462.45706022358058</v>
      </c>
      <c r="AB194" s="335">
        <f t="shared" si="60"/>
        <v>418.73569938066373</v>
      </c>
      <c r="AC194" s="335">
        <f t="shared" si="61"/>
        <v>501.42991900940564</v>
      </c>
      <c r="AD194" s="335">
        <f t="shared" si="62"/>
        <v>530.83458666666661</v>
      </c>
      <c r="AE194" s="335">
        <f>MIN(Paper!H85,Paper!I85)</f>
        <v>0</v>
      </c>
      <c r="AF194" s="335">
        <f t="shared" si="63"/>
        <v>1044.8050009697686</v>
      </c>
      <c r="AG194" s="533"/>
      <c r="AI194" s="609">
        <f t="shared" si="64"/>
        <v>2038</v>
      </c>
      <c r="AJ194" s="335">
        <f t="shared" si="65"/>
        <v>48.343799639475492</v>
      </c>
      <c r="AK194" s="335">
        <f t="shared" si="66"/>
        <v>-22.834832479438887</v>
      </c>
      <c r="AL194" s="335">
        <f t="shared" si="67"/>
        <v>5.7008193011071029</v>
      </c>
      <c r="AM194" s="335">
        <f t="shared" si="68"/>
        <v>129.01198283746933</v>
      </c>
      <c r="AN194" s="335">
        <f t="shared" si="69"/>
        <v>199.10691373212416</v>
      </c>
      <c r="AO194" s="335">
        <f t="shared" si="78"/>
        <v>97.060422870806178</v>
      </c>
      <c r="AP194" s="335">
        <f t="shared" si="70"/>
        <v>6.0679543220372238</v>
      </c>
      <c r="AS194" s="609">
        <f t="shared" si="71"/>
        <v>2038</v>
      </c>
      <c r="AT194" s="335">
        <f t="shared" si="45"/>
        <v>418.73569938066373</v>
      </c>
      <c r="AU194" s="335">
        <f t="shared" si="46"/>
        <v>501.42991900940564</v>
      </c>
      <c r="AV194" s="335">
        <f t="shared" si="47"/>
        <v>530.83458666666661</v>
      </c>
      <c r="AW194" s="335">
        <f t="shared" si="48"/>
        <v>0</v>
      </c>
      <c r="AX194" s="335">
        <f t="shared" si="49"/>
        <v>1044.8050009697686</v>
      </c>
      <c r="AY194" s="335">
        <f t="shared" si="79"/>
        <v>462.45706022358058</v>
      </c>
      <c r="AZ194" s="335">
        <f t="shared" si="80"/>
        <v>0</v>
      </c>
    </row>
    <row r="195" spans="2:52" ht="14.4" x14ac:dyDescent="0.55000000000000004">
      <c r="B195" s="3">
        <v>2039</v>
      </c>
      <c r="C195" s="334">
        <f t="shared" si="44"/>
        <v>432.24287716737376</v>
      </c>
      <c r="D195" s="532">
        <f>'Food System Summary'!E37-'Food System Summary'!F37</f>
        <v>661.36518865711878</v>
      </c>
      <c r="E195" s="338">
        <f t="shared" si="72"/>
        <v>1.530077703052638</v>
      </c>
      <c r="F195" s="338">
        <f t="shared" si="50"/>
        <v>0.34715645750502677</v>
      </c>
      <c r="G195" s="334">
        <f t="shared" si="51"/>
        <v>92.925870308643411</v>
      </c>
      <c r="H195" s="338">
        <f t="shared" si="73"/>
        <v>0.21498531315915823</v>
      </c>
      <c r="I195" s="334">
        <f t="shared" si="74"/>
        <v>-322.04818179838844</v>
      </c>
      <c r="J195" s="338">
        <f t="shared" si="75"/>
        <v>-0.74506301621179627</v>
      </c>
      <c r="K195" s="338">
        <f t="shared" si="52"/>
        <v>-0.16904594898027819</v>
      </c>
      <c r="N195" s="3">
        <v>2039</v>
      </c>
      <c r="O195" s="1205">
        <f t="shared" si="53"/>
        <v>647.41200442224579</v>
      </c>
      <c r="P195" s="1205">
        <f t="shared" si="54"/>
        <v>48.522065813196619</v>
      </c>
      <c r="Q195" s="1205">
        <f t="shared" si="55"/>
        <v>544.3704899999999</v>
      </c>
      <c r="R195" s="1205">
        <f t="shared" si="76"/>
        <v>54.519448609049277</v>
      </c>
      <c r="S195" s="1206">
        <f>Paper!E86</f>
        <v>640.22067145497829</v>
      </c>
      <c r="T195" s="1205">
        <f t="shared" si="56"/>
        <v>95.850181454978383</v>
      </c>
      <c r="U195" s="1206">
        <f>Paper!I86</f>
        <v>0</v>
      </c>
      <c r="V195" s="1205">
        <f t="shared" si="57"/>
        <v>95.850181454978383</v>
      </c>
      <c r="Y195" s="609">
        <f t="shared" si="77"/>
        <v>2039</v>
      </c>
      <c r="Z195" s="335">
        <f t="shared" si="58"/>
        <v>2998.2486488063391</v>
      </c>
      <c r="AA195" s="335">
        <f t="shared" si="59"/>
        <v>416.17592847462458</v>
      </c>
      <c r="AB195" s="335">
        <f t="shared" si="60"/>
        <v>432.24287716737376</v>
      </c>
      <c r="AC195" s="335">
        <f t="shared" si="61"/>
        <v>512.30327676836032</v>
      </c>
      <c r="AD195" s="335">
        <f t="shared" si="62"/>
        <v>544.3704899999999</v>
      </c>
      <c r="AE195" s="335">
        <f>MIN(Paper!H86,Paper!I86)</f>
        <v>0</v>
      </c>
      <c r="AF195" s="335">
        <f t="shared" si="63"/>
        <v>1093.1560763959806</v>
      </c>
      <c r="AG195" s="533"/>
      <c r="AI195" s="609">
        <f t="shared" si="64"/>
        <v>2039</v>
      </c>
      <c r="AJ195" s="335">
        <f t="shared" si="65"/>
        <v>0</v>
      </c>
      <c r="AK195" s="335">
        <f t="shared" si="66"/>
        <v>0</v>
      </c>
      <c r="AL195" s="335">
        <f t="shared" si="67"/>
        <v>0</v>
      </c>
      <c r="AM195" s="335">
        <f t="shared" si="68"/>
        <v>122.66616813725574</v>
      </c>
      <c r="AN195" s="335">
        <f t="shared" si="69"/>
        <v>190.46824591512291</v>
      </c>
      <c r="AO195" s="335">
        <f t="shared" si="78"/>
        <v>95.850181454978383</v>
      </c>
      <c r="AP195" s="335">
        <f t="shared" si="70"/>
        <v>7.1913329672675559</v>
      </c>
      <c r="AS195" s="609">
        <f t="shared" si="71"/>
        <v>2039</v>
      </c>
      <c r="AT195" s="335">
        <f t="shared" si="45"/>
        <v>432.24287716737376</v>
      </c>
      <c r="AU195" s="335">
        <f t="shared" si="46"/>
        <v>512.30327676836032</v>
      </c>
      <c r="AV195" s="335">
        <f t="shared" si="47"/>
        <v>544.3704899999999</v>
      </c>
      <c r="AW195" s="335">
        <f t="shared" si="48"/>
        <v>0</v>
      </c>
      <c r="AX195" s="335">
        <f t="shared" si="49"/>
        <v>1093.1560763959806</v>
      </c>
      <c r="AY195" s="335">
        <f t="shared" si="79"/>
        <v>416.17592847462458</v>
      </c>
      <c r="AZ195" s="335">
        <f t="shared" si="80"/>
        <v>0</v>
      </c>
    </row>
    <row r="196" spans="2:52" ht="14.4" x14ac:dyDescent="0.55000000000000004">
      <c r="B196" s="3">
        <v>2040</v>
      </c>
      <c r="C196" s="334">
        <f t="shared" si="44"/>
        <v>413.97425133135948</v>
      </c>
      <c r="D196" s="532">
        <f>'Food System Summary'!E38-'Food System Summary'!F38</f>
        <v>626.11307655153155</v>
      </c>
      <c r="E196" s="338">
        <f t="shared" si="72"/>
        <v>1.5124444927140377</v>
      </c>
      <c r="F196" s="338">
        <f t="shared" si="50"/>
        <v>0.33066313263022706</v>
      </c>
      <c r="G196" s="334">
        <f t="shared" si="51"/>
        <v>104.42794125687716</v>
      </c>
      <c r="H196" s="338">
        <f t="shared" si="73"/>
        <v>0.2522570930946364</v>
      </c>
      <c r="I196" s="334">
        <f t="shared" si="74"/>
        <v>-316.56676647704921</v>
      </c>
      <c r="J196" s="338">
        <f t="shared" si="75"/>
        <v>-0.76470158580867409</v>
      </c>
      <c r="K196" s="338">
        <f t="shared" si="52"/>
        <v>-0.1671853896846496</v>
      </c>
      <c r="N196" s="3">
        <v>2040</v>
      </c>
      <c r="O196" s="1205">
        <f t="shared" si="53"/>
        <v>660.25436152424447</v>
      </c>
      <c r="P196" s="1205">
        <f t="shared" si="54"/>
        <v>52.504774187249936</v>
      </c>
      <c r="Q196" s="1205">
        <f t="shared" si="55"/>
        <v>558.47433333333333</v>
      </c>
      <c r="R196" s="1205">
        <f t="shared" si="76"/>
        <v>49.275254003661189</v>
      </c>
      <c r="S196" s="1206">
        <f>Paper!E87</f>
        <v>652.40480941635178</v>
      </c>
      <c r="T196" s="1205">
        <f t="shared" si="56"/>
        <v>93.930476083018448</v>
      </c>
      <c r="U196" s="1206">
        <f>Paper!I87</f>
        <v>0</v>
      </c>
      <c r="V196" s="1205">
        <f t="shared" si="57"/>
        <v>93.930476083018448</v>
      </c>
      <c r="Y196" s="609">
        <f t="shared" si="77"/>
        <v>2040</v>
      </c>
      <c r="Z196" s="335">
        <f t="shared" si="58"/>
        <v>3034.5160714120425</v>
      </c>
      <c r="AA196" s="335">
        <f t="shared" si="59"/>
        <v>398.4990165627338</v>
      </c>
      <c r="AB196" s="335">
        <f t="shared" si="60"/>
        <v>413.97425133135948</v>
      </c>
      <c r="AC196" s="335">
        <f t="shared" si="61"/>
        <v>522.5597625091267</v>
      </c>
      <c r="AD196" s="335">
        <f t="shared" si="62"/>
        <v>558.47433333333333</v>
      </c>
      <c r="AE196" s="335">
        <f>MIN(Paper!H87,Paper!I87)</f>
        <v>0</v>
      </c>
      <c r="AF196" s="335">
        <f t="shared" si="63"/>
        <v>1141.0087076754892</v>
      </c>
      <c r="AG196" s="533"/>
      <c r="AI196" s="609">
        <f t="shared" si="64"/>
        <v>2040</v>
      </c>
      <c r="AJ196" s="335">
        <f t="shared" si="65"/>
        <v>0</v>
      </c>
      <c r="AK196" s="335">
        <f t="shared" si="66"/>
        <v>0</v>
      </c>
      <c r="AL196" s="335">
        <f t="shared" si="67"/>
        <v>0</v>
      </c>
      <c r="AM196" s="335">
        <f t="shared" si="68"/>
        <v>115.86761678548025</v>
      </c>
      <c r="AN196" s="335">
        <f t="shared" si="69"/>
        <v>180.85137158634245</v>
      </c>
      <c r="AO196" s="335">
        <f t="shared" si="78"/>
        <v>93.930476083018448</v>
      </c>
      <c r="AP196" s="335">
        <f t="shared" si="70"/>
        <v>7.8495521078926345</v>
      </c>
      <c r="AS196" s="609">
        <f t="shared" si="71"/>
        <v>2040</v>
      </c>
      <c r="AT196" s="335">
        <f t="shared" si="45"/>
        <v>413.97425133135948</v>
      </c>
      <c r="AU196" s="335">
        <f t="shared" si="46"/>
        <v>522.5597625091267</v>
      </c>
      <c r="AV196" s="335">
        <f t="shared" si="47"/>
        <v>558.47433333333333</v>
      </c>
      <c r="AW196" s="335">
        <f t="shared" si="48"/>
        <v>0</v>
      </c>
      <c r="AX196" s="335">
        <f t="shared" si="49"/>
        <v>1141.0087076754892</v>
      </c>
      <c r="AY196" s="335">
        <f t="shared" si="79"/>
        <v>398.4990165627338</v>
      </c>
      <c r="AZ196" s="335">
        <f t="shared" si="80"/>
        <v>0</v>
      </c>
    </row>
    <row r="197" spans="2:52" ht="14.4" x14ac:dyDescent="0.55000000000000004">
      <c r="B197" s="3">
        <v>2041</v>
      </c>
      <c r="C197" s="334">
        <f t="shared" si="44"/>
        <v>400.12895354468725</v>
      </c>
      <c r="D197" s="532">
        <f>'Food System Summary'!E39-'Food System Summary'!F39</f>
        <v>591.22175956572164</v>
      </c>
      <c r="E197" s="338">
        <f t="shared" si="72"/>
        <v>1.4775780515960406</v>
      </c>
      <c r="F197" s="338">
        <f t="shared" si="50"/>
        <v>0.31296706160482396</v>
      </c>
      <c r="G197" s="334">
        <f t="shared" si="51"/>
        <v>116.70603353170763</v>
      </c>
      <c r="H197" s="338">
        <f t="shared" si="73"/>
        <v>0.29167105378859731</v>
      </c>
      <c r="I197" s="334">
        <f t="shared" si="74"/>
        <v>-307.79883955274204</v>
      </c>
      <c r="J197" s="338">
        <f t="shared" si="75"/>
        <v>-0.76924910538463798</v>
      </c>
      <c r="K197" s="338">
        <f t="shared" si="52"/>
        <v>-0.16293530612093102</v>
      </c>
      <c r="N197" s="3">
        <v>2041</v>
      </c>
      <c r="O197" s="1205">
        <f t="shared" si="53"/>
        <v>674.74062574692732</v>
      </c>
      <c r="P197" s="1205">
        <f t="shared" si="54"/>
        <v>56.527524880467986</v>
      </c>
      <c r="Q197" s="1205">
        <f t="shared" si="55"/>
        <v>573.14611666666667</v>
      </c>
      <c r="R197" s="1205">
        <f t="shared" si="76"/>
        <v>45.066984199792614</v>
      </c>
      <c r="S197" s="1206">
        <f>Paper!E88</f>
        <v>664.41938351539886</v>
      </c>
      <c r="T197" s="1205">
        <f t="shared" si="56"/>
        <v>91.273266848732192</v>
      </c>
      <c r="U197" s="1206">
        <f>Paper!I88</f>
        <v>0</v>
      </c>
      <c r="V197" s="1205">
        <f t="shared" si="57"/>
        <v>91.273266848732192</v>
      </c>
      <c r="Y197" s="609">
        <f t="shared" si="77"/>
        <v>2041</v>
      </c>
      <c r="Z197" s="335">
        <f t="shared" si="58"/>
        <v>3077.4302876550992</v>
      </c>
      <c r="AA197" s="335">
        <f t="shared" si="59"/>
        <v>381.85137588362454</v>
      </c>
      <c r="AB197" s="335">
        <f t="shared" si="60"/>
        <v>400.12895354468725</v>
      </c>
      <c r="AC197" s="335">
        <f t="shared" si="61"/>
        <v>533.95976168059667</v>
      </c>
      <c r="AD197" s="335">
        <f t="shared" si="62"/>
        <v>573.14611666666667</v>
      </c>
      <c r="AE197" s="335">
        <f>MIN(Paper!H88,Paper!I88)</f>
        <v>0</v>
      </c>
      <c r="AF197" s="335">
        <f t="shared" si="63"/>
        <v>1188.3440798795241</v>
      </c>
      <c r="AG197" s="533"/>
      <c r="AI197" s="609">
        <f t="shared" si="64"/>
        <v>2041</v>
      </c>
      <c r="AJ197" s="335">
        <f t="shared" si="65"/>
        <v>0</v>
      </c>
      <c r="AK197" s="335">
        <f t="shared" si="66"/>
        <v>0</v>
      </c>
      <c r="AL197" s="335">
        <f t="shared" si="67"/>
        <v>0</v>
      </c>
      <c r="AM197" s="335">
        <f t="shared" si="68"/>
        <v>108.72654536589199</v>
      </c>
      <c r="AN197" s="335">
        <f t="shared" si="69"/>
        <v>171.53032143747191</v>
      </c>
      <c r="AO197" s="335">
        <f t="shared" si="78"/>
        <v>91.273266848732192</v>
      </c>
      <c r="AP197" s="335">
        <f t="shared" si="70"/>
        <v>10.321242231528458</v>
      </c>
      <c r="AS197" s="609">
        <f t="shared" si="71"/>
        <v>2041</v>
      </c>
      <c r="AT197" s="335">
        <f t="shared" si="45"/>
        <v>400.12895354468725</v>
      </c>
      <c r="AU197" s="335">
        <f t="shared" si="46"/>
        <v>533.95976168059667</v>
      </c>
      <c r="AV197" s="335">
        <f t="shared" si="47"/>
        <v>573.14611666666667</v>
      </c>
      <c r="AW197" s="335">
        <f t="shared" si="48"/>
        <v>0</v>
      </c>
      <c r="AX197" s="335">
        <f t="shared" si="49"/>
        <v>1188.3440798795241</v>
      </c>
      <c r="AY197" s="335">
        <f t="shared" si="79"/>
        <v>381.85137588362454</v>
      </c>
      <c r="AZ197" s="335">
        <f t="shared" si="80"/>
        <v>0</v>
      </c>
    </row>
    <row r="198" spans="2:52" ht="14.4" x14ac:dyDescent="0.55000000000000004">
      <c r="B198" s="3">
        <v>2042</v>
      </c>
      <c r="C198" s="334">
        <f t="shared" si="44"/>
        <v>385.25288249947664</v>
      </c>
      <c r="D198" s="532">
        <f>'Food System Summary'!E40-'Food System Summary'!F40</f>
        <v>556.70699380165183</v>
      </c>
      <c r="E198" s="338">
        <f t="shared" si="72"/>
        <v>1.4450430330067889</v>
      </c>
      <c r="F198" s="338">
        <f t="shared" si="50"/>
        <v>0.29606226364275839</v>
      </c>
      <c r="G198" s="334">
        <f t="shared" si="51"/>
        <v>129.77166720514435</v>
      </c>
      <c r="H198" s="338">
        <f t="shared" si="73"/>
        <v>0.33684801100825157</v>
      </c>
      <c r="I198" s="334">
        <f t="shared" si="74"/>
        <v>-301.22577850731955</v>
      </c>
      <c r="J198" s="338">
        <f t="shared" si="75"/>
        <v>-0.78189104401504061</v>
      </c>
      <c r="K198" s="338">
        <f t="shared" si="52"/>
        <v>-0.16019483650353336</v>
      </c>
      <c r="N198" s="3">
        <v>2042</v>
      </c>
      <c r="O198" s="1205">
        <f t="shared" si="53"/>
        <v>688.36579001756627</v>
      </c>
      <c r="P198" s="1205">
        <f t="shared" si="54"/>
        <v>60.579590245967083</v>
      </c>
      <c r="Q198" s="1205">
        <f t="shared" si="55"/>
        <v>588.38584000000003</v>
      </c>
      <c r="R198" s="1205">
        <f t="shared" si="76"/>
        <v>39.400359771599142</v>
      </c>
      <c r="S198" s="1206">
        <f>Paper!E89</f>
        <v>676.24735064553647</v>
      </c>
      <c r="T198" s="1205">
        <f t="shared" si="56"/>
        <v>87.861510645536441</v>
      </c>
      <c r="U198" s="1206">
        <f>Paper!I89</f>
        <v>0</v>
      </c>
      <c r="V198" s="1205">
        <f t="shared" si="57"/>
        <v>87.861510645536441</v>
      </c>
      <c r="Y198" s="609">
        <f t="shared" si="77"/>
        <v>2042</v>
      </c>
      <c r="Z198" s="335">
        <f t="shared" si="58"/>
        <v>3115.5167307311153</v>
      </c>
      <c r="AA198" s="335">
        <f t="shared" si="59"/>
        <v>362.19086006379132</v>
      </c>
      <c r="AB198" s="335">
        <f t="shared" si="60"/>
        <v>385.25288249947664</v>
      </c>
      <c r="AC198" s="335">
        <f t="shared" si="61"/>
        <v>544.54175200640452</v>
      </c>
      <c r="AD198" s="335">
        <f t="shared" si="62"/>
        <v>588.38584000000003</v>
      </c>
      <c r="AE198" s="335">
        <f>MIN(Paper!H89,Paper!I89)</f>
        <v>0</v>
      </c>
      <c r="AF198" s="335">
        <f t="shared" si="63"/>
        <v>1235.1453961614427</v>
      </c>
      <c r="AG198" s="533"/>
      <c r="AI198" s="609">
        <f t="shared" si="64"/>
        <v>2042</v>
      </c>
      <c r="AJ198" s="335">
        <f t="shared" si="65"/>
        <v>0</v>
      </c>
      <c r="AK198" s="335">
        <f t="shared" si="66"/>
        <v>0</v>
      </c>
      <c r="AL198" s="335">
        <f t="shared" si="67"/>
        <v>0</v>
      </c>
      <c r="AM198" s="335">
        <f t="shared" si="68"/>
        <v>101.14914100697116</v>
      </c>
      <c r="AN198" s="335">
        <f t="shared" si="69"/>
        <v>161.06176903925393</v>
      </c>
      <c r="AO198" s="335">
        <f t="shared" si="78"/>
        <v>87.861510645536441</v>
      </c>
      <c r="AP198" s="335">
        <f t="shared" si="70"/>
        <v>12.118439372029798</v>
      </c>
      <c r="AS198" s="609">
        <f t="shared" si="71"/>
        <v>2042</v>
      </c>
      <c r="AT198" s="335">
        <f t="shared" si="45"/>
        <v>385.25288249947664</v>
      </c>
      <c r="AU198" s="335">
        <f t="shared" si="46"/>
        <v>544.54175200640452</v>
      </c>
      <c r="AV198" s="335">
        <f t="shared" si="47"/>
        <v>588.38584000000003</v>
      </c>
      <c r="AW198" s="335">
        <f t="shared" si="48"/>
        <v>0</v>
      </c>
      <c r="AX198" s="335">
        <f t="shared" si="49"/>
        <v>1235.1453961614427</v>
      </c>
      <c r="AY198" s="335">
        <f t="shared" si="79"/>
        <v>362.19086006379132</v>
      </c>
      <c r="AZ198" s="335">
        <f t="shared" si="80"/>
        <v>0</v>
      </c>
    </row>
    <row r="199" spans="2:52" ht="14.4" x14ac:dyDescent="0.55000000000000004">
      <c r="B199" s="3">
        <v>2043</v>
      </c>
      <c r="C199" s="334">
        <f t="shared" si="44"/>
        <v>371.61086917726163</v>
      </c>
      <c r="D199" s="532">
        <f>'Food System Summary'!E41-'Food System Summary'!F41</f>
        <v>522.58163397169665</v>
      </c>
      <c r="E199" s="338">
        <f t="shared" si="72"/>
        <v>1.4062603581232191</v>
      </c>
      <c r="F199" s="338">
        <f t="shared" si="50"/>
        <v>0.27915001035480691</v>
      </c>
      <c r="G199" s="334">
        <f t="shared" si="51"/>
        <v>143.63570714906891</v>
      </c>
      <c r="H199" s="338">
        <f t="shared" si="73"/>
        <v>0.38652181371087241</v>
      </c>
      <c r="I199" s="334">
        <f t="shared" si="74"/>
        <v>-294.60647194350395</v>
      </c>
      <c r="J199" s="338">
        <f t="shared" si="75"/>
        <v>-0.7927821718340915</v>
      </c>
      <c r="K199" s="338">
        <f t="shared" si="52"/>
        <v>-0.15737139299862268</v>
      </c>
      <c r="N199" s="3">
        <v>2043</v>
      </c>
      <c r="O199" s="1205">
        <f t="shared" si="53"/>
        <v>702.13968972548719</v>
      </c>
      <c r="P199" s="1205">
        <f t="shared" si="54"/>
        <v>64.650897836060167</v>
      </c>
      <c r="Q199" s="1205">
        <f t="shared" si="55"/>
        <v>604.1935033333333</v>
      </c>
      <c r="R199" s="1205">
        <f t="shared" si="76"/>
        <v>33.295288556093737</v>
      </c>
      <c r="S199" s="1206">
        <f>Paper!E90</f>
        <v>687.88010807954925</v>
      </c>
      <c r="T199" s="1205">
        <f t="shared" si="56"/>
        <v>83.686604746215949</v>
      </c>
      <c r="U199" s="1206">
        <f>Paper!I90</f>
        <v>0</v>
      </c>
      <c r="V199" s="1205">
        <f t="shared" si="57"/>
        <v>83.686604746215949</v>
      </c>
      <c r="Y199" s="609">
        <f t="shared" si="77"/>
        <v>2043</v>
      </c>
      <c r="Z199" s="335">
        <f t="shared" si="58"/>
        <v>3153.4350652335165</v>
      </c>
      <c r="AA199" s="335">
        <f t="shared" si="59"/>
        <v>341.14626456631822</v>
      </c>
      <c r="AB199" s="335">
        <f t="shared" si="60"/>
        <v>371.61086917726163</v>
      </c>
      <c r="AC199" s="335">
        <f t="shared" si="61"/>
        <v>555.09526866201861</v>
      </c>
      <c r="AD199" s="335">
        <f t="shared" si="62"/>
        <v>604.1935033333333</v>
      </c>
      <c r="AE199" s="335">
        <f>MIN(Paper!H90,Paper!I90)</f>
        <v>0</v>
      </c>
      <c r="AF199" s="335">
        <f t="shared" si="63"/>
        <v>1281.3891594945849</v>
      </c>
      <c r="AG199" s="533"/>
      <c r="AI199" s="609">
        <f t="shared" si="64"/>
        <v>2043</v>
      </c>
      <c r="AJ199" s="335">
        <f t="shared" si="65"/>
        <v>0</v>
      </c>
      <c r="AK199" s="335">
        <f t="shared" si="66"/>
        <v>0</v>
      </c>
      <c r="AL199" s="335">
        <f t="shared" si="67"/>
        <v>0</v>
      </c>
      <c r="AM199" s="335">
        <f t="shared" si="68"/>
        <v>93.196399098267108</v>
      </c>
      <c r="AN199" s="335">
        <f t="shared" si="69"/>
        <v>150.00367907589725</v>
      </c>
      <c r="AO199" s="335">
        <f t="shared" si="78"/>
        <v>83.686604746215949</v>
      </c>
      <c r="AP199" s="335">
        <f t="shared" si="70"/>
        <v>14.259581645937914</v>
      </c>
      <c r="AS199" s="609">
        <f t="shared" si="71"/>
        <v>2043</v>
      </c>
      <c r="AT199" s="335">
        <f t="shared" si="45"/>
        <v>371.61086917726163</v>
      </c>
      <c r="AU199" s="335">
        <f t="shared" si="46"/>
        <v>555.09526866201861</v>
      </c>
      <c r="AV199" s="335">
        <f t="shared" si="47"/>
        <v>604.1935033333333</v>
      </c>
      <c r="AW199" s="335">
        <f t="shared" si="48"/>
        <v>0</v>
      </c>
      <c r="AX199" s="335">
        <f t="shared" si="49"/>
        <v>1281.3891594945849</v>
      </c>
      <c r="AY199" s="335">
        <f t="shared" si="79"/>
        <v>341.14626456631822</v>
      </c>
      <c r="AZ199" s="335">
        <f t="shared" si="80"/>
        <v>0</v>
      </c>
    </row>
    <row r="200" spans="2:52" ht="14.4" x14ac:dyDescent="0.55000000000000004">
      <c r="B200" s="3">
        <v>2044</v>
      </c>
      <c r="C200" s="334">
        <f t="shared" si="44"/>
        <v>359.25059701276848</v>
      </c>
      <c r="D200" s="532">
        <f>'Food System Summary'!E42-'Food System Summary'!F42</f>
        <v>488.858721653668</v>
      </c>
      <c r="E200" s="338">
        <f t="shared" si="72"/>
        <v>1.3607735817799991</v>
      </c>
      <c r="F200" s="338">
        <f t="shared" si="50"/>
        <v>0.26224148172361789</v>
      </c>
      <c r="G200" s="334">
        <f t="shared" si="51"/>
        <v>158.30839239734459</v>
      </c>
      <c r="H200" s="338">
        <f t="shared" si="73"/>
        <v>0.44066285126234039</v>
      </c>
      <c r="I200" s="334">
        <f t="shared" si="74"/>
        <v>-287.91651703824414</v>
      </c>
      <c r="J200" s="338">
        <f t="shared" si="75"/>
        <v>-0.80143643304233958</v>
      </c>
      <c r="K200" s="338">
        <f t="shared" si="52"/>
        <v>-0.15444882273022631</v>
      </c>
      <c r="N200" s="3">
        <v>2044</v>
      </c>
      <c r="O200" s="1205">
        <f t="shared" si="53"/>
        <v>716.06293856875311</v>
      </c>
      <c r="P200" s="1205">
        <f t="shared" si="54"/>
        <v>68.73200104177694</v>
      </c>
      <c r="Q200" s="1205">
        <f t="shared" si="55"/>
        <v>620.5691066666667</v>
      </c>
      <c r="R200" s="1205">
        <f t="shared" si="76"/>
        <v>26.761830860309487</v>
      </c>
      <c r="S200" s="1206">
        <f>Paper!E91</f>
        <v>699.32011372535237</v>
      </c>
      <c r="T200" s="1205">
        <f t="shared" si="56"/>
        <v>78.751007058685673</v>
      </c>
      <c r="U200" s="1206">
        <f>Paper!I91</f>
        <v>0</v>
      </c>
      <c r="V200" s="1205">
        <f t="shared" si="57"/>
        <v>78.751007058685673</v>
      </c>
      <c r="Y200" s="609">
        <f t="shared" si="77"/>
        <v>2044</v>
      </c>
      <c r="Z200" s="335">
        <f t="shared" si="58"/>
        <v>3191.205104072636</v>
      </c>
      <c r="AA200" s="335">
        <f t="shared" si="59"/>
        <v>318.71532551620032</v>
      </c>
      <c r="AB200" s="335">
        <f t="shared" si="60"/>
        <v>359.25059701276848</v>
      </c>
      <c r="AC200" s="335">
        <f t="shared" si="61"/>
        <v>565.61978887730038</v>
      </c>
      <c r="AD200" s="335">
        <f t="shared" si="62"/>
        <v>620.5691066666667</v>
      </c>
      <c r="AE200" s="335">
        <f>MIN(Paper!H91,Paper!I91)</f>
        <v>0</v>
      </c>
      <c r="AF200" s="335">
        <f t="shared" si="63"/>
        <v>1327.0502859997002</v>
      </c>
      <c r="AG200" s="533"/>
      <c r="AI200" s="609">
        <f t="shared" si="64"/>
        <v>2044</v>
      </c>
      <c r="AJ200" s="335">
        <f t="shared" si="65"/>
        <v>0</v>
      </c>
      <c r="AK200" s="335">
        <f t="shared" si="66"/>
        <v>0</v>
      </c>
      <c r="AL200" s="335">
        <f t="shared" si="67"/>
        <v>0</v>
      </c>
      <c r="AM200" s="335">
        <f t="shared" si="68"/>
        <v>84.888933414148298</v>
      </c>
      <c r="AN200" s="335">
        <f t="shared" si="69"/>
        <v>138.33256019996566</v>
      </c>
      <c r="AO200" s="335">
        <f t="shared" si="78"/>
        <v>78.751007058685673</v>
      </c>
      <c r="AP200" s="335">
        <f t="shared" si="70"/>
        <v>16.742824843400683</v>
      </c>
      <c r="AS200" s="609">
        <f t="shared" si="71"/>
        <v>2044</v>
      </c>
      <c r="AT200" s="335">
        <f t="shared" si="45"/>
        <v>359.25059701276848</v>
      </c>
      <c r="AU200" s="335">
        <f t="shared" si="46"/>
        <v>565.61978887730038</v>
      </c>
      <c r="AV200" s="335">
        <f t="shared" si="47"/>
        <v>620.5691066666667</v>
      </c>
      <c r="AW200" s="335">
        <f t="shared" si="48"/>
        <v>0</v>
      </c>
      <c r="AX200" s="335">
        <f t="shared" si="49"/>
        <v>1327.0502859997002</v>
      </c>
      <c r="AY200" s="335">
        <f t="shared" si="79"/>
        <v>318.71532551620032</v>
      </c>
      <c r="AZ200" s="335">
        <f t="shared" si="80"/>
        <v>0</v>
      </c>
    </row>
    <row r="201" spans="2:52" ht="14.4" x14ac:dyDescent="0.55000000000000004">
      <c r="B201" s="3">
        <v>2045</v>
      </c>
      <c r="C201" s="334">
        <f t="shared" si="44"/>
        <v>348.26868937379083</v>
      </c>
      <c r="D201" s="532">
        <f>'Food System Summary'!E43-'Food System Summary'!F43</f>
        <v>455.55228225419614</v>
      </c>
      <c r="E201" s="338">
        <f t="shared" si="72"/>
        <v>1.3080483435743477</v>
      </c>
      <c r="F201" s="338">
        <f t="shared" si="50"/>
        <v>0.24533643733834143</v>
      </c>
      <c r="G201" s="334">
        <f t="shared" si="51"/>
        <v>173.79936437148976</v>
      </c>
      <c r="H201" s="338">
        <f t="shared" si="73"/>
        <v>0.49903815552294417</v>
      </c>
      <c r="I201" s="334">
        <f t="shared" si="74"/>
        <v>-281.0829572518951</v>
      </c>
      <c r="J201" s="338">
        <f t="shared" si="75"/>
        <v>-0.80708649909729202</v>
      </c>
      <c r="K201" s="338">
        <f t="shared" si="52"/>
        <v>-0.1513764588939672</v>
      </c>
      <c r="N201" s="3">
        <v>2045</v>
      </c>
      <c r="O201" s="1205">
        <f t="shared" si="53"/>
        <v>730.16014319301712</v>
      </c>
      <c r="P201" s="1205">
        <f t="shared" si="54"/>
        <v>72.814050865560745</v>
      </c>
      <c r="Q201" s="1205">
        <f t="shared" si="55"/>
        <v>637.51264999999989</v>
      </c>
      <c r="R201" s="1205">
        <f t="shared" si="76"/>
        <v>19.83344232745651</v>
      </c>
      <c r="S201" s="1206">
        <f>Paper!E92</f>
        <v>710.58087292819198</v>
      </c>
      <c r="T201" s="1205">
        <f t="shared" si="56"/>
        <v>73.068222928192085</v>
      </c>
      <c r="U201" s="1206">
        <f>Paper!I92</f>
        <v>0</v>
      </c>
      <c r="V201" s="1205">
        <f t="shared" si="57"/>
        <v>73.068222928192085</v>
      </c>
      <c r="Y201" s="609">
        <f t="shared" si="77"/>
        <v>2045</v>
      </c>
      <c r="Z201" s="335">
        <f t="shared" si="58"/>
        <v>3228.9513540957141</v>
      </c>
      <c r="AA201" s="335">
        <f t="shared" si="59"/>
        <v>294.93248711283627</v>
      </c>
      <c r="AB201" s="335">
        <f t="shared" si="60"/>
        <v>348.26868937379083</v>
      </c>
      <c r="AC201" s="335">
        <f t="shared" si="61"/>
        <v>576.1333960315178</v>
      </c>
      <c r="AD201" s="335">
        <f t="shared" si="62"/>
        <v>637.51264999999989</v>
      </c>
      <c r="AE201" s="335">
        <f>MIN(Paper!H92,Paper!I92)</f>
        <v>0</v>
      </c>
      <c r="AF201" s="335">
        <f t="shared" si="63"/>
        <v>1372.1041315775694</v>
      </c>
      <c r="AG201" s="533"/>
      <c r="AI201" s="609">
        <f t="shared" si="64"/>
        <v>2045</v>
      </c>
      <c r="AJ201" s="335">
        <f t="shared" si="65"/>
        <v>0</v>
      </c>
      <c r="AK201" s="335">
        <f t="shared" si="66"/>
        <v>0</v>
      </c>
      <c r="AL201" s="335">
        <f t="shared" si="67"/>
        <v>0</v>
      </c>
      <c r="AM201" s="335">
        <f t="shared" si="68"/>
        <v>76.252332326402069</v>
      </c>
      <c r="AN201" s="335">
        <f t="shared" si="69"/>
        <v>126.03266159341695</v>
      </c>
      <c r="AO201" s="335">
        <f t="shared" si="78"/>
        <v>73.068222928192085</v>
      </c>
      <c r="AP201" s="335">
        <f t="shared" si="70"/>
        <v>19.579270264825169</v>
      </c>
      <c r="AS201" s="609">
        <f t="shared" si="71"/>
        <v>2045</v>
      </c>
      <c r="AT201" s="335">
        <f t="shared" si="45"/>
        <v>348.26868937379083</v>
      </c>
      <c r="AU201" s="335">
        <f t="shared" si="46"/>
        <v>576.1333960315178</v>
      </c>
      <c r="AV201" s="335">
        <f t="shared" si="47"/>
        <v>637.51264999999989</v>
      </c>
      <c r="AW201" s="335">
        <f t="shared" si="48"/>
        <v>0</v>
      </c>
      <c r="AX201" s="335">
        <f t="shared" si="49"/>
        <v>1372.1041315775694</v>
      </c>
      <c r="AY201" s="335">
        <f t="shared" si="79"/>
        <v>294.93248711283627</v>
      </c>
      <c r="AZ201" s="335">
        <f t="shared" si="80"/>
        <v>0</v>
      </c>
    </row>
    <row r="202" spans="2:52" ht="14.4" x14ac:dyDescent="0.55000000000000004">
      <c r="B202" s="3">
        <v>2046</v>
      </c>
      <c r="C202" s="334">
        <f t="shared" si="44"/>
        <v>338.50313646090456</v>
      </c>
      <c r="D202" s="532">
        <f>'Food System Summary'!E44-'Food System Summary'!F44</f>
        <v>422.67786219242817</v>
      </c>
      <c r="E202" s="338">
        <f t="shared" si="72"/>
        <v>1.2486674912722571</v>
      </c>
      <c r="F202" s="338">
        <f t="shared" si="50"/>
        <v>0.22850695441679766</v>
      </c>
      <c r="G202" s="334">
        <f t="shared" si="51"/>
        <v>190.11769401529625</v>
      </c>
      <c r="H202" s="338">
        <f t="shared" si="73"/>
        <v>0.56164234105184996</v>
      </c>
      <c r="I202" s="334">
        <f t="shared" si="74"/>
        <v>-274.29241974681986</v>
      </c>
      <c r="J202" s="338">
        <f t="shared" si="75"/>
        <v>-0.81030983232410692</v>
      </c>
      <c r="K202" s="338">
        <f t="shared" si="52"/>
        <v>-0.14828722074738104</v>
      </c>
      <c r="N202" s="3">
        <v>2046</v>
      </c>
      <c r="O202" s="1205">
        <f t="shared" si="53"/>
        <v>744.3358162926437</v>
      </c>
      <c r="P202" s="1205">
        <f t="shared" si="54"/>
        <v>76.888768789444043</v>
      </c>
      <c r="Q202" s="1205">
        <f t="shared" si="55"/>
        <v>655.02413333333322</v>
      </c>
      <c r="R202" s="1205">
        <f t="shared" si="76"/>
        <v>12.422914169866431</v>
      </c>
      <c r="S202" s="1206">
        <f>Paper!E93</f>
        <v>721.68660694963353</v>
      </c>
      <c r="T202" s="1205">
        <f t="shared" si="56"/>
        <v>66.662473616300304</v>
      </c>
      <c r="U202" s="1206">
        <f>Paper!I93</f>
        <v>0</v>
      </c>
      <c r="V202" s="1205">
        <f t="shared" si="57"/>
        <v>66.662473616300304</v>
      </c>
      <c r="Y202" s="609">
        <f t="shared" si="77"/>
        <v>2046</v>
      </c>
      <c r="Z202" s="335">
        <f t="shared" si="58"/>
        <v>3266.2667302830773</v>
      </c>
      <c r="AA202" s="335">
        <f t="shared" si="59"/>
        <v>269.65031705838055</v>
      </c>
      <c r="AB202" s="335">
        <f t="shared" si="60"/>
        <v>338.50313646090456</v>
      </c>
      <c r="AC202" s="335">
        <f t="shared" si="61"/>
        <v>586.5598238585759</v>
      </c>
      <c r="AD202" s="335">
        <f t="shared" si="62"/>
        <v>655.02413333333322</v>
      </c>
      <c r="AE202" s="335">
        <f>MIN(Paper!H93,Paper!I93)</f>
        <v>0</v>
      </c>
      <c r="AF202" s="335">
        <f t="shared" si="63"/>
        <v>1416.5293195718832</v>
      </c>
      <c r="AG202" s="533"/>
      <c r="AI202" s="609">
        <f t="shared" si="64"/>
        <v>2046</v>
      </c>
      <c r="AJ202" s="335">
        <f t="shared" si="65"/>
        <v>0</v>
      </c>
      <c r="AK202" s="335">
        <f t="shared" si="66"/>
        <v>0</v>
      </c>
      <c r="AL202" s="335">
        <f t="shared" si="67"/>
        <v>0</v>
      </c>
      <c r="AM202" s="335">
        <f t="shared" si="68"/>
        <v>67.307794125631673</v>
      </c>
      <c r="AN202" s="335">
        <f t="shared" si="69"/>
        <v>113.03083997343845</v>
      </c>
      <c r="AO202" s="335">
        <f t="shared" si="78"/>
        <v>66.662473616300304</v>
      </c>
      <c r="AP202" s="335">
        <f t="shared" si="70"/>
        <v>22.649209343010114</v>
      </c>
      <c r="AS202" s="609">
        <f t="shared" si="71"/>
        <v>2046</v>
      </c>
      <c r="AT202" s="335">
        <f t="shared" si="45"/>
        <v>338.50313646090456</v>
      </c>
      <c r="AU202" s="335">
        <f t="shared" si="46"/>
        <v>586.5598238585759</v>
      </c>
      <c r="AV202" s="335">
        <f t="shared" si="47"/>
        <v>655.02413333333322</v>
      </c>
      <c r="AW202" s="335">
        <f t="shared" si="48"/>
        <v>0</v>
      </c>
      <c r="AX202" s="335">
        <f t="shared" si="49"/>
        <v>1416.5293195718832</v>
      </c>
      <c r="AY202" s="335">
        <f t="shared" si="79"/>
        <v>269.65031705838055</v>
      </c>
      <c r="AZ202" s="335">
        <f t="shared" si="80"/>
        <v>0</v>
      </c>
    </row>
    <row r="203" spans="2:52" ht="14.4" x14ac:dyDescent="0.55000000000000004">
      <c r="B203" s="3">
        <v>2047</v>
      </c>
      <c r="C203" s="334">
        <f t="shared" si="44"/>
        <v>330.00488056714016</v>
      </c>
      <c r="D203" s="532">
        <f>'Food System Summary'!E45-'Food System Summary'!F45</f>
        <v>390.25127047156889</v>
      </c>
      <c r="E203" s="338">
        <f t="shared" si="72"/>
        <v>1.1825621178719854</v>
      </c>
      <c r="F203" s="338">
        <f t="shared" si="50"/>
        <v>0.21176085609964646</v>
      </c>
      <c r="G203" s="334">
        <f t="shared" si="51"/>
        <v>207.27190786916523</v>
      </c>
      <c r="H203" s="338">
        <f t="shared" si="73"/>
        <v>0.62808740135282737</v>
      </c>
      <c r="I203" s="334">
        <f t="shared" si="74"/>
        <v>-267.51829777359399</v>
      </c>
      <c r="J203" s="338">
        <f t="shared" si="75"/>
        <v>-0.81064951922481299</v>
      </c>
      <c r="K203" s="338">
        <f t="shared" si="52"/>
        <v>-0.14516263762678394</v>
      </c>
      <c r="N203" s="3">
        <v>2047</v>
      </c>
      <c r="O203" s="1205">
        <f t="shared" si="53"/>
        <v>758.59459111571755</v>
      </c>
      <c r="P203" s="1205">
        <f t="shared" si="54"/>
        <v>80.948420696521708</v>
      </c>
      <c r="Q203" s="1205">
        <f t="shared" si="55"/>
        <v>673.10355666666658</v>
      </c>
      <c r="R203" s="1205">
        <f t="shared" si="76"/>
        <v>4.5426137525292916</v>
      </c>
      <c r="S203" s="1206">
        <f>Paper!E94</f>
        <v>732.67074481100497</v>
      </c>
      <c r="T203" s="1205">
        <f t="shared" si="56"/>
        <v>59.567188144338388</v>
      </c>
      <c r="U203" s="1206">
        <f>Paper!I94</f>
        <v>0</v>
      </c>
      <c r="V203" s="1205">
        <f t="shared" si="57"/>
        <v>59.567188144338388</v>
      </c>
      <c r="Y203" s="609">
        <f t="shared" si="77"/>
        <v>2047</v>
      </c>
      <c r="Z203" s="335">
        <f t="shared" si="58"/>
        <v>3303.191895125663</v>
      </c>
      <c r="AA203" s="335">
        <f t="shared" si="59"/>
        <v>242.87634984658939</v>
      </c>
      <c r="AB203" s="335">
        <f t="shared" si="60"/>
        <v>330.00488056714016</v>
      </c>
      <c r="AC203" s="335">
        <f t="shared" si="61"/>
        <v>596.90193740437724</v>
      </c>
      <c r="AD203" s="335">
        <f t="shared" si="62"/>
        <v>673.10355666666658</v>
      </c>
      <c r="AE203" s="335">
        <f>MIN(Paper!H94,Paper!I94)</f>
        <v>0</v>
      </c>
      <c r="AF203" s="335">
        <f t="shared" si="63"/>
        <v>1460.3051706408896</v>
      </c>
      <c r="AG203" s="533"/>
      <c r="AI203" s="609">
        <f t="shared" si="64"/>
        <v>2047</v>
      </c>
      <c r="AJ203" s="335">
        <f t="shared" si="65"/>
        <v>0</v>
      </c>
      <c r="AK203" s="335">
        <f t="shared" si="66"/>
        <v>0</v>
      </c>
      <c r="AL203" s="335">
        <f t="shared" si="67"/>
        <v>0</v>
      </c>
      <c r="AM203" s="335">
        <f t="shared" si="68"/>
        <v>58.086545033651831</v>
      </c>
      <c r="AN203" s="335">
        <f t="shared" si="69"/>
        <v>99.298770363886547</v>
      </c>
      <c r="AO203" s="335">
        <f t="shared" si="78"/>
        <v>59.567188144338388</v>
      </c>
      <c r="AP203" s="335">
        <f t="shared" si="70"/>
        <v>25.92384630471264</v>
      </c>
      <c r="AS203" s="609">
        <f t="shared" si="71"/>
        <v>2047</v>
      </c>
      <c r="AT203" s="335">
        <f t="shared" si="45"/>
        <v>330.00488056714016</v>
      </c>
      <c r="AU203" s="335">
        <f t="shared" si="46"/>
        <v>596.90193740437724</v>
      </c>
      <c r="AV203" s="335">
        <f t="shared" si="47"/>
        <v>673.10355666666658</v>
      </c>
      <c r="AW203" s="335">
        <f t="shared" si="48"/>
        <v>0</v>
      </c>
      <c r="AX203" s="335">
        <f t="shared" si="49"/>
        <v>1460.3051706408896</v>
      </c>
      <c r="AY203" s="335">
        <f t="shared" si="79"/>
        <v>242.87634984658939</v>
      </c>
      <c r="AZ203" s="335">
        <f t="shared" si="80"/>
        <v>0</v>
      </c>
    </row>
    <row r="204" spans="2:52" ht="14.4" x14ac:dyDescent="0.55000000000000004">
      <c r="B204" s="3">
        <v>2048</v>
      </c>
      <c r="C204" s="334">
        <f t="shared" si="44"/>
        <v>322.84362476899452</v>
      </c>
      <c r="D204" s="532">
        <f>'Food System Summary'!E46-'Food System Summary'!F46</f>
        <v>358.28768606202789</v>
      </c>
      <c r="E204" s="338">
        <f t="shared" si="72"/>
        <v>1.1097870875362486</v>
      </c>
      <c r="F204" s="338">
        <f t="shared" si="50"/>
        <v>0.19510390272370809</v>
      </c>
      <c r="G204" s="334">
        <f t="shared" si="51"/>
        <v>225.27001313225611</v>
      </c>
      <c r="H204" s="338">
        <f t="shared" si="73"/>
        <v>0.69776819441128624</v>
      </c>
      <c r="I204" s="334">
        <f t="shared" si="74"/>
        <v>-260.71407442528948</v>
      </c>
      <c r="J204" s="338">
        <f t="shared" si="75"/>
        <v>-0.80755528194753479</v>
      </c>
      <c r="K204" s="338">
        <f t="shared" si="52"/>
        <v>-0.14197064368705972</v>
      </c>
      <c r="N204" s="3">
        <v>2048</v>
      </c>
      <c r="O204" s="1205">
        <f t="shared" si="53"/>
        <v>772.94968454845889</v>
      </c>
      <c r="P204" s="1205">
        <f t="shared" si="54"/>
        <v>84.985791812760169</v>
      </c>
      <c r="Q204" s="1205">
        <f t="shared" si="55"/>
        <v>691.75091999999984</v>
      </c>
      <c r="R204" s="1205">
        <f t="shared" si="76"/>
        <v>-3.7870272643011731</v>
      </c>
      <c r="S204" s="1206">
        <f>Paper!E95</f>
        <v>743.57402231909225</v>
      </c>
      <c r="T204" s="1205">
        <f t="shared" si="56"/>
        <v>51.823102319092413</v>
      </c>
      <c r="U204" s="1206">
        <f>Paper!I95</f>
        <v>0</v>
      </c>
      <c r="V204" s="1205">
        <f t="shared" si="57"/>
        <v>51.823102319092413</v>
      </c>
      <c r="Y204" s="609">
        <f t="shared" si="77"/>
        <v>2048</v>
      </c>
      <c r="Z204" s="335">
        <f t="shared" si="58"/>
        <v>3339.8027616596228</v>
      </c>
      <c r="AA204" s="335">
        <f t="shared" si="59"/>
        <v>214.63037042611325</v>
      </c>
      <c r="AB204" s="335">
        <f t="shared" si="60"/>
        <v>322.84362476899452</v>
      </c>
      <c r="AC204" s="335">
        <f t="shared" si="61"/>
        <v>607.16933966205306</v>
      </c>
      <c r="AD204" s="335">
        <f t="shared" si="62"/>
        <v>691.75091999999984</v>
      </c>
      <c r="AE204" s="335">
        <f>MIN(Paper!H95,Paper!I95)</f>
        <v>0</v>
      </c>
      <c r="AF204" s="335">
        <f t="shared" si="63"/>
        <v>1503.4085068024622</v>
      </c>
      <c r="AG204" s="533"/>
      <c r="AI204" s="609">
        <f t="shared" si="64"/>
        <v>2048</v>
      </c>
      <c r="AJ204" s="335">
        <f t="shared" si="65"/>
        <v>0</v>
      </c>
      <c r="AK204" s="335">
        <f t="shared" si="66"/>
        <v>0</v>
      </c>
      <c r="AL204" s="335">
        <f t="shared" si="67"/>
        <v>0</v>
      </c>
      <c r="AM204" s="335">
        <f t="shared" si="68"/>
        <v>48.625995852034471</v>
      </c>
      <c r="AN204" s="335">
        <f t="shared" si="69"/>
        <v>84.805610025619671</v>
      </c>
      <c r="AO204" s="335">
        <f t="shared" si="78"/>
        <v>51.823102319092413</v>
      </c>
      <c r="AP204" s="335">
        <f t="shared" si="70"/>
        <v>29.375662229366696</v>
      </c>
      <c r="AS204" s="609">
        <f t="shared" si="71"/>
        <v>2048</v>
      </c>
      <c r="AT204" s="335">
        <f t="shared" si="45"/>
        <v>322.84362476899452</v>
      </c>
      <c r="AU204" s="335">
        <f t="shared" si="46"/>
        <v>607.16933966205306</v>
      </c>
      <c r="AV204" s="335">
        <f t="shared" si="47"/>
        <v>691.75091999999984</v>
      </c>
      <c r="AW204" s="335">
        <f t="shared" si="48"/>
        <v>0</v>
      </c>
      <c r="AX204" s="335">
        <f t="shared" si="49"/>
        <v>1503.4085068024622</v>
      </c>
      <c r="AY204" s="335">
        <f t="shared" si="79"/>
        <v>214.63037042611325</v>
      </c>
      <c r="AZ204" s="335">
        <f t="shared" si="80"/>
        <v>0</v>
      </c>
    </row>
    <row r="205" spans="2:52" ht="14.4" x14ac:dyDescent="0.55000000000000004">
      <c r="B205" s="3">
        <v>2049</v>
      </c>
      <c r="C205" s="334">
        <f t="shared" si="44"/>
        <v>317.05227091352583</v>
      </c>
      <c r="D205" s="532">
        <f>'Food System Summary'!E47-'Food System Summary'!F47</f>
        <v>326.80240541568969</v>
      </c>
      <c r="E205" s="338">
        <f t="shared" si="72"/>
        <v>1.0307524512411492</v>
      </c>
      <c r="F205" s="338">
        <f t="shared" si="50"/>
        <v>0.17855290817591798</v>
      </c>
      <c r="G205" s="334">
        <f t="shared" si="51"/>
        <v>244.11952173864952</v>
      </c>
      <c r="H205" s="338">
        <f t="shared" si="73"/>
        <v>0.76996616688871378</v>
      </c>
      <c r="I205" s="334">
        <f t="shared" si="74"/>
        <v>-253.86965624081338</v>
      </c>
      <c r="J205" s="338">
        <f t="shared" si="75"/>
        <v>-0.80071861812986311</v>
      </c>
      <c r="K205" s="338">
        <f t="shared" si="52"/>
        <v>-0.13870511559350224</v>
      </c>
      <c r="N205" s="3">
        <v>2049</v>
      </c>
      <c r="O205" s="1205">
        <f t="shared" si="53"/>
        <v>787.3972514728847</v>
      </c>
      <c r="P205" s="1205">
        <f t="shared" si="54"/>
        <v>88.994162628738962</v>
      </c>
      <c r="Q205" s="1205">
        <f t="shared" si="55"/>
        <v>710.96622333333335</v>
      </c>
      <c r="R205" s="1205">
        <f t="shared" si="76"/>
        <v>-12.563134489187632</v>
      </c>
      <c r="S205" s="1206">
        <f>Paper!E96</f>
        <v>754.44304206296385</v>
      </c>
      <c r="T205" s="1205">
        <f t="shared" si="56"/>
        <v>43.476818729630509</v>
      </c>
      <c r="U205" s="1206">
        <f>Paper!I96</f>
        <v>0</v>
      </c>
      <c r="V205" s="1205">
        <f t="shared" si="57"/>
        <v>43.476818729630509</v>
      </c>
      <c r="Y205" s="609">
        <f t="shared" si="77"/>
        <v>2049</v>
      </c>
      <c r="Z205" s="335">
        <f t="shared" si="58"/>
        <v>3376.0991857820768</v>
      </c>
      <c r="AA205" s="335">
        <f t="shared" si="59"/>
        <v>184.90626416012549</v>
      </c>
      <c r="AB205" s="335">
        <f t="shared" si="60"/>
        <v>317.05227091352583</v>
      </c>
      <c r="AC205" s="335">
        <f t="shared" si="61"/>
        <v>617.35853831596739</v>
      </c>
      <c r="AD205" s="335">
        <f t="shared" si="62"/>
        <v>710.96622333333335</v>
      </c>
      <c r="AE205" s="335">
        <f>MIN(Paper!H96,Paper!I96)</f>
        <v>0</v>
      </c>
      <c r="AF205" s="335">
        <f t="shared" si="63"/>
        <v>1545.8158890591249</v>
      </c>
      <c r="AG205" s="533"/>
      <c r="AI205" s="609">
        <f t="shared" si="64"/>
        <v>2049</v>
      </c>
      <c r="AJ205" s="335">
        <f t="shared" si="65"/>
        <v>0</v>
      </c>
      <c r="AK205" s="335">
        <f t="shared" si="66"/>
        <v>0</v>
      </c>
      <c r="AL205" s="335">
        <f t="shared" si="67"/>
        <v>0</v>
      </c>
      <c r="AM205" s="335">
        <f t="shared" si="68"/>
        <v>38.968660547298789</v>
      </c>
      <c r="AN205" s="335">
        <f t="shared" si="69"/>
        <v>69.506575473275348</v>
      </c>
      <c r="AO205" s="335">
        <f t="shared" si="78"/>
        <v>43.476818729630509</v>
      </c>
      <c r="AP205" s="335">
        <f t="shared" si="70"/>
        <v>32.95420940992085</v>
      </c>
      <c r="AS205" s="609">
        <f t="shared" si="71"/>
        <v>2049</v>
      </c>
      <c r="AT205" s="335">
        <f t="shared" si="45"/>
        <v>317.05227091352583</v>
      </c>
      <c r="AU205" s="335">
        <f t="shared" si="46"/>
        <v>617.35853831596739</v>
      </c>
      <c r="AV205" s="335">
        <f t="shared" si="47"/>
        <v>710.96622333333335</v>
      </c>
      <c r="AW205" s="335">
        <f t="shared" si="48"/>
        <v>0</v>
      </c>
      <c r="AX205" s="335">
        <f t="shared" si="49"/>
        <v>1545.8158890591249</v>
      </c>
      <c r="AY205" s="335">
        <f t="shared" si="79"/>
        <v>184.90626416012549</v>
      </c>
      <c r="AZ205" s="335">
        <f t="shared" si="80"/>
        <v>0</v>
      </c>
    </row>
    <row r="206" spans="2:52" ht="14.4" x14ac:dyDescent="0.55000000000000004">
      <c r="B206" s="3">
        <v>2050</v>
      </c>
      <c r="C206" s="334">
        <f t="shared" si="44"/>
        <v>312.34141199002676</v>
      </c>
      <c r="D206" s="532">
        <f>'Food System Summary'!E48-'Food System Summary'!F48</f>
        <v>295.81109024460579</v>
      </c>
      <c r="E206" s="338">
        <f t="shared" si="72"/>
        <v>0.94707611251386425</v>
      </c>
      <c r="F206" s="338">
        <f t="shared" si="50"/>
        <v>0.16218532574596034</v>
      </c>
      <c r="G206" s="334">
        <f t="shared" si="51"/>
        <v>263.82747348842423</v>
      </c>
      <c r="H206" s="338">
        <f t="shared" si="73"/>
        <v>0.84467657300866783</v>
      </c>
      <c r="I206" s="334">
        <f t="shared" si="74"/>
        <v>-247.29715174300327</v>
      </c>
      <c r="J206" s="338">
        <f t="shared" si="75"/>
        <v>-0.79175268552253197</v>
      </c>
      <c r="K206" s="338">
        <f t="shared" si="52"/>
        <v>-0.13558642807584376</v>
      </c>
      <c r="N206" s="3">
        <v>2050</v>
      </c>
      <c r="O206" s="1205">
        <f t="shared" si="53"/>
        <v>801.77660768089572</v>
      </c>
      <c r="P206" s="1205">
        <f t="shared" si="54"/>
        <v>92.967285768806704</v>
      </c>
      <c r="Q206" s="1205">
        <f t="shared" si="55"/>
        <v>730.74946666666654</v>
      </c>
      <c r="R206" s="1205">
        <f t="shared" si="76"/>
        <v>-21.940144754577545</v>
      </c>
      <c r="S206" s="1206">
        <f>Paper!E97</f>
        <v>765.27987240923528</v>
      </c>
      <c r="T206" s="1205">
        <f t="shared" si="56"/>
        <v>34.530405742568746</v>
      </c>
      <c r="U206" s="1206">
        <f>Paper!I97</f>
        <v>0</v>
      </c>
      <c r="V206" s="1205">
        <f t="shared" si="57"/>
        <v>34.530405742568746</v>
      </c>
      <c r="Y206" s="609">
        <f t="shared" si="77"/>
        <v>2050</v>
      </c>
      <c r="Z206" s="335">
        <f t="shared" si="58"/>
        <v>3411.4131493703135</v>
      </c>
      <c r="AA206" s="335">
        <f t="shared" si="59"/>
        <v>153.47525052691503</v>
      </c>
      <c r="AB206" s="335">
        <f t="shared" si="60"/>
        <v>312.34141199002676</v>
      </c>
      <c r="AC206" s="335">
        <f t="shared" si="61"/>
        <v>627.34172982917778</v>
      </c>
      <c r="AD206" s="335">
        <f t="shared" si="62"/>
        <v>730.74946666666654</v>
      </c>
      <c r="AE206" s="335">
        <f>MIN(Paper!H97,Paper!I97)</f>
        <v>0</v>
      </c>
      <c r="AF206" s="335">
        <f t="shared" si="63"/>
        <v>1587.5052903575274</v>
      </c>
      <c r="AG206" s="533"/>
      <c r="AI206" s="609">
        <f t="shared" si="64"/>
        <v>2050</v>
      </c>
      <c r="AJ206" s="335">
        <f t="shared" si="65"/>
        <v>0</v>
      </c>
      <c r="AK206" s="335">
        <f t="shared" si="66"/>
        <v>0</v>
      </c>
      <c r="AL206" s="335">
        <f t="shared" si="67"/>
        <v>0</v>
      </c>
      <c r="AM206" s="335">
        <f t="shared" si="68"/>
        <v>29.031522159387094</v>
      </c>
      <c r="AN206" s="335">
        <f t="shared" si="69"/>
        <v>53.416587353298723</v>
      </c>
      <c r="AO206" s="335">
        <f t="shared" si="78"/>
        <v>34.530405742568746</v>
      </c>
      <c r="AP206" s="335">
        <f t="shared" si="70"/>
        <v>36.496735271660469</v>
      </c>
      <c r="AS206" s="609">
        <f t="shared" si="71"/>
        <v>2050</v>
      </c>
      <c r="AT206" s="335">
        <f t="shared" si="45"/>
        <v>312.34141199002676</v>
      </c>
      <c r="AU206" s="335">
        <f t="shared" si="46"/>
        <v>627.34172982917778</v>
      </c>
      <c r="AV206" s="335">
        <f t="shared" si="47"/>
        <v>730.74946666666654</v>
      </c>
      <c r="AW206" s="335">
        <f t="shared" si="48"/>
        <v>0</v>
      </c>
      <c r="AX206" s="335">
        <f t="shared" si="49"/>
        <v>1587.5052903575274</v>
      </c>
      <c r="AY206" s="335">
        <f t="shared" si="79"/>
        <v>153.47525052691503</v>
      </c>
      <c r="AZ206" s="335">
        <f t="shared" si="80"/>
        <v>0</v>
      </c>
    </row>
    <row r="207" spans="2:52" ht="14.4" x14ac:dyDescent="0.55000000000000004">
      <c r="B207" s="3">
        <v>2051</v>
      </c>
      <c r="C207" s="334">
        <f t="shared" si="44"/>
        <v>340.1161243734029</v>
      </c>
      <c r="D207" s="532">
        <f>'Food System Summary'!E49-'Food System Summary'!F49</f>
        <v>296.7532427074384</v>
      </c>
      <c r="E207" s="338">
        <f t="shared" si="72"/>
        <v>0.87250565745492936</v>
      </c>
      <c r="F207" s="338">
        <f t="shared" si="50"/>
        <v>0.16034502384821825</v>
      </c>
      <c r="G207" s="334">
        <f t="shared" si="51"/>
        <v>283.3926251248983</v>
      </c>
      <c r="H207" s="338">
        <f t="shared" si="73"/>
        <v>0.83322314002899311</v>
      </c>
      <c r="I207" s="334">
        <f t="shared" si="74"/>
        <v>-240.02974345893381</v>
      </c>
      <c r="J207" s="338">
        <f t="shared" si="75"/>
        <v>-0.70572879748392237</v>
      </c>
      <c r="K207" s="338">
        <f t="shared" si="52"/>
        <v>-0.12969554970338903</v>
      </c>
      <c r="N207" s="3">
        <v>2051</v>
      </c>
      <c r="O207" s="1205">
        <f t="shared" si="53"/>
        <v>816.55585088147109</v>
      </c>
      <c r="P207" s="1205">
        <f t="shared" si="54"/>
        <v>97.907196914538233</v>
      </c>
      <c r="Q207" s="1205">
        <f t="shared" si="55"/>
        <v>751.10064999999997</v>
      </c>
      <c r="R207" s="1205">
        <f t="shared" si="76"/>
        <v>-32.451996033067076</v>
      </c>
      <c r="S207" s="1206">
        <f>Paper!E98</f>
        <v>770.98974869333063</v>
      </c>
      <c r="T207" s="1205">
        <f t="shared" si="56"/>
        <v>19.889098693330652</v>
      </c>
      <c r="U207" s="1206">
        <f>Paper!I98</f>
        <v>0</v>
      </c>
      <c r="V207" s="1205">
        <f t="shared" si="57"/>
        <v>19.889098693330652</v>
      </c>
      <c r="Y207" s="609">
        <f t="shared" si="77"/>
        <v>2051</v>
      </c>
      <c r="Z207" s="335">
        <f t="shared" si="58"/>
        <v>3447.7514379580948</v>
      </c>
      <c r="AA207" s="335">
        <f t="shared" si="59"/>
        <v>129.75615251956833</v>
      </c>
      <c r="AB207" s="335">
        <f t="shared" si="60"/>
        <v>340.1161243734029</v>
      </c>
      <c r="AC207" s="335">
        <f t="shared" si="61"/>
        <v>629.74395589812468</v>
      </c>
      <c r="AD207" s="335">
        <f t="shared" si="62"/>
        <v>751.10064999999997</v>
      </c>
      <c r="AE207" s="335">
        <f>MIN(Paper!H98,Paper!I98)</f>
        <v>0</v>
      </c>
      <c r="AF207" s="335">
        <f t="shared" si="63"/>
        <v>1597.0345551669989</v>
      </c>
      <c r="AG207" s="533"/>
      <c r="AI207" s="609">
        <f t="shared" si="64"/>
        <v>2051</v>
      </c>
      <c r="AJ207" s="335">
        <f t="shared" si="65"/>
        <v>0</v>
      </c>
      <c r="AK207" s="335">
        <f t="shared" si="66"/>
        <v>0</v>
      </c>
      <c r="AL207" s="335">
        <f t="shared" si="67"/>
        <v>0</v>
      </c>
      <c r="AM207" s="335">
        <f t="shared" si="68"/>
        <v>22.279149644733437</v>
      </c>
      <c r="AN207" s="335">
        <f t="shared" si="69"/>
        <v>42.021801993363738</v>
      </c>
      <c r="AO207" s="335">
        <f t="shared" si="78"/>
        <v>19.889098693330652</v>
      </c>
      <c r="AP207" s="335">
        <f t="shared" si="70"/>
        <v>45.566102188140505</v>
      </c>
      <c r="AS207" s="609">
        <f t="shared" si="71"/>
        <v>2051</v>
      </c>
      <c r="AT207" s="335">
        <f t="shared" si="45"/>
        <v>340.1161243734029</v>
      </c>
      <c r="AU207" s="335">
        <f t="shared" si="46"/>
        <v>629.74395589812468</v>
      </c>
      <c r="AV207" s="335">
        <f t="shared" si="47"/>
        <v>751.10064999999997</v>
      </c>
      <c r="AW207" s="335">
        <f t="shared" si="48"/>
        <v>0</v>
      </c>
      <c r="AX207" s="335">
        <f t="shared" si="49"/>
        <v>1597.0345551669989</v>
      </c>
      <c r="AY207" s="335">
        <f t="shared" si="79"/>
        <v>129.75615251956833</v>
      </c>
      <c r="AZ207" s="335">
        <f t="shared" si="80"/>
        <v>0</v>
      </c>
    </row>
    <row r="208" spans="2:52" ht="14.4" x14ac:dyDescent="0.55000000000000004">
      <c r="B208" s="3">
        <v>2052</v>
      </c>
      <c r="C208" s="334">
        <f t="shared" si="44"/>
        <v>369.05034421433606</v>
      </c>
      <c r="D208" s="532">
        <f>'Food System Summary'!E50-'Food System Summary'!F50</f>
        <v>297.65021960891863</v>
      </c>
      <c r="E208" s="338">
        <f t="shared" si="72"/>
        <v>0.80653012326158446</v>
      </c>
      <c r="F208" s="338">
        <f t="shared" si="50"/>
        <v>0.15860039502909545</v>
      </c>
      <c r="G208" s="334">
        <f t="shared" si="51"/>
        <v>304.425108769595</v>
      </c>
      <c r="H208" s="338">
        <f t="shared" si="73"/>
        <v>0.82488775188024699</v>
      </c>
      <c r="I208" s="334">
        <f t="shared" si="74"/>
        <v>-233.02498416417757</v>
      </c>
      <c r="J208" s="338">
        <f t="shared" si="75"/>
        <v>-0.63141787514183145</v>
      </c>
      <c r="K208" s="338">
        <f t="shared" si="52"/>
        <v>-0.12416538643460785</v>
      </c>
      <c r="N208" s="3">
        <v>2052</v>
      </c>
      <c r="O208" s="1205">
        <f t="shared" si="53"/>
        <v>831.2610401516589</v>
      </c>
      <c r="P208" s="1205">
        <f t="shared" si="54"/>
        <v>102.20455636883774</v>
      </c>
      <c r="Q208" s="1205">
        <f t="shared" si="55"/>
        <v>772.01977333333332</v>
      </c>
      <c r="R208" s="1205">
        <f t="shared" si="76"/>
        <v>-42.963289550512172</v>
      </c>
      <c r="S208" s="1206">
        <f>Paper!E99</f>
        <v>779.89526650228277</v>
      </c>
      <c r="T208" s="1205">
        <f t="shared" si="56"/>
        <v>7.875493168949447</v>
      </c>
      <c r="U208" s="1206">
        <f>Paper!I99</f>
        <v>0</v>
      </c>
      <c r="V208" s="1205">
        <f t="shared" si="57"/>
        <v>7.875493168949447</v>
      </c>
      <c r="Y208" s="609">
        <f t="shared" si="77"/>
        <v>2052</v>
      </c>
      <c r="Z208" s="335">
        <f t="shared" si="58"/>
        <v>3483.1120613277576</v>
      </c>
      <c r="AA208" s="335">
        <f t="shared" si="59"/>
        <v>103.77994300882551</v>
      </c>
      <c r="AB208" s="335">
        <f t="shared" si="60"/>
        <v>369.05034421433606</v>
      </c>
      <c r="AC208" s="335">
        <f t="shared" si="61"/>
        <v>631.88057150980183</v>
      </c>
      <c r="AD208" s="335">
        <f t="shared" si="62"/>
        <v>772.01977333333332</v>
      </c>
      <c r="AE208" s="335">
        <f>MIN(Paper!H99,Paper!I99)</f>
        <v>0</v>
      </c>
      <c r="AF208" s="335">
        <f t="shared" si="63"/>
        <v>1606.3814292614609</v>
      </c>
      <c r="AG208" s="533"/>
      <c r="AI208" s="609">
        <f t="shared" si="64"/>
        <v>2052</v>
      </c>
      <c r="AJ208" s="335">
        <f t="shared" si="65"/>
        <v>0</v>
      </c>
      <c r="AK208" s="335">
        <f t="shared" si="66"/>
        <v>0</v>
      </c>
      <c r="AL208" s="335">
        <f t="shared" si="67"/>
        <v>0</v>
      </c>
      <c r="AM208" s="335">
        <f t="shared" si="68"/>
        <v>15.100543241980983</v>
      </c>
      <c r="AN208" s="335">
        <f t="shared" si="69"/>
        <v>29.438132948518955</v>
      </c>
      <c r="AO208" s="335">
        <f t="shared" si="78"/>
        <v>7.875493168949447</v>
      </c>
      <c r="AP208" s="335">
        <f t="shared" si="70"/>
        <v>51.365773649376123</v>
      </c>
      <c r="AS208" s="609">
        <f t="shared" si="71"/>
        <v>2052</v>
      </c>
      <c r="AT208" s="335">
        <f t="shared" si="45"/>
        <v>369.05034421433606</v>
      </c>
      <c r="AU208" s="335">
        <f t="shared" si="46"/>
        <v>631.88057150980183</v>
      </c>
      <c r="AV208" s="335">
        <f t="shared" si="47"/>
        <v>772.01977333333332</v>
      </c>
      <c r="AW208" s="335">
        <f t="shared" si="48"/>
        <v>0</v>
      </c>
      <c r="AX208" s="335">
        <f t="shared" si="49"/>
        <v>1606.3814292614609</v>
      </c>
      <c r="AY208" s="335">
        <f t="shared" si="79"/>
        <v>103.77994300882551</v>
      </c>
      <c r="AZ208" s="335">
        <f t="shared" si="80"/>
        <v>0</v>
      </c>
    </row>
    <row r="209" spans="2:52" ht="14.4" x14ac:dyDescent="0.55000000000000004">
      <c r="B209" s="3">
        <v>2053</v>
      </c>
      <c r="C209" s="334">
        <f t="shared" si="44"/>
        <v>398.7868428264502</v>
      </c>
      <c r="D209" s="532">
        <f>'Food System Summary'!E51-'Food System Summary'!F51</f>
        <v>298.50198961577212</v>
      </c>
      <c r="E209" s="338">
        <f t="shared" si="72"/>
        <v>0.74852517074059666</v>
      </c>
      <c r="F209" s="338">
        <f t="shared" si="50"/>
        <v>0.15688997841006677</v>
      </c>
      <c r="G209" s="334">
        <f t="shared" si="51"/>
        <v>326.2436459140157</v>
      </c>
      <c r="H209" s="338">
        <f t="shared" si="73"/>
        <v>0.81809029506019859</v>
      </c>
      <c r="I209" s="334">
        <f t="shared" si="74"/>
        <v>-225.95879270333762</v>
      </c>
      <c r="J209" s="338">
        <f t="shared" si="75"/>
        <v>-0.56661546580079525</v>
      </c>
      <c r="K209" s="338">
        <f t="shared" si="52"/>
        <v>-0.11876192233902036</v>
      </c>
      <c r="N209" s="3">
        <v>2053</v>
      </c>
      <c r="O209" s="1205">
        <f t="shared" si="53"/>
        <v>846.04614875968241</v>
      </c>
      <c r="P209" s="1205">
        <f t="shared" si="54"/>
        <v>106.54143506486398</v>
      </c>
      <c r="Q209" s="1205">
        <f t="shared" si="55"/>
        <v>793.50683666666657</v>
      </c>
      <c r="R209" s="1205">
        <f t="shared" si="76"/>
        <v>-54.002122971848166</v>
      </c>
      <c r="S209" s="1206">
        <f>Paper!E100</f>
        <v>788.65304314376851</v>
      </c>
      <c r="T209" s="1205">
        <f t="shared" si="56"/>
        <v>-4.8537935228980587</v>
      </c>
      <c r="U209" s="1206">
        <f>Paper!I100</f>
        <v>0</v>
      </c>
      <c r="V209" s="1205">
        <f t="shared" si="57"/>
        <v>0</v>
      </c>
      <c r="Y209" s="609">
        <f t="shared" si="77"/>
        <v>2053</v>
      </c>
      <c r="Z209" s="335">
        <f t="shared" si="58"/>
        <v>3518.1641751714656</v>
      </c>
      <c r="AA209" s="335">
        <f t="shared" si="59"/>
        <v>76.448720271721299</v>
      </c>
      <c r="AB209" s="335">
        <f t="shared" si="60"/>
        <v>398.7868428264502</v>
      </c>
      <c r="AC209" s="335">
        <f t="shared" si="61"/>
        <v>633.87746570273794</v>
      </c>
      <c r="AD209" s="335">
        <f t="shared" si="62"/>
        <v>793.50683666666657</v>
      </c>
      <c r="AE209" s="335">
        <f>MIN(Paper!H100,Paper!I100)</f>
        <v>-4.8537935228980587</v>
      </c>
      <c r="AF209" s="335">
        <f t="shared" si="63"/>
        <v>1615.5443097038897</v>
      </c>
      <c r="AG209" s="533"/>
      <c r="AI209" s="609">
        <f t="shared" si="64"/>
        <v>2053</v>
      </c>
      <c r="AJ209" s="335">
        <f t="shared" si="65"/>
        <v>0</v>
      </c>
      <c r="AK209" s="335">
        <f t="shared" si="66"/>
        <v>0</v>
      </c>
      <c r="AL209" s="335">
        <f t="shared" si="67"/>
        <v>0</v>
      </c>
      <c r="AM209" s="335">
        <f t="shared" si="68"/>
        <v>7.9065153207091932</v>
      </c>
      <c r="AN209" s="335">
        <f t="shared" si="69"/>
        <v>16.002892857996244</v>
      </c>
      <c r="AO209" s="335">
        <f t="shared" si="78"/>
        <v>0</v>
      </c>
      <c r="AP209" s="335">
        <f t="shared" si="70"/>
        <v>52.539312093015866</v>
      </c>
      <c r="AS209" s="609">
        <f t="shared" si="71"/>
        <v>2053</v>
      </c>
      <c r="AT209" s="335">
        <f t="shared" si="45"/>
        <v>398.7868428264502</v>
      </c>
      <c r="AU209" s="335">
        <f t="shared" si="46"/>
        <v>633.87746570273794</v>
      </c>
      <c r="AV209" s="335">
        <f t="shared" si="47"/>
        <v>793.50683666666657</v>
      </c>
      <c r="AW209" s="335">
        <f t="shared" si="48"/>
        <v>-4.8537935228980587</v>
      </c>
      <c r="AX209" s="335">
        <f t="shared" si="49"/>
        <v>1615.5443097038897</v>
      </c>
      <c r="AY209" s="335">
        <f t="shared" si="79"/>
        <v>76.448720271721299</v>
      </c>
      <c r="AZ209" s="335">
        <f t="shared" si="80"/>
        <v>0</v>
      </c>
    </row>
    <row r="210" spans="2:52" ht="14.4" x14ac:dyDescent="0.55000000000000004">
      <c r="B210" s="3">
        <v>2054</v>
      </c>
      <c r="C210" s="334">
        <f t="shared" si="44"/>
        <v>429.32142848925355</v>
      </c>
      <c r="D210" s="532">
        <f>'Food System Summary'!E52-'Food System Summary'!F52</f>
        <v>299.30866210365548</v>
      </c>
      <c r="E210" s="338">
        <f t="shared" si="72"/>
        <v>0.69716683641181809</v>
      </c>
      <c r="F210" s="338">
        <f t="shared" si="50"/>
        <v>0.15521198998210411</v>
      </c>
      <c r="G210" s="334">
        <f t="shared" si="51"/>
        <v>348.84144165531711</v>
      </c>
      <c r="H210" s="338">
        <f t="shared" si="73"/>
        <v>0.81254141653926093</v>
      </c>
      <c r="I210" s="334">
        <f t="shared" si="74"/>
        <v>-218.82867526971904</v>
      </c>
      <c r="J210" s="338">
        <f t="shared" si="75"/>
        <v>-0.50970825295107902</v>
      </c>
      <c r="K210" s="338">
        <f t="shared" si="52"/>
        <v>-0.11347761843924907</v>
      </c>
      <c r="N210" s="3">
        <v>2054</v>
      </c>
      <c r="O210" s="1205">
        <f t="shared" si="53"/>
        <v>860.9082006365561</v>
      </c>
      <c r="P210" s="1205">
        <f t="shared" si="54"/>
        <v>110.92542033012049</v>
      </c>
      <c r="Q210" s="1205">
        <f t="shared" si="55"/>
        <v>815.56183999999996</v>
      </c>
      <c r="R210" s="1205">
        <f t="shared" si="76"/>
        <v>-65.579059693564318</v>
      </c>
      <c r="S210" s="1206">
        <f>Paper!E101</f>
        <v>797.29985723244988</v>
      </c>
      <c r="T210" s="1205">
        <f t="shared" si="56"/>
        <v>-18.26198276755008</v>
      </c>
      <c r="U210" s="1206">
        <f>Paper!I101</f>
        <v>0</v>
      </c>
      <c r="V210" s="1205">
        <f t="shared" si="57"/>
        <v>0</v>
      </c>
      <c r="Y210" s="609">
        <f t="shared" si="77"/>
        <v>2054</v>
      </c>
      <c r="Z210" s="335">
        <f t="shared" si="58"/>
        <v>3552.9086715023973</v>
      </c>
      <c r="AA210" s="335">
        <f t="shared" si="59"/>
        <v>47.766750076887888</v>
      </c>
      <c r="AB210" s="335">
        <f t="shared" si="60"/>
        <v>429.32142848925355</v>
      </c>
      <c r="AC210" s="335">
        <f t="shared" si="61"/>
        <v>635.73619784771722</v>
      </c>
      <c r="AD210" s="335">
        <f t="shared" si="62"/>
        <v>815.56183999999996</v>
      </c>
      <c r="AE210" s="335">
        <f>MIN(Paper!H101,Paper!I101)</f>
        <v>-18.26198276755008</v>
      </c>
      <c r="AF210" s="335">
        <f t="shared" si="63"/>
        <v>1624.5224550885387</v>
      </c>
      <c r="AG210" s="533"/>
      <c r="AI210" s="609">
        <f t="shared" si="64"/>
        <v>2054</v>
      </c>
      <c r="AJ210" s="335">
        <f t="shared" si="65"/>
        <v>0</v>
      </c>
      <c r="AK210" s="335">
        <f t="shared" si="66"/>
        <v>0</v>
      </c>
      <c r="AL210" s="335">
        <f t="shared" si="67"/>
        <v>0</v>
      </c>
      <c r="AM210" s="335">
        <f t="shared" si="68"/>
        <v>0.77761696475871167</v>
      </c>
      <c r="AN210" s="335">
        <f t="shared" si="69"/>
        <v>1.6427724755729969</v>
      </c>
      <c r="AO210" s="335">
        <f t="shared" si="78"/>
        <v>0</v>
      </c>
      <c r="AP210" s="335">
        <f t="shared" si="70"/>
        <v>45.346360636556177</v>
      </c>
      <c r="AS210" s="609">
        <f t="shared" si="71"/>
        <v>2054</v>
      </c>
      <c r="AT210" s="335">
        <f t="shared" si="45"/>
        <v>429.32142848925355</v>
      </c>
      <c r="AU210" s="335">
        <f t="shared" si="46"/>
        <v>635.73619784771722</v>
      </c>
      <c r="AV210" s="335">
        <f t="shared" si="47"/>
        <v>815.56183999999996</v>
      </c>
      <c r="AW210" s="335">
        <f t="shared" si="48"/>
        <v>-18.26198276755008</v>
      </c>
      <c r="AX210" s="335">
        <f t="shared" si="49"/>
        <v>1624.5224550885387</v>
      </c>
      <c r="AY210" s="335">
        <f t="shared" si="79"/>
        <v>47.766750076887888</v>
      </c>
      <c r="AZ210" s="335">
        <f t="shared" si="80"/>
        <v>0</v>
      </c>
    </row>
    <row r="211" spans="2:52" ht="14.4" x14ac:dyDescent="0.55000000000000004">
      <c r="B211" s="3">
        <v>2055</v>
      </c>
      <c r="C211" s="334">
        <f t="shared" si="44"/>
        <v>460.64760944687714</v>
      </c>
      <c r="D211" s="532">
        <f>'Food System Summary'!E53-'Food System Summary'!F53</f>
        <v>300.07063047349698</v>
      </c>
      <c r="E211" s="338">
        <f t="shared" si="72"/>
        <v>0.65141037165873272</v>
      </c>
      <c r="F211" s="338">
        <f t="shared" si="50"/>
        <v>0.15356493222802925</v>
      </c>
      <c r="G211" s="334">
        <f t="shared" si="51"/>
        <v>372.21044072322729</v>
      </c>
      <c r="H211" s="338">
        <f t="shared" si="73"/>
        <v>0.80801557001491697</v>
      </c>
      <c r="I211" s="334">
        <f t="shared" si="74"/>
        <v>-211.63346174984713</v>
      </c>
      <c r="J211" s="338">
        <f t="shared" si="75"/>
        <v>-0.45942594167364964</v>
      </c>
      <c r="K211" s="338">
        <f t="shared" si="52"/>
        <v>-0.10830609500008677</v>
      </c>
      <c r="N211" s="3">
        <v>2055</v>
      </c>
      <c r="O211" s="1205">
        <f t="shared" si="53"/>
        <v>875.84459399766547</v>
      </c>
      <c r="P211" s="1205">
        <f t="shared" si="54"/>
        <v>115.36535985930644</v>
      </c>
      <c r="Q211" s="1205">
        <f t="shared" si="55"/>
        <v>838.18478333333326</v>
      </c>
      <c r="R211" s="1205">
        <f t="shared" si="76"/>
        <v>-77.705549194974196</v>
      </c>
      <c r="S211" s="1206">
        <f>Paper!E102</f>
        <v>805.8701617764026</v>
      </c>
      <c r="T211" s="1205">
        <f t="shared" si="56"/>
        <v>-32.314621556930661</v>
      </c>
      <c r="U211" s="1206">
        <f>Paper!I102</f>
        <v>0</v>
      </c>
      <c r="V211" s="1205">
        <f t="shared" si="57"/>
        <v>0</v>
      </c>
      <c r="Y211" s="609">
        <f t="shared" si="77"/>
        <v>2055</v>
      </c>
      <c r="Z211" s="335">
        <f t="shared" si="58"/>
        <v>3587.3475451386416</v>
      </c>
      <c r="AA211" s="335">
        <f t="shared" si="59"/>
        <v>37.659810664332213</v>
      </c>
      <c r="AB211" s="335">
        <f t="shared" si="60"/>
        <v>460.64760944687714</v>
      </c>
      <c r="AC211" s="335">
        <f t="shared" si="61"/>
        <v>617.53874698052414</v>
      </c>
      <c r="AD211" s="335">
        <f t="shared" si="62"/>
        <v>838.18478333333326</v>
      </c>
      <c r="AE211" s="335">
        <f>MIN(Paper!H102,Paper!I102)</f>
        <v>-32.314621556930661</v>
      </c>
      <c r="AF211" s="335">
        <f t="shared" si="63"/>
        <v>1633.3165947135749</v>
      </c>
      <c r="AG211" s="533"/>
      <c r="AI211" s="609">
        <f t="shared" si="64"/>
        <v>2055</v>
      </c>
      <c r="AJ211" s="335">
        <f t="shared" si="65"/>
        <v>0</v>
      </c>
      <c r="AK211" s="335">
        <f t="shared" si="66"/>
        <v>0</v>
      </c>
      <c r="AL211" s="335">
        <f t="shared" si="67"/>
        <v>0</v>
      </c>
      <c r="AM211" s="335">
        <f t="shared" si="68"/>
        <v>0</v>
      </c>
      <c r="AN211" s="335">
        <f t="shared" si="69"/>
        <v>0</v>
      </c>
      <c r="AO211" s="335">
        <f t="shared" si="78"/>
        <v>0</v>
      </c>
      <c r="AP211" s="335">
        <f t="shared" si="70"/>
        <v>37.659810664332213</v>
      </c>
      <c r="AS211" s="609">
        <f t="shared" si="71"/>
        <v>2055</v>
      </c>
      <c r="AT211" s="335">
        <f t="shared" si="45"/>
        <v>460.64760944687714</v>
      </c>
      <c r="AU211" s="335">
        <f t="shared" si="46"/>
        <v>617.53874698052414</v>
      </c>
      <c r="AV211" s="335">
        <f t="shared" si="47"/>
        <v>838.18478333333326</v>
      </c>
      <c r="AW211" s="335">
        <f t="shared" si="48"/>
        <v>-32.314621556930661</v>
      </c>
      <c r="AX211" s="335">
        <f t="shared" si="49"/>
        <v>1633.3165947135749</v>
      </c>
      <c r="AY211" s="335">
        <f t="shared" si="79"/>
        <v>37.659810664332213</v>
      </c>
      <c r="AZ211" s="335">
        <f t="shared" si="80"/>
        <v>0</v>
      </c>
    </row>
    <row r="212" spans="2:52" ht="14.4" x14ac:dyDescent="0.55000000000000004">
      <c r="B212" s="3">
        <v>2056</v>
      </c>
      <c r="C212" s="334">
        <f t="shared" si="44"/>
        <v>492.75832948731659</v>
      </c>
      <c r="D212" s="532">
        <f>'Food System Summary'!E54-'Food System Summary'!F54</f>
        <v>300.78822751168491</v>
      </c>
      <c r="E212" s="338">
        <f t="shared" si="72"/>
        <v>0.61041733749003446</v>
      </c>
      <c r="F212" s="338">
        <f t="shared" si="50"/>
        <v>0.15194728132312993</v>
      </c>
      <c r="G212" s="334">
        <f t="shared" si="51"/>
        <v>396.3413254407069</v>
      </c>
      <c r="H212" s="338">
        <f t="shared" si="73"/>
        <v>0.80433206649814448</v>
      </c>
      <c r="I212" s="334">
        <f t="shared" si="74"/>
        <v>-204.37122346507522</v>
      </c>
      <c r="J212" s="338">
        <f t="shared" si="75"/>
        <v>-0.41474940398817889</v>
      </c>
      <c r="K212" s="338">
        <f t="shared" si="52"/>
        <v>-0.10324091485593025</v>
      </c>
      <c r="N212" s="3">
        <v>2056</v>
      </c>
      <c r="O212" s="1205">
        <f t="shared" si="53"/>
        <v>890.8530098780941</v>
      </c>
      <c r="P212" s="1205">
        <f t="shared" si="54"/>
        <v>119.87136375435418</v>
      </c>
      <c r="Q212" s="1205">
        <f t="shared" si="55"/>
        <v>861.37566666666658</v>
      </c>
      <c r="R212" s="1205">
        <f t="shared" si="76"/>
        <v>-90.394020542926683</v>
      </c>
      <c r="S212" s="1206">
        <f>Paper!E103</f>
        <v>814.3953438896981</v>
      </c>
      <c r="T212" s="1205">
        <f t="shared" si="56"/>
        <v>-46.980322776968478</v>
      </c>
      <c r="U212" s="1206">
        <f>Paper!I103</f>
        <v>2.1735179095892363</v>
      </c>
      <c r="V212" s="1205">
        <f t="shared" si="57"/>
        <v>0</v>
      </c>
      <c r="Y212" s="609">
        <f t="shared" si="77"/>
        <v>2056</v>
      </c>
      <c r="Z212" s="335">
        <f t="shared" si="58"/>
        <v>3621.4835044729898</v>
      </c>
      <c r="AA212" s="335">
        <f t="shared" si="59"/>
        <v>27.303825301838287</v>
      </c>
      <c r="AB212" s="335">
        <f t="shared" si="60"/>
        <v>492.75832948731659</v>
      </c>
      <c r="AC212" s="335">
        <f t="shared" si="61"/>
        <v>595.94515478489234</v>
      </c>
      <c r="AD212" s="335">
        <f t="shared" si="62"/>
        <v>861.37566666666658</v>
      </c>
      <c r="AE212" s="335">
        <f>MIN(Paper!H103,Paper!I103)</f>
        <v>-46.980322776968478</v>
      </c>
      <c r="AF212" s="335">
        <f t="shared" si="63"/>
        <v>1641.9270103226868</v>
      </c>
      <c r="AG212" s="533"/>
      <c r="AI212" s="609">
        <f t="shared" si="64"/>
        <v>2056</v>
      </c>
      <c r="AJ212" s="335">
        <f t="shared" si="65"/>
        <v>0</v>
      </c>
      <c r="AK212" s="335">
        <f t="shared" si="66"/>
        <v>0</v>
      </c>
      <c r="AL212" s="335">
        <f t="shared" si="67"/>
        <v>0</v>
      </c>
      <c r="AM212" s="335">
        <f t="shared" si="68"/>
        <v>0</v>
      </c>
      <c r="AN212" s="335">
        <f t="shared" si="69"/>
        <v>0</v>
      </c>
      <c r="AO212" s="335">
        <f t="shared" si="78"/>
        <v>0</v>
      </c>
      <c r="AP212" s="335">
        <f t="shared" si="70"/>
        <v>27.303825301838287</v>
      </c>
      <c r="AS212" s="609">
        <f t="shared" si="71"/>
        <v>2056</v>
      </c>
      <c r="AT212" s="335">
        <f t="shared" si="45"/>
        <v>492.75832948731659</v>
      </c>
      <c r="AU212" s="335">
        <f t="shared" si="46"/>
        <v>595.94515478489234</v>
      </c>
      <c r="AV212" s="335">
        <f t="shared" si="47"/>
        <v>861.37566666666658</v>
      </c>
      <c r="AW212" s="335">
        <f t="shared" si="48"/>
        <v>-46.980322776968478</v>
      </c>
      <c r="AX212" s="335">
        <f t="shared" si="49"/>
        <v>1641.9270103226868</v>
      </c>
      <c r="AY212" s="335">
        <f t="shared" si="79"/>
        <v>27.303825301838287</v>
      </c>
      <c r="AZ212" s="335">
        <f t="shared" si="80"/>
        <v>0</v>
      </c>
    </row>
    <row r="213" spans="2:52" ht="14.4" x14ac:dyDescent="0.55000000000000004">
      <c r="B213" s="3">
        <v>2057</v>
      </c>
      <c r="C213" s="334">
        <f t="shared" si="44"/>
        <v>525.64270041345674</v>
      </c>
      <c r="D213" s="532">
        <f>'Food System Summary'!E55-'Food System Summary'!F55</f>
        <v>301.46241201248995</v>
      </c>
      <c r="E213" s="338">
        <f t="shared" si="72"/>
        <v>0.57351202970262416</v>
      </c>
      <c r="F213" s="338">
        <f t="shared" si="50"/>
        <v>0.15035803454013763</v>
      </c>
      <c r="G213" s="334">
        <f t="shared" si="51"/>
        <v>421.22351368337024</v>
      </c>
      <c r="H213" s="338">
        <f t="shared" si="73"/>
        <v>0.80134949720037374</v>
      </c>
      <c r="I213" s="334">
        <f t="shared" si="74"/>
        <v>-197.04322528240345</v>
      </c>
      <c r="J213" s="338">
        <f t="shared" si="75"/>
        <v>-0.37486152690299784</v>
      </c>
      <c r="K213" s="338">
        <f t="shared" si="52"/>
        <v>-9.8277698619635062E-2</v>
      </c>
      <c r="N213" s="3">
        <v>2057</v>
      </c>
      <c r="O213" s="1205">
        <f t="shared" si="53"/>
        <v>905.93170268323081</v>
      </c>
      <c r="P213" s="1205">
        <f t="shared" si="54"/>
        <v>124.45480656407686</v>
      </c>
      <c r="Q213" s="1205">
        <f t="shared" si="55"/>
        <v>885.13448999999991</v>
      </c>
      <c r="R213" s="1205">
        <f t="shared" si="76"/>
        <v>-103.65759388084598</v>
      </c>
      <c r="S213" s="1206">
        <f>Paper!E104</f>
        <v>822.90366684399692</v>
      </c>
      <c r="T213" s="1205">
        <f t="shared" si="56"/>
        <v>-62.230823156002998</v>
      </c>
      <c r="U213" s="1206">
        <f>Paper!I104</f>
        <v>9.192682570560919</v>
      </c>
      <c r="V213" s="1205">
        <f t="shared" si="57"/>
        <v>0</v>
      </c>
      <c r="Y213" s="609">
        <f t="shared" si="77"/>
        <v>2057</v>
      </c>
      <c r="Z213" s="335">
        <f t="shared" si="58"/>
        <v>3655.3211397416994</v>
      </c>
      <c r="AA213" s="335">
        <f t="shared" si="59"/>
        <v>11.604530112669977</v>
      </c>
      <c r="AB213" s="335">
        <f t="shared" si="60"/>
        <v>525.64270041345674</v>
      </c>
      <c r="AC213" s="335">
        <f t="shared" si="61"/>
        <v>573.38936844034617</v>
      </c>
      <c r="AD213" s="335">
        <f t="shared" si="62"/>
        <v>885.13448999999991</v>
      </c>
      <c r="AE213" s="335">
        <f>MIN(Paper!H104,Paper!I104)</f>
        <v>-62.230823156002998</v>
      </c>
      <c r="AF213" s="335">
        <f t="shared" si="63"/>
        <v>1650.3573682046656</v>
      </c>
      <c r="AG213" s="533"/>
      <c r="AI213" s="609">
        <f t="shared" si="64"/>
        <v>2057</v>
      </c>
      <c r="AJ213" s="335">
        <f t="shared" si="65"/>
        <v>0</v>
      </c>
      <c r="AK213" s="335">
        <f t="shared" si="66"/>
        <v>0</v>
      </c>
      <c r="AL213" s="335">
        <f t="shared" si="67"/>
        <v>0</v>
      </c>
      <c r="AM213" s="335">
        <f t="shared" si="68"/>
        <v>0</v>
      </c>
      <c r="AN213" s="335">
        <f t="shared" si="69"/>
        <v>0</v>
      </c>
      <c r="AO213" s="335">
        <f t="shared" si="78"/>
        <v>0</v>
      </c>
      <c r="AP213" s="335">
        <f t="shared" si="70"/>
        <v>11.604530112669977</v>
      </c>
      <c r="AS213" s="609">
        <f t="shared" si="71"/>
        <v>2057</v>
      </c>
      <c r="AT213" s="335">
        <f t="shared" si="45"/>
        <v>525.64270041345674</v>
      </c>
      <c r="AU213" s="335">
        <f t="shared" si="46"/>
        <v>573.38936844034617</v>
      </c>
      <c r="AV213" s="335">
        <f t="shared" si="47"/>
        <v>885.13448999999991</v>
      </c>
      <c r="AW213" s="335">
        <f t="shared" si="48"/>
        <v>-62.230823156002998</v>
      </c>
      <c r="AX213" s="335">
        <f t="shared" si="49"/>
        <v>1650.3573682046656</v>
      </c>
      <c r="AY213" s="335">
        <f t="shared" si="79"/>
        <v>11.604530112669977</v>
      </c>
      <c r="AZ213" s="335">
        <f t="shared" si="80"/>
        <v>0</v>
      </c>
    </row>
    <row r="214" spans="2:52" ht="14.4" x14ac:dyDescent="0.55000000000000004">
      <c r="B214" s="3">
        <v>2058</v>
      </c>
      <c r="C214" s="334">
        <f t="shared" si="44"/>
        <v>559.28410666729178</v>
      </c>
      <c r="D214" s="532">
        <f>'Food System Summary'!E56-'Food System Summary'!F56</f>
        <v>302.09509797202691</v>
      </c>
      <c r="E214" s="338">
        <f t="shared" si="72"/>
        <v>0.54014604450710402</v>
      </c>
      <c r="F214" s="338">
        <f t="shared" si="50"/>
        <v>0.14879695935988738</v>
      </c>
      <c r="G214" s="334">
        <f t="shared" si="51"/>
        <v>446.84515684014701</v>
      </c>
      <c r="H214" s="338">
        <f t="shared" si="73"/>
        <v>0.79895915423530406</v>
      </c>
      <c r="I214" s="334">
        <f t="shared" si="74"/>
        <v>-189.65614814488214</v>
      </c>
      <c r="J214" s="338">
        <f t="shared" si="75"/>
        <v>-0.33910519874240808</v>
      </c>
      <c r="K214" s="338">
        <f t="shared" si="52"/>
        <v>-9.3415147605208471E-2</v>
      </c>
      <c r="N214" s="3">
        <v>2058</v>
      </c>
      <c r="O214" s="1205">
        <f t="shared" si="53"/>
        <v>921.07959586446191</v>
      </c>
      <c r="P214" s="1205">
        <f t="shared" si="54"/>
        <v>129.12832932420488</v>
      </c>
      <c r="Q214" s="1205">
        <f t="shared" si="55"/>
        <v>909.46125333333316</v>
      </c>
      <c r="R214" s="1205">
        <f t="shared" si="76"/>
        <v>-117.50998679307611</v>
      </c>
      <c r="S214" s="1206">
        <f>Paper!E105</f>
        <v>831.42001936786221</v>
      </c>
      <c r="T214" s="1205">
        <f t="shared" si="56"/>
        <v>-78.041233965470951</v>
      </c>
      <c r="U214" s="1206">
        <f>Paper!I105</f>
        <v>11.864974658789833</v>
      </c>
      <c r="V214" s="1205">
        <f t="shared" si="57"/>
        <v>0</v>
      </c>
      <c r="Y214" s="609">
        <f t="shared" si="77"/>
        <v>2058</v>
      </c>
      <c r="Z214" s="335">
        <f t="shared" si="58"/>
        <v>3688.8672576804943</v>
      </c>
      <c r="AA214" s="335">
        <f t="shared" si="59"/>
        <v>-0.246632127661087</v>
      </c>
      <c r="AB214" s="335">
        <f t="shared" si="60"/>
        <v>559.28410666729178</v>
      </c>
      <c r="AC214" s="335">
        <f t="shared" si="61"/>
        <v>549.88677618512247</v>
      </c>
      <c r="AD214" s="335">
        <f t="shared" si="62"/>
        <v>909.46125333333316</v>
      </c>
      <c r="AE214" s="335">
        <f>MIN(Paper!H105,Paper!I105)</f>
        <v>-78.041233965470951</v>
      </c>
      <c r="AF214" s="335">
        <f t="shared" si="63"/>
        <v>1658.6167789636181</v>
      </c>
      <c r="AG214" s="533"/>
      <c r="AI214" s="609">
        <f t="shared" si="64"/>
        <v>2058</v>
      </c>
      <c r="AJ214" s="335">
        <f t="shared" si="65"/>
        <v>0</v>
      </c>
      <c r="AK214" s="335">
        <f t="shared" si="66"/>
        <v>0</v>
      </c>
      <c r="AL214" s="335">
        <f t="shared" si="67"/>
        <v>0</v>
      </c>
      <c r="AM214" s="335">
        <f t="shared" si="68"/>
        <v>0</v>
      </c>
      <c r="AN214" s="335">
        <f t="shared" si="69"/>
        <v>0</v>
      </c>
      <c r="AO214" s="335">
        <f t="shared" si="78"/>
        <v>0</v>
      </c>
      <c r="AP214" s="335">
        <f t="shared" si="70"/>
        <v>-0.246632127661087</v>
      </c>
      <c r="AS214" s="609">
        <f>Y214</f>
        <v>2058</v>
      </c>
      <c r="AT214" s="335">
        <f t="shared" si="45"/>
        <v>559.28410666729178</v>
      </c>
      <c r="AU214" s="335">
        <f t="shared" si="46"/>
        <v>549.88677618512247</v>
      </c>
      <c r="AV214" s="335">
        <f t="shared" si="47"/>
        <v>909.46125333333316</v>
      </c>
      <c r="AW214" s="335">
        <f t="shared" si="48"/>
        <v>-78.041233965470951</v>
      </c>
      <c r="AX214" s="335">
        <f t="shared" si="49"/>
        <v>1658.6167789636181</v>
      </c>
      <c r="AY214" s="335">
        <f t="shared" si="79"/>
        <v>-0.246632127661087</v>
      </c>
      <c r="AZ214" s="335">
        <f t="shared" si="80"/>
        <v>0</v>
      </c>
    </row>
    <row r="215" spans="2:52" ht="14.4" x14ac:dyDescent="0.55000000000000004">
      <c r="B215" s="3">
        <v>2059</v>
      </c>
      <c r="C215" s="334">
        <f t="shared" si="44"/>
        <v>593.66229391369859</v>
      </c>
      <c r="D215" s="532">
        <f>'Food System Summary'!E57-'Food System Summary'!F57</f>
        <v>302.6887239866478</v>
      </c>
      <c r="E215" s="338">
        <f t="shared" si="72"/>
        <v>0.50986685037916524</v>
      </c>
      <c r="F215" s="338">
        <f t="shared" si="50"/>
        <v>0.14726419926293471</v>
      </c>
      <c r="G215" s="334">
        <f t="shared" si="51"/>
        <v>473.19313777341733</v>
      </c>
      <c r="H215" s="338">
        <f t="shared" si="73"/>
        <v>0.79707460390301632</v>
      </c>
      <c r="I215" s="334">
        <f t="shared" si="74"/>
        <v>-182.21956784636654</v>
      </c>
      <c r="J215" s="338">
        <f t="shared" si="75"/>
        <v>-0.30694145428218156</v>
      </c>
      <c r="K215" s="338">
        <f t="shared" si="52"/>
        <v>-8.8653513072779327E-2</v>
      </c>
      <c r="N215" s="3">
        <v>2059</v>
      </c>
      <c r="O215" s="1205">
        <f t="shared" si="53"/>
        <v>936.29613148582268</v>
      </c>
      <c r="P215" s="1205">
        <f t="shared" si="54"/>
        <v>133.90584159725117</v>
      </c>
      <c r="Q215" s="1205">
        <f t="shared" si="55"/>
        <v>934.35595666666666</v>
      </c>
      <c r="R215" s="1205">
        <f t="shared" si="76"/>
        <v>-131.96566677809517</v>
      </c>
      <c r="S215" s="1206">
        <f>Paper!E106</f>
        <v>839.96570260949193</v>
      </c>
      <c r="T215" s="1205">
        <f t="shared" si="56"/>
        <v>-94.390254057174729</v>
      </c>
      <c r="U215" s="1206">
        <f>Paper!I106</f>
        <v>11.687581971733607</v>
      </c>
      <c r="V215" s="1205">
        <f t="shared" si="57"/>
        <v>0</v>
      </c>
      <c r="Y215" s="609">
        <f t="shared" si="77"/>
        <v>2059</v>
      </c>
      <c r="Z215" s="335">
        <f t="shared" si="58"/>
        <v>3722.1302215748697</v>
      </c>
      <c r="AA215" s="335">
        <f t="shared" si="59"/>
        <v>-9.7474071525775798</v>
      </c>
      <c r="AB215" s="335">
        <f t="shared" si="60"/>
        <v>593.66229391369859</v>
      </c>
      <c r="AC215" s="335">
        <f t="shared" si="61"/>
        <v>525.45440067512016</v>
      </c>
      <c r="AD215" s="335">
        <f t="shared" si="62"/>
        <v>934.35595666666666</v>
      </c>
      <c r="AE215" s="335">
        <f>MIN(Paper!H106,Paper!I106)</f>
        <v>-94.390254057174729</v>
      </c>
      <c r="AF215" s="335">
        <f t="shared" si="63"/>
        <v>1666.7173955002281</v>
      </c>
      <c r="AG215" s="533"/>
      <c r="AI215" s="609">
        <f t="shared" si="64"/>
        <v>2059</v>
      </c>
      <c r="AJ215" s="335">
        <f t="shared" si="65"/>
        <v>0</v>
      </c>
      <c r="AK215" s="335">
        <f t="shared" si="66"/>
        <v>0</v>
      </c>
      <c r="AL215" s="335">
        <f t="shared" si="67"/>
        <v>0</v>
      </c>
      <c r="AM215" s="335">
        <f t="shared" si="68"/>
        <v>0</v>
      </c>
      <c r="AN215" s="335">
        <f t="shared" si="69"/>
        <v>0</v>
      </c>
      <c r="AO215" s="335">
        <f t="shared" si="78"/>
        <v>0</v>
      </c>
      <c r="AP215" s="335">
        <f t="shared" si="70"/>
        <v>-9.7474071525775798</v>
      </c>
      <c r="AS215" s="609">
        <f>Y215</f>
        <v>2059</v>
      </c>
      <c r="AT215" s="335">
        <f t="shared" si="45"/>
        <v>593.66229391369859</v>
      </c>
      <c r="AU215" s="335">
        <f t="shared" si="46"/>
        <v>525.45440067512016</v>
      </c>
      <c r="AV215" s="335">
        <f t="shared" si="47"/>
        <v>934.35595666666666</v>
      </c>
      <c r="AW215" s="335">
        <f t="shared" si="48"/>
        <v>-94.390254057174729</v>
      </c>
      <c r="AX215" s="335">
        <f t="shared" si="49"/>
        <v>1666.7173955002281</v>
      </c>
      <c r="AY215" s="335">
        <f t="shared" si="79"/>
        <v>-9.7474071525775798</v>
      </c>
      <c r="AZ215" s="335">
        <f t="shared" si="80"/>
        <v>0</v>
      </c>
    </row>
    <row r="216" spans="2:52" ht="14.4" x14ac:dyDescent="0.55000000000000004">
      <c r="B216" s="3">
        <v>2060</v>
      </c>
      <c r="C216" s="334">
        <f t="shared" si="44"/>
        <v>628.75703600358372</v>
      </c>
      <c r="D216" s="532">
        <f>'Food System Summary'!E58-'Food System Summary'!F58</f>
        <v>303.24543493027613</v>
      </c>
      <c r="E216" s="338">
        <f t="shared" si="72"/>
        <v>0.48229350538599419</v>
      </c>
      <c r="F216" s="338">
        <f t="shared" si="50"/>
        <v>0.14575966588268291</v>
      </c>
      <c r="G216" s="334">
        <f t="shared" si="51"/>
        <v>500.25306877841615</v>
      </c>
      <c r="H216" s="338">
        <f t="shared" si="73"/>
        <v>0.79562221992465287</v>
      </c>
      <c r="I216" s="334">
        <f t="shared" si="74"/>
        <v>-174.74146770510856</v>
      </c>
      <c r="J216" s="338">
        <f t="shared" si="75"/>
        <v>-0.27791572531064701</v>
      </c>
      <c r="K216" s="338">
        <f t="shared" si="52"/>
        <v>-8.3992222189272242E-2</v>
      </c>
      <c r="N216" s="3">
        <v>2060</v>
      </c>
      <c r="O216" s="1205">
        <f t="shared" si="53"/>
        <v>951.58079278820207</v>
      </c>
      <c r="P216" s="1205">
        <f t="shared" si="54"/>
        <v>138.80252351217533</v>
      </c>
      <c r="Q216" s="1205">
        <f t="shared" si="55"/>
        <v>959.81860000000006</v>
      </c>
      <c r="R216" s="1205">
        <f t="shared" si="76"/>
        <v>-147.04033072397328</v>
      </c>
      <c r="S216" s="1206">
        <f>Paper!E107</f>
        <v>848.55787966948071</v>
      </c>
      <c r="T216" s="1205">
        <f t="shared" si="56"/>
        <v>-111.26072033051935</v>
      </c>
      <c r="U216" s="1206">
        <f>Paper!I107</f>
        <v>11.516510953442321</v>
      </c>
      <c r="V216" s="1205">
        <f t="shared" si="57"/>
        <v>0</v>
      </c>
      <c r="Y216" s="609">
        <f t="shared" si="77"/>
        <v>2060</v>
      </c>
      <c r="Z216" s="335">
        <f t="shared" si="58"/>
        <v>3755.1180285792939</v>
      </c>
      <c r="AA216" s="335">
        <f t="shared" si="59"/>
        <v>-19.754318165240306</v>
      </c>
      <c r="AB216" s="335">
        <f t="shared" si="60"/>
        <v>628.75703600358372</v>
      </c>
      <c r="AC216" s="335">
        <f t="shared" si="61"/>
        <v>500.11037403510761</v>
      </c>
      <c r="AD216" s="335">
        <f t="shared" si="62"/>
        <v>959.81860000000006</v>
      </c>
      <c r="AE216" s="335">
        <f>MIN(Paper!H107,Paper!I107)</f>
        <v>-111.26072033051935</v>
      </c>
      <c r="AF216" s="335">
        <f t="shared" si="63"/>
        <v>1674.6698257524004</v>
      </c>
      <c r="AG216" s="533"/>
      <c r="AI216" s="609">
        <f t="shared" si="64"/>
        <v>2060</v>
      </c>
      <c r="AJ216" s="335">
        <f t="shared" si="65"/>
        <v>0</v>
      </c>
      <c r="AK216" s="335">
        <f t="shared" si="66"/>
        <v>0</v>
      </c>
      <c r="AL216" s="335">
        <f t="shared" si="67"/>
        <v>0</v>
      </c>
      <c r="AM216" s="335">
        <f t="shared" si="68"/>
        <v>0</v>
      </c>
      <c r="AN216" s="335">
        <f t="shared" si="69"/>
        <v>0</v>
      </c>
      <c r="AO216" s="335">
        <f t="shared" si="78"/>
        <v>0</v>
      </c>
      <c r="AP216" s="335">
        <f t="shared" si="70"/>
        <v>-19.754318165240306</v>
      </c>
      <c r="AS216" s="609">
        <f>Y216</f>
        <v>2060</v>
      </c>
      <c r="AT216" s="335">
        <f t="shared" si="45"/>
        <v>628.75703600358372</v>
      </c>
      <c r="AU216" s="335">
        <f t="shared" si="46"/>
        <v>500.11037403510761</v>
      </c>
      <c r="AV216" s="335">
        <f t="shared" si="47"/>
        <v>959.81860000000006</v>
      </c>
      <c r="AW216" s="335">
        <f t="shared" si="48"/>
        <v>-111.26072033051935</v>
      </c>
      <c r="AX216" s="335">
        <f t="shared" si="49"/>
        <v>1674.6698257524004</v>
      </c>
      <c r="AY216" s="335">
        <f t="shared" si="79"/>
        <v>-19.754318165240306</v>
      </c>
      <c r="AZ216" s="335">
        <f t="shared" si="80"/>
        <v>0</v>
      </c>
    </row>
    <row r="217" spans="2:52" x14ac:dyDescent="0.4">
      <c r="AG217" s="533"/>
    </row>
    <row r="224" spans="2:52" x14ac:dyDescent="0.4">
      <c r="Y224" s="609"/>
      <c r="Z224" s="609"/>
      <c r="AA224" s="609"/>
      <c r="AB224" s="609"/>
      <c r="AC224" s="609"/>
      <c r="AD224" s="609"/>
      <c r="AE224" s="609"/>
      <c r="AF224" s="609"/>
      <c r="AG224" s="609"/>
      <c r="AH224" s="609"/>
      <c r="AI224" s="609"/>
      <c r="AJ224" s="609"/>
      <c r="AK224" s="609"/>
      <c r="AL224" s="609"/>
      <c r="AM224" s="609"/>
      <c r="AN224" s="609"/>
      <c r="AO224" s="609"/>
      <c r="AP224" s="609"/>
      <c r="AQ224" s="609"/>
    </row>
    <row r="225" spans="25:43" x14ac:dyDescent="0.4">
      <c r="Y225" s="609"/>
      <c r="Z225" s="609"/>
      <c r="AA225" s="609"/>
      <c r="AB225" s="609"/>
      <c r="AC225" s="609"/>
      <c r="AD225" s="609"/>
      <c r="AE225" s="609"/>
      <c r="AF225" s="609"/>
      <c r="AG225" s="609"/>
      <c r="AH225" s="609"/>
      <c r="AI225" s="609"/>
      <c r="AJ225" s="609"/>
      <c r="AK225" s="609"/>
      <c r="AL225" s="609"/>
      <c r="AM225" s="609"/>
      <c r="AN225" s="609"/>
      <c r="AO225" s="609"/>
      <c r="AP225" s="609"/>
      <c r="AQ225" s="609"/>
    </row>
    <row r="226" spans="25:43" x14ac:dyDescent="0.4">
      <c r="Y226" s="609"/>
      <c r="Z226" s="609"/>
      <c r="AA226" s="609"/>
      <c r="AB226" s="609"/>
      <c r="AC226" s="609"/>
      <c r="AD226" s="609"/>
      <c r="AE226" s="609"/>
      <c r="AF226" s="609"/>
      <c r="AG226" s="609"/>
      <c r="AH226" s="609"/>
      <c r="AI226" s="609"/>
      <c r="AJ226" s="609"/>
      <c r="AK226" s="609"/>
      <c r="AL226" s="609"/>
      <c r="AM226" s="609"/>
      <c r="AN226" s="609"/>
      <c r="AO226" s="609"/>
      <c r="AP226" s="609"/>
      <c r="AQ226" s="609"/>
    </row>
    <row r="227" spans="25:43" x14ac:dyDescent="0.4">
      <c r="Y227" s="609"/>
      <c r="Z227" s="609"/>
      <c r="AA227" s="609"/>
      <c r="AB227" s="609"/>
      <c r="AC227" s="609"/>
      <c r="AD227" s="609"/>
      <c r="AE227" s="609"/>
      <c r="AF227" s="609"/>
      <c r="AG227" s="609"/>
      <c r="AH227" s="609"/>
      <c r="AI227" s="609"/>
      <c r="AJ227" s="609"/>
      <c r="AK227" s="609"/>
      <c r="AL227" s="609"/>
      <c r="AM227" s="609"/>
      <c r="AN227" s="609"/>
      <c r="AO227" s="609"/>
      <c r="AP227" s="609"/>
      <c r="AQ227" s="609"/>
    </row>
    <row r="228" spans="25:43" x14ac:dyDescent="0.4">
      <c r="Y228" s="609"/>
      <c r="Z228" s="609"/>
      <c r="AA228" s="609"/>
      <c r="AB228" s="609"/>
      <c r="AC228" s="609"/>
      <c r="AD228" s="609"/>
      <c r="AE228" s="609"/>
      <c r="AF228" s="609"/>
      <c r="AG228" s="609"/>
      <c r="AH228" s="609"/>
      <c r="AI228" s="609"/>
      <c r="AJ228" s="609"/>
      <c r="AK228" s="609"/>
      <c r="AL228" s="609"/>
      <c r="AM228" s="609"/>
      <c r="AN228" s="609"/>
      <c r="AO228" s="609"/>
      <c r="AP228" s="609"/>
      <c r="AQ228" s="609"/>
    </row>
    <row r="229" spans="25:43" x14ac:dyDescent="0.4">
      <c r="Y229" s="609"/>
      <c r="Z229" s="609"/>
      <c r="AA229" s="609"/>
      <c r="AB229" s="609"/>
      <c r="AC229" s="609"/>
      <c r="AD229" s="609"/>
      <c r="AE229" s="609"/>
      <c r="AF229" s="609"/>
      <c r="AG229" s="609"/>
      <c r="AH229" s="609"/>
      <c r="AI229" s="609"/>
      <c r="AJ229" s="609"/>
      <c r="AK229" s="609"/>
      <c r="AL229" s="609"/>
      <c r="AM229" s="609"/>
      <c r="AN229" s="609"/>
      <c r="AO229" s="609"/>
      <c r="AP229" s="609"/>
      <c r="AQ229" s="609"/>
    </row>
    <row r="230" spans="25:43" x14ac:dyDescent="0.4">
      <c r="Y230" s="609"/>
      <c r="Z230" s="609"/>
      <c r="AA230" s="609"/>
      <c r="AB230" s="609"/>
      <c r="AC230" s="609"/>
      <c r="AD230" s="609"/>
      <c r="AE230" s="609"/>
      <c r="AF230" s="609"/>
      <c r="AG230" s="609"/>
      <c r="AH230" s="609"/>
      <c r="AI230" s="609"/>
      <c r="AJ230" s="609"/>
      <c r="AK230" s="609"/>
      <c r="AL230" s="609"/>
      <c r="AM230" s="609"/>
      <c r="AN230" s="609"/>
      <c r="AO230" s="609"/>
      <c r="AP230" s="609"/>
      <c r="AQ230" s="609"/>
    </row>
    <row r="231" spans="25:43" x14ac:dyDescent="0.4">
      <c r="Y231" s="609"/>
      <c r="Z231" s="609"/>
      <c r="AA231" s="609"/>
      <c r="AB231" s="609"/>
      <c r="AC231" s="609"/>
      <c r="AD231" s="609"/>
      <c r="AE231" s="609"/>
      <c r="AF231" s="609"/>
      <c r="AG231" s="609"/>
      <c r="AH231" s="609"/>
      <c r="AI231" s="609"/>
      <c r="AJ231" s="609"/>
      <c r="AK231" s="609"/>
      <c r="AL231" s="609"/>
      <c r="AM231" s="609"/>
      <c r="AN231" s="609"/>
      <c r="AO231" s="609"/>
      <c r="AP231" s="609"/>
      <c r="AQ231" s="609"/>
    </row>
    <row r="232" spans="25:43" x14ac:dyDescent="0.4">
      <c r="Y232" s="609"/>
      <c r="Z232" s="609"/>
      <c r="AA232" s="609"/>
      <c r="AB232" s="609"/>
      <c r="AC232" s="609"/>
      <c r="AD232" s="609"/>
      <c r="AE232" s="609"/>
      <c r="AF232" s="609"/>
      <c r="AG232" s="609"/>
      <c r="AH232" s="609"/>
      <c r="AI232" s="609"/>
      <c r="AJ232" s="609"/>
      <c r="AK232" s="609"/>
      <c r="AL232" s="609"/>
      <c r="AM232" s="609"/>
      <c r="AN232" s="609"/>
      <c r="AO232" s="609"/>
      <c r="AP232" s="609"/>
      <c r="AQ232" s="609"/>
    </row>
    <row r="233" spans="25:43" x14ac:dyDescent="0.4">
      <c r="Y233" s="609"/>
      <c r="Z233" s="609"/>
      <c r="AA233" s="609"/>
      <c r="AB233" s="609"/>
      <c r="AC233" s="609"/>
      <c r="AD233" s="609"/>
      <c r="AE233" s="609"/>
      <c r="AF233" s="609"/>
      <c r="AG233" s="609"/>
      <c r="AH233" s="609"/>
      <c r="AI233" s="609"/>
      <c r="AJ233" s="609"/>
      <c r="AK233" s="609"/>
      <c r="AL233" s="609"/>
      <c r="AM233" s="609"/>
      <c r="AN233" s="609"/>
      <c r="AO233" s="609"/>
      <c r="AP233" s="609"/>
      <c r="AQ233" s="609"/>
    </row>
    <row r="234" spans="25:43" x14ac:dyDescent="0.4">
      <c r="Y234" s="609"/>
      <c r="Z234" s="609"/>
      <c r="AA234" s="609"/>
      <c r="AB234" s="609"/>
      <c r="AC234" s="609"/>
      <c r="AD234" s="609"/>
      <c r="AE234" s="609"/>
      <c r="AF234" s="609"/>
      <c r="AG234" s="609"/>
      <c r="AH234" s="609"/>
      <c r="AI234" s="609"/>
      <c r="AJ234" s="609"/>
      <c r="AK234" s="609"/>
      <c r="AL234" s="609"/>
      <c r="AM234" s="609"/>
      <c r="AN234" s="609"/>
      <c r="AO234" s="609"/>
      <c r="AP234" s="609"/>
      <c r="AQ234" s="609"/>
    </row>
    <row r="235" spans="25:43" x14ac:dyDescent="0.4">
      <c r="Y235" s="609"/>
      <c r="Z235" s="609"/>
      <c r="AA235" s="609"/>
      <c r="AB235" s="609"/>
      <c r="AC235" s="609"/>
      <c r="AD235" s="609"/>
      <c r="AE235" s="609"/>
      <c r="AF235" s="609"/>
      <c r="AG235" s="609"/>
      <c r="AH235" s="609"/>
      <c r="AI235" s="609"/>
      <c r="AJ235" s="609"/>
      <c r="AK235" s="609"/>
      <c r="AL235" s="609"/>
      <c r="AM235" s="609"/>
      <c r="AN235" s="609"/>
      <c r="AO235" s="609"/>
      <c r="AP235" s="609"/>
      <c r="AQ235" s="609"/>
    </row>
    <row r="236" spans="25:43" x14ac:dyDescent="0.4">
      <c r="Y236" s="609"/>
      <c r="Z236" s="609"/>
      <c r="AA236" s="609"/>
      <c r="AB236" s="609"/>
      <c r="AC236" s="609"/>
      <c r="AD236" s="609"/>
      <c r="AE236" s="609"/>
      <c r="AF236" s="609"/>
      <c r="AG236" s="609"/>
      <c r="AH236" s="609"/>
      <c r="AI236" s="609"/>
      <c r="AJ236" s="609"/>
      <c r="AK236" s="609"/>
      <c r="AL236" s="609"/>
      <c r="AM236" s="609"/>
      <c r="AN236" s="609"/>
      <c r="AO236" s="609"/>
      <c r="AP236" s="609"/>
      <c r="AQ236" s="609"/>
    </row>
    <row r="237" spans="25:43" x14ac:dyDescent="0.4">
      <c r="Y237" s="609"/>
      <c r="Z237" s="609"/>
      <c r="AA237" s="609"/>
      <c r="AB237" s="609"/>
      <c r="AC237" s="609"/>
      <c r="AD237" s="609"/>
      <c r="AE237" s="609"/>
      <c r="AF237" s="609"/>
      <c r="AG237" s="609"/>
      <c r="AH237" s="609"/>
      <c r="AI237" s="609"/>
      <c r="AJ237" s="609"/>
      <c r="AK237" s="609"/>
      <c r="AL237" s="609"/>
      <c r="AM237" s="609"/>
      <c r="AN237" s="609"/>
      <c r="AO237" s="609"/>
      <c r="AP237" s="609"/>
      <c r="AQ237" s="609"/>
    </row>
    <row r="238" spans="25:43" x14ac:dyDescent="0.4">
      <c r="Y238" s="609"/>
      <c r="Z238" s="609"/>
      <c r="AA238" s="609"/>
      <c r="AB238" s="609"/>
      <c r="AC238" s="609"/>
      <c r="AD238" s="609"/>
      <c r="AE238" s="609"/>
      <c r="AF238" s="609"/>
      <c r="AG238" s="609"/>
      <c r="AH238" s="609"/>
      <c r="AI238" s="609"/>
      <c r="AJ238" s="609"/>
      <c r="AK238" s="609"/>
      <c r="AL238" s="609"/>
      <c r="AM238" s="609"/>
      <c r="AN238" s="609"/>
      <c r="AO238" s="609"/>
      <c r="AP238" s="609"/>
      <c r="AQ238" s="609"/>
    </row>
    <row r="239" spans="25:43" x14ac:dyDescent="0.4">
      <c r="Y239" s="609"/>
      <c r="Z239" s="609"/>
      <c r="AA239" s="609"/>
      <c r="AB239" s="609"/>
      <c r="AC239" s="609"/>
      <c r="AD239" s="609"/>
      <c r="AE239" s="609"/>
      <c r="AF239" s="609"/>
      <c r="AG239" s="609"/>
      <c r="AH239" s="609"/>
      <c r="AI239" s="609"/>
      <c r="AJ239" s="609"/>
      <c r="AK239" s="609"/>
      <c r="AL239" s="609"/>
      <c r="AM239" s="609"/>
      <c r="AN239" s="609"/>
      <c r="AO239" s="609"/>
      <c r="AP239" s="609"/>
      <c r="AQ239" s="609"/>
    </row>
    <row r="240" spans="25:43" x14ac:dyDescent="0.4">
      <c r="Y240" s="609"/>
      <c r="Z240" s="609"/>
      <c r="AA240" s="609"/>
      <c r="AB240" s="609"/>
      <c r="AC240" s="609"/>
      <c r="AD240" s="609"/>
      <c r="AE240" s="609"/>
      <c r="AF240" s="609"/>
      <c r="AG240" s="609"/>
      <c r="AH240" s="609"/>
      <c r="AI240" s="609"/>
      <c r="AJ240" s="609"/>
      <c r="AK240" s="609"/>
      <c r="AL240" s="609"/>
      <c r="AM240" s="609"/>
      <c r="AN240" s="609"/>
      <c r="AO240" s="609"/>
      <c r="AP240" s="609"/>
      <c r="AQ240" s="609"/>
    </row>
    <row r="241" spans="25:43" x14ac:dyDescent="0.4">
      <c r="Y241" s="609"/>
      <c r="Z241" s="609"/>
      <c r="AA241" s="609"/>
      <c r="AB241" s="609"/>
      <c r="AC241" s="609"/>
      <c r="AD241" s="609"/>
      <c r="AE241" s="609"/>
      <c r="AF241" s="609"/>
      <c r="AG241" s="609"/>
      <c r="AH241" s="609"/>
      <c r="AI241" s="609"/>
      <c r="AJ241" s="609"/>
      <c r="AK241" s="609"/>
      <c r="AL241" s="609"/>
      <c r="AM241" s="609"/>
      <c r="AN241" s="609"/>
      <c r="AO241" s="609"/>
      <c r="AP241" s="609"/>
      <c r="AQ241" s="609"/>
    </row>
    <row r="242" spans="25:43" x14ac:dyDescent="0.4">
      <c r="Y242" s="609"/>
      <c r="Z242" s="609"/>
      <c r="AA242" s="609"/>
      <c r="AB242" s="609"/>
      <c r="AC242" s="609"/>
      <c r="AD242" s="609"/>
      <c r="AE242" s="609"/>
      <c r="AF242" s="609"/>
      <c r="AG242" s="609"/>
      <c r="AH242" s="609"/>
      <c r="AI242" s="609"/>
      <c r="AJ242" s="609"/>
      <c r="AK242" s="609"/>
      <c r="AL242" s="609"/>
      <c r="AM242" s="609"/>
      <c r="AN242" s="609"/>
      <c r="AO242" s="609"/>
      <c r="AP242" s="609"/>
      <c r="AQ242" s="609"/>
    </row>
    <row r="243" spans="25:43" x14ac:dyDescent="0.4">
      <c r="Y243" s="609"/>
      <c r="Z243" s="609"/>
      <c r="AA243" s="609"/>
      <c r="AB243" s="609"/>
      <c r="AC243" s="609"/>
      <c r="AD243" s="609"/>
      <c r="AE243" s="609"/>
      <c r="AF243" s="609"/>
      <c r="AG243" s="609"/>
      <c r="AH243" s="609"/>
      <c r="AI243" s="609"/>
      <c r="AJ243" s="609"/>
      <c r="AK243" s="609"/>
      <c r="AL243" s="609"/>
      <c r="AM243" s="609"/>
      <c r="AN243" s="609"/>
      <c r="AO243" s="609"/>
      <c r="AP243" s="609"/>
      <c r="AQ243" s="609"/>
    </row>
    <row r="244" spans="25:43" x14ac:dyDescent="0.4">
      <c r="Y244" s="609"/>
      <c r="Z244" s="609"/>
      <c r="AA244" s="609"/>
      <c r="AB244" s="609"/>
      <c r="AC244" s="609"/>
      <c r="AD244" s="609"/>
      <c r="AE244" s="609"/>
      <c r="AF244" s="609"/>
      <c r="AG244" s="609"/>
      <c r="AH244" s="609"/>
      <c r="AI244" s="609"/>
      <c r="AJ244" s="609"/>
      <c r="AK244" s="609"/>
      <c r="AL244" s="609"/>
      <c r="AM244" s="609"/>
      <c r="AN244" s="609"/>
      <c r="AO244" s="609"/>
      <c r="AP244" s="609"/>
      <c r="AQ244" s="609"/>
    </row>
    <row r="245" spans="25:43" x14ac:dyDescent="0.4">
      <c r="Y245" s="609"/>
      <c r="Z245" s="609"/>
      <c r="AA245" s="609"/>
      <c r="AB245" s="609"/>
      <c r="AC245" s="609"/>
      <c r="AD245" s="609"/>
      <c r="AE245" s="609"/>
      <c r="AF245" s="609"/>
      <c r="AG245" s="609"/>
      <c r="AH245" s="609"/>
      <c r="AI245" s="609"/>
      <c r="AJ245" s="609"/>
      <c r="AK245" s="609"/>
      <c r="AL245" s="609"/>
      <c r="AM245" s="609"/>
      <c r="AN245" s="609"/>
      <c r="AO245" s="609"/>
      <c r="AP245" s="609"/>
      <c r="AQ245" s="609"/>
    </row>
    <row r="246" spans="25:43" x14ac:dyDescent="0.4">
      <c r="Y246" s="609"/>
      <c r="Z246" s="609"/>
      <c r="AA246" s="609"/>
      <c r="AB246" s="609"/>
      <c r="AC246" s="609"/>
      <c r="AD246" s="609"/>
      <c r="AE246" s="609"/>
      <c r="AF246" s="609"/>
      <c r="AG246" s="609"/>
      <c r="AH246" s="609"/>
      <c r="AI246" s="609"/>
      <c r="AJ246" s="609"/>
      <c r="AK246" s="609"/>
      <c r="AL246" s="609"/>
      <c r="AM246" s="609"/>
      <c r="AN246" s="609"/>
      <c r="AO246" s="609"/>
      <c r="AP246" s="609"/>
      <c r="AQ246" s="609"/>
    </row>
    <row r="247" spans="25:43" x14ac:dyDescent="0.4">
      <c r="Y247" s="609"/>
      <c r="Z247" s="609"/>
      <c r="AA247" s="609"/>
      <c r="AB247" s="609"/>
      <c r="AC247" s="609"/>
      <c r="AD247" s="609"/>
      <c r="AE247" s="609"/>
      <c r="AF247" s="609"/>
      <c r="AG247" s="609"/>
      <c r="AH247" s="609"/>
      <c r="AI247" s="609"/>
      <c r="AJ247" s="609"/>
      <c r="AK247" s="609"/>
      <c r="AL247" s="609"/>
      <c r="AM247" s="609"/>
      <c r="AN247" s="609"/>
      <c r="AO247" s="609"/>
      <c r="AP247" s="609"/>
      <c r="AQ247" s="609"/>
    </row>
    <row r="248" spans="25:43" x14ac:dyDescent="0.4">
      <c r="Y248" s="609"/>
      <c r="Z248" s="609"/>
      <c r="AA248" s="609"/>
      <c r="AB248" s="609"/>
      <c r="AC248" s="609"/>
      <c r="AD248" s="609"/>
      <c r="AE248" s="609"/>
      <c r="AF248" s="609"/>
      <c r="AG248" s="609"/>
      <c r="AH248" s="609"/>
      <c r="AI248" s="609"/>
      <c r="AJ248" s="609"/>
      <c r="AK248" s="609"/>
      <c r="AL248" s="609"/>
      <c r="AM248" s="609"/>
      <c r="AN248" s="609"/>
      <c r="AO248" s="609"/>
      <c r="AP248" s="609"/>
      <c r="AQ248" s="609"/>
    </row>
    <row r="249" spans="25:43" x14ac:dyDescent="0.4">
      <c r="Y249" s="609"/>
      <c r="Z249" s="609"/>
      <c r="AA249" s="609"/>
      <c r="AB249" s="609"/>
      <c r="AC249" s="609"/>
      <c r="AD249" s="609"/>
      <c r="AE249" s="609"/>
      <c r="AF249" s="609"/>
      <c r="AG249" s="609"/>
      <c r="AH249" s="609"/>
      <c r="AI249" s="609"/>
      <c r="AJ249" s="609"/>
      <c r="AK249" s="609"/>
      <c r="AL249" s="609"/>
      <c r="AM249" s="609"/>
      <c r="AN249" s="609"/>
      <c r="AO249" s="609"/>
      <c r="AP249" s="609"/>
      <c r="AQ249" s="609"/>
    </row>
    <row r="250" spans="25:43" x14ac:dyDescent="0.4">
      <c r="Y250" s="609"/>
      <c r="Z250" s="609"/>
      <c r="AA250" s="609"/>
      <c r="AB250" s="609"/>
      <c r="AC250" s="609"/>
      <c r="AD250" s="609"/>
      <c r="AE250" s="609"/>
      <c r="AF250" s="609"/>
      <c r="AG250" s="609"/>
      <c r="AH250" s="609"/>
      <c r="AI250" s="609"/>
      <c r="AJ250" s="609"/>
      <c r="AK250" s="609"/>
      <c r="AL250" s="609"/>
      <c r="AM250" s="609"/>
      <c r="AN250" s="609"/>
      <c r="AO250" s="609"/>
      <c r="AP250" s="609"/>
      <c r="AQ250" s="609"/>
    </row>
    <row r="251" spans="25:43" x14ac:dyDescent="0.4">
      <c r="Y251" s="609"/>
      <c r="Z251" s="609"/>
      <c r="AA251" s="609"/>
      <c r="AB251" s="609"/>
      <c r="AC251" s="609"/>
      <c r="AD251" s="609"/>
      <c r="AE251" s="609"/>
      <c r="AF251" s="609"/>
      <c r="AG251" s="609"/>
      <c r="AH251" s="609"/>
      <c r="AI251" s="609"/>
      <c r="AJ251" s="609"/>
      <c r="AK251" s="609"/>
      <c r="AL251" s="609"/>
      <c r="AM251" s="609"/>
      <c r="AN251" s="609"/>
      <c r="AO251" s="609"/>
      <c r="AP251" s="609"/>
      <c r="AQ251" s="609"/>
    </row>
    <row r="252" spans="25:43" x14ac:dyDescent="0.4">
      <c r="Y252" s="609"/>
      <c r="Z252" s="609"/>
      <c r="AA252" s="609"/>
      <c r="AB252" s="609"/>
      <c r="AC252" s="609"/>
      <c r="AD252" s="609"/>
      <c r="AE252" s="609"/>
      <c r="AF252" s="609"/>
      <c r="AG252" s="609"/>
      <c r="AH252" s="609"/>
      <c r="AI252" s="609"/>
      <c r="AJ252" s="609"/>
      <c r="AK252" s="609"/>
      <c r="AL252" s="609"/>
      <c r="AM252" s="609"/>
      <c r="AN252" s="609"/>
      <c r="AO252" s="609"/>
      <c r="AP252" s="609"/>
      <c r="AQ252" s="609"/>
    </row>
    <row r="253" spans="25:43" x14ac:dyDescent="0.4">
      <c r="Y253" s="609"/>
      <c r="Z253" s="609"/>
      <c r="AA253" s="609"/>
      <c r="AB253" s="609"/>
      <c r="AC253" s="609"/>
      <c r="AD253" s="609"/>
      <c r="AE253" s="609"/>
      <c r="AF253" s="609"/>
      <c r="AG253" s="609"/>
      <c r="AH253" s="609"/>
      <c r="AI253" s="609"/>
      <c r="AJ253" s="609"/>
      <c r="AK253" s="609"/>
      <c r="AL253" s="609"/>
      <c r="AM253" s="609"/>
      <c r="AN253" s="609"/>
      <c r="AO253" s="609"/>
      <c r="AP253" s="609"/>
      <c r="AQ253" s="609"/>
    </row>
    <row r="254" spans="25:43" x14ac:dyDescent="0.4">
      <c r="Y254" s="609"/>
      <c r="Z254" s="609"/>
      <c r="AA254" s="609"/>
      <c r="AB254" s="609"/>
      <c r="AC254" s="609"/>
      <c r="AD254" s="609"/>
      <c r="AE254" s="609"/>
      <c r="AF254" s="609"/>
      <c r="AG254" s="609"/>
      <c r="AH254" s="609"/>
      <c r="AI254" s="609"/>
      <c r="AJ254" s="609"/>
      <c r="AK254" s="609"/>
      <c r="AL254" s="609"/>
      <c r="AM254" s="609"/>
      <c r="AN254" s="609"/>
      <c r="AO254" s="609"/>
      <c r="AP254" s="609"/>
      <c r="AQ254" s="609"/>
    </row>
    <row r="255" spans="25:43" x14ac:dyDescent="0.4">
      <c r="Y255" s="609"/>
      <c r="Z255" s="609"/>
      <c r="AA255" s="609"/>
      <c r="AB255" s="609"/>
      <c r="AC255" s="609"/>
      <c r="AD255" s="609"/>
      <c r="AE255" s="609"/>
      <c r="AF255" s="609"/>
      <c r="AG255" s="609"/>
      <c r="AH255" s="609"/>
      <c r="AI255" s="609"/>
      <c r="AJ255" s="609"/>
      <c r="AK255" s="609"/>
      <c r="AL255" s="609"/>
      <c r="AM255" s="609"/>
      <c r="AN255" s="609"/>
      <c r="AO255" s="609"/>
      <c r="AP255" s="609"/>
      <c r="AQ255" s="609"/>
    </row>
    <row r="256" spans="25:43" x14ac:dyDescent="0.4">
      <c r="Y256" s="609"/>
      <c r="Z256" s="609"/>
      <c r="AA256" s="609"/>
      <c r="AB256" s="609"/>
      <c r="AC256" s="609"/>
      <c r="AD256" s="609"/>
      <c r="AE256" s="609"/>
      <c r="AF256" s="609"/>
      <c r="AG256" s="609"/>
      <c r="AH256" s="609"/>
      <c r="AI256" s="609"/>
      <c r="AJ256" s="609"/>
      <c r="AK256" s="609"/>
      <c r="AL256" s="609"/>
      <c r="AM256" s="609"/>
      <c r="AN256" s="609"/>
      <c r="AO256" s="609"/>
      <c r="AP256" s="609"/>
      <c r="AQ256" s="609"/>
    </row>
    <row r="257" spans="25:43" x14ac:dyDescent="0.4">
      <c r="Y257" s="609"/>
      <c r="Z257" s="609"/>
      <c r="AA257" s="609"/>
      <c r="AB257" s="609"/>
      <c r="AC257" s="609"/>
      <c r="AD257" s="609"/>
      <c r="AE257" s="609"/>
      <c r="AF257" s="609"/>
      <c r="AG257" s="609"/>
      <c r="AH257" s="609"/>
      <c r="AI257" s="609"/>
      <c r="AJ257" s="609"/>
      <c r="AK257" s="609"/>
      <c r="AL257" s="609"/>
      <c r="AM257" s="609"/>
      <c r="AN257" s="609"/>
      <c r="AO257" s="609"/>
      <c r="AP257" s="609"/>
      <c r="AQ257" s="609"/>
    </row>
    <row r="258" spans="25:43" x14ac:dyDescent="0.4">
      <c r="Y258" s="609"/>
      <c r="Z258" s="609"/>
      <c r="AA258" s="609"/>
      <c r="AB258" s="609"/>
      <c r="AC258" s="609"/>
      <c r="AD258" s="609"/>
      <c r="AE258" s="609"/>
      <c r="AF258" s="609"/>
      <c r="AG258" s="609"/>
      <c r="AH258" s="609"/>
      <c r="AI258" s="609"/>
      <c r="AJ258" s="609"/>
      <c r="AK258" s="609"/>
      <c r="AL258" s="609"/>
      <c r="AM258" s="609"/>
      <c r="AN258" s="609"/>
      <c r="AO258" s="609"/>
      <c r="AP258" s="609"/>
      <c r="AQ258" s="609"/>
    </row>
    <row r="259" spans="25:43" x14ac:dyDescent="0.4">
      <c r="Y259" s="609"/>
      <c r="Z259" s="609"/>
      <c r="AA259" s="609"/>
      <c r="AB259" s="609"/>
      <c r="AC259" s="609"/>
      <c r="AD259" s="609"/>
      <c r="AE259" s="609"/>
      <c r="AF259" s="609"/>
      <c r="AG259" s="609"/>
      <c r="AH259" s="609"/>
      <c r="AI259" s="609"/>
      <c r="AJ259" s="609"/>
      <c r="AK259" s="609"/>
      <c r="AL259" s="609"/>
      <c r="AM259" s="609"/>
      <c r="AN259" s="609"/>
      <c r="AO259" s="609"/>
      <c r="AP259" s="609"/>
      <c r="AQ259" s="609"/>
    </row>
    <row r="260" spans="25:43" x14ac:dyDescent="0.4">
      <c r="Y260" s="609"/>
      <c r="Z260" s="609"/>
      <c r="AA260" s="609"/>
      <c r="AB260" s="609"/>
      <c r="AC260" s="609"/>
      <c r="AD260" s="609"/>
      <c r="AE260" s="609"/>
      <c r="AF260" s="609"/>
      <c r="AG260" s="609"/>
      <c r="AH260" s="609"/>
      <c r="AI260" s="609"/>
      <c r="AJ260" s="609"/>
      <c r="AK260" s="609"/>
      <c r="AL260" s="609"/>
      <c r="AM260" s="609"/>
      <c r="AN260" s="609"/>
      <c r="AO260" s="609"/>
      <c r="AP260" s="609"/>
      <c r="AQ260" s="609"/>
    </row>
    <row r="261" spans="25:43" x14ac:dyDescent="0.4">
      <c r="Y261" s="609"/>
      <c r="Z261" s="609"/>
      <c r="AA261" s="609"/>
      <c r="AB261" s="609"/>
      <c r="AC261" s="609"/>
      <c r="AD261" s="609"/>
      <c r="AE261" s="609"/>
      <c r="AF261" s="609"/>
      <c r="AG261" s="609"/>
      <c r="AH261" s="609"/>
      <c r="AI261" s="609"/>
      <c r="AJ261" s="609"/>
      <c r="AK261" s="609"/>
      <c r="AL261" s="609"/>
      <c r="AM261" s="609"/>
      <c r="AN261" s="609"/>
      <c r="AO261" s="609"/>
      <c r="AP261" s="609"/>
      <c r="AQ261" s="609"/>
    </row>
    <row r="262" spans="25:43" x14ac:dyDescent="0.4">
      <c r="Y262" s="609"/>
      <c r="Z262" s="609"/>
      <c r="AA262" s="609"/>
      <c r="AB262" s="609"/>
      <c r="AC262" s="609"/>
      <c r="AD262" s="609"/>
      <c r="AE262" s="609"/>
      <c r="AF262" s="609"/>
      <c r="AG262" s="609"/>
      <c r="AH262" s="609"/>
      <c r="AI262" s="609"/>
      <c r="AJ262" s="609"/>
      <c r="AK262" s="609"/>
      <c r="AL262" s="609"/>
      <c r="AM262" s="609"/>
      <c r="AN262" s="609"/>
      <c r="AO262" s="609"/>
      <c r="AP262" s="609"/>
      <c r="AQ262" s="609"/>
    </row>
    <row r="263" spans="25:43" x14ac:dyDescent="0.4">
      <c r="Y263" s="609"/>
      <c r="Z263" s="609"/>
      <c r="AA263" s="609"/>
      <c r="AB263" s="609"/>
      <c r="AC263" s="609"/>
      <c r="AD263" s="609"/>
      <c r="AE263" s="609"/>
      <c r="AF263" s="609"/>
      <c r="AG263" s="609"/>
      <c r="AH263" s="609"/>
      <c r="AI263" s="609"/>
      <c r="AJ263" s="609"/>
      <c r="AK263" s="609"/>
      <c r="AL263" s="609"/>
      <c r="AM263" s="609"/>
      <c r="AN263" s="609"/>
      <c r="AO263" s="609"/>
      <c r="AP263" s="609"/>
      <c r="AQ263" s="609"/>
    </row>
    <row r="264" spans="25:43" x14ac:dyDescent="0.4">
      <c r="Y264" s="609"/>
      <c r="Z264" s="609"/>
      <c r="AA264" s="609"/>
      <c r="AB264" s="609"/>
      <c r="AC264" s="609"/>
      <c r="AD264" s="609"/>
      <c r="AE264" s="609"/>
      <c r="AF264" s="609"/>
      <c r="AG264" s="609"/>
      <c r="AH264" s="609"/>
      <c r="AI264" s="609"/>
      <c r="AJ264" s="609"/>
      <c r="AK264" s="609"/>
      <c r="AL264" s="609"/>
      <c r="AM264" s="609"/>
      <c r="AN264" s="609"/>
      <c r="AO264" s="609"/>
      <c r="AP264" s="609"/>
      <c r="AQ264" s="609"/>
    </row>
    <row r="265" spans="25:43" x14ac:dyDescent="0.4">
      <c r="Y265" s="609"/>
      <c r="Z265" s="609"/>
      <c r="AA265" s="609"/>
      <c r="AB265" s="609"/>
      <c r="AC265" s="609"/>
      <c r="AD265" s="609"/>
      <c r="AE265" s="609"/>
      <c r="AF265" s="609"/>
      <c r="AG265" s="609"/>
      <c r="AH265" s="609"/>
      <c r="AI265" s="609"/>
      <c r="AJ265" s="609"/>
      <c r="AK265" s="609"/>
      <c r="AL265" s="609"/>
      <c r="AM265" s="609"/>
      <c r="AN265" s="609"/>
      <c r="AO265" s="609"/>
      <c r="AP265" s="609"/>
      <c r="AQ265" s="609"/>
    </row>
    <row r="266" spans="25:43" x14ac:dyDescent="0.4">
      <c r="Y266" s="609"/>
      <c r="Z266" s="609"/>
      <c r="AA266" s="609"/>
      <c r="AB266" s="609"/>
      <c r="AC266" s="609"/>
      <c r="AD266" s="609"/>
      <c r="AE266" s="609"/>
      <c r="AF266" s="609"/>
      <c r="AG266" s="609"/>
      <c r="AH266" s="609"/>
      <c r="AI266" s="609"/>
      <c r="AJ266" s="609"/>
      <c r="AK266" s="609"/>
      <c r="AL266" s="609"/>
      <c r="AM266" s="609"/>
      <c r="AN266" s="609"/>
      <c r="AO266" s="609"/>
      <c r="AP266" s="609"/>
      <c r="AQ266" s="609"/>
    </row>
    <row r="267" spans="25:43" x14ac:dyDescent="0.4">
      <c r="Y267" s="609"/>
      <c r="Z267" s="609"/>
      <c r="AA267" s="609"/>
      <c r="AB267" s="609"/>
      <c r="AC267" s="609"/>
      <c r="AD267" s="609"/>
      <c r="AE267" s="609"/>
      <c r="AF267" s="609"/>
      <c r="AG267" s="609"/>
      <c r="AH267" s="609"/>
      <c r="AI267" s="609"/>
      <c r="AJ267" s="609"/>
      <c r="AK267" s="609"/>
      <c r="AL267" s="609"/>
      <c r="AM267" s="609"/>
      <c r="AN267" s="609"/>
      <c r="AO267" s="609"/>
      <c r="AP267" s="609"/>
      <c r="AQ267" s="609"/>
    </row>
    <row r="268" spans="25:43" x14ac:dyDescent="0.4">
      <c r="Y268" s="609"/>
      <c r="Z268" s="609"/>
      <c r="AA268" s="609"/>
      <c r="AB268" s="609"/>
      <c r="AC268" s="609"/>
      <c r="AD268" s="609"/>
      <c r="AE268" s="609"/>
      <c r="AF268" s="609"/>
      <c r="AG268" s="609"/>
      <c r="AH268" s="609"/>
      <c r="AI268" s="609"/>
      <c r="AJ268" s="609"/>
      <c r="AK268" s="609"/>
      <c r="AL268" s="609"/>
      <c r="AM268" s="609"/>
      <c r="AN268" s="609"/>
      <c r="AO268" s="609"/>
      <c r="AP268" s="609"/>
      <c r="AQ268" s="609"/>
    </row>
    <row r="269" spans="25:43" x14ac:dyDescent="0.4">
      <c r="Y269" s="609"/>
      <c r="Z269" s="609"/>
      <c r="AA269" s="609"/>
      <c r="AB269" s="609"/>
      <c r="AC269" s="609"/>
      <c r="AD269" s="609"/>
      <c r="AE269" s="609"/>
      <c r="AF269" s="609"/>
      <c r="AG269" s="609"/>
      <c r="AH269" s="609"/>
      <c r="AI269" s="609"/>
      <c r="AJ269" s="609"/>
      <c r="AK269" s="609"/>
      <c r="AL269" s="609"/>
      <c r="AM269" s="609"/>
      <c r="AN269" s="609"/>
      <c r="AO269" s="609"/>
      <c r="AP269" s="609"/>
      <c r="AQ269" s="609"/>
    </row>
    <row r="270" spans="25:43" x14ac:dyDescent="0.4">
      <c r="Y270" s="609"/>
      <c r="Z270" s="609"/>
      <c r="AA270" s="609"/>
      <c r="AB270" s="609"/>
      <c r="AC270" s="609"/>
      <c r="AD270" s="609"/>
      <c r="AE270" s="609"/>
      <c r="AF270" s="609"/>
      <c r="AG270" s="609"/>
      <c r="AH270" s="609"/>
      <c r="AI270" s="609"/>
      <c r="AJ270" s="609"/>
      <c r="AK270" s="609"/>
      <c r="AL270" s="609"/>
      <c r="AM270" s="609"/>
      <c r="AN270" s="609"/>
      <c r="AO270" s="609"/>
      <c r="AP270" s="609"/>
      <c r="AQ270" s="609"/>
    </row>
    <row r="271" spans="25:43" x14ac:dyDescent="0.4">
      <c r="Y271" s="609"/>
      <c r="Z271" s="609"/>
      <c r="AA271" s="609"/>
      <c r="AB271" s="609"/>
      <c r="AC271" s="609"/>
      <c r="AD271" s="609"/>
      <c r="AE271" s="609"/>
      <c r="AF271" s="609"/>
      <c r="AG271" s="609"/>
      <c r="AH271" s="609"/>
      <c r="AI271" s="609"/>
      <c r="AJ271" s="609"/>
      <c r="AK271" s="609"/>
      <c r="AL271" s="609"/>
      <c r="AM271" s="609"/>
      <c r="AN271" s="609"/>
      <c r="AO271" s="609"/>
      <c r="AP271" s="609"/>
      <c r="AQ271" s="609"/>
    </row>
    <row r="272" spans="25:43" x14ac:dyDescent="0.4">
      <c r="Y272" s="609"/>
      <c r="Z272" s="609"/>
      <c r="AA272" s="609"/>
      <c r="AB272" s="609"/>
      <c r="AC272" s="609"/>
      <c r="AD272" s="609"/>
      <c r="AE272" s="609"/>
      <c r="AF272" s="609"/>
      <c r="AG272" s="609"/>
      <c r="AH272" s="609"/>
      <c r="AI272" s="609"/>
      <c r="AJ272" s="609"/>
      <c r="AK272" s="609"/>
      <c r="AL272" s="609"/>
      <c r="AM272" s="609"/>
      <c r="AN272" s="609"/>
      <c r="AO272" s="609"/>
      <c r="AP272" s="609"/>
      <c r="AQ272" s="609"/>
    </row>
    <row r="273" spans="25:43" x14ac:dyDescent="0.4">
      <c r="Y273" s="609"/>
      <c r="Z273" s="609"/>
      <c r="AA273" s="609"/>
      <c r="AB273" s="609"/>
      <c r="AC273" s="609"/>
      <c r="AD273" s="609"/>
      <c r="AE273" s="609"/>
      <c r="AF273" s="609"/>
      <c r="AG273" s="609"/>
      <c r="AH273" s="609"/>
      <c r="AI273" s="609"/>
      <c r="AJ273" s="609"/>
      <c r="AK273" s="609"/>
      <c r="AL273" s="609"/>
      <c r="AM273" s="609"/>
      <c r="AN273" s="609"/>
      <c r="AO273" s="609"/>
      <c r="AP273" s="609"/>
      <c r="AQ273" s="609"/>
    </row>
    <row r="274" spans="25:43" x14ac:dyDescent="0.4">
      <c r="Y274" s="609"/>
      <c r="Z274" s="609"/>
      <c r="AA274" s="609"/>
      <c r="AB274" s="609"/>
      <c r="AC274" s="609"/>
      <c r="AD274" s="609"/>
      <c r="AE274" s="609"/>
      <c r="AF274" s="609"/>
      <c r="AG274" s="609"/>
      <c r="AH274" s="609"/>
      <c r="AI274" s="609"/>
      <c r="AJ274" s="609"/>
      <c r="AK274" s="609"/>
      <c r="AL274" s="609"/>
      <c r="AM274" s="609"/>
      <c r="AN274" s="609"/>
      <c r="AO274" s="609"/>
      <c r="AP274" s="609"/>
      <c r="AQ274" s="609"/>
    </row>
    <row r="275" spans="25:43" x14ac:dyDescent="0.4">
      <c r="Y275" s="609"/>
      <c r="Z275" s="609"/>
      <c r="AA275" s="609"/>
      <c r="AB275" s="609"/>
      <c r="AC275" s="609"/>
      <c r="AD275" s="609"/>
      <c r="AE275" s="609"/>
      <c r="AF275" s="609"/>
      <c r="AG275" s="609"/>
      <c r="AH275" s="609"/>
      <c r="AI275" s="609"/>
      <c r="AJ275" s="609"/>
      <c r="AK275" s="609"/>
      <c r="AL275" s="609"/>
      <c r="AM275" s="609"/>
      <c r="AN275" s="609"/>
      <c r="AO275" s="609"/>
      <c r="AP275" s="609"/>
      <c r="AQ275" s="609"/>
    </row>
    <row r="276" spans="25:43" x14ac:dyDescent="0.4">
      <c r="Y276" s="609"/>
      <c r="Z276" s="609"/>
      <c r="AA276" s="609"/>
      <c r="AB276" s="609"/>
      <c r="AC276" s="609"/>
      <c r="AD276" s="609"/>
      <c r="AE276" s="609"/>
      <c r="AF276" s="609"/>
      <c r="AG276" s="609"/>
      <c r="AH276" s="609"/>
      <c r="AI276" s="609"/>
      <c r="AJ276" s="609"/>
      <c r="AK276" s="609"/>
      <c r="AL276" s="609"/>
      <c r="AM276" s="609"/>
      <c r="AN276" s="609"/>
      <c r="AO276" s="609"/>
      <c r="AP276" s="609"/>
      <c r="AQ276" s="609"/>
    </row>
    <row r="277" spans="25:43" x14ac:dyDescent="0.4">
      <c r="Y277" s="609"/>
      <c r="Z277" s="609"/>
      <c r="AA277" s="609"/>
      <c r="AB277" s="609"/>
      <c r="AC277" s="609"/>
      <c r="AD277" s="609"/>
      <c r="AE277" s="609"/>
      <c r="AF277" s="609"/>
      <c r="AG277" s="609"/>
      <c r="AH277" s="609"/>
      <c r="AI277" s="609"/>
      <c r="AJ277" s="609"/>
      <c r="AK277" s="609"/>
      <c r="AL277" s="609"/>
      <c r="AM277" s="609"/>
      <c r="AN277" s="609"/>
      <c r="AO277" s="609"/>
      <c r="AP277" s="609"/>
      <c r="AQ277" s="609"/>
    </row>
    <row r="278" spans="25:43" x14ac:dyDescent="0.4">
      <c r="Y278" s="609"/>
      <c r="Z278" s="609"/>
      <c r="AA278" s="609"/>
      <c r="AB278" s="609"/>
      <c r="AC278" s="609"/>
      <c r="AD278" s="609"/>
      <c r="AE278" s="609"/>
      <c r="AF278" s="609"/>
      <c r="AG278" s="609"/>
      <c r="AH278" s="609"/>
      <c r="AI278" s="609"/>
      <c r="AJ278" s="609"/>
      <c r="AK278" s="609"/>
      <c r="AL278" s="609"/>
      <c r="AM278" s="609"/>
      <c r="AN278" s="609"/>
      <c r="AO278" s="609"/>
      <c r="AP278" s="609"/>
      <c r="AQ278" s="609"/>
    </row>
    <row r="279" spans="25:43" x14ac:dyDescent="0.4">
      <c r="Y279" s="609"/>
      <c r="Z279" s="609"/>
      <c r="AA279" s="609"/>
      <c r="AB279" s="609"/>
      <c r="AC279" s="609"/>
      <c r="AD279" s="609"/>
      <c r="AE279" s="609"/>
      <c r="AF279" s="609"/>
      <c r="AG279" s="609"/>
      <c r="AH279" s="609"/>
      <c r="AI279" s="609"/>
      <c r="AJ279" s="609"/>
      <c r="AK279" s="609"/>
      <c r="AL279" s="609"/>
      <c r="AM279" s="609"/>
      <c r="AN279" s="609"/>
      <c r="AO279" s="609"/>
      <c r="AP279" s="609"/>
      <c r="AQ279" s="609"/>
    </row>
    <row r="280" spans="25:43" x14ac:dyDescent="0.4">
      <c r="Y280" s="609"/>
      <c r="Z280" s="609"/>
      <c r="AA280" s="609"/>
      <c r="AB280" s="609"/>
      <c r="AC280" s="609"/>
      <c r="AD280" s="609"/>
      <c r="AE280" s="609"/>
      <c r="AF280" s="609"/>
      <c r="AG280" s="609"/>
      <c r="AH280" s="609"/>
      <c r="AI280" s="609"/>
      <c r="AJ280" s="609"/>
      <c r="AK280" s="609"/>
      <c r="AL280" s="609"/>
      <c r="AM280" s="609"/>
      <c r="AN280" s="609"/>
      <c r="AO280" s="609"/>
      <c r="AP280" s="609"/>
      <c r="AQ280" s="609"/>
    </row>
    <row r="281" spans="25:43" x14ac:dyDescent="0.4">
      <c r="Y281" s="609"/>
      <c r="Z281" s="609"/>
      <c r="AA281" s="609"/>
      <c r="AB281" s="609"/>
      <c r="AC281" s="609"/>
      <c r="AD281" s="609"/>
      <c r="AE281" s="609"/>
      <c r="AF281" s="609"/>
      <c r="AG281" s="609"/>
      <c r="AH281" s="609"/>
      <c r="AI281" s="609"/>
      <c r="AJ281" s="609"/>
      <c r="AK281" s="609"/>
      <c r="AL281" s="609"/>
      <c r="AM281" s="609"/>
      <c r="AN281" s="609"/>
      <c r="AO281" s="609"/>
      <c r="AP281" s="609"/>
      <c r="AQ281" s="609"/>
    </row>
    <row r="282" spans="25:43" x14ac:dyDescent="0.4">
      <c r="Y282" s="609"/>
      <c r="Z282" s="609"/>
      <c r="AA282" s="609"/>
      <c r="AB282" s="609"/>
      <c r="AC282" s="609"/>
      <c r="AD282" s="609"/>
      <c r="AE282" s="609"/>
      <c r="AF282" s="609"/>
      <c r="AG282" s="609"/>
      <c r="AH282" s="609"/>
      <c r="AI282" s="609"/>
      <c r="AJ282" s="609"/>
      <c r="AK282" s="609"/>
      <c r="AL282" s="609"/>
      <c r="AM282" s="609"/>
      <c r="AN282" s="609"/>
      <c r="AO282" s="609"/>
      <c r="AP282" s="609"/>
      <c r="AQ282" s="609"/>
    </row>
    <row r="283" spans="25:43" x14ac:dyDescent="0.4">
      <c r="Y283" s="609"/>
      <c r="Z283" s="609"/>
      <c r="AA283" s="609"/>
      <c r="AB283" s="609"/>
      <c r="AC283" s="609"/>
      <c r="AD283" s="609"/>
      <c r="AE283" s="609"/>
      <c r="AF283" s="609"/>
      <c r="AG283" s="609"/>
      <c r="AH283" s="609"/>
      <c r="AI283" s="609"/>
      <c r="AJ283" s="609"/>
      <c r="AK283" s="609"/>
      <c r="AL283" s="609"/>
      <c r="AM283" s="609"/>
      <c r="AN283" s="609"/>
      <c r="AO283" s="609"/>
      <c r="AP283" s="609"/>
      <c r="AQ283" s="609"/>
    </row>
    <row r="284" spans="25:43" x14ac:dyDescent="0.4">
      <c r="Y284" s="609"/>
      <c r="Z284" s="609"/>
      <c r="AA284" s="609"/>
      <c r="AB284" s="609"/>
      <c r="AC284" s="609"/>
      <c r="AD284" s="609"/>
      <c r="AE284" s="609"/>
      <c r="AF284" s="609"/>
      <c r="AG284" s="609"/>
      <c r="AH284" s="609"/>
      <c r="AI284" s="609"/>
      <c r="AJ284" s="609"/>
      <c r="AK284" s="609"/>
      <c r="AL284" s="609"/>
      <c r="AM284" s="609"/>
      <c r="AN284" s="609"/>
      <c r="AO284" s="609"/>
      <c r="AP284" s="609"/>
      <c r="AQ284" s="609"/>
    </row>
    <row r="285" spans="25:43" x14ac:dyDescent="0.4">
      <c r="Y285" s="609"/>
      <c r="Z285" s="609"/>
      <c r="AA285" s="609"/>
      <c r="AB285" s="609"/>
      <c r="AC285" s="609"/>
      <c r="AD285" s="609"/>
      <c r="AE285" s="609"/>
      <c r="AF285" s="609"/>
      <c r="AG285" s="609"/>
      <c r="AH285" s="609"/>
      <c r="AI285" s="609"/>
      <c r="AJ285" s="609"/>
      <c r="AK285" s="609"/>
      <c r="AL285" s="609"/>
      <c r="AM285" s="609"/>
      <c r="AN285" s="609"/>
      <c r="AO285" s="609"/>
      <c r="AP285" s="609"/>
      <c r="AQ285" s="609"/>
    </row>
    <row r="286" spans="25:43" x14ac:dyDescent="0.4">
      <c r="Y286" s="609"/>
      <c r="Z286" s="609"/>
      <c r="AA286" s="609"/>
      <c r="AB286" s="609"/>
      <c r="AC286" s="609"/>
      <c r="AD286" s="609"/>
      <c r="AE286" s="609"/>
      <c r="AF286" s="609"/>
      <c r="AG286" s="609"/>
      <c r="AH286" s="609"/>
      <c r="AI286" s="609"/>
      <c r="AJ286" s="609"/>
      <c r="AK286" s="609"/>
      <c r="AL286" s="609"/>
      <c r="AM286" s="609"/>
      <c r="AN286" s="609"/>
      <c r="AO286" s="609"/>
      <c r="AP286" s="609"/>
      <c r="AQ286" s="609"/>
    </row>
    <row r="287" spans="25:43" x14ac:dyDescent="0.4">
      <c r="Y287" s="609"/>
      <c r="Z287" s="609"/>
      <c r="AA287" s="609"/>
      <c r="AB287" s="609"/>
      <c r="AC287" s="609"/>
      <c r="AD287" s="609"/>
      <c r="AE287" s="609"/>
      <c r="AF287" s="609"/>
      <c r="AG287" s="609"/>
      <c r="AH287" s="609"/>
      <c r="AI287" s="609"/>
      <c r="AJ287" s="609"/>
      <c r="AK287" s="609"/>
      <c r="AL287" s="609"/>
      <c r="AM287" s="609"/>
      <c r="AN287" s="609"/>
      <c r="AO287" s="609"/>
      <c r="AP287" s="609"/>
      <c r="AQ287" s="609"/>
    </row>
    <row r="288" spans="25:43" x14ac:dyDescent="0.4">
      <c r="Y288" s="609"/>
      <c r="Z288" s="609"/>
      <c r="AA288" s="609"/>
      <c r="AB288" s="609"/>
      <c r="AC288" s="609"/>
      <c r="AD288" s="609"/>
      <c r="AE288" s="609"/>
      <c r="AF288" s="609"/>
      <c r="AG288" s="609"/>
      <c r="AH288" s="609"/>
      <c r="AI288" s="609"/>
      <c r="AJ288" s="609"/>
      <c r="AK288" s="609"/>
      <c r="AL288" s="609"/>
      <c r="AM288" s="609"/>
      <c r="AN288" s="609"/>
      <c r="AO288" s="609"/>
      <c r="AP288" s="609"/>
      <c r="AQ288" s="609"/>
    </row>
    <row r="289" spans="25:43" x14ac:dyDescent="0.4">
      <c r="Y289" s="609"/>
      <c r="Z289" s="609"/>
      <c r="AA289" s="609"/>
      <c r="AB289" s="609"/>
      <c r="AC289" s="609"/>
      <c r="AD289" s="609"/>
      <c r="AE289" s="609"/>
      <c r="AF289" s="609"/>
      <c r="AG289" s="609"/>
      <c r="AH289" s="609"/>
      <c r="AI289" s="609"/>
      <c r="AJ289" s="609"/>
      <c r="AK289" s="609"/>
      <c r="AL289" s="609"/>
      <c r="AM289" s="609"/>
      <c r="AN289" s="609"/>
      <c r="AO289" s="609"/>
      <c r="AP289" s="609"/>
      <c r="AQ289" s="609"/>
    </row>
    <row r="290" spans="25:43" x14ac:dyDescent="0.4">
      <c r="Y290" s="609"/>
      <c r="Z290" s="609"/>
      <c r="AA290" s="609"/>
      <c r="AB290" s="609"/>
      <c r="AC290" s="609"/>
      <c r="AD290" s="609"/>
      <c r="AE290" s="609"/>
      <c r="AF290" s="609"/>
      <c r="AG290" s="609"/>
      <c r="AH290" s="609"/>
      <c r="AI290" s="609"/>
      <c r="AJ290" s="609"/>
      <c r="AK290" s="609"/>
      <c r="AL290" s="609"/>
      <c r="AM290" s="609"/>
      <c r="AN290" s="609"/>
      <c r="AO290" s="609"/>
      <c r="AP290" s="609"/>
      <c r="AQ290" s="609"/>
    </row>
    <row r="291" spans="25:43" x14ac:dyDescent="0.4">
      <c r="Y291" s="609"/>
      <c r="Z291" s="609"/>
      <c r="AA291" s="609"/>
      <c r="AB291" s="609"/>
      <c r="AC291" s="609"/>
      <c r="AD291" s="609"/>
      <c r="AE291" s="609"/>
      <c r="AF291" s="609"/>
      <c r="AG291" s="609"/>
      <c r="AH291" s="609"/>
      <c r="AI291" s="609"/>
      <c r="AJ291" s="609"/>
      <c r="AK291" s="609"/>
      <c r="AL291" s="609"/>
      <c r="AM291" s="609"/>
      <c r="AN291" s="609"/>
      <c r="AO291" s="609"/>
      <c r="AP291" s="609"/>
      <c r="AQ291" s="609"/>
    </row>
    <row r="292" spans="25:43" x14ac:dyDescent="0.4">
      <c r="Y292" s="609"/>
      <c r="Z292" s="609"/>
      <c r="AA292" s="609"/>
      <c r="AB292" s="609"/>
      <c r="AC292" s="609"/>
      <c r="AD292" s="609"/>
      <c r="AE292" s="609"/>
      <c r="AF292" s="609"/>
      <c r="AG292" s="609"/>
      <c r="AH292" s="609"/>
      <c r="AI292" s="609"/>
      <c r="AJ292" s="609"/>
      <c r="AK292" s="609"/>
      <c r="AL292" s="609"/>
      <c r="AM292" s="609"/>
      <c r="AN292" s="609"/>
      <c r="AO292" s="609"/>
      <c r="AP292" s="609"/>
      <c r="AQ292" s="609"/>
    </row>
    <row r="293" spans="25:43" x14ac:dyDescent="0.4">
      <c r="Y293" s="609"/>
      <c r="Z293" s="609"/>
      <c r="AA293" s="609"/>
      <c r="AB293" s="609"/>
      <c r="AC293" s="609"/>
      <c r="AD293" s="609"/>
      <c r="AE293" s="609"/>
      <c r="AF293" s="609"/>
      <c r="AG293" s="609"/>
      <c r="AH293" s="609"/>
      <c r="AI293" s="609"/>
      <c r="AJ293" s="609"/>
      <c r="AK293" s="609"/>
      <c r="AL293" s="609"/>
      <c r="AM293" s="609"/>
      <c r="AN293" s="609"/>
      <c r="AO293" s="609"/>
      <c r="AP293" s="609"/>
      <c r="AQ293" s="609"/>
    </row>
    <row r="294" spans="25:43" x14ac:dyDescent="0.4">
      <c r="Y294" s="609"/>
      <c r="Z294" s="609"/>
      <c r="AA294" s="609"/>
      <c r="AB294" s="609"/>
      <c r="AC294" s="609"/>
      <c r="AD294" s="609"/>
      <c r="AE294" s="609"/>
      <c r="AF294" s="609"/>
      <c r="AG294" s="609"/>
      <c r="AH294" s="609"/>
      <c r="AI294" s="609"/>
      <c r="AJ294" s="609"/>
      <c r="AK294" s="609"/>
      <c r="AL294" s="609"/>
      <c r="AM294" s="609"/>
      <c r="AN294" s="609"/>
      <c r="AO294" s="609"/>
      <c r="AP294" s="609"/>
      <c r="AQ294" s="609"/>
    </row>
    <row r="295" spans="25:43" x14ac:dyDescent="0.4">
      <c r="Y295" s="609"/>
      <c r="Z295" s="609"/>
      <c r="AA295" s="609"/>
      <c r="AB295" s="609"/>
      <c r="AC295" s="609"/>
      <c r="AD295" s="609"/>
      <c r="AE295" s="609"/>
      <c r="AF295" s="609"/>
      <c r="AG295" s="609"/>
      <c r="AH295" s="609"/>
      <c r="AI295" s="609"/>
      <c r="AJ295" s="609"/>
      <c r="AK295" s="609"/>
      <c r="AL295" s="609"/>
      <c r="AM295" s="609"/>
      <c r="AN295" s="609"/>
      <c r="AO295" s="609"/>
      <c r="AP295" s="609"/>
      <c r="AQ295" s="609"/>
    </row>
    <row r="296" spans="25:43" x14ac:dyDescent="0.4">
      <c r="Y296" s="609"/>
      <c r="Z296" s="609"/>
      <c r="AA296" s="609"/>
      <c r="AB296" s="609"/>
      <c r="AC296" s="609"/>
      <c r="AD296" s="609"/>
      <c r="AE296" s="609"/>
      <c r="AF296" s="609"/>
      <c r="AG296" s="609"/>
      <c r="AH296" s="609"/>
      <c r="AI296" s="609"/>
      <c r="AJ296" s="609"/>
      <c r="AK296" s="609"/>
      <c r="AL296" s="609"/>
      <c r="AM296" s="609"/>
      <c r="AN296" s="609"/>
      <c r="AO296" s="609"/>
      <c r="AP296" s="609"/>
      <c r="AQ296" s="609"/>
    </row>
    <row r="297" spans="25:43" x14ac:dyDescent="0.4">
      <c r="Y297" s="609"/>
      <c r="Z297" s="609"/>
      <c r="AA297" s="609"/>
      <c r="AB297" s="609"/>
      <c r="AC297" s="609"/>
      <c r="AD297" s="609"/>
      <c r="AE297" s="609"/>
      <c r="AF297" s="609"/>
      <c r="AG297" s="609"/>
      <c r="AH297" s="609"/>
      <c r="AI297" s="609"/>
      <c r="AJ297" s="609"/>
      <c r="AK297" s="609"/>
      <c r="AL297" s="609"/>
      <c r="AM297" s="609"/>
      <c r="AN297" s="609"/>
      <c r="AO297" s="609"/>
      <c r="AP297" s="609"/>
      <c r="AQ297" s="609"/>
    </row>
    <row r="298" spans="25:43" x14ac:dyDescent="0.4">
      <c r="Y298" s="609"/>
      <c r="Z298" s="609"/>
      <c r="AA298" s="609"/>
      <c r="AB298" s="609"/>
      <c r="AC298" s="609"/>
      <c r="AD298" s="609"/>
      <c r="AE298" s="609"/>
      <c r="AF298" s="609"/>
      <c r="AG298" s="609"/>
      <c r="AH298" s="609"/>
      <c r="AI298" s="609"/>
      <c r="AJ298" s="609"/>
      <c r="AK298" s="609"/>
      <c r="AL298" s="609"/>
      <c r="AM298" s="609"/>
      <c r="AN298" s="609"/>
      <c r="AO298" s="609"/>
      <c r="AP298" s="609"/>
      <c r="AQ298" s="609"/>
    </row>
    <row r="299" spans="25:43" x14ac:dyDescent="0.4">
      <c r="Y299" s="609"/>
      <c r="Z299" s="609"/>
      <c r="AA299" s="609"/>
      <c r="AB299" s="609"/>
      <c r="AC299" s="609"/>
      <c r="AD299" s="609"/>
      <c r="AE299" s="609"/>
      <c r="AF299" s="609"/>
      <c r="AG299" s="609"/>
      <c r="AH299" s="609"/>
      <c r="AI299" s="609"/>
      <c r="AJ299" s="609"/>
      <c r="AK299" s="609"/>
      <c r="AL299" s="609"/>
      <c r="AM299" s="609"/>
      <c r="AN299" s="609"/>
      <c r="AO299" s="609"/>
      <c r="AP299" s="609"/>
      <c r="AQ299" s="609"/>
    </row>
    <row r="300" spans="25:43" x14ac:dyDescent="0.4">
      <c r="Y300" s="609"/>
      <c r="Z300" s="609"/>
      <c r="AA300" s="609"/>
      <c r="AB300" s="609"/>
      <c r="AC300" s="609"/>
      <c r="AD300" s="609"/>
      <c r="AE300" s="609"/>
      <c r="AF300" s="609"/>
      <c r="AG300" s="609"/>
      <c r="AH300" s="609"/>
      <c r="AI300" s="609"/>
      <c r="AJ300" s="609"/>
      <c r="AK300" s="609"/>
      <c r="AL300" s="609"/>
      <c r="AM300" s="609"/>
      <c r="AN300" s="609"/>
      <c r="AO300" s="609"/>
      <c r="AP300" s="609"/>
      <c r="AQ300" s="609"/>
    </row>
    <row r="301" spans="25:43" x14ac:dyDescent="0.4">
      <c r="Y301" s="609"/>
      <c r="Z301" s="609"/>
      <c r="AA301" s="609"/>
      <c r="AB301" s="609"/>
      <c r="AC301" s="609"/>
      <c r="AD301" s="609"/>
      <c r="AE301" s="609"/>
      <c r="AF301" s="609"/>
      <c r="AG301" s="609"/>
      <c r="AH301" s="609"/>
      <c r="AI301" s="609"/>
      <c r="AJ301" s="609"/>
      <c r="AK301" s="609"/>
      <c r="AL301" s="609"/>
      <c r="AM301" s="609"/>
      <c r="AN301" s="609"/>
      <c r="AO301" s="609"/>
      <c r="AP301" s="609"/>
      <c r="AQ301" s="609"/>
    </row>
    <row r="302" spans="25:43" x14ac:dyDescent="0.4">
      <c r="Y302" s="609"/>
      <c r="Z302" s="609"/>
      <c r="AA302" s="609"/>
      <c r="AB302" s="609"/>
      <c r="AC302" s="609"/>
      <c r="AD302" s="609"/>
      <c r="AE302" s="609"/>
      <c r="AF302" s="609"/>
      <c r="AG302" s="609"/>
      <c r="AH302" s="609"/>
      <c r="AI302" s="609"/>
      <c r="AJ302" s="609"/>
      <c r="AK302" s="609"/>
      <c r="AL302" s="609"/>
      <c r="AM302" s="609"/>
      <c r="AN302" s="609"/>
      <c r="AO302" s="609"/>
      <c r="AP302" s="609"/>
      <c r="AQ302" s="609"/>
    </row>
    <row r="303" spans="25:43" x14ac:dyDescent="0.4">
      <c r="Y303" s="609"/>
      <c r="Z303" s="609"/>
      <c r="AA303" s="609"/>
      <c r="AB303" s="609"/>
      <c r="AC303" s="609"/>
      <c r="AD303" s="609"/>
      <c r="AE303" s="609"/>
      <c r="AF303" s="609"/>
      <c r="AG303" s="609"/>
      <c r="AH303" s="609"/>
      <c r="AI303" s="609"/>
      <c r="AJ303" s="609"/>
      <c r="AK303" s="609"/>
      <c r="AL303" s="609"/>
      <c r="AM303" s="609"/>
      <c r="AN303" s="609"/>
      <c r="AO303" s="609"/>
      <c r="AP303" s="609"/>
      <c r="AQ303" s="609"/>
    </row>
    <row r="304" spans="25:43" x14ac:dyDescent="0.4">
      <c r="Y304" s="609"/>
      <c r="Z304" s="609"/>
      <c r="AA304" s="609"/>
      <c r="AB304" s="609"/>
      <c r="AC304" s="609"/>
      <c r="AD304" s="609"/>
      <c r="AE304" s="609"/>
      <c r="AF304" s="609"/>
      <c r="AG304" s="609"/>
      <c r="AH304" s="609"/>
      <c r="AI304" s="609"/>
      <c r="AJ304" s="609"/>
      <c r="AK304" s="609"/>
      <c r="AL304" s="609"/>
      <c r="AM304" s="609"/>
      <c r="AN304" s="609"/>
      <c r="AO304" s="609"/>
      <c r="AP304" s="609"/>
      <c r="AQ304" s="609"/>
    </row>
    <row r="305" spans="25:43" x14ac:dyDescent="0.4">
      <c r="Y305" s="609"/>
      <c r="Z305" s="609"/>
      <c r="AA305" s="609"/>
      <c r="AB305" s="609"/>
      <c r="AC305" s="609"/>
      <c r="AD305" s="609"/>
      <c r="AE305" s="609"/>
      <c r="AF305" s="609"/>
      <c r="AG305" s="609"/>
      <c r="AH305" s="609"/>
      <c r="AI305" s="609"/>
      <c r="AJ305" s="609"/>
      <c r="AK305" s="609"/>
      <c r="AL305" s="609"/>
      <c r="AM305" s="609"/>
      <c r="AN305" s="609"/>
      <c r="AO305" s="609"/>
      <c r="AP305" s="609"/>
      <c r="AQ305" s="609"/>
    </row>
    <row r="306" spans="25:43" x14ac:dyDescent="0.4">
      <c r="Y306" s="609"/>
      <c r="Z306" s="609"/>
      <c r="AA306" s="609"/>
      <c r="AB306" s="609"/>
      <c r="AC306" s="609"/>
      <c r="AD306" s="609"/>
      <c r="AE306" s="609"/>
      <c r="AF306" s="609"/>
      <c r="AG306" s="609"/>
      <c r="AH306" s="609"/>
      <c r="AI306" s="609"/>
      <c r="AJ306" s="609"/>
      <c r="AK306" s="609"/>
      <c r="AL306" s="609"/>
      <c r="AM306" s="609"/>
      <c r="AN306" s="609"/>
      <c r="AO306" s="609"/>
      <c r="AP306" s="609"/>
      <c r="AQ306" s="609"/>
    </row>
    <row r="307" spans="25:43" x14ac:dyDescent="0.4">
      <c r="Y307" s="609"/>
      <c r="Z307" s="609"/>
      <c r="AA307" s="609"/>
      <c r="AB307" s="609"/>
      <c r="AC307" s="609"/>
      <c r="AD307" s="609"/>
      <c r="AE307" s="609"/>
      <c r="AF307" s="609"/>
      <c r="AG307" s="609"/>
      <c r="AH307" s="609"/>
      <c r="AI307" s="609"/>
      <c r="AJ307" s="609"/>
      <c r="AK307" s="609"/>
      <c r="AL307" s="609"/>
      <c r="AM307" s="609"/>
      <c r="AN307" s="609"/>
      <c r="AO307" s="609"/>
      <c r="AP307" s="609"/>
      <c r="AQ307" s="609"/>
    </row>
    <row r="308" spans="25:43" x14ac:dyDescent="0.4">
      <c r="Y308" s="609"/>
      <c r="Z308" s="609"/>
      <c r="AA308" s="609"/>
      <c r="AB308" s="609"/>
      <c r="AC308" s="609"/>
      <c r="AD308" s="609"/>
      <c r="AE308" s="609"/>
      <c r="AF308" s="609"/>
      <c r="AG308" s="609"/>
      <c r="AH308" s="609"/>
      <c r="AI308" s="609"/>
      <c r="AJ308" s="609"/>
      <c r="AK308" s="609"/>
      <c r="AL308" s="609"/>
      <c r="AM308" s="609"/>
      <c r="AN308" s="609"/>
      <c r="AO308" s="609"/>
      <c r="AP308" s="609"/>
      <c r="AQ308" s="609"/>
    </row>
    <row r="309" spans="25:43" x14ac:dyDescent="0.4">
      <c r="Y309" s="609"/>
      <c r="Z309" s="609"/>
      <c r="AA309" s="609"/>
      <c r="AB309" s="609"/>
      <c r="AC309" s="609"/>
      <c r="AD309" s="609"/>
      <c r="AE309" s="609"/>
      <c r="AF309" s="609"/>
      <c r="AG309" s="609"/>
      <c r="AH309" s="609"/>
      <c r="AI309" s="609"/>
      <c r="AJ309" s="609"/>
      <c r="AK309" s="609"/>
      <c r="AL309" s="609"/>
      <c r="AM309" s="609"/>
      <c r="AN309" s="609"/>
      <c r="AO309" s="609"/>
      <c r="AP309" s="609"/>
      <c r="AQ309" s="609"/>
    </row>
    <row r="310" spans="25:43" x14ac:dyDescent="0.4">
      <c r="Y310" s="609"/>
      <c r="Z310" s="609"/>
      <c r="AA310" s="609"/>
      <c r="AB310" s="609"/>
      <c r="AC310" s="609"/>
      <c r="AD310" s="609"/>
      <c r="AE310" s="609"/>
      <c r="AF310" s="609"/>
      <c r="AG310" s="609"/>
      <c r="AH310" s="609"/>
      <c r="AI310" s="609"/>
      <c r="AJ310" s="609"/>
      <c r="AK310" s="609"/>
      <c r="AL310" s="609"/>
      <c r="AM310" s="609"/>
      <c r="AN310" s="609"/>
      <c r="AO310" s="609"/>
      <c r="AP310" s="609"/>
      <c r="AQ310" s="609"/>
    </row>
    <row r="311" spans="25:43" x14ac:dyDescent="0.4">
      <c r="Y311" s="609"/>
      <c r="Z311" s="609"/>
      <c r="AA311" s="609"/>
      <c r="AB311" s="609"/>
      <c r="AC311" s="609"/>
      <c r="AD311" s="609"/>
      <c r="AE311" s="609"/>
      <c r="AF311" s="609"/>
      <c r="AG311" s="609"/>
      <c r="AH311" s="609"/>
      <c r="AI311" s="609"/>
      <c r="AJ311" s="609"/>
      <c r="AK311" s="609"/>
      <c r="AL311" s="609"/>
      <c r="AM311" s="609"/>
      <c r="AN311" s="609"/>
      <c r="AO311" s="609"/>
      <c r="AP311" s="609"/>
      <c r="AQ311" s="609"/>
    </row>
    <row r="312" spans="25:43" x14ac:dyDescent="0.4">
      <c r="Y312" s="609"/>
      <c r="Z312" s="609"/>
      <c r="AA312" s="609"/>
      <c r="AB312" s="609"/>
      <c r="AC312" s="609"/>
      <c r="AD312" s="609"/>
      <c r="AE312" s="609"/>
      <c r="AF312" s="609"/>
      <c r="AG312" s="609"/>
      <c r="AH312" s="609"/>
      <c r="AI312" s="609"/>
      <c r="AJ312" s="609"/>
      <c r="AK312" s="609"/>
      <c r="AL312" s="609"/>
      <c r="AM312" s="609"/>
      <c r="AN312" s="609"/>
      <c r="AO312" s="609"/>
      <c r="AP312" s="609"/>
      <c r="AQ312" s="609"/>
    </row>
    <row r="313" spans="25:43" x14ac:dyDescent="0.4">
      <c r="Y313" s="609"/>
      <c r="Z313" s="609"/>
      <c r="AA313" s="609"/>
      <c r="AB313" s="609"/>
      <c r="AC313" s="609"/>
      <c r="AD313" s="609"/>
      <c r="AE313" s="609"/>
      <c r="AF313" s="609"/>
      <c r="AG313" s="609"/>
      <c r="AH313" s="609"/>
      <c r="AI313" s="609"/>
      <c r="AJ313" s="609"/>
      <c r="AK313" s="609"/>
      <c r="AL313" s="609"/>
      <c r="AM313" s="609"/>
      <c r="AN313" s="609"/>
      <c r="AO313" s="609"/>
      <c r="AP313" s="609"/>
      <c r="AQ313" s="609"/>
    </row>
    <row r="314" spans="25:43" x14ac:dyDescent="0.4">
      <c r="Y314" s="609"/>
      <c r="Z314" s="609"/>
      <c r="AA314" s="609"/>
      <c r="AB314" s="609"/>
      <c r="AC314" s="609"/>
      <c r="AD314" s="609"/>
      <c r="AE314" s="609"/>
      <c r="AF314" s="609"/>
      <c r="AG314" s="609"/>
      <c r="AH314" s="609"/>
      <c r="AI314" s="609"/>
      <c r="AJ314" s="609"/>
      <c r="AK314" s="609"/>
      <c r="AL314" s="609"/>
      <c r="AM314" s="609"/>
      <c r="AN314" s="609"/>
      <c r="AO314" s="609"/>
      <c r="AP314" s="609"/>
      <c r="AQ314" s="609"/>
    </row>
    <row r="315" spans="25:43" x14ac:dyDescent="0.4">
      <c r="Y315" s="609"/>
      <c r="Z315" s="609"/>
      <c r="AA315" s="609"/>
      <c r="AB315" s="609"/>
      <c r="AC315" s="609"/>
      <c r="AD315" s="609"/>
      <c r="AE315" s="609"/>
      <c r="AF315" s="609"/>
      <c r="AG315" s="609"/>
      <c r="AH315" s="609"/>
      <c r="AI315" s="609"/>
      <c r="AJ315" s="609"/>
      <c r="AK315" s="609"/>
      <c r="AL315" s="609"/>
      <c r="AM315" s="609"/>
      <c r="AN315" s="609"/>
      <c r="AO315" s="609"/>
      <c r="AP315" s="609"/>
      <c r="AQ315" s="609"/>
    </row>
    <row r="316" spans="25:43" x14ac:dyDescent="0.4">
      <c r="Y316" s="609"/>
      <c r="Z316" s="609"/>
      <c r="AA316" s="609"/>
      <c r="AB316" s="609"/>
      <c r="AC316" s="609"/>
      <c r="AD316" s="609"/>
      <c r="AE316" s="609"/>
      <c r="AF316" s="609"/>
      <c r="AG316" s="609"/>
      <c r="AH316" s="609"/>
      <c r="AI316" s="609"/>
      <c r="AJ316" s="609"/>
      <c r="AK316" s="609"/>
      <c r="AL316" s="609"/>
      <c r="AM316" s="609"/>
      <c r="AN316" s="609"/>
      <c r="AO316" s="609"/>
      <c r="AP316" s="609"/>
      <c r="AQ316" s="609"/>
    </row>
    <row r="317" spans="25:43" x14ac:dyDescent="0.4">
      <c r="Y317" s="609"/>
      <c r="Z317" s="609"/>
      <c r="AA317" s="609"/>
      <c r="AB317" s="609"/>
      <c r="AC317" s="609"/>
      <c r="AD317" s="609"/>
      <c r="AE317" s="609"/>
      <c r="AF317" s="609"/>
      <c r="AG317" s="609"/>
      <c r="AH317" s="609"/>
      <c r="AI317" s="609"/>
      <c r="AJ317" s="609"/>
      <c r="AK317" s="609"/>
      <c r="AL317" s="609"/>
      <c r="AM317" s="609"/>
      <c r="AN317" s="609"/>
      <c r="AO317" s="609"/>
      <c r="AP317" s="609"/>
      <c r="AQ317" s="609"/>
    </row>
    <row r="318" spans="25:43" x14ac:dyDescent="0.4">
      <c r="Y318" s="609"/>
      <c r="Z318" s="609"/>
      <c r="AA318" s="609"/>
      <c r="AB318" s="609"/>
      <c r="AC318" s="609"/>
      <c r="AD318" s="609"/>
      <c r="AE318" s="609"/>
      <c r="AF318" s="609"/>
      <c r="AG318" s="609"/>
      <c r="AH318" s="609"/>
      <c r="AI318" s="609"/>
      <c r="AJ318" s="609"/>
      <c r="AK318" s="609"/>
      <c r="AL318" s="609"/>
      <c r="AM318" s="609"/>
      <c r="AN318" s="609"/>
      <c r="AO318" s="609"/>
      <c r="AP318" s="609"/>
      <c r="AQ318" s="609"/>
    </row>
    <row r="319" spans="25:43" x14ac:dyDescent="0.4">
      <c r="Y319" s="609"/>
      <c r="Z319" s="609"/>
      <c r="AA319" s="609"/>
      <c r="AB319" s="609"/>
      <c r="AC319" s="609"/>
      <c r="AD319" s="609"/>
      <c r="AE319" s="609"/>
      <c r="AF319" s="609"/>
      <c r="AG319" s="609"/>
      <c r="AH319" s="609"/>
      <c r="AI319" s="609"/>
      <c r="AJ319" s="609"/>
      <c r="AK319" s="609"/>
      <c r="AL319" s="609"/>
      <c r="AM319" s="609"/>
      <c r="AN319" s="609"/>
      <c r="AO319" s="609"/>
      <c r="AP319" s="609"/>
      <c r="AQ319" s="609"/>
    </row>
    <row r="320" spans="25:43" x14ac:dyDescent="0.4">
      <c r="Y320" s="609"/>
      <c r="Z320" s="609"/>
      <c r="AA320" s="609"/>
      <c r="AB320" s="609"/>
      <c r="AC320" s="609"/>
      <c r="AD320" s="609"/>
      <c r="AE320" s="609"/>
      <c r="AF320" s="609"/>
      <c r="AG320" s="609"/>
      <c r="AH320" s="609"/>
      <c r="AI320" s="609"/>
      <c r="AJ320" s="609"/>
      <c r="AK320" s="609"/>
      <c r="AL320" s="609"/>
      <c r="AM320" s="609"/>
      <c r="AN320" s="609"/>
      <c r="AO320" s="609"/>
      <c r="AP320" s="609"/>
      <c r="AQ320" s="609"/>
    </row>
    <row r="321" spans="25:43" x14ac:dyDescent="0.4">
      <c r="Y321" s="609"/>
      <c r="Z321" s="609"/>
      <c r="AA321" s="609"/>
      <c r="AB321" s="609"/>
      <c r="AC321" s="609"/>
      <c r="AD321" s="609"/>
      <c r="AE321" s="609"/>
      <c r="AF321" s="609"/>
      <c r="AG321" s="609"/>
      <c r="AH321" s="609"/>
      <c r="AI321" s="609"/>
      <c r="AJ321" s="609"/>
      <c r="AK321" s="609"/>
      <c r="AL321" s="609"/>
      <c r="AM321" s="609"/>
      <c r="AN321" s="609"/>
      <c r="AO321" s="609"/>
      <c r="AP321" s="609"/>
      <c r="AQ321" s="609"/>
    </row>
    <row r="322" spans="25:43" x14ac:dyDescent="0.4">
      <c r="Y322" s="609"/>
      <c r="Z322" s="609"/>
      <c r="AA322" s="609"/>
      <c r="AB322" s="609"/>
      <c r="AC322" s="609"/>
      <c r="AD322" s="609"/>
      <c r="AE322" s="609"/>
      <c r="AF322" s="609"/>
      <c r="AG322" s="609"/>
      <c r="AH322" s="609"/>
      <c r="AI322" s="609"/>
      <c r="AJ322" s="609"/>
      <c r="AK322" s="609"/>
      <c r="AL322" s="609"/>
      <c r="AM322" s="609"/>
      <c r="AN322" s="609"/>
      <c r="AO322" s="609"/>
      <c r="AP322" s="609"/>
      <c r="AQ322" s="609"/>
    </row>
    <row r="323" spans="25:43" x14ac:dyDescent="0.4">
      <c r="Y323" s="609"/>
      <c r="Z323" s="609"/>
      <c r="AA323" s="609"/>
      <c r="AB323" s="609"/>
      <c r="AC323" s="609"/>
      <c r="AD323" s="609"/>
      <c r="AE323" s="609"/>
      <c r="AF323" s="609"/>
      <c r="AG323" s="609"/>
      <c r="AH323" s="609"/>
      <c r="AI323" s="609"/>
      <c r="AJ323" s="609"/>
      <c r="AK323" s="609"/>
      <c r="AL323" s="609"/>
      <c r="AM323" s="609"/>
      <c r="AN323" s="609"/>
      <c r="AO323" s="609"/>
      <c r="AP323" s="609"/>
      <c r="AQ323" s="609"/>
    </row>
    <row r="324" spans="25:43" x14ac:dyDescent="0.4">
      <c r="Y324" s="609"/>
      <c r="Z324" s="609"/>
      <c r="AA324" s="609"/>
      <c r="AB324" s="609"/>
      <c r="AC324" s="609"/>
      <c r="AD324" s="609"/>
      <c r="AE324" s="609"/>
      <c r="AF324" s="609"/>
      <c r="AG324" s="609"/>
      <c r="AH324" s="609"/>
      <c r="AI324" s="609"/>
      <c r="AJ324" s="609"/>
      <c r="AK324" s="609"/>
      <c r="AL324" s="609"/>
      <c r="AM324" s="609"/>
      <c r="AN324" s="609"/>
      <c r="AO324" s="609"/>
      <c r="AP324" s="609"/>
      <c r="AQ324" s="609"/>
    </row>
    <row r="325" spans="25:43" x14ac:dyDescent="0.4">
      <c r="Y325" s="609"/>
      <c r="Z325" s="609"/>
      <c r="AA325" s="609"/>
      <c r="AB325" s="609"/>
      <c r="AC325" s="609"/>
      <c r="AD325" s="609"/>
      <c r="AE325" s="609"/>
      <c r="AF325" s="609"/>
      <c r="AG325" s="609"/>
      <c r="AH325" s="609"/>
      <c r="AI325" s="609"/>
      <c r="AJ325" s="609"/>
      <c r="AK325" s="609"/>
      <c r="AL325" s="609"/>
      <c r="AM325" s="609"/>
      <c r="AN325" s="609"/>
      <c r="AO325" s="609"/>
      <c r="AP325" s="609"/>
      <c r="AQ325" s="609"/>
    </row>
    <row r="326" spans="25:43" x14ac:dyDescent="0.4">
      <c r="Y326" s="609"/>
      <c r="Z326" s="609"/>
      <c r="AA326" s="609"/>
      <c r="AB326" s="609"/>
      <c r="AC326" s="609"/>
      <c r="AD326" s="609"/>
      <c r="AE326" s="609"/>
      <c r="AF326" s="609"/>
      <c r="AG326" s="609"/>
      <c r="AH326" s="609"/>
      <c r="AI326" s="609"/>
      <c r="AJ326" s="609"/>
      <c r="AK326" s="609"/>
      <c r="AL326" s="609"/>
      <c r="AM326" s="609"/>
      <c r="AN326" s="609"/>
      <c r="AO326" s="609"/>
      <c r="AP326" s="609"/>
      <c r="AQ326" s="609"/>
    </row>
    <row r="327" spans="25:43" x14ac:dyDescent="0.4">
      <c r="Y327" s="609"/>
      <c r="Z327" s="609"/>
      <c r="AA327" s="609"/>
      <c r="AB327" s="609"/>
      <c r="AC327" s="609"/>
      <c r="AD327" s="609"/>
      <c r="AE327" s="609"/>
      <c r="AF327" s="609"/>
      <c r="AG327" s="609"/>
      <c r="AH327" s="609"/>
      <c r="AI327" s="609"/>
      <c r="AJ327" s="609"/>
      <c r="AK327" s="609"/>
      <c r="AL327" s="609"/>
      <c r="AM327" s="609"/>
      <c r="AN327" s="609"/>
      <c r="AO327" s="609"/>
      <c r="AP327" s="609"/>
      <c r="AQ327" s="609"/>
    </row>
    <row r="328" spans="25:43" x14ac:dyDescent="0.4">
      <c r="Y328" s="609"/>
      <c r="Z328" s="609"/>
      <c r="AA328" s="609"/>
      <c r="AB328" s="609"/>
      <c r="AC328" s="609"/>
      <c r="AD328" s="609"/>
      <c r="AE328" s="609"/>
      <c r="AF328" s="609"/>
      <c r="AG328" s="609"/>
      <c r="AH328" s="609"/>
      <c r="AI328" s="609"/>
      <c r="AJ328" s="609"/>
      <c r="AK328" s="609"/>
      <c r="AL328" s="609"/>
      <c r="AM328" s="609"/>
      <c r="AN328" s="609"/>
      <c r="AO328" s="609"/>
      <c r="AP328" s="609"/>
      <c r="AQ328" s="609"/>
    </row>
    <row r="329" spans="25:43" x14ac:dyDescent="0.4">
      <c r="Y329" s="609"/>
      <c r="Z329" s="609"/>
      <c r="AA329" s="609"/>
      <c r="AB329" s="609"/>
      <c r="AC329" s="609"/>
      <c r="AD329" s="609"/>
      <c r="AE329" s="609"/>
      <c r="AF329" s="609"/>
      <c r="AG329" s="609"/>
      <c r="AH329" s="609"/>
      <c r="AI329" s="609"/>
      <c r="AJ329" s="609"/>
      <c r="AK329" s="609"/>
      <c r="AL329" s="609"/>
      <c r="AM329" s="609"/>
      <c r="AN329" s="609"/>
      <c r="AO329" s="609"/>
      <c r="AP329" s="609"/>
      <c r="AQ329" s="609"/>
    </row>
    <row r="330" spans="25:43" x14ac:dyDescent="0.4">
      <c r="Y330" s="609"/>
      <c r="Z330" s="609"/>
      <c r="AA330" s="609"/>
      <c r="AB330" s="609"/>
      <c r="AC330" s="609"/>
      <c r="AD330" s="609"/>
      <c r="AE330" s="609"/>
      <c r="AF330" s="609"/>
      <c r="AG330" s="609"/>
      <c r="AH330" s="609"/>
      <c r="AI330" s="609"/>
      <c r="AJ330" s="609"/>
      <c r="AK330" s="609"/>
      <c r="AL330" s="609"/>
      <c r="AM330" s="609"/>
      <c r="AN330" s="609"/>
      <c r="AO330" s="609"/>
      <c r="AP330" s="609"/>
      <c r="AQ330" s="609"/>
    </row>
    <row r="331" spans="25:43" x14ac:dyDescent="0.4">
      <c r="Y331" s="609"/>
      <c r="Z331" s="609"/>
      <c r="AA331" s="609"/>
      <c r="AB331" s="609"/>
      <c r="AC331" s="609"/>
      <c r="AD331" s="609"/>
      <c r="AE331" s="609"/>
      <c r="AF331" s="609"/>
      <c r="AG331" s="609"/>
      <c r="AH331" s="609"/>
      <c r="AI331" s="609"/>
      <c r="AJ331" s="609"/>
      <c r="AK331" s="609"/>
      <c r="AL331" s="609"/>
      <c r="AM331" s="609"/>
      <c r="AN331" s="609"/>
      <c r="AO331" s="609"/>
      <c r="AP331" s="609"/>
      <c r="AQ331" s="609"/>
    </row>
    <row r="332" spans="25:43" x14ac:dyDescent="0.4">
      <c r="Y332" s="609"/>
      <c r="Z332" s="609"/>
      <c r="AA332" s="609"/>
      <c r="AB332" s="609"/>
      <c r="AC332" s="609"/>
      <c r="AD332" s="609"/>
      <c r="AE332" s="609"/>
      <c r="AF332" s="609"/>
      <c r="AG332" s="609"/>
      <c r="AH332" s="609"/>
      <c r="AI332" s="609"/>
      <c r="AJ332" s="609"/>
      <c r="AK332" s="609"/>
      <c r="AL332" s="609"/>
      <c r="AM332" s="609"/>
      <c r="AN332" s="609"/>
      <c r="AO332" s="609"/>
      <c r="AP332" s="609"/>
      <c r="AQ332" s="609"/>
    </row>
    <row r="333" spans="25:43" x14ac:dyDescent="0.4">
      <c r="Y333" s="609"/>
      <c r="Z333" s="609"/>
      <c r="AA333" s="609"/>
      <c r="AB333" s="609"/>
      <c r="AC333" s="609"/>
      <c r="AD333" s="609"/>
      <c r="AE333" s="609"/>
      <c r="AF333" s="609"/>
      <c r="AG333" s="609"/>
      <c r="AH333" s="609"/>
      <c r="AI333" s="609"/>
      <c r="AJ333" s="609"/>
      <c r="AK333" s="609"/>
      <c r="AL333" s="609"/>
      <c r="AM333" s="609"/>
      <c r="AN333" s="609"/>
      <c r="AO333" s="609"/>
      <c r="AP333" s="609"/>
      <c r="AQ333" s="609"/>
    </row>
    <row r="334" spans="25:43" x14ac:dyDescent="0.4">
      <c r="Y334" s="609"/>
      <c r="Z334" s="609"/>
      <c r="AA334" s="609"/>
      <c r="AB334" s="609"/>
      <c r="AC334" s="609"/>
      <c r="AD334" s="609"/>
      <c r="AE334" s="609"/>
      <c r="AF334" s="609"/>
      <c r="AG334" s="609"/>
      <c r="AH334" s="609"/>
      <c r="AI334" s="609"/>
      <c r="AJ334" s="609"/>
      <c r="AK334" s="609"/>
      <c r="AL334" s="609"/>
      <c r="AM334" s="609"/>
      <c r="AN334" s="609"/>
      <c r="AO334" s="609"/>
      <c r="AP334" s="609"/>
      <c r="AQ334" s="609"/>
    </row>
    <row r="335" spans="25:43" x14ac:dyDescent="0.4">
      <c r="Y335" s="609"/>
      <c r="Z335" s="609"/>
      <c r="AA335" s="609"/>
      <c r="AB335" s="609"/>
      <c r="AC335" s="609"/>
      <c r="AD335" s="609"/>
      <c r="AE335" s="609"/>
      <c r="AF335" s="609"/>
      <c r="AG335" s="609"/>
      <c r="AH335" s="609"/>
      <c r="AI335" s="609"/>
      <c r="AJ335" s="609"/>
      <c r="AK335" s="609"/>
      <c r="AL335" s="609"/>
      <c r="AM335" s="609"/>
      <c r="AN335" s="609"/>
      <c r="AO335" s="609"/>
      <c r="AP335" s="609"/>
      <c r="AQ335" s="609"/>
    </row>
    <row r="336" spans="25:43" x14ac:dyDescent="0.4">
      <c r="Y336" s="609"/>
      <c r="Z336" s="609"/>
      <c r="AA336" s="609"/>
      <c r="AB336" s="609"/>
      <c r="AC336" s="609"/>
      <c r="AD336" s="609"/>
      <c r="AE336" s="609"/>
      <c r="AF336" s="609"/>
      <c r="AG336" s="609"/>
      <c r="AH336" s="609"/>
      <c r="AI336" s="609"/>
      <c r="AJ336" s="609"/>
      <c r="AK336" s="609"/>
      <c r="AL336" s="609"/>
      <c r="AM336" s="609"/>
      <c r="AN336" s="609"/>
      <c r="AO336" s="609"/>
      <c r="AP336" s="609"/>
      <c r="AQ336" s="609"/>
    </row>
    <row r="337" spans="25:43" x14ac:dyDescent="0.4">
      <c r="Y337" s="609"/>
      <c r="Z337" s="609"/>
      <c r="AA337" s="609"/>
      <c r="AB337" s="609"/>
      <c r="AC337" s="609"/>
      <c r="AD337" s="609"/>
      <c r="AE337" s="609"/>
      <c r="AF337" s="609"/>
      <c r="AG337" s="609"/>
      <c r="AH337" s="609"/>
      <c r="AI337" s="609"/>
      <c r="AJ337" s="609"/>
      <c r="AK337" s="609"/>
      <c r="AL337" s="609"/>
      <c r="AM337" s="609"/>
      <c r="AN337" s="609"/>
      <c r="AO337" s="609"/>
      <c r="AP337" s="609"/>
      <c r="AQ337" s="609"/>
    </row>
    <row r="338" spans="25:43" x14ac:dyDescent="0.4">
      <c r="Y338" s="609"/>
      <c r="Z338" s="609"/>
      <c r="AA338" s="609"/>
      <c r="AB338" s="609"/>
      <c r="AC338" s="609"/>
      <c r="AD338" s="609"/>
      <c r="AE338" s="609"/>
      <c r="AF338" s="609"/>
      <c r="AG338" s="609"/>
      <c r="AH338" s="609"/>
      <c r="AI338" s="609"/>
      <c r="AJ338" s="609"/>
      <c r="AK338" s="609"/>
      <c r="AL338" s="609"/>
      <c r="AM338" s="609"/>
      <c r="AN338" s="609"/>
      <c r="AO338" s="609"/>
      <c r="AP338" s="609"/>
      <c r="AQ338" s="609"/>
    </row>
    <row r="339" spans="25:43" x14ac:dyDescent="0.4">
      <c r="Y339" s="609"/>
      <c r="Z339" s="609"/>
      <c r="AA339" s="609"/>
      <c r="AB339" s="609"/>
      <c r="AC339" s="609"/>
      <c r="AD339" s="609"/>
      <c r="AE339" s="609"/>
      <c r="AF339" s="609"/>
      <c r="AG339" s="609"/>
      <c r="AH339" s="609"/>
      <c r="AI339" s="609"/>
      <c r="AJ339" s="609"/>
      <c r="AK339" s="609"/>
      <c r="AL339" s="609"/>
      <c r="AM339" s="609"/>
      <c r="AN339" s="609"/>
      <c r="AO339" s="609"/>
      <c r="AP339" s="609"/>
      <c r="AQ339" s="609"/>
    </row>
    <row r="340" spans="25:43" x14ac:dyDescent="0.4">
      <c r="Y340" s="609"/>
      <c r="Z340" s="609"/>
      <c r="AA340" s="609"/>
      <c r="AB340" s="609"/>
      <c r="AC340" s="609"/>
      <c r="AD340" s="609"/>
      <c r="AE340" s="609"/>
      <c r="AF340" s="609"/>
      <c r="AG340" s="609"/>
      <c r="AH340" s="609"/>
      <c r="AI340" s="609"/>
      <c r="AJ340" s="609"/>
      <c r="AK340" s="609"/>
      <c r="AL340" s="609"/>
      <c r="AM340" s="609"/>
      <c r="AN340" s="609"/>
      <c r="AO340" s="609"/>
      <c r="AP340" s="609"/>
      <c r="AQ340" s="609"/>
    </row>
    <row r="341" spans="25:43" x14ac:dyDescent="0.4">
      <c r="Y341" s="609"/>
      <c r="Z341" s="609"/>
      <c r="AA341" s="609"/>
      <c r="AB341" s="609"/>
      <c r="AC341" s="609"/>
      <c r="AD341" s="609"/>
      <c r="AE341" s="609"/>
      <c r="AF341" s="609"/>
      <c r="AG341" s="609"/>
      <c r="AH341" s="609"/>
      <c r="AI341" s="609"/>
      <c r="AJ341" s="609"/>
      <c r="AK341" s="609"/>
      <c r="AL341" s="609"/>
      <c r="AM341" s="609"/>
      <c r="AN341" s="609"/>
      <c r="AO341" s="609"/>
      <c r="AP341" s="609"/>
      <c r="AQ341" s="609"/>
    </row>
    <row r="342" spans="25:43" x14ac:dyDescent="0.4">
      <c r="Y342" s="609"/>
      <c r="Z342" s="609"/>
      <c r="AA342" s="609"/>
      <c r="AB342" s="609"/>
      <c r="AC342" s="609"/>
      <c r="AD342" s="609"/>
      <c r="AE342" s="609"/>
      <c r="AF342" s="609"/>
      <c r="AG342" s="609"/>
      <c r="AH342" s="609"/>
      <c r="AI342" s="609"/>
      <c r="AJ342" s="609"/>
      <c r="AK342" s="609"/>
      <c r="AL342" s="609"/>
      <c r="AM342" s="609"/>
      <c r="AN342" s="609"/>
      <c r="AO342" s="609"/>
      <c r="AP342" s="609"/>
      <c r="AQ342" s="609"/>
    </row>
    <row r="343" spans="25:43" x14ac:dyDescent="0.4">
      <c r="Y343" s="609"/>
      <c r="Z343" s="609"/>
      <c r="AA343" s="609"/>
      <c r="AB343" s="609"/>
      <c r="AC343" s="609"/>
      <c r="AD343" s="609"/>
      <c r="AE343" s="609"/>
      <c r="AF343" s="609"/>
      <c r="AG343" s="609"/>
      <c r="AH343" s="609"/>
      <c r="AI343" s="609"/>
      <c r="AJ343" s="609"/>
      <c r="AK343" s="609"/>
      <c r="AL343" s="609"/>
      <c r="AM343" s="609"/>
      <c r="AN343" s="609"/>
      <c r="AO343" s="609"/>
      <c r="AP343" s="609"/>
      <c r="AQ343" s="609"/>
    </row>
    <row r="344" spans="25:43" x14ac:dyDescent="0.4">
      <c r="Y344" s="609"/>
      <c r="Z344" s="609"/>
      <c r="AA344" s="609"/>
      <c r="AB344" s="609"/>
      <c r="AC344" s="609"/>
      <c r="AD344" s="609"/>
      <c r="AE344" s="609"/>
      <c r="AF344" s="609"/>
      <c r="AG344" s="609"/>
      <c r="AH344" s="609"/>
      <c r="AI344" s="609"/>
      <c r="AJ344" s="609"/>
      <c r="AK344" s="609"/>
      <c r="AL344" s="609"/>
      <c r="AM344" s="609"/>
      <c r="AN344" s="609"/>
      <c r="AO344" s="609"/>
      <c r="AP344" s="609"/>
      <c r="AQ344" s="609"/>
    </row>
    <row r="345" spans="25:43" x14ac:dyDescent="0.4">
      <c r="Y345" s="609"/>
      <c r="Z345" s="609"/>
      <c r="AA345" s="609"/>
      <c r="AB345" s="609"/>
      <c r="AC345" s="609"/>
      <c r="AD345" s="609"/>
      <c r="AE345" s="609"/>
      <c r="AF345" s="609"/>
      <c r="AG345" s="609"/>
      <c r="AH345" s="609"/>
      <c r="AI345" s="609"/>
      <c r="AJ345" s="609"/>
      <c r="AK345" s="609"/>
      <c r="AL345" s="609"/>
      <c r="AM345" s="609"/>
      <c r="AN345" s="609"/>
      <c r="AO345" s="609"/>
      <c r="AP345" s="609"/>
      <c r="AQ345" s="609"/>
    </row>
    <row r="346" spans="25:43" x14ac:dyDescent="0.4">
      <c r="Y346" s="609"/>
      <c r="Z346" s="609"/>
      <c r="AA346" s="609"/>
      <c r="AB346" s="609"/>
      <c r="AC346" s="609"/>
      <c r="AD346" s="609"/>
      <c r="AE346" s="609"/>
      <c r="AF346" s="609"/>
      <c r="AG346" s="609"/>
      <c r="AH346" s="609"/>
      <c r="AI346" s="609"/>
      <c r="AJ346" s="609"/>
      <c r="AK346" s="609"/>
      <c r="AL346" s="609"/>
      <c r="AM346" s="609"/>
      <c r="AN346" s="609"/>
      <c r="AO346" s="609"/>
      <c r="AP346" s="609"/>
      <c r="AQ346" s="609"/>
    </row>
    <row r="347" spans="25:43" x14ac:dyDescent="0.4">
      <c r="Y347" s="609"/>
      <c r="Z347" s="609"/>
      <c r="AA347" s="609"/>
      <c r="AB347" s="609"/>
      <c r="AC347" s="609"/>
      <c r="AD347" s="609"/>
      <c r="AE347" s="609"/>
      <c r="AF347" s="609"/>
      <c r="AG347" s="609"/>
      <c r="AH347" s="609"/>
      <c r="AI347" s="609"/>
      <c r="AJ347" s="609"/>
      <c r="AK347" s="609"/>
      <c r="AL347" s="609"/>
      <c r="AM347" s="609"/>
      <c r="AN347" s="609"/>
      <c r="AO347" s="609"/>
      <c r="AP347" s="609"/>
      <c r="AQ347" s="609"/>
    </row>
    <row r="348" spans="25:43" x14ac:dyDescent="0.4">
      <c r="Y348" s="609"/>
      <c r="Z348" s="609"/>
      <c r="AA348" s="609"/>
      <c r="AB348" s="609"/>
      <c r="AC348" s="609"/>
      <c r="AD348" s="609"/>
      <c r="AE348" s="609"/>
      <c r="AF348" s="609"/>
      <c r="AG348" s="609"/>
      <c r="AH348" s="609"/>
      <c r="AI348" s="609"/>
      <c r="AJ348" s="609"/>
      <c r="AK348" s="609"/>
      <c r="AL348" s="609"/>
      <c r="AM348" s="609"/>
      <c r="AN348" s="609"/>
      <c r="AO348" s="609"/>
      <c r="AP348" s="609"/>
      <c r="AQ348" s="609"/>
    </row>
    <row r="349" spans="25:43" x14ac:dyDescent="0.4">
      <c r="Y349" s="609"/>
      <c r="Z349" s="609"/>
      <c r="AA349" s="609"/>
      <c r="AB349" s="609"/>
      <c r="AC349" s="609"/>
      <c r="AD349" s="609"/>
      <c r="AE349" s="609"/>
      <c r="AF349" s="609"/>
      <c r="AG349" s="609"/>
      <c r="AH349" s="609"/>
      <c r="AI349" s="609"/>
      <c r="AJ349" s="609"/>
      <c r="AK349" s="609"/>
      <c r="AL349" s="609"/>
      <c r="AM349" s="609"/>
      <c r="AN349" s="609"/>
      <c r="AO349" s="609"/>
      <c r="AP349" s="609"/>
      <c r="AQ349" s="609"/>
    </row>
    <row r="350" spans="25:43" x14ac:dyDescent="0.4">
      <c r="Y350" s="609"/>
      <c r="Z350" s="609"/>
      <c r="AA350" s="609"/>
      <c r="AB350" s="609"/>
      <c r="AC350" s="609"/>
      <c r="AD350" s="609"/>
      <c r="AE350" s="609"/>
      <c r="AF350" s="609"/>
      <c r="AG350" s="609"/>
      <c r="AH350" s="609"/>
      <c r="AI350" s="609"/>
      <c r="AJ350" s="609"/>
      <c r="AK350" s="609"/>
      <c r="AL350" s="609"/>
      <c r="AM350" s="609"/>
      <c r="AN350" s="609"/>
      <c r="AO350" s="609"/>
      <c r="AP350" s="609"/>
      <c r="AQ350" s="609"/>
    </row>
    <row r="351" spans="25:43" x14ac:dyDescent="0.4">
      <c r="Y351" s="609"/>
      <c r="Z351" s="609"/>
      <c r="AA351" s="609"/>
      <c r="AB351" s="609"/>
      <c r="AC351" s="609"/>
      <c r="AD351" s="609"/>
      <c r="AE351" s="609"/>
      <c r="AF351" s="609"/>
      <c r="AG351" s="609"/>
      <c r="AH351" s="609"/>
      <c r="AI351" s="609"/>
      <c r="AJ351" s="609"/>
      <c r="AK351" s="609"/>
      <c r="AL351" s="609"/>
      <c r="AM351" s="609"/>
      <c r="AN351" s="609"/>
      <c r="AO351" s="609"/>
      <c r="AP351" s="609"/>
      <c r="AQ351" s="609"/>
    </row>
    <row r="352" spans="25:43" x14ac:dyDescent="0.4">
      <c r="Y352" s="609"/>
      <c r="Z352" s="609"/>
      <c r="AA352" s="609"/>
      <c r="AB352" s="609"/>
      <c r="AC352" s="609"/>
      <c r="AD352" s="609"/>
      <c r="AE352" s="609"/>
      <c r="AF352" s="609"/>
      <c r="AG352" s="609"/>
      <c r="AH352" s="609"/>
      <c r="AI352" s="609"/>
      <c r="AJ352" s="609"/>
      <c r="AK352" s="609"/>
      <c r="AL352" s="609"/>
      <c r="AM352" s="609"/>
      <c r="AN352" s="609"/>
      <c r="AO352" s="609"/>
      <c r="AP352" s="609"/>
      <c r="AQ352" s="609"/>
    </row>
    <row r="353" spans="25:43" x14ac:dyDescent="0.4">
      <c r="Y353" s="609"/>
      <c r="Z353" s="609"/>
      <c r="AA353" s="609"/>
      <c r="AB353" s="609"/>
      <c r="AC353" s="609"/>
      <c r="AD353" s="609"/>
      <c r="AE353" s="609"/>
      <c r="AF353" s="609"/>
      <c r="AG353" s="609"/>
      <c r="AH353" s="609"/>
      <c r="AI353" s="609"/>
      <c r="AJ353" s="609"/>
      <c r="AK353" s="609"/>
      <c r="AL353" s="609"/>
      <c r="AM353" s="609"/>
      <c r="AN353" s="609"/>
      <c r="AO353" s="609"/>
      <c r="AP353" s="609"/>
      <c r="AQ353" s="609"/>
    </row>
    <row r="354" spans="25:43" x14ac:dyDescent="0.4">
      <c r="Y354" s="609"/>
      <c r="Z354" s="609"/>
      <c r="AA354" s="609"/>
      <c r="AB354" s="609"/>
      <c r="AC354" s="609"/>
      <c r="AD354" s="609"/>
      <c r="AE354" s="609"/>
      <c r="AF354" s="609"/>
      <c r="AG354" s="609"/>
      <c r="AH354" s="609"/>
      <c r="AI354" s="609"/>
      <c r="AJ354" s="609"/>
      <c r="AK354" s="609"/>
      <c r="AL354" s="609"/>
      <c r="AM354" s="609"/>
      <c r="AN354" s="609"/>
      <c r="AO354" s="609"/>
      <c r="AP354" s="609"/>
      <c r="AQ354" s="609"/>
    </row>
    <row r="355" spans="25:43" x14ac:dyDescent="0.4">
      <c r="Y355" s="609"/>
      <c r="Z355" s="609"/>
      <c r="AA355" s="609"/>
      <c r="AB355" s="609"/>
      <c r="AC355" s="609"/>
      <c r="AD355" s="609"/>
      <c r="AE355" s="609"/>
      <c r="AF355" s="609"/>
      <c r="AG355" s="609"/>
      <c r="AH355" s="609"/>
      <c r="AI355" s="609"/>
      <c r="AJ355" s="609"/>
      <c r="AK355" s="609"/>
      <c r="AL355" s="609"/>
      <c r="AM355" s="609"/>
      <c r="AN355" s="609"/>
      <c r="AO355" s="609"/>
      <c r="AP355" s="609"/>
      <c r="AQ355" s="609"/>
    </row>
    <row r="356" spans="25:43" x14ac:dyDescent="0.4">
      <c r="Y356" s="609"/>
      <c r="Z356" s="609"/>
      <c r="AA356" s="609"/>
      <c r="AB356" s="609"/>
      <c r="AC356" s="609"/>
      <c r="AD356" s="609"/>
      <c r="AE356" s="609"/>
      <c r="AF356" s="609"/>
      <c r="AG356" s="609"/>
      <c r="AH356" s="609"/>
      <c r="AI356" s="609"/>
      <c r="AJ356" s="609"/>
      <c r="AK356" s="609"/>
      <c r="AL356" s="609"/>
      <c r="AM356" s="609"/>
      <c r="AN356" s="609"/>
      <c r="AO356" s="609"/>
      <c r="AP356" s="609"/>
      <c r="AQ356" s="609"/>
    </row>
    <row r="357" spans="25:43" x14ac:dyDescent="0.4">
      <c r="Y357" s="609"/>
      <c r="Z357" s="609"/>
      <c r="AA357" s="609"/>
      <c r="AB357" s="609"/>
      <c r="AC357" s="609"/>
      <c r="AD357" s="609"/>
      <c r="AE357" s="609"/>
      <c r="AF357" s="609"/>
      <c r="AG357" s="609"/>
      <c r="AH357" s="609"/>
      <c r="AI357" s="609"/>
      <c r="AJ357" s="609"/>
      <c r="AK357" s="609"/>
      <c r="AL357" s="609"/>
      <c r="AM357" s="609"/>
      <c r="AN357" s="609"/>
      <c r="AO357" s="609"/>
      <c r="AP357" s="609"/>
      <c r="AQ357" s="609"/>
    </row>
    <row r="358" spans="25:43" x14ac:dyDescent="0.4">
      <c r="Y358" s="609"/>
      <c r="Z358" s="609"/>
      <c r="AA358" s="609"/>
      <c r="AB358" s="609"/>
      <c r="AC358" s="609"/>
      <c r="AD358" s="609"/>
      <c r="AE358" s="609"/>
      <c r="AF358" s="609"/>
      <c r="AG358" s="609"/>
      <c r="AH358" s="609"/>
      <c r="AI358" s="609"/>
      <c r="AJ358" s="609"/>
      <c r="AK358" s="609"/>
      <c r="AL358" s="609"/>
      <c r="AM358" s="609"/>
      <c r="AN358" s="609"/>
      <c r="AO358" s="609"/>
      <c r="AP358" s="609"/>
      <c r="AQ358" s="609"/>
    </row>
    <row r="359" spans="25:43" x14ac:dyDescent="0.4">
      <c r="Y359" s="609"/>
      <c r="Z359" s="609"/>
      <c r="AA359" s="609"/>
      <c r="AB359" s="609"/>
      <c r="AC359" s="609"/>
      <c r="AD359" s="609"/>
      <c r="AE359" s="609"/>
      <c r="AF359" s="609"/>
      <c r="AG359" s="609"/>
      <c r="AH359" s="609"/>
      <c r="AI359" s="609"/>
      <c r="AJ359" s="609"/>
      <c r="AK359" s="609"/>
      <c r="AL359" s="609"/>
      <c r="AM359" s="609"/>
      <c r="AN359" s="609"/>
      <c r="AO359" s="609"/>
      <c r="AP359" s="609"/>
      <c r="AQ359" s="609"/>
    </row>
    <row r="360" spans="25:43" x14ac:dyDescent="0.4">
      <c r="Y360" s="609"/>
      <c r="Z360" s="609"/>
      <c r="AA360" s="609"/>
      <c r="AB360" s="609"/>
      <c r="AC360" s="609"/>
      <c r="AD360" s="609"/>
      <c r="AE360" s="609"/>
      <c r="AF360" s="609"/>
      <c r="AG360" s="609"/>
      <c r="AH360" s="609"/>
      <c r="AI360" s="609"/>
      <c r="AJ360" s="609"/>
      <c r="AK360" s="609"/>
      <c r="AL360" s="609"/>
      <c r="AM360" s="609"/>
      <c r="AN360" s="609"/>
      <c r="AO360" s="609"/>
      <c r="AP360" s="609"/>
      <c r="AQ360" s="609"/>
    </row>
    <row r="361" spans="25:43" x14ac:dyDescent="0.4">
      <c r="Y361" s="609"/>
      <c r="Z361" s="609"/>
      <c r="AA361" s="609"/>
      <c r="AB361" s="609"/>
      <c r="AC361" s="609"/>
      <c r="AD361" s="609"/>
      <c r="AE361" s="609"/>
      <c r="AF361" s="609"/>
      <c r="AG361" s="609"/>
      <c r="AH361" s="609"/>
      <c r="AI361" s="609"/>
      <c r="AJ361" s="609"/>
      <c r="AK361" s="609"/>
      <c r="AL361" s="609"/>
      <c r="AM361" s="609"/>
      <c r="AN361" s="609"/>
      <c r="AO361" s="609"/>
      <c r="AP361" s="609"/>
      <c r="AQ361" s="609"/>
    </row>
    <row r="362" spans="25:43" x14ac:dyDescent="0.4">
      <c r="Y362" s="609"/>
      <c r="Z362" s="609"/>
      <c r="AA362" s="609"/>
      <c r="AB362" s="609"/>
      <c r="AC362" s="609"/>
      <c r="AD362" s="609"/>
      <c r="AE362" s="609"/>
      <c r="AF362" s="609"/>
      <c r="AG362" s="609"/>
      <c r="AH362" s="609"/>
      <c r="AI362" s="609"/>
      <c r="AJ362" s="609"/>
      <c r="AK362" s="609"/>
      <c r="AL362" s="609"/>
      <c r="AM362" s="609"/>
      <c r="AN362" s="609"/>
      <c r="AO362" s="609"/>
      <c r="AP362" s="609"/>
      <c r="AQ362" s="609"/>
    </row>
    <row r="363" spans="25:43" x14ac:dyDescent="0.4">
      <c r="Y363" s="609"/>
      <c r="Z363" s="609"/>
      <c r="AA363" s="609"/>
      <c r="AB363" s="609"/>
      <c r="AC363" s="609"/>
      <c r="AD363" s="609"/>
      <c r="AE363" s="609"/>
      <c r="AF363" s="609"/>
      <c r="AG363" s="609"/>
      <c r="AH363" s="609"/>
      <c r="AI363" s="609"/>
      <c r="AJ363" s="609"/>
      <c r="AK363" s="609"/>
      <c r="AL363" s="609"/>
      <c r="AM363" s="609"/>
      <c r="AN363" s="609"/>
      <c r="AO363" s="609"/>
      <c r="AP363" s="609"/>
      <c r="AQ363" s="609"/>
    </row>
    <row r="364" spans="25:43" x14ac:dyDescent="0.4">
      <c r="Y364" s="609"/>
      <c r="Z364" s="609"/>
      <c r="AA364" s="609"/>
      <c r="AB364" s="609"/>
      <c r="AC364" s="609"/>
      <c r="AD364" s="609"/>
      <c r="AE364" s="609"/>
      <c r="AF364" s="609"/>
      <c r="AG364" s="609"/>
      <c r="AH364" s="609"/>
      <c r="AI364" s="609"/>
      <c r="AJ364" s="609"/>
      <c r="AK364" s="609"/>
      <c r="AL364" s="609"/>
      <c r="AM364" s="609"/>
      <c r="AN364" s="609"/>
      <c r="AO364" s="609"/>
      <c r="AP364" s="609"/>
      <c r="AQ364" s="609"/>
    </row>
    <row r="365" spans="25:43" x14ac:dyDescent="0.4">
      <c r="Y365" s="609"/>
      <c r="Z365" s="609"/>
      <c r="AA365" s="609"/>
      <c r="AB365" s="609"/>
      <c r="AC365" s="609"/>
      <c r="AD365" s="609"/>
      <c r="AE365" s="609"/>
      <c r="AF365" s="609"/>
      <c r="AG365" s="609"/>
      <c r="AH365" s="609"/>
      <c r="AI365" s="609"/>
      <c r="AJ365" s="609"/>
      <c r="AK365" s="609"/>
      <c r="AL365" s="609"/>
      <c r="AM365" s="609"/>
      <c r="AN365" s="609"/>
      <c r="AO365" s="609"/>
      <c r="AP365" s="609"/>
      <c r="AQ365" s="609"/>
    </row>
    <row r="366" spans="25:43" x14ac:dyDescent="0.4">
      <c r="Y366" s="609"/>
      <c r="Z366" s="609"/>
      <c r="AA366" s="609"/>
      <c r="AB366" s="609"/>
      <c r="AC366" s="609"/>
      <c r="AD366" s="609"/>
      <c r="AE366" s="609"/>
      <c r="AF366" s="609"/>
      <c r="AG366" s="609"/>
      <c r="AH366" s="609"/>
      <c r="AI366" s="609"/>
      <c r="AJ366" s="609"/>
      <c r="AK366" s="609"/>
      <c r="AL366" s="609"/>
      <c r="AM366" s="609"/>
      <c r="AN366" s="609"/>
      <c r="AO366" s="609"/>
      <c r="AP366" s="609"/>
      <c r="AQ366" s="609"/>
    </row>
    <row r="367" spans="25:43" x14ac:dyDescent="0.4">
      <c r="Y367" s="609"/>
      <c r="Z367" s="609"/>
      <c r="AA367" s="609"/>
      <c r="AB367" s="609"/>
      <c r="AC367" s="609"/>
      <c r="AD367" s="609"/>
      <c r="AE367" s="609"/>
      <c r="AF367" s="609"/>
      <c r="AG367" s="609"/>
      <c r="AH367" s="609"/>
      <c r="AI367" s="609"/>
      <c r="AJ367" s="609"/>
      <c r="AK367" s="609"/>
      <c r="AL367" s="609"/>
      <c r="AM367" s="609"/>
      <c r="AN367" s="609"/>
      <c r="AO367" s="609"/>
      <c r="AP367" s="609"/>
      <c r="AQ367" s="609"/>
    </row>
    <row r="368" spans="25:43" x14ac:dyDescent="0.4">
      <c r="Y368" s="609"/>
      <c r="Z368" s="609"/>
      <c r="AA368" s="609"/>
      <c r="AB368" s="609"/>
      <c r="AC368" s="609"/>
      <c r="AD368" s="609"/>
      <c r="AE368" s="609"/>
      <c r="AF368" s="609"/>
      <c r="AG368" s="609"/>
      <c r="AH368" s="609"/>
      <c r="AI368" s="609"/>
      <c r="AJ368" s="609"/>
      <c r="AK368" s="609"/>
      <c r="AL368" s="609"/>
      <c r="AM368" s="609"/>
      <c r="AN368" s="609"/>
      <c r="AO368" s="609"/>
      <c r="AP368" s="609"/>
      <c r="AQ368" s="609"/>
    </row>
    <row r="369" spans="25:43" x14ac:dyDescent="0.4">
      <c r="Y369" s="609"/>
      <c r="Z369" s="609"/>
      <c r="AA369" s="609"/>
      <c r="AB369" s="609"/>
      <c r="AC369" s="609"/>
      <c r="AD369" s="609"/>
      <c r="AE369" s="609"/>
      <c r="AF369" s="609"/>
      <c r="AG369" s="609"/>
      <c r="AH369" s="609"/>
      <c r="AI369" s="609"/>
      <c r="AJ369" s="609"/>
      <c r="AK369" s="609"/>
      <c r="AL369" s="609"/>
      <c r="AM369" s="609"/>
      <c r="AN369" s="609"/>
      <c r="AO369" s="609"/>
      <c r="AP369" s="609"/>
      <c r="AQ369" s="609"/>
    </row>
    <row r="370" spans="25:43" x14ac:dyDescent="0.4">
      <c r="Y370" s="609"/>
      <c r="Z370" s="609"/>
      <c r="AA370" s="609"/>
      <c r="AB370" s="609"/>
      <c r="AC370" s="609"/>
      <c r="AD370" s="609"/>
      <c r="AE370" s="609"/>
      <c r="AF370" s="609"/>
      <c r="AG370" s="609"/>
      <c r="AH370" s="609"/>
      <c r="AI370" s="609"/>
      <c r="AJ370" s="609"/>
      <c r="AK370" s="609"/>
      <c r="AL370" s="609"/>
      <c r="AM370" s="609"/>
      <c r="AN370" s="609"/>
      <c r="AO370" s="609"/>
      <c r="AP370" s="609"/>
      <c r="AQ370" s="609"/>
    </row>
    <row r="371" spans="25:43" x14ac:dyDescent="0.4">
      <c r="Y371" s="609"/>
      <c r="Z371" s="609"/>
      <c r="AA371" s="609"/>
      <c r="AB371" s="609"/>
      <c r="AC371" s="609"/>
      <c r="AD371" s="609"/>
      <c r="AE371" s="609"/>
      <c r="AF371" s="609"/>
      <c r="AG371" s="609"/>
      <c r="AH371" s="609"/>
      <c r="AI371" s="609"/>
      <c r="AJ371" s="609"/>
      <c r="AK371" s="609"/>
      <c r="AL371" s="609"/>
      <c r="AM371" s="609"/>
      <c r="AN371" s="609"/>
      <c r="AO371" s="609"/>
      <c r="AP371" s="609"/>
      <c r="AQ371" s="609"/>
    </row>
    <row r="372" spans="25:43" x14ac:dyDescent="0.4">
      <c r="Y372" s="609"/>
      <c r="Z372" s="609"/>
      <c r="AA372" s="609"/>
      <c r="AB372" s="609"/>
      <c r="AC372" s="609"/>
      <c r="AD372" s="609"/>
      <c r="AE372" s="609"/>
      <c r="AF372" s="609"/>
      <c r="AG372" s="609"/>
      <c r="AH372" s="609"/>
      <c r="AI372" s="609"/>
      <c r="AJ372" s="609"/>
      <c r="AK372" s="609"/>
      <c r="AL372" s="609"/>
      <c r="AM372" s="609"/>
      <c r="AN372" s="609"/>
      <c r="AO372" s="609"/>
      <c r="AP372" s="609"/>
      <c r="AQ372" s="609"/>
    </row>
    <row r="373" spans="25:43" x14ac:dyDescent="0.4">
      <c r="Y373" s="609"/>
      <c r="Z373" s="609"/>
      <c r="AA373" s="609"/>
      <c r="AB373" s="609"/>
      <c r="AC373" s="609"/>
      <c r="AD373" s="609"/>
      <c r="AE373" s="609"/>
      <c r="AF373" s="609"/>
      <c r="AG373" s="609"/>
      <c r="AH373" s="609"/>
      <c r="AI373" s="609"/>
      <c r="AJ373" s="609"/>
      <c r="AK373" s="609"/>
      <c r="AL373" s="609"/>
      <c r="AM373" s="609"/>
      <c r="AN373" s="609"/>
      <c r="AO373" s="609"/>
      <c r="AP373" s="609"/>
      <c r="AQ373" s="609"/>
    </row>
    <row r="374" spans="25:43" x14ac:dyDescent="0.4">
      <c r="Y374" s="609"/>
      <c r="Z374" s="609"/>
      <c r="AA374" s="609"/>
      <c r="AB374" s="609"/>
      <c r="AC374" s="609"/>
      <c r="AD374" s="609"/>
      <c r="AE374" s="609"/>
      <c r="AF374" s="609"/>
      <c r="AG374" s="609"/>
      <c r="AH374" s="609"/>
      <c r="AI374" s="609"/>
      <c r="AJ374" s="609"/>
      <c r="AK374" s="609"/>
      <c r="AL374" s="609"/>
      <c r="AM374" s="609"/>
      <c r="AN374" s="609"/>
      <c r="AO374" s="609"/>
      <c r="AP374" s="609"/>
      <c r="AQ374" s="609"/>
    </row>
    <row r="375" spans="25:43" x14ac:dyDescent="0.4">
      <c r="Y375" s="609"/>
      <c r="Z375" s="609"/>
      <c r="AA375" s="609"/>
      <c r="AB375" s="609"/>
      <c r="AC375" s="609"/>
      <c r="AD375" s="609"/>
      <c r="AE375" s="609"/>
      <c r="AF375" s="609"/>
      <c r="AG375" s="609"/>
      <c r="AH375" s="609"/>
      <c r="AI375" s="609"/>
      <c r="AJ375" s="609"/>
      <c r="AK375" s="609"/>
      <c r="AL375" s="609"/>
      <c r="AM375" s="609"/>
      <c r="AN375" s="609"/>
      <c r="AO375" s="609"/>
      <c r="AP375" s="609"/>
      <c r="AQ375" s="609"/>
    </row>
    <row r="376" spans="25:43" x14ac:dyDescent="0.4">
      <c r="Y376" s="609"/>
      <c r="Z376" s="609"/>
      <c r="AA376" s="609"/>
      <c r="AB376" s="609"/>
      <c r="AC376" s="609"/>
      <c r="AD376" s="609"/>
      <c r="AE376" s="609"/>
      <c r="AF376" s="609"/>
      <c r="AG376" s="609"/>
      <c r="AH376" s="609"/>
      <c r="AI376" s="609"/>
      <c r="AJ376" s="609"/>
      <c r="AK376" s="609"/>
      <c r="AL376" s="609"/>
      <c r="AM376" s="609"/>
      <c r="AN376" s="609"/>
      <c r="AO376" s="609"/>
      <c r="AP376" s="609"/>
      <c r="AQ376" s="609"/>
    </row>
    <row r="377" spans="25:43" x14ac:dyDescent="0.4">
      <c r="Y377" s="609"/>
      <c r="Z377" s="609"/>
      <c r="AA377" s="609"/>
      <c r="AB377" s="609"/>
      <c r="AC377" s="609"/>
      <c r="AD377" s="609"/>
      <c r="AE377" s="609"/>
      <c r="AF377" s="609"/>
      <c r="AG377" s="609"/>
      <c r="AH377" s="609"/>
      <c r="AI377" s="609"/>
      <c r="AJ377" s="609"/>
      <c r="AK377" s="609"/>
      <c r="AL377" s="609"/>
      <c r="AM377" s="609"/>
      <c r="AN377" s="609"/>
      <c r="AO377" s="609"/>
      <c r="AP377" s="609"/>
      <c r="AQ377" s="609"/>
    </row>
    <row r="378" spans="25:43" x14ac:dyDescent="0.4">
      <c r="Y378" s="609"/>
      <c r="Z378" s="609"/>
      <c r="AA378" s="609"/>
      <c r="AB378" s="609"/>
      <c r="AC378" s="609"/>
      <c r="AD378" s="609"/>
      <c r="AE378" s="609"/>
      <c r="AF378" s="609"/>
      <c r="AG378" s="609"/>
      <c r="AH378" s="609"/>
      <c r="AI378" s="609"/>
      <c r="AJ378" s="609"/>
      <c r="AK378" s="609"/>
      <c r="AL378" s="609"/>
      <c r="AM378" s="609"/>
      <c r="AN378" s="609"/>
      <c r="AO378" s="609"/>
      <c r="AP378" s="609"/>
      <c r="AQ378" s="609"/>
    </row>
    <row r="379" spans="25:43" x14ac:dyDescent="0.4">
      <c r="Y379" s="609"/>
      <c r="Z379" s="609"/>
      <c r="AA379" s="609"/>
      <c r="AB379" s="609"/>
      <c r="AC379" s="609"/>
      <c r="AD379" s="609"/>
      <c r="AE379" s="609"/>
      <c r="AF379" s="609"/>
      <c r="AG379" s="609"/>
      <c r="AH379" s="609"/>
      <c r="AI379" s="609"/>
      <c r="AJ379" s="609"/>
      <c r="AK379" s="609"/>
      <c r="AL379" s="609"/>
      <c r="AM379" s="609"/>
      <c r="AN379" s="609"/>
      <c r="AO379" s="609"/>
      <c r="AP379" s="609"/>
      <c r="AQ379" s="609"/>
    </row>
    <row r="380" spans="25:43" x14ac:dyDescent="0.4">
      <c r="Y380" s="609"/>
      <c r="Z380" s="609"/>
      <c r="AA380" s="609"/>
      <c r="AB380" s="609"/>
      <c r="AC380" s="609"/>
      <c r="AD380" s="609"/>
      <c r="AE380" s="609"/>
      <c r="AF380" s="609"/>
      <c r="AG380" s="609"/>
      <c r="AH380" s="609"/>
      <c r="AI380" s="609"/>
      <c r="AJ380" s="609"/>
      <c r="AK380" s="609"/>
      <c r="AL380" s="609"/>
      <c r="AM380" s="609"/>
      <c r="AN380" s="609"/>
      <c r="AO380" s="609"/>
      <c r="AP380" s="609"/>
      <c r="AQ380" s="609"/>
    </row>
    <row r="381" spans="25:43" x14ac:dyDescent="0.4">
      <c r="Y381" s="609"/>
      <c r="Z381" s="609"/>
      <c r="AA381" s="609"/>
      <c r="AB381" s="609"/>
      <c r="AC381" s="609"/>
      <c r="AD381" s="609"/>
      <c r="AE381" s="609"/>
      <c r="AF381" s="609"/>
      <c r="AG381" s="609"/>
      <c r="AH381" s="609"/>
      <c r="AI381" s="609"/>
      <c r="AJ381" s="609"/>
      <c r="AK381" s="609"/>
      <c r="AL381" s="609"/>
      <c r="AM381" s="609"/>
      <c r="AN381" s="609"/>
      <c r="AO381" s="609"/>
      <c r="AP381" s="609"/>
      <c r="AQ381" s="609"/>
    </row>
    <row r="382" spans="25:43" x14ac:dyDescent="0.4">
      <c r="Y382" s="609"/>
      <c r="Z382" s="609"/>
      <c r="AA382" s="609"/>
      <c r="AB382" s="609"/>
      <c r="AC382" s="609"/>
      <c r="AD382" s="609"/>
      <c r="AE382" s="609"/>
      <c r="AF382" s="609"/>
      <c r="AG382" s="609"/>
      <c r="AH382" s="609"/>
      <c r="AI382" s="609"/>
      <c r="AJ382" s="609"/>
      <c r="AK382" s="609"/>
      <c r="AL382" s="609"/>
      <c r="AM382" s="609"/>
      <c r="AN382" s="609"/>
      <c r="AO382" s="609"/>
      <c r="AP382" s="609"/>
      <c r="AQ382" s="609"/>
    </row>
    <row r="383" spans="25:43" x14ac:dyDescent="0.4">
      <c r="Y383" s="609"/>
      <c r="Z383" s="609"/>
      <c r="AA383" s="609"/>
      <c r="AB383" s="609"/>
      <c r="AC383" s="609"/>
      <c r="AD383" s="609"/>
      <c r="AE383" s="609"/>
      <c r="AF383" s="609"/>
      <c r="AG383" s="609"/>
      <c r="AH383" s="609"/>
      <c r="AI383" s="609"/>
      <c r="AJ383" s="609"/>
      <c r="AK383" s="609"/>
      <c r="AL383" s="609"/>
      <c r="AM383" s="609"/>
      <c r="AN383" s="609"/>
      <c r="AO383" s="609"/>
      <c r="AP383" s="609"/>
      <c r="AQ383" s="609"/>
    </row>
    <row r="384" spans="25:43" x14ac:dyDescent="0.4">
      <c r="Y384" s="609"/>
      <c r="Z384" s="609"/>
      <c r="AA384" s="609"/>
      <c r="AB384" s="609"/>
      <c r="AC384" s="609"/>
      <c r="AD384" s="609"/>
      <c r="AE384" s="609"/>
      <c r="AF384" s="609"/>
      <c r="AG384" s="609"/>
      <c r="AH384" s="609"/>
      <c r="AI384" s="609"/>
      <c r="AJ384" s="609"/>
      <c r="AK384" s="609"/>
      <c r="AL384" s="609"/>
      <c r="AM384" s="609"/>
      <c r="AN384" s="609"/>
      <c r="AO384" s="609"/>
      <c r="AP384" s="609"/>
      <c r="AQ384" s="609"/>
    </row>
    <row r="385" spans="25:43" x14ac:dyDescent="0.4">
      <c r="Y385" s="609"/>
      <c r="Z385" s="609"/>
      <c r="AA385" s="609"/>
      <c r="AB385" s="609"/>
      <c r="AC385" s="609"/>
      <c r="AD385" s="609"/>
      <c r="AE385" s="609"/>
      <c r="AF385" s="609"/>
      <c r="AG385" s="609"/>
      <c r="AH385" s="609"/>
      <c r="AI385" s="609"/>
      <c r="AJ385" s="609"/>
      <c r="AK385" s="609"/>
      <c r="AL385" s="609"/>
      <c r="AM385" s="609"/>
      <c r="AN385" s="609"/>
      <c r="AO385" s="609"/>
      <c r="AP385" s="609"/>
      <c r="AQ385" s="609"/>
    </row>
    <row r="386" spans="25:43" x14ac:dyDescent="0.4">
      <c r="Y386" s="609"/>
      <c r="Z386" s="609"/>
      <c r="AA386" s="609"/>
      <c r="AB386" s="609"/>
      <c r="AC386" s="609"/>
      <c r="AD386" s="609"/>
      <c r="AE386" s="609"/>
      <c r="AF386" s="609"/>
      <c r="AG386" s="609"/>
      <c r="AH386" s="609"/>
      <c r="AI386" s="609"/>
      <c r="AJ386" s="609"/>
      <c r="AK386" s="609"/>
      <c r="AL386" s="609"/>
      <c r="AM386" s="609"/>
      <c r="AN386" s="609"/>
      <c r="AO386" s="609"/>
      <c r="AP386" s="609"/>
      <c r="AQ386" s="609"/>
    </row>
    <row r="387" spans="25:43" x14ac:dyDescent="0.4">
      <c r="Y387" s="609"/>
      <c r="Z387" s="609"/>
      <c r="AA387" s="609"/>
      <c r="AB387" s="609"/>
      <c r="AC387" s="609"/>
      <c r="AD387" s="609"/>
      <c r="AE387" s="609"/>
      <c r="AF387" s="609"/>
      <c r="AG387" s="609"/>
      <c r="AH387" s="609"/>
      <c r="AI387" s="609"/>
      <c r="AJ387" s="609"/>
      <c r="AK387" s="609"/>
      <c r="AL387" s="609"/>
      <c r="AM387" s="609"/>
      <c r="AN387" s="609"/>
      <c r="AO387" s="609"/>
      <c r="AP387" s="609"/>
      <c r="AQ387" s="609"/>
    </row>
    <row r="388" spans="25:43" x14ac:dyDescent="0.4">
      <c r="Y388" s="609"/>
      <c r="Z388" s="609"/>
      <c r="AA388" s="609"/>
      <c r="AB388" s="609"/>
      <c r="AC388" s="609"/>
      <c r="AD388" s="609"/>
      <c r="AE388" s="609"/>
      <c r="AF388" s="609"/>
      <c r="AG388" s="609"/>
      <c r="AH388" s="609"/>
      <c r="AI388" s="609"/>
      <c r="AJ388" s="609"/>
      <c r="AK388" s="609"/>
      <c r="AL388" s="609"/>
      <c r="AM388" s="609"/>
      <c r="AN388" s="609"/>
      <c r="AO388" s="609"/>
      <c r="AP388" s="609"/>
      <c r="AQ388" s="609"/>
    </row>
    <row r="389" spans="25:43" x14ac:dyDescent="0.4">
      <c r="Y389" s="609"/>
      <c r="Z389" s="609"/>
      <c r="AA389" s="609"/>
      <c r="AB389" s="609"/>
      <c r="AC389" s="609"/>
      <c r="AD389" s="609"/>
      <c r="AE389" s="609"/>
      <c r="AF389" s="609"/>
      <c r="AG389" s="609"/>
      <c r="AH389" s="609"/>
      <c r="AI389" s="609"/>
      <c r="AJ389" s="609"/>
      <c r="AK389" s="609"/>
      <c r="AL389" s="609"/>
      <c r="AM389" s="609"/>
      <c r="AN389" s="609"/>
      <c r="AO389" s="609"/>
      <c r="AP389" s="609"/>
      <c r="AQ389" s="609"/>
    </row>
    <row r="390" spans="25:43" x14ac:dyDescent="0.4">
      <c r="Y390" s="609"/>
      <c r="Z390" s="609"/>
      <c r="AA390" s="609"/>
      <c r="AB390" s="609"/>
      <c r="AC390" s="609"/>
      <c r="AD390" s="609"/>
      <c r="AE390" s="609"/>
      <c r="AF390" s="609"/>
      <c r="AG390" s="609"/>
      <c r="AH390" s="609"/>
      <c r="AI390" s="609"/>
      <c r="AJ390" s="609"/>
      <c r="AK390" s="609"/>
      <c r="AL390" s="609"/>
      <c r="AM390" s="609"/>
      <c r="AN390" s="609"/>
      <c r="AO390" s="609"/>
      <c r="AP390" s="609"/>
      <c r="AQ390" s="609"/>
    </row>
    <row r="391" spans="25:43" x14ac:dyDescent="0.4">
      <c r="Y391" s="609"/>
      <c r="Z391" s="609"/>
      <c r="AA391" s="609"/>
      <c r="AB391" s="609"/>
      <c r="AC391" s="609"/>
      <c r="AD391" s="609"/>
      <c r="AE391" s="609"/>
      <c r="AF391" s="609"/>
      <c r="AG391" s="609"/>
      <c r="AH391" s="609"/>
      <c r="AI391" s="609"/>
      <c r="AJ391" s="609"/>
      <c r="AK391" s="609"/>
      <c r="AL391" s="609"/>
      <c r="AM391" s="609"/>
      <c r="AN391" s="609"/>
      <c r="AO391" s="609"/>
      <c r="AP391" s="609"/>
      <c r="AQ391" s="609"/>
    </row>
    <row r="392" spans="25:43" x14ac:dyDescent="0.4">
      <c r="Y392" s="609"/>
      <c r="Z392" s="609"/>
      <c r="AA392" s="609"/>
      <c r="AB392" s="609"/>
      <c r="AC392" s="609"/>
      <c r="AD392" s="609"/>
      <c r="AE392" s="609"/>
      <c r="AF392" s="609"/>
      <c r="AG392" s="609"/>
      <c r="AH392" s="609"/>
      <c r="AI392" s="609"/>
      <c r="AJ392" s="609"/>
      <c r="AK392" s="609"/>
      <c r="AL392" s="609"/>
      <c r="AM392" s="609"/>
      <c r="AN392" s="609"/>
      <c r="AO392" s="609"/>
      <c r="AP392" s="609"/>
      <c r="AQ392" s="609"/>
    </row>
    <row r="393" spans="25:43" x14ac:dyDescent="0.4">
      <c r="Y393" s="609"/>
      <c r="Z393" s="609"/>
      <c r="AA393" s="609"/>
      <c r="AB393" s="609"/>
      <c r="AC393" s="609"/>
      <c r="AD393" s="609"/>
      <c r="AE393" s="609"/>
      <c r="AF393" s="609"/>
      <c r="AG393" s="609"/>
      <c r="AH393" s="609"/>
      <c r="AI393" s="609"/>
      <c r="AJ393" s="609"/>
      <c r="AK393" s="609"/>
      <c r="AL393" s="609"/>
      <c r="AM393" s="609"/>
      <c r="AN393" s="609"/>
      <c r="AO393" s="609"/>
      <c r="AP393" s="609"/>
      <c r="AQ393" s="609"/>
    </row>
    <row r="394" spans="25:43" x14ac:dyDescent="0.4">
      <c r="Y394" s="609"/>
      <c r="Z394" s="609"/>
      <c r="AA394" s="609"/>
      <c r="AB394" s="609"/>
      <c r="AC394" s="609"/>
      <c r="AD394" s="609"/>
      <c r="AE394" s="609"/>
      <c r="AF394" s="609"/>
      <c r="AG394" s="609"/>
      <c r="AH394" s="609"/>
      <c r="AI394" s="609"/>
      <c r="AJ394" s="609"/>
      <c r="AK394" s="609"/>
      <c r="AL394" s="609"/>
      <c r="AM394" s="609"/>
      <c r="AN394" s="609"/>
      <c r="AO394" s="609"/>
      <c r="AP394" s="609"/>
      <c r="AQ394" s="609"/>
    </row>
    <row r="395" spans="25:43" x14ac:dyDescent="0.4">
      <c r="Y395" s="609"/>
      <c r="Z395" s="609"/>
      <c r="AA395" s="609"/>
      <c r="AB395" s="609"/>
      <c r="AC395" s="609"/>
      <c r="AD395" s="609"/>
      <c r="AE395" s="609"/>
      <c r="AF395" s="609"/>
      <c r="AG395" s="609"/>
      <c r="AH395" s="609"/>
      <c r="AI395" s="609"/>
      <c r="AJ395" s="609"/>
      <c r="AK395" s="609"/>
      <c r="AL395" s="609"/>
      <c r="AM395" s="609"/>
      <c r="AN395" s="609"/>
      <c r="AO395" s="609"/>
      <c r="AP395" s="609"/>
      <c r="AQ395" s="609"/>
    </row>
    <row r="396" spans="25:43" x14ac:dyDescent="0.4">
      <c r="Y396" s="609"/>
      <c r="Z396" s="609"/>
      <c r="AA396" s="609"/>
      <c r="AB396" s="609"/>
      <c r="AC396" s="609"/>
      <c r="AD396" s="609"/>
      <c r="AE396" s="609"/>
      <c r="AF396" s="609"/>
      <c r="AG396" s="609"/>
      <c r="AH396" s="609"/>
      <c r="AI396" s="609"/>
      <c r="AJ396" s="609"/>
      <c r="AK396" s="609"/>
      <c r="AL396" s="609"/>
      <c r="AM396" s="609"/>
      <c r="AN396" s="609"/>
      <c r="AO396" s="609"/>
      <c r="AP396" s="609"/>
      <c r="AQ396" s="609"/>
    </row>
    <row r="397" spans="25:43" x14ac:dyDescent="0.4">
      <c r="Y397" s="609"/>
      <c r="Z397" s="609"/>
      <c r="AA397" s="609"/>
      <c r="AB397" s="609"/>
      <c r="AC397" s="609"/>
      <c r="AD397" s="609"/>
      <c r="AE397" s="609"/>
      <c r="AF397" s="609"/>
      <c r="AG397" s="609"/>
      <c r="AH397" s="609"/>
      <c r="AI397" s="609"/>
      <c r="AJ397" s="609"/>
      <c r="AK397" s="609"/>
      <c r="AL397" s="609"/>
      <c r="AM397" s="609"/>
      <c r="AN397" s="609"/>
      <c r="AO397" s="609"/>
      <c r="AP397" s="609"/>
      <c r="AQ397" s="609"/>
    </row>
    <row r="398" spans="25:43" x14ac:dyDescent="0.4">
      <c r="Y398" s="609"/>
      <c r="Z398" s="609"/>
      <c r="AA398" s="609"/>
      <c r="AB398" s="609"/>
      <c r="AC398" s="609"/>
      <c r="AD398" s="609"/>
      <c r="AE398" s="609"/>
      <c r="AF398" s="609"/>
      <c r="AG398" s="609"/>
      <c r="AH398" s="609"/>
      <c r="AI398" s="609"/>
      <c r="AJ398" s="609"/>
      <c r="AK398" s="609"/>
      <c r="AL398" s="609"/>
      <c r="AM398" s="609"/>
      <c r="AN398" s="609"/>
      <c r="AO398" s="609"/>
      <c r="AP398" s="609"/>
      <c r="AQ398" s="609"/>
    </row>
    <row r="399" spans="25:43" x14ac:dyDescent="0.4">
      <c r="Y399" s="609"/>
      <c r="Z399" s="609"/>
      <c r="AA399" s="609"/>
      <c r="AB399" s="609"/>
      <c r="AC399" s="609"/>
      <c r="AD399" s="609"/>
      <c r="AE399" s="609"/>
      <c r="AF399" s="609"/>
      <c r="AG399" s="609"/>
      <c r="AH399" s="609"/>
      <c r="AI399" s="609"/>
      <c r="AJ399" s="609"/>
      <c r="AK399" s="609"/>
      <c r="AL399" s="609"/>
      <c r="AM399" s="609"/>
      <c r="AN399" s="609"/>
      <c r="AO399" s="609"/>
      <c r="AP399" s="609"/>
      <c r="AQ399" s="609"/>
    </row>
    <row r="400" spans="25:43" x14ac:dyDescent="0.4">
      <c r="Y400" s="609"/>
      <c r="Z400" s="609"/>
      <c r="AA400" s="609"/>
      <c r="AB400" s="609"/>
      <c r="AC400" s="609"/>
      <c r="AD400" s="609"/>
      <c r="AE400" s="609"/>
      <c r="AF400" s="609"/>
      <c r="AG400" s="609"/>
      <c r="AH400" s="609"/>
      <c r="AI400" s="609"/>
      <c r="AJ400" s="609"/>
      <c r="AK400" s="609"/>
      <c r="AL400" s="609"/>
      <c r="AM400" s="609"/>
      <c r="AN400" s="609"/>
      <c r="AO400" s="609"/>
      <c r="AP400" s="609"/>
      <c r="AQ400" s="609"/>
    </row>
    <row r="401" spans="25:43" x14ac:dyDescent="0.4">
      <c r="Y401" s="609"/>
      <c r="Z401" s="609"/>
      <c r="AA401" s="609"/>
      <c r="AB401" s="609"/>
      <c r="AC401" s="609"/>
      <c r="AD401" s="609"/>
      <c r="AE401" s="609"/>
      <c r="AF401" s="609"/>
      <c r="AG401" s="609"/>
      <c r="AH401" s="609"/>
      <c r="AI401" s="609"/>
      <c r="AJ401" s="609"/>
      <c r="AK401" s="609"/>
      <c r="AL401" s="609"/>
      <c r="AM401" s="609"/>
      <c r="AN401" s="609"/>
      <c r="AO401" s="609"/>
      <c r="AP401" s="609"/>
      <c r="AQ401" s="609"/>
    </row>
    <row r="402" spans="25:43" x14ac:dyDescent="0.4">
      <c r="Y402" s="609"/>
      <c r="Z402" s="609"/>
      <c r="AA402" s="609"/>
      <c r="AB402" s="609"/>
      <c r="AC402" s="609"/>
      <c r="AD402" s="609"/>
      <c r="AE402" s="609"/>
      <c r="AF402" s="609"/>
      <c r="AG402" s="609"/>
      <c r="AH402" s="609"/>
      <c r="AI402" s="609"/>
      <c r="AJ402" s="609"/>
      <c r="AK402" s="609"/>
      <c r="AL402" s="609"/>
      <c r="AM402" s="609"/>
      <c r="AN402" s="609"/>
      <c r="AO402" s="609"/>
      <c r="AP402" s="609"/>
      <c r="AQ402" s="609"/>
    </row>
    <row r="403" spans="25:43" x14ac:dyDescent="0.4">
      <c r="Y403" s="609"/>
      <c r="Z403" s="609"/>
      <c r="AA403" s="609"/>
      <c r="AB403" s="609"/>
      <c r="AC403" s="609"/>
      <c r="AD403" s="609"/>
      <c r="AE403" s="609"/>
      <c r="AF403" s="609"/>
      <c r="AG403" s="609"/>
      <c r="AH403" s="609"/>
      <c r="AI403" s="609"/>
      <c r="AJ403" s="609"/>
      <c r="AK403" s="609"/>
      <c r="AL403" s="609"/>
      <c r="AM403" s="609"/>
      <c r="AN403" s="609"/>
      <c r="AO403" s="609"/>
      <c r="AP403" s="609"/>
      <c r="AQ403" s="609"/>
    </row>
    <row r="404" spans="25:43" x14ac:dyDescent="0.4">
      <c r="Y404" s="609"/>
      <c r="Z404" s="609"/>
      <c r="AA404" s="609"/>
      <c r="AB404" s="609"/>
      <c r="AC404" s="609"/>
      <c r="AD404" s="609"/>
      <c r="AE404" s="609"/>
      <c r="AF404" s="609"/>
      <c r="AG404" s="609"/>
      <c r="AH404" s="609"/>
      <c r="AI404" s="609"/>
      <c r="AJ404" s="609"/>
      <c r="AK404" s="609"/>
      <c r="AL404" s="609"/>
      <c r="AM404" s="609"/>
      <c r="AN404" s="609"/>
      <c r="AO404" s="609"/>
      <c r="AP404" s="609"/>
      <c r="AQ404" s="609"/>
    </row>
    <row r="405" spans="25:43" x14ac:dyDescent="0.4">
      <c r="Y405" s="609"/>
      <c r="Z405" s="609"/>
      <c r="AA405" s="609"/>
      <c r="AB405" s="609"/>
      <c r="AC405" s="609"/>
      <c r="AD405" s="609"/>
      <c r="AE405" s="609"/>
      <c r="AF405" s="609"/>
      <c r="AG405" s="609"/>
      <c r="AH405" s="609"/>
      <c r="AI405" s="609"/>
      <c r="AJ405" s="609"/>
      <c r="AK405" s="609"/>
      <c r="AL405" s="609"/>
      <c r="AM405" s="609"/>
      <c r="AN405" s="609"/>
      <c r="AO405" s="609"/>
      <c r="AP405" s="609"/>
      <c r="AQ405" s="609"/>
    </row>
    <row r="406" spans="25:43" x14ac:dyDescent="0.4">
      <c r="Y406" s="609"/>
      <c r="Z406" s="609"/>
      <c r="AA406" s="609"/>
      <c r="AB406" s="609"/>
      <c r="AC406" s="609"/>
      <c r="AD406" s="609"/>
      <c r="AE406" s="609"/>
      <c r="AF406" s="609"/>
      <c r="AG406" s="609"/>
      <c r="AH406" s="609"/>
      <c r="AI406" s="609"/>
      <c r="AJ406" s="609"/>
      <c r="AK406" s="609"/>
      <c r="AL406" s="609"/>
      <c r="AM406" s="609"/>
      <c r="AN406" s="609"/>
      <c r="AO406" s="609"/>
      <c r="AP406" s="609"/>
      <c r="AQ406" s="609"/>
    </row>
    <row r="407" spans="25:43" x14ac:dyDescent="0.4">
      <c r="Y407" s="609"/>
      <c r="Z407" s="609"/>
      <c r="AA407" s="609"/>
      <c r="AB407" s="609"/>
      <c r="AC407" s="609"/>
      <c r="AD407" s="609"/>
      <c r="AE407" s="609"/>
      <c r="AF407" s="609"/>
      <c r="AG407" s="609"/>
      <c r="AH407" s="609"/>
      <c r="AI407" s="609"/>
      <c r="AJ407" s="609"/>
      <c r="AK407" s="609"/>
      <c r="AL407" s="609"/>
      <c r="AM407" s="609"/>
      <c r="AN407" s="609"/>
      <c r="AO407" s="609"/>
      <c r="AP407" s="609"/>
      <c r="AQ407" s="609"/>
    </row>
    <row r="408" spans="25:43" x14ac:dyDescent="0.4">
      <c r="Y408" s="609"/>
      <c r="Z408" s="609"/>
      <c r="AA408" s="609"/>
      <c r="AB408" s="609"/>
      <c r="AC408" s="609"/>
      <c r="AD408" s="609"/>
      <c r="AE408" s="609"/>
      <c r="AF408" s="609"/>
      <c r="AG408" s="609"/>
      <c r="AH408" s="609"/>
      <c r="AI408" s="609"/>
      <c r="AJ408" s="609"/>
      <c r="AK408" s="609"/>
      <c r="AL408" s="609"/>
      <c r="AM408" s="609"/>
      <c r="AN408" s="609"/>
      <c r="AO408" s="609"/>
      <c r="AP408" s="609"/>
      <c r="AQ408" s="609"/>
    </row>
    <row r="409" spans="25:43" x14ac:dyDescent="0.4">
      <c r="Y409" s="609"/>
      <c r="Z409" s="609"/>
      <c r="AA409" s="609"/>
      <c r="AB409" s="609"/>
      <c r="AC409" s="609"/>
      <c r="AD409" s="609"/>
      <c r="AE409" s="609"/>
      <c r="AF409" s="609"/>
      <c r="AG409" s="609"/>
      <c r="AH409" s="609"/>
      <c r="AI409" s="609"/>
      <c r="AJ409" s="609"/>
      <c r="AK409" s="609"/>
      <c r="AL409" s="609"/>
      <c r="AM409" s="609"/>
      <c r="AN409" s="609"/>
      <c r="AO409" s="609"/>
      <c r="AP409" s="609"/>
      <c r="AQ409" s="609"/>
    </row>
    <row r="410" spans="25:43" x14ac:dyDescent="0.4">
      <c r="Y410" s="609"/>
      <c r="Z410" s="609"/>
      <c r="AA410" s="609"/>
      <c r="AB410" s="609"/>
      <c r="AC410" s="609"/>
      <c r="AD410" s="609"/>
      <c r="AE410" s="609"/>
      <c r="AF410" s="609"/>
      <c r="AG410" s="609"/>
      <c r="AH410" s="609"/>
      <c r="AI410" s="609"/>
      <c r="AJ410" s="609"/>
      <c r="AK410" s="609"/>
      <c r="AL410" s="609"/>
      <c r="AM410" s="609"/>
      <c r="AN410" s="609"/>
      <c r="AO410" s="609"/>
      <c r="AP410" s="609"/>
      <c r="AQ410" s="609"/>
    </row>
    <row r="411" spans="25:43" x14ac:dyDescent="0.4">
      <c r="Y411" s="609"/>
      <c r="Z411" s="609"/>
      <c r="AA411" s="609"/>
      <c r="AB411" s="609"/>
      <c r="AC411" s="609"/>
      <c r="AD411" s="609"/>
      <c r="AE411" s="609"/>
      <c r="AF411" s="609"/>
      <c r="AG411" s="609"/>
      <c r="AH411" s="609"/>
      <c r="AI411" s="609"/>
      <c r="AJ411" s="609"/>
      <c r="AK411" s="609"/>
      <c r="AL411" s="609"/>
      <c r="AM411" s="609"/>
      <c r="AN411" s="609"/>
      <c r="AO411" s="609"/>
      <c r="AP411" s="609"/>
      <c r="AQ411" s="609"/>
    </row>
    <row r="412" spans="25:43" x14ac:dyDescent="0.4">
      <c r="Y412" s="609"/>
      <c r="Z412" s="609"/>
      <c r="AA412" s="609"/>
      <c r="AB412" s="609"/>
      <c r="AC412" s="609"/>
      <c r="AD412" s="609"/>
      <c r="AE412" s="609"/>
      <c r="AF412" s="609"/>
      <c r="AG412" s="609"/>
      <c r="AH412" s="609"/>
      <c r="AI412" s="609"/>
      <c r="AJ412" s="609"/>
      <c r="AK412" s="609"/>
      <c r="AL412" s="609"/>
      <c r="AM412" s="609"/>
      <c r="AN412" s="609"/>
      <c r="AO412" s="609"/>
      <c r="AP412" s="609"/>
      <c r="AQ412" s="609"/>
    </row>
    <row r="413" spans="25:43" x14ac:dyDescent="0.4">
      <c r="Y413" s="609"/>
      <c r="Z413" s="609"/>
      <c r="AA413" s="609"/>
      <c r="AB413" s="609"/>
      <c r="AC413" s="609"/>
      <c r="AD413" s="609"/>
      <c r="AE413" s="609"/>
      <c r="AF413" s="609"/>
      <c r="AG413" s="609"/>
      <c r="AH413" s="609"/>
      <c r="AI413" s="609"/>
      <c r="AJ413" s="609"/>
      <c r="AK413" s="609"/>
      <c r="AL413" s="609"/>
      <c r="AM413" s="609"/>
      <c r="AN413" s="609"/>
      <c r="AO413" s="609"/>
      <c r="AP413" s="609"/>
      <c r="AQ413" s="609"/>
    </row>
    <row r="414" spans="25:43" x14ac:dyDescent="0.4">
      <c r="Y414" s="609"/>
      <c r="Z414" s="609"/>
      <c r="AA414" s="609"/>
      <c r="AB414" s="609"/>
      <c r="AC414" s="609"/>
      <c r="AD414" s="609"/>
      <c r="AE414" s="609"/>
      <c r="AF414" s="609"/>
      <c r="AG414" s="609"/>
      <c r="AH414" s="609"/>
      <c r="AI414" s="609"/>
      <c r="AJ414" s="609"/>
      <c r="AK414" s="609"/>
      <c r="AL414" s="609"/>
      <c r="AM414" s="609"/>
      <c r="AN414" s="609"/>
      <c r="AO414" s="609"/>
      <c r="AP414" s="609"/>
      <c r="AQ414" s="609"/>
    </row>
    <row r="415" spans="25:43" x14ac:dyDescent="0.4">
      <c r="Y415" s="609"/>
      <c r="Z415" s="609"/>
      <c r="AA415" s="609"/>
      <c r="AB415" s="609"/>
      <c r="AC415" s="609"/>
      <c r="AD415" s="609"/>
      <c r="AE415" s="609"/>
      <c r="AF415" s="609"/>
      <c r="AG415" s="609"/>
      <c r="AH415" s="609"/>
      <c r="AI415" s="609"/>
      <c r="AJ415" s="609"/>
      <c r="AK415" s="609"/>
      <c r="AL415" s="609"/>
      <c r="AM415" s="609"/>
      <c r="AN415" s="609"/>
      <c r="AO415" s="609"/>
      <c r="AP415" s="609"/>
      <c r="AQ415" s="609"/>
    </row>
    <row r="416" spans="25:43" x14ac:dyDescent="0.4">
      <c r="Y416" s="609"/>
      <c r="Z416" s="609"/>
      <c r="AA416" s="609"/>
      <c r="AB416" s="609"/>
      <c r="AC416" s="609"/>
      <c r="AD416" s="609"/>
      <c r="AE416" s="609"/>
      <c r="AF416" s="609"/>
      <c r="AG416" s="609"/>
      <c r="AH416" s="609"/>
      <c r="AI416" s="609"/>
      <c r="AJ416" s="609"/>
      <c r="AK416" s="609"/>
      <c r="AL416" s="609"/>
      <c r="AM416" s="609"/>
      <c r="AN416" s="609"/>
      <c r="AO416" s="609"/>
      <c r="AP416" s="609"/>
      <c r="AQ416" s="609"/>
    </row>
    <row r="417" spans="25:43" x14ac:dyDescent="0.4">
      <c r="Y417" s="609"/>
      <c r="Z417" s="609"/>
      <c r="AA417" s="609"/>
      <c r="AB417" s="609"/>
      <c r="AC417" s="609"/>
      <c r="AD417" s="609"/>
      <c r="AE417" s="609"/>
      <c r="AF417" s="609"/>
      <c r="AG417" s="609"/>
      <c r="AH417" s="609"/>
      <c r="AI417" s="609"/>
      <c r="AJ417" s="609"/>
      <c r="AK417" s="609"/>
      <c r="AL417" s="609"/>
      <c r="AM417" s="609"/>
      <c r="AN417" s="609"/>
      <c r="AO417" s="609"/>
      <c r="AP417" s="609"/>
      <c r="AQ417" s="609"/>
    </row>
    <row r="418" spans="25:43" x14ac:dyDescent="0.4">
      <c r="Y418" s="609"/>
      <c r="Z418" s="609"/>
      <c r="AA418" s="609"/>
      <c r="AB418" s="609"/>
      <c r="AC418" s="609"/>
      <c r="AD418" s="609"/>
      <c r="AE418" s="609"/>
      <c r="AF418" s="609"/>
      <c r="AG418" s="609"/>
      <c r="AH418" s="609"/>
      <c r="AI418" s="609"/>
      <c r="AJ418" s="609"/>
      <c r="AK418" s="609"/>
      <c r="AL418" s="609"/>
      <c r="AM418" s="609"/>
      <c r="AN418" s="609"/>
      <c r="AO418" s="609"/>
      <c r="AP418" s="609"/>
      <c r="AQ418" s="609"/>
    </row>
    <row r="419" spans="25:43" x14ac:dyDescent="0.4">
      <c r="Y419" s="609"/>
      <c r="Z419" s="609"/>
      <c r="AA419" s="609"/>
      <c r="AB419" s="609"/>
      <c r="AC419" s="609"/>
      <c r="AD419" s="609"/>
      <c r="AE419" s="609"/>
      <c r="AF419" s="609"/>
      <c r="AG419" s="609"/>
      <c r="AH419" s="609"/>
      <c r="AI419" s="609"/>
      <c r="AJ419" s="609"/>
      <c r="AK419" s="609"/>
      <c r="AL419" s="609"/>
      <c r="AM419" s="609"/>
      <c r="AN419" s="609"/>
      <c r="AO419" s="609"/>
      <c r="AP419" s="609"/>
      <c r="AQ419" s="609"/>
    </row>
    <row r="420" spans="25:43" x14ac:dyDescent="0.4">
      <c r="Y420" s="609"/>
      <c r="Z420" s="609"/>
      <c r="AA420" s="609"/>
      <c r="AB420" s="609"/>
      <c r="AC420" s="609"/>
      <c r="AD420" s="609"/>
      <c r="AE420" s="609"/>
      <c r="AF420" s="609"/>
      <c r="AG420" s="609"/>
      <c r="AH420" s="609"/>
      <c r="AI420" s="609"/>
      <c r="AJ420" s="609"/>
      <c r="AK420" s="609"/>
      <c r="AL420" s="609"/>
      <c r="AM420" s="609"/>
      <c r="AN420" s="609"/>
      <c r="AO420" s="609"/>
      <c r="AP420" s="609"/>
      <c r="AQ420" s="609"/>
    </row>
    <row r="421" spans="25:43" x14ac:dyDescent="0.4">
      <c r="Y421" s="609"/>
      <c r="Z421" s="609"/>
      <c r="AA421" s="609"/>
      <c r="AB421" s="609"/>
      <c r="AC421" s="609"/>
      <c r="AD421" s="609"/>
      <c r="AE421" s="609"/>
      <c r="AF421" s="609"/>
      <c r="AG421" s="609"/>
      <c r="AH421" s="609"/>
      <c r="AI421" s="609"/>
      <c r="AJ421" s="609"/>
      <c r="AK421" s="609"/>
      <c r="AL421" s="609"/>
      <c r="AM421" s="609"/>
      <c r="AN421" s="609"/>
      <c r="AO421" s="609"/>
      <c r="AP421" s="609"/>
      <c r="AQ421" s="609"/>
    </row>
    <row r="422" spans="25:43" x14ac:dyDescent="0.4">
      <c r="Y422" s="609"/>
      <c r="Z422" s="609"/>
      <c r="AA422" s="609"/>
      <c r="AB422" s="609"/>
      <c r="AC422" s="609"/>
      <c r="AD422" s="609"/>
      <c r="AE422" s="609"/>
      <c r="AF422" s="609"/>
      <c r="AG422" s="609"/>
      <c r="AH422" s="609"/>
      <c r="AI422" s="609"/>
      <c r="AJ422" s="609"/>
      <c r="AK422" s="609"/>
      <c r="AL422" s="609"/>
      <c r="AM422" s="609"/>
      <c r="AN422" s="609"/>
      <c r="AO422" s="609"/>
      <c r="AP422" s="609"/>
      <c r="AQ422" s="609"/>
    </row>
    <row r="423" spans="25:43" x14ac:dyDescent="0.4">
      <c r="Y423" s="609"/>
      <c r="Z423" s="609"/>
      <c r="AA423" s="609"/>
      <c r="AB423" s="609"/>
      <c r="AC423" s="609"/>
      <c r="AD423" s="609"/>
      <c r="AE423" s="609"/>
      <c r="AF423" s="609"/>
      <c r="AG423" s="609"/>
      <c r="AH423" s="609"/>
      <c r="AI423" s="609"/>
      <c r="AJ423" s="609"/>
      <c r="AK423" s="609"/>
      <c r="AL423" s="609"/>
      <c r="AM423" s="609"/>
      <c r="AN423" s="609"/>
      <c r="AO423" s="609"/>
      <c r="AP423" s="609"/>
      <c r="AQ423" s="609"/>
    </row>
    <row r="424" spans="25:43" x14ac:dyDescent="0.4">
      <c r="Y424" s="609"/>
      <c r="Z424" s="609"/>
      <c r="AA424" s="609"/>
      <c r="AB424" s="609"/>
      <c r="AC424" s="609"/>
      <c r="AD424" s="609"/>
      <c r="AE424" s="609"/>
      <c r="AF424" s="609"/>
      <c r="AG424" s="609"/>
      <c r="AH424" s="609"/>
      <c r="AI424" s="609"/>
      <c r="AJ424" s="609"/>
      <c r="AK424" s="609"/>
      <c r="AL424" s="609"/>
      <c r="AM424" s="609"/>
      <c r="AN424" s="609"/>
      <c r="AO424" s="609"/>
      <c r="AP424" s="609"/>
      <c r="AQ424" s="609"/>
    </row>
    <row r="425" spans="25:43" x14ac:dyDescent="0.4">
      <c r="Y425" s="609"/>
      <c r="Z425" s="609"/>
      <c r="AA425" s="609"/>
      <c r="AB425" s="609"/>
      <c r="AC425" s="609"/>
      <c r="AD425" s="609"/>
      <c r="AE425" s="609"/>
      <c r="AF425" s="609"/>
      <c r="AG425" s="609"/>
      <c r="AH425" s="609"/>
      <c r="AI425" s="609"/>
      <c r="AJ425" s="609"/>
      <c r="AK425" s="609"/>
      <c r="AL425" s="609"/>
      <c r="AM425" s="609"/>
      <c r="AN425" s="609"/>
      <c r="AO425" s="609"/>
      <c r="AP425" s="609"/>
      <c r="AQ425" s="609"/>
    </row>
    <row r="426" spans="25:43" x14ac:dyDescent="0.4">
      <c r="Y426" s="609"/>
      <c r="Z426" s="609"/>
      <c r="AA426" s="609"/>
      <c r="AB426" s="609"/>
      <c r="AC426" s="609"/>
      <c r="AD426" s="609"/>
      <c r="AE426" s="609"/>
      <c r="AF426" s="609"/>
      <c r="AG426" s="609"/>
      <c r="AH426" s="609"/>
      <c r="AI426" s="609"/>
      <c r="AJ426" s="609"/>
      <c r="AK426" s="609"/>
      <c r="AL426" s="609"/>
      <c r="AM426" s="609"/>
      <c r="AN426" s="609"/>
      <c r="AO426" s="609"/>
      <c r="AP426" s="609"/>
      <c r="AQ426" s="609"/>
    </row>
    <row r="427" spans="25:43" x14ac:dyDescent="0.4">
      <c r="Y427" s="609"/>
      <c r="Z427" s="609"/>
      <c r="AA427" s="609"/>
      <c r="AB427" s="609"/>
      <c r="AC427" s="609"/>
      <c r="AD427" s="609"/>
      <c r="AE427" s="609"/>
      <c r="AF427" s="609"/>
      <c r="AG427" s="609"/>
      <c r="AH427" s="609"/>
      <c r="AI427" s="609"/>
      <c r="AJ427" s="609"/>
      <c r="AK427" s="609"/>
      <c r="AL427" s="609"/>
      <c r="AM427" s="609"/>
      <c r="AN427" s="609"/>
      <c r="AO427" s="609"/>
      <c r="AP427" s="609"/>
      <c r="AQ427" s="609"/>
    </row>
    <row r="428" spans="25:43" x14ac:dyDescent="0.4">
      <c r="Y428" s="609"/>
      <c r="Z428" s="609"/>
      <c r="AA428" s="609"/>
      <c r="AB428" s="609"/>
      <c r="AC428" s="609"/>
      <c r="AD428" s="609"/>
      <c r="AE428" s="609"/>
      <c r="AF428" s="609"/>
      <c r="AG428" s="609"/>
      <c r="AH428" s="609"/>
      <c r="AI428" s="609"/>
      <c r="AJ428" s="609"/>
      <c r="AK428" s="609"/>
      <c r="AL428" s="609"/>
      <c r="AM428" s="609"/>
      <c r="AN428" s="609"/>
      <c r="AO428" s="609"/>
      <c r="AP428" s="609"/>
      <c r="AQ428" s="609"/>
    </row>
    <row r="429" spans="25:43" x14ac:dyDescent="0.4">
      <c r="Y429" s="609"/>
      <c r="Z429" s="609"/>
      <c r="AA429" s="609"/>
      <c r="AB429" s="609"/>
      <c r="AC429" s="609"/>
      <c r="AD429" s="609"/>
      <c r="AE429" s="609"/>
      <c r="AF429" s="609"/>
      <c r="AG429" s="609"/>
      <c r="AH429" s="609"/>
      <c r="AI429" s="609"/>
      <c r="AJ429" s="609"/>
      <c r="AK429" s="609"/>
      <c r="AL429" s="609"/>
      <c r="AM429" s="609"/>
      <c r="AN429" s="609"/>
      <c r="AO429" s="609"/>
      <c r="AP429" s="609"/>
      <c r="AQ429" s="609"/>
    </row>
    <row r="430" spans="25:43" x14ac:dyDescent="0.4">
      <c r="Y430" s="609"/>
      <c r="Z430" s="609"/>
      <c r="AA430" s="609"/>
      <c r="AB430" s="609"/>
      <c r="AC430" s="609"/>
      <c r="AD430" s="609"/>
      <c r="AE430" s="609"/>
      <c r="AF430" s="609"/>
      <c r="AG430" s="609"/>
      <c r="AH430" s="609"/>
      <c r="AI430" s="609"/>
      <c r="AJ430" s="609"/>
      <c r="AK430" s="609"/>
      <c r="AL430" s="609"/>
      <c r="AM430" s="609"/>
      <c r="AN430" s="609"/>
      <c r="AO430" s="609"/>
      <c r="AP430" s="609"/>
      <c r="AQ430" s="609"/>
    </row>
    <row r="431" spans="25:43" x14ac:dyDescent="0.4">
      <c r="Y431" s="609"/>
      <c r="Z431" s="609"/>
      <c r="AA431" s="609"/>
      <c r="AB431" s="609"/>
      <c r="AC431" s="609"/>
      <c r="AD431" s="609"/>
      <c r="AE431" s="609"/>
      <c r="AF431" s="609"/>
      <c r="AG431" s="609"/>
      <c r="AH431" s="609"/>
      <c r="AI431" s="609"/>
      <c r="AJ431" s="609"/>
      <c r="AK431" s="609"/>
      <c r="AL431" s="609"/>
      <c r="AM431" s="609"/>
      <c r="AN431" s="609"/>
      <c r="AO431" s="609"/>
      <c r="AP431" s="609"/>
      <c r="AQ431" s="609"/>
    </row>
    <row r="432" spans="25:43" x14ac:dyDescent="0.4">
      <c r="Y432" s="609"/>
      <c r="Z432" s="609"/>
      <c r="AA432" s="609"/>
      <c r="AB432" s="609"/>
      <c r="AC432" s="609"/>
      <c r="AD432" s="609"/>
      <c r="AE432" s="609"/>
      <c r="AF432" s="609"/>
      <c r="AG432" s="609"/>
      <c r="AH432" s="609"/>
      <c r="AI432" s="609"/>
      <c r="AJ432" s="609"/>
      <c r="AK432" s="609"/>
      <c r="AL432" s="609"/>
      <c r="AM432" s="609"/>
      <c r="AN432" s="609"/>
      <c r="AO432" s="609"/>
      <c r="AP432" s="609"/>
      <c r="AQ432" s="609"/>
    </row>
    <row r="433" spans="25:43" x14ac:dyDescent="0.4">
      <c r="Y433" s="609"/>
      <c r="Z433" s="609"/>
      <c r="AA433" s="609"/>
      <c r="AB433" s="609"/>
      <c r="AC433" s="609"/>
      <c r="AD433" s="609"/>
      <c r="AE433" s="609"/>
      <c r="AF433" s="609"/>
      <c r="AG433" s="609"/>
      <c r="AH433" s="609"/>
      <c r="AI433" s="609"/>
      <c r="AJ433" s="609"/>
      <c r="AK433" s="609"/>
      <c r="AL433" s="609"/>
      <c r="AM433" s="609"/>
      <c r="AN433" s="609"/>
      <c r="AO433" s="609"/>
      <c r="AP433" s="609"/>
      <c r="AQ433" s="609"/>
    </row>
    <row r="434" spans="25:43" x14ac:dyDescent="0.4">
      <c r="Y434" s="609"/>
      <c r="Z434" s="609"/>
      <c r="AA434" s="609"/>
      <c r="AB434" s="609"/>
      <c r="AC434" s="609"/>
      <c r="AD434" s="609"/>
      <c r="AE434" s="609"/>
      <c r="AF434" s="609"/>
      <c r="AG434" s="609"/>
      <c r="AH434" s="609"/>
      <c r="AI434" s="609"/>
      <c r="AJ434" s="609"/>
      <c r="AK434" s="609"/>
      <c r="AL434" s="609"/>
      <c r="AM434" s="609"/>
      <c r="AN434" s="609"/>
      <c r="AO434" s="609"/>
      <c r="AP434" s="609"/>
      <c r="AQ434" s="609"/>
    </row>
    <row r="435" spans="25:43" x14ac:dyDescent="0.4">
      <c r="Y435" s="609"/>
      <c r="Z435" s="609"/>
      <c r="AA435" s="609"/>
      <c r="AB435" s="609"/>
      <c r="AC435" s="609"/>
      <c r="AD435" s="609"/>
      <c r="AE435" s="609"/>
      <c r="AF435" s="609"/>
      <c r="AG435" s="609"/>
      <c r="AH435" s="609"/>
      <c r="AI435" s="609"/>
      <c r="AJ435" s="609"/>
      <c r="AK435" s="609"/>
      <c r="AL435" s="609"/>
      <c r="AM435" s="609"/>
      <c r="AN435" s="609"/>
      <c r="AO435" s="609"/>
      <c r="AP435" s="609"/>
      <c r="AQ435" s="609"/>
    </row>
    <row r="436" spans="25:43" x14ac:dyDescent="0.4">
      <c r="Y436" s="609"/>
      <c r="Z436" s="609"/>
      <c r="AA436" s="609"/>
      <c r="AB436" s="609"/>
      <c r="AC436" s="609"/>
      <c r="AD436" s="609"/>
      <c r="AE436" s="609"/>
      <c r="AF436" s="609"/>
      <c r="AG436" s="609"/>
      <c r="AH436" s="609"/>
      <c r="AI436" s="609"/>
      <c r="AJ436" s="609"/>
      <c r="AK436" s="609"/>
      <c r="AL436" s="609"/>
      <c r="AM436" s="609"/>
      <c r="AN436" s="609"/>
      <c r="AO436" s="609"/>
      <c r="AP436" s="609"/>
      <c r="AQ436" s="609"/>
    </row>
    <row r="437" spans="25:43" x14ac:dyDescent="0.4">
      <c r="Y437" s="609"/>
      <c r="Z437" s="609"/>
      <c r="AA437" s="609"/>
      <c r="AB437" s="609"/>
      <c r="AC437" s="609"/>
      <c r="AD437" s="609"/>
      <c r="AE437" s="609"/>
      <c r="AF437" s="609"/>
      <c r="AG437" s="609"/>
      <c r="AH437" s="609"/>
      <c r="AI437" s="609"/>
      <c r="AJ437" s="609"/>
      <c r="AK437" s="609"/>
      <c r="AL437" s="609"/>
      <c r="AM437" s="609"/>
      <c r="AN437" s="609"/>
      <c r="AO437" s="609"/>
      <c r="AP437" s="609"/>
      <c r="AQ437" s="609"/>
    </row>
    <row r="438" spans="25:43" x14ac:dyDescent="0.4">
      <c r="Y438" s="609"/>
      <c r="Z438" s="609"/>
      <c r="AA438" s="609"/>
      <c r="AB438" s="609"/>
      <c r="AC438" s="609"/>
      <c r="AD438" s="609"/>
      <c r="AE438" s="609"/>
      <c r="AF438" s="609"/>
      <c r="AG438" s="609"/>
      <c r="AH438" s="609"/>
      <c r="AI438" s="609"/>
      <c r="AJ438" s="609"/>
      <c r="AK438" s="609"/>
      <c r="AL438" s="609"/>
      <c r="AM438" s="609"/>
      <c r="AN438" s="609"/>
      <c r="AO438" s="609"/>
      <c r="AP438" s="609"/>
      <c r="AQ438" s="609"/>
    </row>
    <row r="439" spans="25:43" x14ac:dyDescent="0.4">
      <c r="Y439" s="609"/>
      <c r="Z439" s="609"/>
      <c r="AA439" s="609"/>
      <c r="AB439" s="609"/>
      <c r="AC439" s="609"/>
      <c r="AD439" s="609"/>
      <c r="AE439" s="609"/>
      <c r="AF439" s="609"/>
      <c r="AG439" s="609"/>
      <c r="AH439" s="609"/>
      <c r="AI439" s="609"/>
      <c r="AJ439" s="609"/>
      <c r="AK439" s="609"/>
      <c r="AL439" s="609"/>
      <c r="AM439" s="609"/>
      <c r="AN439" s="609"/>
      <c r="AO439" s="609"/>
      <c r="AP439" s="609"/>
      <c r="AQ439" s="609"/>
    </row>
    <row r="440" spans="25:43" x14ac:dyDescent="0.4">
      <c r="Y440" s="609"/>
      <c r="Z440" s="609"/>
      <c r="AA440" s="609"/>
      <c r="AB440" s="609"/>
      <c r="AC440" s="609"/>
      <c r="AD440" s="609"/>
      <c r="AE440" s="609"/>
      <c r="AF440" s="609"/>
      <c r="AG440" s="609"/>
      <c r="AH440" s="609"/>
      <c r="AI440" s="609"/>
      <c r="AJ440" s="609"/>
      <c r="AK440" s="609"/>
      <c r="AL440" s="609"/>
      <c r="AM440" s="609"/>
      <c r="AN440" s="609"/>
      <c r="AO440" s="609"/>
      <c r="AP440" s="609"/>
      <c r="AQ440" s="609"/>
    </row>
    <row r="441" spans="25:43" x14ac:dyDescent="0.4">
      <c r="Y441" s="609"/>
      <c r="Z441" s="609"/>
      <c r="AA441" s="609"/>
      <c r="AB441" s="609"/>
      <c r="AC441" s="609"/>
      <c r="AD441" s="609"/>
      <c r="AE441" s="609"/>
      <c r="AF441" s="609"/>
      <c r="AG441" s="609"/>
      <c r="AH441" s="609"/>
      <c r="AI441" s="609"/>
      <c r="AJ441" s="609"/>
      <c r="AK441" s="609"/>
      <c r="AL441" s="609"/>
      <c r="AM441" s="609"/>
      <c r="AN441" s="609"/>
      <c r="AO441" s="609"/>
      <c r="AP441" s="609"/>
      <c r="AQ441" s="609"/>
    </row>
    <row r="442" spans="25:43" x14ac:dyDescent="0.4">
      <c r="Y442" s="609"/>
      <c r="Z442" s="609"/>
      <c r="AA442" s="609"/>
      <c r="AB442" s="609"/>
      <c r="AC442" s="609"/>
      <c r="AD442" s="609"/>
      <c r="AE442" s="609"/>
      <c r="AF442" s="609"/>
      <c r="AG442" s="609"/>
      <c r="AH442" s="609"/>
      <c r="AI442" s="609"/>
      <c r="AJ442" s="609"/>
      <c r="AK442" s="609"/>
      <c r="AL442" s="609"/>
      <c r="AM442" s="609"/>
      <c r="AN442" s="609"/>
      <c r="AO442" s="609"/>
      <c r="AP442" s="609"/>
      <c r="AQ442" s="609"/>
    </row>
    <row r="443" spans="25:43" x14ac:dyDescent="0.4">
      <c r="Y443" s="609"/>
      <c r="Z443" s="609"/>
      <c r="AA443" s="609"/>
      <c r="AB443" s="609"/>
      <c r="AC443" s="609"/>
      <c r="AD443" s="609"/>
      <c r="AE443" s="609"/>
      <c r="AF443" s="609"/>
      <c r="AG443" s="609"/>
      <c r="AH443" s="609"/>
      <c r="AI443" s="609"/>
      <c r="AJ443" s="609"/>
      <c r="AK443" s="609"/>
      <c r="AL443" s="609"/>
      <c r="AM443" s="609"/>
      <c r="AN443" s="609"/>
      <c r="AO443" s="609"/>
      <c r="AP443" s="609"/>
      <c r="AQ443" s="609"/>
    </row>
    <row r="444" spans="25:43" x14ac:dyDescent="0.4">
      <c r="Y444" s="609"/>
      <c r="Z444" s="609"/>
      <c r="AA444" s="609"/>
      <c r="AB444" s="609"/>
      <c r="AC444" s="609"/>
      <c r="AD444" s="609"/>
      <c r="AE444" s="609"/>
      <c r="AF444" s="609"/>
      <c r="AG444" s="609"/>
      <c r="AH444" s="609"/>
      <c r="AI444" s="609"/>
      <c r="AJ444" s="609"/>
      <c r="AK444" s="609"/>
      <c r="AL444" s="609"/>
      <c r="AM444" s="609"/>
      <c r="AN444" s="609"/>
      <c r="AO444" s="609"/>
      <c r="AP444" s="609"/>
      <c r="AQ444" s="609"/>
    </row>
    <row r="445" spans="25:43" x14ac:dyDescent="0.4">
      <c r="Y445" s="609"/>
      <c r="Z445" s="609"/>
      <c r="AA445" s="609"/>
      <c r="AB445" s="609"/>
      <c r="AC445" s="609"/>
      <c r="AD445" s="609"/>
      <c r="AE445" s="609"/>
      <c r="AF445" s="609"/>
      <c r="AG445" s="609"/>
      <c r="AH445" s="609"/>
      <c r="AI445" s="609"/>
      <c r="AJ445" s="609"/>
      <c r="AK445" s="609"/>
      <c r="AL445" s="609"/>
      <c r="AM445" s="609"/>
      <c r="AN445" s="609"/>
      <c r="AO445" s="609"/>
      <c r="AP445" s="609"/>
      <c r="AQ445" s="609"/>
    </row>
    <row r="446" spans="25:43" x14ac:dyDescent="0.4">
      <c r="Y446" s="609"/>
      <c r="Z446" s="609"/>
      <c r="AA446" s="609"/>
      <c r="AB446" s="609"/>
      <c r="AC446" s="609"/>
      <c r="AD446" s="609"/>
      <c r="AE446" s="609"/>
      <c r="AF446" s="609"/>
      <c r="AG446" s="609"/>
      <c r="AH446" s="609"/>
      <c r="AI446" s="609"/>
      <c r="AJ446" s="609"/>
      <c r="AK446" s="609"/>
      <c r="AL446" s="609"/>
      <c r="AM446" s="609"/>
      <c r="AN446" s="609"/>
      <c r="AO446" s="609"/>
      <c r="AP446" s="609"/>
      <c r="AQ446" s="609"/>
    </row>
    <row r="447" spans="25:43" x14ac:dyDescent="0.4">
      <c r="Y447" s="609"/>
      <c r="Z447" s="609"/>
      <c r="AA447" s="609"/>
      <c r="AB447" s="609"/>
      <c r="AC447" s="609"/>
      <c r="AD447" s="609"/>
      <c r="AE447" s="609"/>
      <c r="AF447" s="609"/>
      <c r="AG447" s="609"/>
      <c r="AH447" s="609"/>
      <c r="AI447" s="609"/>
      <c r="AJ447" s="609"/>
      <c r="AK447" s="609"/>
      <c r="AL447" s="609"/>
      <c r="AM447" s="609"/>
      <c r="AN447" s="609"/>
      <c r="AO447" s="609"/>
      <c r="AP447" s="609"/>
      <c r="AQ447" s="609"/>
    </row>
    <row r="448" spans="25:43" x14ac:dyDescent="0.4">
      <c r="Y448" s="609"/>
      <c r="Z448" s="609"/>
      <c r="AA448" s="609"/>
      <c r="AB448" s="609"/>
      <c r="AC448" s="609"/>
      <c r="AD448" s="609"/>
      <c r="AE448" s="609"/>
      <c r="AF448" s="609"/>
      <c r="AG448" s="609"/>
      <c r="AH448" s="609"/>
      <c r="AI448" s="609"/>
      <c r="AJ448" s="609"/>
      <c r="AK448" s="609"/>
      <c r="AL448" s="609"/>
      <c r="AM448" s="609"/>
      <c r="AN448" s="609"/>
      <c r="AO448" s="609"/>
      <c r="AP448" s="609"/>
      <c r="AQ448" s="609"/>
    </row>
    <row r="449" spans="25:43" x14ac:dyDescent="0.4">
      <c r="Y449" s="609"/>
      <c r="Z449" s="609"/>
      <c r="AA449" s="609"/>
      <c r="AB449" s="609"/>
      <c r="AC449" s="609"/>
      <c r="AD449" s="609"/>
      <c r="AE449" s="609"/>
      <c r="AF449" s="609"/>
      <c r="AG449" s="609"/>
      <c r="AH449" s="609"/>
      <c r="AI449" s="609"/>
      <c r="AJ449" s="609"/>
      <c r="AK449" s="609"/>
      <c r="AL449" s="609"/>
      <c r="AM449" s="609"/>
      <c r="AN449" s="609"/>
      <c r="AO449" s="609"/>
      <c r="AP449" s="609"/>
      <c r="AQ449" s="609"/>
    </row>
    <row r="450" spans="25:43" x14ac:dyDescent="0.4">
      <c r="Y450" s="609"/>
      <c r="Z450" s="609"/>
      <c r="AA450" s="609"/>
      <c r="AB450" s="609"/>
      <c r="AC450" s="609"/>
      <c r="AD450" s="609"/>
      <c r="AE450" s="609"/>
      <c r="AF450" s="609"/>
      <c r="AG450" s="609"/>
      <c r="AH450" s="609"/>
      <c r="AI450" s="609"/>
      <c r="AJ450" s="609"/>
      <c r="AK450" s="609"/>
      <c r="AL450" s="609"/>
      <c r="AM450" s="609"/>
      <c r="AN450" s="609"/>
      <c r="AO450" s="609"/>
      <c r="AP450" s="609"/>
      <c r="AQ450" s="609"/>
    </row>
    <row r="451" spans="25:43" x14ac:dyDescent="0.4">
      <c r="Y451" s="609"/>
      <c r="Z451" s="609"/>
      <c r="AA451" s="609"/>
      <c r="AB451" s="609"/>
      <c r="AC451" s="609"/>
      <c r="AD451" s="609"/>
      <c r="AE451" s="609"/>
      <c r="AF451" s="609"/>
      <c r="AG451" s="609"/>
      <c r="AH451" s="609"/>
      <c r="AI451" s="609"/>
      <c r="AJ451" s="609"/>
      <c r="AK451" s="609"/>
      <c r="AL451" s="609"/>
      <c r="AM451" s="609"/>
      <c r="AN451" s="609"/>
      <c r="AO451" s="609"/>
      <c r="AP451" s="609"/>
      <c r="AQ451" s="609"/>
    </row>
    <row r="452" spans="25:43" x14ac:dyDescent="0.4">
      <c r="Y452" s="609"/>
      <c r="Z452" s="609"/>
      <c r="AA452" s="609"/>
      <c r="AB452" s="609"/>
      <c r="AC452" s="609"/>
      <c r="AD452" s="609"/>
      <c r="AE452" s="609"/>
      <c r="AF452" s="609"/>
      <c r="AG452" s="609"/>
      <c r="AH452" s="609"/>
      <c r="AI452" s="609"/>
      <c r="AJ452" s="609"/>
      <c r="AK452" s="609"/>
      <c r="AL452" s="609"/>
      <c r="AM452" s="609"/>
      <c r="AN452" s="609"/>
      <c r="AO452" s="609"/>
      <c r="AP452" s="609"/>
      <c r="AQ452" s="609"/>
    </row>
    <row r="453" spans="25:43" x14ac:dyDescent="0.4">
      <c r="Y453" s="609"/>
      <c r="Z453" s="609"/>
      <c r="AA453" s="609"/>
      <c r="AB453" s="609"/>
      <c r="AC453" s="609"/>
      <c r="AD453" s="609"/>
      <c r="AE453" s="609"/>
      <c r="AF453" s="609"/>
      <c r="AG453" s="609"/>
      <c r="AH453" s="609"/>
      <c r="AI453" s="609"/>
      <c r="AJ453" s="609"/>
      <c r="AK453" s="609"/>
      <c r="AL453" s="609"/>
      <c r="AM453" s="609"/>
      <c r="AN453" s="609"/>
      <c r="AO453" s="609"/>
      <c r="AP453" s="609"/>
      <c r="AQ453" s="609"/>
    </row>
    <row r="454" spans="25:43" x14ac:dyDescent="0.4">
      <c r="Y454" s="609"/>
      <c r="Z454" s="609"/>
      <c r="AA454" s="609"/>
      <c r="AB454" s="609"/>
      <c r="AC454" s="609"/>
      <c r="AD454" s="609"/>
      <c r="AE454" s="609"/>
      <c r="AF454" s="609"/>
      <c r="AG454" s="609"/>
      <c r="AH454" s="609"/>
      <c r="AI454" s="609"/>
      <c r="AJ454" s="609"/>
      <c r="AK454" s="609"/>
      <c r="AL454" s="609"/>
      <c r="AM454" s="609"/>
      <c r="AN454" s="609"/>
      <c r="AO454" s="609"/>
      <c r="AP454" s="609"/>
      <c r="AQ454" s="609"/>
    </row>
    <row r="455" spans="25:43" x14ac:dyDescent="0.4">
      <c r="Y455" s="609"/>
      <c r="Z455" s="609"/>
      <c r="AA455" s="609"/>
      <c r="AB455" s="609"/>
      <c r="AC455" s="609"/>
      <c r="AD455" s="609"/>
      <c r="AE455" s="609"/>
      <c r="AF455" s="609"/>
      <c r="AG455" s="609"/>
      <c r="AH455" s="609"/>
      <c r="AI455" s="609"/>
      <c r="AJ455" s="609"/>
      <c r="AK455" s="609"/>
      <c r="AL455" s="609"/>
      <c r="AM455" s="609"/>
      <c r="AN455" s="609"/>
      <c r="AO455" s="609"/>
      <c r="AP455" s="609"/>
      <c r="AQ455" s="609"/>
    </row>
    <row r="456" spans="25:43" x14ac:dyDescent="0.4">
      <c r="Y456" s="609"/>
      <c r="Z456" s="609"/>
      <c r="AA456" s="609"/>
      <c r="AB456" s="609"/>
      <c r="AC456" s="609"/>
      <c r="AD456" s="609"/>
      <c r="AE456" s="609"/>
      <c r="AF456" s="609"/>
      <c r="AG456" s="609"/>
      <c r="AH456" s="609"/>
      <c r="AI456" s="609"/>
      <c r="AJ456" s="609"/>
      <c r="AK456" s="609"/>
      <c r="AL456" s="609"/>
      <c r="AM456" s="609"/>
      <c r="AN456" s="609"/>
      <c r="AO456" s="609"/>
      <c r="AP456" s="609"/>
      <c r="AQ456" s="609"/>
    </row>
    <row r="457" spans="25:43" x14ac:dyDescent="0.4">
      <c r="Y457" s="609"/>
      <c r="Z457" s="609"/>
      <c r="AA457" s="609"/>
      <c r="AB457" s="609"/>
      <c r="AC457" s="609"/>
      <c r="AD457" s="609"/>
      <c r="AE457" s="609"/>
      <c r="AF457" s="609"/>
      <c r="AG457" s="609"/>
      <c r="AH457" s="609"/>
      <c r="AI457" s="609"/>
      <c r="AJ457" s="609"/>
      <c r="AK457" s="609"/>
      <c r="AL457" s="609"/>
      <c r="AM457" s="609"/>
      <c r="AN457" s="609"/>
      <c r="AO457" s="609"/>
      <c r="AP457" s="609"/>
      <c r="AQ457" s="609"/>
    </row>
    <row r="458" spans="25:43" x14ac:dyDescent="0.4">
      <c r="Y458" s="609"/>
      <c r="Z458" s="609"/>
      <c r="AA458" s="609"/>
      <c r="AB458" s="609"/>
      <c r="AC458" s="609"/>
      <c r="AD458" s="609"/>
      <c r="AE458" s="609"/>
      <c r="AF458" s="609"/>
      <c r="AG458" s="609"/>
      <c r="AH458" s="609"/>
      <c r="AI458" s="609"/>
      <c r="AJ458" s="609"/>
      <c r="AK458" s="609"/>
      <c r="AL458" s="609"/>
      <c r="AM458" s="609"/>
      <c r="AN458" s="609"/>
      <c r="AO458" s="609"/>
      <c r="AP458" s="609"/>
      <c r="AQ458" s="609"/>
    </row>
    <row r="459" spans="25:43" x14ac:dyDescent="0.4">
      <c r="Y459" s="609"/>
      <c r="Z459" s="609"/>
      <c r="AA459" s="609"/>
      <c r="AB459" s="609"/>
      <c r="AC459" s="609"/>
      <c r="AD459" s="609"/>
      <c r="AE459" s="609"/>
      <c r="AF459" s="609"/>
      <c r="AG459" s="609"/>
      <c r="AH459" s="609"/>
      <c r="AI459" s="609"/>
      <c r="AJ459" s="609"/>
      <c r="AK459" s="609"/>
      <c r="AL459" s="609"/>
      <c r="AM459" s="609"/>
      <c r="AN459" s="609"/>
      <c r="AO459" s="609"/>
      <c r="AP459" s="609"/>
      <c r="AQ459" s="609"/>
    </row>
    <row r="460" spans="25:43" x14ac:dyDescent="0.4">
      <c r="Y460" s="609"/>
      <c r="Z460" s="609"/>
      <c r="AA460" s="609"/>
      <c r="AB460" s="609"/>
      <c r="AC460" s="609"/>
      <c r="AD460" s="609"/>
      <c r="AE460" s="609"/>
      <c r="AF460" s="609"/>
      <c r="AG460" s="609"/>
      <c r="AH460" s="609"/>
      <c r="AI460" s="609"/>
      <c r="AJ460" s="609"/>
      <c r="AK460" s="609"/>
      <c r="AL460" s="609"/>
      <c r="AM460" s="609"/>
      <c r="AN460" s="609"/>
      <c r="AO460" s="609"/>
      <c r="AP460" s="609"/>
      <c r="AQ460" s="609"/>
    </row>
    <row r="461" spans="25:43" x14ac:dyDescent="0.4">
      <c r="Y461" s="609"/>
      <c r="Z461" s="609"/>
      <c r="AA461" s="609"/>
      <c r="AB461" s="609"/>
      <c r="AC461" s="609"/>
      <c r="AD461" s="609"/>
      <c r="AE461" s="609"/>
      <c r="AF461" s="609"/>
      <c r="AG461" s="609"/>
      <c r="AH461" s="609"/>
      <c r="AI461" s="609"/>
      <c r="AJ461" s="609"/>
      <c r="AK461" s="609"/>
      <c r="AL461" s="609"/>
      <c r="AM461" s="609"/>
      <c r="AN461" s="609"/>
      <c r="AO461" s="609"/>
      <c r="AP461" s="609"/>
      <c r="AQ461" s="609"/>
    </row>
    <row r="462" spans="25:43" x14ac:dyDescent="0.4">
      <c r="Y462" s="609"/>
      <c r="Z462" s="609"/>
      <c r="AA462" s="609"/>
      <c r="AB462" s="609"/>
      <c r="AC462" s="609"/>
      <c r="AD462" s="609"/>
      <c r="AE462" s="609"/>
      <c r="AF462" s="609"/>
      <c r="AG462" s="609"/>
      <c r="AH462" s="609"/>
      <c r="AI462" s="609"/>
      <c r="AJ462" s="609"/>
      <c r="AK462" s="609"/>
      <c r="AL462" s="609"/>
      <c r="AM462" s="609"/>
      <c r="AN462" s="609"/>
      <c r="AO462" s="609"/>
      <c r="AP462" s="609"/>
      <c r="AQ462" s="609"/>
    </row>
    <row r="463" spans="25:43" x14ac:dyDescent="0.4">
      <c r="Y463" s="609"/>
      <c r="Z463" s="609"/>
      <c r="AA463" s="609"/>
      <c r="AB463" s="609"/>
      <c r="AC463" s="609"/>
      <c r="AD463" s="609"/>
      <c r="AE463" s="609"/>
      <c r="AF463" s="609"/>
      <c r="AG463" s="609"/>
      <c r="AH463" s="609"/>
      <c r="AI463" s="609"/>
      <c r="AJ463" s="609"/>
      <c r="AK463" s="609"/>
      <c r="AL463" s="609"/>
      <c r="AM463" s="609"/>
      <c r="AN463" s="609"/>
      <c r="AO463" s="609"/>
      <c r="AP463" s="609"/>
      <c r="AQ463" s="609"/>
    </row>
    <row r="464" spans="25:43" x14ac:dyDescent="0.4">
      <c r="Y464" s="609"/>
      <c r="Z464" s="609"/>
      <c r="AA464" s="609"/>
      <c r="AB464" s="609"/>
      <c r="AC464" s="609"/>
      <c r="AD464" s="609"/>
      <c r="AE464" s="609"/>
      <c r="AF464" s="609"/>
      <c r="AG464" s="609"/>
      <c r="AH464" s="609"/>
      <c r="AI464" s="609"/>
      <c r="AJ464" s="609"/>
      <c r="AK464" s="609"/>
      <c r="AL464" s="609"/>
      <c r="AM464" s="609"/>
      <c r="AN464" s="609"/>
      <c r="AO464" s="609"/>
      <c r="AP464" s="609"/>
      <c r="AQ464" s="609"/>
    </row>
    <row r="465" spans="25:43" x14ac:dyDescent="0.4">
      <c r="Y465" s="609"/>
      <c r="Z465" s="609"/>
      <c r="AA465" s="609"/>
      <c r="AB465" s="609"/>
      <c r="AC465" s="609"/>
      <c r="AD465" s="609"/>
      <c r="AE465" s="609"/>
      <c r="AF465" s="609"/>
      <c r="AG465" s="609"/>
      <c r="AH465" s="609"/>
      <c r="AI465" s="609"/>
      <c r="AJ465" s="609"/>
      <c r="AK465" s="609"/>
      <c r="AL465" s="609"/>
      <c r="AM465" s="609"/>
      <c r="AN465" s="609"/>
      <c r="AO465" s="609"/>
      <c r="AP465" s="609"/>
      <c r="AQ465" s="609"/>
    </row>
    <row r="466" spans="25:43" x14ac:dyDescent="0.4">
      <c r="Y466" s="609"/>
      <c r="Z466" s="609"/>
      <c r="AA466" s="609"/>
      <c r="AB466" s="609"/>
      <c r="AC466" s="609"/>
      <c r="AD466" s="609"/>
      <c r="AE466" s="609"/>
      <c r="AF466" s="609"/>
      <c r="AG466" s="609"/>
      <c r="AH466" s="609"/>
      <c r="AI466" s="609"/>
      <c r="AJ466" s="609"/>
      <c r="AK466" s="609"/>
      <c r="AL466" s="609"/>
      <c r="AM466" s="609"/>
      <c r="AN466" s="609"/>
      <c r="AO466" s="609"/>
      <c r="AP466" s="609"/>
      <c r="AQ466" s="609"/>
    </row>
    <row r="467" spans="25:43" x14ac:dyDescent="0.4">
      <c r="Y467" s="609"/>
      <c r="Z467" s="609"/>
      <c r="AA467" s="609"/>
      <c r="AB467" s="609"/>
      <c r="AC467" s="609"/>
      <c r="AD467" s="609"/>
      <c r="AE467" s="609"/>
      <c r="AF467" s="609"/>
      <c r="AG467" s="609"/>
      <c r="AH467" s="609"/>
      <c r="AI467" s="609"/>
      <c r="AJ467" s="609"/>
      <c r="AK467" s="609"/>
      <c r="AL467" s="609"/>
      <c r="AM467" s="609"/>
      <c r="AN467" s="609"/>
      <c r="AO467" s="609"/>
      <c r="AP467" s="609"/>
      <c r="AQ467" s="609"/>
    </row>
    <row r="468" spans="25:43" x14ac:dyDescent="0.4">
      <c r="Y468" s="609"/>
      <c r="Z468" s="609"/>
      <c r="AA468" s="609"/>
      <c r="AB468" s="609"/>
      <c r="AC468" s="609"/>
      <c r="AD468" s="609"/>
      <c r="AE468" s="609"/>
      <c r="AF468" s="609"/>
      <c r="AG468" s="609"/>
      <c r="AH468" s="609"/>
      <c r="AI468" s="609"/>
      <c r="AJ468" s="609"/>
      <c r="AK468" s="609"/>
      <c r="AL468" s="609"/>
      <c r="AM468" s="609"/>
      <c r="AN468" s="609"/>
      <c r="AO468" s="609"/>
      <c r="AP468" s="609"/>
      <c r="AQ468" s="609"/>
    </row>
    <row r="469" spans="25:43" x14ac:dyDescent="0.4">
      <c r="Y469" s="609"/>
      <c r="Z469" s="609"/>
      <c r="AA469" s="609"/>
      <c r="AB469" s="609"/>
      <c r="AC469" s="609"/>
      <c r="AD469" s="609"/>
      <c r="AE469" s="609"/>
      <c r="AF469" s="609"/>
      <c r="AG469" s="609"/>
      <c r="AH469" s="609"/>
      <c r="AI469" s="609"/>
      <c r="AJ469" s="609"/>
      <c r="AK469" s="609"/>
      <c r="AL469" s="609"/>
      <c r="AM469" s="609"/>
      <c r="AN469" s="609"/>
      <c r="AO469" s="609"/>
      <c r="AP469" s="609"/>
      <c r="AQ469" s="609"/>
    </row>
    <row r="470" spans="25:43" x14ac:dyDescent="0.4">
      <c r="Y470" s="609"/>
      <c r="Z470" s="609"/>
      <c r="AA470" s="609"/>
      <c r="AB470" s="609"/>
      <c r="AC470" s="609"/>
      <c r="AD470" s="609"/>
      <c r="AE470" s="609"/>
      <c r="AF470" s="609"/>
      <c r="AG470" s="609"/>
      <c r="AH470" s="609"/>
      <c r="AI470" s="609"/>
      <c r="AJ470" s="609"/>
      <c r="AK470" s="609"/>
      <c r="AL470" s="609"/>
      <c r="AM470" s="609"/>
      <c r="AN470" s="609"/>
      <c r="AO470" s="609"/>
      <c r="AP470" s="609"/>
      <c r="AQ470" s="609"/>
    </row>
    <row r="471" spans="25:43" x14ac:dyDescent="0.4">
      <c r="Y471" s="609"/>
      <c r="Z471" s="609"/>
      <c r="AA471" s="609"/>
      <c r="AB471" s="609"/>
      <c r="AC471" s="609"/>
      <c r="AD471" s="609"/>
      <c r="AE471" s="609"/>
      <c r="AF471" s="609"/>
      <c r="AG471" s="609"/>
      <c r="AH471" s="609"/>
      <c r="AI471" s="609"/>
      <c r="AJ471" s="609"/>
      <c r="AK471" s="609"/>
      <c r="AL471" s="609"/>
      <c r="AM471" s="609"/>
      <c r="AN471" s="609"/>
      <c r="AO471" s="609"/>
      <c r="AP471" s="609"/>
      <c r="AQ471" s="609"/>
    </row>
    <row r="472" spans="25:43" x14ac:dyDescent="0.4">
      <c r="Y472" s="609"/>
      <c r="Z472" s="609"/>
      <c r="AA472" s="609"/>
      <c r="AB472" s="609"/>
      <c r="AC472" s="609"/>
      <c r="AD472" s="609"/>
      <c r="AE472" s="609"/>
      <c r="AF472" s="609"/>
      <c r="AG472" s="609"/>
      <c r="AH472" s="609"/>
      <c r="AI472" s="609"/>
      <c r="AJ472" s="609"/>
      <c r="AK472" s="609"/>
      <c r="AL472" s="609"/>
      <c r="AM472" s="609"/>
      <c r="AN472" s="609"/>
      <c r="AO472" s="609"/>
      <c r="AP472" s="609"/>
      <c r="AQ472" s="609"/>
    </row>
    <row r="473" spans="25:43" x14ac:dyDescent="0.4">
      <c r="Y473" s="609"/>
      <c r="Z473" s="609"/>
      <c r="AA473" s="609"/>
      <c r="AB473" s="609"/>
      <c r="AC473" s="609"/>
      <c r="AD473" s="609"/>
      <c r="AE473" s="609"/>
      <c r="AF473" s="609"/>
      <c r="AG473" s="609"/>
      <c r="AH473" s="609"/>
      <c r="AI473" s="609"/>
      <c r="AJ473" s="609"/>
      <c r="AK473" s="609"/>
      <c r="AL473" s="609"/>
      <c r="AM473" s="609"/>
      <c r="AN473" s="609"/>
      <c r="AO473" s="609"/>
      <c r="AP473" s="609"/>
      <c r="AQ473" s="609"/>
    </row>
    <row r="474" spans="25:43" x14ac:dyDescent="0.4">
      <c r="Y474" s="609"/>
      <c r="Z474" s="609"/>
      <c r="AA474" s="609"/>
      <c r="AB474" s="609"/>
      <c r="AC474" s="609"/>
      <c r="AD474" s="609"/>
      <c r="AE474" s="609"/>
      <c r="AF474" s="609"/>
      <c r="AG474" s="609"/>
      <c r="AH474" s="609"/>
      <c r="AI474" s="609"/>
      <c r="AJ474" s="609"/>
      <c r="AK474" s="609"/>
      <c r="AL474" s="609"/>
      <c r="AM474" s="609"/>
      <c r="AN474" s="609"/>
      <c r="AO474" s="609"/>
      <c r="AP474" s="609"/>
      <c r="AQ474" s="609"/>
    </row>
    <row r="475" spans="25:43" x14ac:dyDescent="0.4">
      <c r="Y475" s="609"/>
      <c r="Z475" s="609"/>
      <c r="AA475" s="609"/>
      <c r="AB475" s="609"/>
      <c r="AC475" s="609"/>
      <c r="AD475" s="609"/>
      <c r="AE475" s="609"/>
      <c r="AF475" s="609"/>
      <c r="AG475" s="609"/>
      <c r="AH475" s="609"/>
      <c r="AI475" s="609"/>
      <c r="AJ475" s="609"/>
      <c r="AK475" s="609"/>
      <c r="AL475" s="609"/>
      <c r="AM475" s="609"/>
      <c r="AN475" s="609"/>
      <c r="AO475" s="609"/>
      <c r="AP475" s="609"/>
      <c r="AQ475" s="609"/>
    </row>
    <row r="476" spans="25:43" x14ac:dyDescent="0.4">
      <c r="Y476" s="609"/>
      <c r="Z476" s="609"/>
      <c r="AA476" s="609"/>
      <c r="AB476" s="609"/>
      <c r="AC476" s="609"/>
      <c r="AD476" s="609"/>
      <c r="AE476" s="609"/>
      <c r="AF476" s="609"/>
      <c r="AG476" s="609"/>
      <c r="AH476" s="609"/>
      <c r="AI476" s="609"/>
      <c r="AJ476" s="609"/>
      <c r="AK476" s="609"/>
      <c r="AL476" s="609"/>
      <c r="AM476" s="609"/>
      <c r="AN476" s="609"/>
      <c r="AO476" s="609"/>
      <c r="AP476" s="609"/>
      <c r="AQ476" s="609"/>
    </row>
    <row r="477" spans="25:43" x14ac:dyDescent="0.4">
      <c r="Y477" s="609"/>
      <c r="Z477" s="609"/>
      <c r="AA477" s="609"/>
      <c r="AB477" s="609"/>
      <c r="AC477" s="609"/>
      <c r="AD477" s="609"/>
      <c r="AE477" s="609"/>
      <c r="AF477" s="609"/>
      <c r="AG477" s="609"/>
      <c r="AH477" s="609"/>
      <c r="AI477" s="609"/>
      <c r="AJ477" s="609"/>
      <c r="AK477" s="609"/>
      <c r="AL477" s="609"/>
      <c r="AM477" s="609"/>
      <c r="AN477" s="609"/>
      <c r="AO477" s="609"/>
      <c r="AP477" s="609"/>
      <c r="AQ477" s="609"/>
    </row>
    <row r="478" spans="25:43" x14ac:dyDescent="0.4">
      <c r="Y478" s="609"/>
      <c r="Z478" s="609"/>
      <c r="AA478" s="609"/>
      <c r="AB478" s="609"/>
      <c r="AC478" s="609"/>
      <c r="AD478" s="609"/>
      <c r="AE478" s="609"/>
      <c r="AF478" s="609"/>
      <c r="AG478" s="609"/>
      <c r="AH478" s="609"/>
      <c r="AI478" s="609"/>
      <c r="AJ478" s="609"/>
      <c r="AK478" s="609"/>
      <c r="AL478" s="609"/>
      <c r="AM478" s="609"/>
      <c r="AN478" s="609"/>
      <c r="AO478" s="609"/>
      <c r="AP478" s="609"/>
      <c r="AQ478" s="609"/>
    </row>
    <row r="479" spans="25:43" x14ac:dyDescent="0.4">
      <c r="Y479" s="609"/>
      <c r="Z479" s="609"/>
      <c r="AA479" s="609"/>
      <c r="AB479" s="609"/>
      <c r="AC479" s="609"/>
      <c r="AD479" s="609"/>
      <c r="AE479" s="609"/>
      <c r="AF479" s="609"/>
      <c r="AG479" s="609"/>
      <c r="AH479" s="609"/>
      <c r="AI479" s="609"/>
      <c r="AJ479" s="609"/>
      <c r="AK479" s="609"/>
      <c r="AL479" s="609"/>
      <c r="AM479" s="609"/>
      <c r="AN479" s="609"/>
      <c r="AO479" s="609"/>
      <c r="AP479" s="609"/>
      <c r="AQ479" s="609"/>
    </row>
    <row r="480" spans="25:43" x14ac:dyDescent="0.4">
      <c r="Y480" s="609"/>
      <c r="Z480" s="609"/>
      <c r="AA480" s="609"/>
      <c r="AB480" s="609"/>
      <c r="AC480" s="609"/>
      <c r="AD480" s="609"/>
      <c r="AE480" s="609"/>
      <c r="AF480" s="609"/>
      <c r="AG480" s="609"/>
      <c r="AH480" s="609"/>
      <c r="AI480" s="609"/>
      <c r="AJ480" s="609"/>
      <c r="AK480" s="609"/>
      <c r="AL480" s="609"/>
      <c r="AM480" s="609"/>
      <c r="AN480" s="609"/>
      <c r="AO480" s="609"/>
      <c r="AP480" s="609"/>
      <c r="AQ480" s="609"/>
    </row>
    <row r="481" spans="25:43" x14ac:dyDescent="0.4">
      <c r="Y481" s="609"/>
      <c r="Z481" s="609"/>
      <c r="AA481" s="609"/>
      <c r="AB481" s="609"/>
      <c r="AC481" s="609"/>
      <c r="AD481" s="609"/>
      <c r="AE481" s="609"/>
      <c r="AF481" s="609"/>
      <c r="AG481" s="609"/>
      <c r="AH481" s="609"/>
      <c r="AI481" s="609"/>
      <c r="AJ481" s="609"/>
      <c r="AK481" s="609"/>
      <c r="AL481" s="609"/>
      <c r="AM481" s="609"/>
      <c r="AN481" s="609"/>
      <c r="AO481" s="609"/>
      <c r="AP481" s="609"/>
      <c r="AQ481" s="609"/>
    </row>
    <row r="482" spans="25:43" x14ac:dyDescent="0.4">
      <c r="Y482" s="609"/>
      <c r="Z482" s="609"/>
      <c r="AA482" s="609"/>
      <c r="AB482" s="609"/>
      <c r="AC482" s="609"/>
      <c r="AD482" s="609"/>
      <c r="AE482" s="609"/>
      <c r="AF482" s="609"/>
      <c r="AG482" s="609"/>
      <c r="AH482" s="609"/>
      <c r="AI482" s="609"/>
      <c r="AJ482" s="609"/>
      <c r="AK482" s="609"/>
      <c r="AL482" s="609"/>
      <c r="AM482" s="609"/>
      <c r="AN482" s="609"/>
      <c r="AO482" s="609"/>
      <c r="AP482" s="609"/>
      <c r="AQ482" s="609"/>
    </row>
    <row r="483" spans="25:43" x14ac:dyDescent="0.4">
      <c r="Y483" s="609"/>
      <c r="Z483" s="609"/>
      <c r="AA483" s="609"/>
      <c r="AB483" s="609"/>
      <c r="AC483" s="609"/>
      <c r="AD483" s="609"/>
      <c r="AE483" s="609"/>
      <c r="AF483" s="609"/>
      <c r="AG483" s="609"/>
      <c r="AH483" s="609"/>
      <c r="AI483" s="609"/>
      <c r="AJ483" s="609"/>
      <c r="AK483" s="609"/>
      <c r="AL483" s="609"/>
      <c r="AM483" s="609"/>
      <c r="AN483" s="609"/>
      <c r="AO483" s="609"/>
      <c r="AP483" s="609"/>
      <c r="AQ483" s="609"/>
    </row>
    <row r="484" spans="25:43" x14ac:dyDescent="0.4">
      <c r="Y484" s="609"/>
      <c r="Z484" s="609"/>
      <c r="AA484" s="609"/>
      <c r="AB484" s="609"/>
      <c r="AC484" s="609"/>
      <c r="AD484" s="609"/>
      <c r="AE484" s="609"/>
      <c r="AF484" s="609"/>
      <c r="AG484" s="609"/>
      <c r="AH484" s="609"/>
      <c r="AI484" s="609"/>
      <c r="AJ484" s="609"/>
      <c r="AK484" s="609"/>
      <c r="AL484" s="609"/>
      <c r="AM484" s="609"/>
      <c r="AN484" s="609"/>
      <c r="AO484" s="609"/>
      <c r="AP484" s="609"/>
      <c r="AQ484" s="609"/>
    </row>
    <row r="485" spans="25:43" x14ac:dyDescent="0.4">
      <c r="Y485" s="609"/>
      <c r="Z485" s="609"/>
      <c r="AA485" s="609"/>
      <c r="AB485" s="609"/>
      <c r="AC485" s="609"/>
      <c r="AD485" s="609"/>
      <c r="AE485" s="609"/>
      <c r="AF485" s="609"/>
      <c r="AG485" s="609"/>
      <c r="AH485" s="609"/>
      <c r="AI485" s="609"/>
      <c r="AJ485" s="609"/>
      <c r="AK485" s="609"/>
      <c r="AL485" s="609"/>
      <c r="AM485" s="609"/>
      <c r="AN485" s="609"/>
      <c r="AO485" s="609"/>
      <c r="AP485" s="609"/>
      <c r="AQ485" s="609"/>
    </row>
    <row r="486" spans="25:43" x14ac:dyDescent="0.4">
      <c r="Y486" s="609"/>
      <c r="Z486" s="609"/>
      <c r="AA486" s="609"/>
      <c r="AB486" s="609"/>
      <c r="AC486" s="609"/>
      <c r="AD486" s="609"/>
      <c r="AE486" s="609"/>
      <c r="AF486" s="609"/>
      <c r="AG486" s="609"/>
      <c r="AH486" s="609"/>
      <c r="AI486" s="609"/>
      <c r="AJ486" s="609"/>
      <c r="AK486" s="609"/>
      <c r="AL486" s="609"/>
      <c r="AM486" s="609"/>
      <c r="AN486" s="609"/>
      <c r="AO486" s="609"/>
      <c r="AP486" s="609"/>
      <c r="AQ486" s="609"/>
    </row>
    <row r="487" spans="25:43" x14ac:dyDescent="0.4">
      <c r="Y487" s="609"/>
      <c r="Z487" s="609"/>
      <c r="AA487" s="609"/>
      <c r="AB487" s="609"/>
      <c r="AC487" s="609"/>
      <c r="AD487" s="609"/>
      <c r="AE487" s="609"/>
      <c r="AF487" s="609"/>
      <c r="AG487" s="609"/>
      <c r="AH487" s="609"/>
      <c r="AI487" s="609"/>
      <c r="AJ487" s="609"/>
      <c r="AK487" s="609"/>
      <c r="AL487" s="609"/>
      <c r="AM487" s="609"/>
      <c r="AN487" s="609"/>
      <c r="AO487" s="609"/>
      <c r="AP487" s="609"/>
      <c r="AQ487" s="609"/>
    </row>
    <row r="488" spans="25:43" x14ac:dyDescent="0.4">
      <c r="Y488" s="609"/>
      <c r="Z488" s="609"/>
      <c r="AA488" s="609"/>
      <c r="AB488" s="609"/>
      <c r="AC488" s="609"/>
      <c r="AD488" s="609"/>
      <c r="AE488" s="609"/>
      <c r="AF488" s="609"/>
      <c r="AG488" s="609"/>
      <c r="AH488" s="609"/>
      <c r="AI488" s="609"/>
      <c r="AJ488" s="609"/>
      <c r="AK488" s="609"/>
      <c r="AL488" s="609"/>
      <c r="AM488" s="609"/>
      <c r="AN488" s="609"/>
      <c r="AO488" s="609"/>
      <c r="AP488" s="609"/>
      <c r="AQ488" s="609"/>
    </row>
    <row r="489" spans="25:43" x14ac:dyDescent="0.4">
      <c r="Y489" s="609"/>
      <c r="Z489" s="609"/>
      <c r="AA489" s="609"/>
      <c r="AB489" s="609"/>
      <c r="AC489" s="609"/>
      <c r="AD489" s="609"/>
      <c r="AE489" s="609"/>
      <c r="AF489" s="609"/>
      <c r="AG489" s="609"/>
      <c r="AH489" s="609"/>
      <c r="AI489" s="609"/>
      <c r="AJ489" s="609"/>
      <c r="AK489" s="609"/>
      <c r="AL489" s="609"/>
      <c r="AM489" s="609"/>
      <c r="AN489" s="609"/>
      <c r="AO489" s="609"/>
      <c r="AP489" s="609"/>
      <c r="AQ489" s="609"/>
    </row>
    <row r="490" spans="25:43" x14ac:dyDescent="0.4">
      <c r="Y490" s="609"/>
      <c r="Z490" s="609"/>
      <c r="AA490" s="609"/>
      <c r="AB490" s="609"/>
      <c r="AC490" s="609"/>
      <c r="AD490" s="609"/>
      <c r="AE490" s="609"/>
      <c r="AF490" s="609"/>
      <c r="AG490" s="609"/>
      <c r="AH490" s="609"/>
      <c r="AI490" s="609"/>
      <c r="AJ490" s="609"/>
      <c r="AK490" s="609"/>
      <c r="AL490" s="609"/>
      <c r="AM490" s="609"/>
      <c r="AN490" s="609"/>
      <c r="AO490" s="609"/>
      <c r="AP490" s="609"/>
      <c r="AQ490" s="609"/>
    </row>
    <row r="491" spans="25:43" x14ac:dyDescent="0.4">
      <c r="Y491" s="609"/>
      <c r="Z491" s="609"/>
      <c r="AA491" s="609"/>
      <c r="AB491" s="609"/>
      <c r="AC491" s="609"/>
      <c r="AD491" s="609"/>
      <c r="AE491" s="609"/>
      <c r="AF491" s="609"/>
      <c r="AG491" s="609"/>
      <c r="AH491" s="609"/>
      <c r="AI491" s="609"/>
      <c r="AJ491" s="609"/>
      <c r="AK491" s="609"/>
      <c r="AL491" s="609"/>
      <c r="AM491" s="609"/>
      <c r="AN491" s="609"/>
      <c r="AO491" s="609"/>
      <c r="AP491" s="609"/>
      <c r="AQ491" s="609"/>
    </row>
    <row r="492" spans="25:43" x14ac:dyDescent="0.4">
      <c r="Y492" s="609"/>
      <c r="Z492" s="609"/>
      <c r="AA492" s="609"/>
      <c r="AB492" s="609"/>
      <c r="AC492" s="609"/>
      <c r="AD492" s="609"/>
      <c r="AE492" s="609"/>
      <c r="AF492" s="609"/>
      <c r="AG492" s="609"/>
      <c r="AH492" s="609"/>
      <c r="AI492" s="609"/>
      <c r="AJ492" s="609"/>
      <c r="AK492" s="609"/>
      <c r="AL492" s="609"/>
      <c r="AM492" s="609"/>
      <c r="AN492" s="609"/>
      <c r="AO492" s="609"/>
      <c r="AP492" s="609"/>
      <c r="AQ492" s="609"/>
    </row>
    <row r="493" spans="25:43" x14ac:dyDescent="0.4">
      <c r="Y493" s="609"/>
      <c r="Z493" s="609"/>
      <c r="AA493" s="609"/>
      <c r="AB493" s="609"/>
      <c r="AC493" s="609"/>
      <c r="AD493" s="609"/>
      <c r="AE493" s="609"/>
      <c r="AF493" s="609"/>
      <c r="AG493" s="609"/>
      <c r="AH493" s="609"/>
      <c r="AI493" s="609"/>
      <c r="AJ493" s="609"/>
      <c r="AK493" s="609"/>
      <c r="AL493" s="609"/>
      <c r="AM493" s="609"/>
      <c r="AN493" s="609"/>
      <c r="AO493" s="609"/>
      <c r="AP493" s="609"/>
      <c r="AQ493" s="609"/>
    </row>
    <row r="494" spans="25:43" x14ac:dyDescent="0.4">
      <c r="Y494" s="609"/>
      <c r="Z494" s="609"/>
      <c r="AA494" s="609"/>
      <c r="AB494" s="609"/>
      <c r="AC494" s="609"/>
      <c r="AD494" s="609"/>
      <c r="AE494" s="609"/>
      <c r="AF494" s="609"/>
      <c r="AG494" s="609"/>
      <c r="AH494" s="609"/>
      <c r="AI494" s="609"/>
      <c r="AJ494" s="609"/>
      <c r="AK494" s="609"/>
      <c r="AL494" s="609"/>
      <c r="AM494" s="609"/>
      <c r="AN494" s="609"/>
      <c r="AO494" s="609"/>
      <c r="AP494" s="609"/>
      <c r="AQ494" s="609"/>
    </row>
    <row r="495" spans="25:43" x14ac:dyDescent="0.4">
      <c r="Y495" s="609"/>
      <c r="Z495" s="609"/>
      <c r="AA495" s="609"/>
      <c r="AB495" s="609"/>
      <c r="AC495" s="609"/>
      <c r="AD495" s="609"/>
      <c r="AE495" s="609"/>
      <c r="AF495" s="609"/>
      <c r="AG495" s="609"/>
      <c r="AH495" s="609"/>
      <c r="AI495" s="609"/>
      <c r="AJ495" s="609"/>
      <c r="AK495" s="609"/>
      <c r="AL495" s="609"/>
      <c r="AM495" s="609"/>
      <c r="AN495" s="609"/>
      <c r="AO495" s="609"/>
      <c r="AP495" s="609"/>
      <c r="AQ495" s="609"/>
    </row>
    <row r="496" spans="25:43" x14ac:dyDescent="0.4">
      <c r="Y496" s="609"/>
      <c r="Z496" s="609"/>
      <c r="AA496" s="609"/>
      <c r="AB496" s="609"/>
      <c r="AC496" s="609"/>
      <c r="AD496" s="609"/>
      <c r="AE496" s="609"/>
      <c r="AF496" s="609"/>
      <c r="AG496" s="609"/>
      <c r="AH496" s="609"/>
      <c r="AI496" s="609"/>
      <c r="AJ496" s="609"/>
      <c r="AK496" s="609"/>
      <c r="AL496" s="609"/>
      <c r="AM496" s="609"/>
      <c r="AN496" s="609"/>
      <c r="AO496" s="609"/>
      <c r="AP496" s="609"/>
      <c r="AQ496" s="609"/>
    </row>
    <row r="497" spans="25:43" x14ac:dyDescent="0.4">
      <c r="Y497" s="609"/>
      <c r="Z497" s="609"/>
      <c r="AA497" s="609"/>
      <c r="AB497" s="609"/>
      <c r="AC497" s="609"/>
      <c r="AD497" s="609"/>
      <c r="AE497" s="609"/>
      <c r="AF497" s="609"/>
      <c r="AG497" s="609"/>
      <c r="AH497" s="609"/>
      <c r="AI497" s="609"/>
      <c r="AJ497" s="609"/>
      <c r="AK497" s="609"/>
      <c r="AL497" s="609"/>
      <c r="AM497" s="609"/>
      <c r="AN497" s="609"/>
      <c r="AO497" s="609"/>
      <c r="AP497" s="609"/>
      <c r="AQ497" s="609"/>
    </row>
    <row r="498" spans="25:43" x14ac:dyDescent="0.4">
      <c r="Y498" s="609"/>
      <c r="Z498" s="609"/>
      <c r="AA498" s="609"/>
      <c r="AB498" s="609"/>
      <c r="AC498" s="609"/>
      <c r="AD498" s="609"/>
      <c r="AE498" s="609"/>
      <c r="AF498" s="609"/>
      <c r="AG498" s="609"/>
      <c r="AH498" s="609"/>
      <c r="AI498" s="609"/>
      <c r="AJ498" s="609"/>
      <c r="AK498" s="609"/>
      <c r="AL498" s="609"/>
      <c r="AM498" s="609"/>
      <c r="AN498" s="609"/>
      <c r="AO498" s="609"/>
      <c r="AP498" s="609"/>
      <c r="AQ498" s="609"/>
    </row>
    <row r="499" spans="25:43" x14ac:dyDescent="0.4">
      <c r="Y499" s="609"/>
      <c r="Z499" s="609"/>
      <c r="AA499" s="609"/>
      <c r="AB499" s="609"/>
      <c r="AC499" s="609"/>
      <c r="AD499" s="609"/>
      <c r="AE499" s="609"/>
      <c r="AF499" s="609"/>
      <c r="AG499" s="609"/>
      <c r="AH499" s="609"/>
      <c r="AI499" s="609"/>
      <c r="AJ499" s="609"/>
      <c r="AK499" s="609"/>
      <c r="AL499" s="609"/>
      <c r="AM499" s="609"/>
      <c r="AN499" s="609"/>
      <c r="AO499" s="609"/>
      <c r="AP499" s="609"/>
      <c r="AQ499" s="609"/>
    </row>
    <row r="500" spans="25:43" x14ac:dyDescent="0.4">
      <c r="Y500" s="609"/>
      <c r="Z500" s="609"/>
      <c r="AA500" s="609"/>
      <c r="AB500" s="609"/>
      <c r="AC500" s="609"/>
      <c r="AD500" s="609"/>
      <c r="AE500" s="609"/>
      <c r="AF500" s="609"/>
      <c r="AG500" s="609"/>
      <c r="AH500" s="609"/>
      <c r="AI500" s="609"/>
      <c r="AJ500" s="609"/>
      <c r="AK500" s="609"/>
      <c r="AL500" s="609"/>
      <c r="AM500" s="609"/>
      <c r="AN500" s="609"/>
      <c r="AO500" s="609"/>
      <c r="AP500" s="609"/>
      <c r="AQ500" s="609"/>
    </row>
    <row r="501" spans="25:43" x14ac:dyDescent="0.4">
      <c r="Y501" s="609"/>
      <c r="Z501" s="609"/>
      <c r="AA501" s="609"/>
      <c r="AB501" s="609"/>
      <c r="AC501" s="609"/>
      <c r="AD501" s="609"/>
      <c r="AE501" s="609"/>
      <c r="AF501" s="609"/>
      <c r="AG501" s="609"/>
      <c r="AH501" s="609"/>
      <c r="AI501" s="609"/>
      <c r="AJ501" s="609"/>
      <c r="AK501" s="609"/>
      <c r="AL501" s="609"/>
      <c r="AM501" s="609"/>
      <c r="AN501" s="609"/>
      <c r="AO501" s="609"/>
      <c r="AP501" s="609"/>
      <c r="AQ501" s="609"/>
    </row>
    <row r="502" spans="25:43" x14ac:dyDescent="0.4">
      <c r="Y502" s="609"/>
      <c r="Z502" s="609"/>
      <c r="AA502" s="609"/>
      <c r="AB502" s="609"/>
      <c r="AC502" s="609"/>
      <c r="AD502" s="609"/>
      <c r="AE502" s="609"/>
      <c r="AF502" s="609"/>
      <c r="AG502" s="609"/>
      <c r="AH502" s="609"/>
      <c r="AI502" s="609"/>
      <c r="AJ502" s="609"/>
      <c r="AK502" s="609"/>
      <c r="AL502" s="609"/>
      <c r="AM502" s="609"/>
      <c r="AN502" s="609"/>
      <c r="AO502" s="609"/>
      <c r="AP502" s="609"/>
      <c r="AQ502" s="609"/>
    </row>
    <row r="503" spans="25:43" x14ac:dyDescent="0.4">
      <c r="Y503" s="609"/>
      <c r="Z503" s="609"/>
      <c r="AA503" s="609"/>
      <c r="AB503" s="609"/>
      <c r="AC503" s="609"/>
      <c r="AD503" s="609"/>
      <c r="AE503" s="609"/>
      <c r="AF503" s="609"/>
      <c r="AG503" s="609"/>
      <c r="AH503" s="609"/>
      <c r="AI503" s="609"/>
      <c r="AJ503" s="609"/>
      <c r="AK503" s="609"/>
      <c r="AL503" s="609"/>
      <c r="AM503" s="609"/>
      <c r="AN503" s="609"/>
      <c r="AO503" s="609"/>
      <c r="AP503" s="609"/>
      <c r="AQ503" s="609"/>
    </row>
    <row r="504" spans="25:43" x14ac:dyDescent="0.4">
      <c r="Y504" s="609"/>
      <c r="Z504" s="609"/>
      <c r="AA504" s="609"/>
      <c r="AB504" s="609"/>
      <c r="AC504" s="609"/>
      <c r="AD504" s="609"/>
      <c r="AE504" s="609"/>
      <c r="AF504" s="609"/>
      <c r="AG504" s="609"/>
      <c r="AH504" s="609"/>
      <c r="AI504" s="609"/>
      <c r="AJ504" s="609"/>
      <c r="AK504" s="609"/>
      <c r="AL504" s="609"/>
      <c r="AM504" s="609"/>
      <c r="AN504" s="609"/>
      <c r="AO504" s="609"/>
      <c r="AP504" s="609"/>
      <c r="AQ504" s="609"/>
    </row>
    <row r="505" spans="25:43" x14ac:dyDescent="0.4">
      <c r="Y505" s="609"/>
      <c r="Z505" s="609"/>
      <c r="AA505" s="609"/>
      <c r="AB505" s="609"/>
      <c r="AC505" s="609"/>
      <c r="AD505" s="609"/>
      <c r="AE505" s="609"/>
      <c r="AF505" s="609"/>
      <c r="AG505" s="609"/>
      <c r="AH505" s="609"/>
      <c r="AI505" s="609"/>
      <c r="AJ505" s="609"/>
      <c r="AK505" s="609"/>
      <c r="AL505" s="609"/>
      <c r="AM505" s="609"/>
      <c r="AN505" s="609"/>
      <c r="AO505" s="609"/>
      <c r="AP505" s="609"/>
      <c r="AQ505" s="609"/>
    </row>
    <row r="506" spans="25:43" x14ac:dyDescent="0.4">
      <c r="Y506" s="609"/>
      <c r="Z506" s="609"/>
      <c r="AA506" s="609"/>
      <c r="AB506" s="609"/>
      <c r="AC506" s="609"/>
      <c r="AD506" s="609"/>
      <c r="AE506" s="609"/>
      <c r="AF506" s="609"/>
      <c r="AG506" s="609"/>
      <c r="AH506" s="609"/>
      <c r="AI506" s="609"/>
      <c r="AJ506" s="609"/>
      <c r="AK506" s="609"/>
      <c r="AL506" s="609"/>
      <c r="AM506" s="609"/>
      <c r="AN506" s="609"/>
      <c r="AO506" s="609"/>
      <c r="AP506" s="609"/>
      <c r="AQ506" s="609"/>
    </row>
    <row r="507" spans="25:43" x14ac:dyDescent="0.4">
      <c r="Y507" s="609"/>
      <c r="Z507" s="609"/>
      <c r="AA507" s="609"/>
      <c r="AB507" s="609"/>
      <c r="AC507" s="609"/>
      <c r="AD507" s="609"/>
      <c r="AE507" s="609"/>
      <c r="AF507" s="609"/>
      <c r="AG507" s="609"/>
      <c r="AH507" s="609"/>
      <c r="AI507" s="609"/>
      <c r="AJ507" s="609"/>
      <c r="AK507" s="609"/>
      <c r="AL507" s="609"/>
      <c r="AM507" s="609"/>
      <c r="AN507" s="609"/>
      <c r="AO507" s="609"/>
      <c r="AP507" s="609"/>
      <c r="AQ507" s="609"/>
    </row>
    <row r="508" spans="25:43" x14ac:dyDescent="0.4">
      <c r="Y508" s="609"/>
      <c r="Z508" s="609"/>
      <c r="AA508" s="609"/>
      <c r="AB508" s="609"/>
      <c r="AC508" s="609"/>
      <c r="AD508" s="609"/>
      <c r="AE508" s="609"/>
      <c r="AF508" s="609"/>
      <c r="AG508" s="609"/>
      <c r="AH508" s="609"/>
      <c r="AI508" s="609"/>
      <c r="AJ508" s="609"/>
      <c r="AK508" s="609"/>
      <c r="AL508" s="609"/>
      <c r="AM508" s="609"/>
      <c r="AN508" s="609"/>
      <c r="AO508" s="609"/>
      <c r="AP508" s="609"/>
      <c r="AQ508" s="609"/>
    </row>
    <row r="509" spans="25:43" x14ac:dyDescent="0.4">
      <c r="Y509" s="609"/>
      <c r="Z509" s="609"/>
      <c r="AA509" s="609"/>
      <c r="AB509" s="609"/>
      <c r="AC509" s="609"/>
      <c r="AD509" s="609"/>
      <c r="AE509" s="609"/>
      <c r="AF509" s="609"/>
      <c r="AG509" s="609"/>
      <c r="AH509" s="609"/>
      <c r="AI509" s="609"/>
      <c r="AJ509" s="609"/>
      <c r="AK509" s="609"/>
      <c r="AL509" s="609"/>
      <c r="AM509" s="609"/>
      <c r="AN509" s="609"/>
      <c r="AO509" s="609"/>
      <c r="AP509" s="609"/>
      <c r="AQ509" s="609"/>
    </row>
    <row r="510" spans="25:43" x14ac:dyDescent="0.4">
      <c r="Y510" s="609"/>
      <c r="Z510" s="609"/>
      <c r="AA510" s="609"/>
      <c r="AB510" s="609"/>
      <c r="AC510" s="609"/>
      <c r="AD510" s="609"/>
      <c r="AE510" s="609"/>
      <c r="AF510" s="609"/>
      <c r="AG510" s="609"/>
      <c r="AH510" s="609"/>
      <c r="AI510" s="609"/>
      <c r="AJ510" s="609"/>
      <c r="AK510" s="609"/>
      <c r="AL510" s="609"/>
      <c r="AM510" s="609"/>
      <c r="AN510" s="609"/>
      <c r="AO510" s="609"/>
      <c r="AP510" s="609"/>
      <c r="AQ510" s="609"/>
    </row>
    <row r="511" spans="25:43" x14ac:dyDescent="0.4">
      <c r="Y511" s="609"/>
      <c r="Z511" s="609"/>
      <c r="AA511" s="609"/>
      <c r="AB511" s="609"/>
      <c r="AC511" s="609"/>
      <c r="AD511" s="609"/>
      <c r="AE511" s="609"/>
      <c r="AF511" s="609"/>
      <c r="AG511" s="609"/>
      <c r="AH511" s="609"/>
      <c r="AI511" s="609"/>
      <c r="AJ511" s="609"/>
      <c r="AK511" s="609"/>
      <c r="AL511" s="609"/>
      <c r="AM511" s="609"/>
      <c r="AN511" s="609"/>
      <c r="AO511" s="609"/>
      <c r="AP511" s="609"/>
      <c r="AQ511" s="609"/>
    </row>
    <row r="512" spans="25:43" x14ac:dyDescent="0.4">
      <c r="Y512" s="609"/>
      <c r="Z512" s="609"/>
      <c r="AA512" s="609"/>
      <c r="AB512" s="609"/>
      <c r="AC512" s="609"/>
      <c r="AD512" s="609"/>
      <c r="AE512" s="609"/>
      <c r="AF512" s="609"/>
      <c r="AG512" s="609"/>
      <c r="AH512" s="609"/>
      <c r="AI512" s="609"/>
      <c r="AJ512" s="609"/>
      <c r="AK512" s="609"/>
      <c r="AL512" s="609"/>
      <c r="AM512" s="609"/>
      <c r="AN512" s="609"/>
      <c r="AO512" s="609"/>
      <c r="AP512" s="609"/>
      <c r="AQ512" s="609"/>
    </row>
    <row r="513" spans="25:43" x14ac:dyDescent="0.4">
      <c r="Y513" s="609"/>
      <c r="Z513" s="609"/>
      <c r="AA513" s="609"/>
      <c r="AB513" s="609"/>
      <c r="AC513" s="609"/>
      <c r="AD513" s="609"/>
      <c r="AE513" s="609"/>
      <c r="AF513" s="609"/>
      <c r="AG513" s="609"/>
      <c r="AH513" s="609"/>
      <c r="AI513" s="609"/>
      <c r="AJ513" s="609"/>
      <c r="AK513" s="609"/>
      <c r="AL513" s="609"/>
      <c r="AM513" s="609"/>
      <c r="AN513" s="609"/>
      <c r="AO513" s="609"/>
      <c r="AP513" s="609"/>
      <c r="AQ513" s="609"/>
    </row>
    <row r="514" spans="25:43" x14ac:dyDescent="0.4">
      <c r="Y514" s="609"/>
      <c r="Z514" s="609"/>
      <c r="AA514" s="609"/>
      <c r="AB514" s="609"/>
      <c r="AC514" s="609"/>
      <c r="AD514" s="609"/>
      <c r="AE514" s="609"/>
      <c r="AF514" s="609"/>
      <c r="AG514" s="609"/>
      <c r="AH514" s="609"/>
      <c r="AI514" s="609"/>
      <c r="AJ514" s="609"/>
      <c r="AK514" s="609"/>
      <c r="AL514" s="609"/>
      <c r="AM514" s="609"/>
      <c r="AN514" s="609"/>
      <c r="AO514" s="609"/>
      <c r="AP514" s="609"/>
      <c r="AQ514" s="609"/>
    </row>
    <row r="515" spans="25:43" x14ac:dyDescent="0.4">
      <c r="Y515" s="609"/>
      <c r="Z515" s="609"/>
      <c r="AA515" s="609"/>
      <c r="AB515" s="609"/>
      <c r="AC515" s="609"/>
      <c r="AD515" s="609"/>
      <c r="AE515" s="609"/>
      <c r="AF515" s="609"/>
      <c r="AG515" s="609"/>
      <c r="AH515" s="609"/>
      <c r="AI515" s="609"/>
      <c r="AJ515" s="609"/>
      <c r="AK515" s="609"/>
      <c r="AL515" s="609"/>
      <c r="AM515" s="609"/>
      <c r="AN515" s="609"/>
      <c r="AO515" s="609"/>
      <c r="AP515" s="609"/>
      <c r="AQ515" s="609"/>
    </row>
    <row r="516" spans="25:43" x14ac:dyDescent="0.4">
      <c r="Y516" s="609"/>
      <c r="Z516" s="609"/>
      <c r="AA516" s="609"/>
      <c r="AB516" s="609"/>
      <c r="AC516" s="609"/>
      <c r="AD516" s="609"/>
      <c r="AE516" s="609"/>
      <c r="AF516" s="609"/>
      <c r="AG516" s="609"/>
      <c r="AH516" s="609"/>
      <c r="AI516" s="609"/>
      <c r="AJ516" s="609"/>
      <c r="AK516" s="609"/>
      <c r="AL516" s="609"/>
      <c r="AM516" s="609"/>
      <c r="AN516" s="609"/>
      <c r="AO516" s="609"/>
      <c r="AP516" s="609"/>
      <c r="AQ516" s="609"/>
    </row>
    <row r="517" spans="25:43" x14ac:dyDescent="0.4">
      <c r="Y517" s="609"/>
      <c r="Z517" s="609"/>
      <c r="AA517" s="609"/>
      <c r="AB517" s="609"/>
      <c r="AC517" s="609"/>
      <c r="AD517" s="609"/>
      <c r="AE517" s="609"/>
      <c r="AF517" s="609"/>
      <c r="AG517" s="609"/>
      <c r="AH517" s="609"/>
      <c r="AI517" s="609"/>
      <c r="AJ517" s="609"/>
      <c r="AK517" s="609"/>
      <c r="AL517" s="609"/>
      <c r="AM517" s="609"/>
      <c r="AN517" s="609"/>
      <c r="AO517" s="609"/>
      <c r="AP517" s="609"/>
      <c r="AQ517" s="609"/>
    </row>
    <row r="518" spans="25:43" x14ac:dyDescent="0.4">
      <c r="Y518" s="609"/>
      <c r="Z518" s="609"/>
      <c r="AA518" s="609"/>
      <c r="AB518" s="609"/>
      <c r="AC518" s="609"/>
      <c r="AD518" s="609"/>
      <c r="AE518" s="609"/>
      <c r="AF518" s="609"/>
      <c r="AG518" s="609"/>
      <c r="AH518" s="609"/>
      <c r="AI518" s="609"/>
      <c r="AJ518" s="609"/>
      <c r="AK518" s="609"/>
      <c r="AL518" s="609"/>
      <c r="AM518" s="609"/>
      <c r="AN518" s="609"/>
      <c r="AO518" s="609"/>
      <c r="AP518" s="609"/>
      <c r="AQ518" s="609"/>
    </row>
    <row r="519" spans="25:43" x14ac:dyDescent="0.4">
      <c r="Y519" s="609"/>
      <c r="Z519" s="609"/>
      <c r="AA519" s="609"/>
      <c r="AB519" s="609"/>
      <c r="AC519" s="609"/>
      <c r="AD519" s="609"/>
      <c r="AE519" s="609"/>
      <c r="AF519" s="609"/>
      <c r="AG519" s="609"/>
      <c r="AH519" s="609"/>
      <c r="AI519" s="609"/>
      <c r="AJ519" s="609"/>
      <c r="AK519" s="609"/>
      <c r="AL519" s="609"/>
      <c r="AM519" s="609"/>
      <c r="AN519" s="609"/>
      <c r="AO519" s="609"/>
      <c r="AP519" s="609"/>
      <c r="AQ519" s="609"/>
    </row>
    <row r="520" spans="25:43" x14ac:dyDescent="0.4">
      <c r="Y520" s="609"/>
      <c r="Z520" s="609"/>
      <c r="AA520" s="609"/>
      <c r="AB520" s="609"/>
      <c r="AC520" s="609"/>
      <c r="AD520" s="609"/>
      <c r="AE520" s="609"/>
      <c r="AF520" s="609"/>
      <c r="AG520" s="609"/>
      <c r="AH520" s="609"/>
      <c r="AI520" s="609"/>
      <c r="AJ520" s="609"/>
      <c r="AK520" s="609"/>
      <c r="AL520" s="609"/>
      <c r="AM520" s="609"/>
      <c r="AN520" s="609"/>
      <c r="AO520" s="609"/>
      <c r="AP520" s="609"/>
      <c r="AQ520" s="609"/>
    </row>
    <row r="521" spans="25:43" x14ac:dyDescent="0.4">
      <c r="Y521" s="609"/>
      <c r="Z521" s="609"/>
      <c r="AA521" s="609"/>
      <c r="AB521" s="609"/>
      <c r="AC521" s="609"/>
      <c r="AD521" s="609"/>
      <c r="AE521" s="609"/>
      <c r="AF521" s="609"/>
      <c r="AG521" s="609"/>
      <c r="AH521" s="609"/>
      <c r="AI521" s="609"/>
      <c r="AJ521" s="609"/>
      <c r="AK521" s="609"/>
      <c r="AL521" s="609"/>
      <c r="AM521" s="609"/>
      <c r="AN521" s="609"/>
      <c r="AO521" s="609"/>
      <c r="AP521" s="609"/>
      <c r="AQ521" s="609"/>
    </row>
    <row r="522" spans="25:43" x14ac:dyDescent="0.4">
      <c r="Y522" s="609"/>
      <c r="Z522" s="609"/>
      <c r="AA522" s="609"/>
      <c r="AB522" s="609"/>
      <c r="AC522" s="609"/>
      <c r="AD522" s="609"/>
      <c r="AE522" s="609"/>
      <c r="AF522" s="609"/>
      <c r="AG522" s="609"/>
      <c r="AH522" s="609"/>
      <c r="AI522" s="609"/>
      <c r="AJ522" s="609"/>
      <c r="AK522" s="609"/>
      <c r="AL522" s="609"/>
      <c r="AM522" s="609"/>
      <c r="AN522" s="609"/>
      <c r="AO522" s="609"/>
      <c r="AP522" s="609"/>
      <c r="AQ522" s="609"/>
    </row>
    <row r="523" spans="25:43" x14ac:dyDescent="0.4">
      <c r="Y523" s="609"/>
      <c r="Z523" s="609"/>
      <c r="AA523" s="609"/>
      <c r="AB523" s="609"/>
      <c r="AC523" s="609"/>
      <c r="AD523" s="609"/>
      <c r="AE523" s="609"/>
      <c r="AF523" s="609"/>
      <c r="AG523" s="609"/>
      <c r="AH523" s="609"/>
      <c r="AI523" s="609"/>
      <c r="AJ523" s="609"/>
      <c r="AK523" s="609"/>
      <c r="AL523" s="609"/>
      <c r="AM523" s="609"/>
      <c r="AN523" s="609"/>
      <c r="AO523" s="609"/>
      <c r="AP523" s="609"/>
      <c r="AQ523" s="609"/>
    </row>
    <row r="524" spans="25:43" x14ac:dyDescent="0.4">
      <c r="Y524" s="609"/>
      <c r="Z524" s="609"/>
      <c r="AA524" s="609"/>
      <c r="AB524" s="609"/>
      <c r="AC524" s="609"/>
      <c r="AD524" s="609"/>
      <c r="AE524" s="609"/>
      <c r="AF524" s="609"/>
      <c r="AG524" s="609"/>
      <c r="AH524" s="609"/>
      <c r="AI524" s="609"/>
      <c r="AJ524" s="609"/>
      <c r="AK524" s="609"/>
      <c r="AL524" s="609"/>
      <c r="AM524" s="609"/>
      <c r="AN524" s="609"/>
      <c r="AO524" s="609"/>
      <c r="AP524" s="609"/>
      <c r="AQ524" s="609"/>
    </row>
    <row r="525" spans="25:43" x14ac:dyDescent="0.4">
      <c r="Y525" s="609"/>
      <c r="Z525" s="609"/>
      <c r="AA525" s="609"/>
      <c r="AB525" s="609"/>
      <c r="AC525" s="609"/>
      <c r="AD525" s="609"/>
      <c r="AE525" s="609"/>
      <c r="AF525" s="609"/>
      <c r="AG525" s="609"/>
      <c r="AH525" s="609"/>
      <c r="AI525" s="609"/>
      <c r="AJ525" s="609"/>
      <c r="AK525" s="609"/>
      <c r="AL525" s="609"/>
      <c r="AM525" s="609"/>
      <c r="AN525" s="609"/>
      <c r="AO525" s="609"/>
      <c r="AP525" s="609"/>
      <c r="AQ525" s="609"/>
    </row>
    <row r="526" spans="25:43" x14ac:dyDescent="0.4">
      <c r="Y526" s="609"/>
      <c r="Z526" s="609"/>
      <c r="AA526" s="609"/>
      <c r="AB526" s="609"/>
      <c r="AC526" s="609"/>
      <c r="AD526" s="609"/>
      <c r="AE526" s="609"/>
      <c r="AF526" s="609"/>
      <c r="AG526" s="609"/>
      <c r="AH526" s="609"/>
      <c r="AI526" s="609"/>
      <c r="AJ526" s="609"/>
      <c r="AK526" s="609"/>
      <c r="AL526" s="609"/>
      <c r="AM526" s="609"/>
      <c r="AN526" s="609"/>
      <c r="AO526" s="609"/>
      <c r="AP526" s="609"/>
      <c r="AQ526" s="609"/>
    </row>
    <row r="527" spans="25:43" x14ac:dyDescent="0.4">
      <c r="Y527" s="609"/>
      <c r="Z527" s="609"/>
      <c r="AA527" s="609"/>
      <c r="AB527" s="609"/>
      <c r="AC527" s="609"/>
      <c r="AD527" s="609"/>
      <c r="AE527" s="609"/>
      <c r="AF527" s="609"/>
      <c r="AG527" s="609"/>
      <c r="AH527" s="609"/>
      <c r="AI527" s="609"/>
      <c r="AJ527" s="609"/>
      <c r="AK527" s="609"/>
      <c r="AL527" s="609"/>
      <c r="AM527" s="609"/>
      <c r="AN527" s="609"/>
      <c r="AO527" s="609"/>
      <c r="AP527" s="609"/>
      <c r="AQ527" s="609"/>
    </row>
    <row r="528" spans="25:43" x14ac:dyDescent="0.4">
      <c r="Y528" s="609"/>
      <c r="Z528" s="609"/>
      <c r="AA528" s="609"/>
      <c r="AB528" s="609"/>
      <c r="AC528" s="609"/>
      <c r="AD528" s="609"/>
      <c r="AE528" s="609"/>
      <c r="AF528" s="609"/>
      <c r="AG528" s="609"/>
      <c r="AH528" s="609"/>
      <c r="AI528" s="609"/>
      <c r="AJ528" s="609"/>
      <c r="AK528" s="609"/>
      <c r="AL528" s="609"/>
      <c r="AM528" s="609"/>
      <c r="AN528" s="609"/>
      <c r="AO528" s="609"/>
      <c r="AP528" s="609"/>
      <c r="AQ528" s="609"/>
    </row>
    <row r="529" spans="25:43" x14ac:dyDescent="0.4">
      <c r="Y529" s="609"/>
      <c r="Z529" s="609"/>
      <c r="AA529" s="609"/>
      <c r="AB529" s="609"/>
      <c r="AC529" s="609"/>
      <c r="AD529" s="609"/>
      <c r="AE529" s="609"/>
      <c r="AF529" s="609"/>
      <c r="AG529" s="609"/>
      <c r="AH529" s="609"/>
      <c r="AI529" s="609"/>
      <c r="AJ529" s="609"/>
      <c r="AK529" s="609"/>
      <c r="AL529" s="609"/>
      <c r="AM529" s="609"/>
      <c r="AN529" s="609"/>
      <c r="AO529" s="609"/>
      <c r="AP529" s="609"/>
      <c r="AQ529" s="609"/>
    </row>
    <row r="530" spans="25:43" x14ac:dyDescent="0.4">
      <c r="Y530" s="609"/>
      <c r="Z530" s="609"/>
      <c r="AA530" s="609"/>
      <c r="AB530" s="609"/>
      <c r="AC530" s="609"/>
      <c r="AD530" s="609"/>
      <c r="AE530" s="609"/>
      <c r="AF530" s="609"/>
      <c r="AG530" s="609"/>
      <c r="AH530" s="609"/>
      <c r="AI530" s="609"/>
      <c r="AJ530" s="609"/>
      <c r="AK530" s="609"/>
      <c r="AL530" s="609"/>
      <c r="AM530" s="609"/>
      <c r="AN530" s="609"/>
      <c r="AO530" s="609"/>
      <c r="AP530" s="609"/>
      <c r="AQ530" s="609"/>
    </row>
    <row r="531" spans="25:43" x14ac:dyDescent="0.4">
      <c r="Y531" s="609"/>
      <c r="Z531" s="609"/>
      <c r="AA531" s="609"/>
      <c r="AB531" s="609"/>
      <c r="AC531" s="609"/>
      <c r="AD531" s="609"/>
      <c r="AE531" s="609"/>
      <c r="AF531" s="609"/>
      <c r="AG531" s="609"/>
      <c r="AH531" s="609"/>
      <c r="AI531" s="609"/>
      <c r="AJ531" s="609"/>
      <c r="AK531" s="609"/>
      <c r="AL531" s="609"/>
      <c r="AM531" s="609"/>
      <c r="AN531" s="609"/>
      <c r="AO531" s="609"/>
      <c r="AP531" s="609"/>
      <c r="AQ531" s="609"/>
    </row>
    <row r="532" spans="25:43" x14ac:dyDescent="0.4">
      <c r="Y532" s="609"/>
      <c r="Z532" s="609"/>
      <c r="AA532" s="609"/>
      <c r="AB532" s="609"/>
      <c r="AC532" s="609"/>
      <c r="AD532" s="609"/>
      <c r="AE532" s="609"/>
      <c r="AF532" s="609"/>
      <c r="AG532" s="609"/>
      <c r="AH532" s="609"/>
      <c r="AI532" s="609"/>
      <c r="AJ532" s="609"/>
      <c r="AK532" s="609"/>
      <c r="AL532" s="609"/>
      <c r="AM532" s="609"/>
      <c r="AN532" s="609"/>
      <c r="AO532" s="609"/>
      <c r="AP532" s="609"/>
      <c r="AQ532" s="609"/>
    </row>
    <row r="533" spans="25:43" x14ac:dyDescent="0.4">
      <c r="Y533" s="609"/>
      <c r="Z533" s="609"/>
      <c r="AA533" s="609"/>
      <c r="AB533" s="609"/>
      <c r="AC533" s="609"/>
      <c r="AD533" s="609"/>
      <c r="AE533" s="609"/>
      <c r="AF533" s="609"/>
      <c r="AG533" s="609"/>
      <c r="AH533" s="609"/>
      <c r="AI533" s="609"/>
      <c r="AJ533" s="609"/>
      <c r="AK533" s="609"/>
      <c r="AL533" s="609"/>
      <c r="AM533" s="609"/>
      <c r="AN533" s="609"/>
      <c r="AO533" s="609"/>
      <c r="AP533" s="609"/>
      <c r="AQ533" s="609"/>
    </row>
    <row r="534" spans="25:43" x14ac:dyDescent="0.4">
      <c r="Y534" s="609"/>
      <c r="Z534" s="609"/>
      <c r="AA534" s="609"/>
      <c r="AB534" s="609"/>
      <c r="AC534" s="609"/>
      <c r="AD534" s="609"/>
      <c r="AE534" s="609"/>
      <c r="AF534" s="609"/>
      <c r="AG534" s="609"/>
      <c r="AH534" s="609"/>
      <c r="AI534" s="609"/>
      <c r="AJ534" s="609"/>
      <c r="AK534" s="609"/>
      <c r="AL534" s="609"/>
      <c r="AM534" s="609"/>
      <c r="AN534" s="609"/>
      <c r="AO534" s="609"/>
      <c r="AP534" s="609"/>
      <c r="AQ534" s="609"/>
    </row>
    <row r="535" spans="25:43" x14ac:dyDescent="0.4">
      <c r="Y535" s="609"/>
      <c r="Z535" s="609"/>
      <c r="AA535" s="609"/>
      <c r="AB535" s="609"/>
      <c r="AC535" s="609"/>
      <c r="AD535" s="609"/>
      <c r="AE535" s="609"/>
      <c r="AF535" s="609"/>
      <c r="AG535" s="609"/>
      <c r="AH535" s="609"/>
      <c r="AI535" s="609"/>
      <c r="AJ535" s="609"/>
      <c r="AK535" s="609"/>
      <c r="AL535" s="609"/>
      <c r="AM535" s="609"/>
      <c r="AN535" s="609"/>
      <c r="AO535" s="609"/>
      <c r="AP535" s="609"/>
      <c r="AQ535" s="609"/>
    </row>
    <row r="536" spans="25:43" x14ac:dyDescent="0.4">
      <c r="Y536" s="609"/>
      <c r="Z536" s="609"/>
      <c r="AA536" s="609"/>
      <c r="AB536" s="609"/>
      <c r="AC536" s="609"/>
      <c r="AD536" s="609"/>
      <c r="AE536" s="609"/>
      <c r="AF536" s="609"/>
      <c r="AG536" s="609"/>
      <c r="AH536" s="609"/>
      <c r="AI536" s="609"/>
      <c r="AJ536" s="609"/>
      <c r="AK536" s="609"/>
      <c r="AL536" s="609"/>
      <c r="AM536" s="609"/>
      <c r="AN536" s="609"/>
      <c r="AO536" s="609"/>
      <c r="AP536" s="609"/>
      <c r="AQ536" s="609"/>
    </row>
    <row r="537" spans="25:43" x14ac:dyDescent="0.4">
      <c r="Y537" s="609"/>
      <c r="Z537" s="609"/>
      <c r="AA537" s="609"/>
      <c r="AB537" s="609"/>
      <c r="AC537" s="609"/>
      <c r="AD537" s="609"/>
      <c r="AE537" s="609"/>
      <c r="AF537" s="609"/>
      <c r="AG537" s="609"/>
      <c r="AH537" s="609"/>
      <c r="AI537" s="609"/>
      <c r="AJ537" s="609"/>
      <c r="AK537" s="609"/>
      <c r="AL537" s="609"/>
      <c r="AM537" s="609"/>
      <c r="AN537" s="609"/>
      <c r="AO537" s="609"/>
      <c r="AP537" s="609"/>
      <c r="AQ537" s="609"/>
    </row>
    <row r="538" spans="25:43" x14ac:dyDescent="0.4">
      <c r="Y538" s="609"/>
      <c r="Z538" s="609"/>
      <c r="AA538" s="609"/>
      <c r="AB538" s="609"/>
      <c r="AC538" s="609"/>
      <c r="AD538" s="609"/>
      <c r="AE538" s="609"/>
      <c r="AF538" s="609"/>
      <c r="AG538" s="609"/>
      <c r="AH538" s="609"/>
      <c r="AI538" s="609"/>
      <c r="AJ538" s="609"/>
      <c r="AK538" s="609"/>
      <c r="AL538" s="609"/>
      <c r="AM538" s="609"/>
      <c r="AN538" s="609"/>
      <c r="AO538" s="609"/>
      <c r="AP538" s="609"/>
      <c r="AQ538" s="609"/>
    </row>
    <row r="539" spans="25:43" x14ac:dyDescent="0.4">
      <c r="Y539" s="609"/>
      <c r="Z539" s="609"/>
      <c r="AA539" s="609"/>
      <c r="AB539" s="609"/>
      <c r="AC539" s="609"/>
      <c r="AD539" s="609"/>
      <c r="AE539" s="609"/>
      <c r="AF539" s="609"/>
      <c r="AG539" s="609"/>
      <c r="AH539" s="609"/>
      <c r="AI539" s="609"/>
      <c r="AJ539" s="609"/>
      <c r="AK539" s="609"/>
      <c r="AL539" s="609"/>
      <c r="AM539" s="609"/>
      <c r="AN539" s="609"/>
      <c r="AO539" s="609"/>
      <c r="AP539" s="609"/>
      <c r="AQ539" s="609"/>
    </row>
    <row r="540" spans="25:43" x14ac:dyDescent="0.4">
      <c r="Y540" s="609"/>
      <c r="Z540" s="609"/>
      <c r="AA540" s="609"/>
      <c r="AB540" s="609"/>
      <c r="AC540" s="609"/>
      <c r="AD540" s="609"/>
      <c r="AE540" s="609"/>
      <c r="AF540" s="609"/>
      <c r="AG540" s="609"/>
      <c r="AH540" s="609"/>
      <c r="AI540" s="609"/>
      <c r="AJ540" s="609"/>
      <c r="AK540" s="609"/>
      <c r="AL540" s="609"/>
      <c r="AM540" s="609"/>
      <c r="AN540" s="609"/>
      <c r="AO540" s="609"/>
      <c r="AP540" s="609"/>
      <c r="AQ540" s="609"/>
    </row>
    <row r="541" spans="25:43" x14ac:dyDescent="0.4">
      <c r="Y541" s="609"/>
      <c r="Z541" s="609"/>
      <c r="AA541" s="609"/>
      <c r="AB541" s="609"/>
      <c r="AC541" s="609"/>
      <c r="AD541" s="609"/>
      <c r="AE541" s="609"/>
      <c r="AF541" s="609"/>
      <c r="AG541" s="609"/>
      <c r="AH541" s="609"/>
      <c r="AI541" s="609"/>
      <c r="AJ541" s="609"/>
      <c r="AK541" s="609"/>
      <c r="AL541" s="609"/>
      <c r="AM541" s="609"/>
      <c r="AN541" s="609"/>
      <c r="AO541" s="609"/>
      <c r="AP541" s="609"/>
      <c r="AQ541" s="609"/>
    </row>
    <row r="542" spans="25:43" x14ac:dyDescent="0.4">
      <c r="Y542" s="609"/>
      <c r="Z542" s="609"/>
      <c r="AA542" s="609"/>
      <c r="AB542" s="609"/>
      <c r="AC542" s="609"/>
      <c r="AD542" s="609"/>
      <c r="AE542" s="609"/>
      <c r="AF542" s="609"/>
      <c r="AG542" s="609"/>
      <c r="AH542" s="609"/>
      <c r="AI542" s="609"/>
      <c r="AJ542" s="609"/>
      <c r="AK542" s="609"/>
      <c r="AL542" s="609"/>
      <c r="AM542" s="609"/>
      <c r="AN542" s="609"/>
      <c r="AO542" s="609"/>
      <c r="AP542" s="609"/>
      <c r="AQ542" s="609"/>
    </row>
    <row r="543" spans="25:43" x14ac:dyDescent="0.4">
      <c r="Y543" s="609"/>
      <c r="Z543" s="609"/>
      <c r="AA543" s="609"/>
      <c r="AB543" s="609"/>
      <c r="AC543" s="609"/>
      <c r="AD543" s="609"/>
      <c r="AE543" s="609"/>
      <c r="AF543" s="609"/>
      <c r="AG543" s="609"/>
      <c r="AH543" s="609"/>
      <c r="AI543" s="609"/>
      <c r="AJ543" s="609"/>
      <c r="AK543" s="609"/>
      <c r="AL543" s="609"/>
      <c r="AM543" s="609"/>
      <c r="AN543" s="609"/>
      <c r="AO543" s="609"/>
      <c r="AP543" s="609"/>
      <c r="AQ543" s="609"/>
    </row>
    <row r="544" spans="25:43" x14ac:dyDescent="0.4">
      <c r="Y544" s="609"/>
      <c r="Z544" s="609"/>
      <c r="AA544" s="609"/>
      <c r="AB544" s="609"/>
      <c r="AC544" s="609"/>
      <c r="AD544" s="609"/>
      <c r="AE544" s="609"/>
      <c r="AF544" s="609"/>
      <c r="AG544" s="609"/>
      <c r="AH544" s="609"/>
      <c r="AI544" s="609"/>
      <c r="AJ544" s="609"/>
      <c r="AK544" s="609"/>
      <c r="AL544" s="609"/>
      <c r="AM544" s="609"/>
      <c r="AN544" s="609"/>
      <c r="AO544" s="609"/>
      <c r="AP544" s="609"/>
      <c r="AQ544" s="609"/>
    </row>
    <row r="545" spans="25:43" x14ac:dyDescent="0.4">
      <c r="Y545" s="609"/>
      <c r="Z545" s="609"/>
      <c r="AA545" s="609"/>
      <c r="AB545" s="609"/>
      <c r="AC545" s="609"/>
      <c r="AD545" s="609"/>
      <c r="AE545" s="609"/>
      <c r="AF545" s="609"/>
      <c r="AG545" s="609"/>
      <c r="AH545" s="609"/>
      <c r="AI545" s="609"/>
      <c r="AJ545" s="609"/>
      <c r="AK545" s="609"/>
      <c r="AL545" s="609"/>
      <c r="AM545" s="609"/>
      <c r="AN545" s="609"/>
      <c r="AO545" s="609"/>
      <c r="AP545" s="609"/>
      <c r="AQ545" s="609"/>
    </row>
    <row r="546" spans="25:43" x14ac:dyDescent="0.4">
      <c r="Y546" s="609"/>
      <c r="Z546" s="609"/>
      <c r="AA546" s="609"/>
      <c r="AB546" s="609"/>
      <c r="AC546" s="609"/>
      <c r="AD546" s="609"/>
      <c r="AE546" s="609"/>
      <c r="AF546" s="609"/>
      <c r="AG546" s="609"/>
      <c r="AH546" s="609"/>
      <c r="AI546" s="609"/>
      <c r="AJ546" s="609"/>
      <c r="AK546" s="609"/>
      <c r="AL546" s="609"/>
      <c r="AM546" s="609"/>
      <c r="AN546" s="609"/>
      <c r="AO546" s="609"/>
      <c r="AP546" s="609"/>
      <c r="AQ546" s="609"/>
    </row>
    <row r="547" spans="25:43" x14ac:dyDescent="0.4">
      <c r="Y547" s="609"/>
      <c r="Z547" s="609"/>
      <c r="AA547" s="609"/>
      <c r="AB547" s="609"/>
      <c r="AC547" s="609"/>
      <c r="AD547" s="609"/>
      <c r="AE547" s="609"/>
      <c r="AF547" s="609"/>
      <c r="AG547" s="609"/>
      <c r="AH547" s="609"/>
      <c r="AI547" s="609"/>
      <c r="AJ547" s="609"/>
      <c r="AK547" s="609"/>
      <c r="AL547" s="609"/>
      <c r="AM547" s="609"/>
      <c r="AN547" s="609"/>
      <c r="AO547" s="609"/>
      <c r="AP547" s="609"/>
      <c r="AQ547" s="609"/>
    </row>
    <row r="548" spans="25:43" x14ac:dyDescent="0.4">
      <c r="Y548" s="609"/>
      <c r="Z548" s="609"/>
      <c r="AA548" s="609"/>
      <c r="AB548" s="609"/>
      <c r="AC548" s="609"/>
      <c r="AD548" s="609"/>
      <c r="AE548" s="609"/>
      <c r="AF548" s="609"/>
      <c r="AG548" s="609"/>
      <c r="AH548" s="609"/>
      <c r="AI548" s="609"/>
      <c r="AJ548" s="609"/>
      <c r="AK548" s="609"/>
      <c r="AL548" s="609"/>
      <c r="AM548" s="609"/>
      <c r="AN548" s="609"/>
      <c r="AO548" s="609"/>
      <c r="AP548" s="609"/>
      <c r="AQ548" s="609"/>
    </row>
    <row r="549" spans="25:43" x14ac:dyDescent="0.4">
      <c r="Y549" s="609"/>
      <c r="Z549" s="609"/>
      <c r="AA549" s="609"/>
      <c r="AB549" s="609"/>
      <c r="AC549" s="609"/>
      <c r="AD549" s="609"/>
      <c r="AE549" s="609"/>
      <c r="AF549" s="609"/>
      <c r="AG549" s="609"/>
      <c r="AH549" s="609"/>
      <c r="AI549" s="609"/>
      <c r="AJ549" s="609"/>
      <c r="AK549" s="609"/>
      <c r="AL549" s="609"/>
      <c r="AM549" s="609"/>
      <c r="AN549" s="609"/>
      <c r="AO549" s="609"/>
      <c r="AP549" s="609"/>
      <c r="AQ549" s="609"/>
    </row>
    <row r="550" spans="25:43" x14ac:dyDescent="0.4">
      <c r="Y550" s="609"/>
      <c r="Z550" s="609"/>
      <c r="AA550" s="609"/>
      <c r="AB550" s="609"/>
      <c r="AC550" s="609"/>
      <c r="AD550" s="609"/>
      <c r="AE550" s="609"/>
      <c r="AF550" s="609"/>
      <c r="AG550" s="609"/>
      <c r="AH550" s="609"/>
      <c r="AI550" s="609"/>
      <c r="AJ550" s="609"/>
      <c r="AK550" s="609"/>
      <c r="AL550" s="609"/>
      <c r="AM550" s="609"/>
      <c r="AN550" s="609"/>
      <c r="AO550" s="609"/>
      <c r="AP550" s="609"/>
      <c r="AQ550" s="609"/>
    </row>
    <row r="551" spans="25:43" x14ac:dyDescent="0.4">
      <c r="Y551" s="609"/>
      <c r="Z551" s="609"/>
      <c r="AA551" s="609"/>
      <c r="AB551" s="609"/>
      <c r="AC551" s="609"/>
      <c r="AD551" s="609"/>
      <c r="AE551" s="609"/>
      <c r="AF551" s="609"/>
      <c r="AG551" s="609"/>
      <c r="AH551" s="609"/>
      <c r="AI551" s="609"/>
      <c r="AJ551" s="609"/>
      <c r="AK551" s="609"/>
      <c r="AL551" s="609"/>
      <c r="AM551" s="609"/>
      <c r="AN551" s="609"/>
      <c r="AO551" s="609"/>
      <c r="AP551" s="609"/>
      <c r="AQ551" s="609"/>
    </row>
    <row r="552" spans="25:43" x14ac:dyDescent="0.4">
      <c r="Y552" s="609"/>
      <c r="Z552" s="609"/>
      <c r="AA552" s="609"/>
      <c r="AB552" s="609"/>
      <c r="AC552" s="609"/>
      <c r="AD552" s="609"/>
      <c r="AE552" s="609"/>
      <c r="AF552" s="609"/>
      <c r="AG552" s="609"/>
      <c r="AH552" s="609"/>
      <c r="AI552" s="609"/>
      <c r="AJ552" s="609"/>
      <c r="AK552" s="609"/>
      <c r="AL552" s="609"/>
      <c r="AM552" s="609"/>
      <c r="AN552" s="609"/>
      <c r="AO552" s="609"/>
      <c r="AP552" s="609"/>
      <c r="AQ552" s="609"/>
    </row>
    <row r="553" spans="25:43" x14ac:dyDescent="0.4">
      <c r="Y553" s="609"/>
      <c r="Z553" s="609"/>
      <c r="AA553" s="609"/>
      <c r="AB553" s="609"/>
      <c r="AC553" s="609"/>
      <c r="AD553" s="609"/>
      <c r="AE553" s="609"/>
      <c r="AF553" s="609"/>
      <c r="AG553" s="609"/>
      <c r="AH553" s="609"/>
      <c r="AI553" s="609"/>
      <c r="AJ553" s="609"/>
      <c r="AK553" s="609"/>
      <c r="AL553" s="609"/>
      <c r="AM553" s="609"/>
      <c r="AN553" s="609"/>
      <c r="AO553" s="609"/>
      <c r="AP553" s="609"/>
      <c r="AQ553" s="609"/>
    </row>
    <row r="554" spans="25:43" x14ac:dyDescent="0.4">
      <c r="Y554" s="609"/>
      <c r="Z554" s="609"/>
      <c r="AA554" s="609"/>
      <c r="AB554" s="609"/>
      <c r="AC554" s="609"/>
      <c r="AD554" s="609"/>
      <c r="AE554" s="609"/>
      <c r="AF554" s="609"/>
      <c r="AG554" s="609"/>
      <c r="AH554" s="609"/>
      <c r="AI554" s="609"/>
      <c r="AJ554" s="609"/>
      <c r="AK554" s="609"/>
      <c r="AL554" s="609"/>
      <c r="AM554" s="609"/>
      <c r="AN554" s="609"/>
      <c r="AO554" s="609"/>
      <c r="AP554" s="609"/>
      <c r="AQ554" s="609"/>
    </row>
    <row r="555" spans="25:43" x14ac:dyDescent="0.4">
      <c r="Y555" s="609"/>
      <c r="Z555" s="609"/>
      <c r="AA555" s="609"/>
      <c r="AB555" s="609"/>
      <c r="AC555" s="609"/>
      <c r="AD555" s="609"/>
      <c r="AE555" s="609"/>
      <c r="AF555" s="609"/>
      <c r="AG555" s="609"/>
      <c r="AH555" s="609"/>
      <c r="AI555" s="609"/>
      <c r="AJ555" s="609"/>
      <c r="AK555" s="609"/>
      <c r="AL555" s="609"/>
      <c r="AM555" s="609"/>
      <c r="AN555" s="609"/>
      <c r="AO555" s="609"/>
      <c r="AP555" s="609"/>
      <c r="AQ555" s="609"/>
    </row>
    <row r="556" spans="25:43" x14ac:dyDescent="0.4">
      <c r="Y556" s="609"/>
      <c r="Z556" s="609"/>
      <c r="AA556" s="609"/>
      <c r="AB556" s="609"/>
      <c r="AC556" s="609"/>
      <c r="AD556" s="609"/>
      <c r="AE556" s="609"/>
      <c r="AF556" s="609"/>
      <c r="AG556" s="609"/>
      <c r="AH556" s="609"/>
      <c r="AI556" s="609"/>
      <c r="AJ556" s="609"/>
      <c r="AK556" s="609"/>
      <c r="AL556" s="609"/>
      <c r="AM556" s="609"/>
      <c r="AN556" s="609"/>
      <c r="AO556" s="609"/>
      <c r="AP556" s="609"/>
      <c r="AQ556" s="609"/>
    </row>
    <row r="557" spans="25:43" x14ac:dyDescent="0.4">
      <c r="Y557" s="609"/>
      <c r="Z557" s="609"/>
      <c r="AA557" s="609"/>
      <c r="AB557" s="609"/>
      <c r="AC557" s="609"/>
      <c r="AD557" s="609"/>
      <c r="AE557" s="609"/>
      <c r="AF557" s="609"/>
      <c r="AG557" s="609"/>
      <c r="AH557" s="609"/>
      <c r="AI557" s="609"/>
      <c r="AJ557" s="609"/>
      <c r="AK557" s="609"/>
      <c r="AL557" s="609"/>
      <c r="AM557" s="609"/>
      <c r="AN557" s="609"/>
      <c r="AO557" s="609"/>
      <c r="AP557" s="609"/>
      <c r="AQ557" s="609"/>
    </row>
    <row r="558" spans="25:43" x14ac:dyDescent="0.4">
      <c r="Y558" s="609"/>
      <c r="Z558" s="609"/>
      <c r="AA558" s="609"/>
      <c r="AB558" s="609"/>
      <c r="AC558" s="609"/>
      <c r="AD558" s="609"/>
      <c r="AE558" s="609"/>
      <c r="AF558" s="609"/>
      <c r="AG558" s="609"/>
      <c r="AH558" s="609"/>
      <c r="AI558" s="609"/>
      <c r="AJ558" s="609"/>
      <c r="AK558" s="609"/>
      <c r="AL558" s="609"/>
      <c r="AM558" s="609"/>
      <c r="AN558" s="609"/>
      <c r="AO558" s="609"/>
      <c r="AP558" s="609"/>
      <c r="AQ558" s="609"/>
    </row>
    <row r="559" spans="25:43" x14ac:dyDescent="0.4">
      <c r="Y559" s="609"/>
      <c r="Z559" s="609"/>
      <c r="AA559" s="609"/>
      <c r="AB559" s="609"/>
      <c r="AC559" s="609"/>
      <c r="AD559" s="609"/>
      <c r="AE559" s="609"/>
      <c r="AF559" s="609"/>
      <c r="AG559" s="609"/>
      <c r="AH559" s="609"/>
      <c r="AI559" s="609"/>
      <c r="AJ559" s="609"/>
      <c r="AK559" s="609"/>
      <c r="AL559" s="609"/>
      <c r="AM559" s="609"/>
      <c r="AN559" s="609"/>
      <c r="AO559" s="609"/>
      <c r="AP559" s="609"/>
      <c r="AQ559" s="609"/>
    </row>
    <row r="560" spans="25:43" x14ac:dyDescent="0.4">
      <c r="Y560" s="609"/>
      <c r="Z560" s="609"/>
      <c r="AA560" s="609"/>
      <c r="AB560" s="609"/>
      <c r="AC560" s="609"/>
      <c r="AD560" s="609"/>
      <c r="AE560" s="609"/>
      <c r="AF560" s="609"/>
      <c r="AG560" s="609"/>
      <c r="AH560" s="609"/>
      <c r="AI560" s="609"/>
      <c r="AJ560" s="609"/>
      <c r="AK560" s="609"/>
      <c r="AL560" s="609"/>
      <c r="AM560" s="609"/>
      <c r="AN560" s="609"/>
      <c r="AO560" s="609"/>
      <c r="AP560" s="609"/>
      <c r="AQ560" s="609"/>
    </row>
    <row r="561" spans="25:43" x14ac:dyDescent="0.4">
      <c r="Y561" s="609"/>
      <c r="Z561" s="609"/>
      <c r="AA561" s="609"/>
      <c r="AB561" s="609"/>
      <c r="AC561" s="609"/>
      <c r="AD561" s="609"/>
      <c r="AE561" s="609"/>
      <c r="AF561" s="609"/>
      <c r="AG561" s="609"/>
      <c r="AH561" s="609"/>
      <c r="AI561" s="609"/>
      <c r="AJ561" s="609"/>
      <c r="AK561" s="609"/>
      <c r="AL561" s="609"/>
      <c r="AM561" s="609"/>
      <c r="AN561" s="609"/>
      <c r="AO561" s="609"/>
      <c r="AP561" s="609"/>
      <c r="AQ561" s="609"/>
    </row>
    <row r="562" spans="25:43" x14ac:dyDescent="0.4">
      <c r="Y562" s="609"/>
      <c r="Z562" s="609"/>
      <c r="AA562" s="609"/>
      <c r="AB562" s="609"/>
      <c r="AC562" s="609"/>
      <c r="AD562" s="609"/>
      <c r="AE562" s="609"/>
      <c r="AF562" s="609"/>
      <c r="AG562" s="609"/>
      <c r="AH562" s="609"/>
      <c r="AI562" s="609"/>
      <c r="AJ562" s="609"/>
      <c r="AK562" s="609"/>
      <c r="AL562" s="609"/>
      <c r="AM562" s="609"/>
      <c r="AN562" s="609"/>
      <c r="AO562" s="609"/>
      <c r="AP562" s="609"/>
      <c r="AQ562" s="609"/>
    </row>
    <row r="563" spans="25:43" x14ac:dyDescent="0.4">
      <c r="Y563" s="609"/>
      <c r="Z563" s="609"/>
      <c r="AA563" s="609"/>
      <c r="AB563" s="609"/>
      <c r="AC563" s="609"/>
      <c r="AD563" s="609"/>
      <c r="AE563" s="609"/>
      <c r="AF563" s="609"/>
      <c r="AG563" s="609"/>
      <c r="AH563" s="609"/>
      <c r="AI563" s="609"/>
      <c r="AJ563" s="609"/>
      <c r="AK563" s="609"/>
      <c r="AL563" s="609"/>
      <c r="AM563" s="609"/>
      <c r="AN563" s="609"/>
      <c r="AO563" s="609"/>
      <c r="AP563" s="609"/>
      <c r="AQ563" s="609"/>
    </row>
    <row r="564" spans="25:43" x14ac:dyDescent="0.4">
      <c r="Y564" s="609"/>
      <c r="Z564" s="609"/>
      <c r="AA564" s="609"/>
      <c r="AB564" s="609"/>
      <c r="AC564" s="609"/>
      <c r="AD564" s="609"/>
      <c r="AE564" s="609"/>
      <c r="AF564" s="609"/>
      <c r="AG564" s="609"/>
      <c r="AH564" s="609"/>
      <c r="AI564" s="609"/>
      <c r="AJ564" s="609"/>
      <c r="AK564" s="609"/>
      <c r="AL564" s="609"/>
      <c r="AM564" s="609"/>
      <c r="AN564" s="609"/>
      <c r="AO564" s="609"/>
      <c r="AP564" s="609"/>
      <c r="AQ564" s="609"/>
    </row>
    <row r="565" spans="25:43" x14ac:dyDescent="0.4">
      <c r="Y565" s="609"/>
      <c r="Z565" s="609"/>
      <c r="AA565" s="609"/>
      <c r="AB565" s="609"/>
      <c r="AC565" s="609"/>
      <c r="AD565" s="609"/>
      <c r="AE565" s="609"/>
      <c r="AF565" s="609"/>
      <c r="AG565" s="609"/>
      <c r="AH565" s="609"/>
      <c r="AI565" s="609"/>
      <c r="AJ565" s="609"/>
      <c r="AK565" s="609"/>
      <c r="AL565" s="609"/>
      <c r="AM565" s="609"/>
      <c r="AN565" s="609"/>
      <c r="AO565" s="609"/>
      <c r="AP565" s="609"/>
      <c r="AQ565" s="609"/>
    </row>
    <row r="566" spans="25:43" x14ac:dyDescent="0.4">
      <c r="Y566" s="609"/>
      <c r="Z566" s="609"/>
      <c r="AA566" s="609"/>
      <c r="AB566" s="609"/>
      <c r="AC566" s="609"/>
      <c r="AD566" s="609"/>
      <c r="AE566" s="609"/>
      <c r="AF566" s="609"/>
      <c r="AG566" s="609"/>
      <c r="AH566" s="609"/>
      <c r="AI566" s="609"/>
      <c r="AJ566" s="609"/>
      <c r="AK566" s="609"/>
      <c r="AL566" s="609"/>
      <c r="AM566" s="609"/>
      <c r="AN566" s="609"/>
      <c r="AO566" s="609"/>
      <c r="AP566" s="609"/>
      <c r="AQ566" s="609"/>
    </row>
    <row r="567" spans="25:43" x14ac:dyDescent="0.4">
      <c r="Y567" s="609"/>
      <c r="Z567" s="609"/>
      <c r="AA567" s="609"/>
      <c r="AB567" s="609"/>
      <c r="AC567" s="609"/>
      <c r="AD567" s="609"/>
      <c r="AE567" s="609"/>
      <c r="AF567" s="609"/>
      <c r="AG567" s="609"/>
      <c r="AH567" s="609"/>
      <c r="AI567" s="609"/>
      <c r="AJ567" s="609"/>
      <c r="AK567" s="609"/>
      <c r="AL567" s="609"/>
      <c r="AM567" s="609"/>
      <c r="AN567" s="609"/>
      <c r="AO567" s="609"/>
      <c r="AP567" s="609"/>
      <c r="AQ567" s="609"/>
    </row>
    <row r="568" spans="25:43" x14ac:dyDescent="0.4">
      <c r="Y568" s="609"/>
      <c r="Z568" s="609"/>
      <c r="AA568" s="609"/>
      <c r="AB568" s="609"/>
      <c r="AC568" s="609"/>
      <c r="AD568" s="609"/>
      <c r="AE568" s="609"/>
      <c r="AF568" s="609"/>
      <c r="AG568" s="609"/>
      <c r="AH568" s="609"/>
      <c r="AI568" s="609"/>
      <c r="AJ568" s="609"/>
      <c r="AK568" s="609"/>
      <c r="AL568" s="609"/>
      <c r="AM568" s="609"/>
      <c r="AN568" s="609"/>
      <c r="AO568" s="609"/>
      <c r="AP568" s="609"/>
      <c r="AQ568" s="609"/>
    </row>
    <row r="569" spans="25:43" x14ac:dyDescent="0.4">
      <c r="Y569" s="609"/>
      <c r="Z569" s="609"/>
      <c r="AA569" s="609"/>
      <c r="AB569" s="609"/>
      <c r="AC569" s="609"/>
      <c r="AD569" s="609"/>
      <c r="AE569" s="609"/>
      <c r="AF569" s="609"/>
      <c r="AG569" s="609"/>
      <c r="AH569" s="609"/>
      <c r="AI569" s="609"/>
      <c r="AJ569" s="609"/>
      <c r="AK569" s="609"/>
      <c r="AL569" s="609"/>
      <c r="AM569" s="609"/>
      <c r="AN569" s="609"/>
      <c r="AO569" s="609"/>
      <c r="AP569" s="609"/>
      <c r="AQ569" s="609"/>
    </row>
    <row r="570" spans="25:43" x14ac:dyDescent="0.4">
      <c r="Y570" s="609"/>
      <c r="Z570" s="609"/>
      <c r="AA570" s="609"/>
      <c r="AB570" s="609"/>
      <c r="AC570" s="609"/>
      <c r="AD570" s="609"/>
      <c r="AE570" s="609"/>
      <c r="AF570" s="609"/>
      <c r="AG570" s="609"/>
      <c r="AH570" s="609"/>
      <c r="AI570" s="609"/>
      <c r="AJ570" s="609"/>
      <c r="AK570" s="609"/>
      <c r="AL570" s="609"/>
      <c r="AM570" s="609"/>
      <c r="AN570" s="609"/>
      <c r="AO570" s="609"/>
      <c r="AP570" s="609"/>
      <c r="AQ570" s="609"/>
    </row>
    <row r="571" spans="25:43" x14ac:dyDescent="0.4">
      <c r="Y571" s="609"/>
      <c r="Z571" s="609"/>
      <c r="AA571" s="609"/>
      <c r="AB571" s="609"/>
      <c r="AC571" s="609"/>
      <c r="AD571" s="609"/>
      <c r="AE571" s="609"/>
      <c r="AF571" s="609"/>
      <c r="AG571" s="609"/>
      <c r="AH571" s="609"/>
      <c r="AI571" s="609"/>
      <c r="AJ571" s="609"/>
      <c r="AK571" s="609"/>
      <c r="AL571" s="609"/>
      <c r="AM571" s="609"/>
      <c r="AN571" s="609"/>
      <c r="AO571" s="609"/>
      <c r="AP571" s="609"/>
      <c r="AQ571" s="609"/>
    </row>
    <row r="572" spans="25:43" x14ac:dyDescent="0.4">
      <c r="Y572" s="609"/>
      <c r="Z572" s="609"/>
      <c r="AA572" s="609"/>
      <c r="AB572" s="609"/>
      <c r="AC572" s="609"/>
      <c r="AD572" s="609"/>
      <c r="AE572" s="609"/>
      <c r="AF572" s="609"/>
      <c r="AG572" s="609"/>
      <c r="AH572" s="609"/>
      <c r="AI572" s="609"/>
      <c r="AJ572" s="609"/>
      <c r="AK572" s="609"/>
      <c r="AL572" s="609"/>
      <c r="AM572" s="609"/>
      <c r="AN572" s="609"/>
      <c r="AO572" s="609"/>
      <c r="AP572" s="609"/>
      <c r="AQ572" s="609"/>
    </row>
    <row r="573" spans="25:43" x14ac:dyDescent="0.4">
      <c r="Y573" s="609"/>
      <c r="Z573" s="609"/>
      <c r="AA573" s="609"/>
      <c r="AB573" s="609"/>
      <c r="AC573" s="609"/>
      <c r="AD573" s="609"/>
      <c r="AE573" s="609"/>
      <c r="AF573" s="609"/>
      <c r="AG573" s="609"/>
      <c r="AH573" s="609"/>
      <c r="AI573" s="609"/>
      <c r="AJ573" s="609"/>
      <c r="AK573" s="609"/>
      <c r="AL573" s="609"/>
      <c r="AM573" s="609"/>
      <c r="AN573" s="609"/>
      <c r="AO573" s="609"/>
      <c r="AP573" s="609"/>
      <c r="AQ573" s="609"/>
    </row>
    <row r="574" spans="25:43" x14ac:dyDescent="0.4">
      <c r="Y574" s="609"/>
      <c r="Z574" s="609"/>
      <c r="AA574" s="609"/>
      <c r="AB574" s="609"/>
      <c r="AC574" s="609"/>
      <c r="AD574" s="609"/>
      <c r="AE574" s="609"/>
      <c r="AF574" s="609"/>
      <c r="AG574" s="609"/>
      <c r="AH574" s="609"/>
      <c r="AI574" s="609"/>
      <c r="AJ574" s="609"/>
      <c r="AK574" s="609"/>
      <c r="AL574" s="609"/>
      <c r="AM574" s="609"/>
      <c r="AN574" s="609"/>
      <c r="AO574" s="609"/>
      <c r="AP574" s="609"/>
      <c r="AQ574" s="609"/>
    </row>
    <row r="575" spans="25:43" x14ac:dyDescent="0.4">
      <c r="Y575" s="609"/>
      <c r="Z575" s="609"/>
      <c r="AA575" s="609"/>
      <c r="AB575" s="609"/>
      <c r="AC575" s="609"/>
      <c r="AD575" s="609"/>
      <c r="AE575" s="609"/>
      <c r="AF575" s="609"/>
      <c r="AG575" s="609"/>
      <c r="AH575" s="609"/>
      <c r="AI575" s="609"/>
      <c r="AJ575" s="609"/>
      <c r="AK575" s="609"/>
      <c r="AL575" s="609"/>
      <c r="AM575" s="609"/>
      <c r="AN575" s="609"/>
      <c r="AO575" s="609"/>
      <c r="AP575" s="609"/>
      <c r="AQ575" s="609"/>
    </row>
    <row r="576" spans="25:43" x14ac:dyDescent="0.4">
      <c r="Y576" s="609"/>
      <c r="Z576" s="609"/>
      <c r="AA576" s="609"/>
      <c r="AB576" s="609"/>
      <c r="AC576" s="609"/>
      <c r="AD576" s="609"/>
      <c r="AE576" s="609"/>
      <c r="AF576" s="609"/>
      <c r="AG576" s="609"/>
      <c r="AH576" s="609"/>
      <c r="AI576" s="609"/>
      <c r="AJ576" s="609"/>
      <c r="AK576" s="609"/>
      <c r="AL576" s="609"/>
      <c r="AM576" s="609"/>
      <c r="AN576" s="609"/>
      <c r="AO576" s="609"/>
      <c r="AP576" s="609"/>
      <c r="AQ576" s="609"/>
    </row>
    <row r="577" spans="25:43" x14ac:dyDescent="0.4">
      <c r="Y577" s="609"/>
      <c r="Z577" s="609"/>
      <c r="AA577" s="609"/>
      <c r="AB577" s="609"/>
      <c r="AC577" s="609"/>
      <c r="AD577" s="609"/>
      <c r="AE577" s="609"/>
      <c r="AF577" s="609"/>
      <c r="AG577" s="609"/>
      <c r="AH577" s="609"/>
      <c r="AI577" s="609"/>
      <c r="AJ577" s="609"/>
      <c r="AK577" s="609"/>
      <c r="AL577" s="609"/>
      <c r="AM577" s="609"/>
      <c r="AN577" s="609"/>
      <c r="AO577" s="609"/>
      <c r="AP577" s="609"/>
      <c r="AQ577" s="609"/>
    </row>
    <row r="578" spans="25:43" x14ac:dyDescent="0.4">
      <c r="Y578" s="609"/>
      <c r="Z578" s="609"/>
      <c r="AA578" s="609"/>
      <c r="AB578" s="609"/>
      <c r="AC578" s="609"/>
      <c r="AD578" s="609"/>
      <c r="AE578" s="609"/>
      <c r="AF578" s="609"/>
      <c r="AG578" s="609"/>
      <c r="AH578" s="609"/>
      <c r="AI578" s="609"/>
      <c r="AJ578" s="609"/>
      <c r="AK578" s="609"/>
      <c r="AL578" s="609"/>
      <c r="AM578" s="609"/>
      <c r="AN578" s="609"/>
      <c r="AO578" s="609"/>
      <c r="AP578" s="609"/>
      <c r="AQ578" s="609"/>
    </row>
    <row r="579" spans="25:43" x14ac:dyDescent="0.4">
      <c r="Y579" s="609"/>
      <c r="Z579" s="609"/>
      <c r="AA579" s="609"/>
      <c r="AB579" s="609"/>
      <c r="AC579" s="609"/>
      <c r="AD579" s="609"/>
      <c r="AE579" s="609"/>
      <c r="AF579" s="609"/>
      <c r="AG579" s="609"/>
      <c r="AH579" s="609"/>
      <c r="AI579" s="609"/>
      <c r="AJ579" s="609"/>
      <c r="AK579" s="609"/>
      <c r="AL579" s="609"/>
      <c r="AM579" s="609"/>
      <c r="AN579" s="609"/>
      <c r="AO579" s="609"/>
      <c r="AP579" s="609"/>
      <c r="AQ579" s="609"/>
    </row>
    <row r="580" spans="25:43" x14ac:dyDescent="0.4">
      <c r="Y580" s="609"/>
      <c r="Z580" s="609"/>
      <c r="AA580" s="609"/>
      <c r="AB580" s="609"/>
      <c r="AC580" s="609"/>
      <c r="AD580" s="609"/>
      <c r="AE580" s="609"/>
      <c r="AF580" s="609"/>
      <c r="AG580" s="609"/>
      <c r="AH580" s="609"/>
      <c r="AI580" s="609"/>
      <c r="AJ580" s="609"/>
      <c r="AK580" s="609"/>
      <c r="AL580" s="609"/>
      <c r="AM580" s="609"/>
      <c r="AN580" s="609"/>
      <c r="AO580" s="609"/>
      <c r="AP580" s="609"/>
      <c r="AQ580" s="609"/>
    </row>
    <row r="581" spans="25:43" x14ac:dyDescent="0.4">
      <c r="Y581" s="609"/>
      <c r="Z581" s="609"/>
      <c r="AA581" s="609"/>
      <c r="AB581" s="609"/>
      <c r="AC581" s="609"/>
      <c r="AD581" s="609"/>
      <c r="AE581" s="609"/>
      <c r="AF581" s="609"/>
      <c r="AG581" s="609"/>
      <c r="AH581" s="609"/>
      <c r="AI581" s="609"/>
      <c r="AJ581" s="609"/>
      <c r="AK581" s="609"/>
      <c r="AL581" s="609"/>
      <c r="AM581" s="609"/>
      <c r="AN581" s="609"/>
      <c r="AO581" s="609"/>
      <c r="AP581" s="609"/>
      <c r="AQ581" s="609"/>
    </row>
    <row r="582" spans="25:43" x14ac:dyDescent="0.4">
      <c r="Y582" s="609"/>
      <c r="Z582" s="609"/>
      <c r="AA582" s="609"/>
      <c r="AB582" s="609"/>
      <c r="AC582" s="609"/>
      <c r="AD582" s="609"/>
      <c r="AE582" s="609"/>
      <c r="AF582" s="609"/>
      <c r="AG582" s="609"/>
      <c r="AH582" s="609"/>
      <c r="AI582" s="609"/>
      <c r="AJ582" s="609"/>
      <c r="AK582" s="609"/>
      <c r="AL582" s="609"/>
      <c r="AM582" s="609"/>
      <c r="AN582" s="609"/>
      <c r="AO582" s="609"/>
      <c r="AP582" s="609"/>
      <c r="AQ582" s="609"/>
    </row>
    <row r="583" spans="25:43" x14ac:dyDescent="0.4">
      <c r="Y583" s="609"/>
      <c r="Z583" s="609"/>
      <c r="AA583" s="609"/>
      <c r="AB583" s="609"/>
      <c r="AC583" s="609"/>
      <c r="AD583" s="609"/>
      <c r="AE583" s="609"/>
      <c r="AF583" s="609"/>
      <c r="AG583" s="609"/>
      <c r="AH583" s="609"/>
      <c r="AI583" s="609"/>
      <c r="AJ583" s="609"/>
      <c r="AK583" s="609"/>
      <c r="AL583" s="609"/>
      <c r="AM583" s="609"/>
      <c r="AN583" s="609"/>
      <c r="AO583" s="609"/>
      <c r="AP583" s="609"/>
      <c r="AQ583" s="609"/>
    </row>
    <row r="584" spans="25:43" x14ac:dyDescent="0.4">
      <c r="Y584" s="609"/>
      <c r="Z584" s="609"/>
      <c r="AA584" s="609"/>
      <c r="AB584" s="609"/>
      <c r="AC584" s="609"/>
      <c r="AD584" s="609"/>
      <c r="AE584" s="609"/>
      <c r="AF584" s="609"/>
      <c r="AG584" s="609"/>
      <c r="AH584" s="609"/>
      <c r="AI584" s="609"/>
      <c r="AJ584" s="609"/>
      <c r="AK584" s="609"/>
      <c r="AL584" s="609"/>
      <c r="AM584" s="609"/>
      <c r="AN584" s="609"/>
      <c r="AO584" s="609"/>
      <c r="AP584" s="609"/>
      <c r="AQ584" s="609"/>
    </row>
    <row r="585" spans="25:43" x14ac:dyDescent="0.4">
      <c r="Y585" s="609"/>
      <c r="Z585" s="609"/>
      <c r="AA585" s="609"/>
      <c r="AB585" s="609"/>
      <c r="AC585" s="609"/>
      <c r="AD585" s="609"/>
      <c r="AE585" s="609"/>
      <c r="AF585" s="609"/>
      <c r="AG585" s="609"/>
      <c r="AH585" s="609"/>
      <c r="AI585" s="609"/>
      <c r="AJ585" s="609"/>
      <c r="AK585" s="609"/>
      <c r="AL585" s="609"/>
      <c r="AM585" s="609"/>
      <c r="AN585" s="609"/>
      <c r="AO585" s="609"/>
      <c r="AP585" s="609"/>
      <c r="AQ585" s="609"/>
    </row>
    <row r="586" spans="25:43" x14ac:dyDescent="0.4">
      <c r="Y586" s="609"/>
      <c r="Z586" s="609"/>
      <c r="AA586" s="609"/>
      <c r="AB586" s="609"/>
      <c r="AC586" s="609"/>
      <c r="AD586" s="609"/>
      <c r="AE586" s="609"/>
      <c r="AF586" s="609"/>
      <c r="AG586" s="609"/>
      <c r="AH586" s="609"/>
      <c r="AI586" s="609"/>
      <c r="AJ586" s="609"/>
      <c r="AK586" s="609"/>
      <c r="AL586" s="609"/>
      <c r="AM586" s="609"/>
      <c r="AN586" s="609"/>
      <c r="AO586" s="609"/>
      <c r="AP586" s="609"/>
      <c r="AQ586" s="609"/>
    </row>
    <row r="587" spans="25:43" x14ac:dyDescent="0.4">
      <c r="Y587" s="609"/>
      <c r="Z587" s="609"/>
      <c r="AA587" s="609"/>
      <c r="AB587" s="609"/>
      <c r="AC587" s="609"/>
      <c r="AD587" s="609"/>
      <c r="AE587" s="609"/>
      <c r="AF587" s="609"/>
      <c r="AG587" s="609"/>
      <c r="AH587" s="609"/>
      <c r="AI587" s="609"/>
      <c r="AJ587" s="609"/>
      <c r="AK587" s="609"/>
      <c r="AL587" s="609"/>
      <c r="AM587" s="609"/>
      <c r="AN587" s="609"/>
      <c r="AO587" s="609"/>
      <c r="AP587" s="609"/>
      <c r="AQ587" s="609"/>
    </row>
    <row r="588" spans="25:43" x14ac:dyDescent="0.4">
      <c r="Y588" s="609"/>
      <c r="Z588" s="609"/>
      <c r="AA588" s="609"/>
      <c r="AB588" s="609"/>
      <c r="AC588" s="609"/>
      <c r="AD588" s="609"/>
      <c r="AE588" s="609"/>
      <c r="AF588" s="609"/>
      <c r="AG588" s="609"/>
      <c r="AH588" s="609"/>
      <c r="AI588" s="609"/>
      <c r="AJ588" s="609"/>
      <c r="AK588" s="609"/>
      <c r="AL588" s="609"/>
      <c r="AM588" s="609"/>
      <c r="AN588" s="609"/>
      <c r="AO588" s="609"/>
      <c r="AP588" s="609"/>
      <c r="AQ588" s="609"/>
    </row>
    <row r="589" spans="25:43" x14ac:dyDescent="0.4">
      <c r="Y589" s="609"/>
      <c r="Z589" s="609"/>
      <c r="AA589" s="609"/>
      <c r="AB589" s="609"/>
      <c r="AC589" s="609"/>
      <c r="AD589" s="609"/>
      <c r="AE589" s="609"/>
      <c r="AF589" s="609"/>
      <c r="AG589" s="609"/>
      <c r="AH589" s="609"/>
      <c r="AI589" s="609"/>
      <c r="AJ589" s="609"/>
      <c r="AK589" s="609"/>
      <c r="AL589" s="609"/>
      <c r="AM589" s="609"/>
      <c r="AN589" s="609"/>
      <c r="AO589" s="609"/>
      <c r="AP589" s="609"/>
      <c r="AQ589" s="609"/>
    </row>
    <row r="590" spans="25:43" x14ac:dyDescent="0.4">
      <c r="Y590" s="609"/>
      <c r="Z590" s="609"/>
      <c r="AA590" s="609"/>
      <c r="AB590" s="609"/>
      <c r="AC590" s="609"/>
      <c r="AD590" s="609"/>
      <c r="AE590" s="609"/>
      <c r="AF590" s="609"/>
      <c r="AG590" s="609"/>
      <c r="AH590" s="609"/>
      <c r="AI590" s="609"/>
      <c r="AJ590" s="609"/>
      <c r="AK590" s="609"/>
      <c r="AL590" s="609"/>
      <c r="AM590" s="609"/>
      <c r="AN590" s="609"/>
      <c r="AO590" s="609"/>
      <c r="AP590" s="609"/>
      <c r="AQ590" s="609"/>
    </row>
    <row r="591" spans="25:43" x14ac:dyDescent="0.4">
      <c r="Y591" s="609"/>
      <c r="Z591" s="609"/>
      <c r="AA591" s="609"/>
      <c r="AB591" s="609"/>
      <c r="AC591" s="609"/>
      <c r="AD591" s="609"/>
      <c r="AE591" s="609"/>
      <c r="AF591" s="609"/>
      <c r="AG591" s="609"/>
      <c r="AH591" s="609"/>
      <c r="AI591" s="609"/>
      <c r="AJ591" s="609"/>
      <c r="AK591" s="609"/>
      <c r="AL591" s="609"/>
      <c r="AM591" s="609"/>
      <c r="AN591" s="609"/>
      <c r="AO591" s="609"/>
      <c r="AP591" s="609"/>
      <c r="AQ591" s="609"/>
    </row>
    <row r="592" spans="25:43" x14ac:dyDescent="0.4">
      <c r="Y592" s="609"/>
      <c r="Z592" s="609"/>
      <c r="AA592" s="609"/>
      <c r="AB592" s="609"/>
      <c r="AC592" s="609"/>
      <c r="AD592" s="609"/>
      <c r="AE592" s="609"/>
      <c r="AF592" s="609"/>
      <c r="AG592" s="609"/>
      <c r="AH592" s="609"/>
      <c r="AI592" s="609"/>
      <c r="AJ592" s="609"/>
      <c r="AK592" s="609"/>
      <c r="AL592" s="609"/>
      <c r="AM592" s="609"/>
      <c r="AN592" s="609"/>
      <c r="AO592" s="609"/>
      <c r="AP592" s="609"/>
      <c r="AQ592" s="609"/>
    </row>
    <row r="593" spans="25:43" x14ac:dyDescent="0.4">
      <c r="Y593" s="609"/>
      <c r="Z593" s="609"/>
      <c r="AA593" s="609"/>
      <c r="AB593" s="609"/>
      <c r="AC593" s="609"/>
      <c r="AD593" s="609"/>
      <c r="AE593" s="609"/>
      <c r="AF593" s="609"/>
      <c r="AG593" s="609"/>
      <c r="AH593" s="609"/>
      <c r="AI593" s="609"/>
      <c r="AJ593" s="609"/>
      <c r="AK593" s="609"/>
      <c r="AL593" s="609"/>
      <c r="AM593" s="609"/>
      <c r="AN593" s="609"/>
      <c r="AO593" s="609"/>
      <c r="AP593" s="609"/>
      <c r="AQ593" s="609"/>
    </row>
    <row r="594" spans="25:43" x14ac:dyDescent="0.4">
      <c r="Y594" s="609"/>
      <c r="Z594" s="609"/>
      <c r="AA594" s="609"/>
      <c r="AB594" s="609"/>
      <c r="AC594" s="609"/>
      <c r="AD594" s="609"/>
      <c r="AE594" s="609"/>
      <c r="AF594" s="609"/>
      <c r="AG594" s="609"/>
      <c r="AH594" s="609"/>
      <c r="AI594" s="609"/>
      <c r="AJ594" s="609"/>
      <c r="AK594" s="609"/>
      <c r="AL594" s="609"/>
      <c r="AM594" s="609"/>
      <c r="AN594" s="609"/>
      <c r="AO594" s="609"/>
      <c r="AP594" s="609"/>
      <c r="AQ594" s="609"/>
    </row>
    <row r="595" spans="25:43" x14ac:dyDescent="0.4">
      <c r="Y595" s="609"/>
      <c r="Z595" s="609"/>
      <c r="AA595" s="609"/>
      <c r="AB595" s="609"/>
      <c r="AC595" s="609"/>
      <c r="AD595" s="609"/>
      <c r="AE595" s="609"/>
      <c r="AF595" s="609"/>
      <c r="AG595" s="609"/>
      <c r="AH595" s="609"/>
      <c r="AI595" s="609"/>
      <c r="AJ595" s="609"/>
      <c r="AK595" s="609"/>
      <c r="AL595" s="609"/>
      <c r="AM595" s="609"/>
      <c r="AN595" s="609"/>
      <c r="AO595" s="609"/>
      <c r="AP595" s="609"/>
      <c r="AQ595" s="609"/>
    </row>
    <row r="596" spans="25:43" x14ac:dyDescent="0.4">
      <c r="Y596" s="609"/>
      <c r="Z596" s="609"/>
      <c r="AA596" s="609"/>
      <c r="AB596" s="609"/>
      <c r="AC596" s="609"/>
      <c r="AD596" s="609"/>
      <c r="AE596" s="609"/>
      <c r="AF596" s="609"/>
      <c r="AG596" s="609"/>
      <c r="AH596" s="609"/>
      <c r="AI596" s="609"/>
      <c r="AJ596" s="609"/>
      <c r="AK596" s="609"/>
      <c r="AL596" s="609"/>
      <c r="AM596" s="609"/>
      <c r="AN596" s="609"/>
      <c r="AO596" s="609"/>
      <c r="AP596" s="609"/>
      <c r="AQ596" s="609"/>
    </row>
    <row r="597" spans="25:43" x14ac:dyDescent="0.4">
      <c r="Y597" s="609"/>
      <c r="Z597" s="609"/>
      <c r="AA597" s="609"/>
      <c r="AB597" s="609"/>
      <c r="AC597" s="609"/>
      <c r="AD597" s="609"/>
      <c r="AE597" s="609"/>
      <c r="AF597" s="609"/>
      <c r="AG597" s="609"/>
      <c r="AH597" s="609"/>
      <c r="AI597" s="609"/>
      <c r="AJ597" s="609"/>
      <c r="AK597" s="609"/>
      <c r="AL597" s="609"/>
      <c r="AM597" s="609"/>
      <c r="AN597" s="609"/>
      <c r="AO597" s="609"/>
      <c r="AP597" s="609"/>
      <c r="AQ597" s="609"/>
    </row>
    <row r="598" spans="25:43" x14ac:dyDescent="0.4">
      <c r="Y598" s="609"/>
      <c r="Z598" s="609"/>
      <c r="AA598" s="609"/>
      <c r="AB598" s="609"/>
      <c r="AC598" s="609"/>
      <c r="AD598" s="609"/>
      <c r="AE598" s="609"/>
      <c r="AF598" s="609"/>
      <c r="AG598" s="609"/>
      <c r="AH598" s="609"/>
      <c r="AI598" s="609"/>
      <c r="AJ598" s="609"/>
      <c r="AK598" s="609"/>
      <c r="AL598" s="609"/>
      <c r="AM598" s="609"/>
      <c r="AN598" s="609"/>
      <c r="AO598" s="609"/>
      <c r="AP598" s="609"/>
      <c r="AQ598" s="609"/>
    </row>
    <row r="599" spans="25:43" x14ac:dyDescent="0.4">
      <c r="Y599" s="609"/>
      <c r="Z599" s="609"/>
      <c r="AA599" s="609"/>
      <c r="AB599" s="609"/>
      <c r="AC599" s="609"/>
      <c r="AD599" s="609"/>
      <c r="AE599" s="609"/>
      <c r="AF599" s="609"/>
      <c r="AG599" s="609"/>
      <c r="AH599" s="609"/>
      <c r="AI599" s="609"/>
      <c r="AJ599" s="609"/>
      <c r="AK599" s="609"/>
      <c r="AL599" s="609"/>
      <c r="AM599" s="609"/>
      <c r="AN599" s="609"/>
      <c r="AO599" s="609"/>
      <c r="AP599" s="609"/>
      <c r="AQ599" s="609"/>
    </row>
    <row r="600" spans="25:43" x14ac:dyDescent="0.4">
      <c r="Y600" s="609"/>
      <c r="Z600" s="609"/>
      <c r="AA600" s="609"/>
      <c r="AB600" s="609"/>
      <c r="AC600" s="609"/>
      <c r="AD600" s="609"/>
      <c r="AE600" s="609"/>
      <c r="AF600" s="609"/>
      <c r="AG600" s="609"/>
      <c r="AH600" s="609"/>
      <c r="AI600" s="609"/>
      <c r="AJ600" s="609"/>
      <c r="AK600" s="609"/>
      <c r="AL600" s="609"/>
      <c r="AM600" s="609"/>
      <c r="AN600" s="609"/>
      <c r="AO600" s="609"/>
      <c r="AP600" s="609"/>
      <c r="AQ600" s="609"/>
    </row>
    <row r="601" spans="25:43" x14ac:dyDescent="0.4">
      <c r="Y601" s="609"/>
      <c r="Z601" s="609"/>
      <c r="AA601" s="609"/>
      <c r="AB601" s="609"/>
      <c r="AC601" s="609"/>
      <c r="AD601" s="609"/>
      <c r="AE601" s="609"/>
      <c r="AF601" s="609"/>
      <c r="AG601" s="609"/>
      <c r="AH601" s="609"/>
      <c r="AI601" s="609"/>
      <c r="AJ601" s="609"/>
      <c r="AK601" s="609"/>
      <c r="AL601" s="609"/>
      <c r="AM601" s="609"/>
      <c r="AN601" s="609"/>
      <c r="AO601" s="609"/>
      <c r="AP601" s="609"/>
      <c r="AQ601" s="609"/>
    </row>
    <row r="602" spans="25:43" x14ac:dyDescent="0.4">
      <c r="Y602" s="609"/>
      <c r="Z602" s="609"/>
      <c r="AA602" s="609"/>
      <c r="AB602" s="609"/>
      <c r="AC602" s="609"/>
      <c r="AD602" s="609"/>
      <c r="AE602" s="609"/>
      <c r="AF602" s="609"/>
      <c r="AG602" s="609"/>
      <c r="AH602" s="609"/>
      <c r="AI602" s="609"/>
      <c r="AJ602" s="609"/>
      <c r="AK602" s="609"/>
      <c r="AL602" s="609"/>
      <c r="AM602" s="609"/>
      <c r="AN602" s="609"/>
      <c r="AO602" s="609"/>
      <c r="AP602" s="609"/>
      <c r="AQ602" s="609"/>
    </row>
    <row r="603" spans="25:43" x14ac:dyDescent="0.4">
      <c r="Y603" s="609"/>
      <c r="Z603" s="609"/>
      <c r="AA603" s="609"/>
      <c r="AB603" s="609"/>
      <c r="AC603" s="609"/>
      <c r="AD603" s="609"/>
      <c r="AE603" s="609"/>
      <c r="AF603" s="609"/>
      <c r="AG603" s="609"/>
      <c r="AH603" s="609"/>
      <c r="AI603" s="609"/>
      <c r="AJ603" s="609"/>
      <c r="AK603" s="609"/>
      <c r="AL603" s="609"/>
      <c r="AM603" s="609"/>
      <c r="AN603" s="609"/>
      <c r="AO603" s="609"/>
      <c r="AP603" s="609"/>
      <c r="AQ603" s="609"/>
    </row>
    <row r="604" spans="25:43" x14ac:dyDescent="0.4">
      <c r="Y604" s="609"/>
      <c r="Z604" s="609"/>
      <c r="AA604" s="609"/>
      <c r="AB604" s="609"/>
      <c r="AC604" s="609"/>
      <c r="AD604" s="609"/>
      <c r="AE604" s="609"/>
      <c r="AF604" s="609"/>
      <c r="AG604" s="609"/>
      <c r="AH604" s="609"/>
      <c r="AI604" s="609"/>
      <c r="AJ604" s="609"/>
      <c r="AK604" s="609"/>
      <c r="AL604" s="609"/>
      <c r="AM604" s="609"/>
      <c r="AN604" s="609"/>
      <c r="AO604" s="609"/>
      <c r="AP604" s="609"/>
      <c r="AQ604" s="609"/>
    </row>
    <row r="605" spans="25:43" x14ac:dyDescent="0.4">
      <c r="Y605" s="609"/>
      <c r="Z605" s="609"/>
      <c r="AA605" s="609"/>
      <c r="AB605" s="609"/>
      <c r="AC605" s="609"/>
      <c r="AD605" s="609"/>
      <c r="AE605" s="609"/>
      <c r="AF605" s="609"/>
      <c r="AG605" s="609"/>
      <c r="AH605" s="609"/>
      <c r="AI605" s="609"/>
      <c r="AJ605" s="609"/>
      <c r="AK605" s="609"/>
      <c r="AL605" s="609"/>
      <c r="AM605" s="609"/>
      <c r="AN605" s="609"/>
      <c r="AO605" s="609"/>
      <c r="AP605" s="609"/>
      <c r="AQ605" s="609"/>
    </row>
    <row r="606" spans="25:43" x14ac:dyDescent="0.4">
      <c r="Y606" s="609"/>
      <c r="Z606" s="609"/>
      <c r="AA606" s="609"/>
      <c r="AB606" s="609"/>
      <c r="AC606" s="609"/>
      <c r="AD606" s="609"/>
      <c r="AE606" s="609"/>
      <c r="AF606" s="609"/>
      <c r="AG606" s="609"/>
      <c r="AH606" s="609"/>
      <c r="AI606" s="609"/>
      <c r="AJ606" s="609"/>
      <c r="AK606" s="609"/>
      <c r="AL606" s="609"/>
      <c r="AM606" s="609"/>
      <c r="AN606" s="609"/>
      <c r="AO606" s="609"/>
      <c r="AP606" s="609"/>
      <c r="AQ606" s="609"/>
    </row>
    <row r="607" spans="25:43" x14ac:dyDescent="0.4">
      <c r="Y607" s="609"/>
      <c r="Z607" s="609"/>
      <c r="AA607" s="609"/>
      <c r="AB607" s="609"/>
      <c r="AC607" s="609"/>
      <c r="AD607" s="609"/>
      <c r="AE607" s="609"/>
      <c r="AF607" s="609"/>
      <c r="AG607" s="609"/>
      <c r="AH607" s="609"/>
      <c r="AI607" s="609"/>
      <c r="AJ607" s="609"/>
      <c r="AK607" s="609"/>
      <c r="AL607" s="609"/>
      <c r="AM607" s="609"/>
      <c r="AN607" s="609"/>
      <c r="AO607" s="609"/>
      <c r="AP607" s="609"/>
      <c r="AQ607" s="609"/>
    </row>
    <row r="608" spans="25:43" x14ac:dyDescent="0.4">
      <c r="Y608" s="609"/>
      <c r="Z608" s="609"/>
      <c r="AA608" s="609"/>
      <c r="AB608" s="609"/>
      <c r="AC608" s="609"/>
      <c r="AD608" s="609"/>
      <c r="AE608" s="609"/>
      <c r="AF608" s="609"/>
      <c r="AG608" s="609"/>
      <c r="AH608" s="609"/>
      <c r="AI608" s="609"/>
      <c r="AJ608" s="609"/>
      <c r="AK608" s="609"/>
      <c r="AL608" s="609"/>
      <c r="AM608" s="609"/>
      <c r="AN608" s="609"/>
      <c r="AO608" s="609"/>
      <c r="AP608" s="609"/>
      <c r="AQ608" s="609"/>
    </row>
    <row r="609" spans="25:43" x14ac:dyDescent="0.4">
      <c r="Y609" s="609"/>
      <c r="Z609" s="609"/>
      <c r="AA609" s="609"/>
      <c r="AB609" s="609"/>
      <c r="AC609" s="609"/>
      <c r="AD609" s="609"/>
      <c r="AE609" s="609"/>
      <c r="AF609" s="609"/>
      <c r="AG609" s="609"/>
      <c r="AH609" s="609"/>
      <c r="AI609" s="609"/>
      <c r="AJ609" s="609"/>
      <c r="AK609" s="609"/>
      <c r="AL609" s="609"/>
      <c r="AM609" s="609"/>
      <c r="AN609" s="609"/>
      <c r="AO609" s="609"/>
      <c r="AP609" s="609"/>
      <c r="AQ609" s="609"/>
    </row>
    <row r="610" spans="25:43" x14ac:dyDescent="0.4">
      <c r="Y610" s="609"/>
      <c r="Z610" s="609"/>
      <c r="AA610" s="609"/>
      <c r="AB610" s="609"/>
      <c r="AC610" s="609"/>
      <c r="AD610" s="609"/>
      <c r="AE610" s="609"/>
      <c r="AF610" s="609"/>
      <c r="AG610" s="609"/>
      <c r="AH610" s="609"/>
      <c r="AI610" s="609"/>
      <c r="AJ610" s="609"/>
      <c r="AK610" s="609"/>
      <c r="AL610" s="609"/>
      <c r="AM610" s="609"/>
      <c r="AN610" s="609"/>
      <c r="AO610" s="609"/>
      <c r="AP610" s="609"/>
      <c r="AQ610" s="609"/>
    </row>
    <row r="611" spans="25:43" x14ac:dyDescent="0.4">
      <c r="Y611" s="609"/>
      <c r="Z611" s="609"/>
      <c r="AA611" s="609"/>
      <c r="AB611" s="609"/>
      <c r="AC611" s="609"/>
      <c r="AD611" s="609"/>
      <c r="AE611" s="609"/>
      <c r="AF611" s="609"/>
      <c r="AG611" s="609"/>
      <c r="AH611" s="609"/>
      <c r="AI611" s="609"/>
      <c r="AJ611" s="609"/>
      <c r="AK611" s="609"/>
      <c r="AL611" s="609"/>
      <c r="AM611" s="609"/>
      <c r="AN611" s="609"/>
      <c r="AO611" s="609"/>
      <c r="AP611" s="609"/>
      <c r="AQ611" s="609"/>
    </row>
    <row r="612" spans="25:43" x14ac:dyDescent="0.4">
      <c r="Y612" s="609"/>
      <c r="Z612" s="609"/>
      <c r="AA612" s="609"/>
      <c r="AB612" s="609"/>
      <c r="AC612" s="609"/>
      <c r="AD612" s="609"/>
      <c r="AE612" s="609"/>
      <c r="AF612" s="609"/>
      <c r="AG612" s="609"/>
      <c r="AH612" s="609"/>
      <c r="AI612" s="609"/>
      <c r="AJ612" s="609"/>
      <c r="AK612" s="609"/>
      <c r="AL612" s="609"/>
      <c r="AM612" s="609"/>
      <c r="AN612" s="609"/>
      <c r="AO612" s="609"/>
      <c r="AP612" s="609"/>
      <c r="AQ612" s="609"/>
    </row>
    <row r="613" spans="25:43" x14ac:dyDescent="0.4">
      <c r="Y613" s="609"/>
      <c r="Z613" s="609"/>
      <c r="AA613" s="609"/>
      <c r="AB613" s="609"/>
      <c r="AC613" s="609"/>
      <c r="AD613" s="609"/>
      <c r="AE613" s="609"/>
      <c r="AF613" s="609"/>
      <c r="AG613" s="609"/>
      <c r="AH613" s="609"/>
      <c r="AI613" s="609"/>
      <c r="AJ613" s="609"/>
      <c r="AK613" s="609"/>
      <c r="AL613" s="609"/>
      <c r="AM613" s="609"/>
      <c r="AN613" s="609"/>
      <c r="AO613" s="609"/>
      <c r="AP613" s="609"/>
      <c r="AQ613" s="609"/>
    </row>
    <row r="614" spans="25:43" x14ac:dyDescent="0.4">
      <c r="Y614" s="609"/>
      <c r="Z614" s="609"/>
      <c r="AA614" s="609"/>
      <c r="AB614" s="609"/>
      <c r="AC614" s="609"/>
      <c r="AD614" s="609"/>
      <c r="AE614" s="609"/>
      <c r="AF614" s="609"/>
      <c r="AG614" s="609"/>
      <c r="AH614" s="609"/>
      <c r="AI614" s="609"/>
      <c r="AJ614" s="609"/>
      <c r="AK614" s="609"/>
      <c r="AL614" s="609"/>
      <c r="AM614" s="609"/>
      <c r="AN614" s="609"/>
      <c r="AO614" s="609"/>
      <c r="AP614" s="609"/>
      <c r="AQ614" s="609"/>
    </row>
    <row r="615" spans="25:43" x14ac:dyDescent="0.4">
      <c r="Y615" s="609"/>
      <c r="Z615" s="609"/>
      <c r="AA615" s="609"/>
      <c r="AB615" s="609"/>
      <c r="AC615" s="609"/>
      <c r="AD615" s="609"/>
      <c r="AE615" s="609"/>
      <c r="AF615" s="609"/>
      <c r="AG615" s="609"/>
      <c r="AH615" s="609"/>
      <c r="AI615" s="609"/>
      <c r="AJ615" s="609"/>
      <c r="AK615" s="609"/>
      <c r="AL615" s="609"/>
      <c r="AM615" s="609"/>
      <c r="AN615" s="609"/>
      <c r="AO615" s="609"/>
      <c r="AP615" s="609"/>
      <c r="AQ615" s="609"/>
    </row>
    <row r="616" spans="25:43" x14ac:dyDescent="0.4">
      <c r="Y616" s="609"/>
      <c r="Z616" s="609"/>
      <c r="AA616" s="609"/>
      <c r="AB616" s="609"/>
      <c r="AC616" s="609"/>
      <c r="AD616" s="609"/>
      <c r="AE616" s="609"/>
      <c r="AF616" s="609"/>
      <c r="AG616" s="609"/>
      <c r="AH616" s="609"/>
      <c r="AI616" s="609"/>
      <c r="AJ616" s="609"/>
      <c r="AK616" s="609"/>
      <c r="AL616" s="609"/>
      <c r="AM616" s="609"/>
      <c r="AN616" s="609"/>
      <c r="AO616" s="609"/>
      <c r="AP616" s="609"/>
      <c r="AQ616" s="609"/>
    </row>
    <row r="617" spans="25:43" x14ac:dyDescent="0.4">
      <c r="Y617" s="609"/>
      <c r="Z617" s="609"/>
      <c r="AA617" s="609"/>
      <c r="AB617" s="609"/>
      <c r="AC617" s="609"/>
      <c r="AD617" s="609"/>
      <c r="AE617" s="609"/>
      <c r="AF617" s="609"/>
      <c r="AG617" s="609"/>
      <c r="AH617" s="609"/>
      <c r="AI617" s="609"/>
      <c r="AJ617" s="609"/>
      <c r="AK617" s="609"/>
      <c r="AL617" s="609"/>
      <c r="AM617" s="609"/>
      <c r="AN617" s="609"/>
      <c r="AO617" s="609"/>
      <c r="AP617" s="609"/>
      <c r="AQ617" s="609"/>
    </row>
    <row r="618" spans="25:43" x14ac:dyDescent="0.4">
      <c r="Y618" s="609"/>
      <c r="Z618" s="609"/>
      <c r="AA618" s="609"/>
      <c r="AB618" s="609"/>
      <c r="AC618" s="609"/>
      <c r="AD618" s="609"/>
      <c r="AE618" s="609"/>
      <c r="AF618" s="609"/>
      <c r="AG618" s="609"/>
      <c r="AH618" s="609"/>
      <c r="AI618" s="609"/>
      <c r="AJ618" s="609"/>
      <c r="AK618" s="609"/>
      <c r="AL618" s="609"/>
      <c r="AM618" s="609"/>
      <c r="AN618" s="609"/>
      <c r="AO618" s="609"/>
      <c r="AP618" s="609"/>
      <c r="AQ618" s="609"/>
    </row>
    <row r="619" spans="25:43" x14ac:dyDescent="0.4">
      <c r="Y619" s="609"/>
      <c r="Z619" s="609"/>
      <c r="AA619" s="609"/>
      <c r="AB619" s="609"/>
      <c r="AC619" s="609"/>
      <c r="AD619" s="609"/>
      <c r="AE619" s="609"/>
      <c r="AF619" s="609"/>
      <c r="AG619" s="609"/>
      <c r="AH619" s="609"/>
      <c r="AI619" s="609"/>
      <c r="AJ619" s="609"/>
      <c r="AK619" s="609"/>
      <c r="AL619" s="609"/>
      <c r="AM619" s="609"/>
      <c r="AN619" s="609"/>
      <c r="AO619" s="609"/>
      <c r="AP619" s="609"/>
      <c r="AQ619" s="609"/>
    </row>
    <row r="620" spans="25:43" x14ac:dyDescent="0.4">
      <c r="Y620" s="609"/>
      <c r="Z620" s="609"/>
      <c r="AA620" s="609"/>
      <c r="AB620" s="609"/>
      <c r="AC620" s="609"/>
      <c r="AD620" s="609"/>
      <c r="AE620" s="609"/>
      <c r="AF620" s="609"/>
      <c r="AG620" s="609"/>
      <c r="AH620" s="609"/>
      <c r="AI620" s="609"/>
      <c r="AJ620" s="609"/>
      <c r="AK620" s="609"/>
      <c r="AL620" s="609"/>
      <c r="AM620" s="609"/>
      <c r="AN620" s="609"/>
      <c r="AO620" s="609"/>
      <c r="AP620" s="609"/>
      <c r="AQ620" s="609"/>
    </row>
    <row r="621" spans="25:43" x14ac:dyDescent="0.4">
      <c r="Y621" s="609"/>
      <c r="Z621" s="609"/>
      <c r="AA621" s="609"/>
      <c r="AB621" s="609"/>
      <c r="AC621" s="609"/>
      <c r="AD621" s="609"/>
      <c r="AE621" s="609"/>
      <c r="AF621" s="609"/>
      <c r="AG621" s="609"/>
      <c r="AH621" s="609"/>
      <c r="AI621" s="609"/>
      <c r="AJ621" s="609"/>
      <c r="AK621" s="609"/>
      <c r="AL621" s="609"/>
      <c r="AM621" s="609"/>
      <c r="AN621" s="609"/>
      <c r="AO621" s="609"/>
      <c r="AP621" s="609"/>
      <c r="AQ621" s="609"/>
    </row>
    <row r="622" spans="25:43" x14ac:dyDescent="0.4">
      <c r="Y622" s="609"/>
      <c r="Z622" s="609"/>
      <c r="AA622" s="609"/>
      <c r="AB622" s="609"/>
      <c r="AC622" s="609"/>
      <c r="AD622" s="609"/>
      <c r="AE622" s="609"/>
      <c r="AF622" s="609"/>
      <c r="AG622" s="609"/>
      <c r="AH622" s="609"/>
      <c r="AI622" s="609"/>
      <c r="AJ622" s="609"/>
      <c r="AK622" s="609"/>
      <c r="AL622" s="609"/>
      <c r="AM622" s="609"/>
      <c r="AN622" s="609"/>
      <c r="AO622" s="609"/>
      <c r="AP622" s="609"/>
      <c r="AQ622" s="609"/>
    </row>
    <row r="623" spans="25:43" x14ac:dyDescent="0.4">
      <c r="Y623" s="609"/>
      <c r="Z623" s="609"/>
      <c r="AA623" s="609"/>
      <c r="AB623" s="609"/>
      <c r="AC623" s="609"/>
      <c r="AD623" s="609"/>
      <c r="AE623" s="609"/>
      <c r="AF623" s="609"/>
      <c r="AG623" s="609"/>
      <c r="AH623" s="609"/>
      <c r="AI623" s="609"/>
      <c r="AJ623" s="609"/>
      <c r="AK623" s="609"/>
      <c r="AL623" s="609"/>
      <c r="AM623" s="609"/>
      <c r="AN623" s="609"/>
      <c r="AO623" s="609"/>
      <c r="AP623" s="609"/>
      <c r="AQ623" s="609"/>
    </row>
    <row r="624" spans="25:43" x14ac:dyDescent="0.4">
      <c r="Y624" s="609"/>
      <c r="Z624" s="609"/>
      <c r="AA624" s="609"/>
      <c r="AB624" s="609"/>
      <c r="AC624" s="609"/>
      <c r="AD624" s="609"/>
      <c r="AE624" s="609"/>
      <c r="AF624" s="609"/>
      <c r="AG624" s="609"/>
      <c r="AH624" s="609"/>
      <c r="AI624" s="609"/>
      <c r="AJ624" s="609"/>
      <c r="AK624" s="609"/>
      <c r="AL624" s="609"/>
      <c r="AM624" s="609"/>
      <c r="AN624" s="609"/>
      <c r="AO624" s="609"/>
      <c r="AP624" s="609"/>
      <c r="AQ624" s="609"/>
    </row>
    <row r="625" spans="25:43" x14ac:dyDescent="0.4">
      <c r="Y625" s="609"/>
      <c r="Z625" s="609"/>
      <c r="AA625" s="609"/>
      <c r="AB625" s="609"/>
      <c r="AC625" s="609"/>
      <c r="AD625" s="609"/>
      <c r="AE625" s="609"/>
      <c r="AF625" s="609"/>
      <c r="AG625" s="609"/>
      <c r="AH625" s="609"/>
      <c r="AI625" s="609"/>
      <c r="AJ625" s="609"/>
      <c r="AK625" s="609"/>
      <c r="AL625" s="609"/>
      <c r="AM625" s="609"/>
      <c r="AN625" s="609"/>
      <c r="AO625" s="609"/>
      <c r="AP625" s="609"/>
      <c r="AQ625" s="609"/>
    </row>
    <row r="626" spans="25:43" x14ac:dyDescent="0.4">
      <c r="Y626" s="609"/>
      <c r="Z626" s="609"/>
      <c r="AA626" s="609"/>
      <c r="AB626" s="609"/>
      <c r="AC626" s="609"/>
      <c r="AD626" s="609"/>
      <c r="AE626" s="609"/>
      <c r="AF626" s="609"/>
      <c r="AG626" s="609"/>
      <c r="AH626" s="609"/>
      <c r="AI626" s="609"/>
      <c r="AJ626" s="609"/>
      <c r="AK626" s="609"/>
      <c r="AL626" s="609"/>
      <c r="AM626" s="609"/>
      <c r="AN626" s="609"/>
      <c r="AO626" s="609"/>
      <c r="AP626" s="609"/>
      <c r="AQ626" s="609"/>
    </row>
    <row r="627" spans="25:43" x14ac:dyDescent="0.4">
      <c r="Y627" s="609"/>
      <c r="Z627" s="609"/>
      <c r="AA627" s="609"/>
      <c r="AB627" s="609"/>
      <c r="AC627" s="609"/>
      <c r="AD627" s="609"/>
      <c r="AE627" s="609"/>
      <c r="AF627" s="609"/>
      <c r="AG627" s="609"/>
      <c r="AH627" s="609"/>
      <c r="AI627" s="609"/>
      <c r="AJ627" s="609"/>
      <c r="AK627" s="609"/>
      <c r="AL627" s="609"/>
      <c r="AM627" s="609"/>
      <c r="AN627" s="609"/>
      <c r="AO627" s="609"/>
      <c r="AP627" s="609"/>
      <c r="AQ627" s="609"/>
    </row>
    <row r="628" spans="25:43" x14ac:dyDescent="0.4">
      <c r="Y628" s="609"/>
      <c r="Z628" s="609"/>
      <c r="AA628" s="609"/>
      <c r="AB628" s="609"/>
      <c r="AC628" s="609"/>
      <c r="AD628" s="609"/>
      <c r="AE628" s="609"/>
      <c r="AF628" s="609"/>
      <c r="AG628" s="609"/>
      <c r="AH628" s="609"/>
      <c r="AI628" s="609"/>
      <c r="AJ628" s="609"/>
      <c r="AK628" s="609"/>
      <c r="AL628" s="609"/>
      <c r="AM628" s="609"/>
      <c r="AN628" s="609"/>
      <c r="AO628" s="609"/>
      <c r="AP628" s="609"/>
      <c r="AQ628" s="609"/>
    </row>
    <row r="629" spans="25:43" x14ac:dyDescent="0.4">
      <c r="Y629" s="609"/>
      <c r="Z629" s="609"/>
      <c r="AA629" s="609"/>
      <c r="AB629" s="609"/>
      <c r="AC629" s="609"/>
      <c r="AD629" s="609"/>
      <c r="AE629" s="609"/>
      <c r="AF629" s="609"/>
      <c r="AG629" s="609"/>
      <c r="AH629" s="609"/>
      <c r="AI629" s="609"/>
      <c r="AJ629" s="609"/>
      <c r="AK629" s="609"/>
      <c r="AL629" s="609"/>
      <c r="AM629" s="609"/>
      <c r="AN629" s="609"/>
      <c r="AO629" s="609"/>
      <c r="AP629" s="609"/>
      <c r="AQ629" s="609"/>
    </row>
    <row r="630" spans="25:43" x14ac:dyDescent="0.4">
      <c r="Y630" s="609"/>
      <c r="Z630" s="609"/>
      <c r="AA630" s="609"/>
      <c r="AB630" s="609"/>
      <c r="AC630" s="609"/>
      <c r="AD630" s="609"/>
      <c r="AE630" s="609"/>
      <c r="AF630" s="609"/>
      <c r="AG630" s="609"/>
      <c r="AH630" s="609"/>
      <c r="AI630" s="609"/>
      <c r="AJ630" s="609"/>
      <c r="AK630" s="609"/>
      <c r="AL630" s="609"/>
      <c r="AM630" s="609"/>
      <c r="AN630" s="609"/>
      <c r="AO630" s="609"/>
      <c r="AP630" s="609"/>
      <c r="AQ630" s="609"/>
    </row>
    <row r="631" spans="25:43" x14ac:dyDescent="0.4">
      <c r="Y631" s="609"/>
      <c r="Z631" s="609"/>
      <c r="AA631" s="609"/>
      <c r="AB631" s="609"/>
      <c r="AC631" s="609"/>
      <c r="AD631" s="609"/>
      <c r="AE631" s="609"/>
      <c r="AF631" s="609"/>
      <c r="AG631" s="609"/>
      <c r="AH631" s="609"/>
      <c r="AI631" s="609"/>
      <c r="AJ631" s="609"/>
      <c r="AK631" s="609"/>
      <c r="AL631" s="609"/>
      <c r="AM631" s="609"/>
      <c r="AN631" s="609"/>
      <c r="AO631" s="609"/>
      <c r="AP631" s="609"/>
      <c r="AQ631" s="609"/>
    </row>
    <row r="632" spans="25:43" x14ac:dyDescent="0.4">
      <c r="Y632" s="609"/>
      <c r="Z632" s="609"/>
      <c r="AA632" s="609"/>
      <c r="AB632" s="609"/>
      <c r="AC632" s="609"/>
      <c r="AD632" s="609"/>
      <c r="AE632" s="609"/>
      <c r="AF632" s="609"/>
      <c r="AG632" s="609"/>
      <c r="AH632" s="609"/>
      <c r="AI632" s="609"/>
      <c r="AJ632" s="609"/>
      <c r="AK632" s="609"/>
      <c r="AL632" s="609"/>
      <c r="AM632" s="609"/>
      <c r="AN632" s="609"/>
      <c r="AO632" s="609"/>
      <c r="AP632" s="609"/>
      <c r="AQ632" s="609"/>
    </row>
    <row r="633" spans="25:43" x14ac:dyDescent="0.4">
      <c r="Y633" s="609"/>
      <c r="Z633" s="609"/>
      <c r="AA633" s="609"/>
      <c r="AB633" s="609"/>
      <c r="AC633" s="609"/>
      <c r="AD633" s="609"/>
      <c r="AE633" s="609"/>
      <c r="AF633" s="609"/>
      <c r="AG633" s="609"/>
      <c r="AH633" s="609"/>
      <c r="AI633" s="609"/>
      <c r="AJ633" s="609"/>
      <c r="AK633" s="609"/>
      <c r="AL633" s="609"/>
      <c r="AM633" s="609"/>
      <c r="AN633" s="609"/>
      <c r="AO633" s="609"/>
      <c r="AP633" s="609"/>
      <c r="AQ633" s="609"/>
    </row>
    <row r="634" spans="25:43" x14ac:dyDescent="0.4">
      <c r="Y634" s="609"/>
      <c r="Z634" s="609"/>
      <c r="AA634" s="609"/>
      <c r="AB634" s="609"/>
      <c r="AC634" s="609"/>
      <c r="AD634" s="609"/>
      <c r="AE634" s="609"/>
      <c r="AF634" s="609"/>
      <c r="AG634" s="609"/>
      <c r="AH634" s="609"/>
      <c r="AI634" s="609"/>
      <c r="AJ634" s="609"/>
      <c r="AK634" s="609"/>
      <c r="AL634" s="609"/>
      <c r="AM634" s="609"/>
      <c r="AN634" s="609"/>
      <c r="AO634" s="609"/>
      <c r="AP634" s="609"/>
      <c r="AQ634" s="609"/>
    </row>
    <row r="635" spans="25:43" x14ac:dyDescent="0.4">
      <c r="Y635" s="609"/>
      <c r="Z635" s="609"/>
      <c r="AA635" s="609"/>
      <c r="AB635" s="609"/>
      <c r="AC635" s="609"/>
      <c r="AD635" s="609"/>
      <c r="AE635" s="609"/>
      <c r="AF635" s="609"/>
      <c r="AG635" s="609"/>
      <c r="AH635" s="609"/>
      <c r="AI635" s="609"/>
      <c r="AJ635" s="609"/>
      <c r="AK635" s="609"/>
      <c r="AL635" s="609"/>
      <c r="AM635" s="609"/>
      <c r="AN635" s="609"/>
      <c r="AO635" s="609"/>
      <c r="AP635" s="609"/>
      <c r="AQ635" s="609"/>
    </row>
    <row r="636" spans="25:43" x14ac:dyDescent="0.4">
      <c r="Y636" s="609"/>
      <c r="Z636" s="609"/>
      <c r="AA636" s="609"/>
      <c r="AB636" s="609"/>
      <c r="AC636" s="609"/>
      <c r="AD636" s="609"/>
      <c r="AE636" s="609"/>
      <c r="AF636" s="609"/>
      <c r="AG636" s="609"/>
      <c r="AH636" s="609"/>
      <c r="AI636" s="609"/>
      <c r="AJ636" s="609"/>
      <c r="AK636" s="609"/>
      <c r="AL636" s="609"/>
      <c r="AM636" s="609"/>
      <c r="AN636" s="609"/>
      <c r="AO636" s="609"/>
      <c r="AP636" s="609"/>
      <c r="AQ636" s="609"/>
    </row>
    <row r="637" spans="25:43" x14ac:dyDescent="0.4">
      <c r="Y637" s="609"/>
      <c r="Z637" s="609"/>
      <c r="AA637" s="609"/>
      <c r="AB637" s="609"/>
      <c r="AC637" s="609"/>
      <c r="AD637" s="609"/>
      <c r="AE637" s="609"/>
      <c r="AF637" s="609"/>
      <c r="AG637" s="609"/>
      <c r="AH637" s="609"/>
      <c r="AI637" s="609"/>
      <c r="AJ637" s="609"/>
      <c r="AK637" s="609"/>
      <c r="AL637" s="609"/>
      <c r="AM637" s="609"/>
      <c r="AN637" s="609"/>
      <c r="AO637" s="609"/>
      <c r="AP637" s="609"/>
      <c r="AQ637" s="609"/>
    </row>
    <row r="638" spans="25:43" x14ac:dyDescent="0.4">
      <c r="Y638" s="609"/>
      <c r="Z638" s="609"/>
      <c r="AA638" s="609"/>
      <c r="AB638" s="609"/>
      <c r="AC638" s="609"/>
      <c r="AD638" s="609"/>
      <c r="AE638" s="609"/>
      <c r="AF638" s="609"/>
      <c r="AG638" s="609"/>
      <c r="AH638" s="609"/>
      <c r="AI638" s="609"/>
      <c r="AJ638" s="609"/>
      <c r="AK638" s="609"/>
      <c r="AL638" s="609"/>
      <c r="AM638" s="609"/>
      <c r="AN638" s="609"/>
      <c r="AO638" s="609"/>
      <c r="AP638" s="609"/>
      <c r="AQ638" s="609"/>
    </row>
    <row r="639" spans="25:43" x14ac:dyDescent="0.4">
      <c r="Y639" s="609"/>
      <c r="Z639" s="609"/>
      <c r="AA639" s="609"/>
      <c r="AB639" s="609"/>
      <c r="AC639" s="609"/>
      <c r="AD639" s="609"/>
      <c r="AE639" s="609"/>
      <c r="AF639" s="609"/>
      <c r="AG639" s="609"/>
      <c r="AH639" s="609"/>
      <c r="AI639" s="609"/>
      <c r="AJ639" s="609"/>
      <c r="AK639" s="609"/>
      <c r="AL639" s="609"/>
      <c r="AM639" s="609"/>
      <c r="AN639" s="609"/>
      <c r="AO639" s="609"/>
      <c r="AP639" s="609"/>
      <c r="AQ639" s="609"/>
    </row>
    <row r="640" spans="25:43" x14ac:dyDescent="0.4">
      <c r="Y640" s="609"/>
      <c r="Z640" s="609"/>
      <c r="AA640" s="609"/>
      <c r="AB640" s="609"/>
      <c r="AC640" s="609"/>
      <c r="AD640" s="609"/>
      <c r="AE640" s="609"/>
      <c r="AF640" s="609"/>
      <c r="AG640" s="609"/>
      <c r="AH640" s="609"/>
      <c r="AI640" s="609"/>
      <c r="AJ640" s="609"/>
      <c r="AK640" s="609"/>
      <c r="AL640" s="609"/>
      <c r="AM640" s="609"/>
      <c r="AN640" s="609"/>
      <c r="AO640" s="609"/>
      <c r="AP640" s="609"/>
      <c r="AQ640" s="609"/>
    </row>
    <row r="641" spans="25:43" x14ac:dyDescent="0.4">
      <c r="Y641" s="609"/>
      <c r="Z641" s="609"/>
      <c r="AA641" s="609"/>
      <c r="AB641" s="609"/>
      <c r="AC641" s="609"/>
      <c r="AD641" s="609"/>
      <c r="AE641" s="609"/>
      <c r="AF641" s="609"/>
      <c r="AG641" s="609"/>
      <c r="AH641" s="609"/>
      <c r="AI641" s="609"/>
      <c r="AJ641" s="609"/>
      <c r="AK641" s="609"/>
      <c r="AL641" s="609"/>
      <c r="AM641" s="609"/>
      <c r="AN641" s="609"/>
      <c r="AO641" s="609"/>
      <c r="AP641" s="609"/>
      <c r="AQ641" s="609"/>
    </row>
    <row r="642" spans="25:43" x14ac:dyDescent="0.4">
      <c r="Y642" s="609"/>
      <c r="Z642" s="609"/>
      <c r="AA642" s="609"/>
      <c r="AB642" s="609"/>
      <c r="AC642" s="609"/>
      <c r="AD642" s="609"/>
      <c r="AE642" s="609"/>
      <c r="AF642" s="609"/>
      <c r="AG642" s="609"/>
      <c r="AH642" s="609"/>
      <c r="AI642" s="609"/>
      <c r="AJ642" s="609"/>
      <c r="AK642" s="609"/>
      <c r="AL642" s="609"/>
      <c r="AM642" s="609"/>
      <c r="AN642" s="609"/>
      <c r="AO642" s="609"/>
      <c r="AP642" s="609"/>
      <c r="AQ642" s="609"/>
    </row>
    <row r="643" spans="25:43" x14ac:dyDescent="0.4">
      <c r="Y643" s="609"/>
      <c r="Z643" s="609"/>
      <c r="AA643" s="609"/>
      <c r="AB643" s="609"/>
      <c r="AC643" s="609"/>
      <c r="AD643" s="609"/>
      <c r="AE643" s="609"/>
      <c r="AF643" s="609"/>
      <c r="AG643" s="609"/>
      <c r="AH643" s="609"/>
      <c r="AI643" s="609"/>
      <c r="AJ643" s="609"/>
      <c r="AK643" s="609"/>
      <c r="AL643" s="609"/>
      <c r="AM643" s="609"/>
      <c r="AN643" s="609"/>
      <c r="AO643" s="609"/>
      <c r="AP643" s="609"/>
      <c r="AQ643" s="609"/>
    </row>
    <row r="644" spans="25:43" x14ac:dyDescent="0.4">
      <c r="Y644" s="609"/>
      <c r="Z644" s="609"/>
      <c r="AA644" s="609"/>
      <c r="AB644" s="609"/>
      <c r="AC644" s="609"/>
      <c r="AD644" s="609"/>
      <c r="AE644" s="609"/>
      <c r="AF644" s="609"/>
      <c r="AG644" s="609"/>
      <c r="AH644" s="609"/>
      <c r="AI644" s="609"/>
      <c r="AJ644" s="609"/>
      <c r="AK644" s="609"/>
      <c r="AL644" s="609"/>
      <c r="AM644" s="609"/>
      <c r="AN644" s="609"/>
      <c r="AO644" s="609"/>
      <c r="AP644" s="609"/>
      <c r="AQ644" s="609"/>
    </row>
    <row r="645" spans="25:43" x14ac:dyDescent="0.4">
      <c r="Y645" s="609"/>
      <c r="Z645" s="609"/>
      <c r="AA645" s="609"/>
      <c r="AB645" s="609"/>
      <c r="AC645" s="609"/>
      <c r="AD645" s="609"/>
      <c r="AE645" s="609"/>
      <c r="AF645" s="609"/>
      <c r="AG645" s="609"/>
      <c r="AH645" s="609"/>
      <c r="AI645" s="609"/>
      <c r="AJ645" s="609"/>
      <c r="AK645" s="609"/>
      <c r="AL645" s="609"/>
      <c r="AM645" s="609"/>
      <c r="AN645" s="609"/>
      <c r="AO645" s="609"/>
      <c r="AP645" s="609"/>
      <c r="AQ645" s="609"/>
    </row>
    <row r="646" spans="25:43" x14ac:dyDescent="0.4">
      <c r="Y646" s="609"/>
      <c r="Z646" s="609"/>
      <c r="AA646" s="609"/>
      <c r="AB646" s="609"/>
      <c r="AC646" s="609"/>
      <c r="AD646" s="609"/>
      <c r="AE646" s="609"/>
      <c r="AF646" s="609"/>
      <c r="AG646" s="609"/>
      <c r="AH646" s="609"/>
      <c r="AI646" s="609"/>
      <c r="AJ646" s="609"/>
      <c r="AK646" s="609"/>
      <c r="AL646" s="609"/>
      <c r="AM646" s="609"/>
      <c r="AN646" s="609"/>
      <c r="AO646" s="609"/>
      <c r="AP646" s="609"/>
      <c r="AQ646" s="609"/>
    </row>
    <row r="647" spans="25:43" x14ac:dyDescent="0.4">
      <c r="Y647" s="609"/>
      <c r="Z647" s="609"/>
      <c r="AA647" s="609"/>
      <c r="AB647" s="609"/>
      <c r="AC647" s="609"/>
      <c r="AD647" s="609"/>
      <c r="AE647" s="609"/>
      <c r="AF647" s="609"/>
      <c r="AG647" s="609"/>
      <c r="AH647" s="609"/>
      <c r="AI647" s="609"/>
      <c r="AJ647" s="609"/>
      <c r="AK647" s="609"/>
      <c r="AL647" s="609"/>
      <c r="AM647" s="609"/>
      <c r="AN647" s="609"/>
      <c r="AO647" s="609"/>
      <c r="AP647" s="609"/>
      <c r="AQ647" s="609"/>
    </row>
    <row r="648" spans="25:43" x14ac:dyDescent="0.4">
      <c r="Y648" s="609"/>
      <c r="Z648" s="609"/>
      <c r="AA648" s="609"/>
      <c r="AB648" s="609"/>
      <c r="AC648" s="609"/>
      <c r="AD648" s="609"/>
      <c r="AE648" s="609"/>
      <c r="AF648" s="609"/>
      <c r="AG648" s="609"/>
      <c r="AH648" s="609"/>
      <c r="AI648" s="609"/>
      <c r="AJ648" s="609"/>
      <c r="AK648" s="609"/>
      <c r="AL648" s="609"/>
      <c r="AM648" s="609"/>
      <c r="AN648" s="609"/>
      <c r="AO648" s="609"/>
      <c r="AP648" s="609"/>
      <c r="AQ648" s="609"/>
    </row>
    <row r="649" spans="25:43" x14ac:dyDescent="0.4">
      <c r="Y649" s="609"/>
      <c r="Z649" s="609"/>
      <c r="AA649" s="609"/>
      <c r="AB649" s="609"/>
      <c r="AC649" s="609"/>
      <c r="AD649" s="609"/>
      <c r="AE649" s="609"/>
      <c r="AF649" s="609"/>
      <c r="AG649" s="609"/>
      <c r="AH649" s="609"/>
      <c r="AI649" s="609"/>
      <c r="AJ649" s="609"/>
      <c r="AK649" s="609"/>
      <c r="AL649" s="609"/>
      <c r="AM649" s="609"/>
      <c r="AN649" s="609"/>
      <c r="AO649" s="609"/>
      <c r="AP649" s="609"/>
      <c r="AQ649" s="609"/>
    </row>
    <row r="650" spans="25:43" x14ac:dyDescent="0.4">
      <c r="Y650" s="609"/>
      <c r="Z650" s="609"/>
      <c r="AA650" s="609"/>
      <c r="AB650" s="609"/>
      <c r="AC650" s="609"/>
      <c r="AD650" s="609"/>
      <c r="AE650" s="609"/>
      <c r="AF650" s="609"/>
      <c r="AG650" s="609"/>
      <c r="AH650" s="609"/>
      <c r="AI650" s="609"/>
      <c r="AJ650" s="609"/>
      <c r="AK650" s="609"/>
      <c r="AL650" s="609"/>
      <c r="AM650" s="609"/>
      <c r="AN650" s="609"/>
      <c r="AO650" s="609"/>
      <c r="AP650" s="609"/>
      <c r="AQ650" s="609"/>
    </row>
    <row r="651" spans="25:43" x14ac:dyDescent="0.4">
      <c r="Y651" s="609"/>
      <c r="Z651" s="609"/>
      <c r="AA651" s="609"/>
      <c r="AB651" s="609"/>
      <c r="AC651" s="609"/>
      <c r="AD651" s="609"/>
      <c r="AE651" s="609"/>
      <c r="AF651" s="609"/>
      <c r="AG651" s="609"/>
      <c r="AH651" s="609"/>
      <c r="AI651" s="609"/>
      <c r="AJ651" s="609"/>
      <c r="AK651" s="609"/>
      <c r="AL651" s="609"/>
      <c r="AM651" s="609"/>
      <c r="AN651" s="609"/>
      <c r="AO651" s="609"/>
      <c r="AP651" s="609"/>
      <c r="AQ651" s="609"/>
    </row>
    <row r="652" spans="25:43" x14ac:dyDescent="0.4">
      <c r="Y652" s="609"/>
      <c r="Z652" s="609"/>
      <c r="AA652" s="609"/>
      <c r="AB652" s="609"/>
      <c r="AC652" s="609"/>
      <c r="AD652" s="609"/>
      <c r="AE652" s="609"/>
      <c r="AF652" s="609"/>
      <c r="AG652" s="609"/>
      <c r="AH652" s="609"/>
      <c r="AI652" s="609"/>
      <c r="AJ652" s="609"/>
      <c r="AK652" s="609"/>
      <c r="AL652" s="609"/>
      <c r="AM652" s="609"/>
      <c r="AN652" s="609"/>
      <c r="AO652" s="609"/>
      <c r="AP652" s="609"/>
      <c r="AQ652" s="609"/>
    </row>
    <row r="653" spans="25:43" x14ac:dyDescent="0.4">
      <c r="Y653" s="609"/>
      <c r="Z653" s="609"/>
      <c r="AA653" s="609"/>
      <c r="AB653" s="609"/>
      <c r="AC653" s="609"/>
      <c r="AD653" s="609"/>
      <c r="AE653" s="609"/>
      <c r="AF653" s="609"/>
      <c r="AG653" s="609"/>
      <c r="AH653" s="609"/>
      <c r="AI653" s="609"/>
      <c r="AJ653" s="609"/>
      <c r="AK653" s="609"/>
      <c r="AL653" s="609"/>
      <c r="AM653" s="609"/>
      <c r="AN653" s="609"/>
      <c r="AO653" s="609"/>
      <c r="AP653" s="609"/>
      <c r="AQ653" s="609"/>
    </row>
    <row r="654" spans="25:43" x14ac:dyDescent="0.4">
      <c r="Y654" s="609"/>
      <c r="Z654" s="609"/>
      <c r="AA654" s="609"/>
      <c r="AB654" s="609"/>
      <c r="AC654" s="609"/>
      <c r="AD654" s="609"/>
      <c r="AE654" s="609"/>
      <c r="AF654" s="609"/>
      <c r="AG654" s="609"/>
      <c r="AH654" s="609"/>
      <c r="AI654" s="609"/>
      <c r="AJ654" s="609"/>
      <c r="AK654" s="609"/>
      <c r="AL654" s="609"/>
      <c r="AM654" s="609"/>
      <c r="AN654" s="609"/>
      <c r="AO654" s="609"/>
      <c r="AP654" s="609"/>
      <c r="AQ654" s="609"/>
    </row>
    <row r="655" spans="25:43" x14ac:dyDescent="0.4">
      <c r="Y655" s="609"/>
      <c r="Z655" s="609"/>
      <c r="AA655" s="609"/>
      <c r="AB655" s="609"/>
      <c r="AC655" s="609"/>
      <c r="AD655" s="609"/>
      <c r="AE655" s="609"/>
      <c r="AF655" s="609"/>
      <c r="AG655" s="609"/>
      <c r="AH655" s="609"/>
      <c r="AI655" s="609"/>
      <c r="AJ655" s="609"/>
      <c r="AK655" s="609"/>
      <c r="AL655" s="609"/>
      <c r="AM655" s="609"/>
      <c r="AN655" s="609"/>
      <c r="AO655" s="609"/>
      <c r="AP655" s="609"/>
      <c r="AQ655" s="609"/>
    </row>
    <row r="656" spans="25:43" x14ac:dyDescent="0.4">
      <c r="Y656" s="609"/>
      <c r="Z656" s="609"/>
      <c r="AA656" s="609"/>
      <c r="AB656" s="609"/>
      <c r="AC656" s="609"/>
      <c r="AD656" s="609"/>
      <c r="AE656" s="609"/>
      <c r="AF656" s="609"/>
      <c r="AG656" s="609"/>
      <c r="AH656" s="609"/>
      <c r="AI656" s="609"/>
      <c r="AJ656" s="609"/>
      <c r="AK656" s="609"/>
      <c r="AL656" s="609"/>
      <c r="AM656" s="609"/>
      <c r="AN656" s="609"/>
      <c r="AO656" s="609"/>
      <c r="AP656" s="609"/>
      <c r="AQ656" s="609"/>
    </row>
    <row r="657" spans="25:43" x14ac:dyDescent="0.4">
      <c r="Y657" s="609"/>
      <c r="Z657" s="609"/>
      <c r="AA657" s="609"/>
      <c r="AB657" s="609"/>
      <c r="AC657" s="609"/>
      <c r="AD657" s="609"/>
      <c r="AE657" s="609"/>
      <c r="AF657" s="609"/>
      <c r="AG657" s="609"/>
      <c r="AH657" s="609"/>
      <c r="AI657" s="609"/>
      <c r="AJ657" s="609"/>
      <c r="AK657" s="609"/>
      <c r="AL657" s="609"/>
      <c r="AM657" s="609"/>
      <c r="AN657" s="609"/>
      <c r="AO657" s="609"/>
      <c r="AP657" s="609"/>
      <c r="AQ657" s="609"/>
    </row>
    <row r="658" spans="25:43" x14ac:dyDescent="0.4">
      <c r="Y658" s="609"/>
      <c r="Z658" s="609"/>
      <c r="AA658" s="609"/>
      <c r="AB658" s="609"/>
      <c r="AC658" s="609"/>
      <c r="AD658" s="609"/>
      <c r="AE658" s="609"/>
      <c r="AF658" s="609"/>
      <c r="AG658" s="609"/>
      <c r="AH658" s="609"/>
      <c r="AI658" s="609"/>
      <c r="AJ658" s="609"/>
      <c r="AK658" s="609"/>
      <c r="AL658" s="609"/>
      <c r="AM658" s="609"/>
      <c r="AN658" s="609"/>
      <c r="AO658" s="609"/>
      <c r="AP658" s="609"/>
      <c r="AQ658" s="609"/>
    </row>
    <row r="659" spans="25:43" x14ac:dyDescent="0.4">
      <c r="Y659" s="609"/>
      <c r="Z659" s="609"/>
      <c r="AA659" s="609"/>
      <c r="AB659" s="609"/>
      <c r="AC659" s="609"/>
      <c r="AD659" s="609"/>
      <c r="AE659" s="609"/>
      <c r="AF659" s="609"/>
      <c r="AG659" s="609"/>
      <c r="AH659" s="609"/>
      <c r="AI659" s="609"/>
      <c r="AJ659" s="609"/>
      <c r="AK659" s="609"/>
      <c r="AL659" s="609"/>
      <c r="AM659" s="609"/>
      <c r="AN659" s="609"/>
      <c r="AO659" s="609"/>
      <c r="AP659" s="609"/>
      <c r="AQ659" s="609"/>
    </row>
    <row r="660" spans="25:43" x14ac:dyDescent="0.4">
      <c r="Y660" s="609"/>
      <c r="Z660" s="609"/>
      <c r="AA660" s="609"/>
      <c r="AB660" s="609"/>
      <c r="AC660" s="609"/>
      <c r="AD660" s="609"/>
      <c r="AE660" s="609"/>
      <c r="AF660" s="609"/>
      <c r="AG660" s="609"/>
      <c r="AH660" s="609"/>
      <c r="AI660" s="609"/>
      <c r="AJ660" s="609"/>
      <c r="AK660" s="609"/>
      <c r="AL660" s="609"/>
      <c r="AM660" s="609"/>
      <c r="AN660" s="609"/>
      <c r="AO660" s="609"/>
      <c r="AP660" s="609"/>
      <c r="AQ660" s="609"/>
    </row>
    <row r="661" spans="25:43" x14ac:dyDescent="0.4">
      <c r="Y661" s="609"/>
      <c r="Z661" s="609"/>
      <c r="AA661" s="609"/>
      <c r="AB661" s="609"/>
      <c r="AC661" s="609"/>
      <c r="AD661" s="609"/>
      <c r="AE661" s="609"/>
      <c r="AF661" s="609"/>
      <c r="AG661" s="609"/>
      <c r="AH661" s="609"/>
      <c r="AI661" s="609"/>
      <c r="AJ661" s="609"/>
      <c r="AK661" s="609"/>
      <c r="AL661" s="609"/>
      <c r="AM661" s="609"/>
      <c r="AN661" s="609"/>
      <c r="AO661" s="609"/>
      <c r="AP661" s="609"/>
      <c r="AQ661" s="609"/>
    </row>
    <row r="662" spans="25:43" x14ac:dyDescent="0.4">
      <c r="Y662" s="609"/>
      <c r="Z662" s="609"/>
      <c r="AA662" s="609"/>
      <c r="AB662" s="609"/>
      <c r="AC662" s="609"/>
      <c r="AD662" s="609"/>
      <c r="AE662" s="609"/>
      <c r="AF662" s="609"/>
      <c r="AG662" s="609"/>
      <c r="AH662" s="609"/>
      <c r="AI662" s="609"/>
      <c r="AJ662" s="609"/>
      <c r="AK662" s="609"/>
      <c r="AL662" s="609"/>
      <c r="AM662" s="609"/>
      <c r="AN662" s="609"/>
      <c r="AO662" s="609"/>
      <c r="AP662" s="609"/>
      <c r="AQ662" s="609"/>
    </row>
    <row r="663" spans="25:43" x14ac:dyDescent="0.4">
      <c r="Y663" s="609"/>
      <c r="Z663" s="609"/>
      <c r="AA663" s="609"/>
      <c r="AB663" s="609"/>
      <c r="AC663" s="609"/>
      <c r="AD663" s="609"/>
      <c r="AE663" s="609"/>
      <c r="AF663" s="609"/>
      <c r="AG663" s="609"/>
      <c r="AH663" s="609"/>
      <c r="AI663" s="609"/>
      <c r="AJ663" s="609"/>
      <c r="AK663" s="609"/>
      <c r="AL663" s="609"/>
      <c r="AM663" s="609"/>
      <c r="AN663" s="609"/>
      <c r="AO663" s="609"/>
      <c r="AP663" s="609"/>
      <c r="AQ663" s="609"/>
    </row>
    <row r="664" spans="25:43" x14ac:dyDescent="0.4">
      <c r="Y664" s="609"/>
      <c r="Z664" s="609"/>
      <c r="AA664" s="609"/>
      <c r="AB664" s="609"/>
      <c r="AC664" s="609"/>
      <c r="AD664" s="609"/>
      <c r="AE664" s="609"/>
      <c r="AF664" s="609"/>
      <c r="AG664" s="609"/>
      <c r="AH664" s="609"/>
      <c r="AI664" s="609"/>
      <c r="AJ664" s="609"/>
      <c r="AK664" s="609"/>
      <c r="AL664" s="609"/>
      <c r="AM664" s="609"/>
      <c r="AN664" s="609"/>
      <c r="AO664" s="609"/>
      <c r="AP664" s="609"/>
      <c r="AQ664" s="609"/>
    </row>
    <row r="665" spans="25:43" x14ac:dyDescent="0.4">
      <c r="Y665" s="609"/>
      <c r="Z665" s="609"/>
      <c r="AA665" s="609"/>
      <c r="AB665" s="609"/>
      <c r="AC665" s="609"/>
      <c r="AD665" s="609"/>
      <c r="AE665" s="609"/>
      <c r="AF665" s="609"/>
      <c r="AG665" s="609"/>
      <c r="AH665" s="609"/>
      <c r="AI665" s="609"/>
      <c r="AJ665" s="609"/>
      <c r="AK665" s="609"/>
      <c r="AL665" s="609"/>
      <c r="AM665" s="609"/>
      <c r="AN665" s="609"/>
      <c r="AO665" s="609"/>
      <c r="AP665" s="609"/>
      <c r="AQ665" s="609"/>
    </row>
    <row r="666" spans="25:43" x14ac:dyDescent="0.4">
      <c r="Y666" s="609"/>
      <c r="Z666" s="609"/>
      <c r="AA666" s="609"/>
      <c r="AB666" s="609"/>
      <c r="AC666" s="609"/>
      <c r="AD666" s="609"/>
      <c r="AE666" s="609"/>
      <c r="AF666" s="609"/>
      <c r="AG666" s="609"/>
      <c r="AH666" s="609"/>
      <c r="AI666" s="609"/>
      <c r="AJ666" s="609"/>
      <c r="AK666" s="609"/>
      <c r="AL666" s="609"/>
      <c r="AM666" s="609"/>
      <c r="AN666" s="609"/>
      <c r="AO666" s="609"/>
      <c r="AP666" s="609"/>
      <c r="AQ666" s="609"/>
    </row>
    <row r="667" spans="25:43" x14ac:dyDescent="0.4">
      <c r="Y667" s="609"/>
      <c r="Z667" s="609"/>
      <c r="AA667" s="609"/>
      <c r="AB667" s="609"/>
      <c r="AC667" s="609"/>
      <c r="AD667" s="609"/>
      <c r="AE667" s="609"/>
      <c r="AF667" s="609"/>
      <c r="AG667" s="609"/>
      <c r="AH667" s="609"/>
      <c r="AI667" s="609"/>
      <c r="AJ667" s="609"/>
      <c r="AK667" s="609"/>
      <c r="AL667" s="609"/>
      <c r="AM667" s="609"/>
      <c r="AN667" s="609"/>
      <c r="AO667" s="609"/>
      <c r="AP667" s="609"/>
      <c r="AQ667" s="609"/>
    </row>
    <row r="668" spans="25:43" x14ac:dyDescent="0.4">
      <c r="Y668" s="609"/>
      <c r="Z668" s="609"/>
      <c r="AA668" s="609"/>
      <c r="AB668" s="609"/>
      <c r="AC668" s="609"/>
      <c r="AD668" s="609"/>
      <c r="AE668" s="609"/>
      <c r="AF668" s="609"/>
      <c r="AG668" s="609"/>
      <c r="AH668" s="609"/>
      <c r="AI668" s="609"/>
      <c r="AJ668" s="609"/>
      <c r="AK668" s="609"/>
      <c r="AL668" s="609"/>
      <c r="AM668" s="609"/>
      <c r="AN668" s="609"/>
      <c r="AO668" s="609"/>
      <c r="AP668" s="609"/>
      <c r="AQ668" s="609"/>
    </row>
    <row r="669" spans="25:43" x14ac:dyDescent="0.4">
      <c r="Y669" s="609"/>
      <c r="Z669" s="609"/>
      <c r="AA669" s="609"/>
      <c r="AB669" s="609"/>
      <c r="AC669" s="609"/>
      <c r="AD669" s="609"/>
      <c r="AE669" s="609"/>
      <c r="AF669" s="609"/>
      <c r="AG669" s="609"/>
      <c r="AH669" s="609"/>
      <c r="AI669" s="609"/>
      <c r="AJ669" s="609"/>
      <c r="AK669" s="609"/>
      <c r="AL669" s="609"/>
      <c r="AM669" s="609"/>
      <c r="AN669" s="609"/>
      <c r="AO669" s="609"/>
      <c r="AP669" s="609"/>
      <c r="AQ669" s="609"/>
    </row>
    <row r="670" spans="25:43" x14ac:dyDescent="0.4">
      <c r="Y670" s="609"/>
      <c r="Z670" s="609"/>
      <c r="AA670" s="609"/>
      <c r="AB670" s="609"/>
      <c r="AC670" s="609"/>
      <c r="AD670" s="609"/>
      <c r="AE670" s="609"/>
      <c r="AF670" s="609"/>
      <c r="AG670" s="609"/>
      <c r="AH670" s="609"/>
      <c r="AI670" s="609"/>
      <c r="AJ670" s="609"/>
      <c r="AK670" s="609"/>
      <c r="AL670" s="609"/>
      <c r="AM670" s="609"/>
      <c r="AN670" s="609"/>
      <c r="AO670" s="609"/>
      <c r="AP670" s="609"/>
      <c r="AQ670" s="609"/>
    </row>
    <row r="671" spans="25:43" x14ac:dyDescent="0.4">
      <c r="Y671" s="609"/>
      <c r="Z671" s="609"/>
      <c r="AA671" s="609"/>
      <c r="AB671" s="609"/>
      <c r="AC671" s="609"/>
      <c r="AD671" s="609"/>
      <c r="AE671" s="609"/>
      <c r="AF671" s="609"/>
      <c r="AG671" s="609"/>
      <c r="AH671" s="609"/>
      <c r="AI671" s="609"/>
      <c r="AJ671" s="609"/>
      <c r="AK671" s="609"/>
      <c r="AL671" s="609"/>
      <c r="AM671" s="609"/>
      <c r="AN671" s="609"/>
      <c r="AO671" s="609"/>
      <c r="AP671" s="609"/>
      <c r="AQ671" s="609"/>
    </row>
    <row r="672" spans="25:43" x14ac:dyDescent="0.4">
      <c r="Y672" s="609"/>
      <c r="Z672" s="609"/>
      <c r="AA672" s="609"/>
      <c r="AB672" s="609"/>
      <c r="AC672" s="609"/>
      <c r="AD672" s="609"/>
      <c r="AE672" s="609"/>
      <c r="AF672" s="609"/>
      <c r="AG672" s="609"/>
      <c r="AH672" s="609"/>
      <c r="AI672" s="609"/>
      <c r="AJ672" s="609"/>
      <c r="AK672" s="609"/>
      <c r="AL672" s="609"/>
      <c r="AM672" s="609"/>
      <c r="AN672" s="609"/>
      <c r="AO672" s="609"/>
      <c r="AP672" s="609"/>
      <c r="AQ672" s="609"/>
    </row>
    <row r="673" spans="25:43" x14ac:dyDescent="0.4">
      <c r="Y673" s="609"/>
      <c r="Z673" s="609"/>
      <c r="AA673" s="609"/>
      <c r="AB673" s="609"/>
      <c r="AC673" s="609"/>
      <c r="AD673" s="609"/>
      <c r="AE673" s="609"/>
      <c r="AF673" s="609"/>
      <c r="AG673" s="609"/>
      <c r="AH673" s="609"/>
      <c r="AI673" s="609"/>
      <c r="AJ673" s="609"/>
      <c r="AK673" s="609"/>
      <c r="AL673" s="609"/>
      <c r="AM673" s="609"/>
      <c r="AN673" s="609"/>
      <c r="AO673" s="609"/>
      <c r="AP673" s="609"/>
      <c r="AQ673" s="609"/>
    </row>
    <row r="674" spans="25:43" x14ac:dyDescent="0.4">
      <c r="Y674" s="609"/>
      <c r="Z674" s="609"/>
      <c r="AA674" s="609"/>
      <c r="AB674" s="609"/>
      <c r="AC674" s="609"/>
      <c r="AD674" s="609"/>
      <c r="AE674" s="609"/>
      <c r="AF674" s="609"/>
      <c r="AG674" s="609"/>
      <c r="AH674" s="609"/>
      <c r="AI674" s="609"/>
      <c r="AJ674" s="609"/>
      <c r="AK674" s="609"/>
      <c r="AL674" s="609"/>
      <c r="AM674" s="609"/>
      <c r="AN674" s="609"/>
      <c r="AO674" s="609"/>
      <c r="AP674" s="609"/>
      <c r="AQ674" s="609"/>
    </row>
    <row r="675" spans="25:43" x14ac:dyDescent="0.4">
      <c r="Y675" s="609"/>
      <c r="Z675" s="609"/>
      <c r="AA675" s="609"/>
      <c r="AB675" s="609"/>
      <c r="AC675" s="609"/>
      <c r="AD675" s="609"/>
      <c r="AE675" s="609"/>
      <c r="AF675" s="609"/>
      <c r="AG675" s="609"/>
      <c r="AH675" s="609"/>
      <c r="AI675" s="609"/>
      <c r="AJ675" s="609"/>
      <c r="AK675" s="609"/>
      <c r="AL675" s="609"/>
      <c r="AM675" s="609"/>
      <c r="AN675" s="609"/>
      <c r="AO675" s="609"/>
      <c r="AP675" s="609"/>
      <c r="AQ675" s="609"/>
    </row>
    <row r="676" spans="25:43" x14ac:dyDescent="0.4">
      <c r="Y676" s="609"/>
      <c r="Z676" s="609"/>
      <c r="AA676" s="609"/>
      <c r="AB676" s="609"/>
      <c r="AC676" s="609"/>
      <c r="AD676" s="609"/>
      <c r="AE676" s="609"/>
      <c r="AF676" s="609"/>
      <c r="AG676" s="609"/>
      <c r="AH676" s="609"/>
      <c r="AI676" s="609"/>
      <c r="AJ676" s="609"/>
      <c r="AK676" s="609"/>
      <c r="AL676" s="609"/>
      <c r="AM676" s="609"/>
      <c r="AN676" s="609"/>
      <c r="AO676" s="609"/>
      <c r="AP676" s="609"/>
      <c r="AQ676" s="609"/>
    </row>
    <row r="677" spans="25:43" x14ac:dyDescent="0.4">
      <c r="Y677" s="609"/>
      <c r="Z677" s="609"/>
      <c r="AA677" s="609"/>
      <c r="AB677" s="609"/>
      <c r="AC677" s="609"/>
      <c r="AD677" s="609"/>
      <c r="AE677" s="609"/>
      <c r="AF677" s="609"/>
      <c r="AG677" s="609"/>
      <c r="AH677" s="609"/>
      <c r="AI677" s="609"/>
      <c r="AJ677" s="609"/>
      <c r="AK677" s="609"/>
      <c r="AL677" s="609"/>
      <c r="AM677" s="609"/>
      <c r="AN677" s="609"/>
      <c r="AO677" s="609"/>
      <c r="AP677" s="609"/>
      <c r="AQ677" s="609"/>
    </row>
    <row r="678" spans="25:43" x14ac:dyDescent="0.4">
      <c r="Y678" s="609"/>
      <c r="Z678" s="609"/>
      <c r="AA678" s="609"/>
      <c r="AB678" s="609"/>
      <c r="AC678" s="609"/>
      <c r="AD678" s="609"/>
      <c r="AE678" s="609"/>
      <c r="AF678" s="609"/>
      <c r="AG678" s="609"/>
      <c r="AH678" s="609"/>
      <c r="AI678" s="609"/>
      <c r="AJ678" s="609"/>
      <c r="AK678" s="609"/>
      <c r="AL678" s="609"/>
      <c r="AM678" s="609"/>
      <c r="AN678" s="609"/>
      <c r="AO678" s="609"/>
      <c r="AP678" s="609"/>
      <c r="AQ678" s="609"/>
    </row>
    <row r="679" spans="25:43" x14ac:dyDescent="0.4">
      <c r="Y679" s="609"/>
      <c r="Z679" s="609"/>
      <c r="AA679" s="609"/>
      <c r="AB679" s="609"/>
      <c r="AC679" s="609"/>
      <c r="AD679" s="609"/>
      <c r="AE679" s="609"/>
      <c r="AF679" s="609"/>
      <c r="AG679" s="609"/>
      <c r="AH679" s="609"/>
      <c r="AI679" s="609"/>
      <c r="AJ679" s="609"/>
      <c r="AK679" s="609"/>
      <c r="AL679" s="609"/>
      <c r="AM679" s="609"/>
      <c r="AN679" s="609"/>
      <c r="AO679" s="609"/>
      <c r="AP679" s="609"/>
      <c r="AQ679" s="609"/>
    </row>
    <row r="680" spans="25:43" x14ac:dyDescent="0.4">
      <c r="Y680" s="609"/>
      <c r="Z680" s="609"/>
      <c r="AA680" s="609"/>
      <c r="AB680" s="609"/>
      <c r="AC680" s="609"/>
      <c r="AD680" s="609"/>
      <c r="AE680" s="609"/>
      <c r="AF680" s="609"/>
      <c r="AG680" s="609"/>
      <c r="AH680" s="609"/>
      <c r="AI680" s="609"/>
      <c r="AJ680" s="609"/>
      <c r="AK680" s="609"/>
      <c r="AL680" s="609"/>
      <c r="AM680" s="609"/>
      <c r="AN680" s="609"/>
      <c r="AO680" s="609"/>
      <c r="AP680" s="609"/>
      <c r="AQ680" s="609"/>
    </row>
    <row r="681" spans="25:43" x14ac:dyDescent="0.4">
      <c r="Y681" s="609"/>
      <c r="Z681" s="609"/>
      <c r="AA681" s="609"/>
      <c r="AB681" s="609"/>
      <c r="AC681" s="609"/>
      <c r="AD681" s="609"/>
      <c r="AE681" s="609"/>
      <c r="AF681" s="609"/>
      <c r="AG681" s="609"/>
      <c r="AH681" s="609"/>
      <c r="AI681" s="609"/>
      <c r="AJ681" s="609"/>
      <c r="AK681" s="609"/>
      <c r="AL681" s="609"/>
      <c r="AM681" s="609"/>
      <c r="AN681" s="609"/>
      <c r="AO681" s="609"/>
      <c r="AP681" s="609"/>
      <c r="AQ681" s="609"/>
    </row>
    <row r="682" spans="25:43" x14ac:dyDescent="0.4">
      <c r="Y682" s="609"/>
      <c r="Z682" s="609"/>
      <c r="AA682" s="609"/>
      <c r="AB682" s="609"/>
      <c r="AC682" s="609"/>
      <c r="AD682" s="609"/>
      <c r="AE682" s="609"/>
      <c r="AF682" s="609"/>
      <c r="AG682" s="609"/>
      <c r="AH682" s="609"/>
      <c r="AI682" s="609"/>
      <c r="AJ682" s="609"/>
      <c r="AK682" s="609"/>
      <c r="AL682" s="609"/>
      <c r="AM682" s="609"/>
      <c r="AN682" s="609"/>
      <c r="AO682" s="609"/>
      <c r="AP682" s="609"/>
      <c r="AQ682" s="609"/>
    </row>
    <row r="683" spans="25:43" x14ac:dyDescent="0.4">
      <c r="Y683" s="609"/>
      <c r="Z683" s="609"/>
      <c r="AA683" s="609"/>
      <c r="AB683" s="609"/>
      <c r="AC683" s="609"/>
      <c r="AD683" s="609"/>
      <c r="AE683" s="609"/>
      <c r="AF683" s="609"/>
      <c r="AG683" s="609"/>
      <c r="AH683" s="609"/>
      <c r="AI683" s="609"/>
      <c r="AJ683" s="609"/>
      <c r="AK683" s="609"/>
      <c r="AL683" s="609"/>
      <c r="AM683" s="609"/>
      <c r="AN683" s="609"/>
      <c r="AO683" s="609"/>
      <c r="AP683" s="609"/>
      <c r="AQ683" s="609"/>
    </row>
    <row r="684" spans="25:43" x14ac:dyDescent="0.4">
      <c r="Y684" s="609"/>
      <c r="Z684" s="609"/>
      <c r="AA684" s="609"/>
      <c r="AB684" s="609"/>
      <c r="AC684" s="609"/>
      <c r="AD684" s="609"/>
      <c r="AE684" s="609"/>
      <c r="AF684" s="609"/>
      <c r="AG684" s="609"/>
      <c r="AH684" s="609"/>
      <c r="AI684" s="609"/>
      <c r="AJ684" s="609"/>
      <c r="AK684" s="609"/>
      <c r="AL684" s="609"/>
      <c r="AM684" s="609"/>
      <c r="AN684" s="609"/>
      <c r="AO684" s="609"/>
      <c r="AP684" s="609"/>
      <c r="AQ684" s="609"/>
    </row>
    <row r="685" spans="25:43" x14ac:dyDescent="0.4">
      <c r="Y685" s="609"/>
      <c r="Z685" s="609"/>
      <c r="AA685" s="609"/>
      <c r="AB685" s="609"/>
      <c r="AC685" s="609"/>
      <c r="AD685" s="609"/>
      <c r="AE685" s="609"/>
      <c r="AF685" s="609"/>
      <c r="AG685" s="609"/>
      <c r="AH685" s="609"/>
      <c r="AI685" s="609"/>
      <c r="AJ685" s="609"/>
      <c r="AK685" s="609"/>
      <c r="AL685" s="609"/>
      <c r="AM685" s="609"/>
      <c r="AN685" s="609"/>
      <c r="AO685" s="609"/>
      <c r="AP685" s="609"/>
      <c r="AQ685" s="609"/>
    </row>
    <row r="686" spans="25:43" x14ac:dyDescent="0.4">
      <c r="Y686" s="609"/>
      <c r="Z686" s="609"/>
      <c r="AA686" s="609"/>
      <c r="AB686" s="609"/>
      <c r="AC686" s="609"/>
      <c r="AD686" s="609"/>
      <c r="AE686" s="609"/>
      <c r="AF686" s="609"/>
      <c r="AG686" s="609"/>
      <c r="AH686" s="609"/>
      <c r="AI686" s="609"/>
      <c r="AJ686" s="609"/>
      <c r="AK686" s="609"/>
      <c r="AL686" s="609"/>
      <c r="AM686" s="609"/>
      <c r="AN686" s="609"/>
      <c r="AO686" s="609"/>
      <c r="AP686" s="609"/>
      <c r="AQ686" s="609"/>
    </row>
    <row r="687" spans="25:43" x14ac:dyDescent="0.4">
      <c r="Y687" s="609"/>
      <c r="Z687" s="609"/>
      <c r="AA687" s="609"/>
      <c r="AB687" s="609"/>
      <c r="AC687" s="609"/>
      <c r="AD687" s="609"/>
      <c r="AE687" s="609"/>
      <c r="AF687" s="609"/>
      <c r="AG687" s="609"/>
      <c r="AH687" s="609"/>
      <c r="AI687" s="609"/>
      <c r="AJ687" s="609"/>
      <c r="AK687" s="609"/>
      <c r="AL687" s="609"/>
      <c r="AM687" s="609"/>
      <c r="AN687" s="609"/>
      <c r="AO687" s="609"/>
      <c r="AP687" s="609"/>
      <c r="AQ687" s="609"/>
    </row>
    <row r="688" spans="25:43" x14ac:dyDescent="0.4">
      <c r="Y688" s="609"/>
      <c r="Z688" s="609"/>
      <c r="AA688" s="609"/>
      <c r="AB688" s="609"/>
      <c r="AC688" s="609"/>
      <c r="AD688" s="609"/>
      <c r="AE688" s="609"/>
      <c r="AF688" s="609"/>
      <c r="AG688" s="609"/>
      <c r="AH688" s="609"/>
      <c r="AI688" s="609"/>
      <c r="AJ688" s="609"/>
      <c r="AK688" s="609"/>
      <c r="AL688" s="609"/>
      <c r="AM688" s="609"/>
      <c r="AN688" s="609"/>
      <c r="AO688" s="609"/>
      <c r="AP688" s="609"/>
      <c r="AQ688" s="609"/>
    </row>
    <row r="689" spans="25:43" x14ac:dyDescent="0.4">
      <c r="Y689" s="609"/>
      <c r="Z689" s="609"/>
      <c r="AA689" s="609"/>
      <c r="AB689" s="609"/>
      <c r="AC689" s="609"/>
      <c r="AD689" s="609"/>
      <c r="AE689" s="609"/>
      <c r="AF689" s="609"/>
      <c r="AG689" s="609"/>
      <c r="AH689" s="609"/>
      <c r="AI689" s="609"/>
      <c r="AJ689" s="609"/>
      <c r="AK689" s="609"/>
      <c r="AL689" s="609"/>
      <c r="AM689" s="609"/>
      <c r="AN689" s="609"/>
      <c r="AO689" s="609"/>
      <c r="AP689" s="609"/>
      <c r="AQ689" s="609"/>
    </row>
    <row r="690" spans="25:43" x14ac:dyDescent="0.4">
      <c r="Y690" s="609"/>
      <c r="Z690" s="609"/>
      <c r="AA690" s="609"/>
      <c r="AB690" s="609"/>
      <c r="AC690" s="609"/>
      <c r="AD690" s="609"/>
      <c r="AE690" s="609"/>
      <c r="AF690" s="609"/>
      <c r="AG690" s="609"/>
      <c r="AH690" s="609"/>
      <c r="AI690" s="609"/>
      <c r="AJ690" s="609"/>
      <c r="AK690" s="609"/>
      <c r="AL690" s="609"/>
      <c r="AM690" s="609"/>
      <c r="AN690" s="609"/>
      <c r="AO690" s="609"/>
      <c r="AP690" s="609"/>
      <c r="AQ690" s="609"/>
    </row>
    <row r="691" spans="25:43" x14ac:dyDescent="0.4">
      <c r="Y691" s="609"/>
      <c r="Z691" s="609"/>
      <c r="AA691" s="609"/>
      <c r="AB691" s="609"/>
      <c r="AC691" s="609"/>
      <c r="AD691" s="609"/>
      <c r="AE691" s="609"/>
      <c r="AF691" s="609"/>
      <c r="AG691" s="609"/>
      <c r="AH691" s="609"/>
      <c r="AI691" s="609"/>
      <c r="AJ691" s="609"/>
      <c r="AK691" s="609"/>
      <c r="AL691" s="609"/>
      <c r="AM691" s="609"/>
      <c r="AN691" s="609"/>
      <c r="AO691" s="609"/>
      <c r="AP691" s="609"/>
      <c r="AQ691" s="609"/>
    </row>
    <row r="692" spans="25:43" x14ac:dyDescent="0.4">
      <c r="Y692" s="609"/>
      <c r="Z692" s="609"/>
      <c r="AA692" s="609"/>
      <c r="AB692" s="609"/>
      <c r="AC692" s="609"/>
      <c r="AD692" s="609"/>
      <c r="AE692" s="609"/>
      <c r="AF692" s="609"/>
      <c r="AG692" s="609"/>
      <c r="AH692" s="609"/>
      <c r="AI692" s="609"/>
      <c r="AJ692" s="609"/>
      <c r="AK692" s="609"/>
      <c r="AL692" s="609"/>
      <c r="AM692" s="609"/>
      <c r="AN692" s="609"/>
      <c r="AO692" s="609"/>
      <c r="AP692" s="609"/>
      <c r="AQ692" s="609"/>
    </row>
    <row r="693" spans="25:43" x14ac:dyDescent="0.4">
      <c r="Y693" s="609"/>
      <c r="Z693" s="609"/>
      <c r="AA693" s="609"/>
      <c r="AB693" s="609"/>
      <c r="AC693" s="609"/>
      <c r="AD693" s="609"/>
      <c r="AE693" s="609"/>
      <c r="AF693" s="609"/>
      <c r="AG693" s="609"/>
      <c r="AH693" s="609"/>
      <c r="AI693" s="609"/>
      <c r="AJ693" s="609"/>
      <c r="AK693" s="609"/>
      <c r="AL693" s="609"/>
      <c r="AM693" s="609"/>
      <c r="AN693" s="609"/>
      <c r="AO693" s="609"/>
      <c r="AP693" s="609"/>
      <c r="AQ693" s="609"/>
    </row>
    <row r="694" spans="25:43" x14ac:dyDescent="0.4">
      <c r="Y694" s="609"/>
      <c r="Z694" s="609"/>
      <c r="AA694" s="609"/>
      <c r="AB694" s="609"/>
      <c r="AC694" s="609"/>
      <c r="AD694" s="609"/>
      <c r="AE694" s="609"/>
      <c r="AF694" s="609"/>
      <c r="AG694" s="609"/>
      <c r="AH694" s="609"/>
      <c r="AI694" s="609"/>
      <c r="AJ694" s="609"/>
      <c r="AK694" s="609"/>
      <c r="AL694" s="609"/>
      <c r="AM694" s="609"/>
      <c r="AN694" s="609"/>
      <c r="AO694" s="609"/>
      <c r="AP694" s="609"/>
      <c r="AQ694" s="609"/>
    </row>
    <row r="695" spans="25:43" x14ac:dyDescent="0.4">
      <c r="Y695" s="609"/>
      <c r="Z695" s="609"/>
      <c r="AA695" s="609"/>
      <c r="AB695" s="609"/>
      <c r="AC695" s="609"/>
      <c r="AD695" s="609"/>
      <c r="AE695" s="609"/>
      <c r="AF695" s="609"/>
      <c r="AG695" s="609"/>
      <c r="AH695" s="609"/>
      <c r="AI695" s="609"/>
      <c r="AJ695" s="609"/>
      <c r="AK695" s="609"/>
      <c r="AL695" s="609"/>
      <c r="AM695" s="609"/>
      <c r="AN695" s="609"/>
      <c r="AO695" s="609"/>
      <c r="AP695" s="609"/>
      <c r="AQ695" s="609"/>
    </row>
    <row r="696" spans="25:43" x14ac:dyDescent="0.4">
      <c r="Y696" s="609"/>
      <c r="Z696" s="609"/>
      <c r="AA696" s="609"/>
      <c r="AB696" s="609"/>
      <c r="AC696" s="609"/>
      <c r="AD696" s="609"/>
      <c r="AE696" s="609"/>
      <c r="AF696" s="609"/>
      <c r="AG696" s="609"/>
      <c r="AH696" s="609"/>
      <c r="AI696" s="609"/>
      <c r="AJ696" s="609"/>
      <c r="AK696" s="609"/>
      <c r="AL696" s="609"/>
      <c r="AM696" s="609"/>
      <c r="AN696" s="609"/>
      <c r="AO696" s="609"/>
      <c r="AP696" s="609"/>
      <c r="AQ696" s="609"/>
    </row>
    <row r="697" spans="25:43" x14ac:dyDescent="0.4">
      <c r="Y697" s="609"/>
      <c r="Z697" s="609"/>
      <c r="AA697" s="609"/>
      <c r="AB697" s="609"/>
      <c r="AC697" s="609"/>
      <c r="AD697" s="609"/>
      <c r="AE697" s="609"/>
      <c r="AF697" s="609"/>
      <c r="AG697" s="609"/>
      <c r="AH697" s="609"/>
      <c r="AI697" s="609"/>
      <c r="AJ697" s="609"/>
      <c r="AK697" s="609"/>
      <c r="AL697" s="609"/>
      <c r="AM697" s="609"/>
      <c r="AN697" s="609"/>
      <c r="AO697" s="609"/>
      <c r="AP697" s="609"/>
      <c r="AQ697" s="609"/>
    </row>
    <row r="698" spans="25:43" x14ac:dyDescent="0.4">
      <c r="Y698" s="609"/>
      <c r="Z698" s="609"/>
      <c r="AA698" s="609"/>
      <c r="AB698" s="609"/>
      <c r="AC698" s="609"/>
      <c r="AD698" s="609"/>
      <c r="AE698" s="609"/>
      <c r="AF698" s="609"/>
      <c r="AG698" s="609"/>
      <c r="AH698" s="609"/>
      <c r="AI698" s="609"/>
      <c r="AJ698" s="609"/>
      <c r="AK698" s="609"/>
      <c r="AL698" s="609"/>
      <c r="AM698" s="609"/>
      <c r="AN698" s="609"/>
      <c r="AO698" s="609"/>
      <c r="AP698" s="609"/>
      <c r="AQ698" s="609"/>
    </row>
    <row r="699" spans="25:43" x14ac:dyDescent="0.4">
      <c r="Y699" s="609"/>
      <c r="Z699" s="609"/>
      <c r="AA699" s="609"/>
      <c r="AB699" s="609"/>
      <c r="AC699" s="609"/>
      <c r="AD699" s="609"/>
      <c r="AE699" s="609"/>
      <c r="AF699" s="609"/>
      <c r="AG699" s="609"/>
      <c r="AH699" s="609"/>
      <c r="AI699" s="609"/>
      <c r="AJ699" s="609"/>
      <c r="AK699" s="609"/>
      <c r="AL699" s="609"/>
      <c r="AM699" s="609"/>
      <c r="AN699" s="609"/>
      <c r="AO699" s="609"/>
      <c r="AP699" s="609"/>
      <c r="AQ699" s="609"/>
    </row>
    <row r="700" spans="25:43" x14ac:dyDescent="0.4">
      <c r="Y700" s="609"/>
      <c r="Z700" s="609"/>
      <c r="AA700" s="609"/>
      <c r="AB700" s="609"/>
      <c r="AC700" s="609"/>
      <c r="AD700" s="609"/>
      <c r="AE700" s="609"/>
      <c r="AF700" s="609"/>
      <c r="AG700" s="609"/>
      <c r="AH700" s="609"/>
      <c r="AI700" s="609"/>
      <c r="AJ700" s="609"/>
      <c r="AK700" s="609"/>
      <c r="AL700" s="609"/>
      <c r="AM700" s="609"/>
      <c r="AN700" s="609"/>
      <c r="AO700" s="609"/>
      <c r="AP700" s="609"/>
      <c r="AQ700" s="609"/>
    </row>
    <row r="701" spans="25:43" x14ac:dyDescent="0.4">
      <c r="Y701" s="609"/>
      <c r="Z701" s="609"/>
      <c r="AA701" s="609"/>
      <c r="AB701" s="609"/>
      <c r="AC701" s="609"/>
      <c r="AD701" s="609"/>
      <c r="AE701" s="609"/>
      <c r="AF701" s="609"/>
      <c r="AG701" s="609"/>
      <c r="AH701" s="609"/>
      <c r="AI701" s="609"/>
      <c r="AJ701" s="609"/>
      <c r="AK701" s="609"/>
      <c r="AL701" s="609"/>
      <c r="AM701" s="609"/>
      <c r="AN701" s="609"/>
      <c r="AO701" s="609"/>
      <c r="AP701" s="609"/>
      <c r="AQ701" s="609"/>
    </row>
    <row r="702" spans="25:43" x14ac:dyDescent="0.4">
      <c r="Y702" s="609"/>
      <c r="Z702" s="609"/>
      <c r="AA702" s="609"/>
      <c r="AB702" s="609"/>
      <c r="AC702" s="609"/>
      <c r="AD702" s="609"/>
      <c r="AE702" s="609"/>
      <c r="AF702" s="609"/>
      <c r="AG702" s="609"/>
      <c r="AH702" s="609"/>
      <c r="AI702" s="609"/>
      <c r="AJ702" s="609"/>
      <c r="AK702" s="609"/>
      <c r="AL702" s="609"/>
      <c r="AM702" s="609"/>
      <c r="AN702" s="609"/>
      <c r="AO702" s="609"/>
      <c r="AP702" s="609"/>
      <c r="AQ702" s="609"/>
    </row>
    <row r="703" spans="25:43" x14ac:dyDescent="0.4">
      <c r="Y703" s="609"/>
      <c r="Z703" s="609"/>
      <c r="AA703" s="609"/>
      <c r="AB703" s="609"/>
      <c r="AC703" s="609"/>
      <c r="AD703" s="609"/>
      <c r="AE703" s="609"/>
      <c r="AF703" s="609"/>
      <c r="AG703" s="609"/>
      <c r="AH703" s="609"/>
      <c r="AI703" s="609"/>
      <c r="AJ703" s="609"/>
      <c r="AK703" s="609"/>
      <c r="AL703" s="609"/>
      <c r="AM703" s="609"/>
      <c r="AN703" s="609"/>
      <c r="AO703" s="609"/>
      <c r="AP703" s="609"/>
      <c r="AQ703" s="609"/>
    </row>
    <row r="704" spans="25:43" x14ac:dyDescent="0.4">
      <c r="Y704" s="609"/>
      <c r="Z704" s="609"/>
      <c r="AA704" s="609"/>
      <c r="AB704" s="609"/>
      <c r="AC704" s="609"/>
      <c r="AD704" s="609"/>
      <c r="AE704" s="609"/>
      <c r="AF704" s="609"/>
      <c r="AG704" s="609"/>
      <c r="AH704" s="609"/>
      <c r="AI704" s="609"/>
      <c r="AJ704" s="609"/>
      <c r="AK704" s="609"/>
      <c r="AL704" s="609"/>
      <c r="AM704" s="609"/>
      <c r="AN704" s="609"/>
      <c r="AO704" s="609"/>
      <c r="AP704" s="609"/>
      <c r="AQ704" s="609"/>
    </row>
    <row r="705" spans="25:43" x14ac:dyDescent="0.4">
      <c r="Y705" s="609"/>
      <c r="Z705" s="609"/>
      <c r="AA705" s="609"/>
      <c r="AB705" s="609"/>
      <c r="AC705" s="609"/>
      <c r="AD705" s="609"/>
      <c r="AE705" s="609"/>
      <c r="AF705" s="609"/>
      <c r="AG705" s="609"/>
      <c r="AH705" s="609"/>
      <c r="AI705" s="609"/>
      <c r="AJ705" s="609"/>
      <c r="AK705" s="609"/>
      <c r="AL705" s="609"/>
      <c r="AM705" s="609"/>
      <c r="AN705" s="609"/>
      <c r="AO705" s="609"/>
      <c r="AP705" s="609"/>
      <c r="AQ705" s="609"/>
    </row>
    <row r="706" spans="25:43" x14ac:dyDescent="0.4">
      <c r="Y706" s="609"/>
      <c r="Z706" s="609"/>
      <c r="AA706" s="609"/>
      <c r="AB706" s="609"/>
      <c r="AC706" s="609"/>
      <c r="AD706" s="609"/>
      <c r="AE706" s="609"/>
      <c r="AF706" s="609"/>
      <c r="AG706" s="609"/>
      <c r="AH706" s="609"/>
      <c r="AI706" s="609"/>
      <c r="AJ706" s="609"/>
      <c r="AK706" s="609"/>
      <c r="AL706" s="609"/>
      <c r="AM706" s="609"/>
      <c r="AN706" s="609"/>
      <c r="AO706" s="609"/>
      <c r="AP706" s="609"/>
      <c r="AQ706" s="609"/>
    </row>
    <row r="707" spans="25:43" x14ac:dyDescent="0.4">
      <c r="Y707" s="609"/>
      <c r="Z707" s="609"/>
      <c r="AA707" s="609"/>
      <c r="AB707" s="609"/>
      <c r="AC707" s="609"/>
      <c r="AD707" s="609"/>
      <c r="AE707" s="609"/>
      <c r="AF707" s="609"/>
      <c r="AG707" s="609"/>
      <c r="AH707" s="609"/>
      <c r="AI707" s="609"/>
      <c r="AJ707" s="609"/>
      <c r="AK707" s="609"/>
      <c r="AL707" s="609"/>
      <c r="AM707" s="609"/>
      <c r="AN707" s="609"/>
      <c r="AO707" s="609"/>
      <c r="AP707" s="609"/>
      <c r="AQ707" s="609"/>
    </row>
    <row r="708" spans="25:43" x14ac:dyDescent="0.4">
      <c r="Y708" s="609"/>
      <c r="Z708" s="609"/>
      <c r="AA708" s="609"/>
      <c r="AB708" s="609"/>
      <c r="AC708" s="609"/>
      <c r="AD708" s="609"/>
      <c r="AE708" s="609"/>
      <c r="AF708" s="609"/>
      <c r="AG708" s="609"/>
      <c r="AH708" s="609"/>
      <c r="AI708" s="609"/>
      <c r="AJ708" s="609"/>
      <c r="AK708" s="609"/>
      <c r="AL708" s="609"/>
      <c r="AM708" s="609"/>
      <c r="AN708" s="609"/>
      <c r="AO708" s="609"/>
      <c r="AP708" s="609"/>
      <c r="AQ708" s="609"/>
    </row>
    <row r="709" spans="25:43" x14ac:dyDescent="0.4">
      <c r="Y709" s="609"/>
      <c r="Z709" s="609"/>
      <c r="AA709" s="609"/>
      <c r="AB709" s="609"/>
      <c r="AC709" s="609"/>
      <c r="AD709" s="609"/>
      <c r="AE709" s="609"/>
      <c r="AF709" s="609"/>
      <c r="AG709" s="609"/>
      <c r="AH709" s="609"/>
      <c r="AI709" s="609"/>
      <c r="AJ709" s="609"/>
      <c r="AK709" s="609"/>
      <c r="AL709" s="609"/>
      <c r="AM709" s="609"/>
      <c r="AN709" s="609"/>
      <c r="AO709" s="609"/>
      <c r="AP709" s="609"/>
      <c r="AQ709" s="609"/>
    </row>
    <row r="710" spans="25:43" x14ac:dyDescent="0.4">
      <c r="Y710" s="609"/>
      <c r="Z710" s="609"/>
      <c r="AA710" s="609"/>
      <c r="AB710" s="609"/>
      <c r="AC710" s="609"/>
      <c r="AD710" s="609"/>
      <c r="AE710" s="609"/>
      <c r="AF710" s="609"/>
      <c r="AG710" s="609"/>
      <c r="AH710" s="609"/>
      <c r="AI710" s="609"/>
      <c r="AJ710" s="609"/>
      <c r="AK710" s="609"/>
      <c r="AL710" s="609"/>
      <c r="AM710" s="609"/>
      <c r="AN710" s="609"/>
      <c r="AO710" s="609"/>
      <c r="AP710" s="609"/>
      <c r="AQ710" s="609"/>
    </row>
    <row r="711" spans="25:43" x14ac:dyDescent="0.4">
      <c r="Y711" s="609"/>
      <c r="Z711" s="609"/>
      <c r="AA711" s="609"/>
      <c r="AB711" s="609"/>
      <c r="AC711" s="609"/>
      <c r="AD711" s="609"/>
      <c r="AE711" s="609"/>
      <c r="AF711" s="609"/>
      <c r="AG711" s="609"/>
      <c r="AH711" s="609"/>
      <c r="AI711" s="609"/>
      <c r="AJ711" s="609"/>
      <c r="AK711" s="609"/>
      <c r="AL711" s="609"/>
      <c r="AM711" s="609"/>
      <c r="AN711" s="609"/>
      <c r="AO711" s="609"/>
      <c r="AP711" s="609"/>
      <c r="AQ711" s="609"/>
    </row>
    <row r="712" spans="25:43" x14ac:dyDescent="0.4">
      <c r="Y712" s="609"/>
      <c r="Z712" s="609"/>
      <c r="AA712" s="609"/>
      <c r="AB712" s="609"/>
      <c r="AC712" s="609"/>
      <c r="AD712" s="609"/>
      <c r="AE712" s="609"/>
      <c r="AF712" s="609"/>
      <c r="AG712" s="609"/>
      <c r="AH712" s="609"/>
      <c r="AI712" s="609"/>
      <c r="AJ712" s="609"/>
      <c r="AK712" s="609"/>
      <c r="AL712" s="609"/>
      <c r="AM712" s="609"/>
      <c r="AN712" s="609"/>
      <c r="AO712" s="609"/>
      <c r="AP712" s="609"/>
      <c r="AQ712" s="609"/>
    </row>
    <row r="713" spans="25:43" x14ac:dyDescent="0.4">
      <c r="Y713" s="609"/>
      <c r="Z713" s="609"/>
      <c r="AA713" s="609"/>
      <c r="AB713" s="609"/>
      <c r="AC713" s="609"/>
      <c r="AD713" s="609"/>
      <c r="AE713" s="609"/>
      <c r="AF713" s="609"/>
      <c r="AG713" s="609"/>
      <c r="AH713" s="609"/>
      <c r="AI713" s="609"/>
      <c r="AJ713" s="609"/>
      <c r="AK713" s="609"/>
      <c r="AL713" s="609"/>
      <c r="AM713" s="609"/>
      <c r="AN713" s="609"/>
      <c r="AO713" s="609"/>
      <c r="AP713" s="609"/>
      <c r="AQ713" s="609"/>
    </row>
    <row r="714" spans="25:43" x14ac:dyDescent="0.4">
      <c r="Y714" s="609"/>
      <c r="Z714" s="609"/>
      <c r="AA714" s="609"/>
      <c r="AB714" s="609"/>
      <c r="AC714" s="609"/>
      <c r="AD714" s="609"/>
      <c r="AE714" s="609"/>
      <c r="AF714" s="609"/>
      <c r="AG714" s="609"/>
      <c r="AH714" s="609"/>
      <c r="AI714" s="609"/>
      <c r="AJ714" s="609"/>
      <c r="AK714" s="609"/>
      <c r="AL714" s="609"/>
      <c r="AM714" s="609"/>
      <c r="AN714" s="609"/>
      <c r="AO714" s="609"/>
      <c r="AP714" s="609"/>
      <c r="AQ714" s="609"/>
    </row>
    <row r="715" spans="25:43" x14ac:dyDescent="0.4">
      <c r="Y715" s="609"/>
      <c r="Z715" s="609"/>
      <c r="AA715" s="609"/>
      <c r="AB715" s="609"/>
      <c r="AC715" s="609"/>
      <c r="AD715" s="609"/>
      <c r="AE715" s="609"/>
      <c r="AF715" s="609"/>
      <c r="AG715" s="609"/>
      <c r="AH715" s="609"/>
      <c r="AI715" s="609"/>
      <c r="AJ715" s="609"/>
      <c r="AK715" s="609"/>
      <c r="AL715" s="609"/>
      <c r="AM715" s="609"/>
      <c r="AN715" s="609"/>
      <c r="AO715" s="609"/>
      <c r="AP715" s="609"/>
      <c r="AQ715" s="609"/>
    </row>
    <row r="716" spans="25:43" x14ac:dyDescent="0.4">
      <c r="Y716" s="609"/>
      <c r="Z716" s="609"/>
      <c r="AA716" s="609"/>
      <c r="AB716" s="609"/>
      <c r="AC716" s="609"/>
      <c r="AD716" s="609"/>
      <c r="AE716" s="609"/>
      <c r="AF716" s="609"/>
      <c r="AG716" s="609"/>
      <c r="AH716" s="609"/>
      <c r="AI716" s="609"/>
      <c r="AJ716" s="609"/>
      <c r="AK716" s="609"/>
      <c r="AL716" s="609"/>
      <c r="AM716" s="609"/>
      <c r="AN716" s="609"/>
      <c r="AO716" s="609"/>
      <c r="AP716" s="609"/>
      <c r="AQ716" s="609"/>
    </row>
    <row r="717" spans="25:43" x14ac:dyDescent="0.4">
      <c r="Y717" s="609"/>
      <c r="Z717" s="609"/>
      <c r="AA717" s="609"/>
      <c r="AB717" s="609"/>
      <c r="AC717" s="609"/>
      <c r="AD717" s="609"/>
      <c r="AE717" s="609"/>
      <c r="AF717" s="609"/>
      <c r="AG717" s="609"/>
      <c r="AH717" s="609"/>
      <c r="AI717" s="609"/>
      <c r="AJ717" s="609"/>
      <c r="AK717" s="609"/>
      <c r="AL717" s="609"/>
      <c r="AM717" s="609"/>
      <c r="AN717" s="609"/>
      <c r="AO717" s="609"/>
      <c r="AP717" s="609"/>
      <c r="AQ717" s="609"/>
    </row>
    <row r="718" spans="25:43" x14ac:dyDescent="0.4">
      <c r="Y718" s="609"/>
      <c r="Z718" s="609"/>
      <c r="AA718" s="609"/>
      <c r="AB718" s="609"/>
      <c r="AC718" s="609"/>
      <c r="AD718" s="609"/>
      <c r="AE718" s="609"/>
      <c r="AF718" s="609"/>
      <c r="AG718" s="609"/>
      <c r="AH718" s="609"/>
      <c r="AI718" s="609"/>
      <c r="AJ718" s="609"/>
      <c r="AK718" s="609"/>
      <c r="AL718" s="609"/>
      <c r="AM718" s="609"/>
      <c r="AN718" s="609"/>
      <c r="AO718" s="609"/>
      <c r="AP718" s="609"/>
      <c r="AQ718" s="609"/>
    </row>
    <row r="719" spans="25:43" x14ac:dyDescent="0.4">
      <c r="Y719" s="609"/>
      <c r="Z719" s="609"/>
      <c r="AA719" s="609"/>
      <c r="AB719" s="609"/>
      <c r="AC719" s="609"/>
      <c r="AD719" s="609"/>
      <c r="AE719" s="609"/>
      <c r="AF719" s="609"/>
      <c r="AG719" s="609"/>
      <c r="AH719" s="609"/>
      <c r="AI719" s="609"/>
      <c r="AJ719" s="609"/>
      <c r="AK719" s="609"/>
      <c r="AL719" s="609"/>
      <c r="AM719" s="609"/>
      <c r="AN719" s="609"/>
      <c r="AO719" s="609"/>
      <c r="AP719" s="609"/>
      <c r="AQ719" s="609"/>
    </row>
    <row r="720" spans="25:43" x14ac:dyDescent="0.4">
      <c r="Y720" s="609"/>
      <c r="Z720" s="609"/>
      <c r="AA720" s="609"/>
      <c r="AB720" s="609"/>
      <c r="AC720" s="609"/>
      <c r="AD720" s="609"/>
      <c r="AE720" s="609"/>
      <c r="AF720" s="609"/>
      <c r="AG720" s="609"/>
      <c r="AH720" s="609"/>
      <c r="AI720" s="609"/>
      <c r="AJ720" s="609"/>
      <c r="AK720" s="609"/>
      <c r="AL720" s="609"/>
      <c r="AM720" s="609"/>
      <c r="AN720" s="609"/>
      <c r="AO720" s="609"/>
      <c r="AP720" s="609"/>
      <c r="AQ720" s="609"/>
    </row>
    <row r="721" spans="25:43" x14ac:dyDescent="0.4">
      <c r="Y721" s="609"/>
      <c r="Z721" s="609"/>
      <c r="AA721" s="609"/>
      <c r="AB721" s="609"/>
      <c r="AC721" s="609"/>
      <c r="AD721" s="609"/>
      <c r="AE721" s="609"/>
      <c r="AF721" s="609"/>
      <c r="AG721" s="609"/>
      <c r="AH721" s="609"/>
      <c r="AI721" s="609"/>
      <c r="AJ721" s="609"/>
      <c r="AK721" s="609"/>
      <c r="AL721" s="609"/>
      <c r="AM721" s="609"/>
      <c r="AN721" s="609"/>
      <c r="AO721" s="609"/>
      <c r="AP721" s="609"/>
      <c r="AQ721" s="609"/>
    </row>
    <row r="722" spans="25:43" x14ac:dyDescent="0.4">
      <c r="Y722" s="609"/>
      <c r="Z722" s="609"/>
      <c r="AA722" s="609"/>
      <c r="AB722" s="609"/>
      <c r="AC722" s="609"/>
      <c r="AD722" s="609"/>
      <c r="AE722" s="609"/>
      <c r="AF722" s="609"/>
      <c r="AG722" s="609"/>
      <c r="AH722" s="609"/>
      <c r="AI722" s="609"/>
      <c r="AJ722" s="609"/>
      <c r="AK722" s="609"/>
      <c r="AL722" s="609"/>
      <c r="AM722" s="609"/>
      <c r="AN722" s="609"/>
      <c r="AO722" s="609"/>
      <c r="AP722" s="609"/>
      <c r="AQ722" s="609"/>
    </row>
    <row r="723" spans="25:43" x14ac:dyDescent="0.4">
      <c r="Y723" s="609"/>
      <c r="Z723" s="609"/>
      <c r="AA723" s="609"/>
      <c r="AB723" s="609"/>
      <c r="AC723" s="609"/>
      <c r="AD723" s="609"/>
      <c r="AE723" s="609"/>
      <c r="AF723" s="609"/>
      <c r="AG723" s="609"/>
      <c r="AH723" s="609"/>
      <c r="AI723" s="609"/>
      <c r="AJ723" s="609"/>
      <c r="AK723" s="609"/>
      <c r="AL723" s="609"/>
      <c r="AM723" s="609"/>
      <c r="AN723" s="609"/>
      <c r="AO723" s="609"/>
      <c r="AP723" s="609"/>
      <c r="AQ723" s="609"/>
    </row>
    <row r="724" spans="25:43" x14ac:dyDescent="0.4">
      <c r="Y724" s="609"/>
      <c r="Z724" s="609"/>
      <c r="AA724" s="609"/>
      <c r="AB724" s="609"/>
      <c r="AC724" s="609"/>
      <c r="AD724" s="609"/>
      <c r="AE724" s="609"/>
      <c r="AF724" s="609"/>
      <c r="AG724" s="609"/>
      <c r="AH724" s="609"/>
      <c r="AI724" s="609"/>
      <c r="AJ724" s="609"/>
      <c r="AK724" s="609"/>
      <c r="AL724" s="609"/>
      <c r="AM724" s="609"/>
      <c r="AN724" s="609"/>
      <c r="AO724" s="609"/>
      <c r="AP724" s="609"/>
      <c r="AQ724" s="609"/>
    </row>
    <row r="725" spans="25:43" x14ac:dyDescent="0.4">
      <c r="Y725" s="609"/>
      <c r="Z725" s="609"/>
      <c r="AA725" s="609"/>
      <c r="AB725" s="609"/>
      <c r="AC725" s="609"/>
      <c r="AD725" s="609"/>
      <c r="AE725" s="609"/>
      <c r="AF725" s="609"/>
      <c r="AG725" s="609"/>
      <c r="AH725" s="609"/>
      <c r="AI725" s="609"/>
      <c r="AJ725" s="609"/>
      <c r="AK725" s="609"/>
      <c r="AL725" s="609"/>
      <c r="AM725" s="609"/>
      <c r="AN725" s="609"/>
      <c r="AO725" s="609"/>
      <c r="AP725" s="609"/>
      <c r="AQ725" s="609"/>
    </row>
    <row r="726" spans="25:43" x14ac:dyDescent="0.4">
      <c r="Y726" s="609"/>
      <c r="Z726" s="609"/>
      <c r="AA726" s="609"/>
      <c r="AB726" s="609"/>
      <c r="AC726" s="609"/>
      <c r="AD726" s="609"/>
      <c r="AE726" s="609"/>
      <c r="AF726" s="609"/>
      <c r="AG726" s="609"/>
      <c r="AH726" s="609"/>
      <c r="AI726" s="609"/>
      <c r="AJ726" s="609"/>
      <c r="AK726" s="609"/>
      <c r="AL726" s="609"/>
      <c r="AM726" s="609"/>
      <c r="AN726" s="609"/>
      <c r="AO726" s="609"/>
      <c r="AP726" s="609"/>
      <c r="AQ726" s="609"/>
    </row>
    <row r="727" spans="25:43" x14ac:dyDescent="0.4">
      <c r="Y727" s="609"/>
      <c r="Z727" s="609"/>
      <c r="AA727" s="609"/>
      <c r="AB727" s="609"/>
      <c r="AC727" s="609"/>
      <c r="AD727" s="609"/>
      <c r="AE727" s="609"/>
      <c r="AF727" s="609"/>
      <c r="AG727" s="609"/>
      <c r="AH727" s="609"/>
      <c r="AI727" s="609"/>
      <c r="AJ727" s="609"/>
      <c r="AK727" s="609"/>
      <c r="AL727" s="609"/>
      <c r="AM727" s="609"/>
      <c r="AN727" s="609"/>
      <c r="AO727" s="609"/>
      <c r="AP727" s="609"/>
      <c r="AQ727" s="609"/>
    </row>
    <row r="728" spans="25:43" x14ac:dyDescent="0.4">
      <c r="Y728" s="609"/>
      <c r="Z728" s="609"/>
      <c r="AA728" s="609"/>
      <c r="AB728" s="609"/>
      <c r="AC728" s="609"/>
      <c r="AD728" s="609"/>
      <c r="AE728" s="609"/>
      <c r="AF728" s="609"/>
      <c r="AG728" s="609"/>
      <c r="AH728" s="609"/>
      <c r="AI728" s="609"/>
      <c r="AJ728" s="609"/>
      <c r="AK728" s="609"/>
      <c r="AL728" s="609"/>
      <c r="AM728" s="609"/>
      <c r="AN728" s="609"/>
      <c r="AO728" s="609"/>
      <c r="AP728" s="609"/>
      <c r="AQ728" s="609"/>
    </row>
    <row r="729" spans="25:43" x14ac:dyDescent="0.4">
      <c r="Y729" s="609"/>
      <c r="Z729" s="609"/>
      <c r="AA729" s="609"/>
      <c r="AB729" s="609"/>
      <c r="AC729" s="609"/>
      <c r="AD729" s="609"/>
      <c r="AE729" s="609"/>
      <c r="AF729" s="609"/>
      <c r="AG729" s="609"/>
      <c r="AH729" s="609"/>
      <c r="AI729" s="609"/>
      <c r="AJ729" s="609"/>
      <c r="AK729" s="609"/>
      <c r="AL729" s="609"/>
      <c r="AM729" s="609"/>
      <c r="AN729" s="609"/>
      <c r="AO729" s="609"/>
      <c r="AP729" s="609"/>
      <c r="AQ729" s="609"/>
    </row>
    <row r="730" spans="25:43" x14ac:dyDescent="0.4">
      <c r="Y730" s="609"/>
      <c r="Z730" s="609"/>
      <c r="AA730" s="609"/>
      <c r="AB730" s="609"/>
      <c r="AC730" s="609"/>
      <c r="AD730" s="609"/>
      <c r="AE730" s="609"/>
      <c r="AF730" s="609"/>
      <c r="AG730" s="609"/>
      <c r="AH730" s="609"/>
      <c r="AI730" s="609"/>
      <c r="AJ730" s="609"/>
      <c r="AK730" s="609"/>
      <c r="AL730" s="609"/>
      <c r="AM730" s="609"/>
      <c r="AN730" s="609"/>
      <c r="AO730" s="609"/>
      <c r="AP730" s="609"/>
      <c r="AQ730" s="609"/>
    </row>
    <row r="731" spans="25:43" x14ac:dyDescent="0.4">
      <c r="Y731" s="609"/>
      <c r="Z731" s="609"/>
      <c r="AA731" s="609"/>
      <c r="AB731" s="609"/>
      <c r="AC731" s="609"/>
      <c r="AD731" s="609"/>
      <c r="AE731" s="609"/>
      <c r="AF731" s="609"/>
      <c r="AG731" s="609"/>
      <c r="AH731" s="609"/>
      <c r="AI731" s="609"/>
      <c r="AJ731" s="609"/>
      <c r="AK731" s="609"/>
      <c r="AL731" s="609"/>
      <c r="AM731" s="609"/>
      <c r="AN731" s="609"/>
      <c r="AO731" s="609"/>
      <c r="AP731" s="609"/>
      <c r="AQ731" s="609"/>
    </row>
    <row r="732" spans="25:43" x14ac:dyDescent="0.4">
      <c r="Y732" s="609"/>
      <c r="Z732" s="609"/>
      <c r="AA732" s="609"/>
      <c r="AB732" s="609"/>
      <c r="AC732" s="609"/>
      <c r="AD732" s="609"/>
      <c r="AE732" s="609"/>
      <c r="AF732" s="609"/>
      <c r="AG732" s="609"/>
      <c r="AH732" s="609"/>
      <c r="AI732" s="609"/>
      <c r="AJ732" s="609"/>
      <c r="AK732" s="609"/>
      <c r="AL732" s="609"/>
      <c r="AM732" s="609"/>
      <c r="AN732" s="609"/>
      <c r="AO732" s="609"/>
      <c r="AP732" s="609"/>
      <c r="AQ732" s="609"/>
    </row>
    <row r="733" spans="25:43" x14ac:dyDescent="0.4">
      <c r="Y733" s="609"/>
      <c r="Z733" s="609"/>
      <c r="AA733" s="609"/>
      <c r="AB733" s="609"/>
      <c r="AC733" s="609"/>
      <c r="AD733" s="609"/>
      <c r="AE733" s="609"/>
      <c r="AF733" s="609"/>
      <c r="AG733" s="609"/>
      <c r="AH733" s="609"/>
      <c r="AI733" s="609"/>
      <c r="AJ733" s="609"/>
      <c r="AK733" s="609"/>
      <c r="AL733" s="609"/>
      <c r="AM733" s="609"/>
      <c r="AN733" s="609"/>
      <c r="AO733" s="609"/>
      <c r="AP733" s="609"/>
      <c r="AQ733" s="609"/>
    </row>
    <row r="734" spans="25:43" x14ac:dyDescent="0.4">
      <c r="Y734" s="609"/>
      <c r="Z734" s="609"/>
      <c r="AA734" s="609"/>
      <c r="AB734" s="609"/>
      <c r="AC734" s="609"/>
      <c r="AD734" s="609"/>
      <c r="AE734" s="609"/>
      <c r="AF734" s="609"/>
      <c r="AG734" s="609"/>
      <c r="AH734" s="609"/>
      <c r="AI734" s="609"/>
      <c r="AJ734" s="609"/>
      <c r="AK734" s="609"/>
      <c r="AL734" s="609"/>
      <c r="AM734" s="609"/>
      <c r="AN734" s="609"/>
      <c r="AO734" s="609"/>
      <c r="AP734" s="609"/>
      <c r="AQ734" s="609"/>
    </row>
    <row r="735" spans="25:43" x14ac:dyDescent="0.4">
      <c r="Y735" s="609"/>
      <c r="Z735" s="609"/>
      <c r="AA735" s="609"/>
      <c r="AB735" s="609"/>
      <c r="AC735" s="609"/>
      <c r="AD735" s="609"/>
      <c r="AE735" s="609"/>
      <c r="AF735" s="609"/>
      <c r="AG735" s="609"/>
      <c r="AH735" s="609"/>
      <c r="AI735" s="609"/>
      <c r="AJ735" s="609"/>
      <c r="AK735" s="609"/>
      <c r="AL735" s="609"/>
      <c r="AM735" s="609"/>
      <c r="AN735" s="609"/>
      <c r="AO735" s="609"/>
      <c r="AP735" s="609"/>
      <c r="AQ735" s="609"/>
    </row>
    <row r="736" spans="25:43" x14ac:dyDescent="0.4">
      <c r="Y736" s="609"/>
      <c r="Z736" s="609"/>
      <c r="AA736" s="609"/>
      <c r="AB736" s="609"/>
      <c r="AC736" s="609"/>
      <c r="AD736" s="609"/>
      <c r="AE736" s="609"/>
      <c r="AF736" s="609"/>
      <c r="AG736" s="609"/>
      <c r="AH736" s="609"/>
      <c r="AI736" s="609"/>
      <c r="AJ736" s="609"/>
      <c r="AK736" s="609"/>
      <c r="AL736" s="609"/>
      <c r="AM736" s="609"/>
      <c r="AN736" s="609"/>
      <c r="AO736" s="609"/>
      <c r="AP736" s="609"/>
      <c r="AQ736" s="609"/>
    </row>
    <row r="737" spans="25:43" x14ac:dyDescent="0.4">
      <c r="Y737" s="609"/>
      <c r="Z737" s="609"/>
      <c r="AA737" s="609"/>
      <c r="AB737" s="609"/>
      <c r="AC737" s="609"/>
      <c r="AD737" s="609"/>
      <c r="AE737" s="609"/>
      <c r="AF737" s="609"/>
      <c r="AG737" s="609"/>
      <c r="AH737" s="609"/>
      <c r="AI737" s="609"/>
      <c r="AJ737" s="609"/>
      <c r="AK737" s="609"/>
      <c r="AL737" s="609"/>
      <c r="AM737" s="609"/>
      <c r="AN737" s="609"/>
      <c r="AO737" s="609"/>
      <c r="AP737" s="609"/>
      <c r="AQ737" s="609"/>
    </row>
    <row r="738" spans="25:43" x14ac:dyDescent="0.4">
      <c r="Y738" s="609"/>
      <c r="Z738" s="609"/>
      <c r="AA738" s="609"/>
      <c r="AB738" s="609"/>
      <c r="AC738" s="609"/>
      <c r="AD738" s="609"/>
      <c r="AE738" s="609"/>
      <c r="AF738" s="609"/>
      <c r="AG738" s="609"/>
      <c r="AH738" s="609"/>
      <c r="AI738" s="609"/>
      <c r="AJ738" s="609"/>
      <c r="AK738" s="609"/>
      <c r="AL738" s="609"/>
      <c r="AM738" s="609"/>
      <c r="AN738" s="609"/>
      <c r="AO738" s="609"/>
      <c r="AP738" s="609"/>
      <c r="AQ738" s="609"/>
    </row>
    <row r="739" spans="25:43" x14ac:dyDescent="0.4">
      <c r="Y739" s="609"/>
      <c r="Z739" s="609"/>
      <c r="AA739" s="609"/>
      <c r="AB739" s="609"/>
      <c r="AC739" s="609"/>
      <c r="AD739" s="609"/>
      <c r="AE739" s="609"/>
      <c r="AF739" s="609"/>
      <c r="AG739" s="609"/>
      <c r="AH739" s="609"/>
      <c r="AI739" s="609"/>
      <c r="AJ739" s="609"/>
      <c r="AK739" s="609"/>
      <c r="AL739" s="609"/>
      <c r="AM739" s="609"/>
      <c r="AN739" s="609"/>
      <c r="AO739" s="609"/>
      <c r="AP739" s="609"/>
      <c r="AQ739" s="609"/>
    </row>
    <row r="740" spans="25:43" x14ac:dyDescent="0.4">
      <c r="Y740" s="609"/>
      <c r="Z740" s="609"/>
      <c r="AA740" s="609"/>
      <c r="AB740" s="609"/>
      <c r="AC740" s="609"/>
      <c r="AD740" s="609"/>
      <c r="AE740" s="609"/>
      <c r="AF740" s="609"/>
      <c r="AG740" s="609"/>
      <c r="AH740" s="609"/>
      <c r="AI740" s="609"/>
      <c r="AJ740" s="609"/>
      <c r="AK740" s="609"/>
      <c r="AL740" s="609"/>
      <c r="AM740" s="609"/>
      <c r="AN740" s="609"/>
      <c r="AO740" s="609"/>
      <c r="AP740" s="609"/>
      <c r="AQ740" s="609"/>
    </row>
    <row r="741" spans="25:43" x14ac:dyDescent="0.4">
      <c r="Y741" s="609"/>
      <c r="Z741" s="609"/>
      <c r="AA741" s="609"/>
      <c r="AB741" s="609"/>
      <c r="AC741" s="609"/>
      <c r="AD741" s="609"/>
      <c r="AE741" s="609"/>
      <c r="AF741" s="609"/>
      <c r="AG741" s="609"/>
      <c r="AH741" s="609"/>
      <c r="AI741" s="609"/>
      <c r="AJ741" s="609"/>
      <c r="AK741" s="609"/>
      <c r="AL741" s="609"/>
      <c r="AM741" s="609"/>
      <c r="AN741" s="609"/>
      <c r="AO741" s="609"/>
      <c r="AP741" s="609"/>
      <c r="AQ741" s="609"/>
    </row>
    <row r="742" spans="25:43" x14ac:dyDescent="0.4">
      <c r="Y742" s="609"/>
      <c r="Z742" s="609"/>
      <c r="AA742" s="609"/>
      <c r="AB742" s="609"/>
      <c r="AC742" s="609"/>
      <c r="AD742" s="609"/>
      <c r="AE742" s="609"/>
      <c r="AF742" s="609"/>
      <c r="AG742" s="609"/>
      <c r="AH742" s="609"/>
      <c r="AI742" s="609"/>
      <c r="AJ742" s="609"/>
      <c r="AK742" s="609"/>
      <c r="AL742" s="609"/>
      <c r="AM742" s="609"/>
      <c r="AN742" s="609"/>
      <c r="AO742" s="609"/>
      <c r="AP742" s="609"/>
      <c r="AQ742" s="609"/>
    </row>
    <row r="743" spans="25:43" x14ac:dyDescent="0.4">
      <c r="Y743" s="609"/>
      <c r="Z743" s="609"/>
      <c r="AA743" s="609"/>
      <c r="AB743" s="609"/>
      <c r="AC743" s="609"/>
      <c r="AD743" s="609"/>
      <c r="AE743" s="609"/>
      <c r="AF743" s="609"/>
      <c r="AG743" s="609"/>
      <c r="AH743" s="609"/>
      <c r="AI743" s="609"/>
      <c r="AJ743" s="609"/>
      <c r="AK743" s="609"/>
      <c r="AL743" s="609"/>
      <c r="AM743" s="609"/>
      <c r="AN743" s="609"/>
      <c r="AO743" s="609"/>
      <c r="AP743" s="609"/>
      <c r="AQ743" s="609"/>
    </row>
    <row r="744" spans="25:43" x14ac:dyDescent="0.4">
      <c r="Y744" s="609"/>
      <c r="Z744" s="609"/>
      <c r="AA744" s="609"/>
      <c r="AB744" s="609"/>
      <c r="AC744" s="609"/>
      <c r="AD744" s="609"/>
      <c r="AE744" s="609"/>
      <c r="AF744" s="609"/>
      <c r="AG744" s="609"/>
      <c r="AH744" s="609"/>
      <c r="AI744" s="609"/>
      <c r="AJ744" s="609"/>
      <c r="AK744" s="609"/>
      <c r="AL744" s="609"/>
      <c r="AM744" s="609"/>
      <c r="AN744" s="609"/>
      <c r="AO744" s="609"/>
      <c r="AP744" s="609"/>
      <c r="AQ744" s="609"/>
    </row>
    <row r="745" spans="25:43" x14ac:dyDescent="0.4">
      <c r="Y745" s="609"/>
      <c r="Z745" s="609"/>
      <c r="AA745" s="609"/>
      <c r="AB745" s="609"/>
      <c r="AC745" s="609"/>
      <c r="AD745" s="609"/>
      <c r="AE745" s="609"/>
      <c r="AF745" s="609"/>
      <c r="AG745" s="609"/>
      <c r="AH745" s="609"/>
      <c r="AI745" s="609"/>
      <c r="AJ745" s="609"/>
      <c r="AK745" s="609"/>
      <c r="AL745" s="609"/>
      <c r="AM745" s="609"/>
      <c r="AN745" s="609"/>
      <c r="AO745" s="609"/>
      <c r="AP745" s="609"/>
      <c r="AQ745" s="609"/>
    </row>
    <row r="746" spans="25:43" x14ac:dyDescent="0.4">
      <c r="Y746" s="609"/>
      <c r="Z746" s="609"/>
      <c r="AA746" s="609"/>
      <c r="AB746" s="609"/>
      <c r="AC746" s="609"/>
      <c r="AD746" s="609"/>
      <c r="AE746" s="609"/>
      <c r="AF746" s="609"/>
      <c r="AG746" s="609"/>
      <c r="AH746" s="609"/>
      <c r="AI746" s="609"/>
      <c r="AJ746" s="609"/>
      <c r="AK746" s="609"/>
      <c r="AL746" s="609"/>
      <c r="AM746" s="609"/>
      <c r="AN746" s="609"/>
      <c r="AO746" s="609"/>
      <c r="AP746" s="609"/>
      <c r="AQ746" s="609"/>
    </row>
    <row r="747" spans="25:43" x14ac:dyDescent="0.4">
      <c r="Y747" s="609"/>
      <c r="Z747" s="609"/>
      <c r="AA747" s="609"/>
      <c r="AB747" s="609"/>
      <c r="AC747" s="609"/>
      <c r="AD747" s="609"/>
      <c r="AE747" s="609"/>
      <c r="AF747" s="609"/>
      <c r="AG747" s="609"/>
      <c r="AH747" s="609"/>
      <c r="AI747" s="609"/>
      <c r="AJ747" s="609"/>
      <c r="AK747" s="609"/>
      <c r="AL747" s="609"/>
      <c r="AM747" s="609"/>
      <c r="AN747" s="609"/>
      <c r="AO747" s="609"/>
      <c r="AP747" s="609"/>
      <c r="AQ747" s="609"/>
    </row>
    <row r="748" spans="25:43" x14ac:dyDescent="0.4">
      <c r="Y748" s="609"/>
      <c r="Z748" s="609"/>
      <c r="AA748" s="609"/>
      <c r="AB748" s="609"/>
      <c r="AC748" s="609"/>
      <c r="AD748" s="609"/>
      <c r="AE748" s="609"/>
      <c r="AF748" s="609"/>
      <c r="AG748" s="609"/>
      <c r="AH748" s="609"/>
      <c r="AI748" s="609"/>
      <c r="AJ748" s="609"/>
      <c r="AK748" s="609"/>
      <c r="AL748" s="609"/>
      <c r="AM748" s="609"/>
      <c r="AN748" s="609"/>
      <c r="AO748" s="609"/>
      <c r="AP748" s="609"/>
      <c r="AQ748" s="609"/>
    </row>
    <row r="749" spans="25:43" x14ac:dyDescent="0.4">
      <c r="Y749" s="609"/>
      <c r="Z749" s="609"/>
      <c r="AA749" s="609"/>
      <c r="AB749" s="609"/>
      <c r="AC749" s="609"/>
      <c r="AD749" s="609"/>
      <c r="AE749" s="609"/>
      <c r="AF749" s="609"/>
      <c r="AG749" s="609"/>
      <c r="AH749" s="609"/>
      <c r="AI749" s="609"/>
      <c r="AJ749" s="609"/>
      <c r="AK749" s="609"/>
      <c r="AL749" s="609"/>
      <c r="AM749" s="609"/>
      <c r="AN749" s="609"/>
      <c r="AO749" s="609"/>
      <c r="AP749" s="609"/>
      <c r="AQ749" s="609"/>
    </row>
    <row r="750" spans="25:43" x14ac:dyDescent="0.4">
      <c r="Y750" s="609"/>
      <c r="Z750" s="609"/>
      <c r="AA750" s="609"/>
      <c r="AB750" s="609"/>
      <c r="AC750" s="609"/>
      <c r="AD750" s="609"/>
      <c r="AE750" s="609"/>
      <c r="AF750" s="609"/>
      <c r="AG750" s="609"/>
      <c r="AH750" s="609"/>
      <c r="AI750" s="609"/>
      <c r="AJ750" s="609"/>
      <c r="AK750" s="609"/>
      <c r="AL750" s="609"/>
      <c r="AM750" s="609"/>
      <c r="AN750" s="609"/>
      <c r="AO750" s="609"/>
      <c r="AP750" s="609"/>
      <c r="AQ750" s="609"/>
    </row>
    <row r="751" spans="25:43" x14ac:dyDescent="0.4">
      <c r="Y751" s="609"/>
      <c r="Z751" s="609"/>
      <c r="AA751" s="609"/>
      <c r="AB751" s="609"/>
      <c r="AC751" s="609"/>
      <c r="AD751" s="609"/>
      <c r="AE751" s="609"/>
      <c r="AF751" s="609"/>
      <c r="AG751" s="609"/>
      <c r="AH751" s="609"/>
      <c r="AI751" s="609"/>
      <c r="AJ751" s="609"/>
      <c r="AK751" s="609"/>
      <c r="AL751" s="609"/>
      <c r="AM751" s="609"/>
      <c r="AN751" s="609"/>
      <c r="AO751" s="609"/>
      <c r="AP751" s="609"/>
      <c r="AQ751" s="609"/>
    </row>
    <row r="752" spans="25:43" x14ac:dyDescent="0.4">
      <c r="Y752" s="609"/>
      <c r="Z752" s="609"/>
      <c r="AA752" s="609"/>
      <c r="AB752" s="609"/>
      <c r="AC752" s="609"/>
      <c r="AD752" s="609"/>
      <c r="AE752" s="609"/>
      <c r="AF752" s="609"/>
      <c r="AG752" s="609"/>
      <c r="AH752" s="609"/>
      <c r="AI752" s="609"/>
      <c r="AJ752" s="609"/>
      <c r="AK752" s="609"/>
      <c r="AL752" s="609"/>
      <c r="AM752" s="609"/>
      <c r="AN752" s="609"/>
      <c r="AO752" s="609"/>
      <c r="AP752" s="609"/>
      <c r="AQ752" s="609"/>
    </row>
    <row r="753" spans="25:43" x14ac:dyDescent="0.4">
      <c r="Y753" s="609"/>
      <c r="Z753" s="609"/>
      <c r="AA753" s="609"/>
      <c r="AB753" s="609"/>
      <c r="AC753" s="609"/>
      <c r="AD753" s="609"/>
      <c r="AE753" s="609"/>
      <c r="AF753" s="609"/>
      <c r="AG753" s="609"/>
      <c r="AH753" s="609"/>
      <c r="AI753" s="609"/>
      <c r="AJ753" s="609"/>
      <c r="AK753" s="609"/>
      <c r="AL753" s="609"/>
      <c r="AM753" s="609"/>
      <c r="AN753" s="609"/>
      <c r="AO753" s="609"/>
      <c r="AP753" s="609"/>
      <c r="AQ753" s="609"/>
    </row>
    <row r="754" spans="25:43" x14ac:dyDescent="0.4">
      <c r="Y754" s="609"/>
      <c r="Z754" s="609"/>
      <c r="AA754" s="609"/>
      <c r="AB754" s="609"/>
      <c r="AC754" s="609"/>
      <c r="AD754" s="609"/>
      <c r="AE754" s="609"/>
      <c r="AF754" s="609"/>
      <c r="AG754" s="609"/>
      <c r="AH754" s="609"/>
      <c r="AI754" s="609"/>
      <c r="AJ754" s="609"/>
      <c r="AK754" s="609"/>
      <c r="AL754" s="609"/>
      <c r="AM754" s="609"/>
      <c r="AN754" s="609"/>
      <c r="AO754" s="609"/>
      <c r="AP754" s="609"/>
      <c r="AQ754" s="609"/>
    </row>
    <row r="755" spans="25:43" x14ac:dyDescent="0.4">
      <c r="Y755" s="609"/>
      <c r="Z755" s="609"/>
      <c r="AA755" s="609"/>
      <c r="AB755" s="609"/>
      <c r="AC755" s="609"/>
      <c r="AD755" s="609"/>
      <c r="AE755" s="609"/>
      <c r="AF755" s="609"/>
      <c r="AG755" s="609"/>
      <c r="AH755" s="609"/>
      <c r="AI755" s="609"/>
      <c r="AJ755" s="609"/>
      <c r="AK755" s="609"/>
      <c r="AL755" s="609"/>
      <c r="AM755" s="609"/>
      <c r="AN755" s="609"/>
      <c r="AO755" s="609"/>
      <c r="AP755" s="609"/>
      <c r="AQ755" s="609"/>
    </row>
    <row r="756" spans="25:43" x14ac:dyDescent="0.4">
      <c r="Y756" s="609"/>
      <c r="Z756" s="609"/>
      <c r="AA756" s="609"/>
      <c r="AB756" s="609"/>
      <c r="AC756" s="609"/>
      <c r="AD756" s="609"/>
      <c r="AE756" s="609"/>
      <c r="AF756" s="609"/>
      <c r="AG756" s="609"/>
      <c r="AH756" s="609"/>
      <c r="AI756" s="609"/>
      <c r="AJ756" s="609"/>
      <c r="AK756" s="609"/>
      <c r="AL756" s="609"/>
      <c r="AM756" s="609"/>
      <c r="AN756" s="609"/>
      <c r="AO756" s="609"/>
      <c r="AP756" s="609"/>
      <c r="AQ756" s="609"/>
    </row>
    <row r="757" spans="25:43" x14ac:dyDescent="0.4">
      <c r="Y757" s="609"/>
      <c r="Z757" s="609"/>
      <c r="AA757" s="609"/>
      <c r="AB757" s="609"/>
      <c r="AC757" s="609"/>
      <c r="AD757" s="609"/>
      <c r="AE757" s="609"/>
      <c r="AF757" s="609"/>
      <c r="AG757" s="609"/>
      <c r="AH757" s="609"/>
      <c r="AI757" s="609"/>
      <c r="AJ757" s="609"/>
      <c r="AK757" s="609"/>
      <c r="AL757" s="609"/>
      <c r="AM757" s="609"/>
      <c r="AN757" s="609"/>
      <c r="AO757" s="609"/>
      <c r="AP757" s="609"/>
      <c r="AQ757" s="609"/>
    </row>
    <row r="758" spans="25:43" x14ac:dyDescent="0.4">
      <c r="Y758" s="609"/>
      <c r="Z758" s="609"/>
      <c r="AA758" s="609"/>
      <c r="AB758" s="609"/>
      <c r="AC758" s="609"/>
      <c r="AD758" s="609"/>
      <c r="AE758" s="609"/>
      <c r="AF758" s="609"/>
      <c r="AG758" s="609"/>
      <c r="AH758" s="609"/>
      <c r="AI758" s="609"/>
      <c r="AJ758" s="609"/>
      <c r="AK758" s="609"/>
      <c r="AL758" s="609"/>
      <c r="AM758" s="609"/>
      <c r="AN758" s="609"/>
      <c r="AO758" s="609"/>
      <c r="AP758" s="609"/>
      <c r="AQ758" s="609"/>
    </row>
    <row r="759" spans="25:43" x14ac:dyDescent="0.4">
      <c r="Y759" s="609"/>
      <c r="Z759" s="609"/>
      <c r="AA759" s="609"/>
      <c r="AB759" s="609"/>
      <c r="AC759" s="609"/>
      <c r="AD759" s="609"/>
      <c r="AE759" s="609"/>
      <c r="AF759" s="609"/>
      <c r="AG759" s="609"/>
      <c r="AH759" s="609"/>
      <c r="AI759" s="609"/>
      <c r="AJ759" s="609"/>
      <c r="AK759" s="609"/>
      <c r="AL759" s="609"/>
      <c r="AM759" s="609"/>
      <c r="AN759" s="609"/>
      <c r="AO759" s="609"/>
      <c r="AP759" s="609"/>
      <c r="AQ759" s="609"/>
    </row>
    <row r="760" spans="25:43" x14ac:dyDescent="0.4">
      <c r="Y760" s="609"/>
      <c r="Z760" s="609"/>
      <c r="AA760" s="609"/>
      <c r="AB760" s="609"/>
      <c r="AC760" s="609"/>
      <c r="AD760" s="609"/>
      <c r="AE760" s="609"/>
      <c r="AF760" s="609"/>
      <c r="AG760" s="609"/>
      <c r="AH760" s="609"/>
      <c r="AI760" s="609"/>
      <c r="AJ760" s="609"/>
      <c r="AK760" s="609"/>
      <c r="AL760" s="609"/>
      <c r="AM760" s="609"/>
      <c r="AN760" s="609"/>
      <c r="AO760" s="609"/>
      <c r="AP760" s="609"/>
      <c r="AQ760" s="609"/>
    </row>
    <row r="761" spans="25:43" x14ac:dyDescent="0.4">
      <c r="Y761" s="609"/>
      <c r="Z761" s="609"/>
      <c r="AA761" s="609"/>
      <c r="AB761" s="609"/>
      <c r="AC761" s="609"/>
      <c r="AD761" s="609"/>
      <c r="AE761" s="609"/>
      <c r="AF761" s="609"/>
      <c r="AG761" s="609"/>
      <c r="AH761" s="609"/>
      <c r="AI761" s="609"/>
      <c r="AJ761" s="609"/>
      <c r="AK761" s="609"/>
      <c r="AL761" s="609"/>
      <c r="AM761" s="609"/>
      <c r="AN761" s="609"/>
      <c r="AO761" s="609"/>
      <c r="AP761" s="609"/>
      <c r="AQ761" s="609"/>
    </row>
    <row r="762" spans="25:43" x14ac:dyDescent="0.4">
      <c r="Y762" s="609"/>
      <c r="Z762" s="609"/>
      <c r="AA762" s="609"/>
      <c r="AB762" s="609"/>
      <c r="AC762" s="609"/>
      <c r="AD762" s="609"/>
      <c r="AE762" s="609"/>
      <c r="AF762" s="609"/>
      <c r="AG762" s="609"/>
      <c r="AH762" s="609"/>
      <c r="AI762" s="609"/>
      <c r="AJ762" s="609"/>
      <c r="AK762" s="609"/>
      <c r="AL762" s="609"/>
      <c r="AM762" s="609"/>
      <c r="AN762" s="609"/>
      <c r="AO762" s="609"/>
      <c r="AP762" s="609"/>
      <c r="AQ762" s="609"/>
    </row>
    <row r="763" spans="25:43" x14ac:dyDescent="0.4">
      <c r="Y763" s="609"/>
      <c r="Z763" s="609"/>
      <c r="AA763" s="609"/>
      <c r="AB763" s="609"/>
      <c r="AC763" s="609"/>
      <c r="AD763" s="609"/>
      <c r="AE763" s="609"/>
      <c r="AF763" s="609"/>
      <c r="AG763" s="609"/>
      <c r="AH763" s="609"/>
      <c r="AI763" s="609"/>
      <c r="AJ763" s="609"/>
      <c r="AK763" s="609"/>
      <c r="AL763" s="609"/>
      <c r="AM763" s="609"/>
      <c r="AN763" s="609"/>
      <c r="AO763" s="609"/>
      <c r="AP763" s="609"/>
      <c r="AQ763" s="609"/>
    </row>
    <row r="764" spans="25:43" x14ac:dyDescent="0.4">
      <c r="Y764" s="609"/>
      <c r="Z764" s="609"/>
      <c r="AA764" s="609"/>
      <c r="AB764" s="609"/>
      <c r="AC764" s="609"/>
      <c r="AD764" s="609"/>
      <c r="AE764" s="609"/>
      <c r="AF764" s="609"/>
      <c r="AG764" s="609"/>
      <c r="AH764" s="609"/>
      <c r="AI764" s="609"/>
      <c r="AJ764" s="609"/>
      <c r="AK764" s="609"/>
      <c r="AL764" s="609"/>
      <c r="AM764" s="609"/>
      <c r="AN764" s="609"/>
      <c r="AO764" s="609"/>
      <c r="AP764" s="609"/>
      <c r="AQ764" s="609"/>
    </row>
    <row r="765" spans="25:43" x14ac:dyDescent="0.4">
      <c r="Y765" s="609"/>
      <c r="Z765" s="609"/>
      <c r="AA765" s="609"/>
      <c r="AB765" s="609"/>
      <c r="AC765" s="609"/>
      <c r="AD765" s="609"/>
      <c r="AE765" s="609"/>
      <c r="AF765" s="609"/>
      <c r="AG765" s="609"/>
      <c r="AH765" s="609"/>
      <c r="AI765" s="609"/>
      <c r="AJ765" s="609"/>
      <c r="AK765" s="609"/>
      <c r="AL765" s="609"/>
      <c r="AM765" s="609"/>
      <c r="AN765" s="609"/>
      <c r="AO765" s="609"/>
      <c r="AP765" s="609"/>
      <c r="AQ765" s="609"/>
    </row>
    <row r="766" spans="25:43" x14ac:dyDescent="0.4">
      <c r="Y766" s="609"/>
      <c r="Z766" s="609"/>
      <c r="AA766" s="609"/>
      <c r="AB766" s="609"/>
      <c r="AC766" s="609"/>
      <c r="AD766" s="609"/>
      <c r="AE766" s="609"/>
      <c r="AF766" s="609"/>
      <c r="AG766" s="609"/>
      <c r="AH766" s="609"/>
      <c r="AI766" s="609"/>
      <c r="AJ766" s="609"/>
      <c r="AK766" s="609"/>
      <c r="AL766" s="609"/>
      <c r="AM766" s="609"/>
      <c r="AN766" s="609"/>
      <c r="AO766" s="609"/>
      <c r="AP766" s="609"/>
      <c r="AQ766" s="609"/>
    </row>
    <row r="767" spans="25:43" x14ac:dyDescent="0.4">
      <c r="Y767" s="609"/>
      <c r="Z767" s="609"/>
      <c r="AA767" s="609"/>
      <c r="AB767" s="609"/>
      <c r="AC767" s="609"/>
      <c r="AD767" s="609"/>
      <c r="AE767" s="609"/>
      <c r="AF767" s="609"/>
      <c r="AG767" s="609"/>
      <c r="AH767" s="609"/>
      <c r="AI767" s="609"/>
      <c r="AJ767" s="609"/>
      <c r="AK767" s="609"/>
      <c r="AL767" s="609"/>
      <c r="AM767" s="609"/>
      <c r="AN767" s="609"/>
      <c r="AO767" s="609"/>
      <c r="AP767" s="609"/>
      <c r="AQ767" s="609"/>
    </row>
    <row r="768" spans="25:43" x14ac:dyDescent="0.4">
      <c r="Y768" s="609"/>
      <c r="Z768" s="609"/>
      <c r="AA768" s="609"/>
      <c r="AB768" s="609"/>
      <c r="AC768" s="609"/>
      <c r="AD768" s="609"/>
      <c r="AE768" s="609"/>
      <c r="AF768" s="609"/>
      <c r="AG768" s="609"/>
      <c r="AH768" s="609"/>
      <c r="AI768" s="609"/>
      <c r="AJ768" s="609"/>
      <c r="AK768" s="609"/>
      <c r="AL768" s="609"/>
      <c r="AM768" s="609"/>
      <c r="AN768" s="609"/>
      <c r="AO768" s="609"/>
      <c r="AP768" s="609"/>
      <c r="AQ768" s="609"/>
    </row>
    <row r="769" spans="25:43" x14ac:dyDescent="0.4">
      <c r="Y769" s="609"/>
      <c r="Z769" s="609"/>
      <c r="AA769" s="609"/>
      <c r="AB769" s="609"/>
      <c r="AC769" s="609"/>
      <c r="AD769" s="609"/>
      <c r="AE769" s="609"/>
      <c r="AF769" s="609"/>
      <c r="AG769" s="609"/>
      <c r="AH769" s="609"/>
      <c r="AI769" s="609"/>
      <c r="AJ769" s="609"/>
      <c r="AK769" s="609"/>
      <c r="AL769" s="609"/>
      <c r="AM769" s="609"/>
      <c r="AN769" s="609"/>
      <c r="AO769" s="609"/>
      <c r="AP769" s="609"/>
      <c r="AQ769" s="609"/>
    </row>
    <row r="770" spans="25:43" x14ac:dyDescent="0.4">
      <c r="Y770" s="609"/>
      <c r="Z770" s="609"/>
      <c r="AA770" s="609"/>
      <c r="AB770" s="609"/>
      <c r="AC770" s="609"/>
      <c r="AD770" s="609"/>
      <c r="AE770" s="609"/>
      <c r="AF770" s="609"/>
      <c r="AG770" s="609"/>
      <c r="AH770" s="609"/>
      <c r="AI770" s="609"/>
      <c r="AJ770" s="609"/>
      <c r="AK770" s="609"/>
      <c r="AL770" s="609"/>
      <c r="AM770" s="609"/>
      <c r="AN770" s="609"/>
      <c r="AO770" s="609"/>
      <c r="AP770" s="609"/>
      <c r="AQ770" s="609"/>
    </row>
    <row r="771" spans="25:43" x14ac:dyDescent="0.4">
      <c r="Y771" s="609"/>
      <c r="Z771" s="609"/>
      <c r="AA771" s="609"/>
      <c r="AB771" s="609"/>
      <c r="AC771" s="609"/>
      <c r="AD771" s="609"/>
      <c r="AE771" s="609"/>
      <c r="AF771" s="609"/>
      <c r="AG771" s="609"/>
      <c r="AH771" s="609"/>
      <c r="AI771" s="609"/>
      <c r="AJ771" s="609"/>
      <c r="AK771" s="609"/>
      <c r="AL771" s="609"/>
      <c r="AM771" s="609"/>
      <c r="AN771" s="609"/>
      <c r="AO771" s="609"/>
      <c r="AP771" s="609"/>
      <c r="AQ771" s="609"/>
    </row>
    <row r="772" spans="25:43" x14ac:dyDescent="0.4">
      <c r="Y772" s="609"/>
      <c r="Z772" s="609"/>
      <c r="AA772" s="609"/>
      <c r="AB772" s="609"/>
      <c r="AC772" s="609"/>
      <c r="AD772" s="609"/>
      <c r="AE772" s="609"/>
      <c r="AF772" s="609"/>
      <c r="AG772" s="609"/>
      <c r="AH772" s="609"/>
      <c r="AI772" s="609"/>
      <c r="AJ772" s="609"/>
      <c r="AK772" s="609"/>
      <c r="AL772" s="609"/>
      <c r="AM772" s="609"/>
      <c r="AN772" s="609"/>
      <c r="AO772" s="609"/>
      <c r="AP772" s="609"/>
      <c r="AQ772" s="609"/>
    </row>
    <row r="773" spans="25:43" x14ac:dyDescent="0.4">
      <c r="Y773" s="609"/>
      <c r="Z773" s="609"/>
      <c r="AA773" s="609"/>
      <c r="AB773" s="609"/>
      <c r="AC773" s="609"/>
      <c r="AD773" s="609"/>
      <c r="AE773" s="609"/>
      <c r="AF773" s="609"/>
      <c r="AG773" s="609"/>
      <c r="AH773" s="609"/>
      <c r="AI773" s="609"/>
      <c r="AJ773" s="609"/>
      <c r="AK773" s="609"/>
      <c r="AL773" s="609"/>
      <c r="AM773" s="609"/>
      <c r="AN773" s="609"/>
      <c r="AO773" s="609"/>
      <c r="AP773" s="609"/>
      <c r="AQ773" s="609"/>
    </row>
    <row r="774" spans="25:43" x14ac:dyDescent="0.4">
      <c r="Y774" s="609"/>
      <c r="Z774" s="609"/>
      <c r="AA774" s="609"/>
      <c r="AB774" s="609"/>
      <c r="AC774" s="609"/>
      <c r="AD774" s="609"/>
      <c r="AE774" s="609"/>
      <c r="AF774" s="609"/>
      <c r="AG774" s="609"/>
      <c r="AH774" s="609"/>
      <c r="AI774" s="609"/>
      <c r="AJ774" s="609"/>
      <c r="AK774" s="609"/>
      <c r="AL774" s="609"/>
      <c r="AM774" s="609"/>
      <c r="AN774" s="609"/>
      <c r="AO774" s="609"/>
      <c r="AP774" s="609"/>
      <c r="AQ774" s="609"/>
    </row>
    <row r="775" spans="25:43" x14ac:dyDescent="0.4">
      <c r="Y775" s="609"/>
      <c r="Z775" s="609"/>
      <c r="AA775" s="609"/>
      <c r="AB775" s="609"/>
      <c r="AC775" s="609"/>
      <c r="AD775" s="609"/>
      <c r="AE775" s="609"/>
      <c r="AF775" s="609"/>
      <c r="AG775" s="609"/>
      <c r="AH775" s="609"/>
      <c r="AI775" s="609"/>
      <c r="AJ775" s="609"/>
      <c r="AK775" s="609"/>
      <c r="AL775" s="609"/>
      <c r="AM775" s="609"/>
      <c r="AN775" s="609"/>
      <c r="AO775" s="609"/>
      <c r="AP775" s="609"/>
      <c r="AQ775" s="609"/>
    </row>
    <row r="776" spans="25:43" x14ac:dyDescent="0.4">
      <c r="Y776" s="609"/>
      <c r="Z776" s="609"/>
      <c r="AA776" s="609"/>
      <c r="AB776" s="609"/>
      <c r="AC776" s="609"/>
      <c r="AD776" s="609"/>
      <c r="AE776" s="609"/>
      <c r="AF776" s="609"/>
      <c r="AG776" s="609"/>
      <c r="AH776" s="609"/>
      <c r="AI776" s="609"/>
      <c r="AJ776" s="609"/>
      <c r="AK776" s="609"/>
      <c r="AL776" s="609"/>
      <c r="AM776" s="609"/>
      <c r="AN776" s="609"/>
      <c r="AO776" s="609"/>
      <c r="AP776" s="609"/>
      <c r="AQ776" s="609"/>
    </row>
    <row r="777" spans="25:43" x14ac:dyDescent="0.4">
      <c r="Y777" s="609"/>
      <c r="Z777" s="609"/>
      <c r="AA777" s="609"/>
      <c r="AB777" s="609"/>
      <c r="AC777" s="609"/>
      <c r="AD777" s="609"/>
      <c r="AE777" s="609"/>
      <c r="AF777" s="609"/>
      <c r="AG777" s="609"/>
      <c r="AH777" s="609"/>
      <c r="AI777" s="609"/>
      <c r="AJ777" s="609"/>
      <c r="AK777" s="609"/>
      <c r="AL777" s="609"/>
      <c r="AM777" s="609"/>
      <c r="AN777" s="609"/>
      <c r="AO777" s="609"/>
      <c r="AP777" s="609"/>
      <c r="AQ777" s="609"/>
    </row>
    <row r="778" spans="25:43" x14ac:dyDescent="0.4">
      <c r="Y778" s="609"/>
      <c r="Z778" s="609"/>
      <c r="AA778" s="609"/>
      <c r="AB778" s="609"/>
      <c r="AC778" s="609"/>
      <c r="AD778" s="609"/>
      <c r="AE778" s="609"/>
      <c r="AF778" s="609"/>
      <c r="AG778" s="609"/>
      <c r="AH778" s="609"/>
      <c r="AI778" s="609"/>
      <c r="AJ778" s="609"/>
      <c r="AK778" s="609"/>
      <c r="AL778" s="609"/>
      <c r="AM778" s="609"/>
      <c r="AN778" s="609"/>
      <c r="AO778" s="609"/>
      <c r="AP778" s="609"/>
      <c r="AQ778" s="609"/>
    </row>
    <row r="779" spans="25:43" x14ac:dyDescent="0.4">
      <c r="Y779" s="609"/>
      <c r="Z779" s="609"/>
      <c r="AA779" s="609"/>
      <c r="AB779" s="609"/>
      <c r="AC779" s="609"/>
      <c r="AD779" s="609"/>
      <c r="AE779" s="609"/>
      <c r="AF779" s="609"/>
      <c r="AG779" s="609"/>
      <c r="AH779" s="609"/>
      <c r="AI779" s="609"/>
      <c r="AJ779" s="609"/>
      <c r="AK779" s="609"/>
      <c r="AL779" s="609"/>
      <c r="AM779" s="609"/>
      <c r="AN779" s="609"/>
      <c r="AO779" s="609"/>
      <c r="AP779" s="609"/>
      <c r="AQ779" s="609"/>
    </row>
    <row r="780" spans="25:43" x14ac:dyDescent="0.4">
      <c r="Y780" s="609"/>
      <c r="Z780" s="609"/>
      <c r="AA780" s="609"/>
      <c r="AB780" s="609"/>
      <c r="AC780" s="609"/>
      <c r="AD780" s="609"/>
      <c r="AE780" s="609"/>
      <c r="AF780" s="609"/>
      <c r="AG780" s="609"/>
      <c r="AH780" s="609"/>
      <c r="AI780" s="609"/>
      <c r="AJ780" s="609"/>
      <c r="AK780" s="609"/>
      <c r="AL780" s="609"/>
      <c r="AM780" s="609"/>
      <c r="AN780" s="609"/>
      <c r="AO780" s="609"/>
      <c r="AP780" s="609"/>
      <c r="AQ780" s="609"/>
    </row>
    <row r="781" spans="25:43" x14ac:dyDescent="0.4">
      <c r="Y781" s="609"/>
      <c r="Z781" s="609"/>
      <c r="AA781" s="609"/>
      <c r="AB781" s="609"/>
      <c r="AC781" s="609"/>
      <c r="AD781" s="609"/>
      <c r="AE781" s="609"/>
      <c r="AF781" s="609"/>
      <c r="AG781" s="609"/>
      <c r="AH781" s="609"/>
      <c r="AI781" s="609"/>
      <c r="AJ781" s="609"/>
      <c r="AK781" s="609"/>
      <c r="AL781" s="609"/>
      <c r="AM781" s="609"/>
      <c r="AN781" s="609"/>
      <c r="AO781" s="609"/>
      <c r="AP781" s="609"/>
      <c r="AQ781" s="609"/>
    </row>
    <row r="782" spans="25:43" x14ac:dyDescent="0.4">
      <c r="Y782" s="609"/>
      <c r="Z782" s="609"/>
      <c r="AA782" s="609"/>
      <c r="AB782" s="609"/>
      <c r="AC782" s="609"/>
      <c r="AD782" s="609"/>
      <c r="AE782" s="609"/>
      <c r="AF782" s="609"/>
      <c r="AG782" s="609"/>
      <c r="AH782" s="609"/>
      <c r="AI782" s="609"/>
      <c r="AJ782" s="609"/>
      <c r="AK782" s="609"/>
      <c r="AL782" s="609"/>
      <c r="AM782" s="609"/>
      <c r="AN782" s="609"/>
      <c r="AO782" s="609"/>
      <c r="AP782" s="609"/>
      <c r="AQ782" s="609"/>
    </row>
    <row r="783" spans="25:43" x14ac:dyDescent="0.4">
      <c r="Y783" s="609"/>
      <c r="Z783" s="609"/>
      <c r="AA783" s="609"/>
      <c r="AB783" s="609"/>
      <c r="AC783" s="609"/>
      <c r="AD783" s="609"/>
      <c r="AE783" s="609"/>
      <c r="AF783" s="609"/>
      <c r="AG783" s="609"/>
      <c r="AH783" s="609"/>
      <c r="AI783" s="609"/>
      <c r="AJ783" s="609"/>
      <c r="AK783" s="609"/>
      <c r="AL783" s="609"/>
      <c r="AM783" s="609"/>
      <c r="AN783" s="609"/>
      <c r="AO783" s="609"/>
      <c r="AP783" s="609"/>
      <c r="AQ783" s="609"/>
    </row>
    <row r="784" spans="25:43" x14ac:dyDescent="0.4">
      <c r="Y784" s="609"/>
      <c r="Z784" s="609"/>
      <c r="AA784" s="609"/>
      <c r="AB784" s="609"/>
      <c r="AC784" s="609"/>
      <c r="AD784" s="609"/>
      <c r="AE784" s="609"/>
      <c r="AF784" s="609"/>
      <c r="AG784" s="609"/>
      <c r="AH784" s="609"/>
      <c r="AI784" s="609"/>
      <c r="AJ784" s="609"/>
      <c r="AK784" s="609"/>
      <c r="AL784" s="609"/>
      <c r="AM784" s="609"/>
      <c r="AN784" s="609"/>
      <c r="AO784" s="609"/>
      <c r="AP784" s="609"/>
      <c r="AQ784" s="609"/>
    </row>
    <row r="785" spans="25:43" x14ac:dyDescent="0.4">
      <c r="Y785" s="609"/>
      <c r="Z785" s="609"/>
      <c r="AA785" s="609"/>
      <c r="AB785" s="609"/>
      <c r="AC785" s="609"/>
      <c r="AD785" s="609"/>
      <c r="AE785" s="609"/>
      <c r="AF785" s="609"/>
      <c r="AG785" s="609"/>
      <c r="AH785" s="609"/>
      <c r="AI785" s="609"/>
      <c r="AJ785" s="609"/>
      <c r="AK785" s="609"/>
      <c r="AL785" s="609"/>
      <c r="AM785" s="609"/>
      <c r="AN785" s="609"/>
      <c r="AO785" s="609"/>
      <c r="AP785" s="609"/>
      <c r="AQ785" s="609"/>
    </row>
    <row r="786" spans="25:43" x14ac:dyDescent="0.4">
      <c r="Y786" s="609"/>
      <c r="Z786" s="609"/>
      <c r="AA786" s="609"/>
      <c r="AB786" s="609"/>
      <c r="AC786" s="609"/>
      <c r="AD786" s="609"/>
      <c r="AE786" s="609"/>
      <c r="AF786" s="609"/>
      <c r="AG786" s="609"/>
      <c r="AH786" s="609"/>
      <c r="AI786" s="609"/>
      <c r="AJ786" s="609"/>
      <c r="AK786" s="609"/>
      <c r="AL786" s="609"/>
      <c r="AM786" s="609"/>
      <c r="AN786" s="609"/>
      <c r="AO786" s="609"/>
      <c r="AP786" s="609"/>
      <c r="AQ786" s="609"/>
    </row>
    <row r="787" spans="25:43" x14ac:dyDescent="0.4">
      <c r="Y787" s="609"/>
      <c r="Z787" s="609"/>
      <c r="AA787" s="609"/>
      <c r="AB787" s="609"/>
      <c r="AC787" s="609"/>
      <c r="AD787" s="609"/>
      <c r="AE787" s="609"/>
      <c r="AF787" s="609"/>
      <c r="AG787" s="609"/>
      <c r="AH787" s="609"/>
      <c r="AI787" s="609"/>
      <c r="AJ787" s="609"/>
      <c r="AK787" s="609"/>
      <c r="AL787" s="609"/>
      <c r="AM787" s="609"/>
      <c r="AN787" s="609"/>
      <c r="AO787" s="609"/>
      <c r="AP787" s="609"/>
      <c r="AQ787" s="609"/>
    </row>
    <row r="788" spans="25:43" x14ac:dyDescent="0.4">
      <c r="Y788" s="609"/>
      <c r="Z788" s="609"/>
      <c r="AA788" s="609"/>
      <c r="AB788" s="609"/>
      <c r="AC788" s="609"/>
      <c r="AD788" s="609"/>
      <c r="AE788" s="609"/>
      <c r="AF788" s="609"/>
      <c r="AG788" s="609"/>
      <c r="AH788" s="609"/>
      <c r="AI788" s="609"/>
      <c r="AJ788" s="609"/>
      <c r="AK788" s="609"/>
      <c r="AL788" s="609"/>
      <c r="AM788" s="609"/>
      <c r="AN788" s="609"/>
      <c r="AO788" s="609"/>
      <c r="AP788" s="609"/>
      <c r="AQ788" s="609"/>
    </row>
    <row r="789" spans="25:43" x14ac:dyDescent="0.4">
      <c r="Y789" s="609"/>
      <c r="Z789" s="609"/>
      <c r="AA789" s="609"/>
      <c r="AB789" s="609"/>
      <c r="AC789" s="609"/>
      <c r="AD789" s="609"/>
      <c r="AE789" s="609"/>
      <c r="AF789" s="609"/>
      <c r="AG789" s="609"/>
      <c r="AH789" s="609"/>
      <c r="AI789" s="609"/>
      <c r="AJ789" s="609"/>
      <c r="AK789" s="609"/>
      <c r="AL789" s="609"/>
      <c r="AM789" s="609"/>
      <c r="AN789" s="609"/>
      <c r="AO789" s="609"/>
      <c r="AP789" s="609"/>
      <c r="AQ789" s="609"/>
    </row>
    <row r="790" spans="25:43" x14ac:dyDescent="0.4">
      <c r="Y790" s="609"/>
      <c r="Z790" s="609"/>
      <c r="AA790" s="609"/>
      <c r="AB790" s="609"/>
      <c r="AC790" s="609"/>
      <c r="AD790" s="609"/>
      <c r="AE790" s="609"/>
      <c r="AF790" s="609"/>
      <c r="AG790" s="609"/>
      <c r="AH790" s="609"/>
      <c r="AI790" s="609"/>
      <c r="AJ790" s="609"/>
      <c r="AK790" s="609"/>
      <c r="AL790" s="609"/>
      <c r="AM790" s="609"/>
      <c r="AN790" s="609"/>
      <c r="AO790" s="609"/>
      <c r="AP790" s="609"/>
      <c r="AQ790" s="609"/>
    </row>
    <row r="791" spans="25:43" x14ac:dyDescent="0.4">
      <c r="Y791" s="609"/>
      <c r="Z791" s="609"/>
      <c r="AA791" s="609"/>
      <c r="AB791" s="609"/>
      <c r="AC791" s="609"/>
      <c r="AD791" s="609"/>
      <c r="AE791" s="609"/>
      <c r="AF791" s="609"/>
      <c r="AG791" s="609"/>
      <c r="AH791" s="609"/>
      <c r="AI791" s="609"/>
      <c r="AJ791" s="609"/>
      <c r="AK791" s="609"/>
      <c r="AL791" s="609"/>
      <c r="AM791" s="609"/>
      <c r="AN791" s="609"/>
      <c r="AO791" s="609"/>
      <c r="AP791" s="609"/>
      <c r="AQ791" s="609"/>
    </row>
    <row r="792" spans="25:43" x14ac:dyDescent="0.4">
      <c r="Y792" s="609"/>
      <c r="Z792" s="609"/>
      <c r="AA792" s="609"/>
      <c r="AB792" s="609"/>
      <c r="AC792" s="609"/>
      <c r="AD792" s="609"/>
      <c r="AE792" s="609"/>
      <c r="AF792" s="609"/>
      <c r="AG792" s="609"/>
      <c r="AH792" s="609"/>
      <c r="AI792" s="609"/>
      <c r="AJ792" s="609"/>
      <c r="AK792" s="609"/>
      <c r="AL792" s="609"/>
      <c r="AM792" s="609"/>
      <c r="AN792" s="609"/>
      <c r="AO792" s="609"/>
      <c r="AP792" s="609"/>
      <c r="AQ792" s="609"/>
    </row>
    <row r="793" spans="25:43" x14ac:dyDescent="0.4">
      <c r="Y793" s="609"/>
      <c r="Z793" s="609"/>
      <c r="AA793" s="609"/>
      <c r="AB793" s="609"/>
      <c r="AC793" s="609"/>
      <c r="AD793" s="609"/>
      <c r="AE793" s="609"/>
      <c r="AF793" s="609"/>
      <c r="AG793" s="609"/>
      <c r="AH793" s="609"/>
      <c r="AI793" s="609"/>
      <c r="AJ793" s="609"/>
      <c r="AK793" s="609"/>
      <c r="AL793" s="609"/>
      <c r="AM793" s="609"/>
      <c r="AN793" s="609"/>
      <c r="AO793" s="609"/>
      <c r="AP793" s="609"/>
      <c r="AQ793" s="609"/>
    </row>
    <row r="794" spans="25:43" x14ac:dyDescent="0.4">
      <c r="Y794" s="609"/>
      <c r="Z794" s="609"/>
      <c r="AA794" s="609"/>
      <c r="AB794" s="609"/>
      <c r="AC794" s="609"/>
      <c r="AD794" s="609"/>
      <c r="AE794" s="609"/>
      <c r="AF794" s="609"/>
      <c r="AG794" s="609"/>
      <c r="AH794" s="609"/>
      <c r="AI794" s="609"/>
      <c r="AJ794" s="609"/>
      <c r="AK794" s="609"/>
      <c r="AL794" s="609"/>
      <c r="AM794" s="609"/>
      <c r="AN794" s="609"/>
      <c r="AO794" s="609"/>
      <c r="AP794" s="609"/>
      <c r="AQ794" s="609"/>
    </row>
    <row r="795" spans="25:43" x14ac:dyDescent="0.4">
      <c r="Y795" s="609"/>
      <c r="Z795" s="609"/>
      <c r="AA795" s="609"/>
      <c r="AB795" s="609"/>
      <c r="AC795" s="609"/>
      <c r="AD795" s="609"/>
      <c r="AE795" s="609"/>
      <c r="AF795" s="609"/>
      <c r="AG795" s="609"/>
      <c r="AH795" s="609"/>
      <c r="AI795" s="609"/>
      <c r="AJ795" s="609"/>
      <c r="AK795" s="609"/>
      <c r="AL795" s="609"/>
      <c r="AM795" s="609"/>
      <c r="AN795" s="609"/>
      <c r="AO795" s="609"/>
      <c r="AP795" s="609"/>
      <c r="AQ795" s="609"/>
    </row>
    <row r="796" spans="25:43" x14ac:dyDescent="0.4">
      <c r="Y796" s="609"/>
      <c r="Z796" s="609"/>
      <c r="AA796" s="609"/>
      <c r="AB796" s="609"/>
      <c r="AC796" s="609"/>
      <c r="AD796" s="609"/>
      <c r="AE796" s="609"/>
      <c r="AF796" s="609"/>
      <c r="AG796" s="609"/>
      <c r="AH796" s="609"/>
      <c r="AI796" s="609"/>
      <c r="AJ796" s="609"/>
      <c r="AK796" s="609"/>
      <c r="AL796" s="609"/>
      <c r="AM796" s="609"/>
      <c r="AN796" s="609"/>
      <c r="AO796" s="609"/>
      <c r="AP796" s="609"/>
      <c r="AQ796" s="609"/>
    </row>
    <row r="797" spans="25:43" x14ac:dyDescent="0.4">
      <c r="Y797" s="609"/>
      <c r="Z797" s="609"/>
      <c r="AA797" s="609"/>
      <c r="AB797" s="609"/>
      <c r="AC797" s="609"/>
      <c r="AD797" s="609"/>
      <c r="AE797" s="609"/>
      <c r="AF797" s="609"/>
      <c r="AG797" s="609"/>
      <c r="AH797" s="609"/>
      <c r="AI797" s="609"/>
      <c r="AJ797" s="609"/>
      <c r="AK797" s="609"/>
      <c r="AL797" s="609"/>
      <c r="AM797" s="609"/>
      <c r="AN797" s="609"/>
      <c r="AO797" s="609"/>
      <c r="AP797" s="609"/>
      <c r="AQ797" s="609"/>
    </row>
    <row r="798" spans="25:43" x14ac:dyDescent="0.4">
      <c r="Y798" s="609"/>
      <c r="Z798" s="609"/>
      <c r="AA798" s="609"/>
      <c r="AB798" s="609"/>
      <c r="AC798" s="609"/>
      <c r="AD798" s="609"/>
      <c r="AE798" s="609"/>
      <c r="AF798" s="609"/>
      <c r="AG798" s="609"/>
      <c r="AH798" s="609"/>
      <c r="AI798" s="609"/>
      <c r="AJ798" s="609"/>
      <c r="AK798" s="609"/>
      <c r="AL798" s="609"/>
      <c r="AM798" s="609"/>
      <c r="AN798" s="609"/>
      <c r="AO798" s="609"/>
      <c r="AP798" s="609"/>
      <c r="AQ798" s="609"/>
    </row>
    <row r="799" spans="25:43" x14ac:dyDescent="0.4">
      <c r="Y799" s="609"/>
      <c r="Z799" s="609"/>
      <c r="AA799" s="609"/>
      <c r="AB799" s="609"/>
      <c r="AC799" s="609"/>
      <c r="AD799" s="609"/>
      <c r="AE799" s="609"/>
      <c r="AF799" s="609"/>
      <c r="AG799" s="609"/>
      <c r="AH799" s="609"/>
      <c r="AI799" s="609"/>
      <c r="AJ799" s="609"/>
      <c r="AK799" s="609"/>
      <c r="AL799" s="609"/>
      <c r="AM799" s="609"/>
      <c r="AN799" s="609"/>
      <c r="AO799" s="609"/>
      <c r="AP799" s="609"/>
      <c r="AQ799" s="609"/>
    </row>
    <row r="800" spans="25:43" x14ac:dyDescent="0.4">
      <c r="Y800" s="609"/>
      <c r="Z800" s="609"/>
      <c r="AA800" s="609"/>
      <c r="AB800" s="609"/>
      <c r="AC800" s="609"/>
      <c r="AD800" s="609"/>
      <c r="AE800" s="609"/>
      <c r="AF800" s="609"/>
      <c r="AG800" s="609"/>
      <c r="AH800" s="609"/>
      <c r="AI800" s="609"/>
      <c r="AJ800" s="609"/>
      <c r="AK800" s="609"/>
      <c r="AL800" s="609"/>
      <c r="AM800" s="609"/>
      <c r="AN800" s="609"/>
      <c r="AO800" s="609"/>
      <c r="AP800" s="609"/>
      <c r="AQ800" s="609"/>
    </row>
    <row r="801" spans="25:43" x14ac:dyDescent="0.4">
      <c r="Y801" s="609"/>
      <c r="Z801" s="609"/>
      <c r="AA801" s="609"/>
      <c r="AB801" s="609"/>
      <c r="AC801" s="609"/>
      <c r="AD801" s="609"/>
      <c r="AE801" s="609"/>
      <c r="AF801" s="609"/>
      <c r="AG801" s="609"/>
      <c r="AH801" s="609"/>
      <c r="AI801" s="609"/>
      <c r="AJ801" s="609"/>
      <c r="AK801" s="609"/>
      <c r="AL801" s="609"/>
      <c r="AM801" s="609"/>
      <c r="AN801" s="609"/>
      <c r="AO801" s="609"/>
      <c r="AP801" s="609"/>
      <c r="AQ801" s="609"/>
    </row>
    <row r="802" spans="25:43" x14ac:dyDescent="0.4">
      <c r="Y802" s="609"/>
      <c r="Z802" s="609"/>
      <c r="AA802" s="609"/>
      <c r="AB802" s="609"/>
      <c r="AC802" s="609"/>
      <c r="AD802" s="609"/>
      <c r="AE802" s="609"/>
      <c r="AF802" s="609"/>
      <c r="AG802" s="609"/>
      <c r="AH802" s="609"/>
      <c r="AI802" s="609"/>
      <c r="AJ802" s="609"/>
      <c r="AK802" s="609"/>
      <c r="AL802" s="609"/>
      <c r="AM802" s="609"/>
      <c r="AN802" s="609"/>
      <c r="AO802" s="609"/>
      <c r="AP802" s="609"/>
      <c r="AQ802" s="609"/>
    </row>
    <row r="803" spans="25:43" x14ac:dyDescent="0.4">
      <c r="Y803" s="609"/>
      <c r="Z803" s="609"/>
      <c r="AA803" s="609"/>
      <c r="AB803" s="609"/>
      <c r="AC803" s="609"/>
      <c r="AD803" s="609"/>
      <c r="AE803" s="609"/>
      <c r="AF803" s="609"/>
      <c r="AG803" s="609"/>
      <c r="AH803" s="609"/>
      <c r="AI803" s="609"/>
      <c r="AJ803" s="609"/>
      <c r="AK803" s="609"/>
      <c r="AL803" s="609"/>
      <c r="AM803" s="609"/>
      <c r="AN803" s="609"/>
      <c r="AO803" s="609"/>
      <c r="AP803" s="609"/>
      <c r="AQ803" s="609"/>
    </row>
    <row r="804" spans="25:43" x14ac:dyDescent="0.4">
      <c r="Y804" s="609"/>
      <c r="Z804" s="609"/>
      <c r="AA804" s="609"/>
      <c r="AB804" s="609"/>
      <c r="AC804" s="609"/>
      <c r="AD804" s="609"/>
      <c r="AE804" s="609"/>
      <c r="AF804" s="609"/>
      <c r="AG804" s="609"/>
      <c r="AH804" s="609"/>
      <c r="AI804" s="609"/>
      <c r="AJ804" s="609"/>
      <c r="AK804" s="609"/>
      <c r="AL804" s="609"/>
      <c r="AM804" s="609"/>
      <c r="AN804" s="609"/>
      <c r="AO804" s="609"/>
      <c r="AP804" s="609"/>
      <c r="AQ804" s="609"/>
    </row>
    <row r="805" spans="25:43" x14ac:dyDescent="0.4">
      <c r="Y805" s="609"/>
      <c r="Z805" s="609"/>
      <c r="AA805" s="609"/>
      <c r="AB805" s="609"/>
      <c r="AC805" s="609"/>
      <c r="AD805" s="609"/>
      <c r="AE805" s="609"/>
      <c r="AF805" s="609"/>
      <c r="AG805" s="609"/>
      <c r="AH805" s="609"/>
      <c r="AI805" s="609"/>
      <c r="AJ805" s="609"/>
      <c r="AK805" s="609"/>
      <c r="AL805" s="609"/>
      <c r="AM805" s="609"/>
      <c r="AN805" s="609"/>
      <c r="AO805" s="609"/>
      <c r="AP805" s="609"/>
      <c r="AQ805" s="609"/>
    </row>
    <row r="806" spans="25:43" x14ac:dyDescent="0.4">
      <c r="Y806" s="609"/>
      <c r="Z806" s="609"/>
      <c r="AA806" s="609"/>
      <c r="AB806" s="609"/>
      <c r="AC806" s="609"/>
      <c r="AD806" s="609"/>
      <c r="AE806" s="609"/>
      <c r="AF806" s="609"/>
      <c r="AG806" s="609"/>
      <c r="AH806" s="609"/>
      <c r="AI806" s="609"/>
      <c r="AJ806" s="609"/>
      <c r="AK806" s="609"/>
      <c r="AL806" s="609"/>
      <c r="AM806" s="609"/>
      <c r="AN806" s="609"/>
      <c r="AO806" s="609"/>
      <c r="AP806" s="609"/>
      <c r="AQ806" s="609"/>
    </row>
    <row r="807" spans="25:43" x14ac:dyDescent="0.4">
      <c r="Y807" s="609"/>
      <c r="Z807" s="609"/>
      <c r="AA807" s="609"/>
      <c r="AB807" s="609"/>
      <c r="AC807" s="609"/>
      <c r="AD807" s="609"/>
      <c r="AE807" s="609"/>
      <c r="AF807" s="609"/>
      <c r="AG807" s="609"/>
      <c r="AH807" s="609"/>
      <c r="AI807" s="609"/>
      <c r="AJ807" s="609"/>
      <c r="AK807" s="609"/>
      <c r="AL807" s="609"/>
      <c r="AM807" s="609"/>
      <c r="AN807" s="609"/>
      <c r="AO807" s="609"/>
      <c r="AP807" s="609"/>
      <c r="AQ807" s="609"/>
    </row>
    <row r="808" spans="25:43" x14ac:dyDescent="0.4">
      <c r="Y808" s="609"/>
      <c r="Z808" s="609"/>
      <c r="AA808" s="609"/>
      <c r="AB808" s="609"/>
      <c r="AC808" s="609"/>
      <c r="AD808" s="609"/>
      <c r="AE808" s="609"/>
      <c r="AF808" s="609"/>
      <c r="AG808" s="609"/>
      <c r="AH808" s="609"/>
      <c r="AI808" s="609"/>
      <c r="AJ808" s="609"/>
      <c r="AK808" s="609"/>
      <c r="AL808" s="609"/>
      <c r="AM808" s="609"/>
      <c r="AN808" s="609"/>
      <c r="AO808" s="609"/>
      <c r="AP808" s="609"/>
      <c r="AQ808" s="609"/>
    </row>
    <row r="809" spans="25:43" x14ac:dyDescent="0.4">
      <c r="Y809" s="609"/>
      <c r="Z809" s="609"/>
      <c r="AA809" s="609"/>
      <c r="AB809" s="609"/>
      <c r="AC809" s="609"/>
      <c r="AD809" s="609"/>
      <c r="AE809" s="609"/>
      <c r="AF809" s="609"/>
      <c r="AG809" s="609"/>
      <c r="AH809" s="609"/>
      <c r="AI809" s="609"/>
      <c r="AJ809" s="609"/>
      <c r="AK809" s="609"/>
      <c r="AL809" s="609"/>
      <c r="AM809" s="609"/>
      <c r="AN809" s="609"/>
      <c r="AO809" s="609"/>
      <c r="AP809" s="609"/>
      <c r="AQ809" s="609"/>
    </row>
    <row r="810" spans="25:43" x14ac:dyDescent="0.4">
      <c r="Y810" s="609"/>
      <c r="Z810" s="609"/>
      <c r="AA810" s="609"/>
      <c r="AB810" s="609"/>
      <c r="AC810" s="609"/>
      <c r="AD810" s="609"/>
      <c r="AE810" s="609"/>
      <c r="AF810" s="609"/>
      <c r="AG810" s="609"/>
      <c r="AH810" s="609"/>
      <c r="AI810" s="609"/>
      <c r="AJ810" s="609"/>
      <c r="AK810" s="609"/>
      <c r="AL810" s="609"/>
      <c r="AM810" s="609"/>
      <c r="AN810" s="609"/>
      <c r="AO810" s="609"/>
      <c r="AP810" s="609"/>
      <c r="AQ810" s="609"/>
    </row>
    <row r="811" spans="25:43" x14ac:dyDescent="0.4">
      <c r="Y811" s="609"/>
      <c r="Z811" s="609"/>
      <c r="AA811" s="609"/>
      <c r="AB811" s="609"/>
      <c r="AC811" s="609"/>
      <c r="AD811" s="609"/>
      <c r="AE811" s="609"/>
      <c r="AF811" s="609"/>
      <c r="AG811" s="609"/>
      <c r="AH811" s="609"/>
      <c r="AI811" s="609"/>
      <c r="AJ811" s="609"/>
      <c r="AK811" s="609"/>
      <c r="AL811" s="609"/>
      <c r="AM811" s="609"/>
      <c r="AN811" s="609"/>
      <c r="AO811" s="609"/>
      <c r="AP811" s="609"/>
      <c r="AQ811" s="609"/>
    </row>
    <row r="812" spans="25:43" x14ac:dyDescent="0.4">
      <c r="Y812" s="609"/>
      <c r="Z812" s="609"/>
      <c r="AA812" s="609"/>
      <c r="AB812" s="609"/>
      <c r="AC812" s="609"/>
      <c r="AD812" s="609"/>
      <c r="AE812" s="609"/>
      <c r="AF812" s="609"/>
      <c r="AG812" s="609"/>
      <c r="AH812" s="609"/>
      <c r="AI812" s="609"/>
      <c r="AJ812" s="609"/>
      <c r="AK812" s="609"/>
      <c r="AL812" s="609"/>
      <c r="AM812" s="609"/>
      <c r="AN812" s="609"/>
      <c r="AO812" s="609"/>
      <c r="AP812" s="609"/>
      <c r="AQ812" s="609"/>
    </row>
    <row r="813" spans="25:43" x14ac:dyDescent="0.4">
      <c r="Y813" s="609"/>
      <c r="Z813" s="609"/>
      <c r="AA813" s="609"/>
      <c r="AB813" s="609"/>
      <c r="AC813" s="609"/>
      <c r="AD813" s="609"/>
      <c r="AE813" s="609"/>
      <c r="AF813" s="609"/>
      <c r="AG813" s="609"/>
      <c r="AH813" s="609"/>
      <c r="AI813" s="609"/>
      <c r="AJ813" s="609"/>
      <c r="AK813" s="609"/>
      <c r="AL813" s="609"/>
      <c r="AM813" s="609"/>
      <c r="AN813" s="609"/>
      <c r="AO813" s="609"/>
      <c r="AP813" s="609"/>
      <c r="AQ813" s="609"/>
    </row>
    <row r="814" spans="25:43" x14ac:dyDescent="0.4">
      <c r="Y814" s="609"/>
      <c r="Z814" s="609"/>
      <c r="AA814" s="609"/>
      <c r="AB814" s="609"/>
      <c r="AC814" s="609"/>
      <c r="AD814" s="609"/>
      <c r="AE814" s="609"/>
      <c r="AF814" s="609"/>
      <c r="AG814" s="609"/>
      <c r="AH814" s="609"/>
      <c r="AI814" s="609"/>
      <c r="AJ814" s="609"/>
      <c r="AK814" s="609"/>
      <c r="AL814" s="609"/>
      <c r="AM814" s="609"/>
      <c r="AN814" s="609"/>
      <c r="AO814" s="609"/>
      <c r="AP814" s="609"/>
      <c r="AQ814" s="609"/>
    </row>
    <row r="815" spans="25:43" x14ac:dyDescent="0.4">
      <c r="Y815" s="609"/>
      <c r="Z815" s="609"/>
      <c r="AA815" s="609"/>
      <c r="AB815" s="609"/>
      <c r="AC815" s="609"/>
      <c r="AD815" s="609"/>
      <c r="AE815" s="609"/>
      <c r="AF815" s="609"/>
      <c r="AG815" s="609"/>
      <c r="AH815" s="609"/>
      <c r="AI815" s="609"/>
      <c r="AJ815" s="609"/>
      <c r="AK815" s="609"/>
      <c r="AL815" s="609"/>
      <c r="AM815" s="609"/>
      <c r="AN815" s="609"/>
      <c r="AO815" s="609"/>
      <c r="AP815" s="609"/>
      <c r="AQ815" s="609"/>
    </row>
    <row r="816" spans="25:43" x14ac:dyDescent="0.4">
      <c r="Y816" s="609"/>
      <c r="Z816" s="609"/>
      <c r="AA816" s="609"/>
      <c r="AB816" s="609"/>
      <c r="AC816" s="609"/>
      <c r="AD816" s="609"/>
      <c r="AE816" s="609"/>
      <c r="AF816" s="609"/>
      <c r="AG816" s="609"/>
      <c r="AH816" s="609"/>
      <c r="AI816" s="609"/>
      <c r="AJ816" s="609"/>
      <c r="AK816" s="609"/>
      <c r="AL816" s="609"/>
      <c r="AM816" s="609"/>
      <c r="AN816" s="609"/>
      <c r="AO816" s="609"/>
      <c r="AP816" s="609"/>
      <c r="AQ816" s="609"/>
    </row>
    <row r="817" spans="25:43" x14ac:dyDescent="0.4">
      <c r="Y817" s="609"/>
      <c r="Z817" s="609"/>
      <c r="AA817" s="609"/>
      <c r="AB817" s="609"/>
      <c r="AC817" s="609"/>
      <c r="AD817" s="609"/>
      <c r="AE817" s="609"/>
      <c r="AF817" s="609"/>
      <c r="AG817" s="609"/>
      <c r="AH817" s="609"/>
      <c r="AI817" s="609"/>
      <c r="AJ817" s="609"/>
      <c r="AK817" s="609"/>
      <c r="AL817" s="609"/>
      <c r="AM817" s="609"/>
      <c r="AN817" s="609"/>
      <c r="AO817" s="609"/>
      <c r="AP817" s="609"/>
      <c r="AQ817" s="609"/>
    </row>
    <row r="818" spans="25:43" x14ac:dyDescent="0.4">
      <c r="Y818" s="609"/>
      <c r="Z818" s="609"/>
      <c r="AA818" s="609"/>
      <c r="AB818" s="609"/>
      <c r="AC818" s="609"/>
      <c r="AD818" s="609"/>
      <c r="AE818" s="609"/>
      <c r="AF818" s="609"/>
      <c r="AG818" s="609"/>
      <c r="AH818" s="609"/>
      <c r="AI818" s="609"/>
      <c r="AJ818" s="609"/>
      <c r="AK818" s="609"/>
      <c r="AL818" s="609"/>
      <c r="AM818" s="609"/>
      <c r="AN818" s="609"/>
      <c r="AO818" s="609"/>
      <c r="AP818" s="609"/>
      <c r="AQ818" s="609"/>
    </row>
    <row r="819" spans="25:43" x14ac:dyDescent="0.4">
      <c r="Y819" s="609"/>
      <c r="Z819" s="609"/>
      <c r="AA819" s="609"/>
      <c r="AB819" s="609"/>
      <c r="AC819" s="609"/>
      <c r="AD819" s="609"/>
      <c r="AE819" s="609"/>
      <c r="AF819" s="609"/>
      <c r="AG819" s="609"/>
      <c r="AH819" s="609"/>
      <c r="AI819" s="609"/>
      <c r="AJ819" s="609"/>
      <c r="AK819" s="609"/>
      <c r="AL819" s="609"/>
      <c r="AM819" s="609"/>
      <c r="AN819" s="609"/>
      <c r="AO819" s="609"/>
      <c r="AP819" s="609"/>
      <c r="AQ819" s="609"/>
    </row>
    <row r="820" spans="25:43" x14ac:dyDescent="0.4">
      <c r="Y820" s="609"/>
      <c r="Z820" s="609"/>
      <c r="AA820" s="609"/>
      <c r="AB820" s="609"/>
      <c r="AC820" s="609"/>
      <c r="AD820" s="609"/>
      <c r="AE820" s="609"/>
      <c r="AF820" s="609"/>
      <c r="AG820" s="609"/>
      <c r="AH820" s="609"/>
      <c r="AI820" s="609"/>
      <c r="AJ820" s="609"/>
      <c r="AK820" s="609"/>
      <c r="AL820" s="609"/>
      <c r="AM820" s="609"/>
      <c r="AN820" s="609"/>
      <c r="AO820" s="609"/>
      <c r="AP820" s="609"/>
      <c r="AQ820" s="609"/>
    </row>
    <row r="821" spans="25:43" x14ac:dyDescent="0.4">
      <c r="Y821" s="609"/>
      <c r="Z821" s="609"/>
      <c r="AA821" s="609"/>
      <c r="AB821" s="609"/>
      <c r="AC821" s="609"/>
      <c r="AD821" s="609"/>
      <c r="AE821" s="609"/>
      <c r="AF821" s="609"/>
      <c r="AG821" s="609"/>
      <c r="AH821" s="609"/>
      <c r="AI821" s="609"/>
      <c r="AJ821" s="609"/>
      <c r="AK821" s="609"/>
      <c r="AL821" s="609"/>
      <c r="AM821" s="609"/>
      <c r="AN821" s="609"/>
      <c r="AO821" s="609"/>
      <c r="AP821" s="609"/>
      <c r="AQ821" s="609"/>
    </row>
    <row r="822" spans="25:43" x14ac:dyDescent="0.4">
      <c r="Y822" s="609"/>
      <c r="Z822" s="609"/>
      <c r="AA822" s="609"/>
      <c r="AB822" s="609"/>
      <c r="AC822" s="609"/>
      <c r="AD822" s="609"/>
      <c r="AE822" s="609"/>
      <c r="AF822" s="609"/>
      <c r="AG822" s="609"/>
      <c r="AH822" s="609"/>
      <c r="AI822" s="609"/>
      <c r="AJ822" s="609"/>
      <c r="AK822" s="609"/>
      <c r="AL822" s="609"/>
      <c r="AM822" s="609"/>
      <c r="AN822" s="609"/>
      <c r="AO822" s="609"/>
      <c r="AP822" s="609"/>
      <c r="AQ822" s="609"/>
    </row>
    <row r="823" spans="25:43" x14ac:dyDescent="0.4">
      <c r="Y823" s="609"/>
      <c r="Z823" s="609"/>
      <c r="AA823" s="609"/>
      <c r="AB823" s="609"/>
      <c r="AC823" s="609"/>
      <c r="AD823" s="609"/>
      <c r="AE823" s="609"/>
      <c r="AF823" s="609"/>
      <c r="AG823" s="609"/>
      <c r="AH823" s="609"/>
      <c r="AI823" s="609"/>
      <c r="AJ823" s="609"/>
      <c r="AK823" s="609"/>
      <c r="AL823" s="609"/>
      <c r="AM823" s="609"/>
      <c r="AN823" s="609"/>
      <c r="AO823" s="609"/>
      <c r="AP823" s="609"/>
      <c r="AQ823" s="609"/>
    </row>
    <row r="824" spans="25:43" x14ac:dyDescent="0.4">
      <c r="Y824" s="609"/>
      <c r="Z824" s="609"/>
      <c r="AA824" s="609"/>
      <c r="AB824" s="609"/>
      <c r="AC824" s="609"/>
      <c r="AD824" s="609"/>
      <c r="AE824" s="609"/>
      <c r="AF824" s="609"/>
      <c r="AG824" s="609"/>
      <c r="AH824" s="609"/>
      <c r="AI824" s="609"/>
      <c r="AJ824" s="609"/>
      <c r="AK824" s="609"/>
      <c r="AL824" s="609"/>
      <c r="AM824" s="609"/>
      <c r="AN824" s="609"/>
      <c r="AO824" s="609"/>
      <c r="AP824" s="609"/>
      <c r="AQ824" s="609"/>
    </row>
    <row r="825" spans="25:43" x14ac:dyDescent="0.4">
      <c r="Y825" s="609"/>
      <c r="Z825" s="609"/>
      <c r="AA825" s="609"/>
      <c r="AB825" s="609"/>
      <c r="AC825" s="609"/>
      <c r="AD825" s="609"/>
      <c r="AE825" s="609"/>
      <c r="AF825" s="609"/>
      <c r="AG825" s="609"/>
      <c r="AH825" s="609"/>
      <c r="AI825" s="609"/>
      <c r="AJ825" s="609"/>
      <c r="AK825" s="609"/>
      <c r="AL825" s="609"/>
      <c r="AM825" s="609"/>
      <c r="AN825" s="609"/>
      <c r="AO825" s="609"/>
      <c r="AP825" s="609"/>
      <c r="AQ825" s="609"/>
    </row>
    <row r="826" spans="25:43" x14ac:dyDescent="0.4">
      <c r="Y826" s="609"/>
      <c r="Z826" s="609"/>
      <c r="AA826" s="609"/>
      <c r="AB826" s="609"/>
      <c r="AC826" s="609"/>
      <c r="AD826" s="609"/>
      <c r="AE826" s="609"/>
      <c r="AF826" s="609"/>
      <c r="AG826" s="609"/>
      <c r="AH826" s="609"/>
      <c r="AI826" s="609"/>
      <c r="AJ826" s="609"/>
      <c r="AK826" s="609"/>
      <c r="AL826" s="609"/>
      <c r="AM826" s="609"/>
      <c r="AN826" s="609"/>
      <c r="AO826" s="609"/>
      <c r="AP826" s="609"/>
      <c r="AQ826" s="609"/>
    </row>
    <row r="827" spans="25:43" x14ac:dyDescent="0.4">
      <c r="Y827" s="609"/>
      <c r="Z827" s="609"/>
      <c r="AA827" s="609"/>
      <c r="AB827" s="609"/>
      <c r="AC827" s="609"/>
      <c r="AD827" s="609"/>
      <c r="AE827" s="609"/>
      <c r="AF827" s="609"/>
      <c r="AG827" s="609"/>
      <c r="AH827" s="609"/>
      <c r="AI827" s="609"/>
      <c r="AJ827" s="609"/>
      <c r="AK827" s="609"/>
      <c r="AL827" s="609"/>
      <c r="AM827" s="609"/>
      <c r="AN827" s="609"/>
      <c r="AO827" s="609"/>
      <c r="AP827" s="609"/>
      <c r="AQ827" s="609"/>
    </row>
    <row r="828" spans="25:43" x14ac:dyDescent="0.4">
      <c r="Y828" s="609"/>
      <c r="Z828" s="609"/>
      <c r="AA828" s="609"/>
      <c r="AB828" s="609"/>
      <c r="AC828" s="609"/>
      <c r="AD828" s="609"/>
      <c r="AE828" s="609"/>
      <c r="AF828" s="609"/>
      <c r="AG828" s="609"/>
      <c r="AH828" s="609"/>
      <c r="AI828" s="609"/>
      <c r="AJ828" s="609"/>
      <c r="AK828" s="609"/>
      <c r="AL828" s="609"/>
      <c r="AM828" s="609"/>
      <c r="AN828" s="609"/>
      <c r="AO828" s="609"/>
      <c r="AP828" s="609"/>
      <c r="AQ828" s="609"/>
    </row>
    <row r="829" spans="25:43" x14ac:dyDescent="0.4">
      <c r="Y829" s="609"/>
      <c r="Z829" s="609"/>
      <c r="AA829" s="609"/>
      <c r="AB829" s="609"/>
      <c r="AC829" s="609"/>
      <c r="AD829" s="609"/>
      <c r="AE829" s="609"/>
      <c r="AF829" s="609"/>
      <c r="AG829" s="609"/>
      <c r="AH829" s="609"/>
      <c r="AI829" s="609"/>
      <c r="AJ829" s="609"/>
      <c r="AK829" s="609"/>
      <c r="AL829" s="609"/>
      <c r="AM829" s="609"/>
      <c r="AN829" s="609"/>
      <c r="AO829" s="609"/>
      <c r="AP829" s="609"/>
      <c r="AQ829" s="609"/>
    </row>
    <row r="830" spans="25:43" x14ac:dyDescent="0.4">
      <c r="Y830" s="609"/>
      <c r="Z830" s="609"/>
      <c r="AA830" s="609"/>
      <c r="AB830" s="609"/>
      <c r="AC830" s="609"/>
      <c r="AD830" s="609"/>
      <c r="AE830" s="609"/>
      <c r="AF830" s="609"/>
      <c r="AG830" s="609"/>
      <c r="AH830" s="609"/>
      <c r="AI830" s="609"/>
      <c r="AJ830" s="609"/>
      <c r="AK830" s="609"/>
      <c r="AL830" s="609"/>
      <c r="AM830" s="609"/>
      <c r="AN830" s="609"/>
      <c r="AO830" s="609"/>
      <c r="AP830" s="609"/>
      <c r="AQ830" s="609"/>
    </row>
    <row r="831" spans="25:43" x14ac:dyDescent="0.4">
      <c r="Y831" s="609"/>
      <c r="Z831" s="609"/>
      <c r="AA831" s="609"/>
      <c r="AB831" s="609"/>
      <c r="AC831" s="609"/>
      <c r="AD831" s="609"/>
      <c r="AE831" s="609"/>
      <c r="AF831" s="609"/>
      <c r="AG831" s="609"/>
      <c r="AH831" s="609"/>
      <c r="AI831" s="609"/>
      <c r="AJ831" s="609"/>
      <c r="AK831" s="609"/>
      <c r="AL831" s="609"/>
      <c r="AM831" s="609"/>
      <c r="AN831" s="609"/>
      <c r="AO831" s="609"/>
      <c r="AP831" s="609"/>
      <c r="AQ831" s="609"/>
    </row>
    <row r="832" spans="25:43" x14ac:dyDescent="0.4">
      <c r="Y832" s="609"/>
      <c r="Z832" s="609"/>
      <c r="AA832" s="609"/>
      <c r="AB832" s="609"/>
      <c r="AC832" s="609"/>
      <c r="AD832" s="609"/>
      <c r="AE832" s="609"/>
      <c r="AF832" s="609"/>
      <c r="AG832" s="609"/>
      <c r="AH832" s="609"/>
      <c r="AI832" s="609"/>
      <c r="AJ832" s="609"/>
      <c r="AK832" s="609"/>
      <c r="AL832" s="609"/>
      <c r="AM832" s="609"/>
      <c r="AN832" s="609"/>
      <c r="AO832" s="609"/>
      <c r="AP832" s="609"/>
      <c r="AQ832" s="609"/>
    </row>
    <row r="833" spans="25:43" x14ac:dyDescent="0.4">
      <c r="Y833" s="609"/>
      <c r="Z833" s="609"/>
      <c r="AA833" s="609"/>
      <c r="AB833" s="609"/>
      <c r="AC833" s="609"/>
      <c r="AD833" s="609"/>
      <c r="AE833" s="609"/>
      <c r="AF833" s="609"/>
      <c r="AG833" s="609"/>
      <c r="AH833" s="609"/>
      <c r="AI833" s="609"/>
      <c r="AJ833" s="609"/>
      <c r="AK833" s="609"/>
      <c r="AL833" s="609"/>
      <c r="AM833" s="609"/>
      <c r="AN833" s="609"/>
      <c r="AO833" s="609"/>
      <c r="AP833" s="609"/>
      <c r="AQ833" s="609"/>
    </row>
    <row r="834" spans="25:43" x14ac:dyDescent="0.4">
      <c r="Y834" s="609"/>
      <c r="Z834" s="609"/>
      <c r="AA834" s="609"/>
      <c r="AB834" s="609"/>
      <c r="AC834" s="609"/>
      <c r="AD834" s="609"/>
      <c r="AE834" s="609"/>
      <c r="AF834" s="609"/>
      <c r="AG834" s="609"/>
      <c r="AH834" s="609"/>
      <c r="AI834" s="609"/>
      <c r="AJ834" s="609"/>
      <c r="AK834" s="609"/>
      <c r="AL834" s="609"/>
      <c r="AM834" s="609"/>
      <c r="AN834" s="609"/>
      <c r="AO834" s="609"/>
      <c r="AP834" s="609"/>
      <c r="AQ834" s="609"/>
    </row>
    <row r="835" spans="25:43" x14ac:dyDescent="0.4">
      <c r="Y835" s="609"/>
      <c r="Z835" s="609"/>
      <c r="AA835" s="609"/>
      <c r="AB835" s="609"/>
      <c r="AC835" s="609"/>
      <c r="AD835" s="609"/>
      <c r="AE835" s="609"/>
      <c r="AF835" s="609"/>
      <c r="AG835" s="609"/>
      <c r="AH835" s="609"/>
      <c r="AI835" s="609"/>
      <c r="AJ835" s="609"/>
      <c r="AK835" s="609"/>
      <c r="AL835" s="609"/>
      <c r="AM835" s="609"/>
      <c r="AN835" s="609"/>
      <c r="AO835" s="609"/>
      <c r="AP835" s="609"/>
      <c r="AQ835" s="609"/>
    </row>
    <row r="836" spans="25:43" x14ac:dyDescent="0.4">
      <c r="Y836" s="609"/>
      <c r="Z836" s="609"/>
      <c r="AA836" s="609"/>
      <c r="AB836" s="609"/>
      <c r="AC836" s="609"/>
      <c r="AD836" s="609"/>
      <c r="AE836" s="609"/>
      <c r="AF836" s="609"/>
      <c r="AG836" s="609"/>
      <c r="AH836" s="609"/>
      <c r="AI836" s="609"/>
      <c r="AJ836" s="609"/>
      <c r="AK836" s="609"/>
      <c r="AL836" s="609"/>
      <c r="AM836" s="609"/>
      <c r="AN836" s="609"/>
      <c r="AO836" s="609"/>
      <c r="AP836" s="609"/>
      <c r="AQ836" s="609"/>
    </row>
    <row r="837" spans="25:43" x14ac:dyDescent="0.4">
      <c r="Y837" s="609"/>
      <c r="Z837" s="609"/>
      <c r="AA837" s="609"/>
      <c r="AB837" s="609"/>
      <c r="AC837" s="609"/>
      <c r="AD837" s="609"/>
      <c r="AE837" s="609"/>
      <c r="AF837" s="609"/>
      <c r="AG837" s="609"/>
      <c r="AH837" s="609"/>
      <c r="AI837" s="609"/>
      <c r="AJ837" s="609"/>
      <c r="AK837" s="609"/>
      <c r="AL837" s="609"/>
      <c r="AM837" s="609"/>
      <c r="AN837" s="609"/>
      <c r="AO837" s="609"/>
      <c r="AP837" s="609"/>
      <c r="AQ837" s="609"/>
    </row>
    <row r="838" spans="25:43" x14ac:dyDescent="0.4">
      <c r="Y838" s="609"/>
      <c r="Z838" s="609"/>
      <c r="AA838" s="609"/>
      <c r="AB838" s="609"/>
      <c r="AC838" s="609"/>
      <c r="AD838" s="609"/>
      <c r="AE838" s="609"/>
      <c r="AF838" s="609"/>
      <c r="AG838" s="609"/>
      <c r="AH838" s="609"/>
      <c r="AI838" s="609"/>
      <c r="AJ838" s="609"/>
      <c r="AK838" s="609"/>
      <c r="AL838" s="609"/>
      <c r="AM838" s="609"/>
      <c r="AN838" s="609"/>
      <c r="AO838" s="609"/>
      <c r="AP838" s="609"/>
      <c r="AQ838" s="609"/>
    </row>
    <row r="839" spans="25:43" x14ac:dyDescent="0.4">
      <c r="Y839" s="609"/>
      <c r="Z839" s="609"/>
      <c r="AA839" s="609"/>
      <c r="AB839" s="609"/>
      <c r="AC839" s="609"/>
      <c r="AD839" s="609"/>
      <c r="AE839" s="609"/>
      <c r="AF839" s="609"/>
      <c r="AG839" s="609"/>
      <c r="AH839" s="609"/>
      <c r="AI839" s="609"/>
      <c r="AJ839" s="609"/>
      <c r="AK839" s="609"/>
      <c r="AL839" s="609"/>
      <c r="AM839" s="609"/>
      <c r="AN839" s="609"/>
      <c r="AO839" s="609"/>
      <c r="AP839" s="609"/>
      <c r="AQ839" s="609"/>
    </row>
    <row r="840" spans="25:43" x14ac:dyDescent="0.4">
      <c r="Y840" s="609"/>
      <c r="Z840" s="609"/>
      <c r="AA840" s="609"/>
      <c r="AB840" s="609"/>
      <c r="AC840" s="609"/>
      <c r="AD840" s="609"/>
      <c r="AE840" s="609"/>
      <c r="AF840" s="609"/>
      <c r="AG840" s="609"/>
      <c r="AH840" s="609"/>
      <c r="AI840" s="609"/>
      <c r="AJ840" s="609"/>
      <c r="AK840" s="609"/>
      <c r="AL840" s="609"/>
      <c r="AM840" s="609"/>
      <c r="AN840" s="609"/>
      <c r="AO840" s="609"/>
      <c r="AP840" s="609"/>
      <c r="AQ840" s="609"/>
    </row>
    <row r="841" spans="25:43" x14ac:dyDescent="0.4">
      <c r="Y841" s="609"/>
      <c r="Z841" s="609"/>
      <c r="AA841" s="609"/>
      <c r="AB841" s="609"/>
      <c r="AC841" s="609"/>
      <c r="AD841" s="609"/>
      <c r="AE841" s="609"/>
      <c r="AF841" s="609"/>
      <c r="AG841" s="609"/>
      <c r="AH841" s="609"/>
      <c r="AI841" s="609"/>
      <c r="AJ841" s="609"/>
      <c r="AK841" s="609"/>
      <c r="AL841" s="609"/>
      <c r="AM841" s="609"/>
      <c r="AN841" s="609"/>
      <c r="AO841" s="609"/>
      <c r="AP841" s="609"/>
      <c r="AQ841" s="609"/>
    </row>
    <row r="842" spans="25:43" x14ac:dyDescent="0.4">
      <c r="Y842" s="609"/>
      <c r="Z842" s="609"/>
      <c r="AA842" s="609"/>
      <c r="AB842" s="609"/>
      <c r="AC842" s="609"/>
      <c r="AD842" s="609"/>
      <c r="AE842" s="609"/>
      <c r="AF842" s="609"/>
      <c r="AG842" s="609"/>
      <c r="AH842" s="609"/>
      <c r="AI842" s="609"/>
      <c r="AJ842" s="609"/>
      <c r="AK842" s="609"/>
      <c r="AL842" s="609"/>
      <c r="AM842" s="609"/>
      <c r="AN842" s="609"/>
      <c r="AO842" s="609"/>
      <c r="AP842" s="609"/>
      <c r="AQ842" s="609"/>
    </row>
    <row r="843" spans="25:43" x14ac:dyDescent="0.4">
      <c r="Y843" s="609"/>
      <c r="Z843" s="609"/>
      <c r="AA843" s="609"/>
      <c r="AB843" s="609"/>
      <c r="AC843" s="609"/>
      <c r="AD843" s="609"/>
      <c r="AE843" s="609"/>
      <c r="AF843" s="609"/>
      <c r="AG843" s="609"/>
      <c r="AH843" s="609"/>
      <c r="AI843" s="609"/>
      <c r="AJ843" s="609"/>
      <c r="AK843" s="609"/>
      <c r="AL843" s="609"/>
      <c r="AM843" s="609"/>
      <c r="AN843" s="609"/>
      <c r="AO843" s="609"/>
      <c r="AP843" s="609"/>
      <c r="AQ843" s="609"/>
    </row>
    <row r="844" spans="25:43" x14ac:dyDescent="0.4">
      <c r="Y844" s="609"/>
      <c r="Z844" s="609"/>
      <c r="AA844" s="609"/>
      <c r="AB844" s="609"/>
      <c r="AC844" s="609"/>
      <c r="AD844" s="609"/>
      <c r="AE844" s="609"/>
      <c r="AF844" s="609"/>
      <c r="AG844" s="609"/>
      <c r="AH844" s="609"/>
      <c r="AI844" s="609"/>
      <c r="AJ844" s="609"/>
      <c r="AK844" s="609"/>
      <c r="AL844" s="609"/>
      <c r="AM844" s="609"/>
      <c r="AN844" s="609"/>
      <c r="AO844" s="609"/>
      <c r="AP844" s="609"/>
      <c r="AQ844" s="609"/>
    </row>
    <row r="845" spans="25:43" x14ac:dyDescent="0.4">
      <c r="Y845" s="609"/>
      <c r="Z845" s="609"/>
      <c r="AA845" s="609"/>
      <c r="AB845" s="609"/>
      <c r="AC845" s="609"/>
      <c r="AD845" s="609"/>
      <c r="AE845" s="609"/>
      <c r="AF845" s="609"/>
      <c r="AG845" s="609"/>
      <c r="AH845" s="609"/>
      <c r="AI845" s="609"/>
      <c r="AJ845" s="609"/>
      <c r="AK845" s="609"/>
      <c r="AL845" s="609"/>
      <c r="AM845" s="609"/>
      <c r="AN845" s="609"/>
      <c r="AO845" s="609"/>
      <c r="AP845" s="609"/>
      <c r="AQ845" s="609"/>
    </row>
    <row r="846" spans="25:43" x14ac:dyDescent="0.4">
      <c r="Y846" s="609"/>
      <c r="Z846" s="609"/>
      <c r="AA846" s="609"/>
      <c r="AB846" s="609"/>
      <c r="AC846" s="609"/>
      <c r="AD846" s="609"/>
      <c r="AE846" s="609"/>
      <c r="AF846" s="609"/>
      <c r="AG846" s="609"/>
      <c r="AH846" s="609"/>
      <c r="AI846" s="609"/>
      <c r="AJ846" s="609"/>
      <c r="AK846" s="609"/>
      <c r="AL846" s="609"/>
      <c r="AM846" s="609"/>
      <c r="AN846" s="609"/>
      <c r="AO846" s="609"/>
      <c r="AP846" s="609"/>
      <c r="AQ846" s="609"/>
    </row>
    <row r="847" spans="25:43" x14ac:dyDescent="0.4">
      <c r="Y847" s="609"/>
      <c r="Z847" s="609"/>
      <c r="AA847" s="609"/>
      <c r="AB847" s="609"/>
      <c r="AC847" s="609"/>
      <c r="AD847" s="609"/>
      <c r="AE847" s="609"/>
      <c r="AF847" s="609"/>
      <c r="AG847" s="609"/>
      <c r="AH847" s="609"/>
      <c r="AI847" s="609"/>
      <c r="AJ847" s="609"/>
      <c r="AK847" s="609"/>
      <c r="AL847" s="609"/>
      <c r="AM847" s="609"/>
      <c r="AN847" s="609"/>
      <c r="AO847" s="609"/>
      <c r="AP847" s="609"/>
      <c r="AQ847" s="609"/>
    </row>
    <row r="848" spans="25:43" x14ac:dyDescent="0.4">
      <c r="Y848" s="609"/>
      <c r="Z848" s="609"/>
      <c r="AA848" s="609"/>
      <c r="AB848" s="609"/>
      <c r="AC848" s="609"/>
      <c r="AD848" s="609"/>
      <c r="AE848" s="609"/>
      <c r="AF848" s="609"/>
      <c r="AG848" s="609"/>
      <c r="AH848" s="609"/>
      <c r="AI848" s="609"/>
      <c r="AJ848" s="609"/>
      <c r="AK848" s="609"/>
      <c r="AL848" s="609"/>
      <c r="AM848" s="609"/>
      <c r="AN848" s="609"/>
      <c r="AO848" s="609"/>
      <c r="AP848" s="609"/>
      <c r="AQ848" s="609"/>
    </row>
    <row r="849" spans="25:43" x14ac:dyDescent="0.4">
      <c r="Y849" s="609"/>
      <c r="Z849" s="609"/>
      <c r="AA849" s="609"/>
      <c r="AB849" s="609"/>
      <c r="AC849" s="609"/>
      <c r="AD849" s="609"/>
      <c r="AE849" s="609"/>
      <c r="AF849" s="609"/>
      <c r="AG849" s="609"/>
      <c r="AH849" s="609"/>
      <c r="AI849" s="609"/>
      <c r="AJ849" s="609"/>
      <c r="AK849" s="609"/>
      <c r="AL849" s="609"/>
      <c r="AM849" s="609"/>
      <c r="AN849" s="609"/>
      <c r="AO849" s="609"/>
      <c r="AP849" s="609"/>
      <c r="AQ849" s="609"/>
    </row>
    <row r="850" spans="25:43" x14ac:dyDescent="0.4">
      <c r="Y850" s="609"/>
      <c r="Z850" s="609"/>
      <c r="AA850" s="609"/>
      <c r="AB850" s="609"/>
      <c r="AC850" s="609"/>
      <c r="AD850" s="609"/>
      <c r="AE850" s="609"/>
      <c r="AF850" s="609"/>
      <c r="AG850" s="609"/>
      <c r="AH850" s="609"/>
      <c r="AI850" s="609"/>
      <c r="AJ850" s="609"/>
      <c r="AK850" s="609"/>
      <c r="AL850" s="609"/>
      <c r="AM850" s="609"/>
      <c r="AN850" s="609"/>
      <c r="AO850" s="609"/>
      <c r="AP850" s="609"/>
      <c r="AQ850" s="609"/>
    </row>
    <row r="851" spans="25:43" x14ac:dyDescent="0.4">
      <c r="Y851" s="609"/>
      <c r="Z851" s="609"/>
      <c r="AA851" s="609"/>
      <c r="AB851" s="609"/>
      <c r="AC851" s="609"/>
      <c r="AD851" s="609"/>
      <c r="AE851" s="609"/>
      <c r="AF851" s="609"/>
      <c r="AG851" s="609"/>
      <c r="AH851" s="609"/>
      <c r="AI851" s="609"/>
      <c r="AJ851" s="609"/>
      <c r="AK851" s="609"/>
      <c r="AL851" s="609"/>
      <c r="AM851" s="609"/>
      <c r="AN851" s="609"/>
      <c r="AO851" s="609"/>
      <c r="AP851" s="609"/>
      <c r="AQ851" s="609"/>
    </row>
    <row r="852" spans="25:43" x14ac:dyDescent="0.4">
      <c r="Y852" s="609"/>
      <c r="Z852" s="609"/>
      <c r="AA852" s="609"/>
      <c r="AB852" s="609"/>
      <c r="AC852" s="609"/>
      <c r="AD852" s="609"/>
      <c r="AE852" s="609"/>
      <c r="AF852" s="609"/>
      <c r="AG852" s="609"/>
      <c r="AH852" s="609"/>
      <c r="AI852" s="609"/>
      <c r="AJ852" s="609"/>
      <c r="AK852" s="609"/>
      <c r="AL852" s="609"/>
      <c r="AM852" s="609"/>
      <c r="AN852" s="609"/>
      <c r="AO852" s="609"/>
      <c r="AP852" s="609"/>
      <c r="AQ852" s="609"/>
    </row>
    <row r="853" spans="25:43" x14ac:dyDescent="0.4">
      <c r="Y853" s="609"/>
      <c r="Z853" s="609"/>
      <c r="AA853" s="609"/>
      <c r="AB853" s="609"/>
      <c r="AC853" s="609"/>
      <c r="AD853" s="609"/>
      <c r="AE853" s="609"/>
      <c r="AF853" s="609"/>
      <c r="AG853" s="609"/>
      <c r="AH853" s="609"/>
      <c r="AI853" s="609"/>
      <c r="AJ853" s="609"/>
      <c r="AK853" s="609"/>
      <c r="AL853" s="609"/>
      <c r="AM853" s="609"/>
      <c r="AN853" s="609"/>
      <c r="AO853" s="609"/>
      <c r="AP853" s="609"/>
      <c r="AQ853" s="609"/>
    </row>
    <row r="854" spans="25:43" x14ac:dyDescent="0.4">
      <c r="Y854" s="609"/>
      <c r="Z854" s="609"/>
      <c r="AA854" s="609"/>
      <c r="AB854" s="609"/>
      <c r="AC854" s="609"/>
      <c r="AD854" s="609"/>
      <c r="AE854" s="609"/>
      <c r="AF854" s="609"/>
      <c r="AG854" s="609"/>
      <c r="AH854" s="609"/>
      <c r="AI854" s="609"/>
      <c r="AJ854" s="609"/>
      <c r="AK854" s="609"/>
      <c r="AL854" s="609"/>
      <c r="AM854" s="609"/>
      <c r="AN854" s="609"/>
      <c r="AO854" s="609"/>
      <c r="AP854" s="609"/>
      <c r="AQ854" s="609"/>
    </row>
    <row r="855" spans="25:43" x14ac:dyDescent="0.4">
      <c r="Y855" s="609"/>
      <c r="Z855" s="609"/>
      <c r="AA855" s="609"/>
      <c r="AB855" s="609"/>
      <c r="AC855" s="609"/>
      <c r="AD855" s="609"/>
      <c r="AE855" s="609"/>
      <c r="AF855" s="609"/>
      <c r="AG855" s="609"/>
      <c r="AH855" s="609"/>
      <c r="AI855" s="609"/>
      <c r="AJ855" s="609"/>
      <c r="AK855" s="609"/>
      <c r="AL855" s="609"/>
      <c r="AM855" s="609"/>
      <c r="AN855" s="609"/>
      <c r="AO855" s="609"/>
      <c r="AP855" s="609"/>
      <c r="AQ855" s="609"/>
    </row>
    <row r="856" spans="25:43" x14ac:dyDescent="0.4">
      <c r="Y856" s="609"/>
      <c r="Z856" s="609"/>
      <c r="AA856" s="609"/>
      <c r="AB856" s="609"/>
      <c r="AC856" s="609"/>
      <c r="AD856" s="609"/>
      <c r="AE856" s="609"/>
      <c r="AF856" s="609"/>
      <c r="AG856" s="609"/>
      <c r="AH856" s="609"/>
      <c r="AI856" s="609"/>
      <c r="AJ856" s="609"/>
      <c r="AK856" s="609"/>
      <c r="AL856" s="609"/>
      <c r="AM856" s="609"/>
      <c r="AN856" s="609"/>
      <c r="AO856" s="609"/>
      <c r="AP856" s="609"/>
      <c r="AQ856" s="609"/>
    </row>
    <row r="857" spans="25:43" x14ac:dyDescent="0.4">
      <c r="Y857" s="609"/>
      <c r="Z857" s="609"/>
      <c r="AA857" s="609"/>
      <c r="AB857" s="609"/>
      <c r="AC857" s="609"/>
      <c r="AD857" s="609"/>
      <c r="AE857" s="609"/>
      <c r="AF857" s="609"/>
      <c r="AG857" s="609"/>
      <c r="AH857" s="609"/>
      <c r="AI857" s="609"/>
      <c r="AJ857" s="609"/>
      <c r="AK857" s="609"/>
      <c r="AL857" s="609"/>
      <c r="AM857" s="609"/>
      <c r="AN857" s="609"/>
      <c r="AO857" s="609"/>
      <c r="AP857" s="609"/>
      <c r="AQ857" s="609"/>
    </row>
    <row r="858" spans="25:43" x14ac:dyDescent="0.4">
      <c r="Y858" s="609"/>
      <c r="Z858" s="609"/>
      <c r="AA858" s="609"/>
      <c r="AB858" s="609"/>
      <c r="AC858" s="609"/>
      <c r="AD858" s="609"/>
      <c r="AE858" s="609"/>
      <c r="AF858" s="609"/>
      <c r="AG858" s="609"/>
      <c r="AH858" s="609"/>
      <c r="AI858" s="609"/>
      <c r="AJ858" s="609"/>
      <c r="AK858" s="609"/>
      <c r="AL858" s="609"/>
      <c r="AM858" s="609"/>
      <c r="AN858" s="609"/>
      <c r="AO858" s="609"/>
      <c r="AP858" s="609"/>
      <c r="AQ858" s="609"/>
    </row>
    <row r="859" spans="25:43" x14ac:dyDescent="0.4">
      <c r="Y859" s="609"/>
      <c r="Z859" s="609"/>
      <c r="AA859" s="609"/>
      <c r="AB859" s="609"/>
      <c r="AC859" s="609"/>
      <c r="AD859" s="609"/>
      <c r="AE859" s="609"/>
      <c r="AF859" s="609"/>
      <c r="AG859" s="609"/>
      <c r="AH859" s="609"/>
      <c r="AI859" s="609"/>
      <c r="AJ859" s="609"/>
      <c r="AK859" s="609"/>
      <c r="AL859" s="609"/>
      <c r="AM859" s="609"/>
      <c r="AN859" s="609"/>
      <c r="AO859" s="609"/>
      <c r="AP859" s="609"/>
      <c r="AQ859" s="609"/>
    </row>
    <row r="860" spans="25:43" x14ac:dyDescent="0.4">
      <c r="Y860" s="609"/>
      <c r="Z860" s="609"/>
      <c r="AA860" s="609"/>
      <c r="AB860" s="609"/>
      <c r="AC860" s="609"/>
      <c r="AD860" s="609"/>
      <c r="AE860" s="609"/>
      <c r="AF860" s="609"/>
      <c r="AG860" s="609"/>
      <c r="AH860" s="609"/>
      <c r="AI860" s="609"/>
      <c r="AJ860" s="609"/>
      <c r="AK860" s="609"/>
      <c r="AL860" s="609"/>
      <c r="AM860" s="609"/>
      <c r="AN860" s="609"/>
      <c r="AO860" s="609"/>
      <c r="AP860" s="609"/>
      <c r="AQ860" s="609"/>
    </row>
    <row r="861" spans="25:43" x14ac:dyDescent="0.4">
      <c r="Y861" s="609"/>
      <c r="Z861" s="609"/>
      <c r="AA861" s="609"/>
      <c r="AB861" s="609"/>
      <c r="AC861" s="609"/>
      <c r="AD861" s="609"/>
      <c r="AE861" s="609"/>
      <c r="AF861" s="609"/>
      <c r="AG861" s="609"/>
      <c r="AH861" s="609"/>
      <c r="AI861" s="609"/>
      <c r="AJ861" s="609"/>
      <c r="AK861" s="609"/>
      <c r="AL861" s="609"/>
      <c r="AM861" s="609"/>
      <c r="AN861" s="609"/>
      <c r="AO861" s="609"/>
      <c r="AP861" s="609"/>
      <c r="AQ861" s="609"/>
    </row>
    <row r="862" spans="25:43" x14ac:dyDescent="0.4">
      <c r="Y862" s="609"/>
      <c r="Z862" s="609"/>
      <c r="AA862" s="609"/>
      <c r="AB862" s="609"/>
      <c r="AC862" s="609"/>
      <c r="AD862" s="609"/>
      <c r="AE862" s="609"/>
      <c r="AF862" s="609"/>
      <c r="AG862" s="609"/>
      <c r="AH862" s="609"/>
      <c r="AI862" s="609"/>
      <c r="AJ862" s="609"/>
      <c r="AK862" s="609"/>
      <c r="AL862" s="609"/>
      <c r="AM862" s="609"/>
      <c r="AN862" s="609"/>
      <c r="AO862" s="609"/>
      <c r="AP862" s="609"/>
      <c r="AQ862" s="609"/>
    </row>
    <row r="863" spans="25:43" x14ac:dyDescent="0.4">
      <c r="Y863" s="609"/>
      <c r="Z863" s="609"/>
      <c r="AA863" s="609"/>
      <c r="AB863" s="609"/>
      <c r="AC863" s="609"/>
      <c r="AD863" s="609"/>
      <c r="AE863" s="609"/>
      <c r="AF863" s="609"/>
      <c r="AG863" s="609"/>
      <c r="AH863" s="609"/>
      <c r="AI863" s="609"/>
      <c r="AJ863" s="609"/>
      <c r="AK863" s="609"/>
      <c r="AL863" s="609"/>
      <c r="AM863" s="609"/>
      <c r="AN863" s="609"/>
      <c r="AO863" s="609"/>
      <c r="AP863" s="609"/>
      <c r="AQ863" s="609"/>
    </row>
    <row r="864" spans="25:43" x14ac:dyDescent="0.4">
      <c r="Y864" s="609"/>
      <c r="Z864" s="609"/>
      <c r="AA864" s="609"/>
      <c r="AB864" s="609"/>
      <c r="AC864" s="609"/>
      <c r="AD864" s="609"/>
      <c r="AE864" s="609"/>
      <c r="AF864" s="609"/>
      <c r="AG864" s="609"/>
      <c r="AH864" s="609"/>
      <c r="AI864" s="609"/>
      <c r="AJ864" s="609"/>
      <c r="AK864" s="609"/>
      <c r="AL864" s="609"/>
      <c r="AM864" s="609"/>
      <c r="AN864" s="609"/>
      <c r="AO864" s="609"/>
      <c r="AP864" s="609"/>
      <c r="AQ864" s="609"/>
    </row>
    <row r="865" spans="25:43" x14ac:dyDescent="0.4">
      <c r="Y865" s="609"/>
      <c r="Z865" s="609"/>
      <c r="AA865" s="609"/>
      <c r="AB865" s="609"/>
      <c r="AC865" s="609"/>
      <c r="AD865" s="609"/>
      <c r="AE865" s="609"/>
      <c r="AF865" s="609"/>
      <c r="AG865" s="609"/>
      <c r="AH865" s="609"/>
      <c r="AI865" s="609"/>
      <c r="AJ865" s="609"/>
      <c r="AK865" s="609"/>
      <c r="AL865" s="609"/>
      <c r="AM865" s="609"/>
      <c r="AN865" s="609"/>
      <c r="AO865" s="609"/>
      <c r="AP865" s="609"/>
      <c r="AQ865" s="609"/>
    </row>
    <row r="866" spans="25:43" x14ac:dyDescent="0.4">
      <c r="Y866" s="609"/>
      <c r="Z866" s="609"/>
      <c r="AA866" s="609"/>
      <c r="AB866" s="609"/>
      <c r="AC866" s="609"/>
      <c r="AD866" s="609"/>
      <c r="AE866" s="609"/>
      <c r="AF866" s="609"/>
      <c r="AG866" s="609"/>
      <c r="AH866" s="609"/>
      <c r="AI866" s="609"/>
      <c r="AJ866" s="609"/>
      <c r="AK866" s="609"/>
      <c r="AL866" s="609"/>
      <c r="AM866" s="609"/>
      <c r="AN866" s="609"/>
      <c r="AO866" s="609"/>
      <c r="AP866" s="609"/>
      <c r="AQ866" s="609"/>
    </row>
    <row r="867" spans="25:43" x14ac:dyDescent="0.4">
      <c r="Y867" s="609"/>
      <c r="Z867" s="609"/>
      <c r="AA867" s="609"/>
      <c r="AB867" s="609"/>
      <c r="AC867" s="609"/>
      <c r="AD867" s="609"/>
      <c r="AE867" s="609"/>
      <c r="AF867" s="609"/>
      <c r="AG867" s="609"/>
      <c r="AH867" s="609"/>
      <c r="AI867" s="609"/>
      <c r="AJ867" s="609"/>
      <c r="AK867" s="609"/>
      <c r="AL867" s="609"/>
      <c r="AM867" s="609"/>
      <c r="AN867" s="609"/>
      <c r="AO867" s="609"/>
      <c r="AP867" s="609"/>
      <c r="AQ867" s="609"/>
    </row>
    <row r="868" spans="25:43" x14ac:dyDescent="0.4">
      <c r="Y868" s="609"/>
      <c r="Z868" s="609"/>
      <c r="AA868" s="609"/>
      <c r="AB868" s="609"/>
      <c r="AC868" s="609"/>
      <c r="AD868" s="609"/>
      <c r="AE868" s="609"/>
      <c r="AF868" s="609"/>
      <c r="AG868" s="609"/>
      <c r="AH868" s="609"/>
      <c r="AI868" s="609"/>
      <c r="AJ868" s="609"/>
      <c r="AK868" s="609"/>
      <c r="AL868" s="609"/>
      <c r="AM868" s="609"/>
      <c r="AN868" s="609"/>
      <c r="AO868" s="609"/>
      <c r="AP868" s="609"/>
      <c r="AQ868" s="609"/>
    </row>
    <row r="869" spans="25:43" x14ac:dyDescent="0.4">
      <c r="Y869" s="609"/>
      <c r="Z869" s="609"/>
      <c r="AA869" s="609"/>
      <c r="AB869" s="609"/>
      <c r="AC869" s="609"/>
      <c r="AD869" s="609"/>
      <c r="AE869" s="609"/>
      <c r="AF869" s="609"/>
      <c r="AG869" s="609"/>
      <c r="AH869" s="609"/>
      <c r="AI869" s="609"/>
      <c r="AJ869" s="609"/>
      <c r="AK869" s="609"/>
      <c r="AL869" s="609"/>
      <c r="AM869" s="609"/>
      <c r="AN869" s="609"/>
      <c r="AO869" s="609"/>
      <c r="AP869" s="609"/>
      <c r="AQ869" s="609"/>
    </row>
    <row r="870" spans="25:43" x14ac:dyDescent="0.4">
      <c r="Y870" s="609"/>
      <c r="Z870" s="609"/>
      <c r="AA870" s="609"/>
      <c r="AB870" s="609"/>
      <c r="AC870" s="609"/>
      <c r="AD870" s="609"/>
      <c r="AE870" s="609"/>
      <c r="AF870" s="609"/>
      <c r="AG870" s="609"/>
      <c r="AH870" s="609"/>
      <c r="AI870" s="609"/>
      <c r="AJ870" s="609"/>
      <c r="AK870" s="609"/>
      <c r="AL870" s="609"/>
      <c r="AM870" s="609"/>
      <c r="AN870" s="609"/>
      <c r="AO870" s="609"/>
      <c r="AP870" s="609"/>
      <c r="AQ870" s="609"/>
    </row>
    <row r="871" spans="25:43" x14ac:dyDescent="0.4">
      <c r="Y871" s="609"/>
      <c r="Z871" s="609"/>
      <c r="AA871" s="609"/>
      <c r="AB871" s="609"/>
      <c r="AC871" s="609"/>
      <c r="AD871" s="609"/>
      <c r="AE871" s="609"/>
      <c r="AF871" s="609"/>
      <c r="AG871" s="609"/>
      <c r="AH871" s="609"/>
      <c r="AI871" s="609"/>
      <c r="AJ871" s="609"/>
      <c r="AK871" s="609"/>
      <c r="AL871" s="609"/>
      <c r="AM871" s="609"/>
      <c r="AN871" s="609"/>
      <c r="AO871" s="609"/>
      <c r="AP871" s="609"/>
      <c r="AQ871" s="609"/>
    </row>
    <row r="872" spans="25:43" x14ac:dyDescent="0.4">
      <c r="Y872" s="609"/>
      <c r="Z872" s="609"/>
      <c r="AA872" s="609"/>
      <c r="AB872" s="609"/>
      <c r="AC872" s="609"/>
      <c r="AD872" s="609"/>
      <c r="AE872" s="609"/>
      <c r="AF872" s="609"/>
      <c r="AG872" s="609"/>
      <c r="AH872" s="609"/>
      <c r="AI872" s="609"/>
      <c r="AJ872" s="609"/>
      <c r="AK872" s="609"/>
      <c r="AL872" s="609"/>
      <c r="AM872" s="609"/>
      <c r="AN872" s="609"/>
      <c r="AO872" s="609"/>
      <c r="AP872" s="609"/>
      <c r="AQ872" s="609"/>
    </row>
    <row r="873" spans="25:43" x14ac:dyDescent="0.4">
      <c r="Y873" s="609"/>
      <c r="Z873" s="609"/>
      <c r="AA873" s="609"/>
      <c r="AB873" s="609"/>
      <c r="AC873" s="609"/>
      <c r="AD873" s="609"/>
      <c r="AE873" s="609"/>
      <c r="AF873" s="609"/>
      <c r="AG873" s="609"/>
      <c r="AH873" s="609"/>
      <c r="AI873" s="609"/>
      <c r="AJ873" s="609"/>
      <c r="AK873" s="609"/>
      <c r="AL873" s="609"/>
      <c r="AM873" s="609"/>
      <c r="AN873" s="609"/>
      <c r="AO873" s="609"/>
      <c r="AP873" s="609"/>
      <c r="AQ873" s="609"/>
    </row>
    <row r="874" spans="25:43" x14ac:dyDescent="0.4">
      <c r="Y874" s="609"/>
      <c r="Z874" s="609"/>
      <c r="AA874" s="609"/>
      <c r="AB874" s="609"/>
      <c r="AC874" s="609"/>
      <c r="AD874" s="609"/>
      <c r="AE874" s="609"/>
      <c r="AF874" s="609"/>
      <c r="AG874" s="609"/>
      <c r="AH874" s="609"/>
      <c r="AI874" s="609"/>
      <c r="AJ874" s="609"/>
      <c r="AK874" s="609"/>
      <c r="AL874" s="609"/>
      <c r="AM874" s="609"/>
      <c r="AN874" s="609"/>
      <c r="AO874" s="609"/>
      <c r="AP874" s="609"/>
      <c r="AQ874" s="609"/>
    </row>
    <row r="875" spans="25:43" x14ac:dyDescent="0.4">
      <c r="Y875" s="609"/>
      <c r="Z875" s="609"/>
      <c r="AA875" s="609"/>
      <c r="AB875" s="609"/>
      <c r="AC875" s="609"/>
      <c r="AD875" s="609"/>
      <c r="AE875" s="609"/>
      <c r="AF875" s="609"/>
      <c r="AG875" s="609"/>
      <c r="AH875" s="609"/>
      <c r="AI875" s="609"/>
      <c r="AJ875" s="609"/>
      <c r="AK875" s="609"/>
      <c r="AL875" s="609"/>
      <c r="AM875" s="609"/>
      <c r="AN875" s="609"/>
      <c r="AO875" s="609"/>
      <c r="AP875" s="609"/>
      <c r="AQ875" s="609"/>
    </row>
    <row r="876" spans="25:43" x14ac:dyDescent="0.4">
      <c r="Y876" s="609"/>
      <c r="Z876" s="609"/>
      <c r="AA876" s="609"/>
      <c r="AB876" s="609"/>
      <c r="AC876" s="609"/>
      <c r="AD876" s="609"/>
      <c r="AE876" s="609"/>
      <c r="AF876" s="609"/>
      <c r="AG876" s="609"/>
      <c r="AH876" s="609"/>
      <c r="AI876" s="609"/>
      <c r="AJ876" s="609"/>
      <c r="AK876" s="609"/>
      <c r="AL876" s="609"/>
      <c r="AM876" s="609"/>
      <c r="AN876" s="609"/>
      <c r="AO876" s="609"/>
      <c r="AP876" s="609"/>
      <c r="AQ876" s="609"/>
    </row>
    <row r="877" spans="25:43" x14ac:dyDescent="0.4">
      <c r="Y877" s="609"/>
      <c r="Z877" s="609"/>
      <c r="AA877" s="609"/>
      <c r="AB877" s="609"/>
      <c r="AC877" s="609"/>
      <c r="AD877" s="609"/>
      <c r="AE877" s="609"/>
      <c r="AF877" s="609"/>
      <c r="AG877" s="609"/>
      <c r="AH877" s="609"/>
      <c r="AI877" s="609"/>
      <c r="AJ877" s="609"/>
      <c r="AK877" s="609"/>
      <c r="AL877" s="609"/>
      <c r="AM877" s="609"/>
      <c r="AN877" s="609"/>
      <c r="AO877" s="609"/>
      <c r="AP877" s="609"/>
      <c r="AQ877" s="609"/>
    </row>
    <row r="878" spans="25:43" x14ac:dyDescent="0.4">
      <c r="Y878" s="609"/>
      <c r="Z878" s="609"/>
      <c r="AA878" s="609"/>
      <c r="AB878" s="609"/>
      <c r="AC878" s="609"/>
      <c r="AD878" s="609"/>
      <c r="AE878" s="609"/>
      <c r="AF878" s="609"/>
      <c r="AG878" s="609"/>
      <c r="AH878" s="609"/>
      <c r="AI878" s="609"/>
      <c r="AJ878" s="609"/>
      <c r="AK878" s="609"/>
      <c r="AL878" s="609"/>
      <c r="AM878" s="609"/>
      <c r="AN878" s="609"/>
      <c r="AO878" s="609"/>
      <c r="AP878" s="609"/>
      <c r="AQ878" s="609"/>
    </row>
    <row r="879" spans="25:43" x14ac:dyDescent="0.4">
      <c r="Y879" s="609"/>
      <c r="Z879" s="609"/>
      <c r="AA879" s="609"/>
      <c r="AB879" s="609"/>
      <c r="AC879" s="609"/>
      <c r="AD879" s="609"/>
      <c r="AE879" s="609"/>
      <c r="AF879" s="609"/>
      <c r="AG879" s="609"/>
      <c r="AH879" s="609"/>
      <c r="AI879" s="609"/>
      <c r="AJ879" s="609"/>
      <c r="AK879" s="609"/>
      <c r="AL879" s="609"/>
      <c r="AM879" s="609"/>
      <c r="AN879" s="609"/>
      <c r="AO879" s="609"/>
      <c r="AP879" s="609"/>
      <c r="AQ879" s="609"/>
    </row>
    <row r="880" spans="25:43" x14ac:dyDescent="0.4">
      <c r="Y880" s="609"/>
      <c r="Z880" s="609"/>
      <c r="AA880" s="609"/>
      <c r="AB880" s="609"/>
      <c r="AC880" s="609"/>
      <c r="AD880" s="609"/>
      <c r="AE880" s="609"/>
      <c r="AF880" s="609"/>
      <c r="AG880" s="609"/>
      <c r="AH880" s="609"/>
      <c r="AI880" s="609"/>
      <c r="AJ880" s="609"/>
      <c r="AK880" s="609"/>
      <c r="AL880" s="609"/>
      <c r="AM880" s="609"/>
      <c r="AN880" s="609"/>
      <c r="AO880" s="609"/>
      <c r="AP880" s="609"/>
      <c r="AQ880" s="609"/>
    </row>
    <row r="881" spans="25:43" x14ac:dyDescent="0.4">
      <c r="Y881" s="609"/>
      <c r="Z881" s="609"/>
      <c r="AA881" s="609"/>
      <c r="AB881" s="609"/>
      <c r="AC881" s="609"/>
      <c r="AD881" s="609"/>
      <c r="AE881" s="609"/>
      <c r="AF881" s="609"/>
      <c r="AG881" s="609"/>
      <c r="AH881" s="609"/>
      <c r="AI881" s="609"/>
      <c r="AJ881" s="609"/>
      <c r="AK881" s="609"/>
      <c r="AL881" s="609"/>
      <c r="AM881" s="609"/>
      <c r="AN881" s="609"/>
      <c r="AO881" s="609"/>
      <c r="AP881" s="609"/>
      <c r="AQ881" s="609"/>
    </row>
    <row r="882" spans="25:43" x14ac:dyDescent="0.4">
      <c r="Y882" s="609"/>
      <c r="Z882" s="609"/>
      <c r="AA882" s="609"/>
      <c r="AB882" s="609"/>
      <c r="AC882" s="609"/>
      <c r="AD882" s="609"/>
      <c r="AE882" s="609"/>
      <c r="AF882" s="609"/>
      <c r="AG882" s="609"/>
      <c r="AH882" s="609"/>
      <c r="AI882" s="609"/>
      <c r="AJ882" s="609"/>
      <c r="AK882" s="609"/>
      <c r="AL882" s="609"/>
      <c r="AM882" s="609"/>
      <c r="AN882" s="609"/>
      <c r="AO882" s="609"/>
      <c r="AP882" s="609"/>
      <c r="AQ882" s="609"/>
    </row>
    <row r="883" spans="25:43" x14ac:dyDescent="0.4">
      <c r="Y883" s="609"/>
      <c r="Z883" s="609"/>
      <c r="AA883" s="609"/>
      <c r="AB883" s="609"/>
      <c r="AC883" s="609"/>
      <c r="AD883" s="609"/>
      <c r="AE883" s="609"/>
      <c r="AF883" s="609"/>
      <c r="AG883" s="609"/>
      <c r="AH883" s="609"/>
      <c r="AI883" s="609"/>
      <c r="AJ883" s="609"/>
      <c r="AK883" s="609"/>
      <c r="AL883" s="609"/>
      <c r="AM883" s="609"/>
      <c r="AN883" s="609"/>
      <c r="AO883" s="609"/>
      <c r="AP883" s="609"/>
      <c r="AQ883" s="609"/>
    </row>
    <row r="884" spans="25:43" x14ac:dyDescent="0.4">
      <c r="Y884" s="609"/>
      <c r="Z884" s="609"/>
      <c r="AA884" s="609"/>
      <c r="AB884" s="609"/>
      <c r="AC884" s="609"/>
      <c r="AD884" s="609"/>
      <c r="AE884" s="609"/>
      <c r="AF884" s="609"/>
      <c r="AG884" s="609"/>
      <c r="AH884" s="609"/>
      <c r="AI884" s="609"/>
      <c r="AJ884" s="609"/>
      <c r="AK884" s="609"/>
      <c r="AL884" s="609"/>
      <c r="AM884" s="609"/>
      <c r="AN884" s="609"/>
      <c r="AO884" s="609"/>
      <c r="AP884" s="609"/>
      <c r="AQ884" s="609"/>
    </row>
    <row r="885" spans="25:43" x14ac:dyDescent="0.4">
      <c r="Y885" s="609"/>
      <c r="Z885" s="609"/>
      <c r="AA885" s="609"/>
      <c r="AB885" s="609"/>
      <c r="AC885" s="609"/>
      <c r="AD885" s="609"/>
      <c r="AE885" s="609"/>
      <c r="AF885" s="609"/>
      <c r="AG885" s="609"/>
      <c r="AH885" s="609"/>
      <c r="AI885" s="609"/>
      <c r="AJ885" s="609"/>
      <c r="AK885" s="609"/>
      <c r="AL885" s="609"/>
      <c r="AM885" s="609"/>
      <c r="AN885" s="609"/>
      <c r="AO885" s="609"/>
      <c r="AP885" s="609"/>
      <c r="AQ885" s="609"/>
    </row>
    <row r="886" spans="25:43" x14ac:dyDescent="0.4">
      <c r="Y886" s="609"/>
      <c r="Z886" s="609"/>
      <c r="AA886" s="609"/>
      <c r="AB886" s="609"/>
      <c r="AC886" s="609"/>
      <c r="AD886" s="609"/>
      <c r="AE886" s="609"/>
      <c r="AF886" s="609"/>
      <c r="AG886" s="609"/>
      <c r="AH886" s="609"/>
      <c r="AI886" s="609"/>
      <c r="AJ886" s="609"/>
      <c r="AK886" s="609"/>
      <c r="AL886" s="609"/>
      <c r="AM886" s="609"/>
      <c r="AN886" s="609"/>
      <c r="AO886" s="609"/>
      <c r="AP886" s="609"/>
      <c r="AQ886" s="609"/>
    </row>
    <row r="887" spans="25:43" x14ac:dyDescent="0.4">
      <c r="Y887" s="609"/>
      <c r="Z887" s="609"/>
      <c r="AA887" s="609"/>
      <c r="AB887" s="609"/>
      <c r="AC887" s="609"/>
      <c r="AD887" s="609"/>
      <c r="AE887" s="609"/>
      <c r="AF887" s="609"/>
      <c r="AG887" s="609"/>
      <c r="AH887" s="609"/>
      <c r="AI887" s="609"/>
      <c r="AJ887" s="609"/>
      <c r="AK887" s="609"/>
      <c r="AL887" s="609"/>
      <c r="AM887" s="609"/>
      <c r="AN887" s="609"/>
      <c r="AO887" s="609"/>
      <c r="AP887" s="609"/>
      <c r="AQ887" s="609"/>
    </row>
    <row r="888" spans="25:43" x14ac:dyDescent="0.4">
      <c r="Y888" s="609"/>
      <c r="Z888" s="609"/>
      <c r="AA888" s="609"/>
      <c r="AB888" s="609"/>
      <c r="AC888" s="609"/>
      <c r="AD888" s="609"/>
      <c r="AE888" s="609"/>
      <c r="AF888" s="609"/>
      <c r="AG888" s="609"/>
      <c r="AH888" s="609"/>
      <c r="AI888" s="609"/>
      <c r="AJ888" s="609"/>
      <c r="AK888" s="609"/>
      <c r="AL888" s="609"/>
      <c r="AM888" s="609"/>
      <c r="AN888" s="609"/>
      <c r="AO888" s="609"/>
      <c r="AP888" s="609"/>
      <c r="AQ888" s="609"/>
    </row>
    <row r="889" spans="25:43" x14ac:dyDescent="0.4">
      <c r="Y889" s="609"/>
      <c r="Z889" s="609"/>
      <c r="AA889" s="609"/>
      <c r="AB889" s="609"/>
      <c r="AC889" s="609"/>
      <c r="AD889" s="609"/>
      <c r="AE889" s="609"/>
      <c r="AF889" s="609"/>
      <c r="AG889" s="609"/>
      <c r="AH889" s="609"/>
      <c r="AI889" s="609"/>
      <c r="AJ889" s="609"/>
      <c r="AK889" s="609"/>
      <c r="AL889" s="609"/>
      <c r="AM889" s="609"/>
      <c r="AN889" s="609"/>
      <c r="AO889" s="609"/>
      <c r="AP889" s="609"/>
      <c r="AQ889" s="609"/>
    </row>
    <row r="890" spans="25:43" x14ac:dyDescent="0.4">
      <c r="Y890" s="609"/>
      <c r="Z890" s="609"/>
      <c r="AA890" s="609"/>
      <c r="AB890" s="609"/>
      <c r="AC890" s="609"/>
      <c r="AD890" s="609"/>
      <c r="AE890" s="609"/>
      <c r="AF890" s="609"/>
      <c r="AG890" s="609"/>
      <c r="AH890" s="609"/>
      <c r="AI890" s="609"/>
      <c r="AJ890" s="609"/>
      <c r="AK890" s="609"/>
      <c r="AL890" s="609"/>
      <c r="AM890" s="609"/>
      <c r="AN890" s="609"/>
      <c r="AO890" s="609"/>
      <c r="AP890" s="609"/>
      <c r="AQ890" s="609"/>
    </row>
    <row r="891" spans="25:43" x14ac:dyDescent="0.4">
      <c r="Y891" s="609"/>
      <c r="Z891" s="609"/>
      <c r="AA891" s="609"/>
      <c r="AB891" s="609"/>
      <c r="AC891" s="609"/>
      <c r="AD891" s="609"/>
      <c r="AE891" s="609"/>
      <c r="AF891" s="609"/>
      <c r="AG891" s="609"/>
      <c r="AH891" s="609"/>
      <c r="AI891" s="609"/>
      <c r="AJ891" s="609"/>
      <c r="AK891" s="609"/>
      <c r="AL891" s="609"/>
      <c r="AM891" s="609"/>
      <c r="AN891" s="609"/>
      <c r="AO891" s="609"/>
      <c r="AP891" s="609"/>
      <c r="AQ891" s="609"/>
    </row>
    <row r="892" spans="25:43" x14ac:dyDescent="0.4">
      <c r="Y892" s="609"/>
      <c r="Z892" s="609"/>
      <c r="AA892" s="609"/>
      <c r="AB892" s="609"/>
      <c r="AC892" s="609"/>
      <c r="AD892" s="609"/>
      <c r="AE892" s="609"/>
      <c r="AF892" s="609"/>
      <c r="AG892" s="609"/>
      <c r="AH892" s="609"/>
      <c r="AI892" s="609"/>
      <c r="AJ892" s="609"/>
      <c r="AK892" s="609"/>
      <c r="AL892" s="609"/>
      <c r="AM892" s="609"/>
      <c r="AN892" s="609"/>
      <c r="AO892" s="609"/>
      <c r="AP892" s="609"/>
      <c r="AQ892" s="609"/>
    </row>
    <row r="893" spans="25:43" x14ac:dyDescent="0.4">
      <c r="Y893" s="609"/>
      <c r="Z893" s="609"/>
      <c r="AA893" s="609"/>
      <c r="AB893" s="609"/>
      <c r="AC893" s="609"/>
      <c r="AD893" s="609"/>
      <c r="AE893" s="609"/>
      <c r="AF893" s="609"/>
      <c r="AG893" s="609"/>
      <c r="AH893" s="609"/>
      <c r="AI893" s="609"/>
      <c r="AJ893" s="609"/>
      <c r="AK893" s="609"/>
      <c r="AL893" s="609"/>
      <c r="AM893" s="609"/>
      <c r="AN893" s="609"/>
      <c r="AO893" s="609"/>
      <c r="AP893" s="609"/>
      <c r="AQ893" s="609"/>
    </row>
    <row r="894" spans="25:43" x14ac:dyDescent="0.4">
      <c r="Y894" s="609"/>
      <c r="Z894" s="609"/>
      <c r="AA894" s="609"/>
      <c r="AB894" s="609"/>
      <c r="AC894" s="609"/>
      <c r="AD894" s="609"/>
      <c r="AE894" s="609"/>
      <c r="AF894" s="609"/>
      <c r="AG894" s="609"/>
      <c r="AH894" s="609"/>
      <c r="AI894" s="609"/>
      <c r="AJ894" s="609"/>
      <c r="AK894" s="609"/>
      <c r="AL894" s="609"/>
      <c r="AM894" s="609"/>
      <c r="AN894" s="609"/>
      <c r="AO894" s="609"/>
      <c r="AP894" s="609"/>
      <c r="AQ894" s="609"/>
    </row>
    <row r="895" spans="25:43" x14ac:dyDescent="0.4">
      <c r="Y895" s="609"/>
      <c r="Z895" s="609"/>
      <c r="AA895" s="609"/>
      <c r="AB895" s="609"/>
      <c r="AC895" s="609"/>
      <c r="AD895" s="609"/>
      <c r="AE895" s="609"/>
      <c r="AF895" s="609"/>
      <c r="AG895" s="609"/>
      <c r="AH895" s="609"/>
      <c r="AI895" s="609"/>
      <c r="AJ895" s="609"/>
      <c r="AK895" s="609"/>
      <c r="AL895" s="609"/>
      <c r="AM895" s="609"/>
      <c r="AN895" s="609"/>
      <c r="AO895" s="609"/>
      <c r="AP895" s="609"/>
      <c r="AQ895" s="609"/>
    </row>
    <row r="896" spans="25:43" x14ac:dyDescent="0.4">
      <c r="Y896" s="609"/>
      <c r="Z896" s="609"/>
      <c r="AA896" s="609"/>
      <c r="AB896" s="609"/>
      <c r="AC896" s="609"/>
      <c r="AD896" s="609"/>
      <c r="AE896" s="609"/>
      <c r="AF896" s="609"/>
      <c r="AG896" s="609"/>
      <c r="AH896" s="609"/>
      <c r="AI896" s="609"/>
      <c r="AJ896" s="609"/>
      <c r="AK896" s="609"/>
      <c r="AL896" s="609"/>
      <c r="AM896" s="609"/>
      <c r="AN896" s="609"/>
      <c r="AO896" s="609"/>
      <c r="AP896" s="609"/>
      <c r="AQ896" s="609"/>
    </row>
    <row r="897" spans="25:43" x14ac:dyDescent="0.4">
      <c r="Y897" s="609"/>
      <c r="Z897" s="609"/>
      <c r="AA897" s="609"/>
      <c r="AB897" s="609"/>
      <c r="AC897" s="609"/>
      <c r="AD897" s="609"/>
      <c r="AE897" s="609"/>
      <c r="AF897" s="609"/>
      <c r="AG897" s="609"/>
      <c r="AH897" s="609"/>
      <c r="AI897" s="609"/>
      <c r="AJ897" s="609"/>
      <c r="AK897" s="609"/>
      <c r="AL897" s="609"/>
      <c r="AM897" s="609"/>
      <c r="AN897" s="609"/>
      <c r="AO897" s="609"/>
      <c r="AP897" s="609"/>
      <c r="AQ897" s="609"/>
    </row>
    <row r="898" spans="25:43" x14ac:dyDescent="0.4">
      <c r="Y898" s="609"/>
      <c r="Z898" s="609"/>
      <c r="AA898" s="609"/>
      <c r="AB898" s="609"/>
      <c r="AC898" s="609"/>
      <c r="AD898" s="609"/>
      <c r="AE898" s="609"/>
      <c r="AF898" s="609"/>
      <c r="AG898" s="609"/>
      <c r="AH898" s="609"/>
      <c r="AI898" s="609"/>
      <c r="AJ898" s="609"/>
      <c r="AK898" s="609"/>
      <c r="AL898" s="609"/>
      <c r="AM898" s="609"/>
      <c r="AN898" s="609"/>
      <c r="AO898" s="609"/>
      <c r="AP898" s="609"/>
      <c r="AQ898" s="609"/>
    </row>
    <row r="899" spans="25:43" x14ac:dyDescent="0.4">
      <c r="Y899" s="609"/>
      <c r="Z899" s="609"/>
      <c r="AA899" s="609"/>
      <c r="AB899" s="609"/>
      <c r="AC899" s="609"/>
      <c r="AD899" s="609"/>
      <c r="AE899" s="609"/>
      <c r="AF899" s="609"/>
      <c r="AG899" s="609"/>
      <c r="AH899" s="609"/>
      <c r="AI899" s="609"/>
      <c r="AJ899" s="609"/>
      <c r="AK899" s="609"/>
      <c r="AL899" s="609"/>
      <c r="AM899" s="609"/>
      <c r="AN899" s="609"/>
      <c r="AO899" s="609"/>
      <c r="AP899" s="609"/>
      <c r="AQ899" s="609"/>
    </row>
    <row r="900" spans="25:43" x14ac:dyDescent="0.4">
      <c r="Y900" s="609"/>
      <c r="Z900" s="609"/>
      <c r="AA900" s="609"/>
      <c r="AB900" s="609"/>
      <c r="AC900" s="609"/>
      <c r="AD900" s="609"/>
      <c r="AE900" s="609"/>
      <c r="AF900" s="609"/>
      <c r="AG900" s="609"/>
      <c r="AH900" s="609"/>
      <c r="AI900" s="609"/>
      <c r="AJ900" s="609"/>
      <c r="AK900" s="609"/>
      <c r="AL900" s="609"/>
      <c r="AM900" s="609"/>
      <c r="AN900" s="609"/>
      <c r="AO900" s="609"/>
      <c r="AP900" s="609"/>
      <c r="AQ900" s="609"/>
    </row>
    <row r="901" spans="25:43" x14ac:dyDescent="0.4">
      <c r="Y901" s="609"/>
      <c r="Z901" s="609"/>
      <c r="AA901" s="609"/>
      <c r="AB901" s="609"/>
      <c r="AC901" s="609"/>
      <c r="AD901" s="609"/>
      <c r="AE901" s="609"/>
      <c r="AF901" s="609"/>
      <c r="AG901" s="609"/>
      <c r="AH901" s="609"/>
      <c r="AI901" s="609"/>
      <c r="AJ901" s="609"/>
      <c r="AK901" s="609"/>
      <c r="AL901" s="609"/>
      <c r="AM901" s="609"/>
      <c r="AN901" s="609"/>
      <c r="AO901" s="609"/>
      <c r="AP901" s="609"/>
      <c r="AQ901" s="609"/>
    </row>
    <row r="902" spans="25:43" x14ac:dyDescent="0.4">
      <c r="Y902" s="609"/>
      <c r="Z902" s="609"/>
      <c r="AA902" s="609"/>
      <c r="AB902" s="609"/>
      <c r="AC902" s="609"/>
      <c r="AD902" s="609"/>
      <c r="AE902" s="609"/>
      <c r="AF902" s="609"/>
      <c r="AG902" s="609"/>
      <c r="AH902" s="609"/>
      <c r="AI902" s="609"/>
      <c r="AJ902" s="609"/>
      <c r="AK902" s="609"/>
      <c r="AL902" s="609"/>
      <c r="AM902" s="609"/>
      <c r="AN902" s="609"/>
      <c r="AO902" s="609"/>
      <c r="AP902" s="609"/>
      <c r="AQ902" s="609"/>
    </row>
    <row r="903" spans="25:43" x14ac:dyDescent="0.4">
      <c r="Y903" s="609"/>
      <c r="Z903" s="609"/>
      <c r="AA903" s="609"/>
      <c r="AB903" s="609"/>
      <c r="AC903" s="609"/>
      <c r="AD903" s="609"/>
      <c r="AE903" s="609"/>
      <c r="AF903" s="609"/>
      <c r="AG903" s="609"/>
      <c r="AH903" s="609"/>
      <c r="AI903" s="609"/>
      <c r="AJ903" s="609"/>
      <c r="AK903" s="609"/>
      <c r="AL903" s="609"/>
      <c r="AM903" s="609"/>
      <c r="AN903" s="609"/>
      <c r="AO903" s="609"/>
      <c r="AP903" s="609"/>
      <c r="AQ903" s="609"/>
    </row>
    <row r="904" spans="25:43" x14ac:dyDescent="0.4">
      <c r="Y904" s="609"/>
      <c r="Z904" s="609"/>
      <c r="AA904" s="609"/>
      <c r="AB904" s="609"/>
      <c r="AC904" s="609"/>
      <c r="AD904" s="609"/>
      <c r="AE904" s="609"/>
      <c r="AF904" s="609"/>
      <c r="AG904" s="609"/>
      <c r="AH904" s="609"/>
      <c r="AI904" s="609"/>
      <c r="AJ904" s="609"/>
      <c r="AK904" s="609"/>
      <c r="AL904" s="609"/>
      <c r="AM904" s="609"/>
      <c r="AN904" s="609"/>
      <c r="AO904" s="609"/>
      <c r="AP904" s="609"/>
      <c r="AQ904" s="609"/>
    </row>
    <row r="905" spans="25:43" x14ac:dyDescent="0.4">
      <c r="Y905" s="609"/>
      <c r="Z905" s="609"/>
      <c r="AA905" s="609"/>
      <c r="AB905" s="609"/>
      <c r="AC905" s="609"/>
      <c r="AD905" s="609"/>
      <c r="AE905" s="609"/>
      <c r="AF905" s="609"/>
      <c r="AG905" s="609"/>
      <c r="AH905" s="609"/>
      <c r="AI905" s="609"/>
      <c r="AJ905" s="609"/>
      <c r="AK905" s="609"/>
      <c r="AL905" s="609"/>
      <c r="AM905" s="609"/>
      <c r="AN905" s="609"/>
      <c r="AO905" s="609"/>
      <c r="AP905" s="609"/>
      <c r="AQ905" s="609"/>
    </row>
    <row r="906" spans="25:43" x14ac:dyDescent="0.4">
      <c r="Y906" s="609"/>
      <c r="Z906" s="609"/>
      <c r="AA906" s="609"/>
      <c r="AB906" s="609"/>
      <c r="AC906" s="609"/>
      <c r="AD906" s="609"/>
      <c r="AE906" s="609"/>
      <c r="AF906" s="609"/>
      <c r="AG906" s="609"/>
      <c r="AH906" s="609"/>
      <c r="AI906" s="609"/>
      <c r="AJ906" s="609"/>
      <c r="AK906" s="609"/>
      <c r="AL906" s="609"/>
      <c r="AM906" s="609"/>
      <c r="AN906" s="609"/>
      <c r="AO906" s="609"/>
      <c r="AP906" s="609"/>
      <c r="AQ906" s="609"/>
    </row>
    <row r="907" spans="25:43" x14ac:dyDescent="0.4">
      <c r="Y907" s="609"/>
      <c r="Z907" s="609"/>
      <c r="AA907" s="609"/>
      <c r="AB907" s="609"/>
      <c r="AC907" s="609"/>
      <c r="AD907" s="609"/>
      <c r="AE907" s="609"/>
      <c r="AF907" s="609"/>
      <c r="AG907" s="609"/>
      <c r="AH907" s="609"/>
      <c r="AI907" s="609"/>
      <c r="AJ907" s="609"/>
      <c r="AK907" s="609"/>
      <c r="AL907" s="609"/>
      <c r="AM907" s="609"/>
      <c r="AN907" s="609"/>
      <c r="AO907" s="609"/>
      <c r="AP907" s="609"/>
      <c r="AQ907" s="609"/>
    </row>
    <row r="908" spans="25:43" x14ac:dyDescent="0.4">
      <c r="Y908" s="609"/>
      <c r="Z908" s="609"/>
      <c r="AA908" s="609"/>
      <c r="AB908" s="609"/>
      <c r="AC908" s="609"/>
      <c r="AD908" s="609"/>
      <c r="AE908" s="609"/>
      <c r="AF908" s="609"/>
      <c r="AG908" s="609"/>
      <c r="AH908" s="609"/>
      <c r="AI908" s="609"/>
      <c r="AJ908" s="609"/>
      <c r="AK908" s="609"/>
      <c r="AL908" s="609"/>
      <c r="AM908" s="609"/>
      <c r="AN908" s="609"/>
      <c r="AO908" s="609"/>
      <c r="AP908" s="609"/>
      <c r="AQ908" s="609"/>
    </row>
    <row r="909" spans="25:43" x14ac:dyDescent="0.4">
      <c r="Y909" s="609"/>
      <c r="Z909" s="609"/>
      <c r="AA909" s="609"/>
      <c r="AB909" s="609"/>
      <c r="AC909" s="609"/>
      <c r="AD909" s="609"/>
      <c r="AE909" s="609"/>
      <c r="AF909" s="609"/>
      <c r="AG909" s="609"/>
      <c r="AH909" s="609"/>
      <c r="AI909" s="609"/>
      <c r="AJ909" s="609"/>
      <c r="AK909" s="609"/>
      <c r="AL909" s="609"/>
      <c r="AM909" s="609"/>
      <c r="AN909" s="609"/>
      <c r="AO909" s="609"/>
      <c r="AP909" s="609"/>
      <c r="AQ909" s="609"/>
    </row>
    <row r="910" spans="25:43" x14ac:dyDescent="0.4">
      <c r="Y910" s="609"/>
      <c r="Z910" s="609"/>
      <c r="AA910" s="609"/>
      <c r="AB910" s="609"/>
      <c r="AC910" s="609"/>
      <c r="AD910" s="609"/>
      <c r="AE910" s="609"/>
      <c r="AF910" s="609"/>
      <c r="AG910" s="609"/>
      <c r="AH910" s="609"/>
      <c r="AI910" s="609"/>
      <c r="AJ910" s="609"/>
      <c r="AK910" s="609"/>
      <c r="AL910" s="609"/>
      <c r="AM910" s="609"/>
      <c r="AN910" s="609"/>
      <c r="AO910" s="609"/>
      <c r="AP910" s="609"/>
      <c r="AQ910" s="609"/>
    </row>
    <row r="911" spans="25:43" x14ac:dyDescent="0.4">
      <c r="Y911" s="609"/>
      <c r="Z911" s="609"/>
      <c r="AA911" s="609"/>
      <c r="AB911" s="609"/>
      <c r="AC911" s="609"/>
      <c r="AD911" s="609"/>
      <c r="AE911" s="609"/>
      <c r="AF911" s="609"/>
      <c r="AG911" s="609"/>
      <c r="AH911" s="609"/>
      <c r="AI911" s="609"/>
      <c r="AJ911" s="609"/>
      <c r="AK911" s="609"/>
      <c r="AL911" s="609"/>
      <c r="AM911" s="609"/>
      <c r="AN911" s="609"/>
      <c r="AO911" s="609"/>
      <c r="AP911" s="609"/>
      <c r="AQ911" s="609"/>
    </row>
    <row r="912" spans="25:43" x14ac:dyDescent="0.4">
      <c r="Y912" s="609"/>
      <c r="Z912" s="609"/>
      <c r="AA912" s="609"/>
      <c r="AB912" s="609"/>
      <c r="AC912" s="609"/>
      <c r="AD912" s="609"/>
      <c r="AE912" s="609"/>
      <c r="AF912" s="609"/>
      <c r="AG912" s="609"/>
      <c r="AH912" s="609"/>
      <c r="AI912" s="609"/>
      <c r="AJ912" s="609"/>
      <c r="AK912" s="609"/>
      <c r="AL912" s="609"/>
      <c r="AM912" s="609"/>
      <c r="AN912" s="609"/>
      <c r="AO912" s="609"/>
      <c r="AP912" s="609"/>
      <c r="AQ912" s="609"/>
    </row>
    <row r="913" spans="25:43" x14ac:dyDescent="0.4">
      <c r="Y913" s="609"/>
      <c r="Z913" s="609"/>
      <c r="AA913" s="609"/>
      <c r="AB913" s="609"/>
      <c r="AC913" s="609"/>
      <c r="AD913" s="609"/>
      <c r="AE913" s="609"/>
      <c r="AF913" s="609"/>
      <c r="AG913" s="609"/>
      <c r="AH913" s="609"/>
      <c r="AI913" s="609"/>
      <c r="AJ913" s="609"/>
      <c r="AK913" s="609"/>
      <c r="AL913" s="609"/>
      <c r="AM913" s="609"/>
      <c r="AN913" s="609"/>
      <c r="AO913" s="609"/>
      <c r="AP913" s="609"/>
      <c r="AQ913" s="609"/>
    </row>
    <row r="914" spans="25:43" x14ac:dyDescent="0.4">
      <c r="Y914" s="609"/>
      <c r="Z914" s="609"/>
      <c r="AA914" s="609"/>
      <c r="AB914" s="609"/>
      <c r="AC914" s="609"/>
      <c r="AD914" s="609"/>
      <c r="AE914" s="609"/>
      <c r="AF914" s="609"/>
      <c r="AG914" s="609"/>
      <c r="AH914" s="609"/>
      <c r="AI914" s="609"/>
      <c r="AJ914" s="609"/>
      <c r="AK914" s="609"/>
      <c r="AL914" s="609"/>
      <c r="AM914" s="609"/>
      <c r="AN914" s="609"/>
      <c r="AO914" s="609"/>
      <c r="AP914" s="609"/>
      <c r="AQ914" s="609"/>
    </row>
    <row r="915" spans="25:43" x14ac:dyDescent="0.4">
      <c r="Y915" s="609"/>
      <c r="Z915" s="609"/>
      <c r="AA915" s="609"/>
      <c r="AB915" s="609"/>
      <c r="AC915" s="609"/>
      <c r="AD915" s="609"/>
      <c r="AE915" s="609"/>
      <c r="AF915" s="609"/>
      <c r="AG915" s="609"/>
      <c r="AH915" s="609"/>
      <c r="AI915" s="609"/>
      <c r="AJ915" s="609"/>
      <c r="AK915" s="609"/>
      <c r="AL915" s="609"/>
      <c r="AM915" s="609"/>
      <c r="AN915" s="609"/>
      <c r="AO915" s="609"/>
      <c r="AP915" s="609"/>
      <c r="AQ915" s="609"/>
    </row>
    <row r="916" spans="25:43" x14ac:dyDescent="0.4">
      <c r="Y916" s="609"/>
      <c r="Z916" s="609"/>
      <c r="AA916" s="609"/>
      <c r="AB916" s="609"/>
      <c r="AC916" s="609"/>
      <c r="AD916" s="609"/>
      <c r="AE916" s="609"/>
      <c r="AF916" s="609"/>
      <c r="AG916" s="609"/>
      <c r="AH916" s="609"/>
      <c r="AI916" s="609"/>
      <c r="AJ916" s="609"/>
      <c r="AK916" s="609"/>
      <c r="AL916" s="609"/>
      <c r="AM916" s="609"/>
      <c r="AN916" s="609"/>
      <c r="AO916" s="609"/>
      <c r="AP916" s="609"/>
      <c r="AQ916" s="609"/>
    </row>
    <row r="917" spans="25:43" x14ac:dyDescent="0.4">
      <c r="Y917" s="609"/>
      <c r="Z917" s="609"/>
      <c r="AA917" s="609"/>
      <c r="AB917" s="609"/>
      <c r="AC917" s="609"/>
      <c r="AD917" s="609"/>
      <c r="AE917" s="609"/>
      <c r="AF917" s="609"/>
      <c r="AG917" s="609"/>
      <c r="AH917" s="609"/>
      <c r="AI917" s="609"/>
      <c r="AJ917" s="609"/>
      <c r="AK917" s="609"/>
      <c r="AL917" s="609"/>
      <c r="AM917" s="609"/>
      <c r="AN917" s="609"/>
      <c r="AO917" s="609"/>
      <c r="AP917" s="609"/>
      <c r="AQ917" s="609"/>
    </row>
    <row r="918" spans="25:43" x14ac:dyDescent="0.4">
      <c r="Y918" s="609"/>
      <c r="Z918" s="609"/>
      <c r="AA918" s="609"/>
      <c r="AB918" s="609"/>
      <c r="AC918" s="609"/>
      <c r="AD918" s="609"/>
      <c r="AE918" s="609"/>
      <c r="AF918" s="609"/>
      <c r="AG918" s="609"/>
      <c r="AH918" s="609"/>
      <c r="AI918" s="609"/>
      <c r="AJ918" s="609"/>
      <c r="AK918" s="609"/>
      <c r="AL918" s="609"/>
      <c r="AM918" s="609"/>
      <c r="AN918" s="609"/>
      <c r="AO918" s="609"/>
      <c r="AP918" s="609"/>
      <c r="AQ918" s="609"/>
    </row>
    <row r="919" spans="25:43" x14ac:dyDescent="0.4">
      <c r="Y919" s="609"/>
      <c r="Z919" s="609"/>
      <c r="AA919" s="609"/>
      <c r="AB919" s="609"/>
      <c r="AC919" s="609"/>
      <c r="AD919" s="609"/>
      <c r="AE919" s="609"/>
      <c r="AF919" s="609"/>
      <c r="AG919" s="609"/>
      <c r="AH919" s="609"/>
      <c r="AI919" s="609"/>
      <c r="AJ919" s="609"/>
      <c r="AK919" s="609"/>
      <c r="AL919" s="609"/>
      <c r="AM919" s="609"/>
      <c r="AN919" s="609"/>
      <c r="AO919" s="609"/>
      <c r="AP919" s="609"/>
      <c r="AQ919" s="609"/>
    </row>
    <row r="920" spans="25:43" x14ac:dyDescent="0.4">
      <c r="Y920" s="609"/>
      <c r="Z920" s="609"/>
      <c r="AA920" s="609"/>
      <c r="AB920" s="609"/>
      <c r="AC920" s="609"/>
      <c r="AD920" s="609"/>
      <c r="AE920" s="609"/>
      <c r="AF920" s="609"/>
      <c r="AG920" s="609"/>
      <c r="AH920" s="609"/>
      <c r="AI920" s="609"/>
      <c r="AJ920" s="609"/>
      <c r="AK920" s="609"/>
      <c r="AL920" s="609"/>
      <c r="AM920" s="609"/>
      <c r="AN920" s="609"/>
      <c r="AO920" s="609"/>
      <c r="AP920" s="609"/>
      <c r="AQ920" s="609"/>
    </row>
    <row r="921" spans="25:43" x14ac:dyDescent="0.4">
      <c r="Y921" s="609"/>
      <c r="Z921" s="609"/>
      <c r="AA921" s="609"/>
      <c r="AB921" s="609"/>
      <c r="AC921" s="609"/>
      <c r="AD921" s="609"/>
      <c r="AE921" s="609"/>
      <c r="AF921" s="609"/>
      <c r="AG921" s="609"/>
      <c r="AH921" s="609"/>
      <c r="AI921" s="609"/>
      <c r="AJ921" s="609"/>
      <c r="AK921" s="609"/>
      <c r="AL921" s="609"/>
      <c r="AM921" s="609"/>
      <c r="AN921" s="609"/>
      <c r="AO921" s="609"/>
      <c r="AP921" s="609"/>
      <c r="AQ921" s="609"/>
    </row>
    <row r="922" spans="25:43" x14ac:dyDescent="0.4">
      <c r="Y922" s="609"/>
      <c r="Z922" s="609"/>
      <c r="AA922" s="609"/>
      <c r="AB922" s="609"/>
      <c r="AC922" s="609"/>
      <c r="AD922" s="609"/>
      <c r="AE922" s="609"/>
      <c r="AF922" s="609"/>
      <c r="AG922" s="609"/>
      <c r="AH922" s="609"/>
      <c r="AI922" s="609"/>
      <c r="AJ922" s="609"/>
      <c r="AK922" s="609"/>
      <c r="AL922" s="609"/>
      <c r="AM922" s="609"/>
      <c r="AN922" s="609"/>
      <c r="AO922" s="609"/>
      <c r="AP922" s="609"/>
      <c r="AQ922" s="609"/>
    </row>
    <row r="923" spans="25:43" x14ac:dyDescent="0.4">
      <c r="Y923" s="609"/>
      <c r="Z923" s="609"/>
      <c r="AA923" s="609"/>
      <c r="AB923" s="609"/>
      <c r="AC923" s="609"/>
      <c r="AD923" s="609"/>
      <c r="AE923" s="609"/>
      <c r="AF923" s="609"/>
      <c r="AG923" s="609"/>
      <c r="AH923" s="609"/>
      <c r="AI923" s="609"/>
      <c r="AJ923" s="609"/>
      <c r="AK923" s="609"/>
      <c r="AL923" s="609"/>
      <c r="AM923" s="609"/>
      <c r="AN923" s="609"/>
      <c r="AO923" s="609"/>
      <c r="AP923" s="609"/>
      <c r="AQ923" s="609"/>
    </row>
    <row r="924" spans="25:43" x14ac:dyDescent="0.4">
      <c r="Y924" s="609"/>
      <c r="Z924" s="609"/>
      <c r="AA924" s="609"/>
      <c r="AB924" s="609"/>
      <c r="AC924" s="609"/>
      <c r="AD924" s="609"/>
      <c r="AE924" s="609"/>
      <c r="AF924" s="609"/>
      <c r="AG924" s="609"/>
      <c r="AH924" s="609"/>
      <c r="AI924" s="609"/>
      <c r="AJ924" s="609"/>
      <c r="AK924" s="609"/>
      <c r="AL924" s="609"/>
      <c r="AM924" s="609"/>
      <c r="AN924" s="609"/>
      <c r="AO924" s="609"/>
      <c r="AP924" s="609"/>
      <c r="AQ924" s="609"/>
    </row>
    <row r="925" spans="25:43" x14ac:dyDescent="0.4">
      <c r="Y925" s="609"/>
      <c r="Z925" s="609"/>
      <c r="AA925" s="609"/>
      <c r="AB925" s="609"/>
      <c r="AC925" s="609"/>
      <c r="AD925" s="609"/>
      <c r="AE925" s="609"/>
      <c r="AF925" s="609"/>
      <c r="AG925" s="609"/>
      <c r="AH925" s="609"/>
      <c r="AI925" s="609"/>
      <c r="AJ925" s="609"/>
      <c r="AK925" s="609"/>
      <c r="AL925" s="609"/>
      <c r="AM925" s="609"/>
      <c r="AN925" s="609"/>
      <c r="AO925" s="609"/>
      <c r="AP925" s="609"/>
      <c r="AQ925" s="609"/>
    </row>
    <row r="926" spans="25:43" x14ac:dyDescent="0.4">
      <c r="Y926" s="609"/>
      <c r="Z926" s="609"/>
      <c r="AA926" s="609"/>
      <c r="AB926" s="609"/>
      <c r="AC926" s="609"/>
      <c r="AD926" s="609"/>
      <c r="AE926" s="609"/>
      <c r="AF926" s="609"/>
      <c r="AG926" s="609"/>
      <c r="AH926" s="609"/>
      <c r="AI926" s="609"/>
      <c r="AJ926" s="609"/>
      <c r="AK926" s="609"/>
      <c r="AL926" s="609"/>
      <c r="AM926" s="609"/>
      <c r="AN926" s="609"/>
      <c r="AO926" s="609"/>
      <c r="AP926" s="609"/>
      <c r="AQ926" s="609"/>
    </row>
    <row r="927" spans="25:43" x14ac:dyDescent="0.4">
      <c r="Y927" s="609"/>
      <c r="Z927" s="609"/>
      <c r="AA927" s="609"/>
      <c r="AB927" s="609"/>
      <c r="AC927" s="609"/>
      <c r="AD927" s="609"/>
      <c r="AE927" s="609"/>
      <c r="AF927" s="609"/>
      <c r="AG927" s="609"/>
      <c r="AH927" s="609"/>
      <c r="AI927" s="609"/>
      <c r="AJ927" s="609"/>
      <c r="AK927" s="609"/>
      <c r="AL927" s="609"/>
      <c r="AM927" s="609"/>
      <c r="AN927" s="609"/>
      <c r="AO927" s="609"/>
      <c r="AP927" s="609"/>
      <c r="AQ927" s="609"/>
    </row>
    <row r="928" spans="25:43" x14ac:dyDescent="0.4">
      <c r="Y928" s="609"/>
      <c r="Z928" s="609"/>
      <c r="AA928" s="609"/>
      <c r="AB928" s="609"/>
      <c r="AC928" s="609"/>
      <c r="AD928" s="609"/>
      <c r="AE928" s="609"/>
      <c r="AF928" s="609"/>
      <c r="AG928" s="609"/>
      <c r="AH928" s="609"/>
      <c r="AI928" s="609"/>
      <c r="AJ928" s="609"/>
      <c r="AK928" s="609"/>
      <c r="AL928" s="609"/>
      <c r="AM928" s="609"/>
      <c r="AN928" s="609"/>
      <c r="AO928" s="609"/>
      <c r="AP928" s="609"/>
      <c r="AQ928" s="609"/>
    </row>
    <row r="929" spans="25:43" x14ac:dyDescent="0.4">
      <c r="Y929" s="609"/>
      <c r="Z929" s="609"/>
      <c r="AA929" s="609"/>
      <c r="AB929" s="609"/>
      <c r="AC929" s="609"/>
      <c r="AD929" s="609"/>
      <c r="AE929" s="609"/>
      <c r="AF929" s="609"/>
      <c r="AG929" s="609"/>
      <c r="AH929" s="609"/>
      <c r="AI929" s="609"/>
      <c r="AJ929" s="609"/>
      <c r="AK929" s="609"/>
      <c r="AL929" s="609"/>
      <c r="AM929" s="609"/>
      <c r="AN929" s="609"/>
      <c r="AO929" s="609"/>
      <c r="AP929" s="609"/>
      <c r="AQ929" s="609"/>
    </row>
    <row r="930" spans="25:43" x14ac:dyDescent="0.4">
      <c r="Y930" s="609"/>
      <c r="Z930" s="609"/>
      <c r="AA930" s="609"/>
      <c r="AB930" s="609"/>
      <c r="AC930" s="609"/>
      <c r="AD930" s="609"/>
      <c r="AE930" s="609"/>
      <c r="AF930" s="609"/>
      <c r="AG930" s="609"/>
      <c r="AH930" s="609"/>
      <c r="AI930" s="609"/>
      <c r="AJ930" s="609"/>
      <c r="AK930" s="609"/>
      <c r="AL930" s="609"/>
      <c r="AM930" s="609"/>
      <c r="AN930" s="609"/>
      <c r="AO930" s="609"/>
      <c r="AP930" s="609"/>
      <c r="AQ930" s="609"/>
    </row>
    <row r="931" spans="25:43" x14ac:dyDescent="0.4">
      <c r="Y931" s="609"/>
      <c r="Z931" s="609"/>
      <c r="AA931" s="609"/>
      <c r="AB931" s="609"/>
      <c r="AC931" s="609"/>
      <c r="AD931" s="609"/>
      <c r="AE931" s="609"/>
      <c r="AF931" s="609"/>
      <c r="AG931" s="609"/>
      <c r="AH931" s="609"/>
      <c r="AI931" s="609"/>
      <c r="AJ931" s="609"/>
      <c r="AK931" s="609"/>
      <c r="AL931" s="609"/>
      <c r="AM931" s="609"/>
      <c r="AN931" s="609"/>
      <c r="AO931" s="609"/>
      <c r="AP931" s="609"/>
      <c r="AQ931" s="609"/>
    </row>
    <row r="932" spans="25:43" x14ac:dyDescent="0.4">
      <c r="Y932" s="609"/>
      <c r="Z932" s="609"/>
      <c r="AA932" s="609"/>
      <c r="AB932" s="609"/>
      <c r="AC932" s="609"/>
      <c r="AD932" s="609"/>
      <c r="AE932" s="609"/>
      <c r="AF932" s="609"/>
      <c r="AG932" s="609"/>
      <c r="AH932" s="609"/>
      <c r="AI932" s="609"/>
      <c r="AJ932" s="609"/>
      <c r="AK932" s="609"/>
      <c r="AL932" s="609"/>
      <c r="AM932" s="609"/>
      <c r="AN932" s="609"/>
      <c r="AO932" s="609"/>
      <c r="AP932" s="609"/>
      <c r="AQ932" s="609"/>
    </row>
    <row r="933" spans="25:43" x14ac:dyDescent="0.4">
      <c r="Y933" s="609"/>
      <c r="Z933" s="609"/>
      <c r="AA933" s="609"/>
      <c r="AB933" s="609"/>
      <c r="AC933" s="609"/>
      <c r="AD933" s="609"/>
      <c r="AE933" s="609"/>
      <c r="AF933" s="609"/>
      <c r="AG933" s="609"/>
      <c r="AH933" s="609"/>
      <c r="AI933" s="609"/>
      <c r="AJ933" s="609"/>
      <c r="AK933" s="609"/>
      <c r="AL933" s="609"/>
      <c r="AM933" s="609"/>
      <c r="AN933" s="609"/>
      <c r="AO933" s="609"/>
      <c r="AP933" s="609"/>
      <c r="AQ933" s="609"/>
    </row>
    <row r="934" spans="25:43" x14ac:dyDescent="0.4">
      <c r="Y934" s="609"/>
      <c r="Z934" s="609"/>
      <c r="AA934" s="609"/>
      <c r="AB934" s="609"/>
      <c r="AC934" s="609"/>
      <c r="AD934" s="609"/>
      <c r="AE934" s="609"/>
      <c r="AF934" s="609"/>
      <c r="AG934" s="609"/>
      <c r="AH934" s="609"/>
      <c r="AI934" s="609"/>
      <c r="AJ934" s="609"/>
      <c r="AK934" s="609"/>
      <c r="AL934" s="609"/>
      <c r="AM934" s="609"/>
      <c r="AN934" s="609"/>
      <c r="AO934" s="609"/>
      <c r="AP934" s="609"/>
      <c r="AQ934" s="609"/>
    </row>
    <row r="935" spans="25:43" x14ac:dyDescent="0.4">
      <c r="Y935" s="609"/>
      <c r="Z935" s="609"/>
      <c r="AA935" s="609"/>
      <c r="AB935" s="609"/>
      <c r="AC935" s="609"/>
      <c r="AD935" s="609"/>
      <c r="AE935" s="609"/>
      <c r="AF935" s="609"/>
      <c r="AG935" s="609"/>
      <c r="AH935" s="609"/>
      <c r="AI935" s="609"/>
      <c r="AJ935" s="609"/>
      <c r="AK935" s="609"/>
      <c r="AL935" s="609"/>
      <c r="AM935" s="609"/>
      <c r="AN935" s="609"/>
      <c r="AO935" s="609"/>
      <c r="AP935" s="609"/>
      <c r="AQ935" s="609"/>
    </row>
    <row r="936" spans="25:43" x14ac:dyDescent="0.4">
      <c r="Y936" s="609"/>
      <c r="Z936" s="609"/>
      <c r="AA936" s="609"/>
      <c r="AB936" s="609"/>
      <c r="AC936" s="609"/>
      <c r="AD936" s="609"/>
      <c r="AE936" s="609"/>
      <c r="AF936" s="609"/>
      <c r="AG936" s="609"/>
      <c r="AH936" s="609"/>
      <c r="AI936" s="609"/>
      <c r="AJ936" s="609"/>
      <c r="AK936" s="609"/>
      <c r="AL936" s="609"/>
      <c r="AM936" s="609"/>
      <c r="AN936" s="609"/>
      <c r="AO936" s="609"/>
      <c r="AP936" s="609"/>
      <c r="AQ936" s="609"/>
    </row>
    <row r="937" spans="25:43" x14ac:dyDescent="0.4">
      <c r="Y937" s="609"/>
      <c r="Z937" s="609"/>
      <c r="AA937" s="609"/>
      <c r="AB937" s="609"/>
      <c r="AC937" s="609"/>
      <c r="AD937" s="609"/>
      <c r="AE937" s="609"/>
      <c r="AF937" s="609"/>
      <c r="AG937" s="609"/>
      <c r="AH937" s="609"/>
      <c r="AI937" s="609"/>
      <c r="AJ937" s="609"/>
      <c r="AK937" s="609"/>
      <c r="AL937" s="609"/>
      <c r="AM937" s="609"/>
      <c r="AN937" s="609"/>
      <c r="AO937" s="609"/>
      <c r="AP937" s="609"/>
      <c r="AQ937" s="609"/>
    </row>
    <row r="938" spans="25:43" x14ac:dyDescent="0.4">
      <c r="Y938" s="609"/>
      <c r="Z938" s="609"/>
      <c r="AA938" s="609"/>
      <c r="AB938" s="609"/>
      <c r="AC938" s="609"/>
      <c r="AD938" s="609"/>
      <c r="AE938" s="609"/>
      <c r="AF938" s="609"/>
      <c r="AG938" s="609"/>
      <c r="AH938" s="609"/>
      <c r="AI938" s="609"/>
      <c r="AJ938" s="609"/>
      <c r="AK938" s="609"/>
      <c r="AL938" s="609"/>
      <c r="AM938" s="609"/>
      <c r="AN938" s="609"/>
      <c r="AO938" s="609"/>
      <c r="AP938" s="609"/>
      <c r="AQ938" s="609"/>
    </row>
    <row r="939" spans="25:43" x14ac:dyDescent="0.4">
      <c r="Y939" s="609"/>
      <c r="Z939" s="609"/>
      <c r="AA939" s="609"/>
      <c r="AB939" s="609"/>
      <c r="AC939" s="609"/>
      <c r="AD939" s="609"/>
      <c r="AE939" s="609"/>
      <c r="AF939" s="609"/>
      <c r="AG939" s="609"/>
      <c r="AH939" s="609"/>
      <c r="AI939" s="609"/>
      <c r="AJ939" s="609"/>
      <c r="AK939" s="609"/>
      <c r="AL939" s="609"/>
      <c r="AM939" s="609"/>
      <c r="AN939" s="609"/>
      <c r="AO939" s="609"/>
      <c r="AP939" s="609"/>
      <c r="AQ939" s="609"/>
    </row>
    <row r="940" spans="25:43" x14ac:dyDescent="0.4">
      <c r="Y940" s="609"/>
      <c r="Z940" s="609"/>
      <c r="AA940" s="609"/>
      <c r="AB940" s="609"/>
      <c r="AC940" s="609"/>
      <c r="AD940" s="609"/>
      <c r="AE940" s="609"/>
      <c r="AF940" s="609"/>
      <c r="AG940" s="609"/>
      <c r="AH940" s="609"/>
      <c r="AI940" s="609"/>
      <c r="AJ940" s="609"/>
      <c r="AK940" s="609"/>
      <c r="AL940" s="609"/>
      <c r="AM940" s="609"/>
      <c r="AN940" s="609"/>
      <c r="AO940" s="609"/>
      <c r="AP940" s="609"/>
      <c r="AQ940" s="609"/>
    </row>
    <row r="941" spans="25:43" x14ac:dyDescent="0.4">
      <c r="Y941" s="609"/>
      <c r="Z941" s="609"/>
      <c r="AA941" s="609"/>
      <c r="AB941" s="609"/>
      <c r="AC941" s="609"/>
      <c r="AD941" s="609"/>
      <c r="AE941" s="609"/>
      <c r="AF941" s="609"/>
      <c r="AG941" s="609"/>
      <c r="AH941" s="609"/>
      <c r="AI941" s="609"/>
      <c r="AJ941" s="609"/>
      <c r="AK941" s="609"/>
      <c r="AL941" s="609"/>
      <c r="AM941" s="609"/>
      <c r="AN941" s="609"/>
      <c r="AO941" s="609"/>
      <c r="AP941" s="609"/>
      <c r="AQ941" s="609"/>
    </row>
    <row r="942" spans="25:43" x14ac:dyDescent="0.4">
      <c r="Y942" s="609"/>
      <c r="Z942" s="609"/>
      <c r="AA942" s="609"/>
      <c r="AB942" s="609"/>
      <c r="AC942" s="609"/>
      <c r="AD942" s="609"/>
      <c r="AE942" s="609"/>
      <c r="AF942" s="609"/>
      <c r="AG942" s="609"/>
      <c r="AH942" s="609"/>
      <c r="AI942" s="609"/>
      <c r="AJ942" s="609"/>
      <c r="AK942" s="609"/>
      <c r="AL942" s="609"/>
      <c r="AM942" s="609"/>
      <c r="AN942" s="609"/>
      <c r="AO942" s="609"/>
      <c r="AP942" s="609"/>
      <c r="AQ942" s="609"/>
    </row>
    <row r="943" spans="25:43" x14ac:dyDescent="0.4">
      <c r="Y943" s="609"/>
      <c r="Z943" s="609"/>
      <c r="AA943" s="609"/>
      <c r="AB943" s="609"/>
      <c r="AC943" s="609"/>
      <c r="AD943" s="609"/>
      <c r="AE943" s="609"/>
      <c r="AF943" s="609"/>
      <c r="AG943" s="609"/>
      <c r="AH943" s="609"/>
      <c r="AI943" s="609"/>
      <c r="AJ943" s="609"/>
      <c r="AK943" s="609"/>
      <c r="AL943" s="609"/>
      <c r="AM943" s="609"/>
      <c r="AN943" s="609"/>
      <c r="AO943" s="609"/>
      <c r="AP943" s="609"/>
      <c r="AQ943" s="609"/>
    </row>
    <row r="944" spans="25:43" x14ac:dyDescent="0.4">
      <c r="Y944" s="609"/>
      <c r="Z944" s="609"/>
      <c r="AA944" s="609"/>
      <c r="AB944" s="609"/>
      <c r="AC944" s="609"/>
      <c r="AD944" s="609"/>
      <c r="AE944" s="609"/>
      <c r="AF944" s="609"/>
      <c r="AG944" s="609"/>
      <c r="AH944" s="609"/>
      <c r="AI944" s="609"/>
      <c r="AJ944" s="609"/>
      <c r="AK944" s="609"/>
      <c r="AL944" s="609"/>
      <c r="AM944" s="609"/>
      <c r="AN944" s="609"/>
      <c r="AO944" s="609"/>
      <c r="AP944" s="609"/>
      <c r="AQ944" s="609"/>
    </row>
    <row r="945" spans="25:43" x14ac:dyDescent="0.4">
      <c r="Y945" s="609"/>
      <c r="Z945" s="609"/>
      <c r="AA945" s="609"/>
      <c r="AB945" s="609"/>
      <c r="AC945" s="609"/>
      <c r="AD945" s="609"/>
      <c r="AE945" s="609"/>
      <c r="AF945" s="609"/>
      <c r="AG945" s="609"/>
      <c r="AH945" s="609"/>
      <c r="AI945" s="609"/>
      <c r="AJ945" s="609"/>
      <c r="AK945" s="609"/>
      <c r="AL945" s="609"/>
      <c r="AM945" s="609"/>
      <c r="AN945" s="609"/>
      <c r="AO945" s="609"/>
      <c r="AP945" s="609"/>
      <c r="AQ945" s="609"/>
    </row>
    <row r="946" spans="25:43" x14ac:dyDescent="0.4">
      <c r="Y946" s="609"/>
      <c r="Z946" s="609"/>
      <c r="AA946" s="609"/>
      <c r="AB946" s="609"/>
      <c r="AC946" s="609"/>
      <c r="AD946" s="609"/>
      <c r="AE946" s="609"/>
      <c r="AF946" s="609"/>
      <c r="AG946" s="609"/>
      <c r="AH946" s="609"/>
      <c r="AI946" s="609"/>
      <c r="AJ946" s="609"/>
      <c r="AK946" s="609"/>
      <c r="AL946" s="609"/>
      <c r="AM946" s="609"/>
      <c r="AN946" s="609"/>
      <c r="AO946" s="609"/>
      <c r="AP946" s="609"/>
      <c r="AQ946" s="609"/>
    </row>
    <row r="947" spans="25:43" x14ac:dyDescent="0.4">
      <c r="Y947" s="609"/>
      <c r="Z947" s="609"/>
      <c r="AA947" s="609"/>
      <c r="AB947" s="609"/>
      <c r="AC947" s="609"/>
      <c r="AD947" s="609"/>
      <c r="AE947" s="609"/>
      <c r="AF947" s="609"/>
      <c r="AG947" s="609"/>
      <c r="AH947" s="609"/>
      <c r="AI947" s="609"/>
      <c r="AJ947" s="609"/>
      <c r="AK947" s="609"/>
      <c r="AL947" s="609"/>
      <c r="AM947" s="609"/>
      <c r="AN947" s="609"/>
      <c r="AO947" s="609"/>
      <c r="AP947" s="609"/>
      <c r="AQ947" s="609"/>
    </row>
    <row r="948" spans="25:43" x14ac:dyDescent="0.4">
      <c r="Y948" s="609"/>
      <c r="Z948" s="609"/>
      <c r="AA948" s="609"/>
      <c r="AB948" s="609"/>
      <c r="AC948" s="609"/>
      <c r="AD948" s="609"/>
      <c r="AE948" s="609"/>
      <c r="AF948" s="609"/>
      <c r="AG948" s="609"/>
      <c r="AH948" s="609"/>
      <c r="AI948" s="609"/>
      <c r="AJ948" s="609"/>
      <c r="AK948" s="609"/>
      <c r="AL948" s="609"/>
      <c r="AM948" s="609"/>
      <c r="AN948" s="609"/>
      <c r="AO948" s="609"/>
      <c r="AP948" s="609"/>
      <c r="AQ948" s="609"/>
    </row>
    <row r="949" spans="25:43" x14ac:dyDescent="0.4">
      <c r="Y949" s="609"/>
      <c r="Z949" s="609"/>
      <c r="AA949" s="609"/>
      <c r="AB949" s="609"/>
      <c r="AC949" s="609"/>
      <c r="AD949" s="609"/>
      <c r="AE949" s="609"/>
      <c r="AF949" s="609"/>
      <c r="AG949" s="609"/>
      <c r="AH949" s="609"/>
      <c r="AI949" s="609"/>
      <c r="AJ949" s="609"/>
      <c r="AK949" s="609"/>
      <c r="AL949" s="609"/>
      <c r="AM949" s="609"/>
      <c r="AN949" s="609"/>
      <c r="AO949" s="609"/>
      <c r="AP949" s="609"/>
      <c r="AQ949" s="609"/>
    </row>
    <row r="950" spans="25:43" x14ac:dyDescent="0.4">
      <c r="Y950" s="609"/>
      <c r="Z950" s="609"/>
      <c r="AA950" s="609"/>
      <c r="AB950" s="609"/>
      <c r="AC950" s="609"/>
      <c r="AD950" s="609"/>
      <c r="AE950" s="609"/>
      <c r="AF950" s="609"/>
      <c r="AG950" s="609"/>
      <c r="AH950" s="609"/>
      <c r="AI950" s="609"/>
      <c r="AJ950" s="609"/>
      <c r="AK950" s="609"/>
      <c r="AL950" s="609"/>
      <c r="AM950" s="609"/>
      <c r="AN950" s="609"/>
      <c r="AO950" s="609"/>
      <c r="AP950" s="609"/>
      <c r="AQ950" s="609"/>
    </row>
    <row r="951" spans="25:43" x14ac:dyDescent="0.4">
      <c r="Y951" s="609"/>
      <c r="Z951" s="609"/>
      <c r="AA951" s="609"/>
      <c r="AB951" s="609"/>
      <c r="AC951" s="609"/>
      <c r="AD951" s="609"/>
      <c r="AE951" s="609"/>
      <c r="AF951" s="609"/>
      <c r="AG951" s="609"/>
      <c r="AH951" s="609"/>
      <c r="AI951" s="609"/>
      <c r="AJ951" s="609"/>
      <c r="AK951" s="609"/>
      <c r="AL951" s="609"/>
      <c r="AM951" s="609"/>
      <c r="AN951" s="609"/>
      <c r="AO951" s="609"/>
      <c r="AP951" s="609"/>
      <c r="AQ951" s="609"/>
    </row>
    <row r="952" spans="25:43" x14ac:dyDescent="0.4">
      <c r="Y952" s="609"/>
      <c r="Z952" s="609"/>
      <c r="AA952" s="609"/>
      <c r="AB952" s="609"/>
      <c r="AC952" s="609"/>
      <c r="AD952" s="609"/>
      <c r="AE952" s="609"/>
      <c r="AF952" s="609"/>
      <c r="AG952" s="609"/>
      <c r="AH952" s="609"/>
      <c r="AI952" s="609"/>
      <c r="AJ952" s="609"/>
      <c r="AK952" s="609"/>
      <c r="AL952" s="609"/>
      <c r="AM952" s="609"/>
      <c r="AN952" s="609"/>
      <c r="AO952" s="609"/>
      <c r="AP952" s="609"/>
      <c r="AQ952" s="609"/>
    </row>
    <row r="953" spans="25:43" x14ac:dyDescent="0.4">
      <c r="Y953" s="609"/>
      <c r="Z953" s="609"/>
      <c r="AA953" s="609"/>
      <c r="AB953" s="609"/>
      <c r="AC953" s="609"/>
      <c r="AD953" s="609"/>
      <c r="AE953" s="609"/>
      <c r="AF953" s="609"/>
      <c r="AG953" s="609"/>
      <c r="AH953" s="609"/>
      <c r="AI953" s="609"/>
      <c r="AJ953" s="609"/>
      <c r="AK953" s="609"/>
      <c r="AL953" s="609"/>
      <c r="AM953" s="609"/>
      <c r="AN953" s="609"/>
      <c r="AO953" s="609"/>
      <c r="AP953" s="609"/>
      <c r="AQ953" s="609"/>
    </row>
    <row r="954" spans="25:43" x14ac:dyDescent="0.4">
      <c r="Y954" s="609"/>
      <c r="Z954" s="609"/>
      <c r="AA954" s="609"/>
      <c r="AB954" s="609"/>
      <c r="AC954" s="609"/>
      <c r="AD954" s="609"/>
      <c r="AE954" s="609"/>
      <c r="AF954" s="609"/>
      <c r="AG954" s="609"/>
      <c r="AH954" s="609"/>
      <c r="AI954" s="609"/>
      <c r="AJ954" s="609"/>
      <c r="AK954" s="609"/>
      <c r="AL954" s="609"/>
      <c r="AM954" s="609"/>
      <c r="AN954" s="609"/>
      <c r="AO954" s="609"/>
      <c r="AP954" s="609"/>
      <c r="AQ954" s="609"/>
    </row>
    <row r="955" spans="25:43" x14ac:dyDescent="0.4">
      <c r="Y955" s="609"/>
      <c r="Z955" s="609"/>
      <c r="AA955" s="609"/>
      <c r="AB955" s="609"/>
      <c r="AC955" s="609"/>
      <c r="AD955" s="609"/>
      <c r="AE955" s="609"/>
      <c r="AF955" s="609"/>
      <c r="AG955" s="609"/>
      <c r="AH955" s="609"/>
      <c r="AI955" s="609"/>
      <c r="AJ955" s="609"/>
      <c r="AK955" s="609"/>
      <c r="AL955" s="609"/>
      <c r="AM955" s="609"/>
      <c r="AN955" s="609"/>
      <c r="AO955" s="609"/>
      <c r="AP955" s="609"/>
      <c r="AQ955" s="609"/>
    </row>
    <row r="956" spans="25:43" x14ac:dyDescent="0.4">
      <c r="Y956" s="609"/>
      <c r="Z956" s="609"/>
      <c r="AA956" s="609"/>
      <c r="AB956" s="609"/>
      <c r="AC956" s="609"/>
      <c r="AD956" s="609"/>
      <c r="AE956" s="609"/>
      <c r="AF956" s="609"/>
      <c r="AG956" s="609"/>
      <c r="AH956" s="609"/>
      <c r="AI956" s="609"/>
      <c r="AJ956" s="609"/>
      <c r="AK956" s="609"/>
      <c r="AL956" s="609"/>
      <c r="AM956" s="609"/>
      <c r="AN956" s="609"/>
      <c r="AO956" s="609"/>
      <c r="AP956" s="609"/>
      <c r="AQ956" s="609"/>
    </row>
    <row r="957" spans="25:43" x14ac:dyDescent="0.4">
      <c r="Y957" s="609"/>
      <c r="Z957" s="609"/>
      <c r="AA957" s="609"/>
      <c r="AB957" s="609"/>
      <c r="AC957" s="609"/>
      <c r="AD957" s="609"/>
      <c r="AE957" s="609"/>
      <c r="AF957" s="609"/>
      <c r="AG957" s="609"/>
      <c r="AH957" s="609"/>
      <c r="AI957" s="609"/>
      <c r="AJ957" s="609"/>
      <c r="AK957" s="609"/>
      <c r="AL957" s="609"/>
      <c r="AM957" s="609"/>
      <c r="AN957" s="609"/>
      <c r="AO957" s="609"/>
      <c r="AP957" s="609"/>
      <c r="AQ957" s="609"/>
    </row>
    <row r="958" spans="25:43" x14ac:dyDescent="0.4">
      <c r="Y958" s="609"/>
      <c r="Z958" s="609"/>
      <c r="AA958" s="609"/>
      <c r="AB958" s="609"/>
      <c r="AC958" s="609"/>
      <c r="AD958" s="609"/>
      <c r="AE958" s="609"/>
      <c r="AF958" s="609"/>
      <c r="AG958" s="609"/>
      <c r="AH958" s="609"/>
      <c r="AI958" s="609"/>
      <c r="AJ958" s="609"/>
      <c r="AK958" s="609"/>
      <c r="AL958" s="609"/>
      <c r="AM958" s="609"/>
      <c r="AN958" s="609"/>
      <c r="AO958" s="609"/>
      <c r="AP958" s="609"/>
      <c r="AQ958" s="609"/>
    </row>
    <row r="959" spans="25:43" x14ac:dyDescent="0.4">
      <c r="Y959" s="609"/>
      <c r="Z959" s="609"/>
      <c r="AA959" s="609"/>
      <c r="AB959" s="609"/>
      <c r="AC959" s="609"/>
      <c r="AD959" s="609"/>
      <c r="AE959" s="609"/>
      <c r="AF959" s="609"/>
      <c r="AG959" s="609"/>
      <c r="AH959" s="609"/>
      <c r="AI959" s="609"/>
      <c r="AJ959" s="609"/>
      <c r="AK959" s="609"/>
      <c r="AL959" s="609"/>
      <c r="AM959" s="609"/>
      <c r="AN959" s="609"/>
      <c r="AO959" s="609"/>
      <c r="AP959" s="609"/>
      <c r="AQ959" s="609"/>
    </row>
    <row r="960" spans="25:43" x14ac:dyDescent="0.4">
      <c r="Y960" s="609"/>
      <c r="Z960" s="609"/>
      <c r="AA960" s="609"/>
      <c r="AB960" s="609"/>
      <c r="AC960" s="609"/>
      <c r="AD960" s="609"/>
      <c r="AE960" s="609"/>
      <c r="AF960" s="609"/>
      <c r="AG960" s="609"/>
      <c r="AH960" s="609"/>
      <c r="AI960" s="609"/>
      <c r="AJ960" s="609"/>
      <c r="AK960" s="609"/>
      <c r="AL960" s="609"/>
      <c r="AM960" s="609"/>
      <c r="AN960" s="609"/>
      <c r="AO960" s="609"/>
      <c r="AP960" s="609"/>
      <c r="AQ960" s="609"/>
    </row>
    <row r="961" spans="25:43" x14ac:dyDescent="0.4">
      <c r="Y961" s="609"/>
      <c r="Z961" s="609"/>
      <c r="AA961" s="609"/>
      <c r="AB961" s="609"/>
      <c r="AC961" s="609"/>
      <c r="AD961" s="609"/>
      <c r="AE961" s="609"/>
      <c r="AF961" s="609"/>
      <c r="AG961" s="609"/>
      <c r="AH961" s="609"/>
      <c r="AI961" s="609"/>
      <c r="AJ961" s="609"/>
      <c r="AK961" s="609"/>
      <c r="AL961" s="609"/>
      <c r="AM961" s="609"/>
      <c r="AN961" s="609"/>
      <c r="AO961" s="609"/>
      <c r="AP961" s="609"/>
      <c r="AQ961" s="609"/>
    </row>
    <row r="962" spans="25:43" x14ac:dyDescent="0.4">
      <c r="Y962" s="609"/>
      <c r="Z962" s="609"/>
      <c r="AA962" s="609"/>
      <c r="AB962" s="609"/>
      <c r="AC962" s="609"/>
      <c r="AD962" s="609"/>
      <c r="AE962" s="609"/>
      <c r="AF962" s="609"/>
      <c r="AG962" s="609"/>
      <c r="AH962" s="609"/>
      <c r="AI962" s="609"/>
      <c r="AJ962" s="609"/>
      <c r="AK962" s="609"/>
      <c r="AL962" s="609"/>
      <c r="AM962" s="609"/>
      <c r="AN962" s="609"/>
      <c r="AO962" s="609"/>
      <c r="AP962" s="609"/>
      <c r="AQ962" s="609"/>
    </row>
    <row r="963" spans="25:43" x14ac:dyDescent="0.4">
      <c r="Y963" s="609"/>
      <c r="Z963" s="609"/>
      <c r="AA963" s="609"/>
      <c r="AB963" s="609"/>
      <c r="AC963" s="609"/>
      <c r="AD963" s="609"/>
      <c r="AE963" s="609"/>
      <c r="AF963" s="609"/>
      <c r="AG963" s="609"/>
      <c r="AH963" s="609"/>
      <c r="AI963" s="609"/>
      <c r="AJ963" s="609"/>
      <c r="AK963" s="609"/>
      <c r="AL963" s="609"/>
      <c r="AM963" s="609"/>
      <c r="AN963" s="609"/>
      <c r="AO963" s="609"/>
      <c r="AP963" s="609"/>
      <c r="AQ963" s="609"/>
    </row>
    <row r="964" spans="25:43" x14ac:dyDescent="0.4">
      <c r="Y964" s="609"/>
      <c r="Z964" s="609"/>
      <c r="AA964" s="609"/>
      <c r="AB964" s="609"/>
      <c r="AC964" s="609"/>
      <c r="AD964" s="609"/>
      <c r="AE964" s="609"/>
      <c r="AF964" s="609"/>
      <c r="AG964" s="609"/>
      <c r="AH964" s="609"/>
      <c r="AI964" s="609"/>
      <c r="AJ964" s="609"/>
      <c r="AK964" s="609"/>
      <c r="AL964" s="609"/>
      <c r="AM964" s="609"/>
      <c r="AN964" s="609"/>
      <c r="AO964" s="609"/>
      <c r="AP964" s="609"/>
      <c r="AQ964" s="609"/>
    </row>
    <row r="965" spans="25:43" x14ac:dyDescent="0.4">
      <c r="Y965" s="609"/>
      <c r="Z965" s="609"/>
      <c r="AA965" s="609"/>
      <c r="AB965" s="609"/>
      <c r="AC965" s="609"/>
      <c r="AD965" s="609"/>
      <c r="AE965" s="609"/>
      <c r="AF965" s="609"/>
      <c r="AG965" s="609"/>
      <c r="AH965" s="609"/>
      <c r="AI965" s="609"/>
      <c r="AJ965" s="609"/>
      <c r="AK965" s="609"/>
      <c r="AL965" s="609"/>
      <c r="AM965" s="609"/>
      <c r="AN965" s="609"/>
      <c r="AO965" s="609"/>
      <c r="AP965" s="609"/>
      <c r="AQ965" s="609"/>
    </row>
    <row r="966" spans="25:43" x14ac:dyDescent="0.4">
      <c r="Y966" s="609"/>
      <c r="Z966" s="609"/>
      <c r="AA966" s="609"/>
      <c r="AB966" s="609"/>
      <c r="AC966" s="609"/>
      <c r="AD966" s="609"/>
      <c r="AE966" s="609"/>
      <c r="AF966" s="609"/>
      <c r="AG966" s="609"/>
      <c r="AH966" s="609"/>
      <c r="AI966" s="609"/>
      <c r="AJ966" s="609"/>
      <c r="AK966" s="609"/>
      <c r="AL966" s="609"/>
      <c r="AM966" s="609"/>
      <c r="AN966" s="609"/>
      <c r="AO966" s="609"/>
      <c r="AP966" s="609"/>
      <c r="AQ966" s="609"/>
    </row>
    <row r="967" spans="25:43" x14ac:dyDescent="0.4">
      <c r="Y967" s="609"/>
      <c r="Z967" s="609"/>
      <c r="AA967" s="609"/>
      <c r="AB967" s="609"/>
      <c r="AC967" s="609"/>
      <c r="AD967" s="609"/>
      <c r="AE967" s="609"/>
      <c r="AF967" s="609"/>
      <c r="AG967" s="609"/>
      <c r="AH967" s="609"/>
      <c r="AI967" s="609"/>
      <c r="AJ967" s="609"/>
      <c r="AK967" s="609"/>
      <c r="AL967" s="609"/>
      <c r="AM967" s="609"/>
      <c r="AN967" s="609"/>
      <c r="AO967" s="609"/>
      <c r="AP967" s="609"/>
      <c r="AQ967" s="609"/>
    </row>
    <row r="968" spans="25:43" x14ac:dyDescent="0.4">
      <c r="Y968" s="609"/>
      <c r="Z968" s="609"/>
      <c r="AA968" s="609"/>
      <c r="AB968" s="609"/>
      <c r="AC968" s="609"/>
      <c r="AD968" s="609"/>
      <c r="AE968" s="609"/>
      <c r="AF968" s="609"/>
      <c r="AG968" s="609"/>
      <c r="AH968" s="609"/>
      <c r="AI968" s="609"/>
      <c r="AJ968" s="609"/>
      <c r="AK968" s="609"/>
      <c r="AL968" s="609"/>
      <c r="AM968" s="609"/>
      <c r="AN968" s="609"/>
      <c r="AO968" s="609"/>
      <c r="AP968" s="609"/>
      <c r="AQ968" s="609"/>
    </row>
    <row r="969" spans="25:43" x14ac:dyDescent="0.4">
      <c r="Y969" s="609"/>
      <c r="Z969" s="609"/>
      <c r="AA969" s="609"/>
      <c r="AB969" s="609"/>
      <c r="AC969" s="609"/>
      <c r="AD969" s="609"/>
      <c r="AE969" s="609"/>
      <c r="AF969" s="609"/>
      <c r="AG969" s="609"/>
      <c r="AH969" s="609"/>
      <c r="AI969" s="609"/>
      <c r="AJ969" s="609"/>
      <c r="AK969" s="609"/>
      <c r="AL969" s="609"/>
      <c r="AM969" s="609"/>
      <c r="AN969" s="609"/>
      <c r="AO969" s="609"/>
      <c r="AP969" s="609"/>
      <c r="AQ969" s="609"/>
    </row>
    <row r="970" spans="25:43" x14ac:dyDescent="0.4">
      <c r="Y970" s="609"/>
      <c r="Z970" s="609"/>
      <c r="AA970" s="609"/>
      <c r="AB970" s="609"/>
      <c r="AC970" s="609"/>
      <c r="AD970" s="609"/>
      <c r="AE970" s="609"/>
      <c r="AF970" s="609"/>
      <c r="AG970" s="609"/>
      <c r="AH970" s="609"/>
      <c r="AI970" s="609"/>
      <c r="AJ970" s="609"/>
      <c r="AK970" s="609"/>
      <c r="AL970" s="609"/>
      <c r="AM970" s="609"/>
      <c r="AN970" s="609"/>
      <c r="AO970" s="609"/>
      <c r="AP970" s="609"/>
      <c r="AQ970" s="609"/>
    </row>
    <row r="971" spans="25:43" x14ac:dyDescent="0.4">
      <c r="Y971" s="609"/>
      <c r="Z971" s="609"/>
      <c r="AA971" s="609"/>
      <c r="AB971" s="609"/>
      <c r="AC971" s="609"/>
      <c r="AD971" s="609"/>
      <c r="AE971" s="609"/>
      <c r="AF971" s="609"/>
      <c r="AG971" s="609"/>
      <c r="AH971" s="609"/>
      <c r="AI971" s="609"/>
      <c r="AJ971" s="609"/>
      <c r="AK971" s="609"/>
      <c r="AL971" s="609"/>
      <c r="AM971" s="609"/>
      <c r="AN971" s="609"/>
      <c r="AO971" s="609"/>
      <c r="AP971" s="609"/>
      <c r="AQ971" s="609"/>
    </row>
    <row r="972" spans="25:43" x14ac:dyDescent="0.4">
      <c r="Y972" s="609"/>
      <c r="Z972" s="609"/>
      <c r="AA972" s="609"/>
      <c r="AB972" s="609"/>
      <c r="AC972" s="609"/>
      <c r="AD972" s="609"/>
      <c r="AE972" s="609"/>
      <c r="AF972" s="609"/>
      <c r="AG972" s="609"/>
      <c r="AH972" s="609"/>
      <c r="AI972" s="609"/>
      <c r="AJ972" s="609"/>
      <c r="AK972" s="609"/>
      <c r="AL972" s="609"/>
      <c r="AM972" s="609"/>
      <c r="AN972" s="609"/>
      <c r="AO972" s="609"/>
      <c r="AP972" s="609"/>
      <c r="AQ972" s="609"/>
    </row>
    <row r="973" spans="25:43" x14ac:dyDescent="0.4">
      <c r="Y973" s="609"/>
      <c r="Z973" s="609"/>
      <c r="AA973" s="609"/>
      <c r="AB973" s="609"/>
      <c r="AC973" s="609"/>
      <c r="AD973" s="609"/>
      <c r="AE973" s="609"/>
      <c r="AF973" s="609"/>
      <c r="AG973" s="609"/>
      <c r="AH973" s="609"/>
      <c r="AI973" s="609"/>
      <c r="AJ973" s="609"/>
      <c r="AK973" s="609"/>
      <c r="AL973" s="609"/>
      <c r="AM973" s="609"/>
      <c r="AN973" s="609"/>
      <c r="AO973" s="609"/>
      <c r="AP973" s="609"/>
      <c r="AQ973" s="609"/>
    </row>
    <row r="974" spans="25:43" x14ac:dyDescent="0.4">
      <c r="Y974" s="609"/>
      <c r="Z974" s="609"/>
      <c r="AA974" s="609"/>
      <c r="AB974" s="609"/>
      <c r="AC974" s="609"/>
      <c r="AD974" s="609"/>
      <c r="AE974" s="609"/>
      <c r="AF974" s="609"/>
      <c r="AG974" s="609"/>
      <c r="AH974" s="609"/>
      <c r="AI974" s="609"/>
      <c r="AJ974" s="609"/>
      <c r="AK974" s="609"/>
      <c r="AL974" s="609"/>
      <c r="AM974" s="609"/>
      <c r="AN974" s="609"/>
      <c r="AO974" s="609"/>
      <c r="AP974" s="609"/>
      <c r="AQ974" s="609"/>
    </row>
    <row r="975" spans="25:43" x14ac:dyDescent="0.4">
      <c r="Y975" s="609"/>
      <c r="Z975" s="609"/>
      <c r="AA975" s="609"/>
      <c r="AB975" s="609"/>
      <c r="AC975" s="609"/>
      <c r="AD975" s="609"/>
      <c r="AE975" s="609"/>
      <c r="AF975" s="609"/>
      <c r="AG975" s="609"/>
      <c r="AH975" s="609"/>
      <c r="AI975" s="609"/>
      <c r="AJ975" s="609"/>
      <c r="AK975" s="609"/>
      <c r="AL975" s="609"/>
      <c r="AM975" s="609"/>
      <c r="AN975" s="609"/>
      <c r="AO975" s="609"/>
      <c r="AP975" s="609"/>
      <c r="AQ975" s="609"/>
    </row>
    <row r="976" spans="25:43" x14ac:dyDescent="0.4">
      <c r="Y976" s="609"/>
      <c r="Z976" s="609"/>
      <c r="AA976" s="609"/>
      <c r="AB976" s="609"/>
      <c r="AC976" s="609"/>
      <c r="AD976" s="609"/>
      <c r="AE976" s="609"/>
      <c r="AF976" s="609"/>
      <c r="AG976" s="609"/>
      <c r="AH976" s="609"/>
      <c r="AI976" s="609"/>
      <c r="AJ976" s="609"/>
      <c r="AK976" s="609"/>
      <c r="AL976" s="609"/>
      <c r="AM976" s="609"/>
      <c r="AN976" s="609"/>
      <c r="AO976" s="609"/>
      <c r="AP976" s="609"/>
      <c r="AQ976" s="609"/>
    </row>
    <row r="977" spans="25:43" x14ac:dyDescent="0.4">
      <c r="Y977" s="609"/>
      <c r="Z977" s="609"/>
      <c r="AA977" s="609"/>
      <c r="AB977" s="609"/>
      <c r="AC977" s="609"/>
      <c r="AD977" s="609"/>
      <c r="AE977" s="609"/>
      <c r="AF977" s="609"/>
      <c r="AG977" s="609"/>
      <c r="AH977" s="609"/>
      <c r="AI977" s="609"/>
      <c r="AJ977" s="609"/>
      <c r="AK977" s="609"/>
      <c r="AL977" s="609"/>
      <c r="AM977" s="609"/>
      <c r="AN977" s="609"/>
      <c r="AO977" s="609"/>
      <c r="AP977" s="609"/>
      <c r="AQ977" s="609"/>
    </row>
    <row r="978" spans="25:43" x14ac:dyDescent="0.4">
      <c r="Y978" s="609"/>
      <c r="Z978" s="609"/>
      <c r="AA978" s="609"/>
      <c r="AB978" s="609"/>
      <c r="AC978" s="609"/>
      <c r="AD978" s="609"/>
      <c r="AE978" s="609"/>
      <c r="AF978" s="609"/>
      <c r="AG978" s="609"/>
      <c r="AH978" s="609"/>
      <c r="AI978" s="609"/>
      <c r="AJ978" s="609"/>
      <c r="AK978" s="609"/>
      <c r="AL978" s="609"/>
      <c r="AM978" s="609"/>
      <c r="AN978" s="609"/>
      <c r="AO978" s="609"/>
      <c r="AP978" s="609"/>
      <c r="AQ978" s="609"/>
    </row>
    <row r="979" spans="25:43" x14ac:dyDescent="0.4">
      <c r="Y979" s="609"/>
      <c r="Z979" s="609"/>
      <c r="AA979" s="609"/>
      <c r="AB979" s="609"/>
      <c r="AC979" s="609"/>
      <c r="AD979" s="609"/>
      <c r="AE979" s="609"/>
      <c r="AF979" s="609"/>
      <c r="AG979" s="609"/>
      <c r="AH979" s="609"/>
      <c r="AI979" s="609"/>
      <c r="AJ979" s="609"/>
      <c r="AK979" s="609"/>
      <c r="AL979" s="609"/>
      <c r="AM979" s="609"/>
      <c r="AN979" s="609"/>
      <c r="AO979" s="609"/>
      <c r="AP979" s="609"/>
      <c r="AQ979" s="609"/>
    </row>
    <row r="980" spans="25:43" x14ac:dyDescent="0.4">
      <c r="Y980" s="609"/>
      <c r="Z980" s="609"/>
      <c r="AA980" s="609"/>
      <c r="AB980" s="609"/>
      <c r="AC980" s="609"/>
      <c r="AD980" s="609"/>
      <c r="AE980" s="609"/>
      <c r="AF980" s="609"/>
      <c r="AG980" s="609"/>
      <c r="AH980" s="609"/>
      <c r="AI980" s="609"/>
      <c r="AJ980" s="609"/>
      <c r="AK980" s="609"/>
      <c r="AL980" s="609"/>
      <c r="AM980" s="609"/>
      <c r="AN980" s="609"/>
      <c r="AO980" s="609"/>
      <c r="AP980" s="609"/>
      <c r="AQ980" s="609"/>
    </row>
    <row r="981" spans="25:43" x14ac:dyDescent="0.4">
      <c r="Y981" s="609"/>
      <c r="Z981" s="609"/>
      <c r="AA981" s="609"/>
      <c r="AB981" s="609"/>
      <c r="AC981" s="609"/>
      <c r="AD981" s="609"/>
      <c r="AE981" s="609"/>
      <c r="AF981" s="609"/>
      <c r="AG981" s="609"/>
      <c r="AH981" s="609"/>
      <c r="AI981" s="609"/>
      <c r="AJ981" s="609"/>
      <c r="AK981" s="609"/>
      <c r="AL981" s="609"/>
      <c r="AM981" s="609"/>
      <c r="AN981" s="609"/>
      <c r="AO981" s="609"/>
      <c r="AP981" s="609"/>
      <c r="AQ981" s="609"/>
    </row>
    <row r="982" spans="25:43" x14ac:dyDescent="0.4">
      <c r="Y982" s="609"/>
      <c r="Z982" s="609"/>
      <c r="AA982" s="609"/>
      <c r="AB982" s="609"/>
      <c r="AC982" s="609"/>
      <c r="AD982" s="609"/>
      <c r="AE982" s="609"/>
      <c r="AF982" s="609"/>
      <c r="AG982" s="609"/>
      <c r="AH982" s="609"/>
      <c r="AI982" s="609"/>
      <c r="AJ982" s="609"/>
      <c r="AK982" s="609"/>
      <c r="AL982" s="609"/>
      <c r="AM982" s="609"/>
      <c r="AN982" s="609"/>
      <c r="AO982" s="609"/>
      <c r="AP982" s="609"/>
      <c r="AQ982" s="609"/>
    </row>
    <row r="983" spans="25:43" x14ac:dyDescent="0.4">
      <c r="Y983" s="609"/>
      <c r="Z983" s="609"/>
      <c r="AA983" s="609"/>
      <c r="AB983" s="609"/>
      <c r="AC983" s="609"/>
      <c r="AD983" s="609"/>
      <c r="AE983" s="609"/>
      <c r="AF983" s="609"/>
      <c r="AG983" s="609"/>
      <c r="AH983" s="609"/>
      <c r="AI983" s="609"/>
      <c r="AJ983" s="609"/>
      <c r="AK983" s="609"/>
      <c r="AL983" s="609"/>
      <c r="AM983" s="609"/>
      <c r="AN983" s="609"/>
      <c r="AO983" s="609"/>
      <c r="AP983" s="609"/>
      <c r="AQ983" s="609"/>
    </row>
    <row r="984" spans="25:43" x14ac:dyDescent="0.4">
      <c r="Y984" s="609"/>
      <c r="Z984" s="609"/>
      <c r="AA984" s="609"/>
      <c r="AB984" s="609"/>
      <c r="AC984" s="609"/>
      <c r="AD984" s="609"/>
      <c r="AE984" s="609"/>
      <c r="AF984" s="609"/>
      <c r="AG984" s="609"/>
      <c r="AH984" s="609"/>
      <c r="AI984" s="609"/>
      <c r="AJ984" s="609"/>
      <c r="AK984" s="609"/>
      <c r="AL984" s="609"/>
      <c r="AM984" s="609"/>
      <c r="AN984" s="609"/>
      <c r="AO984" s="609"/>
      <c r="AP984" s="609"/>
      <c r="AQ984" s="609"/>
    </row>
    <row r="985" spans="25:43" x14ac:dyDescent="0.4">
      <c r="Y985" s="609"/>
      <c r="Z985" s="609"/>
      <c r="AA985" s="609"/>
      <c r="AB985" s="609"/>
      <c r="AC985" s="609"/>
      <c r="AD985" s="609"/>
      <c r="AE985" s="609"/>
      <c r="AF985" s="609"/>
      <c r="AG985" s="609"/>
      <c r="AH985" s="609"/>
      <c r="AI985" s="609"/>
      <c r="AJ985" s="609"/>
      <c r="AK985" s="609"/>
      <c r="AL985" s="609"/>
      <c r="AM985" s="609"/>
      <c r="AN985" s="609"/>
      <c r="AO985" s="609"/>
      <c r="AP985" s="609"/>
      <c r="AQ985" s="609"/>
    </row>
    <row r="986" spans="25:43" x14ac:dyDescent="0.4">
      <c r="Y986" s="609"/>
      <c r="Z986" s="609"/>
      <c r="AA986" s="609"/>
      <c r="AB986" s="609"/>
      <c r="AC986" s="609"/>
      <c r="AD986" s="609"/>
      <c r="AE986" s="609"/>
      <c r="AF986" s="609"/>
      <c r="AG986" s="609"/>
      <c r="AH986" s="609"/>
      <c r="AI986" s="609"/>
      <c r="AJ986" s="609"/>
      <c r="AK986" s="609"/>
      <c r="AL986" s="609"/>
      <c r="AM986" s="609"/>
      <c r="AN986" s="609"/>
      <c r="AO986" s="609"/>
      <c r="AP986" s="609"/>
      <c r="AQ986" s="609"/>
    </row>
    <row r="987" spans="25:43" x14ac:dyDescent="0.4">
      <c r="Y987" s="609"/>
      <c r="Z987" s="609"/>
      <c r="AA987" s="609"/>
      <c r="AB987" s="609"/>
      <c r="AC987" s="609"/>
      <c r="AD987" s="609"/>
      <c r="AE987" s="609"/>
      <c r="AF987" s="609"/>
      <c r="AG987" s="609"/>
      <c r="AH987" s="609"/>
      <c r="AI987" s="609"/>
      <c r="AJ987" s="609"/>
      <c r="AK987" s="609"/>
      <c r="AL987" s="609"/>
      <c r="AM987" s="609"/>
      <c r="AN987" s="609"/>
      <c r="AO987" s="609"/>
      <c r="AP987" s="609"/>
      <c r="AQ987" s="609"/>
    </row>
    <row r="988" spans="25:43" x14ac:dyDescent="0.4">
      <c r="Y988" s="609"/>
      <c r="Z988" s="609"/>
      <c r="AA988" s="609"/>
      <c r="AB988" s="609"/>
      <c r="AC988" s="609"/>
      <c r="AD988" s="609"/>
      <c r="AE988" s="609"/>
      <c r="AF988" s="609"/>
      <c r="AG988" s="609"/>
      <c r="AH988" s="609"/>
      <c r="AI988" s="609"/>
      <c r="AJ988" s="609"/>
      <c r="AK988" s="609"/>
      <c r="AL988" s="609"/>
      <c r="AM988" s="609"/>
      <c r="AN988" s="609"/>
      <c r="AO988" s="609"/>
      <c r="AP988" s="609"/>
      <c r="AQ988" s="609"/>
    </row>
    <row r="989" spans="25:43" x14ac:dyDescent="0.4">
      <c r="Y989" s="609"/>
      <c r="Z989" s="609"/>
      <c r="AA989" s="609"/>
      <c r="AB989" s="609"/>
      <c r="AC989" s="609"/>
      <c r="AD989" s="609"/>
      <c r="AE989" s="609"/>
      <c r="AF989" s="609"/>
      <c r="AG989" s="609"/>
      <c r="AH989" s="609"/>
      <c r="AI989" s="609"/>
      <c r="AJ989" s="609"/>
      <c r="AK989" s="609"/>
      <c r="AL989" s="609"/>
      <c r="AM989" s="609"/>
      <c r="AN989" s="609"/>
      <c r="AO989" s="609"/>
      <c r="AP989" s="609"/>
      <c r="AQ989" s="609"/>
    </row>
    <row r="990" spans="25:43" x14ac:dyDescent="0.4">
      <c r="Y990" s="609"/>
      <c r="Z990" s="609"/>
      <c r="AA990" s="609"/>
      <c r="AB990" s="609"/>
      <c r="AC990" s="609"/>
      <c r="AD990" s="609"/>
      <c r="AE990" s="609"/>
      <c r="AF990" s="609"/>
      <c r="AG990" s="609"/>
      <c r="AH990" s="609"/>
      <c r="AI990" s="609"/>
      <c r="AJ990" s="609"/>
      <c r="AK990" s="609"/>
      <c r="AL990" s="609"/>
      <c r="AM990" s="609"/>
      <c r="AN990" s="609"/>
      <c r="AO990" s="609"/>
      <c r="AP990" s="609"/>
      <c r="AQ990" s="609"/>
    </row>
    <row r="991" spans="25:43" x14ac:dyDescent="0.4">
      <c r="Y991" s="609"/>
      <c r="Z991" s="609"/>
      <c r="AA991" s="609"/>
      <c r="AB991" s="609"/>
      <c r="AC991" s="609"/>
      <c r="AD991" s="609"/>
      <c r="AE991" s="609"/>
      <c r="AF991" s="609"/>
      <c r="AG991" s="609"/>
      <c r="AH991" s="609"/>
      <c r="AI991" s="609"/>
      <c r="AJ991" s="609"/>
      <c r="AK991" s="609"/>
      <c r="AL991" s="609"/>
      <c r="AM991" s="609"/>
      <c r="AN991" s="609"/>
      <c r="AO991" s="609"/>
      <c r="AP991" s="609"/>
      <c r="AQ991" s="609"/>
    </row>
    <row r="992" spans="25:43" x14ac:dyDescent="0.4">
      <c r="Y992" s="609"/>
      <c r="Z992" s="609"/>
      <c r="AA992" s="609"/>
      <c r="AB992" s="609"/>
      <c r="AC992" s="609"/>
      <c r="AD992" s="609"/>
      <c r="AE992" s="609"/>
      <c r="AF992" s="609"/>
      <c r="AG992" s="609"/>
      <c r="AH992" s="609"/>
      <c r="AI992" s="609"/>
      <c r="AJ992" s="609"/>
      <c r="AK992" s="609"/>
      <c r="AL992" s="609"/>
      <c r="AM992" s="609"/>
      <c r="AN992" s="609"/>
      <c r="AO992" s="609"/>
      <c r="AP992" s="609"/>
      <c r="AQ992" s="609"/>
    </row>
    <row r="993" spans="25:43" x14ac:dyDescent="0.4">
      <c r="Y993" s="609"/>
      <c r="Z993" s="609"/>
      <c r="AA993" s="609"/>
      <c r="AB993" s="609"/>
      <c r="AC993" s="609"/>
      <c r="AD993" s="609"/>
      <c r="AE993" s="609"/>
      <c r="AF993" s="609"/>
      <c r="AG993" s="609"/>
      <c r="AH993" s="609"/>
      <c r="AI993" s="609"/>
      <c r="AJ993" s="609"/>
      <c r="AK993" s="609"/>
      <c r="AL993" s="609"/>
      <c r="AM993" s="609"/>
      <c r="AN993" s="609"/>
      <c r="AO993" s="609"/>
      <c r="AP993" s="609"/>
      <c r="AQ993" s="609"/>
    </row>
    <row r="994" spans="25:43" x14ac:dyDescent="0.4">
      <c r="Y994" s="609"/>
      <c r="Z994" s="609"/>
      <c r="AA994" s="609"/>
      <c r="AB994" s="609"/>
      <c r="AC994" s="609"/>
      <c r="AD994" s="609"/>
      <c r="AE994" s="609"/>
      <c r="AF994" s="609"/>
      <c r="AG994" s="609"/>
      <c r="AH994" s="609"/>
      <c r="AI994" s="609"/>
      <c r="AJ994" s="609"/>
      <c r="AK994" s="609"/>
      <c r="AL994" s="609"/>
      <c r="AM994" s="609"/>
      <c r="AN994" s="609"/>
      <c r="AO994" s="609"/>
      <c r="AP994" s="609"/>
      <c r="AQ994" s="609"/>
    </row>
    <row r="995" spans="25:43" x14ac:dyDescent="0.4">
      <c r="Y995" s="609"/>
      <c r="Z995" s="609"/>
      <c r="AA995" s="609"/>
      <c r="AB995" s="609"/>
      <c r="AC995" s="609"/>
      <c r="AD995" s="609"/>
      <c r="AE995" s="609"/>
      <c r="AF995" s="609"/>
      <c r="AG995" s="609"/>
      <c r="AH995" s="609"/>
      <c r="AI995" s="609"/>
      <c r="AJ995" s="609"/>
      <c r="AK995" s="609"/>
      <c r="AL995" s="609"/>
      <c r="AM995" s="609"/>
      <c r="AN995" s="609"/>
      <c r="AO995" s="609"/>
      <c r="AP995" s="609"/>
      <c r="AQ995" s="609"/>
    </row>
    <row r="996" spans="25:43" x14ac:dyDescent="0.4">
      <c r="Y996" s="609"/>
      <c r="Z996" s="609"/>
      <c r="AA996" s="609"/>
      <c r="AB996" s="609"/>
      <c r="AC996" s="609"/>
      <c r="AD996" s="609"/>
      <c r="AE996" s="609"/>
      <c r="AF996" s="609"/>
      <c r="AG996" s="609"/>
      <c r="AH996" s="609"/>
      <c r="AI996" s="609"/>
      <c r="AJ996" s="609"/>
      <c r="AK996" s="609"/>
      <c r="AL996" s="609"/>
      <c r="AM996" s="609"/>
      <c r="AN996" s="609"/>
      <c r="AO996" s="609"/>
      <c r="AP996" s="609"/>
      <c r="AQ996" s="609"/>
    </row>
    <row r="997" spans="25:43" x14ac:dyDescent="0.4">
      <c r="Y997" s="609"/>
      <c r="Z997" s="609"/>
      <c r="AA997" s="609"/>
      <c r="AB997" s="609"/>
      <c r="AC997" s="609"/>
      <c r="AD997" s="609"/>
      <c r="AE997" s="609"/>
      <c r="AF997" s="609"/>
      <c r="AG997" s="609"/>
      <c r="AH997" s="609"/>
      <c r="AI997" s="609"/>
      <c r="AJ997" s="609"/>
      <c r="AK997" s="609"/>
      <c r="AL997" s="609"/>
      <c r="AM997" s="609"/>
      <c r="AN997" s="609"/>
      <c r="AO997" s="609"/>
      <c r="AP997" s="609"/>
      <c r="AQ997" s="609"/>
    </row>
    <row r="998" spans="25:43" x14ac:dyDescent="0.4">
      <c r="Y998" s="609"/>
      <c r="Z998" s="609"/>
      <c r="AA998" s="609"/>
      <c r="AB998" s="609"/>
      <c r="AC998" s="609"/>
      <c r="AD998" s="609"/>
      <c r="AE998" s="609"/>
      <c r="AF998" s="609"/>
      <c r="AG998" s="609"/>
      <c r="AH998" s="609"/>
      <c r="AI998" s="609"/>
      <c r="AJ998" s="609"/>
      <c r="AK998" s="609"/>
      <c r="AL998" s="609"/>
      <c r="AM998" s="609"/>
      <c r="AN998" s="609"/>
      <c r="AO998" s="609"/>
      <c r="AP998" s="609"/>
      <c r="AQ998" s="609"/>
    </row>
    <row r="999" spans="25:43" x14ac:dyDescent="0.4">
      <c r="Y999" s="609"/>
      <c r="Z999" s="609"/>
      <c r="AA999" s="609"/>
      <c r="AB999" s="609"/>
      <c r="AC999" s="609"/>
      <c r="AD999" s="609"/>
      <c r="AE999" s="609"/>
      <c r="AF999" s="609"/>
      <c r="AG999" s="609"/>
      <c r="AH999" s="609"/>
      <c r="AI999" s="609"/>
      <c r="AJ999" s="609"/>
      <c r="AK999" s="609"/>
      <c r="AL999" s="609"/>
      <c r="AM999" s="609"/>
      <c r="AN999" s="609"/>
      <c r="AO999" s="609"/>
      <c r="AP999" s="609"/>
      <c r="AQ999" s="609"/>
    </row>
    <row r="1000" spans="25:43" x14ac:dyDescent="0.4">
      <c r="Y1000" s="609"/>
      <c r="Z1000" s="609"/>
      <c r="AA1000" s="609"/>
      <c r="AB1000" s="609"/>
      <c r="AC1000" s="609"/>
      <c r="AD1000" s="609"/>
      <c r="AE1000" s="609"/>
      <c r="AF1000" s="609"/>
      <c r="AG1000" s="609"/>
      <c r="AH1000" s="609"/>
      <c r="AI1000" s="609"/>
      <c r="AJ1000" s="609"/>
      <c r="AK1000" s="609"/>
      <c r="AL1000" s="609"/>
      <c r="AM1000" s="609"/>
      <c r="AN1000" s="609"/>
      <c r="AO1000" s="609"/>
      <c r="AP1000" s="609"/>
      <c r="AQ1000" s="609"/>
    </row>
    <row r="1001" spans="25:43" x14ac:dyDescent="0.4">
      <c r="Y1001" s="609"/>
      <c r="Z1001" s="609"/>
      <c r="AA1001" s="609"/>
      <c r="AB1001" s="609"/>
      <c r="AC1001" s="609"/>
      <c r="AD1001" s="609"/>
      <c r="AE1001" s="609"/>
      <c r="AF1001" s="609"/>
      <c r="AG1001" s="609"/>
      <c r="AH1001" s="609"/>
      <c r="AI1001" s="609"/>
      <c r="AJ1001" s="609"/>
      <c r="AK1001" s="609"/>
      <c r="AL1001" s="609"/>
      <c r="AM1001" s="609"/>
      <c r="AN1001" s="609"/>
      <c r="AO1001" s="609"/>
      <c r="AP1001" s="609"/>
      <c r="AQ1001" s="609"/>
    </row>
    <row r="1002" spans="25:43" x14ac:dyDescent="0.4">
      <c r="Y1002" s="609"/>
      <c r="Z1002" s="609"/>
      <c r="AA1002" s="609"/>
      <c r="AB1002" s="609"/>
      <c r="AC1002" s="609"/>
      <c r="AD1002" s="609"/>
      <c r="AE1002" s="609"/>
      <c r="AF1002" s="609"/>
      <c r="AG1002" s="609"/>
      <c r="AH1002" s="609"/>
      <c r="AI1002" s="609"/>
      <c r="AJ1002" s="609"/>
      <c r="AK1002" s="609"/>
      <c r="AL1002" s="609"/>
      <c r="AM1002" s="609"/>
      <c r="AN1002" s="609"/>
      <c r="AO1002" s="609"/>
      <c r="AP1002" s="609"/>
      <c r="AQ1002" s="609"/>
    </row>
    <row r="1003" spans="25:43" x14ac:dyDescent="0.4">
      <c r="Y1003" s="609"/>
      <c r="Z1003" s="609"/>
      <c r="AA1003" s="609"/>
      <c r="AB1003" s="609"/>
      <c r="AC1003" s="609"/>
      <c r="AD1003" s="609"/>
      <c r="AE1003" s="609"/>
      <c r="AF1003" s="609"/>
      <c r="AG1003" s="609"/>
      <c r="AH1003" s="609"/>
      <c r="AI1003" s="609"/>
      <c r="AJ1003" s="609"/>
      <c r="AK1003" s="609"/>
      <c r="AL1003" s="609"/>
      <c r="AM1003" s="609"/>
      <c r="AN1003" s="609"/>
      <c r="AO1003" s="609"/>
      <c r="AP1003" s="609"/>
      <c r="AQ1003" s="609"/>
    </row>
    <row r="1004" spans="25:43" x14ac:dyDescent="0.4">
      <c r="Y1004" s="609"/>
      <c r="Z1004" s="609"/>
      <c r="AA1004" s="609"/>
      <c r="AB1004" s="609"/>
      <c r="AC1004" s="609"/>
      <c r="AD1004" s="609"/>
      <c r="AE1004" s="609"/>
      <c r="AF1004" s="609"/>
      <c r="AG1004" s="609"/>
      <c r="AH1004" s="609"/>
      <c r="AI1004" s="609"/>
      <c r="AJ1004" s="609"/>
      <c r="AK1004" s="609"/>
      <c r="AL1004" s="609"/>
      <c r="AM1004" s="609"/>
      <c r="AN1004" s="609"/>
      <c r="AO1004" s="609"/>
      <c r="AP1004" s="609"/>
      <c r="AQ1004" s="609"/>
    </row>
    <row r="1005" spans="25:43" x14ac:dyDescent="0.4">
      <c r="Y1005" s="609"/>
      <c r="Z1005" s="609"/>
      <c r="AA1005" s="609"/>
      <c r="AB1005" s="609"/>
      <c r="AC1005" s="609"/>
      <c r="AD1005" s="609"/>
      <c r="AE1005" s="609"/>
      <c r="AF1005" s="609"/>
      <c r="AG1005" s="609"/>
      <c r="AH1005" s="609"/>
      <c r="AI1005" s="609"/>
      <c r="AJ1005" s="609"/>
      <c r="AK1005" s="609"/>
      <c r="AL1005" s="609"/>
      <c r="AM1005" s="609"/>
      <c r="AN1005" s="609"/>
      <c r="AO1005" s="609"/>
      <c r="AP1005" s="609"/>
      <c r="AQ1005" s="609"/>
    </row>
    <row r="1006" spans="25:43" x14ac:dyDescent="0.4">
      <c r="Y1006" s="609"/>
      <c r="Z1006" s="609"/>
      <c r="AA1006" s="609"/>
      <c r="AB1006" s="609"/>
      <c r="AC1006" s="609"/>
      <c r="AD1006" s="609"/>
      <c r="AE1006" s="609"/>
      <c r="AF1006" s="609"/>
      <c r="AG1006" s="609"/>
      <c r="AH1006" s="609"/>
      <c r="AI1006" s="609"/>
      <c r="AJ1006" s="609"/>
      <c r="AK1006" s="609"/>
      <c r="AL1006" s="609"/>
      <c r="AM1006" s="609"/>
      <c r="AN1006" s="609"/>
      <c r="AO1006" s="609"/>
      <c r="AP1006" s="609"/>
      <c r="AQ1006" s="609"/>
    </row>
    <row r="1007" spans="25:43" x14ac:dyDescent="0.4">
      <c r="Y1007" s="609"/>
      <c r="Z1007" s="609"/>
      <c r="AA1007" s="609"/>
      <c r="AB1007" s="609"/>
      <c r="AC1007" s="609"/>
      <c r="AD1007" s="609"/>
      <c r="AE1007" s="609"/>
      <c r="AF1007" s="609"/>
      <c r="AG1007" s="609"/>
      <c r="AH1007" s="609"/>
      <c r="AI1007" s="609"/>
      <c r="AJ1007" s="609"/>
      <c r="AK1007" s="609"/>
      <c r="AL1007" s="609"/>
      <c r="AM1007" s="609"/>
      <c r="AN1007" s="609"/>
      <c r="AO1007" s="609"/>
      <c r="AP1007" s="609"/>
      <c r="AQ1007" s="609"/>
    </row>
    <row r="1008" spans="25:43" x14ac:dyDescent="0.4">
      <c r="Y1008" s="609"/>
      <c r="Z1008" s="609"/>
      <c r="AA1008" s="609"/>
      <c r="AB1008" s="609"/>
      <c r="AC1008" s="609"/>
      <c r="AD1008" s="609"/>
      <c r="AE1008" s="609"/>
      <c r="AF1008" s="609"/>
      <c r="AG1008" s="609"/>
      <c r="AH1008" s="609"/>
      <c r="AI1008" s="609"/>
      <c r="AJ1008" s="609"/>
      <c r="AK1008" s="609"/>
      <c r="AL1008" s="609"/>
      <c r="AM1008" s="609"/>
      <c r="AN1008" s="609"/>
      <c r="AO1008" s="609"/>
      <c r="AP1008" s="609"/>
      <c r="AQ1008" s="609"/>
    </row>
    <row r="1009" spans="25:43" x14ac:dyDescent="0.4">
      <c r="Y1009" s="609"/>
      <c r="Z1009" s="609"/>
      <c r="AA1009" s="609"/>
      <c r="AB1009" s="609"/>
      <c r="AC1009" s="609"/>
      <c r="AD1009" s="609"/>
      <c r="AE1009" s="609"/>
      <c r="AF1009" s="609"/>
      <c r="AG1009" s="609"/>
      <c r="AH1009" s="609"/>
      <c r="AI1009" s="609"/>
      <c r="AJ1009" s="609"/>
      <c r="AK1009" s="609"/>
      <c r="AL1009" s="609"/>
      <c r="AM1009" s="609"/>
      <c r="AN1009" s="609"/>
      <c r="AO1009" s="609"/>
      <c r="AP1009" s="609"/>
      <c r="AQ1009" s="609"/>
    </row>
    <row r="1010" spans="25:43" x14ac:dyDescent="0.4">
      <c r="Y1010" s="609"/>
      <c r="Z1010" s="609"/>
      <c r="AA1010" s="609"/>
      <c r="AB1010" s="609"/>
      <c r="AC1010" s="609"/>
      <c r="AD1010" s="609"/>
      <c r="AE1010" s="609"/>
      <c r="AF1010" s="609"/>
      <c r="AG1010" s="609"/>
      <c r="AH1010" s="609"/>
      <c r="AI1010" s="609"/>
      <c r="AJ1010" s="609"/>
      <c r="AK1010" s="609"/>
      <c r="AL1010" s="609"/>
      <c r="AM1010" s="609"/>
      <c r="AN1010" s="609"/>
      <c r="AO1010" s="609"/>
      <c r="AP1010" s="609"/>
      <c r="AQ1010" s="609"/>
    </row>
    <row r="1011" spans="25:43" x14ac:dyDescent="0.4">
      <c r="Y1011" s="609"/>
      <c r="Z1011" s="609"/>
      <c r="AA1011" s="609"/>
      <c r="AB1011" s="609"/>
      <c r="AC1011" s="609"/>
      <c r="AD1011" s="609"/>
      <c r="AE1011" s="609"/>
      <c r="AF1011" s="609"/>
      <c r="AG1011" s="609"/>
      <c r="AH1011" s="609"/>
      <c r="AI1011" s="609"/>
      <c r="AJ1011" s="609"/>
      <c r="AK1011" s="609"/>
      <c r="AL1011" s="609"/>
      <c r="AM1011" s="609"/>
      <c r="AN1011" s="609"/>
      <c r="AO1011" s="609"/>
      <c r="AP1011" s="609"/>
      <c r="AQ1011" s="609"/>
    </row>
    <row r="1012" spans="25:43" x14ac:dyDescent="0.4">
      <c r="Y1012" s="609"/>
      <c r="Z1012" s="609"/>
      <c r="AA1012" s="609"/>
      <c r="AB1012" s="609"/>
      <c r="AC1012" s="609"/>
      <c r="AD1012" s="609"/>
      <c r="AE1012" s="609"/>
      <c r="AF1012" s="609"/>
      <c r="AG1012" s="609"/>
      <c r="AH1012" s="609"/>
      <c r="AI1012" s="609"/>
      <c r="AJ1012" s="609"/>
      <c r="AK1012" s="609"/>
      <c r="AL1012" s="609"/>
      <c r="AM1012" s="609"/>
      <c r="AN1012" s="609"/>
      <c r="AO1012" s="609"/>
      <c r="AP1012" s="609"/>
      <c r="AQ1012" s="609"/>
    </row>
    <row r="1013" spans="25:43" x14ac:dyDescent="0.4">
      <c r="Y1013" s="609"/>
      <c r="Z1013" s="609"/>
      <c r="AA1013" s="609"/>
      <c r="AB1013" s="609"/>
      <c r="AC1013" s="609"/>
      <c r="AD1013" s="609"/>
      <c r="AE1013" s="609"/>
      <c r="AF1013" s="609"/>
      <c r="AG1013" s="609"/>
      <c r="AH1013" s="609"/>
      <c r="AI1013" s="609"/>
      <c r="AJ1013" s="609"/>
      <c r="AK1013" s="609"/>
      <c r="AL1013" s="609"/>
      <c r="AM1013" s="609"/>
      <c r="AN1013" s="609"/>
      <c r="AO1013" s="609"/>
      <c r="AP1013" s="609"/>
      <c r="AQ1013" s="609"/>
    </row>
    <row r="1014" spans="25:43" x14ac:dyDescent="0.4">
      <c r="Y1014" s="609"/>
      <c r="Z1014" s="609"/>
      <c r="AA1014" s="609"/>
      <c r="AB1014" s="609"/>
      <c r="AC1014" s="609"/>
      <c r="AD1014" s="609"/>
      <c r="AE1014" s="609"/>
      <c r="AF1014" s="609"/>
      <c r="AG1014" s="609"/>
      <c r="AH1014" s="609"/>
      <c r="AI1014" s="609"/>
      <c r="AJ1014" s="609"/>
      <c r="AK1014" s="609"/>
      <c r="AL1014" s="609"/>
      <c r="AM1014" s="609"/>
      <c r="AN1014" s="609"/>
      <c r="AO1014" s="609"/>
      <c r="AP1014" s="609"/>
      <c r="AQ1014" s="609"/>
    </row>
    <row r="1015" spans="25:43" x14ac:dyDescent="0.4">
      <c r="Y1015" s="609"/>
      <c r="Z1015" s="609"/>
      <c r="AA1015" s="609"/>
      <c r="AB1015" s="609"/>
      <c r="AC1015" s="609"/>
      <c r="AD1015" s="609"/>
      <c r="AE1015" s="609"/>
      <c r="AF1015" s="609"/>
      <c r="AG1015" s="609"/>
      <c r="AH1015" s="609"/>
      <c r="AI1015" s="609"/>
      <c r="AJ1015" s="609"/>
      <c r="AK1015" s="609"/>
      <c r="AL1015" s="609"/>
      <c r="AM1015" s="609"/>
      <c r="AN1015" s="609"/>
      <c r="AO1015" s="609"/>
      <c r="AP1015" s="609"/>
      <c r="AQ1015" s="609"/>
    </row>
    <row r="1016" spans="25:43" x14ac:dyDescent="0.4">
      <c r="Y1016" s="609"/>
      <c r="Z1016" s="609"/>
      <c r="AA1016" s="609"/>
      <c r="AB1016" s="609"/>
      <c r="AC1016" s="609"/>
      <c r="AD1016" s="609"/>
      <c r="AE1016" s="609"/>
      <c r="AF1016" s="609"/>
      <c r="AG1016" s="609"/>
      <c r="AH1016" s="609"/>
      <c r="AI1016" s="609"/>
      <c r="AJ1016" s="609"/>
      <c r="AK1016" s="609"/>
      <c r="AL1016" s="609"/>
      <c r="AM1016" s="609"/>
      <c r="AN1016" s="609"/>
      <c r="AO1016" s="609"/>
      <c r="AP1016" s="609"/>
      <c r="AQ1016" s="609"/>
    </row>
    <row r="1017" spans="25:43" x14ac:dyDescent="0.4">
      <c r="Y1017" s="609"/>
      <c r="Z1017" s="609"/>
      <c r="AA1017" s="609"/>
      <c r="AB1017" s="609"/>
      <c r="AC1017" s="609"/>
      <c r="AD1017" s="609"/>
      <c r="AE1017" s="609"/>
      <c r="AF1017" s="609"/>
      <c r="AG1017" s="609"/>
      <c r="AH1017" s="609"/>
      <c r="AI1017" s="609"/>
      <c r="AJ1017" s="609"/>
      <c r="AK1017" s="609"/>
      <c r="AL1017" s="609"/>
      <c r="AM1017" s="609"/>
      <c r="AN1017" s="609"/>
      <c r="AO1017" s="609"/>
      <c r="AP1017" s="609"/>
      <c r="AQ1017" s="609"/>
    </row>
    <row r="1018" spans="25:43" x14ac:dyDescent="0.4">
      <c r="Y1018" s="609"/>
      <c r="Z1018" s="609"/>
      <c r="AA1018" s="609"/>
      <c r="AB1018" s="609"/>
      <c r="AC1018" s="609"/>
      <c r="AD1018" s="609"/>
      <c r="AE1018" s="609"/>
      <c r="AF1018" s="609"/>
      <c r="AG1018" s="609"/>
      <c r="AH1018" s="609"/>
      <c r="AI1018" s="609"/>
      <c r="AJ1018" s="609"/>
      <c r="AK1018" s="609"/>
      <c r="AL1018" s="609"/>
      <c r="AM1018" s="609"/>
      <c r="AN1018" s="609"/>
      <c r="AO1018" s="609"/>
      <c r="AP1018" s="609"/>
      <c r="AQ1018" s="609"/>
    </row>
    <row r="1019" spans="25:43" x14ac:dyDescent="0.4">
      <c r="Y1019" s="609"/>
      <c r="Z1019" s="609"/>
      <c r="AA1019" s="609"/>
      <c r="AB1019" s="609"/>
      <c r="AC1019" s="609"/>
      <c r="AD1019" s="609"/>
      <c r="AE1019" s="609"/>
      <c r="AF1019" s="609"/>
      <c r="AG1019" s="609"/>
      <c r="AH1019" s="609"/>
      <c r="AI1019" s="609"/>
      <c r="AJ1019" s="609"/>
      <c r="AK1019" s="609"/>
      <c r="AL1019" s="609"/>
      <c r="AM1019" s="609"/>
      <c r="AN1019" s="609"/>
      <c r="AO1019" s="609"/>
      <c r="AP1019" s="609"/>
      <c r="AQ1019" s="609"/>
    </row>
    <row r="1020" spans="25:43" x14ac:dyDescent="0.4">
      <c r="Y1020" s="609"/>
      <c r="Z1020" s="609"/>
      <c r="AA1020" s="609"/>
      <c r="AB1020" s="609"/>
      <c r="AC1020" s="609"/>
      <c r="AD1020" s="609"/>
      <c r="AE1020" s="609"/>
      <c r="AF1020" s="609"/>
      <c r="AG1020" s="609"/>
      <c r="AH1020" s="609"/>
      <c r="AI1020" s="609"/>
      <c r="AJ1020" s="609"/>
      <c r="AK1020" s="609"/>
      <c r="AL1020" s="609"/>
      <c r="AM1020" s="609"/>
      <c r="AN1020" s="609"/>
      <c r="AO1020" s="609"/>
      <c r="AP1020" s="609"/>
      <c r="AQ1020" s="609"/>
    </row>
    <row r="1021" spans="25:43" x14ac:dyDescent="0.4">
      <c r="Y1021" s="609"/>
      <c r="Z1021" s="609"/>
      <c r="AA1021" s="609"/>
      <c r="AB1021" s="609"/>
      <c r="AC1021" s="609"/>
      <c r="AD1021" s="609"/>
      <c r="AE1021" s="609"/>
      <c r="AF1021" s="609"/>
      <c r="AG1021" s="609"/>
      <c r="AH1021" s="609"/>
      <c r="AI1021" s="609"/>
      <c r="AJ1021" s="609"/>
      <c r="AK1021" s="609"/>
      <c r="AL1021" s="609"/>
      <c r="AM1021" s="609"/>
      <c r="AN1021" s="609"/>
      <c r="AO1021" s="609"/>
      <c r="AP1021" s="609"/>
      <c r="AQ1021" s="609"/>
    </row>
    <row r="1022" spans="25:43" x14ac:dyDescent="0.4">
      <c r="Y1022" s="609"/>
      <c r="Z1022" s="609"/>
      <c r="AA1022" s="609"/>
      <c r="AB1022" s="609"/>
      <c r="AC1022" s="609"/>
      <c r="AD1022" s="609"/>
      <c r="AE1022" s="609"/>
      <c r="AF1022" s="609"/>
      <c r="AG1022" s="609"/>
      <c r="AH1022" s="609"/>
      <c r="AI1022" s="609"/>
      <c r="AJ1022" s="609"/>
      <c r="AK1022" s="609"/>
      <c r="AL1022" s="609"/>
      <c r="AM1022" s="609"/>
      <c r="AN1022" s="609"/>
      <c r="AO1022" s="609"/>
      <c r="AP1022" s="609"/>
      <c r="AQ1022" s="609"/>
    </row>
    <row r="1023" spans="25:43" x14ac:dyDescent="0.4">
      <c r="Y1023" s="609"/>
      <c r="Z1023" s="609"/>
      <c r="AA1023" s="609"/>
      <c r="AB1023" s="609"/>
      <c r="AC1023" s="609"/>
      <c r="AD1023" s="609"/>
      <c r="AE1023" s="609"/>
      <c r="AF1023" s="609"/>
      <c r="AG1023" s="609"/>
      <c r="AH1023" s="609"/>
      <c r="AI1023" s="609"/>
      <c r="AJ1023" s="609"/>
      <c r="AK1023" s="609"/>
      <c r="AL1023" s="609"/>
      <c r="AM1023" s="609"/>
      <c r="AN1023" s="609"/>
      <c r="AO1023" s="609"/>
      <c r="AP1023" s="609"/>
      <c r="AQ1023" s="609"/>
    </row>
    <row r="1024" spans="25:43" x14ac:dyDescent="0.4">
      <c r="Y1024" s="609"/>
      <c r="Z1024" s="609"/>
      <c r="AA1024" s="609"/>
      <c r="AB1024" s="609"/>
      <c r="AC1024" s="609"/>
      <c r="AD1024" s="609"/>
      <c r="AE1024" s="609"/>
      <c r="AF1024" s="609"/>
      <c r="AG1024" s="609"/>
      <c r="AH1024" s="609"/>
      <c r="AI1024" s="609"/>
      <c r="AJ1024" s="609"/>
      <c r="AK1024" s="609"/>
      <c r="AL1024" s="609"/>
      <c r="AM1024" s="609"/>
      <c r="AN1024" s="609"/>
      <c r="AO1024" s="609"/>
      <c r="AP1024" s="609"/>
      <c r="AQ1024" s="609"/>
    </row>
    <row r="1025" spans="25:43" x14ac:dyDescent="0.4">
      <c r="Y1025" s="609"/>
      <c r="Z1025" s="609"/>
      <c r="AA1025" s="609"/>
      <c r="AB1025" s="609"/>
      <c r="AC1025" s="609"/>
      <c r="AD1025" s="609"/>
      <c r="AE1025" s="609"/>
      <c r="AF1025" s="609"/>
      <c r="AG1025" s="609"/>
      <c r="AH1025" s="609"/>
      <c r="AI1025" s="609"/>
      <c r="AJ1025" s="609"/>
      <c r="AK1025" s="609"/>
      <c r="AL1025" s="609"/>
      <c r="AM1025" s="609"/>
      <c r="AN1025" s="609"/>
      <c r="AO1025" s="609"/>
      <c r="AP1025" s="609"/>
      <c r="AQ1025" s="609"/>
    </row>
    <row r="1026" spans="25:43" x14ac:dyDescent="0.4">
      <c r="Y1026" s="609"/>
      <c r="Z1026" s="609"/>
      <c r="AA1026" s="609"/>
      <c r="AB1026" s="609"/>
      <c r="AC1026" s="609"/>
      <c r="AD1026" s="609"/>
      <c r="AE1026" s="609"/>
      <c r="AF1026" s="609"/>
      <c r="AG1026" s="609"/>
      <c r="AH1026" s="609"/>
      <c r="AI1026" s="609"/>
      <c r="AJ1026" s="609"/>
      <c r="AK1026" s="609"/>
      <c r="AL1026" s="609"/>
      <c r="AM1026" s="609"/>
      <c r="AN1026" s="609"/>
      <c r="AO1026" s="609"/>
      <c r="AP1026" s="609"/>
      <c r="AQ1026" s="609"/>
    </row>
    <row r="1027" spans="25:43" x14ac:dyDescent="0.4">
      <c r="Y1027" s="609"/>
      <c r="Z1027" s="609"/>
      <c r="AA1027" s="609"/>
      <c r="AB1027" s="609"/>
      <c r="AC1027" s="609"/>
      <c r="AD1027" s="609"/>
      <c r="AE1027" s="609"/>
      <c r="AF1027" s="609"/>
      <c r="AG1027" s="609"/>
      <c r="AH1027" s="609"/>
      <c r="AI1027" s="609"/>
      <c r="AJ1027" s="609"/>
      <c r="AK1027" s="609"/>
      <c r="AL1027" s="609"/>
      <c r="AM1027" s="609"/>
      <c r="AN1027" s="609"/>
      <c r="AO1027" s="609"/>
      <c r="AP1027" s="609"/>
      <c r="AQ1027" s="609"/>
    </row>
    <row r="1028" spans="25:43" x14ac:dyDescent="0.4">
      <c r="Y1028" s="609"/>
      <c r="Z1028" s="609"/>
      <c r="AA1028" s="609"/>
      <c r="AB1028" s="609"/>
      <c r="AC1028" s="609"/>
      <c r="AD1028" s="609"/>
      <c r="AE1028" s="609"/>
      <c r="AF1028" s="609"/>
      <c r="AG1028" s="609"/>
      <c r="AH1028" s="609"/>
      <c r="AI1028" s="609"/>
      <c r="AJ1028" s="609"/>
      <c r="AK1028" s="609"/>
      <c r="AL1028" s="609"/>
      <c r="AM1028" s="609"/>
      <c r="AN1028" s="609"/>
      <c r="AO1028" s="609"/>
      <c r="AP1028" s="609"/>
      <c r="AQ1028" s="609"/>
    </row>
    <row r="1029" spans="25:43" x14ac:dyDescent="0.4">
      <c r="Y1029" s="609"/>
      <c r="Z1029" s="609"/>
      <c r="AA1029" s="609"/>
      <c r="AB1029" s="609"/>
      <c r="AC1029" s="609"/>
      <c r="AD1029" s="609"/>
      <c r="AE1029" s="609"/>
      <c r="AF1029" s="609"/>
      <c r="AG1029" s="609"/>
      <c r="AH1029" s="609"/>
      <c r="AI1029" s="609"/>
      <c r="AJ1029" s="609"/>
      <c r="AK1029" s="609"/>
      <c r="AL1029" s="609"/>
      <c r="AM1029" s="609"/>
      <c r="AN1029" s="609"/>
      <c r="AO1029" s="609"/>
      <c r="AP1029" s="609"/>
      <c r="AQ1029" s="609"/>
    </row>
    <row r="1030" spans="25:43" x14ac:dyDescent="0.4">
      <c r="Y1030" s="609"/>
      <c r="Z1030" s="609"/>
      <c r="AA1030" s="609"/>
      <c r="AB1030" s="609"/>
      <c r="AC1030" s="609"/>
      <c r="AD1030" s="609"/>
      <c r="AE1030" s="609"/>
      <c r="AF1030" s="609"/>
      <c r="AG1030" s="609"/>
      <c r="AH1030" s="609"/>
      <c r="AI1030" s="609"/>
      <c r="AJ1030" s="609"/>
      <c r="AK1030" s="609"/>
      <c r="AL1030" s="609"/>
      <c r="AM1030" s="609"/>
      <c r="AN1030" s="609"/>
      <c r="AO1030" s="609"/>
      <c r="AP1030" s="609"/>
      <c r="AQ1030" s="609"/>
    </row>
    <row r="1031" spans="25:43" x14ac:dyDescent="0.4">
      <c r="Y1031" s="609"/>
      <c r="Z1031" s="609"/>
      <c r="AA1031" s="609"/>
      <c r="AB1031" s="609"/>
      <c r="AC1031" s="609"/>
      <c r="AD1031" s="609"/>
      <c r="AE1031" s="609"/>
      <c r="AF1031" s="609"/>
      <c r="AG1031" s="609"/>
      <c r="AH1031" s="609"/>
      <c r="AI1031" s="609"/>
      <c r="AJ1031" s="609"/>
      <c r="AK1031" s="609"/>
      <c r="AL1031" s="609"/>
      <c r="AM1031" s="609"/>
      <c r="AN1031" s="609"/>
      <c r="AO1031" s="609"/>
      <c r="AP1031" s="609"/>
      <c r="AQ1031" s="609"/>
    </row>
    <row r="1032" spans="25:43" x14ac:dyDescent="0.4">
      <c r="Y1032" s="609"/>
      <c r="Z1032" s="609"/>
      <c r="AA1032" s="609"/>
      <c r="AB1032" s="609"/>
      <c r="AC1032" s="609"/>
      <c r="AD1032" s="609"/>
      <c r="AE1032" s="609"/>
      <c r="AF1032" s="609"/>
      <c r="AG1032" s="609"/>
      <c r="AH1032" s="609"/>
      <c r="AI1032" s="609"/>
      <c r="AJ1032" s="609"/>
      <c r="AK1032" s="609"/>
      <c r="AL1032" s="609"/>
      <c r="AM1032" s="609"/>
      <c r="AN1032" s="609"/>
      <c r="AO1032" s="609"/>
      <c r="AP1032" s="609"/>
      <c r="AQ1032" s="609"/>
    </row>
    <row r="1033" spans="25:43" x14ac:dyDescent="0.4">
      <c r="Y1033" s="609"/>
      <c r="Z1033" s="609"/>
      <c r="AA1033" s="609"/>
      <c r="AB1033" s="609"/>
      <c r="AC1033" s="609"/>
      <c r="AD1033" s="609"/>
      <c r="AE1033" s="609"/>
      <c r="AF1033" s="609"/>
      <c r="AG1033" s="609"/>
      <c r="AH1033" s="609"/>
      <c r="AI1033" s="609"/>
      <c r="AJ1033" s="609"/>
      <c r="AK1033" s="609"/>
      <c r="AL1033" s="609"/>
      <c r="AM1033" s="609"/>
      <c r="AN1033" s="609"/>
      <c r="AO1033" s="609"/>
      <c r="AP1033" s="609"/>
      <c r="AQ1033" s="609"/>
    </row>
    <row r="1034" spans="25:43" x14ac:dyDescent="0.4">
      <c r="Y1034" s="609"/>
      <c r="Z1034" s="609"/>
      <c r="AA1034" s="609"/>
      <c r="AB1034" s="609"/>
      <c r="AC1034" s="609"/>
      <c r="AD1034" s="609"/>
      <c r="AE1034" s="609"/>
      <c r="AF1034" s="609"/>
      <c r="AG1034" s="609"/>
      <c r="AH1034" s="609"/>
      <c r="AI1034" s="609"/>
      <c r="AJ1034" s="609"/>
      <c r="AK1034" s="609"/>
      <c r="AL1034" s="609"/>
      <c r="AM1034" s="609"/>
      <c r="AN1034" s="609"/>
      <c r="AO1034" s="609"/>
      <c r="AP1034" s="609"/>
      <c r="AQ1034" s="609"/>
    </row>
    <row r="1035" spans="25:43" x14ac:dyDescent="0.4">
      <c r="Y1035" s="609"/>
      <c r="Z1035" s="609"/>
      <c r="AA1035" s="609"/>
      <c r="AB1035" s="609"/>
      <c r="AC1035" s="609"/>
      <c r="AD1035" s="609"/>
      <c r="AE1035" s="609"/>
      <c r="AF1035" s="609"/>
      <c r="AG1035" s="609"/>
      <c r="AH1035" s="609"/>
      <c r="AI1035" s="609"/>
      <c r="AJ1035" s="609"/>
      <c r="AK1035" s="609"/>
      <c r="AL1035" s="609"/>
      <c r="AM1035" s="609"/>
      <c r="AN1035" s="609"/>
      <c r="AO1035" s="609"/>
      <c r="AP1035" s="609"/>
      <c r="AQ1035" s="609"/>
    </row>
    <row r="1036" spans="25:43" x14ac:dyDescent="0.4">
      <c r="Y1036" s="609"/>
      <c r="Z1036" s="609"/>
      <c r="AA1036" s="609"/>
      <c r="AB1036" s="609"/>
      <c r="AC1036" s="609"/>
      <c r="AD1036" s="609"/>
      <c r="AE1036" s="609"/>
      <c r="AF1036" s="609"/>
      <c r="AG1036" s="609"/>
      <c r="AH1036" s="609"/>
      <c r="AI1036" s="609"/>
      <c r="AJ1036" s="609"/>
      <c r="AK1036" s="609"/>
      <c r="AL1036" s="609"/>
      <c r="AM1036" s="609"/>
      <c r="AN1036" s="609"/>
      <c r="AO1036" s="609"/>
      <c r="AP1036" s="609"/>
      <c r="AQ1036" s="609"/>
    </row>
    <row r="1037" spans="25:43" x14ac:dyDescent="0.4">
      <c r="Y1037" s="609"/>
      <c r="Z1037" s="609"/>
      <c r="AA1037" s="609"/>
      <c r="AB1037" s="609"/>
      <c r="AC1037" s="609"/>
      <c r="AD1037" s="609"/>
      <c r="AE1037" s="609"/>
      <c r="AF1037" s="609"/>
      <c r="AG1037" s="609"/>
      <c r="AH1037" s="609"/>
      <c r="AI1037" s="609"/>
      <c r="AJ1037" s="609"/>
      <c r="AK1037" s="609"/>
      <c r="AL1037" s="609"/>
      <c r="AM1037" s="609"/>
      <c r="AN1037" s="609"/>
      <c r="AO1037" s="609"/>
      <c r="AP1037" s="609"/>
      <c r="AQ1037" s="609"/>
    </row>
    <row r="1038" spans="25:43" x14ac:dyDescent="0.4">
      <c r="Y1038" s="609"/>
      <c r="Z1038" s="609"/>
      <c r="AA1038" s="609"/>
      <c r="AB1038" s="609"/>
      <c r="AC1038" s="609"/>
      <c r="AD1038" s="609"/>
      <c r="AE1038" s="609"/>
      <c r="AF1038" s="609"/>
      <c r="AG1038" s="609"/>
      <c r="AH1038" s="609"/>
      <c r="AI1038" s="609"/>
      <c r="AJ1038" s="609"/>
      <c r="AK1038" s="609"/>
      <c r="AL1038" s="609"/>
      <c r="AM1038" s="609"/>
      <c r="AN1038" s="609"/>
      <c r="AO1038" s="609"/>
      <c r="AP1038" s="609"/>
      <c r="AQ1038" s="609"/>
    </row>
    <row r="1039" spans="25:43" x14ac:dyDescent="0.4">
      <c r="Y1039" s="609"/>
      <c r="Z1039" s="609"/>
      <c r="AA1039" s="609"/>
      <c r="AB1039" s="609"/>
      <c r="AC1039" s="609"/>
      <c r="AD1039" s="609"/>
      <c r="AE1039" s="609"/>
      <c r="AF1039" s="609"/>
      <c r="AG1039" s="609"/>
      <c r="AH1039" s="609"/>
      <c r="AI1039" s="609"/>
      <c r="AJ1039" s="609"/>
      <c r="AK1039" s="609"/>
      <c r="AL1039" s="609"/>
      <c r="AM1039" s="609"/>
      <c r="AN1039" s="609"/>
      <c r="AO1039" s="609"/>
      <c r="AP1039" s="609"/>
      <c r="AQ1039" s="609"/>
    </row>
    <row r="1040" spans="25:43" x14ac:dyDescent="0.4">
      <c r="Y1040" s="609"/>
      <c r="Z1040" s="609"/>
      <c r="AA1040" s="609"/>
      <c r="AB1040" s="609"/>
      <c r="AC1040" s="609"/>
      <c r="AD1040" s="609"/>
      <c r="AE1040" s="609"/>
      <c r="AF1040" s="609"/>
      <c r="AG1040" s="609"/>
      <c r="AH1040" s="609"/>
      <c r="AI1040" s="609"/>
      <c r="AJ1040" s="609"/>
      <c r="AK1040" s="609"/>
      <c r="AL1040" s="609"/>
      <c r="AM1040" s="609"/>
      <c r="AN1040" s="609"/>
      <c r="AO1040" s="609"/>
      <c r="AP1040" s="609"/>
      <c r="AQ1040" s="609"/>
    </row>
    <row r="1041" spans="25:43" x14ac:dyDescent="0.4">
      <c r="Y1041" s="609"/>
      <c r="Z1041" s="609"/>
      <c r="AA1041" s="609"/>
      <c r="AB1041" s="609"/>
      <c r="AC1041" s="609"/>
      <c r="AD1041" s="609"/>
      <c r="AE1041" s="609"/>
      <c r="AF1041" s="609"/>
      <c r="AG1041" s="609"/>
      <c r="AH1041" s="609"/>
      <c r="AI1041" s="609"/>
      <c r="AJ1041" s="609"/>
      <c r="AK1041" s="609"/>
      <c r="AL1041" s="609"/>
      <c r="AM1041" s="609"/>
      <c r="AN1041" s="609"/>
      <c r="AO1041" s="609"/>
      <c r="AP1041" s="609"/>
      <c r="AQ1041" s="609"/>
    </row>
    <row r="1042" spans="25:43" x14ac:dyDescent="0.4">
      <c r="Y1042" s="609"/>
      <c r="Z1042" s="609"/>
      <c r="AA1042" s="609"/>
      <c r="AB1042" s="609"/>
      <c r="AC1042" s="609"/>
      <c r="AD1042" s="609"/>
      <c r="AE1042" s="609"/>
      <c r="AF1042" s="609"/>
      <c r="AG1042" s="609"/>
      <c r="AH1042" s="609"/>
      <c r="AI1042" s="609"/>
      <c r="AJ1042" s="609"/>
      <c r="AK1042" s="609"/>
      <c r="AL1042" s="609"/>
      <c r="AM1042" s="609"/>
      <c r="AN1042" s="609"/>
      <c r="AO1042" s="609"/>
      <c r="AP1042" s="609"/>
      <c r="AQ1042" s="609"/>
    </row>
    <row r="1043" spans="25:43" x14ac:dyDescent="0.4">
      <c r="Y1043" s="609"/>
      <c r="Z1043" s="609"/>
      <c r="AA1043" s="609"/>
      <c r="AB1043" s="609"/>
      <c r="AC1043" s="609"/>
      <c r="AD1043" s="609"/>
      <c r="AE1043" s="609"/>
      <c r="AF1043" s="609"/>
      <c r="AG1043" s="609"/>
      <c r="AH1043" s="609"/>
      <c r="AI1043" s="609"/>
      <c r="AJ1043" s="609"/>
      <c r="AK1043" s="609"/>
      <c r="AL1043" s="609"/>
      <c r="AM1043" s="609"/>
      <c r="AN1043" s="609"/>
      <c r="AO1043" s="609"/>
      <c r="AP1043" s="609"/>
      <c r="AQ1043" s="609"/>
    </row>
    <row r="1044" spans="25:43" x14ac:dyDescent="0.4">
      <c r="Y1044" s="609"/>
      <c r="Z1044" s="609"/>
      <c r="AA1044" s="609"/>
      <c r="AB1044" s="609"/>
      <c r="AC1044" s="609"/>
      <c r="AD1044" s="609"/>
      <c r="AE1044" s="609"/>
      <c r="AF1044" s="609"/>
      <c r="AG1044" s="609"/>
      <c r="AH1044" s="609"/>
      <c r="AI1044" s="609"/>
      <c r="AJ1044" s="609"/>
      <c r="AK1044" s="609"/>
      <c r="AL1044" s="609"/>
      <c r="AM1044" s="609"/>
      <c r="AN1044" s="609"/>
      <c r="AO1044" s="609"/>
      <c r="AP1044" s="609"/>
      <c r="AQ1044" s="609"/>
    </row>
    <row r="1045" spans="25:43" x14ac:dyDescent="0.4">
      <c r="Y1045" s="609"/>
      <c r="Z1045" s="609"/>
      <c r="AA1045" s="609"/>
      <c r="AB1045" s="609"/>
      <c r="AC1045" s="609"/>
      <c r="AD1045" s="609"/>
      <c r="AE1045" s="609"/>
      <c r="AF1045" s="609"/>
      <c r="AG1045" s="609"/>
      <c r="AH1045" s="609"/>
      <c r="AI1045" s="609"/>
      <c r="AJ1045" s="609"/>
      <c r="AK1045" s="609"/>
      <c r="AL1045" s="609"/>
      <c r="AM1045" s="609"/>
      <c r="AN1045" s="609"/>
      <c r="AO1045" s="609"/>
      <c r="AP1045" s="609"/>
      <c r="AQ1045" s="609"/>
    </row>
    <row r="1046" spans="25:43" x14ac:dyDescent="0.4">
      <c r="Y1046" s="609"/>
      <c r="Z1046" s="609"/>
      <c r="AA1046" s="609"/>
      <c r="AB1046" s="609"/>
      <c r="AC1046" s="609"/>
      <c r="AD1046" s="609"/>
      <c r="AE1046" s="609"/>
      <c r="AF1046" s="609"/>
      <c r="AG1046" s="609"/>
      <c r="AH1046" s="609"/>
      <c r="AI1046" s="609"/>
      <c r="AJ1046" s="609"/>
      <c r="AK1046" s="609"/>
      <c r="AL1046" s="609"/>
      <c r="AM1046" s="609"/>
      <c r="AN1046" s="609"/>
      <c r="AO1046" s="609"/>
      <c r="AP1046" s="609"/>
      <c r="AQ1046" s="609"/>
    </row>
    <row r="1047" spans="25:43" x14ac:dyDescent="0.4">
      <c r="Y1047" s="609"/>
      <c r="Z1047" s="609"/>
      <c r="AA1047" s="609"/>
      <c r="AB1047" s="609"/>
      <c r="AC1047" s="609"/>
      <c r="AD1047" s="609"/>
      <c r="AE1047" s="609"/>
      <c r="AF1047" s="609"/>
      <c r="AG1047" s="609"/>
      <c r="AH1047" s="609"/>
      <c r="AI1047" s="609"/>
      <c r="AJ1047" s="609"/>
      <c r="AK1047" s="609"/>
      <c r="AL1047" s="609"/>
      <c r="AM1047" s="609"/>
      <c r="AN1047" s="609"/>
      <c r="AO1047" s="609"/>
      <c r="AP1047" s="609"/>
      <c r="AQ1047" s="609"/>
    </row>
    <row r="1048" spans="25:43" x14ac:dyDescent="0.4">
      <c r="Y1048" s="609"/>
      <c r="Z1048" s="609"/>
      <c r="AA1048" s="609"/>
      <c r="AB1048" s="609"/>
      <c r="AC1048" s="609"/>
      <c r="AD1048" s="609"/>
      <c r="AE1048" s="609"/>
      <c r="AF1048" s="609"/>
      <c r="AG1048" s="609"/>
      <c r="AH1048" s="609"/>
      <c r="AI1048" s="609"/>
      <c r="AJ1048" s="609"/>
      <c r="AK1048" s="609"/>
      <c r="AL1048" s="609"/>
      <c r="AM1048" s="609"/>
      <c r="AN1048" s="609"/>
      <c r="AO1048" s="609"/>
      <c r="AP1048" s="609"/>
      <c r="AQ1048" s="609"/>
    </row>
    <row r="1049" spans="25:43" x14ac:dyDescent="0.4">
      <c r="Y1049" s="609"/>
      <c r="Z1049" s="609"/>
      <c r="AA1049" s="609"/>
      <c r="AB1049" s="609"/>
      <c r="AC1049" s="609"/>
      <c r="AD1049" s="609"/>
      <c r="AE1049" s="609"/>
      <c r="AF1049" s="609"/>
      <c r="AG1049" s="609"/>
      <c r="AH1049" s="609"/>
      <c r="AI1049" s="609"/>
      <c r="AJ1049" s="609"/>
      <c r="AK1049" s="609"/>
      <c r="AL1049" s="609"/>
      <c r="AM1049" s="609"/>
      <c r="AN1049" s="609"/>
      <c r="AO1049" s="609"/>
      <c r="AP1049" s="609"/>
      <c r="AQ1049" s="609"/>
    </row>
    <row r="1050" spans="25:43" x14ac:dyDescent="0.4">
      <c r="Y1050" s="609"/>
      <c r="Z1050" s="609"/>
      <c r="AA1050" s="609"/>
      <c r="AB1050" s="609"/>
      <c r="AC1050" s="609"/>
      <c r="AD1050" s="609"/>
      <c r="AE1050" s="609"/>
      <c r="AF1050" s="609"/>
      <c r="AG1050" s="609"/>
      <c r="AH1050" s="609"/>
      <c r="AI1050" s="609"/>
      <c r="AJ1050" s="609"/>
      <c r="AK1050" s="609"/>
      <c r="AL1050" s="609"/>
      <c r="AM1050" s="609"/>
      <c r="AN1050" s="609"/>
      <c r="AO1050" s="609"/>
      <c r="AP1050" s="609"/>
      <c r="AQ1050" s="609"/>
    </row>
    <row r="1051" spans="25:43" x14ac:dyDescent="0.4">
      <c r="Y1051" s="609"/>
      <c r="Z1051" s="609"/>
      <c r="AA1051" s="609"/>
      <c r="AB1051" s="609"/>
      <c r="AC1051" s="609"/>
      <c r="AD1051" s="609"/>
      <c r="AE1051" s="609"/>
      <c r="AF1051" s="609"/>
      <c r="AG1051" s="609"/>
      <c r="AH1051" s="609"/>
      <c r="AI1051" s="609"/>
      <c r="AJ1051" s="609"/>
      <c r="AK1051" s="609"/>
      <c r="AL1051" s="609"/>
      <c r="AM1051" s="609"/>
      <c r="AN1051" s="609"/>
      <c r="AO1051" s="609"/>
      <c r="AP1051" s="609"/>
      <c r="AQ1051" s="609"/>
    </row>
    <row r="1052" spans="25:43" x14ac:dyDescent="0.4">
      <c r="Y1052" s="609"/>
      <c r="Z1052" s="609"/>
      <c r="AA1052" s="609"/>
      <c r="AB1052" s="609"/>
      <c r="AC1052" s="609"/>
      <c r="AD1052" s="609"/>
      <c r="AE1052" s="609"/>
      <c r="AF1052" s="609"/>
      <c r="AG1052" s="609"/>
      <c r="AH1052" s="609"/>
      <c r="AI1052" s="609"/>
      <c r="AJ1052" s="609"/>
      <c r="AK1052" s="609"/>
      <c r="AL1052" s="609"/>
      <c r="AM1052" s="609"/>
      <c r="AN1052" s="609"/>
      <c r="AO1052" s="609"/>
      <c r="AP1052" s="609"/>
      <c r="AQ1052" s="609"/>
    </row>
    <row r="1053" spans="25:43" x14ac:dyDescent="0.4">
      <c r="Y1053" s="609"/>
      <c r="Z1053" s="609"/>
      <c r="AA1053" s="609"/>
      <c r="AB1053" s="609"/>
      <c r="AC1053" s="609"/>
      <c r="AD1053" s="609"/>
      <c r="AE1053" s="609"/>
      <c r="AF1053" s="609"/>
      <c r="AG1053" s="609"/>
      <c r="AH1053" s="609"/>
      <c r="AI1053" s="609"/>
      <c r="AJ1053" s="609"/>
      <c r="AK1053" s="609"/>
      <c r="AL1053" s="609"/>
      <c r="AM1053" s="609"/>
      <c r="AN1053" s="609"/>
      <c r="AO1053" s="609"/>
      <c r="AP1053" s="609"/>
      <c r="AQ1053" s="609"/>
    </row>
    <row r="1054" spans="25:43" x14ac:dyDescent="0.4">
      <c r="Y1054" s="609"/>
      <c r="Z1054" s="609"/>
      <c r="AA1054" s="609"/>
      <c r="AB1054" s="609"/>
      <c r="AC1054" s="609"/>
      <c r="AD1054" s="609"/>
      <c r="AE1054" s="609"/>
      <c r="AF1054" s="609"/>
      <c r="AG1054" s="609"/>
      <c r="AH1054" s="609"/>
      <c r="AI1054" s="609"/>
      <c r="AJ1054" s="609"/>
      <c r="AK1054" s="609"/>
      <c r="AL1054" s="609"/>
      <c r="AM1054" s="609"/>
      <c r="AN1054" s="609"/>
      <c r="AO1054" s="609"/>
      <c r="AP1054" s="609"/>
      <c r="AQ1054" s="609"/>
    </row>
    <row r="1055" spans="25:43" x14ac:dyDescent="0.4">
      <c r="Y1055" s="609"/>
      <c r="Z1055" s="609"/>
      <c r="AA1055" s="609"/>
      <c r="AB1055" s="609"/>
      <c r="AC1055" s="609"/>
      <c r="AD1055" s="609"/>
      <c r="AE1055" s="609"/>
      <c r="AF1055" s="609"/>
      <c r="AG1055" s="609"/>
      <c r="AH1055" s="609"/>
      <c r="AI1055" s="609"/>
      <c r="AJ1055" s="609"/>
      <c r="AK1055" s="609"/>
      <c r="AL1055" s="609"/>
      <c r="AM1055" s="609"/>
      <c r="AN1055" s="609"/>
      <c r="AO1055" s="609"/>
      <c r="AP1055" s="609"/>
      <c r="AQ1055" s="609"/>
    </row>
    <row r="1056" spans="25:43" x14ac:dyDescent="0.4">
      <c r="Y1056" s="609"/>
      <c r="Z1056" s="609"/>
      <c r="AA1056" s="609"/>
      <c r="AB1056" s="609"/>
      <c r="AC1056" s="609"/>
      <c r="AD1056" s="609"/>
      <c r="AE1056" s="609"/>
      <c r="AF1056" s="609"/>
      <c r="AG1056" s="609"/>
      <c r="AH1056" s="609"/>
      <c r="AI1056" s="609"/>
      <c r="AJ1056" s="609"/>
      <c r="AK1056" s="609"/>
      <c r="AL1056" s="609"/>
      <c r="AM1056" s="609"/>
      <c r="AN1056" s="609"/>
      <c r="AO1056" s="609"/>
      <c r="AP1056" s="609"/>
      <c r="AQ1056" s="609"/>
    </row>
    <row r="1057" spans="25:43" x14ac:dyDescent="0.4">
      <c r="Y1057" s="609"/>
      <c r="Z1057" s="609"/>
      <c r="AA1057" s="609"/>
      <c r="AB1057" s="609"/>
      <c r="AC1057" s="609"/>
      <c r="AD1057" s="609"/>
      <c r="AE1057" s="609"/>
      <c r="AF1057" s="609"/>
      <c r="AG1057" s="609"/>
      <c r="AH1057" s="609"/>
      <c r="AI1057" s="609"/>
      <c r="AJ1057" s="609"/>
      <c r="AK1057" s="609"/>
      <c r="AL1057" s="609"/>
      <c r="AM1057" s="609"/>
      <c r="AN1057" s="609"/>
      <c r="AO1057" s="609"/>
      <c r="AP1057" s="609"/>
      <c r="AQ1057" s="609"/>
    </row>
    <row r="1058" spans="25:43" x14ac:dyDescent="0.4">
      <c r="Y1058" s="609"/>
      <c r="Z1058" s="609"/>
      <c r="AA1058" s="609"/>
      <c r="AB1058" s="609"/>
      <c r="AC1058" s="609"/>
      <c r="AD1058" s="609"/>
      <c r="AE1058" s="609"/>
      <c r="AF1058" s="609"/>
      <c r="AG1058" s="609"/>
      <c r="AH1058" s="609"/>
      <c r="AI1058" s="609"/>
      <c r="AJ1058" s="609"/>
      <c r="AK1058" s="609"/>
      <c r="AL1058" s="609"/>
      <c r="AM1058" s="609"/>
      <c r="AN1058" s="609"/>
      <c r="AO1058" s="609"/>
      <c r="AP1058" s="609"/>
      <c r="AQ1058" s="609"/>
    </row>
    <row r="1059" spans="25:43" x14ac:dyDescent="0.4">
      <c r="Y1059" s="609"/>
      <c r="Z1059" s="609"/>
      <c r="AA1059" s="609"/>
      <c r="AB1059" s="609"/>
      <c r="AC1059" s="609"/>
      <c r="AD1059" s="609"/>
      <c r="AE1059" s="609"/>
      <c r="AF1059" s="609"/>
      <c r="AG1059" s="609"/>
      <c r="AH1059" s="609"/>
      <c r="AI1059" s="609"/>
      <c r="AJ1059" s="609"/>
      <c r="AK1059" s="609"/>
      <c r="AL1059" s="609"/>
      <c r="AM1059" s="609"/>
      <c r="AN1059" s="609"/>
      <c r="AO1059" s="609"/>
      <c r="AP1059" s="609"/>
      <c r="AQ1059" s="609"/>
    </row>
    <row r="1060" spans="25:43" x14ac:dyDescent="0.4">
      <c r="Y1060" s="609"/>
      <c r="Z1060" s="609"/>
      <c r="AA1060" s="609"/>
      <c r="AB1060" s="609"/>
      <c r="AC1060" s="609"/>
      <c r="AD1060" s="609"/>
      <c r="AE1060" s="609"/>
      <c r="AF1060" s="609"/>
      <c r="AG1060" s="609"/>
      <c r="AH1060" s="609"/>
      <c r="AI1060" s="609"/>
      <c r="AJ1060" s="609"/>
      <c r="AK1060" s="609"/>
      <c r="AL1060" s="609"/>
      <c r="AM1060" s="609"/>
      <c r="AN1060" s="609"/>
      <c r="AO1060" s="609"/>
      <c r="AP1060" s="609"/>
      <c r="AQ1060" s="609"/>
    </row>
    <row r="1061" spans="25:43" x14ac:dyDescent="0.4">
      <c r="Y1061" s="609"/>
      <c r="Z1061" s="609"/>
      <c r="AA1061" s="609"/>
      <c r="AB1061" s="609"/>
      <c r="AC1061" s="609"/>
      <c r="AD1061" s="609"/>
      <c r="AE1061" s="609"/>
      <c r="AF1061" s="609"/>
      <c r="AG1061" s="609"/>
      <c r="AH1061" s="609"/>
      <c r="AI1061" s="609"/>
      <c r="AJ1061" s="609"/>
      <c r="AK1061" s="609"/>
      <c r="AL1061" s="609"/>
      <c r="AM1061" s="609"/>
      <c r="AN1061" s="609"/>
      <c r="AO1061" s="609"/>
      <c r="AP1061" s="609"/>
      <c r="AQ1061" s="609"/>
    </row>
    <row r="1062" spans="25:43" x14ac:dyDescent="0.4">
      <c r="Y1062" s="609"/>
      <c r="Z1062" s="609"/>
      <c r="AA1062" s="609"/>
      <c r="AB1062" s="609"/>
      <c r="AC1062" s="609"/>
      <c r="AD1062" s="609"/>
      <c r="AE1062" s="609"/>
      <c r="AF1062" s="609"/>
      <c r="AG1062" s="609"/>
      <c r="AH1062" s="609"/>
      <c r="AI1062" s="609"/>
      <c r="AJ1062" s="609"/>
      <c r="AK1062" s="609"/>
      <c r="AL1062" s="609"/>
      <c r="AM1062" s="609"/>
      <c r="AN1062" s="609"/>
      <c r="AO1062" s="609"/>
      <c r="AP1062" s="609"/>
      <c r="AQ1062" s="609"/>
    </row>
    <row r="1063" spans="25:43" x14ac:dyDescent="0.4">
      <c r="Y1063" s="609"/>
      <c r="Z1063" s="609"/>
      <c r="AA1063" s="609"/>
      <c r="AB1063" s="609"/>
      <c r="AC1063" s="609"/>
      <c r="AD1063" s="609"/>
      <c r="AE1063" s="609"/>
      <c r="AF1063" s="609"/>
      <c r="AG1063" s="609"/>
      <c r="AH1063" s="609"/>
      <c r="AI1063" s="609"/>
      <c r="AJ1063" s="609"/>
      <c r="AK1063" s="609"/>
      <c r="AL1063" s="609"/>
      <c r="AM1063" s="609"/>
      <c r="AN1063" s="609"/>
      <c r="AO1063" s="609"/>
      <c r="AP1063" s="609"/>
      <c r="AQ1063" s="609"/>
    </row>
    <row r="1064" spans="25:43" x14ac:dyDescent="0.4">
      <c r="Y1064" s="609"/>
      <c r="Z1064" s="609"/>
      <c r="AA1064" s="609"/>
      <c r="AB1064" s="609"/>
      <c r="AC1064" s="609"/>
      <c r="AD1064" s="609"/>
      <c r="AE1064" s="609"/>
      <c r="AF1064" s="609"/>
      <c r="AG1064" s="609"/>
      <c r="AH1064" s="609"/>
      <c r="AI1064" s="609"/>
      <c r="AJ1064" s="609"/>
      <c r="AK1064" s="609"/>
      <c r="AL1064" s="609"/>
      <c r="AM1064" s="609"/>
      <c r="AN1064" s="609"/>
      <c r="AO1064" s="609"/>
      <c r="AP1064" s="609"/>
      <c r="AQ1064" s="609"/>
    </row>
    <row r="1065" spans="25:43" x14ac:dyDescent="0.4">
      <c r="Y1065" s="609"/>
      <c r="Z1065" s="609"/>
      <c r="AA1065" s="609"/>
      <c r="AB1065" s="609"/>
      <c r="AC1065" s="609"/>
      <c r="AD1065" s="609"/>
      <c r="AE1065" s="609"/>
      <c r="AF1065" s="609"/>
      <c r="AG1065" s="609"/>
      <c r="AH1065" s="609"/>
      <c r="AI1065" s="609"/>
      <c r="AJ1065" s="609"/>
      <c r="AK1065" s="609"/>
      <c r="AL1065" s="609"/>
      <c r="AM1065" s="609"/>
      <c r="AN1065" s="609"/>
      <c r="AO1065" s="609"/>
      <c r="AP1065" s="609"/>
      <c r="AQ1065" s="609"/>
    </row>
    <row r="1066" spans="25:43" x14ac:dyDescent="0.4">
      <c r="Y1066" s="609"/>
      <c r="Z1066" s="609"/>
      <c r="AA1066" s="609"/>
      <c r="AB1066" s="609"/>
      <c r="AC1066" s="609"/>
      <c r="AD1066" s="609"/>
      <c r="AE1066" s="609"/>
      <c r="AF1066" s="609"/>
      <c r="AG1066" s="609"/>
      <c r="AH1066" s="609"/>
      <c r="AI1066" s="609"/>
      <c r="AJ1066" s="609"/>
      <c r="AK1066" s="609"/>
      <c r="AL1066" s="609"/>
      <c r="AM1066" s="609"/>
      <c r="AN1066" s="609"/>
      <c r="AO1066" s="609"/>
      <c r="AP1066" s="609"/>
      <c r="AQ1066" s="609"/>
    </row>
    <row r="1067" spans="25:43" x14ac:dyDescent="0.4">
      <c r="Y1067" s="609"/>
      <c r="Z1067" s="609"/>
      <c r="AA1067" s="609"/>
      <c r="AB1067" s="609"/>
      <c r="AC1067" s="609"/>
      <c r="AD1067" s="609"/>
      <c r="AE1067" s="609"/>
      <c r="AF1067" s="609"/>
      <c r="AG1067" s="609"/>
      <c r="AH1067" s="609"/>
      <c r="AI1067" s="609"/>
      <c r="AJ1067" s="609"/>
      <c r="AK1067" s="609"/>
      <c r="AL1067" s="609"/>
      <c r="AM1067" s="609"/>
      <c r="AN1067" s="609"/>
      <c r="AO1067" s="609"/>
      <c r="AP1067" s="609"/>
      <c r="AQ1067" s="609"/>
    </row>
    <row r="1068" spans="25:43" x14ac:dyDescent="0.4">
      <c r="Y1068" s="609"/>
      <c r="Z1068" s="609"/>
      <c r="AA1068" s="609"/>
      <c r="AB1068" s="609"/>
      <c r="AC1068" s="609"/>
      <c r="AD1068" s="609"/>
      <c r="AE1068" s="609"/>
      <c r="AF1068" s="609"/>
      <c r="AG1068" s="609"/>
      <c r="AH1068" s="609"/>
      <c r="AI1068" s="609"/>
      <c r="AJ1068" s="609"/>
      <c r="AK1068" s="609"/>
      <c r="AL1068" s="609"/>
      <c r="AM1068" s="609"/>
      <c r="AN1068" s="609"/>
      <c r="AO1068" s="609"/>
      <c r="AP1068" s="609"/>
      <c r="AQ1068" s="609"/>
    </row>
    <row r="1069" spans="25:43" x14ac:dyDescent="0.4">
      <c r="Y1069" s="609"/>
      <c r="Z1069" s="609"/>
      <c r="AA1069" s="609"/>
      <c r="AB1069" s="609"/>
      <c r="AC1069" s="609"/>
      <c r="AD1069" s="609"/>
      <c r="AE1069" s="609"/>
      <c r="AF1069" s="609"/>
      <c r="AG1069" s="609"/>
      <c r="AH1069" s="609"/>
      <c r="AI1069" s="609"/>
      <c r="AJ1069" s="609"/>
      <c r="AK1069" s="609"/>
      <c r="AL1069" s="609"/>
      <c r="AM1069" s="609"/>
      <c r="AN1069" s="609"/>
      <c r="AO1069" s="609"/>
      <c r="AP1069" s="609"/>
      <c r="AQ1069" s="609"/>
    </row>
    <row r="1070" spans="25:43" x14ac:dyDescent="0.4">
      <c r="Y1070" s="609"/>
      <c r="Z1070" s="609"/>
      <c r="AA1070" s="609"/>
      <c r="AB1070" s="609"/>
      <c r="AC1070" s="609"/>
      <c r="AD1070" s="609"/>
      <c r="AE1070" s="609"/>
      <c r="AF1070" s="609"/>
      <c r="AG1070" s="609"/>
      <c r="AH1070" s="609"/>
      <c r="AI1070" s="609"/>
      <c r="AJ1070" s="609"/>
      <c r="AK1070" s="609"/>
      <c r="AL1070" s="609"/>
      <c r="AM1070" s="609"/>
      <c r="AN1070" s="609"/>
      <c r="AO1070" s="609"/>
      <c r="AP1070" s="609"/>
      <c r="AQ1070" s="609"/>
    </row>
    <row r="1071" spans="25:43" x14ac:dyDescent="0.4">
      <c r="Y1071" s="609"/>
      <c r="Z1071" s="609"/>
      <c r="AA1071" s="609"/>
      <c r="AB1071" s="609"/>
      <c r="AC1071" s="609"/>
      <c r="AD1071" s="609"/>
      <c r="AE1071" s="609"/>
      <c r="AF1071" s="609"/>
      <c r="AG1071" s="609"/>
      <c r="AH1071" s="609"/>
      <c r="AI1071" s="609"/>
      <c r="AJ1071" s="609"/>
      <c r="AK1071" s="609"/>
      <c r="AL1071" s="609"/>
      <c r="AM1071" s="609"/>
      <c r="AN1071" s="609"/>
      <c r="AO1071" s="609"/>
      <c r="AP1071" s="609"/>
      <c r="AQ1071" s="609"/>
    </row>
    <row r="1072" spans="25:43" x14ac:dyDescent="0.4">
      <c r="Y1072" s="609"/>
      <c r="Z1072" s="609"/>
      <c r="AA1072" s="609"/>
      <c r="AB1072" s="609"/>
      <c r="AC1072" s="609"/>
      <c r="AD1072" s="609"/>
      <c r="AE1072" s="609"/>
      <c r="AF1072" s="609"/>
      <c r="AG1072" s="609"/>
      <c r="AH1072" s="609"/>
      <c r="AI1072" s="609"/>
      <c r="AJ1072" s="609"/>
      <c r="AK1072" s="609"/>
      <c r="AL1072" s="609"/>
      <c r="AM1072" s="609"/>
      <c r="AN1072" s="609"/>
      <c r="AO1072" s="609"/>
      <c r="AP1072" s="609"/>
      <c r="AQ1072" s="609"/>
    </row>
    <row r="1073" spans="25:43" x14ac:dyDescent="0.4">
      <c r="Y1073" s="609"/>
      <c r="Z1073" s="609"/>
      <c r="AA1073" s="609"/>
      <c r="AB1073" s="609"/>
      <c r="AC1073" s="609"/>
      <c r="AD1073" s="609"/>
      <c r="AE1073" s="609"/>
      <c r="AF1073" s="609"/>
      <c r="AG1073" s="609"/>
      <c r="AH1073" s="609"/>
      <c r="AI1073" s="609"/>
      <c r="AJ1073" s="609"/>
      <c r="AK1073" s="609"/>
      <c r="AL1073" s="609"/>
      <c r="AM1073" s="609"/>
      <c r="AN1073" s="609"/>
      <c r="AO1073" s="609"/>
      <c r="AP1073" s="609"/>
      <c r="AQ1073" s="609"/>
    </row>
    <row r="1074" spans="25:43" x14ac:dyDescent="0.4">
      <c r="Y1074" s="609"/>
      <c r="Z1074" s="609"/>
      <c r="AA1074" s="609"/>
      <c r="AB1074" s="609"/>
      <c r="AC1074" s="609"/>
      <c r="AD1074" s="609"/>
      <c r="AE1074" s="609"/>
      <c r="AF1074" s="609"/>
      <c r="AG1074" s="609"/>
      <c r="AH1074" s="609"/>
      <c r="AI1074" s="609"/>
      <c r="AJ1074" s="609"/>
      <c r="AK1074" s="609"/>
      <c r="AL1074" s="609"/>
      <c r="AM1074" s="609"/>
      <c r="AN1074" s="609"/>
      <c r="AO1074" s="609"/>
      <c r="AP1074" s="609"/>
      <c r="AQ1074" s="609"/>
    </row>
    <row r="1075" spans="25:43" x14ac:dyDescent="0.4">
      <c r="Y1075" s="609"/>
      <c r="Z1075" s="609"/>
      <c r="AA1075" s="609"/>
      <c r="AB1075" s="609"/>
      <c r="AC1075" s="609"/>
      <c r="AD1075" s="609"/>
      <c r="AE1075" s="609"/>
      <c r="AF1075" s="609"/>
      <c r="AG1075" s="609"/>
      <c r="AH1075" s="609"/>
      <c r="AI1075" s="609"/>
      <c r="AJ1075" s="609"/>
      <c r="AK1075" s="609"/>
      <c r="AL1075" s="609"/>
      <c r="AM1075" s="609"/>
      <c r="AN1075" s="609"/>
      <c r="AO1075" s="609"/>
      <c r="AP1075" s="609"/>
      <c r="AQ1075" s="609"/>
    </row>
    <row r="1076" spans="25:43" x14ac:dyDescent="0.4">
      <c r="Y1076" s="609"/>
      <c r="Z1076" s="609"/>
      <c r="AA1076" s="609"/>
      <c r="AB1076" s="609"/>
      <c r="AC1076" s="609"/>
      <c r="AD1076" s="609"/>
      <c r="AE1076" s="609"/>
      <c r="AF1076" s="609"/>
      <c r="AG1076" s="609"/>
      <c r="AH1076" s="609"/>
      <c r="AI1076" s="609"/>
      <c r="AJ1076" s="609"/>
      <c r="AK1076" s="609"/>
      <c r="AL1076" s="609"/>
      <c r="AM1076" s="609"/>
      <c r="AN1076" s="609"/>
      <c r="AO1076" s="609"/>
      <c r="AP1076" s="609"/>
      <c r="AQ1076" s="609"/>
    </row>
    <row r="1077" spans="25:43" x14ac:dyDescent="0.4">
      <c r="Y1077" s="609"/>
      <c r="Z1077" s="609"/>
      <c r="AA1077" s="609"/>
      <c r="AB1077" s="609"/>
      <c r="AC1077" s="609"/>
      <c r="AD1077" s="609"/>
      <c r="AE1077" s="609"/>
      <c r="AF1077" s="609"/>
      <c r="AG1077" s="609"/>
      <c r="AH1077" s="609"/>
      <c r="AI1077" s="609"/>
      <c r="AJ1077" s="609"/>
      <c r="AK1077" s="609"/>
      <c r="AL1077" s="609"/>
      <c r="AM1077" s="609"/>
      <c r="AN1077" s="609"/>
      <c r="AO1077" s="609"/>
      <c r="AP1077" s="609"/>
      <c r="AQ1077" s="609"/>
    </row>
    <row r="1078" spans="25:43" x14ac:dyDescent="0.4">
      <c r="Y1078" s="609"/>
      <c r="Z1078" s="609"/>
      <c r="AA1078" s="609"/>
      <c r="AB1078" s="609"/>
      <c r="AC1078" s="609"/>
      <c r="AD1078" s="609"/>
      <c r="AE1078" s="609"/>
      <c r="AF1078" s="609"/>
      <c r="AG1078" s="609"/>
      <c r="AH1078" s="609"/>
      <c r="AI1078" s="609"/>
      <c r="AJ1078" s="609"/>
      <c r="AK1078" s="609"/>
      <c r="AL1078" s="609"/>
      <c r="AM1078" s="609"/>
      <c r="AN1078" s="609"/>
      <c r="AO1078" s="609"/>
      <c r="AP1078" s="609"/>
      <c r="AQ1078" s="609"/>
    </row>
    <row r="1079" spans="25:43" x14ac:dyDescent="0.4">
      <c r="Y1079" s="609"/>
      <c r="Z1079" s="609"/>
      <c r="AA1079" s="609"/>
      <c r="AB1079" s="609"/>
      <c r="AC1079" s="609"/>
      <c r="AD1079" s="609"/>
      <c r="AE1079" s="609"/>
      <c r="AF1079" s="609"/>
      <c r="AG1079" s="609"/>
      <c r="AH1079" s="609"/>
      <c r="AI1079" s="609"/>
      <c r="AJ1079" s="609"/>
      <c r="AK1079" s="609"/>
      <c r="AL1079" s="609"/>
      <c r="AM1079" s="609"/>
      <c r="AN1079" s="609"/>
      <c r="AO1079" s="609"/>
      <c r="AP1079" s="609"/>
      <c r="AQ1079" s="609"/>
    </row>
    <row r="1080" spans="25:43" x14ac:dyDescent="0.4">
      <c r="Y1080" s="609"/>
      <c r="Z1080" s="609"/>
      <c r="AA1080" s="609"/>
      <c r="AB1080" s="609"/>
      <c r="AC1080" s="609"/>
      <c r="AD1080" s="609"/>
      <c r="AE1080" s="609"/>
      <c r="AF1080" s="609"/>
      <c r="AG1080" s="609"/>
      <c r="AH1080" s="609"/>
      <c r="AI1080" s="609"/>
      <c r="AJ1080" s="609"/>
      <c r="AK1080" s="609"/>
      <c r="AL1080" s="609"/>
      <c r="AM1080" s="609"/>
      <c r="AN1080" s="609"/>
      <c r="AO1080" s="609"/>
      <c r="AP1080" s="609"/>
      <c r="AQ1080" s="609"/>
    </row>
    <row r="1081" spans="25:43" x14ac:dyDescent="0.4">
      <c r="Y1081" s="609"/>
      <c r="Z1081" s="609"/>
      <c r="AA1081" s="609"/>
      <c r="AB1081" s="609"/>
      <c r="AC1081" s="609"/>
      <c r="AD1081" s="609"/>
      <c r="AE1081" s="609"/>
      <c r="AF1081" s="609"/>
      <c r="AG1081" s="609"/>
      <c r="AH1081" s="609"/>
      <c r="AI1081" s="609"/>
      <c r="AJ1081" s="609"/>
      <c r="AK1081" s="609"/>
      <c r="AL1081" s="609"/>
      <c r="AM1081" s="609"/>
      <c r="AN1081" s="609"/>
      <c r="AO1081" s="609"/>
      <c r="AP1081" s="609"/>
      <c r="AQ1081" s="609"/>
    </row>
    <row r="1082" spans="25:43" x14ac:dyDescent="0.4">
      <c r="Y1082" s="609"/>
      <c r="Z1082" s="609"/>
      <c r="AA1082" s="609"/>
      <c r="AB1082" s="609"/>
      <c r="AC1082" s="609"/>
      <c r="AD1082" s="609"/>
      <c r="AE1082" s="609"/>
      <c r="AF1082" s="609"/>
      <c r="AG1082" s="609"/>
      <c r="AH1082" s="609"/>
      <c r="AI1082" s="609"/>
      <c r="AJ1082" s="609"/>
      <c r="AK1082" s="609"/>
      <c r="AL1082" s="609"/>
      <c r="AM1082" s="609"/>
      <c r="AN1082" s="609"/>
      <c r="AO1082" s="609"/>
      <c r="AP1082" s="609"/>
      <c r="AQ1082" s="609"/>
    </row>
    <row r="1083" spans="25:43" x14ac:dyDescent="0.4">
      <c r="Y1083" s="609"/>
      <c r="Z1083" s="609"/>
      <c r="AA1083" s="609"/>
      <c r="AB1083" s="609"/>
      <c r="AC1083" s="609"/>
      <c r="AD1083" s="609"/>
      <c r="AE1083" s="609"/>
      <c r="AF1083" s="609"/>
      <c r="AG1083" s="609"/>
      <c r="AH1083" s="609"/>
      <c r="AI1083" s="609"/>
      <c r="AJ1083" s="609"/>
      <c r="AK1083" s="609"/>
      <c r="AL1083" s="609"/>
      <c r="AM1083" s="609"/>
      <c r="AN1083" s="609"/>
      <c r="AO1083" s="609"/>
      <c r="AP1083" s="609"/>
      <c r="AQ1083" s="609"/>
    </row>
    <row r="1084" spans="25:43" x14ac:dyDescent="0.4">
      <c r="Y1084" s="609"/>
      <c r="Z1084" s="609"/>
      <c r="AA1084" s="609"/>
      <c r="AB1084" s="609"/>
      <c r="AC1084" s="609"/>
      <c r="AD1084" s="609"/>
      <c r="AE1084" s="609"/>
      <c r="AF1084" s="609"/>
      <c r="AG1084" s="609"/>
      <c r="AH1084" s="609"/>
      <c r="AI1084" s="609"/>
      <c r="AJ1084" s="609"/>
      <c r="AK1084" s="609"/>
      <c r="AL1084" s="609"/>
      <c r="AM1084" s="609"/>
      <c r="AN1084" s="609"/>
      <c r="AO1084" s="609"/>
      <c r="AP1084" s="609"/>
      <c r="AQ1084" s="609"/>
    </row>
    <row r="1085" spans="25:43" x14ac:dyDescent="0.4">
      <c r="Y1085" s="609"/>
      <c r="Z1085" s="609"/>
      <c r="AA1085" s="609"/>
      <c r="AB1085" s="609"/>
      <c r="AC1085" s="609"/>
      <c r="AD1085" s="609"/>
      <c r="AE1085" s="609"/>
      <c r="AF1085" s="609"/>
      <c r="AG1085" s="609"/>
      <c r="AH1085" s="609"/>
      <c r="AI1085" s="609"/>
      <c r="AJ1085" s="609"/>
      <c r="AK1085" s="609"/>
      <c r="AL1085" s="609"/>
      <c r="AM1085" s="609"/>
      <c r="AN1085" s="609"/>
      <c r="AO1085" s="609"/>
      <c r="AP1085" s="609"/>
      <c r="AQ1085" s="609"/>
    </row>
    <row r="1086" spans="25:43" x14ac:dyDescent="0.4">
      <c r="Y1086" s="609"/>
      <c r="Z1086" s="609"/>
      <c r="AA1086" s="609"/>
      <c r="AB1086" s="609"/>
      <c r="AC1086" s="609"/>
      <c r="AD1086" s="609"/>
      <c r="AE1086" s="609"/>
      <c r="AF1086" s="609"/>
      <c r="AG1086" s="609"/>
      <c r="AH1086" s="609"/>
      <c r="AI1086" s="609"/>
      <c r="AJ1086" s="609"/>
      <c r="AK1086" s="609"/>
      <c r="AL1086" s="609"/>
      <c r="AM1086" s="609"/>
      <c r="AN1086" s="609"/>
      <c r="AO1086" s="609"/>
      <c r="AP1086" s="609"/>
      <c r="AQ1086" s="609"/>
    </row>
    <row r="1087" spans="25:43" x14ac:dyDescent="0.4">
      <c r="Y1087" s="609"/>
      <c r="Z1087" s="609"/>
      <c r="AA1087" s="609"/>
      <c r="AB1087" s="609"/>
      <c r="AC1087" s="609"/>
      <c r="AD1087" s="609"/>
      <c r="AE1087" s="609"/>
      <c r="AF1087" s="609"/>
      <c r="AG1087" s="609"/>
      <c r="AH1087" s="609"/>
      <c r="AI1087" s="609"/>
      <c r="AJ1087" s="609"/>
      <c r="AK1087" s="609"/>
      <c r="AL1087" s="609"/>
      <c r="AM1087" s="609"/>
      <c r="AN1087" s="609"/>
      <c r="AO1087" s="609"/>
      <c r="AP1087" s="609"/>
      <c r="AQ1087" s="609"/>
    </row>
    <row r="1088" spans="25:43" x14ac:dyDescent="0.4">
      <c r="Y1088" s="609"/>
      <c r="Z1088" s="609"/>
      <c r="AA1088" s="609"/>
      <c r="AB1088" s="609"/>
      <c r="AC1088" s="609"/>
      <c r="AD1088" s="609"/>
      <c r="AE1088" s="609"/>
      <c r="AF1088" s="609"/>
      <c r="AG1088" s="609"/>
      <c r="AH1088" s="609"/>
      <c r="AI1088" s="609"/>
      <c r="AJ1088" s="609"/>
      <c r="AK1088" s="609"/>
      <c r="AL1088" s="609"/>
      <c r="AM1088" s="609"/>
      <c r="AN1088" s="609"/>
      <c r="AO1088" s="609"/>
      <c r="AP1088" s="609"/>
      <c r="AQ1088" s="609"/>
    </row>
    <row r="1089" spans="25:43" x14ac:dyDescent="0.4">
      <c r="Y1089" s="609"/>
      <c r="Z1089" s="609"/>
      <c r="AA1089" s="609"/>
      <c r="AB1089" s="609"/>
      <c r="AC1089" s="609"/>
      <c r="AD1089" s="609"/>
      <c r="AE1089" s="609"/>
      <c r="AF1089" s="609"/>
      <c r="AG1089" s="609"/>
      <c r="AH1089" s="609"/>
      <c r="AI1089" s="609"/>
      <c r="AJ1089" s="609"/>
      <c r="AK1089" s="609"/>
      <c r="AL1089" s="609"/>
      <c r="AM1089" s="609"/>
      <c r="AN1089" s="609"/>
      <c r="AO1089" s="609"/>
      <c r="AP1089" s="609"/>
      <c r="AQ1089" s="609"/>
    </row>
    <row r="1090" spans="25:43" x14ac:dyDescent="0.4">
      <c r="Y1090" s="609"/>
      <c r="Z1090" s="609"/>
      <c r="AA1090" s="609"/>
      <c r="AB1090" s="609"/>
      <c r="AC1090" s="609"/>
      <c r="AD1090" s="609"/>
      <c r="AE1090" s="609"/>
      <c r="AF1090" s="609"/>
      <c r="AG1090" s="609"/>
      <c r="AH1090" s="609"/>
      <c r="AI1090" s="609"/>
      <c r="AJ1090" s="609"/>
      <c r="AK1090" s="609"/>
      <c r="AL1090" s="609"/>
      <c r="AM1090" s="609"/>
      <c r="AN1090" s="609"/>
      <c r="AO1090" s="609"/>
      <c r="AP1090" s="609"/>
      <c r="AQ1090" s="609"/>
    </row>
    <row r="1091" spans="25:43" x14ac:dyDescent="0.4">
      <c r="Y1091" s="609"/>
      <c r="Z1091" s="609"/>
      <c r="AA1091" s="609"/>
      <c r="AB1091" s="609"/>
      <c r="AC1091" s="609"/>
      <c r="AD1091" s="609"/>
      <c r="AE1091" s="609"/>
      <c r="AF1091" s="609"/>
      <c r="AG1091" s="609"/>
      <c r="AH1091" s="609"/>
      <c r="AI1091" s="609"/>
      <c r="AJ1091" s="609"/>
      <c r="AK1091" s="609"/>
      <c r="AL1091" s="609"/>
      <c r="AM1091" s="609"/>
      <c r="AN1091" s="609"/>
      <c r="AO1091" s="609"/>
      <c r="AP1091" s="609"/>
      <c r="AQ1091" s="609"/>
    </row>
    <row r="1092" spans="25:43" x14ac:dyDescent="0.4">
      <c r="Y1092" s="609"/>
      <c r="Z1092" s="609"/>
      <c r="AA1092" s="609"/>
      <c r="AB1092" s="609"/>
      <c r="AC1092" s="609"/>
      <c r="AD1092" s="609"/>
      <c r="AE1092" s="609"/>
      <c r="AF1092" s="609"/>
      <c r="AG1092" s="609"/>
      <c r="AH1092" s="609"/>
      <c r="AI1092" s="609"/>
      <c r="AJ1092" s="609"/>
      <c r="AK1092" s="609"/>
      <c r="AL1092" s="609"/>
      <c r="AM1092" s="609"/>
      <c r="AN1092" s="609"/>
      <c r="AO1092" s="609"/>
      <c r="AP1092" s="609"/>
      <c r="AQ1092" s="609"/>
    </row>
    <row r="1093" spans="25:43" x14ac:dyDescent="0.4">
      <c r="Y1093" s="609"/>
      <c r="Z1093" s="609"/>
      <c r="AA1093" s="609"/>
      <c r="AB1093" s="609"/>
      <c r="AC1093" s="609"/>
      <c r="AD1093" s="609"/>
      <c r="AE1093" s="609"/>
      <c r="AF1093" s="609"/>
      <c r="AG1093" s="609"/>
      <c r="AH1093" s="609"/>
      <c r="AI1093" s="609"/>
      <c r="AJ1093" s="609"/>
      <c r="AK1093" s="609"/>
      <c r="AL1093" s="609"/>
      <c r="AM1093" s="609"/>
      <c r="AN1093" s="609"/>
      <c r="AO1093" s="609"/>
      <c r="AP1093" s="609"/>
      <c r="AQ1093" s="609"/>
    </row>
    <row r="1094" spans="25:43" x14ac:dyDescent="0.4">
      <c r="Y1094" s="609"/>
      <c r="Z1094" s="609"/>
      <c r="AA1094" s="609"/>
      <c r="AB1094" s="609"/>
      <c r="AC1094" s="609"/>
      <c r="AD1094" s="609"/>
      <c r="AE1094" s="609"/>
      <c r="AF1094" s="609"/>
      <c r="AG1094" s="609"/>
      <c r="AH1094" s="609"/>
      <c r="AI1094" s="609"/>
      <c r="AJ1094" s="609"/>
      <c r="AK1094" s="609"/>
      <c r="AL1094" s="609"/>
      <c r="AM1094" s="609"/>
      <c r="AN1094" s="609"/>
      <c r="AO1094" s="609"/>
      <c r="AP1094" s="609"/>
      <c r="AQ1094" s="609"/>
    </row>
    <row r="1095" spans="25:43" x14ac:dyDescent="0.4">
      <c r="Y1095" s="609"/>
      <c r="Z1095" s="609"/>
      <c r="AA1095" s="609"/>
      <c r="AB1095" s="609"/>
      <c r="AC1095" s="609"/>
      <c r="AD1095" s="609"/>
      <c r="AE1095" s="609"/>
      <c r="AF1095" s="609"/>
      <c r="AG1095" s="609"/>
      <c r="AH1095" s="609"/>
      <c r="AI1095" s="609"/>
      <c r="AJ1095" s="609"/>
      <c r="AK1095" s="609"/>
      <c r="AL1095" s="609"/>
      <c r="AM1095" s="609"/>
      <c r="AN1095" s="609"/>
      <c r="AO1095" s="609"/>
      <c r="AP1095" s="609"/>
      <c r="AQ1095" s="609"/>
    </row>
    <row r="1096" spans="25:43" x14ac:dyDescent="0.4">
      <c r="Y1096" s="609"/>
      <c r="Z1096" s="609"/>
      <c r="AA1096" s="609"/>
      <c r="AB1096" s="609"/>
      <c r="AC1096" s="609"/>
      <c r="AD1096" s="609"/>
      <c r="AE1096" s="609"/>
      <c r="AF1096" s="609"/>
      <c r="AG1096" s="609"/>
      <c r="AH1096" s="609"/>
      <c r="AI1096" s="609"/>
      <c r="AJ1096" s="609"/>
      <c r="AK1096" s="609"/>
      <c r="AL1096" s="609"/>
      <c r="AM1096" s="609"/>
      <c r="AN1096" s="609"/>
      <c r="AO1096" s="609"/>
      <c r="AP1096" s="609"/>
      <c r="AQ1096" s="609"/>
    </row>
    <row r="1097" spans="25:43" x14ac:dyDescent="0.4">
      <c r="Y1097" s="609"/>
      <c r="Z1097" s="609"/>
      <c r="AA1097" s="609"/>
      <c r="AB1097" s="609"/>
      <c r="AC1097" s="609"/>
      <c r="AD1097" s="609"/>
      <c r="AE1097" s="609"/>
      <c r="AF1097" s="609"/>
      <c r="AG1097" s="609"/>
      <c r="AH1097" s="609"/>
      <c r="AI1097" s="609"/>
      <c r="AJ1097" s="609"/>
      <c r="AK1097" s="609"/>
      <c r="AL1097" s="609"/>
      <c r="AM1097" s="609"/>
      <c r="AN1097" s="609"/>
      <c r="AO1097" s="609"/>
      <c r="AP1097" s="609"/>
      <c r="AQ1097" s="609"/>
    </row>
    <row r="1098" spans="25:43" x14ac:dyDescent="0.4">
      <c r="Y1098" s="609"/>
      <c r="Z1098" s="609"/>
      <c r="AA1098" s="609"/>
      <c r="AB1098" s="609"/>
      <c r="AC1098" s="609"/>
      <c r="AD1098" s="609"/>
      <c r="AE1098" s="609"/>
      <c r="AF1098" s="609"/>
      <c r="AG1098" s="609"/>
      <c r="AH1098" s="609"/>
      <c r="AI1098" s="609"/>
      <c r="AJ1098" s="609"/>
      <c r="AK1098" s="609"/>
      <c r="AL1098" s="609"/>
      <c r="AM1098" s="609"/>
      <c r="AN1098" s="609"/>
      <c r="AO1098" s="609"/>
      <c r="AP1098" s="609"/>
      <c r="AQ1098" s="609"/>
    </row>
    <row r="1099" spans="25:43" x14ac:dyDescent="0.4">
      <c r="Y1099" s="609"/>
      <c r="Z1099" s="609"/>
      <c r="AA1099" s="609"/>
      <c r="AB1099" s="609"/>
      <c r="AC1099" s="609"/>
      <c r="AD1099" s="609"/>
      <c r="AE1099" s="609"/>
      <c r="AF1099" s="609"/>
      <c r="AG1099" s="609"/>
      <c r="AH1099" s="609"/>
      <c r="AI1099" s="609"/>
      <c r="AJ1099" s="609"/>
      <c r="AK1099" s="609"/>
      <c r="AL1099" s="609"/>
      <c r="AM1099" s="609"/>
      <c r="AN1099" s="609"/>
      <c r="AO1099" s="609"/>
      <c r="AP1099" s="609"/>
      <c r="AQ1099" s="609"/>
    </row>
    <row r="1100" spans="25:43" x14ac:dyDescent="0.4">
      <c r="Y1100" s="609"/>
      <c r="Z1100" s="609"/>
      <c r="AA1100" s="609"/>
      <c r="AB1100" s="609"/>
      <c r="AC1100" s="609"/>
      <c r="AD1100" s="609"/>
      <c r="AE1100" s="609"/>
      <c r="AF1100" s="609"/>
      <c r="AG1100" s="609"/>
      <c r="AH1100" s="609"/>
      <c r="AI1100" s="609"/>
      <c r="AJ1100" s="609"/>
      <c r="AK1100" s="609"/>
      <c r="AL1100" s="609"/>
      <c r="AM1100" s="609"/>
      <c r="AN1100" s="609"/>
      <c r="AO1100" s="609"/>
      <c r="AP1100" s="609"/>
      <c r="AQ1100" s="609"/>
    </row>
    <row r="1101" spans="25:43" x14ac:dyDescent="0.4">
      <c r="Y1101" s="609"/>
      <c r="Z1101" s="609"/>
      <c r="AA1101" s="609"/>
      <c r="AB1101" s="609"/>
      <c r="AC1101" s="609"/>
      <c r="AD1101" s="609"/>
      <c r="AE1101" s="609"/>
      <c r="AF1101" s="609"/>
      <c r="AG1101" s="609"/>
      <c r="AH1101" s="609"/>
      <c r="AI1101" s="609"/>
      <c r="AJ1101" s="609"/>
      <c r="AK1101" s="609"/>
      <c r="AL1101" s="609"/>
      <c r="AM1101" s="609"/>
      <c r="AN1101" s="609"/>
      <c r="AO1101" s="609"/>
      <c r="AP1101" s="609"/>
      <c r="AQ1101" s="609"/>
    </row>
    <row r="1102" spans="25:43" x14ac:dyDescent="0.4">
      <c r="Y1102" s="609"/>
      <c r="Z1102" s="609"/>
      <c r="AA1102" s="609"/>
      <c r="AB1102" s="609"/>
      <c r="AC1102" s="609"/>
      <c r="AD1102" s="609"/>
      <c r="AE1102" s="609"/>
      <c r="AF1102" s="609"/>
      <c r="AG1102" s="609"/>
      <c r="AH1102" s="609"/>
      <c r="AI1102" s="609"/>
      <c r="AJ1102" s="609"/>
      <c r="AK1102" s="609"/>
      <c r="AL1102" s="609"/>
      <c r="AM1102" s="609"/>
      <c r="AN1102" s="609"/>
      <c r="AO1102" s="609"/>
      <c r="AP1102" s="609"/>
      <c r="AQ1102" s="609"/>
    </row>
    <row r="1103" spans="25:43" x14ac:dyDescent="0.4">
      <c r="Y1103" s="609"/>
      <c r="Z1103" s="609"/>
      <c r="AA1103" s="609"/>
      <c r="AB1103" s="609"/>
      <c r="AC1103" s="609"/>
      <c r="AD1103" s="609"/>
      <c r="AE1103" s="609"/>
      <c r="AF1103" s="609"/>
      <c r="AG1103" s="609"/>
      <c r="AH1103" s="609"/>
      <c r="AI1103" s="609"/>
      <c r="AJ1103" s="609"/>
      <c r="AK1103" s="609"/>
      <c r="AL1103" s="609"/>
      <c r="AM1103" s="609"/>
      <c r="AN1103" s="609"/>
      <c r="AO1103" s="609"/>
      <c r="AP1103" s="609"/>
      <c r="AQ1103" s="609"/>
    </row>
    <row r="1104" spans="25:43" x14ac:dyDescent="0.4">
      <c r="Y1104" s="609"/>
      <c r="Z1104" s="609"/>
      <c r="AA1104" s="609"/>
      <c r="AB1104" s="609"/>
      <c r="AC1104" s="609"/>
      <c r="AD1104" s="609"/>
      <c r="AE1104" s="609"/>
      <c r="AF1104" s="609"/>
      <c r="AG1104" s="609"/>
      <c r="AH1104" s="609"/>
      <c r="AI1104" s="609"/>
      <c r="AJ1104" s="609"/>
      <c r="AK1104" s="609"/>
      <c r="AL1104" s="609"/>
      <c r="AM1104" s="609"/>
      <c r="AN1104" s="609"/>
      <c r="AO1104" s="609"/>
      <c r="AP1104" s="609"/>
      <c r="AQ1104" s="609"/>
    </row>
    <row r="1105" spans="25:43" x14ac:dyDescent="0.4">
      <c r="Y1105" s="609"/>
      <c r="Z1105" s="609"/>
      <c r="AA1105" s="609"/>
      <c r="AB1105" s="609"/>
      <c r="AC1105" s="609"/>
      <c r="AD1105" s="609"/>
      <c r="AE1105" s="609"/>
      <c r="AF1105" s="609"/>
      <c r="AG1105" s="609"/>
      <c r="AH1105" s="609"/>
      <c r="AI1105" s="609"/>
      <c r="AJ1105" s="609"/>
      <c r="AK1105" s="609"/>
      <c r="AL1105" s="609"/>
      <c r="AM1105" s="609"/>
      <c r="AN1105" s="609"/>
      <c r="AO1105" s="609"/>
      <c r="AP1105" s="609"/>
      <c r="AQ1105" s="609"/>
    </row>
    <row r="1106" spans="25:43" x14ac:dyDescent="0.4">
      <c r="Y1106" s="609"/>
      <c r="Z1106" s="609"/>
      <c r="AA1106" s="609"/>
      <c r="AB1106" s="609"/>
      <c r="AC1106" s="609"/>
      <c r="AD1106" s="609"/>
      <c r="AE1106" s="609"/>
      <c r="AF1106" s="609"/>
      <c r="AG1106" s="609"/>
      <c r="AH1106" s="609"/>
      <c r="AI1106" s="609"/>
      <c r="AJ1106" s="609"/>
      <c r="AK1106" s="609"/>
      <c r="AL1106" s="609"/>
      <c r="AM1106" s="609"/>
      <c r="AN1106" s="609"/>
      <c r="AO1106" s="609"/>
      <c r="AP1106" s="609"/>
      <c r="AQ1106" s="609"/>
    </row>
    <row r="1107" spans="25:43" x14ac:dyDescent="0.4">
      <c r="Y1107" s="609"/>
      <c r="Z1107" s="609"/>
      <c r="AA1107" s="609"/>
      <c r="AB1107" s="609"/>
      <c r="AC1107" s="609"/>
      <c r="AD1107" s="609"/>
      <c r="AE1107" s="609"/>
      <c r="AF1107" s="609"/>
      <c r="AG1107" s="609"/>
      <c r="AH1107" s="609"/>
      <c r="AI1107" s="609"/>
      <c r="AJ1107" s="609"/>
      <c r="AK1107" s="609"/>
      <c r="AL1107" s="609"/>
      <c r="AM1107" s="609"/>
      <c r="AN1107" s="609"/>
      <c r="AO1107" s="609"/>
      <c r="AP1107" s="609"/>
      <c r="AQ1107" s="609"/>
    </row>
    <row r="1108" spans="25:43" x14ac:dyDescent="0.4">
      <c r="Y1108" s="609"/>
      <c r="Z1108" s="609"/>
      <c r="AA1108" s="609"/>
      <c r="AB1108" s="609"/>
      <c r="AC1108" s="609"/>
      <c r="AD1108" s="609"/>
      <c r="AE1108" s="609"/>
      <c r="AF1108" s="609"/>
      <c r="AG1108" s="609"/>
      <c r="AH1108" s="609"/>
      <c r="AI1108" s="609"/>
      <c r="AJ1108" s="609"/>
      <c r="AK1108" s="609"/>
      <c r="AL1108" s="609"/>
      <c r="AM1108" s="609"/>
      <c r="AN1108" s="609"/>
      <c r="AO1108" s="609"/>
      <c r="AP1108" s="609"/>
      <c r="AQ1108" s="609"/>
    </row>
    <row r="1109" spans="25:43" x14ac:dyDescent="0.4">
      <c r="Y1109" s="609"/>
      <c r="Z1109" s="609"/>
      <c r="AA1109" s="609"/>
      <c r="AB1109" s="609"/>
      <c r="AC1109" s="609"/>
      <c r="AD1109" s="609"/>
      <c r="AE1109" s="609"/>
      <c r="AF1109" s="609"/>
      <c r="AG1109" s="609"/>
      <c r="AH1109" s="609"/>
      <c r="AI1109" s="609"/>
      <c r="AJ1109" s="609"/>
      <c r="AK1109" s="609"/>
      <c r="AL1109" s="609"/>
      <c r="AM1109" s="609"/>
      <c r="AN1109" s="609"/>
      <c r="AO1109" s="609"/>
      <c r="AP1109" s="609"/>
      <c r="AQ1109" s="609"/>
    </row>
    <row r="1110" spans="25:43" x14ac:dyDescent="0.4">
      <c r="Y1110" s="609"/>
      <c r="Z1110" s="609"/>
      <c r="AA1110" s="609"/>
      <c r="AB1110" s="609"/>
      <c r="AC1110" s="609"/>
      <c r="AD1110" s="609"/>
      <c r="AE1110" s="609"/>
      <c r="AF1110" s="609"/>
      <c r="AG1110" s="609"/>
      <c r="AH1110" s="609"/>
      <c r="AI1110" s="609"/>
      <c r="AJ1110" s="609"/>
      <c r="AK1110" s="609"/>
      <c r="AL1110" s="609"/>
      <c r="AM1110" s="609"/>
      <c r="AN1110" s="609"/>
      <c r="AO1110" s="609"/>
      <c r="AP1110" s="609"/>
      <c r="AQ1110" s="609"/>
    </row>
    <row r="1111" spans="25:43" x14ac:dyDescent="0.4">
      <c r="Y1111" s="609"/>
      <c r="Z1111" s="609"/>
      <c r="AA1111" s="609"/>
      <c r="AB1111" s="609"/>
      <c r="AC1111" s="609"/>
      <c r="AD1111" s="609"/>
      <c r="AE1111" s="609"/>
      <c r="AF1111" s="609"/>
      <c r="AG1111" s="609"/>
      <c r="AH1111" s="609"/>
      <c r="AI1111" s="609"/>
      <c r="AJ1111" s="609"/>
      <c r="AK1111" s="609"/>
      <c r="AL1111" s="609"/>
      <c r="AM1111" s="609"/>
      <c r="AN1111" s="609"/>
      <c r="AO1111" s="609"/>
      <c r="AP1111" s="609"/>
      <c r="AQ1111" s="609"/>
    </row>
    <row r="1112" spans="25:43" x14ac:dyDescent="0.4">
      <c r="Y1112" s="609"/>
      <c r="Z1112" s="609"/>
      <c r="AA1112" s="609"/>
      <c r="AB1112" s="609"/>
      <c r="AC1112" s="609"/>
      <c r="AD1112" s="609"/>
      <c r="AE1112" s="609"/>
      <c r="AF1112" s="609"/>
      <c r="AG1112" s="609"/>
      <c r="AH1112" s="609"/>
      <c r="AI1112" s="609"/>
      <c r="AJ1112" s="609"/>
      <c r="AK1112" s="609"/>
      <c r="AL1112" s="609"/>
      <c r="AM1112" s="609"/>
      <c r="AN1112" s="609"/>
      <c r="AO1112" s="609"/>
      <c r="AP1112" s="609"/>
      <c r="AQ1112" s="609"/>
    </row>
    <row r="1113" spans="25:43" x14ac:dyDescent="0.4">
      <c r="Y1113" s="609"/>
      <c r="Z1113" s="609"/>
      <c r="AA1113" s="609"/>
      <c r="AB1113" s="609"/>
      <c r="AC1113" s="609"/>
      <c r="AD1113" s="609"/>
      <c r="AE1113" s="609"/>
      <c r="AF1113" s="609"/>
      <c r="AG1113" s="609"/>
      <c r="AH1113" s="609"/>
      <c r="AI1113" s="609"/>
      <c r="AJ1113" s="609"/>
      <c r="AK1113" s="609"/>
      <c r="AL1113" s="609"/>
      <c r="AM1113" s="609"/>
      <c r="AN1113" s="609"/>
      <c r="AO1113" s="609"/>
      <c r="AP1113" s="609"/>
      <c r="AQ1113" s="609"/>
    </row>
    <row r="1114" spans="25:43" x14ac:dyDescent="0.4">
      <c r="Y1114" s="609"/>
      <c r="Z1114" s="609"/>
      <c r="AA1114" s="609"/>
      <c r="AB1114" s="609"/>
      <c r="AC1114" s="609"/>
      <c r="AD1114" s="609"/>
      <c r="AE1114" s="609"/>
      <c r="AF1114" s="609"/>
      <c r="AG1114" s="609"/>
      <c r="AH1114" s="609"/>
      <c r="AI1114" s="609"/>
      <c r="AJ1114" s="609"/>
      <c r="AK1114" s="609"/>
      <c r="AL1114" s="609"/>
      <c r="AM1114" s="609"/>
      <c r="AN1114" s="609"/>
      <c r="AO1114" s="609"/>
      <c r="AP1114" s="609"/>
      <c r="AQ1114" s="609"/>
    </row>
    <row r="1115" spans="25:43" x14ac:dyDescent="0.4">
      <c r="Y1115" s="609"/>
      <c r="Z1115" s="609"/>
      <c r="AA1115" s="609"/>
      <c r="AB1115" s="609"/>
      <c r="AC1115" s="609"/>
      <c r="AD1115" s="609"/>
      <c r="AE1115" s="609"/>
      <c r="AF1115" s="609"/>
      <c r="AG1115" s="609"/>
      <c r="AH1115" s="609"/>
      <c r="AI1115" s="609"/>
      <c r="AJ1115" s="609"/>
      <c r="AK1115" s="609"/>
      <c r="AL1115" s="609"/>
      <c r="AM1115" s="609"/>
      <c r="AN1115" s="609"/>
      <c r="AO1115" s="609"/>
      <c r="AP1115" s="609"/>
      <c r="AQ1115" s="609"/>
    </row>
    <row r="1116" spans="25:43" x14ac:dyDescent="0.4">
      <c r="Y1116" s="609"/>
      <c r="Z1116" s="609"/>
      <c r="AA1116" s="609"/>
      <c r="AB1116" s="609"/>
      <c r="AC1116" s="609"/>
      <c r="AD1116" s="609"/>
      <c r="AE1116" s="609"/>
      <c r="AF1116" s="609"/>
      <c r="AG1116" s="609"/>
      <c r="AH1116" s="609"/>
      <c r="AI1116" s="609"/>
      <c r="AJ1116" s="609"/>
      <c r="AK1116" s="609"/>
      <c r="AL1116" s="609"/>
      <c r="AM1116" s="609"/>
      <c r="AN1116" s="609"/>
      <c r="AO1116" s="609"/>
      <c r="AP1116" s="609"/>
      <c r="AQ1116" s="609"/>
    </row>
    <row r="1117" spans="25:43" x14ac:dyDescent="0.4">
      <c r="Y1117" s="609"/>
      <c r="Z1117" s="609"/>
      <c r="AA1117" s="609"/>
      <c r="AB1117" s="609"/>
      <c r="AC1117" s="609"/>
      <c r="AD1117" s="609"/>
      <c r="AE1117" s="609"/>
      <c r="AF1117" s="609"/>
      <c r="AG1117" s="609"/>
      <c r="AH1117" s="609"/>
      <c r="AI1117" s="609"/>
      <c r="AJ1117" s="609"/>
      <c r="AK1117" s="609"/>
      <c r="AL1117" s="609"/>
      <c r="AM1117" s="609"/>
      <c r="AN1117" s="609"/>
      <c r="AO1117" s="609"/>
      <c r="AP1117" s="609"/>
      <c r="AQ1117" s="609"/>
    </row>
    <row r="1118" spans="25:43" x14ac:dyDescent="0.4">
      <c r="Y1118" s="609"/>
      <c r="Z1118" s="609"/>
      <c r="AA1118" s="609"/>
      <c r="AB1118" s="609"/>
      <c r="AC1118" s="609"/>
      <c r="AD1118" s="609"/>
      <c r="AE1118" s="609"/>
      <c r="AF1118" s="609"/>
      <c r="AG1118" s="609"/>
      <c r="AH1118" s="609"/>
      <c r="AI1118" s="609"/>
      <c r="AJ1118" s="609"/>
      <c r="AK1118" s="609"/>
      <c r="AL1118" s="609"/>
      <c r="AM1118" s="609"/>
      <c r="AN1118" s="609"/>
      <c r="AO1118" s="609"/>
      <c r="AP1118" s="609"/>
      <c r="AQ1118" s="609"/>
    </row>
    <row r="1119" spans="25:43" x14ac:dyDescent="0.4">
      <c r="Y1119" s="609"/>
      <c r="Z1119" s="609"/>
      <c r="AA1119" s="609"/>
      <c r="AB1119" s="609"/>
      <c r="AC1119" s="609"/>
      <c r="AD1119" s="609"/>
      <c r="AE1119" s="609"/>
      <c r="AF1119" s="609"/>
      <c r="AG1119" s="609"/>
      <c r="AH1119" s="609"/>
      <c r="AI1119" s="609"/>
      <c r="AJ1119" s="609"/>
      <c r="AK1119" s="609"/>
      <c r="AL1119" s="609"/>
      <c r="AM1119" s="609"/>
      <c r="AN1119" s="609"/>
      <c r="AO1119" s="609"/>
      <c r="AP1119" s="609"/>
      <c r="AQ1119" s="609"/>
    </row>
    <row r="1120" spans="25:43" x14ac:dyDescent="0.4">
      <c r="Y1120" s="609"/>
      <c r="Z1120" s="609"/>
      <c r="AA1120" s="609"/>
      <c r="AB1120" s="609"/>
      <c r="AC1120" s="609"/>
      <c r="AD1120" s="609"/>
      <c r="AE1120" s="609"/>
      <c r="AF1120" s="609"/>
      <c r="AG1120" s="609"/>
      <c r="AH1120" s="609"/>
      <c r="AI1120" s="609"/>
      <c r="AJ1120" s="609"/>
      <c r="AK1120" s="609"/>
      <c r="AL1120" s="609"/>
      <c r="AM1120" s="609"/>
      <c r="AN1120" s="609"/>
      <c r="AO1120" s="609"/>
      <c r="AP1120" s="609"/>
      <c r="AQ1120" s="609"/>
    </row>
    <row r="1121" spans="25:43" x14ac:dyDescent="0.4">
      <c r="Y1121" s="609"/>
      <c r="Z1121" s="609"/>
      <c r="AA1121" s="609"/>
      <c r="AB1121" s="609"/>
      <c r="AC1121" s="609"/>
      <c r="AD1121" s="609"/>
      <c r="AE1121" s="609"/>
      <c r="AF1121" s="609"/>
      <c r="AG1121" s="609"/>
      <c r="AH1121" s="609"/>
      <c r="AI1121" s="609"/>
      <c r="AJ1121" s="609"/>
      <c r="AK1121" s="609"/>
      <c r="AL1121" s="609"/>
      <c r="AM1121" s="609"/>
      <c r="AN1121" s="609"/>
      <c r="AO1121" s="609"/>
      <c r="AP1121" s="609"/>
      <c r="AQ1121" s="609"/>
    </row>
    <row r="1122" spans="25:43" x14ac:dyDescent="0.4">
      <c r="Y1122" s="609"/>
      <c r="Z1122" s="609"/>
      <c r="AA1122" s="609"/>
      <c r="AB1122" s="609"/>
      <c r="AC1122" s="609"/>
      <c r="AD1122" s="609"/>
      <c r="AE1122" s="609"/>
      <c r="AF1122" s="609"/>
      <c r="AG1122" s="609"/>
      <c r="AH1122" s="609"/>
      <c r="AI1122" s="609"/>
      <c r="AJ1122" s="609"/>
      <c r="AK1122" s="609"/>
      <c r="AL1122" s="609"/>
      <c r="AM1122" s="609"/>
      <c r="AN1122" s="609"/>
      <c r="AO1122" s="609"/>
      <c r="AP1122" s="609"/>
      <c r="AQ1122" s="609"/>
    </row>
    <row r="1123" spans="25:43" x14ac:dyDescent="0.4">
      <c r="Y1123" s="609"/>
      <c r="Z1123" s="609"/>
      <c r="AA1123" s="609"/>
      <c r="AB1123" s="609"/>
      <c r="AC1123" s="609"/>
      <c r="AD1123" s="609"/>
      <c r="AE1123" s="609"/>
      <c r="AF1123" s="609"/>
      <c r="AG1123" s="609"/>
      <c r="AH1123" s="609"/>
      <c r="AI1123" s="609"/>
      <c r="AJ1123" s="609"/>
      <c r="AK1123" s="609"/>
      <c r="AL1123" s="609"/>
      <c r="AM1123" s="609"/>
      <c r="AN1123" s="609"/>
      <c r="AO1123" s="609"/>
      <c r="AP1123" s="609"/>
      <c r="AQ1123" s="609"/>
    </row>
    <row r="1124" spans="25:43" x14ac:dyDescent="0.4">
      <c r="Y1124" s="609"/>
      <c r="Z1124" s="609"/>
      <c r="AA1124" s="609"/>
      <c r="AB1124" s="609"/>
      <c r="AC1124" s="609"/>
      <c r="AD1124" s="609"/>
      <c r="AE1124" s="609"/>
      <c r="AF1124" s="609"/>
      <c r="AG1124" s="609"/>
      <c r="AH1124" s="609"/>
      <c r="AI1124" s="609"/>
      <c r="AJ1124" s="609"/>
      <c r="AK1124" s="609"/>
      <c r="AL1124" s="609"/>
      <c r="AM1124" s="609"/>
      <c r="AN1124" s="609"/>
      <c r="AO1124" s="609"/>
      <c r="AP1124" s="609"/>
      <c r="AQ1124" s="609"/>
    </row>
    <row r="1125" spans="25:43" x14ac:dyDescent="0.4">
      <c r="Y1125" s="609"/>
      <c r="Z1125" s="609"/>
      <c r="AA1125" s="609"/>
      <c r="AB1125" s="609"/>
      <c r="AC1125" s="609"/>
      <c r="AD1125" s="609"/>
      <c r="AE1125" s="609"/>
      <c r="AF1125" s="609"/>
      <c r="AG1125" s="609"/>
      <c r="AH1125" s="609"/>
      <c r="AI1125" s="609"/>
      <c r="AJ1125" s="609"/>
      <c r="AK1125" s="609"/>
      <c r="AL1125" s="609"/>
      <c r="AM1125" s="609"/>
      <c r="AN1125" s="609"/>
      <c r="AO1125" s="609"/>
      <c r="AP1125" s="609"/>
      <c r="AQ1125" s="609"/>
    </row>
    <row r="1126" spans="25:43" x14ac:dyDescent="0.4">
      <c r="Y1126" s="609"/>
      <c r="Z1126" s="609"/>
      <c r="AA1126" s="609"/>
      <c r="AB1126" s="609"/>
      <c r="AC1126" s="609"/>
      <c r="AD1126" s="609"/>
      <c r="AE1126" s="609"/>
      <c r="AF1126" s="609"/>
      <c r="AG1126" s="609"/>
      <c r="AH1126" s="609"/>
      <c r="AI1126" s="609"/>
      <c r="AJ1126" s="609"/>
      <c r="AK1126" s="609"/>
      <c r="AL1126" s="609"/>
      <c r="AM1126" s="609"/>
      <c r="AN1126" s="609"/>
      <c r="AO1126" s="609"/>
      <c r="AP1126" s="609"/>
      <c r="AQ1126" s="609"/>
    </row>
    <row r="1127" spans="25:43" x14ac:dyDescent="0.4">
      <c r="Y1127" s="609"/>
      <c r="Z1127" s="609"/>
      <c r="AA1127" s="609"/>
      <c r="AB1127" s="609"/>
      <c r="AC1127" s="609"/>
      <c r="AD1127" s="609"/>
      <c r="AE1127" s="609"/>
      <c r="AF1127" s="609"/>
      <c r="AG1127" s="609"/>
      <c r="AH1127" s="609"/>
      <c r="AI1127" s="609"/>
      <c r="AJ1127" s="609"/>
      <c r="AK1127" s="609"/>
      <c r="AL1127" s="609"/>
      <c r="AM1127" s="609"/>
      <c r="AN1127" s="609"/>
      <c r="AO1127" s="609"/>
      <c r="AP1127" s="609"/>
      <c r="AQ1127" s="609"/>
    </row>
  </sheetData>
  <mergeCells count="28">
    <mergeCell ref="W57:X57"/>
    <mergeCell ref="C3:L3"/>
    <mergeCell ref="N3:X3"/>
    <mergeCell ref="AY3:BA3"/>
    <mergeCell ref="BD3:BG3"/>
    <mergeCell ref="AA3:AK3"/>
    <mergeCell ref="AM3:AW3"/>
    <mergeCell ref="B57:C57"/>
    <mergeCell ref="Q57:R57"/>
    <mergeCell ref="L57:M57"/>
    <mergeCell ref="H57:I57"/>
    <mergeCell ref="E57:F57"/>
    <mergeCell ref="B110:D110"/>
    <mergeCell ref="F110:H110"/>
    <mergeCell ref="J110:N110"/>
    <mergeCell ref="P110:S110"/>
    <mergeCell ref="V110:AC110"/>
    <mergeCell ref="AE110:AI110"/>
    <mergeCell ref="AA57:AB57"/>
    <mergeCell ref="AD57:AE57"/>
    <mergeCell ref="AG57:AH57"/>
    <mergeCell ref="AK57:AN57"/>
    <mergeCell ref="AK110:AT110"/>
    <mergeCell ref="B167:K167"/>
    <mergeCell ref="N167:V167"/>
    <mergeCell ref="Y167:AF167"/>
    <mergeCell ref="AI167:AP167"/>
    <mergeCell ref="AS167:AZ167"/>
  </mergeCells>
  <pageMargins left="0.7" right="0.7" top="0.75" bottom="0.75" header="0.3" footer="0.3"/>
  <cellWatches>
    <cellWatch r="AZ131"/>
    <cellWatch r="AZ132"/>
    <cellWatch r="AZ133"/>
    <cellWatch r="AZ134"/>
    <cellWatch r="AZ135"/>
    <cellWatch r="AZ136"/>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204"/>
    <cellWatch r="AZ205"/>
    <cellWatch r="AZ206"/>
    <cellWatch r="AZ207"/>
    <cellWatch r="AZ208"/>
    <cellWatch r="AZ209"/>
    <cellWatch r="AZ210"/>
    <cellWatch r="AZ21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166"/>
    <cellWatch r="AZ167"/>
    <cellWatch r="AZ168"/>
    <cellWatch r="BB131"/>
    <cellWatch r="BB132"/>
    <cellWatch r="BB133"/>
    <cellWatch r="BB134"/>
    <cellWatch r="BB135"/>
    <cellWatch r="BB136"/>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AZ288"/>
    <cellWatch r="AZ289"/>
    <cellWatch r="AZ290"/>
    <cellWatch r="AZ291"/>
    <cellWatch r="AZ292"/>
    <cellWatch r="AZ293"/>
    <cellWatch r="AZ294"/>
    <cellWatch r="AZ295"/>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Y142"/>
    <cellWatch r="AY143"/>
    <cellWatch r="AY144"/>
    <cellWatch r="AY145"/>
    <cellWatch r="AY146"/>
    <cellWatch r="AY147"/>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Z169"/>
    <cellWatch r="AZ170"/>
    <cellWatch r="AZ171"/>
    <cellWatch r="AZ172"/>
    <cellWatch r="AZ173"/>
    <cellWatch r="AZ174"/>
    <cellWatch r="AY140"/>
    <cellWatch r="AY141"/>
    <cellWatch r="AZ234"/>
    <cellWatch r="AZ235"/>
    <cellWatch r="AZ236"/>
    <cellWatch r="AZ237"/>
    <cellWatch r="AZ238"/>
    <cellWatch r="AZ239"/>
    <cellWatch r="AZ240"/>
    <cellWatch r="AZ241"/>
    <cellWatch r="AZ242"/>
    <cellWatch r="AZ243"/>
    <cellWatch r="AZ244"/>
    <cellWatch r="BA131"/>
    <cellWatch r="BA132"/>
    <cellWatch r="BA133"/>
    <cellWatch r="BA134"/>
    <cellWatch r="BA135"/>
    <cellWatch r="BA136"/>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AY175"/>
    <cellWatch r="AZ314"/>
    <cellWatch r="BB166"/>
    <cellWatch r="BB167"/>
    <cellWatch r="AY176"/>
    <cellWatch r="AY177"/>
    <cellWatch r="AY178"/>
    <cellWatch r="AY179"/>
    <cellWatch r="AY180"/>
    <cellWatch r="AY139"/>
    <cellWatch r="AY212"/>
    <cellWatch r="AY213"/>
    <cellWatch r="AY214"/>
    <cellWatch r="AY215"/>
    <cellWatch r="AY216"/>
    <cellWatch r="AY217"/>
    <cellWatch r="AY218"/>
    <cellWatch r="AY219"/>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X150"/>
    <cellWatch r="AX151"/>
    <cellWatch r="AX152"/>
    <cellWatch r="AX153"/>
    <cellWatch r="AX154"/>
    <cellWatch r="AX155"/>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Y296"/>
    <cellWatch r="AY297"/>
    <cellWatch r="AY298"/>
    <cellWatch r="AY299"/>
    <cellWatch r="AY300"/>
    <cellWatch r="AY301"/>
    <cellWatch r="AY302"/>
    <cellWatch r="AY303"/>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BA167"/>
    <cellWatch r="BA168"/>
    <cellWatch r="BA169"/>
    <cellWatch r="BA170"/>
    <cellWatch r="BA171"/>
    <cellWatch r="BA172"/>
    <cellWatch r="AY242"/>
    <cellWatch r="AY243"/>
    <cellWatch r="AY244"/>
    <cellWatch r="AY245"/>
    <cellWatch r="AY246"/>
    <cellWatch r="AX183"/>
    <cellWatch r="AX184"/>
    <cellWatch r="AX185"/>
    <cellWatch r="AX186"/>
    <cellWatch r="AX187"/>
    <cellWatch r="AZ315"/>
    <cellWatch r="AY133"/>
    <cellWatch r="AY134"/>
    <cellWatch r="AY135"/>
    <cellWatch r="AY136"/>
    <cellWatch r="AY137"/>
    <cellWatch r="AY138"/>
    <cellWatch r="AY129"/>
    <cellWatch r="AY130"/>
    <cellWatch r="AY131"/>
    <cellWatch r="AY132"/>
    <cellWatch r="BA204"/>
    <cellWatch r="BA205"/>
    <cellWatch r="BA206"/>
    <cellWatch r="BA207"/>
    <cellWatch r="BA208"/>
    <cellWatch r="BA209"/>
    <cellWatch r="BA210"/>
    <cellWatch r="BA211"/>
    <cellWatch r="BA212"/>
    <cellWatch r="BA213"/>
    <cellWatch r="BA214"/>
    <cellWatch r="BA215"/>
    <cellWatch r="BA216"/>
    <cellWatch r="BA217"/>
    <cellWatch r="BA218"/>
    <cellWatch r="BA219"/>
    <cellWatch r="BA220"/>
    <cellWatch r="BA221"/>
    <cellWatch r="BA222"/>
    <cellWatch r="BA223"/>
    <cellWatch r="BA224"/>
    <cellWatch r="BA225"/>
    <cellWatch r="BA226"/>
    <cellWatch r="BA227"/>
    <cellWatch r="BA228"/>
    <cellWatch r="BA229"/>
    <cellWatch r="BA230"/>
    <cellWatch r="BA231"/>
    <cellWatch r="BA232"/>
    <cellWatch r="BA233"/>
    <cellWatch r="BC131"/>
    <cellWatch r="BC132"/>
    <cellWatch r="BC133"/>
    <cellWatch r="BC134"/>
    <cellWatch r="BC135"/>
    <cellWatch r="BC136"/>
    <cellWatch r="BC137"/>
    <cellWatch r="BC138"/>
    <cellWatch r="BC139"/>
    <cellWatch r="BC140"/>
    <cellWatch r="BC141"/>
    <cellWatch r="BC142"/>
    <cellWatch r="BC143"/>
    <cellWatch r="BC144"/>
    <cellWatch r="BC145"/>
    <cellWatch r="BC146"/>
    <cellWatch r="BC147"/>
    <cellWatch r="BC148"/>
    <cellWatch r="BC149"/>
    <cellWatch r="BC150"/>
    <cellWatch r="BC151"/>
    <cellWatch r="BC152"/>
    <cellWatch r="BC153"/>
    <cellWatch r="BC154"/>
    <cellWatch r="BC155"/>
    <cellWatch r="BC156"/>
    <cellWatch r="BC157"/>
    <cellWatch r="BC158"/>
    <cellWatch r="BC159"/>
    <cellWatch r="BC160"/>
    <cellWatch r="BC161"/>
    <cellWatch r="BC162"/>
    <cellWatch r="BC163"/>
    <cellWatch r="BC164"/>
    <cellWatch r="BC165"/>
    <cellWatch r="AZ175"/>
    <cellWatch r="AZ176"/>
    <cellWatch r="AZ177"/>
    <cellWatch r="AZ178"/>
    <cellWatch r="AZ179"/>
    <cellWatch r="BB168"/>
    <cellWatch r="BB169"/>
    <cellWatch r="AZ316"/>
    <cellWatch r="AZ317"/>
    <cellWatch r="AY181"/>
    <cellWatch r="AY182"/>
    <cellWatch r="AY183"/>
    <cellWatch r="AZ245"/>
    <cellWatch r="AZ318"/>
    <cellWatch r="AZ319"/>
    <cellWatch r="AZ320"/>
    <cellWatch r="BB170"/>
    <cellWatch r="BB171"/>
    <cellWatch r="AY184"/>
    <cellWatch r="AY185"/>
    <cellWatch r="AY186"/>
    <cellWatch r="AZ180"/>
    <cellWatch r="AZ246"/>
    <cellWatch r="AZ247"/>
    <cellWatch r="AZ321"/>
    <cellWatch r="AZ322"/>
    <cellWatch r="BB172"/>
    <cellWatch r="BB173"/>
    <cellWatch r="AY187"/>
    <cellWatch r="AY188"/>
    <cellWatch r="AZ181"/>
    <cellWatch r="AZ182"/>
  </cellWatch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C1BCC-9B72-47FD-9EA8-0D6DE75CD7A8}">
  <dimension ref="A3:CD217"/>
  <sheetViews>
    <sheetView zoomScale="60" zoomScaleNormal="60" workbookViewId="0">
      <selection activeCell="C7" sqref="C7"/>
    </sheetView>
  </sheetViews>
  <sheetFormatPr defaultColWidth="10.6640625" defaultRowHeight="12.3" x14ac:dyDescent="0.4"/>
  <cols>
    <col min="1" max="14" width="10.6640625" style="609"/>
    <col min="15" max="15" width="12.6640625" style="609" bestFit="1" customWidth="1"/>
    <col min="16" max="20" width="11.6640625" style="609" bestFit="1" customWidth="1"/>
    <col min="21" max="21" width="11" style="609" bestFit="1" customWidth="1"/>
    <col min="22" max="22" width="11.6640625" style="609" bestFit="1" customWidth="1"/>
    <col min="23" max="16384" width="10.6640625" style="609"/>
  </cols>
  <sheetData>
    <row r="3" spans="1:82" ht="200.05" customHeight="1" x14ac:dyDescent="0.75">
      <c r="A3" s="336" t="s">
        <v>121</v>
      </c>
      <c r="C3" s="1276" t="s">
        <v>457</v>
      </c>
      <c r="D3" s="1276"/>
      <c r="E3" s="1276"/>
      <c r="F3" s="1276"/>
      <c r="G3" s="1276"/>
      <c r="H3" s="1276"/>
      <c r="I3" s="1276"/>
      <c r="J3" s="1276"/>
      <c r="K3" s="1276"/>
      <c r="L3" s="1276"/>
      <c r="N3" s="1276" t="s">
        <v>458</v>
      </c>
      <c r="O3" s="1276"/>
      <c r="P3" s="1276"/>
      <c r="Q3" s="1276"/>
      <c r="R3" s="1276"/>
      <c r="S3" s="1276"/>
      <c r="T3" s="1276"/>
      <c r="U3" s="1276"/>
      <c r="V3" s="1276"/>
      <c r="W3" s="1276"/>
      <c r="X3" s="1276"/>
      <c r="AA3" s="1276" t="s">
        <v>459</v>
      </c>
      <c r="AB3" s="1276"/>
      <c r="AC3" s="1276"/>
      <c r="AD3" s="1276"/>
      <c r="AE3" s="1276"/>
      <c r="AF3" s="1276"/>
      <c r="AG3" s="1276"/>
      <c r="AH3" s="1276"/>
      <c r="AI3" s="1276"/>
      <c r="AJ3" s="1276"/>
      <c r="AK3" s="1276"/>
      <c r="AM3" s="1276" t="s">
        <v>460</v>
      </c>
      <c r="AN3" s="1276"/>
      <c r="AO3" s="1276"/>
      <c r="AP3" s="1276"/>
      <c r="AQ3" s="1276"/>
      <c r="AR3" s="1276"/>
      <c r="AS3" s="1276"/>
      <c r="AT3" s="1276"/>
      <c r="AU3" s="1276"/>
      <c r="AV3" s="1276"/>
      <c r="AW3" s="1276"/>
      <c r="AY3" s="1275" t="s">
        <v>464</v>
      </c>
      <c r="AZ3" s="1276"/>
      <c r="BA3" s="1276"/>
      <c r="BB3" s="1171"/>
      <c r="BD3" s="1275" t="s">
        <v>465</v>
      </c>
      <c r="BE3" s="1276"/>
      <c r="BF3" s="1276"/>
      <c r="BG3" s="1276"/>
    </row>
    <row r="4" spans="1:82" x14ac:dyDescent="0.4">
      <c r="AY4" s="1" t="s">
        <v>145</v>
      </c>
    </row>
    <row r="5" spans="1:82" x14ac:dyDescent="0.4">
      <c r="B5" s="1" t="s">
        <v>117</v>
      </c>
      <c r="N5" s="1" t="s">
        <v>120</v>
      </c>
      <c r="P5" s="723">
        <v>0.3923628847237593</v>
      </c>
      <c r="Q5" s="723">
        <v>2.8208158898636228E-2</v>
      </c>
      <c r="R5" s="723">
        <v>0.16053697893771696</v>
      </c>
      <c r="S5" s="723">
        <v>0.28956111294522879</v>
      </c>
      <c r="T5" s="723">
        <v>0.12904008783177426</v>
      </c>
      <c r="U5" s="723">
        <v>0.13109840341779183</v>
      </c>
      <c r="V5" s="723">
        <v>0.1618518300474058</v>
      </c>
      <c r="W5" s="723">
        <v>0.12005863532819515</v>
      </c>
      <c r="X5" s="723">
        <v>7.8882908327004189E-2</v>
      </c>
      <c r="AA5" s="1" t="s">
        <v>124</v>
      </c>
      <c r="AC5" s="1165">
        <v>0.29521194923138244</v>
      </c>
      <c r="AD5" s="1165">
        <v>4.7083317113059776E-2</v>
      </c>
      <c r="AE5" s="1165">
        <v>0.14491616365292201</v>
      </c>
      <c r="AF5" s="1165">
        <v>0.39560111045185731</v>
      </c>
      <c r="AG5" s="1165">
        <v>0.11718745955077833</v>
      </c>
      <c r="AM5" s="1" t="s">
        <v>122</v>
      </c>
      <c r="AY5" s="1" t="s">
        <v>123</v>
      </c>
      <c r="BA5" s="609" t="s">
        <v>462</v>
      </c>
    </row>
    <row r="6" spans="1:82" ht="15" x14ac:dyDescent="0.5">
      <c r="B6" s="2" t="s">
        <v>114</v>
      </c>
      <c r="C6" s="334" t="s">
        <v>115</v>
      </c>
      <c r="D6" s="2" t="s">
        <v>36</v>
      </c>
      <c r="E6" s="2" t="s">
        <v>44</v>
      </c>
      <c r="F6" s="2" t="s">
        <v>46</v>
      </c>
      <c r="G6" s="2" t="s">
        <v>49</v>
      </c>
      <c r="H6" s="2" t="s">
        <v>52</v>
      </c>
      <c r="I6" s="2" t="s">
        <v>55</v>
      </c>
      <c r="J6" s="2" t="s">
        <v>58</v>
      </c>
      <c r="K6" s="2" t="s">
        <v>60</v>
      </c>
      <c r="L6" s="2" t="s">
        <v>61</v>
      </c>
      <c r="N6" s="2" t="s">
        <v>114</v>
      </c>
      <c r="O6" s="334" t="s">
        <v>115</v>
      </c>
      <c r="P6" s="2" t="s">
        <v>36</v>
      </c>
      <c r="Q6" s="2" t="s">
        <v>44</v>
      </c>
      <c r="R6" s="2" t="s">
        <v>46</v>
      </c>
      <c r="S6" s="2" t="s">
        <v>49</v>
      </c>
      <c r="T6" s="2" t="s">
        <v>52</v>
      </c>
      <c r="U6" s="2" t="s">
        <v>55</v>
      </c>
      <c r="V6" s="2" t="s">
        <v>58</v>
      </c>
      <c r="W6" s="2" t="s">
        <v>60</v>
      </c>
      <c r="X6" s="2" t="s">
        <v>61</v>
      </c>
      <c r="AA6" s="2" t="s">
        <v>114</v>
      </c>
      <c r="AB6" s="334" t="s">
        <v>115</v>
      </c>
      <c r="AC6" s="2" t="s">
        <v>36</v>
      </c>
      <c r="AD6" s="2" t="s">
        <v>44</v>
      </c>
      <c r="AE6" s="2" t="s">
        <v>46</v>
      </c>
      <c r="AF6" s="2" t="s">
        <v>49</v>
      </c>
      <c r="AG6" s="2" t="s">
        <v>52</v>
      </c>
      <c r="AH6" s="2" t="s">
        <v>55</v>
      </c>
      <c r="AI6" s="2" t="s">
        <v>58</v>
      </c>
      <c r="AJ6" s="2" t="s">
        <v>60</v>
      </c>
      <c r="AK6" s="2" t="s">
        <v>61</v>
      </c>
      <c r="AM6" s="2" t="s">
        <v>114</v>
      </c>
      <c r="AN6" s="334" t="s">
        <v>115</v>
      </c>
      <c r="AO6" s="2" t="s">
        <v>36</v>
      </c>
      <c r="AP6" s="2" t="s">
        <v>44</v>
      </c>
      <c r="AQ6" s="2" t="s">
        <v>46</v>
      </c>
      <c r="AR6" s="2" t="s">
        <v>49</v>
      </c>
      <c r="AS6" s="2" t="s">
        <v>52</v>
      </c>
      <c r="AT6" s="2" t="s">
        <v>55</v>
      </c>
      <c r="AU6" s="2" t="s">
        <v>58</v>
      </c>
      <c r="AV6" s="2" t="s">
        <v>60</v>
      </c>
      <c r="AW6" s="2" t="s">
        <v>61</v>
      </c>
      <c r="AY6" s="2" t="s">
        <v>114</v>
      </c>
      <c r="AZ6" s="334" t="s">
        <v>115</v>
      </c>
      <c r="BA6" s="625" t="s">
        <v>461</v>
      </c>
      <c r="BD6" s="2" t="s">
        <v>114</v>
      </c>
      <c r="BE6" s="334" t="s">
        <v>156</v>
      </c>
      <c r="BF6" s="334" t="s">
        <v>157</v>
      </c>
      <c r="BG6" s="334" t="s">
        <v>158</v>
      </c>
    </row>
    <row r="7" spans="1:82" ht="14.4" x14ac:dyDescent="0.55000000000000004">
      <c r="B7" s="3">
        <v>2014</v>
      </c>
      <c r="C7" s="707">
        <v>1773.3333333333333</v>
      </c>
      <c r="D7" s="965">
        <v>531.34132420091328</v>
      </c>
      <c r="E7" s="965">
        <v>176.93333333333334</v>
      </c>
      <c r="F7" s="965">
        <v>747.38515981735168</v>
      </c>
      <c r="G7" s="965">
        <v>255.31210045662093</v>
      </c>
      <c r="H7" s="965">
        <v>223.56415525114156</v>
      </c>
      <c r="I7" s="965">
        <v>187.34498425204768</v>
      </c>
      <c r="J7" s="965">
        <v>142.35164391935592</v>
      </c>
      <c r="K7" s="965">
        <v>240.31441209510257</v>
      </c>
      <c r="L7" s="965">
        <v>234.41660400000001</v>
      </c>
      <c r="N7" s="3">
        <v>2014</v>
      </c>
      <c r="O7" s="707">
        <f>C7*Compost!J6/100</f>
        <v>804.14197831832109</v>
      </c>
      <c r="P7" s="1130">
        <f t="shared" ref="P7:P53" si="0">O7*$P$5</f>
        <v>315.51546634044718</v>
      </c>
      <c r="Q7" s="1130">
        <f t="shared" ref="Q7:Q53" si="1">O7*$Q$5</f>
        <v>22.683364701466889</v>
      </c>
      <c r="R7" s="1130">
        <f t="shared" ref="R7:R53" si="2">O7*$R$5</f>
        <v>129.09452383622235</v>
      </c>
      <c r="S7" s="1130">
        <f t="shared" ref="S7:S53" si="3">O7*$S$5</f>
        <v>232.8482462078311</v>
      </c>
      <c r="T7" s="1130">
        <f t="shared" ref="T7:T53" si="4">O7*$T$5</f>
        <v>103.76655151141287</v>
      </c>
      <c r="U7" s="1130">
        <f t="shared" ref="U7:U53" si="5">O7*$U$5</f>
        <v>105.42172947875648</v>
      </c>
      <c r="V7" s="1130">
        <f t="shared" ref="V7:V53" si="6">O7*$V$5</f>
        <v>130.15185080876159</v>
      </c>
      <c r="W7" s="1130">
        <f t="shared" ref="W7:W53" si="7">O7*$W$5</f>
        <v>96.544188527012722</v>
      </c>
      <c r="X7" s="1130">
        <f t="shared" ref="X7:X53" si="8">O7*$X$5</f>
        <v>63.433057957579912</v>
      </c>
      <c r="AA7" s="3">
        <v>2014</v>
      </c>
      <c r="AB7" s="1243">
        <f>C7*'H&amp;C Recycling'!M4/100</f>
        <v>627.40533333333326</v>
      </c>
      <c r="AC7" s="1129">
        <f t="shared" ref="AC7:AC53" si="9">AB7*$AC$5</f>
        <v>185.21755141149856</v>
      </c>
      <c r="AD7" s="1129">
        <f t="shared" ref="AD7:AD53" si="10">AB7*$AD$5</f>
        <v>29.540324267758304</v>
      </c>
      <c r="AE7" s="1129">
        <f t="shared" ref="AE7:AE53" si="11">AB7*$AE$5</f>
        <v>90.921173962049409</v>
      </c>
      <c r="AF7" s="1129">
        <f t="shared" ref="AF7:AF53" si="12">AB7*$AF$5</f>
        <v>248.20224657008433</v>
      </c>
      <c r="AG7" s="1129">
        <f t="shared" ref="AG7:AG53" si="13">AB7*$AG$5</f>
        <v>73.524037121942584</v>
      </c>
      <c r="AH7" s="528"/>
      <c r="AI7" s="528"/>
      <c r="AJ7" s="528"/>
      <c r="AK7" s="528"/>
      <c r="AM7" s="3">
        <v>2014</v>
      </c>
      <c r="AN7" s="707">
        <f t="shared" ref="AN7:AW32" si="14">C7-O7-AB7</f>
        <v>341.7860216816789</v>
      </c>
      <c r="AO7" s="335">
        <f t="shared" si="14"/>
        <v>30.608306448967539</v>
      </c>
      <c r="AP7" s="335">
        <f t="shared" si="14"/>
        <v>124.70964436410813</v>
      </c>
      <c r="AQ7" s="335">
        <f t="shared" si="14"/>
        <v>527.36946201907995</v>
      </c>
      <c r="AR7" s="335">
        <f t="shared" si="14"/>
        <v>-225.7383923212945</v>
      </c>
      <c r="AS7" s="335">
        <f t="shared" si="14"/>
        <v>46.273566617786102</v>
      </c>
      <c r="AT7" s="335">
        <f t="shared" si="14"/>
        <v>81.923254773291205</v>
      </c>
      <c r="AU7" s="335">
        <f t="shared" si="14"/>
        <v>12.199793110594328</v>
      </c>
      <c r="AV7" s="335">
        <f t="shared" si="14"/>
        <v>143.77022356808985</v>
      </c>
      <c r="AW7" s="335">
        <f t="shared" si="14"/>
        <v>170.9835460424201</v>
      </c>
      <c r="AY7" s="3">
        <v>2014</v>
      </c>
      <c r="AZ7" s="707">
        <f>C7*Bioplastics!AL12</f>
        <v>241.19999999999996</v>
      </c>
      <c r="BD7" s="3">
        <v>2014</v>
      </c>
      <c r="BE7" s="1131">
        <f t="shared" ref="BE7:BE53" si="15">O7/C7</f>
        <v>0.45346352160807585</v>
      </c>
      <c r="BF7" s="1131">
        <f t="shared" ref="BF7:BF53" si="16">AB7/C7</f>
        <v>0.35379999999999995</v>
      </c>
      <c r="BG7" s="1131">
        <f t="shared" ref="BG7:BG53" si="17">AN7/C7</f>
        <v>0.1927364783919242</v>
      </c>
    </row>
    <row r="8" spans="1:82" ht="14.4" x14ac:dyDescent="0.55000000000000004">
      <c r="B8" s="3">
        <v>2015</v>
      </c>
      <c r="C8" s="707">
        <v>1891.6666666666667</v>
      </c>
      <c r="D8" s="965">
        <v>536.51495433789955</v>
      </c>
      <c r="E8" s="965">
        <v>178.23333333333335</v>
      </c>
      <c r="F8" s="965">
        <v>763.63413242009142</v>
      </c>
      <c r="G8" s="965">
        <v>269.2521689497716</v>
      </c>
      <c r="H8" s="965">
        <v>227.61244292237444</v>
      </c>
      <c r="I8" s="965">
        <v>198.67249212602385</v>
      </c>
      <c r="J8" s="965">
        <v>155.37582195967795</v>
      </c>
      <c r="K8" s="965">
        <v>240.6021865475513</v>
      </c>
      <c r="L8" s="965">
        <v>237.78226035</v>
      </c>
      <c r="N8" s="3">
        <v>2015</v>
      </c>
      <c r="O8" s="707">
        <f>C8*Compost!J7/100</f>
        <v>862.10382892596351</v>
      </c>
      <c r="P8" s="1130">
        <f t="shared" si="0"/>
        <v>338.25754524878931</v>
      </c>
      <c r="Q8" s="1130">
        <f t="shared" si="1"/>
        <v>24.318361793466284</v>
      </c>
      <c r="R8" s="1130">
        <f t="shared" si="2"/>
        <v>138.39954422641256</v>
      </c>
      <c r="S8" s="1130">
        <f t="shared" si="3"/>
        <v>249.63174417814511</v>
      </c>
      <c r="T8" s="1130">
        <f t="shared" si="4"/>
        <v>111.24595380471523</v>
      </c>
      <c r="U8" s="1130">
        <f t="shared" si="5"/>
        <v>113.02043555255896</v>
      </c>
      <c r="V8" s="1130">
        <f t="shared" si="6"/>
        <v>139.53308240254285</v>
      </c>
      <c r="W8" s="1130">
        <f t="shared" si="7"/>
        <v>103.50300921206299</v>
      </c>
      <c r="X8" s="1130">
        <f t="shared" si="8"/>
        <v>68.005257305526086</v>
      </c>
      <c r="AA8" s="3">
        <v>2015</v>
      </c>
      <c r="AB8" s="1243">
        <f>C8*'H&amp;C Recycling'!M5/100</f>
        <v>665.67750000000001</v>
      </c>
      <c r="AC8" s="1129">
        <f t="shared" si="9"/>
        <v>196.51595233447358</v>
      </c>
      <c r="AD8" s="1129">
        <f t="shared" si="10"/>
        <v>31.342304827528849</v>
      </c>
      <c r="AE8" s="1129">
        <f t="shared" si="11"/>
        <v>96.467429530067989</v>
      </c>
      <c r="AF8" s="1129">
        <f t="shared" si="12"/>
        <v>263.34275820281624</v>
      </c>
      <c r="AG8" s="1129">
        <f t="shared" si="13"/>
        <v>78.009055105113248</v>
      </c>
      <c r="AH8" s="528"/>
      <c r="AI8" s="528"/>
      <c r="AJ8" s="528"/>
      <c r="AK8" s="528"/>
      <c r="AM8" s="3">
        <v>2015</v>
      </c>
      <c r="AN8" s="707">
        <f t="shared" si="14"/>
        <v>363.88533774070333</v>
      </c>
      <c r="AO8" s="335">
        <f t="shared" si="14"/>
        <v>1.7414567546366584</v>
      </c>
      <c r="AP8" s="335">
        <f t="shared" si="14"/>
        <v>122.5726667123382</v>
      </c>
      <c r="AQ8" s="335">
        <f t="shared" si="14"/>
        <v>528.76715866361087</v>
      </c>
      <c r="AR8" s="335">
        <f t="shared" si="14"/>
        <v>-243.72233343118975</v>
      </c>
      <c r="AS8" s="335">
        <f t="shared" si="14"/>
        <v>38.357434012545966</v>
      </c>
      <c r="AT8" s="335">
        <f t="shared" si="14"/>
        <v>85.65205657346489</v>
      </c>
      <c r="AU8" s="335">
        <f t="shared" si="14"/>
        <v>15.842739557135104</v>
      </c>
      <c r="AV8" s="335">
        <f t="shared" si="14"/>
        <v>137.09917733548832</v>
      </c>
      <c r="AW8" s="335">
        <f t="shared" si="14"/>
        <v>169.77700304447393</v>
      </c>
      <c r="AY8" s="3">
        <v>2015</v>
      </c>
      <c r="AZ8" s="707">
        <f>C8*Bioplastics!AL13</f>
        <v>249.73118971061089</v>
      </c>
      <c r="BD8" s="3">
        <v>2015</v>
      </c>
      <c r="BE8" s="1131">
        <f t="shared" si="15"/>
        <v>0.45573770692121418</v>
      </c>
      <c r="BF8" s="1131">
        <f t="shared" si="16"/>
        <v>0.35189999999999999</v>
      </c>
      <c r="BG8" s="1131">
        <f t="shared" si="17"/>
        <v>0.19236229307878588</v>
      </c>
      <c r="CD8" s="609">
        <v>2100</v>
      </c>
    </row>
    <row r="9" spans="1:82" ht="14.4" x14ac:dyDescent="0.55000000000000004">
      <c r="B9" s="3">
        <v>2016</v>
      </c>
      <c r="C9" s="707">
        <v>2009.9999999999998</v>
      </c>
      <c r="D9" s="965">
        <v>535.70000000000005</v>
      </c>
      <c r="E9" s="965">
        <v>178.2</v>
      </c>
      <c r="F9" s="965">
        <v>769.1</v>
      </c>
      <c r="G9" s="965">
        <v>302.39999999999998</v>
      </c>
      <c r="H9" s="965">
        <v>230.8</v>
      </c>
      <c r="I9" s="965">
        <v>210</v>
      </c>
      <c r="J9" s="965">
        <v>168.4</v>
      </c>
      <c r="K9" s="965">
        <v>240.889961</v>
      </c>
      <c r="L9" s="965">
        <v>242.05510170000002</v>
      </c>
      <c r="N9" s="3">
        <v>2016</v>
      </c>
      <c r="O9" s="707">
        <f>C9*Compost!J8/100</f>
        <v>924.59999999999991</v>
      </c>
      <c r="P9" s="1130">
        <f t="shared" si="0"/>
        <v>362.77872321558783</v>
      </c>
      <c r="Q9" s="1130">
        <f t="shared" si="1"/>
        <v>26.081263717679054</v>
      </c>
      <c r="R9" s="1130">
        <f t="shared" si="2"/>
        <v>148.4324907258131</v>
      </c>
      <c r="S9" s="1130">
        <f t="shared" si="3"/>
        <v>267.72820502915852</v>
      </c>
      <c r="T9" s="1130">
        <f t="shared" si="4"/>
        <v>119.31046520925847</v>
      </c>
      <c r="U9" s="1130">
        <f t="shared" si="5"/>
        <v>121.21358380009032</v>
      </c>
      <c r="V9" s="1130">
        <f t="shared" si="6"/>
        <v>149.6482020618314</v>
      </c>
      <c r="W9" s="1130">
        <f t="shared" si="7"/>
        <v>111.00621422444922</v>
      </c>
      <c r="X9" s="1130">
        <f t="shared" si="8"/>
        <v>72.93513703914806</v>
      </c>
      <c r="AA9" s="3">
        <v>2016</v>
      </c>
      <c r="AB9" s="1243">
        <f>C9*'H&amp;C Recycling'!M6/100</f>
        <v>703.49999999999989</v>
      </c>
      <c r="AC9" s="1129">
        <f t="shared" si="9"/>
        <v>207.68160628427751</v>
      </c>
      <c r="AD9" s="1129">
        <f t="shared" si="10"/>
        <v>33.123113589037544</v>
      </c>
      <c r="AE9" s="1129">
        <f t="shared" si="11"/>
        <v>101.94852112983061</v>
      </c>
      <c r="AF9" s="1129">
        <f t="shared" si="12"/>
        <v>278.30538120288156</v>
      </c>
      <c r="AG9" s="1129">
        <f t="shared" si="13"/>
        <v>82.441377793972549</v>
      </c>
      <c r="AH9" s="528"/>
      <c r="AI9" s="528"/>
      <c r="AJ9" s="528"/>
      <c r="AK9" s="528"/>
      <c r="AM9" s="3">
        <v>2016</v>
      </c>
      <c r="AN9" s="707">
        <f t="shared" si="14"/>
        <v>381.9</v>
      </c>
      <c r="AO9" s="335">
        <f t="shared" si="14"/>
        <v>-34.760329499865293</v>
      </c>
      <c r="AP9" s="335">
        <f t="shared" si="14"/>
        <v>118.99562269328338</v>
      </c>
      <c r="AQ9" s="335">
        <f t="shared" si="14"/>
        <v>518.71898814435633</v>
      </c>
      <c r="AR9" s="335">
        <f t="shared" si="14"/>
        <v>-243.6335862320401</v>
      </c>
      <c r="AS9" s="335">
        <f t="shared" si="14"/>
        <v>29.048156996768995</v>
      </c>
      <c r="AT9" s="335">
        <f t="shared" si="14"/>
        <v>88.786416199909681</v>
      </c>
      <c r="AU9" s="335">
        <f t="shared" si="14"/>
        <v>18.751797938168608</v>
      </c>
      <c r="AV9" s="335">
        <f t="shared" si="14"/>
        <v>129.88374677555078</v>
      </c>
      <c r="AW9" s="335">
        <f t="shared" si="14"/>
        <v>169.11996466085196</v>
      </c>
      <c r="AY9" s="3">
        <v>2016</v>
      </c>
      <c r="AZ9" s="707">
        <f>C9*Bioplastics!AL14</f>
        <v>259.81350482315111</v>
      </c>
      <c r="BD9" s="3">
        <v>2016</v>
      </c>
      <c r="BE9" s="1131">
        <f t="shared" si="15"/>
        <v>0.46</v>
      </c>
      <c r="BF9" s="1131">
        <f t="shared" si="16"/>
        <v>0.35</v>
      </c>
      <c r="BG9" s="1131">
        <f t="shared" si="17"/>
        <v>0.19</v>
      </c>
      <c r="CD9" s="609">
        <f>CD8*0.44</f>
        <v>924</v>
      </c>
    </row>
    <row r="10" spans="1:82" ht="14.4" x14ac:dyDescent="0.55000000000000004">
      <c r="B10" s="3">
        <v>2017</v>
      </c>
      <c r="C10" s="707">
        <v>2111.0920259528007</v>
      </c>
      <c r="D10" s="965">
        <v>612.4452342779241</v>
      </c>
      <c r="E10" s="965">
        <v>147.97131501652729</v>
      </c>
      <c r="F10" s="965">
        <v>870.50337370220768</v>
      </c>
      <c r="G10" s="965">
        <v>286.76167414823118</v>
      </c>
      <c r="H10" s="965">
        <v>255.26964705259638</v>
      </c>
      <c r="I10" s="965">
        <v>221.32750787397617</v>
      </c>
      <c r="J10" s="965">
        <v>185.47971344525075</v>
      </c>
      <c r="K10" s="965">
        <v>241.17773545244873</v>
      </c>
      <c r="L10" s="965">
        <v>242.93507115</v>
      </c>
      <c r="N10" s="3">
        <v>2017</v>
      </c>
      <c r="O10" s="707">
        <f>C10*Compost!J9/100</f>
        <v>970.58688076320288</v>
      </c>
      <c r="P10" s="1130">
        <f t="shared" si="0"/>
        <v>380.82226841128568</v>
      </c>
      <c r="Q10" s="1130">
        <f t="shared" si="1"/>
        <v>27.378468957500122</v>
      </c>
      <c r="R10" s="1130">
        <f t="shared" si="2"/>
        <v>155.81508563430671</v>
      </c>
      <c r="S10" s="1130">
        <f t="shared" si="3"/>
        <v>281.04421740383111</v>
      </c>
      <c r="T10" s="1130">
        <f t="shared" si="4"/>
        <v>125.24461634205151</v>
      </c>
      <c r="U10" s="1130">
        <f t="shared" si="5"/>
        <v>127.24239044631059</v>
      </c>
      <c r="V10" s="1130">
        <f t="shared" si="6"/>
        <v>157.09126287152765</v>
      </c>
      <c r="W10" s="1130">
        <f t="shared" si="7"/>
        <v>116.5273363718798</v>
      </c>
      <c r="X10" s="1130">
        <f t="shared" si="8"/>
        <v>76.562715938636686</v>
      </c>
      <c r="AA10" s="3">
        <v>2017</v>
      </c>
      <c r="AB10" s="1243">
        <f>C10*'H&amp;C Recycling'!M7/100</f>
        <v>734.87113423416997</v>
      </c>
      <c r="AC10" s="1129">
        <f t="shared" si="9"/>
        <v>216.94273997114621</v>
      </c>
      <c r="AD10" s="1129">
        <f t="shared" si="10"/>
        <v>34.600170650381344</v>
      </c>
      <c r="AE10" s="1129">
        <f t="shared" si="11"/>
        <v>106.49470555248739</v>
      </c>
      <c r="AF10" s="1129">
        <f t="shared" si="12"/>
        <v>290.71583674205351</v>
      </c>
      <c r="AG10" s="1129">
        <f t="shared" si="13"/>
        <v>86.11768131810139</v>
      </c>
      <c r="AH10" s="528"/>
      <c r="AI10" s="528"/>
      <c r="AJ10" s="528"/>
      <c r="AK10" s="528"/>
      <c r="AM10" s="3">
        <v>2017</v>
      </c>
      <c r="AN10" s="707">
        <f t="shared" si="14"/>
        <v>405.63401095542793</v>
      </c>
      <c r="AO10" s="335">
        <f t="shared" si="14"/>
        <v>14.680225895492214</v>
      </c>
      <c r="AP10" s="335">
        <f t="shared" si="14"/>
        <v>85.992675408645823</v>
      </c>
      <c r="AQ10" s="335">
        <f t="shared" si="14"/>
        <v>608.1935825154136</v>
      </c>
      <c r="AR10" s="335">
        <f t="shared" si="14"/>
        <v>-284.99837999765344</v>
      </c>
      <c r="AS10" s="335">
        <f t="shared" si="14"/>
        <v>43.907349392443464</v>
      </c>
      <c r="AT10" s="335">
        <f t="shared" si="14"/>
        <v>94.08511742766558</v>
      </c>
      <c r="AU10" s="335">
        <f t="shared" si="14"/>
        <v>28.388450573723105</v>
      </c>
      <c r="AV10" s="335">
        <f t="shared" si="14"/>
        <v>124.65039908056893</v>
      </c>
      <c r="AW10" s="335">
        <f t="shared" si="14"/>
        <v>166.3723552113633</v>
      </c>
      <c r="AY10" s="3">
        <v>2017</v>
      </c>
      <c r="AZ10" s="707">
        <f>C10*Bioplastics!AL15</f>
        <v>268.34098638078581</v>
      </c>
      <c r="BD10" s="3">
        <v>2017</v>
      </c>
      <c r="BE10" s="1131">
        <f t="shared" si="15"/>
        <v>0.45975583670974607</v>
      </c>
      <c r="BF10" s="1131">
        <f t="shared" si="16"/>
        <v>0.34810000000000002</v>
      </c>
      <c r="BG10" s="1131">
        <f t="shared" si="17"/>
        <v>0.19214416329025394</v>
      </c>
    </row>
    <row r="11" spans="1:82" ht="14.4" x14ac:dyDescent="0.55000000000000004">
      <c r="B11" s="3">
        <v>2018</v>
      </c>
      <c r="C11" s="707">
        <v>2147.6619980403138</v>
      </c>
      <c r="D11" s="965">
        <v>616.65469522192245</v>
      </c>
      <c r="E11" s="965">
        <v>149.95467314588655</v>
      </c>
      <c r="F11" s="965">
        <v>894.12035425610475</v>
      </c>
      <c r="G11" s="965">
        <v>297.67525327476079</v>
      </c>
      <c r="H11" s="965">
        <v>260.88751696904802</v>
      </c>
      <c r="I11" s="965">
        <v>232.65501574795235</v>
      </c>
      <c r="J11" s="965">
        <v>200.44496071080712</v>
      </c>
      <c r="K11" s="965">
        <v>241.46550990489743</v>
      </c>
      <c r="L11" s="965">
        <v>262.80323360844432</v>
      </c>
      <c r="N11" s="3">
        <v>2018</v>
      </c>
      <c r="O11" s="707">
        <f>C11*Compost!J10/100</f>
        <v>991.19935384999405</v>
      </c>
      <c r="P11" s="1130">
        <f t="shared" si="0"/>
        <v>388.90983781290993</v>
      </c>
      <c r="Q11" s="1130">
        <f t="shared" si="1"/>
        <v>27.95990887362619</v>
      </c>
      <c r="R11" s="1130">
        <f t="shared" si="2"/>
        <v>159.12414979209515</v>
      </c>
      <c r="S11" s="1130">
        <f t="shared" si="3"/>
        <v>287.01278805139594</v>
      </c>
      <c r="T11" s="1130">
        <f t="shared" si="4"/>
        <v>127.90445167960112</v>
      </c>
      <c r="U11" s="1130">
        <f t="shared" si="5"/>
        <v>129.94465275848111</v>
      </c>
      <c r="V11" s="1130">
        <f t="shared" si="6"/>
        <v>160.42742936242769</v>
      </c>
      <c r="W11" s="1130">
        <f t="shared" si="7"/>
        <v>119.00204176141909</v>
      </c>
      <c r="X11" s="1130">
        <f t="shared" si="8"/>
        <v>78.188687763534872</v>
      </c>
      <c r="AA11" s="3">
        <v>2018</v>
      </c>
      <c r="AB11" s="1243">
        <f>C11*'H&amp;C Recycling'!M8/100</f>
        <v>743.5205837215567</v>
      </c>
      <c r="AC11" s="1129">
        <f t="shared" si="9"/>
        <v>219.49616081409604</v>
      </c>
      <c r="AD11" s="1129">
        <f t="shared" si="10"/>
        <v>35.007415423449366</v>
      </c>
      <c r="AE11" s="1129">
        <f t="shared" si="11"/>
        <v>107.74815058990922</v>
      </c>
      <c r="AF11" s="1129">
        <f t="shared" si="12"/>
        <v>294.13756856406098</v>
      </c>
      <c r="AG11" s="1129">
        <f t="shared" si="13"/>
        <v>87.131288330041016</v>
      </c>
      <c r="AH11" s="528"/>
      <c r="AI11" s="528"/>
      <c r="AJ11" s="528"/>
      <c r="AK11" s="528"/>
      <c r="AM11" s="3">
        <v>2018</v>
      </c>
      <c r="AN11" s="707">
        <f t="shared" si="14"/>
        <v>412.94206046876297</v>
      </c>
      <c r="AO11" s="335">
        <f t="shared" si="14"/>
        <v>8.2486965949164812</v>
      </c>
      <c r="AP11" s="335">
        <f t="shared" si="14"/>
        <v>86.987348848810996</v>
      </c>
      <c r="AQ11" s="335">
        <f t="shared" si="14"/>
        <v>627.24805387410038</v>
      </c>
      <c r="AR11" s="335">
        <f t="shared" si="14"/>
        <v>-283.47510334069614</v>
      </c>
      <c r="AS11" s="335">
        <f t="shared" si="14"/>
        <v>45.851776959405882</v>
      </c>
      <c r="AT11" s="335">
        <f t="shared" si="14"/>
        <v>102.71036298947124</v>
      </c>
      <c r="AU11" s="335">
        <f t="shared" si="14"/>
        <v>40.017531348379435</v>
      </c>
      <c r="AV11" s="335">
        <f t="shared" si="14"/>
        <v>122.46346814347834</v>
      </c>
      <c r="AW11" s="335">
        <f t="shared" si="14"/>
        <v>184.61454584490946</v>
      </c>
      <c r="AY11" s="3">
        <v>2018</v>
      </c>
      <c r="AZ11" s="707">
        <f>C11*Bioplastics!AL16</f>
        <v>276.74638293540414</v>
      </c>
      <c r="BD11" s="3">
        <v>2018</v>
      </c>
      <c r="BE11" s="1131">
        <f t="shared" si="15"/>
        <v>0.4615248371272751</v>
      </c>
      <c r="BF11" s="1131">
        <f t="shared" si="16"/>
        <v>0.34620000000000001</v>
      </c>
      <c r="BG11" s="1131">
        <f t="shared" si="17"/>
        <v>0.19227516287272484</v>
      </c>
    </row>
    <row r="12" spans="1:82" ht="14.4" x14ac:dyDescent="0.55000000000000004">
      <c r="B12" s="3">
        <v>2019</v>
      </c>
      <c r="C12" s="707">
        <v>2184.0313313767401</v>
      </c>
      <c r="D12" s="965">
        <v>620.86697520238636</v>
      </c>
      <c r="E12" s="965">
        <v>151.84910144339386</v>
      </c>
      <c r="F12" s="965">
        <v>917.5106983517112</v>
      </c>
      <c r="G12" s="965">
        <v>311.70862325040395</v>
      </c>
      <c r="H12" s="965">
        <v>266.41819457150513</v>
      </c>
      <c r="I12" s="965">
        <v>243.98252362192852</v>
      </c>
      <c r="J12" s="965">
        <v>215.41020797636349</v>
      </c>
      <c r="K12" s="965">
        <v>261.67664217867309</v>
      </c>
      <c r="L12" s="965">
        <v>267.8192337286855</v>
      </c>
      <c r="N12" s="3">
        <v>2019</v>
      </c>
      <c r="O12" s="707">
        <f>C12*Compost!J11/100</f>
        <v>1011.5327812314302</v>
      </c>
      <c r="P12" s="1130">
        <f t="shared" si="0"/>
        <v>396.88792003661132</v>
      </c>
      <c r="Q12" s="1130">
        <f t="shared" si="1"/>
        <v>28.533477424155624</v>
      </c>
      <c r="R12" s="1130">
        <f t="shared" si="2"/>
        <v>162.38841679536037</v>
      </c>
      <c r="S12" s="1130">
        <f t="shared" si="3"/>
        <v>292.90055791395559</v>
      </c>
      <c r="T12" s="1130">
        <f t="shared" si="4"/>
        <v>130.52827893482265</v>
      </c>
      <c r="U12" s="1130">
        <f t="shared" si="5"/>
        <v>132.610332624199</v>
      </c>
      <c r="V12" s="1130">
        <f t="shared" si="6"/>
        <v>163.71843179524916</v>
      </c>
      <c r="W12" s="1130">
        <f t="shared" si="7"/>
        <v>121.44324530437929</v>
      </c>
      <c r="X12" s="1130">
        <f t="shared" si="8"/>
        <v>79.792647651638489</v>
      </c>
      <c r="AA12" s="3">
        <v>2019</v>
      </c>
      <c r="AB12" s="1243">
        <f>C12*'H&amp;C Recycling'!M9/100</f>
        <v>751.96198739301178</v>
      </c>
      <c r="AC12" s="1129">
        <f t="shared" si="9"/>
        <v>221.98816404619524</v>
      </c>
      <c r="AD12" s="1129">
        <f t="shared" si="10"/>
        <v>35.404864709391831</v>
      </c>
      <c r="AE12" s="1129">
        <f t="shared" si="11"/>
        <v>108.97144642582217</v>
      </c>
      <c r="AF12" s="1129">
        <f t="shared" si="12"/>
        <v>297.47699723026096</v>
      </c>
      <c r="AG12" s="1129">
        <f t="shared" si="13"/>
        <v>88.120514981341458</v>
      </c>
      <c r="AH12" s="528"/>
      <c r="AI12" s="528"/>
      <c r="AJ12" s="528"/>
      <c r="AK12" s="528"/>
      <c r="AM12" s="3">
        <v>2019</v>
      </c>
      <c r="AN12" s="707">
        <f t="shared" si="14"/>
        <v>420.53656275229798</v>
      </c>
      <c r="AO12" s="335">
        <f t="shared" si="14"/>
        <v>1.9908911195797998</v>
      </c>
      <c r="AP12" s="335">
        <f t="shared" si="14"/>
        <v>87.910759309846412</v>
      </c>
      <c r="AQ12" s="335">
        <f t="shared" si="14"/>
        <v>646.15083513052866</v>
      </c>
      <c r="AR12" s="335">
        <f t="shared" si="14"/>
        <v>-278.66893189381261</v>
      </c>
      <c r="AS12" s="335">
        <f t="shared" si="14"/>
        <v>47.769400655341016</v>
      </c>
      <c r="AT12" s="335">
        <f t="shared" si="14"/>
        <v>111.37219099772952</v>
      </c>
      <c r="AU12" s="335">
        <f t="shared" si="14"/>
        <v>51.691776181114335</v>
      </c>
      <c r="AV12" s="335">
        <f t="shared" si="14"/>
        <v>140.23339687429382</v>
      </c>
      <c r="AW12" s="335">
        <f t="shared" si="14"/>
        <v>188.026586077047</v>
      </c>
      <c r="AY12" s="3">
        <v>2019</v>
      </c>
      <c r="AZ12" s="707">
        <f>C12*Bioplastics!AL17</f>
        <v>264.88072057439848</v>
      </c>
      <c r="BD12" s="3">
        <v>2019</v>
      </c>
      <c r="BE12" s="1131">
        <f t="shared" si="15"/>
        <v>0.46314939108212971</v>
      </c>
      <c r="BF12" s="1131">
        <f t="shared" si="16"/>
        <v>0.34430000000000005</v>
      </c>
      <c r="BG12" s="1131">
        <f t="shared" si="17"/>
        <v>0.19255060891787015</v>
      </c>
      <c r="CD12" s="609">
        <f>826/CD9</f>
        <v>0.89393939393939392</v>
      </c>
    </row>
    <row r="13" spans="1:82" ht="14.4" x14ac:dyDescent="0.55000000000000004">
      <c r="B13" s="3">
        <v>2020</v>
      </c>
      <c r="C13" s="707">
        <v>2220.6184110457084</v>
      </c>
      <c r="D13" s="965">
        <v>625.17687311497821</v>
      </c>
      <c r="E13" s="965">
        <v>154.05903802176672</v>
      </c>
      <c r="F13" s="965">
        <v>940.44287980800891</v>
      </c>
      <c r="G13" s="965">
        <v>325.70609554144056</v>
      </c>
      <c r="H13" s="965">
        <v>272.17187746723528</v>
      </c>
      <c r="I13" s="965">
        <v>255.31003149590467</v>
      </c>
      <c r="J13" s="965">
        <v>230.37545524191984</v>
      </c>
      <c r="K13" s="965">
        <v>263.38052940489746</v>
      </c>
      <c r="L13" s="965">
        <v>273.10413996261036</v>
      </c>
      <c r="N13" s="3">
        <v>2020</v>
      </c>
      <c r="O13" s="707">
        <f>C13*Compost!J12/100</f>
        <v>1031.7889361085968</v>
      </c>
      <c r="P13" s="1130">
        <f t="shared" si="0"/>
        <v>404.83568339762758</v>
      </c>
      <c r="Q13" s="1130">
        <f t="shared" si="1"/>
        <v>29.104866259606123</v>
      </c>
      <c r="R13" s="1130">
        <f t="shared" si="2"/>
        <v>165.64027870423519</v>
      </c>
      <c r="S13" s="1130">
        <f t="shared" si="3"/>
        <v>298.76595266417883</v>
      </c>
      <c r="T13" s="1130">
        <f t="shared" si="4"/>
        <v>133.14213493930626</v>
      </c>
      <c r="U13" s="1130">
        <f t="shared" si="5"/>
        <v>135.26588218797906</v>
      </c>
      <c r="V13" s="1130">
        <f t="shared" si="6"/>
        <v>166.99692753184226</v>
      </c>
      <c r="W13" s="1130">
        <f t="shared" si="7"/>
        <v>123.87517161592847</v>
      </c>
      <c r="X13" s="1130">
        <f t="shared" si="8"/>
        <v>81.390512059871625</v>
      </c>
      <c r="AA13" s="3">
        <v>2020</v>
      </c>
      <c r="AB13" s="1243">
        <f>C13*'H&amp;C Recycling'!M10/100</f>
        <v>760.33974394205075</v>
      </c>
      <c r="AC13" s="1129">
        <f t="shared" si="9"/>
        <v>224.46137788722302</v>
      </c>
      <c r="AD13" s="1129">
        <f t="shared" si="10"/>
        <v>35.799317277686249</v>
      </c>
      <c r="AE13" s="1129">
        <f t="shared" si="11"/>
        <v>110.18551876492704</v>
      </c>
      <c r="AF13" s="1129">
        <f t="shared" si="12"/>
        <v>300.79124702415612</v>
      </c>
      <c r="AG13" s="1129">
        <f t="shared" si="13"/>
        <v>89.102282988058221</v>
      </c>
      <c r="AH13" s="528"/>
      <c r="AI13" s="528"/>
      <c r="AJ13" s="528"/>
      <c r="AK13" s="528"/>
      <c r="AM13" s="3">
        <v>2020</v>
      </c>
      <c r="AN13" s="707">
        <f t="shared" si="14"/>
        <v>428.48973099506088</v>
      </c>
      <c r="AO13" s="335">
        <f t="shared" si="14"/>
        <v>-4.1201881698723923</v>
      </c>
      <c r="AP13" s="335">
        <f t="shared" si="14"/>
        <v>89.154854484474356</v>
      </c>
      <c r="AQ13" s="335">
        <f t="shared" si="14"/>
        <v>664.61708233884667</v>
      </c>
      <c r="AR13" s="335">
        <f t="shared" si="14"/>
        <v>-273.85110414689439</v>
      </c>
      <c r="AS13" s="335">
        <f t="shared" si="14"/>
        <v>49.927459539870796</v>
      </c>
      <c r="AT13" s="335">
        <f t="shared" si="14"/>
        <v>120.04414930792561</v>
      </c>
      <c r="AU13" s="335">
        <f t="shared" si="14"/>
        <v>63.378527710077577</v>
      </c>
      <c r="AV13" s="335">
        <f t="shared" si="14"/>
        <v>139.50535778896898</v>
      </c>
      <c r="AW13" s="335">
        <f t="shared" si="14"/>
        <v>191.71362790273872</v>
      </c>
      <c r="AY13" s="3">
        <v>2020</v>
      </c>
      <c r="AZ13" s="707">
        <f>C13*Bioplastics!AL18</f>
        <v>274.64782139423687</v>
      </c>
      <c r="BD13" s="3">
        <v>2020</v>
      </c>
      <c r="BE13" s="1131">
        <f t="shared" si="15"/>
        <v>0.46464035917936863</v>
      </c>
      <c r="BF13" s="1131">
        <f t="shared" si="16"/>
        <v>0.34240000000000009</v>
      </c>
      <c r="BG13" s="1131">
        <f t="shared" si="17"/>
        <v>0.1929596408206313</v>
      </c>
    </row>
    <row r="14" spans="1:82" ht="14.4" x14ac:dyDescent="0.55000000000000004">
      <c r="B14" s="3">
        <v>2021</v>
      </c>
      <c r="C14" s="707">
        <v>2256.0862349785043</v>
      </c>
      <c r="D14" s="965">
        <v>629.30320601969402</v>
      </c>
      <c r="E14" s="965">
        <v>155.378009568442</v>
      </c>
      <c r="F14" s="965">
        <v>963.49479779432568</v>
      </c>
      <c r="G14" s="965">
        <v>339.57379557518897</v>
      </c>
      <c r="H14" s="965">
        <v>277.21237014330131</v>
      </c>
      <c r="I14" s="965">
        <v>266.63753936988087</v>
      </c>
      <c r="J14" s="965">
        <v>245.34070250747621</v>
      </c>
      <c r="K14" s="965">
        <v>265.08441663112183</v>
      </c>
      <c r="L14" s="965">
        <v>278.65795231021883</v>
      </c>
      <c r="N14" s="3">
        <v>2021</v>
      </c>
      <c r="O14" s="707">
        <f>C14*Compost!J13/100</f>
        <v>1051.3540983021617</v>
      </c>
      <c r="P14" s="1130">
        <f t="shared" si="0"/>
        <v>412.51232687598298</v>
      </c>
      <c r="Q14" s="1130">
        <f t="shared" si="1"/>
        <v>29.656763463639791</v>
      </c>
      <c r="R14" s="1130">
        <f t="shared" si="2"/>
        <v>168.78121073521652</v>
      </c>
      <c r="S14" s="1130">
        <f t="shared" si="3"/>
        <v>304.4312628039014</v>
      </c>
      <c r="T14" s="1130">
        <f t="shared" si="4"/>
        <v>135.66682518720677</v>
      </c>
      <c r="U14" s="1130">
        <f t="shared" si="5"/>
        <v>137.83084371416555</v>
      </c>
      <c r="V14" s="1130">
        <f t="shared" si="6"/>
        <v>170.16358483804504</v>
      </c>
      <c r="W14" s="1130">
        <f t="shared" si="7"/>
        <v>126.22413828886266</v>
      </c>
      <c r="X14" s="1130">
        <f t="shared" si="8"/>
        <v>82.933868955589574</v>
      </c>
      <c r="AA14" s="3">
        <v>2021</v>
      </c>
      <c r="AB14" s="1243">
        <f>C14*'H&amp;C Recycling'!M11/100</f>
        <v>768.19736301018099</v>
      </c>
      <c r="AC14" s="1129">
        <f t="shared" si="9"/>
        <v>226.78104092864342</v>
      </c>
      <c r="AD14" s="1129">
        <f t="shared" si="10"/>
        <v>36.169280048024646</v>
      </c>
      <c r="AE14" s="1129">
        <f t="shared" si="11"/>
        <v>111.32421477572653</v>
      </c>
      <c r="AF14" s="1129">
        <f t="shared" si="12"/>
        <v>303.89972985301614</v>
      </c>
      <c r="AG14" s="1129">
        <f t="shared" si="13"/>
        <v>90.023097404770169</v>
      </c>
      <c r="AH14" s="528"/>
      <c r="AI14" s="528"/>
      <c r="AJ14" s="528"/>
      <c r="AK14" s="528"/>
      <c r="AM14" s="3">
        <v>2021</v>
      </c>
      <c r="AN14" s="707">
        <f t="shared" si="14"/>
        <v>436.53477366616164</v>
      </c>
      <c r="AO14" s="335">
        <f t="shared" si="14"/>
        <v>-9.9901617849323827</v>
      </c>
      <c r="AP14" s="335">
        <f t="shared" si="14"/>
        <v>89.551966056777559</v>
      </c>
      <c r="AQ14" s="335">
        <f t="shared" si="14"/>
        <v>683.38937228338261</v>
      </c>
      <c r="AR14" s="335">
        <f t="shared" si="14"/>
        <v>-268.75719708172858</v>
      </c>
      <c r="AS14" s="335">
        <f t="shared" si="14"/>
        <v>51.522447551324376</v>
      </c>
      <c r="AT14" s="335">
        <f t="shared" si="14"/>
        <v>128.80669565571532</v>
      </c>
      <c r="AU14" s="335">
        <f t="shared" si="14"/>
        <v>75.177117669431169</v>
      </c>
      <c r="AV14" s="335">
        <f t="shared" si="14"/>
        <v>138.86027834225916</v>
      </c>
      <c r="AW14" s="335">
        <f t="shared" si="14"/>
        <v>195.72408335462927</v>
      </c>
      <c r="AY14" s="3">
        <v>2021</v>
      </c>
      <c r="AZ14" s="707">
        <f>C14*Bioplastics!AL19</f>
        <v>282.238699791849</v>
      </c>
      <c r="BD14" s="3">
        <v>2021</v>
      </c>
      <c r="BE14" s="1131">
        <f t="shared" si="15"/>
        <v>0.46600793976839222</v>
      </c>
      <c r="BF14" s="1131">
        <f t="shared" si="16"/>
        <v>0.34050000000000014</v>
      </c>
      <c r="BG14" s="1131">
        <f t="shared" si="17"/>
        <v>0.19349206023160764</v>
      </c>
    </row>
    <row r="15" spans="1:82" ht="14.4" x14ac:dyDescent="0.55000000000000004">
      <c r="B15" s="3">
        <v>2022</v>
      </c>
      <c r="C15" s="707">
        <v>2292.067049961684</v>
      </c>
      <c r="D15" s="965">
        <v>633.45069028043122</v>
      </c>
      <c r="E15" s="965">
        <v>157.19024520565935</v>
      </c>
      <c r="F15" s="965">
        <v>986.3798519092295</v>
      </c>
      <c r="G15" s="965">
        <v>353.52985480053525</v>
      </c>
      <c r="H15" s="965">
        <v>282.37723916937966</v>
      </c>
      <c r="I15" s="965">
        <v>277.96504724385699</v>
      </c>
      <c r="J15" s="965">
        <v>260.30594977303258</v>
      </c>
      <c r="K15" s="965">
        <v>266.78830385734619</v>
      </c>
      <c r="L15" s="965">
        <v>284.48067077151097</v>
      </c>
      <c r="N15" s="3">
        <v>2022</v>
      </c>
      <c r="O15" s="707">
        <f>C15*Compost!J14/100</f>
        <v>1070.9951068051464</v>
      </c>
      <c r="P15" s="1130">
        <f t="shared" si="0"/>
        <v>420.21872963109791</v>
      </c>
      <c r="Q15" s="1130">
        <f t="shared" si="1"/>
        <v>30.210800152421449</v>
      </c>
      <c r="R15" s="1130">
        <f t="shared" si="2"/>
        <v>171.9343189035757</v>
      </c>
      <c r="S15" s="1130">
        <f t="shared" si="3"/>
        <v>310.11853508539235</v>
      </c>
      <c r="T15" s="1130">
        <f t="shared" si="4"/>
        <v>138.20130264953656</v>
      </c>
      <c r="U15" s="1130">
        <f t="shared" si="5"/>
        <v>140.40574857042213</v>
      </c>
      <c r="V15" s="1130">
        <f t="shared" si="6"/>
        <v>173.34251800822977</v>
      </c>
      <c r="W15" s="1130">
        <f t="shared" si="7"/>
        <v>128.58221096620048</v>
      </c>
      <c r="X15" s="1130">
        <f t="shared" si="8"/>
        <v>84.48320882878042</v>
      </c>
      <c r="AA15" s="3">
        <v>2022</v>
      </c>
      <c r="AB15" s="1243">
        <f>C15*'H&amp;C Recycling'!M12/100</f>
        <v>776.09390311702646</v>
      </c>
      <c r="AC15" s="1129">
        <f t="shared" si="9"/>
        <v>229.11219392576905</v>
      </c>
      <c r="AD15" s="1129">
        <f t="shared" si="10"/>
        <v>36.541075349971251</v>
      </c>
      <c r="AE15" s="1129">
        <f t="shared" si="11"/>
        <v>112.468551074142</v>
      </c>
      <c r="AF15" s="1129">
        <f t="shared" si="12"/>
        <v>307.02360988801183</v>
      </c>
      <c r="AG15" s="1129">
        <f t="shared" si="13"/>
        <v>90.948472879132211</v>
      </c>
      <c r="AH15" s="528"/>
      <c r="AI15" s="528"/>
      <c r="AJ15" s="528"/>
      <c r="AK15" s="528"/>
      <c r="AM15" s="3">
        <v>2022</v>
      </c>
      <c r="AN15" s="707">
        <f t="shared" si="14"/>
        <v>444.97804003951114</v>
      </c>
      <c r="AO15" s="335">
        <f t="shared" si="14"/>
        <v>-15.880233276435746</v>
      </c>
      <c r="AP15" s="335">
        <f t="shared" si="14"/>
        <v>90.438369703266645</v>
      </c>
      <c r="AQ15" s="335">
        <f t="shared" si="14"/>
        <v>701.97698193151177</v>
      </c>
      <c r="AR15" s="335">
        <f t="shared" si="14"/>
        <v>-263.61229017286894</v>
      </c>
      <c r="AS15" s="335">
        <f t="shared" si="14"/>
        <v>53.227463640710894</v>
      </c>
      <c r="AT15" s="335">
        <f t="shared" si="14"/>
        <v>137.55929867343485</v>
      </c>
      <c r="AU15" s="335">
        <f t="shared" si="14"/>
        <v>86.963431764802806</v>
      </c>
      <c r="AV15" s="335">
        <f t="shared" si="14"/>
        <v>138.20609289114572</v>
      </c>
      <c r="AW15" s="335">
        <f t="shared" si="14"/>
        <v>199.99746194273055</v>
      </c>
      <c r="AY15" s="3">
        <v>2022</v>
      </c>
      <c r="AZ15" s="707">
        <f>C15*Bioplastics!AL20</f>
        <v>289.85200041827005</v>
      </c>
      <c r="BD15" s="3">
        <v>2022</v>
      </c>
      <c r="BE15" s="1131">
        <f t="shared" si="15"/>
        <v>0.46726168277801911</v>
      </c>
      <c r="BF15" s="1131">
        <f t="shared" si="16"/>
        <v>0.33860000000000012</v>
      </c>
      <c r="BG15" s="1131">
        <f t="shared" si="17"/>
        <v>0.1941383172219808</v>
      </c>
    </row>
    <row r="16" spans="1:82" ht="14.4" x14ac:dyDescent="0.55000000000000004">
      <c r="B16" s="3">
        <v>2023</v>
      </c>
      <c r="C16" s="707">
        <v>2327.8121531494985</v>
      </c>
      <c r="D16" s="965">
        <v>637.60454708429847</v>
      </c>
      <c r="E16" s="965">
        <v>158.92340554750592</v>
      </c>
      <c r="F16" s="965">
        <v>1008.979690245764</v>
      </c>
      <c r="G16" s="965">
        <v>367.45543056687239</v>
      </c>
      <c r="H16" s="965">
        <v>287.44590300639197</v>
      </c>
      <c r="I16" s="965">
        <v>289.29255511783316</v>
      </c>
      <c r="J16" s="965">
        <v>275.27119703858892</v>
      </c>
      <c r="K16" s="965">
        <v>268.49219108357056</v>
      </c>
      <c r="L16" s="965">
        <v>290.57229534648678</v>
      </c>
      <c r="N16" s="3">
        <v>2023</v>
      </c>
      <c r="O16" s="707">
        <f>C16*Compost!J15/100</f>
        <v>1090.3716746307305</v>
      </c>
      <c r="P16" s="1130">
        <f t="shared" si="0"/>
        <v>427.82137567918966</v>
      </c>
      <c r="Q16" s="1130">
        <f t="shared" si="1"/>
        <v>30.757377456555727</v>
      </c>
      <c r="R16" s="1130">
        <f t="shared" si="2"/>
        <v>175.04497456447675</v>
      </c>
      <c r="S16" s="1130">
        <f t="shared" si="3"/>
        <v>315.72923563002723</v>
      </c>
      <c r="T16" s="1130">
        <f t="shared" si="4"/>
        <v>140.70165666362826</v>
      </c>
      <c r="U16" s="1130">
        <f t="shared" si="5"/>
        <v>142.94598567607275</v>
      </c>
      <c r="V16" s="1130">
        <f t="shared" si="6"/>
        <v>176.47865097083826</v>
      </c>
      <c r="W16" s="1130">
        <f t="shared" si="7"/>
        <v>130.90853525668433</v>
      </c>
      <c r="X16" s="1130">
        <f t="shared" si="8"/>
        <v>86.011688852257947</v>
      </c>
      <c r="AA16" s="3">
        <v>2023</v>
      </c>
      <c r="AB16" s="1243">
        <f>C16*'H&amp;C Recycling'!M13/100</f>
        <v>783.77435196543649</v>
      </c>
      <c r="AC16" s="1129">
        <f t="shared" si="9"/>
        <v>231.37955420128011</v>
      </c>
      <c r="AD16" s="1129">
        <f t="shared" si="10"/>
        <v>36.902696358671569</v>
      </c>
      <c r="AE16" s="1129">
        <f t="shared" si="11"/>
        <v>113.5815722563861</v>
      </c>
      <c r="AF16" s="1129">
        <f t="shared" si="12"/>
        <v>310.06200398121155</v>
      </c>
      <c r="AG16" s="1129">
        <f t="shared" si="13"/>
        <v>91.84852516788709</v>
      </c>
      <c r="AH16" s="528"/>
      <c r="AI16" s="528"/>
      <c r="AJ16" s="528"/>
      <c r="AK16" s="528"/>
      <c r="AM16" s="3">
        <v>2023</v>
      </c>
      <c r="AN16" s="707">
        <f t="shared" si="14"/>
        <v>453.66612655333154</v>
      </c>
      <c r="AO16" s="335">
        <f t="shared" si="14"/>
        <v>-21.596382796171298</v>
      </c>
      <c r="AP16" s="335">
        <f t="shared" si="14"/>
        <v>91.26333173227863</v>
      </c>
      <c r="AQ16" s="335">
        <f t="shared" si="14"/>
        <v>720.35314342490119</v>
      </c>
      <c r="AR16" s="335">
        <f t="shared" si="14"/>
        <v>-258.33580904436639</v>
      </c>
      <c r="AS16" s="335">
        <f t="shared" si="14"/>
        <v>54.895721174876627</v>
      </c>
      <c r="AT16" s="335">
        <f t="shared" si="14"/>
        <v>146.34656944176041</v>
      </c>
      <c r="AU16" s="335">
        <f t="shared" si="14"/>
        <v>98.792546067750663</v>
      </c>
      <c r="AV16" s="335">
        <f t="shared" si="14"/>
        <v>137.58365582688623</v>
      </c>
      <c r="AW16" s="335">
        <f t="shared" si="14"/>
        <v>204.56060649422884</v>
      </c>
      <c r="AY16" s="3">
        <v>2023</v>
      </c>
      <c r="AZ16" s="707">
        <f>C16*Bioplastics!AL21</f>
        <v>297.48467994274148</v>
      </c>
      <c r="BD16" s="3">
        <v>2023</v>
      </c>
      <c r="BE16" s="1131">
        <f t="shared" si="15"/>
        <v>0.46841050862092642</v>
      </c>
      <c r="BF16" s="1131">
        <f t="shared" si="16"/>
        <v>0.33670000000000017</v>
      </c>
      <c r="BG16" s="1131">
        <f t="shared" si="17"/>
        <v>0.19488949137907344</v>
      </c>
    </row>
    <row r="17" spans="2:59" ht="14.4" x14ac:dyDescent="0.55000000000000004">
      <c r="B17" s="3">
        <v>2024</v>
      </c>
      <c r="C17" s="707">
        <v>2363.3235557594176</v>
      </c>
      <c r="D17" s="965">
        <v>641.76803572153256</v>
      </c>
      <c r="E17" s="965">
        <v>160.57978572975696</v>
      </c>
      <c r="F17" s="965">
        <v>1031.2959903210772</v>
      </c>
      <c r="G17" s="965">
        <v>381.36098174446442</v>
      </c>
      <c r="H17" s="965">
        <v>292.41719687986119</v>
      </c>
      <c r="I17" s="965">
        <v>300.62006299180933</v>
      </c>
      <c r="J17" s="965">
        <v>290.23644430414527</v>
      </c>
      <c r="K17" s="965">
        <v>270.19607830979493</v>
      </c>
      <c r="L17" s="965">
        <v>296.93282603514621</v>
      </c>
      <c r="N17" s="3">
        <v>2024</v>
      </c>
      <c r="O17" s="707">
        <f>C17*Compost!J16/100</f>
        <v>1109.4923305667407</v>
      </c>
      <c r="P17" s="1130">
        <f t="shared" si="0"/>
        <v>435.32361140005315</v>
      </c>
      <c r="Q17" s="1130">
        <f t="shared" si="1"/>
        <v>31.296735957444856</v>
      </c>
      <c r="R17" s="1130">
        <f t="shared" si="2"/>
        <v>178.11454690375135</v>
      </c>
      <c r="S17" s="1130">
        <f t="shared" si="3"/>
        <v>321.26583404310117</v>
      </c>
      <c r="T17" s="1130">
        <f t="shared" si="4"/>
        <v>143.16898778501215</v>
      </c>
      <c r="U17" s="1130">
        <f t="shared" si="5"/>
        <v>145.45267314158463</v>
      </c>
      <c r="V17" s="1130">
        <f t="shared" si="6"/>
        <v>179.57336412578832</v>
      </c>
      <c r="W17" s="1130">
        <f t="shared" si="7"/>
        <v>133.20413511494166</v>
      </c>
      <c r="X17" s="1130">
        <f t="shared" si="8"/>
        <v>87.519981801610442</v>
      </c>
      <c r="AA17" s="3">
        <v>2024</v>
      </c>
      <c r="AB17" s="1243">
        <f>C17*'H&amp;C Recycling'!M14/100</f>
        <v>791.24072646825346</v>
      </c>
      <c r="AC17" s="1129">
        <f t="shared" si="9"/>
        <v>233.58371717194819</v>
      </c>
      <c r="AD17" s="1129">
        <f t="shared" si="10"/>
        <v>37.254238037072568</v>
      </c>
      <c r="AE17" s="1129">
        <f t="shared" si="11"/>
        <v>114.66357060573031</v>
      </c>
      <c r="AF17" s="1129">
        <f t="shared" si="12"/>
        <v>313.01571002557534</v>
      </c>
      <c r="AG17" s="1129">
        <f t="shared" si="13"/>
        <v>92.723490627926921</v>
      </c>
      <c r="AH17" s="528"/>
      <c r="AI17" s="528"/>
      <c r="AJ17" s="528"/>
      <c r="AK17" s="528"/>
      <c r="AM17" s="3">
        <v>2024</v>
      </c>
      <c r="AN17" s="707">
        <f t="shared" si="14"/>
        <v>462.59049872442336</v>
      </c>
      <c r="AO17" s="335">
        <f t="shared" si="14"/>
        <v>-27.139292850468792</v>
      </c>
      <c r="AP17" s="335">
        <f t="shared" si="14"/>
        <v>92.028811735239529</v>
      </c>
      <c r="AQ17" s="335">
        <f t="shared" si="14"/>
        <v>738.51787281159545</v>
      </c>
      <c r="AR17" s="335">
        <f t="shared" si="14"/>
        <v>-252.92056232421209</v>
      </c>
      <c r="AS17" s="335">
        <f t="shared" si="14"/>
        <v>56.524718466922124</v>
      </c>
      <c r="AT17" s="335">
        <f t="shared" si="14"/>
        <v>155.16738985022471</v>
      </c>
      <c r="AU17" s="335">
        <f t="shared" si="14"/>
        <v>110.66308017835695</v>
      </c>
      <c r="AV17" s="335">
        <f t="shared" si="14"/>
        <v>136.99194319485326</v>
      </c>
      <c r="AW17" s="335">
        <f t="shared" si="14"/>
        <v>209.41284423353576</v>
      </c>
      <c r="AY17" s="3">
        <v>2024</v>
      </c>
      <c r="AZ17" s="707">
        <f>C17*Bioplastics!AL22</f>
        <v>306.56435355952715</v>
      </c>
      <c r="BD17" s="3">
        <v>2024</v>
      </c>
      <c r="BE17" s="1131">
        <f t="shared" si="15"/>
        <v>0.46946273093369245</v>
      </c>
      <c r="BF17" s="1131">
        <f t="shared" si="16"/>
        <v>0.33480000000000021</v>
      </c>
      <c r="BG17" s="1131">
        <f t="shared" si="17"/>
        <v>0.19573726906630737</v>
      </c>
    </row>
    <row r="18" spans="2:59" ht="14.4" x14ac:dyDescent="0.55000000000000004">
      <c r="B18" s="3">
        <v>2025</v>
      </c>
      <c r="C18" s="707">
        <v>2397.5749666971119</v>
      </c>
      <c r="D18" s="965">
        <v>645.33761464870258</v>
      </c>
      <c r="E18" s="965">
        <v>162.56453111349254</v>
      </c>
      <c r="F18" s="965">
        <v>1054.7670288822792</v>
      </c>
      <c r="G18" s="965">
        <v>393.15077791454638</v>
      </c>
      <c r="H18" s="965">
        <v>297.67413785955728</v>
      </c>
      <c r="I18" s="965">
        <v>311.94757086578551</v>
      </c>
      <c r="J18" s="965">
        <v>305.20169156970167</v>
      </c>
      <c r="K18" s="965">
        <v>271.89996553601929</v>
      </c>
      <c r="L18" s="965">
        <v>303.5622628374893</v>
      </c>
      <c r="N18" s="3">
        <v>2025</v>
      </c>
      <c r="O18" s="707">
        <f>C18*Compost!J17/100</f>
        <v>1126.8602343476425</v>
      </c>
      <c r="P18" s="1130">
        <f t="shared" si="0"/>
        <v>442.13813222913245</v>
      </c>
      <c r="Q18" s="1130">
        <f t="shared" si="1"/>
        <v>31.786652547032759</v>
      </c>
      <c r="R18" s="1130">
        <f t="shared" si="2"/>
        <v>180.90273770721828</v>
      </c>
      <c r="S18" s="1130">
        <f t="shared" si="3"/>
        <v>326.29490359142471</v>
      </c>
      <c r="T18" s="1130">
        <f t="shared" si="4"/>
        <v>145.4101436143535</v>
      </c>
      <c r="U18" s="1130">
        <f t="shared" si="5"/>
        <v>147.72957759797467</v>
      </c>
      <c r="V18" s="1130">
        <f t="shared" si="6"/>
        <v>182.38439113681451</v>
      </c>
      <c r="W18" s="1130">
        <f t="shared" si="7"/>
        <v>135.28930194138815</v>
      </c>
      <c r="X18" s="1130">
        <f t="shared" si="8"/>
        <v>88.890012563391537</v>
      </c>
      <c r="AA18" s="3">
        <v>2025</v>
      </c>
      <c r="AB18" s="1243">
        <f>C18*'H&amp;C Recycling'!M15/100</f>
        <v>798.15270641346899</v>
      </c>
      <c r="AC18" s="1129">
        <f t="shared" si="9"/>
        <v>235.62421624462351</v>
      </c>
      <c r="AD18" s="1129">
        <f t="shared" si="10"/>
        <v>37.579676980712257</v>
      </c>
      <c r="AE18" s="1129">
        <f t="shared" si="11"/>
        <v>115.66522822263688</v>
      </c>
      <c r="AF18" s="1129">
        <f t="shared" si="12"/>
        <v>315.7500969673236</v>
      </c>
      <c r="AG18" s="1129">
        <f t="shared" si="13"/>
        <v>93.533487998172646</v>
      </c>
      <c r="AH18" s="528"/>
      <c r="AI18" s="528"/>
      <c r="AJ18" s="528"/>
      <c r="AK18" s="528"/>
      <c r="AM18" s="3">
        <v>2025</v>
      </c>
      <c r="AN18" s="707">
        <f t="shared" si="14"/>
        <v>472.5620259360004</v>
      </c>
      <c r="AO18" s="335">
        <f t="shared" si="14"/>
        <v>-32.42473382505338</v>
      </c>
      <c r="AP18" s="335">
        <f t="shared" si="14"/>
        <v>93.198201585747512</v>
      </c>
      <c r="AQ18" s="335">
        <f t="shared" si="14"/>
        <v>758.19906295242401</v>
      </c>
      <c r="AR18" s="335">
        <f t="shared" si="14"/>
        <v>-248.89422264420193</v>
      </c>
      <c r="AS18" s="335">
        <f t="shared" si="14"/>
        <v>58.73050624703113</v>
      </c>
      <c r="AT18" s="335">
        <f t="shared" si="14"/>
        <v>164.21799326781084</v>
      </c>
      <c r="AU18" s="335">
        <f t="shared" si="14"/>
        <v>122.81730043288715</v>
      </c>
      <c r="AV18" s="335">
        <f t="shared" si="14"/>
        <v>136.61066359463115</v>
      </c>
      <c r="AW18" s="335">
        <f t="shared" si="14"/>
        <v>214.67225027409776</v>
      </c>
      <c r="AY18" s="3">
        <v>2025</v>
      </c>
      <c r="AZ18" s="707">
        <f>C18*Bioplastics!AL23</f>
        <v>315.85262602417703</v>
      </c>
      <c r="BD18" s="3">
        <v>2025</v>
      </c>
      <c r="BE18" s="1131">
        <f t="shared" si="15"/>
        <v>0.47</v>
      </c>
      <c r="BF18" s="1131">
        <f t="shared" si="16"/>
        <v>0.3329000000000002</v>
      </c>
      <c r="BG18" s="1131">
        <f t="shared" si="17"/>
        <v>0.19709999999999986</v>
      </c>
    </row>
    <row r="19" spans="2:59" ht="14.4" x14ac:dyDescent="0.55000000000000004">
      <c r="B19" s="3">
        <v>2026</v>
      </c>
      <c r="C19" s="707">
        <v>2442.0419175786424</v>
      </c>
      <c r="D19" s="965">
        <v>650.12912558417747</v>
      </c>
      <c r="E19" s="965">
        <v>163.67203816548002</v>
      </c>
      <c r="F19" s="965">
        <v>1073.8381094455226</v>
      </c>
      <c r="G19" s="965">
        <v>405.95202258375934</v>
      </c>
      <c r="H19" s="965">
        <v>302.06574838952901</v>
      </c>
      <c r="I19" s="965">
        <v>323.27507873976163</v>
      </c>
      <c r="J19" s="965">
        <v>320.16693883525807</v>
      </c>
      <c r="K19" s="965">
        <v>273.60385276224366</v>
      </c>
      <c r="L19" s="965">
        <v>310.46060575351601</v>
      </c>
      <c r="N19" s="3">
        <v>2026</v>
      </c>
      <c r="O19" s="707">
        <f>C19*Compost!J18/100</f>
        <v>1150.9532588230409</v>
      </c>
      <c r="P19" s="1130">
        <f t="shared" si="0"/>
        <v>451.59134081401987</v>
      </c>
      <c r="Q19" s="1130">
        <f t="shared" si="1"/>
        <v>32.466272409783528</v>
      </c>
      <c r="R19" s="1130">
        <f t="shared" si="2"/>
        <v>184.7705590699712</v>
      </c>
      <c r="S19" s="1130">
        <f t="shared" si="3"/>
        <v>333.27130657273767</v>
      </c>
      <c r="T19" s="1130">
        <f t="shared" si="4"/>
        <v>148.51910960879201</v>
      </c>
      <c r="U19" s="1130">
        <f t="shared" si="5"/>
        <v>150.88813464020518</v>
      </c>
      <c r="V19" s="1130">
        <f t="shared" si="6"/>
        <v>186.28389123953468</v>
      </c>
      <c r="W19" s="1130">
        <f t="shared" si="7"/>
        <v>138.18187758083326</v>
      </c>
      <c r="X19" s="1130">
        <f t="shared" si="8"/>
        <v>90.790540404404652</v>
      </c>
      <c r="AA19" s="3">
        <v>2026</v>
      </c>
      <c r="AB19" s="1243">
        <f>C19*'H&amp;C Recycling'!M16/100</f>
        <v>808.31587471853118</v>
      </c>
      <c r="AC19" s="1129">
        <f t="shared" si="9"/>
        <v>238.62450497032751</v>
      </c>
      <c r="AD19" s="1129">
        <f t="shared" si="10"/>
        <v>38.058192656892899</v>
      </c>
      <c r="AE19" s="1129">
        <f t="shared" si="11"/>
        <v>117.13803558396546</v>
      </c>
      <c r="AF19" s="1129">
        <f t="shared" si="12"/>
        <v>319.77065763451532</v>
      </c>
      <c r="AG19" s="1129">
        <f t="shared" si="13"/>
        <v>94.724483872829879</v>
      </c>
      <c r="AH19" s="528"/>
      <c r="AI19" s="528"/>
      <c r="AJ19" s="528"/>
      <c r="AK19" s="528"/>
      <c r="AM19" s="3">
        <v>2026</v>
      </c>
      <c r="AN19" s="707">
        <f t="shared" si="14"/>
        <v>482.77278403707032</v>
      </c>
      <c r="AO19" s="335">
        <f t="shared" si="14"/>
        <v>-40.086720200169907</v>
      </c>
      <c r="AP19" s="335">
        <f t="shared" si="14"/>
        <v>93.147573098803591</v>
      </c>
      <c r="AQ19" s="335">
        <f t="shared" si="14"/>
        <v>771.92951479158592</v>
      </c>
      <c r="AR19" s="335">
        <f t="shared" si="14"/>
        <v>-247.08994162349364</v>
      </c>
      <c r="AS19" s="335">
        <f t="shared" si="14"/>
        <v>58.82215490790712</v>
      </c>
      <c r="AT19" s="335">
        <f t="shared" si="14"/>
        <v>172.38694409955644</v>
      </c>
      <c r="AU19" s="335">
        <f t="shared" si="14"/>
        <v>133.88304759572338</v>
      </c>
      <c r="AV19" s="335">
        <f t="shared" si="14"/>
        <v>135.4219751814104</v>
      </c>
      <c r="AW19" s="335">
        <f t="shared" si="14"/>
        <v>219.67006534911135</v>
      </c>
      <c r="AY19" s="3">
        <v>2026</v>
      </c>
      <c r="AZ19" s="707">
        <f>C19*Bioplastics!AL24</f>
        <v>325.35645565684013</v>
      </c>
      <c r="BD19" s="3">
        <v>2026</v>
      </c>
      <c r="BE19" s="1131">
        <f t="shared" si="15"/>
        <v>0.47130774068130882</v>
      </c>
      <c r="BF19" s="1131">
        <f t="shared" si="16"/>
        <v>0.33100000000000024</v>
      </c>
      <c r="BG19" s="1131">
        <f t="shared" si="17"/>
        <v>0.19769225931869097</v>
      </c>
    </row>
    <row r="20" spans="2:59" ht="14.4" x14ac:dyDescent="0.55000000000000004">
      <c r="B20" s="3">
        <v>2027</v>
      </c>
      <c r="C20" s="707">
        <v>2489.1118050597343</v>
      </c>
      <c r="D20" s="965">
        <v>654.32417528593624</v>
      </c>
      <c r="E20" s="965">
        <v>165.11270561844327</v>
      </c>
      <c r="F20" s="965">
        <v>1095.2129011047398</v>
      </c>
      <c r="G20" s="965">
        <v>419.75745462802143</v>
      </c>
      <c r="H20" s="965">
        <v>306.74374586939211</v>
      </c>
      <c r="I20" s="965">
        <v>334.6025866137378</v>
      </c>
      <c r="J20" s="965">
        <v>335.13218610081441</v>
      </c>
      <c r="K20" s="965">
        <v>275.30773998846803</v>
      </c>
      <c r="L20" s="965">
        <v>317.62785478322638</v>
      </c>
      <c r="N20" s="3">
        <v>2027</v>
      </c>
      <c r="O20" s="707">
        <f>C20*Compost!J19/100</f>
        <v>1175.1454267915165</v>
      </c>
      <c r="P20" s="1130">
        <f t="shared" si="0"/>
        <v>461.08344962585267</v>
      </c>
      <c r="Q20" s="1130">
        <f t="shared" si="1"/>
        <v>33.148688927940782</v>
      </c>
      <c r="R20" s="1130">
        <f t="shared" si="2"/>
        <v>188.65429662958408</v>
      </c>
      <c r="S20" s="1130">
        <f t="shared" si="3"/>
        <v>340.27641765424738</v>
      </c>
      <c r="T20" s="1130">
        <f t="shared" si="4"/>
        <v>151.64086908828514</v>
      </c>
      <c r="U20" s="1130">
        <f t="shared" si="5"/>
        <v>154.05968923608739</v>
      </c>
      <c r="V20" s="1130">
        <f t="shared" si="6"/>
        <v>190.19943789804668</v>
      </c>
      <c r="W20" s="1130">
        <f t="shared" si="7"/>
        <v>141.08635625275892</v>
      </c>
      <c r="X20" s="1130">
        <f t="shared" si="8"/>
        <v>92.698888972493407</v>
      </c>
      <c r="AA20" s="3">
        <v>2027</v>
      </c>
      <c r="AB20" s="1243">
        <f>C20*'H&amp;C Recycling'!M17/100</f>
        <v>819.16669504515914</v>
      </c>
      <c r="AC20" s="1129">
        <f t="shared" si="9"/>
        <v>241.82779678971087</v>
      </c>
      <c r="AD20" s="1129">
        <f t="shared" si="10"/>
        <v>38.569085271268364</v>
      </c>
      <c r="AE20" s="1129">
        <f t="shared" si="11"/>
        <v>118.71049483818754</v>
      </c>
      <c r="AF20" s="1129">
        <f t="shared" si="12"/>
        <v>324.06325420504294</v>
      </c>
      <c r="AG20" s="1129">
        <f t="shared" si="13"/>
        <v>95.996063940949355</v>
      </c>
      <c r="AH20" s="528"/>
      <c r="AI20" s="528"/>
      <c r="AJ20" s="528"/>
      <c r="AK20" s="528"/>
      <c r="AM20" s="3">
        <v>2027</v>
      </c>
      <c r="AN20" s="707">
        <f t="shared" si="14"/>
        <v>494.79968322305865</v>
      </c>
      <c r="AO20" s="335">
        <f t="shared" si="14"/>
        <v>-48.587071129627304</v>
      </c>
      <c r="AP20" s="335">
        <f t="shared" si="14"/>
        <v>93.394931419234126</v>
      </c>
      <c r="AQ20" s="335">
        <f t="shared" si="14"/>
        <v>787.84810963696816</v>
      </c>
      <c r="AR20" s="335">
        <f t="shared" si="14"/>
        <v>-244.58221723126888</v>
      </c>
      <c r="AS20" s="335">
        <f t="shared" si="14"/>
        <v>59.106812840157616</v>
      </c>
      <c r="AT20" s="335">
        <f t="shared" si="14"/>
        <v>180.54289737765041</v>
      </c>
      <c r="AU20" s="335">
        <f t="shared" si="14"/>
        <v>144.93274820276773</v>
      </c>
      <c r="AV20" s="335">
        <f t="shared" si="14"/>
        <v>134.22138373570911</v>
      </c>
      <c r="AW20" s="335">
        <f t="shared" si="14"/>
        <v>224.92896581073296</v>
      </c>
      <c r="AY20" s="3">
        <v>2027</v>
      </c>
      <c r="AZ20" s="707">
        <f>C20*Bioplastics!AL25</f>
        <v>335.07381964432847</v>
      </c>
      <c r="BD20" s="3">
        <v>2027</v>
      </c>
      <c r="BE20" s="1131">
        <f t="shared" si="15"/>
        <v>0.47211435999087836</v>
      </c>
      <c r="BF20" s="1131">
        <f t="shared" si="16"/>
        <v>0.32910000000000023</v>
      </c>
      <c r="BG20" s="1131">
        <f t="shared" si="17"/>
        <v>0.19878564000912138</v>
      </c>
    </row>
    <row r="21" spans="2:59" ht="14.4" x14ac:dyDescent="0.55000000000000004">
      <c r="B21" s="3">
        <v>2028</v>
      </c>
      <c r="C21" s="707">
        <v>2535.9468423081339</v>
      </c>
      <c r="D21" s="965">
        <v>658.52255454040869</v>
      </c>
      <c r="E21" s="965">
        <v>166.48745371756607</v>
      </c>
      <c r="F21" s="965">
        <v>1116.2976019953801</v>
      </c>
      <c r="G21" s="965">
        <v>433.59206384940489</v>
      </c>
      <c r="H21" s="965">
        <v>311.3257948284695</v>
      </c>
      <c r="I21" s="965">
        <v>345.93009448771397</v>
      </c>
      <c r="J21" s="965">
        <v>350.09743336637075</v>
      </c>
      <c r="K21" s="965">
        <v>277.01162721469234</v>
      </c>
      <c r="L21" s="965">
        <v>325.06400992662037</v>
      </c>
      <c r="N21" s="3">
        <v>2028</v>
      </c>
      <c r="O21" s="707">
        <f>C21*Compost!J20/100</f>
        <v>1199.1277829077062</v>
      </c>
      <c r="P21" s="1130">
        <f t="shared" si="0"/>
        <v>470.49323605407341</v>
      </c>
      <c r="Q21" s="1130">
        <f t="shared" si="1"/>
        <v>33.825187040029945</v>
      </c>
      <c r="R21" s="1130">
        <f t="shared" si="2"/>
        <v>192.50435162828566</v>
      </c>
      <c r="S21" s="1130">
        <f t="shared" si="3"/>
        <v>347.22077538230013</v>
      </c>
      <c r="T21" s="1130">
        <f t="shared" si="4"/>
        <v>154.73555442793113</v>
      </c>
      <c r="U21" s="1130">
        <f t="shared" si="5"/>
        <v>157.20373783311678</v>
      </c>
      <c r="V21" s="1130">
        <f t="shared" si="6"/>
        <v>194.08102612430059</v>
      </c>
      <c r="W21" s="1130">
        <f t="shared" si="7"/>
        <v>143.96564520002346</v>
      </c>
      <c r="X21" s="1130">
        <f t="shared" si="8"/>
        <v>94.590686971472365</v>
      </c>
      <c r="AA21" s="3">
        <v>2028</v>
      </c>
      <c r="AB21" s="1243">
        <f>C21*'H&amp;C Recycling'!M18/100</f>
        <v>829.76180680322216</v>
      </c>
      <c r="AC21" s="1129">
        <f t="shared" si="9"/>
        <v>244.95560038413299</v>
      </c>
      <c r="AD21" s="1129">
        <f t="shared" si="10"/>
        <v>39.067938278021551</v>
      </c>
      <c r="AE21" s="1129">
        <f t="shared" si="11"/>
        <v>120.24589778763999</v>
      </c>
      <c r="AF21" s="1129">
        <f t="shared" si="12"/>
        <v>328.2546921818942</v>
      </c>
      <c r="AG21" s="1129">
        <f t="shared" si="13"/>
        <v>97.237678171533346</v>
      </c>
      <c r="AH21" s="528"/>
      <c r="AI21" s="528"/>
      <c r="AJ21" s="528"/>
      <c r="AK21" s="528"/>
      <c r="AM21" s="3">
        <v>2028</v>
      </c>
      <c r="AN21" s="707">
        <f t="shared" si="14"/>
        <v>507.05725259720555</v>
      </c>
      <c r="AO21" s="335">
        <f t="shared" si="14"/>
        <v>-56.926281897797708</v>
      </c>
      <c r="AP21" s="335">
        <f t="shared" si="14"/>
        <v>93.59432839951458</v>
      </c>
      <c r="AQ21" s="335">
        <f t="shared" si="14"/>
        <v>803.54735257945435</v>
      </c>
      <c r="AR21" s="335">
        <f t="shared" si="14"/>
        <v>-241.88340371478944</v>
      </c>
      <c r="AS21" s="335">
        <f t="shared" si="14"/>
        <v>59.352562229005017</v>
      </c>
      <c r="AT21" s="335">
        <f t="shared" si="14"/>
        <v>188.7263566545972</v>
      </c>
      <c r="AU21" s="335">
        <f t="shared" si="14"/>
        <v>156.01640724207016</v>
      </c>
      <c r="AV21" s="335">
        <f t="shared" si="14"/>
        <v>133.04598201466888</v>
      </c>
      <c r="AW21" s="335">
        <f t="shared" si="14"/>
        <v>230.47332295514801</v>
      </c>
      <c r="AY21" s="3">
        <v>2028</v>
      </c>
      <c r="AZ21" s="707">
        <f>C21*Bioplastics!AL26</f>
        <v>345.01283762624877</v>
      </c>
      <c r="BD21" s="3">
        <v>2028</v>
      </c>
      <c r="BE21" s="1131">
        <f t="shared" si="15"/>
        <v>0.47285209725307187</v>
      </c>
      <c r="BF21" s="1131">
        <f t="shared" si="16"/>
        <v>0.32720000000000027</v>
      </c>
      <c r="BG21" s="1131">
        <f t="shared" si="17"/>
        <v>0.19994790274692786</v>
      </c>
    </row>
    <row r="22" spans="2:59" ht="14.4" x14ac:dyDescent="0.55000000000000004">
      <c r="B22" s="3">
        <v>2029</v>
      </c>
      <c r="C22" s="707">
        <v>2582.5519206119802</v>
      </c>
      <c r="D22" s="965">
        <v>662.71694470772582</v>
      </c>
      <c r="E22" s="965">
        <v>167.80032966400597</v>
      </c>
      <c r="F22" s="965">
        <v>1137.0970317191409</v>
      </c>
      <c r="G22" s="965">
        <v>447.47094582272166</v>
      </c>
      <c r="H22" s="965">
        <v>315.81377932164031</v>
      </c>
      <c r="I22" s="965">
        <v>357.25760236169015</v>
      </c>
      <c r="J22" s="965">
        <v>365.06268063192715</v>
      </c>
      <c r="K22" s="965">
        <v>278.71551444091676</v>
      </c>
      <c r="L22" s="965">
        <v>332.76907118369809</v>
      </c>
      <c r="N22" s="3">
        <v>2029</v>
      </c>
      <c r="O22" s="707">
        <f>C22*Compost!J21/100</f>
        <v>1222.9071408546165</v>
      </c>
      <c r="P22" s="1130">
        <f t="shared" si="0"/>
        <v>479.82337353500196</v>
      </c>
      <c r="Q22" s="1130">
        <f t="shared" si="1"/>
        <v>34.495958947503937</v>
      </c>
      <c r="R22" s="1130">
        <f t="shared" si="2"/>
        <v>196.32181791416124</v>
      </c>
      <c r="S22" s="1130">
        <f t="shared" si="3"/>
        <v>354.10635273453045</v>
      </c>
      <c r="T22" s="1130">
        <f t="shared" si="4"/>
        <v>157.80404486598366</v>
      </c>
      <c r="U22" s="1130">
        <f t="shared" si="5"/>
        <v>160.32117369425688</v>
      </c>
      <c r="V22" s="1130">
        <f t="shared" si="6"/>
        <v>197.92975872536033</v>
      </c>
      <c r="W22" s="1130">
        <f t="shared" si="7"/>
        <v>146.82056246411017</v>
      </c>
      <c r="X22" s="1130">
        <f t="shared" si="8"/>
        <v>96.466471884473506</v>
      </c>
      <c r="AA22" s="3">
        <v>2029</v>
      </c>
      <c r="AB22" s="1243">
        <f>C22*'H&amp;C Recycling'!M19/100</f>
        <v>840.1041397750779</v>
      </c>
      <c r="AC22" s="1129">
        <f t="shared" si="9"/>
        <v>248.00878066035452</v>
      </c>
      <c r="AD22" s="1129">
        <f t="shared" si="10"/>
        <v>39.554889621024287</v>
      </c>
      <c r="AE22" s="1129">
        <f t="shared" si="11"/>
        <v>121.74466900514246</v>
      </c>
      <c r="AF22" s="1129">
        <f t="shared" si="12"/>
        <v>332.34613059022314</v>
      </c>
      <c r="AG22" s="1129">
        <f t="shared" si="13"/>
        <v>98.449669898333369</v>
      </c>
      <c r="AH22" s="528"/>
      <c r="AI22" s="528"/>
      <c r="AJ22" s="528"/>
      <c r="AK22" s="528"/>
      <c r="AM22" s="3">
        <v>2029</v>
      </c>
      <c r="AN22" s="707">
        <f t="shared" si="14"/>
        <v>519.54063998228582</v>
      </c>
      <c r="AO22" s="335">
        <f t="shared" si="14"/>
        <v>-65.115209487630665</v>
      </c>
      <c r="AP22" s="335">
        <f t="shared" si="14"/>
        <v>93.749481095477748</v>
      </c>
      <c r="AQ22" s="335">
        <f t="shared" si="14"/>
        <v>819.03054479983723</v>
      </c>
      <c r="AR22" s="335">
        <f t="shared" si="14"/>
        <v>-238.98153750203193</v>
      </c>
      <c r="AS22" s="335">
        <f t="shared" si="14"/>
        <v>59.560064557323287</v>
      </c>
      <c r="AT22" s="335">
        <f t="shared" si="14"/>
        <v>196.93642866743326</v>
      </c>
      <c r="AU22" s="335">
        <f t="shared" si="14"/>
        <v>167.13292190656682</v>
      </c>
      <c r="AV22" s="335">
        <f t="shared" si="14"/>
        <v>131.8949519768066</v>
      </c>
      <c r="AW22" s="335">
        <f t="shared" si="14"/>
        <v>236.3025992992246</v>
      </c>
      <c r="AY22" s="3">
        <v>2029</v>
      </c>
      <c r="AZ22" s="707">
        <f>C22*Bioplastics!AL27</f>
        <v>355.17844811607688</v>
      </c>
      <c r="BD22" s="3">
        <v>2029</v>
      </c>
      <c r="BE22" s="1131">
        <f t="shared" si="15"/>
        <v>0.47352664281182294</v>
      </c>
      <c r="BF22" s="1131">
        <f t="shared" si="16"/>
        <v>0.32530000000000026</v>
      </c>
      <c r="BG22" s="1131">
        <f t="shared" si="17"/>
        <v>0.20117335718817678</v>
      </c>
    </row>
    <row r="23" spans="2:59" ht="14.4" x14ac:dyDescent="0.55000000000000004">
      <c r="B23" s="3">
        <v>2030</v>
      </c>
      <c r="C23" s="707">
        <v>2631.964314994379</v>
      </c>
      <c r="D23" s="965">
        <v>671.07859175619342</v>
      </c>
      <c r="E23" s="965">
        <v>170.39176235591665</v>
      </c>
      <c r="F23" s="965">
        <v>1159.581693955625</v>
      </c>
      <c r="G23" s="965">
        <v>461.82297590791268</v>
      </c>
      <c r="H23" s="965">
        <v>321.08927903679051</v>
      </c>
      <c r="I23" s="965">
        <v>368.58511023566632</v>
      </c>
      <c r="J23" s="965">
        <v>380.02792789748349</v>
      </c>
      <c r="K23" s="965">
        <v>280.41940166714107</v>
      </c>
      <c r="L23" s="965">
        <v>340.74303855445942</v>
      </c>
      <c r="N23" s="3">
        <v>2030</v>
      </c>
      <c r="O23" s="707">
        <f>C23*Compost!J22/100</f>
        <v>1247.9281116320906</v>
      </c>
      <c r="P23" s="1130">
        <f t="shared" si="0"/>
        <v>489.64067380784059</v>
      </c>
      <c r="Q23" s="1130">
        <f t="shared" si="1"/>
        <v>35.201754466993059</v>
      </c>
      <c r="R23" s="1130">
        <f t="shared" si="2"/>
        <v>200.33860897286581</v>
      </c>
      <c r="S23" s="1130">
        <f t="shared" si="3"/>
        <v>361.35145287982584</v>
      </c>
      <c r="T23" s="1130">
        <f t="shared" si="4"/>
        <v>161.03275313274517</v>
      </c>
      <c r="U23" s="1130">
        <f t="shared" si="5"/>
        <v>163.60138301514698</v>
      </c>
      <c r="V23" s="1130">
        <f t="shared" si="6"/>
        <v>201.97944863525717</v>
      </c>
      <c r="W23" s="1130">
        <f t="shared" si="7"/>
        <v>149.82454607024036</v>
      </c>
      <c r="X23" s="1130">
        <f t="shared" si="8"/>
        <v>98.440198828565656</v>
      </c>
      <c r="AA23" s="3">
        <v>2030</v>
      </c>
      <c r="AB23" s="1243">
        <f>C23*'H&amp;C Recycling'!M20/100</f>
        <v>851.17725946918301</v>
      </c>
      <c r="AC23" s="1129">
        <f t="shared" si="9"/>
        <v>251.27769790932371</v>
      </c>
      <c r="AD23" s="1129">
        <f t="shared" si="10"/>
        <v>40.076248827012705</v>
      </c>
      <c r="AE23" s="1129">
        <f t="shared" si="11"/>
        <v>123.34934303088178</v>
      </c>
      <c r="AF23" s="1129">
        <f t="shared" si="12"/>
        <v>336.72666903737746</v>
      </c>
      <c r="AG23" s="1129">
        <f t="shared" si="13"/>
        <v>99.747300664587243</v>
      </c>
      <c r="AH23" s="528"/>
      <c r="AI23" s="528"/>
      <c r="AJ23" s="528"/>
      <c r="AK23" s="528"/>
      <c r="AM23" s="3">
        <v>2030</v>
      </c>
      <c r="AN23" s="707">
        <f t="shared" si="14"/>
        <v>532.85894389310545</v>
      </c>
      <c r="AO23" s="335">
        <f t="shared" si="14"/>
        <v>-69.839779960970873</v>
      </c>
      <c r="AP23" s="335">
        <f t="shared" si="14"/>
        <v>95.113759061910883</v>
      </c>
      <c r="AQ23" s="335">
        <f t="shared" si="14"/>
        <v>835.89374195187747</v>
      </c>
      <c r="AR23" s="335">
        <f t="shared" si="14"/>
        <v>-236.25514600929063</v>
      </c>
      <c r="AS23" s="335">
        <f t="shared" si="14"/>
        <v>60.309225239458101</v>
      </c>
      <c r="AT23" s="335">
        <f t="shared" si="14"/>
        <v>204.98372722051934</v>
      </c>
      <c r="AU23" s="335">
        <f t="shared" si="14"/>
        <v>178.04847926222632</v>
      </c>
      <c r="AV23" s="335">
        <f t="shared" si="14"/>
        <v>130.59485559690071</v>
      </c>
      <c r="AW23" s="335">
        <f t="shared" si="14"/>
        <v>242.30283972589376</v>
      </c>
      <c r="AY23" s="3">
        <v>2030</v>
      </c>
      <c r="AZ23" s="707">
        <f>C23*Bioplastics!AL28</f>
        <v>365.57585002380057</v>
      </c>
      <c r="BD23" s="3">
        <v>2030</v>
      </c>
      <c r="BE23" s="1131">
        <f t="shared" si="15"/>
        <v>0.47414324902606275</v>
      </c>
      <c r="BF23" s="1131">
        <f t="shared" si="16"/>
        <v>0.3234000000000003</v>
      </c>
      <c r="BG23" s="1131">
        <f t="shared" si="17"/>
        <v>0.20245675097393692</v>
      </c>
    </row>
    <row r="24" spans="2:59" ht="14.4" x14ac:dyDescent="0.55000000000000004">
      <c r="B24" s="3">
        <v>2031</v>
      </c>
      <c r="C24" s="707">
        <v>2675.0918435535782</v>
      </c>
      <c r="D24" s="965">
        <v>673.6172807220504</v>
      </c>
      <c r="E24" s="965">
        <v>170.25647725236496</v>
      </c>
      <c r="F24" s="965">
        <v>1177.8633437726871</v>
      </c>
      <c r="G24" s="965">
        <v>475.42061042428685</v>
      </c>
      <c r="H24" s="965">
        <v>324.51569785489437</v>
      </c>
      <c r="I24" s="965">
        <v>372.01380893553295</v>
      </c>
      <c r="J24" s="965">
        <v>392.15029247603758</v>
      </c>
      <c r="K24" s="965">
        <v>282.67666114411583</v>
      </c>
      <c r="L24" s="965">
        <v>347.8564488960472</v>
      </c>
      <c r="N24" s="3">
        <v>2031</v>
      </c>
      <c r="O24" s="707">
        <f>C24*Compost!J23/100</f>
        <v>1269.8841778443089</v>
      </c>
      <c r="P24" s="1130">
        <f t="shared" si="0"/>
        <v>498.25541928405238</v>
      </c>
      <c r="Q24" s="1130">
        <f t="shared" si="1"/>
        <v>35.82109467149629</v>
      </c>
      <c r="R24" s="1130">
        <f t="shared" si="2"/>
        <v>203.86336951193184</v>
      </c>
      <c r="S24" s="1130">
        <f t="shared" si="3"/>
        <v>367.70907584813494</v>
      </c>
      <c r="T24" s="1130">
        <f t="shared" si="4"/>
        <v>163.86596584521007</v>
      </c>
      <c r="U24" s="1130">
        <f t="shared" si="5"/>
        <v>166.4797882409041</v>
      </c>
      <c r="V24" s="1130">
        <f t="shared" si="6"/>
        <v>205.53307813234673</v>
      </c>
      <c r="W24" s="1130">
        <f t="shared" si="7"/>
        <v>152.4605614168548</v>
      </c>
      <c r="X24" s="1130">
        <f t="shared" si="8"/>
        <v>100.17215718680571</v>
      </c>
      <c r="AA24" s="3">
        <v>2031</v>
      </c>
      <c r="AB24" s="1243">
        <f>C24*'H&amp;C Recycling'!M21/100</f>
        <v>860.04202770247639</v>
      </c>
      <c r="AC24" s="1129">
        <f t="shared" si="9"/>
        <v>253.89468341895866</v>
      </c>
      <c r="AD24" s="1129">
        <f t="shared" si="10"/>
        <v>40.493631520874636</v>
      </c>
      <c r="AE24" s="1129">
        <f t="shared" si="11"/>
        <v>124.63399123492296</v>
      </c>
      <c r="AF24" s="1129">
        <f t="shared" si="12"/>
        <v>340.23358119436671</v>
      </c>
      <c r="AG24" s="1129">
        <f t="shared" si="13"/>
        <v>100.78614033335333</v>
      </c>
      <c r="AH24" s="528"/>
      <c r="AI24" s="528"/>
      <c r="AJ24" s="528"/>
      <c r="AK24" s="528"/>
      <c r="AM24" s="3">
        <v>2031</v>
      </c>
      <c r="AN24" s="707">
        <f t="shared" si="14"/>
        <v>545.16563800679296</v>
      </c>
      <c r="AO24" s="335">
        <f t="shared" si="14"/>
        <v>-78.532821980960648</v>
      </c>
      <c r="AP24" s="335">
        <f t="shared" si="14"/>
        <v>93.941751059994033</v>
      </c>
      <c r="AQ24" s="335">
        <f t="shared" si="14"/>
        <v>849.36598302583229</v>
      </c>
      <c r="AR24" s="335">
        <f t="shared" si="14"/>
        <v>-232.5220466182148</v>
      </c>
      <c r="AS24" s="335">
        <f t="shared" si="14"/>
        <v>59.863591676330969</v>
      </c>
      <c r="AT24" s="335">
        <f t="shared" si="14"/>
        <v>205.53402069462885</v>
      </c>
      <c r="AU24" s="335">
        <f t="shared" si="14"/>
        <v>186.61721434369085</v>
      </c>
      <c r="AV24" s="335">
        <f t="shared" si="14"/>
        <v>130.21609972726102</v>
      </c>
      <c r="AW24" s="335">
        <f t="shared" si="14"/>
        <v>247.68429170924151</v>
      </c>
      <c r="AY24" s="3">
        <v>2031</v>
      </c>
      <c r="AZ24" s="707">
        <f>C24*Bioplastics!AL29</f>
        <v>376.20773271714336</v>
      </c>
      <c r="BD24" s="3">
        <v>2031</v>
      </c>
      <c r="BE24" s="1131">
        <f t="shared" si="15"/>
        <v>0.47470675853783073</v>
      </c>
      <c r="BF24" s="1131">
        <f t="shared" si="16"/>
        <v>0.3215000000000004</v>
      </c>
      <c r="BG24" s="1131">
        <f t="shared" si="17"/>
        <v>0.20379324146216893</v>
      </c>
    </row>
    <row r="25" spans="2:59" ht="14.4" x14ac:dyDescent="0.55000000000000004">
      <c r="B25" s="3">
        <v>2032</v>
      </c>
      <c r="C25" s="707">
        <v>2720.1024132340781</v>
      </c>
      <c r="D25" s="965">
        <v>675.03466669669638</v>
      </c>
      <c r="E25" s="965">
        <v>171.39075851600956</v>
      </c>
      <c r="F25" s="965">
        <v>1196.9042163092404</v>
      </c>
      <c r="G25" s="965">
        <v>489.40506611942709</v>
      </c>
      <c r="H25" s="965">
        <v>328.64345039472619</v>
      </c>
      <c r="I25" s="965">
        <v>375.44250763539964</v>
      </c>
      <c r="J25" s="965">
        <v>404.27265705459166</v>
      </c>
      <c r="K25" s="965">
        <v>284.93392062109058</v>
      </c>
      <c r="L25" s="965">
        <v>355.23876535131865</v>
      </c>
      <c r="N25" s="3">
        <v>2032</v>
      </c>
      <c r="O25" s="707">
        <f>C25*Compost!J24/100</f>
        <v>1292.6515071582471</v>
      </c>
      <c r="P25" s="1130">
        <f t="shared" si="0"/>
        <v>507.18847429112503</v>
      </c>
      <c r="Q25" s="1130">
        <f t="shared" si="1"/>
        <v>36.463319114481443</v>
      </c>
      <c r="R25" s="1130">
        <f t="shared" si="2"/>
        <v>207.5183677784716</v>
      </c>
      <c r="S25" s="1130">
        <f t="shared" si="3"/>
        <v>374.30160906306941</v>
      </c>
      <c r="T25" s="1130">
        <f t="shared" si="4"/>
        <v>166.80386401957557</v>
      </c>
      <c r="U25" s="1130">
        <f t="shared" si="5"/>
        <v>169.46454876404852</v>
      </c>
      <c r="V25" s="1130">
        <f t="shared" si="6"/>
        <v>209.21801204709959</v>
      </c>
      <c r="W25" s="1130">
        <f t="shared" si="7"/>
        <v>155.19397590435383</v>
      </c>
      <c r="X25" s="1130">
        <f t="shared" si="8"/>
        <v>101.96811033792781</v>
      </c>
      <c r="AA25" s="3">
        <v>2032</v>
      </c>
      <c r="AB25" s="1243">
        <f>C25*'H&amp;C Recycling'!M22/100</f>
        <v>869.34473126961223</v>
      </c>
      <c r="AC25" s="1129">
        <f t="shared" si="9"/>
        <v>256.64095267213457</v>
      </c>
      <c r="AD25" s="1129">
        <f t="shared" si="10"/>
        <v>40.931633662934885</v>
      </c>
      <c r="AE25" s="1129">
        <f t="shared" si="11"/>
        <v>125.98210334747263</v>
      </c>
      <c r="AF25" s="1129">
        <f t="shared" si="12"/>
        <v>343.9137410557301</v>
      </c>
      <c r="AG25" s="1129">
        <f t="shared" si="13"/>
        <v>101.87630053133994</v>
      </c>
      <c r="AH25" s="528"/>
      <c r="AI25" s="528"/>
      <c r="AJ25" s="528"/>
      <c r="AK25" s="528"/>
      <c r="AM25" s="3">
        <v>2032</v>
      </c>
      <c r="AN25" s="707">
        <f t="shared" si="14"/>
        <v>558.10617480621875</v>
      </c>
      <c r="AO25" s="335">
        <f t="shared" si="14"/>
        <v>-88.79476026656323</v>
      </c>
      <c r="AP25" s="335">
        <f t="shared" si="14"/>
        <v>93.995805738593234</v>
      </c>
      <c r="AQ25" s="335">
        <f t="shared" si="14"/>
        <v>863.40374518329611</v>
      </c>
      <c r="AR25" s="335">
        <f t="shared" si="14"/>
        <v>-228.81028399937242</v>
      </c>
      <c r="AS25" s="335">
        <f t="shared" si="14"/>
        <v>59.963285843810681</v>
      </c>
      <c r="AT25" s="335">
        <f t="shared" si="14"/>
        <v>205.97795887135112</v>
      </c>
      <c r="AU25" s="335">
        <f t="shared" si="14"/>
        <v>195.05464500749207</v>
      </c>
      <c r="AV25" s="335">
        <f t="shared" si="14"/>
        <v>129.73994471673674</v>
      </c>
      <c r="AW25" s="335">
        <f t="shared" si="14"/>
        <v>253.27065501339084</v>
      </c>
      <c r="AY25" s="3">
        <v>2032</v>
      </c>
      <c r="AZ25" s="707">
        <f>C25*Bioplastics!AL30</f>
        <v>387.07935610302718</v>
      </c>
      <c r="BD25" s="3">
        <v>2032</v>
      </c>
      <c r="BE25" s="1131">
        <f t="shared" si="15"/>
        <v>0.47522163168163334</v>
      </c>
      <c r="BF25" s="1131">
        <f t="shared" si="16"/>
        <v>0.31960000000000033</v>
      </c>
      <c r="BG25" s="1131">
        <f t="shared" si="17"/>
        <v>0.20517836831836633</v>
      </c>
    </row>
    <row r="26" spans="2:59" ht="14.4" x14ac:dyDescent="0.55000000000000004">
      <c r="B26" s="3">
        <v>2033</v>
      </c>
      <c r="C26" s="707">
        <v>2764.905276871817</v>
      </c>
      <c r="D26" s="965">
        <v>678.97857490345075</v>
      </c>
      <c r="E26" s="965">
        <v>172.48002659293451</v>
      </c>
      <c r="F26" s="965">
        <v>1215.6785487016321</v>
      </c>
      <c r="G26" s="965">
        <v>503.48746350188276</v>
      </c>
      <c r="H26" s="965">
        <v>332.684016103646</v>
      </c>
      <c r="I26" s="965">
        <v>378.87120633526627</v>
      </c>
      <c r="J26" s="965">
        <v>416.3950216331458</v>
      </c>
      <c r="K26" s="965">
        <v>287.19118009806533</v>
      </c>
      <c r="L26" s="965">
        <v>362.88998792027377</v>
      </c>
      <c r="N26" s="3">
        <v>2033</v>
      </c>
      <c r="O26" s="707">
        <f>C26*Compost!J25/100</f>
        <v>1315.2432459342745</v>
      </c>
      <c r="P26" s="1130">
        <f t="shared" si="0"/>
        <v>516.0526340882127</v>
      </c>
      <c r="Q26" s="1130">
        <f t="shared" si="1"/>
        <v>37.100590471672099</v>
      </c>
      <c r="R26" s="1130">
        <f t="shared" si="2"/>
        <v>211.1451772705251</v>
      </c>
      <c r="S26" s="1130">
        <f t="shared" si="3"/>
        <v>380.84329808642377</v>
      </c>
      <c r="T26" s="1130">
        <f t="shared" si="4"/>
        <v>169.71910397550664</v>
      </c>
      <c r="U26" s="1130">
        <f t="shared" si="5"/>
        <v>172.4262896480175</v>
      </c>
      <c r="V26" s="1130">
        <f t="shared" si="6"/>
        <v>212.87452631195254</v>
      </c>
      <c r="W26" s="1130">
        <f t="shared" si="7"/>
        <v>157.90630923149473</v>
      </c>
      <c r="X26" s="1130">
        <f t="shared" si="8"/>
        <v>103.7502123967448</v>
      </c>
      <c r="AA26" s="3">
        <v>2033</v>
      </c>
      <c r="AB26" s="1243">
        <f>C26*'H&amp;C Recycling'!M23/100</f>
        <v>878.41040646217721</v>
      </c>
      <c r="AC26" s="1129">
        <f t="shared" si="9"/>
        <v>259.31724831683027</v>
      </c>
      <c r="AD26" s="1129">
        <f t="shared" si="10"/>
        <v>41.358475722870423</v>
      </c>
      <c r="AE26" s="1129">
        <f t="shared" si="11"/>
        <v>127.29586621730262</v>
      </c>
      <c r="AF26" s="1129">
        <f t="shared" si="12"/>
        <v>347.50013222890465</v>
      </c>
      <c r="AG26" s="1129">
        <f t="shared" si="13"/>
        <v>102.93868397626915</v>
      </c>
      <c r="AH26" s="528"/>
      <c r="AI26" s="528"/>
      <c r="AJ26" s="528"/>
      <c r="AK26" s="528"/>
      <c r="AM26" s="3">
        <v>2033</v>
      </c>
      <c r="AN26" s="707">
        <f t="shared" si="14"/>
        <v>571.25162447536536</v>
      </c>
      <c r="AO26" s="335">
        <f t="shared" si="14"/>
        <v>-96.391307501592223</v>
      </c>
      <c r="AP26" s="335">
        <f t="shared" si="14"/>
        <v>94.020960398391992</v>
      </c>
      <c r="AQ26" s="335">
        <f t="shared" si="14"/>
        <v>877.2375052138043</v>
      </c>
      <c r="AR26" s="335">
        <f t="shared" si="14"/>
        <v>-224.85596681344566</v>
      </c>
      <c r="AS26" s="335">
        <f t="shared" si="14"/>
        <v>60.026228151870214</v>
      </c>
      <c r="AT26" s="335">
        <f t="shared" si="14"/>
        <v>206.44491668724876</v>
      </c>
      <c r="AU26" s="335">
        <f t="shared" si="14"/>
        <v>203.52049532119327</v>
      </c>
      <c r="AV26" s="335">
        <f t="shared" si="14"/>
        <v>129.2848708665706</v>
      </c>
      <c r="AW26" s="335">
        <f t="shared" si="14"/>
        <v>259.13977552352895</v>
      </c>
      <c r="AY26" s="3">
        <v>2033</v>
      </c>
      <c r="AZ26" s="707">
        <f>C26*Bioplastics!AL31</f>
        <v>398.1882820547043</v>
      </c>
      <c r="BD26" s="3">
        <v>2033</v>
      </c>
      <c r="BE26" s="1131">
        <f t="shared" si="15"/>
        <v>0.47569197286292786</v>
      </c>
      <c r="BF26" s="1131">
        <f t="shared" si="16"/>
        <v>0.31770000000000032</v>
      </c>
      <c r="BG26" s="1131">
        <f t="shared" si="17"/>
        <v>0.2066080271370718</v>
      </c>
    </row>
    <row r="27" spans="2:59" ht="14.4" x14ac:dyDescent="0.55000000000000004">
      <c r="B27" s="3">
        <v>2034</v>
      </c>
      <c r="C27" s="707">
        <v>2809.5135667565687</v>
      </c>
      <c r="D27" s="965">
        <v>682.90037147244834</v>
      </c>
      <c r="E27" s="965">
        <v>173.53016241063759</v>
      </c>
      <c r="F27" s="965">
        <v>1234.1954414635343</v>
      </c>
      <c r="G27" s="965">
        <v>517.68394231792342</v>
      </c>
      <c r="H27" s="965">
        <v>336.64012647165691</v>
      </c>
      <c r="I27" s="965">
        <v>382.29990503513295</v>
      </c>
      <c r="J27" s="965">
        <v>428.51738621169989</v>
      </c>
      <c r="K27" s="965">
        <v>289.44843957504008</v>
      </c>
      <c r="L27" s="965">
        <v>370.8101166029125</v>
      </c>
      <c r="N27" s="3">
        <v>2034</v>
      </c>
      <c r="O27" s="707">
        <f>C27*Compost!J26/100</f>
        <v>1337.6699704005453</v>
      </c>
      <c r="P27" s="1130">
        <f t="shared" si="0"/>
        <v>524.85204839470362</v>
      </c>
      <c r="Q27" s="1130">
        <f t="shared" si="1"/>
        <v>37.733207078992599</v>
      </c>
      <c r="R27" s="1130">
        <f t="shared" si="2"/>
        <v>214.7454958638088</v>
      </c>
      <c r="S27" s="1130">
        <f t="shared" si="3"/>
        <v>387.33720538259314</v>
      </c>
      <c r="T27" s="1130">
        <f t="shared" si="4"/>
        <v>172.61305047041324</v>
      </c>
      <c r="U27" s="1130">
        <f t="shared" si="5"/>
        <v>175.36639741943634</v>
      </c>
      <c r="V27" s="1130">
        <f t="shared" si="6"/>
        <v>216.50433270878742</v>
      </c>
      <c r="W27" s="1130">
        <f t="shared" si="7"/>
        <v>160.59883116579667</v>
      </c>
      <c r="X27" s="1130">
        <f t="shared" si="8"/>
        <v>105.51929764689262</v>
      </c>
      <c r="AA27" s="3">
        <v>2034</v>
      </c>
      <c r="AB27" s="1243">
        <f>C27*'H&amp;C Recycling'!M24/100</f>
        <v>887.24438438172524</v>
      </c>
      <c r="AC27" s="1129">
        <f t="shared" si="9"/>
        <v>261.92514415792704</v>
      </c>
      <c r="AD27" s="1129">
        <f t="shared" si="10"/>
        <v>41.774408706626268</v>
      </c>
      <c r="AE27" s="1129">
        <f t="shared" si="11"/>
        <v>128.57605240719815</v>
      </c>
      <c r="AF27" s="1129">
        <f t="shared" si="12"/>
        <v>350.99486370358505</v>
      </c>
      <c r="AG27" s="1129">
        <f t="shared" si="13"/>
        <v>103.97391540638866</v>
      </c>
      <c r="AH27" s="528"/>
      <c r="AI27" s="528"/>
      <c r="AJ27" s="528"/>
      <c r="AK27" s="528"/>
      <c r="AM27" s="3">
        <v>2034</v>
      </c>
      <c r="AN27" s="707">
        <f t="shared" si="14"/>
        <v>584.59921197429821</v>
      </c>
      <c r="AO27" s="335">
        <f t="shared" si="14"/>
        <v>-103.87682108018231</v>
      </c>
      <c r="AP27" s="335">
        <f t="shared" si="14"/>
        <v>94.02254662501872</v>
      </c>
      <c r="AQ27" s="335">
        <f t="shared" si="14"/>
        <v>890.87389319252725</v>
      </c>
      <c r="AR27" s="335">
        <f t="shared" si="14"/>
        <v>-220.64812676825477</v>
      </c>
      <c r="AS27" s="335">
        <f t="shared" si="14"/>
        <v>60.053160594855015</v>
      </c>
      <c r="AT27" s="335">
        <f t="shared" si="14"/>
        <v>206.93350761569661</v>
      </c>
      <c r="AU27" s="335">
        <f t="shared" si="14"/>
        <v>212.01305350291247</v>
      </c>
      <c r="AV27" s="335">
        <f t="shared" si="14"/>
        <v>128.84960840924342</v>
      </c>
      <c r="AW27" s="335">
        <f t="shared" si="14"/>
        <v>265.29081895601985</v>
      </c>
      <c r="AY27" s="3">
        <v>2034</v>
      </c>
      <c r="AZ27" s="707">
        <f>C27*Bioplastics!AL32</f>
        <v>409.53158130019591</v>
      </c>
      <c r="BD27" s="3">
        <v>2034</v>
      </c>
      <c r="BE27" s="1131">
        <f t="shared" si="15"/>
        <v>0.47612155578405441</v>
      </c>
      <c r="BF27" s="1131">
        <f t="shared" si="16"/>
        <v>0.3158000000000003</v>
      </c>
      <c r="BG27" s="1131">
        <f t="shared" si="17"/>
        <v>0.20807844421594532</v>
      </c>
    </row>
    <row r="28" spans="2:59" ht="14.4" x14ac:dyDescent="0.55000000000000004">
      <c r="B28" s="3">
        <v>2035</v>
      </c>
      <c r="C28" s="707">
        <v>2854.0638327332344</v>
      </c>
      <c r="D28" s="965">
        <v>687.45041571051388</v>
      </c>
      <c r="E28" s="965">
        <v>174.40262511343715</v>
      </c>
      <c r="F28" s="965">
        <v>1252.7291363804557</v>
      </c>
      <c r="G28" s="965">
        <v>531.63511115357085</v>
      </c>
      <c r="H28" s="965">
        <v>340.48837179829752</v>
      </c>
      <c r="I28" s="965">
        <v>385.72860373499964</v>
      </c>
      <c r="J28" s="965">
        <v>440.63975079025397</v>
      </c>
      <c r="K28" s="965">
        <v>291.70569905201484</v>
      </c>
      <c r="L28" s="965">
        <v>378.9991513992349</v>
      </c>
      <c r="N28" s="3">
        <v>2035</v>
      </c>
      <c r="O28" s="707">
        <f>C28*Compost!J27/100</f>
        <v>1360.0009377678862</v>
      </c>
      <c r="P28" s="1130">
        <f t="shared" si="0"/>
        <v>533.61389116962562</v>
      </c>
      <c r="Q28" s="1130">
        <f t="shared" si="1"/>
        <v>38.363122554850811</v>
      </c>
      <c r="R28" s="1130">
        <f t="shared" si="2"/>
        <v>218.33044190171844</v>
      </c>
      <c r="S28" s="1130">
        <f t="shared" si="3"/>
        <v>393.80338514662395</v>
      </c>
      <c r="T28" s="1130">
        <f t="shared" si="4"/>
        <v>175.49464046086339</v>
      </c>
      <c r="U28" s="1130">
        <f t="shared" si="5"/>
        <v>178.29395158806955</v>
      </c>
      <c r="V28" s="1130">
        <f t="shared" si="6"/>
        <v>220.11864064392043</v>
      </c>
      <c r="W28" s="1130">
        <f t="shared" si="7"/>
        <v>163.27985663347806</v>
      </c>
      <c r="X28" s="1130">
        <f t="shared" si="8"/>
        <v>107.2808292985839</v>
      </c>
      <c r="AA28" s="3">
        <v>2035</v>
      </c>
      <c r="AB28" s="1243">
        <f>C28*'H&amp;C Recycling'!M25/100</f>
        <v>895.89063709496315</v>
      </c>
      <c r="AC28" s="1129">
        <f t="shared" si="9"/>
        <v>264.47762127494912</v>
      </c>
      <c r="AD28" s="1129">
        <f t="shared" si="10"/>
        <v>42.181502964963308</v>
      </c>
      <c r="AE28" s="1129">
        <f t="shared" si="11"/>
        <v>129.82903418037424</v>
      </c>
      <c r="AF28" s="1129">
        <f t="shared" si="12"/>
        <v>354.41533087818931</v>
      </c>
      <c r="AG28" s="1129">
        <f t="shared" si="13"/>
        <v>104.98714779648702</v>
      </c>
      <c r="AH28" s="528"/>
      <c r="AI28" s="528"/>
      <c r="AJ28" s="528"/>
      <c r="AK28" s="528"/>
      <c r="AM28" s="3">
        <v>2035</v>
      </c>
      <c r="AN28" s="707">
        <f t="shared" si="14"/>
        <v>598.17225787038512</v>
      </c>
      <c r="AO28" s="335">
        <f t="shared" si="14"/>
        <v>-110.64109673406085</v>
      </c>
      <c r="AP28" s="335">
        <f t="shared" si="14"/>
        <v>93.857999593623049</v>
      </c>
      <c r="AQ28" s="335">
        <f t="shared" si="14"/>
        <v>904.56966029836303</v>
      </c>
      <c r="AR28" s="335">
        <f t="shared" si="14"/>
        <v>-216.58360487124241</v>
      </c>
      <c r="AS28" s="335">
        <f t="shared" si="14"/>
        <v>60.006583540947105</v>
      </c>
      <c r="AT28" s="335">
        <f t="shared" si="14"/>
        <v>207.43465214693009</v>
      </c>
      <c r="AU28" s="335">
        <f t="shared" si="14"/>
        <v>220.52111014633354</v>
      </c>
      <c r="AV28" s="335">
        <f t="shared" si="14"/>
        <v>128.42584241853677</v>
      </c>
      <c r="AW28" s="335">
        <f t="shared" si="14"/>
        <v>271.71832210065099</v>
      </c>
      <c r="AY28" s="3">
        <v>2035</v>
      </c>
      <c r="AZ28" s="707">
        <f>C28*Bioplastics!AL33</f>
        <v>421.10660463406822</v>
      </c>
      <c r="BD28" s="3">
        <v>2035</v>
      </c>
      <c r="BE28" s="1131">
        <f t="shared" si="15"/>
        <v>0.47651384743748432</v>
      </c>
      <c r="BF28" s="1131">
        <f t="shared" si="16"/>
        <v>0.31390000000000029</v>
      </c>
      <c r="BG28" s="1131">
        <f t="shared" si="17"/>
        <v>0.20958615256251539</v>
      </c>
    </row>
    <row r="29" spans="2:59" ht="14.4" x14ac:dyDescent="0.55000000000000004">
      <c r="B29" s="3">
        <v>2036</v>
      </c>
      <c r="C29" s="707">
        <v>2898.1595420928984</v>
      </c>
      <c r="D29" s="965">
        <v>690.66495132921341</v>
      </c>
      <c r="E29" s="965">
        <v>175.53367971695428</v>
      </c>
      <c r="F29" s="965">
        <v>1270.5044930849463</v>
      </c>
      <c r="G29" s="965">
        <v>546.48345974309211</v>
      </c>
      <c r="H29" s="965">
        <v>344.31158870693434</v>
      </c>
      <c r="I29" s="965">
        <v>389.15730243486627</v>
      </c>
      <c r="J29" s="965">
        <v>452.76211536880805</v>
      </c>
      <c r="K29" s="965">
        <v>293.96295852898959</v>
      </c>
      <c r="L29" s="965">
        <v>387.45709230924092</v>
      </c>
      <c r="N29" s="3">
        <v>2036</v>
      </c>
      <c r="O29" s="707">
        <f>C29*Compost!J28/100</f>
        <v>1382.0512264784813</v>
      </c>
      <c r="P29" s="1130">
        <f t="shared" si="0"/>
        <v>542.26560605710654</v>
      </c>
      <c r="Q29" s="1130">
        <f t="shared" si="1"/>
        <v>38.985120602560087</v>
      </c>
      <c r="R29" s="1130">
        <f t="shared" si="2"/>
        <v>221.87032863602184</v>
      </c>
      <c r="S29" s="1130">
        <f t="shared" si="3"/>
        <v>400.1882912864275</v>
      </c>
      <c r="T29" s="1130">
        <f t="shared" si="4"/>
        <v>178.34001165279457</v>
      </c>
      <c r="U29" s="1130">
        <f t="shared" si="5"/>
        <v>181.18470923292992</v>
      </c>
      <c r="V29" s="1130">
        <f t="shared" si="6"/>
        <v>223.6875202248039</v>
      </c>
      <c r="W29" s="1130">
        <f t="shared" si="7"/>
        <v>165.92718420466483</v>
      </c>
      <c r="X29" s="1130">
        <f t="shared" si="8"/>
        <v>109.02022020152575</v>
      </c>
      <c r="AA29" s="3">
        <v>2036</v>
      </c>
      <c r="AB29" s="1243">
        <f>C29*'H&amp;C Recycling'!M26/100</f>
        <v>904.22577713298506</v>
      </c>
      <c r="AC29" s="1129">
        <f t="shared" si="9"/>
        <v>266.93825421269014</v>
      </c>
      <c r="AD29" s="1129">
        <f t="shared" si="10"/>
        <v>42.573949006555253</v>
      </c>
      <c r="AE29" s="1129">
        <f t="shared" si="11"/>
        <v>131.03693069819425</v>
      </c>
      <c r="AF29" s="1129">
        <f t="shared" si="12"/>
        <v>357.71272153300254</v>
      </c>
      <c r="AG29" s="1129">
        <f t="shared" si="13"/>
        <v>105.96392168254279</v>
      </c>
      <c r="AH29" s="528"/>
      <c r="AI29" s="528"/>
      <c r="AJ29" s="528"/>
      <c r="AK29" s="528"/>
      <c r="AM29" s="3">
        <v>2036</v>
      </c>
      <c r="AN29" s="707">
        <f t="shared" si="14"/>
        <v>611.88253848143199</v>
      </c>
      <c r="AO29" s="335">
        <f t="shared" si="14"/>
        <v>-118.53890894058327</v>
      </c>
      <c r="AP29" s="335">
        <f t="shared" si="14"/>
        <v>93.974610107838956</v>
      </c>
      <c r="AQ29" s="335">
        <f t="shared" si="14"/>
        <v>917.59723375073008</v>
      </c>
      <c r="AR29" s="335">
        <f t="shared" si="14"/>
        <v>-211.41755307633792</v>
      </c>
      <c r="AS29" s="335">
        <f t="shared" si="14"/>
        <v>60.007655371596982</v>
      </c>
      <c r="AT29" s="335">
        <f t="shared" si="14"/>
        <v>207.97259320193635</v>
      </c>
      <c r="AU29" s="335">
        <f t="shared" si="14"/>
        <v>229.07459514400415</v>
      </c>
      <c r="AV29" s="335">
        <f t="shared" si="14"/>
        <v>128.03577432432476</v>
      </c>
      <c r="AW29" s="335">
        <f t="shared" si="14"/>
        <v>278.4368721077152</v>
      </c>
      <c r="AY29" s="3">
        <v>2036</v>
      </c>
      <c r="AZ29" s="707">
        <f>C29*Bioplastics!AL34</f>
        <v>432.91251079814674</v>
      </c>
      <c r="BD29" s="3">
        <v>2036</v>
      </c>
      <c r="BE29" s="1131">
        <f t="shared" si="15"/>
        <v>0.47687203082009649</v>
      </c>
      <c r="BF29" s="1131">
        <f t="shared" si="16"/>
        <v>0.31200000000000028</v>
      </c>
      <c r="BG29" s="1131">
        <f t="shared" si="17"/>
        <v>0.21112796917990326</v>
      </c>
    </row>
    <row r="30" spans="2:59" ht="14.4" x14ac:dyDescent="0.55000000000000004">
      <c r="B30" s="3">
        <v>2037</v>
      </c>
      <c r="C30" s="707">
        <v>2942.2306487243113</v>
      </c>
      <c r="D30" s="965">
        <v>694.50218260989516</v>
      </c>
      <c r="E30" s="965">
        <v>176.49510302014977</v>
      </c>
      <c r="F30" s="965">
        <v>1288.3271201081338</v>
      </c>
      <c r="G30" s="965">
        <v>561.11811845006946</v>
      </c>
      <c r="H30" s="965">
        <v>348.03416152175635</v>
      </c>
      <c r="I30" s="965">
        <v>392.58600113473295</v>
      </c>
      <c r="J30" s="965">
        <v>464.88447994736214</v>
      </c>
      <c r="K30" s="965">
        <v>296.2202180059644</v>
      </c>
      <c r="L30" s="965">
        <v>396.18393933293061</v>
      </c>
      <c r="N30" s="3">
        <v>2037</v>
      </c>
      <c r="O30" s="707">
        <f>C30*Compost!J29/100</f>
        <v>1404.0296008667281</v>
      </c>
      <c r="P30" s="1130">
        <f t="shared" si="0"/>
        <v>550.88910443361783</v>
      </c>
      <c r="Q30" s="1130">
        <f t="shared" si="1"/>
        <v>39.605090079637471</v>
      </c>
      <c r="R30" s="1130">
        <f t="shared" si="2"/>
        <v>225.39867046227306</v>
      </c>
      <c r="S30" s="1130">
        <f t="shared" si="3"/>
        <v>406.55237383501515</v>
      </c>
      <c r="T30" s="1130">
        <f t="shared" si="4"/>
        <v>181.17610301425356</v>
      </c>
      <c r="U30" s="1130">
        <f t="shared" si="5"/>
        <v>184.06603902494757</v>
      </c>
      <c r="V30" s="1130">
        <f t="shared" si="6"/>
        <v>227.24476034100869</v>
      </c>
      <c r="W30" s="1130">
        <f t="shared" si="7"/>
        <v>168.5658778404499</v>
      </c>
      <c r="X30" s="1130">
        <f t="shared" si="8"/>
        <v>110.75393829357039</v>
      </c>
      <c r="AA30" s="3">
        <v>2037</v>
      </c>
      <c r="AB30" s="1243">
        <f>C30*'H&amp;C Recycling'!M27/100</f>
        <v>912.38572416940963</v>
      </c>
      <c r="AC30" s="1129">
        <f t="shared" si="9"/>
        <v>269.34716808293786</v>
      </c>
      <c r="AD30" s="1129">
        <f t="shared" si="10"/>
        <v>42.958146380496999</v>
      </c>
      <c r="AE30" s="1129">
        <f t="shared" si="11"/>
        <v>132.21943891832393</v>
      </c>
      <c r="AF30" s="1129">
        <f t="shared" si="12"/>
        <v>360.94080564184043</v>
      </c>
      <c r="AG30" s="1129">
        <f t="shared" si="13"/>
        <v>106.92016514581029</v>
      </c>
      <c r="AH30" s="528"/>
      <c r="AI30" s="528"/>
      <c r="AJ30" s="528"/>
      <c r="AK30" s="528"/>
      <c r="AM30" s="3">
        <v>2037</v>
      </c>
      <c r="AN30" s="707">
        <f t="shared" si="14"/>
        <v>625.81532368817363</v>
      </c>
      <c r="AO30" s="335">
        <f t="shared" si="14"/>
        <v>-125.73408990666053</v>
      </c>
      <c r="AP30" s="335">
        <f t="shared" si="14"/>
        <v>93.931866560015294</v>
      </c>
      <c r="AQ30" s="335">
        <f t="shared" si="14"/>
        <v>930.70901072753691</v>
      </c>
      <c r="AR30" s="335">
        <f t="shared" si="14"/>
        <v>-206.37506102678611</v>
      </c>
      <c r="AS30" s="335">
        <f t="shared" si="14"/>
        <v>59.937893361692502</v>
      </c>
      <c r="AT30" s="335">
        <f t="shared" si="14"/>
        <v>208.51996210978538</v>
      </c>
      <c r="AU30" s="335">
        <f t="shared" si="14"/>
        <v>237.63971960635345</v>
      </c>
      <c r="AV30" s="335">
        <f t="shared" si="14"/>
        <v>127.6543401655145</v>
      </c>
      <c r="AW30" s="335">
        <f t="shared" si="14"/>
        <v>285.43000103936021</v>
      </c>
      <c r="AY30" s="3">
        <v>2037</v>
      </c>
      <c r="AZ30" s="707">
        <f>C30*Bioplastics!AL35</f>
        <v>444.94952968550461</v>
      </c>
      <c r="BD30" s="3">
        <v>2037</v>
      </c>
      <c r="BE30" s="1131">
        <f t="shared" si="15"/>
        <v>0.47719902634944183</v>
      </c>
      <c r="BF30" s="1131">
        <f t="shared" si="16"/>
        <v>0.31010000000000021</v>
      </c>
      <c r="BG30" s="1131">
        <f t="shared" si="17"/>
        <v>0.2127009736505579</v>
      </c>
    </row>
    <row r="31" spans="2:59" ht="14.4" x14ac:dyDescent="0.55000000000000004">
      <c r="B31" s="3">
        <v>2038</v>
      </c>
      <c r="C31" s="707">
        <v>2986.1741721298445</v>
      </c>
      <c r="D31" s="965">
        <v>698.3069148581211</v>
      </c>
      <c r="E31" s="965">
        <v>177.43492975454276</v>
      </c>
      <c r="F31" s="965">
        <v>1305.9520082317495</v>
      </c>
      <c r="G31" s="965">
        <v>575.92958531519014</v>
      </c>
      <c r="H31" s="965">
        <v>351.68678026435288</v>
      </c>
      <c r="I31" s="965">
        <v>396.01469983459958</v>
      </c>
      <c r="J31" s="965">
        <v>477.00684452591622</v>
      </c>
      <c r="K31" s="965">
        <v>298.47747748293909</v>
      </c>
      <c r="L31" s="965">
        <v>405.17969247030391</v>
      </c>
      <c r="N31" s="3">
        <v>2038</v>
      </c>
      <c r="O31" s="707">
        <f>C31*Compost!J30/100</f>
        <v>1425.8907375446308</v>
      </c>
      <c r="P31" s="1130">
        <f t="shared" si="0"/>
        <v>559.46660308390017</v>
      </c>
      <c r="Q31" s="1130">
        <f t="shared" si="1"/>
        <v>40.221752496752551</v>
      </c>
      <c r="R31" s="1130">
        <f t="shared" si="2"/>
        <v>228.90819130068809</v>
      </c>
      <c r="S31" s="1130">
        <f t="shared" si="3"/>
        <v>412.88250890171645</v>
      </c>
      <c r="T31" s="1130">
        <f t="shared" si="4"/>
        <v>183.99706601127255</v>
      </c>
      <c r="U31" s="1130">
        <f t="shared" si="5"/>
        <v>186.93199914031874</v>
      </c>
      <c r="V31" s="1130">
        <f t="shared" si="6"/>
        <v>230.78302531924371</v>
      </c>
      <c r="W31" s="1130">
        <f t="shared" si="7"/>
        <v>171.19049607672204</v>
      </c>
      <c r="X31" s="1130">
        <f t="shared" si="8"/>
        <v>112.47840833405751</v>
      </c>
      <c r="AA31" s="3">
        <v>2038</v>
      </c>
      <c r="AB31" s="1243">
        <f>C31*'H&amp;C Recycling'!M28/100</f>
        <v>920.33887985041872</v>
      </c>
      <c r="AC31" s="1129">
        <f t="shared" si="9"/>
        <v>271.69503467406918</v>
      </c>
      <c r="AD31" s="1129">
        <f t="shared" si="10"/>
        <v>43.332607331475486</v>
      </c>
      <c r="AE31" s="1129">
        <f t="shared" si="11"/>
        <v>133.3719797285502</v>
      </c>
      <c r="AF31" s="1129">
        <f t="shared" si="12"/>
        <v>364.08708286084413</v>
      </c>
      <c r="AG31" s="1129">
        <f t="shared" si="13"/>
        <v>107.85217525547958</v>
      </c>
      <c r="AH31" s="528"/>
      <c r="AI31" s="528"/>
      <c r="AJ31" s="528"/>
      <c r="AK31" s="528"/>
      <c r="AM31" s="3">
        <v>2038</v>
      </c>
      <c r="AN31" s="707">
        <f t="shared" si="14"/>
        <v>639.94455473479491</v>
      </c>
      <c r="AO31" s="335">
        <f t="shared" si="14"/>
        <v>-132.85472289984824</v>
      </c>
      <c r="AP31" s="335">
        <f t="shared" si="14"/>
        <v>93.880569926314735</v>
      </c>
      <c r="AQ31" s="335">
        <f t="shared" si="14"/>
        <v>943.67183720251126</v>
      </c>
      <c r="AR31" s="335">
        <f t="shared" si="14"/>
        <v>-201.04000644737044</v>
      </c>
      <c r="AS31" s="335">
        <f t="shared" si="14"/>
        <v>59.837538997600745</v>
      </c>
      <c r="AT31" s="335">
        <f t="shared" si="14"/>
        <v>209.08270069428085</v>
      </c>
      <c r="AU31" s="335">
        <f t="shared" si="14"/>
        <v>246.22381920667252</v>
      </c>
      <c r="AV31" s="335">
        <f t="shared" si="14"/>
        <v>127.28698140621705</v>
      </c>
      <c r="AW31" s="335">
        <f t="shared" si="14"/>
        <v>292.70128413624639</v>
      </c>
      <c r="AY31" s="3">
        <v>2038</v>
      </c>
      <c r="AZ31" s="707">
        <f>C31*Bioplastics!AL36</f>
        <v>457.21963365561243</v>
      </c>
      <c r="BD31" s="3">
        <v>2038</v>
      </c>
      <c r="BE31" s="1131">
        <f t="shared" si="15"/>
        <v>0.47749751198458573</v>
      </c>
      <c r="BF31" s="1131">
        <f t="shared" si="16"/>
        <v>0.3082000000000002</v>
      </c>
      <c r="BG31" s="1131">
        <f t="shared" si="17"/>
        <v>0.21430248801541402</v>
      </c>
    </row>
    <row r="32" spans="2:59" ht="14.4" x14ac:dyDescent="0.55000000000000004">
      <c r="B32" s="3">
        <v>2039</v>
      </c>
      <c r="C32" s="707">
        <v>3030.0104932724716</v>
      </c>
      <c r="D32" s="965">
        <v>702.07799575612376</v>
      </c>
      <c r="E32" s="965">
        <v>178.35701123367366</v>
      </c>
      <c r="F32" s="965">
        <v>1323.3990406204261</v>
      </c>
      <c r="G32" s="965">
        <v>590.93264993697483</v>
      </c>
      <c r="H32" s="965">
        <v>355.27398846887093</v>
      </c>
      <c r="I32" s="965">
        <v>399.44339853446627</v>
      </c>
      <c r="J32" s="965">
        <v>489.12920910447036</v>
      </c>
      <c r="K32" s="965">
        <v>300.7347369599139</v>
      </c>
      <c r="L32" s="965">
        <v>414.44435172136093</v>
      </c>
      <c r="N32" s="3">
        <v>2039</v>
      </c>
      <c r="O32" s="707">
        <f>C32*Compost!J31/100</f>
        <v>1447.6479378453637</v>
      </c>
      <c r="P32" s="1130">
        <f t="shared" si="0"/>
        <v>568.00332095740828</v>
      </c>
      <c r="Q32" s="1130">
        <f t="shared" si="1"/>
        <v>40.835483060025084</v>
      </c>
      <c r="R32" s="1130">
        <f t="shared" si="2"/>
        <v>232.40102650711054</v>
      </c>
      <c r="S32" s="1130">
        <f t="shared" si="3"/>
        <v>419.18254803536888</v>
      </c>
      <c r="T32" s="1130">
        <f t="shared" si="4"/>
        <v>186.80461704905261</v>
      </c>
      <c r="U32" s="1130">
        <f t="shared" si="5"/>
        <v>189.78433336258593</v>
      </c>
      <c r="V32" s="1130">
        <f t="shared" si="6"/>
        <v>234.30446800462528</v>
      </c>
      <c r="W32" s="1130">
        <f t="shared" si="7"/>
        <v>173.80263585339023</v>
      </c>
      <c r="X32" s="1130">
        <f t="shared" si="8"/>
        <v>114.19467957083248</v>
      </c>
      <c r="AA32" s="3">
        <v>2039</v>
      </c>
      <c r="AB32" s="1243">
        <f>C32*'H&amp;C Recycling'!M29/100</f>
        <v>928.09221408935878</v>
      </c>
      <c r="AC32" s="1129">
        <f t="shared" si="9"/>
        <v>273.98391158778912</v>
      </c>
      <c r="AD32" s="1129">
        <f t="shared" si="10"/>
        <v>43.697660026131047</v>
      </c>
      <c r="AE32" s="1129">
        <f t="shared" si="11"/>
        <v>134.49556318197625</v>
      </c>
      <c r="AF32" s="1129">
        <f t="shared" si="12"/>
        <v>367.15431049547323</v>
      </c>
      <c r="AG32" s="1129">
        <f t="shared" si="13"/>
        <v>108.76076879798903</v>
      </c>
      <c r="AH32" s="528"/>
      <c r="AI32" s="528"/>
      <c r="AJ32" s="528"/>
      <c r="AK32" s="528"/>
      <c r="AM32" s="3">
        <v>2039</v>
      </c>
      <c r="AN32" s="707">
        <f t="shared" si="14"/>
        <v>654.27034133774919</v>
      </c>
      <c r="AO32" s="335">
        <f t="shared" si="14"/>
        <v>-139.90923678907365</v>
      </c>
      <c r="AP32" s="335">
        <f t="shared" si="14"/>
        <v>93.823868147517516</v>
      </c>
      <c r="AQ32" s="335">
        <f t="shared" si="14"/>
        <v>956.50245093133935</v>
      </c>
      <c r="AR32" s="335">
        <f t="shared" si="14"/>
        <v>-195.40420859386728</v>
      </c>
      <c r="AS32" s="335">
        <f t="shared" ref="AS32:AW53" si="18">H32-T32-AG32</f>
        <v>59.708602621829286</v>
      </c>
      <c r="AT32" s="335">
        <f t="shared" si="18"/>
        <v>209.65906517188034</v>
      </c>
      <c r="AU32" s="335">
        <f t="shared" si="18"/>
        <v>254.82474109984508</v>
      </c>
      <c r="AV32" s="335">
        <f t="shared" si="18"/>
        <v>126.93210110652367</v>
      </c>
      <c r="AW32" s="335">
        <f t="shared" si="18"/>
        <v>300.24967215052845</v>
      </c>
      <c r="AY32" s="3">
        <v>2039</v>
      </c>
      <c r="AZ32" s="707">
        <f>C32*Bioplastics!AL37</f>
        <v>469.72584228186025</v>
      </c>
      <c r="BD32" s="3">
        <v>2039</v>
      </c>
      <c r="BE32" s="1131">
        <f t="shared" si="15"/>
        <v>0.47776994207101742</v>
      </c>
      <c r="BF32" s="1131">
        <f t="shared" si="16"/>
        <v>0.30630000000000024</v>
      </c>
      <c r="BG32" s="1131">
        <f t="shared" si="17"/>
        <v>0.21593005792898234</v>
      </c>
    </row>
    <row r="33" spans="2:59" ht="14.4" x14ac:dyDescent="0.55000000000000004">
      <c r="B33" s="3">
        <v>2040</v>
      </c>
      <c r="C33" s="707">
        <v>3070.2682565731338</v>
      </c>
      <c r="D33" s="965">
        <v>705.68365117188807</v>
      </c>
      <c r="E33" s="965">
        <v>179.0045732074062</v>
      </c>
      <c r="F33" s="965">
        <v>1337.925299012205</v>
      </c>
      <c r="G33" s="965">
        <v>605.05013855796085</v>
      </c>
      <c r="H33" s="965">
        <v>358.35471869490266</v>
      </c>
      <c r="I33" s="965">
        <v>402.87209723433295</v>
      </c>
      <c r="J33" s="965">
        <v>501.25157368302445</v>
      </c>
      <c r="K33" s="965">
        <v>302.9919964368886</v>
      </c>
      <c r="L33" s="965">
        <v>423.97791708610151</v>
      </c>
      <c r="N33" s="3">
        <v>2040</v>
      </c>
      <c r="O33" s="707">
        <f>C33*Compost!J32/100</f>
        <v>1467.6452259942189</v>
      </c>
      <c r="P33" s="1130">
        <f t="shared" si="0"/>
        <v>575.84951462214542</v>
      </c>
      <c r="Q33" s="1130">
        <f t="shared" si="1"/>
        <v>41.399569741669801</v>
      </c>
      <c r="R33" s="1130">
        <f t="shared" si="2"/>
        <v>235.61133073347477</v>
      </c>
      <c r="S33" s="1130">
        <f t="shared" si="3"/>
        <v>424.97298504763785</v>
      </c>
      <c r="T33" s="1130">
        <f t="shared" si="4"/>
        <v>189.38506886817819</v>
      </c>
      <c r="U33" s="1130">
        <f t="shared" si="5"/>
        <v>192.40594591158637</v>
      </c>
      <c r="V33" s="1130">
        <f t="shared" si="6"/>
        <v>237.54106568750279</v>
      </c>
      <c r="W33" s="1130">
        <f t="shared" si="7"/>
        <v>176.20348297880648</v>
      </c>
      <c r="X33" s="1130">
        <f t="shared" si="8"/>
        <v>115.77212381866731</v>
      </c>
      <c r="AA33" s="3">
        <v>2040</v>
      </c>
      <c r="AB33" s="1243">
        <f>C33*'H&amp;C Recycling'!M30/100</f>
        <v>934.58965730086265</v>
      </c>
      <c r="AC33" s="1129">
        <f t="shared" si="9"/>
        <v>275.9020344632774</v>
      </c>
      <c r="AD33" s="1129">
        <f t="shared" si="10"/>
        <v>44.00358120528238</v>
      </c>
      <c r="AE33" s="1129">
        <f t="shared" si="11"/>
        <v>135.43714772574012</v>
      </c>
      <c r="AF33" s="1129">
        <f t="shared" si="12"/>
        <v>369.72470624504206</v>
      </c>
      <c r="AG33" s="1129">
        <f t="shared" si="13"/>
        <v>109.52218766152063</v>
      </c>
      <c r="AH33" s="528"/>
      <c r="AI33" s="528"/>
      <c r="AJ33" s="528"/>
      <c r="AK33" s="528"/>
      <c r="AM33" s="3">
        <v>2040</v>
      </c>
      <c r="AN33" s="707">
        <f t="shared" ref="AN33:AR53" si="19">C33-O33-AB33</f>
        <v>668.0333732780523</v>
      </c>
      <c r="AO33" s="335">
        <f t="shared" si="19"/>
        <v>-146.06789791353475</v>
      </c>
      <c r="AP33" s="335">
        <f t="shared" si="19"/>
        <v>93.601422260454001</v>
      </c>
      <c r="AQ33" s="335">
        <f t="shared" si="19"/>
        <v>966.87682055299013</v>
      </c>
      <c r="AR33" s="335">
        <f t="shared" si="19"/>
        <v>-189.64755273471906</v>
      </c>
      <c r="AS33" s="335">
        <f t="shared" si="18"/>
        <v>59.447462165203831</v>
      </c>
      <c r="AT33" s="335">
        <f t="shared" si="18"/>
        <v>210.46615132274658</v>
      </c>
      <c r="AU33" s="335">
        <f t="shared" si="18"/>
        <v>263.71050799552165</v>
      </c>
      <c r="AV33" s="335">
        <f t="shared" si="18"/>
        <v>126.78851345808212</v>
      </c>
      <c r="AW33" s="335">
        <f t="shared" si="18"/>
        <v>308.20579326743422</v>
      </c>
      <c r="AY33" s="3">
        <v>2040</v>
      </c>
      <c r="AZ33" s="707">
        <f>C33*Bioplastics!AL38</f>
        <v>482.47616122613005</v>
      </c>
      <c r="BD33" s="3">
        <v>2040</v>
      </c>
      <c r="BE33" s="1131">
        <f t="shared" si="15"/>
        <v>0.47801856494204992</v>
      </c>
      <c r="BF33" s="1131">
        <f t="shared" si="16"/>
        <v>0.30440000000000023</v>
      </c>
      <c r="BG33" s="1131">
        <f t="shared" si="17"/>
        <v>0.21758143505794988</v>
      </c>
    </row>
    <row r="34" spans="2:59" ht="14.4" x14ac:dyDescent="0.55000000000000004">
      <c r="B34" s="3">
        <v>2041</v>
      </c>
      <c r="C34" s="707">
        <v>3117.3237746717477</v>
      </c>
      <c r="D34" s="965">
        <v>709.51237059419577</v>
      </c>
      <c r="E34" s="965">
        <v>180.16266736746564</v>
      </c>
      <c r="F34" s="965">
        <v>1357.8450343633424</v>
      </c>
      <c r="G34" s="965">
        <v>621.57770527739956</v>
      </c>
      <c r="H34" s="965">
        <v>362.27090526455441</v>
      </c>
      <c r="I34" s="965">
        <v>406.30079593419958</v>
      </c>
      <c r="J34" s="965">
        <v>513.37393826157859</v>
      </c>
      <c r="K34" s="965">
        <v>305.24925591386341</v>
      </c>
      <c r="L34" s="965">
        <v>433.78038856452577</v>
      </c>
      <c r="N34" s="3">
        <v>2041</v>
      </c>
      <c r="O34" s="707">
        <f>C34*Compost!J33/100</f>
        <v>1490.8458781167385</v>
      </c>
      <c r="P34" s="1130">
        <f t="shared" si="0"/>
        <v>584.95258941640952</v>
      </c>
      <c r="Q34" s="1130">
        <f t="shared" si="1"/>
        <v>42.054017423293821</v>
      </c>
      <c r="R34" s="1130">
        <f t="shared" si="2"/>
        <v>239.33589333460898</v>
      </c>
      <c r="S34" s="1130">
        <f t="shared" si="3"/>
        <v>431.69099169728969</v>
      </c>
      <c r="T34" s="1130">
        <f t="shared" si="4"/>
        <v>192.37888305582257</v>
      </c>
      <c r="U34" s="1130">
        <f t="shared" si="5"/>
        <v>195.44751436310028</v>
      </c>
      <c r="V34" s="1130">
        <f t="shared" si="6"/>
        <v>241.29613369182582</v>
      </c>
      <c r="W34" s="1130">
        <f t="shared" si="7"/>
        <v>178.98892161136038</v>
      </c>
      <c r="X34" s="1130">
        <f t="shared" si="8"/>
        <v>117.60225873317475</v>
      </c>
      <c r="AA34" s="3">
        <v>2041</v>
      </c>
      <c r="AB34" s="1243">
        <f>C34*'H&amp;C Recycling'!M31/100</f>
        <v>942.99044183820445</v>
      </c>
      <c r="AC34" s="1129">
        <f t="shared" si="9"/>
        <v>278.38204644161891</v>
      </c>
      <c r="AD34" s="1129">
        <f t="shared" si="10"/>
        <v>44.399118007652532</v>
      </c>
      <c r="AE34" s="1129">
        <f t="shared" si="11"/>
        <v>136.65455719256647</v>
      </c>
      <c r="AF34" s="1129">
        <f t="shared" si="12"/>
        <v>373.04806593668127</v>
      </c>
      <c r="AG34" s="1129">
        <f t="shared" si="13"/>
        <v>110.50665425968518</v>
      </c>
      <c r="AH34" s="528"/>
      <c r="AI34" s="528"/>
      <c r="AJ34" s="528"/>
      <c r="AK34" s="528"/>
      <c r="AM34" s="3">
        <v>2041</v>
      </c>
      <c r="AN34" s="707">
        <f t="shared" si="19"/>
        <v>683.48745471680479</v>
      </c>
      <c r="AO34" s="335">
        <f t="shared" si="19"/>
        <v>-153.82226526383266</v>
      </c>
      <c r="AP34" s="335">
        <f t="shared" si="19"/>
        <v>93.709531936519284</v>
      </c>
      <c r="AQ34" s="335">
        <f t="shared" si="19"/>
        <v>981.85458383616697</v>
      </c>
      <c r="AR34" s="335">
        <f t="shared" si="19"/>
        <v>-183.1613523565714</v>
      </c>
      <c r="AS34" s="335">
        <f t="shared" si="18"/>
        <v>59.385367949046667</v>
      </c>
      <c r="AT34" s="335">
        <f t="shared" si="18"/>
        <v>210.8532815710993</v>
      </c>
      <c r="AU34" s="335">
        <f t="shared" si="18"/>
        <v>272.07780456975274</v>
      </c>
      <c r="AV34" s="335">
        <f t="shared" si="18"/>
        <v>126.26033430250303</v>
      </c>
      <c r="AW34" s="335">
        <f t="shared" si="18"/>
        <v>316.17812983135104</v>
      </c>
      <c r="AY34" s="3">
        <v>2041</v>
      </c>
      <c r="AZ34" s="707">
        <f>C34*Bioplastics!AL39</f>
        <v>495.45196923834999</v>
      </c>
      <c r="BD34" s="3">
        <v>2041</v>
      </c>
      <c r="BE34" s="1131">
        <f t="shared" si="15"/>
        <v>0.47824543931877067</v>
      </c>
      <c r="BF34" s="1131">
        <f t="shared" si="16"/>
        <v>0.30250000000000027</v>
      </c>
      <c r="BG34" s="1131">
        <f t="shared" si="17"/>
        <v>0.21925456068122909</v>
      </c>
    </row>
    <row r="35" spans="2:59" ht="14.4" x14ac:dyDescent="0.55000000000000004">
      <c r="B35" s="3">
        <v>2042</v>
      </c>
      <c r="C35" s="707">
        <v>3159.6894567667218</v>
      </c>
      <c r="D35" s="965">
        <v>712.99832549504788</v>
      </c>
      <c r="E35" s="965">
        <v>180.99800718575892</v>
      </c>
      <c r="F35" s="965">
        <v>1373.7288007663074</v>
      </c>
      <c r="G35" s="965">
        <v>637.0788480696973</v>
      </c>
      <c r="H35" s="965">
        <v>365.60321462533091</v>
      </c>
      <c r="I35" s="965">
        <v>409.72949463406627</v>
      </c>
      <c r="J35" s="965">
        <v>525.49630284013256</v>
      </c>
      <c r="K35" s="965">
        <v>307.5065153908381</v>
      </c>
      <c r="L35" s="965">
        <v>443.85176615663369</v>
      </c>
      <c r="N35" s="3">
        <v>2042</v>
      </c>
      <c r="O35" s="707">
        <f>C35*Compost!J34/100</f>
        <v>1511.7611604311446</v>
      </c>
      <c r="P35" s="1130">
        <f t="shared" si="0"/>
        <v>593.15896992010175</v>
      </c>
      <c r="Q35" s="1130">
        <f t="shared" si="1"/>
        <v>42.643999030228422</v>
      </c>
      <c r="R35" s="1130">
        <f t="shared" si="2"/>
        <v>242.69356957099322</v>
      </c>
      <c r="S35" s="1130">
        <f t="shared" si="3"/>
        <v>437.7472441218128</v>
      </c>
      <c r="T35" s="1130">
        <f t="shared" si="4"/>
        <v>195.07779292269987</v>
      </c>
      <c r="U35" s="1130">
        <f t="shared" si="5"/>
        <v>198.18947448155131</v>
      </c>
      <c r="V35" s="1130">
        <f t="shared" si="6"/>
        <v>244.6813104103706</v>
      </c>
      <c r="W35" s="1130">
        <f t="shared" si="7"/>
        <v>181.4999818635319</v>
      </c>
      <c r="X35" s="1130">
        <f t="shared" si="8"/>
        <v>119.25211703061545</v>
      </c>
      <c r="AA35" s="3">
        <v>2042</v>
      </c>
      <c r="AB35" s="1243">
        <f>C35*'H&amp;C Recycling'!M32/100</f>
        <v>949.80265070407722</v>
      </c>
      <c r="AC35" s="1129">
        <f t="shared" si="9"/>
        <v>280.39309189948449</v>
      </c>
      <c r="AD35" s="1129">
        <f t="shared" si="10"/>
        <v>44.719859397924814</v>
      </c>
      <c r="AE35" s="1129">
        <f t="shared" si="11"/>
        <v>137.64175636741118</v>
      </c>
      <c r="AF35" s="1129">
        <f t="shared" si="12"/>
        <v>375.7429833286505</v>
      </c>
      <c r="AG35" s="1129">
        <f t="shared" si="13"/>
        <v>111.3049597106061</v>
      </c>
      <c r="AH35" s="528"/>
      <c r="AI35" s="528"/>
      <c r="AJ35" s="528"/>
      <c r="AK35" s="528"/>
      <c r="AM35" s="3">
        <v>2042</v>
      </c>
      <c r="AN35" s="707">
        <f t="shared" si="19"/>
        <v>698.12564563149999</v>
      </c>
      <c r="AO35" s="335">
        <f t="shared" si="19"/>
        <v>-160.55373632453836</v>
      </c>
      <c r="AP35" s="335">
        <f t="shared" si="19"/>
        <v>93.634148757605686</v>
      </c>
      <c r="AQ35" s="335">
        <f t="shared" si="19"/>
        <v>993.39347482790288</v>
      </c>
      <c r="AR35" s="335">
        <f t="shared" si="19"/>
        <v>-176.41137938076599</v>
      </c>
      <c r="AS35" s="335">
        <f t="shared" si="18"/>
        <v>59.220461992024937</v>
      </c>
      <c r="AT35" s="335">
        <f t="shared" si="18"/>
        <v>211.54002015251496</v>
      </c>
      <c r="AU35" s="335">
        <f t="shared" si="18"/>
        <v>280.81499242976196</v>
      </c>
      <c r="AV35" s="335">
        <f t="shared" si="18"/>
        <v>126.0065335273062</v>
      </c>
      <c r="AW35" s="335">
        <f t="shared" si="18"/>
        <v>324.59964912601822</v>
      </c>
      <c r="AY35" s="3">
        <v>2042</v>
      </c>
      <c r="AZ35" s="707">
        <f>C35*Bioplastics!AL40</f>
        <v>508.67131058809952</v>
      </c>
      <c r="BD35" s="3">
        <v>2042</v>
      </c>
      <c r="BE35" s="1131">
        <f t="shared" si="15"/>
        <v>0.47845244955753169</v>
      </c>
      <c r="BF35" s="1131">
        <f t="shared" si="16"/>
        <v>0.3006000000000002</v>
      </c>
      <c r="BG35" s="1131">
        <f t="shared" si="17"/>
        <v>0.22094755044246814</v>
      </c>
    </row>
    <row r="36" spans="2:59" ht="14.4" x14ac:dyDescent="0.55000000000000004">
      <c r="B36" s="3">
        <v>2043</v>
      </c>
      <c r="C36" s="707">
        <v>3202.0346277752164</v>
      </c>
      <c r="D36" s="965">
        <v>716.44290495497853</v>
      </c>
      <c r="E36" s="965">
        <v>181.82885792074455</v>
      </c>
      <c r="F36" s="965">
        <v>1389.522624811186</v>
      </c>
      <c r="G36" s="965">
        <v>652.83377866618207</v>
      </c>
      <c r="H36" s="965">
        <v>368.88837427477495</v>
      </c>
      <c r="I36" s="965">
        <v>413.1581933339329</v>
      </c>
      <c r="J36" s="965">
        <v>537.61866741868675</v>
      </c>
      <c r="K36" s="965">
        <v>309.76377486781291</v>
      </c>
      <c r="L36" s="965">
        <v>454.19204986242528</v>
      </c>
      <c r="N36" s="3">
        <v>2043</v>
      </c>
      <c r="O36" s="707">
        <f>C36*Compost!J35/100</f>
        <v>1532.6260802793747</v>
      </c>
      <c r="P36" s="1130">
        <f t="shared" si="0"/>
        <v>601.34559006128336</v>
      </c>
      <c r="Q36" s="1130">
        <f t="shared" si="1"/>
        <v>43.232560004714607</v>
      </c>
      <c r="R36" s="1130">
        <f t="shared" si="2"/>
        <v>246.04316076920568</v>
      </c>
      <c r="S36" s="1130">
        <f t="shared" si="3"/>
        <v>443.78891353457931</v>
      </c>
      <c r="T36" s="1130">
        <f t="shared" si="4"/>
        <v>197.77020401251841</v>
      </c>
      <c r="U36" s="1130">
        <f t="shared" si="5"/>
        <v>200.92483216109449</v>
      </c>
      <c r="V36" s="1130">
        <f t="shared" si="6"/>
        <v>248.05833587159907</v>
      </c>
      <c r="W36" s="1130">
        <f t="shared" si="7"/>
        <v>184.00499566674259</v>
      </c>
      <c r="X36" s="1130">
        <f t="shared" si="8"/>
        <v>120.89800259025368</v>
      </c>
      <c r="AA36" s="3">
        <v>2043</v>
      </c>
      <c r="AB36" s="1243">
        <f>C36*'H&amp;C Recycling'!M33/100</f>
        <v>956.44774331645783</v>
      </c>
      <c r="AC36" s="1129">
        <f t="shared" si="9"/>
        <v>282.35480264240846</v>
      </c>
      <c r="AD36" s="1129">
        <f t="shared" si="10"/>
        <v>45.032732400639183</v>
      </c>
      <c r="AE36" s="1129">
        <f t="shared" si="11"/>
        <v>138.60473769591576</v>
      </c>
      <c r="AF36" s="1129">
        <f t="shared" si="12"/>
        <v>378.37178934516368</v>
      </c>
      <c r="AG36" s="1129">
        <f t="shared" si="13"/>
        <v>112.08368123233062</v>
      </c>
      <c r="AH36" s="528"/>
      <c r="AI36" s="528"/>
      <c r="AJ36" s="528"/>
      <c r="AK36" s="528"/>
      <c r="AM36" s="3">
        <v>2043</v>
      </c>
      <c r="AN36" s="707">
        <f t="shared" si="19"/>
        <v>712.9608041793839</v>
      </c>
      <c r="AO36" s="335">
        <f t="shared" si="19"/>
        <v>-167.25748774871329</v>
      </c>
      <c r="AP36" s="335">
        <f t="shared" si="19"/>
        <v>93.563565515390763</v>
      </c>
      <c r="AQ36" s="335">
        <f t="shared" si="19"/>
        <v>1004.8747263460644</v>
      </c>
      <c r="AR36" s="335">
        <f t="shared" si="19"/>
        <v>-169.32692421356091</v>
      </c>
      <c r="AS36" s="335">
        <f t="shared" si="18"/>
        <v>59.034489029925922</v>
      </c>
      <c r="AT36" s="335">
        <f t="shared" si="18"/>
        <v>212.23336117283841</v>
      </c>
      <c r="AU36" s="335">
        <f t="shared" si="18"/>
        <v>289.56033154708769</v>
      </c>
      <c r="AV36" s="335">
        <f t="shared" si="18"/>
        <v>125.75877920107033</v>
      </c>
      <c r="AW36" s="335">
        <f t="shared" si="18"/>
        <v>333.29404727217161</v>
      </c>
      <c r="AY36" s="3">
        <v>2043</v>
      </c>
      <c r="AZ36" s="707">
        <f>C36*Bioplastics!AL41</f>
        <v>522.12503464008591</v>
      </c>
      <c r="BD36" s="3">
        <v>2043</v>
      </c>
      <c r="BE36" s="1131">
        <f t="shared" si="15"/>
        <v>0.47864131979867064</v>
      </c>
      <c r="BF36" s="1131">
        <f t="shared" si="16"/>
        <v>0.29870000000000019</v>
      </c>
      <c r="BG36" s="1131">
        <f t="shared" si="17"/>
        <v>0.22265868020132915</v>
      </c>
    </row>
    <row r="37" spans="2:59" ht="14.4" x14ac:dyDescent="0.55000000000000004">
      <c r="B37" s="3">
        <v>2044</v>
      </c>
      <c r="C37" s="707">
        <v>3244.3847108106588</v>
      </c>
      <c r="D37" s="965">
        <v>719.84512989598704</v>
      </c>
      <c r="E37" s="965">
        <v>182.65703837620498</v>
      </c>
      <c r="F37" s="965">
        <v>1405.2501598353724</v>
      </c>
      <c r="G37" s="965">
        <v>668.86069531141254</v>
      </c>
      <c r="H37" s="965">
        <v>372.13146710088756</v>
      </c>
      <c r="I37" s="965">
        <v>416.58689203379959</v>
      </c>
      <c r="J37" s="965">
        <v>549.74103199724084</v>
      </c>
      <c r="K37" s="965">
        <v>312.02103434478761</v>
      </c>
      <c r="L37" s="965">
        <v>464.80123968190048</v>
      </c>
      <c r="N37" s="3">
        <v>2044</v>
      </c>
      <c r="O37" s="707">
        <f>C37*Compost!J36/100</f>
        <v>1553.4556110036765</v>
      </c>
      <c r="P37" s="1130">
        <f t="shared" si="0"/>
        <v>609.51832482371253</v>
      </c>
      <c r="Q37" s="1130">
        <f t="shared" si="1"/>
        <v>43.820122717169738</v>
      </c>
      <c r="R37" s="1130">
        <f t="shared" si="2"/>
        <v>249.38707070437545</v>
      </c>
      <c r="S37" s="1130">
        <f t="shared" si="3"/>
        <v>449.82033563323495</v>
      </c>
      <c r="T37" s="1130">
        <f t="shared" si="4"/>
        <v>200.45804848667697</v>
      </c>
      <c r="U37" s="1130">
        <f t="shared" si="5"/>
        <v>203.65555038299229</v>
      </c>
      <c r="V37" s="1130">
        <f t="shared" si="6"/>
        <v>251.429633538356</v>
      </c>
      <c r="W37" s="1130">
        <f t="shared" si="7"/>
        <v>186.50576070002899</v>
      </c>
      <c r="X37" s="1130">
        <f t="shared" si="8"/>
        <v>122.5410965528733</v>
      </c>
      <c r="AA37" s="3">
        <v>2044</v>
      </c>
      <c r="AB37" s="1243">
        <f>C37*'H&amp;C Recycling'!M34/100</f>
        <v>962.93338216860411</v>
      </c>
      <c r="AC37" s="1129">
        <f t="shared" si="9"/>
        <v>284.26944072996133</v>
      </c>
      <c r="AD37" s="1129">
        <f t="shared" si="10"/>
        <v>45.338097791395569</v>
      </c>
      <c r="AE37" s="1129">
        <f t="shared" si="11"/>
        <v>139.54461159720714</v>
      </c>
      <c r="AF37" s="1129">
        <f t="shared" si="12"/>
        <v>380.93751527706246</v>
      </c>
      <c r="AG37" s="1129">
        <f t="shared" si="13"/>
        <v>112.84371677297747</v>
      </c>
      <c r="AH37" s="528"/>
      <c r="AI37" s="528"/>
      <c r="AJ37" s="528"/>
      <c r="AK37" s="528"/>
      <c r="AM37" s="3">
        <v>2044</v>
      </c>
      <c r="AN37" s="707">
        <f t="shared" si="19"/>
        <v>727.99571763837821</v>
      </c>
      <c r="AO37" s="335">
        <f t="shared" si="19"/>
        <v>-173.94263565768682</v>
      </c>
      <c r="AP37" s="335">
        <f t="shared" si="19"/>
        <v>93.498817867639673</v>
      </c>
      <c r="AQ37" s="335">
        <f t="shared" si="19"/>
        <v>1016.3184775337899</v>
      </c>
      <c r="AR37" s="335">
        <f t="shared" si="19"/>
        <v>-161.89715559888486</v>
      </c>
      <c r="AS37" s="335">
        <f t="shared" si="18"/>
        <v>58.829701841233117</v>
      </c>
      <c r="AT37" s="335">
        <f t="shared" si="18"/>
        <v>212.9313416508073</v>
      </c>
      <c r="AU37" s="335">
        <f t="shared" si="18"/>
        <v>298.31139845888481</v>
      </c>
      <c r="AV37" s="335">
        <f t="shared" si="18"/>
        <v>125.51527364475862</v>
      </c>
      <c r="AW37" s="335">
        <f t="shared" si="18"/>
        <v>342.2601431290272</v>
      </c>
      <c r="AY37" s="3">
        <v>2044</v>
      </c>
      <c r="AZ37" s="707">
        <f>C37*Bioplastics!AL42</f>
        <v>535.81159239739191</v>
      </c>
      <c r="BD37" s="3">
        <v>2044</v>
      </c>
      <c r="BE37" s="1131">
        <f t="shared" si="15"/>
        <v>0.47881362707307357</v>
      </c>
      <c r="BF37" s="1131">
        <f t="shared" si="16"/>
        <v>0.29680000000000017</v>
      </c>
      <c r="BG37" s="1131">
        <f t="shared" si="17"/>
        <v>0.22438637292692623</v>
      </c>
    </row>
    <row r="38" spans="2:59" ht="14.4" x14ac:dyDescent="0.55000000000000004">
      <c r="B38" s="3">
        <v>2045</v>
      </c>
      <c r="C38" s="707">
        <v>3286.87091114945</v>
      </c>
      <c r="D38" s="965">
        <v>723.9831674710947</v>
      </c>
      <c r="E38" s="965">
        <v>183.4066926906994</v>
      </c>
      <c r="F38" s="965">
        <v>1419.5356615159428</v>
      </c>
      <c r="G38" s="965">
        <v>685.69714146341209</v>
      </c>
      <c r="H38" s="965">
        <v>375.41515751045313</v>
      </c>
      <c r="I38" s="965">
        <v>420.01559073366627</v>
      </c>
      <c r="J38" s="965">
        <v>561.86339657579492</v>
      </c>
      <c r="K38" s="965">
        <v>314.27829382176242</v>
      </c>
      <c r="L38" s="965">
        <v>475.67933561505936</v>
      </c>
      <c r="N38" s="3">
        <v>2045</v>
      </c>
      <c r="O38" s="707">
        <f>C38*Compost!J37/100</f>
        <v>1574.3152339350941</v>
      </c>
      <c r="P38" s="1130">
        <f t="shared" si="0"/>
        <v>617.70286665133347</v>
      </c>
      <c r="Q38" s="1130">
        <f t="shared" si="1"/>
        <v>44.408534275384802</v>
      </c>
      <c r="R38" s="1130">
        <f t="shared" si="2"/>
        <v>252.73581155156515</v>
      </c>
      <c r="S38" s="1130">
        <f t="shared" si="3"/>
        <v>455.86047126487404</v>
      </c>
      <c r="T38" s="1130">
        <f t="shared" si="4"/>
        <v>203.14977606188478</v>
      </c>
      <c r="U38" s="1130">
        <f t="shared" si="5"/>
        <v>206.39021364519829</v>
      </c>
      <c r="V38" s="1130">
        <f t="shared" si="6"/>
        <v>254.80580168390475</v>
      </c>
      <c r="W38" s="1130">
        <f t="shared" si="7"/>
        <v>189.01013856263569</v>
      </c>
      <c r="X38" s="1130">
        <f t="shared" si="8"/>
        <v>124.18656427630818</v>
      </c>
      <c r="AA38" s="3">
        <v>2045</v>
      </c>
      <c r="AB38" s="1243">
        <f>C38*'H&amp;C Recycling'!M35/100</f>
        <v>969.29823169797339</v>
      </c>
      <c r="AC38" s="1129">
        <f t="shared" si="9"/>
        <v>286.14842036609087</v>
      </c>
      <c r="AD38" s="1129">
        <f t="shared" si="10"/>
        <v>45.63777602016377</v>
      </c>
      <c r="AE38" s="1129">
        <f t="shared" si="11"/>
        <v>140.46698117323143</v>
      </c>
      <c r="AF38" s="1129">
        <f t="shared" si="12"/>
        <v>383.45545681873995</v>
      </c>
      <c r="AG38" s="1129">
        <f t="shared" si="13"/>
        <v>113.58959731974723</v>
      </c>
      <c r="AH38" s="528"/>
      <c r="AI38" s="528"/>
      <c r="AJ38" s="528"/>
      <c r="AK38" s="528"/>
      <c r="AM38" s="3">
        <v>2045</v>
      </c>
      <c r="AN38" s="707">
        <f t="shared" si="19"/>
        <v>743.25744551638252</v>
      </c>
      <c r="AO38" s="335">
        <f t="shared" si="19"/>
        <v>-179.86811954632964</v>
      </c>
      <c r="AP38" s="335">
        <f t="shared" si="19"/>
        <v>93.360382395150836</v>
      </c>
      <c r="AQ38" s="335">
        <f t="shared" si="19"/>
        <v>1026.3328687911462</v>
      </c>
      <c r="AR38" s="335">
        <f t="shared" si="19"/>
        <v>-153.61878662020189</v>
      </c>
      <c r="AS38" s="335">
        <f t="shared" si="18"/>
        <v>58.675784128821121</v>
      </c>
      <c r="AT38" s="335">
        <f t="shared" si="18"/>
        <v>213.62537708846799</v>
      </c>
      <c r="AU38" s="335">
        <f t="shared" si="18"/>
        <v>307.05759489189018</v>
      </c>
      <c r="AV38" s="335">
        <f t="shared" si="18"/>
        <v>125.26815525912673</v>
      </c>
      <c r="AW38" s="335">
        <f t="shared" si="18"/>
        <v>351.4927713387512</v>
      </c>
      <c r="AY38" s="3">
        <v>2045</v>
      </c>
      <c r="AZ38" s="707">
        <f>C38*Bioplastics!AL43</f>
        <v>549.72913583559932</v>
      </c>
      <c r="BD38" s="3">
        <v>2045</v>
      </c>
      <c r="BE38" s="1131">
        <f t="shared" si="15"/>
        <v>0.47897081342465653</v>
      </c>
      <c r="BF38" s="1131">
        <f t="shared" si="16"/>
        <v>0.29490000000000016</v>
      </c>
      <c r="BG38" s="1131">
        <f t="shared" si="17"/>
        <v>0.22612918657534328</v>
      </c>
    </row>
    <row r="39" spans="2:59" ht="14.4" x14ac:dyDescent="0.55000000000000004">
      <c r="B39" s="3">
        <v>2046</v>
      </c>
      <c r="C39" s="707">
        <v>3329.08709032667</v>
      </c>
      <c r="D39" s="965">
        <v>726.67485091643607</v>
      </c>
      <c r="E39" s="965">
        <v>184.33002797606051</v>
      </c>
      <c r="F39" s="965">
        <v>1434.9819015996841</v>
      </c>
      <c r="G39" s="965">
        <v>702.80387377529735</v>
      </c>
      <c r="H39" s="965">
        <v>378.50502937953888</v>
      </c>
      <c r="I39" s="965">
        <v>423.4442894335329</v>
      </c>
      <c r="J39" s="965">
        <v>573.98576115434901</v>
      </c>
      <c r="K39" s="965">
        <v>316.53555329873711</v>
      </c>
      <c r="L39" s="965">
        <v>486.82633766190179</v>
      </c>
      <c r="N39" s="3">
        <v>2046</v>
      </c>
      <c r="O39" s="707">
        <f>C39*Compost!J38/100</f>
        <v>1595.0128883817617</v>
      </c>
      <c r="P39" s="1130">
        <f t="shared" si="0"/>
        <v>625.82385805704348</v>
      </c>
      <c r="Q39" s="1130">
        <f t="shared" si="1"/>
        <v>44.992377000845465</v>
      </c>
      <c r="R39" s="1130">
        <f t="shared" si="2"/>
        <v>256.05855046752998</v>
      </c>
      <c r="S39" s="1130">
        <f t="shared" si="3"/>
        <v>461.85370712180691</v>
      </c>
      <c r="T39" s="1130">
        <f t="shared" si="4"/>
        <v>205.82060320959448</v>
      </c>
      <c r="U39" s="1130">
        <f t="shared" si="5"/>
        <v>209.10364309764958</v>
      </c>
      <c r="V39" s="1130">
        <f t="shared" si="6"/>
        <v>258.15575493378674</v>
      </c>
      <c r="W39" s="1130">
        <f t="shared" si="7"/>
        <v>191.49507070999718</v>
      </c>
      <c r="X39" s="1130">
        <f t="shared" si="8"/>
        <v>125.81925545460868</v>
      </c>
      <c r="AA39" s="3">
        <v>2046</v>
      </c>
      <c r="AB39" s="1243">
        <f>C39*'H&amp;C Recycling'!M36/100</f>
        <v>975.4225174657148</v>
      </c>
      <c r="AC39" s="1129">
        <f t="shared" si="9"/>
        <v>287.95638270523585</v>
      </c>
      <c r="AD39" s="1129">
        <f t="shared" si="10"/>
        <v>45.92612770905734</v>
      </c>
      <c r="AE39" s="1129">
        <f t="shared" si="11"/>
        <v>141.3544891718067</v>
      </c>
      <c r="AF39" s="1129">
        <f t="shared" si="12"/>
        <v>385.87823106918296</v>
      </c>
      <c r="AG39" s="1129">
        <f t="shared" si="13"/>
        <v>114.30728681043183</v>
      </c>
      <c r="AH39" s="528"/>
      <c r="AI39" s="528"/>
      <c r="AJ39" s="528"/>
      <c r="AK39" s="528"/>
      <c r="AM39" s="3">
        <v>2046</v>
      </c>
      <c r="AN39" s="707">
        <f t="shared" si="19"/>
        <v>758.65168447919348</v>
      </c>
      <c r="AO39" s="335">
        <f t="shared" si="19"/>
        <v>-187.10538984584326</v>
      </c>
      <c r="AP39" s="335">
        <f t="shared" si="19"/>
        <v>93.411523266157701</v>
      </c>
      <c r="AQ39" s="335">
        <f t="shared" si="19"/>
        <v>1037.5688619603472</v>
      </c>
      <c r="AR39" s="335">
        <f t="shared" si="19"/>
        <v>-144.92806441569252</v>
      </c>
      <c r="AS39" s="335">
        <f t="shared" si="18"/>
        <v>58.377139359512569</v>
      </c>
      <c r="AT39" s="335">
        <f t="shared" si="18"/>
        <v>214.34064633588332</v>
      </c>
      <c r="AU39" s="335">
        <f t="shared" si="18"/>
        <v>315.83000622056227</v>
      </c>
      <c r="AV39" s="335">
        <f t="shared" si="18"/>
        <v>125.04048258873993</v>
      </c>
      <c r="AW39" s="335">
        <f t="shared" si="18"/>
        <v>361.00708220729314</v>
      </c>
      <c r="AY39" s="3">
        <v>2046</v>
      </c>
      <c r="AZ39" s="707">
        <f>C39*Bioplastics!AL44</f>
        <v>563.87642924422676</v>
      </c>
      <c r="BD39" s="3">
        <v>2046</v>
      </c>
      <c r="BE39" s="1131">
        <f t="shared" si="15"/>
        <v>0.47911419710718639</v>
      </c>
      <c r="BF39" s="1131">
        <f t="shared" si="16"/>
        <v>0.29300000000000015</v>
      </c>
      <c r="BG39" s="1131">
        <f t="shared" si="17"/>
        <v>0.22788580289281349</v>
      </c>
    </row>
    <row r="40" spans="2:59" ht="14.4" x14ac:dyDescent="0.55000000000000004">
      <c r="B40" s="3">
        <v>2047</v>
      </c>
      <c r="C40" s="707">
        <v>3371.0816863003333</v>
      </c>
      <c r="D40" s="965">
        <v>729.85095808262213</v>
      </c>
      <c r="E40" s="965">
        <v>185.18473253608644</v>
      </c>
      <c r="F40" s="965">
        <v>1449.6776843747739</v>
      </c>
      <c r="G40" s="965">
        <v>720.10351988151581</v>
      </c>
      <c r="H40" s="965">
        <v>381.61126639878267</v>
      </c>
      <c r="I40" s="965">
        <v>426.87298813339959</v>
      </c>
      <c r="J40" s="965">
        <v>586.10812573290309</v>
      </c>
      <c r="K40" s="965">
        <v>318.79281277571187</v>
      </c>
      <c r="L40" s="965">
        <v>498.24224582242789</v>
      </c>
      <c r="N40" s="3">
        <v>2047</v>
      </c>
      <c r="O40" s="707">
        <f>C40*Compost!J39/100</f>
        <v>1615.5739851503572</v>
      </c>
      <c r="P40" s="1130">
        <f t="shared" si="0"/>
        <v>633.89126929825397</v>
      </c>
      <c r="Q40" s="1130">
        <f t="shared" si="1"/>
        <v>45.572367685624243</v>
      </c>
      <c r="R40" s="1130">
        <f t="shared" si="2"/>
        <v>259.35936682640636</v>
      </c>
      <c r="S40" s="1130">
        <f t="shared" si="3"/>
        <v>467.80740118549596</v>
      </c>
      <c r="T40" s="1130">
        <f t="shared" si="4"/>
        <v>208.47380894253166</v>
      </c>
      <c r="U40" s="1130">
        <f t="shared" si="5"/>
        <v>211.79917005653115</v>
      </c>
      <c r="V40" s="1130">
        <f t="shared" si="6"/>
        <v>261.48360607356574</v>
      </c>
      <c r="W40" s="1130">
        <f t="shared" si="7"/>
        <v>193.96360792888569</v>
      </c>
      <c r="X40" s="1130">
        <f t="shared" si="8"/>
        <v>127.44117456610846</v>
      </c>
      <c r="AA40" s="3">
        <v>2047</v>
      </c>
      <c r="AB40" s="1243">
        <f>C40*'H&amp;C Recycling'!M37/100</f>
        <v>981.32187888202748</v>
      </c>
      <c r="AC40" s="1129">
        <f t="shared" si="9"/>
        <v>289.69794468816593</v>
      </c>
      <c r="AD40" s="1129">
        <f t="shared" si="10"/>
        <v>46.203889213386141</v>
      </c>
      <c r="AE40" s="1129">
        <f t="shared" si="11"/>
        <v>142.20940199626079</v>
      </c>
      <c r="AF40" s="1129">
        <f t="shared" si="12"/>
        <v>388.21202499643312</v>
      </c>
      <c r="AG40" s="1129">
        <f t="shared" si="13"/>
        <v>114.99861798778139</v>
      </c>
      <c r="AH40" s="528"/>
      <c r="AI40" s="528"/>
      <c r="AJ40" s="528"/>
      <c r="AK40" s="528"/>
      <c r="AM40" s="3">
        <v>2047</v>
      </c>
      <c r="AN40" s="707">
        <f t="shared" si="19"/>
        <v>774.18582226794865</v>
      </c>
      <c r="AO40" s="335">
        <f t="shared" si="19"/>
        <v>-193.73825590379778</v>
      </c>
      <c r="AP40" s="335">
        <f t="shared" si="19"/>
        <v>93.408475637076066</v>
      </c>
      <c r="AQ40" s="335">
        <f t="shared" si="19"/>
        <v>1048.1089155521067</v>
      </c>
      <c r="AR40" s="335">
        <f t="shared" si="19"/>
        <v>-135.91590630041327</v>
      </c>
      <c r="AS40" s="335">
        <f t="shared" si="18"/>
        <v>58.138839468469627</v>
      </c>
      <c r="AT40" s="335">
        <f t="shared" si="18"/>
        <v>215.07381807686843</v>
      </c>
      <c r="AU40" s="335">
        <f t="shared" si="18"/>
        <v>324.62451965933735</v>
      </c>
      <c r="AV40" s="335">
        <f t="shared" si="18"/>
        <v>124.82920484682617</v>
      </c>
      <c r="AW40" s="335">
        <f t="shared" si="18"/>
        <v>370.80107125631946</v>
      </c>
      <c r="AY40" s="3">
        <v>2047</v>
      </c>
      <c r="AZ40" s="707">
        <f>C40*Bioplastics!AL45</f>
        <v>578.25213363754915</v>
      </c>
      <c r="BD40" s="3">
        <v>2047</v>
      </c>
      <c r="BE40" s="1131">
        <f t="shared" si="15"/>
        <v>0.47924498291330458</v>
      </c>
      <c r="BF40" s="1131">
        <f t="shared" si="16"/>
        <v>0.29110000000000014</v>
      </c>
      <c r="BG40" s="1131">
        <f t="shared" si="17"/>
        <v>0.22965501708669531</v>
      </c>
    </row>
    <row r="41" spans="2:59" ht="14.4" x14ac:dyDescent="0.55000000000000004">
      <c r="B41" s="3">
        <v>2048</v>
      </c>
      <c r="C41" s="707">
        <v>3412.9379410699567</v>
      </c>
      <c r="D41" s="965">
        <v>732.93522009747676</v>
      </c>
      <c r="E41" s="965">
        <v>186.04894873098192</v>
      </c>
      <c r="F41" s="965">
        <v>1464.0691130192936</v>
      </c>
      <c r="G41" s="965">
        <v>737.76754769195156</v>
      </c>
      <c r="H41" s="965">
        <v>384.67229168439553</v>
      </c>
      <c r="I41" s="965">
        <v>430.30168683326622</v>
      </c>
      <c r="J41" s="965">
        <v>598.23049031145729</v>
      </c>
      <c r="K41" s="965">
        <v>321.05007225268662</v>
      </c>
      <c r="L41" s="965">
        <v>509.92706009663772</v>
      </c>
      <c r="N41" s="3">
        <v>2048</v>
      </c>
      <c r="O41" s="707">
        <f>C41*Compost!J40/100</f>
        <v>1636.0405104523277</v>
      </c>
      <c r="P41" s="1130">
        <f t="shared" si="0"/>
        <v>641.92157420600699</v>
      </c>
      <c r="Q41" s="1130">
        <f t="shared" si="1"/>
        <v>46.149690683445186</v>
      </c>
      <c r="R41" s="1130">
        <f t="shared" si="2"/>
        <v>262.64500096773702</v>
      </c>
      <c r="S41" s="1130">
        <f t="shared" si="3"/>
        <v>473.73371103005621</v>
      </c>
      <c r="T41" s="1130">
        <f t="shared" si="4"/>
        <v>211.11481116510916</v>
      </c>
      <c r="U41" s="1130">
        <f t="shared" si="5"/>
        <v>214.48229884712933</v>
      </c>
      <c r="V41" s="1130">
        <f t="shared" si="6"/>
        <v>264.79615064840118</v>
      </c>
      <c r="W41" s="1130">
        <f t="shared" si="7"/>
        <v>196.42079102655026</v>
      </c>
      <c r="X41" s="1130">
        <f t="shared" si="8"/>
        <v>129.05563360527611</v>
      </c>
      <c r="AA41" s="3">
        <v>2048</v>
      </c>
      <c r="AB41" s="1243">
        <f>C41*'H&amp;C Recycling'!M38/100</f>
        <v>987.02165255743193</v>
      </c>
      <c r="AC41" s="1129">
        <f t="shared" si="9"/>
        <v>291.38058598505978</v>
      </c>
      <c r="AD41" s="1129">
        <f t="shared" si="10"/>
        <v>46.472253464817875</v>
      </c>
      <c r="AE41" s="1129">
        <f t="shared" si="11"/>
        <v>143.03539133099034</v>
      </c>
      <c r="AF41" s="1129">
        <f t="shared" si="12"/>
        <v>390.46686179174736</v>
      </c>
      <c r="AG41" s="1129">
        <f t="shared" si="13"/>
        <v>115.66655998481644</v>
      </c>
      <c r="AH41" s="528"/>
      <c r="AI41" s="528"/>
      <c r="AJ41" s="528"/>
      <c r="AK41" s="528"/>
      <c r="AM41" s="3">
        <v>2048</v>
      </c>
      <c r="AN41" s="707">
        <f t="shared" si="19"/>
        <v>789.87577806019704</v>
      </c>
      <c r="AO41" s="335">
        <f t="shared" si="19"/>
        <v>-200.36694009359002</v>
      </c>
      <c r="AP41" s="335">
        <f t="shared" si="19"/>
        <v>93.427004582718865</v>
      </c>
      <c r="AQ41" s="335">
        <f t="shared" si="19"/>
        <v>1058.3887207205664</v>
      </c>
      <c r="AR41" s="335">
        <f t="shared" si="19"/>
        <v>-126.43302512985201</v>
      </c>
      <c r="AS41" s="335">
        <f t="shared" si="18"/>
        <v>57.890920534469927</v>
      </c>
      <c r="AT41" s="335">
        <f t="shared" si="18"/>
        <v>215.81938798613689</v>
      </c>
      <c r="AU41" s="335">
        <f t="shared" si="18"/>
        <v>333.43433966305611</v>
      </c>
      <c r="AV41" s="335">
        <f t="shared" si="18"/>
        <v>124.62928122613636</v>
      </c>
      <c r="AW41" s="335">
        <f t="shared" si="18"/>
        <v>380.8714264913616</v>
      </c>
      <c r="AY41" s="3">
        <v>2048</v>
      </c>
      <c r="AZ41" s="707">
        <f>C41*Bioplastics!AL46</f>
        <v>592.85448229511314</v>
      </c>
      <c r="BD41" s="3">
        <v>2048</v>
      </c>
      <c r="BE41" s="1131">
        <f t="shared" si="15"/>
        <v>0.47936427169239082</v>
      </c>
      <c r="BF41" s="1131">
        <f t="shared" si="16"/>
        <v>0.28920000000000012</v>
      </c>
      <c r="BG41" s="1131">
        <f t="shared" si="17"/>
        <v>0.23143572830760903</v>
      </c>
    </row>
    <row r="42" spans="2:59" ht="14.4" x14ac:dyDescent="0.55000000000000004">
      <c r="B42" s="3">
        <v>2049</v>
      </c>
      <c r="C42" s="707">
        <v>3454.663023726212</v>
      </c>
      <c r="D42" s="965">
        <v>735.92360942219148</v>
      </c>
      <c r="E42" s="965">
        <v>186.92623443357729</v>
      </c>
      <c r="F42" s="965">
        <v>1478.1577069457985</v>
      </c>
      <c r="G42" s="965">
        <v>755.81289562784968</v>
      </c>
      <c r="H42" s="965">
        <v>387.69114014181821</v>
      </c>
      <c r="I42" s="965">
        <v>433.7303855331329</v>
      </c>
      <c r="J42" s="965">
        <v>610.35285489001126</v>
      </c>
      <c r="K42" s="965">
        <v>323.30733172966143</v>
      </c>
      <c r="L42" s="965">
        <v>521.88078048453121</v>
      </c>
      <c r="N42" s="3">
        <v>2049</v>
      </c>
      <c r="O42" s="707">
        <f>C42*Compost!J41/100</f>
        <v>1656.4178827343064</v>
      </c>
      <c r="P42" s="1130">
        <f t="shared" si="0"/>
        <v>649.91689877765407</v>
      </c>
      <c r="Q42" s="1130">
        <f t="shared" si="1"/>
        <v>46.724498838711909</v>
      </c>
      <c r="R42" s="1130">
        <f t="shared" si="2"/>
        <v>265.91632275257507</v>
      </c>
      <c r="S42" s="1130">
        <f t="shared" si="3"/>
        <v>479.63420562692522</v>
      </c>
      <c r="T42" s="1130">
        <f t="shared" si="4"/>
        <v>213.74430907415646</v>
      </c>
      <c r="U42" s="1130">
        <f t="shared" si="5"/>
        <v>217.15373981914669</v>
      </c>
      <c r="V42" s="1130">
        <f t="shared" si="6"/>
        <v>268.09426564379675</v>
      </c>
      <c r="W42" s="1130">
        <f t="shared" si="7"/>
        <v>198.86727053429922</v>
      </c>
      <c r="X42" s="1130">
        <f t="shared" si="8"/>
        <v>130.66305999494068</v>
      </c>
      <c r="AA42" s="3">
        <v>2049</v>
      </c>
      <c r="AB42" s="1243">
        <f>C42*'H&amp;C Recycling'!M39/100</f>
        <v>992.52468671654105</v>
      </c>
      <c r="AC42" s="1129">
        <f t="shared" si="9"/>
        <v>293.00514742585727</v>
      </c>
      <c r="AD42" s="1129">
        <f t="shared" si="10"/>
        <v>46.731354567215213</v>
      </c>
      <c r="AE42" s="1129">
        <f t="shared" si="11"/>
        <v>143.83286992977941</v>
      </c>
      <c r="AF42" s="1129">
        <f t="shared" si="12"/>
        <v>392.64386821594542</v>
      </c>
      <c r="AG42" s="1129">
        <f t="shared" si="13"/>
        <v>116.3114465777436</v>
      </c>
      <c r="AH42" s="528"/>
      <c r="AI42" s="528"/>
      <c r="AJ42" s="528"/>
      <c r="AK42" s="528"/>
      <c r="AM42" s="3">
        <v>2049</v>
      </c>
      <c r="AN42" s="707">
        <f t="shared" si="19"/>
        <v>805.72045427536455</v>
      </c>
      <c r="AO42" s="335">
        <f t="shared" si="19"/>
        <v>-206.99843678131987</v>
      </c>
      <c r="AP42" s="335">
        <f t="shared" si="19"/>
        <v>93.470381027650177</v>
      </c>
      <c r="AQ42" s="335">
        <f t="shared" si="19"/>
        <v>1068.408514263444</v>
      </c>
      <c r="AR42" s="335">
        <f t="shared" si="19"/>
        <v>-116.46517821502096</v>
      </c>
      <c r="AS42" s="335">
        <f t="shared" si="18"/>
        <v>57.635384489918152</v>
      </c>
      <c r="AT42" s="335">
        <f t="shared" si="18"/>
        <v>216.57664571398621</v>
      </c>
      <c r="AU42" s="335">
        <f t="shared" si="18"/>
        <v>342.25858924621451</v>
      </c>
      <c r="AV42" s="335">
        <f t="shared" si="18"/>
        <v>124.4400611953622</v>
      </c>
      <c r="AW42" s="335">
        <f t="shared" si="18"/>
        <v>391.21772048959053</v>
      </c>
      <c r="AY42" s="3">
        <v>2049</v>
      </c>
      <c r="AZ42" s="707">
        <f>C42*Bioplastics!AL47</f>
        <v>607.68185136763907</v>
      </c>
      <c r="BD42" s="3">
        <v>2049</v>
      </c>
      <c r="BE42" s="1131">
        <f t="shared" si="15"/>
        <v>0.47947306911216137</v>
      </c>
      <c r="BF42" s="1131">
        <f t="shared" si="16"/>
        <v>0.28730000000000011</v>
      </c>
      <c r="BG42" s="1131">
        <f t="shared" si="17"/>
        <v>0.23322693088783852</v>
      </c>
    </row>
    <row r="43" spans="2:59" ht="14.4" x14ac:dyDescent="0.55000000000000004">
      <c r="B43" s="3">
        <v>2050</v>
      </c>
      <c r="C43" s="707">
        <v>3495.5715615028471</v>
      </c>
      <c r="D43" s="965">
        <v>736.71609395174778</v>
      </c>
      <c r="E43" s="965">
        <v>187.35348085003628</v>
      </c>
      <c r="F43" s="965">
        <v>1488.1708988088521</v>
      </c>
      <c r="G43" s="965">
        <v>777.66303689987399</v>
      </c>
      <c r="H43" s="965">
        <v>390.36959096872897</v>
      </c>
      <c r="I43" s="965">
        <v>437.15908423299959</v>
      </c>
      <c r="J43" s="965">
        <v>622.47521946856546</v>
      </c>
      <c r="K43" s="965">
        <v>325.56459120663612</v>
      </c>
      <c r="L43" s="965">
        <v>534.10340698610821</v>
      </c>
      <c r="N43" s="3">
        <v>2050</v>
      </c>
      <c r="O43" s="707">
        <f>C43*Compost!J42/100</f>
        <v>1676.3792716010917</v>
      </c>
      <c r="P43" s="1130">
        <f t="shared" si="0"/>
        <v>657.74900689651872</v>
      </c>
      <c r="Q43" s="1130">
        <f t="shared" si="1"/>
        <v>47.287572867703652</v>
      </c>
      <c r="R43" s="1130">
        <f t="shared" si="2"/>
        <v>269.12086381664972</v>
      </c>
      <c r="S43" s="1130">
        <f t="shared" si="3"/>
        <v>485.41424760312407</v>
      </c>
      <c r="T43" s="1130">
        <f t="shared" si="4"/>
        <v>216.32012844677061</v>
      </c>
      <c r="U43" s="1130">
        <f t="shared" si="5"/>
        <v>219.77064602958393</v>
      </c>
      <c r="V43" s="1130">
        <f t="shared" si="6"/>
        <v>271.3250529621738</v>
      </c>
      <c r="W43" s="1130">
        <f t="shared" si="7"/>
        <v>201.26380764090086</v>
      </c>
      <c r="X43" s="1130">
        <f t="shared" si="8"/>
        <v>132.23767240299898</v>
      </c>
      <c r="AA43" s="3">
        <v>2050</v>
      </c>
      <c r="AB43" s="1243">
        <f>C43*'H&amp;C Recycling'!M40/100</f>
        <v>997.63612365291294</v>
      </c>
      <c r="AC43" s="1129">
        <f t="shared" si="9"/>
        <v>294.5141046872169</v>
      </c>
      <c r="AD43" s="1129">
        <f t="shared" si="10"/>
        <v>46.972017973393818</v>
      </c>
      <c r="AE43" s="1129">
        <f t="shared" si="11"/>
        <v>144.57359976135226</v>
      </c>
      <c r="AF43" s="1129">
        <f t="shared" si="12"/>
        <v>394.66595834397879</v>
      </c>
      <c r="AG43" s="1129">
        <f t="shared" si="13"/>
        <v>116.91044288697103</v>
      </c>
      <c r="AH43" s="528"/>
      <c r="AI43" s="528"/>
      <c r="AJ43" s="528"/>
      <c r="AK43" s="528"/>
      <c r="AM43" s="3">
        <v>2050</v>
      </c>
      <c r="AN43" s="707">
        <f t="shared" si="19"/>
        <v>821.55616624884249</v>
      </c>
      <c r="AO43" s="335">
        <f t="shared" si="19"/>
        <v>-215.54701763198784</v>
      </c>
      <c r="AP43" s="335">
        <f t="shared" si="19"/>
        <v>93.0938900089388</v>
      </c>
      <c r="AQ43" s="335">
        <f t="shared" si="19"/>
        <v>1074.4764352308503</v>
      </c>
      <c r="AR43" s="335">
        <f t="shared" si="19"/>
        <v>-102.41716904722887</v>
      </c>
      <c r="AS43" s="335">
        <f t="shared" si="18"/>
        <v>57.139019634987335</v>
      </c>
      <c r="AT43" s="335">
        <f t="shared" si="18"/>
        <v>217.38843820341566</v>
      </c>
      <c r="AU43" s="335">
        <f t="shared" si="18"/>
        <v>351.15016650639166</v>
      </c>
      <c r="AV43" s="335">
        <f t="shared" si="18"/>
        <v>124.30078356573526</v>
      </c>
      <c r="AW43" s="335">
        <f t="shared" si="18"/>
        <v>401.8657345831092</v>
      </c>
      <c r="AY43" s="3">
        <v>2050</v>
      </c>
      <c r="AZ43" s="707">
        <f>C43*Bioplastics!AL48</f>
        <v>621.69274579166324</v>
      </c>
      <c r="BD43" s="3">
        <v>2050</v>
      </c>
      <c r="BE43" s="1131">
        <f t="shared" si="15"/>
        <v>0.47957229371678717</v>
      </c>
      <c r="BF43" s="1131">
        <f t="shared" si="16"/>
        <v>0.2854000000000001</v>
      </c>
      <c r="BG43" s="1131">
        <f t="shared" si="17"/>
        <v>0.23502770628321273</v>
      </c>
    </row>
    <row r="44" spans="2:59" ht="14.4" x14ac:dyDescent="0.55000000000000004">
      <c r="B44" s="3">
        <v>2051</v>
      </c>
      <c r="C44" s="707">
        <v>3537.7483490613135</v>
      </c>
      <c r="D44" s="965">
        <v>741.59665984596722</v>
      </c>
      <c r="E44" s="965">
        <v>188.73424585318924</v>
      </c>
      <c r="F44" s="965">
        <v>1505.4324682949823</v>
      </c>
      <c r="G44" s="965">
        <v>794.83414030727874</v>
      </c>
      <c r="H44" s="965">
        <v>393.61444619385657</v>
      </c>
      <c r="I44" s="965">
        <v>440.58778293286622</v>
      </c>
      <c r="J44" s="965">
        <v>634.59758404711943</v>
      </c>
      <c r="K44" s="965">
        <v>327.82185068361093</v>
      </c>
      <c r="L44" s="965">
        <v>546.59493960136888</v>
      </c>
      <c r="N44" s="3">
        <v>2051</v>
      </c>
      <c r="O44" s="707">
        <f>C44*Compost!J43/100</f>
        <v>1696.9262233765496</v>
      </c>
      <c r="P44" s="1130">
        <f t="shared" si="0"/>
        <v>665.81086816741731</v>
      </c>
      <c r="Q44" s="1130">
        <f t="shared" si="1"/>
        <v>47.867164548268384</v>
      </c>
      <c r="R44" s="1130">
        <f t="shared" si="2"/>
        <v>272.41940938106075</v>
      </c>
      <c r="S44" s="1130">
        <f t="shared" si="3"/>
        <v>491.36384582685764</v>
      </c>
      <c r="T44" s="1130">
        <f t="shared" si="4"/>
        <v>218.97150890855096</v>
      </c>
      <c r="U44" s="1130">
        <f t="shared" si="5"/>
        <v>222.46431860244883</v>
      </c>
      <c r="V44" s="1130">
        <f t="shared" si="6"/>
        <v>274.65061470892749</v>
      </c>
      <c r="W44" s="1130">
        <f t="shared" si="7"/>
        <v>203.73064663121659</v>
      </c>
      <c r="X44" s="1130">
        <f t="shared" si="8"/>
        <v>133.8584757163018</v>
      </c>
      <c r="AA44" s="3">
        <v>2051</v>
      </c>
      <c r="AB44" s="1243">
        <f>C44*'H&amp;C Recycling'!M41/100</f>
        <v>1002.9516569588827</v>
      </c>
      <c r="AC44" s="1129">
        <f t="shared" si="9"/>
        <v>296.08331363567657</v>
      </c>
      <c r="AD44" s="1129">
        <f t="shared" si="10"/>
        <v>47.222290913663819</v>
      </c>
      <c r="AE44" s="1129">
        <f t="shared" si="11"/>
        <v>145.34390645582275</v>
      </c>
      <c r="AF44" s="1129">
        <f t="shared" si="12"/>
        <v>396.76878922246425</v>
      </c>
      <c r="AG44" s="1129">
        <f t="shared" si="13"/>
        <v>117.53335673125518</v>
      </c>
      <c r="AH44" s="528"/>
      <c r="AI44" s="528"/>
      <c r="AJ44" s="528"/>
      <c r="AK44" s="528"/>
      <c r="AM44" s="3">
        <v>2051</v>
      </c>
      <c r="AN44" s="707">
        <f t="shared" si="19"/>
        <v>837.87046872588121</v>
      </c>
      <c r="AO44" s="335">
        <f t="shared" si="19"/>
        <v>-220.29752195712666</v>
      </c>
      <c r="AP44" s="335">
        <f t="shared" si="19"/>
        <v>93.644790391257033</v>
      </c>
      <c r="AQ44" s="335">
        <f t="shared" si="19"/>
        <v>1087.669152458099</v>
      </c>
      <c r="AR44" s="335">
        <f t="shared" si="19"/>
        <v>-93.298494742043147</v>
      </c>
      <c r="AS44" s="335">
        <f t="shared" si="18"/>
        <v>57.109580554050424</v>
      </c>
      <c r="AT44" s="335">
        <f t="shared" si="18"/>
        <v>218.12346433041739</v>
      </c>
      <c r="AU44" s="335">
        <f t="shared" si="18"/>
        <v>359.94696933819193</v>
      </c>
      <c r="AV44" s="335">
        <f t="shared" si="18"/>
        <v>124.09120405239435</v>
      </c>
      <c r="AW44" s="335">
        <f t="shared" si="18"/>
        <v>412.73646388506711</v>
      </c>
      <c r="AY44" s="3">
        <v>2051</v>
      </c>
      <c r="AZ44" s="707">
        <f>C44*Bioplastics!AL49</f>
        <v>638.00440215256936</v>
      </c>
      <c r="BD44" s="3">
        <v>2051</v>
      </c>
      <c r="BE44" s="1131">
        <f t="shared" si="15"/>
        <v>0.47966278433196147</v>
      </c>
      <c r="BF44" s="1131">
        <f t="shared" si="16"/>
        <v>0.28350000000000009</v>
      </c>
      <c r="BG44" s="1131">
        <f t="shared" si="17"/>
        <v>0.23683721566803842</v>
      </c>
    </row>
    <row r="45" spans="2:59" ht="14.4" x14ac:dyDescent="0.55000000000000004">
      <c r="B45" s="3">
        <v>2052</v>
      </c>
      <c r="C45" s="707">
        <v>3579.1229299215083</v>
      </c>
      <c r="D45" s="965">
        <v>744.27326586741106</v>
      </c>
      <c r="E45" s="965">
        <v>189.67208731586652</v>
      </c>
      <c r="F45" s="965">
        <v>1518.6216745427705</v>
      </c>
      <c r="G45" s="965">
        <v>812.33999506211455</v>
      </c>
      <c r="H45" s="965">
        <v>396.52497359935398</v>
      </c>
      <c r="I45" s="965">
        <v>444.0164816327329</v>
      </c>
      <c r="J45" s="965">
        <v>646.71994862567362</v>
      </c>
      <c r="K45" s="965">
        <v>330.07911016058563</v>
      </c>
      <c r="L45" s="965">
        <v>559.35537833031333</v>
      </c>
      <c r="N45" s="3">
        <v>2052</v>
      </c>
      <c r="O45" s="707">
        <f>C45*Compost!J44/100</f>
        <v>1717.0674283220681</v>
      </c>
      <c r="P45" s="1130">
        <f t="shared" si="0"/>
        <v>673.71352944165346</v>
      </c>
      <c r="Q45" s="1130">
        <f t="shared" si="1"/>
        <v>48.435310857781566</v>
      </c>
      <c r="R45" s="1130">
        <f t="shared" si="2"/>
        <v>275.65281757517965</v>
      </c>
      <c r="S45" s="1130">
        <f t="shared" si="3"/>
        <v>497.1959555469399</v>
      </c>
      <c r="T45" s="1130">
        <f t="shared" si="4"/>
        <v>221.57053176375842</v>
      </c>
      <c r="U45" s="1130">
        <f t="shared" si="5"/>
        <v>225.10479841371685</v>
      </c>
      <c r="V45" s="1130">
        <f t="shared" si="6"/>
        <v>277.9105055887195</v>
      </c>
      <c r="W45" s="1130">
        <f t="shared" si="7"/>
        <v>206.14877221084103</v>
      </c>
      <c r="X45" s="1130">
        <f t="shared" si="8"/>
        <v>135.44727253961454</v>
      </c>
      <c r="AA45" s="3">
        <v>2052</v>
      </c>
      <c r="AB45" s="1243">
        <f>C45*'H&amp;C Recycling'!M42/100</f>
        <v>1007.881017065897</v>
      </c>
      <c r="AC45" s="1129">
        <f t="shared" si="9"/>
        <v>297.53851964133167</v>
      </c>
      <c r="AD45" s="1129">
        <f t="shared" si="10"/>
        <v>47.454381538746844</v>
      </c>
      <c r="AE45" s="1129">
        <f t="shared" si="11"/>
        <v>146.058250411795</v>
      </c>
      <c r="AF45" s="1129">
        <f t="shared" si="12"/>
        <v>398.71884955461621</v>
      </c>
      <c r="AG45" s="1129">
        <f t="shared" si="13"/>
        <v>118.11101591940714</v>
      </c>
      <c r="AH45" s="528"/>
      <c r="AI45" s="528"/>
      <c r="AJ45" s="528"/>
      <c r="AK45" s="528"/>
      <c r="AM45" s="3">
        <v>2052</v>
      </c>
      <c r="AN45" s="707">
        <f t="shared" si="19"/>
        <v>854.17448453354325</v>
      </c>
      <c r="AO45" s="335">
        <f t="shared" si="19"/>
        <v>-226.97878321557408</v>
      </c>
      <c r="AP45" s="335">
        <f t="shared" si="19"/>
        <v>93.782394919338117</v>
      </c>
      <c r="AQ45" s="335">
        <f t="shared" si="19"/>
        <v>1096.910606555796</v>
      </c>
      <c r="AR45" s="335">
        <f t="shared" si="19"/>
        <v>-83.574810039441559</v>
      </c>
      <c r="AS45" s="335">
        <f t="shared" si="18"/>
        <v>56.843425916188423</v>
      </c>
      <c r="AT45" s="335">
        <f t="shared" si="18"/>
        <v>218.91168321901606</v>
      </c>
      <c r="AU45" s="335">
        <f t="shared" si="18"/>
        <v>368.80944303695412</v>
      </c>
      <c r="AV45" s="335">
        <f t="shared" si="18"/>
        <v>123.9303379497446</v>
      </c>
      <c r="AW45" s="335">
        <f t="shared" si="18"/>
        <v>423.90810579069876</v>
      </c>
      <c r="AY45" s="3">
        <v>2052</v>
      </c>
      <c r="AZ45" s="707">
        <f>C45*Bioplastics!AL50</f>
        <v>653.49530725973602</v>
      </c>
      <c r="BD45" s="3">
        <v>2052</v>
      </c>
      <c r="BE45" s="1131">
        <f t="shared" si="15"/>
        <v>0.47974530686480893</v>
      </c>
      <c r="BF45" s="1131">
        <f t="shared" si="16"/>
        <v>0.28160000000000007</v>
      </c>
      <c r="BG45" s="1131">
        <f t="shared" si="17"/>
        <v>0.238654693135191</v>
      </c>
    </row>
    <row r="46" spans="2:59" ht="14.4" x14ac:dyDescent="0.55000000000000004">
      <c r="B46" s="3">
        <v>2053</v>
      </c>
      <c r="C46" s="707">
        <v>3620.3950150310288</v>
      </c>
      <c r="D46" s="965">
        <v>746.8378890434808</v>
      </c>
      <c r="E46" s="965">
        <v>190.63722977756515</v>
      </c>
      <c r="F46" s="965">
        <v>1531.5141237227631</v>
      </c>
      <c r="G46" s="965">
        <v>832.43039877469721</v>
      </c>
      <c r="H46" s="965">
        <v>399.40546379842476</v>
      </c>
      <c r="I46" s="965">
        <v>447.44518033259953</v>
      </c>
      <c r="J46" s="965">
        <v>658.84231320422771</v>
      </c>
      <c r="K46" s="965">
        <v>332.33636963756044</v>
      </c>
      <c r="L46" s="965">
        <v>572.38472317294122</v>
      </c>
      <c r="N46" s="3">
        <v>2053</v>
      </c>
      <c r="O46" s="707">
        <f>C46*Compost!J45/100</f>
        <v>1737.139965502616</v>
      </c>
      <c r="P46" s="1130">
        <f t="shared" si="0"/>
        <v>681.58924803353807</v>
      </c>
      <c r="Q46" s="1130">
        <f t="shared" si="1"/>
        <v>49.001520176069249</v>
      </c>
      <c r="R46" s="1130">
        <f t="shared" si="2"/>
        <v>278.87520205375984</v>
      </c>
      <c r="S46" s="1130">
        <f t="shared" si="3"/>
        <v>503.00818175257382</v>
      </c>
      <c r="T46" s="1130">
        <f t="shared" si="4"/>
        <v>224.16069372454288</v>
      </c>
      <c r="U46" s="1130">
        <f t="shared" si="5"/>
        <v>227.73627599063093</v>
      </c>
      <c r="V46" s="1130">
        <f t="shared" si="6"/>
        <v>281.15928246508577</v>
      </c>
      <c r="W46" s="1130">
        <f t="shared" si="7"/>
        <v>208.55865363231206</v>
      </c>
      <c r="X46" s="1130">
        <f t="shared" si="8"/>
        <v>137.03065264991807</v>
      </c>
      <c r="AA46" s="3">
        <v>2053</v>
      </c>
      <c r="AB46" s="1243">
        <f>C46*'H&amp;C Recycling'!M43/100</f>
        <v>1012.6244857041789</v>
      </c>
      <c r="AC46" s="1129">
        <f t="shared" si="9"/>
        <v>298.93884826415683</v>
      </c>
      <c r="AD46" s="1129">
        <f t="shared" si="10"/>
        <v>47.677719776858922</v>
      </c>
      <c r="AE46" s="1129">
        <f t="shared" si="11"/>
        <v>146.74565568926278</v>
      </c>
      <c r="AF46" s="1129">
        <f t="shared" si="12"/>
        <v>400.59537101531407</v>
      </c>
      <c r="AG46" s="1129">
        <f t="shared" si="13"/>
        <v>118.66689095858618</v>
      </c>
      <c r="AH46" s="528"/>
      <c r="AI46" s="528"/>
      <c r="AJ46" s="528"/>
      <c r="AK46" s="528"/>
      <c r="AM46" s="3">
        <v>2053</v>
      </c>
      <c r="AN46" s="707">
        <f t="shared" si="19"/>
        <v>870.63056382423395</v>
      </c>
      <c r="AO46" s="335">
        <f t="shared" si="19"/>
        <v>-233.6902072542141</v>
      </c>
      <c r="AP46" s="335">
        <f t="shared" si="19"/>
        <v>93.957989824636982</v>
      </c>
      <c r="AQ46" s="335">
        <f t="shared" si="19"/>
        <v>1105.8932659797404</v>
      </c>
      <c r="AR46" s="335">
        <f t="shared" si="19"/>
        <v>-71.173153993190681</v>
      </c>
      <c r="AS46" s="335">
        <f t="shared" si="18"/>
        <v>56.577879115295701</v>
      </c>
      <c r="AT46" s="335">
        <f t="shared" si="18"/>
        <v>219.7089043419686</v>
      </c>
      <c r="AU46" s="335">
        <f t="shared" si="18"/>
        <v>377.68303073914194</v>
      </c>
      <c r="AV46" s="335">
        <f t="shared" si="18"/>
        <v>123.77771600524838</v>
      </c>
      <c r="AW46" s="335">
        <f t="shared" si="18"/>
        <v>435.35407052302315</v>
      </c>
      <c r="AY46" s="3">
        <v>2053</v>
      </c>
      <c r="AZ46" s="707">
        <f>C46*Bioplastics!AL51</f>
        <v>669.20283553854222</v>
      </c>
      <c r="BD46" s="3">
        <v>2053</v>
      </c>
      <c r="BE46" s="1131">
        <f t="shared" si="15"/>
        <v>0.47982056054392386</v>
      </c>
      <c r="BF46" s="1131">
        <f t="shared" si="16"/>
        <v>0.27970000000000006</v>
      </c>
      <c r="BG46" s="1131">
        <f t="shared" si="17"/>
        <v>0.24047943945607608</v>
      </c>
    </row>
    <row r="47" spans="2:59" ht="14.4" x14ac:dyDescent="0.55000000000000004">
      <c r="B47" s="3">
        <v>2054</v>
      </c>
      <c r="C47" s="707">
        <v>3661.5717734805517</v>
      </c>
      <c r="D47" s="965">
        <v>749.28650183536797</v>
      </c>
      <c r="E47" s="965">
        <v>191.63323111111549</v>
      </c>
      <c r="F47" s="965">
        <v>1544.1113352475138</v>
      </c>
      <c r="G47" s="965">
        <v>852.87333779202584</v>
      </c>
      <c r="H47" s="965">
        <v>402.25895169650971</v>
      </c>
      <c r="I47" s="965">
        <v>450.87387903246622</v>
      </c>
      <c r="J47" s="965">
        <v>670.96467778278179</v>
      </c>
      <c r="K47" s="965">
        <v>334.59362911453513</v>
      </c>
      <c r="L47" s="965">
        <v>585.6829741292529</v>
      </c>
      <c r="N47" s="3">
        <v>2054</v>
      </c>
      <c r="O47" s="707">
        <f>C47*Compost!J46/100</f>
        <v>1757.1486892227977</v>
      </c>
      <c r="P47" s="1130">
        <f t="shared" si="0"/>
        <v>689.43992859202933</v>
      </c>
      <c r="Q47" s="1130">
        <f t="shared" si="1"/>
        <v>49.565929434127042</v>
      </c>
      <c r="R47" s="1130">
        <f t="shared" si="2"/>
        <v>282.08734211219723</v>
      </c>
      <c r="S47" s="1130">
        <f t="shared" si="3"/>
        <v>508.80193006160323</v>
      </c>
      <c r="T47" s="1130">
        <f t="shared" si="4"/>
        <v>226.74262119079683</v>
      </c>
      <c r="U47" s="1130">
        <f t="shared" si="5"/>
        <v>230.35938772477445</v>
      </c>
      <c r="V47" s="1130">
        <f t="shared" si="6"/>
        <v>284.39773101611013</v>
      </c>
      <c r="W47" s="1130">
        <f t="shared" si="7"/>
        <v>210.96087369681598</v>
      </c>
      <c r="X47" s="1130">
        <f t="shared" si="8"/>
        <v>138.60899896887753</v>
      </c>
      <c r="AA47" s="3">
        <v>2054</v>
      </c>
      <c r="AB47" s="1243">
        <f>C47*'H&amp;C Recycling'!M44/100</f>
        <v>1017.1846386728974</v>
      </c>
      <c r="AC47" s="1129">
        <f t="shared" si="9"/>
        <v>300.28505991084552</v>
      </c>
      <c r="AD47" s="1129">
        <f t="shared" si="10"/>
        <v>47.89242690516916</v>
      </c>
      <c r="AE47" s="1129">
        <f t="shared" si="11"/>
        <v>147.40649556315995</v>
      </c>
      <c r="AF47" s="1129">
        <f t="shared" si="12"/>
        <v>402.39937259356947</v>
      </c>
      <c r="AG47" s="1129">
        <f t="shared" si="13"/>
        <v>119.20128370015324</v>
      </c>
      <c r="AH47" s="528"/>
      <c r="AI47" s="528"/>
      <c r="AJ47" s="528"/>
      <c r="AK47" s="528"/>
      <c r="AM47" s="3">
        <v>2054</v>
      </c>
      <c r="AN47" s="707">
        <f t="shared" si="19"/>
        <v>887.23844558485655</v>
      </c>
      <c r="AO47" s="335">
        <f t="shared" si="19"/>
        <v>-240.43848666750688</v>
      </c>
      <c r="AP47" s="335">
        <f t="shared" si="19"/>
        <v>94.17487477181929</v>
      </c>
      <c r="AQ47" s="335">
        <f t="shared" si="19"/>
        <v>1114.6174975721567</v>
      </c>
      <c r="AR47" s="335">
        <f t="shared" si="19"/>
        <v>-58.32796486314686</v>
      </c>
      <c r="AS47" s="335">
        <f t="shared" si="18"/>
        <v>56.315046805559646</v>
      </c>
      <c r="AT47" s="335">
        <f t="shared" si="18"/>
        <v>220.51449130769177</v>
      </c>
      <c r="AU47" s="335">
        <f t="shared" si="18"/>
        <v>386.56694676667166</v>
      </c>
      <c r="AV47" s="335">
        <f t="shared" si="18"/>
        <v>123.63275541771915</v>
      </c>
      <c r="AW47" s="335">
        <f t="shared" si="18"/>
        <v>447.07397516037537</v>
      </c>
      <c r="AY47" s="3">
        <v>2054</v>
      </c>
      <c r="AZ47" s="707">
        <f>C47*Bioplastics!AL52</f>
        <v>685.12447706138357</v>
      </c>
      <c r="BD47" s="3">
        <v>2054</v>
      </c>
      <c r="BE47" s="1131">
        <f t="shared" si="15"/>
        <v>0.47988918364217087</v>
      </c>
      <c r="BF47" s="1131">
        <f t="shared" si="16"/>
        <v>0.27780000000000005</v>
      </c>
      <c r="BG47" s="1131">
        <f t="shared" si="17"/>
        <v>0.24231081635782908</v>
      </c>
    </row>
    <row r="48" spans="2:59" ht="14.4" x14ac:dyDescent="0.55000000000000004">
      <c r="B48" s="3">
        <v>2055</v>
      </c>
      <c r="C48" s="707">
        <v>3702.6603743607484</v>
      </c>
      <c r="D48" s="965">
        <v>751.61507670426408</v>
      </c>
      <c r="E48" s="965">
        <v>192.66364918934789</v>
      </c>
      <c r="F48" s="965">
        <v>1556.4148285295782</v>
      </c>
      <c r="G48" s="965">
        <v>873.67770409275761</v>
      </c>
      <c r="H48" s="965">
        <v>405.08847219904976</v>
      </c>
      <c r="I48" s="965">
        <v>454.30257773233291</v>
      </c>
      <c r="J48" s="965">
        <v>683.08704236133588</v>
      </c>
      <c r="K48" s="965">
        <v>336.85088859150994</v>
      </c>
      <c r="L48" s="965">
        <v>599.25013119924824</v>
      </c>
      <c r="N48" s="3">
        <v>2055</v>
      </c>
      <c r="O48" s="707">
        <f>C48*Compost!J47/100</f>
        <v>1777.0983586256129</v>
      </c>
      <c r="P48" s="1130">
        <f t="shared" si="0"/>
        <v>697.26743842820326</v>
      </c>
      <c r="Q48" s="1130">
        <f t="shared" si="1"/>
        <v>50.128672878616918</v>
      </c>
      <c r="R48" s="1130">
        <f t="shared" si="2"/>
        <v>285.2900017689314</v>
      </c>
      <c r="S48" s="1130">
        <f t="shared" si="3"/>
        <v>514.57857853677183</v>
      </c>
      <c r="T48" s="1130">
        <f t="shared" si="4"/>
        <v>229.31692828275095</v>
      </c>
      <c r="U48" s="1130">
        <f t="shared" si="5"/>
        <v>232.97475753219632</v>
      </c>
      <c r="V48" s="1130">
        <f t="shared" si="6"/>
        <v>287.62662151779654</v>
      </c>
      <c r="W48" s="1130">
        <f t="shared" si="7"/>
        <v>213.35600378056662</v>
      </c>
      <c r="X48" s="1130">
        <f t="shared" si="8"/>
        <v>140.18268691153384</v>
      </c>
      <c r="AA48" s="3">
        <v>2055</v>
      </c>
      <c r="AB48" s="1243">
        <f>C48*'H&amp;C Recycling'!M45/100</f>
        <v>1021.5639972861306</v>
      </c>
      <c r="AC48" s="1129">
        <f t="shared" si="9"/>
        <v>301.57789890344134</v>
      </c>
      <c r="AD48" s="1129">
        <f t="shared" si="10"/>
        <v>48.098621635507826</v>
      </c>
      <c r="AE48" s="1129">
        <f t="shared" si="11"/>
        <v>148.04113541265008</v>
      </c>
      <c r="AF48" s="1129">
        <f t="shared" si="12"/>
        <v>404.13185172403143</v>
      </c>
      <c r="AG48" s="1129">
        <f t="shared" si="13"/>
        <v>119.71448961049987</v>
      </c>
      <c r="AH48" s="528"/>
      <c r="AI48" s="528"/>
      <c r="AJ48" s="528"/>
      <c r="AK48" s="528"/>
      <c r="AM48" s="3">
        <v>2055</v>
      </c>
      <c r="AN48" s="707">
        <f t="shared" si="19"/>
        <v>903.9980184490048</v>
      </c>
      <c r="AO48" s="335">
        <f t="shared" si="19"/>
        <v>-247.23026062738052</v>
      </c>
      <c r="AP48" s="335">
        <f t="shared" si="19"/>
        <v>94.436354675223143</v>
      </c>
      <c r="AQ48" s="335">
        <f t="shared" si="19"/>
        <v>1123.0836913479966</v>
      </c>
      <c r="AR48" s="335">
        <f t="shared" si="19"/>
        <v>-45.032726168045656</v>
      </c>
      <c r="AS48" s="335">
        <f t="shared" si="18"/>
        <v>56.057054305798943</v>
      </c>
      <c r="AT48" s="335">
        <f t="shared" si="18"/>
        <v>221.32782020013659</v>
      </c>
      <c r="AU48" s="335">
        <f t="shared" si="18"/>
        <v>395.46042084353934</v>
      </c>
      <c r="AV48" s="335">
        <f t="shared" si="18"/>
        <v>123.49488481094332</v>
      </c>
      <c r="AW48" s="335">
        <f t="shared" si="18"/>
        <v>459.06744428771441</v>
      </c>
      <c r="AY48" s="3">
        <v>2055</v>
      </c>
      <c r="AZ48" s="707">
        <f>C48*Bioplastics!AL53</f>
        <v>701.25770983467817</v>
      </c>
      <c r="BD48" s="3">
        <v>2055</v>
      </c>
      <c r="BE48" s="1131">
        <f t="shared" si="15"/>
        <v>0.47995175872224655</v>
      </c>
      <c r="BF48" s="1131">
        <f t="shared" si="16"/>
        <v>0.27590000000000003</v>
      </c>
      <c r="BG48" s="1131">
        <f t="shared" si="17"/>
        <v>0.24414824127775342</v>
      </c>
    </row>
    <row r="49" spans="1:60" ht="14.4" x14ac:dyDescent="0.55000000000000004">
      <c r="B49" s="3">
        <v>2056</v>
      </c>
      <c r="C49" s="707">
        <v>3743.6679867622934</v>
      </c>
      <c r="D49" s="965">
        <v>753.81958611136042</v>
      </c>
      <c r="E49" s="965">
        <v>193.73204188509274</v>
      </c>
      <c r="F49" s="965">
        <v>1568.4261229815106</v>
      </c>
      <c r="G49" s="965">
        <v>894.85238965554993</v>
      </c>
      <c r="H49" s="965">
        <v>407.89706021148572</v>
      </c>
      <c r="I49" s="965">
        <v>457.73127643219959</v>
      </c>
      <c r="J49" s="965">
        <v>695.20940693988996</v>
      </c>
      <c r="K49" s="965">
        <v>339.10814806848464</v>
      </c>
      <c r="L49" s="965">
        <v>613.08619438292715</v>
      </c>
      <c r="N49" s="3">
        <v>2056</v>
      </c>
      <c r="O49" s="707">
        <f>C49*Compost!J48/100</f>
        <v>1796.9936432227987</v>
      </c>
      <c r="P49" s="1130">
        <f t="shared" si="0"/>
        <v>705.07360968515525</v>
      </c>
      <c r="Q49" s="1130">
        <f t="shared" si="1"/>
        <v>50.689882227867926</v>
      </c>
      <c r="R49" s="1130">
        <f t="shared" si="2"/>
        <v>288.48393065326968</v>
      </c>
      <c r="S49" s="1130">
        <f t="shared" si="3"/>
        <v>520.33947928709495</v>
      </c>
      <c r="T49" s="1130">
        <f t="shared" si="4"/>
        <v>231.88421755460996</v>
      </c>
      <c r="U49" s="1130">
        <f t="shared" si="5"/>
        <v>235.58299757842994</v>
      </c>
      <c r="V49" s="1130">
        <f t="shared" si="6"/>
        <v>290.84670973916502</v>
      </c>
      <c r="W49" s="1130">
        <f t="shared" si="7"/>
        <v>215.7446044987708</v>
      </c>
      <c r="X49" s="1130">
        <f t="shared" si="8"/>
        <v>141.75208482255331</v>
      </c>
      <c r="AA49" s="3">
        <v>2056</v>
      </c>
      <c r="AB49" s="1243">
        <f>C49*'H&amp;C Recycling'!M46/100</f>
        <v>1025.7650283728683</v>
      </c>
      <c r="AC49" s="1129">
        <f t="shared" si="9"/>
        <v>302.81809347933876</v>
      </c>
      <c r="AD49" s="1129">
        <f t="shared" si="10"/>
        <v>48.296420114366519</v>
      </c>
      <c r="AE49" s="1129">
        <f t="shared" si="11"/>
        <v>148.64993272112676</v>
      </c>
      <c r="AF49" s="1129">
        <f t="shared" si="12"/>
        <v>405.7937842869876</v>
      </c>
      <c r="AG49" s="1129">
        <f t="shared" si="13"/>
        <v>120.2067977710485</v>
      </c>
      <c r="AH49" s="528"/>
      <c r="AI49" s="528"/>
      <c r="AJ49" s="528"/>
      <c r="AK49" s="528"/>
      <c r="AM49" s="3">
        <v>2056</v>
      </c>
      <c r="AN49" s="707">
        <f t="shared" si="19"/>
        <v>920.90931516662636</v>
      </c>
      <c r="AO49" s="335">
        <f t="shared" si="19"/>
        <v>-254.07211705313358</v>
      </c>
      <c r="AP49" s="335">
        <f t="shared" si="19"/>
        <v>94.745739542858303</v>
      </c>
      <c r="AQ49" s="335">
        <f t="shared" si="19"/>
        <v>1131.2922596071141</v>
      </c>
      <c r="AR49" s="335">
        <f t="shared" si="19"/>
        <v>-31.28087391853262</v>
      </c>
      <c r="AS49" s="335">
        <f t="shared" si="18"/>
        <v>55.806044885827262</v>
      </c>
      <c r="AT49" s="335">
        <f t="shared" si="18"/>
        <v>222.14827885376965</v>
      </c>
      <c r="AU49" s="335">
        <f t="shared" si="18"/>
        <v>404.36269720072494</v>
      </c>
      <c r="AV49" s="335">
        <f t="shared" si="18"/>
        <v>123.36354356971384</v>
      </c>
      <c r="AW49" s="335">
        <f t="shared" si="18"/>
        <v>471.3341095603738</v>
      </c>
      <c r="AY49" s="3">
        <v>2056</v>
      </c>
      <c r="AZ49" s="707">
        <f>C49*Bioplastics!AL54</f>
        <v>717.60021807426597</v>
      </c>
      <c r="BD49" s="3">
        <v>2056</v>
      </c>
      <c r="BE49" s="1131">
        <f t="shared" si="15"/>
        <v>0.48000881744241602</v>
      </c>
      <c r="BF49" s="1131">
        <f t="shared" si="16"/>
        <v>0.27399999999999997</v>
      </c>
      <c r="BG49" s="1131">
        <f t="shared" si="17"/>
        <v>0.24599118255758404</v>
      </c>
    </row>
    <row r="50" spans="1:60" ht="14.4" x14ac:dyDescent="0.55000000000000004">
      <c r="B50" s="3">
        <v>2057</v>
      </c>
      <c r="C50" s="707">
        <v>3784.60177977586</v>
      </c>
      <c r="D50" s="965">
        <v>755.8960025178485</v>
      </c>
      <c r="E50" s="965">
        <v>194.84196707118036</v>
      </c>
      <c r="F50" s="965">
        <v>1580.146738015866</v>
      </c>
      <c r="G50" s="965">
        <v>916.40628645906054</v>
      </c>
      <c r="H50" s="965">
        <v>410.68775063925852</v>
      </c>
      <c r="I50" s="965">
        <v>461.15997513206622</v>
      </c>
      <c r="J50" s="965">
        <v>707.33177151844416</v>
      </c>
      <c r="K50" s="965">
        <v>341.36540754545945</v>
      </c>
      <c r="L50" s="965">
        <v>627.19116368028972</v>
      </c>
      <c r="N50" s="3">
        <v>2057</v>
      </c>
      <c r="O50" s="707">
        <f>C50*Compost!J49/100</f>
        <v>1816.8391282261741</v>
      </c>
      <c r="P50" s="1130">
        <f t="shared" si="0"/>
        <v>712.86024142982171</v>
      </c>
      <c r="Q50" s="1130">
        <f t="shared" si="1"/>
        <v>51.249686822263641</v>
      </c>
      <c r="R50" s="1130">
        <f t="shared" si="2"/>
        <v>291.66986486126535</v>
      </c>
      <c r="S50" s="1130">
        <f t="shared" si="3"/>
        <v>526.08596001161027</v>
      </c>
      <c r="T50" s="1130">
        <f t="shared" si="4"/>
        <v>234.44508068250968</v>
      </c>
      <c r="U50" s="1130">
        <f t="shared" si="5"/>
        <v>238.18470897742421</v>
      </c>
      <c r="V50" s="1130">
        <f t="shared" si="6"/>
        <v>294.05873780513963</v>
      </c>
      <c r="W50" s="1130">
        <f t="shared" si="7"/>
        <v>218.12722634570221</v>
      </c>
      <c r="X50" s="1130">
        <f t="shared" si="8"/>
        <v>143.31755439677951</v>
      </c>
      <c r="AA50" s="3">
        <v>2057</v>
      </c>
      <c r="AB50" s="1243">
        <f>C50*'H&amp;C Recycling'!M47/100</f>
        <v>1029.7901442770117</v>
      </c>
      <c r="AC50" s="1129">
        <f t="shared" si="9"/>
        <v>304.00635579128317</v>
      </c>
      <c r="AD50" s="1129">
        <f t="shared" si="10"/>
        <v>48.485935922898122</v>
      </c>
      <c r="AE50" s="1129">
        <f t="shared" si="11"/>
        <v>149.23323707621358</v>
      </c>
      <c r="AF50" s="1129">
        <f t="shared" si="12"/>
        <v>407.38612460836418</v>
      </c>
      <c r="AG50" s="1129">
        <f t="shared" si="13"/>
        <v>120.67849087825249</v>
      </c>
      <c r="AH50" s="528"/>
      <c r="AI50" s="528"/>
      <c r="AJ50" s="528"/>
      <c r="AK50" s="528"/>
      <c r="AM50" s="3">
        <v>2057</v>
      </c>
      <c r="AN50" s="707">
        <f t="shared" si="19"/>
        <v>937.97250727267419</v>
      </c>
      <c r="AO50" s="335">
        <f t="shared" si="19"/>
        <v>-260.97059470325638</v>
      </c>
      <c r="AP50" s="335">
        <f t="shared" si="19"/>
        <v>95.106344326018601</v>
      </c>
      <c r="AQ50" s="335">
        <f t="shared" si="19"/>
        <v>1139.2436360783872</v>
      </c>
      <c r="AR50" s="335">
        <f t="shared" si="19"/>
        <v>-17.065798160913914</v>
      </c>
      <c r="AS50" s="335">
        <f t="shared" si="18"/>
        <v>55.564179078496352</v>
      </c>
      <c r="AT50" s="335">
        <f t="shared" si="18"/>
        <v>222.97526615464201</v>
      </c>
      <c r="AU50" s="335">
        <f t="shared" si="18"/>
        <v>413.27303371330453</v>
      </c>
      <c r="AV50" s="335">
        <f t="shared" si="18"/>
        <v>123.23818119975724</v>
      </c>
      <c r="AW50" s="335">
        <f t="shared" si="18"/>
        <v>483.87360928351018</v>
      </c>
      <c r="AY50" s="3">
        <v>2057</v>
      </c>
      <c r="AZ50" s="707">
        <f>C50*Bioplastics!AL55</f>
        <v>734.14959328701536</v>
      </c>
      <c r="BD50" s="3">
        <v>2057</v>
      </c>
      <c r="BE50" s="1131">
        <f t="shared" si="15"/>
        <v>0.48006084495731938</v>
      </c>
      <c r="BF50" s="1131">
        <f t="shared" si="16"/>
        <v>0.27210000000000006</v>
      </c>
      <c r="BG50" s="1131">
        <f t="shared" si="17"/>
        <v>0.24783915504268056</v>
      </c>
    </row>
    <row r="51" spans="1:60" ht="14.4" x14ac:dyDescent="0.55000000000000004">
      <c r="B51" s="3">
        <v>2058</v>
      </c>
      <c r="C51" s="707">
        <v>3825.4689224921226</v>
      </c>
      <c r="D51" s="965">
        <v>757.84029838491983</v>
      </c>
      <c r="E51" s="965">
        <v>195.99698262044117</v>
      </c>
      <c r="F51" s="965">
        <v>1591.5781930451988</v>
      </c>
      <c r="G51" s="965">
        <v>938.3482864819465</v>
      </c>
      <c r="H51" s="965">
        <v>413.46357838780892</v>
      </c>
      <c r="I51" s="965">
        <v>464.58867383193285</v>
      </c>
      <c r="J51" s="965">
        <v>719.45413609699813</v>
      </c>
      <c r="K51" s="965">
        <v>343.62266702243414</v>
      </c>
      <c r="L51" s="965">
        <v>641.56503909133596</v>
      </c>
      <c r="N51" s="3">
        <v>2058</v>
      </c>
      <c r="O51" s="707">
        <f>C51*Compost!J50/100</f>
        <v>1836.6393196676845</v>
      </c>
      <c r="P51" s="1130">
        <f t="shared" si="0"/>
        <v>720.62910166189545</v>
      </c>
      <c r="Q51" s="1130">
        <f t="shared" si="1"/>
        <v>51.808213768669184</v>
      </c>
      <c r="R51" s="1130">
        <f t="shared" si="2"/>
        <v>294.84852777767389</v>
      </c>
      <c r="S51" s="1130">
        <f t="shared" si="3"/>
        <v>531.81932548194254</v>
      </c>
      <c r="T51" s="1130">
        <f t="shared" si="4"/>
        <v>237.00009912520812</v>
      </c>
      <c r="U51" s="1130">
        <f t="shared" si="5"/>
        <v>240.78048246277282</v>
      </c>
      <c r="V51" s="1130">
        <f t="shared" si="6"/>
        <v>297.26343502523707</v>
      </c>
      <c r="W51" s="1130">
        <f t="shared" si="7"/>
        <v>220.50441030940698</v>
      </c>
      <c r="X51" s="1130">
        <f t="shared" si="8"/>
        <v>144.87945108311729</v>
      </c>
      <c r="AA51" s="3">
        <v>2058</v>
      </c>
      <c r="AB51" s="1243">
        <f>C51*'H&amp;C Recycling'!M48/100</f>
        <v>1033.6417028573715</v>
      </c>
      <c r="AC51" s="1129">
        <f t="shared" si="9"/>
        <v>305.14338190737004</v>
      </c>
      <c r="AD51" s="1129">
        <f t="shared" si="10"/>
        <v>48.667280076916725</v>
      </c>
      <c r="AE51" s="1129">
        <f t="shared" si="11"/>
        <v>149.79139016976382</v>
      </c>
      <c r="AF51" s="1129">
        <f t="shared" si="12"/>
        <v>408.90980545972485</v>
      </c>
      <c r="AG51" s="1129">
        <f t="shared" si="13"/>
        <v>121.12984524359585</v>
      </c>
      <c r="AH51" s="528"/>
      <c r="AI51" s="528"/>
      <c r="AJ51" s="528"/>
      <c r="AK51" s="528"/>
      <c r="AM51" s="3">
        <v>2058</v>
      </c>
      <c r="AN51" s="707">
        <f t="shared" si="19"/>
        <v>955.18789996706664</v>
      </c>
      <c r="AO51" s="335">
        <f t="shared" si="19"/>
        <v>-267.93218518434566</v>
      </c>
      <c r="AP51" s="335">
        <f t="shared" si="19"/>
        <v>95.521488774855257</v>
      </c>
      <c r="AQ51" s="335">
        <f t="shared" si="19"/>
        <v>1146.9382750977611</v>
      </c>
      <c r="AR51" s="335">
        <f t="shared" si="19"/>
        <v>-2.3808444597208904</v>
      </c>
      <c r="AS51" s="335">
        <f t="shared" si="18"/>
        <v>55.333634019004947</v>
      </c>
      <c r="AT51" s="335">
        <f t="shared" si="18"/>
        <v>223.80819136916003</v>
      </c>
      <c r="AU51" s="335">
        <f t="shared" si="18"/>
        <v>422.19070107176105</v>
      </c>
      <c r="AV51" s="335">
        <f t="shared" si="18"/>
        <v>123.11825671302717</v>
      </c>
      <c r="AW51" s="335">
        <f t="shared" si="18"/>
        <v>496.6855880082187</v>
      </c>
      <c r="AY51" s="3">
        <v>2058</v>
      </c>
      <c r="AZ51" s="707">
        <f>C51*Bioplastics!AL56</f>
        <v>750.90298989785902</v>
      </c>
      <c r="BD51" s="3">
        <v>2058</v>
      </c>
      <c r="BE51" s="1131">
        <f t="shared" si="15"/>
        <v>0.4801082839463236</v>
      </c>
      <c r="BF51" s="1131">
        <f t="shared" si="16"/>
        <v>0.2702</v>
      </c>
      <c r="BG51" s="1131">
        <f t="shared" si="17"/>
        <v>0.24969171605367643</v>
      </c>
      <c r="BH51" s="1132"/>
    </row>
    <row r="52" spans="1:60" ht="14.4" x14ac:dyDescent="0.55000000000000004">
      <c r="B52" s="3">
        <v>2059</v>
      </c>
      <c r="C52" s="707">
        <v>3866.2765840017541</v>
      </c>
      <c r="D52" s="965">
        <v>759.64844617376582</v>
      </c>
      <c r="E52" s="965">
        <v>197.20064640570544</v>
      </c>
      <c r="F52" s="965">
        <v>1602.7220074820641</v>
      </c>
      <c r="G52" s="965">
        <v>960.68728170286556</v>
      </c>
      <c r="H52" s="965">
        <v>416.2275783625779</v>
      </c>
      <c r="I52" s="965">
        <v>468.01737253179954</v>
      </c>
      <c r="J52" s="965">
        <v>731.57650067555232</v>
      </c>
      <c r="K52" s="965">
        <v>345.87992649940895</v>
      </c>
      <c r="L52" s="965">
        <v>656.20782061606587</v>
      </c>
      <c r="N52" s="3">
        <v>2059</v>
      </c>
      <c r="O52" s="707">
        <f>C52*Compost!J51/100</f>
        <v>1856.3986493000657</v>
      </c>
      <c r="P52" s="1130">
        <f t="shared" si="0"/>
        <v>728.38192923666418</v>
      </c>
      <c r="Q52" s="1130">
        <f t="shared" si="1"/>
        <v>52.365588078669923</v>
      </c>
      <c r="R52" s="1130">
        <f t="shared" si="2"/>
        <v>298.02063086269084</v>
      </c>
      <c r="S52" s="1130">
        <f t="shared" si="3"/>
        <v>537.54085896134654</v>
      </c>
      <c r="T52" s="1130">
        <f t="shared" si="4"/>
        <v>239.54984475646756</v>
      </c>
      <c r="U52" s="1130">
        <f t="shared" si="5"/>
        <v>243.37089903018386</v>
      </c>
      <c r="V52" s="1130">
        <f t="shared" si="6"/>
        <v>300.46151868674792</v>
      </c>
      <c r="W52" s="1130">
        <f t="shared" si="7"/>
        <v>222.87668846007062</v>
      </c>
      <c r="X52" s="1130">
        <f t="shared" si="8"/>
        <v>146.43812447111148</v>
      </c>
      <c r="AA52" s="3">
        <v>2059</v>
      </c>
      <c r="AB52" s="1243">
        <f>C52*'H&amp;C Recycling'!M49/100</f>
        <v>1037.3220074876706</v>
      </c>
      <c r="AC52" s="1129">
        <f t="shared" si="9"/>
        <v>306.22985181104593</v>
      </c>
      <c r="AD52" s="1129">
        <f t="shared" si="10"/>
        <v>48.84056102689776</v>
      </c>
      <c r="AE52" s="1129">
        <f t="shared" si="11"/>
        <v>150.32472579786085</v>
      </c>
      <c r="AF52" s="1129">
        <f t="shared" si="12"/>
        <v>410.36573805827231</v>
      </c>
      <c r="AG52" s="1129">
        <f t="shared" si="13"/>
        <v>121.56113079359358</v>
      </c>
      <c r="AH52" s="528"/>
      <c r="AI52" s="528"/>
      <c r="AJ52" s="528"/>
      <c r="AK52" s="528"/>
      <c r="AM52" s="3">
        <v>2059</v>
      </c>
      <c r="AN52" s="707">
        <f t="shared" si="19"/>
        <v>972.55592721401786</v>
      </c>
      <c r="AO52" s="335">
        <f t="shared" si="19"/>
        <v>-274.96333487394429</v>
      </c>
      <c r="AP52" s="335">
        <f t="shared" si="19"/>
        <v>95.994497300137752</v>
      </c>
      <c r="AQ52" s="335">
        <f t="shared" si="19"/>
        <v>1154.3766508215124</v>
      </c>
      <c r="AR52" s="335">
        <f t="shared" si="19"/>
        <v>12.780684683246704</v>
      </c>
      <c r="AS52" s="335">
        <f t="shared" si="18"/>
        <v>55.11660281251676</v>
      </c>
      <c r="AT52" s="335">
        <f t="shared" si="18"/>
        <v>224.64647350161567</v>
      </c>
      <c r="AU52" s="335">
        <f t="shared" si="18"/>
        <v>431.1149819888044</v>
      </c>
      <c r="AV52" s="335">
        <f t="shared" si="18"/>
        <v>123.00323803933833</v>
      </c>
      <c r="AW52" s="335">
        <f t="shared" si="18"/>
        <v>509.76969614495442</v>
      </c>
      <c r="AY52" s="3">
        <v>2059</v>
      </c>
      <c r="AZ52" s="707">
        <f>C52*Bioplastics!AL57</f>
        <v>767.85733242118249</v>
      </c>
      <c r="BD52" s="3">
        <v>2059</v>
      </c>
      <c r="BE52" s="1131">
        <f t="shared" si="15"/>
        <v>0.48015153829957435</v>
      </c>
      <c r="BF52" s="1131">
        <f t="shared" si="16"/>
        <v>0.26829999999999998</v>
      </c>
      <c r="BG52" s="1131">
        <f t="shared" si="17"/>
        <v>0.25154846170042566</v>
      </c>
      <c r="BH52" s="1132"/>
    </row>
    <row r="53" spans="1:60" ht="14.4" x14ac:dyDescent="0.55000000000000004">
      <c r="B53" s="3">
        <v>2060</v>
      </c>
      <c r="C53" s="707">
        <v>3907.0319333954285</v>
      </c>
      <c r="D53" s="965">
        <v>761.31641834557797</v>
      </c>
      <c r="E53" s="965">
        <v>198.45651629980361</v>
      </c>
      <c r="F53" s="965">
        <v>1613.5797007390161</v>
      </c>
      <c r="G53" s="965">
        <v>983.43216410047501</v>
      </c>
      <c r="H53" s="965">
        <v>418.98278546900627</v>
      </c>
      <c r="I53" s="965">
        <v>471.44607123166622</v>
      </c>
      <c r="J53" s="965">
        <v>743.69886525410629</v>
      </c>
      <c r="K53" s="965">
        <v>348.13718597638371</v>
      </c>
      <c r="L53" s="965">
        <v>671.11950825447934</v>
      </c>
      <c r="N53" s="3">
        <v>2060</v>
      </c>
      <c r="O53" s="707">
        <f>C53*Compost!J52/100</f>
        <v>1876.1214792735909</v>
      </c>
      <c r="P53" s="1130">
        <f t="shared" si="0"/>
        <v>736.12043569999275</v>
      </c>
      <c r="Q53" s="1130">
        <f t="shared" si="1"/>
        <v>52.921932800493906</v>
      </c>
      <c r="R53" s="1130">
        <f t="shared" si="2"/>
        <v>301.18687440274283</v>
      </c>
      <c r="S53" s="1130">
        <f t="shared" si="3"/>
        <v>543.25182355891002</v>
      </c>
      <c r="T53" s="1130">
        <f t="shared" si="4"/>
        <v>242.09488046854241</v>
      </c>
      <c r="U53" s="1130">
        <f t="shared" si="5"/>
        <v>245.95653055059358</v>
      </c>
      <c r="V53" s="1130">
        <f t="shared" si="6"/>
        <v>303.65369481167681</v>
      </c>
      <c r="W53" s="1130">
        <f t="shared" si="7"/>
        <v>225.2445845115021</v>
      </c>
      <c r="X53" s="1130">
        <f t="shared" si="8"/>
        <v>147.99391865986217</v>
      </c>
      <c r="AA53" s="3">
        <v>2060</v>
      </c>
      <c r="AB53" s="1243">
        <f>C53*'H&amp;C Recycling'!M50/100</f>
        <v>1040.833307056542</v>
      </c>
      <c r="AC53" s="1129">
        <f t="shared" si="9"/>
        <v>307.26642940110776</v>
      </c>
      <c r="AD53" s="1129">
        <f t="shared" si="10"/>
        <v>49.005884657977887</v>
      </c>
      <c r="AE53" s="1129">
        <f t="shared" si="11"/>
        <v>150.83356986081787</v>
      </c>
      <c r="AF53" s="1129">
        <f t="shared" si="12"/>
        <v>411.75481206684697</v>
      </c>
      <c r="AG53" s="1129">
        <f t="shared" si="13"/>
        <v>121.97261106979137</v>
      </c>
      <c r="AH53" s="528"/>
      <c r="AI53" s="528"/>
      <c r="AJ53" s="528"/>
      <c r="AK53" s="528"/>
      <c r="AM53" s="3">
        <v>2060</v>
      </c>
      <c r="AN53" s="707">
        <f t="shared" si="19"/>
        <v>990.07714706529555</v>
      </c>
      <c r="AO53" s="335">
        <f t="shared" si="19"/>
        <v>-282.07044675552254</v>
      </c>
      <c r="AP53" s="335">
        <f t="shared" si="19"/>
        <v>96.528698841331803</v>
      </c>
      <c r="AQ53" s="335">
        <f t="shared" si="19"/>
        <v>1161.5592564754552</v>
      </c>
      <c r="AR53" s="335">
        <f t="shared" si="19"/>
        <v>28.425528474718021</v>
      </c>
      <c r="AS53" s="335">
        <f t="shared" si="18"/>
        <v>54.91529393067249</v>
      </c>
      <c r="AT53" s="335">
        <f t="shared" si="18"/>
        <v>225.48954068107264</v>
      </c>
      <c r="AU53" s="335">
        <f t="shared" si="18"/>
        <v>440.04517044242948</v>
      </c>
      <c r="AV53" s="335">
        <f t="shared" si="18"/>
        <v>122.89260146488161</v>
      </c>
      <c r="AW53" s="335">
        <f t="shared" si="18"/>
        <v>523.12558959461717</v>
      </c>
      <c r="AY53" s="3">
        <v>2060</v>
      </c>
      <c r="AZ53" s="707">
        <f>C53*Bioplastics!AL58</f>
        <v>785.00956045281566</v>
      </c>
      <c r="BD53" s="3">
        <v>2060</v>
      </c>
      <c r="BE53" s="1131">
        <f t="shared" si="15"/>
        <v>0.48019097648969988</v>
      </c>
      <c r="BF53" s="1131">
        <f t="shared" si="16"/>
        <v>0.26639999999999997</v>
      </c>
      <c r="BG53" s="1131">
        <f t="shared" si="17"/>
        <v>0.25340902351030015</v>
      </c>
      <c r="BH53" s="1132"/>
    </row>
    <row r="56" spans="1:60" ht="22.5" x14ac:dyDescent="0.75">
      <c r="A56" s="336" t="s">
        <v>146</v>
      </c>
    </row>
    <row r="57" spans="1:60" ht="200.05" customHeight="1" x14ac:dyDescent="0.4">
      <c r="B57" s="1280" t="s">
        <v>466</v>
      </c>
      <c r="C57" s="1281"/>
      <c r="D57" s="341"/>
      <c r="E57" s="1280" t="s">
        <v>467</v>
      </c>
      <c r="F57" s="1281"/>
      <c r="H57" s="1280" t="s">
        <v>468</v>
      </c>
      <c r="I57" s="1281"/>
      <c r="L57" s="1280" t="s">
        <v>469</v>
      </c>
      <c r="M57" s="1281"/>
      <c r="Q57" s="1280" t="s">
        <v>1093</v>
      </c>
      <c r="R57" s="1281"/>
      <c r="T57" s="639" t="s">
        <v>470</v>
      </c>
      <c r="U57" s="1248"/>
      <c r="W57" s="1275" t="s">
        <v>471</v>
      </c>
      <c r="X57" s="1276"/>
      <c r="Y57" s="1247"/>
      <c r="AA57" s="1275" t="s">
        <v>1031</v>
      </c>
      <c r="AB57" s="1276"/>
      <c r="AD57" s="1275" t="s">
        <v>1095</v>
      </c>
      <c r="AE57" s="1276"/>
      <c r="AG57" s="1275" t="s">
        <v>472</v>
      </c>
      <c r="AH57" s="1276"/>
      <c r="AK57" s="1275" t="s">
        <v>473</v>
      </c>
      <c r="AL57" s="1276"/>
      <c r="AM57" s="1276"/>
      <c r="AN57" s="1276"/>
    </row>
    <row r="58" spans="1:60" ht="135.30000000000001" x14ac:dyDescent="0.4">
      <c r="B58" s="641" t="s">
        <v>148</v>
      </c>
      <c r="C58" s="641"/>
      <c r="D58" s="341"/>
      <c r="E58" s="340" t="s">
        <v>125</v>
      </c>
      <c r="F58" s="340" t="s">
        <v>149</v>
      </c>
      <c r="G58" s="341"/>
      <c r="H58" s="340" t="s">
        <v>126</v>
      </c>
      <c r="I58" s="341"/>
      <c r="J58" s="341"/>
      <c r="K58" s="341"/>
      <c r="L58" s="641" t="s">
        <v>488</v>
      </c>
      <c r="M58" s="641"/>
      <c r="N58" s="341"/>
      <c r="O58" s="341"/>
      <c r="P58" s="341"/>
      <c r="Q58" s="1198" t="s">
        <v>127</v>
      </c>
      <c r="R58" s="641"/>
      <c r="S58" s="341"/>
      <c r="T58" s="340" t="s">
        <v>128</v>
      </c>
      <c r="U58" s="340" t="s">
        <v>149</v>
      </c>
      <c r="V58" s="341"/>
      <c r="W58" s="641" t="s">
        <v>129</v>
      </c>
      <c r="X58" s="641"/>
      <c r="Y58" s="340" t="s">
        <v>149</v>
      </c>
      <c r="Z58" s="341"/>
      <c r="AA58" s="641" t="s">
        <v>130</v>
      </c>
      <c r="AB58" s="641"/>
      <c r="AD58" s="641" t="s">
        <v>150</v>
      </c>
      <c r="AE58" s="641"/>
      <c r="AF58" s="341"/>
      <c r="AG58" s="1173" t="s">
        <v>131</v>
      </c>
      <c r="AH58" s="341"/>
    </row>
    <row r="59" spans="1:60" x14ac:dyDescent="0.4">
      <c r="B59" s="2"/>
      <c r="C59" s="334" t="s">
        <v>147</v>
      </c>
      <c r="E59" s="2"/>
      <c r="F59" s="334" t="s">
        <v>115</v>
      </c>
      <c r="H59" s="2"/>
      <c r="I59" s="334" t="s">
        <v>115</v>
      </c>
      <c r="L59" s="2"/>
      <c r="M59" s="334" t="s">
        <v>115</v>
      </c>
      <c r="Q59" s="2"/>
      <c r="R59" s="334" t="s">
        <v>115</v>
      </c>
      <c r="T59" s="2"/>
      <c r="U59" s="334" t="s">
        <v>115</v>
      </c>
      <c r="W59" s="2"/>
      <c r="X59" s="342"/>
      <c r="Y59" s="334" t="s">
        <v>115</v>
      </c>
      <c r="AA59" s="2"/>
      <c r="AB59" s="334" t="s">
        <v>115</v>
      </c>
      <c r="AD59" s="2"/>
      <c r="AE59" s="334" t="s">
        <v>115</v>
      </c>
      <c r="AG59" s="2"/>
      <c r="AH59" s="334" t="s">
        <v>115</v>
      </c>
      <c r="AK59" s="2" t="s">
        <v>114</v>
      </c>
      <c r="AL59" s="334" t="s">
        <v>156</v>
      </c>
      <c r="AM59" s="2" t="s">
        <v>157</v>
      </c>
      <c r="AN59" s="2" t="s">
        <v>158</v>
      </c>
    </row>
    <row r="60" spans="1:60" ht="14.4" x14ac:dyDescent="0.55000000000000004">
      <c r="B60" s="3">
        <v>2014</v>
      </c>
      <c r="C60" s="707">
        <f>'Food System Summary'!F12</f>
        <v>-2.3841857910156249E-13</v>
      </c>
      <c r="E60" s="3">
        <v>2014</v>
      </c>
      <c r="F60" s="335">
        <f t="shared" ref="F60:F106" si="20">C7-C60</f>
        <v>1773.3333333333335</v>
      </c>
      <c r="H60" s="3">
        <v>2014</v>
      </c>
      <c r="I60" s="335">
        <f t="shared" ref="I60:I106" si="21">O7-C60</f>
        <v>804.14197831832132</v>
      </c>
      <c r="L60" s="3">
        <v>2014</v>
      </c>
      <c r="M60" s="707">
        <f>Bioplastics!B60</f>
        <v>1.67</v>
      </c>
      <c r="Q60" s="3">
        <v>2014</v>
      </c>
      <c r="R60" s="1197">
        <v>0.39100000000000001</v>
      </c>
      <c r="T60" s="3">
        <v>2014</v>
      </c>
      <c r="U60" s="335">
        <f t="shared" ref="U60:U106" si="22">F60</f>
        <v>1773.3333333333335</v>
      </c>
      <c r="W60" s="3">
        <v>2014</v>
      </c>
      <c r="X60" s="343"/>
      <c r="Y60" s="335">
        <f t="shared" ref="Y60:Y106" si="23">I60+R60*M60</f>
        <v>804.7949483183213</v>
      </c>
      <c r="AA60" s="3">
        <v>2014</v>
      </c>
      <c r="AB60" s="335">
        <f t="shared" ref="AB60:AB106" si="24">AB7-M60*R60</f>
        <v>626.75236333333328</v>
      </c>
      <c r="AD60" s="3">
        <v>2014</v>
      </c>
      <c r="AE60" s="335">
        <f t="shared" ref="AE60:AE106" si="25">U60-Y60-AB60</f>
        <v>341.7860216816789</v>
      </c>
      <c r="AG60" s="3">
        <v>2014</v>
      </c>
      <c r="AH60" s="335">
        <f t="shared" ref="AH60:AH106" si="26">AZ7-M60</f>
        <v>239.52999999999997</v>
      </c>
      <c r="AK60" s="3">
        <v>2014</v>
      </c>
      <c r="AL60" s="338">
        <f t="shared" ref="AL60:AL106" si="27">Y60/U60</f>
        <v>0.4538317377734894</v>
      </c>
      <c r="AM60" s="338">
        <f t="shared" ref="AM60:AM106" si="28">AB60/U60</f>
        <v>0.3534317838345864</v>
      </c>
      <c r="AN60" s="338">
        <f t="shared" ref="AN60:AN106" si="29">AE60/U60</f>
        <v>0.19273647839192418</v>
      </c>
    </row>
    <row r="61" spans="1:60" ht="14.4" x14ac:dyDescent="0.55000000000000004">
      <c r="B61" s="3">
        <v>2015</v>
      </c>
      <c r="C61" s="707">
        <f>'Food System Summary'!F13</f>
        <v>0</v>
      </c>
      <c r="E61" s="3">
        <v>2015</v>
      </c>
      <c r="F61" s="335">
        <f t="shared" si="20"/>
        <v>1891.6666666666667</v>
      </c>
      <c r="H61" s="3">
        <v>2015</v>
      </c>
      <c r="I61" s="335">
        <f t="shared" si="21"/>
        <v>862.10382892596351</v>
      </c>
      <c r="L61" s="3">
        <v>2015</v>
      </c>
      <c r="M61" s="707">
        <v>2.1702979421864401</v>
      </c>
      <c r="Q61" s="3">
        <v>2015</v>
      </c>
      <c r="R61" s="1197">
        <v>0.36300000000000004</v>
      </c>
      <c r="T61" s="3">
        <v>2015</v>
      </c>
      <c r="U61" s="335">
        <f t="shared" si="22"/>
        <v>1891.6666666666667</v>
      </c>
      <c r="W61" s="3">
        <v>2015</v>
      </c>
      <c r="X61" s="343"/>
      <c r="Y61" s="335">
        <f t="shared" si="23"/>
        <v>862.89164707897714</v>
      </c>
      <c r="AA61" s="3">
        <v>2015</v>
      </c>
      <c r="AB61" s="335">
        <f t="shared" si="24"/>
        <v>664.88968184698638</v>
      </c>
      <c r="AD61" s="3">
        <v>2015</v>
      </c>
      <c r="AE61" s="335">
        <f t="shared" si="25"/>
        <v>363.88533774070333</v>
      </c>
      <c r="AG61" s="3">
        <v>2015</v>
      </c>
      <c r="AH61" s="335">
        <f t="shared" si="26"/>
        <v>247.56089176842445</v>
      </c>
      <c r="AK61" s="3">
        <v>2015</v>
      </c>
      <c r="AL61" s="338">
        <f t="shared" si="27"/>
        <v>0.45615417466730068</v>
      </c>
      <c r="AM61" s="338">
        <f t="shared" si="28"/>
        <v>0.35148353225391349</v>
      </c>
      <c r="AN61" s="338">
        <f t="shared" si="29"/>
        <v>0.19236229307878588</v>
      </c>
    </row>
    <row r="62" spans="1:60" ht="14.4" x14ac:dyDescent="0.55000000000000004">
      <c r="B62" s="3">
        <v>2016</v>
      </c>
      <c r="C62" s="707">
        <f>'Food System Summary'!F14</f>
        <v>0</v>
      </c>
      <c r="E62" s="3">
        <v>2016</v>
      </c>
      <c r="F62" s="335">
        <f t="shared" si="20"/>
        <v>2009.9999999999998</v>
      </c>
      <c r="H62" s="3">
        <v>2016</v>
      </c>
      <c r="I62" s="335">
        <f t="shared" si="21"/>
        <v>924.59999999999991</v>
      </c>
      <c r="L62" s="3">
        <v>2016</v>
      </c>
      <c r="M62" s="707">
        <f>Bioplastics!B62</f>
        <v>2.0499999999999998</v>
      </c>
      <c r="Q62" s="3">
        <v>2016</v>
      </c>
      <c r="R62" s="1197">
        <v>0.36899999999999999</v>
      </c>
      <c r="T62" s="3">
        <v>2016</v>
      </c>
      <c r="U62" s="335">
        <f t="shared" si="22"/>
        <v>2009.9999999999998</v>
      </c>
      <c r="W62" s="3">
        <v>2016</v>
      </c>
      <c r="X62" s="343"/>
      <c r="Y62" s="335">
        <f t="shared" si="23"/>
        <v>925.35644999999988</v>
      </c>
      <c r="AA62" s="3">
        <v>2016</v>
      </c>
      <c r="AB62" s="335">
        <f t="shared" si="24"/>
        <v>702.74354999999991</v>
      </c>
      <c r="AD62" s="3">
        <v>2016</v>
      </c>
      <c r="AE62" s="335">
        <f t="shared" si="25"/>
        <v>381.89999999999986</v>
      </c>
      <c r="AG62" s="3">
        <v>2016</v>
      </c>
      <c r="AH62" s="335">
        <f t="shared" si="26"/>
        <v>257.7635048231511</v>
      </c>
      <c r="AK62" s="3">
        <v>2016</v>
      </c>
      <c r="AL62" s="338">
        <f t="shared" si="27"/>
        <v>0.46037634328358207</v>
      </c>
      <c r="AM62" s="338">
        <f t="shared" si="28"/>
        <v>0.34962365671641793</v>
      </c>
      <c r="AN62" s="338">
        <f t="shared" si="29"/>
        <v>0.18999999999999995</v>
      </c>
    </row>
    <row r="63" spans="1:60" ht="14.4" x14ac:dyDescent="0.55000000000000004">
      <c r="B63" s="3">
        <v>2017</v>
      </c>
      <c r="C63" s="707">
        <f>'Food System Summary'!F15</f>
        <v>2.3841857910156249E-13</v>
      </c>
      <c r="E63" s="3">
        <v>2017</v>
      </c>
      <c r="F63" s="335">
        <f t="shared" si="20"/>
        <v>2111.0920259528002</v>
      </c>
      <c r="H63" s="3">
        <v>2017</v>
      </c>
      <c r="I63" s="335">
        <f t="shared" si="21"/>
        <v>970.58688076320266</v>
      </c>
      <c r="L63" s="3">
        <v>2017</v>
      </c>
      <c r="M63" s="707">
        <f>Bioplastics!B63</f>
        <v>2.27</v>
      </c>
      <c r="Q63" s="3">
        <v>2017</v>
      </c>
      <c r="R63" s="1197">
        <v>0.38700000000000001</v>
      </c>
      <c r="T63" s="3">
        <v>2017</v>
      </c>
      <c r="U63" s="335">
        <f t="shared" si="22"/>
        <v>2111.0920259528002</v>
      </c>
      <c r="W63" s="3">
        <v>2017</v>
      </c>
      <c r="X63" s="343"/>
      <c r="Y63" s="335">
        <f t="shared" si="23"/>
        <v>971.46537076320271</v>
      </c>
      <c r="AA63" s="3">
        <v>2017</v>
      </c>
      <c r="AB63" s="335">
        <f t="shared" si="24"/>
        <v>733.99264423416992</v>
      </c>
      <c r="AD63" s="3">
        <v>2017</v>
      </c>
      <c r="AE63" s="335">
        <f t="shared" si="25"/>
        <v>405.63401095542747</v>
      </c>
      <c r="AG63" s="3">
        <v>2017</v>
      </c>
      <c r="AH63" s="335">
        <f t="shared" si="26"/>
        <v>266.07098638078583</v>
      </c>
      <c r="AK63" s="3">
        <v>2017</v>
      </c>
      <c r="AL63" s="338">
        <f t="shared" si="27"/>
        <v>0.46017196731381277</v>
      </c>
      <c r="AM63" s="338">
        <f t="shared" si="28"/>
        <v>0.34768386939593343</v>
      </c>
      <c r="AN63" s="338">
        <f t="shared" si="29"/>
        <v>0.19214416329025377</v>
      </c>
    </row>
    <row r="64" spans="1:60" ht="14.4" x14ac:dyDescent="0.55000000000000004">
      <c r="B64" s="3">
        <v>2018</v>
      </c>
      <c r="C64" s="707">
        <f>'Food System Summary'!F16</f>
        <v>0</v>
      </c>
      <c r="E64" s="3">
        <v>2018</v>
      </c>
      <c r="F64" s="335">
        <f t="shared" si="20"/>
        <v>2147.6619980403138</v>
      </c>
      <c r="H64" s="3">
        <v>2018</v>
      </c>
      <c r="I64" s="335">
        <f t="shared" si="21"/>
        <v>991.19935384999405</v>
      </c>
      <c r="L64" s="3">
        <v>2018</v>
      </c>
      <c r="M64" s="707">
        <f>Bioplastics!B64</f>
        <v>2.1100000000000136</v>
      </c>
      <c r="Q64" s="3">
        <v>2018</v>
      </c>
      <c r="R64" s="1197">
        <v>0.43200000000000005</v>
      </c>
      <c r="T64" s="3">
        <v>2018</v>
      </c>
      <c r="U64" s="335">
        <f t="shared" si="22"/>
        <v>2147.6619980403138</v>
      </c>
      <c r="W64" s="3">
        <v>2018</v>
      </c>
      <c r="X64" s="343"/>
      <c r="Y64" s="335">
        <f t="shared" si="23"/>
        <v>992.11087384999405</v>
      </c>
      <c r="AA64" s="3">
        <v>2018</v>
      </c>
      <c r="AB64" s="335">
        <f t="shared" si="24"/>
        <v>742.60906372155671</v>
      </c>
      <c r="AD64" s="3">
        <v>2018</v>
      </c>
      <c r="AE64" s="335">
        <f t="shared" si="25"/>
        <v>412.94206046876309</v>
      </c>
      <c r="AG64" s="3">
        <v>2018</v>
      </c>
      <c r="AH64" s="335">
        <f t="shared" si="26"/>
        <v>274.63638293540413</v>
      </c>
      <c r="AK64" s="3">
        <v>2018</v>
      </c>
      <c r="AL64" s="338">
        <f t="shared" si="27"/>
        <v>0.46194926145514037</v>
      </c>
      <c r="AM64" s="338">
        <f t="shared" si="28"/>
        <v>0.34577557567213479</v>
      </c>
      <c r="AN64" s="338">
        <f t="shared" si="29"/>
        <v>0.19227516287272489</v>
      </c>
    </row>
    <row r="65" spans="2:40" ht="14.4" x14ac:dyDescent="0.55000000000000004">
      <c r="B65" s="3">
        <v>2019</v>
      </c>
      <c r="C65" s="707">
        <f>'Food System Summary'!F17</f>
        <v>53.117315912884713</v>
      </c>
      <c r="E65" s="3">
        <v>2019</v>
      </c>
      <c r="F65" s="335">
        <f t="shared" si="20"/>
        <v>2130.9140154638553</v>
      </c>
      <c r="H65" s="3">
        <v>2019</v>
      </c>
      <c r="I65" s="335">
        <f t="shared" si="21"/>
        <v>958.41546531854556</v>
      </c>
      <c r="L65" s="3">
        <v>2019</v>
      </c>
      <c r="M65" s="707">
        <f>Bioplastics!B65</f>
        <v>2.2120000000000175</v>
      </c>
      <c r="Q65" s="3">
        <v>2019</v>
      </c>
      <c r="R65" s="1197">
        <v>0.43442538507158451</v>
      </c>
      <c r="T65" s="3">
        <v>2019</v>
      </c>
      <c r="U65" s="335">
        <f t="shared" si="22"/>
        <v>2130.9140154638553</v>
      </c>
      <c r="W65" s="3">
        <v>2019</v>
      </c>
      <c r="X65" s="343"/>
      <c r="Y65" s="335">
        <f t="shared" si="23"/>
        <v>959.37641427032395</v>
      </c>
      <c r="AA65" s="3">
        <v>2019</v>
      </c>
      <c r="AB65" s="335">
        <f t="shared" si="24"/>
        <v>751.00103844123339</v>
      </c>
      <c r="AD65" s="3">
        <v>2019</v>
      </c>
      <c r="AE65" s="335">
        <f t="shared" si="25"/>
        <v>420.53656275229798</v>
      </c>
      <c r="AG65" s="3">
        <v>2019</v>
      </c>
      <c r="AH65" s="335">
        <f t="shared" si="26"/>
        <v>262.66872057439844</v>
      </c>
      <c r="AK65" s="3">
        <v>2019</v>
      </c>
      <c r="AL65" s="338">
        <f t="shared" si="27"/>
        <v>0.45021826657866709</v>
      </c>
      <c r="AM65" s="338">
        <f t="shared" si="28"/>
        <v>0.35243141346449691</v>
      </c>
      <c r="AN65" s="338">
        <f t="shared" si="29"/>
        <v>0.19735031995683597</v>
      </c>
    </row>
    <row r="66" spans="2:40" ht="14.4" x14ac:dyDescent="0.55000000000000004">
      <c r="B66" s="3">
        <v>2020</v>
      </c>
      <c r="C66" s="707">
        <f>'Food System Summary'!F18</f>
        <v>106.54635670267987</v>
      </c>
      <c r="E66" s="3">
        <v>2020</v>
      </c>
      <c r="F66" s="335">
        <f t="shared" si="20"/>
        <v>2114.0720543430284</v>
      </c>
      <c r="H66" s="3">
        <v>2020</v>
      </c>
      <c r="I66" s="335">
        <f t="shared" si="21"/>
        <v>925.2425794059169</v>
      </c>
      <c r="L66" s="3">
        <v>2020</v>
      </c>
      <c r="M66" s="707">
        <f>Bioplastics!B66</f>
        <v>2.3140000000000214</v>
      </c>
      <c r="Q66" s="3">
        <v>2020</v>
      </c>
      <c r="R66" s="1197">
        <v>0.44838947206870899</v>
      </c>
      <c r="T66" s="3">
        <v>2020</v>
      </c>
      <c r="U66" s="335">
        <f t="shared" si="22"/>
        <v>2114.0720543430284</v>
      </c>
      <c r="W66" s="3">
        <v>2020</v>
      </c>
      <c r="X66" s="343"/>
      <c r="Y66" s="335">
        <f t="shared" si="23"/>
        <v>926.28015264428393</v>
      </c>
      <c r="AA66" s="3">
        <v>2020</v>
      </c>
      <c r="AB66" s="335">
        <f t="shared" si="24"/>
        <v>759.30217070368371</v>
      </c>
      <c r="AD66" s="3">
        <v>2020</v>
      </c>
      <c r="AE66" s="335">
        <f t="shared" si="25"/>
        <v>428.48973099506065</v>
      </c>
      <c r="AG66" s="3">
        <v>2020</v>
      </c>
      <c r="AH66" s="335">
        <f t="shared" si="26"/>
        <v>272.33382139423685</v>
      </c>
      <c r="AK66" s="3">
        <v>2020</v>
      </c>
      <c r="AL66" s="338">
        <f t="shared" si="27"/>
        <v>0.43814975499126774</v>
      </c>
      <c r="AM66" s="338">
        <f t="shared" si="28"/>
        <v>0.35916570068830761</v>
      </c>
      <c r="AN66" s="338">
        <f t="shared" si="29"/>
        <v>0.20268454432042463</v>
      </c>
    </row>
    <row r="67" spans="2:40" ht="14.4" x14ac:dyDescent="0.55000000000000004">
      <c r="B67" s="3">
        <v>2021</v>
      </c>
      <c r="C67" s="707">
        <f>'Food System Summary'!F19</f>
        <v>160.09996373372053</v>
      </c>
      <c r="E67" s="3">
        <v>2021</v>
      </c>
      <c r="F67" s="335">
        <f t="shared" si="20"/>
        <v>2095.9862712447839</v>
      </c>
      <c r="H67" s="3">
        <v>2021</v>
      </c>
      <c r="I67" s="335">
        <f t="shared" si="21"/>
        <v>891.25413456844115</v>
      </c>
      <c r="L67" s="3">
        <v>2021</v>
      </c>
      <c r="M67" s="707">
        <f>Bioplastics!B67</f>
        <v>2.4160000000000252</v>
      </c>
      <c r="Q67" s="3">
        <v>2021</v>
      </c>
      <c r="R67" s="1197">
        <v>0.46200878452943045</v>
      </c>
      <c r="T67" s="3">
        <v>2021</v>
      </c>
      <c r="U67" s="335">
        <f t="shared" si="22"/>
        <v>2095.9862712447839</v>
      </c>
      <c r="W67" s="3">
        <v>2021</v>
      </c>
      <c r="X67" s="343"/>
      <c r="Y67" s="335">
        <f t="shared" si="23"/>
        <v>892.37034779186422</v>
      </c>
      <c r="AA67" s="3">
        <v>2021</v>
      </c>
      <c r="AB67" s="335">
        <f t="shared" si="24"/>
        <v>767.08114978675792</v>
      </c>
      <c r="AD67" s="3">
        <v>2021</v>
      </c>
      <c r="AE67" s="335">
        <f t="shared" si="25"/>
        <v>436.53477366616164</v>
      </c>
      <c r="AG67" s="3">
        <v>2021</v>
      </c>
      <c r="AH67" s="335">
        <f t="shared" si="26"/>
        <v>279.822699791849</v>
      </c>
      <c r="AK67" s="3">
        <v>2021</v>
      </c>
      <c r="AL67" s="338">
        <f t="shared" si="27"/>
        <v>0.42575200039926547</v>
      </c>
      <c r="AM67" s="338">
        <f t="shared" si="28"/>
        <v>0.36597622814160735</v>
      </c>
      <c r="AN67" s="338">
        <f t="shared" si="29"/>
        <v>0.20827177145912712</v>
      </c>
    </row>
    <row r="68" spans="2:40" ht="14.4" x14ac:dyDescent="0.55000000000000004">
      <c r="B68" s="3">
        <v>2022</v>
      </c>
      <c r="C68" s="707">
        <f>'Food System Summary'!F20</f>
        <v>213.7669753937831</v>
      </c>
      <c r="E68" s="3">
        <v>2022</v>
      </c>
      <c r="F68" s="335">
        <f t="shared" si="20"/>
        <v>2078.300074567901</v>
      </c>
      <c r="H68" s="3">
        <v>2022</v>
      </c>
      <c r="I68" s="335">
        <f t="shared" si="21"/>
        <v>857.22813141136328</v>
      </c>
      <c r="L68" s="3">
        <v>2022</v>
      </c>
      <c r="M68" s="707">
        <f>Bioplastics!B68</f>
        <v>2.5180000000000291</v>
      </c>
      <c r="Q68" s="3">
        <v>2022</v>
      </c>
      <c r="R68" s="1197">
        <v>0.47529183496738303</v>
      </c>
      <c r="T68" s="3">
        <v>2022</v>
      </c>
      <c r="U68" s="335">
        <f t="shared" si="22"/>
        <v>2078.300074567901</v>
      </c>
      <c r="W68" s="3">
        <v>2022</v>
      </c>
      <c r="X68" s="343"/>
      <c r="Y68" s="335">
        <f t="shared" si="23"/>
        <v>858.42491625181117</v>
      </c>
      <c r="AA68" s="3">
        <v>2022</v>
      </c>
      <c r="AB68" s="335">
        <f t="shared" si="24"/>
        <v>774.89711827657857</v>
      </c>
      <c r="AD68" s="3">
        <v>2022</v>
      </c>
      <c r="AE68" s="335">
        <f t="shared" si="25"/>
        <v>444.97804003951114</v>
      </c>
      <c r="AG68" s="3">
        <v>2022</v>
      </c>
      <c r="AH68" s="335">
        <f t="shared" si="26"/>
        <v>287.33400041827002</v>
      </c>
      <c r="AK68" s="3">
        <v>2022</v>
      </c>
      <c r="AL68" s="338">
        <f t="shared" si="27"/>
        <v>0.4130418541366247</v>
      </c>
      <c r="AM68" s="338">
        <f t="shared" si="28"/>
        <v>0.37285141243989384</v>
      </c>
      <c r="AN68" s="338">
        <f t="shared" si="29"/>
        <v>0.21410673342348141</v>
      </c>
    </row>
    <row r="69" spans="2:40" ht="14.4" x14ac:dyDescent="0.55000000000000004">
      <c r="B69" s="3">
        <v>2023</v>
      </c>
      <c r="C69" s="707">
        <f>'Food System Summary'!F21</f>
        <v>267.50114115409565</v>
      </c>
      <c r="E69" s="3">
        <v>2023</v>
      </c>
      <c r="F69" s="335">
        <f t="shared" si="20"/>
        <v>2060.3110119954026</v>
      </c>
      <c r="H69" s="3">
        <v>2023</v>
      </c>
      <c r="I69" s="335">
        <f t="shared" si="21"/>
        <v>822.87053347663482</v>
      </c>
      <c r="L69" s="3">
        <v>2023</v>
      </c>
      <c r="M69" s="707">
        <f>Bioplastics!B69</f>
        <v>2.6200000000000045</v>
      </c>
      <c r="Q69" s="3">
        <v>2023</v>
      </c>
      <c r="R69" s="1197">
        <v>0.49235474006116209</v>
      </c>
      <c r="T69" s="3">
        <v>2023</v>
      </c>
      <c r="U69" s="335">
        <f t="shared" si="22"/>
        <v>2060.3110119954026</v>
      </c>
      <c r="W69" s="3">
        <v>2023</v>
      </c>
      <c r="X69" s="343"/>
      <c r="Y69" s="335">
        <f t="shared" si="23"/>
        <v>824.16050289559507</v>
      </c>
      <c r="AA69" s="3">
        <v>2023</v>
      </c>
      <c r="AB69" s="335">
        <f t="shared" si="24"/>
        <v>782.48438254647624</v>
      </c>
      <c r="AD69" s="3">
        <v>2023</v>
      </c>
      <c r="AE69" s="335">
        <f t="shared" si="25"/>
        <v>453.66612655333131</v>
      </c>
      <c r="AG69" s="3">
        <v>2023</v>
      </c>
      <c r="AH69" s="335">
        <f t="shared" si="26"/>
        <v>294.86467994274147</v>
      </c>
      <c r="AK69" s="3">
        <v>2023</v>
      </c>
      <c r="AL69" s="338">
        <f t="shared" si="27"/>
        <v>0.40001752070305108</v>
      </c>
      <c r="AM69" s="338">
        <f t="shared" si="28"/>
        <v>0.37978944828753952</v>
      </c>
      <c r="AN69" s="338">
        <f t="shared" si="29"/>
        <v>0.22019303100940937</v>
      </c>
    </row>
    <row r="70" spans="2:40" ht="14.4" x14ac:dyDescent="0.55000000000000004">
      <c r="B70" s="3">
        <v>2024</v>
      </c>
      <c r="C70" s="707">
        <f>'Food System Summary'!F22</f>
        <v>321.26232008042575</v>
      </c>
      <c r="E70" s="3">
        <v>2024</v>
      </c>
      <c r="F70" s="335">
        <f t="shared" si="20"/>
        <v>2042.0612356789918</v>
      </c>
      <c r="H70" s="3">
        <v>2024</v>
      </c>
      <c r="I70" s="335">
        <f t="shared" si="21"/>
        <v>788.230010486315</v>
      </c>
      <c r="L70" s="3">
        <v>2024</v>
      </c>
      <c r="M70" s="707">
        <f>Bioplastics!B70</f>
        <v>6.5650350579526275</v>
      </c>
      <c r="Q70" s="3">
        <v>2024</v>
      </c>
      <c r="R70" s="1197">
        <v>0.5008821541451981</v>
      </c>
      <c r="T70" s="3">
        <v>2024</v>
      </c>
      <c r="U70" s="335">
        <f t="shared" si="22"/>
        <v>2042.0612356789918</v>
      </c>
      <c r="W70" s="3">
        <v>2024</v>
      </c>
      <c r="X70" s="343"/>
      <c r="Y70" s="335">
        <f t="shared" si="23"/>
        <v>791.518319388181</v>
      </c>
      <c r="AA70" s="3">
        <v>2024</v>
      </c>
      <c r="AB70" s="335">
        <f t="shared" si="24"/>
        <v>787.95241756638745</v>
      </c>
      <c r="AD70" s="3">
        <v>2024</v>
      </c>
      <c r="AE70" s="335">
        <f t="shared" si="25"/>
        <v>462.59049872442336</v>
      </c>
      <c r="AG70" s="3">
        <v>2024</v>
      </c>
      <c r="AH70" s="335">
        <f t="shared" si="26"/>
        <v>299.99931850157452</v>
      </c>
      <c r="AK70" s="3">
        <v>2024</v>
      </c>
      <c r="AL70" s="338">
        <f t="shared" si="27"/>
        <v>0.38760753377946505</v>
      </c>
      <c r="AM70" s="338">
        <f t="shared" si="28"/>
        <v>0.38586130709463801</v>
      </c>
      <c r="AN70" s="338">
        <f t="shared" si="29"/>
        <v>0.22653115912589691</v>
      </c>
    </row>
    <row r="71" spans="2:40" ht="14.4" x14ac:dyDescent="0.55000000000000004">
      <c r="B71" s="3">
        <v>2025</v>
      </c>
      <c r="C71" s="707">
        <f>'Food System Summary'!F23</f>
        <v>375.01456949694608</v>
      </c>
      <c r="E71" s="3">
        <v>2025</v>
      </c>
      <c r="F71" s="335">
        <f t="shared" si="20"/>
        <v>2022.5603972001659</v>
      </c>
      <c r="H71" s="3">
        <v>2025</v>
      </c>
      <c r="I71" s="335">
        <f t="shared" si="21"/>
        <v>751.84566485069649</v>
      </c>
      <c r="L71" s="3">
        <v>2025</v>
      </c>
      <c r="M71" s="707">
        <f>Bioplastics!B71</f>
        <v>9.903950645821169</v>
      </c>
      <c r="Q71" s="3">
        <v>2025</v>
      </c>
      <c r="R71" s="1197">
        <v>0.51320541766758221</v>
      </c>
      <c r="T71" s="3">
        <v>2025</v>
      </c>
      <c r="U71" s="335">
        <f t="shared" si="22"/>
        <v>2022.5603972001659</v>
      </c>
      <c r="W71" s="3">
        <v>2025</v>
      </c>
      <c r="X71" s="343"/>
      <c r="Y71" s="335">
        <f t="shared" si="23"/>
        <v>756.92842597844424</v>
      </c>
      <c r="AA71" s="3">
        <v>2025</v>
      </c>
      <c r="AB71" s="335">
        <f t="shared" si="24"/>
        <v>793.06994528572125</v>
      </c>
      <c r="AD71" s="3">
        <v>2025</v>
      </c>
      <c r="AE71" s="335">
        <f t="shared" si="25"/>
        <v>472.5620259360004</v>
      </c>
      <c r="AG71" s="3">
        <v>2025</v>
      </c>
      <c r="AH71" s="335">
        <f t="shared" si="26"/>
        <v>305.94867537835586</v>
      </c>
      <c r="AK71" s="3">
        <v>2025</v>
      </c>
      <c r="AL71" s="338">
        <f t="shared" si="27"/>
        <v>0.37424268122042814</v>
      </c>
      <c r="AM71" s="338">
        <f t="shared" si="28"/>
        <v>0.39211187284373283</v>
      </c>
      <c r="AN71" s="338">
        <f t="shared" si="29"/>
        <v>0.233645445935839</v>
      </c>
    </row>
    <row r="72" spans="2:40" ht="14.4" x14ac:dyDescent="0.55000000000000004">
      <c r="B72" s="3">
        <v>2026</v>
      </c>
      <c r="C72" s="707">
        <f>'Food System Summary'!F24</f>
        <v>428.72361475064184</v>
      </c>
      <c r="E72" s="3">
        <v>2026</v>
      </c>
      <c r="F72" s="335">
        <f t="shared" si="20"/>
        <v>2013.3183028280005</v>
      </c>
      <c r="H72" s="3">
        <v>2026</v>
      </c>
      <c r="I72" s="335">
        <f t="shared" si="21"/>
        <v>722.22964407239897</v>
      </c>
      <c r="L72" s="3">
        <v>2026</v>
      </c>
      <c r="M72" s="707">
        <f>Bioplastics!B72</f>
        <v>14.047043510247022</v>
      </c>
      <c r="Q72" s="3">
        <v>2026</v>
      </c>
      <c r="R72" s="1197">
        <v>0.52522441872950065</v>
      </c>
      <c r="T72" s="3">
        <v>2026</v>
      </c>
      <c r="U72" s="335">
        <f t="shared" si="22"/>
        <v>2013.3183028280005</v>
      </c>
      <c r="W72" s="3">
        <v>2026</v>
      </c>
      <c r="X72" s="343"/>
      <c r="Y72" s="335">
        <f t="shared" si="23"/>
        <v>729.60749433493652</v>
      </c>
      <c r="AA72" s="3">
        <v>2026</v>
      </c>
      <c r="AB72" s="335">
        <f t="shared" si="24"/>
        <v>800.93802445599363</v>
      </c>
      <c r="AD72" s="3">
        <v>2026</v>
      </c>
      <c r="AE72" s="335">
        <f t="shared" si="25"/>
        <v>482.77278403707032</v>
      </c>
      <c r="AG72" s="3">
        <v>2026</v>
      </c>
      <c r="AH72" s="335">
        <f t="shared" si="26"/>
        <v>311.3094121465931</v>
      </c>
      <c r="AK72" s="3">
        <v>2026</v>
      </c>
      <c r="AL72" s="338">
        <f t="shared" si="27"/>
        <v>0.3623905337323442</v>
      </c>
      <c r="AM72" s="338">
        <f t="shared" si="28"/>
        <v>0.3978198694816209</v>
      </c>
      <c r="AN72" s="338">
        <f t="shared" si="29"/>
        <v>0.2397895967860349</v>
      </c>
    </row>
    <row r="73" spans="2:40" ht="14.4" x14ac:dyDescent="0.55000000000000004">
      <c r="B73" s="3">
        <v>2027</v>
      </c>
      <c r="C73" s="707">
        <f>'Food System Summary'!F25</f>
        <v>482.35637881691815</v>
      </c>
      <c r="E73" s="3">
        <v>2027</v>
      </c>
      <c r="F73" s="335">
        <f t="shared" si="20"/>
        <v>2006.7554262428162</v>
      </c>
      <c r="H73" s="3">
        <v>2027</v>
      </c>
      <c r="I73" s="335">
        <f t="shared" si="21"/>
        <v>692.78904797459836</v>
      </c>
      <c r="L73" s="3">
        <v>2027</v>
      </c>
      <c r="M73" s="707">
        <f>Bioplastics!B73</f>
        <v>18.995106076123193</v>
      </c>
      <c r="Q73" s="3">
        <v>2027</v>
      </c>
      <c r="R73" s="1197">
        <v>0.53694666959786874</v>
      </c>
      <c r="T73" s="3">
        <v>2027</v>
      </c>
      <c r="U73" s="335">
        <f t="shared" si="22"/>
        <v>2006.7554262428162</v>
      </c>
      <c r="W73" s="3">
        <v>2027</v>
      </c>
      <c r="X73" s="343"/>
      <c r="Y73" s="335">
        <f t="shared" si="23"/>
        <v>702.98840692083093</v>
      </c>
      <c r="AA73" s="3">
        <v>2027</v>
      </c>
      <c r="AB73" s="335">
        <f t="shared" si="24"/>
        <v>808.96733609892658</v>
      </c>
      <c r="AD73" s="3">
        <v>2027</v>
      </c>
      <c r="AE73" s="335">
        <f t="shared" si="25"/>
        <v>494.79968322305854</v>
      </c>
      <c r="AG73" s="3">
        <v>2027</v>
      </c>
      <c r="AH73" s="335">
        <f t="shared" si="26"/>
        <v>316.07871356820527</v>
      </c>
      <c r="AK73" s="3">
        <v>2027</v>
      </c>
      <c r="AL73" s="338">
        <f t="shared" si="27"/>
        <v>0.35031095355601632</v>
      </c>
      <c r="AM73" s="338">
        <f t="shared" si="28"/>
        <v>0.40312203745402608</v>
      </c>
      <c r="AN73" s="338">
        <f t="shared" si="29"/>
        <v>0.24656700898995754</v>
      </c>
    </row>
    <row r="74" spans="2:40" ht="14.4" x14ac:dyDescent="0.55000000000000004">
      <c r="B74" s="3">
        <v>2028</v>
      </c>
      <c r="C74" s="707">
        <f>'Food System Summary'!F26</f>
        <v>535.88183749903942</v>
      </c>
      <c r="E74" s="3">
        <v>2028</v>
      </c>
      <c r="F74" s="335">
        <f t="shared" si="20"/>
        <v>2000.0650048090945</v>
      </c>
      <c r="H74" s="3">
        <v>2028</v>
      </c>
      <c r="I74" s="335">
        <f t="shared" si="21"/>
        <v>663.24594540866678</v>
      </c>
      <c r="L74" s="3">
        <v>2028</v>
      </c>
      <c r="M74" s="707">
        <f>Bioplastics!B74</f>
        <v>24.748930767644197</v>
      </c>
      <c r="Q74" s="3">
        <v>2028</v>
      </c>
      <c r="R74" s="1197">
        <v>0.54837949706107092</v>
      </c>
      <c r="T74" s="3">
        <v>2028</v>
      </c>
      <c r="U74" s="335">
        <f t="shared" si="22"/>
        <v>2000.0650048090945</v>
      </c>
      <c r="W74" s="3">
        <v>2028</v>
      </c>
      <c r="X74" s="343"/>
      <c r="Y74" s="335">
        <f t="shared" si="23"/>
        <v>676.81775161582675</v>
      </c>
      <c r="AA74" s="3">
        <v>2028</v>
      </c>
      <c r="AB74" s="335">
        <f t="shared" si="24"/>
        <v>816.19000059606219</v>
      </c>
      <c r="AD74" s="3">
        <v>2028</v>
      </c>
      <c r="AE74" s="335">
        <f t="shared" si="25"/>
        <v>507.05725259720543</v>
      </c>
      <c r="AG74" s="3">
        <v>2028</v>
      </c>
      <c r="AH74" s="335">
        <f t="shared" si="26"/>
        <v>320.26390685860457</v>
      </c>
      <c r="AK74" s="3">
        <v>2028</v>
      </c>
      <c r="AL74" s="338">
        <f t="shared" si="27"/>
        <v>0.33839787706321511</v>
      </c>
      <c r="AM74" s="338">
        <f t="shared" si="28"/>
        <v>0.40808173666033781</v>
      </c>
      <c r="AN74" s="338">
        <f t="shared" si="29"/>
        <v>0.25352038627644696</v>
      </c>
    </row>
    <row r="75" spans="2:40" ht="14.4" x14ac:dyDescent="0.55000000000000004">
      <c r="B75" s="3">
        <v>2029</v>
      </c>
      <c r="C75" s="707">
        <f>'Food System Summary'!F27</f>
        <v>589.26979756236983</v>
      </c>
      <c r="E75" s="3">
        <v>2029</v>
      </c>
      <c r="F75" s="335">
        <f t="shared" si="20"/>
        <v>1993.2821230496104</v>
      </c>
      <c r="H75" s="3">
        <v>2029</v>
      </c>
      <c r="I75" s="335">
        <f t="shared" si="21"/>
        <v>633.63734329224667</v>
      </c>
      <c r="L75" s="3">
        <v>2029</v>
      </c>
      <c r="M75" s="707">
        <f>Bioplastics!B75</f>
        <v>31.309310009470209</v>
      </c>
      <c r="Q75" s="3">
        <v>2029</v>
      </c>
      <c r="R75" s="1197">
        <v>0.55953004700844178</v>
      </c>
      <c r="T75" s="3">
        <v>2029</v>
      </c>
      <c r="U75" s="335">
        <f t="shared" si="22"/>
        <v>1993.2821230496104</v>
      </c>
      <c r="W75" s="3">
        <v>2029</v>
      </c>
      <c r="X75" s="343"/>
      <c r="Y75" s="335">
        <f t="shared" si="23"/>
        <v>651.15584299364741</v>
      </c>
      <c r="AA75" s="3">
        <v>2029</v>
      </c>
      <c r="AB75" s="335">
        <f t="shared" si="24"/>
        <v>822.58564007367715</v>
      </c>
      <c r="AD75" s="3">
        <v>2029</v>
      </c>
      <c r="AE75" s="335">
        <f t="shared" si="25"/>
        <v>519.54063998228582</v>
      </c>
      <c r="AG75" s="3">
        <v>2029</v>
      </c>
      <c r="AH75" s="335">
        <f t="shared" si="26"/>
        <v>323.86913810660667</v>
      </c>
      <c r="AK75" s="3">
        <v>2029</v>
      </c>
      <c r="AL75" s="338">
        <f t="shared" si="27"/>
        <v>0.32667520340643769</v>
      </c>
      <c r="AM75" s="338">
        <f t="shared" si="28"/>
        <v>0.41267898335192366</v>
      </c>
      <c r="AN75" s="338">
        <f t="shared" si="29"/>
        <v>0.26064581324163871</v>
      </c>
    </row>
    <row r="76" spans="2:40" ht="14.4" x14ac:dyDescent="0.55000000000000004">
      <c r="B76" s="3">
        <v>2030</v>
      </c>
      <c r="C76" s="707">
        <f>'Food System Summary'!F28</f>
        <v>642.49102313794742</v>
      </c>
      <c r="E76" s="3">
        <v>2030</v>
      </c>
      <c r="F76" s="335">
        <f t="shared" si="20"/>
        <v>1989.4732918564316</v>
      </c>
      <c r="H76" s="3">
        <v>2030</v>
      </c>
      <c r="I76" s="335">
        <f t="shared" si="21"/>
        <v>605.43708849414315</v>
      </c>
      <c r="L76" s="3">
        <v>2030</v>
      </c>
      <c r="M76" s="707">
        <f>Bioplastics!B76</f>
        <v>38.677036226727068</v>
      </c>
      <c r="Q76" s="3">
        <v>2030</v>
      </c>
      <c r="R76" s="1197">
        <v>0.57040528889667952</v>
      </c>
      <c r="T76" s="3">
        <v>2030</v>
      </c>
      <c r="U76" s="335">
        <f t="shared" si="22"/>
        <v>1989.4732918564316</v>
      </c>
      <c r="W76" s="3">
        <v>2030</v>
      </c>
      <c r="X76" s="343"/>
      <c r="Y76" s="335">
        <f t="shared" si="23"/>
        <v>627.49867451671673</v>
      </c>
      <c r="AA76" s="3">
        <v>2030</v>
      </c>
      <c r="AB76" s="335">
        <f t="shared" si="24"/>
        <v>829.11567344660943</v>
      </c>
      <c r="AD76" s="3">
        <v>2030</v>
      </c>
      <c r="AE76" s="335">
        <f t="shared" si="25"/>
        <v>532.85894389310533</v>
      </c>
      <c r="AG76" s="3">
        <v>2030</v>
      </c>
      <c r="AH76" s="335">
        <f t="shared" si="26"/>
        <v>326.8988137970735</v>
      </c>
      <c r="AK76" s="3">
        <v>2030</v>
      </c>
      <c r="AL76" s="338">
        <f t="shared" si="27"/>
        <v>0.31540944886532285</v>
      </c>
      <c r="AM76" s="338">
        <f t="shared" si="28"/>
        <v>0.41675134662046109</v>
      </c>
      <c r="AN76" s="338">
        <f t="shared" si="29"/>
        <v>0.267839204514216</v>
      </c>
    </row>
    <row r="77" spans="2:40" ht="14.4" x14ac:dyDescent="0.55000000000000004">
      <c r="B77" s="3">
        <v>2031</v>
      </c>
      <c r="C77" s="707">
        <f>'Food System Summary'!F29</f>
        <v>694.17839459097922</v>
      </c>
      <c r="E77" s="3">
        <v>2031</v>
      </c>
      <c r="F77" s="335">
        <f t="shared" si="20"/>
        <v>1980.913448962599</v>
      </c>
      <c r="H77" s="3">
        <v>2031</v>
      </c>
      <c r="I77" s="335">
        <f t="shared" si="21"/>
        <v>575.70578325332963</v>
      </c>
      <c r="L77" s="3">
        <v>2031</v>
      </c>
      <c r="M77" s="707">
        <f>Bioplastics!B77</f>
        <v>46.852901843376458</v>
      </c>
      <c r="Q77" s="3">
        <v>2031</v>
      </c>
      <c r="R77" s="1197">
        <v>0.58101202010598352</v>
      </c>
      <c r="T77" s="3">
        <v>2031</v>
      </c>
      <c r="U77" s="335">
        <f t="shared" si="22"/>
        <v>1980.913448962599</v>
      </c>
      <c r="W77" s="3">
        <v>2031</v>
      </c>
      <c r="X77" s="343"/>
      <c r="Y77" s="335">
        <f t="shared" si="23"/>
        <v>602.92788240117716</v>
      </c>
      <c r="AA77" s="3">
        <v>2031</v>
      </c>
      <c r="AB77" s="335">
        <f t="shared" si="24"/>
        <v>832.81992855462886</v>
      </c>
      <c r="AD77" s="3">
        <v>2031</v>
      </c>
      <c r="AE77" s="335">
        <f t="shared" si="25"/>
        <v>545.16563800679296</v>
      </c>
      <c r="AG77" s="3">
        <v>2031</v>
      </c>
      <c r="AH77" s="335">
        <f t="shared" si="26"/>
        <v>329.3548308737669</v>
      </c>
      <c r="AK77" s="3">
        <v>2031</v>
      </c>
      <c r="AL77" s="338">
        <f t="shared" si="27"/>
        <v>0.30436861475039684</v>
      </c>
      <c r="AM77" s="338">
        <f t="shared" si="28"/>
        <v>0.42042216886900091</v>
      </c>
      <c r="AN77" s="338">
        <f t="shared" si="29"/>
        <v>0.27520921638060225</v>
      </c>
    </row>
    <row r="78" spans="2:40" ht="14.4" x14ac:dyDescent="0.55000000000000004">
      <c r="B78" s="3">
        <v>2032</v>
      </c>
      <c r="C78" s="707">
        <f>'Food System Summary'!F30</f>
        <v>745.48174787789981</v>
      </c>
      <c r="E78" s="3">
        <v>2032</v>
      </c>
      <c r="F78" s="335">
        <f t="shared" si="20"/>
        <v>1974.6206653561783</v>
      </c>
      <c r="H78" s="3">
        <v>2032</v>
      </c>
      <c r="I78" s="335">
        <f t="shared" si="21"/>
        <v>547.16975928034731</v>
      </c>
      <c r="L78" s="3">
        <v>2032</v>
      </c>
      <c r="M78" s="707">
        <f>Bioplastics!B78</f>
        <v>55.837699284311384</v>
      </c>
      <c r="Q78" s="3">
        <v>2032</v>
      </c>
      <c r="R78" s="1197">
        <v>0.59135687018863792</v>
      </c>
      <c r="T78" s="3">
        <v>2032</v>
      </c>
      <c r="U78" s="335">
        <f t="shared" si="22"/>
        <v>1974.6206653561783</v>
      </c>
      <c r="W78" s="3">
        <v>2032</v>
      </c>
      <c r="X78" s="343"/>
      <c r="Y78" s="335">
        <f t="shared" si="23"/>
        <v>580.18976636765206</v>
      </c>
      <c r="AA78" s="3">
        <v>2032</v>
      </c>
      <c r="AB78" s="335">
        <f t="shared" si="24"/>
        <v>836.32472418230748</v>
      </c>
      <c r="AD78" s="3">
        <v>2032</v>
      </c>
      <c r="AE78" s="335">
        <f t="shared" si="25"/>
        <v>558.10617480621875</v>
      </c>
      <c r="AG78" s="3">
        <v>2032</v>
      </c>
      <c r="AH78" s="335">
        <f t="shared" si="26"/>
        <v>331.2416568187158</v>
      </c>
      <c r="AK78" s="3">
        <v>2032</v>
      </c>
      <c r="AL78" s="338">
        <f t="shared" si="27"/>
        <v>0.29382340443752952</v>
      </c>
      <c r="AM78" s="338">
        <f t="shared" si="28"/>
        <v>0.42353690450791104</v>
      </c>
      <c r="AN78" s="338">
        <f t="shared" si="29"/>
        <v>0.28263969105455938</v>
      </c>
    </row>
    <row r="79" spans="2:40" ht="14.4" x14ac:dyDescent="0.55000000000000004">
      <c r="B79" s="3">
        <v>2033</v>
      </c>
      <c r="C79" s="707">
        <f>'Food System Summary'!F31</f>
        <v>796.39203699699715</v>
      </c>
      <c r="E79" s="3">
        <v>2033</v>
      </c>
      <c r="F79" s="335">
        <f t="shared" si="20"/>
        <v>1968.5132398748199</v>
      </c>
      <c r="H79" s="3">
        <v>2033</v>
      </c>
      <c r="I79" s="335">
        <f t="shared" si="21"/>
        <v>518.85120893727731</v>
      </c>
      <c r="L79" s="3">
        <v>2033</v>
      </c>
      <c r="M79" s="707">
        <f>Bioplastics!B79</f>
        <v>65.632220974424854</v>
      </c>
      <c r="Q79" s="3">
        <v>2033</v>
      </c>
      <c r="R79" s="1197">
        <v>0.60144630501269802</v>
      </c>
      <c r="T79" s="3">
        <v>2033</v>
      </c>
      <c r="U79" s="335">
        <f t="shared" si="22"/>
        <v>1968.5132398748199</v>
      </c>
      <c r="W79" s="3">
        <v>2033</v>
      </c>
      <c r="X79" s="343"/>
      <c r="Y79" s="335">
        <f t="shared" si="23"/>
        <v>558.32546573212198</v>
      </c>
      <c r="Z79" s="533"/>
      <c r="AA79" s="3">
        <v>2033</v>
      </c>
      <c r="AB79" s="335">
        <f t="shared" si="24"/>
        <v>838.93614966733253</v>
      </c>
      <c r="AD79" s="3">
        <v>2033</v>
      </c>
      <c r="AE79" s="335">
        <f t="shared" si="25"/>
        <v>571.25162447536536</v>
      </c>
      <c r="AG79" s="3">
        <v>2033</v>
      </c>
      <c r="AH79" s="335">
        <f t="shared" si="26"/>
        <v>332.55606108027945</v>
      </c>
      <c r="AK79" s="3">
        <v>2033</v>
      </c>
      <c r="AL79" s="338">
        <f t="shared" si="27"/>
        <v>0.28362799620673446</v>
      </c>
      <c r="AM79" s="338">
        <f t="shared" si="28"/>
        <v>0.42617754997709922</v>
      </c>
      <c r="AN79" s="338">
        <f t="shared" si="29"/>
        <v>0.29019445381616632</v>
      </c>
    </row>
    <row r="80" spans="2:40" ht="14.4" x14ac:dyDescent="0.55000000000000004">
      <c r="B80" s="3">
        <v>2034</v>
      </c>
      <c r="C80" s="707">
        <f>'Food System Summary'!F32</f>
        <v>846.90450605275487</v>
      </c>
      <c r="E80" s="3">
        <v>2034</v>
      </c>
      <c r="F80" s="335">
        <f t="shared" si="20"/>
        <v>1962.6090607038138</v>
      </c>
      <c r="H80" s="3">
        <v>2034</v>
      </c>
      <c r="I80" s="335">
        <f t="shared" si="21"/>
        <v>490.76546434779038</v>
      </c>
      <c r="L80" s="3">
        <v>2034</v>
      </c>
      <c r="M80" s="707">
        <f>Bioplastics!B80</f>
        <v>76.237259338144213</v>
      </c>
      <c r="Q80" s="3">
        <v>2034</v>
      </c>
      <c r="R80" s="1197">
        <v>0.61128663080336754</v>
      </c>
      <c r="T80" s="3">
        <v>2034</v>
      </c>
      <c r="U80" s="335">
        <f t="shared" si="22"/>
        <v>1962.6090607038138</v>
      </c>
      <c r="W80" s="3">
        <v>2034</v>
      </c>
      <c r="X80" s="343"/>
      <c r="Y80" s="335">
        <f t="shared" si="23"/>
        <v>537.36828175028711</v>
      </c>
      <c r="AA80" s="3">
        <v>2034</v>
      </c>
      <c r="AB80" s="335">
        <f t="shared" si="24"/>
        <v>840.64156697922851</v>
      </c>
      <c r="AD80" s="3">
        <v>2034</v>
      </c>
      <c r="AE80" s="335">
        <f t="shared" si="25"/>
        <v>584.59921197429833</v>
      </c>
      <c r="AG80" s="3">
        <v>2034</v>
      </c>
      <c r="AH80" s="335">
        <f t="shared" si="26"/>
        <v>333.2943219620517</v>
      </c>
      <c r="AK80" s="3">
        <v>2034</v>
      </c>
      <c r="AL80" s="338">
        <f t="shared" si="27"/>
        <v>0.27380301686652803</v>
      </c>
      <c r="AM80" s="338">
        <f t="shared" si="28"/>
        <v>0.42832858759847209</v>
      </c>
      <c r="AN80" s="338">
        <f t="shared" si="29"/>
        <v>0.29786839553499994</v>
      </c>
    </row>
    <row r="81" spans="2:40" ht="14.4" x14ac:dyDescent="0.55000000000000004">
      <c r="B81" s="3">
        <v>2035</v>
      </c>
      <c r="C81" s="707">
        <f>'Food System Summary'!F33</f>
        <v>897.01340133899123</v>
      </c>
      <c r="E81" s="3">
        <v>2035</v>
      </c>
      <c r="F81" s="335">
        <f t="shared" si="20"/>
        <v>1957.0504313942433</v>
      </c>
      <c r="H81" s="3">
        <v>2035</v>
      </c>
      <c r="I81" s="335">
        <f t="shared" si="21"/>
        <v>462.98753642889494</v>
      </c>
      <c r="L81" s="3">
        <v>2035</v>
      </c>
      <c r="M81" s="707">
        <f>Bioplastics!B81</f>
        <v>87.653606799896806</v>
      </c>
      <c r="Q81" s="3">
        <v>2035</v>
      </c>
      <c r="R81" s="1197">
        <v>0.6208839980845956</v>
      </c>
      <c r="T81" s="3">
        <v>2035</v>
      </c>
      <c r="U81" s="335">
        <f t="shared" si="22"/>
        <v>1957.0504313942433</v>
      </c>
      <c r="W81" s="3">
        <v>2035</v>
      </c>
      <c r="X81" s="343"/>
      <c r="Y81" s="335">
        <f t="shared" si="23"/>
        <v>517.41025826534997</v>
      </c>
      <c r="AA81" s="3">
        <v>2035</v>
      </c>
      <c r="AB81" s="335">
        <f t="shared" si="24"/>
        <v>841.46791525850813</v>
      </c>
      <c r="AD81" s="3">
        <v>2035</v>
      </c>
      <c r="AE81" s="335">
        <f t="shared" si="25"/>
        <v>598.17225787038524</v>
      </c>
      <c r="AG81" s="3">
        <v>2035</v>
      </c>
      <c r="AH81" s="335">
        <f t="shared" si="26"/>
        <v>333.45299783417141</v>
      </c>
      <c r="AK81" s="3">
        <v>2035</v>
      </c>
      <c r="AL81" s="338">
        <f t="shared" si="27"/>
        <v>0.26438269038204404</v>
      </c>
      <c r="AM81" s="338">
        <f t="shared" si="28"/>
        <v>0.42996741512635878</v>
      </c>
      <c r="AN81" s="338">
        <f t="shared" si="29"/>
        <v>0.30564989449159718</v>
      </c>
    </row>
    <row r="82" spans="2:40" ht="14.4" x14ac:dyDescent="0.55000000000000004">
      <c r="B82" s="3">
        <v>2036</v>
      </c>
      <c r="C82" s="707">
        <f>'Food System Summary'!F34</f>
        <v>946.71047306904484</v>
      </c>
      <c r="E82" s="3">
        <v>2036</v>
      </c>
      <c r="F82" s="335">
        <f t="shared" si="20"/>
        <v>1951.4490690238536</v>
      </c>
      <c r="H82" s="3">
        <v>2036</v>
      </c>
      <c r="I82" s="335">
        <f t="shared" si="21"/>
        <v>435.3407534094365</v>
      </c>
      <c r="L82" s="3">
        <v>2036</v>
      </c>
      <c r="M82" s="707">
        <f>Bioplastics!B82</f>
        <v>99.882055784575641</v>
      </c>
      <c r="Q82" s="3">
        <v>2036</v>
      </c>
      <c r="R82" s="1197">
        <v>0.63024440552335381</v>
      </c>
      <c r="T82" s="3">
        <v>2036</v>
      </c>
      <c r="U82" s="335">
        <f t="shared" si="22"/>
        <v>1951.4490690238536</v>
      </c>
      <c r="W82" s="3">
        <v>2036</v>
      </c>
      <c r="X82" s="343"/>
      <c r="Y82" s="335">
        <f t="shared" si="23"/>
        <v>498.29086027983686</v>
      </c>
      <c r="AA82" s="3">
        <v>2036</v>
      </c>
      <c r="AB82" s="335">
        <f t="shared" si="24"/>
        <v>841.27567026258475</v>
      </c>
      <c r="AD82" s="3">
        <v>2036</v>
      </c>
      <c r="AE82" s="335">
        <f t="shared" si="25"/>
        <v>611.88253848143199</v>
      </c>
      <c r="AG82" s="3">
        <v>2036</v>
      </c>
      <c r="AH82" s="335">
        <f t="shared" si="26"/>
        <v>333.0304550135711</v>
      </c>
      <c r="AK82" s="3">
        <v>2036</v>
      </c>
      <c r="AL82" s="338">
        <f t="shared" si="27"/>
        <v>0.25534402521152655</v>
      </c>
      <c r="AM82" s="338">
        <f t="shared" si="28"/>
        <v>0.43110306265046644</v>
      </c>
      <c r="AN82" s="338">
        <f t="shared" si="29"/>
        <v>0.31355291213800707</v>
      </c>
    </row>
    <row r="83" spans="2:40" ht="14.4" x14ac:dyDescent="0.55000000000000004">
      <c r="B83" s="3">
        <v>2037</v>
      </c>
      <c r="C83" s="707">
        <f>'Food System Summary'!F35</f>
        <v>995.98110159934879</v>
      </c>
      <c r="E83" s="3">
        <v>2037</v>
      </c>
      <c r="F83" s="335">
        <f t="shared" si="20"/>
        <v>1946.2495471249626</v>
      </c>
      <c r="H83" s="3">
        <v>2037</v>
      </c>
      <c r="I83" s="335">
        <f t="shared" si="21"/>
        <v>408.04849926737927</v>
      </c>
      <c r="L83" s="3">
        <v>2037</v>
      </c>
      <c r="M83" s="707">
        <f>Bioplastics!B83</f>
        <v>112.92339871684089</v>
      </c>
      <c r="Q83" s="3">
        <v>2037</v>
      </c>
      <c r="R83" s="1197">
        <v>0.63937370367899826</v>
      </c>
      <c r="T83" s="3">
        <v>2037</v>
      </c>
      <c r="U83" s="335">
        <f t="shared" si="22"/>
        <v>1946.2495471249626</v>
      </c>
      <c r="W83" s="3">
        <v>2037</v>
      </c>
      <c r="X83" s="343"/>
      <c r="Y83" s="335">
        <f t="shared" si="23"/>
        <v>480.24875093698608</v>
      </c>
      <c r="AA83" s="3">
        <v>2037</v>
      </c>
      <c r="AB83" s="335">
        <f t="shared" si="24"/>
        <v>840.18547249980281</v>
      </c>
      <c r="AD83" s="3">
        <v>2037</v>
      </c>
      <c r="AE83" s="335">
        <f t="shared" si="25"/>
        <v>625.81532368817363</v>
      </c>
      <c r="AG83" s="3">
        <v>2037</v>
      </c>
      <c r="AH83" s="335">
        <f t="shared" si="26"/>
        <v>332.02613096866372</v>
      </c>
      <c r="AK83" s="3">
        <v>2037</v>
      </c>
      <c r="AL83" s="338">
        <f t="shared" si="27"/>
        <v>0.24675599881136456</v>
      </c>
      <c r="AM83" s="338">
        <f t="shared" si="28"/>
        <v>0.43169462710521422</v>
      </c>
      <c r="AN83" s="338">
        <f t="shared" si="29"/>
        <v>0.32154937408342116</v>
      </c>
    </row>
    <row r="84" spans="2:40" ht="14.4" x14ac:dyDescent="0.55000000000000004">
      <c r="B84" s="3">
        <v>2038</v>
      </c>
      <c r="C84" s="707">
        <f>'Food System Summary'!F36</f>
        <v>1044.8050009697686</v>
      </c>
      <c r="E84" s="3">
        <v>2038</v>
      </c>
      <c r="F84" s="335">
        <f t="shared" si="20"/>
        <v>1941.3691711600759</v>
      </c>
      <c r="H84" s="3">
        <v>2038</v>
      </c>
      <c r="I84" s="335">
        <f t="shared" si="21"/>
        <v>381.08573657486227</v>
      </c>
      <c r="L84" s="3">
        <v>2038</v>
      </c>
      <c r="M84" s="707">
        <f>Bioplastics!B84</f>
        <v>126.77842802088708</v>
      </c>
      <c r="Q84" s="3">
        <v>2038</v>
      </c>
      <c r="R84" s="1197">
        <v>0.64827759866006029</v>
      </c>
      <c r="T84" s="3">
        <v>2038</v>
      </c>
      <c r="U84" s="335">
        <f t="shared" si="22"/>
        <v>1941.3691711600759</v>
      </c>
      <c r="W84" s="3">
        <v>2038</v>
      </c>
      <c r="X84" s="343"/>
      <c r="Y84" s="335">
        <f t="shared" si="23"/>
        <v>463.27335145414025</v>
      </c>
      <c r="AA84" s="3">
        <v>2038</v>
      </c>
      <c r="AB84" s="335">
        <f t="shared" si="24"/>
        <v>838.15126497114079</v>
      </c>
      <c r="AD84" s="3">
        <v>2038</v>
      </c>
      <c r="AE84" s="335">
        <f t="shared" si="25"/>
        <v>639.94455473479479</v>
      </c>
      <c r="AG84" s="3">
        <v>2038</v>
      </c>
      <c r="AH84" s="335">
        <f t="shared" si="26"/>
        <v>330.44120563472535</v>
      </c>
      <c r="AK84" s="3">
        <v>2038</v>
      </c>
      <c r="AL84" s="338">
        <f t="shared" si="27"/>
        <v>0.23863227990650984</v>
      </c>
      <c r="AM84" s="338">
        <f t="shared" si="28"/>
        <v>0.43173203604047078</v>
      </c>
      <c r="AN84" s="338">
        <f t="shared" si="29"/>
        <v>0.32963568405301935</v>
      </c>
    </row>
    <row r="85" spans="2:40" ht="14.4" x14ac:dyDescent="0.55000000000000004">
      <c r="B85" s="3">
        <v>2039</v>
      </c>
      <c r="C85" s="707">
        <f>'Food System Summary'!F37</f>
        <v>1093.1560763959806</v>
      </c>
      <c r="E85" s="3">
        <v>2039</v>
      </c>
      <c r="F85" s="335">
        <f t="shared" si="20"/>
        <v>1936.8544168764911</v>
      </c>
      <c r="H85" s="3">
        <v>2039</v>
      </c>
      <c r="I85" s="335">
        <f t="shared" si="21"/>
        <v>354.49186144938312</v>
      </c>
      <c r="L85" s="3">
        <v>2039</v>
      </c>
      <c r="M85" s="707">
        <f>Bioplastics!B85</f>
        <v>141.44793612184003</v>
      </c>
      <c r="Q85" s="3">
        <v>2039</v>
      </c>
      <c r="R85" s="1197">
        <v>0.6569616556907496</v>
      </c>
      <c r="T85" s="3">
        <v>2039</v>
      </c>
      <c r="U85" s="335">
        <f t="shared" si="22"/>
        <v>1936.8544168764911</v>
      </c>
      <c r="W85" s="3">
        <v>2039</v>
      </c>
      <c r="X85" s="343"/>
      <c r="Y85" s="335">
        <f t="shared" si="23"/>
        <v>447.41773175802655</v>
      </c>
      <c r="AA85" s="3">
        <v>2039</v>
      </c>
      <c r="AB85" s="335">
        <f t="shared" si="24"/>
        <v>835.16634378071535</v>
      </c>
      <c r="AD85" s="3">
        <v>2039</v>
      </c>
      <c r="AE85" s="335">
        <f t="shared" si="25"/>
        <v>654.27034133774919</v>
      </c>
      <c r="AG85" s="3">
        <v>2039</v>
      </c>
      <c r="AH85" s="335">
        <f t="shared" si="26"/>
        <v>328.27790616002022</v>
      </c>
      <c r="AK85" s="3">
        <v>2039</v>
      </c>
      <c r="AL85" s="338">
        <f t="shared" si="27"/>
        <v>0.23100225182621839</v>
      </c>
      <c r="AM85" s="338">
        <f t="shared" si="28"/>
        <v>0.43119727352950143</v>
      </c>
      <c r="AN85" s="338">
        <f t="shared" si="29"/>
        <v>0.33780047464428015</v>
      </c>
    </row>
    <row r="86" spans="2:40" ht="14.4" x14ac:dyDescent="0.55000000000000004">
      <c r="B86" s="3">
        <v>2040</v>
      </c>
      <c r="C86" s="707">
        <f>'Food System Summary'!F38</f>
        <v>1141.0087076754892</v>
      </c>
      <c r="E86" s="3">
        <v>2040</v>
      </c>
      <c r="F86" s="335">
        <f t="shared" si="20"/>
        <v>1929.2595488976447</v>
      </c>
      <c r="H86" s="3">
        <v>2040</v>
      </c>
      <c r="I86" s="335">
        <f t="shared" si="21"/>
        <v>326.63651831872971</v>
      </c>
      <c r="L86" s="3">
        <v>2040</v>
      </c>
      <c r="M86" s="707">
        <f>Bioplastics!B86</f>
        <v>156.9327154441271</v>
      </c>
      <c r="Q86" s="3">
        <v>2040</v>
      </c>
      <c r="R86" s="1197">
        <v>0.66543130258940009</v>
      </c>
      <c r="T86" s="3">
        <v>2040</v>
      </c>
      <c r="U86" s="335">
        <f t="shared" si="22"/>
        <v>1929.2595488976447</v>
      </c>
      <c r="W86" s="3">
        <v>2040</v>
      </c>
      <c r="X86" s="343"/>
      <c r="Y86" s="335">
        <f t="shared" si="23"/>
        <v>431.06445957560686</v>
      </c>
      <c r="AA86" s="3">
        <v>2040</v>
      </c>
      <c r="AB86" s="335">
        <f t="shared" si="24"/>
        <v>830.16171604398551</v>
      </c>
      <c r="AD86" s="3">
        <v>2040</v>
      </c>
      <c r="AE86" s="335">
        <f t="shared" si="25"/>
        <v>668.0333732780523</v>
      </c>
      <c r="AG86" s="3">
        <v>2040</v>
      </c>
      <c r="AH86" s="335">
        <f t="shared" si="26"/>
        <v>325.54344578200295</v>
      </c>
      <c r="AK86" s="3">
        <v>2040</v>
      </c>
      <c r="AL86" s="338">
        <f t="shared" si="27"/>
        <v>0.22343518259215658</v>
      </c>
      <c r="AM86" s="338">
        <f t="shared" si="28"/>
        <v>0.43030069049979813</v>
      </c>
      <c r="AN86" s="338">
        <f t="shared" si="29"/>
        <v>0.34626412690804531</v>
      </c>
    </row>
    <row r="87" spans="2:40" ht="14.4" x14ac:dyDescent="0.55000000000000004">
      <c r="B87" s="3">
        <v>2041</v>
      </c>
      <c r="C87" s="707">
        <f>'Food System Summary'!F39</f>
        <v>1188.3440798795241</v>
      </c>
      <c r="E87" s="3">
        <v>2041</v>
      </c>
      <c r="F87" s="335">
        <f t="shared" si="20"/>
        <v>1928.9796947922237</v>
      </c>
      <c r="H87" s="3">
        <v>2041</v>
      </c>
      <c r="I87" s="335">
        <f t="shared" si="21"/>
        <v>302.50179823721442</v>
      </c>
      <c r="L87" s="3">
        <v>2041</v>
      </c>
      <c r="M87" s="707">
        <f>Bioplastics!B87</f>
        <v>173.23355841217563</v>
      </c>
      <c r="Q87" s="3">
        <v>2041</v>
      </c>
      <c r="R87" s="1197">
        <v>0.67369183316103387</v>
      </c>
      <c r="T87" s="3">
        <v>2041</v>
      </c>
      <c r="U87" s="335">
        <f t="shared" si="22"/>
        <v>1928.9796947922237</v>
      </c>
      <c r="W87" s="3">
        <v>2041</v>
      </c>
      <c r="X87" s="343"/>
      <c r="Y87" s="335">
        <f t="shared" si="23"/>
        <v>419.20783176892206</v>
      </c>
      <c r="AA87" s="3">
        <v>2041</v>
      </c>
      <c r="AB87" s="335">
        <f t="shared" si="24"/>
        <v>826.28440830649686</v>
      </c>
      <c r="AD87" s="3">
        <v>2041</v>
      </c>
      <c r="AE87" s="335">
        <f t="shared" si="25"/>
        <v>683.48745471680479</v>
      </c>
      <c r="AG87" s="3">
        <v>2041</v>
      </c>
      <c r="AH87" s="335">
        <f t="shared" si="26"/>
        <v>322.21841082617436</v>
      </c>
      <c r="AK87" s="3">
        <v>2041</v>
      </c>
      <c r="AL87" s="338">
        <f t="shared" si="27"/>
        <v>0.21732101841231471</v>
      </c>
      <c r="AM87" s="338">
        <f t="shared" si="28"/>
        <v>0.42835308766456376</v>
      </c>
      <c r="AN87" s="338">
        <f t="shared" si="29"/>
        <v>0.35432589392312153</v>
      </c>
    </row>
    <row r="88" spans="2:40" ht="14.4" x14ac:dyDescent="0.55000000000000004">
      <c r="B88" s="3">
        <v>2042</v>
      </c>
      <c r="C88" s="707">
        <f>'Food System Summary'!F40</f>
        <v>1235.1453961614427</v>
      </c>
      <c r="E88" s="3">
        <v>2042</v>
      </c>
      <c r="F88" s="335">
        <f t="shared" si="20"/>
        <v>1924.5440606052791</v>
      </c>
      <c r="H88" s="3">
        <v>2042</v>
      </c>
      <c r="I88" s="335">
        <f t="shared" si="21"/>
        <v>276.61576426970191</v>
      </c>
      <c r="L88" s="3">
        <v>2042</v>
      </c>
      <c r="M88" s="707">
        <f>Bioplastics!B88</f>
        <v>190.35125745111145</v>
      </c>
      <c r="Q88" s="3">
        <v>2042</v>
      </c>
      <c r="R88" s="1197">
        <v>0.68174841050616153</v>
      </c>
      <c r="T88" s="3">
        <v>2042</v>
      </c>
      <c r="U88" s="335">
        <f t="shared" si="22"/>
        <v>1924.5440606052791</v>
      </c>
      <c r="W88" s="3">
        <v>2042</v>
      </c>
      <c r="X88" s="343"/>
      <c r="Y88" s="335">
        <f t="shared" si="23"/>
        <v>406.38743147484627</v>
      </c>
      <c r="AA88" s="3">
        <v>2042</v>
      </c>
      <c r="AB88" s="335">
        <f t="shared" si="24"/>
        <v>820.03098349893287</v>
      </c>
      <c r="AD88" s="3">
        <v>2042</v>
      </c>
      <c r="AE88" s="335">
        <f t="shared" si="25"/>
        <v>698.12564563150011</v>
      </c>
      <c r="AG88" s="3">
        <v>2042</v>
      </c>
      <c r="AH88" s="335">
        <f t="shared" si="26"/>
        <v>318.32005313698807</v>
      </c>
      <c r="AK88" s="3">
        <v>2042</v>
      </c>
      <c r="AL88" s="338">
        <f t="shared" si="27"/>
        <v>0.21116036769095081</v>
      </c>
      <c r="AM88" s="338">
        <f t="shared" si="28"/>
        <v>0.42609104165743489</v>
      </c>
      <c r="AN88" s="338">
        <f t="shared" si="29"/>
        <v>0.36274859065161436</v>
      </c>
    </row>
    <row r="89" spans="2:40" ht="14.4" x14ac:dyDescent="0.55000000000000004">
      <c r="B89" s="3">
        <v>2043</v>
      </c>
      <c r="C89" s="707">
        <f>'Food System Summary'!F41</f>
        <v>1281.3891594945849</v>
      </c>
      <c r="E89" s="3">
        <v>2043</v>
      </c>
      <c r="F89" s="335">
        <f t="shared" si="20"/>
        <v>1920.6454682806316</v>
      </c>
      <c r="H89" s="3">
        <v>2043</v>
      </c>
      <c r="I89" s="335">
        <f t="shared" si="21"/>
        <v>251.23692078478985</v>
      </c>
      <c r="L89" s="3">
        <v>2043</v>
      </c>
      <c r="M89" s="707">
        <f>Bioplastics!B89</f>
        <v>208.28660498512909</v>
      </c>
      <c r="Q89" s="3">
        <v>2043</v>
      </c>
      <c r="R89" s="1197">
        <v>0.68960607024788745</v>
      </c>
      <c r="T89" s="3">
        <v>2043</v>
      </c>
      <c r="U89" s="335">
        <f t="shared" si="22"/>
        <v>1920.6454682806316</v>
      </c>
      <c r="W89" s="3">
        <v>2043</v>
      </c>
      <c r="X89" s="343"/>
      <c r="Y89" s="335">
        <f t="shared" si="23"/>
        <v>394.87262793385878</v>
      </c>
      <c r="AA89" s="3">
        <v>2043</v>
      </c>
      <c r="AB89" s="335">
        <f t="shared" si="24"/>
        <v>812.8120361673889</v>
      </c>
      <c r="AD89" s="3">
        <v>2043</v>
      </c>
      <c r="AE89" s="335">
        <f t="shared" si="25"/>
        <v>712.96080417938379</v>
      </c>
      <c r="AG89" s="3">
        <v>2043</v>
      </c>
      <c r="AH89" s="335">
        <f t="shared" si="26"/>
        <v>313.83842965495683</v>
      </c>
      <c r="AK89" s="3">
        <v>2043</v>
      </c>
      <c r="AL89" s="338">
        <f t="shared" si="27"/>
        <v>0.2055937102683246</v>
      </c>
      <c r="AM89" s="338">
        <f t="shared" si="28"/>
        <v>0.42319733110089341</v>
      </c>
      <c r="AN89" s="338">
        <f t="shared" si="29"/>
        <v>0.37120895863078196</v>
      </c>
    </row>
    <row r="90" spans="2:40" ht="14.4" x14ac:dyDescent="0.55000000000000004">
      <c r="B90" s="3">
        <v>2044</v>
      </c>
      <c r="C90" s="707">
        <f>'Food System Summary'!F42</f>
        <v>1327.0502859997002</v>
      </c>
      <c r="E90" s="3">
        <v>2044</v>
      </c>
      <c r="F90" s="335">
        <f t="shared" si="20"/>
        <v>1917.3344248109586</v>
      </c>
      <c r="H90" s="3">
        <v>2044</v>
      </c>
      <c r="I90" s="335">
        <f t="shared" si="21"/>
        <v>226.40532500397626</v>
      </c>
      <c r="L90" s="3">
        <v>2044</v>
      </c>
      <c r="M90" s="707">
        <f>Bioplastics!B90</f>
        <v>227.04039343912154</v>
      </c>
      <c r="Q90" s="3">
        <v>2044</v>
      </c>
      <c r="R90" s="1197">
        <v>0.69726972367933859</v>
      </c>
      <c r="T90" s="3">
        <v>2044</v>
      </c>
      <c r="U90" s="335">
        <f t="shared" si="22"/>
        <v>1917.3344248109586</v>
      </c>
      <c r="W90" s="3">
        <v>2044</v>
      </c>
      <c r="X90" s="343"/>
      <c r="Y90" s="335">
        <f t="shared" si="23"/>
        <v>384.71371740132088</v>
      </c>
      <c r="AA90" s="3">
        <v>2044</v>
      </c>
      <c r="AB90" s="335">
        <f t="shared" si="24"/>
        <v>804.62498977125949</v>
      </c>
      <c r="AD90" s="3">
        <v>2044</v>
      </c>
      <c r="AE90" s="335">
        <f t="shared" si="25"/>
        <v>727.99571763837832</v>
      </c>
      <c r="AG90" s="3">
        <v>2044</v>
      </c>
      <c r="AH90" s="335">
        <f t="shared" si="26"/>
        <v>308.77119895827036</v>
      </c>
      <c r="AK90" s="3">
        <v>2044</v>
      </c>
      <c r="AL90" s="338">
        <f t="shared" si="27"/>
        <v>0.20065029471280268</v>
      </c>
      <c r="AM90" s="338">
        <f t="shared" si="28"/>
        <v>0.41965813546094977</v>
      </c>
      <c r="AN90" s="338">
        <f t="shared" si="29"/>
        <v>0.37969156982624758</v>
      </c>
    </row>
    <row r="91" spans="2:40" ht="14.4" x14ac:dyDescent="0.55000000000000004">
      <c r="B91" s="3">
        <v>2045</v>
      </c>
      <c r="C91" s="707">
        <f>'Food System Summary'!F43</f>
        <v>1372.1041315775694</v>
      </c>
      <c r="E91" s="3">
        <v>2045</v>
      </c>
      <c r="F91" s="335">
        <f t="shared" si="20"/>
        <v>1914.7667795718805</v>
      </c>
      <c r="H91" s="3">
        <v>2045</v>
      </c>
      <c r="I91" s="335">
        <f t="shared" si="21"/>
        <v>202.21110235752462</v>
      </c>
      <c r="L91" s="3">
        <v>2045</v>
      </c>
      <c r="M91" s="707">
        <f>Bioplastics!B91</f>
        <v>246.6134152370505</v>
      </c>
      <c r="Q91" s="3">
        <v>2045</v>
      </c>
      <c r="R91" s="1197">
        <v>0.70474416083338287</v>
      </c>
      <c r="T91" s="3">
        <v>2045</v>
      </c>
      <c r="U91" s="335">
        <f t="shared" si="22"/>
        <v>1914.7667795718805</v>
      </c>
      <c r="W91" s="3">
        <v>2045</v>
      </c>
      <c r="X91" s="343"/>
      <c r="Y91" s="335">
        <f t="shared" si="23"/>
        <v>376.01046672901441</v>
      </c>
      <c r="AA91" s="3">
        <v>2045</v>
      </c>
      <c r="AB91" s="335">
        <f t="shared" si="24"/>
        <v>795.49886732648361</v>
      </c>
      <c r="AD91" s="3">
        <v>2045</v>
      </c>
      <c r="AE91" s="335">
        <f t="shared" si="25"/>
        <v>743.2574455163824</v>
      </c>
      <c r="AG91" s="3">
        <v>2045</v>
      </c>
      <c r="AH91" s="335">
        <f t="shared" si="26"/>
        <v>303.11572059854882</v>
      </c>
      <c r="AK91" s="3">
        <v>2045</v>
      </c>
      <c r="AL91" s="338">
        <f t="shared" si="27"/>
        <v>0.19637402880631027</v>
      </c>
      <c r="AM91" s="338">
        <f t="shared" si="28"/>
        <v>0.41545470488283059</v>
      </c>
      <c r="AN91" s="338">
        <f t="shared" si="29"/>
        <v>0.38817126631085908</v>
      </c>
    </row>
    <row r="92" spans="2:40" ht="14.4" x14ac:dyDescent="0.55000000000000004">
      <c r="B92" s="3">
        <v>2046</v>
      </c>
      <c r="C92" s="707">
        <f>'Food System Summary'!F44</f>
        <v>1416.5293195718832</v>
      </c>
      <c r="E92" s="3">
        <v>2046</v>
      </c>
      <c r="F92" s="335">
        <f t="shared" si="20"/>
        <v>1912.5577707547868</v>
      </c>
      <c r="H92" s="3">
        <v>2046</v>
      </c>
      <c r="I92" s="335">
        <f t="shared" si="21"/>
        <v>178.48356880987853</v>
      </c>
      <c r="L92" s="3">
        <v>2046</v>
      </c>
      <c r="M92" s="707">
        <f>Bioplastics!B92</f>
        <v>267.00646280474029</v>
      </c>
      <c r="Q92" s="3">
        <v>2046</v>
      </c>
      <c r="R92" s="1197">
        <v>0.71203405347655502</v>
      </c>
      <c r="T92" s="3">
        <v>2046</v>
      </c>
      <c r="U92" s="335">
        <f t="shared" si="22"/>
        <v>1912.5577707547868</v>
      </c>
      <c r="W92" s="3">
        <v>2046</v>
      </c>
      <c r="X92" s="343"/>
      <c r="Y92" s="335">
        <f t="shared" si="23"/>
        <v>368.60126282517479</v>
      </c>
      <c r="AA92" s="3">
        <v>2046</v>
      </c>
      <c r="AB92" s="335">
        <f t="shared" si="24"/>
        <v>785.30482345041855</v>
      </c>
      <c r="AD92" s="3">
        <v>2046</v>
      </c>
      <c r="AE92" s="335">
        <f t="shared" si="25"/>
        <v>758.65168447919359</v>
      </c>
      <c r="AG92" s="3">
        <v>2046</v>
      </c>
      <c r="AH92" s="335">
        <f t="shared" si="26"/>
        <v>296.86996643948646</v>
      </c>
      <c r="AK92" s="3">
        <v>2046</v>
      </c>
      <c r="AL92" s="338">
        <f t="shared" si="27"/>
        <v>0.19272686475750592</v>
      </c>
      <c r="AM92" s="338">
        <f t="shared" si="28"/>
        <v>0.41060449804896598</v>
      </c>
      <c r="AN92" s="338">
        <f t="shared" si="29"/>
        <v>0.39666863719352818</v>
      </c>
    </row>
    <row r="93" spans="2:40" ht="14.4" x14ac:dyDescent="0.55000000000000004">
      <c r="B93" s="3">
        <v>2047</v>
      </c>
      <c r="C93" s="707">
        <f>'Food System Summary'!F45</f>
        <v>1460.3051706408896</v>
      </c>
      <c r="E93" s="3">
        <v>2047</v>
      </c>
      <c r="F93" s="335">
        <f t="shared" si="20"/>
        <v>1910.7765156594437</v>
      </c>
      <c r="H93" s="3">
        <v>2047</v>
      </c>
      <c r="I93" s="335">
        <f t="shared" si="21"/>
        <v>155.26881450946757</v>
      </c>
      <c r="L93" s="3">
        <v>2047</v>
      </c>
      <c r="M93" s="707">
        <f>Bioplastics!B93</f>
        <v>288.22032856568694</v>
      </c>
      <c r="Q93" s="3">
        <v>2047</v>
      </c>
      <c r="R93" s="1197">
        <v>0.71914395802906339</v>
      </c>
      <c r="T93" s="3">
        <v>2047</v>
      </c>
      <c r="U93" s="335">
        <f t="shared" si="22"/>
        <v>1910.7765156594437</v>
      </c>
      <c r="W93" s="3">
        <v>2047</v>
      </c>
      <c r="X93" s="343"/>
      <c r="Y93" s="335">
        <f t="shared" si="23"/>
        <v>362.54072237863284</v>
      </c>
      <c r="AA93" s="3">
        <v>2047</v>
      </c>
      <c r="AB93" s="335">
        <f t="shared" si="24"/>
        <v>774.04997101286222</v>
      </c>
      <c r="AD93" s="3">
        <v>2047</v>
      </c>
      <c r="AE93" s="335">
        <f t="shared" si="25"/>
        <v>774.18582226794865</v>
      </c>
      <c r="AG93" s="3">
        <v>2047</v>
      </c>
      <c r="AH93" s="335">
        <f t="shared" si="26"/>
        <v>290.03180507186221</v>
      </c>
      <c r="AK93" s="3">
        <v>2047</v>
      </c>
      <c r="AL93" s="338">
        <f t="shared" si="27"/>
        <v>0.18973475935437351</v>
      </c>
      <c r="AM93" s="338">
        <f t="shared" si="28"/>
        <v>0.40509707161945285</v>
      </c>
      <c r="AN93" s="338">
        <f t="shared" si="29"/>
        <v>0.40516816902617364</v>
      </c>
    </row>
    <row r="94" spans="2:40" ht="14.4" x14ac:dyDescent="0.55000000000000004">
      <c r="B94" s="3">
        <v>2048</v>
      </c>
      <c r="C94" s="707">
        <f>'Food System Summary'!F46</f>
        <v>1503.4085068024622</v>
      </c>
      <c r="E94" s="3">
        <v>2048</v>
      </c>
      <c r="F94" s="335">
        <f t="shared" si="20"/>
        <v>1909.5294342674945</v>
      </c>
      <c r="H94" s="3">
        <v>2048</v>
      </c>
      <c r="I94" s="335">
        <f t="shared" si="21"/>
        <v>132.63200364986551</v>
      </c>
      <c r="L94" s="3">
        <v>2048</v>
      </c>
      <c r="M94" s="707">
        <f>Bioplastics!B94</f>
        <v>310.25580494501628</v>
      </c>
      <c r="Q94" s="3">
        <v>2048</v>
      </c>
      <c r="R94" s="1197">
        <v>0.7260783184127001</v>
      </c>
      <c r="T94" s="3">
        <v>2048</v>
      </c>
      <c r="U94" s="335">
        <f t="shared" si="22"/>
        <v>1909.5294342674945</v>
      </c>
      <c r="W94" s="3">
        <v>2048</v>
      </c>
      <c r="X94" s="343"/>
      <c r="Y94" s="335">
        <f t="shared" si="23"/>
        <v>357.90201678212162</v>
      </c>
      <c r="AA94" s="3">
        <v>2048</v>
      </c>
      <c r="AB94" s="335">
        <f t="shared" si="24"/>
        <v>761.75163942517588</v>
      </c>
      <c r="AD94" s="3">
        <v>2048</v>
      </c>
      <c r="AE94" s="335">
        <f t="shared" si="25"/>
        <v>789.87577806019704</v>
      </c>
      <c r="AG94" s="3">
        <v>2048</v>
      </c>
      <c r="AH94" s="335">
        <f t="shared" si="26"/>
        <v>282.59867735009686</v>
      </c>
      <c r="AK94" s="3">
        <v>2048</v>
      </c>
      <c r="AL94" s="338">
        <f t="shared" si="27"/>
        <v>0.18742943175390994</v>
      </c>
      <c r="AM94" s="338">
        <f t="shared" si="28"/>
        <v>0.39892112986327849</v>
      </c>
      <c r="AN94" s="338">
        <f t="shared" si="29"/>
        <v>0.4136494383828116</v>
      </c>
    </row>
    <row r="95" spans="2:40" ht="14.4" x14ac:dyDescent="0.55000000000000004">
      <c r="B95" s="3">
        <v>2049</v>
      </c>
      <c r="C95" s="707">
        <f>'Food System Summary'!F47</f>
        <v>1545.8158890591249</v>
      </c>
      <c r="E95" s="3">
        <v>2049</v>
      </c>
      <c r="F95" s="335">
        <f t="shared" si="20"/>
        <v>1908.8471346670872</v>
      </c>
      <c r="H95" s="3">
        <v>2049</v>
      </c>
      <c r="I95" s="335">
        <f t="shared" si="21"/>
        <v>110.60199367518157</v>
      </c>
      <c r="L95" s="3">
        <v>2049</v>
      </c>
      <c r="M95" s="707">
        <f>Bioplastics!B95</f>
        <v>333.11368436738849</v>
      </c>
      <c r="Q95" s="3">
        <v>2049</v>
      </c>
      <c r="R95" s="1197">
        <v>0.73284146882843759</v>
      </c>
      <c r="T95" s="3">
        <v>2049</v>
      </c>
      <c r="U95" s="335">
        <f t="shared" si="22"/>
        <v>1908.8471346670872</v>
      </c>
      <c r="W95" s="3">
        <v>2049</v>
      </c>
      <c r="X95" s="343"/>
      <c r="Y95" s="335">
        <f t="shared" si="23"/>
        <v>354.72151541383107</v>
      </c>
      <c r="AA95" s="3">
        <v>2049</v>
      </c>
      <c r="AB95" s="335">
        <f t="shared" si="24"/>
        <v>748.40516497789156</v>
      </c>
      <c r="AD95" s="3">
        <v>2049</v>
      </c>
      <c r="AE95" s="335">
        <f t="shared" si="25"/>
        <v>805.72045427536443</v>
      </c>
      <c r="AG95" s="3">
        <v>2049</v>
      </c>
      <c r="AH95" s="335">
        <f t="shared" si="26"/>
        <v>274.56816700025058</v>
      </c>
      <c r="AK95" s="3">
        <v>2049</v>
      </c>
      <c r="AL95" s="338">
        <f t="shared" si="27"/>
        <v>0.18583023699050491</v>
      </c>
      <c r="AM95" s="338">
        <f t="shared" si="28"/>
        <v>0.39207181726912738</v>
      </c>
      <c r="AN95" s="338">
        <f t="shared" si="29"/>
        <v>0.42209794574036763</v>
      </c>
    </row>
    <row r="96" spans="2:40" ht="14.4" x14ac:dyDescent="0.55000000000000004">
      <c r="B96" s="3">
        <v>2050</v>
      </c>
      <c r="C96" s="707">
        <f>'Food System Summary'!F48</f>
        <v>1587.5052903575274</v>
      </c>
      <c r="E96" s="3">
        <v>2050</v>
      </c>
      <c r="F96" s="335">
        <f t="shared" si="20"/>
        <v>1908.0662711453197</v>
      </c>
      <c r="H96" s="3">
        <v>2050</v>
      </c>
      <c r="I96" s="335">
        <f t="shared" si="21"/>
        <v>88.873981243564231</v>
      </c>
      <c r="L96" s="3">
        <v>2050</v>
      </c>
      <c r="M96" s="707">
        <f>Bioplastics!B96</f>
        <v>356.79475925723091</v>
      </c>
      <c r="Q96" s="3">
        <v>2050</v>
      </c>
      <c r="R96" s="1197">
        <v>0.7394376364654448</v>
      </c>
      <c r="T96" s="3">
        <v>2050</v>
      </c>
      <c r="U96" s="335">
        <f t="shared" si="22"/>
        <v>1908.0662711453197</v>
      </c>
      <c r="W96" s="3">
        <v>2050</v>
      </c>
      <c r="X96" s="343"/>
      <c r="Y96" s="335">
        <f t="shared" si="23"/>
        <v>352.70145473198846</v>
      </c>
      <c r="AA96" s="3">
        <v>2050</v>
      </c>
      <c r="AB96" s="335">
        <f t="shared" si="24"/>
        <v>733.80865016448865</v>
      </c>
      <c r="AD96" s="3">
        <v>2050</v>
      </c>
      <c r="AE96" s="335">
        <f t="shared" si="25"/>
        <v>821.5561662488426</v>
      </c>
      <c r="AG96" s="3">
        <v>2050</v>
      </c>
      <c r="AH96" s="335">
        <f t="shared" si="26"/>
        <v>264.89798653443233</v>
      </c>
      <c r="AK96" s="3">
        <v>2050</v>
      </c>
      <c r="AL96" s="338">
        <f t="shared" si="27"/>
        <v>0.18484759154632449</v>
      </c>
      <c r="AM96" s="338">
        <f t="shared" si="28"/>
        <v>0.38458237078108348</v>
      </c>
      <c r="AN96" s="338">
        <f t="shared" si="29"/>
        <v>0.43057003767259211</v>
      </c>
    </row>
    <row r="97" spans="1:46" ht="14.4" x14ac:dyDescent="0.55000000000000004">
      <c r="B97" s="3">
        <v>2051</v>
      </c>
      <c r="C97" s="707">
        <f>'Food System Summary'!F49</f>
        <v>1597.0345551669989</v>
      </c>
      <c r="E97" s="3">
        <v>2051</v>
      </c>
      <c r="F97" s="335">
        <f t="shared" si="20"/>
        <v>1940.7137938943147</v>
      </c>
      <c r="H97" s="3">
        <v>2051</v>
      </c>
      <c r="I97" s="335">
        <f t="shared" si="21"/>
        <v>99.891668209550744</v>
      </c>
      <c r="L97" s="3">
        <v>2051</v>
      </c>
      <c r="M97" s="707">
        <f>Bioplastics!B97</f>
        <v>381.29982203943655</v>
      </c>
      <c r="Q97" s="3">
        <v>2051</v>
      </c>
      <c r="R97" s="1197">
        <v>0.7432277927881854</v>
      </c>
      <c r="T97" s="3">
        <v>2051</v>
      </c>
      <c r="U97" s="335">
        <f t="shared" si="22"/>
        <v>1940.7137938943147</v>
      </c>
      <c r="W97" s="3">
        <v>2051</v>
      </c>
      <c r="X97" s="343"/>
      <c r="Y97" s="335">
        <f t="shared" si="23"/>
        <v>383.28429333444905</v>
      </c>
      <c r="AA97" s="3">
        <v>2051</v>
      </c>
      <c r="AB97" s="335">
        <f t="shared" si="24"/>
        <v>719.55903183398436</v>
      </c>
      <c r="AD97" s="3">
        <v>2051</v>
      </c>
      <c r="AE97" s="335">
        <f t="shared" si="25"/>
        <v>837.87046872588121</v>
      </c>
      <c r="AG97" s="3">
        <v>2051</v>
      </c>
      <c r="AH97" s="335">
        <f t="shared" si="26"/>
        <v>256.70458011313281</v>
      </c>
      <c r="AK97" s="3">
        <v>2051</v>
      </c>
      <c r="AL97" s="338">
        <f t="shared" si="27"/>
        <v>0.19749655747297767</v>
      </c>
      <c r="AM97" s="338">
        <f t="shared" si="28"/>
        <v>0.37077029807166367</v>
      </c>
      <c r="AN97" s="338">
        <f t="shared" si="29"/>
        <v>0.4317331444553586</v>
      </c>
    </row>
    <row r="98" spans="1:46" ht="14.4" x14ac:dyDescent="0.55000000000000004">
      <c r="B98" s="3">
        <v>2052</v>
      </c>
      <c r="C98" s="707">
        <f>'Food System Summary'!F50</f>
        <v>1606.3814292614609</v>
      </c>
      <c r="E98" s="3">
        <v>2052</v>
      </c>
      <c r="F98" s="335">
        <f t="shared" si="20"/>
        <v>1972.7415006600474</v>
      </c>
      <c r="H98" s="3">
        <v>2052</v>
      </c>
      <c r="I98" s="335">
        <f t="shared" si="21"/>
        <v>110.68599906060717</v>
      </c>
      <c r="L98" s="3">
        <v>2052</v>
      </c>
      <c r="M98" s="707">
        <f>Bioplastics!B98</f>
        <v>406.62966513843276</v>
      </c>
      <c r="Q98" s="3">
        <v>2052</v>
      </c>
      <c r="R98" s="1197">
        <v>0.74865445113542495</v>
      </c>
      <c r="T98" s="3">
        <v>2052</v>
      </c>
      <c r="U98" s="335">
        <f t="shared" si="22"/>
        <v>1972.7415006600474</v>
      </c>
      <c r="W98" s="3">
        <v>2052</v>
      </c>
      <c r="X98" s="343"/>
      <c r="Y98" s="335">
        <f t="shared" si="23"/>
        <v>415.11110783020217</v>
      </c>
      <c r="AA98" s="3">
        <v>2052</v>
      </c>
      <c r="AB98" s="335">
        <f t="shared" si="24"/>
        <v>703.45590829630203</v>
      </c>
      <c r="AD98" s="3">
        <v>2052</v>
      </c>
      <c r="AE98" s="335">
        <f t="shared" si="25"/>
        <v>854.17448453354325</v>
      </c>
      <c r="AG98" s="3">
        <v>2052</v>
      </c>
      <c r="AH98" s="335">
        <f t="shared" si="26"/>
        <v>246.86564212130327</v>
      </c>
      <c r="AK98" s="3">
        <v>2052</v>
      </c>
      <c r="AL98" s="338">
        <f t="shared" si="27"/>
        <v>0.2104234678954707</v>
      </c>
      <c r="AM98" s="338">
        <f t="shared" si="28"/>
        <v>0.35658798076734183</v>
      </c>
      <c r="AN98" s="338">
        <f t="shared" si="29"/>
        <v>0.4329885513371875</v>
      </c>
    </row>
    <row r="99" spans="1:46" ht="14.4" x14ac:dyDescent="0.55000000000000004">
      <c r="B99" s="3">
        <v>2053</v>
      </c>
      <c r="C99" s="707">
        <f>'Food System Summary'!F51</f>
        <v>1615.5443097038897</v>
      </c>
      <c r="E99" s="3">
        <v>2053</v>
      </c>
      <c r="F99" s="335">
        <f t="shared" si="20"/>
        <v>2004.8507053271392</v>
      </c>
      <c r="H99" s="3">
        <v>2053</v>
      </c>
      <c r="I99" s="335">
        <f t="shared" si="21"/>
        <v>121.59565579872628</v>
      </c>
      <c r="L99" s="3">
        <v>2053</v>
      </c>
      <c r="M99" s="707">
        <f>Bioplastics!B99</f>
        <v>432.78508097887971</v>
      </c>
      <c r="Q99" s="3">
        <v>2053</v>
      </c>
      <c r="R99" s="1197">
        <v>0.75382368813664513</v>
      </c>
      <c r="T99" s="3">
        <v>2053</v>
      </c>
      <c r="U99" s="335">
        <f t="shared" si="22"/>
        <v>2004.8507053271392</v>
      </c>
      <c r="W99" s="3">
        <v>2053</v>
      </c>
      <c r="X99" s="343"/>
      <c r="Y99" s="335">
        <f t="shared" si="23"/>
        <v>447.83930171274199</v>
      </c>
      <c r="AA99" s="3">
        <v>2053</v>
      </c>
      <c r="AB99" s="335">
        <f t="shared" si="24"/>
        <v>686.38083979016324</v>
      </c>
      <c r="AD99" s="3">
        <v>2053</v>
      </c>
      <c r="AE99" s="335">
        <f t="shared" si="25"/>
        <v>870.63056382423406</v>
      </c>
      <c r="AG99" s="3">
        <v>2053</v>
      </c>
      <c r="AH99" s="335">
        <f t="shared" si="26"/>
        <v>236.41775455966251</v>
      </c>
      <c r="AK99" s="3">
        <v>2053</v>
      </c>
      <c r="AL99" s="338">
        <f t="shared" si="27"/>
        <v>0.22337788071838813</v>
      </c>
      <c r="AM99" s="338">
        <f t="shared" si="28"/>
        <v>0.34236007597292079</v>
      </c>
      <c r="AN99" s="338">
        <f t="shared" si="29"/>
        <v>0.43426204330869111</v>
      </c>
    </row>
    <row r="100" spans="1:46" ht="14.4" x14ac:dyDescent="0.55000000000000004">
      <c r="B100" s="3">
        <v>2054</v>
      </c>
      <c r="C100" s="707">
        <f>'Food System Summary'!F52</f>
        <v>1624.5224550885387</v>
      </c>
      <c r="E100" s="3">
        <v>2054</v>
      </c>
      <c r="F100" s="335">
        <f t="shared" si="20"/>
        <v>2037.049318392013</v>
      </c>
      <c r="H100" s="3">
        <v>2054</v>
      </c>
      <c r="I100" s="335">
        <f t="shared" si="21"/>
        <v>132.62623413425899</v>
      </c>
      <c r="L100" s="3">
        <v>2054</v>
      </c>
      <c r="M100" s="707">
        <f>Bioplastics!B100</f>
        <v>459.76686198543757</v>
      </c>
      <c r="Q100" s="3">
        <v>2054</v>
      </c>
      <c r="R100" s="1197">
        <v>0.75873550379184596</v>
      </c>
      <c r="T100" s="3">
        <v>2054</v>
      </c>
      <c r="U100" s="335">
        <f t="shared" si="22"/>
        <v>2037.049318392013</v>
      </c>
      <c r="W100" s="3">
        <v>2054</v>
      </c>
      <c r="X100" s="343"/>
      <c r="Y100" s="335">
        <f t="shared" si="23"/>
        <v>481.46767578957611</v>
      </c>
      <c r="AA100" s="3">
        <v>2054</v>
      </c>
      <c r="AB100" s="335">
        <f t="shared" si="24"/>
        <v>668.34319701758034</v>
      </c>
      <c r="AD100" s="3">
        <v>2054</v>
      </c>
      <c r="AE100" s="335">
        <f t="shared" si="25"/>
        <v>887.23844558485655</v>
      </c>
      <c r="AG100" s="3">
        <v>2054</v>
      </c>
      <c r="AH100" s="335">
        <f t="shared" si="26"/>
        <v>225.357615075946</v>
      </c>
      <c r="AK100" s="3">
        <v>2054</v>
      </c>
      <c r="AL100" s="338">
        <f t="shared" si="27"/>
        <v>0.23635543403025341</v>
      </c>
      <c r="AM100" s="338">
        <f t="shared" si="28"/>
        <v>0.32809377317636612</v>
      </c>
      <c r="AN100" s="338">
        <f t="shared" si="29"/>
        <v>0.43555079279338044</v>
      </c>
    </row>
    <row r="101" spans="1:46" ht="14.4" x14ac:dyDescent="0.55000000000000004">
      <c r="B101" s="3">
        <v>2055</v>
      </c>
      <c r="C101" s="707">
        <f>'Food System Summary'!F53</f>
        <v>1633.3165947135749</v>
      </c>
      <c r="E101" s="3">
        <v>2055</v>
      </c>
      <c r="F101" s="335">
        <f t="shared" si="20"/>
        <v>2069.3437796471735</v>
      </c>
      <c r="H101" s="3">
        <v>2055</v>
      </c>
      <c r="I101" s="335">
        <f t="shared" si="21"/>
        <v>143.78176391203806</v>
      </c>
      <c r="L101" s="3">
        <v>2055</v>
      </c>
      <c r="M101" s="707">
        <f>Bioplastics!B101</f>
        <v>487.5758005825337</v>
      </c>
      <c r="Q101" s="3">
        <v>2055</v>
      </c>
      <c r="R101" s="1197">
        <v>0.76338989810102742</v>
      </c>
      <c r="T101" s="3">
        <v>2055</v>
      </c>
      <c r="U101" s="335">
        <f t="shared" si="22"/>
        <v>2069.3437796471735</v>
      </c>
      <c r="W101" s="3">
        <v>2055</v>
      </c>
      <c r="X101" s="343"/>
      <c r="Y101" s="335">
        <f t="shared" si="23"/>
        <v>515.99220463526535</v>
      </c>
      <c r="AA101" s="3">
        <v>2055</v>
      </c>
      <c r="AB101" s="335">
        <f t="shared" si="24"/>
        <v>649.35355656290335</v>
      </c>
      <c r="AD101" s="3">
        <v>2055</v>
      </c>
      <c r="AE101" s="335">
        <f t="shared" si="25"/>
        <v>903.9980184490048</v>
      </c>
      <c r="AG101" s="3">
        <v>2055</v>
      </c>
      <c r="AH101" s="335">
        <f t="shared" si="26"/>
        <v>213.68190925214446</v>
      </c>
      <c r="AK101" s="3">
        <v>2055</v>
      </c>
      <c r="AL101" s="338">
        <f t="shared" si="27"/>
        <v>0.24935064425266393</v>
      </c>
      <c r="AM101" s="338">
        <f t="shared" si="28"/>
        <v>0.31379684852249112</v>
      </c>
      <c r="AN101" s="338">
        <f t="shared" si="29"/>
        <v>0.43685250722484492</v>
      </c>
    </row>
    <row r="102" spans="1:46" ht="14.4" x14ac:dyDescent="0.55000000000000004">
      <c r="B102" s="3">
        <v>2056</v>
      </c>
      <c r="C102" s="707">
        <f>'Food System Summary'!F54</f>
        <v>1641.9270103226868</v>
      </c>
      <c r="E102" s="3">
        <v>2056</v>
      </c>
      <c r="F102" s="335">
        <f t="shared" si="20"/>
        <v>2101.7409764396066</v>
      </c>
      <c r="H102" s="3">
        <v>2056</v>
      </c>
      <c r="I102" s="335">
        <f t="shared" si="21"/>
        <v>155.06663290011193</v>
      </c>
      <c r="L102" s="3">
        <v>2056</v>
      </c>
      <c r="M102" s="707">
        <f>Bioplastics!B102</f>
        <v>516.2126891950611</v>
      </c>
      <c r="Q102" s="3">
        <v>2056</v>
      </c>
      <c r="R102" s="1197">
        <v>0.76778687106418952</v>
      </c>
      <c r="T102" s="3">
        <v>2056</v>
      </c>
      <c r="U102" s="335">
        <f t="shared" si="22"/>
        <v>2101.7409764396066</v>
      </c>
      <c r="W102" s="3">
        <v>2056</v>
      </c>
      <c r="X102" s="343"/>
      <c r="Y102" s="335">
        <f t="shared" si="23"/>
        <v>551.40795834081882</v>
      </c>
      <c r="AA102" s="3">
        <v>2056</v>
      </c>
      <c r="AB102" s="335">
        <f t="shared" si="24"/>
        <v>629.4237029321614</v>
      </c>
      <c r="AD102" s="3">
        <v>2056</v>
      </c>
      <c r="AE102" s="335">
        <f t="shared" si="25"/>
        <v>920.90931516662636</v>
      </c>
      <c r="AG102" s="3">
        <v>2056</v>
      </c>
      <c r="AH102" s="335">
        <f t="shared" si="26"/>
        <v>201.38752887920487</v>
      </c>
      <c r="AK102" s="3">
        <v>2056</v>
      </c>
      <c r="AL102" s="338">
        <f t="shared" si="27"/>
        <v>0.26235771416272025</v>
      </c>
      <c r="AM102" s="338">
        <f t="shared" si="28"/>
        <v>0.29947729524616223</v>
      </c>
      <c r="AN102" s="338">
        <f t="shared" si="29"/>
        <v>0.43816499059111752</v>
      </c>
    </row>
    <row r="103" spans="1:46" ht="14.4" x14ac:dyDescent="0.55000000000000004">
      <c r="B103" s="3">
        <v>2057</v>
      </c>
      <c r="C103" s="707">
        <f>'Food System Summary'!F55</f>
        <v>1650.3573682046656</v>
      </c>
      <c r="E103" s="3">
        <v>2057</v>
      </c>
      <c r="F103" s="335">
        <f t="shared" si="20"/>
        <v>2134.2444115711942</v>
      </c>
      <c r="H103" s="3">
        <v>2057</v>
      </c>
      <c r="I103" s="335">
        <f t="shared" si="21"/>
        <v>166.48176002150853</v>
      </c>
      <c r="L103" s="3">
        <v>2057</v>
      </c>
      <c r="M103" s="707">
        <f>Bioplastics!B103</f>
        <v>545.67832024744712</v>
      </c>
      <c r="Q103" s="3">
        <v>2057</v>
      </c>
      <c r="R103" s="1197">
        <v>0.77192642268133227</v>
      </c>
      <c r="T103" s="3">
        <v>2057</v>
      </c>
      <c r="U103" s="335">
        <f t="shared" si="22"/>
        <v>2134.2444115711942</v>
      </c>
      <c r="W103" s="3">
        <v>2057</v>
      </c>
      <c r="X103" s="343"/>
      <c r="Y103" s="335">
        <f t="shared" si="23"/>
        <v>587.70527370487878</v>
      </c>
      <c r="AA103" s="3">
        <v>2057</v>
      </c>
      <c r="AB103" s="335">
        <f t="shared" si="24"/>
        <v>608.56663059364143</v>
      </c>
      <c r="AD103" s="3">
        <v>2057</v>
      </c>
      <c r="AE103" s="335">
        <f t="shared" si="25"/>
        <v>937.97250727267385</v>
      </c>
      <c r="AG103" s="3">
        <v>2057</v>
      </c>
      <c r="AH103" s="335">
        <f t="shared" si="26"/>
        <v>188.47127303956825</v>
      </c>
      <c r="AK103" s="3">
        <v>2057</v>
      </c>
      <c r="AL103" s="338">
        <f t="shared" si="27"/>
        <v>0.27536924567707793</v>
      </c>
      <c r="AM103" s="338">
        <f t="shared" si="28"/>
        <v>0.28514383230626578</v>
      </c>
      <c r="AN103" s="338">
        <f t="shared" si="29"/>
        <v>0.43948692201665629</v>
      </c>
    </row>
    <row r="104" spans="1:46" ht="14.4" x14ac:dyDescent="0.55000000000000004">
      <c r="B104" s="3">
        <v>2058</v>
      </c>
      <c r="C104" s="707">
        <f>'Food System Summary'!F56</f>
        <v>1658.6167789636181</v>
      </c>
      <c r="E104" s="3">
        <v>2058</v>
      </c>
      <c r="F104" s="335">
        <f t="shared" si="20"/>
        <v>2166.8521435285047</v>
      </c>
      <c r="H104" s="3">
        <v>2058</v>
      </c>
      <c r="I104" s="335">
        <f t="shared" si="21"/>
        <v>178.02254070406639</v>
      </c>
      <c r="L104" s="3">
        <v>2058</v>
      </c>
      <c r="M104" s="707">
        <f>Bioplastics!B104</f>
        <v>575.97348616435193</v>
      </c>
      <c r="Q104" s="3">
        <v>2058</v>
      </c>
      <c r="R104" s="1197">
        <v>0.77580855295245554</v>
      </c>
      <c r="T104" s="3">
        <v>2058</v>
      </c>
      <c r="U104" s="335">
        <f t="shared" si="22"/>
        <v>2166.8521435285047</v>
      </c>
      <c r="W104" s="3">
        <v>2058</v>
      </c>
      <c r="X104" s="343"/>
      <c r="Y104" s="335">
        <f t="shared" si="23"/>
        <v>624.86769754421334</v>
      </c>
      <c r="AA104" s="3">
        <v>2058</v>
      </c>
      <c r="AB104" s="335">
        <f t="shared" si="24"/>
        <v>586.7965460172245</v>
      </c>
      <c r="AD104" s="3">
        <v>2058</v>
      </c>
      <c r="AE104" s="335">
        <f t="shared" si="25"/>
        <v>955.18789996706687</v>
      </c>
      <c r="AG104" s="3">
        <v>2058</v>
      </c>
      <c r="AH104" s="335">
        <f t="shared" si="26"/>
        <v>174.92950373350709</v>
      </c>
      <c r="AK104" s="3">
        <v>2058</v>
      </c>
      <c r="AL104" s="338">
        <f t="shared" si="27"/>
        <v>0.28837578946511688</v>
      </c>
      <c r="AM104" s="338">
        <f t="shared" si="28"/>
        <v>0.27080599281761991</v>
      </c>
      <c r="AN104" s="338">
        <f t="shared" si="29"/>
        <v>0.44081821771726321</v>
      </c>
    </row>
    <row r="105" spans="1:46" ht="14.4" x14ac:dyDescent="0.55000000000000004">
      <c r="B105" s="3">
        <v>2059</v>
      </c>
      <c r="C105" s="707">
        <f>'Food System Summary'!F57</f>
        <v>1666.7173955002281</v>
      </c>
      <c r="E105" s="3">
        <v>2059</v>
      </c>
      <c r="F105" s="335">
        <f t="shared" si="20"/>
        <v>2199.559188501526</v>
      </c>
      <c r="H105" s="3">
        <v>2059</v>
      </c>
      <c r="I105" s="335">
        <f t="shared" si="21"/>
        <v>189.68125379983758</v>
      </c>
      <c r="L105" s="3">
        <v>2059</v>
      </c>
      <c r="M105" s="707">
        <f>Bioplastics!B105</f>
        <v>607.09897937066853</v>
      </c>
      <c r="Q105" s="3">
        <v>2059</v>
      </c>
      <c r="R105" s="1197">
        <v>0.77943326187755946</v>
      </c>
      <c r="T105" s="3">
        <v>2059</v>
      </c>
      <c r="U105" s="335">
        <f t="shared" si="22"/>
        <v>2199.559188501526</v>
      </c>
      <c r="W105" s="3">
        <v>2059</v>
      </c>
      <c r="X105" s="343"/>
      <c r="Y105" s="335">
        <f t="shared" si="23"/>
        <v>662.87439157325491</v>
      </c>
      <c r="AA105" s="3">
        <v>2059</v>
      </c>
      <c r="AB105" s="335">
        <f t="shared" si="24"/>
        <v>564.12886971425326</v>
      </c>
      <c r="AD105" s="3">
        <v>2059</v>
      </c>
      <c r="AE105" s="335">
        <f t="shared" si="25"/>
        <v>972.55592721401797</v>
      </c>
      <c r="AG105" s="3">
        <v>2059</v>
      </c>
      <c r="AH105" s="335">
        <f t="shared" si="26"/>
        <v>160.75835305051396</v>
      </c>
      <c r="AK105" s="3">
        <v>2059</v>
      </c>
      <c r="AL105" s="338">
        <f t="shared" si="27"/>
        <v>0.30136692617253252</v>
      </c>
      <c r="AM105" s="338">
        <f t="shared" si="28"/>
        <v>0.25647360283065274</v>
      </c>
      <c r="AN105" s="338">
        <f t="shared" si="29"/>
        <v>0.4421594709968148</v>
      </c>
    </row>
    <row r="106" spans="1:46" ht="14.4" x14ac:dyDescent="0.55000000000000004">
      <c r="B106" s="3">
        <v>2060</v>
      </c>
      <c r="C106" s="707">
        <f>'Food System Summary'!F58</f>
        <v>1674.6698257524004</v>
      </c>
      <c r="E106" s="3">
        <v>2060</v>
      </c>
      <c r="F106" s="335">
        <f t="shared" si="20"/>
        <v>2232.3621076430281</v>
      </c>
      <c r="H106" s="3">
        <v>2060</v>
      </c>
      <c r="I106" s="335">
        <f t="shared" si="21"/>
        <v>201.45165352119056</v>
      </c>
      <c r="L106" s="3">
        <v>2060</v>
      </c>
      <c r="M106" s="707">
        <f>Bioplastics!B106</f>
        <v>639.05559229059145</v>
      </c>
      <c r="Q106" s="3">
        <v>2060</v>
      </c>
      <c r="R106" s="339">
        <v>0.78280054945664412</v>
      </c>
      <c r="T106" s="3">
        <v>2060</v>
      </c>
      <c r="U106" s="335">
        <f t="shared" si="22"/>
        <v>2232.3621076430281</v>
      </c>
      <c r="W106" s="3">
        <v>2060</v>
      </c>
      <c r="X106" s="343"/>
      <c r="Y106" s="335">
        <f t="shared" si="23"/>
        <v>701.70472229960671</v>
      </c>
      <c r="AA106" s="3">
        <v>2060</v>
      </c>
      <c r="AB106" s="335">
        <f t="shared" si="24"/>
        <v>540.58023827812588</v>
      </c>
      <c r="AD106" s="3">
        <v>2060</v>
      </c>
      <c r="AE106" s="335">
        <f t="shared" si="25"/>
        <v>990.07714706529566</v>
      </c>
      <c r="AG106" s="3">
        <v>2060</v>
      </c>
      <c r="AH106" s="335">
        <f t="shared" si="26"/>
        <v>145.95396816222421</v>
      </c>
      <c r="AK106" s="3">
        <v>2060</v>
      </c>
      <c r="AL106" s="338">
        <f t="shared" si="27"/>
        <v>0.3143328404908648</v>
      </c>
      <c r="AM106" s="338">
        <f t="shared" si="28"/>
        <v>0.2421561611475663</v>
      </c>
      <c r="AN106" s="338">
        <f t="shared" si="29"/>
        <v>0.44351099836156893</v>
      </c>
    </row>
    <row r="109" spans="1:46" ht="22.5" x14ac:dyDescent="0.75">
      <c r="A109" s="336" t="s">
        <v>489</v>
      </c>
      <c r="Q109" s="638"/>
      <c r="R109" s="638"/>
      <c r="S109" s="638"/>
      <c r="T109" s="638"/>
    </row>
    <row r="110" spans="1:46" ht="200.05" customHeight="1" x14ac:dyDescent="0.4">
      <c r="B110" s="1275" t="s">
        <v>490</v>
      </c>
      <c r="C110" s="1276"/>
      <c r="D110" s="1276"/>
      <c r="F110" s="1275" t="s">
        <v>491</v>
      </c>
      <c r="G110" s="1276"/>
      <c r="H110" s="1276"/>
      <c r="J110" s="1275" t="s">
        <v>481</v>
      </c>
      <c r="K110" s="1276"/>
      <c r="L110" s="1276"/>
      <c r="M110" s="1276"/>
      <c r="N110" s="1276"/>
      <c r="P110" s="1280" t="s">
        <v>492</v>
      </c>
      <c r="Q110" s="1281"/>
      <c r="R110" s="1281"/>
      <c r="S110" s="1281"/>
      <c r="V110" s="1275" t="s">
        <v>493</v>
      </c>
      <c r="W110" s="1276"/>
      <c r="X110" s="1276"/>
      <c r="Y110" s="1276"/>
      <c r="Z110" s="1276"/>
      <c r="AA110" s="1276"/>
      <c r="AB110" s="1276"/>
      <c r="AC110" s="1276"/>
      <c r="AE110" s="1275" t="s">
        <v>484</v>
      </c>
      <c r="AF110" s="1276"/>
      <c r="AG110" s="1276"/>
      <c r="AH110" s="1276"/>
      <c r="AI110" s="1276"/>
      <c r="AK110" s="1275" t="s">
        <v>486</v>
      </c>
      <c r="AL110" s="1276"/>
      <c r="AM110" s="1276"/>
      <c r="AN110" s="1276"/>
      <c r="AO110" s="1276"/>
      <c r="AP110" s="1276"/>
      <c r="AQ110" s="1276"/>
      <c r="AR110" s="1276"/>
      <c r="AS110" s="1276"/>
      <c r="AT110" s="1276"/>
    </row>
    <row r="111" spans="1:46" ht="123" x14ac:dyDescent="0.4">
      <c r="B111" s="1173" t="s">
        <v>132</v>
      </c>
      <c r="C111" s="341" t="s">
        <v>149</v>
      </c>
      <c r="F111" s="641" t="s">
        <v>151</v>
      </c>
      <c r="G111" s="641"/>
      <c r="H111" s="641"/>
      <c r="J111" s="642" t="s">
        <v>496</v>
      </c>
      <c r="K111" s="642"/>
      <c r="Q111" s="1173" t="s">
        <v>1101</v>
      </c>
      <c r="R111" s="1173" t="s">
        <v>160</v>
      </c>
      <c r="S111" s="1173" t="s">
        <v>1102</v>
      </c>
      <c r="V111" s="641" t="s">
        <v>152</v>
      </c>
      <c r="W111" s="641"/>
      <c r="X111" s="641"/>
      <c r="Y111" s="641"/>
      <c r="Z111" s="641"/>
      <c r="AA111" s="641"/>
      <c r="AB111" s="641"/>
      <c r="AC111" s="641"/>
      <c r="AE111" s="340" t="s">
        <v>10</v>
      </c>
      <c r="AF111" s="335">
        <f>'WTE Tonnes and Composition'!M52</f>
        <v>1.4992613764679676</v>
      </c>
      <c r="AG111" s="335">
        <f>'WTE Tonnes and Composition'!M53</f>
        <v>3.5494778268358278</v>
      </c>
      <c r="AH111" s="335">
        <f>'WTE Tonnes and Composition'!M54</f>
        <v>2.1207208550108536</v>
      </c>
      <c r="AI111" s="341" t="s">
        <v>483</v>
      </c>
      <c r="AK111" s="1249" t="s">
        <v>153</v>
      </c>
      <c r="AL111" s="1249"/>
      <c r="AO111" s="341" t="s">
        <v>485</v>
      </c>
      <c r="AP111" s="338">
        <f>'WTE Tonnes and Composition'!R$31</f>
        <v>0.1982538444179904</v>
      </c>
      <c r="AQ111" s="338">
        <f>'WTE Tonnes and Composition'!R$32</f>
        <v>0.28006004602560974</v>
      </c>
      <c r="AR111" s="338">
        <f>'WTE Tonnes and Composition'!R$33</f>
        <v>0.3429125448437737</v>
      </c>
      <c r="AS111" s="1249" t="s">
        <v>278</v>
      </c>
      <c r="AT111" s="1249" t="s">
        <v>279</v>
      </c>
    </row>
    <row r="112" spans="1:46" x14ac:dyDescent="0.4">
      <c r="B112" s="2"/>
      <c r="C112" s="334" t="s">
        <v>115</v>
      </c>
      <c r="D112" s="334" t="s">
        <v>133</v>
      </c>
      <c r="F112" s="2"/>
      <c r="G112" s="334" t="s">
        <v>115</v>
      </c>
      <c r="H112" s="334" t="s">
        <v>134</v>
      </c>
      <c r="J112" s="2"/>
      <c r="K112" s="334" t="s">
        <v>115</v>
      </c>
      <c r="L112" s="334" t="s">
        <v>159</v>
      </c>
      <c r="M112" s="334" t="s">
        <v>157</v>
      </c>
      <c r="N112" s="334" t="s">
        <v>158</v>
      </c>
      <c r="P112" s="2"/>
      <c r="Q112" s="334" t="s">
        <v>115</v>
      </c>
      <c r="R112" s="334" t="str">
        <f t="shared" ref="R112:R159" si="30">AE59</f>
        <v>World</v>
      </c>
      <c r="S112" s="334" t="s">
        <v>115</v>
      </c>
      <c r="V112" s="334" t="s">
        <v>115</v>
      </c>
      <c r="W112" s="334" t="s">
        <v>156</v>
      </c>
      <c r="X112" s="334" t="s">
        <v>157</v>
      </c>
      <c r="Y112" s="334" t="s">
        <v>158</v>
      </c>
      <c r="Z112" s="334" t="s">
        <v>155</v>
      </c>
      <c r="AA112" s="334" t="s">
        <v>161</v>
      </c>
      <c r="AB112" s="334" t="s">
        <v>162</v>
      </c>
      <c r="AC112" s="334" t="s">
        <v>163</v>
      </c>
      <c r="AE112" s="334" t="s">
        <v>115</v>
      </c>
      <c r="AF112" s="347" t="s">
        <v>156</v>
      </c>
      <c r="AG112" s="347" t="s">
        <v>157</v>
      </c>
      <c r="AH112" s="347" t="s">
        <v>158</v>
      </c>
      <c r="AI112" s="347" t="s">
        <v>165</v>
      </c>
      <c r="AK112" s="334" t="s">
        <v>115</v>
      </c>
      <c r="AL112" s="347" t="s">
        <v>138</v>
      </c>
      <c r="AM112" s="347" t="s">
        <v>156</v>
      </c>
      <c r="AN112" s="347" t="s">
        <v>157</v>
      </c>
      <c r="AO112" s="347" t="s">
        <v>158</v>
      </c>
      <c r="AP112" s="347" t="s">
        <v>156</v>
      </c>
      <c r="AQ112" s="347" t="s">
        <v>157</v>
      </c>
      <c r="AR112" s="347" t="s">
        <v>158</v>
      </c>
      <c r="AS112" s="527" t="s">
        <v>115</v>
      </c>
      <c r="AT112" s="527" t="s">
        <v>115</v>
      </c>
    </row>
    <row r="113" spans="2:46" ht="14.4" x14ac:dyDescent="0.55000000000000004">
      <c r="B113" s="3">
        <v>2014</v>
      </c>
      <c r="C113" s="707">
        <f>Compost!E56</f>
        <v>110.54366841083268</v>
      </c>
      <c r="D113" s="338">
        <f t="shared" ref="D113:D159" si="31">C113/Y60</f>
        <v>0.13735631497417058</v>
      </c>
      <c r="F113" s="3">
        <v>2014</v>
      </c>
      <c r="G113" s="707">
        <f>'H&amp;C Recycling'!E56</f>
        <v>206.02941101227444</v>
      </c>
      <c r="H113" s="338">
        <f t="shared" ref="H113:H159" si="32">G113/AB60</f>
        <v>0.32872538352551745</v>
      </c>
      <c r="J113" s="3">
        <v>2014</v>
      </c>
      <c r="K113" s="335">
        <f>U60-C113-G113</f>
        <v>1456.7602539102263</v>
      </c>
      <c r="L113" s="338">
        <f t="shared" ref="L113:L159" si="33">(Y60-C113)/K113</f>
        <v>0.47657209073626489</v>
      </c>
      <c r="M113" s="338">
        <f t="shared" ref="M113:M159" si="34">(AB60-G113)/K113</f>
        <v>0.28880727023664815</v>
      </c>
      <c r="N113" s="338">
        <f t="shared" ref="N113:N159" si="35">AE60/K113</f>
        <v>0.23462063902708707</v>
      </c>
      <c r="P113" s="3">
        <v>2014</v>
      </c>
      <c r="Q113" s="707">
        <f>Paper!F61</f>
        <v>175.25105629820052</v>
      </c>
      <c r="R113" s="334">
        <f t="shared" si="30"/>
        <v>341.7860216816789</v>
      </c>
      <c r="S113" s="707">
        <f>Paper!G61</f>
        <v>227.24220300000002</v>
      </c>
      <c r="V113" s="335">
        <f t="shared" ref="V113:V159" si="36">U60-C113-G113-S113-U170</f>
        <v>1229.5180509102263</v>
      </c>
      <c r="W113" s="335">
        <f t="shared" ref="W113:W159" si="37">Y60-C113</f>
        <v>694.25127990748865</v>
      </c>
      <c r="X113" s="335">
        <f t="shared" ref="X113:X159" si="38">AB60-G113</f>
        <v>420.72295232105887</v>
      </c>
      <c r="Y113" s="335">
        <f t="shared" ref="Y113:Y159" si="39">R113-S113-U170</f>
        <v>114.54381868167889</v>
      </c>
      <c r="Z113" s="338">
        <f t="shared" ref="Z113:AB159" si="40">W113/$V113</f>
        <v>0.5646531821094668</v>
      </c>
      <c r="AA113" s="338">
        <f t="shared" si="40"/>
        <v>0.34218525869513899</v>
      </c>
      <c r="AB113" s="338">
        <f t="shared" si="40"/>
        <v>9.3161559195394317E-2</v>
      </c>
      <c r="AC113" s="338">
        <f t="shared" ref="AC113:AC159" si="41">1-V113/U60</f>
        <v>0.30666275324611303</v>
      </c>
      <c r="AE113" s="346">
        <f>MIN('WTE Tonnes and Composition'!G67,V113)</f>
        <v>142.75688198659913</v>
      </c>
      <c r="AF113" s="335">
        <f>AF111*Z113</f>
        <v>0.8465627070364572</v>
      </c>
      <c r="AG113" s="335">
        <f>AG$111*AA113</f>
        <v>1.2145789884084774</v>
      </c>
      <c r="AH113" s="335">
        <f>AH$111*AB113</f>
        <v>0.19756966147100088</v>
      </c>
      <c r="AI113" s="335">
        <f>AF113+AG113+AH113</f>
        <v>2.2587113569159354</v>
      </c>
      <c r="AK113" s="610">
        <f t="shared" ref="AK113:AK159" si="42">V113-AE113</f>
        <v>1086.7611689236271</v>
      </c>
      <c r="AL113" s="338">
        <f t="shared" ref="AL113:AL159" si="43">AK113/U60</f>
        <v>0.61283524563362424</v>
      </c>
      <c r="AM113" s="335">
        <f t="shared" ref="AM113:AO159" si="44">Z113*$AK113</f>
        <v>613.64315222572986</v>
      </c>
      <c r="AN113" s="335">
        <f t="shared" si="44"/>
        <v>371.87365172796297</v>
      </c>
      <c r="AO113" s="335">
        <f t="shared" si="44"/>
        <v>101.24436496993441</v>
      </c>
      <c r="AP113" s="335">
        <f>AP$111*AM113</f>
        <v>121.65711402952505</v>
      </c>
      <c r="AQ113" s="335">
        <f>AQ$111*AN113</f>
        <v>104.14695201864488</v>
      </c>
      <c r="AR113" s="335">
        <f>AR$111*AO113</f>
        <v>34.717962842932025</v>
      </c>
      <c r="AS113" s="335">
        <f>SUM(AP113:AR113)</f>
        <v>260.52202889110197</v>
      </c>
      <c r="AT113" s="610">
        <f>AS113/AK113</f>
        <v>0.23972335076080578</v>
      </c>
    </row>
    <row r="114" spans="2:46" ht="14.4" x14ac:dyDescent="0.55000000000000004">
      <c r="B114" s="3">
        <v>2015</v>
      </c>
      <c r="C114" s="707">
        <f>Compost!E57</f>
        <v>121.04208551354085</v>
      </c>
      <c r="D114" s="338">
        <f t="shared" si="31"/>
        <v>0.14027495331921128</v>
      </c>
      <c r="F114" s="3">
        <v>2015</v>
      </c>
      <c r="G114" s="707">
        <f>'H&amp;C Recycling'!E57</f>
        <v>235.52664728670166</v>
      </c>
      <c r="H114" s="338">
        <f t="shared" si="32"/>
        <v>0.35423417405491386</v>
      </c>
      <c r="J114" s="3">
        <v>2015</v>
      </c>
      <c r="K114" s="335">
        <f t="shared" ref="K114:K159" si="45">U61-C114-G114</f>
        <v>1535.0979338664242</v>
      </c>
      <c r="L114" s="338">
        <f t="shared" si="33"/>
        <v>0.48325878447178466</v>
      </c>
      <c r="M114" s="338">
        <f t="shared" si="34"/>
        <v>0.27969748710354631</v>
      </c>
      <c r="N114" s="338">
        <f t="shared" si="35"/>
        <v>0.23704372842466911</v>
      </c>
      <c r="P114" s="3">
        <v>2015</v>
      </c>
      <c r="Q114" s="707">
        <f>Paper!F62</f>
        <v>175.90427197943453</v>
      </c>
      <c r="R114" s="334">
        <f t="shared" si="30"/>
        <v>363.88533774070333</v>
      </c>
      <c r="S114" s="707">
        <f>Paper!G62</f>
        <v>228.0892060000001</v>
      </c>
      <c r="V114" s="335">
        <f t="shared" si="36"/>
        <v>1251.5724786637911</v>
      </c>
      <c r="W114" s="335">
        <f t="shared" si="37"/>
        <v>741.84956156543626</v>
      </c>
      <c r="X114" s="335">
        <f t="shared" si="38"/>
        <v>429.36303456028475</v>
      </c>
      <c r="Y114" s="335">
        <f t="shared" si="39"/>
        <v>80.35988253807011</v>
      </c>
      <c r="Z114" s="338">
        <f t="shared" si="40"/>
        <v>0.59273399999770904</v>
      </c>
      <c r="AA114" s="338">
        <f t="shared" si="40"/>
        <v>0.34305886545115072</v>
      </c>
      <c r="AB114" s="338">
        <f t="shared" si="40"/>
        <v>6.4207134551140216E-2</v>
      </c>
      <c r="AC114" s="338">
        <f t="shared" si="41"/>
        <v>0.33837578220416331</v>
      </c>
      <c r="AE114" s="346">
        <f>MIN('WTE Tonnes and Composition'!G68,V114)</f>
        <v>151.22621540688968</v>
      </c>
      <c r="AF114" s="335">
        <f>AF$111*Z114</f>
        <v>0.88866319271592953</v>
      </c>
      <c r="AG114" s="335">
        <f t="shared" ref="AG114:AH129" si="46">AG$111*AA114</f>
        <v>1.217679836218315</v>
      </c>
      <c r="AH114" s="335">
        <f t="shared" si="46"/>
        <v>0.13616540928309101</v>
      </c>
      <c r="AI114" s="335">
        <f t="shared" ref="AI114:AI159" si="47">AF114+AG114+AH114</f>
        <v>2.2425084382173357</v>
      </c>
      <c r="AK114" s="610">
        <f t="shared" si="42"/>
        <v>1100.3462632569015</v>
      </c>
      <c r="AL114" s="338">
        <f t="shared" si="43"/>
        <v>0.5816808440124589</v>
      </c>
      <c r="AM114" s="335">
        <f t="shared" si="44"/>
        <v>652.21264200279541</v>
      </c>
      <c r="AN114" s="335">
        <f t="shared" si="44"/>
        <v>377.48354067632584</v>
      </c>
      <c r="AO114" s="335">
        <f t="shared" si="44"/>
        <v>70.65008057778023</v>
      </c>
      <c r="AP114" s="335">
        <f t="shared" ref="AP114:AR159" si="48">AP$111*AM114</f>
        <v>129.30366365506868</v>
      </c>
      <c r="AQ114" s="335">
        <f t="shared" si="48"/>
        <v>105.71805777572195</v>
      </c>
      <c r="AR114" s="335">
        <f t="shared" si="48"/>
        <v>24.226798924344287</v>
      </c>
      <c r="AS114" s="335">
        <f t="shared" ref="AS114:AS159" si="49">SUM(AP114:AR114)</f>
        <v>259.24852035513493</v>
      </c>
      <c r="AT114" s="610">
        <f t="shared" ref="AT114:AT159" si="50">AS114/AK114</f>
        <v>0.23560630777059977</v>
      </c>
    </row>
    <row r="115" spans="2:46" ht="14.4" x14ac:dyDescent="0.55000000000000004">
      <c r="B115" s="3">
        <v>2016</v>
      </c>
      <c r="C115" s="707">
        <f>Compost!E58</f>
        <v>131.54050261624903</v>
      </c>
      <c r="D115" s="338">
        <f t="shared" si="31"/>
        <v>0.14215117062862537</v>
      </c>
      <c r="F115" s="3">
        <v>2016</v>
      </c>
      <c r="G115" s="707">
        <f>'H&amp;C Recycling'!E58</f>
        <v>266.79999999999995</v>
      </c>
      <c r="H115" s="338">
        <f t="shared" si="32"/>
        <v>0.37965485417831296</v>
      </c>
      <c r="J115" s="3">
        <v>2016</v>
      </c>
      <c r="K115" s="335">
        <f t="shared" si="45"/>
        <v>1611.6594973837507</v>
      </c>
      <c r="L115" s="338">
        <f t="shared" si="33"/>
        <v>0.49254569508781054</v>
      </c>
      <c r="M115" s="338">
        <f t="shared" si="34"/>
        <v>0.27049358174457977</v>
      </c>
      <c r="N115" s="338">
        <f t="shared" si="35"/>
        <v>0.23696072316760966</v>
      </c>
      <c r="P115" s="3">
        <v>2016</v>
      </c>
      <c r="Q115" s="707">
        <f>Paper!F63</f>
        <v>177.60189408740362</v>
      </c>
      <c r="R115" s="334">
        <f t="shared" si="30"/>
        <v>381.89999999999986</v>
      </c>
      <c r="S115" s="707">
        <f>Paper!G63</f>
        <v>230.29045600000003</v>
      </c>
      <c r="V115" s="335">
        <f t="shared" si="36"/>
        <v>1359.6819123831051</v>
      </c>
      <c r="W115" s="335">
        <f t="shared" si="37"/>
        <v>793.81594738375088</v>
      </c>
      <c r="X115" s="335">
        <f t="shared" si="38"/>
        <v>435.94354999999996</v>
      </c>
      <c r="Y115" s="335">
        <f t="shared" si="39"/>
        <v>129.92241499935417</v>
      </c>
      <c r="Z115" s="338">
        <f t="shared" si="40"/>
        <v>0.58382474618084401</v>
      </c>
      <c r="AA115" s="338">
        <f t="shared" si="40"/>
        <v>0.32062171749856166</v>
      </c>
      <c r="AB115" s="338">
        <f t="shared" si="40"/>
        <v>9.5553536320594323E-2</v>
      </c>
      <c r="AC115" s="338">
        <f t="shared" si="41"/>
        <v>0.32354133712283317</v>
      </c>
      <c r="AE115" s="346">
        <f>MIN('WTE Tonnes and Composition'!G69,V115)</f>
        <v>159.07322452483973</v>
      </c>
      <c r="AF115" s="335">
        <f t="shared" ref="AF115:AH159" si="51">AF$111*Z115</f>
        <v>0.87530589257515401</v>
      </c>
      <c r="AG115" s="335">
        <f t="shared" si="46"/>
        <v>1.1380396770631653</v>
      </c>
      <c r="AH115" s="335">
        <f t="shared" si="46"/>
        <v>0.20264237724512144</v>
      </c>
      <c r="AI115" s="335">
        <f t="shared" si="47"/>
        <v>2.2159879468834407</v>
      </c>
      <c r="AK115" s="610">
        <f t="shared" si="42"/>
        <v>1200.6086878582653</v>
      </c>
      <c r="AL115" s="338">
        <f t="shared" si="43"/>
        <v>0.59731775515336583</v>
      </c>
      <c r="AM115" s="335">
        <f t="shared" si="44"/>
        <v>700.9450624513679</v>
      </c>
      <c r="AN115" s="335">
        <f t="shared" si="44"/>
        <v>384.94121954481153</v>
      </c>
      <c r="AO115" s="335">
        <f t="shared" si="44"/>
        <v>114.72240586208585</v>
      </c>
      <c r="AP115" s="335">
        <f t="shared" si="48"/>
        <v>138.96505335679205</v>
      </c>
      <c r="AQ115" s="335">
        <f t="shared" si="48"/>
        <v>107.80665566287426</v>
      </c>
      <c r="AR115" s="335">
        <f t="shared" si="48"/>
        <v>39.33975214476812</v>
      </c>
      <c r="AS115" s="335">
        <f t="shared" si="49"/>
        <v>286.11146116443444</v>
      </c>
      <c r="AT115" s="610">
        <f t="shared" si="50"/>
        <v>0.23830533966468398</v>
      </c>
    </row>
    <row r="116" spans="2:46" ht="14.4" x14ac:dyDescent="0.55000000000000004">
      <c r="B116" s="3">
        <v>2017</v>
      </c>
      <c r="C116" s="707">
        <f>Compost!E59</f>
        <v>142.0389197189572</v>
      </c>
      <c r="D116" s="338">
        <f t="shared" si="31"/>
        <v>0.14621099628838913</v>
      </c>
      <c r="F116" s="3">
        <v>2017</v>
      </c>
      <c r="G116" s="707">
        <f>'H&amp;C Recycling'!E59</f>
        <v>283.94991370375845</v>
      </c>
      <c r="H116" s="338">
        <f t="shared" si="32"/>
        <v>0.38685662034123636</v>
      </c>
      <c r="J116" s="3">
        <v>2017</v>
      </c>
      <c r="K116" s="335">
        <f t="shared" si="45"/>
        <v>1685.1031925300845</v>
      </c>
      <c r="L116" s="338">
        <f t="shared" si="33"/>
        <v>0.49221107331647146</v>
      </c>
      <c r="M116" s="338">
        <f t="shared" si="34"/>
        <v>0.26707131796166056</v>
      </c>
      <c r="N116" s="338">
        <f t="shared" si="35"/>
        <v>0.24071760872186801</v>
      </c>
      <c r="P116" s="3">
        <v>2017</v>
      </c>
      <c r="Q116" s="707">
        <f>Paper!F64</f>
        <v>180.34826683804627</v>
      </c>
      <c r="R116" s="334">
        <f t="shared" si="30"/>
        <v>405.63401095542747</v>
      </c>
      <c r="S116" s="707">
        <f>Paper!G64</f>
        <v>233.851586</v>
      </c>
      <c r="V116" s="335">
        <f t="shared" si="36"/>
        <v>1429.6608067160153</v>
      </c>
      <c r="W116" s="335">
        <f t="shared" si="37"/>
        <v>829.42645104424548</v>
      </c>
      <c r="X116" s="335">
        <f t="shared" si="38"/>
        <v>450.04273053041146</v>
      </c>
      <c r="Y116" s="335">
        <f t="shared" si="39"/>
        <v>150.19162514135832</v>
      </c>
      <c r="Z116" s="338">
        <f t="shared" si="40"/>
        <v>0.58015610916093396</v>
      </c>
      <c r="AA116" s="338">
        <f t="shared" si="40"/>
        <v>0.31478986373290641</v>
      </c>
      <c r="AB116" s="338">
        <f t="shared" si="40"/>
        <v>0.10505402710615963</v>
      </c>
      <c r="AC116" s="338">
        <f t="shared" si="41"/>
        <v>0.32278612720790045</v>
      </c>
      <c r="AE116" s="346">
        <f>MIN('WTE Tonnes and Composition'!G70,V116)</f>
        <v>162.84287810907378</v>
      </c>
      <c r="AF116" s="335">
        <f t="shared" si="51"/>
        <v>0.86980564678692229</v>
      </c>
      <c r="AG116" s="335">
        <f t="shared" si="46"/>
        <v>1.1173396414326231</v>
      </c>
      <c r="AH116" s="335">
        <f t="shared" si="46"/>
        <v>0.22279026618690825</v>
      </c>
      <c r="AI116" s="335">
        <f t="shared" si="47"/>
        <v>2.2099355544064538</v>
      </c>
      <c r="AK116" s="610">
        <f t="shared" si="42"/>
        <v>1266.8179286069415</v>
      </c>
      <c r="AL116" s="338">
        <f t="shared" si="43"/>
        <v>0.60007707529243681</v>
      </c>
      <c r="AM116" s="335">
        <f t="shared" si="44"/>
        <v>734.95216047591703</v>
      </c>
      <c r="AN116" s="335">
        <f t="shared" si="44"/>
        <v>398.78144312058186</v>
      </c>
      <c r="AO116" s="335">
        <f t="shared" si="44"/>
        <v>133.08432501044263</v>
      </c>
      <c r="AP116" s="335">
        <f t="shared" si="48"/>
        <v>145.70709127765838</v>
      </c>
      <c r="AQ116" s="335">
        <f t="shared" si="48"/>
        <v>111.68274931450922</v>
      </c>
      <c r="AR116" s="335">
        <f t="shared" si="48"/>
        <v>45.636284568146763</v>
      </c>
      <c r="AS116" s="335">
        <f t="shared" si="49"/>
        <v>303.02612516031439</v>
      </c>
      <c r="AT116" s="610">
        <f t="shared" si="50"/>
        <v>0.23920258651023166</v>
      </c>
    </row>
    <row r="117" spans="2:46" ht="14.4" x14ac:dyDescent="0.55000000000000004">
      <c r="B117" s="3">
        <v>2018</v>
      </c>
      <c r="C117" s="707">
        <f>Compost!E60</f>
        <v>152.53733682166535</v>
      </c>
      <c r="D117" s="338">
        <f t="shared" si="31"/>
        <v>0.15375029227300738</v>
      </c>
      <c r="F117" s="3">
        <v>2018</v>
      </c>
      <c r="G117" s="707">
        <f>'H&amp;C Recycling'!E60</f>
        <v>292.60634965639559</v>
      </c>
      <c r="H117" s="338">
        <f t="shared" si="32"/>
        <v>0.39402474862077519</v>
      </c>
      <c r="J117" s="3">
        <v>2018</v>
      </c>
      <c r="K117" s="335">
        <f t="shared" si="45"/>
        <v>1702.5183115622528</v>
      </c>
      <c r="L117" s="338">
        <f t="shared" si="33"/>
        <v>0.49313627426299173</v>
      </c>
      <c r="M117" s="338">
        <f t="shared" si="34"/>
        <v>0.26431593188106906</v>
      </c>
      <c r="N117" s="338">
        <f t="shared" si="35"/>
        <v>0.24254779385593928</v>
      </c>
      <c r="P117" s="3">
        <v>2018</v>
      </c>
      <c r="Q117" s="707">
        <f>Paper!F65</f>
        <v>177.11259463680977</v>
      </c>
      <c r="R117" s="334">
        <f t="shared" si="30"/>
        <v>412.94206046876309</v>
      </c>
      <c r="S117" s="707">
        <f>Paper!G65</f>
        <v>229.65599771239667</v>
      </c>
      <c r="V117" s="335">
        <f t="shared" si="36"/>
        <v>1451.381305598622</v>
      </c>
      <c r="W117" s="335">
        <f t="shared" si="37"/>
        <v>839.5735370283287</v>
      </c>
      <c r="X117" s="335">
        <f t="shared" si="38"/>
        <v>450.00271406516111</v>
      </c>
      <c r="Y117" s="335">
        <f t="shared" si="39"/>
        <v>161.80505450513206</v>
      </c>
      <c r="Z117" s="338">
        <f t="shared" si="40"/>
        <v>0.57846517230842154</v>
      </c>
      <c r="AA117" s="338">
        <f t="shared" si="40"/>
        <v>0.31005133683980968</v>
      </c>
      <c r="AB117" s="338">
        <f t="shared" si="40"/>
        <v>0.11148349085176869</v>
      </c>
      <c r="AC117" s="338">
        <f t="shared" si="41"/>
        <v>0.32420403819457155</v>
      </c>
      <c r="AE117" s="346">
        <f>MIN('WTE Tonnes and Composition'!G71,V117)</f>
        <v>165.19016908698848</v>
      </c>
      <c r="AF117" s="335">
        <f t="shared" si="51"/>
        <v>0.86727049047390414</v>
      </c>
      <c r="AG117" s="335">
        <f t="shared" si="46"/>
        <v>1.1005203452937109</v>
      </c>
      <c r="AH117" s="335">
        <f t="shared" si="46"/>
        <v>0.23642536403875758</v>
      </c>
      <c r="AI117" s="335">
        <f t="shared" si="47"/>
        <v>2.2042161998063725</v>
      </c>
      <c r="AK117" s="610">
        <f t="shared" si="42"/>
        <v>1286.1911365116334</v>
      </c>
      <c r="AL117" s="338">
        <f t="shared" si="43"/>
        <v>0.59887968296931715</v>
      </c>
      <c r="AM117" s="335">
        <f t="shared" si="44"/>
        <v>744.01677740376658</v>
      </c>
      <c r="AN117" s="335">
        <f t="shared" si="44"/>
        <v>398.7852813069461</v>
      </c>
      <c r="AO117" s="335">
        <f t="shared" si="44"/>
        <v>143.38907780092066</v>
      </c>
      <c r="AP117" s="335">
        <f t="shared" si="48"/>
        <v>147.50418643178094</v>
      </c>
      <c r="AQ117" s="335">
        <f t="shared" si="48"/>
        <v>111.68382423715906</v>
      </c>
      <c r="AR117" s="335">
        <f t="shared" si="48"/>
        <v>49.169913571515565</v>
      </c>
      <c r="AS117" s="335">
        <f t="shared" si="49"/>
        <v>308.35792424045559</v>
      </c>
      <c r="AT117" s="610">
        <f t="shared" si="50"/>
        <v>0.23974502349376633</v>
      </c>
    </row>
    <row r="118" spans="2:46" ht="14.4" x14ac:dyDescent="0.55000000000000004">
      <c r="B118" s="3">
        <v>2019</v>
      </c>
      <c r="C118" s="707">
        <f>Compost!E61</f>
        <v>168.45419494524072</v>
      </c>
      <c r="D118" s="338">
        <f t="shared" si="31"/>
        <v>0.17558717562737089</v>
      </c>
      <c r="F118" s="3">
        <v>2019</v>
      </c>
      <c r="G118" s="707">
        <f>'H&amp;C Recycling'!E61</f>
        <v>303.19282365827195</v>
      </c>
      <c r="H118" s="338">
        <f t="shared" si="32"/>
        <v>0.403718248229822</v>
      </c>
      <c r="J118" s="3">
        <v>2019</v>
      </c>
      <c r="K118" s="335">
        <f t="shared" si="45"/>
        <v>1659.2669968603427</v>
      </c>
      <c r="L118" s="338">
        <f t="shared" si="33"/>
        <v>0.47666965040687398</v>
      </c>
      <c r="M118" s="338">
        <f t="shared" si="34"/>
        <v>0.26988315661692908</v>
      </c>
      <c r="N118" s="338">
        <f t="shared" si="35"/>
        <v>0.25344719297619689</v>
      </c>
      <c r="P118" s="3">
        <v>2019</v>
      </c>
      <c r="Q118" s="707">
        <f>Paper!F66</f>
        <v>198.38819189692467</v>
      </c>
      <c r="R118" s="334">
        <f t="shared" si="30"/>
        <v>420.53656275229798</v>
      </c>
      <c r="S118" s="707">
        <f>Paper!G66</f>
        <v>257.2433554930123</v>
      </c>
      <c r="V118" s="335">
        <f t="shared" si="36"/>
        <v>1380.6700545388303</v>
      </c>
      <c r="W118" s="335">
        <f t="shared" si="37"/>
        <v>790.92221932508323</v>
      </c>
      <c r="X118" s="335">
        <f t="shared" si="38"/>
        <v>447.80821478296144</v>
      </c>
      <c r="Y118" s="335">
        <f t="shared" si="39"/>
        <v>141.93962043078568</v>
      </c>
      <c r="Z118" s="338">
        <f t="shared" si="40"/>
        <v>0.57285389563204958</v>
      </c>
      <c r="AA118" s="338">
        <f t="shared" si="40"/>
        <v>0.32434122353188705</v>
      </c>
      <c r="AB118" s="338">
        <f t="shared" si="40"/>
        <v>0.10280488083606346</v>
      </c>
      <c r="AC118" s="338">
        <f t="shared" si="41"/>
        <v>0.35207613046822661</v>
      </c>
      <c r="AE118" s="346">
        <f>MIN('WTE Tonnes and Composition'!G72,V118)</f>
        <v>246.60823880527803</v>
      </c>
      <c r="AF118" s="335">
        <f t="shared" si="51"/>
        <v>0.85885772008034411</v>
      </c>
      <c r="AG118" s="335">
        <f t="shared" si="46"/>
        <v>1.1512419812552359</v>
      </c>
      <c r="AH118" s="335">
        <f t="shared" si="46"/>
        <v>0.21802045478594542</v>
      </c>
      <c r="AI118" s="335">
        <f t="shared" si="47"/>
        <v>2.2281201561215256</v>
      </c>
      <c r="AK118" s="610">
        <f t="shared" si="42"/>
        <v>1134.0618157335523</v>
      </c>
      <c r="AL118" s="338">
        <f t="shared" si="43"/>
        <v>0.53219501467622132</v>
      </c>
      <c r="AM118" s="335">
        <f t="shared" si="44"/>
        <v>649.65172903052098</v>
      </c>
      <c r="AN118" s="335">
        <f t="shared" si="44"/>
        <v>367.82299687581377</v>
      </c>
      <c r="AO118" s="335">
        <f t="shared" si="44"/>
        <v>116.5870898272176</v>
      </c>
      <c r="AP118" s="335">
        <f t="shared" si="48"/>
        <v>128.79595281309537</v>
      </c>
      <c r="AQ118" s="335">
        <f t="shared" si="48"/>
        <v>103.01252543431811</v>
      </c>
      <c r="AR118" s="335">
        <f t="shared" si="48"/>
        <v>39.979175668580829</v>
      </c>
      <c r="AS118" s="335">
        <f t="shared" si="49"/>
        <v>271.78765391599427</v>
      </c>
      <c r="AT118" s="610">
        <f t="shared" si="50"/>
        <v>0.23965858839907431</v>
      </c>
    </row>
    <row r="119" spans="2:46" ht="14.4" x14ac:dyDescent="0.55000000000000004">
      <c r="B119" s="3">
        <v>2020</v>
      </c>
      <c r="C119" s="707">
        <f>Compost!E62</f>
        <v>179.07781811226951</v>
      </c>
      <c r="D119" s="338">
        <f t="shared" si="31"/>
        <v>0.19333008226620194</v>
      </c>
      <c r="F119" s="3">
        <v>2020</v>
      </c>
      <c r="G119" s="707">
        <f>'H&amp;C Recycling'!E62</f>
        <v>312.70631564662119</v>
      </c>
      <c r="H119" s="338">
        <f t="shared" si="32"/>
        <v>0.41183382283343195</v>
      </c>
      <c r="J119" s="3">
        <v>2020</v>
      </c>
      <c r="K119" s="335">
        <f t="shared" si="45"/>
        <v>1622.2879205841377</v>
      </c>
      <c r="L119" s="338">
        <f t="shared" si="33"/>
        <v>0.46058552557240828</v>
      </c>
      <c r="M119" s="338">
        <f t="shared" si="34"/>
        <v>0.27528766588871389</v>
      </c>
      <c r="N119" s="338">
        <f t="shared" si="35"/>
        <v>0.26412680853887777</v>
      </c>
      <c r="P119" s="3">
        <v>2020</v>
      </c>
      <c r="Q119" s="707">
        <f>Paper!F67</f>
        <v>205.71874736723038</v>
      </c>
      <c r="R119" s="334">
        <f t="shared" si="30"/>
        <v>428.48973099506065</v>
      </c>
      <c r="S119" s="707">
        <f>Paper!G67</f>
        <v>266.74864241950871</v>
      </c>
      <c r="V119" s="335">
        <f t="shared" si="36"/>
        <v>1334.3275919906168</v>
      </c>
      <c r="W119" s="335">
        <f t="shared" si="37"/>
        <v>747.20233453201445</v>
      </c>
      <c r="X119" s="335">
        <f t="shared" si="38"/>
        <v>446.59585505706252</v>
      </c>
      <c r="Y119" s="335">
        <f t="shared" si="39"/>
        <v>140.52940240153987</v>
      </c>
      <c r="Z119" s="338">
        <f t="shared" si="40"/>
        <v>0.55998417406425693</v>
      </c>
      <c r="AA119" s="338">
        <f t="shared" si="40"/>
        <v>0.33469730951962734</v>
      </c>
      <c r="AB119" s="338">
        <f t="shared" si="40"/>
        <v>0.10531851641611567</v>
      </c>
      <c r="AC119" s="338">
        <f t="shared" si="41"/>
        <v>0.36883532931176555</v>
      </c>
      <c r="AE119" s="346">
        <f>MIN('WTE Tonnes and Composition'!G73,V119)</f>
        <v>273.17799049209589</v>
      </c>
      <c r="AF119" s="335">
        <f t="shared" si="51"/>
        <v>0.83956264360785582</v>
      </c>
      <c r="AG119" s="335">
        <f t="shared" si="46"/>
        <v>1.1880006788415252</v>
      </c>
      <c r="AH119" s="335">
        <f t="shared" si="46"/>
        <v>0.22335117418245945</v>
      </c>
      <c r="AI119" s="335">
        <f t="shared" si="47"/>
        <v>2.2509144966318404</v>
      </c>
      <c r="AK119" s="610">
        <f t="shared" si="42"/>
        <v>1061.149601498521</v>
      </c>
      <c r="AL119" s="338">
        <f t="shared" si="43"/>
        <v>0.50194580611316253</v>
      </c>
      <c r="AM119" s="335">
        <f t="shared" si="44"/>
        <v>594.22698315376465</v>
      </c>
      <c r="AN119" s="335">
        <f t="shared" si="44"/>
        <v>355.16391661937968</v>
      </c>
      <c r="AO119" s="335">
        <f t="shared" si="44"/>
        <v>111.75870172537658</v>
      </c>
      <c r="AP119" s="335">
        <f t="shared" si="48"/>
        <v>117.80778386713826</v>
      </c>
      <c r="AQ119" s="335">
        <f t="shared" si="48"/>
        <v>99.467222835059289</v>
      </c>
      <c r="AR119" s="335">
        <f t="shared" si="48"/>
        <v>38.323460817085127</v>
      </c>
      <c r="AS119" s="335">
        <f t="shared" si="49"/>
        <v>255.59846751928268</v>
      </c>
      <c r="AT119" s="610">
        <f t="shared" si="50"/>
        <v>0.24086939971360763</v>
      </c>
    </row>
    <row r="120" spans="2:46" ht="14.4" x14ac:dyDescent="0.55000000000000004">
      <c r="B120" s="3">
        <v>2021</v>
      </c>
      <c r="C120" s="707">
        <f>Compost!E63</f>
        <v>189.72182074311098</v>
      </c>
      <c r="D120" s="338">
        <f t="shared" si="31"/>
        <v>0.21260435335236122</v>
      </c>
      <c r="F120" s="3">
        <v>2021</v>
      </c>
      <c r="G120" s="707">
        <f>'H&amp;C Recycling'!E63</f>
        <v>321.89682261817683</v>
      </c>
      <c r="H120" s="338">
        <f t="shared" si="32"/>
        <v>0.41963855155046037</v>
      </c>
      <c r="J120" s="3">
        <v>2021</v>
      </c>
      <c r="K120" s="335">
        <f t="shared" si="45"/>
        <v>1584.367627883496</v>
      </c>
      <c r="L120" s="338">
        <f t="shared" si="33"/>
        <v>0.44348831337042532</v>
      </c>
      <c r="M120" s="338">
        <f t="shared" si="34"/>
        <v>0.28098549814684615</v>
      </c>
      <c r="N120" s="338">
        <f t="shared" si="35"/>
        <v>0.27552618848272853</v>
      </c>
      <c r="P120" s="3">
        <v>2021</v>
      </c>
      <c r="Q120" s="707">
        <f>Paper!F68</f>
        <v>213.88079712929371</v>
      </c>
      <c r="R120" s="334">
        <f t="shared" si="30"/>
        <v>436.53477366616164</v>
      </c>
      <c r="S120" s="707">
        <f>Paper!G68</f>
        <v>277.33210027765085</v>
      </c>
      <c r="V120" s="335">
        <f t="shared" si="36"/>
        <v>1286.1699105719617</v>
      </c>
      <c r="W120" s="335">
        <f t="shared" si="37"/>
        <v>702.64852704875329</v>
      </c>
      <c r="X120" s="335">
        <f t="shared" si="38"/>
        <v>445.18432716858109</v>
      </c>
      <c r="Y120" s="335">
        <f t="shared" si="39"/>
        <v>138.33705635462729</v>
      </c>
      <c r="Z120" s="338">
        <f t="shared" si="40"/>
        <v>0.54631081109360147</v>
      </c>
      <c r="AA120" s="338">
        <f t="shared" si="40"/>
        <v>0.3461318162626017</v>
      </c>
      <c r="AB120" s="338">
        <f t="shared" si="40"/>
        <v>0.10755737264379681</v>
      </c>
      <c r="AC120" s="338">
        <f t="shared" si="41"/>
        <v>0.38636529818102328</v>
      </c>
      <c r="AE120" s="346">
        <f>MIN('WTE Tonnes and Composition'!G74,V120)</f>
        <v>297.36425092534949</v>
      </c>
      <c r="AF120" s="335">
        <f t="shared" si="51"/>
        <v>0.81906269861952474</v>
      </c>
      <c r="AG120" s="335">
        <f t="shared" si="46"/>
        <v>1.2285872069865176</v>
      </c>
      <c r="AH120" s="335">
        <f t="shared" si="46"/>
        <v>0.22809916327587376</v>
      </c>
      <c r="AI120" s="335">
        <f t="shared" si="47"/>
        <v>2.2757490688819164</v>
      </c>
      <c r="AK120" s="610">
        <f t="shared" si="42"/>
        <v>988.80565964661218</v>
      </c>
      <c r="AL120" s="338">
        <f t="shared" si="43"/>
        <v>0.47176151543176426</v>
      </c>
      <c r="AM120" s="335">
        <f t="shared" si="44"/>
        <v>540.19522193548437</v>
      </c>
      <c r="AN120" s="335">
        <f t="shared" si="44"/>
        <v>342.25709890422183</v>
      </c>
      <c r="AO120" s="335">
        <f t="shared" si="44"/>
        <v>106.35333880690598</v>
      </c>
      <c r="AP120" s="335">
        <f t="shared" si="48"/>
        <v>107.09577948493931</v>
      </c>
      <c r="AQ120" s="335">
        <f t="shared" si="48"/>
        <v>95.852538871708035</v>
      </c>
      <c r="AR120" s="335">
        <f t="shared" si="48"/>
        <v>36.469894062908203</v>
      </c>
      <c r="AS120" s="335">
        <f t="shared" si="49"/>
        <v>239.41821241955554</v>
      </c>
      <c r="AT120" s="610">
        <f t="shared" si="50"/>
        <v>0.24212868330984358</v>
      </c>
    </row>
    <row r="121" spans="2:46" ht="14.4" x14ac:dyDescent="0.55000000000000004">
      <c r="B121" s="3">
        <v>2022</v>
      </c>
      <c r="C121" s="707">
        <f>Compost!E64</f>
        <v>200.62773406524477</v>
      </c>
      <c r="D121" s="338">
        <f t="shared" si="31"/>
        <v>0.23371611222709715</v>
      </c>
      <c r="F121" s="3">
        <v>2022</v>
      </c>
      <c r="G121" s="707">
        <f>'H&amp;C Recycling'!E64</f>
        <v>331.19429062257535</v>
      </c>
      <c r="H121" s="338">
        <f t="shared" si="32"/>
        <v>0.42740420994102152</v>
      </c>
      <c r="J121" s="3">
        <v>2022</v>
      </c>
      <c r="K121" s="335">
        <f t="shared" si="45"/>
        <v>1546.4780498800808</v>
      </c>
      <c r="L121" s="338">
        <f t="shared" si="33"/>
        <v>0.42535177414097419</v>
      </c>
      <c r="M121" s="338">
        <f t="shared" si="34"/>
        <v>0.28691181726660103</v>
      </c>
      <c r="N121" s="338">
        <f t="shared" si="35"/>
        <v>0.28773640859242472</v>
      </c>
      <c r="P121" s="3">
        <v>2022</v>
      </c>
      <c r="Q121" s="707">
        <f>Paper!F69</f>
        <v>222.56713006213093</v>
      </c>
      <c r="R121" s="334">
        <f t="shared" si="30"/>
        <v>444.97804003951114</v>
      </c>
      <c r="S121" s="707">
        <f>Paper!G69</f>
        <v>288.59537864722978</v>
      </c>
      <c r="V121" s="335">
        <f t="shared" si="36"/>
        <v>1237.3562538756494</v>
      </c>
      <c r="W121" s="335">
        <f t="shared" si="37"/>
        <v>657.79718218656637</v>
      </c>
      <c r="X121" s="335">
        <f t="shared" si="38"/>
        <v>443.70282765400322</v>
      </c>
      <c r="Y121" s="335">
        <f t="shared" si="39"/>
        <v>135.85624403507978</v>
      </c>
      <c r="Z121" s="338">
        <f t="shared" si="40"/>
        <v>0.53161503013074285</v>
      </c>
      <c r="AA121" s="338">
        <f t="shared" si="40"/>
        <v>0.35858939271873924</v>
      </c>
      <c r="AB121" s="338">
        <f t="shared" si="40"/>
        <v>0.10979557715051799</v>
      </c>
      <c r="AC121" s="338">
        <f t="shared" si="41"/>
        <v>0.40463060699600473</v>
      </c>
      <c r="AE121" s="346">
        <f>MIN('WTE Tonnes and Composition'!G75,V121)</f>
        <v>322.81854120686864</v>
      </c>
      <c r="AF121" s="335">
        <f t="shared" si="51"/>
        <v>0.79702988182487766</v>
      </c>
      <c r="AG121" s="335">
        <f t="shared" si="46"/>
        <v>1.2728050983936898</v>
      </c>
      <c r="AH121" s="335">
        <f t="shared" si="46"/>
        <v>0.23284577025105666</v>
      </c>
      <c r="AI121" s="335">
        <f t="shared" si="47"/>
        <v>2.3026807504696238</v>
      </c>
      <c r="AK121" s="610">
        <f t="shared" si="42"/>
        <v>914.53771266878073</v>
      </c>
      <c r="AL121" s="338">
        <f t="shared" si="43"/>
        <v>0.44004122593265177</v>
      </c>
      <c r="AM121" s="335">
        <f t="shared" si="44"/>
        <v>486.18199367611453</v>
      </c>
      <c r="AN121" s="335">
        <f t="shared" si="44"/>
        <v>327.94352300428289</v>
      </c>
      <c r="AO121" s="335">
        <f t="shared" si="44"/>
        <v>100.41219598838337</v>
      </c>
      <c r="AP121" s="335">
        <f t="shared" si="48"/>
        <v>96.387449333092803</v>
      </c>
      <c r="AQ121" s="335">
        <f t="shared" si="48"/>
        <v>91.843878146380078</v>
      </c>
      <c r="AR121" s="335">
        <f t="shared" si="48"/>
        <v>34.432601659728306</v>
      </c>
      <c r="AS121" s="335">
        <f t="shared" si="49"/>
        <v>222.6639291392012</v>
      </c>
      <c r="AT121" s="610">
        <f>AS121/AK121</f>
        <v>0.24347156607618617</v>
      </c>
    </row>
    <row r="122" spans="2:46" ht="14.4" x14ac:dyDescent="0.55000000000000004">
      <c r="B122" s="3">
        <v>2023</v>
      </c>
      <c r="C122" s="707">
        <f>Compost!E65</f>
        <v>211.72829404443874</v>
      </c>
      <c r="D122" s="338">
        <f t="shared" si="31"/>
        <v>0.25690177253163093</v>
      </c>
      <c r="F122" s="3">
        <v>2023</v>
      </c>
      <c r="G122" s="707">
        <f>'H&amp;C Recycling'!E65</f>
        <v>340.4880497901313</v>
      </c>
      <c r="H122" s="338">
        <f t="shared" si="32"/>
        <v>0.43513718277937358</v>
      </c>
      <c r="J122" s="3">
        <v>2023</v>
      </c>
      <c r="K122" s="335">
        <f t="shared" si="45"/>
        <v>1508.0946681608325</v>
      </c>
      <c r="L122" s="338">
        <f t="shared" si="33"/>
        <v>0.40609666076071743</v>
      </c>
      <c r="M122" s="338">
        <f t="shared" si="34"/>
        <v>0.29308261748274261</v>
      </c>
      <c r="N122" s="338">
        <f t="shared" si="35"/>
        <v>0.30082072175654001</v>
      </c>
      <c r="P122" s="3">
        <v>2023</v>
      </c>
      <c r="Q122" s="707">
        <f>Paper!F70</f>
        <v>231.89961845224667</v>
      </c>
      <c r="R122" s="334">
        <f t="shared" si="30"/>
        <v>453.66612655333131</v>
      </c>
      <c r="S122" s="707">
        <f>Paper!G70</f>
        <v>300.69650525974652</v>
      </c>
      <c r="V122" s="335">
        <f t="shared" si="36"/>
        <v>1187.202505473836</v>
      </c>
      <c r="W122" s="335">
        <f t="shared" si="37"/>
        <v>612.43220885115636</v>
      </c>
      <c r="X122" s="335">
        <f t="shared" si="38"/>
        <v>441.99633275634494</v>
      </c>
      <c r="Y122" s="335">
        <f t="shared" si="39"/>
        <v>132.77396386633484</v>
      </c>
      <c r="Z122" s="338">
        <f t="shared" si="40"/>
        <v>0.51586162093443577</v>
      </c>
      <c r="AA122" s="338">
        <f t="shared" si="40"/>
        <v>0.37230070751908956</v>
      </c>
      <c r="AB122" s="338">
        <f t="shared" si="40"/>
        <v>0.11183767154647481</v>
      </c>
      <c r="AC122" s="338">
        <f t="shared" si="41"/>
        <v>0.42377510067082769</v>
      </c>
      <c r="AE122" s="346">
        <f>MIN('WTE Tonnes and Composition'!G76,V122)</f>
        <v>348.23572707903827</v>
      </c>
      <c r="AF122" s="335">
        <f t="shared" si="51"/>
        <v>0.77341140386915908</v>
      </c>
      <c r="AG122" s="335">
        <f t="shared" si="46"/>
        <v>1.321473106254299</v>
      </c>
      <c r="AH122" s="335">
        <f t="shared" si="46"/>
        <v>0.23717648242446307</v>
      </c>
      <c r="AI122" s="335">
        <f t="shared" si="47"/>
        <v>2.332060992547921</v>
      </c>
      <c r="AK122" s="610">
        <f t="shared" si="42"/>
        <v>838.96677839479776</v>
      </c>
      <c r="AL122" s="338">
        <f t="shared" si="43"/>
        <v>0.4072039480982349</v>
      </c>
      <c r="AM122" s="335">
        <f t="shared" si="44"/>
        <v>432.79076221288193</v>
      </c>
      <c r="AN122" s="335">
        <f t="shared" si="44"/>
        <v>312.34792518139443</v>
      </c>
      <c r="AO122" s="335">
        <f t="shared" si="44"/>
        <v>93.828091000521511</v>
      </c>
      <c r="AP122" s="335">
        <f t="shared" si="48"/>
        <v>85.802432437296176</v>
      </c>
      <c r="AQ122" s="335">
        <f t="shared" si="48"/>
        <v>87.476174302305026</v>
      </c>
      <c r="AR122" s="335">
        <f t="shared" si="48"/>
        <v>32.174829462822011</v>
      </c>
      <c r="AS122" s="335">
        <f t="shared" si="49"/>
        <v>205.45343620242321</v>
      </c>
      <c r="AT122" s="610">
        <f t="shared" si="50"/>
        <v>0.24488864338051503</v>
      </c>
    </row>
    <row r="123" spans="2:46" ht="14.4" x14ac:dyDescent="0.55000000000000004">
      <c r="B123" s="3">
        <v>2024</v>
      </c>
      <c r="C123" s="707">
        <f>Compost!E66</f>
        <v>223.01384741942891</v>
      </c>
      <c r="D123" s="338">
        <f t="shared" si="31"/>
        <v>0.28175449886215098</v>
      </c>
      <c r="F123" s="3">
        <v>2024</v>
      </c>
      <c r="G123" s="707">
        <f>'H&amp;C Recycling'!E66</f>
        <v>349.76822339077961</v>
      </c>
      <c r="H123" s="338">
        <f t="shared" si="32"/>
        <v>0.44389510786837649</v>
      </c>
      <c r="J123" s="3">
        <v>2024</v>
      </c>
      <c r="K123" s="335">
        <f t="shared" si="45"/>
        <v>1469.2791648687833</v>
      </c>
      <c r="L123" s="338">
        <f t="shared" si="33"/>
        <v>0.38692747134920646</v>
      </c>
      <c r="M123" s="338">
        <f t="shared" si="34"/>
        <v>0.29823072745657608</v>
      </c>
      <c r="N123" s="338">
        <f t="shared" si="35"/>
        <v>0.31484180119421751</v>
      </c>
      <c r="P123" s="3">
        <v>2024</v>
      </c>
      <c r="Q123" s="707">
        <f>Paper!F71</f>
        <v>241.85671669846457</v>
      </c>
      <c r="R123" s="334">
        <f t="shared" si="30"/>
        <v>462.59049872442336</v>
      </c>
      <c r="S123" s="707">
        <f>Paper!G71</f>
        <v>313.60754265234237</v>
      </c>
      <c r="V123" s="335">
        <f t="shared" si="36"/>
        <v>1135.7953721158833</v>
      </c>
      <c r="W123" s="335">
        <f t="shared" si="37"/>
        <v>568.50447196875211</v>
      </c>
      <c r="X123" s="335">
        <f t="shared" si="38"/>
        <v>438.18419417560784</v>
      </c>
      <c r="Y123" s="335">
        <f t="shared" si="39"/>
        <v>129.10670597152341</v>
      </c>
      <c r="Z123" s="338">
        <f t="shared" si="40"/>
        <v>0.50053423875964564</v>
      </c>
      <c r="AA123" s="338">
        <f t="shared" si="40"/>
        <v>0.38579501636752633</v>
      </c>
      <c r="AB123" s="338">
        <f t="shared" si="40"/>
        <v>0.11367074487282809</v>
      </c>
      <c r="AC123" s="338">
        <f t="shared" si="41"/>
        <v>0.44379955298537965</v>
      </c>
      <c r="AE123" s="346">
        <f>MIN('WTE Tonnes and Composition'!G77,V123)</f>
        <v>373.61608173336145</v>
      </c>
      <c r="AF123" s="335">
        <f t="shared" si="51"/>
        <v>0.75043165177213267</v>
      </c>
      <c r="AG123" s="335">
        <f t="shared" si="46"/>
        <v>1.3693708563003</v>
      </c>
      <c r="AH123" s="335">
        <f t="shared" si="46"/>
        <v>0.24106391925642459</v>
      </c>
      <c r="AI123" s="335">
        <f t="shared" si="47"/>
        <v>2.3608664273288573</v>
      </c>
      <c r="AK123" s="610">
        <f t="shared" si="42"/>
        <v>762.17929038252191</v>
      </c>
      <c r="AL123" s="338">
        <f t="shared" si="43"/>
        <v>0.37324017373509122</v>
      </c>
      <c r="AM123" s="335">
        <f t="shared" si="44"/>
        <v>381.49683090998252</v>
      </c>
      <c r="AN123" s="335">
        <f t="shared" si="44"/>
        <v>294.04497180811467</v>
      </c>
      <c r="AO123" s="335">
        <f t="shared" si="44"/>
        <v>86.63748766442481</v>
      </c>
      <c r="AP123" s="335">
        <f t="shared" si="48"/>
        <v>75.633213361184062</v>
      </c>
      <c r="AQ123" s="335">
        <f t="shared" si="48"/>
        <v>82.350248338179711</v>
      </c>
      <c r="AR123" s="335">
        <f t="shared" si="48"/>
        <v>29.709081373878963</v>
      </c>
      <c r="AS123" s="335">
        <f t="shared" si="49"/>
        <v>187.69254307324275</v>
      </c>
      <c r="AT123" s="610">
        <f t="shared" si="50"/>
        <v>0.24625773153590116</v>
      </c>
    </row>
    <row r="124" spans="2:46" ht="14.4" x14ac:dyDescent="0.55000000000000004">
      <c r="B124" s="3">
        <v>2025</v>
      </c>
      <c r="C124" s="707">
        <f>Compost!E67</f>
        <v>234.1620096494986</v>
      </c>
      <c r="D124" s="338">
        <f t="shared" si="31"/>
        <v>0.30935819241668572</v>
      </c>
      <c r="F124" s="3">
        <v>2025</v>
      </c>
      <c r="G124" s="707">
        <f>'H&amp;C Recycling'!E67</f>
        <v>358.87233999154341</v>
      </c>
      <c r="H124" s="338">
        <f t="shared" si="32"/>
        <v>0.45251032664243956</v>
      </c>
      <c r="J124" s="3">
        <v>2025</v>
      </c>
      <c r="K124" s="335">
        <f t="shared" si="45"/>
        <v>1429.526047559124</v>
      </c>
      <c r="L124" s="338">
        <f t="shared" si="33"/>
        <v>0.36569212377875504</v>
      </c>
      <c r="M124" s="338">
        <f t="shared" si="34"/>
        <v>0.30373535762818604</v>
      </c>
      <c r="N124" s="338">
        <f t="shared" si="35"/>
        <v>0.33057251859305881</v>
      </c>
      <c r="P124" s="3">
        <v>2025</v>
      </c>
      <c r="Q124" s="707">
        <f>Paper!F72</f>
        <v>253.2331577842215</v>
      </c>
      <c r="R124" s="334">
        <f t="shared" si="30"/>
        <v>472.5620259360004</v>
      </c>
      <c r="S124" s="707">
        <f>Paper!G72</f>
        <v>328.35899459354056</v>
      </c>
      <c r="V124" s="335">
        <f t="shared" si="36"/>
        <v>1081.6003256408007</v>
      </c>
      <c r="W124" s="335">
        <f t="shared" si="37"/>
        <v>522.76641632894564</v>
      </c>
      <c r="X124" s="335">
        <f t="shared" si="38"/>
        <v>434.19760529417783</v>
      </c>
      <c r="Y124" s="335">
        <f t="shared" si="39"/>
        <v>124.63630401767699</v>
      </c>
      <c r="Z124" s="338">
        <f t="shared" si="40"/>
        <v>0.48332679265719475</v>
      </c>
      <c r="AA124" s="338">
        <f t="shared" si="40"/>
        <v>0.40143997278933397</v>
      </c>
      <c r="AB124" s="338">
        <f t="shared" si="40"/>
        <v>0.11523323455347098</v>
      </c>
      <c r="AC124" s="338">
        <f t="shared" si="41"/>
        <v>0.46523212501438171</v>
      </c>
      <c r="AE124" s="346">
        <f>MIN('WTE Tonnes and Composition'!G78,V124)</f>
        <v>396.94034470855428</v>
      </c>
      <c r="AF124" s="335">
        <f t="shared" si="51"/>
        <v>0.72463319244307378</v>
      </c>
      <c r="AG124" s="335">
        <f t="shared" si="46"/>
        <v>1.4249022822213189</v>
      </c>
      <c r="AH124" s="335">
        <f t="shared" si="46"/>
        <v>0.24437752370790322</v>
      </c>
      <c r="AI124" s="335">
        <f t="shared" si="47"/>
        <v>2.3939129983722958</v>
      </c>
      <c r="AK124" s="610">
        <f t="shared" si="42"/>
        <v>684.65998093224653</v>
      </c>
      <c r="AL124" s="338">
        <f t="shared" si="43"/>
        <v>0.33851151336692964</v>
      </c>
      <c r="AM124" s="335">
        <f t="shared" si="44"/>
        <v>330.91451264471885</v>
      </c>
      <c r="AN124" s="335">
        <f t="shared" si="44"/>
        <v>274.84988411538694</v>
      </c>
      <c r="AO124" s="335">
        <f t="shared" si="44"/>
        <v>78.895584172140531</v>
      </c>
      <c r="AP124" s="335">
        <f t="shared" si="48"/>
        <v>65.605074305521214</v>
      </c>
      <c r="AQ124" s="335">
        <f t="shared" si="48"/>
        <v>76.974471195488775</v>
      </c>
      <c r="AR124" s="335">
        <f t="shared" si="48"/>
        <v>27.054285545404863</v>
      </c>
      <c r="AS124" s="335">
        <f t="shared" si="49"/>
        <v>169.63383104641485</v>
      </c>
      <c r="AT124" s="610">
        <f t="shared" si="50"/>
        <v>0.2477636137217164</v>
      </c>
    </row>
    <row r="125" spans="2:46" ht="14.4" x14ac:dyDescent="0.55000000000000004">
      <c r="B125" s="3">
        <v>2026</v>
      </c>
      <c r="C125" s="707">
        <f>Compost!E68</f>
        <v>246.95310720809101</v>
      </c>
      <c r="D125" s="338">
        <f t="shared" si="31"/>
        <v>0.3384739179977827</v>
      </c>
      <c r="F125" s="3">
        <v>2026</v>
      </c>
      <c r="G125" s="707">
        <f>'H&amp;C Recycling'!E68</f>
        <v>369.52785314509538</v>
      </c>
      <c r="H125" s="338">
        <f t="shared" si="32"/>
        <v>0.4613688473538049</v>
      </c>
      <c r="J125" s="3">
        <v>2026</v>
      </c>
      <c r="K125" s="335">
        <f t="shared" si="45"/>
        <v>1396.837342474814</v>
      </c>
      <c r="L125" s="338">
        <f t="shared" si="33"/>
        <v>0.34553370850732973</v>
      </c>
      <c r="M125" s="338">
        <f t="shared" si="34"/>
        <v>0.30884782228584851</v>
      </c>
      <c r="N125" s="338">
        <f t="shared" si="35"/>
        <v>0.34561846920682182</v>
      </c>
      <c r="P125" s="3">
        <v>2026</v>
      </c>
      <c r="Q125" s="707">
        <f>Paper!F73</f>
        <v>263.62463524419655</v>
      </c>
      <c r="R125" s="334">
        <f t="shared" si="30"/>
        <v>482.77278403707032</v>
      </c>
      <c r="S125" s="707">
        <f>Paper!G73</f>
        <v>341.83327703330821</v>
      </c>
      <c r="V125" s="335">
        <f t="shared" si="36"/>
        <v>1035.7415459789679</v>
      </c>
      <c r="W125" s="335">
        <f t="shared" si="37"/>
        <v>482.65438712684551</v>
      </c>
      <c r="X125" s="335">
        <f t="shared" si="38"/>
        <v>431.41017131089825</v>
      </c>
      <c r="Y125" s="335">
        <f t="shared" si="39"/>
        <v>121.67698754122415</v>
      </c>
      <c r="Z125" s="338">
        <f t="shared" si="40"/>
        <v>0.46599886718906075</v>
      </c>
      <c r="AA125" s="338">
        <f t="shared" si="40"/>
        <v>0.41652299551538757</v>
      </c>
      <c r="AB125" s="338">
        <f t="shared" si="40"/>
        <v>0.11747813729555169</v>
      </c>
      <c r="AC125" s="338">
        <f t="shared" si="41"/>
        <v>0.4855549941983256</v>
      </c>
      <c r="AE125" s="346">
        <f>MIN('WTE Tonnes and Composition'!G79,V125)</f>
        <v>423.67644056405226</v>
      </c>
      <c r="AF125" s="335">
        <f t="shared" si="51"/>
        <v>0.69865410305438491</v>
      </c>
      <c r="AG125" s="335">
        <f t="shared" si="46"/>
        <v>1.4784391369491072</v>
      </c>
      <c r="AH125" s="335">
        <f t="shared" si="46"/>
        <v>0.24913833577050484</v>
      </c>
      <c r="AI125" s="335">
        <f t="shared" si="47"/>
        <v>2.426231575773997</v>
      </c>
      <c r="AK125" s="610">
        <f t="shared" si="42"/>
        <v>612.06510541491571</v>
      </c>
      <c r="AL125" s="338">
        <f t="shared" si="43"/>
        <v>0.30400811662774863</v>
      </c>
      <c r="AM125" s="335">
        <f t="shared" si="44"/>
        <v>285.22164576930379</v>
      </c>
      <c r="AN125" s="335">
        <f t="shared" si="44"/>
        <v>254.93919115786215</v>
      </c>
      <c r="AO125" s="335">
        <f t="shared" si="44"/>
        <v>71.904268487749789</v>
      </c>
      <c r="AP125" s="335">
        <f t="shared" si="48"/>
        <v>56.546287784990724</v>
      </c>
      <c r="AQ125" s="335">
        <f t="shared" si="48"/>
        <v>71.398281609402602</v>
      </c>
      <c r="AR125" s="335">
        <f t="shared" si="48"/>
        <v>24.656875692264244</v>
      </c>
      <c r="AS125" s="335">
        <f t="shared" si="49"/>
        <v>152.60144508665758</v>
      </c>
      <c r="AT125" s="610">
        <f t="shared" si="50"/>
        <v>0.24932224323294802</v>
      </c>
    </row>
    <row r="126" spans="2:46" ht="14.4" x14ac:dyDescent="0.55000000000000004">
      <c r="B126" s="3">
        <v>2027</v>
      </c>
      <c r="C126" s="707">
        <f>Compost!E69</f>
        <v>260.06056510689001</v>
      </c>
      <c r="D126" s="338">
        <f t="shared" si="31"/>
        <v>0.36993578065673205</v>
      </c>
      <c r="F126" s="3">
        <v>2027</v>
      </c>
      <c r="G126" s="707">
        <f>'H&amp;C Recycling'!E69</f>
        <v>380.6198899393969</v>
      </c>
      <c r="H126" s="338">
        <f t="shared" si="32"/>
        <v>0.4705009373738816</v>
      </c>
      <c r="J126" s="3">
        <v>2027</v>
      </c>
      <c r="K126" s="335">
        <f t="shared" si="45"/>
        <v>1366.0749711965293</v>
      </c>
      <c r="L126" s="338">
        <f t="shared" si="33"/>
        <v>0.32423391918672334</v>
      </c>
      <c r="M126" s="338">
        <f t="shared" si="34"/>
        <v>0.31356071605963554</v>
      </c>
      <c r="N126" s="338">
        <f t="shared" si="35"/>
        <v>0.36220536475364101</v>
      </c>
      <c r="P126" s="3">
        <v>2027</v>
      </c>
      <c r="Q126" s="707">
        <f>Paper!F74</f>
        <v>275.44573673631595</v>
      </c>
      <c r="R126" s="334">
        <f t="shared" si="30"/>
        <v>494.79968322305854</v>
      </c>
      <c r="S126" s="707">
        <f>Paper!G74</f>
        <v>357.161305301423</v>
      </c>
      <c r="V126" s="335">
        <f t="shared" si="36"/>
        <v>989.95166587585993</v>
      </c>
      <c r="W126" s="335">
        <f t="shared" si="37"/>
        <v>442.92784181394092</v>
      </c>
      <c r="X126" s="335">
        <f t="shared" si="38"/>
        <v>428.34744615952968</v>
      </c>
      <c r="Y126" s="335">
        <f t="shared" si="39"/>
        <v>118.67637790238916</v>
      </c>
      <c r="Z126" s="338">
        <f t="shared" si="40"/>
        <v>0.44742370469376441</v>
      </c>
      <c r="AA126" s="338">
        <f t="shared" si="40"/>
        <v>0.43269531324092392</v>
      </c>
      <c r="AB126" s="338">
        <f t="shared" si="40"/>
        <v>0.11988098206531146</v>
      </c>
      <c r="AC126" s="338">
        <f t="shared" si="41"/>
        <v>0.50669042528549946</v>
      </c>
      <c r="AE126" s="346">
        <f>MIN('WTE Tonnes and Composition'!G80,V126)</f>
        <v>448.33821664518143</v>
      </c>
      <c r="AF126" s="335">
        <f t="shared" si="51"/>
        <v>0.6708050793635707</v>
      </c>
      <c r="AG126" s="335">
        <f t="shared" si="46"/>
        <v>1.5358424201244425</v>
      </c>
      <c r="AH126" s="335">
        <f t="shared" si="46"/>
        <v>0.25423409878508813</v>
      </c>
      <c r="AI126" s="335">
        <f t="shared" si="47"/>
        <v>2.4608815982731009</v>
      </c>
      <c r="AK126" s="610">
        <f t="shared" si="42"/>
        <v>541.6134492306785</v>
      </c>
      <c r="AL126" s="338">
        <f t="shared" si="43"/>
        <v>0.26989509640680232</v>
      </c>
      <c r="AM126" s="335">
        <f t="shared" si="44"/>
        <v>242.33069596675827</v>
      </c>
      <c r="AN126" s="335">
        <f t="shared" si="44"/>
        <v>234.35360107036567</v>
      </c>
      <c r="AO126" s="335">
        <f t="shared" si="44"/>
        <v>64.929152193554444</v>
      </c>
      <c r="AP126" s="335">
        <f t="shared" si="48"/>
        <v>48.042992095897027</v>
      </c>
      <c r="AQ126" s="335">
        <f t="shared" si="48"/>
        <v>65.633080302033989</v>
      </c>
      <c r="AR126" s="335">
        <f t="shared" si="48"/>
        <v>22.265020813240447</v>
      </c>
      <c r="AS126" s="335">
        <f t="shared" si="49"/>
        <v>135.94109321117148</v>
      </c>
      <c r="AT126" s="610">
        <f t="shared" si="50"/>
        <v>0.25099283151898399</v>
      </c>
    </row>
    <row r="127" spans="2:46" ht="14.4" x14ac:dyDescent="0.55000000000000004">
      <c r="B127" s="3">
        <v>2028</v>
      </c>
      <c r="C127" s="707">
        <f>Compost!E70</f>
        <v>273.41181106170205</v>
      </c>
      <c r="D127" s="338">
        <f t="shared" si="31"/>
        <v>0.4039666666675954</v>
      </c>
      <c r="F127" s="3">
        <v>2028</v>
      </c>
      <c r="G127" s="707">
        <f>'H&amp;C Recycling'!E70</f>
        <v>391.71885614745759</v>
      </c>
      <c r="H127" s="338">
        <f t="shared" si="32"/>
        <v>0.47993586770407132</v>
      </c>
      <c r="J127" s="3">
        <v>2028</v>
      </c>
      <c r="K127" s="335">
        <f t="shared" si="45"/>
        <v>1334.9343375999347</v>
      </c>
      <c r="L127" s="338">
        <f t="shared" si="33"/>
        <v>0.30219159788743188</v>
      </c>
      <c r="M127" s="338">
        <f t="shared" si="34"/>
        <v>0.31797155297672325</v>
      </c>
      <c r="N127" s="338">
        <f t="shared" si="35"/>
        <v>0.37983684913584492</v>
      </c>
      <c r="P127" s="3">
        <v>2028</v>
      </c>
      <c r="Q127" s="707">
        <f>Paper!F75</f>
        <v>297.7550860898719</v>
      </c>
      <c r="R127" s="334">
        <f t="shared" si="30"/>
        <v>507.05725259720543</v>
      </c>
      <c r="S127" s="707">
        <f>Paper!G75</f>
        <v>386.08909496320052</v>
      </c>
      <c r="V127" s="335">
        <f t="shared" si="36"/>
        <v>930.17717401843277</v>
      </c>
      <c r="W127" s="335">
        <f t="shared" si="37"/>
        <v>403.4059405541247</v>
      </c>
      <c r="X127" s="335">
        <f t="shared" si="38"/>
        <v>424.4711444486046</v>
      </c>
      <c r="Y127" s="335">
        <f t="shared" si="39"/>
        <v>102.30008901570352</v>
      </c>
      <c r="Z127" s="338">
        <f t="shared" si="40"/>
        <v>0.43368720693433255</v>
      </c>
      <c r="AA127" s="338">
        <f t="shared" si="40"/>
        <v>0.45633364944321148</v>
      </c>
      <c r="AB127" s="338">
        <f t="shared" si="40"/>
        <v>0.10997914362245606</v>
      </c>
      <c r="AC127" s="338">
        <f t="shared" si="41"/>
        <v>0.53492652899688231</v>
      </c>
      <c r="AE127" s="346">
        <f>MIN('WTE Tonnes and Composition'!G81,V127)</f>
        <v>472.43314509528648</v>
      </c>
      <c r="AF127" s="335">
        <f t="shared" si="51"/>
        <v>0.65021047882491578</v>
      </c>
      <c r="AG127" s="335">
        <f t="shared" si="46"/>
        <v>1.6197461703377527</v>
      </c>
      <c r="AH127" s="335">
        <f t="shared" si="46"/>
        <v>0.23323506349637649</v>
      </c>
      <c r="AI127" s="335">
        <f t="shared" si="47"/>
        <v>2.5031917126590453</v>
      </c>
      <c r="AK127" s="610">
        <f t="shared" si="42"/>
        <v>457.74402892314629</v>
      </c>
      <c r="AL127" s="338">
        <f t="shared" si="43"/>
        <v>0.22886457581254355</v>
      </c>
      <c r="AM127" s="335">
        <f t="shared" si="44"/>
        <v>198.51772939454764</v>
      </c>
      <c r="AN127" s="335">
        <f t="shared" si="44"/>
        <v>208.8840032293383</v>
      </c>
      <c r="AO127" s="335">
        <f t="shared" si="44"/>
        <v>50.34229629926039</v>
      </c>
      <c r="AP127" s="335">
        <f t="shared" si="48"/>
        <v>39.356903037599366</v>
      </c>
      <c r="AQ127" s="335">
        <f t="shared" si="48"/>
        <v>58.500063558422099</v>
      </c>
      <c r="AR127" s="335">
        <f t="shared" si="48"/>
        <v>17.263004937258671</v>
      </c>
      <c r="AS127" s="335">
        <f t="shared" si="49"/>
        <v>115.11997153328014</v>
      </c>
      <c r="AT127" s="610">
        <f t="shared" si="50"/>
        <v>0.25149420693504754</v>
      </c>
    </row>
    <row r="128" spans="2:46" ht="14.4" x14ac:dyDescent="0.55000000000000004">
      <c r="B128" s="3">
        <v>2029</v>
      </c>
      <c r="C128" s="707">
        <f>Compost!E71</f>
        <v>287.0022865937637</v>
      </c>
      <c r="D128" s="338">
        <f t="shared" si="31"/>
        <v>0.44075821430748285</v>
      </c>
      <c r="F128" s="3">
        <v>2029</v>
      </c>
      <c r="G128" s="707">
        <f>'H&amp;C Recycling'!E71</f>
        <v>402.8211857878531</v>
      </c>
      <c r="H128" s="338">
        <f t="shared" si="32"/>
        <v>0.48970121305761344</v>
      </c>
      <c r="J128" s="3">
        <v>2029</v>
      </c>
      <c r="K128" s="335">
        <f t="shared" si="45"/>
        <v>1303.4586506679934</v>
      </c>
      <c r="L128" s="338">
        <f t="shared" si="33"/>
        <v>0.27937484339320096</v>
      </c>
      <c r="M128" s="338">
        <f t="shared" si="34"/>
        <v>0.32203894927599286</v>
      </c>
      <c r="N128" s="338">
        <f t="shared" si="35"/>
        <v>0.3985862073308063</v>
      </c>
      <c r="P128" s="3">
        <v>2029</v>
      </c>
      <c r="Q128" s="707">
        <f>Paper!F76</f>
        <v>301.02058348418632</v>
      </c>
      <c r="R128" s="334">
        <f t="shared" si="30"/>
        <v>519.54063998228582</v>
      </c>
      <c r="S128" s="707">
        <f>Paper!G76</f>
        <v>390.32335658449489</v>
      </c>
      <c r="V128" s="335">
        <f t="shared" si="36"/>
        <v>894.75437411080236</v>
      </c>
      <c r="W128" s="335">
        <f t="shared" si="37"/>
        <v>364.15355639988371</v>
      </c>
      <c r="X128" s="335">
        <f t="shared" si="38"/>
        <v>419.76445428582406</v>
      </c>
      <c r="Y128" s="335">
        <f t="shared" si="39"/>
        <v>110.8363634250947</v>
      </c>
      <c r="Z128" s="338">
        <f t="shared" si="40"/>
        <v>0.40698717652179767</v>
      </c>
      <c r="AA128" s="338">
        <f t="shared" si="40"/>
        <v>0.46913931513660567</v>
      </c>
      <c r="AB128" s="338">
        <f t="shared" si="40"/>
        <v>0.1238735083415968</v>
      </c>
      <c r="AC128" s="338">
        <f t="shared" si="41"/>
        <v>0.55111503596797529</v>
      </c>
      <c r="AE128" s="346">
        <f>MIN('WTE Tonnes and Composition'!G82,V128)</f>
        <v>496.30217363209351</v>
      </c>
      <c r="AF128" s="335">
        <f t="shared" si="51"/>
        <v>0.61018015447688212</v>
      </c>
      <c r="AG128" s="335">
        <f t="shared" si="46"/>
        <v>1.6651995967743276</v>
      </c>
      <c r="AH128" s="335">
        <f t="shared" si="46"/>
        <v>0.26270113252338528</v>
      </c>
      <c r="AI128" s="335">
        <f t="shared" si="47"/>
        <v>2.5380808837745952</v>
      </c>
      <c r="AK128" s="610">
        <f t="shared" si="42"/>
        <v>398.45220047870885</v>
      </c>
      <c r="AL128" s="338">
        <f t="shared" si="43"/>
        <v>0.19989754379028857</v>
      </c>
      <c r="AM128" s="335">
        <f t="shared" si="44"/>
        <v>162.16493605172698</v>
      </c>
      <c r="AN128" s="335">
        <f t="shared" si="44"/>
        <v>186.92959244725498</v>
      </c>
      <c r="AO128" s="335">
        <f t="shared" si="44"/>
        <v>49.357671979726938</v>
      </c>
      <c r="AP128" s="335">
        <f t="shared" si="48"/>
        <v>32.149822002052446</v>
      </c>
      <c r="AQ128" s="335">
        <f t="shared" si="48"/>
        <v>52.351510264326699</v>
      </c>
      <c r="AR128" s="335">
        <f t="shared" si="48"/>
        <v>16.925364906132387</v>
      </c>
      <c r="AS128" s="335">
        <f t="shared" si="49"/>
        <v>101.42669717251152</v>
      </c>
      <c r="AT128" s="610">
        <f t="shared" si="50"/>
        <v>0.25455173054799385</v>
      </c>
    </row>
    <row r="129" spans="2:46" ht="14.4" x14ac:dyDescent="0.55000000000000004">
      <c r="B129" s="3">
        <v>2030</v>
      </c>
      <c r="C129" s="707">
        <f>Compost!E72</f>
        <v>301.17407641967475</v>
      </c>
      <c r="D129" s="338">
        <f t="shared" si="31"/>
        <v>0.4799597013517698</v>
      </c>
      <c r="F129" s="3">
        <v>2030</v>
      </c>
      <c r="G129" s="707">
        <f>'H&amp;C Recycling'!E72</f>
        <v>414.40047675454667</v>
      </c>
      <c r="H129" s="338">
        <f t="shared" si="32"/>
        <v>0.49981020746103627</v>
      </c>
      <c r="J129" s="3">
        <v>2030</v>
      </c>
      <c r="K129" s="335">
        <f t="shared" si="45"/>
        <v>1273.8987386822103</v>
      </c>
      <c r="L129" s="338">
        <f t="shared" si="33"/>
        <v>0.25616211727677018</v>
      </c>
      <c r="M129" s="338">
        <f t="shared" si="34"/>
        <v>0.32554800793748062</v>
      </c>
      <c r="N129" s="338">
        <f t="shared" si="35"/>
        <v>0.41828987478574903</v>
      </c>
      <c r="P129" s="3">
        <v>2030</v>
      </c>
      <c r="Q129" s="707">
        <f>Paper!F77</f>
        <v>314.80455028844688</v>
      </c>
      <c r="R129" s="334">
        <f t="shared" si="30"/>
        <v>532.85894389310533</v>
      </c>
      <c r="S129" s="707">
        <f>Paper!G77</f>
        <v>408.19656687401942</v>
      </c>
      <c r="V129" s="335">
        <f t="shared" si="36"/>
        <v>847.60194236694565</v>
      </c>
      <c r="W129" s="335">
        <f t="shared" si="37"/>
        <v>326.32459809704199</v>
      </c>
      <c r="X129" s="335">
        <f t="shared" si="38"/>
        <v>414.71519669206276</v>
      </c>
      <c r="Y129" s="335">
        <f t="shared" si="39"/>
        <v>106.56214757784079</v>
      </c>
      <c r="Z129" s="338">
        <f t="shared" si="40"/>
        <v>0.38499746376910593</v>
      </c>
      <c r="AA129" s="338">
        <f t="shared" si="40"/>
        <v>0.48928061152616303</v>
      </c>
      <c r="AB129" s="338">
        <f t="shared" si="40"/>
        <v>0.1257219247047309</v>
      </c>
      <c r="AC129" s="338">
        <f t="shared" si="41"/>
        <v>0.57395661161350642</v>
      </c>
      <c r="AE129" s="346">
        <f>MIN('WTE Tonnes and Composition'!G83,V129)</f>
        <v>519.22918248800215</v>
      </c>
      <c r="AF129" s="335">
        <f t="shared" si="51"/>
        <v>0.57721182746714628</v>
      </c>
      <c r="AG129" s="335">
        <f t="shared" si="46"/>
        <v>1.7366906817127901</v>
      </c>
      <c r="AH129" s="335">
        <f t="shared" si="46"/>
        <v>0.26662110765342706</v>
      </c>
      <c r="AI129" s="335">
        <f t="shared" si="47"/>
        <v>2.5805236168333634</v>
      </c>
      <c r="AK129" s="610">
        <f t="shared" si="42"/>
        <v>328.3727598789435</v>
      </c>
      <c r="AL129" s="338">
        <f t="shared" si="43"/>
        <v>0.16505512349579218</v>
      </c>
      <c r="AM129" s="335">
        <f t="shared" si="44"/>
        <v>126.42267972425488</v>
      </c>
      <c r="AN129" s="335">
        <f t="shared" si="44"/>
        <v>160.66642476210336</v>
      </c>
      <c r="AO129" s="335">
        <f t="shared" si="44"/>
        <v>41.28365539258521</v>
      </c>
      <c r="AP129" s="335">
        <f t="shared" si="48"/>
        <v>25.063782276957856</v>
      </c>
      <c r="AQ129" s="335">
        <f t="shared" si="48"/>
        <v>44.996246313644832</v>
      </c>
      <c r="AR129" s="335">
        <f t="shared" si="48"/>
        <v>14.156683331124777</v>
      </c>
      <c r="AS129" s="335">
        <f t="shared" si="49"/>
        <v>84.216711921727466</v>
      </c>
      <c r="AT129" s="610">
        <f t="shared" si="50"/>
        <v>0.25646680301001351</v>
      </c>
    </row>
    <row r="130" spans="2:46" ht="14.4" x14ac:dyDescent="0.55000000000000004">
      <c r="B130" s="3">
        <v>2031</v>
      </c>
      <c r="C130" s="707">
        <f>Compost!E73</f>
        <v>314.88306344366322</v>
      </c>
      <c r="D130" s="338">
        <f t="shared" si="31"/>
        <v>0.52225659591265317</v>
      </c>
      <c r="F130" s="3">
        <v>2031</v>
      </c>
      <c r="G130" s="707">
        <f>'H&amp;C Recycling'!E73</f>
        <v>425.02005581551936</v>
      </c>
      <c r="H130" s="338">
        <f t="shared" si="32"/>
        <v>0.51033847923541875</v>
      </c>
      <c r="J130" s="3">
        <v>2031</v>
      </c>
      <c r="K130" s="335">
        <f t="shared" si="45"/>
        <v>1241.0103297034166</v>
      </c>
      <c r="L130" s="338">
        <f t="shared" si="33"/>
        <v>0.23210509377980154</v>
      </c>
      <c r="M130" s="338">
        <f t="shared" si="34"/>
        <v>0.32860312519442747</v>
      </c>
      <c r="N130" s="338">
        <f t="shared" si="35"/>
        <v>0.43929178102577088</v>
      </c>
      <c r="P130" s="3">
        <v>2031</v>
      </c>
      <c r="Q130" s="707">
        <f>Paper!F78</f>
        <v>328.80734788451042</v>
      </c>
      <c r="R130" s="334">
        <f t="shared" si="30"/>
        <v>545.16563800679296</v>
      </c>
      <c r="S130" s="707">
        <f>Paper!G78</f>
        <v>426.35352775691518</v>
      </c>
      <c r="V130" s="335">
        <f t="shared" si="36"/>
        <v>796.83167525308056</v>
      </c>
      <c r="W130" s="335">
        <f t="shared" si="37"/>
        <v>288.04481895751394</v>
      </c>
      <c r="X130" s="335">
        <f t="shared" si="38"/>
        <v>407.7998727391095</v>
      </c>
      <c r="Y130" s="335">
        <f t="shared" si="39"/>
        <v>100.98698355645689</v>
      </c>
      <c r="Z130" s="338">
        <f t="shared" si="40"/>
        <v>0.36148766157674195</v>
      </c>
      <c r="AA130" s="338">
        <f t="shared" si="40"/>
        <v>0.51177668434125534</v>
      </c>
      <c r="AB130" s="338">
        <f t="shared" si="40"/>
        <v>0.12673565408200241</v>
      </c>
      <c r="AC130" s="338">
        <f t="shared" si="41"/>
        <v>0.59774533527934803</v>
      </c>
      <c r="AE130" s="346">
        <f>MIN('WTE Tonnes and Composition'!G84,V130)</f>
        <v>542.06651819247668</v>
      </c>
      <c r="AF130" s="335">
        <f t="shared" si="51"/>
        <v>0.541964489071733</v>
      </c>
      <c r="AG130" s="335">
        <f t="shared" si="51"/>
        <v>1.8165399933608444</v>
      </c>
      <c r="AH130" s="335">
        <f t="shared" si="51"/>
        <v>0.26877094468514395</v>
      </c>
      <c r="AI130" s="335">
        <f t="shared" si="47"/>
        <v>2.6272754271177212</v>
      </c>
      <c r="AK130" s="610">
        <f t="shared" si="42"/>
        <v>254.76515706060388</v>
      </c>
      <c r="AL130" s="338">
        <f t="shared" si="43"/>
        <v>0.12860993860888972</v>
      </c>
      <c r="AM130" s="335">
        <f t="shared" si="44"/>
        <v>92.094460877069082</v>
      </c>
      <c r="AN130" s="335">
        <f t="shared" si="44"/>
        <v>130.38286736615501</v>
      </c>
      <c r="AO130" s="335">
        <f t="shared" si="44"/>
        <v>32.287828817379705</v>
      </c>
      <c r="AP130" s="335">
        <f t="shared" si="48"/>
        <v>18.258080918481159</v>
      </c>
      <c r="AQ130" s="335">
        <f t="shared" si="48"/>
        <v>36.515031835516346</v>
      </c>
      <c r="AR130" s="335">
        <f t="shared" si="48"/>
        <v>11.071901547247807</v>
      </c>
      <c r="AS130" s="335">
        <f t="shared" si="49"/>
        <v>65.845014301245314</v>
      </c>
      <c r="AT130" s="610">
        <f t="shared" si="50"/>
        <v>0.25845376605240417</v>
      </c>
    </row>
    <row r="131" spans="2:46" ht="14.4" x14ac:dyDescent="0.55000000000000004">
      <c r="B131" s="3">
        <v>2032</v>
      </c>
      <c r="C131" s="707">
        <f>Compost!E74</f>
        <v>329.05170036910079</v>
      </c>
      <c r="D131" s="338">
        <f t="shared" si="31"/>
        <v>0.56714495746653482</v>
      </c>
      <c r="F131" s="3">
        <v>2032</v>
      </c>
      <c r="G131" s="707">
        <f>'H&amp;C Recycling'!E74</f>
        <v>435.95939636409753</v>
      </c>
      <c r="H131" s="338">
        <f t="shared" si="32"/>
        <v>0.52128005278134559</v>
      </c>
      <c r="J131" s="3">
        <v>2032</v>
      </c>
      <c r="K131" s="335">
        <f t="shared" si="45"/>
        <v>1209.6095686229799</v>
      </c>
      <c r="L131" s="338">
        <f t="shared" si="33"/>
        <v>0.20761911323539461</v>
      </c>
      <c r="M131" s="338">
        <f t="shared" si="34"/>
        <v>0.33098723605004715</v>
      </c>
      <c r="N131" s="338">
        <f t="shared" si="35"/>
        <v>0.46139365071455835</v>
      </c>
      <c r="P131" s="3">
        <v>2032</v>
      </c>
      <c r="Q131" s="707">
        <f>Paper!F79</f>
        <v>343.47657869481304</v>
      </c>
      <c r="R131" s="334">
        <f t="shared" si="30"/>
        <v>558.10617480621875</v>
      </c>
      <c r="S131" s="707">
        <f>Paper!G79</f>
        <v>445.37463037427426</v>
      </c>
      <c r="V131" s="335">
        <f t="shared" si="36"/>
        <v>746.67953483689359</v>
      </c>
      <c r="W131" s="335">
        <f t="shared" si="37"/>
        <v>251.13806599855127</v>
      </c>
      <c r="X131" s="335">
        <f t="shared" si="38"/>
        <v>400.36532781820995</v>
      </c>
      <c r="Y131" s="335">
        <f t="shared" si="39"/>
        <v>95.176141020132491</v>
      </c>
      <c r="Z131" s="338">
        <f t="shared" si="40"/>
        <v>0.3363398275719589</v>
      </c>
      <c r="AA131" s="338">
        <f t="shared" si="40"/>
        <v>0.53619432318533633</v>
      </c>
      <c r="AB131" s="338">
        <f t="shared" si="40"/>
        <v>0.12746584924270488</v>
      </c>
      <c r="AC131" s="338">
        <f t="shared" si="41"/>
        <v>0.62186178442419515</v>
      </c>
      <c r="AE131" s="346">
        <f>MIN('WTE Tonnes and Composition'!G85,V131)</f>
        <v>563.9457072319284</v>
      </c>
      <c r="AF131" s="335">
        <f t="shared" si="51"/>
        <v>0.50426131284653397</v>
      </c>
      <c r="AG131" s="335">
        <f t="shared" si="51"/>
        <v>1.9032098610215951</v>
      </c>
      <c r="AH131" s="335">
        <f t="shared" si="51"/>
        <v>0.27031948479067364</v>
      </c>
      <c r="AI131" s="335">
        <f t="shared" si="47"/>
        <v>2.6777906586588025</v>
      </c>
      <c r="AK131" s="610">
        <f t="shared" si="42"/>
        <v>182.7338276049652</v>
      </c>
      <c r="AL131" s="338">
        <f t="shared" si="43"/>
        <v>9.254123124048437E-2</v>
      </c>
      <c r="AM131" s="335">
        <f t="shared" si="44"/>
        <v>61.460664068218058</v>
      </c>
      <c r="AN131" s="335">
        <f t="shared" si="44"/>
        <v>97.98084101571024</v>
      </c>
      <c r="AO131" s="335">
        <f t="shared" si="44"/>
        <v>23.292322521036915</v>
      </c>
      <c r="AP131" s="335">
        <f t="shared" si="48"/>
        <v>12.184812932006876</v>
      </c>
      <c r="AQ131" s="335">
        <f t="shared" si="48"/>
        <v>27.440518844487762</v>
      </c>
      <c r="AR131" s="335">
        <f t="shared" si="48"/>
        <v>7.9872295910107116</v>
      </c>
      <c r="AS131" s="335">
        <f t="shared" si="49"/>
        <v>47.61256136750535</v>
      </c>
      <c r="AT131" s="610">
        <f t="shared" si="50"/>
        <v>0.26055690942146953</v>
      </c>
    </row>
    <row r="132" spans="2:46" ht="14.4" x14ac:dyDescent="0.55000000000000004">
      <c r="B132" s="3">
        <v>2033</v>
      </c>
      <c r="C132" s="707">
        <f>Compost!E75</f>
        <v>343.4410591847132</v>
      </c>
      <c r="D132" s="338">
        <f t="shared" si="31"/>
        <v>0.61512698285106016</v>
      </c>
      <c r="F132" s="3">
        <v>2033</v>
      </c>
      <c r="G132" s="707">
        <f>'H&amp;C Recycling'!E75</f>
        <v>446.8889190704553</v>
      </c>
      <c r="H132" s="338">
        <f t="shared" si="32"/>
        <v>0.53268525768935138</v>
      </c>
      <c r="J132" s="3">
        <v>2033</v>
      </c>
      <c r="K132" s="335">
        <f t="shared" si="45"/>
        <v>1178.1832616196514</v>
      </c>
      <c r="L132" s="338">
        <f t="shared" si="33"/>
        <v>0.1823862327258042</v>
      </c>
      <c r="M132" s="338">
        <f t="shared" si="34"/>
        <v>0.33275572940828319</v>
      </c>
      <c r="N132" s="338">
        <f t="shared" si="35"/>
        <v>0.48485803786591264</v>
      </c>
      <c r="P132" s="3">
        <v>2033</v>
      </c>
      <c r="Q132" s="707">
        <f>Paper!F80</f>
        <v>358.82888507586529</v>
      </c>
      <c r="R132" s="334">
        <f t="shared" si="30"/>
        <v>571.25162447536536</v>
      </c>
      <c r="S132" s="707">
        <f>Paper!G80</f>
        <v>465.28145431503862</v>
      </c>
      <c r="V132" s="335">
        <f t="shared" si="36"/>
        <v>695.61024483245671</v>
      </c>
      <c r="W132" s="335">
        <f t="shared" si="37"/>
        <v>214.88440654740879</v>
      </c>
      <c r="X132" s="335">
        <f t="shared" si="38"/>
        <v>392.04723059687723</v>
      </c>
      <c r="Y132" s="335">
        <f t="shared" si="39"/>
        <v>88.678607688170757</v>
      </c>
      <c r="Z132" s="338">
        <f t="shared" si="40"/>
        <v>0.30891495365938065</v>
      </c>
      <c r="AA132" s="338">
        <f t="shared" si="40"/>
        <v>0.56360186398822365</v>
      </c>
      <c r="AB132" s="338">
        <f t="shared" si="40"/>
        <v>0.12748318235239578</v>
      </c>
      <c r="AC132" s="338">
        <f t="shared" si="41"/>
        <v>0.64663166559311969</v>
      </c>
      <c r="AE132" s="346">
        <f>MIN('WTE Tonnes and Composition'!G86,V132)</f>
        <v>585.01833555366329</v>
      </c>
      <c r="AF132" s="335">
        <f t="shared" si="51"/>
        <v>0.4631442586349015</v>
      </c>
      <c r="AG132" s="335">
        <f t="shared" si="51"/>
        <v>2.0004923193895419</v>
      </c>
      <c r="AH132" s="335">
        <f t="shared" si="51"/>
        <v>0.27035624347787734</v>
      </c>
      <c r="AI132" s="335">
        <f t="shared" si="47"/>
        <v>2.733992821502321</v>
      </c>
      <c r="AK132" s="610">
        <f t="shared" si="42"/>
        <v>110.59190927879342</v>
      </c>
      <c r="AL132" s="338">
        <f t="shared" si="43"/>
        <v>5.6180424413008315E-2</v>
      </c>
      <c r="AM132" s="335">
        <f t="shared" si="44"/>
        <v>34.1634945299609</v>
      </c>
      <c r="AN132" s="335">
        <f t="shared" si="44"/>
        <v>62.329806211544501</v>
      </c>
      <c r="AO132" s="335">
        <f t="shared" si="44"/>
        <v>14.098608537288033</v>
      </c>
      <c r="AP132" s="335">
        <f t="shared" si="48"/>
        <v>6.7730441293177348</v>
      </c>
      <c r="AQ132" s="335">
        <f t="shared" si="48"/>
        <v>17.45608839637249</v>
      </c>
      <c r="AR132" s="335">
        <f t="shared" si="48"/>
        <v>4.8345897322775935</v>
      </c>
      <c r="AS132" s="335">
        <f t="shared" si="49"/>
        <v>29.063722257967818</v>
      </c>
      <c r="AT132" s="610">
        <f t="shared" si="50"/>
        <v>0.26280152361508186</v>
      </c>
    </row>
    <row r="133" spans="2:46" ht="14.4" x14ac:dyDescent="0.55000000000000004">
      <c r="B133" s="3">
        <v>2034</v>
      </c>
      <c r="C133" s="707">
        <f>Compost!E76</f>
        <v>358.05344411639214</v>
      </c>
      <c r="D133" s="338">
        <f t="shared" si="31"/>
        <v>0.66630922642132817</v>
      </c>
      <c r="F133" s="3">
        <v>2034</v>
      </c>
      <c r="G133" s="707">
        <f>'H&amp;C Recycling'!E76</f>
        <v>457.81194616724525</v>
      </c>
      <c r="H133" s="338">
        <f t="shared" si="32"/>
        <v>0.54459827368797875</v>
      </c>
      <c r="J133" s="3">
        <v>2034</v>
      </c>
      <c r="K133" s="335">
        <f t="shared" si="45"/>
        <v>1146.7436704201766</v>
      </c>
      <c r="L133" s="338">
        <f t="shared" si="33"/>
        <v>0.15636871801367125</v>
      </c>
      <c r="M133" s="338">
        <f t="shared" si="34"/>
        <v>0.33384062252701274</v>
      </c>
      <c r="N133" s="338">
        <f t="shared" si="35"/>
        <v>0.50979065945931601</v>
      </c>
      <c r="P133" s="3">
        <v>2034</v>
      </c>
      <c r="Q133" s="707">
        <f>Paper!F81</f>
        <v>372.00799999999998</v>
      </c>
      <c r="R133" s="334">
        <f t="shared" si="30"/>
        <v>584.59921197429833</v>
      </c>
      <c r="S133" s="707">
        <f>Paper!G81</f>
        <v>482.3703733333333</v>
      </c>
      <c r="V133" s="335">
        <f t="shared" si="36"/>
        <v>647.33969629719718</v>
      </c>
      <c r="W133" s="335">
        <f t="shared" si="37"/>
        <v>179.31483763389497</v>
      </c>
      <c r="X133" s="335">
        <f t="shared" si="38"/>
        <v>382.82962081198326</v>
      </c>
      <c r="Y133" s="335">
        <f t="shared" si="39"/>
        <v>85.195237851318893</v>
      </c>
      <c r="Z133" s="338">
        <f t="shared" si="40"/>
        <v>0.27700269064230315</v>
      </c>
      <c r="AA133" s="338">
        <f t="shared" si="40"/>
        <v>0.5913890697600972</v>
      </c>
      <c r="AB133" s="338">
        <f t="shared" si="40"/>
        <v>0.13160823959759962</v>
      </c>
      <c r="AC133" s="338">
        <f t="shared" si="41"/>
        <v>0.6701637074552923</v>
      </c>
      <c r="AE133" s="346">
        <f>MIN('WTE Tonnes and Composition'!G87,V133)</f>
        <v>605.09858449771889</v>
      </c>
      <c r="AF133" s="335">
        <f t="shared" si="51"/>
        <v>0.41529943525771007</v>
      </c>
      <c r="AG133" s="335">
        <f t="shared" si="51"/>
        <v>2.0991223901465315</v>
      </c>
      <c r="AH133" s="335">
        <f t="shared" si="51"/>
        <v>0.27910433840589477</v>
      </c>
      <c r="AI133" s="335">
        <f t="shared" si="47"/>
        <v>2.7935261638101361</v>
      </c>
      <c r="AK133" s="610">
        <f t="shared" si="42"/>
        <v>42.24111179947829</v>
      </c>
      <c r="AL133" s="338">
        <f t="shared" si="43"/>
        <v>2.1522937321164792E-2</v>
      </c>
      <c r="AM133" s="335">
        <f t="shared" si="44"/>
        <v>11.700901624177826</v>
      </c>
      <c r="AN133" s="335">
        <f t="shared" si="44"/>
        <v>24.980931812725732</v>
      </c>
      <c r="AO133" s="335">
        <f t="shared" si="44"/>
        <v>5.5592783625747311</v>
      </c>
      <c r="AP133" s="335">
        <f t="shared" si="48"/>
        <v>2.319748730149962</v>
      </c>
      <c r="AQ133" s="335">
        <f t="shared" si="48"/>
        <v>6.9961609132345872</v>
      </c>
      <c r="AR133" s="335">
        <f t="shared" si="48"/>
        <v>1.9063462908054283</v>
      </c>
      <c r="AS133" s="335">
        <f t="shared" si="49"/>
        <v>11.222255934189977</v>
      </c>
      <c r="AT133" s="610">
        <f t="shared" si="50"/>
        <v>0.26567141479284123</v>
      </c>
    </row>
    <row r="134" spans="2:46" ht="14.4" x14ac:dyDescent="0.55000000000000004">
      <c r="B134" s="3">
        <v>2035</v>
      </c>
      <c r="C134" s="707">
        <f>Compost!E77</f>
        <v>372.90697304325437</v>
      </c>
      <c r="D134" s="338">
        <f t="shared" si="31"/>
        <v>0.72071816723048387</v>
      </c>
      <c r="F134" s="3">
        <v>2035</v>
      </c>
      <c r="G134" s="707">
        <f>'H&amp;C Recycling'!E77</f>
        <v>468.7507283590387</v>
      </c>
      <c r="H134" s="338">
        <f t="shared" si="32"/>
        <v>0.55706310348747323</v>
      </c>
      <c r="J134" s="3">
        <v>2035</v>
      </c>
      <c r="K134" s="335">
        <f t="shared" si="45"/>
        <v>1115.3927299919503</v>
      </c>
      <c r="L134" s="338">
        <f t="shared" si="33"/>
        <v>0.12955372698469933</v>
      </c>
      <c r="M134" s="338">
        <f t="shared" si="34"/>
        <v>0.33415780547732216</v>
      </c>
      <c r="N134" s="338">
        <f t="shared" si="35"/>
        <v>0.53628846753797843</v>
      </c>
      <c r="P134" s="3">
        <v>2035</v>
      </c>
      <c r="Q134" s="707">
        <f>Paper!F82</f>
        <v>380.69499999999999</v>
      </c>
      <c r="R134" s="334">
        <f t="shared" si="30"/>
        <v>598.17225787038524</v>
      </c>
      <c r="S134" s="707">
        <f>Paper!G82</f>
        <v>493.63451666666663</v>
      </c>
      <c r="V134" s="335">
        <f t="shared" si="36"/>
        <v>604.97708397599138</v>
      </c>
      <c r="W134" s="335">
        <f t="shared" si="37"/>
        <v>144.5032852220956</v>
      </c>
      <c r="X134" s="335">
        <f t="shared" si="38"/>
        <v>372.71718689946943</v>
      </c>
      <c r="Y134" s="335">
        <f t="shared" si="39"/>
        <v>87.756611854426296</v>
      </c>
      <c r="Z134" s="338">
        <f t="shared" si="40"/>
        <v>0.23885745270283698</v>
      </c>
      <c r="AA134" s="338">
        <f t="shared" si="40"/>
        <v>0.61608480184062764</v>
      </c>
      <c r="AB134" s="338">
        <f t="shared" si="40"/>
        <v>0.14505774545653524</v>
      </c>
      <c r="AC134" s="338">
        <f t="shared" si="41"/>
        <v>0.69087302285562813</v>
      </c>
      <c r="AE134" s="346">
        <f>MIN('WTE Tonnes and Composition'!G88,V134)</f>
        <v>604.97708397599138</v>
      </c>
      <c r="AF134" s="335">
        <f t="shared" si="51"/>
        <v>0.35810975331888784</v>
      </c>
      <c r="AG134" s="335">
        <f t="shared" si="51"/>
        <v>2.1867793435838525</v>
      </c>
      <c r="AH134" s="335">
        <f t="shared" si="51"/>
        <v>0.30762698597053018</v>
      </c>
      <c r="AI134" s="335">
        <f t="shared" si="47"/>
        <v>2.8525160828732705</v>
      </c>
      <c r="AK134" s="610">
        <f t="shared" si="42"/>
        <v>0</v>
      </c>
      <c r="AL134" s="338">
        <f t="shared" si="43"/>
        <v>0</v>
      </c>
      <c r="AM134" s="335">
        <f t="shared" si="44"/>
        <v>0</v>
      </c>
      <c r="AN134" s="335">
        <f t="shared" si="44"/>
        <v>0</v>
      </c>
      <c r="AO134" s="335">
        <f t="shared" si="44"/>
        <v>0</v>
      </c>
      <c r="AP134" s="335">
        <f t="shared" si="48"/>
        <v>0</v>
      </c>
      <c r="AQ134" s="335">
        <f t="shared" si="48"/>
        <v>0</v>
      </c>
      <c r="AR134" s="335">
        <f t="shared" si="48"/>
        <v>0</v>
      </c>
      <c r="AS134" s="335">
        <f t="shared" si="49"/>
        <v>0</v>
      </c>
      <c r="AT134" s="610" t="e">
        <f t="shared" si="50"/>
        <v>#DIV/0!</v>
      </c>
    </row>
    <row r="135" spans="2:46" ht="14.4" x14ac:dyDescent="0.55000000000000004">
      <c r="B135" s="3">
        <v>2036</v>
      </c>
      <c r="C135" s="707">
        <f>Compost!E78</f>
        <v>387.94813895171484</v>
      </c>
      <c r="D135" s="338">
        <f t="shared" si="31"/>
        <v>0.77855760535893781</v>
      </c>
      <c r="F135" s="3">
        <v>2036</v>
      </c>
      <c r="G135" s="707">
        <f>'H&amp;C Recycling'!E78</f>
        <v>479.63811941172094</v>
      </c>
      <c r="H135" s="338">
        <f t="shared" si="32"/>
        <v>0.57013192745965535</v>
      </c>
      <c r="J135" s="3">
        <v>2036</v>
      </c>
      <c r="K135" s="335">
        <f t="shared" si="45"/>
        <v>1083.8628106604178</v>
      </c>
      <c r="L135" s="338">
        <f t="shared" si="33"/>
        <v>0.10180506263600662</v>
      </c>
      <c r="M135" s="338">
        <f t="shared" si="34"/>
        <v>0.3336562038054533</v>
      </c>
      <c r="N135" s="338">
        <f t="shared" si="35"/>
        <v>0.56453873355854012</v>
      </c>
      <c r="P135" s="3">
        <v>2036</v>
      </c>
      <c r="Q135" s="707">
        <f>Paper!F83</f>
        <v>389.82</v>
      </c>
      <c r="R135" s="334">
        <f t="shared" si="30"/>
        <v>611.88253848143199</v>
      </c>
      <c r="S135" s="707">
        <f>Paper!G83</f>
        <v>505.46659999999997</v>
      </c>
      <c r="V135" s="335">
        <f t="shared" si="36"/>
        <v>565.70808844332601</v>
      </c>
      <c r="W135" s="335">
        <f t="shared" si="37"/>
        <v>110.34272132812202</v>
      </c>
      <c r="X135" s="335">
        <f t="shared" si="38"/>
        <v>361.63755085086382</v>
      </c>
      <c r="Y135" s="335">
        <f t="shared" si="39"/>
        <v>93.727816264340106</v>
      </c>
      <c r="Z135" s="338">
        <f t="shared" si="40"/>
        <v>0.19505240172852226</v>
      </c>
      <c r="AA135" s="338">
        <f t="shared" si="40"/>
        <v>0.63926529996414139</v>
      </c>
      <c r="AB135" s="338">
        <f t="shared" si="40"/>
        <v>0.16568229830733627</v>
      </c>
      <c r="AC135" s="338">
        <f t="shared" si="41"/>
        <v>0.71010870976699259</v>
      </c>
      <c r="AE135" s="346">
        <f>MIN('WTE Tonnes and Composition'!G89,V135)</f>
        <v>565.70808844332601</v>
      </c>
      <c r="AF135" s="335">
        <f t="shared" si="51"/>
        <v>0.29243453229888727</v>
      </c>
      <c r="AG135" s="335">
        <f t="shared" si="51"/>
        <v>2.2690580076882743</v>
      </c>
      <c r="AH135" s="335">
        <f t="shared" si="51"/>
        <v>0.35136590532649747</v>
      </c>
      <c r="AI135" s="335">
        <f t="shared" si="47"/>
        <v>2.9128584453136588</v>
      </c>
      <c r="AK135" s="610">
        <f t="shared" si="42"/>
        <v>0</v>
      </c>
      <c r="AL135" s="338">
        <f t="shared" si="43"/>
        <v>0</v>
      </c>
      <c r="AM135" s="335">
        <f t="shared" si="44"/>
        <v>0</v>
      </c>
      <c r="AN135" s="335">
        <f t="shared" si="44"/>
        <v>0</v>
      </c>
      <c r="AO135" s="335">
        <f t="shared" si="44"/>
        <v>0</v>
      </c>
      <c r="AP135" s="335">
        <f t="shared" si="48"/>
        <v>0</v>
      </c>
      <c r="AQ135" s="335">
        <f t="shared" si="48"/>
        <v>0</v>
      </c>
      <c r="AR135" s="335">
        <f t="shared" si="48"/>
        <v>0</v>
      </c>
      <c r="AS135" s="335">
        <f t="shared" si="49"/>
        <v>0</v>
      </c>
      <c r="AT135" s="610" t="e">
        <f t="shared" si="50"/>
        <v>#DIV/0!</v>
      </c>
    </row>
    <row r="136" spans="2:46" ht="14.4" x14ac:dyDescent="0.55000000000000004">
      <c r="B136" s="3">
        <v>2037</v>
      </c>
      <c r="C136" s="707">
        <f>Compost!E79</f>
        <v>403.23030053741212</v>
      </c>
      <c r="D136" s="338">
        <f t="shared" si="31"/>
        <v>0.83962800475939259</v>
      </c>
      <c r="F136" s="3">
        <v>2037</v>
      </c>
      <c r="G136" s="707">
        <f>'H&amp;C Recycling'!E79</f>
        <v>490.53937722223554</v>
      </c>
      <c r="H136" s="338">
        <f t="shared" si="32"/>
        <v>0.58384653541168041</v>
      </c>
      <c r="J136" s="3">
        <v>2037</v>
      </c>
      <c r="K136" s="335">
        <f t="shared" si="45"/>
        <v>1052.4798693653149</v>
      </c>
      <c r="L136" s="338">
        <f t="shared" si="33"/>
        <v>7.317807460395323E-2</v>
      </c>
      <c r="M136" s="338">
        <f t="shared" si="34"/>
        <v>0.33221167022264952</v>
      </c>
      <c r="N136" s="338">
        <f t="shared" si="35"/>
        <v>0.59461025517339716</v>
      </c>
      <c r="P136" s="3">
        <v>2037</v>
      </c>
      <c r="Q136" s="707">
        <f>Paper!F84</f>
        <v>399.38299999999998</v>
      </c>
      <c r="R136" s="334">
        <f t="shared" si="30"/>
        <v>625.81532368817363</v>
      </c>
      <c r="S136" s="707">
        <f>Paper!G84</f>
        <v>517.86662333333334</v>
      </c>
      <c r="V136" s="335">
        <f t="shared" si="36"/>
        <v>528.35018596614827</v>
      </c>
      <c r="W136" s="335">
        <f t="shared" si="37"/>
        <v>77.018450399573965</v>
      </c>
      <c r="X136" s="335">
        <f t="shared" si="38"/>
        <v>349.64609527756727</v>
      </c>
      <c r="Y136" s="335">
        <f t="shared" si="39"/>
        <v>101.68564028900704</v>
      </c>
      <c r="Z136" s="338">
        <f t="shared" si="40"/>
        <v>0.14577159703036158</v>
      </c>
      <c r="AA136" s="338">
        <f t="shared" si="40"/>
        <v>0.66176960766692972</v>
      </c>
      <c r="AB136" s="338">
        <f t="shared" si="40"/>
        <v>0.19245879530270876</v>
      </c>
      <c r="AC136" s="338">
        <f t="shared" si="41"/>
        <v>0.72852906414460705</v>
      </c>
      <c r="AE136" s="346">
        <f>MIN('WTE Tonnes and Composition'!G90,V136)</f>
        <v>528.35018596614827</v>
      </c>
      <c r="AF136" s="335">
        <f t="shared" si="51"/>
        <v>0.2185497252136738</v>
      </c>
      <c r="AG136" s="335">
        <f t="shared" si="51"/>
        <v>2.3489365488876119</v>
      </c>
      <c r="AH136" s="335">
        <f t="shared" si="51"/>
        <v>0.40815138092871939</v>
      </c>
      <c r="AI136" s="335">
        <f t="shared" si="47"/>
        <v>2.9756376550300052</v>
      </c>
      <c r="AK136" s="610">
        <f t="shared" si="42"/>
        <v>0</v>
      </c>
      <c r="AL136" s="338">
        <f t="shared" si="43"/>
        <v>0</v>
      </c>
      <c r="AM136" s="335">
        <f t="shared" si="44"/>
        <v>0</v>
      </c>
      <c r="AN136" s="335">
        <f t="shared" si="44"/>
        <v>0</v>
      </c>
      <c r="AO136" s="335">
        <f t="shared" si="44"/>
        <v>0</v>
      </c>
      <c r="AP136" s="335">
        <f t="shared" si="48"/>
        <v>0</v>
      </c>
      <c r="AQ136" s="335">
        <f t="shared" si="48"/>
        <v>0</v>
      </c>
      <c r="AR136" s="335">
        <f t="shared" si="48"/>
        <v>0</v>
      </c>
      <c r="AS136" s="335">
        <f t="shared" si="49"/>
        <v>0</v>
      </c>
      <c r="AT136" s="610" t="e">
        <f t="shared" si="50"/>
        <v>#DIV/0!</v>
      </c>
    </row>
    <row r="137" spans="2:46" ht="14.4" x14ac:dyDescent="0.55000000000000004">
      <c r="B137" s="3">
        <v>2038</v>
      </c>
      <c r="C137" s="707">
        <f>Compost!E80</f>
        <v>418.73569938066373</v>
      </c>
      <c r="D137" s="338">
        <f t="shared" si="31"/>
        <v>0.90386312544488034</v>
      </c>
      <c r="F137" s="3">
        <v>2038</v>
      </c>
      <c r="G137" s="707">
        <f>'H&amp;C Recycling'!E80</f>
        <v>501.42991900940564</v>
      </c>
      <c r="H137" s="338">
        <f t="shared" si="32"/>
        <v>0.59825706881999496</v>
      </c>
      <c r="J137" s="3">
        <v>2038</v>
      </c>
      <c r="K137" s="335">
        <f t="shared" si="45"/>
        <v>1021.2035527700064</v>
      </c>
      <c r="L137" s="338">
        <f t="shared" si="33"/>
        <v>4.3612903571152391E-2</v>
      </c>
      <c r="M137" s="338">
        <f t="shared" si="34"/>
        <v>0.32972990061421276</v>
      </c>
      <c r="N137" s="338">
        <f t="shared" si="35"/>
        <v>0.62665719581463497</v>
      </c>
      <c r="P137" s="3">
        <v>2038</v>
      </c>
      <c r="Q137" s="707">
        <f>Paper!F85</f>
        <v>409.38399999999996</v>
      </c>
      <c r="R137" s="334">
        <f t="shared" si="30"/>
        <v>639.94455473479479</v>
      </c>
      <c r="S137" s="707">
        <f>Paper!G85</f>
        <v>530.83458666666661</v>
      </c>
      <c r="V137" s="335">
        <f t="shared" si="36"/>
        <v>490.36896610333974</v>
      </c>
      <c r="W137" s="335">
        <f t="shared" si="37"/>
        <v>44.537652073476522</v>
      </c>
      <c r="X137" s="335">
        <f t="shared" si="38"/>
        <v>336.72134596173515</v>
      </c>
      <c r="Y137" s="335">
        <f t="shared" si="39"/>
        <v>109.10996806812818</v>
      </c>
      <c r="Z137" s="338">
        <f t="shared" si="40"/>
        <v>9.0824777161959941E-2</v>
      </c>
      <c r="AA137" s="338">
        <f t="shared" si="40"/>
        <v>0.68666936375980803</v>
      </c>
      <c r="AB137" s="338">
        <f t="shared" si="40"/>
        <v>0.22250585907823228</v>
      </c>
      <c r="AC137" s="338">
        <f t="shared" si="41"/>
        <v>0.74741075866043705</v>
      </c>
      <c r="AE137" s="346">
        <f>MIN('WTE Tonnes and Composition'!G91,V137)</f>
        <v>490.36896610333974</v>
      </c>
      <c r="AF137" s="335">
        <f t="shared" si="51"/>
        <v>0.13617008042523648</v>
      </c>
      <c r="AG137" s="335">
        <f t="shared" si="51"/>
        <v>2.437317681032904</v>
      </c>
      <c r="AH137" s="335">
        <f t="shared" si="51"/>
        <v>0.47187281570931328</v>
      </c>
      <c r="AI137" s="335">
        <f t="shared" si="47"/>
        <v>3.0453605771674539</v>
      </c>
      <c r="AK137" s="610">
        <f t="shared" si="42"/>
        <v>0</v>
      </c>
      <c r="AL137" s="338">
        <f t="shared" si="43"/>
        <v>0</v>
      </c>
      <c r="AM137" s="335">
        <f t="shared" si="44"/>
        <v>0</v>
      </c>
      <c r="AN137" s="335">
        <f t="shared" si="44"/>
        <v>0</v>
      </c>
      <c r="AO137" s="335">
        <f t="shared" si="44"/>
        <v>0</v>
      </c>
      <c r="AP137" s="335">
        <f t="shared" si="48"/>
        <v>0</v>
      </c>
      <c r="AQ137" s="335">
        <f t="shared" si="48"/>
        <v>0</v>
      </c>
      <c r="AR137" s="335">
        <f t="shared" si="48"/>
        <v>0</v>
      </c>
      <c r="AS137" s="335">
        <f t="shared" si="49"/>
        <v>0</v>
      </c>
      <c r="AT137" s="610" t="e">
        <f t="shared" si="50"/>
        <v>#DIV/0!</v>
      </c>
    </row>
    <row r="138" spans="2:46" ht="14.4" x14ac:dyDescent="0.55000000000000004">
      <c r="B138" s="3">
        <v>2039</v>
      </c>
      <c r="C138" s="707">
        <f>Compost!E81</f>
        <v>432.24287716737376</v>
      </c>
      <c r="D138" s="338">
        <f t="shared" si="31"/>
        <v>0.9660834752100087</v>
      </c>
      <c r="F138" s="3">
        <v>2039</v>
      </c>
      <c r="G138" s="707">
        <f>'H&amp;C Recycling'!E81</f>
        <v>512.30327676836032</v>
      </c>
      <c r="H138" s="338">
        <f t="shared" si="32"/>
        <v>0.61341465755099056</v>
      </c>
      <c r="J138" s="3">
        <v>2039</v>
      </c>
      <c r="K138" s="335">
        <f t="shared" si="45"/>
        <v>992.308262940757</v>
      </c>
      <c r="L138" s="338">
        <f t="shared" si="33"/>
        <v>1.5292480328321882E-2</v>
      </c>
      <c r="M138" s="338">
        <f t="shared" si="34"/>
        <v>0.32536569438163659</v>
      </c>
      <c r="N138" s="338">
        <f t="shared" si="35"/>
        <v>0.65934182529004148</v>
      </c>
      <c r="P138" s="3">
        <v>2039</v>
      </c>
      <c r="Q138" s="707">
        <f>Paper!F86</f>
        <v>419.82299999999998</v>
      </c>
      <c r="R138" s="334">
        <f t="shared" si="30"/>
        <v>654.27034133774919</v>
      </c>
      <c r="S138" s="707">
        <f>Paper!G86</f>
        <v>544.3704899999999</v>
      </c>
      <c r="V138" s="335">
        <f t="shared" si="36"/>
        <v>447.9377729407571</v>
      </c>
      <c r="W138" s="335">
        <f t="shared" si="37"/>
        <v>15.174854590652785</v>
      </c>
      <c r="X138" s="335">
        <f t="shared" si="38"/>
        <v>322.86306701235503</v>
      </c>
      <c r="Y138" s="335">
        <f t="shared" si="39"/>
        <v>109.89985133774928</v>
      </c>
      <c r="Z138" s="338">
        <f t="shared" si="40"/>
        <v>3.3877148808032685E-2</v>
      </c>
      <c r="AA138" s="338">
        <f t="shared" si="40"/>
        <v>0.72077660451076964</v>
      </c>
      <c r="AB138" s="338">
        <f t="shared" si="40"/>
        <v>0.24534624668119762</v>
      </c>
      <c r="AC138" s="338">
        <f t="shared" si="41"/>
        <v>0.76872925035680617</v>
      </c>
      <c r="AE138" s="346">
        <f>MIN('WTE Tonnes and Composition'!G92,V138)</f>
        <v>447.9377729407571</v>
      </c>
      <c r="AF138" s="335">
        <f t="shared" si="51"/>
        <v>5.0790700752741252E-2</v>
      </c>
      <c r="AG138" s="335">
        <f t="shared" si="51"/>
        <v>2.5583805758129934</v>
      </c>
      <c r="AH138" s="335">
        <f t="shared" si="51"/>
        <v>0.52031090203545316</v>
      </c>
      <c r="AI138" s="335">
        <f t="shared" si="47"/>
        <v>3.1294821786011879</v>
      </c>
      <c r="AK138" s="610">
        <f t="shared" si="42"/>
        <v>0</v>
      </c>
      <c r="AL138" s="338">
        <f t="shared" si="43"/>
        <v>0</v>
      </c>
      <c r="AM138" s="335">
        <f t="shared" si="44"/>
        <v>0</v>
      </c>
      <c r="AN138" s="335">
        <f t="shared" si="44"/>
        <v>0</v>
      </c>
      <c r="AO138" s="335">
        <f t="shared" si="44"/>
        <v>0</v>
      </c>
      <c r="AP138" s="335">
        <f t="shared" si="48"/>
        <v>0</v>
      </c>
      <c r="AQ138" s="335">
        <f t="shared" si="48"/>
        <v>0</v>
      </c>
      <c r="AR138" s="335">
        <f t="shared" si="48"/>
        <v>0</v>
      </c>
      <c r="AS138" s="335">
        <f t="shared" si="49"/>
        <v>0</v>
      </c>
      <c r="AT138" s="610" t="e">
        <f t="shared" si="50"/>
        <v>#DIV/0!</v>
      </c>
    </row>
    <row r="139" spans="2:46" ht="14.4" x14ac:dyDescent="0.55000000000000004">
      <c r="B139" s="3">
        <v>2040</v>
      </c>
      <c r="C139" s="707">
        <f>Compost!E82</f>
        <v>413.97425133135948</v>
      </c>
      <c r="D139" s="338">
        <f t="shared" si="31"/>
        <v>0.96035347413917382</v>
      </c>
      <c r="F139" s="3">
        <v>2040</v>
      </c>
      <c r="G139" s="707">
        <f>'H&amp;C Recycling'!E82</f>
        <v>522.5597625091267</v>
      </c>
      <c r="H139" s="338">
        <f t="shared" si="32"/>
        <v>0.62946743075470757</v>
      </c>
      <c r="J139" s="3">
        <v>2040</v>
      </c>
      <c r="K139" s="335">
        <f t="shared" si="45"/>
        <v>992.72553505715848</v>
      </c>
      <c r="L139" s="338">
        <f t="shared" si="33"/>
        <v>1.7215441368961432E-2</v>
      </c>
      <c r="M139" s="338">
        <f t="shared" si="34"/>
        <v>0.30985599007196679</v>
      </c>
      <c r="N139" s="338">
        <f t="shared" si="35"/>
        <v>0.67292856855907179</v>
      </c>
      <c r="P139" s="3">
        <v>2040</v>
      </c>
      <c r="Q139" s="707">
        <f>Paper!F87</f>
        <v>430.7</v>
      </c>
      <c r="R139" s="334">
        <f t="shared" si="30"/>
        <v>668.0333732780523</v>
      </c>
      <c r="S139" s="707">
        <f>Paper!G87</f>
        <v>558.47433333333333</v>
      </c>
      <c r="V139" s="335">
        <f t="shared" si="36"/>
        <v>434.25120172382515</v>
      </c>
      <c r="W139" s="335">
        <f t="shared" si="37"/>
        <v>17.090208244247378</v>
      </c>
      <c r="X139" s="335">
        <f t="shared" si="38"/>
        <v>307.60195353485881</v>
      </c>
      <c r="Y139" s="335">
        <f t="shared" si="39"/>
        <v>109.55903994471896</v>
      </c>
      <c r="Z139" s="338">
        <f t="shared" si="40"/>
        <v>3.9355580770773321E-2</v>
      </c>
      <c r="AA139" s="338">
        <f t="shared" si="40"/>
        <v>0.70835026434880732</v>
      </c>
      <c r="AB139" s="338">
        <f t="shared" si="40"/>
        <v>0.25229415488041934</v>
      </c>
      <c r="AC139" s="338">
        <f t="shared" si="41"/>
        <v>0.77491302195603962</v>
      </c>
      <c r="AE139" s="346">
        <f>MIN('WTE Tonnes and Composition'!G93,V139)</f>
        <v>434.25120172382515</v>
      </c>
      <c r="AF139" s="335">
        <f t="shared" si="51"/>
        <v>5.9004302198085889E-2</v>
      </c>
      <c r="AG139" s="335">
        <f t="shared" si="51"/>
        <v>2.5142735569393886</v>
      </c>
      <c r="AH139" s="335">
        <f t="shared" si="51"/>
        <v>0.5350454758522436</v>
      </c>
      <c r="AI139" s="335">
        <f t="shared" si="47"/>
        <v>3.1083233349897181</v>
      </c>
      <c r="AK139" s="610">
        <f t="shared" si="42"/>
        <v>0</v>
      </c>
      <c r="AL139" s="338">
        <f t="shared" si="43"/>
        <v>0</v>
      </c>
      <c r="AM139" s="335">
        <f t="shared" si="44"/>
        <v>0</v>
      </c>
      <c r="AN139" s="335">
        <f t="shared" si="44"/>
        <v>0</v>
      </c>
      <c r="AO139" s="335">
        <f t="shared" si="44"/>
        <v>0</v>
      </c>
      <c r="AP139" s="335">
        <f t="shared" si="48"/>
        <v>0</v>
      </c>
      <c r="AQ139" s="335">
        <f t="shared" si="48"/>
        <v>0</v>
      </c>
      <c r="AR139" s="335">
        <f t="shared" si="48"/>
        <v>0</v>
      </c>
      <c r="AS139" s="335">
        <f t="shared" si="49"/>
        <v>0</v>
      </c>
      <c r="AT139" s="610" t="e">
        <f t="shared" si="50"/>
        <v>#DIV/0!</v>
      </c>
    </row>
    <row r="140" spans="2:46" ht="14.4" x14ac:dyDescent="0.55000000000000004">
      <c r="B140" s="3">
        <v>2041</v>
      </c>
      <c r="C140" s="707">
        <f>Compost!E83</f>
        <v>400.12895354468725</v>
      </c>
      <c r="D140" s="338">
        <f t="shared" si="31"/>
        <v>0.95448825909638169</v>
      </c>
      <c r="F140" s="3">
        <v>2041</v>
      </c>
      <c r="G140" s="707">
        <f>'H&amp;C Recycling'!E83</f>
        <v>533.95976168059667</v>
      </c>
      <c r="H140" s="338">
        <f t="shared" si="32"/>
        <v>0.64621788371266586</v>
      </c>
      <c r="J140" s="3">
        <v>2041</v>
      </c>
      <c r="K140" s="335">
        <f t="shared" si="45"/>
        <v>994.89097956693979</v>
      </c>
      <c r="L140" s="338">
        <f t="shared" si="33"/>
        <v>1.9176853158865251E-2</v>
      </c>
      <c r="M140" s="338">
        <f t="shared" si="34"/>
        <v>0.29382580868623864</v>
      </c>
      <c r="N140" s="338">
        <f t="shared" si="35"/>
        <v>0.68699733815489616</v>
      </c>
      <c r="P140" s="3">
        <v>2041</v>
      </c>
      <c r="Q140" s="707">
        <f>Paper!F88</f>
        <v>442.01499999999999</v>
      </c>
      <c r="R140" s="334">
        <f t="shared" si="30"/>
        <v>683.48745471680479</v>
      </c>
      <c r="S140" s="707">
        <f>Paper!G88</f>
        <v>573.14611666666667</v>
      </c>
      <c r="V140" s="335">
        <f t="shared" si="36"/>
        <v>421.74486290027312</v>
      </c>
      <c r="W140" s="335">
        <f t="shared" si="37"/>
        <v>19.078878224234813</v>
      </c>
      <c r="X140" s="335">
        <f t="shared" si="38"/>
        <v>292.32464662590019</v>
      </c>
      <c r="Y140" s="335">
        <f t="shared" si="39"/>
        <v>110.34133805013812</v>
      </c>
      <c r="Z140" s="338">
        <f t="shared" si="40"/>
        <v>4.5237962338254382E-2</v>
      </c>
      <c r="AA140" s="338">
        <f t="shared" si="40"/>
        <v>0.69313149332899882</v>
      </c>
      <c r="AB140" s="338">
        <f t="shared" si="40"/>
        <v>0.26163054433274679</v>
      </c>
      <c r="AC140" s="338">
        <f t="shared" si="41"/>
        <v>0.78136376238750371</v>
      </c>
      <c r="AE140" s="346">
        <f>MIN('WTE Tonnes and Composition'!G94,V140)</f>
        <v>421.74486290027312</v>
      </c>
      <c r="AF140" s="335">
        <f t="shared" si="51"/>
        <v>6.7823529683857339E-2</v>
      </c>
      <c r="AG140" s="335">
        <f t="shared" si="51"/>
        <v>2.4602548666528867</v>
      </c>
      <c r="AH140" s="335">
        <f t="shared" si="51"/>
        <v>0.55484535167429783</v>
      </c>
      <c r="AI140" s="335">
        <f t="shared" si="47"/>
        <v>3.0829237480110421</v>
      </c>
      <c r="AK140" s="610">
        <f t="shared" si="42"/>
        <v>0</v>
      </c>
      <c r="AL140" s="338">
        <f t="shared" si="43"/>
        <v>0</v>
      </c>
      <c r="AM140" s="335">
        <f t="shared" si="44"/>
        <v>0</v>
      </c>
      <c r="AN140" s="335">
        <f t="shared" si="44"/>
        <v>0</v>
      </c>
      <c r="AO140" s="335">
        <f t="shared" si="44"/>
        <v>0</v>
      </c>
      <c r="AP140" s="335">
        <f t="shared" si="48"/>
        <v>0</v>
      </c>
      <c r="AQ140" s="335">
        <f t="shared" si="48"/>
        <v>0</v>
      </c>
      <c r="AR140" s="335">
        <f t="shared" si="48"/>
        <v>0</v>
      </c>
      <c r="AS140" s="335">
        <f t="shared" si="49"/>
        <v>0</v>
      </c>
      <c r="AT140" s="610" t="e">
        <f t="shared" si="50"/>
        <v>#DIV/0!</v>
      </c>
    </row>
    <row r="141" spans="2:46" ht="14.4" x14ac:dyDescent="0.55000000000000004">
      <c r="B141" s="3">
        <v>2042</v>
      </c>
      <c r="C141" s="707">
        <f>Compost!E84</f>
        <v>385.25288249947664</v>
      </c>
      <c r="D141" s="338">
        <f t="shared" si="31"/>
        <v>0.9479940880586073</v>
      </c>
      <c r="F141" s="3">
        <v>2042</v>
      </c>
      <c r="G141" s="707">
        <f>'H&amp;C Recycling'!E84</f>
        <v>544.54175200640452</v>
      </c>
      <c r="H141" s="338">
        <f t="shared" si="32"/>
        <v>0.66405021635028638</v>
      </c>
      <c r="J141" s="3">
        <v>2042</v>
      </c>
      <c r="K141" s="335">
        <f t="shared" si="45"/>
        <v>994.74942609939785</v>
      </c>
      <c r="L141" s="338">
        <f t="shared" si="33"/>
        <v>2.1246103210375521E-2</v>
      </c>
      <c r="M141" s="338">
        <f t="shared" si="34"/>
        <v>0.2769433429811306</v>
      </c>
      <c r="N141" s="338">
        <f t="shared" si="35"/>
        <v>0.70181055380849411</v>
      </c>
      <c r="P141" s="3">
        <v>2042</v>
      </c>
      <c r="Q141" s="707">
        <f>Paper!F89</f>
        <v>453.76800000000003</v>
      </c>
      <c r="R141" s="334">
        <f t="shared" si="30"/>
        <v>698.12564563150011</v>
      </c>
      <c r="S141" s="707">
        <f>Paper!G89</f>
        <v>588.38584000000003</v>
      </c>
      <c r="V141" s="335">
        <f t="shared" si="36"/>
        <v>406.36358609939782</v>
      </c>
      <c r="W141" s="335">
        <f t="shared" si="37"/>
        <v>21.134548975369626</v>
      </c>
      <c r="X141" s="335">
        <f t="shared" si="38"/>
        <v>275.48923149252835</v>
      </c>
      <c r="Y141" s="335">
        <f t="shared" si="39"/>
        <v>109.73980563150008</v>
      </c>
      <c r="Z141" s="338">
        <f t="shared" si="40"/>
        <v>5.200896364321396E-2</v>
      </c>
      <c r="AA141" s="338">
        <f t="shared" si="40"/>
        <v>0.67793778998973298</v>
      </c>
      <c r="AB141" s="338">
        <f t="shared" si="40"/>
        <v>0.27005324636705358</v>
      </c>
      <c r="AC141" s="338">
        <f t="shared" si="41"/>
        <v>0.78885202245169994</v>
      </c>
      <c r="AE141" s="346">
        <f>MIN('WTE Tonnes and Composition'!G95,V141)</f>
        <v>406.36358609939782</v>
      </c>
      <c r="AF141" s="335">
        <f t="shared" si="51"/>
        <v>7.797503042039744E-2</v>
      </c>
      <c r="AG141" s="335">
        <f t="shared" si="51"/>
        <v>2.4063251535426411</v>
      </c>
      <c r="AH141" s="335">
        <f t="shared" si="51"/>
        <v>0.57270755153399455</v>
      </c>
      <c r="AI141" s="335">
        <f t="shared" si="47"/>
        <v>3.0570077354970335</v>
      </c>
      <c r="AK141" s="610">
        <f t="shared" si="42"/>
        <v>0</v>
      </c>
      <c r="AL141" s="338">
        <f t="shared" si="43"/>
        <v>0</v>
      </c>
      <c r="AM141" s="335">
        <f t="shared" si="44"/>
        <v>0</v>
      </c>
      <c r="AN141" s="335">
        <f t="shared" si="44"/>
        <v>0</v>
      </c>
      <c r="AO141" s="335">
        <f t="shared" si="44"/>
        <v>0</v>
      </c>
      <c r="AP141" s="335">
        <f t="shared" si="48"/>
        <v>0</v>
      </c>
      <c r="AQ141" s="335">
        <f t="shared" si="48"/>
        <v>0</v>
      </c>
      <c r="AR141" s="335">
        <f t="shared" si="48"/>
        <v>0</v>
      </c>
      <c r="AS141" s="335">
        <f t="shared" si="49"/>
        <v>0</v>
      </c>
      <c r="AT141" s="610" t="e">
        <f t="shared" si="50"/>
        <v>#DIV/0!</v>
      </c>
    </row>
    <row r="142" spans="2:46" ht="14.4" x14ac:dyDescent="0.55000000000000004">
      <c r="B142" s="3">
        <v>2043</v>
      </c>
      <c r="C142" s="707">
        <f>Compost!E85</f>
        <v>371.61086917726163</v>
      </c>
      <c r="D142" s="338">
        <f t="shared" si="31"/>
        <v>0.94109047548240421</v>
      </c>
      <c r="F142" s="3">
        <v>2043</v>
      </c>
      <c r="G142" s="707">
        <f>'H&amp;C Recycling'!E85</f>
        <v>555.09526866201861</v>
      </c>
      <c r="H142" s="338">
        <f t="shared" si="32"/>
        <v>0.68293190056514297</v>
      </c>
      <c r="J142" s="3">
        <v>2043</v>
      </c>
      <c r="K142" s="335">
        <f t="shared" si="45"/>
        <v>993.93933044135144</v>
      </c>
      <c r="L142" s="338">
        <f t="shared" si="33"/>
        <v>2.3403600244159706E-2</v>
      </c>
      <c r="M142" s="338">
        <f t="shared" si="34"/>
        <v>0.25928822777435828</v>
      </c>
      <c r="N142" s="338">
        <f t="shared" si="35"/>
        <v>0.71730817198148178</v>
      </c>
      <c r="P142" s="3">
        <v>2043</v>
      </c>
      <c r="Q142" s="707">
        <f>Paper!F90</f>
        <v>465.95899999999995</v>
      </c>
      <c r="R142" s="334">
        <f t="shared" si="30"/>
        <v>712.96080417938379</v>
      </c>
      <c r="S142" s="707">
        <f>Paper!G90</f>
        <v>604.1935033333333</v>
      </c>
      <c r="V142" s="335">
        <f t="shared" si="36"/>
        <v>389.74582710801815</v>
      </c>
      <c r="W142" s="335">
        <f t="shared" si="37"/>
        <v>23.261758756597146</v>
      </c>
      <c r="X142" s="335">
        <f t="shared" si="38"/>
        <v>257.71676750537029</v>
      </c>
      <c r="Y142" s="335">
        <f t="shared" si="39"/>
        <v>108.76730084605049</v>
      </c>
      <c r="Z142" s="338">
        <f t="shared" si="40"/>
        <v>5.9684433132237598E-2</v>
      </c>
      <c r="AA142" s="338">
        <f t="shared" si="40"/>
        <v>0.66124317332060623</v>
      </c>
      <c r="AB142" s="338">
        <f t="shared" si="40"/>
        <v>0.27907239354715557</v>
      </c>
      <c r="AC142" s="338">
        <f t="shared" si="41"/>
        <v>0.79707560112230391</v>
      </c>
      <c r="AE142" s="346">
        <f>MIN('WTE Tonnes and Composition'!G96,V142)</f>
        <v>389.74582710801815</v>
      </c>
      <c r="AF142" s="335">
        <f t="shared" si="51"/>
        <v>8.9482565371548917E-2</v>
      </c>
      <c r="AG142" s="335">
        <f t="shared" si="51"/>
        <v>2.3470679818480522</v>
      </c>
      <c r="AH142" s="335">
        <f t="shared" si="51"/>
        <v>0.59183464505324923</v>
      </c>
      <c r="AI142" s="335">
        <f t="shared" si="47"/>
        <v>3.0283851922728502</v>
      </c>
      <c r="AK142" s="610">
        <f t="shared" si="42"/>
        <v>0</v>
      </c>
      <c r="AL142" s="338">
        <f t="shared" si="43"/>
        <v>0</v>
      </c>
      <c r="AM142" s="335">
        <f t="shared" si="44"/>
        <v>0</v>
      </c>
      <c r="AN142" s="335">
        <f t="shared" si="44"/>
        <v>0</v>
      </c>
      <c r="AO142" s="335">
        <f t="shared" si="44"/>
        <v>0</v>
      </c>
      <c r="AP142" s="335">
        <f t="shared" si="48"/>
        <v>0</v>
      </c>
      <c r="AQ142" s="335">
        <f t="shared" si="48"/>
        <v>0</v>
      </c>
      <c r="AR142" s="335">
        <f t="shared" si="48"/>
        <v>0</v>
      </c>
      <c r="AS142" s="335">
        <f t="shared" si="49"/>
        <v>0</v>
      </c>
      <c r="AT142" s="610" t="e">
        <f t="shared" si="50"/>
        <v>#DIV/0!</v>
      </c>
    </row>
    <row r="143" spans="2:46" ht="14.4" x14ac:dyDescent="0.55000000000000004">
      <c r="B143" s="3">
        <v>2044</v>
      </c>
      <c r="C143" s="707">
        <f>Compost!E86</f>
        <v>359.25059701276848</v>
      </c>
      <c r="D143" s="338">
        <f t="shared" si="31"/>
        <v>0.93381280875412587</v>
      </c>
      <c r="F143" s="3">
        <v>2044</v>
      </c>
      <c r="G143" s="707">
        <f>'H&amp;C Recycling'!E86</f>
        <v>565.61978887730038</v>
      </c>
      <c r="H143" s="338">
        <f t="shared" si="32"/>
        <v>0.70296075323001839</v>
      </c>
      <c r="J143" s="3">
        <v>2044</v>
      </c>
      <c r="K143" s="335">
        <f t="shared" si="45"/>
        <v>992.46403892088983</v>
      </c>
      <c r="L143" s="338">
        <f t="shared" si="33"/>
        <v>2.5656466521687325E-2</v>
      </c>
      <c r="M143" s="338">
        <f t="shared" si="34"/>
        <v>0.24082001112486698</v>
      </c>
      <c r="N143" s="338">
        <f t="shared" si="35"/>
        <v>0.73352352235344565</v>
      </c>
      <c r="P143" s="3">
        <v>2044</v>
      </c>
      <c r="Q143" s="707">
        <f>Paper!F91</f>
        <v>478.58800000000002</v>
      </c>
      <c r="R143" s="334">
        <f t="shared" si="30"/>
        <v>727.99571763837832</v>
      </c>
      <c r="S143" s="707">
        <f>Paper!G91</f>
        <v>620.5691066666667</v>
      </c>
      <c r="V143" s="335">
        <f t="shared" si="36"/>
        <v>371.89493225422314</v>
      </c>
      <c r="W143" s="335">
        <f t="shared" si="37"/>
        <v>25.463120388552397</v>
      </c>
      <c r="X143" s="335">
        <f t="shared" si="38"/>
        <v>239.00520089395911</v>
      </c>
      <c r="Y143" s="335">
        <f t="shared" si="39"/>
        <v>107.42661097171163</v>
      </c>
      <c r="Z143" s="338">
        <f t="shared" si="40"/>
        <v>6.8468586636039719E-2</v>
      </c>
      <c r="AA143" s="338">
        <f t="shared" si="40"/>
        <v>0.64266861461445757</v>
      </c>
      <c r="AB143" s="338">
        <f t="shared" si="40"/>
        <v>0.28886279874950277</v>
      </c>
      <c r="AC143" s="338">
        <f t="shared" si="41"/>
        <v>0.80603543782358655</v>
      </c>
      <c r="AE143" s="346">
        <f>MIN('WTE Tonnes and Composition'!G97,V143)</f>
        <v>371.89493225422314</v>
      </c>
      <c r="AF143" s="335">
        <f t="shared" si="51"/>
        <v>0.10265230744476521</v>
      </c>
      <c r="AG143" s="335">
        <f t="shared" si="51"/>
        <v>2.2811379975773169</v>
      </c>
      <c r="AH143" s="335">
        <f t="shared" si="51"/>
        <v>0.61259736154487365</v>
      </c>
      <c r="AI143" s="335">
        <f t="shared" si="47"/>
        <v>2.9963876665669558</v>
      </c>
      <c r="AK143" s="610">
        <f t="shared" si="42"/>
        <v>0</v>
      </c>
      <c r="AL143" s="338">
        <f t="shared" si="43"/>
        <v>0</v>
      </c>
      <c r="AM143" s="335">
        <f t="shared" si="44"/>
        <v>0</v>
      </c>
      <c r="AN143" s="335">
        <f t="shared" si="44"/>
        <v>0</v>
      </c>
      <c r="AO143" s="335">
        <f t="shared" si="44"/>
        <v>0</v>
      </c>
      <c r="AP143" s="335">
        <f t="shared" si="48"/>
        <v>0</v>
      </c>
      <c r="AQ143" s="335">
        <f t="shared" si="48"/>
        <v>0</v>
      </c>
      <c r="AR143" s="335">
        <f t="shared" si="48"/>
        <v>0</v>
      </c>
      <c r="AS143" s="335">
        <f t="shared" si="49"/>
        <v>0</v>
      </c>
      <c r="AT143" s="610" t="e">
        <f t="shared" si="50"/>
        <v>#DIV/0!</v>
      </c>
    </row>
    <row r="144" spans="2:46" ht="14.4" x14ac:dyDescent="0.55000000000000004">
      <c r="B144" s="3">
        <v>2045</v>
      </c>
      <c r="C144" s="707">
        <f>Compost!E87</f>
        <v>348.26868937379083</v>
      </c>
      <c r="D144" s="338">
        <f t="shared" si="31"/>
        <v>0.92622073104359437</v>
      </c>
      <c r="F144" s="3">
        <v>2045</v>
      </c>
      <c r="G144" s="707">
        <f>'H&amp;C Recycling'!E87</f>
        <v>576.1333960315178</v>
      </c>
      <c r="H144" s="338">
        <f t="shared" si="32"/>
        <v>0.72424162961763816</v>
      </c>
      <c r="J144" s="3">
        <v>2045</v>
      </c>
      <c r="K144" s="335">
        <f t="shared" si="45"/>
        <v>990.36469416657201</v>
      </c>
      <c r="L144" s="338">
        <f t="shared" si="33"/>
        <v>2.8011678443938565E-2</v>
      </c>
      <c r="M144" s="338">
        <f t="shared" si="34"/>
        <v>0.2214996885360194</v>
      </c>
      <c r="N144" s="338">
        <f t="shared" si="35"/>
        <v>0.75048863302004176</v>
      </c>
      <c r="P144" s="3">
        <v>2045</v>
      </c>
      <c r="Q144" s="707">
        <f>Paper!F92</f>
        <v>491.65499999999997</v>
      </c>
      <c r="R144" s="334">
        <f t="shared" si="30"/>
        <v>743.2574455163824</v>
      </c>
      <c r="S144" s="707">
        <f>Paper!G92</f>
        <v>637.51264999999989</v>
      </c>
      <c r="V144" s="335">
        <f t="shared" si="36"/>
        <v>352.85204416657211</v>
      </c>
      <c r="W144" s="335">
        <f t="shared" si="37"/>
        <v>27.741777355223576</v>
      </c>
      <c r="X144" s="335">
        <f t="shared" si="38"/>
        <v>219.3654712949658</v>
      </c>
      <c r="Y144" s="335">
        <f t="shared" si="39"/>
        <v>105.74479551638251</v>
      </c>
      <c r="Z144" s="338">
        <f t="shared" si="40"/>
        <v>7.8621557714789417E-2</v>
      </c>
      <c r="AA144" s="338">
        <f t="shared" si="40"/>
        <v>0.62169250517763519</v>
      </c>
      <c r="AB144" s="338">
        <f t="shared" si="40"/>
        <v>0.29968593710757474</v>
      </c>
      <c r="AC144" s="338">
        <f t="shared" si="41"/>
        <v>0.81572061520439276</v>
      </c>
      <c r="AE144" s="346">
        <f>MIN('WTE Tonnes and Composition'!G98,V144)</f>
        <v>352.85204416657211</v>
      </c>
      <c r="AF144" s="335">
        <f t="shared" si="51"/>
        <v>0.11787426483953094</v>
      </c>
      <c r="AG144" s="335">
        <f t="shared" si="51"/>
        <v>2.206683762238034</v>
      </c>
      <c r="AH144" s="335">
        <f t="shared" si="51"/>
        <v>0.63555021677750478</v>
      </c>
      <c r="AI144" s="335">
        <f t="shared" si="47"/>
        <v>2.9601082438550694</v>
      </c>
      <c r="AK144" s="610">
        <f t="shared" si="42"/>
        <v>0</v>
      </c>
      <c r="AL144" s="338">
        <f t="shared" si="43"/>
        <v>0</v>
      </c>
      <c r="AM144" s="335">
        <f t="shared" si="44"/>
        <v>0</v>
      </c>
      <c r="AN144" s="335">
        <f t="shared" si="44"/>
        <v>0</v>
      </c>
      <c r="AO144" s="335">
        <f t="shared" si="44"/>
        <v>0</v>
      </c>
      <c r="AP144" s="335">
        <f t="shared" si="48"/>
        <v>0</v>
      </c>
      <c r="AQ144" s="335">
        <f t="shared" si="48"/>
        <v>0</v>
      </c>
      <c r="AR144" s="335">
        <f t="shared" si="48"/>
        <v>0</v>
      </c>
      <c r="AS144" s="335">
        <f t="shared" si="49"/>
        <v>0</v>
      </c>
      <c r="AT144" s="610" t="e">
        <f t="shared" si="50"/>
        <v>#DIV/0!</v>
      </c>
    </row>
    <row r="145" spans="2:46" ht="14.4" x14ac:dyDescent="0.55000000000000004">
      <c r="B145" s="3">
        <v>2046</v>
      </c>
      <c r="C145" s="707">
        <f>Compost!E88</f>
        <v>338.50313646090456</v>
      </c>
      <c r="D145" s="338">
        <f t="shared" si="31"/>
        <v>0.91834502645601201</v>
      </c>
      <c r="F145" s="3">
        <v>2046</v>
      </c>
      <c r="G145" s="707">
        <f>'H&amp;C Recycling'!E88</f>
        <v>586.5598238585759</v>
      </c>
      <c r="H145" s="338">
        <f t="shared" si="32"/>
        <v>0.74691993012520863</v>
      </c>
      <c r="J145" s="3">
        <v>2046</v>
      </c>
      <c r="K145" s="335">
        <f t="shared" si="45"/>
        <v>987.49481043530648</v>
      </c>
      <c r="L145" s="338">
        <f t="shared" si="33"/>
        <v>3.0479275481966737E-2</v>
      </c>
      <c r="M145" s="338">
        <f t="shared" si="34"/>
        <v>0.2012618167625935</v>
      </c>
      <c r="N145" s="338">
        <f t="shared" si="35"/>
        <v>0.76825890775543981</v>
      </c>
      <c r="P145" s="3">
        <v>2046</v>
      </c>
      <c r="Q145" s="707">
        <f>Paper!F93</f>
        <v>505.15999999999997</v>
      </c>
      <c r="R145" s="334">
        <f t="shared" si="30"/>
        <v>758.65168447919359</v>
      </c>
      <c r="S145" s="707">
        <f>Paper!G93</f>
        <v>655.02413333333322</v>
      </c>
      <c r="V145" s="335">
        <f t="shared" si="36"/>
        <v>332.47067710197325</v>
      </c>
      <c r="W145" s="335">
        <f t="shared" si="37"/>
        <v>30.098126364270229</v>
      </c>
      <c r="X145" s="335">
        <f t="shared" si="38"/>
        <v>198.74499959184266</v>
      </c>
      <c r="Y145" s="335">
        <f t="shared" si="39"/>
        <v>103.62755114586037</v>
      </c>
      <c r="Z145" s="338">
        <f t="shared" si="40"/>
        <v>9.0528664442304271E-2</v>
      </c>
      <c r="AA145" s="338">
        <f t="shared" si="40"/>
        <v>0.59778203998088186</v>
      </c>
      <c r="AB145" s="338">
        <f t="shared" si="40"/>
        <v>0.3116892955768138</v>
      </c>
      <c r="AC145" s="338">
        <f t="shared" si="41"/>
        <v>0.82616437412462351</v>
      </c>
      <c r="AE145" s="346">
        <f>MIN('WTE Tonnes and Composition'!G99,V145)</f>
        <v>332.47067710197325</v>
      </c>
      <c r="AF145" s="335">
        <f t="shared" si="51"/>
        <v>0.13572613006157586</v>
      </c>
      <c r="AG145" s="335">
        <f t="shared" si="51"/>
        <v>2.1218140961928285</v>
      </c>
      <c r="AH145" s="335">
        <f t="shared" si="51"/>
        <v>0.66100598941339128</v>
      </c>
      <c r="AI145" s="335">
        <f t="shared" si="47"/>
        <v>2.9185462156677957</v>
      </c>
      <c r="AK145" s="610">
        <f t="shared" si="42"/>
        <v>0</v>
      </c>
      <c r="AL145" s="338">
        <f t="shared" si="43"/>
        <v>0</v>
      </c>
      <c r="AM145" s="335">
        <f t="shared" si="44"/>
        <v>0</v>
      </c>
      <c r="AN145" s="335">
        <f t="shared" si="44"/>
        <v>0</v>
      </c>
      <c r="AO145" s="335">
        <f t="shared" si="44"/>
        <v>0</v>
      </c>
      <c r="AP145" s="335">
        <f t="shared" si="48"/>
        <v>0</v>
      </c>
      <c r="AQ145" s="335">
        <f t="shared" si="48"/>
        <v>0</v>
      </c>
      <c r="AR145" s="335">
        <f t="shared" si="48"/>
        <v>0</v>
      </c>
      <c r="AS145" s="335">
        <f t="shared" si="49"/>
        <v>0</v>
      </c>
      <c r="AT145" s="610" t="e">
        <f>AS145/AK145</f>
        <v>#DIV/0!</v>
      </c>
    </row>
    <row r="146" spans="2:46" ht="14.4" x14ac:dyDescent="0.55000000000000004">
      <c r="B146" s="3">
        <v>2047</v>
      </c>
      <c r="C146" s="707">
        <f>Compost!E89</f>
        <v>330.00488056714016</v>
      </c>
      <c r="D146" s="338">
        <f t="shared" si="31"/>
        <v>0.91025603524474508</v>
      </c>
      <c r="F146" s="3">
        <v>2047</v>
      </c>
      <c r="G146" s="707">
        <f>'H&amp;C Recycling'!E89</f>
        <v>596.90193740437724</v>
      </c>
      <c r="H146" s="338">
        <f t="shared" si="32"/>
        <v>0.77114134714496185</v>
      </c>
      <c r="J146" s="3">
        <v>2047</v>
      </c>
      <c r="K146" s="335">
        <f t="shared" si="45"/>
        <v>983.8696976879263</v>
      </c>
      <c r="L146" s="338">
        <f t="shared" si="33"/>
        <v>3.3069258955684105E-2</v>
      </c>
      <c r="M146" s="338">
        <f t="shared" si="34"/>
        <v>0.1800523321581905</v>
      </c>
      <c r="N146" s="338">
        <f t="shared" si="35"/>
        <v>0.78687840888612537</v>
      </c>
      <c r="P146" s="3">
        <v>2047</v>
      </c>
      <c r="Q146" s="707">
        <f>Paper!F94</f>
        <v>519.10299999999995</v>
      </c>
      <c r="R146" s="334">
        <f t="shared" si="30"/>
        <v>774.18582226794865</v>
      </c>
      <c r="S146" s="707">
        <f>Paper!G94</f>
        <v>673.10355666666658</v>
      </c>
      <c r="V146" s="335">
        <f t="shared" si="36"/>
        <v>310.76614102125973</v>
      </c>
      <c r="W146" s="335">
        <f t="shared" si="37"/>
        <v>32.535841811492674</v>
      </c>
      <c r="X146" s="335">
        <f t="shared" si="38"/>
        <v>177.14803360848498</v>
      </c>
      <c r="Y146" s="335">
        <f t="shared" si="39"/>
        <v>101.08226560128207</v>
      </c>
      <c r="Z146" s="338">
        <f t="shared" si="40"/>
        <v>0.10469558139304139</v>
      </c>
      <c r="AA146" s="338">
        <f t="shared" si="40"/>
        <v>0.57003646866524682</v>
      </c>
      <c r="AB146" s="338">
        <f t="shared" si="40"/>
        <v>0.32526794994171188</v>
      </c>
      <c r="AC146" s="338">
        <f t="shared" si="41"/>
        <v>0.83736133531345569</v>
      </c>
      <c r="AE146" s="346">
        <f>MIN('WTE Tonnes and Composition'!G100,V146)</f>
        <v>310.76614102125973</v>
      </c>
      <c r="AF146" s="335">
        <f t="shared" si="51"/>
        <v>0.15696604146944537</v>
      </c>
      <c r="AG146" s="335">
        <f t="shared" si="51"/>
        <v>2.0233318060150896</v>
      </c>
      <c r="AH146" s="335">
        <f t="shared" si="51"/>
        <v>0.68980252490801475</v>
      </c>
      <c r="AI146" s="335">
        <f t="shared" si="47"/>
        <v>2.8701003723925496</v>
      </c>
      <c r="AK146" s="610">
        <f t="shared" si="42"/>
        <v>0</v>
      </c>
      <c r="AL146" s="338">
        <f t="shared" si="43"/>
        <v>0</v>
      </c>
      <c r="AM146" s="335">
        <f t="shared" si="44"/>
        <v>0</v>
      </c>
      <c r="AN146" s="335">
        <f t="shared" si="44"/>
        <v>0</v>
      </c>
      <c r="AO146" s="335">
        <f t="shared" si="44"/>
        <v>0</v>
      </c>
      <c r="AP146" s="335">
        <f t="shared" si="48"/>
        <v>0</v>
      </c>
      <c r="AQ146" s="335">
        <f t="shared" si="48"/>
        <v>0</v>
      </c>
      <c r="AR146" s="335">
        <f t="shared" si="48"/>
        <v>0</v>
      </c>
      <c r="AS146" s="335">
        <f t="shared" si="49"/>
        <v>0</v>
      </c>
      <c r="AT146" s="610" t="e">
        <f t="shared" si="50"/>
        <v>#DIV/0!</v>
      </c>
    </row>
    <row r="147" spans="2:46" ht="14.4" x14ac:dyDescent="0.55000000000000004">
      <c r="B147" s="3">
        <v>2048</v>
      </c>
      <c r="C147" s="707">
        <f>Compost!E90</f>
        <v>322.84362476899452</v>
      </c>
      <c r="D147" s="338">
        <f t="shared" si="31"/>
        <v>0.90204472070782027</v>
      </c>
      <c r="F147" s="3">
        <v>2048</v>
      </c>
      <c r="G147" s="707">
        <f>'H&amp;C Recycling'!E90</f>
        <v>607.16933966205306</v>
      </c>
      <c r="H147" s="338">
        <f t="shared" si="32"/>
        <v>0.79706994804793341</v>
      </c>
      <c r="J147" s="3">
        <v>2048</v>
      </c>
      <c r="K147" s="335">
        <f t="shared" si="45"/>
        <v>979.51646983644696</v>
      </c>
      <c r="L147" s="338">
        <f t="shared" si="33"/>
        <v>3.579152887442609E-2</v>
      </c>
      <c r="M147" s="338">
        <f t="shared" si="34"/>
        <v>0.15781490615357793</v>
      </c>
      <c r="N147" s="338">
        <f t="shared" si="35"/>
        <v>0.80639356497199599</v>
      </c>
      <c r="P147" s="3">
        <v>2048</v>
      </c>
      <c r="Q147" s="707">
        <f>Paper!F95</f>
        <v>533.48399999999992</v>
      </c>
      <c r="R147" s="334">
        <f t="shared" si="30"/>
        <v>789.87577806019704</v>
      </c>
      <c r="S147" s="707">
        <f>Paper!G95</f>
        <v>691.75091999999984</v>
      </c>
      <c r="V147" s="335">
        <f t="shared" si="36"/>
        <v>287.76554983644712</v>
      </c>
      <c r="W147" s="335">
        <f t="shared" si="37"/>
        <v>35.058392013127104</v>
      </c>
      <c r="X147" s="335">
        <f t="shared" si="38"/>
        <v>154.58229976312282</v>
      </c>
      <c r="Y147" s="335">
        <f t="shared" si="39"/>
        <v>98.124858060197198</v>
      </c>
      <c r="Z147" s="338">
        <f t="shared" si="40"/>
        <v>0.12182970488667842</v>
      </c>
      <c r="AA147" s="338">
        <f t="shared" si="40"/>
        <v>0.53718139593492131</v>
      </c>
      <c r="AB147" s="338">
        <f t="shared" si="40"/>
        <v>0.34098889917840031</v>
      </c>
      <c r="AC147" s="338">
        <f t="shared" si="41"/>
        <v>0.84930028064907237</v>
      </c>
      <c r="AE147" s="346">
        <f>MIN('WTE Tonnes and Composition'!G101,V147)</f>
        <v>287.76554983644712</v>
      </c>
      <c r="AF147" s="335">
        <f t="shared" si="51"/>
        <v>0.18265457104308777</v>
      </c>
      <c r="AG147" s="335">
        <f t="shared" si="51"/>
        <v>1.9067134538597208</v>
      </c>
      <c r="AH147" s="335">
        <f t="shared" si="51"/>
        <v>0.72314226981482688</v>
      </c>
      <c r="AI147" s="335">
        <f t="shared" si="47"/>
        <v>2.8125102947176357</v>
      </c>
      <c r="AK147" s="610">
        <f t="shared" si="42"/>
        <v>0</v>
      </c>
      <c r="AL147" s="338">
        <f t="shared" si="43"/>
        <v>0</v>
      </c>
      <c r="AM147" s="335">
        <f t="shared" si="44"/>
        <v>0</v>
      </c>
      <c r="AN147" s="335">
        <f t="shared" si="44"/>
        <v>0</v>
      </c>
      <c r="AO147" s="335">
        <f t="shared" si="44"/>
        <v>0</v>
      </c>
      <c r="AP147" s="335">
        <f t="shared" si="48"/>
        <v>0</v>
      </c>
      <c r="AQ147" s="335">
        <f t="shared" si="48"/>
        <v>0</v>
      </c>
      <c r="AR147" s="335">
        <f t="shared" si="48"/>
        <v>0</v>
      </c>
      <c r="AS147" s="335">
        <f t="shared" si="49"/>
        <v>0</v>
      </c>
      <c r="AT147" s="610" t="e">
        <f t="shared" si="50"/>
        <v>#DIV/0!</v>
      </c>
    </row>
    <row r="148" spans="2:46" ht="14.4" x14ac:dyDescent="0.55000000000000004">
      <c r="B148" s="3">
        <v>2049</v>
      </c>
      <c r="C148" s="707">
        <f>Compost!E91</f>
        <v>317.05227091352583</v>
      </c>
      <c r="D148" s="338">
        <f t="shared" si="31"/>
        <v>0.89380614689706961</v>
      </c>
      <c r="F148" s="3">
        <v>2049</v>
      </c>
      <c r="G148" s="707">
        <f>'H&amp;C Recycling'!E91</f>
        <v>617.35853831596739</v>
      </c>
      <c r="H148" s="338">
        <f t="shared" si="32"/>
        <v>0.82489882112746327</v>
      </c>
      <c r="J148" s="3">
        <v>2049</v>
      </c>
      <c r="K148" s="335">
        <f t="shared" si="45"/>
        <v>974.43632543759406</v>
      </c>
      <c r="L148" s="338">
        <f t="shared" si="33"/>
        <v>3.8657471521691231E-2</v>
      </c>
      <c r="M148" s="338">
        <f t="shared" si="34"/>
        <v>0.13448454582506919</v>
      </c>
      <c r="N148" s="338">
        <f t="shared" si="35"/>
        <v>0.82685798265323929</v>
      </c>
      <c r="P148" s="3">
        <v>2049</v>
      </c>
      <c r="Q148" s="707">
        <f>Paper!F96</f>
        <v>548.303</v>
      </c>
      <c r="R148" s="334">
        <f t="shared" si="30"/>
        <v>805.72045427536443</v>
      </c>
      <c r="S148" s="707">
        <f>Paper!G96</f>
        <v>710.96622333333335</v>
      </c>
      <c r="V148" s="335">
        <f t="shared" si="36"/>
        <v>263.47010210426072</v>
      </c>
      <c r="W148" s="335">
        <f t="shared" si="37"/>
        <v>37.66924450030524</v>
      </c>
      <c r="X148" s="335">
        <f t="shared" si="38"/>
        <v>131.04662666192417</v>
      </c>
      <c r="Y148" s="335">
        <f t="shared" si="39"/>
        <v>94.754230942031086</v>
      </c>
      <c r="Z148" s="338">
        <f t="shared" si="40"/>
        <v>0.14297350704862413</v>
      </c>
      <c r="AA148" s="338">
        <f t="shared" si="40"/>
        <v>0.49738708724554342</v>
      </c>
      <c r="AB148" s="338">
        <f t="shared" si="40"/>
        <v>0.35963940570583158</v>
      </c>
      <c r="AC148" s="338">
        <f t="shared" si="41"/>
        <v>0.86197422657932676</v>
      </c>
      <c r="AE148" s="346">
        <f>MIN('WTE Tonnes and Composition'!G102,V148)</f>
        <v>263.47010210426072</v>
      </c>
      <c r="AF148" s="335">
        <f t="shared" si="51"/>
        <v>0.2143546569761729</v>
      </c>
      <c r="AG148" s="335">
        <f t="shared" si="51"/>
        <v>1.7654644375325137</v>
      </c>
      <c r="AH148" s="335">
        <f t="shared" si="51"/>
        <v>0.76269478796406642</v>
      </c>
      <c r="AI148" s="335">
        <f t="shared" si="47"/>
        <v>2.7425138824727533</v>
      </c>
      <c r="AK148" s="610">
        <f t="shared" si="42"/>
        <v>0</v>
      </c>
      <c r="AL148" s="338">
        <f t="shared" si="43"/>
        <v>0</v>
      </c>
      <c r="AM148" s="335">
        <f t="shared" si="44"/>
        <v>0</v>
      </c>
      <c r="AN148" s="335">
        <f t="shared" si="44"/>
        <v>0</v>
      </c>
      <c r="AO148" s="335">
        <f t="shared" si="44"/>
        <v>0</v>
      </c>
      <c r="AP148" s="335">
        <f t="shared" si="48"/>
        <v>0</v>
      </c>
      <c r="AQ148" s="335">
        <f t="shared" si="48"/>
        <v>0</v>
      </c>
      <c r="AR148" s="335">
        <f t="shared" si="48"/>
        <v>0</v>
      </c>
      <c r="AS148" s="335">
        <f t="shared" si="49"/>
        <v>0</v>
      </c>
      <c r="AT148" s="610" t="e">
        <f t="shared" si="50"/>
        <v>#DIV/0!</v>
      </c>
    </row>
    <row r="149" spans="2:46" ht="14.4" x14ac:dyDescent="0.55000000000000004">
      <c r="B149" s="3">
        <v>2050</v>
      </c>
      <c r="C149" s="707">
        <f>Compost!E92</f>
        <v>312.34141199002676</v>
      </c>
      <c r="D149" s="338">
        <f t="shared" si="31"/>
        <v>0.8855688225821734</v>
      </c>
      <c r="F149" s="3">
        <v>2050</v>
      </c>
      <c r="G149" s="707">
        <f>'H&amp;C Recycling'!E92</f>
        <v>627.34172982917778</v>
      </c>
      <c r="H149" s="338">
        <f t="shared" si="32"/>
        <v>0.8549118761254102</v>
      </c>
      <c r="J149" s="3">
        <v>2050</v>
      </c>
      <c r="K149" s="335">
        <f t="shared" si="45"/>
        <v>968.38312932611518</v>
      </c>
      <c r="L149" s="338">
        <f t="shared" si="33"/>
        <v>4.1677763190740132E-2</v>
      </c>
      <c r="M149" s="338">
        <f t="shared" si="34"/>
        <v>0.10994297309722834</v>
      </c>
      <c r="N149" s="338">
        <f t="shared" si="35"/>
        <v>0.84837926371203154</v>
      </c>
      <c r="P149" s="3">
        <v>2050</v>
      </c>
      <c r="Q149" s="707">
        <f>Paper!F97</f>
        <v>563.55999999999995</v>
      </c>
      <c r="R149" s="334">
        <f t="shared" si="30"/>
        <v>821.5561662488426</v>
      </c>
      <c r="S149" s="707">
        <f>Paper!G97</f>
        <v>730.74946666666654</v>
      </c>
      <c r="V149" s="335">
        <f t="shared" si="36"/>
        <v>237.63366265944865</v>
      </c>
      <c r="W149" s="335">
        <f t="shared" si="37"/>
        <v>40.360042741961706</v>
      </c>
      <c r="X149" s="335">
        <f t="shared" si="38"/>
        <v>106.46692033531087</v>
      </c>
      <c r="Y149" s="335">
        <f t="shared" si="39"/>
        <v>90.806699582176066</v>
      </c>
      <c r="Z149" s="338">
        <f t="shared" si="40"/>
        <v>0.16984143698446225</v>
      </c>
      <c r="AA149" s="338">
        <f t="shared" si="40"/>
        <v>0.4480296231762752</v>
      </c>
      <c r="AB149" s="338">
        <f t="shared" si="40"/>
        <v>0.38212893983926255</v>
      </c>
      <c r="AC149" s="338">
        <f t="shared" si="41"/>
        <v>0.87545838095193163</v>
      </c>
      <c r="AE149" s="346">
        <f>MIN('WTE Tonnes and Composition'!G103,V149)</f>
        <v>237.63366265944865</v>
      </c>
      <c r="AF149" s="335">
        <f t="shared" si="51"/>
        <v>0.25463670659462245</v>
      </c>
      <c r="AG149" s="335">
        <f t="shared" si="51"/>
        <v>1.5902712132298003</v>
      </c>
      <c r="AH149" s="335">
        <f t="shared" si="51"/>
        <v>0.81038881202031188</v>
      </c>
      <c r="AI149" s="335">
        <f t="shared" si="47"/>
        <v>2.6552967318447345</v>
      </c>
      <c r="AK149" s="610">
        <f t="shared" si="42"/>
        <v>0</v>
      </c>
      <c r="AL149" s="338">
        <f t="shared" si="43"/>
        <v>0</v>
      </c>
      <c r="AM149" s="335">
        <f t="shared" si="44"/>
        <v>0</v>
      </c>
      <c r="AN149" s="335">
        <f t="shared" si="44"/>
        <v>0</v>
      </c>
      <c r="AO149" s="335">
        <f t="shared" si="44"/>
        <v>0</v>
      </c>
      <c r="AP149" s="335">
        <f t="shared" si="48"/>
        <v>0</v>
      </c>
      <c r="AQ149" s="335">
        <f t="shared" si="48"/>
        <v>0</v>
      </c>
      <c r="AR149" s="335">
        <f t="shared" si="48"/>
        <v>0</v>
      </c>
      <c r="AS149" s="335">
        <f t="shared" si="49"/>
        <v>0</v>
      </c>
      <c r="AT149" s="610" t="e">
        <f t="shared" si="50"/>
        <v>#DIV/0!</v>
      </c>
    </row>
    <row r="150" spans="2:46" ht="14.4" x14ac:dyDescent="0.55000000000000004">
      <c r="B150" s="3">
        <v>2051</v>
      </c>
      <c r="C150" s="707">
        <f>Compost!E93</f>
        <v>340.1161243734029</v>
      </c>
      <c r="D150" s="338">
        <f t="shared" si="31"/>
        <v>0.88737297689530381</v>
      </c>
      <c r="F150" s="3">
        <v>2051</v>
      </c>
      <c r="G150" s="707">
        <f>'H&amp;C Recycling'!E93</f>
        <v>629.74395589812468</v>
      </c>
      <c r="H150" s="338">
        <f t="shared" si="32"/>
        <v>0.87518039248712853</v>
      </c>
      <c r="J150" s="3">
        <v>2051</v>
      </c>
      <c r="K150" s="335">
        <f t="shared" si="45"/>
        <v>970.85371362278704</v>
      </c>
      <c r="L150" s="338">
        <f t="shared" si="33"/>
        <v>4.4464133324434704E-2</v>
      </c>
      <c r="M150" s="338">
        <f t="shared" si="34"/>
        <v>9.2511440885064369E-2</v>
      </c>
      <c r="N150" s="338">
        <f t="shared" si="35"/>
        <v>0.86302442579050087</v>
      </c>
      <c r="P150" s="3">
        <v>2051</v>
      </c>
      <c r="Q150" s="707">
        <f>Paper!F98</f>
        <v>579.255</v>
      </c>
      <c r="R150" s="334">
        <f t="shared" si="30"/>
        <v>837.87046872588121</v>
      </c>
      <c r="S150" s="707">
        <f>Paper!G98</f>
        <v>751.10064999999997</v>
      </c>
      <c r="V150" s="335">
        <f t="shared" si="36"/>
        <v>219.75306362278707</v>
      </c>
      <c r="W150" s="335">
        <f t="shared" si="37"/>
        <v>43.168168961046149</v>
      </c>
      <c r="X150" s="335">
        <f t="shared" si="38"/>
        <v>89.815075935859682</v>
      </c>
      <c r="Y150" s="335">
        <f t="shared" si="39"/>
        <v>86.769818725881237</v>
      </c>
      <c r="Z150" s="338">
        <f t="shared" si="40"/>
        <v>0.19643944093150686</v>
      </c>
      <c r="AA150" s="338">
        <f t="shared" si="40"/>
        <v>0.40870909581506465</v>
      </c>
      <c r="AB150" s="338">
        <f t="shared" si="40"/>
        <v>0.39485146325342846</v>
      </c>
      <c r="AC150" s="338">
        <f t="shared" si="41"/>
        <v>0.88676688736167442</v>
      </c>
      <c r="AE150" s="346">
        <f>MIN('WTE Tonnes and Composition'!G104,V150)</f>
        <v>219.75306362278707</v>
      </c>
      <c r="AF150" s="335">
        <f t="shared" si="51"/>
        <v>0.29451406660356899</v>
      </c>
      <c r="AG150" s="335">
        <f t="shared" si="51"/>
        <v>1.4507038732216917</v>
      </c>
      <c r="AH150" s="335">
        <f t="shared" si="51"/>
        <v>0.83736973275309745</v>
      </c>
      <c r="AI150" s="335">
        <f t="shared" si="47"/>
        <v>2.5825876725783581</v>
      </c>
      <c r="AK150" s="610">
        <f t="shared" si="42"/>
        <v>0</v>
      </c>
      <c r="AL150" s="338">
        <f t="shared" si="43"/>
        <v>0</v>
      </c>
      <c r="AM150" s="335">
        <f t="shared" si="44"/>
        <v>0</v>
      </c>
      <c r="AN150" s="335">
        <f t="shared" si="44"/>
        <v>0</v>
      </c>
      <c r="AO150" s="335">
        <f t="shared" si="44"/>
        <v>0</v>
      </c>
      <c r="AP150" s="335">
        <f t="shared" si="48"/>
        <v>0</v>
      </c>
      <c r="AQ150" s="335">
        <f t="shared" si="48"/>
        <v>0</v>
      </c>
      <c r="AR150" s="335">
        <f t="shared" si="48"/>
        <v>0</v>
      </c>
      <c r="AS150" s="335">
        <f t="shared" si="49"/>
        <v>0</v>
      </c>
      <c r="AT150" s="610" t="e">
        <f t="shared" si="50"/>
        <v>#DIV/0!</v>
      </c>
    </row>
    <row r="151" spans="2:46" ht="14.4" x14ac:dyDescent="0.55000000000000004">
      <c r="B151" s="3">
        <v>2052</v>
      </c>
      <c r="C151" s="707">
        <f>Compost!E94</f>
        <v>369.05034421433606</v>
      </c>
      <c r="D151" s="338">
        <f t="shared" si="31"/>
        <v>0.88903991546594097</v>
      </c>
      <c r="F151" s="3">
        <v>2052</v>
      </c>
      <c r="G151" s="707">
        <f>'H&amp;C Recycling'!E94</f>
        <v>631.88057150980183</v>
      </c>
      <c r="H151" s="338">
        <f t="shared" si="32"/>
        <v>0.89825185069544966</v>
      </c>
      <c r="J151" s="3">
        <v>2052</v>
      </c>
      <c r="K151" s="335">
        <f t="shared" si="45"/>
        <v>971.81058493590956</v>
      </c>
      <c r="L151" s="338">
        <f t="shared" si="33"/>
        <v>4.7396853182972681E-2</v>
      </c>
      <c r="M151" s="338">
        <f t="shared" si="34"/>
        <v>7.3651530345515387E-2</v>
      </c>
      <c r="N151" s="338">
        <f t="shared" si="35"/>
        <v>0.87895161647151188</v>
      </c>
      <c r="P151" s="3">
        <v>2052</v>
      </c>
      <c r="Q151" s="707">
        <f>Paper!F99</f>
        <v>595.38800000000003</v>
      </c>
      <c r="R151" s="334">
        <f t="shared" si="30"/>
        <v>854.17448453354325</v>
      </c>
      <c r="S151" s="707">
        <f>Paper!G99</f>
        <v>772.01977333333332</v>
      </c>
      <c r="V151" s="335">
        <f t="shared" si="36"/>
        <v>199.79081160257624</v>
      </c>
      <c r="W151" s="335">
        <f t="shared" si="37"/>
        <v>46.060763615866108</v>
      </c>
      <c r="X151" s="335">
        <f t="shared" si="38"/>
        <v>71.575336786500202</v>
      </c>
      <c r="Y151" s="335">
        <f t="shared" si="39"/>
        <v>82.154711200209931</v>
      </c>
      <c r="Z151" s="338">
        <f t="shared" si="40"/>
        <v>0.23054495472739833</v>
      </c>
      <c r="AA151" s="338">
        <f t="shared" si="40"/>
        <v>0.35825139410754192</v>
      </c>
      <c r="AB151" s="338">
        <f t="shared" si="40"/>
        <v>0.41120365116505975</v>
      </c>
      <c r="AC151" s="338">
        <f t="shared" si="41"/>
        <v>0.89872428215469213</v>
      </c>
      <c r="AE151" s="346">
        <f>MIN('WTE Tonnes and Composition'!G105,V151)</f>
        <v>199.79081160257624</v>
      </c>
      <c r="AF151" s="335">
        <f t="shared" si="51"/>
        <v>0.34564714616234449</v>
      </c>
      <c r="AG151" s="335">
        <f t="shared" si="51"/>
        <v>1.2716053798177436</v>
      </c>
      <c r="AH151" s="335">
        <f t="shared" si="51"/>
        <v>0.87204815868235031</v>
      </c>
      <c r="AI151" s="335">
        <f t="shared" si="47"/>
        <v>2.4893006846624384</v>
      </c>
      <c r="AK151" s="610">
        <f t="shared" si="42"/>
        <v>0</v>
      </c>
      <c r="AL151" s="338">
        <f t="shared" si="43"/>
        <v>0</v>
      </c>
      <c r="AM151" s="335">
        <f t="shared" si="44"/>
        <v>0</v>
      </c>
      <c r="AN151" s="335">
        <f t="shared" si="44"/>
        <v>0</v>
      </c>
      <c r="AO151" s="335">
        <f t="shared" si="44"/>
        <v>0</v>
      </c>
      <c r="AP151" s="335">
        <f t="shared" si="48"/>
        <v>0</v>
      </c>
      <c r="AQ151" s="335">
        <f t="shared" si="48"/>
        <v>0</v>
      </c>
      <c r="AR151" s="335">
        <f t="shared" si="48"/>
        <v>0</v>
      </c>
      <c r="AS151" s="335">
        <f t="shared" si="49"/>
        <v>0</v>
      </c>
      <c r="AT151" s="610" t="e">
        <f t="shared" si="50"/>
        <v>#DIV/0!</v>
      </c>
    </row>
    <row r="152" spans="2:46" ht="14.4" x14ac:dyDescent="0.55000000000000004">
      <c r="B152" s="3">
        <v>2053</v>
      </c>
      <c r="C152" s="707">
        <f>Compost!E95</f>
        <v>398.7868428264502</v>
      </c>
      <c r="D152" s="338">
        <f t="shared" si="31"/>
        <v>0.89046861519591336</v>
      </c>
      <c r="F152" s="3">
        <v>2053</v>
      </c>
      <c r="G152" s="707">
        <f>'H&amp;C Recycling'!E95</f>
        <v>633.87746570273794</v>
      </c>
      <c r="H152" s="338">
        <f t="shared" si="32"/>
        <v>0.92350693515355653</v>
      </c>
      <c r="J152" s="3">
        <v>2053</v>
      </c>
      <c r="K152" s="335">
        <f t="shared" si="45"/>
        <v>972.18639679795115</v>
      </c>
      <c r="L152" s="338">
        <f t="shared" si="33"/>
        <v>5.0455816958408159E-2</v>
      </c>
      <c r="M152" s="338">
        <f t="shared" si="34"/>
        <v>5.4005460537560925E-2</v>
      </c>
      <c r="N152" s="338">
        <f t="shared" si="35"/>
        <v>0.89553872250403088</v>
      </c>
      <c r="P152" s="3">
        <v>2053</v>
      </c>
      <c r="Q152" s="707">
        <f>Paper!F100</f>
        <v>611.95899999999995</v>
      </c>
      <c r="R152" s="334">
        <f t="shared" si="30"/>
        <v>870.63056382423406</v>
      </c>
      <c r="S152" s="707">
        <f>Paper!G100</f>
        <v>793.50683666666657</v>
      </c>
      <c r="V152" s="335">
        <f t="shared" si="36"/>
        <v>178.67956013128457</v>
      </c>
      <c r="W152" s="335">
        <f t="shared" si="37"/>
        <v>49.052458886291788</v>
      </c>
      <c r="X152" s="335">
        <f t="shared" si="38"/>
        <v>52.5033740874253</v>
      </c>
      <c r="Y152" s="335">
        <f t="shared" si="39"/>
        <v>77.123727157567487</v>
      </c>
      <c r="Z152" s="338">
        <f t="shared" si="40"/>
        <v>0.27452753325702478</v>
      </c>
      <c r="AA152" s="338">
        <f t="shared" si="40"/>
        <v>0.29384096339194316</v>
      </c>
      <c r="AB152" s="338">
        <f t="shared" si="40"/>
        <v>0.43163150335103201</v>
      </c>
      <c r="AC152" s="338">
        <f t="shared" si="41"/>
        <v>0.91087637615284245</v>
      </c>
      <c r="AE152" s="346">
        <f>MIN('WTE Tonnes and Composition'!G106,V152)</f>
        <v>178.67956013128457</v>
      </c>
      <c r="AF152" s="335">
        <f t="shared" si="51"/>
        <v>0.41158852738928275</v>
      </c>
      <c r="AG152" s="335">
        <f t="shared" si="51"/>
        <v>1.0429819841757804</v>
      </c>
      <c r="AH152" s="335">
        <f t="shared" si="51"/>
        <v>0.91536993083622076</v>
      </c>
      <c r="AI152" s="335">
        <f t="shared" si="47"/>
        <v>2.3699404424012838</v>
      </c>
      <c r="AK152" s="610">
        <f t="shared" si="42"/>
        <v>0</v>
      </c>
      <c r="AL152" s="338">
        <f t="shared" si="43"/>
        <v>0</v>
      </c>
      <c r="AM152" s="335">
        <f t="shared" si="44"/>
        <v>0</v>
      </c>
      <c r="AN152" s="335">
        <f t="shared" si="44"/>
        <v>0</v>
      </c>
      <c r="AO152" s="335">
        <f t="shared" si="44"/>
        <v>0</v>
      </c>
      <c r="AP152" s="335">
        <f t="shared" si="48"/>
        <v>0</v>
      </c>
      <c r="AQ152" s="335">
        <f t="shared" si="48"/>
        <v>0</v>
      </c>
      <c r="AR152" s="335">
        <f t="shared" si="48"/>
        <v>0</v>
      </c>
      <c r="AS152" s="335">
        <f t="shared" si="49"/>
        <v>0</v>
      </c>
      <c r="AT152" s="610" t="e">
        <f t="shared" si="50"/>
        <v>#DIV/0!</v>
      </c>
    </row>
    <row r="153" spans="2:46" ht="14.4" x14ac:dyDescent="0.55000000000000004">
      <c r="B153" s="3">
        <v>2054</v>
      </c>
      <c r="C153" s="707">
        <f>Compost!E96</f>
        <v>429.32142848925355</v>
      </c>
      <c r="D153" s="338">
        <f t="shared" si="31"/>
        <v>0.89169315008571226</v>
      </c>
      <c r="F153" s="3">
        <v>2054</v>
      </c>
      <c r="G153" s="707">
        <f>'H&amp;C Recycling'!E96</f>
        <v>635.73619784771722</v>
      </c>
      <c r="H153" s="338">
        <f t="shared" si="32"/>
        <v>0.95121219260498369</v>
      </c>
      <c r="J153" s="3">
        <v>2054</v>
      </c>
      <c r="K153" s="335">
        <f t="shared" si="45"/>
        <v>971.99169205504222</v>
      </c>
      <c r="L153" s="338">
        <f t="shared" si="33"/>
        <v>5.3648861123567718E-2</v>
      </c>
      <c r="M153" s="338">
        <f t="shared" si="34"/>
        <v>3.3546582173890269E-2</v>
      </c>
      <c r="N153" s="338">
        <f t="shared" si="35"/>
        <v>0.91280455670254201</v>
      </c>
      <c r="P153" s="3">
        <v>2054</v>
      </c>
      <c r="Q153" s="707">
        <f>Paper!F101</f>
        <v>628.96799999999996</v>
      </c>
      <c r="R153" s="334">
        <f t="shared" si="30"/>
        <v>887.23844558485655</v>
      </c>
      <c r="S153" s="707">
        <f>Paper!G101</f>
        <v>815.56183999999996</v>
      </c>
      <c r="V153" s="335">
        <f t="shared" si="36"/>
        <v>156.42985205504226</v>
      </c>
      <c r="W153" s="335">
        <f t="shared" si="37"/>
        <v>52.146247300322557</v>
      </c>
      <c r="X153" s="335">
        <f t="shared" si="38"/>
        <v>32.606999169863116</v>
      </c>
      <c r="Y153" s="335">
        <f t="shared" si="39"/>
        <v>71.676605584856588</v>
      </c>
      <c r="Z153" s="338">
        <f t="shared" si="40"/>
        <v>0.33335227653334409</v>
      </c>
      <c r="AA153" s="338">
        <f t="shared" si="40"/>
        <v>0.2084448635698373</v>
      </c>
      <c r="AB153" s="338">
        <f t="shared" si="40"/>
        <v>0.45820285989681858</v>
      </c>
      <c r="AC153" s="338">
        <f t="shared" si="41"/>
        <v>0.9232076265200474</v>
      </c>
      <c r="AE153" s="346">
        <f>MIN('WTE Tonnes and Composition'!G107,V153)</f>
        <v>156.42985205504226</v>
      </c>
      <c r="AF153" s="335">
        <f t="shared" si="51"/>
        <v>0.49978219296411208</v>
      </c>
      <c r="AG153" s="335">
        <f t="shared" si="51"/>
        <v>0.73987042135895664</v>
      </c>
      <c r="AH153" s="335">
        <f t="shared" si="51"/>
        <v>0.97172036080879942</v>
      </c>
      <c r="AI153" s="335">
        <f t="shared" si="47"/>
        <v>2.2113729751318685</v>
      </c>
      <c r="AK153" s="610">
        <f t="shared" si="42"/>
        <v>0</v>
      </c>
      <c r="AL153" s="338">
        <f t="shared" si="43"/>
        <v>0</v>
      </c>
      <c r="AM153" s="335">
        <f t="shared" si="44"/>
        <v>0</v>
      </c>
      <c r="AN153" s="335">
        <f t="shared" si="44"/>
        <v>0</v>
      </c>
      <c r="AO153" s="335">
        <f t="shared" si="44"/>
        <v>0</v>
      </c>
      <c r="AP153" s="335">
        <f t="shared" si="48"/>
        <v>0</v>
      </c>
      <c r="AQ153" s="335">
        <f t="shared" si="48"/>
        <v>0</v>
      </c>
      <c r="AR153" s="335">
        <f t="shared" si="48"/>
        <v>0</v>
      </c>
      <c r="AS153" s="335">
        <f t="shared" si="49"/>
        <v>0</v>
      </c>
      <c r="AT153" s="610" t="e">
        <f t="shared" si="50"/>
        <v>#DIV/0!</v>
      </c>
    </row>
    <row r="154" spans="2:46" ht="14.4" x14ac:dyDescent="0.55000000000000004">
      <c r="B154" s="3">
        <v>2055</v>
      </c>
      <c r="C154" s="707">
        <f>Compost!E97</f>
        <v>460.64760944687714</v>
      </c>
      <c r="D154" s="338">
        <f t="shared" si="31"/>
        <v>0.89274141219340875</v>
      </c>
      <c r="F154" s="3">
        <v>2055</v>
      </c>
      <c r="G154" s="707">
        <f>'H&amp;C Recycling'!E97</f>
        <v>617.53874698052414</v>
      </c>
      <c r="H154" s="338">
        <f t="shared" si="32"/>
        <v>0.95100541259713989</v>
      </c>
      <c r="J154" s="3">
        <v>2055</v>
      </c>
      <c r="K154" s="335">
        <f t="shared" si="45"/>
        <v>991.15742321977223</v>
      </c>
      <c r="L154" s="338">
        <f t="shared" si="33"/>
        <v>5.5838350086307623E-2</v>
      </c>
      <c r="M154" s="338">
        <f t="shared" si="34"/>
        <v>3.2098644309224753E-2</v>
      </c>
      <c r="N154" s="338">
        <f t="shared" si="35"/>
        <v>0.91206300560446762</v>
      </c>
      <c r="P154" s="3">
        <v>2055</v>
      </c>
      <c r="Q154" s="707">
        <f>Paper!F102</f>
        <v>646.41499999999996</v>
      </c>
      <c r="R154" s="334">
        <f t="shared" si="30"/>
        <v>903.9980184490048</v>
      </c>
      <c r="S154" s="707">
        <f>Paper!G102</f>
        <v>838.18478333333326</v>
      </c>
      <c r="V154" s="335">
        <f t="shared" si="36"/>
        <v>152.97263988643897</v>
      </c>
      <c r="W154" s="335">
        <f t="shared" si="37"/>
        <v>55.344595188388212</v>
      </c>
      <c r="X154" s="335">
        <f t="shared" si="38"/>
        <v>31.814809582379212</v>
      </c>
      <c r="Y154" s="335">
        <f t="shared" si="39"/>
        <v>65.813235115671546</v>
      </c>
      <c r="Z154" s="338">
        <f t="shared" si="40"/>
        <v>0.36179407787872342</v>
      </c>
      <c r="AA154" s="338">
        <f t="shared" si="40"/>
        <v>0.20797712326856169</v>
      </c>
      <c r="AB154" s="338">
        <f t="shared" si="40"/>
        <v>0.43022879885271492</v>
      </c>
      <c r="AC154" s="338">
        <f t="shared" si="41"/>
        <v>0.92607673921028189</v>
      </c>
      <c r="AE154" s="346">
        <f>MIN('WTE Tonnes and Composition'!G108,V154)</f>
        <v>152.97263988643897</v>
      </c>
      <c r="AF154" s="335">
        <f t="shared" si="51"/>
        <v>0.54242388719841395</v>
      </c>
      <c r="AG154" s="335">
        <f t="shared" si="51"/>
        <v>0.73821018753086143</v>
      </c>
      <c r="AH154" s="335">
        <f t="shared" si="51"/>
        <v>0.91239518615322213</v>
      </c>
      <c r="AI154" s="335">
        <f t="shared" si="47"/>
        <v>2.1930292608824975</v>
      </c>
      <c r="AK154" s="610">
        <f t="shared" si="42"/>
        <v>0</v>
      </c>
      <c r="AL154" s="338">
        <f t="shared" si="43"/>
        <v>0</v>
      </c>
      <c r="AM154" s="335">
        <f t="shared" si="44"/>
        <v>0</v>
      </c>
      <c r="AN154" s="335">
        <f t="shared" si="44"/>
        <v>0</v>
      </c>
      <c r="AO154" s="335">
        <f t="shared" si="44"/>
        <v>0</v>
      </c>
      <c r="AP154" s="335">
        <f t="shared" si="48"/>
        <v>0</v>
      </c>
      <c r="AQ154" s="335">
        <f t="shared" si="48"/>
        <v>0</v>
      </c>
      <c r="AR154" s="335">
        <f t="shared" si="48"/>
        <v>0</v>
      </c>
      <c r="AS154" s="335">
        <f t="shared" si="49"/>
        <v>0</v>
      </c>
      <c r="AT154" s="610" t="e">
        <f t="shared" si="50"/>
        <v>#DIV/0!</v>
      </c>
    </row>
    <row r="155" spans="2:46" ht="14.4" x14ac:dyDescent="0.55000000000000004">
      <c r="B155" s="3">
        <v>2056</v>
      </c>
      <c r="C155" s="707">
        <f>Compost!E98</f>
        <v>492.75832948731659</v>
      </c>
      <c r="D155" s="338">
        <f t="shared" si="31"/>
        <v>0.89363659343985824</v>
      </c>
      <c r="F155" s="3">
        <v>2056</v>
      </c>
      <c r="G155" s="707">
        <f>'H&amp;C Recycling'!E98</f>
        <v>595.94515478489234</v>
      </c>
      <c r="H155" s="338">
        <f t="shared" si="32"/>
        <v>0.94681079217177599</v>
      </c>
      <c r="J155" s="3">
        <v>2056</v>
      </c>
      <c r="K155" s="335">
        <f t="shared" si="45"/>
        <v>1013.0374921673977</v>
      </c>
      <c r="L155" s="338">
        <f t="shared" si="33"/>
        <v>5.7894825519262005E-2</v>
      </c>
      <c r="M155" s="338">
        <f t="shared" si="34"/>
        <v>3.3047689158711771E-2</v>
      </c>
      <c r="N155" s="338">
        <f t="shared" si="35"/>
        <v>0.90905748532202624</v>
      </c>
      <c r="P155" s="3">
        <v>2056</v>
      </c>
      <c r="Q155" s="707">
        <f>Paper!F103</f>
        <v>664.3</v>
      </c>
      <c r="R155" s="334">
        <f t="shared" si="30"/>
        <v>920.90931516662636</v>
      </c>
      <c r="S155" s="707">
        <f>Paper!G103</f>
        <v>861.37566666666658</v>
      </c>
      <c r="V155" s="335">
        <f t="shared" si="36"/>
        <v>149.48830759114185</v>
      </c>
      <c r="W155" s="335">
        <f t="shared" si="37"/>
        <v>58.649628853502236</v>
      </c>
      <c r="X155" s="335">
        <f t="shared" si="38"/>
        <v>33.478548147269066</v>
      </c>
      <c r="Y155" s="335">
        <f t="shared" si="39"/>
        <v>57.360130590370545</v>
      </c>
      <c r="Z155" s="338">
        <f t="shared" si="40"/>
        <v>0.39233589434908828</v>
      </c>
      <c r="AA155" s="338">
        <f t="shared" si="40"/>
        <v>0.22395429239077752</v>
      </c>
      <c r="AB155" s="338">
        <f t="shared" si="40"/>
        <v>0.38370981326013426</v>
      </c>
      <c r="AC155" s="338">
        <f t="shared" si="41"/>
        <v>0.92887405761847108</v>
      </c>
      <c r="AE155" s="346">
        <f>MIN('WTE Tonnes and Composition'!G109,V155)</f>
        <v>149.48830759114185</v>
      </c>
      <c r="AF155" s="335">
        <f t="shared" si="51"/>
        <v>0.58821405299960516</v>
      </c>
      <c r="AG155" s="335">
        <f t="shared" si="51"/>
        <v>0.79492079506577251</v>
      </c>
      <c r="AH155" s="335">
        <f t="shared" si="51"/>
        <v>0.81374140325308686</v>
      </c>
      <c r="AI155" s="335">
        <f t="shared" si="47"/>
        <v>2.1968762513184643</v>
      </c>
      <c r="AK155" s="610">
        <f t="shared" si="42"/>
        <v>0</v>
      </c>
      <c r="AL155" s="338">
        <f t="shared" si="43"/>
        <v>0</v>
      </c>
      <c r="AM155" s="335">
        <f t="shared" si="44"/>
        <v>0</v>
      </c>
      <c r="AN155" s="335">
        <f t="shared" si="44"/>
        <v>0</v>
      </c>
      <c r="AO155" s="335">
        <f t="shared" si="44"/>
        <v>0</v>
      </c>
      <c r="AP155" s="335">
        <f t="shared" si="48"/>
        <v>0</v>
      </c>
      <c r="AQ155" s="335">
        <f t="shared" si="48"/>
        <v>0</v>
      </c>
      <c r="AR155" s="335">
        <f t="shared" si="48"/>
        <v>0</v>
      </c>
      <c r="AS155" s="335">
        <f t="shared" si="49"/>
        <v>0</v>
      </c>
      <c r="AT155" s="610" t="e">
        <f t="shared" si="50"/>
        <v>#DIV/0!</v>
      </c>
    </row>
    <row r="156" spans="2:46" ht="14.4" x14ac:dyDescent="0.55000000000000004">
      <c r="B156" s="3">
        <v>2057</v>
      </c>
      <c r="C156" s="707">
        <f>Compost!E99</f>
        <v>525.64270041345674</v>
      </c>
      <c r="D156" s="338">
        <f t="shared" si="31"/>
        <v>0.89439847476579337</v>
      </c>
      <c r="F156" s="3">
        <v>2057</v>
      </c>
      <c r="G156" s="707">
        <f>'H&amp;C Recycling'!E99</f>
        <v>573.38936844034617</v>
      </c>
      <c r="H156" s="338">
        <f t="shared" si="32"/>
        <v>0.94219653134944203</v>
      </c>
      <c r="J156" s="3">
        <v>2057</v>
      </c>
      <c r="K156" s="335">
        <f t="shared" si="45"/>
        <v>1035.2123427173915</v>
      </c>
      <c r="L156" s="338">
        <f t="shared" si="33"/>
        <v>5.9951539148490288E-2</v>
      </c>
      <c r="M156" s="338">
        <f t="shared" si="34"/>
        <v>3.3980721347425531E-2</v>
      </c>
      <c r="N156" s="338">
        <f t="shared" si="35"/>
        <v>0.90606773950408381</v>
      </c>
      <c r="P156" s="3">
        <v>2057</v>
      </c>
      <c r="Q156" s="707">
        <f>Paper!F104</f>
        <v>682.62299999999993</v>
      </c>
      <c r="R156" s="334">
        <f t="shared" si="30"/>
        <v>937.97250727267385</v>
      </c>
      <c r="S156" s="707">
        <f>Paper!G104</f>
        <v>885.13448999999991</v>
      </c>
      <c r="V156" s="335">
        <f t="shared" si="36"/>
        <v>140.88517014683066</v>
      </c>
      <c r="W156" s="335">
        <f t="shared" si="37"/>
        <v>62.062573291422041</v>
      </c>
      <c r="X156" s="335">
        <f t="shared" si="38"/>
        <v>35.17726215329526</v>
      </c>
      <c r="Y156" s="335">
        <f t="shared" si="39"/>
        <v>43.645334702113018</v>
      </c>
      <c r="Z156" s="338">
        <f t="shared" si="40"/>
        <v>0.44051885110931382</v>
      </c>
      <c r="AA156" s="338">
        <f t="shared" si="40"/>
        <v>0.24968747325664925</v>
      </c>
      <c r="AB156" s="338">
        <f t="shared" si="40"/>
        <v>0.30979367563403448</v>
      </c>
      <c r="AC156" s="338">
        <f t="shared" si="41"/>
        <v>0.93398826798702339</v>
      </c>
      <c r="AE156" s="346">
        <f>MIN('WTE Tonnes and Composition'!G110,V156)</f>
        <v>140.88517014683066</v>
      </c>
      <c r="AF156" s="335">
        <f t="shared" si="51"/>
        <v>0.66045289907423754</v>
      </c>
      <c r="AG156" s="335">
        <f t="shared" si="51"/>
        <v>0.88626014996314029</v>
      </c>
      <c r="AH156" s="335">
        <f t="shared" si="51"/>
        <v>0.65698590866756468</v>
      </c>
      <c r="AI156" s="335">
        <f t="shared" si="47"/>
        <v>2.2036989577049422</v>
      </c>
      <c r="AK156" s="610">
        <f t="shared" si="42"/>
        <v>0</v>
      </c>
      <c r="AL156" s="338">
        <f t="shared" si="43"/>
        <v>0</v>
      </c>
      <c r="AM156" s="335">
        <f t="shared" si="44"/>
        <v>0</v>
      </c>
      <c r="AN156" s="335">
        <f t="shared" si="44"/>
        <v>0</v>
      </c>
      <c r="AO156" s="335">
        <f t="shared" si="44"/>
        <v>0</v>
      </c>
      <c r="AP156" s="335">
        <f t="shared" si="48"/>
        <v>0</v>
      </c>
      <c r="AQ156" s="335">
        <f t="shared" si="48"/>
        <v>0</v>
      </c>
      <c r="AR156" s="335">
        <f t="shared" si="48"/>
        <v>0</v>
      </c>
      <c r="AS156" s="335">
        <f t="shared" si="49"/>
        <v>0</v>
      </c>
      <c r="AT156" s="610" t="e">
        <f t="shared" si="50"/>
        <v>#DIV/0!</v>
      </c>
    </row>
    <row r="157" spans="2:46" ht="14.4" x14ac:dyDescent="0.55000000000000004">
      <c r="B157" s="3">
        <v>2058</v>
      </c>
      <c r="C157" s="707">
        <f>Compost!E100</f>
        <v>559.28410666729178</v>
      </c>
      <c r="D157" s="338">
        <f t="shared" si="31"/>
        <v>0.89504403710630098</v>
      </c>
      <c r="F157" s="3">
        <v>2058</v>
      </c>
      <c r="G157" s="707">
        <f>'H&amp;C Recycling'!E100</f>
        <v>549.88677618512247</v>
      </c>
      <c r="H157" s="338">
        <f t="shared" si="32"/>
        <v>0.93709954483777991</v>
      </c>
      <c r="J157" s="3">
        <v>2058</v>
      </c>
      <c r="K157" s="335">
        <f t="shared" si="45"/>
        <v>1057.6812606760905</v>
      </c>
      <c r="L157" s="338">
        <f t="shared" si="33"/>
        <v>6.200695173042893E-2</v>
      </c>
      <c r="M157" s="338">
        <f t="shared" si="34"/>
        <v>3.4896874138158208E-2</v>
      </c>
      <c r="N157" s="338">
        <f t="shared" si="35"/>
        <v>0.90309617413141285</v>
      </c>
      <c r="P157" s="3">
        <v>2058</v>
      </c>
      <c r="Q157" s="707">
        <f>Paper!F105</f>
        <v>701.3839999999999</v>
      </c>
      <c r="R157" s="334">
        <f t="shared" si="30"/>
        <v>955.18789996706687</v>
      </c>
      <c r="S157" s="707">
        <f>Paper!G105</f>
        <v>909.46125333333316</v>
      </c>
      <c r="V157" s="335">
        <f t="shared" si="36"/>
        <v>136.35503268396747</v>
      </c>
      <c r="W157" s="335">
        <f t="shared" si="37"/>
        <v>65.583590876921562</v>
      </c>
      <c r="X157" s="335">
        <f t="shared" si="38"/>
        <v>36.909769832102029</v>
      </c>
      <c r="Y157" s="335">
        <f t="shared" si="39"/>
        <v>33.861671974943874</v>
      </c>
      <c r="Z157" s="338">
        <f t="shared" si="40"/>
        <v>0.48097667967214558</v>
      </c>
      <c r="AA157" s="338">
        <f t="shared" si="40"/>
        <v>0.270688724175282</v>
      </c>
      <c r="AB157" s="338">
        <f t="shared" si="40"/>
        <v>0.24833459615257242</v>
      </c>
      <c r="AC157" s="338">
        <f t="shared" si="41"/>
        <v>0.9370722948996757</v>
      </c>
      <c r="AE157" s="346">
        <f>MIN('WTE Tonnes and Composition'!G111,V157)</f>
        <v>136.35503268396747</v>
      </c>
      <c r="AF157" s="335">
        <f t="shared" si="51"/>
        <v>0.72110975881425377</v>
      </c>
      <c r="AG157" s="335">
        <f t="shared" si="51"/>
        <v>0.96080362443464273</v>
      </c>
      <c r="AH157" s="335">
        <f t="shared" si="51"/>
        <v>0.52664835708145841</v>
      </c>
      <c r="AI157" s="335">
        <f t="shared" si="47"/>
        <v>2.2085617403303548</v>
      </c>
      <c r="AK157" s="610">
        <f t="shared" si="42"/>
        <v>0</v>
      </c>
      <c r="AL157" s="338">
        <f t="shared" si="43"/>
        <v>0</v>
      </c>
      <c r="AM157" s="335">
        <f t="shared" si="44"/>
        <v>0</v>
      </c>
      <c r="AN157" s="335">
        <f t="shared" si="44"/>
        <v>0</v>
      </c>
      <c r="AO157" s="335">
        <f t="shared" si="44"/>
        <v>0</v>
      </c>
      <c r="AP157" s="335">
        <f t="shared" si="48"/>
        <v>0</v>
      </c>
      <c r="AQ157" s="335">
        <f t="shared" si="48"/>
        <v>0</v>
      </c>
      <c r="AR157" s="335">
        <f t="shared" si="48"/>
        <v>0</v>
      </c>
      <c r="AS157" s="335">
        <f t="shared" si="49"/>
        <v>0</v>
      </c>
      <c r="AT157" s="610" t="e">
        <f t="shared" si="50"/>
        <v>#DIV/0!</v>
      </c>
    </row>
    <row r="158" spans="2:46" ht="14.4" x14ac:dyDescent="0.55000000000000004">
      <c r="B158" s="3">
        <v>2059</v>
      </c>
      <c r="C158" s="707">
        <f>Compost!E101</f>
        <v>593.66229391369859</v>
      </c>
      <c r="D158" s="338">
        <f t="shared" si="31"/>
        <v>0.89558791448363317</v>
      </c>
      <c r="F158" s="3">
        <v>2059</v>
      </c>
      <c r="G158" s="707">
        <f>'H&amp;C Recycling'!E101</f>
        <v>525.45440067512016</v>
      </c>
      <c r="H158" s="338">
        <f t="shared" si="32"/>
        <v>0.9314439109299214</v>
      </c>
      <c r="J158" s="3">
        <v>2059</v>
      </c>
      <c r="K158" s="335">
        <f t="shared" si="45"/>
        <v>1080.4424939127071</v>
      </c>
      <c r="L158" s="338">
        <f t="shared" si="33"/>
        <v>6.4059029563815192E-2</v>
      </c>
      <c r="M158" s="338">
        <f t="shared" si="34"/>
        <v>3.5795027738197933E-2</v>
      </c>
      <c r="N158" s="338">
        <f t="shared" si="35"/>
        <v>0.9001459426979872</v>
      </c>
      <c r="P158" s="3">
        <v>2059</v>
      </c>
      <c r="Q158" s="707">
        <f>Paper!F106</f>
        <v>720.58299999999997</v>
      </c>
      <c r="R158" s="334">
        <f t="shared" si="30"/>
        <v>972.55592721401797</v>
      </c>
      <c r="S158" s="707">
        <f>Paper!G106</f>
        <v>934.35595666666666</v>
      </c>
      <c r="V158" s="335">
        <f t="shared" si="36"/>
        <v>134.39895527430679</v>
      </c>
      <c r="W158" s="335">
        <f t="shared" si="37"/>
        <v>69.212097659556321</v>
      </c>
      <c r="X158" s="335">
        <f t="shared" si="38"/>
        <v>38.674469039133101</v>
      </c>
      <c r="Y158" s="335">
        <f t="shared" si="39"/>
        <v>26.512388575617706</v>
      </c>
      <c r="Z158" s="338">
        <f t="shared" si="40"/>
        <v>0.51497496776143237</v>
      </c>
      <c r="AA158" s="338">
        <f t="shared" si="40"/>
        <v>0.28775870288722805</v>
      </c>
      <c r="AB158" s="338">
        <f t="shared" si="40"/>
        <v>0.19726632935134214</v>
      </c>
      <c r="AC158" s="338">
        <f t="shared" si="41"/>
        <v>0.93889732271043469</v>
      </c>
      <c r="AE158" s="346">
        <f>MIN('WTE Tonnes and Composition'!G112,V158)</f>
        <v>134.39895527430679</v>
      </c>
      <c r="AF158" s="335">
        <f t="shared" si="51"/>
        <v>0.77208207901255232</v>
      </c>
      <c r="AG158" s="335">
        <f t="shared" si="51"/>
        <v>1.021393135377255</v>
      </c>
      <c r="AH158" s="335">
        <f t="shared" si="51"/>
        <v>0.41834681864683093</v>
      </c>
      <c r="AI158" s="335">
        <f t="shared" si="47"/>
        <v>2.211822033036638</v>
      </c>
      <c r="AK158" s="610">
        <f t="shared" si="42"/>
        <v>0</v>
      </c>
      <c r="AL158" s="338">
        <f t="shared" si="43"/>
        <v>0</v>
      </c>
      <c r="AM158" s="335">
        <f t="shared" si="44"/>
        <v>0</v>
      </c>
      <c r="AN158" s="335">
        <f t="shared" si="44"/>
        <v>0</v>
      </c>
      <c r="AO158" s="335">
        <f t="shared" si="44"/>
        <v>0</v>
      </c>
      <c r="AP158" s="335">
        <f t="shared" si="48"/>
        <v>0</v>
      </c>
      <c r="AQ158" s="335">
        <f t="shared" si="48"/>
        <v>0</v>
      </c>
      <c r="AR158" s="335">
        <f t="shared" si="48"/>
        <v>0</v>
      </c>
      <c r="AS158" s="335">
        <f t="shared" si="49"/>
        <v>0</v>
      </c>
      <c r="AT158" s="610" t="e">
        <f t="shared" si="50"/>
        <v>#DIV/0!</v>
      </c>
    </row>
    <row r="159" spans="2:46" ht="14.4" x14ac:dyDescent="0.55000000000000004">
      <c r="B159" s="3">
        <v>2060</v>
      </c>
      <c r="C159" s="707">
        <f>Compost!E102</f>
        <v>628.75703600358372</v>
      </c>
      <c r="D159" s="338">
        <f t="shared" si="31"/>
        <v>0.89604218985877571</v>
      </c>
      <c r="F159" s="3">
        <v>2060</v>
      </c>
      <c r="G159" s="707">
        <f>'H&amp;C Recycling'!E102</f>
        <v>500.11037403510761</v>
      </c>
      <c r="H159" s="338">
        <f t="shared" si="32"/>
        <v>0.92513624920525361</v>
      </c>
      <c r="J159" s="3">
        <v>2060</v>
      </c>
      <c r="K159" s="335">
        <f t="shared" si="45"/>
        <v>1103.4946976043366</v>
      </c>
      <c r="L159" s="338">
        <f t="shared" si="33"/>
        <v>6.6106059643413664E-2</v>
      </c>
      <c r="M159" s="338">
        <f t="shared" si="34"/>
        <v>3.6674271594487474E-2</v>
      </c>
      <c r="N159" s="338">
        <f t="shared" si="35"/>
        <v>0.89721966876209913</v>
      </c>
      <c r="P159" s="3">
        <v>2060</v>
      </c>
      <c r="Q159" s="707">
        <f>Paper!F107</f>
        <v>740.22</v>
      </c>
      <c r="R159" s="334">
        <f t="shared" si="30"/>
        <v>990.07714706529566</v>
      </c>
      <c r="S159" s="707">
        <f>Paper!G107</f>
        <v>959.81860000000006</v>
      </c>
      <c r="V159" s="335">
        <f t="shared" si="36"/>
        <v>132.1595866508942</v>
      </c>
      <c r="W159" s="335">
        <f t="shared" si="37"/>
        <v>72.947686296022994</v>
      </c>
      <c r="X159" s="335">
        <f t="shared" si="38"/>
        <v>40.469864243018264</v>
      </c>
      <c r="Y159" s="335">
        <f t="shared" si="39"/>
        <v>18.742036111853281</v>
      </c>
      <c r="Z159" s="338">
        <f t="shared" si="40"/>
        <v>0.55196666503443115</v>
      </c>
      <c r="AA159" s="338">
        <f t="shared" si="40"/>
        <v>0.30621966418464464</v>
      </c>
      <c r="AB159" s="338">
        <f t="shared" si="40"/>
        <v>0.14181367078092683</v>
      </c>
      <c r="AC159" s="338">
        <f t="shared" si="41"/>
        <v>0.94079832021945986</v>
      </c>
      <c r="AE159" s="346">
        <f>MIN('WTE Tonnes and Composition'!G113,V159)</f>
        <v>132.1595866508942</v>
      </c>
      <c r="AF159" s="335">
        <f t="shared" si="51"/>
        <v>0.82754230198395484</v>
      </c>
      <c r="AG159" s="335">
        <f t="shared" si="51"/>
        <v>1.0869199081645093</v>
      </c>
      <c r="AH159" s="335">
        <f t="shared" si="51"/>
        <v>0.30074720915075487</v>
      </c>
      <c r="AI159" s="335">
        <f t="shared" si="47"/>
        <v>2.2152094192992191</v>
      </c>
      <c r="AK159" s="610">
        <f t="shared" si="42"/>
        <v>0</v>
      </c>
      <c r="AL159" s="338">
        <f t="shared" si="43"/>
        <v>0</v>
      </c>
      <c r="AM159" s="335">
        <f t="shared" si="44"/>
        <v>0</v>
      </c>
      <c r="AN159" s="335">
        <f t="shared" si="44"/>
        <v>0</v>
      </c>
      <c r="AO159" s="335">
        <f t="shared" si="44"/>
        <v>0</v>
      </c>
      <c r="AP159" s="335">
        <f t="shared" si="48"/>
        <v>0</v>
      </c>
      <c r="AQ159" s="335">
        <f t="shared" si="48"/>
        <v>0</v>
      </c>
      <c r="AR159" s="335">
        <f t="shared" si="48"/>
        <v>0</v>
      </c>
      <c r="AS159" s="335">
        <f t="shared" si="49"/>
        <v>0</v>
      </c>
      <c r="AT159" s="610" t="e">
        <f t="shared" si="50"/>
        <v>#DIV/0!</v>
      </c>
    </row>
    <row r="160" spans="2:46" x14ac:dyDescent="0.4">
      <c r="Z160" s="341"/>
    </row>
    <row r="161" spans="1:52" x14ac:dyDescent="0.4">
      <c r="Z161" s="341"/>
    </row>
    <row r="162" spans="1:52" ht="22.5" x14ac:dyDescent="0.75">
      <c r="A162" s="336" t="s">
        <v>154</v>
      </c>
      <c r="Z162" s="341"/>
    </row>
    <row r="167" spans="1:52" ht="200.05" customHeight="1" x14ac:dyDescent="0.4">
      <c r="B167" s="1275" t="s">
        <v>487</v>
      </c>
      <c r="C167" s="1276"/>
      <c r="D167" s="1276"/>
      <c r="E167" s="1276"/>
      <c r="F167" s="1276"/>
      <c r="G167" s="1276"/>
      <c r="H167" s="1276"/>
      <c r="I167" s="1276"/>
      <c r="J167" s="1276"/>
      <c r="K167" s="1276"/>
      <c r="N167" s="1275" t="s">
        <v>477</v>
      </c>
      <c r="O167" s="1276"/>
      <c r="P167" s="1276"/>
      <c r="Q167" s="1276"/>
      <c r="R167" s="1276"/>
      <c r="S167" s="1276"/>
      <c r="T167" s="1276"/>
      <c r="U167" s="1276"/>
      <c r="V167" s="1276"/>
      <c r="Y167" s="1279" t="s">
        <v>537</v>
      </c>
      <c r="Z167" s="1279"/>
      <c r="AA167" s="1279"/>
      <c r="AB167" s="1279"/>
      <c r="AC167" s="1279"/>
      <c r="AD167" s="1279"/>
      <c r="AE167" s="1279"/>
      <c r="AF167" s="1279"/>
      <c r="AI167" s="1279" t="s">
        <v>539</v>
      </c>
      <c r="AJ167" s="1279"/>
      <c r="AK167" s="1279"/>
      <c r="AL167" s="1279"/>
      <c r="AM167" s="1279"/>
      <c r="AN167" s="1279"/>
      <c r="AO167" s="1279"/>
      <c r="AP167" s="1279"/>
      <c r="AS167" s="1279" t="s">
        <v>541</v>
      </c>
      <c r="AT167" s="1279"/>
      <c r="AU167" s="1279"/>
      <c r="AV167" s="1279"/>
      <c r="AW167" s="1279"/>
      <c r="AX167" s="1279"/>
      <c r="AY167" s="1279"/>
      <c r="AZ167" s="1279"/>
    </row>
    <row r="168" spans="1:52" x14ac:dyDescent="0.4">
      <c r="B168" s="1" t="s">
        <v>139</v>
      </c>
      <c r="N168" s="1" t="s">
        <v>140</v>
      </c>
      <c r="O168" s="1"/>
    </row>
    <row r="169" spans="1:52" ht="14.4" x14ac:dyDescent="0.55000000000000004">
      <c r="B169" s="2"/>
      <c r="C169" s="334" t="str">
        <f t="shared" ref="C169:C216" si="52">Y59</f>
        <v>World</v>
      </c>
      <c r="D169" s="334" t="s">
        <v>494</v>
      </c>
      <c r="E169" s="344" t="s">
        <v>144</v>
      </c>
      <c r="F169" s="344" t="s">
        <v>135</v>
      </c>
      <c r="G169" s="344" t="s">
        <v>136</v>
      </c>
      <c r="H169" s="344" t="s">
        <v>538</v>
      </c>
      <c r="I169" s="344" t="s">
        <v>137</v>
      </c>
      <c r="J169" s="344" t="s">
        <v>143</v>
      </c>
      <c r="K169" s="344" t="s">
        <v>138</v>
      </c>
      <c r="N169" s="3"/>
      <c r="O169" s="334" t="s">
        <v>115</v>
      </c>
      <c r="P169" s="334" t="s">
        <v>141</v>
      </c>
      <c r="Q169" s="334" t="s">
        <v>142</v>
      </c>
      <c r="R169" s="334" t="s">
        <v>164</v>
      </c>
      <c r="S169" s="583" t="s">
        <v>359</v>
      </c>
      <c r="T169" s="583" t="s">
        <v>360</v>
      </c>
      <c r="U169" s="1189" t="s">
        <v>361</v>
      </c>
      <c r="V169" s="584" t="s">
        <v>362</v>
      </c>
      <c r="Y169" s="584" t="s">
        <v>114</v>
      </c>
      <c r="Z169" s="344" t="s">
        <v>527</v>
      </c>
      <c r="AA169" s="344" t="s">
        <v>1134</v>
      </c>
      <c r="AB169" s="632" t="s">
        <v>533</v>
      </c>
      <c r="AC169" s="632" t="s">
        <v>534</v>
      </c>
      <c r="AD169" s="632" t="s">
        <v>535</v>
      </c>
      <c r="AE169" s="632" t="s">
        <v>536</v>
      </c>
      <c r="AF169" s="335" t="s">
        <v>441</v>
      </c>
      <c r="AI169" s="584" t="s">
        <v>114</v>
      </c>
      <c r="AJ169" s="344" t="s">
        <v>532</v>
      </c>
      <c r="AK169" s="344" t="s">
        <v>137</v>
      </c>
      <c r="AL169" s="344" t="s">
        <v>528</v>
      </c>
      <c r="AM169" s="344" t="s">
        <v>529</v>
      </c>
      <c r="AN169" s="344" t="s">
        <v>531</v>
      </c>
      <c r="AO169" s="344" t="s">
        <v>530</v>
      </c>
      <c r="AP169" s="344" t="s">
        <v>205</v>
      </c>
      <c r="AS169" s="584" t="str">
        <f>Y169</f>
        <v>Year</v>
      </c>
      <c r="AT169" s="344" t="str">
        <f t="shared" ref="AT169:AX216" si="53">AB169</f>
        <v xml:space="preserve">Compost </v>
      </c>
      <c r="AU169" s="344" t="str">
        <f t="shared" si="53"/>
        <v>Recycling</v>
      </c>
      <c r="AV169" s="632" t="str">
        <f t="shared" si="53"/>
        <v>Paper Recycling</v>
      </c>
      <c r="AW169" s="632" t="str">
        <f t="shared" si="53"/>
        <v>Used Paper to Insulation</v>
      </c>
      <c r="AX169" s="632" t="str">
        <f t="shared" si="53"/>
        <v>Reduced Food Waste</v>
      </c>
      <c r="AY169" s="632" t="s">
        <v>402</v>
      </c>
      <c r="AZ169" s="335" t="s">
        <v>423</v>
      </c>
    </row>
    <row r="170" spans="1:52" ht="14.4" x14ac:dyDescent="0.55000000000000004">
      <c r="B170" s="3">
        <v>2014</v>
      </c>
      <c r="C170" s="334">
        <f t="shared" si="52"/>
        <v>804.7949483183213</v>
      </c>
      <c r="D170" s="532">
        <f>'Food System Summary'!E12-'Food System Summary'!F12</f>
        <v>1351.0179807789714</v>
      </c>
      <c r="E170" s="338">
        <f>D170/C170</f>
        <v>1.6787108114955538</v>
      </c>
      <c r="F170" s="338">
        <f t="shared" ref="F170:F216" si="54">D170/U60</f>
        <v>0.76185224480017177</v>
      </c>
      <c r="G170" s="334">
        <f t="shared" ref="G170:G216" si="55">M60*R60</f>
        <v>0.65297000000000005</v>
      </c>
      <c r="H170" s="338">
        <f>G170/C170</f>
        <v>8.1134952619226711E-4</v>
      </c>
      <c r="I170" s="334">
        <f>C170-D170-G170</f>
        <v>-546.87600246065006</v>
      </c>
      <c r="J170" s="338">
        <f>I170/C170</f>
        <v>-0.67952216102174601</v>
      </c>
      <c r="K170" s="338">
        <f t="shared" ref="K170:K216" si="56">I170/U60</f>
        <v>-0.30838872319209587</v>
      </c>
      <c r="N170" s="3">
        <v>2014</v>
      </c>
      <c r="O170" s="1205">
        <f t="shared" ref="O170:O216" si="57">R113</f>
        <v>341.7860216816789</v>
      </c>
      <c r="P170" s="1205">
        <f t="shared" ref="P170:P216" si="58">M60*(1-R60)</f>
        <v>1.0170299999999999</v>
      </c>
      <c r="Q170" s="1205">
        <f t="shared" ref="Q170:Q216" si="59">S113</f>
        <v>227.24220300000002</v>
      </c>
      <c r="R170" s="1205">
        <f>O170-P170-Q170</f>
        <v>113.52678868167891</v>
      </c>
      <c r="S170" s="1206">
        <f>Paper!E61</f>
        <v>341.7860216816789</v>
      </c>
      <c r="T170" s="1205">
        <f t="shared" ref="T170:T216" si="60">S170-Q170</f>
        <v>114.54381868167889</v>
      </c>
      <c r="U170" s="1206">
        <f>Paper!I61</f>
        <v>0</v>
      </c>
      <c r="V170" s="1205">
        <f t="shared" ref="V170:V216" si="61">IF((T170-U170)&lt;0,0,(T170-U170))</f>
        <v>114.54381868167889</v>
      </c>
      <c r="Y170" s="609">
        <f>N170</f>
        <v>2014</v>
      </c>
      <c r="Z170" s="335">
        <f t="shared" ref="Z170:Z216" si="62">C7</f>
        <v>1773.3333333333333</v>
      </c>
      <c r="AA170" s="335">
        <f t="shared" ref="AA170:AA216" si="63">V113</f>
        <v>1229.5180509102263</v>
      </c>
      <c r="AB170" s="335">
        <f t="shared" ref="AB170:AB216" si="64">C113</f>
        <v>110.54366841083268</v>
      </c>
      <c r="AC170" s="335">
        <f t="shared" ref="AC170:AC216" si="65">G113</f>
        <v>206.02941101227444</v>
      </c>
      <c r="AD170" s="335">
        <f t="shared" ref="AD170:AD216" si="66">S113</f>
        <v>227.24220300000002</v>
      </c>
      <c r="AE170" s="335">
        <f>MIN(Paper!H61,Paper!I61)</f>
        <v>0</v>
      </c>
      <c r="AF170" s="335">
        <f t="shared" ref="AF170:AF216" si="67">C60</f>
        <v>-2.3841857910156249E-13</v>
      </c>
      <c r="AG170" s="533"/>
      <c r="AI170" s="609">
        <f t="shared" ref="AI170:AI216" si="68">Y170</f>
        <v>2014</v>
      </c>
      <c r="AJ170" s="335">
        <f t="shared" ref="AJ170:AJ216" si="69">D170-E170*C113</f>
        <v>1165.4471294753271</v>
      </c>
      <c r="AK170" s="335">
        <f t="shared" ref="AK170:AK216" si="70">I170-J170*C113</f>
        <v>-471.75913001484969</v>
      </c>
      <c r="AL170" s="335">
        <f t="shared" ref="AL170:AL216" si="71">G170-(H170*C113)</f>
        <v>0.56328044701131585</v>
      </c>
      <c r="AM170" s="335">
        <f t="shared" ref="AM170:AM216" si="72">AH60/AB60*X113</f>
        <v>160.7904088841328</v>
      </c>
      <c r="AN170" s="335">
        <f t="shared" ref="AN170:AN216" si="73">AB60-AM170-G113</f>
        <v>259.93254343692604</v>
      </c>
      <c r="AO170" s="335">
        <f>T170-AE170</f>
        <v>114.54381868167889</v>
      </c>
      <c r="AP170" s="335">
        <f t="shared" ref="AP170:AP216" si="74">AA170-AJ170-AK170-AL170-AM170-AN170-AO170</f>
        <v>-1.1368683772161603E-13</v>
      </c>
      <c r="AS170" s="609">
        <f t="shared" ref="AS170:AS213" si="75">Y170</f>
        <v>2014</v>
      </c>
      <c r="AT170" s="335">
        <f t="shared" si="53"/>
        <v>110.54366841083268</v>
      </c>
      <c r="AU170" s="335">
        <f t="shared" si="53"/>
        <v>206.02941101227444</v>
      </c>
      <c r="AV170" s="335">
        <f t="shared" si="53"/>
        <v>227.24220300000002</v>
      </c>
      <c r="AW170" s="335">
        <f t="shared" si="53"/>
        <v>0</v>
      </c>
      <c r="AX170" s="335">
        <f t="shared" si="53"/>
        <v>-2.3841857910156249E-13</v>
      </c>
      <c r="AY170" s="335">
        <f>AE113</f>
        <v>142.75688198659913</v>
      </c>
      <c r="AZ170" s="335">
        <f>AK113</f>
        <v>1086.7611689236271</v>
      </c>
    </row>
    <row r="171" spans="1:52" ht="14.4" x14ac:dyDescent="0.55000000000000004">
      <c r="B171" s="3">
        <v>2015</v>
      </c>
      <c r="C171" s="334">
        <f t="shared" si="52"/>
        <v>862.89164707897714</v>
      </c>
      <c r="D171" s="532">
        <f>'Food System Summary'!E13-'Food System Summary'!F13</f>
        <v>1373.0725590764539</v>
      </c>
      <c r="E171" s="338">
        <f t="shared" ref="E171:E216" si="76">D171/C171</f>
        <v>1.5912456259421663</v>
      </c>
      <c r="F171" s="338">
        <f t="shared" si="54"/>
        <v>0.72585333519460116</v>
      </c>
      <c r="G171" s="334">
        <f t="shared" si="55"/>
        <v>0.78781815301367786</v>
      </c>
      <c r="H171" s="338">
        <f t="shared" ref="H171:H216" si="77">G171/C171</f>
        <v>9.1299777403172839E-4</v>
      </c>
      <c r="I171" s="334">
        <f t="shared" ref="I171:I216" si="78">C171-D171-G171</f>
        <v>-510.96873015049044</v>
      </c>
      <c r="J171" s="338">
        <f t="shared" ref="J171:J216" si="79">I171/C171</f>
        <v>-0.5921586237161981</v>
      </c>
      <c r="K171" s="338">
        <f t="shared" si="56"/>
        <v>-0.27011562827338703</v>
      </c>
      <c r="N171" s="3">
        <v>2015</v>
      </c>
      <c r="O171" s="1205">
        <f t="shared" si="57"/>
        <v>363.88533774070333</v>
      </c>
      <c r="P171" s="1205">
        <f t="shared" si="58"/>
        <v>1.3824797891727625</v>
      </c>
      <c r="Q171" s="1205">
        <f t="shared" si="59"/>
        <v>228.0892060000001</v>
      </c>
      <c r="R171" s="1205">
        <f t="shared" ref="R171:R216" si="80">O171-P171-Q171</f>
        <v>134.41365195153048</v>
      </c>
      <c r="S171" s="1206">
        <f>Paper!E62</f>
        <v>363.88533774070333</v>
      </c>
      <c r="T171" s="1205">
        <f t="shared" si="60"/>
        <v>135.79613174070323</v>
      </c>
      <c r="U171" s="1206">
        <f>Paper!I62</f>
        <v>55.436249202633121</v>
      </c>
      <c r="V171" s="1205">
        <f t="shared" si="61"/>
        <v>80.35988253807011</v>
      </c>
      <c r="Y171" s="609">
        <f t="shared" ref="Y171:Y216" si="81">N171</f>
        <v>2015</v>
      </c>
      <c r="Z171" s="335">
        <f t="shared" si="62"/>
        <v>1891.6666666666667</v>
      </c>
      <c r="AA171" s="335">
        <f t="shared" si="63"/>
        <v>1251.5724786637911</v>
      </c>
      <c r="AB171" s="335">
        <f t="shared" si="64"/>
        <v>121.04208551354085</v>
      </c>
      <c r="AC171" s="335">
        <f t="shared" si="65"/>
        <v>235.52664728670166</v>
      </c>
      <c r="AD171" s="335">
        <f t="shared" si="66"/>
        <v>228.0892060000001</v>
      </c>
      <c r="AE171" s="335">
        <f>MIN(Paper!H62,Paper!I62)</f>
        <v>55.436249202633121</v>
      </c>
      <c r="AF171" s="335">
        <f t="shared" si="67"/>
        <v>0</v>
      </c>
      <c r="AG171" s="533"/>
      <c r="AI171" s="609">
        <f t="shared" si="68"/>
        <v>2015</v>
      </c>
      <c r="AJ171" s="335">
        <f t="shared" si="69"/>
        <v>1180.4648699481145</v>
      </c>
      <c r="AK171" s="335">
        <f t="shared" si="70"/>
        <v>-439.29261538105374</v>
      </c>
      <c r="AL171" s="335">
        <f t="shared" si="71"/>
        <v>0.677306998375657</v>
      </c>
      <c r="AM171" s="335">
        <f t="shared" si="72"/>
        <v>159.86636374453872</v>
      </c>
      <c r="AN171" s="335">
        <f t="shared" si="73"/>
        <v>269.49667081574603</v>
      </c>
      <c r="AO171" s="335">
        <f t="shared" ref="AO171:AO216" si="82">T171-AE171</f>
        <v>80.35988253807011</v>
      </c>
      <c r="AP171" s="335">
        <f t="shared" si="74"/>
        <v>-1.7053025658242404E-13</v>
      </c>
      <c r="AS171" s="609">
        <f t="shared" si="75"/>
        <v>2015</v>
      </c>
      <c r="AT171" s="335">
        <f t="shared" si="53"/>
        <v>121.04208551354085</v>
      </c>
      <c r="AU171" s="335">
        <f t="shared" si="53"/>
        <v>235.52664728670166</v>
      </c>
      <c r="AV171" s="335">
        <f t="shared" si="53"/>
        <v>228.0892060000001</v>
      </c>
      <c r="AW171" s="335">
        <f t="shared" si="53"/>
        <v>55.436249202633121</v>
      </c>
      <c r="AX171" s="335">
        <f t="shared" si="53"/>
        <v>0</v>
      </c>
      <c r="AY171" s="335">
        <f t="shared" ref="AY171:AY216" si="83">AE114</f>
        <v>151.22621540688968</v>
      </c>
      <c r="AZ171" s="335">
        <f t="shared" ref="AZ171:AZ216" si="84">AK114</f>
        <v>1100.3462632569015</v>
      </c>
    </row>
    <row r="172" spans="1:52" ht="14.4" x14ac:dyDescent="0.55000000000000004">
      <c r="B172" s="3">
        <v>2016</v>
      </c>
      <c r="C172" s="334">
        <f t="shared" si="52"/>
        <v>925.35644999999988</v>
      </c>
      <c r="D172" s="532">
        <f>'Food System Summary'!E14-'Food System Summary'!F14</f>
        <v>1381.3419093589625</v>
      </c>
      <c r="E172" s="338">
        <f t="shared" si="76"/>
        <v>1.4927673647911166</v>
      </c>
      <c r="F172" s="338">
        <f t="shared" si="54"/>
        <v>0.68723478077560329</v>
      </c>
      <c r="G172" s="334">
        <f t="shared" si="55"/>
        <v>0.75644999999999996</v>
      </c>
      <c r="H172" s="338">
        <f t="shared" si="77"/>
        <v>8.1746877108815753E-4</v>
      </c>
      <c r="I172" s="334">
        <f t="shared" si="78"/>
        <v>-456.74190935896263</v>
      </c>
      <c r="J172" s="338">
        <f t="shared" si="79"/>
        <v>-0.49358483356220478</v>
      </c>
      <c r="K172" s="338">
        <f t="shared" si="56"/>
        <v>-0.22723478077560333</v>
      </c>
      <c r="N172" s="3">
        <v>2016</v>
      </c>
      <c r="O172" s="1205">
        <f t="shared" si="57"/>
        <v>381.89999999999986</v>
      </c>
      <c r="P172" s="1205">
        <f t="shared" si="58"/>
        <v>1.29355</v>
      </c>
      <c r="Q172" s="1205">
        <f t="shared" si="59"/>
        <v>230.29045600000003</v>
      </c>
      <c r="R172" s="1205">
        <f t="shared" si="80"/>
        <v>150.31599399999985</v>
      </c>
      <c r="S172" s="1206">
        <f>Paper!E63</f>
        <v>381.89999999999986</v>
      </c>
      <c r="T172" s="1205">
        <f t="shared" si="60"/>
        <v>151.60954399999983</v>
      </c>
      <c r="U172" s="1206">
        <f>Paper!I63</f>
        <v>21.687129000645655</v>
      </c>
      <c r="V172" s="1205">
        <f t="shared" si="61"/>
        <v>129.92241499935417</v>
      </c>
      <c r="Y172" s="609">
        <f t="shared" si="81"/>
        <v>2016</v>
      </c>
      <c r="Z172" s="335">
        <f t="shared" si="62"/>
        <v>2009.9999999999998</v>
      </c>
      <c r="AA172" s="335">
        <f t="shared" si="63"/>
        <v>1359.6819123831051</v>
      </c>
      <c r="AB172" s="335">
        <f t="shared" si="64"/>
        <v>131.54050261624903</v>
      </c>
      <c r="AC172" s="335">
        <f t="shared" si="65"/>
        <v>266.79999999999995</v>
      </c>
      <c r="AD172" s="335">
        <f t="shared" si="66"/>
        <v>230.29045600000003</v>
      </c>
      <c r="AE172" s="335">
        <f>MIN(Paper!H63,Paper!I63)</f>
        <v>21.687129000645655</v>
      </c>
      <c r="AF172" s="335">
        <f t="shared" si="67"/>
        <v>0</v>
      </c>
      <c r="AG172" s="533"/>
      <c r="AI172" s="609">
        <f t="shared" si="68"/>
        <v>2016</v>
      </c>
      <c r="AJ172" s="335">
        <f t="shared" si="69"/>
        <v>1184.9825399052056</v>
      </c>
      <c r="AK172" s="335">
        <f t="shared" si="70"/>
        <v>-391.8155122684326</v>
      </c>
      <c r="AL172" s="335">
        <f t="shared" si="71"/>
        <v>0.64891974697797628</v>
      </c>
      <c r="AM172" s="335">
        <f t="shared" si="72"/>
        <v>159.90233898702678</v>
      </c>
      <c r="AN172" s="335">
        <f t="shared" si="73"/>
        <v>276.04121101297324</v>
      </c>
      <c r="AO172" s="335">
        <f t="shared" si="82"/>
        <v>129.92241499935417</v>
      </c>
      <c r="AP172" s="335">
        <f t="shared" si="74"/>
        <v>0</v>
      </c>
      <c r="AS172" s="609">
        <f t="shared" si="75"/>
        <v>2016</v>
      </c>
      <c r="AT172" s="335">
        <f t="shared" si="53"/>
        <v>131.54050261624903</v>
      </c>
      <c r="AU172" s="335">
        <f t="shared" si="53"/>
        <v>266.79999999999995</v>
      </c>
      <c r="AV172" s="335">
        <f t="shared" si="53"/>
        <v>230.29045600000003</v>
      </c>
      <c r="AW172" s="335">
        <f t="shared" si="53"/>
        <v>21.687129000645655</v>
      </c>
      <c r="AX172" s="335">
        <f t="shared" si="53"/>
        <v>0</v>
      </c>
      <c r="AY172" s="335">
        <f t="shared" si="83"/>
        <v>159.07322452483973</v>
      </c>
      <c r="AZ172" s="335">
        <f t="shared" si="84"/>
        <v>1200.6086878582653</v>
      </c>
    </row>
    <row r="173" spans="1:52" ht="14.4" x14ac:dyDescent="0.55000000000000004">
      <c r="B173" s="3">
        <v>2017</v>
      </c>
      <c r="C173" s="334">
        <f t="shared" si="52"/>
        <v>971.46537076320271</v>
      </c>
      <c r="D173" s="532">
        <f>'Food System Summary'!E15-'Food System Summary'!F15</f>
        <v>1402.4337305219583</v>
      </c>
      <c r="E173" s="338">
        <f t="shared" si="76"/>
        <v>1.4436270944173524</v>
      </c>
      <c r="F173" s="338">
        <f t="shared" si="54"/>
        <v>0.66431672010555631</v>
      </c>
      <c r="G173" s="334">
        <f t="shared" si="55"/>
        <v>0.87848999999999999</v>
      </c>
      <c r="H173" s="338">
        <f t="shared" si="77"/>
        <v>9.042936850233175E-4</v>
      </c>
      <c r="I173" s="334">
        <f t="shared" si="78"/>
        <v>-431.84684975875558</v>
      </c>
      <c r="J173" s="338">
        <f t="shared" si="79"/>
        <v>-0.44453138810237569</v>
      </c>
      <c r="K173" s="338">
        <f t="shared" si="56"/>
        <v>-0.20456088339581024</v>
      </c>
      <c r="N173" s="3">
        <v>2017</v>
      </c>
      <c r="O173" s="1205">
        <f t="shared" si="57"/>
        <v>405.63401095542747</v>
      </c>
      <c r="P173" s="1205">
        <f t="shared" si="58"/>
        <v>1.39151</v>
      </c>
      <c r="Q173" s="1205">
        <f t="shared" si="59"/>
        <v>233.851586</v>
      </c>
      <c r="R173" s="1205">
        <f t="shared" si="80"/>
        <v>170.39091495542749</v>
      </c>
      <c r="S173" s="1206">
        <f>Paper!E64</f>
        <v>407.98435400123185</v>
      </c>
      <c r="T173" s="1205">
        <f t="shared" si="60"/>
        <v>174.13276800123185</v>
      </c>
      <c r="U173" s="1206">
        <f>Paper!I64</f>
        <v>21.590799814069157</v>
      </c>
      <c r="V173" s="1205">
        <f t="shared" si="61"/>
        <v>152.54196818716269</v>
      </c>
      <c r="Y173" s="609">
        <f t="shared" si="81"/>
        <v>2017</v>
      </c>
      <c r="Z173" s="335">
        <f t="shared" si="62"/>
        <v>2111.0920259528007</v>
      </c>
      <c r="AA173" s="335">
        <f t="shared" si="63"/>
        <v>1429.6608067160153</v>
      </c>
      <c r="AB173" s="335">
        <f t="shared" si="64"/>
        <v>142.0389197189572</v>
      </c>
      <c r="AC173" s="335">
        <f t="shared" si="65"/>
        <v>283.94991370375845</v>
      </c>
      <c r="AD173" s="335">
        <f t="shared" si="66"/>
        <v>233.851586</v>
      </c>
      <c r="AE173" s="335">
        <f>MIN(Paper!H64,Paper!I64)</f>
        <v>21.590799814069157</v>
      </c>
      <c r="AF173" s="335">
        <f t="shared" si="67"/>
        <v>2.3841857910156249E-13</v>
      </c>
      <c r="AG173" s="533"/>
      <c r="AI173" s="609">
        <f t="shared" si="68"/>
        <v>2017</v>
      </c>
      <c r="AJ173" s="335">
        <f t="shared" si="69"/>
        <v>1197.3824975539005</v>
      </c>
      <c r="AK173" s="335">
        <f t="shared" si="70"/>
        <v>-368.70609161152561</v>
      </c>
      <c r="AL173" s="335">
        <f t="shared" si="71"/>
        <v>0.75004510187061302</v>
      </c>
      <c r="AM173" s="335">
        <f t="shared" si="72"/>
        <v>163.13966381865589</v>
      </c>
      <c r="AN173" s="335">
        <f t="shared" si="73"/>
        <v>286.90306671175557</v>
      </c>
      <c r="AO173" s="335">
        <f t="shared" si="82"/>
        <v>152.54196818716269</v>
      </c>
      <c r="AP173" s="335">
        <f t="shared" si="74"/>
        <v>-2.3503430458043795</v>
      </c>
      <c r="AS173" s="609">
        <f t="shared" si="75"/>
        <v>2017</v>
      </c>
      <c r="AT173" s="335">
        <f t="shared" si="53"/>
        <v>142.0389197189572</v>
      </c>
      <c r="AU173" s="335">
        <f t="shared" si="53"/>
        <v>283.94991370375845</v>
      </c>
      <c r="AV173" s="335">
        <f t="shared" si="53"/>
        <v>233.851586</v>
      </c>
      <c r="AW173" s="335">
        <f t="shared" si="53"/>
        <v>21.590799814069157</v>
      </c>
      <c r="AX173" s="335">
        <f t="shared" si="53"/>
        <v>2.3841857910156249E-13</v>
      </c>
      <c r="AY173" s="335">
        <f t="shared" si="83"/>
        <v>162.84287810907378</v>
      </c>
      <c r="AZ173" s="335">
        <f t="shared" si="84"/>
        <v>1266.8179286069415</v>
      </c>
    </row>
    <row r="174" spans="1:52" ht="14.4" x14ac:dyDescent="0.55000000000000004">
      <c r="B174" s="3">
        <v>2018</v>
      </c>
      <c r="C174" s="334">
        <f t="shared" si="52"/>
        <v>992.11087384999405</v>
      </c>
      <c r="D174" s="532">
        <f>'Food System Summary'!E16-'Food System Summary'!F16</f>
        <v>1422.5384092203535</v>
      </c>
      <c r="E174" s="338">
        <f t="shared" si="76"/>
        <v>1.4338502346013391</v>
      </c>
      <c r="F174" s="338">
        <f t="shared" si="54"/>
        <v>0.66236605691136829</v>
      </c>
      <c r="G174" s="334">
        <f t="shared" si="55"/>
        <v>0.91152000000000599</v>
      </c>
      <c r="H174" s="338">
        <f t="shared" si="77"/>
        <v>9.1876827885451309E-4</v>
      </c>
      <c r="I174" s="334">
        <f t="shared" si="78"/>
        <v>-431.33905537035946</v>
      </c>
      <c r="J174" s="338">
        <f t="shared" si="79"/>
        <v>-0.4347690028801936</v>
      </c>
      <c r="K174" s="338">
        <f t="shared" si="56"/>
        <v>-0.20084121978409322</v>
      </c>
      <c r="N174" s="3">
        <v>2018</v>
      </c>
      <c r="O174" s="1205">
        <f t="shared" si="57"/>
        <v>412.94206046876309</v>
      </c>
      <c r="P174" s="1205">
        <f t="shared" si="58"/>
        <v>1.1984800000000075</v>
      </c>
      <c r="Q174" s="1205">
        <f t="shared" si="59"/>
        <v>229.65599771239667</v>
      </c>
      <c r="R174" s="1205">
        <f t="shared" si="80"/>
        <v>182.0875827563664</v>
      </c>
      <c r="S174" s="1206">
        <f>Paper!E65</f>
        <v>408.843143</v>
      </c>
      <c r="T174" s="1205">
        <f t="shared" si="60"/>
        <v>179.18714528760333</v>
      </c>
      <c r="U174" s="1206">
        <f>Paper!I65</f>
        <v>21.481008251234357</v>
      </c>
      <c r="V174" s="1205">
        <f t="shared" si="61"/>
        <v>157.70613703636897</v>
      </c>
      <c r="Y174" s="609">
        <f t="shared" si="81"/>
        <v>2018</v>
      </c>
      <c r="Z174" s="335">
        <f t="shared" si="62"/>
        <v>2147.6619980403138</v>
      </c>
      <c r="AA174" s="335">
        <f t="shared" si="63"/>
        <v>1451.381305598622</v>
      </c>
      <c r="AB174" s="335">
        <f t="shared" si="64"/>
        <v>152.53733682166535</v>
      </c>
      <c r="AC174" s="335">
        <f t="shared" si="65"/>
        <v>292.60634965639559</v>
      </c>
      <c r="AD174" s="335">
        <f t="shared" si="66"/>
        <v>229.65599771239667</v>
      </c>
      <c r="AE174" s="335">
        <f>MIN(Paper!H65,Paper!I65)</f>
        <v>21.481008251234357</v>
      </c>
      <c r="AF174" s="335">
        <f t="shared" si="67"/>
        <v>0</v>
      </c>
      <c r="AG174" s="533"/>
      <c r="AI174" s="609">
        <f t="shared" si="68"/>
        <v>2018</v>
      </c>
      <c r="AJ174" s="335">
        <f t="shared" si="69"/>
        <v>1203.8227130331452</v>
      </c>
      <c r="AK174" s="335">
        <f t="shared" si="70"/>
        <v>-365.02054953840377</v>
      </c>
      <c r="AL174" s="335">
        <f t="shared" si="71"/>
        <v>0.77137353358731331</v>
      </c>
      <c r="AM174" s="335">
        <f t="shared" si="72"/>
        <v>166.42285118716256</v>
      </c>
      <c r="AN174" s="335">
        <f t="shared" si="73"/>
        <v>283.57986287799855</v>
      </c>
      <c r="AO174" s="335">
        <f t="shared" si="82"/>
        <v>157.70613703636897</v>
      </c>
      <c r="AP174" s="335">
        <f t="shared" si="74"/>
        <v>4.0989174687632328</v>
      </c>
      <c r="AS174" s="609">
        <f t="shared" si="75"/>
        <v>2018</v>
      </c>
      <c r="AT174" s="335">
        <f t="shared" si="53"/>
        <v>152.53733682166535</v>
      </c>
      <c r="AU174" s="335">
        <f t="shared" si="53"/>
        <v>292.60634965639559</v>
      </c>
      <c r="AV174" s="335">
        <f t="shared" si="53"/>
        <v>229.65599771239667</v>
      </c>
      <c r="AW174" s="335">
        <f t="shared" si="53"/>
        <v>21.481008251234357</v>
      </c>
      <c r="AX174" s="335">
        <f t="shared" si="53"/>
        <v>0</v>
      </c>
      <c r="AY174" s="335">
        <f t="shared" si="83"/>
        <v>165.19016908698848</v>
      </c>
      <c r="AZ174" s="335">
        <f t="shared" si="84"/>
        <v>1286.1911365116334</v>
      </c>
    </row>
    <row r="175" spans="1:52" ht="14.4" x14ac:dyDescent="0.55000000000000004">
      <c r="B175" s="3">
        <v>2019</v>
      </c>
      <c r="C175" s="334">
        <f t="shared" si="52"/>
        <v>959.37641427032395</v>
      </c>
      <c r="D175" s="532">
        <f>'Food System Summary'!E17-'Food System Summary'!F17</f>
        <v>1389.5250284450349</v>
      </c>
      <c r="E175" s="338">
        <f t="shared" si="76"/>
        <v>1.4483627153809806</v>
      </c>
      <c r="F175" s="338">
        <f t="shared" si="54"/>
        <v>0.65207935109599646</v>
      </c>
      <c r="G175" s="334">
        <f t="shared" si="55"/>
        <v>0.9609489517783526</v>
      </c>
      <c r="H175" s="338">
        <f t="shared" si="77"/>
        <v>1.0016391246278707E-3</v>
      </c>
      <c r="I175" s="334">
        <f t="shared" si="78"/>
        <v>-431.10956312648926</v>
      </c>
      <c r="J175" s="338">
        <f t="shared" si="79"/>
        <v>-0.44936435450560841</v>
      </c>
      <c r="K175" s="338">
        <f t="shared" si="56"/>
        <v>-0.20231204074775666</v>
      </c>
      <c r="N175" s="3">
        <v>2019</v>
      </c>
      <c r="O175" s="1205">
        <f t="shared" si="57"/>
        <v>420.53656275229798</v>
      </c>
      <c r="P175" s="1205">
        <f t="shared" si="58"/>
        <v>1.251051048221665</v>
      </c>
      <c r="Q175" s="1205">
        <f t="shared" si="59"/>
        <v>257.2433554930123</v>
      </c>
      <c r="R175" s="1205">
        <f t="shared" si="80"/>
        <v>162.04215621106403</v>
      </c>
      <c r="S175" s="1206">
        <f>Paper!E66</f>
        <v>414.74298663357462</v>
      </c>
      <c r="T175" s="1205">
        <f t="shared" si="60"/>
        <v>157.49963114056231</v>
      </c>
      <c r="U175" s="1206">
        <f>Paper!I66</f>
        <v>21.353586828499999</v>
      </c>
      <c r="V175" s="1205">
        <f t="shared" si="61"/>
        <v>136.14604431206232</v>
      </c>
      <c r="Y175" s="609">
        <f t="shared" si="81"/>
        <v>2019</v>
      </c>
      <c r="Z175" s="335">
        <f t="shared" si="62"/>
        <v>2184.0313313767401</v>
      </c>
      <c r="AA175" s="335">
        <f t="shared" si="63"/>
        <v>1380.6700545388303</v>
      </c>
      <c r="AB175" s="335">
        <f t="shared" si="64"/>
        <v>168.45419494524072</v>
      </c>
      <c r="AC175" s="335">
        <f t="shared" si="65"/>
        <v>303.19282365827195</v>
      </c>
      <c r="AD175" s="335">
        <f t="shared" si="66"/>
        <v>257.2433554930123</v>
      </c>
      <c r="AE175" s="335">
        <f>MIN(Paper!H66,Paper!I66)</f>
        <v>21.353586828499999</v>
      </c>
      <c r="AF175" s="335">
        <f t="shared" si="67"/>
        <v>53.117315912884713</v>
      </c>
      <c r="AG175" s="533"/>
      <c r="AI175" s="609">
        <f t="shared" si="68"/>
        <v>2019</v>
      </c>
      <c r="AJ175" s="335">
        <f t="shared" si="69"/>
        <v>1145.5422532368289</v>
      </c>
      <c r="AK175" s="335">
        <f t="shared" si="70"/>
        <v>-355.41225255115921</v>
      </c>
      <c r="AL175" s="335">
        <f t="shared" si="71"/>
        <v>0.79221863941350901</v>
      </c>
      <c r="AM175" s="335">
        <f t="shared" si="72"/>
        <v>156.62456483933371</v>
      </c>
      <c r="AN175" s="335">
        <f t="shared" si="73"/>
        <v>291.1836499436277</v>
      </c>
      <c r="AO175" s="335">
        <f t="shared" si="82"/>
        <v>136.14604431206232</v>
      </c>
      <c r="AP175" s="335">
        <f t="shared" si="74"/>
        <v>5.793576118723422</v>
      </c>
      <c r="AS175" s="609">
        <f t="shared" si="75"/>
        <v>2019</v>
      </c>
      <c r="AT175" s="335">
        <f t="shared" si="53"/>
        <v>168.45419494524072</v>
      </c>
      <c r="AU175" s="335">
        <f t="shared" si="53"/>
        <v>303.19282365827195</v>
      </c>
      <c r="AV175" s="335">
        <f t="shared" si="53"/>
        <v>257.2433554930123</v>
      </c>
      <c r="AW175" s="335">
        <f t="shared" si="53"/>
        <v>21.353586828499999</v>
      </c>
      <c r="AX175" s="335">
        <f t="shared" si="53"/>
        <v>53.117315912884713</v>
      </c>
      <c r="AY175" s="335">
        <f t="shared" si="83"/>
        <v>246.60823880527803</v>
      </c>
      <c r="AZ175" s="335">
        <f t="shared" si="84"/>
        <v>1134.0618157335523</v>
      </c>
    </row>
    <row r="176" spans="1:52" ht="14.4" x14ac:dyDescent="0.55000000000000004">
      <c r="B176" s="3">
        <v>2020</v>
      </c>
      <c r="C176" s="334">
        <f t="shared" si="52"/>
        <v>926.28015264428393</v>
      </c>
      <c r="D176" s="532">
        <f>'Food System Summary'!E18-'Food System Summary'!F18</f>
        <v>1355.9865487719776</v>
      </c>
      <c r="E176" s="338">
        <f t="shared" si="76"/>
        <v>1.4639054339024711</v>
      </c>
      <c r="F176" s="338">
        <f t="shared" si="54"/>
        <v>0.64140980719475316</v>
      </c>
      <c r="G176" s="334">
        <f t="shared" si="55"/>
        <v>1.0375732383670022</v>
      </c>
      <c r="H176" s="338">
        <f t="shared" si="77"/>
        <v>1.1201505671961189E-3</v>
      </c>
      <c r="I176" s="334">
        <f t="shared" si="78"/>
        <v>-430.74396936606064</v>
      </c>
      <c r="J176" s="338">
        <f t="shared" si="79"/>
        <v>-0.46502558446966713</v>
      </c>
      <c r="K176" s="338">
        <f t="shared" si="56"/>
        <v>-0.20375084590005574</v>
      </c>
      <c r="N176" s="3">
        <v>2020</v>
      </c>
      <c r="O176" s="1205">
        <f t="shared" si="57"/>
        <v>428.48973099506065</v>
      </c>
      <c r="P176" s="1205">
        <f t="shared" si="58"/>
        <v>1.2764267616330194</v>
      </c>
      <c r="Q176" s="1205">
        <f t="shared" si="59"/>
        <v>266.74864241950871</v>
      </c>
      <c r="R176" s="1205">
        <f t="shared" si="80"/>
        <v>160.46466181391889</v>
      </c>
      <c r="S176" s="1206">
        <f>Paper!E67</f>
        <v>424.86563496218895</v>
      </c>
      <c r="T176" s="1205">
        <f t="shared" si="60"/>
        <v>158.11699254268024</v>
      </c>
      <c r="U176" s="1206">
        <f>Paper!I67</f>
        <v>21.211686174012073</v>
      </c>
      <c r="V176" s="1205">
        <f t="shared" si="61"/>
        <v>136.90530636866816</v>
      </c>
      <c r="Y176" s="609">
        <f t="shared" si="81"/>
        <v>2020</v>
      </c>
      <c r="Z176" s="335">
        <f t="shared" si="62"/>
        <v>2220.6184110457084</v>
      </c>
      <c r="AA176" s="335">
        <f t="shared" si="63"/>
        <v>1334.3275919906168</v>
      </c>
      <c r="AB176" s="335">
        <f t="shared" si="64"/>
        <v>179.07781811226951</v>
      </c>
      <c r="AC176" s="335">
        <f t="shared" si="65"/>
        <v>312.70631564662119</v>
      </c>
      <c r="AD176" s="335">
        <f t="shared" si="66"/>
        <v>266.74864241950871</v>
      </c>
      <c r="AE176" s="335">
        <f>MIN(Paper!H67,Paper!I67)</f>
        <v>21.211686174012073</v>
      </c>
      <c r="AF176" s="335">
        <f t="shared" si="67"/>
        <v>106.54635670267987</v>
      </c>
      <c r="AG176" s="533"/>
      <c r="AI176" s="609">
        <f t="shared" si="68"/>
        <v>2020</v>
      </c>
      <c r="AJ176" s="335">
        <f t="shared" si="69"/>
        <v>1093.833557746028</v>
      </c>
      <c r="AK176" s="335">
        <f t="shared" si="70"/>
        <v>-347.46820233284978</v>
      </c>
      <c r="AL176" s="335">
        <f t="shared" si="71"/>
        <v>0.83697911883630005</v>
      </c>
      <c r="AM176" s="335">
        <f t="shared" si="72"/>
        <v>160.1775426426112</v>
      </c>
      <c r="AN176" s="335">
        <f t="shared" si="73"/>
        <v>286.41831241445129</v>
      </c>
      <c r="AO176" s="335">
        <f t="shared" si="82"/>
        <v>136.90530636866816</v>
      </c>
      <c r="AP176" s="335">
        <f t="shared" si="74"/>
        <v>3.6240960328717051</v>
      </c>
      <c r="AS176" s="609">
        <f t="shared" si="75"/>
        <v>2020</v>
      </c>
      <c r="AT176" s="335">
        <f t="shared" si="53"/>
        <v>179.07781811226951</v>
      </c>
      <c r="AU176" s="335">
        <f t="shared" si="53"/>
        <v>312.70631564662119</v>
      </c>
      <c r="AV176" s="335">
        <f t="shared" si="53"/>
        <v>266.74864241950871</v>
      </c>
      <c r="AW176" s="335">
        <f t="shared" si="53"/>
        <v>21.211686174012073</v>
      </c>
      <c r="AX176" s="335">
        <f t="shared" si="53"/>
        <v>106.54635670267987</v>
      </c>
      <c r="AY176" s="335">
        <f t="shared" si="83"/>
        <v>273.17799049209589</v>
      </c>
      <c r="AZ176" s="335">
        <f t="shared" si="84"/>
        <v>1061.149601498521</v>
      </c>
    </row>
    <row r="177" spans="2:52" ht="14.4" x14ac:dyDescent="0.55000000000000004">
      <c r="B177" s="3">
        <v>2021</v>
      </c>
      <c r="C177" s="334">
        <f t="shared" si="52"/>
        <v>892.37034779186422</v>
      </c>
      <c r="D177" s="532">
        <f>'Food System Summary'!E19-'Food System Summary'!F19</f>
        <v>1320.8719217370885</v>
      </c>
      <c r="E177" s="338">
        <f t="shared" si="76"/>
        <v>1.4801835639267205</v>
      </c>
      <c r="F177" s="338">
        <f t="shared" si="54"/>
        <v>0.63019111329991528</v>
      </c>
      <c r="G177" s="334">
        <f t="shared" si="55"/>
        <v>1.1162132234231157</v>
      </c>
      <c r="H177" s="338">
        <f t="shared" si="77"/>
        <v>1.2508407817282835E-3</v>
      </c>
      <c r="I177" s="334">
        <f t="shared" si="78"/>
        <v>-429.61778716864745</v>
      </c>
      <c r="J177" s="338">
        <f t="shared" si="79"/>
        <v>-0.48143440470844867</v>
      </c>
      <c r="K177" s="338">
        <f t="shared" si="56"/>
        <v>-0.20497166086565158</v>
      </c>
      <c r="N177" s="3">
        <v>2021</v>
      </c>
      <c r="O177" s="1205">
        <f t="shared" si="57"/>
        <v>436.53477366616164</v>
      </c>
      <c r="P177" s="1205">
        <f t="shared" si="58"/>
        <v>1.2997867765769096</v>
      </c>
      <c r="Q177" s="1205">
        <f t="shared" si="59"/>
        <v>277.33210027765085</v>
      </c>
      <c r="R177" s="1205">
        <f t="shared" si="80"/>
        <v>157.90288661193387</v>
      </c>
      <c r="S177" s="1206">
        <f>Paper!E68</f>
        <v>435.00883978153735</v>
      </c>
      <c r="T177" s="1205">
        <f t="shared" si="60"/>
        <v>157.67673950388649</v>
      </c>
      <c r="U177" s="1206">
        <f>Paper!I68</f>
        <v>20.865617033883495</v>
      </c>
      <c r="V177" s="1205">
        <f t="shared" si="61"/>
        <v>136.811122470003</v>
      </c>
      <c r="Y177" s="609">
        <f t="shared" si="81"/>
        <v>2021</v>
      </c>
      <c r="Z177" s="335">
        <f t="shared" si="62"/>
        <v>2256.0862349785043</v>
      </c>
      <c r="AA177" s="335">
        <f t="shared" si="63"/>
        <v>1286.1699105719617</v>
      </c>
      <c r="AB177" s="335">
        <f t="shared" si="64"/>
        <v>189.72182074311098</v>
      </c>
      <c r="AC177" s="335">
        <f t="shared" si="65"/>
        <v>321.89682261817683</v>
      </c>
      <c r="AD177" s="335">
        <f t="shared" si="66"/>
        <v>277.33210027765085</v>
      </c>
      <c r="AE177" s="335">
        <f>MIN(Paper!H68,Paper!I68)</f>
        <v>20.865617033883495</v>
      </c>
      <c r="AF177" s="335">
        <f t="shared" si="67"/>
        <v>160.09996373372053</v>
      </c>
      <c r="AG177" s="533"/>
      <c r="AI177" s="609">
        <f t="shared" si="68"/>
        <v>2021</v>
      </c>
      <c r="AJ177" s="335">
        <f t="shared" si="69"/>
        <v>1040.0488009548842</v>
      </c>
      <c r="AK177" s="335">
        <f t="shared" si="70"/>
        <v>-338.27917533898483</v>
      </c>
      <c r="AL177" s="335">
        <f t="shared" si="71"/>
        <v>0.87890143285388944</v>
      </c>
      <c r="AM177" s="335">
        <f t="shared" si="72"/>
        <v>162.39830736025817</v>
      </c>
      <c r="AN177" s="335">
        <f t="shared" si="73"/>
        <v>282.78601980832292</v>
      </c>
      <c r="AO177" s="335">
        <f t="shared" si="82"/>
        <v>136.811122470003</v>
      </c>
      <c r="AP177" s="335">
        <f t="shared" si="74"/>
        <v>1.5259338846243509</v>
      </c>
      <c r="AS177" s="609">
        <f t="shared" si="75"/>
        <v>2021</v>
      </c>
      <c r="AT177" s="335">
        <f t="shared" si="53"/>
        <v>189.72182074311098</v>
      </c>
      <c r="AU177" s="335">
        <f t="shared" si="53"/>
        <v>321.89682261817683</v>
      </c>
      <c r="AV177" s="335">
        <f t="shared" si="53"/>
        <v>277.33210027765085</v>
      </c>
      <c r="AW177" s="335">
        <f t="shared" si="53"/>
        <v>20.865617033883495</v>
      </c>
      <c r="AX177" s="335">
        <f t="shared" si="53"/>
        <v>160.09996373372053</v>
      </c>
      <c r="AY177" s="335">
        <f t="shared" si="83"/>
        <v>297.36425092534949</v>
      </c>
      <c r="AZ177" s="335">
        <f t="shared" si="84"/>
        <v>988.80565964661218</v>
      </c>
    </row>
    <row r="178" spans="2:52" ht="14.4" x14ac:dyDescent="0.55000000000000004">
      <c r="B178" s="3">
        <v>2022</v>
      </c>
      <c r="C178" s="334">
        <f t="shared" si="52"/>
        <v>858.42491625181117</v>
      </c>
      <c r="D178" s="532">
        <f>'Food System Summary'!E20-'Food System Summary'!F20</f>
        <v>1285.312341094442</v>
      </c>
      <c r="E178" s="338">
        <f t="shared" si="76"/>
        <v>1.4972915123509849</v>
      </c>
      <c r="F178" s="338">
        <f t="shared" si="54"/>
        <v>0.61844406244448169</v>
      </c>
      <c r="G178" s="334">
        <f t="shared" si="55"/>
        <v>1.1967848404478842</v>
      </c>
      <c r="H178" s="338">
        <f t="shared" si="77"/>
        <v>1.3941636802359758E-3</v>
      </c>
      <c r="I178" s="334">
        <f t="shared" si="78"/>
        <v>-428.08420968307871</v>
      </c>
      <c r="J178" s="338">
        <f t="shared" si="79"/>
        <v>-0.49868567603122099</v>
      </c>
      <c r="K178" s="338">
        <f t="shared" si="56"/>
        <v>-0.20597805625931165</v>
      </c>
      <c r="N178" s="3">
        <v>2022</v>
      </c>
      <c r="O178" s="1205">
        <f t="shared" si="57"/>
        <v>444.97804003951114</v>
      </c>
      <c r="P178" s="1205">
        <f t="shared" si="58"/>
        <v>1.3212151595521449</v>
      </c>
      <c r="Q178" s="1205">
        <f t="shared" si="59"/>
        <v>288.59537864722978</v>
      </c>
      <c r="R178" s="1205">
        <f t="shared" si="80"/>
        <v>155.06144623272922</v>
      </c>
      <c r="S178" s="1206">
        <f>Paper!E69</f>
        <v>444.54089977599546</v>
      </c>
      <c r="T178" s="1205">
        <f t="shared" si="60"/>
        <v>155.94552112876568</v>
      </c>
      <c r="U178" s="1206">
        <f>Paper!I69</f>
        <v>20.526417357201581</v>
      </c>
      <c r="V178" s="1205">
        <f t="shared" si="61"/>
        <v>135.4191037715641</v>
      </c>
      <c r="Y178" s="609">
        <f t="shared" si="81"/>
        <v>2022</v>
      </c>
      <c r="Z178" s="335">
        <f t="shared" si="62"/>
        <v>2292.067049961684</v>
      </c>
      <c r="AA178" s="335">
        <f t="shared" si="63"/>
        <v>1237.3562538756494</v>
      </c>
      <c r="AB178" s="335">
        <f t="shared" si="64"/>
        <v>200.62773406524477</v>
      </c>
      <c r="AC178" s="335">
        <f t="shared" si="65"/>
        <v>331.19429062257535</v>
      </c>
      <c r="AD178" s="335">
        <f t="shared" si="66"/>
        <v>288.59537864722978</v>
      </c>
      <c r="AE178" s="335">
        <f>MIN(Paper!H69,Paper!I69)</f>
        <v>20.526417357201581</v>
      </c>
      <c r="AF178" s="335">
        <f t="shared" si="67"/>
        <v>213.7669753937831</v>
      </c>
      <c r="AG178" s="533"/>
      <c r="AI178" s="609">
        <f t="shared" si="68"/>
        <v>2022</v>
      </c>
      <c r="AJ178" s="335">
        <f t="shared" si="69"/>
        <v>984.91413773634042</v>
      </c>
      <c r="AK178" s="335">
        <f t="shared" si="70"/>
        <v>-328.03403249014013</v>
      </c>
      <c r="AL178" s="335">
        <f t="shared" si="71"/>
        <v>0.9170769403660779</v>
      </c>
      <c r="AM178" s="335">
        <f t="shared" si="72"/>
        <v>164.52623898030618</v>
      </c>
      <c r="AN178" s="335">
        <f t="shared" si="73"/>
        <v>279.17658867369704</v>
      </c>
      <c r="AO178" s="335">
        <f t="shared" si="82"/>
        <v>135.4191037715641</v>
      </c>
      <c r="AP178" s="335">
        <f t="shared" si="74"/>
        <v>0.43714026351568691</v>
      </c>
      <c r="AS178" s="609">
        <f t="shared" si="75"/>
        <v>2022</v>
      </c>
      <c r="AT178" s="335">
        <f t="shared" si="53"/>
        <v>200.62773406524477</v>
      </c>
      <c r="AU178" s="335">
        <f t="shared" si="53"/>
        <v>331.19429062257535</v>
      </c>
      <c r="AV178" s="335">
        <f t="shared" si="53"/>
        <v>288.59537864722978</v>
      </c>
      <c r="AW178" s="335">
        <f t="shared" si="53"/>
        <v>20.526417357201581</v>
      </c>
      <c r="AX178" s="335">
        <f t="shared" si="53"/>
        <v>213.7669753937831</v>
      </c>
      <c r="AY178" s="335">
        <f t="shared" si="83"/>
        <v>322.81854120686864</v>
      </c>
      <c r="AZ178" s="335">
        <f t="shared" si="84"/>
        <v>914.53771266878073</v>
      </c>
    </row>
    <row r="179" spans="2:52" ht="14.4" x14ac:dyDescent="0.55000000000000004">
      <c r="B179" s="3">
        <v>2023</v>
      </c>
      <c r="C179" s="334">
        <f t="shared" si="52"/>
        <v>824.16050289559507</v>
      </c>
      <c r="D179" s="532">
        <f>'Food System Summary'!E21-'Food System Summary'!F21</f>
        <v>1249.3907562941649</v>
      </c>
      <c r="E179" s="338">
        <f t="shared" si="76"/>
        <v>1.5159556323126033</v>
      </c>
      <c r="F179" s="338">
        <f t="shared" si="54"/>
        <v>0.60640881353351361</v>
      </c>
      <c r="G179" s="334">
        <f t="shared" si="55"/>
        <v>1.2899694189602469</v>
      </c>
      <c r="H179" s="338">
        <f t="shared" si="77"/>
        <v>1.5651919916425073E-3</v>
      </c>
      <c r="I179" s="334">
        <f t="shared" si="78"/>
        <v>-426.52022281753011</v>
      </c>
      <c r="J179" s="338">
        <f t="shared" si="79"/>
        <v>-0.51752082430424584</v>
      </c>
      <c r="K179" s="338">
        <f t="shared" si="56"/>
        <v>-0.20701739705038369</v>
      </c>
      <c r="N179" s="3">
        <v>2023</v>
      </c>
      <c r="O179" s="1205">
        <f t="shared" si="57"/>
        <v>453.66612655333131</v>
      </c>
      <c r="P179" s="1205">
        <f t="shared" si="58"/>
        <v>1.3300305810397577</v>
      </c>
      <c r="Q179" s="1205">
        <f t="shared" si="59"/>
        <v>300.69650525974652</v>
      </c>
      <c r="R179" s="1205">
        <f t="shared" si="80"/>
        <v>151.63959071254504</v>
      </c>
      <c r="S179" s="1206">
        <f>Paper!E70</f>
        <v>454.17772675559291</v>
      </c>
      <c r="T179" s="1205">
        <f t="shared" si="60"/>
        <v>153.4812214958464</v>
      </c>
      <c r="U179" s="1206">
        <f>Paper!I70</f>
        <v>20.195657427249955</v>
      </c>
      <c r="V179" s="1205">
        <f t="shared" si="61"/>
        <v>133.28556406859644</v>
      </c>
      <c r="Y179" s="609">
        <f t="shared" si="81"/>
        <v>2023</v>
      </c>
      <c r="Z179" s="335">
        <f t="shared" si="62"/>
        <v>2327.8121531494985</v>
      </c>
      <c r="AA179" s="335">
        <f t="shared" si="63"/>
        <v>1187.202505473836</v>
      </c>
      <c r="AB179" s="335">
        <f t="shared" si="64"/>
        <v>211.72829404443874</v>
      </c>
      <c r="AC179" s="335">
        <f t="shared" si="65"/>
        <v>340.4880497901313</v>
      </c>
      <c r="AD179" s="335">
        <f t="shared" si="66"/>
        <v>300.69650525974652</v>
      </c>
      <c r="AE179" s="335">
        <f>MIN(Paper!H70,Paper!I70)</f>
        <v>20.195657427249955</v>
      </c>
      <c r="AF179" s="335">
        <f t="shared" si="67"/>
        <v>267.50114115409565</v>
      </c>
      <c r="AG179" s="533"/>
      <c r="AI179" s="609">
        <f t="shared" si="68"/>
        <v>2023</v>
      </c>
      <c r="AJ179" s="335">
        <f t="shared" si="69"/>
        <v>928.42005641755895</v>
      </c>
      <c r="AK179" s="335">
        <f t="shared" si="70"/>
        <v>-316.94642155512042</v>
      </c>
      <c r="AL179" s="335">
        <f t="shared" si="71"/>
        <v>0.95857398871776134</v>
      </c>
      <c r="AM179" s="335">
        <f t="shared" si="72"/>
        <v>166.55809381131527</v>
      </c>
      <c r="AN179" s="335">
        <f t="shared" si="73"/>
        <v>275.43823894502964</v>
      </c>
      <c r="AO179" s="335">
        <f t="shared" si="82"/>
        <v>133.28556406859644</v>
      </c>
      <c r="AP179" s="335">
        <f t="shared" si="74"/>
        <v>-0.51160020226160441</v>
      </c>
      <c r="AS179" s="609">
        <f t="shared" si="75"/>
        <v>2023</v>
      </c>
      <c r="AT179" s="335">
        <f t="shared" si="53"/>
        <v>211.72829404443874</v>
      </c>
      <c r="AU179" s="335">
        <f t="shared" si="53"/>
        <v>340.4880497901313</v>
      </c>
      <c r="AV179" s="335">
        <f t="shared" si="53"/>
        <v>300.69650525974652</v>
      </c>
      <c r="AW179" s="335">
        <f t="shared" si="53"/>
        <v>20.195657427249955</v>
      </c>
      <c r="AX179" s="335">
        <f t="shared" si="53"/>
        <v>267.50114115409565</v>
      </c>
      <c r="AY179" s="335">
        <f t="shared" si="83"/>
        <v>348.23572707903827</v>
      </c>
      <c r="AZ179" s="335">
        <f t="shared" si="84"/>
        <v>838.96677839479776</v>
      </c>
    </row>
    <row r="180" spans="2:52" ht="14.4" x14ac:dyDescent="0.55000000000000004">
      <c r="B180" s="3">
        <v>2024</v>
      </c>
      <c r="C180" s="334">
        <f t="shared" si="52"/>
        <v>791.518319388181</v>
      </c>
      <c r="D180" s="532">
        <f>'Food System Summary'!E22-'Food System Summary'!F22</f>
        <v>1213.1795935141083</v>
      </c>
      <c r="E180" s="338">
        <f t="shared" si="76"/>
        <v>1.5327245924666133</v>
      </c>
      <c r="F180" s="338">
        <f t="shared" si="54"/>
        <v>0.59409559924911959</v>
      </c>
      <c r="G180" s="334">
        <f t="shared" si="55"/>
        <v>3.2883089018660576</v>
      </c>
      <c r="H180" s="338">
        <f t="shared" si="77"/>
        <v>4.1544318322383469E-3</v>
      </c>
      <c r="I180" s="334">
        <f t="shared" si="78"/>
        <v>-424.94958302779338</v>
      </c>
      <c r="J180" s="338">
        <f t="shared" si="79"/>
        <v>-0.53687902429885159</v>
      </c>
      <c r="K180" s="338">
        <f t="shared" si="56"/>
        <v>-0.20809835454640335</v>
      </c>
      <c r="N180" s="3">
        <v>2024</v>
      </c>
      <c r="O180" s="1205">
        <f t="shared" si="57"/>
        <v>462.59049872442336</v>
      </c>
      <c r="P180" s="1205">
        <f t="shared" si="58"/>
        <v>3.2767261560865699</v>
      </c>
      <c r="Q180" s="1205">
        <f t="shared" si="59"/>
        <v>313.60754265234237</v>
      </c>
      <c r="R180" s="1205">
        <f t="shared" si="80"/>
        <v>145.70622991599441</v>
      </c>
      <c r="S180" s="1206">
        <f>Paper!E71</f>
        <v>463.86975570882623</v>
      </c>
      <c r="T180" s="1205">
        <f t="shared" si="60"/>
        <v>150.26221305648386</v>
      </c>
      <c r="U180" s="1206">
        <f>Paper!I71</f>
        <v>19.87625010055757</v>
      </c>
      <c r="V180" s="1205">
        <f t="shared" si="61"/>
        <v>130.38596295592629</v>
      </c>
      <c r="Y180" s="609">
        <f t="shared" si="81"/>
        <v>2024</v>
      </c>
      <c r="Z180" s="335">
        <f t="shared" si="62"/>
        <v>2363.3235557594176</v>
      </c>
      <c r="AA180" s="335">
        <f t="shared" si="63"/>
        <v>1135.7953721158833</v>
      </c>
      <c r="AB180" s="335">
        <f t="shared" si="64"/>
        <v>223.01384741942891</v>
      </c>
      <c r="AC180" s="335">
        <f t="shared" si="65"/>
        <v>349.76822339077961</v>
      </c>
      <c r="AD180" s="335">
        <f t="shared" si="66"/>
        <v>313.60754265234237</v>
      </c>
      <c r="AE180" s="335">
        <f>MIN(Paper!H71,Paper!I71)</f>
        <v>19.87625010055757</v>
      </c>
      <c r="AF180" s="335">
        <f t="shared" si="67"/>
        <v>321.26232008042575</v>
      </c>
      <c r="AG180" s="533"/>
      <c r="AI180" s="609">
        <f t="shared" si="68"/>
        <v>2024</v>
      </c>
      <c r="AJ180" s="335">
        <f t="shared" si="69"/>
        <v>871.36078511375263</v>
      </c>
      <c r="AK180" s="335">
        <f t="shared" si="70"/>
        <v>-305.21812622011743</v>
      </c>
      <c r="AL180" s="335">
        <f t="shared" si="71"/>
        <v>2.3618130751168365</v>
      </c>
      <c r="AM180" s="335">
        <f t="shared" si="72"/>
        <v>166.83108865487864</v>
      </c>
      <c r="AN180" s="335">
        <f t="shared" si="73"/>
        <v>271.35310552072923</v>
      </c>
      <c r="AO180" s="335">
        <f t="shared" si="82"/>
        <v>130.38596295592629</v>
      </c>
      <c r="AP180" s="335">
        <f t="shared" si="74"/>
        <v>-1.2792569844028208</v>
      </c>
      <c r="AS180" s="609">
        <f t="shared" si="75"/>
        <v>2024</v>
      </c>
      <c r="AT180" s="335">
        <f t="shared" si="53"/>
        <v>223.01384741942891</v>
      </c>
      <c r="AU180" s="335">
        <f t="shared" si="53"/>
        <v>349.76822339077961</v>
      </c>
      <c r="AV180" s="335">
        <f t="shared" si="53"/>
        <v>313.60754265234237</v>
      </c>
      <c r="AW180" s="335">
        <f t="shared" si="53"/>
        <v>19.87625010055757</v>
      </c>
      <c r="AX180" s="335">
        <f t="shared" si="53"/>
        <v>321.26232008042575</v>
      </c>
      <c r="AY180" s="335">
        <f t="shared" si="83"/>
        <v>373.61608173336145</v>
      </c>
      <c r="AZ180" s="335">
        <f t="shared" si="84"/>
        <v>762.17929038252191</v>
      </c>
    </row>
    <row r="181" spans="2:52" ht="14.4" x14ac:dyDescent="0.55000000000000004">
      <c r="B181" s="3">
        <v>2025</v>
      </c>
      <c r="C181" s="334">
        <f t="shared" si="52"/>
        <v>756.92842597844424</v>
      </c>
      <c r="D181" s="532">
        <f>'Food System Summary'!E23-'Food System Summary'!F23</f>
        <v>1176.7413054153897</v>
      </c>
      <c r="E181" s="338">
        <f t="shared" si="76"/>
        <v>1.5546269171940186</v>
      </c>
      <c r="F181" s="338">
        <f t="shared" si="54"/>
        <v>0.5818077457881381</v>
      </c>
      <c r="G181" s="334">
        <f t="shared" si="55"/>
        <v>5.0827611277477738</v>
      </c>
      <c r="H181" s="338">
        <f t="shared" si="77"/>
        <v>6.7149824914786863E-3</v>
      </c>
      <c r="I181" s="334">
        <f t="shared" si="78"/>
        <v>-424.89564056469322</v>
      </c>
      <c r="J181" s="338">
        <f t="shared" si="79"/>
        <v>-0.5613418996854973</v>
      </c>
      <c r="K181" s="338">
        <f t="shared" si="56"/>
        <v>-0.21007809761966914</v>
      </c>
      <c r="N181" s="3">
        <v>2025</v>
      </c>
      <c r="O181" s="1205">
        <f t="shared" si="57"/>
        <v>472.5620259360004</v>
      </c>
      <c r="P181" s="1205">
        <f t="shared" si="58"/>
        <v>4.8211895180733952</v>
      </c>
      <c r="Q181" s="1205">
        <f t="shared" si="59"/>
        <v>328.35899459354056</v>
      </c>
      <c r="R181" s="1205">
        <f t="shared" si="80"/>
        <v>139.38184182438647</v>
      </c>
      <c r="S181" s="1206">
        <f>Paper!E72</f>
        <v>474.09423178165162</v>
      </c>
      <c r="T181" s="1205">
        <f t="shared" si="60"/>
        <v>145.73523718811106</v>
      </c>
      <c r="U181" s="1206">
        <f>Paper!I72</f>
        <v>19.566727324782846</v>
      </c>
      <c r="V181" s="1205">
        <f t="shared" si="61"/>
        <v>126.16850986332821</v>
      </c>
      <c r="Y181" s="609">
        <f t="shared" si="81"/>
        <v>2025</v>
      </c>
      <c r="Z181" s="335">
        <f t="shared" si="62"/>
        <v>2397.5749666971119</v>
      </c>
      <c r="AA181" s="335">
        <f t="shared" si="63"/>
        <v>1081.6003256408007</v>
      </c>
      <c r="AB181" s="335">
        <f t="shared" si="64"/>
        <v>234.1620096494986</v>
      </c>
      <c r="AC181" s="335">
        <f t="shared" si="65"/>
        <v>358.87233999154341</v>
      </c>
      <c r="AD181" s="335">
        <f t="shared" si="66"/>
        <v>328.35899459354056</v>
      </c>
      <c r="AE181" s="335">
        <f>MIN(Paper!H72,Paper!I72)</f>
        <v>19.566727324782846</v>
      </c>
      <c r="AF181" s="335">
        <f t="shared" si="67"/>
        <v>375.01456949694608</v>
      </c>
      <c r="AG181" s="533"/>
      <c r="AI181" s="609">
        <f t="shared" si="68"/>
        <v>2025</v>
      </c>
      <c r="AJ181" s="335">
        <f t="shared" si="69"/>
        <v>812.70674223003357</v>
      </c>
      <c r="AK181" s="335">
        <f t="shared" si="70"/>
        <v>-293.45069323386997</v>
      </c>
      <c r="AL181" s="335">
        <f t="shared" si="71"/>
        <v>3.5103673327819278</v>
      </c>
      <c r="AM181" s="335">
        <f t="shared" si="72"/>
        <v>167.50374034707434</v>
      </c>
      <c r="AN181" s="335">
        <f t="shared" si="73"/>
        <v>266.69386494710352</v>
      </c>
      <c r="AO181" s="335">
        <f t="shared" si="82"/>
        <v>126.16850986332821</v>
      </c>
      <c r="AP181" s="335">
        <f t="shared" si="74"/>
        <v>-1.5322058456508216</v>
      </c>
      <c r="AS181" s="609">
        <f t="shared" si="75"/>
        <v>2025</v>
      </c>
      <c r="AT181" s="335">
        <f t="shared" si="53"/>
        <v>234.1620096494986</v>
      </c>
      <c r="AU181" s="335">
        <f t="shared" si="53"/>
        <v>358.87233999154341</v>
      </c>
      <c r="AV181" s="335">
        <f t="shared" si="53"/>
        <v>328.35899459354056</v>
      </c>
      <c r="AW181" s="335">
        <f t="shared" si="53"/>
        <v>19.566727324782846</v>
      </c>
      <c r="AX181" s="335">
        <f t="shared" si="53"/>
        <v>375.01456949694608</v>
      </c>
      <c r="AY181" s="335">
        <f t="shared" si="83"/>
        <v>396.94034470855428</v>
      </c>
      <c r="AZ181" s="335">
        <f t="shared" si="84"/>
        <v>684.65998093224653</v>
      </c>
    </row>
    <row r="182" spans="2:52" ht="14.4" x14ac:dyDescent="0.55000000000000004">
      <c r="B182" s="3">
        <v>2026</v>
      </c>
      <c r="C182" s="334">
        <f t="shared" si="52"/>
        <v>729.60749433493652</v>
      </c>
      <c r="D182" s="532">
        <f>'Food System Summary'!E24-'Food System Summary'!F24</f>
        <v>1140.1285774633711</v>
      </c>
      <c r="E182" s="338">
        <f t="shared" si="76"/>
        <v>1.5626601786795506</v>
      </c>
      <c r="F182" s="338">
        <f t="shared" si="54"/>
        <v>0.56629325619396276</v>
      </c>
      <c r="G182" s="334">
        <f t="shared" si="55"/>
        <v>7.3778502625374962</v>
      </c>
      <c r="H182" s="338">
        <f t="shared" si="77"/>
        <v>1.0112081248922301E-2</v>
      </c>
      <c r="I182" s="334">
        <f t="shared" si="78"/>
        <v>-417.8989333909721</v>
      </c>
      <c r="J182" s="338">
        <f t="shared" si="79"/>
        <v>-0.57277225992847292</v>
      </c>
      <c r="K182" s="338">
        <f t="shared" si="56"/>
        <v>-0.20756724498256029</v>
      </c>
      <c r="N182" s="3">
        <v>2026</v>
      </c>
      <c r="O182" s="1205">
        <f t="shared" si="57"/>
        <v>482.77278403707032</v>
      </c>
      <c r="P182" s="1205">
        <f t="shared" si="58"/>
        <v>6.6691932477095257</v>
      </c>
      <c r="Q182" s="1205">
        <f t="shared" si="59"/>
        <v>341.83327703330821</v>
      </c>
      <c r="R182" s="1205">
        <f t="shared" si="80"/>
        <v>134.27031375605259</v>
      </c>
      <c r="S182" s="1206">
        <f>Paper!E73</f>
        <v>484.32983940790621</v>
      </c>
      <c r="T182" s="1205">
        <f t="shared" si="60"/>
        <v>142.496562374598</v>
      </c>
      <c r="U182" s="1206">
        <f>Paper!I73</f>
        <v>19.262519462537966</v>
      </c>
      <c r="V182" s="1205">
        <f t="shared" si="61"/>
        <v>123.23404291206003</v>
      </c>
      <c r="Y182" s="609">
        <f t="shared" si="81"/>
        <v>2026</v>
      </c>
      <c r="Z182" s="335">
        <f t="shared" si="62"/>
        <v>2442.0419175786424</v>
      </c>
      <c r="AA182" s="335">
        <f t="shared" si="63"/>
        <v>1035.7415459789679</v>
      </c>
      <c r="AB182" s="335">
        <f t="shared" si="64"/>
        <v>246.95310720809101</v>
      </c>
      <c r="AC182" s="335">
        <f t="shared" si="65"/>
        <v>369.52785314509538</v>
      </c>
      <c r="AD182" s="335">
        <f t="shared" si="66"/>
        <v>341.83327703330821</v>
      </c>
      <c r="AE182" s="335">
        <f>MIN(Paper!H73,Paper!I73)</f>
        <v>19.262519462537966</v>
      </c>
      <c r="AF182" s="335">
        <f t="shared" si="67"/>
        <v>428.72361475064184</v>
      </c>
      <c r="AG182" s="533"/>
      <c r="AI182" s="609">
        <f t="shared" si="68"/>
        <v>2026</v>
      </c>
      <c r="AJ182" s="335">
        <f t="shared" si="69"/>
        <v>754.22479082810537</v>
      </c>
      <c r="AK182" s="335">
        <f t="shared" si="70"/>
        <v>-276.45104407903534</v>
      </c>
      <c r="AL182" s="335">
        <f t="shared" si="71"/>
        <v>4.8806403777754603</v>
      </c>
      <c r="AM182" s="335">
        <f t="shared" si="72"/>
        <v>167.68094749412884</v>
      </c>
      <c r="AN182" s="335">
        <f t="shared" si="73"/>
        <v>263.72922381676938</v>
      </c>
      <c r="AO182" s="335">
        <f t="shared" si="82"/>
        <v>123.23404291206003</v>
      </c>
      <c r="AP182" s="335">
        <f t="shared" si="74"/>
        <v>-1.5570553708358261</v>
      </c>
      <c r="AS182" s="609">
        <f t="shared" si="75"/>
        <v>2026</v>
      </c>
      <c r="AT182" s="335">
        <f t="shared" si="53"/>
        <v>246.95310720809101</v>
      </c>
      <c r="AU182" s="335">
        <f t="shared" si="53"/>
        <v>369.52785314509538</v>
      </c>
      <c r="AV182" s="335">
        <f t="shared" si="53"/>
        <v>341.83327703330821</v>
      </c>
      <c r="AW182" s="335">
        <f t="shared" si="53"/>
        <v>19.262519462537966</v>
      </c>
      <c r="AX182" s="335">
        <f t="shared" si="53"/>
        <v>428.72361475064184</v>
      </c>
      <c r="AY182" s="335">
        <f t="shared" si="83"/>
        <v>423.67644056405226</v>
      </c>
      <c r="AZ182" s="335">
        <f t="shared" si="84"/>
        <v>612.06510541491571</v>
      </c>
    </row>
    <row r="183" spans="2:52" ht="14.4" x14ac:dyDescent="0.55000000000000004">
      <c r="B183" s="3">
        <v>2027</v>
      </c>
      <c r="C183" s="334">
        <f t="shared" si="52"/>
        <v>702.98840692083093</v>
      </c>
      <c r="D183" s="532">
        <f>'Food System Summary'!E25-'Food System Summary'!F25</f>
        <v>1103.3878681166595</v>
      </c>
      <c r="E183" s="338">
        <f t="shared" si="76"/>
        <v>1.5695676589456486</v>
      </c>
      <c r="F183" s="338">
        <f t="shared" si="54"/>
        <v>0.54983674327593435</v>
      </c>
      <c r="G183" s="334">
        <f t="shared" si="55"/>
        <v>10.199358946232589</v>
      </c>
      <c r="H183" s="338">
        <f t="shared" si="77"/>
        <v>1.4508573464115774E-2</v>
      </c>
      <c r="I183" s="334">
        <f t="shared" si="78"/>
        <v>-410.59882014206119</v>
      </c>
      <c r="J183" s="338">
        <f t="shared" si="79"/>
        <v>-0.58407623240976425</v>
      </c>
      <c r="K183" s="338">
        <f t="shared" si="56"/>
        <v>-0.20460830192486992</v>
      </c>
      <c r="N183" s="3">
        <v>2027</v>
      </c>
      <c r="O183" s="1205">
        <f t="shared" si="57"/>
        <v>494.79968322305854</v>
      </c>
      <c r="P183" s="1205">
        <f t="shared" si="58"/>
        <v>8.7957471298906036</v>
      </c>
      <c r="Q183" s="1205">
        <f t="shared" si="59"/>
        <v>357.161305301423</v>
      </c>
      <c r="R183" s="1205">
        <f t="shared" si="80"/>
        <v>128.84263079174491</v>
      </c>
      <c r="S183" s="1206">
        <f>Paper!E74</f>
        <v>495.41509035042276</v>
      </c>
      <c r="T183" s="1205">
        <f t="shared" si="60"/>
        <v>138.25378504899976</v>
      </c>
      <c r="U183" s="1206">
        <f>Paper!I74</f>
        <v>18.962000019246375</v>
      </c>
      <c r="V183" s="1205">
        <f t="shared" si="61"/>
        <v>119.29178502975338</v>
      </c>
      <c r="Y183" s="609">
        <f t="shared" si="81"/>
        <v>2027</v>
      </c>
      <c r="Z183" s="335">
        <f t="shared" si="62"/>
        <v>2489.1118050597343</v>
      </c>
      <c r="AA183" s="335">
        <f t="shared" si="63"/>
        <v>989.95166587585993</v>
      </c>
      <c r="AB183" s="335">
        <f t="shared" si="64"/>
        <v>260.06056510689001</v>
      </c>
      <c r="AC183" s="335">
        <f t="shared" si="65"/>
        <v>380.6198899393969</v>
      </c>
      <c r="AD183" s="335">
        <f t="shared" si="66"/>
        <v>357.161305301423</v>
      </c>
      <c r="AE183" s="335">
        <f>MIN(Paper!H74,Paper!I74)</f>
        <v>18.962000019246375</v>
      </c>
      <c r="AF183" s="335">
        <f t="shared" si="67"/>
        <v>482.35637881691815</v>
      </c>
      <c r="AG183" s="533"/>
      <c r="AI183" s="609">
        <f t="shared" si="68"/>
        <v>2027</v>
      </c>
      <c r="AJ183" s="335">
        <f t="shared" si="69"/>
        <v>695.2052157577557</v>
      </c>
      <c r="AK183" s="335">
        <f t="shared" si="70"/>
        <v>-258.70362507607467</v>
      </c>
      <c r="AL183" s="335">
        <f t="shared" si="71"/>
        <v>6.4262511322598126</v>
      </c>
      <c r="AM183" s="335">
        <f t="shared" si="72"/>
        <v>167.36338255043407</v>
      </c>
      <c r="AN183" s="335">
        <f t="shared" si="73"/>
        <v>260.98406360909564</v>
      </c>
      <c r="AO183" s="335">
        <f t="shared" si="82"/>
        <v>119.29178502975338</v>
      </c>
      <c r="AP183" s="335">
        <f t="shared" si="74"/>
        <v>-0.61540712736399428</v>
      </c>
      <c r="AS183" s="609">
        <f t="shared" si="75"/>
        <v>2027</v>
      </c>
      <c r="AT183" s="335">
        <f t="shared" si="53"/>
        <v>260.06056510689001</v>
      </c>
      <c r="AU183" s="335">
        <f t="shared" si="53"/>
        <v>380.6198899393969</v>
      </c>
      <c r="AV183" s="335">
        <f t="shared" si="53"/>
        <v>357.161305301423</v>
      </c>
      <c r="AW183" s="335">
        <f t="shared" si="53"/>
        <v>18.962000019246375</v>
      </c>
      <c r="AX183" s="335">
        <f t="shared" si="53"/>
        <v>482.35637881691815</v>
      </c>
      <c r="AY183" s="335">
        <f t="shared" si="83"/>
        <v>448.33821664518143</v>
      </c>
      <c r="AZ183" s="335">
        <f t="shared" si="84"/>
        <v>541.6134492306785</v>
      </c>
    </row>
    <row r="184" spans="2:52" ht="14.4" x14ac:dyDescent="0.55000000000000004">
      <c r="B184" s="3">
        <v>2028</v>
      </c>
      <c r="C184" s="334">
        <f t="shared" si="52"/>
        <v>676.81775161582675</v>
      </c>
      <c r="D184" s="532">
        <f>'Food System Summary'!E26-'Food System Summary'!F26</f>
        <v>1066.5617366720546</v>
      </c>
      <c r="E184" s="338">
        <f t="shared" si="76"/>
        <v>1.5758477583156731</v>
      </c>
      <c r="F184" s="338">
        <f t="shared" si="54"/>
        <v>0.53326353598885035</v>
      </c>
      <c r="G184" s="334">
        <f t="shared" si="55"/>
        <v>13.571806207159989</v>
      </c>
      <c r="H184" s="338">
        <f t="shared" si="77"/>
        <v>2.0052379203646505E-2</v>
      </c>
      <c r="I184" s="334">
        <f t="shared" si="78"/>
        <v>-403.31579126338784</v>
      </c>
      <c r="J184" s="338">
        <f t="shared" si="79"/>
        <v>-0.59590013751931958</v>
      </c>
      <c r="K184" s="338">
        <f t="shared" si="56"/>
        <v>-0.2016513414782157</v>
      </c>
      <c r="N184" s="3">
        <v>2028</v>
      </c>
      <c r="O184" s="1205">
        <f t="shared" si="57"/>
        <v>507.05725259720543</v>
      </c>
      <c r="P184" s="1205">
        <f t="shared" si="58"/>
        <v>11.177124560484208</v>
      </c>
      <c r="Q184" s="1205">
        <f t="shared" si="59"/>
        <v>386.08909496320052</v>
      </c>
      <c r="R184" s="1205">
        <f t="shared" si="80"/>
        <v>109.79103307352068</v>
      </c>
      <c r="S184" s="1206">
        <f>Paper!E75</f>
        <v>506.50122051119558</v>
      </c>
      <c r="T184" s="1205">
        <f t="shared" si="60"/>
        <v>120.41212554799506</v>
      </c>
      <c r="U184" s="1206">
        <f>Paper!I75</f>
        <v>18.66806861830139</v>
      </c>
      <c r="V184" s="1205">
        <f t="shared" si="61"/>
        <v>101.74405692969367</v>
      </c>
      <c r="Y184" s="609">
        <f t="shared" si="81"/>
        <v>2028</v>
      </c>
      <c r="Z184" s="335">
        <f t="shared" si="62"/>
        <v>2535.9468423081339</v>
      </c>
      <c r="AA184" s="335">
        <f t="shared" si="63"/>
        <v>930.17717401843277</v>
      </c>
      <c r="AB184" s="335">
        <f t="shared" si="64"/>
        <v>273.41181106170205</v>
      </c>
      <c r="AC184" s="335">
        <f t="shared" si="65"/>
        <v>391.71885614745759</v>
      </c>
      <c r="AD184" s="335">
        <f t="shared" si="66"/>
        <v>386.08909496320052</v>
      </c>
      <c r="AE184" s="335">
        <f>MIN(Paper!H75,Paper!I75)</f>
        <v>18.66806861830139</v>
      </c>
      <c r="AF184" s="335">
        <f t="shared" si="67"/>
        <v>535.88183749903942</v>
      </c>
      <c r="AG184" s="533"/>
      <c r="AI184" s="609">
        <f t="shared" si="68"/>
        <v>2028</v>
      </c>
      <c r="AJ184" s="335">
        <f t="shared" si="69"/>
        <v>635.70634711344314</v>
      </c>
      <c r="AK184" s="335">
        <f t="shared" si="70"/>
        <v>-240.38965545231335</v>
      </c>
      <c r="AL184" s="335">
        <f t="shared" si="71"/>
        <v>8.0892488929949877</v>
      </c>
      <c r="AM184" s="335">
        <f t="shared" si="72"/>
        <v>166.55777082612431</v>
      </c>
      <c r="AN184" s="335">
        <f t="shared" si="73"/>
        <v>257.91337362248032</v>
      </c>
      <c r="AO184" s="335">
        <f t="shared" si="82"/>
        <v>101.74405692969367</v>
      </c>
      <c r="AP184" s="335">
        <f t="shared" si="74"/>
        <v>0.5560320860097363</v>
      </c>
      <c r="AS184" s="609">
        <f t="shared" si="75"/>
        <v>2028</v>
      </c>
      <c r="AT184" s="335">
        <f t="shared" si="53"/>
        <v>273.41181106170205</v>
      </c>
      <c r="AU184" s="335">
        <f t="shared" si="53"/>
        <v>391.71885614745759</v>
      </c>
      <c r="AV184" s="335">
        <f t="shared" si="53"/>
        <v>386.08909496320052</v>
      </c>
      <c r="AW184" s="335">
        <f t="shared" si="53"/>
        <v>18.66806861830139</v>
      </c>
      <c r="AX184" s="335">
        <f t="shared" si="53"/>
        <v>535.88183749903942</v>
      </c>
      <c r="AY184" s="335">
        <f t="shared" si="83"/>
        <v>472.43314509528648</v>
      </c>
      <c r="AZ184" s="335">
        <f t="shared" si="84"/>
        <v>457.74402892314629</v>
      </c>
    </row>
    <row r="185" spans="2:52" ht="14.4" x14ac:dyDescent="0.55000000000000004">
      <c r="B185" s="3">
        <v>2029</v>
      </c>
      <c r="C185" s="334">
        <f t="shared" si="52"/>
        <v>651.15584299364741</v>
      </c>
      <c r="D185" s="532">
        <f>'Food System Summary'!E27-'Food System Summary'!F27</f>
        <v>1029.6887811892241</v>
      </c>
      <c r="E185" s="338">
        <f t="shared" si="76"/>
        <v>1.5813246433531114</v>
      </c>
      <c r="F185" s="338">
        <f t="shared" si="54"/>
        <v>0.51657954951899021</v>
      </c>
      <c r="G185" s="334">
        <f t="shared" si="55"/>
        <v>17.518499701400742</v>
      </c>
      <c r="H185" s="338">
        <f t="shared" si="77"/>
        <v>2.6903697309787714E-2</v>
      </c>
      <c r="I185" s="334">
        <f t="shared" si="78"/>
        <v>-396.0514378969774</v>
      </c>
      <c r="J185" s="338">
        <f t="shared" si="79"/>
        <v>-0.6082283406628991</v>
      </c>
      <c r="K185" s="338">
        <f t="shared" si="56"/>
        <v>-0.19869311690361263</v>
      </c>
      <c r="N185" s="3">
        <v>2029</v>
      </c>
      <c r="O185" s="1205">
        <f t="shared" si="57"/>
        <v>519.54063998228582</v>
      </c>
      <c r="P185" s="1205">
        <f t="shared" si="58"/>
        <v>13.790810308069467</v>
      </c>
      <c r="Q185" s="1205">
        <f t="shared" si="59"/>
        <v>390.32335658449489</v>
      </c>
      <c r="R185" s="1205">
        <f t="shared" si="80"/>
        <v>115.42647308972147</v>
      </c>
      <c r="S185" s="1206">
        <f>Paper!E76</f>
        <v>517.85417053637252</v>
      </c>
      <c r="T185" s="1205">
        <f t="shared" si="60"/>
        <v>127.53081395187763</v>
      </c>
      <c r="U185" s="1206">
        <f>Paper!I76</f>
        <v>18.380919972696233</v>
      </c>
      <c r="V185" s="1205">
        <f t="shared" si="61"/>
        <v>109.1498939791814</v>
      </c>
      <c r="Y185" s="609">
        <f t="shared" si="81"/>
        <v>2029</v>
      </c>
      <c r="Z185" s="335">
        <f t="shared" si="62"/>
        <v>2582.5519206119802</v>
      </c>
      <c r="AA185" s="335">
        <f t="shared" si="63"/>
        <v>894.75437411080236</v>
      </c>
      <c r="AB185" s="335">
        <f t="shared" si="64"/>
        <v>287.0022865937637</v>
      </c>
      <c r="AC185" s="335">
        <f t="shared" si="65"/>
        <v>402.8211857878531</v>
      </c>
      <c r="AD185" s="335">
        <f t="shared" si="66"/>
        <v>390.32335658449489</v>
      </c>
      <c r="AE185" s="335">
        <f>MIN(Paper!H76,Paper!I76)</f>
        <v>18.380919972696233</v>
      </c>
      <c r="AF185" s="335">
        <f t="shared" si="67"/>
        <v>589.26979756236983</v>
      </c>
      <c r="AG185" s="533"/>
      <c r="AI185" s="609">
        <f t="shared" si="68"/>
        <v>2029</v>
      </c>
      <c r="AJ185" s="335">
        <f t="shared" si="69"/>
        <v>575.84499269981325</v>
      </c>
      <c r="AK185" s="335">
        <f t="shared" si="70"/>
        <v>-221.4885133555947</v>
      </c>
      <c r="AL185" s="335">
        <f t="shared" si="71"/>
        <v>9.7970770556651789</v>
      </c>
      <c r="AM185" s="335">
        <f t="shared" si="72"/>
        <v>165.27002830387767</v>
      </c>
      <c r="AN185" s="335">
        <f t="shared" si="73"/>
        <v>254.49442598194639</v>
      </c>
      <c r="AO185" s="335">
        <f t="shared" si="82"/>
        <v>109.1498939791814</v>
      </c>
      <c r="AP185" s="335">
        <f t="shared" si="74"/>
        <v>1.6864694459131329</v>
      </c>
      <c r="AS185" s="609">
        <f t="shared" si="75"/>
        <v>2029</v>
      </c>
      <c r="AT185" s="335">
        <f t="shared" si="53"/>
        <v>287.0022865937637</v>
      </c>
      <c r="AU185" s="335">
        <f t="shared" si="53"/>
        <v>402.8211857878531</v>
      </c>
      <c r="AV185" s="335">
        <f t="shared" si="53"/>
        <v>390.32335658449489</v>
      </c>
      <c r="AW185" s="335">
        <f t="shared" si="53"/>
        <v>18.380919972696233</v>
      </c>
      <c r="AX185" s="335">
        <f t="shared" si="53"/>
        <v>589.26979756236983</v>
      </c>
      <c r="AY185" s="335">
        <f t="shared" si="83"/>
        <v>496.30217363209351</v>
      </c>
      <c r="AZ185" s="335">
        <f t="shared" si="84"/>
        <v>398.45220047870885</v>
      </c>
    </row>
    <row r="186" spans="2:52" ht="14.4" x14ac:dyDescent="0.55000000000000004">
      <c r="B186" s="3">
        <v>2030</v>
      </c>
      <c r="C186" s="334">
        <f t="shared" si="52"/>
        <v>627.49867451671673</v>
      </c>
      <c r="D186" s="532">
        <f>'Food System Summary'!E28-'Food System Summary'!F28</f>
        <v>992.80516612007727</v>
      </c>
      <c r="E186" s="338">
        <f t="shared" si="76"/>
        <v>1.5821629693237362</v>
      </c>
      <c r="F186" s="338">
        <f t="shared" si="54"/>
        <v>0.49902915016952237</v>
      </c>
      <c r="G186" s="334">
        <f t="shared" si="55"/>
        <v>22.061586022573593</v>
      </c>
      <c r="H186" s="338">
        <f t="shared" si="77"/>
        <v>3.5157980277113504E-2</v>
      </c>
      <c r="I186" s="334">
        <f t="shared" si="78"/>
        <v>-387.36807762593412</v>
      </c>
      <c r="J186" s="338">
        <f t="shared" si="79"/>
        <v>-0.61732094960084971</v>
      </c>
      <c r="K186" s="338">
        <f t="shared" si="56"/>
        <v>-0.19470886048662178</v>
      </c>
      <c r="N186" s="3">
        <v>2030</v>
      </c>
      <c r="O186" s="1205">
        <f t="shared" si="57"/>
        <v>532.85894389310533</v>
      </c>
      <c r="P186" s="1205">
        <f t="shared" si="58"/>
        <v>16.615450204153476</v>
      </c>
      <c r="Q186" s="1205">
        <f t="shared" si="59"/>
        <v>408.19656687401942</v>
      </c>
      <c r="R186" s="1205">
        <f t="shared" si="80"/>
        <v>108.04692681493242</v>
      </c>
      <c r="S186" s="1206">
        <f>Paper!E77</f>
        <v>529.5753875852597</v>
      </c>
      <c r="T186" s="1205">
        <f t="shared" si="60"/>
        <v>121.37882071124028</v>
      </c>
      <c r="U186" s="1206">
        <f>Paper!I77</f>
        <v>18.100229441245119</v>
      </c>
      <c r="V186" s="1205">
        <f t="shared" si="61"/>
        <v>103.27859126999516</v>
      </c>
      <c r="Y186" s="609">
        <f t="shared" si="81"/>
        <v>2030</v>
      </c>
      <c r="Z186" s="335">
        <f t="shared" si="62"/>
        <v>2631.964314994379</v>
      </c>
      <c r="AA186" s="335">
        <f t="shared" si="63"/>
        <v>847.60194236694565</v>
      </c>
      <c r="AB186" s="335">
        <f t="shared" si="64"/>
        <v>301.17407641967475</v>
      </c>
      <c r="AC186" s="335">
        <f t="shared" si="65"/>
        <v>414.40047675454667</v>
      </c>
      <c r="AD186" s="335">
        <f t="shared" si="66"/>
        <v>408.19656687401942</v>
      </c>
      <c r="AE186" s="335">
        <f>MIN(Paper!H77,Paper!I77)</f>
        <v>18.100229441245119</v>
      </c>
      <c r="AF186" s="335">
        <f t="shared" si="67"/>
        <v>642.49102313794742</v>
      </c>
      <c r="AG186" s="533"/>
      <c r="AI186" s="609">
        <f t="shared" si="68"/>
        <v>2030</v>
      </c>
      <c r="AJ186" s="335">
        <f t="shared" si="69"/>
        <v>516.29869508859088</v>
      </c>
      <c r="AK186" s="335">
        <f t="shared" si="70"/>
        <v>-201.44701077538161</v>
      </c>
      <c r="AL186" s="335">
        <f t="shared" si="71"/>
        <v>11.472913783832793</v>
      </c>
      <c r="AM186" s="335">
        <f t="shared" si="72"/>
        <v>163.51144985439154</v>
      </c>
      <c r="AN186" s="335">
        <f t="shared" si="73"/>
        <v>251.20374683767119</v>
      </c>
      <c r="AO186" s="335">
        <f t="shared" si="82"/>
        <v>103.27859126999516</v>
      </c>
      <c r="AP186" s="335">
        <f t="shared" si="74"/>
        <v>3.2835563078456289</v>
      </c>
      <c r="AS186" s="609">
        <f t="shared" si="75"/>
        <v>2030</v>
      </c>
      <c r="AT186" s="335">
        <f t="shared" si="53"/>
        <v>301.17407641967475</v>
      </c>
      <c r="AU186" s="335">
        <f t="shared" si="53"/>
        <v>414.40047675454667</v>
      </c>
      <c r="AV186" s="335">
        <f t="shared" si="53"/>
        <v>408.19656687401942</v>
      </c>
      <c r="AW186" s="335">
        <f t="shared" si="53"/>
        <v>18.100229441245119</v>
      </c>
      <c r="AX186" s="335">
        <f t="shared" si="53"/>
        <v>642.49102313794742</v>
      </c>
      <c r="AY186" s="335">
        <f t="shared" si="83"/>
        <v>519.22918248800215</v>
      </c>
      <c r="AZ186" s="335">
        <f t="shared" si="84"/>
        <v>328.3727598789435</v>
      </c>
    </row>
    <row r="187" spans="2:52" ht="14.4" x14ac:dyDescent="0.55000000000000004">
      <c r="B187" s="3">
        <v>2031</v>
      </c>
      <c r="C187" s="334">
        <f t="shared" si="52"/>
        <v>602.92788240117716</v>
      </c>
      <c r="D187" s="532">
        <f>'Food System Summary'!E29-'Food System Summary'!F29</f>
        <v>954.92867550019537</v>
      </c>
      <c r="E187" s="338">
        <f t="shared" si="76"/>
        <v>1.5838190658842402</v>
      </c>
      <c r="F187" s="338">
        <f t="shared" si="54"/>
        <v>0.48206481509845367</v>
      </c>
      <c r="G187" s="334">
        <f t="shared" si="55"/>
        <v>27.222099147847516</v>
      </c>
      <c r="H187" s="338">
        <f t="shared" si="77"/>
        <v>4.5149842862524027E-2</v>
      </c>
      <c r="I187" s="334">
        <f t="shared" si="78"/>
        <v>-379.22289224686574</v>
      </c>
      <c r="J187" s="338">
        <f t="shared" si="79"/>
        <v>-0.62896890874676414</v>
      </c>
      <c r="K187" s="338">
        <f t="shared" si="56"/>
        <v>-0.19143839547632135</v>
      </c>
      <c r="N187" s="3">
        <v>2031</v>
      </c>
      <c r="O187" s="1205">
        <f t="shared" si="57"/>
        <v>545.16563800679296</v>
      </c>
      <c r="P187" s="1205">
        <f t="shared" si="58"/>
        <v>19.630802695528942</v>
      </c>
      <c r="Q187" s="1205">
        <f t="shared" si="59"/>
        <v>426.35352775691518</v>
      </c>
      <c r="R187" s="1205">
        <f t="shared" si="80"/>
        <v>99.181307554348848</v>
      </c>
      <c r="S187" s="1206">
        <f>Paper!E78</f>
        <v>541.34905474398454</v>
      </c>
      <c r="T187" s="1205">
        <f t="shared" si="60"/>
        <v>114.99552698706935</v>
      </c>
      <c r="U187" s="1206">
        <f>Paper!I78</f>
        <v>17.825126693420884</v>
      </c>
      <c r="V187" s="1205">
        <f t="shared" si="61"/>
        <v>97.17040029364847</v>
      </c>
      <c r="Y187" s="609">
        <f t="shared" si="81"/>
        <v>2031</v>
      </c>
      <c r="Z187" s="335">
        <f t="shared" si="62"/>
        <v>2675.0918435535782</v>
      </c>
      <c r="AA187" s="335">
        <f t="shared" si="63"/>
        <v>796.83167525308056</v>
      </c>
      <c r="AB187" s="335">
        <f t="shared" si="64"/>
        <v>314.88306344366322</v>
      </c>
      <c r="AC187" s="335">
        <f t="shared" si="65"/>
        <v>425.02005581551936</v>
      </c>
      <c r="AD187" s="335">
        <f t="shared" si="66"/>
        <v>426.35352775691518</v>
      </c>
      <c r="AE187" s="335">
        <f>MIN(Paper!H78,Paper!I78)</f>
        <v>17.825126693420884</v>
      </c>
      <c r="AF187" s="335">
        <f t="shared" si="67"/>
        <v>694.17839459097922</v>
      </c>
      <c r="AG187" s="533"/>
      <c r="AI187" s="609">
        <f t="shared" si="68"/>
        <v>2031</v>
      </c>
      <c r="AJ187" s="335">
        <f t="shared" si="69"/>
        <v>456.21087609408477</v>
      </c>
      <c r="AK187" s="335">
        <f t="shared" si="70"/>
        <v>-181.1712354498668</v>
      </c>
      <c r="AL187" s="335">
        <f t="shared" si="71"/>
        <v>13.005178313295938</v>
      </c>
      <c r="AM187" s="335">
        <f t="shared" si="72"/>
        <v>161.27238735681019</v>
      </c>
      <c r="AN187" s="335">
        <f t="shared" si="73"/>
        <v>246.52748538229929</v>
      </c>
      <c r="AO187" s="335">
        <f t="shared" si="82"/>
        <v>97.17040029364847</v>
      </c>
      <c r="AP187" s="335">
        <f t="shared" si="74"/>
        <v>3.8165832628087628</v>
      </c>
      <c r="AS187" s="609">
        <f t="shared" si="75"/>
        <v>2031</v>
      </c>
      <c r="AT187" s="335">
        <f t="shared" si="53"/>
        <v>314.88306344366322</v>
      </c>
      <c r="AU187" s="335">
        <f t="shared" si="53"/>
        <v>425.02005581551936</v>
      </c>
      <c r="AV187" s="335">
        <f t="shared" si="53"/>
        <v>426.35352775691518</v>
      </c>
      <c r="AW187" s="335">
        <f t="shared" si="53"/>
        <v>17.825126693420884</v>
      </c>
      <c r="AX187" s="335">
        <f t="shared" si="53"/>
        <v>694.17839459097922</v>
      </c>
      <c r="AY187" s="335">
        <f t="shared" si="83"/>
        <v>542.06651819247668</v>
      </c>
      <c r="AZ187" s="335">
        <f t="shared" si="84"/>
        <v>254.76515706060388</v>
      </c>
    </row>
    <row r="188" spans="2:52" ht="14.4" x14ac:dyDescent="0.55000000000000004">
      <c r="B188" s="3">
        <v>2032</v>
      </c>
      <c r="C188" s="334">
        <f t="shared" si="52"/>
        <v>580.18976636765206</v>
      </c>
      <c r="D188" s="532">
        <f>'Food System Summary'!E30-'Food System Summary'!F30</f>
        <v>917.2533183459982</v>
      </c>
      <c r="E188" s="338">
        <f t="shared" si="76"/>
        <v>1.5809539766421135</v>
      </c>
      <c r="F188" s="338">
        <f t="shared" si="54"/>
        <v>0.46452127967603629</v>
      </c>
      <c r="G188" s="334">
        <f t="shared" si="55"/>
        <v>33.020007087304727</v>
      </c>
      <c r="H188" s="338">
        <f t="shared" si="77"/>
        <v>5.6912425901667417E-2</v>
      </c>
      <c r="I188" s="334">
        <f t="shared" si="78"/>
        <v>-370.08355906565089</v>
      </c>
      <c r="J188" s="338">
        <f t="shared" si="79"/>
        <v>-0.6378664025437808</v>
      </c>
      <c r="K188" s="338">
        <f t="shared" si="56"/>
        <v>-0.18742007797173332</v>
      </c>
      <c r="N188" s="3">
        <v>2032</v>
      </c>
      <c r="O188" s="1205">
        <f t="shared" si="57"/>
        <v>558.10617480621875</v>
      </c>
      <c r="P188" s="1205">
        <f t="shared" si="58"/>
        <v>22.817692197006657</v>
      </c>
      <c r="Q188" s="1205">
        <f t="shared" si="59"/>
        <v>445.37463037427426</v>
      </c>
      <c r="R188" s="1205">
        <f t="shared" si="80"/>
        <v>89.913852234937849</v>
      </c>
      <c r="S188" s="1206">
        <f>Paper!E79</f>
        <v>553.43367037320627</v>
      </c>
      <c r="T188" s="1205">
        <f t="shared" si="60"/>
        <v>108.05903999893201</v>
      </c>
      <c r="U188" s="1206">
        <f>Paper!I79</f>
        <v>17.555403411811994</v>
      </c>
      <c r="V188" s="1205">
        <f t="shared" si="61"/>
        <v>90.503636587120013</v>
      </c>
      <c r="Y188" s="609">
        <f t="shared" si="81"/>
        <v>2032</v>
      </c>
      <c r="Z188" s="335">
        <f t="shared" si="62"/>
        <v>2720.1024132340781</v>
      </c>
      <c r="AA188" s="335">
        <f t="shared" si="63"/>
        <v>746.67953483689359</v>
      </c>
      <c r="AB188" s="335">
        <f t="shared" si="64"/>
        <v>329.05170036910079</v>
      </c>
      <c r="AC188" s="335">
        <f t="shared" si="65"/>
        <v>435.95939636409753</v>
      </c>
      <c r="AD188" s="335">
        <f t="shared" si="66"/>
        <v>445.37463037427426</v>
      </c>
      <c r="AE188" s="335">
        <f>MIN(Paper!H79,Paper!I79)</f>
        <v>17.555403411811994</v>
      </c>
      <c r="AF188" s="335">
        <f t="shared" si="67"/>
        <v>745.48174787789981</v>
      </c>
      <c r="AG188" s="533"/>
      <c r="AI188" s="609">
        <f t="shared" si="68"/>
        <v>2032</v>
      </c>
      <c r="AJ188" s="335">
        <f t="shared" si="69"/>
        <v>397.03772412661908</v>
      </c>
      <c r="AK188" s="335">
        <f t="shared" si="70"/>
        <v>-160.19253470029849</v>
      </c>
      <c r="AL188" s="335">
        <f t="shared" si="71"/>
        <v>14.292876572230607</v>
      </c>
      <c r="AM188" s="335">
        <f t="shared" si="72"/>
        <v>158.57198846887528</v>
      </c>
      <c r="AN188" s="335">
        <f t="shared" si="73"/>
        <v>241.7933393493347</v>
      </c>
      <c r="AO188" s="335">
        <f t="shared" si="82"/>
        <v>90.503636587120013</v>
      </c>
      <c r="AP188" s="335">
        <f t="shared" si="74"/>
        <v>4.6725044330123637</v>
      </c>
      <c r="AS188" s="609">
        <f t="shared" si="75"/>
        <v>2032</v>
      </c>
      <c r="AT188" s="335">
        <f t="shared" si="53"/>
        <v>329.05170036910079</v>
      </c>
      <c r="AU188" s="335">
        <f t="shared" si="53"/>
        <v>435.95939636409753</v>
      </c>
      <c r="AV188" s="335">
        <f t="shared" si="53"/>
        <v>445.37463037427426</v>
      </c>
      <c r="AW188" s="335">
        <f t="shared" si="53"/>
        <v>17.555403411811994</v>
      </c>
      <c r="AX188" s="335">
        <f t="shared" si="53"/>
        <v>745.48174787789981</v>
      </c>
      <c r="AY188" s="335">
        <f t="shared" si="83"/>
        <v>563.9457072319284</v>
      </c>
      <c r="AZ188" s="335">
        <f t="shared" si="84"/>
        <v>182.7338276049652</v>
      </c>
    </row>
    <row r="189" spans="2:52" ht="14.4" x14ac:dyDescent="0.55000000000000004">
      <c r="B189" s="3">
        <v>2033</v>
      </c>
      <c r="C189" s="334">
        <f t="shared" si="52"/>
        <v>558.32546573212198</v>
      </c>
      <c r="D189" s="532">
        <f>'Food System Summary'!E31-'Food System Summary'!F31</f>
        <v>879.81102266511516</v>
      </c>
      <c r="E189" s="338">
        <f t="shared" si="76"/>
        <v>1.5758031411148963</v>
      </c>
      <c r="F189" s="338">
        <f t="shared" si="54"/>
        <v>0.44694188733069601</v>
      </c>
      <c r="G189" s="334">
        <f t="shared" si="55"/>
        <v>39.474256794844727</v>
      </c>
      <c r="H189" s="338">
        <f t="shared" si="77"/>
        <v>7.0701157689597505E-2</v>
      </c>
      <c r="I189" s="334">
        <f t="shared" si="78"/>
        <v>-360.95981372783791</v>
      </c>
      <c r="J189" s="338">
        <f t="shared" si="79"/>
        <v>-0.64650429880449367</v>
      </c>
      <c r="K189" s="338">
        <f t="shared" si="56"/>
        <v>-0.18336671880895847</v>
      </c>
      <c r="N189" s="3">
        <v>2033</v>
      </c>
      <c r="O189" s="1205">
        <f t="shared" si="57"/>
        <v>571.25162447536536</v>
      </c>
      <c r="P189" s="1205">
        <f t="shared" si="58"/>
        <v>26.157964179580127</v>
      </c>
      <c r="Q189" s="1205">
        <f t="shared" si="59"/>
        <v>465.28145431503862</v>
      </c>
      <c r="R189" s="1205">
        <f t="shared" si="80"/>
        <v>79.812205980746569</v>
      </c>
      <c r="S189" s="1206">
        <f>Paper!E80</f>
        <v>565.67615347742219</v>
      </c>
      <c r="T189" s="1205">
        <f t="shared" si="60"/>
        <v>100.39469916238357</v>
      </c>
      <c r="U189" s="1206">
        <f>Paper!I80</f>
        <v>17.291562472155988</v>
      </c>
      <c r="V189" s="1205">
        <f t="shared" si="61"/>
        <v>83.103136690227586</v>
      </c>
      <c r="Y189" s="609">
        <f t="shared" si="81"/>
        <v>2033</v>
      </c>
      <c r="Z189" s="335">
        <f t="shared" si="62"/>
        <v>2764.905276871817</v>
      </c>
      <c r="AA189" s="335">
        <f t="shared" si="63"/>
        <v>695.61024483245671</v>
      </c>
      <c r="AB189" s="335">
        <f t="shared" si="64"/>
        <v>343.4410591847132</v>
      </c>
      <c r="AC189" s="335">
        <f t="shared" si="65"/>
        <v>446.8889190704553</v>
      </c>
      <c r="AD189" s="335">
        <f t="shared" si="66"/>
        <v>465.28145431503862</v>
      </c>
      <c r="AE189" s="335">
        <f>MIN(Paper!H80,Paper!I80)</f>
        <v>17.291562472155988</v>
      </c>
      <c r="AF189" s="335">
        <f t="shared" si="67"/>
        <v>796.39203699699715</v>
      </c>
      <c r="AG189" s="533"/>
      <c r="AI189" s="609">
        <f t="shared" si="68"/>
        <v>2033</v>
      </c>
      <c r="AJ189" s="335">
        <f t="shared" si="69"/>
        <v>338.61552281401714</v>
      </c>
      <c r="AK189" s="335">
        <f t="shared" si="70"/>
        <v>-138.92369257895228</v>
      </c>
      <c r="AL189" s="335">
        <f t="shared" si="71"/>
        <v>15.192576312343931</v>
      </c>
      <c r="AM189" s="335">
        <f t="shared" si="72"/>
        <v>155.40834998757512</v>
      </c>
      <c r="AN189" s="335">
        <f t="shared" si="73"/>
        <v>236.63888060930213</v>
      </c>
      <c r="AO189" s="335">
        <f t="shared" si="82"/>
        <v>83.103136690227586</v>
      </c>
      <c r="AP189" s="335">
        <f t="shared" si="74"/>
        <v>5.5754709979430572</v>
      </c>
      <c r="AS189" s="609">
        <f t="shared" si="75"/>
        <v>2033</v>
      </c>
      <c r="AT189" s="335">
        <f t="shared" si="53"/>
        <v>343.4410591847132</v>
      </c>
      <c r="AU189" s="335">
        <f t="shared" si="53"/>
        <v>446.8889190704553</v>
      </c>
      <c r="AV189" s="335">
        <f t="shared" si="53"/>
        <v>465.28145431503862</v>
      </c>
      <c r="AW189" s="335">
        <f t="shared" si="53"/>
        <v>17.291562472155988</v>
      </c>
      <c r="AX189" s="335">
        <f t="shared" si="53"/>
        <v>796.39203699699715</v>
      </c>
      <c r="AY189" s="335">
        <f t="shared" si="83"/>
        <v>585.01833555366329</v>
      </c>
      <c r="AZ189" s="335">
        <f t="shared" si="84"/>
        <v>110.59190927879342</v>
      </c>
    </row>
    <row r="190" spans="2:52" ht="14.4" x14ac:dyDescent="0.55000000000000004">
      <c r="B190" s="3">
        <v>2034</v>
      </c>
      <c r="C190" s="334">
        <f t="shared" si="52"/>
        <v>537.36828175028711</v>
      </c>
      <c r="D190" s="532">
        <f>'Food System Summary'!E32-'Food System Summary'!F32</f>
        <v>842.63268320488874</v>
      </c>
      <c r="E190" s="338">
        <f t="shared" si="76"/>
        <v>1.5680729805270806</v>
      </c>
      <c r="F190" s="338">
        <f t="shared" si="54"/>
        <v>0.42934311273520315</v>
      </c>
      <c r="G190" s="334">
        <f t="shared" si="55"/>
        <v>46.602817402496747</v>
      </c>
      <c r="H190" s="338">
        <f t="shared" si="77"/>
        <v>8.6724168480328892E-2</v>
      </c>
      <c r="I190" s="334">
        <f t="shared" si="78"/>
        <v>-351.86721885709835</v>
      </c>
      <c r="J190" s="338">
        <f t="shared" si="79"/>
        <v>-0.65479714900740948</v>
      </c>
      <c r="K190" s="338">
        <f t="shared" si="56"/>
        <v>-0.17928543483383022</v>
      </c>
      <c r="N190" s="3">
        <v>2034</v>
      </c>
      <c r="O190" s="1205">
        <f t="shared" si="57"/>
        <v>584.59921197429833</v>
      </c>
      <c r="P190" s="1205">
        <f t="shared" si="58"/>
        <v>29.634441935647466</v>
      </c>
      <c r="Q190" s="1205">
        <f t="shared" si="59"/>
        <v>482.3703733333333</v>
      </c>
      <c r="R190" s="1205">
        <f t="shared" si="80"/>
        <v>72.594396705317536</v>
      </c>
      <c r="S190" s="1206">
        <f>Paper!E81</f>
        <v>578.04232088820231</v>
      </c>
      <c r="T190" s="1205">
        <f t="shared" si="60"/>
        <v>95.671947554869007</v>
      </c>
      <c r="U190" s="1206">
        <f>Paper!I81</f>
        <v>17.03360078964613</v>
      </c>
      <c r="V190" s="1205">
        <f t="shared" si="61"/>
        <v>78.638346765222877</v>
      </c>
      <c r="Y190" s="609">
        <f t="shared" si="81"/>
        <v>2034</v>
      </c>
      <c r="Z190" s="335">
        <f t="shared" si="62"/>
        <v>2809.5135667565687</v>
      </c>
      <c r="AA190" s="335">
        <f t="shared" si="63"/>
        <v>647.33969629719718</v>
      </c>
      <c r="AB190" s="335">
        <f t="shared" si="64"/>
        <v>358.05344411639214</v>
      </c>
      <c r="AC190" s="335">
        <f t="shared" si="65"/>
        <v>457.81194616724525</v>
      </c>
      <c r="AD190" s="335">
        <f t="shared" si="66"/>
        <v>482.3703733333333</v>
      </c>
      <c r="AE190" s="335">
        <f>MIN(Paper!H81,Paper!I81)</f>
        <v>17.03360078964613</v>
      </c>
      <c r="AF190" s="335">
        <f t="shared" si="67"/>
        <v>846.90450605275487</v>
      </c>
      <c r="AG190" s="533"/>
      <c r="AI190" s="609">
        <f t="shared" si="68"/>
        <v>2034</v>
      </c>
      <c r="AJ190" s="335">
        <f t="shared" si="69"/>
        <v>281.17875190131122</v>
      </c>
      <c r="AK190" s="335">
        <f t="shared" si="70"/>
        <v>-117.41484445740096</v>
      </c>
      <c r="AL190" s="335">
        <f t="shared" si="71"/>
        <v>15.550930189984729</v>
      </c>
      <c r="AM190" s="335">
        <f t="shared" si="72"/>
        <v>151.78280959151294</v>
      </c>
      <c r="AN190" s="335">
        <f t="shared" si="73"/>
        <v>231.04681122047026</v>
      </c>
      <c r="AO190" s="335">
        <f t="shared" si="82"/>
        <v>78.638346765222877</v>
      </c>
      <c r="AP190" s="335">
        <f t="shared" si="74"/>
        <v>6.5568910860960727</v>
      </c>
      <c r="AS190" s="609">
        <f t="shared" si="75"/>
        <v>2034</v>
      </c>
      <c r="AT190" s="335">
        <f t="shared" si="53"/>
        <v>358.05344411639214</v>
      </c>
      <c r="AU190" s="335">
        <f t="shared" si="53"/>
        <v>457.81194616724525</v>
      </c>
      <c r="AV190" s="335">
        <f t="shared" si="53"/>
        <v>482.3703733333333</v>
      </c>
      <c r="AW190" s="335">
        <f t="shared" si="53"/>
        <v>17.03360078964613</v>
      </c>
      <c r="AX190" s="335">
        <f t="shared" si="53"/>
        <v>846.90450605275487</v>
      </c>
      <c r="AY190" s="335">
        <f t="shared" si="83"/>
        <v>605.09858449771889</v>
      </c>
      <c r="AZ190" s="335">
        <f t="shared" si="84"/>
        <v>42.24111179947829</v>
      </c>
    </row>
    <row r="191" spans="2:52" ht="14.4" x14ac:dyDescent="0.55000000000000004">
      <c r="B191" s="3">
        <v>2035</v>
      </c>
      <c r="C191" s="334">
        <f t="shared" si="52"/>
        <v>517.41025826534997</v>
      </c>
      <c r="D191" s="532">
        <f>'Food System Summary'!E33-'Food System Summary'!F33</f>
        <v>805.74285247543492</v>
      </c>
      <c r="E191" s="338">
        <f t="shared" si="76"/>
        <v>1.5572610701162708</v>
      </c>
      <c r="F191" s="338">
        <f t="shared" si="54"/>
        <v>0.41171287134456058</v>
      </c>
      <c r="G191" s="334">
        <f t="shared" si="55"/>
        <v>54.422721836455025</v>
      </c>
      <c r="H191" s="338">
        <f t="shared" si="77"/>
        <v>0.10518292006600445</v>
      </c>
      <c r="I191" s="334">
        <f t="shared" si="78"/>
        <v>-342.75531604653997</v>
      </c>
      <c r="J191" s="338">
        <f t="shared" si="79"/>
        <v>-0.66244399018227518</v>
      </c>
      <c r="K191" s="338">
        <f t="shared" si="56"/>
        <v>-0.1751387243518063</v>
      </c>
      <c r="N191" s="3">
        <v>2035</v>
      </c>
      <c r="O191" s="1205">
        <f t="shared" si="57"/>
        <v>598.17225787038524</v>
      </c>
      <c r="P191" s="1205">
        <f t="shared" si="58"/>
        <v>33.230884963441781</v>
      </c>
      <c r="Q191" s="1205">
        <f t="shared" si="59"/>
        <v>493.63451666666663</v>
      </c>
      <c r="R191" s="1205">
        <f t="shared" si="80"/>
        <v>71.306856240276829</v>
      </c>
      <c r="S191" s="1206">
        <f>Paper!E82</f>
        <v>590.49284513009445</v>
      </c>
      <c r="T191" s="1205">
        <f t="shared" si="60"/>
        <v>96.858328463427824</v>
      </c>
      <c r="U191" s="1206">
        <f>Paper!I82</f>
        <v>16.781129349292314</v>
      </c>
      <c r="V191" s="1205">
        <f t="shared" si="61"/>
        <v>80.07719911413551</v>
      </c>
      <c r="Y191" s="609">
        <f t="shared" si="81"/>
        <v>2035</v>
      </c>
      <c r="Z191" s="335">
        <f t="shared" si="62"/>
        <v>2854.0638327332344</v>
      </c>
      <c r="AA191" s="335">
        <f t="shared" si="63"/>
        <v>604.97708397599138</v>
      </c>
      <c r="AB191" s="335">
        <f t="shared" si="64"/>
        <v>372.90697304325437</v>
      </c>
      <c r="AC191" s="335">
        <f t="shared" si="65"/>
        <v>468.7507283590387</v>
      </c>
      <c r="AD191" s="335">
        <f t="shared" si="66"/>
        <v>493.63451666666663</v>
      </c>
      <c r="AE191" s="335">
        <f>MIN(Paper!H82,Paper!I82)</f>
        <v>16.781129349292314</v>
      </c>
      <c r="AF191" s="335">
        <f t="shared" si="67"/>
        <v>897.01340133899123</v>
      </c>
      <c r="AG191" s="533"/>
      <c r="AI191" s="609">
        <f t="shared" si="68"/>
        <v>2035</v>
      </c>
      <c r="AJ191" s="335">
        <f t="shared" si="69"/>
        <v>225.02934058027722</v>
      </c>
      <c r="AK191" s="335">
        <f t="shared" si="70"/>
        <v>-95.725332856972415</v>
      </c>
      <c r="AL191" s="335">
        <f t="shared" si="71"/>
        <v>15.199277498790721</v>
      </c>
      <c r="AM191" s="335">
        <f t="shared" si="72"/>
        <v>147.69863599346618</v>
      </c>
      <c r="AN191" s="335">
        <f t="shared" si="73"/>
        <v>225.01855090600327</v>
      </c>
      <c r="AO191" s="335">
        <f t="shared" si="82"/>
        <v>80.07719911413551</v>
      </c>
      <c r="AP191" s="335">
        <f t="shared" si="74"/>
        <v>7.6794127402908998</v>
      </c>
      <c r="AS191" s="609">
        <f t="shared" si="75"/>
        <v>2035</v>
      </c>
      <c r="AT191" s="335">
        <f t="shared" si="53"/>
        <v>372.90697304325437</v>
      </c>
      <c r="AU191" s="335">
        <f t="shared" si="53"/>
        <v>468.7507283590387</v>
      </c>
      <c r="AV191" s="335">
        <f t="shared" si="53"/>
        <v>493.63451666666663</v>
      </c>
      <c r="AW191" s="335">
        <f t="shared" si="53"/>
        <v>16.781129349292314</v>
      </c>
      <c r="AX191" s="335">
        <f t="shared" si="53"/>
        <v>897.01340133899123</v>
      </c>
      <c r="AY191" s="335">
        <f t="shared" si="83"/>
        <v>604.97708397599138</v>
      </c>
      <c r="AZ191" s="335">
        <f t="shared" si="84"/>
        <v>0</v>
      </c>
    </row>
    <row r="192" spans="2:52" ht="14.4" x14ac:dyDescent="0.55000000000000004">
      <c r="B192" s="3">
        <v>2036</v>
      </c>
      <c r="C192" s="334">
        <f t="shared" si="52"/>
        <v>498.29086027983686</v>
      </c>
      <c r="D192" s="532">
        <f>'Food System Summary'!E34-'Food System Summary'!F34</f>
        <v>769.16030940508153</v>
      </c>
      <c r="E192" s="338">
        <f t="shared" si="76"/>
        <v>1.5435970649213315</v>
      </c>
      <c r="F192" s="338">
        <f t="shared" si="54"/>
        <v>0.39414828786171086</v>
      </c>
      <c r="G192" s="334">
        <f t="shared" si="55"/>
        <v>62.95010687040034</v>
      </c>
      <c r="H192" s="338">
        <f t="shared" si="77"/>
        <v>0.12633205199679556</v>
      </c>
      <c r="I192" s="334">
        <f t="shared" si="78"/>
        <v>-333.81955599564503</v>
      </c>
      <c r="J192" s="338">
        <f t="shared" si="79"/>
        <v>-0.66992911691812729</v>
      </c>
      <c r="K192" s="338">
        <f t="shared" si="56"/>
        <v>-0.171062397320278</v>
      </c>
      <c r="N192" s="3">
        <v>2036</v>
      </c>
      <c r="O192" s="1205">
        <f t="shared" si="57"/>
        <v>611.88253848143199</v>
      </c>
      <c r="P192" s="1205">
        <f t="shared" si="58"/>
        <v>36.931948914175301</v>
      </c>
      <c r="Q192" s="1205">
        <f t="shared" si="59"/>
        <v>505.46659999999997</v>
      </c>
      <c r="R192" s="1205">
        <f t="shared" si="80"/>
        <v>69.483989567256685</v>
      </c>
      <c r="S192" s="1206">
        <f>Paper!E83</f>
        <v>602.98378988232821</v>
      </c>
      <c r="T192" s="1205">
        <f t="shared" si="60"/>
        <v>97.517189882328239</v>
      </c>
      <c r="U192" s="1206">
        <f>Paper!I83</f>
        <v>12.688122217091916</v>
      </c>
      <c r="V192" s="1205">
        <f t="shared" si="61"/>
        <v>84.829067665236323</v>
      </c>
      <c r="Y192" s="609">
        <f t="shared" si="81"/>
        <v>2036</v>
      </c>
      <c r="Z192" s="335">
        <f t="shared" si="62"/>
        <v>2898.1595420928984</v>
      </c>
      <c r="AA192" s="335">
        <f t="shared" si="63"/>
        <v>565.70808844332601</v>
      </c>
      <c r="AB192" s="335">
        <f t="shared" si="64"/>
        <v>387.94813895171484</v>
      </c>
      <c r="AC192" s="335">
        <f t="shared" si="65"/>
        <v>479.63811941172094</v>
      </c>
      <c r="AD192" s="335">
        <f t="shared" si="66"/>
        <v>505.46659999999997</v>
      </c>
      <c r="AE192" s="335">
        <f>MIN(Paper!H83,Paper!I83)</f>
        <v>12.688122217091916</v>
      </c>
      <c r="AF192" s="335">
        <f t="shared" si="67"/>
        <v>946.71047306904484</v>
      </c>
      <c r="AG192" s="533"/>
      <c r="AI192" s="609">
        <f t="shared" si="68"/>
        <v>2036</v>
      </c>
      <c r="AJ192" s="335">
        <f t="shared" si="69"/>
        <v>170.32470077752157</v>
      </c>
      <c r="AK192" s="335">
        <f t="shared" si="70"/>
        <v>-73.921801857691776</v>
      </c>
      <c r="AL192" s="335">
        <f t="shared" si="71"/>
        <v>13.93982240829223</v>
      </c>
      <c r="AM192" s="335">
        <f t="shared" si="72"/>
        <v>143.15915979391775</v>
      </c>
      <c r="AN192" s="335">
        <f t="shared" si="73"/>
        <v>218.47839105694607</v>
      </c>
      <c r="AO192" s="335">
        <f t="shared" si="82"/>
        <v>84.829067665236323</v>
      </c>
      <c r="AP192" s="335">
        <f t="shared" si="74"/>
        <v>8.8987485991038398</v>
      </c>
      <c r="AS192" s="609">
        <f t="shared" si="75"/>
        <v>2036</v>
      </c>
      <c r="AT192" s="335">
        <f t="shared" si="53"/>
        <v>387.94813895171484</v>
      </c>
      <c r="AU192" s="335">
        <f t="shared" si="53"/>
        <v>479.63811941172094</v>
      </c>
      <c r="AV192" s="335">
        <f t="shared" si="53"/>
        <v>505.46659999999997</v>
      </c>
      <c r="AW192" s="335">
        <f t="shared" si="53"/>
        <v>12.688122217091916</v>
      </c>
      <c r="AX192" s="335">
        <f t="shared" si="53"/>
        <v>946.71047306904484</v>
      </c>
      <c r="AY192" s="335">
        <f t="shared" si="83"/>
        <v>565.70808844332601</v>
      </c>
      <c r="AZ192" s="335">
        <f t="shared" si="84"/>
        <v>0</v>
      </c>
    </row>
    <row r="193" spans="2:52" ht="14.4" x14ac:dyDescent="0.55000000000000004">
      <c r="B193" s="3">
        <v>2037</v>
      </c>
      <c r="C193" s="334">
        <f t="shared" si="52"/>
        <v>480.24875093698608</v>
      </c>
      <c r="D193" s="532">
        <f>'Food System Summary'!E35-'Food System Summary'!F35</f>
        <v>732.89739808503157</v>
      </c>
      <c r="E193" s="338">
        <f t="shared" si="76"/>
        <v>1.5260787178626014</v>
      </c>
      <c r="F193" s="338">
        <f t="shared" si="54"/>
        <v>0.37656907829095282</v>
      </c>
      <c r="G193" s="334">
        <f t="shared" si="55"/>
        <v>72.2002516696068</v>
      </c>
      <c r="H193" s="338">
        <f t="shared" si="77"/>
        <v>0.15033928048483414</v>
      </c>
      <c r="I193" s="334">
        <f t="shared" si="78"/>
        <v>-324.8488988176523</v>
      </c>
      <c r="J193" s="338">
        <f t="shared" si="79"/>
        <v>-0.67641799834743566</v>
      </c>
      <c r="K193" s="338">
        <f t="shared" si="56"/>
        <v>-0.16691019879620542</v>
      </c>
      <c r="N193" s="3">
        <v>2037</v>
      </c>
      <c r="O193" s="1205">
        <f t="shared" si="57"/>
        <v>625.81532368817363</v>
      </c>
      <c r="P193" s="1205">
        <f t="shared" si="58"/>
        <v>40.723147047234093</v>
      </c>
      <c r="Q193" s="1205">
        <f t="shared" si="59"/>
        <v>517.86662333333334</v>
      </c>
      <c r="R193" s="1205">
        <f t="shared" si="80"/>
        <v>67.225553307606219</v>
      </c>
      <c r="S193" s="1206">
        <f>Paper!E84</f>
        <v>615.46723432447584</v>
      </c>
      <c r="T193" s="1205">
        <f t="shared" si="60"/>
        <v>97.600610991142503</v>
      </c>
      <c r="U193" s="1206">
        <f>Paper!I84</f>
        <v>6.2630600658332582</v>
      </c>
      <c r="V193" s="1205">
        <f t="shared" si="61"/>
        <v>91.337550925309245</v>
      </c>
      <c r="Y193" s="609">
        <f t="shared" si="81"/>
        <v>2037</v>
      </c>
      <c r="Z193" s="335">
        <f t="shared" si="62"/>
        <v>2942.2306487243113</v>
      </c>
      <c r="AA193" s="335">
        <f t="shared" si="63"/>
        <v>528.35018596614827</v>
      </c>
      <c r="AB193" s="335">
        <f t="shared" si="64"/>
        <v>403.23030053741212</v>
      </c>
      <c r="AC193" s="335">
        <f t="shared" si="65"/>
        <v>490.53937722223554</v>
      </c>
      <c r="AD193" s="335">
        <f t="shared" si="66"/>
        <v>517.86662333333334</v>
      </c>
      <c r="AE193" s="335">
        <f>MIN(Paper!H84,Paper!I84)</f>
        <v>6.2630600658332582</v>
      </c>
      <c r="AF193" s="335">
        <f t="shared" si="67"/>
        <v>995.98110159934879</v>
      </c>
      <c r="AG193" s="533"/>
      <c r="AI193" s="609">
        <f t="shared" si="68"/>
        <v>2037</v>
      </c>
      <c r="AJ193" s="335">
        <f t="shared" si="69"/>
        <v>117.53621803754629</v>
      </c>
      <c r="AK193" s="335">
        <f t="shared" si="70"/>
        <v>-52.096666055101082</v>
      </c>
      <c r="AL193" s="335">
        <f t="shared" si="71"/>
        <v>11.578898417128833</v>
      </c>
      <c r="AM193" s="335">
        <f t="shared" si="72"/>
        <v>138.17382473646455</v>
      </c>
      <c r="AN193" s="335">
        <f t="shared" si="73"/>
        <v>211.47227054110272</v>
      </c>
      <c r="AO193" s="335">
        <f t="shared" si="82"/>
        <v>91.337550925309245</v>
      </c>
      <c r="AP193" s="335">
        <f t="shared" si="74"/>
        <v>10.348089363697738</v>
      </c>
      <c r="AS193" s="609">
        <f t="shared" si="75"/>
        <v>2037</v>
      </c>
      <c r="AT193" s="335">
        <f t="shared" si="53"/>
        <v>403.23030053741212</v>
      </c>
      <c r="AU193" s="335">
        <f t="shared" si="53"/>
        <v>490.53937722223554</v>
      </c>
      <c r="AV193" s="335">
        <f t="shared" si="53"/>
        <v>517.86662333333334</v>
      </c>
      <c r="AW193" s="335">
        <f t="shared" si="53"/>
        <v>6.2630600658332582</v>
      </c>
      <c r="AX193" s="335">
        <f t="shared" si="53"/>
        <v>995.98110159934879</v>
      </c>
      <c r="AY193" s="335">
        <f t="shared" si="83"/>
        <v>528.35018596614827</v>
      </c>
      <c r="AZ193" s="335">
        <f t="shared" si="84"/>
        <v>0</v>
      </c>
    </row>
    <row r="194" spans="2:52" ht="14.4" x14ac:dyDescent="0.55000000000000004">
      <c r="B194" s="3">
        <v>2038</v>
      </c>
      <c r="C194" s="334">
        <f t="shared" si="52"/>
        <v>463.27335145414025</v>
      </c>
      <c r="D194" s="532">
        <f>'Food System Summary'!E36-'Food System Summary'!F36</f>
        <v>696.96325680741802</v>
      </c>
      <c r="E194" s="338">
        <f t="shared" si="76"/>
        <v>1.5044320046032496</v>
      </c>
      <c r="F194" s="338">
        <f t="shared" si="54"/>
        <v>0.35900603922279439</v>
      </c>
      <c r="G194" s="334">
        <f t="shared" si="55"/>
        <v>82.187614879277973</v>
      </c>
      <c r="H194" s="338">
        <f t="shared" si="77"/>
        <v>0.17740630800650267</v>
      </c>
      <c r="I194" s="334">
        <f t="shared" si="78"/>
        <v>-315.87752023255575</v>
      </c>
      <c r="J194" s="338">
        <f t="shared" si="79"/>
        <v>-0.68183831260975236</v>
      </c>
      <c r="K194" s="338">
        <f t="shared" si="56"/>
        <v>-0.16270863106567279</v>
      </c>
      <c r="N194" s="3">
        <v>2038</v>
      </c>
      <c r="O194" s="1205">
        <f t="shared" si="57"/>
        <v>639.94455473479479</v>
      </c>
      <c r="P194" s="1205">
        <f t="shared" si="58"/>
        <v>44.590813141609104</v>
      </c>
      <c r="Q194" s="1205">
        <f t="shared" si="59"/>
        <v>530.83458666666661</v>
      </c>
      <c r="R194" s="1205">
        <f t="shared" si="80"/>
        <v>64.519154926519036</v>
      </c>
      <c r="S194" s="1206">
        <f>Paper!E85</f>
        <v>627.89500953747279</v>
      </c>
      <c r="T194" s="1205">
        <f t="shared" si="60"/>
        <v>97.060422870806178</v>
      </c>
      <c r="U194" s="1206">
        <f>Paper!I85</f>
        <v>0</v>
      </c>
      <c r="V194" s="1205">
        <f t="shared" si="61"/>
        <v>97.060422870806178</v>
      </c>
      <c r="Y194" s="609">
        <f t="shared" si="81"/>
        <v>2038</v>
      </c>
      <c r="Z194" s="335">
        <f t="shared" si="62"/>
        <v>2986.1741721298445</v>
      </c>
      <c r="AA194" s="335">
        <f t="shared" si="63"/>
        <v>490.36896610333974</v>
      </c>
      <c r="AB194" s="335">
        <f t="shared" si="64"/>
        <v>418.73569938066373</v>
      </c>
      <c r="AC194" s="335">
        <f t="shared" si="65"/>
        <v>501.42991900940564</v>
      </c>
      <c r="AD194" s="335">
        <f t="shared" si="66"/>
        <v>530.83458666666661</v>
      </c>
      <c r="AE194" s="335">
        <f>MIN(Paper!H85,Paper!I85)</f>
        <v>0</v>
      </c>
      <c r="AF194" s="335">
        <f t="shared" si="67"/>
        <v>1044.8050009697686</v>
      </c>
      <c r="AG194" s="533"/>
      <c r="AI194" s="609">
        <f t="shared" si="68"/>
        <v>2038</v>
      </c>
      <c r="AJ194" s="335">
        <f t="shared" si="69"/>
        <v>67.003869189222428</v>
      </c>
      <c r="AK194" s="335">
        <f t="shared" si="70"/>
        <v>-30.367477537379443</v>
      </c>
      <c r="AL194" s="335">
        <f t="shared" si="71"/>
        <v>7.9012604216336371</v>
      </c>
      <c r="AM194" s="335">
        <f t="shared" si="72"/>
        <v>132.75241853434935</v>
      </c>
      <c r="AN194" s="335">
        <f t="shared" si="73"/>
        <v>203.96892742738584</v>
      </c>
      <c r="AO194" s="335">
        <f t="shared" si="82"/>
        <v>97.060422870806178</v>
      </c>
      <c r="AP194" s="335">
        <f t="shared" si="74"/>
        <v>12.04954519732172</v>
      </c>
      <c r="AS194" s="609">
        <f t="shared" si="75"/>
        <v>2038</v>
      </c>
      <c r="AT194" s="335">
        <f t="shared" si="53"/>
        <v>418.73569938066373</v>
      </c>
      <c r="AU194" s="335">
        <f t="shared" si="53"/>
        <v>501.42991900940564</v>
      </c>
      <c r="AV194" s="335">
        <f t="shared" si="53"/>
        <v>530.83458666666661</v>
      </c>
      <c r="AW194" s="335">
        <f t="shared" si="53"/>
        <v>0</v>
      </c>
      <c r="AX194" s="335">
        <f t="shared" si="53"/>
        <v>1044.8050009697686</v>
      </c>
      <c r="AY194" s="335">
        <f t="shared" si="83"/>
        <v>490.36896610333974</v>
      </c>
      <c r="AZ194" s="335">
        <f t="shared" si="84"/>
        <v>0</v>
      </c>
    </row>
    <row r="195" spans="2:52" ht="14.4" x14ac:dyDescent="0.55000000000000004">
      <c r="B195" s="3">
        <v>2039</v>
      </c>
      <c r="C195" s="334">
        <f t="shared" si="52"/>
        <v>447.41773175802655</v>
      </c>
      <c r="D195" s="532">
        <f>'Food System Summary'!E37-'Food System Summary'!F37</f>
        <v>661.36518865711878</v>
      </c>
      <c r="E195" s="338">
        <f t="shared" si="76"/>
        <v>1.4781827847064402</v>
      </c>
      <c r="F195" s="338">
        <f t="shared" si="54"/>
        <v>0.34146355187793787</v>
      </c>
      <c r="G195" s="334">
        <f t="shared" si="55"/>
        <v>92.925870308643411</v>
      </c>
      <c r="H195" s="338">
        <f t="shared" si="77"/>
        <v>0.20769375845591159</v>
      </c>
      <c r="I195" s="334">
        <f t="shared" si="78"/>
        <v>-306.87332720773566</v>
      </c>
      <c r="J195" s="338">
        <f t="shared" si="79"/>
        <v>-0.6858765431623518</v>
      </c>
      <c r="K195" s="338">
        <f t="shared" si="56"/>
        <v>-0.15843902594528575</v>
      </c>
      <c r="N195" s="3">
        <v>2039</v>
      </c>
      <c r="O195" s="1205">
        <f t="shared" si="57"/>
        <v>654.27034133774919</v>
      </c>
      <c r="P195" s="1205">
        <f t="shared" si="58"/>
        <v>48.522065813196619</v>
      </c>
      <c r="Q195" s="1205">
        <f t="shared" si="59"/>
        <v>544.3704899999999</v>
      </c>
      <c r="R195" s="1205">
        <f t="shared" si="80"/>
        <v>61.377785524552678</v>
      </c>
      <c r="S195" s="1206">
        <f>Paper!E86</f>
        <v>640.22067145497829</v>
      </c>
      <c r="T195" s="1205">
        <f t="shared" si="60"/>
        <v>95.850181454978383</v>
      </c>
      <c r="U195" s="1206">
        <f>Paper!I86</f>
        <v>0</v>
      </c>
      <c r="V195" s="1205">
        <f t="shared" si="61"/>
        <v>95.850181454978383</v>
      </c>
      <c r="Y195" s="609">
        <f t="shared" si="81"/>
        <v>2039</v>
      </c>
      <c r="Z195" s="335">
        <f t="shared" si="62"/>
        <v>3030.0104932724716</v>
      </c>
      <c r="AA195" s="335">
        <f t="shared" si="63"/>
        <v>447.9377729407571</v>
      </c>
      <c r="AB195" s="335">
        <f t="shared" si="64"/>
        <v>432.24287716737376</v>
      </c>
      <c r="AC195" s="335">
        <f t="shared" si="65"/>
        <v>512.30327676836032</v>
      </c>
      <c r="AD195" s="335">
        <f t="shared" si="66"/>
        <v>544.3704899999999</v>
      </c>
      <c r="AE195" s="335">
        <f>MIN(Paper!H86,Paper!I86)</f>
        <v>0</v>
      </c>
      <c r="AF195" s="335">
        <f t="shared" si="67"/>
        <v>1093.1560763959806</v>
      </c>
      <c r="AG195" s="533"/>
      <c r="AI195" s="609">
        <f t="shared" si="68"/>
        <v>2039</v>
      </c>
      <c r="AJ195" s="335">
        <f t="shared" si="69"/>
        <v>22.431208816326489</v>
      </c>
      <c r="AK195" s="335">
        <f t="shared" si="70"/>
        <v>-10.408076809628312</v>
      </c>
      <c r="AL195" s="335">
        <f t="shared" si="71"/>
        <v>3.1517225839546228</v>
      </c>
      <c r="AM195" s="335">
        <f t="shared" si="72"/>
        <v>126.90742677131523</v>
      </c>
      <c r="AN195" s="335">
        <f t="shared" si="73"/>
        <v>195.95564024103976</v>
      </c>
      <c r="AO195" s="335">
        <f t="shared" si="82"/>
        <v>95.850181454978383</v>
      </c>
      <c r="AP195" s="335">
        <f t="shared" si="74"/>
        <v>14.049669882770957</v>
      </c>
      <c r="AS195" s="609">
        <f t="shared" si="75"/>
        <v>2039</v>
      </c>
      <c r="AT195" s="335">
        <f t="shared" si="53"/>
        <v>432.24287716737376</v>
      </c>
      <c r="AU195" s="335">
        <f t="shared" si="53"/>
        <v>512.30327676836032</v>
      </c>
      <c r="AV195" s="335">
        <f t="shared" si="53"/>
        <v>544.3704899999999</v>
      </c>
      <c r="AW195" s="335">
        <f t="shared" si="53"/>
        <v>0</v>
      </c>
      <c r="AX195" s="335">
        <f t="shared" si="53"/>
        <v>1093.1560763959806</v>
      </c>
      <c r="AY195" s="335">
        <f t="shared" si="83"/>
        <v>447.9377729407571</v>
      </c>
      <c r="AZ195" s="335">
        <f t="shared" si="84"/>
        <v>0</v>
      </c>
    </row>
    <row r="196" spans="2:52" ht="14.4" x14ac:dyDescent="0.55000000000000004">
      <c r="B196" s="3">
        <v>2040</v>
      </c>
      <c r="C196" s="334">
        <f t="shared" si="52"/>
        <v>431.06445957560686</v>
      </c>
      <c r="D196" s="532">
        <f>'Food System Summary'!E38-'Food System Summary'!F38</f>
        <v>626.11307655153155</v>
      </c>
      <c r="E196" s="338">
        <f t="shared" si="76"/>
        <v>1.4524813230205864</v>
      </c>
      <c r="F196" s="338">
        <f t="shared" si="54"/>
        <v>0.3245354296208019</v>
      </c>
      <c r="G196" s="334">
        <f t="shared" si="55"/>
        <v>104.42794125687716</v>
      </c>
      <c r="H196" s="338">
        <f t="shared" si="77"/>
        <v>0.24225597572968308</v>
      </c>
      <c r="I196" s="334">
        <f t="shared" si="78"/>
        <v>-299.47655823280184</v>
      </c>
      <c r="J196" s="338">
        <f t="shared" si="79"/>
        <v>-0.69473729875026946</v>
      </c>
      <c r="K196" s="338">
        <f t="shared" si="56"/>
        <v>-0.15522875519984808</v>
      </c>
      <c r="N196" s="3">
        <v>2040</v>
      </c>
      <c r="O196" s="1205">
        <f t="shared" si="57"/>
        <v>668.0333732780523</v>
      </c>
      <c r="P196" s="1205">
        <f t="shared" si="58"/>
        <v>52.504774187249936</v>
      </c>
      <c r="Q196" s="1205">
        <f t="shared" si="59"/>
        <v>558.47433333333333</v>
      </c>
      <c r="R196" s="1205">
        <f t="shared" si="80"/>
        <v>57.054265757469011</v>
      </c>
      <c r="S196" s="1206">
        <f>Paper!E87</f>
        <v>652.40480941635178</v>
      </c>
      <c r="T196" s="1205">
        <f t="shared" si="60"/>
        <v>93.930476083018448</v>
      </c>
      <c r="U196" s="1206">
        <f>Paper!I87</f>
        <v>0</v>
      </c>
      <c r="V196" s="1205">
        <f t="shared" si="61"/>
        <v>93.930476083018448</v>
      </c>
      <c r="Y196" s="609">
        <f t="shared" si="81"/>
        <v>2040</v>
      </c>
      <c r="Z196" s="335">
        <f t="shared" si="62"/>
        <v>3070.2682565731338</v>
      </c>
      <c r="AA196" s="335">
        <f t="shared" si="63"/>
        <v>434.25120172382515</v>
      </c>
      <c r="AB196" s="335">
        <f t="shared" si="64"/>
        <v>413.97425133135948</v>
      </c>
      <c r="AC196" s="335">
        <f t="shared" si="65"/>
        <v>522.5597625091267</v>
      </c>
      <c r="AD196" s="335">
        <f t="shared" si="66"/>
        <v>558.47433333333333</v>
      </c>
      <c r="AE196" s="335">
        <f>MIN(Paper!H87,Paper!I87)</f>
        <v>0</v>
      </c>
      <c r="AF196" s="335">
        <f t="shared" si="67"/>
        <v>1141.0087076754892</v>
      </c>
      <c r="AG196" s="533"/>
      <c r="AI196" s="609">
        <f t="shared" si="68"/>
        <v>2040</v>
      </c>
      <c r="AJ196" s="335">
        <f t="shared" si="69"/>
        <v>24.823208281301731</v>
      </c>
      <c r="AK196" s="335">
        <f t="shared" si="70"/>
        <v>-11.873205110687991</v>
      </c>
      <c r="AL196" s="335">
        <f t="shared" si="71"/>
        <v>4.1402050736336236</v>
      </c>
      <c r="AM196" s="335">
        <f t="shared" si="72"/>
        <v>120.6244493665711</v>
      </c>
      <c r="AN196" s="335">
        <f t="shared" si="73"/>
        <v>186.97750416828774</v>
      </c>
      <c r="AO196" s="335">
        <f t="shared" si="82"/>
        <v>93.930476083018448</v>
      </c>
      <c r="AP196" s="335">
        <f t="shared" si="74"/>
        <v>15.628563861700513</v>
      </c>
      <c r="AS196" s="609">
        <f t="shared" si="75"/>
        <v>2040</v>
      </c>
      <c r="AT196" s="335">
        <f t="shared" si="53"/>
        <v>413.97425133135948</v>
      </c>
      <c r="AU196" s="335">
        <f t="shared" si="53"/>
        <v>522.5597625091267</v>
      </c>
      <c r="AV196" s="335">
        <f t="shared" si="53"/>
        <v>558.47433333333333</v>
      </c>
      <c r="AW196" s="335">
        <f t="shared" si="53"/>
        <v>0</v>
      </c>
      <c r="AX196" s="335">
        <f t="shared" si="53"/>
        <v>1141.0087076754892</v>
      </c>
      <c r="AY196" s="335">
        <f t="shared" si="83"/>
        <v>434.25120172382515</v>
      </c>
      <c r="AZ196" s="335">
        <f t="shared" si="84"/>
        <v>0</v>
      </c>
    </row>
    <row r="197" spans="2:52" ht="14.4" x14ac:dyDescent="0.55000000000000004">
      <c r="B197" s="3">
        <v>2041</v>
      </c>
      <c r="C197" s="334">
        <f t="shared" si="52"/>
        <v>419.20783176892206</v>
      </c>
      <c r="D197" s="532">
        <f>'Food System Summary'!E39-'Food System Summary'!F39</f>
        <v>591.22175956572164</v>
      </c>
      <c r="E197" s="338">
        <f t="shared" si="76"/>
        <v>1.4103309021469284</v>
      </c>
      <c r="F197" s="338">
        <f t="shared" si="54"/>
        <v>0.30649454795292908</v>
      </c>
      <c r="G197" s="334">
        <f t="shared" si="55"/>
        <v>116.70603353170763</v>
      </c>
      <c r="H197" s="338">
        <f t="shared" si="77"/>
        <v>0.27839659635948533</v>
      </c>
      <c r="I197" s="334">
        <f t="shared" si="78"/>
        <v>-288.71996132850722</v>
      </c>
      <c r="J197" s="338">
        <f t="shared" si="79"/>
        <v>-0.68872749850641379</v>
      </c>
      <c r="K197" s="338">
        <f t="shared" si="56"/>
        <v>-0.14967496138397982</v>
      </c>
      <c r="N197" s="3">
        <v>2041</v>
      </c>
      <c r="O197" s="1205">
        <f t="shared" si="57"/>
        <v>683.48745471680479</v>
      </c>
      <c r="P197" s="1205">
        <f t="shared" si="58"/>
        <v>56.527524880467986</v>
      </c>
      <c r="Q197" s="1205">
        <f t="shared" si="59"/>
        <v>573.14611666666667</v>
      </c>
      <c r="R197" s="1205">
        <f t="shared" si="80"/>
        <v>53.813813169670084</v>
      </c>
      <c r="S197" s="1206">
        <f>Paper!E88</f>
        <v>664.41938351539886</v>
      </c>
      <c r="T197" s="1205">
        <f t="shared" si="60"/>
        <v>91.273266848732192</v>
      </c>
      <c r="U197" s="1206">
        <f>Paper!I88</f>
        <v>0</v>
      </c>
      <c r="V197" s="1205">
        <f t="shared" si="61"/>
        <v>91.273266848732192</v>
      </c>
      <c r="Y197" s="609">
        <f t="shared" si="81"/>
        <v>2041</v>
      </c>
      <c r="Z197" s="335">
        <f t="shared" si="62"/>
        <v>3117.3237746717477</v>
      </c>
      <c r="AA197" s="335">
        <f t="shared" si="63"/>
        <v>421.74486290027312</v>
      </c>
      <c r="AB197" s="335">
        <f t="shared" si="64"/>
        <v>400.12895354468725</v>
      </c>
      <c r="AC197" s="335">
        <f t="shared" si="65"/>
        <v>533.95976168059667</v>
      </c>
      <c r="AD197" s="335">
        <f t="shared" si="66"/>
        <v>573.14611666666667</v>
      </c>
      <c r="AE197" s="335">
        <f>MIN(Paper!H88,Paper!I88)</f>
        <v>0</v>
      </c>
      <c r="AF197" s="335">
        <f t="shared" si="67"/>
        <v>1188.3440798795241</v>
      </c>
      <c r="AG197" s="533"/>
      <c r="AI197" s="609">
        <f t="shared" si="68"/>
        <v>2041</v>
      </c>
      <c r="AJ197" s="335">
        <f t="shared" si="69"/>
        <v>26.907531537936507</v>
      </c>
      <c r="AK197" s="335">
        <f t="shared" si="70"/>
        <v>-13.140148073685737</v>
      </c>
      <c r="AL197" s="335">
        <f t="shared" si="71"/>
        <v>5.311494759984086</v>
      </c>
      <c r="AM197" s="335">
        <f t="shared" si="72"/>
        <v>113.99511128882564</v>
      </c>
      <c r="AN197" s="335">
        <f t="shared" si="73"/>
        <v>178.3295353370745</v>
      </c>
      <c r="AO197" s="335">
        <f t="shared" si="82"/>
        <v>91.273266848732192</v>
      </c>
      <c r="AP197" s="335">
        <f t="shared" si="74"/>
        <v>19.068071201405928</v>
      </c>
      <c r="AS197" s="609">
        <f t="shared" si="75"/>
        <v>2041</v>
      </c>
      <c r="AT197" s="335">
        <f t="shared" si="53"/>
        <v>400.12895354468725</v>
      </c>
      <c r="AU197" s="335">
        <f t="shared" si="53"/>
        <v>533.95976168059667</v>
      </c>
      <c r="AV197" s="335">
        <f t="shared" si="53"/>
        <v>573.14611666666667</v>
      </c>
      <c r="AW197" s="335">
        <f t="shared" si="53"/>
        <v>0</v>
      </c>
      <c r="AX197" s="335">
        <f t="shared" si="53"/>
        <v>1188.3440798795241</v>
      </c>
      <c r="AY197" s="335">
        <f t="shared" si="83"/>
        <v>421.74486290027312</v>
      </c>
      <c r="AZ197" s="335">
        <f t="shared" si="84"/>
        <v>0</v>
      </c>
    </row>
    <row r="198" spans="2:52" ht="14.4" x14ac:dyDescent="0.55000000000000004">
      <c r="B198" s="3">
        <v>2042</v>
      </c>
      <c r="C198" s="334">
        <f t="shared" si="52"/>
        <v>406.38743147484627</v>
      </c>
      <c r="D198" s="532">
        <f>'Food System Summary'!E40-'Food System Summary'!F40</f>
        <v>556.70699380165183</v>
      </c>
      <c r="E198" s="338">
        <f t="shared" si="76"/>
        <v>1.3698922522807149</v>
      </c>
      <c r="F198" s="338">
        <f t="shared" si="54"/>
        <v>0.28926695168858052</v>
      </c>
      <c r="G198" s="334">
        <f t="shared" si="55"/>
        <v>129.77166720514435</v>
      </c>
      <c r="H198" s="338">
        <f t="shared" si="77"/>
        <v>0.31932992301012314</v>
      </c>
      <c r="I198" s="334">
        <f t="shared" si="78"/>
        <v>-280.09122953194992</v>
      </c>
      <c r="J198" s="338">
        <f t="shared" si="79"/>
        <v>-0.68922217529083807</v>
      </c>
      <c r="K198" s="338">
        <f t="shared" si="56"/>
        <v>-0.14553640795517031</v>
      </c>
      <c r="N198" s="3">
        <v>2042</v>
      </c>
      <c r="O198" s="1205">
        <f t="shared" si="57"/>
        <v>698.12564563150011</v>
      </c>
      <c r="P198" s="1205">
        <f t="shared" si="58"/>
        <v>60.579590245967083</v>
      </c>
      <c r="Q198" s="1205">
        <f t="shared" si="59"/>
        <v>588.38584000000003</v>
      </c>
      <c r="R198" s="1205">
        <f t="shared" si="80"/>
        <v>49.160215385532979</v>
      </c>
      <c r="S198" s="1206">
        <f>Paper!E89</f>
        <v>676.24735064553647</v>
      </c>
      <c r="T198" s="1205">
        <f t="shared" si="60"/>
        <v>87.861510645536441</v>
      </c>
      <c r="U198" s="1206">
        <f>Paper!I89</f>
        <v>0</v>
      </c>
      <c r="V198" s="1205">
        <f t="shared" si="61"/>
        <v>87.861510645536441</v>
      </c>
      <c r="Y198" s="609">
        <f t="shared" si="81"/>
        <v>2042</v>
      </c>
      <c r="Z198" s="335">
        <f t="shared" si="62"/>
        <v>3159.6894567667218</v>
      </c>
      <c r="AA198" s="335">
        <f t="shared" si="63"/>
        <v>406.36358609939782</v>
      </c>
      <c r="AB198" s="335">
        <f t="shared" si="64"/>
        <v>385.25288249947664</v>
      </c>
      <c r="AC198" s="335">
        <f t="shared" si="65"/>
        <v>544.54175200640452</v>
      </c>
      <c r="AD198" s="335">
        <f t="shared" si="66"/>
        <v>588.38584000000003</v>
      </c>
      <c r="AE198" s="335">
        <f>MIN(Paper!H89,Paper!I89)</f>
        <v>0</v>
      </c>
      <c r="AF198" s="335">
        <f t="shared" si="67"/>
        <v>1235.1453961614427</v>
      </c>
      <c r="AG198" s="533"/>
      <c r="AI198" s="609">
        <f t="shared" si="68"/>
        <v>2042</v>
      </c>
      <c r="AJ198" s="335">
        <f t="shared" si="69"/>
        <v>28.952054896806203</v>
      </c>
      <c r="AK198" s="335">
        <f t="shared" si="70"/>
        <v>-14.566399818595016</v>
      </c>
      <c r="AL198" s="335">
        <f t="shared" si="71"/>
        <v>6.7488938971584673</v>
      </c>
      <c r="AM198" s="335">
        <f t="shared" si="72"/>
        <v>106.93955298273647</v>
      </c>
      <c r="AN198" s="335">
        <f t="shared" si="73"/>
        <v>168.54967850979187</v>
      </c>
      <c r="AO198" s="335">
        <f t="shared" si="82"/>
        <v>87.861510645536441</v>
      </c>
      <c r="AP198" s="335">
        <f t="shared" si="74"/>
        <v>21.878294985963407</v>
      </c>
      <c r="AS198" s="609">
        <f t="shared" si="75"/>
        <v>2042</v>
      </c>
      <c r="AT198" s="335">
        <f t="shared" si="53"/>
        <v>385.25288249947664</v>
      </c>
      <c r="AU198" s="335">
        <f t="shared" si="53"/>
        <v>544.54175200640452</v>
      </c>
      <c r="AV198" s="335">
        <f t="shared" si="53"/>
        <v>588.38584000000003</v>
      </c>
      <c r="AW198" s="335">
        <f t="shared" si="53"/>
        <v>0</v>
      </c>
      <c r="AX198" s="335">
        <f t="shared" si="53"/>
        <v>1235.1453961614427</v>
      </c>
      <c r="AY198" s="335">
        <f t="shared" si="83"/>
        <v>406.36358609939782</v>
      </c>
      <c r="AZ198" s="335">
        <f t="shared" si="84"/>
        <v>0</v>
      </c>
    </row>
    <row r="199" spans="2:52" ht="14.4" x14ac:dyDescent="0.55000000000000004">
      <c r="B199" s="3">
        <v>2043</v>
      </c>
      <c r="C199" s="334">
        <f t="shared" si="52"/>
        <v>394.87262793385878</v>
      </c>
      <c r="D199" s="532">
        <f>'Food System Summary'!E41-'Food System Summary'!F41</f>
        <v>522.58163397169665</v>
      </c>
      <c r="E199" s="338">
        <f t="shared" si="76"/>
        <v>1.3234182290782361</v>
      </c>
      <c r="F199" s="338">
        <f t="shared" si="54"/>
        <v>0.27208646395293012</v>
      </c>
      <c r="G199" s="334">
        <f t="shared" si="55"/>
        <v>143.63570714906891</v>
      </c>
      <c r="H199" s="338">
        <f t="shared" si="77"/>
        <v>0.36375199744948616</v>
      </c>
      <c r="I199" s="334">
        <f t="shared" si="78"/>
        <v>-271.3447131869068</v>
      </c>
      <c r="J199" s="338">
        <f t="shared" si="79"/>
        <v>-0.68717022652772242</v>
      </c>
      <c r="K199" s="338">
        <f t="shared" si="56"/>
        <v>-0.14127787645775955</v>
      </c>
      <c r="N199" s="3">
        <v>2043</v>
      </c>
      <c r="O199" s="1205">
        <f t="shared" si="57"/>
        <v>712.96080417938379</v>
      </c>
      <c r="P199" s="1205">
        <f t="shared" si="58"/>
        <v>64.650897836060167</v>
      </c>
      <c r="Q199" s="1205">
        <f t="shared" si="59"/>
        <v>604.1935033333333</v>
      </c>
      <c r="R199" s="1205">
        <f t="shared" si="80"/>
        <v>44.116403009990336</v>
      </c>
      <c r="S199" s="1206">
        <f>Paper!E90</f>
        <v>687.88010807954925</v>
      </c>
      <c r="T199" s="1205">
        <f t="shared" si="60"/>
        <v>83.686604746215949</v>
      </c>
      <c r="U199" s="1206">
        <f>Paper!I90</f>
        <v>0</v>
      </c>
      <c r="V199" s="1205">
        <f t="shared" si="61"/>
        <v>83.686604746215949</v>
      </c>
      <c r="Y199" s="609">
        <f t="shared" si="81"/>
        <v>2043</v>
      </c>
      <c r="Z199" s="335">
        <f t="shared" si="62"/>
        <v>3202.0346277752164</v>
      </c>
      <c r="AA199" s="335">
        <f t="shared" si="63"/>
        <v>389.74582710801815</v>
      </c>
      <c r="AB199" s="335">
        <f t="shared" si="64"/>
        <v>371.61086917726163</v>
      </c>
      <c r="AC199" s="335">
        <f t="shared" si="65"/>
        <v>555.09526866201861</v>
      </c>
      <c r="AD199" s="335">
        <f t="shared" si="66"/>
        <v>604.1935033333333</v>
      </c>
      <c r="AE199" s="335">
        <f>MIN(Paper!H90,Paper!I90)</f>
        <v>0</v>
      </c>
      <c r="AF199" s="335">
        <f t="shared" si="67"/>
        <v>1281.3891594945849</v>
      </c>
      <c r="AG199" s="533"/>
      <c r="AI199" s="609">
        <f t="shared" si="68"/>
        <v>2043</v>
      </c>
      <c r="AJ199" s="335">
        <f t="shared" si="69"/>
        <v>30.785035578900988</v>
      </c>
      <c r="AK199" s="335">
        <f t="shared" si="70"/>
        <v>-15.984788034204115</v>
      </c>
      <c r="AL199" s="335">
        <f t="shared" si="71"/>
        <v>8.4615112119003015</v>
      </c>
      <c r="AM199" s="335">
        <f t="shared" si="72"/>
        <v>99.50815442031724</v>
      </c>
      <c r="AN199" s="335">
        <f t="shared" si="73"/>
        <v>158.208613085053</v>
      </c>
      <c r="AO199" s="335">
        <f t="shared" si="82"/>
        <v>83.686604746215949</v>
      </c>
      <c r="AP199" s="335">
        <f t="shared" si="74"/>
        <v>25.080696099834825</v>
      </c>
      <c r="AS199" s="609">
        <f t="shared" si="75"/>
        <v>2043</v>
      </c>
      <c r="AT199" s="335">
        <f t="shared" si="53"/>
        <v>371.61086917726163</v>
      </c>
      <c r="AU199" s="335">
        <f t="shared" si="53"/>
        <v>555.09526866201861</v>
      </c>
      <c r="AV199" s="335">
        <f t="shared" si="53"/>
        <v>604.1935033333333</v>
      </c>
      <c r="AW199" s="335">
        <f t="shared" si="53"/>
        <v>0</v>
      </c>
      <c r="AX199" s="335">
        <f t="shared" si="53"/>
        <v>1281.3891594945849</v>
      </c>
      <c r="AY199" s="335">
        <f t="shared" si="83"/>
        <v>389.74582710801815</v>
      </c>
      <c r="AZ199" s="335">
        <f t="shared" si="84"/>
        <v>0</v>
      </c>
    </row>
    <row r="200" spans="2:52" ht="14.4" x14ac:dyDescent="0.55000000000000004">
      <c r="B200" s="3">
        <v>2044</v>
      </c>
      <c r="C200" s="334">
        <f t="shared" si="52"/>
        <v>384.71371740132088</v>
      </c>
      <c r="D200" s="532">
        <f>'Food System Summary'!E42-'Food System Summary'!F42</f>
        <v>488.858721653668</v>
      </c>
      <c r="E200" s="338">
        <f t="shared" si="76"/>
        <v>1.2707078004803931</v>
      </c>
      <c r="F200" s="338">
        <f t="shared" si="54"/>
        <v>0.25496789466024816</v>
      </c>
      <c r="G200" s="334">
        <f t="shared" si="55"/>
        <v>158.30839239734459</v>
      </c>
      <c r="H200" s="338">
        <f t="shared" si="77"/>
        <v>0.41149661485088768</v>
      </c>
      <c r="I200" s="334">
        <f t="shared" si="78"/>
        <v>-262.45339664969174</v>
      </c>
      <c r="J200" s="338">
        <f t="shared" si="79"/>
        <v>-0.68220441533128096</v>
      </c>
      <c r="K200" s="338">
        <f t="shared" si="56"/>
        <v>-0.13688451699059676</v>
      </c>
      <c r="N200" s="3">
        <v>2044</v>
      </c>
      <c r="O200" s="1205">
        <f t="shared" si="57"/>
        <v>727.99571763837832</v>
      </c>
      <c r="P200" s="1205">
        <f t="shared" si="58"/>
        <v>68.73200104177694</v>
      </c>
      <c r="Q200" s="1205">
        <f t="shared" si="59"/>
        <v>620.5691066666667</v>
      </c>
      <c r="R200" s="1205">
        <f t="shared" si="80"/>
        <v>38.6946099299347</v>
      </c>
      <c r="S200" s="1206">
        <f>Paper!E91</f>
        <v>699.32011372535237</v>
      </c>
      <c r="T200" s="1205">
        <f t="shared" si="60"/>
        <v>78.751007058685673</v>
      </c>
      <c r="U200" s="1206">
        <f>Paper!I91</f>
        <v>0</v>
      </c>
      <c r="V200" s="1205">
        <f t="shared" si="61"/>
        <v>78.751007058685673</v>
      </c>
      <c r="Y200" s="609">
        <f t="shared" si="81"/>
        <v>2044</v>
      </c>
      <c r="Z200" s="335">
        <f t="shared" si="62"/>
        <v>3244.3847108106588</v>
      </c>
      <c r="AA200" s="335">
        <f t="shared" si="63"/>
        <v>371.89493225422314</v>
      </c>
      <c r="AB200" s="335">
        <f t="shared" si="64"/>
        <v>359.25059701276848</v>
      </c>
      <c r="AC200" s="335">
        <f t="shared" si="65"/>
        <v>565.61978887730038</v>
      </c>
      <c r="AD200" s="335">
        <f t="shared" si="66"/>
        <v>620.5691066666667</v>
      </c>
      <c r="AE200" s="335">
        <f>MIN(Paper!H91,Paper!I91)</f>
        <v>0</v>
      </c>
      <c r="AF200" s="335">
        <f t="shared" si="67"/>
        <v>1327.0502859997002</v>
      </c>
      <c r="AG200" s="533"/>
      <c r="AI200" s="609">
        <f t="shared" si="68"/>
        <v>2044</v>
      </c>
      <c r="AJ200" s="335">
        <f t="shared" si="69"/>
        <v>32.356185702304856</v>
      </c>
      <c r="AK200" s="335">
        <f t="shared" si="70"/>
        <v>-17.371053157182388</v>
      </c>
      <c r="AL200" s="335">
        <f t="shared" si="71"/>
        <v>10.477987843429929</v>
      </c>
      <c r="AM200" s="335">
        <f t="shared" si="72"/>
        <v>91.717164362828768</v>
      </c>
      <c r="AN200" s="335">
        <f t="shared" si="73"/>
        <v>147.28803653113039</v>
      </c>
      <c r="AO200" s="335">
        <f t="shared" si="82"/>
        <v>78.751007058685673</v>
      </c>
      <c r="AP200" s="335">
        <f t="shared" si="74"/>
        <v>28.675603913025896</v>
      </c>
      <c r="AS200" s="609">
        <f t="shared" si="75"/>
        <v>2044</v>
      </c>
      <c r="AT200" s="335">
        <f t="shared" si="53"/>
        <v>359.25059701276848</v>
      </c>
      <c r="AU200" s="335">
        <f t="shared" si="53"/>
        <v>565.61978887730038</v>
      </c>
      <c r="AV200" s="335">
        <f t="shared" si="53"/>
        <v>620.5691066666667</v>
      </c>
      <c r="AW200" s="335">
        <f t="shared" si="53"/>
        <v>0</v>
      </c>
      <c r="AX200" s="335">
        <f t="shared" si="53"/>
        <v>1327.0502859997002</v>
      </c>
      <c r="AY200" s="335">
        <f t="shared" si="83"/>
        <v>371.89493225422314</v>
      </c>
      <c r="AZ200" s="335">
        <f t="shared" si="84"/>
        <v>0</v>
      </c>
    </row>
    <row r="201" spans="2:52" ht="14.4" x14ac:dyDescent="0.55000000000000004">
      <c r="B201" s="3">
        <v>2045</v>
      </c>
      <c r="C201" s="334">
        <f t="shared" si="52"/>
        <v>376.01046672901441</v>
      </c>
      <c r="D201" s="532">
        <f>'Food System Summary'!E43-'Food System Summary'!F43</f>
        <v>455.55228225419614</v>
      </c>
      <c r="E201" s="338">
        <f t="shared" si="76"/>
        <v>1.2115414930257951</v>
      </c>
      <c r="F201" s="338">
        <f t="shared" si="54"/>
        <v>0.23791528405148762</v>
      </c>
      <c r="G201" s="334">
        <f t="shared" si="55"/>
        <v>173.79936437148976</v>
      </c>
      <c r="H201" s="338">
        <f t="shared" si="77"/>
        <v>0.46221948522710826</v>
      </c>
      <c r="I201" s="334">
        <f t="shared" si="78"/>
        <v>-253.34117989667149</v>
      </c>
      <c r="J201" s="338">
        <f t="shared" si="79"/>
        <v>-0.67376097825290326</v>
      </c>
      <c r="K201" s="338">
        <f t="shared" si="56"/>
        <v>-0.13230915775200341</v>
      </c>
      <c r="N201" s="3">
        <v>2045</v>
      </c>
      <c r="O201" s="1205">
        <f t="shared" si="57"/>
        <v>743.2574455163824</v>
      </c>
      <c r="P201" s="1205">
        <f t="shared" si="58"/>
        <v>72.814050865560745</v>
      </c>
      <c r="Q201" s="1205">
        <f t="shared" si="59"/>
        <v>637.51264999999989</v>
      </c>
      <c r="R201" s="1205">
        <f t="shared" si="80"/>
        <v>32.930744650821794</v>
      </c>
      <c r="S201" s="1206">
        <f>Paper!E92</f>
        <v>710.58087292819198</v>
      </c>
      <c r="T201" s="1205">
        <f t="shared" si="60"/>
        <v>73.068222928192085</v>
      </c>
      <c r="U201" s="1206">
        <f>Paper!I92</f>
        <v>0</v>
      </c>
      <c r="V201" s="1205">
        <f t="shared" si="61"/>
        <v>73.068222928192085</v>
      </c>
      <c r="Y201" s="609">
        <f t="shared" si="81"/>
        <v>2045</v>
      </c>
      <c r="Z201" s="335">
        <f t="shared" si="62"/>
        <v>3286.87091114945</v>
      </c>
      <c r="AA201" s="335">
        <f t="shared" si="63"/>
        <v>352.85204416657211</v>
      </c>
      <c r="AB201" s="335">
        <f t="shared" si="64"/>
        <v>348.26868937379083</v>
      </c>
      <c r="AC201" s="335">
        <f t="shared" si="65"/>
        <v>576.1333960315178</v>
      </c>
      <c r="AD201" s="335">
        <f t="shared" si="66"/>
        <v>637.51264999999989</v>
      </c>
      <c r="AE201" s="335">
        <f>MIN(Paper!H92,Paper!I92)</f>
        <v>0</v>
      </c>
      <c r="AF201" s="335">
        <f t="shared" si="67"/>
        <v>1372.1041315775694</v>
      </c>
      <c r="AG201" s="533"/>
      <c r="AI201" s="609">
        <f t="shared" si="68"/>
        <v>2045</v>
      </c>
      <c r="AJ201" s="335">
        <f t="shared" si="69"/>
        <v>33.610314356136769</v>
      </c>
      <c r="AK201" s="335">
        <f t="shared" si="70"/>
        <v>-18.691327049329686</v>
      </c>
      <c r="AL201" s="335">
        <f t="shared" si="71"/>
        <v>12.822790048416493</v>
      </c>
      <c r="AM201" s="335">
        <f t="shared" si="72"/>
        <v>83.586697149531133</v>
      </c>
      <c r="AN201" s="335">
        <f t="shared" si="73"/>
        <v>135.77877414543468</v>
      </c>
      <c r="AO201" s="335">
        <f t="shared" si="82"/>
        <v>73.068222928192085</v>
      </c>
      <c r="AP201" s="335">
        <f t="shared" si="74"/>
        <v>32.676572588190652</v>
      </c>
      <c r="AS201" s="609">
        <f t="shared" si="75"/>
        <v>2045</v>
      </c>
      <c r="AT201" s="335">
        <f t="shared" si="53"/>
        <v>348.26868937379083</v>
      </c>
      <c r="AU201" s="335">
        <f t="shared" si="53"/>
        <v>576.1333960315178</v>
      </c>
      <c r="AV201" s="335">
        <f t="shared" si="53"/>
        <v>637.51264999999989</v>
      </c>
      <c r="AW201" s="335">
        <f t="shared" si="53"/>
        <v>0</v>
      </c>
      <c r="AX201" s="335">
        <f t="shared" si="53"/>
        <v>1372.1041315775694</v>
      </c>
      <c r="AY201" s="335">
        <f t="shared" si="83"/>
        <v>352.85204416657211</v>
      </c>
      <c r="AZ201" s="335">
        <f t="shared" si="84"/>
        <v>0</v>
      </c>
    </row>
    <row r="202" spans="2:52" ht="14.4" x14ac:dyDescent="0.55000000000000004">
      <c r="B202" s="3">
        <v>2046</v>
      </c>
      <c r="C202" s="334">
        <f t="shared" si="52"/>
        <v>368.60126282517479</v>
      </c>
      <c r="D202" s="532">
        <f>'Food System Summary'!E44-'Food System Summary'!F44</f>
        <v>422.67786219242817</v>
      </c>
      <c r="E202" s="338">
        <f t="shared" si="76"/>
        <v>1.1467075803071829</v>
      </c>
      <c r="F202" s="338">
        <f t="shared" si="54"/>
        <v>0.22100135674626931</v>
      </c>
      <c r="G202" s="334">
        <f t="shared" si="55"/>
        <v>190.11769401529625</v>
      </c>
      <c r="H202" s="338">
        <f t="shared" si="77"/>
        <v>0.51578145055207758</v>
      </c>
      <c r="I202" s="334">
        <f t="shared" si="78"/>
        <v>-244.19429338254963</v>
      </c>
      <c r="J202" s="338">
        <f t="shared" si="79"/>
        <v>-0.66248903085926059</v>
      </c>
      <c r="K202" s="338">
        <f t="shared" si="56"/>
        <v>-0.12767943385374386</v>
      </c>
      <c r="N202" s="3">
        <v>2046</v>
      </c>
      <c r="O202" s="1205">
        <f t="shared" si="57"/>
        <v>758.65168447919359</v>
      </c>
      <c r="P202" s="1205">
        <f t="shared" si="58"/>
        <v>76.888768789444043</v>
      </c>
      <c r="Q202" s="1205">
        <f t="shared" si="59"/>
        <v>655.02413333333322</v>
      </c>
      <c r="R202" s="1205">
        <f t="shared" si="80"/>
        <v>26.738782356416323</v>
      </c>
      <c r="S202" s="1206">
        <f>Paper!E93</f>
        <v>721.68660694963353</v>
      </c>
      <c r="T202" s="1205">
        <f t="shared" si="60"/>
        <v>66.662473616300304</v>
      </c>
      <c r="U202" s="1206">
        <f>Paper!I93</f>
        <v>0</v>
      </c>
      <c r="V202" s="1205">
        <f t="shared" si="61"/>
        <v>66.662473616300304</v>
      </c>
      <c r="Y202" s="609">
        <f t="shared" si="81"/>
        <v>2046</v>
      </c>
      <c r="Z202" s="335">
        <f t="shared" si="62"/>
        <v>3329.08709032667</v>
      </c>
      <c r="AA202" s="335">
        <f t="shared" si="63"/>
        <v>332.47067710197325</v>
      </c>
      <c r="AB202" s="335">
        <f t="shared" si="64"/>
        <v>338.50313646090456</v>
      </c>
      <c r="AC202" s="335">
        <f t="shared" si="65"/>
        <v>586.5598238585759</v>
      </c>
      <c r="AD202" s="335">
        <f t="shared" si="66"/>
        <v>655.02413333333322</v>
      </c>
      <c r="AE202" s="335">
        <f>MIN(Paper!H93,Paper!I93)</f>
        <v>0</v>
      </c>
      <c r="AF202" s="335">
        <f t="shared" si="67"/>
        <v>1416.5293195718832</v>
      </c>
      <c r="AG202" s="533"/>
      <c r="AI202" s="609">
        <f t="shared" si="68"/>
        <v>2046</v>
      </c>
      <c r="AJ202" s="335">
        <f t="shared" si="69"/>
        <v>34.513749654952164</v>
      </c>
      <c r="AK202" s="335">
        <f t="shared" si="70"/>
        <v>-19.939678565744941</v>
      </c>
      <c r="AL202" s="335">
        <f t="shared" si="71"/>
        <v>15.524055275063034</v>
      </c>
      <c r="AM202" s="335">
        <f t="shared" si="72"/>
        <v>75.131871850232216</v>
      </c>
      <c r="AN202" s="335">
        <f t="shared" si="73"/>
        <v>123.61312774161047</v>
      </c>
      <c r="AO202" s="335">
        <f t="shared" si="82"/>
        <v>66.662473616300304</v>
      </c>
      <c r="AP202" s="335">
        <f t="shared" si="74"/>
        <v>36.965077529560034</v>
      </c>
      <c r="AS202" s="609">
        <f t="shared" si="75"/>
        <v>2046</v>
      </c>
      <c r="AT202" s="335">
        <f t="shared" si="53"/>
        <v>338.50313646090456</v>
      </c>
      <c r="AU202" s="335">
        <f t="shared" si="53"/>
        <v>586.5598238585759</v>
      </c>
      <c r="AV202" s="335">
        <f t="shared" si="53"/>
        <v>655.02413333333322</v>
      </c>
      <c r="AW202" s="335">
        <f t="shared" si="53"/>
        <v>0</v>
      </c>
      <c r="AX202" s="335">
        <f t="shared" si="53"/>
        <v>1416.5293195718832</v>
      </c>
      <c r="AY202" s="335">
        <f t="shared" si="83"/>
        <v>332.47067710197325</v>
      </c>
      <c r="AZ202" s="335">
        <f t="shared" si="84"/>
        <v>0</v>
      </c>
    </row>
    <row r="203" spans="2:52" ht="14.4" x14ac:dyDescent="0.55000000000000004">
      <c r="B203" s="3">
        <v>2047</v>
      </c>
      <c r="C203" s="334">
        <f t="shared" si="52"/>
        <v>362.54072237863284</v>
      </c>
      <c r="D203" s="532">
        <f>'Food System Summary'!E45-'Food System Summary'!F45</f>
        <v>390.25127047156889</v>
      </c>
      <c r="E203" s="338">
        <f t="shared" si="76"/>
        <v>1.0764343048447824</v>
      </c>
      <c r="F203" s="338">
        <f t="shared" si="54"/>
        <v>0.20423700379051712</v>
      </c>
      <c r="G203" s="334">
        <f t="shared" si="55"/>
        <v>207.27190786916523</v>
      </c>
      <c r="H203" s="338">
        <f t="shared" si="77"/>
        <v>0.57172034774259961</v>
      </c>
      <c r="I203" s="334">
        <f t="shared" si="78"/>
        <v>-234.98245596210128</v>
      </c>
      <c r="J203" s="338">
        <f t="shared" si="79"/>
        <v>-0.64815465258738203</v>
      </c>
      <c r="K203" s="338">
        <f t="shared" si="56"/>
        <v>-0.12297746703308449</v>
      </c>
      <c r="N203" s="3">
        <v>2047</v>
      </c>
      <c r="O203" s="1205">
        <f t="shared" si="57"/>
        <v>774.18582226794865</v>
      </c>
      <c r="P203" s="1205">
        <f t="shared" si="58"/>
        <v>80.948420696521708</v>
      </c>
      <c r="Q203" s="1205">
        <f t="shared" si="59"/>
        <v>673.10355666666658</v>
      </c>
      <c r="R203" s="1205">
        <f t="shared" si="80"/>
        <v>20.133844904760394</v>
      </c>
      <c r="S203" s="1206">
        <f>Paper!E94</f>
        <v>732.67074481100497</v>
      </c>
      <c r="T203" s="1205">
        <f t="shared" si="60"/>
        <v>59.567188144338388</v>
      </c>
      <c r="U203" s="1206">
        <f>Paper!I94</f>
        <v>0</v>
      </c>
      <c r="V203" s="1205">
        <f t="shared" si="61"/>
        <v>59.567188144338388</v>
      </c>
      <c r="Y203" s="609">
        <f t="shared" si="81"/>
        <v>2047</v>
      </c>
      <c r="Z203" s="335">
        <f t="shared" si="62"/>
        <v>3371.0816863003333</v>
      </c>
      <c r="AA203" s="335">
        <f t="shared" si="63"/>
        <v>310.76614102125973</v>
      </c>
      <c r="AB203" s="335">
        <f t="shared" si="64"/>
        <v>330.00488056714016</v>
      </c>
      <c r="AC203" s="335">
        <f t="shared" si="65"/>
        <v>596.90193740437724</v>
      </c>
      <c r="AD203" s="335">
        <f t="shared" si="66"/>
        <v>673.10355666666658</v>
      </c>
      <c r="AE203" s="335">
        <f>MIN(Paper!H94,Paper!I94)</f>
        <v>0</v>
      </c>
      <c r="AF203" s="335">
        <f t="shared" si="67"/>
        <v>1460.3051706408896</v>
      </c>
      <c r="AG203" s="533"/>
      <c r="AI203" s="609">
        <f t="shared" si="68"/>
        <v>2047</v>
      </c>
      <c r="AJ203" s="335">
        <f t="shared" si="69"/>
        <v>35.02269626289393</v>
      </c>
      <c r="AK203" s="335">
        <f t="shared" si="70"/>
        <v>-21.088257245966048</v>
      </c>
      <c r="AL203" s="335">
        <f t="shared" si="71"/>
        <v>18.601402794564819</v>
      </c>
      <c r="AM203" s="335">
        <f t="shared" si="72"/>
        <v>66.376288193861399</v>
      </c>
      <c r="AN203" s="335">
        <f t="shared" si="73"/>
        <v>110.77174541462352</v>
      </c>
      <c r="AO203" s="335">
        <f t="shared" si="82"/>
        <v>59.567188144338388</v>
      </c>
      <c r="AP203" s="335">
        <f t="shared" si="74"/>
        <v>41.515077456943743</v>
      </c>
      <c r="AS203" s="609">
        <f t="shared" si="75"/>
        <v>2047</v>
      </c>
      <c r="AT203" s="335">
        <f t="shared" si="53"/>
        <v>330.00488056714016</v>
      </c>
      <c r="AU203" s="335">
        <f t="shared" si="53"/>
        <v>596.90193740437724</v>
      </c>
      <c r="AV203" s="335">
        <f t="shared" si="53"/>
        <v>673.10355666666658</v>
      </c>
      <c r="AW203" s="335">
        <f t="shared" si="53"/>
        <v>0</v>
      </c>
      <c r="AX203" s="335">
        <f t="shared" si="53"/>
        <v>1460.3051706408896</v>
      </c>
      <c r="AY203" s="335">
        <f t="shared" si="83"/>
        <v>310.76614102125973</v>
      </c>
      <c r="AZ203" s="335">
        <f t="shared" si="84"/>
        <v>0</v>
      </c>
    </row>
    <row r="204" spans="2:52" ht="14.4" x14ac:dyDescent="0.55000000000000004">
      <c r="B204" s="3">
        <v>2048</v>
      </c>
      <c r="C204" s="334">
        <f t="shared" si="52"/>
        <v>357.90201678212162</v>
      </c>
      <c r="D204" s="532">
        <f>'Food System Summary'!E46-'Food System Summary'!F46</f>
        <v>358.28768606202789</v>
      </c>
      <c r="E204" s="338">
        <f t="shared" si="76"/>
        <v>1.0010775834217807</v>
      </c>
      <c r="F204" s="338">
        <f t="shared" si="54"/>
        <v>0.18763140260232172</v>
      </c>
      <c r="G204" s="334">
        <f t="shared" si="55"/>
        <v>225.27001313225611</v>
      </c>
      <c r="H204" s="338">
        <f t="shared" si="77"/>
        <v>0.62941811604652875</v>
      </c>
      <c r="I204" s="334">
        <f t="shared" si="78"/>
        <v>-225.65568241216238</v>
      </c>
      <c r="J204" s="338">
        <f t="shared" si="79"/>
        <v>-0.63049569946830941</v>
      </c>
      <c r="K204" s="338">
        <f t="shared" si="56"/>
        <v>-0.11817345067462921</v>
      </c>
      <c r="N204" s="3">
        <v>2048</v>
      </c>
      <c r="O204" s="1205">
        <f t="shared" si="57"/>
        <v>789.87577806019704</v>
      </c>
      <c r="P204" s="1205">
        <f t="shared" si="58"/>
        <v>84.985791812760169</v>
      </c>
      <c r="Q204" s="1205">
        <f t="shared" si="59"/>
        <v>691.75091999999984</v>
      </c>
      <c r="R204" s="1205">
        <f t="shared" si="80"/>
        <v>13.139066247436972</v>
      </c>
      <c r="S204" s="1206">
        <f>Paper!E95</f>
        <v>743.57402231909225</v>
      </c>
      <c r="T204" s="1205">
        <f t="shared" si="60"/>
        <v>51.823102319092413</v>
      </c>
      <c r="U204" s="1206">
        <f>Paper!I95</f>
        <v>0</v>
      </c>
      <c r="V204" s="1205">
        <f t="shared" si="61"/>
        <v>51.823102319092413</v>
      </c>
      <c r="Y204" s="609">
        <f t="shared" si="81"/>
        <v>2048</v>
      </c>
      <c r="Z204" s="335">
        <f t="shared" si="62"/>
        <v>3412.9379410699567</v>
      </c>
      <c r="AA204" s="335">
        <f t="shared" si="63"/>
        <v>287.76554983644712</v>
      </c>
      <c r="AB204" s="335">
        <f t="shared" si="64"/>
        <v>322.84362476899452</v>
      </c>
      <c r="AC204" s="335">
        <f t="shared" si="65"/>
        <v>607.16933966205306</v>
      </c>
      <c r="AD204" s="335">
        <f t="shared" si="66"/>
        <v>691.75091999999984</v>
      </c>
      <c r="AE204" s="335">
        <f>MIN(Paper!H95,Paper!I95)</f>
        <v>0</v>
      </c>
      <c r="AF204" s="335">
        <f t="shared" si="67"/>
        <v>1503.4085068024622</v>
      </c>
      <c r="AG204" s="533"/>
      <c r="AI204" s="609">
        <f t="shared" si="68"/>
        <v>2048</v>
      </c>
      <c r="AJ204" s="335">
        <f t="shared" si="69"/>
        <v>35.096170355154754</v>
      </c>
      <c r="AK204" s="335">
        <f t="shared" si="70"/>
        <v>-22.104165394550762</v>
      </c>
      <c r="AL204" s="335">
        <f t="shared" si="71"/>
        <v>22.06638705252314</v>
      </c>
      <c r="AM204" s="335">
        <f t="shared" si="72"/>
        <v>57.347764276240447</v>
      </c>
      <c r="AN204" s="335">
        <f t="shared" si="73"/>
        <v>97.234535486882351</v>
      </c>
      <c r="AO204" s="335">
        <f t="shared" si="82"/>
        <v>51.823102319092413</v>
      </c>
      <c r="AP204" s="335">
        <f t="shared" si="74"/>
        <v>46.301755741104785</v>
      </c>
      <c r="AS204" s="609">
        <f t="shared" si="75"/>
        <v>2048</v>
      </c>
      <c r="AT204" s="335">
        <f t="shared" si="53"/>
        <v>322.84362476899452</v>
      </c>
      <c r="AU204" s="335">
        <f t="shared" si="53"/>
        <v>607.16933966205306</v>
      </c>
      <c r="AV204" s="335">
        <f t="shared" si="53"/>
        <v>691.75091999999984</v>
      </c>
      <c r="AW204" s="335">
        <f t="shared" si="53"/>
        <v>0</v>
      </c>
      <c r="AX204" s="335">
        <f t="shared" si="53"/>
        <v>1503.4085068024622</v>
      </c>
      <c r="AY204" s="335">
        <f t="shared" si="83"/>
        <v>287.76554983644712</v>
      </c>
      <c r="AZ204" s="335">
        <f t="shared" si="84"/>
        <v>0</v>
      </c>
    </row>
    <row r="205" spans="2:52" ht="14.4" x14ac:dyDescent="0.55000000000000004">
      <c r="B205" s="3">
        <v>2049</v>
      </c>
      <c r="C205" s="334">
        <f t="shared" si="52"/>
        <v>354.72151541383107</v>
      </c>
      <c r="D205" s="532">
        <f>'Food System Summary'!E47-'Food System Summary'!F47</f>
        <v>326.80240541568969</v>
      </c>
      <c r="E205" s="338">
        <f t="shared" si="76"/>
        <v>0.9212928768485612</v>
      </c>
      <c r="F205" s="338">
        <f t="shared" si="54"/>
        <v>0.1712040736424322</v>
      </c>
      <c r="G205" s="334">
        <f t="shared" si="55"/>
        <v>244.11952173864952</v>
      </c>
      <c r="H205" s="338">
        <f t="shared" si="77"/>
        <v>0.6882004928679073</v>
      </c>
      <c r="I205" s="334">
        <f t="shared" si="78"/>
        <v>-216.20041174050814</v>
      </c>
      <c r="J205" s="338">
        <f t="shared" si="79"/>
        <v>-0.60949336971646861</v>
      </c>
      <c r="K205" s="338">
        <f t="shared" si="56"/>
        <v>-0.11326229733855279</v>
      </c>
      <c r="N205" s="3">
        <v>2049</v>
      </c>
      <c r="O205" s="1205">
        <f t="shared" si="57"/>
        <v>805.72045427536443</v>
      </c>
      <c r="P205" s="1205">
        <f t="shared" si="58"/>
        <v>88.994162628738962</v>
      </c>
      <c r="Q205" s="1205">
        <f t="shared" si="59"/>
        <v>710.96622333333335</v>
      </c>
      <c r="R205" s="1205">
        <f t="shared" si="80"/>
        <v>5.7600683132920949</v>
      </c>
      <c r="S205" s="1206">
        <f>Paper!E96</f>
        <v>754.44304206296385</v>
      </c>
      <c r="T205" s="1205">
        <f t="shared" si="60"/>
        <v>43.476818729630509</v>
      </c>
      <c r="U205" s="1206">
        <f>Paper!I96</f>
        <v>0</v>
      </c>
      <c r="V205" s="1205">
        <f t="shared" si="61"/>
        <v>43.476818729630509</v>
      </c>
      <c r="Y205" s="609">
        <f t="shared" si="81"/>
        <v>2049</v>
      </c>
      <c r="Z205" s="335">
        <f t="shared" si="62"/>
        <v>3454.663023726212</v>
      </c>
      <c r="AA205" s="335">
        <f t="shared" si="63"/>
        <v>263.47010210426072</v>
      </c>
      <c r="AB205" s="335">
        <f t="shared" si="64"/>
        <v>317.05227091352583</v>
      </c>
      <c r="AC205" s="335">
        <f t="shared" si="65"/>
        <v>617.35853831596739</v>
      </c>
      <c r="AD205" s="335">
        <f t="shared" si="66"/>
        <v>710.96622333333335</v>
      </c>
      <c r="AE205" s="335">
        <f>MIN(Paper!H96,Paper!I96)</f>
        <v>0</v>
      </c>
      <c r="AF205" s="335">
        <f t="shared" si="67"/>
        <v>1545.8158890591249</v>
      </c>
      <c r="AG205" s="533"/>
      <c r="AI205" s="609">
        <f t="shared" si="68"/>
        <v>2049</v>
      </c>
      <c r="AJ205" s="335">
        <f t="shared" si="69"/>
        <v>34.704406634398083</v>
      </c>
      <c r="AK205" s="335">
        <f t="shared" si="70"/>
        <v>-22.959154765164584</v>
      </c>
      <c r="AL205" s="335">
        <f t="shared" si="71"/>
        <v>25.923992631071769</v>
      </c>
      <c r="AM205" s="335">
        <f t="shared" si="72"/>
        <v>48.077209722615422</v>
      </c>
      <c r="AN205" s="335">
        <f t="shared" si="73"/>
        <v>82.969416939308758</v>
      </c>
      <c r="AO205" s="335">
        <f t="shared" si="82"/>
        <v>43.476818729630509</v>
      </c>
      <c r="AP205" s="335">
        <f t="shared" si="74"/>
        <v>51.277412212400748</v>
      </c>
      <c r="AS205" s="609">
        <f t="shared" si="75"/>
        <v>2049</v>
      </c>
      <c r="AT205" s="335">
        <f t="shared" si="53"/>
        <v>317.05227091352583</v>
      </c>
      <c r="AU205" s="335">
        <f t="shared" si="53"/>
        <v>617.35853831596739</v>
      </c>
      <c r="AV205" s="335">
        <f t="shared" si="53"/>
        <v>710.96622333333335</v>
      </c>
      <c r="AW205" s="335">
        <f t="shared" si="53"/>
        <v>0</v>
      </c>
      <c r="AX205" s="335">
        <f t="shared" si="53"/>
        <v>1545.8158890591249</v>
      </c>
      <c r="AY205" s="335">
        <f t="shared" si="83"/>
        <v>263.47010210426072</v>
      </c>
      <c r="AZ205" s="335">
        <f t="shared" si="84"/>
        <v>0</v>
      </c>
    </row>
    <row r="206" spans="2:52" ht="14.4" x14ac:dyDescent="0.55000000000000004">
      <c r="B206" s="3">
        <v>2050</v>
      </c>
      <c r="C206" s="334">
        <f t="shared" si="52"/>
        <v>352.70145473198846</v>
      </c>
      <c r="D206" s="532">
        <f>'Food System Summary'!E48-'Food System Summary'!F48</f>
        <v>295.81109024460579</v>
      </c>
      <c r="E206" s="338">
        <f t="shared" si="76"/>
        <v>0.83870107785460468</v>
      </c>
      <c r="F206" s="338">
        <f t="shared" si="54"/>
        <v>0.15503187426873005</v>
      </c>
      <c r="G206" s="334">
        <f t="shared" si="55"/>
        <v>263.82747348842423</v>
      </c>
      <c r="H206" s="338">
        <f t="shared" si="77"/>
        <v>0.7480192382220312</v>
      </c>
      <c r="I206" s="334">
        <f t="shared" si="78"/>
        <v>-206.93710900104156</v>
      </c>
      <c r="J206" s="338">
        <f t="shared" si="79"/>
        <v>-0.58672031607663588</v>
      </c>
      <c r="K206" s="338">
        <f t="shared" si="56"/>
        <v>-0.10845383733806439</v>
      </c>
      <c r="N206" s="3">
        <v>2050</v>
      </c>
      <c r="O206" s="1205">
        <f t="shared" si="57"/>
        <v>821.5561662488426</v>
      </c>
      <c r="P206" s="1205">
        <f t="shared" si="58"/>
        <v>92.967285768806704</v>
      </c>
      <c r="Q206" s="1205">
        <f t="shared" si="59"/>
        <v>730.74946666666654</v>
      </c>
      <c r="R206" s="1205">
        <f t="shared" si="80"/>
        <v>-2.1605861866306668</v>
      </c>
      <c r="S206" s="1206">
        <f>Paper!E97</f>
        <v>765.27987240923528</v>
      </c>
      <c r="T206" s="1205">
        <f t="shared" si="60"/>
        <v>34.530405742568746</v>
      </c>
      <c r="U206" s="1206">
        <f>Paper!I97</f>
        <v>0</v>
      </c>
      <c r="V206" s="1205">
        <f t="shared" si="61"/>
        <v>34.530405742568746</v>
      </c>
      <c r="Y206" s="609">
        <f t="shared" si="81"/>
        <v>2050</v>
      </c>
      <c r="Z206" s="335">
        <f t="shared" si="62"/>
        <v>3495.5715615028471</v>
      </c>
      <c r="AA206" s="335">
        <f t="shared" si="63"/>
        <v>237.63366265944865</v>
      </c>
      <c r="AB206" s="335">
        <f t="shared" si="64"/>
        <v>312.34141199002676</v>
      </c>
      <c r="AC206" s="335">
        <f t="shared" si="65"/>
        <v>627.34172982917778</v>
      </c>
      <c r="AD206" s="335">
        <f t="shared" si="66"/>
        <v>730.74946666666654</v>
      </c>
      <c r="AE206" s="335">
        <f>MIN(Paper!H97,Paper!I97)</f>
        <v>0</v>
      </c>
      <c r="AF206" s="335">
        <f t="shared" si="67"/>
        <v>1587.5052903575274</v>
      </c>
      <c r="AG206" s="533"/>
      <c r="AI206" s="609">
        <f t="shared" si="68"/>
        <v>2050</v>
      </c>
      <c r="AJ206" s="335">
        <f t="shared" si="69"/>
        <v>33.850011349941212</v>
      </c>
      <c r="AK206" s="335">
        <f t="shared" si="70"/>
        <v>-23.68005703443032</v>
      </c>
      <c r="AL206" s="335">
        <f t="shared" si="71"/>
        <v>30.190088426450814</v>
      </c>
      <c r="AM206" s="335">
        <f t="shared" si="72"/>
        <v>38.433551884437144</v>
      </c>
      <c r="AN206" s="335">
        <f t="shared" si="73"/>
        <v>68.033368450873695</v>
      </c>
      <c r="AO206" s="335">
        <f t="shared" si="82"/>
        <v>34.530405742568746</v>
      </c>
      <c r="AP206" s="335">
        <f t="shared" si="74"/>
        <v>56.276293839607348</v>
      </c>
      <c r="AS206" s="609">
        <f t="shared" si="75"/>
        <v>2050</v>
      </c>
      <c r="AT206" s="335">
        <f t="shared" si="53"/>
        <v>312.34141199002676</v>
      </c>
      <c r="AU206" s="335">
        <f t="shared" si="53"/>
        <v>627.34172982917778</v>
      </c>
      <c r="AV206" s="335">
        <f t="shared" si="53"/>
        <v>730.74946666666654</v>
      </c>
      <c r="AW206" s="335">
        <f t="shared" si="53"/>
        <v>0</v>
      </c>
      <c r="AX206" s="335">
        <f t="shared" si="53"/>
        <v>1587.5052903575274</v>
      </c>
      <c r="AY206" s="335">
        <f t="shared" si="83"/>
        <v>237.63366265944865</v>
      </c>
      <c r="AZ206" s="335">
        <f t="shared" si="84"/>
        <v>0</v>
      </c>
    </row>
    <row r="207" spans="2:52" ht="14.4" x14ac:dyDescent="0.55000000000000004">
      <c r="B207" s="3">
        <v>2051</v>
      </c>
      <c r="C207" s="334">
        <f t="shared" si="52"/>
        <v>383.28429333444905</v>
      </c>
      <c r="D207" s="532">
        <f>'Food System Summary'!E49-'Food System Summary'!F49</f>
        <v>296.7532427074384</v>
      </c>
      <c r="E207" s="338">
        <f t="shared" si="76"/>
        <v>0.77423794261377488</v>
      </c>
      <c r="F207" s="338">
        <f t="shared" si="54"/>
        <v>0.15290932833118137</v>
      </c>
      <c r="G207" s="334">
        <f t="shared" si="55"/>
        <v>283.3926251248983</v>
      </c>
      <c r="H207" s="338">
        <f t="shared" si="77"/>
        <v>0.73937969818558014</v>
      </c>
      <c r="I207" s="334">
        <f t="shared" si="78"/>
        <v>-196.86157449788766</v>
      </c>
      <c r="J207" s="338">
        <f t="shared" si="79"/>
        <v>-0.51361764079935501</v>
      </c>
      <c r="K207" s="338">
        <f t="shared" si="56"/>
        <v>-0.10143771591526501</v>
      </c>
      <c r="N207" s="3">
        <v>2051</v>
      </c>
      <c r="O207" s="1205">
        <f t="shared" si="57"/>
        <v>837.87046872588121</v>
      </c>
      <c r="P207" s="1205">
        <f t="shared" si="58"/>
        <v>97.907196914538233</v>
      </c>
      <c r="Q207" s="1205">
        <f t="shared" si="59"/>
        <v>751.10064999999997</v>
      </c>
      <c r="R207" s="1205">
        <f t="shared" si="80"/>
        <v>-11.137378188656953</v>
      </c>
      <c r="S207" s="1206">
        <f>Paper!E98</f>
        <v>770.98974869333063</v>
      </c>
      <c r="T207" s="1205">
        <f t="shared" si="60"/>
        <v>19.889098693330652</v>
      </c>
      <c r="U207" s="1206">
        <f>Paper!I98</f>
        <v>0</v>
      </c>
      <c r="V207" s="1205">
        <f t="shared" si="61"/>
        <v>19.889098693330652</v>
      </c>
      <c r="Y207" s="609">
        <f t="shared" si="81"/>
        <v>2051</v>
      </c>
      <c r="Z207" s="335">
        <f t="shared" si="62"/>
        <v>3537.7483490613135</v>
      </c>
      <c r="AA207" s="335">
        <f t="shared" si="63"/>
        <v>219.75306362278707</v>
      </c>
      <c r="AB207" s="335">
        <f t="shared" si="64"/>
        <v>340.1161243734029</v>
      </c>
      <c r="AC207" s="335">
        <f t="shared" si="65"/>
        <v>629.74395589812468</v>
      </c>
      <c r="AD207" s="335">
        <f t="shared" si="66"/>
        <v>751.10064999999997</v>
      </c>
      <c r="AE207" s="335">
        <f>MIN(Paper!H98,Paper!I98)</f>
        <v>0</v>
      </c>
      <c r="AF207" s="335">
        <f t="shared" si="67"/>
        <v>1597.0345551669989</v>
      </c>
      <c r="AG207" s="533"/>
      <c r="AI207" s="609">
        <f t="shared" si="68"/>
        <v>2051</v>
      </c>
      <c r="AJ207" s="335">
        <f t="shared" si="69"/>
        <v>33.422434322804179</v>
      </c>
      <c r="AK207" s="335">
        <f t="shared" si="70"/>
        <v>-22.171933099400462</v>
      </c>
      <c r="AL207" s="335">
        <f t="shared" si="71"/>
        <v>31.917667737642432</v>
      </c>
      <c r="AM207" s="335">
        <f t="shared" si="72"/>
        <v>32.041764936477698</v>
      </c>
      <c r="AN207" s="335">
        <f t="shared" si="73"/>
        <v>57.773310999382034</v>
      </c>
      <c r="AO207" s="335">
        <f t="shared" si="82"/>
        <v>19.889098693330652</v>
      </c>
      <c r="AP207" s="335">
        <f t="shared" si="74"/>
        <v>66.880720032550528</v>
      </c>
      <c r="AS207" s="609">
        <f t="shared" si="75"/>
        <v>2051</v>
      </c>
      <c r="AT207" s="335">
        <f t="shared" si="53"/>
        <v>340.1161243734029</v>
      </c>
      <c r="AU207" s="335">
        <f t="shared" si="53"/>
        <v>629.74395589812468</v>
      </c>
      <c r="AV207" s="335">
        <f t="shared" si="53"/>
        <v>751.10064999999997</v>
      </c>
      <c r="AW207" s="335">
        <f t="shared" si="53"/>
        <v>0</v>
      </c>
      <c r="AX207" s="335">
        <f t="shared" si="53"/>
        <v>1597.0345551669989</v>
      </c>
      <c r="AY207" s="335">
        <f t="shared" si="83"/>
        <v>219.75306362278707</v>
      </c>
      <c r="AZ207" s="335">
        <f t="shared" si="84"/>
        <v>0</v>
      </c>
    </row>
    <row r="208" spans="2:52" ht="14.4" x14ac:dyDescent="0.55000000000000004">
      <c r="B208" s="3">
        <v>2052</v>
      </c>
      <c r="C208" s="334">
        <f t="shared" si="52"/>
        <v>415.11110783020217</v>
      </c>
      <c r="D208" s="532">
        <f>'Food System Summary'!E50-'Food System Summary'!F50</f>
        <v>297.65021960891863</v>
      </c>
      <c r="E208" s="338">
        <f t="shared" si="76"/>
        <v>0.717037472605214</v>
      </c>
      <c r="F208" s="338">
        <f t="shared" si="54"/>
        <v>0.15088151159659269</v>
      </c>
      <c r="G208" s="334">
        <f t="shared" si="55"/>
        <v>304.425108769595</v>
      </c>
      <c r="H208" s="338">
        <f t="shared" si="77"/>
        <v>0.73335813720050491</v>
      </c>
      <c r="I208" s="334">
        <f t="shared" si="78"/>
        <v>-186.96422054831146</v>
      </c>
      <c r="J208" s="338">
        <f t="shared" si="79"/>
        <v>-0.45039560980571897</v>
      </c>
      <c r="K208" s="338">
        <f t="shared" si="56"/>
        <v>-9.4773806140214648E-2</v>
      </c>
      <c r="N208" s="3">
        <v>2052</v>
      </c>
      <c r="O208" s="1205">
        <f t="shared" si="57"/>
        <v>854.17448453354325</v>
      </c>
      <c r="P208" s="1205">
        <f t="shared" si="58"/>
        <v>102.20455636883774</v>
      </c>
      <c r="Q208" s="1205">
        <f t="shared" si="59"/>
        <v>772.01977333333332</v>
      </c>
      <c r="R208" s="1205">
        <f t="shared" si="80"/>
        <v>-20.049845168627826</v>
      </c>
      <c r="S208" s="1206">
        <f>Paper!E99</f>
        <v>779.89526650228277</v>
      </c>
      <c r="T208" s="1205">
        <f t="shared" si="60"/>
        <v>7.875493168949447</v>
      </c>
      <c r="U208" s="1206">
        <f>Paper!I99</f>
        <v>0</v>
      </c>
      <c r="V208" s="1205">
        <f t="shared" si="61"/>
        <v>7.875493168949447</v>
      </c>
      <c r="Y208" s="609">
        <f t="shared" si="81"/>
        <v>2052</v>
      </c>
      <c r="Z208" s="335">
        <f t="shared" si="62"/>
        <v>3579.1229299215083</v>
      </c>
      <c r="AA208" s="335">
        <f t="shared" si="63"/>
        <v>199.79081160257624</v>
      </c>
      <c r="AB208" s="335">
        <f t="shared" si="64"/>
        <v>369.05034421433606</v>
      </c>
      <c r="AC208" s="335">
        <f t="shared" si="65"/>
        <v>631.88057150980183</v>
      </c>
      <c r="AD208" s="335">
        <f t="shared" si="66"/>
        <v>772.01977333333332</v>
      </c>
      <c r="AE208" s="335">
        <f>MIN(Paper!H99,Paper!I99)</f>
        <v>0</v>
      </c>
      <c r="AF208" s="335">
        <f t="shared" si="67"/>
        <v>1606.3814292614609</v>
      </c>
      <c r="AG208" s="533"/>
      <c r="AI208" s="609">
        <f t="shared" si="68"/>
        <v>2052</v>
      </c>
      <c r="AJ208" s="335">
        <f t="shared" si="69"/>
        <v>33.027293529386839</v>
      </c>
      <c r="AK208" s="335">
        <f t="shared" si="70"/>
        <v>-20.745565716885068</v>
      </c>
      <c r="AL208" s="335">
        <f t="shared" si="71"/>
        <v>33.779035803364366</v>
      </c>
      <c r="AM208" s="335">
        <f t="shared" si="72"/>
        <v>25.118122212722053</v>
      </c>
      <c r="AN208" s="335">
        <f t="shared" si="73"/>
        <v>46.457214573778174</v>
      </c>
      <c r="AO208" s="335">
        <f t="shared" si="82"/>
        <v>7.875493168949447</v>
      </c>
      <c r="AP208" s="335">
        <f t="shared" si="74"/>
        <v>74.279218031260427</v>
      </c>
      <c r="AS208" s="609">
        <f t="shared" si="75"/>
        <v>2052</v>
      </c>
      <c r="AT208" s="335">
        <f t="shared" si="53"/>
        <v>369.05034421433606</v>
      </c>
      <c r="AU208" s="335">
        <f t="shared" si="53"/>
        <v>631.88057150980183</v>
      </c>
      <c r="AV208" s="335">
        <f t="shared" si="53"/>
        <v>772.01977333333332</v>
      </c>
      <c r="AW208" s="335">
        <f t="shared" si="53"/>
        <v>0</v>
      </c>
      <c r="AX208" s="335">
        <f t="shared" si="53"/>
        <v>1606.3814292614609</v>
      </c>
      <c r="AY208" s="335">
        <f t="shared" si="83"/>
        <v>199.79081160257624</v>
      </c>
      <c r="AZ208" s="335">
        <f t="shared" si="84"/>
        <v>0</v>
      </c>
    </row>
    <row r="209" spans="2:52" ht="14.4" x14ac:dyDescent="0.55000000000000004">
      <c r="B209" s="3">
        <v>2053</v>
      </c>
      <c r="C209" s="334">
        <f t="shared" si="52"/>
        <v>447.83930171274199</v>
      </c>
      <c r="D209" s="532">
        <f>'Food System Summary'!E51-'Food System Summary'!F51</f>
        <v>298.50198961577212</v>
      </c>
      <c r="E209" s="338">
        <f t="shared" si="76"/>
        <v>0.66653817222866374</v>
      </c>
      <c r="F209" s="338">
        <f t="shared" si="54"/>
        <v>0.14888988433034689</v>
      </c>
      <c r="G209" s="334">
        <f t="shared" si="55"/>
        <v>326.2436459140157</v>
      </c>
      <c r="H209" s="338">
        <f t="shared" si="77"/>
        <v>0.72848373214747131</v>
      </c>
      <c r="I209" s="334">
        <f t="shared" si="78"/>
        <v>-176.90633381704583</v>
      </c>
      <c r="J209" s="338">
        <f t="shared" si="79"/>
        <v>-0.39502190437613499</v>
      </c>
      <c r="K209" s="338">
        <f t="shared" si="56"/>
        <v>-8.8239155836882799E-2</v>
      </c>
      <c r="N209" s="3">
        <v>2053</v>
      </c>
      <c r="O209" s="1205">
        <f t="shared" si="57"/>
        <v>870.63056382423406</v>
      </c>
      <c r="P209" s="1205">
        <f t="shared" si="58"/>
        <v>106.54143506486398</v>
      </c>
      <c r="Q209" s="1205">
        <f t="shared" si="59"/>
        <v>793.50683666666657</v>
      </c>
      <c r="R209" s="1205">
        <f t="shared" si="80"/>
        <v>-29.417707907296517</v>
      </c>
      <c r="S209" s="1206">
        <f>Paper!E100</f>
        <v>788.65304314376851</v>
      </c>
      <c r="T209" s="1205">
        <f t="shared" si="60"/>
        <v>-4.8537935228980587</v>
      </c>
      <c r="U209" s="1206">
        <f>Paper!I100</f>
        <v>0</v>
      </c>
      <c r="V209" s="1205">
        <f t="shared" si="61"/>
        <v>0</v>
      </c>
      <c r="Y209" s="609">
        <f t="shared" si="81"/>
        <v>2053</v>
      </c>
      <c r="Z209" s="335">
        <f t="shared" si="62"/>
        <v>3620.3950150310288</v>
      </c>
      <c r="AA209" s="335">
        <f t="shared" si="63"/>
        <v>178.67956013128457</v>
      </c>
      <c r="AB209" s="335">
        <f t="shared" si="64"/>
        <v>398.7868428264502</v>
      </c>
      <c r="AC209" s="335">
        <f t="shared" si="65"/>
        <v>633.87746570273794</v>
      </c>
      <c r="AD209" s="335">
        <f t="shared" si="66"/>
        <v>793.50683666666657</v>
      </c>
      <c r="AE209" s="335">
        <f>MIN(Paper!H100,Paper!I100)</f>
        <v>-4.8537935228980587</v>
      </c>
      <c r="AF209" s="335">
        <f t="shared" si="67"/>
        <v>1615.5443097038897</v>
      </c>
      <c r="AG209" s="533"/>
      <c r="AI209" s="609">
        <f t="shared" si="68"/>
        <v>2053</v>
      </c>
      <c r="AJ209" s="335">
        <f t="shared" si="69"/>
        <v>32.695336289390582</v>
      </c>
      <c r="AK209" s="335">
        <f t="shared" si="70"/>
        <v>-19.376795723595052</v>
      </c>
      <c r="AL209" s="335">
        <f t="shared" si="71"/>
        <v>35.73391832049623</v>
      </c>
      <c r="AM209" s="335">
        <f t="shared" si="72"/>
        <v>18.084318630382825</v>
      </c>
      <c r="AN209" s="335">
        <f t="shared" si="73"/>
        <v>34.419055457042532</v>
      </c>
      <c r="AO209" s="335">
        <f t="shared" si="82"/>
        <v>0</v>
      </c>
      <c r="AP209" s="335">
        <f t="shared" si="74"/>
        <v>77.123727157567458</v>
      </c>
      <c r="AS209" s="609">
        <f t="shared" si="75"/>
        <v>2053</v>
      </c>
      <c r="AT209" s="335">
        <f t="shared" si="53"/>
        <v>398.7868428264502</v>
      </c>
      <c r="AU209" s="335">
        <f t="shared" si="53"/>
        <v>633.87746570273794</v>
      </c>
      <c r="AV209" s="335">
        <f t="shared" si="53"/>
        <v>793.50683666666657</v>
      </c>
      <c r="AW209" s="335">
        <f t="shared" si="53"/>
        <v>-4.8537935228980587</v>
      </c>
      <c r="AX209" s="335">
        <f t="shared" si="53"/>
        <v>1615.5443097038897</v>
      </c>
      <c r="AY209" s="335">
        <f t="shared" si="83"/>
        <v>178.67956013128457</v>
      </c>
      <c r="AZ209" s="335">
        <f t="shared" si="84"/>
        <v>0</v>
      </c>
    </row>
    <row r="210" spans="2:52" ht="14.4" x14ac:dyDescent="0.55000000000000004">
      <c r="B210" s="3">
        <v>2054</v>
      </c>
      <c r="C210" s="334">
        <f t="shared" si="52"/>
        <v>481.46767578957611</v>
      </c>
      <c r="D210" s="532">
        <f>'Food System Summary'!E52-'Food System Summary'!F52</f>
        <v>299.30866210365548</v>
      </c>
      <c r="E210" s="338">
        <f t="shared" si="76"/>
        <v>0.62165889249534456</v>
      </c>
      <c r="F210" s="338">
        <f t="shared" si="54"/>
        <v>0.1469324573545038</v>
      </c>
      <c r="G210" s="334">
        <f t="shared" si="55"/>
        <v>348.84144165531711</v>
      </c>
      <c r="H210" s="338">
        <f t="shared" si="77"/>
        <v>0.72453761528900051</v>
      </c>
      <c r="I210" s="334">
        <f t="shared" si="78"/>
        <v>-166.68242796939649</v>
      </c>
      <c r="J210" s="338">
        <f t="shared" si="79"/>
        <v>-0.34619650778434502</v>
      </c>
      <c r="K210" s="338">
        <f t="shared" si="56"/>
        <v>-8.1825425857126863E-2</v>
      </c>
      <c r="N210" s="3">
        <v>2054</v>
      </c>
      <c r="O210" s="1205">
        <f t="shared" si="57"/>
        <v>887.23844558485655</v>
      </c>
      <c r="P210" s="1205">
        <f t="shared" si="58"/>
        <v>110.92542033012049</v>
      </c>
      <c r="Q210" s="1205">
        <f t="shared" si="59"/>
        <v>815.56183999999996</v>
      </c>
      <c r="R210" s="1205">
        <f t="shared" si="80"/>
        <v>-39.248814745263871</v>
      </c>
      <c r="S210" s="1206">
        <f>Paper!E101</f>
        <v>797.29985723244988</v>
      </c>
      <c r="T210" s="1205">
        <f t="shared" si="60"/>
        <v>-18.26198276755008</v>
      </c>
      <c r="U210" s="1206">
        <f>Paper!I101</f>
        <v>0</v>
      </c>
      <c r="V210" s="1205">
        <f t="shared" si="61"/>
        <v>0</v>
      </c>
      <c r="Y210" s="609">
        <f t="shared" si="81"/>
        <v>2054</v>
      </c>
      <c r="Z210" s="335">
        <f t="shared" si="62"/>
        <v>3661.5717734805517</v>
      </c>
      <c r="AA210" s="335">
        <f t="shared" si="63"/>
        <v>156.42985205504226</v>
      </c>
      <c r="AB210" s="335">
        <f t="shared" si="64"/>
        <v>429.32142848925355</v>
      </c>
      <c r="AC210" s="335">
        <f t="shared" si="65"/>
        <v>635.73619784771722</v>
      </c>
      <c r="AD210" s="335">
        <f t="shared" si="66"/>
        <v>815.56183999999996</v>
      </c>
      <c r="AE210" s="335">
        <f>MIN(Paper!H101,Paper!I101)</f>
        <v>-18.26198276755008</v>
      </c>
      <c r="AF210" s="335">
        <f t="shared" si="67"/>
        <v>1624.5224550885387</v>
      </c>
      <c r="AG210" s="533"/>
      <c r="AI210" s="609">
        <f t="shared" si="68"/>
        <v>2054</v>
      </c>
      <c r="AJ210" s="335">
        <f t="shared" si="69"/>
        <v>32.417178344506851</v>
      </c>
      <c r="AK210" s="335">
        <f t="shared" si="70"/>
        <v>-18.052848709430492</v>
      </c>
      <c r="AL210" s="335">
        <f t="shared" si="71"/>
        <v>37.781917665246169</v>
      </c>
      <c r="AM210" s="335">
        <f t="shared" si="72"/>
        <v>10.994703919325465</v>
      </c>
      <c r="AN210" s="335">
        <f t="shared" si="73"/>
        <v>21.612295250537613</v>
      </c>
      <c r="AO210" s="335">
        <f t="shared" si="82"/>
        <v>0</v>
      </c>
      <c r="AP210" s="335">
        <f t="shared" si="74"/>
        <v>71.676605584856659</v>
      </c>
      <c r="AS210" s="609">
        <f t="shared" si="75"/>
        <v>2054</v>
      </c>
      <c r="AT210" s="335">
        <f t="shared" si="53"/>
        <v>429.32142848925355</v>
      </c>
      <c r="AU210" s="335">
        <f t="shared" si="53"/>
        <v>635.73619784771722</v>
      </c>
      <c r="AV210" s="335">
        <f t="shared" si="53"/>
        <v>815.56183999999996</v>
      </c>
      <c r="AW210" s="335">
        <f t="shared" si="53"/>
        <v>-18.26198276755008</v>
      </c>
      <c r="AX210" s="335">
        <f t="shared" si="53"/>
        <v>1624.5224550885387</v>
      </c>
      <c r="AY210" s="335">
        <f t="shared" si="83"/>
        <v>156.42985205504226</v>
      </c>
      <c r="AZ210" s="335">
        <f t="shared" si="84"/>
        <v>0</v>
      </c>
    </row>
    <row r="211" spans="2:52" ht="14.4" x14ac:dyDescent="0.55000000000000004">
      <c r="B211" s="3">
        <v>2055</v>
      </c>
      <c r="C211" s="334">
        <f t="shared" si="52"/>
        <v>515.99220463526535</v>
      </c>
      <c r="D211" s="532">
        <f>'Food System Summary'!E53-'Food System Summary'!F53</f>
        <v>300.07063047349698</v>
      </c>
      <c r="E211" s="338">
        <f t="shared" si="76"/>
        <v>0.58154101511205025</v>
      </c>
      <c r="F211" s="338">
        <f t="shared" si="54"/>
        <v>0.1450076267775379</v>
      </c>
      <c r="G211" s="334">
        <f t="shared" si="55"/>
        <v>372.21044072322729</v>
      </c>
      <c r="H211" s="338">
        <f t="shared" si="77"/>
        <v>0.72134896104937918</v>
      </c>
      <c r="I211" s="334">
        <f t="shared" si="78"/>
        <v>-156.28886656145892</v>
      </c>
      <c r="J211" s="338">
        <f t="shared" si="79"/>
        <v>-0.30288997616142938</v>
      </c>
      <c r="K211" s="338">
        <f t="shared" si="56"/>
        <v>-7.5525810693526443E-2</v>
      </c>
      <c r="N211" s="3">
        <v>2055</v>
      </c>
      <c r="O211" s="1205">
        <f t="shared" si="57"/>
        <v>903.9980184490048</v>
      </c>
      <c r="P211" s="1205">
        <f t="shared" si="58"/>
        <v>115.36535985930644</v>
      </c>
      <c r="Q211" s="1205">
        <f t="shared" si="59"/>
        <v>838.18478333333326</v>
      </c>
      <c r="R211" s="1205">
        <f t="shared" si="80"/>
        <v>-49.552124743634863</v>
      </c>
      <c r="S211" s="1206">
        <f>Paper!E102</f>
        <v>805.8701617764026</v>
      </c>
      <c r="T211" s="1205">
        <f t="shared" si="60"/>
        <v>-32.314621556930661</v>
      </c>
      <c r="U211" s="1206">
        <f>Paper!I102</f>
        <v>0</v>
      </c>
      <c r="V211" s="1205">
        <f t="shared" si="61"/>
        <v>0</v>
      </c>
      <c r="Y211" s="609">
        <f t="shared" si="81"/>
        <v>2055</v>
      </c>
      <c r="Z211" s="335">
        <f t="shared" si="62"/>
        <v>3702.6603743607484</v>
      </c>
      <c r="AA211" s="335">
        <f t="shared" si="63"/>
        <v>152.97263988643897</v>
      </c>
      <c r="AB211" s="335">
        <f t="shared" si="64"/>
        <v>460.64760944687714</v>
      </c>
      <c r="AC211" s="335">
        <f t="shared" si="65"/>
        <v>617.53874698052414</v>
      </c>
      <c r="AD211" s="335">
        <f t="shared" si="66"/>
        <v>838.18478333333326</v>
      </c>
      <c r="AE211" s="335">
        <f>MIN(Paper!H102,Paper!I102)</f>
        <v>-32.314621556930661</v>
      </c>
      <c r="AF211" s="335">
        <f t="shared" si="67"/>
        <v>1633.3165947135749</v>
      </c>
      <c r="AG211" s="533"/>
      <c r="AI211" s="609">
        <f t="shared" si="68"/>
        <v>2055</v>
      </c>
      <c r="AJ211" s="335">
        <f t="shared" si="69"/>
        <v>32.185152066820763</v>
      </c>
      <c r="AK211" s="335">
        <f t="shared" si="70"/>
        <v>-16.763323117274865</v>
      </c>
      <c r="AL211" s="335">
        <f t="shared" si="71"/>
        <v>39.922766238842257</v>
      </c>
      <c r="AM211" s="335">
        <f t="shared" si="72"/>
        <v>10.469256979264207</v>
      </c>
      <c r="AN211" s="335">
        <f t="shared" si="73"/>
        <v>21.345552603115038</v>
      </c>
      <c r="AO211" s="335">
        <f t="shared" si="82"/>
        <v>0</v>
      </c>
      <c r="AP211" s="335">
        <f t="shared" si="74"/>
        <v>65.813235115671574</v>
      </c>
      <c r="AS211" s="609">
        <f t="shared" si="75"/>
        <v>2055</v>
      </c>
      <c r="AT211" s="335">
        <f t="shared" si="53"/>
        <v>460.64760944687714</v>
      </c>
      <c r="AU211" s="335">
        <f t="shared" si="53"/>
        <v>617.53874698052414</v>
      </c>
      <c r="AV211" s="335">
        <f t="shared" si="53"/>
        <v>838.18478333333326</v>
      </c>
      <c r="AW211" s="335">
        <f t="shared" si="53"/>
        <v>-32.314621556930661</v>
      </c>
      <c r="AX211" s="335">
        <f t="shared" si="53"/>
        <v>1633.3165947135749</v>
      </c>
      <c r="AY211" s="335">
        <f t="shared" si="83"/>
        <v>152.97263988643897</v>
      </c>
      <c r="AZ211" s="335">
        <f t="shared" si="84"/>
        <v>0</v>
      </c>
    </row>
    <row r="212" spans="2:52" ht="14.4" x14ac:dyDescent="0.55000000000000004">
      <c r="B212" s="3">
        <v>2056</v>
      </c>
      <c r="C212" s="334">
        <f t="shared" si="52"/>
        <v>551.40795834081882</v>
      </c>
      <c r="D212" s="532">
        <f>'Food System Summary'!E54-'Food System Summary'!F54</f>
        <v>300.78822751168491</v>
      </c>
      <c r="E212" s="338">
        <f t="shared" si="76"/>
        <v>0.54549127005122267</v>
      </c>
      <c r="F212" s="338">
        <f t="shared" si="54"/>
        <v>0.14311384270635788</v>
      </c>
      <c r="G212" s="334">
        <f t="shared" si="55"/>
        <v>396.3413254407069</v>
      </c>
      <c r="H212" s="338">
        <f t="shared" si="77"/>
        <v>0.71878056789984335</v>
      </c>
      <c r="I212" s="334">
        <f t="shared" si="78"/>
        <v>-145.72159461157298</v>
      </c>
      <c r="J212" s="338">
        <f t="shared" si="79"/>
        <v>-0.2642718379510659</v>
      </c>
      <c r="K212" s="338">
        <f t="shared" si="56"/>
        <v>-6.9333755322422475E-2</v>
      </c>
      <c r="N212" s="3">
        <v>2056</v>
      </c>
      <c r="O212" s="1205">
        <f t="shared" si="57"/>
        <v>920.90931516662636</v>
      </c>
      <c r="P212" s="1205">
        <f t="shared" si="58"/>
        <v>119.87136375435418</v>
      </c>
      <c r="Q212" s="1205">
        <f t="shared" si="59"/>
        <v>861.37566666666658</v>
      </c>
      <c r="R212" s="1205">
        <f t="shared" si="80"/>
        <v>-60.337715254394425</v>
      </c>
      <c r="S212" s="1206">
        <f>Paper!E103</f>
        <v>814.3953438896981</v>
      </c>
      <c r="T212" s="1205">
        <f t="shared" si="60"/>
        <v>-46.980322776968478</v>
      </c>
      <c r="U212" s="1206">
        <f>Paper!I103</f>
        <v>2.1735179095892363</v>
      </c>
      <c r="V212" s="1205">
        <f t="shared" si="61"/>
        <v>0</v>
      </c>
      <c r="Y212" s="609">
        <f t="shared" si="81"/>
        <v>2056</v>
      </c>
      <c r="Z212" s="335">
        <f t="shared" si="62"/>
        <v>3743.6679867622934</v>
      </c>
      <c r="AA212" s="335">
        <f t="shared" si="63"/>
        <v>149.48830759114185</v>
      </c>
      <c r="AB212" s="335">
        <f t="shared" si="64"/>
        <v>492.75832948731659</v>
      </c>
      <c r="AC212" s="335">
        <f t="shared" si="65"/>
        <v>595.94515478489234</v>
      </c>
      <c r="AD212" s="335">
        <f t="shared" si="66"/>
        <v>861.37566666666658</v>
      </c>
      <c r="AE212" s="335">
        <f>MIN(Paper!H103,Paper!I103)</f>
        <v>-46.980322776968478</v>
      </c>
      <c r="AF212" s="335">
        <f t="shared" si="67"/>
        <v>1641.9270103226868</v>
      </c>
      <c r="AG212" s="533"/>
      <c r="AI212" s="609">
        <f t="shared" si="68"/>
        <v>2056</v>
      </c>
      <c r="AJ212" s="335">
        <f t="shared" si="69"/>
        <v>31.992860531329768</v>
      </c>
      <c r="AK212" s="335">
        <f t="shared" si="70"/>
        <v>-15.499445212262913</v>
      </c>
      <c r="AL212" s="335">
        <f t="shared" si="71"/>
        <v>42.156213534435381</v>
      </c>
      <c r="AM212" s="335">
        <f t="shared" si="72"/>
        <v>10.711643127568493</v>
      </c>
      <c r="AN212" s="335">
        <f t="shared" si="73"/>
        <v>22.766905019700516</v>
      </c>
      <c r="AO212" s="335">
        <f t="shared" si="82"/>
        <v>0</v>
      </c>
      <c r="AP212" s="335">
        <f t="shared" si="74"/>
        <v>57.360130590370602</v>
      </c>
      <c r="AS212" s="609">
        <f t="shared" si="75"/>
        <v>2056</v>
      </c>
      <c r="AT212" s="335">
        <f t="shared" si="53"/>
        <v>492.75832948731659</v>
      </c>
      <c r="AU212" s="335">
        <f t="shared" si="53"/>
        <v>595.94515478489234</v>
      </c>
      <c r="AV212" s="335">
        <f t="shared" si="53"/>
        <v>861.37566666666658</v>
      </c>
      <c r="AW212" s="335">
        <f t="shared" si="53"/>
        <v>-46.980322776968478</v>
      </c>
      <c r="AX212" s="335">
        <f t="shared" si="53"/>
        <v>1641.9270103226868</v>
      </c>
      <c r="AY212" s="335">
        <f t="shared" si="83"/>
        <v>149.48830759114185</v>
      </c>
      <c r="AZ212" s="335">
        <f t="shared" si="84"/>
        <v>0</v>
      </c>
    </row>
    <row r="213" spans="2:52" ht="14.4" x14ac:dyDescent="0.55000000000000004">
      <c r="B213" s="3">
        <v>2057</v>
      </c>
      <c r="C213" s="334">
        <f t="shared" si="52"/>
        <v>587.70527370487878</v>
      </c>
      <c r="D213" s="532">
        <f>'Food System Summary'!E55-'Food System Summary'!F55</f>
        <v>301.46241201248995</v>
      </c>
      <c r="E213" s="338">
        <f t="shared" si="76"/>
        <v>0.51294828462586139</v>
      </c>
      <c r="F213" s="338">
        <f t="shared" si="54"/>
        <v>0.14125018220877453</v>
      </c>
      <c r="G213" s="334">
        <f t="shared" si="55"/>
        <v>421.22351368337024</v>
      </c>
      <c r="H213" s="338">
        <f t="shared" si="77"/>
        <v>0.71672576805034971</v>
      </c>
      <c r="I213" s="334">
        <f t="shared" si="78"/>
        <v>-134.98065199098141</v>
      </c>
      <c r="J213" s="338">
        <f t="shared" si="79"/>
        <v>-0.22967405267621113</v>
      </c>
      <c r="K213" s="338">
        <f t="shared" si="56"/>
        <v>-6.3245170637045725E-2</v>
      </c>
      <c r="N213" s="3">
        <v>2057</v>
      </c>
      <c r="O213" s="1205">
        <f t="shared" si="57"/>
        <v>937.97250727267385</v>
      </c>
      <c r="P213" s="1205">
        <f t="shared" si="58"/>
        <v>124.45480656407686</v>
      </c>
      <c r="Q213" s="1205">
        <f t="shared" si="59"/>
        <v>885.13448999999991</v>
      </c>
      <c r="R213" s="1205">
        <f t="shared" si="80"/>
        <v>-71.616789291402938</v>
      </c>
      <c r="S213" s="1206">
        <f>Paper!E104</f>
        <v>822.90366684399692</v>
      </c>
      <c r="T213" s="1205">
        <f t="shared" si="60"/>
        <v>-62.230823156002998</v>
      </c>
      <c r="U213" s="1206">
        <f>Paper!I104</f>
        <v>9.192682570560919</v>
      </c>
      <c r="V213" s="1205">
        <f t="shared" si="61"/>
        <v>0</v>
      </c>
      <c r="Y213" s="609">
        <f t="shared" si="81"/>
        <v>2057</v>
      </c>
      <c r="Z213" s="335">
        <f t="shared" si="62"/>
        <v>3784.60177977586</v>
      </c>
      <c r="AA213" s="335">
        <f t="shared" si="63"/>
        <v>140.88517014683066</v>
      </c>
      <c r="AB213" s="335">
        <f t="shared" si="64"/>
        <v>525.64270041345674</v>
      </c>
      <c r="AC213" s="335">
        <f t="shared" si="65"/>
        <v>573.38936844034617</v>
      </c>
      <c r="AD213" s="335">
        <f t="shared" si="66"/>
        <v>885.13448999999991</v>
      </c>
      <c r="AE213" s="335">
        <f>MIN(Paper!H104,Paper!I104)</f>
        <v>-62.230823156002998</v>
      </c>
      <c r="AF213" s="335">
        <f t="shared" si="67"/>
        <v>1650.3573682046656</v>
      </c>
      <c r="AG213" s="533"/>
      <c r="AI213" s="609">
        <f t="shared" si="68"/>
        <v>2057</v>
      </c>
      <c r="AJ213" s="335">
        <f t="shared" si="69"/>
        <v>31.834890509301772</v>
      </c>
      <c r="AK213" s="335">
        <f t="shared" si="70"/>
        <v>-14.254162727355279</v>
      </c>
      <c r="AL213" s="335">
        <f t="shared" si="71"/>
        <v>44.48184550947559</v>
      </c>
      <c r="AM213" s="335">
        <f t="shared" si="72"/>
        <v>10.894293322673439</v>
      </c>
      <c r="AN213" s="335">
        <f t="shared" si="73"/>
        <v>24.282968830621826</v>
      </c>
      <c r="AO213" s="335">
        <f t="shared" si="82"/>
        <v>0</v>
      </c>
      <c r="AP213" s="335">
        <f t="shared" si="74"/>
        <v>43.645334702113317</v>
      </c>
      <c r="AS213" s="609">
        <f t="shared" si="75"/>
        <v>2057</v>
      </c>
      <c r="AT213" s="335">
        <f t="shared" si="53"/>
        <v>525.64270041345674</v>
      </c>
      <c r="AU213" s="335">
        <f t="shared" si="53"/>
        <v>573.38936844034617</v>
      </c>
      <c r="AV213" s="335">
        <f t="shared" si="53"/>
        <v>885.13448999999991</v>
      </c>
      <c r="AW213" s="335">
        <f t="shared" si="53"/>
        <v>-62.230823156002998</v>
      </c>
      <c r="AX213" s="335">
        <f t="shared" si="53"/>
        <v>1650.3573682046656</v>
      </c>
      <c r="AY213" s="335">
        <f t="shared" si="83"/>
        <v>140.88517014683066</v>
      </c>
      <c r="AZ213" s="335">
        <f t="shared" si="84"/>
        <v>0</v>
      </c>
    </row>
    <row r="214" spans="2:52" ht="14.4" x14ac:dyDescent="0.55000000000000004">
      <c r="B214" s="3">
        <v>2058</v>
      </c>
      <c r="C214" s="334">
        <f t="shared" si="52"/>
        <v>624.86769754421334</v>
      </c>
      <c r="D214" s="532">
        <f>'Food System Summary'!E56-'Food System Summary'!F56</f>
        <v>302.09509797202691</v>
      </c>
      <c r="E214" s="338">
        <f t="shared" si="76"/>
        <v>0.48345449630263815</v>
      </c>
      <c r="F214" s="338">
        <f t="shared" si="54"/>
        <v>0.13941657204173372</v>
      </c>
      <c r="G214" s="334">
        <f t="shared" si="55"/>
        <v>446.84515684014701</v>
      </c>
      <c r="H214" s="338">
        <f t="shared" si="77"/>
        <v>0.71510362688980234</v>
      </c>
      <c r="I214" s="334">
        <f t="shared" si="78"/>
        <v>-124.07255726796058</v>
      </c>
      <c r="J214" s="338">
        <f t="shared" si="79"/>
        <v>-0.19855812319244051</v>
      </c>
      <c r="K214" s="338">
        <f t="shared" si="56"/>
        <v>-5.7259355530331971E-2</v>
      </c>
      <c r="N214" s="3">
        <v>2058</v>
      </c>
      <c r="O214" s="1205">
        <f t="shared" si="57"/>
        <v>955.18789996706687</v>
      </c>
      <c r="P214" s="1205">
        <f t="shared" si="58"/>
        <v>129.12832932420488</v>
      </c>
      <c r="Q214" s="1205">
        <f t="shared" si="59"/>
        <v>909.46125333333316</v>
      </c>
      <c r="R214" s="1205">
        <f t="shared" si="80"/>
        <v>-83.401682690471148</v>
      </c>
      <c r="S214" s="1206">
        <f>Paper!E105</f>
        <v>831.42001936786221</v>
      </c>
      <c r="T214" s="1205">
        <f t="shared" si="60"/>
        <v>-78.041233965470951</v>
      </c>
      <c r="U214" s="1206">
        <f>Paper!I105</f>
        <v>11.864974658789833</v>
      </c>
      <c r="V214" s="1205">
        <f t="shared" si="61"/>
        <v>0</v>
      </c>
      <c r="Y214" s="609">
        <f t="shared" si="81"/>
        <v>2058</v>
      </c>
      <c r="Z214" s="335">
        <f t="shared" si="62"/>
        <v>3825.4689224921226</v>
      </c>
      <c r="AA214" s="335">
        <f t="shared" si="63"/>
        <v>136.35503268396747</v>
      </c>
      <c r="AB214" s="335">
        <f t="shared" si="64"/>
        <v>559.28410666729178</v>
      </c>
      <c r="AC214" s="335">
        <f t="shared" si="65"/>
        <v>549.88677618512247</v>
      </c>
      <c r="AD214" s="335">
        <f t="shared" si="66"/>
        <v>909.46125333333316</v>
      </c>
      <c r="AE214" s="335">
        <f>MIN(Paper!H105,Paper!I105)</f>
        <v>-78.041233965470951</v>
      </c>
      <c r="AF214" s="335">
        <f t="shared" si="67"/>
        <v>1658.6167789636181</v>
      </c>
      <c r="AG214" s="533"/>
      <c r="AI214" s="609">
        <f t="shared" si="68"/>
        <v>2058</v>
      </c>
      <c r="AJ214" s="335">
        <f t="shared" si="69"/>
        <v>31.70668189312039</v>
      </c>
      <c r="AK214" s="335">
        <f t="shared" si="70"/>
        <v>-13.022154716742421</v>
      </c>
      <c r="AL214" s="335">
        <f t="shared" si="71"/>
        <v>46.899063700543593</v>
      </c>
      <c r="AM214" s="335">
        <f t="shared" si="72"/>
        <v>11.00314540613887</v>
      </c>
      <c r="AN214" s="335">
        <f t="shared" si="73"/>
        <v>25.906624425963173</v>
      </c>
      <c r="AO214" s="335">
        <f t="shared" si="82"/>
        <v>0</v>
      </c>
      <c r="AP214" s="335">
        <f t="shared" si="74"/>
        <v>33.86167197494386</v>
      </c>
      <c r="AS214" s="609">
        <f>Y214</f>
        <v>2058</v>
      </c>
      <c r="AT214" s="335">
        <f t="shared" si="53"/>
        <v>559.28410666729178</v>
      </c>
      <c r="AU214" s="335">
        <f t="shared" si="53"/>
        <v>549.88677618512247</v>
      </c>
      <c r="AV214" s="335">
        <f t="shared" si="53"/>
        <v>909.46125333333316</v>
      </c>
      <c r="AW214" s="335">
        <f t="shared" si="53"/>
        <v>-78.041233965470951</v>
      </c>
      <c r="AX214" s="335">
        <f t="shared" si="53"/>
        <v>1658.6167789636181</v>
      </c>
      <c r="AY214" s="335">
        <f t="shared" si="83"/>
        <v>136.35503268396747</v>
      </c>
      <c r="AZ214" s="335">
        <f t="shared" si="84"/>
        <v>0</v>
      </c>
    </row>
    <row r="215" spans="2:52" ht="14.4" x14ac:dyDescent="0.55000000000000004">
      <c r="B215" s="3">
        <v>2059</v>
      </c>
      <c r="C215" s="334">
        <f t="shared" si="52"/>
        <v>662.87439157325491</v>
      </c>
      <c r="D215" s="532">
        <f>'Food System Summary'!E57-'Food System Summary'!F57</f>
        <v>302.6887239866478</v>
      </c>
      <c r="E215" s="338">
        <f t="shared" si="76"/>
        <v>0.45663058919541527</v>
      </c>
      <c r="F215" s="338">
        <f t="shared" si="54"/>
        <v>0.13761335706217473</v>
      </c>
      <c r="G215" s="334">
        <f t="shared" si="55"/>
        <v>473.19313777341733</v>
      </c>
      <c r="H215" s="338">
        <f t="shared" si="77"/>
        <v>0.71385038219737029</v>
      </c>
      <c r="I215" s="334">
        <f t="shared" si="78"/>
        <v>-113.00747018681022</v>
      </c>
      <c r="J215" s="338">
        <f t="shared" si="79"/>
        <v>-0.17048097139278559</v>
      </c>
      <c r="K215" s="338">
        <f t="shared" si="56"/>
        <v>-5.1377326319551241E-2</v>
      </c>
      <c r="N215" s="3">
        <v>2059</v>
      </c>
      <c r="O215" s="1205">
        <f t="shared" si="57"/>
        <v>972.55592721401797</v>
      </c>
      <c r="P215" s="1205">
        <f t="shared" si="58"/>
        <v>133.90584159725117</v>
      </c>
      <c r="Q215" s="1205">
        <f t="shared" si="59"/>
        <v>934.35595666666666</v>
      </c>
      <c r="R215" s="1205">
        <f t="shared" si="80"/>
        <v>-95.705871049899883</v>
      </c>
      <c r="S215" s="1206">
        <f>Paper!E106</f>
        <v>839.96570260949193</v>
      </c>
      <c r="T215" s="1205">
        <f t="shared" si="60"/>
        <v>-94.390254057174729</v>
      </c>
      <c r="U215" s="1206">
        <f>Paper!I106</f>
        <v>11.687581971733607</v>
      </c>
      <c r="V215" s="1205">
        <f t="shared" si="61"/>
        <v>0</v>
      </c>
      <c r="Y215" s="609">
        <f t="shared" si="81"/>
        <v>2059</v>
      </c>
      <c r="Z215" s="335">
        <f t="shared" si="62"/>
        <v>3866.2765840017541</v>
      </c>
      <c r="AA215" s="335">
        <f t="shared" si="63"/>
        <v>134.39895527430679</v>
      </c>
      <c r="AB215" s="335">
        <f t="shared" si="64"/>
        <v>593.66229391369859</v>
      </c>
      <c r="AC215" s="335">
        <f t="shared" si="65"/>
        <v>525.45440067512016</v>
      </c>
      <c r="AD215" s="335">
        <f t="shared" si="66"/>
        <v>934.35595666666666</v>
      </c>
      <c r="AE215" s="335">
        <f>MIN(Paper!H106,Paper!I106)</f>
        <v>-94.390254057174729</v>
      </c>
      <c r="AF215" s="335">
        <f t="shared" si="67"/>
        <v>1666.7173955002281</v>
      </c>
      <c r="AG215" s="533"/>
      <c r="AI215" s="609">
        <f t="shared" si="68"/>
        <v>2059</v>
      </c>
      <c r="AJ215" s="335">
        <f t="shared" si="69"/>
        <v>31.604360933733801</v>
      </c>
      <c r="AK215" s="335">
        <f t="shared" si="70"/>
        <v>-11.799345641133499</v>
      </c>
      <c r="AL215" s="335">
        <f t="shared" si="71"/>
        <v>49.407082366956047</v>
      </c>
      <c r="AM215" s="335">
        <f t="shared" si="72"/>
        <v>11.020963970490172</v>
      </c>
      <c r="AN215" s="335">
        <f t="shared" si="73"/>
        <v>27.653505068642971</v>
      </c>
      <c r="AO215" s="335">
        <f t="shared" si="82"/>
        <v>0</v>
      </c>
      <c r="AP215" s="335">
        <f t="shared" si="74"/>
        <v>26.512388575617294</v>
      </c>
      <c r="AS215" s="609">
        <f>Y215</f>
        <v>2059</v>
      </c>
      <c r="AT215" s="335">
        <f t="shared" si="53"/>
        <v>593.66229391369859</v>
      </c>
      <c r="AU215" s="335">
        <f t="shared" si="53"/>
        <v>525.45440067512016</v>
      </c>
      <c r="AV215" s="335">
        <f t="shared" si="53"/>
        <v>934.35595666666666</v>
      </c>
      <c r="AW215" s="335">
        <f t="shared" si="53"/>
        <v>-94.390254057174729</v>
      </c>
      <c r="AX215" s="335">
        <f t="shared" si="53"/>
        <v>1666.7173955002281</v>
      </c>
      <c r="AY215" s="335">
        <f t="shared" si="83"/>
        <v>134.39895527430679</v>
      </c>
      <c r="AZ215" s="335">
        <f t="shared" si="84"/>
        <v>0</v>
      </c>
    </row>
    <row r="216" spans="2:52" ht="14.4" x14ac:dyDescent="0.55000000000000004">
      <c r="B216" s="3">
        <v>2060</v>
      </c>
      <c r="C216" s="334">
        <f t="shared" si="52"/>
        <v>701.70472229960671</v>
      </c>
      <c r="D216" s="532">
        <f>'Food System Summary'!E58-'Food System Summary'!F58</f>
        <v>303.24543493027613</v>
      </c>
      <c r="E216" s="338">
        <f t="shared" si="76"/>
        <v>0.43215532872073148</v>
      </c>
      <c r="F216" s="338">
        <f t="shared" si="54"/>
        <v>0.13584061201005093</v>
      </c>
      <c r="G216" s="334">
        <f t="shared" si="55"/>
        <v>500.25306877841615</v>
      </c>
      <c r="H216" s="338">
        <f t="shared" si="77"/>
        <v>0.71291107624158645</v>
      </c>
      <c r="I216" s="334">
        <f t="shared" si="78"/>
        <v>-101.79378140908557</v>
      </c>
      <c r="J216" s="338">
        <f t="shared" si="79"/>
        <v>-0.1450664049623179</v>
      </c>
      <c r="K216" s="338">
        <f t="shared" si="56"/>
        <v>-4.559913513160347E-2</v>
      </c>
      <c r="N216" s="3">
        <v>2060</v>
      </c>
      <c r="O216" s="1205">
        <f t="shared" si="57"/>
        <v>990.07714706529566</v>
      </c>
      <c r="P216" s="1205">
        <f t="shared" si="58"/>
        <v>138.80252351217533</v>
      </c>
      <c r="Q216" s="1205">
        <f t="shared" si="59"/>
        <v>959.81860000000006</v>
      </c>
      <c r="R216" s="1205">
        <f t="shared" si="80"/>
        <v>-108.5439764468797</v>
      </c>
      <c r="S216" s="1206">
        <f>Paper!E107</f>
        <v>848.55787966948071</v>
      </c>
      <c r="T216" s="1205">
        <f t="shared" si="60"/>
        <v>-111.26072033051935</v>
      </c>
      <c r="U216" s="1206">
        <f>Paper!I107</f>
        <v>11.516510953442321</v>
      </c>
      <c r="V216" s="1205">
        <f t="shared" si="61"/>
        <v>0</v>
      </c>
      <c r="Y216" s="609">
        <f t="shared" si="81"/>
        <v>2060</v>
      </c>
      <c r="Z216" s="335">
        <f t="shared" si="62"/>
        <v>3907.0319333954285</v>
      </c>
      <c r="AA216" s="335">
        <f t="shared" si="63"/>
        <v>132.1595866508942</v>
      </c>
      <c r="AB216" s="335">
        <f t="shared" si="64"/>
        <v>628.75703600358372</v>
      </c>
      <c r="AC216" s="335">
        <f t="shared" si="65"/>
        <v>500.11037403510761</v>
      </c>
      <c r="AD216" s="335">
        <f t="shared" si="66"/>
        <v>959.81860000000006</v>
      </c>
      <c r="AE216" s="335">
        <f>MIN(Paper!H107,Paper!I107)</f>
        <v>-111.26072033051935</v>
      </c>
      <c r="AF216" s="335">
        <f t="shared" si="67"/>
        <v>1674.6698257524004</v>
      </c>
      <c r="AG216" s="533"/>
      <c r="AI216" s="609">
        <f t="shared" si="68"/>
        <v>2060</v>
      </c>
      <c r="AJ216" s="335">
        <f t="shared" si="69"/>
        <v>31.524731350674585</v>
      </c>
      <c r="AK216" s="335">
        <f t="shared" si="70"/>
        <v>-10.582258601283002</v>
      </c>
      <c r="AL216" s="335">
        <f t="shared" si="71"/>
        <v>52.005213546631353</v>
      </c>
      <c r="AM216" s="335">
        <f t="shared" si="72"/>
        <v>10.92666150000111</v>
      </c>
      <c r="AN216" s="335">
        <f t="shared" si="73"/>
        <v>29.543202743017105</v>
      </c>
      <c r="AO216" s="335">
        <f t="shared" si="82"/>
        <v>0</v>
      </c>
      <c r="AP216" s="335">
        <f t="shared" si="74"/>
        <v>18.742036111853047</v>
      </c>
      <c r="AS216" s="609">
        <f>Y216</f>
        <v>2060</v>
      </c>
      <c r="AT216" s="335">
        <f t="shared" si="53"/>
        <v>628.75703600358372</v>
      </c>
      <c r="AU216" s="335">
        <f t="shared" si="53"/>
        <v>500.11037403510761</v>
      </c>
      <c r="AV216" s="335">
        <f t="shared" si="53"/>
        <v>959.81860000000006</v>
      </c>
      <c r="AW216" s="335">
        <f t="shared" si="53"/>
        <v>-111.26072033051935</v>
      </c>
      <c r="AX216" s="335">
        <f t="shared" si="53"/>
        <v>1674.6698257524004</v>
      </c>
      <c r="AY216" s="335">
        <f t="shared" si="83"/>
        <v>132.1595866508942</v>
      </c>
      <c r="AZ216" s="335">
        <f t="shared" si="84"/>
        <v>0</v>
      </c>
    </row>
    <row r="217" spans="2:52" x14ac:dyDescent="0.4">
      <c r="AG217" s="533"/>
    </row>
  </sheetData>
  <mergeCells count="28">
    <mergeCell ref="BD3:BG3"/>
    <mergeCell ref="C3:L3"/>
    <mergeCell ref="N3:X3"/>
    <mergeCell ref="AA3:AK3"/>
    <mergeCell ref="AM3:AW3"/>
    <mergeCell ref="AY3:BA3"/>
    <mergeCell ref="AA57:AB57"/>
    <mergeCell ref="AD57:AE57"/>
    <mergeCell ref="AG57:AH57"/>
    <mergeCell ref="AK57:AN57"/>
    <mergeCell ref="B110:D110"/>
    <mergeCell ref="F110:H110"/>
    <mergeCell ref="J110:N110"/>
    <mergeCell ref="P110:S110"/>
    <mergeCell ref="V110:AC110"/>
    <mergeCell ref="AE110:AI110"/>
    <mergeCell ref="B57:C57"/>
    <mergeCell ref="E57:F57"/>
    <mergeCell ref="H57:I57"/>
    <mergeCell ref="L57:M57"/>
    <mergeCell ref="Q57:R57"/>
    <mergeCell ref="W57:X57"/>
    <mergeCell ref="AK110:AT110"/>
    <mergeCell ref="B167:K167"/>
    <mergeCell ref="N167:V167"/>
    <mergeCell ref="Y167:AF167"/>
    <mergeCell ref="AI167:AP167"/>
    <mergeCell ref="AS167:AZ16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CD216"/>
  <sheetViews>
    <sheetView topLeftCell="A101" zoomScale="50" zoomScaleNormal="50" workbookViewId="0">
      <selection activeCell="J164" sqref="J164"/>
    </sheetView>
  </sheetViews>
  <sheetFormatPr defaultColWidth="10.6640625" defaultRowHeight="12.3" x14ac:dyDescent="0.4"/>
  <sheetData>
    <row r="3" spans="1:82" ht="200.05" customHeight="1" x14ac:dyDescent="0.75">
      <c r="A3" s="336" t="s">
        <v>121</v>
      </c>
      <c r="C3" s="1276" t="s">
        <v>457</v>
      </c>
      <c r="D3" s="1276"/>
      <c r="E3" s="1276"/>
      <c r="F3" s="1276"/>
      <c r="G3" s="1276"/>
      <c r="H3" s="1276"/>
      <c r="I3" s="1276"/>
      <c r="J3" s="1276"/>
      <c r="K3" s="1276"/>
      <c r="L3" s="1276"/>
      <c r="N3" s="1276" t="s">
        <v>458</v>
      </c>
      <c r="O3" s="1276"/>
      <c r="P3" s="1276"/>
      <c r="Q3" s="1276"/>
      <c r="R3" s="1276"/>
      <c r="S3" s="1276"/>
      <c r="T3" s="1276"/>
      <c r="U3" s="1276"/>
      <c r="V3" s="1276"/>
      <c r="W3" s="1276"/>
      <c r="X3" s="1276"/>
      <c r="AA3" s="1276" t="s">
        <v>459</v>
      </c>
      <c r="AB3" s="1276"/>
      <c r="AC3" s="1276"/>
      <c r="AD3" s="1276"/>
      <c r="AE3" s="1276"/>
      <c r="AF3" s="1276"/>
      <c r="AG3" s="1276"/>
      <c r="AH3" s="1276"/>
      <c r="AI3" s="1276"/>
      <c r="AJ3" s="1276"/>
      <c r="AK3" s="1276"/>
      <c r="AM3" s="1276" t="s">
        <v>460</v>
      </c>
      <c r="AN3" s="1276"/>
      <c r="AO3" s="1276"/>
      <c r="AP3" s="1276"/>
      <c r="AQ3" s="1276"/>
      <c r="AR3" s="1276"/>
      <c r="AS3" s="1276"/>
      <c r="AT3" s="1276"/>
      <c r="AU3" s="1276"/>
      <c r="AV3" s="1276"/>
      <c r="AW3" s="1276"/>
      <c r="AY3" s="1275" t="s">
        <v>464</v>
      </c>
      <c r="AZ3" s="1276"/>
      <c r="BA3" s="1276"/>
      <c r="BB3" s="1171"/>
      <c r="BD3" s="1275" t="s">
        <v>465</v>
      </c>
      <c r="BE3" s="1276"/>
      <c r="BF3" s="1276"/>
      <c r="BG3" s="1276"/>
    </row>
    <row r="4" spans="1:82" x14ac:dyDescent="0.4">
      <c r="AY4" s="1" t="s">
        <v>145</v>
      </c>
    </row>
    <row r="5" spans="1:82" x14ac:dyDescent="0.4">
      <c r="B5" s="1" t="s">
        <v>117</v>
      </c>
      <c r="N5" s="1" t="s">
        <v>120</v>
      </c>
      <c r="P5" s="723">
        <v>0.3923628847237593</v>
      </c>
      <c r="Q5" s="723">
        <v>2.8208158898636228E-2</v>
      </c>
      <c r="R5" s="723">
        <v>0.16053697893771696</v>
      </c>
      <c r="S5" s="723">
        <v>0.28956111294522879</v>
      </c>
      <c r="T5" s="723">
        <v>0.12904008783177426</v>
      </c>
      <c r="U5" s="723">
        <v>0.13109840341779183</v>
      </c>
      <c r="V5" s="723">
        <v>0.1618518300474058</v>
      </c>
      <c r="W5" s="723">
        <v>0.12005863532819515</v>
      </c>
      <c r="X5" s="723">
        <v>7.8882908327004189E-2</v>
      </c>
      <c r="AA5" s="1" t="s">
        <v>124</v>
      </c>
      <c r="AC5" s="1165">
        <v>0.29521194923138244</v>
      </c>
      <c r="AD5" s="1165">
        <v>4.7083317113059776E-2</v>
      </c>
      <c r="AE5" s="1165">
        <v>0.14491616365292201</v>
      </c>
      <c r="AF5" s="1165">
        <v>0.39560111045185731</v>
      </c>
      <c r="AG5" s="1165">
        <v>0.11718745955077833</v>
      </c>
      <c r="AM5" s="1" t="s">
        <v>122</v>
      </c>
      <c r="AY5" s="1" t="s">
        <v>123</v>
      </c>
      <c r="BA5" s="609" t="s">
        <v>462</v>
      </c>
    </row>
    <row r="6" spans="1:82" ht="15" x14ac:dyDescent="0.5">
      <c r="B6" s="2" t="s">
        <v>114</v>
      </c>
      <c r="C6" s="334" t="s">
        <v>115</v>
      </c>
      <c r="D6" s="2" t="s">
        <v>36</v>
      </c>
      <c r="E6" s="2" t="s">
        <v>44</v>
      </c>
      <c r="F6" s="2" t="s">
        <v>46</v>
      </c>
      <c r="G6" s="2" t="s">
        <v>49</v>
      </c>
      <c r="H6" s="2" t="s">
        <v>52</v>
      </c>
      <c r="I6" s="2" t="s">
        <v>55</v>
      </c>
      <c r="J6" s="2" t="s">
        <v>58</v>
      </c>
      <c r="K6" s="2" t="s">
        <v>60</v>
      </c>
      <c r="L6" s="2" t="s">
        <v>61</v>
      </c>
      <c r="N6" s="2" t="s">
        <v>114</v>
      </c>
      <c r="O6" s="334" t="s">
        <v>115</v>
      </c>
      <c r="P6" s="2" t="s">
        <v>36</v>
      </c>
      <c r="Q6" s="2" t="s">
        <v>44</v>
      </c>
      <c r="R6" s="2" t="s">
        <v>46</v>
      </c>
      <c r="S6" s="2" t="s">
        <v>49</v>
      </c>
      <c r="T6" s="2" t="s">
        <v>52</v>
      </c>
      <c r="U6" s="2" t="s">
        <v>55</v>
      </c>
      <c r="V6" s="2" t="s">
        <v>58</v>
      </c>
      <c r="W6" s="2" t="s">
        <v>60</v>
      </c>
      <c r="X6" s="2" t="s">
        <v>61</v>
      </c>
      <c r="AA6" s="2" t="s">
        <v>114</v>
      </c>
      <c r="AB6" s="334" t="s">
        <v>115</v>
      </c>
      <c r="AC6" s="2" t="s">
        <v>36</v>
      </c>
      <c r="AD6" s="2" t="s">
        <v>44</v>
      </c>
      <c r="AE6" s="2" t="s">
        <v>46</v>
      </c>
      <c r="AF6" s="2" t="s">
        <v>49</v>
      </c>
      <c r="AG6" s="2" t="s">
        <v>52</v>
      </c>
      <c r="AH6" s="2" t="s">
        <v>55</v>
      </c>
      <c r="AI6" s="2" t="s">
        <v>58</v>
      </c>
      <c r="AJ6" s="2" t="s">
        <v>60</v>
      </c>
      <c r="AK6" s="2" t="s">
        <v>61</v>
      </c>
      <c r="AM6" s="2" t="s">
        <v>114</v>
      </c>
      <c r="AN6" s="334" t="s">
        <v>115</v>
      </c>
      <c r="AO6" s="2" t="s">
        <v>36</v>
      </c>
      <c r="AP6" s="2" t="s">
        <v>44</v>
      </c>
      <c r="AQ6" s="2" t="s">
        <v>46</v>
      </c>
      <c r="AR6" s="2" t="s">
        <v>49</v>
      </c>
      <c r="AS6" s="2" t="s">
        <v>52</v>
      </c>
      <c r="AT6" s="2" t="s">
        <v>55</v>
      </c>
      <c r="AU6" s="2" t="s">
        <v>58</v>
      </c>
      <c r="AV6" s="2" t="s">
        <v>60</v>
      </c>
      <c r="AW6" s="2" t="s">
        <v>61</v>
      </c>
      <c r="AY6" s="2" t="s">
        <v>114</v>
      </c>
      <c r="AZ6" s="334" t="s">
        <v>115</v>
      </c>
      <c r="BA6" s="625" t="s">
        <v>461</v>
      </c>
      <c r="BD6" s="2" t="s">
        <v>114</v>
      </c>
      <c r="BE6" s="334" t="s">
        <v>156</v>
      </c>
      <c r="BF6" s="334" t="s">
        <v>157</v>
      </c>
      <c r="BG6" s="334" t="s">
        <v>158</v>
      </c>
    </row>
    <row r="7" spans="1:82" ht="14.4" x14ac:dyDescent="0.55000000000000004">
      <c r="B7" s="3">
        <v>2014</v>
      </c>
      <c r="C7" s="707">
        <v>1773.3333333333333</v>
      </c>
      <c r="D7" s="965"/>
      <c r="E7" s="965"/>
      <c r="F7" s="965"/>
      <c r="G7" s="965"/>
      <c r="H7" s="965"/>
      <c r="I7" s="965"/>
      <c r="J7" s="965"/>
      <c r="K7" s="965"/>
      <c r="L7" s="965"/>
      <c r="N7" s="3">
        <v>2014</v>
      </c>
      <c r="O7" s="707">
        <f>C7*Compost!J6/100</f>
        <v>804.14197831832109</v>
      </c>
      <c r="P7" s="1130"/>
      <c r="Q7" s="1130"/>
      <c r="R7" s="1130"/>
      <c r="S7" s="1130"/>
      <c r="T7" s="1130"/>
      <c r="U7" s="1130"/>
      <c r="V7" s="1130"/>
      <c r="W7" s="1130"/>
      <c r="X7" s="1130"/>
      <c r="AA7" s="3">
        <v>2014</v>
      </c>
      <c r="AB7" s="707">
        <f>C7*'H&amp;C Recycling'!M4/100</f>
        <v>627.40533333333326</v>
      </c>
      <c r="AC7" s="1166"/>
      <c r="AD7" s="1166"/>
      <c r="AE7" s="1166"/>
      <c r="AF7" s="1166"/>
      <c r="AG7" s="1166"/>
      <c r="AH7" s="528"/>
      <c r="AI7" s="528"/>
      <c r="AJ7" s="528"/>
      <c r="AK7" s="528"/>
      <c r="AM7" s="3">
        <v>2014</v>
      </c>
      <c r="AN7" s="707">
        <f t="shared" ref="AN7:AN53" si="0">C7-O7-AB7</f>
        <v>341.7860216816789</v>
      </c>
      <c r="AO7" s="335"/>
      <c r="AP7" s="335"/>
      <c r="AQ7" s="335"/>
      <c r="AR7" s="335"/>
      <c r="AS7" s="335"/>
      <c r="AT7" s="335"/>
      <c r="AU7" s="335"/>
      <c r="AV7" s="335"/>
      <c r="AW7" s="335"/>
      <c r="AY7" s="3">
        <v>2014</v>
      </c>
      <c r="AZ7" s="707">
        <f>C7*Bioplastics!AL12</f>
        <v>241.19999999999996</v>
      </c>
      <c r="BD7" s="3">
        <v>2014</v>
      </c>
      <c r="BE7" s="1131">
        <f t="shared" ref="BE7:BE53" si="1">O7/C7</f>
        <v>0.45346352160807585</v>
      </c>
      <c r="BF7" s="1131">
        <f t="shared" ref="BF7:BF53" si="2">AB7/C7</f>
        <v>0.35379999999999995</v>
      </c>
      <c r="BG7" s="1131">
        <f t="shared" ref="BG7:BG53" si="3">AN7/C7</f>
        <v>0.1927364783919242</v>
      </c>
      <c r="CD7" s="609" t="e">
        <f>#REF!*0.44</f>
        <v>#REF!</v>
      </c>
    </row>
    <row r="8" spans="1:82" ht="14.4" x14ac:dyDescent="0.55000000000000004">
      <c r="B8" s="3">
        <v>2015</v>
      </c>
      <c r="C8" s="707">
        <v>1891.6666666666667</v>
      </c>
      <c r="D8" s="965"/>
      <c r="E8" s="965"/>
      <c r="F8" s="965"/>
      <c r="G8" s="965"/>
      <c r="H8" s="965"/>
      <c r="I8" s="965"/>
      <c r="J8" s="965"/>
      <c r="K8" s="965"/>
      <c r="L8" s="965"/>
      <c r="N8" s="3">
        <v>2015</v>
      </c>
      <c r="O8" s="707">
        <f>C8*Compost!J7/100</f>
        <v>862.10382892596351</v>
      </c>
      <c r="P8" s="1130"/>
      <c r="Q8" s="1130"/>
      <c r="R8" s="1130"/>
      <c r="S8" s="1130"/>
      <c r="T8" s="1130"/>
      <c r="U8" s="1130"/>
      <c r="V8" s="1130"/>
      <c r="W8" s="1130"/>
      <c r="X8" s="1130"/>
      <c r="AA8" s="3">
        <v>2015</v>
      </c>
      <c r="AB8" s="707">
        <f>C8*'H&amp;C Recycling'!M5/100</f>
        <v>665.67750000000001</v>
      </c>
      <c r="AC8" s="1166"/>
      <c r="AD8" s="1166"/>
      <c r="AE8" s="1166"/>
      <c r="AF8" s="1166"/>
      <c r="AG8" s="1166"/>
      <c r="AH8" s="528"/>
      <c r="AI8" s="528"/>
      <c r="AJ8" s="528"/>
      <c r="AK8" s="528"/>
      <c r="AM8" s="3">
        <v>2015</v>
      </c>
      <c r="AN8" s="707">
        <f t="shared" si="0"/>
        <v>363.88533774070333</v>
      </c>
      <c r="AO8" s="335"/>
      <c r="AP8" s="335"/>
      <c r="AQ8" s="335"/>
      <c r="AR8" s="335"/>
      <c r="AS8" s="335"/>
      <c r="AT8" s="335"/>
      <c r="AU8" s="335"/>
      <c r="AV8" s="335"/>
      <c r="AW8" s="335"/>
      <c r="AY8" s="3">
        <v>2015</v>
      </c>
      <c r="AZ8" s="707">
        <f>C8*Bioplastics!AL13</f>
        <v>249.73118971061089</v>
      </c>
      <c r="BD8" s="3">
        <v>2015</v>
      </c>
      <c r="BE8" s="1131">
        <f t="shared" si="1"/>
        <v>0.45573770692121418</v>
      </c>
      <c r="BF8" s="1131">
        <f t="shared" si="2"/>
        <v>0.35189999999999999</v>
      </c>
      <c r="BG8" s="1131">
        <f t="shared" si="3"/>
        <v>0.19236229307878588</v>
      </c>
    </row>
    <row r="9" spans="1:82" ht="14.4" x14ac:dyDescent="0.55000000000000004">
      <c r="B9" s="3">
        <v>2016</v>
      </c>
      <c r="C9" s="707">
        <v>2009.9999999999998</v>
      </c>
      <c r="D9" s="965"/>
      <c r="E9" s="965"/>
      <c r="F9" s="965"/>
      <c r="G9" s="965"/>
      <c r="H9" s="965"/>
      <c r="I9" s="965"/>
      <c r="J9" s="965"/>
      <c r="K9" s="965"/>
      <c r="L9" s="965"/>
      <c r="N9" s="3">
        <v>2016</v>
      </c>
      <c r="O9" s="707">
        <f>C9*Compost!J8/100</f>
        <v>924.59999999999991</v>
      </c>
      <c r="P9" s="1130"/>
      <c r="Q9" s="1130"/>
      <c r="R9" s="1130"/>
      <c r="S9" s="1130"/>
      <c r="T9" s="1130"/>
      <c r="U9" s="1130"/>
      <c r="V9" s="1130"/>
      <c r="W9" s="1130"/>
      <c r="X9" s="1130"/>
      <c r="AA9" s="3">
        <v>2016</v>
      </c>
      <c r="AB9" s="707">
        <f>C9*'H&amp;C Recycling'!M6/100</f>
        <v>703.49999999999989</v>
      </c>
      <c r="AC9" s="1166"/>
      <c r="AD9" s="1166"/>
      <c r="AE9" s="1166"/>
      <c r="AF9" s="1166"/>
      <c r="AG9" s="1166"/>
      <c r="AH9" s="528"/>
      <c r="AI9" s="528"/>
      <c r="AJ9" s="528"/>
      <c r="AK9" s="528"/>
      <c r="AM9" s="3">
        <v>2016</v>
      </c>
      <c r="AN9" s="707">
        <f t="shared" si="0"/>
        <v>381.9</v>
      </c>
      <c r="AO9" s="335"/>
      <c r="AP9" s="335"/>
      <c r="AQ9" s="335"/>
      <c r="AR9" s="335"/>
      <c r="AS9" s="335"/>
      <c r="AT9" s="335"/>
      <c r="AU9" s="335"/>
      <c r="AV9" s="335"/>
      <c r="AW9" s="335"/>
      <c r="AY9" s="3">
        <v>2016</v>
      </c>
      <c r="AZ9" s="707">
        <f>C9*Bioplastics!AL14</f>
        <v>259.81350482315111</v>
      </c>
      <c r="BD9" s="3">
        <v>2016</v>
      </c>
      <c r="BE9" s="1131">
        <f t="shared" si="1"/>
        <v>0.46</v>
      </c>
      <c r="BF9" s="1131">
        <f t="shared" si="2"/>
        <v>0.35</v>
      </c>
      <c r="BG9" s="1131">
        <f t="shared" si="3"/>
        <v>0.19</v>
      </c>
    </row>
    <row r="10" spans="1:82" ht="14.4" x14ac:dyDescent="0.55000000000000004">
      <c r="B10" s="3">
        <v>2017</v>
      </c>
      <c r="C10" s="707">
        <v>2123.324211440809</v>
      </c>
      <c r="D10" s="965"/>
      <c r="E10" s="965"/>
      <c r="F10" s="965"/>
      <c r="G10" s="965"/>
      <c r="H10" s="965"/>
      <c r="I10" s="965"/>
      <c r="J10" s="965"/>
      <c r="K10" s="965"/>
      <c r="L10" s="965"/>
      <c r="N10" s="3">
        <v>2017</v>
      </c>
      <c r="O10" s="707">
        <f>C10*Compost!J9/100</f>
        <v>976.21069943703117</v>
      </c>
      <c r="P10" s="1130"/>
      <c r="Q10" s="1130"/>
      <c r="R10" s="1130"/>
      <c r="S10" s="1130"/>
      <c r="T10" s="1130"/>
      <c r="U10" s="1130"/>
      <c r="V10" s="1130"/>
      <c r="W10" s="1130"/>
      <c r="X10" s="1130"/>
      <c r="AA10" s="3">
        <v>2017</v>
      </c>
      <c r="AB10" s="707">
        <f>C10*'H&amp;C Recycling'!M7/100</f>
        <v>739.12915800254564</v>
      </c>
      <c r="AC10" s="1166"/>
      <c r="AD10" s="1166"/>
      <c r="AE10" s="1166"/>
      <c r="AF10" s="1166"/>
      <c r="AG10" s="1166"/>
      <c r="AH10" s="528"/>
      <c r="AI10" s="528"/>
      <c r="AJ10" s="528"/>
      <c r="AK10" s="528"/>
      <c r="AM10" s="3">
        <v>2017</v>
      </c>
      <c r="AN10" s="707">
        <f t="shared" si="0"/>
        <v>407.9843540012323</v>
      </c>
      <c r="AO10" s="335"/>
      <c r="AP10" s="335"/>
      <c r="AQ10" s="335"/>
      <c r="AR10" s="335"/>
      <c r="AS10" s="335"/>
      <c r="AT10" s="335"/>
      <c r="AU10" s="335"/>
      <c r="AV10" s="335"/>
      <c r="AW10" s="335"/>
      <c r="AY10" s="3">
        <v>2017</v>
      </c>
      <c r="AZ10" s="707">
        <f>C10*Bioplastics!AL15</f>
        <v>269.89581993569129</v>
      </c>
      <c r="BD10" s="3">
        <v>2017</v>
      </c>
      <c r="BE10" s="1131">
        <f t="shared" si="1"/>
        <v>0.45975583670974618</v>
      </c>
      <c r="BF10" s="1131">
        <f t="shared" si="2"/>
        <v>0.34810000000000002</v>
      </c>
      <c r="BG10" s="1131">
        <f t="shared" si="3"/>
        <v>0.19214416329025386</v>
      </c>
      <c r="CD10" s="609" t="e">
        <f>826/CD7</f>
        <v>#REF!</v>
      </c>
    </row>
    <row r="11" spans="1:82" ht="14.4" x14ac:dyDescent="0.55000000000000004">
      <c r="B11" s="3">
        <v>2018</v>
      </c>
      <c r="C11" s="707">
        <v>2160.7043297289983</v>
      </c>
      <c r="D11" s="965"/>
      <c r="E11" s="965"/>
      <c r="F11" s="965"/>
      <c r="G11" s="965"/>
      <c r="H11" s="965"/>
      <c r="I11" s="965"/>
      <c r="J11" s="965"/>
      <c r="K11" s="965"/>
      <c r="L11" s="965"/>
      <c r="N11" s="3">
        <v>2018</v>
      </c>
      <c r="O11" s="707">
        <f>C11*Compost!J10/100</f>
        <v>997.21871385837414</v>
      </c>
      <c r="P11" s="1130"/>
      <c r="Q11" s="1130"/>
      <c r="R11" s="1130"/>
      <c r="S11" s="1130"/>
      <c r="T11" s="1130"/>
      <c r="U11" s="1130"/>
      <c r="V11" s="1130"/>
      <c r="W11" s="1130"/>
      <c r="X11" s="1130"/>
      <c r="AA11" s="3">
        <v>2018</v>
      </c>
      <c r="AB11" s="707">
        <f>C11*'H&amp;C Recycling'!M8/100</f>
        <v>748.03583895217935</v>
      </c>
      <c r="AC11" s="1166"/>
      <c r="AD11" s="1166"/>
      <c r="AE11" s="1166"/>
      <c r="AF11" s="1166"/>
      <c r="AG11" s="1166"/>
      <c r="AH11" s="528"/>
      <c r="AI11" s="528"/>
      <c r="AJ11" s="528"/>
      <c r="AK11" s="528"/>
      <c r="AM11" s="3">
        <v>2018</v>
      </c>
      <c r="AN11" s="707">
        <f t="shared" si="0"/>
        <v>415.44977691844497</v>
      </c>
      <c r="AO11" s="335"/>
      <c r="AP11" s="335"/>
      <c r="AQ11" s="335"/>
      <c r="AR11" s="335"/>
      <c r="AS11" s="335"/>
      <c r="AT11" s="335"/>
      <c r="AU11" s="335"/>
      <c r="AV11" s="335"/>
      <c r="AW11" s="335"/>
      <c r="AY11" s="3">
        <v>2018</v>
      </c>
      <c r="AZ11" s="707">
        <f>C11*Bioplastics!AL16</f>
        <v>278.42700964630222</v>
      </c>
      <c r="BD11" s="3">
        <v>2018</v>
      </c>
      <c r="BE11" s="1131">
        <f t="shared" si="1"/>
        <v>0.46152483712727516</v>
      </c>
      <c r="BF11" s="1131">
        <f t="shared" si="2"/>
        <v>0.34620000000000006</v>
      </c>
      <c r="BG11" s="1131">
        <f t="shared" si="3"/>
        <v>0.19227516287272486</v>
      </c>
    </row>
    <row r="12" spans="1:82" ht="14.4" x14ac:dyDescent="0.55000000000000004">
      <c r="B12" s="3">
        <v>2019</v>
      </c>
      <c r="C12" s="707">
        <v>2197.9034203535862</v>
      </c>
      <c r="D12" s="965"/>
      <c r="E12" s="965"/>
      <c r="F12" s="965"/>
      <c r="G12" s="965"/>
      <c r="H12" s="965"/>
      <c r="I12" s="965"/>
      <c r="J12" s="965"/>
      <c r="K12" s="965"/>
      <c r="L12" s="965"/>
      <c r="N12" s="3">
        <v>2019</v>
      </c>
      <c r="O12" s="707">
        <f>C12*Compost!J11/100</f>
        <v>1017.9576307940937</v>
      </c>
      <c r="P12" s="1130"/>
      <c r="Q12" s="1130"/>
      <c r="R12" s="1130"/>
      <c r="S12" s="1130"/>
      <c r="T12" s="1130"/>
      <c r="U12" s="1130"/>
      <c r="V12" s="1130"/>
      <c r="W12" s="1130"/>
      <c r="X12" s="1130"/>
      <c r="AA12" s="3">
        <v>2019</v>
      </c>
      <c r="AB12" s="707">
        <f>C12*'H&amp;C Recycling'!M9/100</f>
        <v>756.73814762773986</v>
      </c>
      <c r="AC12" s="1166"/>
      <c r="AD12" s="1166"/>
      <c r="AE12" s="1166"/>
      <c r="AF12" s="1166"/>
      <c r="AG12" s="1166"/>
      <c r="AH12" s="528"/>
      <c r="AI12" s="528"/>
      <c r="AJ12" s="528"/>
      <c r="AK12" s="528"/>
      <c r="AM12" s="3">
        <v>2019</v>
      </c>
      <c r="AN12" s="707">
        <f t="shared" si="0"/>
        <v>423.20764193175251</v>
      </c>
      <c r="AO12" s="335"/>
      <c r="AP12" s="335"/>
      <c r="AQ12" s="335"/>
      <c r="AR12" s="335"/>
      <c r="AS12" s="335"/>
      <c r="AT12" s="335"/>
      <c r="AU12" s="335"/>
      <c r="AV12" s="335"/>
      <c r="AW12" s="335"/>
      <c r="AY12" s="3">
        <v>2019</v>
      </c>
      <c r="AZ12" s="707">
        <f>C12*Bioplastics!AL17</f>
        <v>266.56313642222557</v>
      </c>
      <c r="BD12" s="3">
        <v>2019</v>
      </c>
      <c r="BE12" s="1131">
        <f t="shared" si="1"/>
        <v>0.46314939108212977</v>
      </c>
      <c r="BF12" s="1131">
        <f t="shared" si="2"/>
        <v>0.34430000000000005</v>
      </c>
      <c r="BG12" s="1131">
        <f t="shared" si="3"/>
        <v>0.19255060891787013</v>
      </c>
    </row>
    <row r="13" spans="1:82" ht="14.4" x14ac:dyDescent="0.55000000000000004">
      <c r="B13" s="3">
        <v>2020</v>
      </c>
      <c r="C13" s="707">
        <v>2235.4879894080063</v>
      </c>
      <c r="D13" s="965"/>
      <c r="E13" s="965"/>
      <c r="F13" s="965"/>
      <c r="G13" s="965"/>
      <c r="H13" s="965"/>
      <c r="I13" s="965"/>
      <c r="J13" s="965"/>
      <c r="K13" s="965"/>
      <c r="L13" s="965"/>
      <c r="N13" s="3">
        <v>2020</v>
      </c>
      <c r="O13" s="707">
        <f>C13*Compost!J12/100</f>
        <v>1038.6979423397006</v>
      </c>
      <c r="P13" s="1130"/>
      <c r="Q13" s="1130"/>
      <c r="R13" s="1130"/>
      <c r="S13" s="1130"/>
      <c r="T13" s="1130"/>
      <c r="U13" s="1130"/>
      <c r="V13" s="1130"/>
      <c r="W13" s="1130"/>
      <c r="X13" s="1130"/>
      <c r="AA13" s="3">
        <v>2020</v>
      </c>
      <c r="AB13" s="707">
        <f>C13*'H&amp;C Recycling'!M10/100</f>
        <v>765.43108757330162</v>
      </c>
      <c r="AC13" s="1166"/>
      <c r="AD13" s="1166"/>
      <c r="AE13" s="1166"/>
      <c r="AF13" s="1166"/>
      <c r="AG13" s="1166"/>
      <c r="AH13" s="528"/>
      <c r="AI13" s="528"/>
      <c r="AJ13" s="528"/>
      <c r="AK13" s="528"/>
      <c r="AM13" s="3">
        <v>2020</v>
      </c>
      <c r="AN13" s="707">
        <f t="shared" si="0"/>
        <v>431.35895949500411</v>
      </c>
      <c r="AO13" s="335"/>
      <c r="AP13" s="335"/>
      <c r="AQ13" s="335"/>
      <c r="AR13" s="335"/>
      <c r="AS13" s="335"/>
      <c r="AT13" s="335"/>
      <c r="AU13" s="335"/>
      <c r="AV13" s="335"/>
      <c r="AW13" s="335"/>
      <c r="AY13" s="3">
        <v>2020</v>
      </c>
      <c r="AZ13" s="707">
        <f>C13*Bioplastics!AL18</f>
        <v>276.48690247270673</v>
      </c>
      <c r="BD13" s="3">
        <v>2020</v>
      </c>
      <c r="BE13" s="1131">
        <f t="shared" si="1"/>
        <v>0.46464035917936858</v>
      </c>
      <c r="BF13" s="1131">
        <f t="shared" si="2"/>
        <v>0.34240000000000009</v>
      </c>
      <c r="BG13" s="1131">
        <f t="shared" si="3"/>
        <v>0.1929596408206313</v>
      </c>
    </row>
    <row r="14" spans="1:82" ht="14.4" x14ac:dyDescent="0.55000000000000004">
      <c r="B14" s="3">
        <v>2021</v>
      </c>
      <c r="C14" s="707">
        <v>2270.2853275329462</v>
      </c>
      <c r="D14" s="965"/>
      <c r="E14" s="965"/>
      <c r="F14" s="965"/>
      <c r="G14" s="965"/>
      <c r="H14" s="965"/>
      <c r="I14" s="965"/>
      <c r="J14" s="965"/>
      <c r="K14" s="965"/>
      <c r="L14" s="965"/>
      <c r="N14" s="3">
        <v>2021</v>
      </c>
      <c r="O14" s="707">
        <f>C14*Compost!J13/100</f>
        <v>1057.9709881700378</v>
      </c>
      <c r="P14" s="1130"/>
      <c r="Q14" s="1130"/>
      <c r="R14" s="1130"/>
      <c r="S14" s="1130"/>
      <c r="T14" s="1130"/>
      <c r="U14" s="1130"/>
      <c r="V14" s="1130"/>
      <c r="W14" s="1130"/>
      <c r="X14" s="1130"/>
      <c r="AA14" s="3">
        <v>2021</v>
      </c>
      <c r="AB14" s="707">
        <f>C14*'H&amp;C Recycling'!M11/100</f>
        <v>773.03215402496846</v>
      </c>
      <c r="AC14" s="1166"/>
      <c r="AD14" s="1166"/>
      <c r="AE14" s="1166"/>
      <c r="AF14" s="1166"/>
      <c r="AG14" s="1166"/>
      <c r="AH14" s="528"/>
      <c r="AI14" s="528"/>
      <c r="AJ14" s="528"/>
      <c r="AK14" s="528"/>
      <c r="AM14" s="3">
        <v>2021</v>
      </c>
      <c r="AN14" s="707">
        <f t="shared" si="0"/>
        <v>439.28218533793995</v>
      </c>
      <c r="AO14" s="335"/>
      <c r="AP14" s="335"/>
      <c r="AQ14" s="335"/>
      <c r="AR14" s="335"/>
      <c r="AS14" s="335"/>
      <c r="AT14" s="335"/>
      <c r="AU14" s="335"/>
      <c r="AV14" s="335"/>
      <c r="AW14" s="335"/>
      <c r="AY14" s="3">
        <v>2021</v>
      </c>
      <c r="AZ14" s="707">
        <f>C14*Bioplastics!AL19</f>
        <v>284.01502082012212</v>
      </c>
      <c r="BD14" s="3">
        <v>2021</v>
      </c>
      <c r="BE14" s="1131">
        <f t="shared" si="1"/>
        <v>0.46600793976839222</v>
      </c>
      <c r="BF14" s="1131">
        <f t="shared" si="2"/>
        <v>0.34050000000000014</v>
      </c>
      <c r="BG14" s="1131">
        <f t="shared" si="3"/>
        <v>0.19349206023160767</v>
      </c>
    </row>
    <row r="15" spans="1:82" ht="14.4" x14ac:dyDescent="0.55000000000000004">
      <c r="B15" s="3">
        <v>2022</v>
      </c>
      <c r="C15" s="707">
        <v>2305.4281717581962</v>
      </c>
      <c r="D15" s="965"/>
      <c r="E15" s="965"/>
      <c r="F15" s="965"/>
      <c r="G15" s="965"/>
      <c r="H15" s="965"/>
      <c r="I15" s="965"/>
      <c r="J15" s="965"/>
      <c r="K15" s="965"/>
      <c r="L15" s="965"/>
      <c r="N15" s="3">
        <v>2022</v>
      </c>
      <c r="O15" s="707">
        <f>C15*Compost!J14/100</f>
        <v>1077.2382470595867</v>
      </c>
      <c r="P15" s="1130"/>
      <c r="Q15" s="1130"/>
      <c r="R15" s="1130"/>
      <c r="S15" s="1130"/>
      <c r="T15" s="1130"/>
      <c r="U15" s="1130"/>
      <c r="V15" s="1130"/>
      <c r="W15" s="1130"/>
      <c r="X15" s="1130"/>
      <c r="AA15" s="3">
        <v>2022</v>
      </c>
      <c r="AB15" s="707">
        <f>C15*'H&amp;C Recycling'!M12/100</f>
        <v>780.61797895732559</v>
      </c>
      <c r="AC15" s="1166"/>
      <c r="AD15" s="1166"/>
      <c r="AE15" s="1166"/>
      <c r="AF15" s="1166"/>
      <c r="AG15" s="1166"/>
      <c r="AH15" s="528"/>
      <c r="AI15" s="528"/>
      <c r="AJ15" s="528"/>
      <c r="AK15" s="528"/>
      <c r="AM15" s="3">
        <v>2022</v>
      </c>
      <c r="AN15" s="707">
        <f t="shared" si="0"/>
        <v>447.57194574128391</v>
      </c>
      <c r="AO15" s="335"/>
      <c r="AP15" s="335"/>
      <c r="AQ15" s="335"/>
      <c r="AR15" s="335"/>
      <c r="AS15" s="335"/>
      <c r="AT15" s="335"/>
      <c r="AU15" s="335"/>
      <c r="AV15" s="335"/>
      <c r="AW15" s="335"/>
      <c r="AY15" s="3">
        <v>2022</v>
      </c>
      <c r="AZ15" s="707">
        <f>C15*Bioplastics!AL20</f>
        <v>291.54163156610923</v>
      </c>
      <c r="BD15" s="3">
        <v>2022</v>
      </c>
      <c r="BE15" s="1131">
        <f t="shared" si="1"/>
        <v>0.46726168277801905</v>
      </c>
      <c r="BF15" s="1131">
        <f t="shared" si="2"/>
        <v>0.33860000000000018</v>
      </c>
      <c r="BG15" s="1131">
        <f t="shared" si="3"/>
        <v>0.1941383172219808</v>
      </c>
    </row>
    <row r="16" spans="1:82" ht="14.4" x14ac:dyDescent="0.55000000000000004">
      <c r="B16" s="3">
        <v>2023</v>
      </c>
      <c r="C16" s="707">
        <v>2340.1548550480929</v>
      </c>
      <c r="D16" s="965"/>
      <c r="E16" s="965"/>
      <c r="F16" s="965"/>
      <c r="G16" s="965"/>
      <c r="H16" s="965"/>
      <c r="I16" s="965"/>
      <c r="J16" s="965"/>
      <c r="K16" s="965"/>
      <c r="L16" s="965"/>
      <c r="N16" s="3">
        <v>2023</v>
      </c>
      <c r="O16" s="707">
        <f>C16*Compost!J15/100</f>
        <v>1096.1531259048074</v>
      </c>
      <c r="P16" s="1130"/>
      <c r="Q16" s="1130"/>
      <c r="R16" s="1130"/>
      <c r="S16" s="1130"/>
      <c r="T16" s="1130"/>
      <c r="U16" s="1130"/>
      <c r="V16" s="1130"/>
      <c r="W16" s="1130"/>
      <c r="X16" s="1130"/>
      <c r="AA16" s="3">
        <v>2023</v>
      </c>
      <c r="AB16" s="707">
        <f>C16*'H&amp;C Recycling'!M13/100</f>
        <v>787.93013969469325</v>
      </c>
      <c r="AC16" s="1166"/>
      <c r="AD16" s="1166"/>
      <c r="AE16" s="1166"/>
      <c r="AF16" s="1166"/>
      <c r="AG16" s="1166"/>
      <c r="AH16" s="528"/>
      <c r="AI16" s="528"/>
      <c r="AJ16" s="528"/>
      <c r="AK16" s="528"/>
      <c r="AM16" s="3">
        <v>2023</v>
      </c>
      <c r="AN16" s="707">
        <f t="shared" si="0"/>
        <v>456.07158944859225</v>
      </c>
      <c r="AO16" s="335"/>
      <c r="AP16" s="335"/>
      <c r="AQ16" s="335"/>
      <c r="AR16" s="335"/>
      <c r="AS16" s="335"/>
      <c r="AT16" s="335"/>
      <c r="AU16" s="335"/>
      <c r="AV16" s="335"/>
      <c r="AW16" s="335"/>
      <c r="AY16" s="3">
        <v>2023</v>
      </c>
      <c r="AZ16" s="707">
        <f>C16*Bioplastics!AL21</f>
        <v>299.06202574315938</v>
      </c>
      <c r="BD16" s="3">
        <v>2023</v>
      </c>
      <c r="BE16" s="1131">
        <f t="shared" si="1"/>
        <v>0.46841050862092637</v>
      </c>
      <c r="BF16" s="1131">
        <f t="shared" si="2"/>
        <v>0.33670000000000017</v>
      </c>
      <c r="BG16" s="1131">
        <f t="shared" si="3"/>
        <v>0.19488949137907347</v>
      </c>
    </row>
    <row r="17" spans="2:59" ht="14.4" x14ac:dyDescent="0.55000000000000004">
      <c r="B17" s="3">
        <v>2024</v>
      </c>
      <c r="C17" s="707">
        <v>2374.4267580491282</v>
      </c>
      <c r="D17" s="965"/>
      <c r="E17" s="965"/>
      <c r="F17" s="965"/>
      <c r="G17" s="965"/>
      <c r="H17" s="965"/>
      <c r="I17" s="965"/>
      <c r="J17" s="965"/>
      <c r="K17" s="965"/>
      <c r="L17" s="965"/>
      <c r="N17" s="3">
        <v>2024</v>
      </c>
      <c r="O17" s="707">
        <f>C17*Compost!J16/100</f>
        <v>1114.7048702357774</v>
      </c>
      <c r="P17" s="1130"/>
      <c r="Q17" s="1130"/>
      <c r="R17" s="1130"/>
      <c r="S17" s="1130"/>
      <c r="T17" s="1130"/>
      <c r="U17" s="1130"/>
      <c r="V17" s="1130"/>
      <c r="W17" s="1130"/>
      <c r="X17" s="1130"/>
      <c r="AA17" s="3">
        <v>2024</v>
      </c>
      <c r="AB17" s="707">
        <f>C17*'H&amp;C Recycling'!M14/100</f>
        <v>794.95807859484864</v>
      </c>
      <c r="AC17" s="1166"/>
      <c r="AD17" s="1166"/>
      <c r="AE17" s="1166"/>
      <c r="AF17" s="1166"/>
      <c r="AG17" s="1166"/>
      <c r="AH17" s="528"/>
      <c r="AI17" s="528"/>
      <c r="AJ17" s="528"/>
      <c r="AK17" s="528"/>
      <c r="AM17" s="3">
        <v>2024</v>
      </c>
      <c r="AN17" s="707">
        <f t="shared" si="0"/>
        <v>464.76380921850216</v>
      </c>
      <c r="AO17" s="335"/>
      <c r="AP17" s="335"/>
      <c r="AQ17" s="335"/>
      <c r="AR17" s="335"/>
      <c r="AS17" s="335"/>
      <c r="AT17" s="335"/>
      <c r="AU17" s="335"/>
      <c r="AV17" s="335"/>
      <c r="AW17" s="335"/>
      <c r="AY17" s="3">
        <v>2024</v>
      </c>
      <c r="AZ17" s="707">
        <f>C17*Bioplastics!AL22</f>
        <v>308.00463287468511</v>
      </c>
      <c r="BD17" s="3">
        <v>2024</v>
      </c>
      <c r="BE17" s="1131">
        <f t="shared" si="1"/>
        <v>0.4694627309336924</v>
      </c>
      <c r="BF17" s="1131">
        <f t="shared" si="2"/>
        <v>0.33480000000000021</v>
      </c>
      <c r="BG17" s="1131">
        <f t="shared" si="3"/>
        <v>0.1957372690663074</v>
      </c>
    </row>
    <row r="18" spans="2:59" ht="14.4" x14ac:dyDescent="0.55000000000000004">
      <c r="B18" s="3">
        <v>2025</v>
      </c>
      <c r="C18" s="707">
        <v>2407.1768875846901</v>
      </c>
      <c r="D18" s="965"/>
      <c r="E18" s="965"/>
      <c r="F18" s="965"/>
      <c r="G18" s="965"/>
      <c r="H18" s="965"/>
      <c r="I18" s="965"/>
      <c r="J18" s="965"/>
      <c r="K18" s="965"/>
      <c r="L18" s="965"/>
      <c r="N18" s="3">
        <v>2025</v>
      </c>
      <c r="O18" s="707">
        <f>C18*Compost!J17/100</f>
        <v>1131.3731371648043</v>
      </c>
      <c r="P18" s="1130"/>
      <c r="Q18" s="1130"/>
      <c r="R18" s="1130"/>
      <c r="S18" s="1130"/>
      <c r="T18" s="1130"/>
      <c r="U18" s="1130"/>
      <c r="V18" s="1130"/>
      <c r="W18" s="1130"/>
      <c r="X18" s="1130"/>
      <c r="AA18" s="3">
        <v>2025</v>
      </c>
      <c r="AB18" s="707">
        <f>C18*'H&amp;C Recycling'!M15/100</f>
        <v>801.34918587694381</v>
      </c>
      <c r="AC18" s="1166"/>
      <c r="AD18" s="1166"/>
      <c r="AE18" s="1166"/>
      <c r="AF18" s="1166"/>
      <c r="AG18" s="1166"/>
      <c r="AH18" s="528"/>
      <c r="AI18" s="528"/>
      <c r="AJ18" s="528"/>
      <c r="AK18" s="528"/>
      <c r="AM18" s="3">
        <v>2025</v>
      </c>
      <c r="AN18" s="707">
        <f t="shared" si="0"/>
        <v>474.45456454294197</v>
      </c>
      <c r="AO18" s="335"/>
      <c r="AP18" s="335"/>
      <c r="AQ18" s="335"/>
      <c r="AR18" s="335"/>
      <c r="AS18" s="335"/>
      <c r="AT18" s="335"/>
      <c r="AU18" s="335"/>
      <c r="AV18" s="335"/>
      <c r="AW18" s="335"/>
      <c r="AY18" s="3">
        <v>2025</v>
      </c>
      <c r="AZ18" s="707">
        <f>C18*Bioplastics!AL23</f>
        <v>317.11756746264888</v>
      </c>
      <c r="BD18" s="3">
        <v>2025</v>
      </c>
      <c r="BE18" s="1131">
        <f t="shared" si="1"/>
        <v>0.47</v>
      </c>
      <c r="BF18" s="1131">
        <f t="shared" si="2"/>
        <v>0.3329000000000002</v>
      </c>
      <c r="BG18" s="1131">
        <f t="shared" si="3"/>
        <v>0.1970999999999998</v>
      </c>
    </row>
    <row r="19" spans="2:59" ht="14.4" x14ac:dyDescent="0.55000000000000004">
      <c r="B19" s="3">
        <v>2026</v>
      </c>
      <c r="C19" s="707">
        <v>2449.9180750781911</v>
      </c>
      <c r="D19" s="965"/>
      <c r="E19" s="965"/>
      <c r="F19" s="965"/>
      <c r="G19" s="965"/>
      <c r="H19" s="965"/>
      <c r="I19" s="965"/>
      <c r="J19" s="965"/>
      <c r="K19" s="965"/>
      <c r="L19" s="965"/>
      <c r="N19" s="3">
        <v>2026</v>
      </c>
      <c r="O19" s="707">
        <f>C19*Compost!J18/100</f>
        <v>1154.6653528194031</v>
      </c>
      <c r="P19" s="1130"/>
      <c r="Q19" s="1130"/>
      <c r="R19" s="1130"/>
      <c r="S19" s="1130"/>
      <c r="T19" s="1130"/>
      <c r="U19" s="1130"/>
      <c r="V19" s="1130"/>
      <c r="W19" s="1130"/>
      <c r="X19" s="1130"/>
      <c r="AA19" s="3">
        <v>2026</v>
      </c>
      <c r="AB19" s="707">
        <f>C19*'H&amp;C Recycling'!M16/100</f>
        <v>810.92288285088182</v>
      </c>
      <c r="AC19" s="1166"/>
      <c r="AD19" s="1166"/>
      <c r="AE19" s="1166"/>
      <c r="AF19" s="1166"/>
      <c r="AG19" s="1166"/>
      <c r="AH19" s="528"/>
      <c r="AI19" s="528"/>
      <c r="AJ19" s="528"/>
      <c r="AK19" s="528"/>
      <c r="AM19" s="3">
        <v>2026</v>
      </c>
      <c r="AN19" s="707">
        <f t="shared" si="0"/>
        <v>484.32983940790621</v>
      </c>
      <c r="AO19" s="335"/>
      <c r="AP19" s="335"/>
      <c r="AQ19" s="335"/>
      <c r="AR19" s="335"/>
      <c r="AS19" s="335"/>
      <c r="AT19" s="335"/>
      <c r="AU19" s="335"/>
      <c r="AV19" s="335"/>
      <c r="AW19" s="335"/>
      <c r="AY19" s="3">
        <v>2026</v>
      </c>
      <c r="AZ19" s="707">
        <f>C19*Bioplastics!AL24</f>
        <v>326.40580647666104</v>
      </c>
      <c r="BD19" s="3">
        <v>2026</v>
      </c>
      <c r="BE19" s="1131">
        <f t="shared" si="1"/>
        <v>0.47130774068130871</v>
      </c>
      <c r="BF19" s="1131">
        <f t="shared" si="2"/>
        <v>0.33100000000000024</v>
      </c>
      <c r="BG19" s="1131">
        <f t="shared" si="3"/>
        <v>0.19769225931869105</v>
      </c>
    </row>
    <row r="20" spans="2:59" ht="14.4" x14ac:dyDescent="0.55000000000000004">
      <c r="B20" s="3">
        <v>2027</v>
      </c>
      <c r="C20" s="707">
        <v>2495.0576024378797</v>
      </c>
      <c r="D20" s="965"/>
      <c r="E20" s="965"/>
      <c r="F20" s="965"/>
      <c r="G20" s="965"/>
      <c r="H20" s="965"/>
      <c r="I20" s="965"/>
      <c r="J20" s="965"/>
      <c r="K20" s="965"/>
      <c r="L20" s="965"/>
      <c r="N20" s="3">
        <v>2027</v>
      </c>
      <c r="O20" s="707">
        <f>C20*Compost!J19/100</f>
        <v>1177.952523115335</v>
      </c>
      <c r="P20" s="1130"/>
      <c r="Q20" s="1130"/>
      <c r="R20" s="1130"/>
      <c r="S20" s="1130"/>
      <c r="T20" s="1130"/>
      <c r="U20" s="1130"/>
      <c r="V20" s="1130"/>
      <c r="W20" s="1130"/>
      <c r="X20" s="1130"/>
      <c r="AA20" s="3">
        <v>2027</v>
      </c>
      <c r="AB20" s="707">
        <f>C20*'H&amp;C Recycling'!M17/100</f>
        <v>821.12345696230682</v>
      </c>
      <c r="AC20" s="1166"/>
      <c r="AD20" s="1166"/>
      <c r="AE20" s="1166"/>
      <c r="AF20" s="1166"/>
      <c r="AG20" s="1166"/>
      <c r="AH20" s="528"/>
      <c r="AI20" s="528"/>
      <c r="AJ20" s="528"/>
      <c r="AK20" s="528"/>
      <c r="AM20" s="3">
        <v>2027</v>
      </c>
      <c r="AN20" s="707">
        <f t="shared" si="0"/>
        <v>495.98162236023791</v>
      </c>
      <c r="AO20" s="335"/>
      <c r="AP20" s="335"/>
      <c r="AQ20" s="335"/>
      <c r="AR20" s="335"/>
      <c r="AS20" s="335"/>
      <c r="AT20" s="335"/>
      <c r="AU20" s="335"/>
      <c r="AV20" s="335"/>
      <c r="AW20" s="335"/>
      <c r="AY20" s="3">
        <v>2027</v>
      </c>
      <c r="AZ20" s="707">
        <f>C20*Bioplastics!AL25</f>
        <v>335.87421801706392</v>
      </c>
      <c r="BD20" s="3">
        <v>2027</v>
      </c>
      <c r="BE20" s="1131">
        <f t="shared" si="1"/>
        <v>0.47211435999087836</v>
      </c>
      <c r="BF20" s="1131">
        <f t="shared" si="2"/>
        <v>0.32910000000000023</v>
      </c>
      <c r="BG20" s="1131">
        <f t="shared" si="3"/>
        <v>0.19878564000912141</v>
      </c>
    </row>
    <row r="21" spans="2:59" ht="14.4" x14ac:dyDescent="0.55000000000000004">
      <c r="B21" s="3">
        <v>2028</v>
      </c>
      <c r="C21" s="707">
        <v>2539.731549883209</v>
      </c>
      <c r="D21" s="965"/>
      <c r="E21" s="965"/>
      <c r="F21" s="965"/>
      <c r="G21" s="965"/>
      <c r="H21" s="965"/>
      <c r="I21" s="965"/>
      <c r="J21" s="965"/>
      <c r="K21" s="965"/>
      <c r="L21" s="965"/>
      <c r="N21" s="3">
        <v>2028</v>
      </c>
      <c r="O21" s="707">
        <f>C21*Compost!J20/100</f>
        <v>1200.9173898220702</v>
      </c>
      <c r="P21" s="1130"/>
      <c r="Q21" s="1130"/>
      <c r="R21" s="1130"/>
      <c r="S21" s="1130"/>
      <c r="T21" s="1130"/>
      <c r="U21" s="1130"/>
      <c r="V21" s="1130"/>
      <c r="W21" s="1130"/>
      <c r="X21" s="1130"/>
      <c r="AA21" s="3">
        <v>2028</v>
      </c>
      <c r="AB21" s="707">
        <f>C21*'H&amp;C Recycling'!M18/100</f>
        <v>831.00016312178673</v>
      </c>
      <c r="AC21" s="1166"/>
      <c r="AD21" s="1166"/>
      <c r="AE21" s="1166"/>
      <c r="AF21" s="1166"/>
      <c r="AG21" s="1166"/>
      <c r="AH21" s="528"/>
      <c r="AI21" s="528"/>
      <c r="AJ21" s="528"/>
      <c r="AK21" s="528"/>
      <c r="AM21" s="3">
        <v>2028</v>
      </c>
      <c r="AN21" s="707">
        <f t="shared" si="0"/>
        <v>507.81399693935214</v>
      </c>
      <c r="AO21" s="335"/>
      <c r="AP21" s="335"/>
      <c r="AQ21" s="335"/>
      <c r="AR21" s="335"/>
      <c r="AS21" s="335"/>
      <c r="AT21" s="335"/>
      <c r="AU21" s="335"/>
      <c r="AV21" s="335"/>
      <c r="AW21" s="335"/>
      <c r="AY21" s="3">
        <v>2028</v>
      </c>
      <c r="AZ21" s="707">
        <f>C21*Bioplastics!AL26</f>
        <v>345.52774301711798</v>
      </c>
      <c r="BD21" s="3">
        <v>2028</v>
      </c>
      <c r="BE21" s="1131">
        <f t="shared" si="1"/>
        <v>0.47285209725307187</v>
      </c>
      <c r="BF21" s="1131">
        <f t="shared" si="2"/>
        <v>0.32720000000000027</v>
      </c>
      <c r="BG21" s="1131">
        <f t="shared" si="3"/>
        <v>0.19994790274692781</v>
      </c>
    </row>
    <row r="22" spans="2:59" ht="14.4" x14ac:dyDescent="0.55000000000000004">
      <c r="B22" s="3">
        <v>2029</v>
      </c>
      <c r="C22" s="707">
        <v>2583.9516360536154</v>
      </c>
      <c r="D22" s="965"/>
      <c r="E22" s="965"/>
      <c r="F22" s="965"/>
      <c r="G22" s="965"/>
      <c r="H22" s="965"/>
      <c r="I22" s="965"/>
      <c r="J22" s="965"/>
      <c r="K22" s="965"/>
      <c r="L22" s="965"/>
      <c r="N22" s="3">
        <v>2029</v>
      </c>
      <c r="O22" s="707">
        <f>C22*Compost!J21/100</f>
        <v>1223.5699434085859</v>
      </c>
      <c r="P22" s="1130"/>
      <c r="Q22" s="1130"/>
      <c r="R22" s="1130"/>
      <c r="S22" s="1130"/>
      <c r="T22" s="1130"/>
      <c r="U22" s="1130"/>
      <c r="V22" s="1130"/>
      <c r="W22" s="1130"/>
      <c r="X22" s="1130"/>
      <c r="AA22" s="3">
        <v>2029</v>
      </c>
      <c r="AB22" s="707">
        <f>C22*'H&amp;C Recycling'!M19/100</f>
        <v>840.55946720824181</v>
      </c>
      <c r="AC22" s="1166"/>
      <c r="AD22" s="1166"/>
      <c r="AE22" s="1166"/>
      <c r="AF22" s="1166"/>
      <c r="AG22" s="1166"/>
      <c r="AH22" s="528"/>
      <c r="AI22" s="528"/>
      <c r="AJ22" s="528"/>
      <c r="AK22" s="528"/>
      <c r="AM22" s="3">
        <v>2029</v>
      </c>
      <c r="AN22" s="707">
        <f t="shared" si="0"/>
        <v>519.82222543678768</v>
      </c>
      <c r="AO22" s="335"/>
      <c r="AP22" s="335"/>
      <c r="AQ22" s="335"/>
      <c r="AR22" s="335"/>
      <c r="AS22" s="335"/>
      <c r="AT22" s="335"/>
      <c r="AU22" s="335"/>
      <c r="AV22" s="335"/>
      <c r="AW22" s="335"/>
      <c r="AY22" s="3">
        <v>2029</v>
      </c>
      <c r="AZ22" s="707">
        <f>C22*Bioplastics!AL27</f>
        <v>355.37095102546516</v>
      </c>
      <c r="BD22" s="3">
        <v>2029</v>
      </c>
      <c r="BE22" s="1131">
        <f t="shared" si="1"/>
        <v>0.47352664281182294</v>
      </c>
      <c r="BF22" s="1131">
        <f t="shared" si="2"/>
        <v>0.32530000000000026</v>
      </c>
      <c r="BG22" s="1131">
        <f t="shared" si="3"/>
        <v>0.20117335718817675</v>
      </c>
    </row>
    <row r="23" spans="2:59" ht="14.4" x14ac:dyDescent="0.55000000000000004">
      <c r="B23" s="3">
        <v>2030</v>
      </c>
      <c r="C23" s="707">
        <v>2630.7549019692192</v>
      </c>
      <c r="D23" s="965"/>
      <c r="E23" s="965"/>
      <c r="F23" s="965"/>
      <c r="G23" s="965"/>
      <c r="H23" s="965"/>
      <c r="I23" s="965"/>
      <c r="J23" s="965"/>
      <c r="K23" s="965"/>
      <c r="L23" s="965"/>
      <c r="N23" s="3">
        <v>2030</v>
      </c>
      <c r="O23" s="707">
        <f>C23*Compost!J22/100</f>
        <v>1247.3546766109268</v>
      </c>
      <c r="P23" s="1130"/>
      <c r="Q23" s="1130"/>
      <c r="R23" s="1130"/>
      <c r="S23" s="1130"/>
      <c r="T23" s="1130"/>
      <c r="U23" s="1130"/>
      <c r="V23" s="1130"/>
      <c r="W23" s="1130"/>
      <c r="X23" s="1130"/>
      <c r="AA23" s="3">
        <v>2030</v>
      </c>
      <c r="AB23" s="707">
        <f>C23*'H&amp;C Recycling'!M20/100</f>
        <v>850.78613529684628</v>
      </c>
      <c r="AC23" s="1166"/>
      <c r="AD23" s="1166"/>
      <c r="AE23" s="1166"/>
      <c r="AF23" s="1166"/>
      <c r="AG23" s="1166"/>
      <c r="AH23" s="528"/>
      <c r="AI23" s="528"/>
      <c r="AJ23" s="528"/>
      <c r="AK23" s="528"/>
      <c r="AM23" s="3">
        <v>2030</v>
      </c>
      <c r="AN23" s="707">
        <f t="shared" si="0"/>
        <v>532.61409006144606</v>
      </c>
      <c r="AO23" s="335"/>
      <c r="AP23" s="335"/>
      <c r="AQ23" s="335"/>
      <c r="AR23" s="335"/>
      <c r="AS23" s="335"/>
      <c r="AT23" s="335"/>
      <c r="AU23" s="335"/>
      <c r="AV23" s="335"/>
      <c r="AW23" s="335"/>
      <c r="AY23" s="3">
        <v>2030</v>
      </c>
      <c r="AZ23" s="707">
        <f>C23*Bioplastics!AL28</f>
        <v>365.40786438957912</v>
      </c>
      <c r="BD23" s="3">
        <v>2030</v>
      </c>
      <c r="BE23" s="1131">
        <f t="shared" si="1"/>
        <v>0.47414324902606275</v>
      </c>
      <c r="BF23" s="1131">
        <f t="shared" si="2"/>
        <v>0.3234000000000003</v>
      </c>
      <c r="BG23" s="1131">
        <f t="shared" si="3"/>
        <v>0.20245675097393692</v>
      </c>
    </row>
    <row r="24" spans="2:59" ht="14.4" x14ac:dyDescent="0.55000000000000004">
      <c r="B24" s="3">
        <v>2031</v>
      </c>
      <c r="C24" s="707">
        <v>2671.0676895055658</v>
      </c>
      <c r="D24" s="965"/>
      <c r="E24" s="965"/>
      <c r="F24" s="965"/>
      <c r="G24" s="965"/>
      <c r="H24" s="965"/>
      <c r="I24" s="965"/>
      <c r="J24" s="965"/>
      <c r="K24" s="965"/>
      <c r="L24" s="965"/>
      <c r="N24" s="3">
        <v>2031</v>
      </c>
      <c r="O24" s="707">
        <f>C24*Compost!J23/100</f>
        <v>1267.97388472032</v>
      </c>
      <c r="P24" s="1130"/>
      <c r="Q24" s="1130"/>
      <c r="R24" s="1130"/>
      <c r="S24" s="1130"/>
      <c r="T24" s="1130"/>
      <c r="U24" s="1130"/>
      <c r="V24" s="1130"/>
      <c r="W24" s="1130"/>
      <c r="X24" s="1130"/>
      <c r="AA24" s="3">
        <v>2031</v>
      </c>
      <c r="AB24" s="707">
        <f>C24*'H&amp;C Recycling'!M21/100</f>
        <v>858.74826217604027</v>
      </c>
      <c r="AC24" s="1166"/>
      <c r="AD24" s="1166"/>
      <c r="AE24" s="1166"/>
      <c r="AF24" s="1166"/>
      <c r="AG24" s="1166"/>
      <c r="AH24" s="528"/>
      <c r="AI24" s="528"/>
      <c r="AJ24" s="528"/>
      <c r="AK24" s="528"/>
      <c r="AM24" s="3">
        <v>2031</v>
      </c>
      <c r="AN24" s="707">
        <f t="shared" si="0"/>
        <v>544.34554260920549</v>
      </c>
      <c r="AO24" s="335"/>
      <c r="AP24" s="335"/>
      <c r="AQ24" s="335"/>
      <c r="AR24" s="335"/>
      <c r="AS24" s="335"/>
      <c r="AT24" s="335"/>
      <c r="AU24" s="335"/>
      <c r="AV24" s="335"/>
      <c r="AW24" s="335"/>
      <c r="AY24" s="3">
        <v>2031</v>
      </c>
      <c r="AZ24" s="707">
        <f>C24*Bioplastics!AL29</f>
        <v>375.64180154204911</v>
      </c>
      <c r="BD24" s="3">
        <v>2031</v>
      </c>
      <c r="BE24" s="1131">
        <f t="shared" si="1"/>
        <v>0.47470675853783073</v>
      </c>
      <c r="BF24" s="1131">
        <f t="shared" si="2"/>
        <v>0.32150000000000034</v>
      </c>
      <c r="BG24" s="1131">
        <f t="shared" si="3"/>
        <v>0.20379324146216896</v>
      </c>
    </row>
    <row r="25" spans="2:59" ht="14.4" x14ac:dyDescent="0.55000000000000004">
      <c r="B25" s="3">
        <v>2032</v>
      </c>
      <c r="C25" s="707">
        <v>2713.0477280924774</v>
      </c>
      <c r="D25" s="965"/>
      <c r="E25" s="965"/>
      <c r="F25" s="965"/>
      <c r="G25" s="965"/>
      <c r="H25" s="965"/>
      <c r="I25" s="965"/>
      <c r="J25" s="965"/>
      <c r="K25" s="965"/>
      <c r="L25" s="965"/>
      <c r="N25" s="3">
        <v>2032</v>
      </c>
      <c r="O25" s="707">
        <f>C25*Compost!J24/100</f>
        <v>1289.2989681742556</v>
      </c>
      <c r="P25" s="1130"/>
      <c r="Q25" s="1130"/>
      <c r="R25" s="1130"/>
      <c r="S25" s="1130"/>
      <c r="T25" s="1130"/>
      <c r="U25" s="1130"/>
      <c r="V25" s="1130"/>
      <c r="W25" s="1130"/>
      <c r="X25" s="1130"/>
      <c r="AA25" s="3">
        <v>2032</v>
      </c>
      <c r="AB25" s="707">
        <f>C25*'H&amp;C Recycling'!M22/100</f>
        <v>867.0900538983567</v>
      </c>
      <c r="AC25" s="1166"/>
      <c r="AD25" s="1166"/>
      <c r="AE25" s="1166"/>
      <c r="AF25" s="1166"/>
      <c r="AG25" s="1166"/>
      <c r="AH25" s="528"/>
      <c r="AI25" s="528"/>
      <c r="AJ25" s="528"/>
      <c r="AK25" s="528"/>
      <c r="AM25" s="3">
        <v>2032</v>
      </c>
      <c r="AN25" s="707">
        <f t="shared" si="0"/>
        <v>556.65870601986512</v>
      </c>
      <c r="AO25" s="335"/>
      <c r="AP25" s="335"/>
      <c r="AQ25" s="335"/>
      <c r="AR25" s="335"/>
      <c r="AS25" s="335"/>
      <c r="AT25" s="335"/>
      <c r="AU25" s="335"/>
      <c r="AV25" s="335"/>
      <c r="AW25" s="335"/>
      <c r="AY25" s="3">
        <v>2032</v>
      </c>
      <c r="AZ25" s="707">
        <f>C25*Bioplastics!AL30</f>
        <v>386.07545162912402</v>
      </c>
      <c r="BD25" s="3">
        <v>2032</v>
      </c>
      <c r="BE25" s="1131">
        <f t="shared" si="1"/>
        <v>0.47522163168163339</v>
      </c>
      <c r="BF25" s="1131">
        <f t="shared" si="2"/>
        <v>0.31960000000000033</v>
      </c>
      <c r="BG25" s="1131">
        <f t="shared" si="3"/>
        <v>0.20517836831836625</v>
      </c>
    </row>
    <row r="26" spans="2:59" ht="14.4" x14ac:dyDescent="0.55000000000000004">
      <c r="B26" s="3">
        <v>2033</v>
      </c>
      <c r="C26" s="707">
        <v>2754.6471629240004</v>
      </c>
      <c r="D26" s="965"/>
      <c r="E26" s="965"/>
      <c r="F26" s="965"/>
      <c r="G26" s="965"/>
      <c r="H26" s="965"/>
      <c r="I26" s="965"/>
      <c r="J26" s="965"/>
      <c r="K26" s="965"/>
      <c r="L26" s="965"/>
      <c r="N26" s="3">
        <v>2033</v>
      </c>
      <c r="O26" s="707">
        <f>C26*Compost!J25/100</f>
        <v>1310.363543472585</v>
      </c>
      <c r="P26" s="1130"/>
      <c r="Q26" s="1130"/>
      <c r="R26" s="1130"/>
      <c r="S26" s="1130"/>
      <c r="T26" s="1130"/>
      <c r="U26" s="1130"/>
      <c r="V26" s="1130"/>
      <c r="W26" s="1130"/>
      <c r="X26" s="1130"/>
      <c r="AA26" s="3">
        <v>2033</v>
      </c>
      <c r="AB26" s="707">
        <f>C26*'H&amp;C Recycling'!M23/100</f>
        <v>875.15140366095579</v>
      </c>
      <c r="AC26" s="1166"/>
      <c r="AD26" s="1166"/>
      <c r="AE26" s="1166"/>
      <c r="AF26" s="1166"/>
      <c r="AG26" s="1166"/>
      <c r="AH26" s="528"/>
      <c r="AI26" s="528"/>
      <c r="AJ26" s="528"/>
      <c r="AK26" s="528"/>
      <c r="AM26" s="3">
        <v>2033</v>
      </c>
      <c r="AN26" s="707">
        <f t="shared" si="0"/>
        <v>569.13221579045967</v>
      </c>
      <c r="AO26" s="335"/>
      <c r="AP26" s="335"/>
      <c r="AQ26" s="335"/>
      <c r="AR26" s="335"/>
      <c r="AS26" s="335"/>
      <c r="AT26" s="335"/>
      <c r="AU26" s="335"/>
      <c r="AV26" s="335"/>
      <c r="AW26" s="335"/>
      <c r="AY26" s="3">
        <v>2033</v>
      </c>
      <c r="AZ26" s="707">
        <f>C26*Bioplastics!AL31</f>
        <v>396.71095811012998</v>
      </c>
      <c r="BD26" s="3">
        <v>2033</v>
      </c>
      <c r="BE26" s="1131">
        <f t="shared" si="1"/>
        <v>0.47569197286292791</v>
      </c>
      <c r="BF26" s="1131">
        <f t="shared" si="2"/>
        <v>0.31770000000000032</v>
      </c>
      <c r="BG26" s="1131">
        <f t="shared" si="3"/>
        <v>0.20660802713707177</v>
      </c>
    </row>
    <row r="27" spans="2:59" ht="14.4" x14ac:dyDescent="0.55000000000000004">
      <c r="B27" s="3">
        <v>2034</v>
      </c>
      <c r="C27" s="707">
        <v>2795.9182687269372</v>
      </c>
      <c r="D27" s="965"/>
      <c r="E27" s="965"/>
      <c r="F27" s="965"/>
      <c r="G27" s="965"/>
      <c r="H27" s="965"/>
      <c r="I27" s="965"/>
      <c r="J27" s="965"/>
      <c r="K27" s="965"/>
      <c r="L27" s="965"/>
      <c r="N27" s="3">
        <v>2034</v>
      </c>
      <c r="O27" s="707">
        <f>C27*Compost!J26/100</f>
        <v>1331.1969559513291</v>
      </c>
      <c r="P27" s="1130"/>
      <c r="Q27" s="1130"/>
      <c r="R27" s="1130"/>
      <c r="S27" s="1130"/>
      <c r="T27" s="1130"/>
      <c r="U27" s="1130"/>
      <c r="V27" s="1130"/>
      <c r="W27" s="1130"/>
      <c r="X27" s="1130"/>
      <c r="AA27" s="3">
        <v>2034</v>
      </c>
      <c r="AB27" s="707">
        <f>C27*'H&amp;C Recycling'!M24/100</f>
        <v>882.95098926396759</v>
      </c>
      <c r="AC27" s="1166"/>
      <c r="AD27" s="1166"/>
      <c r="AE27" s="1166"/>
      <c r="AF27" s="1166"/>
      <c r="AG27" s="1166"/>
      <c r="AH27" s="528"/>
      <c r="AI27" s="528"/>
      <c r="AJ27" s="528"/>
      <c r="AK27" s="528"/>
      <c r="AM27" s="3">
        <v>2034</v>
      </c>
      <c r="AN27" s="707">
        <f t="shared" si="0"/>
        <v>581.77032351164053</v>
      </c>
      <c r="AO27" s="335"/>
      <c r="AP27" s="335"/>
      <c r="AQ27" s="335"/>
      <c r="AR27" s="335"/>
      <c r="AS27" s="335"/>
      <c r="AT27" s="335"/>
      <c r="AU27" s="335"/>
      <c r="AV27" s="335"/>
      <c r="AW27" s="335"/>
      <c r="AY27" s="3">
        <v>2034</v>
      </c>
      <c r="AZ27" s="707">
        <f>C27*Bioplastics!AL32</f>
        <v>407.54984895826954</v>
      </c>
      <c r="BD27" s="3">
        <v>2034</v>
      </c>
      <c r="BE27" s="1131">
        <f t="shared" si="1"/>
        <v>0.47612155578405435</v>
      </c>
      <c r="BF27" s="1131">
        <f t="shared" si="2"/>
        <v>0.3158000000000003</v>
      </c>
      <c r="BG27" s="1131">
        <f t="shared" si="3"/>
        <v>0.20807844421594535</v>
      </c>
    </row>
    <row r="28" spans="2:59" ht="14.4" x14ac:dyDescent="0.55000000000000004">
      <c r="B28" s="3">
        <v>2035</v>
      </c>
      <c r="C28" s="707">
        <v>2837.0275955231041</v>
      </c>
      <c r="D28" s="965"/>
      <c r="E28" s="965"/>
      <c r="F28" s="965"/>
      <c r="G28" s="965"/>
      <c r="H28" s="965"/>
      <c r="I28" s="965"/>
      <c r="J28" s="965"/>
      <c r="K28" s="965"/>
      <c r="L28" s="965"/>
      <c r="N28" s="3">
        <v>2035</v>
      </c>
      <c r="O28" s="707">
        <f>C28*Compost!J27/100</f>
        <v>1351.8829348290292</v>
      </c>
      <c r="P28" s="1130"/>
      <c r="Q28" s="1130"/>
      <c r="R28" s="1130"/>
      <c r="S28" s="1130"/>
      <c r="T28" s="1130"/>
      <c r="U28" s="1130"/>
      <c r="V28" s="1130"/>
      <c r="W28" s="1130"/>
      <c r="X28" s="1130"/>
      <c r="AA28" s="3">
        <v>2035</v>
      </c>
      <c r="AB28" s="707">
        <f>C28*'H&amp;C Recycling'!M25/100</f>
        <v>890.54296223470317</v>
      </c>
      <c r="AC28" s="1166"/>
      <c r="AD28" s="1166"/>
      <c r="AE28" s="1166"/>
      <c r="AF28" s="1166"/>
      <c r="AG28" s="1166"/>
      <c r="AH28" s="528"/>
      <c r="AI28" s="528"/>
      <c r="AJ28" s="528"/>
      <c r="AK28" s="528"/>
      <c r="AM28" s="3">
        <v>2035</v>
      </c>
      <c r="AN28" s="707">
        <f t="shared" si="0"/>
        <v>594.60169845937173</v>
      </c>
      <c r="AO28" s="335"/>
      <c r="AP28" s="335"/>
      <c r="AQ28" s="335"/>
      <c r="AR28" s="335"/>
      <c r="AS28" s="335"/>
      <c r="AT28" s="335"/>
      <c r="AU28" s="335"/>
      <c r="AV28" s="335"/>
      <c r="AW28" s="335"/>
      <c r="AY28" s="3">
        <v>2035</v>
      </c>
      <c r="AZ28" s="707">
        <f>C28*Bioplastics!AL33</f>
        <v>418.59297059231375</v>
      </c>
      <c r="BD28" s="3">
        <v>2035</v>
      </c>
      <c r="BE28" s="1131">
        <f t="shared" si="1"/>
        <v>0.47651384743748426</v>
      </c>
      <c r="BF28" s="1131">
        <f t="shared" si="2"/>
        <v>0.31390000000000029</v>
      </c>
      <c r="BG28" s="1131">
        <f t="shared" si="3"/>
        <v>0.20958615256251548</v>
      </c>
    </row>
    <row r="29" spans="2:59" ht="14.4" x14ac:dyDescent="0.55000000000000004">
      <c r="B29" s="3">
        <v>2036</v>
      </c>
      <c r="C29" s="707">
        <v>2877.593182128237</v>
      </c>
      <c r="D29" s="965"/>
      <c r="E29" s="965"/>
      <c r="F29" s="965"/>
      <c r="G29" s="965"/>
      <c r="H29" s="965"/>
      <c r="I29" s="965"/>
      <c r="J29" s="965"/>
      <c r="K29" s="965"/>
      <c r="L29" s="965"/>
      <c r="N29" s="3">
        <v>2036</v>
      </c>
      <c r="O29" s="707">
        <f>C29*Compost!J28/100</f>
        <v>1372.2437046355562</v>
      </c>
      <c r="P29" s="1130"/>
      <c r="Q29" s="1130"/>
      <c r="R29" s="1130"/>
      <c r="S29" s="1130"/>
      <c r="T29" s="1130"/>
      <c r="U29" s="1130"/>
      <c r="V29" s="1130"/>
      <c r="W29" s="1130"/>
      <c r="X29" s="1130"/>
      <c r="AA29" s="3">
        <v>2036</v>
      </c>
      <c r="AB29" s="707">
        <f>C29*'H&amp;C Recycling'!M26/100</f>
        <v>897.80907282401085</v>
      </c>
      <c r="AC29" s="1166"/>
      <c r="AD29" s="1166"/>
      <c r="AE29" s="1166"/>
      <c r="AF29" s="1166"/>
      <c r="AG29" s="1166"/>
      <c r="AH29" s="528"/>
      <c r="AI29" s="528"/>
      <c r="AJ29" s="528"/>
      <c r="AK29" s="528"/>
      <c r="AM29" s="3">
        <v>2036</v>
      </c>
      <c r="AN29" s="707">
        <f t="shared" si="0"/>
        <v>607.54040466866991</v>
      </c>
      <c r="AO29" s="335"/>
      <c r="AP29" s="335"/>
      <c r="AQ29" s="335"/>
      <c r="AR29" s="335"/>
      <c r="AS29" s="335"/>
      <c r="AT29" s="335"/>
      <c r="AU29" s="335"/>
      <c r="AV29" s="335"/>
      <c r="AW29" s="335"/>
      <c r="AY29" s="3">
        <v>2036</v>
      </c>
      <c r="AZ29" s="707">
        <f>C29*Bioplastics!AL34</f>
        <v>429.84041128086119</v>
      </c>
      <c r="BD29" s="3">
        <v>2036</v>
      </c>
      <c r="BE29" s="1131">
        <f t="shared" si="1"/>
        <v>0.47687203082009649</v>
      </c>
      <c r="BF29" s="1131">
        <f t="shared" si="2"/>
        <v>0.31200000000000033</v>
      </c>
      <c r="BG29" s="1131">
        <f t="shared" si="3"/>
        <v>0.21112796917990317</v>
      </c>
    </row>
    <row r="30" spans="2:59" ht="14.4" x14ac:dyDescent="0.55000000000000004">
      <c r="B30" s="3">
        <v>2037</v>
      </c>
      <c r="C30" s="707">
        <v>2918.0432097870271</v>
      </c>
      <c r="D30" s="965"/>
      <c r="E30" s="965"/>
      <c r="F30" s="965"/>
      <c r="G30" s="965"/>
      <c r="H30" s="965"/>
      <c r="I30" s="965"/>
      <c r="J30" s="965"/>
      <c r="K30" s="965"/>
      <c r="L30" s="965"/>
      <c r="N30" s="3">
        <v>2037</v>
      </c>
      <c r="O30" s="707">
        <f>C30*Compost!J29/100</f>
        <v>1392.4873785559694</v>
      </c>
      <c r="P30" s="1130"/>
      <c r="Q30" s="1130"/>
      <c r="R30" s="1130"/>
      <c r="S30" s="1130"/>
      <c r="T30" s="1130"/>
      <c r="U30" s="1130"/>
      <c r="V30" s="1130"/>
      <c r="W30" s="1130"/>
      <c r="X30" s="1130"/>
      <c r="AA30" s="3">
        <v>2037</v>
      </c>
      <c r="AB30" s="707">
        <f>C30*'H&amp;C Recycling'!M27/100</f>
        <v>904.88519935495788</v>
      </c>
      <c r="AC30" s="1166"/>
      <c r="AD30" s="1166"/>
      <c r="AE30" s="1166"/>
      <c r="AF30" s="1166"/>
      <c r="AG30" s="1166"/>
      <c r="AH30" s="528"/>
      <c r="AI30" s="528"/>
      <c r="AJ30" s="528"/>
      <c r="AK30" s="528"/>
      <c r="AM30" s="3">
        <v>2037</v>
      </c>
      <c r="AN30" s="707">
        <f t="shared" si="0"/>
        <v>620.67063187609983</v>
      </c>
      <c r="AO30" s="335"/>
      <c r="AP30" s="335"/>
      <c r="AQ30" s="335"/>
      <c r="AR30" s="335"/>
      <c r="AS30" s="335"/>
      <c r="AT30" s="335"/>
      <c r="AU30" s="335"/>
      <c r="AV30" s="335"/>
      <c r="AW30" s="335"/>
      <c r="AY30" s="3">
        <v>2037</v>
      </c>
      <c r="AZ30" s="707">
        <f>C30*Bioplastics!AL35</f>
        <v>441.29169627121814</v>
      </c>
      <c r="BD30" s="3">
        <v>2037</v>
      </c>
      <c r="BE30" s="1131">
        <f t="shared" si="1"/>
        <v>0.47719902634944183</v>
      </c>
      <c r="BF30" s="1131">
        <f t="shared" si="2"/>
        <v>0.31010000000000026</v>
      </c>
      <c r="BG30" s="1131">
        <f t="shared" si="3"/>
        <v>0.2127009736505579</v>
      </c>
    </row>
    <row r="31" spans="2:59" ht="14.4" x14ac:dyDescent="0.55000000000000004">
      <c r="B31" s="3">
        <v>2038</v>
      </c>
      <c r="C31" s="707">
        <v>2958.2622662500853</v>
      </c>
      <c r="D31" s="965"/>
      <c r="E31" s="965"/>
      <c r="F31" s="965"/>
      <c r="G31" s="965"/>
      <c r="H31" s="965"/>
      <c r="I31" s="965"/>
      <c r="J31" s="965"/>
      <c r="K31" s="965"/>
      <c r="L31" s="965"/>
      <c r="N31" s="3">
        <v>2038</v>
      </c>
      <c r="O31" s="707">
        <f>C31*Compost!J30/100</f>
        <v>1412.5628719322981</v>
      </c>
      <c r="P31" s="1130"/>
      <c r="Q31" s="1130"/>
      <c r="R31" s="1130"/>
      <c r="S31" s="1130"/>
      <c r="T31" s="1130"/>
      <c r="U31" s="1130"/>
      <c r="V31" s="1130"/>
      <c r="W31" s="1130"/>
      <c r="X31" s="1130"/>
      <c r="AA31" s="3">
        <v>2038</v>
      </c>
      <c r="AB31" s="707">
        <f>C31*'H&amp;C Recycling'!M28/100</f>
        <v>911.73643045827703</v>
      </c>
      <c r="AC31" s="1166"/>
      <c r="AD31" s="1166"/>
      <c r="AE31" s="1166"/>
      <c r="AF31" s="1166"/>
      <c r="AG31" s="1166"/>
      <c r="AH31" s="528"/>
      <c r="AI31" s="528"/>
      <c r="AJ31" s="528"/>
      <c r="AK31" s="528"/>
      <c r="AM31" s="3">
        <v>2038</v>
      </c>
      <c r="AN31" s="707">
        <f t="shared" si="0"/>
        <v>633.96296385951018</v>
      </c>
      <c r="AO31" s="335"/>
      <c r="AP31" s="335"/>
      <c r="AQ31" s="335"/>
      <c r="AR31" s="335"/>
      <c r="AS31" s="335"/>
      <c r="AT31" s="335"/>
      <c r="AU31" s="335"/>
      <c r="AV31" s="335"/>
      <c r="AW31" s="335"/>
      <c r="AY31" s="3">
        <v>2038</v>
      </c>
      <c r="AZ31" s="707">
        <f>C31*Bioplastics!AL36</f>
        <v>452.94598093298129</v>
      </c>
      <c r="BD31" s="3">
        <v>2038</v>
      </c>
      <c r="BE31" s="1131">
        <f t="shared" si="1"/>
        <v>0.47749751198458579</v>
      </c>
      <c r="BF31" s="1131">
        <f t="shared" si="2"/>
        <v>0.30820000000000025</v>
      </c>
      <c r="BG31" s="1131">
        <f t="shared" si="3"/>
        <v>0.21430248801541393</v>
      </c>
    </row>
    <row r="32" spans="2:59" ht="14.4" x14ac:dyDescent="0.55000000000000004">
      <c r="B32" s="3">
        <v>2039</v>
      </c>
      <c r="C32" s="707">
        <v>2998.2486488063391</v>
      </c>
      <c r="D32" s="965"/>
      <c r="E32" s="965"/>
      <c r="F32" s="965"/>
      <c r="G32" s="965"/>
      <c r="H32" s="965"/>
      <c r="I32" s="965"/>
      <c r="J32" s="965"/>
      <c r="K32" s="965"/>
      <c r="L32" s="965"/>
      <c r="N32" s="3">
        <v>2039</v>
      </c>
      <c r="O32" s="707">
        <f>C32*Compost!J31/100</f>
        <v>1432.4730832547109</v>
      </c>
      <c r="P32" s="1130"/>
      <c r="Q32" s="1130"/>
      <c r="R32" s="1130"/>
      <c r="S32" s="1130"/>
      <c r="T32" s="1130"/>
      <c r="U32" s="1130"/>
      <c r="V32" s="1130"/>
      <c r="W32" s="1130"/>
      <c r="X32" s="1130"/>
      <c r="AA32" s="3">
        <v>2039</v>
      </c>
      <c r="AB32" s="707">
        <f>C32*'H&amp;C Recycling'!M29/100</f>
        <v>918.36356112938245</v>
      </c>
      <c r="AC32" s="1166"/>
      <c r="AD32" s="1166"/>
      <c r="AE32" s="1166"/>
      <c r="AF32" s="1166"/>
      <c r="AG32" s="1166"/>
      <c r="AH32" s="528"/>
      <c r="AI32" s="528"/>
      <c r="AJ32" s="528"/>
      <c r="AK32" s="528"/>
      <c r="AM32" s="3">
        <v>2039</v>
      </c>
      <c r="AN32" s="707">
        <f t="shared" si="0"/>
        <v>647.41200442224579</v>
      </c>
      <c r="AO32" s="335"/>
      <c r="AP32" s="335"/>
      <c r="AQ32" s="335"/>
      <c r="AR32" s="335"/>
      <c r="AS32" s="335"/>
      <c r="AT32" s="335"/>
      <c r="AU32" s="335"/>
      <c r="AV32" s="335"/>
      <c r="AW32" s="335"/>
      <c r="AY32" s="3">
        <v>2039</v>
      </c>
      <c r="AZ32" s="707">
        <f>C32*Bioplastics!AL37</f>
        <v>464.80197842811947</v>
      </c>
      <c r="BD32" s="3">
        <v>2039</v>
      </c>
      <c r="BE32" s="1131">
        <f t="shared" si="1"/>
        <v>0.47776994207101742</v>
      </c>
      <c r="BF32" s="1131">
        <f t="shared" si="2"/>
        <v>0.30630000000000024</v>
      </c>
      <c r="BG32" s="1131">
        <f t="shared" si="3"/>
        <v>0.21593005792898232</v>
      </c>
    </row>
    <row r="33" spans="2:59" ht="14.4" x14ac:dyDescent="0.55000000000000004">
      <c r="B33" s="3">
        <v>2040</v>
      </c>
      <c r="C33" s="707">
        <v>3034.5160714120425</v>
      </c>
      <c r="D33" s="965"/>
      <c r="E33" s="965"/>
      <c r="F33" s="965"/>
      <c r="G33" s="965"/>
      <c r="H33" s="965"/>
      <c r="I33" s="965"/>
      <c r="J33" s="965"/>
      <c r="K33" s="965"/>
      <c r="L33" s="965"/>
      <c r="N33" s="3">
        <v>2040</v>
      </c>
      <c r="O33" s="707">
        <f>C33*Compost!J32/100</f>
        <v>1450.5550177499715</v>
      </c>
      <c r="P33" s="1130"/>
      <c r="Q33" s="1130"/>
      <c r="R33" s="1130"/>
      <c r="S33" s="1130"/>
      <c r="T33" s="1130"/>
      <c r="U33" s="1130"/>
      <c r="V33" s="1130"/>
      <c r="W33" s="1130"/>
      <c r="X33" s="1130"/>
      <c r="AA33" s="3">
        <v>2040</v>
      </c>
      <c r="AB33" s="707">
        <f>C33*'H&amp;C Recycling'!M30/100</f>
        <v>923.70669213782651</v>
      </c>
      <c r="AC33" s="1166"/>
      <c r="AD33" s="1166"/>
      <c r="AE33" s="1166"/>
      <c r="AF33" s="1166"/>
      <c r="AG33" s="1166"/>
      <c r="AH33" s="528"/>
      <c r="AI33" s="528"/>
      <c r="AJ33" s="528"/>
      <c r="AK33" s="528"/>
      <c r="AM33" s="3">
        <v>2040</v>
      </c>
      <c r="AN33" s="707">
        <f t="shared" si="0"/>
        <v>660.25436152424447</v>
      </c>
      <c r="AO33" s="335"/>
      <c r="AP33" s="335"/>
      <c r="AQ33" s="335"/>
      <c r="AR33" s="335"/>
      <c r="AS33" s="335"/>
      <c r="AT33" s="335"/>
      <c r="AU33" s="335"/>
      <c r="AV33" s="335"/>
      <c r="AW33" s="335"/>
      <c r="AY33" s="3">
        <v>2040</v>
      </c>
      <c r="AZ33" s="707">
        <f>C33*Bioplastics!AL38</f>
        <v>476.85789740991805</v>
      </c>
      <c r="BD33" s="3">
        <v>2040</v>
      </c>
      <c r="BE33" s="1131">
        <f t="shared" si="1"/>
        <v>0.47801856494204986</v>
      </c>
      <c r="BF33" s="1131">
        <f t="shared" si="2"/>
        <v>0.30440000000000028</v>
      </c>
      <c r="BG33" s="1131">
        <f t="shared" si="3"/>
        <v>0.21758143505794986</v>
      </c>
    </row>
    <row r="34" spans="2:59" ht="14.4" x14ac:dyDescent="0.55000000000000004">
      <c r="B34" s="3">
        <v>2041</v>
      </c>
      <c r="C34" s="707">
        <v>3077.4302876550992</v>
      </c>
      <c r="D34" s="965"/>
      <c r="E34" s="965"/>
      <c r="F34" s="965"/>
      <c r="G34" s="965"/>
      <c r="H34" s="965"/>
      <c r="I34" s="965"/>
      <c r="J34" s="965"/>
      <c r="K34" s="965"/>
      <c r="L34" s="965"/>
      <c r="N34" s="3">
        <v>2041</v>
      </c>
      <c r="O34" s="707">
        <f>C34*Compost!J33/100</f>
        <v>1471.7669998925037</v>
      </c>
      <c r="P34" s="1130"/>
      <c r="Q34" s="1130"/>
      <c r="R34" s="1130"/>
      <c r="S34" s="1130"/>
      <c r="T34" s="1130"/>
      <c r="U34" s="1130"/>
      <c r="V34" s="1130"/>
      <c r="W34" s="1130"/>
      <c r="X34" s="1130"/>
      <c r="AA34" s="3">
        <v>2041</v>
      </c>
      <c r="AB34" s="707">
        <f>C34*'H&amp;C Recycling'!M31/100</f>
        <v>930.92266201566815</v>
      </c>
      <c r="AC34" s="1166"/>
      <c r="AD34" s="1166"/>
      <c r="AE34" s="1166"/>
      <c r="AF34" s="1166"/>
      <c r="AG34" s="1166"/>
      <c r="AH34" s="528"/>
      <c r="AI34" s="528"/>
      <c r="AJ34" s="528"/>
      <c r="AK34" s="528"/>
      <c r="AM34" s="3">
        <v>2041</v>
      </c>
      <c r="AN34" s="707">
        <f t="shared" si="0"/>
        <v>674.74062574692732</v>
      </c>
      <c r="AO34" s="335"/>
      <c r="AP34" s="335"/>
      <c r="AQ34" s="335"/>
      <c r="AR34" s="335"/>
      <c r="AS34" s="335"/>
      <c r="AT34" s="335"/>
      <c r="AU34" s="335"/>
      <c r="AV34" s="335"/>
      <c r="AW34" s="335"/>
      <c r="AY34" s="3">
        <v>2041</v>
      </c>
      <c r="AZ34" s="707">
        <f>C34*Bioplastics!AL39</f>
        <v>489.11149640624438</v>
      </c>
      <c r="BD34" s="3">
        <v>2041</v>
      </c>
      <c r="BE34" s="1131">
        <f t="shared" si="1"/>
        <v>0.47824543931877067</v>
      </c>
      <c r="BF34" s="1131">
        <f t="shared" si="2"/>
        <v>0.30250000000000021</v>
      </c>
      <c r="BG34" s="1131">
        <f t="shared" si="3"/>
        <v>0.21925456068122912</v>
      </c>
    </row>
    <row r="35" spans="2:59" ht="14.4" x14ac:dyDescent="0.55000000000000004">
      <c r="B35" s="3">
        <v>2042</v>
      </c>
      <c r="C35" s="707">
        <v>3115.5167307311153</v>
      </c>
      <c r="D35" s="965"/>
      <c r="E35" s="965"/>
      <c r="F35" s="965"/>
      <c r="G35" s="965"/>
      <c r="H35" s="965"/>
      <c r="I35" s="965"/>
      <c r="J35" s="965"/>
      <c r="K35" s="965"/>
      <c r="L35" s="965"/>
      <c r="N35" s="3">
        <v>2042</v>
      </c>
      <c r="O35" s="707">
        <f>C35*Compost!J34/100</f>
        <v>1490.626611455775</v>
      </c>
      <c r="P35" s="1130"/>
      <c r="Q35" s="1130"/>
      <c r="R35" s="1130"/>
      <c r="S35" s="1130"/>
      <c r="T35" s="1130"/>
      <c r="U35" s="1130"/>
      <c r="V35" s="1130"/>
      <c r="W35" s="1130"/>
      <c r="X35" s="1130"/>
      <c r="AA35" s="3">
        <v>2042</v>
      </c>
      <c r="AB35" s="707">
        <f>C35*'H&amp;C Recycling'!M32/100</f>
        <v>936.52432925777396</v>
      </c>
      <c r="AC35" s="1166"/>
      <c r="AD35" s="1166"/>
      <c r="AE35" s="1166"/>
      <c r="AF35" s="1166"/>
      <c r="AG35" s="1166"/>
      <c r="AH35" s="528"/>
      <c r="AI35" s="528"/>
      <c r="AJ35" s="528"/>
      <c r="AK35" s="528"/>
      <c r="AM35" s="3">
        <v>2042</v>
      </c>
      <c r="AN35" s="707">
        <f t="shared" si="0"/>
        <v>688.36579001756638</v>
      </c>
      <c r="AO35" s="335"/>
      <c r="AP35" s="335"/>
      <c r="AQ35" s="335"/>
      <c r="AR35" s="335"/>
      <c r="AS35" s="335"/>
      <c r="AT35" s="335"/>
      <c r="AU35" s="335"/>
      <c r="AV35" s="335"/>
      <c r="AW35" s="335"/>
      <c r="AY35" s="3">
        <v>2042</v>
      </c>
      <c r="AZ35" s="707">
        <f>C35*Bioplastics!AL40</f>
        <v>501.56004261312142</v>
      </c>
      <c r="BD35" s="3">
        <v>2042</v>
      </c>
      <c r="BE35" s="1131">
        <f t="shared" si="1"/>
        <v>0.47845244955753169</v>
      </c>
      <c r="BF35" s="1131">
        <f t="shared" si="2"/>
        <v>0.3006000000000002</v>
      </c>
      <c r="BG35" s="1131">
        <f t="shared" si="3"/>
        <v>0.22094755044246808</v>
      </c>
    </row>
    <row r="36" spans="2:59" ht="14.4" x14ac:dyDescent="0.55000000000000004">
      <c r="B36" s="3">
        <v>2043</v>
      </c>
      <c r="C36" s="707">
        <v>3153.4350652335165</v>
      </c>
      <c r="D36" s="965"/>
      <c r="E36" s="965"/>
      <c r="F36" s="965"/>
      <c r="G36" s="965"/>
      <c r="H36" s="965"/>
      <c r="I36" s="965"/>
      <c r="J36" s="965"/>
      <c r="K36" s="965"/>
      <c r="L36" s="965"/>
      <c r="N36" s="3">
        <v>2043</v>
      </c>
      <c r="O36" s="707">
        <f>C36*Compost!J35/100</f>
        <v>1509.3643215227776</v>
      </c>
      <c r="P36" s="1130"/>
      <c r="Q36" s="1130"/>
      <c r="R36" s="1130"/>
      <c r="S36" s="1130"/>
      <c r="T36" s="1130"/>
      <c r="U36" s="1130"/>
      <c r="V36" s="1130"/>
      <c r="W36" s="1130"/>
      <c r="X36" s="1130"/>
      <c r="AA36" s="3">
        <v>2043</v>
      </c>
      <c r="AB36" s="707">
        <f>C36*'H&amp;C Recycling'!M33/100</f>
        <v>941.93105398525188</v>
      </c>
      <c r="AC36" s="1166"/>
      <c r="AD36" s="1166"/>
      <c r="AE36" s="1166"/>
      <c r="AF36" s="1166"/>
      <c r="AG36" s="1166"/>
      <c r="AH36" s="528"/>
      <c r="AI36" s="528"/>
      <c r="AJ36" s="528"/>
      <c r="AK36" s="528"/>
      <c r="AM36" s="3">
        <v>2043</v>
      </c>
      <c r="AN36" s="707">
        <f t="shared" si="0"/>
        <v>702.13968972548707</v>
      </c>
      <c r="AO36" s="335"/>
      <c r="AP36" s="335"/>
      <c r="AQ36" s="335"/>
      <c r="AR36" s="335"/>
      <c r="AS36" s="335"/>
      <c r="AT36" s="335"/>
      <c r="AU36" s="335"/>
      <c r="AV36" s="335"/>
      <c r="AW36" s="335"/>
      <c r="AY36" s="3">
        <v>2043</v>
      </c>
      <c r="AZ36" s="707">
        <f>C36*Bioplastics!AL41</f>
        <v>514.20037072312857</v>
      </c>
      <c r="BD36" s="3">
        <v>2043</v>
      </c>
      <c r="BE36" s="1131">
        <f t="shared" si="1"/>
        <v>0.47864131979867069</v>
      </c>
      <c r="BF36" s="1131">
        <f t="shared" si="2"/>
        <v>0.29870000000000013</v>
      </c>
      <c r="BG36" s="1131">
        <f t="shared" si="3"/>
        <v>0.22265868020132915</v>
      </c>
    </row>
    <row r="37" spans="2:59" ht="14.4" x14ac:dyDescent="0.55000000000000004">
      <c r="B37" s="3">
        <v>2044</v>
      </c>
      <c r="C37" s="707">
        <v>3191.205104072636</v>
      </c>
      <c r="D37" s="965"/>
      <c r="E37" s="965"/>
      <c r="F37" s="965"/>
      <c r="G37" s="965"/>
      <c r="H37" s="965"/>
      <c r="I37" s="965"/>
      <c r="J37" s="965"/>
      <c r="K37" s="965"/>
      <c r="L37" s="965"/>
      <c r="N37" s="3">
        <v>2044</v>
      </c>
      <c r="O37" s="707">
        <f>C37*Compost!J36/100</f>
        <v>1527.9924906151241</v>
      </c>
      <c r="P37" s="1130"/>
      <c r="Q37" s="1130"/>
      <c r="R37" s="1130"/>
      <c r="S37" s="1130"/>
      <c r="T37" s="1130"/>
      <c r="U37" s="1130"/>
      <c r="V37" s="1130"/>
      <c r="W37" s="1130"/>
      <c r="X37" s="1130"/>
      <c r="AA37" s="3">
        <v>2044</v>
      </c>
      <c r="AB37" s="707">
        <f>C37*'H&amp;C Recycling'!M34/100</f>
        <v>947.14967488875891</v>
      </c>
      <c r="AC37" s="1166"/>
      <c r="AD37" s="1166"/>
      <c r="AE37" s="1166"/>
      <c r="AF37" s="1166"/>
      <c r="AG37" s="1166"/>
      <c r="AH37" s="528"/>
      <c r="AI37" s="528"/>
      <c r="AJ37" s="528"/>
      <c r="AK37" s="528"/>
      <c r="AM37" s="3">
        <v>2044</v>
      </c>
      <c r="AN37" s="707">
        <f t="shared" si="0"/>
        <v>716.062938568753</v>
      </c>
      <c r="AO37" s="335"/>
      <c r="AP37" s="335"/>
      <c r="AQ37" s="335"/>
      <c r="AR37" s="335"/>
      <c r="AS37" s="335"/>
      <c r="AT37" s="335"/>
      <c r="AU37" s="335"/>
      <c r="AV37" s="335"/>
      <c r="AW37" s="335"/>
      <c r="AY37" s="3">
        <v>2044</v>
      </c>
      <c r="AZ37" s="707">
        <f>C37*Bioplastics!AL42</f>
        <v>527.02895645584624</v>
      </c>
      <c r="BD37" s="3">
        <v>2044</v>
      </c>
      <c r="BE37" s="1131">
        <f t="shared" si="1"/>
        <v>0.47881362707307357</v>
      </c>
      <c r="BF37" s="1131">
        <f t="shared" si="2"/>
        <v>0.29680000000000017</v>
      </c>
      <c r="BG37" s="1131">
        <f t="shared" si="3"/>
        <v>0.22438637292692626</v>
      </c>
    </row>
    <row r="38" spans="2:59" ht="14.4" x14ac:dyDescent="0.55000000000000004">
      <c r="B38" s="3">
        <v>2045</v>
      </c>
      <c r="C38" s="707">
        <v>3228.9513540957141</v>
      </c>
      <c r="D38" s="965"/>
      <c r="E38" s="965"/>
      <c r="F38" s="965"/>
      <c r="G38" s="965"/>
      <c r="H38" s="965"/>
      <c r="I38" s="965"/>
      <c r="J38" s="965"/>
      <c r="K38" s="965"/>
      <c r="L38" s="965"/>
      <c r="N38" s="3">
        <v>2045</v>
      </c>
      <c r="O38" s="707">
        <f>C38*Compost!J37/100</f>
        <v>1546.5734565798705</v>
      </c>
      <c r="P38" s="1130"/>
      <c r="Q38" s="1130"/>
      <c r="R38" s="1130"/>
      <c r="S38" s="1130"/>
      <c r="T38" s="1130"/>
      <c r="U38" s="1130"/>
      <c r="V38" s="1130"/>
      <c r="W38" s="1130"/>
      <c r="X38" s="1130"/>
      <c r="AA38" s="3">
        <v>2045</v>
      </c>
      <c r="AB38" s="707">
        <f>C38*'H&amp;C Recycling'!M35/100</f>
        <v>952.21775432282664</v>
      </c>
      <c r="AC38" s="1166"/>
      <c r="AD38" s="1166"/>
      <c r="AE38" s="1166"/>
      <c r="AF38" s="1166"/>
      <c r="AG38" s="1166"/>
      <c r="AH38" s="528"/>
      <c r="AI38" s="528"/>
      <c r="AJ38" s="528"/>
      <c r="AK38" s="528"/>
      <c r="AM38" s="3">
        <v>2045</v>
      </c>
      <c r="AN38" s="707">
        <f t="shared" si="0"/>
        <v>730.16014319301701</v>
      </c>
      <c r="AO38" s="335"/>
      <c r="AP38" s="335"/>
      <c r="AQ38" s="335"/>
      <c r="AR38" s="335"/>
      <c r="AS38" s="335"/>
      <c r="AT38" s="335"/>
      <c r="AU38" s="335"/>
      <c r="AV38" s="335"/>
      <c r="AW38" s="335"/>
      <c r="AY38" s="3">
        <v>2045</v>
      </c>
      <c r="AZ38" s="707">
        <f>C38*Bioplastics!AL43</f>
        <v>540.04209034223186</v>
      </c>
      <c r="BD38" s="3">
        <v>2045</v>
      </c>
      <c r="BE38" s="1131">
        <f t="shared" si="1"/>
        <v>0.47897081342465658</v>
      </c>
      <c r="BF38" s="1131">
        <f t="shared" si="2"/>
        <v>0.29490000000000016</v>
      </c>
      <c r="BG38" s="1131">
        <f t="shared" si="3"/>
        <v>0.22612918657534326</v>
      </c>
    </row>
    <row r="39" spans="2:59" ht="14.4" x14ac:dyDescent="0.55000000000000004">
      <c r="B39" s="3">
        <v>2046</v>
      </c>
      <c r="C39" s="707">
        <v>3266.2667302830773</v>
      </c>
      <c r="D39" s="965"/>
      <c r="E39" s="965"/>
      <c r="F39" s="965"/>
      <c r="G39" s="965"/>
      <c r="H39" s="965"/>
      <c r="I39" s="965"/>
      <c r="J39" s="965"/>
      <c r="K39" s="965"/>
      <c r="L39" s="965"/>
      <c r="N39" s="3">
        <v>2046</v>
      </c>
      <c r="O39" s="707">
        <f>C39*Compost!J38/100</f>
        <v>1564.9147620174915</v>
      </c>
      <c r="P39" s="1130"/>
      <c r="Q39" s="1130"/>
      <c r="R39" s="1130"/>
      <c r="S39" s="1130"/>
      <c r="T39" s="1130"/>
      <c r="U39" s="1130"/>
      <c r="V39" s="1130"/>
      <c r="W39" s="1130"/>
      <c r="X39" s="1130"/>
      <c r="AA39" s="3">
        <v>2046</v>
      </c>
      <c r="AB39" s="707">
        <f>C39*'H&amp;C Recycling'!M36/100</f>
        <v>957.01615197294223</v>
      </c>
      <c r="AC39" s="1166"/>
      <c r="AD39" s="1166"/>
      <c r="AE39" s="1166"/>
      <c r="AF39" s="1166"/>
      <c r="AG39" s="1166"/>
      <c r="AH39" s="528"/>
      <c r="AI39" s="528"/>
      <c r="AJ39" s="528"/>
      <c r="AK39" s="528"/>
      <c r="AM39" s="3">
        <v>2046</v>
      </c>
      <c r="AN39" s="707">
        <f t="shared" si="0"/>
        <v>744.33581629264359</v>
      </c>
      <c r="AO39" s="335"/>
      <c r="AP39" s="335"/>
      <c r="AQ39" s="335"/>
      <c r="AR39" s="335"/>
      <c r="AS39" s="335"/>
      <c r="AT39" s="335"/>
      <c r="AU39" s="335"/>
      <c r="AV39" s="335"/>
      <c r="AW39" s="335"/>
      <c r="AY39" s="3">
        <v>2046</v>
      </c>
      <c r="AZ39" s="707">
        <f>C39*Bioplastics!AL44</f>
        <v>553.23599859639353</v>
      </c>
      <c r="BD39" s="3">
        <v>2046</v>
      </c>
      <c r="BE39" s="1131">
        <f t="shared" si="1"/>
        <v>0.47911419710718639</v>
      </c>
      <c r="BF39" s="1131">
        <f t="shared" si="2"/>
        <v>0.29300000000000015</v>
      </c>
      <c r="BG39" s="1131">
        <f t="shared" si="3"/>
        <v>0.22788580289281343</v>
      </c>
    </row>
    <row r="40" spans="2:59" ht="14.4" x14ac:dyDescent="0.55000000000000004">
      <c r="B40" s="3">
        <v>2047</v>
      </c>
      <c r="C40" s="707">
        <v>3303.191895125663</v>
      </c>
      <c r="D40" s="965"/>
      <c r="E40" s="965"/>
      <c r="F40" s="965"/>
      <c r="G40" s="965"/>
      <c r="H40" s="965"/>
      <c r="I40" s="965"/>
      <c r="J40" s="965"/>
      <c r="K40" s="965"/>
      <c r="L40" s="965"/>
      <c r="N40" s="3">
        <v>2047</v>
      </c>
      <c r="O40" s="707">
        <f>C40*Compost!J39/100</f>
        <v>1583.0381433388645</v>
      </c>
      <c r="P40" s="1130"/>
      <c r="Q40" s="1130"/>
      <c r="R40" s="1130"/>
      <c r="S40" s="1130"/>
      <c r="T40" s="1130"/>
      <c r="U40" s="1130"/>
      <c r="V40" s="1130"/>
      <c r="W40" s="1130"/>
      <c r="X40" s="1130"/>
      <c r="AA40" s="3">
        <v>2047</v>
      </c>
      <c r="AB40" s="707">
        <f>C40*'H&amp;C Recycling'!M37/100</f>
        <v>961.55916067108092</v>
      </c>
      <c r="AC40" s="1166"/>
      <c r="AD40" s="1166"/>
      <c r="AE40" s="1166"/>
      <c r="AF40" s="1166"/>
      <c r="AG40" s="1166"/>
      <c r="AH40" s="528"/>
      <c r="AI40" s="528"/>
      <c r="AJ40" s="528"/>
      <c r="AK40" s="528"/>
      <c r="AM40" s="3">
        <v>2047</v>
      </c>
      <c r="AN40" s="707">
        <f t="shared" si="0"/>
        <v>758.59459111571755</v>
      </c>
      <c r="AO40" s="335"/>
      <c r="AP40" s="335"/>
      <c r="AQ40" s="335"/>
      <c r="AR40" s="335"/>
      <c r="AS40" s="335"/>
      <c r="AT40" s="335"/>
      <c r="AU40" s="335"/>
      <c r="AV40" s="335"/>
      <c r="AW40" s="335"/>
      <c r="AY40" s="3">
        <v>2047</v>
      </c>
      <c r="AZ40" s="707">
        <f>C40*Bioplastics!AL45</f>
        <v>566.60678646055908</v>
      </c>
      <c r="BD40" s="3">
        <v>2047</v>
      </c>
      <c r="BE40" s="1131">
        <f t="shared" si="1"/>
        <v>0.47924498291330458</v>
      </c>
      <c r="BF40" s="1131">
        <f t="shared" si="2"/>
        <v>0.29110000000000014</v>
      </c>
      <c r="BG40" s="1131">
        <f t="shared" si="3"/>
        <v>0.22965501708669531</v>
      </c>
    </row>
    <row r="41" spans="2:59" ht="14.4" x14ac:dyDescent="0.55000000000000004">
      <c r="B41" s="3">
        <v>2048</v>
      </c>
      <c r="C41" s="707">
        <v>3339.8027616596228</v>
      </c>
      <c r="D41" s="965"/>
      <c r="E41" s="965"/>
      <c r="F41" s="965"/>
      <c r="G41" s="965"/>
      <c r="H41" s="965"/>
      <c r="I41" s="965"/>
      <c r="J41" s="965"/>
      <c r="K41" s="965"/>
      <c r="L41" s="965"/>
      <c r="N41" s="3">
        <v>2048</v>
      </c>
      <c r="O41" s="707">
        <f>C41*Compost!J40/100</f>
        <v>1600.9821184392006</v>
      </c>
      <c r="P41" s="1130"/>
      <c r="Q41" s="1130"/>
      <c r="R41" s="1130"/>
      <c r="S41" s="1130"/>
      <c r="T41" s="1130"/>
      <c r="U41" s="1130"/>
      <c r="V41" s="1130"/>
      <c r="W41" s="1130"/>
      <c r="X41" s="1130"/>
      <c r="AA41" s="3">
        <v>2048</v>
      </c>
      <c r="AB41" s="707">
        <f>C41*'H&amp;C Recycling'!M38/100</f>
        <v>965.87095867196331</v>
      </c>
      <c r="AC41" s="1166"/>
      <c r="AD41" s="1166"/>
      <c r="AE41" s="1166"/>
      <c r="AF41" s="1166"/>
      <c r="AG41" s="1166"/>
      <c r="AH41" s="528"/>
      <c r="AI41" s="528"/>
      <c r="AJ41" s="528"/>
      <c r="AK41" s="528"/>
      <c r="AM41" s="3">
        <v>2048</v>
      </c>
      <c r="AN41" s="707">
        <f t="shared" si="0"/>
        <v>772.94968454845889</v>
      </c>
      <c r="AO41" s="335"/>
      <c r="AP41" s="335"/>
      <c r="AQ41" s="335"/>
      <c r="AR41" s="335"/>
      <c r="AS41" s="335"/>
      <c r="AT41" s="335"/>
      <c r="AU41" s="335"/>
      <c r="AV41" s="335"/>
      <c r="AW41" s="335"/>
      <c r="AY41" s="3">
        <v>2048</v>
      </c>
      <c r="AZ41" s="707">
        <f>C41*Bioplastics!AL46</f>
        <v>580.15031958382735</v>
      </c>
      <c r="BD41" s="3">
        <v>2048</v>
      </c>
      <c r="BE41" s="1131">
        <f t="shared" si="1"/>
        <v>0.47936427169239082</v>
      </c>
      <c r="BF41" s="1131">
        <f t="shared" si="2"/>
        <v>0.28920000000000012</v>
      </c>
      <c r="BG41" s="1131">
        <f t="shared" si="3"/>
        <v>0.23143572830760906</v>
      </c>
    </row>
    <row r="42" spans="2:59" ht="14.4" x14ac:dyDescent="0.55000000000000004">
      <c r="B42" s="3">
        <v>2049</v>
      </c>
      <c r="C42" s="707">
        <v>3376.0991857820768</v>
      </c>
      <c r="D42" s="965"/>
      <c r="E42" s="965"/>
      <c r="F42" s="965"/>
      <c r="G42" s="965"/>
      <c r="H42" s="965"/>
      <c r="I42" s="965"/>
      <c r="J42" s="965"/>
      <c r="K42" s="965"/>
      <c r="L42" s="965"/>
      <c r="N42" s="3">
        <v>2049</v>
      </c>
      <c r="O42" s="707">
        <f>C42*Compost!J41/100</f>
        <v>1618.7486382340012</v>
      </c>
      <c r="P42" s="1130"/>
      <c r="Q42" s="1130"/>
      <c r="R42" s="1130"/>
      <c r="S42" s="1130"/>
      <c r="T42" s="1130"/>
      <c r="U42" s="1130"/>
      <c r="V42" s="1130"/>
      <c r="W42" s="1130"/>
      <c r="X42" s="1130"/>
      <c r="AA42" s="3">
        <v>2049</v>
      </c>
      <c r="AB42" s="707">
        <f>C42*'H&amp;C Recycling'!M39/100</f>
        <v>969.95329607519102</v>
      </c>
      <c r="AC42" s="1166"/>
      <c r="AD42" s="1166"/>
      <c r="AE42" s="1166"/>
      <c r="AF42" s="1166"/>
      <c r="AG42" s="1166"/>
      <c r="AH42" s="528"/>
      <c r="AI42" s="528"/>
      <c r="AJ42" s="528"/>
      <c r="AK42" s="528"/>
      <c r="AM42" s="3">
        <v>2049</v>
      </c>
      <c r="AN42" s="707">
        <f t="shared" si="0"/>
        <v>787.39725147288459</v>
      </c>
      <c r="AO42" s="335"/>
      <c r="AP42" s="335"/>
      <c r="AQ42" s="335"/>
      <c r="AR42" s="335"/>
      <c r="AS42" s="335"/>
      <c r="AT42" s="335"/>
      <c r="AU42" s="335"/>
      <c r="AV42" s="335"/>
      <c r="AW42" s="335"/>
      <c r="AY42" s="3">
        <v>2049</v>
      </c>
      <c r="AZ42" s="707">
        <f>C42*Bioplastics!AL47</f>
        <v>593.86232160032046</v>
      </c>
      <c r="BD42" s="3">
        <v>2049</v>
      </c>
      <c r="BE42" s="1131">
        <f t="shared" si="1"/>
        <v>0.47947306911216131</v>
      </c>
      <c r="BF42" s="1131">
        <f t="shared" si="2"/>
        <v>0.28730000000000011</v>
      </c>
      <c r="BG42" s="1131">
        <f t="shared" si="3"/>
        <v>0.23322693088783861</v>
      </c>
    </row>
    <row r="43" spans="2:59" ht="14.4" x14ac:dyDescent="0.55000000000000004">
      <c r="B43" s="3">
        <v>2050</v>
      </c>
      <c r="C43" s="707">
        <v>3411.4131493703135</v>
      </c>
      <c r="D43" s="965"/>
      <c r="E43" s="965"/>
      <c r="F43" s="965"/>
      <c r="G43" s="965"/>
      <c r="H43" s="965"/>
      <c r="I43" s="965"/>
      <c r="J43" s="965"/>
      <c r="K43" s="965"/>
      <c r="L43" s="965"/>
      <c r="N43" s="3">
        <v>2050</v>
      </c>
      <c r="O43" s="707">
        <f>C43*Compost!J42/100</f>
        <v>1636.01922885913</v>
      </c>
      <c r="P43" s="1130"/>
      <c r="Q43" s="1130"/>
      <c r="R43" s="1130"/>
      <c r="S43" s="1130"/>
      <c r="T43" s="1130"/>
      <c r="U43" s="1130"/>
      <c r="V43" s="1130"/>
      <c r="W43" s="1130"/>
      <c r="X43" s="1130"/>
      <c r="AA43" s="3">
        <v>2050</v>
      </c>
      <c r="AB43" s="707">
        <f>C43*'H&amp;C Recycling'!M40/100</f>
        <v>973.6173128302878</v>
      </c>
      <c r="AC43" s="1166"/>
      <c r="AD43" s="1166"/>
      <c r="AE43" s="1166"/>
      <c r="AF43" s="1166"/>
      <c r="AG43" s="1166"/>
      <c r="AH43" s="528"/>
      <c r="AI43" s="528"/>
      <c r="AJ43" s="528"/>
      <c r="AK43" s="528"/>
      <c r="AM43" s="3">
        <v>2050</v>
      </c>
      <c r="AN43" s="707">
        <f t="shared" si="0"/>
        <v>801.77660768089572</v>
      </c>
      <c r="AO43" s="335"/>
      <c r="AP43" s="335"/>
      <c r="AQ43" s="335"/>
      <c r="AR43" s="335"/>
      <c r="AS43" s="335"/>
      <c r="AT43" s="335"/>
      <c r="AU43" s="335"/>
      <c r="AV43" s="335"/>
      <c r="AW43" s="335"/>
      <c r="AY43" s="3">
        <v>2050</v>
      </c>
      <c r="AZ43" s="707">
        <f>C43*Bioplastics!AL48</f>
        <v>606.72504354337991</v>
      </c>
      <c r="BD43" s="3">
        <v>2050</v>
      </c>
      <c r="BE43" s="1131">
        <f t="shared" si="1"/>
        <v>0.47957229371678717</v>
      </c>
      <c r="BF43" s="1131">
        <f t="shared" si="2"/>
        <v>0.2854000000000001</v>
      </c>
      <c r="BG43" s="1131">
        <f t="shared" si="3"/>
        <v>0.23502770628321273</v>
      </c>
    </row>
    <row r="44" spans="2:59" ht="14.4" x14ac:dyDescent="0.55000000000000004">
      <c r="B44" s="3">
        <v>2051</v>
      </c>
      <c r="C44" s="707">
        <v>3447.7514379580948</v>
      </c>
      <c r="D44" s="965"/>
      <c r="E44" s="965"/>
      <c r="F44" s="965"/>
      <c r="G44" s="965"/>
      <c r="H44" s="965"/>
      <c r="I44" s="965"/>
      <c r="J44" s="965"/>
      <c r="K44" s="965"/>
      <c r="L44" s="965"/>
      <c r="N44" s="3">
        <v>2051</v>
      </c>
      <c r="O44" s="707">
        <f>C44*Compost!J43/100</f>
        <v>1653.7580544155035</v>
      </c>
      <c r="P44" s="1130"/>
      <c r="Q44" s="1130"/>
      <c r="R44" s="1130"/>
      <c r="S44" s="1130"/>
      <c r="T44" s="1130"/>
      <c r="U44" s="1130"/>
      <c r="V44" s="1130"/>
      <c r="W44" s="1130"/>
      <c r="X44" s="1130"/>
      <c r="AA44" s="3">
        <v>2051</v>
      </c>
      <c r="AB44" s="707">
        <f>C44*'H&amp;C Recycling'!M41/100</f>
        <v>977.43753266112026</v>
      </c>
      <c r="AC44" s="1166"/>
      <c r="AD44" s="1166"/>
      <c r="AE44" s="1166"/>
      <c r="AF44" s="1166"/>
      <c r="AG44" s="1166"/>
      <c r="AH44" s="528"/>
      <c r="AI44" s="528"/>
      <c r="AJ44" s="528"/>
      <c r="AK44" s="528"/>
      <c r="AM44" s="3">
        <v>2051</v>
      </c>
      <c r="AN44" s="707">
        <f t="shared" si="0"/>
        <v>816.55585088147109</v>
      </c>
      <c r="AO44" s="335"/>
      <c r="AP44" s="335"/>
      <c r="AQ44" s="335"/>
      <c r="AR44" s="335"/>
      <c r="AS44" s="335"/>
      <c r="AT44" s="335"/>
      <c r="AU44" s="335"/>
      <c r="AV44" s="335"/>
      <c r="AW44" s="335"/>
      <c r="AY44" s="3">
        <v>2051</v>
      </c>
      <c r="AZ44" s="707">
        <f>C44*Bioplastics!AL49</f>
        <v>621.77418456820612</v>
      </c>
      <c r="BD44" s="3">
        <v>2051</v>
      </c>
      <c r="BE44" s="1131">
        <f t="shared" si="1"/>
        <v>0.47966278433196141</v>
      </c>
      <c r="BF44" s="1131">
        <f t="shared" si="2"/>
        <v>0.28350000000000009</v>
      </c>
      <c r="BG44" s="1131">
        <f t="shared" si="3"/>
        <v>0.23683721566803848</v>
      </c>
    </row>
    <row r="45" spans="2:59" ht="14.4" x14ac:dyDescent="0.55000000000000004">
      <c r="B45" s="3">
        <v>2052</v>
      </c>
      <c r="C45" s="707">
        <v>3483.1120613277576</v>
      </c>
      <c r="D45" s="965"/>
      <c r="E45" s="965"/>
      <c r="F45" s="965"/>
      <c r="G45" s="965"/>
      <c r="H45" s="965"/>
      <c r="I45" s="965"/>
      <c r="J45" s="965"/>
      <c r="K45" s="965"/>
      <c r="L45" s="965"/>
      <c r="N45" s="3">
        <v>2052</v>
      </c>
      <c r="O45" s="707">
        <f>C45*Compost!J44/100</f>
        <v>1671.0066647062019</v>
      </c>
      <c r="P45" s="1130"/>
      <c r="Q45" s="1130"/>
      <c r="R45" s="1130"/>
      <c r="S45" s="1130"/>
      <c r="T45" s="1130"/>
      <c r="U45" s="1130"/>
      <c r="V45" s="1130"/>
      <c r="W45" s="1130"/>
      <c r="X45" s="1130"/>
      <c r="AA45" s="3">
        <v>2052</v>
      </c>
      <c r="AB45" s="707">
        <f>C45*'H&amp;C Recycling'!M42/100</f>
        <v>980.84435646989675</v>
      </c>
      <c r="AC45" s="1166"/>
      <c r="AD45" s="1166"/>
      <c r="AE45" s="1166"/>
      <c r="AF45" s="1166"/>
      <c r="AG45" s="1166"/>
      <c r="AH45" s="528"/>
      <c r="AI45" s="528"/>
      <c r="AJ45" s="528"/>
      <c r="AK45" s="528"/>
      <c r="AM45" s="3">
        <v>2052</v>
      </c>
      <c r="AN45" s="707">
        <f t="shared" si="0"/>
        <v>831.2610401516589</v>
      </c>
      <c r="AO45" s="335"/>
      <c r="AP45" s="335"/>
      <c r="AQ45" s="335"/>
      <c r="AR45" s="335"/>
      <c r="AS45" s="335"/>
      <c r="AT45" s="335"/>
      <c r="AU45" s="335"/>
      <c r="AV45" s="335"/>
      <c r="AW45" s="335"/>
      <c r="AY45" s="3">
        <v>2052</v>
      </c>
      <c r="AZ45" s="707">
        <f>C45*Bioplastics!AL50</f>
        <v>635.96513204630094</v>
      </c>
      <c r="BD45" s="3">
        <v>2052</v>
      </c>
      <c r="BE45" s="1131">
        <f t="shared" si="1"/>
        <v>0.47974530686480882</v>
      </c>
      <c r="BF45" s="1131">
        <f t="shared" si="2"/>
        <v>0.28160000000000007</v>
      </c>
      <c r="BG45" s="1131">
        <f t="shared" si="3"/>
        <v>0.23865469313519111</v>
      </c>
    </row>
    <row r="46" spans="2:59" ht="14.4" x14ac:dyDescent="0.55000000000000004">
      <c r="B46" s="3">
        <v>2053</v>
      </c>
      <c r="C46" s="707">
        <v>3518.1641751714656</v>
      </c>
      <c r="D46" s="965"/>
      <c r="E46" s="965"/>
      <c r="F46" s="965"/>
      <c r="G46" s="965"/>
      <c r="H46" s="965"/>
      <c r="I46" s="965"/>
      <c r="J46" s="965"/>
      <c r="K46" s="965"/>
      <c r="L46" s="965"/>
      <c r="N46" s="3">
        <v>2053</v>
      </c>
      <c r="O46" s="707">
        <f>C46*Compost!J45/100</f>
        <v>1688.0875066163242</v>
      </c>
      <c r="P46" s="1130"/>
      <c r="Q46" s="1130"/>
      <c r="R46" s="1130"/>
      <c r="S46" s="1130"/>
      <c r="T46" s="1130"/>
      <c r="U46" s="1130"/>
      <c r="V46" s="1130"/>
      <c r="W46" s="1130"/>
      <c r="X46" s="1130"/>
      <c r="AA46" s="3">
        <v>2053</v>
      </c>
      <c r="AB46" s="707">
        <f>C46*'H&amp;C Recycling'!M43/100</f>
        <v>984.0305197954591</v>
      </c>
      <c r="AC46" s="1166"/>
      <c r="AD46" s="1166"/>
      <c r="AE46" s="1166"/>
      <c r="AF46" s="1166"/>
      <c r="AG46" s="1166"/>
      <c r="AH46" s="528"/>
      <c r="AI46" s="528"/>
      <c r="AJ46" s="528"/>
      <c r="AK46" s="528"/>
      <c r="AM46" s="3">
        <v>2053</v>
      </c>
      <c r="AN46" s="707">
        <f t="shared" si="0"/>
        <v>846.0461487596823</v>
      </c>
      <c r="AO46" s="335"/>
      <c r="AP46" s="335"/>
      <c r="AQ46" s="335"/>
      <c r="AR46" s="335"/>
      <c r="AS46" s="335"/>
      <c r="AT46" s="335"/>
      <c r="AU46" s="335"/>
      <c r="AV46" s="335"/>
      <c r="AW46" s="335"/>
      <c r="AY46" s="3">
        <v>2053</v>
      </c>
      <c r="AZ46" s="707">
        <f>C46*Bioplastics!AL51</f>
        <v>650.30623236969711</v>
      </c>
      <c r="BD46" s="3">
        <v>2053</v>
      </c>
      <c r="BE46" s="1131">
        <f t="shared" si="1"/>
        <v>0.47982056054392386</v>
      </c>
      <c r="BF46" s="1131">
        <f t="shared" si="2"/>
        <v>0.27970000000000006</v>
      </c>
      <c r="BG46" s="1131">
        <f t="shared" si="3"/>
        <v>0.24047943945607608</v>
      </c>
    </row>
    <row r="47" spans="2:59" ht="14.4" x14ac:dyDescent="0.55000000000000004">
      <c r="B47" s="3">
        <v>2054</v>
      </c>
      <c r="C47" s="707">
        <v>3552.9086715023973</v>
      </c>
      <c r="D47" s="965"/>
      <c r="E47" s="965"/>
      <c r="F47" s="965"/>
      <c r="G47" s="965"/>
      <c r="H47" s="965"/>
      <c r="I47" s="965"/>
      <c r="J47" s="965"/>
      <c r="K47" s="965"/>
      <c r="L47" s="965"/>
      <c r="N47" s="3">
        <v>2054</v>
      </c>
      <c r="O47" s="707">
        <f>C47*Compost!J46/100</f>
        <v>1705.0024419224751</v>
      </c>
      <c r="P47" s="1130"/>
      <c r="Q47" s="1130"/>
      <c r="R47" s="1130"/>
      <c r="S47" s="1130"/>
      <c r="T47" s="1130"/>
      <c r="U47" s="1130"/>
      <c r="V47" s="1130"/>
      <c r="W47" s="1130"/>
      <c r="X47" s="1130"/>
      <c r="AA47" s="3">
        <v>2054</v>
      </c>
      <c r="AB47" s="707">
        <f>C47*'H&amp;C Recycling'!M44/100</f>
        <v>986.99802894336608</v>
      </c>
      <c r="AC47" s="1166"/>
      <c r="AD47" s="1166"/>
      <c r="AE47" s="1166"/>
      <c r="AF47" s="1166"/>
      <c r="AG47" s="1166"/>
      <c r="AH47" s="528"/>
      <c r="AI47" s="528"/>
      <c r="AJ47" s="528"/>
      <c r="AK47" s="528"/>
      <c r="AM47" s="3">
        <v>2054</v>
      </c>
      <c r="AN47" s="707">
        <f t="shared" si="0"/>
        <v>860.9082006365561</v>
      </c>
      <c r="AO47" s="335"/>
      <c r="AP47" s="335"/>
      <c r="AQ47" s="335"/>
      <c r="AR47" s="335"/>
      <c r="AS47" s="335"/>
      <c r="AT47" s="335"/>
      <c r="AU47" s="335"/>
      <c r="AV47" s="335"/>
      <c r="AW47" s="335"/>
      <c r="AY47" s="3">
        <v>2054</v>
      </c>
      <c r="AZ47" s="707">
        <f>C47*Bioplastics!AL52</f>
        <v>664.7922930911418</v>
      </c>
      <c r="BD47" s="3">
        <v>2054</v>
      </c>
      <c r="BE47" s="1131">
        <f t="shared" si="1"/>
        <v>0.47988918364217081</v>
      </c>
      <c r="BF47" s="1131">
        <f t="shared" si="2"/>
        <v>0.27780000000000005</v>
      </c>
      <c r="BG47" s="1131">
        <f t="shared" si="3"/>
        <v>0.24231081635782914</v>
      </c>
    </row>
    <row r="48" spans="2:59" ht="14.4" x14ac:dyDescent="0.55000000000000004">
      <c r="B48" s="3">
        <v>2055</v>
      </c>
      <c r="C48" s="707">
        <v>3587.3475451386416</v>
      </c>
      <c r="D48" s="965"/>
      <c r="E48" s="965"/>
      <c r="F48" s="965"/>
      <c r="G48" s="965"/>
      <c r="H48" s="965"/>
      <c r="I48" s="965"/>
      <c r="J48" s="965"/>
      <c r="K48" s="965"/>
      <c r="L48" s="965"/>
      <c r="N48" s="3">
        <v>2055</v>
      </c>
      <c r="O48" s="707">
        <f>C48*Compost!J47/100</f>
        <v>1721.7537634372247</v>
      </c>
      <c r="P48" s="1130"/>
      <c r="Q48" s="1130"/>
      <c r="R48" s="1130"/>
      <c r="S48" s="1130"/>
      <c r="T48" s="1130"/>
      <c r="U48" s="1130"/>
      <c r="V48" s="1130"/>
      <c r="W48" s="1130"/>
      <c r="X48" s="1130"/>
      <c r="AA48" s="3">
        <v>2055</v>
      </c>
      <c r="AB48" s="707">
        <f>C48*'H&amp;C Recycling'!M45/100</f>
        <v>989.74918770375143</v>
      </c>
      <c r="AC48" s="1166"/>
      <c r="AD48" s="1166"/>
      <c r="AE48" s="1166"/>
      <c r="AF48" s="1166"/>
      <c r="AG48" s="1166"/>
      <c r="AH48" s="528"/>
      <c r="AI48" s="528"/>
      <c r="AJ48" s="528"/>
      <c r="AK48" s="528"/>
      <c r="AM48" s="3">
        <v>2055</v>
      </c>
      <c r="AN48" s="707">
        <f t="shared" si="0"/>
        <v>875.84459399766547</v>
      </c>
      <c r="AO48" s="335"/>
      <c r="AP48" s="335"/>
      <c r="AQ48" s="335"/>
      <c r="AR48" s="335"/>
      <c r="AS48" s="335"/>
      <c r="AT48" s="335"/>
      <c r="AU48" s="335"/>
      <c r="AV48" s="335"/>
      <c r="AW48" s="335"/>
      <c r="AY48" s="3">
        <v>2055</v>
      </c>
      <c r="AZ48" s="707">
        <f>C48*Bioplastics!AL53</f>
        <v>679.41827484496139</v>
      </c>
      <c r="BD48" s="3">
        <v>2055</v>
      </c>
      <c r="BE48" s="1131">
        <f t="shared" si="1"/>
        <v>0.47995175872224655</v>
      </c>
      <c r="BF48" s="1131">
        <f t="shared" si="2"/>
        <v>0.27590000000000003</v>
      </c>
      <c r="BG48" s="1131">
        <f t="shared" si="3"/>
        <v>0.24414824127775342</v>
      </c>
    </row>
    <row r="49" spans="1:59" ht="14.4" x14ac:dyDescent="0.55000000000000004">
      <c r="B49" s="3">
        <v>2056</v>
      </c>
      <c r="C49" s="707">
        <v>3621.4835044729898</v>
      </c>
      <c r="D49" s="965"/>
      <c r="E49" s="965"/>
      <c r="F49" s="965"/>
      <c r="G49" s="965"/>
      <c r="H49" s="965"/>
      <c r="I49" s="965"/>
      <c r="J49" s="965"/>
      <c r="K49" s="965"/>
      <c r="L49" s="965"/>
      <c r="N49" s="3">
        <v>2056</v>
      </c>
      <c r="O49" s="707">
        <f>C49*Compost!J48/100</f>
        <v>1738.3440143692965</v>
      </c>
      <c r="P49" s="1130"/>
      <c r="Q49" s="1130"/>
      <c r="R49" s="1130"/>
      <c r="S49" s="1130"/>
      <c r="T49" s="1130"/>
      <c r="U49" s="1130"/>
      <c r="V49" s="1130"/>
      <c r="W49" s="1130"/>
      <c r="X49" s="1130"/>
      <c r="AA49" s="3">
        <v>2056</v>
      </c>
      <c r="AB49" s="707">
        <f>C49*'H&amp;C Recycling'!M46/100</f>
        <v>992.28648022559923</v>
      </c>
      <c r="AC49" s="1166"/>
      <c r="AD49" s="1166"/>
      <c r="AE49" s="1166"/>
      <c r="AF49" s="1166"/>
      <c r="AG49" s="1166"/>
      <c r="AH49" s="528"/>
      <c r="AI49" s="528"/>
      <c r="AJ49" s="528"/>
      <c r="AK49" s="528"/>
      <c r="AM49" s="3">
        <v>2056</v>
      </c>
      <c r="AN49" s="707">
        <f t="shared" si="0"/>
        <v>890.8530098780941</v>
      </c>
      <c r="AO49" s="335"/>
      <c r="AP49" s="335"/>
      <c r="AQ49" s="335"/>
      <c r="AR49" s="335"/>
      <c r="AS49" s="335"/>
      <c r="AT49" s="335"/>
      <c r="AU49" s="335"/>
      <c r="AV49" s="335"/>
      <c r="AW49" s="335"/>
      <c r="AY49" s="3">
        <v>2056</v>
      </c>
      <c r="AZ49" s="707">
        <f>C49*Bioplastics!AL54</f>
        <v>694.17944159351691</v>
      </c>
      <c r="BD49" s="3">
        <v>2056</v>
      </c>
      <c r="BE49" s="1131">
        <f t="shared" si="1"/>
        <v>0.48000881744241602</v>
      </c>
      <c r="BF49" s="1131">
        <f t="shared" si="2"/>
        <v>0.27400000000000002</v>
      </c>
      <c r="BG49" s="1131">
        <f t="shared" si="3"/>
        <v>0.24599118255758395</v>
      </c>
    </row>
    <row r="50" spans="1:59" ht="14.4" x14ac:dyDescent="0.55000000000000004">
      <c r="B50" s="3">
        <v>2057</v>
      </c>
      <c r="C50" s="707">
        <v>3655.3211397416994</v>
      </c>
      <c r="D50" s="965"/>
      <c r="E50" s="965"/>
      <c r="F50" s="965"/>
      <c r="G50" s="965"/>
      <c r="H50" s="965"/>
      <c r="I50" s="965"/>
      <c r="J50" s="965"/>
      <c r="K50" s="965"/>
      <c r="L50" s="965"/>
      <c r="N50" s="3">
        <v>2057</v>
      </c>
      <c r="O50" s="707">
        <f>C50*Compost!J49/100</f>
        <v>1754.7765549347521</v>
      </c>
      <c r="P50" s="1130"/>
      <c r="Q50" s="1130"/>
      <c r="R50" s="1130"/>
      <c r="S50" s="1130"/>
      <c r="T50" s="1130"/>
      <c r="U50" s="1130"/>
      <c r="V50" s="1130"/>
      <c r="W50" s="1130"/>
      <c r="X50" s="1130"/>
      <c r="AA50" s="3">
        <v>2057</v>
      </c>
      <c r="AB50" s="707">
        <f>C50*'H&amp;C Recycling'!M47/100</f>
        <v>994.61288212371642</v>
      </c>
      <c r="AC50" s="1166"/>
      <c r="AD50" s="1166"/>
      <c r="AE50" s="1166"/>
      <c r="AF50" s="1166"/>
      <c r="AG50" s="1166"/>
      <c r="AH50" s="528"/>
      <c r="AI50" s="528"/>
      <c r="AJ50" s="528"/>
      <c r="AK50" s="528"/>
      <c r="AM50" s="3">
        <v>2057</v>
      </c>
      <c r="AN50" s="707">
        <f t="shared" si="0"/>
        <v>905.93170268323092</v>
      </c>
      <c r="AO50" s="335"/>
      <c r="AP50" s="335"/>
      <c r="AQ50" s="335"/>
      <c r="AR50" s="335"/>
      <c r="AS50" s="335"/>
      <c r="AT50" s="335"/>
      <c r="AU50" s="335"/>
      <c r="AV50" s="335"/>
      <c r="AW50" s="335"/>
      <c r="AY50" s="3">
        <v>2057</v>
      </c>
      <c r="AZ50" s="707">
        <f>C50*Bioplastics!AL55</f>
        <v>709.07130636970987</v>
      </c>
      <c r="BD50" s="3">
        <v>2057</v>
      </c>
      <c r="BE50" s="1131">
        <f t="shared" si="1"/>
        <v>0.48006084495731943</v>
      </c>
      <c r="BF50" s="1131">
        <f t="shared" si="2"/>
        <v>0.27210000000000001</v>
      </c>
      <c r="BG50" s="1131">
        <f t="shared" si="3"/>
        <v>0.24783915504268059</v>
      </c>
    </row>
    <row r="51" spans="1:59" ht="14.4" x14ac:dyDescent="0.55000000000000004">
      <c r="B51" s="3">
        <v>2058</v>
      </c>
      <c r="C51" s="707">
        <v>3688.8672576804943</v>
      </c>
      <c r="D51" s="965"/>
      <c r="E51" s="965"/>
      <c r="F51" s="965"/>
      <c r="G51" s="965"/>
      <c r="H51" s="965"/>
      <c r="I51" s="965"/>
      <c r="J51" s="965"/>
      <c r="K51" s="965"/>
      <c r="L51" s="965"/>
      <c r="N51" s="3">
        <v>2058</v>
      </c>
      <c r="O51" s="707">
        <f>C51*Compost!J50/100</f>
        <v>1771.0557287907629</v>
      </c>
      <c r="P51" s="1130"/>
      <c r="Q51" s="1130"/>
      <c r="R51" s="1130"/>
      <c r="S51" s="1130"/>
      <c r="T51" s="1130"/>
      <c r="U51" s="1130"/>
      <c r="V51" s="1130"/>
      <c r="W51" s="1130"/>
      <c r="X51" s="1130"/>
      <c r="AA51" s="3">
        <v>2058</v>
      </c>
      <c r="AB51" s="707">
        <f>C51*'H&amp;C Recycling'!M48/100</f>
        <v>996.73193302526954</v>
      </c>
      <c r="AC51" s="1166"/>
      <c r="AD51" s="1166"/>
      <c r="AE51" s="1166"/>
      <c r="AF51" s="1166"/>
      <c r="AG51" s="1166"/>
      <c r="AH51" s="528"/>
      <c r="AI51" s="528"/>
      <c r="AJ51" s="528"/>
      <c r="AK51" s="528"/>
      <c r="AM51" s="3">
        <v>2058</v>
      </c>
      <c r="AN51" s="707">
        <f t="shared" si="0"/>
        <v>921.07959586446179</v>
      </c>
      <c r="AO51" s="335"/>
      <c r="AP51" s="335"/>
      <c r="AQ51" s="335"/>
      <c r="AR51" s="335"/>
      <c r="AS51" s="335"/>
      <c r="AT51" s="335"/>
      <c r="AU51" s="335"/>
      <c r="AV51" s="335"/>
      <c r="AW51" s="335"/>
      <c r="AY51" s="3">
        <v>2058</v>
      </c>
      <c r="AZ51" s="707">
        <f>C51*Bioplastics!AL56</f>
        <v>724.08938858247984</v>
      </c>
      <c r="BD51" s="3">
        <v>2058</v>
      </c>
      <c r="BE51" s="1131">
        <f t="shared" si="1"/>
        <v>0.48010828394632366</v>
      </c>
      <c r="BF51" s="1131">
        <f t="shared" si="2"/>
        <v>0.2702</v>
      </c>
      <c r="BG51" s="1131">
        <f t="shared" si="3"/>
        <v>0.24969171605367638</v>
      </c>
    </row>
    <row r="52" spans="1:59" ht="14.4" x14ac:dyDescent="0.55000000000000004">
      <c r="B52" s="3">
        <v>2059</v>
      </c>
      <c r="C52" s="707">
        <v>3722.1302215748697</v>
      </c>
      <c r="D52" s="965"/>
      <c r="E52" s="965"/>
      <c r="F52" s="965"/>
      <c r="G52" s="965"/>
      <c r="H52" s="965"/>
      <c r="I52" s="965"/>
      <c r="J52" s="965"/>
      <c r="K52" s="965"/>
      <c r="L52" s="965"/>
      <c r="N52" s="3">
        <v>2059</v>
      </c>
      <c r="O52" s="707">
        <f>C52*Compost!J51/100</f>
        <v>1787.1865516405094</v>
      </c>
      <c r="P52" s="1130"/>
      <c r="Q52" s="1130"/>
      <c r="R52" s="1130"/>
      <c r="S52" s="1130"/>
      <c r="T52" s="1130"/>
      <c r="U52" s="1130"/>
      <c r="V52" s="1130"/>
      <c r="W52" s="1130"/>
      <c r="X52" s="1130"/>
      <c r="AA52" s="3">
        <v>2059</v>
      </c>
      <c r="AB52" s="707">
        <f>C52*'H&amp;C Recycling'!M49/100</f>
        <v>998.64753844853749</v>
      </c>
      <c r="AC52" s="1166"/>
      <c r="AD52" s="1166"/>
      <c r="AE52" s="1166"/>
      <c r="AF52" s="1166"/>
      <c r="AG52" s="1166"/>
      <c r="AH52" s="528"/>
      <c r="AI52" s="528"/>
      <c r="AJ52" s="528"/>
      <c r="AK52" s="528"/>
      <c r="AM52" s="3">
        <v>2059</v>
      </c>
      <c r="AN52" s="707">
        <f t="shared" si="0"/>
        <v>936.2961314858228</v>
      </c>
      <c r="AO52" s="335"/>
      <c r="AP52" s="335"/>
      <c r="AQ52" s="335"/>
      <c r="AR52" s="335"/>
      <c r="AS52" s="335"/>
      <c r="AT52" s="335"/>
      <c r="AU52" s="335"/>
      <c r="AV52" s="335"/>
      <c r="AW52" s="335"/>
      <c r="AY52" s="3">
        <v>2059</v>
      </c>
      <c r="AZ52" s="707">
        <f>C52*Bioplastics!AL57</f>
        <v>739.22931294908301</v>
      </c>
      <c r="BD52" s="3">
        <v>2059</v>
      </c>
      <c r="BE52" s="1131">
        <f t="shared" si="1"/>
        <v>0.48015153829957441</v>
      </c>
      <c r="BF52" s="1131">
        <f t="shared" si="2"/>
        <v>0.26829999999999998</v>
      </c>
      <c r="BG52" s="1131">
        <f t="shared" si="3"/>
        <v>0.25154846170042561</v>
      </c>
    </row>
    <row r="53" spans="1:59" ht="14.4" x14ac:dyDescent="0.55000000000000004">
      <c r="B53" s="3">
        <v>2060</v>
      </c>
      <c r="C53" s="707">
        <v>3755.1180285792939</v>
      </c>
      <c r="D53" s="965"/>
      <c r="E53" s="965"/>
      <c r="F53" s="965"/>
      <c r="G53" s="965"/>
      <c r="H53" s="965"/>
      <c r="I53" s="965"/>
      <c r="J53" s="965"/>
      <c r="K53" s="965"/>
      <c r="L53" s="965"/>
      <c r="N53" s="3">
        <v>2060</v>
      </c>
      <c r="O53" s="707">
        <f>C53*Compost!J52/100</f>
        <v>1803.1737929775679</v>
      </c>
      <c r="P53" s="1130"/>
      <c r="Q53" s="1130"/>
      <c r="R53" s="1130"/>
      <c r="S53" s="1130"/>
      <c r="T53" s="1130"/>
      <c r="U53" s="1130"/>
      <c r="V53" s="1130"/>
      <c r="W53" s="1130"/>
      <c r="X53" s="1130"/>
      <c r="AA53" s="3">
        <v>2060</v>
      </c>
      <c r="AB53" s="707">
        <f>C53*'H&amp;C Recycling'!M50/100</f>
        <v>1000.3634428135238</v>
      </c>
      <c r="AC53" s="1166"/>
      <c r="AD53" s="1166"/>
      <c r="AE53" s="1166"/>
      <c r="AF53" s="1166"/>
      <c r="AG53" s="1166"/>
      <c r="AH53" s="528"/>
      <c r="AI53" s="528"/>
      <c r="AJ53" s="528"/>
      <c r="AK53" s="528"/>
      <c r="AM53" s="3">
        <v>2060</v>
      </c>
      <c r="AN53" s="707">
        <f t="shared" si="0"/>
        <v>951.58079278820219</v>
      </c>
      <c r="AO53" s="335"/>
      <c r="AP53" s="335"/>
      <c r="AQ53" s="335"/>
      <c r="AR53" s="335"/>
      <c r="AS53" s="335"/>
      <c r="AT53" s="335"/>
      <c r="AU53" s="335"/>
      <c r="AV53" s="335"/>
      <c r="AW53" s="335"/>
      <c r="AY53" s="3">
        <v>2060</v>
      </c>
      <c r="AZ53" s="707">
        <f>C53*Bioplastics!AL58</f>
        <v>754.48668025133588</v>
      </c>
      <c r="BD53" s="3">
        <v>2060</v>
      </c>
      <c r="BE53" s="1131">
        <f t="shared" si="1"/>
        <v>0.48019097648969988</v>
      </c>
      <c r="BF53" s="1131">
        <f t="shared" si="2"/>
        <v>0.26639999999999997</v>
      </c>
      <c r="BG53" s="1131">
        <f t="shared" si="3"/>
        <v>0.25340902351030015</v>
      </c>
    </row>
    <row r="54" spans="1:59" s="929" customFormat="1" x14ac:dyDescent="0.4">
      <c r="D54" s="983"/>
      <c r="E54" s="983"/>
      <c r="F54" s="983"/>
      <c r="G54" s="983"/>
      <c r="H54" s="983"/>
    </row>
    <row r="55" spans="1:59" s="929" customFormat="1" x14ac:dyDescent="0.4">
      <c r="D55" s="983"/>
      <c r="E55" s="983"/>
      <c r="F55" s="983"/>
      <c r="G55" s="983"/>
      <c r="H55" s="983"/>
    </row>
    <row r="56" spans="1:59" ht="22.5" x14ac:dyDescent="0.75">
      <c r="A56" s="336" t="s">
        <v>146</v>
      </c>
    </row>
    <row r="57" spans="1:59" ht="200.05" customHeight="1" x14ac:dyDescent="0.4">
      <c r="B57" s="1280" t="s">
        <v>466</v>
      </c>
      <c r="C57" s="1281"/>
      <c r="D57" s="341"/>
      <c r="E57" s="1280" t="s">
        <v>467</v>
      </c>
      <c r="F57" s="1281"/>
      <c r="H57" s="1280" t="s">
        <v>468</v>
      </c>
      <c r="I57" s="1281"/>
      <c r="L57" s="1280" t="s">
        <v>469</v>
      </c>
      <c r="M57" s="1281"/>
      <c r="Q57" s="1280" t="s">
        <v>1093</v>
      </c>
      <c r="R57" s="1281"/>
      <c r="T57" s="1280" t="s">
        <v>470</v>
      </c>
      <c r="U57" s="1281"/>
      <c r="W57" s="1275" t="s">
        <v>471</v>
      </c>
      <c r="X57" s="1276"/>
      <c r="Y57" s="1276"/>
      <c r="AA57" s="1275" t="s">
        <v>1031</v>
      </c>
      <c r="AB57" s="1276"/>
      <c r="AD57" s="1275" t="s">
        <v>1095</v>
      </c>
      <c r="AE57" s="1276"/>
      <c r="AG57" s="1275" t="s">
        <v>472</v>
      </c>
      <c r="AH57" s="1276"/>
      <c r="AK57" s="1275" t="s">
        <v>473</v>
      </c>
      <c r="AL57" s="1276"/>
      <c r="AM57" s="1276"/>
      <c r="AN57" s="1276"/>
    </row>
    <row r="58" spans="1:59" ht="135.30000000000001" x14ac:dyDescent="0.4">
      <c r="B58" s="641" t="s">
        <v>148</v>
      </c>
      <c r="C58" s="641"/>
      <c r="D58" s="341"/>
      <c r="E58" s="340" t="s">
        <v>125</v>
      </c>
      <c r="F58" s="340" t="s">
        <v>149</v>
      </c>
      <c r="G58" s="341"/>
      <c r="H58" s="340" t="s">
        <v>126</v>
      </c>
      <c r="I58" s="341"/>
      <c r="J58" s="341"/>
      <c r="K58" s="341"/>
      <c r="L58" s="641" t="s">
        <v>499</v>
      </c>
      <c r="M58" s="641"/>
      <c r="N58" s="341"/>
      <c r="O58" s="341"/>
      <c r="P58" s="341"/>
      <c r="Q58" s="1198" t="s">
        <v>127</v>
      </c>
      <c r="R58" s="641"/>
      <c r="S58" s="341"/>
      <c r="T58" s="340" t="s">
        <v>128</v>
      </c>
      <c r="U58" s="340" t="s">
        <v>149</v>
      </c>
      <c r="V58" s="341"/>
      <c r="W58" s="641" t="s">
        <v>129</v>
      </c>
      <c r="X58" s="641"/>
      <c r="Y58" s="340" t="s">
        <v>149</v>
      </c>
      <c r="Z58" s="341"/>
      <c r="AA58" s="641" t="s">
        <v>130</v>
      </c>
      <c r="AB58" s="641"/>
      <c r="AD58" s="641" t="s">
        <v>150</v>
      </c>
      <c r="AE58" s="641"/>
      <c r="AF58" s="341"/>
      <c r="AG58" s="1173" t="s">
        <v>131</v>
      </c>
      <c r="AH58" s="341"/>
    </row>
    <row r="59" spans="1:59" x14ac:dyDescent="0.4">
      <c r="B59" s="2"/>
      <c r="C59" s="334" t="s">
        <v>147</v>
      </c>
      <c r="E59" s="2"/>
      <c r="F59" s="334" t="s">
        <v>115</v>
      </c>
      <c r="H59" s="2"/>
      <c r="I59" s="334" t="s">
        <v>115</v>
      </c>
      <c r="L59" s="2"/>
      <c r="M59" s="334" t="s">
        <v>115</v>
      </c>
      <c r="Q59" s="2"/>
      <c r="R59" s="334" t="s">
        <v>115</v>
      </c>
      <c r="T59" s="2"/>
      <c r="U59" s="334" t="s">
        <v>115</v>
      </c>
      <c r="W59" s="2"/>
      <c r="X59" s="342"/>
      <c r="Y59" s="334" t="s">
        <v>115</v>
      </c>
      <c r="AA59" s="2"/>
      <c r="AB59" s="334" t="s">
        <v>115</v>
      </c>
      <c r="AD59" s="2"/>
      <c r="AE59" s="334" t="s">
        <v>115</v>
      </c>
      <c r="AG59" s="2"/>
      <c r="AH59" s="334" t="s">
        <v>115</v>
      </c>
      <c r="AK59" s="2" t="s">
        <v>114</v>
      </c>
      <c r="AL59" s="334" t="s">
        <v>156</v>
      </c>
      <c r="AM59" s="2" t="s">
        <v>157</v>
      </c>
      <c r="AN59" s="2" t="s">
        <v>158</v>
      </c>
    </row>
    <row r="60" spans="1:59" ht="14.4" x14ac:dyDescent="0.55000000000000004">
      <c r="B60" s="3">
        <v>2014</v>
      </c>
      <c r="C60" s="707">
        <f>'Food System Summary'!I12</f>
        <v>-2.3841857910156249E-13</v>
      </c>
      <c r="E60" s="3">
        <v>2014</v>
      </c>
      <c r="F60" s="335">
        <f t="shared" ref="F60:F106" si="4">C7-C60</f>
        <v>1773.3333333333335</v>
      </c>
      <c r="H60" s="3">
        <v>2014</v>
      </c>
      <c r="I60" s="335">
        <f t="shared" ref="I60:I106" si="5">O7-C60</f>
        <v>804.14197831832132</v>
      </c>
      <c r="L60" s="3">
        <v>2014</v>
      </c>
      <c r="M60" s="707">
        <f>Bioplastics!B110</f>
        <v>1.67</v>
      </c>
      <c r="Q60" s="3">
        <v>2014</v>
      </c>
      <c r="R60" s="1197">
        <v>0.39100000000000001</v>
      </c>
      <c r="T60" s="3">
        <v>2014</v>
      </c>
      <c r="U60" s="335">
        <f>F60</f>
        <v>1773.3333333333335</v>
      </c>
      <c r="W60" s="3">
        <v>2014</v>
      </c>
      <c r="X60" s="343"/>
      <c r="Y60" s="335">
        <f>I60+R60*M60</f>
        <v>804.7949483183213</v>
      </c>
      <c r="AA60" s="3">
        <v>2014</v>
      </c>
      <c r="AB60" s="335">
        <f t="shared" ref="AB60:AB106" si="6">AB7-M60*R60</f>
        <v>626.75236333333328</v>
      </c>
      <c r="AD60" s="3">
        <v>2014</v>
      </c>
      <c r="AE60" s="335">
        <f>U60-Y60-AB60</f>
        <v>341.7860216816789</v>
      </c>
      <c r="AG60" s="3">
        <v>2014</v>
      </c>
      <c r="AH60" s="335">
        <f t="shared" ref="AH60:AH106" si="7">AZ7-M60</f>
        <v>239.52999999999997</v>
      </c>
      <c r="AK60" s="3">
        <v>2014</v>
      </c>
      <c r="AL60" s="338">
        <f>Y60/U60</f>
        <v>0.4538317377734894</v>
      </c>
      <c r="AM60" s="338">
        <f>AB60/U60</f>
        <v>0.3534317838345864</v>
      </c>
      <c r="AN60" s="338">
        <f>AE60/U60</f>
        <v>0.19273647839192418</v>
      </c>
    </row>
    <row r="61" spans="1:59" ht="14.4" x14ac:dyDescent="0.55000000000000004">
      <c r="B61" s="3">
        <v>2015</v>
      </c>
      <c r="C61" s="707">
        <f>'Food System Summary'!I13</f>
        <v>0</v>
      </c>
      <c r="E61" s="3">
        <v>2015</v>
      </c>
      <c r="F61" s="335">
        <f t="shared" si="4"/>
        <v>1891.6666666666667</v>
      </c>
      <c r="H61" s="3">
        <v>2015</v>
      </c>
      <c r="I61" s="335">
        <f t="shared" si="5"/>
        <v>862.10382892596351</v>
      </c>
      <c r="L61" s="3">
        <v>2015</v>
      </c>
      <c r="M61" s="707">
        <f>Bioplastics!B111</f>
        <v>2.0299999999999998</v>
      </c>
      <c r="Q61" s="3">
        <v>2015</v>
      </c>
      <c r="R61" s="1197">
        <v>0.36300000000000004</v>
      </c>
      <c r="T61" s="3">
        <v>2015</v>
      </c>
      <c r="U61" s="335">
        <f t="shared" ref="U61:U106" si="8">F61</f>
        <v>1891.6666666666667</v>
      </c>
      <c r="W61" s="3">
        <v>2015</v>
      </c>
      <c r="X61" s="343"/>
      <c r="Y61" s="335">
        <f t="shared" ref="Y61:Y106" si="9">I61+R61*M61</f>
        <v>862.84071892596353</v>
      </c>
      <c r="AA61" s="3">
        <v>2015</v>
      </c>
      <c r="AB61" s="335">
        <f t="shared" si="6"/>
        <v>664.94060999999999</v>
      </c>
      <c r="AD61" s="3">
        <v>2015</v>
      </c>
      <c r="AE61" s="335">
        <f t="shared" ref="AE61:AE106" si="10">U61-Y61-AB61</f>
        <v>363.88533774070322</v>
      </c>
      <c r="AG61" s="3">
        <v>2015</v>
      </c>
      <c r="AH61" s="335">
        <f t="shared" si="7"/>
        <v>247.70118971061089</v>
      </c>
      <c r="AK61" s="3">
        <v>2015</v>
      </c>
      <c r="AL61" s="338">
        <f t="shared" ref="AL61:AL106" si="11">Y61/U61</f>
        <v>0.45612725229566353</v>
      </c>
      <c r="AM61" s="338">
        <f t="shared" ref="AM61:AM106" si="12">AB61/U61</f>
        <v>0.35151045462555064</v>
      </c>
      <c r="AN61" s="338">
        <f t="shared" ref="AN61:AN106" si="13">AE61/U61</f>
        <v>0.19236229307878583</v>
      </c>
    </row>
    <row r="62" spans="1:59" ht="14.4" x14ac:dyDescent="0.55000000000000004">
      <c r="B62" s="3">
        <v>2016</v>
      </c>
      <c r="C62" s="707">
        <f>'Food System Summary'!I14</f>
        <v>0</v>
      </c>
      <c r="E62" s="3">
        <v>2016</v>
      </c>
      <c r="F62" s="335">
        <f t="shared" si="4"/>
        <v>2009.9999999999998</v>
      </c>
      <c r="H62" s="3">
        <v>2016</v>
      </c>
      <c r="I62" s="335">
        <f t="shared" si="5"/>
        <v>924.59999999999991</v>
      </c>
      <c r="L62" s="3">
        <v>2016</v>
      </c>
      <c r="M62" s="707">
        <f>Bioplastics!B112</f>
        <v>2.0499999999999998</v>
      </c>
      <c r="Q62" s="3">
        <v>2016</v>
      </c>
      <c r="R62" s="1197">
        <v>0.36899999999999999</v>
      </c>
      <c r="T62" s="3">
        <v>2016</v>
      </c>
      <c r="U62" s="335">
        <f t="shared" si="8"/>
        <v>2009.9999999999998</v>
      </c>
      <c r="W62" s="3">
        <v>2016</v>
      </c>
      <c r="X62" s="343"/>
      <c r="Y62" s="335">
        <f t="shared" si="9"/>
        <v>925.35644999999988</v>
      </c>
      <c r="AA62" s="3">
        <v>2016</v>
      </c>
      <c r="AB62" s="335">
        <f t="shared" si="6"/>
        <v>702.74354999999991</v>
      </c>
      <c r="AD62" s="3">
        <v>2016</v>
      </c>
      <c r="AE62" s="335">
        <f t="shared" si="10"/>
        <v>381.89999999999986</v>
      </c>
      <c r="AG62" s="3">
        <v>2016</v>
      </c>
      <c r="AH62" s="335">
        <f t="shared" si="7"/>
        <v>257.7635048231511</v>
      </c>
      <c r="AK62" s="3">
        <v>2016</v>
      </c>
      <c r="AL62" s="338">
        <f t="shared" si="11"/>
        <v>0.46037634328358207</v>
      </c>
      <c r="AM62" s="338">
        <f t="shared" si="12"/>
        <v>0.34962365671641793</v>
      </c>
      <c r="AN62" s="338">
        <f t="shared" si="13"/>
        <v>0.18999999999999995</v>
      </c>
    </row>
    <row r="63" spans="1:59" ht="14.4" x14ac:dyDescent="0.55000000000000004">
      <c r="B63" s="3">
        <v>2017</v>
      </c>
      <c r="C63" s="707">
        <f>'Food System Summary'!I15</f>
        <v>2.3841857910156249E-13</v>
      </c>
      <c r="E63" s="3">
        <v>2017</v>
      </c>
      <c r="F63" s="335">
        <f t="shared" si="4"/>
        <v>2123.3242114408085</v>
      </c>
      <c r="H63" s="3">
        <v>2017</v>
      </c>
      <c r="I63" s="335">
        <f t="shared" si="5"/>
        <v>976.21069943703094</v>
      </c>
      <c r="L63" s="3">
        <v>2017</v>
      </c>
      <c r="M63" s="707">
        <f>Bioplastics!B113</f>
        <v>2.27</v>
      </c>
      <c r="Q63" s="3">
        <v>2017</v>
      </c>
      <c r="R63" s="1197">
        <v>0.38700000000000001</v>
      </c>
      <c r="T63" s="3">
        <v>2017</v>
      </c>
      <c r="U63" s="335">
        <f t="shared" si="8"/>
        <v>2123.3242114408085</v>
      </c>
      <c r="W63" s="3">
        <v>2017</v>
      </c>
      <c r="X63" s="343"/>
      <c r="Y63" s="335">
        <f t="shared" si="9"/>
        <v>977.089189437031</v>
      </c>
      <c r="AA63" s="3">
        <v>2017</v>
      </c>
      <c r="AB63" s="335">
        <f t="shared" si="6"/>
        <v>738.25066800254558</v>
      </c>
      <c r="AD63" s="3">
        <v>2017</v>
      </c>
      <c r="AE63" s="335">
        <f t="shared" si="10"/>
        <v>407.98435400123185</v>
      </c>
      <c r="AG63" s="3">
        <v>2017</v>
      </c>
      <c r="AH63" s="335">
        <f t="shared" si="7"/>
        <v>267.62581993569131</v>
      </c>
      <c r="AK63" s="3">
        <v>2017</v>
      </c>
      <c r="AL63" s="338">
        <f t="shared" si="11"/>
        <v>0.46016957004131498</v>
      </c>
      <c r="AM63" s="338">
        <f t="shared" si="12"/>
        <v>0.34768626666843133</v>
      </c>
      <c r="AN63" s="338">
        <f t="shared" si="13"/>
        <v>0.19214416329025369</v>
      </c>
    </row>
    <row r="64" spans="1:59" ht="14.4" x14ac:dyDescent="0.55000000000000004">
      <c r="B64" s="3">
        <v>2018</v>
      </c>
      <c r="C64" s="707">
        <f>'Food System Summary'!I16</f>
        <v>0</v>
      </c>
      <c r="E64" s="3">
        <v>2018</v>
      </c>
      <c r="F64" s="335">
        <f t="shared" si="4"/>
        <v>2160.7043297289983</v>
      </c>
      <c r="H64" s="3">
        <v>2018</v>
      </c>
      <c r="I64" s="335">
        <f t="shared" si="5"/>
        <v>997.21871385837414</v>
      </c>
      <c r="L64" s="3">
        <v>2018</v>
      </c>
      <c r="M64" s="707">
        <f>Bioplastics!B114</f>
        <v>2.1100000000001273</v>
      </c>
      <c r="Q64" s="3">
        <v>2018</v>
      </c>
      <c r="R64" s="1197">
        <v>0.43200000000000005</v>
      </c>
      <c r="T64" s="3">
        <v>2018</v>
      </c>
      <c r="U64" s="335">
        <f t="shared" si="8"/>
        <v>2160.7043297289983</v>
      </c>
      <c r="W64" s="3">
        <v>2018</v>
      </c>
      <c r="X64" s="343"/>
      <c r="Y64" s="335">
        <f t="shared" si="9"/>
        <v>998.13023385837425</v>
      </c>
      <c r="AA64" s="3">
        <v>2018</v>
      </c>
      <c r="AB64" s="335">
        <f t="shared" si="6"/>
        <v>747.12431895217924</v>
      </c>
      <c r="AD64" s="3">
        <v>2018</v>
      </c>
      <c r="AE64" s="335">
        <f t="shared" si="10"/>
        <v>415.44977691844497</v>
      </c>
      <c r="AG64" s="3">
        <v>2018</v>
      </c>
      <c r="AH64" s="335">
        <f t="shared" si="7"/>
        <v>276.3170096463021</v>
      </c>
      <c r="AK64" s="3">
        <v>2018</v>
      </c>
      <c r="AL64" s="338">
        <f t="shared" si="11"/>
        <v>0.46194669956697065</v>
      </c>
      <c r="AM64" s="338">
        <f t="shared" si="12"/>
        <v>0.34577813756030457</v>
      </c>
      <c r="AN64" s="338">
        <f t="shared" si="13"/>
        <v>0.19227516287272486</v>
      </c>
    </row>
    <row r="65" spans="2:40" ht="14.4" x14ac:dyDescent="0.55000000000000004">
      <c r="B65" s="3">
        <v>2019</v>
      </c>
      <c r="C65" s="707">
        <f>'Food System Summary'!I17</f>
        <v>67.045668835695025</v>
      </c>
      <c r="E65" s="3">
        <v>2019</v>
      </c>
      <c r="F65" s="335">
        <f t="shared" si="4"/>
        <v>2130.8577515178913</v>
      </c>
      <c r="H65" s="3">
        <v>2019</v>
      </c>
      <c r="I65" s="335">
        <f t="shared" si="5"/>
        <v>950.91196195839871</v>
      </c>
      <c r="L65" s="3">
        <v>2019</v>
      </c>
      <c r="M65" s="707">
        <f>Bioplastics!B115</f>
        <v>2.9085714285715767</v>
      </c>
      <c r="Q65" s="3">
        <v>2019</v>
      </c>
      <c r="R65" s="1197">
        <v>0.43442538507158451</v>
      </c>
      <c r="T65" s="3">
        <v>2019</v>
      </c>
      <c r="U65" s="335">
        <f t="shared" si="8"/>
        <v>2130.8577515178913</v>
      </c>
      <c r="W65" s="3">
        <v>2019</v>
      </c>
      <c r="X65" s="343"/>
      <c r="Y65" s="335">
        <f t="shared" si="9"/>
        <v>952.17551922126415</v>
      </c>
      <c r="AA65" s="3">
        <v>2019</v>
      </c>
      <c r="AB65" s="335">
        <f t="shared" si="6"/>
        <v>755.47459036487442</v>
      </c>
      <c r="AD65" s="3">
        <v>2019</v>
      </c>
      <c r="AE65" s="335">
        <f t="shared" si="10"/>
        <v>423.20764193175285</v>
      </c>
      <c r="AG65" s="3">
        <v>2019</v>
      </c>
      <c r="AH65" s="335">
        <f t="shared" si="7"/>
        <v>263.65456499365399</v>
      </c>
      <c r="AK65" s="3">
        <v>2019</v>
      </c>
      <c r="AL65" s="338">
        <f t="shared" si="11"/>
        <v>0.44685081326662618</v>
      </c>
      <c r="AM65" s="338">
        <f t="shared" si="12"/>
        <v>0.35454013287687602</v>
      </c>
      <c r="AN65" s="338">
        <f t="shared" si="13"/>
        <v>0.19860905385649788</v>
      </c>
    </row>
    <row r="66" spans="2:40" ht="14.4" x14ac:dyDescent="0.55000000000000004">
      <c r="B66" s="3">
        <v>2020</v>
      </c>
      <c r="C66" s="707">
        <f>'Food System Summary'!I18</f>
        <v>134.02168870726658</v>
      </c>
      <c r="E66" s="3">
        <v>2020</v>
      </c>
      <c r="F66" s="335">
        <f t="shared" si="4"/>
        <v>2101.4663007007398</v>
      </c>
      <c r="H66" s="3">
        <v>2020</v>
      </c>
      <c r="I66" s="335">
        <f t="shared" si="5"/>
        <v>904.67625363243405</v>
      </c>
      <c r="L66" s="3">
        <v>2020</v>
      </c>
      <c r="M66" s="707">
        <f>Bioplastics!B116</f>
        <v>3.707142857143026</v>
      </c>
      <c r="Q66" s="3">
        <v>2020</v>
      </c>
      <c r="R66" s="1197">
        <v>0.44838947206870899</v>
      </c>
      <c r="T66" s="3">
        <v>2020</v>
      </c>
      <c r="U66" s="335">
        <f t="shared" si="8"/>
        <v>2101.4663007007398</v>
      </c>
      <c r="W66" s="3">
        <v>2020</v>
      </c>
      <c r="X66" s="343"/>
      <c r="Y66" s="335">
        <f t="shared" si="9"/>
        <v>906.33849746103169</v>
      </c>
      <c r="AA66" s="3">
        <v>2020</v>
      </c>
      <c r="AB66" s="335">
        <f t="shared" si="6"/>
        <v>763.76884374470399</v>
      </c>
      <c r="AD66" s="3">
        <v>2020</v>
      </c>
      <c r="AE66" s="335">
        <f t="shared" si="10"/>
        <v>431.35895949500411</v>
      </c>
      <c r="AG66" s="3">
        <v>2020</v>
      </c>
      <c r="AH66" s="335">
        <f t="shared" si="7"/>
        <v>272.77975961556371</v>
      </c>
      <c r="AK66" s="3">
        <v>2020</v>
      </c>
      <c r="AL66" s="338">
        <f t="shared" si="11"/>
        <v>0.43128861840839922</v>
      </c>
      <c r="AM66" s="338">
        <f t="shared" si="12"/>
        <v>0.3634456776632693</v>
      </c>
      <c r="AN66" s="338">
        <f t="shared" si="13"/>
        <v>0.20526570392833149</v>
      </c>
    </row>
    <row r="67" spans="2:40" ht="14.4" x14ac:dyDescent="0.55000000000000004">
      <c r="B67" s="3">
        <v>2021</v>
      </c>
      <c r="C67" s="707">
        <f>'Food System Summary'!I19</f>
        <v>200.70456206726837</v>
      </c>
      <c r="E67" s="3">
        <v>2021</v>
      </c>
      <c r="F67" s="335">
        <f t="shared" si="4"/>
        <v>2069.5807654656778</v>
      </c>
      <c r="H67" s="3">
        <v>2021</v>
      </c>
      <c r="I67" s="335">
        <f t="shared" si="5"/>
        <v>857.2664261027694</v>
      </c>
      <c r="L67" s="3">
        <v>2021</v>
      </c>
      <c r="M67" s="707">
        <f>Bioplastics!B117</f>
        <v>4.505714285714248</v>
      </c>
      <c r="Q67" s="3">
        <v>2021</v>
      </c>
      <c r="R67" s="1197">
        <v>0.46200878452943045</v>
      </c>
      <c r="T67" s="3">
        <v>2021</v>
      </c>
      <c r="U67" s="335">
        <f t="shared" si="8"/>
        <v>2069.5807654656778</v>
      </c>
      <c r="W67" s="3">
        <v>2021</v>
      </c>
      <c r="X67" s="343"/>
      <c r="Y67" s="335">
        <f t="shared" si="9"/>
        <v>859.3481056833491</v>
      </c>
      <c r="AA67" s="3">
        <v>2021</v>
      </c>
      <c r="AB67" s="335">
        <f t="shared" si="6"/>
        <v>770.95047444438876</v>
      </c>
      <c r="AD67" s="3">
        <v>2021</v>
      </c>
      <c r="AE67" s="335">
        <f t="shared" si="10"/>
        <v>439.28218533793995</v>
      </c>
      <c r="AG67" s="3">
        <v>2021</v>
      </c>
      <c r="AH67" s="335">
        <f t="shared" si="7"/>
        <v>279.50930653440787</v>
      </c>
      <c r="AK67" s="3">
        <v>2021</v>
      </c>
      <c r="AL67" s="338">
        <f t="shared" si="11"/>
        <v>0.41522810804147892</v>
      </c>
      <c r="AM67" s="338">
        <f t="shared" si="12"/>
        <v>0.37251528778627618</v>
      </c>
      <c r="AN67" s="338">
        <f t="shared" si="13"/>
        <v>0.21225660417224487</v>
      </c>
    </row>
    <row r="68" spans="2:40" ht="14.4" x14ac:dyDescent="0.55000000000000004">
      <c r="B68" s="3">
        <v>2022</v>
      </c>
      <c r="C68" s="707">
        <f>'Food System Summary'!I20</f>
        <v>267.09242117504431</v>
      </c>
      <c r="E68" s="3">
        <v>2022</v>
      </c>
      <c r="F68" s="335">
        <f t="shared" si="4"/>
        <v>2038.3357505831518</v>
      </c>
      <c r="H68" s="3">
        <v>2022</v>
      </c>
      <c r="I68" s="335">
        <f t="shared" si="5"/>
        <v>810.14582588454232</v>
      </c>
      <c r="L68" s="3">
        <v>2022</v>
      </c>
      <c r="M68" s="707">
        <f>Bioplastics!B118</f>
        <v>5.3042857142856974</v>
      </c>
      <c r="Q68" s="3">
        <v>2022</v>
      </c>
      <c r="R68" s="1197">
        <v>0.47529183496738303</v>
      </c>
      <c r="T68" s="3">
        <v>2022</v>
      </c>
      <c r="U68" s="335">
        <f t="shared" si="8"/>
        <v>2038.3357505831518</v>
      </c>
      <c r="W68" s="3">
        <v>2022</v>
      </c>
      <c r="X68" s="343"/>
      <c r="Y68" s="335">
        <f t="shared" si="9"/>
        <v>812.6669095748764</v>
      </c>
      <c r="AA68" s="3">
        <v>2022</v>
      </c>
      <c r="AB68" s="335">
        <f t="shared" si="6"/>
        <v>778.09689526699151</v>
      </c>
      <c r="AD68" s="3">
        <v>2022</v>
      </c>
      <c r="AE68" s="335">
        <f t="shared" si="10"/>
        <v>447.57194574128391</v>
      </c>
      <c r="AG68" s="3">
        <v>2022</v>
      </c>
      <c r="AH68" s="335">
        <f t="shared" si="7"/>
        <v>286.23734585182353</v>
      </c>
      <c r="AK68" s="3">
        <v>2022</v>
      </c>
      <c r="AL68" s="338">
        <f t="shared" si="11"/>
        <v>0.39869138798275938</v>
      </c>
      <c r="AM68" s="338">
        <f t="shared" si="12"/>
        <v>0.38173146648896489</v>
      </c>
      <c r="AN68" s="338">
        <f t="shared" si="13"/>
        <v>0.21957714552827576</v>
      </c>
    </row>
    <row r="69" spans="2:40" ht="14.4" x14ac:dyDescent="0.55000000000000004">
      <c r="B69" s="3">
        <v>2023</v>
      </c>
      <c r="C69" s="707">
        <f>'Food System Summary'!I21</f>
        <v>333.1385890502529</v>
      </c>
      <c r="E69" s="3">
        <v>2023</v>
      </c>
      <c r="F69" s="335">
        <f t="shared" si="4"/>
        <v>2007.01626599784</v>
      </c>
      <c r="H69" s="3">
        <v>2023</v>
      </c>
      <c r="I69" s="335">
        <f t="shared" si="5"/>
        <v>763.01453685455454</v>
      </c>
      <c r="L69" s="3">
        <v>2023</v>
      </c>
      <c r="M69" s="707">
        <f>Bioplastics!B119</f>
        <v>6.1028571428571468</v>
      </c>
      <c r="Q69" s="3">
        <v>2023</v>
      </c>
      <c r="R69" s="1197">
        <v>0.49235474006116209</v>
      </c>
      <c r="T69" s="3">
        <v>2023</v>
      </c>
      <c r="U69" s="335">
        <f t="shared" si="8"/>
        <v>2007.01626599784</v>
      </c>
      <c r="W69" s="3">
        <v>2023</v>
      </c>
      <c r="X69" s="343"/>
      <c r="Y69" s="335">
        <f t="shared" si="9"/>
        <v>766.01930749675637</v>
      </c>
      <c r="AA69" s="3">
        <v>2023</v>
      </c>
      <c r="AB69" s="335">
        <f t="shared" si="6"/>
        <v>784.92536905249142</v>
      </c>
      <c r="AD69" s="3">
        <v>2023</v>
      </c>
      <c r="AE69" s="335">
        <f t="shared" si="10"/>
        <v>456.07158944859214</v>
      </c>
      <c r="AG69" s="3">
        <v>2023</v>
      </c>
      <c r="AH69" s="335">
        <f t="shared" si="7"/>
        <v>292.95916860030223</v>
      </c>
      <c r="AK69" s="3">
        <v>2023</v>
      </c>
      <c r="AL69" s="338">
        <f t="shared" si="11"/>
        <v>0.38167070216339777</v>
      </c>
      <c r="AM69" s="338">
        <f t="shared" si="12"/>
        <v>0.39109068638377253</v>
      </c>
      <c r="AN69" s="338">
        <f t="shared" si="13"/>
        <v>0.22723861145282964</v>
      </c>
    </row>
    <row r="70" spans="2:40" ht="14.4" x14ac:dyDescent="0.55000000000000004">
      <c r="B70" s="3">
        <v>2024</v>
      </c>
      <c r="C70" s="707">
        <f>'Food System Summary'!I22</f>
        <v>398.80347782666684</v>
      </c>
      <c r="E70" s="3">
        <v>2024</v>
      </c>
      <c r="F70" s="335">
        <f t="shared" si="4"/>
        <v>1975.6232802224613</v>
      </c>
      <c r="H70" s="3">
        <v>2024</v>
      </c>
      <c r="I70" s="335">
        <f t="shared" si="5"/>
        <v>715.9013924091106</v>
      </c>
      <c r="L70" s="3">
        <v>2024</v>
      </c>
      <c r="M70" s="707">
        <f>Bioplastics!B120</f>
        <v>6.9014285714285961</v>
      </c>
      <c r="Q70" s="3">
        <v>2024</v>
      </c>
      <c r="R70" s="1197">
        <v>0.5008821541451981</v>
      </c>
      <c r="T70" s="3">
        <v>2024</v>
      </c>
      <c r="U70" s="335">
        <f t="shared" si="8"/>
        <v>1975.6232802224613</v>
      </c>
      <c r="W70" s="3">
        <v>2024</v>
      </c>
      <c r="X70" s="343"/>
      <c r="Y70" s="335">
        <f t="shared" si="9"/>
        <v>719.35819481864701</v>
      </c>
      <c r="AA70" s="3">
        <v>2024</v>
      </c>
      <c r="AB70" s="335">
        <f t="shared" si="6"/>
        <v>791.50127618531224</v>
      </c>
      <c r="AD70" s="3">
        <v>2024</v>
      </c>
      <c r="AE70" s="335">
        <f t="shared" si="10"/>
        <v>464.76380921850205</v>
      </c>
      <c r="AG70" s="3">
        <v>2024</v>
      </c>
      <c r="AH70" s="335">
        <f t="shared" si="7"/>
        <v>301.10320430325652</v>
      </c>
      <c r="AK70" s="3">
        <v>2024</v>
      </c>
      <c r="AL70" s="338">
        <f t="shared" si="11"/>
        <v>0.36411708751358968</v>
      </c>
      <c r="AM70" s="338">
        <f t="shared" si="12"/>
        <v>0.40063370588353603</v>
      </c>
      <c r="AN70" s="338">
        <f t="shared" si="13"/>
        <v>0.23524920660287432</v>
      </c>
    </row>
    <row r="71" spans="2:40" ht="14.4" x14ac:dyDescent="0.55000000000000004">
      <c r="B71" s="3">
        <v>2025</v>
      </c>
      <c r="C71" s="707">
        <f>'Food System Summary'!I23</f>
        <v>464.05217014073799</v>
      </c>
      <c r="E71" s="3">
        <v>2025</v>
      </c>
      <c r="F71" s="335">
        <f t="shared" si="4"/>
        <v>1943.1247174439522</v>
      </c>
      <c r="H71" s="3">
        <v>2025</v>
      </c>
      <c r="I71" s="335">
        <f t="shared" si="5"/>
        <v>667.32096702406636</v>
      </c>
      <c r="L71" s="3">
        <v>2025</v>
      </c>
      <c r="M71" s="707">
        <f>Bioplastics!B121</f>
        <v>7.7000000000000455</v>
      </c>
      <c r="Q71" s="3">
        <v>2025</v>
      </c>
      <c r="R71" s="1197">
        <v>0.51320541766758221</v>
      </c>
      <c r="T71" s="3">
        <v>2025</v>
      </c>
      <c r="U71" s="335">
        <f t="shared" si="8"/>
        <v>1943.1247174439522</v>
      </c>
      <c r="W71" s="3">
        <v>2025</v>
      </c>
      <c r="X71" s="343"/>
      <c r="Y71" s="335">
        <f t="shared" si="9"/>
        <v>671.27264874010677</v>
      </c>
      <c r="AA71" s="3">
        <v>2025</v>
      </c>
      <c r="AB71" s="335">
        <f t="shared" si="6"/>
        <v>797.3975041609034</v>
      </c>
      <c r="AD71" s="3">
        <v>2025</v>
      </c>
      <c r="AE71" s="335">
        <f t="shared" si="10"/>
        <v>474.45456454294197</v>
      </c>
      <c r="AG71" s="3">
        <v>2025</v>
      </c>
      <c r="AH71" s="335">
        <f t="shared" si="7"/>
        <v>309.41756746264883</v>
      </c>
      <c r="AK71" s="3">
        <v>2025</v>
      </c>
      <c r="AL71" s="338">
        <f t="shared" si="11"/>
        <v>0.34546040339763678</v>
      </c>
      <c r="AM71" s="338">
        <f t="shared" si="12"/>
        <v>0.41036866908359093</v>
      </c>
      <c r="AN71" s="338">
        <f t="shared" si="13"/>
        <v>0.2441709275187722</v>
      </c>
    </row>
    <row r="72" spans="2:40" ht="14.4" x14ac:dyDescent="0.55000000000000004">
      <c r="B72" s="3">
        <v>2026</v>
      </c>
      <c r="C72" s="707">
        <f>'Food System Summary'!I24</f>
        <v>528.85132453258871</v>
      </c>
      <c r="E72" s="3">
        <v>2026</v>
      </c>
      <c r="F72" s="335">
        <f t="shared" si="4"/>
        <v>1921.0667505456024</v>
      </c>
      <c r="H72" s="3">
        <v>2026</v>
      </c>
      <c r="I72" s="335">
        <f t="shared" si="5"/>
        <v>625.81402828681439</v>
      </c>
      <c r="L72" s="3">
        <v>2026</v>
      </c>
      <c r="M72" s="707">
        <f>Bioplastics!B122</f>
        <v>10.01507231593132</v>
      </c>
      <c r="Q72" s="3">
        <v>2026</v>
      </c>
      <c r="R72" s="1197">
        <v>0.52522441872950065</v>
      </c>
      <c r="T72" s="3">
        <v>2026</v>
      </c>
      <c r="U72" s="335">
        <f t="shared" si="8"/>
        <v>1921.0667505456024</v>
      </c>
      <c r="W72" s="3">
        <v>2026</v>
      </c>
      <c r="X72" s="343"/>
      <c r="Y72" s="335">
        <f t="shared" si="9"/>
        <v>631.07418882248328</v>
      </c>
      <c r="AA72" s="3">
        <v>2026</v>
      </c>
      <c r="AB72" s="335">
        <f t="shared" si="6"/>
        <v>805.66272231521293</v>
      </c>
      <c r="AD72" s="3">
        <v>2026</v>
      </c>
      <c r="AE72" s="335">
        <f t="shared" si="10"/>
        <v>484.32983940790632</v>
      </c>
      <c r="AG72" s="3">
        <v>2026</v>
      </c>
      <c r="AH72" s="335">
        <f t="shared" si="7"/>
        <v>316.39073416072972</v>
      </c>
      <c r="AK72" s="3">
        <v>2026</v>
      </c>
      <c r="AL72" s="338">
        <f t="shared" si="11"/>
        <v>0.32850195790607056</v>
      </c>
      <c r="AM72" s="338">
        <f t="shared" si="12"/>
        <v>0.41938299233298193</v>
      </c>
      <c r="AN72" s="338">
        <f t="shared" si="13"/>
        <v>0.25211504976094751</v>
      </c>
    </row>
    <row r="73" spans="2:40" ht="14.4" x14ac:dyDescent="0.55000000000000004">
      <c r="B73" s="3">
        <v>2027</v>
      </c>
      <c r="C73" s="707">
        <f>'Food System Summary'!I25</f>
        <v>593.16864166547157</v>
      </c>
      <c r="E73" s="3">
        <v>2027</v>
      </c>
      <c r="F73" s="335">
        <f t="shared" si="4"/>
        <v>1901.8889607724082</v>
      </c>
      <c r="H73" s="3">
        <v>2027</v>
      </c>
      <c r="I73" s="335">
        <f t="shared" si="5"/>
        <v>584.78388144986343</v>
      </c>
      <c r="L73" s="3">
        <v>2027</v>
      </c>
      <c r="M73" s="707">
        <f>Bioplastics!B123</f>
        <v>12.796174675226212</v>
      </c>
      <c r="Q73" s="3">
        <v>2027</v>
      </c>
      <c r="R73" s="1197">
        <v>0.53694666959786874</v>
      </c>
      <c r="T73" s="3">
        <v>2027</v>
      </c>
      <c r="U73" s="335">
        <f t="shared" si="8"/>
        <v>1901.8889607724082</v>
      </c>
      <c r="W73" s="3">
        <v>2027</v>
      </c>
      <c r="X73" s="343"/>
      <c r="Y73" s="335">
        <f t="shared" si="9"/>
        <v>591.65474482531874</v>
      </c>
      <c r="AA73" s="3">
        <v>2027</v>
      </c>
      <c r="AB73" s="335">
        <f t="shared" si="6"/>
        <v>814.2525935868515</v>
      </c>
      <c r="AD73" s="3">
        <v>2027</v>
      </c>
      <c r="AE73" s="335">
        <f t="shared" si="10"/>
        <v>495.98162236023802</v>
      </c>
      <c r="AG73" s="3">
        <v>2027</v>
      </c>
      <c r="AH73" s="335">
        <f t="shared" si="7"/>
        <v>323.07804334183771</v>
      </c>
      <c r="AK73" s="3">
        <v>2027</v>
      </c>
      <c r="AL73" s="338">
        <f t="shared" si="11"/>
        <v>0.31108795362323988</v>
      </c>
      <c r="AM73" s="338">
        <f t="shared" si="12"/>
        <v>0.42812835574594305</v>
      </c>
      <c r="AN73" s="338">
        <f t="shared" si="13"/>
        <v>0.26078369063081713</v>
      </c>
    </row>
    <row r="74" spans="2:40" ht="14.4" x14ac:dyDescent="0.55000000000000004">
      <c r="B74" s="3">
        <v>2028</v>
      </c>
      <c r="C74" s="707">
        <f>'Food System Summary'!I26</f>
        <v>656.97389270111341</v>
      </c>
      <c r="E74" s="3">
        <v>2028</v>
      </c>
      <c r="F74" s="335">
        <f t="shared" si="4"/>
        <v>1882.7576571820955</v>
      </c>
      <c r="H74" s="3">
        <v>2028</v>
      </c>
      <c r="I74" s="335">
        <f t="shared" si="5"/>
        <v>543.94349712095675</v>
      </c>
      <c r="L74" s="3">
        <v>2028</v>
      </c>
      <c r="M74" s="707">
        <f>Bioplastics!B124</f>
        <v>16.557258695363998</v>
      </c>
      <c r="Q74" s="3">
        <v>2028</v>
      </c>
      <c r="R74" s="1197">
        <v>0.54837949706107092</v>
      </c>
      <c r="T74" s="3">
        <v>2028</v>
      </c>
      <c r="U74" s="335">
        <f t="shared" si="8"/>
        <v>1882.7576571820955</v>
      </c>
      <c r="W74" s="3">
        <v>2028</v>
      </c>
      <c r="X74" s="343"/>
      <c r="Y74" s="335">
        <f t="shared" si="9"/>
        <v>553.02315831703049</v>
      </c>
      <c r="AA74" s="3">
        <v>2028</v>
      </c>
      <c r="AB74" s="335">
        <f t="shared" si="6"/>
        <v>821.92050192571298</v>
      </c>
      <c r="AD74" s="3">
        <v>2028</v>
      </c>
      <c r="AE74" s="335">
        <f t="shared" si="10"/>
        <v>507.81399693935202</v>
      </c>
      <c r="AG74" s="3">
        <v>2028</v>
      </c>
      <c r="AH74" s="335">
        <f t="shared" si="7"/>
        <v>328.97048432175399</v>
      </c>
      <c r="AK74" s="3">
        <v>2028</v>
      </c>
      <c r="AL74" s="338">
        <f t="shared" si="11"/>
        <v>0.29373039924040711</v>
      </c>
      <c r="AM74" s="338">
        <f t="shared" si="12"/>
        <v>0.43655140574803086</v>
      </c>
      <c r="AN74" s="338">
        <f t="shared" si="13"/>
        <v>0.26971819501156202</v>
      </c>
    </row>
    <row r="75" spans="2:40" ht="14.4" x14ac:dyDescent="0.55000000000000004">
      <c r="B75" s="3">
        <v>2029</v>
      </c>
      <c r="C75" s="707">
        <f>'Food System Summary'!I27</f>
        <v>720.23746282154377</v>
      </c>
      <c r="E75" s="3">
        <v>2029</v>
      </c>
      <c r="F75" s="335">
        <f t="shared" si="4"/>
        <v>1863.7141732320715</v>
      </c>
      <c r="H75" s="3">
        <v>2029</v>
      </c>
      <c r="I75" s="335">
        <f t="shared" si="5"/>
        <v>503.33248058704214</v>
      </c>
      <c r="L75" s="3">
        <v>2029</v>
      </c>
      <c r="M75" s="707">
        <f>Bioplastics!B125</f>
        <v>21.475166767835617</v>
      </c>
      <c r="Q75" s="3">
        <v>2029</v>
      </c>
      <c r="R75" s="1197">
        <v>0.55953004700844178</v>
      </c>
      <c r="T75" s="3">
        <v>2029</v>
      </c>
      <c r="U75" s="335">
        <f t="shared" si="8"/>
        <v>1863.7141732320715</v>
      </c>
      <c r="W75" s="3">
        <v>2029</v>
      </c>
      <c r="X75" s="343"/>
      <c r="Y75" s="335">
        <f t="shared" si="9"/>
        <v>515.34848165816334</v>
      </c>
      <c r="AA75" s="3">
        <v>2029</v>
      </c>
      <c r="AB75" s="335">
        <f t="shared" si="6"/>
        <v>828.54346613712062</v>
      </c>
      <c r="AD75" s="3">
        <v>2029</v>
      </c>
      <c r="AE75" s="335">
        <f t="shared" si="10"/>
        <v>519.82222543678756</v>
      </c>
      <c r="AG75" s="3">
        <v>2029</v>
      </c>
      <c r="AH75" s="335">
        <f t="shared" si="7"/>
        <v>333.89578425762954</v>
      </c>
      <c r="AK75" s="3">
        <v>2029</v>
      </c>
      <c r="AL75" s="338">
        <f t="shared" si="11"/>
        <v>0.27651690857962458</v>
      </c>
      <c r="AM75" s="338">
        <f t="shared" si="12"/>
        <v>0.44456573762072771</v>
      </c>
      <c r="AN75" s="338">
        <f t="shared" si="13"/>
        <v>0.27891735379964766</v>
      </c>
    </row>
    <row r="76" spans="2:40" ht="14.4" x14ac:dyDescent="0.55000000000000004">
      <c r="B76" s="3">
        <v>2030</v>
      </c>
      <c r="C76" s="707">
        <f>'Food System Summary'!I28</f>
        <v>782.93054288722715</v>
      </c>
      <c r="E76" s="3">
        <v>2030</v>
      </c>
      <c r="F76" s="335">
        <f t="shared" si="4"/>
        <v>1847.824359081992</v>
      </c>
      <c r="H76" s="3">
        <v>2030</v>
      </c>
      <c r="I76" s="335">
        <f t="shared" si="5"/>
        <v>464.4241337236997</v>
      </c>
      <c r="L76" s="3">
        <v>2030</v>
      </c>
      <c r="M76" s="707">
        <f>Bioplastics!B126</f>
        <v>27.726740807294846</v>
      </c>
      <c r="Q76" s="3">
        <v>2030</v>
      </c>
      <c r="R76" s="1197">
        <v>0.57040528889667952</v>
      </c>
      <c r="T76" s="3">
        <v>2030</v>
      </c>
      <c r="U76" s="335">
        <f t="shared" si="8"/>
        <v>1847.824359081992</v>
      </c>
      <c r="W76" s="3">
        <v>2030</v>
      </c>
      <c r="X76" s="343"/>
      <c r="Y76" s="335">
        <f t="shared" si="9"/>
        <v>480.23961332404809</v>
      </c>
      <c r="AA76" s="3">
        <v>2030</v>
      </c>
      <c r="AB76" s="335">
        <f t="shared" si="6"/>
        <v>834.97065569649794</v>
      </c>
      <c r="AD76" s="3">
        <v>2030</v>
      </c>
      <c r="AE76" s="335">
        <f t="shared" si="10"/>
        <v>532.61409006144595</v>
      </c>
      <c r="AG76" s="3">
        <v>2030</v>
      </c>
      <c r="AH76" s="335">
        <f t="shared" si="7"/>
        <v>337.68112358228427</v>
      </c>
      <c r="AK76" s="3">
        <v>2030</v>
      </c>
      <c r="AL76" s="338">
        <f t="shared" si="11"/>
        <v>0.25989462199894009</v>
      </c>
      <c r="AM76" s="338">
        <f t="shared" si="12"/>
        <v>0.45186689502854877</v>
      </c>
      <c r="AN76" s="338">
        <f t="shared" si="13"/>
        <v>0.28823848297251109</v>
      </c>
    </row>
    <row r="77" spans="2:40" ht="14.4" x14ac:dyDescent="0.55000000000000004">
      <c r="B77" s="3">
        <v>2031</v>
      </c>
      <c r="C77" s="707">
        <f>'Food System Summary'!I29</f>
        <v>843.44089547802332</v>
      </c>
      <c r="E77" s="3">
        <v>2031</v>
      </c>
      <c r="F77" s="335">
        <f t="shared" si="4"/>
        <v>1827.6267940275425</v>
      </c>
      <c r="H77" s="3">
        <v>2031</v>
      </c>
      <c r="I77" s="335">
        <f t="shared" si="5"/>
        <v>424.53298924229671</v>
      </c>
      <c r="L77" s="3">
        <v>2031</v>
      </c>
      <c r="M77" s="707">
        <f>Bioplastics!B127</f>
        <v>35.488823384046555</v>
      </c>
      <c r="Q77" s="3">
        <v>2031</v>
      </c>
      <c r="R77" s="1197">
        <v>0.58101202010598352</v>
      </c>
      <c r="T77" s="3">
        <v>2031</v>
      </c>
      <c r="U77" s="335">
        <f t="shared" si="8"/>
        <v>1827.6267940275425</v>
      </c>
      <c r="W77" s="3">
        <v>2031</v>
      </c>
      <c r="X77" s="343"/>
      <c r="Y77" s="335">
        <f t="shared" si="9"/>
        <v>445.15242220784609</v>
      </c>
      <c r="AA77" s="3">
        <v>2031</v>
      </c>
      <c r="AB77" s="335">
        <f t="shared" si="6"/>
        <v>838.12882921049095</v>
      </c>
      <c r="AD77" s="3">
        <v>2031</v>
      </c>
      <c r="AE77" s="335">
        <f t="shared" si="10"/>
        <v>544.34554260920549</v>
      </c>
      <c r="AG77" s="3">
        <v>2031</v>
      </c>
      <c r="AH77" s="335">
        <f t="shared" si="7"/>
        <v>340.15297815800255</v>
      </c>
      <c r="AK77" s="3">
        <v>2031</v>
      </c>
      <c r="AL77" s="338">
        <f t="shared" si="11"/>
        <v>0.24356855768505306</v>
      </c>
      <c r="AM77" s="338">
        <f t="shared" si="12"/>
        <v>0.4585886089815448</v>
      </c>
      <c r="AN77" s="338">
        <f t="shared" si="13"/>
        <v>0.29784283333340217</v>
      </c>
    </row>
    <row r="78" spans="2:40" ht="14.4" x14ac:dyDescent="0.55000000000000004">
      <c r="B78" s="3">
        <v>2032</v>
      </c>
      <c r="C78" s="707">
        <f>'Food System Summary'!I30</f>
        <v>903.1527933576632</v>
      </c>
      <c r="E78" s="3">
        <v>2032</v>
      </c>
      <c r="F78" s="335">
        <f t="shared" si="4"/>
        <v>1809.8949347348143</v>
      </c>
      <c r="H78" s="3">
        <v>2032</v>
      </c>
      <c r="I78" s="335">
        <f t="shared" si="5"/>
        <v>386.14617481659241</v>
      </c>
      <c r="L78" s="3">
        <v>2032</v>
      </c>
      <c r="M78" s="707">
        <f>Bioplastics!B128</f>
        <v>44.938256591558456</v>
      </c>
      <c r="Q78" s="3">
        <v>2032</v>
      </c>
      <c r="R78" s="1197">
        <v>0.59135687018863792</v>
      </c>
      <c r="T78" s="3">
        <v>2032</v>
      </c>
      <c r="U78" s="335">
        <f t="shared" si="8"/>
        <v>1809.8949347348143</v>
      </c>
      <c r="W78" s="3">
        <v>2032</v>
      </c>
      <c r="X78" s="343"/>
      <c r="Y78" s="335">
        <f t="shared" si="9"/>
        <v>412.72072158631033</v>
      </c>
      <c r="AA78" s="3">
        <v>2032</v>
      </c>
      <c r="AB78" s="335">
        <f t="shared" si="6"/>
        <v>840.51550712863877</v>
      </c>
      <c r="AD78" s="3">
        <v>2032</v>
      </c>
      <c r="AE78" s="335">
        <f t="shared" si="10"/>
        <v>556.65870601986512</v>
      </c>
      <c r="AG78" s="3">
        <v>2032</v>
      </c>
      <c r="AH78" s="335">
        <f t="shared" si="7"/>
        <v>341.13719503756556</v>
      </c>
      <c r="AK78" s="3">
        <v>2032</v>
      </c>
      <c r="AL78" s="338">
        <f t="shared" si="11"/>
        <v>0.2280357349288798</v>
      </c>
      <c r="AM78" s="338">
        <f t="shared" si="12"/>
        <v>0.46440016544484725</v>
      </c>
      <c r="AN78" s="338">
        <f t="shared" si="13"/>
        <v>0.3075640996262729</v>
      </c>
    </row>
    <row r="79" spans="2:40" ht="14.4" x14ac:dyDescent="0.55000000000000004">
      <c r="B79" s="3">
        <v>2033</v>
      </c>
      <c r="C79" s="707">
        <f>'Food System Summary'!I31</f>
        <v>962.06392188214033</v>
      </c>
      <c r="E79" s="3">
        <v>2033</v>
      </c>
      <c r="F79" s="335">
        <f t="shared" si="4"/>
        <v>1792.5832410418602</v>
      </c>
      <c r="H79" s="3">
        <v>2033</v>
      </c>
      <c r="I79" s="335">
        <f t="shared" si="5"/>
        <v>348.29962159044464</v>
      </c>
      <c r="L79" s="3">
        <v>2033</v>
      </c>
      <c r="M79" s="707">
        <f>Bioplastics!B129</f>
        <v>56.251882582902908</v>
      </c>
      <c r="Q79" s="3">
        <v>2033</v>
      </c>
      <c r="R79" s="1197">
        <v>0.60144630501269802</v>
      </c>
      <c r="T79" s="3">
        <v>2033</v>
      </c>
      <c r="U79" s="335">
        <f t="shared" si="8"/>
        <v>1792.5832410418602</v>
      </c>
      <c r="W79" s="3">
        <v>2033</v>
      </c>
      <c r="X79" s="343"/>
      <c r="Y79" s="335">
        <f t="shared" si="9"/>
        <v>382.13210851993972</v>
      </c>
      <c r="AA79" s="3">
        <v>2033</v>
      </c>
      <c r="AB79" s="335">
        <f t="shared" si="6"/>
        <v>841.31891673146072</v>
      </c>
      <c r="AD79" s="3">
        <v>2033</v>
      </c>
      <c r="AE79" s="335">
        <f t="shared" si="10"/>
        <v>569.13221579045978</v>
      </c>
      <c r="AG79" s="3">
        <v>2033</v>
      </c>
      <c r="AH79" s="335">
        <f t="shared" si="7"/>
        <v>340.45907552722707</v>
      </c>
      <c r="AK79" s="3">
        <v>2033</v>
      </c>
      <c r="AL79" s="338">
        <f t="shared" si="11"/>
        <v>0.21317398253586384</v>
      </c>
      <c r="AM79" s="338">
        <f t="shared" si="12"/>
        <v>0.46933324906155044</v>
      </c>
      <c r="AN79" s="338">
        <f t="shared" si="13"/>
        <v>0.31749276840258572</v>
      </c>
    </row>
    <row r="80" spans="2:40" ht="14.4" x14ac:dyDescent="0.55000000000000004">
      <c r="B80" s="3">
        <v>2034</v>
      </c>
      <c r="C80" s="707">
        <f>'Food System Summary'!I32</f>
        <v>1020.1766184275621</v>
      </c>
      <c r="E80" s="3">
        <v>2034</v>
      </c>
      <c r="F80" s="335">
        <f t="shared" si="4"/>
        <v>1775.7416502993751</v>
      </c>
      <c r="H80" s="3">
        <v>2034</v>
      </c>
      <c r="I80" s="335">
        <f t="shared" si="5"/>
        <v>311.02033752376701</v>
      </c>
      <c r="L80" s="3">
        <v>2034</v>
      </c>
      <c r="M80" s="707">
        <f>Bioplastics!B130</f>
        <v>69.606543749570847</v>
      </c>
      <c r="Q80" s="3">
        <v>2034</v>
      </c>
      <c r="R80" s="1197">
        <v>0.61128663080336754</v>
      </c>
      <c r="T80" s="3">
        <v>2034</v>
      </c>
      <c r="U80" s="335">
        <f t="shared" si="8"/>
        <v>1775.7416502993751</v>
      </c>
      <c r="W80" s="3">
        <v>2034</v>
      </c>
      <c r="X80" s="343"/>
      <c r="Y80" s="335">
        <f t="shared" si="9"/>
        <v>353.5698871343094</v>
      </c>
      <c r="AA80" s="3">
        <v>2034</v>
      </c>
      <c r="AB80" s="335">
        <f t="shared" si="6"/>
        <v>840.4014396534252</v>
      </c>
      <c r="AD80" s="3">
        <v>2034</v>
      </c>
      <c r="AE80" s="335">
        <f t="shared" si="10"/>
        <v>581.77032351164064</v>
      </c>
      <c r="AG80" s="3">
        <v>2034</v>
      </c>
      <c r="AH80" s="335">
        <f t="shared" si="7"/>
        <v>337.94330520869869</v>
      </c>
      <c r="AK80" s="3">
        <v>2034</v>
      </c>
      <c r="AL80" s="338">
        <f t="shared" si="11"/>
        <v>0.19911110778682276</v>
      </c>
      <c r="AM80" s="338">
        <f t="shared" si="12"/>
        <v>0.4732678537509894</v>
      </c>
      <c r="AN80" s="338">
        <f t="shared" si="13"/>
        <v>0.32762103846218793</v>
      </c>
    </row>
    <row r="81" spans="2:40" ht="14.4" x14ac:dyDescent="0.55000000000000004">
      <c r="B81" s="3">
        <v>2035</v>
      </c>
      <c r="C81" s="707">
        <f>'Food System Summary'!I33</f>
        <v>1077.4914777907713</v>
      </c>
      <c r="E81" s="3">
        <v>2035</v>
      </c>
      <c r="F81" s="335">
        <f t="shared" si="4"/>
        <v>1759.5361177323327</v>
      </c>
      <c r="H81" s="3">
        <v>2035</v>
      </c>
      <c r="I81" s="335">
        <f t="shared" si="5"/>
        <v>274.39145703825784</v>
      </c>
      <c r="L81" s="3">
        <v>2035</v>
      </c>
      <c r="M81" s="707">
        <f>Bioplastics!B131</f>
        <v>85.179082244634628</v>
      </c>
      <c r="Q81" s="3">
        <v>2035</v>
      </c>
      <c r="R81" s="1197">
        <v>0.6208839980845956</v>
      </c>
      <c r="T81" s="3">
        <v>2035</v>
      </c>
      <c r="U81" s="335">
        <f t="shared" si="8"/>
        <v>1759.5361177323327</v>
      </c>
      <c r="W81" s="3">
        <v>2035</v>
      </c>
      <c r="X81" s="343"/>
      <c r="Y81" s="335">
        <f t="shared" si="9"/>
        <v>327.27778617548319</v>
      </c>
      <c r="AA81" s="3">
        <v>2035</v>
      </c>
      <c r="AB81" s="335">
        <f t="shared" si="6"/>
        <v>837.65663309747788</v>
      </c>
      <c r="AD81" s="3">
        <v>2035</v>
      </c>
      <c r="AE81" s="335">
        <f t="shared" si="10"/>
        <v>594.60169845937162</v>
      </c>
      <c r="AG81" s="3">
        <v>2035</v>
      </c>
      <c r="AH81" s="335">
        <f t="shared" si="7"/>
        <v>333.41388834767912</v>
      </c>
      <c r="AK81" s="3">
        <v>2035</v>
      </c>
      <c r="AL81" s="338">
        <f t="shared" si="11"/>
        <v>0.18600231213058277</v>
      </c>
      <c r="AM81" s="338">
        <f t="shared" si="12"/>
        <v>0.47606674546529848</v>
      </c>
      <c r="AN81" s="338">
        <f t="shared" si="13"/>
        <v>0.33793094240411875</v>
      </c>
    </row>
    <row r="82" spans="2:40" ht="14.4" x14ac:dyDescent="0.55000000000000004">
      <c r="B82" s="3">
        <v>2036</v>
      </c>
      <c r="C82" s="707">
        <f>'Food System Summary'!I34</f>
        <v>1134.0055889081186</v>
      </c>
      <c r="E82" s="3">
        <v>2036</v>
      </c>
      <c r="F82" s="335">
        <f t="shared" si="4"/>
        <v>1743.5875932201184</v>
      </c>
      <c r="H82" s="3">
        <v>2036</v>
      </c>
      <c r="I82" s="335">
        <f t="shared" si="5"/>
        <v>238.23811572743762</v>
      </c>
      <c r="L82" s="3">
        <v>2036</v>
      </c>
      <c r="M82" s="707">
        <f>Bioplastics!B132</f>
        <v>103.14634022116661</v>
      </c>
      <c r="Q82" s="3">
        <v>2036</v>
      </c>
      <c r="R82" s="1197">
        <v>0.63024440552335381</v>
      </c>
      <c r="T82" s="3">
        <v>2036</v>
      </c>
      <c r="U82" s="335">
        <f t="shared" si="8"/>
        <v>1743.5875932201184</v>
      </c>
      <c r="W82" s="3">
        <v>2036</v>
      </c>
      <c r="X82" s="343"/>
      <c r="Y82" s="335">
        <f t="shared" si="9"/>
        <v>303.24551960203638</v>
      </c>
      <c r="AA82" s="3">
        <v>2036</v>
      </c>
      <c r="AB82" s="335">
        <f t="shared" si="6"/>
        <v>832.80166894941215</v>
      </c>
      <c r="AD82" s="3">
        <v>2036</v>
      </c>
      <c r="AE82" s="335">
        <f t="shared" si="10"/>
        <v>607.54040466866979</v>
      </c>
      <c r="AG82" s="3">
        <v>2036</v>
      </c>
      <c r="AH82" s="335">
        <f t="shared" si="7"/>
        <v>326.69407105969458</v>
      </c>
      <c r="AK82" s="3">
        <v>2036</v>
      </c>
      <c r="AL82" s="338">
        <f t="shared" si="11"/>
        <v>0.17392043897375525</v>
      </c>
      <c r="AM82" s="338">
        <f t="shared" si="12"/>
        <v>0.47763684037884496</v>
      </c>
      <c r="AN82" s="338">
        <f t="shared" si="13"/>
        <v>0.34844272064739978</v>
      </c>
    </row>
    <row r="83" spans="2:40" ht="14.4" x14ac:dyDescent="0.55000000000000004">
      <c r="B83" s="3">
        <v>2037</v>
      </c>
      <c r="C83" s="707">
        <f>'Food System Summary'!I35</f>
        <v>1189.708015273774</v>
      </c>
      <c r="E83" s="3">
        <v>2037</v>
      </c>
      <c r="F83" s="335">
        <f t="shared" si="4"/>
        <v>1728.3351945132531</v>
      </c>
      <c r="H83" s="3">
        <v>2037</v>
      </c>
      <c r="I83" s="335">
        <f t="shared" si="5"/>
        <v>202.77936328219539</v>
      </c>
      <c r="L83" s="3">
        <v>2037</v>
      </c>
      <c r="M83" s="707">
        <f>Bioplastics!B133</f>
        <v>123.68516001105309</v>
      </c>
      <c r="Q83" s="3">
        <v>2037</v>
      </c>
      <c r="R83" s="1197">
        <v>0.63937370367899826</v>
      </c>
      <c r="T83" s="3">
        <v>2037</v>
      </c>
      <c r="U83" s="335">
        <f t="shared" si="8"/>
        <v>1728.3351945132531</v>
      </c>
      <c r="W83" s="3">
        <v>2037</v>
      </c>
      <c r="X83" s="343"/>
      <c r="Y83" s="335">
        <f t="shared" si="9"/>
        <v>281.86040212859194</v>
      </c>
      <c r="AA83" s="3">
        <v>2037</v>
      </c>
      <c r="AB83" s="335">
        <f t="shared" si="6"/>
        <v>825.80416050856138</v>
      </c>
      <c r="AD83" s="3">
        <v>2037</v>
      </c>
      <c r="AE83" s="335">
        <f t="shared" si="10"/>
        <v>620.67063187609983</v>
      </c>
      <c r="AG83" s="3">
        <v>2037</v>
      </c>
      <c r="AH83" s="335">
        <f t="shared" si="7"/>
        <v>317.60653626016506</v>
      </c>
      <c r="AK83" s="3">
        <v>2037</v>
      </c>
      <c r="AL83" s="338">
        <f t="shared" si="11"/>
        <v>0.16308202426437982</v>
      </c>
      <c r="AM83" s="338">
        <f t="shared" si="12"/>
        <v>0.47780324275646696</v>
      </c>
      <c r="AN83" s="338">
        <f t="shared" si="13"/>
        <v>0.35911473297915331</v>
      </c>
    </row>
    <row r="84" spans="2:40" ht="14.4" x14ac:dyDescent="0.55000000000000004">
      <c r="B84" s="3">
        <v>2038</v>
      </c>
      <c r="C84" s="707">
        <f>'Food System Summary'!I36</f>
        <v>1244.5808091406398</v>
      </c>
      <c r="E84" s="3">
        <v>2038</v>
      </c>
      <c r="F84" s="335">
        <f t="shared" si="4"/>
        <v>1713.6814571094455</v>
      </c>
      <c r="H84" s="3">
        <v>2038</v>
      </c>
      <c r="I84" s="335">
        <f t="shared" si="5"/>
        <v>167.98206279165834</v>
      </c>
      <c r="L84" s="3">
        <v>2038</v>
      </c>
      <c r="M84" s="707">
        <f>Bioplastics!B134</f>
        <v>146.97238382697105</v>
      </c>
      <c r="Q84" s="3">
        <v>2038</v>
      </c>
      <c r="R84" s="1197">
        <v>0.64827759866006029</v>
      </c>
      <c r="T84" s="3">
        <v>2038</v>
      </c>
      <c r="U84" s="335">
        <f t="shared" si="8"/>
        <v>1713.6814571094455</v>
      </c>
      <c r="W84" s="3">
        <v>2038</v>
      </c>
      <c r="X84" s="343"/>
      <c r="Y84" s="335">
        <f t="shared" si="9"/>
        <v>263.26096684835181</v>
      </c>
      <c r="AA84" s="3">
        <v>2038</v>
      </c>
      <c r="AB84" s="335">
        <f t="shared" si="6"/>
        <v>816.45752640158355</v>
      </c>
      <c r="AD84" s="3">
        <v>2038</v>
      </c>
      <c r="AE84" s="335">
        <f t="shared" si="10"/>
        <v>633.96296385951007</v>
      </c>
      <c r="AG84" s="3">
        <v>2038</v>
      </c>
      <c r="AH84" s="335">
        <f t="shared" si="7"/>
        <v>305.97359710601023</v>
      </c>
      <c r="AK84" s="3">
        <v>2038</v>
      </c>
      <c r="AL84" s="338">
        <f t="shared" si="11"/>
        <v>0.15362304689484568</v>
      </c>
      <c r="AM84" s="338">
        <f t="shared" si="12"/>
        <v>0.47643482574570445</v>
      </c>
      <c r="AN84" s="338">
        <f t="shared" si="13"/>
        <v>0.36994212735944981</v>
      </c>
    </row>
    <row r="85" spans="2:40" ht="14.4" x14ac:dyDescent="0.55000000000000004">
      <c r="B85" s="3">
        <v>2039</v>
      </c>
      <c r="C85" s="707">
        <f>'Food System Summary'!I37</f>
        <v>1298.5989513652812</v>
      </c>
      <c r="E85" s="3">
        <v>2039</v>
      </c>
      <c r="F85" s="335">
        <f t="shared" si="4"/>
        <v>1699.6496974410579</v>
      </c>
      <c r="H85" s="3">
        <v>2039</v>
      </c>
      <c r="I85" s="335">
        <f t="shared" si="5"/>
        <v>133.87413188942969</v>
      </c>
      <c r="L85" s="3">
        <v>2039</v>
      </c>
      <c r="M85" s="707">
        <f>Bioplastics!B135</f>
        <v>173.18485388159752</v>
      </c>
      <c r="Q85" s="3">
        <v>2039</v>
      </c>
      <c r="R85" s="1197">
        <v>0.6569616556907496</v>
      </c>
      <c r="T85" s="3">
        <v>2039</v>
      </c>
      <c r="U85" s="335">
        <f t="shared" si="8"/>
        <v>1699.6496974410579</v>
      </c>
      <c r="W85" s="3">
        <v>2039</v>
      </c>
      <c r="X85" s="343"/>
      <c r="Y85" s="335">
        <f t="shared" si="9"/>
        <v>247.64994023604453</v>
      </c>
      <c r="AA85" s="3">
        <v>2039</v>
      </c>
      <c r="AB85" s="335">
        <f t="shared" si="6"/>
        <v>804.58775278276755</v>
      </c>
      <c r="AD85" s="3">
        <v>2039</v>
      </c>
      <c r="AE85" s="335">
        <f t="shared" si="10"/>
        <v>647.41200442224579</v>
      </c>
      <c r="AG85" s="3">
        <v>2039</v>
      </c>
      <c r="AH85" s="335">
        <f t="shared" si="7"/>
        <v>291.61712454652195</v>
      </c>
      <c r="AK85" s="3">
        <v>2039</v>
      </c>
      <c r="AL85" s="338">
        <f t="shared" si="11"/>
        <v>0.14570645975397101</v>
      </c>
      <c r="AM85" s="338">
        <f t="shared" si="12"/>
        <v>0.47338445915892607</v>
      </c>
      <c r="AN85" s="338">
        <f t="shared" si="13"/>
        <v>0.38090908108710286</v>
      </c>
    </row>
    <row r="86" spans="2:40" ht="14.4" x14ac:dyDescent="0.55000000000000004">
      <c r="B86" s="3">
        <v>2040</v>
      </c>
      <c r="C86" s="707">
        <f>'Food System Summary'!I38</f>
        <v>1351.737876405994</v>
      </c>
      <c r="E86" s="3">
        <v>2040</v>
      </c>
      <c r="F86" s="335">
        <f t="shared" si="4"/>
        <v>1682.7781950060485</v>
      </c>
      <c r="H86" s="3">
        <v>2040</v>
      </c>
      <c r="I86" s="335">
        <f t="shared" si="5"/>
        <v>98.817141343977482</v>
      </c>
      <c r="L86" s="3">
        <v>2040</v>
      </c>
      <c r="M86" s="707">
        <f>Bioplastics!B136</f>
        <v>202.49941232800484</v>
      </c>
      <c r="Q86" s="3">
        <v>2040</v>
      </c>
      <c r="R86" s="1197">
        <v>0.66543130258940009</v>
      </c>
      <c r="T86" s="3">
        <v>2040</v>
      </c>
      <c r="U86" s="335">
        <f t="shared" si="8"/>
        <v>1682.7781950060485</v>
      </c>
      <c r="W86" s="3">
        <v>2040</v>
      </c>
      <c r="X86" s="343"/>
      <c r="Y86" s="335">
        <f t="shared" si="9"/>
        <v>233.56658906298978</v>
      </c>
      <c r="AA86" s="3">
        <v>2040</v>
      </c>
      <c r="AB86" s="335">
        <f t="shared" si="6"/>
        <v>788.95724441881418</v>
      </c>
      <c r="AD86" s="3">
        <v>2040</v>
      </c>
      <c r="AE86" s="335">
        <f t="shared" si="10"/>
        <v>660.25436152424447</v>
      </c>
      <c r="AG86" s="3">
        <v>2040</v>
      </c>
      <c r="AH86" s="335">
        <f t="shared" si="7"/>
        <v>274.35848508191322</v>
      </c>
      <c r="AK86" s="3">
        <v>2040</v>
      </c>
      <c r="AL86" s="338">
        <f t="shared" si="11"/>
        <v>0.13879820273173332</v>
      </c>
      <c r="AM86" s="338">
        <f t="shared" si="12"/>
        <v>0.46884208908826419</v>
      </c>
      <c r="AN86" s="338">
        <f t="shared" si="13"/>
        <v>0.39235970818000249</v>
      </c>
    </row>
    <row r="87" spans="2:40" ht="14.4" x14ac:dyDescent="0.55000000000000004">
      <c r="B87" s="3">
        <v>2041</v>
      </c>
      <c r="C87" s="707">
        <f>'Food System Summary'!I39</f>
        <v>1403.9809387413516</v>
      </c>
      <c r="E87" s="3">
        <v>2041</v>
      </c>
      <c r="F87" s="335">
        <f t="shared" si="4"/>
        <v>1673.4493489137476</v>
      </c>
      <c r="H87" s="3">
        <v>2041</v>
      </c>
      <c r="I87" s="335">
        <f t="shared" si="5"/>
        <v>67.786061151152126</v>
      </c>
      <c r="L87" s="3">
        <v>2041</v>
      </c>
      <c r="M87" s="707">
        <f>Bioplastics!B137</f>
        <v>235.09290143847466</v>
      </c>
      <c r="Q87" s="3">
        <v>2041</v>
      </c>
      <c r="R87" s="1197">
        <v>0.67369183316103387</v>
      </c>
      <c r="T87" s="3">
        <v>2041</v>
      </c>
      <c r="U87" s="335">
        <f t="shared" si="8"/>
        <v>1673.4493489137476</v>
      </c>
      <c r="W87" s="3">
        <v>2041</v>
      </c>
      <c r="X87" s="343"/>
      <c r="Y87" s="335">
        <f t="shared" si="9"/>
        <v>226.16622888438437</v>
      </c>
      <c r="AA87" s="3">
        <v>2041</v>
      </c>
      <c r="AB87" s="335">
        <f t="shared" si="6"/>
        <v>772.54249428243588</v>
      </c>
      <c r="AD87" s="3">
        <v>2041</v>
      </c>
      <c r="AE87" s="335">
        <f t="shared" si="10"/>
        <v>674.74062574692744</v>
      </c>
      <c r="AG87" s="3">
        <v>2041</v>
      </c>
      <c r="AH87" s="335">
        <f t="shared" si="7"/>
        <v>254.01859496776973</v>
      </c>
      <c r="AK87" s="3">
        <v>2041</v>
      </c>
      <c r="AL87" s="338">
        <f t="shared" si="11"/>
        <v>0.13514973072306674</v>
      </c>
      <c r="AM87" s="338">
        <f t="shared" si="12"/>
        <v>0.46164677454020392</v>
      </c>
      <c r="AN87" s="338">
        <f t="shared" si="13"/>
        <v>0.4032034947367294</v>
      </c>
    </row>
    <row r="88" spans="2:40" ht="14.4" x14ac:dyDescent="0.55000000000000004">
      <c r="B88" s="3">
        <v>2042</v>
      </c>
      <c r="C88" s="707">
        <f>'Food System Summary'!I40</f>
        <v>1455.3136826508198</v>
      </c>
      <c r="E88" s="3">
        <v>2042</v>
      </c>
      <c r="F88" s="335">
        <f t="shared" si="4"/>
        <v>1660.2030480802955</v>
      </c>
      <c r="H88" s="3">
        <v>2042</v>
      </c>
      <c r="I88" s="335">
        <f t="shared" si="5"/>
        <v>35.312928804955163</v>
      </c>
      <c r="L88" s="3">
        <v>2042</v>
      </c>
      <c r="M88" s="707">
        <f>Bioplastics!B138</f>
        <v>271.1421637237072</v>
      </c>
      <c r="Q88" s="3">
        <v>2042</v>
      </c>
      <c r="R88" s="1197">
        <v>0.68174841050616153</v>
      </c>
      <c r="T88" s="3">
        <v>2042</v>
      </c>
      <c r="U88" s="335">
        <f t="shared" si="8"/>
        <v>1660.2030480802955</v>
      </c>
      <c r="W88" s="3">
        <v>2042</v>
      </c>
      <c r="X88" s="343"/>
      <c r="Y88" s="335">
        <f t="shared" si="9"/>
        <v>220.16366794479396</v>
      </c>
      <c r="AA88" s="3">
        <v>2042</v>
      </c>
      <c r="AB88" s="335">
        <f t="shared" si="6"/>
        <v>751.67359011793519</v>
      </c>
      <c r="AD88" s="3">
        <v>2042</v>
      </c>
      <c r="AE88" s="335">
        <f t="shared" si="10"/>
        <v>688.36579001756627</v>
      </c>
      <c r="AG88" s="3">
        <v>2042</v>
      </c>
      <c r="AH88" s="335">
        <f t="shared" si="7"/>
        <v>230.41787888941423</v>
      </c>
      <c r="AK88" s="3">
        <v>2042</v>
      </c>
      <c r="AL88" s="338">
        <f t="shared" si="11"/>
        <v>0.13261249471826397</v>
      </c>
      <c r="AM88" s="338">
        <f t="shared" si="12"/>
        <v>0.45276003497710759</v>
      </c>
      <c r="AN88" s="338">
        <f t="shared" si="13"/>
        <v>0.41462747030462838</v>
      </c>
    </row>
    <row r="89" spans="2:40" ht="14.4" x14ac:dyDescent="0.55000000000000004">
      <c r="B89" s="3">
        <v>2043</v>
      </c>
      <c r="C89" s="707">
        <f>'Food System Summary'!I41</f>
        <v>1505.7136306113343</v>
      </c>
      <c r="E89" s="3">
        <v>2043</v>
      </c>
      <c r="F89" s="335">
        <f t="shared" si="4"/>
        <v>1647.7214346221822</v>
      </c>
      <c r="H89" s="3">
        <v>2043</v>
      </c>
      <c r="I89" s="335">
        <f t="shared" si="5"/>
        <v>3.6506909114432347</v>
      </c>
      <c r="L89" s="3">
        <v>2043</v>
      </c>
      <c r="M89" s="707">
        <f>Bioplastics!B139</f>
        <v>310.82404085993767</v>
      </c>
      <c r="Q89" s="3">
        <v>2043</v>
      </c>
      <c r="R89" s="1197">
        <v>0.68960607024788745</v>
      </c>
      <c r="T89" s="3">
        <v>2043</v>
      </c>
      <c r="U89" s="335">
        <f t="shared" si="8"/>
        <v>1647.7214346221822</v>
      </c>
      <c r="W89" s="3">
        <v>2043</v>
      </c>
      <c r="X89" s="343"/>
      <c r="Y89" s="335">
        <f t="shared" si="9"/>
        <v>217.99683626743365</v>
      </c>
      <c r="AA89" s="3">
        <v>2043</v>
      </c>
      <c r="AB89" s="335">
        <f t="shared" si="6"/>
        <v>727.58490862926146</v>
      </c>
      <c r="AD89" s="3">
        <v>2043</v>
      </c>
      <c r="AE89" s="335">
        <f t="shared" si="10"/>
        <v>702.13968972548719</v>
      </c>
      <c r="AG89" s="3">
        <v>2043</v>
      </c>
      <c r="AH89" s="335">
        <f t="shared" si="7"/>
        <v>203.3763298631909</v>
      </c>
      <c r="AK89" s="3">
        <v>2043</v>
      </c>
      <c r="AL89" s="338">
        <f t="shared" si="11"/>
        <v>0.13230199698010223</v>
      </c>
      <c r="AM89" s="338">
        <f t="shared" si="12"/>
        <v>0.44157033667289436</v>
      </c>
      <c r="AN89" s="338">
        <f t="shared" si="13"/>
        <v>0.4261276663470035</v>
      </c>
    </row>
    <row r="90" spans="2:40" ht="14.4" x14ac:dyDescent="0.55000000000000004">
      <c r="B90" s="3">
        <v>2044</v>
      </c>
      <c r="C90" s="707">
        <f>'Food System Summary'!I42</f>
        <v>1555.1563748760873</v>
      </c>
      <c r="E90" s="3">
        <v>2044</v>
      </c>
      <c r="F90" s="335">
        <f t="shared" si="4"/>
        <v>1636.0487291965487</v>
      </c>
      <c r="H90" s="3">
        <v>2044</v>
      </c>
      <c r="I90" s="335">
        <f t="shared" si="5"/>
        <v>-27.163884260963187</v>
      </c>
      <c r="L90" s="3">
        <v>2044</v>
      </c>
      <c r="M90" s="707">
        <f>Bioplastics!B140</f>
        <v>354.31537553668022</v>
      </c>
      <c r="Q90" s="3">
        <v>2044</v>
      </c>
      <c r="R90" s="1197">
        <v>0.69726972367933859</v>
      </c>
      <c r="T90" s="3">
        <v>2044</v>
      </c>
      <c r="U90" s="335">
        <f t="shared" si="8"/>
        <v>1636.0487291965487</v>
      </c>
      <c r="W90" s="3">
        <v>2044</v>
      </c>
      <c r="X90" s="343"/>
      <c r="Y90" s="335">
        <f t="shared" si="9"/>
        <v>219.88949973483892</v>
      </c>
      <c r="AA90" s="3">
        <v>2044</v>
      </c>
      <c r="AB90" s="335">
        <f t="shared" si="6"/>
        <v>700.09629089295686</v>
      </c>
      <c r="AD90" s="3">
        <v>2044</v>
      </c>
      <c r="AE90" s="335">
        <f t="shared" si="10"/>
        <v>716.062938568753</v>
      </c>
      <c r="AG90" s="3">
        <v>2044</v>
      </c>
      <c r="AH90" s="335">
        <f t="shared" si="7"/>
        <v>172.71358091916602</v>
      </c>
      <c r="AK90" s="3">
        <v>2044</v>
      </c>
      <c r="AL90" s="338">
        <f t="shared" si="11"/>
        <v>0.13440278141521189</v>
      </c>
      <c r="AM90" s="338">
        <f t="shared" si="12"/>
        <v>0.42791897233817044</v>
      </c>
      <c r="AN90" s="338">
        <f t="shared" si="13"/>
        <v>0.43767824624661772</v>
      </c>
    </row>
    <row r="91" spans="2:40" ht="14.4" x14ac:dyDescent="0.55000000000000004">
      <c r="B91" s="3">
        <v>2045</v>
      </c>
      <c r="C91" s="707">
        <f>'Food System Summary'!I43</f>
        <v>1603.6179945399454</v>
      </c>
      <c r="E91" s="3">
        <v>2045</v>
      </c>
      <c r="F91" s="335">
        <f t="shared" si="4"/>
        <v>1625.3333595557688</v>
      </c>
      <c r="H91" s="3">
        <v>2045</v>
      </c>
      <c r="I91" s="335">
        <f t="shared" si="5"/>
        <v>-57.044537960074877</v>
      </c>
      <c r="L91" s="3">
        <v>2045</v>
      </c>
      <c r="M91" s="707">
        <f>Bioplastics!B141</f>
        <v>401.79300984740257</v>
      </c>
      <c r="Q91" s="3">
        <v>2045</v>
      </c>
      <c r="R91" s="1197">
        <v>0.70474416083338287</v>
      </c>
      <c r="T91" s="3">
        <v>2045</v>
      </c>
      <c r="U91" s="335">
        <f t="shared" si="8"/>
        <v>1625.3333595557688</v>
      </c>
      <c r="W91" s="3">
        <v>2045</v>
      </c>
      <c r="X91" s="343"/>
      <c r="Y91" s="335">
        <f t="shared" si="9"/>
        <v>226.11673959355198</v>
      </c>
      <c r="AA91" s="3">
        <v>2045</v>
      </c>
      <c r="AB91" s="335">
        <f t="shared" si="6"/>
        <v>669.05647676919978</v>
      </c>
      <c r="AD91" s="3">
        <v>2045</v>
      </c>
      <c r="AE91" s="335">
        <f t="shared" si="10"/>
        <v>730.16014319301701</v>
      </c>
      <c r="AG91" s="3">
        <v>2045</v>
      </c>
      <c r="AH91" s="335">
        <f t="shared" si="7"/>
        <v>138.24908049482929</v>
      </c>
      <c r="AK91" s="3">
        <v>2045</v>
      </c>
      <c r="AL91" s="338">
        <f t="shared" si="11"/>
        <v>0.13912022310017283</v>
      </c>
      <c r="AM91" s="338">
        <f t="shared" si="12"/>
        <v>0.41164261647349948</v>
      </c>
      <c r="AN91" s="338">
        <f t="shared" si="13"/>
        <v>0.44923716042632766</v>
      </c>
    </row>
    <row r="92" spans="2:40" ht="14.4" x14ac:dyDescent="0.55000000000000004">
      <c r="B92" s="3">
        <v>2046</v>
      </c>
      <c r="C92" s="707">
        <f>'Food System Summary'!I44</f>
        <v>1651.0783418580638</v>
      </c>
      <c r="E92" s="3">
        <v>2046</v>
      </c>
      <c r="F92" s="335">
        <f t="shared" si="4"/>
        <v>1615.1883884250135</v>
      </c>
      <c r="H92" s="3">
        <v>2046</v>
      </c>
      <c r="I92" s="335">
        <f t="shared" si="5"/>
        <v>-86.163579840572311</v>
      </c>
      <c r="L92" s="3">
        <v>2046</v>
      </c>
      <c r="M92" s="707">
        <f>Bioplastics!B142</f>
        <v>453.43378600478172</v>
      </c>
      <c r="Q92" s="3">
        <v>2046</v>
      </c>
      <c r="R92" s="1197">
        <v>0.71203405347655502</v>
      </c>
      <c r="T92" s="3">
        <v>2046</v>
      </c>
      <c r="U92" s="335">
        <f t="shared" si="8"/>
        <v>1615.1883884250135</v>
      </c>
      <c r="W92" s="3">
        <v>2046</v>
      </c>
      <c r="X92" s="343"/>
      <c r="Y92" s="335">
        <f t="shared" si="9"/>
        <v>236.69671679163326</v>
      </c>
      <c r="AA92" s="3">
        <v>2046</v>
      </c>
      <c r="AB92" s="335">
        <f t="shared" si="6"/>
        <v>634.15585534073671</v>
      </c>
      <c r="AD92" s="3">
        <v>2046</v>
      </c>
      <c r="AE92" s="335">
        <f t="shared" si="10"/>
        <v>744.33581629264359</v>
      </c>
      <c r="AG92" s="3">
        <v>2046</v>
      </c>
      <c r="AH92" s="335">
        <f t="shared" si="7"/>
        <v>99.802212591611806</v>
      </c>
      <c r="AK92" s="3">
        <v>2046</v>
      </c>
      <c r="AL92" s="338">
        <f t="shared" si="11"/>
        <v>0.14654434026883925</v>
      </c>
      <c r="AM92" s="338">
        <f t="shared" si="12"/>
        <v>0.39262036545415513</v>
      </c>
      <c r="AN92" s="338">
        <f t="shared" si="13"/>
        <v>0.46083529427700565</v>
      </c>
    </row>
    <row r="93" spans="2:40" ht="14.4" x14ac:dyDescent="0.55000000000000004">
      <c r="B93" s="3">
        <v>2047</v>
      </c>
      <c r="C93" s="707">
        <f>'Food System Summary'!I45</f>
        <v>1697.5180402540411</v>
      </c>
      <c r="E93" s="3">
        <v>2047</v>
      </c>
      <c r="F93" s="335">
        <f t="shared" si="4"/>
        <v>1605.6738548716219</v>
      </c>
      <c r="H93" s="3">
        <v>2047</v>
      </c>
      <c r="I93" s="335">
        <f t="shared" si="5"/>
        <v>-114.4798969151766</v>
      </c>
      <c r="L93" s="3">
        <v>2047</v>
      </c>
      <c r="M93" s="707">
        <f>Bioplastics!B143</f>
        <v>509.41454616189003</v>
      </c>
      <c r="Q93" s="3">
        <v>2047</v>
      </c>
      <c r="R93" s="1197">
        <v>0.71914395802906339</v>
      </c>
      <c r="T93" s="3">
        <v>2047</v>
      </c>
      <c r="U93" s="335">
        <f t="shared" si="8"/>
        <v>1605.6738548716219</v>
      </c>
      <c r="W93" s="3">
        <v>2047</v>
      </c>
      <c r="X93" s="343"/>
      <c r="Y93" s="335">
        <f t="shared" si="9"/>
        <v>251.86249608926403</v>
      </c>
      <c r="AA93" s="3">
        <v>2047</v>
      </c>
      <c r="AB93" s="335">
        <f t="shared" si="6"/>
        <v>595.21676766664029</v>
      </c>
      <c r="AD93" s="3">
        <v>2047</v>
      </c>
      <c r="AE93" s="335">
        <f t="shared" si="10"/>
        <v>758.59459111571744</v>
      </c>
      <c r="AG93" s="3">
        <v>2047</v>
      </c>
      <c r="AH93" s="335">
        <f t="shared" si="7"/>
        <v>57.192240298669049</v>
      </c>
      <c r="AK93" s="3">
        <v>2047</v>
      </c>
      <c r="AL93" s="338">
        <f t="shared" si="11"/>
        <v>0.15685781724919545</v>
      </c>
      <c r="AM93" s="338">
        <f t="shared" si="12"/>
        <v>0.37069593296344078</v>
      </c>
      <c r="AN93" s="338">
        <f t="shared" si="13"/>
        <v>0.47244624978736371</v>
      </c>
    </row>
    <row r="94" spans="2:40" ht="14.4" x14ac:dyDescent="0.55000000000000004">
      <c r="B94" s="3">
        <v>2048</v>
      </c>
      <c r="C94" s="707">
        <f>'Food System Summary'!I46</f>
        <v>1742.9147927106048</v>
      </c>
      <c r="E94" s="3">
        <v>2048</v>
      </c>
      <c r="F94" s="335">
        <f t="shared" si="4"/>
        <v>1596.8879689490179</v>
      </c>
      <c r="H94" s="3">
        <v>2048</v>
      </c>
      <c r="I94" s="335">
        <f t="shared" si="5"/>
        <v>-141.93267427140427</v>
      </c>
      <c r="L94" s="3">
        <v>2048</v>
      </c>
      <c r="M94" s="707">
        <f>Bioplastics!B144</f>
        <v>569.91213259100914</v>
      </c>
      <c r="Q94" s="3">
        <v>2048</v>
      </c>
      <c r="R94" s="1197">
        <v>0.7260783184127001</v>
      </c>
      <c r="T94" s="3">
        <v>2048</v>
      </c>
      <c r="U94" s="335">
        <f t="shared" si="8"/>
        <v>1596.8879689490179</v>
      </c>
      <c r="W94" s="3">
        <v>2048</v>
      </c>
      <c r="X94" s="343"/>
      <c r="Y94" s="335">
        <f t="shared" si="9"/>
        <v>271.86816860327144</v>
      </c>
      <c r="AA94" s="3">
        <v>2048</v>
      </c>
      <c r="AB94" s="335">
        <f t="shared" si="6"/>
        <v>552.0701157972876</v>
      </c>
      <c r="AD94" s="3">
        <v>2048</v>
      </c>
      <c r="AE94" s="335">
        <f t="shared" si="10"/>
        <v>772.94968454845889</v>
      </c>
      <c r="AG94" s="3">
        <v>2048</v>
      </c>
      <c r="AH94" s="335">
        <f t="shared" si="7"/>
        <v>10.238186992818214</v>
      </c>
      <c r="AK94" s="3">
        <v>2048</v>
      </c>
      <c r="AL94" s="338">
        <f t="shared" si="11"/>
        <v>0.17024874248517247</v>
      </c>
      <c r="AM94" s="338">
        <f t="shared" si="12"/>
        <v>0.34571624718334448</v>
      </c>
      <c r="AN94" s="338">
        <f t="shared" si="13"/>
        <v>0.48403501033148305</v>
      </c>
    </row>
    <row r="95" spans="2:40" ht="14.4" x14ac:dyDescent="0.55000000000000004">
      <c r="B95" s="3">
        <v>2049</v>
      </c>
      <c r="C95" s="707">
        <f>'Food System Summary'!I47</f>
        <v>1787.2460122358477</v>
      </c>
      <c r="E95" s="3">
        <v>2049</v>
      </c>
      <c r="F95" s="335">
        <f t="shared" si="4"/>
        <v>1588.8531735462291</v>
      </c>
      <c r="H95" s="3">
        <v>2049</v>
      </c>
      <c r="I95" s="335">
        <f t="shared" si="5"/>
        <v>-168.49737400184654</v>
      </c>
      <c r="L95" s="3">
        <v>2049</v>
      </c>
      <c r="M95" s="707">
        <f>Bioplastics!B145</f>
        <v>635.1033875644207</v>
      </c>
      <c r="Q95" s="3">
        <v>2049</v>
      </c>
      <c r="R95" s="1197">
        <v>0.73284146882843759</v>
      </c>
      <c r="T95" s="3">
        <v>2049</v>
      </c>
      <c r="U95" s="335">
        <f t="shared" si="8"/>
        <v>1588.8531735462291</v>
      </c>
      <c r="W95" s="3">
        <v>2049</v>
      </c>
      <c r="X95" s="343"/>
      <c r="Y95" s="335">
        <f t="shared" si="9"/>
        <v>296.93272539878001</v>
      </c>
      <c r="AA95" s="3">
        <v>2049</v>
      </c>
      <c r="AB95" s="335">
        <f t="shared" si="6"/>
        <v>504.52319667456447</v>
      </c>
      <c r="AD95" s="3">
        <v>2049</v>
      </c>
      <c r="AE95" s="335">
        <f t="shared" si="10"/>
        <v>787.39725147288448</v>
      </c>
      <c r="AG95" s="3">
        <v>2049</v>
      </c>
      <c r="AH95" s="335">
        <f t="shared" si="7"/>
        <v>-41.241065964100244</v>
      </c>
      <c r="AK95" s="3">
        <v>2049</v>
      </c>
      <c r="AL95" s="338">
        <f t="shared" si="11"/>
        <v>0.18688493709965862</v>
      </c>
      <c r="AM95" s="338">
        <f t="shared" si="12"/>
        <v>0.31753921952932734</v>
      </c>
      <c r="AN95" s="338">
        <f t="shared" si="13"/>
        <v>0.49557584337101396</v>
      </c>
    </row>
    <row r="96" spans="2:40" ht="14.4" x14ac:dyDescent="0.55000000000000004">
      <c r="B96" s="3">
        <v>2050</v>
      </c>
      <c r="C96" s="707">
        <f>'Food System Summary'!I48</f>
        <v>1830.4907458192276</v>
      </c>
      <c r="E96" s="3">
        <v>2050</v>
      </c>
      <c r="F96" s="335">
        <f t="shared" si="4"/>
        <v>1580.9224035510858</v>
      </c>
      <c r="H96" s="3">
        <v>2050</v>
      </c>
      <c r="I96" s="335">
        <f t="shared" si="5"/>
        <v>-194.47151696009769</v>
      </c>
      <c r="L96" s="3">
        <v>2050</v>
      </c>
      <c r="M96" s="707">
        <f>Bioplastics!B146</f>
        <v>705.16515335440636</v>
      </c>
      <c r="Q96" s="3">
        <v>2050</v>
      </c>
      <c r="R96" s="1197">
        <v>0.7394376364654448</v>
      </c>
      <c r="T96" s="3">
        <v>2050</v>
      </c>
      <c r="U96" s="335">
        <f t="shared" si="8"/>
        <v>1580.9224035510858</v>
      </c>
      <c r="W96" s="3">
        <v>2050</v>
      </c>
      <c r="X96" s="343"/>
      <c r="Y96" s="335">
        <f t="shared" si="9"/>
        <v>326.95413735407749</v>
      </c>
      <c r="AA96" s="3">
        <v>2050</v>
      </c>
      <c r="AB96" s="335">
        <f t="shared" si="6"/>
        <v>452.19165851611262</v>
      </c>
      <c r="AD96" s="3">
        <v>2050</v>
      </c>
      <c r="AE96" s="335">
        <f t="shared" si="10"/>
        <v>801.77660768089561</v>
      </c>
      <c r="AG96" s="3">
        <v>2050</v>
      </c>
      <c r="AH96" s="335">
        <f t="shared" si="7"/>
        <v>-98.440109811026446</v>
      </c>
      <c r="AK96" s="3">
        <v>2050</v>
      </c>
      <c r="AL96" s="338">
        <f t="shared" si="11"/>
        <v>0.20681226138592848</v>
      </c>
      <c r="AM96" s="338">
        <f t="shared" si="12"/>
        <v>0.28603026783629265</v>
      </c>
      <c r="AN96" s="338">
        <f t="shared" si="13"/>
        <v>0.50715747077777873</v>
      </c>
    </row>
    <row r="97" spans="1:74" ht="14.4" x14ac:dyDescent="0.55000000000000004">
      <c r="B97" s="3">
        <v>2051</v>
      </c>
      <c r="C97" s="707">
        <f>'Food System Summary'!I49</f>
        <v>1840.8320069031854</v>
      </c>
      <c r="E97" s="3">
        <v>2051</v>
      </c>
      <c r="F97" s="335">
        <f t="shared" si="4"/>
        <v>1606.9194310549094</v>
      </c>
      <c r="H97" s="3">
        <v>2051</v>
      </c>
      <c r="I97" s="335">
        <f t="shared" si="5"/>
        <v>-187.07395248768194</v>
      </c>
      <c r="L97" s="3">
        <v>2051</v>
      </c>
      <c r="M97" s="707">
        <f>Bioplastics!B147</f>
        <v>780.2742722928524</v>
      </c>
      <c r="Q97" s="3">
        <v>2051</v>
      </c>
      <c r="R97" s="1197">
        <v>0.7432277927881854</v>
      </c>
      <c r="T97" s="3">
        <v>2051</v>
      </c>
      <c r="U97" s="335">
        <f t="shared" si="8"/>
        <v>1606.9194310549094</v>
      </c>
      <c r="W97" s="3">
        <v>2051</v>
      </c>
      <c r="X97" s="343"/>
      <c r="Y97" s="335">
        <f t="shared" si="9"/>
        <v>392.84757267794237</v>
      </c>
      <c r="AA97" s="3">
        <v>2051</v>
      </c>
      <c r="AB97" s="335">
        <f t="shared" si="6"/>
        <v>397.51600749549596</v>
      </c>
      <c r="AD97" s="3">
        <v>2051</v>
      </c>
      <c r="AE97" s="335">
        <f t="shared" si="10"/>
        <v>816.5558508814712</v>
      </c>
      <c r="AG97" s="3">
        <v>2051</v>
      </c>
      <c r="AH97" s="335">
        <f t="shared" si="7"/>
        <v>-158.50008772464628</v>
      </c>
      <c r="AK97" s="3">
        <v>2051</v>
      </c>
      <c r="AL97" s="338">
        <f t="shared" si="11"/>
        <v>0.24447247639543823</v>
      </c>
      <c r="AM97" s="338">
        <f t="shared" si="12"/>
        <v>0.24737768416586692</v>
      </c>
      <c r="AN97" s="338">
        <f t="shared" si="13"/>
        <v>0.50814983943869496</v>
      </c>
    </row>
    <row r="98" spans="1:74" ht="14.4" x14ac:dyDescent="0.55000000000000004">
      <c r="B98" s="3">
        <v>2052</v>
      </c>
      <c r="C98" s="707">
        <f>'Food System Summary'!I50</f>
        <v>1850.9542710319449</v>
      </c>
      <c r="E98" s="3">
        <v>2052</v>
      </c>
      <c r="F98" s="335">
        <f t="shared" si="4"/>
        <v>1632.1577902958127</v>
      </c>
      <c r="H98" s="3">
        <v>2052</v>
      </c>
      <c r="I98" s="335">
        <f t="shared" si="5"/>
        <v>-179.94760632574298</v>
      </c>
      <c r="L98" s="3">
        <v>2052</v>
      </c>
      <c r="M98" s="707">
        <f>Bioplastics!B148</f>
        <v>784</v>
      </c>
      <c r="Q98" s="3">
        <v>2052</v>
      </c>
      <c r="R98" s="1197">
        <v>0.74865445113542495</v>
      </c>
      <c r="T98" s="3">
        <v>2052</v>
      </c>
      <c r="U98" s="335">
        <f t="shared" si="8"/>
        <v>1632.1577902958127</v>
      </c>
      <c r="W98" s="3">
        <v>2052</v>
      </c>
      <c r="X98" s="343"/>
      <c r="Y98" s="335">
        <f t="shared" si="9"/>
        <v>406.9974833644302</v>
      </c>
      <c r="AA98" s="3">
        <v>2052</v>
      </c>
      <c r="AB98" s="335">
        <f t="shared" si="6"/>
        <v>393.89926677972358</v>
      </c>
      <c r="AD98" s="3">
        <v>2052</v>
      </c>
      <c r="AE98" s="335">
        <f t="shared" si="10"/>
        <v>831.26104015165879</v>
      </c>
      <c r="AG98" s="3">
        <v>2052</v>
      </c>
      <c r="AH98" s="335">
        <f t="shared" si="7"/>
        <v>-148.03486795369906</v>
      </c>
      <c r="AK98" s="3">
        <v>2052</v>
      </c>
      <c r="AL98" s="338">
        <f t="shared" si="11"/>
        <v>0.24936160326181814</v>
      </c>
      <c r="AM98" s="338">
        <f t="shared" si="12"/>
        <v>0.24133651116436064</v>
      </c>
      <c r="AN98" s="338">
        <f t="shared" si="13"/>
        <v>0.50930188557382117</v>
      </c>
    </row>
    <row r="99" spans="1:74" ht="14.4" x14ac:dyDescent="0.55000000000000004">
      <c r="B99" s="3">
        <v>2053</v>
      </c>
      <c r="C99" s="707">
        <f>'Food System Summary'!I51</f>
        <v>1860.8558980619093</v>
      </c>
      <c r="E99" s="3">
        <v>2053</v>
      </c>
      <c r="F99" s="335">
        <f t="shared" si="4"/>
        <v>1657.3082771095562</v>
      </c>
      <c r="H99" s="3">
        <v>2053</v>
      </c>
      <c r="I99" s="335">
        <f t="shared" si="5"/>
        <v>-172.76839144558517</v>
      </c>
      <c r="L99" s="3">
        <v>2053</v>
      </c>
      <c r="M99" s="707">
        <f>Bioplastics!B149</f>
        <v>784</v>
      </c>
      <c r="Q99" s="3">
        <v>2053</v>
      </c>
      <c r="R99" s="1197">
        <v>0.75382368813664513</v>
      </c>
      <c r="T99" s="3">
        <v>2053</v>
      </c>
      <c r="U99" s="335">
        <f t="shared" si="8"/>
        <v>1657.3082771095562</v>
      </c>
      <c r="W99" s="3">
        <v>2053</v>
      </c>
      <c r="X99" s="343"/>
      <c r="Y99" s="335">
        <f t="shared" si="9"/>
        <v>418.22938005354467</v>
      </c>
      <c r="AA99" s="3">
        <v>2053</v>
      </c>
      <c r="AB99" s="335">
        <f t="shared" si="6"/>
        <v>393.03274829632926</v>
      </c>
      <c r="AD99" s="3">
        <v>2053</v>
      </c>
      <c r="AE99" s="335">
        <f t="shared" si="10"/>
        <v>846.0461487596823</v>
      </c>
      <c r="AG99" s="3">
        <v>2053</v>
      </c>
      <c r="AH99" s="335">
        <f t="shared" si="7"/>
        <v>-133.69376763030289</v>
      </c>
      <c r="AK99" s="3">
        <v>2053</v>
      </c>
      <c r="AL99" s="338">
        <f t="shared" si="11"/>
        <v>0.25235460766717555</v>
      </c>
      <c r="AM99" s="338">
        <f t="shared" si="12"/>
        <v>0.237151261310178</v>
      </c>
      <c r="AN99" s="338">
        <f t="shared" si="13"/>
        <v>0.51049413102264651</v>
      </c>
    </row>
    <row r="100" spans="1:74" ht="14.4" x14ac:dyDescent="0.55000000000000004">
      <c r="B100" s="3">
        <v>2054</v>
      </c>
      <c r="C100" s="707">
        <f>'Food System Summary'!I52</f>
        <v>1870.5362262122635</v>
      </c>
      <c r="E100" s="3">
        <v>2054</v>
      </c>
      <c r="F100" s="335">
        <f t="shared" si="4"/>
        <v>1682.3724452901338</v>
      </c>
      <c r="H100" s="3">
        <v>2054</v>
      </c>
      <c r="I100" s="335">
        <f t="shared" si="5"/>
        <v>-165.5337842897884</v>
      </c>
      <c r="L100" s="3">
        <v>2054</v>
      </c>
      <c r="M100" s="707">
        <f>Bioplastics!B150</f>
        <v>784</v>
      </c>
      <c r="Q100" s="3">
        <v>2054</v>
      </c>
      <c r="R100" s="1197">
        <v>0.75873550379184596</v>
      </c>
      <c r="T100" s="3">
        <v>2054</v>
      </c>
      <c r="U100" s="335">
        <f t="shared" si="8"/>
        <v>1682.3724452901338</v>
      </c>
      <c r="W100" s="3">
        <v>2054</v>
      </c>
      <c r="X100" s="343"/>
      <c r="Y100" s="335">
        <f t="shared" si="9"/>
        <v>429.31485068301879</v>
      </c>
      <c r="AA100" s="3">
        <v>2054</v>
      </c>
      <c r="AB100" s="335">
        <f t="shared" si="6"/>
        <v>392.14939397055889</v>
      </c>
      <c r="AD100" s="3">
        <v>2054</v>
      </c>
      <c r="AE100" s="335">
        <f t="shared" si="10"/>
        <v>860.90820063655599</v>
      </c>
      <c r="AG100" s="3">
        <v>2054</v>
      </c>
      <c r="AH100" s="335">
        <f t="shared" si="7"/>
        <v>-119.2077069088582</v>
      </c>
      <c r="AK100" s="3">
        <v>2054</v>
      </c>
      <c r="AL100" s="338">
        <f t="shared" si="11"/>
        <v>0.25518419056666208</v>
      </c>
      <c r="AM100" s="338">
        <f t="shared" si="12"/>
        <v>0.23309309128807723</v>
      </c>
      <c r="AN100" s="338">
        <f t="shared" si="13"/>
        <v>0.5117227181452606</v>
      </c>
    </row>
    <row r="101" spans="1:74" ht="14.4" x14ac:dyDescent="0.55000000000000004">
      <c r="B101" s="3">
        <v>2055</v>
      </c>
      <c r="C101" s="707">
        <f>'Food System Summary'!I53</f>
        <v>1879.9962974121656</v>
      </c>
      <c r="E101" s="3">
        <v>2055</v>
      </c>
      <c r="F101" s="335">
        <f t="shared" si="4"/>
        <v>1707.351247726476</v>
      </c>
      <c r="H101" s="3">
        <v>2055</v>
      </c>
      <c r="I101" s="335">
        <f t="shared" si="5"/>
        <v>-158.2425339749409</v>
      </c>
      <c r="L101" s="3">
        <v>2055</v>
      </c>
      <c r="M101" s="707">
        <f>Bioplastics!B151</f>
        <v>784</v>
      </c>
      <c r="Q101" s="3">
        <v>2055</v>
      </c>
      <c r="R101" s="1197">
        <v>0.76338989810102742</v>
      </c>
      <c r="T101" s="3">
        <v>2055</v>
      </c>
      <c r="U101" s="335">
        <f t="shared" si="8"/>
        <v>1707.351247726476</v>
      </c>
      <c r="W101" s="3">
        <v>2055</v>
      </c>
      <c r="X101" s="343"/>
      <c r="Y101" s="335">
        <f t="shared" si="9"/>
        <v>440.25514613626456</v>
      </c>
      <c r="AA101" s="3">
        <v>2055</v>
      </c>
      <c r="AB101" s="335">
        <f t="shared" si="6"/>
        <v>391.25150759254598</v>
      </c>
      <c r="AD101" s="3">
        <v>2055</v>
      </c>
      <c r="AE101" s="335">
        <f t="shared" si="10"/>
        <v>875.84459399766547</v>
      </c>
      <c r="AG101" s="3">
        <v>2055</v>
      </c>
      <c r="AH101" s="335">
        <f t="shared" si="7"/>
        <v>-104.58172515503861</v>
      </c>
      <c r="AK101" s="3">
        <v>2055</v>
      </c>
      <c r="AL101" s="338">
        <f t="shared" si="11"/>
        <v>0.25785856701865667</v>
      </c>
      <c r="AM101" s="338">
        <f t="shared" si="12"/>
        <v>0.2291570103770621</v>
      </c>
      <c r="AN101" s="338">
        <f t="shared" si="13"/>
        <v>0.51298442260428123</v>
      </c>
    </row>
    <row r="102" spans="1:74" ht="14.4" x14ac:dyDescent="0.55000000000000004">
      <c r="B102" s="3">
        <v>2056</v>
      </c>
      <c r="C102" s="707">
        <f>'Food System Summary'!I54</f>
        <v>1889.2366548878722</v>
      </c>
      <c r="E102" s="3">
        <v>2056</v>
      </c>
      <c r="F102" s="335">
        <f t="shared" si="4"/>
        <v>1732.2468495851176</v>
      </c>
      <c r="H102" s="3">
        <v>2056</v>
      </c>
      <c r="I102" s="335">
        <f t="shared" si="5"/>
        <v>-150.89264051857572</v>
      </c>
      <c r="L102" s="3">
        <v>2056</v>
      </c>
      <c r="M102" s="707">
        <f>Bioplastics!B152</f>
        <v>784</v>
      </c>
      <c r="Q102" s="3">
        <v>2056</v>
      </c>
      <c r="R102" s="1197">
        <v>0.76778687106418952</v>
      </c>
      <c r="T102" s="3">
        <v>2056</v>
      </c>
      <c r="U102" s="335">
        <f t="shared" si="8"/>
        <v>1732.2468495851176</v>
      </c>
      <c r="W102" s="3">
        <v>2056</v>
      </c>
      <c r="X102" s="343"/>
      <c r="Y102" s="335">
        <f t="shared" si="9"/>
        <v>451.05226639574892</v>
      </c>
      <c r="AA102" s="3">
        <v>2056</v>
      </c>
      <c r="AB102" s="335">
        <f t="shared" si="6"/>
        <v>390.3415733112746</v>
      </c>
      <c r="AD102" s="3">
        <v>2056</v>
      </c>
      <c r="AE102" s="335">
        <f t="shared" si="10"/>
        <v>890.85300987809399</v>
      </c>
      <c r="AG102" s="3">
        <v>2056</v>
      </c>
      <c r="AH102" s="335">
        <f t="shared" si="7"/>
        <v>-89.820558406483087</v>
      </c>
      <c r="AK102" s="3">
        <v>2056</v>
      </c>
      <c r="AL102" s="338">
        <f t="shared" si="11"/>
        <v>0.26038567569268684</v>
      </c>
      <c r="AM102" s="338">
        <f t="shared" si="12"/>
        <v>0.22533830753091771</v>
      </c>
      <c r="AN102" s="338">
        <f t="shared" si="13"/>
        <v>0.51427601677639534</v>
      </c>
    </row>
    <row r="103" spans="1:74" ht="14.4" x14ac:dyDescent="0.55000000000000004">
      <c r="B103" s="3">
        <v>2057</v>
      </c>
      <c r="C103" s="707">
        <f>'Food System Summary'!I55</f>
        <v>1898.2617413182552</v>
      </c>
      <c r="E103" s="3">
        <v>2057</v>
      </c>
      <c r="F103" s="335">
        <f t="shared" si="4"/>
        <v>1757.0593984234442</v>
      </c>
      <c r="H103" s="3">
        <v>2057</v>
      </c>
      <c r="I103" s="335">
        <f t="shared" si="5"/>
        <v>-143.48518638350311</v>
      </c>
      <c r="L103" s="3">
        <v>2057</v>
      </c>
      <c r="M103" s="707">
        <f>Bioplastics!B153</f>
        <v>784</v>
      </c>
      <c r="Q103" s="3">
        <v>2057</v>
      </c>
      <c r="R103" s="1197">
        <v>0.77192642268133227</v>
      </c>
      <c r="T103" s="3">
        <v>2057</v>
      </c>
      <c r="U103" s="335">
        <f t="shared" si="8"/>
        <v>1757.0593984234442</v>
      </c>
      <c r="W103" s="3">
        <v>2057</v>
      </c>
      <c r="X103" s="343"/>
      <c r="Y103" s="335">
        <f t="shared" si="9"/>
        <v>461.70512899866139</v>
      </c>
      <c r="AA103" s="3">
        <v>2057</v>
      </c>
      <c r="AB103" s="335">
        <f t="shared" si="6"/>
        <v>389.42256674155192</v>
      </c>
      <c r="AD103" s="3">
        <v>2057</v>
      </c>
      <c r="AE103" s="335">
        <f t="shared" si="10"/>
        <v>905.93170268323092</v>
      </c>
      <c r="AG103" s="3">
        <v>2057</v>
      </c>
      <c r="AH103" s="335">
        <f t="shared" si="7"/>
        <v>-74.928693630290127</v>
      </c>
      <c r="AK103" s="3">
        <v>2057</v>
      </c>
      <c r="AL103" s="338">
        <f t="shared" si="11"/>
        <v>0.2627714973170146</v>
      </c>
      <c r="AM103" s="338">
        <f t="shared" si="12"/>
        <v>0.22163312582999123</v>
      </c>
      <c r="AN103" s="338">
        <f t="shared" si="13"/>
        <v>0.51559537685299417</v>
      </c>
    </row>
    <row r="104" spans="1:74" ht="14.4" x14ac:dyDescent="0.55000000000000004">
      <c r="B104" s="3">
        <v>2058</v>
      </c>
      <c r="C104" s="707">
        <f>'Food System Summary'!I56</f>
        <v>1907.0822322395156</v>
      </c>
      <c r="E104" s="3">
        <v>2058</v>
      </c>
      <c r="F104" s="335">
        <f t="shared" si="4"/>
        <v>1781.7850254409786</v>
      </c>
      <c r="H104" s="3">
        <v>2058</v>
      </c>
      <c r="I104" s="335">
        <f t="shared" si="5"/>
        <v>-136.02650344875269</v>
      </c>
      <c r="L104" s="3">
        <v>2058</v>
      </c>
      <c r="M104" s="707">
        <f>Bioplastics!B154</f>
        <v>784</v>
      </c>
      <c r="Q104" s="3">
        <v>2058</v>
      </c>
      <c r="R104" s="1197">
        <v>0.77580855295245554</v>
      </c>
      <c r="T104" s="3">
        <v>2058</v>
      </c>
      <c r="U104" s="335">
        <f t="shared" si="8"/>
        <v>1781.7850254409786</v>
      </c>
      <c r="W104" s="3">
        <v>2058</v>
      </c>
      <c r="X104" s="343"/>
      <c r="Y104" s="335">
        <f t="shared" si="9"/>
        <v>472.20740206597247</v>
      </c>
      <c r="AA104" s="3">
        <v>2058</v>
      </c>
      <c r="AB104" s="335">
        <f t="shared" si="6"/>
        <v>388.49802751054438</v>
      </c>
      <c r="AD104" s="3">
        <v>2058</v>
      </c>
      <c r="AE104" s="335">
        <f t="shared" si="10"/>
        <v>921.07959586446179</v>
      </c>
      <c r="AG104" s="3">
        <v>2058</v>
      </c>
      <c r="AH104" s="335">
        <f t="shared" si="7"/>
        <v>-59.910611417520158</v>
      </c>
      <c r="AK104" s="3">
        <v>2058</v>
      </c>
      <c r="AL104" s="338">
        <f t="shared" si="11"/>
        <v>0.26501928982656292</v>
      </c>
      <c r="AM104" s="338">
        <f t="shared" si="12"/>
        <v>0.21803866457705467</v>
      </c>
      <c r="AN104" s="338">
        <f t="shared" si="13"/>
        <v>0.51694204559638246</v>
      </c>
    </row>
    <row r="105" spans="1:74" ht="14.4" x14ac:dyDescent="0.55000000000000004">
      <c r="B105" s="3">
        <v>2059</v>
      </c>
      <c r="C105" s="707">
        <f>'Food System Summary'!I57</f>
        <v>1915.7122789709108</v>
      </c>
      <c r="E105" s="3">
        <v>2059</v>
      </c>
      <c r="F105" s="335">
        <f t="shared" si="4"/>
        <v>1806.4179426039589</v>
      </c>
      <c r="H105" s="3">
        <v>2059</v>
      </c>
      <c r="I105" s="335">
        <f t="shared" si="5"/>
        <v>-128.52572733040142</v>
      </c>
      <c r="L105" s="3">
        <v>2059</v>
      </c>
      <c r="M105" s="707">
        <f>Bioplastics!B155</f>
        <v>784</v>
      </c>
      <c r="Q105" s="3">
        <v>2059</v>
      </c>
      <c r="R105" s="1197">
        <v>0.77943326187755946</v>
      </c>
      <c r="T105" s="3">
        <v>2059</v>
      </c>
      <c r="U105" s="335">
        <f t="shared" si="8"/>
        <v>1806.4179426039589</v>
      </c>
      <c r="W105" s="3">
        <v>2059</v>
      </c>
      <c r="X105" s="343"/>
      <c r="Y105" s="335">
        <f t="shared" si="9"/>
        <v>482.54994998160521</v>
      </c>
      <c r="AA105" s="3">
        <v>2059</v>
      </c>
      <c r="AB105" s="335">
        <f t="shared" si="6"/>
        <v>387.57186113653086</v>
      </c>
      <c r="AD105" s="3">
        <v>2059</v>
      </c>
      <c r="AE105" s="335">
        <f t="shared" si="10"/>
        <v>936.29613148582268</v>
      </c>
      <c r="AG105" s="3">
        <v>2059</v>
      </c>
      <c r="AH105" s="335">
        <f t="shared" si="7"/>
        <v>-44.77068705091699</v>
      </c>
      <c r="AK105" s="3">
        <v>2059</v>
      </c>
      <c r="AL105" s="338">
        <f t="shared" si="11"/>
        <v>0.26713084419766531</v>
      </c>
      <c r="AM105" s="338">
        <f t="shared" si="12"/>
        <v>0.21455270787326461</v>
      </c>
      <c r="AN105" s="338">
        <f t="shared" si="13"/>
        <v>0.51831644792907006</v>
      </c>
    </row>
    <row r="106" spans="1:74" ht="14.4" x14ac:dyDescent="0.55000000000000004">
      <c r="B106" s="3">
        <v>2060</v>
      </c>
      <c r="C106" s="707">
        <f>'Food System Summary'!I58</f>
        <v>1924.1642466727724</v>
      </c>
      <c r="E106" s="3">
        <v>2060</v>
      </c>
      <c r="F106" s="335">
        <f t="shared" si="4"/>
        <v>1830.9537819065215</v>
      </c>
      <c r="H106" s="3">
        <v>2060</v>
      </c>
      <c r="I106" s="335">
        <f t="shared" si="5"/>
        <v>-120.99045369520445</v>
      </c>
      <c r="L106" s="3">
        <v>2060</v>
      </c>
      <c r="M106" s="707">
        <f>Bioplastics!B156</f>
        <v>784</v>
      </c>
      <c r="Q106" s="3">
        <v>2060</v>
      </c>
      <c r="R106" s="339">
        <v>0.78280054945664412</v>
      </c>
      <c r="T106" s="3">
        <v>2060</v>
      </c>
      <c r="U106" s="335">
        <f t="shared" si="8"/>
        <v>1830.9537819065215</v>
      </c>
      <c r="W106" s="3">
        <v>2060</v>
      </c>
      <c r="X106" s="343"/>
      <c r="Y106" s="335">
        <f t="shared" si="9"/>
        <v>492.72517707880456</v>
      </c>
      <c r="AA106" s="3">
        <v>2060</v>
      </c>
      <c r="AB106" s="335">
        <f t="shared" si="6"/>
        <v>386.64781203951475</v>
      </c>
      <c r="AD106" s="3">
        <v>2060</v>
      </c>
      <c r="AE106" s="335">
        <f t="shared" si="10"/>
        <v>951.58079278820219</v>
      </c>
      <c r="AG106" s="3">
        <v>2060</v>
      </c>
      <c r="AH106" s="335">
        <f t="shared" si="7"/>
        <v>-29.513319748664117</v>
      </c>
      <c r="AK106" s="3">
        <v>2060</v>
      </c>
      <c r="AL106" s="338">
        <f t="shared" si="11"/>
        <v>0.26910847338032939</v>
      </c>
      <c r="AM106" s="338">
        <f t="shared" si="12"/>
        <v>0.2111728957117143</v>
      </c>
      <c r="AN106" s="338">
        <f t="shared" si="13"/>
        <v>0.51971863090795634</v>
      </c>
    </row>
    <row r="109" spans="1:74" ht="22.5" x14ac:dyDescent="0.75">
      <c r="A109" s="336" t="s">
        <v>500</v>
      </c>
      <c r="Q109" s="638"/>
      <c r="R109" s="638"/>
      <c r="S109" s="638"/>
      <c r="T109" s="638"/>
    </row>
    <row r="110" spans="1:74" ht="200.05" customHeight="1" x14ac:dyDescent="0.4">
      <c r="B110" s="1275" t="s">
        <v>501</v>
      </c>
      <c r="C110" s="1276"/>
      <c r="D110" s="1276"/>
      <c r="F110" s="1275" t="s">
        <v>502</v>
      </c>
      <c r="G110" s="1276"/>
      <c r="H110" s="1276"/>
      <c r="J110" s="1275" t="s">
        <v>481</v>
      </c>
      <c r="K110" s="1276"/>
      <c r="L110" s="1276"/>
      <c r="M110" s="1276"/>
      <c r="N110" s="1276"/>
      <c r="P110" s="1280" t="s">
        <v>503</v>
      </c>
      <c r="Q110" s="1281"/>
      <c r="R110" s="1281"/>
      <c r="S110" s="1281"/>
      <c r="V110" s="1275" t="s">
        <v>504</v>
      </c>
      <c r="W110" s="1276"/>
      <c r="X110" s="1276"/>
      <c r="Y110" s="1276"/>
      <c r="Z110" s="1276"/>
      <c r="AA110" s="1276"/>
      <c r="AB110" s="1276"/>
      <c r="AC110" s="1276"/>
      <c r="AE110" s="1275" t="s">
        <v>484</v>
      </c>
      <c r="AF110" s="1276"/>
      <c r="AG110" s="1276"/>
      <c r="AH110" s="1276"/>
      <c r="AI110" s="1276"/>
      <c r="AK110" s="1275" t="s">
        <v>486</v>
      </c>
      <c r="AL110" s="1276"/>
      <c r="AM110" s="1276"/>
      <c r="AN110" s="1276"/>
      <c r="AO110" s="1276"/>
      <c r="AP110" s="1276"/>
      <c r="AQ110" s="1276"/>
      <c r="AR110" s="1276"/>
      <c r="AS110" s="1276"/>
      <c r="AT110" s="1276"/>
    </row>
    <row r="111" spans="1:74" ht="135.30000000000001" x14ac:dyDescent="0.4">
      <c r="B111" s="1173" t="s">
        <v>132</v>
      </c>
      <c r="C111" s="1172" t="s">
        <v>149</v>
      </c>
      <c r="F111" s="641" t="s">
        <v>151</v>
      </c>
      <c r="G111" s="641"/>
      <c r="H111" s="641"/>
      <c r="J111" s="642" t="s">
        <v>497</v>
      </c>
      <c r="K111" s="642"/>
      <c r="R111" s="1173" t="s">
        <v>1098</v>
      </c>
      <c r="S111" s="1173" t="s">
        <v>160</v>
      </c>
      <c r="T111" s="1173" t="s">
        <v>1099</v>
      </c>
      <c r="V111" s="641" t="s">
        <v>152</v>
      </c>
      <c r="W111" s="641"/>
      <c r="X111" s="641"/>
      <c r="Y111" s="641"/>
      <c r="Z111" s="641"/>
      <c r="AA111" s="641"/>
      <c r="AB111" s="641"/>
      <c r="AC111" s="641"/>
      <c r="AE111" s="340" t="s">
        <v>10</v>
      </c>
      <c r="AF111" s="335">
        <f>'WTE Tonnes and Composition'!M$52</f>
        <v>1.4992613764679676</v>
      </c>
      <c r="AG111" s="335">
        <f>'WTE Tonnes and Composition'!M$53</f>
        <v>3.5494778268358278</v>
      </c>
      <c r="AH111" s="335">
        <f>'WTE Tonnes and Composition'!M$54</f>
        <v>2.1207208550108536</v>
      </c>
      <c r="AI111" s="341" t="s">
        <v>483</v>
      </c>
      <c r="AK111" s="345" t="s">
        <v>153</v>
      </c>
      <c r="AL111" s="345"/>
      <c r="AO111" s="341" t="s">
        <v>485</v>
      </c>
      <c r="AP111" s="338">
        <f>'WTE Tonnes and Composition'!R$31</f>
        <v>0.1982538444179904</v>
      </c>
      <c r="AQ111" s="338">
        <f>'WTE Tonnes and Composition'!R$32</f>
        <v>0.28006004602560974</v>
      </c>
      <c r="AR111" s="338">
        <f>'WTE Tonnes and Composition'!R$33</f>
        <v>0.3429125448437737</v>
      </c>
      <c r="AS111" s="345" t="s">
        <v>278</v>
      </c>
      <c r="AT111" s="345" t="s">
        <v>279</v>
      </c>
      <c r="AU111" s="609"/>
      <c r="AV111" s="609"/>
      <c r="AW111" s="609"/>
      <c r="AX111" s="609"/>
      <c r="AY111" s="609"/>
      <c r="AZ111" s="609"/>
      <c r="BA111" s="609"/>
      <c r="BQ111" s="609"/>
      <c r="BR111" s="609"/>
      <c r="BS111" s="609"/>
      <c r="BT111" s="609"/>
      <c r="BU111" s="609"/>
      <c r="BV111" s="609"/>
    </row>
    <row r="112" spans="1:74" x14ac:dyDescent="0.4">
      <c r="B112" s="2"/>
      <c r="C112" s="334" t="s">
        <v>115</v>
      </c>
      <c r="D112" s="334" t="s">
        <v>133</v>
      </c>
      <c r="F112" s="2"/>
      <c r="G112" s="334" t="s">
        <v>115</v>
      </c>
      <c r="H112" s="334" t="s">
        <v>134</v>
      </c>
      <c r="J112" s="2"/>
      <c r="K112" s="334" t="s">
        <v>115</v>
      </c>
      <c r="L112" s="334" t="s">
        <v>159</v>
      </c>
      <c r="M112" s="334" t="s">
        <v>157</v>
      </c>
      <c r="N112" s="334" t="s">
        <v>158</v>
      </c>
      <c r="Q112" s="2"/>
      <c r="R112" s="334" t="s">
        <v>115</v>
      </c>
      <c r="S112" s="334" t="str">
        <f t="shared" ref="S112:S159" si="14">AE59</f>
        <v>World</v>
      </c>
      <c r="T112" s="334" t="s">
        <v>115</v>
      </c>
      <c r="V112" s="334" t="s">
        <v>115</v>
      </c>
      <c r="W112" s="334" t="s">
        <v>156</v>
      </c>
      <c r="X112" s="334" t="s">
        <v>157</v>
      </c>
      <c r="Y112" s="334" t="s">
        <v>158</v>
      </c>
      <c r="Z112" s="334" t="s">
        <v>155</v>
      </c>
      <c r="AA112" s="334" t="s">
        <v>161</v>
      </c>
      <c r="AB112" s="334" t="s">
        <v>162</v>
      </c>
      <c r="AC112" s="334" t="s">
        <v>163</v>
      </c>
      <c r="AE112" s="334" t="s">
        <v>115</v>
      </c>
      <c r="AF112" s="347" t="s">
        <v>156</v>
      </c>
      <c r="AG112" s="347" t="s">
        <v>157</v>
      </c>
      <c r="AH112" s="347" t="s">
        <v>158</v>
      </c>
      <c r="AI112" s="347" t="s">
        <v>165</v>
      </c>
      <c r="AK112" s="334" t="s">
        <v>115</v>
      </c>
      <c r="AL112" s="347" t="s">
        <v>138</v>
      </c>
      <c r="AM112" s="347" t="s">
        <v>156</v>
      </c>
      <c r="AN112" s="347" t="s">
        <v>157</v>
      </c>
      <c r="AO112" s="347" t="s">
        <v>158</v>
      </c>
      <c r="AP112" s="347" t="s">
        <v>156</v>
      </c>
      <c r="AQ112" s="347" t="s">
        <v>157</v>
      </c>
      <c r="AR112" s="347" t="s">
        <v>158</v>
      </c>
      <c r="AS112" s="527" t="s">
        <v>115</v>
      </c>
      <c r="AT112" s="527" t="s">
        <v>115</v>
      </c>
    </row>
    <row r="113" spans="2:46" ht="14.4" x14ac:dyDescent="0.55000000000000004">
      <c r="B113" s="3">
        <v>2014</v>
      </c>
      <c r="C113" s="707">
        <f>Compost!E107</f>
        <v>110.54366841083268</v>
      </c>
      <c r="D113" s="338">
        <f t="shared" ref="D113:D159" si="15">C113/Y60</f>
        <v>0.13735631497417058</v>
      </c>
      <c r="F113" s="3">
        <v>2014</v>
      </c>
      <c r="G113" s="707">
        <f>'H&amp;C Recycling'!E107</f>
        <v>206.02941101227444</v>
      </c>
      <c r="H113" s="338">
        <f t="shared" ref="H113:H159" si="16">G113/AB60</f>
        <v>0.32872538352551745</v>
      </c>
      <c r="J113" s="3">
        <v>2014</v>
      </c>
      <c r="K113" s="335">
        <f t="shared" ref="K113:K159" si="17">U60-C113-G113</f>
        <v>1456.7602539102263</v>
      </c>
      <c r="L113" s="338">
        <f t="shared" ref="L113:L159" si="18">(Y60-C113)/K113</f>
        <v>0.47657209073626489</v>
      </c>
      <c r="M113" s="338">
        <f t="shared" ref="M113:M159" si="19">(AB60-G113)/K113</f>
        <v>0.28880727023664815</v>
      </c>
      <c r="N113" s="338">
        <f t="shared" ref="N113:N159" si="20">AE60/K113</f>
        <v>0.23462063902708707</v>
      </c>
      <c r="Q113" s="3">
        <v>2014</v>
      </c>
      <c r="R113" s="707">
        <f>Paper!F116</f>
        <v>203.73054651337733</v>
      </c>
      <c r="S113" s="335">
        <f t="shared" si="14"/>
        <v>341.7860216816789</v>
      </c>
      <c r="T113" s="707">
        <f>Paper!G116</f>
        <v>227.24220299999999</v>
      </c>
      <c r="V113" s="335">
        <f t="shared" ref="V113:V159" si="21">U60-C113-G113-T113-U170</f>
        <v>1229.5180509102263</v>
      </c>
      <c r="W113" s="335">
        <f t="shared" ref="W113:W159" si="22">Y60-C113</f>
        <v>694.25127990748865</v>
      </c>
      <c r="X113" s="335">
        <f t="shared" ref="X113:X159" si="23">AB60-G113</f>
        <v>420.72295232105887</v>
      </c>
      <c r="Y113" s="335">
        <f t="shared" ref="Y113:Y159" si="24">S113-T113-U170</f>
        <v>114.54381868167891</v>
      </c>
      <c r="Z113" s="338">
        <f t="shared" ref="Z113:Z159" si="25">W113/$V113</f>
        <v>0.5646531821094668</v>
      </c>
      <c r="AA113" s="338">
        <f t="shared" ref="AA113:AA159" si="26">X113/$V113</f>
        <v>0.34218525869513899</v>
      </c>
      <c r="AB113" s="338">
        <f t="shared" ref="AB113:AB159" si="27">Y113/$V113</f>
        <v>9.3161559195394331E-2</v>
      </c>
      <c r="AC113" s="338">
        <f t="shared" ref="AC113:AC159" si="28">1-V113/U60</f>
        <v>0.30666275324611303</v>
      </c>
      <c r="AE113" s="346">
        <f>MIN('WTE Tonnes and Composition'!G67,V113)</f>
        <v>142.75688198659913</v>
      </c>
      <c r="AF113" s="335">
        <f>AF$111*Z113</f>
        <v>0.8465627070364572</v>
      </c>
      <c r="AG113" s="335">
        <f>AG$111*AA113</f>
        <v>1.2145789884084774</v>
      </c>
      <c r="AH113" s="335">
        <f>AH$111*AB113</f>
        <v>0.19756966147100091</v>
      </c>
      <c r="AI113" s="335">
        <f>AF113+AG113+AH113</f>
        <v>2.2587113569159354</v>
      </c>
      <c r="AK113" s="335">
        <f t="shared" ref="AK113:AK159" si="29">V113-AE113</f>
        <v>1086.7611689236271</v>
      </c>
      <c r="AL113" s="338">
        <f t="shared" ref="AL113:AL159" si="30">AK113/U60</f>
        <v>0.61283524563362424</v>
      </c>
      <c r="AM113" s="335">
        <f t="shared" ref="AM113:AM159" si="31">Z113*$AK113</f>
        <v>613.64315222572986</v>
      </c>
      <c r="AN113" s="335">
        <f t="shared" ref="AN113:AN159" si="32">AA113*$AK113</f>
        <v>371.87365172796297</v>
      </c>
      <c r="AO113" s="335">
        <f t="shared" ref="AO113:AO159" si="33">AB113*$AK113</f>
        <v>101.24436496993442</v>
      </c>
      <c r="AP113" s="335">
        <f t="shared" ref="AP113:AR113" si="34">AP$111*AM113</f>
        <v>121.65711402952505</v>
      </c>
      <c r="AQ113" s="335">
        <f t="shared" si="34"/>
        <v>104.14695201864488</v>
      </c>
      <c r="AR113" s="335">
        <f t="shared" si="34"/>
        <v>34.717962842932032</v>
      </c>
      <c r="AS113" s="335">
        <f>SUM(AP113:AR113)</f>
        <v>260.52202889110197</v>
      </c>
      <c r="AT113" s="335">
        <f>AS113/AK113</f>
        <v>0.23972335076080578</v>
      </c>
    </row>
    <row r="114" spans="2:46" ht="14.4" x14ac:dyDescent="0.55000000000000004">
      <c r="B114" s="3">
        <v>2015</v>
      </c>
      <c r="C114" s="707">
        <f>Compost!E108</f>
        <v>121.04208551354085</v>
      </c>
      <c r="D114" s="338">
        <f t="shared" si="15"/>
        <v>0.14028323288243763</v>
      </c>
      <c r="F114" s="3">
        <v>2015</v>
      </c>
      <c r="G114" s="707">
        <f>'H&amp;C Recycling'!E108</f>
        <v>235.52664728670166</v>
      </c>
      <c r="H114" s="338">
        <f t="shared" si="16"/>
        <v>0.354207043072165</v>
      </c>
      <c r="J114" s="3">
        <v>2015</v>
      </c>
      <c r="K114" s="335">
        <f t="shared" si="17"/>
        <v>1535.0979338664242</v>
      </c>
      <c r="L114" s="338">
        <f t="shared" si="18"/>
        <v>0.48322560863857555</v>
      </c>
      <c r="M114" s="338">
        <f t="shared" si="19"/>
        <v>0.27973066293675541</v>
      </c>
      <c r="N114" s="338">
        <f t="shared" si="20"/>
        <v>0.23704372842466903</v>
      </c>
      <c r="Q114" s="3">
        <v>2015</v>
      </c>
      <c r="R114" s="707">
        <f>Paper!F117</f>
        <v>204.48991419160959</v>
      </c>
      <c r="S114" s="335">
        <f t="shared" si="14"/>
        <v>363.88533774070322</v>
      </c>
      <c r="T114" s="707">
        <f>Paper!G117</f>
        <v>228.0892060000001</v>
      </c>
      <c r="V114" s="335">
        <f t="shared" si="21"/>
        <v>1234.3255290789232</v>
      </c>
      <c r="W114" s="335">
        <f t="shared" si="22"/>
        <v>741.79863341242265</v>
      </c>
      <c r="X114" s="335">
        <f t="shared" si="23"/>
        <v>429.41396271329836</v>
      </c>
      <c r="Y114" s="335">
        <f t="shared" si="24"/>
        <v>63.112932953202119</v>
      </c>
      <c r="Z114" s="338">
        <f t="shared" si="25"/>
        <v>0.60097487732103105</v>
      </c>
      <c r="AA114" s="338">
        <f t="shared" si="26"/>
        <v>0.34789360877412551</v>
      </c>
      <c r="AB114" s="338">
        <f t="shared" si="27"/>
        <v>5.1131513904843377E-2</v>
      </c>
      <c r="AC114" s="338">
        <f t="shared" si="28"/>
        <v>0.34749311238118596</v>
      </c>
      <c r="AE114" s="346">
        <f>MIN('WTE Tonnes and Composition'!G68,V114)</f>
        <v>151.22621540688968</v>
      </c>
      <c r="AF114" s="335">
        <f>AF$111*Z114</f>
        <v>0.90101842179499703</v>
      </c>
      <c r="AG114" s="335">
        <f t="shared" ref="AG114:AH129" si="35">AG$111*AA114</f>
        <v>1.2348406504416567</v>
      </c>
      <c r="AH114" s="335">
        <f t="shared" si="35"/>
        <v>0.1084356678862788</v>
      </c>
      <c r="AI114" s="335">
        <f t="shared" ref="AI114:AI159" si="36">AF114+AG114+AH114</f>
        <v>2.2442947401229327</v>
      </c>
      <c r="AK114" s="335">
        <f t="shared" si="29"/>
        <v>1083.0993136720335</v>
      </c>
      <c r="AL114" s="338">
        <f t="shared" si="30"/>
        <v>0.57256351383543624</v>
      </c>
      <c r="AM114" s="335">
        <f t="shared" si="31"/>
        <v>650.91547716054333</v>
      </c>
      <c r="AN114" s="335">
        <f t="shared" si="32"/>
        <v>376.80332889414228</v>
      </c>
      <c r="AO114" s="335">
        <f t="shared" si="33"/>
        <v>55.380507617347902</v>
      </c>
      <c r="AP114" s="335">
        <f t="shared" ref="AP114:AP159" si="37">AP$111*AM114</f>
        <v>129.04649573824835</v>
      </c>
      <c r="AQ114" s="335">
        <f t="shared" ref="AQ114:AQ159" si="38">AQ$111*AN114</f>
        <v>105.52755763269646</v>
      </c>
      <c r="AR114" s="335">
        <f t="shared" ref="AR114:AR159" si="39">AR$111*AO114</f>
        <v>18.990670801804765</v>
      </c>
      <c r="AS114" s="335">
        <f t="shared" ref="AS114:AS159" si="40">SUM(AP114:AR114)</f>
        <v>253.56472417274955</v>
      </c>
      <c r="AT114" s="335">
        <f t="shared" ref="AT114:AT159" si="41">AS114/AK114</f>
        <v>0.23411031746764627</v>
      </c>
    </row>
    <row r="115" spans="2:46" ht="14.4" x14ac:dyDescent="0.55000000000000004">
      <c r="B115" s="3">
        <v>2016</v>
      </c>
      <c r="C115" s="707">
        <f>Compost!E109</f>
        <v>131.54050261624903</v>
      </c>
      <c r="D115" s="338">
        <f t="shared" si="15"/>
        <v>0.14215117062862537</v>
      </c>
      <c r="F115" s="3">
        <v>2016</v>
      </c>
      <c r="G115" s="707">
        <f>'H&amp;C Recycling'!E109</f>
        <v>266.79999999999995</v>
      </c>
      <c r="H115" s="338">
        <f t="shared" si="16"/>
        <v>0.37965485417831296</v>
      </c>
      <c r="J115" s="3">
        <v>2016</v>
      </c>
      <c r="K115" s="335">
        <f t="shared" si="17"/>
        <v>1611.6594973837507</v>
      </c>
      <c r="L115" s="338">
        <f t="shared" si="18"/>
        <v>0.49254569508781054</v>
      </c>
      <c r="M115" s="338">
        <f t="shared" si="19"/>
        <v>0.27049358174457977</v>
      </c>
      <c r="N115" s="338">
        <f t="shared" si="20"/>
        <v>0.23696072316760966</v>
      </c>
      <c r="Q115" s="3">
        <v>2016</v>
      </c>
      <c r="R115" s="707">
        <f>Paper!F118</f>
        <v>206.46341145396693</v>
      </c>
      <c r="S115" s="335">
        <f t="shared" si="14"/>
        <v>381.89999999999986</v>
      </c>
      <c r="T115" s="707">
        <f>Paper!G118</f>
        <v>230.29045599999998</v>
      </c>
      <c r="V115" s="335">
        <f t="shared" si="21"/>
        <v>1348.8256275109718</v>
      </c>
      <c r="W115" s="335">
        <f t="shared" si="22"/>
        <v>793.81594738375088</v>
      </c>
      <c r="X115" s="335">
        <f t="shared" si="23"/>
        <v>435.94354999999996</v>
      </c>
      <c r="Y115" s="335">
        <f t="shared" si="24"/>
        <v>119.06613012722093</v>
      </c>
      <c r="Z115" s="338">
        <f t="shared" si="25"/>
        <v>0.58852377297175407</v>
      </c>
      <c r="AA115" s="338">
        <f t="shared" si="26"/>
        <v>0.32320230362501312</v>
      </c>
      <c r="AB115" s="338">
        <f t="shared" si="27"/>
        <v>8.8273923403232799E-2</v>
      </c>
      <c r="AC115" s="338">
        <f t="shared" si="28"/>
        <v>0.32894247387513831</v>
      </c>
      <c r="AE115" s="346">
        <f>MIN('WTE Tonnes and Composition'!G69,V115)</f>
        <v>159.07322452483973</v>
      </c>
      <c r="AF115" s="335">
        <f t="shared" ref="AF115:AF159" si="42">AF$111*Z115</f>
        <v>0.88235096194975371</v>
      </c>
      <c r="AG115" s="335">
        <f t="shared" si="35"/>
        <v>1.1471994102992449</v>
      </c>
      <c r="AH115" s="335">
        <f t="shared" si="35"/>
        <v>0.18720435031486646</v>
      </c>
      <c r="AI115" s="335">
        <f t="shared" si="36"/>
        <v>2.2167547225638651</v>
      </c>
      <c r="AK115" s="335">
        <f t="shared" si="29"/>
        <v>1189.752402986132</v>
      </c>
      <c r="AL115" s="338">
        <f t="shared" si="30"/>
        <v>0.5919166184010608</v>
      </c>
      <c r="AM115" s="335">
        <f t="shared" si="31"/>
        <v>700.19757310760917</v>
      </c>
      <c r="AN115" s="335">
        <f t="shared" si="32"/>
        <v>384.53071738851281</v>
      </c>
      <c r="AO115" s="335">
        <f t="shared" si="33"/>
        <v>105.02411249000997</v>
      </c>
      <c r="AP115" s="335">
        <f t="shared" si="37"/>
        <v>138.8168607207304</v>
      </c>
      <c r="AQ115" s="335">
        <f t="shared" si="38"/>
        <v>107.69169041008763</v>
      </c>
      <c r="AR115" s="335">
        <f t="shared" si="39"/>
        <v>36.014085683908078</v>
      </c>
      <c r="AS115" s="335">
        <f t="shared" si="40"/>
        <v>282.52263681472613</v>
      </c>
      <c r="AT115" s="335">
        <f t="shared" si="41"/>
        <v>0.23746338826938201</v>
      </c>
    </row>
    <row r="116" spans="2:46" ht="14.4" x14ac:dyDescent="0.55000000000000004">
      <c r="B116" s="3">
        <v>2017</v>
      </c>
      <c r="C116" s="707">
        <f>Compost!E110</f>
        <v>142.0389197189572</v>
      </c>
      <c r="D116" s="338">
        <f t="shared" si="15"/>
        <v>0.1453694516882289</v>
      </c>
      <c r="F116" s="3">
        <v>2017</v>
      </c>
      <c r="G116" s="707">
        <f>'H&amp;C Recycling'!E110</f>
        <v>283.94991370375845</v>
      </c>
      <c r="H116" s="338">
        <f t="shared" si="16"/>
        <v>0.38462533934717597</v>
      </c>
      <c r="J116" s="3">
        <v>2017</v>
      </c>
      <c r="K116" s="335">
        <f t="shared" si="17"/>
        <v>1697.3353780180928</v>
      </c>
      <c r="L116" s="338">
        <f t="shared" si="18"/>
        <v>0.49197717818921965</v>
      </c>
      <c r="M116" s="338">
        <f t="shared" si="19"/>
        <v>0.26765526729859068</v>
      </c>
      <c r="N116" s="338">
        <f t="shared" si="20"/>
        <v>0.24036755451218958</v>
      </c>
      <c r="Q116" s="3">
        <v>2017</v>
      </c>
      <c r="R116" s="707">
        <f>Paper!F119</f>
        <v>209.65608848106467</v>
      </c>
      <c r="S116" s="335">
        <f t="shared" si="14"/>
        <v>407.98435400123185</v>
      </c>
      <c r="T116" s="707">
        <f>Paper!G119</f>
        <v>233.851586</v>
      </c>
      <c r="V116" s="335">
        <f t="shared" si="21"/>
        <v>1431.3974895944225</v>
      </c>
      <c r="W116" s="335">
        <f t="shared" si="22"/>
        <v>835.05026971807376</v>
      </c>
      <c r="X116" s="335">
        <f t="shared" si="23"/>
        <v>454.30075429878713</v>
      </c>
      <c r="Y116" s="335">
        <f t="shared" si="24"/>
        <v>142.04646557756161</v>
      </c>
      <c r="Z116" s="338">
        <f t="shared" si="25"/>
        <v>0.58338111935258463</v>
      </c>
      <c r="AA116" s="338">
        <f t="shared" si="26"/>
        <v>0.31738266805785054</v>
      </c>
      <c r="AB116" s="338">
        <f t="shared" si="27"/>
        <v>9.9236212589564887E-2</v>
      </c>
      <c r="AC116" s="338">
        <f t="shared" si="28"/>
        <v>0.32586955779912219</v>
      </c>
      <c r="AE116" s="346">
        <f>MIN('WTE Tonnes and Composition'!G70,V116)</f>
        <v>162.84287810907378</v>
      </c>
      <c r="AF116" s="335">
        <f t="shared" si="42"/>
        <v>0.87464078000597978</v>
      </c>
      <c r="AG116" s="335">
        <f t="shared" si="35"/>
        <v>1.1265427428933361</v>
      </c>
      <c r="AH116" s="335">
        <f t="shared" si="35"/>
        <v>0.21045230561098088</v>
      </c>
      <c r="AI116" s="335">
        <f t="shared" si="36"/>
        <v>2.2116358285102971</v>
      </c>
      <c r="AK116" s="335">
        <f t="shared" si="29"/>
        <v>1268.5546114853487</v>
      </c>
      <c r="AL116" s="338">
        <f t="shared" si="30"/>
        <v>0.59743801942735575</v>
      </c>
      <c r="AM116" s="335">
        <f t="shared" si="31"/>
        <v>740.05080920820581</v>
      </c>
      <c r="AN116" s="335">
        <f t="shared" si="32"/>
        <v>402.61724717030995</v>
      </c>
      <c r="AO116" s="335">
        <f t="shared" si="33"/>
        <v>125.88655510683296</v>
      </c>
      <c r="AP116" s="335">
        <f t="shared" si="37"/>
        <v>146.71791799017154</v>
      </c>
      <c r="AQ116" s="335">
        <f t="shared" si="38"/>
        <v>112.7570047732213</v>
      </c>
      <c r="AR116" s="335">
        <f t="shared" si="39"/>
        <v>43.168078973300048</v>
      </c>
      <c r="AS116" s="335">
        <f t="shared" si="40"/>
        <v>302.6430017366929</v>
      </c>
      <c r="AT116" s="335">
        <f t="shared" si="41"/>
        <v>0.23857309649627828</v>
      </c>
    </row>
    <row r="117" spans="2:46" ht="14.4" x14ac:dyDescent="0.55000000000000004">
      <c r="B117" s="3">
        <v>2018</v>
      </c>
      <c r="C117" s="707">
        <f>Compost!E111</f>
        <v>152.53733682166535</v>
      </c>
      <c r="D117" s="338">
        <f t="shared" si="15"/>
        <v>0.15282308024276223</v>
      </c>
      <c r="F117" s="3">
        <v>2018</v>
      </c>
      <c r="G117" s="707">
        <f>'H&amp;C Recycling'!E111</f>
        <v>292.60634965639559</v>
      </c>
      <c r="H117" s="338">
        <f t="shared" si="16"/>
        <v>0.39164345509026899</v>
      </c>
      <c r="J117" s="3">
        <v>2018</v>
      </c>
      <c r="K117" s="335">
        <f t="shared" si="17"/>
        <v>1715.5606432509373</v>
      </c>
      <c r="L117" s="338">
        <f t="shared" si="18"/>
        <v>0.49289595233097389</v>
      </c>
      <c r="M117" s="338">
        <f t="shared" si="19"/>
        <v>0.26493844509890679</v>
      </c>
      <c r="N117" s="338">
        <f t="shared" si="20"/>
        <v>0.24216560257011946</v>
      </c>
      <c r="Q117" s="3">
        <v>2018</v>
      </c>
      <c r="R117" s="707">
        <f>Paper!F120</f>
        <v>205.89459751022355</v>
      </c>
      <c r="S117" s="335">
        <f t="shared" si="14"/>
        <v>415.44977691844497</v>
      </c>
      <c r="T117" s="707">
        <f>Paper!G120</f>
        <v>229.65599771239667</v>
      </c>
      <c r="V117" s="335">
        <f t="shared" si="21"/>
        <v>1454.2808182727024</v>
      </c>
      <c r="W117" s="335">
        <f t="shared" si="22"/>
        <v>845.59289703670891</v>
      </c>
      <c r="X117" s="335">
        <f t="shared" si="23"/>
        <v>454.51796929578364</v>
      </c>
      <c r="Y117" s="335">
        <f t="shared" si="24"/>
        <v>154.16995194020993</v>
      </c>
      <c r="Z117" s="338">
        <f t="shared" si="25"/>
        <v>0.58145090440032599</v>
      </c>
      <c r="AA117" s="338">
        <f t="shared" si="26"/>
        <v>0.31253796624755714</v>
      </c>
      <c r="AB117" s="338">
        <f t="shared" si="27"/>
        <v>0.10601112935211694</v>
      </c>
      <c r="AC117" s="338">
        <f t="shared" si="28"/>
        <v>0.32694131341186217</v>
      </c>
      <c r="AE117" s="346">
        <f>MIN('WTE Tonnes and Composition'!G71,V117)</f>
        <v>165.19016908698848</v>
      </c>
      <c r="AF117" s="335">
        <f t="shared" si="42"/>
        <v>0.87174688327977745</v>
      </c>
      <c r="AG117" s="335">
        <f t="shared" si="35"/>
        <v>1.1093465812400685</v>
      </c>
      <c r="AH117" s="335">
        <f t="shared" si="35"/>
        <v>0.22482001288028763</v>
      </c>
      <c r="AI117" s="335">
        <f t="shared" si="36"/>
        <v>2.2059134774001334</v>
      </c>
      <c r="AK117" s="335">
        <f t="shared" si="29"/>
        <v>1289.090649185714</v>
      </c>
      <c r="AL117" s="338">
        <f t="shared" si="30"/>
        <v>0.59660668581498855</v>
      </c>
      <c r="AM117" s="335">
        <f t="shared" si="31"/>
        <v>749.54292382303674</v>
      </c>
      <c r="AN117" s="335">
        <f t="shared" si="32"/>
        <v>402.8897698052462</v>
      </c>
      <c r="AO117" s="335">
        <f t="shared" si="33"/>
        <v>136.65795555743114</v>
      </c>
      <c r="AP117" s="335">
        <f t="shared" si="37"/>
        <v>148.59976620421796</v>
      </c>
      <c r="AQ117" s="335">
        <f t="shared" si="38"/>
        <v>112.83332747490456</v>
      </c>
      <c r="AR117" s="335">
        <f t="shared" si="39"/>
        <v>46.861727313346037</v>
      </c>
      <c r="AS117" s="335">
        <f t="shared" si="40"/>
        <v>308.29482099246854</v>
      </c>
      <c r="AT117" s="335">
        <f t="shared" si="41"/>
        <v>0.23915682049762024</v>
      </c>
    </row>
    <row r="118" spans="2:46" ht="14.4" x14ac:dyDescent="0.55000000000000004">
      <c r="B118" s="3">
        <v>2019</v>
      </c>
      <c r="C118" s="707">
        <f>Compost!E112</f>
        <v>208.63641873603882</v>
      </c>
      <c r="D118" s="338">
        <f t="shared" si="15"/>
        <v>0.21911550394266796</v>
      </c>
      <c r="F118" s="3">
        <v>2019</v>
      </c>
      <c r="G118" s="707">
        <f>'H&amp;C Recycling'!E112</f>
        <v>309.01715799725685</v>
      </c>
      <c r="H118" s="338">
        <f t="shared" si="16"/>
        <v>0.40903712969090023</v>
      </c>
      <c r="J118" s="3">
        <v>2019</v>
      </c>
      <c r="K118" s="335">
        <f t="shared" si="17"/>
        <v>1613.2041747845956</v>
      </c>
      <c r="L118" s="338">
        <f t="shared" si="18"/>
        <v>0.46090824218484749</v>
      </c>
      <c r="M118" s="338">
        <f t="shared" si="19"/>
        <v>0.27675196937004654</v>
      </c>
      <c r="N118" s="338">
        <f t="shared" si="20"/>
        <v>0.26233978844510614</v>
      </c>
      <c r="Q118" s="3">
        <v>2019</v>
      </c>
      <c r="R118" s="707">
        <f>Paper!F121</f>
        <v>230.62762422491744</v>
      </c>
      <c r="S118" s="335">
        <f t="shared" si="14"/>
        <v>423.20764193175285</v>
      </c>
      <c r="T118" s="707">
        <f>Paper!G121</f>
        <v>257.2433554930123</v>
      </c>
      <c r="V118" s="335">
        <f t="shared" si="21"/>
        <v>1324.8100307525219</v>
      </c>
      <c r="W118" s="335">
        <f t="shared" si="22"/>
        <v>743.53910048522539</v>
      </c>
      <c r="X118" s="335">
        <f t="shared" si="23"/>
        <v>446.45743236761757</v>
      </c>
      <c r="Y118" s="335">
        <f t="shared" si="24"/>
        <v>134.81349789967919</v>
      </c>
      <c r="Z118" s="338">
        <f t="shared" si="25"/>
        <v>0.56124205223814505</v>
      </c>
      <c r="AA118" s="338">
        <f t="shared" si="26"/>
        <v>0.33699732188321346</v>
      </c>
      <c r="AB118" s="338">
        <f t="shared" si="27"/>
        <v>0.10176062587864171</v>
      </c>
      <c r="AC118" s="338">
        <f t="shared" si="28"/>
        <v>0.37827382902082074</v>
      </c>
      <c r="AE118" s="346">
        <f>MIN('WTE Tonnes and Composition'!G72,V118)</f>
        <v>246.60823880527803</v>
      </c>
      <c r="AF118" s="335">
        <f t="shared" si="42"/>
        <v>0.84144853177026835</v>
      </c>
      <c r="AG118" s="335">
        <f t="shared" si="35"/>
        <v>1.1961645217275225</v>
      </c>
      <c r="AH118" s="335">
        <f t="shared" si="35"/>
        <v>0.21580588151979263</v>
      </c>
      <c r="AI118" s="335">
        <f t="shared" si="36"/>
        <v>2.2534189350175837</v>
      </c>
      <c r="AK118" s="335">
        <f t="shared" si="29"/>
        <v>1078.2017919472439</v>
      </c>
      <c r="AL118" s="338">
        <f t="shared" si="30"/>
        <v>0.50599426037669559</v>
      </c>
      <c r="AM118" s="335">
        <f t="shared" si="31"/>
        <v>605.13218643931668</v>
      </c>
      <c r="AN118" s="335">
        <f t="shared" si="32"/>
        <v>363.35111633590293</v>
      </c>
      <c r="AO118" s="335">
        <f t="shared" si="33"/>
        <v>109.71848917202458</v>
      </c>
      <c r="AP118" s="335">
        <f t="shared" si="37"/>
        <v>119.96978234265865</v>
      </c>
      <c r="AQ118" s="335">
        <f t="shared" si="38"/>
        <v>101.76013036448965</v>
      </c>
      <c r="AR118" s="335">
        <f t="shared" si="39"/>
        <v>37.62384633839298</v>
      </c>
      <c r="AS118" s="335">
        <f t="shared" si="40"/>
        <v>259.35375904554127</v>
      </c>
      <c r="AT118" s="335">
        <f t="shared" si="41"/>
        <v>0.24054287516731504</v>
      </c>
    </row>
    <row r="119" spans="2:46" ht="14.4" x14ac:dyDescent="0.55000000000000004">
      <c r="B119" s="3">
        <v>2020</v>
      </c>
      <c r="C119" s="707">
        <f>Compost!E113</f>
        <v>237.77746593076361</v>
      </c>
      <c r="D119" s="338">
        <f t="shared" si="15"/>
        <v>0.26234951576796167</v>
      </c>
      <c r="F119" s="3">
        <v>2020</v>
      </c>
      <c r="G119" s="707">
        <f>'H&amp;C Recycling'!E113</f>
        <v>320.55968862241934</v>
      </c>
      <c r="H119" s="338">
        <f t="shared" si="16"/>
        <v>0.41970773126950051</v>
      </c>
      <c r="J119" s="3">
        <v>2020</v>
      </c>
      <c r="K119" s="335">
        <f t="shared" si="17"/>
        <v>1543.1291461475569</v>
      </c>
      <c r="L119" s="338">
        <f t="shared" si="18"/>
        <v>0.43325021317842383</v>
      </c>
      <c r="M119" s="338">
        <f t="shared" si="19"/>
        <v>0.28721455765952086</v>
      </c>
      <c r="N119" s="338">
        <f t="shared" si="20"/>
        <v>0.27953522916205537</v>
      </c>
      <c r="Q119" s="3">
        <v>2020</v>
      </c>
      <c r="R119" s="707">
        <f>Paper!F122</f>
        <v>239.14944488470735</v>
      </c>
      <c r="S119" s="335">
        <f t="shared" si="14"/>
        <v>431.35895949500411</v>
      </c>
      <c r="T119" s="707">
        <f>Paper!G122</f>
        <v>266.74864241950871</v>
      </c>
      <c r="V119" s="335">
        <f t="shared" si="21"/>
        <v>1245.7098753082928</v>
      </c>
      <c r="W119" s="335">
        <f t="shared" si="22"/>
        <v>668.56103153026811</v>
      </c>
      <c r="X119" s="335">
        <f t="shared" si="23"/>
        <v>443.20915512228464</v>
      </c>
      <c r="Y119" s="335">
        <f t="shared" si="24"/>
        <v>133.93968865573999</v>
      </c>
      <c r="Z119" s="338">
        <f t="shared" si="25"/>
        <v>0.53669080159199201</v>
      </c>
      <c r="AA119" s="338">
        <f t="shared" si="26"/>
        <v>0.35578842546511691</v>
      </c>
      <c r="AB119" s="338">
        <f t="shared" si="27"/>
        <v>0.10752077294289097</v>
      </c>
      <c r="AC119" s="338">
        <f t="shared" si="28"/>
        <v>0.40721872394865077</v>
      </c>
      <c r="AE119" s="346">
        <f>MIN('WTE Tonnes and Composition'!G73,V119)</f>
        <v>273.17799049209589</v>
      </c>
      <c r="AF119" s="335">
        <f t="shared" si="42"/>
        <v>0.80463978993250684</v>
      </c>
      <c r="AG119" s="335">
        <f t="shared" si="35"/>
        <v>1.262863127233264</v>
      </c>
      <c r="AH119" s="335">
        <f t="shared" si="35"/>
        <v>0.22802154552687559</v>
      </c>
      <c r="AI119" s="335">
        <f t="shared" si="36"/>
        <v>2.2955244626926468</v>
      </c>
      <c r="AK119" s="335">
        <f>V119-AE119</f>
        <v>972.53188481619691</v>
      </c>
      <c r="AL119" s="338">
        <f t="shared" si="30"/>
        <v>0.46278728547391096</v>
      </c>
      <c r="AM119" s="335">
        <f t="shared" si="31"/>
        <v>521.94891683577555</v>
      </c>
      <c r="AN119" s="335">
        <f t="shared" si="32"/>
        <v>346.01558801337711</v>
      </c>
      <c r="AO119" s="335">
        <f t="shared" si="33"/>
        <v>104.5673799670441</v>
      </c>
      <c r="AP119" s="335">
        <f t="shared" si="37"/>
        <v>103.47837935249846</v>
      </c>
      <c r="AQ119" s="335">
        <f t="shared" si="38"/>
        <v>96.905141504604813</v>
      </c>
      <c r="AR119" s="335">
        <f t="shared" si="39"/>
        <v>35.857466372144934</v>
      </c>
      <c r="AS119" s="335">
        <f t="shared" si="40"/>
        <v>236.24098722924822</v>
      </c>
      <c r="AT119" s="335">
        <f t="shared" si="41"/>
        <v>0.24291335936394151</v>
      </c>
    </row>
    <row r="120" spans="2:46" ht="14.4" x14ac:dyDescent="0.55000000000000004">
      <c r="B120" s="3">
        <v>2021</v>
      </c>
      <c r="C120" s="707">
        <f>Compost!E114</f>
        <v>267.54146387924328</v>
      </c>
      <c r="D120" s="338">
        <f t="shared" si="15"/>
        <v>0.3113307193090229</v>
      </c>
      <c r="F120" s="3">
        <v>2021</v>
      </c>
      <c r="G120" s="707">
        <f>'H&amp;C Recycling'!E114</f>
        <v>331.80889983534553</v>
      </c>
      <c r="H120" s="338">
        <f t="shared" si="16"/>
        <v>0.43038938405800281</v>
      </c>
      <c r="J120" s="3">
        <v>2021</v>
      </c>
      <c r="K120" s="335">
        <f t="shared" si="17"/>
        <v>1470.2304017510889</v>
      </c>
      <c r="L120" s="338">
        <f t="shared" si="18"/>
        <v>0.40252646190641012</v>
      </c>
      <c r="M120" s="338">
        <f t="shared" si="19"/>
        <v>0.29868894976325638</v>
      </c>
      <c r="N120" s="338">
        <f t="shared" si="20"/>
        <v>0.2987845883303335</v>
      </c>
      <c r="Q120" s="3">
        <v>2021</v>
      </c>
      <c r="R120" s="707">
        <f>Paper!F123</f>
        <v>248.63788332164944</v>
      </c>
      <c r="S120" s="335">
        <f t="shared" si="14"/>
        <v>439.28218533793995</v>
      </c>
      <c r="T120" s="707">
        <f>Paper!G123</f>
        <v>277.33210027765085</v>
      </c>
      <c r="V120" s="335">
        <f t="shared" si="21"/>
        <v>1162.938825398684</v>
      </c>
      <c r="W120" s="335">
        <f t="shared" si="22"/>
        <v>591.80664180410577</v>
      </c>
      <c r="X120" s="335">
        <f t="shared" si="23"/>
        <v>439.14157460904323</v>
      </c>
      <c r="Y120" s="335">
        <f t="shared" si="24"/>
        <v>131.99060898553506</v>
      </c>
      <c r="Z120" s="338">
        <f t="shared" si="25"/>
        <v>0.50888888467647464</v>
      </c>
      <c r="AA120" s="338">
        <f t="shared" si="26"/>
        <v>0.37761365002023622</v>
      </c>
      <c r="AB120" s="338">
        <f t="shared" si="27"/>
        <v>0.11349746530328922</v>
      </c>
      <c r="AC120" s="338">
        <f t="shared" si="28"/>
        <v>0.43807999919393803</v>
      </c>
      <c r="AE120" s="346">
        <f>MIN('WTE Tonnes and Composition'!G74,V120)</f>
        <v>297.36425092534949</v>
      </c>
      <c r="AF120" s="335">
        <f t="shared" si="42"/>
        <v>0.76295744970930024</v>
      </c>
      <c r="AG120" s="335">
        <f t="shared" si="35"/>
        <v>1.3403312778573728</v>
      </c>
      <c r="AH120" s="335">
        <f t="shared" si="35"/>
        <v>0.2406964416595562</v>
      </c>
      <c r="AI120" s="335">
        <f t="shared" si="36"/>
        <v>2.3439851692262295</v>
      </c>
      <c r="AK120" s="335">
        <f t="shared" si="29"/>
        <v>865.57457447333445</v>
      </c>
      <c r="AL120" s="338">
        <f t="shared" si="30"/>
        <v>0.41823667329966263</v>
      </c>
      <c r="AM120" s="335">
        <f t="shared" si="31"/>
        <v>440.48127980804929</v>
      </c>
      <c r="AN120" s="335">
        <f t="shared" si="32"/>
        <v>326.85277443158861</v>
      </c>
      <c r="AO120" s="335">
        <f t="shared" si="33"/>
        <v>98.2405202336966</v>
      </c>
      <c r="AP120" s="335">
        <f t="shared" si="37"/>
        <v>87.327107116102297</v>
      </c>
      <c r="AQ120" s="335">
        <f t="shared" si="38"/>
        <v>91.53840305090894</v>
      </c>
      <c r="AR120" s="335">
        <f t="shared" si="39"/>
        <v>33.68790680011314</v>
      </c>
      <c r="AS120" s="335">
        <f t="shared" si="40"/>
        <v>212.55341696712435</v>
      </c>
      <c r="AT120" s="335">
        <f t="shared" si="41"/>
        <v>0.24556337863372907</v>
      </c>
    </row>
    <row r="121" spans="2:46" ht="14.4" x14ac:dyDescent="0.55000000000000004">
      <c r="B121" s="3">
        <v>2022</v>
      </c>
      <c r="C121" s="707">
        <f>Compost!E115</f>
        <v>298.22753525843081</v>
      </c>
      <c r="D121" s="338">
        <f t="shared" si="15"/>
        <v>0.36697388775733475</v>
      </c>
      <c r="F121" s="3">
        <v>2022</v>
      </c>
      <c r="G121" s="707">
        <f>'H&amp;C Recycling'!E115</f>
        <v>343.20280212386456</v>
      </c>
      <c r="H121" s="338">
        <f t="shared" si="16"/>
        <v>0.44107977324096637</v>
      </c>
      <c r="J121" s="3">
        <v>2022</v>
      </c>
      <c r="K121" s="335">
        <f t="shared" si="17"/>
        <v>1396.9054132008564</v>
      </c>
      <c r="L121" s="338">
        <f t="shared" si="18"/>
        <v>0.36827072860836285</v>
      </c>
      <c r="M121" s="338">
        <f t="shared" si="19"/>
        <v>0.31132680067909146</v>
      </c>
      <c r="N121" s="338">
        <f t="shared" si="20"/>
        <v>0.32040247071254568</v>
      </c>
      <c r="Q121" s="3">
        <v>2022</v>
      </c>
      <c r="R121" s="707">
        <f>Paper!F124</f>
        <v>258.73580451530472</v>
      </c>
      <c r="S121" s="335">
        <f t="shared" si="14"/>
        <v>447.57194574128391</v>
      </c>
      <c r="T121" s="707">
        <f>Paper!G124</f>
        <v>288.59537864722978</v>
      </c>
      <c r="V121" s="335">
        <f t="shared" si="21"/>
        <v>1079.0418524405195</v>
      </c>
      <c r="W121" s="335">
        <f t="shared" si="22"/>
        <v>514.43937431644554</v>
      </c>
      <c r="X121" s="335">
        <f t="shared" si="23"/>
        <v>434.89409314312695</v>
      </c>
      <c r="Y121" s="335">
        <f t="shared" si="24"/>
        <v>129.70838498094719</v>
      </c>
      <c r="Z121" s="338">
        <f t="shared" si="25"/>
        <v>0.47675571911591186</v>
      </c>
      <c r="AA121" s="338">
        <f t="shared" si="26"/>
        <v>0.40303727993451471</v>
      </c>
      <c r="AB121" s="338">
        <f t="shared" si="27"/>
        <v>0.12020700094957361</v>
      </c>
      <c r="AC121" s="338">
        <f t="shared" si="28"/>
        <v>0.47062604768041083</v>
      </c>
      <c r="AE121" s="346">
        <f>MIN('WTE Tonnes and Composition'!G75,V121)</f>
        <v>322.81854120686864</v>
      </c>
      <c r="AF121" s="335">
        <f t="shared" si="42"/>
        <v>0.71478143568069774</v>
      </c>
      <c r="AG121" s="335">
        <f t="shared" si="35"/>
        <v>1.4305718885157845</v>
      </c>
      <c r="AH121" s="335">
        <f t="shared" si="35"/>
        <v>0.25492549383207025</v>
      </c>
      <c r="AI121" s="335">
        <f t="shared" si="36"/>
        <v>2.4002788180285526</v>
      </c>
      <c r="AK121" s="335">
        <f t="shared" si="29"/>
        <v>756.22331123365086</v>
      </c>
      <c r="AL121" s="338">
        <f t="shared" si="30"/>
        <v>0.3710003668518797</v>
      </c>
      <c r="AM121" s="335">
        <f t="shared" si="31"/>
        <v>360.53378855941526</v>
      </c>
      <c r="AN121" s="335">
        <f t="shared" si="32"/>
        <v>304.78618638268262</v>
      </c>
      <c r="AO121" s="335">
        <f t="shared" si="33"/>
        <v>90.903336291553174</v>
      </c>
      <c r="AP121" s="335">
        <f t="shared" si="37"/>
        <v>71.47720962448696</v>
      </c>
      <c r="AQ121" s="335">
        <f t="shared" si="38"/>
        <v>85.358433386304156</v>
      </c>
      <c r="AR121" s="335">
        <f t="shared" si="39"/>
        <v>31.171894382525871</v>
      </c>
      <c r="AS121" s="335">
        <f t="shared" si="40"/>
        <v>188.00753739331697</v>
      </c>
      <c r="AT121" s="335">
        <f t="shared" si="41"/>
        <v>0.24861378193514605</v>
      </c>
    </row>
    <row r="122" spans="2:46" ht="14.4" x14ac:dyDescent="0.55000000000000004">
      <c r="B122" s="3">
        <v>2023</v>
      </c>
      <c r="C122" s="707">
        <f>Compost!E116</f>
        <v>329.73100627172619</v>
      </c>
      <c r="D122" s="338">
        <f t="shared" si="15"/>
        <v>0.43044738304213359</v>
      </c>
      <c r="F122" s="3">
        <v>2023</v>
      </c>
      <c r="G122" s="707">
        <f>'H&amp;C Recycling'!E116</f>
        <v>354.62594985514585</v>
      </c>
      <c r="H122" s="338">
        <f t="shared" si="16"/>
        <v>0.45179575515978826</v>
      </c>
      <c r="J122" s="3">
        <v>2023</v>
      </c>
      <c r="K122" s="335">
        <f t="shared" si="17"/>
        <v>1322.6593098709682</v>
      </c>
      <c r="L122" s="338">
        <f t="shared" si="18"/>
        <v>0.32985690114530869</v>
      </c>
      <c r="M122" s="338">
        <f t="shared" si="19"/>
        <v>0.32532899136310722</v>
      </c>
      <c r="N122" s="338">
        <f t="shared" si="20"/>
        <v>0.34481410749158387</v>
      </c>
      <c r="Q122" s="3">
        <v>2023</v>
      </c>
      <c r="R122" s="707">
        <f>Paper!F125</f>
        <v>269.58488582875958</v>
      </c>
      <c r="S122" s="335">
        <f t="shared" si="14"/>
        <v>456.07158944859214</v>
      </c>
      <c r="T122" s="707">
        <f>Paper!G125</f>
        <v>300.69650525974652</v>
      </c>
      <c r="V122" s="335">
        <f t="shared" si="21"/>
        <v>993.3646130366069</v>
      </c>
      <c r="W122" s="335">
        <f t="shared" si="22"/>
        <v>436.28830122503018</v>
      </c>
      <c r="X122" s="335">
        <f t="shared" si="23"/>
        <v>430.29941919734557</v>
      </c>
      <c r="Y122" s="335">
        <f t="shared" si="24"/>
        <v>126.77689261423092</v>
      </c>
      <c r="Z122" s="338">
        <f t="shared" si="25"/>
        <v>0.43920258030064568</v>
      </c>
      <c r="AA122" s="338">
        <f t="shared" si="26"/>
        <v>0.43317369428126429</v>
      </c>
      <c r="AB122" s="338">
        <f t="shared" si="27"/>
        <v>0.12762372541808978</v>
      </c>
      <c r="AC122" s="338">
        <f t="shared" si="28"/>
        <v>0.505054029772534</v>
      </c>
      <c r="AE122" s="346">
        <f>MIN('WTE Tonnes and Composition'!G76,V122)</f>
        <v>348.23572707903827</v>
      </c>
      <c r="AF122" s="335">
        <f t="shared" si="42"/>
        <v>0.65847946508982913</v>
      </c>
      <c r="AG122" s="335">
        <f t="shared" si="35"/>
        <v>1.5375404230199092</v>
      </c>
      <c r="AH122" s="335">
        <f t="shared" si="35"/>
        <v>0.27065429608832176</v>
      </c>
      <c r="AI122" s="335">
        <f t="shared" si="36"/>
        <v>2.4666741841980602</v>
      </c>
      <c r="AK122" s="335">
        <f t="shared" si="29"/>
        <v>645.12888595756863</v>
      </c>
      <c r="AL122" s="338">
        <f t="shared" si="30"/>
        <v>0.32143679993386903</v>
      </c>
      <c r="AM122" s="335">
        <f t="shared" si="31"/>
        <v>283.34227133904511</v>
      </c>
      <c r="AN122" s="335">
        <f t="shared" si="32"/>
        <v>279.45286281779647</v>
      </c>
      <c r="AO122" s="335">
        <f t="shared" si="33"/>
        <v>82.333751800726887</v>
      </c>
      <c r="AP122" s="335">
        <f t="shared" si="37"/>
        <v>56.17369457909107</v>
      </c>
      <c r="AQ122" s="335">
        <f t="shared" si="38"/>
        <v>78.263581622740489</v>
      </c>
      <c r="AR122" s="335">
        <f t="shared" si="39"/>
        <v>28.233276356522893</v>
      </c>
      <c r="AS122" s="335">
        <f t="shared" si="40"/>
        <v>162.67055255835447</v>
      </c>
      <c r="AT122" s="335">
        <f t="shared" si="41"/>
        <v>0.25215202124595865</v>
      </c>
    </row>
    <row r="123" spans="2:46" ht="14.4" x14ac:dyDescent="0.55000000000000004">
      <c r="B123" s="3">
        <v>2024</v>
      </c>
      <c r="C123" s="707">
        <f>Compost!E117</f>
        <v>362.02305206042257</v>
      </c>
      <c r="D123" s="338">
        <f t="shared" si="15"/>
        <v>0.50325839709338405</v>
      </c>
      <c r="F123" s="3">
        <v>2024</v>
      </c>
      <c r="G123" s="707">
        <f>'H&amp;C Recycling'!E117</f>
        <v>366.06615406222107</v>
      </c>
      <c r="H123" s="338">
        <f t="shared" si="16"/>
        <v>0.46249597451882679</v>
      </c>
      <c r="J123" s="3">
        <v>2024</v>
      </c>
      <c r="K123" s="335">
        <f t="shared" si="17"/>
        <v>1247.5340740998176</v>
      </c>
      <c r="L123" s="338">
        <f t="shared" si="18"/>
        <v>0.28643317258974793</v>
      </c>
      <c r="M123" s="338">
        <f t="shared" si="19"/>
        <v>0.34102084340267186</v>
      </c>
      <c r="N123" s="338">
        <f t="shared" si="20"/>
        <v>0.37254598400758021</v>
      </c>
      <c r="Q123" s="3">
        <v>2024</v>
      </c>
      <c r="R123" s="707">
        <f>Paper!F126</f>
        <v>281.16008035390769</v>
      </c>
      <c r="S123" s="335">
        <f t="shared" si="14"/>
        <v>464.76380921850205</v>
      </c>
      <c r="T123" s="707">
        <f>Paper!G126</f>
        <v>313.60754265234232</v>
      </c>
      <c r="V123" s="335">
        <f t="shared" si="21"/>
        <v>905.97398599605378</v>
      </c>
      <c r="W123" s="335">
        <f t="shared" si="22"/>
        <v>357.33514275822444</v>
      </c>
      <c r="X123" s="335">
        <f t="shared" si="23"/>
        <v>425.43512212309116</v>
      </c>
      <c r="Y123" s="335">
        <f t="shared" si="24"/>
        <v>123.20372111473819</v>
      </c>
      <c r="Z123" s="338">
        <f t="shared" si="25"/>
        <v>0.39442097486426164</v>
      </c>
      <c r="AA123" s="338">
        <f t="shared" si="26"/>
        <v>0.46958867329436133</v>
      </c>
      <c r="AB123" s="338">
        <f t="shared" si="27"/>
        <v>0.13599035184137709</v>
      </c>
      <c r="AC123" s="338">
        <f t="shared" si="28"/>
        <v>0.54142371419411583</v>
      </c>
      <c r="AE123" s="346">
        <f>MIN('WTE Tonnes and Composition'!G77,V123)</f>
        <v>373.61608173336145</v>
      </c>
      <c r="AF123" s="335">
        <f t="shared" si="42"/>
        <v>0.59134013368283056</v>
      </c>
      <c r="AG123" s="335">
        <f t="shared" si="35"/>
        <v>1.6667945835915892</v>
      </c>
      <c r="AH123" s="335">
        <f t="shared" si="35"/>
        <v>0.28839757523027204</v>
      </c>
      <c r="AI123" s="335">
        <f t="shared" si="36"/>
        <v>2.5465322925046916</v>
      </c>
      <c r="AK123" s="335">
        <f t="shared" si="29"/>
        <v>532.35790426269227</v>
      </c>
      <c r="AL123" s="338">
        <f t="shared" si="30"/>
        <v>0.26946326741135951</v>
      </c>
      <c r="AM123" s="335">
        <f t="shared" si="31"/>
        <v>209.97312357598636</v>
      </c>
      <c r="AN123" s="335">
        <f t="shared" si="32"/>
        <v>249.98924198048428</v>
      </c>
      <c r="AO123" s="335">
        <f t="shared" si="33"/>
        <v>72.395538706221657</v>
      </c>
      <c r="AP123" s="335">
        <f t="shared" si="37"/>
        <v>41.627978973393077</v>
      </c>
      <c r="AQ123" s="335">
        <f t="shared" si="38"/>
        <v>70.011998614961712</v>
      </c>
      <c r="AR123" s="335">
        <f t="shared" si="39"/>
        <v>24.825338413086389</v>
      </c>
      <c r="AS123" s="335">
        <f t="shared" si="40"/>
        <v>136.46531600144118</v>
      </c>
      <c r="AT123" s="335">
        <f t="shared" si="41"/>
        <v>0.25634129766598207</v>
      </c>
    </row>
    <row r="124" spans="2:46" ht="14.4" x14ac:dyDescent="0.55000000000000004">
      <c r="B124" s="3">
        <v>2025</v>
      </c>
      <c r="C124" s="707">
        <f>Compost!E118</f>
        <v>394.54737333532785</v>
      </c>
      <c r="D124" s="338">
        <f t="shared" si="15"/>
        <v>0.58776024030748608</v>
      </c>
      <c r="F124" s="3">
        <v>2025</v>
      </c>
      <c r="G124" s="707">
        <f>'H&amp;C Recycling'!E118</f>
        <v>377.35071216555531</v>
      </c>
      <c r="H124" s="338">
        <f t="shared" si="16"/>
        <v>0.47322785711831289</v>
      </c>
      <c r="J124" s="3">
        <v>2025</v>
      </c>
      <c r="K124" s="335">
        <f t="shared" si="17"/>
        <v>1171.2266319430692</v>
      </c>
      <c r="L124" s="338">
        <f t="shared" si="18"/>
        <v>0.23626962353621581</v>
      </c>
      <c r="M124" s="338">
        <f t="shared" si="19"/>
        <v>0.35863835447328324</v>
      </c>
      <c r="N124" s="338">
        <f t="shared" si="20"/>
        <v>0.40509202199050082</v>
      </c>
      <c r="Q124" s="3">
        <v>2025</v>
      </c>
      <c r="R124" s="707">
        <f>Paper!F127</f>
        <v>294.38527059661158</v>
      </c>
      <c r="S124" s="335">
        <f t="shared" si="14"/>
        <v>474.45456454294197</v>
      </c>
      <c r="T124" s="707">
        <f>Paper!G127</f>
        <v>328.35899459354056</v>
      </c>
      <c r="V124" s="335">
        <f t="shared" si="21"/>
        <v>815.53850425390203</v>
      </c>
      <c r="W124" s="335">
        <f t="shared" si="22"/>
        <v>276.72527540477893</v>
      </c>
      <c r="X124" s="335">
        <f t="shared" si="23"/>
        <v>420.04679199534809</v>
      </c>
      <c r="Y124" s="335">
        <f t="shared" si="24"/>
        <v>118.76643685377479</v>
      </c>
      <c r="Z124" s="338">
        <f t="shared" si="25"/>
        <v>0.33931601507637205</v>
      </c>
      <c r="AA124" s="338">
        <f t="shared" si="26"/>
        <v>0.5150545189520257</v>
      </c>
      <c r="AB124" s="338">
        <f t="shared" si="27"/>
        <v>0.14562946597160198</v>
      </c>
      <c r="AC124" s="338">
        <f t="shared" si="28"/>
        <v>0.58029533723049587</v>
      </c>
      <c r="AE124" s="346">
        <f>MIN('WTE Tonnes and Composition'!G78,V124)</f>
        <v>396.94034470855428</v>
      </c>
      <c r="AF124" s="335">
        <f t="shared" si="42"/>
        <v>0.50872339582102721</v>
      </c>
      <c r="AG124" s="335">
        <f t="shared" si="35"/>
        <v>1.8281745946318089</v>
      </c>
      <c r="AH124" s="335">
        <f t="shared" si="35"/>
        <v>0.30883944559006976</v>
      </c>
      <c r="AI124" s="335">
        <f t="shared" si="36"/>
        <v>2.6457374360429058</v>
      </c>
      <c r="AK124" s="335">
        <f t="shared" si="29"/>
        <v>418.59815954534776</v>
      </c>
      <c r="AL124" s="338">
        <f t="shared" si="30"/>
        <v>0.21542526621553404</v>
      </c>
      <c r="AM124" s="335">
        <f t="shared" si="31"/>
        <v>142.0370594152308</v>
      </c>
      <c r="AN124" s="335">
        <f t="shared" si="32"/>
        <v>215.6008736988324</v>
      </c>
      <c r="AO124" s="335">
        <f t="shared" si="33"/>
        <v>60.96022643128444</v>
      </c>
      <c r="AP124" s="335">
        <f t="shared" si="37"/>
        <v>28.159393078896027</v>
      </c>
      <c r="AQ124" s="335">
        <f t="shared" si="38"/>
        <v>60.381190611256677</v>
      </c>
      <c r="AR124" s="335">
        <f t="shared" si="39"/>
        <v>20.904026379804424</v>
      </c>
      <c r="AS124" s="335">
        <f t="shared" si="40"/>
        <v>109.44461006995712</v>
      </c>
      <c r="AT124" s="335">
        <f t="shared" si="41"/>
        <v>0.26145506752544795</v>
      </c>
    </row>
    <row r="125" spans="2:46" ht="14.4" x14ac:dyDescent="0.55000000000000004">
      <c r="B125" s="3">
        <v>2026</v>
      </c>
      <c r="C125" s="707">
        <f>Compost!E119</f>
        <v>430.33925383800135</v>
      </c>
      <c r="D125" s="338">
        <f t="shared" si="15"/>
        <v>0.68191547279245923</v>
      </c>
      <c r="F125" s="3">
        <v>2026</v>
      </c>
      <c r="G125" s="707">
        <f>'H&amp;C Recycling'!E119</f>
        <v>390.30014584403017</v>
      </c>
      <c r="H125" s="338">
        <f t="shared" si="16"/>
        <v>0.48444607778604221</v>
      </c>
      <c r="J125" s="3">
        <v>2026</v>
      </c>
      <c r="K125" s="335">
        <f t="shared" si="17"/>
        <v>1100.4273508635708</v>
      </c>
      <c r="L125" s="338">
        <f t="shared" si="18"/>
        <v>0.18241543599125673</v>
      </c>
      <c r="M125" s="338">
        <f t="shared" si="19"/>
        <v>0.37745570041059323</v>
      </c>
      <c r="N125" s="338">
        <f t="shared" si="20"/>
        <v>0.44012886359815018</v>
      </c>
      <c r="Q125" s="3">
        <v>2026</v>
      </c>
      <c r="R125" s="707">
        <f>Paper!F128</f>
        <v>306.46543391614011</v>
      </c>
      <c r="S125" s="335">
        <f t="shared" si="14"/>
        <v>484.32983940790632</v>
      </c>
      <c r="T125" s="707">
        <f>Paper!G128</f>
        <v>341.83327703330821</v>
      </c>
      <c r="V125" s="335">
        <f t="shared" si="21"/>
        <v>731.98266663589959</v>
      </c>
      <c r="W125" s="335">
        <f t="shared" si="22"/>
        <v>200.73493498448192</v>
      </c>
      <c r="X125" s="335">
        <f t="shared" si="23"/>
        <v>415.36257647118276</v>
      </c>
      <c r="Y125" s="335">
        <f t="shared" si="24"/>
        <v>115.88515518023502</v>
      </c>
      <c r="Z125" s="338">
        <f t="shared" si="25"/>
        <v>0.27423454698324273</v>
      </c>
      <c r="AA125" s="338">
        <f t="shared" si="26"/>
        <v>0.56744865063559091</v>
      </c>
      <c r="AB125" s="338">
        <f t="shared" si="27"/>
        <v>0.15831680238116652</v>
      </c>
      <c r="AC125" s="338">
        <f t="shared" si="28"/>
        <v>0.61897072736904679</v>
      </c>
      <c r="AE125" s="346">
        <f>MIN('WTE Tonnes and Composition'!G79,V125)</f>
        <v>423.67644056405226</v>
      </c>
      <c r="AF125" s="335">
        <f t="shared" si="42"/>
        <v>0.41114926438516602</v>
      </c>
      <c r="AG125" s="335">
        <f t="shared" si="35"/>
        <v>2.0141464032989402</v>
      </c>
      <c r="AH125" s="335">
        <f t="shared" si="35"/>
        <v>0.3357457445083718</v>
      </c>
      <c r="AI125" s="335">
        <f t="shared" si="36"/>
        <v>2.761041412192478</v>
      </c>
      <c r="AK125" s="335">
        <f t="shared" si="29"/>
        <v>308.30622607184733</v>
      </c>
      <c r="AL125" s="338">
        <f t="shared" si="30"/>
        <v>0.16048699296070021</v>
      </c>
      <c r="AM125" s="335">
        <f t="shared" si="31"/>
        <v>84.548218238926268</v>
      </c>
      <c r="AN125" s="335">
        <f t="shared" si="32"/>
        <v>174.9479519670212</v>
      </c>
      <c r="AO125" s="335">
        <f t="shared" si="33"/>
        <v>48.810055865899905</v>
      </c>
      <c r="AP125" s="335">
        <f t="shared" si="37"/>
        <v>16.762009304558386</v>
      </c>
      <c r="AQ125" s="335">
        <f t="shared" si="38"/>
        <v>48.995931479970118</v>
      </c>
      <c r="AR125" s="335">
        <f t="shared" si="39"/>
        <v>16.7375804709425</v>
      </c>
      <c r="AS125" s="335">
        <f t="shared" si="40"/>
        <v>82.495521255471004</v>
      </c>
      <c r="AT125" s="335">
        <f t="shared" si="41"/>
        <v>0.26757656602188223</v>
      </c>
    </row>
    <row r="126" spans="2:46" ht="14.4" x14ac:dyDescent="0.55000000000000004">
      <c r="B126" s="3">
        <v>2027</v>
      </c>
      <c r="C126" s="707">
        <f>Compost!E120</f>
        <v>467.24543036622242</v>
      </c>
      <c r="D126" s="338">
        <f t="shared" si="15"/>
        <v>0.78972649920042948</v>
      </c>
      <c r="F126" s="3">
        <v>2027</v>
      </c>
      <c r="G126" s="707">
        <f>'H&amp;C Recycling'!E120</f>
        <v>403.75170312403276</v>
      </c>
      <c r="H126" s="338">
        <f t="shared" si="16"/>
        <v>0.49585559358856002</v>
      </c>
      <c r="J126" s="3">
        <v>2027</v>
      </c>
      <c r="K126" s="335">
        <f t="shared" si="17"/>
        <v>1030.8918272821529</v>
      </c>
      <c r="L126" s="338">
        <f t="shared" si="18"/>
        <v>0.12068125012406927</v>
      </c>
      <c r="M126" s="338">
        <f t="shared" si="19"/>
        <v>0.39819977188592603</v>
      </c>
      <c r="N126" s="338">
        <f t="shared" si="20"/>
        <v>0.48111897799000486</v>
      </c>
      <c r="Q126" s="3">
        <v>2027</v>
      </c>
      <c r="R126" s="707">
        <f>Paper!F129</f>
        <v>320.20754490964924</v>
      </c>
      <c r="S126" s="335">
        <f t="shared" si="14"/>
        <v>495.98162236023802</v>
      </c>
      <c r="T126" s="707">
        <f>Paper!G129</f>
        <v>357.161305301423</v>
      </c>
      <c r="V126" s="335">
        <f t="shared" si="21"/>
        <v>653.95758280729933</v>
      </c>
      <c r="W126" s="335">
        <f t="shared" si="22"/>
        <v>124.40931445909632</v>
      </c>
      <c r="X126" s="335">
        <f t="shared" si="23"/>
        <v>410.50089046281875</v>
      </c>
      <c r="Y126" s="335">
        <f t="shared" si="24"/>
        <v>119.04737788538444</v>
      </c>
      <c r="Z126" s="338">
        <f t="shared" si="25"/>
        <v>0.19024064821610276</v>
      </c>
      <c r="AA126" s="338">
        <f t="shared" si="26"/>
        <v>0.62771791512933706</v>
      </c>
      <c r="AB126" s="338">
        <f t="shared" si="27"/>
        <v>0.18204143665456043</v>
      </c>
      <c r="AC126" s="338">
        <f t="shared" si="28"/>
        <v>0.65615364708688895</v>
      </c>
      <c r="AE126" s="346">
        <f>MIN('WTE Tonnes and Composition'!G80,V126)</f>
        <v>448.33821664518143</v>
      </c>
      <c r="AF126" s="335">
        <f t="shared" si="42"/>
        <v>0.28522045610463265</v>
      </c>
      <c r="AG126" s="335">
        <f t="shared" si="35"/>
        <v>2.228070821259196</v>
      </c>
      <c r="AH126" s="335">
        <f t="shared" si="35"/>
        <v>0.38605907118946353</v>
      </c>
      <c r="AI126" s="335">
        <f t="shared" si="36"/>
        <v>2.8993503485532921</v>
      </c>
      <c r="AK126" s="335">
        <f t="shared" si="29"/>
        <v>205.6193661621179</v>
      </c>
      <c r="AL126" s="338">
        <f t="shared" si="30"/>
        <v>0.10811323394958366</v>
      </c>
      <c r="AM126" s="335">
        <f t="shared" si="31"/>
        <v>39.117161504465493</v>
      </c>
      <c r="AN126" s="335">
        <f t="shared" si="32"/>
        <v>129.0709598375004</v>
      </c>
      <c r="AO126" s="335">
        <f t="shared" si="33"/>
        <v>37.431244820152052</v>
      </c>
      <c r="AP126" s="335">
        <f t="shared" si="37"/>
        <v>7.7551276509797056</v>
      </c>
      <c r="AQ126" s="335">
        <f t="shared" si="38"/>
        <v>36.14761895265999</v>
      </c>
      <c r="AR126" s="335">
        <f t="shared" si="39"/>
        <v>12.835643417948663</v>
      </c>
      <c r="AS126" s="335">
        <f t="shared" si="40"/>
        <v>56.738390021588359</v>
      </c>
      <c r="AT126" s="335">
        <f t="shared" si="41"/>
        <v>0.27593894038586675</v>
      </c>
    </row>
    <row r="127" spans="2:46" ht="14.4" x14ac:dyDescent="0.55000000000000004">
      <c r="B127" s="3">
        <v>2028</v>
      </c>
      <c r="C127" s="707">
        <f>Compost!E121</f>
        <v>505.13209447203724</v>
      </c>
      <c r="D127" s="338">
        <f t="shared" si="15"/>
        <v>0.91340134111067584</v>
      </c>
      <c r="F127" s="3">
        <v>2028</v>
      </c>
      <c r="G127" s="707">
        <f>'H&amp;C Recycling'!E121</f>
        <v>417.25158380289105</v>
      </c>
      <c r="H127" s="338">
        <f t="shared" si="16"/>
        <v>0.50765442986918363</v>
      </c>
      <c r="J127" s="3">
        <v>2028</v>
      </c>
      <c r="K127" s="335">
        <f t="shared" si="17"/>
        <v>960.37397890716716</v>
      </c>
      <c r="L127" s="338">
        <f t="shared" si="18"/>
        <v>4.9867098543725286E-2</v>
      </c>
      <c r="M127" s="338">
        <f t="shared" si="19"/>
        <v>0.42136597514158441</v>
      </c>
      <c r="N127" s="338">
        <f t="shared" si="20"/>
        <v>0.52876692631469036</v>
      </c>
      <c r="Q127" s="3">
        <v>2028</v>
      </c>
      <c r="R127" s="707">
        <f>Paper!F130</f>
        <v>329.084</v>
      </c>
      <c r="S127" s="335">
        <f t="shared" si="14"/>
        <v>507.81399693935202</v>
      </c>
      <c r="T127" s="707">
        <f>Paper!G130</f>
        <v>367.06215347604581</v>
      </c>
      <c r="V127" s="335">
        <f t="shared" si="21"/>
        <v>583.99290949648218</v>
      </c>
      <c r="W127" s="335">
        <f t="shared" si="22"/>
        <v>47.891063844993255</v>
      </c>
      <c r="X127" s="335">
        <f t="shared" si="23"/>
        <v>404.66891812282194</v>
      </c>
      <c r="Y127" s="335">
        <f t="shared" si="24"/>
        <v>131.43292752866699</v>
      </c>
      <c r="Z127" s="338">
        <f t="shared" si="25"/>
        <v>8.2006241970103477E-2</v>
      </c>
      <c r="AA127" s="338">
        <f t="shared" si="26"/>
        <v>0.69293464277113714</v>
      </c>
      <c r="AB127" s="338">
        <f t="shared" si="27"/>
        <v>0.22505911525875932</v>
      </c>
      <c r="AC127" s="338">
        <f t="shared" si="28"/>
        <v>0.68982045709985929</v>
      </c>
      <c r="AE127" s="346">
        <f>MIN('WTE Tonnes and Composition'!G81,V127)</f>
        <v>472.43314509528648</v>
      </c>
      <c r="AF127" s="335">
        <f t="shared" si="42"/>
        <v>0.12294879121506255</v>
      </c>
      <c r="AG127" s="335">
        <f t="shared" si="35"/>
        <v>2.4595561499625567</v>
      </c>
      <c r="AH127" s="335">
        <f t="shared" si="35"/>
        <v>0.47728755933954231</v>
      </c>
      <c r="AI127" s="335">
        <f t="shared" si="36"/>
        <v>3.0597925005171613</v>
      </c>
      <c r="AK127" s="335">
        <f t="shared" si="29"/>
        <v>111.55976440119571</v>
      </c>
      <c r="AL127" s="338">
        <f t="shared" si="30"/>
        <v>5.925338504168725E-2</v>
      </c>
      <c r="AM127" s="335">
        <f t="shared" si="31"/>
        <v>9.1485970336121909</v>
      </c>
      <c r="AN127" s="335">
        <f t="shared" si="32"/>
        <v>77.303625492974774</v>
      </c>
      <c r="AO127" s="335">
        <f t="shared" si="33"/>
        <v>25.107541874608739</v>
      </c>
      <c r="AP127" s="335">
        <f t="shared" si="37"/>
        <v>1.8137445329446398</v>
      </c>
      <c r="AQ127" s="335">
        <f t="shared" si="38"/>
        <v>21.649656913509013</v>
      </c>
      <c r="AR127" s="335">
        <f t="shared" si="39"/>
        <v>8.6096910789936949</v>
      </c>
      <c r="AS127" s="335">
        <f t="shared" si="40"/>
        <v>32.07309252544735</v>
      </c>
      <c r="AT127" s="335">
        <f t="shared" si="41"/>
        <v>0.28749695463773844</v>
      </c>
    </row>
    <row r="128" spans="2:46" ht="14.4" x14ac:dyDescent="0.55000000000000004">
      <c r="B128" s="3">
        <v>2029</v>
      </c>
      <c r="C128" s="707">
        <f>Compost!E122</f>
        <v>515.34848165816334</v>
      </c>
      <c r="D128" s="338">
        <f t="shared" si="15"/>
        <v>1</v>
      </c>
      <c r="F128" s="3">
        <v>2029</v>
      </c>
      <c r="G128" s="707">
        <f>'H&amp;C Recycling'!E122</f>
        <v>430.79402648709066</v>
      </c>
      <c r="H128" s="338">
        <f t="shared" si="16"/>
        <v>0.51994137193014323</v>
      </c>
      <c r="J128" s="3">
        <v>2029</v>
      </c>
      <c r="K128" s="335">
        <f t="shared" si="17"/>
        <v>917.57166508681757</v>
      </c>
      <c r="L128" s="338">
        <f t="shared" si="18"/>
        <v>0</v>
      </c>
      <c r="M128" s="338">
        <f t="shared" si="19"/>
        <v>0.43348051687319294</v>
      </c>
      <c r="N128" s="338">
        <f t="shared" si="20"/>
        <v>0.566519483126807</v>
      </c>
      <c r="Q128" s="3">
        <v>2029</v>
      </c>
      <c r="R128" s="707">
        <f>Paper!F131</f>
        <v>335.14300000000003</v>
      </c>
      <c r="S128" s="335">
        <f t="shared" si="14"/>
        <v>519.82222543678756</v>
      </c>
      <c r="T128" s="707">
        <f>Paper!G131</f>
        <v>373.82039631954888</v>
      </c>
      <c r="V128" s="335">
        <f t="shared" si="21"/>
        <v>539.29781123609018</v>
      </c>
      <c r="W128" s="335">
        <f t="shared" si="22"/>
        <v>0</v>
      </c>
      <c r="X128" s="335">
        <f t="shared" si="23"/>
        <v>397.74943965002996</v>
      </c>
      <c r="Y128" s="335">
        <f t="shared" si="24"/>
        <v>141.54837158606023</v>
      </c>
      <c r="Z128" s="338">
        <f t="shared" si="25"/>
        <v>0</v>
      </c>
      <c r="AA128" s="338">
        <f t="shared" si="26"/>
        <v>0.73753208591441111</v>
      </c>
      <c r="AB128" s="338">
        <f t="shared" si="27"/>
        <v>0.26246791408558884</v>
      </c>
      <c r="AC128" s="338">
        <f t="shared" si="28"/>
        <v>0.71063276816700138</v>
      </c>
      <c r="AE128" s="346">
        <f>MIN('WTE Tonnes and Composition'!G82,V128)</f>
        <v>496.30217363209351</v>
      </c>
      <c r="AF128" s="335">
        <f t="shared" si="42"/>
        <v>0</v>
      </c>
      <c r="AG128" s="335">
        <f t="shared" si="35"/>
        <v>2.6178537855331792</v>
      </c>
      <c r="AH128" s="335">
        <f t="shared" si="35"/>
        <v>0.5566211791725052</v>
      </c>
      <c r="AI128" s="335">
        <f t="shared" si="36"/>
        <v>3.1744749647056842</v>
      </c>
      <c r="AK128" s="335">
        <f t="shared" si="29"/>
        <v>42.99563760399667</v>
      </c>
      <c r="AL128" s="338">
        <f t="shared" si="30"/>
        <v>2.3069866732532925E-2</v>
      </c>
      <c r="AM128" s="335">
        <f t="shared" si="31"/>
        <v>0</v>
      </c>
      <c r="AN128" s="335">
        <f t="shared" si="32"/>
        <v>31.710662287295758</v>
      </c>
      <c r="AO128" s="335">
        <f t="shared" si="33"/>
        <v>11.28497531670091</v>
      </c>
      <c r="AP128" s="335">
        <f t="shared" si="37"/>
        <v>0</v>
      </c>
      <c r="AQ128" s="335">
        <f t="shared" si="38"/>
        <v>8.8808895396826166</v>
      </c>
      <c r="AR128" s="335">
        <f t="shared" si="39"/>
        <v>3.8697596043490803</v>
      </c>
      <c r="AS128" s="335">
        <f t="shared" si="40"/>
        <v>12.750649144031698</v>
      </c>
      <c r="AT128" s="335">
        <f t="shared" si="41"/>
        <v>0.2965568102854802</v>
      </c>
    </row>
    <row r="129" spans="2:46" ht="14.4" x14ac:dyDescent="0.55000000000000004">
      <c r="B129" s="3">
        <v>2030</v>
      </c>
      <c r="C129" s="707">
        <f>Compost!E123</f>
        <v>480.23961332404809</v>
      </c>
      <c r="D129" s="338">
        <f t="shared" si="15"/>
        <v>1</v>
      </c>
      <c r="F129" s="3">
        <v>2030</v>
      </c>
      <c r="G129" s="707">
        <f>'H&amp;C Recycling'!E123</f>
        <v>444.88560420478137</v>
      </c>
      <c r="H129" s="338">
        <f t="shared" si="16"/>
        <v>0.53281585546701182</v>
      </c>
      <c r="J129" s="3">
        <v>2030</v>
      </c>
      <c r="K129" s="335">
        <f t="shared" si="17"/>
        <v>922.69914155316246</v>
      </c>
      <c r="L129" s="338">
        <f t="shared" si="18"/>
        <v>0</v>
      </c>
      <c r="M129" s="338">
        <f t="shared" si="19"/>
        <v>0.42276516138846038</v>
      </c>
      <c r="N129" s="338">
        <f t="shared" si="20"/>
        <v>0.57723483861153968</v>
      </c>
      <c r="Q129" s="3">
        <v>2030</v>
      </c>
      <c r="R129" s="707">
        <f>Paper!F132</f>
        <v>341.64</v>
      </c>
      <c r="S129" s="335">
        <f t="shared" si="14"/>
        <v>532.61409006144595</v>
      </c>
      <c r="T129" s="707">
        <f>Paper!G132</f>
        <v>381.06718683848584</v>
      </c>
      <c r="V129" s="335">
        <f t="shared" si="21"/>
        <v>541.63195471467657</v>
      </c>
      <c r="W129" s="335">
        <f t="shared" si="22"/>
        <v>0</v>
      </c>
      <c r="X129" s="335">
        <f t="shared" si="23"/>
        <v>390.08505149171657</v>
      </c>
      <c r="Y129" s="335">
        <f t="shared" si="24"/>
        <v>151.54690322296011</v>
      </c>
      <c r="Z129" s="338">
        <f t="shared" si="25"/>
        <v>0</v>
      </c>
      <c r="AA129" s="338">
        <f t="shared" si="26"/>
        <v>0.72020317135315148</v>
      </c>
      <c r="AB129" s="338">
        <f t="shared" si="27"/>
        <v>0.27979682864684879</v>
      </c>
      <c r="AC129" s="338">
        <f t="shared" si="28"/>
        <v>0.70688125629875231</v>
      </c>
      <c r="AE129" s="346">
        <f>MIN('WTE Tonnes and Composition'!G83,V129)</f>
        <v>519.22918248800215</v>
      </c>
      <c r="AF129" s="335">
        <f t="shared" si="42"/>
        <v>0</v>
      </c>
      <c r="AG129" s="335">
        <f t="shared" si="35"/>
        <v>2.5563451875348555</v>
      </c>
      <c r="AH129" s="335">
        <f t="shared" si="35"/>
        <v>0.59337096967727043</v>
      </c>
      <c r="AI129" s="335">
        <f t="shared" si="36"/>
        <v>3.1497161572121257</v>
      </c>
      <c r="AK129" s="335">
        <f t="shared" si="29"/>
        <v>22.402772226674415</v>
      </c>
      <c r="AL129" s="338">
        <f t="shared" si="30"/>
        <v>1.2123864541868156E-2</v>
      </c>
      <c r="AM129" s="335">
        <f t="shared" si="31"/>
        <v>0</v>
      </c>
      <c r="AN129" s="335">
        <f t="shared" si="32"/>
        <v>16.134547604753216</v>
      </c>
      <c r="AO129" s="335">
        <f t="shared" si="33"/>
        <v>6.2682246219212043</v>
      </c>
      <c r="AP129" s="335">
        <f t="shared" si="37"/>
        <v>0</v>
      </c>
      <c r="AQ129" s="335">
        <f t="shared" si="38"/>
        <v>4.5186421447895775</v>
      </c>
      <c r="AR129" s="335">
        <f t="shared" si="39"/>
        <v>2.1494528567554014</v>
      </c>
      <c r="AS129" s="335">
        <f t="shared" si="40"/>
        <v>6.6680950015449785</v>
      </c>
      <c r="AT129" s="335">
        <f t="shared" si="41"/>
        <v>0.29764597586746189</v>
      </c>
    </row>
    <row r="130" spans="2:46" ht="14.4" x14ac:dyDescent="0.55000000000000004">
      <c r="B130" s="3">
        <v>2031</v>
      </c>
      <c r="C130" s="707">
        <f>Compost!E124</f>
        <v>445.15242220784609</v>
      </c>
      <c r="D130" s="338">
        <f t="shared" si="15"/>
        <v>1</v>
      </c>
      <c r="F130" s="3">
        <v>2031</v>
      </c>
      <c r="G130" s="707">
        <f>'H&amp;C Recycling'!E124</f>
        <v>457.98214722872513</v>
      </c>
      <c r="H130" s="338">
        <f t="shared" si="16"/>
        <v>0.54643406987937615</v>
      </c>
      <c r="J130" s="3">
        <v>2031</v>
      </c>
      <c r="K130" s="335">
        <f t="shared" si="17"/>
        <v>924.49222459097132</v>
      </c>
      <c r="L130" s="338">
        <f t="shared" si="18"/>
        <v>0</v>
      </c>
      <c r="M130" s="338">
        <f t="shared" si="19"/>
        <v>0.41119510999668646</v>
      </c>
      <c r="N130" s="338">
        <f t="shared" si="20"/>
        <v>0.58880489000331349</v>
      </c>
      <c r="Q130" s="3">
        <v>2031</v>
      </c>
      <c r="R130" s="707">
        <f>Paper!F133</f>
        <v>348.57499999999999</v>
      </c>
      <c r="S130" s="335">
        <f t="shared" si="14"/>
        <v>544.34554260920549</v>
      </c>
      <c r="T130" s="707">
        <f>Paper!G133</f>
        <v>388.80252503285681</v>
      </c>
      <c r="V130" s="335">
        <f t="shared" si="21"/>
        <v>535.68969955811451</v>
      </c>
      <c r="W130" s="335">
        <f t="shared" si="22"/>
        <v>0</v>
      </c>
      <c r="X130" s="335">
        <f t="shared" si="23"/>
        <v>380.14668198176582</v>
      </c>
      <c r="Y130" s="335">
        <f t="shared" si="24"/>
        <v>155.54301757634869</v>
      </c>
      <c r="Z130" s="338">
        <f t="shared" si="25"/>
        <v>0</v>
      </c>
      <c r="AA130" s="338">
        <f t="shared" si="26"/>
        <v>0.70963970801631115</v>
      </c>
      <c r="AB130" s="338">
        <f t="shared" si="27"/>
        <v>0.29036029198368885</v>
      </c>
      <c r="AC130" s="338">
        <f t="shared" si="28"/>
        <v>0.70689327749588593</v>
      </c>
      <c r="AE130" s="346">
        <f>MIN('WTE Tonnes and Composition'!G84,V130)</f>
        <v>535.68969955811451</v>
      </c>
      <c r="AF130" s="335">
        <f t="shared" si="42"/>
        <v>0</v>
      </c>
      <c r="AG130" s="335">
        <f t="shared" ref="AG130:AG159" si="43">AG$111*AA130</f>
        <v>2.5188504086461476</v>
      </c>
      <c r="AH130" s="335">
        <f t="shared" ref="AH130:AH159" si="44">AH$111*AB130</f>
        <v>0.61577312667684969</v>
      </c>
      <c r="AI130" s="335">
        <f t="shared" si="36"/>
        <v>3.1346235353229974</v>
      </c>
      <c r="AK130" s="335">
        <f t="shared" si="29"/>
        <v>0</v>
      </c>
      <c r="AL130" s="338">
        <f t="shared" si="30"/>
        <v>0</v>
      </c>
      <c r="AM130" s="335">
        <f t="shared" si="31"/>
        <v>0</v>
      </c>
      <c r="AN130" s="335">
        <f t="shared" si="32"/>
        <v>0</v>
      </c>
      <c r="AO130" s="335">
        <f t="shared" si="33"/>
        <v>0</v>
      </c>
      <c r="AP130" s="335">
        <f t="shared" si="37"/>
        <v>0</v>
      </c>
      <c r="AQ130" s="335">
        <f t="shared" si="38"/>
        <v>0</v>
      </c>
      <c r="AR130" s="335">
        <f t="shared" si="39"/>
        <v>0</v>
      </c>
      <c r="AS130" s="335">
        <f t="shared" si="40"/>
        <v>0</v>
      </c>
      <c r="AT130" s="335" t="e">
        <f t="shared" si="41"/>
        <v>#DIV/0!</v>
      </c>
    </row>
    <row r="131" spans="2:46" ht="14.4" x14ac:dyDescent="0.55000000000000004">
      <c r="B131" s="3">
        <v>2032</v>
      </c>
      <c r="C131" s="707">
        <f>Compost!E125</f>
        <v>412.72072158631033</v>
      </c>
      <c r="D131" s="338">
        <f t="shared" si="15"/>
        <v>1</v>
      </c>
      <c r="F131" s="3">
        <v>2032</v>
      </c>
      <c r="G131" s="707">
        <f>'H&amp;C Recycling'!E125</f>
        <v>471.45432385836955</v>
      </c>
      <c r="H131" s="338">
        <f t="shared" si="16"/>
        <v>0.56091091700252793</v>
      </c>
      <c r="J131" s="3">
        <v>2032</v>
      </c>
      <c r="K131" s="335">
        <f t="shared" si="17"/>
        <v>925.71988929013435</v>
      </c>
      <c r="L131" s="338">
        <f t="shared" si="18"/>
        <v>0</v>
      </c>
      <c r="M131" s="338">
        <f t="shared" si="19"/>
        <v>0.3986747908735922</v>
      </c>
      <c r="N131" s="338">
        <f t="shared" si="20"/>
        <v>0.60132520912640786</v>
      </c>
      <c r="Q131" s="3">
        <v>2032</v>
      </c>
      <c r="R131" s="707">
        <f>Paper!F134</f>
        <v>355.94800000000004</v>
      </c>
      <c r="S131" s="335">
        <f t="shared" si="14"/>
        <v>556.65870601986512</v>
      </c>
      <c r="T131" s="707">
        <f>Paper!G134</f>
        <v>397.02641090266178</v>
      </c>
      <c r="V131" s="335">
        <f t="shared" si="21"/>
        <v>528.69347838747262</v>
      </c>
      <c r="W131" s="335">
        <f t="shared" si="22"/>
        <v>0</v>
      </c>
      <c r="X131" s="335">
        <f t="shared" si="23"/>
        <v>369.06118327026923</v>
      </c>
      <c r="Y131" s="335">
        <f t="shared" si="24"/>
        <v>159.63229511720334</v>
      </c>
      <c r="Z131" s="338">
        <f t="shared" si="25"/>
        <v>0</v>
      </c>
      <c r="AA131" s="338">
        <f t="shared" si="26"/>
        <v>0.6980626740392456</v>
      </c>
      <c r="AB131" s="338">
        <f t="shared" si="27"/>
        <v>0.30193732596075434</v>
      </c>
      <c r="AC131" s="338">
        <f t="shared" si="28"/>
        <v>0.70788719928378785</v>
      </c>
      <c r="AE131" s="346">
        <f>MIN('WTE Tonnes and Composition'!G85,V131)</f>
        <v>528.69347838747262</v>
      </c>
      <c r="AF131" s="335">
        <f t="shared" si="42"/>
        <v>0</v>
      </c>
      <c r="AG131" s="335">
        <f t="shared" si="43"/>
        <v>2.4777579832440284</v>
      </c>
      <c r="AH131" s="335">
        <f t="shared" si="44"/>
        <v>0.64032478407118176</v>
      </c>
      <c r="AI131" s="335">
        <f t="shared" si="36"/>
        <v>3.1180827673152103</v>
      </c>
      <c r="AK131" s="335">
        <f t="shared" si="29"/>
        <v>0</v>
      </c>
      <c r="AL131" s="338">
        <f t="shared" si="30"/>
        <v>0</v>
      </c>
      <c r="AM131" s="335">
        <f t="shared" si="31"/>
        <v>0</v>
      </c>
      <c r="AN131" s="335">
        <f t="shared" si="32"/>
        <v>0</v>
      </c>
      <c r="AO131" s="335">
        <f t="shared" si="33"/>
        <v>0</v>
      </c>
      <c r="AP131" s="335">
        <f t="shared" si="37"/>
        <v>0</v>
      </c>
      <c r="AQ131" s="335">
        <f t="shared" si="38"/>
        <v>0</v>
      </c>
      <c r="AR131" s="335">
        <f t="shared" si="39"/>
        <v>0</v>
      </c>
      <c r="AS131" s="335">
        <f t="shared" si="40"/>
        <v>0</v>
      </c>
      <c r="AT131" s="335" t="e">
        <f t="shared" si="41"/>
        <v>#DIV/0!</v>
      </c>
    </row>
    <row r="132" spans="2:46" ht="14.4" x14ac:dyDescent="0.55000000000000004">
      <c r="B132" s="3">
        <v>2033</v>
      </c>
      <c r="C132" s="707">
        <f>Compost!E126</f>
        <v>382.13210851993972</v>
      </c>
      <c r="D132" s="338">
        <f t="shared" si="15"/>
        <v>1</v>
      </c>
      <c r="F132" s="3">
        <v>2033</v>
      </c>
      <c r="G132" s="707">
        <f>'H&amp;C Recycling'!E126</f>
        <v>484.94668670341099</v>
      </c>
      <c r="H132" s="338">
        <f t="shared" si="16"/>
        <v>0.57641243654360907</v>
      </c>
      <c r="J132" s="3">
        <v>2033</v>
      </c>
      <c r="K132" s="335">
        <f t="shared" si="17"/>
        <v>925.50444581850957</v>
      </c>
      <c r="L132" s="338">
        <f t="shared" si="18"/>
        <v>0</v>
      </c>
      <c r="M132" s="338">
        <f t="shared" si="19"/>
        <v>0.3850572859354302</v>
      </c>
      <c r="N132" s="338">
        <f t="shared" si="20"/>
        <v>0.61494271406456968</v>
      </c>
      <c r="Q132" s="3">
        <v>2033</v>
      </c>
      <c r="R132" s="707">
        <f>Paper!F135</f>
        <v>363.75900000000001</v>
      </c>
      <c r="S132" s="335">
        <f t="shared" si="14"/>
        <v>569.13221579045978</v>
      </c>
      <c r="T132" s="707">
        <f>Paper!G135</f>
        <v>405.73884444790065</v>
      </c>
      <c r="V132" s="335">
        <f t="shared" si="21"/>
        <v>519.76560137060892</v>
      </c>
      <c r="W132" s="335">
        <f t="shared" si="22"/>
        <v>0</v>
      </c>
      <c r="X132" s="335">
        <f t="shared" si="23"/>
        <v>356.37223002804973</v>
      </c>
      <c r="Y132" s="335">
        <f t="shared" si="24"/>
        <v>163.39337134255913</v>
      </c>
      <c r="Z132" s="338">
        <f t="shared" si="25"/>
        <v>0</v>
      </c>
      <c r="AA132" s="338">
        <f t="shared" si="26"/>
        <v>0.68564027532469451</v>
      </c>
      <c r="AB132" s="338">
        <f t="shared" si="27"/>
        <v>0.31435972467530537</v>
      </c>
      <c r="AC132" s="338">
        <f t="shared" si="28"/>
        <v>0.7100466023164882</v>
      </c>
      <c r="AE132" s="346">
        <f>MIN('WTE Tonnes and Composition'!G86,V132)</f>
        <v>519.76560137060892</v>
      </c>
      <c r="AF132" s="335">
        <f t="shared" si="42"/>
        <v>0</v>
      </c>
      <c r="AG132" s="335">
        <f t="shared" si="43"/>
        <v>2.4336649544506153</v>
      </c>
      <c r="AH132" s="335">
        <f t="shared" si="44"/>
        <v>0.66666922409439011</v>
      </c>
      <c r="AI132" s="335">
        <f t="shared" si="36"/>
        <v>3.1003341785450056</v>
      </c>
      <c r="AK132" s="335">
        <f t="shared" si="29"/>
        <v>0</v>
      </c>
      <c r="AL132" s="338">
        <f t="shared" si="30"/>
        <v>0</v>
      </c>
      <c r="AM132" s="335">
        <f t="shared" si="31"/>
        <v>0</v>
      </c>
      <c r="AN132" s="335">
        <f t="shared" si="32"/>
        <v>0</v>
      </c>
      <c r="AO132" s="335">
        <f t="shared" si="33"/>
        <v>0</v>
      </c>
      <c r="AP132" s="335">
        <f t="shared" si="37"/>
        <v>0</v>
      </c>
      <c r="AQ132" s="335">
        <f t="shared" si="38"/>
        <v>0</v>
      </c>
      <c r="AR132" s="335">
        <f t="shared" si="39"/>
        <v>0</v>
      </c>
      <c r="AS132" s="335">
        <f t="shared" si="40"/>
        <v>0</v>
      </c>
      <c r="AT132" s="335" t="e">
        <f t="shared" si="41"/>
        <v>#DIV/0!</v>
      </c>
    </row>
    <row r="133" spans="2:46" ht="14.4" x14ac:dyDescent="0.55000000000000004">
      <c r="B133" s="3">
        <v>2034</v>
      </c>
      <c r="C133" s="707">
        <f>Compost!E127</f>
        <v>353.5698871343094</v>
      </c>
      <c r="D133" s="338">
        <f t="shared" si="15"/>
        <v>1</v>
      </c>
      <c r="F133" s="3">
        <v>2034</v>
      </c>
      <c r="G133" s="707">
        <f>'H&amp;C Recycling'!E127</f>
        <v>498.46132960576045</v>
      </c>
      <c r="H133" s="338">
        <f t="shared" si="16"/>
        <v>0.59312288876054509</v>
      </c>
      <c r="J133" s="3">
        <v>2034</v>
      </c>
      <c r="K133" s="335">
        <f t="shared" si="17"/>
        <v>923.71043355930533</v>
      </c>
      <c r="L133" s="338">
        <f t="shared" si="18"/>
        <v>0</v>
      </c>
      <c r="M133" s="338">
        <f t="shared" si="19"/>
        <v>0.37018106283597696</v>
      </c>
      <c r="N133" s="338">
        <f t="shared" si="20"/>
        <v>0.62981893716402304</v>
      </c>
      <c r="Q133" s="3">
        <v>2034</v>
      </c>
      <c r="R133" s="707">
        <f>Paper!F136</f>
        <v>372.00799999999998</v>
      </c>
      <c r="S133" s="335">
        <f t="shared" si="14"/>
        <v>581.77032351164064</v>
      </c>
      <c r="T133" s="707">
        <f>Paper!G136</f>
        <v>414.93982566857346</v>
      </c>
      <c r="V133" s="335">
        <f t="shared" si="21"/>
        <v>508.77060789073187</v>
      </c>
      <c r="W133" s="335">
        <f t="shared" si="22"/>
        <v>0</v>
      </c>
      <c r="X133" s="335">
        <f t="shared" si="23"/>
        <v>341.94011004766475</v>
      </c>
      <c r="Y133" s="335">
        <f t="shared" si="24"/>
        <v>166.83049784306718</v>
      </c>
      <c r="Z133" s="338">
        <f t="shared" si="25"/>
        <v>0</v>
      </c>
      <c r="AA133" s="338">
        <f t="shared" si="26"/>
        <v>0.67209092810075</v>
      </c>
      <c r="AB133" s="338">
        <f t="shared" si="27"/>
        <v>0.32790907189925012</v>
      </c>
      <c r="AC133" s="338">
        <f t="shared" si="28"/>
        <v>0.71348838508971313</v>
      </c>
      <c r="AE133" s="346">
        <f>MIN('WTE Tonnes and Composition'!G87,V133)</f>
        <v>508.77060789073187</v>
      </c>
      <c r="AF133" s="335">
        <f t="shared" si="42"/>
        <v>0</v>
      </c>
      <c r="AG133" s="335">
        <f t="shared" si="43"/>
        <v>2.3855718469111249</v>
      </c>
      <c r="AH133" s="335">
        <f t="shared" si="44"/>
        <v>0.6954036073239932</v>
      </c>
      <c r="AI133" s="335">
        <f t="shared" si="36"/>
        <v>3.080975454235118</v>
      </c>
      <c r="AK133" s="335">
        <f t="shared" si="29"/>
        <v>0</v>
      </c>
      <c r="AL133" s="338">
        <f t="shared" si="30"/>
        <v>0</v>
      </c>
      <c r="AM133" s="335">
        <f t="shared" si="31"/>
        <v>0</v>
      </c>
      <c r="AN133" s="335">
        <f t="shared" si="32"/>
        <v>0</v>
      </c>
      <c r="AO133" s="335">
        <f t="shared" si="33"/>
        <v>0</v>
      </c>
      <c r="AP133" s="335">
        <f t="shared" si="37"/>
        <v>0</v>
      </c>
      <c r="AQ133" s="335">
        <f t="shared" si="38"/>
        <v>0</v>
      </c>
      <c r="AR133" s="335">
        <f t="shared" si="39"/>
        <v>0</v>
      </c>
      <c r="AS133" s="335">
        <f t="shared" si="40"/>
        <v>0</v>
      </c>
      <c r="AT133" s="335" t="e">
        <f t="shared" si="41"/>
        <v>#DIV/0!</v>
      </c>
    </row>
    <row r="134" spans="2:46" ht="14.4" x14ac:dyDescent="0.55000000000000004">
      <c r="B134" s="3">
        <v>2035</v>
      </c>
      <c r="C134" s="707">
        <f>Compost!E128</f>
        <v>327.27778617548319</v>
      </c>
      <c r="D134" s="338">
        <f t="shared" si="15"/>
        <v>1</v>
      </c>
      <c r="F134" s="3">
        <v>2035</v>
      </c>
      <c r="G134" s="707">
        <f>'H&amp;C Recycling'!E128</f>
        <v>512.02116082414466</v>
      </c>
      <c r="H134" s="338">
        <f t="shared" si="16"/>
        <v>0.61125423066346196</v>
      </c>
      <c r="J134" s="3">
        <v>2035</v>
      </c>
      <c r="K134" s="335">
        <f t="shared" si="17"/>
        <v>920.23717073270484</v>
      </c>
      <c r="L134" s="338">
        <f t="shared" si="18"/>
        <v>0</v>
      </c>
      <c r="M134" s="338">
        <f t="shared" si="19"/>
        <v>0.35386037711784452</v>
      </c>
      <c r="N134" s="338">
        <f t="shared" si="20"/>
        <v>0.64613962288215543</v>
      </c>
      <c r="Q134" s="3">
        <v>2035</v>
      </c>
      <c r="R134" s="707">
        <f>Paper!F137</f>
        <v>380.69499999999999</v>
      </c>
      <c r="S134" s="335">
        <f t="shared" si="14"/>
        <v>594.60169845937162</v>
      </c>
      <c r="T134" s="707">
        <f>Paper!G137</f>
        <v>424.62935456468028</v>
      </c>
      <c r="V134" s="335">
        <f t="shared" si="21"/>
        <v>495.60781616802456</v>
      </c>
      <c r="W134" s="335">
        <f t="shared" si="22"/>
        <v>0</v>
      </c>
      <c r="X134" s="335">
        <f t="shared" si="23"/>
        <v>325.63547227333322</v>
      </c>
      <c r="Y134" s="335">
        <f t="shared" si="24"/>
        <v>169.97234389469133</v>
      </c>
      <c r="Z134" s="338">
        <f t="shared" si="25"/>
        <v>0</v>
      </c>
      <c r="AA134" s="338">
        <f t="shared" si="26"/>
        <v>0.65704264874413099</v>
      </c>
      <c r="AB134" s="338">
        <f t="shared" si="27"/>
        <v>0.34295735125586896</v>
      </c>
      <c r="AC134" s="338">
        <f t="shared" si="28"/>
        <v>0.71833041040001078</v>
      </c>
      <c r="AE134" s="346">
        <f>MIN('WTE Tonnes and Composition'!G88,V134)</f>
        <v>495.60781616802456</v>
      </c>
      <c r="AF134" s="335">
        <f t="shared" si="42"/>
        <v>0</v>
      </c>
      <c r="AG134" s="335">
        <f t="shared" si="43"/>
        <v>2.3321583130027741</v>
      </c>
      <c r="AH134" s="335">
        <f t="shared" si="44"/>
        <v>0.72731680718760405</v>
      </c>
      <c r="AI134" s="335">
        <f t="shared" si="36"/>
        <v>3.059475120190378</v>
      </c>
      <c r="AK134" s="335">
        <f t="shared" si="29"/>
        <v>0</v>
      </c>
      <c r="AL134" s="338">
        <f t="shared" si="30"/>
        <v>0</v>
      </c>
      <c r="AM134" s="335">
        <f t="shared" si="31"/>
        <v>0</v>
      </c>
      <c r="AN134" s="335">
        <f t="shared" si="32"/>
        <v>0</v>
      </c>
      <c r="AO134" s="335">
        <f t="shared" si="33"/>
        <v>0</v>
      </c>
      <c r="AP134" s="335">
        <f t="shared" si="37"/>
        <v>0</v>
      </c>
      <c r="AQ134" s="335">
        <f t="shared" si="38"/>
        <v>0</v>
      </c>
      <c r="AR134" s="335">
        <f t="shared" si="39"/>
        <v>0</v>
      </c>
      <c r="AS134" s="335">
        <f>SUM(AP134:AR134)</f>
        <v>0</v>
      </c>
      <c r="AT134" s="335" t="e">
        <f t="shared" si="41"/>
        <v>#DIV/0!</v>
      </c>
    </row>
    <row r="135" spans="2:46" ht="14.4" x14ac:dyDescent="0.55000000000000004">
      <c r="B135" s="3">
        <v>2036</v>
      </c>
      <c r="C135" s="707">
        <f>Compost!E129</f>
        <v>303.24551960203632</v>
      </c>
      <c r="D135" s="338">
        <f t="shared" si="15"/>
        <v>0.99999999999999978</v>
      </c>
      <c r="F135" s="3">
        <v>2036</v>
      </c>
      <c r="G135" s="707">
        <f>'H&amp;C Recycling'!E129</f>
        <v>525.55152106664127</v>
      </c>
      <c r="H135" s="338">
        <f t="shared" si="16"/>
        <v>0.63106444266571882</v>
      </c>
      <c r="J135" s="3">
        <v>2036</v>
      </c>
      <c r="K135" s="335">
        <f t="shared" si="17"/>
        <v>914.79055255144067</v>
      </c>
      <c r="L135" s="338">
        <f t="shared" si="18"/>
        <v>6.2138178736396148E-17</v>
      </c>
      <c r="M135" s="338">
        <f t="shared" si="19"/>
        <v>0.33586939330081628</v>
      </c>
      <c r="N135" s="338">
        <f t="shared" si="20"/>
        <v>0.66413060669918367</v>
      </c>
      <c r="Q135" s="3">
        <v>2036</v>
      </c>
      <c r="R135" s="707">
        <f>Paper!F138</f>
        <v>389.82</v>
      </c>
      <c r="S135" s="335">
        <f t="shared" si="14"/>
        <v>607.54040466866979</v>
      </c>
      <c r="T135" s="707">
        <f>Paper!G138</f>
        <v>434.80743113622106</v>
      </c>
      <c r="V135" s="335">
        <f t="shared" si="21"/>
        <v>479.98312141521961</v>
      </c>
      <c r="W135" s="335">
        <f t="shared" si="22"/>
        <v>0</v>
      </c>
      <c r="X135" s="335">
        <f t="shared" si="23"/>
        <v>307.25014788277088</v>
      </c>
      <c r="Y135" s="335">
        <f t="shared" si="24"/>
        <v>172.73297353244874</v>
      </c>
      <c r="Z135" s="338">
        <f t="shared" si="25"/>
        <v>0</v>
      </c>
      <c r="AA135" s="338">
        <f t="shared" si="26"/>
        <v>0.64012698400070944</v>
      </c>
      <c r="AB135" s="338">
        <f t="shared" si="27"/>
        <v>0.35987301599929056</v>
      </c>
      <c r="AC135" s="338">
        <f t="shared" si="28"/>
        <v>0.7247152232089642</v>
      </c>
      <c r="AE135" s="346">
        <f>MIN('WTE Tonnes and Composition'!G89,V135)</f>
        <v>479.98312141521961</v>
      </c>
      <c r="AF135" s="335">
        <f t="shared" si="42"/>
        <v>0</v>
      </c>
      <c r="AG135" s="335">
        <f t="shared" si="43"/>
        <v>2.2721165360698108</v>
      </c>
      <c r="AH135" s="335">
        <f t="shared" si="44"/>
        <v>0.76319021018535005</v>
      </c>
      <c r="AI135" s="335">
        <f t="shared" si="36"/>
        <v>3.0353067462551611</v>
      </c>
      <c r="AK135" s="335">
        <f t="shared" si="29"/>
        <v>0</v>
      </c>
      <c r="AL135" s="338">
        <f t="shared" si="30"/>
        <v>0</v>
      </c>
      <c r="AM135" s="335">
        <f t="shared" si="31"/>
        <v>0</v>
      </c>
      <c r="AN135" s="335">
        <f t="shared" si="32"/>
        <v>0</v>
      </c>
      <c r="AO135" s="335">
        <f t="shared" si="33"/>
        <v>0</v>
      </c>
      <c r="AP135" s="335">
        <f t="shared" si="37"/>
        <v>0</v>
      </c>
      <c r="AQ135" s="335">
        <f t="shared" si="38"/>
        <v>0</v>
      </c>
      <c r="AR135" s="335">
        <f t="shared" si="39"/>
        <v>0</v>
      </c>
      <c r="AS135" s="335">
        <f t="shared" si="40"/>
        <v>0</v>
      </c>
      <c r="AT135" s="335" t="e">
        <f t="shared" si="41"/>
        <v>#DIV/0!</v>
      </c>
    </row>
    <row r="136" spans="2:46" ht="14.4" x14ac:dyDescent="0.55000000000000004">
      <c r="B136" s="3">
        <v>2037</v>
      </c>
      <c r="C136" s="707">
        <f>Compost!E130</f>
        <v>281.86040212859189</v>
      </c>
      <c r="D136" s="338">
        <f t="shared" si="15"/>
        <v>0.99999999999999978</v>
      </c>
      <c r="F136" s="3">
        <v>2037</v>
      </c>
      <c r="G136" s="707">
        <f>'H&amp;C Recycling'!E130</f>
        <v>539.12244168553343</v>
      </c>
      <c r="H136" s="338">
        <f t="shared" si="16"/>
        <v>0.65284539297249544</v>
      </c>
      <c r="J136" s="3">
        <v>2037</v>
      </c>
      <c r="K136" s="335">
        <f t="shared" si="17"/>
        <v>907.35235069912778</v>
      </c>
      <c r="L136" s="338">
        <f t="shared" si="18"/>
        <v>6.2647568849090826E-17</v>
      </c>
      <c r="M136" s="338">
        <f t="shared" si="19"/>
        <v>0.31595412587197869</v>
      </c>
      <c r="N136" s="338">
        <f t="shared" si="20"/>
        <v>0.68404587412802131</v>
      </c>
      <c r="Q136" s="3">
        <v>2037</v>
      </c>
      <c r="R136" s="707">
        <f>Paper!F139</f>
        <v>399.38299999999998</v>
      </c>
      <c r="S136" s="335">
        <f t="shared" si="14"/>
        <v>620.67063187609983</v>
      </c>
      <c r="T136" s="707">
        <f>Paper!G139</f>
        <v>445.47405538319572</v>
      </c>
      <c r="V136" s="335">
        <f t="shared" si="21"/>
        <v>461.87829531593206</v>
      </c>
      <c r="W136" s="335">
        <f t="shared" si="22"/>
        <v>0</v>
      </c>
      <c r="X136" s="335">
        <f t="shared" si="23"/>
        <v>286.68171882302795</v>
      </c>
      <c r="Y136" s="335">
        <f t="shared" si="24"/>
        <v>175.19657649290411</v>
      </c>
      <c r="Z136" s="338">
        <f t="shared" si="25"/>
        <v>0</v>
      </c>
      <c r="AA136" s="338">
        <f t="shared" si="26"/>
        <v>0.620686708447586</v>
      </c>
      <c r="AB136" s="338">
        <f t="shared" si="27"/>
        <v>0.379313291552414</v>
      </c>
      <c r="AC136" s="338">
        <f t="shared" si="28"/>
        <v>0.73276115837818734</v>
      </c>
      <c r="AE136" s="346">
        <f>MIN('WTE Tonnes and Composition'!G90,V136)</f>
        <v>461.87829531593206</v>
      </c>
      <c r="AF136" s="335">
        <f t="shared" si="42"/>
        <v>0</v>
      </c>
      <c r="AG136" s="335">
        <f t="shared" si="43"/>
        <v>2.2031137090464208</v>
      </c>
      <c r="AH136" s="335">
        <f t="shared" si="44"/>
        <v>0.80441760797801665</v>
      </c>
      <c r="AI136" s="335">
        <f t="shared" si="36"/>
        <v>3.0075313170244375</v>
      </c>
      <c r="AK136" s="335">
        <f t="shared" si="29"/>
        <v>0</v>
      </c>
      <c r="AL136" s="338">
        <f t="shared" si="30"/>
        <v>0</v>
      </c>
      <c r="AM136" s="335">
        <f t="shared" si="31"/>
        <v>0</v>
      </c>
      <c r="AN136" s="335">
        <f t="shared" si="32"/>
        <v>0</v>
      </c>
      <c r="AO136" s="335">
        <f t="shared" si="33"/>
        <v>0</v>
      </c>
      <c r="AP136" s="335">
        <f t="shared" si="37"/>
        <v>0</v>
      </c>
      <c r="AQ136" s="335">
        <f t="shared" si="38"/>
        <v>0</v>
      </c>
      <c r="AR136" s="335">
        <f t="shared" si="39"/>
        <v>0</v>
      </c>
      <c r="AS136" s="335">
        <f t="shared" si="40"/>
        <v>0</v>
      </c>
      <c r="AT136" s="335" t="e">
        <f t="shared" si="41"/>
        <v>#DIV/0!</v>
      </c>
    </row>
    <row r="137" spans="2:46" ht="14.4" x14ac:dyDescent="0.55000000000000004">
      <c r="B137" s="3">
        <v>2038</v>
      </c>
      <c r="C137" s="707">
        <f>Compost!E131</f>
        <v>263.26096684835181</v>
      </c>
      <c r="D137" s="338">
        <f t="shared" si="15"/>
        <v>1</v>
      </c>
      <c r="F137" s="3">
        <v>2038</v>
      </c>
      <c r="G137" s="707">
        <f>'H&amp;C Recycling'!E131</f>
        <v>552.70586415566333</v>
      </c>
      <c r="H137" s="338">
        <f t="shared" si="16"/>
        <v>0.67695605255993307</v>
      </c>
      <c r="J137" s="3">
        <v>2038</v>
      </c>
      <c r="K137" s="335">
        <f t="shared" si="17"/>
        <v>897.71462610543028</v>
      </c>
      <c r="L137" s="338">
        <f t="shared" si="18"/>
        <v>0</v>
      </c>
      <c r="M137" s="338">
        <f t="shared" si="19"/>
        <v>0.29380345889000192</v>
      </c>
      <c r="N137" s="338">
        <f t="shared" si="20"/>
        <v>0.70619654110999808</v>
      </c>
      <c r="Q137" s="3">
        <v>2038</v>
      </c>
      <c r="R137" s="707">
        <f>Paper!F140</f>
        <v>409.38399999999996</v>
      </c>
      <c r="S137" s="335">
        <f t="shared" si="14"/>
        <v>633.96296385951007</v>
      </c>
      <c r="T137" s="707">
        <f>Paper!G140</f>
        <v>456.62922730560439</v>
      </c>
      <c r="V137" s="335">
        <f t="shared" si="21"/>
        <v>441.0853987998259</v>
      </c>
      <c r="W137" s="335">
        <f t="shared" si="22"/>
        <v>0</v>
      </c>
      <c r="X137" s="335">
        <f t="shared" si="23"/>
        <v>263.75166224592022</v>
      </c>
      <c r="Y137" s="335">
        <f t="shared" si="24"/>
        <v>177.33373655390568</v>
      </c>
      <c r="Z137" s="338">
        <f t="shared" si="25"/>
        <v>0</v>
      </c>
      <c r="AA137" s="338">
        <f t="shared" si="26"/>
        <v>0.59796053771804047</v>
      </c>
      <c r="AB137" s="338">
        <f t="shared" si="27"/>
        <v>0.40203946228195953</v>
      </c>
      <c r="AC137" s="338">
        <f t="shared" si="28"/>
        <v>0.74260945815225932</v>
      </c>
      <c r="AE137" s="346">
        <f>MIN('WTE Tonnes and Composition'!G91,V137)</f>
        <v>441.0853987998259</v>
      </c>
      <c r="AF137" s="335">
        <f t="shared" si="42"/>
        <v>0</v>
      </c>
      <c r="AG137" s="335">
        <f t="shared" si="43"/>
        <v>2.1224476699530133</v>
      </c>
      <c r="AH137" s="335">
        <f t="shared" si="44"/>
        <v>0.85261347219870098</v>
      </c>
      <c r="AI137" s="335">
        <f t="shared" si="36"/>
        <v>2.9750611421517141</v>
      </c>
      <c r="AK137" s="335">
        <f t="shared" si="29"/>
        <v>0</v>
      </c>
      <c r="AL137" s="338">
        <f t="shared" si="30"/>
        <v>0</v>
      </c>
      <c r="AM137" s="335">
        <f t="shared" si="31"/>
        <v>0</v>
      </c>
      <c r="AN137" s="335">
        <f t="shared" si="32"/>
        <v>0</v>
      </c>
      <c r="AO137" s="335">
        <f t="shared" si="33"/>
        <v>0</v>
      </c>
      <c r="AP137" s="335">
        <f t="shared" si="37"/>
        <v>0</v>
      </c>
      <c r="AQ137" s="335">
        <f t="shared" si="38"/>
        <v>0</v>
      </c>
      <c r="AR137" s="335">
        <f t="shared" si="39"/>
        <v>0</v>
      </c>
      <c r="AS137" s="335">
        <f t="shared" si="40"/>
        <v>0</v>
      </c>
      <c r="AT137" s="335" t="e">
        <f t="shared" si="41"/>
        <v>#DIV/0!</v>
      </c>
    </row>
    <row r="138" spans="2:46" ht="14.4" x14ac:dyDescent="0.55000000000000004">
      <c r="B138" s="3">
        <v>2039</v>
      </c>
      <c r="C138" s="707">
        <f>Compost!E132</f>
        <v>247.64994023604447</v>
      </c>
      <c r="D138" s="338">
        <f t="shared" si="15"/>
        <v>0.99999999999999978</v>
      </c>
      <c r="F138" s="3">
        <v>2039</v>
      </c>
      <c r="G138" s="707">
        <f>'H&amp;C Recycling'!E132</f>
        <v>566.29350095481277</v>
      </c>
      <c r="H138" s="338">
        <f t="shared" si="16"/>
        <v>0.7038306250576345</v>
      </c>
      <c r="J138" s="3">
        <v>2039</v>
      </c>
      <c r="K138" s="335">
        <f t="shared" si="17"/>
        <v>885.70625625020057</v>
      </c>
      <c r="L138" s="338">
        <f t="shared" si="18"/>
        <v>6.4178635365482254E-17</v>
      </c>
      <c r="M138" s="338">
        <f t="shared" si="19"/>
        <v>0.26904433625298874</v>
      </c>
      <c r="N138" s="338">
        <f t="shared" si="20"/>
        <v>0.73095566374701126</v>
      </c>
      <c r="Q138" s="3">
        <v>2039</v>
      </c>
      <c r="R138" s="707">
        <f>Paper!F141</f>
        <v>419.82299999999998</v>
      </c>
      <c r="S138" s="335">
        <f t="shared" si="14"/>
        <v>647.41200442224579</v>
      </c>
      <c r="T138" s="707">
        <f>Paper!G141</f>
        <v>468.27294690344701</v>
      </c>
      <c r="V138" s="335">
        <f t="shared" si="21"/>
        <v>417.43330934675356</v>
      </c>
      <c r="W138" s="335">
        <f t="shared" si="22"/>
        <v>0</v>
      </c>
      <c r="X138" s="335">
        <f t="shared" si="23"/>
        <v>238.29425182795478</v>
      </c>
      <c r="Y138" s="335">
        <f t="shared" si="24"/>
        <v>179.13905751879878</v>
      </c>
      <c r="Z138" s="338">
        <f t="shared" si="25"/>
        <v>0</v>
      </c>
      <c r="AA138" s="338">
        <f t="shared" si="26"/>
        <v>0.57085586246307063</v>
      </c>
      <c r="AB138" s="338">
        <f t="shared" si="27"/>
        <v>0.42914413753692932</v>
      </c>
      <c r="AC138" s="338">
        <f t="shared" si="28"/>
        <v>0.75440038616473215</v>
      </c>
      <c r="AE138" s="346">
        <f>MIN('WTE Tonnes and Composition'!G92,V138)</f>
        <v>417.43330934675356</v>
      </c>
      <c r="AF138" s="335">
        <f t="shared" si="42"/>
        <v>0</v>
      </c>
      <c r="AG138" s="335">
        <f t="shared" si="43"/>
        <v>2.0262402261319123</v>
      </c>
      <c r="AH138" s="335">
        <f t="shared" si="44"/>
        <v>0.91009492228021205</v>
      </c>
      <c r="AI138" s="335">
        <f t="shared" si="36"/>
        <v>2.9363351484121245</v>
      </c>
      <c r="AK138" s="335">
        <f t="shared" si="29"/>
        <v>0</v>
      </c>
      <c r="AL138" s="338">
        <f t="shared" si="30"/>
        <v>0</v>
      </c>
      <c r="AM138" s="335">
        <f t="shared" si="31"/>
        <v>0</v>
      </c>
      <c r="AN138" s="335">
        <f t="shared" si="32"/>
        <v>0</v>
      </c>
      <c r="AO138" s="335">
        <f t="shared" si="33"/>
        <v>0</v>
      </c>
      <c r="AP138" s="335">
        <f t="shared" si="37"/>
        <v>0</v>
      </c>
      <c r="AQ138" s="335">
        <f t="shared" si="38"/>
        <v>0</v>
      </c>
      <c r="AR138" s="335">
        <f t="shared" si="39"/>
        <v>0</v>
      </c>
      <c r="AS138" s="335">
        <f t="shared" si="40"/>
        <v>0</v>
      </c>
      <c r="AT138" s="335" t="e">
        <f t="shared" si="41"/>
        <v>#DIV/0!</v>
      </c>
    </row>
    <row r="139" spans="2:46" ht="14.4" x14ac:dyDescent="0.55000000000000004">
      <c r="B139" s="3">
        <v>2040</v>
      </c>
      <c r="C139" s="707">
        <f>Compost!E133</f>
        <v>233.56658906298981</v>
      </c>
      <c r="D139" s="338">
        <f t="shared" si="15"/>
        <v>1.0000000000000002</v>
      </c>
      <c r="F139" s="3">
        <v>2040</v>
      </c>
      <c r="G139" s="707">
        <f>'H&amp;C Recycling'!E133</f>
        <v>579.21950850013729</v>
      </c>
      <c r="H139" s="338">
        <f t="shared" si="16"/>
        <v>0.73415829894156015</v>
      </c>
      <c r="J139" s="3">
        <v>2040</v>
      </c>
      <c r="K139" s="335">
        <f t="shared" si="17"/>
        <v>869.99209744292136</v>
      </c>
      <c r="L139" s="338">
        <f t="shared" si="18"/>
        <v>-3.2668928274108496E-17</v>
      </c>
      <c r="M139" s="338">
        <f t="shared" si="19"/>
        <v>0.24108004720403498</v>
      </c>
      <c r="N139" s="338">
        <f t="shared" si="20"/>
        <v>0.75891995279596502</v>
      </c>
      <c r="Q139" s="3">
        <v>2040</v>
      </c>
      <c r="R139" s="707">
        <f>Paper!F142</f>
        <v>430.7</v>
      </c>
      <c r="S139" s="335">
        <f t="shared" si="14"/>
        <v>660.25436152424447</v>
      </c>
      <c r="T139" s="707">
        <f>Paper!G142</f>
        <v>480.40521417672363</v>
      </c>
      <c r="V139" s="335">
        <f t="shared" si="21"/>
        <v>389.58688326619773</v>
      </c>
      <c r="W139" s="335">
        <f t="shared" si="22"/>
        <v>0</v>
      </c>
      <c r="X139" s="335">
        <f t="shared" si="23"/>
        <v>209.73773591867689</v>
      </c>
      <c r="Y139" s="335">
        <f t="shared" si="24"/>
        <v>179.84914734752084</v>
      </c>
      <c r="Z139" s="338">
        <f t="shared" si="25"/>
        <v>0</v>
      </c>
      <c r="AA139" s="338">
        <f t="shared" si="26"/>
        <v>0.53835933633157473</v>
      </c>
      <c r="AB139" s="338">
        <f t="shared" si="27"/>
        <v>0.46164066366842527</v>
      </c>
      <c r="AC139" s="338">
        <f t="shared" si="28"/>
        <v>0.76848589765284103</v>
      </c>
      <c r="AE139" s="346">
        <f>MIN('WTE Tonnes and Composition'!G93,V139)</f>
        <v>389.58688326619773</v>
      </c>
      <c r="AF139" s="335">
        <f t="shared" si="42"/>
        <v>0</v>
      </c>
      <c r="AG139" s="335">
        <f t="shared" si="43"/>
        <v>1.9108945271789763</v>
      </c>
      <c r="AH139" s="335">
        <f t="shared" si="44"/>
        <v>0.97901098296268074</v>
      </c>
      <c r="AI139" s="335">
        <f t="shared" si="36"/>
        <v>2.8899055101416571</v>
      </c>
      <c r="AK139" s="335">
        <f t="shared" si="29"/>
        <v>0</v>
      </c>
      <c r="AL139" s="338">
        <f t="shared" si="30"/>
        <v>0</v>
      </c>
      <c r="AM139" s="335">
        <f t="shared" si="31"/>
        <v>0</v>
      </c>
      <c r="AN139" s="335">
        <f t="shared" si="32"/>
        <v>0</v>
      </c>
      <c r="AO139" s="335">
        <f t="shared" si="33"/>
        <v>0</v>
      </c>
      <c r="AP139" s="335">
        <f t="shared" si="37"/>
        <v>0</v>
      </c>
      <c r="AQ139" s="335">
        <f t="shared" si="38"/>
        <v>0</v>
      </c>
      <c r="AR139" s="335">
        <f t="shared" si="39"/>
        <v>0</v>
      </c>
      <c r="AS139" s="335">
        <f t="shared" si="40"/>
        <v>0</v>
      </c>
      <c r="AT139" s="335" t="e">
        <f t="shared" si="41"/>
        <v>#DIV/0!</v>
      </c>
    </row>
    <row r="140" spans="2:46" ht="14.4" x14ac:dyDescent="0.55000000000000004">
      <c r="B140" s="3">
        <v>2041</v>
      </c>
      <c r="C140" s="707">
        <f>Compost!E134</f>
        <v>226.1662288843844</v>
      </c>
      <c r="D140" s="338">
        <f t="shared" si="15"/>
        <v>1.0000000000000002</v>
      </c>
      <c r="F140" s="3">
        <v>2041</v>
      </c>
      <c r="G140" s="707">
        <f>'H&amp;C Recycling'!E134</f>
        <v>593.43396138421622</v>
      </c>
      <c r="H140" s="338">
        <f t="shared" si="16"/>
        <v>0.76815704738082813</v>
      </c>
      <c r="J140" s="3">
        <v>2041</v>
      </c>
      <c r="K140" s="335">
        <f t="shared" si="17"/>
        <v>853.84915864514687</v>
      </c>
      <c r="L140" s="338">
        <f t="shared" si="18"/>
        <v>-3.3286569580395698E-17</v>
      </c>
      <c r="M140" s="338">
        <f t="shared" si="19"/>
        <v>0.20976601204646239</v>
      </c>
      <c r="N140" s="338">
        <f t="shared" si="20"/>
        <v>0.79023398795353783</v>
      </c>
      <c r="Q140" s="3">
        <v>2041</v>
      </c>
      <c r="R140" s="707">
        <f>Paper!F143</f>
        <v>442.01499999999999</v>
      </c>
      <c r="S140" s="335">
        <f t="shared" si="14"/>
        <v>674.74062574692744</v>
      </c>
      <c r="T140" s="707">
        <f>Paper!G143</f>
        <v>493.02602912543415</v>
      </c>
      <c r="V140" s="335">
        <f t="shared" si="21"/>
        <v>360.82312951971272</v>
      </c>
      <c r="W140" s="335">
        <f t="shared" si="22"/>
        <v>0</v>
      </c>
      <c r="X140" s="335">
        <f t="shared" si="23"/>
        <v>179.10853289821966</v>
      </c>
      <c r="Y140" s="335">
        <f t="shared" si="24"/>
        <v>181.71459662149329</v>
      </c>
      <c r="Z140" s="338">
        <f t="shared" si="25"/>
        <v>0</v>
      </c>
      <c r="AA140" s="338">
        <f t="shared" si="26"/>
        <v>0.49638872412815899</v>
      </c>
      <c r="AB140" s="338">
        <f t="shared" si="27"/>
        <v>0.50361127587184162</v>
      </c>
      <c r="AC140" s="338">
        <f t="shared" si="28"/>
        <v>0.7843835968181968</v>
      </c>
      <c r="AE140" s="346">
        <f>MIN('WTE Tonnes and Composition'!G94,V140)</f>
        <v>360.82312951971272</v>
      </c>
      <c r="AF140" s="335">
        <f t="shared" si="42"/>
        <v>0</v>
      </c>
      <c r="AG140" s="335">
        <f t="shared" si="43"/>
        <v>1.761920769784227</v>
      </c>
      <c r="AH140" s="335">
        <f t="shared" si="44"/>
        <v>1.0680189355600389</v>
      </c>
      <c r="AI140" s="335">
        <f t="shared" si="36"/>
        <v>2.8299397053442661</v>
      </c>
      <c r="AK140" s="335">
        <f t="shared" si="29"/>
        <v>0</v>
      </c>
      <c r="AL140" s="338">
        <f t="shared" si="30"/>
        <v>0</v>
      </c>
      <c r="AM140" s="335">
        <f t="shared" si="31"/>
        <v>0</v>
      </c>
      <c r="AN140" s="335">
        <f t="shared" si="32"/>
        <v>0</v>
      </c>
      <c r="AO140" s="335">
        <f t="shared" si="33"/>
        <v>0</v>
      </c>
      <c r="AP140" s="335">
        <f t="shared" si="37"/>
        <v>0</v>
      </c>
      <c r="AQ140" s="335">
        <f t="shared" si="38"/>
        <v>0</v>
      </c>
      <c r="AR140" s="335">
        <f t="shared" si="39"/>
        <v>0</v>
      </c>
      <c r="AS140" s="335">
        <f t="shared" si="40"/>
        <v>0</v>
      </c>
      <c r="AT140" s="335" t="e">
        <f t="shared" si="41"/>
        <v>#DIV/0!</v>
      </c>
    </row>
    <row r="141" spans="2:46" ht="14.4" x14ac:dyDescent="0.55000000000000004">
      <c r="B141" s="3">
        <v>2042</v>
      </c>
      <c r="C141" s="707">
        <f>Compost!E135</f>
        <v>220.16366794479393</v>
      </c>
      <c r="D141" s="338">
        <f t="shared" si="15"/>
        <v>0.99999999999999989</v>
      </c>
      <c r="F141" s="3">
        <v>2042</v>
      </c>
      <c r="G141" s="707">
        <f>'H&amp;C Recycling'!E135</f>
        <v>606.76036179027813</v>
      </c>
      <c r="H141" s="338">
        <f t="shared" si="16"/>
        <v>0.80721255843920148</v>
      </c>
      <c r="J141" s="3">
        <v>2042</v>
      </c>
      <c r="K141" s="335">
        <f t="shared" si="17"/>
        <v>833.27901834522356</v>
      </c>
      <c r="L141" s="338">
        <f t="shared" si="18"/>
        <v>3.4108274425108621E-17</v>
      </c>
      <c r="M141" s="338">
        <f t="shared" si="19"/>
        <v>0.17390720891476977</v>
      </c>
      <c r="N141" s="338">
        <f t="shared" si="20"/>
        <v>0.82609279108522993</v>
      </c>
      <c r="Q141" s="3">
        <v>2042</v>
      </c>
      <c r="R141" s="707">
        <f>Paper!F144</f>
        <v>453.76800000000003</v>
      </c>
      <c r="S141" s="335">
        <f t="shared" si="14"/>
        <v>688.36579001756627</v>
      </c>
      <c r="T141" s="707">
        <f>Paper!G144</f>
        <v>506.13539174957867</v>
      </c>
      <c r="V141" s="335">
        <f t="shared" si="21"/>
        <v>327.14362659564489</v>
      </c>
      <c r="W141" s="335">
        <f t="shared" si="22"/>
        <v>0</v>
      </c>
      <c r="X141" s="335">
        <f t="shared" si="23"/>
        <v>144.91322832765707</v>
      </c>
      <c r="Y141" s="335">
        <f t="shared" si="24"/>
        <v>182.2303982679876</v>
      </c>
      <c r="Z141" s="338">
        <f t="shared" si="25"/>
        <v>0</v>
      </c>
      <c r="AA141" s="338">
        <f t="shared" si="26"/>
        <v>0.44296515825684202</v>
      </c>
      <c r="AB141" s="338">
        <f t="shared" si="27"/>
        <v>0.55703484174315732</v>
      </c>
      <c r="AC141" s="338">
        <f t="shared" si="28"/>
        <v>0.80294962897826061</v>
      </c>
      <c r="AE141" s="346">
        <f>MIN('WTE Tonnes and Composition'!G95,V141)</f>
        <v>327.14362659564489</v>
      </c>
      <c r="AF141" s="335">
        <f t="shared" si="42"/>
        <v>0</v>
      </c>
      <c r="AG141" s="335">
        <f t="shared" si="43"/>
        <v>1.572295007293484</v>
      </c>
      <c r="AH141" s="335">
        <f t="shared" si="44"/>
        <v>1.181315405852384</v>
      </c>
      <c r="AI141" s="335">
        <f t="shared" si="36"/>
        <v>2.7536104131458679</v>
      </c>
      <c r="AK141" s="335">
        <f t="shared" si="29"/>
        <v>0</v>
      </c>
      <c r="AL141" s="338">
        <f t="shared" si="30"/>
        <v>0</v>
      </c>
      <c r="AM141" s="335">
        <f t="shared" si="31"/>
        <v>0</v>
      </c>
      <c r="AN141" s="335">
        <f t="shared" si="32"/>
        <v>0</v>
      </c>
      <c r="AO141" s="335">
        <f t="shared" si="33"/>
        <v>0</v>
      </c>
      <c r="AP141" s="335">
        <f t="shared" si="37"/>
        <v>0</v>
      </c>
      <c r="AQ141" s="335">
        <f t="shared" si="38"/>
        <v>0</v>
      </c>
      <c r="AR141" s="335">
        <f t="shared" si="39"/>
        <v>0</v>
      </c>
      <c r="AS141" s="335">
        <f t="shared" si="40"/>
        <v>0</v>
      </c>
      <c r="AT141" s="335" t="e">
        <f t="shared" si="41"/>
        <v>#DIV/0!</v>
      </c>
    </row>
    <row r="142" spans="2:46" ht="14.4" x14ac:dyDescent="0.55000000000000004">
      <c r="B142" s="3">
        <v>2043</v>
      </c>
      <c r="C142" s="707">
        <f>Compost!E136</f>
        <v>217.99683626743365</v>
      </c>
      <c r="D142" s="338">
        <f t="shared" si="15"/>
        <v>1</v>
      </c>
      <c r="F142" s="3">
        <v>2043</v>
      </c>
      <c r="G142" s="707">
        <f>'H&amp;C Recycling'!E136</f>
        <v>620.07285346286392</v>
      </c>
      <c r="H142" s="338">
        <f t="shared" si="16"/>
        <v>0.85223435245661483</v>
      </c>
      <c r="J142" s="3">
        <v>2043</v>
      </c>
      <c r="K142" s="335">
        <f t="shared" si="17"/>
        <v>809.65174489188473</v>
      </c>
      <c r="L142" s="338">
        <f t="shared" si="18"/>
        <v>0</v>
      </c>
      <c r="M142" s="338">
        <f t="shared" si="19"/>
        <v>0.1327880237950379</v>
      </c>
      <c r="N142" s="338">
        <f t="shared" si="20"/>
        <v>0.86721197620496215</v>
      </c>
      <c r="Q142" s="3">
        <v>2043</v>
      </c>
      <c r="R142" s="707">
        <f>Paper!F145</f>
        <v>465.95899999999995</v>
      </c>
      <c r="S142" s="335">
        <f t="shared" si="14"/>
        <v>702.13968972548719</v>
      </c>
      <c r="T142" s="707">
        <f>Paper!G145</f>
        <v>519.73330204915703</v>
      </c>
      <c r="V142" s="335">
        <f t="shared" si="21"/>
        <v>289.9184428427277</v>
      </c>
      <c r="W142" s="335">
        <f t="shared" si="22"/>
        <v>0</v>
      </c>
      <c r="X142" s="335">
        <f t="shared" si="23"/>
        <v>107.51205516639754</v>
      </c>
      <c r="Y142" s="335">
        <f t="shared" si="24"/>
        <v>182.40638767633016</v>
      </c>
      <c r="Z142" s="338">
        <f t="shared" si="25"/>
        <v>0</v>
      </c>
      <c r="AA142" s="338">
        <f t="shared" si="26"/>
        <v>0.37083551536843656</v>
      </c>
      <c r="AB142" s="338">
        <f t="shared" si="27"/>
        <v>0.62916448463156349</v>
      </c>
      <c r="AC142" s="338">
        <f t="shared" si="28"/>
        <v>0.82404887334053212</v>
      </c>
      <c r="AE142" s="346">
        <f>MIN('WTE Tonnes and Composition'!G96,V142)</f>
        <v>289.9184428427277</v>
      </c>
      <c r="AF142" s="335">
        <f t="shared" si="42"/>
        <v>0</v>
      </c>
      <c r="AG142" s="335">
        <f t="shared" si="43"/>
        <v>1.3162724392035023</v>
      </c>
      <c r="AH142" s="335">
        <f t="shared" si="44"/>
        <v>1.3342822437903124</v>
      </c>
      <c r="AI142" s="335">
        <f t="shared" si="36"/>
        <v>2.6505546829938149</v>
      </c>
      <c r="AK142" s="335">
        <f t="shared" si="29"/>
        <v>0</v>
      </c>
      <c r="AL142" s="338">
        <f t="shared" si="30"/>
        <v>0</v>
      </c>
      <c r="AM142" s="335">
        <f t="shared" si="31"/>
        <v>0</v>
      </c>
      <c r="AN142" s="335">
        <f t="shared" si="32"/>
        <v>0</v>
      </c>
      <c r="AO142" s="335">
        <f t="shared" si="33"/>
        <v>0</v>
      </c>
      <c r="AP142" s="335">
        <f t="shared" si="37"/>
        <v>0</v>
      </c>
      <c r="AQ142" s="335">
        <f t="shared" si="38"/>
        <v>0</v>
      </c>
      <c r="AR142" s="335">
        <f t="shared" si="39"/>
        <v>0</v>
      </c>
      <c r="AS142" s="335">
        <f t="shared" si="40"/>
        <v>0</v>
      </c>
      <c r="AT142" s="335" t="e">
        <f t="shared" si="41"/>
        <v>#DIV/0!</v>
      </c>
    </row>
    <row r="143" spans="2:46" ht="14.4" x14ac:dyDescent="0.55000000000000004">
      <c r="B143" s="3">
        <v>2044</v>
      </c>
      <c r="C143" s="707">
        <f>Compost!E137</f>
        <v>219.88949973483886</v>
      </c>
      <c r="D143" s="338">
        <f t="shared" si="15"/>
        <v>0.99999999999999978</v>
      </c>
      <c r="F143" s="3">
        <v>2044</v>
      </c>
      <c r="G143" s="707">
        <f>'H&amp;C Recycling'!E137</f>
        <v>633.3699054478742</v>
      </c>
      <c r="H143" s="338">
        <f t="shared" si="16"/>
        <v>0.9046897029550397</v>
      </c>
      <c r="J143" s="3">
        <v>2044</v>
      </c>
      <c r="K143" s="335">
        <f t="shared" si="17"/>
        <v>782.78932401383565</v>
      </c>
      <c r="L143" s="338">
        <f t="shared" si="18"/>
        <v>7.2616497334605092E-17</v>
      </c>
      <c r="M143" s="338">
        <f t="shared" si="19"/>
        <v>8.5241818453700935E-2</v>
      </c>
      <c r="N143" s="338">
        <f t="shared" si="20"/>
        <v>0.91475818154629907</v>
      </c>
      <c r="Q143" s="3">
        <v>2044</v>
      </c>
      <c r="R143" s="707">
        <f>Paper!F146</f>
        <v>478.58800000000002</v>
      </c>
      <c r="S143" s="335">
        <f t="shared" si="14"/>
        <v>716.062938568753</v>
      </c>
      <c r="T143" s="707">
        <f>Paper!G146</f>
        <v>533.81976002416957</v>
      </c>
      <c r="V143" s="335">
        <f t="shared" si="21"/>
        <v>248.96956398966609</v>
      </c>
      <c r="W143" s="335">
        <f t="shared" si="22"/>
        <v>0</v>
      </c>
      <c r="X143" s="335">
        <f t="shared" si="23"/>
        <v>66.726385445082656</v>
      </c>
      <c r="Y143" s="335">
        <f t="shared" si="24"/>
        <v>182.24317854458343</v>
      </c>
      <c r="Z143" s="338">
        <f t="shared" si="25"/>
        <v>0</v>
      </c>
      <c r="AA143" s="338">
        <f t="shared" si="26"/>
        <v>0.2680102112716567</v>
      </c>
      <c r="AB143" s="338">
        <f t="shared" si="27"/>
        <v>0.7319897887283433</v>
      </c>
      <c r="AC143" s="338">
        <f t="shared" si="28"/>
        <v>0.8478226476102988</v>
      </c>
      <c r="AE143" s="346">
        <f>MIN('WTE Tonnes and Composition'!G97,V143)</f>
        <v>248.96956398966609</v>
      </c>
      <c r="AF143" s="335">
        <f t="shared" si="42"/>
        <v>0</v>
      </c>
      <c r="AG143" s="335">
        <f t="shared" si="43"/>
        <v>0.95129630227433104</v>
      </c>
      <c r="AH143" s="335">
        <f t="shared" si="44"/>
        <v>1.5523460106111864</v>
      </c>
      <c r="AI143" s="335">
        <f t="shared" si="36"/>
        <v>2.5036423128855176</v>
      </c>
      <c r="AK143" s="335">
        <f t="shared" si="29"/>
        <v>0</v>
      </c>
      <c r="AL143" s="338">
        <f t="shared" si="30"/>
        <v>0</v>
      </c>
      <c r="AM143" s="335">
        <f t="shared" si="31"/>
        <v>0</v>
      </c>
      <c r="AN143" s="335">
        <f t="shared" si="32"/>
        <v>0</v>
      </c>
      <c r="AO143" s="335">
        <f t="shared" si="33"/>
        <v>0</v>
      </c>
      <c r="AP143" s="335">
        <f t="shared" si="37"/>
        <v>0</v>
      </c>
      <c r="AQ143" s="335">
        <f t="shared" si="38"/>
        <v>0</v>
      </c>
      <c r="AR143" s="335">
        <f t="shared" si="39"/>
        <v>0</v>
      </c>
      <c r="AS143" s="335">
        <f t="shared" si="40"/>
        <v>0</v>
      </c>
      <c r="AT143" s="335" t="e">
        <f t="shared" si="41"/>
        <v>#DIV/0!</v>
      </c>
    </row>
    <row r="144" spans="2:46" ht="14.4" x14ac:dyDescent="0.55000000000000004">
      <c r="B144" s="3">
        <v>2045</v>
      </c>
      <c r="C144" s="707">
        <f>Compost!E138</f>
        <v>226.11673959355198</v>
      </c>
      <c r="D144" s="338">
        <f t="shared" si="15"/>
        <v>1</v>
      </c>
      <c r="F144" s="3">
        <v>2045</v>
      </c>
      <c r="G144" s="707">
        <f>'H&amp;C Recycling'!E138</f>
        <v>646.67091495402178</v>
      </c>
      <c r="H144" s="338">
        <f t="shared" si="16"/>
        <v>0.96654159612462698</v>
      </c>
      <c r="J144" s="3">
        <v>2045</v>
      </c>
      <c r="K144" s="335">
        <f t="shared" si="17"/>
        <v>752.545705008195</v>
      </c>
      <c r="L144" s="338">
        <f t="shared" si="18"/>
        <v>0</v>
      </c>
      <c r="M144" s="338">
        <f t="shared" si="19"/>
        <v>2.9746448177435578E-2</v>
      </c>
      <c r="N144" s="338">
        <f t="shared" si="20"/>
        <v>0.97025355182256445</v>
      </c>
      <c r="Q144" s="3">
        <v>2045</v>
      </c>
      <c r="R144" s="707">
        <f>Paper!F147</f>
        <v>491.65499999999997</v>
      </c>
      <c r="S144" s="335">
        <f t="shared" si="14"/>
        <v>730.16014319301701</v>
      </c>
      <c r="T144" s="707">
        <f>Paper!G147</f>
        <v>548.39476567461588</v>
      </c>
      <c r="V144" s="335">
        <f t="shared" si="21"/>
        <v>204.15093933357912</v>
      </c>
      <c r="W144" s="335">
        <f t="shared" si="22"/>
        <v>0</v>
      </c>
      <c r="X144" s="335">
        <f t="shared" si="23"/>
        <v>22.385561815177994</v>
      </c>
      <c r="Y144" s="335">
        <f t="shared" si="24"/>
        <v>181.76537751840112</v>
      </c>
      <c r="Z144" s="338">
        <f t="shared" si="25"/>
        <v>0</v>
      </c>
      <c r="AA144" s="338">
        <f t="shared" si="26"/>
        <v>0.1096520147703086</v>
      </c>
      <c r="AB144" s="338">
        <f t="shared" si="27"/>
        <v>0.89034798522969139</v>
      </c>
      <c r="AC144" s="338">
        <f t="shared" si="28"/>
        <v>0.87439441999186118</v>
      </c>
      <c r="AD144" s="533"/>
      <c r="AE144" s="346">
        <f>MIN('WTE Tonnes and Composition'!G98,V144)</f>
        <v>204.15093933357912</v>
      </c>
      <c r="AF144" s="335">
        <f t="shared" si="42"/>
        <v>0</v>
      </c>
      <c r="AG144" s="335">
        <f t="shared" si="43"/>
        <v>0.38920739509508506</v>
      </c>
      <c r="AH144" s="335">
        <f t="shared" si="44"/>
        <v>1.888179540493502</v>
      </c>
      <c r="AI144" s="335">
        <f t="shared" si="36"/>
        <v>2.277386935588587</v>
      </c>
      <c r="AK144" s="335">
        <f t="shared" si="29"/>
        <v>0</v>
      </c>
      <c r="AL144" s="338">
        <f t="shared" si="30"/>
        <v>0</v>
      </c>
      <c r="AM144" s="335">
        <f t="shared" si="31"/>
        <v>0</v>
      </c>
      <c r="AN144" s="335">
        <f t="shared" si="32"/>
        <v>0</v>
      </c>
      <c r="AO144" s="335">
        <f t="shared" si="33"/>
        <v>0</v>
      </c>
      <c r="AP144" s="335">
        <f t="shared" si="37"/>
        <v>0</v>
      </c>
      <c r="AQ144" s="335">
        <f t="shared" si="38"/>
        <v>0</v>
      </c>
      <c r="AR144" s="335">
        <f t="shared" si="39"/>
        <v>0</v>
      </c>
      <c r="AS144" s="335">
        <f t="shared" si="40"/>
        <v>0</v>
      </c>
      <c r="AT144" s="335" t="e">
        <f t="shared" si="41"/>
        <v>#DIV/0!</v>
      </c>
    </row>
    <row r="145" spans="2:46" ht="14.4" x14ac:dyDescent="0.55000000000000004">
      <c r="B145" s="3">
        <v>2046</v>
      </c>
      <c r="C145" s="707">
        <f>Compost!E139</f>
        <v>236.69671679163321</v>
      </c>
      <c r="D145" s="338">
        <f t="shared" si="15"/>
        <v>0.99999999999999978</v>
      </c>
      <c r="F145" s="3">
        <v>2046</v>
      </c>
      <c r="G145" s="707">
        <f>'H&amp;C Recycling'!E139</f>
        <v>633.22989607655165</v>
      </c>
      <c r="H145" s="338">
        <f t="shared" si="16"/>
        <v>0.99853985537405854</v>
      </c>
      <c r="J145" s="3">
        <v>2046</v>
      </c>
      <c r="K145" s="335">
        <f t="shared" si="17"/>
        <v>745.26177555682864</v>
      </c>
      <c r="L145" s="338">
        <f t="shared" si="18"/>
        <v>7.6273090510159296E-17</v>
      </c>
      <c r="M145" s="338">
        <f t="shared" si="19"/>
        <v>1.2424617692128579E-3</v>
      </c>
      <c r="N145" s="338">
        <f t="shared" si="20"/>
        <v>0.99875753823078717</v>
      </c>
      <c r="Q145" s="3">
        <v>2046</v>
      </c>
      <c r="R145" s="707">
        <f>Paper!F148</f>
        <v>505.15999999999997</v>
      </c>
      <c r="S145" s="335">
        <f t="shared" si="14"/>
        <v>744.33581629264359</v>
      </c>
      <c r="T145" s="707">
        <f>Paper!G148</f>
        <v>563.4583190004962</v>
      </c>
      <c r="V145" s="335">
        <f t="shared" si="21"/>
        <v>181.80345655633243</v>
      </c>
      <c r="W145" s="335">
        <f t="shared" si="22"/>
        <v>0</v>
      </c>
      <c r="X145" s="335">
        <f t="shared" si="23"/>
        <v>0.92595926418505314</v>
      </c>
      <c r="Y145" s="335">
        <f t="shared" si="24"/>
        <v>180.87749729214738</v>
      </c>
      <c r="Z145" s="338">
        <f t="shared" si="25"/>
        <v>0</v>
      </c>
      <c r="AA145" s="338">
        <f t="shared" si="26"/>
        <v>5.0931884449520433E-3</v>
      </c>
      <c r="AB145" s="338">
        <f t="shared" si="27"/>
        <v>0.99490681155504801</v>
      </c>
      <c r="AC145" s="338">
        <f t="shared" si="28"/>
        <v>0.88744133015120863</v>
      </c>
      <c r="AD145" s="533"/>
      <c r="AE145" s="346">
        <f>MIN('WTE Tonnes and Composition'!G99,V145)</f>
        <v>181.80345655633243</v>
      </c>
      <c r="AF145" s="335">
        <f t="shared" si="42"/>
        <v>0</v>
      </c>
      <c r="AG145" s="335">
        <f t="shared" si="43"/>
        <v>1.807815945325373E-2</v>
      </c>
      <c r="AH145" s="335">
        <f t="shared" si="44"/>
        <v>2.1099196240571438</v>
      </c>
      <c r="AI145" s="335">
        <f t="shared" si="36"/>
        <v>2.1279977835103976</v>
      </c>
      <c r="AK145" s="335">
        <f t="shared" si="29"/>
        <v>0</v>
      </c>
      <c r="AL145" s="338">
        <f t="shared" si="30"/>
        <v>0</v>
      </c>
      <c r="AM145" s="335">
        <f t="shared" si="31"/>
        <v>0</v>
      </c>
      <c r="AN145" s="335">
        <f t="shared" si="32"/>
        <v>0</v>
      </c>
      <c r="AO145" s="335">
        <f t="shared" si="33"/>
        <v>0</v>
      </c>
      <c r="AP145" s="335">
        <f t="shared" si="37"/>
        <v>0</v>
      </c>
      <c r="AQ145" s="335">
        <f t="shared" si="38"/>
        <v>0</v>
      </c>
      <c r="AR145" s="335">
        <f t="shared" si="39"/>
        <v>0</v>
      </c>
      <c r="AS145" s="335">
        <f t="shared" si="40"/>
        <v>0</v>
      </c>
      <c r="AT145" s="335" t="e">
        <f t="shared" si="41"/>
        <v>#DIV/0!</v>
      </c>
    </row>
    <row r="146" spans="2:46" ht="14.4" x14ac:dyDescent="0.55000000000000004">
      <c r="B146" s="3">
        <v>2047</v>
      </c>
      <c r="C146" s="707">
        <f>Compost!E140</f>
        <v>251.86249608926403</v>
      </c>
      <c r="D146" s="338">
        <f t="shared" si="15"/>
        <v>1</v>
      </c>
      <c r="F146" s="3">
        <v>2047</v>
      </c>
      <c r="G146" s="707">
        <f>'H&amp;C Recycling'!E140</f>
        <v>595.21676766664029</v>
      </c>
      <c r="H146" s="338">
        <f t="shared" si="16"/>
        <v>1</v>
      </c>
      <c r="J146" s="3">
        <v>2047</v>
      </c>
      <c r="K146" s="335">
        <f t="shared" si="17"/>
        <v>758.59459111571744</v>
      </c>
      <c r="L146" s="338">
        <f t="shared" si="18"/>
        <v>0</v>
      </c>
      <c r="M146" s="338">
        <f t="shared" si="19"/>
        <v>0</v>
      </c>
      <c r="N146" s="338">
        <f t="shared" si="20"/>
        <v>1</v>
      </c>
      <c r="Q146" s="3">
        <v>2047</v>
      </c>
      <c r="R146" s="707">
        <f>Paper!F149</f>
        <v>519.10299999999995</v>
      </c>
      <c r="S146" s="335">
        <f t="shared" si="14"/>
        <v>758.59459111571744</v>
      </c>
      <c r="T146" s="707">
        <f>Paper!G149</f>
        <v>579.01042000181042</v>
      </c>
      <c r="V146" s="335">
        <f t="shared" si="21"/>
        <v>179.58417111390702</v>
      </c>
      <c r="W146" s="335">
        <f t="shared" si="22"/>
        <v>0</v>
      </c>
      <c r="X146" s="335">
        <f t="shared" si="23"/>
        <v>0</v>
      </c>
      <c r="Y146" s="335">
        <f t="shared" si="24"/>
        <v>179.58417111390702</v>
      </c>
      <c r="Z146" s="338">
        <f t="shared" si="25"/>
        <v>0</v>
      </c>
      <c r="AA146" s="338">
        <f t="shared" si="26"/>
        <v>0</v>
      </c>
      <c r="AB146" s="338">
        <f t="shared" si="27"/>
        <v>1</v>
      </c>
      <c r="AC146" s="338">
        <f t="shared" si="28"/>
        <v>0.88815650789290257</v>
      </c>
      <c r="AD146" s="533"/>
      <c r="AE146" s="346">
        <f>MIN('WTE Tonnes and Composition'!G100,V146)</f>
        <v>179.58417111390702</v>
      </c>
      <c r="AF146" s="335">
        <f t="shared" si="42"/>
        <v>0</v>
      </c>
      <c r="AG146" s="335">
        <f t="shared" si="43"/>
        <v>0</v>
      </c>
      <c r="AH146" s="335">
        <f t="shared" si="44"/>
        <v>2.1207208550108536</v>
      </c>
      <c r="AI146" s="335">
        <f t="shared" si="36"/>
        <v>2.1207208550108536</v>
      </c>
      <c r="AK146" s="335">
        <f t="shared" si="29"/>
        <v>0</v>
      </c>
      <c r="AL146" s="338">
        <f t="shared" si="30"/>
        <v>0</v>
      </c>
      <c r="AM146" s="335">
        <f t="shared" si="31"/>
        <v>0</v>
      </c>
      <c r="AN146" s="335">
        <f t="shared" si="32"/>
        <v>0</v>
      </c>
      <c r="AO146" s="335">
        <f t="shared" si="33"/>
        <v>0</v>
      </c>
      <c r="AP146" s="335">
        <f t="shared" si="37"/>
        <v>0</v>
      </c>
      <c r="AQ146" s="335">
        <f t="shared" si="38"/>
        <v>0</v>
      </c>
      <c r="AR146" s="335">
        <f t="shared" si="39"/>
        <v>0</v>
      </c>
      <c r="AS146" s="335">
        <f t="shared" si="40"/>
        <v>0</v>
      </c>
      <c r="AT146" s="335" t="e">
        <f t="shared" si="41"/>
        <v>#DIV/0!</v>
      </c>
    </row>
    <row r="147" spans="2:46" ht="14.4" x14ac:dyDescent="0.55000000000000004">
      <c r="B147" s="3">
        <v>2048</v>
      </c>
      <c r="C147" s="707">
        <f>Compost!E141</f>
        <v>271.86816860327144</v>
      </c>
      <c r="D147" s="338">
        <f t="shared" si="15"/>
        <v>1</v>
      </c>
      <c r="F147" s="3">
        <v>2048</v>
      </c>
      <c r="G147" s="707">
        <f>'H&amp;C Recycling'!E141</f>
        <v>552.0701157972876</v>
      </c>
      <c r="H147" s="338">
        <f t="shared" si="16"/>
        <v>1</v>
      </c>
      <c r="J147" s="3">
        <v>2048</v>
      </c>
      <c r="K147" s="335">
        <f t="shared" si="17"/>
        <v>772.94968454845889</v>
      </c>
      <c r="L147" s="338">
        <f t="shared" si="18"/>
        <v>0</v>
      </c>
      <c r="M147" s="338">
        <f t="shared" si="19"/>
        <v>0</v>
      </c>
      <c r="N147" s="338">
        <f t="shared" si="20"/>
        <v>1</v>
      </c>
      <c r="Q147" s="3">
        <v>2048</v>
      </c>
      <c r="R147" s="707">
        <f>Paper!F150</f>
        <v>533.48399999999992</v>
      </c>
      <c r="S147" s="335">
        <f t="shared" si="14"/>
        <v>772.94968454845889</v>
      </c>
      <c r="T147" s="707">
        <f>Paper!G150</f>
        <v>595.05106867855864</v>
      </c>
      <c r="V147" s="335">
        <f t="shared" si="21"/>
        <v>177.89861586990025</v>
      </c>
      <c r="W147" s="335">
        <f t="shared" si="22"/>
        <v>0</v>
      </c>
      <c r="X147" s="335">
        <f t="shared" si="23"/>
        <v>0</v>
      </c>
      <c r="Y147" s="335">
        <f t="shared" si="24"/>
        <v>177.89861586990025</v>
      </c>
      <c r="Z147" s="338">
        <f t="shared" si="25"/>
        <v>0</v>
      </c>
      <c r="AA147" s="338">
        <f t="shared" si="26"/>
        <v>0</v>
      </c>
      <c r="AB147" s="338">
        <f t="shared" si="27"/>
        <v>1</v>
      </c>
      <c r="AC147" s="338">
        <f t="shared" si="28"/>
        <v>0.88859668346866993</v>
      </c>
      <c r="AD147" s="533"/>
      <c r="AE147" s="346">
        <f>MIN('WTE Tonnes and Composition'!G101,V147)</f>
        <v>177.89861586990025</v>
      </c>
      <c r="AF147" s="335">
        <f t="shared" si="42"/>
        <v>0</v>
      </c>
      <c r="AG147" s="335">
        <f t="shared" si="43"/>
        <v>0</v>
      </c>
      <c r="AH147" s="335">
        <f t="shared" si="44"/>
        <v>2.1207208550108536</v>
      </c>
      <c r="AI147" s="335">
        <f t="shared" si="36"/>
        <v>2.1207208550108536</v>
      </c>
      <c r="AK147" s="335">
        <f t="shared" si="29"/>
        <v>0</v>
      </c>
      <c r="AL147" s="338">
        <f t="shared" si="30"/>
        <v>0</v>
      </c>
      <c r="AM147" s="335">
        <f t="shared" si="31"/>
        <v>0</v>
      </c>
      <c r="AN147" s="335">
        <f t="shared" si="32"/>
        <v>0</v>
      </c>
      <c r="AO147" s="335">
        <f t="shared" si="33"/>
        <v>0</v>
      </c>
      <c r="AP147" s="335">
        <f t="shared" si="37"/>
        <v>0</v>
      </c>
      <c r="AQ147" s="335">
        <f t="shared" si="38"/>
        <v>0</v>
      </c>
      <c r="AR147" s="335">
        <f t="shared" si="39"/>
        <v>0</v>
      </c>
      <c r="AS147" s="335">
        <f t="shared" si="40"/>
        <v>0</v>
      </c>
      <c r="AT147" s="335" t="e">
        <f t="shared" si="41"/>
        <v>#DIV/0!</v>
      </c>
    </row>
    <row r="148" spans="2:46" ht="14.4" x14ac:dyDescent="0.55000000000000004">
      <c r="B148" s="3">
        <v>2049</v>
      </c>
      <c r="C148" s="707">
        <f>Compost!E142</f>
        <v>296.93272539878001</v>
      </c>
      <c r="D148" s="338">
        <f t="shared" si="15"/>
        <v>1</v>
      </c>
      <c r="F148" s="3">
        <v>2049</v>
      </c>
      <c r="G148" s="707">
        <f>'H&amp;C Recycling'!E142</f>
        <v>504.52319667456447</v>
      </c>
      <c r="H148" s="338">
        <f t="shared" si="16"/>
        <v>1</v>
      </c>
      <c r="J148" s="3">
        <v>2049</v>
      </c>
      <c r="K148" s="335">
        <f t="shared" si="17"/>
        <v>787.39725147288448</v>
      </c>
      <c r="L148" s="338">
        <f t="shared" si="18"/>
        <v>0</v>
      </c>
      <c r="M148" s="338">
        <f t="shared" si="19"/>
        <v>0</v>
      </c>
      <c r="N148" s="338">
        <f t="shared" si="20"/>
        <v>1</v>
      </c>
      <c r="Q148" s="3">
        <v>2049</v>
      </c>
      <c r="R148" s="707">
        <f>Paper!F151</f>
        <v>548.303</v>
      </c>
      <c r="S148" s="335">
        <f t="shared" si="14"/>
        <v>787.39725147288448</v>
      </c>
      <c r="T148" s="707">
        <f>Paper!G151</f>
        <v>611.58026503074086</v>
      </c>
      <c r="V148" s="335">
        <f t="shared" si="21"/>
        <v>175.81698644214362</v>
      </c>
      <c r="W148" s="335">
        <f t="shared" si="22"/>
        <v>0</v>
      </c>
      <c r="X148" s="335">
        <f t="shared" si="23"/>
        <v>0</v>
      </c>
      <c r="Y148" s="335">
        <f t="shared" si="24"/>
        <v>175.81698644214362</v>
      </c>
      <c r="Z148" s="338">
        <f t="shared" si="25"/>
        <v>0</v>
      </c>
      <c r="AA148" s="338">
        <f t="shared" si="26"/>
        <v>0</v>
      </c>
      <c r="AB148" s="338">
        <f t="shared" si="27"/>
        <v>1</v>
      </c>
      <c r="AC148" s="338">
        <f t="shared" si="28"/>
        <v>0.88934346523050323</v>
      </c>
      <c r="AD148" s="533"/>
      <c r="AE148" s="346">
        <f>MIN('WTE Tonnes and Composition'!G102,V148)</f>
        <v>175.81698644214362</v>
      </c>
      <c r="AF148" s="335">
        <f t="shared" si="42"/>
        <v>0</v>
      </c>
      <c r="AG148" s="335">
        <f t="shared" si="43"/>
        <v>0</v>
      </c>
      <c r="AH148" s="335">
        <f t="shared" si="44"/>
        <v>2.1207208550108536</v>
      </c>
      <c r="AI148" s="335">
        <f t="shared" si="36"/>
        <v>2.1207208550108536</v>
      </c>
      <c r="AK148" s="335">
        <f t="shared" si="29"/>
        <v>0</v>
      </c>
      <c r="AL148" s="338">
        <f t="shared" si="30"/>
        <v>0</v>
      </c>
      <c r="AM148" s="335">
        <f t="shared" si="31"/>
        <v>0</v>
      </c>
      <c r="AN148" s="335">
        <f t="shared" si="32"/>
        <v>0</v>
      </c>
      <c r="AO148" s="335">
        <f t="shared" si="33"/>
        <v>0</v>
      </c>
      <c r="AP148" s="335">
        <f t="shared" si="37"/>
        <v>0</v>
      </c>
      <c r="AQ148" s="335">
        <f t="shared" si="38"/>
        <v>0</v>
      </c>
      <c r="AR148" s="335">
        <f t="shared" si="39"/>
        <v>0</v>
      </c>
      <c r="AS148" s="335">
        <f t="shared" si="40"/>
        <v>0</v>
      </c>
      <c r="AT148" s="335" t="e">
        <f t="shared" si="41"/>
        <v>#DIV/0!</v>
      </c>
    </row>
    <row r="149" spans="2:46" ht="14.4" x14ac:dyDescent="0.55000000000000004">
      <c r="B149" s="3">
        <v>2050</v>
      </c>
      <c r="C149" s="707">
        <f>Compost!E143</f>
        <v>326.95413735407749</v>
      </c>
      <c r="D149" s="338">
        <f t="shared" si="15"/>
        <v>1</v>
      </c>
      <c r="F149" s="3">
        <v>2050</v>
      </c>
      <c r="G149" s="707">
        <f>'H&amp;C Recycling'!E143</f>
        <v>452.19165851611262</v>
      </c>
      <c r="H149" s="338">
        <f t="shared" si="16"/>
        <v>1</v>
      </c>
      <c r="J149" s="3">
        <v>2050</v>
      </c>
      <c r="K149" s="335">
        <f t="shared" si="17"/>
        <v>801.77660768089561</v>
      </c>
      <c r="L149" s="338">
        <f t="shared" si="18"/>
        <v>0</v>
      </c>
      <c r="M149" s="338">
        <f t="shared" si="19"/>
        <v>0</v>
      </c>
      <c r="N149" s="338">
        <f t="shared" si="20"/>
        <v>1</v>
      </c>
      <c r="Q149" s="3">
        <v>2050</v>
      </c>
      <c r="R149" s="707">
        <f>Paper!F152</f>
        <v>563.55999999999995</v>
      </c>
      <c r="S149" s="335">
        <f t="shared" si="14"/>
        <v>801.77660768089561</v>
      </c>
      <c r="T149" s="707">
        <f>Paper!G152</f>
        <v>628.59800905835698</v>
      </c>
      <c r="V149" s="335">
        <f t="shared" si="21"/>
        <v>173.17859862253863</v>
      </c>
      <c r="W149" s="335">
        <f t="shared" si="22"/>
        <v>0</v>
      </c>
      <c r="X149" s="335">
        <f t="shared" si="23"/>
        <v>0</v>
      </c>
      <c r="Y149" s="335">
        <f t="shared" si="24"/>
        <v>173.17859862253863</v>
      </c>
      <c r="Z149" s="338">
        <f t="shared" si="25"/>
        <v>0</v>
      </c>
      <c r="AA149" s="338">
        <f t="shared" si="26"/>
        <v>0</v>
      </c>
      <c r="AB149" s="338">
        <f t="shared" si="27"/>
        <v>1</v>
      </c>
      <c r="AC149" s="338">
        <f t="shared" si="28"/>
        <v>0.89045724304144036</v>
      </c>
      <c r="AD149" s="533"/>
      <c r="AE149" s="346">
        <f>MIN('WTE Tonnes and Composition'!G103,V149)</f>
        <v>173.17859862253863</v>
      </c>
      <c r="AF149" s="335">
        <f t="shared" si="42"/>
        <v>0</v>
      </c>
      <c r="AG149" s="335">
        <f t="shared" si="43"/>
        <v>0</v>
      </c>
      <c r="AH149" s="335">
        <f t="shared" si="44"/>
        <v>2.1207208550108536</v>
      </c>
      <c r="AI149" s="335">
        <f t="shared" si="36"/>
        <v>2.1207208550108536</v>
      </c>
      <c r="AK149" s="335">
        <f t="shared" si="29"/>
        <v>0</v>
      </c>
      <c r="AL149" s="338">
        <f t="shared" si="30"/>
        <v>0</v>
      </c>
      <c r="AM149" s="335">
        <f t="shared" si="31"/>
        <v>0</v>
      </c>
      <c r="AN149" s="335">
        <f t="shared" si="32"/>
        <v>0</v>
      </c>
      <c r="AO149" s="335">
        <f t="shared" si="33"/>
        <v>0</v>
      </c>
      <c r="AP149" s="335">
        <f t="shared" si="37"/>
        <v>0</v>
      </c>
      <c r="AQ149" s="335">
        <f t="shared" si="38"/>
        <v>0</v>
      </c>
      <c r="AR149" s="335">
        <f t="shared" si="39"/>
        <v>0</v>
      </c>
      <c r="AS149" s="335">
        <f t="shared" si="40"/>
        <v>0</v>
      </c>
      <c r="AT149" s="335" t="e">
        <f t="shared" si="41"/>
        <v>#DIV/0!</v>
      </c>
    </row>
    <row r="150" spans="2:46" ht="14.4" x14ac:dyDescent="0.55000000000000004">
      <c r="B150" s="3">
        <v>2051</v>
      </c>
      <c r="C150" s="707">
        <f>Compost!E144</f>
        <v>392.84757267794237</v>
      </c>
      <c r="D150" s="338">
        <f t="shared" si="15"/>
        <v>1</v>
      </c>
      <c r="F150" s="3">
        <v>2051</v>
      </c>
      <c r="G150" s="707">
        <f>'H&amp;C Recycling'!E144</f>
        <v>397.51600749549596</v>
      </c>
      <c r="H150" s="338">
        <f t="shared" si="16"/>
        <v>1</v>
      </c>
      <c r="J150" s="3">
        <v>2051</v>
      </c>
      <c r="K150" s="335">
        <f t="shared" si="17"/>
        <v>816.5558508814712</v>
      </c>
      <c r="L150" s="338">
        <f t="shared" si="18"/>
        <v>0</v>
      </c>
      <c r="M150" s="338">
        <f t="shared" si="19"/>
        <v>0</v>
      </c>
      <c r="N150" s="338">
        <f t="shared" si="20"/>
        <v>1</v>
      </c>
      <c r="Q150" s="3">
        <v>2051</v>
      </c>
      <c r="R150" s="707">
        <f>Paper!F153</f>
        <v>579.255</v>
      </c>
      <c r="S150" s="335">
        <f t="shared" si="14"/>
        <v>816.5558508814712</v>
      </c>
      <c r="T150" s="707">
        <f>Paper!G153</f>
        <v>646.1043007614071</v>
      </c>
      <c r="V150" s="335">
        <f t="shared" si="21"/>
        <v>170.4515501200641</v>
      </c>
      <c r="W150" s="335">
        <f t="shared" si="22"/>
        <v>0</v>
      </c>
      <c r="X150" s="335">
        <f t="shared" si="23"/>
        <v>0</v>
      </c>
      <c r="Y150" s="335">
        <f t="shared" si="24"/>
        <v>170.4515501200641</v>
      </c>
      <c r="Z150" s="338">
        <f t="shared" si="25"/>
        <v>0</v>
      </c>
      <c r="AA150" s="338">
        <f t="shared" si="26"/>
        <v>0</v>
      </c>
      <c r="AB150" s="338">
        <f t="shared" si="27"/>
        <v>1</v>
      </c>
      <c r="AC150" s="338">
        <f t="shared" si="28"/>
        <v>0.89392651129486556</v>
      </c>
      <c r="AD150" s="533"/>
      <c r="AE150" s="346">
        <f>MIN('WTE Tonnes and Composition'!G104,V150)</f>
        <v>170.4515501200641</v>
      </c>
      <c r="AF150" s="335">
        <f t="shared" si="42"/>
        <v>0</v>
      </c>
      <c r="AG150" s="335">
        <f t="shared" si="43"/>
        <v>0</v>
      </c>
      <c r="AH150" s="335">
        <f t="shared" si="44"/>
        <v>2.1207208550108536</v>
      </c>
      <c r="AI150" s="335">
        <f t="shared" si="36"/>
        <v>2.1207208550108536</v>
      </c>
      <c r="AK150" s="335">
        <f t="shared" si="29"/>
        <v>0</v>
      </c>
      <c r="AL150" s="338">
        <f t="shared" si="30"/>
        <v>0</v>
      </c>
      <c r="AM150" s="335">
        <f t="shared" si="31"/>
        <v>0</v>
      </c>
      <c r="AN150" s="335">
        <f t="shared" si="32"/>
        <v>0</v>
      </c>
      <c r="AO150" s="335">
        <f t="shared" si="33"/>
        <v>0</v>
      </c>
      <c r="AP150" s="335">
        <f t="shared" si="37"/>
        <v>0</v>
      </c>
      <c r="AQ150" s="335">
        <f t="shared" si="38"/>
        <v>0</v>
      </c>
      <c r="AR150" s="335">
        <f t="shared" si="39"/>
        <v>0</v>
      </c>
      <c r="AS150" s="335">
        <f t="shared" si="40"/>
        <v>0</v>
      </c>
      <c r="AT150" s="335" t="e">
        <f t="shared" si="41"/>
        <v>#DIV/0!</v>
      </c>
    </row>
    <row r="151" spans="2:46" ht="14.4" x14ac:dyDescent="0.55000000000000004">
      <c r="B151" s="3">
        <v>2052</v>
      </c>
      <c r="C151" s="707">
        <f>Compost!E145</f>
        <v>406.9974833644302</v>
      </c>
      <c r="D151" s="338">
        <f t="shared" si="15"/>
        <v>1</v>
      </c>
      <c r="F151" s="3">
        <v>2052</v>
      </c>
      <c r="G151" s="707">
        <f>'H&amp;C Recycling'!E145</f>
        <v>393.89926677972358</v>
      </c>
      <c r="H151" s="338">
        <f t="shared" si="16"/>
        <v>1</v>
      </c>
      <c r="J151" s="3">
        <v>2052</v>
      </c>
      <c r="K151" s="335">
        <f t="shared" si="17"/>
        <v>831.26104015165879</v>
      </c>
      <c r="L151" s="338">
        <f t="shared" si="18"/>
        <v>0</v>
      </c>
      <c r="M151" s="338">
        <f t="shared" si="19"/>
        <v>0</v>
      </c>
      <c r="N151" s="338">
        <f t="shared" si="20"/>
        <v>1</v>
      </c>
      <c r="Q151" s="3">
        <v>2052</v>
      </c>
      <c r="R151" s="707">
        <f>Paper!F154</f>
        <v>595.38800000000003</v>
      </c>
      <c r="S151" s="335">
        <f t="shared" si="14"/>
        <v>831.26104015165879</v>
      </c>
      <c r="T151" s="707">
        <f>Paper!G154</f>
        <v>664.09914013989123</v>
      </c>
      <c r="V151" s="335">
        <f t="shared" si="21"/>
        <v>167.16190001176756</v>
      </c>
      <c r="W151" s="335">
        <f t="shared" si="22"/>
        <v>0</v>
      </c>
      <c r="X151" s="335">
        <f t="shared" si="23"/>
        <v>0</v>
      </c>
      <c r="Y151" s="335">
        <f t="shared" si="24"/>
        <v>167.16190001176756</v>
      </c>
      <c r="Z151" s="338">
        <f t="shared" si="25"/>
        <v>0</v>
      </c>
      <c r="AA151" s="338">
        <f t="shared" si="26"/>
        <v>0</v>
      </c>
      <c r="AB151" s="338">
        <f t="shared" si="27"/>
        <v>1</v>
      </c>
      <c r="AC151" s="338">
        <f t="shared" si="28"/>
        <v>0.89758226747092196</v>
      </c>
      <c r="AD151" s="533"/>
      <c r="AE151" s="346">
        <f>MIN('WTE Tonnes and Composition'!G105,V151)</f>
        <v>167.16190001176756</v>
      </c>
      <c r="AF151" s="335">
        <f t="shared" si="42"/>
        <v>0</v>
      </c>
      <c r="AG151" s="335">
        <f t="shared" si="43"/>
        <v>0</v>
      </c>
      <c r="AH151" s="335">
        <f t="shared" si="44"/>
        <v>2.1207208550108536</v>
      </c>
      <c r="AI151" s="335">
        <f t="shared" si="36"/>
        <v>2.1207208550108536</v>
      </c>
      <c r="AK151" s="335">
        <f t="shared" si="29"/>
        <v>0</v>
      </c>
      <c r="AL151" s="338">
        <f t="shared" si="30"/>
        <v>0</v>
      </c>
      <c r="AM151" s="335">
        <f t="shared" si="31"/>
        <v>0</v>
      </c>
      <c r="AN151" s="335">
        <f t="shared" si="32"/>
        <v>0</v>
      </c>
      <c r="AO151" s="335">
        <f t="shared" si="33"/>
        <v>0</v>
      </c>
      <c r="AP151" s="335">
        <f t="shared" si="37"/>
        <v>0</v>
      </c>
      <c r="AQ151" s="335">
        <f t="shared" si="38"/>
        <v>0</v>
      </c>
      <c r="AR151" s="335">
        <f t="shared" si="39"/>
        <v>0</v>
      </c>
      <c r="AS151" s="335">
        <f t="shared" si="40"/>
        <v>0</v>
      </c>
      <c r="AT151" s="335" t="e">
        <f t="shared" si="41"/>
        <v>#DIV/0!</v>
      </c>
    </row>
    <row r="152" spans="2:46" ht="14.4" x14ac:dyDescent="0.55000000000000004">
      <c r="B152" s="3">
        <v>2053</v>
      </c>
      <c r="C152" s="707">
        <f>Compost!E146</f>
        <v>418.22938005354467</v>
      </c>
      <c r="D152" s="338">
        <f t="shared" si="15"/>
        <v>1</v>
      </c>
      <c r="F152" s="3">
        <v>2053</v>
      </c>
      <c r="G152" s="707">
        <f>'H&amp;C Recycling'!E146</f>
        <v>393.03274829632926</v>
      </c>
      <c r="H152" s="338">
        <f t="shared" si="16"/>
        <v>1</v>
      </c>
      <c r="J152" s="3">
        <v>2053</v>
      </c>
      <c r="K152" s="335">
        <f t="shared" si="17"/>
        <v>846.0461487596823</v>
      </c>
      <c r="L152" s="338">
        <f t="shared" si="18"/>
        <v>0</v>
      </c>
      <c r="M152" s="338">
        <f t="shared" si="19"/>
        <v>0</v>
      </c>
      <c r="N152" s="338">
        <f t="shared" si="20"/>
        <v>1</v>
      </c>
      <c r="Q152" s="3">
        <v>2053</v>
      </c>
      <c r="R152" s="707">
        <f>Paper!F155</f>
        <v>611.95899999999995</v>
      </c>
      <c r="S152" s="335">
        <f t="shared" si="14"/>
        <v>846.0461487596823</v>
      </c>
      <c r="T152" s="707">
        <f>Paper!G155</f>
        <v>682.58252719380914</v>
      </c>
      <c r="V152" s="335">
        <f t="shared" si="21"/>
        <v>163.46362156587315</v>
      </c>
      <c r="W152" s="335">
        <f t="shared" si="22"/>
        <v>0</v>
      </c>
      <c r="X152" s="335">
        <f t="shared" si="23"/>
        <v>0</v>
      </c>
      <c r="Y152" s="335">
        <f t="shared" si="24"/>
        <v>163.46362156587315</v>
      </c>
      <c r="Z152" s="338">
        <f t="shared" si="25"/>
        <v>0</v>
      </c>
      <c r="AA152" s="338">
        <f t="shared" si="26"/>
        <v>0</v>
      </c>
      <c r="AB152" s="338">
        <f t="shared" si="27"/>
        <v>1</v>
      </c>
      <c r="AC152" s="338">
        <f t="shared" si="28"/>
        <v>0.90136800508173209</v>
      </c>
      <c r="AD152" s="533"/>
      <c r="AE152" s="346">
        <f>MIN('WTE Tonnes and Composition'!G106,V152)</f>
        <v>163.46362156587315</v>
      </c>
      <c r="AF152" s="335">
        <f t="shared" si="42"/>
        <v>0</v>
      </c>
      <c r="AG152" s="335">
        <f t="shared" si="43"/>
        <v>0</v>
      </c>
      <c r="AH152" s="335">
        <f t="shared" si="44"/>
        <v>2.1207208550108536</v>
      </c>
      <c r="AI152" s="335">
        <f t="shared" si="36"/>
        <v>2.1207208550108536</v>
      </c>
      <c r="AK152" s="335">
        <f t="shared" si="29"/>
        <v>0</v>
      </c>
      <c r="AL152" s="338">
        <f t="shared" si="30"/>
        <v>0</v>
      </c>
      <c r="AM152" s="335">
        <f t="shared" si="31"/>
        <v>0</v>
      </c>
      <c r="AN152" s="335">
        <f t="shared" si="32"/>
        <v>0</v>
      </c>
      <c r="AO152" s="335">
        <f t="shared" si="33"/>
        <v>0</v>
      </c>
      <c r="AP152" s="335">
        <f t="shared" si="37"/>
        <v>0</v>
      </c>
      <c r="AQ152" s="335">
        <f t="shared" si="38"/>
        <v>0</v>
      </c>
      <c r="AR152" s="335">
        <f t="shared" si="39"/>
        <v>0</v>
      </c>
      <c r="AS152" s="335">
        <f t="shared" si="40"/>
        <v>0</v>
      </c>
      <c r="AT152" s="335" t="e">
        <f t="shared" si="41"/>
        <v>#DIV/0!</v>
      </c>
    </row>
    <row r="153" spans="2:46" ht="14.4" x14ac:dyDescent="0.55000000000000004">
      <c r="B153" s="3">
        <v>2054</v>
      </c>
      <c r="C153" s="707">
        <f>Compost!E147</f>
        <v>429.31485068301879</v>
      </c>
      <c r="D153" s="338">
        <f t="shared" si="15"/>
        <v>1</v>
      </c>
      <c r="F153" s="3">
        <v>2054</v>
      </c>
      <c r="G153" s="707">
        <f>'H&amp;C Recycling'!E147</f>
        <v>392.14939397055889</v>
      </c>
      <c r="H153" s="338">
        <f t="shared" si="16"/>
        <v>1</v>
      </c>
      <c r="J153" s="3">
        <v>2054</v>
      </c>
      <c r="K153" s="335">
        <f t="shared" si="17"/>
        <v>860.90820063655599</v>
      </c>
      <c r="L153" s="338">
        <f t="shared" si="18"/>
        <v>0</v>
      </c>
      <c r="M153" s="338">
        <f t="shared" si="19"/>
        <v>0</v>
      </c>
      <c r="N153" s="338">
        <f t="shared" si="20"/>
        <v>1</v>
      </c>
      <c r="Q153" s="3">
        <v>2054</v>
      </c>
      <c r="R153" s="707">
        <f>Paper!F156</f>
        <v>628.96799999999996</v>
      </c>
      <c r="S153" s="335">
        <f t="shared" si="14"/>
        <v>860.90820063655599</v>
      </c>
      <c r="T153" s="707">
        <f>Paper!G156</f>
        <v>701.55446192316106</v>
      </c>
      <c r="V153" s="335">
        <f t="shared" si="21"/>
        <v>159.35373871339493</v>
      </c>
      <c r="W153" s="335">
        <f t="shared" si="22"/>
        <v>0</v>
      </c>
      <c r="X153" s="335">
        <f t="shared" si="23"/>
        <v>0</v>
      </c>
      <c r="Y153" s="335">
        <f t="shared" si="24"/>
        <v>159.35373871339493</v>
      </c>
      <c r="Z153" s="338">
        <f t="shared" si="25"/>
        <v>0</v>
      </c>
      <c r="AA153" s="338">
        <f t="shared" si="26"/>
        <v>0</v>
      </c>
      <c r="AB153" s="338">
        <f t="shared" si="27"/>
        <v>1</v>
      </c>
      <c r="AC153" s="338">
        <f t="shared" si="28"/>
        <v>0.90528034433783566</v>
      </c>
      <c r="AD153" s="533"/>
      <c r="AE153" s="346">
        <f>MIN('WTE Tonnes and Composition'!G107,V153)</f>
        <v>159.35373871339493</v>
      </c>
      <c r="AF153" s="335">
        <f t="shared" si="42"/>
        <v>0</v>
      </c>
      <c r="AG153" s="335">
        <f t="shared" si="43"/>
        <v>0</v>
      </c>
      <c r="AH153" s="335">
        <f t="shared" si="44"/>
        <v>2.1207208550108536</v>
      </c>
      <c r="AI153" s="335">
        <f t="shared" si="36"/>
        <v>2.1207208550108536</v>
      </c>
      <c r="AK153" s="335">
        <f t="shared" si="29"/>
        <v>0</v>
      </c>
      <c r="AL153" s="338">
        <f t="shared" si="30"/>
        <v>0</v>
      </c>
      <c r="AM153" s="335">
        <f t="shared" si="31"/>
        <v>0</v>
      </c>
      <c r="AN153" s="335">
        <f t="shared" si="32"/>
        <v>0</v>
      </c>
      <c r="AO153" s="335">
        <f t="shared" si="33"/>
        <v>0</v>
      </c>
      <c r="AP153" s="335">
        <f t="shared" si="37"/>
        <v>0</v>
      </c>
      <c r="AQ153" s="335">
        <f t="shared" si="38"/>
        <v>0</v>
      </c>
      <c r="AR153" s="335">
        <f t="shared" si="39"/>
        <v>0</v>
      </c>
      <c r="AS153" s="335">
        <f t="shared" si="40"/>
        <v>0</v>
      </c>
      <c r="AT153" s="335" t="e">
        <f t="shared" si="41"/>
        <v>#DIV/0!</v>
      </c>
    </row>
    <row r="154" spans="2:46" ht="14.4" x14ac:dyDescent="0.55000000000000004">
      <c r="B154" s="3">
        <v>2055</v>
      </c>
      <c r="C154" s="707">
        <f>Compost!E148</f>
        <v>440.25514613626456</v>
      </c>
      <c r="D154" s="338">
        <f t="shared" si="15"/>
        <v>1</v>
      </c>
      <c r="F154" s="3">
        <v>2055</v>
      </c>
      <c r="G154" s="707">
        <f>'H&amp;C Recycling'!E148</f>
        <v>391.25150759254598</v>
      </c>
      <c r="H154" s="338">
        <f t="shared" si="16"/>
        <v>1</v>
      </c>
      <c r="J154" s="3">
        <v>2055</v>
      </c>
      <c r="K154" s="335">
        <f t="shared" si="17"/>
        <v>875.84459399766547</v>
      </c>
      <c r="L154" s="338">
        <f t="shared" si="18"/>
        <v>0</v>
      </c>
      <c r="M154" s="338">
        <f t="shared" si="19"/>
        <v>0</v>
      </c>
      <c r="N154" s="338">
        <f t="shared" si="20"/>
        <v>1</v>
      </c>
      <c r="Q154" s="3">
        <v>2055</v>
      </c>
      <c r="R154" s="707">
        <f>Paper!F157</f>
        <v>646.41499999999996</v>
      </c>
      <c r="S154" s="335">
        <f t="shared" si="14"/>
        <v>875.84459399766547</v>
      </c>
      <c r="T154" s="707">
        <f>Paper!G157</f>
        <v>721.01494432794698</v>
      </c>
      <c r="V154" s="335">
        <f t="shared" si="21"/>
        <v>154.82964966971849</v>
      </c>
      <c r="W154" s="335">
        <f t="shared" si="22"/>
        <v>0</v>
      </c>
      <c r="X154" s="335">
        <f t="shared" si="23"/>
        <v>0</v>
      </c>
      <c r="Y154" s="335">
        <f t="shared" si="24"/>
        <v>154.82964966971849</v>
      </c>
      <c r="Z154" s="338">
        <f t="shared" si="25"/>
        <v>0</v>
      </c>
      <c r="AA154" s="338">
        <f t="shared" si="26"/>
        <v>0</v>
      </c>
      <c r="AB154" s="338">
        <f t="shared" si="27"/>
        <v>1</v>
      </c>
      <c r="AC154" s="338">
        <f t="shared" si="28"/>
        <v>0.90931587751735854</v>
      </c>
      <c r="AD154" s="533"/>
      <c r="AE154" s="346">
        <f>MIN('WTE Tonnes and Composition'!G108,V154)</f>
        <v>154.82964966971849</v>
      </c>
      <c r="AF154" s="335">
        <f t="shared" si="42"/>
        <v>0</v>
      </c>
      <c r="AG154" s="335">
        <f t="shared" si="43"/>
        <v>0</v>
      </c>
      <c r="AH154" s="335">
        <f t="shared" si="44"/>
        <v>2.1207208550108536</v>
      </c>
      <c r="AI154" s="335">
        <f t="shared" si="36"/>
        <v>2.1207208550108536</v>
      </c>
      <c r="AK154" s="335">
        <f t="shared" si="29"/>
        <v>0</v>
      </c>
      <c r="AL154" s="338">
        <f t="shared" si="30"/>
        <v>0</v>
      </c>
      <c r="AM154" s="335">
        <f t="shared" si="31"/>
        <v>0</v>
      </c>
      <c r="AN154" s="335">
        <f t="shared" si="32"/>
        <v>0</v>
      </c>
      <c r="AO154" s="335">
        <f t="shared" si="33"/>
        <v>0</v>
      </c>
      <c r="AP154" s="335">
        <f t="shared" si="37"/>
        <v>0</v>
      </c>
      <c r="AQ154" s="335">
        <f t="shared" si="38"/>
        <v>0</v>
      </c>
      <c r="AR154" s="335">
        <f t="shared" si="39"/>
        <v>0</v>
      </c>
      <c r="AS154" s="335">
        <f t="shared" si="40"/>
        <v>0</v>
      </c>
      <c r="AT154" s="335" t="e">
        <f t="shared" si="41"/>
        <v>#DIV/0!</v>
      </c>
    </row>
    <row r="155" spans="2:46" ht="14.4" x14ac:dyDescent="0.55000000000000004">
      <c r="B155" s="3">
        <v>2056</v>
      </c>
      <c r="C155" s="707">
        <f>Compost!E149</f>
        <v>451.05226639574892</v>
      </c>
      <c r="D155" s="338">
        <f t="shared" si="15"/>
        <v>1</v>
      </c>
      <c r="F155" s="3">
        <v>2056</v>
      </c>
      <c r="G155" s="707">
        <f>'H&amp;C Recycling'!E149</f>
        <v>390.3415733112746</v>
      </c>
      <c r="H155" s="338">
        <f t="shared" si="16"/>
        <v>1</v>
      </c>
      <c r="J155" s="3">
        <v>2056</v>
      </c>
      <c r="K155" s="335">
        <f t="shared" si="17"/>
        <v>890.85300987809399</v>
      </c>
      <c r="L155" s="338">
        <f t="shared" si="18"/>
        <v>0</v>
      </c>
      <c r="M155" s="338">
        <f t="shared" si="19"/>
        <v>0</v>
      </c>
      <c r="N155" s="338">
        <f t="shared" si="20"/>
        <v>1</v>
      </c>
      <c r="Q155" s="3">
        <v>2056</v>
      </c>
      <c r="R155" s="707">
        <f>Paper!F158</f>
        <v>664.3</v>
      </c>
      <c r="S155" s="335">
        <f t="shared" si="14"/>
        <v>890.85300987809399</v>
      </c>
      <c r="T155" s="707">
        <f>Paper!G158</f>
        <v>740.96397440816691</v>
      </c>
      <c r="V155" s="335">
        <f t="shared" si="21"/>
        <v>149.88903546992708</v>
      </c>
      <c r="W155" s="335">
        <f t="shared" si="22"/>
        <v>0</v>
      </c>
      <c r="X155" s="335">
        <f t="shared" si="23"/>
        <v>0</v>
      </c>
      <c r="Y155" s="335">
        <f t="shared" si="24"/>
        <v>149.88903546992708</v>
      </c>
      <c r="Z155" s="338">
        <f t="shared" si="25"/>
        <v>0</v>
      </c>
      <c r="AA155" s="338">
        <f t="shared" si="26"/>
        <v>0</v>
      </c>
      <c r="AB155" s="338">
        <f t="shared" si="27"/>
        <v>1</v>
      </c>
      <c r="AC155" s="338">
        <f t="shared" si="28"/>
        <v>0.91347131876393584</v>
      </c>
      <c r="AD155" s="533"/>
      <c r="AE155" s="346">
        <f>MIN('WTE Tonnes and Composition'!G109,V155)</f>
        <v>149.88903546992708</v>
      </c>
      <c r="AF155" s="335">
        <f t="shared" si="42"/>
        <v>0</v>
      </c>
      <c r="AG155" s="335">
        <f t="shared" si="43"/>
        <v>0</v>
      </c>
      <c r="AH155" s="335">
        <f t="shared" si="44"/>
        <v>2.1207208550108536</v>
      </c>
      <c r="AI155" s="335">
        <f t="shared" si="36"/>
        <v>2.1207208550108536</v>
      </c>
      <c r="AK155" s="335">
        <f t="shared" si="29"/>
        <v>0</v>
      </c>
      <c r="AL155" s="338">
        <f t="shared" si="30"/>
        <v>0</v>
      </c>
      <c r="AM155" s="335">
        <f t="shared" si="31"/>
        <v>0</v>
      </c>
      <c r="AN155" s="335">
        <f t="shared" si="32"/>
        <v>0</v>
      </c>
      <c r="AO155" s="335">
        <f t="shared" si="33"/>
        <v>0</v>
      </c>
      <c r="AP155" s="335">
        <f t="shared" si="37"/>
        <v>0</v>
      </c>
      <c r="AQ155" s="335">
        <f t="shared" si="38"/>
        <v>0</v>
      </c>
      <c r="AR155" s="335">
        <f t="shared" si="39"/>
        <v>0</v>
      </c>
      <c r="AS155" s="335">
        <f t="shared" si="40"/>
        <v>0</v>
      </c>
      <c r="AT155" s="335" t="e">
        <f t="shared" si="41"/>
        <v>#DIV/0!</v>
      </c>
    </row>
    <row r="156" spans="2:46" ht="14.4" x14ac:dyDescent="0.55000000000000004">
      <c r="B156" s="3">
        <v>2057</v>
      </c>
      <c r="C156" s="707">
        <f>Compost!E150</f>
        <v>461.70512899866139</v>
      </c>
      <c r="D156" s="338">
        <f t="shared" si="15"/>
        <v>1</v>
      </c>
      <c r="F156" s="3">
        <v>2057</v>
      </c>
      <c r="G156" s="707">
        <f>'H&amp;C Recycling'!E150</f>
        <v>389.42256674155192</v>
      </c>
      <c r="H156" s="338">
        <f t="shared" si="16"/>
        <v>1</v>
      </c>
      <c r="J156" s="3">
        <v>2057</v>
      </c>
      <c r="K156" s="335">
        <f t="shared" si="17"/>
        <v>905.93170268323092</v>
      </c>
      <c r="L156" s="338">
        <f t="shared" si="18"/>
        <v>0</v>
      </c>
      <c r="M156" s="338">
        <f t="shared" si="19"/>
        <v>0</v>
      </c>
      <c r="N156" s="338">
        <f t="shared" si="20"/>
        <v>1</v>
      </c>
      <c r="Q156" s="3">
        <v>2057</v>
      </c>
      <c r="R156" s="707">
        <f>Paper!F159</f>
        <v>682.62299999999993</v>
      </c>
      <c r="S156" s="335">
        <f t="shared" si="14"/>
        <v>905.93170268323092</v>
      </c>
      <c r="T156" s="707">
        <f>Paper!G159</f>
        <v>761.40155216382072</v>
      </c>
      <c r="V156" s="335">
        <f t="shared" si="21"/>
        <v>144.5301505194102</v>
      </c>
      <c r="W156" s="335">
        <f t="shared" si="22"/>
        <v>0</v>
      </c>
      <c r="X156" s="335">
        <f t="shared" si="23"/>
        <v>0</v>
      </c>
      <c r="Y156" s="335">
        <f t="shared" si="24"/>
        <v>144.5301505194102</v>
      </c>
      <c r="Z156" s="338">
        <f t="shared" si="25"/>
        <v>0</v>
      </c>
      <c r="AA156" s="338">
        <f t="shared" si="26"/>
        <v>0</v>
      </c>
      <c r="AB156" s="338">
        <f t="shared" si="27"/>
        <v>1</v>
      </c>
      <c r="AC156" s="338">
        <f t="shared" si="28"/>
        <v>0.91774316187085492</v>
      </c>
      <c r="AD156" s="533"/>
      <c r="AE156" s="346">
        <f>MIN('WTE Tonnes and Composition'!G110,V156)</f>
        <v>144.5301505194102</v>
      </c>
      <c r="AF156" s="335">
        <f t="shared" si="42"/>
        <v>0</v>
      </c>
      <c r="AG156" s="335">
        <f t="shared" si="43"/>
        <v>0</v>
      </c>
      <c r="AH156" s="335">
        <f t="shared" si="44"/>
        <v>2.1207208550108536</v>
      </c>
      <c r="AI156" s="335">
        <f t="shared" si="36"/>
        <v>2.1207208550108536</v>
      </c>
      <c r="AK156" s="335">
        <f t="shared" si="29"/>
        <v>0</v>
      </c>
      <c r="AL156" s="338">
        <f t="shared" si="30"/>
        <v>0</v>
      </c>
      <c r="AM156" s="335">
        <f t="shared" si="31"/>
        <v>0</v>
      </c>
      <c r="AN156" s="335">
        <f t="shared" si="32"/>
        <v>0</v>
      </c>
      <c r="AO156" s="335">
        <f t="shared" si="33"/>
        <v>0</v>
      </c>
      <c r="AP156" s="335">
        <f t="shared" si="37"/>
        <v>0</v>
      </c>
      <c r="AQ156" s="335">
        <f t="shared" si="38"/>
        <v>0</v>
      </c>
      <c r="AR156" s="335">
        <f t="shared" si="39"/>
        <v>0</v>
      </c>
      <c r="AS156" s="335">
        <f t="shared" si="40"/>
        <v>0</v>
      </c>
      <c r="AT156" s="335" t="e">
        <f t="shared" si="41"/>
        <v>#DIV/0!</v>
      </c>
    </row>
    <row r="157" spans="2:46" ht="14.4" x14ac:dyDescent="0.55000000000000004">
      <c r="B157" s="3">
        <v>2058</v>
      </c>
      <c r="C157" s="707">
        <f>Compost!E151</f>
        <v>472.20740206597247</v>
      </c>
      <c r="D157" s="338">
        <f t="shared" si="15"/>
        <v>1</v>
      </c>
      <c r="F157" s="3">
        <v>2058</v>
      </c>
      <c r="G157" s="707">
        <f>'H&amp;C Recycling'!E151</f>
        <v>388.49802751054438</v>
      </c>
      <c r="H157" s="338">
        <f t="shared" si="16"/>
        <v>1</v>
      </c>
      <c r="J157" s="3">
        <v>2058</v>
      </c>
      <c r="K157" s="335">
        <f t="shared" si="17"/>
        <v>921.07959586446179</v>
      </c>
      <c r="L157" s="338">
        <f t="shared" si="18"/>
        <v>0</v>
      </c>
      <c r="M157" s="338">
        <f t="shared" si="19"/>
        <v>0</v>
      </c>
      <c r="N157" s="338">
        <f t="shared" si="20"/>
        <v>1</v>
      </c>
      <c r="Q157" s="3">
        <v>2058</v>
      </c>
      <c r="R157" s="707">
        <f>Paper!F160</f>
        <v>701.3839999999999</v>
      </c>
      <c r="S157" s="335">
        <f t="shared" si="14"/>
        <v>921.07959586446179</v>
      </c>
      <c r="T157" s="707">
        <f>Paper!G160</f>
        <v>782.32767759490844</v>
      </c>
      <c r="V157" s="335">
        <f t="shared" si="21"/>
        <v>135.78246210296311</v>
      </c>
      <c r="W157" s="335">
        <f t="shared" si="22"/>
        <v>0</v>
      </c>
      <c r="X157" s="335">
        <f t="shared" si="23"/>
        <v>0</v>
      </c>
      <c r="Y157" s="335">
        <f t="shared" si="24"/>
        <v>135.78246210296311</v>
      </c>
      <c r="Z157" s="338">
        <f t="shared" si="25"/>
        <v>0</v>
      </c>
      <c r="AA157" s="338">
        <f t="shared" si="26"/>
        <v>0</v>
      </c>
      <c r="AB157" s="338">
        <f t="shared" si="27"/>
        <v>1</v>
      </c>
      <c r="AC157" s="338">
        <f t="shared" si="28"/>
        <v>0.9237941389313461</v>
      </c>
      <c r="AD157" s="533"/>
      <c r="AE157" s="346">
        <f>MIN('WTE Tonnes and Composition'!G111,V157)</f>
        <v>135.78246210296311</v>
      </c>
      <c r="AF157" s="335">
        <f t="shared" si="42"/>
        <v>0</v>
      </c>
      <c r="AG157" s="335">
        <f t="shared" si="43"/>
        <v>0</v>
      </c>
      <c r="AH157" s="335">
        <f t="shared" si="44"/>
        <v>2.1207208550108536</v>
      </c>
      <c r="AI157" s="335">
        <f t="shared" si="36"/>
        <v>2.1207208550108536</v>
      </c>
      <c r="AK157" s="335">
        <f t="shared" si="29"/>
        <v>0</v>
      </c>
      <c r="AL157" s="338">
        <f t="shared" si="30"/>
        <v>0</v>
      </c>
      <c r="AM157" s="335">
        <f t="shared" si="31"/>
        <v>0</v>
      </c>
      <c r="AN157" s="335">
        <f t="shared" si="32"/>
        <v>0</v>
      </c>
      <c r="AO157" s="335">
        <f t="shared" si="33"/>
        <v>0</v>
      </c>
      <c r="AP157" s="335">
        <f t="shared" si="37"/>
        <v>0</v>
      </c>
      <c r="AQ157" s="335">
        <f t="shared" si="38"/>
        <v>0</v>
      </c>
      <c r="AR157" s="335">
        <f t="shared" si="39"/>
        <v>0</v>
      </c>
      <c r="AS157" s="335">
        <f t="shared" si="40"/>
        <v>0</v>
      </c>
      <c r="AT157" s="335" t="e">
        <f t="shared" si="41"/>
        <v>#DIV/0!</v>
      </c>
    </row>
    <row r="158" spans="2:46" ht="14.4" x14ac:dyDescent="0.55000000000000004">
      <c r="B158" s="3">
        <v>2059</v>
      </c>
      <c r="C158" s="707">
        <f>Compost!E152</f>
        <v>482.54994998160521</v>
      </c>
      <c r="D158" s="338">
        <f t="shared" si="15"/>
        <v>1</v>
      </c>
      <c r="F158" s="3">
        <v>2059</v>
      </c>
      <c r="G158" s="707">
        <f>'H&amp;C Recycling'!E152</f>
        <v>387.57186113653086</v>
      </c>
      <c r="H158" s="338">
        <f t="shared" si="16"/>
        <v>1</v>
      </c>
      <c r="J158" s="3">
        <v>2059</v>
      </c>
      <c r="K158" s="335">
        <f t="shared" si="17"/>
        <v>936.29613148582268</v>
      </c>
      <c r="L158" s="338">
        <f t="shared" si="18"/>
        <v>0</v>
      </c>
      <c r="M158" s="338">
        <f t="shared" si="19"/>
        <v>0</v>
      </c>
      <c r="N158" s="338">
        <f t="shared" si="20"/>
        <v>1</v>
      </c>
      <c r="Q158" s="3">
        <v>2059</v>
      </c>
      <c r="R158" s="707">
        <f>Paper!F161</f>
        <v>720.58299999999997</v>
      </c>
      <c r="S158" s="335">
        <f t="shared" si="14"/>
        <v>936.29613148582268</v>
      </c>
      <c r="T158" s="707">
        <f>Paper!G161</f>
        <v>803.74235070143027</v>
      </c>
      <c r="V158" s="335">
        <f t="shared" si="21"/>
        <v>126.00853395878823</v>
      </c>
      <c r="W158" s="335">
        <f t="shared" si="22"/>
        <v>0</v>
      </c>
      <c r="X158" s="335">
        <f t="shared" si="23"/>
        <v>0</v>
      </c>
      <c r="Y158" s="335">
        <f t="shared" si="24"/>
        <v>126.00853395878823</v>
      </c>
      <c r="Z158" s="338">
        <f t="shared" si="25"/>
        <v>0</v>
      </c>
      <c r="AA158" s="338">
        <f t="shared" si="26"/>
        <v>0</v>
      </c>
      <c r="AB158" s="338">
        <f t="shared" si="27"/>
        <v>1</v>
      </c>
      <c r="AC158" s="338">
        <f t="shared" si="28"/>
        <v>0.93024397566758754</v>
      </c>
      <c r="AD158" s="533"/>
      <c r="AE158" s="346">
        <f>MIN('WTE Tonnes and Composition'!G112,V158)</f>
        <v>126.00853395878823</v>
      </c>
      <c r="AF158" s="335">
        <f t="shared" si="42"/>
        <v>0</v>
      </c>
      <c r="AG158" s="335">
        <f t="shared" si="43"/>
        <v>0</v>
      </c>
      <c r="AH158" s="335">
        <f t="shared" si="44"/>
        <v>2.1207208550108536</v>
      </c>
      <c r="AI158" s="335">
        <f t="shared" si="36"/>
        <v>2.1207208550108536</v>
      </c>
      <c r="AK158" s="335">
        <f t="shared" si="29"/>
        <v>0</v>
      </c>
      <c r="AL158" s="338">
        <f t="shared" si="30"/>
        <v>0</v>
      </c>
      <c r="AM158" s="335">
        <f t="shared" si="31"/>
        <v>0</v>
      </c>
      <c r="AN158" s="335">
        <f t="shared" si="32"/>
        <v>0</v>
      </c>
      <c r="AO158" s="335">
        <f t="shared" si="33"/>
        <v>0</v>
      </c>
      <c r="AP158" s="335">
        <f t="shared" si="37"/>
        <v>0</v>
      </c>
      <c r="AQ158" s="335">
        <f t="shared" si="38"/>
        <v>0</v>
      </c>
      <c r="AR158" s="335">
        <f t="shared" si="39"/>
        <v>0</v>
      </c>
      <c r="AS158" s="335">
        <f t="shared" si="40"/>
        <v>0</v>
      </c>
      <c r="AT158" s="335" t="e">
        <f t="shared" si="41"/>
        <v>#DIV/0!</v>
      </c>
    </row>
    <row r="159" spans="2:46" ht="14.4" x14ac:dyDescent="0.55000000000000004">
      <c r="B159" s="3">
        <v>2060</v>
      </c>
      <c r="C159" s="707">
        <f>Compost!E153</f>
        <v>492.72517707880456</v>
      </c>
      <c r="D159" s="338">
        <f t="shared" si="15"/>
        <v>1</v>
      </c>
      <c r="F159" s="3">
        <v>2060</v>
      </c>
      <c r="G159" s="707">
        <f>'H&amp;C Recycling'!E153</f>
        <v>386.64781203951475</v>
      </c>
      <c r="H159" s="338">
        <f t="shared" si="16"/>
        <v>1</v>
      </c>
      <c r="J159" s="3">
        <v>2060</v>
      </c>
      <c r="K159" s="335">
        <f t="shared" si="17"/>
        <v>951.58079278820219</v>
      </c>
      <c r="L159" s="338">
        <f t="shared" si="18"/>
        <v>0</v>
      </c>
      <c r="M159" s="338">
        <f t="shared" si="19"/>
        <v>0</v>
      </c>
      <c r="N159" s="338">
        <f t="shared" si="20"/>
        <v>1</v>
      </c>
      <c r="Q159" s="3">
        <v>2060</v>
      </c>
      <c r="R159" s="707">
        <f>Paper!F162</f>
        <v>740.22</v>
      </c>
      <c r="S159" s="335">
        <f t="shared" si="14"/>
        <v>951.58079278820219</v>
      </c>
      <c r="T159" s="707">
        <f>Paper!G162</f>
        <v>825.64557148338611</v>
      </c>
      <c r="V159" s="335">
        <f t="shared" si="21"/>
        <v>119.44474486356842</v>
      </c>
      <c r="W159" s="335">
        <f t="shared" si="22"/>
        <v>0</v>
      </c>
      <c r="X159" s="335">
        <f t="shared" si="23"/>
        <v>0</v>
      </c>
      <c r="Y159" s="335">
        <f t="shared" si="24"/>
        <v>119.44474486356842</v>
      </c>
      <c r="Z159" s="338">
        <f t="shared" si="25"/>
        <v>0</v>
      </c>
      <c r="AA159" s="338">
        <f t="shared" si="26"/>
        <v>0</v>
      </c>
      <c r="AB159" s="338">
        <f t="shared" si="27"/>
        <v>1</v>
      </c>
      <c r="AC159" s="338">
        <f t="shared" si="28"/>
        <v>0.93476364829963432</v>
      </c>
      <c r="AD159" s="533"/>
      <c r="AE159" s="346">
        <f>MIN('WTE Tonnes and Composition'!G113,V159)</f>
        <v>119.44474486356842</v>
      </c>
      <c r="AF159" s="335">
        <f t="shared" si="42"/>
        <v>0</v>
      </c>
      <c r="AG159" s="335">
        <f t="shared" si="43"/>
        <v>0</v>
      </c>
      <c r="AH159" s="335">
        <f t="shared" si="44"/>
        <v>2.1207208550108536</v>
      </c>
      <c r="AI159" s="335">
        <f t="shared" si="36"/>
        <v>2.1207208550108536</v>
      </c>
      <c r="AK159" s="335">
        <f t="shared" si="29"/>
        <v>0</v>
      </c>
      <c r="AL159" s="338">
        <f t="shared" si="30"/>
        <v>0</v>
      </c>
      <c r="AM159" s="335">
        <f t="shared" si="31"/>
        <v>0</v>
      </c>
      <c r="AN159" s="335">
        <f t="shared" si="32"/>
        <v>0</v>
      </c>
      <c r="AO159" s="335">
        <f t="shared" si="33"/>
        <v>0</v>
      </c>
      <c r="AP159" s="335">
        <f t="shared" si="37"/>
        <v>0</v>
      </c>
      <c r="AQ159" s="335">
        <f t="shared" si="38"/>
        <v>0</v>
      </c>
      <c r="AR159" s="335">
        <f t="shared" si="39"/>
        <v>0</v>
      </c>
      <c r="AS159" s="335">
        <f t="shared" si="40"/>
        <v>0</v>
      </c>
      <c r="AT159" s="335" t="e">
        <f t="shared" si="41"/>
        <v>#DIV/0!</v>
      </c>
    </row>
    <row r="160" spans="2:46" x14ac:dyDescent="0.4">
      <c r="C160" s="609"/>
      <c r="Z160" s="341"/>
    </row>
    <row r="161" spans="1:54" x14ac:dyDescent="0.4">
      <c r="C161" s="609"/>
      <c r="Z161" s="341"/>
    </row>
    <row r="162" spans="1:54" ht="22.5" x14ac:dyDescent="0.75">
      <c r="A162" s="336" t="s">
        <v>154</v>
      </c>
      <c r="Z162" s="341"/>
    </row>
    <row r="167" spans="1:54" ht="200.05" customHeight="1" x14ac:dyDescent="0.4">
      <c r="B167" s="1275" t="s">
        <v>487</v>
      </c>
      <c r="C167" s="1276"/>
      <c r="D167" s="1276"/>
      <c r="E167" s="1276"/>
      <c r="F167" s="1276"/>
      <c r="G167" s="1276"/>
      <c r="H167" s="1276"/>
      <c r="I167" s="1276"/>
      <c r="J167" s="1276"/>
      <c r="N167" s="1275" t="s">
        <v>477</v>
      </c>
      <c r="O167" s="1276"/>
      <c r="P167" s="1276"/>
      <c r="Q167" s="1276"/>
      <c r="R167" s="1276"/>
      <c r="S167" s="1276"/>
      <c r="T167" s="1276"/>
      <c r="U167" s="1276"/>
      <c r="V167" s="1276"/>
      <c r="Y167" s="1279" t="s">
        <v>537</v>
      </c>
      <c r="Z167" s="1279"/>
      <c r="AA167" s="1279"/>
      <c r="AB167" s="1279"/>
      <c r="AC167" s="1279"/>
      <c r="AD167" s="1279"/>
      <c r="AE167" s="1279"/>
      <c r="AF167" s="1279"/>
      <c r="AI167" s="1279" t="s">
        <v>539</v>
      </c>
      <c r="AJ167" s="1279"/>
      <c r="AK167" s="1279"/>
      <c r="AL167" s="1279"/>
      <c r="AM167" s="1279"/>
      <c r="AN167" s="1279"/>
      <c r="AO167" s="1279"/>
      <c r="AP167" s="1279"/>
      <c r="AS167" s="1279" t="s">
        <v>541</v>
      </c>
      <c r="AT167" s="1279"/>
      <c r="AU167" s="1279"/>
      <c r="AV167" s="1279"/>
      <c r="AW167" s="1279"/>
      <c r="AX167" s="1279"/>
      <c r="AY167" s="1279"/>
      <c r="AZ167" s="1279"/>
    </row>
    <row r="168" spans="1:54" x14ac:dyDescent="0.4">
      <c r="B168" s="1" t="s">
        <v>139</v>
      </c>
      <c r="N168" s="1" t="s">
        <v>140</v>
      </c>
      <c r="O168" s="1"/>
    </row>
    <row r="169" spans="1:54" ht="14.4" x14ac:dyDescent="0.55000000000000004">
      <c r="B169" s="2"/>
      <c r="C169" s="334" t="str">
        <f t="shared" ref="C169:C216" si="45">Y59</f>
        <v>World</v>
      </c>
      <c r="D169" s="334" t="s">
        <v>498</v>
      </c>
      <c r="E169" s="344" t="s">
        <v>144</v>
      </c>
      <c r="F169" s="344" t="s">
        <v>135</v>
      </c>
      <c r="G169" s="344" t="s">
        <v>136</v>
      </c>
      <c r="H169" s="344" t="s">
        <v>538</v>
      </c>
      <c r="I169" s="344" t="s">
        <v>137</v>
      </c>
      <c r="J169" s="344" t="s">
        <v>143</v>
      </c>
      <c r="K169" s="344" t="s">
        <v>138</v>
      </c>
      <c r="N169" s="3"/>
      <c r="O169" s="334" t="s">
        <v>115</v>
      </c>
      <c r="P169" s="334" t="s">
        <v>141</v>
      </c>
      <c r="Q169" s="334" t="s">
        <v>142</v>
      </c>
      <c r="R169" s="334" t="s">
        <v>164</v>
      </c>
      <c r="S169" s="583" t="s">
        <v>359</v>
      </c>
      <c r="T169" s="583" t="s">
        <v>360</v>
      </c>
      <c r="U169" s="584" t="s">
        <v>361</v>
      </c>
      <c r="V169" s="584" t="s">
        <v>362</v>
      </c>
      <c r="Y169" s="584" t="s">
        <v>114</v>
      </c>
      <c r="Z169" s="344" t="s">
        <v>527</v>
      </c>
      <c r="AA169" s="344" t="s">
        <v>1135</v>
      </c>
      <c r="AB169" s="632" t="s">
        <v>533</v>
      </c>
      <c r="AC169" s="632" t="s">
        <v>534</v>
      </c>
      <c r="AD169" s="632" t="s">
        <v>535</v>
      </c>
      <c r="AE169" s="632" t="s">
        <v>536</v>
      </c>
      <c r="AF169" s="335" t="s">
        <v>441</v>
      </c>
      <c r="AI169" s="584" t="s">
        <v>114</v>
      </c>
      <c r="AJ169" s="344" t="s">
        <v>532</v>
      </c>
      <c r="AK169" s="344" t="s">
        <v>137</v>
      </c>
      <c r="AL169" s="344" t="s">
        <v>528</v>
      </c>
      <c r="AM169" s="344" t="s">
        <v>529</v>
      </c>
      <c r="AN169" s="344" t="s">
        <v>531</v>
      </c>
      <c r="AO169" s="344" t="s">
        <v>530</v>
      </c>
      <c r="AP169" s="344" t="s">
        <v>205</v>
      </c>
      <c r="AS169" s="584" t="str">
        <f>Y169</f>
        <v>Year</v>
      </c>
      <c r="AT169" s="344" t="str">
        <f t="shared" ref="AT169:AT216" si="46">AB169</f>
        <v xml:space="preserve">Compost </v>
      </c>
      <c r="AU169" s="344" t="str">
        <f t="shared" ref="AU169:AU216" si="47">AC169</f>
        <v>Recycling</v>
      </c>
      <c r="AV169" s="632" t="str">
        <f t="shared" ref="AV169:AV216" si="48">AD169</f>
        <v>Paper Recycling</v>
      </c>
      <c r="AW169" s="632" t="str">
        <f t="shared" ref="AW169:AW216" si="49">AE169</f>
        <v>Used Paper to Insulation</v>
      </c>
      <c r="AX169" s="632" t="str">
        <f t="shared" ref="AX169:AX216" si="50">AF169</f>
        <v>Reduced Food Waste</v>
      </c>
      <c r="AY169" s="632" t="s">
        <v>402</v>
      </c>
      <c r="AZ169" s="335" t="s">
        <v>423</v>
      </c>
    </row>
    <row r="170" spans="1:54" ht="14.4" x14ac:dyDescent="0.55000000000000004">
      <c r="B170" s="3">
        <v>2014</v>
      </c>
      <c r="C170" s="334">
        <f t="shared" si="45"/>
        <v>804.7949483183213</v>
      </c>
      <c r="D170" s="532">
        <f>'Food System Summary'!H12-'Food System Summary'!I12</f>
        <v>1351.0179807789714</v>
      </c>
      <c r="E170" s="338">
        <f>D170/C170</f>
        <v>1.6787108114955538</v>
      </c>
      <c r="F170" s="338">
        <f>D170/U60</f>
        <v>0.76185224480017177</v>
      </c>
      <c r="G170" s="334">
        <f t="shared" ref="G170:G216" si="51">M60*R60</f>
        <v>0.65297000000000005</v>
      </c>
      <c r="H170" s="338">
        <f>G170/C170</f>
        <v>8.1134952619226711E-4</v>
      </c>
      <c r="I170" s="532">
        <f>C170-D170-G170</f>
        <v>-546.87600246065006</v>
      </c>
      <c r="J170" s="338">
        <f>I170/C170</f>
        <v>-0.67952216102174601</v>
      </c>
      <c r="K170" s="338">
        <f>I170/U60</f>
        <v>-0.30838872319209587</v>
      </c>
      <c r="N170" s="3">
        <v>2014</v>
      </c>
      <c r="O170" s="1205">
        <f t="shared" ref="O170:O216" si="52">S113</f>
        <v>341.7860216816789</v>
      </c>
      <c r="P170" s="1205">
        <f t="shared" ref="P170:P216" si="53">M60*(1-R60)</f>
        <v>1.0170299999999999</v>
      </c>
      <c r="Q170" s="1205">
        <f t="shared" ref="Q170:Q216" si="54">T113</f>
        <v>227.24220299999999</v>
      </c>
      <c r="R170" s="1205">
        <f>O170-Q170</f>
        <v>114.54381868167891</v>
      </c>
      <c r="S170" s="1206">
        <f>Paper!E116</f>
        <v>341.7860216816789</v>
      </c>
      <c r="T170" s="1205">
        <f t="shared" ref="T170:T216" si="55">S170-Q170</f>
        <v>114.54381868167891</v>
      </c>
      <c r="U170" s="1206">
        <f>Paper!I116</f>
        <v>0</v>
      </c>
      <c r="V170" s="1205">
        <f t="shared" ref="V170:V216" si="56">IF((T170-U170)&lt;0,0,(T170-U170))</f>
        <v>114.54381868167891</v>
      </c>
      <c r="Y170" s="609">
        <f>N170</f>
        <v>2014</v>
      </c>
      <c r="Z170" s="335">
        <f t="shared" ref="Z170:Z216" si="57">C7</f>
        <v>1773.3333333333333</v>
      </c>
      <c r="AA170" s="335">
        <f>V113</f>
        <v>1229.5180509102263</v>
      </c>
      <c r="AB170" s="335">
        <f>C113</f>
        <v>110.54366841083268</v>
      </c>
      <c r="AC170" s="335">
        <f>G113</f>
        <v>206.02941101227444</v>
      </c>
      <c r="AD170" s="335">
        <f>T113</f>
        <v>227.24220299999999</v>
      </c>
      <c r="AE170" s="335">
        <f>MIN(Paper!H116,Paper!I116)</f>
        <v>0</v>
      </c>
      <c r="AF170" s="335">
        <f t="shared" ref="AF170:AF216" si="58">C60</f>
        <v>-2.3841857910156249E-13</v>
      </c>
      <c r="AG170" s="533"/>
      <c r="AI170" s="609">
        <f t="shared" ref="AI170:AI216" si="59">Y170</f>
        <v>2014</v>
      </c>
      <c r="AJ170" s="335">
        <f>D170-E170*C113</f>
        <v>1165.4471294753271</v>
      </c>
      <c r="AK170" s="335">
        <f t="shared" ref="AK170:AK216" si="60">I170-J170*C113</f>
        <v>-471.75913001484969</v>
      </c>
      <c r="AL170" s="335">
        <f t="shared" ref="AL170:AL216" si="61">G170-(H170*C113)</f>
        <v>0.56328044701131585</v>
      </c>
      <c r="AM170" s="335">
        <f t="shared" ref="AM170:AM216" si="62">AH60/AB60*X113</f>
        <v>160.7904088841328</v>
      </c>
      <c r="AN170" s="335">
        <f t="shared" ref="AN170:AN216" si="63">AB60-AM170-G113</f>
        <v>259.93254343692604</v>
      </c>
      <c r="AO170" s="335">
        <f>T170-AE170</f>
        <v>114.54381868167891</v>
      </c>
      <c r="AP170" s="335">
        <f t="shared" ref="AP170:AP216" si="64">AA170-AJ170-AK170-AL170-AM170-AN170-AO170</f>
        <v>-1.4210854715202004E-13</v>
      </c>
      <c r="AS170" s="609">
        <f t="shared" ref="AS170:AS213" si="65">Y170</f>
        <v>2014</v>
      </c>
      <c r="AT170" s="335">
        <f>AB170</f>
        <v>110.54366841083268</v>
      </c>
      <c r="AU170" s="335">
        <f t="shared" si="47"/>
        <v>206.02941101227444</v>
      </c>
      <c r="AV170" s="335">
        <f t="shared" si="48"/>
        <v>227.24220299999999</v>
      </c>
      <c r="AW170" s="335">
        <f t="shared" si="49"/>
        <v>0</v>
      </c>
      <c r="AX170" s="335">
        <f t="shared" si="50"/>
        <v>-2.3841857910156249E-13</v>
      </c>
      <c r="AY170" s="335">
        <f>AE113</f>
        <v>142.75688198659913</v>
      </c>
      <c r="AZ170" s="335">
        <f>AK113</f>
        <v>1086.7611689236271</v>
      </c>
      <c r="BB170" s="533"/>
    </row>
    <row r="171" spans="1:54" ht="14.4" x14ac:dyDescent="0.55000000000000004">
      <c r="B171" s="3">
        <v>2015</v>
      </c>
      <c r="C171" s="334">
        <f t="shared" si="45"/>
        <v>862.84071892596353</v>
      </c>
      <c r="D171" s="532">
        <f>'Food System Summary'!H13-'Food System Summary'!I13</f>
        <v>1373.0725590764539</v>
      </c>
      <c r="E171" s="338">
        <f t="shared" ref="E171:E216" si="66">D171/C171</f>
        <v>1.5913395473333833</v>
      </c>
      <c r="F171" s="338">
        <f t="shared" ref="F171:F216" si="67">D171/U61</f>
        <v>0.72585333519460116</v>
      </c>
      <c r="G171" s="334">
        <f t="shared" si="51"/>
        <v>0.73689000000000004</v>
      </c>
      <c r="H171" s="338">
        <f t="shared" ref="H171:H216" si="68">G171/C171</f>
        <v>8.5402784527514777E-4</v>
      </c>
      <c r="I171" s="334">
        <f t="shared" ref="I171:I216" si="69">C171-D171-G171</f>
        <v>-510.96873015049039</v>
      </c>
      <c r="J171" s="338">
        <f t="shared" ref="J171:J216" si="70">I171/C171</f>
        <v>-0.59219357517865856</v>
      </c>
      <c r="K171" s="338">
        <f t="shared" ref="K171:K216" si="71">I171/U61</f>
        <v>-0.27011562827338698</v>
      </c>
      <c r="N171" s="3">
        <v>2015</v>
      </c>
      <c r="O171" s="1205">
        <f t="shared" si="52"/>
        <v>363.88533774070322</v>
      </c>
      <c r="P171" s="1205">
        <f t="shared" si="53"/>
        <v>1.29311</v>
      </c>
      <c r="Q171" s="1205">
        <f t="shared" si="54"/>
        <v>228.0892060000001</v>
      </c>
      <c r="R171" s="1205">
        <f t="shared" ref="R171:R216" si="72">O171-Q171</f>
        <v>135.79613174070312</v>
      </c>
      <c r="S171" s="1206">
        <f>Paper!E117</f>
        <v>363.88533774070322</v>
      </c>
      <c r="T171" s="1205">
        <f t="shared" si="55"/>
        <v>135.79613174070312</v>
      </c>
      <c r="U171" s="1206">
        <f>Paper!I117</f>
        <v>72.683198787500999</v>
      </c>
      <c r="V171" s="1205">
        <f t="shared" si="56"/>
        <v>63.112932953202119</v>
      </c>
      <c r="Y171" s="609">
        <f t="shared" ref="Y171:Y216" si="73">N171</f>
        <v>2015</v>
      </c>
      <c r="Z171" s="335">
        <f t="shared" si="57"/>
        <v>1891.6666666666667</v>
      </c>
      <c r="AA171" s="335">
        <f t="shared" ref="AA171:AA216" si="74">V114</f>
        <v>1234.3255290789232</v>
      </c>
      <c r="AB171" s="335">
        <f t="shared" ref="AB171:AB216" si="75">C114</f>
        <v>121.04208551354085</v>
      </c>
      <c r="AC171" s="335">
        <f t="shared" ref="AC171:AC216" si="76">G114</f>
        <v>235.52664728670166</v>
      </c>
      <c r="AD171" s="335">
        <f t="shared" ref="AD171:AD216" si="77">T114</f>
        <v>228.0892060000001</v>
      </c>
      <c r="AE171" s="335">
        <f>MIN(Paper!H117,Paper!I117)</f>
        <v>72.683198787500999</v>
      </c>
      <c r="AF171" s="335">
        <f t="shared" si="58"/>
        <v>0</v>
      </c>
      <c r="AG171" s="533"/>
      <c r="AI171" s="609">
        <f t="shared" si="59"/>
        <v>2015</v>
      </c>
      <c r="AJ171" s="335">
        <f t="shared" ref="AJ171:AJ216" si="78">D171-E171*C114</f>
        <v>1180.4535015070471</v>
      </c>
      <c r="AK171" s="335">
        <f t="shared" si="60"/>
        <v>-439.28838478314572</v>
      </c>
      <c r="AL171" s="335">
        <f t="shared" si="61"/>
        <v>0.63351668852126053</v>
      </c>
      <c r="AM171" s="335">
        <f t="shared" si="62"/>
        <v>159.96368373775803</v>
      </c>
      <c r="AN171" s="335">
        <f t="shared" si="63"/>
        <v>269.4502789755403</v>
      </c>
      <c r="AO171" s="335">
        <f t="shared" ref="AO171:AO216" si="79">T171-AE171</f>
        <v>63.112932953202119</v>
      </c>
      <c r="AP171" s="335">
        <f t="shared" si="64"/>
        <v>5.6843418860808015E-14</v>
      </c>
      <c r="AS171" s="609">
        <f t="shared" si="65"/>
        <v>2015</v>
      </c>
      <c r="AT171" s="335">
        <f t="shared" si="46"/>
        <v>121.04208551354085</v>
      </c>
      <c r="AU171" s="335">
        <f t="shared" si="47"/>
        <v>235.52664728670166</v>
      </c>
      <c r="AV171" s="335">
        <f t="shared" si="48"/>
        <v>228.0892060000001</v>
      </c>
      <c r="AW171" s="335">
        <f t="shared" si="49"/>
        <v>72.683198787500999</v>
      </c>
      <c r="AX171" s="335">
        <f t="shared" si="50"/>
        <v>0</v>
      </c>
      <c r="AY171" s="335">
        <f t="shared" ref="AY171:AY216" si="80">AE114</f>
        <v>151.22621540688968</v>
      </c>
      <c r="AZ171" s="335">
        <f t="shared" ref="AZ171:AZ216" si="81">AK114</f>
        <v>1083.0993136720335</v>
      </c>
      <c r="BB171" s="533"/>
    </row>
    <row r="172" spans="1:54" ht="14.4" x14ac:dyDescent="0.55000000000000004">
      <c r="B172" s="3">
        <v>2016</v>
      </c>
      <c r="C172" s="334">
        <f t="shared" si="45"/>
        <v>925.35644999999988</v>
      </c>
      <c r="D172" s="532">
        <f>'Food System Summary'!H14-'Food System Summary'!I14</f>
        <v>1381.3419093589625</v>
      </c>
      <c r="E172" s="338">
        <f t="shared" si="66"/>
        <v>1.4927673647911166</v>
      </c>
      <c r="F172" s="338">
        <f t="shared" si="67"/>
        <v>0.68723478077560329</v>
      </c>
      <c r="G172" s="334">
        <f t="shared" si="51"/>
        <v>0.75644999999999996</v>
      </c>
      <c r="H172" s="338">
        <f t="shared" si="68"/>
        <v>8.1746877108815753E-4</v>
      </c>
      <c r="I172" s="334">
        <f t="shared" si="69"/>
        <v>-456.74190935896263</v>
      </c>
      <c r="J172" s="338">
        <f t="shared" si="70"/>
        <v>-0.49358483356220478</v>
      </c>
      <c r="K172" s="338">
        <f t="shared" si="71"/>
        <v>-0.22723478077560333</v>
      </c>
      <c r="N172" s="3">
        <v>2016</v>
      </c>
      <c r="O172" s="1205">
        <f t="shared" si="52"/>
        <v>381.89999999999986</v>
      </c>
      <c r="P172" s="1205">
        <f t="shared" si="53"/>
        <v>1.29355</v>
      </c>
      <c r="Q172" s="1205">
        <f t="shared" si="54"/>
        <v>230.29045599999998</v>
      </c>
      <c r="R172" s="1205">
        <f t="shared" si="72"/>
        <v>151.60954399999989</v>
      </c>
      <c r="S172" s="1206">
        <f>Paper!E118</f>
        <v>381.89999999999986</v>
      </c>
      <c r="T172" s="1205">
        <f t="shared" si="55"/>
        <v>151.60954399999989</v>
      </c>
      <c r="U172" s="1206">
        <f>Paper!I118</f>
        <v>32.543413872778956</v>
      </c>
      <c r="V172" s="1205">
        <f t="shared" si="56"/>
        <v>119.06613012722093</v>
      </c>
      <c r="Y172" s="609">
        <f t="shared" si="73"/>
        <v>2016</v>
      </c>
      <c r="Z172" s="335">
        <f t="shared" si="57"/>
        <v>2009.9999999999998</v>
      </c>
      <c r="AA172" s="335">
        <f t="shared" si="74"/>
        <v>1348.8256275109718</v>
      </c>
      <c r="AB172" s="335">
        <f t="shared" si="75"/>
        <v>131.54050261624903</v>
      </c>
      <c r="AC172" s="335">
        <f t="shared" si="76"/>
        <v>266.79999999999995</v>
      </c>
      <c r="AD172" s="335">
        <f t="shared" si="77"/>
        <v>230.29045599999998</v>
      </c>
      <c r="AE172" s="335">
        <f>MIN(Paper!H118,Paper!I118)</f>
        <v>32.543413872778956</v>
      </c>
      <c r="AF172" s="335">
        <f t="shared" si="58"/>
        <v>0</v>
      </c>
      <c r="AG172" s="533"/>
      <c r="AI172" s="609">
        <f t="shared" si="59"/>
        <v>2016</v>
      </c>
      <c r="AJ172" s="335">
        <f t="shared" si="78"/>
        <v>1184.9825399052056</v>
      </c>
      <c r="AK172" s="335">
        <f t="shared" si="60"/>
        <v>-391.8155122684326</v>
      </c>
      <c r="AL172" s="335">
        <f t="shared" si="61"/>
        <v>0.64891974697797628</v>
      </c>
      <c r="AM172" s="335">
        <f t="shared" si="62"/>
        <v>159.90233898702678</v>
      </c>
      <c r="AN172" s="335">
        <f t="shared" si="63"/>
        <v>276.04121101297324</v>
      </c>
      <c r="AO172" s="335">
        <f t="shared" si="79"/>
        <v>119.06613012722093</v>
      </c>
      <c r="AP172" s="335">
        <f t="shared" si="64"/>
        <v>-1.4210854715202004E-13</v>
      </c>
      <c r="AS172" s="609">
        <f t="shared" si="65"/>
        <v>2016</v>
      </c>
      <c r="AT172" s="335">
        <f t="shared" si="46"/>
        <v>131.54050261624903</v>
      </c>
      <c r="AU172" s="335">
        <f t="shared" si="47"/>
        <v>266.79999999999995</v>
      </c>
      <c r="AV172" s="335">
        <f t="shared" si="48"/>
        <v>230.29045599999998</v>
      </c>
      <c r="AW172" s="335">
        <f t="shared" si="49"/>
        <v>32.543413872778956</v>
      </c>
      <c r="AX172" s="335">
        <f t="shared" si="50"/>
        <v>0</v>
      </c>
      <c r="AY172" s="335">
        <f t="shared" si="80"/>
        <v>159.07322452483973</v>
      </c>
      <c r="AZ172" s="335">
        <f t="shared" si="81"/>
        <v>1189.752402986132</v>
      </c>
      <c r="BB172" s="533"/>
    </row>
    <row r="173" spans="1:54" ht="14.4" x14ac:dyDescent="0.55000000000000004">
      <c r="B173" s="3">
        <v>2017</v>
      </c>
      <c r="C173" s="334">
        <f t="shared" si="45"/>
        <v>977.089189437031</v>
      </c>
      <c r="D173" s="532">
        <f>'Food System Summary'!H15-'Food System Summary'!I15</f>
        <v>1402.4337305219583</v>
      </c>
      <c r="E173" s="338">
        <f t="shared" si="66"/>
        <v>1.435318030005017</v>
      </c>
      <c r="F173" s="338">
        <f t="shared" si="67"/>
        <v>0.66048968073995595</v>
      </c>
      <c r="G173" s="334">
        <f t="shared" si="51"/>
        <v>0.87848999999999999</v>
      </c>
      <c r="H173" s="338">
        <f t="shared" si="68"/>
        <v>8.9908885442296124E-4</v>
      </c>
      <c r="I173" s="334">
        <f t="shared" si="69"/>
        <v>-426.2230310849273</v>
      </c>
      <c r="J173" s="338">
        <f t="shared" si="70"/>
        <v>-0.43621711885944009</v>
      </c>
      <c r="K173" s="338">
        <f t="shared" si="71"/>
        <v>-0.20073384403020972</v>
      </c>
      <c r="N173" s="3">
        <v>2017</v>
      </c>
      <c r="O173" s="1205">
        <f t="shared" si="52"/>
        <v>407.98435400123185</v>
      </c>
      <c r="P173" s="1205">
        <f t="shared" si="53"/>
        <v>1.39151</v>
      </c>
      <c r="Q173" s="1205">
        <f t="shared" si="54"/>
        <v>233.851586</v>
      </c>
      <c r="R173" s="1205">
        <f t="shared" si="72"/>
        <v>174.13276800123185</v>
      </c>
      <c r="S173" s="1206">
        <f>Paper!E119</f>
        <v>407.98435400123185</v>
      </c>
      <c r="T173" s="1205">
        <f t="shared" si="55"/>
        <v>174.13276800123185</v>
      </c>
      <c r="U173" s="1206">
        <f>Paper!I119</f>
        <v>32.086302423670247</v>
      </c>
      <c r="V173" s="1205">
        <f t="shared" si="56"/>
        <v>142.04646557756161</v>
      </c>
      <c r="Y173" s="609">
        <f t="shared" si="73"/>
        <v>2017</v>
      </c>
      <c r="Z173" s="335">
        <f t="shared" si="57"/>
        <v>2123.324211440809</v>
      </c>
      <c r="AA173" s="335">
        <f t="shared" si="74"/>
        <v>1431.3974895944225</v>
      </c>
      <c r="AB173" s="335">
        <f t="shared" si="75"/>
        <v>142.0389197189572</v>
      </c>
      <c r="AC173" s="335">
        <f t="shared" si="76"/>
        <v>283.94991370375845</v>
      </c>
      <c r="AD173" s="335">
        <f t="shared" si="77"/>
        <v>233.851586</v>
      </c>
      <c r="AE173" s="335">
        <f>MIN(Paper!H119,Paper!I119)</f>
        <v>32.086302423670247</v>
      </c>
      <c r="AF173" s="335">
        <f t="shared" si="58"/>
        <v>2.3841857910156249E-13</v>
      </c>
      <c r="AG173" s="533"/>
      <c r="AI173" s="609">
        <f t="shared" si="59"/>
        <v>2017</v>
      </c>
      <c r="AJ173" s="335">
        <f t="shared" si="78"/>
        <v>1198.562708086904</v>
      </c>
      <c r="AK173" s="335">
        <f t="shared" si="60"/>
        <v>-364.26322275921649</v>
      </c>
      <c r="AL173" s="335">
        <f t="shared" si="61"/>
        <v>0.75078439038640776</v>
      </c>
      <c r="AM173" s="335">
        <f t="shared" si="62"/>
        <v>164.69014812485983</v>
      </c>
      <c r="AN173" s="335">
        <f t="shared" si="63"/>
        <v>289.61060617392724</v>
      </c>
      <c r="AO173" s="335">
        <f t="shared" si="79"/>
        <v>142.04646557756161</v>
      </c>
      <c r="AP173" s="335">
        <f t="shared" si="64"/>
        <v>0</v>
      </c>
      <c r="AS173" s="609">
        <f t="shared" si="65"/>
        <v>2017</v>
      </c>
      <c r="AT173" s="335">
        <f t="shared" si="46"/>
        <v>142.0389197189572</v>
      </c>
      <c r="AU173" s="335">
        <f t="shared" si="47"/>
        <v>283.94991370375845</v>
      </c>
      <c r="AV173" s="335">
        <f t="shared" si="48"/>
        <v>233.851586</v>
      </c>
      <c r="AW173" s="335">
        <f t="shared" si="49"/>
        <v>32.086302423670247</v>
      </c>
      <c r="AX173" s="335">
        <f t="shared" si="50"/>
        <v>2.3841857910156249E-13</v>
      </c>
      <c r="AY173" s="335">
        <f t="shared" si="80"/>
        <v>162.84287810907378</v>
      </c>
      <c r="AZ173" s="335">
        <f t="shared" si="81"/>
        <v>1268.5546114853487</v>
      </c>
      <c r="BB173" s="533"/>
    </row>
    <row r="174" spans="1:54" ht="14.4" x14ac:dyDescent="0.55000000000000004">
      <c r="B174" s="3">
        <v>2018</v>
      </c>
      <c r="C174" s="334">
        <f t="shared" si="45"/>
        <v>998.13023385837425</v>
      </c>
      <c r="D174" s="532">
        <f>'Food System Summary'!H16-'Food System Summary'!I16</f>
        <v>1422.5384092203535</v>
      </c>
      <c r="E174" s="338">
        <f t="shared" si="66"/>
        <v>1.4252032059197186</v>
      </c>
      <c r="F174" s="338">
        <f t="shared" si="67"/>
        <v>0.6583679171868797</v>
      </c>
      <c r="G174" s="334">
        <f t="shared" si="51"/>
        <v>0.91152000000005506</v>
      </c>
      <c r="H174" s="338">
        <f t="shared" si="68"/>
        <v>9.1322752190010469E-4</v>
      </c>
      <c r="I174" s="334">
        <f t="shared" si="69"/>
        <v>-425.31969536197931</v>
      </c>
      <c r="J174" s="338">
        <f t="shared" si="70"/>
        <v>-0.42611643344161876</v>
      </c>
      <c r="K174" s="338">
        <f t="shared" si="71"/>
        <v>-0.19684308005960452</v>
      </c>
      <c r="N174" s="3">
        <v>2018</v>
      </c>
      <c r="O174" s="1205">
        <f t="shared" si="52"/>
        <v>415.44977691844497</v>
      </c>
      <c r="P174" s="1205">
        <f t="shared" si="53"/>
        <v>1.1984800000000722</v>
      </c>
      <c r="Q174" s="1205">
        <f t="shared" si="54"/>
        <v>229.65599771239667</v>
      </c>
      <c r="R174" s="1205">
        <f t="shared" si="72"/>
        <v>185.7937792060483</v>
      </c>
      <c r="S174" s="1206">
        <f>Paper!E120</f>
        <v>408.843143</v>
      </c>
      <c r="T174" s="1205">
        <f t="shared" si="55"/>
        <v>179.18714528760333</v>
      </c>
      <c r="U174" s="1206">
        <f>Paper!I120</f>
        <v>31.623827265838372</v>
      </c>
      <c r="V174" s="1205">
        <f t="shared" si="56"/>
        <v>147.56331802176496</v>
      </c>
      <c r="Y174" s="609">
        <f t="shared" si="73"/>
        <v>2018</v>
      </c>
      <c r="Z174" s="335">
        <f t="shared" si="57"/>
        <v>2160.7043297289983</v>
      </c>
      <c r="AA174" s="335">
        <f t="shared" si="74"/>
        <v>1454.2808182727024</v>
      </c>
      <c r="AB174" s="335">
        <f t="shared" si="75"/>
        <v>152.53733682166535</v>
      </c>
      <c r="AC174" s="335">
        <f t="shared" si="76"/>
        <v>292.60634965639559</v>
      </c>
      <c r="AD174" s="335">
        <f t="shared" si="77"/>
        <v>229.65599771239667</v>
      </c>
      <c r="AE174" s="335">
        <f>MIN(Paper!H120,Paper!I120)</f>
        <v>31.623827265838372</v>
      </c>
      <c r="AF174" s="335">
        <f t="shared" si="58"/>
        <v>0</v>
      </c>
      <c r="AG174" s="533"/>
      <c r="AI174" s="609">
        <f t="shared" si="59"/>
        <v>2018</v>
      </c>
      <c r="AJ174" s="335">
        <f t="shared" si="78"/>
        <v>1205.1417077596602</v>
      </c>
      <c r="AK174" s="335">
        <f t="shared" si="60"/>
        <v>-360.32102942884836</v>
      </c>
      <c r="AL174" s="335">
        <f t="shared" si="61"/>
        <v>0.77221870589716402</v>
      </c>
      <c r="AM174" s="335">
        <f t="shared" si="62"/>
        <v>168.09926128821317</v>
      </c>
      <c r="AN174" s="335">
        <f t="shared" si="63"/>
        <v>286.4187080075705</v>
      </c>
      <c r="AO174" s="335">
        <f t="shared" si="79"/>
        <v>147.56331802176496</v>
      </c>
      <c r="AP174" s="335">
        <f t="shared" si="64"/>
        <v>6.6066339184446576</v>
      </c>
      <c r="AS174" s="609">
        <f t="shared" si="65"/>
        <v>2018</v>
      </c>
      <c r="AT174" s="335">
        <f t="shared" si="46"/>
        <v>152.53733682166535</v>
      </c>
      <c r="AU174" s="335">
        <f t="shared" si="47"/>
        <v>292.60634965639559</v>
      </c>
      <c r="AV174" s="335">
        <f t="shared" si="48"/>
        <v>229.65599771239667</v>
      </c>
      <c r="AW174" s="335">
        <f t="shared" si="49"/>
        <v>31.623827265838372</v>
      </c>
      <c r="AX174" s="335">
        <f t="shared" si="50"/>
        <v>0</v>
      </c>
      <c r="AY174" s="335">
        <f t="shared" si="80"/>
        <v>165.19016908698848</v>
      </c>
      <c r="AZ174" s="335">
        <f t="shared" si="81"/>
        <v>1289.090649185714</v>
      </c>
      <c r="BB174" s="533"/>
    </row>
    <row r="175" spans="1:54" ht="14.4" x14ac:dyDescent="0.55000000000000004">
      <c r="B175" s="3">
        <v>2019</v>
      </c>
      <c r="C175" s="334">
        <f t="shared" si="45"/>
        <v>952.17551922126415</v>
      </c>
      <c r="D175" s="532">
        <f>'Food System Summary'!H17-'Food System Summary'!I17</f>
        <v>1375.5966755222246</v>
      </c>
      <c r="E175" s="338">
        <f t="shared" si="66"/>
        <v>1.4446881354891954</v>
      </c>
      <c r="F175" s="338">
        <f t="shared" si="67"/>
        <v>0.64556006825999279</v>
      </c>
      <c r="G175" s="334">
        <f t="shared" si="51"/>
        <v>1.2635572628654159</v>
      </c>
      <c r="H175" s="338">
        <f t="shared" si="68"/>
        <v>1.327021370911547E-3</v>
      </c>
      <c r="I175" s="334">
        <f t="shared" si="69"/>
        <v>-424.68471356382582</v>
      </c>
      <c r="J175" s="338">
        <f t="shared" si="70"/>
        <v>-0.44601515686010684</v>
      </c>
      <c r="K175" s="338">
        <f t="shared" si="71"/>
        <v>-0.1993022355721806</v>
      </c>
      <c r="N175" s="3">
        <v>2019</v>
      </c>
      <c r="O175" s="1205">
        <f t="shared" si="52"/>
        <v>423.20764193175285</v>
      </c>
      <c r="P175" s="1205">
        <f t="shared" si="53"/>
        <v>1.645014165706161</v>
      </c>
      <c r="Q175" s="1205">
        <f t="shared" si="54"/>
        <v>257.2433554930123</v>
      </c>
      <c r="R175" s="1205">
        <f t="shared" si="72"/>
        <v>165.96428643874054</v>
      </c>
      <c r="S175" s="1206">
        <f>Paper!E121</f>
        <v>414.74298663357462</v>
      </c>
      <c r="T175" s="1205">
        <f t="shared" si="55"/>
        <v>157.49963114056231</v>
      </c>
      <c r="U175" s="1206">
        <f>Paper!I121</f>
        <v>31.150788539061352</v>
      </c>
      <c r="V175" s="1205">
        <f t="shared" si="56"/>
        <v>126.34884260150096</v>
      </c>
      <c r="Y175" s="609">
        <f t="shared" si="73"/>
        <v>2019</v>
      </c>
      <c r="Z175" s="335">
        <f t="shared" si="57"/>
        <v>2197.9034203535862</v>
      </c>
      <c r="AA175" s="335">
        <f t="shared" si="74"/>
        <v>1324.8100307525219</v>
      </c>
      <c r="AB175" s="335">
        <f t="shared" si="75"/>
        <v>208.63641873603882</v>
      </c>
      <c r="AC175" s="335">
        <f t="shared" si="76"/>
        <v>309.01715799725685</v>
      </c>
      <c r="AD175" s="335">
        <f t="shared" si="77"/>
        <v>257.2433554930123</v>
      </c>
      <c r="AE175" s="335">
        <f>MIN(Paper!H121,Paper!I121)</f>
        <v>31.150788539061352</v>
      </c>
      <c r="AF175" s="335">
        <f t="shared" si="58"/>
        <v>67.045668835695025</v>
      </c>
      <c r="AG175" s="533"/>
      <c r="AI175" s="609">
        <f t="shared" si="59"/>
        <v>2019</v>
      </c>
      <c r="AJ175" s="335">
        <f t="shared" si="78"/>
        <v>1074.1821167433136</v>
      </c>
      <c r="AK175" s="335">
        <f t="shared" si="60"/>
        <v>-331.62970853454055</v>
      </c>
      <c r="AL175" s="335">
        <f t="shared" si="61"/>
        <v>0.98669227645224211</v>
      </c>
      <c r="AM175" s="335">
        <f t="shared" si="62"/>
        <v>155.81005849874686</v>
      </c>
      <c r="AN175" s="335">
        <f t="shared" si="63"/>
        <v>290.64737386887077</v>
      </c>
      <c r="AO175" s="335">
        <f t="shared" si="79"/>
        <v>126.34884260150096</v>
      </c>
      <c r="AP175" s="335">
        <f t="shared" si="64"/>
        <v>8.4646552981780587</v>
      </c>
      <c r="AS175" s="609">
        <f t="shared" si="65"/>
        <v>2019</v>
      </c>
      <c r="AT175" s="335">
        <f t="shared" si="46"/>
        <v>208.63641873603882</v>
      </c>
      <c r="AU175" s="335">
        <f t="shared" si="47"/>
        <v>309.01715799725685</v>
      </c>
      <c r="AV175" s="335">
        <f t="shared" si="48"/>
        <v>257.2433554930123</v>
      </c>
      <c r="AW175" s="335">
        <f t="shared" si="49"/>
        <v>31.150788539061352</v>
      </c>
      <c r="AX175" s="335">
        <f t="shared" si="50"/>
        <v>67.045668835695025</v>
      </c>
      <c r="AY175" s="335">
        <f t="shared" si="80"/>
        <v>246.60823880527803</v>
      </c>
      <c r="AZ175" s="335">
        <f t="shared" si="81"/>
        <v>1078.2017919472439</v>
      </c>
      <c r="BB175" s="533"/>
    </row>
    <row r="176" spans="1:54" ht="14.4" x14ac:dyDescent="0.55000000000000004">
      <c r="B176" s="3">
        <v>2020</v>
      </c>
      <c r="C176" s="334">
        <f t="shared" si="45"/>
        <v>906.33849746103169</v>
      </c>
      <c r="D176" s="532">
        <f>'Food System Summary'!H18-'Food System Summary'!I18</f>
        <v>1328.511216767391</v>
      </c>
      <c r="E176" s="338">
        <f t="shared" si="66"/>
        <v>1.4658002727336548</v>
      </c>
      <c r="F176" s="338">
        <f t="shared" si="67"/>
        <v>0.63218297448995264</v>
      </c>
      <c r="G176" s="334">
        <f t="shared" si="51"/>
        <v>1.6622438285976469</v>
      </c>
      <c r="H176" s="338">
        <f t="shared" si="68"/>
        <v>1.8340209902306566E-3</v>
      </c>
      <c r="I176" s="334">
        <f t="shared" si="69"/>
        <v>-423.83496313495698</v>
      </c>
      <c r="J176" s="338">
        <f t="shared" si="70"/>
        <v>-0.46763429372388532</v>
      </c>
      <c r="K176" s="338">
        <f t="shared" si="71"/>
        <v>-0.20168534846056205</v>
      </c>
      <c r="N176" s="3">
        <v>2020</v>
      </c>
      <c r="O176" s="1205">
        <f t="shared" si="52"/>
        <v>431.35895949500411</v>
      </c>
      <c r="P176" s="1205">
        <f t="shared" si="53"/>
        <v>2.0448990285453794</v>
      </c>
      <c r="Q176" s="1205">
        <f t="shared" si="54"/>
        <v>266.74864241950871</v>
      </c>
      <c r="R176" s="1205">
        <f t="shared" si="72"/>
        <v>164.6103170754954</v>
      </c>
      <c r="S176" s="1206">
        <f>Paper!E122</f>
        <v>424.86563496218895</v>
      </c>
      <c r="T176" s="1205">
        <f t="shared" si="55"/>
        <v>158.11699254268024</v>
      </c>
      <c r="U176" s="1206">
        <f>Paper!I122</f>
        <v>30.670628419755417</v>
      </c>
      <c r="V176" s="1205">
        <f t="shared" si="56"/>
        <v>127.44636412292482</v>
      </c>
      <c r="Y176" s="609">
        <f t="shared" si="73"/>
        <v>2020</v>
      </c>
      <c r="Z176" s="335">
        <f t="shared" si="57"/>
        <v>2235.4879894080063</v>
      </c>
      <c r="AA176" s="335">
        <f t="shared" si="74"/>
        <v>1245.7098753082928</v>
      </c>
      <c r="AB176" s="335">
        <f t="shared" si="75"/>
        <v>237.77746593076361</v>
      </c>
      <c r="AC176" s="335">
        <f t="shared" si="76"/>
        <v>320.55968862241934</v>
      </c>
      <c r="AD176" s="335">
        <f t="shared" si="77"/>
        <v>266.74864241950871</v>
      </c>
      <c r="AE176" s="335">
        <f>MIN(Paper!H122,Paper!I122)</f>
        <v>30.670628419755417</v>
      </c>
      <c r="AF176" s="335">
        <f t="shared" si="58"/>
        <v>134.02168870726658</v>
      </c>
      <c r="AG176" s="533"/>
      <c r="AI176" s="609">
        <f t="shared" si="59"/>
        <v>2020</v>
      </c>
      <c r="AJ176" s="335">
        <f t="shared" si="78"/>
        <v>979.97694235616041</v>
      </c>
      <c r="AK176" s="335">
        <f t="shared" si="60"/>
        <v>-312.64206579096913</v>
      </c>
      <c r="AL176" s="335">
        <f t="shared" si="61"/>
        <v>1.2261549650767716</v>
      </c>
      <c r="AM176" s="335">
        <f t="shared" si="62"/>
        <v>158.29198557107574</v>
      </c>
      <c r="AN176" s="335">
        <f t="shared" si="63"/>
        <v>284.91716955120887</v>
      </c>
      <c r="AO176" s="335">
        <f t="shared" si="79"/>
        <v>127.44636412292482</v>
      </c>
      <c r="AP176" s="335">
        <f t="shared" si="64"/>
        <v>6.4933245328153362</v>
      </c>
      <c r="AS176" s="609">
        <f t="shared" si="65"/>
        <v>2020</v>
      </c>
      <c r="AT176" s="335">
        <f t="shared" si="46"/>
        <v>237.77746593076361</v>
      </c>
      <c r="AU176" s="335">
        <f t="shared" si="47"/>
        <v>320.55968862241934</v>
      </c>
      <c r="AV176" s="335">
        <f t="shared" si="48"/>
        <v>266.74864241950871</v>
      </c>
      <c r="AW176" s="335">
        <f t="shared" si="49"/>
        <v>30.670628419755417</v>
      </c>
      <c r="AX176" s="335">
        <f t="shared" si="50"/>
        <v>134.02168870726658</v>
      </c>
      <c r="AY176" s="335">
        <f t="shared" si="80"/>
        <v>273.17799049209589</v>
      </c>
      <c r="AZ176" s="335">
        <f t="shared" si="81"/>
        <v>972.53188481619691</v>
      </c>
      <c r="BB176" s="533"/>
    </row>
    <row r="177" spans="2:54" ht="14.4" x14ac:dyDescent="0.55000000000000004">
      <c r="B177" s="3">
        <v>2021</v>
      </c>
      <c r="C177" s="334">
        <f t="shared" si="45"/>
        <v>859.3481056833491</v>
      </c>
      <c r="D177" s="532">
        <f>'Food System Summary'!H19-'Food System Summary'!I19</f>
        <v>1280.2673234035406</v>
      </c>
      <c r="E177" s="338">
        <f t="shared" si="66"/>
        <v>1.4898122366668611</v>
      </c>
      <c r="F177" s="338">
        <f t="shared" si="67"/>
        <v>0.61861191636822477</v>
      </c>
      <c r="G177" s="334">
        <f t="shared" si="51"/>
        <v>2.0816795805797308</v>
      </c>
      <c r="H177" s="338">
        <f t="shared" si="68"/>
        <v>2.4223938667141068E-3</v>
      </c>
      <c r="I177" s="334">
        <f t="shared" si="69"/>
        <v>-423.00089730077116</v>
      </c>
      <c r="J177" s="338">
        <f t="shared" si="70"/>
        <v>-0.4922346305335753</v>
      </c>
      <c r="K177" s="338">
        <f t="shared" si="71"/>
        <v>-0.20438965434895284</v>
      </c>
      <c r="N177" s="3">
        <v>2021</v>
      </c>
      <c r="O177" s="1205">
        <f t="shared" si="52"/>
        <v>439.28218533793995</v>
      </c>
      <c r="P177" s="1205">
        <f t="shared" si="53"/>
        <v>2.4240347051345172</v>
      </c>
      <c r="Q177" s="1205">
        <f t="shared" si="54"/>
        <v>277.33210027765085</v>
      </c>
      <c r="R177" s="1205">
        <f t="shared" si="72"/>
        <v>161.9500850602891</v>
      </c>
      <c r="S177" s="1206">
        <f>Paper!E123</f>
        <v>435.00883978153735</v>
      </c>
      <c r="T177" s="1205">
        <f t="shared" si="55"/>
        <v>157.67673950388649</v>
      </c>
      <c r="U177" s="1206">
        <f>Paper!I123</f>
        <v>29.959476074754036</v>
      </c>
      <c r="V177" s="1205">
        <f t="shared" si="56"/>
        <v>127.71726342913246</v>
      </c>
      <c r="Y177" s="609">
        <f t="shared" si="73"/>
        <v>2021</v>
      </c>
      <c r="Z177" s="335">
        <f t="shared" si="57"/>
        <v>2270.2853275329462</v>
      </c>
      <c r="AA177" s="335">
        <f t="shared" si="74"/>
        <v>1162.938825398684</v>
      </c>
      <c r="AB177" s="335">
        <f t="shared" si="75"/>
        <v>267.54146387924328</v>
      </c>
      <c r="AC177" s="335">
        <f t="shared" si="76"/>
        <v>331.80889983534553</v>
      </c>
      <c r="AD177" s="335">
        <f t="shared" si="77"/>
        <v>277.33210027765085</v>
      </c>
      <c r="AE177" s="335">
        <f>MIN(Paper!H123,Paper!I123)</f>
        <v>29.959476074754036</v>
      </c>
      <c r="AF177" s="335">
        <f t="shared" si="58"/>
        <v>200.70456206726837</v>
      </c>
      <c r="AG177" s="533"/>
      <c r="AI177" s="609">
        <f t="shared" si="59"/>
        <v>2021</v>
      </c>
      <c r="AJ177" s="335">
        <f t="shared" si="78"/>
        <v>881.68077670047887</v>
      </c>
      <c r="AK177" s="335">
        <f t="shared" si="60"/>
        <v>-291.30772367575992</v>
      </c>
      <c r="AL177" s="335">
        <f t="shared" si="61"/>
        <v>1.433588779386938</v>
      </c>
      <c r="AM177" s="335">
        <f t="shared" si="62"/>
        <v>159.21146825658457</v>
      </c>
      <c r="AN177" s="335">
        <f t="shared" si="63"/>
        <v>279.93010635245867</v>
      </c>
      <c r="AO177" s="335">
        <f t="shared" si="79"/>
        <v>127.71726342913246</v>
      </c>
      <c r="AP177" s="335">
        <f t="shared" si="64"/>
        <v>4.2733455564024325</v>
      </c>
      <c r="AS177" s="609">
        <f t="shared" si="65"/>
        <v>2021</v>
      </c>
      <c r="AT177" s="335">
        <f t="shared" si="46"/>
        <v>267.54146387924328</v>
      </c>
      <c r="AU177" s="335">
        <f t="shared" si="47"/>
        <v>331.80889983534553</v>
      </c>
      <c r="AV177" s="335">
        <f t="shared" si="48"/>
        <v>277.33210027765085</v>
      </c>
      <c r="AW177" s="335">
        <f t="shared" si="49"/>
        <v>29.959476074754036</v>
      </c>
      <c r="AX177" s="335">
        <f t="shared" si="50"/>
        <v>200.70456206726837</v>
      </c>
      <c r="AY177" s="335">
        <f t="shared" si="80"/>
        <v>297.36425092534949</v>
      </c>
      <c r="AZ177" s="335">
        <f t="shared" si="81"/>
        <v>865.57457447333445</v>
      </c>
      <c r="BB177" s="533"/>
    </row>
    <row r="178" spans="2:54" ht="14.4" x14ac:dyDescent="0.55000000000000004">
      <c r="B178" s="3">
        <v>2022</v>
      </c>
      <c r="C178" s="334">
        <f t="shared" si="45"/>
        <v>812.6669095748764</v>
      </c>
      <c r="D178" s="532">
        <f>'Food System Summary'!H20-'Food System Summary'!I20</f>
        <v>1231.9868953131806</v>
      </c>
      <c r="E178" s="338">
        <f t="shared" si="66"/>
        <v>1.515980139953846</v>
      </c>
      <c r="F178" s="338">
        <f t="shared" si="67"/>
        <v>0.60440822615249667</v>
      </c>
      <c r="G178" s="334">
        <f t="shared" si="51"/>
        <v>2.5210836903341249</v>
      </c>
      <c r="H178" s="338">
        <f t="shared" si="68"/>
        <v>3.1022349509136015E-3</v>
      </c>
      <c r="I178" s="334">
        <f t="shared" si="69"/>
        <v>-421.84106942863838</v>
      </c>
      <c r="J178" s="338">
        <f t="shared" si="70"/>
        <v>-0.51908237490475961</v>
      </c>
      <c r="K178" s="338">
        <f t="shared" si="71"/>
        <v>-0.20695367252816568</v>
      </c>
      <c r="N178" s="3">
        <v>2022</v>
      </c>
      <c r="O178" s="1205">
        <f t="shared" si="52"/>
        <v>447.57194574128391</v>
      </c>
      <c r="P178" s="1205">
        <f t="shared" si="53"/>
        <v>2.7832020239515725</v>
      </c>
      <c r="Q178" s="1205">
        <f t="shared" si="54"/>
        <v>288.59537864722978</v>
      </c>
      <c r="R178" s="1205">
        <f t="shared" si="72"/>
        <v>158.97656709405413</v>
      </c>
      <c r="S178" s="1206">
        <f>Paper!E124</f>
        <v>444.54089977599546</v>
      </c>
      <c r="T178" s="1205">
        <f t="shared" si="55"/>
        <v>155.94552112876568</v>
      </c>
      <c r="U178" s="1206">
        <f>Paper!I124</f>
        <v>29.268182113106946</v>
      </c>
      <c r="V178" s="1205">
        <f t="shared" si="56"/>
        <v>126.67733901565873</v>
      </c>
      <c r="Y178" s="609">
        <f t="shared" si="73"/>
        <v>2022</v>
      </c>
      <c r="Z178" s="335">
        <f t="shared" si="57"/>
        <v>2305.4281717581962</v>
      </c>
      <c r="AA178" s="335">
        <f t="shared" si="74"/>
        <v>1079.0418524405195</v>
      </c>
      <c r="AB178" s="335">
        <f t="shared" si="75"/>
        <v>298.22753525843081</v>
      </c>
      <c r="AC178" s="335">
        <f t="shared" si="76"/>
        <v>343.20280212386456</v>
      </c>
      <c r="AD178" s="335">
        <f t="shared" si="77"/>
        <v>288.59537864722978</v>
      </c>
      <c r="AE178" s="335">
        <f>MIN(Paper!H124,Paper!I124)</f>
        <v>29.268182113106946</v>
      </c>
      <c r="AF178" s="335">
        <f t="shared" si="58"/>
        <v>267.09242117504431</v>
      </c>
      <c r="AG178" s="533"/>
      <c r="AI178" s="609">
        <f t="shared" si="59"/>
        <v>2022</v>
      </c>
      <c r="AJ178" s="335">
        <f t="shared" si="78"/>
        <v>779.87987467401422</v>
      </c>
      <c r="AK178" s="335">
        <f t="shared" si="60"/>
        <v>-267.03641216469919</v>
      </c>
      <c r="AL178" s="335">
        <f t="shared" si="61"/>
        <v>1.5959118071306024</v>
      </c>
      <c r="AM178" s="335">
        <f t="shared" si="62"/>
        <v>159.98384225040516</v>
      </c>
      <c r="AN178" s="335">
        <f t="shared" si="63"/>
        <v>274.91025089272182</v>
      </c>
      <c r="AO178" s="335">
        <f t="shared" si="79"/>
        <v>126.67733901565873</v>
      </c>
      <c r="AP178" s="335">
        <f t="shared" si="64"/>
        <v>3.0310459652881718</v>
      </c>
      <c r="AS178" s="609">
        <f t="shared" si="65"/>
        <v>2022</v>
      </c>
      <c r="AT178" s="335">
        <f t="shared" si="46"/>
        <v>298.22753525843081</v>
      </c>
      <c r="AU178" s="335">
        <f t="shared" si="47"/>
        <v>343.20280212386456</v>
      </c>
      <c r="AV178" s="335">
        <f t="shared" si="48"/>
        <v>288.59537864722978</v>
      </c>
      <c r="AW178" s="335">
        <f t="shared" si="49"/>
        <v>29.268182113106946</v>
      </c>
      <c r="AX178" s="335">
        <f t="shared" si="50"/>
        <v>267.09242117504431</v>
      </c>
      <c r="AY178" s="335">
        <f t="shared" si="80"/>
        <v>322.81854120686864</v>
      </c>
      <c r="AZ178" s="335">
        <f t="shared" si="81"/>
        <v>756.22331123365086</v>
      </c>
      <c r="BB178" s="533"/>
    </row>
    <row r="179" spans="2:54" ht="14.4" x14ac:dyDescent="0.55000000000000004">
      <c r="B179" s="3">
        <v>2023</v>
      </c>
      <c r="C179" s="334">
        <f t="shared" si="45"/>
        <v>766.01930749675637</v>
      </c>
      <c r="D179" s="532">
        <f>'Food System Summary'!H21-'Food System Summary'!I21</f>
        <v>1183.7533083980077</v>
      </c>
      <c r="E179" s="338">
        <f t="shared" si="66"/>
        <v>1.5453309032984397</v>
      </c>
      <c r="F179" s="338">
        <f t="shared" si="67"/>
        <v>0.58980753093671323</v>
      </c>
      <c r="G179" s="334">
        <f t="shared" si="51"/>
        <v>3.0047706422018368</v>
      </c>
      <c r="H179" s="338">
        <f t="shared" si="68"/>
        <v>3.9225782076185598E-3</v>
      </c>
      <c r="I179" s="334">
        <f t="shared" si="69"/>
        <v>-420.73877154345314</v>
      </c>
      <c r="J179" s="338">
        <f t="shared" si="70"/>
        <v>-0.54925348150605813</v>
      </c>
      <c r="K179" s="338">
        <f t="shared" si="71"/>
        <v>-0.20963396195210804</v>
      </c>
      <c r="N179" s="3">
        <v>2023</v>
      </c>
      <c r="O179" s="1205">
        <f t="shared" si="52"/>
        <v>456.07158944859214</v>
      </c>
      <c r="P179" s="1205">
        <f t="shared" si="53"/>
        <v>3.09808650065531</v>
      </c>
      <c r="Q179" s="1205">
        <f t="shared" si="54"/>
        <v>300.69650525974652</v>
      </c>
      <c r="R179" s="1205">
        <f t="shared" si="72"/>
        <v>155.37508418884562</v>
      </c>
      <c r="S179" s="1206">
        <f>Paper!E125</f>
        <v>454.17772675559291</v>
      </c>
      <c r="T179" s="1205">
        <f t="shared" si="55"/>
        <v>153.4812214958464</v>
      </c>
      <c r="U179" s="1206">
        <f>Paper!I125</f>
        <v>28.598191574614702</v>
      </c>
      <c r="V179" s="1205">
        <f t="shared" si="56"/>
        <v>124.8830299212317</v>
      </c>
      <c r="Y179" s="609">
        <f t="shared" si="73"/>
        <v>2023</v>
      </c>
      <c r="Z179" s="335">
        <f t="shared" si="57"/>
        <v>2340.1548550480929</v>
      </c>
      <c r="AA179" s="335">
        <f t="shared" si="74"/>
        <v>993.3646130366069</v>
      </c>
      <c r="AB179" s="335">
        <f t="shared" si="75"/>
        <v>329.73100627172619</v>
      </c>
      <c r="AC179" s="335">
        <f t="shared" si="76"/>
        <v>354.62594985514585</v>
      </c>
      <c r="AD179" s="335">
        <f t="shared" si="77"/>
        <v>300.69650525974652</v>
      </c>
      <c r="AE179" s="335">
        <f>MIN(Paper!H125,Paper!I125)</f>
        <v>28.598191574614702</v>
      </c>
      <c r="AF179" s="335">
        <f t="shared" si="58"/>
        <v>333.1385890502529</v>
      </c>
      <c r="AG179" s="533"/>
      <c r="AI179" s="609">
        <f t="shared" si="59"/>
        <v>2023</v>
      </c>
      <c r="AJ179" s="335">
        <f t="shared" si="78"/>
        <v>674.20979463061758</v>
      </c>
      <c r="AK179" s="335">
        <f t="shared" si="60"/>
        <v>-239.63286838821165</v>
      </c>
      <c r="AL179" s="335">
        <f t="shared" si="61"/>
        <v>1.7113749826242248</v>
      </c>
      <c r="AM179" s="335">
        <f t="shared" si="62"/>
        <v>160.60145979154495</v>
      </c>
      <c r="AN179" s="335">
        <f t="shared" si="63"/>
        <v>269.69795940580065</v>
      </c>
      <c r="AO179" s="335">
        <f t="shared" si="79"/>
        <v>124.8830299212317</v>
      </c>
      <c r="AP179" s="335">
        <f t="shared" si="64"/>
        <v>1.8938626929994484</v>
      </c>
      <c r="AS179" s="609">
        <f t="shared" si="65"/>
        <v>2023</v>
      </c>
      <c r="AT179" s="335">
        <f t="shared" si="46"/>
        <v>329.73100627172619</v>
      </c>
      <c r="AU179" s="335">
        <f t="shared" si="47"/>
        <v>354.62594985514585</v>
      </c>
      <c r="AV179" s="335">
        <f t="shared" si="48"/>
        <v>300.69650525974652</v>
      </c>
      <c r="AW179" s="335">
        <f t="shared" si="49"/>
        <v>28.598191574614702</v>
      </c>
      <c r="AX179" s="335">
        <f t="shared" si="50"/>
        <v>333.1385890502529</v>
      </c>
      <c r="AY179" s="335">
        <f t="shared" si="80"/>
        <v>348.23572707903827</v>
      </c>
      <c r="AZ179" s="335">
        <f t="shared" si="81"/>
        <v>645.12888595756863</v>
      </c>
      <c r="BB179" s="533"/>
    </row>
    <row r="180" spans="2:54" ht="14.4" x14ac:dyDescent="0.55000000000000004">
      <c r="B180" s="3">
        <v>2024</v>
      </c>
      <c r="C180" s="334">
        <f t="shared" si="45"/>
        <v>719.35819481864701</v>
      </c>
      <c r="D180" s="532">
        <f>'Food System Summary'!H22-'Food System Summary'!I22</f>
        <v>1135.6384357678671</v>
      </c>
      <c r="E180" s="338">
        <f t="shared" si="66"/>
        <v>1.5786828369337838</v>
      </c>
      <c r="F180" s="338">
        <f t="shared" si="67"/>
        <v>0.57482539669202048</v>
      </c>
      <c r="G180" s="334">
        <f t="shared" si="51"/>
        <v>3.4568024095363725</v>
      </c>
      <c r="H180" s="338">
        <f t="shared" si="68"/>
        <v>4.8053979706283124E-3</v>
      </c>
      <c r="I180" s="334">
        <f t="shared" si="69"/>
        <v>-419.73704335875647</v>
      </c>
      <c r="J180" s="338">
        <f t="shared" si="70"/>
        <v>-0.58348823490441204</v>
      </c>
      <c r="K180" s="338">
        <f t="shared" si="71"/>
        <v>-0.21245803669183974</v>
      </c>
      <c r="N180" s="3">
        <v>2024</v>
      </c>
      <c r="O180" s="1205">
        <f t="shared" si="52"/>
        <v>464.76380921850205</v>
      </c>
      <c r="P180" s="1205">
        <f t="shared" si="53"/>
        <v>3.4446261618922236</v>
      </c>
      <c r="Q180" s="1205">
        <f t="shared" si="54"/>
        <v>313.60754265234232</v>
      </c>
      <c r="R180" s="1205">
        <f t="shared" si="72"/>
        <v>151.15626656615973</v>
      </c>
      <c r="S180" s="1206">
        <f>Paper!E126</f>
        <v>463.86975570882623</v>
      </c>
      <c r="T180" s="1205">
        <f t="shared" si="55"/>
        <v>150.26221305648392</v>
      </c>
      <c r="U180" s="1206">
        <f>Paper!I126</f>
        <v>27.952545451421543</v>
      </c>
      <c r="V180" s="1205">
        <f t="shared" si="56"/>
        <v>122.30966760506237</v>
      </c>
      <c r="Y180" s="609">
        <f t="shared" si="73"/>
        <v>2024</v>
      </c>
      <c r="Z180" s="335">
        <f t="shared" si="57"/>
        <v>2374.4267580491282</v>
      </c>
      <c r="AA180" s="335">
        <f t="shared" si="74"/>
        <v>905.97398599605378</v>
      </c>
      <c r="AB180" s="335">
        <f t="shared" si="75"/>
        <v>362.02305206042257</v>
      </c>
      <c r="AC180" s="335">
        <f t="shared" si="76"/>
        <v>366.06615406222107</v>
      </c>
      <c r="AD180" s="335">
        <f t="shared" si="77"/>
        <v>313.60754265234232</v>
      </c>
      <c r="AE180" s="335">
        <f>MIN(Paper!H126,Paper!I126)</f>
        <v>27.952545451421543</v>
      </c>
      <c r="AF180" s="335">
        <f t="shared" si="58"/>
        <v>398.80347782666684</v>
      </c>
      <c r="AG180" s="533"/>
      <c r="AI180" s="609">
        <f t="shared" si="59"/>
        <v>2024</v>
      </c>
      <c r="AJ180" s="335">
        <f t="shared" si="78"/>
        <v>564.11885690569238</v>
      </c>
      <c r="AK180" s="335">
        <f t="shared" si="60"/>
        <v>-208.50085171731243</v>
      </c>
      <c r="AL180" s="335">
        <f t="shared" si="61"/>
        <v>1.7171375698445499</v>
      </c>
      <c r="AM180" s="335">
        <f t="shared" si="62"/>
        <v>161.84418439828048</v>
      </c>
      <c r="AN180" s="335">
        <f t="shared" si="63"/>
        <v>263.59093772481066</v>
      </c>
      <c r="AO180" s="335">
        <f t="shared" si="79"/>
        <v>122.30966760506237</v>
      </c>
      <c r="AP180" s="335">
        <f t="shared" si="64"/>
        <v>0.89405350967575714</v>
      </c>
      <c r="AS180" s="609">
        <f t="shared" si="65"/>
        <v>2024</v>
      </c>
      <c r="AT180" s="335">
        <f t="shared" si="46"/>
        <v>362.02305206042257</v>
      </c>
      <c r="AU180" s="335">
        <f t="shared" si="47"/>
        <v>366.06615406222107</v>
      </c>
      <c r="AV180" s="335">
        <f t="shared" si="48"/>
        <v>313.60754265234232</v>
      </c>
      <c r="AW180" s="335">
        <f t="shared" si="49"/>
        <v>27.952545451421543</v>
      </c>
      <c r="AX180" s="335">
        <f t="shared" si="50"/>
        <v>398.80347782666684</v>
      </c>
      <c r="AY180" s="335">
        <f t="shared" si="80"/>
        <v>373.61608173336145</v>
      </c>
      <c r="AZ180" s="335">
        <f t="shared" si="81"/>
        <v>532.35790426269227</v>
      </c>
      <c r="BB180" s="533"/>
    </row>
    <row r="181" spans="2:54" ht="14.4" x14ac:dyDescent="0.55000000000000004">
      <c r="B181" s="3">
        <v>2025</v>
      </c>
      <c r="C181" s="334">
        <f t="shared" si="45"/>
        <v>671.27264874010677</v>
      </c>
      <c r="D181" s="532">
        <f>'Food System Summary'!H23-'Food System Summary'!I23</f>
        <v>1087.7037047715976</v>
      </c>
      <c r="E181" s="338">
        <f t="shared" si="66"/>
        <v>1.6203605298280495</v>
      </c>
      <c r="F181" s="338">
        <f t="shared" si="67"/>
        <v>0.55977040228400654</v>
      </c>
      <c r="G181" s="334">
        <f t="shared" si="51"/>
        <v>3.9516817160404063</v>
      </c>
      <c r="H181" s="338">
        <f t="shared" si="68"/>
        <v>5.8868504823743513E-3</v>
      </c>
      <c r="I181" s="334">
        <f t="shared" si="69"/>
        <v>-420.38273774753122</v>
      </c>
      <c r="J181" s="338">
        <f t="shared" si="70"/>
        <v>-0.62624738031042382</v>
      </c>
      <c r="K181" s="338">
        <f t="shared" si="71"/>
        <v>-0.21634367262875231</v>
      </c>
      <c r="N181" s="3">
        <v>2025</v>
      </c>
      <c r="O181" s="1205">
        <f t="shared" si="52"/>
        <v>474.45456454294197</v>
      </c>
      <c r="P181" s="1205">
        <f t="shared" si="53"/>
        <v>3.7483182839596392</v>
      </c>
      <c r="Q181" s="1205">
        <f t="shared" si="54"/>
        <v>328.35899459354056</v>
      </c>
      <c r="R181" s="1205">
        <f t="shared" si="72"/>
        <v>146.09556994940141</v>
      </c>
      <c r="S181" s="1206">
        <f>Paper!E127</f>
        <v>474.09423178165162</v>
      </c>
      <c r="T181" s="1205">
        <f t="shared" si="55"/>
        <v>145.73523718811106</v>
      </c>
      <c r="U181" s="1206">
        <f>Paper!I127</f>
        <v>27.329133095626617</v>
      </c>
      <c r="V181" s="1205">
        <f t="shared" si="56"/>
        <v>118.40610409248444</v>
      </c>
      <c r="Y181" s="609">
        <f t="shared" si="73"/>
        <v>2025</v>
      </c>
      <c r="Z181" s="335">
        <f t="shared" si="57"/>
        <v>2407.1768875846901</v>
      </c>
      <c r="AA181" s="335">
        <f t="shared" si="74"/>
        <v>815.53850425390203</v>
      </c>
      <c r="AB181" s="335">
        <f t="shared" si="75"/>
        <v>394.54737333532785</v>
      </c>
      <c r="AC181" s="335">
        <f t="shared" si="76"/>
        <v>377.35071216555531</v>
      </c>
      <c r="AD181" s="335">
        <f t="shared" si="77"/>
        <v>328.35899459354056</v>
      </c>
      <c r="AE181" s="335">
        <f>MIN(Paper!H127,Paper!I127)</f>
        <v>27.329133095626617</v>
      </c>
      <c r="AF181" s="335">
        <f t="shared" si="58"/>
        <v>464.05217014073799</v>
      </c>
      <c r="AG181" s="533"/>
      <c r="AI181" s="609">
        <f t="shared" si="59"/>
        <v>2025</v>
      </c>
      <c r="AJ181" s="335">
        <f t="shared" si="78"/>
        <v>448.39471387170056</v>
      </c>
      <c r="AK181" s="335">
        <f t="shared" si="60"/>
        <v>-173.29847878792339</v>
      </c>
      <c r="AL181" s="335">
        <f t="shared" si="61"/>
        <v>1.6290403210017983</v>
      </c>
      <c r="AM181" s="335">
        <f t="shared" si="62"/>
        <v>162.99255505753851</v>
      </c>
      <c r="AN181" s="335">
        <f t="shared" si="63"/>
        <v>257.05423693780955</v>
      </c>
      <c r="AO181" s="335">
        <f t="shared" si="79"/>
        <v>118.40610409248444</v>
      </c>
      <c r="AP181" s="335">
        <f t="shared" si="64"/>
        <v>0.36033276129057867</v>
      </c>
      <c r="AS181" s="609">
        <f t="shared" si="65"/>
        <v>2025</v>
      </c>
      <c r="AT181" s="335">
        <f t="shared" si="46"/>
        <v>394.54737333532785</v>
      </c>
      <c r="AU181" s="335">
        <f t="shared" si="47"/>
        <v>377.35071216555531</v>
      </c>
      <c r="AV181" s="335">
        <f t="shared" si="48"/>
        <v>328.35899459354056</v>
      </c>
      <c r="AW181" s="335">
        <f t="shared" si="49"/>
        <v>27.329133095626617</v>
      </c>
      <c r="AX181" s="335">
        <f t="shared" si="50"/>
        <v>464.05217014073799</v>
      </c>
      <c r="AY181" s="335">
        <f t="shared" si="80"/>
        <v>396.94034470855428</v>
      </c>
      <c r="AZ181" s="335">
        <f t="shared" si="81"/>
        <v>418.59815954534776</v>
      </c>
      <c r="BB181" s="533"/>
    </row>
    <row r="182" spans="2:54" ht="14.4" x14ac:dyDescent="0.55000000000000004">
      <c r="B182" s="3">
        <v>2026</v>
      </c>
      <c r="C182" s="334">
        <f t="shared" si="45"/>
        <v>631.07418882248328</v>
      </c>
      <c r="D182" s="532">
        <f>'Food System Summary'!H24-'Food System Summary'!I24</f>
        <v>1040.0008676814243</v>
      </c>
      <c r="E182" s="338">
        <f t="shared" si="66"/>
        <v>1.647985111896201</v>
      </c>
      <c r="F182" s="338">
        <f t="shared" si="67"/>
        <v>0.54136633585795679</v>
      </c>
      <c r="G182" s="334">
        <f t="shared" si="51"/>
        <v>5.2601605356689412</v>
      </c>
      <c r="H182" s="338">
        <f t="shared" si="68"/>
        <v>8.3352490544476819E-3</v>
      </c>
      <c r="I182" s="334">
        <f t="shared" si="69"/>
        <v>-414.18683939460999</v>
      </c>
      <c r="J182" s="338">
        <f t="shared" si="70"/>
        <v>-0.65632036095064861</v>
      </c>
      <c r="K182" s="338">
        <f t="shared" si="71"/>
        <v>-0.21560252358590701</v>
      </c>
      <c r="N182" s="3">
        <v>2026</v>
      </c>
      <c r="O182" s="1205">
        <f t="shared" si="52"/>
        <v>484.32983940790632</v>
      </c>
      <c r="P182" s="1205">
        <f t="shared" si="53"/>
        <v>4.754911780262379</v>
      </c>
      <c r="Q182" s="1205">
        <f t="shared" si="54"/>
        <v>341.83327703330821</v>
      </c>
      <c r="R182" s="1205">
        <f t="shared" si="72"/>
        <v>142.49656237459811</v>
      </c>
      <c r="S182" s="1206">
        <f>Paper!E128</f>
        <v>484.32983940790632</v>
      </c>
      <c r="T182" s="1205">
        <f t="shared" si="55"/>
        <v>142.49656237459811</v>
      </c>
      <c r="U182" s="1206">
        <f>Paper!I128</f>
        <v>26.611407194363096</v>
      </c>
      <c r="V182" s="1205">
        <f t="shared" si="56"/>
        <v>115.88515518023502</v>
      </c>
      <c r="Y182" s="609">
        <f t="shared" si="73"/>
        <v>2026</v>
      </c>
      <c r="Z182" s="335">
        <f t="shared" si="57"/>
        <v>2449.9180750781911</v>
      </c>
      <c r="AA182" s="335">
        <f t="shared" si="74"/>
        <v>731.98266663589959</v>
      </c>
      <c r="AB182" s="335">
        <f t="shared" si="75"/>
        <v>430.33925383800135</v>
      </c>
      <c r="AC182" s="335">
        <f t="shared" si="76"/>
        <v>390.30014584403017</v>
      </c>
      <c r="AD182" s="335">
        <f t="shared" si="77"/>
        <v>341.83327703330821</v>
      </c>
      <c r="AE182" s="335">
        <f>MIN(Paper!H128,Paper!I128)</f>
        <v>26.611407194363096</v>
      </c>
      <c r="AF182" s="335">
        <f t="shared" si="58"/>
        <v>528.85132453258871</v>
      </c>
      <c r="AG182" s="533"/>
      <c r="AI182" s="609">
        <f t="shared" si="59"/>
        <v>2026</v>
      </c>
      <c r="AJ182" s="335">
        <f t="shared" si="78"/>
        <v>330.80818429187798</v>
      </c>
      <c r="AK182" s="335">
        <f t="shared" si="60"/>
        <v>-131.74642498442017</v>
      </c>
      <c r="AL182" s="335">
        <f t="shared" si="61"/>
        <v>1.6731756770240196</v>
      </c>
      <c r="AM182" s="335">
        <f t="shared" si="62"/>
        <v>163.11648394871787</v>
      </c>
      <c r="AN182" s="335">
        <f t="shared" si="63"/>
        <v>252.24609252246495</v>
      </c>
      <c r="AO182" s="335">
        <f t="shared" si="79"/>
        <v>115.88515518023502</v>
      </c>
      <c r="AP182" s="335">
        <f t="shared" si="64"/>
        <v>0</v>
      </c>
      <c r="AS182" s="609">
        <f t="shared" si="65"/>
        <v>2026</v>
      </c>
      <c r="AT182" s="335">
        <f t="shared" si="46"/>
        <v>430.33925383800135</v>
      </c>
      <c r="AU182" s="335">
        <f t="shared" si="47"/>
        <v>390.30014584403017</v>
      </c>
      <c r="AV182" s="335">
        <f t="shared" si="48"/>
        <v>341.83327703330821</v>
      </c>
      <c r="AW182" s="335">
        <f t="shared" si="49"/>
        <v>26.611407194363096</v>
      </c>
      <c r="AX182" s="335">
        <f t="shared" si="50"/>
        <v>528.85132453258871</v>
      </c>
      <c r="AY182" s="335">
        <f t="shared" si="80"/>
        <v>423.67644056405226</v>
      </c>
      <c r="AZ182" s="335">
        <f t="shared" si="81"/>
        <v>308.30622607184733</v>
      </c>
      <c r="BB182" s="533"/>
    </row>
    <row r="183" spans="2:54" ht="14.4" x14ac:dyDescent="0.55000000000000004">
      <c r="B183" s="3">
        <v>2027</v>
      </c>
      <c r="C183" s="334">
        <f t="shared" si="45"/>
        <v>591.65474482531874</v>
      </c>
      <c r="D183" s="532">
        <f>'Food System Summary'!H25-'Food System Summary'!I25</f>
        <v>992.57560526810607</v>
      </c>
      <c r="E183" s="338">
        <f t="shared" si="66"/>
        <v>1.6776263757694632</v>
      </c>
      <c r="F183" s="338">
        <f t="shared" si="67"/>
        <v>0.52188935618249477</v>
      </c>
      <c r="G183" s="334">
        <f t="shared" si="51"/>
        <v>6.8708633754553041</v>
      </c>
      <c r="H183" s="338">
        <f t="shared" si="68"/>
        <v>1.1612960828166553E-2</v>
      </c>
      <c r="I183" s="334">
        <f t="shared" si="69"/>
        <v>-407.79172381824264</v>
      </c>
      <c r="J183" s="338">
        <f t="shared" si="70"/>
        <v>-0.68923933659762981</v>
      </c>
      <c r="K183" s="338">
        <f t="shared" si="71"/>
        <v>-0.21441405477879608</v>
      </c>
      <c r="N183" s="3">
        <v>2027</v>
      </c>
      <c r="O183" s="1205">
        <f t="shared" si="52"/>
        <v>495.98162236023802</v>
      </c>
      <c r="P183" s="1205">
        <f t="shared" si="53"/>
        <v>5.9253112997709074</v>
      </c>
      <c r="Q183" s="1205">
        <f t="shared" si="54"/>
        <v>357.161305301423</v>
      </c>
      <c r="R183" s="1205">
        <f t="shared" si="72"/>
        <v>138.82031705881502</v>
      </c>
      <c r="S183" s="1206">
        <f>Paper!E129</f>
        <v>495.41509035042276</v>
      </c>
      <c r="T183" s="1205">
        <f t="shared" si="55"/>
        <v>138.25378504899976</v>
      </c>
      <c r="U183" s="1206">
        <f>Paper!I129</f>
        <v>19.772939173430586</v>
      </c>
      <c r="V183" s="1205">
        <f t="shared" si="56"/>
        <v>118.48084587556917</v>
      </c>
      <c r="Y183" s="609">
        <f t="shared" si="73"/>
        <v>2027</v>
      </c>
      <c r="Z183" s="335">
        <f t="shared" si="57"/>
        <v>2495.0576024378797</v>
      </c>
      <c r="AA183" s="335">
        <f t="shared" si="74"/>
        <v>653.95758280729933</v>
      </c>
      <c r="AB183" s="335">
        <f t="shared" si="75"/>
        <v>467.24543036622242</v>
      </c>
      <c r="AC183" s="335">
        <f t="shared" si="76"/>
        <v>403.75170312403276</v>
      </c>
      <c r="AD183" s="335">
        <f t="shared" si="77"/>
        <v>357.161305301423</v>
      </c>
      <c r="AE183" s="335">
        <f>MIN(Paper!H129,Paper!I129)</f>
        <v>19.772939173430586</v>
      </c>
      <c r="AF183" s="335">
        <f t="shared" si="58"/>
        <v>593.16864166547157</v>
      </c>
      <c r="AG183" s="533"/>
      <c r="AI183" s="609">
        <f t="shared" si="59"/>
        <v>2027</v>
      </c>
      <c r="AJ183" s="335">
        <f t="shared" si="78"/>
        <v>208.71234732797723</v>
      </c>
      <c r="AK183" s="335">
        <f t="shared" si="60"/>
        <v>-85.74779336435347</v>
      </c>
      <c r="AL183" s="335">
        <f t="shared" si="61"/>
        <v>1.4447604954725399</v>
      </c>
      <c r="AM183" s="335">
        <f t="shared" si="62"/>
        <v>162.87798838514027</v>
      </c>
      <c r="AN183" s="335">
        <f t="shared" si="63"/>
        <v>247.62290207767848</v>
      </c>
      <c r="AO183" s="335">
        <f t="shared" si="79"/>
        <v>118.48084587556917</v>
      </c>
      <c r="AP183" s="335">
        <f t="shared" si="64"/>
        <v>0.56653200981509144</v>
      </c>
      <c r="AS183" s="609">
        <f t="shared" si="65"/>
        <v>2027</v>
      </c>
      <c r="AT183" s="335">
        <f t="shared" si="46"/>
        <v>467.24543036622242</v>
      </c>
      <c r="AU183" s="335">
        <f t="shared" si="47"/>
        <v>403.75170312403276</v>
      </c>
      <c r="AV183" s="335">
        <f t="shared" si="48"/>
        <v>357.161305301423</v>
      </c>
      <c r="AW183" s="335">
        <f t="shared" si="49"/>
        <v>19.772939173430586</v>
      </c>
      <c r="AX183" s="335">
        <f t="shared" si="50"/>
        <v>593.16864166547157</v>
      </c>
      <c r="AY183" s="335">
        <f t="shared" si="80"/>
        <v>448.33821664518143</v>
      </c>
      <c r="AZ183" s="335">
        <f t="shared" si="81"/>
        <v>205.6193661621179</v>
      </c>
      <c r="BB183" s="533"/>
    </row>
    <row r="184" spans="2:54" ht="14.4" x14ac:dyDescent="0.55000000000000004">
      <c r="B184" s="3">
        <v>2028</v>
      </c>
      <c r="C184" s="334">
        <f t="shared" si="45"/>
        <v>553.02315831703049</v>
      </c>
      <c r="D184" s="532">
        <f>'Food System Summary'!H26-'Food System Summary'!I26</f>
        <v>945.46968146998063</v>
      </c>
      <c r="E184" s="338">
        <f t="shared" si="66"/>
        <v>1.7096384975038841</v>
      </c>
      <c r="F184" s="338">
        <f t="shared" si="67"/>
        <v>0.50217279842858564</v>
      </c>
      <c r="G184" s="334">
        <f t="shared" si="51"/>
        <v>9.0796611960737525</v>
      </c>
      <c r="H184" s="338">
        <f t="shared" si="68"/>
        <v>1.6418229615745447E-2</v>
      </c>
      <c r="I184" s="334">
        <f t="shared" si="69"/>
        <v>-401.52618434902388</v>
      </c>
      <c r="J184" s="338">
        <f t="shared" si="70"/>
        <v>-0.72605672711962954</v>
      </c>
      <c r="K184" s="338">
        <f t="shared" si="71"/>
        <v>-0.21326493232803212</v>
      </c>
      <c r="N184" s="3">
        <v>2028</v>
      </c>
      <c r="O184" s="1205">
        <f t="shared" si="52"/>
        <v>507.81399693935202</v>
      </c>
      <c r="P184" s="1205">
        <f t="shared" si="53"/>
        <v>7.4775974992902459</v>
      </c>
      <c r="Q184" s="1205">
        <f t="shared" si="54"/>
        <v>367.06215347604581</v>
      </c>
      <c r="R184" s="1205">
        <f t="shared" si="72"/>
        <v>140.75184346330622</v>
      </c>
      <c r="S184" s="1206">
        <f>Paper!E130</f>
        <v>506.50122051119558</v>
      </c>
      <c r="T184" s="1205">
        <f t="shared" si="55"/>
        <v>139.43906703514978</v>
      </c>
      <c r="U184" s="1206">
        <f>Paper!I130</f>
        <v>9.3189159346392216</v>
      </c>
      <c r="V184" s="1205">
        <f t="shared" si="56"/>
        <v>130.12015110051055</v>
      </c>
      <c r="Y184" s="609">
        <f t="shared" si="73"/>
        <v>2028</v>
      </c>
      <c r="Z184" s="335">
        <f t="shared" si="57"/>
        <v>2539.731549883209</v>
      </c>
      <c r="AA184" s="335">
        <f t="shared" si="74"/>
        <v>583.99290949648218</v>
      </c>
      <c r="AB184" s="335">
        <f t="shared" si="75"/>
        <v>505.13209447203724</v>
      </c>
      <c r="AC184" s="335">
        <f t="shared" si="76"/>
        <v>417.25158380289105</v>
      </c>
      <c r="AD184" s="335">
        <f t="shared" si="77"/>
        <v>367.06215347604581</v>
      </c>
      <c r="AE184" s="335">
        <f>MIN(Paper!H130,Paper!I130)</f>
        <v>9.3189159346392216</v>
      </c>
      <c r="AF184" s="335">
        <f t="shared" si="58"/>
        <v>656.97389270111341</v>
      </c>
      <c r="AG184" s="533"/>
      <c r="AI184" s="609">
        <f t="shared" si="59"/>
        <v>2028</v>
      </c>
      <c r="AJ184" s="335">
        <f t="shared" si="78"/>
        <v>81.876406435816875</v>
      </c>
      <c r="AK184" s="335">
        <f t="shared" si="60"/>
        <v>-34.771629073573024</v>
      </c>
      <c r="AL184" s="335">
        <f t="shared" si="61"/>
        <v>0.78628648274942314</v>
      </c>
      <c r="AM184" s="335">
        <f t="shared" si="62"/>
        <v>161.96716065960476</v>
      </c>
      <c r="AN184" s="335">
        <f t="shared" si="63"/>
        <v>242.70175746321723</v>
      </c>
      <c r="AO184" s="335">
        <f t="shared" si="79"/>
        <v>130.12015110051055</v>
      </c>
      <c r="AP184" s="335">
        <f t="shared" si="64"/>
        <v>1.312776428156269</v>
      </c>
      <c r="AS184" s="609">
        <f t="shared" si="65"/>
        <v>2028</v>
      </c>
      <c r="AT184" s="335">
        <f t="shared" si="46"/>
        <v>505.13209447203724</v>
      </c>
      <c r="AU184" s="335">
        <f t="shared" si="47"/>
        <v>417.25158380289105</v>
      </c>
      <c r="AV184" s="335">
        <f t="shared" si="48"/>
        <v>367.06215347604581</v>
      </c>
      <c r="AW184" s="335">
        <f t="shared" si="49"/>
        <v>9.3189159346392216</v>
      </c>
      <c r="AX184" s="335">
        <f t="shared" si="50"/>
        <v>656.97389270111341</v>
      </c>
      <c r="AY184" s="335">
        <f t="shared" si="80"/>
        <v>472.43314509528648</v>
      </c>
      <c r="AZ184" s="335">
        <f t="shared" si="81"/>
        <v>111.55976440119571</v>
      </c>
      <c r="BB184" s="533"/>
    </row>
    <row r="185" spans="2:54" ht="14.4" x14ac:dyDescent="0.55000000000000004">
      <c r="B185" s="3">
        <v>2029</v>
      </c>
      <c r="C185" s="334">
        <f t="shared" si="45"/>
        <v>515.34848165816334</v>
      </c>
      <c r="D185" s="532">
        <f>'Food System Summary'!H27-'Food System Summary'!I27</f>
        <v>898.72111593005013</v>
      </c>
      <c r="E185" s="338">
        <f t="shared" si="66"/>
        <v>1.7439095057355429</v>
      </c>
      <c r="F185" s="338">
        <f t="shared" si="67"/>
        <v>0.4822204653686134</v>
      </c>
      <c r="G185" s="334">
        <f t="shared" si="51"/>
        <v>12.01600107112119</v>
      </c>
      <c r="H185" s="338">
        <f t="shared" si="68"/>
        <v>2.3316263652235894E-2</v>
      </c>
      <c r="I185" s="334">
        <f t="shared" si="69"/>
        <v>-395.38863534300799</v>
      </c>
      <c r="J185" s="338">
        <f t="shared" si="70"/>
        <v>-0.76722576938777887</v>
      </c>
      <c r="K185" s="338">
        <f t="shared" si="71"/>
        <v>-0.21215089793373257</v>
      </c>
      <c r="N185" s="3">
        <v>2029</v>
      </c>
      <c r="O185" s="1205">
        <f t="shared" si="52"/>
        <v>519.82222543678756</v>
      </c>
      <c r="P185" s="1205">
        <f t="shared" si="53"/>
        <v>9.4591656967144271</v>
      </c>
      <c r="Q185" s="1205">
        <f t="shared" si="54"/>
        <v>373.82039631954888</v>
      </c>
      <c r="R185" s="1205">
        <f t="shared" si="72"/>
        <v>146.00182911723869</v>
      </c>
      <c r="S185" s="1206">
        <f>Paper!E131</f>
        <v>517.85417053637252</v>
      </c>
      <c r="T185" s="1205">
        <f t="shared" si="55"/>
        <v>144.03377421682364</v>
      </c>
      <c r="U185" s="1206">
        <f>Paper!I131</f>
        <v>4.4534575311784579</v>
      </c>
      <c r="V185" s="1205">
        <f t="shared" si="56"/>
        <v>139.58031668564519</v>
      </c>
      <c r="Y185" s="609">
        <f t="shared" si="73"/>
        <v>2029</v>
      </c>
      <c r="Z185" s="335">
        <f t="shared" si="57"/>
        <v>2583.9516360536154</v>
      </c>
      <c r="AA185" s="335">
        <f t="shared" si="74"/>
        <v>539.29781123609018</v>
      </c>
      <c r="AB185" s="335">
        <f t="shared" si="75"/>
        <v>515.34848165816334</v>
      </c>
      <c r="AC185" s="335">
        <f t="shared" si="76"/>
        <v>430.79402648709066</v>
      </c>
      <c r="AD185" s="335">
        <f t="shared" si="77"/>
        <v>373.82039631954888</v>
      </c>
      <c r="AE185" s="335">
        <f>MIN(Paper!H131,Paper!I131)</f>
        <v>4.4534575311784579</v>
      </c>
      <c r="AF185" s="335">
        <f t="shared" si="58"/>
        <v>720.23746282154377</v>
      </c>
      <c r="AI185" s="609">
        <f t="shared" si="59"/>
        <v>2029</v>
      </c>
      <c r="AJ185" s="335">
        <f t="shared" si="78"/>
        <v>0</v>
      </c>
      <c r="AK185" s="335">
        <f t="shared" si="60"/>
        <v>0</v>
      </c>
      <c r="AL185" s="335">
        <f t="shared" si="61"/>
        <v>0</v>
      </c>
      <c r="AM185" s="335">
        <f t="shared" si="62"/>
        <v>160.28955210902652</v>
      </c>
      <c r="AN185" s="335">
        <f t="shared" si="63"/>
        <v>237.45988754100341</v>
      </c>
      <c r="AO185" s="335">
        <f t="shared" si="79"/>
        <v>139.58031668564519</v>
      </c>
      <c r="AP185" s="335">
        <f t="shared" si="64"/>
        <v>1.9680549004150407</v>
      </c>
      <c r="AS185" s="609">
        <f t="shared" si="65"/>
        <v>2029</v>
      </c>
      <c r="AT185" s="335">
        <f t="shared" si="46"/>
        <v>515.34848165816334</v>
      </c>
      <c r="AU185" s="335">
        <f t="shared" si="47"/>
        <v>430.79402648709066</v>
      </c>
      <c r="AV185" s="335">
        <f t="shared" si="48"/>
        <v>373.82039631954888</v>
      </c>
      <c r="AW185" s="335">
        <f t="shared" si="49"/>
        <v>4.4534575311784579</v>
      </c>
      <c r="AX185" s="335">
        <f t="shared" si="50"/>
        <v>720.23746282154377</v>
      </c>
      <c r="AY185" s="335">
        <f t="shared" si="80"/>
        <v>496.30217363209351</v>
      </c>
      <c r="AZ185" s="335">
        <f t="shared" si="81"/>
        <v>42.99563760399667</v>
      </c>
      <c r="BB185" s="533"/>
    </row>
    <row r="186" spans="2:54" ht="14.4" x14ac:dyDescent="0.55000000000000004">
      <c r="B186" s="3">
        <v>2030</v>
      </c>
      <c r="C186" s="334">
        <f t="shared" si="45"/>
        <v>480.23961332404809</v>
      </c>
      <c r="D186" s="532">
        <f>'Food System Summary'!H28-'Food System Summary'!I28</f>
        <v>852.36564637079755</v>
      </c>
      <c r="E186" s="338">
        <f t="shared" si="66"/>
        <v>1.7748757551902583</v>
      </c>
      <c r="F186" s="338">
        <f t="shared" si="67"/>
        <v>0.46128066349025559</v>
      </c>
      <c r="G186" s="334">
        <f t="shared" si="51"/>
        <v>15.81547960034837</v>
      </c>
      <c r="H186" s="338">
        <f t="shared" si="68"/>
        <v>3.2932476125572471E-2</v>
      </c>
      <c r="I186" s="334">
        <f t="shared" si="69"/>
        <v>-387.94151264709785</v>
      </c>
      <c r="J186" s="338">
        <f t="shared" si="70"/>
        <v>-0.8078082313158309</v>
      </c>
      <c r="K186" s="338">
        <f t="shared" si="71"/>
        <v>-0.20994501492546025</v>
      </c>
      <c r="N186" s="3">
        <v>2030</v>
      </c>
      <c r="O186" s="1205">
        <f t="shared" si="52"/>
        <v>532.61409006144595</v>
      </c>
      <c r="P186" s="1205">
        <f t="shared" si="53"/>
        <v>11.911261206946476</v>
      </c>
      <c r="Q186" s="1205">
        <f t="shared" si="54"/>
        <v>381.06718683848584</v>
      </c>
      <c r="R186" s="1205">
        <f t="shared" si="72"/>
        <v>151.54690322296011</v>
      </c>
      <c r="S186" s="1206">
        <f>Paper!E132</f>
        <v>529.5753875852597</v>
      </c>
      <c r="T186" s="1205">
        <f t="shared" si="55"/>
        <v>148.50820074677387</v>
      </c>
      <c r="U186" s="1206">
        <f>Paper!I132</f>
        <v>0</v>
      </c>
      <c r="V186" s="1205">
        <f t="shared" si="56"/>
        <v>148.50820074677387</v>
      </c>
      <c r="Y186" s="609">
        <f t="shared" si="73"/>
        <v>2030</v>
      </c>
      <c r="Z186" s="335">
        <f t="shared" si="57"/>
        <v>2630.7549019692192</v>
      </c>
      <c r="AA186" s="335">
        <f t="shared" si="74"/>
        <v>541.63195471467657</v>
      </c>
      <c r="AB186" s="335">
        <f t="shared" si="75"/>
        <v>480.23961332404809</v>
      </c>
      <c r="AC186" s="335">
        <f t="shared" si="76"/>
        <v>444.88560420478137</v>
      </c>
      <c r="AD186" s="335">
        <f t="shared" si="77"/>
        <v>381.06718683848584</v>
      </c>
      <c r="AE186" s="335">
        <f>MIN(Paper!H132,Paper!I132)</f>
        <v>0</v>
      </c>
      <c r="AF186" s="335">
        <f t="shared" si="58"/>
        <v>782.93054288722715</v>
      </c>
      <c r="AI186" s="609">
        <f t="shared" si="59"/>
        <v>2030</v>
      </c>
      <c r="AJ186" s="335">
        <f t="shared" si="78"/>
        <v>0</v>
      </c>
      <c r="AK186" s="335">
        <f t="shared" si="60"/>
        <v>0</v>
      </c>
      <c r="AL186" s="335">
        <f t="shared" si="61"/>
        <v>0</v>
      </c>
      <c r="AM186" s="335">
        <f t="shared" si="62"/>
        <v>157.75926684572772</v>
      </c>
      <c r="AN186" s="335">
        <f t="shared" si="63"/>
        <v>232.32578464598879</v>
      </c>
      <c r="AO186" s="335">
        <f t="shared" si="79"/>
        <v>148.50820074677387</v>
      </c>
      <c r="AP186" s="335">
        <f t="shared" si="64"/>
        <v>3.0387024761861881</v>
      </c>
      <c r="AS186" s="609">
        <f t="shared" si="65"/>
        <v>2030</v>
      </c>
      <c r="AT186" s="335">
        <f t="shared" si="46"/>
        <v>480.23961332404809</v>
      </c>
      <c r="AU186" s="335">
        <f t="shared" si="47"/>
        <v>444.88560420478137</v>
      </c>
      <c r="AV186" s="335">
        <f t="shared" si="48"/>
        <v>381.06718683848584</v>
      </c>
      <c r="AW186" s="335">
        <f t="shared" si="49"/>
        <v>0</v>
      </c>
      <c r="AX186" s="335">
        <f t="shared" si="50"/>
        <v>782.93054288722715</v>
      </c>
      <c r="AY186" s="335">
        <f t="shared" si="80"/>
        <v>519.22918248800215</v>
      </c>
      <c r="AZ186" s="335">
        <f t="shared" si="81"/>
        <v>22.402772226674415</v>
      </c>
      <c r="BB186" s="533"/>
    </row>
    <row r="187" spans="2:54" ht="14.4" x14ac:dyDescent="0.55000000000000004">
      <c r="B187" s="3">
        <v>2031</v>
      </c>
      <c r="C187" s="334">
        <f t="shared" si="45"/>
        <v>445.15242220784609</v>
      </c>
      <c r="D187" s="532">
        <f>'Food System Summary'!H29-'Food System Summary'!I29</f>
        <v>805.66617461315127</v>
      </c>
      <c r="E187" s="338">
        <f t="shared" si="66"/>
        <v>1.8098658671051278</v>
      </c>
      <c r="F187" s="338">
        <f t="shared" si="67"/>
        <v>0.44082641885420387</v>
      </c>
      <c r="G187" s="334">
        <f t="shared" si="51"/>
        <v>20.619432965549354</v>
      </c>
      <c r="H187" s="338">
        <f t="shared" si="68"/>
        <v>4.6319938827429172E-2</v>
      </c>
      <c r="I187" s="334">
        <f t="shared" si="69"/>
        <v>-381.13318537085456</v>
      </c>
      <c r="J187" s="338">
        <f t="shared" si="70"/>
        <v>-0.856185805932557</v>
      </c>
      <c r="K187" s="338">
        <f t="shared" si="71"/>
        <v>-0.20853994186140765</v>
      </c>
      <c r="N187" s="3">
        <v>2031</v>
      </c>
      <c r="O187" s="1205">
        <f t="shared" si="52"/>
        <v>544.34554260920549</v>
      </c>
      <c r="P187" s="1205">
        <f t="shared" si="53"/>
        <v>14.869390418497201</v>
      </c>
      <c r="Q187" s="1205">
        <f t="shared" si="54"/>
        <v>388.80252503285681</v>
      </c>
      <c r="R187" s="1205">
        <f t="shared" si="72"/>
        <v>155.54301757634869</v>
      </c>
      <c r="S187" s="1206">
        <f>Paper!E133</f>
        <v>541.34905474398454</v>
      </c>
      <c r="T187" s="1205">
        <f t="shared" si="55"/>
        <v>152.54652971112773</v>
      </c>
      <c r="U187" s="1206">
        <f>Paper!I133</f>
        <v>0</v>
      </c>
      <c r="V187" s="1205">
        <f t="shared" si="56"/>
        <v>152.54652971112773</v>
      </c>
      <c r="Y187" s="609">
        <f t="shared" si="73"/>
        <v>2031</v>
      </c>
      <c r="Z187" s="335">
        <f t="shared" si="57"/>
        <v>2671.0676895055658</v>
      </c>
      <c r="AA187" s="335">
        <f t="shared" si="74"/>
        <v>535.68969955811451</v>
      </c>
      <c r="AB187" s="335">
        <f t="shared" si="75"/>
        <v>445.15242220784609</v>
      </c>
      <c r="AC187" s="335">
        <f t="shared" si="76"/>
        <v>457.98214722872513</v>
      </c>
      <c r="AD187" s="335">
        <f t="shared" si="77"/>
        <v>388.80252503285681</v>
      </c>
      <c r="AE187" s="335">
        <f>MIN(Paper!H133,Paper!I133)</f>
        <v>0</v>
      </c>
      <c r="AF187" s="335">
        <f t="shared" si="58"/>
        <v>843.44089547802332</v>
      </c>
      <c r="AI187" s="609">
        <f t="shared" si="59"/>
        <v>2031</v>
      </c>
      <c r="AJ187" s="335">
        <f t="shared" si="78"/>
        <v>0</v>
      </c>
      <c r="AK187" s="335">
        <f t="shared" si="60"/>
        <v>0</v>
      </c>
      <c r="AL187" s="335">
        <f t="shared" si="61"/>
        <v>0</v>
      </c>
      <c r="AM187" s="335">
        <f t="shared" si="62"/>
        <v>154.28180192153468</v>
      </c>
      <c r="AN187" s="335">
        <f t="shared" si="63"/>
        <v>225.86488006023114</v>
      </c>
      <c r="AO187" s="335">
        <f t="shared" si="79"/>
        <v>152.54652971112773</v>
      </c>
      <c r="AP187" s="335">
        <f t="shared" si="64"/>
        <v>2.9964878652209563</v>
      </c>
      <c r="AS187" s="609">
        <f t="shared" si="65"/>
        <v>2031</v>
      </c>
      <c r="AT187" s="335">
        <f t="shared" si="46"/>
        <v>445.15242220784609</v>
      </c>
      <c r="AU187" s="335">
        <f t="shared" si="47"/>
        <v>457.98214722872513</v>
      </c>
      <c r="AV187" s="335">
        <f t="shared" si="48"/>
        <v>388.80252503285681</v>
      </c>
      <c r="AW187" s="335">
        <f t="shared" si="49"/>
        <v>0</v>
      </c>
      <c r="AX187" s="335">
        <f t="shared" si="50"/>
        <v>843.44089547802332</v>
      </c>
      <c r="AY187" s="335">
        <f t="shared" si="80"/>
        <v>535.68969955811451</v>
      </c>
      <c r="AZ187" s="335">
        <f t="shared" si="81"/>
        <v>0</v>
      </c>
      <c r="BB187" s="533"/>
    </row>
    <row r="188" spans="2:54" ht="14.4" x14ac:dyDescent="0.55000000000000004">
      <c r="B188" s="3">
        <v>2032</v>
      </c>
      <c r="C188" s="334">
        <f t="shared" si="45"/>
        <v>412.72072158631033</v>
      </c>
      <c r="D188" s="532">
        <f>'Food System Summary'!H30-'Food System Summary'!I30</f>
        <v>759.5822728662348</v>
      </c>
      <c r="E188" s="338">
        <f t="shared" si="66"/>
        <v>1.8404267901712004</v>
      </c>
      <c r="F188" s="338">
        <f t="shared" si="67"/>
        <v>0.41968307567948893</v>
      </c>
      <c r="G188" s="334">
        <f t="shared" si="51"/>
        <v>26.574546769717937</v>
      </c>
      <c r="H188" s="338">
        <f t="shared" si="68"/>
        <v>6.4388690414131602E-2</v>
      </c>
      <c r="I188" s="334">
        <f t="shared" si="69"/>
        <v>-373.4360980496424</v>
      </c>
      <c r="J188" s="338">
        <f t="shared" si="70"/>
        <v>-0.90481548058533201</v>
      </c>
      <c r="K188" s="338">
        <f t="shared" si="71"/>
        <v>-0.20633026309030375</v>
      </c>
      <c r="N188" s="3">
        <v>2032</v>
      </c>
      <c r="O188" s="1205">
        <f t="shared" si="52"/>
        <v>556.65870601986512</v>
      </c>
      <c r="P188" s="1205">
        <f t="shared" si="53"/>
        <v>18.363709821840519</v>
      </c>
      <c r="Q188" s="1205">
        <f t="shared" si="54"/>
        <v>397.02641090266178</v>
      </c>
      <c r="R188" s="1205">
        <f t="shared" si="72"/>
        <v>159.63229511720334</v>
      </c>
      <c r="S188" s="1206">
        <f>Paper!E134</f>
        <v>553.43367037320627</v>
      </c>
      <c r="T188" s="1205">
        <f t="shared" si="55"/>
        <v>156.40725947054449</v>
      </c>
      <c r="U188" s="1206">
        <f>Paper!I134</f>
        <v>0</v>
      </c>
      <c r="V188" s="1205">
        <f t="shared" si="56"/>
        <v>156.40725947054449</v>
      </c>
      <c r="Y188" s="609">
        <f t="shared" si="73"/>
        <v>2032</v>
      </c>
      <c r="Z188" s="335">
        <f t="shared" si="57"/>
        <v>2713.0477280924774</v>
      </c>
      <c r="AA188" s="335">
        <f t="shared" si="74"/>
        <v>528.69347838747262</v>
      </c>
      <c r="AB188" s="335">
        <f t="shared" si="75"/>
        <v>412.72072158631033</v>
      </c>
      <c r="AC188" s="335">
        <f t="shared" si="76"/>
        <v>471.45432385836955</v>
      </c>
      <c r="AD188" s="335">
        <f t="shared" si="77"/>
        <v>397.02641090266178</v>
      </c>
      <c r="AE188" s="335">
        <f>MIN(Paper!H134,Paper!I134)</f>
        <v>0</v>
      </c>
      <c r="AF188" s="335">
        <f t="shared" si="58"/>
        <v>903.1527933576632</v>
      </c>
      <c r="AI188" s="609">
        <f t="shared" si="59"/>
        <v>2032</v>
      </c>
      <c r="AJ188" s="335">
        <f t="shared" si="78"/>
        <v>0</v>
      </c>
      <c r="AK188" s="335">
        <f t="shared" si="60"/>
        <v>0</v>
      </c>
      <c r="AL188" s="335">
        <f t="shared" si="61"/>
        <v>0</v>
      </c>
      <c r="AM188" s="335">
        <f t="shared" si="62"/>
        <v>149.78961814537445</v>
      </c>
      <c r="AN188" s="335">
        <f t="shared" si="63"/>
        <v>219.27156512489478</v>
      </c>
      <c r="AO188" s="335">
        <f t="shared" si="79"/>
        <v>156.40725947054449</v>
      </c>
      <c r="AP188" s="335">
        <f t="shared" si="64"/>
        <v>3.2250356466589096</v>
      </c>
      <c r="AS188" s="609">
        <f t="shared" si="65"/>
        <v>2032</v>
      </c>
      <c r="AT188" s="335">
        <f t="shared" si="46"/>
        <v>412.72072158631033</v>
      </c>
      <c r="AU188" s="335">
        <f t="shared" si="47"/>
        <v>471.45432385836955</v>
      </c>
      <c r="AV188" s="335">
        <f t="shared" si="48"/>
        <v>397.02641090266178</v>
      </c>
      <c r="AW188" s="335">
        <f t="shared" si="49"/>
        <v>0</v>
      </c>
      <c r="AX188" s="335">
        <f t="shared" si="50"/>
        <v>903.1527933576632</v>
      </c>
      <c r="AY188" s="335">
        <f t="shared" si="80"/>
        <v>528.69347838747262</v>
      </c>
      <c r="AZ188" s="335">
        <f t="shared" si="81"/>
        <v>0</v>
      </c>
      <c r="BB188" s="533"/>
    </row>
    <row r="189" spans="2:54" ht="14.4" x14ac:dyDescent="0.55000000000000004">
      <c r="B189" s="3">
        <v>2033</v>
      </c>
      <c r="C189" s="334">
        <f t="shared" si="45"/>
        <v>382.13210851993972</v>
      </c>
      <c r="D189" s="532">
        <f>'Food System Summary'!H31-'Food System Summary'!I31</f>
        <v>714.13913777997197</v>
      </c>
      <c r="E189" s="338">
        <f t="shared" si="66"/>
        <v>1.8688278787824186</v>
      </c>
      <c r="F189" s="338">
        <f t="shared" si="67"/>
        <v>0.39838548159409881</v>
      </c>
      <c r="G189" s="334">
        <f t="shared" si="51"/>
        <v>33.832486929495097</v>
      </c>
      <c r="H189" s="338">
        <f t="shared" si="68"/>
        <v>8.853610093256456E-2</v>
      </c>
      <c r="I189" s="334">
        <f t="shared" si="69"/>
        <v>-365.83951618952733</v>
      </c>
      <c r="J189" s="338">
        <f t="shared" si="70"/>
        <v>-0.95736397971498322</v>
      </c>
      <c r="K189" s="338">
        <f t="shared" si="71"/>
        <v>-0.20408509229222693</v>
      </c>
      <c r="N189" s="3">
        <v>2033</v>
      </c>
      <c r="O189" s="1205">
        <f t="shared" si="52"/>
        <v>569.13221579045978</v>
      </c>
      <c r="P189" s="1205">
        <f t="shared" si="53"/>
        <v>22.419395653407811</v>
      </c>
      <c r="Q189" s="1205">
        <f t="shared" si="54"/>
        <v>405.73884444790065</v>
      </c>
      <c r="R189" s="1205">
        <f t="shared" si="72"/>
        <v>163.39337134255913</v>
      </c>
      <c r="S189" s="1206">
        <f>Paper!E135</f>
        <v>565.67615347742219</v>
      </c>
      <c r="T189" s="1205">
        <f t="shared" si="55"/>
        <v>159.93730902952154</v>
      </c>
      <c r="U189" s="1206">
        <f>Paper!I135</f>
        <v>0</v>
      </c>
      <c r="V189" s="1205">
        <f t="shared" si="56"/>
        <v>159.93730902952154</v>
      </c>
      <c r="Y189" s="609">
        <f t="shared" si="73"/>
        <v>2033</v>
      </c>
      <c r="Z189" s="335">
        <f t="shared" si="57"/>
        <v>2754.6471629240004</v>
      </c>
      <c r="AA189" s="335">
        <f t="shared" si="74"/>
        <v>519.76560137060892</v>
      </c>
      <c r="AB189" s="335">
        <f t="shared" si="75"/>
        <v>382.13210851993972</v>
      </c>
      <c r="AC189" s="335">
        <f t="shared" si="76"/>
        <v>484.94668670341099</v>
      </c>
      <c r="AD189" s="335">
        <f t="shared" si="77"/>
        <v>405.73884444790065</v>
      </c>
      <c r="AE189" s="335">
        <f>MIN(Paper!H135,Paper!I135)</f>
        <v>0</v>
      </c>
      <c r="AF189" s="335">
        <f t="shared" si="58"/>
        <v>962.06392188214033</v>
      </c>
      <c r="AI189" s="609">
        <f t="shared" si="59"/>
        <v>2033</v>
      </c>
      <c r="AJ189" s="335">
        <f t="shared" si="78"/>
        <v>0</v>
      </c>
      <c r="AK189" s="335">
        <f t="shared" si="60"/>
        <v>0</v>
      </c>
      <c r="AL189" s="335">
        <f t="shared" si="61"/>
        <v>0</v>
      </c>
      <c r="AM189" s="335">
        <f t="shared" si="62"/>
        <v>144.2142302591935</v>
      </c>
      <c r="AN189" s="335">
        <f t="shared" si="63"/>
        <v>212.1579997688562</v>
      </c>
      <c r="AO189" s="335">
        <f t="shared" si="79"/>
        <v>159.93730902952154</v>
      </c>
      <c r="AP189" s="335">
        <f t="shared" si="64"/>
        <v>3.4560623130376484</v>
      </c>
      <c r="AS189" s="609">
        <f t="shared" si="65"/>
        <v>2033</v>
      </c>
      <c r="AT189" s="335">
        <f t="shared" si="46"/>
        <v>382.13210851993972</v>
      </c>
      <c r="AU189" s="335">
        <f t="shared" si="47"/>
        <v>484.94668670341099</v>
      </c>
      <c r="AV189" s="335">
        <f t="shared" si="48"/>
        <v>405.73884444790065</v>
      </c>
      <c r="AW189" s="335">
        <f t="shared" si="49"/>
        <v>0</v>
      </c>
      <c r="AX189" s="335">
        <f t="shared" si="50"/>
        <v>962.06392188214033</v>
      </c>
      <c r="AY189" s="335">
        <f t="shared" si="80"/>
        <v>519.76560137060892</v>
      </c>
      <c r="AZ189" s="335">
        <f t="shared" si="81"/>
        <v>0</v>
      </c>
      <c r="BB189" s="533"/>
    </row>
    <row r="190" spans="2:54" ht="14.4" x14ac:dyDescent="0.55000000000000004">
      <c r="B190" s="3">
        <v>2034</v>
      </c>
      <c r="C190" s="334">
        <f t="shared" si="45"/>
        <v>353.5698871343094</v>
      </c>
      <c r="D190" s="532">
        <f>'Food System Summary'!H32-'Food System Summary'!I32</f>
        <v>669.36057083008154</v>
      </c>
      <c r="E190" s="338">
        <f t="shared" si="66"/>
        <v>1.8931492618199519</v>
      </c>
      <c r="F190" s="338">
        <f t="shared" si="67"/>
        <v>0.37694704672677637</v>
      </c>
      <c r="G190" s="334">
        <f t="shared" si="51"/>
        <v>42.549549610542364</v>
      </c>
      <c r="H190" s="338">
        <f t="shared" si="68"/>
        <v>0.12034268516305861</v>
      </c>
      <c r="I190" s="334">
        <f t="shared" si="69"/>
        <v>-358.34023330631453</v>
      </c>
      <c r="J190" s="338">
        <f t="shared" si="70"/>
        <v>-1.0134919469830106</v>
      </c>
      <c r="K190" s="338">
        <f t="shared" si="71"/>
        <v>-0.20179750429681106</v>
      </c>
      <c r="N190" s="3">
        <v>2034</v>
      </c>
      <c r="O190" s="1205">
        <f t="shared" si="52"/>
        <v>581.77032351164064</v>
      </c>
      <c r="P190" s="1205">
        <f t="shared" si="53"/>
        <v>27.056994139028482</v>
      </c>
      <c r="Q190" s="1205">
        <f t="shared" si="54"/>
        <v>414.93982566857346</v>
      </c>
      <c r="R190" s="1205">
        <f t="shared" si="72"/>
        <v>166.83049784306718</v>
      </c>
      <c r="S190" s="1206">
        <f>Paper!E136</f>
        <v>578.04232088820231</v>
      </c>
      <c r="T190" s="1205">
        <f t="shared" si="55"/>
        <v>163.10249521962885</v>
      </c>
      <c r="U190" s="1206">
        <f>Paper!I136</f>
        <v>0</v>
      </c>
      <c r="V190" s="1205">
        <f t="shared" si="56"/>
        <v>163.10249521962885</v>
      </c>
      <c r="Y190" s="609">
        <f t="shared" si="73"/>
        <v>2034</v>
      </c>
      <c r="Z190" s="335">
        <f t="shared" si="57"/>
        <v>2795.9182687269372</v>
      </c>
      <c r="AA190" s="335">
        <f t="shared" si="74"/>
        <v>508.77060789073187</v>
      </c>
      <c r="AB190" s="335">
        <f t="shared" si="75"/>
        <v>353.5698871343094</v>
      </c>
      <c r="AC190" s="335">
        <f t="shared" si="76"/>
        <v>498.46132960576045</v>
      </c>
      <c r="AD190" s="335">
        <f t="shared" si="77"/>
        <v>414.93982566857346</v>
      </c>
      <c r="AE190" s="335">
        <f>MIN(Paper!H136,Paper!I136)</f>
        <v>0</v>
      </c>
      <c r="AF190" s="335">
        <f t="shared" si="58"/>
        <v>1020.1766184275621</v>
      </c>
      <c r="AI190" s="609">
        <f t="shared" si="59"/>
        <v>2034</v>
      </c>
      <c r="AJ190" s="335">
        <f t="shared" si="78"/>
        <v>0</v>
      </c>
      <c r="AK190" s="335">
        <f t="shared" si="60"/>
        <v>0</v>
      </c>
      <c r="AL190" s="335">
        <f t="shared" si="61"/>
        <v>0</v>
      </c>
      <c r="AM190" s="335">
        <f t="shared" si="62"/>
        <v>137.50139578602875</v>
      </c>
      <c r="AN190" s="335">
        <f t="shared" si="63"/>
        <v>204.43871426163599</v>
      </c>
      <c r="AO190" s="335">
        <f t="shared" si="79"/>
        <v>163.10249521962885</v>
      </c>
      <c r="AP190" s="335">
        <f t="shared" si="64"/>
        <v>3.7280026234382717</v>
      </c>
      <c r="AS190" s="609">
        <f t="shared" si="65"/>
        <v>2034</v>
      </c>
      <c r="AT190" s="335">
        <f t="shared" si="46"/>
        <v>353.5698871343094</v>
      </c>
      <c r="AU190" s="335">
        <f t="shared" si="47"/>
        <v>498.46132960576045</v>
      </c>
      <c r="AV190" s="335">
        <f t="shared" si="48"/>
        <v>414.93982566857346</v>
      </c>
      <c r="AW190" s="335">
        <f t="shared" si="49"/>
        <v>0</v>
      </c>
      <c r="AX190" s="335">
        <f t="shared" si="50"/>
        <v>1020.1766184275621</v>
      </c>
      <c r="AY190" s="335">
        <f t="shared" si="80"/>
        <v>508.77060789073187</v>
      </c>
      <c r="AZ190" s="335">
        <f t="shared" si="81"/>
        <v>0</v>
      </c>
      <c r="BB190" s="533"/>
    </row>
    <row r="191" spans="2:54" ht="14.4" x14ac:dyDescent="0.55000000000000004">
      <c r="B191" s="3">
        <v>2035</v>
      </c>
      <c r="C191" s="334">
        <f t="shared" si="45"/>
        <v>327.27778617548319</v>
      </c>
      <c r="D191" s="532">
        <f>'Food System Summary'!H33-'Food System Summary'!I33</f>
        <v>625.2647760236548</v>
      </c>
      <c r="E191" s="338">
        <f t="shared" si="66"/>
        <v>1.9105017279981045</v>
      </c>
      <c r="F191" s="338">
        <f t="shared" si="67"/>
        <v>0.35535773873712118</v>
      </c>
      <c r="G191" s="334">
        <f t="shared" si="51"/>
        <v>52.886329137225339</v>
      </c>
      <c r="H191" s="338">
        <f t="shared" si="68"/>
        <v>0.16159461891760721</v>
      </c>
      <c r="I191" s="334">
        <f t="shared" si="69"/>
        <v>-350.87331898539696</v>
      </c>
      <c r="J191" s="338">
        <f t="shared" si="70"/>
        <v>-1.0720963469157119</v>
      </c>
      <c r="K191" s="338">
        <f t="shared" si="71"/>
        <v>-0.19941239935307378</v>
      </c>
      <c r="N191" s="3">
        <v>2035</v>
      </c>
      <c r="O191" s="1205">
        <f t="shared" si="52"/>
        <v>594.60169845937162</v>
      </c>
      <c r="P191" s="1205">
        <f t="shared" si="53"/>
        <v>32.29275310740929</v>
      </c>
      <c r="Q191" s="1205">
        <f t="shared" si="54"/>
        <v>424.62935456468028</v>
      </c>
      <c r="R191" s="1205">
        <f t="shared" si="72"/>
        <v>169.97234389469133</v>
      </c>
      <c r="S191" s="1206">
        <f>Paper!E137</f>
        <v>590.49284513009445</v>
      </c>
      <c r="T191" s="1205">
        <f t="shared" si="55"/>
        <v>165.86349056541417</v>
      </c>
      <c r="U191" s="1206">
        <f>Paper!I137</f>
        <v>0</v>
      </c>
      <c r="V191" s="1205">
        <f t="shared" si="56"/>
        <v>165.86349056541417</v>
      </c>
      <c r="Y191" s="609">
        <f t="shared" si="73"/>
        <v>2035</v>
      </c>
      <c r="Z191" s="335">
        <f t="shared" si="57"/>
        <v>2837.0275955231041</v>
      </c>
      <c r="AA191" s="335">
        <f t="shared" si="74"/>
        <v>495.60781616802456</v>
      </c>
      <c r="AB191" s="335">
        <f t="shared" si="75"/>
        <v>327.27778617548319</v>
      </c>
      <c r="AC191" s="335">
        <f t="shared" si="76"/>
        <v>512.02116082414466</v>
      </c>
      <c r="AD191" s="335">
        <f t="shared" si="77"/>
        <v>424.62935456468028</v>
      </c>
      <c r="AE191" s="335">
        <f>MIN(Paper!H137,Paper!I137)</f>
        <v>0</v>
      </c>
      <c r="AF191" s="335">
        <f t="shared" si="58"/>
        <v>1077.4914777907713</v>
      </c>
      <c r="AI191" s="609">
        <f t="shared" si="59"/>
        <v>2035</v>
      </c>
      <c r="AJ191" s="335">
        <f t="shared" si="78"/>
        <v>0</v>
      </c>
      <c r="AK191" s="335">
        <f t="shared" si="60"/>
        <v>0</v>
      </c>
      <c r="AL191" s="335">
        <f t="shared" si="61"/>
        <v>0</v>
      </c>
      <c r="AM191" s="335">
        <f t="shared" si="62"/>
        <v>129.61323853320511</v>
      </c>
      <c r="AN191" s="335">
        <f t="shared" si="63"/>
        <v>196.02223374012817</v>
      </c>
      <c r="AO191" s="335">
        <f t="shared" si="79"/>
        <v>165.86349056541417</v>
      </c>
      <c r="AP191" s="335">
        <f t="shared" si="64"/>
        <v>4.1088533292771103</v>
      </c>
      <c r="AS191" s="609">
        <f t="shared" si="65"/>
        <v>2035</v>
      </c>
      <c r="AT191" s="335">
        <f t="shared" si="46"/>
        <v>327.27778617548319</v>
      </c>
      <c r="AU191" s="335">
        <f t="shared" si="47"/>
        <v>512.02116082414466</v>
      </c>
      <c r="AV191" s="335">
        <f t="shared" si="48"/>
        <v>424.62935456468028</v>
      </c>
      <c r="AW191" s="335">
        <f t="shared" si="49"/>
        <v>0</v>
      </c>
      <c r="AX191" s="335">
        <f t="shared" si="50"/>
        <v>1077.4914777907713</v>
      </c>
      <c r="AY191" s="335">
        <f t="shared" si="80"/>
        <v>495.60781616802456</v>
      </c>
      <c r="AZ191" s="335">
        <f t="shared" si="81"/>
        <v>0</v>
      </c>
      <c r="BB191" s="533"/>
    </row>
    <row r="192" spans="2:54" ht="14.4" x14ac:dyDescent="0.55000000000000004">
      <c r="B192" s="3">
        <v>2036</v>
      </c>
      <c r="C192" s="334">
        <f t="shared" si="45"/>
        <v>303.24551960203638</v>
      </c>
      <c r="D192" s="532">
        <f>'Food System Summary'!H34-'Food System Summary'!I34</f>
        <v>581.86519356600775</v>
      </c>
      <c r="E192" s="338">
        <f t="shared" si="66"/>
        <v>1.9187923842357748</v>
      </c>
      <c r="F192" s="338">
        <f t="shared" si="67"/>
        <v>0.33371721376578439</v>
      </c>
      <c r="G192" s="334">
        <f t="shared" si="51"/>
        <v>65.007403874598751</v>
      </c>
      <c r="H192" s="338">
        <f t="shared" si="68"/>
        <v>0.21437218251373039</v>
      </c>
      <c r="I192" s="334">
        <f t="shared" si="69"/>
        <v>-343.62707783857013</v>
      </c>
      <c r="J192" s="338">
        <f t="shared" si="70"/>
        <v>-1.1331645667495052</v>
      </c>
      <c r="K192" s="338">
        <f t="shared" si="71"/>
        <v>-0.1970804788785791</v>
      </c>
      <c r="N192" s="3">
        <v>2036</v>
      </c>
      <c r="O192" s="1205">
        <f t="shared" si="52"/>
        <v>607.54040466866979</v>
      </c>
      <c r="P192" s="1205">
        <f t="shared" si="53"/>
        <v>38.13893634656786</v>
      </c>
      <c r="Q192" s="1205">
        <f t="shared" si="54"/>
        <v>434.80743113622106</v>
      </c>
      <c r="R192" s="1205">
        <f t="shared" si="72"/>
        <v>172.73297353244874</v>
      </c>
      <c r="S192" s="1206">
        <f>Paper!E138</f>
        <v>602.98378988232821</v>
      </c>
      <c r="T192" s="1205">
        <f t="shared" si="55"/>
        <v>168.17635874610716</v>
      </c>
      <c r="U192" s="1206">
        <f>Paper!I138</f>
        <v>0</v>
      </c>
      <c r="V192" s="1205">
        <f t="shared" si="56"/>
        <v>168.17635874610716</v>
      </c>
      <c r="Y192" s="609">
        <f t="shared" si="73"/>
        <v>2036</v>
      </c>
      <c r="Z192" s="335">
        <f t="shared" si="57"/>
        <v>2877.593182128237</v>
      </c>
      <c r="AA192" s="335">
        <f t="shared" si="74"/>
        <v>479.98312141521961</v>
      </c>
      <c r="AB192" s="335">
        <f t="shared" si="75"/>
        <v>303.24551960203632</v>
      </c>
      <c r="AC192" s="335">
        <f t="shared" si="76"/>
        <v>525.55152106664127</v>
      </c>
      <c r="AD192" s="335">
        <f t="shared" si="77"/>
        <v>434.80743113622106</v>
      </c>
      <c r="AE192" s="335">
        <f>MIN(Paper!H138,Paper!I138)</f>
        <v>0</v>
      </c>
      <c r="AF192" s="335">
        <f t="shared" si="58"/>
        <v>1134.0055889081186</v>
      </c>
      <c r="AI192" s="609">
        <f t="shared" si="59"/>
        <v>2036</v>
      </c>
      <c r="AJ192" s="335">
        <f t="shared" si="78"/>
        <v>0</v>
      </c>
      <c r="AK192" s="335">
        <f t="shared" si="60"/>
        <v>0</v>
      </c>
      <c r="AL192" s="335">
        <f t="shared" si="61"/>
        <v>0</v>
      </c>
      <c r="AM192" s="335">
        <f t="shared" si="62"/>
        <v>120.52905918421366</v>
      </c>
      <c r="AN192" s="335">
        <f t="shared" si="63"/>
        <v>186.7210886985572</v>
      </c>
      <c r="AO192" s="335">
        <f t="shared" si="79"/>
        <v>168.17635874610716</v>
      </c>
      <c r="AP192" s="335">
        <f t="shared" si="64"/>
        <v>4.5566147863415836</v>
      </c>
      <c r="AS192" s="609">
        <f t="shared" si="65"/>
        <v>2036</v>
      </c>
      <c r="AT192" s="335">
        <f t="shared" si="46"/>
        <v>303.24551960203632</v>
      </c>
      <c r="AU192" s="335">
        <f t="shared" si="47"/>
        <v>525.55152106664127</v>
      </c>
      <c r="AV192" s="335">
        <f t="shared" si="48"/>
        <v>434.80743113622106</v>
      </c>
      <c r="AW192" s="335">
        <f t="shared" si="49"/>
        <v>0</v>
      </c>
      <c r="AX192" s="335">
        <f t="shared" si="50"/>
        <v>1134.0055889081186</v>
      </c>
      <c r="AY192" s="335">
        <f t="shared" si="80"/>
        <v>479.98312141521961</v>
      </c>
      <c r="AZ192" s="335">
        <f t="shared" si="81"/>
        <v>0</v>
      </c>
      <c r="BB192" s="533"/>
    </row>
    <row r="193" spans="2:54" ht="14.4" x14ac:dyDescent="0.55000000000000004">
      <c r="B193" s="3">
        <v>2037</v>
      </c>
      <c r="C193" s="334">
        <f t="shared" si="45"/>
        <v>281.86040212859194</v>
      </c>
      <c r="D193" s="532">
        <f>'Food System Summary'!H35-'Food System Summary'!I35</f>
        <v>539.17048441060638</v>
      </c>
      <c r="E193" s="338">
        <f t="shared" si="66"/>
        <v>1.9128990107827313</v>
      </c>
      <c r="F193" s="338">
        <f t="shared" si="67"/>
        <v>0.31195944289177752</v>
      </c>
      <c r="G193" s="334">
        <f t="shared" si="51"/>
        <v>79.081038846396538</v>
      </c>
      <c r="H193" s="338">
        <f t="shared" si="68"/>
        <v>0.28056810481068478</v>
      </c>
      <c r="I193" s="334">
        <f t="shared" si="69"/>
        <v>-336.39112112841099</v>
      </c>
      <c r="J193" s="338">
        <f t="shared" si="70"/>
        <v>-1.193467115593416</v>
      </c>
      <c r="K193" s="338">
        <f t="shared" si="71"/>
        <v>-0.19463303310394486</v>
      </c>
      <c r="N193" s="3">
        <v>2037</v>
      </c>
      <c r="O193" s="1205">
        <f t="shared" si="52"/>
        <v>620.67063187609983</v>
      </c>
      <c r="P193" s="1205">
        <f t="shared" si="53"/>
        <v>44.604121164656547</v>
      </c>
      <c r="Q193" s="1205">
        <f t="shared" si="54"/>
        <v>445.47405538319572</v>
      </c>
      <c r="R193" s="1205">
        <f t="shared" si="72"/>
        <v>175.19657649290411</v>
      </c>
      <c r="S193" s="1206">
        <f>Paper!E139</f>
        <v>615.46723432447584</v>
      </c>
      <c r="T193" s="1205">
        <f t="shared" si="55"/>
        <v>169.99317894128012</v>
      </c>
      <c r="U193" s="1206">
        <f>Paper!I139</f>
        <v>0</v>
      </c>
      <c r="V193" s="1205">
        <f t="shared" si="56"/>
        <v>169.99317894128012</v>
      </c>
      <c r="Y193" s="609">
        <f t="shared" si="73"/>
        <v>2037</v>
      </c>
      <c r="Z193" s="335">
        <f t="shared" si="57"/>
        <v>2918.0432097870271</v>
      </c>
      <c r="AA193" s="335">
        <f t="shared" si="74"/>
        <v>461.87829531593206</v>
      </c>
      <c r="AB193" s="335">
        <f t="shared" si="75"/>
        <v>281.86040212859189</v>
      </c>
      <c r="AC193" s="335">
        <f t="shared" si="76"/>
        <v>539.12244168553343</v>
      </c>
      <c r="AD193" s="335">
        <f t="shared" si="77"/>
        <v>445.47405538319572</v>
      </c>
      <c r="AE193" s="335">
        <f>MIN(Paper!H139,Paper!I139)</f>
        <v>0</v>
      </c>
      <c r="AF193" s="335">
        <f t="shared" si="58"/>
        <v>1189.708015273774</v>
      </c>
      <c r="AI193" s="609">
        <f t="shared" si="59"/>
        <v>2037</v>
      </c>
      <c r="AJ193" s="335">
        <f t="shared" si="78"/>
        <v>0</v>
      </c>
      <c r="AK193" s="335">
        <f t="shared" si="60"/>
        <v>0</v>
      </c>
      <c r="AL193" s="335">
        <f t="shared" si="61"/>
        <v>0</v>
      </c>
      <c r="AM193" s="335">
        <f t="shared" si="62"/>
        <v>110.2585722847645</v>
      </c>
      <c r="AN193" s="335">
        <f t="shared" si="63"/>
        <v>176.4231465382635</v>
      </c>
      <c r="AO193" s="335">
        <f t="shared" si="79"/>
        <v>169.99317894128012</v>
      </c>
      <c r="AP193" s="335">
        <f t="shared" si="64"/>
        <v>5.2033975516239366</v>
      </c>
      <c r="AS193" s="609">
        <f t="shared" si="65"/>
        <v>2037</v>
      </c>
      <c r="AT193" s="335">
        <f t="shared" si="46"/>
        <v>281.86040212859189</v>
      </c>
      <c r="AU193" s="335">
        <f t="shared" si="47"/>
        <v>539.12244168553343</v>
      </c>
      <c r="AV193" s="335">
        <f t="shared" si="48"/>
        <v>445.47405538319572</v>
      </c>
      <c r="AW193" s="335">
        <f t="shared" si="49"/>
        <v>0</v>
      </c>
      <c r="AX193" s="335">
        <f t="shared" si="50"/>
        <v>1189.708015273774</v>
      </c>
      <c r="AY193" s="335">
        <f t="shared" si="80"/>
        <v>461.87829531593206</v>
      </c>
      <c r="AZ193" s="335">
        <f t="shared" si="81"/>
        <v>0</v>
      </c>
      <c r="BB193" s="533"/>
    </row>
    <row r="194" spans="2:54" ht="14.4" x14ac:dyDescent="0.55000000000000004">
      <c r="B194" s="3">
        <v>2038</v>
      </c>
      <c r="C194" s="334">
        <f t="shared" si="45"/>
        <v>263.26096684835181</v>
      </c>
      <c r="D194" s="532">
        <f>'Food System Summary'!H36-'Food System Summary'!I36</f>
        <v>497.18744863654683</v>
      </c>
      <c r="E194" s="338">
        <f t="shared" si="66"/>
        <v>1.8885725999895209</v>
      </c>
      <c r="F194" s="338">
        <f t="shared" si="67"/>
        <v>0.29012827709251077</v>
      </c>
      <c r="G194" s="334">
        <f t="shared" si="51"/>
        <v>95.278904056693477</v>
      </c>
      <c r="H194" s="338">
        <f t="shared" si="68"/>
        <v>0.3619180815041893</v>
      </c>
      <c r="I194" s="334">
        <f t="shared" si="69"/>
        <v>-329.2053858448885</v>
      </c>
      <c r="J194" s="338">
        <f t="shared" si="70"/>
        <v>-1.2504906814937102</v>
      </c>
      <c r="K194" s="338">
        <f t="shared" si="71"/>
        <v>-0.19210418860467576</v>
      </c>
      <c r="N194" s="3">
        <v>2038</v>
      </c>
      <c r="O194" s="1205">
        <f t="shared" si="52"/>
        <v>633.96296385951007</v>
      </c>
      <c r="P194" s="1205">
        <f t="shared" si="53"/>
        <v>51.693479770277577</v>
      </c>
      <c r="Q194" s="1205">
        <f t="shared" si="54"/>
        <v>456.62922730560439</v>
      </c>
      <c r="R194" s="1205">
        <f t="shared" si="72"/>
        <v>177.33373655390568</v>
      </c>
      <c r="S194" s="1206">
        <f>Paper!E140</f>
        <v>627.89500953747279</v>
      </c>
      <c r="T194" s="1205">
        <f t="shared" si="55"/>
        <v>171.2657822318684</v>
      </c>
      <c r="U194" s="1206">
        <f>Paper!I140</f>
        <v>0</v>
      </c>
      <c r="V194" s="1205">
        <f t="shared" si="56"/>
        <v>171.2657822318684</v>
      </c>
      <c r="Y194" s="609">
        <f t="shared" si="73"/>
        <v>2038</v>
      </c>
      <c r="Z194" s="335">
        <f t="shared" si="57"/>
        <v>2958.2622662500853</v>
      </c>
      <c r="AA194" s="335">
        <f t="shared" si="74"/>
        <v>441.0853987998259</v>
      </c>
      <c r="AB194" s="335">
        <f t="shared" si="75"/>
        <v>263.26096684835181</v>
      </c>
      <c r="AC194" s="335">
        <f t="shared" si="76"/>
        <v>552.70586415566333</v>
      </c>
      <c r="AD194" s="335">
        <f t="shared" si="77"/>
        <v>456.62922730560439</v>
      </c>
      <c r="AE194" s="335">
        <f>MIN(Paper!H140,Paper!I140)</f>
        <v>0</v>
      </c>
      <c r="AF194" s="335">
        <f t="shared" si="58"/>
        <v>1244.5808091406398</v>
      </c>
      <c r="AI194" s="609">
        <f t="shared" si="59"/>
        <v>2038</v>
      </c>
      <c r="AJ194" s="335">
        <f t="shared" si="78"/>
        <v>0</v>
      </c>
      <c r="AK194" s="335">
        <f t="shared" si="60"/>
        <v>0</v>
      </c>
      <c r="AL194" s="335">
        <f t="shared" si="61"/>
        <v>0</v>
      </c>
      <c r="AM194" s="335">
        <f t="shared" si="62"/>
        <v>98.842918621562191</v>
      </c>
      <c r="AN194" s="335">
        <f t="shared" si="63"/>
        <v>164.90874362435807</v>
      </c>
      <c r="AO194" s="335">
        <f t="shared" si="79"/>
        <v>171.2657822318684</v>
      </c>
      <c r="AP194" s="335">
        <f t="shared" si="64"/>
        <v>6.0679543220372238</v>
      </c>
      <c r="AS194" s="609">
        <f t="shared" si="65"/>
        <v>2038</v>
      </c>
      <c r="AT194" s="335">
        <f t="shared" si="46"/>
        <v>263.26096684835181</v>
      </c>
      <c r="AU194" s="335">
        <f t="shared" si="47"/>
        <v>552.70586415566333</v>
      </c>
      <c r="AV194" s="335">
        <f t="shared" si="48"/>
        <v>456.62922730560439</v>
      </c>
      <c r="AW194" s="335">
        <f t="shared" si="49"/>
        <v>0</v>
      </c>
      <c r="AX194" s="335">
        <f t="shared" si="50"/>
        <v>1244.5808091406398</v>
      </c>
      <c r="AY194" s="335">
        <f t="shared" si="80"/>
        <v>441.0853987998259</v>
      </c>
      <c r="AZ194" s="335">
        <f t="shared" si="81"/>
        <v>0</v>
      </c>
      <c r="BB194" s="533"/>
    </row>
    <row r="195" spans="2:54" ht="14.4" x14ac:dyDescent="0.55000000000000004">
      <c r="B195" s="3">
        <v>2039</v>
      </c>
      <c r="C195" s="334">
        <f t="shared" si="45"/>
        <v>247.64994023604453</v>
      </c>
      <c r="D195" s="532">
        <f>'Food System Summary'!H37-'Food System Summary'!I37</f>
        <v>455.92231368781813</v>
      </c>
      <c r="E195" s="338">
        <f t="shared" si="66"/>
        <v>1.8409950483059327</v>
      </c>
      <c r="F195" s="338">
        <f t="shared" si="67"/>
        <v>0.26824487091324833</v>
      </c>
      <c r="G195" s="334">
        <f t="shared" si="51"/>
        <v>113.77580834661485</v>
      </c>
      <c r="H195" s="338">
        <f t="shared" si="68"/>
        <v>0.45942190916004594</v>
      </c>
      <c r="I195" s="334">
        <f t="shared" si="69"/>
        <v>-322.04818179838844</v>
      </c>
      <c r="J195" s="338">
        <f t="shared" si="70"/>
        <v>-1.3004169574659785</v>
      </c>
      <c r="K195" s="338">
        <f t="shared" si="71"/>
        <v>-0.18947915107639804</v>
      </c>
      <c r="N195" s="3">
        <v>2039</v>
      </c>
      <c r="O195" s="1205">
        <f t="shared" si="52"/>
        <v>647.41200442224579</v>
      </c>
      <c r="P195" s="1205">
        <f t="shared" si="53"/>
        <v>59.409045534982667</v>
      </c>
      <c r="Q195" s="1205">
        <f t="shared" si="54"/>
        <v>468.27294690344701</v>
      </c>
      <c r="R195" s="1205">
        <f t="shared" si="72"/>
        <v>179.13905751879878</v>
      </c>
      <c r="S195" s="1206">
        <f>Paper!E141</f>
        <v>640.22067145497829</v>
      </c>
      <c r="T195" s="1205">
        <f t="shared" si="55"/>
        <v>171.94772455153128</v>
      </c>
      <c r="U195" s="1206">
        <f>Paper!I141</f>
        <v>0</v>
      </c>
      <c r="V195" s="1205">
        <f t="shared" si="56"/>
        <v>171.94772455153128</v>
      </c>
      <c r="Y195" s="609">
        <f t="shared" si="73"/>
        <v>2039</v>
      </c>
      <c r="Z195" s="335">
        <f t="shared" si="57"/>
        <v>2998.2486488063391</v>
      </c>
      <c r="AA195" s="335">
        <f t="shared" si="74"/>
        <v>417.43330934675356</v>
      </c>
      <c r="AB195" s="335">
        <f t="shared" si="75"/>
        <v>247.64994023604447</v>
      </c>
      <c r="AC195" s="335">
        <f t="shared" si="76"/>
        <v>566.29350095481277</v>
      </c>
      <c r="AD195" s="335">
        <f t="shared" si="77"/>
        <v>468.27294690344701</v>
      </c>
      <c r="AE195" s="335">
        <f>MIN(Paper!H141,Paper!I141)</f>
        <v>0</v>
      </c>
      <c r="AF195" s="335">
        <f t="shared" si="58"/>
        <v>1298.5989513652812</v>
      </c>
      <c r="AI195" s="609">
        <f t="shared" si="59"/>
        <v>2039</v>
      </c>
      <c r="AJ195" s="335">
        <f t="shared" si="78"/>
        <v>0</v>
      </c>
      <c r="AK195" s="335">
        <f t="shared" si="60"/>
        <v>0</v>
      </c>
      <c r="AL195" s="335">
        <f t="shared" si="61"/>
        <v>0</v>
      </c>
      <c r="AM195" s="335">
        <f t="shared" si="62"/>
        <v>86.368061499433367</v>
      </c>
      <c r="AN195" s="335">
        <f t="shared" si="63"/>
        <v>151.92619032852144</v>
      </c>
      <c r="AO195" s="335">
        <f t="shared" si="79"/>
        <v>171.94772455153128</v>
      </c>
      <c r="AP195" s="335">
        <f t="shared" si="64"/>
        <v>7.1913329672674422</v>
      </c>
      <c r="AS195" s="609">
        <f t="shared" si="65"/>
        <v>2039</v>
      </c>
      <c r="AT195" s="335">
        <f t="shared" si="46"/>
        <v>247.64994023604447</v>
      </c>
      <c r="AU195" s="335">
        <f t="shared" si="47"/>
        <v>566.29350095481277</v>
      </c>
      <c r="AV195" s="335">
        <f t="shared" si="48"/>
        <v>468.27294690344701</v>
      </c>
      <c r="AW195" s="335">
        <f t="shared" si="49"/>
        <v>0</v>
      </c>
      <c r="AX195" s="335">
        <f t="shared" si="50"/>
        <v>1298.5989513652812</v>
      </c>
      <c r="AY195" s="335">
        <f t="shared" si="80"/>
        <v>417.43330934675356</v>
      </c>
      <c r="AZ195" s="335">
        <f t="shared" si="81"/>
        <v>0</v>
      </c>
      <c r="BB195" s="533"/>
    </row>
    <row r="196" spans="2:54" ht="14.4" x14ac:dyDescent="0.55000000000000004">
      <c r="B196" s="3">
        <v>2040</v>
      </c>
      <c r="C196" s="334">
        <f t="shared" si="45"/>
        <v>233.56658906298978</v>
      </c>
      <c r="D196" s="532">
        <f>'Food System Summary'!H38-'Food System Summary'!I38</f>
        <v>415.3839078210267</v>
      </c>
      <c r="E196" s="338">
        <f t="shared" si="66"/>
        <v>1.7784389003900007</v>
      </c>
      <c r="F196" s="338">
        <f t="shared" si="67"/>
        <v>0.24684412304233219</v>
      </c>
      <c r="G196" s="334">
        <f t="shared" si="51"/>
        <v>134.7494477190123</v>
      </c>
      <c r="H196" s="338">
        <f t="shared" si="68"/>
        <v>0.57692090405392771</v>
      </c>
      <c r="I196" s="334">
        <f t="shared" si="69"/>
        <v>-316.56676647704921</v>
      </c>
      <c r="J196" s="338">
        <f t="shared" si="70"/>
        <v>-1.3553598044439283</v>
      </c>
      <c r="K196" s="338">
        <f t="shared" si="71"/>
        <v>-0.18812150491165081</v>
      </c>
      <c r="N196" s="3">
        <v>2040</v>
      </c>
      <c r="O196" s="1205">
        <f t="shared" si="52"/>
        <v>660.25436152424447</v>
      </c>
      <c r="P196" s="1205">
        <f t="shared" si="53"/>
        <v>67.749964608992556</v>
      </c>
      <c r="Q196" s="1205">
        <f t="shared" si="54"/>
        <v>480.40521417672363</v>
      </c>
      <c r="R196" s="1205">
        <f t="shared" si="72"/>
        <v>179.84914734752084</v>
      </c>
      <c r="S196" s="1206">
        <f>Paper!E142</f>
        <v>652.40480941635178</v>
      </c>
      <c r="T196" s="1205">
        <f t="shared" si="55"/>
        <v>171.99959523962815</v>
      </c>
      <c r="U196" s="1206">
        <f>Paper!I142</f>
        <v>0</v>
      </c>
      <c r="V196" s="1205">
        <f t="shared" si="56"/>
        <v>171.99959523962815</v>
      </c>
      <c r="Y196" s="609">
        <f t="shared" si="73"/>
        <v>2040</v>
      </c>
      <c r="Z196" s="335">
        <f t="shared" si="57"/>
        <v>3034.5160714120425</v>
      </c>
      <c r="AA196" s="335">
        <f t="shared" si="74"/>
        <v>389.58688326619773</v>
      </c>
      <c r="AB196" s="335">
        <f t="shared" si="75"/>
        <v>233.56658906298981</v>
      </c>
      <c r="AC196" s="335">
        <f t="shared" si="76"/>
        <v>579.21950850013729</v>
      </c>
      <c r="AD196" s="335">
        <f t="shared" si="77"/>
        <v>480.40521417672363</v>
      </c>
      <c r="AE196" s="335">
        <f>MIN(Paper!H142,Paper!I142)</f>
        <v>0</v>
      </c>
      <c r="AF196" s="335">
        <f t="shared" si="58"/>
        <v>1351.737876405994</v>
      </c>
      <c r="AI196" s="609">
        <f t="shared" si="59"/>
        <v>2040</v>
      </c>
      <c r="AJ196" s="335">
        <f t="shared" si="78"/>
        <v>0</v>
      </c>
      <c r="AK196" s="335">
        <f t="shared" si="60"/>
        <v>0</v>
      </c>
      <c r="AL196" s="335">
        <f t="shared" si="61"/>
        <v>0</v>
      </c>
      <c r="AM196" s="335">
        <f t="shared" si="62"/>
        <v>72.935926373992416</v>
      </c>
      <c r="AN196" s="335">
        <f t="shared" si="63"/>
        <v>136.80180954468449</v>
      </c>
      <c r="AO196" s="335">
        <f t="shared" si="79"/>
        <v>171.99959523962815</v>
      </c>
      <c r="AP196" s="335">
        <f t="shared" si="64"/>
        <v>7.8495521078926913</v>
      </c>
      <c r="AS196" s="609">
        <f t="shared" si="65"/>
        <v>2040</v>
      </c>
      <c r="AT196" s="335">
        <f t="shared" si="46"/>
        <v>233.56658906298981</v>
      </c>
      <c r="AU196" s="335">
        <f t="shared" si="47"/>
        <v>579.21950850013729</v>
      </c>
      <c r="AV196" s="335">
        <f t="shared" si="48"/>
        <v>480.40521417672363</v>
      </c>
      <c r="AW196" s="335">
        <f t="shared" si="49"/>
        <v>0</v>
      </c>
      <c r="AX196" s="335">
        <f t="shared" si="50"/>
        <v>1351.737876405994</v>
      </c>
      <c r="AY196" s="335">
        <f t="shared" si="80"/>
        <v>389.58688326619773</v>
      </c>
      <c r="AZ196" s="335">
        <f t="shared" si="81"/>
        <v>0</v>
      </c>
      <c r="BB196" s="533"/>
    </row>
    <row r="197" spans="2:54" ht="14.4" x14ac:dyDescent="0.55000000000000004">
      <c r="B197" s="3">
        <v>2041</v>
      </c>
      <c r="C197" s="334">
        <f t="shared" si="45"/>
        <v>226.16622888438437</v>
      </c>
      <c r="D197" s="532">
        <f>'Food System Summary'!H39-'Food System Summary'!I39</f>
        <v>375.58490070389416</v>
      </c>
      <c r="E197" s="338">
        <f t="shared" si="66"/>
        <v>1.6606586339461507</v>
      </c>
      <c r="F197" s="338">
        <f t="shared" si="67"/>
        <v>0.22443756720075814</v>
      </c>
      <c r="G197" s="334">
        <f t="shared" si="51"/>
        <v>158.38016773323224</v>
      </c>
      <c r="H197" s="338">
        <f t="shared" si="68"/>
        <v>0.70028212662198919</v>
      </c>
      <c r="I197" s="334">
        <f t="shared" si="69"/>
        <v>-307.79883955274204</v>
      </c>
      <c r="J197" s="338">
        <f t="shared" si="70"/>
        <v>-1.3609407605681398</v>
      </c>
      <c r="K197" s="338">
        <f t="shared" si="71"/>
        <v>-0.18393077732082974</v>
      </c>
      <c r="N197" s="3">
        <v>2041</v>
      </c>
      <c r="O197" s="1205">
        <f t="shared" si="52"/>
        <v>674.74062574692744</v>
      </c>
      <c r="P197" s="1205">
        <f t="shared" si="53"/>
        <v>76.712733705242414</v>
      </c>
      <c r="Q197" s="1205">
        <f t="shared" si="54"/>
        <v>493.02602912543415</v>
      </c>
      <c r="R197" s="1205">
        <f t="shared" si="72"/>
        <v>181.71459662149329</v>
      </c>
      <c r="S197" s="1206">
        <f>Paper!E143</f>
        <v>664.41938351539886</v>
      </c>
      <c r="T197" s="1205">
        <f t="shared" si="55"/>
        <v>171.39335438996471</v>
      </c>
      <c r="U197" s="1206">
        <f>Paper!I143</f>
        <v>0</v>
      </c>
      <c r="V197" s="1205">
        <f t="shared" si="56"/>
        <v>171.39335438996471</v>
      </c>
      <c r="Y197" s="609">
        <f t="shared" si="73"/>
        <v>2041</v>
      </c>
      <c r="Z197" s="335">
        <f t="shared" si="57"/>
        <v>3077.4302876550992</v>
      </c>
      <c r="AA197" s="335">
        <f t="shared" si="74"/>
        <v>360.82312951971272</v>
      </c>
      <c r="AB197" s="335">
        <f t="shared" si="75"/>
        <v>226.1662288843844</v>
      </c>
      <c r="AC197" s="335">
        <f t="shared" si="76"/>
        <v>593.43396138421622</v>
      </c>
      <c r="AD197" s="335">
        <f t="shared" si="77"/>
        <v>493.02602912543415</v>
      </c>
      <c r="AE197" s="335">
        <f>MIN(Paper!H143,Paper!I143)</f>
        <v>0</v>
      </c>
      <c r="AF197" s="335">
        <f t="shared" si="58"/>
        <v>1403.9809387413516</v>
      </c>
      <c r="AI197" s="609">
        <f t="shared" si="59"/>
        <v>2041</v>
      </c>
      <c r="AJ197" s="335">
        <f t="shared" si="78"/>
        <v>0</v>
      </c>
      <c r="AK197" s="335">
        <f t="shared" si="60"/>
        <v>0</v>
      </c>
      <c r="AL197" s="335">
        <f t="shared" si="61"/>
        <v>0</v>
      </c>
      <c r="AM197" s="335">
        <f t="shared" si="62"/>
        <v>58.892421077501254</v>
      </c>
      <c r="AN197" s="335">
        <f t="shared" si="63"/>
        <v>120.21611182071842</v>
      </c>
      <c r="AO197" s="335">
        <f t="shared" si="79"/>
        <v>171.39335438996471</v>
      </c>
      <c r="AP197" s="335">
        <f t="shared" si="64"/>
        <v>10.321242231528345</v>
      </c>
      <c r="AS197" s="609">
        <f t="shared" si="65"/>
        <v>2041</v>
      </c>
      <c r="AT197" s="335">
        <f t="shared" si="46"/>
        <v>226.1662288843844</v>
      </c>
      <c r="AU197" s="335">
        <f t="shared" si="47"/>
        <v>593.43396138421622</v>
      </c>
      <c r="AV197" s="335">
        <f t="shared" si="48"/>
        <v>493.02602912543415</v>
      </c>
      <c r="AW197" s="335">
        <f t="shared" si="49"/>
        <v>0</v>
      </c>
      <c r="AX197" s="335">
        <f t="shared" si="50"/>
        <v>1403.9809387413516</v>
      </c>
      <c r="AY197" s="335">
        <f t="shared" si="80"/>
        <v>360.82312951971272</v>
      </c>
      <c r="AZ197" s="335">
        <f t="shared" si="81"/>
        <v>0</v>
      </c>
      <c r="BB197" s="533"/>
    </row>
    <row r="198" spans="2:54" ht="14.4" x14ac:dyDescent="0.55000000000000004">
      <c r="B198" s="3">
        <v>2042</v>
      </c>
      <c r="C198" s="334">
        <f t="shared" si="45"/>
        <v>220.16366794479396</v>
      </c>
      <c r="D198" s="532">
        <f>'Food System Summary'!H40-'Food System Summary'!I40</f>
        <v>336.53870731227471</v>
      </c>
      <c r="E198" s="338">
        <f t="shared" si="66"/>
        <v>1.5285842139796735</v>
      </c>
      <c r="F198" s="338">
        <f t="shared" si="67"/>
        <v>0.20270936600280115</v>
      </c>
      <c r="G198" s="334">
        <f t="shared" si="51"/>
        <v>184.85073913983879</v>
      </c>
      <c r="H198" s="338">
        <f t="shared" si="68"/>
        <v>0.83960601158857018</v>
      </c>
      <c r="I198" s="334">
        <f t="shared" si="69"/>
        <v>-301.22577850731955</v>
      </c>
      <c r="J198" s="338">
        <f t="shared" si="70"/>
        <v>-1.3681902255682437</v>
      </c>
      <c r="K198" s="338">
        <f t="shared" si="71"/>
        <v>-0.18143911906174912</v>
      </c>
      <c r="N198" s="3">
        <v>2042</v>
      </c>
      <c r="O198" s="1205">
        <f t="shared" si="52"/>
        <v>688.36579001756627</v>
      </c>
      <c r="P198" s="1205">
        <f t="shared" si="53"/>
        <v>86.291424583868405</v>
      </c>
      <c r="Q198" s="1205">
        <f t="shared" si="54"/>
        <v>506.13539174957867</v>
      </c>
      <c r="R198" s="1205">
        <f t="shared" si="72"/>
        <v>182.2303982679876</v>
      </c>
      <c r="S198" s="1206">
        <f>Paper!E144</f>
        <v>676.24735064553647</v>
      </c>
      <c r="T198" s="1205">
        <f t="shared" si="55"/>
        <v>170.1119588959578</v>
      </c>
      <c r="U198" s="1206">
        <f>Paper!I144</f>
        <v>0</v>
      </c>
      <c r="V198" s="1205">
        <f t="shared" si="56"/>
        <v>170.1119588959578</v>
      </c>
      <c r="Y198" s="609">
        <f t="shared" si="73"/>
        <v>2042</v>
      </c>
      <c r="Z198" s="335">
        <f t="shared" si="57"/>
        <v>3115.5167307311153</v>
      </c>
      <c r="AA198" s="335">
        <f t="shared" si="74"/>
        <v>327.14362659564489</v>
      </c>
      <c r="AB198" s="335">
        <f t="shared" si="75"/>
        <v>220.16366794479393</v>
      </c>
      <c r="AC198" s="335">
        <f t="shared" si="76"/>
        <v>606.76036179027813</v>
      </c>
      <c r="AD198" s="335">
        <f t="shared" si="77"/>
        <v>506.13539174957867</v>
      </c>
      <c r="AE198" s="335">
        <f>MIN(Paper!H144,Paper!I144)</f>
        <v>0</v>
      </c>
      <c r="AF198" s="335">
        <f t="shared" si="58"/>
        <v>1455.3136826508198</v>
      </c>
      <c r="AI198" s="609">
        <f t="shared" si="59"/>
        <v>2042</v>
      </c>
      <c r="AJ198" s="335">
        <f t="shared" si="78"/>
        <v>0</v>
      </c>
      <c r="AK198" s="335">
        <f t="shared" si="60"/>
        <v>0</v>
      </c>
      <c r="AL198" s="335">
        <f t="shared" si="61"/>
        <v>0</v>
      </c>
      <c r="AM198" s="335">
        <f t="shared" si="62"/>
        <v>44.421673360956099</v>
      </c>
      <c r="AN198" s="335">
        <f t="shared" si="63"/>
        <v>100.49155496670096</v>
      </c>
      <c r="AO198" s="335">
        <f t="shared" si="79"/>
        <v>170.1119588959578</v>
      </c>
      <c r="AP198" s="335">
        <f t="shared" si="64"/>
        <v>12.118439372030025</v>
      </c>
      <c r="AS198" s="609">
        <f t="shared" si="65"/>
        <v>2042</v>
      </c>
      <c r="AT198" s="335">
        <f t="shared" si="46"/>
        <v>220.16366794479393</v>
      </c>
      <c r="AU198" s="335">
        <f t="shared" si="47"/>
        <v>606.76036179027813</v>
      </c>
      <c r="AV198" s="335">
        <f t="shared" si="48"/>
        <v>506.13539174957867</v>
      </c>
      <c r="AW198" s="335">
        <f t="shared" si="49"/>
        <v>0</v>
      </c>
      <c r="AX198" s="335">
        <f t="shared" si="50"/>
        <v>1455.3136826508198</v>
      </c>
      <c r="AY198" s="335">
        <f t="shared" si="80"/>
        <v>327.14362659564489</v>
      </c>
      <c r="AZ198" s="335">
        <f t="shared" si="81"/>
        <v>0</v>
      </c>
      <c r="BB198" s="533"/>
    </row>
    <row r="199" spans="2:54" ht="14.4" x14ac:dyDescent="0.55000000000000004">
      <c r="B199" s="3">
        <v>2043</v>
      </c>
      <c r="C199" s="334">
        <f t="shared" si="45"/>
        <v>217.99683626743365</v>
      </c>
      <c r="D199" s="532">
        <f>'Food System Summary'!H41-'Food System Summary'!I41</f>
        <v>298.25716285494718</v>
      </c>
      <c r="E199" s="338">
        <f t="shared" si="66"/>
        <v>1.3681719788311604</v>
      </c>
      <c r="F199" s="338">
        <f t="shared" si="67"/>
        <v>0.18101188501158066</v>
      </c>
      <c r="G199" s="334">
        <f t="shared" si="51"/>
        <v>214.34614535599042</v>
      </c>
      <c r="H199" s="338">
        <f t="shared" si="68"/>
        <v>0.98325346838077665</v>
      </c>
      <c r="I199" s="334">
        <f t="shared" si="69"/>
        <v>-294.60647194350395</v>
      </c>
      <c r="J199" s="338">
        <f t="shared" si="70"/>
        <v>-1.3514254472119371</v>
      </c>
      <c r="K199" s="338">
        <f t="shared" si="71"/>
        <v>-0.17879628543586701</v>
      </c>
      <c r="N199" s="3">
        <v>2043</v>
      </c>
      <c r="O199" s="1205">
        <f t="shared" si="52"/>
        <v>702.13968972548719</v>
      </c>
      <c r="P199" s="1205">
        <f t="shared" si="53"/>
        <v>96.477895503947252</v>
      </c>
      <c r="Q199" s="1205">
        <f t="shared" si="54"/>
        <v>519.73330204915703</v>
      </c>
      <c r="R199" s="1205">
        <f t="shared" si="72"/>
        <v>182.40638767633016</v>
      </c>
      <c r="S199" s="1206">
        <f>Paper!E145</f>
        <v>687.88010807954925</v>
      </c>
      <c r="T199" s="1205">
        <f t="shared" si="55"/>
        <v>168.14680603039221</v>
      </c>
      <c r="U199" s="1206">
        <f>Paper!I145</f>
        <v>0</v>
      </c>
      <c r="V199" s="1205">
        <f t="shared" si="56"/>
        <v>168.14680603039221</v>
      </c>
      <c r="Y199" s="609">
        <f t="shared" si="73"/>
        <v>2043</v>
      </c>
      <c r="Z199" s="335">
        <f t="shared" si="57"/>
        <v>3153.4350652335165</v>
      </c>
      <c r="AA199" s="335">
        <f t="shared" si="74"/>
        <v>289.9184428427277</v>
      </c>
      <c r="AB199" s="335">
        <f t="shared" si="75"/>
        <v>217.99683626743365</v>
      </c>
      <c r="AC199" s="335">
        <f t="shared" si="76"/>
        <v>620.07285346286392</v>
      </c>
      <c r="AD199" s="335">
        <f t="shared" si="77"/>
        <v>519.73330204915703</v>
      </c>
      <c r="AE199" s="335">
        <f>MIN(Paper!H145,Paper!I145)</f>
        <v>0</v>
      </c>
      <c r="AF199" s="335">
        <f t="shared" si="58"/>
        <v>1505.7136306113343</v>
      </c>
      <c r="AI199" s="609">
        <f t="shared" si="59"/>
        <v>2043</v>
      </c>
      <c r="AJ199" s="335">
        <f t="shared" si="78"/>
        <v>0</v>
      </c>
      <c r="AK199" s="335">
        <f t="shared" si="60"/>
        <v>0</v>
      </c>
      <c r="AL199" s="335">
        <f t="shared" si="61"/>
        <v>0</v>
      </c>
      <c r="AM199" s="335">
        <f t="shared" si="62"/>
        <v>30.052035077231508</v>
      </c>
      <c r="AN199" s="335">
        <f t="shared" si="63"/>
        <v>77.460020089166051</v>
      </c>
      <c r="AO199" s="335">
        <f t="shared" si="79"/>
        <v>168.14680603039221</v>
      </c>
      <c r="AP199" s="335">
        <f t="shared" si="64"/>
        <v>14.259581645937942</v>
      </c>
      <c r="AS199" s="609">
        <f t="shared" si="65"/>
        <v>2043</v>
      </c>
      <c r="AT199" s="335">
        <f t="shared" si="46"/>
        <v>217.99683626743365</v>
      </c>
      <c r="AU199" s="335">
        <f t="shared" si="47"/>
        <v>620.07285346286392</v>
      </c>
      <c r="AV199" s="335">
        <f t="shared" si="48"/>
        <v>519.73330204915703</v>
      </c>
      <c r="AW199" s="335">
        <f t="shared" si="49"/>
        <v>0</v>
      </c>
      <c r="AX199" s="335">
        <f t="shared" si="50"/>
        <v>1505.7136306113343</v>
      </c>
      <c r="AY199" s="335">
        <f t="shared" si="80"/>
        <v>289.9184428427277</v>
      </c>
      <c r="AZ199" s="335">
        <f t="shared" si="81"/>
        <v>0</v>
      </c>
      <c r="BB199" s="533"/>
    </row>
    <row r="200" spans="2:54" ht="14.4" x14ac:dyDescent="0.55000000000000004">
      <c r="B200" s="3">
        <v>2044</v>
      </c>
      <c r="C200" s="334">
        <f t="shared" si="45"/>
        <v>219.88949973483892</v>
      </c>
      <c r="D200" s="532">
        <f>'Food System Summary'!H42-'Food System Summary'!I42</f>
        <v>260.75263277728095</v>
      </c>
      <c r="E200" s="338">
        <f t="shared" si="66"/>
        <v>1.1858348538321211</v>
      </c>
      <c r="F200" s="338">
        <f t="shared" si="67"/>
        <v>0.15937950265413831</v>
      </c>
      <c r="G200" s="334">
        <f t="shared" si="51"/>
        <v>247.05338399580211</v>
      </c>
      <c r="H200" s="338">
        <f t="shared" si="68"/>
        <v>1.1235342492193563</v>
      </c>
      <c r="I200" s="334">
        <f t="shared" si="69"/>
        <v>-287.91651703824414</v>
      </c>
      <c r="J200" s="338">
        <f t="shared" si="70"/>
        <v>-1.3093691030514776</v>
      </c>
      <c r="K200" s="338">
        <f t="shared" si="71"/>
        <v>-0.17598284934925978</v>
      </c>
      <c r="N200" s="3">
        <v>2044</v>
      </c>
      <c r="O200" s="1205">
        <f t="shared" si="52"/>
        <v>716.062938568753</v>
      </c>
      <c r="P200" s="1205">
        <f t="shared" si="53"/>
        <v>107.26199154087811</v>
      </c>
      <c r="Q200" s="1205">
        <f t="shared" si="54"/>
        <v>533.81976002416957</v>
      </c>
      <c r="R200" s="1205">
        <f t="shared" si="72"/>
        <v>182.24317854458343</v>
      </c>
      <c r="S200" s="1206">
        <f>Paper!E146</f>
        <v>699.32011372535237</v>
      </c>
      <c r="T200" s="1205">
        <f t="shared" si="55"/>
        <v>165.5003537011828</v>
      </c>
      <c r="U200" s="1206">
        <f>Paper!I146</f>
        <v>0</v>
      </c>
      <c r="V200" s="1205">
        <f t="shared" si="56"/>
        <v>165.5003537011828</v>
      </c>
      <c r="Y200" s="609">
        <f t="shared" si="73"/>
        <v>2044</v>
      </c>
      <c r="Z200" s="335">
        <f t="shared" si="57"/>
        <v>3191.205104072636</v>
      </c>
      <c r="AA200" s="335">
        <f t="shared" si="74"/>
        <v>248.96956398966609</v>
      </c>
      <c r="AB200" s="335">
        <f t="shared" si="75"/>
        <v>219.88949973483886</v>
      </c>
      <c r="AC200" s="335">
        <f t="shared" si="76"/>
        <v>633.3699054478742</v>
      </c>
      <c r="AD200" s="335">
        <f t="shared" si="77"/>
        <v>533.81976002416957</v>
      </c>
      <c r="AE200" s="335">
        <f>MIN(Paper!H146,Paper!I146)</f>
        <v>0</v>
      </c>
      <c r="AF200" s="335">
        <f t="shared" si="58"/>
        <v>1555.1563748760873</v>
      </c>
      <c r="AI200" s="609">
        <f t="shared" si="59"/>
        <v>2044</v>
      </c>
      <c r="AJ200" s="335">
        <f t="shared" si="78"/>
        <v>0</v>
      </c>
      <c r="AK200" s="335">
        <f t="shared" si="60"/>
        <v>0</v>
      </c>
      <c r="AL200" s="335">
        <f t="shared" si="61"/>
        <v>0</v>
      </c>
      <c r="AM200" s="335">
        <f t="shared" si="62"/>
        <v>16.461382701104501</v>
      </c>
      <c r="AN200" s="335">
        <f t="shared" si="63"/>
        <v>50.26500274397813</v>
      </c>
      <c r="AO200" s="335">
        <f t="shared" si="79"/>
        <v>165.5003537011828</v>
      </c>
      <c r="AP200" s="335">
        <f t="shared" si="64"/>
        <v>16.742824843400655</v>
      </c>
      <c r="AS200" s="609">
        <f t="shared" si="65"/>
        <v>2044</v>
      </c>
      <c r="AT200" s="335">
        <f t="shared" si="46"/>
        <v>219.88949973483886</v>
      </c>
      <c r="AU200" s="335">
        <f t="shared" si="47"/>
        <v>633.3699054478742</v>
      </c>
      <c r="AV200" s="335">
        <f t="shared" si="48"/>
        <v>533.81976002416957</v>
      </c>
      <c r="AW200" s="335">
        <f t="shared" si="49"/>
        <v>0</v>
      </c>
      <c r="AX200" s="335">
        <f t="shared" si="50"/>
        <v>1555.1563748760873</v>
      </c>
      <c r="AY200" s="335">
        <f t="shared" si="80"/>
        <v>248.96956398966609</v>
      </c>
      <c r="AZ200" s="335">
        <f t="shared" si="81"/>
        <v>0</v>
      </c>
      <c r="BB200" s="533"/>
    </row>
    <row r="201" spans="2:54" ht="14.4" x14ac:dyDescent="0.55000000000000004">
      <c r="B201" s="3">
        <v>2045</v>
      </c>
      <c r="C201" s="334">
        <f t="shared" si="45"/>
        <v>226.11673959355198</v>
      </c>
      <c r="D201" s="532">
        <f>'Food System Summary'!H43-'Food System Summary'!I43</f>
        <v>224.03841929182022</v>
      </c>
      <c r="E201" s="338">
        <f t="shared" si="66"/>
        <v>0.99080864023836723</v>
      </c>
      <c r="F201" s="338">
        <f t="shared" si="67"/>
        <v>0.13784151907954054</v>
      </c>
      <c r="G201" s="334">
        <f t="shared" si="51"/>
        <v>283.16127755362686</v>
      </c>
      <c r="H201" s="338">
        <f t="shared" si="68"/>
        <v>1.2522791459960605</v>
      </c>
      <c r="I201" s="334">
        <f t="shared" si="69"/>
        <v>-281.0829572518951</v>
      </c>
      <c r="J201" s="338">
        <f t="shared" si="70"/>
        <v>-1.2430877862344276</v>
      </c>
      <c r="K201" s="338">
        <f t="shared" si="71"/>
        <v>-0.17293865015403354</v>
      </c>
      <c r="N201" s="3">
        <v>2045</v>
      </c>
      <c r="O201" s="1205">
        <f t="shared" si="52"/>
        <v>730.16014319301701</v>
      </c>
      <c r="P201" s="1205">
        <f t="shared" si="53"/>
        <v>118.63173229377571</v>
      </c>
      <c r="Q201" s="1205">
        <f t="shared" si="54"/>
        <v>548.39476567461588</v>
      </c>
      <c r="R201" s="1205">
        <f t="shared" si="72"/>
        <v>181.76537751840112</v>
      </c>
      <c r="S201" s="1206">
        <f>Paper!E147</f>
        <v>710.58087292819198</v>
      </c>
      <c r="T201" s="1205">
        <f t="shared" si="55"/>
        <v>162.1861072535761</v>
      </c>
      <c r="U201" s="1206">
        <f>Paper!I147</f>
        <v>0</v>
      </c>
      <c r="V201" s="1205">
        <f t="shared" si="56"/>
        <v>162.1861072535761</v>
      </c>
      <c r="Y201" s="609">
        <f t="shared" si="73"/>
        <v>2045</v>
      </c>
      <c r="Z201" s="335">
        <f t="shared" si="57"/>
        <v>3228.9513540957141</v>
      </c>
      <c r="AA201" s="335">
        <f t="shared" si="74"/>
        <v>204.15093933357912</v>
      </c>
      <c r="AB201" s="335">
        <f t="shared" si="75"/>
        <v>226.11673959355198</v>
      </c>
      <c r="AC201" s="335">
        <f t="shared" si="76"/>
        <v>646.67091495402178</v>
      </c>
      <c r="AD201" s="335">
        <f t="shared" si="77"/>
        <v>548.39476567461588</v>
      </c>
      <c r="AE201" s="335">
        <f>MIN(Paper!H147,Paper!I147)</f>
        <v>0</v>
      </c>
      <c r="AF201" s="335">
        <f t="shared" si="58"/>
        <v>1603.6179945399454</v>
      </c>
      <c r="AI201" s="609">
        <f t="shared" si="59"/>
        <v>2045</v>
      </c>
      <c r="AJ201" s="335">
        <f t="shared" si="78"/>
        <v>0</v>
      </c>
      <c r="AK201" s="335">
        <f t="shared" si="60"/>
        <v>0</v>
      </c>
      <c r="AL201" s="335">
        <f t="shared" si="61"/>
        <v>0</v>
      </c>
      <c r="AM201" s="335">
        <f t="shared" si="62"/>
        <v>4.6255935705949494</v>
      </c>
      <c r="AN201" s="335">
        <f t="shared" si="63"/>
        <v>17.759968244583092</v>
      </c>
      <c r="AO201" s="335">
        <f t="shared" si="79"/>
        <v>162.1861072535761</v>
      </c>
      <c r="AP201" s="335">
        <f t="shared" si="64"/>
        <v>19.57927026482497</v>
      </c>
      <c r="AS201" s="609">
        <f t="shared" si="65"/>
        <v>2045</v>
      </c>
      <c r="AT201" s="335">
        <f t="shared" si="46"/>
        <v>226.11673959355198</v>
      </c>
      <c r="AU201" s="335">
        <f t="shared" si="47"/>
        <v>646.67091495402178</v>
      </c>
      <c r="AV201" s="335">
        <f t="shared" si="48"/>
        <v>548.39476567461588</v>
      </c>
      <c r="AW201" s="335">
        <f t="shared" si="49"/>
        <v>0</v>
      </c>
      <c r="AX201" s="335">
        <f t="shared" si="50"/>
        <v>1603.6179945399454</v>
      </c>
      <c r="AY201" s="335">
        <f t="shared" si="80"/>
        <v>204.15093933357912</v>
      </c>
      <c r="AZ201" s="335">
        <f t="shared" si="81"/>
        <v>0</v>
      </c>
      <c r="BB201" s="533"/>
    </row>
    <row r="202" spans="2:54" ht="14.4" x14ac:dyDescent="0.55000000000000004">
      <c r="B202" s="3">
        <v>2046</v>
      </c>
      <c r="C202" s="334">
        <f t="shared" si="45"/>
        <v>236.69671679163326</v>
      </c>
      <c r="D202" s="532">
        <f>'Food System Summary'!H44-'Food System Summary'!I44</f>
        <v>188.12883990624755</v>
      </c>
      <c r="E202" s="338">
        <f t="shared" si="66"/>
        <v>0.79480967229410049</v>
      </c>
      <c r="F202" s="338">
        <f t="shared" si="67"/>
        <v>0.11647485906563128</v>
      </c>
      <c r="G202" s="334">
        <f t="shared" si="51"/>
        <v>322.86029663220557</v>
      </c>
      <c r="H202" s="338">
        <f t="shared" si="68"/>
        <v>1.3640252429712536</v>
      </c>
      <c r="I202" s="334">
        <f t="shared" si="69"/>
        <v>-274.29241974681986</v>
      </c>
      <c r="J202" s="338">
        <f t="shared" si="70"/>
        <v>-1.1588349152653541</v>
      </c>
      <c r="K202" s="338">
        <f t="shared" si="71"/>
        <v>-0.16982069813805756</v>
      </c>
      <c r="N202" s="3">
        <v>2046</v>
      </c>
      <c r="O202" s="1205">
        <f t="shared" si="52"/>
        <v>744.33581629264359</v>
      </c>
      <c r="P202" s="1205">
        <f t="shared" si="53"/>
        <v>130.57348937257618</v>
      </c>
      <c r="Q202" s="1205">
        <f t="shared" si="54"/>
        <v>563.4583190004962</v>
      </c>
      <c r="R202" s="1205">
        <f t="shared" si="72"/>
        <v>180.87749729214738</v>
      </c>
      <c r="S202" s="1206">
        <f>Paper!E148</f>
        <v>721.68660694963353</v>
      </c>
      <c r="T202" s="1205">
        <f t="shared" si="55"/>
        <v>158.22828794913733</v>
      </c>
      <c r="U202" s="1206">
        <f>Paper!I148</f>
        <v>0</v>
      </c>
      <c r="V202" s="1205">
        <f t="shared" si="56"/>
        <v>158.22828794913733</v>
      </c>
      <c r="Y202" s="609">
        <f t="shared" si="73"/>
        <v>2046</v>
      </c>
      <c r="Z202" s="335">
        <f t="shared" si="57"/>
        <v>3266.2667302830773</v>
      </c>
      <c r="AA202" s="335">
        <f t="shared" si="74"/>
        <v>181.80345655633243</v>
      </c>
      <c r="AB202" s="335">
        <f t="shared" si="75"/>
        <v>236.69671679163321</v>
      </c>
      <c r="AC202" s="335">
        <f t="shared" si="76"/>
        <v>633.22989607655165</v>
      </c>
      <c r="AD202" s="335">
        <f t="shared" si="77"/>
        <v>563.4583190004962</v>
      </c>
      <c r="AE202" s="335">
        <f>MIN(Paper!H148,Paper!I148)</f>
        <v>0</v>
      </c>
      <c r="AF202" s="335">
        <f t="shared" si="58"/>
        <v>1651.0783418580638</v>
      </c>
      <c r="AI202" s="609">
        <f t="shared" si="59"/>
        <v>2046</v>
      </c>
      <c r="AJ202" s="335">
        <f t="shared" si="78"/>
        <v>0</v>
      </c>
      <c r="AK202" s="335">
        <f t="shared" si="60"/>
        <v>0</v>
      </c>
      <c r="AL202" s="335">
        <f t="shared" si="61"/>
        <v>0</v>
      </c>
      <c r="AM202" s="335">
        <f t="shared" si="62"/>
        <v>0.14572566437270384</v>
      </c>
      <c r="AN202" s="335">
        <f t="shared" si="63"/>
        <v>0.78023359981239082</v>
      </c>
      <c r="AO202" s="335">
        <f t="shared" si="79"/>
        <v>158.22828794913733</v>
      </c>
      <c r="AP202" s="335">
        <f t="shared" si="64"/>
        <v>22.649209343010028</v>
      </c>
      <c r="AS202" s="609">
        <f t="shared" si="65"/>
        <v>2046</v>
      </c>
      <c r="AT202" s="335">
        <f t="shared" si="46"/>
        <v>236.69671679163321</v>
      </c>
      <c r="AU202" s="335">
        <f t="shared" si="47"/>
        <v>633.22989607655165</v>
      </c>
      <c r="AV202" s="335">
        <f t="shared" si="48"/>
        <v>563.4583190004962</v>
      </c>
      <c r="AW202" s="335">
        <f t="shared" si="49"/>
        <v>0</v>
      </c>
      <c r="AX202" s="335">
        <f t="shared" si="50"/>
        <v>1651.0783418580638</v>
      </c>
      <c r="AY202" s="335">
        <f t="shared" si="80"/>
        <v>181.80345655633243</v>
      </c>
      <c r="AZ202" s="335">
        <f t="shared" si="81"/>
        <v>0</v>
      </c>
      <c r="BB202" s="533"/>
    </row>
    <row r="203" spans="2:54" ht="14.4" x14ac:dyDescent="0.55000000000000004">
      <c r="B203" s="3">
        <v>2047</v>
      </c>
      <c r="C203" s="334">
        <f t="shared" si="45"/>
        <v>251.86249608926403</v>
      </c>
      <c r="D203" s="532">
        <f>'Food System Summary'!H45-'Food System Summary'!I45</f>
        <v>153.03840085841739</v>
      </c>
      <c r="E203" s="338">
        <f t="shared" si="66"/>
        <v>0.60762679332844449</v>
      </c>
      <c r="F203" s="338">
        <f t="shared" si="67"/>
        <v>9.5311012503627793E-2</v>
      </c>
      <c r="G203" s="334">
        <f t="shared" si="51"/>
        <v>366.34239300444062</v>
      </c>
      <c r="H203" s="338">
        <f t="shared" si="68"/>
        <v>1.45453332152558</v>
      </c>
      <c r="I203" s="334">
        <f t="shared" si="69"/>
        <v>-267.51829777359399</v>
      </c>
      <c r="J203" s="338">
        <f t="shared" si="70"/>
        <v>-1.0621601148540245</v>
      </c>
      <c r="K203" s="338">
        <f t="shared" si="71"/>
        <v>-0.16660811718515703</v>
      </c>
      <c r="N203" s="3">
        <v>2047</v>
      </c>
      <c r="O203" s="1205">
        <f t="shared" si="52"/>
        <v>758.59459111571744</v>
      </c>
      <c r="P203" s="1205">
        <f t="shared" si="53"/>
        <v>143.07215315744941</v>
      </c>
      <c r="Q203" s="1205">
        <f t="shared" si="54"/>
        <v>579.01042000181042</v>
      </c>
      <c r="R203" s="1205">
        <f t="shared" si="72"/>
        <v>179.58417111390702</v>
      </c>
      <c r="S203" s="1206">
        <f>Paper!E149</f>
        <v>732.67074481100497</v>
      </c>
      <c r="T203" s="1205">
        <f t="shared" si="55"/>
        <v>153.66032480919455</v>
      </c>
      <c r="U203" s="1206">
        <f>Paper!I149</f>
        <v>0</v>
      </c>
      <c r="V203" s="1205">
        <f t="shared" si="56"/>
        <v>153.66032480919455</v>
      </c>
      <c r="Y203" s="609">
        <f t="shared" si="73"/>
        <v>2047</v>
      </c>
      <c r="Z203" s="335">
        <f t="shared" si="57"/>
        <v>3303.191895125663</v>
      </c>
      <c r="AA203" s="335">
        <f t="shared" si="74"/>
        <v>179.58417111390702</v>
      </c>
      <c r="AB203" s="335">
        <f t="shared" si="75"/>
        <v>251.86249608926403</v>
      </c>
      <c r="AC203" s="335">
        <f t="shared" si="76"/>
        <v>595.21676766664029</v>
      </c>
      <c r="AD203" s="335">
        <f t="shared" si="77"/>
        <v>579.01042000181042</v>
      </c>
      <c r="AE203" s="335">
        <f>MIN(Paper!H149,Paper!I149)</f>
        <v>0</v>
      </c>
      <c r="AF203" s="335">
        <f t="shared" si="58"/>
        <v>1697.5180402540411</v>
      </c>
      <c r="AI203" s="609">
        <f t="shared" si="59"/>
        <v>2047</v>
      </c>
      <c r="AJ203" s="335">
        <f t="shared" si="78"/>
        <v>0</v>
      </c>
      <c r="AK203" s="335">
        <f t="shared" si="60"/>
        <v>0</v>
      </c>
      <c r="AL203" s="335">
        <f t="shared" si="61"/>
        <v>0</v>
      </c>
      <c r="AM203" s="335">
        <f t="shared" si="62"/>
        <v>0</v>
      </c>
      <c r="AN203" s="335">
        <f t="shared" si="63"/>
        <v>0</v>
      </c>
      <c r="AO203" s="335">
        <f t="shared" si="79"/>
        <v>153.66032480919455</v>
      </c>
      <c r="AP203" s="335">
        <f t="shared" si="64"/>
        <v>25.92384630471247</v>
      </c>
      <c r="AS203" s="609">
        <f t="shared" si="65"/>
        <v>2047</v>
      </c>
      <c r="AT203" s="335">
        <f t="shared" si="46"/>
        <v>251.86249608926403</v>
      </c>
      <c r="AU203" s="335">
        <f t="shared" si="47"/>
        <v>595.21676766664029</v>
      </c>
      <c r="AV203" s="335">
        <f t="shared" si="48"/>
        <v>579.01042000181042</v>
      </c>
      <c r="AW203" s="335">
        <f t="shared" si="49"/>
        <v>0</v>
      </c>
      <c r="AX203" s="335">
        <f t="shared" si="50"/>
        <v>1697.5180402540411</v>
      </c>
      <c r="AY203" s="335">
        <f t="shared" si="80"/>
        <v>179.58417111390702</v>
      </c>
      <c r="AZ203" s="335">
        <f t="shared" si="81"/>
        <v>0</v>
      </c>
      <c r="BB203" s="533"/>
    </row>
    <row r="204" spans="2:54" ht="14.4" x14ac:dyDescent="0.55000000000000004">
      <c r="B204" s="3">
        <v>2048</v>
      </c>
      <c r="C204" s="334">
        <f t="shared" si="45"/>
        <v>271.86816860327144</v>
      </c>
      <c r="D204" s="532">
        <f>'Food System Summary'!H46-'Food System Summary'!I46</f>
        <v>118.78140015388522</v>
      </c>
      <c r="E204" s="338">
        <f t="shared" si="66"/>
        <v>0.4369080821933925</v>
      </c>
      <c r="F204" s="338">
        <f t="shared" si="67"/>
        <v>7.4383051575033443E-2</v>
      </c>
      <c r="G204" s="334">
        <f t="shared" si="51"/>
        <v>413.80084287467571</v>
      </c>
      <c r="H204" s="338">
        <f t="shared" si="68"/>
        <v>1.5220643336091402</v>
      </c>
      <c r="I204" s="334">
        <f t="shared" si="69"/>
        <v>-260.71407442528948</v>
      </c>
      <c r="J204" s="338">
        <f t="shared" si="70"/>
        <v>-0.95897241580253267</v>
      </c>
      <c r="K204" s="338">
        <f t="shared" si="71"/>
        <v>-0.16326384786834913</v>
      </c>
      <c r="N204" s="3">
        <v>2048</v>
      </c>
      <c r="O204" s="1205">
        <f t="shared" si="52"/>
        <v>772.94968454845889</v>
      </c>
      <c r="P204" s="1205">
        <f t="shared" si="53"/>
        <v>156.11128971633346</v>
      </c>
      <c r="Q204" s="1205">
        <f t="shared" si="54"/>
        <v>595.05106867855864</v>
      </c>
      <c r="R204" s="1205">
        <f t="shared" si="72"/>
        <v>177.89861586990025</v>
      </c>
      <c r="S204" s="1206">
        <f>Paper!E150</f>
        <v>743.57402231909225</v>
      </c>
      <c r="T204" s="1205">
        <f t="shared" si="55"/>
        <v>148.52295364053361</v>
      </c>
      <c r="U204" s="1206">
        <f>Paper!I150</f>
        <v>0</v>
      </c>
      <c r="V204" s="1205">
        <f t="shared" si="56"/>
        <v>148.52295364053361</v>
      </c>
      <c r="Y204" s="609">
        <f t="shared" si="73"/>
        <v>2048</v>
      </c>
      <c r="Z204" s="335">
        <f t="shared" si="57"/>
        <v>3339.8027616596228</v>
      </c>
      <c r="AA204" s="335">
        <f t="shared" si="74"/>
        <v>177.89861586990025</v>
      </c>
      <c r="AB204" s="335">
        <f t="shared" si="75"/>
        <v>271.86816860327144</v>
      </c>
      <c r="AC204" s="335">
        <f t="shared" si="76"/>
        <v>552.0701157972876</v>
      </c>
      <c r="AD204" s="335">
        <f t="shared" si="77"/>
        <v>595.05106867855864</v>
      </c>
      <c r="AE204" s="335">
        <f>MIN(Paper!H150,Paper!I150)</f>
        <v>0</v>
      </c>
      <c r="AF204" s="335">
        <f t="shared" si="58"/>
        <v>1742.9147927106048</v>
      </c>
      <c r="AI204" s="609">
        <f t="shared" si="59"/>
        <v>2048</v>
      </c>
      <c r="AJ204" s="335">
        <f t="shared" si="78"/>
        <v>0</v>
      </c>
      <c r="AK204" s="335">
        <f t="shared" si="60"/>
        <v>0</v>
      </c>
      <c r="AL204" s="335">
        <f t="shared" si="61"/>
        <v>0</v>
      </c>
      <c r="AM204" s="335">
        <f t="shared" si="62"/>
        <v>0</v>
      </c>
      <c r="AN204" s="335">
        <f t="shared" si="63"/>
        <v>0</v>
      </c>
      <c r="AO204" s="335">
        <f t="shared" si="79"/>
        <v>148.52295364053361</v>
      </c>
      <c r="AP204" s="335">
        <f t="shared" si="64"/>
        <v>29.37566222936664</v>
      </c>
      <c r="AS204" s="609">
        <f t="shared" si="65"/>
        <v>2048</v>
      </c>
      <c r="AT204" s="335">
        <f t="shared" si="46"/>
        <v>271.86816860327144</v>
      </c>
      <c r="AU204" s="335">
        <f t="shared" si="47"/>
        <v>552.0701157972876</v>
      </c>
      <c r="AV204" s="335">
        <f t="shared" si="48"/>
        <v>595.05106867855864</v>
      </c>
      <c r="AW204" s="335">
        <f t="shared" si="49"/>
        <v>0</v>
      </c>
      <c r="AX204" s="335">
        <f t="shared" si="50"/>
        <v>1742.9147927106048</v>
      </c>
      <c r="AY204" s="335">
        <f t="shared" si="80"/>
        <v>177.89861586990025</v>
      </c>
      <c r="AZ204" s="335">
        <f t="shared" si="81"/>
        <v>0</v>
      </c>
      <c r="BB204" s="533"/>
    </row>
    <row r="205" spans="2:54" ht="14.4" x14ac:dyDescent="0.55000000000000004">
      <c r="B205" s="3">
        <v>2049</v>
      </c>
      <c r="C205" s="334">
        <f t="shared" si="45"/>
        <v>296.93272539878001</v>
      </c>
      <c r="D205" s="532">
        <f>'Food System Summary'!H47-'Food System Summary'!I47</f>
        <v>85.372282238966818</v>
      </c>
      <c r="E205" s="338">
        <f t="shared" si="66"/>
        <v>0.28751388761313534</v>
      </c>
      <c r="F205" s="338">
        <f t="shared" si="67"/>
        <v>5.3732014801859122E-2</v>
      </c>
      <c r="G205" s="334">
        <f t="shared" si="51"/>
        <v>465.43009940062655</v>
      </c>
      <c r="H205" s="338">
        <f t="shared" si="68"/>
        <v>1.5674597630677283</v>
      </c>
      <c r="I205" s="334">
        <f t="shared" si="69"/>
        <v>-253.86965624081336</v>
      </c>
      <c r="J205" s="338">
        <f t="shared" si="70"/>
        <v>-0.85497365068086373</v>
      </c>
      <c r="K205" s="338">
        <f t="shared" si="71"/>
        <v>-0.1597816969293587</v>
      </c>
      <c r="N205" s="3">
        <v>2049</v>
      </c>
      <c r="O205" s="1205">
        <f t="shared" si="52"/>
        <v>787.39725147288448</v>
      </c>
      <c r="P205" s="1205">
        <f t="shared" si="53"/>
        <v>169.67328816379415</v>
      </c>
      <c r="Q205" s="1205">
        <f t="shared" si="54"/>
        <v>611.58026503074086</v>
      </c>
      <c r="R205" s="1205">
        <f t="shared" si="72"/>
        <v>175.81698644214362</v>
      </c>
      <c r="S205" s="1206">
        <f>Paper!E151</f>
        <v>754.44304206296385</v>
      </c>
      <c r="T205" s="1205">
        <f t="shared" si="55"/>
        <v>142.86277703222299</v>
      </c>
      <c r="U205" s="1206">
        <f>Paper!I151</f>
        <v>0</v>
      </c>
      <c r="V205" s="1205">
        <f t="shared" si="56"/>
        <v>142.86277703222299</v>
      </c>
      <c r="Y205" s="609">
        <f t="shared" si="73"/>
        <v>2049</v>
      </c>
      <c r="Z205" s="335">
        <f t="shared" si="57"/>
        <v>3376.0991857820768</v>
      </c>
      <c r="AA205" s="335">
        <f t="shared" si="74"/>
        <v>175.81698644214362</v>
      </c>
      <c r="AB205" s="335">
        <f t="shared" si="75"/>
        <v>296.93272539878001</v>
      </c>
      <c r="AC205" s="335">
        <f t="shared" si="76"/>
        <v>504.52319667456447</v>
      </c>
      <c r="AD205" s="335">
        <f t="shared" si="77"/>
        <v>611.58026503074086</v>
      </c>
      <c r="AE205" s="335">
        <f>MIN(Paper!H151,Paper!I151)</f>
        <v>0</v>
      </c>
      <c r="AF205" s="335">
        <f t="shared" si="58"/>
        <v>1787.2460122358477</v>
      </c>
      <c r="AI205" s="609">
        <f t="shared" si="59"/>
        <v>2049</v>
      </c>
      <c r="AJ205" s="335">
        <f t="shared" si="78"/>
        <v>0</v>
      </c>
      <c r="AK205" s="335">
        <f t="shared" si="60"/>
        <v>0</v>
      </c>
      <c r="AL205" s="335">
        <f t="shared" si="61"/>
        <v>0</v>
      </c>
      <c r="AM205" s="335">
        <f t="shared" si="62"/>
        <v>0</v>
      </c>
      <c r="AN205" s="335">
        <f t="shared" si="63"/>
        <v>0</v>
      </c>
      <c r="AO205" s="335">
        <f t="shared" si="79"/>
        <v>142.86277703222299</v>
      </c>
      <c r="AP205" s="335">
        <f t="shared" si="64"/>
        <v>32.954209409920622</v>
      </c>
      <c r="AS205" s="609">
        <f t="shared" si="65"/>
        <v>2049</v>
      </c>
      <c r="AT205" s="335">
        <f t="shared" si="46"/>
        <v>296.93272539878001</v>
      </c>
      <c r="AU205" s="335">
        <f t="shared" si="47"/>
        <v>504.52319667456447</v>
      </c>
      <c r="AV205" s="335">
        <f t="shared" si="48"/>
        <v>611.58026503074086</v>
      </c>
      <c r="AW205" s="335">
        <f t="shared" si="49"/>
        <v>0</v>
      </c>
      <c r="AX205" s="335">
        <f t="shared" si="50"/>
        <v>1787.2460122358477</v>
      </c>
      <c r="AY205" s="335">
        <f t="shared" si="80"/>
        <v>175.81698644214362</v>
      </c>
      <c r="AZ205" s="335">
        <f t="shared" si="81"/>
        <v>0</v>
      </c>
      <c r="BB205" s="533"/>
    </row>
    <row r="206" spans="2:54" ht="14.4" x14ac:dyDescent="0.55000000000000004">
      <c r="B206" s="3">
        <v>2050</v>
      </c>
      <c r="C206" s="334">
        <f t="shared" si="45"/>
        <v>326.95413735407749</v>
      </c>
      <c r="D206" s="532">
        <f>'Food System Summary'!H48-'Food System Summary'!I48</f>
        <v>52.825634782905581</v>
      </c>
      <c r="E206" s="338">
        <f t="shared" si="66"/>
        <v>0.16156894422687074</v>
      </c>
      <c r="F206" s="338">
        <f t="shared" si="67"/>
        <v>3.3414438725296092E-2</v>
      </c>
      <c r="G206" s="334">
        <f t="shared" si="51"/>
        <v>521.42565431417518</v>
      </c>
      <c r="H206" s="338">
        <f t="shared" si="68"/>
        <v>1.5947975411288136</v>
      </c>
      <c r="I206" s="334">
        <f t="shared" si="69"/>
        <v>-247.29715174300327</v>
      </c>
      <c r="J206" s="338">
        <f t="shared" si="70"/>
        <v>-0.7563664853556844</v>
      </c>
      <c r="K206" s="338">
        <f t="shared" si="71"/>
        <v>-0.15642586327293584</v>
      </c>
      <c r="N206" s="3">
        <v>2050</v>
      </c>
      <c r="O206" s="1205">
        <f t="shared" si="52"/>
        <v>801.77660768089561</v>
      </c>
      <c r="P206" s="1205">
        <f t="shared" si="53"/>
        <v>183.73949904023118</v>
      </c>
      <c r="Q206" s="1205">
        <f t="shared" si="54"/>
        <v>628.59800905835698</v>
      </c>
      <c r="R206" s="1205">
        <f t="shared" si="72"/>
        <v>173.17859862253863</v>
      </c>
      <c r="S206" s="1206">
        <f>Paper!E152</f>
        <v>765.27987240923528</v>
      </c>
      <c r="T206" s="1205">
        <f t="shared" si="55"/>
        <v>136.6818633508783</v>
      </c>
      <c r="U206" s="1206">
        <f>Paper!I152</f>
        <v>0</v>
      </c>
      <c r="V206" s="1205">
        <f t="shared" si="56"/>
        <v>136.6818633508783</v>
      </c>
      <c r="Y206" s="609">
        <f t="shared" si="73"/>
        <v>2050</v>
      </c>
      <c r="Z206" s="335">
        <f t="shared" si="57"/>
        <v>3411.4131493703135</v>
      </c>
      <c r="AA206" s="335">
        <f t="shared" si="74"/>
        <v>173.17859862253863</v>
      </c>
      <c r="AB206" s="335">
        <f t="shared" si="75"/>
        <v>326.95413735407749</v>
      </c>
      <c r="AC206" s="335">
        <f t="shared" si="76"/>
        <v>452.19165851611262</v>
      </c>
      <c r="AD206" s="335">
        <f t="shared" si="77"/>
        <v>628.59800905835698</v>
      </c>
      <c r="AE206" s="335">
        <f>MIN(Paper!H152,Paper!I152)</f>
        <v>0</v>
      </c>
      <c r="AF206" s="335">
        <f t="shared" si="58"/>
        <v>1830.4907458192276</v>
      </c>
      <c r="AI206" s="609">
        <f t="shared" si="59"/>
        <v>2050</v>
      </c>
      <c r="AJ206" s="335">
        <f t="shared" si="78"/>
        <v>0</v>
      </c>
      <c r="AK206" s="335">
        <f t="shared" si="60"/>
        <v>0</v>
      </c>
      <c r="AL206" s="335">
        <f t="shared" si="61"/>
        <v>0</v>
      </c>
      <c r="AM206" s="335">
        <f t="shared" si="62"/>
        <v>0</v>
      </c>
      <c r="AN206" s="335">
        <f t="shared" si="63"/>
        <v>0</v>
      </c>
      <c r="AO206" s="335">
        <f t="shared" si="79"/>
        <v>136.6818633508783</v>
      </c>
      <c r="AP206" s="335">
        <f t="shared" si="64"/>
        <v>36.496735271660327</v>
      </c>
      <c r="AS206" s="609">
        <f t="shared" si="65"/>
        <v>2050</v>
      </c>
      <c r="AT206" s="335">
        <f t="shared" si="46"/>
        <v>326.95413735407749</v>
      </c>
      <c r="AU206" s="335">
        <f t="shared" si="47"/>
        <v>452.19165851611262</v>
      </c>
      <c r="AV206" s="335">
        <f t="shared" si="48"/>
        <v>628.59800905835698</v>
      </c>
      <c r="AW206" s="335">
        <f t="shared" si="49"/>
        <v>0</v>
      </c>
      <c r="AX206" s="335">
        <f t="shared" si="50"/>
        <v>1830.4907458192276</v>
      </c>
      <c r="AY206" s="335">
        <f t="shared" si="80"/>
        <v>173.17859862253863</v>
      </c>
      <c r="AZ206" s="335">
        <f t="shared" si="81"/>
        <v>0</v>
      </c>
      <c r="BB206" s="533"/>
    </row>
    <row r="207" spans="2:54" ht="14.4" x14ac:dyDescent="0.55000000000000004">
      <c r="B207" s="3">
        <v>2051</v>
      </c>
      <c r="C207" s="334">
        <f t="shared" si="45"/>
        <v>392.84757267794237</v>
      </c>
      <c r="D207" s="532">
        <f>'Food System Summary'!H49-'Food System Summary'!I49</f>
        <v>52.955790971251872</v>
      </c>
      <c r="E207" s="338">
        <f t="shared" si="66"/>
        <v>0.13479984262156863</v>
      </c>
      <c r="F207" s="338">
        <f t="shared" si="67"/>
        <v>3.2954851343410224E-2</v>
      </c>
      <c r="G207" s="334">
        <f t="shared" si="51"/>
        <v>579.9215251656243</v>
      </c>
      <c r="H207" s="338">
        <f t="shared" si="68"/>
        <v>1.4761998431413135</v>
      </c>
      <c r="I207" s="334">
        <f t="shared" si="69"/>
        <v>-240.02974345893381</v>
      </c>
      <c r="J207" s="338">
        <f t="shared" si="70"/>
        <v>-0.61099968576288222</v>
      </c>
      <c r="K207" s="338">
        <f t="shared" si="71"/>
        <v>-0.14937260625528639</v>
      </c>
      <c r="N207" s="3">
        <v>2051</v>
      </c>
      <c r="O207" s="1205">
        <f t="shared" si="52"/>
        <v>816.5558508814712</v>
      </c>
      <c r="P207" s="1205">
        <f t="shared" si="53"/>
        <v>200.35274712722813</v>
      </c>
      <c r="Q207" s="1205">
        <f t="shared" si="54"/>
        <v>646.1043007614071</v>
      </c>
      <c r="R207" s="1205">
        <f t="shared" si="72"/>
        <v>170.4515501200641</v>
      </c>
      <c r="S207" s="1206">
        <f>Paper!E153</f>
        <v>770.98974869333063</v>
      </c>
      <c r="T207" s="1205">
        <f t="shared" si="55"/>
        <v>124.88544793192352</v>
      </c>
      <c r="U207" s="1206">
        <f>Paper!I153</f>
        <v>0</v>
      </c>
      <c r="V207" s="1205">
        <f t="shared" si="56"/>
        <v>124.88544793192352</v>
      </c>
      <c r="Y207" s="609">
        <f t="shared" si="73"/>
        <v>2051</v>
      </c>
      <c r="Z207" s="335">
        <f t="shared" si="57"/>
        <v>3447.7514379580948</v>
      </c>
      <c r="AA207" s="335">
        <f t="shared" si="74"/>
        <v>170.4515501200641</v>
      </c>
      <c r="AB207" s="335">
        <f t="shared" si="75"/>
        <v>392.84757267794237</v>
      </c>
      <c r="AC207" s="335">
        <f t="shared" si="76"/>
        <v>397.51600749549596</v>
      </c>
      <c r="AD207" s="335">
        <f t="shared" si="77"/>
        <v>646.1043007614071</v>
      </c>
      <c r="AE207" s="335">
        <f>MIN(Paper!H153,Paper!I153)</f>
        <v>0</v>
      </c>
      <c r="AF207" s="335">
        <f t="shared" si="58"/>
        <v>1840.8320069031854</v>
      </c>
      <c r="AI207" s="609">
        <f t="shared" si="59"/>
        <v>2051</v>
      </c>
      <c r="AJ207" s="335">
        <f t="shared" si="78"/>
        <v>0</v>
      </c>
      <c r="AK207" s="335">
        <f t="shared" si="60"/>
        <v>0</v>
      </c>
      <c r="AL207" s="335">
        <f t="shared" si="61"/>
        <v>0</v>
      </c>
      <c r="AM207" s="335">
        <f t="shared" si="62"/>
        <v>0</v>
      </c>
      <c r="AN207" s="335">
        <f t="shared" si="63"/>
        <v>0</v>
      </c>
      <c r="AO207" s="335">
        <f t="shared" si="79"/>
        <v>124.88544793192352</v>
      </c>
      <c r="AP207" s="335">
        <f t="shared" si="64"/>
        <v>45.566102188140576</v>
      </c>
      <c r="AS207" s="609">
        <f t="shared" si="65"/>
        <v>2051</v>
      </c>
      <c r="AT207" s="335">
        <f t="shared" si="46"/>
        <v>392.84757267794237</v>
      </c>
      <c r="AU207" s="335">
        <f t="shared" si="47"/>
        <v>397.51600749549596</v>
      </c>
      <c r="AV207" s="335">
        <f t="shared" si="48"/>
        <v>646.1043007614071</v>
      </c>
      <c r="AW207" s="335">
        <f t="shared" si="49"/>
        <v>0</v>
      </c>
      <c r="AX207" s="335">
        <f t="shared" si="50"/>
        <v>1840.8320069031854</v>
      </c>
      <c r="AY207" s="335">
        <f t="shared" si="80"/>
        <v>170.4515501200641</v>
      </c>
      <c r="AZ207" s="335">
        <f t="shared" si="81"/>
        <v>0</v>
      </c>
      <c r="BB207" s="533"/>
    </row>
    <row r="208" spans="2:54" ht="14.4" x14ac:dyDescent="0.55000000000000004">
      <c r="B208" s="3">
        <v>2052</v>
      </c>
      <c r="C208" s="334">
        <f t="shared" si="45"/>
        <v>406.9974833644302</v>
      </c>
      <c r="D208" s="532">
        <f>'Food System Summary'!H50-'Food System Summary'!I50</f>
        <v>53.077377838434586</v>
      </c>
      <c r="E208" s="338">
        <f t="shared" si="66"/>
        <v>0.13041205414754001</v>
      </c>
      <c r="F208" s="338">
        <f t="shared" si="67"/>
        <v>3.2519758906897615E-2</v>
      </c>
      <c r="G208" s="334">
        <f t="shared" si="51"/>
        <v>586.94508969017318</v>
      </c>
      <c r="H208" s="338">
        <f t="shared" si="68"/>
        <v>1.4421344447592463</v>
      </c>
      <c r="I208" s="334">
        <f t="shared" si="69"/>
        <v>-233.02498416417757</v>
      </c>
      <c r="J208" s="338">
        <f t="shared" si="70"/>
        <v>-0.57254649890678644</v>
      </c>
      <c r="K208" s="338">
        <f t="shared" si="71"/>
        <v>-0.14277111290933708</v>
      </c>
      <c r="N208" s="3">
        <v>2052</v>
      </c>
      <c r="O208" s="1205">
        <f t="shared" si="52"/>
        <v>831.26104015165879</v>
      </c>
      <c r="P208" s="1205">
        <f t="shared" si="53"/>
        <v>197.05491030982685</v>
      </c>
      <c r="Q208" s="1205">
        <f t="shared" si="54"/>
        <v>664.09914013989123</v>
      </c>
      <c r="R208" s="1205">
        <f t="shared" si="72"/>
        <v>167.16190001176756</v>
      </c>
      <c r="S208" s="1206">
        <f>Paper!E154</f>
        <v>779.89526650228277</v>
      </c>
      <c r="T208" s="1205">
        <f t="shared" si="55"/>
        <v>115.79612636239153</v>
      </c>
      <c r="U208" s="1206">
        <f>Paper!I154</f>
        <v>0</v>
      </c>
      <c r="V208" s="1205">
        <f t="shared" si="56"/>
        <v>115.79612636239153</v>
      </c>
      <c r="Y208" s="609">
        <f t="shared" si="73"/>
        <v>2052</v>
      </c>
      <c r="Z208" s="335">
        <f t="shared" si="57"/>
        <v>3483.1120613277576</v>
      </c>
      <c r="AA208" s="335">
        <f t="shared" si="74"/>
        <v>167.16190001176756</v>
      </c>
      <c r="AB208" s="335">
        <f t="shared" si="75"/>
        <v>406.9974833644302</v>
      </c>
      <c r="AC208" s="335">
        <f t="shared" si="76"/>
        <v>393.89926677972358</v>
      </c>
      <c r="AD208" s="335">
        <f t="shared" si="77"/>
        <v>664.09914013989123</v>
      </c>
      <c r="AE208" s="335">
        <f>MIN(Paper!H154,Paper!I154)</f>
        <v>0</v>
      </c>
      <c r="AF208" s="335">
        <f t="shared" si="58"/>
        <v>1850.9542710319449</v>
      </c>
      <c r="AI208" s="609">
        <f t="shared" si="59"/>
        <v>2052</v>
      </c>
      <c r="AJ208" s="335">
        <f t="shared" si="78"/>
        <v>0</v>
      </c>
      <c r="AK208" s="335">
        <f t="shared" si="60"/>
        <v>0</v>
      </c>
      <c r="AL208" s="335">
        <f t="shared" si="61"/>
        <v>0</v>
      </c>
      <c r="AM208" s="335">
        <f t="shared" si="62"/>
        <v>0</v>
      </c>
      <c r="AN208" s="335">
        <f t="shared" si="63"/>
        <v>0</v>
      </c>
      <c r="AO208" s="335">
        <f t="shared" si="79"/>
        <v>115.79612636239153</v>
      </c>
      <c r="AP208" s="335">
        <f t="shared" si="64"/>
        <v>51.365773649376024</v>
      </c>
      <c r="AS208" s="609">
        <f t="shared" si="65"/>
        <v>2052</v>
      </c>
      <c r="AT208" s="335">
        <f t="shared" si="46"/>
        <v>406.9974833644302</v>
      </c>
      <c r="AU208" s="335">
        <f t="shared" si="47"/>
        <v>393.89926677972358</v>
      </c>
      <c r="AV208" s="335">
        <f t="shared" si="48"/>
        <v>664.09914013989123</v>
      </c>
      <c r="AW208" s="335">
        <f t="shared" si="49"/>
        <v>0</v>
      </c>
      <c r="AX208" s="335">
        <f t="shared" si="50"/>
        <v>1850.9542710319449</v>
      </c>
      <c r="AY208" s="335">
        <f t="shared" si="80"/>
        <v>167.16190001176756</v>
      </c>
      <c r="AZ208" s="335">
        <f t="shared" si="81"/>
        <v>0</v>
      </c>
      <c r="BB208" s="533"/>
    </row>
    <row r="209" spans="2:54" ht="14.4" x14ac:dyDescent="0.55000000000000004">
      <c r="B209" s="3">
        <v>2053</v>
      </c>
      <c r="C209" s="334">
        <f t="shared" si="45"/>
        <v>418.22938005354467</v>
      </c>
      <c r="D209" s="532">
        <f>'Food System Summary'!H51-'Food System Summary'!I51</f>
        <v>53.190401257752455</v>
      </c>
      <c r="E209" s="338">
        <f t="shared" si="66"/>
        <v>0.12717997298741338</v>
      </c>
      <c r="F209" s="338">
        <f t="shared" si="67"/>
        <v>3.2094452186360686E-2</v>
      </c>
      <c r="G209" s="334">
        <f t="shared" si="51"/>
        <v>590.99777149912984</v>
      </c>
      <c r="H209" s="338">
        <f t="shared" si="68"/>
        <v>1.4130948223280395</v>
      </c>
      <c r="I209" s="334">
        <f t="shared" si="69"/>
        <v>-225.95879270333762</v>
      </c>
      <c r="J209" s="338">
        <f t="shared" si="70"/>
        <v>-0.54027479531545297</v>
      </c>
      <c r="K209" s="338">
        <f t="shared" si="71"/>
        <v>-0.1363408340042947</v>
      </c>
      <c r="N209" s="3">
        <v>2053</v>
      </c>
      <c r="O209" s="1205">
        <f t="shared" si="52"/>
        <v>846.0461487596823</v>
      </c>
      <c r="P209" s="1205">
        <f t="shared" si="53"/>
        <v>193.00222850087022</v>
      </c>
      <c r="Q209" s="1205">
        <f t="shared" si="54"/>
        <v>682.58252719380914</v>
      </c>
      <c r="R209" s="1205">
        <f t="shared" si="72"/>
        <v>163.46362156587315</v>
      </c>
      <c r="S209" s="1206">
        <f>Paper!E155</f>
        <v>788.65304314376851</v>
      </c>
      <c r="T209" s="1205">
        <f t="shared" si="55"/>
        <v>106.07051594995937</v>
      </c>
      <c r="U209" s="1206">
        <f>Paper!I155</f>
        <v>0</v>
      </c>
      <c r="V209" s="1205">
        <f t="shared" si="56"/>
        <v>106.07051594995937</v>
      </c>
      <c r="Y209" s="609">
        <f t="shared" si="73"/>
        <v>2053</v>
      </c>
      <c r="Z209" s="335">
        <f t="shared" si="57"/>
        <v>3518.1641751714656</v>
      </c>
      <c r="AA209" s="335">
        <f t="shared" si="74"/>
        <v>163.46362156587315</v>
      </c>
      <c r="AB209" s="335">
        <f t="shared" si="75"/>
        <v>418.22938005354467</v>
      </c>
      <c r="AC209" s="335">
        <f t="shared" si="76"/>
        <v>393.03274829632926</v>
      </c>
      <c r="AD209" s="335">
        <f t="shared" si="77"/>
        <v>682.58252719380914</v>
      </c>
      <c r="AE209" s="335">
        <f>MIN(Paper!H155,Paper!I155)</f>
        <v>0</v>
      </c>
      <c r="AF209" s="335">
        <f t="shared" si="58"/>
        <v>1860.8558980619093</v>
      </c>
      <c r="AI209" s="609">
        <f t="shared" si="59"/>
        <v>2053</v>
      </c>
      <c r="AJ209" s="335">
        <f t="shared" si="78"/>
        <v>0</v>
      </c>
      <c r="AK209" s="335">
        <f t="shared" si="60"/>
        <v>0</v>
      </c>
      <c r="AL209" s="335">
        <f t="shared" si="61"/>
        <v>0</v>
      </c>
      <c r="AM209" s="335">
        <f t="shared" si="62"/>
        <v>0</v>
      </c>
      <c r="AN209" s="335">
        <f t="shared" si="63"/>
        <v>0</v>
      </c>
      <c r="AO209" s="335">
        <f t="shared" si="79"/>
        <v>106.07051594995937</v>
      </c>
      <c r="AP209" s="335">
        <f t="shared" si="64"/>
        <v>57.393105615913782</v>
      </c>
      <c r="AS209" s="609">
        <f t="shared" si="65"/>
        <v>2053</v>
      </c>
      <c r="AT209" s="335">
        <f t="shared" si="46"/>
        <v>418.22938005354467</v>
      </c>
      <c r="AU209" s="335">
        <f t="shared" si="47"/>
        <v>393.03274829632926</v>
      </c>
      <c r="AV209" s="335">
        <f t="shared" si="48"/>
        <v>682.58252719380914</v>
      </c>
      <c r="AW209" s="335">
        <f t="shared" si="49"/>
        <v>0</v>
      </c>
      <c r="AX209" s="335">
        <f t="shared" si="50"/>
        <v>1860.8558980619093</v>
      </c>
      <c r="AY209" s="335">
        <f t="shared" si="80"/>
        <v>163.46362156587315</v>
      </c>
      <c r="AZ209" s="335">
        <f t="shared" si="81"/>
        <v>0</v>
      </c>
      <c r="BB209" s="533"/>
    </row>
    <row r="210" spans="2:54" ht="14.4" x14ac:dyDescent="0.55000000000000004">
      <c r="B210" s="3">
        <v>2054</v>
      </c>
      <c r="C210" s="334">
        <f t="shared" si="45"/>
        <v>429.31485068301879</v>
      </c>
      <c r="D210" s="532">
        <f>'Food System Summary'!H52-'Food System Summary'!I52</f>
        <v>53.294890979930642</v>
      </c>
      <c r="E210" s="338">
        <f t="shared" si="66"/>
        <v>0.12413940699964396</v>
      </c>
      <c r="F210" s="338">
        <f t="shared" si="67"/>
        <v>3.1678414092629566E-2</v>
      </c>
      <c r="G210" s="334">
        <f t="shared" si="51"/>
        <v>594.84863497280719</v>
      </c>
      <c r="H210" s="338">
        <f t="shared" si="68"/>
        <v>1.3855766555161841</v>
      </c>
      <c r="I210" s="334">
        <f t="shared" si="69"/>
        <v>-218.82867526971904</v>
      </c>
      <c r="J210" s="338">
        <f t="shared" si="70"/>
        <v>-0.50971606251582813</v>
      </c>
      <c r="K210" s="338">
        <f t="shared" si="71"/>
        <v>-0.13007148083192774</v>
      </c>
      <c r="N210" s="3">
        <v>2054</v>
      </c>
      <c r="O210" s="1205">
        <f t="shared" si="52"/>
        <v>860.90820063655599</v>
      </c>
      <c r="P210" s="1205">
        <f t="shared" si="53"/>
        <v>189.15136502719278</v>
      </c>
      <c r="Q210" s="1205">
        <f t="shared" si="54"/>
        <v>701.55446192316106</v>
      </c>
      <c r="R210" s="1205">
        <f t="shared" si="72"/>
        <v>159.35373871339493</v>
      </c>
      <c r="S210" s="1206">
        <f>Paper!E156</f>
        <v>797.29985723244988</v>
      </c>
      <c r="T210" s="1205">
        <f t="shared" si="55"/>
        <v>95.745395309288824</v>
      </c>
      <c r="U210" s="1206">
        <f>Paper!I156</f>
        <v>0</v>
      </c>
      <c r="V210" s="1205">
        <f t="shared" si="56"/>
        <v>95.745395309288824</v>
      </c>
      <c r="Y210" s="609">
        <f t="shared" si="73"/>
        <v>2054</v>
      </c>
      <c r="Z210" s="335">
        <f t="shared" si="57"/>
        <v>3552.9086715023973</v>
      </c>
      <c r="AA210" s="335">
        <f t="shared" si="74"/>
        <v>159.35373871339493</v>
      </c>
      <c r="AB210" s="335">
        <f t="shared" si="75"/>
        <v>429.31485068301879</v>
      </c>
      <c r="AC210" s="335">
        <f t="shared" si="76"/>
        <v>392.14939397055889</v>
      </c>
      <c r="AD210" s="335">
        <f t="shared" si="77"/>
        <v>701.55446192316106</v>
      </c>
      <c r="AE210" s="335">
        <f>MIN(Paper!H156,Paper!I156)</f>
        <v>0</v>
      </c>
      <c r="AF210" s="335">
        <f t="shared" si="58"/>
        <v>1870.5362262122635</v>
      </c>
      <c r="AI210" s="609">
        <f t="shared" si="59"/>
        <v>2054</v>
      </c>
      <c r="AJ210" s="335">
        <f t="shared" si="78"/>
        <v>0</v>
      </c>
      <c r="AK210" s="335">
        <f t="shared" si="60"/>
        <v>0</v>
      </c>
      <c r="AL210" s="335">
        <f t="shared" si="61"/>
        <v>0</v>
      </c>
      <c r="AM210" s="335">
        <f t="shared" si="62"/>
        <v>0</v>
      </c>
      <c r="AN210" s="335">
        <f t="shared" si="63"/>
        <v>0</v>
      </c>
      <c r="AO210" s="335">
        <f t="shared" si="79"/>
        <v>95.745395309288824</v>
      </c>
      <c r="AP210" s="335">
        <f t="shared" si="64"/>
        <v>63.608343404106108</v>
      </c>
      <c r="AS210" s="609">
        <f t="shared" si="65"/>
        <v>2054</v>
      </c>
      <c r="AT210" s="335">
        <f t="shared" si="46"/>
        <v>429.31485068301879</v>
      </c>
      <c r="AU210" s="335">
        <f t="shared" si="47"/>
        <v>392.14939397055889</v>
      </c>
      <c r="AV210" s="335">
        <f t="shared" si="48"/>
        <v>701.55446192316106</v>
      </c>
      <c r="AW210" s="335">
        <f t="shared" si="49"/>
        <v>0</v>
      </c>
      <c r="AX210" s="335">
        <f t="shared" si="50"/>
        <v>1870.5362262122635</v>
      </c>
      <c r="AY210" s="335">
        <f t="shared" si="80"/>
        <v>159.35373871339493</v>
      </c>
      <c r="AZ210" s="335">
        <f t="shared" si="81"/>
        <v>0</v>
      </c>
      <c r="BB210" s="533"/>
    </row>
    <row r="211" spans="2:54" ht="14.4" x14ac:dyDescent="0.55000000000000004">
      <c r="B211" s="3">
        <v>2055</v>
      </c>
      <c r="C211" s="334">
        <f t="shared" si="45"/>
        <v>440.25514613626456</v>
      </c>
      <c r="D211" s="532">
        <f>'Food System Summary'!H53-'Food System Summary'!I53</f>
        <v>53.390927774906231</v>
      </c>
      <c r="E211" s="338">
        <f t="shared" si="66"/>
        <v>0.12127269435342627</v>
      </c>
      <c r="F211" s="338">
        <f t="shared" si="67"/>
        <v>3.127120318446603E-2</v>
      </c>
      <c r="G211" s="334">
        <f t="shared" si="51"/>
        <v>598.49768011120545</v>
      </c>
      <c r="H211" s="338">
        <f t="shared" si="68"/>
        <v>1.3594336951281492</v>
      </c>
      <c r="I211" s="334">
        <f t="shared" si="69"/>
        <v>-211.63346174984713</v>
      </c>
      <c r="J211" s="338">
        <f t="shared" si="70"/>
        <v>-0.48070638948157551</v>
      </c>
      <c r="K211" s="338">
        <f t="shared" si="71"/>
        <v>-0.1239542607484313</v>
      </c>
      <c r="N211" s="3">
        <v>2055</v>
      </c>
      <c r="O211" s="1205">
        <f t="shared" si="52"/>
        <v>875.84459399766547</v>
      </c>
      <c r="P211" s="1205">
        <f t="shared" si="53"/>
        <v>185.50231988879449</v>
      </c>
      <c r="Q211" s="1205">
        <f t="shared" si="54"/>
        <v>721.01494432794698</v>
      </c>
      <c r="R211" s="1205">
        <f t="shared" si="72"/>
        <v>154.82964966971849</v>
      </c>
      <c r="S211" s="1206">
        <f>Paper!E157</f>
        <v>805.8701617764026</v>
      </c>
      <c r="T211" s="1205">
        <f t="shared" si="55"/>
        <v>84.855217448455619</v>
      </c>
      <c r="U211" s="1206">
        <f>Paper!I157</f>
        <v>0</v>
      </c>
      <c r="V211" s="1205">
        <f t="shared" si="56"/>
        <v>84.855217448455619</v>
      </c>
      <c r="Y211" s="609">
        <f t="shared" si="73"/>
        <v>2055</v>
      </c>
      <c r="Z211" s="335">
        <f t="shared" si="57"/>
        <v>3587.3475451386416</v>
      </c>
      <c r="AA211" s="335">
        <f t="shared" si="74"/>
        <v>154.82964966971849</v>
      </c>
      <c r="AB211" s="335">
        <f t="shared" si="75"/>
        <v>440.25514613626456</v>
      </c>
      <c r="AC211" s="335">
        <f t="shared" si="76"/>
        <v>391.25150759254598</v>
      </c>
      <c r="AD211" s="335">
        <f t="shared" si="77"/>
        <v>721.01494432794698</v>
      </c>
      <c r="AE211" s="335">
        <f>MIN(Paper!H157,Paper!I157)</f>
        <v>0</v>
      </c>
      <c r="AF211" s="335">
        <f t="shared" si="58"/>
        <v>1879.9962974121656</v>
      </c>
      <c r="AI211" s="609">
        <f t="shared" si="59"/>
        <v>2055</v>
      </c>
      <c r="AJ211" s="335">
        <f t="shared" si="78"/>
        <v>0</v>
      </c>
      <c r="AK211" s="335">
        <f t="shared" si="60"/>
        <v>0</v>
      </c>
      <c r="AL211" s="335">
        <f t="shared" si="61"/>
        <v>0</v>
      </c>
      <c r="AM211" s="335">
        <f t="shared" si="62"/>
        <v>0</v>
      </c>
      <c r="AN211" s="335">
        <f t="shared" si="63"/>
        <v>0</v>
      </c>
      <c r="AO211" s="335">
        <f t="shared" si="79"/>
        <v>84.855217448455619</v>
      </c>
      <c r="AP211" s="335">
        <f t="shared" si="64"/>
        <v>69.974432221262873</v>
      </c>
      <c r="AS211" s="609">
        <f t="shared" si="65"/>
        <v>2055</v>
      </c>
      <c r="AT211" s="335">
        <f t="shared" si="46"/>
        <v>440.25514613626456</v>
      </c>
      <c r="AU211" s="335">
        <f t="shared" si="47"/>
        <v>391.25150759254598</v>
      </c>
      <c r="AV211" s="335">
        <f t="shared" si="48"/>
        <v>721.01494432794698</v>
      </c>
      <c r="AW211" s="335">
        <f t="shared" si="49"/>
        <v>0</v>
      </c>
      <c r="AX211" s="335">
        <f t="shared" si="50"/>
        <v>1879.9962974121656</v>
      </c>
      <c r="AY211" s="335">
        <f t="shared" si="80"/>
        <v>154.82964966971849</v>
      </c>
      <c r="AZ211" s="335">
        <f t="shared" si="81"/>
        <v>0</v>
      </c>
      <c r="BB211" s="533"/>
    </row>
    <row r="212" spans="2:54" ht="14.4" x14ac:dyDescent="0.55000000000000004">
      <c r="B212" s="3">
        <v>2056</v>
      </c>
      <c r="C212" s="334">
        <f t="shared" si="45"/>
        <v>451.05226639574892</v>
      </c>
      <c r="D212" s="532">
        <f>'Food System Summary'!H54-'Food System Summary'!I54</f>
        <v>53.4785829464995</v>
      </c>
      <c r="E212" s="338">
        <f t="shared" si="66"/>
        <v>0.11856404884922561</v>
      </c>
      <c r="F212" s="338">
        <f t="shared" si="67"/>
        <v>3.0872379972466342E-2</v>
      </c>
      <c r="G212" s="334">
        <f t="shared" si="51"/>
        <v>601.94490691432463</v>
      </c>
      <c r="H212" s="338">
        <f t="shared" si="68"/>
        <v>1.3345347130706666</v>
      </c>
      <c r="I212" s="334">
        <f t="shared" si="69"/>
        <v>-204.37122346507522</v>
      </c>
      <c r="J212" s="338">
        <f t="shared" si="70"/>
        <v>-0.45309876191989218</v>
      </c>
      <c r="K212" s="338">
        <f t="shared" si="71"/>
        <v>-0.11798042727803097</v>
      </c>
      <c r="N212" s="3">
        <v>2056</v>
      </c>
      <c r="O212" s="1205">
        <f t="shared" si="52"/>
        <v>890.85300987809399</v>
      </c>
      <c r="P212" s="1205">
        <f t="shared" si="53"/>
        <v>182.05509308567542</v>
      </c>
      <c r="Q212" s="1205">
        <f t="shared" si="54"/>
        <v>740.96397440816691</v>
      </c>
      <c r="R212" s="1205">
        <f t="shared" si="72"/>
        <v>149.88903546992708</v>
      </c>
      <c r="S212" s="1206">
        <f>Paper!E158</f>
        <v>814.3953438896981</v>
      </c>
      <c r="T212" s="1205">
        <f t="shared" si="55"/>
        <v>73.431369481531192</v>
      </c>
      <c r="U212" s="1206">
        <f>Paper!I158</f>
        <v>0</v>
      </c>
      <c r="V212" s="1205">
        <f t="shared" si="56"/>
        <v>73.431369481531192</v>
      </c>
      <c r="Y212" s="609">
        <f t="shared" si="73"/>
        <v>2056</v>
      </c>
      <c r="Z212" s="335">
        <f t="shared" si="57"/>
        <v>3621.4835044729898</v>
      </c>
      <c r="AA212" s="335">
        <f t="shared" si="74"/>
        <v>149.88903546992708</v>
      </c>
      <c r="AB212" s="335">
        <f t="shared" si="75"/>
        <v>451.05226639574892</v>
      </c>
      <c r="AC212" s="335">
        <f t="shared" si="76"/>
        <v>390.3415733112746</v>
      </c>
      <c r="AD212" s="335">
        <f t="shared" si="77"/>
        <v>740.96397440816691</v>
      </c>
      <c r="AE212" s="335">
        <f>MIN(Paper!H158,Paper!I158)</f>
        <v>0</v>
      </c>
      <c r="AF212" s="335">
        <f t="shared" si="58"/>
        <v>1889.2366548878722</v>
      </c>
      <c r="AI212" s="609">
        <f t="shared" si="59"/>
        <v>2056</v>
      </c>
      <c r="AJ212" s="335">
        <f t="shared" si="78"/>
        <v>0</v>
      </c>
      <c r="AK212" s="335">
        <f t="shared" si="60"/>
        <v>0</v>
      </c>
      <c r="AL212" s="335">
        <f t="shared" si="61"/>
        <v>0</v>
      </c>
      <c r="AM212" s="335">
        <f t="shared" si="62"/>
        <v>0</v>
      </c>
      <c r="AN212" s="335">
        <f t="shared" si="63"/>
        <v>0</v>
      </c>
      <c r="AO212" s="335">
        <f t="shared" si="79"/>
        <v>73.431369481531192</v>
      </c>
      <c r="AP212" s="335">
        <f t="shared" si="64"/>
        <v>76.457665988395888</v>
      </c>
      <c r="AS212" s="609">
        <f t="shared" si="65"/>
        <v>2056</v>
      </c>
      <c r="AT212" s="335">
        <f t="shared" si="46"/>
        <v>451.05226639574892</v>
      </c>
      <c r="AU212" s="335">
        <f t="shared" si="47"/>
        <v>390.3415733112746</v>
      </c>
      <c r="AV212" s="335">
        <f t="shared" si="48"/>
        <v>740.96397440816691</v>
      </c>
      <c r="AW212" s="335">
        <f t="shared" si="49"/>
        <v>0</v>
      </c>
      <c r="AX212" s="335">
        <f t="shared" si="50"/>
        <v>1889.2366548878722</v>
      </c>
      <c r="AY212" s="335">
        <f t="shared" si="80"/>
        <v>149.88903546992708</v>
      </c>
      <c r="AZ212" s="335">
        <f t="shared" si="81"/>
        <v>0</v>
      </c>
      <c r="BB212" s="533"/>
    </row>
    <row r="213" spans="2:54" ht="14.4" x14ac:dyDescent="0.55000000000000004">
      <c r="B213" s="3">
        <v>2057</v>
      </c>
      <c r="C213" s="334">
        <f t="shared" si="45"/>
        <v>461.70512899866139</v>
      </c>
      <c r="D213" s="532">
        <f>'Food System Summary'!H55-'Food System Summary'!I55</f>
        <v>53.55803889890035</v>
      </c>
      <c r="E213" s="338">
        <f t="shared" si="66"/>
        <v>0.11600052833516525</v>
      </c>
      <c r="F213" s="338">
        <f t="shared" si="67"/>
        <v>3.0481632520196155E-2</v>
      </c>
      <c r="G213" s="334">
        <f t="shared" si="51"/>
        <v>605.1903153821645</v>
      </c>
      <c r="H213" s="338">
        <f t="shared" si="68"/>
        <v>1.3107723466158834</v>
      </c>
      <c r="I213" s="334">
        <f t="shared" si="69"/>
        <v>-197.04322528240345</v>
      </c>
      <c r="J213" s="338">
        <f t="shared" si="70"/>
        <v>-0.42677287495104854</v>
      </c>
      <c r="K213" s="338">
        <f t="shared" si="71"/>
        <v>-0.11214374736517406</v>
      </c>
      <c r="N213" s="3">
        <v>2057</v>
      </c>
      <c r="O213" s="1205">
        <f t="shared" si="52"/>
        <v>905.93170268323092</v>
      </c>
      <c r="P213" s="1205">
        <f t="shared" si="53"/>
        <v>178.8096846178355</v>
      </c>
      <c r="Q213" s="1205">
        <f t="shared" si="54"/>
        <v>761.40155216382072</v>
      </c>
      <c r="R213" s="1205">
        <f t="shared" si="72"/>
        <v>144.5301505194102</v>
      </c>
      <c r="S213" s="1206">
        <f>Paper!E159</f>
        <v>822.90366684399692</v>
      </c>
      <c r="T213" s="1205">
        <f t="shared" si="55"/>
        <v>61.502114680176192</v>
      </c>
      <c r="U213" s="1206">
        <f>Paper!I159</f>
        <v>0</v>
      </c>
      <c r="V213" s="1205">
        <f t="shared" si="56"/>
        <v>61.502114680176192</v>
      </c>
      <c r="Y213" s="609">
        <f t="shared" si="73"/>
        <v>2057</v>
      </c>
      <c r="Z213" s="335">
        <f t="shared" si="57"/>
        <v>3655.3211397416994</v>
      </c>
      <c r="AA213" s="335">
        <f t="shared" si="74"/>
        <v>144.5301505194102</v>
      </c>
      <c r="AB213" s="335">
        <f t="shared" si="75"/>
        <v>461.70512899866139</v>
      </c>
      <c r="AC213" s="335">
        <f t="shared" si="76"/>
        <v>389.42256674155192</v>
      </c>
      <c r="AD213" s="335">
        <f t="shared" si="77"/>
        <v>761.40155216382072</v>
      </c>
      <c r="AE213" s="335">
        <f>MIN(Paper!H159,Paper!I159)</f>
        <v>0</v>
      </c>
      <c r="AF213" s="335">
        <f t="shared" si="58"/>
        <v>1898.2617413182552</v>
      </c>
      <c r="AI213" s="609">
        <f t="shared" si="59"/>
        <v>2057</v>
      </c>
      <c r="AJ213" s="335">
        <f t="shared" si="78"/>
        <v>0</v>
      </c>
      <c r="AK213" s="335">
        <f t="shared" si="60"/>
        <v>0</v>
      </c>
      <c r="AL213" s="335">
        <f t="shared" si="61"/>
        <v>0</v>
      </c>
      <c r="AM213" s="335">
        <f t="shared" si="62"/>
        <v>0</v>
      </c>
      <c r="AN213" s="335">
        <f t="shared" si="63"/>
        <v>0</v>
      </c>
      <c r="AO213" s="335">
        <f t="shared" si="79"/>
        <v>61.502114680176192</v>
      </c>
      <c r="AP213" s="335">
        <f t="shared" si="64"/>
        <v>83.028035839234008</v>
      </c>
      <c r="AS213" s="609">
        <f t="shared" si="65"/>
        <v>2057</v>
      </c>
      <c r="AT213" s="335">
        <f t="shared" si="46"/>
        <v>461.70512899866139</v>
      </c>
      <c r="AU213" s="335">
        <f t="shared" si="47"/>
        <v>389.42256674155192</v>
      </c>
      <c r="AV213" s="335">
        <f t="shared" si="48"/>
        <v>761.40155216382072</v>
      </c>
      <c r="AW213" s="335">
        <f t="shared" si="49"/>
        <v>0</v>
      </c>
      <c r="AX213" s="335">
        <f t="shared" si="50"/>
        <v>1898.2617413182552</v>
      </c>
      <c r="AY213" s="335">
        <f t="shared" si="80"/>
        <v>144.5301505194102</v>
      </c>
      <c r="AZ213" s="335">
        <f t="shared" si="81"/>
        <v>0</v>
      </c>
      <c r="BB213" s="533"/>
    </row>
    <row r="214" spans="2:54" ht="14.4" x14ac:dyDescent="0.55000000000000004">
      <c r="B214" s="3">
        <v>2058</v>
      </c>
      <c r="C214" s="334">
        <f t="shared" si="45"/>
        <v>472.20740206597247</v>
      </c>
      <c r="D214" s="532">
        <f>'Food System Summary'!H56-'Food System Summary'!I56</f>
        <v>53.62964469612939</v>
      </c>
      <c r="E214" s="338">
        <f t="shared" si="66"/>
        <v>0.11357222369131086</v>
      </c>
      <c r="F214" s="338">
        <f t="shared" si="67"/>
        <v>3.0098830066694747E-2</v>
      </c>
      <c r="G214" s="334">
        <f t="shared" si="51"/>
        <v>608.23390551472517</v>
      </c>
      <c r="H214" s="338">
        <f t="shared" si="68"/>
        <v>1.2880651655472108</v>
      </c>
      <c r="I214" s="334">
        <f t="shared" si="69"/>
        <v>-189.65614814488208</v>
      </c>
      <c r="J214" s="338">
        <f t="shared" si="70"/>
        <v>-0.40163738923852166</v>
      </c>
      <c r="K214" s="338">
        <f t="shared" si="71"/>
        <v>-0.10644165566378783</v>
      </c>
      <c r="N214" s="3">
        <v>2058</v>
      </c>
      <c r="O214" s="1205">
        <f t="shared" si="52"/>
        <v>921.07959586446179</v>
      </c>
      <c r="P214" s="1205">
        <f t="shared" si="53"/>
        <v>175.76609448527486</v>
      </c>
      <c r="Q214" s="1205">
        <f t="shared" si="54"/>
        <v>782.32767759490844</v>
      </c>
      <c r="R214" s="1205">
        <f t="shared" si="72"/>
        <v>138.75191826955336</v>
      </c>
      <c r="S214" s="1206">
        <f>Paper!E160</f>
        <v>831.42001936786221</v>
      </c>
      <c r="T214" s="1205">
        <f t="shared" si="55"/>
        <v>49.092341772953773</v>
      </c>
      <c r="U214" s="1206">
        <f>Paper!I160</f>
        <v>2.9694561665902484</v>
      </c>
      <c r="V214" s="1205">
        <f t="shared" si="56"/>
        <v>46.122885606363525</v>
      </c>
      <c r="Y214" s="609">
        <f t="shared" si="73"/>
        <v>2058</v>
      </c>
      <c r="Z214" s="335">
        <f t="shared" si="57"/>
        <v>3688.8672576804943</v>
      </c>
      <c r="AA214" s="335">
        <f t="shared" si="74"/>
        <v>135.78246210296311</v>
      </c>
      <c r="AB214" s="335">
        <f t="shared" si="75"/>
        <v>472.20740206597247</v>
      </c>
      <c r="AC214" s="335">
        <f t="shared" si="76"/>
        <v>388.49802751054438</v>
      </c>
      <c r="AD214" s="335">
        <f t="shared" si="77"/>
        <v>782.32767759490844</v>
      </c>
      <c r="AE214" s="335">
        <f>MIN(Paper!H160,Paper!I160)</f>
        <v>2.9694561665902484</v>
      </c>
      <c r="AF214" s="335">
        <f t="shared" si="58"/>
        <v>1907.0822322395156</v>
      </c>
      <c r="AI214" s="609">
        <f t="shared" si="59"/>
        <v>2058</v>
      </c>
      <c r="AJ214" s="335">
        <f t="shared" si="78"/>
        <v>0</v>
      </c>
      <c r="AK214" s="335">
        <f t="shared" si="60"/>
        <v>0</v>
      </c>
      <c r="AL214" s="335">
        <f t="shared" si="61"/>
        <v>0</v>
      </c>
      <c r="AM214" s="335">
        <f t="shared" si="62"/>
        <v>0</v>
      </c>
      <c r="AN214" s="335">
        <f t="shared" si="63"/>
        <v>0</v>
      </c>
      <c r="AO214" s="335">
        <f t="shared" si="79"/>
        <v>46.122885606363525</v>
      </c>
      <c r="AP214" s="335">
        <f t="shared" si="64"/>
        <v>89.659576496599584</v>
      </c>
      <c r="AS214" s="609">
        <f>Y214</f>
        <v>2058</v>
      </c>
      <c r="AT214" s="335">
        <f t="shared" si="46"/>
        <v>472.20740206597247</v>
      </c>
      <c r="AU214" s="335">
        <f t="shared" si="47"/>
        <v>388.49802751054438</v>
      </c>
      <c r="AV214" s="335">
        <f t="shared" si="48"/>
        <v>782.32767759490844</v>
      </c>
      <c r="AW214" s="335">
        <f t="shared" si="49"/>
        <v>2.9694561665902484</v>
      </c>
      <c r="AX214" s="335">
        <f t="shared" si="50"/>
        <v>1907.0822322395156</v>
      </c>
      <c r="AY214" s="335">
        <f t="shared" si="80"/>
        <v>135.78246210296311</v>
      </c>
      <c r="AZ214" s="335">
        <f t="shared" si="81"/>
        <v>0</v>
      </c>
      <c r="BB214" s="533"/>
    </row>
    <row r="215" spans="2:54" ht="14.4" x14ac:dyDescent="0.55000000000000004">
      <c r="B215" s="3">
        <v>2059</v>
      </c>
      <c r="C215" s="334">
        <f t="shared" si="45"/>
        <v>482.54994998160521</v>
      </c>
      <c r="D215" s="532">
        <f>'Food System Summary'!H57-'Food System Summary'!I57</f>
        <v>53.693840515965121</v>
      </c>
      <c r="E215" s="338">
        <f t="shared" si="66"/>
        <v>0.11127105187351471</v>
      </c>
      <c r="F215" s="338">
        <f t="shared" si="67"/>
        <v>2.972393002173419E-2</v>
      </c>
      <c r="G215" s="334">
        <f t="shared" si="51"/>
        <v>611.07567731200663</v>
      </c>
      <c r="H215" s="338">
        <f t="shared" si="68"/>
        <v>1.2663469913017311</v>
      </c>
      <c r="I215" s="334">
        <f t="shared" si="69"/>
        <v>-182.21956784636654</v>
      </c>
      <c r="J215" s="338">
        <f t="shared" si="70"/>
        <v>-0.37761804317524589</v>
      </c>
      <c r="K215" s="338">
        <f t="shared" si="71"/>
        <v>-0.10087342665767386</v>
      </c>
      <c r="N215" s="3">
        <v>2059</v>
      </c>
      <c r="O215" s="1205">
        <f t="shared" si="52"/>
        <v>936.29613148582268</v>
      </c>
      <c r="P215" s="1205">
        <f t="shared" si="53"/>
        <v>172.9243226879934</v>
      </c>
      <c r="Q215" s="1205">
        <f t="shared" si="54"/>
        <v>803.74235070143027</v>
      </c>
      <c r="R215" s="1205">
        <f t="shared" si="72"/>
        <v>132.55378078439242</v>
      </c>
      <c r="S215" s="1206">
        <f>Paper!E161</f>
        <v>839.96570260949193</v>
      </c>
      <c r="T215" s="1205">
        <f t="shared" si="55"/>
        <v>36.223351908061659</v>
      </c>
      <c r="U215" s="1206">
        <f>Paper!I161</f>
        <v>6.5452468256041811</v>
      </c>
      <c r="V215" s="1205">
        <f t="shared" si="56"/>
        <v>29.678105082457478</v>
      </c>
      <c r="Y215" s="609">
        <f t="shared" si="73"/>
        <v>2059</v>
      </c>
      <c r="Z215" s="335">
        <f t="shared" si="57"/>
        <v>3722.1302215748697</v>
      </c>
      <c r="AA215" s="335">
        <f t="shared" si="74"/>
        <v>126.00853395878823</v>
      </c>
      <c r="AB215" s="335">
        <f t="shared" si="75"/>
        <v>482.54994998160521</v>
      </c>
      <c r="AC215" s="335">
        <f t="shared" si="76"/>
        <v>387.57186113653086</v>
      </c>
      <c r="AD215" s="335">
        <f t="shared" si="77"/>
        <v>803.74235070143027</v>
      </c>
      <c r="AE215" s="335">
        <f>MIN(Paper!H161,Paper!I161)</f>
        <v>6.5452468256041811</v>
      </c>
      <c r="AF215" s="335">
        <f t="shared" si="58"/>
        <v>1915.7122789709108</v>
      </c>
      <c r="AI215" s="609">
        <f t="shared" si="59"/>
        <v>2059</v>
      </c>
      <c r="AJ215" s="335">
        <f t="shared" si="78"/>
        <v>0</v>
      </c>
      <c r="AK215" s="335">
        <f t="shared" si="60"/>
        <v>0</v>
      </c>
      <c r="AL215" s="335">
        <f t="shared" si="61"/>
        <v>0</v>
      </c>
      <c r="AM215" s="335">
        <f t="shared" si="62"/>
        <v>0</v>
      </c>
      <c r="AN215" s="335">
        <f t="shared" si="63"/>
        <v>0</v>
      </c>
      <c r="AO215" s="335">
        <f t="shared" si="79"/>
        <v>29.678105082457478</v>
      </c>
      <c r="AP215" s="335">
        <f t="shared" si="64"/>
        <v>96.330428876330757</v>
      </c>
      <c r="AS215" s="609">
        <f>Y215</f>
        <v>2059</v>
      </c>
      <c r="AT215" s="335">
        <f t="shared" si="46"/>
        <v>482.54994998160521</v>
      </c>
      <c r="AU215" s="335">
        <f t="shared" si="47"/>
        <v>387.57186113653086</v>
      </c>
      <c r="AV215" s="335">
        <f t="shared" si="48"/>
        <v>803.74235070143027</v>
      </c>
      <c r="AW215" s="335">
        <f t="shared" si="49"/>
        <v>6.5452468256041811</v>
      </c>
      <c r="AX215" s="335">
        <f t="shared" si="50"/>
        <v>1915.7122789709108</v>
      </c>
      <c r="AY215" s="335">
        <f t="shared" si="80"/>
        <v>126.00853395878823</v>
      </c>
      <c r="AZ215" s="335">
        <f t="shared" si="81"/>
        <v>0</v>
      </c>
      <c r="BB215" s="533"/>
    </row>
    <row r="216" spans="2:54" ht="14.4" x14ac:dyDescent="0.55000000000000004">
      <c r="B216" s="3">
        <v>2060</v>
      </c>
      <c r="C216" s="334">
        <f t="shared" si="45"/>
        <v>492.72517707880456</v>
      </c>
      <c r="D216" s="532">
        <f>'Food System Summary'!H58-'Food System Summary'!I58</f>
        <v>53.751014009904111</v>
      </c>
      <c r="E216" s="338">
        <f t="shared" si="66"/>
        <v>0.10908923779494098</v>
      </c>
      <c r="F216" s="338">
        <f t="shared" si="67"/>
        <v>2.9356838245220295E-2</v>
      </c>
      <c r="G216" s="334">
        <f t="shared" si="51"/>
        <v>613.71563077400901</v>
      </c>
      <c r="H216" s="338">
        <f t="shared" si="68"/>
        <v>1.2455536256793587</v>
      </c>
      <c r="I216" s="334">
        <f t="shared" si="69"/>
        <v>-174.74146770510856</v>
      </c>
      <c r="J216" s="338">
        <f t="shared" si="70"/>
        <v>-0.35464286347429957</v>
      </c>
      <c r="K216" s="338">
        <f t="shared" si="71"/>
        <v>-9.5437399584797328E-2</v>
      </c>
      <c r="N216" s="3">
        <v>2060</v>
      </c>
      <c r="O216" s="1205">
        <f t="shared" si="52"/>
        <v>951.58079278820219</v>
      </c>
      <c r="P216" s="1205">
        <f t="shared" si="53"/>
        <v>170.28436922599101</v>
      </c>
      <c r="Q216" s="1205">
        <f t="shared" si="54"/>
        <v>825.64557148338611</v>
      </c>
      <c r="R216" s="1205">
        <f t="shared" si="72"/>
        <v>125.93522130481608</v>
      </c>
      <c r="S216" s="1206">
        <f>Paper!E162</f>
        <v>848.55787966948071</v>
      </c>
      <c r="T216" s="1205">
        <f t="shared" si="55"/>
        <v>22.912308186094606</v>
      </c>
      <c r="U216" s="1206">
        <f>Paper!I162</f>
        <v>6.4904764412476652</v>
      </c>
      <c r="V216" s="1205">
        <f t="shared" si="56"/>
        <v>16.421831744846941</v>
      </c>
      <c r="Y216" s="609">
        <f t="shared" si="73"/>
        <v>2060</v>
      </c>
      <c r="Z216" s="335">
        <f t="shared" si="57"/>
        <v>3755.1180285792939</v>
      </c>
      <c r="AA216" s="335">
        <f t="shared" si="74"/>
        <v>119.44474486356842</v>
      </c>
      <c r="AB216" s="335">
        <f t="shared" si="75"/>
        <v>492.72517707880456</v>
      </c>
      <c r="AC216" s="335">
        <f t="shared" si="76"/>
        <v>386.64781203951475</v>
      </c>
      <c r="AD216" s="335">
        <f t="shared" si="77"/>
        <v>825.64557148338611</v>
      </c>
      <c r="AE216" s="335">
        <f>MIN(Paper!H162,Paper!I162)</f>
        <v>6.4904764412476652</v>
      </c>
      <c r="AF216" s="335">
        <f t="shared" si="58"/>
        <v>1924.1642466727724</v>
      </c>
      <c r="AI216" s="609">
        <f t="shared" si="59"/>
        <v>2060</v>
      </c>
      <c r="AJ216" s="335">
        <f t="shared" si="78"/>
        <v>0</v>
      </c>
      <c r="AK216" s="335">
        <f t="shared" si="60"/>
        <v>0</v>
      </c>
      <c r="AL216" s="335">
        <f t="shared" si="61"/>
        <v>0</v>
      </c>
      <c r="AM216" s="335">
        <f t="shared" si="62"/>
        <v>0</v>
      </c>
      <c r="AN216" s="335">
        <f t="shared" si="63"/>
        <v>0</v>
      </c>
      <c r="AO216" s="335">
        <f t="shared" si="79"/>
        <v>16.421831744846941</v>
      </c>
      <c r="AP216" s="335">
        <f t="shared" si="64"/>
        <v>103.02291311872148</v>
      </c>
      <c r="AS216" s="609">
        <f>Y216</f>
        <v>2060</v>
      </c>
      <c r="AT216" s="335">
        <f t="shared" si="46"/>
        <v>492.72517707880456</v>
      </c>
      <c r="AU216" s="335">
        <f t="shared" si="47"/>
        <v>386.64781203951475</v>
      </c>
      <c r="AV216" s="335">
        <f t="shared" si="48"/>
        <v>825.64557148338611</v>
      </c>
      <c r="AW216" s="335">
        <f t="shared" si="49"/>
        <v>6.4904764412476652</v>
      </c>
      <c r="AX216" s="335">
        <f t="shared" si="50"/>
        <v>1924.1642466727724</v>
      </c>
      <c r="AY216" s="335">
        <f t="shared" si="80"/>
        <v>119.44474486356842</v>
      </c>
      <c r="AZ216" s="335">
        <f t="shared" si="81"/>
        <v>0</v>
      </c>
      <c r="BB216" s="533"/>
    </row>
  </sheetData>
  <mergeCells count="29">
    <mergeCell ref="BD3:BG3"/>
    <mergeCell ref="Q57:R57"/>
    <mergeCell ref="L57:M57"/>
    <mergeCell ref="T57:U57"/>
    <mergeCell ref="W57:Y57"/>
    <mergeCell ref="C3:L3"/>
    <mergeCell ref="N3:X3"/>
    <mergeCell ref="AA3:AK3"/>
    <mergeCell ref="AM3:AW3"/>
    <mergeCell ref="AY3:BA3"/>
    <mergeCell ref="AK57:AN57"/>
    <mergeCell ref="AG57:AH57"/>
    <mergeCell ref="AD57:AE57"/>
    <mergeCell ref="AA57:AB57"/>
    <mergeCell ref="AE110:AI110"/>
    <mergeCell ref="B57:C57"/>
    <mergeCell ref="E57:F57"/>
    <mergeCell ref="H57:I57"/>
    <mergeCell ref="AK110:AT110"/>
    <mergeCell ref="B110:D110"/>
    <mergeCell ref="F110:H110"/>
    <mergeCell ref="J110:N110"/>
    <mergeCell ref="P110:S110"/>
    <mergeCell ref="V110:AC110"/>
    <mergeCell ref="B167:J167"/>
    <mergeCell ref="N167:V167"/>
    <mergeCell ref="Y167:AF167"/>
    <mergeCell ref="AI167:AP167"/>
    <mergeCell ref="AS167:AZ167"/>
  </mergeCells>
  <pageMargins left="0.7" right="0.7" top="0.75" bottom="0.75" header="0.3" footer="0.3"/>
  <cellWatches>
    <cellWatch r="AZ131"/>
    <cellWatch r="AZ132"/>
    <cellWatch r="AZ133"/>
    <cellWatch r="AZ134"/>
    <cellWatch r="AZ135"/>
    <cellWatch r="AZ136"/>
    <cellWatch r="AZ137"/>
    <cellWatch r="AZ138"/>
    <cellWatch r="AZ139"/>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Y145"/>
    <cellWatch r="AY146"/>
    <cellWatch r="AY147"/>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Z208"/>
    <cellWatch r="AZ209"/>
    <cellWatch r="AZ210"/>
    <cellWatch r="AZ21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BB131"/>
    <cellWatch r="BB132"/>
    <cellWatch r="BB133"/>
    <cellWatch r="BB134"/>
    <cellWatch r="BB135"/>
    <cellWatch r="BB136"/>
    <cellWatch r="BB137"/>
    <cellWatch r="BB138"/>
    <cellWatch r="BB139"/>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AZ170"/>
    <cellWatch r="AZ171"/>
    <cellWatch r="AY178"/>
    <cellWatch r="AZ292"/>
    <cellWatch r="AZ293"/>
    <cellWatch r="AZ294"/>
    <cellWatch r="AZ295"/>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BA131"/>
    <cellWatch r="BA132"/>
    <cellWatch r="BA133"/>
    <cellWatch r="BA134"/>
    <cellWatch r="BA135"/>
    <cellWatch r="BA136"/>
    <cellWatch r="BA137"/>
    <cellWatch r="BA138"/>
    <cellWatch r="BA139"/>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AZ172"/>
    <cellWatch r="AZ173"/>
    <cellWatch r="AZ174"/>
    <cellWatch r="AY179"/>
    <cellWatch r="AY180"/>
    <cellWatch r="AY181"/>
    <cellWatch r="AY182"/>
    <cellWatch r="AY183"/>
    <cellWatch r="AZ140"/>
    <cellWatch r="AZ141"/>
    <cellWatch r="AZ142"/>
    <cellWatch r="AZ143"/>
    <cellWatch r="AZ205"/>
    <cellWatch r="AZ206"/>
    <cellWatch r="AZ207"/>
    <cellWatch r="BA140"/>
    <cellWatch r="BA141"/>
    <cellWatch r="BA142"/>
    <cellWatch r="BA143"/>
    <cellWatch r="AY143"/>
    <cellWatch r="AY144"/>
    <cellWatch r="AZ289"/>
    <cellWatch r="AZ290"/>
    <cellWatch r="AZ291"/>
    <cellWatch r="BB140"/>
    <cellWatch r="BB141"/>
    <cellWatch r="BB142"/>
    <cellWatch r="BB143"/>
    <cellWatch r="AZ238"/>
    <cellWatch r="AZ239"/>
    <cellWatch r="AZ288"/>
    <cellWatch r="AZ204"/>
    <cellWatch r="AY142"/>
    <cellWatch r="AZ175"/>
    <cellWatch r="AZ176"/>
    <cellWatch r="AZ177"/>
    <cellWatch r="AZ178"/>
    <cellWatch r="AZ179"/>
    <cellWatch r="AZ180"/>
    <cellWatch r="AZ181"/>
    <cellWatch r="AZ182"/>
    <cellWatch r="AZ183"/>
    <cellWatch r="AZ184"/>
    <cellWatch r="AZ185"/>
    <cellWatch r="AZ186"/>
    <cellWatch r="AZ187"/>
    <cellWatch r="AZ188"/>
    <cellWatch r="AZ189"/>
    <cellWatch r="AZ190"/>
    <cellWatch r="AZ191"/>
    <cellWatch r="AZ192"/>
    <cellWatch r="AZ193"/>
    <cellWatch r="AZ194"/>
    <cellWatch r="AZ240"/>
    <cellWatch r="AZ241"/>
    <cellWatch r="AZ242"/>
    <cellWatch r="AZ245"/>
    <cellWatch r="AZ246"/>
    <cellWatch r="AZ247"/>
    <cellWatch r="AZ248"/>
    <cellWatch r="AZ249"/>
    <cellWatch r="AZ250"/>
    <cellWatch r="AZ251"/>
    <cellWatch r="AZ252"/>
    <cellWatch r="AZ253"/>
    <cellWatch r="AZ254"/>
    <cellWatch r="AZ255"/>
    <cellWatch r="AZ256"/>
    <cellWatch r="AZ257"/>
    <cellWatch r="AZ260"/>
    <cellWatch r="AZ261"/>
    <cellWatch r="AZ262"/>
    <cellWatch r="AZ263"/>
    <cellWatch r="AZ264"/>
    <cellWatch r="AZ265"/>
    <cellWatch r="AZ266"/>
    <cellWatch r="AZ267"/>
    <cellWatch r="AZ268"/>
    <cellWatch r="AZ269"/>
    <cellWatch r="AY129"/>
    <cellWatch r="AY130"/>
    <cellWatch r="AY131"/>
    <cellWatch r="AY132"/>
    <cellWatch r="AY133"/>
    <cellWatch r="AY134"/>
    <cellWatch r="AY135"/>
    <cellWatch r="AY136"/>
    <cellWatch r="AY137"/>
    <cellWatch r="AY138"/>
    <cellWatch r="AY139"/>
    <cellWatch r="AY140"/>
    <cellWatch r="AY141"/>
    <cellWatch r="AZ318"/>
    <cellWatch r="AZ319"/>
    <cellWatch r="AY184"/>
    <cellWatch r="AY185"/>
    <cellWatch r="AZ320"/>
    <cellWatch r="AZ321"/>
    <cellWatch r="AZ243"/>
    <cellWatch r="AZ244"/>
    <cellWatch r="BB170"/>
    <cellWatch r="BA170"/>
    <cellWatch r="BA171"/>
    <cellWatch r="BA172"/>
    <cellWatch r="AZ322"/>
    <cellWatch r="BB171"/>
    <cellWatch r="BB172"/>
    <cellWatch r="BB173"/>
    <cellWatch r="AY186"/>
    <cellWatch r="AY187"/>
    <cellWatch r="AY188"/>
  </cellWatch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D7BE0-85AD-4158-B923-7B16764B8621}">
  <dimension ref="A3:CD216"/>
  <sheetViews>
    <sheetView topLeftCell="A33" workbookViewId="0">
      <selection activeCell="C43" sqref="C43"/>
    </sheetView>
  </sheetViews>
  <sheetFormatPr defaultColWidth="10.6640625" defaultRowHeight="12.3" x14ac:dyDescent="0.4"/>
  <cols>
    <col min="1" max="16384" width="10.6640625" style="609"/>
  </cols>
  <sheetData>
    <row r="3" spans="1:82" ht="200.05" customHeight="1" x14ac:dyDescent="0.75">
      <c r="A3" s="336" t="s">
        <v>121</v>
      </c>
      <c r="C3" s="1276" t="s">
        <v>457</v>
      </c>
      <c r="D3" s="1276"/>
      <c r="E3" s="1276"/>
      <c r="F3" s="1276"/>
      <c r="G3" s="1276"/>
      <c r="H3" s="1276"/>
      <c r="I3" s="1276"/>
      <c r="J3" s="1276"/>
      <c r="K3" s="1276"/>
      <c r="L3" s="1276"/>
      <c r="N3" s="1276" t="s">
        <v>458</v>
      </c>
      <c r="O3" s="1276"/>
      <c r="P3" s="1276"/>
      <c r="Q3" s="1276"/>
      <c r="R3" s="1276"/>
      <c r="S3" s="1276"/>
      <c r="T3" s="1276"/>
      <c r="U3" s="1276"/>
      <c r="V3" s="1276"/>
      <c r="W3" s="1276"/>
      <c r="X3" s="1276"/>
      <c r="AA3" s="1276" t="s">
        <v>459</v>
      </c>
      <c r="AB3" s="1276"/>
      <c r="AC3" s="1276"/>
      <c r="AD3" s="1276"/>
      <c r="AE3" s="1276"/>
      <c r="AF3" s="1276"/>
      <c r="AG3" s="1276"/>
      <c r="AH3" s="1276"/>
      <c r="AI3" s="1276"/>
      <c r="AJ3" s="1276"/>
      <c r="AK3" s="1276"/>
      <c r="AM3" s="1276" t="s">
        <v>460</v>
      </c>
      <c r="AN3" s="1276"/>
      <c r="AO3" s="1276"/>
      <c r="AP3" s="1276"/>
      <c r="AQ3" s="1276"/>
      <c r="AR3" s="1276"/>
      <c r="AS3" s="1276"/>
      <c r="AT3" s="1276"/>
      <c r="AU3" s="1276"/>
      <c r="AV3" s="1276"/>
      <c r="AW3" s="1276"/>
      <c r="AY3" s="1275" t="s">
        <v>464</v>
      </c>
      <c r="AZ3" s="1276"/>
      <c r="BA3" s="1276"/>
      <c r="BB3" s="1171"/>
      <c r="BD3" s="1275" t="s">
        <v>465</v>
      </c>
      <c r="BE3" s="1276"/>
      <c r="BF3" s="1276"/>
      <c r="BG3" s="1276"/>
    </row>
    <row r="4" spans="1:82" x14ac:dyDescent="0.4">
      <c r="AY4" s="1" t="s">
        <v>145</v>
      </c>
    </row>
    <row r="5" spans="1:82" x14ac:dyDescent="0.4">
      <c r="B5" s="1" t="s">
        <v>117</v>
      </c>
      <c r="N5" s="1" t="s">
        <v>120</v>
      </c>
      <c r="P5" s="723">
        <v>0.3923628847237593</v>
      </c>
      <c r="Q5" s="723">
        <v>2.8208158898636228E-2</v>
      </c>
      <c r="R5" s="723">
        <v>0.16053697893771696</v>
      </c>
      <c r="S5" s="723">
        <v>0.28956111294522879</v>
      </c>
      <c r="T5" s="723">
        <v>0.12904008783177426</v>
      </c>
      <c r="U5" s="723">
        <v>0.13109840341779183</v>
      </c>
      <c r="V5" s="723">
        <v>0.1618518300474058</v>
      </c>
      <c r="W5" s="723">
        <v>0.12005863532819515</v>
      </c>
      <c r="X5" s="723">
        <v>7.8882908327004189E-2</v>
      </c>
      <c r="AA5" s="1" t="s">
        <v>124</v>
      </c>
      <c r="AC5" s="1165">
        <v>0.29521194923138244</v>
      </c>
      <c r="AD5" s="1165">
        <v>4.7083317113059776E-2</v>
      </c>
      <c r="AE5" s="1165">
        <v>0.14491616365292201</v>
      </c>
      <c r="AF5" s="1165">
        <v>0.39560111045185731</v>
      </c>
      <c r="AG5" s="1165">
        <v>0.11718745955077833</v>
      </c>
      <c r="AM5" s="1" t="s">
        <v>122</v>
      </c>
      <c r="AY5" s="1" t="s">
        <v>123</v>
      </c>
      <c r="BA5" s="609" t="s">
        <v>462</v>
      </c>
    </row>
    <row r="6" spans="1:82" ht="15" x14ac:dyDescent="0.5">
      <c r="B6" s="2" t="s">
        <v>114</v>
      </c>
      <c r="C6" s="334" t="s">
        <v>115</v>
      </c>
      <c r="D6" s="2" t="s">
        <v>36</v>
      </c>
      <c r="E6" s="2" t="s">
        <v>44</v>
      </c>
      <c r="F6" s="2" t="s">
        <v>46</v>
      </c>
      <c r="G6" s="2" t="s">
        <v>49</v>
      </c>
      <c r="H6" s="2" t="s">
        <v>52</v>
      </c>
      <c r="I6" s="2" t="s">
        <v>55</v>
      </c>
      <c r="J6" s="2" t="s">
        <v>58</v>
      </c>
      <c r="K6" s="2" t="s">
        <v>60</v>
      </c>
      <c r="L6" s="2" t="s">
        <v>61</v>
      </c>
      <c r="N6" s="2" t="s">
        <v>114</v>
      </c>
      <c r="O6" s="334" t="s">
        <v>115</v>
      </c>
      <c r="P6" s="2" t="s">
        <v>36</v>
      </c>
      <c r="Q6" s="2" t="s">
        <v>44</v>
      </c>
      <c r="R6" s="2" t="s">
        <v>46</v>
      </c>
      <c r="S6" s="2" t="s">
        <v>49</v>
      </c>
      <c r="T6" s="2" t="s">
        <v>52</v>
      </c>
      <c r="U6" s="2" t="s">
        <v>55</v>
      </c>
      <c r="V6" s="2" t="s">
        <v>58</v>
      </c>
      <c r="W6" s="2" t="s">
        <v>60</v>
      </c>
      <c r="X6" s="2" t="s">
        <v>61</v>
      </c>
      <c r="AA6" s="2" t="s">
        <v>114</v>
      </c>
      <c r="AB6" s="334" t="s">
        <v>115</v>
      </c>
      <c r="AC6" s="2" t="s">
        <v>36</v>
      </c>
      <c r="AD6" s="2" t="s">
        <v>44</v>
      </c>
      <c r="AE6" s="2" t="s">
        <v>46</v>
      </c>
      <c r="AF6" s="2" t="s">
        <v>49</v>
      </c>
      <c r="AG6" s="2" t="s">
        <v>52</v>
      </c>
      <c r="AH6" s="2" t="s">
        <v>55</v>
      </c>
      <c r="AI6" s="2" t="s">
        <v>58</v>
      </c>
      <c r="AJ6" s="2" t="s">
        <v>60</v>
      </c>
      <c r="AK6" s="2" t="s">
        <v>61</v>
      </c>
      <c r="AM6" s="2" t="s">
        <v>114</v>
      </c>
      <c r="AN6" s="334" t="s">
        <v>115</v>
      </c>
      <c r="AO6" s="2" t="s">
        <v>36</v>
      </c>
      <c r="AP6" s="2" t="s">
        <v>44</v>
      </c>
      <c r="AQ6" s="2" t="s">
        <v>46</v>
      </c>
      <c r="AR6" s="2" t="s">
        <v>49</v>
      </c>
      <c r="AS6" s="2" t="s">
        <v>52</v>
      </c>
      <c r="AT6" s="2" t="s">
        <v>55</v>
      </c>
      <c r="AU6" s="2" t="s">
        <v>58</v>
      </c>
      <c r="AV6" s="2" t="s">
        <v>60</v>
      </c>
      <c r="AW6" s="2" t="s">
        <v>61</v>
      </c>
      <c r="AY6" s="2" t="s">
        <v>114</v>
      </c>
      <c r="AZ6" s="334" t="s">
        <v>115</v>
      </c>
      <c r="BA6" s="625" t="s">
        <v>461</v>
      </c>
      <c r="BD6" s="2" t="s">
        <v>114</v>
      </c>
      <c r="BE6" s="334" t="s">
        <v>156</v>
      </c>
      <c r="BF6" s="334" t="s">
        <v>157</v>
      </c>
      <c r="BG6" s="334" t="s">
        <v>158</v>
      </c>
    </row>
    <row r="7" spans="1:82" ht="14.4" x14ac:dyDescent="0.55000000000000004">
      <c r="B7" s="3">
        <v>2014</v>
      </c>
      <c r="C7" s="707">
        <v>1773.3333333333333</v>
      </c>
      <c r="D7" s="965">
        <v>531.34132420091328</v>
      </c>
      <c r="E7" s="965">
        <v>176.93333333333334</v>
      </c>
      <c r="F7" s="965">
        <v>747.38515981735168</v>
      </c>
      <c r="G7" s="965">
        <v>255.31210045662093</v>
      </c>
      <c r="H7" s="965">
        <v>223.56415525114156</v>
      </c>
      <c r="I7" s="965">
        <v>187.34498425204768</v>
      </c>
      <c r="J7" s="965">
        <v>142.35164391935592</v>
      </c>
      <c r="K7" s="965">
        <v>240.31441209510257</v>
      </c>
      <c r="L7" s="965">
        <v>234.41660400000001</v>
      </c>
      <c r="N7" s="3">
        <v>2014</v>
      </c>
      <c r="O7" s="707">
        <f>C7*Compost!J6/100</f>
        <v>804.14197831832109</v>
      </c>
      <c r="P7" s="1130">
        <f t="shared" ref="P7:P53" si="0">O7*$P$5</f>
        <v>315.51546634044718</v>
      </c>
      <c r="Q7" s="1130">
        <f t="shared" ref="Q7:Q53" si="1">O7*$Q$5</f>
        <v>22.683364701466889</v>
      </c>
      <c r="R7" s="1130">
        <f t="shared" ref="R7:R53" si="2">O7*$R$5</f>
        <v>129.09452383622235</v>
      </c>
      <c r="S7" s="1130">
        <f t="shared" ref="S7:S53" si="3">O7*$S$5</f>
        <v>232.8482462078311</v>
      </c>
      <c r="T7" s="1130">
        <f t="shared" ref="T7:T53" si="4">O7*$T$5</f>
        <v>103.76655151141287</v>
      </c>
      <c r="U7" s="1130">
        <f t="shared" ref="U7:U53" si="5">O7*$U$5</f>
        <v>105.42172947875648</v>
      </c>
      <c r="V7" s="1130">
        <f t="shared" ref="V7:V53" si="6">O7*$V$5</f>
        <v>130.15185080876159</v>
      </c>
      <c r="W7" s="1130">
        <f t="shared" ref="W7:W53" si="7">O7*$W$5</f>
        <v>96.544188527012722</v>
      </c>
      <c r="X7" s="1130">
        <f t="shared" ref="X7:X53" si="8">O7*$X$5</f>
        <v>63.433057957579912</v>
      </c>
      <c r="AA7" s="3">
        <v>2014</v>
      </c>
      <c r="AB7" s="707">
        <f>C7*'H&amp;C Recycling'!M4/100</f>
        <v>627.40533333333326</v>
      </c>
      <c r="AC7" s="1166">
        <f t="shared" ref="AC7:AC53" si="9">AB7*$AC$5</f>
        <v>185.21755141149856</v>
      </c>
      <c r="AD7" s="1166">
        <f t="shared" ref="AD7:AD53" si="10">AB7*$AD$5</f>
        <v>29.540324267758304</v>
      </c>
      <c r="AE7" s="1166">
        <f t="shared" ref="AE7:AE53" si="11">AB7*$AE$5</f>
        <v>90.921173962049409</v>
      </c>
      <c r="AF7" s="1166">
        <f t="shared" ref="AF7:AF53" si="12">AB7*$AF$5</f>
        <v>248.20224657008433</v>
      </c>
      <c r="AG7" s="1166">
        <f t="shared" ref="AG7:AG53" si="13">AB7*$AG$5</f>
        <v>73.524037121942584</v>
      </c>
      <c r="AH7" s="528"/>
      <c r="AI7" s="528"/>
      <c r="AJ7" s="528"/>
      <c r="AK7" s="528"/>
      <c r="AM7" s="3">
        <v>2014</v>
      </c>
      <c r="AN7" s="707">
        <f t="shared" ref="AN7:AW32" si="14">C7-O7-AB7</f>
        <v>341.7860216816789</v>
      </c>
      <c r="AO7" s="335">
        <f t="shared" si="14"/>
        <v>30.608306448967539</v>
      </c>
      <c r="AP7" s="335">
        <f t="shared" si="14"/>
        <v>124.70964436410813</v>
      </c>
      <c r="AQ7" s="335">
        <f t="shared" si="14"/>
        <v>527.36946201907995</v>
      </c>
      <c r="AR7" s="335">
        <f t="shared" si="14"/>
        <v>-225.7383923212945</v>
      </c>
      <c r="AS7" s="335">
        <f t="shared" si="14"/>
        <v>46.273566617786102</v>
      </c>
      <c r="AT7" s="335">
        <f t="shared" si="14"/>
        <v>81.923254773291205</v>
      </c>
      <c r="AU7" s="335">
        <f t="shared" si="14"/>
        <v>12.199793110594328</v>
      </c>
      <c r="AV7" s="335">
        <f t="shared" si="14"/>
        <v>143.77022356808985</v>
      </c>
      <c r="AW7" s="335">
        <f t="shared" si="14"/>
        <v>170.9835460424201</v>
      </c>
      <c r="AY7" s="3">
        <v>2014</v>
      </c>
      <c r="AZ7" s="707">
        <f>C7*Bioplastics!AL12</f>
        <v>241.19999999999996</v>
      </c>
      <c r="BD7" s="3">
        <v>2014</v>
      </c>
      <c r="BE7" s="1131">
        <f t="shared" ref="BE7:BE53" si="15">O7/C7</f>
        <v>0.45346352160807585</v>
      </c>
      <c r="BF7" s="1131">
        <f t="shared" ref="BF7:BF53" si="16">AB7/C7</f>
        <v>0.35379999999999995</v>
      </c>
      <c r="BG7" s="1131">
        <f t="shared" ref="BG7:BG53" si="17">AN7/C7</f>
        <v>0.1927364783919242</v>
      </c>
      <c r="CD7" s="609" t="e">
        <f>#REF!*0.44</f>
        <v>#REF!</v>
      </c>
    </row>
    <row r="8" spans="1:82" ht="14.4" x14ac:dyDescent="0.55000000000000004">
      <c r="B8" s="3">
        <v>2015</v>
      </c>
      <c r="C8" s="707">
        <v>1891.6666666666667</v>
      </c>
      <c r="D8" s="965">
        <v>536.51495433789955</v>
      </c>
      <c r="E8" s="965">
        <v>178.23333333333335</v>
      </c>
      <c r="F8" s="965">
        <v>763.63413242009142</v>
      </c>
      <c r="G8" s="965">
        <v>269.2521689497716</v>
      </c>
      <c r="H8" s="965">
        <v>227.61244292237444</v>
      </c>
      <c r="I8" s="965">
        <v>198.67249212602385</v>
      </c>
      <c r="J8" s="965">
        <v>155.37582195967795</v>
      </c>
      <c r="K8" s="965">
        <v>240.6021865475513</v>
      </c>
      <c r="L8" s="965">
        <v>237.78226035</v>
      </c>
      <c r="N8" s="3">
        <v>2015</v>
      </c>
      <c r="O8" s="707">
        <f>C8*Compost!J7/100</f>
        <v>862.10382892596351</v>
      </c>
      <c r="P8" s="1130">
        <f t="shared" si="0"/>
        <v>338.25754524878931</v>
      </c>
      <c r="Q8" s="1130">
        <f t="shared" si="1"/>
        <v>24.318361793466284</v>
      </c>
      <c r="R8" s="1130">
        <f t="shared" si="2"/>
        <v>138.39954422641256</v>
      </c>
      <c r="S8" s="1130">
        <f t="shared" si="3"/>
        <v>249.63174417814511</v>
      </c>
      <c r="T8" s="1130">
        <f t="shared" si="4"/>
        <v>111.24595380471523</v>
      </c>
      <c r="U8" s="1130">
        <f t="shared" si="5"/>
        <v>113.02043555255896</v>
      </c>
      <c r="V8" s="1130">
        <f t="shared" si="6"/>
        <v>139.53308240254285</v>
      </c>
      <c r="W8" s="1130">
        <f t="shared" si="7"/>
        <v>103.50300921206299</v>
      </c>
      <c r="X8" s="1130">
        <f t="shared" si="8"/>
        <v>68.005257305526086</v>
      </c>
      <c r="AA8" s="3">
        <v>2015</v>
      </c>
      <c r="AB8" s="707">
        <f>C8*'H&amp;C Recycling'!M5/100</f>
        <v>665.67750000000001</v>
      </c>
      <c r="AC8" s="1166">
        <f t="shared" si="9"/>
        <v>196.51595233447358</v>
      </c>
      <c r="AD8" s="1166">
        <f t="shared" si="10"/>
        <v>31.342304827528849</v>
      </c>
      <c r="AE8" s="1166">
        <f t="shared" si="11"/>
        <v>96.467429530067989</v>
      </c>
      <c r="AF8" s="1166">
        <f t="shared" si="12"/>
        <v>263.34275820281624</v>
      </c>
      <c r="AG8" s="1166">
        <f t="shared" si="13"/>
        <v>78.009055105113248</v>
      </c>
      <c r="AH8" s="528"/>
      <c r="AI8" s="528"/>
      <c r="AJ8" s="528"/>
      <c r="AK8" s="528"/>
      <c r="AM8" s="3">
        <v>2015</v>
      </c>
      <c r="AN8" s="707">
        <f t="shared" si="14"/>
        <v>363.88533774070333</v>
      </c>
      <c r="AO8" s="335">
        <f t="shared" si="14"/>
        <v>1.7414567546366584</v>
      </c>
      <c r="AP8" s="335">
        <f t="shared" si="14"/>
        <v>122.5726667123382</v>
      </c>
      <c r="AQ8" s="335">
        <f t="shared" si="14"/>
        <v>528.76715866361087</v>
      </c>
      <c r="AR8" s="335">
        <f t="shared" si="14"/>
        <v>-243.72233343118975</v>
      </c>
      <c r="AS8" s="335">
        <f t="shared" si="14"/>
        <v>38.357434012545966</v>
      </c>
      <c r="AT8" s="335">
        <f t="shared" si="14"/>
        <v>85.65205657346489</v>
      </c>
      <c r="AU8" s="335">
        <f t="shared" si="14"/>
        <v>15.842739557135104</v>
      </c>
      <c r="AV8" s="335">
        <f t="shared" si="14"/>
        <v>137.09917733548832</v>
      </c>
      <c r="AW8" s="335">
        <f t="shared" si="14"/>
        <v>169.77700304447393</v>
      </c>
      <c r="AY8" s="3">
        <v>2015</v>
      </c>
      <c r="AZ8" s="707">
        <f>C8*Bioplastics!AL13</f>
        <v>249.73118971061089</v>
      </c>
      <c r="BD8" s="3">
        <v>2015</v>
      </c>
      <c r="BE8" s="1131">
        <f t="shared" si="15"/>
        <v>0.45573770692121418</v>
      </c>
      <c r="BF8" s="1131">
        <f t="shared" si="16"/>
        <v>0.35189999999999999</v>
      </c>
      <c r="BG8" s="1131">
        <f t="shared" si="17"/>
        <v>0.19236229307878588</v>
      </c>
    </row>
    <row r="9" spans="1:82" ht="14.4" x14ac:dyDescent="0.55000000000000004">
      <c r="B9" s="3">
        <v>2016</v>
      </c>
      <c r="C9" s="707">
        <v>2009.9999999999998</v>
      </c>
      <c r="D9" s="965">
        <v>535.70000000000005</v>
      </c>
      <c r="E9" s="965">
        <v>178.2</v>
      </c>
      <c r="F9" s="965">
        <v>769.1</v>
      </c>
      <c r="G9" s="965">
        <v>302.39999999999998</v>
      </c>
      <c r="H9" s="965">
        <v>230.8</v>
      </c>
      <c r="I9" s="965">
        <v>210</v>
      </c>
      <c r="J9" s="965">
        <v>168.4</v>
      </c>
      <c r="K9" s="965">
        <v>240.889961</v>
      </c>
      <c r="L9" s="965">
        <v>242.05510170000002</v>
      </c>
      <c r="N9" s="3">
        <v>2016</v>
      </c>
      <c r="O9" s="707">
        <f>C9*Compost!J8/100</f>
        <v>924.59999999999991</v>
      </c>
      <c r="P9" s="1130">
        <f t="shared" si="0"/>
        <v>362.77872321558783</v>
      </c>
      <c r="Q9" s="1130">
        <f t="shared" si="1"/>
        <v>26.081263717679054</v>
      </c>
      <c r="R9" s="1130">
        <f t="shared" si="2"/>
        <v>148.4324907258131</v>
      </c>
      <c r="S9" s="1130">
        <f t="shared" si="3"/>
        <v>267.72820502915852</v>
      </c>
      <c r="T9" s="1130">
        <f t="shared" si="4"/>
        <v>119.31046520925847</v>
      </c>
      <c r="U9" s="1130">
        <f t="shared" si="5"/>
        <v>121.21358380009032</v>
      </c>
      <c r="V9" s="1130">
        <f t="shared" si="6"/>
        <v>149.6482020618314</v>
      </c>
      <c r="W9" s="1130">
        <f t="shared" si="7"/>
        <v>111.00621422444922</v>
      </c>
      <c r="X9" s="1130">
        <f t="shared" si="8"/>
        <v>72.93513703914806</v>
      </c>
      <c r="AA9" s="3">
        <v>2016</v>
      </c>
      <c r="AB9" s="707">
        <f>C9*'H&amp;C Recycling'!M6/100</f>
        <v>703.49999999999989</v>
      </c>
      <c r="AC9" s="1166">
        <f t="shared" si="9"/>
        <v>207.68160628427751</v>
      </c>
      <c r="AD9" s="1166">
        <f t="shared" si="10"/>
        <v>33.123113589037544</v>
      </c>
      <c r="AE9" s="1166">
        <f t="shared" si="11"/>
        <v>101.94852112983061</v>
      </c>
      <c r="AF9" s="1166">
        <f t="shared" si="12"/>
        <v>278.30538120288156</v>
      </c>
      <c r="AG9" s="1166">
        <f t="shared" si="13"/>
        <v>82.441377793972549</v>
      </c>
      <c r="AH9" s="528"/>
      <c r="AI9" s="528"/>
      <c r="AJ9" s="528"/>
      <c r="AK9" s="528"/>
      <c r="AM9" s="3">
        <v>2016</v>
      </c>
      <c r="AN9" s="707">
        <f t="shared" si="14"/>
        <v>381.9</v>
      </c>
      <c r="AO9" s="335">
        <f t="shared" si="14"/>
        <v>-34.760329499865293</v>
      </c>
      <c r="AP9" s="335">
        <f t="shared" si="14"/>
        <v>118.99562269328338</v>
      </c>
      <c r="AQ9" s="335">
        <f t="shared" si="14"/>
        <v>518.71898814435633</v>
      </c>
      <c r="AR9" s="335">
        <f t="shared" si="14"/>
        <v>-243.6335862320401</v>
      </c>
      <c r="AS9" s="335">
        <f t="shared" si="14"/>
        <v>29.048156996768995</v>
      </c>
      <c r="AT9" s="335">
        <f t="shared" si="14"/>
        <v>88.786416199909681</v>
      </c>
      <c r="AU9" s="335">
        <f t="shared" si="14"/>
        <v>18.751797938168608</v>
      </c>
      <c r="AV9" s="335">
        <f t="shared" si="14"/>
        <v>129.88374677555078</v>
      </c>
      <c r="AW9" s="335">
        <f t="shared" si="14"/>
        <v>169.11996466085196</v>
      </c>
      <c r="AY9" s="3">
        <v>2016</v>
      </c>
      <c r="AZ9" s="707">
        <f>C9*Bioplastics!AL14</f>
        <v>259.81350482315111</v>
      </c>
      <c r="BD9" s="3">
        <v>2016</v>
      </c>
      <c r="BE9" s="1131">
        <f t="shared" si="15"/>
        <v>0.46</v>
      </c>
      <c r="BF9" s="1131">
        <f t="shared" si="16"/>
        <v>0.35</v>
      </c>
      <c r="BG9" s="1131">
        <f t="shared" si="17"/>
        <v>0.19</v>
      </c>
    </row>
    <row r="10" spans="1:82" ht="14.4" x14ac:dyDescent="0.55000000000000004">
      <c r="B10" s="3">
        <v>2017</v>
      </c>
      <c r="C10" s="707">
        <v>2111.0920259528007</v>
      </c>
      <c r="D10" s="965">
        <v>612.4452342779241</v>
      </c>
      <c r="E10" s="965">
        <v>147.97131501652729</v>
      </c>
      <c r="F10" s="965">
        <v>870.50337370220768</v>
      </c>
      <c r="G10" s="965">
        <v>286.76167414823118</v>
      </c>
      <c r="H10" s="965">
        <v>255.26964705259638</v>
      </c>
      <c r="I10" s="965">
        <v>221.32750787397617</v>
      </c>
      <c r="J10" s="965">
        <v>185.47971344525075</v>
      </c>
      <c r="K10" s="965">
        <v>241.17773545244873</v>
      </c>
      <c r="L10" s="965">
        <v>242.93507115</v>
      </c>
      <c r="N10" s="3">
        <v>2017</v>
      </c>
      <c r="O10" s="707">
        <f>C10*Compost!J9/100</f>
        <v>970.58688076320288</v>
      </c>
      <c r="P10" s="1130">
        <f t="shared" si="0"/>
        <v>380.82226841128568</v>
      </c>
      <c r="Q10" s="1130">
        <f t="shared" si="1"/>
        <v>27.378468957500122</v>
      </c>
      <c r="R10" s="1130">
        <f t="shared" si="2"/>
        <v>155.81508563430671</v>
      </c>
      <c r="S10" s="1130">
        <f t="shared" si="3"/>
        <v>281.04421740383111</v>
      </c>
      <c r="T10" s="1130">
        <f t="shared" si="4"/>
        <v>125.24461634205151</v>
      </c>
      <c r="U10" s="1130">
        <f t="shared" si="5"/>
        <v>127.24239044631059</v>
      </c>
      <c r="V10" s="1130">
        <f t="shared" si="6"/>
        <v>157.09126287152765</v>
      </c>
      <c r="W10" s="1130">
        <f t="shared" si="7"/>
        <v>116.5273363718798</v>
      </c>
      <c r="X10" s="1130">
        <f t="shared" si="8"/>
        <v>76.562715938636686</v>
      </c>
      <c r="AA10" s="3">
        <v>2017</v>
      </c>
      <c r="AB10" s="707">
        <f>C10*'H&amp;C Recycling'!M7/100</f>
        <v>734.87113423416997</v>
      </c>
      <c r="AC10" s="1166">
        <f t="shared" si="9"/>
        <v>216.94273997114621</v>
      </c>
      <c r="AD10" s="1166">
        <f t="shared" si="10"/>
        <v>34.600170650381344</v>
      </c>
      <c r="AE10" s="1166">
        <f t="shared" si="11"/>
        <v>106.49470555248739</v>
      </c>
      <c r="AF10" s="1166">
        <f t="shared" si="12"/>
        <v>290.71583674205351</v>
      </c>
      <c r="AG10" s="1166">
        <f t="shared" si="13"/>
        <v>86.11768131810139</v>
      </c>
      <c r="AH10" s="528"/>
      <c r="AI10" s="528"/>
      <c r="AJ10" s="528"/>
      <c r="AK10" s="528"/>
      <c r="AM10" s="3">
        <v>2017</v>
      </c>
      <c r="AN10" s="707">
        <f t="shared" si="14"/>
        <v>405.63401095542793</v>
      </c>
      <c r="AO10" s="335">
        <f t="shared" si="14"/>
        <v>14.680225895492214</v>
      </c>
      <c r="AP10" s="335">
        <f t="shared" si="14"/>
        <v>85.992675408645823</v>
      </c>
      <c r="AQ10" s="335">
        <f t="shared" si="14"/>
        <v>608.1935825154136</v>
      </c>
      <c r="AR10" s="335">
        <f t="shared" si="14"/>
        <v>-284.99837999765344</v>
      </c>
      <c r="AS10" s="335">
        <f t="shared" si="14"/>
        <v>43.907349392443464</v>
      </c>
      <c r="AT10" s="335">
        <f t="shared" si="14"/>
        <v>94.08511742766558</v>
      </c>
      <c r="AU10" s="335">
        <f t="shared" si="14"/>
        <v>28.388450573723105</v>
      </c>
      <c r="AV10" s="335">
        <f t="shared" si="14"/>
        <v>124.65039908056893</v>
      </c>
      <c r="AW10" s="335">
        <f t="shared" si="14"/>
        <v>166.3723552113633</v>
      </c>
      <c r="AY10" s="3">
        <v>2017</v>
      </c>
      <c r="AZ10" s="707">
        <f>C10*Bioplastics!AL15</f>
        <v>268.34098638078581</v>
      </c>
      <c r="BD10" s="3">
        <v>2017</v>
      </c>
      <c r="BE10" s="1131">
        <f t="shared" si="15"/>
        <v>0.45975583670974607</v>
      </c>
      <c r="BF10" s="1131">
        <f t="shared" si="16"/>
        <v>0.34810000000000002</v>
      </c>
      <c r="BG10" s="1131">
        <f t="shared" si="17"/>
        <v>0.19214416329025394</v>
      </c>
      <c r="CD10" s="609" t="e">
        <f>826/CD7</f>
        <v>#REF!</v>
      </c>
    </row>
    <row r="11" spans="1:82" ht="14.4" x14ac:dyDescent="0.55000000000000004">
      <c r="B11" s="3">
        <v>2018</v>
      </c>
      <c r="C11" s="707">
        <v>2147.6619980403138</v>
      </c>
      <c r="D11" s="965">
        <v>616.65469522192245</v>
      </c>
      <c r="E11" s="965">
        <v>149.95467314588655</v>
      </c>
      <c r="F11" s="965">
        <v>894.12035425610475</v>
      </c>
      <c r="G11" s="965">
        <v>297.67525327476079</v>
      </c>
      <c r="H11" s="965">
        <v>260.88751696904802</v>
      </c>
      <c r="I11" s="965">
        <v>232.65501574795235</v>
      </c>
      <c r="J11" s="965">
        <v>200.44496071080712</v>
      </c>
      <c r="K11" s="965">
        <v>241.46550990489743</v>
      </c>
      <c r="L11" s="965">
        <v>262.80323360844432</v>
      </c>
      <c r="N11" s="3">
        <v>2018</v>
      </c>
      <c r="O11" s="707">
        <f>C11*Compost!J10/100</f>
        <v>991.19935384999405</v>
      </c>
      <c r="P11" s="1130">
        <f t="shared" si="0"/>
        <v>388.90983781290993</v>
      </c>
      <c r="Q11" s="1130">
        <f t="shared" si="1"/>
        <v>27.95990887362619</v>
      </c>
      <c r="R11" s="1130">
        <f t="shared" si="2"/>
        <v>159.12414979209515</v>
      </c>
      <c r="S11" s="1130">
        <f t="shared" si="3"/>
        <v>287.01278805139594</v>
      </c>
      <c r="T11" s="1130">
        <f t="shared" si="4"/>
        <v>127.90445167960112</v>
      </c>
      <c r="U11" s="1130">
        <f t="shared" si="5"/>
        <v>129.94465275848111</v>
      </c>
      <c r="V11" s="1130">
        <f t="shared" si="6"/>
        <v>160.42742936242769</v>
      </c>
      <c r="W11" s="1130">
        <f t="shared" si="7"/>
        <v>119.00204176141909</v>
      </c>
      <c r="X11" s="1130">
        <f t="shared" si="8"/>
        <v>78.188687763534872</v>
      </c>
      <c r="AA11" s="3">
        <v>2018</v>
      </c>
      <c r="AB11" s="707">
        <f>C11*'H&amp;C Recycling'!M8/100</f>
        <v>743.5205837215567</v>
      </c>
      <c r="AC11" s="1166">
        <f t="shared" si="9"/>
        <v>219.49616081409604</v>
      </c>
      <c r="AD11" s="1166">
        <f t="shared" si="10"/>
        <v>35.007415423449366</v>
      </c>
      <c r="AE11" s="1166">
        <f t="shared" si="11"/>
        <v>107.74815058990922</v>
      </c>
      <c r="AF11" s="1166">
        <f t="shared" si="12"/>
        <v>294.13756856406098</v>
      </c>
      <c r="AG11" s="1166">
        <f t="shared" si="13"/>
        <v>87.131288330041016</v>
      </c>
      <c r="AH11" s="528"/>
      <c r="AI11" s="528"/>
      <c r="AJ11" s="528"/>
      <c r="AK11" s="528"/>
      <c r="AM11" s="3">
        <v>2018</v>
      </c>
      <c r="AN11" s="707">
        <f t="shared" si="14"/>
        <v>412.94206046876297</v>
      </c>
      <c r="AO11" s="335">
        <f t="shared" si="14"/>
        <v>8.2486965949164812</v>
      </c>
      <c r="AP11" s="335">
        <f t="shared" si="14"/>
        <v>86.987348848810996</v>
      </c>
      <c r="AQ11" s="335">
        <f t="shared" si="14"/>
        <v>627.24805387410038</v>
      </c>
      <c r="AR11" s="335">
        <f t="shared" si="14"/>
        <v>-283.47510334069614</v>
      </c>
      <c r="AS11" s="335">
        <f t="shared" si="14"/>
        <v>45.851776959405882</v>
      </c>
      <c r="AT11" s="335">
        <f t="shared" si="14"/>
        <v>102.71036298947124</v>
      </c>
      <c r="AU11" s="335">
        <f t="shared" si="14"/>
        <v>40.017531348379435</v>
      </c>
      <c r="AV11" s="335">
        <f t="shared" si="14"/>
        <v>122.46346814347834</v>
      </c>
      <c r="AW11" s="335">
        <f t="shared" si="14"/>
        <v>184.61454584490946</v>
      </c>
      <c r="AY11" s="3">
        <v>2018</v>
      </c>
      <c r="AZ11" s="707">
        <f>C11*Bioplastics!AL16</f>
        <v>276.74638293540414</v>
      </c>
      <c r="BD11" s="3">
        <v>2018</v>
      </c>
      <c r="BE11" s="1131">
        <f t="shared" si="15"/>
        <v>0.4615248371272751</v>
      </c>
      <c r="BF11" s="1131">
        <f t="shared" si="16"/>
        <v>0.34620000000000001</v>
      </c>
      <c r="BG11" s="1131">
        <f t="shared" si="17"/>
        <v>0.19227516287272484</v>
      </c>
    </row>
    <row r="12" spans="1:82" ht="14.4" x14ac:dyDescent="0.55000000000000004">
      <c r="B12" s="3">
        <v>2019</v>
      </c>
      <c r="C12" s="707">
        <v>2184.0313313767401</v>
      </c>
      <c r="D12" s="965">
        <v>620.86697520238636</v>
      </c>
      <c r="E12" s="965">
        <v>151.84910144339386</v>
      </c>
      <c r="F12" s="965">
        <v>917.5106983517112</v>
      </c>
      <c r="G12" s="965">
        <v>311.70862325040395</v>
      </c>
      <c r="H12" s="965">
        <v>266.41819457150513</v>
      </c>
      <c r="I12" s="965">
        <v>243.98252362192852</v>
      </c>
      <c r="J12" s="965">
        <v>215.41020797636349</v>
      </c>
      <c r="K12" s="965">
        <v>261.67664217867309</v>
      </c>
      <c r="L12" s="965">
        <v>267.8192337286855</v>
      </c>
      <c r="N12" s="3">
        <v>2019</v>
      </c>
      <c r="O12" s="707">
        <f>C12*Compost!J11/100</f>
        <v>1011.5327812314302</v>
      </c>
      <c r="P12" s="1130">
        <f t="shared" si="0"/>
        <v>396.88792003661132</v>
      </c>
      <c r="Q12" s="1130">
        <f t="shared" si="1"/>
        <v>28.533477424155624</v>
      </c>
      <c r="R12" s="1130">
        <f t="shared" si="2"/>
        <v>162.38841679536037</v>
      </c>
      <c r="S12" s="1130">
        <f t="shared" si="3"/>
        <v>292.90055791395559</v>
      </c>
      <c r="T12" s="1130">
        <f t="shared" si="4"/>
        <v>130.52827893482265</v>
      </c>
      <c r="U12" s="1130">
        <f t="shared" si="5"/>
        <v>132.610332624199</v>
      </c>
      <c r="V12" s="1130">
        <f t="shared" si="6"/>
        <v>163.71843179524916</v>
      </c>
      <c r="W12" s="1130">
        <f t="shared" si="7"/>
        <v>121.44324530437929</v>
      </c>
      <c r="X12" s="1130">
        <f t="shared" si="8"/>
        <v>79.792647651638489</v>
      </c>
      <c r="AA12" s="3">
        <v>2019</v>
      </c>
      <c r="AB12" s="707">
        <f>C12*'H&amp;C Recycling'!M9/100</f>
        <v>751.96198739301178</v>
      </c>
      <c r="AC12" s="1166">
        <f t="shared" si="9"/>
        <v>221.98816404619524</v>
      </c>
      <c r="AD12" s="1166">
        <f t="shared" si="10"/>
        <v>35.404864709391831</v>
      </c>
      <c r="AE12" s="1166">
        <f t="shared" si="11"/>
        <v>108.97144642582217</v>
      </c>
      <c r="AF12" s="1166">
        <f t="shared" si="12"/>
        <v>297.47699723026096</v>
      </c>
      <c r="AG12" s="1166">
        <f t="shared" si="13"/>
        <v>88.120514981341458</v>
      </c>
      <c r="AH12" s="528"/>
      <c r="AI12" s="528"/>
      <c r="AJ12" s="528"/>
      <c r="AK12" s="528"/>
      <c r="AM12" s="3">
        <v>2019</v>
      </c>
      <c r="AN12" s="707">
        <f t="shared" si="14"/>
        <v>420.53656275229798</v>
      </c>
      <c r="AO12" s="335">
        <f t="shared" si="14"/>
        <v>1.9908911195797998</v>
      </c>
      <c r="AP12" s="335">
        <f t="shared" si="14"/>
        <v>87.910759309846412</v>
      </c>
      <c r="AQ12" s="335">
        <f t="shared" si="14"/>
        <v>646.15083513052866</v>
      </c>
      <c r="AR12" s="335">
        <f t="shared" si="14"/>
        <v>-278.66893189381261</v>
      </c>
      <c r="AS12" s="335">
        <f t="shared" si="14"/>
        <v>47.769400655341016</v>
      </c>
      <c r="AT12" s="335">
        <f t="shared" si="14"/>
        <v>111.37219099772952</v>
      </c>
      <c r="AU12" s="335">
        <f t="shared" si="14"/>
        <v>51.691776181114335</v>
      </c>
      <c r="AV12" s="335">
        <f t="shared" si="14"/>
        <v>140.23339687429382</v>
      </c>
      <c r="AW12" s="335">
        <f t="shared" si="14"/>
        <v>188.026586077047</v>
      </c>
      <c r="AY12" s="3">
        <v>2019</v>
      </c>
      <c r="AZ12" s="707">
        <f>C12*Bioplastics!AL17</f>
        <v>264.88072057439848</v>
      </c>
      <c r="BD12" s="3">
        <v>2019</v>
      </c>
      <c r="BE12" s="1131">
        <f t="shared" si="15"/>
        <v>0.46314939108212971</v>
      </c>
      <c r="BF12" s="1131">
        <f t="shared" si="16"/>
        <v>0.34430000000000005</v>
      </c>
      <c r="BG12" s="1131">
        <f t="shared" si="17"/>
        <v>0.19255060891787015</v>
      </c>
    </row>
    <row r="13" spans="1:82" ht="14.4" x14ac:dyDescent="0.55000000000000004">
      <c r="B13" s="3">
        <v>2020</v>
      </c>
      <c r="C13" s="707">
        <v>2220.6184110457084</v>
      </c>
      <c r="D13" s="965">
        <v>625.17687311497821</v>
      </c>
      <c r="E13" s="965">
        <v>154.05903802176672</v>
      </c>
      <c r="F13" s="965">
        <v>940.44287980800891</v>
      </c>
      <c r="G13" s="965">
        <v>325.70609554144056</v>
      </c>
      <c r="H13" s="965">
        <v>272.17187746723528</v>
      </c>
      <c r="I13" s="965">
        <v>255.31003149590467</v>
      </c>
      <c r="J13" s="965">
        <v>230.37545524191984</v>
      </c>
      <c r="K13" s="965">
        <v>263.38052940489746</v>
      </c>
      <c r="L13" s="965">
        <v>273.10413996261036</v>
      </c>
      <c r="N13" s="3">
        <v>2020</v>
      </c>
      <c r="O13" s="707">
        <f>C13*Compost!J12/100</f>
        <v>1031.7889361085968</v>
      </c>
      <c r="P13" s="1130">
        <f t="shared" si="0"/>
        <v>404.83568339762758</v>
      </c>
      <c r="Q13" s="1130">
        <f t="shared" si="1"/>
        <v>29.104866259606123</v>
      </c>
      <c r="R13" s="1130">
        <f t="shared" si="2"/>
        <v>165.64027870423519</v>
      </c>
      <c r="S13" s="1130">
        <f t="shared" si="3"/>
        <v>298.76595266417883</v>
      </c>
      <c r="T13" s="1130">
        <f t="shared" si="4"/>
        <v>133.14213493930626</v>
      </c>
      <c r="U13" s="1130">
        <f t="shared" si="5"/>
        <v>135.26588218797906</v>
      </c>
      <c r="V13" s="1130">
        <f t="shared" si="6"/>
        <v>166.99692753184226</v>
      </c>
      <c r="W13" s="1130">
        <f t="shared" si="7"/>
        <v>123.87517161592847</v>
      </c>
      <c r="X13" s="1130">
        <f t="shared" si="8"/>
        <v>81.390512059871625</v>
      </c>
      <c r="AA13" s="3">
        <v>2020</v>
      </c>
      <c r="AB13" s="707">
        <f>C13*'H&amp;C Recycling'!M10/100</f>
        <v>760.33974394205075</v>
      </c>
      <c r="AC13" s="1166">
        <f t="shared" si="9"/>
        <v>224.46137788722302</v>
      </c>
      <c r="AD13" s="1166">
        <f t="shared" si="10"/>
        <v>35.799317277686249</v>
      </c>
      <c r="AE13" s="1166">
        <f t="shared" si="11"/>
        <v>110.18551876492704</v>
      </c>
      <c r="AF13" s="1166">
        <f t="shared" si="12"/>
        <v>300.79124702415612</v>
      </c>
      <c r="AG13" s="1166">
        <f t="shared" si="13"/>
        <v>89.102282988058221</v>
      </c>
      <c r="AH13" s="528"/>
      <c r="AI13" s="528"/>
      <c r="AJ13" s="528"/>
      <c r="AK13" s="528"/>
      <c r="AM13" s="3">
        <v>2020</v>
      </c>
      <c r="AN13" s="707">
        <f t="shared" si="14"/>
        <v>428.48973099506088</v>
      </c>
      <c r="AO13" s="335">
        <f t="shared" si="14"/>
        <v>-4.1201881698723923</v>
      </c>
      <c r="AP13" s="335">
        <f t="shared" si="14"/>
        <v>89.154854484474356</v>
      </c>
      <c r="AQ13" s="335">
        <f t="shared" si="14"/>
        <v>664.61708233884667</v>
      </c>
      <c r="AR13" s="335">
        <f t="shared" si="14"/>
        <v>-273.85110414689439</v>
      </c>
      <c r="AS13" s="335">
        <f t="shared" si="14"/>
        <v>49.927459539870796</v>
      </c>
      <c r="AT13" s="335">
        <f t="shared" si="14"/>
        <v>120.04414930792561</v>
      </c>
      <c r="AU13" s="335">
        <f t="shared" si="14"/>
        <v>63.378527710077577</v>
      </c>
      <c r="AV13" s="335">
        <f t="shared" si="14"/>
        <v>139.50535778896898</v>
      </c>
      <c r="AW13" s="335">
        <f t="shared" si="14"/>
        <v>191.71362790273872</v>
      </c>
      <c r="AY13" s="3">
        <v>2020</v>
      </c>
      <c r="AZ13" s="707">
        <f>C13*Bioplastics!AL18</f>
        <v>274.64782139423687</v>
      </c>
      <c r="BD13" s="3">
        <v>2020</v>
      </c>
      <c r="BE13" s="1131">
        <f t="shared" si="15"/>
        <v>0.46464035917936863</v>
      </c>
      <c r="BF13" s="1131">
        <f t="shared" si="16"/>
        <v>0.34240000000000009</v>
      </c>
      <c r="BG13" s="1131">
        <f t="shared" si="17"/>
        <v>0.1929596408206313</v>
      </c>
    </row>
    <row r="14" spans="1:82" ht="14.4" x14ac:dyDescent="0.55000000000000004">
      <c r="B14" s="3">
        <v>2021</v>
      </c>
      <c r="C14" s="707">
        <v>2256.0862349785043</v>
      </c>
      <c r="D14" s="965">
        <v>629.30320601969402</v>
      </c>
      <c r="E14" s="965">
        <v>155.378009568442</v>
      </c>
      <c r="F14" s="965">
        <v>963.49479779432568</v>
      </c>
      <c r="G14" s="965">
        <v>339.57379557518897</v>
      </c>
      <c r="H14" s="965">
        <v>277.21237014330131</v>
      </c>
      <c r="I14" s="965">
        <v>266.63753936988087</v>
      </c>
      <c r="J14" s="965">
        <v>245.34070250747621</v>
      </c>
      <c r="K14" s="965">
        <v>265.08441663112183</v>
      </c>
      <c r="L14" s="965">
        <v>278.65795231021883</v>
      </c>
      <c r="N14" s="3">
        <v>2021</v>
      </c>
      <c r="O14" s="707">
        <f>C14*Compost!J13/100</f>
        <v>1051.3540983021617</v>
      </c>
      <c r="P14" s="1130">
        <f t="shared" si="0"/>
        <v>412.51232687598298</v>
      </c>
      <c r="Q14" s="1130">
        <f t="shared" si="1"/>
        <v>29.656763463639791</v>
      </c>
      <c r="R14" s="1130">
        <f t="shared" si="2"/>
        <v>168.78121073521652</v>
      </c>
      <c r="S14" s="1130">
        <f t="shared" si="3"/>
        <v>304.4312628039014</v>
      </c>
      <c r="T14" s="1130">
        <f t="shared" si="4"/>
        <v>135.66682518720677</v>
      </c>
      <c r="U14" s="1130">
        <f t="shared" si="5"/>
        <v>137.83084371416555</v>
      </c>
      <c r="V14" s="1130">
        <f t="shared" si="6"/>
        <v>170.16358483804504</v>
      </c>
      <c r="W14" s="1130">
        <f t="shared" si="7"/>
        <v>126.22413828886266</v>
      </c>
      <c r="X14" s="1130">
        <f t="shared" si="8"/>
        <v>82.933868955589574</v>
      </c>
      <c r="AA14" s="3">
        <v>2021</v>
      </c>
      <c r="AB14" s="707">
        <f>C14*'H&amp;C Recycling'!M11/100</f>
        <v>768.19736301018099</v>
      </c>
      <c r="AC14" s="1166">
        <f t="shared" si="9"/>
        <v>226.78104092864342</v>
      </c>
      <c r="AD14" s="1166">
        <f t="shared" si="10"/>
        <v>36.169280048024646</v>
      </c>
      <c r="AE14" s="1166">
        <f t="shared" si="11"/>
        <v>111.32421477572653</v>
      </c>
      <c r="AF14" s="1166">
        <f t="shared" si="12"/>
        <v>303.89972985301614</v>
      </c>
      <c r="AG14" s="1166">
        <f t="shared" si="13"/>
        <v>90.023097404770169</v>
      </c>
      <c r="AH14" s="528"/>
      <c r="AI14" s="528"/>
      <c r="AJ14" s="528"/>
      <c r="AK14" s="528"/>
      <c r="AM14" s="3">
        <v>2021</v>
      </c>
      <c r="AN14" s="707">
        <f t="shared" si="14"/>
        <v>436.53477366616164</v>
      </c>
      <c r="AO14" s="335">
        <f t="shared" si="14"/>
        <v>-9.9901617849323827</v>
      </c>
      <c r="AP14" s="335">
        <f t="shared" si="14"/>
        <v>89.551966056777559</v>
      </c>
      <c r="AQ14" s="335">
        <f t="shared" si="14"/>
        <v>683.38937228338261</v>
      </c>
      <c r="AR14" s="335">
        <f t="shared" si="14"/>
        <v>-268.75719708172858</v>
      </c>
      <c r="AS14" s="335">
        <f t="shared" si="14"/>
        <v>51.522447551324376</v>
      </c>
      <c r="AT14" s="335">
        <f t="shared" si="14"/>
        <v>128.80669565571532</v>
      </c>
      <c r="AU14" s="335">
        <f t="shared" si="14"/>
        <v>75.177117669431169</v>
      </c>
      <c r="AV14" s="335">
        <f t="shared" si="14"/>
        <v>138.86027834225916</v>
      </c>
      <c r="AW14" s="335">
        <f t="shared" si="14"/>
        <v>195.72408335462927</v>
      </c>
      <c r="AY14" s="3">
        <v>2021</v>
      </c>
      <c r="AZ14" s="707">
        <f>C14*Bioplastics!AL19</f>
        <v>282.238699791849</v>
      </c>
      <c r="BD14" s="3">
        <v>2021</v>
      </c>
      <c r="BE14" s="1131">
        <f t="shared" si="15"/>
        <v>0.46600793976839222</v>
      </c>
      <c r="BF14" s="1131">
        <f t="shared" si="16"/>
        <v>0.34050000000000014</v>
      </c>
      <c r="BG14" s="1131">
        <f t="shared" si="17"/>
        <v>0.19349206023160764</v>
      </c>
    </row>
    <row r="15" spans="1:82" ht="14.4" x14ac:dyDescent="0.55000000000000004">
      <c r="B15" s="3">
        <v>2022</v>
      </c>
      <c r="C15" s="707">
        <v>2292.067049961684</v>
      </c>
      <c r="D15" s="965">
        <v>633.45069028043122</v>
      </c>
      <c r="E15" s="965">
        <v>157.19024520565935</v>
      </c>
      <c r="F15" s="965">
        <v>986.3798519092295</v>
      </c>
      <c r="G15" s="965">
        <v>353.52985480053525</v>
      </c>
      <c r="H15" s="965">
        <v>282.37723916937966</v>
      </c>
      <c r="I15" s="965">
        <v>277.96504724385699</v>
      </c>
      <c r="J15" s="965">
        <v>260.30594977303258</v>
      </c>
      <c r="K15" s="965">
        <v>266.78830385734619</v>
      </c>
      <c r="L15" s="965">
        <v>284.48067077151097</v>
      </c>
      <c r="N15" s="3">
        <v>2022</v>
      </c>
      <c r="O15" s="707">
        <f>C15*Compost!J14/100</f>
        <v>1070.9951068051464</v>
      </c>
      <c r="P15" s="1130">
        <f t="shared" si="0"/>
        <v>420.21872963109791</v>
      </c>
      <c r="Q15" s="1130">
        <f t="shared" si="1"/>
        <v>30.210800152421449</v>
      </c>
      <c r="R15" s="1130">
        <f t="shared" si="2"/>
        <v>171.9343189035757</v>
      </c>
      <c r="S15" s="1130">
        <f t="shared" si="3"/>
        <v>310.11853508539235</v>
      </c>
      <c r="T15" s="1130">
        <f t="shared" si="4"/>
        <v>138.20130264953656</v>
      </c>
      <c r="U15" s="1130">
        <f t="shared" si="5"/>
        <v>140.40574857042213</v>
      </c>
      <c r="V15" s="1130">
        <f t="shared" si="6"/>
        <v>173.34251800822977</v>
      </c>
      <c r="W15" s="1130">
        <f t="shared" si="7"/>
        <v>128.58221096620048</v>
      </c>
      <c r="X15" s="1130">
        <f t="shared" si="8"/>
        <v>84.48320882878042</v>
      </c>
      <c r="AA15" s="3">
        <v>2022</v>
      </c>
      <c r="AB15" s="707">
        <f>C15*'H&amp;C Recycling'!M12/100</f>
        <v>776.09390311702646</v>
      </c>
      <c r="AC15" s="1166">
        <f t="shared" si="9"/>
        <v>229.11219392576905</v>
      </c>
      <c r="AD15" s="1166">
        <f t="shared" si="10"/>
        <v>36.541075349971251</v>
      </c>
      <c r="AE15" s="1166">
        <f t="shared" si="11"/>
        <v>112.468551074142</v>
      </c>
      <c r="AF15" s="1166">
        <f t="shared" si="12"/>
        <v>307.02360988801183</v>
      </c>
      <c r="AG15" s="1166">
        <f t="shared" si="13"/>
        <v>90.948472879132211</v>
      </c>
      <c r="AH15" s="528"/>
      <c r="AI15" s="528"/>
      <c r="AJ15" s="528"/>
      <c r="AK15" s="528"/>
      <c r="AM15" s="3">
        <v>2022</v>
      </c>
      <c r="AN15" s="707">
        <f t="shared" si="14"/>
        <v>444.97804003951114</v>
      </c>
      <c r="AO15" s="335">
        <f t="shared" si="14"/>
        <v>-15.880233276435746</v>
      </c>
      <c r="AP15" s="335">
        <f t="shared" si="14"/>
        <v>90.438369703266645</v>
      </c>
      <c r="AQ15" s="335">
        <f t="shared" si="14"/>
        <v>701.97698193151177</v>
      </c>
      <c r="AR15" s="335">
        <f t="shared" si="14"/>
        <v>-263.61229017286894</v>
      </c>
      <c r="AS15" s="335">
        <f t="shared" si="14"/>
        <v>53.227463640710894</v>
      </c>
      <c r="AT15" s="335">
        <f t="shared" si="14"/>
        <v>137.55929867343485</v>
      </c>
      <c r="AU15" s="335">
        <f t="shared" si="14"/>
        <v>86.963431764802806</v>
      </c>
      <c r="AV15" s="335">
        <f t="shared" si="14"/>
        <v>138.20609289114572</v>
      </c>
      <c r="AW15" s="335">
        <f t="shared" si="14"/>
        <v>199.99746194273055</v>
      </c>
      <c r="AY15" s="3">
        <v>2022</v>
      </c>
      <c r="AZ15" s="707">
        <f>C15*Bioplastics!AL20</f>
        <v>289.85200041827005</v>
      </c>
      <c r="BD15" s="3">
        <v>2022</v>
      </c>
      <c r="BE15" s="1131">
        <f t="shared" si="15"/>
        <v>0.46726168277801911</v>
      </c>
      <c r="BF15" s="1131">
        <f t="shared" si="16"/>
        <v>0.33860000000000012</v>
      </c>
      <c r="BG15" s="1131">
        <f t="shared" si="17"/>
        <v>0.1941383172219808</v>
      </c>
    </row>
    <row r="16" spans="1:82" ht="14.4" x14ac:dyDescent="0.55000000000000004">
      <c r="B16" s="3">
        <v>2023</v>
      </c>
      <c r="C16" s="707">
        <v>2327.8121531494985</v>
      </c>
      <c r="D16" s="965">
        <v>637.60454708429847</v>
      </c>
      <c r="E16" s="965">
        <v>158.92340554750592</v>
      </c>
      <c r="F16" s="965">
        <v>1008.979690245764</v>
      </c>
      <c r="G16" s="965">
        <v>367.45543056687239</v>
      </c>
      <c r="H16" s="965">
        <v>287.44590300639197</v>
      </c>
      <c r="I16" s="965">
        <v>289.29255511783316</v>
      </c>
      <c r="J16" s="965">
        <v>275.27119703858892</v>
      </c>
      <c r="K16" s="965">
        <v>268.49219108357056</v>
      </c>
      <c r="L16" s="965">
        <v>290.57229534648678</v>
      </c>
      <c r="N16" s="3">
        <v>2023</v>
      </c>
      <c r="O16" s="707">
        <f>C16*Compost!J15/100</f>
        <v>1090.3716746307305</v>
      </c>
      <c r="P16" s="1130">
        <f t="shared" si="0"/>
        <v>427.82137567918966</v>
      </c>
      <c r="Q16" s="1130">
        <f t="shared" si="1"/>
        <v>30.757377456555727</v>
      </c>
      <c r="R16" s="1130">
        <f t="shared" si="2"/>
        <v>175.04497456447675</v>
      </c>
      <c r="S16" s="1130">
        <f t="shared" si="3"/>
        <v>315.72923563002723</v>
      </c>
      <c r="T16" s="1130">
        <f t="shared" si="4"/>
        <v>140.70165666362826</v>
      </c>
      <c r="U16" s="1130">
        <f t="shared" si="5"/>
        <v>142.94598567607275</v>
      </c>
      <c r="V16" s="1130">
        <f t="shared" si="6"/>
        <v>176.47865097083826</v>
      </c>
      <c r="W16" s="1130">
        <f t="shared" si="7"/>
        <v>130.90853525668433</v>
      </c>
      <c r="X16" s="1130">
        <f t="shared" si="8"/>
        <v>86.011688852257947</v>
      </c>
      <c r="AA16" s="3">
        <v>2023</v>
      </c>
      <c r="AB16" s="707">
        <f>C16*'H&amp;C Recycling'!M13/100</f>
        <v>783.77435196543649</v>
      </c>
      <c r="AC16" s="1166">
        <f t="shared" si="9"/>
        <v>231.37955420128011</v>
      </c>
      <c r="AD16" s="1166">
        <f t="shared" si="10"/>
        <v>36.902696358671569</v>
      </c>
      <c r="AE16" s="1166">
        <f t="shared" si="11"/>
        <v>113.5815722563861</v>
      </c>
      <c r="AF16" s="1166">
        <f t="shared" si="12"/>
        <v>310.06200398121155</v>
      </c>
      <c r="AG16" s="1166">
        <f t="shared" si="13"/>
        <v>91.84852516788709</v>
      </c>
      <c r="AH16" s="528"/>
      <c r="AI16" s="528"/>
      <c r="AJ16" s="528"/>
      <c r="AK16" s="528"/>
      <c r="AM16" s="3">
        <v>2023</v>
      </c>
      <c r="AN16" s="707">
        <f t="shared" si="14"/>
        <v>453.66612655333154</v>
      </c>
      <c r="AO16" s="335">
        <f t="shared" si="14"/>
        <v>-21.596382796171298</v>
      </c>
      <c r="AP16" s="335">
        <f t="shared" si="14"/>
        <v>91.26333173227863</v>
      </c>
      <c r="AQ16" s="335">
        <f t="shared" si="14"/>
        <v>720.35314342490119</v>
      </c>
      <c r="AR16" s="335">
        <f t="shared" si="14"/>
        <v>-258.33580904436639</v>
      </c>
      <c r="AS16" s="335">
        <f t="shared" si="14"/>
        <v>54.895721174876627</v>
      </c>
      <c r="AT16" s="335">
        <f t="shared" si="14"/>
        <v>146.34656944176041</v>
      </c>
      <c r="AU16" s="335">
        <f t="shared" si="14"/>
        <v>98.792546067750663</v>
      </c>
      <c r="AV16" s="335">
        <f t="shared" si="14"/>
        <v>137.58365582688623</v>
      </c>
      <c r="AW16" s="335">
        <f t="shared" si="14"/>
        <v>204.56060649422884</v>
      </c>
      <c r="AY16" s="3">
        <v>2023</v>
      </c>
      <c r="AZ16" s="707">
        <f>C16*Bioplastics!AL21</f>
        <v>297.48467994274148</v>
      </c>
      <c r="BD16" s="3">
        <v>2023</v>
      </c>
      <c r="BE16" s="1131">
        <f t="shared" si="15"/>
        <v>0.46841050862092642</v>
      </c>
      <c r="BF16" s="1131">
        <f t="shared" si="16"/>
        <v>0.33670000000000017</v>
      </c>
      <c r="BG16" s="1131">
        <f t="shared" si="17"/>
        <v>0.19488949137907344</v>
      </c>
    </row>
    <row r="17" spans="2:59" ht="14.4" x14ac:dyDescent="0.55000000000000004">
      <c r="B17" s="3">
        <v>2024</v>
      </c>
      <c r="C17" s="707">
        <v>2363.3235557594176</v>
      </c>
      <c r="D17" s="965">
        <v>641.76803572153256</v>
      </c>
      <c r="E17" s="965">
        <v>160.57978572975696</v>
      </c>
      <c r="F17" s="965">
        <v>1031.2959903210772</v>
      </c>
      <c r="G17" s="965">
        <v>381.36098174446442</v>
      </c>
      <c r="H17" s="965">
        <v>292.41719687986119</v>
      </c>
      <c r="I17" s="965">
        <v>300.62006299180933</v>
      </c>
      <c r="J17" s="965">
        <v>290.23644430414527</v>
      </c>
      <c r="K17" s="965">
        <v>270.19607830979493</v>
      </c>
      <c r="L17" s="965">
        <v>296.93282603514621</v>
      </c>
      <c r="N17" s="3">
        <v>2024</v>
      </c>
      <c r="O17" s="707">
        <f>C17*Compost!J16/100</f>
        <v>1109.4923305667407</v>
      </c>
      <c r="P17" s="1130">
        <f t="shared" si="0"/>
        <v>435.32361140005315</v>
      </c>
      <c r="Q17" s="1130">
        <f t="shared" si="1"/>
        <v>31.296735957444856</v>
      </c>
      <c r="R17" s="1130">
        <f t="shared" si="2"/>
        <v>178.11454690375135</v>
      </c>
      <c r="S17" s="1130">
        <f t="shared" si="3"/>
        <v>321.26583404310117</v>
      </c>
      <c r="T17" s="1130">
        <f t="shared" si="4"/>
        <v>143.16898778501215</v>
      </c>
      <c r="U17" s="1130">
        <f t="shared" si="5"/>
        <v>145.45267314158463</v>
      </c>
      <c r="V17" s="1130">
        <f t="shared" si="6"/>
        <v>179.57336412578832</v>
      </c>
      <c r="W17" s="1130">
        <f t="shared" si="7"/>
        <v>133.20413511494166</v>
      </c>
      <c r="X17" s="1130">
        <f t="shared" si="8"/>
        <v>87.519981801610442</v>
      </c>
      <c r="AA17" s="3">
        <v>2024</v>
      </c>
      <c r="AB17" s="707">
        <f>C17*'H&amp;C Recycling'!M14/100</f>
        <v>791.24072646825346</v>
      </c>
      <c r="AC17" s="1166">
        <f t="shared" si="9"/>
        <v>233.58371717194819</v>
      </c>
      <c r="AD17" s="1166">
        <f t="shared" si="10"/>
        <v>37.254238037072568</v>
      </c>
      <c r="AE17" s="1166">
        <f t="shared" si="11"/>
        <v>114.66357060573031</v>
      </c>
      <c r="AF17" s="1166">
        <f t="shared" si="12"/>
        <v>313.01571002557534</v>
      </c>
      <c r="AG17" s="1166">
        <f t="shared" si="13"/>
        <v>92.723490627926921</v>
      </c>
      <c r="AH17" s="528"/>
      <c r="AI17" s="528"/>
      <c r="AJ17" s="528"/>
      <c r="AK17" s="528"/>
      <c r="AM17" s="3">
        <v>2024</v>
      </c>
      <c r="AN17" s="707">
        <f t="shared" si="14"/>
        <v>462.59049872442336</v>
      </c>
      <c r="AO17" s="335">
        <f t="shared" si="14"/>
        <v>-27.139292850468792</v>
      </c>
      <c r="AP17" s="335">
        <f t="shared" si="14"/>
        <v>92.028811735239529</v>
      </c>
      <c r="AQ17" s="335">
        <f t="shared" si="14"/>
        <v>738.51787281159545</v>
      </c>
      <c r="AR17" s="335">
        <f t="shared" si="14"/>
        <v>-252.92056232421209</v>
      </c>
      <c r="AS17" s="335">
        <f t="shared" si="14"/>
        <v>56.524718466922124</v>
      </c>
      <c r="AT17" s="335">
        <f t="shared" si="14"/>
        <v>155.16738985022471</v>
      </c>
      <c r="AU17" s="335">
        <f t="shared" si="14"/>
        <v>110.66308017835695</v>
      </c>
      <c r="AV17" s="335">
        <f t="shared" si="14"/>
        <v>136.99194319485326</v>
      </c>
      <c r="AW17" s="335">
        <f t="shared" si="14"/>
        <v>209.41284423353576</v>
      </c>
      <c r="AY17" s="3">
        <v>2024</v>
      </c>
      <c r="AZ17" s="707">
        <f>C17*Bioplastics!AL22</f>
        <v>306.56435355952715</v>
      </c>
      <c r="BD17" s="3">
        <v>2024</v>
      </c>
      <c r="BE17" s="1131">
        <f t="shared" si="15"/>
        <v>0.46946273093369245</v>
      </c>
      <c r="BF17" s="1131">
        <f t="shared" si="16"/>
        <v>0.33480000000000021</v>
      </c>
      <c r="BG17" s="1131">
        <f t="shared" si="17"/>
        <v>0.19573726906630737</v>
      </c>
    </row>
    <row r="18" spans="2:59" ht="14.4" x14ac:dyDescent="0.55000000000000004">
      <c r="B18" s="3">
        <v>2025</v>
      </c>
      <c r="C18" s="707">
        <v>2397.5749666971119</v>
      </c>
      <c r="D18" s="965">
        <v>645.33761464870258</v>
      </c>
      <c r="E18" s="965">
        <v>162.56453111349254</v>
      </c>
      <c r="F18" s="965">
        <v>1054.7670288822792</v>
      </c>
      <c r="G18" s="965">
        <v>393.15077791454638</v>
      </c>
      <c r="H18" s="965">
        <v>297.67413785955728</v>
      </c>
      <c r="I18" s="965">
        <v>311.94757086578551</v>
      </c>
      <c r="J18" s="965">
        <v>305.20169156970167</v>
      </c>
      <c r="K18" s="965">
        <v>271.89996553601929</v>
      </c>
      <c r="L18" s="965">
        <v>303.5622628374893</v>
      </c>
      <c r="N18" s="3">
        <v>2025</v>
      </c>
      <c r="O18" s="707">
        <f>C18*Compost!J17/100</f>
        <v>1126.8602343476425</v>
      </c>
      <c r="P18" s="1130">
        <f t="shared" si="0"/>
        <v>442.13813222913245</v>
      </c>
      <c r="Q18" s="1130">
        <f t="shared" si="1"/>
        <v>31.786652547032759</v>
      </c>
      <c r="R18" s="1130">
        <f t="shared" si="2"/>
        <v>180.90273770721828</v>
      </c>
      <c r="S18" s="1130">
        <f t="shared" si="3"/>
        <v>326.29490359142471</v>
      </c>
      <c r="T18" s="1130">
        <f t="shared" si="4"/>
        <v>145.4101436143535</v>
      </c>
      <c r="U18" s="1130">
        <f t="shared" si="5"/>
        <v>147.72957759797467</v>
      </c>
      <c r="V18" s="1130">
        <f t="shared" si="6"/>
        <v>182.38439113681451</v>
      </c>
      <c r="W18" s="1130">
        <f t="shared" si="7"/>
        <v>135.28930194138815</v>
      </c>
      <c r="X18" s="1130">
        <f t="shared" si="8"/>
        <v>88.890012563391537</v>
      </c>
      <c r="AA18" s="3">
        <v>2025</v>
      </c>
      <c r="AB18" s="707">
        <f>C18*'H&amp;C Recycling'!M15/100</f>
        <v>798.15270641346899</v>
      </c>
      <c r="AC18" s="1166">
        <f t="shared" si="9"/>
        <v>235.62421624462351</v>
      </c>
      <c r="AD18" s="1166">
        <f t="shared" si="10"/>
        <v>37.579676980712257</v>
      </c>
      <c r="AE18" s="1166">
        <f t="shared" si="11"/>
        <v>115.66522822263688</v>
      </c>
      <c r="AF18" s="1166">
        <f t="shared" si="12"/>
        <v>315.7500969673236</v>
      </c>
      <c r="AG18" s="1166">
        <f t="shared" si="13"/>
        <v>93.533487998172646</v>
      </c>
      <c r="AH18" s="528"/>
      <c r="AI18" s="528"/>
      <c r="AJ18" s="528"/>
      <c r="AK18" s="528"/>
      <c r="AM18" s="3">
        <v>2025</v>
      </c>
      <c r="AN18" s="707">
        <f t="shared" si="14"/>
        <v>472.5620259360004</v>
      </c>
      <c r="AO18" s="335">
        <f t="shared" si="14"/>
        <v>-32.42473382505338</v>
      </c>
      <c r="AP18" s="335">
        <f t="shared" si="14"/>
        <v>93.198201585747512</v>
      </c>
      <c r="AQ18" s="335">
        <f t="shared" si="14"/>
        <v>758.19906295242401</v>
      </c>
      <c r="AR18" s="335">
        <f t="shared" si="14"/>
        <v>-248.89422264420193</v>
      </c>
      <c r="AS18" s="335">
        <f t="shared" si="14"/>
        <v>58.73050624703113</v>
      </c>
      <c r="AT18" s="335">
        <f t="shared" si="14"/>
        <v>164.21799326781084</v>
      </c>
      <c r="AU18" s="335">
        <f t="shared" si="14"/>
        <v>122.81730043288715</v>
      </c>
      <c r="AV18" s="335">
        <f t="shared" si="14"/>
        <v>136.61066359463115</v>
      </c>
      <c r="AW18" s="335">
        <f t="shared" si="14"/>
        <v>214.67225027409776</v>
      </c>
      <c r="AY18" s="3">
        <v>2025</v>
      </c>
      <c r="AZ18" s="707">
        <f>C18*Bioplastics!AL23</f>
        <v>315.85262602417703</v>
      </c>
      <c r="BD18" s="3">
        <v>2025</v>
      </c>
      <c r="BE18" s="1131">
        <f t="shared" si="15"/>
        <v>0.47</v>
      </c>
      <c r="BF18" s="1131">
        <f t="shared" si="16"/>
        <v>0.3329000000000002</v>
      </c>
      <c r="BG18" s="1131">
        <f t="shared" si="17"/>
        <v>0.19709999999999986</v>
      </c>
    </row>
    <row r="19" spans="2:59" ht="14.4" x14ac:dyDescent="0.55000000000000004">
      <c r="B19" s="3">
        <v>2026</v>
      </c>
      <c r="C19" s="707">
        <v>2442.0419175786424</v>
      </c>
      <c r="D19" s="965">
        <v>650.12912558417747</v>
      </c>
      <c r="E19" s="965">
        <v>163.67203816548002</v>
      </c>
      <c r="F19" s="965">
        <v>1073.8381094455226</v>
      </c>
      <c r="G19" s="965">
        <v>405.95202258375934</v>
      </c>
      <c r="H19" s="965">
        <v>302.06574838952901</v>
      </c>
      <c r="I19" s="965">
        <v>323.27507873976163</v>
      </c>
      <c r="J19" s="965">
        <v>320.16693883525807</v>
      </c>
      <c r="K19" s="965">
        <v>273.60385276224366</v>
      </c>
      <c r="L19" s="965">
        <v>310.46060575351601</v>
      </c>
      <c r="N19" s="3">
        <v>2026</v>
      </c>
      <c r="O19" s="707">
        <f>C19*Compost!J18/100</f>
        <v>1150.9532588230409</v>
      </c>
      <c r="P19" s="1130">
        <f t="shared" si="0"/>
        <v>451.59134081401987</v>
      </c>
      <c r="Q19" s="1130">
        <f t="shared" si="1"/>
        <v>32.466272409783528</v>
      </c>
      <c r="R19" s="1130">
        <f t="shared" si="2"/>
        <v>184.7705590699712</v>
      </c>
      <c r="S19" s="1130">
        <f t="shared" si="3"/>
        <v>333.27130657273767</v>
      </c>
      <c r="T19" s="1130">
        <f t="shared" si="4"/>
        <v>148.51910960879201</v>
      </c>
      <c r="U19" s="1130">
        <f t="shared" si="5"/>
        <v>150.88813464020518</v>
      </c>
      <c r="V19" s="1130">
        <f t="shared" si="6"/>
        <v>186.28389123953468</v>
      </c>
      <c r="W19" s="1130">
        <f t="shared" si="7"/>
        <v>138.18187758083326</v>
      </c>
      <c r="X19" s="1130">
        <f t="shared" si="8"/>
        <v>90.790540404404652</v>
      </c>
      <c r="AA19" s="3">
        <v>2026</v>
      </c>
      <c r="AB19" s="707">
        <f>C19*'H&amp;C Recycling'!M16/100</f>
        <v>808.31587471853118</v>
      </c>
      <c r="AC19" s="1166">
        <f t="shared" si="9"/>
        <v>238.62450497032751</v>
      </c>
      <c r="AD19" s="1166">
        <f t="shared" si="10"/>
        <v>38.058192656892899</v>
      </c>
      <c r="AE19" s="1166">
        <f t="shared" si="11"/>
        <v>117.13803558396546</v>
      </c>
      <c r="AF19" s="1166">
        <f t="shared" si="12"/>
        <v>319.77065763451532</v>
      </c>
      <c r="AG19" s="1166">
        <f t="shared" si="13"/>
        <v>94.724483872829879</v>
      </c>
      <c r="AH19" s="528"/>
      <c r="AI19" s="528"/>
      <c r="AJ19" s="528"/>
      <c r="AK19" s="528"/>
      <c r="AM19" s="3">
        <v>2026</v>
      </c>
      <c r="AN19" s="707">
        <f t="shared" si="14"/>
        <v>482.77278403707032</v>
      </c>
      <c r="AO19" s="335">
        <f t="shared" si="14"/>
        <v>-40.086720200169907</v>
      </c>
      <c r="AP19" s="335">
        <f t="shared" si="14"/>
        <v>93.147573098803591</v>
      </c>
      <c r="AQ19" s="335">
        <f t="shared" si="14"/>
        <v>771.92951479158592</v>
      </c>
      <c r="AR19" s="335">
        <f t="shared" si="14"/>
        <v>-247.08994162349364</v>
      </c>
      <c r="AS19" s="335">
        <f t="shared" si="14"/>
        <v>58.82215490790712</v>
      </c>
      <c r="AT19" s="335">
        <f t="shared" si="14"/>
        <v>172.38694409955644</v>
      </c>
      <c r="AU19" s="335">
        <f t="shared" si="14"/>
        <v>133.88304759572338</v>
      </c>
      <c r="AV19" s="335">
        <f t="shared" si="14"/>
        <v>135.4219751814104</v>
      </c>
      <c r="AW19" s="335">
        <f t="shared" si="14"/>
        <v>219.67006534911135</v>
      </c>
      <c r="AY19" s="3">
        <v>2026</v>
      </c>
      <c r="AZ19" s="707">
        <f>C19*Bioplastics!AL24</f>
        <v>325.35645565684013</v>
      </c>
      <c r="BD19" s="3">
        <v>2026</v>
      </c>
      <c r="BE19" s="1131">
        <f t="shared" si="15"/>
        <v>0.47130774068130882</v>
      </c>
      <c r="BF19" s="1131">
        <f t="shared" si="16"/>
        <v>0.33100000000000024</v>
      </c>
      <c r="BG19" s="1131">
        <f t="shared" si="17"/>
        <v>0.19769225931869097</v>
      </c>
    </row>
    <row r="20" spans="2:59" ht="14.4" x14ac:dyDescent="0.55000000000000004">
      <c r="B20" s="3">
        <v>2027</v>
      </c>
      <c r="C20" s="707">
        <v>2489.1118050597343</v>
      </c>
      <c r="D20" s="965">
        <v>654.32417528593624</v>
      </c>
      <c r="E20" s="965">
        <v>165.11270561844327</v>
      </c>
      <c r="F20" s="965">
        <v>1095.2129011047398</v>
      </c>
      <c r="G20" s="965">
        <v>419.75745462802143</v>
      </c>
      <c r="H20" s="965">
        <v>306.74374586939211</v>
      </c>
      <c r="I20" s="965">
        <v>334.6025866137378</v>
      </c>
      <c r="J20" s="965">
        <v>335.13218610081441</v>
      </c>
      <c r="K20" s="965">
        <v>275.30773998846803</v>
      </c>
      <c r="L20" s="965">
        <v>317.62785478322638</v>
      </c>
      <c r="N20" s="3">
        <v>2027</v>
      </c>
      <c r="O20" s="707">
        <f>C20*Compost!J19/100</f>
        <v>1175.1454267915165</v>
      </c>
      <c r="P20" s="1130">
        <f t="shared" si="0"/>
        <v>461.08344962585267</v>
      </c>
      <c r="Q20" s="1130">
        <f t="shared" si="1"/>
        <v>33.148688927940782</v>
      </c>
      <c r="R20" s="1130">
        <f t="shared" si="2"/>
        <v>188.65429662958408</v>
      </c>
      <c r="S20" s="1130">
        <f t="shared" si="3"/>
        <v>340.27641765424738</v>
      </c>
      <c r="T20" s="1130">
        <f t="shared" si="4"/>
        <v>151.64086908828514</v>
      </c>
      <c r="U20" s="1130">
        <f t="shared" si="5"/>
        <v>154.05968923608739</v>
      </c>
      <c r="V20" s="1130">
        <f t="shared" si="6"/>
        <v>190.19943789804668</v>
      </c>
      <c r="W20" s="1130">
        <f t="shared" si="7"/>
        <v>141.08635625275892</v>
      </c>
      <c r="X20" s="1130">
        <f t="shared" si="8"/>
        <v>92.698888972493407</v>
      </c>
      <c r="AA20" s="3">
        <v>2027</v>
      </c>
      <c r="AB20" s="707">
        <f>C20*'H&amp;C Recycling'!M17/100</f>
        <v>819.16669504515914</v>
      </c>
      <c r="AC20" s="1166">
        <f t="shared" si="9"/>
        <v>241.82779678971087</v>
      </c>
      <c r="AD20" s="1166">
        <f t="shared" si="10"/>
        <v>38.569085271268364</v>
      </c>
      <c r="AE20" s="1166">
        <f t="shared" si="11"/>
        <v>118.71049483818754</v>
      </c>
      <c r="AF20" s="1166">
        <f t="shared" si="12"/>
        <v>324.06325420504294</v>
      </c>
      <c r="AG20" s="1166">
        <f t="shared" si="13"/>
        <v>95.996063940949355</v>
      </c>
      <c r="AH20" s="528"/>
      <c r="AI20" s="528"/>
      <c r="AJ20" s="528"/>
      <c r="AK20" s="528"/>
      <c r="AM20" s="3">
        <v>2027</v>
      </c>
      <c r="AN20" s="707">
        <f t="shared" si="14"/>
        <v>494.79968322305865</v>
      </c>
      <c r="AO20" s="335">
        <f t="shared" si="14"/>
        <v>-48.587071129627304</v>
      </c>
      <c r="AP20" s="335">
        <f t="shared" si="14"/>
        <v>93.394931419234126</v>
      </c>
      <c r="AQ20" s="335">
        <f t="shared" si="14"/>
        <v>787.84810963696816</v>
      </c>
      <c r="AR20" s="335">
        <f t="shared" si="14"/>
        <v>-244.58221723126888</v>
      </c>
      <c r="AS20" s="335">
        <f t="shared" si="14"/>
        <v>59.106812840157616</v>
      </c>
      <c r="AT20" s="335">
        <f t="shared" si="14"/>
        <v>180.54289737765041</v>
      </c>
      <c r="AU20" s="335">
        <f t="shared" si="14"/>
        <v>144.93274820276773</v>
      </c>
      <c r="AV20" s="335">
        <f t="shared" si="14"/>
        <v>134.22138373570911</v>
      </c>
      <c r="AW20" s="335">
        <f t="shared" si="14"/>
        <v>224.92896581073296</v>
      </c>
      <c r="AY20" s="3">
        <v>2027</v>
      </c>
      <c r="AZ20" s="707">
        <f>C20*Bioplastics!AL25</f>
        <v>335.07381964432847</v>
      </c>
      <c r="BD20" s="3">
        <v>2027</v>
      </c>
      <c r="BE20" s="1131">
        <f t="shared" si="15"/>
        <v>0.47211435999087836</v>
      </c>
      <c r="BF20" s="1131">
        <f t="shared" si="16"/>
        <v>0.32910000000000023</v>
      </c>
      <c r="BG20" s="1131">
        <f t="shared" si="17"/>
        <v>0.19878564000912138</v>
      </c>
    </row>
    <row r="21" spans="2:59" ht="14.4" x14ac:dyDescent="0.55000000000000004">
      <c r="B21" s="3">
        <v>2028</v>
      </c>
      <c r="C21" s="707">
        <v>2535.9468423081339</v>
      </c>
      <c r="D21" s="965">
        <v>658.52255454040869</v>
      </c>
      <c r="E21" s="965">
        <v>166.48745371756607</v>
      </c>
      <c r="F21" s="965">
        <v>1116.2976019953801</v>
      </c>
      <c r="G21" s="965">
        <v>433.59206384940489</v>
      </c>
      <c r="H21" s="965">
        <v>311.3257948284695</v>
      </c>
      <c r="I21" s="965">
        <v>345.93009448771397</v>
      </c>
      <c r="J21" s="965">
        <v>350.09743336637075</v>
      </c>
      <c r="K21" s="965">
        <v>277.01162721469234</v>
      </c>
      <c r="L21" s="965">
        <v>325.06400992662037</v>
      </c>
      <c r="N21" s="3">
        <v>2028</v>
      </c>
      <c r="O21" s="707">
        <f>C21*Compost!J20/100</f>
        <v>1199.1277829077062</v>
      </c>
      <c r="P21" s="1130">
        <f t="shared" si="0"/>
        <v>470.49323605407341</v>
      </c>
      <c r="Q21" s="1130">
        <f t="shared" si="1"/>
        <v>33.825187040029945</v>
      </c>
      <c r="R21" s="1130">
        <f t="shared" si="2"/>
        <v>192.50435162828566</v>
      </c>
      <c r="S21" s="1130">
        <f t="shared" si="3"/>
        <v>347.22077538230013</v>
      </c>
      <c r="T21" s="1130">
        <f t="shared" si="4"/>
        <v>154.73555442793113</v>
      </c>
      <c r="U21" s="1130">
        <f t="shared" si="5"/>
        <v>157.20373783311678</v>
      </c>
      <c r="V21" s="1130">
        <f t="shared" si="6"/>
        <v>194.08102612430059</v>
      </c>
      <c r="W21" s="1130">
        <f t="shared" si="7"/>
        <v>143.96564520002346</v>
      </c>
      <c r="X21" s="1130">
        <f t="shared" si="8"/>
        <v>94.590686971472365</v>
      </c>
      <c r="AA21" s="3">
        <v>2028</v>
      </c>
      <c r="AB21" s="707">
        <f>C21*'H&amp;C Recycling'!M18/100</f>
        <v>829.76180680322216</v>
      </c>
      <c r="AC21" s="1166">
        <f t="shared" si="9"/>
        <v>244.95560038413299</v>
      </c>
      <c r="AD21" s="1166">
        <f t="shared" si="10"/>
        <v>39.067938278021551</v>
      </c>
      <c r="AE21" s="1166">
        <f t="shared" si="11"/>
        <v>120.24589778763999</v>
      </c>
      <c r="AF21" s="1166">
        <f t="shared" si="12"/>
        <v>328.2546921818942</v>
      </c>
      <c r="AG21" s="1166">
        <f t="shared" si="13"/>
        <v>97.237678171533346</v>
      </c>
      <c r="AH21" s="528"/>
      <c r="AI21" s="528"/>
      <c r="AJ21" s="528"/>
      <c r="AK21" s="528"/>
      <c r="AM21" s="3">
        <v>2028</v>
      </c>
      <c r="AN21" s="707">
        <f t="shared" si="14"/>
        <v>507.05725259720555</v>
      </c>
      <c r="AO21" s="335">
        <f t="shared" si="14"/>
        <v>-56.926281897797708</v>
      </c>
      <c r="AP21" s="335">
        <f t="shared" si="14"/>
        <v>93.59432839951458</v>
      </c>
      <c r="AQ21" s="335">
        <f t="shared" si="14"/>
        <v>803.54735257945435</v>
      </c>
      <c r="AR21" s="335">
        <f t="shared" si="14"/>
        <v>-241.88340371478944</v>
      </c>
      <c r="AS21" s="335">
        <f t="shared" si="14"/>
        <v>59.352562229005017</v>
      </c>
      <c r="AT21" s="335">
        <f t="shared" si="14"/>
        <v>188.7263566545972</v>
      </c>
      <c r="AU21" s="335">
        <f t="shared" si="14"/>
        <v>156.01640724207016</v>
      </c>
      <c r="AV21" s="335">
        <f t="shared" si="14"/>
        <v>133.04598201466888</v>
      </c>
      <c r="AW21" s="335">
        <f t="shared" si="14"/>
        <v>230.47332295514801</v>
      </c>
      <c r="AY21" s="3">
        <v>2028</v>
      </c>
      <c r="AZ21" s="707">
        <f>C21*Bioplastics!AL26</f>
        <v>345.01283762624877</v>
      </c>
      <c r="BD21" s="3">
        <v>2028</v>
      </c>
      <c r="BE21" s="1131">
        <f t="shared" si="15"/>
        <v>0.47285209725307187</v>
      </c>
      <c r="BF21" s="1131">
        <f t="shared" si="16"/>
        <v>0.32720000000000027</v>
      </c>
      <c r="BG21" s="1131">
        <f t="shared" si="17"/>
        <v>0.19994790274692786</v>
      </c>
    </row>
    <row r="22" spans="2:59" ht="14.4" x14ac:dyDescent="0.55000000000000004">
      <c r="B22" s="3">
        <v>2029</v>
      </c>
      <c r="C22" s="707">
        <v>2582.5519206119802</v>
      </c>
      <c r="D22" s="965">
        <v>662.71694470772582</v>
      </c>
      <c r="E22" s="965">
        <v>167.80032966400597</v>
      </c>
      <c r="F22" s="965">
        <v>1137.0970317191409</v>
      </c>
      <c r="G22" s="965">
        <v>447.47094582272166</v>
      </c>
      <c r="H22" s="965">
        <v>315.81377932164031</v>
      </c>
      <c r="I22" s="965">
        <v>357.25760236169015</v>
      </c>
      <c r="J22" s="965">
        <v>365.06268063192715</v>
      </c>
      <c r="K22" s="965">
        <v>278.71551444091676</v>
      </c>
      <c r="L22" s="965">
        <v>332.76907118369809</v>
      </c>
      <c r="N22" s="3">
        <v>2029</v>
      </c>
      <c r="O22" s="707">
        <f>C22*Compost!J21/100</f>
        <v>1222.9071408546165</v>
      </c>
      <c r="P22" s="1130">
        <f t="shared" si="0"/>
        <v>479.82337353500196</v>
      </c>
      <c r="Q22" s="1130">
        <f t="shared" si="1"/>
        <v>34.495958947503937</v>
      </c>
      <c r="R22" s="1130">
        <f t="shared" si="2"/>
        <v>196.32181791416124</v>
      </c>
      <c r="S22" s="1130">
        <f t="shared" si="3"/>
        <v>354.10635273453045</v>
      </c>
      <c r="T22" s="1130">
        <f t="shared" si="4"/>
        <v>157.80404486598366</v>
      </c>
      <c r="U22" s="1130">
        <f t="shared" si="5"/>
        <v>160.32117369425688</v>
      </c>
      <c r="V22" s="1130">
        <f t="shared" si="6"/>
        <v>197.92975872536033</v>
      </c>
      <c r="W22" s="1130">
        <f t="shared" si="7"/>
        <v>146.82056246411017</v>
      </c>
      <c r="X22" s="1130">
        <f t="shared" si="8"/>
        <v>96.466471884473506</v>
      </c>
      <c r="AA22" s="3">
        <v>2029</v>
      </c>
      <c r="AB22" s="707">
        <f>C22*'H&amp;C Recycling'!M19/100</f>
        <v>840.1041397750779</v>
      </c>
      <c r="AC22" s="1166">
        <f t="shared" si="9"/>
        <v>248.00878066035452</v>
      </c>
      <c r="AD22" s="1166">
        <f t="shared" si="10"/>
        <v>39.554889621024287</v>
      </c>
      <c r="AE22" s="1166">
        <f t="shared" si="11"/>
        <v>121.74466900514246</v>
      </c>
      <c r="AF22" s="1166">
        <f t="shared" si="12"/>
        <v>332.34613059022314</v>
      </c>
      <c r="AG22" s="1166">
        <f t="shared" si="13"/>
        <v>98.449669898333369</v>
      </c>
      <c r="AH22" s="528"/>
      <c r="AI22" s="528"/>
      <c r="AJ22" s="528"/>
      <c r="AK22" s="528"/>
      <c r="AM22" s="3">
        <v>2029</v>
      </c>
      <c r="AN22" s="707">
        <f t="shared" si="14"/>
        <v>519.54063998228582</v>
      </c>
      <c r="AO22" s="335">
        <f t="shared" si="14"/>
        <v>-65.115209487630665</v>
      </c>
      <c r="AP22" s="335">
        <f t="shared" si="14"/>
        <v>93.749481095477748</v>
      </c>
      <c r="AQ22" s="335">
        <f t="shared" si="14"/>
        <v>819.03054479983723</v>
      </c>
      <c r="AR22" s="335">
        <f t="shared" si="14"/>
        <v>-238.98153750203193</v>
      </c>
      <c r="AS22" s="335">
        <f t="shared" si="14"/>
        <v>59.560064557323287</v>
      </c>
      <c r="AT22" s="335">
        <f t="shared" si="14"/>
        <v>196.93642866743326</v>
      </c>
      <c r="AU22" s="335">
        <f t="shared" si="14"/>
        <v>167.13292190656682</v>
      </c>
      <c r="AV22" s="335">
        <f t="shared" si="14"/>
        <v>131.8949519768066</v>
      </c>
      <c r="AW22" s="335">
        <f t="shared" si="14"/>
        <v>236.3025992992246</v>
      </c>
      <c r="AY22" s="3">
        <v>2029</v>
      </c>
      <c r="AZ22" s="707">
        <f>C22*Bioplastics!AL27</f>
        <v>355.17844811607688</v>
      </c>
      <c r="BD22" s="3">
        <v>2029</v>
      </c>
      <c r="BE22" s="1131">
        <f t="shared" si="15"/>
        <v>0.47352664281182294</v>
      </c>
      <c r="BF22" s="1131">
        <f t="shared" si="16"/>
        <v>0.32530000000000026</v>
      </c>
      <c r="BG22" s="1131">
        <f t="shared" si="17"/>
        <v>0.20117335718817678</v>
      </c>
    </row>
    <row r="23" spans="2:59" ht="14.4" x14ac:dyDescent="0.55000000000000004">
      <c r="B23" s="3">
        <v>2030</v>
      </c>
      <c r="C23" s="707">
        <v>2631.964314994379</v>
      </c>
      <c r="D23" s="965">
        <v>671.07859175619342</v>
      </c>
      <c r="E23" s="965">
        <v>170.39176235591665</v>
      </c>
      <c r="F23" s="965">
        <v>1159.581693955625</v>
      </c>
      <c r="G23" s="965">
        <v>461.82297590791268</v>
      </c>
      <c r="H23" s="965">
        <v>321.08927903679051</v>
      </c>
      <c r="I23" s="965">
        <v>368.58511023566632</v>
      </c>
      <c r="J23" s="965">
        <v>380.02792789748349</v>
      </c>
      <c r="K23" s="965">
        <v>280.41940166714107</v>
      </c>
      <c r="L23" s="965">
        <v>340.74303855445942</v>
      </c>
      <c r="N23" s="3">
        <v>2030</v>
      </c>
      <c r="O23" s="707">
        <f>C23*Compost!J22/100</f>
        <v>1247.9281116320906</v>
      </c>
      <c r="P23" s="1130">
        <f t="shared" si="0"/>
        <v>489.64067380784059</v>
      </c>
      <c r="Q23" s="1130">
        <f t="shared" si="1"/>
        <v>35.201754466993059</v>
      </c>
      <c r="R23" s="1130">
        <f t="shared" si="2"/>
        <v>200.33860897286581</v>
      </c>
      <c r="S23" s="1130">
        <f t="shared" si="3"/>
        <v>361.35145287982584</v>
      </c>
      <c r="T23" s="1130">
        <f t="shared" si="4"/>
        <v>161.03275313274517</v>
      </c>
      <c r="U23" s="1130">
        <f t="shared" si="5"/>
        <v>163.60138301514698</v>
      </c>
      <c r="V23" s="1130">
        <f t="shared" si="6"/>
        <v>201.97944863525717</v>
      </c>
      <c r="W23" s="1130">
        <f t="shared" si="7"/>
        <v>149.82454607024036</v>
      </c>
      <c r="X23" s="1130">
        <f t="shared" si="8"/>
        <v>98.440198828565656</v>
      </c>
      <c r="AA23" s="3">
        <v>2030</v>
      </c>
      <c r="AB23" s="707">
        <f>C23*'H&amp;C Recycling'!M20/100</f>
        <v>851.17725946918301</v>
      </c>
      <c r="AC23" s="1166">
        <f t="shared" si="9"/>
        <v>251.27769790932371</v>
      </c>
      <c r="AD23" s="1166">
        <f t="shared" si="10"/>
        <v>40.076248827012705</v>
      </c>
      <c r="AE23" s="1166">
        <f t="shared" si="11"/>
        <v>123.34934303088178</v>
      </c>
      <c r="AF23" s="1166">
        <f t="shared" si="12"/>
        <v>336.72666903737746</v>
      </c>
      <c r="AG23" s="1166">
        <f t="shared" si="13"/>
        <v>99.747300664587243</v>
      </c>
      <c r="AH23" s="528"/>
      <c r="AI23" s="528"/>
      <c r="AJ23" s="528"/>
      <c r="AK23" s="528"/>
      <c r="AM23" s="3">
        <v>2030</v>
      </c>
      <c r="AN23" s="707">
        <f t="shared" si="14"/>
        <v>532.85894389310545</v>
      </c>
      <c r="AO23" s="335">
        <f t="shared" si="14"/>
        <v>-69.839779960970873</v>
      </c>
      <c r="AP23" s="335">
        <f t="shared" si="14"/>
        <v>95.113759061910883</v>
      </c>
      <c r="AQ23" s="335">
        <f t="shared" si="14"/>
        <v>835.89374195187747</v>
      </c>
      <c r="AR23" s="335">
        <f t="shared" si="14"/>
        <v>-236.25514600929063</v>
      </c>
      <c r="AS23" s="335">
        <f t="shared" si="14"/>
        <v>60.309225239458101</v>
      </c>
      <c r="AT23" s="335">
        <f t="shared" si="14"/>
        <v>204.98372722051934</v>
      </c>
      <c r="AU23" s="335">
        <f t="shared" si="14"/>
        <v>178.04847926222632</v>
      </c>
      <c r="AV23" s="335">
        <f t="shared" si="14"/>
        <v>130.59485559690071</v>
      </c>
      <c r="AW23" s="335">
        <f t="shared" si="14"/>
        <v>242.30283972589376</v>
      </c>
      <c r="AY23" s="3">
        <v>2030</v>
      </c>
      <c r="AZ23" s="707">
        <f>C23*Bioplastics!AL28</f>
        <v>365.57585002380057</v>
      </c>
      <c r="BD23" s="3">
        <v>2030</v>
      </c>
      <c r="BE23" s="1131">
        <f t="shared" si="15"/>
        <v>0.47414324902606275</v>
      </c>
      <c r="BF23" s="1131">
        <f t="shared" si="16"/>
        <v>0.3234000000000003</v>
      </c>
      <c r="BG23" s="1131">
        <f t="shared" si="17"/>
        <v>0.20245675097393692</v>
      </c>
    </row>
    <row r="24" spans="2:59" ht="14.4" x14ac:dyDescent="0.55000000000000004">
      <c r="B24" s="3">
        <v>2031</v>
      </c>
      <c r="C24" s="707">
        <v>2675.0918435535782</v>
      </c>
      <c r="D24" s="965">
        <v>673.6172807220504</v>
      </c>
      <c r="E24" s="965">
        <v>170.25647725236496</v>
      </c>
      <c r="F24" s="965">
        <v>1177.8633437726871</v>
      </c>
      <c r="G24" s="965">
        <v>475.42061042428685</v>
      </c>
      <c r="H24" s="965">
        <v>324.51569785489437</v>
      </c>
      <c r="I24" s="965">
        <v>372.01380893553295</v>
      </c>
      <c r="J24" s="965">
        <v>392.15029247603758</v>
      </c>
      <c r="K24" s="965">
        <v>282.67666114411583</v>
      </c>
      <c r="L24" s="965">
        <v>347.8564488960472</v>
      </c>
      <c r="N24" s="3">
        <v>2031</v>
      </c>
      <c r="O24" s="707">
        <f>C24*Compost!J23/100</f>
        <v>1269.8841778443089</v>
      </c>
      <c r="P24" s="1130">
        <f t="shared" si="0"/>
        <v>498.25541928405238</v>
      </c>
      <c r="Q24" s="1130">
        <f t="shared" si="1"/>
        <v>35.82109467149629</v>
      </c>
      <c r="R24" s="1130">
        <f t="shared" si="2"/>
        <v>203.86336951193184</v>
      </c>
      <c r="S24" s="1130">
        <f t="shared" si="3"/>
        <v>367.70907584813494</v>
      </c>
      <c r="T24" s="1130">
        <f t="shared" si="4"/>
        <v>163.86596584521007</v>
      </c>
      <c r="U24" s="1130">
        <f t="shared" si="5"/>
        <v>166.4797882409041</v>
      </c>
      <c r="V24" s="1130">
        <f t="shared" si="6"/>
        <v>205.53307813234673</v>
      </c>
      <c r="W24" s="1130">
        <f t="shared" si="7"/>
        <v>152.4605614168548</v>
      </c>
      <c r="X24" s="1130">
        <f t="shared" si="8"/>
        <v>100.17215718680571</v>
      </c>
      <c r="AA24" s="3">
        <v>2031</v>
      </c>
      <c r="AB24" s="707">
        <f>C24*'H&amp;C Recycling'!M21/100</f>
        <v>860.04202770247639</v>
      </c>
      <c r="AC24" s="1166">
        <f t="shared" si="9"/>
        <v>253.89468341895866</v>
      </c>
      <c r="AD24" s="1166">
        <f t="shared" si="10"/>
        <v>40.493631520874636</v>
      </c>
      <c r="AE24" s="1166">
        <f t="shared" si="11"/>
        <v>124.63399123492296</v>
      </c>
      <c r="AF24" s="1166">
        <f t="shared" si="12"/>
        <v>340.23358119436671</v>
      </c>
      <c r="AG24" s="1166">
        <f t="shared" si="13"/>
        <v>100.78614033335333</v>
      </c>
      <c r="AH24" s="528"/>
      <c r="AI24" s="528"/>
      <c r="AJ24" s="528"/>
      <c r="AK24" s="528"/>
      <c r="AM24" s="3">
        <v>2031</v>
      </c>
      <c r="AN24" s="707">
        <f t="shared" si="14"/>
        <v>545.16563800679296</v>
      </c>
      <c r="AO24" s="335">
        <f t="shared" si="14"/>
        <v>-78.532821980960648</v>
      </c>
      <c r="AP24" s="335">
        <f t="shared" si="14"/>
        <v>93.941751059994033</v>
      </c>
      <c r="AQ24" s="335">
        <f t="shared" si="14"/>
        <v>849.36598302583229</v>
      </c>
      <c r="AR24" s="335">
        <f t="shared" si="14"/>
        <v>-232.5220466182148</v>
      </c>
      <c r="AS24" s="335">
        <f t="shared" si="14"/>
        <v>59.863591676330969</v>
      </c>
      <c r="AT24" s="335">
        <f t="shared" si="14"/>
        <v>205.53402069462885</v>
      </c>
      <c r="AU24" s="335">
        <f t="shared" si="14"/>
        <v>186.61721434369085</v>
      </c>
      <c r="AV24" s="335">
        <f t="shared" si="14"/>
        <v>130.21609972726102</v>
      </c>
      <c r="AW24" s="335">
        <f t="shared" si="14"/>
        <v>247.68429170924151</v>
      </c>
      <c r="AY24" s="3">
        <v>2031</v>
      </c>
      <c r="AZ24" s="707">
        <f>C24*Bioplastics!AL29</f>
        <v>376.20773271714336</v>
      </c>
      <c r="BD24" s="3">
        <v>2031</v>
      </c>
      <c r="BE24" s="1131">
        <f t="shared" si="15"/>
        <v>0.47470675853783073</v>
      </c>
      <c r="BF24" s="1131">
        <f t="shared" si="16"/>
        <v>0.3215000000000004</v>
      </c>
      <c r="BG24" s="1131">
        <f t="shared" si="17"/>
        <v>0.20379324146216893</v>
      </c>
    </row>
    <row r="25" spans="2:59" ht="14.4" x14ac:dyDescent="0.55000000000000004">
      <c r="B25" s="3">
        <v>2032</v>
      </c>
      <c r="C25" s="707">
        <v>2720.1024132340781</v>
      </c>
      <c r="D25" s="965">
        <v>675.03466669669638</v>
      </c>
      <c r="E25" s="965">
        <v>171.39075851600956</v>
      </c>
      <c r="F25" s="965">
        <v>1196.9042163092404</v>
      </c>
      <c r="G25" s="965">
        <v>489.40506611942709</v>
      </c>
      <c r="H25" s="965">
        <v>328.64345039472619</v>
      </c>
      <c r="I25" s="965">
        <v>375.44250763539964</v>
      </c>
      <c r="J25" s="965">
        <v>404.27265705459166</v>
      </c>
      <c r="K25" s="965">
        <v>284.93392062109058</v>
      </c>
      <c r="L25" s="965">
        <v>355.23876535131865</v>
      </c>
      <c r="N25" s="3">
        <v>2032</v>
      </c>
      <c r="O25" s="707">
        <f>C25*Compost!J24/100</f>
        <v>1292.6515071582471</v>
      </c>
      <c r="P25" s="1130">
        <f t="shared" si="0"/>
        <v>507.18847429112503</v>
      </c>
      <c r="Q25" s="1130">
        <f t="shared" si="1"/>
        <v>36.463319114481443</v>
      </c>
      <c r="R25" s="1130">
        <f t="shared" si="2"/>
        <v>207.5183677784716</v>
      </c>
      <c r="S25" s="1130">
        <f t="shared" si="3"/>
        <v>374.30160906306941</v>
      </c>
      <c r="T25" s="1130">
        <f t="shared" si="4"/>
        <v>166.80386401957557</v>
      </c>
      <c r="U25" s="1130">
        <f t="shared" si="5"/>
        <v>169.46454876404852</v>
      </c>
      <c r="V25" s="1130">
        <f t="shared" si="6"/>
        <v>209.21801204709959</v>
      </c>
      <c r="W25" s="1130">
        <f t="shared" si="7"/>
        <v>155.19397590435383</v>
      </c>
      <c r="X25" s="1130">
        <f t="shared" si="8"/>
        <v>101.96811033792781</v>
      </c>
      <c r="AA25" s="3">
        <v>2032</v>
      </c>
      <c r="AB25" s="707">
        <f>C25*'H&amp;C Recycling'!M22/100</f>
        <v>869.34473126961223</v>
      </c>
      <c r="AC25" s="1166">
        <f t="shared" si="9"/>
        <v>256.64095267213457</v>
      </c>
      <c r="AD25" s="1166">
        <f t="shared" si="10"/>
        <v>40.931633662934885</v>
      </c>
      <c r="AE25" s="1166">
        <f t="shared" si="11"/>
        <v>125.98210334747263</v>
      </c>
      <c r="AF25" s="1166">
        <f t="shared" si="12"/>
        <v>343.9137410557301</v>
      </c>
      <c r="AG25" s="1166">
        <f t="shared" si="13"/>
        <v>101.87630053133994</v>
      </c>
      <c r="AH25" s="528"/>
      <c r="AI25" s="528"/>
      <c r="AJ25" s="528"/>
      <c r="AK25" s="528"/>
      <c r="AM25" s="3">
        <v>2032</v>
      </c>
      <c r="AN25" s="707">
        <f t="shared" si="14"/>
        <v>558.10617480621875</v>
      </c>
      <c r="AO25" s="335">
        <f t="shared" si="14"/>
        <v>-88.79476026656323</v>
      </c>
      <c r="AP25" s="335">
        <f t="shared" si="14"/>
        <v>93.995805738593234</v>
      </c>
      <c r="AQ25" s="335">
        <f t="shared" si="14"/>
        <v>863.40374518329611</v>
      </c>
      <c r="AR25" s="335">
        <f t="shared" si="14"/>
        <v>-228.81028399937242</v>
      </c>
      <c r="AS25" s="335">
        <f t="shared" si="14"/>
        <v>59.963285843810681</v>
      </c>
      <c r="AT25" s="335">
        <f t="shared" si="14"/>
        <v>205.97795887135112</v>
      </c>
      <c r="AU25" s="335">
        <f t="shared" si="14"/>
        <v>195.05464500749207</v>
      </c>
      <c r="AV25" s="335">
        <f t="shared" si="14"/>
        <v>129.73994471673674</v>
      </c>
      <c r="AW25" s="335">
        <f t="shared" si="14"/>
        <v>253.27065501339084</v>
      </c>
      <c r="AY25" s="3">
        <v>2032</v>
      </c>
      <c r="AZ25" s="707">
        <f>C25*Bioplastics!AL30</f>
        <v>387.07935610302718</v>
      </c>
      <c r="BD25" s="3">
        <v>2032</v>
      </c>
      <c r="BE25" s="1131">
        <f t="shared" si="15"/>
        <v>0.47522163168163334</v>
      </c>
      <c r="BF25" s="1131">
        <f t="shared" si="16"/>
        <v>0.31960000000000033</v>
      </c>
      <c r="BG25" s="1131">
        <f t="shared" si="17"/>
        <v>0.20517836831836633</v>
      </c>
    </row>
    <row r="26" spans="2:59" ht="14.4" x14ac:dyDescent="0.55000000000000004">
      <c r="B26" s="3">
        <v>2033</v>
      </c>
      <c r="C26" s="707">
        <v>2764.905276871817</v>
      </c>
      <c r="D26" s="965">
        <v>678.97857490345075</v>
      </c>
      <c r="E26" s="965">
        <v>172.48002659293451</v>
      </c>
      <c r="F26" s="965">
        <v>1215.6785487016321</v>
      </c>
      <c r="G26" s="965">
        <v>503.48746350188276</v>
      </c>
      <c r="H26" s="965">
        <v>332.684016103646</v>
      </c>
      <c r="I26" s="965">
        <v>378.87120633526627</v>
      </c>
      <c r="J26" s="965">
        <v>416.3950216331458</v>
      </c>
      <c r="K26" s="965">
        <v>287.19118009806533</v>
      </c>
      <c r="L26" s="965">
        <v>362.88998792027377</v>
      </c>
      <c r="N26" s="3">
        <v>2033</v>
      </c>
      <c r="O26" s="707">
        <f>C26*Compost!J25/100</f>
        <v>1315.2432459342745</v>
      </c>
      <c r="P26" s="1130">
        <f t="shared" si="0"/>
        <v>516.0526340882127</v>
      </c>
      <c r="Q26" s="1130">
        <f t="shared" si="1"/>
        <v>37.100590471672099</v>
      </c>
      <c r="R26" s="1130">
        <f t="shared" si="2"/>
        <v>211.1451772705251</v>
      </c>
      <c r="S26" s="1130">
        <f t="shared" si="3"/>
        <v>380.84329808642377</v>
      </c>
      <c r="T26" s="1130">
        <f t="shared" si="4"/>
        <v>169.71910397550664</v>
      </c>
      <c r="U26" s="1130">
        <f t="shared" si="5"/>
        <v>172.4262896480175</v>
      </c>
      <c r="V26" s="1130">
        <f t="shared" si="6"/>
        <v>212.87452631195254</v>
      </c>
      <c r="W26" s="1130">
        <f t="shared" si="7"/>
        <v>157.90630923149473</v>
      </c>
      <c r="X26" s="1130">
        <f t="shared" si="8"/>
        <v>103.7502123967448</v>
      </c>
      <c r="AA26" s="3">
        <v>2033</v>
      </c>
      <c r="AB26" s="707">
        <f>C26*'H&amp;C Recycling'!M23/100</f>
        <v>878.41040646217721</v>
      </c>
      <c r="AC26" s="1166">
        <f t="shared" si="9"/>
        <v>259.31724831683027</v>
      </c>
      <c r="AD26" s="1166">
        <f t="shared" si="10"/>
        <v>41.358475722870423</v>
      </c>
      <c r="AE26" s="1166">
        <f t="shared" si="11"/>
        <v>127.29586621730262</v>
      </c>
      <c r="AF26" s="1166">
        <f t="shared" si="12"/>
        <v>347.50013222890465</v>
      </c>
      <c r="AG26" s="1166">
        <f t="shared" si="13"/>
        <v>102.93868397626915</v>
      </c>
      <c r="AH26" s="528"/>
      <c r="AI26" s="528"/>
      <c r="AJ26" s="528"/>
      <c r="AK26" s="528"/>
      <c r="AM26" s="3">
        <v>2033</v>
      </c>
      <c r="AN26" s="707">
        <f t="shared" si="14"/>
        <v>571.25162447536536</v>
      </c>
      <c r="AO26" s="335">
        <f t="shared" si="14"/>
        <v>-96.391307501592223</v>
      </c>
      <c r="AP26" s="335">
        <f t="shared" si="14"/>
        <v>94.020960398391992</v>
      </c>
      <c r="AQ26" s="335">
        <f t="shared" si="14"/>
        <v>877.2375052138043</v>
      </c>
      <c r="AR26" s="335">
        <f t="shared" si="14"/>
        <v>-224.85596681344566</v>
      </c>
      <c r="AS26" s="335">
        <f t="shared" si="14"/>
        <v>60.026228151870214</v>
      </c>
      <c r="AT26" s="335">
        <f t="shared" si="14"/>
        <v>206.44491668724876</v>
      </c>
      <c r="AU26" s="335">
        <f t="shared" si="14"/>
        <v>203.52049532119327</v>
      </c>
      <c r="AV26" s="335">
        <f t="shared" si="14"/>
        <v>129.2848708665706</v>
      </c>
      <c r="AW26" s="335">
        <f t="shared" si="14"/>
        <v>259.13977552352895</v>
      </c>
      <c r="AY26" s="3">
        <v>2033</v>
      </c>
      <c r="AZ26" s="707">
        <f>C26*Bioplastics!AL31</f>
        <v>398.1882820547043</v>
      </c>
      <c r="BD26" s="3">
        <v>2033</v>
      </c>
      <c r="BE26" s="1131">
        <f t="shared" si="15"/>
        <v>0.47569197286292786</v>
      </c>
      <c r="BF26" s="1131">
        <f t="shared" si="16"/>
        <v>0.31770000000000032</v>
      </c>
      <c r="BG26" s="1131">
        <f t="shared" si="17"/>
        <v>0.2066080271370718</v>
      </c>
    </row>
    <row r="27" spans="2:59" ht="14.4" x14ac:dyDescent="0.55000000000000004">
      <c r="B27" s="3">
        <v>2034</v>
      </c>
      <c r="C27" s="707">
        <v>2809.5135667565687</v>
      </c>
      <c r="D27" s="965">
        <v>682.90037147244834</v>
      </c>
      <c r="E27" s="965">
        <v>173.53016241063759</v>
      </c>
      <c r="F27" s="965">
        <v>1234.1954414635343</v>
      </c>
      <c r="G27" s="965">
        <v>517.68394231792342</v>
      </c>
      <c r="H27" s="965">
        <v>336.64012647165691</v>
      </c>
      <c r="I27" s="965">
        <v>382.29990503513295</v>
      </c>
      <c r="J27" s="965">
        <v>428.51738621169989</v>
      </c>
      <c r="K27" s="965">
        <v>289.44843957504008</v>
      </c>
      <c r="L27" s="965">
        <v>370.8101166029125</v>
      </c>
      <c r="N27" s="3">
        <v>2034</v>
      </c>
      <c r="O27" s="707">
        <f>C27*Compost!J26/100</f>
        <v>1337.6699704005453</v>
      </c>
      <c r="P27" s="1130">
        <f t="shared" si="0"/>
        <v>524.85204839470362</v>
      </c>
      <c r="Q27" s="1130">
        <f t="shared" si="1"/>
        <v>37.733207078992599</v>
      </c>
      <c r="R27" s="1130">
        <f t="shared" si="2"/>
        <v>214.7454958638088</v>
      </c>
      <c r="S27" s="1130">
        <f t="shared" si="3"/>
        <v>387.33720538259314</v>
      </c>
      <c r="T27" s="1130">
        <f t="shared" si="4"/>
        <v>172.61305047041324</v>
      </c>
      <c r="U27" s="1130">
        <f t="shared" si="5"/>
        <v>175.36639741943634</v>
      </c>
      <c r="V27" s="1130">
        <f t="shared" si="6"/>
        <v>216.50433270878742</v>
      </c>
      <c r="W27" s="1130">
        <f t="shared" si="7"/>
        <v>160.59883116579667</v>
      </c>
      <c r="X27" s="1130">
        <f t="shared" si="8"/>
        <v>105.51929764689262</v>
      </c>
      <c r="AA27" s="3">
        <v>2034</v>
      </c>
      <c r="AB27" s="707">
        <f>C27*'H&amp;C Recycling'!M24/100</f>
        <v>887.24438438172524</v>
      </c>
      <c r="AC27" s="1166">
        <f t="shared" si="9"/>
        <v>261.92514415792704</v>
      </c>
      <c r="AD27" s="1166">
        <f t="shared" si="10"/>
        <v>41.774408706626268</v>
      </c>
      <c r="AE27" s="1166">
        <f t="shared" si="11"/>
        <v>128.57605240719815</v>
      </c>
      <c r="AF27" s="1166">
        <f t="shared" si="12"/>
        <v>350.99486370358505</v>
      </c>
      <c r="AG27" s="1166">
        <f t="shared" si="13"/>
        <v>103.97391540638866</v>
      </c>
      <c r="AH27" s="528"/>
      <c r="AI27" s="528"/>
      <c r="AJ27" s="528"/>
      <c r="AK27" s="528"/>
      <c r="AM27" s="3">
        <v>2034</v>
      </c>
      <c r="AN27" s="707">
        <f t="shared" si="14"/>
        <v>584.59921197429821</v>
      </c>
      <c r="AO27" s="335">
        <f t="shared" si="14"/>
        <v>-103.87682108018231</v>
      </c>
      <c r="AP27" s="335">
        <f t="shared" si="14"/>
        <v>94.02254662501872</v>
      </c>
      <c r="AQ27" s="335">
        <f t="shared" si="14"/>
        <v>890.87389319252725</v>
      </c>
      <c r="AR27" s="335">
        <f t="shared" si="14"/>
        <v>-220.64812676825477</v>
      </c>
      <c r="AS27" s="335">
        <f t="shared" si="14"/>
        <v>60.053160594855015</v>
      </c>
      <c r="AT27" s="335">
        <f t="shared" si="14"/>
        <v>206.93350761569661</v>
      </c>
      <c r="AU27" s="335">
        <f t="shared" si="14"/>
        <v>212.01305350291247</v>
      </c>
      <c r="AV27" s="335">
        <f t="shared" si="14"/>
        <v>128.84960840924342</v>
      </c>
      <c r="AW27" s="335">
        <f t="shared" si="14"/>
        <v>265.29081895601985</v>
      </c>
      <c r="AY27" s="3">
        <v>2034</v>
      </c>
      <c r="AZ27" s="707">
        <f>C27*Bioplastics!AL32</f>
        <v>409.53158130019591</v>
      </c>
      <c r="BD27" s="3">
        <v>2034</v>
      </c>
      <c r="BE27" s="1131">
        <f t="shared" si="15"/>
        <v>0.47612155578405441</v>
      </c>
      <c r="BF27" s="1131">
        <f t="shared" si="16"/>
        <v>0.3158000000000003</v>
      </c>
      <c r="BG27" s="1131">
        <f t="shared" si="17"/>
        <v>0.20807844421594532</v>
      </c>
    </row>
    <row r="28" spans="2:59" ht="14.4" x14ac:dyDescent="0.55000000000000004">
      <c r="B28" s="3">
        <v>2035</v>
      </c>
      <c r="C28" s="707">
        <v>2854.0638327332344</v>
      </c>
      <c r="D28" s="965">
        <v>687.45041571051388</v>
      </c>
      <c r="E28" s="965">
        <v>174.40262511343715</v>
      </c>
      <c r="F28" s="965">
        <v>1252.7291363804557</v>
      </c>
      <c r="G28" s="965">
        <v>531.63511115357085</v>
      </c>
      <c r="H28" s="965">
        <v>340.48837179829752</v>
      </c>
      <c r="I28" s="965">
        <v>385.72860373499964</v>
      </c>
      <c r="J28" s="965">
        <v>440.63975079025397</v>
      </c>
      <c r="K28" s="965">
        <v>291.70569905201484</v>
      </c>
      <c r="L28" s="965">
        <v>378.9991513992349</v>
      </c>
      <c r="N28" s="3">
        <v>2035</v>
      </c>
      <c r="O28" s="707">
        <f>C28*Compost!J27/100</f>
        <v>1360.0009377678862</v>
      </c>
      <c r="P28" s="1130">
        <f t="shared" si="0"/>
        <v>533.61389116962562</v>
      </c>
      <c r="Q28" s="1130">
        <f t="shared" si="1"/>
        <v>38.363122554850811</v>
      </c>
      <c r="R28" s="1130">
        <f t="shared" si="2"/>
        <v>218.33044190171844</v>
      </c>
      <c r="S28" s="1130">
        <f t="shared" si="3"/>
        <v>393.80338514662395</v>
      </c>
      <c r="T28" s="1130">
        <f t="shared" si="4"/>
        <v>175.49464046086339</v>
      </c>
      <c r="U28" s="1130">
        <f t="shared" si="5"/>
        <v>178.29395158806955</v>
      </c>
      <c r="V28" s="1130">
        <f t="shared" si="6"/>
        <v>220.11864064392043</v>
      </c>
      <c r="W28" s="1130">
        <f t="shared" si="7"/>
        <v>163.27985663347806</v>
      </c>
      <c r="X28" s="1130">
        <f t="shared" si="8"/>
        <v>107.2808292985839</v>
      </c>
      <c r="AA28" s="3">
        <v>2035</v>
      </c>
      <c r="AB28" s="707">
        <f>C28*'H&amp;C Recycling'!M25/100</f>
        <v>895.89063709496315</v>
      </c>
      <c r="AC28" s="1166">
        <f t="shared" si="9"/>
        <v>264.47762127494912</v>
      </c>
      <c r="AD28" s="1166">
        <f t="shared" si="10"/>
        <v>42.181502964963308</v>
      </c>
      <c r="AE28" s="1166">
        <f t="shared" si="11"/>
        <v>129.82903418037424</v>
      </c>
      <c r="AF28" s="1166">
        <f t="shared" si="12"/>
        <v>354.41533087818931</v>
      </c>
      <c r="AG28" s="1166">
        <f t="shared" si="13"/>
        <v>104.98714779648702</v>
      </c>
      <c r="AH28" s="528"/>
      <c r="AI28" s="528"/>
      <c r="AJ28" s="528"/>
      <c r="AK28" s="528"/>
      <c r="AM28" s="3">
        <v>2035</v>
      </c>
      <c r="AN28" s="707">
        <f t="shared" si="14"/>
        <v>598.17225787038512</v>
      </c>
      <c r="AO28" s="335">
        <f t="shared" si="14"/>
        <v>-110.64109673406085</v>
      </c>
      <c r="AP28" s="335">
        <f t="shared" si="14"/>
        <v>93.857999593623049</v>
      </c>
      <c r="AQ28" s="335">
        <f t="shared" si="14"/>
        <v>904.56966029836303</v>
      </c>
      <c r="AR28" s="335">
        <f t="shared" si="14"/>
        <v>-216.58360487124241</v>
      </c>
      <c r="AS28" s="335">
        <f t="shared" si="14"/>
        <v>60.006583540947105</v>
      </c>
      <c r="AT28" s="335">
        <f t="shared" si="14"/>
        <v>207.43465214693009</v>
      </c>
      <c r="AU28" s="335">
        <f t="shared" si="14"/>
        <v>220.52111014633354</v>
      </c>
      <c r="AV28" s="335">
        <f t="shared" si="14"/>
        <v>128.42584241853677</v>
      </c>
      <c r="AW28" s="335">
        <f t="shared" si="14"/>
        <v>271.71832210065099</v>
      </c>
      <c r="AY28" s="3">
        <v>2035</v>
      </c>
      <c r="AZ28" s="707">
        <f>C28*Bioplastics!AL33</f>
        <v>421.10660463406822</v>
      </c>
      <c r="BD28" s="3">
        <v>2035</v>
      </c>
      <c r="BE28" s="1131">
        <f t="shared" si="15"/>
        <v>0.47651384743748432</v>
      </c>
      <c r="BF28" s="1131">
        <f t="shared" si="16"/>
        <v>0.31390000000000029</v>
      </c>
      <c r="BG28" s="1131">
        <f t="shared" si="17"/>
        <v>0.20958615256251539</v>
      </c>
    </row>
    <row r="29" spans="2:59" ht="14.4" x14ac:dyDescent="0.55000000000000004">
      <c r="B29" s="3">
        <v>2036</v>
      </c>
      <c r="C29" s="707">
        <v>2898.1595420928984</v>
      </c>
      <c r="D29" s="965">
        <v>690.66495132921341</v>
      </c>
      <c r="E29" s="965">
        <v>175.53367971695428</v>
      </c>
      <c r="F29" s="965">
        <v>1270.5044930849463</v>
      </c>
      <c r="G29" s="965">
        <v>546.48345974309211</v>
      </c>
      <c r="H29" s="965">
        <v>344.31158870693434</v>
      </c>
      <c r="I29" s="965">
        <v>389.15730243486627</v>
      </c>
      <c r="J29" s="965">
        <v>452.76211536880805</v>
      </c>
      <c r="K29" s="965">
        <v>293.96295852898959</v>
      </c>
      <c r="L29" s="965">
        <v>387.45709230924092</v>
      </c>
      <c r="N29" s="3">
        <v>2036</v>
      </c>
      <c r="O29" s="707">
        <f>C29*Compost!J28/100</f>
        <v>1382.0512264784813</v>
      </c>
      <c r="P29" s="1130">
        <f t="shared" si="0"/>
        <v>542.26560605710654</v>
      </c>
      <c r="Q29" s="1130">
        <f t="shared" si="1"/>
        <v>38.985120602560087</v>
      </c>
      <c r="R29" s="1130">
        <f t="shared" si="2"/>
        <v>221.87032863602184</v>
      </c>
      <c r="S29" s="1130">
        <f t="shared" si="3"/>
        <v>400.1882912864275</v>
      </c>
      <c r="T29" s="1130">
        <f t="shared" si="4"/>
        <v>178.34001165279457</v>
      </c>
      <c r="U29" s="1130">
        <f t="shared" si="5"/>
        <v>181.18470923292992</v>
      </c>
      <c r="V29" s="1130">
        <f t="shared" si="6"/>
        <v>223.6875202248039</v>
      </c>
      <c r="W29" s="1130">
        <f t="shared" si="7"/>
        <v>165.92718420466483</v>
      </c>
      <c r="X29" s="1130">
        <f t="shared" si="8"/>
        <v>109.02022020152575</v>
      </c>
      <c r="AA29" s="3">
        <v>2036</v>
      </c>
      <c r="AB29" s="707">
        <f>C29*'H&amp;C Recycling'!M26/100</f>
        <v>904.22577713298506</v>
      </c>
      <c r="AC29" s="1166">
        <f t="shared" si="9"/>
        <v>266.93825421269014</v>
      </c>
      <c r="AD29" s="1166">
        <f t="shared" si="10"/>
        <v>42.573949006555253</v>
      </c>
      <c r="AE29" s="1166">
        <f t="shared" si="11"/>
        <v>131.03693069819425</v>
      </c>
      <c r="AF29" s="1166">
        <f t="shared" si="12"/>
        <v>357.71272153300254</v>
      </c>
      <c r="AG29" s="1166">
        <f t="shared" si="13"/>
        <v>105.96392168254279</v>
      </c>
      <c r="AH29" s="528"/>
      <c r="AI29" s="528"/>
      <c r="AJ29" s="528"/>
      <c r="AK29" s="528"/>
      <c r="AM29" s="3">
        <v>2036</v>
      </c>
      <c r="AN29" s="707">
        <f t="shared" si="14"/>
        <v>611.88253848143199</v>
      </c>
      <c r="AO29" s="335">
        <f t="shared" si="14"/>
        <v>-118.53890894058327</v>
      </c>
      <c r="AP29" s="335">
        <f t="shared" si="14"/>
        <v>93.974610107838956</v>
      </c>
      <c r="AQ29" s="335">
        <f t="shared" si="14"/>
        <v>917.59723375073008</v>
      </c>
      <c r="AR29" s="335">
        <f t="shared" si="14"/>
        <v>-211.41755307633792</v>
      </c>
      <c r="AS29" s="335">
        <f t="shared" si="14"/>
        <v>60.007655371596982</v>
      </c>
      <c r="AT29" s="335">
        <f t="shared" si="14"/>
        <v>207.97259320193635</v>
      </c>
      <c r="AU29" s="335">
        <f t="shared" si="14"/>
        <v>229.07459514400415</v>
      </c>
      <c r="AV29" s="335">
        <f t="shared" si="14"/>
        <v>128.03577432432476</v>
      </c>
      <c r="AW29" s="335">
        <f t="shared" si="14"/>
        <v>278.4368721077152</v>
      </c>
      <c r="AY29" s="3">
        <v>2036</v>
      </c>
      <c r="AZ29" s="707">
        <f>C29*Bioplastics!AL34</f>
        <v>432.91251079814674</v>
      </c>
      <c r="BD29" s="3">
        <v>2036</v>
      </c>
      <c r="BE29" s="1131">
        <f t="shared" si="15"/>
        <v>0.47687203082009649</v>
      </c>
      <c r="BF29" s="1131">
        <f t="shared" si="16"/>
        <v>0.31200000000000028</v>
      </c>
      <c r="BG29" s="1131">
        <f t="shared" si="17"/>
        <v>0.21112796917990326</v>
      </c>
    </row>
    <row r="30" spans="2:59" ht="14.4" x14ac:dyDescent="0.55000000000000004">
      <c r="B30" s="3">
        <v>2037</v>
      </c>
      <c r="C30" s="707">
        <v>2942.2306487243113</v>
      </c>
      <c r="D30" s="965">
        <v>694.50218260989516</v>
      </c>
      <c r="E30" s="965">
        <v>176.49510302014977</v>
      </c>
      <c r="F30" s="965">
        <v>1288.3271201081338</v>
      </c>
      <c r="G30" s="965">
        <v>561.11811845006946</v>
      </c>
      <c r="H30" s="965">
        <v>348.03416152175635</v>
      </c>
      <c r="I30" s="965">
        <v>392.58600113473295</v>
      </c>
      <c r="J30" s="965">
        <v>464.88447994736214</v>
      </c>
      <c r="K30" s="965">
        <v>296.2202180059644</v>
      </c>
      <c r="L30" s="965">
        <v>396.18393933293061</v>
      </c>
      <c r="N30" s="3">
        <v>2037</v>
      </c>
      <c r="O30" s="707">
        <f>C30*Compost!J29/100</f>
        <v>1404.0296008667281</v>
      </c>
      <c r="P30" s="1130">
        <f t="shared" si="0"/>
        <v>550.88910443361783</v>
      </c>
      <c r="Q30" s="1130">
        <f t="shared" si="1"/>
        <v>39.605090079637471</v>
      </c>
      <c r="R30" s="1130">
        <f t="shared" si="2"/>
        <v>225.39867046227306</v>
      </c>
      <c r="S30" s="1130">
        <f t="shared" si="3"/>
        <v>406.55237383501515</v>
      </c>
      <c r="T30" s="1130">
        <f t="shared" si="4"/>
        <v>181.17610301425356</v>
      </c>
      <c r="U30" s="1130">
        <f t="shared" si="5"/>
        <v>184.06603902494757</v>
      </c>
      <c r="V30" s="1130">
        <f t="shared" si="6"/>
        <v>227.24476034100869</v>
      </c>
      <c r="W30" s="1130">
        <f t="shared" si="7"/>
        <v>168.5658778404499</v>
      </c>
      <c r="X30" s="1130">
        <f t="shared" si="8"/>
        <v>110.75393829357039</v>
      </c>
      <c r="AA30" s="3">
        <v>2037</v>
      </c>
      <c r="AB30" s="707">
        <f>C30*'H&amp;C Recycling'!M27/100</f>
        <v>912.38572416940963</v>
      </c>
      <c r="AC30" s="1166">
        <f t="shared" si="9"/>
        <v>269.34716808293786</v>
      </c>
      <c r="AD30" s="1166">
        <f t="shared" si="10"/>
        <v>42.958146380496999</v>
      </c>
      <c r="AE30" s="1166">
        <f t="shared" si="11"/>
        <v>132.21943891832393</v>
      </c>
      <c r="AF30" s="1166">
        <f t="shared" si="12"/>
        <v>360.94080564184043</v>
      </c>
      <c r="AG30" s="1166">
        <f t="shared" si="13"/>
        <v>106.92016514581029</v>
      </c>
      <c r="AH30" s="528"/>
      <c r="AI30" s="528"/>
      <c r="AJ30" s="528"/>
      <c r="AK30" s="528"/>
      <c r="AM30" s="3">
        <v>2037</v>
      </c>
      <c r="AN30" s="707">
        <f t="shared" si="14"/>
        <v>625.81532368817363</v>
      </c>
      <c r="AO30" s="335">
        <f t="shared" si="14"/>
        <v>-125.73408990666053</v>
      </c>
      <c r="AP30" s="335">
        <f t="shared" si="14"/>
        <v>93.931866560015294</v>
      </c>
      <c r="AQ30" s="335">
        <f t="shared" si="14"/>
        <v>930.70901072753691</v>
      </c>
      <c r="AR30" s="335">
        <f t="shared" si="14"/>
        <v>-206.37506102678611</v>
      </c>
      <c r="AS30" s="335">
        <f t="shared" si="14"/>
        <v>59.937893361692502</v>
      </c>
      <c r="AT30" s="335">
        <f t="shared" si="14"/>
        <v>208.51996210978538</v>
      </c>
      <c r="AU30" s="335">
        <f t="shared" si="14"/>
        <v>237.63971960635345</v>
      </c>
      <c r="AV30" s="335">
        <f t="shared" si="14"/>
        <v>127.6543401655145</v>
      </c>
      <c r="AW30" s="335">
        <f t="shared" si="14"/>
        <v>285.43000103936021</v>
      </c>
      <c r="AY30" s="3">
        <v>2037</v>
      </c>
      <c r="AZ30" s="707">
        <f>C30*Bioplastics!AL35</f>
        <v>444.94952968550461</v>
      </c>
      <c r="BD30" s="3">
        <v>2037</v>
      </c>
      <c r="BE30" s="1131">
        <f t="shared" si="15"/>
        <v>0.47719902634944183</v>
      </c>
      <c r="BF30" s="1131">
        <f t="shared" si="16"/>
        <v>0.31010000000000021</v>
      </c>
      <c r="BG30" s="1131">
        <f t="shared" si="17"/>
        <v>0.2127009736505579</v>
      </c>
    </row>
    <row r="31" spans="2:59" ht="14.4" x14ac:dyDescent="0.55000000000000004">
      <c r="B31" s="3">
        <v>2038</v>
      </c>
      <c r="C31" s="707">
        <v>2986.1741721298445</v>
      </c>
      <c r="D31" s="965">
        <v>698.3069148581211</v>
      </c>
      <c r="E31" s="965">
        <v>177.43492975454276</v>
      </c>
      <c r="F31" s="965">
        <v>1305.9520082317495</v>
      </c>
      <c r="G31" s="965">
        <v>575.92958531519014</v>
      </c>
      <c r="H31" s="965">
        <v>351.68678026435288</v>
      </c>
      <c r="I31" s="965">
        <v>396.01469983459958</v>
      </c>
      <c r="J31" s="965">
        <v>477.00684452591622</v>
      </c>
      <c r="K31" s="965">
        <v>298.47747748293909</v>
      </c>
      <c r="L31" s="965">
        <v>405.17969247030391</v>
      </c>
      <c r="N31" s="3">
        <v>2038</v>
      </c>
      <c r="O31" s="707">
        <f>C31*Compost!J30/100</f>
        <v>1425.8907375446308</v>
      </c>
      <c r="P31" s="1130">
        <f t="shared" si="0"/>
        <v>559.46660308390017</v>
      </c>
      <c r="Q31" s="1130">
        <f t="shared" si="1"/>
        <v>40.221752496752551</v>
      </c>
      <c r="R31" s="1130">
        <f t="shared" si="2"/>
        <v>228.90819130068809</v>
      </c>
      <c r="S31" s="1130">
        <f t="shared" si="3"/>
        <v>412.88250890171645</v>
      </c>
      <c r="T31" s="1130">
        <f t="shared" si="4"/>
        <v>183.99706601127255</v>
      </c>
      <c r="U31" s="1130">
        <f t="shared" si="5"/>
        <v>186.93199914031874</v>
      </c>
      <c r="V31" s="1130">
        <f t="shared" si="6"/>
        <v>230.78302531924371</v>
      </c>
      <c r="W31" s="1130">
        <f t="shared" si="7"/>
        <v>171.19049607672204</v>
      </c>
      <c r="X31" s="1130">
        <f t="shared" si="8"/>
        <v>112.47840833405751</v>
      </c>
      <c r="AA31" s="3">
        <v>2038</v>
      </c>
      <c r="AB31" s="707">
        <f>C31*'H&amp;C Recycling'!M28/100</f>
        <v>920.33887985041872</v>
      </c>
      <c r="AC31" s="1166">
        <f t="shared" si="9"/>
        <v>271.69503467406918</v>
      </c>
      <c r="AD31" s="1166">
        <f t="shared" si="10"/>
        <v>43.332607331475486</v>
      </c>
      <c r="AE31" s="1166">
        <f t="shared" si="11"/>
        <v>133.3719797285502</v>
      </c>
      <c r="AF31" s="1166">
        <f t="shared" si="12"/>
        <v>364.08708286084413</v>
      </c>
      <c r="AG31" s="1166">
        <f t="shared" si="13"/>
        <v>107.85217525547958</v>
      </c>
      <c r="AH31" s="528"/>
      <c r="AI31" s="528"/>
      <c r="AJ31" s="528"/>
      <c r="AK31" s="528"/>
      <c r="AM31" s="3">
        <v>2038</v>
      </c>
      <c r="AN31" s="707">
        <f t="shared" si="14"/>
        <v>639.94455473479491</v>
      </c>
      <c r="AO31" s="335">
        <f t="shared" si="14"/>
        <v>-132.85472289984824</v>
      </c>
      <c r="AP31" s="335">
        <f t="shared" si="14"/>
        <v>93.880569926314735</v>
      </c>
      <c r="AQ31" s="335">
        <f t="shared" si="14"/>
        <v>943.67183720251126</v>
      </c>
      <c r="AR31" s="335">
        <f t="shared" si="14"/>
        <v>-201.04000644737044</v>
      </c>
      <c r="AS31" s="335">
        <f t="shared" si="14"/>
        <v>59.837538997600745</v>
      </c>
      <c r="AT31" s="335">
        <f t="shared" si="14"/>
        <v>209.08270069428085</v>
      </c>
      <c r="AU31" s="335">
        <f t="shared" si="14"/>
        <v>246.22381920667252</v>
      </c>
      <c r="AV31" s="335">
        <f t="shared" si="14"/>
        <v>127.28698140621705</v>
      </c>
      <c r="AW31" s="335">
        <f t="shared" si="14"/>
        <v>292.70128413624639</v>
      </c>
      <c r="AY31" s="3">
        <v>2038</v>
      </c>
      <c r="AZ31" s="707">
        <f>C31*Bioplastics!AL36</f>
        <v>457.21963365561243</v>
      </c>
      <c r="BD31" s="3">
        <v>2038</v>
      </c>
      <c r="BE31" s="1131">
        <f t="shared" si="15"/>
        <v>0.47749751198458573</v>
      </c>
      <c r="BF31" s="1131">
        <f t="shared" si="16"/>
        <v>0.3082000000000002</v>
      </c>
      <c r="BG31" s="1131">
        <f t="shared" si="17"/>
        <v>0.21430248801541402</v>
      </c>
    </row>
    <row r="32" spans="2:59" ht="14.4" x14ac:dyDescent="0.55000000000000004">
      <c r="B32" s="3">
        <v>2039</v>
      </c>
      <c r="C32" s="707">
        <v>3030.0104932724716</v>
      </c>
      <c r="D32" s="965">
        <v>702.07799575612376</v>
      </c>
      <c r="E32" s="965">
        <v>178.35701123367366</v>
      </c>
      <c r="F32" s="965">
        <v>1323.3990406204261</v>
      </c>
      <c r="G32" s="965">
        <v>590.93264993697483</v>
      </c>
      <c r="H32" s="965">
        <v>355.27398846887093</v>
      </c>
      <c r="I32" s="965">
        <v>399.44339853446627</v>
      </c>
      <c r="J32" s="965">
        <v>489.12920910447036</v>
      </c>
      <c r="K32" s="965">
        <v>300.7347369599139</v>
      </c>
      <c r="L32" s="965">
        <v>414.44435172136093</v>
      </c>
      <c r="N32" s="3">
        <v>2039</v>
      </c>
      <c r="O32" s="707">
        <f>C32*Compost!J31/100</f>
        <v>1447.6479378453637</v>
      </c>
      <c r="P32" s="1130">
        <f t="shared" si="0"/>
        <v>568.00332095740828</v>
      </c>
      <c r="Q32" s="1130">
        <f t="shared" si="1"/>
        <v>40.835483060025084</v>
      </c>
      <c r="R32" s="1130">
        <f t="shared" si="2"/>
        <v>232.40102650711054</v>
      </c>
      <c r="S32" s="1130">
        <f t="shared" si="3"/>
        <v>419.18254803536888</v>
      </c>
      <c r="T32" s="1130">
        <f t="shared" si="4"/>
        <v>186.80461704905261</v>
      </c>
      <c r="U32" s="1130">
        <f t="shared" si="5"/>
        <v>189.78433336258593</v>
      </c>
      <c r="V32" s="1130">
        <f t="shared" si="6"/>
        <v>234.30446800462528</v>
      </c>
      <c r="W32" s="1130">
        <f t="shared" si="7"/>
        <v>173.80263585339023</v>
      </c>
      <c r="X32" s="1130">
        <f t="shared" si="8"/>
        <v>114.19467957083248</v>
      </c>
      <c r="AA32" s="3">
        <v>2039</v>
      </c>
      <c r="AB32" s="707">
        <f>C32*'H&amp;C Recycling'!M29/100</f>
        <v>928.09221408935878</v>
      </c>
      <c r="AC32" s="1166">
        <f t="shared" si="9"/>
        <v>273.98391158778912</v>
      </c>
      <c r="AD32" s="1166">
        <f t="shared" si="10"/>
        <v>43.697660026131047</v>
      </c>
      <c r="AE32" s="1166">
        <f t="shared" si="11"/>
        <v>134.49556318197625</v>
      </c>
      <c r="AF32" s="1166">
        <f t="shared" si="12"/>
        <v>367.15431049547323</v>
      </c>
      <c r="AG32" s="1166">
        <f t="shared" si="13"/>
        <v>108.76076879798903</v>
      </c>
      <c r="AH32" s="528"/>
      <c r="AI32" s="528"/>
      <c r="AJ32" s="528"/>
      <c r="AK32" s="528"/>
      <c r="AM32" s="3">
        <v>2039</v>
      </c>
      <c r="AN32" s="707">
        <f t="shared" si="14"/>
        <v>654.27034133774919</v>
      </c>
      <c r="AO32" s="335">
        <f t="shared" si="14"/>
        <v>-139.90923678907365</v>
      </c>
      <c r="AP32" s="335">
        <f t="shared" si="14"/>
        <v>93.823868147517516</v>
      </c>
      <c r="AQ32" s="335">
        <f t="shared" si="14"/>
        <v>956.50245093133935</v>
      </c>
      <c r="AR32" s="335">
        <f t="shared" si="14"/>
        <v>-195.40420859386728</v>
      </c>
      <c r="AS32" s="335">
        <f t="shared" ref="AS32:AW53" si="18">H32-T32-AG32</f>
        <v>59.708602621829286</v>
      </c>
      <c r="AT32" s="335">
        <f t="shared" si="18"/>
        <v>209.65906517188034</v>
      </c>
      <c r="AU32" s="335">
        <f t="shared" si="18"/>
        <v>254.82474109984508</v>
      </c>
      <c r="AV32" s="335">
        <f t="shared" si="18"/>
        <v>126.93210110652367</v>
      </c>
      <c r="AW32" s="335">
        <f t="shared" si="18"/>
        <v>300.24967215052845</v>
      </c>
      <c r="AY32" s="3">
        <v>2039</v>
      </c>
      <c r="AZ32" s="707">
        <f>C32*Bioplastics!AL37</f>
        <v>469.72584228186025</v>
      </c>
      <c r="BD32" s="3">
        <v>2039</v>
      </c>
      <c r="BE32" s="1131">
        <f t="shared" si="15"/>
        <v>0.47776994207101742</v>
      </c>
      <c r="BF32" s="1131">
        <f t="shared" si="16"/>
        <v>0.30630000000000024</v>
      </c>
      <c r="BG32" s="1131">
        <f t="shared" si="17"/>
        <v>0.21593005792898234</v>
      </c>
    </row>
    <row r="33" spans="2:59" ht="14.4" x14ac:dyDescent="0.55000000000000004">
      <c r="B33" s="3">
        <v>2040</v>
      </c>
      <c r="C33" s="707">
        <v>3070.2682565731338</v>
      </c>
      <c r="D33" s="965">
        <v>705.68365117188807</v>
      </c>
      <c r="E33" s="965">
        <v>179.0045732074062</v>
      </c>
      <c r="F33" s="965">
        <v>1337.925299012205</v>
      </c>
      <c r="G33" s="965">
        <v>605.05013855796085</v>
      </c>
      <c r="H33" s="965">
        <v>358.35471869490266</v>
      </c>
      <c r="I33" s="965">
        <v>402.87209723433295</v>
      </c>
      <c r="J33" s="965">
        <v>501.25157368302445</v>
      </c>
      <c r="K33" s="965">
        <v>302.9919964368886</v>
      </c>
      <c r="L33" s="965">
        <v>423.97791708610151</v>
      </c>
      <c r="N33" s="3">
        <v>2040</v>
      </c>
      <c r="O33" s="707">
        <f>C33*Compost!J32/100</f>
        <v>1467.6452259942189</v>
      </c>
      <c r="P33" s="1130">
        <f t="shared" si="0"/>
        <v>575.84951462214542</v>
      </c>
      <c r="Q33" s="1130">
        <f t="shared" si="1"/>
        <v>41.399569741669801</v>
      </c>
      <c r="R33" s="1130">
        <f t="shared" si="2"/>
        <v>235.61133073347477</v>
      </c>
      <c r="S33" s="1130">
        <f t="shared" si="3"/>
        <v>424.97298504763785</v>
      </c>
      <c r="T33" s="1130">
        <f t="shared" si="4"/>
        <v>189.38506886817819</v>
      </c>
      <c r="U33" s="1130">
        <f t="shared" si="5"/>
        <v>192.40594591158637</v>
      </c>
      <c r="V33" s="1130">
        <f t="shared" si="6"/>
        <v>237.54106568750279</v>
      </c>
      <c r="W33" s="1130">
        <f t="shared" si="7"/>
        <v>176.20348297880648</v>
      </c>
      <c r="X33" s="1130">
        <f t="shared" si="8"/>
        <v>115.77212381866731</v>
      </c>
      <c r="AA33" s="3">
        <v>2040</v>
      </c>
      <c r="AB33" s="707">
        <f>C33*'H&amp;C Recycling'!M30/100</f>
        <v>934.58965730086265</v>
      </c>
      <c r="AC33" s="1166">
        <f t="shared" si="9"/>
        <v>275.9020344632774</v>
      </c>
      <c r="AD33" s="1166">
        <f t="shared" si="10"/>
        <v>44.00358120528238</v>
      </c>
      <c r="AE33" s="1166">
        <f t="shared" si="11"/>
        <v>135.43714772574012</v>
      </c>
      <c r="AF33" s="1166">
        <f t="shared" si="12"/>
        <v>369.72470624504206</v>
      </c>
      <c r="AG33" s="1166">
        <f t="shared" si="13"/>
        <v>109.52218766152063</v>
      </c>
      <c r="AH33" s="528"/>
      <c r="AI33" s="528"/>
      <c r="AJ33" s="528"/>
      <c r="AK33" s="528"/>
      <c r="AM33" s="3">
        <v>2040</v>
      </c>
      <c r="AN33" s="707">
        <f t="shared" ref="AN33:AR53" si="19">C33-O33-AB33</f>
        <v>668.0333732780523</v>
      </c>
      <c r="AO33" s="335">
        <f t="shared" si="19"/>
        <v>-146.06789791353475</v>
      </c>
      <c r="AP33" s="335">
        <f t="shared" si="19"/>
        <v>93.601422260454001</v>
      </c>
      <c r="AQ33" s="335">
        <f t="shared" si="19"/>
        <v>966.87682055299013</v>
      </c>
      <c r="AR33" s="335">
        <f t="shared" si="19"/>
        <v>-189.64755273471906</v>
      </c>
      <c r="AS33" s="335">
        <f t="shared" si="18"/>
        <v>59.447462165203831</v>
      </c>
      <c r="AT33" s="335">
        <f t="shared" si="18"/>
        <v>210.46615132274658</v>
      </c>
      <c r="AU33" s="335">
        <f t="shared" si="18"/>
        <v>263.71050799552165</v>
      </c>
      <c r="AV33" s="335">
        <f t="shared" si="18"/>
        <v>126.78851345808212</v>
      </c>
      <c r="AW33" s="335">
        <f t="shared" si="18"/>
        <v>308.20579326743422</v>
      </c>
      <c r="AY33" s="3">
        <v>2040</v>
      </c>
      <c r="AZ33" s="707">
        <f>C33*Bioplastics!AL38</f>
        <v>482.47616122613005</v>
      </c>
      <c r="BD33" s="3">
        <v>2040</v>
      </c>
      <c r="BE33" s="1131">
        <f t="shared" si="15"/>
        <v>0.47801856494204992</v>
      </c>
      <c r="BF33" s="1131">
        <f t="shared" si="16"/>
        <v>0.30440000000000023</v>
      </c>
      <c r="BG33" s="1131">
        <f t="shared" si="17"/>
        <v>0.21758143505794988</v>
      </c>
    </row>
    <row r="34" spans="2:59" ht="14.4" x14ac:dyDescent="0.55000000000000004">
      <c r="B34" s="3">
        <v>2041</v>
      </c>
      <c r="C34" s="707">
        <v>3117.3237746717477</v>
      </c>
      <c r="D34" s="965">
        <v>709.51237059419577</v>
      </c>
      <c r="E34" s="965">
        <v>180.16266736746564</v>
      </c>
      <c r="F34" s="965">
        <v>1357.8450343633424</v>
      </c>
      <c r="G34" s="965">
        <v>621.57770527739956</v>
      </c>
      <c r="H34" s="965">
        <v>362.27090526455441</v>
      </c>
      <c r="I34" s="965">
        <v>406.30079593419958</v>
      </c>
      <c r="J34" s="965">
        <v>513.37393826157859</v>
      </c>
      <c r="K34" s="965">
        <v>305.24925591386341</v>
      </c>
      <c r="L34" s="965">
        <v>433.78038856452577</v>
      </c>
      <c r="N34" s="3">
        <v>2041</v>
      </c>
      <c r="O34" s="707">
        <f>C34*Compost!J33/100</f>
        <v>1490.8458781167385</v>
      </c>
      <c r="P34" s="1130">
        <f t="shared" si="0"/>
        <v>584.95258941640952</v>
      </c>
      <c r="Q34" s="1130">
        <f t="shared" si="1"/>
        <v>42.054017423293821</v>
      </c>
      <c r="R34" s="1130">
        <f t="shared" si="2"/>
        <v>239.33589333460898</v>
      </c>
      <c r="S34" s="1130">
        <f t="shared" si="3"/>
        <v>431.69099169728969</v>
      </c>
      <c r="T34" s="1130">
        <f t="shared" si="4"/>
        <v>192.37888305582257</v>
      </c>
      <c r="U34" s="1130">
        <f t="shared" si="5"/>
        <v>195.44751436310028</v>
      </c>
      <c r="V34" s="1130">
        <f t="shared" si="6"/>
        <v>241.29613369182582</v>
      </c>
      <c r="W34" s="1130">
        <f t="shared" si="7"/>
        <v>178.98892161136038</v>
      </c>
      <c r="X34" s="1130">
        <f t="shared" si="8"/>
        <v>117.60225873317475</v>
      </c>
      <c r="AA34" s="3">
        <v>2041</v>
      </c>
      <c r="AB34" s="707">
        <f>C34*'H&amp;C Recycling'!M31/100</f>
        <v>942.99044183820445</v>
      </c>
      <c r="AC34" s="1166">
        <f t="shared" si="9"/>
        <v>278.38204644161891</v>
      </c>
      <c r="AD34" s="1166">
        <f t="shared" si="10"/>
        <v>44.399118007652532</v>
      </c>
      <c r="AE34" s="1166">
        <f t="shared" si="11"/>
        <v>136.65455719256647</v>
      </c>
      <c r="AF34" s="1166">
        <f t="shared" si="12"/>
        <v>373.04806593668127</v>
      </c>
      <c r="AG34" s="1166">
        <f t="shared" si="13"/>
        <v>110.50665425968518</v>
      </c>
      <c r="AH34" s="528"/>
      <c r="AI34" s="528"/>
      <c r="AJ34" s="528"/>
      <c r="AK34" s="528"/>
      <c r="AM34" s="3">
        <v>2041</v>
      </c>
      <c r="AN34" s="707">
        <f t="shared" si="19"/>
        <v>683.48745471680479</v>
      </c>
      <c r="AO34" s="335">
        <f t="shared" si="19"/>
        <v>-153.82226526383266</v>
      </c>
      <c r="AP34" s="335">
        <f t="shared" si="19"/>
        <v>93.709531936519284</v>
      </c>
      <c r="AQ34" s="335">
        <f t="shared" si="19"/>
        <v>981.85458383616697</v>
      </c>
      <c r="AR34" s="335">
        <f t="shared" si="19"/>
        <v>-183.1613523565714</v>
      </c>
      <c r="AS34" s="335">
        <f t="shared" si="18"/>
        <v>59.385367949046667</v>
      </c>
      <c r="AT34" s="335">
        <f t="shared" si="18"/>
        <v>210.8532815710993</v>
      </c>
      <c r="AU34" s="335">
        <f t="shared" si="18"/>
        <v>272.07780456975274</v>
      </c>
      <c r="AV34" s="335">
        <f t="shared" si="18"/>
        <v>126.26033430250303</v>
      </c>
      <c r="AW34" s="335">
        <f t="shared" si="18"/>
        <v>316.17812983135104</v>
      </c>
      <c r="AY34" s="3">
        <v>2041</v>
      </c>
      <c r="AZ34" s="707">
        <f>C34*Bioplastics!AL39</f>
        <v>495.45196923834999</v>
      </c>
      <c r="BD34" s="3">
        <v>2041</v>
      </c>
      <c r="BE34" s="1131">
        <f t="shared" si="15"/>
        <v>0.47824543931877067</v>
      </c>
      <c r="BF34" s="1131">
        <f t="shared" si="16"/>
        <v>0.30250000000000027</v>
      </c>
      <c r="BG34" s="1131">
        <f t="shared" si="17"/>
        <v>0.21925456068122909</v>
      </c>
    </row>
    <row r="35" spans="2:59" ht="14.4" x14ac:dyDescent="0.55000000000000004">
      <c r="B35" s="3">
        <v>2042</v>
      </c>
      <c r="C35" s="707">
        <v>3159.6894567667218</v>
      </c>
      <c r="D35" s="965">
        <v>712.99832549504788</v>
      </c>
      <c r="E35" s="965">
        <v>180.99800718575892</v>
      </c>
      <c r="F35" s="965">
        <v>1373.7288007663074</v>
      </c>
      <c r="G35" s="965">
        <v>637.0788480696973</v>
      </c>
      <c r="H35" s="965">
        <v>365.60321462533091</v>
      </c>
      <c r="I35" s="965">
        <v>409.72949463406627</v>
      </c>
      <c r="J35" s="965">
        <v>525.49630284013256</v>
      </c>
      <c r="K35" s="965">
        <v>307.5065153908381</v>
      </c>
      <c r="L35" s="965">
        <v>443.85176615663369</v>
      </c>
      <c r="N35" s="3">
        <v>2042</v>
      </c>
      <c r="O35" s="707">
        <f>C35*Compost!J34/100</f>
        <v>1511.7611604311446</v>
      </c>
      <c r="P35" s="1130">
        <f t="shared" si="0"/>
        <v>593.15896992010175</v>
      </c>
      <c r="Q35" s="1130">
        <f t="shared" si="1"/>
        <v>42.643999030228422</v>
      </c>
      <c r="R35" s="1130">
        <f t="shared" si="2"/>
        <v>242.69356957099322</v>
      </c>
      <c r="S35" s="1130">
        <f t="shared" si="3"/>
        <v>437.7472441218128</v>
      </c>
      <c r="T35" s="1130">
        <f t="shared" si="4"/>
        <v>195.07779292269987</v>
      </c>
      <c r="U35" s="1130">
        <f t="shared" si="5"/>
        <v>198.18947448155131</v>
      </c>
      <c r="V35" s="1130">
        <f t="shared" si="6"/>
        <v>244.6813104103706</v>
      </c>
      <c r="W35" s="1130">
        <f t="shared" si="7"/>
        <v>181.4999818635319</v>
      </c>
      <c r="X35" s="1130">
        <f t="shared" si="8"/>
        <v>119.25211703061545</v>
      </c>
      <c r="AA35" s="3">
        <v>2042</v>
      </c>
      <c r="AB35" s="707">
        <f>C35*'H&amp;C Recycling'!M32/100</f>
        <v>949.80265070407722</v>
      </c>
      <c r="AC35" s="1166">
        <f t="shared" si="9"/>
        <v>280.39309189948449</v>
      </c>
      <c r="AD35" s="1166">
        <f t="shared" si="10"/>
        <v>44.719859397924814</v>
      </c>
      <c r="AE35" s="1166">
        <f t="shared" si="11"/>
        <v>137.64175636741118</v>
      </c>
      <c r="AF35" s="1166">
        <f t="shared" si="12"/>
        <v>375.7429833286505</v>
      </c>
      <c r="AG35" s="1166">
        <f t="shared" si="13"/>
        <v>111.3049597106061</v>
      </c>
      <c r="AH35" s="528"/>
      <c r="AI35" s="528"/>
      <c r="AJ35" s="528"/>
      <c r="AK35" s="528"/>
      <c r="AM35" s="3">
        <v>2042</v>
      </c>
      <c r="AN35" s="707">
        <f t="shared" si="19"/>
        <v>698.12564563149999</v>
      </c>
      <c r="AO35" s="335">
        <f t="shared" si="19"/>
        <v>-160.55373632453836</v>
      </c>
      <c r="AP35" s="335">
        <f t="shared" si="19"/>
        <v>93.634148757605686</v>
      </c>
      <c r="AQ35" s="335">
        <f t="shared" si="19"/>
        <v>993.39347482790288</v>
      </c>
      <c r="AR35" s="335">
        <f t="shared" si="19"/>
        <v>-176.41137938076599</v>
      </c>
      <c r="AS35" s="335">
        <f t="shared" si="18"/>
        <v>59.220461992024937</v>
      </c>
      <c r="AT35" s="335">
        <f t="shared" si="18"/>
        <v>211.54002015251496</v>
      </c>
      <c r="AU35" s="335">
        <f t="shared" si="18"/>
        <v>280.81499242976196</v>
      </c>
      <c r="AV35" s="335">
        <f t="shared" si="18"/>
        <v>126.0065335273062</v>
      </c>
      <c r="AW35" s="335">
        <f t="shared" si="18"/>
        <v>324.59964912601822</v>
      </c>
      <c r="AY35" s="3">
        <v>2042</v>
      </c>
      <c r="AZ35" s="707">
        <f>C35*Bioplastics!AL40</f>
        <v>508.67131058809952</v>
      </c>
      <c r="BD35" s="3">
        <v>2042</v>
      </c>
      <c r="BE35" s="1131">
        <f t="shared" si="15"/>
        <v>0.47845244955753169</v>
      </c>
      <c r="BF35" s="1131">
        <f t="shared" si="16"/>
        <v>0.3006000000000002</v>
      </c>
      <c r="BG35" s="1131">
        <f t="shared" si="17"/>
        <v>0.22094755044246814</v>
      </c>
    </row>
    <row r="36" spans="2:59" ht="14.4" x14ac:dyDescent="0.55000000000000004">
      <c r="B36" s="3">
        <v>2043</v>
      </c>
      <c r="C36" s="707">
        <v>3202.0346277752164</v>
      </c>
      <c r="D36" s="965">
        <v>716.44290495497853</v>
      </c>
      <c r="E36" s="965">
        <v>181.82885792074455</v>
      </c>
      <c r="F36" s="965">
        <v>1389.522624811186</v>
      </c>
      <c r="G36" s="965">
        <v>652.83377866618207</v>
      </c>
      <c r="H36" s="965">
        <v>368.88837427477495</v>
      </c>
      <c r="I36" s="965">
        <v>413.1581933339329</v>
      </c>
      <c r="J36" s="965">
        <v>537.61866741868675</v>
      </c>
      <c r="K36" s="965">
        <v>309.76377486781291</v>
      </c>
      <c r="L36" s="965">
        <v>454.19204986242528</v>
      </c>
      <c r="N36" s="3">
        <v>2043</v>
      </c>
      <c r="O36" s="707">
        <f>C36*Compost!J35/100</f>
        <v>1532.6260802793747</v>
      </c>
      <c r="P36" s="1130">
        <f t="shared" si="0"/>
        <v>601.34559006128336</v>
      </c>
      <c r="Q36" s="1130">
        <f t="shared" si="1"/>
        <v>43.232560004714607</v>
      </c>
      <c r="R36" s="1130">
        <f t="shared" si="2"/>
        <v>246.04316076920568</v>
      </c>
      <c r="S36" s="1130">
        <f t="shared" si="3"/>
        <v>443.78891353457931</v>
      </c>
      <c r="T36" s="1130">
        <f t="shared" si="4"/>
        <v>197.77020401251841</v>
      </c>
      <c r="U36" s="1130">
        <f t="shared" si="5"/>
        <v>200.92483216109449</v>
      </c>
      <c r="V36" s="1130">
        <f t="shared" si="6"/>
        <v>248.05833587159907</v>
      </c>
      <c r="W36" s="1130">
        <f t="shared" si="7"/>
        <v>184.00499566674259</v>
      </c>
      <c r="X36" s="1130">
        <f t="shared" si="8"/>
        <v>120.89800259025368</v>
      </c>
      <c r="AA36" s="3">
        <v>2043</v>
      </c>
      <c r="AB36" s="707">
        <f>C36*'H&amp;C Recycling'!M33/100</f>
        <v>956.44774331645783</v>
      </c>
      <c r="AC36" s="1166">
        <f t="shared" si="9"/>
        <v>282.35480264240846</v>
      </c>
      <c r="AD36" s="1166">
        <f t="shared" si="10"/>
        <v>45.032732400639183</v>
      </c>
      <c r="AE36" s="1166">
        <f t="shared" si="11"/>
        <v>138.60473769591576</v>
      </c>
      <c r="AF36" s="1166">
        <f t="shared" si="12"/>
        <v>378.37178934516368</v>
      </c>
      <c r="AG36" s="1166">
        <f t="shared" si="13"/>
        <v>112.08368123233062</v>
      </c>
      <c r="AH36" s="528"/>
      <c r="AI36" s="528"/>
      <c r="AJ36" s="528"/>
      <c r="AK36" s="528"/>
      <c r="AM36" s="3">
        <v>2043</v>
      </c>
      <c r="AN36" s="707">
        <f t="shared" si="19"/>
        <v>712.9608041793839</v>
      </c>
      <c r="AO36" s="335">
        <f t="shared" si="19"/>
        <v>-167.25748774871329</v>
      </c>
      <c r="AP36" s="335">
        <f t="shared" si="19"/>
        <v>93.563565515390763</v>
      </c>
      <c r="AQ36" s="335">
        <f t="shared" si="19"/>
        <v>1004.8747263460644</v>
      </c>
      <c r="AR36" s="335">
        <f t="shared" si="19"/>
        <v>-169.32692421356091</v>
      </c>
      <c r="AS36" s="335">
        <f t="shared" si="18"/>
        <v>59.034489029925922</v>
      </c>
      <c r="AT36" s="335">
        <f t="shared" si="18"/>
        <v>212.23336117283841</v>
      </c>
      <c r="AU36" s="335">
        <f t="shared" si="18"/>
        <v>289.56033154708769</v>
      </c>
      <c r="AV36" s="335">
        <f t="shared" si="18"/>
        <v>125.75877920107033</v>
      </c>
      <c r="AW36" s="335">
        <f t="shared" si="18"/>
        <v>333.29404727217161</v>
      </c>
      <c r="AY36" s="3">
        <v>2043</v>
      </c>
      <c r="AZ36" s="707">
        <f>C36*Bioplastics!AL41</f>
        <v>522.12503464008591</v>
      </c>
      <c r="BD36" s="3">
        <v>2043</v>
      </c>
      <c r="BE36" s="1131">
        <f t="shared" si="15"/>
        <v>0.47864131979867064</v>
      </c>
      <c r="BF36" s="1131">
        <f t="shared" si="16"/>
        <v>0.29870000000000019</v>
      </c>
      <c r="BG36" s="1131">
        <f t="shared" si="17"/>
        <v>0.22265868020132915</v>
      </c>
    </row>
    <row r="37" spans="2:59" ht="14.4" x14ac:dyDescent="0.55000000000000004">
      <c r="B37" s="3">
        <v>2044</v>
      </c>
      <c r="C37" s="707">
        <v>3244.3847108106588</v>
      </c>
      <c r="D37" s="965">
        <v>719.84512989598704</v>
      </c>
      <c r="E37" s="965">
        <v>182.65703837620498</v>
      </c>
      <c r="F37" s="965">
        <v>1405.2501598353724</v>
      </c>
      <c r="G37" s="965">
        <v>668.86069531141254</v>
      </c>
      <c r="H37" s="965">
        <v>372.13146710088756</v>
      </c>
      <c r="I37" s="965">
        <v>416.58689203379959</v>
      </c>
      <c r="J37" s="965">
        <v>549.74103199724084</v>
      </c>
      <c r="K37" s="965">
        <v>312.02103434478761</v>
      </c>
      <c r="L37" s="965">
        <v>464.80123968190048</v>
      </c>
      <c r="N37" s="3">
        <v>2044</v>
      </c>
      <c r="O37" s="707">
        <f>C37*Compost!J36/100</f>
        <v>1553.4556110036765</v>
      </c>
      <c r="P37" s="1130">
        <f t="shared" si="0"/>
        <v>609.51832482371253</v>
      </c>
      <c r="Q37" s="1130">
        <f t="shared" si="1"/>
        <v>43.820122717169738</v>
      </c>
      <c r="R37" s="1130">
        <f t="shared" si="2"/>
        <v>249.38707070437545</v>
      </c>
      <c r="S37" s="1130">
        <f t="shared" si="3"/>
        <v>449.82033563323495</v>
      </c>
      <c r="T37" s="1130">
        <f t="shared" si="4"/>
        <v>200.45804848667697</v>
      </c>
      <c r="U37" s="1130">
        <f t="shared" si="5"/>
        <v>203.65555038299229</v>
      </c>
      <c r="V37" s="1130">
        <f t="shared" si="6"/>
        <v>251.429633538356</v>
      </c>
      <c r="W37" s="1130">
        <f t="shared" si="7"/>
        <v>186.50576070002899</v>
      </c>
      <c r="X37" s="1130">
        <f t="shared" si="8"/>
        <v>122.5410965528733</v>
      </c>
      <c r="AA37" s="3">
        <v>2044</v>
      </c>
      <c r="AB37" s="707">
        <f>C37*'H&amp;C Recycling'!M34/100</f>
        <v>962.93338216860411</v>
      </c>
      <c r="AC37" s="1166">
        <f t="shared" si="9"/>
        <v>284.26944072996133</v>
      </c>
      <c r="AD37" s="1166">
        <f t="shared" si="10"/>
        <v>45.338097791395569</v>
      </c>
      <c r="AE37" s="1166">
        <f t="shared" si="11"/>
        <v>139.54461159720714</v>
      </c>
      <c r="AF37" s="1166">
        <f t="shared" si="12"/>
        <v>380.93751527706246</v>
      </c>
      <c r="AG37" s="1166">
        <f t="shared" si="13"/>
        <v>112.84371677297747</v>
      </c>
      <c r="AH37" s="528"/>
      <c r="AI37" s="528"/>
      <c r="AJ37" s="528"/>
      <c r="AK37" s="528"/>
      <c r="AM37" s="3">
        <v>2044</v>
      </c>
      <c r="AN37" s="707">
        <f t="shared" si="19"/>
        <v>727.99571763837821</v>
      </c>
      <c r="AO37" s="335">
        <f t="shared" si="19"/>
        <v>-173.94263565768682</v>
      </c>
      <c r="AP37" s="335">
        <f t="shared" si="19"/>
        <v>93.498817867639673</v>
      </c>
      <c r="AQ37" s="335">
        <f t="shared" si="19"/>
        <v>1016.3184775337899</v>
      </c>
      <c r="AR37" s="335">
        <f t="shared" si="19"/>
        <v>-161.89715559888486</v>
      </c>
      <c r="AS37" s="335">
        <f t="shared" si="18"/>
        <v>58.829701841233117</v>
      </c>
      <c r="AT37" s="335">
        <f t="shared" si="18"/>
        <v>212.9313416508073</v>
      </c>
      <c r="AU37" s="335">
        <f t="shared" si="18"/>
        <v>298.31139845888481</v>
      </c>
      <c r="AV37" s="335">
        <f t="shared" si="18"/>
        <v>125.51527364475862</v>
      </c>
      <c r="AW37" s="335">
        <f t="shared" si="18"/>
        <v>342.2601431290272</v>
      </c>
      <c r="AY37" s="3">
        <v>2044</v>
      </c>
      <c r="AZ37" s="707">
        <f>C37*Bioplastics!AL42</f>
        <v>535.81159239739191</v>
      </c>
      <c r="BD37" s="3">
        <v>2044</v>
      </c>
      <c r="BE37" s="1131">
        <f t="shared" si="15"/>
        <v>0.47881362707307357</v>
      </c>
      <c r="BF37" s="1131">
        <f t="shared" si="16"/>
        <v>0.29680000000000017</v>
      </c>
      <c r="BG37" s="1131">
        <f t="shared" si="17"/>
        <v>0.22438637292692623</v>
      </c>
    </row>
    <row r="38" spans="2:59" ht="14.4" x14ac:dyDescent="0.55000000000000004">
      <c r="B38" s="3">
        <v>2045</v>
      </c>
      <c r="C38" s="707">
        <v>3286.87091114945</v>
      </c>
      <c r="D38" s="965">
        <v>723.9831674710947</v>
      </c>
      <c r="E38" s="965">
        <v>183.4066926906994</v>
      </c>
      <c r="F38" s="965">
        <v>1419.5356615159428</v>
      </c>
      <c r="G38" s="965">
        <v>685.69714146341209</v>
      </c>
      <c r="H38" s="965">
        <v>375.41515751045313</v>
      </c>
      <c r="I38" s="965">
        <v>420.01559073366627</v>
      </c>
      <c r="J38" s="965">
        <v>561.86339657579492</v>
      </c>
      <c r="K38" s="965">
        <v>314.27829382176242</v>
      </c>
      <c r="L38" s="965">
        <v>475.67933561505936</v>
      </c>
      <c r="N38" s="3">
        <v>2045</v>
      </c>
      <c r="O38" s="707">
        <f>C38*Compost!J37/100</f>
        <v>1574.3152339350941</v>
      </c>
      <c r="P38" s="1130">
        <f t="shared" si="0"/>
        <v>617.70286665133347</v>
      </c>
      <c r="Q38" s="1130">
        <f t="shared" si="1"/>
        <v>44.408534275384802</v>
      </c>
      <c r="R38" s="1130">
        <f t="shared" si="2"/>
        <v>252.73581155156515</v>
      </c>
      <c r="S38" s="1130">
        <f t="shared" si="3"/>
        <v>455.86047126487404</v>
      </c>
      <c r="T38" s="1130">
        <f t="shared" si="4"/>
        <v>203.14977606188478</v>
      </c>
      <c r="U38" s="1130">
        <f t="shared" si="5"/>
        <v>206.39021364519829</v>
      </c>
      <c r="V38" s="1130">
        <f t="shared" si="6"/>
        <v>254.80580168390475</v>
      </c>
      <c r="W38" s="1130">
        <f t="shared" si="7"/>
        <v>189.01013856263569</v>
      </c>
      <c r="X38" s="1130">
        <f t="shared" si="8"/>
        <v>124.18656427630818</v>
      </c>
      <c r="AA38" s="3">
        <v>2045</v>
      </c>
      <c r="AB38" s="707">
        <f>C38*'H&amp;C Recycling'!M35/100</f>
        <v>969.29823169797339</v>
      </c>
      <c r="AC38" s="1166">
        <f t="shared" si="9"/>
        <v>286.14842036609087</v>
      </c>
      <c r="AD38" s="1166">
        <f t="shared" si="10"/>
        <v>45.63777602016377</v>
      </c>
      <c r="AE38" s="1166">
        <f t="shared" si="11"/>
        <v>140.46698117323143</v>
      </c>
      <c r="AF38" s="1166">
        <f t="shared" si="12"/>
        <v>383.45545681873995</v>
      </c>
      <c r="AG38" s="1166">
        <f t="shared" si="13"/>
        <v>113.58959731974723</v>
      </c>
      <c r="AH38" s="528"/>
      <c r="AI38" s="528"/>
      <c r="AJ38" s="528"/>
      <c r="AK38" s="528"/>
      <c r="AM38" s="3">
        <v>2045</v>
      </c>
      <c r="AN38" s="707">
        <f t="shared" si="19"/>
        <v>743.25744551638252</v>
      </c>
      <c r="AO38" s="335">
        <f t="shared" si="19"/>
        <v>-179.86811954632964</v>
      </c>
      <c r="AP38" s="335">
        <f t="shared" si="19"/>
        <v>93.360382395150836</v>
      </c>
      <c r="AQ38" s="335">
        <f t="shared" si="19"/>
        <v>1026.3328687911462</v>
      </c>
      <c r="AR38" s="335">
        <f t="shared" si="19"/>
        <v>-153.61878662020189</v>
      </c>
      <c r="AS38" s="335">
        <f t="shared" si="18"/>
        <v>58.675784128821121</v>
      </c>
      <c r="AT38" s="335">
        <f t="shared" si="18"/>
        <v>213.62537708846799</v>
      </c>
      <c r="AU38" s="335">
        <f t="shared" si="18"/>
        <v>307.05759489189018</v>
      </c>
      <c r="AV38" s="335">
        <f t="shared" si="18"/>
        <v>125.26815525912673</v>
      </c>
      <c r="AW38" s="335">
        <f t="shared" si="18"/>
        <v>351.4927713387512</v>
      </c>
      <c r="AY38" s="3">
        <v>2045</v>
      </c>
      <c r="AZ38" s="707">
        <f>C38*Bioplastics!AL43</f>
        <v>549.72913583559932</v>
      </c>
      <c r="BD38" s="3">
        <v>2045</v>
      </c>
      <c r="BE38" s="1131">
        <f t="shared" si="15"/>
        <v>0.47897081342465653</v>
      </c>
      <c r="BF38" s="1131">
        <f t="shared" si="16"/>
        <v>0.29490000000000016</v>
      </c>
      <c r="BG38" s="1131">
        <f t="shared" si="17"/>
        <v>0.22612918657534328</v>
      </c>
    </row>
    <row r="39" spans="2:59" ht="14.4" x14ac:dyDescent="0.55000000000000004">
      <c r="B39" s="3">
        <v>2046</v>
      </c>
      <c r="C39" s="707">
        <v>3329.08709032667</v>
      </c>
      <c r="D39" s="965">
        <v>726.67485091643607</v>
      </c>
      <c r="E39" s="965">
        <v>184.33002797606051</v>
      </c>
      <c r="F39" s="965">
        <v>1434.9819015996841</v>
      </c>
      <c r="G39" s="965">
        <v>702.80387377529735</v>
      </c>
      <c r="H39" s="965">
        <v>378.50502937953888</v>
      </c>
      <c r="I39" s="965">
        <v>423.4442894335329</v>
      </c>
      <c r="J39" s="965">
        <v>573.98576115434901</v>
      </c>
      <c r="K39" s="965">
        <v>316.53555329873711</v>
      </c>
      <c r="L39" s="965">
        <v>486.82633766190179</v>
      </c>
      <c r="N39" s="3">
        <v>2046</v>
      </c>
      <c r="O39" s="707">
        <f>C39*Compost!J38/100</f>
        <v>1595.0128883817617</v>
      </c>
      <c r="P39" s="1130">
        <f t="shared" si="0"/>
        <v>625.82385805704348</v>
      </c>
      <c r="Q39" s="1130">
        <f t="shared" si="1"/>
        <v>44.992377000845465</v>
      </c>
      <c r="R39" s="1130">
        <f t="shared" si="2"/>
        <v>256.05855046752998</v>
      </c>
      <c r="S39" s="1130">
        <f t="shared" si="3"/>
        <v>461.85370712180691</v>
      </c>
      <c r="T39" s="1130">
        <f t="shared" si="4"/>
        <v>205.82060320959448</v>
      </c>
      <c r="U39" s="1130">
        <f t="shared" si="5"/>
        <v>209.10364309764958</v>
      </c>
      <c r="V39" s="1130">
        <f t="shared" si="6"/>
        <v>258.15575493378674</v>
      </c>
      <c r="W39" s="1130">
        <f t="shared" si="7"/>
        <v>191.49507070999718</v>
      </c>
      <c r="X39" s="1130">
        <f t="shared" si="8"/>
        <v>125.81925545460868</v>
      </c>
      <c r="AA39" s="3">
        <v>2046</v>
      </c>
      <c r="AB39" s="707">
        <f>C39*'H&amp;C Recycling'!M36/100</f>
        <v>975.4225174657148</v>
      </c>
      <c r="AC39" s="1166">
        <f t="shared" si="9"/>
        <v>287.95638270523585</v>
      </c>
      <c r="AD39" s="1166">
        <f t="shared" si="10"/>
        <v>45.92612770905734</v>
      </c>
      <c r="AE39" s="1166">
        <f t="shared" si="11"/>
        <v>141.3544891718067</v>
      </c>
      <c r="AF39" s="1166">
        <f t="shared" si="12"/>
        <v>385.87823106918296</v>
      </c>
      <c r="AG39" s="1166">
        <f t="shared" si="13"/>
        <v>114.30728681043183</v>
      </c>
      <c r="AH39" s="528"/>
      <c r="AI39" s="528"/>
      <c r="AJ39" s="528"/>
      <c r="AK39" s="528"/>
      <c r="AM39" s="3">
        <v>2046</v>
      </c>
      <c r="AN39" s="707">
        <f t="shared" si="19"/>
        <v>758.65168447919348</v>
      </c>
      <c r="AO39" s="335">
        <f t="shared" si="19"/>
        <v>-187.10538984584326</v>
      </c>
      <c r="AP39" s="335">
        <f t="shared" si="19"/>
        <v>93.411523266157701</v>
      </c>
      <c r="AQ39" s="335">
        <f t="shared" si="19"/>
        <v>1037.5688619603472</v>
      </c>
      <c r="AR39" s="335">
        <f t="shared" si="19"/>
        <v>-144.92806441569252</v>
      </c>
      <c r="AS39" s="335">
        <f t="shared" si="18"/>
        <v>58.377139359512569</v>
      </c>
      <c r="AT39" s="335">
        <f t="shared" si="18"/>
        <v>214.34064633588332</v>
      </c>
      <c r="AU39" s="335">
        <f t="shared" si="18"/>
        <v>315.83000622056227</v>
      </c>
      <c r="AV39" s="335">
        <f t="shared" si="18"/>
        <v>125.04048258873993</v>
      </c>
      <c r="AW39" s="335">
        <f t="shared" si="18"/>
        <v>361.00708220729314</v>
      </c>
      <c r="AY39" s="3">
        <v>2046</v>
      </c>
      <c r="AZ39" s="707">
        <f>C39*Bioplastics!AL44</f>
        <v>563.87642924422676</v>
      </c>
      <c r="BD39" s="3">
        <v>2046</v>
      </c>
      <c r="BE39" s="1131">
        <f t="shared" si="15"/>
        <v>0.47911419710718639</v>
      </c>
      <c r="BF39" s="1131">
        <f t="shared" si="16"/>
        <v>0.29300000000000015</v>
      </c>
      <c r="BG39" s="1131">
        <f t="shared" si="17"/>
        <v>0.22788580289281349</v>
      </c>
    </row>
    <row r="40" spans="2:59" ht="14.4" x14ac:dyDescent="0.55000000000000004">
      <c r="B40" s="3">
        <v>2047</v>
      </c>
      <c r="C40" s="707">
        <v>3371.0816863003333</v>
      </c>
      <c r="D40" s="965">
        <v>729.85095808262213</v>
      </c>
      <c r="E40" s="965">
        <v>185.18473253608644</v>
      </c>
      <c r="F40" s="965">
        <v>1449.6776843747739</v>
      </c>
      <c r="G40" s="965">
        <v>720.10351988151581</v>
      </c>
      <c r="H40" s="965">
        <v>381.61126639878267</v>
      </c>
      <c r="I40" s="965">
        <v>426.87298813339959</v>
      </c>
      <c r="J40" s="965">
        <v>586.10812573290309</v>
      </c>
      <c r="K40" s="965">
        <v>318.79281277571187</v>
      </c>
      <c r="L40" s="965">
        <v>498.24224582242789</v>
      </c>
      <c r="N40" s="3">
        <v>2047</v>
      </c>
      <c r="O40" s="707">
        <f>C40*Compost!J39/100</f>
        <v>1615.5739851503572</v>
      </c>
      <c r="P40" s="1130">
        <f t="shared" si="0"/>
        <v>633.89126929825397</v>
      </c>
      <c r="Q40" s="1130">
        <f t="shared" si="1"/>
        <v>45.572367685624243</v>
      </c>
      <c r="R40" s="1130">
        <f t="shared" si="2"/>
        <v>259.35936682640636</v>
      </c>
      <c r="S40" s="1130">
        <f t="shared" si="3"/>
        <v>467.80740118549596</v>
      </c>
      <c r="T40" s="1130">
        <f t="shared" si="4"/>
        <v>208.47380894253166</v>
      </c>
      <c r="U40" s="1130">
        <f t="shared" si="5"/>
        <v>211.79917005653115</v>
      </c>
      <c r="V40" s="1130">
        <f t="shared" si="6"/>
        <v>261.48360607356574</v>
      </c>
      <c r="W40" s="1130">
        <f t="shared" si="7"/>
        <v>193.96360792888569</v>
      </c>
      <c r="X40" s="1130">
        <f t="shared" si="8"/>
        <v>127.44117456610846</v>
      </c>
      <c r="AA40" s="3">
        <v>2047</v>
      </c>
      <c r="AB40" s="707">
        <f>C40*'H&amp;C Recycling'!M37/100</f>
        <v>981.32187888202748</v>
      </c>
      <c r="AC40" s="1166">
        <f t="shared" si="9"/>
        <v>289.69794468816593</v>
      </c>
      <c r="AD40" s="1166">
        <f t="shared" si="10"/>
        <v>46.203889213386141</v>
      </c>
      <c r="AE40" s="1166">
        <f t="shared" si="11"/>
        <v>142.20940199626079</v>
      </c>
      <c r="AF40" s="1166">
        <f t="shared" si="12"/>
        <v>388.21202499643312</v>
      </c>
      <c r="AG40" s="1166">
        <f t="shared" si="13"/>
        <v>114.99861798778139</v>
      </c>
      <c r="AH40" s="528"/>
      <c r="AI40" s="528"/>
      <c r="AJ40" s="528"/>
      <c r="AK40" s="528"/>
      <c r="AM40" s="3">
        <v>2047</v>
      </c>
      <c r="AN40" s="707">
        <f t="shared" si="19"/>
        <v>774.18582226794865</v>
      </c>
      <c r="AO40" s="335">
        <f t="shared" si="19"/>
        <v>-193.73825590379778</v>
      </c>
      <c r="AP40" s="335">
        <f t="shared" si="19"/>
        <v>93.408475637076066</v>
      </c>
      <c r="AQ40" s="335">
        <f t="shared" si="19"/>
        <v>1048.1089155521067</v>
      </c>
      <c r="AR40" s="335">
        <f t="shared" si="19"/>
        <v>-135.91590630041327</v>
      </c>
      <c r="AS40" s="335">
        <f t="shared" si="18"/>
        <v>58.138839468469627</v>
      </c>
      <c r="AT40" s="335">
        <f t="shared" si="18"/>
        <v>215.07381807686843</v>
      </c>
      <c r="AU40" s="335">
        <f t="shared" si="18"/>
        <v>324.62451965933735</v>
      </c>
      <c r="AV40" s="335">
        <f t="shared" si="18"/>
        <v>124.82920484682617</v>
      </c>
      <c r="AW40" s="335">
        <f t="shared" si="18"/>
        <v>370.80107125631946</v>
      </c>
      <c r="AY40" s="3">
        <v>2047</v>
      </c>
      <c r="AZ40" s="707">
        <f>C40*Bioplastics!AL45</f>
        <v>578.25213363754915</v>
      </c>
      <c r="BD40" s="3">
        <v>2047</v>
      </c>
      <c r="BE40" s="1131">
        <f t="shared" si="15"/>
        <v>0.47924498291330458</v>
      </c>
      <c r="BF40" s="1131">
        <f t="shared" si="16"/>
        <v>0.29110000000000014</v>
      </c>
      <c r="BG40" s="1131">
        <f t="shared" si="17"/>
        <v>0.22965501708669531</v>
      </c>
    </row>
    <row r="41" spans="2:59" ht="14.4" x14ac:dyDescent="0.55000000000000004">
      <c r="B41" s="3">
        <v>2048</v>
      </c>
      <c r="C41" s="707">
        <v>3412.9379410699567</v>
      </c>
      <c r="D41" s="965">
        <v>732.93522009747676</v>
      </c>
      <c r="E41" s="965">
        <v>186.04894873098192</v>
      </c>
      <c r="F41" s="965">
        <v>1464.0691130192936</v>
      </c>
      <c r="G41" s="965">
        <v>737.76754769195156</v>
      </c>
      <c r="H41" s="965">
        <v>384.67229168439553</v>
      </c>
      <c r="I41" s="965">
        <v>430.30168683326622</v>
      </c>
      <c r="J41" s="965">
        <v>598.23049031145729</v>
      </c>
      <c r="K41" s="965">
        <v>321.05007225268662</v>
      </c>
      <c r="L41" s="965">
        <v>509.92706009663772</v>
      </c>
      <c r="N41" s="3">
        <v>2048</v>
      </c>
      <c r="O41" s="707">
        <f>C41*Compost!J40/100</f>
        <v>1636.0405104523277</v>
      </c>
      <c r="P41" s="1130">
        <f t="shared" si="0"/>
        <v>641.92157420600699</v>
      </c>
      <c r="Q41" s="1130">
        <f t="shared" si="1"/>
        <v>46.149690683445186</v>
      </c>
      <c r="R41" s="1130">
        <f t="shared" si="2"/>
        <v>262.64500096773702</v>
      </c>
      <c r="S41" s="1130">
        <f t="shared" si="3"/>
        <v>473.73371103005621</v>
      </c>
      <c r="T41" s="1130">
        <f t="shared" si="4"/>
        <v>211.11481116510916</v>
      </c>
      <c r="U41" s="1130">
        <f t="shared" si="5"/>
        <v>214.48229884712933</v>
      </c>
      <c r="V41" s="1130">
        <f t="shared" si="6"/>
        <v>264.79615064840118</v>
      </c>
      <c r="W41" s="1130">
        <f t="shared" si="7"/>
        <v>196.42079102655026</v>
      </c>
      <c r="X41" s="1130">
        <f t="shared" si="8"/>
        <v>129.05563360527611</v>
      </c>
      <c r="AA41" s="3">
        <v>2048</v>
      </c>
      <c r="AB41" s="707">
        <f>C41*'H&amp;C Recycling'!M38/100</f>
        <v>987.02165255743193</v>
      </c>
      <c r="AC41" s="1166">
        <f t="shared" si="9"/>
        <v>291.38058598505978</v>
      </c>
      <c r="AD41" s="1166">
        <f t="shared" si="10"/>
        <v>46.472253464817875</v>
      </c>
      <c r="AE41" s="1166">
        <f t="shared" si="11"/>
        <v>143.03539133099034</v>
      </c>
      <c r="AF41" s="1166">
        <f t="shared" si="12"/>
        <v>390.46686179174736</v>
      </c>
      <c r="AG41" s="1166">
        <f t="shared" si="13"/>
        <v>115.66655998481644</v>
      </c>
      <c r="AH41" s="528"/>
      <c r="AI41" s="528"/>
      <c r="AJ41" s="528"/>
      <c r="AK41" s="528"/>
      <c r="AM41" s="3">
        <v>2048</v>
      </c>
      <c r="AN41" s="707">
        <f t="shared" si="19"/>
        <v>789.87577806019704</v>
      </c>
      <c r="AO41" s="335">
        <f t="shared" si="19"/>
        <v>-200.36694009359002</v>
      </c>
      <c r="AP41" s="335">
        <f t="shared" si="19"/>
        <v>93.427004582718865</v>
      </c>
      <c r="AQ41" s="335">
        <f t="shared" si="19"/>
        <v>1058.3887207205664</v>
      </c>
      <c r="AR41" s="335">
        <f t="shared" si="19"/>
        <v>-126.43302512985201</v>
      </c>
      <c r="AS41" s="335">
        <f t="shared" si="18"/>
        <v>57.890920534469927</v>
      </c>
      <c r="AT41" s="335">
        <f t="shared" si="18"/>
        <v>215.81938798613689</v>
      </c>
      <c r="AU41" s="335">
        <f t="shared" si="18"/>
        <v>333.43433966305611</v>
      </c>
      <c r="AV41" s="335">
        <f t="shared" si="18"/>
        <v>124.62928122613636</v>
      </c>
      <c r="AW41" s="335">
        <f t="shared" si="18"/>
        <v>380.8714264913616</v>
      </c>
      <c r="AY41" s="3">
        <v>2048</v>
      </c>
      <c r="AZ41" s="707">
        <f>C41*Bioplastics!AL46</f>
        <v>592.85448229511314</v>
      </c>
      <c r="BD41" s="3">
        <v>2048</v>
      </c>
      <c r="BE41" s="1131">
        <f t="shared" si="15"/>
        <v>0.47936427169239082</v>
      </c>
      <c r="BF41" s="1131">
        <f t="shared" si="16"/>
        <v>0.28920000000000012</v>
      </c>
      <c r="BG41" s="1131">
        <f t="shared" si="17"/>
        <v>0.23143572830760903</v>
      </c>
    </row>
    <row r="42" spans="2:59" ht="14.4" x14ac:dyDescent="0.55000000000000004">
      <c r="B42" s="3">
        <v>2049</v>
      </c>
      <c r="C42" s="707">
        <v>3454.663023726212</v>
      </c>
      <c r="D42" s="965">
        <v>735.92360942219148</v>
      </c>
      <c r="E42" s="965">
        <v>186.92623443357729</v>
      </c>
      <c r="F42" s="965">
        <v>1478.1577069457985</v>
      </c>
      <c r="G42" s="965">
        <v>755.81289562784968</v>
      </c>
      <c r="H42" s="965">
        <v>387.69114014181821</v>
      </c>
      <c r="I42" s="965">
        <v>433.7303855331329</v>
      </c>
      <c r="J42" s="965">
        <v>610.35285489001126</v>
      </c>
      <c r="K42" s="965">
        <v>323.30733172966143</v>
      </c>
      <c r="L42" s="965">
        <v>521.88078048453121</v>
      </c>
      <c r="N42" s="3">
        <v>2049</v>
      </c>
      <c r="O42" s="707">
        <f>C42*Compost!J41/100</f>
        <v>1656.4178827343064</v>
      </c>
      <c r="P42" s="1130">
        <f t="shared" si="0"/>
        <v>649.91689877765407</v>
      </c>
      <c r="Q42" s="1130">
        <f t="shared" si="1"/>
        <v>46.724498838711909</v>
      </c>
      <c r="R42" s="1130">
        <f t="shared" si="2"/>
        <v>265.91632275257507</v>
      </c>
      <c r="S42" s="1130">
        <f t="shared" si="3"/>
        <v>479.63420562692522</v>
      </c>
      <c r="T42" s="1130">
        <f t="shared" si="4"/>
        <v>213.74430907415646</v>
      </c>
      <c r="U42" s="1130">
        <f t="shared" si="5"/>
        <v>217.15373981914669</v>
      </c>
      <c r="V42" s="1130">
        <f t="shared" si="6"/>
        <v>268.09426564379675</v>
      </c>
      <c r="W42" s="1130">
        <f t="shared" si="7"/>
        <v>198.86727053429922</v>
      </c>
      <c r="X42" s="1130">
        <f t="shared" si="8"/>
        <v>130.66305999494068</v>
      </c>
      <c r="AA42" s="3">
        <v>2049</v>
      </c>
      <c r="AB42" s="707">
        <f>C42*'H&amp;C Recycling'!M39/100</f>
        <v>992.52468671654105</v>
      </c>
      <c r="AC42" s="1166">
        <f t="shared" si="9"/>
        <v>293.00514742585727</v>
      </c>
      <c r="AD42" s="1166">
        <f t="shared" si="10"/>
        <v>46.731354567215213</v>
      </c>
      <c r="AE42" s="1166">
        <f t="shared" si="11"/>
        <v>143.83286992977941</v>
      </c>
      <c r="AF42" s="1166">
        <f t="shared" si="12"/>
        <v>392.64386821594542</v>
      </c>
      <c r="AG42" s="1166">
        <f t="shared" si="13"/>
        <v>116.3114465777436</v>
      </c>
      <c r="AH42" s="528"/>
      <c r="AI42" s="528"/>
      <c r="AJ42" s="528"/>
      <c r="AK42" s="528"/>
      <c r="AM42" s="3">
        <v>2049</v>
      </c>
      <c r="AN42" s="707">
        <f t="shared" si="19"/>
        <v>805.72045427536455</v>
      </c>
      <c r="AO42" s="335">
        <f t="shared" si="19"/>
        <v>-206.99843678131987</v>
      </c>
      <c r="AP42" s="335">
        <f t="shared" si="19"/>
        <v>93.470381027650177</v>
      </c>
      <c r="AQ42" s="335">
        <f t="shared" si="19"/>
        <v>1068.408514263444</v>
      </c>
      <c r="AR42" s="335">
        <f t="shared" si="19"/>
        <v>-116.46517821502096</v>
      </c>
      <c r="AS42" s="335">
        <f t="shared" si="18"/>
        <v>57.635384489918152</v>
      </c>
      <c r="AT42" s="335">
        <f t="shared" si="18"/>
        <v>216.57664571398621</v>
      </c>
      <c r="AU42" s="335">
        <f t="shared" si="18"/>
        <v>342.25858924621451</v>
      </c>
      <c r="AV42" s="335">
        <f t="shared" si="18"/>
        <v>124.4400611953622</v>
      </c>
      <c r="AW42" s="335">
        <f t="shared" si="18"/>
        <v>391.21772048959053</v>
      </c>
      <c r="AY42" s="3">
        <v>2049</v>
      </c>
      <c r="AZ42" s="707">
        <f>C42*Bioplastics!AL47</f>
        <v>607.68185136763907</v>
      </c>
      <c r="BD42" s="3">
        <v>2049</v>
      </c>
      <c r="BE42" s="1131">
        <f t="shared" si="15"/>
        <v>0.47947306911216137</v>
      </c>
      <c r="BF42" s="1131">
        <f t="shared" si="16"/>
        <v>0.28730000000000011</v>
      </c>
      <c r="BG42" s="1131">
        <f t="shared" si="17"/>
        <v>0.23322693088783852</v>
      </c>
    </row>
    <row r="43" spans="2:59" ht="14.4" x14ac:dyDescent="0.55000000000000004">
      <c r="B43" s="3">
        <v>2050</v>
      </c>
      <c r="C43" s="707">
        <v>3495.5715615028471</v>
      </c>
      <c r="D43" s="965">
        <v>736.71609395174778</v>
      </c>
      <c r="E43" s="965">
        <v>187.35348085003628</v>
      </c>
      <c r="F43" s="965">
        <v>1488.1708988088521</v>
      </c>
      <c r="G43" s="965">
        <v>777.66303689987399</v>
      </c>
      <c r="H43" s="965">
        <v>390.36959096872897</v>
      </c>
      <c r="I43" s="965">
        <v>437.15908423299959</v>
      </c>
      <c r="J43" s="965">
        <v>622.47521946856546</v>
      </c>
      <c r="K43" s="965">
        <v>325.56459120663612</v>
      </c>
      <c r="L43" s="965">
        <v>534.10340698610821</v>
      </c>
      <c r="N43" s="3">
        <v>2050</v>
      </c>
      <c r="O43" s="707">
        <f>C43*Compost!J42/100</f>
        <v>1676.3792716010917</v>
      </c>
      <c r="P43" s="1130">
        <f t="shared" si="0"/>
        <v>657.74900689651872</v>
      </c>
      <c r="Q43" s="1130">
        <f t="shared" si="1"/>
        <v>47.287572867703652</v>
      </c>
      <c r="R43" s="1130">
        <f t="shared" si="2"/>
        <v>269.12086381664972</v>
      </c>
      <c r="S43" s="1130">
        <f t="shared" si="3"/>
        <v>485.41424760312407</v>
      </c>
      <c r="T43" s="1130">
        <f t="shared" si="4"/>
        <v>216.32012844677061</v>
      </c>
      <c r="U43" s="1130">
        <f t="shared" si="5"/>
        <v>219.77064602958393</v>
      </c>
      <c r="V43" s="1130">
        <f t="shared" si="6"/>
        <v>271.3250529621738</v>
      </c>
      <c r="W43" s="1130">
        <f t="shared" si="7"/>
        <v>201.26380764090086</v>
      </c>
      <c r="X43" s="1130">
        <f t="shared" si="8"/>
        <v>132.23767240299898</v>
      </c>
      <c r="AA43" s="3">
        <v>2050</v>
      </c>
      <c r="AB43" s="707">
        <f>C43*'H&amp;C Recycling'!M40/100</f>
        <v>997.63612365291294</v>
      </c>
      <c r="AC43" s="1166">
        <f t="shared" si="9"/>
        <v>294.5141046872169</v>
      </c>
      <c r="AD43" s="1166">
        <f t="shared" si="10"/>
        <v>46.972017973393818</v>
      </c>
      <c r="AE43" s="1166">
        <f t="shared" si="11"/>
        <v>144.57359976135226</v>
      </c>
      <c r="AF43" s="1166">
        <f t="shared" si="12"/>
        <v>394.66595834397879</v>
      </c>
      <c r="AG43" s="1166">
        <f t="shared" si="13"/>
        <v>116.91044288697103</v>
      </c>
      <c r="AH43" s="528"/>
      <c r="AI43" s="528"/>
      <c r="AJ43" s="528"/>
      <c r="AK43" s="528"/>
      <c r="AM43" s="3">
        <v>2050</v>
      </c>
      <c r="AN43" s="707">
        <f t="shared" si="19"/>
        <v>821.55616624884249</v>
      </c>
      <c r="AO43" s="335">
        <f t="shared" si="19"/>
        <v>-215.54701763198784</v>
      </c>
      <c r="AP43" s="335">
        <f t="shared" si="19"/>
        <v>93.0938900089388</v>
      </c>
      <c r="AQ43" s="335">
        <f t="shared" si="19"/>
        <v>1074.4764352308503</v>
      </c>
      <c r="AR43" s="335">
        <f t="shared" si="19"/>
        <v>-102.41716904722887</v>
      </c>
      <c r="AS43" s="335">
        <f t="shared" si="18"/>
        <v>57.139019634987335</v>
      </c>
      <c r="AT43" s="335">
        <f t="shared" si="18"/>
        <v>217.38843820341566</v>
      </c>
      <c r="AU43" s="335">
        <f t="shared" si="18"/>
        <v>351.15016650639166</v>
      </c>
      <c r="AV43" s="335">
        <f t="shared" si="18"/>
        <v>124.30078356573526</v>
      </c>
      <c r="AW43" s="335">
        <f t="shared" si="18"/>
        <v>401.8657345831092</v>
      </c>
      <c r="AY43" s="3">
        <v>2050</v>
      </c>
      <c r="AZ43" s="707">
        <f>C43*Bioplastics!AL48</f>
        <v>621.69274579166324</v>
      </c>
      <c r="BD43" s="3">
        <v>2050</v>
      </c>
      <c r="BE43" s="1131">
        <f t="shared" si="15"/>
        <v>0.47957229371678717</v>
      </c>
      <c r="BF43" s="1131">
        <f t="shared" si="16"/>
        <v>0.2854000000000001</v>
      </c>
      <c r="BG43" s="1131">
        <f t="shared" si="17"/>
        <v>0.23502770628321273</v>
      </c>
    </row>
    <row r="44" spans="2:59" ht="14.4" x14ac:dyDescent="0.55000000000000004">
      <c r="B44" s="3">
        <v>2051</v>
      </c>
      <c r="C44" s="707">
        <v>3537.7483490613135</v>
      </c>
      <c r="D44" s="965">
        <v>741.59665984596722</v>
      </c>
      <c r="E44" s="965">
        <v>188.73424585318924</v>
      </c>
      <c r="F44" s="965">
        <v>1505.4324682949823</v>
      </c>
      <c r="G44" s="965">
        <v>794.83414030727874</v>
      </c>
      <c r="H44" s="965">
        <v>393.61444619385657</v>
      </c>
      <c r="I44" s="965">
        <v>440.58778293286622</v>
      </c>
      <c r="J44" s="965">
        <v>634.59758404711943</v>
      </c>
      <c r="K44" s="965">
        <v>327.82185068361093</v>
      </c>
      <c r="L44" s="965">
        <v>546.59493960136888</v>
      </c>
      <c r="N44" s="3">
        <v>2051</v>
      </c>
      <c r="O44" s="707">
        <f>C44*Compost!J43/100</f>
        <v>1696.9262233765496</v>
      </c>
      <c r="P44" s="1130">
        <f t="shared" si="0"/>
        <v>665.81086816741731</v>
      </c>
      <c r="Q44" s="1130">
        <f t="shared" si="1"/>
        <v>47.867164548268384</v>
      </c>
      <c r="R44" s="1130">
        <f t="shared" si="2"/>
        <v>272.41940938106075</v>
      </c>
      <c r="S44" s="1130">
        <f t="shared" si="3"/>
        <v>491.36384582685764</v>
      </c>
      <c r="T44" s="1130">
        <f t="shared" si="4"/>
        <v>218.97150890855096</v>
      </c>
      <c r="U44" s="1130">
        <f t="shared" si="5"/>
        <v>222.46431860244883</v>
      </c>
      <c r="V44" s="1130">
        <f t="shared" si="6"/>
        <v>274.65061470892749</v>
      </c>
      <c r="W44" s="1130">
        <f t="shared" si="7"/>
        <v>203.73064663121659</v>
      </c>
      <c r="X44" s="1130">
        <f t="shared" si="8"/>
        <v>133.8584757163018</v>
      </c>
      <c r="AA44" s="3">
        <v>2051</v>
      </c>
      <c r="AB44" s="707">
        <f>C44*'H&amp;C Recycling'!M41/100</f>
        <v>1002.9516569588827</v>
      </c>
      <c r="AC44" s="1166">
        <f t="shared" si="9"/>
        <v>296.08331363567657</v>
      </c>
      <c r="AD44" s="1166">
        <f t="shared" si="10"/>
        <v>47.222290913663819</v>
      </c>
      <c r="AE44" s="1166">
        <f t="shared" si="11"/>
        <v>145.34390645582275</v>
      </c>
      <c r="AF44" s="1166">
        <f t="shared" si="12"/>
        <v>396.76878922246425</v>
      </c>
      <c r="AG44" s="1166">
        <f t="shared" si="13"/>
        <v>117.53335673125518</v>
      </c>
      <c r="AH44" s="528"/>
      <c r="AI44" s="528"/>
      <c r="AJ44" s="528"/>
      <c r="AK44" s="528"/>
      <c r="AM44" s="3">
        <v>2051</v>
      </c>
      <c r="AN44" s="707">
        <f t="shared" si="19"/>
        <v>837.87046872588121</v>
      </c>
      <c r="AO44" s="335">
        <f t="shared" si="19"/>
        <v>-220.29752195712666</v>
      </c>
      <c r="AP44" s="335">
        <f t="shared" si="19"/>
        <v>93.644790391257033</v>
      </c>
      <c r="AQ44" s="335">
        <f t="shared" si="19"/>
        <v>1087.669152458099</v>
      </c>
      <c r="AR44" s="335">
        <f t="shared" si="19"/>
        <v>-93.298494742043147</v>
      </c>
      <c r="AS44" s="335">
        <f t="shared" si="18"/>
        <v>57.109580554050424</v>
      </c>
      <c r="AT44" s="335">
        <f t="shared" si="18"/>
        <v>218.12346433041739</v>
      </c>
      <c r="AU44" s="335">
        <f t="shared" si="18"/>
        <v>359.94696933819193</v>
      </c>
      <c r="AV44" s="335">
        <f t="shared" si="18"/>
        <v>124.09120405239435</v>
      </c>
      <c r="AW44" s="335">
        <f t="shared" si="18"/>
        <v>412.73646388506711</v>
      </c>
      <c r="AY44" s="3">
        <v>2051</v>
      </c>
      <c r="AZ44" s="707">
        <f>C44*Bioplastics!AL49</f>
        <v>638.00440215256936</v>
      </c>
      <c r="BD44" s="3">
        <v>2051</v>
      </c>
      <c r="BE44" s="1131">
        <f t="shared" si="15"/>
        <v>0.47966278433196147</v>
      </c>
      <c r="BF44" s="1131">
        <f t="shared" si="16"/>
        <v>0.28350000000000009</v>
      </c>
      <c r="BG44" s="1131">
        <f t="shared" si="17"/>
        <v>0.23683721566803842</v>
      </c>
    </row>
    <row r="45" spans="2:59" ht="14.4" x14ac:dyDescent="0.55000000000000004">
      <c r="B45" s="3">
        <v>2052</v>
      </c>
      <c r="C45" s="707">
        <v>3579.1229299215083</v>
      </c>
      <c r="D45" s="965">
        <v>744.27326586741106</v>
      </c>
      <c r="E45" s="965">
        <v>189.67208731586652</v>
      </c>
      <c r="F45" s="965">
        <v>1518.6216745427705</v>
      </c>
      <c r="G45" s="965">
        <v>812.33999506211455</v>
      </c>
      <c r="H45" s="965">
        <v>396.52497359935398</v>
      </c>
      <c r="I45" s="965">
        <v>444.0164816327329</v>
      </c>
      <c r="J45" s="965">
        <v>646.71994862567362</v>
      </c>
      <c r="K45" s="965">
        <v>330.07911016058563</v>
      </c>
      <c r="L45" s="965">
        <v>559.35537833031333</v>
      </c>
      <c r="N45" s="3">
        <v>2052</v>
      </c>
      <c r="O45" s="707">
        <f>C45*Compost!J44/100</f>
        <v>1717.0674283220681</v>
      </c>
      <c r="P45" s="1130">
        <f t="shared" si="0"/>
        <v>673.71352944165346</v>
      </c>
      <c r="Q45" s="1130">
        <f t="shared" si="1"/>
        <v>48.435310857781566</v>
      </c>
      <c r="R45" s="1130">
        <f t="shared" si="2"/>
        <v>275.65281757517965</v>
      </c>
      <c r="S45" s="1130">
        <f t="shared" si="3"/>
        <v>497.1959555469399</v>
      </c>
      <c r="T45" s="1130">
        <f t="shared" si="4"/>
        <v>221.57053176375842</v>
      </c>
      <c r="U45" s="1130">
        <f t="shared" si="5"/>
        <v>225.10479841371685</v>
      </c>
      <c r="V45" s="1130">
        <f t="shared" si="6"/>
        <v>277.9105055887195</v>
      </c>
      <c r="W45" s="1130">
        <f t="shared" si="7"/>
        <v>206.14877221084103</v>
      </c>
      <c r="X45" s="1130">
        <f t="shared" si="8"/>
        <v>135.44727253961454</v>
      </c>
      <c r="AA45" s="3">
        <v>2052</v>
      </c>
      <c r="AB45" s="707">
        <f>C45*'H&amp;C Recycling'!M42/100</f>
        <v>1007.881017065897</v>
      </c>
      <c r="AC45" s="1166">
        <f t="shared" si="9"/>
        <v>297.53851964133167</v>
      </c>
      <c r="AD45" s="1166">
        <f t="shared" si="10"/>
        <v>47.454381538746844</v>
      </c>
      <c r="AE45" s="1166">
        <f t="shared" si="11"/>
        <v>146.058250411795</v>
      </c>
      <c r="AF45" s="1166">
        <f t="shared" si="12"/>
        <v>398.71884955461621</v>
      </c>
      <c r="AG45" s="1166">
        <f t="shared" si="13"/>
        <v>118.11101591940714</v>
      </c>
      <c r="AH45" s="528"/>
      <c r="AI45" s="528"/>
      <c r="AJ45" s="528"/>
      <c r="AK45" s="528"/>
      <c r="AM45" s="3">
        <v>2052</v>
      </c>
      <c r="AN45" s="707">
        <f t="shared" si="19"/>
        <v>854.17448453354325</v>
      </c>
      <c r="AO45" s="335">
        <f t="shared" si="19"/>
        <v>-226.97878321557408</v>
      </c>
      <c r="AP45" s="335">
        <f t="shared" si="19"/>
        <v>93.782394919338117</v>
      </c>
      <c r="AQ45" s="335">
        <f t="shared" si="19"/>
        <v>1096.910606555796</v>
      </c>
      <c r="AR45" s="335">
        <f t="shared" si="19"/>
        <v>-83.574810039441559</v>
      </c>
      <c r="AS45" s="335">
        <f t="shared" si="18"/>
        <v>56.843425916188423</v>
      </c>
      <c r="AT45" s="335">
        <f t="shared" si="18"/>
        <v>218.91168321901606</v>
      </c>
      <c r="AU45" s="335">
        <f t="shared" si="18"/>
        <v>368.80944303695412</v>
      </c>
      <c r="AV45" s="335">
        <f t="shared" si="18"/>
        <v>123.9303379497446</v>
      </c>
      <c r="AW45" s="335">
        <f t="shared" si="18"/>
        <v>423.90810579069876</v>
      </c>
      <c r="AY45" s="3">
        <v>2052</v>
      </c>
      <c r="AZ45" s="707">
        <f>C45*Bioplastics!AL50</f>
        <v>653.49530725973602</v>
      </c>
      <c r="BD45" s="3">
        <v>2052</v>
      </c>
      <c r="BE45" s="1131">
        <f t="shared" si="15"/>
        <v>0.47974530686480893</v>
      </c>
      <c r="BF45" s="1131">
        <f t="shared" si="16"/>
        <v>0.28160000000000007</v>
      </c>
      <c r="BG45" s="1131">
        <f t="shared" si="17"/>
        <v>0.238654693135191</v>
      </c>
    </row>
    <row r="46" spans="2:59" ht="14.4" x14ac:dyDescent="0.55000000000000004">
      <c r="B46" s="3">
        <v>2053</v>
      </c>
      <c r="C46" s="707">
        <v>3620.3950150310288</v>
      </c>
      <c r="D46" s="965">
        <v>746.8378890434808</v>
      </c>
      <c r="E46" s="965">
        <v>190.63722977756515</v>
      </c>
      <c r="F46" s="965">
        <v>1531.5141237227631</v>
      </c>
      <c r="G46" s="965">
        <v>832.43039877469721</v>
      </c>
      <c r="H46" s="965">
        <v>399.40546379842476</v>
      </c>
      <c r="I46" s="965">
        <v>447.44518033259953</v>
      </c>
      <c r="J46" s="965">
        <v>658.84231320422771</v>
      </c>
      <c r="K46" s="965">
        <v>332.33636963756044</v>
      </c>
      <c r="L46" s="965">
        <v>572.38472317294122</v>
      </c>
      <c r="N46" s="3">
        <v>2053</v>
      </c>
      <c r="O46" s="707">
        <f>C46*Compost!J45/100</f>
        <v>1737.139965502616</v>
      </c>
      <c r="P46" s="1130">
        <f t="shared" si="0"/>
        <v>681.58924803353807</v>
      </c>
      <c r="Q46" s="1130">
        <f t="shared" si="1"/>
        <v>49.001520176069249</v>
      </c>
      <c r="R46" s="1130">
        <f t="shared" si="2"/>
        <v>278.87520205375984</v>
      </c>
      <c r="S46" s="1130">
        <f t="shared" si="3"/>
        <v>503.00818175257382</v>
      </c>
      <c r="T46" s="1130">
        <f t="shared" si="4"/>
        <v>224.16069372454288</v>
      </c>
      <c r="U46" s="1130">
        <f t="shared" si="5"/>
        <v>227.73627599063093</v>
      </c>
      <c r="V46" s="1130">
        <f t="shared" si="6"/>
        <v>281.15928246508577</v>
      </c>
      <c r="W46" s="1130">
        <f t="shared" si="7"/>
        <v>208.55865363231206</v>
      </c>
      <c r="X46" s="1130">
        <f t="shared" si="8"/>
        <v>137.03065264991807</v>
      </c>
      <c r="AA46" s="3">
        <v>2053</v>
      </c>
      <c r="AB46" s="707">
        <f>C46*'H&amp;C Recycling'!M43/100</f>
        <v>1012.6244857041789</v>
      </c>
      <c r="AC46" s="1166">
        <f t="shared" si="9"/>
        <v>298.93884826415683</v>
      </c>
      <c r="AD46" s="1166">
        <f t="shared" si="10"/>
        <v>47.677719776858922</v>
      </c>
      <c r="AE46" s="1166">
        <f t="shared" si="11"/>
        <v>146.74565568926278</v>
      </c>
      <c r="AF46" s="1166">
        <f t="shared" si="12"/>
        <v>400.59537101531407</v>
      </c>
      <c r="AG46" s="1166">
        <f t="shared" si="13"/>
        <v>118.66689095858618</v>
      </c>
      <c r="AH46" s="528"/>
      <c r="AI46" s="528"/>
      <c r="AJ46" s="528"/>
      <c r="AK46" s="528"/>
      <c r="AM46" s="3">
        <v>2053</v>
      </c>
      <c r="AN46" s="707">
        <f t="shared" si="19"/>
        <v>870.63056382423395</v>
      </c>
      <c r="AO46" s="335">
        <f t="shared" si="19"/>
        <v>-233.6902072542141</v>
      </c>
      <c r="AP46" s="335">
        <f t="shared" si="19"/>
        <v>93.957989824636982</v>
      </c>
      <c r="AQ46" s="335">
        <f t="shared" si="19"/>
        <v>1105.8932659797404</v>
      </c>
      <c r="AR46" s="335">
        <f t="shared" si="19"/>
        <v>-71.173153993190681</v>
      </c>
      <c r="AS46" s="335">
        <f t="shared" si="18"/>
        <v>56.577879115295701</v>
      </c>
      <c r="AT46" s="335">
        <f t="shared" si="18"/>
        <v>219.7089043419686</v>
      </c>
      <c r="AU46" s="335">
        <f t="shared" si="18"/>
        <v>377.68303073914194</v>
      </c>
      <c r="AV46" s="335">
        <f t="shared" si="18"/>
        <v>123.77771600524838</v>
      </c>
      <c r="AW46" s="335">
        <f t="shared" si="18"/>
        <v>435.35407052302315</v>
      </c>
      <c r="AY46" s="3">
        <v>2053</v>
      </c>
      <c r="AZ46" s="707">
        <f>C46*Bioplastics!AL51</f>
        <v>669.20283553854222</v>
      </c>
      <c r="BD46" s="3">
        <v>2053</v>
      </c>
      <c r="BE46" s="1131">
        <f t="shared" si="15"/>
        <v>0.47982056054392386</v>
      </c>
      <c r="BF46" s="1131">
        <f t="shared" si="16"/>
        <v>0.27970000000000006</v>
      </c>
      <c r="BG46" s="1131">
        <f t="shared" si="17"/>
        <v>0.24047943945607608</v>
      </c>
    </row>
    <row r="47" spans="2:59" ht="14.4" x14ac:dyDescent="0.55000000000000004">
      <c r="B47" s="3">
        <v>2054</v>
      </c>
      <c r="C47" s="707">
        <v>3661.5717734805517</v>
      </c>
      <c r="D47" s="965">
        <v>749.28650183536797</v>
      </c>
      <c r="E47" s="965">
        <v>191.63323111111549</v>
      </c>
      <c r="F47" s="965">
        <v>1544.1113352475138</v>
      </c>
      <c r="G47" s="965">
        <v>852.87333779202584</v>
      </c>
      <c r="H47" s="965">
        <v>402.25895169650971</v>
      </c>
      <c r="I47" s="965">
        <v>450.87387903246622</v>
      </c>
      <c r="J47" s="965">
        <v>670.96467778278179</v>
      </c>
      <c r="K47" s="965">
        <v>334.59362911453513</v>
      </c>
      <c r="L47" s="965">
        <v>585.6829741292529</v>
      </c>
      <c r="N47" s="3">
        <v>2054</v>
      </c>
      <c r="O47" s="707">
        <f>C47*Compost!J46/100</f>
        <v>1757.1486892227977</v>
      </c>
      <c r="P47" s="1130">
        <f t="shared" si="0"/>
        <v>689.43992859202933</v>
      </c>
      <c r="Q47" s="1130">
        <f t="shared" si="1"/>
        <v>49.565929434127042</v>
      </c>
      <c r="R47" s="1130">
        <f t="shared" si="2"/>
        <v>282.08734211219723</v>
      </c>
      <c r="S47" s="1130">
        <f t="shared" si="3"/>
        <v>508.80193006160323</v>
      </c>
      <c r="T47" s="1130">
        <f t="shared" si="4"/>
        <v>226.74262119079683</v>
      </c>
      <c r="U47" s="1130">
        <f t="shared" si="5"/>
        <v>230.35938772477445</v>
      </c>
      <c r="V47" s="1130">
        <f t="shared" si="6"/>
        <v>284.39773101611013</v>
      </c>
      <c r="W47" s="1130">
        <f t="shared" si="7"/>
        <v>210.96087369681598</v>
      </c>
      <c r="X47" s="1130">
        <f t="shared" si="8"/>
        <v>138.60899896887753</v>
      </c>
      <c r="AA47" s="3">
        <v>2054</v>
      </c>
      <c r="AB47" s="707">
        <f>C47*'H&amp;C Recycling'!M44/100</f>
        <v>1017.1846386728974</v>
      </c>
      <c r="AC47" s="1166">
        <f t="shared" si="9"/>
        <v>300.28505991084552</v>
      </c>
      <c r="AD47" s="1166">
        <f t="shared" si="10"/>
        <v>47.89242690516916</v>
      </c>
      <c r="AE47" s="1166">
        <f t="shared" si="11"/>
        <v>147.40649556315995</v>
      </c>
      <c r="AF47" s="1166">
        <f t="shared" si="12"/>
        <v>402.39937259356947</v>
      </c>
      <c r="AG47" s="1166">
        <f t="shared" si="13"/>
        <v>119.20128370015324</v>
      </c>
      <c r="AH47" s="528"/>
      <c r="AI47" s="528"/>
      <c r="AJ47" s="528"/>
      <c r="AK47" s="528"/>
      <c r="AM47" s="3">
        <v>2054</v>
      </c>
      <c r="AN47" s="707">
        <f t="shared" si="19"/>
        <v>887.23844558485655</v>
      </c>
      <c r="AO47" s="335">
        <f t="shared" si="19"/>
        <v>-240.43848666750688</v>
      </c>
      <c r="AP47" s="335">
        <f t="shared" si="19"/>
        <v>94.17487477181929</v>
      </c>
      <c r="AQ47" s="335">
        <f t="shared" si="19"/>
        <v>1114.6174975721567</v>
      </c>
      <c r="AR47" s="335">
        <f t="shared" si="19"/>
        <v>-58.32796486314686</v>
      </c>
      <c r="AS47" s="335">
        <f t="shared" si="18"/>
        <v>56.315046805559646</v>
      </c>
      <c r="AT47" s="335">
        <f t="shared" si="18"/>
        <v>220.51449130769177</v>
      </c>
      <c r="AU47" s="335">
        <f t="shared" si="18"/>
        <v>386.56694676667166</v>
      </c>
      <c r="AV47" s="335">
        <f t="shared" si="18"/>
        <v>123.63275541771915</v>
      </c>
      <c r="AW47" s="335">
        <f t="shared" si="18"/>
        <v>447.07397516037537</v>
      </c>
      <c r="AY47" s="3">
        <v>2054</v>
      </c>
      <c r="AZ47" s="707">
        <f>C47*Bioplastics!AL52</f>
        <v>685.12447706138357</v>
      </c>
      <c r="BD47" s="3">
        <v>2054</v>
      </c>
      <c r="BE47" s="1131">
        <f t="shared" si="15"/>
        <v>0.47988918364217087</v>
      </c>
      <c r="BF47" s="1131">
        <f t="shared" si="16"/>
        <v>0.27780000000000005</v>
      </c>
      <c r="BG47" s="1131">
        <f t="shared" si="17"/>
        <v>0.24231081635782908</v>
      </c>
    </row>
    <row r="48" spans="2:59" ht="14.4" x14ac:dyDescent="0.55000000000000004">
      <c r="B48" s="3">
        <v>2055</v>
      </c>
      <c r="C48" s="707">
        <v>3702.6603743607484</v>
      </c>
      <c r="D48" s="965">
        <v>751.61507670426408</v>
      </c>
      <c r="E48" s="965">
        <v>192.66364918934789</v>
      </c>
      <c r="F48" s="965">
        <v>1556.4148285295782</v>
      </c>
      <c r="G48" s="965">
        <v>873.67770409275761</v>
      </c>
      <c r="H48" s="965">
        <v>405.08847219904976</v>
      </c>
      <c r="I48" s="965">
        <v>454.30257773233291</v>
      </c>
      <c r="J48" s="965">
        <v>683.08704236133588</v>
      </c>
      <c r="K48" s="965">
        <v>336.85088859150994</v>
      </c>
      <c r="L48" s="965">
        <v>599.25013119924824</v>
      </c>
      <c r="N48" s="3">
        <v>2055</v>
      </c>
      <c r="O48" s="707">
        <f>C48*Compost!J47/100</f>
        <v>1777.0983586256129</v>
      </c>
      <c r="P48" s="1130">
        <f t="shared" si="0"/>
        <v>697.26743842820326</v>
      </c>
      <c r="Q48" s="1130">
        <f t="shared" si="1"/>
        <v>50.128672878616918</v>
      </c>
      <c r="R48" s="1130">
        <f t="shared" si="2"/>
        <v>285.2900017689314</v>
      </c>
      <c r="S48" s="1130">
        <f t="shared" si="3"/>
        <v>514.57857853677183</v>
      </c>
      <c r="T48" s="1130">
        <f t="shared" si="4"/>
        <v>229.31692828275095</v>
      </c>
      <c r="U48" s="1130">
        <f t="shared" si="5"/>
        <v>232.97475753219632</v>
      </c>
      <c r="V48" s="1130">
        <f t="shared" si="6"/>
        <v>287.62662151779654</v>
      </c>
      <c r="W48" s="1130">
        <f t="shared" si="7"/>
        <v>213.35600378056662</v>
      </c>
      <c r="X48" s="1130">
        <f t="shared" si="8"/>
        <v>140.18268691153384</v>
      </c>
      <c r="AA48" s="3">
        <v>2055</v>
      </c>
      <c r="AB48" s="707">
        <f>C48*'H&amp;C Recycling'!M45/100</f>
        <v>1021.5639972861306</v>
      </c>
      <c r="AC48" s="1166">
        <f t="shared" si="9"/>
        <v>301.57789890344134</v>
      </c>
      <c r="AD48" s="1166">
        <f t="shared" si="10"/>
        <v>48.098621635507826</v>
      </c>
      <c r="AE48" s="1166">
        <f t="shared" si="11"/>
        <v>148.04113541265008</v>
      </c>
      <c r="AF48" s="1166">
        <f t="shared" si="12"/>
        <v>404.13185172403143</v>
      </c>
      <c r="AG48" s="1166">
        <f t="shared" si="13"/>
        <v>119.71448961049987</v>
      </c>
      <c r="AH48" s="528"/>
      <c r="AI48" s="528"/>
      <c r="AJ48" s="528"/>
      <c r="AK48" s="528"/>
      <c r="AM48" s="3">
        <v>2055</v>
      </c>
      <c r="AN48" s="707">
        <f t="shared" si="19"/>
        <v>903.9980184490048</v>
      </c>
      <c r="AO48" s="335">
        <f t="shared" si="19"/>
        <v>-247.23026062738052</v>
      </c>
      <c r="AP48" s="335">
        <f t="shared" si="19"/>
        <v>94.436354675223143</v>
      </c>
      <c r="AQ48" s="335">
        <f t="shared" si="19"/>
        <v>1123.0836913479966</v>
      </c>
      <c r="AR48" s="335">
        <f t="shared" si="19"/>
        <v>-45.032726168045656</v>
      </c>
      <c r="AS48" s="335">
        <f t="shared" si="18"/>
        <v>56.057054305798943</v>
      </c>
      <c r="AT48" s="335">
        <f t="shared" si="18"/>
        <v>221.32782020013659</v>
      </c>
      <c r="AU48" s="335">
        <f t="shared" si="18"/>
        <v>395.46042084353934</v>
      </c>
      <c r="AV48" s="335">
        <f t="shared" si="18"/>
        <v>123.49488481094332</v>
      </c>
      <c r="AW48" s="335">
        <f t="shared" si="18"/>
        <v>459.06744428771441</v>
      </c>
      <c r="AY48" s="3">
        <v>2055</v>
      </c>
      <c r="AZ48" s="707">
        <f>C48*Bioplastics!AL53</f>
        <v>701.25770983467817</v>
      </c>
      <c r="BD48" s="3">
        <v>2055</v>
      </c>
      <c r="BE48" s="1131">
        <f t="shared" si="15"/>
        <v>0.47995175872224655</v>
      </c>
      <c r="BF48" s="1131">
        <f t="shared" si="16"/>
        <v>0.27590000000000003</v>
      </c>
      <c r="BG48" s="1131">
        <f t="shared" si="17"/>
        <v>0.24414824127775342</v>
      </c>
    </row>
    <row r="49" spans="1:59" ht="14.4" x14ac:dyDescent="0.55000000000000004">
      <c r="B49" s="3">
        <v>2056</v>
      </c>
      <c r="C49" s="707">
        <v>3743.6679867622934</v>
      </c>
      <c r="D49" s="965">
        <v>753.81958611136042</v>
      </c>
      <c r="E49" s="965">
        <v>193.73204188509274</v>
      </c>
      <c r="F49" s="965">
        <v>1568.4261229815106</v>
      </c>
      <c r="G49" s="965">
        <v>894.85238965554993</v>
      </c>
      <c r="H49" s="965">
        <v>407.89706021148572</v>
      </c>
      <c r="I49" s="965">
        <v>457.73127643219959</v>
      </c>
      <c r="J49" s="965">
        <v>695.20940693988996</v>
      </c>
      <c r="K49" s="965">
        <v>339.10814806848464</v>
      </c>
      <c r="L49" s="965">
        <v>613.08619438292715</v>
      </c>
      <c r="N49" s="3">
        <v>2056</v>
      </c>
      <c r="O49" s="707">
        <f>C49*Compost!J48/100</f>
        <v>1796.9936432227987</v>
      </c>
      <c r="P49" s="1130">
        <f t="shared" si="0"/>
        <v>705.07360968515525</v>
      </c>
      <c r="Q49" s="1130">
        <f t="shared" si="1"/>
        <v>50.689882227867926</v>
      </c>
      <c r="R49" s="1130">
        <f t="shared" si="2"/>
        <v>288.48393065326968</v>
      </c>
      <c r="S49" s="1130">
        <f t="shared" si="3"/>
        <v>520.33947928709495</v>
      </c>
      <c r="T49" s="1130">
        <f t="shared" si="4"/>
        <v>231.88421755460996</v>
      </c>
      <c r="U49" s="1130">
        <f t="shared" si="5"/>
        <v>235.58299757842994</v>
      </c>
      <c r="V49" s="1130">
        <f t="shared" si="6"/>
        <v>290.84670973916502</v>
      </c>
      <c r="W49" s="1130">
        <f t="shared" si="7"/>
        <v>215.7446044987708</v>
      </c>
      <c r="X49" s="1130">
        <f t="shared" si="8"/>
        <v>141.75208482255331</v>
      </c>
      <c r="AA49" s="3">
        <v>2056</v>
      </c>
      <c r="AB49" s="707">
        <f>C49*'H&amp;C Recycling'!M46/100</f>
        <v>1025.7650283728683</v>
      </c>
      <c r="AC49" s="1166">
        <f t="shared" si="9"/>
        <v>302.81809347933876</v>
      </c>
      <c r="AD49" s="1166">
        <f t="shared" si="10"/>
        <v>48.296420114366519</v>
      </c>
      <c r="AE49" s="1166">
        <f t="shared" si="11"/>
        <v>148.64993272112676</v>
      </c>
      <c r="AF49" s="1166">
        <f t="shared" si="12"/>
        <v>405.7937842869876</v>
      </c>
      <c r="AG49" s="1166">
        <f t="shared" si="13"/>
        <v>120.2067977710485</v>
      </c>
      <c r="AH49" s="528"/>
      <c r="AI49" s="528"/>
      <c r="AJ49" s="528"/>
      <c r="AK49" s="528"/>
      <c r="AM49" s="3">
        <v>2056</v>
      </c>
      <c r="AN49" s="707">
        <f t="shared" si="19"/>
        <v>920.90931516662636</v>
      </c>
      <c r="AO49" s="335">
        <f t="shared" si="19"/>
        <v>-254.07211705313358</v>
      </c>
      <c r="AP49" s="335">
        <f t="shared" si="19"/>
        <v>94.745739542858303</v>
      </c>
      <c r="AQ49" s="335">
        <f t="shared" si="19"/>
        <v>1131.2922596071141</v>
      </c>
      <c r="AR49" s="335">
        <f t="shared" si="19"/>
        <v>-31.28087391853262</v>
      </c>
      <c r="AS49" s="335">
        <f t="shared" si="18"/>
        <v>55.806044885827262</v>
      </c>
      <c r="AT49" s="335">
        <f t="shared" si="18"/>
        <v>222.14827885376965</v>
      </c>
      <c r="AU49" s="335">
        <f t="shared" si="18"/>
        <v>404.36269720072494</v>
      </c>
      <c r="AV49" s="335">
        <f t="shared" si="18"/>
        <v>123.36354356971384</v>
      </c>
      <c r="AW49" s="335">
        <f t="shared" si="18"/>
        <v>471.3341095603738</v>
      </c>
      <c r="AY49" s="3">
        <v>2056</v>
      </c>
      <c r="AZ49" s="707">
        <f>C49*Bioplastics!AL54</f>
        <v>717.60021807426597</v>
      </c>
      <c r="BD49" s="3">
        <v>2056</v>
      </c>
      <c r="BE49" s="1131">
        <f t="shared" si="15"/>
        <v>0.48000881744241602</v>
      </c>
      <c r="BF49" s="1131">
        <f t="shared" si="16"/>
        <v>0.27399999999999997</v>
      </c>
      <c r="BG49" s="1131">
        <f t="shared" si="17"/>
        <v>0.24599118255758404</v>
      </c>
    </row>
    <row r="50" spans="1:59" ht="14.4" x14ac:dyDescent="0.55000000000000004">
      <c r="B50" s="3">
        <v>2057</v>
      </c>
      <c r="C50" s="707">
        <v>3784.60177977586</v>
      </c>
      <c r="D50" s="965">
        <v>755.8960025178485</v>
      </c>
      <c r="E50" s="965">
        <v>194.84196707118036</v>
      </c>
      <c r="F50" s="965">
        <v>1580.146738015866</v>
      </c>
      <c r="G50" s="965">
        <v>916.40628645906054</v>
      </c>
      <c r="H50" s="965">
        <v>410.68775063925852</v>
      </c>
      <c r="I50" s="965">
        <v>461.15997513206622</v>
      </c>
      <c r="J50" s="965">
        <v>707.33177151844416</v>
      </c>
      <c r="K50" s="965">
        <v>341.36540754545945</v>
      </c>
      <c r="L50" s="965">
        <v>627.19116368028972</v>
      </c>
      <c r="N50" s="3">
        <v>2057</v>
      </c>
      <c r="O50" s="707">
        <f>C50*Compost!J49/100</f>
        <v>1816.8391282261741</v>
      </c>
      <c r="P50" s="1130">
        <f t="shared" si="0"/>
        <v>712.86024142982171</v>
      </c>
      <c r="Q50" s="1130">
        <f t="shared" si="1"/>
        <v>51.249686822263641</v>
      </c>
      <c r="R50" s="1130">
        <f t="shared" si="2"/>
        <v>291.66986486126535</v>
      </c>
      <c r="S50" s="1130">
        <f t="shared" si="3"/>
        <v>526.08596001161027</v>
      </c>
      <c r="T50" s="1130">
        <f t="shared" si="4"/>
        <v>234.44508068250968</v>
      </c>
      <c r="U50" s="1130">
        <f t="shared" si="5"/>
        <v>238.18470897742421</v>
      </c>
      <c r="V50" s="1130">
        <f t="shared" si="6"/>
        <v>294.05873780513963</v>
      </c>
      <c r="W50" s="1130">
        <f t="shared" si="7"/>
        <v>218.12722634570221</v>
      </c>
      <c r="X50" s="1130">
        <f t="shared" si="8"/>
        <v>143.31755439677951</v>
      </c>
      <c r="AA50" s="3">
        <v>2057</v>
      </c>
      <c r="AB50" s="707">
        <f>C50*'H&amp;C Recycling'!M47/100</f>
        <v>1029.7901442770117</v>
      </c>
      <c r="AC50" s="1166">
        <f t="shared" si="9"/>
        <v>304.00635579128317</v>
      </c>
      <c r="AD50" s="1166">
        <f t="shared" si="10"/>
        <v>48.485935922898122</v>
      </c>
      <c r="AE50" s="1166">
        <f t="shared" si="11"/>
        <v>149.23323707621358</v>
      </c>
      <c r="AF50" s="1166">
        <f t="shared" si="12"/>
        <v>407.38612460836418</v>
      </c>
      <c r="AG50" s="1166">
        <f t="shared" si="13"/>
        <v>120.67849087825249</v>
      </c>
      <c r="AH50" s="528"/>
      <c r="AI50" s="528"/>
      <c r="AJ50" s="528"/>
      <c r="AK50" s="528"/>
      <c r="AM50" s="3">
        <v>2057</v>
      </c>
      <c r="AN50" s="707">
        <f t="shared" si="19"/>
        <v>937.97250727267419</v>
      </c>
      <c r="AO50" s="335">
        <f t="shared" si="19"/>
        <v>-260.97059470325638</v>
      </c>
      <c r="AP50" s="335">
        <f t="shared" si="19"/>
        <v>95.106344326018601</v>
      </c>
      <c r="AQ50" s="335">
        <f t="shared" si="19"/>
        <v>1139.2436360783872</v>
      </c>
      <c r="AR50" s="335">
        <f t="shared" si="19"/>
        <v>-17.065798160913914</v>
      </c>
      <c r="AS50" s="335">
        <f t="shared" si="18"/>
        <v>55.564179078496352</v>
      </c>
      <c r="AT50" s="335">
        <f t="shared" si="18"/>
        <v>222.97526615464201</v>
      </c>
      <c r="AU50" s="335">
        <f t="shared" si="18"/>
        <v>413.27303371330453</v>
      </c>
      <c r="AV50" s="335">
        <f t="shared" si="18"/>
        <v>123.23818119975724</v>
      </c>
      <c r="AW50" s="335">
        <f t="shared" si="18"/>
        <v>483.87360928351018</v>
      </c>
      <c r="AY50" s="3">
        <v>2057</v>
      </c>
      <c r="AZ50" s="707">
        <f>C50*Bioplastics!AL55</f>
        <v>734.14959328701536</v>
      </c>
      <c r="BD50" s="3">
        <v>2057</v>
      </c>
      <c r="BE50" s="1131">
        <f t="shared" si="15"/>
        <v>0.48006084495731938</v>
      </c>
      <c r="BF50" s="1131">
        <f t="shared" si="16"/>
        <v>0.27210000000000006</v>
      </c>
      <c r="BG50" s="1131">
        <f t="shared" si="17"/>
        <v>0.24783915504268056</v>
      </c>
    </row>
    <row r="51" spans="1:59" ht="14.4" x14ac:dyDescent="0.55000000000000004">
      <c r="B51" s="3">
        <v>2058</v>
      </c>
      <c r="C51" s="707">
        <v>3825.4689224921226</v>
      </c>
      <c r="D51" s="965">
        <v>757.84029838491983</v>
      </c>
      <c r="E51" s="965">
        <v>195.99698262044117</v>
      </c>
      <c r="F51" s="965">
        <v>1591.5781930451988</v>
      </c>
      <c r="G51" s="965">
        <v>938.3482864819465</v>
      </c>
      <c r="H51" s="965">
        <v>413.46357838780892</v>
      </c>
      <c r="I51" s="965">
        <v>464.58867383193285</v>
      </c>
      <c r="J51" s="965">
        <v>719.45413609699813</v>
      </c>
      <c r="K51" s="965">
        <v>343.62266702243414</v>
      </c>
      <c r="L51" s="965">
        <v>641.56503909133596</v>
      </c>
      <c r="N51" s="3">
        <v>2058</v>
      </c>
      <c r="O51" s="707">
        <f>C51*Compost!J50/100</f>
        <v>1836.6393196676845</v>
      </c>
      <c r="P51" s="1130">
        <f t="shared" si="0"/>
        <v>720.62910166189545</v>
      </c>
      <c r="Q51" s="1130">
        <f t="shared" si="1"/>
        <v>51.808213768669184</v>
      </c>
      <c r="R51" s="1130">
        <f t="shared" si="2"/>
        <v>294.84852777767389</v>
      </c>
      <c r="S51" s="1130">
        <f t="shared" si="3"/>
        <v>531.81932548194254</v>
      </c>
      <c r="T51" s="1130">
        <f t="shared" si="4"/>
        <v>237.00009912520812</v>
      </c>
      <c r="U51" s="1130">
        <f t="shared" si="5"/>
        <v>240.78048246277282</v>
      </c>
      <c r="V51" s="1130">
        <f t="shared" si="6"/>
        <v>297.26343502523707</v>
      </c>
      <c r="W51" s="1130">
        <f t="shared" si="7"/>
        <v>220.50441030940698</v>
      </c>
      <c r="X51" s="1130">
        <f t="shared" si="8"/>
        <v>144.87945108311729</v>
      </c>
      <c r="AA51" s="3">
        <v>2058</v>
      </c>
      <c r="AB51" s="707">
        <f>C51*'H&amp;C Recycling'!M48/100</f>
        <v>1033.6417028573715</v>
      </c>
      <c r="AC51" s="1166">
        <f t="shared" si="9"/>
        <v>305.14338190737004</v>
      </c>
      <c r="AD51" s="1166">
        <f t="shared" si="10"/>
        <v>48.667280076916725</v>
      </c>
      <c r="AE51" s="1166">
        <f t="shared" si="11"/>
        <v>149.79139016976382</v>
      </c>
      <c r="AF51" s="1166">
        <f t="shared" si="12"/>
        <v>408.90980545972485</v>
      </c>
      <c r="AG51" s="1166">
        <f t="shared" si="13"/>
        <v>121.12984524359585</v>
      </c>
      <c r="AH51" s="528"/>
      <c r="AI51" s="528"/>
      <c r="AJ51" s="528"/>
      <c r="AK51" s="528"/>
      <c r="AM51" s="3">
        <v>2058</v>
      </c>
      <c r="AN51" s="707">
        <f t="shared" si="19"/>
        <v>955.18789996706664</v>
      </c>
      <c r="AO51" s="335">
        <f t="shared" si="19"/>
        <v>-267.93218518434566</v>
      </c>
      <c r="AP51" s="335">
        <f t="shared" si="19"/>
        <v>95.521488774855257</v>
      </c>
      <c r="AQ51" s="335">
        <f t="shared" si="19"/>
        <v>1146.9382750977611</v>
      </c>
      <c r="AR51" s="335">
        <f t="shared" si="19"/>
        <v>-2.3808444597208904</v>
      </c>
      <c r="AS51" s="335">
        <f t="shared" si="18"/>
        <v>55.333634019004947</v>
      </c>
      <c r="AT51" s="335">
        <f t="shared" si="18"/>
        <v>223.80819136916003</v>
      </c>
      <c r="AU51" s="335">
        <f t="shared" si="18"/>
        <v>422.19070107176105</v>
      </c>
      <c r="AV51" s="335">
        <f t="shared" si="18"/>
        <v>123.11825671302717</v>
      </c>
      <c r="AW51" s="335">
        <f t="shared" si="18"/>
        <v>496.6855880082187</v>
      </c>
      <c r="AY51" s="3">
        <v>2058</v>
      </c>
      <c r="AZ51" s="707">
        <f>C51*Bioplastics!AL56</f>
        <v>750.90298989785902</v>
      </c>
      <c r="BD51" s="3">
        <v>2058</v>
      </c>
      <c r="BE51" s="1131">
        <f t="shared" si="15"/>
        <v>0.4801082839463236</v>
      </c>
      <c r="BF51" s="1131">
        <f t="shared" si="16"/>
        <v>0.2702</v>
      </c>
      <c r="BG51" s="1131">
        <f t="shared" si="17"/>
        <v>0.24969171605367643</v>
      </c>
    </row>
    <row r="52" spans="1:59" ht="14.4" x14ac:dyDescent="0.55000000000000004">
      <c r="B52" s="3">
        <v>2059</v>
      </c>
      <c r="C52" s="707">
        <v>3866.2765840017541</v>
      </c>
      <c r="D52" s="965">
        <v>759.64844617376582</v>
      </c>
      <c r="E52" s="965">
        <v>197.20064640570544</v>
      </c>
      <c r="F52" s="965">
        <v>1602.7220074820641</v>
      </c>
      <c r="G52" s="965">
        <v>960.68728170286556</v>
      </c>
      <c r="H52" s="965">
        <v>416.2275783625779</v>
      </c>
      <c r="I52" s="965">
        <v>468.01737253179954</v>
      </c>
      <c r="J52" s="965">
        <v>731.57650067555232</v>
      </c>
      <c r="K52" s="965">
        <v>345.87992649940895</v>
      </c>
      <c r="L52" s="965">
        <v>656.20782061606587</v>
      </c>
      <c r="N52" s="3">
        <v>2059</v>
      </c>
      <c r="O52" s="707">
        <f>C52*Compost!J51/100</f>
        <v>1856.3986493000657</v>
      </c>
      <c r="P52" s="1130">
        <f t="shared" si="0"/>
        <v>728.38192923666418</v>
      </c>
      <c r="Q52" s="1130">
        <f t="shared" si="1"/>
        <v>52.365588078669923</v>
      </c>
      <c r="R52" s="1130">
        <f t="shared" si="2"/>
        <v>298.02063086269084</v>
      </c>
      <c r="S52" s="1130">
        <f t="shared" si="3"/>
        <v>537.54085896134654</v>
      </c>
      <c r="T52" s="1130">
        <f t="shared" si="4"/>
        <v>239.54984475646756</v>
      </c>
      <c r="U52" s="1130">
        <f t="shared" si="5"/>
        <v>243.37089903018386</v>
      </c>
      <c r="V52" s="1130">
        <f t="shared" si="6"/>
        <v>300.46151868674792</v>
      </c>
      <c r="W52" s="1130">
        <f t="shared" si="7"/>
        <v>222.87668846007062</v>
      </c>
      <c r="X52" s="1130">
        <f t="shared" si="8"/>
        <v>146.43812447111148</v>
      </c>
      <c r="AA52" s="3">
        <v>2059</v>
      </c>
      <c r="AB52" s="707">
        <f>C52*'H&amp;C Recycling'!M49/100</f>
        <v>1037.3220074876706</v>
      </c>
      <c r="AC52" s="1166">
        <f t="shared" si="9"/>
        <v>306.22985181104593</v>
      </c>
      <c r="AD52" s="1166">
        <f t="shared" si="10"/>
        <v>48.84056102689776</v>
      </c>
      <c r="AE52" s="1166">
        <f t="shared" si="11"/>
        <v>150.32472579786085</v>
      </c>
      <c r="AF52" s="1166">
        <f t="shared" si="12"/>
        <v>410.36573805827231</v>
      </c>
      <c r="AG52" s="1166">
        <f t="shared" si="13"/>
        <v>121.56113079359358</v>
      </c>
      <c r="AH52" s="528"/>
      <c r="AI52" s="528"/>
      <c r="AJ52" s="528"/>
      <c r="AK52" s="528"/>
      <c r="AM52" s="3">
        <v>2059</v>
      </c>
      <c r="AN52" s="707">
        <f t="shared" si="19"/>
        <v>972.55592721401786</v>
      </c>
      <c r="AO52" s="335">
        <f t="shared" si="19"/>
        <v>-274.96333487394429</v>
      </c>
      <c r="AP52" s="335">
        <f t="shared" si="19"/>
        <v>95.994497300137752</v>
      </c>
      <c r="AQ52" s="335">
        <f t="shared" si="19"/>
        <v>1154.3766508215124</v>
      </c>
      <c r="AR52" s="335">
        <f t="shared" si="19"/>
        <v>12.780684683246704</v>
      </c>
      <c r="AS52" s="335">
        <f t="shared" si="18"/>
        <v>55.11660281251676</v>
      </c>
      <c r="AT52" s="335">
        <f t="shared" si="18"/>
        <v>224.64647350161567</v>
      </c>
      <c r="AU52" s="335">
        <f t="shared" si="18"/>
        <v>431.1149819888044</v>
      </c>
      <c r="AV52" s="335">
        <f t="shared" si="18"/>
        <v>123.00323803933833</v>
      </c>
      <c r="AW52" s="335">
        <f t="shared" si="18"/>
        <v>509.76969614495442</v>
      </c>
      <c r="AY52" s="3">
        <v>2059</v>
      </c>
      <c r="AZ52" s="707">
        <f>C52*Bioplastics!AL57</f>
        <v>767.85733242118249</v>
      </c>
      <c r="BD52" s="3">
        <v>2059</v>
      </c>
      <c r="BE52" s="1131">
        <f t="shared" si="15"/>
        <v>0.48015153829957435</v>
      </c>
      <c r="BF52" s="1131">
        <f t="shared" si="16"/>
        <v>0.26829999999999998</v>
      </c>
      <c r="BG52" s="1131">
        <f t="shared" si="17"/>
        <v>0.25154846170042566</v>
      </c>
    </row>
    <row r="53" spans="1:59" ht="14.4" x14ac:dyDescent="0.55000000000000004">
      <c r="B53" s="3">
        <v>2060</v>
      </c>
      <c r="C53" s="707">
        <v>3907.0319333954285</v>
      </c>
      <c r="D53" s="965">
        <v>761.31641834557797</v>
      </c>
      <c r="E53" s="965">
        <v>198.45651629980361</v>
      </c>
      <c r="F53" s="965">
        <v>1613.5797007390161</v>
      </c>
      <c r="G53" s="965">
        <v>983.43216410047501</v>
      </c>
      <c r="H53" s="965">
        <v>418.98278546900627</v>
      </c>
      <c r="I53" s="965">
        <v>471.44607123166622</v>
      </c>
      <c r="J53" s="965">
        <v>743.69886525410629</v>
      </c>
      <c r="K53" s="965">
        <v>348.13718597638371</v>
      </c>
      <c r="L53" s="965">
        <v>671.11950825447934</v>
      </c>
      <c r="N53" s="3">
        <v>2060</v>
      </c>
      <c r="O53" s="707">
        <f>C53*Compost!J52/100</f>
        <v>1876.1214792735909</v>
      </c>
      <c r="P53" s="1130">
        <f t="shared" si="0"/>
        <v>736.12043569999275</v>
      </c>
      <c r="Q53" s="1130">
        <f t="shared" si="1"/>
        <v>52.921932800493906</v>
      </c>
      <c r="R53" s="1130">
        <f t="shared" si="2"/>
        <v>301.18687440274283</v>
      </c>
      <c r="S53" s="1130">
        <f t="shared" si="3"/>
        <v>543.25182355891002</v>
      </c>
      <c r="T53" s="1130">
        <f t="shared" si="4"/>
        <v>242.09488046854241</v>
      </c>
      <c r="U53" s="1130">
        <f t="shared" si="5"/>
        <v>245.95653055059358</v>
      </c>
      <c r="V53" s="1130">
        <f t="shared" si="6"/>
        <v>303.65369481167681</v>
      </c>
      <c r="W53" s="1130">
        <f t="shared" si="7"/>
        <v>225.2445845115021</v>
      </c>
      <c r="X53" s="1130">
        <f t="shared" si="8"/>
        <v>147.99391865986217</v>
      </c>
      <c r="AA53" s="3">
        <v>2060</v>
      </c>
      <c r="AB53" s="707">
        <f>C53*'H&amp;C Recycling'!M50/100</f>
        <v>1040.833307056542</v>
      </c>
      <c r="AC53" s="1166">
        <f t="shared" si="9"/>
        <v>307.26642940110776</v>
      </c>
      <c r="AD53" s="1166">
        <f t="shared" si="10"/>
        <v>49.005884657977887</v>
      </c>
      <c r="AE53" s="1166">
        <f t="shared" si="11"/>
        <v>150.83356986081787</v>
      </c>
      <c r="AF53" s="1166">
        <f t="shared" si="12"/>
        <v>411.75481206684697</v>
      </c>
      <c r="AG53" s="1166">
        <f t="shared" si="13"/>
        <v>121.97261106979137</v>
      </c>
      <c r="AH53" s="528"/>
      <c r="AI53" s="528"/>
      <c r="AJ53" s="528"/>
      <c r="AK53" s="528"/>
      <c r="AM53" s="3">
        <v>2060</v>
      </c>
      <c r="AN53" s="707">
        <f t="shared" si="19"/>
        <v>990.07714706529555</v>
      </c>
      <c r="AO53" s="335">
        <f t="shared" si="19"/>
        <v>-282.07044675552254</v>
      </c>
      <c r="AP53" s="335">
        <f t="shared" si="19"/>
        <v>96.528698841331803</v>
      </c>
      <c r="AQ53" s="335">
        <f t="shared" si="19"/>
        <v>1161.5592564754552</v>
      </c>
      <c r="AR53" s="335">
        <f t="shared" si="19"/>
        <v>28.425528474718021</v>
      </c>
      <c r="AS53" s="335">
        <f t="shared" si="18"/>
        <v>54.91529393067249</v>
      </c>
      <c r="AT53" s="335">
        <f t="shared" si="18"/>
        <v>225.48954068107264</v>
      </c>
      <c r="AU53" s="335">
        <f t="shared" si="18"/>
        <v>440.04517044242948</v>
      </c>
      <c r="AV53" s="335">
        <f t="shared" si="18"/>
        <v>122.89260146488161</v>
      </c>
      <c r="AW53" s="335">
        <f t="shared" si="18"/>
        <v>523.12558959461717</v>
      </c>
      <c r="AY53" s="3">
        <v>2060</v>
      </c>
      <c r="AZ53" s="707">
        <f>C53*Bioplastics!AL58</f>
        <v>785.00956045281566</v>
      </c>
      <c r="BD53" s="3">
        <v>2060</v>
      </c>
      <c r="BE53" s="1131">
        <f t="shared" si="15"/>
        <v>0.48019097648969988</v>
      </c>
      <c r="BF53" s="1131">
        <f t="shared" si="16"/>
        <v>0.26639999999999997</v>
      </c>
      <c r="BG53" s="1131">
        <f t="shared" si="17"/>
        <v>0.25340902351030015</v>
      </c>
    </row>
    <row r="54" spans="1:59" s="929" customFormat="1" x14ac:dyDescent="0.4">
      <c r="D54" s="983"/>
      <c r="E54" s="983"/>
      <c r="F54" s="983"/>
      <c r="G54" s="983"/>
      <c r="H54" s="983"/>
    </row>
    <row r="55" spans="1:59" s="929" customFormat="1" x14ac:dyDescent="0.4">
      <c r="D55" s="983"/>
      <c r="E55" s="983"/>
      <c r="F55" s="983"/>
      <c r="G55" s="983"/>
      <c r="H55" s="983"/>
    </row>
    <row r="56" spans="1:59" ht="22.5" x14ac:dyDescent="0.75">
      <c r="A56" s="336" t="s">
        <v>146</v>
      </c>
    </row>
    <row r="57" spans="1:59" ht="200.05" customHeight="1" x14ac:dyDescent="0.4">
      <c r="B57" s="1280" t="s">
        <v>466</v>
      </c>
      <c r="C57" s="1281"/>
      <c r="D57" s="341"/>
      <c r="E57" s="1280" t="s">
        <v>467</v>
      </c>
      <c r="F57" s="1281"/>
      <c r="H57" s="1280" t="s">
        <v>468</v>
      </c>
      <c r="I57" s="1281"/>
      <c r="L57" s="1280" t="s">
        <v>469</v>
      </c>
      <c r="M57" s="1281"/>
      <c r="Q57" s="1280" t="s">
        <v>1093</v>
      </c>
      <c r="R57" s="1281"/>
      <c r="T57" s="1280" t="s">
        <v>470</v>
      </c>
      <c r="U57" s="1281"/>
      <c r="W57" s="1275" t="s">
        <v>471</v>
      </c>
      <c r="X57" s="1276"/>
      <c r="Y57" s="1276"/>
      <c r="AA57" s="1275" t="s">
        <v>1031</v>
      </c>
      <c r="AB57" s="1276"/>
      <c r="AD57" s="1275" t="s">
        <v>1095</v>
      </c>
      <c r="AE57" s="1276"/>
      <c r="AG57" s="1275" t="s">
        <v>472</v>
      </c>
      <c r="AH57" s="1276"/>
      <c r="AK57" s="1275" t="s">
        <v>473</v>
      </c>
      <c r="AL57" s="1276"/>
      <c r="AM57" s="1276"/>
      <c r="AN57" s="1276"/>
    </row>
    <row r="58" spans="1:59" ht="135.30000000000001" x14ac:dyDescent="0.4">
      <c r="B58" s="641" t="s">
        <v>148</v>
      </c>
      <c r="C58" s="641"/>
      <c r="D58" s="341"/>
      <c r="E58" s="340" t="s">
        <v>125</v>
      </c>
      <c r="F58" s="340" t="s">
        <v>149</v>
      </c>
      <c r="G58" s="341"/>
      <c r="H58" s="340" t="s">
        <v>126</v>
      </c>
      <c r="I58" s="341"/>
      <c r="J58" s="341"/>
      <c r="K58" s="341"/>
      <c r="L58" s="641" t="s">
        <v>499</v>
      </c>
      <c r="M58" s="641"/>
      <c r="N58" s="341"/>
      <c r="O58" s="341"/>
      <c r="P58" s="341"/>
      <c r="Q58" s="1198" t="s">
        <v>127</v>
      </c>
      <c r="R58" s="641"/>
      <c r="S58" s="341"/>
      <c r="T58" s="340" t="s">
        <v>128</v>
      </c>
      <c r="U58" s="340" t="s">
        <v>149</v>
      </c>
      <c r="V58" s="341"/>
      <c r="W58" s="641" t="s">
        <v>129</v>
      </c>
      <c r="X58" s="641"/>
      <c r="Y58" s="340" t="s">
        <v>149</v>
      </c>
      <c r="Z58" s="341"/>
      <c r="AA58" s="641" t="s">
        <v>130</v>
      </c>
      <c r="AB58" s="641"/>
      <c r="AD58" s="641" t="s">
        <v>150</v>
      </c>
      <c r="AE58" s="641"/>
      <c r="AF58" s="341"/>
      <c r="AG58" s="1173" t="s">
        <v>131</v>
      </c>
      <c r="AH58" s="341"/>
    </row>
    <row r="59" spans="1:59" x14ac:dyDescent="0.4">
      <c r="B59" s="2"/>
      <c r="C59" s="334" t="s">
        <v>147</v>
      </c>
      <c r="E59" s="2"/>
      <c r="F59" s="334" t="s">
        <v>115</v>
      </c>
      <c r="H59" s="2"/>
      <c r="I59" s="334" t="s">
        <v>115</v>
      </c>
      <c r="L59" s="2"/>
      <c r="M59" s="334" t="s">
        <v>115</v>
      </c>
      <c r="Q59" s="2"/>
      <c r="R59" s="334" t="s">
        <v>115</v>
      </c>
      <c r="T59" s="2"/>
      <c r="U59" s="334" t="s">
        <v>115</v>
      </c>
      <c r="W59" s="2"/>
      <c r="X59" s="342"/>
      <c r="Y59" s="334" t="s">
        <v>115</v>
      </c>
      <c r="AA59" s="2"/>
      <c r="AB59" s="334" t="s">
        <v>115</v>
      </c>
      <c r="AD59" s="2"/>
      <c r="AE59" s="334" t="s">
        <v>115</v>
      </c>
      <c r="AG59" s="2"/>
      <c r="AH59" s="334" t="s">
        <v>115</v>
      </c>
      <c r="AK59" s="2" t="s">
        <v>114</v>
      </c>
      <c r="AL59" s="334" t="s">
        <v>156</v>
      </c>
      <c r="AM59" s="2" t="s">
        <v>157</v>
      </c>
      <c r="AN59" s="2" t="s">
        <v>158</v>
      </c>
    </row>
    <row r="60" spans="1:59" ht="14.4" x14ac:dyDescent="0.55000000000000004">
      <c r="B60" s="3">
        <v>2014</v>
      </c>
      <c r="C60" s="707">
        <f>'Food System Summary'!I12</f>
        <v>-2.3841857910156249E-13</v>
      </c>
      <c r="E60" s="3">
        <v>2014</v>
      </c>
      <c r="F60" s="335">
        <f t="shared" ref="F60:F106" si="20">C7-C60</f>
        <v>1773.3333333333335</v>
      </c>
      <c r="H60" s="3">
        <v>2014</v>
      </c>
      <c r="I60" s="335">
        <f t="shared" ref="I60:I106" si="21">O7-C60</f>
        <v>804.14197831832132</v>
      </c>
      <c r="L60" s="3">
        <v>2014</v>
      </c>
      <c r="M60" s="707">
        <f>Bioplastics!B110</f>
        <v>1.67</v>
      </c>
      <c r="Q60" s="3">
        <v>2014</v>
      </c>
      <c r="R60" s="1197">
        <v>0.39100000000000001</v>
      </c>
      <c r="T60" s="3">
        <v>2014</v>
      </c>
      <c r="U60" s="335">
        <f>F60</f>
        <v>1773.3333333333335</v>
      </c>
      <c r="W60" s="3">
        <v>2014</v>
      </c>
      <c r="X60" s="343"/>
      <c r="Y60" s="335">
        <f>I60+R60*M60</f>
        <v>804.7949483183213</v>
      </c>
      <c r="AA60" s="3">
        <v>2014</v>
      </c>
      <c r="AB60" s="335">
        <f t="shared" ref="AB60:AB106" si="22">AB7-M60*R60</f>
        <v>626.75236333333328</v>
      </c>
      <c r="AD60" s="3">
        <v>2014</v>
      </c>
      <c r="AE60" s="335">
        <f>U60-Y60-AB60</f>
        <v>341.7860216816789</v>
      </c>
      <c r="AG60" s="3">
        <v>2014</v>
      </c>
      <c r="AH60" s="335">
        <f t="shared" ref="AH60:AH106" si="23">AZ7-M60</f>
        <v>239.52999999999997</v>
      </c>
      <c r="AK60" s="3">
        <v>2014</v>
      </c>
      <c r="AL60" s="338">
        <f>Y60/U60</f>
        <v>0.4538317377734894</v>
      </c>
      <c r="AM60" s="338">
        <f>AB60/U60</f>
        <v>0.3534317838345864</v>
      </c>
      <c r="AN60" s="338">
        <f>AE60/U60</f>
        <v>0.19273647839192418</v>
      </c>
    </row>
    <row r="61" spans="1:59" ht="14.4" x14ac:dyDescent="0.55000000000000004">
      <c r="B61" s="3">
        <v>2015</v>
      </c>
      <c r="C61" s="707">
        <f>'Food System Summary'!I13</f>
        <v>0</v>
      </c>
      <c r="E61" s="3">
        <v>2015</v>
      </c>
      <c r="F61" s="335">
        <f t="shared" si="20"/>
        <v>1891.6666666666667</v>
      </c>
      <c r="H61" s="3">
        <v>2015</v>
      </c>
      <c r="I61" s="335">
        <f t="shared" si="21"/>
        <v>862.10382892596351</v>
      </c>
      <c r="L61" s="3">
        <v>2015</v>
      </c>
      <c r="M61" s="707">
        <f>Bioplastics!B111</f>
        <v>2.0299999999999998</v>
      </c>
      <c r="Q61" s="3">
        <v>2015</v>
      </c>
      <c r="R61" s="1197">
        <v>0.36300000000000004</v>
      </c>
      <c r="T61" s="3">
        <v>2015</v>
      </c>
      <c r="U61" s="335">
        <f t="shared" ref="U61:U106" si="24">F61</f>
        <v>1891.6666666666667</v>
      </c>
      <c r="W61" s="3">
        <v>2015</v>
      </c>
      <c r="X61" s="343"/>
      <c r="Y61" s="335">
        <f t="shared" ref="Y61:Y106" si="25">I61+R61*M61</f>
        <v>862.84071892596353</v>
      </c>
      <c r="AA61" s="3">
        <v>2015</v>
      </c>
      <c r="AB61" s="335">
        <f t="shared" si="22"/>
        <v>664.94060999999999</v>
      </c>
      <c r="AD61" s="3">
        <v>2015</v>
      </c>
      <c r="AE61" s="335">
        <f t="shared" ref="AE61:AE106" si="26">U61-Y61-AB61</f>
        <v>363.88533774070322</v>
      </c>
      <c r="AG61" s="3">
        <v>2015</v>
      </c>
      <c r="AH61" s="335">
        <f t="shared" si="23"/>
        <v>247.70118971061089</v>
      </c>
      <c r="AK61" s="3">
        <v>2015</v>
      </c>
      <c r="AL61" s="338">
        <f t="shared" ref="AL61:AL106" si="27">Y61/U61</f>
        <v>0.45612725229566353</v>
      </c>
      <c r="AM61" s="338">
        <f t="shared" ref="AM61:AM106" si="28">AB61/U61</f>
        <v>0.35151045462555064</v>
      </c>
      <c r="AN61" s="338">
        <f t="shared" ref="AN61:AN106" si="29">AE61/U61</f>
        <v>0.19236229307878583</v>
      </c>
    </row>
    <row r="62" spans="1:59" ht="14.4" x14ac:dyDescent="0.55000000000000004">
      <c r="B62" s="3">
        <v>2016</v>
      </c>
      <c r="C62" s="707">
        <f>'Food System Summary'!I14</f>
        <v>0</v>
      </c>
      <c r="E62" s="3">
        <v>2016</v>
      </c>
      <c r="F62" s="335">
        <f t="shared" si="20"/>
        <v>2009.9999999999998</v>
      </c>
      <c r="H62" s="3">
        <v>2016</v>
      </c>
      <c r="I62" s="335">
        <f t="shared" si="21"/>
        <v>924.59999999999991</v>
      </c>
      <c r="L62" s="3">
        <v>2016</v>
      </c>
      <c r="M62" s="707">
        <f>Bioplastics!B112</f>
        <v>2.0499999999999998</v>
      </c>
      <c r="Q62" s="3">
        <v>2016</v>
      </c>
      <c r="R62" s="1197">
        <v>0.36899999999999999</v>
      </c>
      <c r="T62" s="3">
        <v>2016</v>
      </c>
      <c r="U62" s="335">
        <f t="shared" si="24"/>
        <v>2009.9999999999998</v>
      </c>
      <c r="W62" s="3">
        <v>2016</v>
      </c>
      <c r="X62" s="343"/>
      <c r="Y62" s="335">
        <f t="shared" si="25"/>
        <v>925.35644999999988</v>
      </c>
      <c r="AA62" s="3">
        <v>2016</v>
      </c>
      <c r="AB62" s="335">
        <f t="shared" si="22"/>
        <v>702.74354999999991</v>
      </c>
      <c r="AD62" s="3">
        <v>2016</v>
      </c>
      <c r="AE62" s="335">
        <f t="shared" si="26"/>
        <v>381.89999999999986</v>
      </c>
      <c r="AG62" s="3">
        <v>2016</v>
      </c>
      <c r="AH62" s="335">
        <f t="shared" si="23"/>
        <v>257.7635048231511</v>
      </c>
      <c r="AK62" s="3">
        <v>2016</v>
      </c>
      <c r="AL62" s="338">
        <f t="shared" si="27"/>
        <v>0.46037634328358207</v>
      </c>
      <c r="AM62" s="338">
        <f t="shared" si="28"/>
        <v>0.34962365671641793</v>
      </c>
      <c r="AN62" s="338">
        <f t="shared" si="29"/>
        <v>0.18999999999999995</v>
      </c>
    </row>
    <row r="63" spans="1:59" ht="14.4" x14ac:dyDescent="0.55000000000000004">
      <c r="B63" s="3">
        <v>2017</v>
      </c>
      <c r="C63" s="707">
        <f>'Food System Summary'!I15</f>
        <v>2.3841857910156249E-13</v>
      </c>
      <c r="E63" s="3">
        <v>2017</v>
      </c>
      <c r="F63" s="335">
        <f t="shared" si="20"/>
        <v>2111.0920259528002</v>
      </c>
      <c r="H63" s="3">
        <v>2017</v>
      </c>
      <c r="I63" s="335">
        <f t="shared" si="21"/>
        <v>970.58688076320266</v>
      </c>
      <c r="L63" s="3">
        <v>2017</v>
      </c>
      <c r="M63" s="707">
        <f>Bioplastics!B113</f>
        <v>2.27</v>
      </c>
      <c r="Q63" s="3">
        <v>2017</v>
      </c>
      <c r="R63" s="1197">
        <v>0.38700000000000001</v>
      </c>
      <c r="T63" s="3">
        <v>2017</v>
      </c>
      <c r="U63" s="335">
        <f t="shared" si="24"/>
        <v>2111.0920259528002</v>
      </c>
      <c r="W63" s="3">
        <v>2017</v>
      </c>
      <c r="X63" s="343"/>
      <c r="Y63" s="335">
        <f t="shared" si="25"/>
        <v>971.46537076320271</v>
      </c>
      <c r="AA63" s="3">
        <v>2017</v>
      </c>
      <c r="AB63" s="335">
        <f t="shared" si="22"/>
        <v>733.99264423416992</v>
      </c>
      <c r="AD63" s="3">
        <v>2017</v>
      </c>
      <c r="AE63" s="335">
        <f t="shared" si="26"/>
        <v>405.63401095542747</v>
      </c>
      <c r="AG63" s="3">
        <v>2017</v>
      </c>
      <c r="AH63" s="335">
        <f t="shared" si="23"/>
        <v>266.07098638078583</v>
      </c>
      <c r="AK63" s="3">
        <v>2017</v>
      </c>
      <c r="AL63" s="338">
        <f t="shared" si="27"/>
        <v>0.46017196731381277</v>
      </c>
      <c r="AM63" s="338">
        <f t="shared" si="28"/>
        <v>0.34768386939593343</v>
      </c>
      <c r="AN63" s="338">
        <f t="shared" si="29"/>
        <v>0.19214416329025377</v>
      </c>
    </row>
    <row r="64" spans="1:59" ht="14.4" x14ac:dyDescent="0.55000000000000004">
      <c r="B64" s="3">
        <v>2018</v>
      </c>
      <c r="C64" s="707">
        <f>'Food System Summary'!I16</f>
        <v>0</v>
      </c>
      <c r="E64" s="3">
        <v>2018</v>
      </c>
      <c r="F64" s="335">
        <f t="shared" si="20"/>
        <v>2147.6619980403138</v>
      </c>
      <c r="H64" s="3">
        <v>2018</v>
      </c>
      <c r="I64" s="335">
        <f t="shared" si="21"/>
        <v>991.19935384999405</v>
      </c>
      <c r="L64" s="3">
        <v>2018</v>
      </c>
      <c r="M64" s="707">
        <f>Bioplastics!B114</f>
        <v>2.1100000000001273</v>
      </c>
      <c r="Q64" s="3">
        <v>2018</v>
      </c>
      <c r="R64" s="1197">
        <v>0.43200000000000005</v>
      </c>
      <c r="T64" s="3">
        <v>2018</v>
      </c>
      <c r="U64" s="335">
        <f t="shared" si="24"/>
        <v>2147.6619980403138</v>
      </c>
      <c r="W64" s="3">
        <v>2018</v>
      </c>
      <c r="X64" s="343"/>
      <c r="Y64" s="335">
        <f t="shared" si="25"/>
        <v>992.11087384999416</v>
      </c>
      <c r="AA64" s="3">
        <v>2018</v>
      </c>
      <c r="AB64" s="335">
        <f t="shared" si="22"/>
        <v>742.60906372155659</v>
      </c>
      <c r="AD64" s="3">
        <v>2018</v>
      </c>
      <c r="AE64" s="335">
        <f t="shared" si="26"/>
        <v>412.94206046876297</v>
      </c>
      <c r="AG64" s="3">
        <v>2018</v>
      </c>
      <c r="AH64" s="335">
        <f t="shared" si="23"/>
        <v>274.63638293540401</v>
      </c>
      <c r="AK64" s="3">
        <v>2018</v>
      </c>
      <c r="AL64" s="338">
        <f t="shared" si="27"/>
        <v>0.46194926145514037</v>
      </c>
      <c r="AM64" s="338">
        <f t="shared" si="28"/>
        <v>0.34577557567213474</v>
      </c>
      <c r="AN64" s="338">
        <f t="shared" si="29"/>
        <v>0.19227516287272484</v>
      </c>
    </row>
    <row r="65" spans="2:40" ht="14.4" x14ac:dyDescent="0.55000000000000004">
      <c r="B65" s="3">
        <v>2019</v>
      </c>
      <c r="C65" s="707">
        <f>'Food System Summary'!I17</f>
        <v>67.045668835695025</v>
      </c>
      <c r="E65" s="3">
        <v>2019</v>
      </c>
      <c r="F65" s="335">
        <f t="shared" si="20"/>
        <v>2116.9856625410453</v>
      </c>
      <c r="H65" s="3">
        <v>2019</v>
      </c>
      <c r="I65" s="335">
        <f t="shared" si="21"/>
        <v>944.48711239573527</v>
      </c>
      <c r="L65" s="3">
        <v>2019</v>
      </c>
      <c r="M65" s="707">
        <f>Bioplastics!B115</f>
        <v>2.9085714285715767</v>
      </c>
      <c r="Q65" s="3">
        <v>2019</v>
      </c>
      <c r="R65" s="1197">
        <v>0.43442538507158451</v>
      </c>
      <c r="T65" s="3">
        <v>2019</v>
      </c>
      <c r="U65" s="335">
        <f t="shared" si="24"/>
        <v>2116.9856625410453</v>
      </c>
      <c r="W65" s="3">
        <v>2019</v>
      </c>
      <c r="X65" s="343"/>
      <c r="Y65" s="335">
        <f t="shared" si="25"/>
        <v>945.75066965860071</v>
      </c>
      <c r="AA65" s="3">
        <v>2019</v>
      </c>
      <c r="AB65" s="335">
        <f t="shared" si="22"/>
        <v>750.69843013014633</v>
      </c>
      <c r="AD65" s="3">
        <v>2019</v>
      </c>
      <c r="AE65" s="335">
        <f t="shared" si="26"/>
        <v>420.53656275229832</v>
      </c>
      <c r="AG65" s="3">
        <v>2019</v>
      </c>
      <c r="AH65" s="335">
        <f t="shared" si="23"/>
        <v>261.9721491458269</v>
      </c>
      <c r="AK65" s="3">
        <v>2019</v>
      </c>
      <c r="AL65" s="338">
        <f t="shared" si="27"/>
        <v>0.44674401267479724</v>
      </c>
      <c r="AM65" s="338">
        <f t="shared" si="28"/>
        <v>0.35460723396164778</v>
      </c>
      <c r="AN65" s="338">
        <f t="shared" si="29"/>
        <v>0.19864875336355506</v>
      </c>
    </row>
    <row r="66" spans="2:40" ht="14.4" x14ac:dyDescent="0.55000000000000004">
      <c r="B66" s="3">
        <v>2020</v>
      </c>
      <c r="C66" s="707">
        <f>'Food System Summary'!I18</f>
        <v>134.02168870726658</v>
      </c>
      <c r="E66" s="3">
        <v>2020</v>
      </c>
      <c r="F66" s="335">
        <f t="shared" si="20"/>
        <v>2086.5967223384419</v>
      </c>
      <c r="H66" s="3">
        <v>2020</v>
      </c>
      <c r="I66" s="335">
        <f t="shared" si="21"/>
        <v>897.76724740133022</v>
      </c>
      <c r="L66" s="3">
        <v>2020</v>
      </c>
      <c r="M66" s="707">
        <f>Bioplastics!B116</f>
        <v>3.707142857143026</v>
      </c>
      <c r="Q66" s="3">
        <v>2020</v>
      </c>
      <c r="R66" s="1197">
        <v>0.44838947206870899</v>
      </c>
      <c r="T66" s="3">
        <v>2020</v>
      </c>
      <c r="U66" s="335">
        <f t="shared" si="24"/>
        <v>2086.5967223384419</v>
      </c>
      <c r="W66" s="3">
        <v>2020</v>
      </c>
      <c r="X66" s="343"/>
      <c r="Y66" s="335">
        <f t="shared" si="25"/>
        <v>899.42949122992786</v>
      </c>
      <c r="AA66" s="3">
        <v>2020</v>
      </c>
      <c r="AB66" s="335">
        <f t="shared" si="22"/>
        <v>758.67750011345311</v>
      </c>
      <c r="AD66" s="3">
        <v>2020</v>
      </c>
      <c r="AE66" s="335">
        <f t="shared" si="26"/>
        <v>428.48973099506088</v>
      </c>
      <c r="AG66" s="3">
        <v>2020</v>
      </c>
      <c r="AH66" s="335">
        <f t="shared" si="23"/>
        <v>270.94067853709385</v>
      </c>
      <c r="AK66" s="3">
        <v>2020</v>
      </c>
      <c r="AL66" s="338">
        <f t="shared" si="27"/>
        <v>0.43105094606970351</v>
      </c>
      <c r="AM66" s="338">
        <f t="shared" si="28"/>
        <v>0.36359565410569888</v>
      </c>
      <c r="AN66" s="338">
        <f t="shared" si="29"/>
        <v>0.20535339982459758</v>
      </c>
    </row>
    <row r="67" spans="2:40" ht="14.4" x14ac:dyDescent="0.55000000000000004">
      <c r="B67" s="3">
        <v>2021</v>
      </c>
      <c r="C67" s="707">
        <f>'Food System Summary'!I19</f>
        <v>200.70456206726837</v>
      </c>
      <c r="E67" s="3">
        <v>2021</v>
      </c>
      <c r="F67" s="335">
        <f t="shared" si="20"/>
        <v>2055.3816729112359</v>
      </c>
      <c r="H67" s="3">
        <v>2021</v>
      </c>
      <c r="I67" s="335">
        <f t="shared" si="21"/>
        <v>850.64953623489328</v>
      </c>
      <c r="L67" s="3">
        <v>2021</v>
      </c>
      <c r="M67" s="707">
        <f>Bioplastics!B117</f>
        <v>4.505714285714248</v>
      </c>
      <c r="Q67" s="3">
        <v>2021</v>
      </c>
      <c r="R67" s="1197">
        <v>0.46200878452943045</v>
      </c>
      <c r="T67" s="3">
        <v>2021</v>
      </c>
      <c r="U67" s="335">
        <f t="shared" si="24"/>
        <v>2055.3816729112359</v>
      </c>
      <c r="W67" s="3">
        <v>2021</v>
      </c>
      <c r="X67" s="343"/>
      <c r="Y67" s="335">
        <f t="shared" si="25"/>
        <v>852.73121581547298</v>
      </c>
      <c r="AA67" s="3">
        <v>2021</v>
      </c>
      <c r="AB67" s="335">
        <f t="shared" si="22"/>
        <v>766.11568342960129</v>
      </c>
      <c r="AD67" s="3">
        <v>2021</v>
      </c>
      <c r="AE67" s="335">
        <f t="shared" si="26"/>
        <v>436.53477366616164</v>
      </c>
      <c r="AG67" s="3">
        <v>2021</v>
      </c>
      <c r="AH67" s="335">
        <f t="shared" si="23"/>
        <v>277.73298550613475</v>
      </c>
      <c r="AK67" s="3">
        <v>2021</v>
      </c>
      <c r="AL67" s="338">
        <f t="shared" si="27"/>
        <v>0.41487730821675922</v>
      </c>
      <c r="AM67" s="338">
        <f t="shared" si="28"/>
        <v>0.37273645743103156</v>
      </c>
      <c r="AN67" s="338">
        <f t="shared" si="29"/>
        <v>0.21238623435220924</v>
      </c>
    </row>
    <row r="68" spans="2:40" ht="14.4" x14ac:dyDescent="0.55000000000000004">
      <c r="B68" s="3">
        <v>2022</v>
      </c>
      <c r="C68" s="707">
        <f>'Food System Summary'!I20</f>
        <v>267.09242117504431</v>
      </c>
      <c r="E68" s="3">
        <v>2022</v>
      </c>
      <c r="F68" s="335">
        <f t="shared" si="20"/>
        <v>2024.9746287866396</v>
      </c>
      <c r="H68" s="3">
        <v>2022</v>
      </c>
      <c r="I68" s="335">
        <f t="shared" si="21"/>
        <v>803.90268563010204</v>
      </c>
      <c r="L68" s="3">
        <v>2022</v>
      </c>
      <c r="M68" s="707">
        <f>Bioplastics!B118</f>
        <v>5.3042857142856974</v>
      </c>
      <c r="Q68" s="3">
        <v>2022</v>
      </c>
      <c r="R68" s="1197">
        <v>0.47529183496738303</v>
      </c>
      <c r="T68" s="3">
        <v>2022</v>
      </c>
      <c r="U68" s="335">
        <f t="shared" si="24"/>
        <v>2024.9746287866396</v>
      </c>
      <c r="W68" s="3">
        <v>2022</v>
      </c>
      <c r="X68" s="343"/>
      <c r="Y68" s="335">
        <f t="shared" si="25"/>
        <v>806.42376932043612</v>
      </c>
      <c r="AA68" s="3">
        <v>2022</v>
      </c>
      <c r="AB68" s="335">
        <f t="shared" si="22"/>
        <v>773.57281942669238</v>
      </c>
      <c r="AD68" s="3">
        <v>2022</v>
      </c>
      <c r="AE68" s="335">
        <f t="shared" si="26"/>
        <v>444.97804003951114</v>
      </c>
      <c r="AG68" s="3">
        <v>2022</v>
      </c>
      <c r="AH68" s="335">
        <f t="shared" si="23"/>
        <v>284.54771470398435</v>
      </c>
      <c r="AK68" s="3">
        <v>2022</v>
      </c>
      <c r="AL68" s="338">
        <f t="shared" si="27"/>
        <v>0.39823894969175166</v>
      </c>
      <c r="AM68" s="338">
        <f t="shared" si="28"/>
        <v>0.38201605512964648</v>
      </c>
      <c r="AN68" s="338">
        <f t="shared" si="29"/>
        <v>0.21974499517860183</v>
      </c>
    </row>
    <row r="69" spans="2:40" ht="14.4" x14ac:dyDescent="0.55000000000000004">
      <c r="B69" s="3">
        <v>2023</v>
      </c>
      <c r="C69" s="707">
        <f>'Food System Summary'!I21</f>
        <v>333.1385890502529</v>
      </c>
      <c r="E69" s="3">
        <v>2023</v>
      </c>
      <c r="F69" s="335">
        <f t="shared" si="20"/>
        <v>1994.6735640992456</v>
      </c>
      <c r="H69" s="3">
        <v>2023</v>
      </c>
      <c r="I69" s="335">
        <f t="shared" si="21"/>
        <v>757.23308558047756</v>
      </c>
      <c r="L69" s="3">
        <v>2023</v>
      </c>
      <c r="M69" s="707">
        <f>Bioplastics!B119</f>
        <v>6.1028571428571468</v>
      </c>
      <c r="Q69" s="3">
        <v>2023</v>
      </c>
      <c r="R69" s="1197">
        <v>0.49235474006116209</v>
      </c>
      <c r="T69" s="3">
        <v>2023</v>
      </c>
      <c r="U69" s="335">
        <f t="shared" si="24"/>
        <v>1994.6735640992456</v>
      </c>
      <c r="W69" s="3">
        <v>2023</v>
      </c>
      <c r="X69" s="343"/>
      <c r="Y69" s="335">
        <f t="shared" si="25"/>
        <v>760.2378562226794</v>
      </c>
      <c r="AA69" s="3">
        <v>2023</v>
      </c>
      <c r="AB69" s="335">
        <f t="shared" si="22"/>
        <v>780.76958132323466</v>
      </c>
      <c r="AD69" s="3">
        <v>2023</v>
      </c>
      <c r="AE69" s="335">
        <f t="shared" si="26"/>
        <v>453.66612655333142</v>
      </c>
      <c r="AG69" s="3">
        <v>2023</v>
      </c>
      <c r="AH69" s="335">
        <f t="shared" si="23"/>
        <v>291.38182279988433</v>
      </c>
      <c r="AK69" s="3">
        <v>2023</v>
      </c>
      <c r="AL69" s="338">
        <f t="shared" si="27"/>
        <v>0.38113397094425699</v>
      </c>
      <c r="AM69" s="338">
        <f t="shared" si="28"/>
        <v>0.39142724673137907</v>
      </c>
      <c r="AN69" s="338">
        <f t="shared" si="29"/>
        <v>0.2274387823243639</v>
      </c>
    </row>
    <row r="70" spans="2:40" ht="14.4" x14ac:dyDescent="0.55000000000000004">
      <c r="B70" s="3">
        <v>2024</v>
      </c>
      <c r="C70" s="707">
        <f>'Food System Summary'!I22</f>
        <v>398.80347782666684</v>
      </c>
      <c r="E70" s="3">
        <v>2024</v>
      </c>
      <c r="F70" s="335">
        <f t="shared" si="20"/>
        <v>1964.5200779327506</v>
      </c>
      <c r="H70" s="3">
        <v>2024</v>
      </c>
      <c r="I70" s="335">
        <f t="shared" si="21"/>
        <v>710.68885274007391</v>
      </c>
      <c r="L70" s="3">
        <v>2024</v>
      </c>
      <c r="M70" s="707">
        <f>Bioplastics!B120</f>
        <v>6.9014285714285961</v>
      </c>
      <c r="Q70" s="3">
        <v>2024</v>
      </c>
      <c r="R70" s="1197">
        <v>0.5008821541451981</v>
      </c>
      <c r="T70" s="3">
        <v>2024</v>
      </c>
      <c r="U70" s="335">
        <f t="shared" si="24"/>
        <v>1964.5200779327506</v>
      </c>
      <c r="W70" s="3">
        <v>2024</v>
      </c>
      <c r="X70" s="343"/>
      <c r="Y70" s="335">
        <f t="shared" si="25"/>
        <v>714.14565514961032</v>
      </c>
      <c r="AA70" s="3">
        <v>2024</v>
      </c>
      <c r="AB70" s="335">
        <f t="shared" si="22"/>
        <v>787.78392405871705</v>
      </c>
      <c r="AD70" s="3">
        <v>2024</v>
      </c>
      <c r="AE70" s="335">
        <f t="shared" si="26"/>
        <v>462.59049872442324</v>
      </c>
      <c r="AG70" s="3">
        <v>2024</v>
      </c>
      <c r="AH70" s="335">
        <f t="shared" si="23"/>
        <v>299.66292498809855</v>
      </c>
      <c r="AK70" s="3">
        <v>2024</v>
      </c>
      <c r="AL70" s="338">
        <f t="shared" si="27"/>
        <v>0.36352168815759844</v>
      </c>
      <c r="AM70" s="338">
        <f t="shared" si="28"/>
        <v>0.40100578910229107</v>
      </c>
      <c r="AN70" s="338">
        <f t="shared" si="29"/>
        <v>0.23547252274011049</v>
      </c>
    </row>
    <row r="71" spans="2:40" ht="14.4" x14ac:dyDescent="0.55000000000000004">
      <c r="B71" s="3">
        <v>2025</v>
      </c>
      <c r="C71" s="707">
        <f>'Food System Summary'!I23</f>
        <v>464.05217014073799</v>
      </c>
      <c r="E71" s="3">
        <v>2025</v>
      </c>
      <c r="F71" s="335">
        <f t="shared" si="20"/>
        <v>1933.522796556374</v>
      </c>
      <c r="H71" s="3">
        <v>2025</v>
      </c>
      <c r="I71" s="335">
        <f t="shared" si="21"/>
        <v>662.80806420690453</v>
      </c>
      <c r="L71" s="3">
        <v>2025</v>
      </c>
      <c r="M71" s="707">
        <f>Bioplastics!B121</f>
        <v>7.7000000000000455</v>
      </c>
      <c r="Q71" s="3">
        <v>2025</v>
      </c>
      <c r="R71" s="1197">
        <v>0.51320541766758221</v>
      </c>
      <c r="T71" s="3">
        <v>2025</v>
      </c>
      <c r="U71" s="335">
        <f t="shared" si="24"/>
        <v>1933.522796556374</v>
      </c>
      <c r="W71" s="3">
        <v>2025</v>
      </c>
      <c r="X71" s="343"/>
      <c r="Y71" s="335">
        <f t="shared" si="25"/>
        <v>666.75974592294494</v>
      </c>
      <c r="AA71" s="3">
        <v>2025</v>
      </c>
      <c r="AB71" s="335">
        <f t="shared" si="22"/>
        <v>794.20102469742858</v>
      </c>
      <c r="AD71" s="3">
        <v>2025</v>
      </c>
      <c r="AE71" s="335">
        <f t="shared" si="26"/>
        <v>472.5620259360004</v>
      </c>
      <c r="AG71" s="3">
        <v>2025</v>
      </c>
      <c r="AH71" s="335">
        <f t="shared" si="23"/>
        <v>308.15262602417698</v>
      </c>
      <c r="AK71" s="3">
        <v>2025</v>
      </c>
      <c r="AL71" s="338">
        <f t="shared" si="27"/>
        <v>0.34484193675422475</v>
      </c>
      <c r="AM71" s="338">
        <f t="shared" si="28"/>
        <v>0.41075338036453957</v>
      </c>
      <c r="AN71" s="338">
        <f t="shared" si="29"/>
        <v>0.2444046828812356</v>
      </c>
    </row>
    <row r="72" spans="2:40" ht="14.4" x14ac:dyDescent="0.55000000000000004">
      <c r="B72" s="3">
        <v>2026</v>
      </c>
      <c r="C72" s="707">
        <f>'Food System Summary'!I24</f>
        <v>528.85132453258871</v>
      </c>
      <c r="E72" s="3">
        <v>2026</v>
      </c>
      <c r="F72" s="335">
        <f t="shared" si="20"/>
        <v>1913.1905930460537</v>
      </c>
      <c r="H72" s="3">
        <v>2026</v>
      </c>
      <c r="I72" s="335">
        <f t="shared" si="21"/>
        <v>622.10193429045216</v>
      </c>
      <c r="L72" s="3">
        <v>2026</v>
      </c>
      <c r="M72" s="707">
        <f>Bioplastics!B122</f>
        <v>10.01507231593132</v>
      </c>
      <c r="Q72" s="3">
        <v>2026</v>
      </c>
      <c r="R72" s="1197">
        <v>0.52522441872950065</v>
      </c>
      <c r="T72" s="3">
        <v>2026</v>
      </c>
      <c r="U72" s="335">
        <f t="shared" si="24"/>
        <v>1913.1905930460537</v>
      </c>
      <c r="W72" s="3">
        <v>2026</v>
      </c>
      <c r="X72" s="343"/>
      <c r="Y72" s="335">
        <f t="shared" si="25"/>
        <v>627.36209482612105</v>
      </c>
      <c r="AA72" s="3">
        <v>2026</v>
      </c>
      <c r="AB72" s="335">
        <f t="shared" si="22"/>
        <v>803.05571418286229</v>
      </c>
      <c r="AD72" s="3">
        <v>2026</v>
      </c>
      <c r="AE72" s="335">
        <f t="shared" si="26"/>
        <v>482.77278403707021</v>
      </c>
      <c r="AG72" s="3">
        <v>2026</v>
      </c>
      <c r="AH72" s="335">
        <f t="shared" si="23"/>
        <v>315.34138334090881</v>
      </c>
      <c r="AK72" s="3">
        <v>2026</v>
      </c>
      <c r="AL72" s="338">
        <f t="shared" si="27"/>
        <v>0.32791405995117151</v>
      </c>
      <c r="AM72" s="338">
        <f t="shared" si="28"/>
        <v>0.41974684440837173</v>
      </c>
      <c r="AN72" s="338">
        <f t="shared" si="29"/>
        <v>0.2523390956404567</v>
      </c>
    </row>
    <row r="73" spans="2:40" ht="14.4" x14ac:dyDescent="0.55000000000000004">
      <c r="B73" s="3">
        <v>2027</v>
      </c>
      <c r="C73" s="707">
        <f>'Food System Summary'!I25</f>
        <v>593.16864166547157</v>
      </c>
      <c r="E73" s="3">
        <v>2027</v>
      </c>
      <c r="F73" s="335">
        <f t="shared" si="20"/>
        <v>1895.9431633942627</v>
      </c>
      <c r="H73" s="3">
        <v>2027</v>
      </c>
      <c r="I73" s="335">
        <f t="shared" si="21"/>
        <v>581.97678512604489</v>
      </c>
      <c r="L73" s="3">
        <v>2027</v>
      </c>
      <c r="M73" s="707">
        <f>Bioplastics!B123</f>
        <v>12.796174675226212</v>
      </c>
      <c r="Q73" s="3">
        <v>2027</v>
      </c>
      <c r="R73" s="1197">
        <v>0.53694666959786874</v>
      </c>
      <c r="T73" s="3">
        <v>2027</v>
      </c>
      <c r="U73" s="335">
        <f t="shared" si="24"/>
        <v>1895.9431633942627</v>
      </c>
      <c r="W73" s="3">
        <v>2027</v>
      </c>
      <c r="X73" s="343"/>
      <c r="Y73" s="335">
        <f t="shared" si="25"/>
        <v>588.8476485015002</v>
      </c>
      <c r="AA73" s="3">
        <v>2027</v>
      </c>
      <c r="AB73" s="335">
        <f t="shared" si="22"/>
        <v>812.29583166970383</v>
      </c>
      <c r="AD73" s="3">
        <v>2027</v>
      </c>
      <c r="AE73" s="335">
        <f t="shared" si="26"/>
        <v>494.79968322305854</v>
      </c>
      <c r="AG73" s="3">
        <v>2027</v>
      </c>
      <c r="AH73" s="335">
        <f t="shared" si="23"/>
        <v>322.27764496910225</v>
      </c>
      <c r="AK73" s="3">
        <v>2027</v>
      </c>
      <c r="AL73" s="338">
        <f t="shared" si="27"/>
        <v>0.31058296465348678</v>
      </c>
      <c r="AM73" s="338">
        <f t="shared" si="28"/>
        <v>0.42843891491740166</v>
      </c>
      <c r="AN73" s="338">
        <f t="shared" si="29"/>
        <v>0.2609781204291115</v>
      </c>
    </row>
    <row r="74" spans="2:40" ht="14.4" x14ac:dyDescent="0.55000000000000004">
      <c r="B74" s="3">
        <v>2028</v>
      </c>
      <c r="C74" s="707">
        <f>'Food System Summary'!I26</f>
        <v>656.97389270111341</v>
      </c>
      <c r="E74" s="3">
        <v>2028</v>
      </c>
      <c r="F74" s="335">
        <f t="shared" si="20"/>
        <v>1878.9729496070204</v>
      </c>
      <c r="H74" s="3">
        <v>2028</v>
      </c>
      <c r="I74" s="335">
        <f t="shared" si="21"/>
        <v>542.15389020659279</v>
      </c>
      <c r="L74" s="3">
        <v>2028</v>
      </c>
      <c r="M74" s="707">
        <f>Bioplastics!B124</f>
        <v>16.557258695363998</v>
      </c>
      <c r="Q74" s="3">
        <v>2028</v>
      </c>
      <c r="R74" s="1197">
        <v>0.54837949706107092</v>
      </c>
      <c r="T74" s="3">
        <v>2028</v>
      </c>
      <c r="U74" s="335">
        <f t="shared" si="24"/>
        <v>1878.9729496070204</v>
      </c>
      <c r="W74" s="3">
        <v>2028</v>
      </c>
      <c r="X74" s="343"/>
      <c r="Y74" s="335">
        <f t="shared" si="25"/>
        <v>551.23355140266654</v>
      </c>
      <c r="AA74" s="3">
        <v>2028</v>
      </c>
      <c r="AB74" s="335">
        <f t="shared" si="22"/>
        <v>820.68214560714841</v>
      </c>
      <c r="AD74" s="3">
        <v>2028</v>
      </c>
      <c r="AE74" s="335">
        <f t="shared" si="26"/>
        <v>507.05725259720543</v>
      </c>
      <c r="AG74" s="3">
        <v>2028</v>
      </c>
      <c r="AH74" s="335">
        <f t="shared" si="23"/>
        <v>328.45557893088477</v>
      </c>
      <c r="AK74" s="3">
        <v>2028</v>
      </c>
      <c r="AL74" s="338">
        <f t="shared" si="27"/>
        <v>0.2933696046651203</v>
      </c>
      <c r="AM74" s="338">
        <f t="shared" si="28"/>
        <v>0.43677166602041334</v>
      </c>
      <c r="AN74" s="338">
        <f t="shared" si="29"/>
        <v>0.26985872931446642</v>
      </c>
    </row>
    <row r="75" spans="2:40" ht="14.4" x14ac:dyDescent="0.55000000000000004">
      <c r="B75" s="3">
        <v>2029</v>
      </c>
      <c r="C75" s="707">
        <f>'Food System Summary'!I27</f>
        <v>720.23746282154377</v>
      </c>
      <c r="E75" s="3">
        <v>2029</v>
      </c>
      <c r="F75" s="335">
        <f t="shared" si="20"/>
        <v>1862.3144577904363</v>
      </c>
      <c r="H75" s="3">
        <v>2029</v>
      </c>
      <c r="I75" s="335">
        <f t="shared" si="21"/>
        <v>502.66967803307273</v>
      </c>
      <c r="L75" s="3">
        <v>2029</v>
      </c>
      <c r="M75" s="707">
        <f>Bioplastics!B125</f>
        <v>21.475166767835617</v>
      </c>
      <c r="Q75" s="3">
        <v>2029</v>
      </c>
      <c r="R75" s="1197">
        <v>0.55953004700844178</v>
      </c>
      <c r="T75" s="3">
        <v>2029</v>
      </c>
      <c r="U75" s="335">
        <f t="shared" si="24"/>
        <v>1862.3144577904363</v>
      </c>
      <c r="W75" s="3">
        <v>2029</v>
      </c>
      <c r="X75" s="343"/>
      <c r="Y75" s="335">
        <f t="shared" si="25"/>
        <v>514.68567910419392</v>
      </c>
      <c r="AA75" s="3">
        <v>2029</v>
      </c>
      <c r="AB75" s="335">
        <f t="shared" si="22"/>
        <v>828.0881387039567</v>
      </c>
      <c r="AD75" s="3">
        <v>2029</v>
      </c>
      <c r="AE75" s="335">
        <f t="shared" si="26"/>
        <v>519.54063998228571</v>
      </c>
      <c r="AG75" s="3">
        <v>2029</v>
      </c>
      <c r="AH75" s="335">
        <f t="shared" si="23"/>
        <v>333.70328134824126</v>
      </c>
      <c r="AK75" s="3">
        <v>2029</v>
      </c>
      <c r="AL75" s="338">
        <f t="shared" si="27"/>
        <v>0.27636883607446644</v>
      </c>
      <c r="AM75" s="338">
        <f t="shared" si="28"/>
        <v>0.44465537774240932</v>
      </c>
      <c r="AN75" s="338">
        <f t="shared" si="29"/>
        <v>0.27897578618312424</v>
      </c>
    </row>
    <row r="76" spans="2:40" ht="14.4" x14ac:dyDescent="0.55000000000000004">
      <c r="B76" s="3">
        <v>2030</v>
      </c>
      <c r="C76" s="707">
        <f>'Food System Summary'!I28</f>
        <v>782.93054288722715</v>
      </c>
      <c r="E76" s="3">
        <v>2030</v>
      </c>
      <c r="F76" s="335">
        <f t="shared" si="20"/>
        <v>1849.0337721071519</v>
      </c>
      <c r="H76" s="3">
        <v>2030</v>
      </c>
      <c r="I76" s="335">
        <f t="shared" si="21"/>
        <v>464.99756874486343</v>
      </c>
      <c r="L76" s="3">
        <v>2030</v>
      </c>
      <c r="M76" s="707">
        <f>Bioplastics!B126</f>
        <v>27.726740807294846</v>
      </c>
      <c r="Q76" s="3">
        <v>2030</v>
      </c>
      <c r="R76" s="1197">
        <v>0.57040528889667952</v>
      </c>
      <c r="T76" s="3">
        <v>2030</v>
      </c>
      <c r="U76" s="335">
        <f t="shared" si="24"/>
        <v>1849.0337721071519</v>
      </c>
      <c r="W76" s="3">
        <v>2030</v>
      </c>
      <c r="X76" s="343"/>
      <c r="Y76" s="335">
        <f t="shared" si="25"/>
        <v>480.81304834521183</v>
      </c>
      <c r="AA76" s="3">
        <v>2030</v>
      </c>
      <c r="AB76" s="335">
        <f t="shared" si="22"/>
        <v>835.36177986883467</v>
      </c>
      <c r="AD76" s="3">
        <v>2030</v>
      </c>
      <c r="AE76" s="335">
        <f t="shared" si="26"/>
        <v>532.85894389310533</v>
      </c>
      <c r="AG76" s="3">
        <v>2030</v>
      </c>
      <c r="AH76" s="335">
        <f t="shared" si="23"/>
        <v>337.84910921650572</v>
      </c>
      <c r="AK76" s="3">
        <v>2030</v>
      </c>
      <c r="AL76" s="338">
        <f t="shared" si="27"/>
        <v>0.26003475739509024</v>
      </c>
      <c r="AM76" s="338">
        <f t="shared" si="28"/>
        <v>0.45178286760920516</v>
      </c>
      <c r="AN76" s="338">
        <f t="shared" si="29"/>
        <v>0.28818237499570454</v>
      </c>
    </row>
    <row r="77" spans="2:40" ht="14.4" x14ac:dyDescent="0.55000000000000004">
      <c r="B77" s="3">
        <v>2031</v>
      </c>
      <c r="C77" s="707">
        <f>'Food System Summary'!I29</f>
        <v>843.44089547802332</v>
      </c>
      <c r="E77" s="3">
        <v>2031</v>
      </c>
      <c r="F77" s="335">
        <f t="shared" si="20"/>
        <v>1831.6509480755549</v>
      </c>
      <c r="H77" s="3">
        <v>2031</v>
      </c>
      <c r="I77" s="335">
        <f t="shared" si="21"/>
        <v>426.44328236628553</v>
      </c>
      <c r="L77" s="3">
        <v>2031</v>
      </c>
      <c r="M77" s="707">
        <f>Bioplastics!B127</f>
        <v>35.488823384046555</v>
      </c>
      <c r="Q77" s="3">
        <v>2031</v>
      </c>
      <c r="R77" s="1197">
        <v>0.58101202010598352</v>
      </c>
      <c r="T77" s="3">
        <v>2031</v>
      </c>
      <c r="U77" s="335">
        <f t="shared" si="24"/>
        <v>1831.6509480755549</v>
      </c>
      <c r="W77" s="3">
        <v>2031</v>
      </c>
      <c r="X77" s="343"/>
      <c r="Y77" s="335">
        <f t="shared" si="25"/>
        <v>447.06271533183491</v>
      </c>
      <c r="AA77" s="3">
        <v>2031</v>
      </c>
      <c r="AB77" s="335">
        <f t="shared" si="22"/>
        <v>839.42259473692707</v>
      </c>
      <c r="AD77" s="3">
        <v>2031</v>
      </c>
      <c r="AE77" s="335">
        <f t="shared" si="26"/>
        <v>545.16563800679296</v>
      </c>
      <c r="AG77" s="3">
        <v>2031</v>
      </c>
      <c r="AH77" s="335">
        <f t="shared" si="23"/>
        <v>340.7189093330968</v>
      </c>
      <c r="AK77" s="3">
        <v>2031</v>
      </c>
      <c r="AL77" s="338">
        <f t="shared" si="27"/>
        <v>0.24407637044686187</v>
      </c>
      <c r="AM77" s="338">
        <f t="shared" si="28"/>
        <v>0.45828742404161449</v>
      </c>
      <c r="AN77" s="338">
        <f t="shared" si="29"/>
        <v>0.29763620551152364</v>
      </c>
    </row>
    <row r="78" spans="2:40" ht="14.4" x14ac:dyDescent="0.55000000000000004">
      <c r="B78" s="3">
        <v>2032</v>
      </c>
      <c r="C78" s="707">
        <f>'Food System Summary'!I30</f>
        <v>903.1527933576632</v>
      </c>
      <c r="E78" s="3">
        <v>2032</v>
      </c>
      <c r="F78" s="335">
        <f t="shared" si="20"/>
        <v>1816.949619876415</v>
      </c>
      <c r="H78" s="3">
        <v>2032</v>
      </c>
      <c r="I78" s="335">
        <f t="shared" si="21"/>
        <v>389.49871380058391</v>
      </c>
      <c r="L78" s="3">
        <v>2032</v>
      </c>
      <c r="M78" s="707">
        <f>Bioplastics!B128</f>
        <v>44.938256591558456</v>
      </c>
      <c r="Q78" s="3">
        <v>2032</v>
      </c>
      <c r="R78" s="1197">
        <v>0.59135687018863792</v>
      </c>
      <c r="T78" s="3">
        <v>2032</v>
      </c>
      <c r="U78" s="335">
        <f t="shared" si="24"/>
        <v>1816.949619876415</v>
      </c>
      <c r="W78" s="3">
        <v>2032</v>
      </c>
      <c r="X78" s="343"/>
      <c r="Y78" s="335">
        <f t="shared" si="25"/>
        <v>416.07326057030184</v>
      </c>
      <c r="AA78" s="3">
        <v>2032</v>
      </c>
      <c r="AB78" s="335">
        <f t="shared" si="22"/>
        <v>842.7701844998943</v>
      </c>
      <c r="AD78" s="3">
        <v>2032</v>
      </c>
      <c r="AE78" s="335">
        <f t="shared" si="26"/>
        <v>558.10617480621875</v>
      </c>
      <c r="AG78" s="3">
        <v>2032</v>
      </c>
      <c r="AH78" s="335">
        <f t="shared" si="23"/>
        <v>342.14109951146872</v>
      </c>
      <c r="AK78" s="3">
        <v>2032</v>
      </c>
      <c r="AL78" s="338">
        <f t="shared" si="27"/>
        <v>0.2289954856308026</v>
      </c>
      <c r="AM78" s="338">
        <f t="shared" si="28"/>
        <v>0.46383794865881733</v>
      </c>
      <c r="AN78" s="338">
        <f t="shared" si="29"/>
        <v>0.30716656571037998</v>
      </c>
    </row>
    <row r="79" spans="2:40" ht="14.4" x14ac:dyDescent="0.55000000000000004">
      <c r="B79" s="3">
        <v>2033</v>
      </c>
      <c r="C79" s="707">
        <f>'Food System Summary'!I31</f>
        <v>962.06392188214033</v>
      </c>
      <c r="E79" s="3">
        <v>2033</v>
      </c>
      <c r="F79" s="335">
        <f t="shared" si="20"/>
        <v>1802.8413549896768</v>
      </c>
      <c r="H79" s="3">
        <v>2033</v>
      </c>
      <c r="I79" s="335">
        <f t="shared" si="21"/>
        <v>353.17932405213412</v>
      </c>
      <c r="L79" s="3">
        <v>2033</v>
      </c>
      <c r="M79" s="707">
        <f>Bioplastics!B129</f>
        <v>56.251882582902908</v>
      </c>
      <c r="Q79" s="3">
        <v>2033</v>
      </c>
      <c r="R79" s="1197">
        <v>0.60144630501269802</v>
      </c>
      <c r="T79" s="3">
        <v>2033</v>
      </c>
      <c r="U79" s="335">
        <f t="shared" si="24"/>
        <v>1802.8413549896768</v>
      </c>
      <c r="W79" s="3">
        <v>2033</v>
      </c>
      <c r="X79" s="343"/>
      <c r="Y79" s="335">
        <f t="shared" si="25"/>
        <v>387.0118109816292</v>
      </c>
      <c r="AA79" s="3">
        <v>2033</v>
      </c>
      <c r="AB79" s="335">
        <f t="shared" si="22"/>
        <v>844.57791953268213</v>
      </c>
      <c r="AD79" s="3">
        <v>2033</v>
      </c>
      <c r="AE79" s="335">
        <f t="shared" si="26"/>
        <v>571.25162447536547</v>
      </c>
      <c r="AG79" s="3">
        <v>2033</v>
      </c>
      <c r="AH79" s="335">
        <f t="shared" si="23"/>
        <v>341.93639947180139</v>
      </c>
      <c r="AK79" s="3">
        <v>2033</v>
      </c>
      <c r="AL79" s="338">
        <f t="shared" si="27"/>
        <v>0.21466770213058778</v>
      </c>
      <c r="AM79" s="338">
        <f t="shared" si="28"/>
        <v>0.46847046036256379</v>
      </c>
      <c r="AN79" s="338">
        <f t="shared" si="29"/>
        <v>0.31686183750684849</v>
      </c>
    </row>
    <row r="80" spans="2:40" ht="14.4" x14ac:dyDescent="0.55000000000000004">
      <c r="B80" s="3">
        <v>2034</v>
      </c>
      <c r="C80" s="707">
        <f>'Food System Summary'!I32</f>
        <v>1020.1766184275621</v>
      </c>
      <c r="E80" s="3">
        <v>2034</v>
      </c>
      <c r="F80" s="335">
        <f t="shared" si="20"/>
        <v>1789.3369483290066</v>
      </c>
      <c r="H80" s="3">
        <v>2034</v>
      </c>
      <c r="I80" s="335">
        <f t="shared" si="21"/>
        <v>317.49335197298319</v>
      </c>
      <c r="L80" s="3">
        <v>2034</v>
      </c>
      <c r="M80" s="707">
        <f>Bioplastics!B130</f>
        <v>69.606543749570847</v>
      </c>
      <c r="Q80" s="3">
        <v>2034</v>
      </c>
      <c r="R80" s="1197">
        <v>0.61128663080336754</v>
      </c>
      <c r="T80" s="3">
        <v>2034</v>
      </c>
      <c r="U80" s="335">
        <f t="shared" si="24"/>
        <v>1789.3369483290066</v>
      </c>
      <c r="W80" s="3">
        <v>2034</v>
      </c>
      <c r="X80" s="343"/>
      <c r="Y80" s="335">
        <f t="shared" si="25"/>
        <v>360.04290158352558</v>
      </c>
      <c r="AA80" s="3">
        <v>2034</v>
      </c>
      <c r="AB80" s="335">
        <f t="shared" si="22"/>
        <v>844.69483477118285</v>
      </c>
      <c r="AD80" s="3">
        <v>2034</v>
      </c>
      <c r="AE80" s="335">
        <f t="shared" si="26"/>
        <v>584.5992119742981</v>
      </c>
      <c r="AG80" s="3">
        <v>2034</v>
      </c>
      <c r="AH80" s="335">
        <f t="shared" si="23"/>
        <v>339.92503755062506</v>
      </c>
      <c r="AK80" s="3">
        <v>2034</v>
      </c>
      <c r="AL80" s="338">
        <f t="shared" si="27"/>
        <v>0.20121582015045064</v>
      </c>
      <c r="AM80" s="338">
        <f t="shared" si="28"/>
        <v>0.47207142039961286</v>
      </c>
      <c r="AN80" s="338">
        <f t="shared" si="29"/>
        <v>0.32671275944993644</v>
      </c>
    </row>
    <row r="81" spans="2:40" ht="14.4" x14ac:dyDescent="0.55000000000000004">
      <c r="B81" s="3">
        <v>2035</v>
      </c>
      <c r="C81" s="707">
        <f>'Food System Summary'!I33</f>
        <v>1077.4914777907713</v>
      </c>
      <c r="E81" s="3">
        <v>2035</v>
      </c>
      <c r="F81" s="335">
        <f t="shared" si="20"/>
        <v>1776.5723549424631</v>
      </c>
      <c r="H81" s="3">
        <v>2035</v>
      </c>
      <c r="I81" s="335">
        <f t="shared" si="21"/>
        <v>282.50945997711483</v>
      </c>
      <c r="L81" s="3">
        <v>2035</v>
      </c>
      <c r="M81" s="707">
        <f>Bioplastics!B131</f>
        <v>85.179082244634628</v>
      </c>
      <c r="Q81" s="3">
        <v>2035</v>
      </c>
      <c r="R81" s="1197">
        <v>0.6208839980845956</v>
      </c>
      <c r="T81" s="3">
        <v>2035</v>
      </c>
      <c r="U81" s="335">
        <f t="shared" si="24"/>
        <v>1776.5723549424631</v>
      </c>
      <c r="W81" s="3">
        <v>2035</v>
      </c>
      <c r="X81" s="343"/>
      <c r="Y81" s="335">
        <f t="shared" si="25"/>
        <v>335.39578911434018</v>
      </c>
      <c r="AA81" s="3">
        <v>2035</v>
      </c>
      <c r="AB81" s="335">
        <f t="shared" si="22"/>
        <v>843.00430795773786</v>
      </c>
      <c r="AD81" s="3">
        <v>2035</v>
      </c>
      <c r="AE81" s="335">
        <f t="shared" si="26"/>
        <v>598.17225787038501</v>
      </c>
      <c r="AG81" s="3">
        <v>2035</v>
      </c>
      <c r="AH81" s="335">
        <f t="shared" si="23"/>
        <v>335.92752238943359</v>
      </c>
      <c r="AK81" s="3">
        <v>2035</v>
      </c>
      <c r="AL81" s="338">
        <f t="shared" si="27"/>
        <v>0.18878813923973417</v>
      </c>
      <c r="AM81" s="338">
        <f t="shared" si="28"/>
        <v>0.47451166602501804</v>
      </c>
      <c r="AN81" s="338">
        <f t="shared" si="29"/>
        <v>0.33670019473524776</v>
      </c>
    </row>
    <row r="82" spans="2:40" ht="14.4" x14ac:dyDescent="0.55000000000000004">
      <c r="B82" s="3">
        <v>2036</v>
      </c>
      <c r="C82" s="707">
        <f>'Food System Summary'!I34</f>
        <v>1134.0055889081186</v>
      </c>
      <c r="E82" s="3">
        <v>2036</v>
      </c>
      <c r="F82" s="335">
        <f t="shared" si="20"/>
        <v>1764.1539531847798</v>
      </c>
      <c r="H82" s="3">
        <v>2036</v>
      </c>
      <c r="I82" s="335">
        <f t="shared" si="21"/>
        <v>248.04563757036271</v>
      </c>
      <c r="L82" s="3">
        <v>2036</v>
      </c>
      <c r="M82" s="707">
        <f>Bioplastics!B132</f>
        <v>103.14634022116661</v>
      </c>
      <c r="Q82" s="3">
        <v>2036</v>
      </c>
      <c r="R82" s="1197">
        <v>0.63024440552335381</v>
      </c>
      <c r="T82" s="3">
        <v>2036</v>
      </c>
      <c r="U82" s="335">
        <f t="shared" si="24"/>
        <v>1764.1539531847798</v>
      </c>
      <c r="W82" s="3">
        <v>2036</v>
      </c>
      <c r="X82" s="343"/>
      <c r="Y82" s="335">
        <f t="shared" si="25"/>
        <v>313.05304144496148</v>
      </c>
      <c r="AA82" s="3">
        <v>2036</v>
      </c>
      <c r="AB82" s="335">
        <f t="shared" si="22"/>
        <v>839.21837325838635</v>
      </c>
      <c r="AD82" s="3">
        <v>2036</v>
      </c>
      <c r="AE82" s="335">
        <f t="shared" si="26"/>
        <v>611.88253848143188</v>
      </c>
      <c r="AG82" s="3">
        <v>2036</v>
      </c>
      <c r="AH82" s="335">
        <f t="shared" si="23"/>
        <v>329.76617057698013</v>
      </c>
      <c r="AK82" s="3">
        <v>2036</v>
      </c>
      <c r="AL82" s="338">
        <f t="shared" si="27"/>
        <v>0.17745222341837866</v>
      </c>
      <c r="AM82" s="338">
        <f t="shared" si="28"/>
        <v>0.47570585987882064</v>
      </c>
      <c r="AN82" s="338">
        <f t="shared" si="29"/>
        <v>0.34684191670280068</v>
      </c>
    </row>
    <row r="83" spans="2:40" ht="14.4" x14ac:dyDescent="0.55000000000000004">
      <c r="B83" s="3">
        <v>2037</v>
      </c>
      <c r="C83" s="707">
        <f>'Food System Summary'!I35</f>
        <v>1189.708015273774</v>
      </c>
      <c r="E83" s="3">
        <v>2037</v>
      </c>
      <c r="F83" s="335">
        <f t="shared" si="20"/>
        <v>1752.5226334505373</v>
      </c>
      <c r="H83" s="3">
        <v>2037</v>
      </c>
      <c r="I83" s="335">
        <f t="shared" si="21"/>
        <v>214.32158559295408</v>
      </c>
      <c r="L83" s="3">
        <v>2037</v>
      </c>
      <c r="M83" s="707">
        <f>Bioplastics!B133</f>
        <v>123.68516001105309</v>
      </c>
      <c r="Q83" s="3">
        <v>2037</v>
      </c>
      <c r="R83" s="1197">
        <v>0.63937370367899826</v>
      </c>
      <c r="T83" s="3">
        <v>2037</v>
      </c>
      <c r="U83" s="335">
        <f t="shared" si="24"/>
        <v>1752.5226334505373</v>
      </c>
      <c r="W83" s="3">
        <v>2037</v>
      </c>
      <c r="X83" s="343"/>
      <c r="Y83" s="335">
        <f t="shared" si="25"/>
        <v>293.40262443935063</v>
      </c>
      <c r="AA83" s="3">
        <v>2037</v>
      </c>
      <c r="AB83" s="335">
        <f t="shared" si="22"/>
        <v>833.30468532301313</v>
      </c>
      <c r="AD83" s="3">
        <v>2037</v>
      </c>
      <c r="AE83" s="335">
        <f t="shared" si="26"/>
        <v>625.81532368817363</v>
      </c>
      <c r="AG83" s="3">
        <v>2037</v>
      </c>
      <c r="AH83" s="335">
        <f t="shared" si="23"/>
        <v>321.26436967445153</v>
      </c>
      <c r="AK83" s="3">
        <v>2037</v>
      </c>
      <c r="AL83" s="338">
        <f t="shared" si="27"/>
        <v>0.16741730967643537</v>
      </c>
      <c r="AM83" s="338">
        <f t="shared" si="28"/>
        <v>0.47548868666096578</v>
      </c>
      <c r="AN83" s="338">
        <f t="shared" si="29"/>
        <v>0.35709400366259891</v>
      </c>
    </row>
    <row r="84" spans="2:40" ht="14.4" x14ac:dyDescent="0.55000000000000004">
      <c r="B84" s="3">
        <v>2038</v>
      </c>
      <c r="C84" s="707">
        <f>'Food System Summary'!I36</f>
        <v>1244.5808091406398</v>
      </c>
      <c r="E84" s="3">
        <v>2038</v>
      </c>
      <c r="F84" s="335">
        <f t="shared" si="20"/>
        <v>1741.5933629892047</v>
      </c>
      <c r="H84" s="3">
        <v>2038</v>
      </c>
      <c r="I84" s="335">
        <f t="shared" si="21"/>
        <v>181.30992840399108</v>
      </c>
      <c r="L84" s="3">
        <v>2038</v>
      </c>
      <c r="M84" s="707">
        <f>Bioplastics!B134</f>
        <v>146.97238382697105</v>
      </c>
      <c r="Q84" s="3">
        <v>2038</v>
      </c>
      <c r="R84" s="1197">
        <v>0.64827759866006029</v>
      </c>
      <c r="T84" s="3">
        <v>2038</v>
      </c>
      <c r="U84" s="335">
        <f t="shared" si="24"/>
        <v>1741.5933629892047</v>
      </c>
      <c r="W84" s="3">
        <v>2038</v>
      </c>
      <c r="X84" s="343"/>
      <c r="Y84" s="335">
        <f t="shared" si="25"/>
        <v>276.58883246068456</v>
      </c>
      <c r="AA84" s="3">
        <v>2038</v>
      </c>
      <c r="AB84" s="335">
        <f t="shared" si="22"/>
        <v>825.05997579372524</v>
      </c>
      <c r="AD84" s="3">
        <v>2038</v>
      </c>
      <c r="AE84" s="335">
        <f t="shared" si="26"/>
        <v>639.94455473479502</v>
      </c>
      <c r="AG84" s="3">
        <v>2038</v>
      </c>
      <c r="AH84" s="335">
        <f t="shared" si="23"/>
        <v>310.24724982864137</v>
      </c>
      <c r="AK84" s="3">
        <v>2038</v>
      </c>
      <c r="AL84" s="338">
        <f t="shared" si="27"/>
        <v>0.15881366933206381</v>
      </c>
      <c r="AM84" s="338">
        <f t="shared" si="28"/>
        <v>0.47373858521005363</v>
      </c>
      <c r="AN84" s="338">
        <f t="shared" si="29"/>
        <v>0.36744774545788261</v>
      </c>
    </row>
    <row r="85" spans="2:40" ht="14.4" x14ac:dyDescent="0.55000000000000004">
      <c r="B85" s="3">
        <v>2039</v>
      </c>
      <c r="C85" s="707">
        <f>'Food System Summary'!I37</f>
        <v>1298.5989513652812</v>
      </c>
      <c r="E85" s="3">
        <v>2039</v>
      </c>
      <c r="F85" s="335">
        <f t="shared" si="20"/>
        <v>1731.4115419071904</v>
      </c>
      <c r="H85" s="3">
        <v>2039</v>
      </c>
      <c r="I85" s="335">
        <f t="shared" si="21"/>
        <v>149.04898648008248</v>
      </c>
      <c r="L85" s="3">
        <v>2039</v>
      </c>
      <c r="M85" s="707">
        <f>Bioplastics!B135</f>
        <v>173.18485388159752</v>
      </c>
      <c r="Q85" s="3">
        <v>2039</v>
      </c>
      <c r="R85" s="1197">
        <v>0.6569616556907496</v>
      </c>
      <c r="T85" s="3">
        <v>2039</v>
      </c>
      <c r="U85" s="335">
        <f t="shared" si="24"/>
        <v>1731.4115419071904</v>
      </c>
      <c r="W85" s="3">
        <v>2039</v>
      </c>
      <c r="X85" s="343"/>
      <c r="Y85" s="335">
        <f t="shared" si="25"/>
        <v>262.82479482669731</v>
      </c>
      <c r="AA85" s="3">
        <v>2039</v>
      </c>
      <c r="AB85" s="335">
        <f t="shared" si="22"/>
        <v>814.31640574274388</v>
      </c>
      <c r="AD85" s="3">
        <v>2039</v>
      </c>
      <c r="AE85" s="335">
        <f t="shared" si="26"/>
        <v>654.27034133774919</v>
      </c>
      <c r="AG85" s="3">
        <v>2039</v>
      </c>
      <c r="AH85" s="335">
        <f t="shared" si="23"/>
        <v>296.54098840026273</v>
      </c>
      <c r="AK85" s="3">
        <v>2039</v>
      </c>
      <c r="AL85" s="338">
        <f t="shared" si="27"/>
        <v>0.15179799167631147</v>
      </c>
      <c r="AM85" s="338">
        <f t="shared" si="28"/>
        <v>0.47031938163341297</v>
      </c>
      <c r="AN85" s="338">
        <f t="shared" si="29"/>
        <v>0.3778826266902755</v>
      </c>
    </row>
    <row r="86" spans="2:40" ht="14.4" x14ac:dyDescent="0.55000000000000004">
      <c r="B86" s="3">
        <v>2040</v>
      </c>
      <c r="C86" s="707">
        <f>'Food System Summary'!I38</f>
        <v>1351.737876405994</v>
      </c>
      <c r="E86" s="3">
        <v>2040</v>
      </c>
      <c r="F86" s="335">
        <f t="shared" si="20"/>
        <v>1718.5303801671398</v>
      </c>
      <c r="H86" s="3">
        <v>2040</v>
      </c>
      <c r="I86" s="335">
        <f t="shared" si="21"/>
        <v>115.90734958822486</v>
      </c>
      <c r="L86" s="3">
        <v>2040</v>
      </c>
      <c r="M86" s="707">
        <f>Bioplastics!B136</f>
        <v>202.49941232800484</v>
      </c>
      <c r="Q86" s="3">
        <v>2040</v>
      </c>
      <c r="R86" s="1197">
        <v>0.66543130258940009</v>
      </c>
      <c r="T86" s="3">
        <v>2040</v>
      </c>
      <c r="U86" s="335">
        <f t="shared" si="24"/>
        <v>1718.5303801671398</v>
      </c>
      <c r="W86" s="3">
        <v>2040</v>
      </c>
      <c r="X86" s="343"/>
      <c r="Y86" s="335">
        <f t="shared" si="25"/>
        <v>250.65679730723716</v>
      </c>
      <c r="AA86" s="3">
        <v>2040</v>
      </c>
      <c r="AB86" s="335">
        <f t="shared" si="22"/>
        <v>799.84020958185033</v>
      </c>
      <c r="AD86" s="3">
        <v>2040</v>
      </c>
      <c r="AE86" s="335">
        <f t="shared" si="26"/>
        <v>668.0333732780523</v>
      </c>
      <c r="AG86" s="3">
        <v>2040</v>
      </c>
      <c r="AH86" s="335">
        <f t="shared" si="23"/>
        <v>279.97674889812521</v>
      </c>
      <c r="AK86" s="3">
        <v>2040</v>
      </c>
      <c r="AL86" s="338">
        <f t="shared" si="27"/>
        <v>0.14585531928906542</v>
      </c>
      <c r="AM86" s="338">
        <f t="shared" si="28"/>
        <v>0.46542104743243468</v>
      </c>
      <c r="AN86" s="338">
        <f t="shared" si="29"/>
        <v>0.3887236332784999</v>
      </c>
    </row>
    <row r="87" spans="2:40" ht="14.4" x14ac:dyDescent="0.55000000000000004">
      <c r="B87" s="3">
        <v>2041</v>
      </c>
      <c r="C87" s="707">
        <f>'Food System Summary'!I39</f>
        <v>1403.9809387413516</v>
      </c>
      <c r="E87" s="3">
        <v>2041</v>
      </c>
      <c r="F87" s="335">
        <f t="shared" si="20"/>
        <v>1713.3428359303962</v>
      </c>
      <c r="H87" s="3">
        <v>2041</v>
      </c>
      <c r="I87" s="335">
        <f t="shared" si="21"/>
        <v>86.864939375386939</v>
      </c>
      <c r="L87" s="3">
        <v>2041</v>
      </c>
      <c r="M87" s="707">
        <f>Bioplastics!B137</f>
        <v>235.09290143847466</v>
      </c>
      <c r="Q87" s="3">
        <v>2041</v>
      </c>
      <c r="R87" s="1197">
        <v>0.67369183316103387</v>
      </c>
      <c r="T87" s="3">
        <v>2041</v>
      </c>
      <c r="U87" s="335">
        <f t="shared" si="24"/>
        <v>1713.3428359303962</v>
      </c>
      <c r="W87" s="3">
        <v>2041</v>
      </c>
      <c r="X87" s="343"/>
      <c r="Y87" s="335">
        <f t="shared" si="25"/>
        <v>245.24510710861918</v>
      </c>
      <c r="AA87" s="3">
        <v>2041</v>
      </c>
      <c r="AB87" s="335">
        <f t="shared" si="22"/>
        <v>784.61027410497218</v>
      </c>
      <c r="AD87" s="3">
        <v>2041</v>
      </c>
      <c r="AE87" s="335">
        <f t="shared" si="26"/>
        <v>683.4874547168049</v>
      </c>
      <c r="AG87" s="3">
        <v>2041</v>
      </c>
      <c r="AH87" s="335">
        <f t="shared" si="23"/>
        <v>260.35906779987533</v>
      </c>
      <c r="AK87" s="3">
        <v>2041</v>
      </c>
      <c r="AL87" s="338">
        <f t="shared" si="27"/>
        <v>0.14313837369007573</v>
      </c>
      <c r="AM87" s="338">
        <f t="shared" si="28"/>
        <v>0.45794119988770693</v>
      </c>
      <c r="AN87" s="338">
        <f t="shared" si="29"/>
        <v>0.39892042642221742</v>
      </c>
    </row>
    <row r="88" spans="2:40" ht="14.4" x14ac:dyDescent="0.55000000000000004">
      <c r="B88" s="3">
        <v>2042</v>
      </c>
      <c r="C88" s="707">
        <f>'Food System Summary'!I40</f>
        <v>1455.3136826508198</v>
      </c>
      <c r="E88" s="3">
        <v>2042</v>
      </c>
      <c r="F88" s="335">
        <f t="shared" si="20"/>
        <v>1704.375774115902</v>
      </c>
      <c r="H88" s="3">
        <v>2042</v>
      </c>
      <c r="I88" s="335">
        <f t="shared" si="21"/>
        <v>56.447477780324789</v>
      </c>
      <c r="L88" s="3">
        <v>2042</v>
      </c>
      <c r="M88" s="707">
        <f>Bioplastics!B138</f>
        <v>271.1421637237072</v>
      </c>
      <c r="Q88" s="3">
        <v>2042</v>
      </c>
      <c r="R88" s="1197">
        <v>0.68174841050616153</v>
      </c>
      <c r="T88" s="3">
        <v>2042</v>
      </c>
      <c r="U88" s="335">
        <f t="shared" si="24"/>
        <v>1704.375774115902</v>
      </c>
      <c r="W88" s="3">
        <v>2042</v>
      </c>
      <c r="X88" s="343"/>
      <c r="Y88" s="335">
        <f t="shared" si="25"/>
        <v>241.29821692016358</v>
      </c>
      <c r="AA88" s="3">
        <v>2042</v>
      </c>
      <c r="AB88" s="335">
        <f t="shared" si="22"/>
        <v>764.95191156423846</v>
      </c>
      <c r="AD88" s="3">
        <v>2042</v>
      </c>
      <c r="AE88" s="335">
        <f t="shared" si="26"/>
        <v>698.12564563149988</v>
      </c>
      <c r="AG88" s="3">
        <v>2042</v>
      </c>
      <c r="AH88" s="335">
        <f t="shared" si="23"/>
        <v>237.52914686439232</v>
      </c>
      <c r="AK88" s="3">
        <v>2042</v>
      </c>
      <c r="AL88" s="338">
        <f t="shared" si="27"/>
        <v>0.14157571386822274</v>
      </c>
      <c r="AM88" s="338">
        <f t="shared" si="28"/>
        <v>0.4488164659351816</v>
      </c>
      <c r="AN88" s="338">
        <f t="shared" si="29"/>
        <v>0.40960782019659564</v>
      </c>
    </row>
    <row r="89" spans="2:40" ht="14.4" x14ac:dyDescent="0.55000000000000004">
      <c r="B89" s="3">
        <v>2043</v>
      </c>
      <c r="C89" s="707">
        <f>'Food System Summary'!I41</f>
        <v>1505.7136306113343</v>
      </c>
      <c r="E89" s="3">
        <v>2043</v>
      </c>
      <c r="F89" s="335">
        <f t="shared" si="20"/>
        <v>1696.3209971638821</v>
      </c>
      <c r="H89" s="3">
        <v>2043</v>
      </c>
      <c r="I89" s="335">
        <f t="shared" si="21"/>
        <v>26.912449668040381</v>
      </c>
      <c r="L89" s="3">
        <v>2043</v>
      </c>
      <c r="M89" s="707">
        <f>Bioplastics!B139</f>
        <v>310.82404085993767</v>
      </c>
      <c r="Q89" s="3">
        <v>2043</v>
      </c>
      <c r="R89" s="1197">
        <v>0.68960607024788745</v>
      </c>
      <c r="T89" s="3">
        <v>2043</v>
      </c>
      <c r="U89" s="335">
        <f t="shared" si="24"/>
        <v>1696.3209971638821</v>
      </c>
      <c r="W89" s="3">
        <v>2043</v>
      </c>
      <c r="X89" s="343"/>
      <c r="Y89" s="335">
        <f t="shared" si="25"/>
        <v>241.2585950240308</v>
      </c>
      <c r="AA89" s="3">
        <v>2043</v>
      </c>
      <c r="AB89" s="335">
        <f t="shared" si="22"/>
        <v>742.10159796046742</v>
      </c>
      <c r="AD89" s="3">
        <v>2043</v>
      </c>
      <c r="AE89" s="335">
        <f t="shared" si="26"/>
        <v>712.96080417938379</v>
      </c>
      <c r="AG89" s="3">
        <v>2043</v>
      </c>
      <c r="AH89" s="335">
        <f t="shared" si="23"/>
        <v>211.30099378014825</v>
      </c>
      <c r="AK89" s="3">
        <v>2043</v>
      </c>
      <c r="AL89" s="338">
        <f t="shared" si="27"/>
        <v>0.14222461163152289</v>
      </c>
      <c r="AM89" s="338">
        <f t="shared" si="28"/>
        <v>0.43747710439309778</v>
      </c>
      <c r="AN89" s="338">
        <f t="shared" si="29"/>
        <v>0.42029828397537922</v>
      </c>
    </row>
    <row r="90" spans="2:40" ht="14.4" x14ac:dyDescent="0.55000000000000004">
      <c r="B90" s="3">
        <v>2044</v>
      </c>
      <c r="C90" s="707">
        <f>'Food System Summary'!I42</f>
        <v>1555.1563748760873</v>
      </c>
      <c r="E90" s="3">
        <v>2044</v>
      </c>
      <c r="F90" s="335">
        <f t="shared" si="20"/>
        <v>1689.2283359345715</v>
      </c>
      <c r="H90" s="3">
        <v>2044</v>
      </c>
      <c r="I90" s="335">
        <f t="shared" si="21"/>
        <v>-1.7007638724107892</v>
      </c>
      <c r="L90" s="3">
        <v>2044</v>
      </c>
      <c r="M90" s="707">
        <f>Bioplastics!B140</f>
        <v>354.31537553668022</v>
      </c>
      <c r="Q90" s="3">
        <v>2044</v>
      </c>
      <c r="R90" s="1197">
        <v>0.69726972367933859</v>
      </c>
      <c r="T90" s="3">
        <v>2044</v>
      </c>
      <c r="U90" s="335">
        <f t="shared" si="24"/>
        <v>1689.2283359345715</v>
      </c>
      <c r="W90" s="3">
        <v>2044</v>
      </c>
      <c r="X90" s="343"/>
      <c r="Y90" s="335">
        <f t="shared" si="25"/>
        <v>245.35262012339132</v>
      </c>
      <c r="AA90" s="3">
        <v>2044</v>
      </c>
      <c r="AB90" s="335">
        <f t="shared" si="22"/>
        <v>715.87999817280206</v>
      </c>
      <c r="AD90" s="3">
        <v>2044</v>
      </c>
      <c r="AE90" s="335">
        <f t="shared" si="26"/>
        <v>727.99571763837821</v>
      </c>
      <c r="AG90" s="3">
        <v>2044</v>
      </c>
      <c r="AH90" s="335">
        <f t="shared" si="23"/>
        <v>181.49621686071168</v>
      </c>
      <c r="AK90" s="3">
        <v>2044</v>
      </c>
      <c r="AL90" s="338">
        <f t="shared" si="27"/>
        <v>0.14524538506965615</v>
      </c>
      <c r="AM90" s="338">
        <f t="shared" si="28"/>
        <v>0.42379113761239323</v>
      </c>
      <c r="AN90" s="338">
        <f t="shared" si="29"/>
        <v>0.43096347731795065</v>
      </c>
    </row>
    <row r="91" spans="2:40" ht="14.4" x14ac:dyDescent="0.55000000000000004">
      <c r="B91" s="3">
        <v>2045</v>
      </c>
      <c r="C91" s="707">
        <f>'Food System Summary'!I43</f>
        <v>1603.6179945399454</v>
      </c>
      <c r="E91" s="3">
        <v>2045</v>
      </c>
      <c r="F91" s="335">
        <f t="shared" si="20"/>
        <v>1683.2529166095046</v>
      </c>
      <c r="H91" s="3">
        <v>2045</v>
      </c>
      <c r="I91" s="335">
        <f t="shared" si="21"/>
        <v>-29.302760604851301</v>
      </c>
      <c r="L91" s="3">
        <v>2045</v>
      </c>
      <c r="M91" s="707">
        <f>Bioplastics!B141</f>
        <v>401.79300984740257</v>
      </c>
      <c r="Q91" s="3">
        <v>2045</v>
      </c>
      <c r="R91" s="1197">
        <v>0.70474416083338287</v>
      </c>
      <c r="T91" s="3">
        <v>2045</v>
      </c>
      <c r="U91" s="335">
        <f t="shared" si="24"/>
        <v>1683.2529166095046</v>
      </c>
      <c r="W91" s="3">
        <v>2045</v>
      </c>
      <c r="X91" s="343"/>
      <c r="Y91" s="335">
        <f t="shared" si="25"/>
        <v>253.85851694877556</v>
      </c>
      <c r="AA91" s="3">
        <v>2045</v>
      </c>
      <c r="AB91" s="335">
        <f t="shared" si="22"/>
        <v>686.13695414434653</v>
      </c>
      <c r="AD91" s="3">
        <v>2045</v>
      </c>
      <c r="AE91" s="335">
        <f t="shared" si="26"/>
        <v>743.25744551638252</v>
      </c>
      <c r="AG91" s="3">
        <v>2045</v>
      </c>
      <c r="AH91" s="335">
        <f t="shared" si="23"/>
        <v>147.93612598819675</v>
      </c>
      <c r="AK91" s="3">
        <v>2045</v>
      </c>
      <c r="AL91" s="338">
        <f t="shared" si="27"/>
        <v>0.15081424451657008</v>
      </c>
      <c r="AM91" s="338">
        <f t="shared" si="28"/>
        <v>0.40762558458915327</v>
      </c>
      <c r="AN91" s="338">
        <f t="shared" si="29"/>
        <v>0.44156017089427668</v>
      </c>
    </row>
    <row r="92" spans="2:40" ht="14.4" x14ac:dyDescent="0.55000000000000004">
      <c r="B92" s="3">
        <v>2046</v>
      </c>
      <c r="C92" s="707">
        <f>'Food System Summary'!I44</f>
        <v>1651.0783418580638</v>
      </c>
      <c r="E92" s="3">
        <v>2046</v>
      </c>
      <c r="F92" s="335">
        <f t="shared" si="20"/>
        <v>1678.0087484686062</v>
      </c>
      <c r="H92" s="3">
        <v>2046</v>
      </c>
      <c r="I92" s="335">
        <f t="shared" si="21"/>
        <v>-56.065453476302082</v>
      </c>
      <c r="L92" s="3">
        <v>2046</v>
      </c>
      <c r="M92" s="707">
        <f>Bioplastics!B142</f>
        <v>453.43378600478172</v>
      </c>
      <c r="Q92" s="3">
        <v>2046</v>
      </c>
      <c r="R92" s="1197">
        <v>0.71203405347655502</v>
      </c>
      <c r="T92" s="3">
        <v>2046</v>
      </c>
      <c r="U92" s="335">
        <f t="shared" si="24"/>
        <v>1678.0087484686062</v>
      </c>
      <c r="W92" s="3">
        <v>2046</v>
      </c>
      <c r="X92" s="343"/>
      <c r="Y92" s="335">
        <f t="shared" si="25"/>
        <v>266.79484315590349</v>
      </c>
      <c r="AA92" s="3">
        <v>2046</v>
      </c>
      <c r="AB92" s="335">
        <f t="shared" si="22"/>
        <v>652.56222083350917</v>
      </c>
      <c r="AD92" s="3">
        <v>2046</v>
      </c>
      <c r="AE92" s="335">
        <f t="shared" si="26"/>
        <v>758.65168447919359</v>
      </c>
      <c r="AG92" s="3">
        <v>2046</v>
      </c>
      <c r="AH92" s="335">
        <f t="shared" si="23"/>
        <v>110.44264323944503</v>
      </c>
      <c r="AK92" s="3">
        <v>2046</v>
      </c>
      <c r="AL92" s="338">
        <f t="shared" si="27"/>
        <v>0.15899490595587615</v>
      </c>
      <c r="AM92" s="338">
        <f t="shared" si="28"/>
        <v>0.3888908335126704</v>
      </c>
      <c r="AN92" s="338">
        <f t="shared" si="29"/>
        <v>0.45211426053145348</v>
      </c>
    </row>
    <row r="93" spans="2:40" ht="14.4" x14ac:dyDescent="0.55000000000000004">
      <c r="B93" s="3">
        <v>2047</v>
      </c>
      <c r="C93" s="707">
        <f>'Food System Summary'!I45</f>
        <v>1697.5180402540411</v>
      </c>
      <c r="E93" s="3">
        <v>2047</v>
      </c>
      <c r="F93" s="335">
        <f t="shared" si="20"/>
        <v>1673.5636460462922</v>
      </c>
      <c r="H93" s="3">
        <v>2047</v>
      </c>
      <c r="I93" s="335">
        <f t="shared" si="21"/>
        <v>-81.944055103683922</v>
      </c>
      <c r="L93" s="3">
        <v>2047</v>
      </c>
      <c r="M93" s="707">
        <f>Bioplastics!B143</f>
        <v>509.41454616189003</v>
      </c>
      <c r="Q93" s="3">
        <v>2047</v>
      </c>
      <c r="R93" s="1197">
        <v>0.71914395802906339</v>
      </c>
      <c r="T93" s="3">
        <v>2047</v>
      </c>
      <c r="U93" s="335">
        <f t="shared" si="24"/>
        <v>1673.5636460462922</v>
      </c>
      <c r="W93" s="3">
        <v>2047</v>
      </c>
      <c r="X93" s="343"/>
      <c r="Y93" s="335">
        <f t="shared" si="25"/>
        <v>284.3983379007567</v>
      </c>
      <c r="AA93" s="3">
        <v>2047</v>
      </c>
      <c r="AB93" s="335">
        <f t="shared" si="22"/>
        <v>614.97948587758685</v>
      </c>
      <c r="AD93" s="3">
        <v>2047</v>
      </c>
      <c r="AE93" s="335">
        <f t="shared" si="26"/>
        <v>774.18582226794877</v>
      </c>
      <c r="AG93" s="3">
        <v>2047</v>
      </c>
      <c r="AH93" s="335">
        <f t="shared" si="23"/>
        <v>68.83758747565912</v>
      </c>
      <c r="AK93" s="3">
        <v>2047</v>
      </c>
      <c r="AL93" s="338">
        <f t="shared" si="27"/>
        <v>0.16993577661216119</v>
      </c>
      <c r="AM93" s="338">
        <f t="shared" si="28"/>
        <v>0.36746704395165619</v>
      </c>
      <c r="AN93" s="338">
        <f t="shared" si="29"/>
        <v>0.46259717943618267</v>
      </c>
    </row>
    <row r="94" spans="2:40" ht="14.4" x14ac:dyDescent="0.55000000000000004">
      <c r="B94" s="3">
        <v>2048</v>
      </c>
      <c r="C94" s="707">
        <f>'Food System Summary'!I46</f>
        <v>1742.9147927106048</v>
      </c>
      <c r="E94" s="3">
        <v>2048</v>
      </c>
      <c r="F94" s="335">
        <f t="shared" si="20"/>
        <v>1670.0231483593518</v>
      </c>
      <c r="H94" s="3">
        <v>2048</v>
      </c>
      <c r="I94" s="335">
        <f t="shared" si="21"/>
        <v>-106.87428225827716</v>
      </c>
      <c r="L94" s="3">
        <v>2048</v>
      </c>
      <c r="M94" s="707">
        <f>Bioplastics!B144</f>
        <v>569.91213259100914</v>
      </c>
      <c r="Q94" s="3">
        <v>2048</v>
      </c>
      <c r="R94" s="1197">
        <v>0.7260783184127001</v>
      </c>
      <c r="T94" s="3">
        <v>2048</v>
      </c>
      <c r="U94" s="335">
        <f t="shared" si="24"/>
        <v>1670.0231483593518</v>
      </c>
      <c r="W94" s="3">
        <v>2048</v>
      </c>
      <c r="X94" s="343"/>
      <c r="Y94" s="335">
        <f t="shared" si="25"/>
        <v>306.92656061639855</v>
      </c>
      <c r="AA94" s="3">
        <v>2048</v>
      </c>
      <c r="AB94" s="335">
        <f t="shared" si="22"/>
        <v>573.22080968275623</v>
      </c>
      <c r="AD94" s="3">
        <v>2048</v>
      </c>
      <c r="AE94" s="335">
        <f t="shared" si="26"/>
        <v>789.87577806019704</v>
      </c>
      <c r="AG94" s="3">
        <v>2048</v>
      </c>
      <c r="AH94" s="335">
        <f t="shared" si="23"/>
        <v>22.942349704104004</v>
      </c>
      <c r="AK94" s="3">
        <v>2048</v>
      </c>
      <c r="AL94" s="338">
        <f t="shared" si="27"/>
        <v>0.1837858121415421</v>
      </c>
      <c r="AM94" s="338">
        <f t="shared" si="28"/>
        <v>0.34324123605465851</v>
      </c>
      <c r="AN94" s="338">
        <f t="shared" si="29"/>
        <v>0.47297295180379939</v>
      </c>
    </row>
    <row r="95" spans="2:40" ht="14.4" x14ac:dyDescent="0.55000000000000004">
      <c r="B95" s="3">
        <v>2049</v>
      </c>
      <c r="C95" s="707">
        <f>'Food System Summary'!I47</f>
        <v>1787.2460122358477</v>
      </c>
      <c r="E95" s="3">
        <v>2049</v>
      </c>
      <c r="F95" s="335">
        <f t="shared" si="20"/>
        <v>1667.4170114903643</v>
      </c>
      <c r="H95" s="3">
        <v>2049</v>
      </c>
      <c r="I95" s="335">
        <f t="shared" si="21"/>
        <v>-130.8281295015413</v>
      </c>
      <c r="L95" s="3">
        <v>2049</v>
      </c>
      <c r="M95" s="707">
        <f>Bioplastics!B145</f>
        <v>635.1033875644207</v>
      </c>
      <c r="Q95" s="3">
        <v>2049</v>
      </c>
      <c r="R95" s="1197">
        <v>0.73284146882843759</v>
      </c>
      <c r="T95" s="3">
        <v>2049</v>
      </c>
      <c r="U95" s="335">
        <f t="shared" si="24"/>
        <v>1667.4170114903643</v>
      </c>
      <c r="W95" s="3">
        <v>2049</v>
      </c>
      <c r="X95" s="343"/>
      <c r="Y95" s="335">
        <f t="shared" si="25"/>
        <v>334.60196989908525</v>
      </c>
      <c r="AA95" s="3">
        <v>2049</v>
      </c>
      <c r="AB95" s="335">
        <f t="shared" si="22"/>
        <v>527.09458731591451</v>
      </c>
      <c r="AD95" s="3">
        <v>2049</v>
      </c>
      <c r="AE95" s="335">
        <f t="shared" si="26"/>
        <v>805.72045427536466</v>
      </c>
      <c r="AG95" s="3">
        <v>2049</v>
      </c>
      <c r="AH95" s="335">
        <f t="shared" si="23"/>
        <v>-27.421536196781631</v>
      </c>
      <c r="AK95" s="3">
        <v>2049</v>
      </c>
      <c r="AL95" s="338">
        <f t="shared" si="27"/>
        <v>0.20067083854446979</v>
      </c>
      <c r="AM95" s="338">
        <f t="shared" si="28"/>
        <v>0.3161144354913285</v>
      </c>
      <c r="AN95" s="338">
        <f t="shared" si="29"/>
        <v>0.48321472596420179</v>
      </c>
    </row>
    <row r="96" spans="2:40" ht="14.4" x14ac:dyDescent="0.55000000000000004">
      <c r="B96" s="3">
        <v>2050</v>
      </c>
      <c r="C96" s="707">
        <f>'Food System Summary'!I48</f>
        <v>1830.4907458192276</v>
      </c>
      <c r="E96" s="3">
        <v>2050</v>
      </c>
      <c r="F96" s="335">
        <f t="shared" si="20"/>
        <v>1665.0808156836194</v>
      </c>
      <c r="H96" s="3">
        <v>2050</v>
      </c>
      <c r="I96" s="335">
        <f t="shared" si="21"/>
        <v>-154.11147421813598</v>
      </c>
      <c r="L96" s="3">
        <v>2050</v>
      </c>
      <c r="M96" s="707">
        <f>Bioplastics!B146</f>
        <v>705.16515335440636</v>
      </c>
      <c r="Q96" s="3">
        <v>2050</v>
      </c>
      <c r="R96" s="1197">
        <v>0.7394376364654448</v>
      </c>
      <c r="T96" s="3">
        <v>2050</v>
      </c>
      <c r="U96" s="335">
        <f t="shared" si="24"/>
        <v>1665.0808156836194</v>
      </c>
      <c r="W96" s="3">
        <v>2050</v>
      </c>
      <c r="X96" s="343"/>
      <c r="Y96" s="335">
        <f t="shared" si="25"/>
        <v>367.31418009603919</v>
      </c>
      <c r="AA96" s="3">
        <v>2050</v>
      </c>
      <c r="AB96" s="335">
        <f t="shared" si="22"/>
        <v>476.21046933873777</v>
      </c>
      <c r="AD96" s="3">
        <v>2050</v>
      </c>
      <c r="AE96" s="335">
        <f t="shared" si="26"/>
        <v>821.5561662488426</v>
      </c>
      <c r="AG96" s="3">
        <v>2050</v>
      </c>
      <c r="AH96" s="335">
        <f t="shared" si="23"/>
        <v>-83.472407562743115</v>
      </c>
      <c r="AK96" s="3">
        <v>2050</v>
      </c>
      <c r="AL96" s="338">
        <f t="shared" si="27"/>
        <v>0.22059840978062908</v>
      </c>
      <c r="AM96" s="338">
        <f t="shared" si="28"/>
        <v>0.28599841212104993</v>
      </c>
      <c r="AN96" s="338">
        <f t="shared" si="29"/>
        <v>0.49340317809832107</v>
      </c>
    </row>
    <row r="97" spans="1:46" ht="14.4" x14ac:dyDescent="0.55000000000000004">
      <c r="B97" s="3">
        <v>2051</v>
      </c>
      <c r="C97" s="707">
        <f>'Food System Summary'!I49</f>
        <v>1840.8320069031854</v>
      </c>
      <c r="E97" s="3">
        <v>2051</v>
      </c>
      <c r="F97" s="335">
        <f t="shared" si="20"/>
        <v>1696.9163421581281</v>
      </c>
      <c r="H97" s="3">
        <v>2051</v>
      </c>
      <c r="I97" s="335">
        <f t="shared" si="21"/>
        <v>-143.90578352663579</v>
      </c>
      <c r="L97" s="3">
        <v>2051</v>
      </c>
      <c r="M97" s="707">
        <f>Bioplastics!B147</f>
        <v>780.2742722928524</v>
      </c>
      <c r="Q97" s="3">
        <v>2051</v>
      </c>
      <c r="R97" s="1197">
        <v>0.7432277927881854</v>
      </c>
      <c r="T97" s="3">
        <v>2051</v>
      </c>
      <c r="U97" s="335">
        <f t="shared" si="24"/>
        <v>1696.9163421581281</v>
      </c>
      <c r="W97" s="3">
        <v>2051</v>
      </c>
      <c r="X97" s="343"/>
      <c r="Y97" s="335">
        <f t="shared" si="25"/>
        <v>436.01574163898852</v>
      </c>
      <c r="AA97" s="3">
        <v>2051</v>
      </c>
      <c r="AB97" s="335">
        <f t="shared" si="22"/>
        <v>423.03013179325842</v>
      </c>
      <c r="AD97" s="3">
        <v>2051</v>
      </c>
      <c r="AE97" s="335">
        <f t="shared" si="26"/>
        <v>837.8704687258811</v>
      </c>
      <c r="AG97" s="3">
        <v>2051</v>
      </c>
      <c r="AH97" s="335">
        <f t="shared" si="23"/>
        <v>-142.26987014028305</v>
      </c>
      <c r="AK97" s="3">
        <v>2051</v>
      </c>
      <c r="AL97" s="338">
        <f t="shared" si="27"/>
        <v>0.2569459264470671</v>
      </c>
      <c r="AM97" s="338">
        <f t="shared" si="28"/>
        <v>0.24929345147047804</v>
      </c>
      <c r="AN97" s="338">
        <f t="shared" si="29"/>
        <v>0.4937606220824548</v>
      </c>
    </row>
    <row r="98" spans="1:46" ht="14.4" x14ac:dyDescent="0.55000000000000004">
      <c r="B98" s="3">
        <v>2052</v>
      </c>
      <c r="C98" s="707">
        <f>'Food System Summary'!I50</f>
        <v>1850.9542710319449</v>
      </c>
      <c r="E98" s="3">
        <v>2052</v>
      </c>
      <c r="F98" s="335">
        <f t="shared" si="20"/>
        <v>1728.1686588895634</v>
      </c>
      <c r="H98" s="3">
        <v>2052</v>
      </c>
      <c r="I98" s="335">
        <f t="shared" si="21"/>
        <v>-133.88684270987687</v>
      </c>
      <c r="L98" s="3">
        <v>2052</v>
      </c>
      <c r="M98" s="707">
        <f>Bioplastics!B148</f>
        <v>784</v>
      </c>
      <c r="Q98" s="3">
        <v>2052</v>
      </c>
      <c r="R98" s="1197">
        <v>0.74865445113542495</v>
      </c>
      <c r="T98" s="3">
        <v>2052</v>
      </c>
      <c r="U98" s="335">
        <f t="shared" si="24"/>
        <v>1728.1686588895634</v>
      </c>
      <c r="W98" s="3">
        <v>2052</v>
      </c>
      <c r="X98" s="343"/>
      <c r="Y98" s="335">
        <f t="shared" si="25"/>
        <v>453.0582469802963</v>
      </c>
      <c r="AA98" s="3">
        <v>2052</v>
      </c>
      <c r="AB98" s="335">
        <f t="shared" si="22"/>
        <v>420.93592737572385</v>
      </c>
      <c r="AD98" s="3">
        <v>2052</v>
      </c>
      <c r="AE98" s="335">
        <f t="shared" si="26"/>
        <v>854.17448453354314</v>
      </c>
      <c r="AG98" s="3">
        <v>2052</v>
      </c>
      <c r="AH98" s="335">
        <f t="shared" si="23"/>
        <v>-130.50469274026398</v>
      </c>
      <c r="AK98" s="3">
        <v>2052</v>
      </c>
      <c r="AL98" s="338">
        <f t="shared" si="27"/>
        <v>0.26216089769352102</v>
      </c>
      <c r="AM98" s="338">
        <f t="shared" si="28"/>
        <v>0.2435734065714377</v>
      </c>
      <c r="AN98" s="338">
        <f t="shared" si="29"/>
        <v>0.4942656957350412</v>
      </c>
    </row>
    <row r="99" spans="1:46" ht="14.4" x14ac:dyDescent="0.55000000000000004">
      <c r="B99" s="3">
        <v>2053</v>
      </c>
      <c r="C99" s="707">
        <f>'Food System Summary'!I51</f>
        <v>1860.8558980619093</v>
      </c>
      <c r="E99" s="3">
        <v>2053</v>
      </c>
      <c r="F99" s="335">
        <f t="shared" si="20"/>
        <v>1759.5391169691195</v>
      </c>
      <c r="H99" s="3">
        <v>2053</v>
      </c>
      <c r="I99" s="335">
        <f t="shared" si="21"/>
        <v>-123.71593255929338</v>
      </c>
      <c r="L99" s="3">
        <v>2053</v>
      </c>
      <c r="M99" s="707">
        <f>Bioplastics!B149</f>
        <v>784</v>
      </c>
      <c r="Q99" s="3">
        <v>2053</v>
      </c>
      <c r="R99" s="1197">
        <v>0.75382368813664513</v>
      </c>
      <c r="T99" s="3">
        <v>2053</v>
      </c>
      <c r="U99" s="335">
        <f t="shared" si="24"/>
        <v>1759.5391169691195</v>
      </c>
      <c r="W99" s="3">
        <v>2053</v>
      </c>
      <c r="X99" s="343"/>
      <c r="Y99" s="335">
        <f t="shared" si="25"/>
        <v>467.28183893983646</v>
      </c>
      <c r="AA99" s="3">
        <v>2053</v>
      </c>
      <c r="AB99" s="335">
        <f t="shared" si="22"/>
        <v>421.6267142050491</v>
      </c>
      <c r="AD99" s="3">
        <v>2053</v>
      </c>
      <c r="AE99" s="335">
        <f t="shared" si="26"/>
        <v>870.63056382423395</v>
      </c>
      <c r="AG99" s="3">
        <v>2053</v>
      </c>
      <c r="AH99" s="335">
        <f t="shared" si="23"/>
        <v>-114.79716446145778</v>
      </c>
      <c r="AK99" s="3">
        <v>2053</v>
      </c>
      <c r="AL99" s="338">
        <f t="shared" si="27"/>
        <v>0.26557058858955584</v>
      </c>
      <c r="AM99" s="338">
        <f t="shared" si="28"/>
        <v>0.23962338213390727</v>
      </c>
      <c r="AN99" s="338">
        <f t="shared" si="29"/>
        <v>0.49480602927653683</v>
      </c>
    </row>
    <row r="100" spans="1:46" ht="14.4" x14ac:dyDescent="0.55000000000000004">
      <c r="B100" s="3">
        <v>2054</v>
      </c>
      <c r="C100" s="707">
        <f>'Food System Summary'!I52</f>
        <v>1870.5362262122635</v>
      </c>
      <c r="E100" s="3">
        <v>2054</v>
      </c>
      <c r="F100" s="335">
        <f t="shared" si="20"/>
        <v>1791.0355472682882</v>
      </c>
      <c r="H100" s="3">
        <v>2054</v>
      </c>
      <c r="I100" s="335">
        <f t="shared" si="21"/>
        <v>-113.38753698946584</v>
      </c>
      <c r="L100" s="3">
        <v>2054</v>
      </c>
      <c r="M100" s="707">
        <f>Bioplastics!B150</f>
        <v>784</v>
      </c>
      <c r="Q100" s="3">
        <v>2054</v>
      </c>
      <c r="R100" s="1197">
        <v>0.75873550379184596</v>
      </c>
      <c r="T100" s="3">
        <v>2054</v>
      </c>
      <c r="U100" s="335">
        <f t="shared" si="24"/>
        <v>1791.0355472682882</v>
      </c>
      <c r="W100" s="3">
        <v>2054</v>
      </c>
      <c r="X100" s="343"/>
      <c r="Y100" s="335">
        <f t="shared" si="25"/>
        <v>481.46109798334135</v>
      </c>
      <c r="AA100" s="3">
        <v>2054</v>
      </c>
      <c r="AB100" s="335">
        <f t="shared" si="22"/>
        <v>422.33600370009026</v>
      </c>
      <c r="AD100" s="3">
        <v>2054</v>
      </c>
      <c r="AE100" s="335">
        <f t="shared" si="26"/>
        <v>887.23844558485644</v>
      </c>
      <c r="AG100" s="3">
        <v>2054</v>
      </c>
      <c r="AH100" s="335">
        <f t="shared" si="23"/>
        <v>-98.875522938616427</v>
      </c>
      <c r="AK100" s="3">
        <v>2054</v>
      </c>
      <c r="AL100" s="338">
        <f t="shared" si="27"/>
        <v>0.26881716486178758</v>
      </c>
      <c r="AM100" s="338">
        <f t="shared" si="28"/>
        <v>0.23580548378520064</v>
      </c>
      <c r="AN100" s="338">
        <f t="shared" si="29"/>
        <v>0.49537735135301175</v>
      </c>
    </row>
    <row r="101" spans="1:46" ht="14.4" x14ac:dyDescent="0.55000000000000004">
      <c r="B101" s="3">
        <v>2055</v>
      </c>
      <c r="C101" s="707">
        <f>'Food System Summary'!I53</f>
        <v>1879.9962974121656</v>
      </c>
      <c r="E101" s="3">
        <v>2055</v>
      </c>
      <c r="F101" s="335">
        <f t="shared" si="20"/>
        <v>1822.6640769485828</v>
      </c>
      <c r="H101" s="3">
        <v>2055</v>
      </c>
      <c r="I101" s="335">
        <f t="shared" si="21"/>
        <v>-102.89793878655269</v>
      </c>
      <c r="L101" s="3">
        <v>2055</v>
      </c>
      <c r="M101" s="707">
        <f>Bioplastics!B151</f>
        <v>784</v>
      </c>
      <c r="Q101" s="3">
        <v>2055</v>
      </c>
      <c r="R101" s="1197">
        <v>0.76338989810102742</v>
      </c>
      <c r="T101" s="3">
        <v>2055</v>
      </c>
      <c r="U101" s="335">
        <f t="shared" si="24"/>
        <v>1822.6640769485828</v>
      </c>
      <c r="W101" s="3">
        <v>2055</v>
      </c>
      <c r="X101" s="343"/>
      <c r="Y101" s="335">
        <f t="shared" si="25"/>
        <v>495.59974132465277</v>
      </c>
      <c r="AA101" s="3">
        <v>2055</v>
      </c>
      <c r="AB101" s="335">
        <f t="shared" si="22"/>
        <v>423.06631717492519</v>
      </c>
      <c r="AD101" s="3">
        <v>2055</v>
      </c>
      <c r="AE101" s="335">
        <f t="shared" si="26"/>
        <v>903.9980184490048</v>
      </c>
      <c r="AG101" s="3">
        <v>2055</v>
      </c>
      <c r="AH101" s="335">
        <f t="shared" si="23"/>
        <v>-82.742290165321833</v>
      </c>
      <c r="AK101" s="3">
        <v>2055</v>
      </c>
      <c r="AL101" s="338">
        <f t="shared" si="27"/>
        <v>0.27190953483560293</v>
      </c>
      <c r="AM101" s="338">
        <f t="shared" si="28"/>
        <v>0.2321142565574687</v>
      </c>
      <c r="AN101" s="338">
        <f t="shared" si="29"/>
        <v>0.49597620860692837</v>
      </c>
    </row>
    <row r="102" spans="1:46" ht="14.4" x14ac:dyDescent="0.55000000000000004">
      <c r="B102" s="3">
        <v>2056</v>
      </c>
      <c r="C102" s="707">
        <f>'Food System Summary'!I54</f>
        <v>1889.2366548878722</v>
      </c>
      <c r="E102" s="3">
        <v>2056</v>
      </c>
      <c r="F102" s="335">
        <f t="shared" si="20"/>
        <v>1854.4313318744212</v>
      </c>
      <c r="H102" s="3">
        <v>2056</v>
      </c>
      <c r="I102" s="335">
        <f t="shared" si="21"/>
        <v>-92.243011665073482</v>
      </c>
      <c r="L102" s="3">
        <v>2056</v>
      </c>
      <c r="M102" s="707">
        <f>Bioplastics!B152</f>
        <v>784</v>
      </c>
      <c r="Q102" s="3">
        <v>2056</v>
      </c>
      <c r="R102" s="1197">
        <v>0.76778687106418952</v>
      </c>
      <c r="T102" s="3">
        <v>2056</v>
      </c>
      <c r="U102" s="335">
        <f t="shared" si="24"/>
        <v>1854.4313318744212</v>
      </c>
      <c r="W102" s="3">
        <v>2056</v>
      </c>
      <c r="X102" s="343"/>
      <c r="Y102" s="335">
        <f t="shared" si="25"/>
        <v>509.70189524925115</v>
      </c>
      <c r="AA102" s="3">
        <v>2056</v>
      </c>
      <c r="AB102" s="335">
        <f t="shared" si="22"/>
        <v>423.82012145854367</v>
      </c>
      <c r="AD102" s="3">
        <v>2056</v>
      </c>
      <c r="AE102" s="335">
        <f t="shared" si="26"/>
        <v>920.90931516662624</v>
      </c>
      <c r="AG102" s="3">
        <v>2056</v>
      </c>
      <c r="AH102" s="335">
        <f t="shared" si="23"/>
        <v>-66.399781925734032</v>
      </c>
      <c r="AK102" s="3">
        <v>2056</v>
      </c>
      <c r="AL102" s="338">
        <f t="shared" si="27"/>
        <v>0.27485617099343057</v>
      </c>
      <c r="AM102" s="338">
        <f t="shared" si="28"/>
        <v>0.22854452153273044</v>
      </c>
      <c r="AN102" s="338">
        <f t="shared" si="29"/>
        <v>0.4965993074738389</v>
      </c>
    </row>
    <row r="103" spans="1:46" ht="14.4" x14ac:dyDescent="0.55000000000000004">
      <c r="B103" s="3">
        <v>2057</v>
      </c>
      <c r="C103" s="707">
        <f>'Food System Summary'!I55</f>
        <v>1898.2617413182552</v>
      </c>
      <c r="E103" s="3">
        <v>2057</v>
      </c>
      <c r="F103" s="335">
        <f t="shared" si="20"/>
        <v>1886.3400384576048</v>
      </c>
      <c r="H103" s="3">
        <v>2057</v>
      </c>
      <c r="I103" s="335">
        <f t="shared" si="21"/>
        <v>-81.422613092081065</v>
      </c>
      <c r="L103" s="3">
        <v>2057</v>
      </c>
      <c r="M103" s="707">
        <f>Bioplastics!B153</f>
        <v>784</v>
      </c>
      <c r="Q103" s="3">
        <v>2057</v>
      </c>
      <c r="R103" s="1197">
        <v>0.77192642268133227</v>
      </c>
      <c r="T103" s="3">
        <v>2057</v>
      </c>
      <c r="U103" s="335">
        <f t="shared" si="24"/>
        <v>1886.3400384576048</v>
      </c>
      <c r="W103" s="3">
        <v>2057</v>
      </c>
      <c r="X103" s="343"/>
      <c r="Y103" s="335">
        <f t="shared" si="25"/>
        <v>523.76770229008343</v>
      </c>
      <c r="AA103" s="3">
        <v>2057</v>
      </c>
      <c r="AB103" s="335">
        <f t="shared" si="22"/>
        <v>424.59982889484718</v>
      </c>
      <c r="AD103" s="3">
        <v>2057</v>
      </c>
      <c r="AE103" s="335">
        <f t="shared" si="26"/>
        <v>937.97250727267419</v>
      </c>
      <c r="AG103" s="3">
        <v>2057</v>
      </c>
      <c r="AH103" s="335">
        <f t="shared" si="23"/>
        <v>-49.850406712984636</v>
      </c>
      <c r="AK103" s="3">
        <v>2057</v>
      </c>
      <c r="AL103" s="338">
        <f t="shared" si="27"/>
        <v>0.2776634602520287</v>
      </c>
      <c r="AM103" s="338">
        <f t="shared" si="28"/>
        <v>0.22509188175957279</v>
      </c>
      <c r="AN103" s="338">
        <f t="shared" si="29"/>
        <v>0.49724465798839851</v>
      </c>
    </row>
    <row r="104" spans="1:46" ht="14.4" x14ac:dyDescent="0.55000000000000004">
      <c r="B104" s="3">
        <v>2058</v>
      </c>
      <c r="C104" s="707">
        <f>'Food System Summary'!I56</f>
        <v>1907.0822322395156</v>
      </c>
      <c r="E104" s="3">
        <v>2058</v>
      </c>
      <c r="F104" s="335">
        <f t="shared" si="20"/>
        <v>1918.386690252607</v>
      </c>
      <c r="H104" s="3">
        <v>2058</v>
      </c>
      <c r="I104" s="335">
        <f t="shared" si="21"/>
        <v>-70.44291257183113</v>
      </c>
      <c r="L104" s="3">
        <v>2058</v>
      </c>
      <c r="M104" s="707">
        <f>Bioplastics!B154</f>
        <v>784</v>
      </c>
      <c r="Q104" s="3">
        <v>2058</v>
      </c>
      <c r="R104" s="1197">
        <v>0.77580855295245554</v>
      </c>
      <c r="T104" s="3">
        <v>2058</v>
      </c>
      <c r="U104" s="335">
        <f t="shared" si="24"/>
        <v>1918.386690252607</v>
      </c>
      <c r="W104" s="3">
        <v>2058</v>
      </c>
      <c r="X104" s="343"/>
      <c r="Y104" s="335">
        <f t="shared" si="25"/>
        <v>537.79099294289404</v>
      </c>
      <c r="AA104" s="3">
        <v>2058</v>
      </c>
      <c r="AB104" s="335">
        <f t="shared" si="22"/>
        <v>425.40779734264629</v>
      </c>
      <c r="AD104" s="3">
        <v>2058</v>
      </c>
      <c r="AE104" s="335">
        <f t="shared" si="26"/>
        <v>955.18789996706664</v>
      </c>
      <c r="AG104" s="3">
        <v>2058</v>
      </c>
      <c r="AH104" s="335">
        <f t="shared" si="23"/>
        <v>-33.097010102140985</v>
      </c>
      <c r="AK104" s="3">
        <v>2058</v>
      </c>
      <c r="AL104" s="338">
        <f t="shared" si="27"/>
        <v>0.28033503134453014</v>
      </c>
      <c r="AM104" s="338">
        <f t="shared" si="28"/>
        <v>0.22175289241953089</v>
      </c>
      <c r="AN104" s="338">
        <f t="shared" si="29"/>
        <v>0.49791207623593897</v>
      </c>
    </row>
    <row r="105" spans="1:46" ht="14.4" x14ac:dyDescent="0.55000000000000004">
      <c r="B105" s="3">
        <v>2059</v>
      </c>
      <c r="C105" s="707">
        <f>'Food System Summary'!I57</f>
        <v>1915.7122789709108</v>
      </c>
      <c r="E105" s="3">
        <v>2059</v>
      </c>
      <c r="F105" s="335">
        <f t="shared" si="20"/>
        <v>1950.5643050308433</v>
      </c>
      <c r="H105" s="3">
        <v>2059</v>
      </c>
      <c r="I105" s="335">
        <f t="shared" si="21"/>
        <v>-59.313629670845103</v>
      </c>
      <c r="L105" s="3">
        <v>2059</v>
      </c>
      <c r="M105" s="707">
        <f>Bioplastics!B155</f>
        <v>784</v>
      </c>
      <c r="Q105" s="3">
        <v>2059</v>
      </c>
      <c r="R105" s="1197">
        <v>0.77943326187755946</v>
      </c>
      <c r="T105" s="3">
        <v>2059</v>
      </c>
      <c r="U105" s="335">
        <f t="shared" si="24"/>
        <v>1950.5643050308433</v>
      </c>
      <c r="W105" s="3">
        <v>2059</v>
      </c>
      <c r="X105" s="343"/>
      <c r="Y105" s="335">
        <f t="shared" si="25"/>
        <v>551.76204764116153</v>
      </c>
      <c r="AA105" s="3">
        <v>2059</v>
      </c>
      <c r="AB105" s="335">
        <f t="shared" si="22"/>
        <v>426.24633017566396</v>
      </c>
      <c r="AD105" s="3">
        <v>2059</v>
      </c>
      <c r="AE105" s="335">
        <f t="shared" si="26"/>
        <v>972.55592721401797</v>
      </c>
      <c r="AG105" s="3">
        <v>2059</v>
      </c>
      <c r="AH105" s="335">
        <f t="shared" si="23"/>
        <v>-16.142667578817509</v>
      </c>
      <c r="AK105" s="3">
        <v>2059</v>
      </c>
      <c r="AL105" s="338">
        <f t="shared" si="27"/>
        <v>0.2828730363916081</v>
      </c>
      <c r="AM105" s="338">
        <f t="shared" si="28"/>
        <v>0.21852462340067477</v>
      </c>
      <c r="AN105" s="338">
        <f t="shared" si="29"/>
        <v>0.49860234020771715</v>
      </c>
    </row>
    <row r="106" spans="1:46" ht="14.4" x14ac:dyDescent="0.55000000000000004">
      <c r="B106" s="3">
        <v>2060</v>
      </c>
      <c r="C106" s="707">
        <f>'Food System Summary'!I58</f>
        <v>1924.1642466727724</v>
      </c>
      <c r="E106" s="3">
        <v>2060</v>
      </c>
      <c r="F106" s="335">
        <f t="shared" si="20"/>
        <v>1982.8676867226561</v>
      </c>
      <c r="H106" s="3">
        <v>2060</v>
      </c>
      <c r="I106" s="335">
        <f t="shared" si="21"/>
        <v>-48.042767399181457</v>
      </c>
      <c r="L106" s="3">
        <v>2060</v>
      </c>
      <c r="M106" s="707">
        <f>Bioplastics!B156</f>
        <v>784</v>
      </c>
      <c r="Q106" s="3">
        <v>2060</v>
      </c>
      <c r="R106" s="339">
        <v>0.78280054945664412</v>
      </c>
      <c r="T106" s="3">
        <v>2060</v>
      </c>
      <c r="U106" s="335">
        <f t="shared" si="24"/>
        <v>1982.8676867226561</v>
      </c>
      <c r="W106" s="3">
        <v>2060</v>
      </c>
      <c r="X106" s="343"/>
      <c r="Y106" s="335">
        <f t="shared" si="25"/>
        <v>565.67286337482756</v>
      </c>
      <c r="AA106" s="3">
        <v>2060</v>
      </c>
      <c r="AB106" s="335">
        <f t="shared" si="22"/>
        <v>427.11767628253301</v>
      </c>
      <c r="AD106" s="3">
        <v>2060</v>
      </c>
      <c r="AE106" s="335">
        <f t="shared" si="26"/>
        <v>990.07714706529555</v>
      </c>
      <c r="AG106" s="3">
        <v>2060</v>
      </c>
      <c r="AH106" s="335">
        <f t="shared" si="23"/>
        <v>1.0095604528156628</v>
      </c>
      <c r="AK106" s="3">
        <v>2060</v>
      </c>
      <c r="AL106" s="338">
        <f t="shared" si="27"/>
        <v>0.28528018645045794</v>
      </c>
      <c r="AM106" s="338">
        <f t="shared" si="28"/>
        <v>0.21540402274066309</v>
      </c>
      <c r="AN106" s="338">
        <f t="shared" si="29"/>
        <v>0.499315790808879</v>
      </c>
    </row>
    <row r="109" spans="1:46" ht="22.5" x14ac:dyDescent="0.75">
      <c r="A109" s="336" t="s">
        <v>500</v>
      </c>
      <c r="Q109" s="638"/>
      <c r="R109" s="638"/>
      <c r="S109" s="638"/>
      <c r="T109" s="638"/>
    </row>
    <row r="110" spans="1:46" ht="200.05" customHeight="1" x14ac:dyDescent="0.4">
      <c r="B110" s="1275" t="s">
        <v>501</v>
      </c>
      <c r="C110" s="1276"/>
      <c r="D110" s="1276"/>
      <c r="F110" s="1275" t="s">
        <v>502</v>
      </c>
      <c r="G110" s="1276"/>
      <c r="H110" s="1276"/>
      <c r="J110" s="1275" t="s">
        <v>481</v>
      </c>
      <c r="K110" s="1276"/>
      <c r="L110" s="1276"/>
      <c r="M110" s="1276"/>
      <c r="N110" s="1276"/>
      <c r="P110" s="1280" t="s">
        <v>503</v>
      </c>
      <c r="Q110" s="1281"/>
      <c r="R110" s="1281"/>
      <c r="S110" s="1281"/>
      <c r="V110" s="1275" t="s">
        <v>504</v>
      </c>
      <c r="W110" s="1276"/>
      <c r="X110" s="1276"/>
      <c r="Y110" s="1276"/>
      <c r="Z110" s="1276"/>
      <c r="AA110" s="1276"/>
      <c r="AB110" s="1276"/>
      <c r="AC110" s="1276"/>
      <c r="AE110" s="1275" t="s">
        <v>484</v>
      </c>
      <c r="AF110" s="1276"/>
      <c r="AG110" s="1276"/>
      <c r="AH110" s="1276"/>
      <c r="AI110" s="1276"/>
      <c r="AK110" s="1275" t="s">
        <v>486</v>
      </c>
      <c r="AL110" s="1276"/>
      <c r="AM110" s="1276"/>
      <c r="AN110" s="1276"/>
      <c r="AO110" s="1276"/>
      <c r="AP110" s="1276"/>
      <c r="AQ110" s="1276"/>
      <c r="AR110" s="1276"/>
      <c r="AS110" s="1276"/>
      <c r="AT110" s="1276"/>
    </row>
    <row r="111" spans="1:46" ht="135.30000000000001" x14ac:dyDescent="0.4">
      <c r="B111" s="1173" t="s">
        <v>132</v>
      </c>
      <c r="C111" s="1172" t="s">
        <v>149</v>
      </c>
      <c r="F111" s="641" t="s">
        <v>151</v>
      </c>
      <c r="G111" s="641"/>
      <c r="H111" s="641"/>
      <c r="J111" s="642" t="s">
        <v>497</v>
      </c>
      <c r="K111" s="642"/>
      <c r="R111" s="1173" t="s">
        <v>1098</v>
      </c>
      <c r="S111" s="1173" t="s">
        <v>160</v>
      </c>
      <c r="T111" s="1173" t="s">
        <v>1099</v>
      </c>
      <c r="V111" s="641" t="s">
        <v>152</v>
      </c>
      <c r="W111" s="641"/>
      <c r="X111" s="641"/>
      <c r="Y111" s="641"/>
      <c r="Z111" s="641"/>
      <c r="AA111" s="641"/>
      <c r="AB111" s="641"/>
      <c r="AC111" s="641"/>
      <c r="AE111" s="340" t="s">
        <v>10</v>
      </c>
      <c r="AF111" s="335">
        <f>'WTE Tonnes and Composition'!M$52</f>
        <v>1.4992613764679676</v>
      </c>
      <c r="AG111" s="335">
        <f>'WTE Tonnes and Composition'!M$53</f>
        <v>3.5494778268358278</v>
      </c>
      <c r="AH111" s="335">
        <f>'WTE Tonnes and Composition'!M$54</f>
        <v>2.1207208550108536</v>
      </c>
      <c r="AI111" s="341" t="s">
        <v>483</v>
      </c>
      <c r="AK111" s="1249" t="s">
        <v>153</v>
      </c>
      <c r="AL111" s="1249"/>
      <c r="AO111" s="341" t="s">
        <v>485</v>
      </c>
      <c r="AP111" s="338">
        <f>'WTE Tonnes and Composition'!R$31</f>
        <v>0.1982538444179904</v>
      </c>
      <c r="AQ111" s="338">
        <f>'WTE Tonnes and Composition'!R$32</f>
        <v>0.28006004602560974</v>
      </c>
      <c r="AR111" s="338">
        <f>'WTE Tonnes and Composition'!R$33</f>
        <v>0.3429125448437737</v>
      </c>
      <c r="AS111" s="1249" t="s">
        <v>278</v>
      </c>
      <c r="AT111" s="1249" t="s">
        <v>279</v>
      </c>
    </row>
    <row r="112" spans="1:46" x14ac:dyDescent="0.4">
      <c r="B112" s="2"/>
      <c r="C112" s="334" t="s">
        <v>115</v>
      </c>
      <c r="D112" s="334" t="s">
        <v>133</v>
      </c>
      <c r="F112" s="2"/>
      <c r="G112" s="334" t="s">
        <v>115</v>
      </c>
      <c r="H112" s="334" t="s">
        <v>134</v>
      </c>
      <c r="J112" s="2"/>
      <c r="K112" s="334" t="s">
        <v>115</v>
      </c>
      <c r="L112" s="334" t="s">
        <v>159</v>
      </c>
      <c r="M112" s="334" t="s">
        <v>157</v>
      </c>
      <c r="N112" s="334" t="s">
        <v>158</v>
      </c>
      <c r="Q112" s="2"/>
      <c r="R112" s="334" t="s">
        <v>115</v>
      </c>
      <c r="S112" s="334" t="str">
        <f t="shared" ref="S112:S159" si="30">AE59</f>
        <v>World</v>
      </c>
      <c r="T112" s="334" t="s">
        <v>115</v>
      </c>
      <c r="V112" s="334" t="s">
        <v>115</v>
      </c>
      <c r="W112" s="334" t="s">
        <v>156</v>
      </c>
      <c r="X112" s="334" t="s">
        <v>157</v>
      </c>
      <c r="Y112" s="334" t="s">
        <v>158</v>
      </c>
      <c r="Z112" s="334" t="s">
        <v>155</v>
      </c>
      <c r="AA112" s="334" t="s">
        <v>161</v>
      </c>
      <c r="AB112" s="334" t="s">
        <v>162</v>
      </c>
      <c r="AC112" s="334" t="s">
        <v>163</v>
      </c>
      <c r="AE112" s="334" t="s">
        <v>115</v>
      </c>
      <c r="AF112" s="347" t="s">
        <v>156</v>
      </c>
      <c r="AG112" s="347" t="s">
        <v>157</v>
      </c>
      <c r="AH112" s="347" t="s">
        <v>158</v>
      </c>
      <c r="AI112" s="347" t="s">
        <v>165</v>
      </c>
      <c r="AK112" s="334" t="s">
        <v>115</v>
      </c>
      <c r="AL112" s="347" t="s">
        <v>138</v>
      </c>
      <c r="AM112" s="347" t="s">
        <v>156</v>
      </c>
      <c r="AN112" s="347" t="s">
        <v>157</v>
      </c>
      <c r="AO112" s="347" t="s">
        <v>158</v>
      </c>
      <c r="AP112" s="347" t="s">
        <v>156</v>
      </c>
      <c r="AQ112" s="347" t="s">
        <v>157</v>
      </c>
      <c r="AR112" s="347" t="s">
        <v>158</v>
      </c>
      <c r="AS112" s="527" t="s">
        <v>115</v>
      </c>
      <c r="AT112" s="527" t="s">
        <v>115</v>
      </c>
    </row>
    <row r="113" spans="2:46" ht="14.4" x14ac:dyDescent="0.55000000000000004">
      <c r="B113" s="3">
        <v>2014</v>
      </c>
      <c r="C113" s="707">
        <f>Compost!E107</f>
        <v>110.54366841083268</v>
      </c>
      <c r="D113" s="338">
        <f t="shared" ref="D113:D159" si="31">C113/Y60</f>
        <v>0.13735631497417058</v>
      </c>
      <c r="F113" s="3">
        <v>2014</v>
      </c>
      <c r="G113" s="707">
        <f>'H&amp;C Recycling'!E107</f>
        <v>206.02941101227444</v>
      </c>
      <c r="H113" s="338">
        <f t="shared" ref="H113:H159" si="32">G113/AB60</f>
        <v>0.32872538352551745</v>
      </c>
      <c r="J113" s="3">
        <v>2014</v>
      </c>
      <c r="K113" s="335">
        <f t="shared" ref="K113:K159" si="33">U60-C113-G113</f>
        <v>1456.7602539102263</v>
      </c>
      <c r="L113" s="338">
        <f t="shared" ref="L113:L159" si="34">(Y60-C113)/K113</f>
        <v>0.47657209073626489</v>
      </c>
      <c r="M113" s="338">
        <f t="shared" ref="M113:M159" si="35">(AB60-G113)/K113</f>
        <v>0.28880727023664815</v>
      </c>
      <c r="N113" s="338">
        <f t="shared" ref="N113:N159" si="36">AE60/K113</f>
        <v>0.23462063902708707</v>
      </c>
      <c r="Q113" s="3">
        <v>2014</v>
      </c>
      <c r="R113" s="707">
        <f>Paper!F116</f>
        <v>203.73054651337733</v>
      </c>
      <c r="S113" s="335">
        <f t="shared" si="30"/>
        <v>341.7860216816789</v>
      </c>
      <c r="T113" s="707">
        <f>Paper!G116</f>
        <v>227.24220299999999</v>
      </c>
      <c r="V113" s="335">
        <f t="shared" ref="V113:V159" si="37">U60-C113-G113-T113-U170</f>
        <v>1229.5180509102263</v>
      </c>
      <c r="W113" s="335">
        <f t="shared" ref="W113:W159" si="38">Y60-C113</f>
        <v>694.25127990748865</v>
      </c>
      <c r="X113" s="335">
        <f t="shared" ref="X113:X159" si="39">AB60-G113</f>
        <v>420.72295232105887</v>
      </c>
      <c r="Y113" s="335">
        <f t="shared" ref="Y113:Y159" si="40">S113-T113-U170</f>
        <v>114.54381868167891</v>
      </c>
      <c r="Z113" s="338">
        <f t="shared" ref="Z113:AB159" si="41">W113/$V113</f>
        <v>0.5646531821094668</v>
      </c>
      <c r="AA113" s="338">
        <f t="shared" si="41"/>
        <v>0.34218525869513899</v>
      </c>
      <c r="AB113" s="338">
        <f t="shared" si="41"/>
        <v>9.3161559195394331E-2</v>
      </c>
      <c r="AC113" s="338">
        <f t="shared" ref="AC113:AC159" si="42">1-V113/U60</f>
        <v>0.30666275324611303</v>
      </c>
      <c r="AE113" s="346">
        <f>MIN('WTE Tonnes and Composition'!G67,V113)</f>
        <v>142.75688198659913</v>
      </c>
      <c r="AF113" s="335">
        <f>AF$111*Z113</f>
        <v>0.8465627070364572</v>
      </c>
      <c r="AG113" s="335">
        <f>AG$111*AA113</f>
        <v>1.2145789884084774</v>
      </c>
      <c r="AH113" s="335">
        <f>AH$111*AB113</f>
        <v>0.19756966147100091</v>
      </c>
      <c r="AI113" s="335">
        <f>AF113+AG113+AH113</f>
        <v>2.2587113569159354</v>
      </c>
      <c r="AK113" s="335">
        <f t="shared" ref="AK113:AK159" si="43">V113-AE113</f>
        <v>1086.7611689236271</v>
      </c>
      <c r="AL113" s="338">
        <f t="shared" ref="AL113:AL159" si="44">AK113/U60</f>
        <v>0.61283524563362424</v>
      </c>
      <c r="AM113" s="335">
        <f t="shared" ref="AM113:AO159" si="45">Z113*$AK113</f>
        <v>613.64315222572986</v>
      </c>
      <c r="AN113" s="335">
        <f t="shared" si="45"/>
        <v>371.87365172796297</v>
      </c>
      <c r="AO113" s="335">
        <f t="shared" si="45"/>
        <v>101.24436496993442</v>
      </c>
      <c r="AP113" s="335">
        <f t="shared" ref="AP113:AR128" si="46">AP$111*AM113</f>
        <v>121.65711402952505</v>
      </c>
      <c r="AQ113" s="335">
        <f t="shared" si="46"/>
        <v>104.14695201864488</v>
      </c>
      <c r="AR113" s="335">
        <f t="shared" si="46"/>
        <v>34.717962842932032</v>
      </c>
      <c r="AS113" s="335">
        <f>SUM(AP113:AR113)</f>
        <v>260.52202889110197</v>
      </c>
      <c r="AT113" s="335">
        <f>AS113/AK113</f>
        <v>0.23972335076080578</v>
      </c>
    </row>
    <row r="114" spans="2:46" ht="14.4" x14ac:dyDescent="0.55000000000000004">
      <c r="B114" s="3">
        <v>2015</v>
      </c>
      <c r="C114" s="707">
        <f>Compost!E108</f>
        <v>121.04208551354085</v>
      </c>
      <c r="D114" s="338">
        <f t="shared" si="31"/>
        <v>0.14028323288243763</v>
      </c>
      <c r="F114" s="3">
        <v>2015</v>
      </c>
      <c r="G114" s="707">
        <f>'H&amp;C Recycling'!E108</f>
        <v>235.52664728670166</v>
      </c>
      <c r="H114" s="338">
        <f t="shared" si="32"/>
        <v>0.354207043072165</v>
      </c>
      <c r="J114" s="3">
        <v>2015</v>
      </c>
      <c r="K114" s="335">
        <f t="shared" si="33"/>
        <v>1535.0979338664242</v>
      </c>
      <c r="L114" s="338">
        <f t="shared" si="34"/>
        <v>0.48322560863857555</v>
      </c>
      <c r="M114" s="338">
        <f t="shared" si="35"/>
        <v>0.27973066293675541</v>
      </c>
      <c r="N114" s="338">
        <f t="shared" si="36"/>
        <v>0.23704372842466903</v>
      </c>
      <c r="Q114" s="3">
        <v>2015</v>
      </c>
      <c r="R114" s="707">
        <f>Paper!F117</f>
        <v>204.48991419160959</v>
      </c>
      <c r="S114" s="335">
        <f t="shared" si="30"/>
        <v>363.88533774070322</v>
      </c>
      <c r="T114" s="707">
        <f>Paper!G117</f>
        <v>228.0892060000001</v>
      </c>
      <c r="V114" s="335">
        <f t="shared" si="37"/>
        <v>1234.3255290789232</v>
      </c>
      <c r="W114" s="335">
        <f t="shared" si="38"/>
        <v>741.79863341242265</v>
      </c>
      <c r="X114" s="335">
        <f t="shared" si="39"/>
        <v>429.41396271329836</v>
      </c>
      <c r="Y114" s="335">
        <f t="shared" si="40"/>
        <v>63.112932953202119</v>
      </c>
      <c r="Z114" s="338">
        <f t="shared" si="41"/>
        <v>0.60097487732103105</v>
      </c>
      <c r="AA114" s="338">
        <f t="shared" si="41"/>
        <v>0.34789360877412551</v>
      </c>
      <c r="AB114" s="338">
        <f t="shared" si="41"/>
        <v>5.1131513904843377E-2</v>
      </c>
      <c r="AC114" s="338">
        <f t="shared" si="42"/>
        <v>0.34749311238118596</v>
      </c>
      <c r="AE114" s="346">
        <f>MIN('WTE Tonnes and Composition'!G68,V114)</f>
        <v>151.22621540688968</v>
      </c>
      <c r="AF114" s="335">
        <f>AF$111*Z114</f>
        <v>0.90101842179499703</v>
      </c>
      <c r="AG114" s="335">
        <f t="shared" ref="AG114:AH129" si="47">AG$111*AA114</f>
        <v>1.2348406504416567</v>
      </c>
      <c r="AH114" s="335">
        <f t="shared" si="47"/>
        <v>0.1084356678862788</v>
      </c>
      <c r="AI114" s="335">
        <f t="shared" ref="AI114:AI159" si="48">AF114+AG114+AH114</f>
        <v>2.2442947401229327</v>
      </c>
      <c r="AK114" s="335">
        <f t="shared" si="43"/>
        <v>1083.0993136720335</v>
      </c>
      <c r="AL114" s="338">
        <f t="shared" si="44"/>
        <v>0.57256351383543624</v>
      </c>
      <c r="AM114" s="335">
        <f t="shared" si="45"/>
        <v>650.91547716054333</v>
      </c>
      <c r="AN114" s="335">
        <f t="shared" si="45"/>
        <v>376.80332889414228</v>
      </c>
      <c r="AO114" s="335">
        <f t="shared" si="45"/>
        <v>55.380507617347902</v>
      </c>
      <c r="AP114" s="335">
        <f t="shared" si="46"/>
        <v>129.04649573824835</v>
      </c>
      <c r="AQ114" s="335">
        <f t="shared" si="46"/>
        <v>105.52755763269646</v>
      </c>
      <c r="AR114" s="335">
        <f t="shared" si="46"/>
        <v>18.990670801804765</v>
      </c>
      <c r="AS114" s="335">
        <f t="shared" ref="AS114:AS159" si="49">SUM(AP114:AR114)</f>
        <v>253.56472417274955</v>
      </c>
      <c r="AT114" s="335">
        <f t="shared" ref="AT114:AT159" si="50">AS114/AK114</f>
        <v>0.23411031746764627</v>
      </c>
    </row>
    <row r="115" spans="2:46" ht="14.4" x14ac:dyDescent="0.55000000000000004">
      <c r="B115" s="3">
        <v>2016</v>
      </c>
      <c r="C115" s="707">
        <f>Compost!E109</f>
        <v>131.54050261624903</v>
      </c>
      <c r="D115" s="338">
        <f t="shared" si="31"/>
        <v>0.14215117062862537</v>
      </c>
      <c r="F115" s="3">
        <v>2016</v>
      </c>
      <c r="G115" s="707">
        <f>'H&amp;C Recycling'!E109</f>
        <v>266.79999999999995</v>
      </c>
      <c r="H115" s="338">
        <f t="shared" si="32"/>
        <v>0.37965485417831296</v>
      </c>
      <c r="J115" s="3">
        <v>2016</v>
      </c>
      <c r="K115" s="335">
        <f t="shared" si="33"/>
        <v>1611.6594973837507</v>
      </c>
      <c r="L115" s="338">
        <f t="shared" si="34"/>
        <v>0.49254569508781054</v>
      </c>
      <c r="M115" s="338">
        <f t="shared" si="35"/>
        <v>0.27049358174457977</v>
      </c>
      <c r="N115" s="338">
        <f t="shared" si="36"/>
        <v>0.23696072316760966</v>
      </c>
      <c r="Q115" s="3">
        <v>2016</v>
      </c>
      <c r="R115" s="707">
        <f>Paper!F118</f>
        <v>206.46341145396693</v>
      </c>
      <c r="S115" s="335">
        <f t="shared" si="30"/>
        <v>381.89999999999986</v>
      </c>
      <c r="T115" s="707">
        <f>Paper!G118</f>
        <v>230.29045599999998</v>
      </c>
      <c r="V115" s="335">
        <f t="shared" si="37"/>
        <v>1348.8256275109718</v>
      </c>
      <c r="W115" s="335">
        <f t="shared" si="38"/>
        <v>793.81594738375088</v>
      </c>
      <c r="X115" s="335">
        <f t="shared" si="39"/>
        <v>435.94354999999996</v>
      </c>
      <c r="Y115" s="335">
        <f t="shared" si="40"/>
        <v>119.06613012722093</v>
      </c>
      <c r="Z115" s="338">
        <f t="shared" si="41"/>
        <v>0.58852377297175407</v>
      </c>
      <c r="AA115" s="338">
        <f t="shared" si="41"/>
        <v>0.32320230362501312</v>
      </c>
      <c r="AB115" s="338">
        <f t="shared" si="41"/>
        <v>8.8273923403232799E-2</v>
      </c>
      <c r="AC115" s="338">
        <f t="shared" si="42"/>
        <v>0.32894247387513831</v>
      </c>
      <c r="AE115" s="346">
        <f>MIN('WTE Tonnes and Composition'!G69,V115)</f>
        <v>159.07322452483973</v>
      </c>
      <c r="AF115" s="335">
        <f t="shared" ref="AF115:AH159" si="51">AF$111*Z115</f>
        <v>0.88235096194975371</v>
      </c>
      <c r="AG115" s="335">
        <f t="shared" si="47"/>
        <v>1.1471994102992449</v>
      </c>
      <c r="AH115" s="335">
        <f t="shared" si="47"/>
        <v>0.18720435031486646</v>
      </c>
      <c r="AI115" s="335">
        <f t="shared" si="48"/>
        <v>2.2167547225638651</v>
      </c>
      <c r="AK115" s="335">
        <f t="shared" si="43"/>
        <v>1189.752402986132</v>
      </c>
      <c r="AL115" s="338">
        <f t="shared" si="44"/>
        <v>0.5919166184010608</v>
      </c>
      <c r="AM115" s="335">
        <f t="shared" si="45"/>
        <v>700.19757310760917</v>
      </c>
      <c r="AN115" s="335">
        <f t="shared" si="45"/>
        <v>384.53071738851281</v>
      </c>
      <c r="AO115" s="335">
        <f t="shared" si="45"/>
        <v>105.02411249000997</v>
      </c>
      <c r="AP115" s="335">
        <f t="shared" si="46"/>
        <v>138.8168607207304</v>
      </c>
      <c r="AQ115" s="335">
        <f t="shared" si="46"/>
        <v>107.69169041008763</v>
      </c>
      <c r="AR115" s="335">
        <f t="shared" si="46"/>
        <v>36.014085683908078</v>
      </c>
      <c r="AS115" s="335">
        <f t="shared" si="49"/>
        <v>282.52263681472613</v>
      </c>
      <c r="AT115" s="335">
        <f t="shared" si="50"/>
        <v>0.23746338826938201</v>
      </c>
    </row>
    <row r="116" spans="2:46" ht="14.4" x14ac:dyDescent="0.55000000000000004">
      <c r="B116" s="3">
        <v>2017</v>
      </c>
      <c r="C116" s="707">
        <f>Compost!E110</f>
        <v>142.0389197189572</v>
      </c>
      <c r="D116" s="338">
        <f t="shared" si="31"/>
        <v>0.14621099628838913</v>
      </c>
      <c r="F116" s="3">
        <v>2017</v>
      </c>
      <c r="G116" s="707">
        <f>'H&amp;C Recycling'!E110</f>
        <v>283.94991370375845</v>
      </c>
      <c r="H116" s="338">
        <f t="shared" si="32"/>
        <v>0.38685662034123636</v>
      </c>
      <c r="J116" s="3">
        <v>2017</v>
      </c>
      <c r="K116" s="335">
        <f t="shared" si="33"/>
        <v>1685.1031925300845</v>
      </c>
      <c r="L116" s="338">
        <f t="shared" si="34"/>
        <v>0.49221107331647146</v>
      </c>
      <c r="M116" s="338">
        <f t="shared" si="35"/>
        <v>0.26707131796166056</v>
      </c>
      <c r="N116" s="338">
        <f t="shared" si="36"/>
        <v>0.24071760872186801</v>
      </c>
      <c r="Q116" s="3">
        <v>2017</v>
      </c>
      <c r="R116" s="707">
        <f>Paper!F119</f>
        <v>209.65608848106467</v>
      </c>
      <c r="S116" s="335">
        <f t="shared" si="30"/>
        <v>405.63401095542747</v>
      </c>
      <c r="T116" s="707">
        <f>Paper!G119</f>
        <v>233.851586</v>
      </c>
      <c r="V116" s="335">
        <f t="shared" si="37"/>
        <v>1419.1653041064142</v>
      </c>
      <c r="W116" s="335">
        <f t="shared" si="38"/>
        <v>829.42645104424548</v>
      </c>
      <c r="X116" s="335">
        <f t="shared" si="39"/>
        <v>450.04273053041146</v>
      </c>
      <c r="Y116" s="335">
        <f t="shared" si="40"/>
        <v>139.69612253175723</v>
      </c>
      <c r="Z116" s="338">
        <f t="shared" si="41"/>
        <v>0.58444668048483528</v>
      </c>
      <c r="AA116" s="338">
        <f t="shared" si="41"/>
        <v>0.31711790672178497</v>
      </c>
      <c r="AB116" s="338">
        <f t="shared" si="41"/>
        <v>9.8435412793379778E-2</v>
      </c>
      <c r="AC116" s="338">
        <f t="shared" si="42"/>
        <v>0.32775772602054065</v>
      </c>
      <c r="AE116" s="346">
        <f>MIN('WTE Tonnes and Composition'!G70,V116)</f>
        <v>162.84287810907378</v>
      </c>
      <c r="AF116" s="335">
        <f t="shared" si="51"/>
        <v>0.87623833465582868</v>
      </c>
      <c r="AG116" s="335">
        <f t="shared" si="47"/>
        <v>1.125602978401568</v>
      </c>
      <c r="AH116" s="335">
        <f t="shared" si="47"/>
        <v>0.20875403278252269</v>
      </c>
      <c r="AI116" s="335">
        <f t="shared" si="48"/>
        <v>2.2105953458399195</v>
      </c>
      <c r="AK116" s="335">
        <f t="shared" si="43"/>
        <v>1256.3224259973404</v>
      </c>
      <c r="AL116" s="338">
        <f t="shared" si="44"/>
        <v>0.59510547647979661</v>
      </c>
      <c r="AM116" s="335">
        <f t="shared" si="45"/>
        <v>734.25347149280071</v>
      </c>
      <c r="AN116" s="335">
        <f t="shared" si="45"/>
        <v>398.40233789991117</v>
      </c>
      <c r="AO116" s="335">
        <f t="shared" si="45"/>
        <v>123.66661660462852</v>
      </c>
      <c r="AP116" s="335">
        <f t="shared" si="46"/>
        <v>145.56857350070305</v>
      </c>
      <c r="AQ116" s="335">
        <f t="shared" si="46"/>
        <v>111.57657708895965</v>
      </c>
      <c r="AR116" s="335">
        <f t="shared" si="46"/>
        <v>42.406834212112443</v>
      </c>
      <c r="AS116" s="335">
        <f t="shared" si="49"/>
        <v>299.55198480177512</v>
      </c>
      <c r="AT116" s="335">
        <f t="shared" si="50"/>
        <v>0.23843559471922479</v>
      </c>
    </row>
    <row r="117" spans="2:46" ht="14.4" x14ac:dyDescent="0.55000000000000004">
      <c r="B117" s="3">
        <v>2018</v>
      </c>
      <c r="C117" s="707">
        <f>Compost!E111</f>
        <v>152.53733682166535</v>
      </c>
      <c r="D117" s="338">
        <f t="shared" si="31"/>
        <v>0.15375029227300738</v>
      </c>
      <c r="F117" s="3">
        <v>2018</v>
      </c>
      <c r="G117" s="707">
        <f>'H&amp;C Recycling'!E111</f>
        <v>292.60634965639559</v>
      </c>
      <c r="H117" s="338">
        <f t="shared" si="32"/>
        <v>0.39402474862077524</v>
      </c>
      <c r="J117" s="3">
        <v>2018</v>
      </c>
      <c r="K117" s="335">
        <f t="shared" si="33"/>
        <v>1702.5183115622528</v>
      </c>
      <c r="L117" s="338">
        <f t="shared" si="34"/>
        <v>0.49313627426299178</v>
      </c>
      <c r="M117" s="338">
        <f t="shared" si="35"/>
        <v>0.264315931881069</v>
      </c>
      <c r="N117" s="338">
        <f t="shared" si="36"/>
        <v>0.24254779385593919</v>
      </c>
      <c r="Q117" s="3">
        <v>2018</v>
      </c>
      <c r="R117" s="707">
        <f>Paper!F120</f>
        <v>205.89459751022355</v>
      </c>
      <c r="S117" s="335">
        <f t="shared" si="30"/>
        <v>412.94206046876297</v>
      </c>
      <c r="T117" s="707">
        <f>Paper!G120</f>
        <v>229.65599771239667</v>
      </c>
      <c r="V117" s="335">
        <f t="shared" si="37"/>
        <v>1441.2384865840179</v>
      </c>
      <c r="W117" s="335">
        <f t="shared" si="38"/>
        <v>839.57353702832881</v>
      </c>
      <c r="X117" s="335">
        <f t="shared" si="39"/>
        <v>450.002714065161</v>
      </c>
      <c r="Y117" s="335">
        <f t="shared" si="40"/>
        <v>151.66223549052793</v>
      </c>
      <c r="Z117" s="338">
        <f t="shared" si="41"/>
        <v>0.58253616236564842</v>
      </c>
      <c r="AA117" s="338">
        <f t="shared" si="41"/>
        <v>0.31223334531659958</v>
      </c>
      <c r="AB117" s="338">
        <f t="shared" si="41"/>
        <v>0.10523049231775194</v>
      </c>
      <c r="AC117" s="338">
        <f t="shared" si="42"/>
        <v>0.32892676412810262</v>
      </c>
      <c r="AE117" s="346">
        <f>MIN('WTE Tonnes and Composition'!G71,V117)</f>
        <v>165.19016908698848</v>
      </c>
      <c r="AF117" s="335">
        <f t="shared" si="51"/>
        <v>0.8733739686306895</v>
      </c>
      <c r="AG117" s="335">
        <f t="shared" si="47"/>
        <v>1.1082653360000445</v>
      </c>
      <c r="AH117" s="335">
        <f t="shared" si="47"/>
        <v>0.22316449964131596</v>
      </c>
      <c r="AI117" s="335">
        <f t="shared" si="48"/>
        <v>2.2048038042720499</v>
      </c>
      <c r="AK117" s="335">
        <f t="shared" si="43"/>
        <v>1276.0483174970295</v>
      </c>
      <c r="AL117" s="338">
        <f t="shared" si="44"/>
        <v>0.59415695703578619</v>
      </c>
      <c r="AM117" s="335">
        <f t="shared" si="45"/>
        <v>743.34428986786213</v>
      </c>
      <c r="AN117" s="335">
        <f t="shared" si="45"/>
        <v>398.42483495771592</v>
      </c>
      <c r="AO117" s="335">
        <f t="shared" si="45"/>
        <v>134.27919267145145</v>
      </c>
      <c r="AP117" s="335">
        <f t="shared" si="46"/>
        <v>147.3708631924647</v>
      </c>
      <c r="AQ117" s="335">
        <f t="shared" si="46"/>
        <v>111.58287761600388</v>
      </c>
      <c r="AR117" s="335">
        <f t="shared" si="46"/>
        <v>46.046019678534826</v>
      </c>
      <c r="AS117" s="335">
        <f t="shared" si="49"/>
        <v>304.99976048700341</v>
      </c>
      <c r="AT117" s="335">
        <f t="shared" si="50"/>
        <v>0.23901897467743294</v>
      </c>
    </row>
    <row r="118" spans="2:46" ht="14.4" x14ac:dyDescent="0.55000000000000004">
      <c r="B118" s="3">
        <v>2019</v>
      </c>
      <c r="C118" s="707">
        <f>Compost!E112</f>
        <v>208.63641873603882</v>
      </c>
      <c r="D118" s="338">
        <f t="shared" si="31"/>
        <v>0.2206040401867787</v>
      </c>
      <c r="F118" s="3">
        <v>2019</v>
      </c>
      <c r="G118" s="707">
        <f>'H&amp;C Recycling'!E112</f>
        <v>309.01715799725685</v>
      </c>
      <c r="H118" s="338">
        <f t="shared" si="32"/>
        <v>0.41163954205110498</v>
      </c>
      <c r="J118" s="3">
        <v>2019</v>
      </c>
      <c r="K118" s="335">
        <f t="shared" si="33"/>
        <v>1599.3320858077495</v>
      </c>
      <c r="L118" s="338">
        <f t="shared" si="34"/>
        <v>0.4608888031845364</v>
      </c>
      <c r="M118" s="338">
        <f t="shared" si="35"/>
        <v>0.27616607961054973</v>
      </c>
      <c r="N118" s="338">
        <f t="shared" si="36"/>
        <v>0.26294511720491404</v>
      </c>
      <c r="Q118" s="3">
        <v>2019</v>
      </c>
      <c r="R118" s="707">
        <f>Paper!F121</f>
        <v>230.62762422491744</v>
      </c>
      <c r="S118" s="335">
        <f t="shared" si="30"/>
        <v>420.53656275229832</v>
      </c>
      <c r="T118" s="707">
        <f>Paper!G121</f>
        <v>257.2433554930123</v>
      </c>
      <c r="V118" s="335">
        <f t="shared" si="37"/>
        <v>1310.9379417756759</v>
      </c>
      <c r="W118" s="335">
        <f t="shared" si="38"/>
        <v>737.11425092256195</v>
      </c>
      <c r="X118" s="335">
        <f t="shared" si="39"/>
        <v>441.68127213288949</v>
      </c>
      <c r="Y118" s="335">
        <f t="shared" si="40"/>
        <v>132.14241872022467</v>
      </c>
      <c r="Z118" s="338">
        <f t="shared" si="41"/>
        <v>0.56228004959878941</v>
      </c>
      <c r="AA118" s="338">
        <f t="shared" si="41"/>
        <v>0.33692004637124828</v>
      </c>
      <c r="AB118" s="338">
        <f t="shared" si="41"/>
        <v>0.10079990402996247</v>
      </c>
      <c r="AC118" s="338">
        <f t="shared" si="42"/>
        <v>0.38075256485103437</v>
      </c>
      <c r="AE118" s="346">
        <f>MIN('WTE Tonnes and Composition'!G72,V118)</f>
        <v>246.60823880527803</v>
      </c>
      <c r="AF118" s="335">
        <f t="shared" si="51"/>
        <v>0.8430047611219581</v>
      </c>
      <c r="AG118" s="335">
        <f t="shared" si="47"/>
        <v>1.1958902340112447</v>
      </c>
      <c r="AH118" s="335">
        <f t="shared" si="47"/>
        <v>0.213768458659434</v>
      </c>
      <c r="AI118" s="335">
        <f t="shared" si="48"/>
        <v>2.2526634537926369</v>
      </c>
      <c r="AK118" s="335">
        <f t="shared" si="43"/>
        <v>1064.3297029703979</v>
      </c>
      <c r="AL118" s="338">
        <f t="shared" si="44"/>
        <v>0.50275716165827466</v>
      </c>
      <c r="AM118" s="335">
        <f t="shared" si="45"/>
        <v>598.45135817566018</v>
      </c>
      <c r="AN118" s="335">
        <f t="shared" si="45"/>
        <v>358.59401287908338</v>
      </c>
      <c r="AO118" s="335">
        <f t="shared" si="45"/>
        <v>107.28433191565458</v>
      </c>
      <c r="AP118" s="335">
        <f t="shared" si="46"/>
        <v>118.64528245549238</v>
      </c>
      <c r="AQ118" s="335">
        <f t="shared" si="46"/>
        <v>100.42785575142419</v>
      </c>
      <c r="AR118" s="335">
        <f t="shared" si="46"/>
        <v>36.7891432790612</v>
      </c>
      <c r="AS118" s="335">
        <f t="shared" si="49"/>
        <v>255.86228148597775</v>
      </c>
      <c r="AT118" s="335">
        <f t="shared" si="50"/>
        <v>0.24039757677710327</v>
      </c>
    </row>
    <row r="119" spans="2:46" ht="14.4" x14ac:dyDescent="0.55000000000000004">
      <c r="B119" s="3">
        <v>2020</v>
      </c>
      <c r="C119" s="707">
        <f>Compost!E113</f>
        <v>237.77746593076361</v>
      </c>
      <c r="D119" s="338">
        <f t="shared" si="31"/>
        <v>0.26436476483066396</v>
      </c>
      <c r="F119" s="3">
        <v>2020</v>
      </c>
      <c r="G119" s="707">
        <f>'H&amp;C Recycling'!E113</f>
        <v>320.55968862241934</v>
      </c>
      <c r="H119" s="338">
        <f t="shared" si="32"/>
        <v>0.4225243118116494</v>
      </c>
      <c r="J119" s="3">
        <v>2020</v>
      </c>
      <c r="K119" s="335">
        <f t="shared" si="33"/>
        <v>1528.2595677852589</v>
      </c>
      <c r="L119" s="338">
        <f t="shared" si="34"/>
        <v>0.43294479501150768</v>
      </c>
      <c r="M119" s="338">
        <f t="shared" si="35"/>
        <v>0.28667761728850188</v>
      </c>
      <c r="N119" s="338">
        <f t="shared" si="36"/>
        <v>0.28037758769999044</v>
      </c>
      <c r="Q119" s="3">
        <v>2020</v>
      </c>
      <c r="R119" s="707">
        <f>Paper!F122</f>
        <v>239.14944488470735</v>
      </c>
      <c r="S119" s="335">
        <f t="shared" si="30"/>
        <v>428.48973099506088</v>
      </c>
      <c r="T119" s="707">
        <f>Paper!G122</f>
        <v>266.74864241950871</v>
      </c>
      <c r="V119" s="335">
        <f t="shared" si="37"/>
        <v>1230.8402969459949</v>
      </c>
      <c r="W119" s="335">
        <f t="shared" si="38"/>
        <v>661.65202529916428</v>
      </c>
      <c r="X119" s="335">
        <f t="shared" si="39"/>
        <v>438.11781149103376</v>
      </c>
      <c r="Y119" s="335">
        <f t="shared" si="40"/>
        <v>131.07046015579675</v>
      </c>
      <c r="Z119" s="338">
        <f t="shared" si="41"/>
        <v>0.53756123108812659</v>
      </c>
      <c r="AA119" s="338">
        <f t="shared" si="41"/>
        <v>0.35595016882215136</v>
      </c>
      <c r="AB119" s="338">
        <f t="shared" si="41"/>
        <v>0.10648860008972202</v>
      </c>
      <c r="AC119" s="338">
        <f t="shared" si="42"/>
        <v>0.41012066022676563</v>
      </c>
      <c r="AE119" s="346">
        <f>MIN('WTE Tonnes and Composition'!G73,V119)</f>
        <v>273.17799049209589</v>
      </c>
      <c r="AF119" s="335">
        <f t="shared" si="51"/>
        <v>0.80594479125699992</v>
      </c>
      <c r="AG119" s="335">
        <f t="shared" si="47"/>
        <v>1.2634372316926958</v>
      </c>
      <c r="AH119" s="335">
        <f t="shared" si="47"/>
        <v>0.22583259503118416</v>
      </c>
      <c r="AI119" s="335">
        <f t="shared" si="48"/>
        <v>2.2952146179808799</v>
      </c>
      <c r="AK119" s="335">
        <f>V119-AE119</f>
        <v>957.66230645389896</v>
      </c>
      <c r="AL119" s="338">
        <f t="shared" si="44"/>
        <v>0.45895898148476438</v>
      </c>
      <c r="AM119" s="335">
        <f t="shared" si="45"/>
        <v>514.80212842405274</v>
      </c>
      <c r="AN119" s="335">
        <f t="shared" si="45"/>
        <v>340.8800596568762</v>
      </c>
      <c r="AO119" s="335">
        <f t="shared" si="45"/>
        <v>101.98011837297007</v>
      </c>
      <c r="AP119" s="335">
        <f t="shared" si="46"/>
        <v>102.06150107463247</v>
      </c>
      <c r="AQ119" s="335">
        <f t="shared" si="46"/>
        <v>95.466885196717342</v>
      </c>
      <c r="AR119" s="335">
        <f t="shared" si="46"/>
        <v>34.970261914744448</v>
      </c>
      <c r="AS119" s="335">
        <f t="shared" si="49"/>
        <v>232.49864818609424</v>
      </c>
      <c r="AT119" s="335">
        <f t="shared" si="50"/>
        <v>0.24277727819006159</v>
      </c>
    </row>
    <row r="120" spans="2:46" ht="14.4" x14ac:dyDescent="0.55000000000000004">
      <c r="B120" s="3">
        <v>2021</v>
      </c>
      <c r="C120" s="707">
        <f>Compost!E114</f>
        <v>267.54146387924328</v>
      </c>
      <c r="D120" s="338">
        <f t="shared" si="31"/>
        <v>0.31374653456703994</v>
      </c>
      <c r="F120" s="3">
        <v>2021</v>
      </c>
      <c r="G120" s="707">
        <f>'H&amp;C Recycling'!E114</f>
        <v>331.80889983534553</v>
      </c>
      <c r="H120" s="338">
        <f t="shared" si="32"/>
        <v>0.43310547873131433</v>
      </c>
      <c r="J120" s="3">
        <v>2021</v>
      </c>
      <c r="K120" s="335">
        <f t="shared" si="33"/>
        <v>1456.031309196647</v>
      </c>
      <c r="L120" s="338">
        <f t="shared" si="34"/>
        <v>0.40190739597426867</v>
      </c>
      <c r="M120" s="338">
        <f t="shared" si="35"/>
        <v>0.29828121198429508</v>
      </c>
      <c r="N120" s="338">
        <f t="shared" si="36"/>
        <v>0.29981139204143625</v>
      </c>
      <c r="Q120" s="3">
        <v>2021</v>
      </c>
      <c r="R120" s="707">
        <f>Paper!F123</f>
        <v>248.63788332164944</v>
      </c>
      <c r="S120" s="335">
        <f t="shared" si="30"/>
        <v>436.53477366616164</v>
      </c>
      <c r="T120" s="707">
        <f>Paper!G123</f>
        <v>277.33210027765085</v>
      </c>
      <c r="V120" s="335">
        <f t="shared" si="37"/>
        <v>1148.7397328442421</v>
      </c>
      <c r="W120" s="335">
        <f t="shared" si="38"/>
        <v>585.18975193622964</v>
      </c>
      <c r="X120" s="335">
        <f t="shared" si="39"/>
        <v>434.30678359425576</v>
      </c>
      <c r="Y120" s="335">
        <f t="shared" si="40"/>
        <v>129.24319731375675</v>
      </c>
      <c r="Z120" s="338">
        <f t="shared" si="41"/>
        <v>0.50941891814546969</v>
      </c>
      <c r="AA120" s="338">
        <f t="shared" si="41"/>
        <v>0.37807239636338369</v>
      </c>
      <c r="AB120" s="338">
        <f t="shared" si="41"/>
        <v>0.11250868549114673</v>
      </c>
      <c r="AC120" s="338">
        <f t="shared" si="42"/>
        <v>0.44110636579863494</v>
      </c>
      <c r="AE120" s="346">
        <f>MIN('WTE Tonnes and Composition'!G74,V120)</f>
        <v>297.36425092534949</v>
      </c>
      <c r="AF120" s="335">
        <f t="shared" si="51"/>
        <v>0.76375210841759977</v>
      </c>
      <c r="AG120" s="335">
        <f t="shared" si="47"/>
        <v>1.3419595878305168</v>
      </c>
      <c r="AH120" s="335">
        <f t="shared" si="47"/>
        <v>0.23859951569093191</v>
      </c>
      <c r="AI120" s="335">
        <f t="shared" si="48"/>
        <v>2.3443112119390483</v>
      </c>
      <c r="AK120" s="335">
        <f t="shared" si="43"/>
        <v>851.37548191889255</v>
      </c>
      <c r="AL120" s="338">
        <f t="shared" si="44"/>
        <v>0.41421770620003978</v>
      </c>
      <c r="AM120" s="335">
        <f t="shared" si="45"/>
        <v>433.70677693470014</v>
      </c>
      <c r="AN120" s="335">
        <f t="shared" si="45"/>
        <v>321.88156865410633</v>
      </c>
      <c r="AO120" s="335">
        <f t="shared" si="45"/>
        <v>95.787136330086156</v>
      </c>
      <c r="AP120" s="335">
        <f t="shared" si="46"/>
        <v>85.984035877440107</v>
      </c>
      <c r="AQ120" s="335">
        <f t="shared" si="46"/>
        <v>90.146166932064489</v>
      </c>
      <c r="AR120" s="335">
        <f t="shared" si="46"/>
        <v>32.846610682247331</v>
      </c>
      <c r="AS120" s="335">
        <f t="shared" si="49"/>
        <v>208.97681349175193</v>
      </c>
      <c r="AT120" s="335">
        <f t="shared" si="50"/>
        <v>0.24545787132693161</v>
      </c>
    </row>
    <row r="121" spans="2:46" ht="14.4" x14ac:dyDescent="0.55000000000000004">
      <c r="B121" s="3">
        <v>2022</v>
      </c>
      <c r="C121" s="707">
        <f>Compost!E115</f>
        <v>298.22753525843081</v>
      </c>
      <c r="D121" s="338">
        <f t="shared" si="31"/>
        <v>0.36981491196588073</v>
      </c>
      <c r="F121" s="3">
        <v>2022</v>
      </c>
      <c r="G121" s="707">
        <f>'H&amp;C Recycling'!E115</f>
        <v>343.20280212386456</v>
      </c>
      <c r="H121" s="338">
        <f t="shared" si="32"/>
        <v>0.44365933433159899</v>
      </c>
      <c r="J121" s="3">
        <v>2022</v>
      </c>
      <c r="K121" s="335">
        <f t="shared" si="33"/>
        <v>1383.5442914043442</v>
      </c>
      <c r="L121" s="338">
        <f t="shared" si="34"/>
        <v>0.36731475618042481</v>
      </c>
      <c r="M121" s="338">
        <f t="shared" si="35"/>
        <v>0.31106341876918714</v>
      </c>
      <c r="N121" s="338">
        <f t="shared" si="36"/>
        <v>0.32162182505038805</v>
      </c>
      <c r="Q121" s="3">
        <v>2022</v>
      </c>
      <c r="R121" s="707">
        <f>Paper!F124</f>
        <v>258.73580451530472</v>
      </c>
      <c r="S121" s="335">
        <f t="shared" si="30"/>
        <v>444.97804003951114</v>
      </c>
      <c r="T121" s="707">
        <f>Paper!G124</f>
        <v>288.59537864722978</v>
      </c>
      <c r="V121" s="335">
        <f t="shared" si="37"/>
        <v>1065.6807306440073</v>
      </c>
      <c r="W121" s="335">
        <f t="shared" si="38"/>
        <v>508.19623406200532</v>
      </c>
      <c r="X121" s="335">
        <f t="shared" si="39"/>
        <v>430.37001730282782</v>
      </c>
      <c r="Y121" s="335">
        <f t="shared" si="40"/>
        <v>127.11447927917442</v>
      </c>
      <c r="Z121" s="338">
        <f t="shared" si="41"/>
        <v>0.47687475192959011</v>
      </c>
      <c r="AA121" s="338">
        <f t="shared" si="41"/>
        <v>0.40384517137956372</v>
      </c>
      <c r="AB121" s="338">
        <f t="shared" si="41"/>
        <v>0.11928007669084639</v>
      </c>
      <c r="AC121" s="338">
        <f t="shared" si="42"/>
        <v>0.47373131717578065</v>
      </c>
      <c r="AE121" s="346">
        <f>MIN('WTE Tonnes and Composition'!G75,V121)</f>
        <v>322.81854120686864</v>
      </c>
      <c r="AF121" s="335">
        <f t="shared" si="51"/>
        <v>0.71495989698077789</v>
      </c>
      <c r="AG121" s="335">
        <f t="shared" si="47"/>
        <v>1.4334394812864764</v>
      </c>
      <c r="AH121" s="335">
        <f t="shared" si="47"/>
        <v>0.25295974622557194</v>
      </c>
      <c r="AI121" s="335">
        <f t="shared" si="48"/>
        <v>2.4013591244928261</v>
      </c>
      <c r="AK121" s="335">
        <f t="shared" si="43"/>
        <v>742.86218943713868</v>
      </c>
      <c r="AL121" s="338">
        <f t="shared" si="44"/>
        <v>0.3668501219110385</v>
      </c>
      <c r="AM121" s="335">
        <f t="shared" si="45"/>
        <v>354.25222230570768</v>
      </c>
      <c r="AN121" s="335">
        <f t="shared" si="45"/>
        <v>300.0013082046392</v>
      </c>
      <c r="AO121" s="335">
        <f t="shared" si="45"/>
        <v>88.608658926791961</v>
      </c>
      <c r="AP121" s="335">
        <f t="shared" si="46"/>
        <v>70.231864965723119</v>
      </c>
      <c r="AQ121" s="335">
        <f t="shared" si="46"/>
        <v>84.01838018353439</v>
      </c>
      <c r="AR121" s="335">
        <f t="shared" si="46"/>
        <v>30.385020727780198</v>
      </c>
      <c r="AS121" s="335">
        <f t="shared" si="49"/>
        <v>184.63526587703771</v>
      </c>
      <c r="AT121" s="335">
        <f t="shared" si="50"/>
        <v>0.24854578480691622</v>
      </c>
    </row>
    <row r="122" spans="2:46" ht="14.4" x14ac:dyDescent="0.55000000000000004">
      <c r="B122" s="3">
        <v>2023</v>
      </c>
      <c r="C122" s="707">
        <f>Compost!E116</f>
        <v>329.73100627172619</v>
      </c>
      <c r="D122" s="338">
        <f t="shared" si="31"/>
        <v>0.43372084614416451</v>
      </c>
      <c r="F122" s="3">
        <v>2023</v>
      </c>
      <c r="G122" s="707">
        <f>'H&amp;C Recycling'!E116</f>
        <v>354.62594985514585</v>
      </c>
      <c r="H122" s="338">
        <f t="shared" si="32"/>
        <v>0.45420052002299061</v>
      </c>
      <c r="J122" s="3">
        <v>2023</v>
      </c>
      <c r="K122" s="335">
        <f t="shared" si="33"/>
        <v>1310.3166079723737</v>
      </c>
      <c r="L122" s="338">
        <f t="shared" si="34"/>
        <v>0.3285517769763549</v>
      </c>
      <c r="M122" s="338">
        <f t="shared" si="35"/>
        <v>0.32522188063197738</v>
      </c>
      <c r="N122" s="338">
        <f t="shared" si="36"/>
        <v>0.3462263423916675</v>
      </c>
      <c r="Q122" s="3">
        <v>2023</v>
      </c>
      <c r="R122" s="707">
        <f>Paper!F125</f>
        <v>269.58488582875958</v>
      </c>
      <c r="S122" s="335">
        <f t="shared" si="30"/>
        <v>453.66612655333142</v>
      </c>
      <c r="T122" s="707">
        <f>Paper!G125</f>
        <v>300.69650525974652</v>
      </c>
      <c r="V122" s="335">
        <f t="shared" si="37"/>
        <v>981.02191113801246</v>
      </c>
      <c r="W122" s="335">
        <f t="shared" si="38"/>
        <v>430.50684995095321</v>
      </c>
      <c r="X122" s="335">
        <f t="shared" si="39"/>
        <v>426.14363146808881</v>
      </c>
      <c r="Y122" s="335">
        <f t="shared" si="40"/>
        <v>124.37142971897021</v>
      </c>
      <c r="Z122" s="338">
        <f t="shared" si="41"/>
        <v>0.43883510150303717</v>
      </c>
      <c r="AA122" s="338">
        <f t="shared" si="41"/>
        <v>0.43438747558018398</v>
      </c>
      <c r="AB122" s="338">
        <f t="shared" si="41"/>
        <v>0.1267774229167786</v>
      </c>
      <c r="AC122" s="338">
        <f t="shared" si="42"/>
        <v>0.50817921849732728</v>
      </c>
      <c r="AE122" s="346">
        <f>MIN('WTE Tonnes and Composition'!G76,V122)</f>
        <v>348.23572707903827</v>
      </c>
      <c r="AF122" s="335">
        <f t="shared" si="51"/>
        <v>0.6579285183219038</v>
      </c>
      <c r="AG122" s="335">
        <f t="shared" si="47"/>
        <v>1.5418487128270526</v>
      </c>
      <c r="AH122" s="335">
        <f t="shared" si="47"/>
        <v>0.26885952472414332</v>
      </c>
      <c r="AI122" s="335">
        <f t="shared" si="48"/>
        <v>2.4686367558730997</v>
      </c>
      <c r="AK122" s="335">
        <f t="shared" si="43"/>
        <v>632.78618405897419</v>
      </c>
      <c r="AL122" s="338">
        <f t="shared" si="44"/>
        <v>0.31723796587474584</v>
      </c>
      <c r="AM122" s="335">
        <f t="shared" si="45"/>
        <v>277.68878931123947</v>
      </c>
      <c r="AN122" s="335">
        <f t="shared" si="45"/>
        <v>274.87439307539546</v>
      </c>
      <c r="AO122" s="335">
        <f t="shared" si="45"/>
        <v>80.22300167233908</v>
      </c>
      <c r="AP122" s="335">
        <f t="shared" si="46"/>
        <v>55.052870032730588</v>
      </c>
      <c r="AQ122" s="335">
        <f t="shared" si="46"/>
        <v>76.981335175956801</v>
      </c>
      <c r="AR122" s="335">
        <f t="shared" si="46"/>
        <v>27.509473658468107</v>
      </c>
      <c r="AS122" s="335">
        <f t="shared" si="49"/>
        <v>159.54367886715548</v>
      </c>
      <c r="AT122" s="335">
        <f t="shared" si="50"/>
        <v>0.25212889106359881</v>
      </c>
    </row>
    <row r="123" spans="2:46" ht="14.4" x14ac:dyDescent="0.55000000000000004">
      <c r="B123" s="3">
        <v>2024</v>
      </c>
      <c r="C123" s="707">
        <f>Compost!E117</f>
        <v>362.02305206042257</v>
      </c>
      <c r="D123" s="338">
        <f t="shared" si="31"/>
        <v>0.50693167346173995</v>
      </c>
      <c r="F123" s="3">
        <v>2024</v>
      </c>
      <c r="G123" s="707">
        <f>'H&amp;C Recycling'!E117</f>
        <v>366.06615406222107</v>
      </c>
      <c r="H123" s="338">
        <f t="shared" si="32"/>
        <v>0.46467837548172225</v>
      </c>
      <c r="J123" s="3">
        <v>2024</v>
      </c>
      <c r="K123" s="335">
        <f t="shared" si="33"/>
        <v>1236.430871810107</v>
      </c>
      <c r="L123" s="338">
        <f t="shared" si="34"/>
        <v>0.28478955930119099</v>
      </c>
      <c r="M123" s="338">
        <f t="shared" si="35"/>
        <v>0.34107670684339242</v>
      </c>
      <c r="N123" s="338">
        <f t="shared" si="36"/>
        <v>0.37413373385541659</v>
      </c>
      <c r="Q123" s="3">
        <v>2024</v>
      </c>
      <c r="R123" s="707">
        <f>Paper!F126</f>
        <v>281.16008035390769</v>
      </c>
      <c r="S123" s="335">
        <f t="shared" si="30"/>
        <v>462.59049872442324</v>
      </c>
      <c r="T123" s="707">
        <f>Paper!G126</f>
        <v>313.60754265234232</v>
      </c>
      <c r="V123" s="335">
        <f t="shared" si="37"/>
        <v>894.8707837063431</v>
      </c>
      <c r="W123" s="335">
        <f t="shared" si="38"/>
        <v>352.12260308918775</v>
      </c>
      <c r="X123" s="335">
        <f t="shared" si="39"/>
        <v>421.71776999649597</v>
      </c>
      <c r="Y123" s="335">
        <f t="shared" si="40"/>
        <v>121.03041062065938</v>
      </c>
      <c r="Z123" s="338">
        <f t="shared" si="41"/>
        <v>0.39348988647364175</v>
      </c>
      <c r="AA123" s="338">
        <f t="shared" si="41"/>
        <v>0.47126107777241394</v>
      </c>
      <c r="AB123" s="338">
        <f t="shared" si="41"/>
        <v>0.13524903575394434</v>
      </c>
      <c r="AC123" s="338">
        <f t="shared" si="42"/>
        <v>0.54448376793989872</v>
      </c>
      <c r="AE123" s="346">
        <f>MIN('WTE Tonnes and Composition'!G77,V123)</f>
        <v>373.61608173336145</v>
      </c>
      <c r="AF123" s="335">
        <f t="shared" si="51"/>
        <v>0.58994418882069644</v>
      </c>
      <c r="AG123" s="335">
        <f t="shared" si="47"/>
        <v>1.6727307462039378</v>
      </c>
      <c r="AH123" s="335">
        <f t="shared" si="47"/>
        <v>0.28682545074349836</v>
      </c>
      <c r="AI123" s="335">
        <f t="shared" si="48"/>
        <v>2.5495003857681326</v>
      </c>
      <c r="AK123" s="335">
        <f t="shared" si="43"/>
        <v>521.25470197298159</v>
      </c>
      <c r="AL123" s="338">
        <f t="shared" si="44"/>
        <v>0.26533437241399638</v>
      </c>
      <c r="AM123" s="335">
        <f t="shared" si="45"/>
        <v>205.10845350320048</v>
      </c>
      <c r="AN123" s="335">
        <f t="shared" si="45"/>
        <v>245.64705264572572</v>
      </c>
      <c r="AO123" s="335">
        <f t="shared" si="45"/>
        <v>70.499195824055391</v>
      </c>
      <c r="AP123" s="335">
        <f t="shared" si="46"/>
        <v>40.663539429638128</v>
      </c>
      <c r="AQ123" s="335">
        <f t="shared" si="46"/>
        <v>68.79592487001733</v>
      </c>
      <c r="AR123" s="335">
        <f t="shared" si="46"/>
        <v>24.175058649466379</v>
      </c>
      <c r="AS123" s="335">
        <f t="shared" si="49"/>
        <v>133.63452294912184</v>
      </c>
      <c r="AT123" s="335">
        <f t="shared" si="50"/>
        <v>0.25637087290207039</v>
      </c>
    </row>
    <row r="124" spans="2:46" ht="14.4" x14ac:dyDescent="0.55000000000000004">
      <c r="B124" s="3">
        <v>2025</v>
      </c>
      <c r="C124" s="707">
        <f>Compost!E118</f>
        <v>394.54737333532785</v>
      </c>
      <c r="D124" s="338">
        <f t="shared" si="31"/>
        <v>0.59173844214183302</v>
      </c>
      <c r="F124" s="3">
        <v>2025</v>
      </c>
      <c r="G124" s="707">
        <f>'H&amp;C Recycling'!E118</f>
        <v>377.35071216555531</v>
      </c>
      <c r="H124" s="338">
        <f t="shared" si="32"/>
        <v>0.47513249219152898</v>
      </c>
      <c r="J124" s="3">
        <v>2025</v>
      </c>
      <c r="K124" s="335">
        <f t="shared" si="33"/>
        <v>1161.6247110554909</v>
      </c>
      <c r="L124" s="338">
        <f t="shared" si="34"/>
        <v>0.23433762212261813</v>
      </c>
      <c r="M124" s="338">
        <f t="shared" si="35"/>
        <v>0.3588511061830883</v>
      </c>
      <c r="N124" s="338">
        <f t="shared" si="36"/>
        <v>0.40681127169429343</v>
      </c>
      <c r="Q124" s="3">
        <v>2025</v>
      </c>
      <c r="R124" s="707">
        <f>Paper!F127</f>
        <v>294.38527059661158</v>
      </c>
      <c r="S124" s="335">
        <f t="shared" si="30"/>
        <v>472.5620259360004</v>
      </c>
      <c r="T124" s="707">
        <f>Paper!G127</f>
        <v>328.35899459354056</v>
      </c>
      <c r="V124" s="335">
        <f t="shared" si="37"/>
        <v>805.93658336632382</v>
      </c>
      <c r="W124" s="335">
        <f t="shared" si="38"/>
        <v>272.2123725876171</v>
      </c>
      <c r="X124" s="335">
        <f t="shared" si="39"/>
        <v>416.85031253187327</v>
      </c>
      <c r="Y124" s="335">
        <f t="shared" si="40"/>
        <v>116.87389824683322</v>
      </c>
      <c r="Z124" s="338">
        <f t="shared" si="41"/>
        <v>0.33775904730693668</v>
      </c>
      <c r="AA124" s="338">
        <f t="shared" si="41"/>
        <v>0.51722470618063698</v>
      </c>
      <c r="AB124" s="338">
        <f t="shared" si="41"/>
        <v>0.14501624651242606</v>
      </c>
      <c r="AC124" s="338">
        <f t="shared" si="42"/>
        <v>0.58317709788490424</v>
      </c>
      <c r="AE124" s="346">
        <f>MIN('WTE Tonnes and Composition'!G78,V124)</f>
        <v>396.94034470855428</v>
      </c>
      <c r="AF124" s="335">
        <f t="shared" si="51"/>
        <v>0.5063890941799073</v>
      </c>
      <c r="AG124" s="335">
        <f t="shared" si="47"/>
        <v>1.8358776260798468</v>
      </c>
      <c r="AH124" s="335">
        <f t="shared" si="47"/>
        <v>0.30753897829429694</v>
      </c>
      <c r="AI124" s="335">
        <f t="shared" si="48"/>
        <v>2.6498056985540508</v>
      </c>
      <c r="AK124" s="335">
        <f t="shared" si="43"/>
        <v>408.99623865776954</v>
      </c>
      <c r="AL124" s="338">
        <f t="shared" si="44"/>
        <v>0.21152904914604392</v>
      </c>
      <c r="AM124" s="335">
        <f t="shared" si="45"/>
        <v>138.14217992116875</v>
      </c>
      <c r="AN124" s="335">
        <f t="shared" si="45"/>
        <v>211.54295936875053</v>
      </c>
      <c r="AO124" s="335">
        <f t="shared" si="45"/>
        <v>59.311099367850147</v>
      </c>
      <c r="AP124" s="335">
        <f t="shared" si="46"/>
        <v>27.387218245653425</v>
      </c>
      <c r="AQ124" s="335">
        <f t="shared" si="46"/>
        <v>59.244730937205965</v>
      </c>
      <c r="AR124" s="335">
        <f t="shared" si="46"/>
        <v>20.338520021711432</v>
      </c>
      <c r="AS124" s="335">
        <f t="shared" si="49"/>
        <v>106.97046920457082</v>
      </c>
      <c r="AT124" s="335">
        <f t="shared" si="50"/>
        <v>0.2615438947693578</v>
      </c>
    </row>
    <row r="125" spans="2:46" ht="14.4" x14ac:dyDescent="0.55000000000000004">
      <c r="B125" s="3">
        <v>2026</v>
      </c>
      <c r="C125" s="707">
        <f>Compost!E119</f>
        <v>430.33925383800135</v>
      </c>
      <c r="D125" s="338">
        <f t="shared" si="31"/>
        <v>0.68595035847244434</v>
      </c>
      <c r="F125" s="3">
        <v>2026</v>
      </c>
      <c r="G125" s="707">
        <f>'H&amp;C Recycling'!E119</f>
        <v>390.30014584403017</v>
      </c>
      <c r="H125" s="338">
        <f t="shared" si="32"/>
        <v>0.48601876426615609</v>
      </c>
      <c r="J125" s="3">
        <v>2026</v>
      </c>
      <c r="K125" s="335">
        <f t="shared" si="33"/>
        <v>1092.5511933640221</v>
      </c>
      <c r="L125" s="338">
        <f t="shared" si="34"/>
        <v>0.18033282301534639</v>
      </c>
      <c r="M125" s="338">
        <f t="shared" si="35"/>
        <v>0.37779059768168499</v>
      </c>
      <c r="N125" s="338">
        <f t="shared" si="36"/>
        <v>0.44187657930296853</v>
      </c>
      <c r="Q125" s="3">
        <v>2026</v>
      </c>
      <c r="R125" s="707">
        <f>Paper!F128</f>
        <v>306.46543391614011</v>
      </c>
      <c r="S125" s="335">
        <f t="shared" si="30"/>
        <v>482.77278403707021</v>
      </c>
      <c r="T125" s="707">
        <f>Paper!G128</f>
        <v>341.83327703330821</v>
      </c>
      <c r="V125" s="335">
        <f t="shared" si="37"/>
        <v>724.10650913635084</v>
      </c>
      <c r="W125" s="335">
        <f t="shared" si="38"/>
        <v>197.0228409881197</v>
      </c>
      <c r="X125" s="335">
        <f t="shared" si="39"/>
        <v>412.75556833883212</v>
      </c>
      <c r="Y125" s="335">
        <f t="shared" si="40"/>
        <v>114.32809980939891</v>
      </c>
      <c r="Z125" s="338">
        <f t="shared" si="41"/>
        <v>0.27209096797529253</v>
      </c>
      <c r="AA125" s="338">
        <f t="shared" si="41"/>
        <v>0.57002051926191055</v>
      </c>
      <c r="AB125" s="338">
        <f t="shared" si="41"/>
        <v>0.15788851276279672</v>
      </c>
      <c r="AC125" s="338">
        <f t="shared" si="42"/>
        <v>0.62151888485742712</v>
      </c>
      <c r="AE125" s="346">
        <f>MIN('WTE Tonnes and Composition'!G79,V125)</f>
        <v>423.67644056405226</v>
      </c>
      <c r="AF125" s="335">
        <f t="shared" si="51"/>
        <v>0.40793547917113876</v>
      </c>
      <c r="AG125" s="335">
        <f t="shared" si="47"/>
        <v>2.0232751939615965</v>
      </c>
      <c r="AH125" s="335">
        <f t="shared" si="47"/>
        <v>0.33483746178271034</v>
      </c>
      <c r="AI125" s="335">
        <f t="shared" si="48"/>
        <v>2.7660481349154455</v>
      </c>
      <c r="AK125" s="335">
        <f t="shared" si="43"/>
        <v>300.43006857229858</v>
      </c>
      <c r="AL125" s="338">
        <f t="shared" si="44"/>
        <v>0.15703091456976798</v>
      </c>
      <c r="AM125" s="335">
        <f t="shared" si="45"/>
        <v>81.744308166720231</v>
      </c>
      <c r="AN125" s="335">
        <f t="shared" si="45"/>
        <v>171.25130368947302</v>
      </c>
      <c r="AO125" s="335">
        <f t="shared" si="45"/>
        <v>47.434456716105259</v>
      </c>
      <c r="AP125" s="335">
        <f t="shared" si="46"/>
        <v>16.206123353341216</v>
      </c>
      <c r="AQ125" s="335">
        <f t="shared" si="46"/>
        <v>47.960647993219489</v>
      </c>
      <c r="AR125" s="335">
        <f t="shared" si="46"/>
        <v>16.265870265801489</v>
      </c>
      <c r="AS125" s="335">
        <f t="shared" si="49"/>
        <v>80.432641612362204</v>
      </c>
      <c r="AT125" s="335">
        <f t="shared" si="50"/>
        <v>0.26772500500563601</v>
      </c>
    </row>
    <row r="126" spans="2:46" ht="14.4" x14ac:dyDescent="0.55000000000000004">
      <c r="B126" s="3">
        <v>2027</v>
      </c>
      <c r="C126" s="707">
        <f>Compost!E120</f>
        <v>467.24543036622242</v>
      </c>
      <c r="D126" s="338">
        <f t="shared" si="31"/>
        <v>0.79349120533175066</v>
      </c>
      <c r="F126" s="3">
        <v>2027</v>
      </c>
      <c r="G126" s="707">
        <f>'H&amp;C Recycling'!E120</f>
        <v>403.75170312403276</v>
      </c>
      <c r="H126" s="338">
        <f t="shared" si="32"/>
        <v>0.49705007385561284</v>
      </c>
      <c r="J126" s="3">
        <v>2027</v>
      </c>
      <c r="K126" s="335">
        <f t="shared" si="33"/>
        <v>1024.9460299040074</v>
      </c>
      <c r="L126" s="338">
        <f t="shared" si="34"/>
        <v>0.11864255735169449</v>
      </c>
      <c r="M126" s="338">
        <f t="shared" si="35"/>
        <v>0.39860062542408575</v>
      </c>
      <c r="N126" s="338">
        <f t="shared" si="36"/>
        <v>0.4827568172242197</v>
      </c>
      <c r="Q126" s="3">
        <v>2027</v>
      </c>
      <c r="R126" s="707">
        <f>Paper!F129</f>
        <v>320.20754490964924</v>
      </c>
      <c r="S126" s="335">
        <f t="shared" si="30"/>
        <v>494.79968322305854</v>
      </c>
      <c r="T126" s="707">
        <f>Paper!G129</f>
        <v>357.161305301423</v>
      </c>
      <c r="V126" s="335">
        <f t="shared" si="37"/>
        <v>648.01178542915386</v>
      </c>
      <c r="W126" s="335">
        <f t="shared" si="38"/>
        <v>121.60221813527778</v>
      </c>
      <c r="X126" s="335">
        <f t="shared" si="39"/>
        <v>408.54412854567107</v>
      </c>
      <c r="Y126" s="335">
        <f t="shared" si="40"/>
        <v>117.86543874820495</v>
      </c>
      <c r="Z126" s="338">
        <f t="shared" si="41"/>
        <v>0.18765433109329208</v>
      </c>
      <c r="AA126" s="338">
        <f t="shared" si="41"/>
        <v>0.63045786779187607</v>
      </c>
      <c r="AB126" s="338">
        <f t="shared" si="41"/>
        <v>0.18188780111483174</v>
      </c>
      <c r="AC126" s="338">
        <f t="shared" si="42"/>
        <v>0.65821138632181697</v>
      </c>
      <c r="AE126" s="346">
        <f>MIN('WTE Tonnes and Composition'!G80,V126)</f>
        <v>448.33821664518143</v>
      </c>
      <c r="AF126" s="335">
        <f t="shared" si="51"/>
        <v>0.28134289073510482</v>
      </c>
      <c r="AG126" s="335">
        <f t="shared" si="47"/>
        <v>2.237796222481458</v>
      </c>
      <c r="AH126" s="335">
        <f t="shared" si="47"/>
        <v>0.38573325309629009</v>
      </c>
      <c r="AI126" s="335">
        <f t="shared" si="48"/>
        <v>2.9048723663128531</v>
      </c>
      <c r="AK126" s="335">
        <f t="shared" si="43"/>
        <v>199.67356878397243</v>
      </c>
      <c r="AL126" s="338">
        <f t="shared" si="44"/>
        <v>0.10531622078084953</v>
      </c>
      <c r="AM126" s="335">
        <f t="shared" si="45"/>
        <v>37.469609987166791</v>
      </c>
      <c r="AN126" s="335">
        <f t="shared" si="45"/>
        <v>125.88577242993776</v>
      </c>
      <c r="AO126" s="335">
        <f t="shared" si="45"/>
        <v>36.318186366867856</v>
      </c>
      <c r="AP126" s="335">
        <f t="shared" si="46"/>
        <v>7.4284942287985443</v>
      </c>
      <c r="AQ126" s="335">
        <f t="shared" si="46"/>
        <v>35.2555752206978</v>
      </c>
      <c r="AR126" s="335">
        <f t="shared" si="46"/>
        <v>12.453961711173104</v>
      </c>
      <c r="AS126" s="335">
        <f t="shared" si="49"/>
        <v>55.138031160669442</v>
      </c>
      <c r="AT126" s="335">
        <f t="shared" si="50"/>
        <v>0.27614086078825728</v>
      </c>
    </row>
    <row r="127" spans="2:46" ht="14.4" x14ac:dyDescent="0.55000000000000004">
      <c r="B127" s="3">
        <v>2028</v>
      </c>
      <c r="C127" s="707">
        <f>Compost!E121</f>
        <v>505.13209447203724</v>
      </c>
      <c r="D127" s="338">
        <f t="shared" si="31"/>
        <v>0.91636674361834525</v>
      </c>
      <c r="F127" s="3">
        <v>2028</v>
      </c>
      <c r="G127" s="707">
        <f>'H&amp;C Recycling'!E121</f>
        <v>417.25158380289105</v>
      </c>
      <c r="H127" s="338">
        <f t="shared" si="32"/>
        <v>0.50842044759509708</v>
      </c>
      <c r="J127" s="3">
        <v>2028</v>
      </c>
      <c r="K127" s="335">
        <f t="shared" si="33"/>
        <v>956.58927133209204</v>
      </c>
      <c r="L127" s="338">
        <f t="shared" si="34"/>
        <v>4.8193575144775583E-2</v>
      </c>
      <c r="M127" s="338">
        <f t="shared" si="35"/>
        <v>0.42173853909365178</v>
      </c>
      <c r="N127" s="338">
        <f t="shared" si="36"/>
        <v>0.53006788576157271</v>
      </c>
      <c r="Q127" s="3">
        <v>2028</v>
      </c>
      <c r="R127" s="707">
        <f>Paper!F130</f>
        <v>329.084</v>
      </c>
      <c r="S127" s="335">
        <f t="shared" si="30"/>
        <v>507.05725259720543</v>
      </c>
      <c r="T127" s="707">
        <f>Paper!G130</f>
        <v>367.06215347604581</v>
      </c>
      <c r="V127" s="335">
        <f t="shared" si="37"/>
        <v>580.20820192140707</v>
      </c>
      <c r="W127" s="335">
        <f t="shared" si="38"/>
        <v>46.101456930629297</v>
      </c>
      <c r="X127" s="335">
        <f t="shared" si="39"/>
        <v>403.43056180425737</v>
      </c>
      <c r="Y127" s="335">
        <f t="shared" si="40"/>
        <v>130.6761831865204</v>
      </c>
      <c r="Z127" s="338">
        <f t="shared" si="41"/>
        <v>7.9456748074157757E-2</v>
      </c>
      <c r="AA127" s="338">
        <f t="shared" si="41"/>
        <v>0.69532033581783914</v>
      </c>
      <c r="AB127" s="338">
        <f t="shared" si="41"/>
        <v>0.22522291610800313</v>
      </c>
      <c r="AC127" s="338">
        <f t="shared" si="42"/>
        <v>0.69120992293010108</v>
      </c>
      <c r="AE127" s="346">
        <f>MIN('WTE Tonnes and Composition'!G81,V127)</f>
        <v>472.43314509528648</v>
      </c>
      <c r="AF127" s="335">
        <f t="shared" si="51"/>
        <v>0.11912643348733029</v>
      </c>
      <c r="AG127" s="335">
        <f t="shared" si="47"/>
        <v>2.4680241145334616</v>
      </c>
      <c r="AH127" s="335">
        <f t="shared" si="47"/>
        <v>0.47763493521660216</v>
      </c>
      <c r="AI127" s="335">
        <f t="shared" si="48"/>
        <v>3.0647854832373937</v>
      </c>
      <c r="AK127" s="335">
        <f t="shared" si="43"/>
        <v>107.77505682612059</v>
      </c>
      <c r="AL127" s="338">
        <f t="shared" si="44"/>
        <v>5.7358493026023236E-2</v>
      </c>
      <c r="AM127" s="335">
        <f t="shared" si="45"/>
        <v>8.5634555389111</v>
      </c>
      <c r="AN127" s="335">
        <f t="shared" si="45"/>
        <v>74.938188705124858</v>
      </c>
      <c r="AO127" s="335">
        <f t="shared" si="45"/>
        <v>24.273412582084628</v>
      </c>
      <c r="AP127" s="335">
        <f t="shared" si="46"/>
        <v>1.6977379820916594</v>
      </c>
      <c r="AQ127" s="335">
        <f t="shared" si="46"/>
        <v>20.987192577833095</v>
      </c>
      <c r="AR127" s="335">
        <f t="shared" si="46"/>
        <v>8.3236576805655158</v>
      </c>
      <c r="AS127" s="335">
        <f t="shared" si="49"/>
        <v>31.008588240490269</v>
      </c>
      <c r="AT127" s="335">
        <f t="shared" si="50"/>
        <v>0.28771581434207105</v>
      </c>
    </row>
    <row r="128" spans="2:46" ht="14.4" x14ac:dyDescent="0.55000000000000004">
      <c r="B128" s="3">
        <v>2029</v>
      </c>
      <c r="C128" s="707">
        <f>Compost!E122</f>
        <v>515.34848165816334</v>
      </c>
      <c r="D128" s="338">
        <f t="shared" si="31"/>
        <v>1.0012877812243057</v>
      </c>
      <c r="F128" s="3">
        <v>2029</v>
      </c>
      <c r="G128" s="707">
        <f>'H&amp;C Recycling'!E122</f>
        <v>430.79402648709066</v>
      </c>
      <c r="H128" s="338">
        <f t="shared" si="32"/>
        <v>0.52022726368394523</v>
      </c>
      <c r="J128" s="3">
        <v>2029</v>
      </c>
      <c r="K128" s="335">
        <f t="shared" si="33"/>
        <v>916.17194964518239</v>
      </c>
      <c r="L128" s="338">
        <f t="shared" si="34"/>
        <v>-7.2344777006773191E-4</v>
      </c>
      <c r="M128" s="338">
        <f t="shared" si="35"/>
        <v>0.43364579364248296</v>
      </c>
      <c r="N128" s="338">
        <f t="shared" si="36"/>
        <v>0.56707765412758471</v>
      </c>
      <c r="Q128" s="3">
        <v>2029</v>
      </c>
      <c r="R128" s="707">
        <f>Paper!F131</f>
        <v>335.14300000000003</v>
      </c>
      <c r="S128" s="335">
        <f t="shared" si="30"/>
        <v>519.54063998228571</v>
      </c>
      <c r="T128" s="707">
        <f>Paper!G131</f>
        <v>373.82039631954888</v>
      </c>
      <c r="V128" s="335">
        <f t="shared" si="37"/>
        <v>537.898095794455</v>
      </c>
      <c r="W128" s="335">
        <f t="shared" si="38"/>
        <v>-0.66280255396941357</v>
      </c>
      <c r="X128" s="335">
        <f t="shared" si="39"/>
        <v>397.29411221686604</v>
      </c>
      <c r="Y128" s="335">
        <f t="shared" si="40"/>
        <v>141.26678613155838</v>
      </c>
      <c r="Z128" s="338">
        <f t="shared" si="41"/>
        <v>-1.2322084036949033E-3</v>
      </c>
      <c r="AA128" s="338">
        <f t="shared" si="41"/>
        <v>0.73860479396209378</v>
      </c>
      <c r="AB128" s="338">
        <f t="shared" si="41"/>
        <v>0.26262741444160109</v>
      </c>
      <c r="AC128" s="338">
        <f t="shared" si="42"/>
        <v>0.71116687971555015</v>
      </c>
      <c r="AE128" s="346">
        <f>MIN('WTE Tonnes and Composition'!G82,V128)</f>
        <v>496.30217363209351</v>
      </c>
      <c r="AF128" s="335">
        <f t="shared" si="51"/>
        <v>-1.8474024674190179E-3</v>
      </c>
      <c r="AG128" s="335">
        <f t="shared" si="47"/>
        <v>2.6216613389630972</v>
      </c>
      <c r="AH128" s="335">
        <f t="shared" si="47"/>
        <v>0.55695943490388211</v>
      </c>
      <c r="AI128" s="335">
        <f t="shared" si="48"/>
        <v>3.1767733713995603</v>
      </c>
      <c r="AK128" s="335">
        <f t="shared" si="43"/>
        <v>41.595922162361489</v>
      </c>
      <c r="AL128" s="338">
        <f t="shared" si="44"/>
        <v>2.2335606099365964E-2</v>
      </c>
      <c r="AM128" s="335">
        <f t="shared" si="45"/>
        <v>-5.1254844847900903E-2</v>
      </c>
      <c r="AN128" s="335">
        <f t="shared" si="45"/>
        <v>30.722947518394299</v>
      </c>
      <c r="AO128" s="335">
        <f t="shared" si="45"/>
        <v>10.92422948881509</v>
      </c>
      <c r="AP128" s="335">
        <f t="shared" si="46"/>
        <v>-1.0161470036143982E-2</v>
      </c>
      <c r="AQ128" s="335">
        <f t="shared" si="46"/>
        <v>8.6042700960438996</v>
      </c>
      <c r="AR128" s="335">
        <f t="shared" si="46"/>
        <v>3.7460553344669796</v>
      </c>
      <c r="AS128" s="335">
        <f t="shared" si="49"/>
        <v>12.340163960474737</v>
      </c>
      <c r="AT128" s="335">
        <f t="shared" si="50"/>
        <v>0.29666763757051323</v>
      </c>
    </row>
    <row r="129" spans="2:46" ht="14.4" x14ac:dyDescent="0.55000000000000004">
      <c r="B129" s="3">
        <v>2030</v>
      </c>
      <c r="C129" s="707">
        <f>Compost!E123</f>
        <v>480.23961332404809</v>
      </c>
      <c r="D129" s="338">
        <f t="shared" si="31"/>
        <v>0.99880736385350333</v>
      </c>
      <c r="F129" s="3">
        <v>2030</v>
      </c>
      <c r="G129" s="707">
        <f>'H&amp;C Recycling'!E123</f>
        <v>444.88560420478137</v>
      </c>
      <c r="H129" s="338">
        <f t="shared" si="32"/>
        <v>0.53256638611672613</v>
      </c>
      <c r="J129" s="3">
        <v>2030</v>
      </c>
      <c r="K129" s="335">
        <f t="shared" si="33"/>
        <v>923.90855457832231</v>
      </c>
      <c r="L129" s="338">
        <f t="shared" si="34"/>
        <v>6.2066209726291735E-4</v>
      </c>
      <c r="M129" s="338">
        <f t="shared" si="35"/>
        <v>0.42263509059321253</v>
      </c>
      <c r="N129" s="338">
        <f t="shared" si="36"/>
        <v>0.57674424730952456</v>
      </c>
      <c r="Q129" s="3">
        <v>2030</v>
      </c>
      <c r="R129" s="707">
        <f>Paper!F132</f>
        <v>341.64</v>
      </c>
      <c r="S129" s="335">
        <f t="shared" si="30"/>
        <v>532.85894389310533</v>
      </c>
      <c r="T129" s="707">
        <f>Paper!G132</f>
        <v>381.06718683848584</v>
      </c>
      <c r="V129" s="335">
        <f t="shared" si="37"/>
        <v>542.84136773983641</v>
      </c>
      <c r="W129" s="335">
        <f t="shared" si="38"/>
        <v>0.57343502116373202</v>
      </c>
      <c r="X129" s="335">
        <f t="shared" si="39"/>
        <v>390.4761756640533</v>
      </c>
      <c r="Y129" s="335">
        <f t="shared" si="40"/>
        <v>151.7917570546195</v>
      </c>
      <c r="Z129" s="338">
        <f t="shared" si="41"/>
        <v>1.056358367733238E-3</v>
      </c>
      <c r="AA129" s="338">
        <f t="shared" si="41"/>
        <v>0.71931912132973985</v>
      </c>
      <c r="AB129" s="338">
        <f t="shared" si="41"/>
        <v>0.27962452030252716</v>
      </c>
      <c r="AC129" s="338">
        <f t="shared" si="42"/>
        <v>0.70641890054759982</v>
      </c>
      <c r="AE129" s="346">
        <f>MIN('WTE Tonnes and Composition'!G83,V129)</f>
        <v>519.22918248800215</v>
      </c>
      <c r="AF129" s="335">
        <f t="shared" si="51"/>
        <v>1.5837573004511901E-3</v>
      </c>
      <c r="AG129" s="335">
        <f t="shared" si="47"/>
        <v>2.553207271578942</v>
      </c>
      <c r="AH129" s="335">
        <f t="shared" si="47"/>
        <v>0.5930055517779752</v>
      </c>
      <c r="AI129" s="335">
        <f t="shared" si="48"/>
        <v>3.1477965806573684</v>
      </c>
      <c r="AK129" s="335">
        <f t="shared" si="43"/>
        <v>23.612185251834262</v>
      </c>
      <c r="AL129" s="338">
        <f t="shared" si="44"/>
        <v>1.2770012970031318E-2</v>
      </c>
      <c r="AM129" s="335">
        <f t="shared" si="45"/>
        <v>2.4942929471242478E-2</v>
      </c>
      <c r="AN129" s="335">
        <f t="shared" si="45"/>
        <v>16.984696348024464</v>
      </c>
      <c r="AO129" s="335">
        <f t="shared" si="45"/>
        <v>6.6025459743385619</v>
      </c>
      <c r="AP129" s="335">
        <f t="shared" ref="AP129:AR159" si="52">AP$111*AM129</f>
        <v>4.9450316587206136E-3</v>
      </c>
      <c r="AQ129" s="335">
        <f t="shared" si="52"/>
        <v>4.7567348409587371</v>
      </c>
      <c r="AR129" s="335">
        <f t="shared" si="52"/>
        <v>2.2640958425084499</v>
      </c>
      <c r="AS129" s="335">
        <f t="shared" si="49"/>
        <v>7.0257757151259073</v>
      </c>
      <c r="AT129" s="335">
        <f t="shared" si="50"/>
        <v>0.29754872919185338</v>
      </c>
    </row>
    <row r="130" spans="2:46" ht="14.4" x14ac:dyDescent="0.55000000000000004">
      <c r="B130" s="3">
        <v>2031</v>
      </c>
      <c r="C130" s="707">
        <f>Compost!E124</f>
        <v>445.15242220784609</v>
      </c>
      <c r="D130" s="338">
        <f t="shared" si="31"/>
        <v>0.99572701310470302</v>
      </c>
      <c r="F130" s="3">
        <v>2031</v>
      </c>
      <c r="G130" s="707">
        <f>'H&amp;C Recycling'!E124</f>
        <v>457.98214722872513</v>
      </c>
      <c r="H130" s="338">
        <f t="shared" si="32"/>
        <v>0.54559187481992377</v>
      </c>
      <c r="J130" s="3">
        <v>2031</v>
      </c>
      <c r="K130" s="335">
        <f t="shared" si="33"/>
        <v>928.51637863898372</v>
      </c>
      <c r="L130" s="338">
        <f t="shared" si="34"/>
        <v>2.0573607186002724E-3</v>
      </c>
      <c r="M130" s="338">
        <f t="shared" si="35"/>
        <v>0.41080637486149257</v>
      </c>
      <c r="N130" s="338">
        <f t="shared" si="36"/>
        <v>0.58713626441990718</v>
      </c>
      <c r="Q130" s="3">
        <v>2031</v>
      </c>
      <c r="R130" s="707">
        <f>Paper!F133</f>
        <v>348.57499999999999</v>
      </c>
      <c r="S130" s="335">
        <f t="shared" si="30"/>
        <v>545.16563800679296</v>
      </c>
      <c r="T130" s="707">
        <f>Paper!G133</f>
        <v>388.80252503285681</v>
      </c>
      <c r="V130" s="335">
        <f t="shared" si="37"/>
        <v>539.71385360612692</v>
      </c>
      <c r="W130" s="335">
        <f t="shared" si="38"/>
        <v>1.9102931239888221</v>
      </c>
      <c r="X130" s="335">
        <f t="shared" si="39"/>
        <v>381.44044750820194</v>
      </c>
      <c r="Y130" s="335">
        <f t="shared" si="40"/>
        <v>156.36311297393615</v>
      </c>
      <c r="Z130" s="338">
        <f t="shared" si="41"/>
        <v>3.539455419246878E-3</v>
      </c>
      <c r="AA130" s="338">
        <f t="shared" si="41"/>
        <v>0.70674570415339022</v>
      </c>
      <c r="AB130" s="338">
        <f t="shared" si="41"/>
        <v>0.2897148404273629</v>
      </c>
      <c r="AC130" s="338">
        <f t="shared" si="42"/>
        <v>0.70534022643714755</v>
      </c>
      <c r="AE130" s="346">
        <f>MIN('WTE Tonnes and Composition'!G84,V130)</f>
        <v>539.71385360612692</v>
      </c>
      <c r="AF130" s="335">
        <f t="shared" si="51"/>
        <v>5.3065688038070819E-3</v>
      </c>
      <c r="AG130" s="335">
        <f t="shared" si="51"/>
        <v>2.5085782061039326</v>
      </c>
      <c r="AH130" s="335">
        <f t="shared" si="51"/>
        <v>0.6144043041004501</v>
      </c>
      <c r="AI130" s="335">
        <f t="shared" si="48"/>
        <v>3.1282890790081899</v>
      </c>
      <c r="AK130" s="335">
        <f t="shared" si="43"/>
        <v>0</v>
      </c>
      <c r="AL130" s="338">
        <f t="shared" si="44"/>
        <v>0</v>
      </c>
      <c r="AM130" s="335">
        <f t="shared" si="45"/>
        <v>0</v>
      </c>
      <c r="AN130" s="335">
        <f t="shared" si="45"/>
        <v>0</v>
      </c>
      <c r="AO130" s="335">
        <f t="shared" si="45"/>
        <v>0</v>
      </c>
      <c r="AP130" s="335">
        <f t="shared" si="52"/>
        <v>0</v>
      </c>
      <c r="AQ130" s="335">
        <f t="shared" si="52"/>
        <v>0</v>
      </c>
      <c r="AR130" s="335">
        <f t="shared" si="52"/>
        <v>0</v>
      </c>
      <c r="AS130" s="335">
        <f t="shared" si="49"/>
        <v>0</v>
      </c>
      <c r="AT130" s="335" t="e">
        <f t="shared" si="50"/>
        <v>#DIV/0!</v>
      </c>
    </row>
    <row r="131" spans="2:46" ht="14.4" x14ac:dyDescent="0.55000000000000004">
      <c r="B131" s="3">
        <v>2032</v>
      </c>
      <c r="C131" s="707">
        <f>Compost!E125</f>
        <v>412.72072158631033</v>
      </c>
      <c r="D131" s="338">
        <f t="shared" si="31"/>
        <v>0.99194243105313651</v>
      </c>
      <c r="F131" s="3">
        <v>2032</v>
      </c>
      <c r="G131" s="707">
        <f>'H&amp;C Recycling'!E125</f>
        <v>471.45432385836955</v>
      </c>
      <c r="H131" s="338">
        <f t="shared" si="32"/>
        <v>0.5594103025110384</v>
      </c>
      <c r="J131" s="3">
        <v>2032</v>
      </c>
      <c r="K131" s="335">
        <f t="shared" si="33"/>
        <v>932.774574431735</v>
      </c>
      <c r="L131" s="338">
        <f t="shared" si="34"/>
        <v>3.5941577696132444E-3</v>
      </c>
      <c r="M131" s="338">
        <f t="shared" si="35"/>
        <v>0.39807673881734806</v>
      </c>
      <c r="N131" s="338">
        <f t="shared" si="36"/>
        <v>0.59832910341303869</v>
      </c>
      <c r="Q131" s="3">
        <v>2032</v>
      </c>
      <c r="R131" s="707">
        <f>Paper!F134</f>
        <v>355.94800000000004</v>
      </c>
      <c r="S131" s="335">
        <f t="shared" si="30"/>
        <v>558.10617480621875</v>
      </c>
      <c r="T131" s="707">
        <f>Paper!G134</f>
        <v>397.02641090266178</v>
      </c>
      <c r="V131" s="335">
        <f t="shared" si="37"/>
        <v>535.74816352907328</v>
      </c>
      <c r="W131" s="335">
        <f t="shared" si="38"/>
        <v>3.3525389839915078</v>
      </c>
      <c r="X131" s="335">
        <f t="shared" si="39"/>
        <v>371.31586064152475</v>
      </c>
      <c r="Y131" s="335">
        <f t="shared" si="40"/>
        <v>161.07976390355697</v>
      </c>
      <c r="Z131" s="338">
        <f t="shared" si="41"/>
        <v>6.2576770434595742E-3</v>
      </c>
      <c r="AA131" s="338">
        <f t="shared" si="41"/>
        <v>0.69307911052013282</v>
      </c>
      <c r="AB131" s="338">
        <f t="shared" si="41"/>
        <v>0.30066321243640753</v>
      </c>
      <c r="AC131" s="338">
        <f t="shared" si="42"/>
        <v>0.70513867986856249</v>
      </c>
      <c r="AE131" s="346">
        <f>MIN('WTE Tonnes and Composition'!G85,V131)</f>
        <v>535.74816352907328</v>
      </c>
      <c r="AF131" s="335">
        <f t="shared" si="51"/>
        <v>9.3818934976692032E-3</v>
      </c>
      <c r="AG131" s="335">
        <f t="shared" si="51"/>
        <v>2.4600689350343097</v>
      </c>
      <c r="AH131" s="335">
        <f t="shared" si="51"/>
        <v>0.63762274494844806</v>
      </c>
      <c r="AI131" s="335">
        <f t="shared" si="48"/>
        <v>3.1070735734804269</v>
      </c>
      <c r="AK131" s="335">
        <f t="shared" si="43"/>
        <v>0</v>
      </c>
      <c r="AL131" s="338">
        <f t="shared" si="44"/>
        <v>0</v>
      </c>
      <c r="AM131" s="335">
        <f t="shared" si="45"/>
        <v>0</v>
      </c>
      <c r="AN131" s="335">
        <f t="shared" si="45"/>
        <v>0</v>
      </c>
      <c r="AO131" s="335">
        <f t="shared" si="45"/>
        <v>0</v>
      </c>
      <c r="AP131" s="335">
        <f t="shared" si="52"/>
        <v>0</v>
      </c>
      <c r="AQ131" s="335">
        <f t="shared" si="52"/>
        <v>0</v>
      </c>
      <c r="AR131" s="335">
        <f t="shared" si="52"/>
        <v>0</v>
      </c>
      <c r="AS131" s="335">
        <f t="shared" si="49"/>
        <v>0</v>
      </c>
      <c r="AT131" s="335" t="e">
        <f t="shared" si="50"/>
        <v>#DIV/0!</v>
      </c>
    </row>
    <row r="132" spans="2:46" ht="14.4" x14ac:dyDescent="0.55000000000000004">
      <c r="B132" s="3">
        <v>2033</v>
      </c>
      <c r="C132" s="707">
        <f>Compost!E126</f>
        <v>382.13210851993972</v>
      </c>
      <c r="D132" s="338">
        <f t="shared" si="31"/>
        <v>0.98739133451944927</v>
      </c>
      <c r="F132" s="3">
        <v>2033</v>
      </c>
      <c r="G132" s="707">
        <f>'H&amp;C Recycling'!E126</f>
        <v>484.94668670341099</v>
      </c>
      <c r="H132" s="338">
        <f t="shared" si="32"/>
        <v>0.57418821341166415</v>
      </c>
      <c r="J132" s="3">
        <v>2033</v>
      </c>
      <c r="K132" s="335">
        <f t="shared" si="33"/>
        <v>935.76255976632615</v>
      </c>
      <c r="L132" s="338">
        <f t="shared" si="34"/>
        <v>5.2146801672723585E-3</v>
      </c>
      <c r="M132" s="338">
        <f t="shared" si="35"/>
        <v>0.38431889486909632</v>
      </c>
      <c r="N132" s="338">
        <f t="shared" si="36"/>
        <v>0.61046642496363124</v>
      </c>
      <c r="Q132" s="3">
        <v>2033</v>
      </c>
      <c r="R132" s="707">
        <f>Paper!F135</f>
        <v>363.75900000000001</v>
      </c>
      <c r="S132" s="335">
        <f t="shared" si="30"/>
        <v>571.25162447536547</v>
      </c>
      <c r="T132" s="707">
        <f>Paper!G135</f>
        <v>405.73884444790065</v>
      </c>
      <c r="V132" s="335">
        <f t="shared" si="37"/>
        <v>530.0237153184255</v>
      </c>
      <c r="W132" s="335">
        <f t="shared" si="38"/>
        <v>4.879702461689476</v>
      </c>
      <c r="X132" s="335">
        <f t="shared" si="39"/>
        <v>359.63123282927114</v>
      </c>
      <c r="Y132" s="335">
        <f t="shared" si="40"/>
        <v>165.51278002746483</v>
      </c>
      <c r="Z132" s="338">
        <f t="shared" si="41"/>
        <v>9.2065738204900292E-3</v>
      </c>
      <c r="AA132" s="338">
        <f t="shared" si="41"/>
        <v>0.67851913496590122</v>
      </c>
      <c r="AB132" s="338">
        <f t="shared" si="41"/>
        <v>0.31227429121360867</v>
      </c>
      <c r="AC132" s="338">
        <f t="shared" si="42"/>
        <v>0.70600645816588758</v>
      </c>
      <c r="AE132" s="346">
        <f>MIN('WTE Tonnes and Composition'!G86,V132)</f>
        <v>530.0237153184255</v>
      </c>
      <c r="AF132" s="335">
        <f t="shared" si="51"/>
        <v>1.3803060538661836E-2</v>
      </c>
      <c r="AG132" s="335">
        <f t="shared" si="51"/>
        <v>2.4083886246452928</v>
      </c>
      <c r="AH132" s="335">
        <f t="shared" si="51"/>
        <v>0.66224660186043249</v>
      </c>
      <c r="AI132" s="335">
        <f t="shared" si="48"/>
        <v>3.0844382870443869</v>
      </c>
      <c r="AK132" s="335">
        <f t="shared" si="43"/>
        <v>0</v>
      </c>
      <c r="AL132" s="338">
        <f t="shared" si="44"/>
        <v>0</v>
      </c>
      <c r="AM132" s="335">
        <f t="shared" si="45"/>
        <v>0</v>
      </c>
      <c r="AN132" s="335">
        <f t="shared" si="45"/>
        <v>0</v>
      </c>
      <c r="AO132" s="335">
        <f t="shared" si="45"/>
        <v>0</v>
      </c>
      <c r="AP132" s="335">
        <f t="shared" si="52"/>
        <v>0</v>
      </c>
      <c r="AQ132" s="335">
        <f t="shared" si="52"/>
        <v>0</v>
      </c>
      <c r="AR132" s="335">
        <f t="shared" si="52"/>
        <v>0</v>
      </c>
      <c r="AS132" s="335">
        <f t="shared" si="49"/>
        <v>0</v>
      </c>
      <c r="AT132" s="335" t="e">
        <f t="shared" si="50"/>
        <v>#DIV/0!</v>
      </c>
    </row>
    <row r="133" spans="2:46" ht="14.4" x14ac:dyDescent="0.55000000000000004">
      <c r="B133" s="3">
        <v>2034</v>
      </c>
      <c r="C133" s="707">
        <f>Compost!E127</f>
        <v>353.5698871343094</v>
      </c>
      <c r="D133" s="338">
        <f t="shared" si="31"/>
        <v>0.98202154681915177</v>
      </c>
      <c r="F133" s="3">
        <v>2034</v>
      </c>
      <c r="G133" s="707">
        <f>'H&amp;C Recycling'!E127</f>
        <v>498.46132960576045</v>
      </c>
      <c r="H133" s="338">
        <f t="shared" si="32"/>
        <v>0.59010817763646839</v>
      </c>
      <c r="J133" s="3">
        <v>2034</v>
      </c>
      <c r="K133" s="335">
        <f t="shared" si="33"/>
        <v>937.30573158893685</v>
      </c>
      <c r="L133" s="338">
        <f t="shared" si="34"/>
        <v>6.9059798004681081E-3</v>
      </c>
      <c r="M133" s="338">
        <f t="shared" si="35"/>
        <v>0.36939228417869735</v>
      </c>
      <c r="N133" s="338">
        <f t="shared" si="36"/>
        <v>0.62370173602083434</v>
      </c>
      <c r="Q133" s="3">
        <v>2034</v>
      </c>
      <c r="R133" s="707">
        <f>Paper!F136</f>
        <v>372.00799999999998</v>
      </c>
      <c r="S133" s="335">
        <f t="shared" si="30"/>
        <v>584.5992119742981</v>
      </c>
      <c r="T133" s="707">
        <f>Paper!G136</f>
        <v>414.93982566857346</v>
      </c>
      <c r="V133" s="335">
        <f t="shared" si="37"/>
        <v>522.36590592036339</v>
      </c>
      <c r="W133" s="335">
        <f t="shared" si="38"/>
        <v>6.4730144492161799</v>
      </c>
      <c r="X133" s="335">
        <f t="shared" si="39"/>
        <v>346.2335051654224</v>
      </c>
      <c r="Y133" s="335">
        <f t="shared" si="40"/>
        <v>169.65938630572464</v>
      </c>
      <c r="Z133" s="338">
        <f t="shared" si="41"/>
        <v>1.2391724605018565E-2</v>
      </c>
      <c r="AA133" s="338">
        <f t="shared" si="41"/>
        <v>0.66281796197129106</v>
      </c>
      <c r="AB133" s="338">
        <f t="shared" si="41"/>
        <v>0.32479031342369008</v>
      </c>
      <c r="AC133" s="338">
        <f t="shared" si="42"/>
        <v>0.70806733387572374</v>
      </c>
      <c r="AE133" s="346">
        <f>MIN('WTE Tonnes and Composition'!G87,V133)</f>
        <v>522.36590592036339</v>
      </c>
      <c r="AF133" s="335">
        <f t="shared" si="51"/>
        <v>1.8578434088132117E-2</v>
      </c>
      <c r="AG133" s="335">
        <f t="shared" si="51"/>
        <v>2.3526576592456103</v>
      </c>
      <c r="AH133" s="335">
        <f t="shared" si="51"/>
        <v>0.6887895911831311</v>
      </c>
      <c r="AI133" s="335">
        <f t="shared" si="48"/>
        <v>3.0600256845168738</v>
      </c>
      <c r="AK133" s="335">
        <f t="shared" si="43"/>
        <v>0</v>
      </c>
      <c r="AL133" s="338">
        <f t="shared" si="44"/>
        <v>0</v>
      </c>
      <c r="AM133" s="335">
        <f t="shared" si="45"/>
        <v>0</v>
      </c>
      <c r="AN133" s="335">
        <f t="shared" si="45"/>
        <v>0</v>
      </c>
      <c r="AO133" s="335">
        <f t="shared" si="45"/>
        <v>0</v>
      </c>
      <c r="AP133" s="335">
        <f t="shared" si="52"/>
        <v>0</v>
      </c>
      <c r="AQ133" s="335">
        <f t="shared" si="52"/>
        <v>0</v>
      </c>
      <c r="AR133" s="335">
        <f t="shared" si="52"/>
        <v>0</v>
      </c>
      <c r="AS133" s="335">
        <f t="shared" si="49"/>
        <v>0</v>
      </c>
      <c r="AT133" s="335" t="e">
        <f t="shared" si="50"/>
        <v>#DIV/0!</v>
      </c>
    </row>
    <row r="134" spans="2:46" ht="14.4" x14ac:dyDescent="0.55000000000000004">
      <c r="B134" s="3">
        <v>2035</v>
      </c>
      <c r="C134" s="707">
        <f>Compost!E128</f>
        <v>327.27778617548319</v>
      </c>
      <c r="D134" s="338">
        <f t="shared" si="31"/>
        <v>0.97579575175856048</v>
      </c>
      <c r="F134" s="3">
        <v>2035</v>
      </c>
      <c r="G134" s="707">
        <f>'H&amp;C Recycling'!E128</f>
        <v>512.02116082414466</v>
      </c>
      <c r="H134" s="338">
        <f t="shared" si="32"/>
        <v>0.6073766835955644</v>
      </c>
      <c r="J134" s="3">
        <v>2035</v>
      </c>
      <c r="K134" s="335">
        <f t="shared" si="33"/>
        <v>937.27340794283521</v>
      </c>
      <c r="L134" s="338">
        <f t="shared" si="34"/>
        <v>8.6612965545183919E-3</v>
      </c>
      <c r="M134" s="338">
        <f t="shared" si="35"/>
        <v>0.35313404213616617</v>
      </c>
      <c r="N134" s="338">
        <f t="shared" si="36"/>
        <v>0.63820466130931541</v>
      </c>
      <c r="Q134" s="3">
        <v>2035</v>
      </c>
      <c r="R134" s="707">
        <f>Paper!F137</f>
        <v>380.69499999999999</v>
      </c>
      <c r="S134" s="335">
        <f t="shared" si="30"/>
        <v>598.17225787038501</v>
      </c>
      <c r="T134" s="707">
        <f>Paper!G137</f>
        <v>424.62935456468028</v>
      </c>
      <c r="V134" s="335">
        <f t="shared" si="37"/>
        <v>512.64405337815492</v>
      </c>
      <c r="W134" s="335">
        <f t="shared" si="38"/>
        <v>8.1180029388569892</v>
      </c>
      <c r="X134" s="335">
        <f t="shared" si="39"/>
        <v>330.98314713359321</v>
      </c>
      <c r="Y134" s="335">
        <f t="shared" si="40"/>
        <v>173.54290330570473</v>
      </c>
      <c r="Z134" s="338">
        <f t="shared" si="41"/>
        <v>1.5835554680410379E-2</v>
      </c>
      <c r="AA134" s="338">
        <f t="shared" si="41"/>
        <v>0.64563929875422066</v>
      </c>
      <c r="AB134" s="338">
        <f t="shared" si="41"/>
        <v>0.33852514656536897</v>
      </c>
      <c r="AC134" s="338">
        <f t="shared" si="42"/>
        <v>0.71144206316620429</v>
      </c>
      <c r="AE134" s="346">
        <f>MIN('WTE Tonnes and Composition'!G88,V134)</f>
        <v>512.64405337815492</v>
      </c>
      <c r="AF134" s="335">
        <f t="shared" si="51"/>
        <v>2.3741635507285832E-2</v>
      </c>
      <c r="AG134" s="335">
        <f t="shared" si="51"/>
        <v>2.2916823750619391</v>
      </c>
      <c r="AH134" s="335">
        <f t="shared" si="51"/>
        <v>0.71791733826678383</v>
      </c>
      <c r="AI134" s="335">
        <f t="shared" si="48"/>
        <v>3.0333413488360086</v>
      </c>
      <c r="AK134" s="335">
        <f t="shared" si="43"/>
        <v>0</v>
      </c>
      <c r="AL134" s="338">
        <f t="shared" si="44"/>
        <v>0</v>
      </c>
      <c r="AM134" s="335">
        <f t="shared" si="45"/>
        <v>0</v>
      </c>
      <c r="AN134" s="335">
        <f t="shared" si="45"/>
        <v>0</v>
      </c>
      <c r="AO134" s="335">
        <f t="shared" si="45"/>
        <v>0</v>
      </c>
      <c r="AP134" s="335">
        <f t="shared" si="52"/>
        <v>0</v>
      </c>
      <c r="AQ134" s="335">
        <f t="shared" si="52"/>
        <v>0</v>
      </c>
      <c r="AR134" s="335">
        <f t="shared" si="52"/>
        <v>0</v>
      </c>
      <c r="AS134" s="335">
        <f>SUM(AP134:AR134)</f>
        <v>0</v>
      </c>
      <c r="AT134" s="335" t="e">
        <f t="shared" si="50"/>
        <v>#DIV/0!</v>
      </c>
    </row>
    <row r="135" spans="2:46" ht="14.4" x14ac:dyDescent="0.55000000000000004">
      <c r="B135" s="3">
        <v>2036</v>
      </c>
      <c r="C135" s="707">
        <f>Compost!E129</f>
        <v>303.24551960203632</v>
      </c>
      <c r="D135" s="338">
        <f t="shared" si="31"/>
        <v>0.96867137339520326</v>
      </c>
      <c r="F135" s="3">
        <v>2036</v>
      </c>
      <c r="G135" s="707">
        <f>'H&amp;C Recycling'!E129</f>
        <v>525.55152106664127</v>
      </c>
      <c r="H135" s="338">
        <f t="shared" si="32"/>
        <v>0.62623929338690676</v>
      </c>
      <c r="J135" s="3">
        <v>2036</v>
      </c>
      <c r="K135" s="335">
        <f t="shared" si="33"/>
        <v>935.35691251610206</v>
      </c>
      <c r="L135" s="338">
        <f t="shared" si="34"/>
        <v>1.0485325667335911E-2</v>
      </c>
      <c r="M135" s="338">
        <f t="shared" si="35"/>
        <v>0.33534455991561973</v>
      </c>
      <c r="N135" s="338">
        <f t="shared" si="36"/>
        <v>0.65417011441704442</v>
      </c>
      <c r="Q135" s="3">
        <v>2036</v>
      </c>
      <c r="R135" s="707">
        <f>Paper!F138</f>
        <v>389.82</v>
      </c>
      <c r="S135" s="335">
        <f t="shared" si="30"/>
        <v>611.88253848143188</v>
      </c>
      <c r="T135" s="707">
        <f>Paper!G138</f>
        <v>434.80743113622106</v>
      </c>
      <c r="V135" s="335">
        <f t="shared" si="37"/>
        <v>500.549481379881</v>
      </c>
      <c r="W135" s="335">
        <f t="shared" si="38"/>
        <v>9.8075218429251549</v>
      </c>
      <c r="X135" s="335">
        <f t="shared" si="39"/>
        <v>313.66685219174508</v>
      </c>
      <c r="Y135" s="335">
        <f t="shared" si="40"/>
        <v>177.07510734521082</v>
      </c>
      <c r="Z135" s="338">
        <f t="shared" si="41"/>
        <v>1.959351114676703E-2</v>
      </c>
      <c r="AA135" s="338">
        <f t="shared" si="41"/>
        <v>0.62664504481564842</v>
      </c>
      <c r="AB135" s="338">
        <f t="shared" si="41"/>
        <v>0.35376144403758469</v>
      </c>
      <c r="AC135" s="338">
        <f t="shared" si="42"/>
        <v>0.71626655345115853</v>
      </c>
      <c r="AE135" s="346">
        <f>MIN('WTE Tonnes and Composition'!G89,V135)</f>
        <v>500.549481379881</v>
      </c>
      <c r="AF135" s="335">
        <f t="shared" si="51"/>
        <v>2.9375794491742404E-2</v>
      </c>
      <c r="AG135" s="335">
        <f t="shared" si="51"/>
        <v>2.2242626918696877</v>
      </c>
      <c r="AH135" s="335">
        <f t="shared" si="51"/>
        <v>0.75022927206926082</v>
      </c>
      <c r="AI135" s="335">
        <f t="shared" si="48"/>
        <v>3.0038677584306912</v>
      </c>
      <c r="AK135" s="335">
        <f t="shared" si="43"/>
        <v>0</v>
      </c>
      <c r="AL135" s="338">
        <f t="shared" si="44"/>
        <v>0</v>
      </c>
      <c r="AM135" s="335">
        <f t="shared" si="45"/>
        <v>0</v>
      </c>
      <c r="AN135" s="335">
        <f t="shared" si="45"/>
        <v>0</v>
      </c>
      <c r="AO135" s="335">
        <f t="shared" si="45"/>
        <v>0</v>
      </c>
      <c r="AP135" s="335">
        <f t="shared" si="52"/>
        <v>0</v>
      </c>
      <c r="AQ135" s="335">
        <f t="shared" si="52"/>
        <v>0</v>
      </c>
      <c r="AR135" s="335">
        <f t="shared" si="52"/>
        <v>0</v>
      </c>
      <c r="AS135" s="335">
        <f t="shared" si="49"/>
        <v>0</v>
      </c>
      <c r="AT135" s="335" t="e">
        <f t="shared" si="50"/>
        <v>#DIV/0!</v>
      </c>
    </row>
    <row r="136" spans="2:46" ht="14.4" x14ac:dyDescent="0.55000000000000004">
      <c r="B136" s="3">
        <v>2037</v>
      </c>
      <c r="C136" s="707">
        <f>Compost!E130</f>
        <v>281.86040212859189</v>
      </c>
      <c r="D136" s="338">
        <f t="shared" si="31"/>
        <v>0.9606608075411246</v>
      </c>
      <c r="F136" s="3">
        <v>2037</v>
      </c>
      <c r="G136" s="707">
        <f>'H&amp;C Recycling'!E130</f>
        <v>539.12244168553343</v>
      </c>
      <c r="H136" s="338">
        <f t="shared" si="32"/>
        <v>0.64696917127803488</v>
      </c>
      <c r="J136" s="3">
        <v>2037</v>
      </c>
      <c r="K136" s="335">
        <f t="shared" si="33"/>
        <v>931.53978963641202</v>
      </c>
      <c r="L136" s="338">
        <f t="shared" si="34"/>
        <v>1.2390476970676448E-2</v>
      </c>
      <c r="M136" s="338">
        <f t="shared" si="35"/>
        <v>0.31580212344155645</v>
      </c>
      <c r="N136" s="338">
        <f t="shared" si="36"/>
        <v>0.67180739958776714</v>
      </c>
      <c r="Q136" s="3">
        <v>2037</v>
      </c>
      <c r="R136" s="707">
        <f>Paper!F139</f>
        <v>399.38299999999998</v>
      </c>
      <c r="S136" s="335">
        <f t="shared" si="30"/>
        <v>625.81532368817363</v>
      </c>
      <c r="T136" s="707">
        <f>Paper!G139</f>
        <v>445.47405538319572</v>
      </c>
      <c r="V136" s="335">
        <f t="shared" si="37"/>
        <v>486.06573425321631</v>
      </c>
      <c r="W136" s="335">
        <f t="shared" si="38"/>
        <v>11.542222310758746</v>
      </c>
      <c r="X136" s="335">
        <f t="shared" si="39"/>
        <v>294.1822436374797</v>
      </c>
      <c r="Y136" s="335">
        <f t="shared" si="40"/>
        <v>180.34126830497792</v>
      </c>
      <c r="Z136" s="338">
        <f t="shared" si="41"/>
        <v>2.3746216812612873E-2</v>
      </c>
      <c r="AA136" s="338">
        <f t="shared" si="41"/>
        <v>0.60523139753814703</v>
      </c>
      <c r="AB136" s="338">
        <f t="shared" si="41"/>
        <v>0.37102238564924017</v>
      </c>
      <c r="AC136" s="338">
        <f t="shared" si="42"/>
        <v>0.72264795616579125</v>
      </c>
      <c r="AE136" s="346">
        <f>MIN('WTE Tonnes and Composition'!G90,V136)</f>
        <v>486.06573425321631</v>
      </c>
      <c r="AF136" s="335">
        <f t="shared" si="51"/>
        <v>3.560178570438477E-2</v>
      </c>
      <c r="AG136" s="335">
        <f t="shared" si="51"/>
        <v>2.148255425666513</v>
      </c>
      <c r="AH136" s="335">
        <f t="shared" si="51"/>
        <v>0.78683491092222324</v>
      </c>
      <c r="AI136" s="335">
        <f t="shared" si="48"/>
        <v>2.9706921222931211</v>
      </c>
      <c r="AK136" s="335">
        <f t="shared" si="43"/>
        <v>0</v>
      </c>
      <c r="AL136" s="338">
        <f t="shared" si="44"/>
        <v>0</v>
      </c>
      <c r="AM136" s="335">
        <f t="shared" si="45"/>
        <v>0</v>
      </c>
      <c r="AN136" s="335">
        <f t="shared" si="45"/>
        <v>0</v>
      </c>
      <c r="AO136" s="335">
        <f t="shared" si="45"/>
        <v>0</v>
      </c>
      <c r="AP136" s="335">
        <f t="shared" si="52"/>
        <v>0</v>
      </c>
      <c r="AQ136" s="335">
        <f t="shared" si="52"/>
        <v>0</v>
      </c>
      <c r="AR136" s="335">
        <f t="shared" si="52"/>
        <v>0</v>
      </c>
      <c r="AS136" s="335">
        <f t="shared" si="49"/>
        <v>0</v>
      </c>
      <c r="AT136" s="335" t="e">
        <f t="shared" si="50"/>
        <v>#DIV/0!</v>
      </c>
    </row>
    <row r="137" spans="2:46" ht="14.4" x14ac:dyDescent="0.55000000000000004">
      <c r="B137" s="3">
        <v>2038</v>
      </c>
      <c r="C137" s="707">
        <f>Compost!E131</f>
        <v>263.26096684835181</v>
      </c>
      <c r="D137" s="338">
        <f t="shared" si="31"/>
        <v>0.95181343551089603</v>
      </c>
      <c r="F137" s="3">
        <v>2038</v>
      </c>
      <c r="G137" s="707">
        <f>'H&amp;C Recycling'!E131</f>
        <v>552.70586415566333</v>
      </c>
      <c r="H137" s="338">
        <f t="shared" si="32"/>
        <v>0.66989780182216274</v>
      </c>
      <c r="J137" s="3">
        <v>2038</v>
      </c>
      <c r="K137" s="335">
        <f t="shared" si="33"/>
        <v>925.62653198518944</v>
      </c>
      <c r="L137" s="338">
        <f t="shared" si="34"/>
        <v>1.4398750631908201E-2</v>
      </c>
      <c r="M137" s="338">
        <f t="shared" si="35"/>
        <v>0.29423758095389135</v>
      </c>
      <c r="N137" s="338">
        <f t="shared" si="36"/>
        <v>0.69136366841420072</v>
      </c>
      <c r="Q137" s="3">
        <v>2038</v>
      </c>
      <c r="R137" s="707">
        <f>Paper!F140</f>
        <v>409.38399999999996</v>
      </c>
      <c r="S137" s="335">
        <f t="shared" si="30"/>
        <v>639.94455473479502</v>
      </c>
      <c r="T137" s="707">
        <f>Paper!G140</f>
        <v>456.62922730560439</v>
      </c>
      <c r="V137" s="335">
        <f t="shared" si="37"/>
        <v>468.99730467958506</v>
      </c>
      <c r="W137" s="335">
        <f t="shared" si="38"/>
        <v>13.327865612332744</v>
      </c>
      <c r="X137" s="335">
        <f t="shared" si="39"/>
        <v>272.35411163806191</v>
      </c>
      <c r="Y137" s="335">
        <f t="shared" si="40"/>
        <v>183.31532742919063</v>
      </c>
      <c r="Z137" s="338">
        <f t="shared" si="41"/>
        <v>2.8417787222547532E-2</v>
      </c>
      <c r="AA137" s="338">
        <f t="shared" si="41"/>
        <v>0.58071572889769996</v>
      </c>
      <c r="AB137" s="338">
        <f t="shared" si="41"/>
        <v>0.39086648387975298</v>
      </c>
      <c r="AC137" s="338">
        <f t="shared" si="42"/>
        <v>0.73070791687296288</v>
      </c>
      <c r="AE137" s="346">
        <f>MIN('WTE Tonnes and Composition'!G91,V137)</f>
        <v>468.99730467958506</v>
      </c>
      <c r="AF137" s="335">
        <f t="shared" si="51"/>
        <v>4.260569078745044E-2</v>
      </c>
      <c r="AG137" s="335">
        <f t="shared" si="51"/>
        <v>2.061237603417192</v>
      </c>
      <c r="AH137" s="335">
        <f t="shared" si="51"/>
        <v>0.82891870388855582</v>
      </c>
      <c r="AI137" s="335">
        <f t="shared" si="48"/>
        <v>2.932761998093198</v>
      </c>
      <c r="AK137" s="335">
        <f t="shared" si="43"/>
        <v>0</v>
      </c>
      <c r="AL137" s="338">
        <f t="shared" si="44"/>
        <v>0</v>
      </c>
      <c r="AM137" s="335">
        <f t="shared" si="45"/>
        <v>0</v>
      </c>
      <c r="AN137" s="335">
        <f t="shared" si="45"/>
        <v>0</v>
      </c>
      <c r="AO137" s="335">
        <f t="shared" si="45"/>
        <v>0</v>
      </c>
      <c r="AP137" s="335">
        <f t="shared" si="52"/>
        <v>0</v>
      </c>
      <c r="AQ137" s="335">
        <f t="shared" si="52"/>
        <v>0</v>
      </c>
      <c r="AR137" s="335">
        <f t="shared" si="52"/>
        <v>0</v>
      </c>
      <c r="AS137" s="335">
        <f t="shared" si="49"/>
        <v>0</v>
      </c>
      <c r="AT137" s="335" t="e">
        <f t="shared" si="50"/>
        <v>#DIV/0!</v>
      </c>
    </row>
    <row r="138" spans="2:46" ht="14.4" x14ac:dyDescent="0.55000000000000004">
      <c r="B138" s="3">
        <v>2039</v>
      </c>
      <c r="C138" s="707">
        <f>Compost!E132</f>
        <v>247.64994023604447</v>
      </c>
      <c r="D138" s="338">
        <f t="shared" si="31"/>
        <v>0.94226246956395832</v>
      </c>
      <c r="F138" s="3">
        <v>2039</v>
      </c>
      <c r="G138" s="707">
        <f>'H&amp;C Recycling'!E132</f>
        <v>566.29350095481277</v>
      </c>
      <c r="H138" s="338">
        <f t="shared" si="32"/>
        <v>0.69542194773577282</v>
      </c>
      <c r="J138" s="3">
        <v>2039</v>
      </c>
      <c r="K138" s="335">
        <f t="shared" si="33"/>
        <v>917.46810071633308</v>
      </c>
      <c r="L138" s="338">
        <f t="shared" si="34"/>
        <v>1.6539926106209846E-2</v>
      </c>
      <c r="M138" s="338">
        <f t="shared" si="35"/>
        <v>0.27033409073763093</v>
      </c>
      <c r="N138" s="338">
        <f t="shared" si="36"/>
        <v>0.71312598315615927</v>
      </c>
      <c r="Q138" s="3">
        <v>2039</v>
      </c>
      <c r="R138" s="707">
        <f>Paper!F141</f>
        <v>419.82299999999998</v>
      </c>
      <c r="S138" s="335">
        <f t="shared" si="30"/>
        <v>654.27034133774919</v>
      </c>
      <c r="T138" s="707">
        <f>Paper!G141</f>
        <v>468.27294690344701</v>
      </c>
      <c r="V138" s="335">
        <f t="shared" si="37"/>
        <v>449.19515381288608</v>
      </c>
      <c r="W138" s="335">
        <f t="shared" si="38"/>
        <v>15.174854590652842</v>
      </c>
      <c r="X138" s="335">
        <f t="shared" si="39"/>
        <v>248.02290478793111</v>
      </c>
      <c r="Y138" s="335">
        <f t="shared" si="40"/>
        <v>185.99739443430218</v>
      </c>
      <c r="Z138" s="338">
        <f t="shared" si="41"/>
        <v>3.3782320360860311E-2</v>
      </c>
      <c r="AA138" s="338">
        <f t="shared" si="41"/>
        <v>0.55214955611753103</v>
      </c>
      <c r="AB138" s="338">
        <f t="shared" si="41"/>
        <v>0.41406812352160882</v>
      </c>
      <c r="AC138" s="338">
        <f t="shared" si="42"/>
        <v>0.74056130334092196</v>
      </c>
      <c r="AE138" s="346">
        <f>MIN('WTE Tonnes and Composition'!G92,V138)</f>
        <v>449.19515381288608</v>
      </c>
      <c r="AF138" s="335">
        <f t="shared" si="51"/>
        <v>5.0648528124505279E-2</v>
      </c>
      <c r="AG138" s="335">
        <f t="shared" si="51"/>
        <v>1.959842606536421</v>
      </c>
      <c r="AH138" s="335">
        <f t="shared" si="51"/>
        <v>0.87812290494748602</v>
      </c>
      <c r="AI138" s="335">
        <f t="shared" si="48"/>
        <v>2.8886140396084126</v>
      </c>
      <c r="AK138" s="335">
        <f t="shared" si="43"/>
        <v>0</v>
      </c>
      <c r="AL138" s="338">
        <f t="shared" si="44"/>
        <v>0</v>
      </c>
      <c r="AM138" s="335">
        <f t="shared" si="45"/>
        <v>0</v>
      </c>
      <c r="AN138" s="335">
        <f t="shared" si="45"/>
        <v>0</v>
      </c>
      <c r="AO138" s="335">
        <f t="shared" si="45"/>
        <v>0</v>
      </c>
      <c r="AP138" s="335">
        <f t="shared" si="52"/>
        <v>0</v>
      </c>
      <c r="AQ138" s="335">
        <f t="shared" si="52"/>
        <v>0</v>
      </c>
      <c r="AR138" s="335">
        <f t="shared" si="52"/>
        <v>0</v>
      </c>
      <c r="AS138" s="335">
        <f t="shared" si="49"/>
        <v>0</v>
      </c>
      <c r="AT138" s="335" t="e">
        <f t="shared" si="50"/>
        <v>#DIV/0!</v>
      </c>
    </row>
    <row r="139" spans="2:46" ht="14.4" x14ac:dyDescent="0.55000000000000004">
      <c r="B139" s="3">
        <v>2040</v>
      </c>
      <c r="C139" s="707">
        <f>Compost!E133</f>
        <v>233.56658906298981</v>
      </c>
      <c r="D139" s="338">
        <f t="shared" si="31"/>
        <v>0.93181829326854682</v>
      </c>
      <c r="F139" s="3">
        <v>2040</v>
      </c>
      <c r="G139" s="707">
        <f>'H&amp;C Recycling'!E133</f>
        <v>579.21950850013729</v>
      </c>
      <c r="H139" s="338">
        <f t="shared" si="32"/>
        <v>0.72416902971525821</v>
      </c>
      <c r="J139" s="3">
        <v>2040</v>
      </c>
      <c r="K139" s="335">
        <f t="shared" si="33"/>
        <v>905.74428260401271</v>
      </c>
      <c r="L139" s="338">
        <f t="shared" si="34"/>
        <v>1.886869017280798E-2</v>
      </c>
      <c r="M139" s="338">
        <f t="shared" si="35"/>
        <v>0.2435794576008021</v>
      </c>
      <c r="N139" s="338">
        <f t="shared" si="36"/>
        <v>0.73755185222638986</v>
      </c>
      <c r="Q139" s="3">
        <v>2040</v>
      </c>
      <c r="R139" s="707">
        <f>Paper!F142</f>
        <v>430.7</v>
      </c>
      <c r="S139" s="335">
        <f t="shared" si="30"/>
        <v>668.0333732780523</v>
      </c>
      <c r="T139" s="707">
        <f>Paper!G142</f>
        <v>480.40521417672363</v>
      </c>
      <c r="V139" s="335">
        <f t="shared" si="37"/>
        <v>425.33906842728908</v>
      </c>
      <c r="W139" s="335">
        <f t="shared" si="38"/>
        <v>17.09020824424735</v>
      </c>
      <c r="X139" s="335">
        <f t="shared" si="39"/>
        <v>220.62070108171304</v>
      </c>
      <c r="Y139" s="335">
        <f t="shared" si="40"/>
        <v>187.62815910132866</v>
      </c>
      <c r="Z139" s="338">
        <f t="shared" si="41"/>
        <v>4.018019860587739E-2</v>
      </c>
      <c r="AA139" s="338">
        <f t="shared" si="41"/>
        <v>0.51869371392914432</v>
      </c>
      <c r="AB139" s="338">
        <f t="shared" si="41"/>
        <v>0.44112608746497817</v>
      </c>
      <c r="AC139" s="338">
        <f t="shared" si="42"/>
        <v>0.75249837108732309</v>
      </c>
      <c r="AE139" s="346">
        <f>MIN('WTE Tonnes and Composition'!G93,V139)</f>
        <v>425.33906842728908</v>
      </c>
      <c r="AF139" s="335">
        <f t="shared" si="51"/>
        <v>6.0240619868604052E-2</v>
      </c>
      <c r="AG139" s="335">
        <f t="shared" si="51"/>
        <v>1.8410918365106237</v>
      </c>
      <c r="AH139" s="335">
        <f t="shared" si="51"/>
        <v>0.93550529337632105</v>
      </c>
      <c r="AI139" s="335">
        <f t="shared" si="48"/>
        <v>2.8368377497555488</v>
      </c>
      <c r="AK139" s="335">
        <f t="shared" si="43"/>
        <v>0</v>
      </c>
      <c r="AL139" s="338">
        <f t="shared" si="44"/>
        <v>0</v>
      </c>
      <c r="AM139" s="335">
        <f t="shared" si="45"/>
        <v>0</v>
      </c>
      <c r="AN139" s="335">
        <f t="shared" si="45"/>
        <v>0</v>
      </c>
      <c r="AO139" s="335">
        <f t="shared" si="45"/>
        <v>0</v>
      </c>
      <c r="AP139" s="335">
        <f t="shared" si="52"/>
        <v>0</v>
      </c>
      <c r="AQ139" s="335">
        <f t="shared" si="52"/>
        <v>0</v>
      </c>
      <c r="AR139" s="335">
        <f t="shared" si="52"/>
        <v>0</v>
      </c>
      <c r="AS139" s="335">
        <f t="shared" si="49"/>
        <v>0</v>
      </c>
      <c r="AT139" s="335" t="e">
        <f t="shared" si="50"/>
        <v>#DIV/0!</v>
      </c>
    </row>
    <row r="140" spans="2:46" ht="14.4" x14ac:dyDescent="0.55000000000000004">
      <c r="B140" s="3">
        <v>2041</v>
      </c>
      <c r="C140" s="707">
        <f>Compost!E134</f>
        <v>226.1662288843844</v>
      </c>
      <c r="D140" s="338">
        <f t="shared" si="31"/>
        <v>0.92220485680970288</v>
      </c>
      <c r="F140" s="3">
        <v>2041</v>
      </c>
      <c r="G140" s="707">
        <f>'H&amp;C Recycling'!E134</f>
        <v>593.43396138421622</v>
      </c>
      <c r="H140" s="338">
        <f t="shared" si="32"/>
        <v>0.7563423281210071</v>
      </c>
      <c r="J140" s="3">
        <v>2041</v>
      </c>
      <c r="K140" s="335">
        <f t="shared" si="33"/>
        <v>893.74264566179545</v>
      </c>
      <c r="L140" s="338">
        <f t="shared" si="34"/>
        <v>2.1347172272514002E-2</v>
      </c>
      <c r="M140" s="338">
        <f t="shared" si="35"/>
        <v>0.21390532682838961</v>
      </c>
      <c r="N140" s="338">
        <f t="shared" si="36"/>
        <v>0.7647475008990966</v>
      </c>
      <c r="Q140" s="3">
        <v>2041</v>
      </c>
      <c r="R140" s="707">
        <f>Paper!F143</f>
        <v>442.01499999999999</v>
      </c>
      <c r="S140" s="335">
        <f t="shared" si="30"/>
        <v>683.4874547168049</v>
      </c>
      <c r="T140" s="707">
        <f>Paper!G143</f>
        <v>493.02602912543415</v>
      </c>
      <c r="V140" s="335">
        <f t="shared" si="37"/>
        <v>400.7166165363613</v>
      </c>
      <c r="W140" s="335">
        <f t="shared" si="38"/>
        <v>19.078878224234785</v>
      </c>
      <c r="X140" s="335">
        <f t="shared" si="39"/>
        <v>191.17631272075596</v>
      </c>
      <c r="Y140" s="335">
        <f t="shared" si="40"/>
        <v>190.46142559137076</v>
      </c>
      <c r="Z140" s="338">
        <f t="shared" si="41"/>
        <v>4.7611896879009394E-2</v>
      </c>
      <c r="AA140" s="338">
        <f t="shared" si="41"/>
        <v>0.47708606239793527</v>
      </c>
      <c r="AB140" s="338">
        <f t="shared" si="41"/>
        <v>0.47530204072305587</v>
      </c>
      <c r="AC140" s="338">
        <f t="shared" si="42"/>
        <v>0.76612000346167719</v>
      </c>
      <c r="AE140" s="346">
        <f>MIN('WTE Tonnes and Composition'!G94,V140)</f>
        <v>400.7166165363613</v>
      </c>
      <c r="AF140" s="335">
        <f t="shared" si="51"/>
        <v>7.1382678051074552E-2</v>
      </c>
      <c r="AG140" s="335">
        <f t="shared" si="51"/>
        <v>1.6934063999738855</v>
      </c>
      <c r="AH140" s="335">
        <f t="shared" si="51"/>
        <v>1.0079829501906026</v>
      </c>
      <c r="AI140" s="335">
        <f t="shared" si="48"/>
        <v>2.7727720282155626</v>
      </c>
      <c r="AK140" s="335">
        <f t="shared" si="43"/>
        <v>0</v>
      </c>
      <c r="AL140" s="338">
        <f t="shared" si="44"/>
        <v>0</v>
      </c>
      <c r="AM140" s="335">
        <f t="shared" si="45"/>
        <v>0</v>
      </c>
      <c r="AN140" s="335">
        <f t="shared" si="45"/>
        <v>0</v>
      </c>
      <c r="AO140" s="335">
        <f t="shared" si="45"/>
        <v>0</v>
      </c>
      <c r="AP140" s="335">
        <f t="shared" si="52"/>
        <v>0</v>
      </c>
      <c r="AQ140" s="335">
        <f t="shared" si="52"/>
        <v>0</v>
      </c>
      <c r="AR140" s="335">
        <f t="shared" si="52"/>
        <v>0</v>
      </c>
      <c r="AS140" s="335">
        <f t="shared" si="49"/>
        <v>0</v>
      </c>
      <c r="AT140" s="335" t="e">
        <f t="shared" si="50"/>
        <v>#DIV/0!</v>
      </c>
    </row>
    <row r="141" spans="2:46" ht="14.4" x14ac:dyDescent="0.55000000000000004">
      <c r="B141" s="3">
        <v>2042</v>
      </c>
      <c r="C141" s="707">
        <f>Compost!E135</f>
        <v>220.16366794479393</v>
      </c>
      <c r="D141" s="338">
        <f t="shared" si="31"/>
        <v>0.91241315727433547</v>
      </c>
      <c r="F141" s="3">
        <v>2042</v>
      </c>
      <c r="G141" s="707">
        <f>'H&amp;C Recycling'!E135</f>
        <v>606.76036179027813</v>
      </c>
      <c r="H141" s="338">
        <f t="shared" si="32"/>
        <v>0.79320066087490804</v>
      </c>
      <c r="J141" s="3">
        <v>2042</v>
      </c>
      <c r="K141" s="335">
        <f t="shared" si="33"/>
        <v>877.45174438083006</v>
      </c>
      <c r="L141" s="338">
        <f t="shared" si="34"/>
        <v>2.4086280653853112E-2</v>
      </c>
      <c r="M141" s="338">
        <f t="shared" si="35"/>
        <v>0.18028518466914384</v>
      </c>
      <c r="N141" s="338">
        <f t="shared" si="36"/>
        <v>0.79562853467700279</v>
      </c>
      <c r="Q141" s="3">
        <v>2042</v>
      </c>
      <c r="R141" s="707">
        <f>Paper!F144</f>
        <v>453.76800000000003</v>
      </c>
      <c r="S141" s="335">
        <f t="shared" si="30"/>
        <v>698.12564563149988</v>
      </c>
      <c r="T141" s="707">
        <f>Paper!G144</f>
        <v>506.13539174957867</v>
      </c>
      <c r="V141" s="335">
        <f t="shared" si="37"/>
        <v>371.31635263125139</v>
      </c>
      <c r="W141" s="335">
        <f t="shared" si="38"/>
        <v>21.134548975369654</v>
      </c>
      <c r="X141" s="335">
        <f t="shared" si="39"/>
        <v>158.19154977396033</v>
      </c>
      <c r="Y141" s="335">
        <f t="shared" si="40"/>
        <v>191.99025388192121</v>
      </c>
      <c r="Z141" s="338">
        <f t="shared" si="41"/>
        <v>5.691790524603707E-2</v>
      </c>
      <c r="AA141" s="338">
        <f t="shared" si="41"/>
        <v>0.42602904141703113</v>
      </c>
      <c r="AB141" s="338">
        <f t="shared" si="41"/>
        <v>0.5170530533369313</v>
      </c>
      <c r="AC141" s="338">
        <f t="shared" si="42"/>
        <v>0.78213938600256072</v>
      </c>
      <c r="AE141" s="346">
        <f>MIN('WTE Tonnes and Composition'!G95,V141)</f>
        <v>371.31635263125139</v>
      </c>
      <c r="AF141" s="335">
        <f t="shared" si="51"/>
        <v>8.5334816964846891E-2</v>
      </c>
      <c r="AG141" s="335">
        <f t="shared" si="51"/>
        <v>1.5121806360978745</v>
      </c>
      <c r="AH141" s="335">
        <f t="shared" si="51"/>
        <v>1.0965251933586695</v>
      </c>
      <c r="AI141" s="335">
        <f t="shared" si="48"/>
        <v>2.6940406464213908</v>
      </c>
      <c r="AK141" s="335">
        <f t="shared" si="43"/>
        <v>0</v>
      </c>
      <c r="AL141" s="338">
        <f t="shared" si="44"/>
        <v>0</v>
      </c>
      <c r="AM141" s="335">
        <f t="shared" si="45"/>
        <v>0</v>
      </c>
      <c r="AN141" s="335">
        <f t="shared" si="45"/>
        <v>0</v>
      </c>
      <c r="AO141" s="335">
        <f t="shared" si="45"/>
        <v>0</v>
      </c>
      <c r="AP141" s="335">
        <f t="shared" si="52"/>
        <v>0</v>
      </c>
      <c r="AQ141" s="335">
        <f t="shared" si="52"/>
        <v>0</v>
      </c>
      <c r="AR141" s="335">
        <f t="shared" si="52"/>
        <v>0</v>
      </c>
      <c r="AS141" s="335">
        <f t="shared" si="49"/>
        <v>0</v>
      </c>
      <c r="AT141" s="335" t="e">
        <f t="shared" si="50"/>
        <v>#DIV/0!</v>
      </c>
    </row>
    <row r="142" spans="2:46" ht="14.4" x14ac:dyDescent="0.55000000000000004">
      <c r="B142" s="3">
        <v>2043</v>
      </c>
      <c r="C142" s="707">
        <f>Compost!E136</f>
        <v>217.99683626743365</v>
      </c>
      <c r="D142" s="338">
        <f t="shared" si="31"/>
        <v>0.90358163714631545</v>
      </c>
      <c r="F142" s="3">
        <v>2043</v>
      </c>
      <c r="G142" s="707">
        <f>'H&amp;C Recycling'!E136</f>
        <v>620.07285346286392</v>
      </c>
      <c r="H142" s="338">
        <f t="shared" si="32"/>
        <v>0.83556329101975046</v>
      </c>
      <c r="J142" s="3">
        <v>2043</v>
      </c>
      <c r="K142" s="335">
        <f t="shared" si="33"/>
        <v>858.25130743358466</v>
      </c>
      <c r="L142" s="338">
        <f t="shared" si="34"/>
        <v>2.7103668302185774E-2</v>
      </c>
      <c r="M142" s="338">
        <f t="shared" si="35"/>
        <v>0.14218299866329842</v>
      </c>
      <c r="N142" s="338">
        <f t="shared" si="36"/>
        <v>0.83071333303451556</v>
      </c>
      <c r="Q142" s="3">
        <v>2043</v>
      </c>
      <c r="R142" s="707">
        <f>Paper!F145</f>
        <v>465.95899999999995</v>
      </c>
      <c r="S142" s="335">
        <f t="shared" si="30"/>
        <v>712.96080417938379</v>
      </c>
      <c r="T142" s="707">
        <f>Paper!G145</f>
        <v>519.73330204915703</v>
      </c>
      <c r="V142" s="335">
        <f t="shared" si="37"/>
        <v>338.51800538442762</v>
      </c>
      <c r="W142" s="335">
        <f t="shared" si="38"/>
        <v>23.261758756597146</v>
      </c>
      <c r="X142" s="335">
        <f t="shared" si="39"/>
        <v>122.0287444976035</v>
      </c>
      <c r="Y142" s="335">
        <f t="shared" si="40"/>
        <v>193.22750213022675</v>
      </c>
      <c r="Z142" s="338">
        <f t="shared" si="41"/>
        <v>6.8716459351048823E-2</v>
      </c>
      <c r="AA142" s="338">
        <f t="shared" si="41"/>
        <v>0.3604793321378143</v>
      </c>
      <c r="AB142" s="338">
        <f t="shared" si="41"/>
        <v>0.57080420851113622</v>
      </c>
      <c r="AC142" s="338">
        <f t="shared" si="42"/>
        <v>0.80043988964918578</v>
      </c>
      <c r="AE142" s="346">
        <f>MIN('WTE Tonnes and Composition'!G96,V142)</f>
        <v>338.51800538442762</v>
      </c>
      <c r="AF142" s="335">
        <f t="shared" si="51"/>
        <v>0.1030239334326586</v>
      </c>
      <c r="AG142" s="335">
        <f t="shared" si="51"/>
        <v>1.2795133964557597</v>
      </c>
      <c r="AH142" s="335">
        <f t="shared" si="51"/>
        <v>1.2105163891175303</v>
      </c>
      <c r="AI142" s="335">
        <f t="shared" si="48"/>
        <v>2.5930537190059484</v>
      </c>
      <c r="AK142" s="335">
        <f t="shared" si="43"/>
        <v>0</v>
      </c>
      <c r="AL142" s="338">
        <f t="shared" si="44"/>
        <v>0</v>
      </c>
      <c r="AM142" s="335">
        <f t="shared" si="45"/>
        <v>0</v>
      </c>
      <c r="AN142" s="335">
        <f t="shared" si="45"/>
        <v>0</v>
      </c>
      <c r="AO142" s="335">
        <f t="shared" si="45"/>
        <v>0</v>
      </c>
      <c r="AP142" s="335">
        <f t="shared" si="52"/>
        <v>0</v>
      </c>
      <c r="AQ142" s="335">
        <f t="shared" si="52"/>
        <v>0</v>
      </c>
      <c r="AR142" s="335">
        <f t="shared" si="52"/>
        <v>0</v>
      </c>
      <c r="AS142" s="335">
        <f t="shared" si="49"/>
        <v>0</v>
      </c>
      <c r="AT142" s="335" t="e">
        <f t="shared" si="50"/>
        <v>#DIV/0!</v>
      </c>
    </row>
    <row r="143" spans="2:46" ht="14.4" x14ac:dyDescent="0.55000000000000004">
      <c r="B143" s="3">
        <v>2044</v>
      </c>
      <c r="C143" s="707">
        <f>Compost!E137</f>
        <v>219.88949973483886</v>
      </c>
      <c r="D143" s="338">
        <f t="shared" si="31"/>
        <v>0.89621826587485931</v>
      </c>
      <c r="F143" s="3">
        <v>2044</v>
      </c>
      <c r="G143" s="707">
        <f>'H&amp;C Recycling'!E137</f>
        <v>633.3699054478742</v>
      </c>
      <c r="H143" s="338">
        <f t="shared" si="32"/>
        <v>0.88474312323919513</v>
      </c>
      <c r="J143" s="3">
        <v>2044</v>
      </c>
      <c r="K143" s="335">
        <f t="shared" si="33"/>
        <v>835.96893075185847</v>
      </c>
      <c r="L143" s="338">
        <f t="shared" si="34"/>
        <v>3.0459409975501468E-2</v>
      </c>
      <c r="M143" s="338">
        <f t="shared" si="35"/>
        <v>9.869995126579581E-2</v>
      </c>
      <c r="N143" s="338">
        <f t="shared" si="36"/>
        <v>0.87084063875870277</v>
      </c>
      <c r="Q143" s="3">
        <v>2044</v>
      </c>
      <c r="R143" s="707">
        <f>Paper!F146</f>
        <v>478.58800000000002</v>
      </c>
      <c r="S143" s="335">
        <f t="shared" si="30"/>
        <v>727.99571763837821</v>
      </c>
      <c r="T143" s="707">
        <f>Paper!G146</f>
        <v>533.81976002416957</v>
      </c>
      <c r="V143" s="335">
        <f t="shared" si="37"/>
        <v>302.1491707276889</v>
      </c>
      <c r="W143" s="335">
        <f t="shared" si="38"/>
        <v>25.463120388552454</v>
      </c>
      <c r="X143" s="335">
        <f t="shared" si="39"/>
        <v>82.510092724927858</v>
      </c>
      <c r="Y143" s="335">
        <f t="shared" si="40"/>
        <v>194.17595761420864</v>
      </c>
      <c r="Z143" s="338">
        <f t="shared" si="41"/>
        <v>8.4273341962937315E-2</v>
      </c>
      <c r="AA143" s="338">
        <f t="shared" si="41"/>
        <v>0.27307734297669095</v>
      </c>
      <c r="AB143" s="338">
        <f t="shared" si="41"/>
        <v>0.64264931506037193</v>
      </c>
      <c r="AC143" s="338">
        <f t="shared" si="42"/>
        <v>0.8211318361762362</v>
      </c>
      <c r="AE143" s="346">
        <f>MIN('WTE Tonnes and Composition'!G97,V143)</f>
        <v>302.1491707276889</v>
      </c>
      <c r="AF143" s="335">
        <f t="shared" si="51"/>
        <v>0.12634776667090913</v>
      </c>
      <c r="AG143" s="335">
        <f t="shared" si="51"/>
        <v>0.96928197390700699</v>
      </c>
      <c r="AH143" s="335">
        <f t="shared" si="51"/>
        <v>1.3628798049069715</v>
      </c>
      <c r="AI143" s="335">
        <f t="shared" si="48"/>
        <v>2.4585095454848878</v>
      </c>
      <c r="AK143" s="335">
        <f t="shared" si="43"/>
        <v>0</v>
      </c>
      <c r="AL143" s="338">
        <f t="shared" si="44"/>
        <v>0</v>
      </c>
      <c r="AM143" s="335">
        <f t="shared" si="45"/>
        <v>0</v>
      </c>
      <c r="AN143" s="335">
        <f t="shared" si="45"/>
        <v>0</v>
      </c>
      <c r="AO143" s="335">
        <f t="shared" si="45"/>
        <v>0</v>
      </c>
      <c r="AP143" s="335">
        <f t="shared" si="52"/>
        <v>0</v>
      </c>
      <c r="AQ143" s="335">
        <f t="shared" si="52"/>
        <v>0</v>
      </c>
      <c r="AR143" s="335">
        <f t="shared" si="52"/>
        <v>0</v>
      </c>
      <c r="AS143" s="335">
        <f t="shared" si="49"/>
        <v>0</v>
      </c>
      <c r="AT143" s="335" t="e">
        <f t="shared" si="50"/>
        <v>#DIV/0!</v>
      </c>
    </row>
    <row r="144" spans="2:46" ht="14.4" x14ac:dyDescent="0.55000000000000004">
      <c r="B144" s="3">
        <v>2045</v>
      </c>
      <c r="C144" s="707">
        <f>Compost!E138</f>
        <v>226.11673959355198</v>
      </c>
      <c r="D144" s="338">
        <f t="shared" si="31"/>
        <v>0.89071953271978888</v>
      </c>
      <c r="F144" s="3">
        <v>2045</v>
      </c>
      <c r="G144" s="707">
        <f>'H&amp;C Recycling'!E138</f>
        <v>646.67091495402178</v>
      </c>
      <c r="H144" s="338">
        <f t="shared" si="32"/>
        <v>0.9424808138492683</v>
      </c>
      <c r="J144" s="3">
        <v>2045</v>
      </c>
      <c r="K144" s="335">
        <f t="shared" si="33"/>
        <v>810.46526206193084</v>
      </c>
      <c r="L144" s="338">
        <f t="shared" si="34"/>
        <v>3.4229446533766077E-2</v>
      </c>
      <c r="M144" s="338">
        <f t="shared" si="35"/>
        <v>4.8695534574693458E-2</v>
      </c>
      <c r="N144" s="338">
        <f t="shared" si="36"/>
        <v>0.91707501889154042</v>
      </c>
      <c r="Q144" s="3">
        <v>2045</v>
      </c>
      <c r="R144" s="707">
        <f>Paper!F147</f>
        <v>491.65499999999997</v>
      </c>
      <c r="S144" s="335">
        <f t="shared" si="30"/>
        <v>743.25744551638252</v>
      </c>
      <c r="T144" s="707">
        <f>Paper!G147</f>
        <v>548.39476567461588</v>
      </c>
      <c r="V144" s="335">
        <f t="shared" si="37"/>
        <v>262.07049638731496</v>
      </c>
      <c r="W144" s="335">
        <f t="shared" si="38"/>
        <v>27.741777355223576</v>
      </c>
      <c r="X144" s="335">
        <f t="shared" si="39"/>
        <v>39.46603919032475</v>
      </c>
      <c r="Y144" s="335">
        <f t="shared" si="40"/>
        <v>194.86267984176664</v>
      </c>
      <c r="Z144" s="338">
        <f t="shared" si="41"/>
        <v>0.10585616365691124</v>
      </c>
      <c r="AA144" s="338">
        <f t="shared" si="41"/>
        <v>0.15059321722349756</v>
      </c>
      <c r="AB144" s="338">
        <f t="shared" si="41"/>
        <v>0.74355061911959119</v>
      </c>
      <c r="AC144" s="338">
        <f t="shared" si="42"/>
        <v>0.84430711879282472</v>
      </c>
      <c r="AD144" s="533"/>
      <c r="AE144" s="346">
        <f>MIN('WTE Tonnes and Composition'!G98,V144)</f>
        <v>262.07049638731496</v>
      </c>
      <c r="AF144" s="335">
        <f t="shared" si="51"/>
        <v>0.1587060576318792</v>
      </c>
      <c r="AG144" s="335">
        <f t="shared" si="51"/>
        <v>0.53452728540667582</v>
      </c>
      <c r="AH144" s="335">
        <f t="shared" si="51"/>
        <v>1.5768633047231491</v>
      </c>
      <c r="AI144" s="335">
        <f t="shared" si="48"/>
        <v>2.2700966477617039</v>
      </c>
      <c r="AK144" s="335">
        <f t="shared" si="43"/>
        <v>0</v>
      </c>
      <c r="AL144" s="338">
        <f t="shared" si="44"/>
        <v>0</v>
      </c>
      <c r="AM144" s="335">
        <f t="shared" si="45"/>
        <v>0</v>
      </c>
      <c r="AN144" s="335">
        <f t="shared" si="45"/>
        <v>0</v>
      </c>
      <c r="AO144" s="335">
        <f t="shared" si="45"/>
        <v>0</v>
      </c>
      <c r="AP144" s="335">
        <f t="shared" si="52"/>
        <v>0</v>
      </c>
      <c r="AQ144" s="335">
        <f t="shared" si="52"/>
        <v>0</v>
      </c>
      <c r="AR144" s="335">
        <f t="shared" si="52"/>
        <v>0</v>
      </c>
      <c r="AS144" s="335">
        <f t="shared" si="49"/>
        <v>0</v>
      </c>
      <c r="AT144" s="335" t="e">
        <f t="shared" si="50"/>
        <v>#DIV/0!</v>
      </c>
    </row>
    <row r="145" spans="2:46" ht="14.4" x14ac:dyDescent="0.55000000000000004">
      <c r="B145" s="3">
        <v>2046</v>
      </c>
      <c r="C145" s="707">
        <f>Compost!E139</f>
        <v>236.69671679163321</v>
      </c>
      <c r="D145" s="338">
        <f t="shared" si="31"/>
        <v>0.88718625139736218</v>
      </c>
      <c r="F145" s="3">
        <v>2046</v>
      </c>
      <c r="G145" s="707">
        <f>'H&amp;C Recycling'!E139</f>
        <v>633.22989607655165</v>
      </c>
      <c r="H145" s="338">
        <f t="shared" si="32"/>
        <v>0.97037474107485933</v>
      </c>
      <c r="J145" s="3">
        <v>2046</v>
      </c>
      <c r="K145" s="335">
        <f t="shared" si="33"/>
        <v>808.08213560042134</v>
      </c>
      <c r="L145" s="338">
        <f t="shared" si="34"/>
        <v>3.7246370187241883E-2</v>
      </c>
      <c r="M145" s="338">
        <f t="shared" si="35"/>
        <v>2.3923712584727804E-2</v>
      </c>
      <c r="N145" s="338">
        <f t="shared" si="36"/>
        <v>0.93882991722803033</v>
      </c>
      <c r="Q145" s="3">
        <v>2046</v>
      </c>
      <c r="R145" s="707">
        <f>Paper!F148</f>
        <v>505.15999999999997</v>
      </c>
      <c r="S145" s="335">
        <f t="shared" si="30"/>
        <v>758.65168447919359</v>
      </c>
      <c r="T145" s="707">
        <f>Paper!G148</f>
        <v>563.4583190004962</v>
      </c>
      <c r="V145" s="335">
        <f t="shared" si="37"/>
        <v>244.62381659992514</v>
      </c>
      <c r="W145" s="335">
        <f t="shared" si="38"/>
        <v>30.098126364270286</v>
      </c>
      <c r="X145" s="335">
        <f t="shared" si="39"/>
        <v>19.332324756957519</v>
      </c>
      <c r="Y145" s="335">
        <f t="shared" si="40"/>
        <v>195.19336547869739</v>
      </c>
      <c r="Z145" s="338">
        <f t="shared" si="41"/>
        <v>0.12303841376776024</v>
      </c>
      <c r="AA145" s="338">
        <f t="shared" si="41"/>
        <v>7.9028792149764188E-2</v>
      </c>
      <c r="AB145" s="338">
        <f t="shared" si="41"/>
        <v>0.79793279408247575</v>
      </c>
      <c r="AC145" s="338">
        <f t="shared" si="42"/>
        <v>0.85421779426169553</v>
      </c>
      <c r="AD145" s="533"/>
      <c r="AE145" s="346">
        <f>MIN('WTE Tonnes and Composition'!G99,V145)</f>
        <v>244.62381659992514</v>
      </c>
      <c r="AF145" s="335">
        <f t="shared" si="51"/>
        <v>0.18446674158388757</v>
      </c>
      <c r="AG145" s="335">
        <f t="shared" si="51"/>
        <v>0.28051094541720534</v>
      </c>
      <c r="AH145" s="335">
        <f t="shared" si="51"/>
        <v>1.6921927173077873</v>
      </c>
      <c r="AI145" s="335">
        <f t="shared" si="48"/>
        <v>2.1571704043088804</v>
      </c>
      <c r="AK145" s="335">
        <f t="shared" si="43"/>
        <v>0</v>
      </c>
      <c r="AL145" s="338">
        <f t="shared" si="44"/>
        <v>0</v>
      </c>
      <c r="AM145" s="335">
        <f t="shared" si="45"/>
        <v>0</v>
      </c>
      <c r="AN145" s="335">
        <f t="shared" si="45"/>
        <v>0</v>
      </c>
      <c r="AO145" s="335">
        <f t="shared" si="45"/>
        <v>0</v>
      </c>
      <c r="AP145" s="335">
        <f t="shared" si="52"/>
        <v>0</v>
      </c>
      <c r="AQ145" s="335">
        <f t="shared" si="52"/>
        <v>0</v>
      </c>
      <c r="AR145" s="335">
        <f t="shared" si="52"/>
        <v>0</v>
      </c>
      <c r="AS145" s="335">
        <f t="shared" si="49"/>
        <v>0</v>
      </c>
      <c r="AT145" s="335" t="e">
        <f t="shared" si="50"/>
        <v>#DIV/0!</v>
      </c>
    </row>
    <row r="146" spans="2:46" ht="14.4" x14ac:dyDescent="0.55000000000000004">
      <c r="B146" s="3">
        <v>2047</v>
      </c>
      <c r="C146" s="707">
        <f>Compost!E140</f>
        <v>251.86249608926403</v>
      </c>
      <c r="D146" s="338">
        <f t="shared" si="31"/>
        <v>0.88559763727294938</v>
      </c>
      <c r="F146" s="3">
        <v>2047</v>
      </c>
      <c r="G146" s="707">
        <f>'H&amp;C Recycling'!E140</f>
        <v>595.21676766664029</v>
      </c>
      <c r="H146" s="338">
        <f t="shared" si="32"/>
        <v>0.96786442692028207</v>
      </c>
      <c r="J146" s="3">
        <v>2047</v>
      </c>
      <c r="K146" s="335">
        <f t="shared" si="33"/>
        <v>826.48438229038777</v>
      </c>
      <c r="L146" s="338">
        <f t="shared" si="34"/>
        <v>3.9366553692554963E-2</v>
      </c>
      <c r="M146" s="338">
        <f t="shared" si="35"/>
        <v>2.3911786640395182E-2</v>
      </c>
      <c r="N146" s="338">
        <f t="shared" si="36"/>
        <v>0.93672165966705012</v>
      </c>
      <c r="Q146" s="3">
        <v>2047</v>
      </c>
      <c r="R146" s="707">
        <f>Paper!F149</f>
        <v>519.10299999999995</v>
      </c>
      <c r="S146" s="335">
        <f t="shared" si="30"/>
        <v>774.18582226794877</v>
      </c>
      <c r="T146" s="707">
        <f>Paper!G149</f>
        <v>579.01042000181042</v>
      </c>
      <c r="V146" s="335">
        <f t="shared" si="37"/>
        <v>247.47396228857735</v>
      </c>
      <c r="W146" s="335">
        <f t="shared" si="38"/>
        <v>32.535841811492674</v>
      </c>
      <c r="X146" s="335">
        <f t="shared" si="39"/>
        <v>19.762718210946559</v>
      </c>
      <c r="Y146" s="335">
        <f t="shared" si="40"/>
        <v>195.17540226613835</v>
      </c>
      <c r="Z146" s="338">
        <f t="shared" si="41"/>
        <v>0.13147177792204617</v>
      </c>
      <c r="AA146" s="338">
        <f t="shared" si="41"/>
        <v>7.9857767775590935E-2</v>
      </c>
      <c r="AB146" s="338">
        <f t="shared" si="41"/>
        <v>0.78867045430236382</v>
      </c>
      <c r="AC146" s="338">
        <f t="shared" si="42"/>
        <v>0.8521275465840682</v>
      </c>
      <c r="AD146" s="533"/>
      <c r="AE146" s="346">
        <f>MIN('WTE Tonnes and Composition'!G100,V146)</f>
        <v>247.47396228857735</v>
      </c>
      <c r="AF146" s="335">
        <f t="shared" si="51"/>
        <v>0.19711055873409791</v>
      </c>
      <c r="AG146" s="335">
        <f t="shared" si="51"/>
        <v>0.28345337602006471</v>
      </c>
      <c r="AH146" s="335">
        <f t="shared" si="51"/>
        <v>1.6725498801699072</v>
      </c>
      <c r="AI146" s="335">
        <f t="shared" si="48"/>
        <v>2.1531138149240698</v>
      </c>
      <c r="AK146" s="335">
        <f t="shared" si="43"/>
        <v>0</v>
      </c>
      <c r="AL146" s="338">
        <f t="shared" si="44"/>
        <v>0</v>
      </c>
      <c r="AM146" s="335">
        <f t="shared" si="45"/>
        <v>0</v>
      </c>
      <c r="AN146" s="335">
        <f t="shared" si="45"/>
        <v>0</v>
      </c>
      <c r="AO146" s="335">
        <f t="shared" si="45"/>
        <v>0</v>
      </c>
      <c r="AP146" s="335">
        <f t="shared" si="52"/>
        <v>0</v>
      </c>
      <c r="AQ146" s="335">
        <f t="shared" si="52"/>
        <v>0</v>
      </c>
      <c r="AR146" s="335">
        <f t="shared" si="52"/>
        <v>0</v>
      </c>
      <c r="AS146" s="335">
        <f t="shared" si="49"/>
        <v>0</v>
      </c>
      <c r="AT146" s="335" t="e">
        <f t="shared" si="50"/>
        <v>#DIV/0!</v>
      </c>
    </row>
    <row r="147" spans="2:46" ht="14.4" x14ac:dyDescent="0.55000000000000004">
      <c r="B147" s="3">
        <v>2048</v>
      </c>
      <c r="C147" s="707">
        <f>Compost!E141</f>
        <v>271.86816860327144</v>
      </c>
      <c r="D147" s="338">
        <f t="shared" si="31"/>
        <v>0.88577595910005447</v>
      </c>
      <c r="F147" s="3">
        <v>2048</v>
      </c>
      <c r="G147" s="707">
        <f>'H&amp;C Recycling'!E141</f>
        <v>552.0701157972876</v>
      </c>
      <c r="H147" s="338">
        <f t="shared" si="32"/>
        <v>0.96310201317154853</v>
      </c>
      <c r="J147" s="3">
        <v>2048</v>
      </c>
      <c r="K147" s="335">
        <f t="shared" si="33"/>
        <v>846.08486395879277</v>
      </c>
      <c r="L147" s="338">
        <f t="shared" si="34"/>
        <v>4.1436023153860094E-2</v>
      </c>
      <c r="M147" s="338">
        <f t="shared" si="35"/>
        <v>2.499831256465869E-2</v>
      </c>
      <c r="N147" s="338">
        <f t="shared" si="36"/>
        <v>0.93356566428148124</v>
      </c>
      <c r="Q147" s="3">
        <v>2048</v>
      </c>
      <c r="R147" s="707">
        <f>Paper!F150</f>
        <v>533.48399999999992</v>
      </c>
      <c r="S147" s="335">
        <f t="shared" si="30"/>
        <v>789.87577806019704</v>
      </c>
      <c r="T147" s="707">
        <f>Paper!G150</f>
        <v>595.05106867855864</v>
      </c>
      <c r="V147" s="335">
        <f t="shared" si="37"/>
        <v>251.03379528023413</v>
      </c>
      <c r="W147" s="335">
        <f t="shared" si="38"/>
        <v>35.058392013127104</v>
      </c>
      <c r="X147" s="335">
        <f t="shared" si="39"/>
        <v>21.150693885468627</v>
      </c>
      <c r="Y147" s="335">
        <f t="shared" si="40"/>
        <v>194.8247093816384</v>
      </c>
      <c r="Z147" s="338">
        <f t="shared" si="41"/>
        <v>0.13965606492938812</v>
      </c>
      <c r="AA147" s="338">
        <f t="shared" si="41"/>
        <v>8.4254368468029084E-2</v>
      </c>
      <c r="AB147" s="338">
        <f t="shared" si="41"/>
        <v>0.77608956660258277</v>
      </c>
      <c r="AC147" s="338">
        <f t="shared" si="42"/>
        <v>0.8496824457033112</v>
      </c>
      <c r="AD147" s="533"/>
      <c r="AE147" s="346">
        <f>MIN('WTE Tonnes and Composition'!G101,V147)</f>
        <v>251.03379528023413</v>
      </c>
      <c r="AF147" s="335">
        <f t="shared" si="51"/>
        <v>0.2093809441381343</v>
      </c>
      <c r="AG147" s="335">
        <f t="shared" si="51"/>
        <v>0.29905901269132495</v>
      </c>
      <c r="AH147" s="335">
        <f t="shared" si="51"/>
        <v>1.6458693292504321</v>
      </c>
      <c r="AI147" s="335">
        <f t="shared" si="48"/>
        <v>2.1543092860798914</v>
      </c>
      <c r="AK147" s="335">
        <f t="shared" si="43"/>
        <v>0</v>
      </c>
      <c r="AL147" s="338">
        <f t="shared" si="44"/>
        <v>0</v>
      </c>
      <c r="AM147" s="335">
        <f t="shared" si="45"/>
        <v>0</v>
      </c>
      <c r="AN147" s="335">
        <f t="shared" si="45"/>
        <v>0</v>
      </c>
      <c r="AO147" s="335">
        <f t="shared" si="45"/>
        <v>0</v>
      </c>
      <c r="AP147" s="335">
        <f t="shared" si="52"/>
        <v>0</v>
      </c>
      <c r="AQ147" s="335">
        <f t="shared" si="52"/>
        <v>0</v>
      </c>
      <c r="AR147" s="335">
        <f t="shared" si="52"/>
        <v>0</v>
      </c>
      <c r="AS147" s="335">
        <f t="shared" si="49"/>
        <v>0</v>
      </c>
      <c r="AT147" s="335" t="e">
        <f t="shared" si="50"/>
        <v>#DIV/0!</v>
      </c>
    </row>
    <row r="148" spans="2:46" ht="14.4" x14ac:dyDescent="0.55000000000000004">
      <c r="B148" s="3">
        <v>2049</v>
      </c>
      <c r="C148" s="707">
        <f>Compost!E142</f>
        <v>296.93272539878001</v>
      </c>
      <c r="D148" s="338">
        <f t="shared" si="31"/>
        <v>0.88742073302298208</v>
      </c>
      <c r="F148" s="3">
        <v>2049</v>
      </c>
      <c r="G148" s="707">
        <f>'H&amp;C Recycling'!E142</f>
        <v>504.52319667456447</v>
      </c>
      <c r="H148" s="338">
        <f t="shared" si="32"/>
        <v>0.95717772258620848</v>
      </c>
      <c r="J148" s="3">
        <v>2049</v>
      </c>
      <c r="K148" s="335">
        <f t="shared" si="33"/>
        <v>865.96108941701971</v>
      </c>
      <c r="L148" s="338">
        <f t="shared" si="34"/>
        <v>4.3499927376257561E-2</v>
      </c>
      <c r="M148" s="338">
        <f t="shared" si="35"/>
        <v>2.6065132622235365E-2</v>
      </c>
      <c r="N148" s="338">
        <f t="shared" si="36"/>
        <v>0.93043494000150728</v>
      </c>
      <c r="Q148" s="3">
        <v>2049</v>
      </c>
      <c r="R148" s="707">
        <f>Paper!F151</f>
        <v>548.303</v>
      </c>
      <c r="S148" s="335">
        <f t="shared" si="30"/>
        <v>805.72045427536466</v>
      </c>
      <c r="T148" s="707">
        <f>Paper!G151</f>
        <v>611.58026503074086</v>
      </c>
      <c r="V148" s="335">
        <f t="shared" si="37"/>
        <v>254.38082438627885</v>
      </c>
      <c r="W148" s="335">
        <f t="shared" si="38"/>
        <v>37.66924450030524</v>
      </c>
      <c r="X148" s="335">
        <f t="shared" si="39"/>
        <v>22.571390641350035</v>
      </c>
      <c r="Y148" s="335">
        <f t="shared" si="40"/>
        <v>194.1401892446238</v>
      </c>
      <c r="Z148" s="338">
        <f t="shared" si="41"/>
        <v>0.14808209145161139</v>
      </c>
      <c r="AA148" s="338">
        <f t="shared" si="41"/>
        <v>8.8730707968283182E-2</v>
      </c>
      <c r="AB148" s="338">
        <f t="shared" si="41"/>
        <v>0.76318720058010636</v>
      </c>
      <c r="AC148" s="338">
        <f t="shared" si="42"/>
        <v>0.84744018884699446</v>
      </c>
      <c r="AD148" s="533"/>
      <c r="AE148" s="346">
        <f>MIN('WTE Tonnes and Composition'!G102,V148)</f>
        <v>254.38082438627885</v>
      </c>
      <c r="AF148" s="335">
        <f t="shared" si="51"/>
        <v>0.22201376025999836</v>
      </c>
      <c r="AG148" s="335">
        <f t="shared" si="51"/>
        <v>0.31494768049286626</v>
      </c>
      <c r="AH148" s="335">
        <f t="shared" si="51"/>
        <v>1.6185070125475829</v>
      </c>
      <c r="AI148" s="335">
        <f t="shared" si="48"/>
        <v>2.1554684533004478</v>
      </c>
      <c r="AK148" s="335">
        <f t="shared" si="43"/>
        <v>0</v>
      </c>
      <c r="AL148" s="338">
        <f t="shared" si="44"/>
        <v>0</v>
      </c>
      <c r="AM148" s="335">
        <f t="shared" si="45"/>
        <v>0</v>
      </c>
      <c r="AN148" s="335">
        <f t="shared" si="45"/>
        <v>0</v>
      </c>
      <c r="AO148" s="335">
        <f t="shared" si="45"/>
        <v>0</v>
      </c>
      <c r="AP148" s="335">
        <f t="shared" si="52"/>
        <v>0</v>
      </c>
      <c r="AQ148" s="335">
        <f t="shared" si="52"/>
        <v>0</v>
      </c>
      <c r="AR148" s="335">
        <f t="shared" si="52"/>
        <v>0</v>
      </c>
      <c r="AS148" s="335">
        <f t="shared" si="49"/>
        <v>0</v>
      </c>
      <c r="AT148" s="335" t="e">
        <f t="shared" si="50"/>
        <v>#DIV/0!</v>
      </c>
    </row>
    <row r="149" spans="2:46" ht="14.4" x14ac:dyDescent="0.55000000000000004">
      <c r="B149" s="3">
        <v>2050</v>
      </c>
      <c r="C149" s="707">
        <f>Compost!E143</f>
        <v>326.95413735407749</v>
      </c>
      <c r="D149" s="338">
        <f t="shared" si="31"/>
        <v>0.89012119616125618</v>
      </c>
      <c r="F149" s="3">
        <v>2050</v>
      </c>
      <c r="G149" s="707">
        <f>'H&amp;C Recycling'!E143</f>
        <v>452.19165851611262</v>
      </c>
      <c r="H149" s="338">
        <f t="shared" si="32"/>
        <v>0.94956261491693472</v>
      </c>
      <c r="J149" s="3">
        <v>2050</v>
      </c>
      <c r="K149" s="335">
        <f t="shared" si="33"/>
        <v>885.93501981342922</v>
      </c>
      <c r="L149" s="338">
        <f t="shared" si="34"/>
        <v>4.5556436803301001E-2</v>
      </c>
      <c r="M149" s="338">
        <f t="shared" si="35"/>
        <v>2.7111255662614298E-2</v>
      </c>
      <c r="N149" s="338">
        <f t="shared" si="36"/>
        <v>0.92733230753408491</v>
      </c>
      <c r="Q149" s="3">
        <v>2050</v>
      </c>
      <c r="R149" s="707">
        <f>Paper!F152</f>
        <v>563.55999999999995</v>
      </c>
      <c r="S149" s="335">
        <f t="shared" si="30"/>
        <v>821.5561662488426</v>
      </c>
      <c r="T149" s="707">
        <f>Paper!G152</f>
        <v>628.59800905835698</v>
      </c>
      <c r="V149" s="335">
        <f t="shared" si="37"/>
        <v>257.33701075507224</v>
      </c>
      <c r="W149" s="335">
        <f t="shared" si="38"/>
        <v>40.360042741961706</v>
      </c>
      <c r="X149" s="335">
        <f t="shared" si="39"/>
        <v>24.018810822625142</v>
      </c>
      <c r="Y149" s="335">
        <f t="shared" si="40"/>
        <v>192.95815719048562</v>
      </c>
      <c r="Z149" s="338">
        <f t="shared" si="41"/>
        <v>0.15683730305072796</v>
      </c>
      <c r="AA149" s="338">
        <f t="shared" si="41"/>
        <v>9.3336013938102827E-2</v>
      </c>
      <c r="AB149" s="338">
        <f t="shared" si="41"/>
        <v>0.74982668301117006</v>
      </c>
      <c r="AC149" s="338">
        <f t="shared" si="42"/>
        <v>0.84545073828778738</v>
      </c>
      <c r="AD149" s="533"/>
      <c r="AE149" s="346">
        <f>MIN('WTE Tonnes and Composition'!G103,V149)</f>
        <v>257.33701075507224</v>
      </c>
      <c r="AF149" s="335">
        <f t="shared" si="51"/>
        <v>0.23514011085335818</v>
      </c>
      <c r="AG149" s="335">
        <f t="shared" si="51"/>
        <v>0.33129411191853575</v>
      </c>
      <c r="AH149" s="335">
        <f t="shared" si="51"/>
        <v>1.5901730843054009</v>
      </c>
      <c r="AI149" s="335">
        <f t="shared" si="48"/>
        <v>2.1566073070772949</v>
      </c>
      <c r="AK149" s="335">
        <f t="shared" si="43"/>
        <v>0</v>
      </c>
      <c r="AL149" s="338">
        <f t="shared" si="44"/>
        <v>0</v>
      </c>
      <c r="AM149" s="335">
        <f t="shared" si="45"/>
        <v>0</v>
      </c>
      <c r="AN149" s="335">
        <f t="shared" si="45"/>
        <v>0</v>
      </c>
      <c r="AO149" s="335">
        <f t="shared" si="45"/>
        <v>0</v>
      </c>
      <c r="AP149" s="335">
        <f t="shared" si="52"/>
        <v>0</v>
      </c>
      <c r="AQ149" s="335">
        <f t="shared" si="52"/>
        <v>0</v>
      </c>
      <c r="AR149" s="335">
        <f t="shared" si="52"/>
        <v>0</v>
      </c>
      <c r="AS149" s="335">
        <f t="shared" si="49"/>
        <v>0</v>
      </c>
      <c r="AT149" s="335" t="e">
        <f t="shared" si="50"/>
        <v>#DIV/0!</v>
      </c>
    </row>
    <row r="150" spans="2:46" ht="14.4" x14ac:dyDescent="0.55000000000000004">
      <c r="B150" s="3">
        <v>2051</v>
      </c>
      <c r="C150" s="707">
        <f>Compost!E144</f>
        <v>392.84757267794237</v>
      </c>
      <c r="D150" s="338">
        <f t="shared" si="31"/>
        <v>0.90099401274188751</v>
      </c>
      <c r="F150" s="3">
        <v>2051</v>
      </c>
      <c r="G150" s="707">
        <f>'H&amp;C Recycling'!E144</f>
        <v>397.51600749549596</v>
      </c>
      <c r="H150" s="338">
        <f t="shared" si="32"/>
        <v>0.93968721757571727</v>
      </c>
      <c r="J150" s="3">
        <v>2051</v>
      </c>
      <c r="K150" s="335">
        <f t="shared" si="33"/>
        <v>906.55276198468994</v>
      </c>
      <c r="L150" s="338">
        <f t="shared" si="34"/>
        <v>4.7617933308745669E-2</v>
      </c>
      <c r="M150" s="338">
        <f t="shared" si="35"/>
        <v>2.8144114019249277E-2</v>
      </c>
      <c r="N150" s="338">
        <f t="shared" si="36"/>
        <v>0.92423795267200481</v>
      </c>
      <c r="Q150" s="3">
        <v>2051</v>
      </c>
      <c r="R150" s="707">
        <f>Paper!F153</f>
        <v>579.255</v>
      </c>
      <c r="S150" s="335">
        <f t="shared" si="30"/>
        <v>837.8704687258811</v>
      </c>
      <c r="T150" s="707">
        <f>Paper!G153</f>
        <v>646.1043007614071</v>
      </c>
      <c r="V150" s="335">
        <f t="shared" si="37"/>
        <v>260.44846122328283</v>
      </c>
      <c r="W150" s="335">
        <f t="shared" si="38"/>
        <v>43.168168961046149</v>
      </c>
      <c r="X150" s="335">
        <f t="shared" si="39"/>
        <v>25.514124297762464</v>
      </c>
      <c r="Y150" s="335">
        <f t="shared" si="40"/>
        <v>191.76616796447399</v>
      </c>
      <c r="Z150" s="338">
        <f t="shared" si="41"/>
        <v>0.16574553275643283</v>
      </c>
      <c r="AA150" s="338">
        <f t="shared" si="41"/>
        <v>9.7962276981506793E-2</v>
      </c>
      <c r="AB150" s="338">
        <f t="shared" si="41"/>
        <v>0.7362921902620595</v>
      </c>
      <c r="AC150" s="338">
        <f t="shared" si="42"/>
        <v>0.84651661678733903</v>
      </c>
      <c r="AD150" s="533"/>
      <c r="AE150" s="346">
        <f>MIN('WTE Tonnes and Composition'!G104,V150)</f>
        <v>260.44846122328283</v>
      </c>
      <c r="AF150" s="335">
        <f t="shared" si="51"/>
        <v>0.2484958755838261</v>
      </c>
      <c r="AG150" s="335">
        <f t="shared" si="51"/>
        <v>0.34771493001220816</v>
      </c>
      <c r="AH150" s="335">
        <f t="shared" si="51"/>
        <v>1.5614702032703689</v>
      </c>
      <c r="AI150" s="335">
        <f t="shared" si="48"/>
        <v>2.1576810088664029</v>
      </c>
      <c r="AK150" s="335">
        <f t="shared" si="43"/>
        <v>0</v>
      </c>
      <c r="AL150" s="338">
        <f t="shared" si="44"/>
        <v>0</v>
      </c>
      <c r="AM150" s="335">
        <f t="shared" si="45"/>
        <v>0</v>
      </c>
      <c r="AN150" s="335">
        <f t="shared" si="45"/>
        <v>0</v>
      </c>
      <c r="AO150" s="335">
        <f t="shared" si="45"/>
        <v>0</v>
      </c>
      <c r="AP150" s="335">
        <f t="shared" si="52"/>
        <v>0</v>
      </c>
      <c r="AQ150" s="335">
        <f t="shared" si="52"/>
        <v>0</v>
      </c>
      <c r="AR150" s="335">
        <f t="shared" si="52"/>
        <v>0</v>
      </c>
      <c r="AS150" s="335">
        <f t="shared" si="49"/>
        <v>0</v>
      </c>
      <c r="AT150" s="335" t="e">
        <f t="shared" si="50"/>
        <v>#DIV/0!</v>
      </c>
    </row>
    <row r="151" spans="2:46" ht="14.4" x14ac:dyDescent="0.55000000000000004">
      <c r="B151" s="3">
        <v>2052</v>
      </c>
      <c r="C151" s="707">
        <f>Compost!E145</f>
        <v>406.9974833644302</v>
      </c>
      <c r="D151" s="338">
        <f t="shared" si="31"/>
        <v>0.89833368242854361</v>
      </c>
      <c r="F151" s="3">
        <v>2052</v>
      </c>
      <c r="G151" s="707">
        <f>'H&amp;C Recycling'!E145</f>
        <v>393.89926677972358</v>
      </c>
      <c r="H151" s="338">
        <f t="shared" si="32"/>
        <v>0.9357701283315083</v>
      </c>
      <c r="J151" s="3">
        <v>2052</v>
      </c>
      <c r="K151" s="335">
        <f t="shared" si="33"/>
        <v>927.27190874540952</v>
      </c>
      <c r="L151" s="338">
        <f t="shared" si="34"/>
        <v>4.9673416374907658E-2</v>
      </c>
      <c r="M151" s="338">
        <f t="shared" si="35"/>
        <v>2.9157208733499359E-2</v>
      </c>
      <c r="N151" s="338">
        <f t="shared" si="36"/>
        <v>0.92116937489159301</v>
      </c>
      <c r="Q151" s="3">
        <v>2052</v>
      </c>
      <c r="R151" s="707">
        <f>Paper!F154</f>
        <v>595.38800000000003</v>
      </c>
      <c r="S151" s="335">
        <f t="shared" si="30"/>
        <v>854.17448453354314</v>
      </c>
      <c r="T151" s="707">
        <f>Paper!G154</f>
        <v>664.09914013989123</v>
      </c>
      <c r="V151" s="335">
        <f t="shared" si="37"/>
        <v>263.17276860551829</v>
      </c>
      <c r="W151" s="335">
        <f t="shared" si="38"/>
        <v>46.060763615866108</v>
      </c>
      <c r="X151" s="335">
        <f t="shared" si="39"/>
        <v>27.036660596000274</v>
      </c>
      <c r="Y151" s="335">
        <f t="shared" si="40"/>
        <v>190.0753443936519</v>
      </c>
      <c r="Z151" s="338">
        <f t="shared" si="41"/>
        <v>0.17502100943015383</v>
      </c>
      <c r="AA151" s="338">
        <f t="shared" si="41"/>
        <v>0.10273350369515914</v>
      </c>
      <c r="AB151" s="338">
        <f t="shared" si="41"/>
        <v>0.72224548687468704</v>
      </c>
      <c r="AC151" s="338">
        <f t="shared" si="42"/>
        <v>0.84771580756786769</v>
      </c>
      <c r="AD151" s="533"/>
      <c r="AE151" s="346">
        <f>MIN('WTE Tonnes and Composition'!G105,V151)</f>
        <v>263.17276860551829</v>
      </c>
      <c r="AF151" s="335">
        <f t="shared" si="51"/>
        <v>0.2624022395090656</v>
      </c>
      <c r="AG151" s="335">
        <f t="shared" si="51"/>
        <v>0.36465029343912397</v>
      </c>
      <c r="AH151" s="335">
        <f t="shared" si="51"/>
        <v>1.5316810664526166</v>
      </c>
      <c r="AI151" s="335">
        <f t="shared" si="48"/>
        <v>2.1587335994008061</v>
      </c>
      <c r="AK151" s="335">
        <f t="shared" si="43"/>
        <v>0</v>
      </c>
      <c r="AL151" s="338">
        <f t="shared" si="44"/>
        <v>0</v>
      </c>
      <c r="AM151" s="335">
        <f t="shared" si="45"/>
        <v>0</v>
      </c>
      <c r="AN151" s="335">
        <f t="shared" si="45"/>
        <v>0</v>
      </c>
      <c r="AO151" s="335">
        <f t="shared" si="45"/>
        <v>0</v>
      </c>
      <c r="AP151" s="335">
        <f t="shared" si="52"/>
        <v>0</v>
      </c>
      <c r="AQ151" s="335">
        <f t="shared" si="52"/>
        <v>0</v>
      </c>
      <c r="AR151" s="335">
        <f t="shared" si="52"/>
        <v>0</v>
      </c>
      <c r="AS151" s="335">
        <f t="shared" si="49"/>
        <v>0</v>
      </c>
      <c r="AT151" s="335" t="e">
        <f t="shared" si="50"/>
        <v>#DIV/0!</v>
      </c>
    </row>
    <row r="152" spans="2:46" ht="14.4" x14ac:dyDescent="0.55000000000000004">
      <c r="B152" s="3">
        <v>2053</v>
      </c>
      <c r="C152" s="707">
        <f>Compost!E146</f>
        <v>418.22938005354467</v>
      </c>
      <c r="D152" s="338">
        <f t="shared" si="31"/>
        <v>0.89502596763105235</v>
      </c>
      <c r="F152" s="3">
        <v>2053</v>
      </c>
      <c r="G152" s="707">
        <f>'H&amp;C Recycling'!E146</f>
        <v>393.03274829632926</v>
      </c>
      <c r="H152" s="338">
        <f t="shared" si="32"/>
        <v>0.93218179743987051</v>
      </c>
      <c r="J152" s="3">
        <v>2053</v>
      </c>
      <c r="K152" s="335">
        <f t="shared" si="33"/>
        <v>948.27698861924557</v>
      </c>
      <c r="L152" s="338">
        <f t="shared" si="34"/>
        <v>5.1727986100048085E-2</v>
      </c>
      <c r="M152" s="338">
        <f t="shared" si="35"/>
        <v>3.0153600954036179E-2</v>
      </c>
      <c r="N152" s="338">
        <f t="shared" si="36"/>
        <v>0.91811841294591578</v>
      </c>
      <c r="Q152" s="3">
        <v>2053</v>
      </c>
      <c r="R152" s="707">
        <f>Paper!F155</f>
        <v>611.95899999999995</v>
      </c>
      <c r="S152" s="335">
        <f t="shared" si="30"/>
        <v>870.63056382423395</v>
      </c>
      <c r="T152" s="707">
        <f>Paper!G155</f>
        <v>682.58252719380914</v>
      </c>
      <c r="V152" s="335">
        <f t="shared" si="37"/>
        <v>265.69446142543643</v>
      </c>
      <c r="W152" s="335">
        <f t="shared" si="38"/>
        <v>49.052458886291788</v>
      </c>
      <c r="X152" s="335">
        <f t="shared" si="39"/>
        <v>28.593965908719838</v>
      </c>
      <c r="Y152" s="335">
        <f t="shared" si="40"/>
        <v>188.0480366304248</v>
      </c>
      <c r="Z152" s="338">
        <f t="shared" si="41"/>
        <v>0.18461980209571549</v>
      </c>
      <c r="AA152" s="338">
        <f t="shared" si="41"/>
        <v>0.10761972889955912</v>
      </c>
      <c r="AB152" s="338">
        <f t="shared" si="41"/>
        <v>0.70776046900472533</v>
      </c>
      <c r="AC152" s="338">
        <f t="shared" si="42"/>
        <v>0.84899769555387528</v>
      </c>
      <c r="AD152" s="533"/>
      <c r="AE152" s="346">
        <f>MIN('WTE Tonnes and Composition'!G106,V152)</f>
        <v>265.69446142543643</v>
      </c>
      <c r="AF152" s="335">
        <f t="shared" si="51"/>
        <v>0.27679333861326616</v>
      </c>
      <c r="AG152" s="335">
        <f t="shared" si="51"/>
        <v>0.38199384145906806</v>
      </c>
      <c r="AH152" s="335">
        <f t="shared" si="51"/>
        <v>1.5009623869705839</v>
      </c>
      <c r="AI152" s="335">
        <f t="shared" si="48"/>
        <v>2.1597495670429181</v>
      </c>
      <c r="AK152" s="335">
        <f t="shared" si="43"/>
        <v>0</v>
      </c>
      <c r="AL152" s="338">
        <f t="shared" si="44"/>
        <v>0</v>
      </c>
      <c r="AM152" s="335">
        <f t="shared" si="45"/>
        <v>0</v>
      </c>
      <c r="AN152" s="335">
        <f t="shared" si="45"/>
        <v>0</v>
      </c>
      <c r="AO152" s="335">
        <f t="shared" si="45"/>
        <v>0</v>
      </c>
      <c r="AP152" s="335">
        <f t="shared" si="52"/>
        <v>0</v>
      </c>
      <c r="AQ152" s="335">
        <f t="shared" si="52"/>
        <v>0</v>
      </c>
      <c r="AR152" s="335">
        <f t="shared" si="52"/>
        <v>0</v>
      </c>
      <c r="AS152" s="335">
        <f t="shared" si="49"/>
        <v>0</v>
      </c>
      <c r="AT152" s="335" t="e">
        <f t="shared" si="50"/>
        <v>#DIV/0!</v>
      </c>
    </row>
    <row r="153" spans="2:46" ht="14.4" x14ac:dyDescent="0.55000000000000004">
      <c r="B153" s="3">
        <v>2054</v>
      </c>
      <c r="C153" s="707">
        <f>Compost!E147</f>
        <v>429.31485068301879</v>
      </c>
      <c r="D153" s="338">
        <f t="shared" si="31"/>
        <v>0.89169167037847197</v>
      </c>
      <c r="F153" s="3">
        <v>2054</v>
      </c>
      <c r="G153" s="707">
        <f>'H&amp;C Recycling'!E147</f>
        <v>392.14939397055889</v>
      </c>
      <c r="H153" s="338">
        <f t="shared" si="32"/>
        <v>0.9285246593587424</v>
      </c>
      <c r="J153" s="3">
        <v>2054</v>
      </c>
      <c r="K153" s="335">
        <f t="shared" si="33"/>
        <v>969.57130261471036</v>
      </c>
      <c r="L153" s="338">
        <f t="shared" si="34"/>
        <v>5.3782787464620854E-2</v>
      </c>
      <c r="M153" s="338">
        <f t="shared" si="35"/>
        <v>3.1133976065633378E-2</v>
      </c>
      <c r="N153" s="338">
        <f t="shared" si="36"/>
        <v>0.91508323646974576</v>
      </c>
      <c r="Q153" s="3">
        <v>2054</v>
      </c>
      <c r="R153" s="707">
        <f>Paper!F156</f>
        <v>628.96799999999996</v>
      </c>
      <c r="S153" s="335">
        <f t="shared" si="30"/>
        <v>887.23844558485644</v>
      </c>
      <c r="T153" s="707">
        <f>Paper!G156</f>
        <v>701.55446192316106</v>
      </c>
      <c r="V153" s="335">
        <f t="shared" si="37"/>
        <v>268.01684069154931</v>
      </c>
      <c r="W153" s="335">
        <f t="shared" si="38"/>
        <v>52.146247300322557</v>
      </c>
      <c r="X153" s="335">
        <f t="shared" si="39"/>
        <v>30.186609729531369</v>
      </c>
      <c r="Y153" s="335">
        <f t="shared" si="40"/>
        <v>185.68398366169538</v>
      </c>
      <c r="Z153" s="338">
        <f t="shared" si="41"/>
        <v>0.19456332357986322</v>
      </c>
      <c r="AA153" s="338">
        <f t="shared" si="41"/>
        <v>0.11262952600904666</v>
      </c>
      <c r="AB153" s="338">
        <f t="shared" si="41"/>
        <v>0.69280715041109009</v>
      </c>
      <c r="AC153" s="338">
        <f t="shared" si="42"/>
        <v>0.85035649286786508</v>
      </c>
      <c r="AD153" s="533"/>
      <c r="AE153" s="346">
        <f>MIN('WTE Tonnes and Composition'!G107,V153)</f>
        <v>268.01684069154931</v>
      </c>
      <c r="AF153" s="335">
        <f t="shared" si="51"/>
        <v>0.29170127632052834</v>
      </c>
      <c r="AG153" s="335">
        <f t="shared" si="51"/>
        <v>0.39977600521614026</v>
      </c>
      <c r="AH153" s="335">
        <f t="shared" si="51"/>
        <v>1.4692505723774401</v>
      </c>
      <c r="AI153" s="335">
        <f t="shared" si="48"/>
        <v>2.1607278539141088</v>
      </c>
      <c r="AK153" s="335">
        <f t="shared" si="43"/>
        <v>0</v>
      </c>
      <c r="AL153" s="338">
        <f t="shared" si="44"/>
        <v>0</v>
      </c>
      <c r="AM153" s="335">
        <f t="shared" si="45"/>
        <v>0</v>
      </c>
      <c r="AN153" s="335">
        <f t="shared" si="45"/>
        <v>0</v>
      </c>
      <c r="AO153" s="335">
        <f t="shared" si="45"/>
        <v>0</v>
      </c>
      <c r="AP153" s="335">
        <f t="shared" si="52"/>
        <v>0</v>
      </c>
      <c r="AQ153" s="335">
        <f t="shared" si="52"/>
        <v>0</v>
      </c>
      <c r="AR153" s="335">
        <f t="shared" si="52"/>
        <v>0</v>
      </c>
      <c r="AS153" s="335">
        <f t="shared" si="49"/>
        <v>0</v>
      </c>
      <c r="AT153" s="335" t="e">
        <f t="shared" si="50"/>
        <v>#DIV/0!</v>
      </c>
    </row>
    <row r="154" spans="2:46" ht="14.4" x14ac:dyDescent="0.55000000000000004">
      <c r="B154" s="3">
        <v>2055</v>
      </c>
      <c r="C154" s="707">
        <f>Compost!E148</f>
        <v>440.25514613626456</v>
      </c>
      <c r="D154" s="338">
        <f t="shared" si="31"/>
        <v>0.88832803858924214</v>
      </c>
      <c r="F154" s="3">
        <v>2055</v>
      </c>
      <c r="G154" s="707">
        <f>'H&amp;C Recycling'!E148</f>
        <v>391.25150759254598</v>
      </c>
      <c r="H154" s="338">
        <f t="shared" si="32"/>
        <v>0.92479947400486451</v>
      </c>
      <c r="J154" s="3">
        <v>2055</v>
      </c>
      <c r="K154" s="335">
        <f t="shared" si="33"/>
        <v>991.15742321977223</v>
      </c>
      <c r="L154" s="338">
        <f t="shared" si="34"/>
        <v>5.5838350086307623E-2</v>
      </c>
      <c r="M154" s="338">
        <f t="shared" si="35"/>
        <v>3.2098644309224753E-2</v>
      </c>
      <c r="N154" s="338">
        <f t="shared" si="36"/>
        <v>0.91206300560446762</v>
      </c>
      <c r="Q154" s="3">
        <v>2055</v>
      </c>
      <c r="R154" s="707">
        <f>Paper!F157</f>
        <v>646.41499999999996</v>
      </c>
      <c r="S154" s="335">
        <f t="shared" si="30"/>
        <v>903.9980184490048</v>
      </c>
      <c r="T154" s="707">
        <f>Paper!G157</f>
        <v>721.01494432794698</v>
      </c>
      <c r="V154" s="335">
        <f t="shared" si="37"/>
        <v>270.14247889182525</v>
      </c>
      <c r="W154" s="335">
        <f t="shared" si="38"/>
        <v>55.344595188388212</v>
      </c>
      <c r="X154" s="335">
        <f t="shared" si="39"/>
        <v>31.814809582379212</v>
      </c>
      <c r="Y154" s="335">
        <f t="shared" si="40"/>
        <v>182.98307412105783</v>
      </c>
      <c r="Z154" s="338">
        <f t="shared" si="41"/>
        <v>0.20487187137477247</v>
      </c>
      <c r="AA154" s="338">
        <f t="shared" si="41"/>
        <v>0.11777048064743273</v>
      </c>
      <c r="AB154" s="338">
        <f t="shared" si="41"/>
        <v>0.67735764797779474</v>
      </c>
      <c r="AC154" s="338">
        <f t="shared" si="42"/>
        <v>0.8517870175265182</v>
      </c>
      <c r="AD154" s="533"/>
      <c r="AE154" s="346">
        <f>MIN('WTE Tonnes and Composition'!G108,V154)</f>
        <v>270.14247889182525</v>
      </c>
      <c r="AF154" s="335">
        <f t="shared" si="51"/>
        <v>0.3071564838769098</v>
      </c>
      <c r="AG154" s="335">
        <f t="shared" si="51"/>
        <v>0.41802370971386044</v>
      </c>
      <c r="AH154" s="335">
        <f t="shared" si="51"/>
        <v>1.4364864903676096</v>
      </c>
      <c r="AI154" s="335">
        <f t="shared" si="48"/>
        <v>2.16166668395838</v>
      </c>
      <c r="AK154" s="335">
        <f t="shared" si="43"/>
        <v>0</v>
      </c>
      <c r="AL154" s="338">
        <f t="shared" si="44"/>
        <v>0</v>
      </c>
      <c r="AM154" s="335">
        <f t="shared" si="45"/>
        <v>0</v>
      </c>
      <c r="AN154" s="335">
        <f t="shared" si="45"/>
        <v>0</v>
      </c>
      <c r="AO154" s="335">
        <f t="shared" si="45"/>
        <v>0</v>
      </c>
      <c r="AP154" s="335">
        <f t="shared" si="52"/>
        <v>0</v>
      </c>
      <c r="AQ154" s="335">
        <f t="shared" si="52"/>
        <v>0</v>
      </c>
      <c r="AR154" s="335">
        <f t="shared" si="52"/>
        <v>0</v>
      </c>
      <c r="AS154" s="335">
        <f t="shared" si="49"/>
        <v>0</v>
      </c>
      <c r="AT154" s="335" t="e">
        <f t="shared" si="50"/>
        <v>#DIV/0!</v>
      </c>
    </row>
    <row r="155" spans="2:46" ht="14.4" x14ac:dyDescent="0.55000000000000004">
      <c r="B155" s="3">
        <v>2056</v>
      </c>
      <c r="C155" s="707">
        <f>Compost!E149</f>
        <v>451.05226639574892</v>
      </c>
      <c r="D155" s="338">
        <f t="shared" si="31"/>
        <v>0.88493346915097937</v>
      </c>
      <c r="F155" s="3">
        <v>2056</v>
      </c>
      <c r="G155" s="707">
        <f>'H&amp;C Recycling'!E149</f>
        <v>390.3415733112746</v>
      </c>
      <c r="H155" s="338">
        <f t="shared" si="32"/>
        <v>0.92100764816909764</v>
      </c>
      <c r="J155" s="3">
        <v>2056</v>
      </c>
      <c r="K155" s="335">
        <f t="shared" si="33"/>
        <v>1013.0374921673975</v>
      </c>
      <c r="L155" s="338">
        <f t="shared" si="34"/>
        <v>5.7894825519262012E-2</v>
      </c>
      <c r="M155" s="338">
        <f t="shared" si="35"/>
        <v>3.3047689158711771E-2</v>
      </c>
      <c r="N155" s="338">
        <f t="shared" si="36"/>
        <v>0.90905748532202624</v>
      </c>
      <c r="Q155" s="3">
        <v>2056</v>
      </c>
      <c r="R155" s="707">
        <f>Paper!F158</f>
        <v>664.3</v>
      </c>
      <c r="S155" s="335">
        <f t="shared" si="30"/>
        <v>920.90931516662624</v>
      </c>
      <c r="T155" s="707">
        <f>Paper!G158</f>
        <v>740.96397440816691</v>
      </c>
      <c r="V155" s="335">
        <f t="shared" si="37"/>
        <v>272.07351775923064</v>
      </c>
      <c r="W155" s="335">
        <f t="shared" si="38"/>
        <v>58.649628853502236</v>
      </c>
      <c r="X155" s="335">
        <f t="shared" si="39"/>
        <v>33.478548147269066</v>
      </c>
      <c r="Y155" s="335">
        <f t="shared" si="40"/>
        <v>179.94534075845934</v>
      </c>
      <c r="Z155" s="338">
        <f t="shared" si="41"/>
        <v>0.21556537121486322</v>
      </c>
      <c r="AA155" s="338">
        <f t="shared" si="41"/>
        <v>0.12304963902034614</v>
      </c>
      <c r="AB155" s="338">
        <f t="shared" si="41"/>
        <v>0.66138498976479065</v>
      </c>
      <c r="AC155" s="338">
        <f t="shared" si="42"/>
        <v>0.85328466302161521</v>
      </c>
      <c r="AD155" s="533"/>
      <c r="AE155" s="346">
        <f>MIN('WTE Tonnes and Composition'!G109,V155)</f>
        <v>272.07351775923064</v>
      </c>
      <c r="AF155" s="335">
        <f t="shared" si="51"/>
        <v>0.32318883516642422</v>
      </c>
      <c r="AG155" s="335">
        <f t="shared" si="51"/>
        <v>0.43676196530287131</v>
      </c>
      <c r="AH155" s="335">
        <f t="shared" si="51"/>
        <v>1.4026129409853314</v>
      </c>
      <c r="AI155" s="335">
        <f t="shared" si="48"/>
        <v>2.162563741454627</v>
      </c>
      <c r="AK155" s="335">
        <f t="shared" si="43"/>
        <v>0</v>
      </c>
      <c r="AL155" s="338">
        <f t="shared" si="44"/>
        <v>0</v>
      </c>
      <c r="AM155" s="335">
        <f t="shared" si="45"/>
        <v>0</v>
      </c>
      <c r="AN155" s="335">
        <f t="shared" si="45"/>
        <v>0</v>
      </c>
      <c r="AO155" s="335">
        <f t="shared" si="45"/>
        <v>0</v>
      </c>
      <c r="AP155" s="335">
        <f t="shared" si="52"/>
        <v>0</v>
      </c>
      <c r="AQ155" s="335">
        <f t="shared" si="52"/>
        <v>0</v>
      </c>
      <c r="AR155" s="335">
        <f t="shared" si="52"/>
        <v>0</v>
      </c>
      <c r="AS155" s="335">
        <f t="shared" si="49"/>
        <v>0</v>
      </c>
      <c r="AT155" s="335" t="e">
        <f t="shared" si="50"/>
        <v>#DIV/0!</v>
      </c>
    </row>
    <row r="156" spans="2:46" ht="14.4" x14ac:dyDescent="0.55000000000000004">
      <c r="B156" s="3">
        <v>2057</v>
      </c>
      <c r="C156" s="707">
        <f>Compost!E150</f>
        <v>461.70512899866139</v>
      </c>
      <c r="D156" s="338">
        <f t="shared" si="31"/>
        <v>0.88150744496068734</v>
      </c>
      <c r="F156" s="3">
        <v>2057</v>
      </c>
      <c r="G156" s="707">
        <f>'H&amp;C Recycling'!E150</f>
        <v>389.42256674155192</v>
      </c>
      <c r="H156" s="338">
        <f t="shared" si="32"/>
        <v>0.91715196342670458</v>
      </c>
      <c r="J156" s="3">
        <v>2057</v>
      </c>
      <c r="K156" s="335">
        <f t="shared" si="33"/>
        <v>1035.2123427173915</v>
      </c>
      <c r="L156" s="338">
        <f t="shared" si="34"/>
        <v>5.9951539148490288E-2</v>
      </c>
      <c r="M156" s="338">
        <f t="shared" si="35"/>
        <v>3.3980721347425531E-2</v>
      </c>
      <c r="N156" s="338">
        <f t="shared" si="36"/>
        <v>0.90606773950408415</v>
      </c>
      <c r="Q156" s="3">
        <v>2057</v>
      </c>
      <c r="R156" s="707">
        <f>Paper!F159</f>
        <v>682.62299999999993</v>
      </c>
      <c r="S156" s="335">
        <f t="shared" si="30"/>
        <v>937.97250727267419</v>
      </c>
      <c r="T156" s="707">
        <f>Paper!G159</f>
        <v>761.40155216382072</v>
      </c>
      <c r="V156" s="335">
        <f t="shared" si="37"/>
        <v>273.81079055357077</v>
      </c>
      <c r="W156" s="335">
        <f t="shared" si="38"/>
        <v>62.062573291422041</v>
      </c>
      <c r="X156" s="335">
        <f t="shared" si="39"/>
        <v>35.17726215329526</v>
      </c>
      <c r="Y156" s="335">
        <f t="shared" si="40"/>
        <v>176.57095510885347</v>
      </c>
      <c r="Z156" s="338">
        <f t="shared" si="41"/>
        <v>0.2266622625278881</v>
      </c>
      <c r="AA156" s="338">
        <f t="shared" si="41"/>
        <v>0.12847288480551269</v>
      </c>
      <c r="AB156" s="338">
        <f t="shared" si="41"/>
        <v>0.64486485266659921</v>
      </c>
      <c r="AC156" s="338">
        <f t="shared" si="42"/>
        <v>0.85484547591034732</v>
      </c>
      <c r="AD156" s="533"/>
      <c r="AE156" s="346">
        <f>MIN('WTE Tonnes and Composition'!G110,V156)</f>
        <v>273.81079055357077</v>
      </c>
      <c r="AF156" s="335">
        <f t="shared" si="51"/>
        <v>0.33982597571090534</v>
      </c>
      <c r="AG156" s="335">
        <f t="shared" si="51"/>
        <v>0.45601165596680082</v>
      </c>
      <c r="AH156" s="335">
        <f t="shared" si="51"/>
        <v>1.3675783417135585</v>
      </c>
      <c r="AI156" s="335">
        <f t="shared" si="48"/>
        <v>2.1634159733912646</v>
      </c>
      <c r="AK156" s="335">
        <f t="shared" si="43"/>
        <v>0</v>
      </c>
      <c r="AL156" s="338">
        <f t="shared" si="44"/>
        <v>0</v>
      </c>
      <c r="AM156" s="335">
        <f t="shared" si="45"/>
        <v>0</v>
      </c>
      <c r="AN156" s="335">
        <f t="shared" si="45"/>
        <v>0</v>
      </c>
      <c r="AO156" s="335">
        <f t="shared" si="45"/>
        <v>0</v>
      </c>
      <c r="AP156" s="335">
        <f t="shared" si="52"/>
        <v>0</v>
      </c>
      <c r="AQ156" s="335">
        <f t="shared" si="52"/>
        <v>0</v>
      </c>
      <c r="AR156" s="335">
        <f t="shared" si="52"/>
        <v>0</v>
      </c>
      <c r="AS156" s="335">
        <f t="shared" si="49"/>
        <v>0</v>
      </c>
      <c r="AT156" s="335" t="e">
        <f t="shared" si="50"/>
        <v>#DIV/0!</v>
      </c>
    </row>
    <row r="157" spans="2:46" ht="14.4" x14ac:dyDescent="0.55000000000000004">
      <c r="B157" s="3">
        <v>2058</v>
      </c>
      <c r="C157" s="707">
        <f>Compost!E151</f>
        <v>472.20740206597247</v>
      </c>
      <c r="D157" s="338">
        <f t="shared" si="31"/>
        <v>0.87805003851396668</v>
      </c>
      <c r="F157" s="3">
        <v>2058</v>
      </c>
      <c r="G157" s="707">
        <f>'H&amp;C Recycling'!E151</f>
        <v>388.49802751054438</v>
      </c>
      <c r="H157" s="338">
        <f t="shared" si="32"/>
        <v>0.91323673411098105</v>
      </c>
      <c r="J157" s="3">
        <v>2058</v>
      </c>
      <c r="K157" s="335">
        <f t="shared" si="33"/>
        <v>1057.68126067609</v>
      </c>
      <c r="L157" s="338">
        <f t="shared" si="34"/>
        <v>6.2006951730428958E-2</v>
      </c>
      <c r="M157" s="338">
        <f t="shared" si="35"/>
        <v>3.4896874138158111E-2</v>
      </c>
      <c r="N157" s="338">
        <f t="shared" si="36"/>
        <v>0.90309617413141308</v>
      </c>
      <c r="Q157" s="3">
        <v>2058</v>
      </c>
      <c r="R157" s="707">
        <f>Paper!F160</f>
        <v>701.3839999999999</v>
      </c>
      <c r="S157" s="335">
        <f t="shared" si="30"/>
        <v>955.18789996706664</v>
      </c>
      <c r="T157" s="707">
        <f>Paper!G160</f>
        <v>782.32767759490844</v>
      </c>
      <c r="V157" s="335">
        <f t="shared" si="37"/>
        <v>272.38412691459132</v>
      </c>
      <c r="W157" s="335">
        <f t="shared" si="38"/>
        <v>65.583590876921562</v>
      </c>
      <c r="X157" s="335">
        <f t="shared" si="39"/>
        <v>36.909769832101915</v>
      </c>
      <c r="Y157" s="335">
        <f t="shared" si="40"/>
        <v>169.89076620556796</v>
      </c>
      <c r="Z157" s="338">
        <f t="shared" si="41"/>
        <v>0.2407761113682147</v>
      </c>
      <c r="AA157" s="338">
        <f t="shared" si="41"/>
        <v>0.13550631694362766</v>
      </c>
      <c r="AB157" s="338">
        <f t="shared" si="41"/>
        <v>0.62371757168815811</v>
      </c>
      <c r="AC157" s="338">
        <f t="shared" si="42"/>
        <v>0.85801396126308371</v>
      </c>
      <c r="AD157" s="533"/>
      <c r="AE157" s="346">
        <f>MIN('WTE Tonnes and Composition'!G111,V157)</f>
        <v>272.38412691459132</v>
      </c>
      <c r="AF157" s="335">
        <f t="shared" si="51"/>
        <v>0.36098632415051424</v>
      </c>
      <c r="AG157" s="335">
        <f t="shared" si="51"/>
        <v>0.48097666738759443</v>
      </c>
      <c r="AH157" s="335">
        <f t="shared" si="51"/>
        <v>1.322730861915804</v>
      </c>
      <c r="AI157" s="335">
        <f t="shared" si="48"/>
        <v>2.1646938534539126</v>
      </c>
      <c r="AK157" s="335">
        <f t="shared" si="43"/>
        <v>0</v>
      </c>
      <c r="AL157" s="338">
        <f t="shared" si="44"/>
        <v>0</v>
      </c>
      <c r="AM157" s="335">
        <f t="shared" si="45"/>
        <v>0</v>
      </c>
      <c r="AN157" s="335">
        <f t="shared" si="45"/>
        <v>0</v>
      </c>
      <c r="AO157" s="335">
        <f t="shared" si="45"/>
        <v>0</v>
      </c>
      <c r="AP157" s="335">
        <f t="shared" si="52"/>
        <v>0</v>
      </c>
      <c r="AQ157" s="335">
        <f t="shared" si="52"/>
        <v>0</v>
      </c>
      <c r="AR157" s="335">
        <f t="shared" si="52"/>
        <v>0</v>
      </c>
      <c r="AS157" s="335">
        <f t="shared" si="49"/>
        <v>0</v>
      </c>
      <c r="AT157" s="335" t="e">
        <f t="shared" si="50"/>
        <v>#DIV/0!</v>
      </c>
    </row>
    <row r="158" spans="2:46" ht="14.4" x14ac:dyDescent="0.55000000000000004">
      <c r="B158" s="3">
        <v>2059</v>
      </c>
      <c r="C158" s="707">
        <f>Compost!E152</f>
        <v>482.54994998160521</v>
      </c>
      <c r="D158" s="338">
        <f t="shared" si="31"/>
        <v>0.87456169202748713</v>
      </c>
      <c r="F158" s="3">
        <v>2059</v>
      </c>
      <c r="G158" s="707">
        <f>'H&amp;C Recycling'!E152</f>
        <v>387.57186113653086</v>
      </c>
      <c r="H158" s="338">
        <f t="shared" si="32"/>
        <v>0.90926732665781629</v>
      </c>
      <c r="J158" s="3">
        <v>2059</v>
      </c>
      <c r="K158" s="335">
        <f t="shared" si="33"/>
        <v>1080.4424939127071</v>
      </c>
      <c r="L158" s="338">
        <f t="shared" si="34"/>
        <v>6.4059029563815192E-2</v>
      </c>
      <c r="M158" s="338">
        <f t="shared" si="35"/>
        <v>3.5795027738197933E-2</v>
      </c>
      <c r="N158" s="338">
        <f t="shared" si="36"/>
        <v>0.9001459426979872</v>
      </c>
      <c r="Q158" s="3">
        <v>2059</v>
      </c>
      <c r="R158" s="707">
        <f>Paper!F161</f>
        <v>720.58299999999997</v>
      </c>
      <c r="S158" s="335">
        <f t="shared" si="30"/>
        <v>972.55592721401797</v>
      </c>
      <c r="T158" s="707">
        <f>Paper!G161</f>
        <v>803.74235070143027</v>
      </c>
      <c r="V158" s="335">
        <f t="shared" si="37"/>
        <v>270.1548963856726</v>
      </c>
      <c r="W158" s="335">
        <f t="shared" si="38"/>
        <v>69.212097659556321</v>
      </c>
      <c r="X158" s="335">
        <f t="shared" si="39"/>
        <v>38.674469039133101</v>
      </c>
      <c r="Y158" s="335">
        <f t="shared" si="40"/>
        <v>162.26832968698352</v>
      </c>
      <c r="Z158" s="338">
        <f t="shared" si="41"/>
        <v>0.25619412635316174</v>
      </c>
      <c r="AA158" s="338">
        <f t="shared" si="41"/>
        <v>0.14315664663697786</v>
      </c>
      <c r="AB158" s="338">
        <f t="shared" si="41"/>
        <v>0.60064922700986167</v>
      </c>
      <c r="AC158" s="338">
        <f t="shared" si="42"/>
        <v>0.86149910787924489</v>
      </c>
      <c r="AD158" s="533"/>
      <c r="AE158" s="346">
        <f>MIN('WTE Tonnes and Composition'!G112,V158)</f>
        <v>270.1548963856726</v>
      </c>
      <c r="AF158" s="335">
        <f t="shared" si="51"/>
        <v>0.38410195851924972</v>
      </c>
      <c r="AG158" s="335">
        <f t="shared" si="51"/>
        <v>0.5081313430021247</v>
      </c>
      <c r="AH158" s="335">
        <f t="shared" si="51"/>
        <v>1.2738093422659622</v>
      </c>
      <c r="AI158" s="335">
        <f t="shared" si="48"/>
        <v>2.1660426437873364</v>
      </c>
      <c r="AK158" s="335">
        <f t="shared" si="43"/>
        <v>0</v>
      </c>
      <c r="AL158" s="338">
        <f t="shared" si="44"/>
        <v>0</v>
      </c>
      <c r="AM158" s="335">
        <f t="shared" si="45"/>
        <v>0</v>
      </c>
      <c r="AN158" s="335">
        <f t="shared" si="45"/>
        <v>0</v>
      </c>
      <c r="AO158" s="335">
        <f t="shared" si="45"/>
        <v>0</v>
      </c>
      <c r="AP158" s="335">
        <f t="shared" si="52"/>
        <v>0</v>
      </c>
      <c r="AQ158" s="335">
        <f t="shared" si="52"/>
        <v>0</v>
      </c>
      <c r="AR158" s="335">
        <f t="shared" si="52"/>
        <v>0</v>
      </c>
      <c r="AS158" s="335">
        <f t="shared" si="49"/>
        <v>0</v>
      </c>
      <c r="AT158" s="335" t="e">
        <f t="shared" si="50"/>
        <v>#DIV/0!</v>
      </c>
    </row>
    <row r="159" spans="2:46" ht="14.4" x14ac:dyDescent="0.55000000000000004">
      <c r="B159" s="3">
        <v>2060</v>
      </c>
      <c r="C159" s="707">
        <f>Compost!E153</f>
        <v>492.72517707880456</v>
      </c>
      <c r="D159" s="338">
        <f t="shared" si="31"/>
        <v>0.8710426272513514</v>
      </c>
      <c r="F159" s="3">
        <v>2060</v>
      </c>
      <c r="G159" s="707">
        <f>'H&amp;C Recycling'!E153</f>
        <v>386.64781203951475</v>
      </c>
      <c r="H159" s="338">
        <f t="shared" si="32"/>
        <v>0.90524891267612173</v>
      </c>
      <c r="J159" s="3">
        <v>2060</v>
      </c>
      <c r="K159" s="335">
        <f t="shared" si="33"/>
        <v>1103.4946976043368</v>
      </c>
      <c r="L159" s="338">
        <f t="shared" si="34"/>
        <v>6.610605964341365E-2</v>
      </c>
      <c r="M159" s="338">
        <f t="shared" si="35"/>
        <v>3.6674271594487468E-2</v>
      </c>
      <c r="N159" s="338">
        <f t="shared" si="36"/>
        <v>0.89721966876209891</v>
      </c>
      <c r="Q159" s="3">
        <v>2060</v>
      </c>
      <c r="R159" s="707">
        <f>Paper!F162</f>
        <v>740.22</v>
      </c>
      <c r="S159" s="335">
        <f t="shared" si="30"/>
        <v>990.07714706529555</v>
      </c>
      <c r="T159" s="707">
        <f>Paper!G162</f>
        <v>825.64557148338611</v>
      </c>
      <c r="V159" s="335">
        <f t="shared" si="37"/>
        <v>271.35864967970303</v>
      </c>
      <c r="W159" s="335">
        <f t="shared" si="38"/>
        <v>72.947686296022994</v>
      </c>
      <c r="X159" s="335">
        <f t="shared" si="39"/>
        <v>40.469864243018264</v>
      </c>
      <c r="Y159" s="335">
        <f t="shared" si="40"/>
        <v>157.94109914066178</v>
      </c>
      <c r="Z159" s="338">
        <f t="shared" si="41"/>
        <v>0.26882388448691968</v>
      </c>
      <c r="AA159" s="338">
        <f t="shared" si="41"/>
        <v>0.14913791873148943</v>
      </c>
      <c r="AB159" s="338">
        <f t="shared" si="41"/>
        <v>0.58203819678159086</v>
      </c>
      <c r="AC159" s="338">
        <f t="shared" si="42"/>
        <v>0.86314838277070671</v>
      </c>
      <c r="AD159" s="533"/>
      <c r="AE159" s="346">
        <f>MIN('WTE Tonnes and Composition'!G113,V159)</f>
        <v>271.35864967970303</v>
      </c>
      <c r="AF159" s="335">
        <f t="shared" si="51"/>
        <v>0.40303726708332516</v>
      </c>
      <c r="AG159" s="335">
        <f t="shared" si="51"/>
        <v>0.52936173567786537</v>
      </c>
      <c r="AH159" s="335">
        <f t="shared" si="51"/>
        <v>1.2343405423276308</v>
      </c>
      <c r="AI159" s="335">
        <f t="shared" si="48"/>
        <v>2.1667395450888214</v>
      </c>
      <c r="AK159" s="335">
        <f t="shared" si="43"/>
        <v>0</v>
      </c>
      <c r="AL159" s="338">
        <f t="shared" si="44"/>
        <v>0</v>
      </c>
      <c r="AM159" s="335">
        <f t="shared" si="45"/>
        <v>0</v>
      </c>
      <c r="AN159" s="335">
        <f t="shared" si="45"/>
        <v>0</v>
      </c>
      <c r="AO159" s="335">
        <f t="shared" si="45"/>
        <v>0</v>
      </c>
      <c r="AP159" s="335">
        <f t="shared" si="52"/>
        <v>0</v>
      </c>
      <c r="AQ159" s="335">
        <f t="shared" si="52"/>
        <v>0</v>
      </c>
      <c r="AR159" s="335">
        <f t="shared" si="52"/>
        <v>0</v>
      </c>
      <c r="AS159" s="335">
        <f t="shared" si="49"/>
        <v>0</v>
      </c>
      <c r="AT159" s="335" t="e">
        <f t="shared" si="50"/>
        <v>#DIV/0!</v>
      </c>
    </row>
    <row r="160" spans="2:46" x14ac:dyDescent="0.4">
      <c r="Z160" s="341"/>
    </row>
    <row r="161" spans="1:54" x14ac:dyDescent="0.4">
      <c r="Z161" s="341"/>
    </row>
    <row r="162" spans="1:54" ht="22.5" x14ac:dyDescent="0.75">
      <c r="A162" s="336" t="s">
        <v>154</v>
      </c>
      <c r="Z162" s="341"/>
    </row>
    <row r="167" spans="1:54" ht="200.05" customHeight="1" x14ac:dyDescent="0.4">
      <c r="B167" s="1275" t="s">
        <v>487</v>
      </c>
      <c r="C167" s="1276"/>
      <c r="D167" s="1276"/>
      <c r="E167" s="1276"/>
      <c r="F167" s="1276"/>
      <c r="G167" s="1276"/>
      <c r="H167" s="1276"/>
      <c r="I167" s="1276"/>
      <c r="J167" s="1276"/>
      <c r="N167" s="1275" t="s">
        <v>477</v>
      </c>
      <c r="O167" s="1276"/>
      <c r="P167" s="1276"/>
      <c r="Q167" s="1276"/>
      <c r="R167" s="1276"/>
      <c r="S167" s="1276"/>
      <c r="T167" s="1276"/>
      <c r="U167" s="1276"/>
      <c r="V167" s="1276"/>
      <c r="Y167" s="1279" t="s">
        <v>537</v>
      </c>
      <c r="Z167" s="1279"/>
      <c r="AA167" s="1279"/>
      <c r="AB167" s="1279"/>
      <c r="AC167" s="1279"/>
      <c r="AD167" s="1279"/>
      <c r="AE167" s="1279"/>
      <c r="AF167" s="1279"/>
      <c r="AI167" s="1279" t="s">
        <v>539</v>
      </c>
      <c r="AJ167" s="1279"/>
      <c r="AK167" s="1279"/>
      <c r="AL167" s="1279"/>
      <c r="AM167" s="1279"/>
      <c r="AN167" s="1279"/>
      <c r="AO167" s="1279"/>
      <c r="AP167" s="1279"/>
      <c r="AS167" s="1279" t="s">
        <v>541</v>
      </c>
      <c r="AT167" s="1279"/>
      <c r="AU167" s="1279"/>
      <c r="AV167" s="1279"/>
      <c r="AW167" s="1279"/>
      <c r="AX167" s="1279"/>
      <c r="AY167" s="1279"/>
      <c r="AZ167" s="1279"/>
    </row>
    <row r="168" spans="1:54" x14ac:dyDescent="0.4">
      <c r="B168" s="1" t="s">
        <v>139</v>
      </c>
      <c r="N168" s="1" t="s">
        <v>140</v>
      </c>
      <c r="O168" s="1"/>
    </row>
    <row r="169" spans="1:54" ht="14.4" x14ac:dyDescent="0.55000000000000004">
      <c r="B169" s="2"/>
      <c r="C169" s="334" t="str">
        <f t="shared" ref="C169:C216" si="53">Y59</f>
        <v>World</v>
      </c>
      <c r="D169" s="334" t="s">
        <v>498</v>
      </c>
      <c r="E169" s="344" t="s">
        <v>144</v>
      </c>
      <c r="F169" s="344" t="s">
        <v>135</v>
      </c>
      <c r="G169" s="344" t="s">
        <v>136</v>
      </c>
      <c r="H169" s="344" t="s">
        <v>538</v>
      </c>
      <c r="I169" s="344" t="s">
        <v>137</v>
      </c>
      <c r="J169" s="344" t="s">
        <v>143</v>
      </c>
      <c r="K169" s="344" t="s">
        <v>138</v>
      </c>
      <c r="N169" s="3"/>
      <c r="O169" s="334" t="s">
        <v>115</v>
      </c>
      <c r="P169" s="334" t="s">
        <v>141</v>
      </c>
      <c r="Q169" s="334" t="s">
        <v>142</v>
      </c>
      <c r="R169" s="334" t="s">
        <v>164</v>
      </c>
      <c r="S169" s="583" t="s">
        <v>359</v>
      </c>
      <c r="T169" s="583" t="s">
        <v>360</v>
      </c>
      <c r="U169" s="584" t="s">
        <v>361</v>
      </c>
      <c r="V169" s="584" t="s">
        <v>362</v>
      </c>
      <c r="Y169" s="584" t="s">
        <v>114</v>
      </c>
      <c r="Z169" s="344" t="s">
        <v>527</v>
      </c>
      <c r="AA169" s="344" t="s">
        <v>1135</v>
      </c>
      <c r="AB169" s="632" t="s">
        <v>533</v>
      </c>
      <c r="AC169" s="632" t="s">
        <v>534</v>
      </c>
      <c r="AD169" s="632" t="s">
        <v>535</v>
      </c>
      <c r="AE169" s="632" t="s">
        <v>536</v>
      </c>
      <c r="AF169" s="335" t="s">
        <v>441</v>
      </c>
      <c r="AI169" s="584" t="s">
        <v>114</v>
      </c>
      <c r="AJ169" s="344" t="s">
        <v>532</v>
      </c>
      <c r="AK169" s="344" t="s">
        <v>137</v>
      </c>
      <c r="AL169" s="344" t="s">
        <v>528</v>
      </c>
      <c r="AM169" s="344" t="s">
        <v>529</v>
      </c>
      <c r="AN169" s="344" t="s">
        <v>531</v>
      </c>
      <c r="AO169" s="344" t="s">
        <v>530</v>
      </c>
      <c r="AP169" s="344" t="s">
        <v>205</v>
      </c>
      <c r="AS169" s="584" t="str">
        <f>Y169</f>
        <v>Year</v>
      </c>
      <c r="AT169" s="344" t="str">
        <f t="shared" ref="AT169:AX216" si="54">AB169</f>
        <v xml:space="preserve">Compost </v>
      </c>
      <c r="AU169" s="344" t="str">
        <f t="shared" si="54"/>
        <v>Recycling</v>
      </c>
      <c r="AV169" s="632" t="str">
        <f t="shared" si="54"/>
        <v>Paper Recycling</v>
      </c>
      <c r="AW169" s="632" t="str">
        <f t="shared" si="54"/>
        <v>Used Paper to Insulation</v>
      </c>
      <c r="AX169" s="632" t="str">
        <f t="shared" si="54"/>
        <v>Reduced Food Waste</v>
      </c>
      <c r="AY169" s="632" t="s">
        <v>402</v>
      </c>
      <c r="AZ169" s="335" t="s">
        <v>423</v>
      </c>
    </row>
    <row r="170" spans="1:54" ht="14.4" x14ac:dyDescent="0.55000000000000004">
      <c r="B170" s="3">
        <v>2014</v>
      </c>
      <c r="C170" s="334">
        <f t="shared" si="53"/>
        <v>804.7949483183213</v>
      </c>
      <c r="D170" s="532">
        <f>'Food System Summary'!H12-'Food System Summary'!I12</f>
        <v>1351.0179807789714</v>
      </c>
      <c r="E170" s="338">
        <f>D170/C170</f>
        <v>1.6787108114955538</v>
      </c>
      <c r="F170" s="338">
        <f>D170/U60</f>
        <v>0.76185224480017177</v>
      </c>
      <c r="G170" s="334">
        <f t="shared" ref="G170:G216" si="55">M60*R60</f>
        <v>0.65297000000000005</v>
      </c>
      <c r="H170" s="338">
        <f>G170/C170</f>
        <v>8.1134952619226711E-4</v>
      </c>
      <c r="I170" s="532">
        <f>C170-D170-G170</f>
        <v>-546.87600246065006</v>
      </c>
      <c r="J170" s="338">
        <f>I170/C170</f>
        <v>-0.67952216102174601</v>
      </c>
      <c r="K170" s="338">
        <f>I170/U60</f>
        <v>-0.30838872319209587</v>
      </c>
      <c r="N170" s="3">
        <v>2014</v>
      </c>
      <c r="O170" s="1205">
        <f t="shared" ref="O170:O216" si="56">S113</f>
        <v>341.7860216816789</v>
      </c>
      <c r="P170" s="1205">
        <f t="shared" ref="P170:P216" si="57">M60*(1-R60)</f>
        <v>1.0170299999999999</v>
      </c>
      <c r="Q170" s="1205">
        <f t="shared" ref="Q170:Q216" si="58">T113</f>
        <v>227.24220299999999</v>
      </c>
      <c r="R170" s="1205">
        <f>O170-Q170</f>
        <v>114.54381868167891</v>
      </c>
      <c r="S170" s="1206">
        <f>Paper!E116</f>
        <v>341.7860216816789</v>
      </c>
      <c r="T170" s="1205">
        <f t="shared" ref="T170:T216" si="59">S170-Q170</f>
        <v>114.54381868167891</v>
      </c>
      <c r="U170" s="1206">
        <f>Paper!I116</f>
        <v>0</v>
      </c>
      <c r="V170" s="1205">
        <f t="shared" ref="V170:V216" si="60">IF((T170-U170)&lt;0,0,(T170-U170))</f>
        <v>114.54381868167891</v>
      </c>
      <c r="Y170" s="609">
        <f>N170</f>
        <v>2014</v>
      </c>
      <c r="Z170" s="335">
        <f t="shared" ref="Z170:Z216" si="61">C7</f>
        <v>1773.3333333333333</v>
      </c>
      <c r="AA170" s="335">
        <f>V113</f>
        <v>1229.5180509102263</v>
      </c>
      <c r="AB170" s="335">
        <f>C113</f>
        <v>110.54366841083268</v>
      </c>
      <c r="AC170" s="335">
        <f>G113</f>
        <v>206.02941101227444</v>
      </c>
      <c r="AD170" s="335">
        <f>T113</f>
        <v>227.24220299999999</v>
      </c>
      <c r="AE170" s="335">
        <f>MIN(Paper!H116,Paper!I116)</f>
        <v>0</v>
      </c>
      <c r="AF170" s="335">
        <f t="shared" ref="AF170:AF216" si="62">C60</f>
        <v>-2.3841857910156249E-13</v>
      </c>
      <c r="AG170" s="533"/>
      <c r="AI170" s="609">
        <f t="shared" ref="AI170:AI216" si="63">Y170</f>
        <v>2014</v>
      </c>
      <c r="AJ170" s="335">
        <f>D170-E170*C113</f>
        <v>1165.4471294753271</v>
      </c>
      <c r="AK170" s="335">
        <f t="shared" ref="AK170:AK216" si="64">I170-J170*C113</f>
        <v>-471.75913001484969</v>
      </c>
      <c r="AL170" s="335">
        <f t="shared" ref="AL170:AL216" si="65">G170-(H170*C113)</f>
        <v>0.56328044701131585</v>
      </c>
      <c r="AM170" s="335">
        <f t="shared" ref="AM170:AM216" si="66">AH60/AB60*X113</f>
        <v>160.7904088841328</v>
      </c>
      <c r="AN170" s="335">
        <f t="shared" ref="AN170:AN216" si="67">AB60-AM170-G113</f>
        <v>259.93254343692604</v>
      </c>
      <c r="AO170" s="335">
        <f>T170-AE170</f>
        <v>114.54381868167891</v>
      </c>
      <c r="AP170" s="335">
        <f t="shared" ref="AP170:AP216" si="68">AA170-AJ170-AK170-AL170-AM170-AN170-AO170</f>
        <v>-1.4210854715202004E-13</v>
      </c>
      <c r="AS170" s="609">
        <f t="shared" ref="AS170:AS213" si="69">Y170</f>
        <v>2014</v>
      </c>
      <c r="AT170" s="335">
        <f>AB170</f>
        <v>110.54366841083268</v>
      </c>
      <c r="AU170" s="335">
        <f t="shared" si="54"/>
        <v>206.02941101227444</v>
      </c>
      <c r="AV170" s="335">
        <f t="shared" si="54"/>
        <v>227.24220299999999</v>
      </c>
      <c r="AW170" s="335">
        <f t="shared" si="54"/>
        <v>0</v>
      </c>
      <c r="AX170" s="335">
        <f t="shared" si="54"/>
        <v>-2.3841857910156249E-13</v>
      </c>
      <c r="AY170" s="335">
        <f>AE113</f>
        <v>142.75688198659913</v>
      </c>
      <c r="AZ170" s="335">
        <f>AK113</f>
        <v>1086.7611689236271</v>
      </c>
      <c r="BB170" s="533"/>
    </row>
    <row r="171" spans="1:54" ht="14.4" x14ac:dyDescent="0.55000000000000004">
      <c r="B171" s="3">
        <v>2015</v>
      </c>
      <c r="C171" s="334">
        <f t="shared" si="53"/>
        <v>862.84071892596353</v>
      </c>
      <c r="D171" s="532">
        <f>'Food System Summary'!H13-'Food System Summary'!I13</f>
        <v>1373.0725590764539</v>
      </c>
      <c r="E171" s="338">
        <f t="shared" ref="E171:E216" si="70">D171/C171</f>
        <v>1.5913395473333833</v>
      </c>
      <c r="F171" s="338">
        <f t="shared" ref="F171:F216" si="71">D171/U61</f>
        <v>0.72585333519460116</v>
      </c>
      <c r="G171" s="334">
        <f t="shared" si="55"/>
        <v>0.73689000000000004</v>
      </c>
      <c r="H171" s="338">
        <f t="shared" ref="H171:H216" si="72">G171/C171</f>
        <v>8.5402784527514777E-4</v>
      </c>
      <c r="I171" s="334">
        <f t="shared" ref="I171:I216" si="73">C171-D171-G171</f>
        <v>-510.96873015049039</v>
      </c>
      <c r="J171" s="338">
        <f t="shared" ref="J171:J216" si="74">I171/C171</f>
        <v>-0.59219357517865856</v>
      </c>
      <c r="K171" s="338">
        <f t="shared" ref="K171:K216" si="75">I171/U61</f>
        <v>-0.27011562827338698</v>
      </c>
      <c r="N171" s="3">
        <v>2015</v>
      </c>
      <c r="O171" s="1205">
        <f t="shared" si="56"/>
        <v>363.88533774070322</v>
      </c>
      <c r="P171" s="1205">
        <f t="shared" si="57"/>
        <v>1.29311</v>
      </c>
      <c r="Q171" s="1205">
        <f t="shared" si="58"/>
        <v>228.0892060000001</v>
      </c>
      <c r="R171" s="1205">
        <f t="shared" ref="R171:R216" si="76">O171-Q171</f>
        <v>135.79613174070312</v>
      </c>
      <c r="S171" s="1206">
        <f>Paper!E117</f>
        <v>363.88533774070322</v>
      </c>
      <c r="T171" s="1205">
        <f t="shared" si="59"/>
        <v>135.79613174070312</v>
      </c>
      <c r="U171" s="1206">
        <f>Paper!I117</f>
        <v>72.683198787500999</v>
      </c>
      <c r="V171" s="1205">
        <f t="shared" si="60"/>
        <v>63.112932953202119</v>
      </c>
      <c r="Y171" s="609">
        <f t="shared" ref="Y171:Y216" si="77">N171</f>
        <v>2015</v>
      </c>
      <c r="Z171" s="335">
        <f t="shared" si="61"/>
        <v>1891.6666666666667</v>
      </c>
      <c r="AA171" s="335">
        <f t="shared" ref="AA171:AA216" si="78">V114</f>
        <v>1234.3255290789232</v>
      </c>
      <c r="AB171" s="335">
        <f t="shared" ref="AB171:AB216" si="79">C114</f>
        <v>121.04208551354085</v>
      </c>
      <c r="AC171" s="335">
        <f t="shared" ref="AC171:AC216" si="80">G114</f>
        <v>235.52664728670166</v>
      </c>
      <c r="AD171" s="335">
        <f t="shared" ref="AD171:AD216" si="81">T114</f>
        <v>228.0892060000001</v>
      </c>
      <c r="AE171" s="335">
        <f>MIN(Paper!H117,Paper!I117)</f>
        <v>72.683198787500999</v>
      </c>
      <c r="AF171" s="335">
        <f t="shared" si="62"/>
        <v>0</v>
      </c>
      <c r="AG171" s="533"/>
      <c r="AI171" s="609">
        <f t="shared" si="63"/>
        <v>2015</v>
      </c>
      <c r="AJ171" s="335">
        <f t="shared" ref="AJ171:AJ216" si="82">D171-E171*C114</f>
        <v>1180.4535015070471</v>
      </c>
      <c r="AK171" s="335">
        <f t="shared" si="64"/>
        <v>-439.28838478314572</v>
      </c>
      <c r="AL171" s="335">
        <f t="shared" si="65"/>
        <v>0.63351668852126053</v>
      </c>
      <c r="AM171" s="335">
        <f t="shared" si="66"/>
        <v>159.96368373775803</v>
      </c>
      <c r="AN171" s="335">
        <f t="shared" si="67"/>
        <v>269.4502789755403</v>
      </c>
      <c r="AO171" s="335">
        <f t="shared" ref="AO171:AO216" si="83">T171-AE171</f>
        <v>63.112932953202119</v>
      </c>
      <c r="AP171" s="335">
        <f t="shared" si="68"/>
        <v>5.6843418860808015E-14</v>
      </c>
      <c r="AS171" s="609">
        <f t="shared" si="69"/>
        <v>2015</v>
      </c>
      <c r="AT171" s="335">
        <f t="shared" si="54"/>
        <v>121.04208551354085</v>
      </c>
      <c r="AU171" s="335">
        <f t="shared" si="54"/>
        <v>235.52664728670166</v>
      </c>
      <c r="AV171" s="335">
        <f t="shared" si="54"/>
        <v>228.0892060000001</v>
      </c>
      <c r="AW171" s="335">
        <f t="shared" si="54"/>
        <v>72.683198787500999</v>
      </c>
      <c r="AX171" s="335">
        <f t="shared" si="54"/>
        <v>0</v>
      </c>
      <c r="AY171" s="335">
        <f t="shared" ref="AY171:AY216" si="84">AE114</f>
        <v>151.22621540688968</v>
      </c>
      <c r="AZ171" s="335">
        <f t="shared" ref="AZ171:AZ216" si="85">AK114</f>
        <v>1083.0993136720335</v>
      </c>
      <c r="BB171" s="533"/>
    </row>
    <row r="172" spans="1:54" ht="14.4" x14ac:dyDescent="0.55000000000000004">
      <c r="B172" s="3">
        <v>2016</v>
      </c>
      <c r="C172" s="334">
        <f t="shared" si="53"/>
        <v>925.35644999999988</v>
      </c>
      <c r="D172" s="532">
        <f>'Food System Summary'!H14-'Food System Summary'!I14</f>
        <v>1381.3419093589625</v>
      </c>
      <c r="E172" s="338">
        <f t="shared" si="70"/>
        <v>1.4927673647911166</v>
      </c>
      <c r="F172" s="338">
        <f t="shared" si="71"/>
        <v>0.68723478077560329</v>
      </c>
      <c r="G172" s="334">
        <f t="shared" si="55"/>
        <v>0.75644999999999996</v>
      </c>
      <c r="H172" s="338">
        <f t="shared" si="72"/>
        <v>8.1746877108815753E-4</v>
      </c>
      <c r="I172" s="334">
        <f t="shared" si="73"/>
        <v>-456.74190935896263</v>
      </c>
      <c r="J172" s="338">
        <f t="shared" si="74"/>
        <v>-0.49358483356220478</v>
      </c>
      <c r="K172" s="338">
        <f t="shared" si="75"/>
        <v>-0.22723478077560333</v>
      </c>
      <c r="N172" s="3">
        <v>2016</v>
      </c>
      <c r="O172" s="1205">
        <f t="shared" si="56"/>
        <v>381.89999999999986</v>
      </c>
      <c r="P172" s="1205">
        <f t="shared" si="57"/>
        <v>1.29355</v>
      </c>
      <c r="Q172" s="1205">
        <f t="shared" si="58"/>
        <v>230.29045599999998</v>
      </c>
      <c r="R172" s="1205">
        <f t="shared" si="76"/>
        <v>151.60954399999989</v>
      </c>
      <c r="S172" s="1206">
        <f>Paper!E118</f>
        <v>381.89999999999986</v>
      </c>
      <c r="T172" s="1205">
        <f t="shared" si="59"/>
        <v>151.60954399999989</v>
      </c>
      <c r="U172" s="1206">
        <f>Paper!I118</f>
        <v>32.543413872778956</v>
      </c>
      <c r="V172" s="1205">
        <f t="shared" si="60"/>
        <v>119.06613012722093</v>
      </c>
      <c r="Y172" s="609">
        <f t="shared" si="77"/>
        <v>2016</v>
      </c>
      <c r="Z172" s="335">
        <f t="shared" si="61"/>
        <v>2009.9999999999998</v>
      </c>
      <c r="AA172" s="335">
        <f t="shared" si="78"/>
        <v>1348.8256275109718</v>
      </c>
      <c r="AB172" s="335">
        <f t="shared" si="79"/>
        <v>131.54050261624903</v>
      </c>
      <c r="AC172" s="335">
        <f t="shared" si="80"/>
        <v>266.79999999999995</v>
      </c>
      <c r="AD172" s="335">
        <f t="shared" si="81"/>
        <v>230.29045599999998</v>
      </c>
      <c r="AE172" s="335">
        <f>MIN(Paper!H118,Paper!I118)</f>
        <v>32.543413872778956</v>
      </c>
      <c r="AF172" s="335">
        <f t="shared" si="62"/>
        <v>0</v>
      </c>
      <c r="AG172" s="533"/>
      <c r="AI172" s="609">
        <f t="shared" si="63"/>
        <v>2016</v>
      </c>
      <c r="AJ172" s="335">
        <f t="shared" si="82"/>
        <v>1184.9825399052056</v>
      </c>
      <c r="AK172" s="335">
        <f t="shared" si="64"/>
        <v>-391.8155122684326</v>
      </c>
      <c r="AL172" s="335">
        <f t="shared" si="65"/>
        <v>0.64891974697797628</v>
      </c>
      <c r="AM172" s="335">
        <f t="shared" si="66"/>
        <v>159.90233898702678</v>
      </c>
      <c r="AN172" s="335">
        <f t="shared" si="67"/>
        <v>276.04121101297324</v>
      </c>
      <c r="AO172" s="335">
        <f t="shared" si="83"/>
        <v>119.06613012722093</v>
      </c>
      <c r="AP172" s="335">
        <f t="shared" si="68"/>
        <v>-1.4210854715202004E-13</v>
      </c>
      <c r="AS172" s="609">
        <f t="shared" si="69"/>
        <v>2016</v>
      </c>
      <c r="AT172" s="335">
        <f t="shared" si="54"/>
        <v>131.54050261624903</v>
      </c>
      <c r="AU172" s="335">
        <f t="shared" si="54"/>
        <v>266.79999999999995</v>
      </c>
      <c r="AV172" s="335">
        <f t="shared" si="54"/>
        <v>230.29045599999998</v>
      </c>
      <c r="AW172" s="335">
        <f t="shared" si="54"/>
        <v>32.543413872778956</v>
      </c>
      <c r="AX172" s="335">
        <f t="shared" si="54"/>
        <v>0</v>
      </c>
      <c r="AY172" s="335">
        <f t="shared" si="84"/>
        <v>159.07322452483973</v>
      </c>
      <c r="AZ172" s="335">
        <f t="shared" si="85"/>
        <v>1189.752402986132</v>
      </c>
      <c r="BB172" s="533"/>
    </row>
    <row r="173" spans="1:54" ht="14.4" x14ac:dyDescent="0.55000000000000004">
      <c r="B173" s="3">
        <v>2017</v>
      </c>
      <c r="C173" s="334">
        <f t="shared" si="53"/>
        <v>971.46537076320271</v>
      </c>
      <c r="D173" s="532">
        <f>'Food System Summary'!H15-'Food System Summary'!I15</f>
        <v>1402.4337305219583</v>
      </c>
      <c r="E173" s="338">
        <f t="shared" si="70"/>
        <v>1.4436270944173524</v>
      </c>
      <c r="F173" s="338">
        <f t="shared" si="71"/>
        <v>0.66431672010555631</v>
      </c>
      <c r="G173" s="334">
        <f t="shared" si="55"/>
        <v>0.87848999999999999</v>
      </c>
      <c r="H173" s="338">
        <f t="shared" si="72"/>
        <v>9.042936850233175E-4</v>
      </c>
      <c r="I173" s="334">
        <f t="shared" si="73"/>
        <v>-431.84684975875558</v>
      </c>
      <c r="J173" s="338">
        <f t="shared" si="74"/>
        <v>-0.44453138810237569</v>
      </c>
      <c r="K173" s="338">
        <f t="shared" si="75"/>
        <v>-0.20456088339581024</v>
      </c>
      <c r="N173" s="3">
        <v>2017</v>
      </c>
      <c r="O173" s="1205">
        <f t="shared" si="56"/>
        <v>405.63401095542747</v>
      </c>
      <c r="P173" s="1205">
        <f t="shared" si="57"/>
        <v>1.39151</v>
      </c>
      <c r="Q173" s="1205">
        <f t="shared" si="58"/>
        <v>233.851586</v>
      </c>
      <c r="R173" s="1205">
        <f t="shared" si="76"/>
        <v>171.78242495542747</v>
      </c>
      <c r="S173" s="1206">
        <f>Paper!E119</f>
        <v>407.98435400123185</v>
      </c>
      <c r="T173" s="1205">
        <f t="shared" si="59"/>
        <v>174.13276800123185</v>
      </c>
      <c r="U173" s="1206">
        <f>Paper!I119</f>
        <v>32.086302423670247</v>
      </c>
      <c r="V173" s="1205">
        <f t="shared" si="60"/>
        <v>142.04646557756161</v>
      </c>
      <c r="Y173" s="609">
        <f t="shared" si="77"/>
        <v>2017</v>
      </c>
      <c r="Z173" s="335">
        <f t="shared" si="61"/>
        <v>2111.0920259528007</v>
      </c>
      <c r="AA173" s="335">
        <f t="shared" si="78"/>
        <v>1419.1653041064142</v>
      </c>
      <c r="AB173" s="335">
        <f t="shared" si="79"/>
        <v>142.0389197189572</v>
      </c>
      <c r="AC173" s="335">
        <f t="shared" si="80"/>
        <v>283.94991370375845</v>
      </c>
      <c r="AD173" s="335">
        <f t="shared" si="81"/>
        <v>233.851586</v>
      </c>
      <c r="AE173" s="335">
        <f>MIN(Paper!H119,Paper!I119)</f>
        <v>32.086302423670247</v>
      </c>
      <c r="AF173" s="335">
        <f t="shared" si="62"/>
        <v>2.3841857910156249E-13</v>
      </c>
      <c r="AG173" s="533"/>
      <c r="AI173" s="609">
        <f t="shared" si="63"/>
        <v>2017</v>
      </c>
      <c r="AJ173" s="335">
        <f t="shared" si="82"/>
        <v>1197.3824975539005</v>
      </c>
      <c r="AK173" s="335">
        <f t="shared" si="64"/>
        <v>-368.70609161152561</v>
      </c>
      <c r="AL173" s="335">
        <f t="shared" si="65"/>
        <v>0.75004510187061302</v>
      </c>
      <c r="AM173" s="335">
        <f t="shared" si="66"/>
        <v>163.13966381865589</v>
      </c>
      <c r="AN173" s="335">
        <f t="shared" si="67"/>
        <v>286.90306671175557</v>
      </c>
      <c r="AO173" s="335">
        <f t="shared" si="83"/>
        <v>142.04646557756161</v>
      </c>
      <c r="AP173" s="335">
        <f t="shared" si="68"/>
        <v>-2.3503430458043795</v>
      </c>
      <c r="AS173" s="609">
        <f t="shared" si="69"/>
        <v>2017</v>
      </c>
      <c r="AT173" s="335">
        <f t="shared" si="54"/>
        <v>142.0389197189572</v>
      </c>
      <c r="AU173" s="335">
        <f t="shared" si="54"/>
        <v>283.94991370375845</v>
      </c>
      <c r="AV173" s="335">
        <f t="shared" si="54"/>
        <v>233.851586</v>
      </c>
      <c r="AW173" s="335">
        <f t="shared" si="54"/>
        <v>32.086302423670247</v>
      </c>
      <c r="AX173" s="335">
        <f t="shared" si="54"/>
        <v>2.3841857910156249E-13</v>
      </c>
      <c r="AY173" s="335">
        <f t="shared" si="84"/>
        <v>162.84287810907378</v>
      </c>
      <c r="AZ173" s="335">
        <f t="shared" si="85"/>
        <v>1256.3224259973404</v>
      </c>
      <c r="BB173" s="533"/>
    </row>
    <row r="174" spans="1:54" ht="14.4" x14ac:dyDescent="0.55000000000000004">
      <c r="B174" s="3">
        <v>2018</v>
      </c>
      <c r="C174" s="334">
        <f t="shared" si="53"/>
        <v>992.11087384999416</v>
      </c>
      <c r="D174" s="532">
        <f>'Food System Summary'!H16-'Food System Summary'!I16</f>
        <v>1422.5384092203535</v>
      </c>
      <c r="E174" s="338">
        <f t="shared" si="70"/>
        <v>1.4338502346013389</v>
      </c>
      <c r="F174" s="338">
        <f t="shared" si="71"/>
        <v>0.66236605691136829</v>
      </c>
      <c r="G174" s="334">
        <f t="shared" si="55"/>
        <v>0.91152000000005506</v>
      </c>
      <c r="H174" s="338">
        <f t="shared" si="72"/>
        <v>9.1876827885456242E-4</v>
      </c>
      <c r="I174" s="334">
        <f t="shared" si="73"/>
        <v>-431.3390553703594</v>
      </c>
      <c r="J174" s="338">
        <f t="shared" si="74"/>
        <v>-0.43476900288019349</v>
      </c>
      <c r="K174" s="338">
        <f t="shared" si="75"/>
        <v>-0.20084121978409319</v>
      </c>
      <c r="N174" s="3">
        <v>2018</v>
      </c>
      <c r="O174" s="1205">
        <f t="shared" si="56"/>
        <v>412.94206046876297</v>
      </c>
      <c r="P174" s="1205">
        <f t="shared" si="57"/>
        <v>1.1984800000000722</v>
      </c>
      <c r="Q174" s="1205">
        <f t="shared" si="58"/>
        <v>229.65599771239667</v>
      </c>
      <c r="R174" s="1205">
        <f t="shared" si="76"/>
        <v>183.28606275636631</v>
      </c>
      <c r="S174" s="1206">
        <f>Paper!E120</f>
        <v>408.843143</v>
      </c>
      <c r="T174" s="1205">
        <f t="shared" si="59"/>
        <v>179.18714528760333</v>
      </c>
      <c r="U174" s="1206">
        <f>Paper!I120</f>
        <v>31.623827265838372</v>
      </c>
      <c r="V174" s="1205">
        <f t="shared" si="60"/>
        <v>147.56331802176496</v>
      </c>
      <c r="Y174" s="609">
        <f t="shared" si="77"/>
        <v>2018</v>
      </c>
      <c r="Z174" s="335">
        <f t="shared" si="61"/>
        <v>2147.6619980403138</v>
      </c>
      <c r="AA174" s="335">
        <f t="shared" si="78"/>
        <v>1441.2384865840179</v>
      </c>
      <c r="AB174" s="335">
        <f t="shared" si="79"/>
        <v>152.53733682166535</v>
      </c>
      <c r="AC174" s="335">
        <f t="shared" si="80"/>
        <v>292.60634965639559</v>
      </c>
      <c r="AD174" s="335">
        <f t="shared" si="81"/>
        <v>229.65599771239667</v>
      </c>
      <c r="AE174" s="335">
        <f>MIN(Paper!H120,Paper!I120)</f>
        <v>31.623827265838372</v>
      </c>
      <c r="AF174" s="335">
        <f t="shared" si="62"/>
        <v>0</v>
      </c>
      <c r="AG174" s="533"/>
      <c r="AI174" s="609">
        <f t="shared" si="63"/>
        <v>2018</v>
      </c>
      <c r="AJ174" s="335">
        <f t="shared" si="82"/>
        <v>1203.8227130331452</v>
      </c>
      <c r="AK174" s="335">
        <f t="shared" si="64"/>
        <v>-365.02054953840377</v>
      </c>
      <c r="AL174" s="335">
        <f t="shared" si="65"/>
        <v>0.77137353358735494</v>
      </c>
      <c r="AM174" s="335">
        <f t="shared" si="66"/>
        <v>166.42285118716251</v>
      </c>
      <c r="AN174" s="335">
        <f t="shared" si="67"/>
        <v>283.57986287799855</v>
      </c>
      <c r="AO174" s="335">
        <f t="shared" si="83"/>
        <v>147.56331802176496</v>
      </c>
      <c r="AP174" s="335">
        <f t="shared" si="68"/>
        <v>4.0989174687630623</v>
      </c>
      <c r="AS174" s="609">
        <f t="shared" si="69"/>
        <v>2018</v>
      </c>
      <c r="AT174" s="335">
        <f t="shared" si="54"/>
        <v>152.53733682166535</v>
      </c>
      <c r="AU174" s="335">
        <f t="shared" si="54"/>
        <v>292.60634965639559</v>
      </c>
      <c r="AV174" s="335">
        <f t="shared" si="54"/>
        <v>229.65599771239667</v>
      </c>
      <c r="AW174" s="335">
        <f t="shared" si="54"/>
        <v>31.623827265838372</v>
      </c>
      <c r="AX174" s="335">
        <f t="shared" si="54"/>
        <v>0</v>
      </c>
      <c r="AY174" s="335">
        <f t="shared" si="84"/>
        <v>165.19016908698848</v>
      </c>
      <c r="AZ174" s="335">
        <f t="shared" si="85"/>
        <v>1276.0483174970295</v>
      </c>
      <c r="BB174" s="533"/>
    </row>
    <row r="175" spans="1:54" ht="14.4" x14ac:dyDescent="0.55000000000000004">
      <c r="B175" s="3">
        <v>2019</v>
      </c>
      <c r="C175" s="334">
        <f t="shared" si="53"/>
        <v>945.75066965860071</v>
      </c>
      <c r="D175" s="532">
        <f>'Food System Summary'!H17-'Food System Summary'!I17</f>
        <v>1375.5966755222246</v>
      </c>
      <c r="E175" s="338">
        <f t="shared" si="70"/>
        <v>1.4545024599546841</v>
      </c>
      <c r="F175" s="338">
        <f t="shared" si="71"/>
        <v>0.6497902654055191</v>
      </c>
      <c r="G175" s="334">
        <f t="shared" si="55"/>
        <v>1.2635572628654159</v>
      </c>
      <c r="H175" s="338">
        <f t="shared" si="72"/>
        <v>1.3360363396005184E-3</v>
      </c>
      <c r="I175" s="334">
        <f t="shared" si="73"/>
        <v>-431.10956312648926</v>
      </c>
      <c r="J175" s="338">
        <f t="shared" si="74"/>
        <v>-0.45583849629428463</v>
      </c>
      <c r="K175" s="338">
        <f t="shared" si="75"/>
        <v>-0.20364311896615439</v>
      </c>
      <c r="N175" s="3">
        <v>2019</v>
      </c>
      <c r="O175" s="1205">
        <f t="shared" si="56"/>
        <v>420.53656275229832</v>
      </c>
      <c r="P175" s="1205">
        <f t="shared" si="57"/>
        <v>1.645014165706161</v>
      </c>
      <c r="Q175" s="1205">
        <f t="shared" si="58"/>
        <v>257.2433554930123</v>
      </c>
      <c r="R175" s="1205">
        <f t="shared" si="76"/>
        <v>163.29320725928602</v>
      </c>
      <c r="S175" s="1206">
        <f>Paper!E121</f>
        <v>414.74298663357462</v>
      </c>
      <c r="T175" s="1205">
        <f t="shared" si="59"/>
        <v>157.49963114056231</v>
      </c>
      <c r="U175" s="1206">
        <f>Paper!I121</f>
        <v>31.150788539061352</v>
      </c>
      <c r="V175" s="1205">
        <f t="shared" si="60"/>
        <v>126.34884260150096</v>
      </c>
      <c r="Y175" s="609">
        <f t="shared" si="77"/>
        <v>2019</v>
      </c>
      <c r="Z175" s="335">
        <f t="shared" si="61"/>
        <v>2184.0313313767401</v>
      </c>
      <c r="AA175" s="335">
        <f t="shared" si="78"/>
        <v>1310.9379417756759</v>
      </c>
      <c r="AB175" s="335">
        <f t="shared" si="79"/>
        <v>208.63641873603882</v>
      </c>
      <c r="AC175" s="335">
        <f t="shared" si="80"/>
        <v>309.01715799725685</v>
      </c>
      <c r="AD175" s="335">
        <f t="shared" si="81"/>
        <v>257.2433554930123</v>
      </c>
      <c r="AE175" s="335">
        <f>MIN(Paper!H121,Paper!I121)</f>
        <v>31.150788539061352</v>
      </c>
      <c r="AF175" s="335">
        <f t="shared" si="62"/>
        <v>67.045668835695025</v>
      </c>
      <c r="AG175" s="533"/>
      <c r="AI175" s="609">
        <f t="shared" si="63"/>
        <v>2019</v>
      </c>
      <c r="AJ175" s="335">
        <f t="shared" si="82"/>
        <v>1072.1344912345205</v>
      </c>
      <c r="AK175" s="335">
        <f t="shared" si="64"/>
        <v>-336.00505173762861</v>
      </c>
      <c r="AL175" s="335">
        <f t="shared" si="65"/>
        <v>0.98481142566995761</v>
      </c>
      <c r="AM175" s="335">
        <f t="shared" si="66"/>
        <v>154.13405364129494</v>
      </c>
      <c r="AN175" s="335">
        <f t="shared" si="67"/>
        <v>287.54721849159455</v>
      </c>
      <c r="AO175" s="335">
        <f t="shared" si="83"/>
        <v>126.34884260150096</v>
      </c>
      <c r="AP175" s="335">
        <f t="shared" si="68"/>
        <v>5.7935761187235926</v>
      </c>
      <c r="AS175" s="609">
        <f t="shared" si="69"/>
        <v>2019</v>
      </c>
      <c r="AT175" s="335">
        <f t="shared" si="54"/>
        <v>208.63641873603882</v>
      </c>
      <c r="AU175" s="335">
        <f t="shared" si="54"/>
        <v>309.01715799725685</v>
      </c>
      <c r="AV175" s="335">
        <f t="shared" si="54"/>
        <v>257.2433554930123</v>
      </c>
      <c r="AW175" s="335">
        <f t="shared" si="54"/>
        <v>31.150788539061352</v>
      </c>
      <c r="AX175" s="335">
        <f t="shared" si="54"/>
        <v>67.045668835695025</v>
      </c>
      <c r="AY175" s="335">
        <f t="shared" si="84"/>
        <v>246.60823880527803</v>
      </c>
      <c r="AZ175" s="335">
        <f t="shared" si="85"/>
        <v>1064.3297029703979</v>
      </c>
      <c r="BB175" s="533"/>
    </row>
    <row r="176" spans="1:54" ht="14.4" x14ac:dyDescent="0.55000000000000004">
      <c r="B176" s="3">
        <v>2020</v>
      </c>
      <c r="C176" s="334">
        <f t="shared" si="53"/>
        <v>899.42949122992786</v>
      </c>
      <c r="D176" s="532">
        <f>'Food System Summary'!H18-'Food System Summary'!I18</f>
        <v>1328.511216767391</v>
      </c>
      <c r="E176" s="338">
        <f t="shared" si="70"/>
        <v>1.4770598804256618</v>
      </c>
      <c r="F176" s="338">
        <f t="shared" si="71"/>
        <v>0.63668805885908464</v>
      </c>
      <c r="G176" s="334">
        <f t="shared" si="55"/>
        <v>1.6622438285976469</v>
      </c>
      <c r="H176" s="338">
        <f t="shared" si="72"/>
        <v>1.8481091011643459E-3</v>
      </c>
      <c r="I176" s="334">
        <f t="shared" si="73"/>
        <v>-430.74396936606081</v>
      </c>
      <c r="J176" s="338">
        <f t="shared" si="74"/>
        <v>-0.47890798952682606</v>
      </c>
      <c r="K176" s="338">
        <f t="shared" si="75"/>
        <v>-0.20643374196587805</v>
      </c>
      <c r="N176" s="3">
        <v>2020</v>
      </c>
      <c r="O176" s="1205">
        <f t="shared" si="56"/>
        <v>428.48973099506088</v>
      </c>
      <c r="P176" s="1205">
        <f t="shared" si="57"/>
        <v>2.0448990285453794</v>
      </c>
      <c r="Q176" s="1205">
        <f t="shared" si="58"/>
        <v>266.74864241950871</v>
      </c>
      <c r="R176" s="1205">
        <f t="shared" si="76"/>
        <v>161.74108857555217</v>
      </c>
      <c r="S176" s="1206">
        <f>Paper!E122</f>
        <v>424.86563496218895</v>
      </c>
      <c r="T176" s="1205">
        <f t="shared" si="59"/>
        <v>158.11699254268024</v>
      </c>
      <c r="U176" s="1206">
        <f>Paper!I122</f>
        <v>30.670628419755417</v>
      </c>
      <c r="V176" s="1205">
        <f t="shared" si="60"/>
        <v>127.44636412292482</v>
      </c>
      <c r="Y176" s="609">
        <f t="shared" si="77"/>
        <v>2020</v>
      </c>
      <c r="Z176" s="335">
        <f t="shared" si="61"/>
        <v>2220.6184110457084</v>
      </c>
      <c r="AA176" s="335">
        <f t="shared" si="78"/>
        <v>1230.8402969459949</v>
      </c>
      <c r="AB176" s="335">
        <f t="shared" si="79"/>
        <v>237.77746593076361</v>
      </c>
      <c r="AC176" s="335">
        <f t="shared" si="80"/>
        <v>320.55968862241934</v>
      </c>
      <c r="AD176" s="335">
        <f t="shared" si="81"/>
        <v>266.74864241950871</v>
      </c>
      <c r="AE176" s="335">
        <f>MIN(Paper!H122,Paper!I122)</f>
        <v>30.670628419755417</v>
      </c>
      <c r="AF176" s="335">
        <f t="shared" si="62"/>
        <v>134.02168870726658</v>
      </c>
      <c r="AG176" s="533"/>
      <c r="AI176" s="609">
        <f t="shared" si="63"/>
        <v>2020</v>
      </c>
      <c r="AJ176" s="335">
        <f t="shared" si="82"/>
        <v>977.29966137178053</v>
      </c>
      <c r="AK176" s="335">
        <f t="shared" si="64"/>
        <v>-316.87044120237545</v>
      </c>
      <c r="AL176" s="335">
        <f t="shared" si="65"/>
        <v>1.2228051297592075</v>
      </c>
      <c r="AM176" s="335">
        <f t="shared" si="66"/>
        <v>156.46165479642693</v>
      </c>
      <c r="AN176" s="335">
        <f t="shared" si="67"/>
        <v>281.65615669460681</v>
      </c>
      <c r="AO176" s="335">
        <f t="shared" si="83"/>
        <v>127.44636412292482</v>
      </c>
      <c r="AP176" s="335">
        <f t="shared" si="68"/>
        <v>3.6240960328719893</v>
      </c>
      <c r="AS176" s="609">
        <f t="shared" si="69"/>
        <v>2020</v>
      </c>
      <c r="AT176" s="335">
        <f t="shared" si="54"/>
        <v>237.77746593076361</v>
      </c>
      <c r="AU176" s="335">
        <f t="shared" si="54"/>
        <v>320.55968862241934</v>
      </c>
      <c r="AV176" s="335">
        <f t="shared" si="54"/>
        <v>266.74864241950871</v>
      </c>
      <c r="AW176" s="335">
        <f t="shared" si="54"/>
        <v>30.670628419755417</v>
      </c>
      <c r="AX176" s="335">
        <f t="shared" si="54"/>
        <v>134.02168870726658</v>
      </c>
      <c r="AY176" s="335">
        <f t="shared" si="84"/>
        <v>273.17799049209589</v>
      </c>
      <c r="AZ176" s="335">
        <f t="shared" si="85"/>
        <v>957.66230645389896</v>
      </c>
      <c r="BB176" s="533"/>
    </row>
    <row r="177" spans="2:54" ht="14.4" x14ac:dyDescent="0.55000000000000004">
      <c r="B177" s="3">
        <v>2021</v>
      </c>
      <c r="C177" s="334">
        <f t="shared" si="53"/>
        <v>852.73121581547298</v>
      </c>
      <c r="D177" s="532">
        <f>'Food System Summary'!H19-'Food System Summary'!I19</f>
        <v>1280.2673234035406</v>
      </c>
      <c r="E177" s="338">
        <f t="shared" si="70"/>
        <v>1.5013726478620955</v>
      </c>
      <c r="F177" s="338">
        <f t="shared" si="71"/>
        <v>0.62288544277529445</v>
      </c>
      <c r="G177" s="334">
        <f t="shared" si="55"/>
        <v>2.0816795805797308</v>
      </c>
      <c r="H177" s="338">
        <f t="shared" si="72"/>
        <v>2.4411907784905066E-3</v>
      </c>
      <c r="I177" s="334">
        <f t="shared" si="73"/>
        <v>-429.61778716864728</v>
      </c>
      <c r="J177" s="338">
        <f t="shared" si="74"/>
        <v>-0.50381383864058582</v>
      </c>
      <c r="K177" s="338">
        <f t="shared" si="75"/>
        <v>-0.20902092921755891</v>
      </c>
      <c r="N177" s="3">
        <v>2021</v>
      </c>
      <c r="O177" s="1205">
        <f t="shared" si="56"/>
        <v>436.53477366616164</v>
      </c>
      <c r="P177" s="1205">
        <f t="shared" si="57"/>
        <v>2.4240347051345172</v>
      </c>
      <c r="Q177" s="1205">
        <f t="shared" si="58"/>
        <v>277.33210027765085</v>
      </c>
      <c r="R177" s="1205">
        <f t="shared" si="76"/>
        <v>159.20267338851079</v>
      </c>
      <c r="S177" s="1206">
        <f>Paper!E123</f>
        <v>435.00883978153735</v>
      </c>
      <c r="T177" s="1205">
        <f t="shared" si="59"/>
        <v>157.67673950388649</v>
      </c>
      <c r="U177" s="1206">
        <f>Paper!I123</f>
        <v>29.959476074754036</v>
      </c>
      <c r="V177" s="1205">
        <f t="shared" si="60"/>
        <v>127.71726342913246</v>
      </c>
      <c r="Y177" s="609">
        <f t="shared" si="77"/>
        <v>2021</v>
      </c>
      <c r="Z177" s="335">
        <f t="shared" si="61"/>
        <v>2256.0862349785043</v>
      </c>
      <c r="AA177" s="335">
        <f t="shared" si="78"/>
        <v>1148.7397328442421</v>
      </c>
      <c r="AB177" s="335">
        <f t="shared" si="79"/>
        <v>267.54146387924328</v>
      </c>
      <c r="AC177" s="335">
        <f t="shared" si="80"/>
        <v>331.80889983534553</v>
      </c>
      <c r="AD177" s="335">
        <f t="shared" si="81"/>
        <v>277.33210027765085</v>
      </c>
      <c r="AE177" s="335">
        <f>MIN(Paper!H123,Paper!I123)</f>
        <v>29.959476074754036</v>
      </c>
      <c r="AF177" s="335">
        <f t="shared" si="62"/>
        <v>200.70456206726837</v>
      </c>
      <c r="AG177" s="533"/>
      <c r="AI177" s="609">
        <f t="shared" si="63"/>
        <v>2021</v>
      </c>
      <c r="AJ177" s="335">
        <f t="shared" si="82"/>
        <v>878.58788736625991</v>
      </c>
      <c r="AK177" s="335">
        <f t="shared" si="64"/>
        <v>-294.82669525612408</v>
      </c>
      <c r="AL177" s="335">
        <f t="shared" si="65"/>
        <v>1.428559826093871</v>
      </c>
      <c r="AM177" s="335">
        <f t="shared" si="66"/>
        <v>157.44530785902307</v>
      </c>
      <c r="AN177" s="335">
        <f t="shared" si="67"/>
        <v>276.86147573523272</v>
      </c>
      <c r="AO177" s="335">
        <f t="shared" si="83"/>
        <v>127.71726342913246</v>
      </c>
      <c r="AP177" s="335">
        <f t="shared" si="68"/>
        <v>1.5259338846241235</v>
      </c>
      <c r="AS177" s="609">
        <f t="shared" si="69"/>
        <v>2021</v>
      </c>
      <c r="AT177" s="335">
        <f t="shared" si="54"/>
        <v>267.54146387924328</v>
      </c>
      <c r="AU177" s="335">
        <f t="shared" si="54"/>
        <v>331.80889983534553</v>
      </c>
      <c r="AV177" s="335">
        <f t="shared" si="54"/>
        <v>277.33210027765085</v>
      </c>
      <c r="AW177" s="335">
        <f t="shared" si="54"/>
        <v>29.959476074754036</v>
      </c>
      <c r="AX177" s="335">
        <f t="shared" si="54"/>
        <v>200.70456206726837</v>
      </c>
      <c r="AY177" s="335">
        <f t="shared" si="84"/>
        <v>297.36425092534949</v>
      </c>
      <c r="AZ177" s="335">
        <f t="shared" si="85"/>
        <v>851.37548191889255</v>
      </c>
      <c r="BB177" s="533"/>
    </row>
    <row r="178" spans="2:54" ht="14.4" x14ac:dyDescent="0.55000000000000004">
      <c r="B178" s="3">
        <v>2022</v>
      </c>
      <c r="C178" s="334">
        <f t="shared" si="53"/>
        <v>806.42376932043612</v>
      </c>
      <c r="D178" s="532">
        <f>'Food System Summary'!H20-'Food System Summary'!I20</f>
        <v>1231.9868953131806</v>
      </c>
      <c r="E178" s="338">
        <f t="shared" si="70"/>
        <v>1.5277164961932628</v>
      </c>
      <c r="F178" s="338">
        <f t="shared" si="71"/>
        <v>0.60839621287076795</v>
      </c>
      <c r="G178" s="334">
        <f t="shared" si="55"/>
        <v>2.5210836903341249</v>
      </c>
      <c r="H178" s="338">
        <f t="shared" si="72"/>
        <v>3.1262517131143254E-3</v>
      </c>
      <c r="I178" s="334">
        <f t="shared" si="73"/>
        <v>-428.08420968307865</v>
      </c>
      <c r="J178" s="338">
        <f t="shared" si="74"/>
        <v>-0.53084274790637709</v>
      </c>
      <c r="K178" s="338">
        <f t="shared" si="75"/>
        <v>-0.21140225837771892</v>
      </c>
      <c r="N178" s="3">
        <v>2022</v>
      </c>
      <c r="O178" s="1205">
        <f t="shared" si="56"/>
        <v>444.97804003951114</v>
      </c>
      <c r="P178" s="1205">
        <f t="shared" si="57"/>
        <v>2.7832020239515725</v>
      </c>
      <c r="Q178" s="1205">
        <f t="shared" si="58"/>
        <v>288.59537864722978</v>
      </c>
      <c r="R178" s="1205">
        <f t="shared" si="76"/>
        <v>156.38266139228136</v>
      </c>
      <c r="S178" s="1206">
        <f>Paper!E124</f>
        <v>444.54089977599546</v>
      </c>
      <c r="T178" s="1205">
        <f t="shared" si="59"/>
        <v>155.94552112876568</v>
      </c>
      <c r="U178" s="1206">
        <f>Paper!I124</f>
        <v>29.268182113106946</v>
      </c>
      <c r="V178" s="1205">
        <f t="shared" si="60"/>
        <v>126.67733901565873</v>
      </c>
      <c r="Y178" s="609">
        <f t="shared" si="77"/>
        <v>2022</v>
      </c>
      <c r="Z178" s="335">
        <f t="shared" si="61"/>
        <v>2292.067049961684</v>
      </c>
      <c r="AA178" s="335">
        <f t="shared" si="78"/>
        <v>1065.6807306440073</v>
      </c>
      <c r="AB178" s="335">
        <f t="shared" si="79"/>
        <v>298.22753525843081</v>
      </c>
      <c r="AC178" s="335">
        <f t="shared" si="80"/>
        <v>343.20280212386456</v>
      </c>
      <c r="AD178" s="335">
        <f t="shared" si="81"/>
        <v>288.59537864722978</v>
      </c>
      <c r="AE178" s="335">
        <f>MIN(Paper!H124,Paper!I124)</f>
        <v>29.268182113106946</v>
      </c>
      <c r="AF178" s="335">
        <f t="shared" si="62"/>
        <v>267.09242117504431</v>
      </c>
      <c r="AG178" s="533"/>
      <c r="AI178" s="609">
        <f t="shared" si="63"/>
        <v>2022</v>
      </c>
      <c r="AJ178" s="335">
        <f t="shared" si="82"/>
        <v>776.37977007981794</v>
      </c>
      <c r="AK178" s="335">
        <f t="shared" si="64"/>
        <v>-269.7722853651473</v>
      </c>
      <c r="AL178" s="335">
        <f t="shared" si="65"/>
        <v>1.5887493473345926</v>
      </c>
      <c r="AM178" s="335">
        <f t="shared" si="66"/>
        <v>158.30546501283692</v>
      </c>
      <c r="AN178" s="335">
        <f t="shared" si="67"/>
        <v>272.06455228999084</v>
      </c>
      <c r="AO178" s="335">
        <f t="shared" si="83"/>
        <v>126.67733901565873</v>
      </c>
      <c r="AP178" s="335">
        <f t="shared" si="68"/>
        <v>0.43714026351568691</v>
      </c>
      <c r="AS178" s="609">
        <f t="shared" si="69"/>
        <v>2022</v>
      </c>
      <c r="AT178" s="335">
        <f t="shared" si="54"/>
        <v>298.22753525843081</v>
      </c>
      <c r="AU178" s="335">
        <f t="shared" si="54"/>
        <v>343.20280212386456</v>
      </c>
      <c r="AV178" s="335">
        <f t="shared" si="54"/>
        <v>288.59537864722978</v>
      </c>
      <c r="AW178" s="335">
        <f t="shared" si="54"/>
        <v>29.268182113106946</v>
      </c>
      <c r="AX178" s="335">
        <f t="shared" si="54"/>
        <v>267.09242117504431</v>
      </c>
      <c r="AY178" s="335">
        <f t="shared" si="84"/>
        <v>322.81854120686864</v>
      </c>
      <c r="AZ178" s="335">
        <f t="shared" si="85"/>
        <v>742.86218943713868</v>
      </c>
      <c r="BB178" s="533"/>
    </row>
    <row r="179" spans="2:54" ht="14.4" x14ac:dyDescent="0.55000000000000004">
      <c r="B179" s="3">
        <v>2023</v>
      </c>
      <c r="C179" s="334">
        <f t="shared" si="53"/>
        <v>760.2378562226794</v>
      </c>
      <c r="D179" s="532">
        <f>'Food System Summary'!H21-'Food System Summary'!I21</f>
        <v>1183.7533083980077</v>
      </c>
      <c r="E179" s="338">
        <f t="shared" si="70"/>
        <v>1.5570828244197266</v>
      </c>
      <c r="F179" s="338">
        <f t="shared" si="71"/>
        <v>0.59345715996018966</v>
      </c>
      <c r="G179" s="334">
        <f t="shared" si="55"/>
        <v>3.0047706422018368</v>
      </c>
      <c r="H179" s="338">
        <f t="shared" si="72"/>
        <v>3.9524086016070699E-3</v>
      </c>
      <c r="I179" s="334">
        <f t="shared" si="73"/>
        <v>-426.52022281753011</v>
      </c>
      <c r="J179" s="338">
        <f t="shared" si="74"/>
        <v>-0.56103523302133373</v>
      </c>
      <c r="K179" s="338">
        <f t="shared" si="75"/>
        <v>-0.21382958620105744</v>
      </c>
      <c r="N179" s="3">
        <v>2023</v>
      </c>
      <c r="O179" s="1205">
        <f t="shared" si="56"/>
        <v>453.66612655333142</v>
      </c>
      <c r="P179" s="1205">
        <f t="shared" si="57"/>
        <v>3.09808650065531</v>
      </c>
      <c r="Q179" s="1205">
        <f t="shared" si="58"/>
        <v>300.69650525974652</v>
      </c>
      <c r="R179" s="1205">
        <f t="shared" si="76"/>
        <v>152.96962129358491</v>
      </c>
      <c r="S179" s="1206">
        <f>Paper!E125</f>
        <v>454.17772675559291</v>
      </c>
      <c r="T179" s="1205">
        <f t="shared" si="59"/>
        <v>153.4812214958464</v>
      </c>
      <c r="U179" s="1206">
        <f>Paper!I125</f>
        <v>28.598191574614702</v>
      </c>
      <c r="V179" s="1205">
        <f t="shared" si="60"/>
        <v>124.8830299212317</v>
      </c>
      <c r="Y179" s="609">
        <f t="shared" si="77"/>
        <v>2023</v>
      </c>
      <c r="Z179" s="335">
        <f t="shared" si="61"/>
        <v>2327.8121531494985</v>
      </c>
      <c r="AA179" s="335">
        <f t="shared" si="78"/>
        <v>981.02191113801246</v>
      </c>
      <c r="AB179" s="335">
        <f t="shared" si="79"/>
        <v>329.73100627172619</v>
      </c>
      <c r="AC179" s="335">
        <f t="shared" si="80"/>
        <v>354.62594985514585</v>
      </c>
      <c r="AD179" s="335">
        <f t="shared" si="81"/>
        <v>300.69650525974652</v>
      </c>
      <c r="AE179" s="335">
        <f>MIN(Paper!H125,Paper!I125)</f>
        <v>28.598191574614702</v>
      </c>
      <c r="AF179" s="335">
        <f t="shared" si="62"/>
        <v>333.1385890502529</v>
      </c>
      <c r="AG179" s="533"/>
      <c r="AI179" s="609">
        <f t="shared" si="63"/>
        <v>2023</v>
      </c>
      <c r="AJ179" s="335">
        <f t="shared" si="82"/>
        <v>670.33482185366972</v>
      </c>
      <c r="AK179" s="335">
        <f t="shared" si="64"/>
        <v>-241.52951087951337</v>
      </c>
      <c r="AL179" s="335">
        <f t="shared" si="65"/>
        <v>1.7015389767969116</v>
      </c>
      <c r="AM179" s="335">
        <f t="shared" si="66"/>
        <v>159.03604735892998</v>
      </c>
      <c r="AN179" s="335">
        <f t="shared" si="67"/>
        <v>267.10758410915884</v>
      </c>
      <c r="AO179" s="335">
        <f t="shared" si="83"/>
        <v>124.8830299212317</v>
      </c>
      <c r="AP179" s="335">
        <f t="shared" si="68"/>
        <v>-0.51160020226126335</v>
      </c>
      <c r="AS179" s="609">
        <f t="shared" si="69"/>
        <v>2023</v>
      </c>
      <c r="AT179" s="335">
        <f t="shared" si="54"/>
        <v>329.73100627172619</v>
      </c>
      <c r="AU179" s="335">
        <f t="shared" si="54"/>
        <v>354.62594985514585</v>
      </c>
      <c r="AV179" s="335">
        <f t="shared" si="54"/>
        <v>300.69650525974652</v>
      </c>
      <c r="AW179" s="335">
        <f t="shared" si="54"/>
        <v>28.598191574614702</v>
      </c>
      <c r="AX179" s="335">
        <f t="shared" si="54"/>
        <v>333.1385890502529</v>
      </c>
      <c r="AY179" s="335">
        <f t="shared" si="84"/>
        <v>348.23572707903827</v>
      </c>
      <c r="AZ179" s="335">
        <f t="shared" si="85"/>
        <v>632.78618405897419</v>
      </c>
      <c r="BB179" s="533"/>
    </row>
    <row r="180" spans="2:54" ht="14.4" x14ac:dyDescent="0.55000000000000004">
      <c r="B180" s="3">
        <v>2024</v>
      </c>
      <c r="C180" s="334">
        <f t="shared" si="53"/>
        <v>714.14565514961032</v>
      </c>
      <c r="D180" s="532">
        <f>'Food System Summary'!H22-'Food System Summary'!I22</f>
        <v>1135.6384357678671</v>
      </c>
      <c r="E180" s="338">
        <f t="shared" si="70"/>
        <v>1.5902056220309231</v>
      </c>
      <c r="F180" s="338">
        <f t="shared" si="71"/>
        <v>0.57807423223838506</v>
      </c>
      <c r="G180" s="334">
        <f t="shared" si="55"/>
        <v>3.4568024095363725</v>
      </c>
      <c r="H180" s="338">
        <f t="shared" si="72"/>
        <v>4.8404725067075962E-3</v>
      </c>
      <c r="I180" s="334">
        <f t="shared" si="73"/>
        <v>-424.94958302779315</v>
      </c>
      <c r="J180" s="338">
        <f t="shared" si="74"/>
        <v>-0.59504609453763058</v>
      </c>
      <c r="K180" s="338">
        <f t="shared" si="75"/>
        <v>-0.21631216081790539</v>
      </c>
      <c r="N180" s="3">
        <v>2024</v>
      </c>
      <c r="O180" s="1205">
        <f t="shared" si="56"/>
        <v>462.59049872442324</v>
      </c>
      <c r="P180" s="1205">
        <f t="shared" si="57"/>
        <v>3.4446261618922236</v>
      </c>
      <c r="Q180" s="1205">
        <f t="shared" si="58"/>
        <v>313.60754265234232</v>
      </c>
      <c r="R180" s="1205">
        <f t="shared" si="76"/>
        <v>148.98295607208092</v>
      </c>
      <c r="S180" s="1206">
        <f>Paper!E126</f>
        <v>463.86975570882623</v>
      </c>
      <c r="T180" s="1205">
        <f t="shared" si="59"/>
        <v>150.26221305648392</v>
      </c>
      <c r="U180" s="1206">
        <f>Paper!I126</f>
        <v>27.952545451421543</v>
      </c>
      <c r="V180" s="1205">
        <f t="shared" si="60"/>
        <v>122.30966760506237</v>
      </c>
      <c r="Y180" s="609">
        <f t="shared" si="77"/>
        <v>2024</v>
      </c>
      <c r="Z180" s="335">
        <f t="shared" si="61"/>
        <v>2363.3235557594176</v>
      </c>
      <c r="AA180" s="335">
        <f t="shared" si="78"/>
        <v>894.8707837063431</v>
      </c>
      <c r="AB180" s="335">
        <f t="shared" si="79"/>
        <v>362.02305206042257</v>
      </c>
      <c r="AC180" s="335">
        <f t="shared" si="80"/>
        <v>366.06615406222107</v>
      </c>
      <c r="AD180" s="335">
        <f t="shared" si="81"/>
        <v>313.60754265234232</v>
      </c>
      <c r="AE180" s="335">
        <f>MIN(Paper!H126,Paper!I126)</f>
        <v>27.952545451421543</v>
      </c>
      <c r="AF180" s="335">
        <f t="shared" si="62"/>
        <v>398.80347782666684</v>
      </c>
      <c r="AG180" s="533"/>
      <c r="AI180" s="609">
        <f t="shared" si="63"/>
        <v>2024</v>
      </c>
      <c r="AJ180" s="335">
        <f t="shared" si="82"/>
        <v>559.94734307658962</v>
      </c>
      <c r="AK180" s="335">
        <f t="shared" si="64"/>
        <v>-209.5291797666454</v>
      </c>
      <c r="AL180" s="335">
        <f t="shared" si="65"/>
        <v>1.7044397792435242</v>
      </c>
      <c r="AM180" s="335">
        <f t="shared" si="66"/>
        <v>160.41604381252773</v>
      </c>
      <c r="AN180" s="335">
        <f t="shared" si="67"/>
        <v>261.30172618396824</v>
      </c>
      <c r="AO180" s="335">
        <f t="shared" si="83"/>
        <v>122.30966760506237</v>
      </c>
      <c r="AP180" s="335">
        <f t="shared" si="68"/>
        <v>-1.2792569844030481</v>
      </c>
      <c r="AS180" s="609">
        <f t="shared" si="69"/>
        <v>2024</v>
      </c>
      <c r="AT180" s="335">
        <f t="shared" si="54"/>
        <v>362.02305206042257</v>
      </c>
      <c r="AU180" s="335">
        <f t="shared" si="54"/>
        <v>366.06615406222107</v>
      </c>
      <c r="AV180" s="335">
        <f t="shared" si="54"/>
        <v>313.60754265234232</v>
      </c>
      <c r="AW180" s="335">
        <f t="shared" si="54"/>
        <v>27.952545451421543</v>
      </c>
      <c r="AX180" s="335">
        <f t="shared" si="54"/>
        <v>398.80347782666684</v>
      </c>
      <c r="AY180" s="335">
        <f t="shared" si="84"/>
        <v>373.61608173336145</v>
      </c>
      <c r="AZ180" s="335">
        <f t="shared" si="85"/>
        <v>521.25470197298159</v>
      </c>
      <c r="BB180" s="533"/>
    </row>
    <row r="181" spans="2:54" ht="14.4" x14ac:dyDescent="0.55000000000000004">
      <c r="B181" s="3">
        <v>2025</v>
      </c>
      <c r="C181" s="334">
        <f t="shared" si="53"/>
        <v>666.75974592294494</v>
      </c>
      <c r="D181" s="532">
        <f>'Food System Summary'!H23-'Food System Summary'!I23</f>
        <v>1087.7037047715976</v>
      </c>
      <c r="E181" s="338">
        <f t="shared" si="70"/>
        <v>1.6313277929908199</v>
      </c>
      <c r="F181" s="338">
        <f t="shared" si="71"/>
        <v>0.56255023561594941</v>
      </c>
      <c r="G181" s="334">
        <f t="shared" si="55"/>
        <v>3.9516817160404063</v>
      </c>
      <c r="H181" s="338">
        <f t="shared" si="72"/>
        <v>5.9266950955030933E-3</v>
      </c>
      <c r="I181" s="334">
        <f t="shared" si="73"/>
        <v>-424.89564056469305</v>
      </c>
      <c r="J181" s="338">
        <f t="shared" si="74"/>
        <v>-0.63725448808632301</v>
      </c>
      <c r="K181" s="338">
        <f t="shared" si="75"/>
        <v>-0.21975207187700968</v>
      </c>
      <c r="N181" s="3">
        <v>2025</v>
      </c>
      <c r="O181" s="1205">
        <f t="shared" si="56"/>
        <v>472.5620259360004</v>
      </c>
      <c r="P181" s="1205">
        <f t="shared" si="57"/>
        <v>3.7483182839596392</v>
      </c>
      <c r="Q181" s="1205">
        <f t="shared" si="58"/>
        <v>328.35899459354056</v>
      </c>
      <c r="R181" s="1205">
        <f t="shared" si="76"/>
        <v>144.20303134245984</v>
      </c>
      <c r="S181" s="1206">
        <f>Paper!E127</f>
        <v>474.09423178165162</v>
      </c>
      <c r="T181" s="1205">
        <f t="shared" si="59"/>
        <v>145.73523718811106</v>
      </c>
      <c r="U181" s="1206">
        <f>Paper!I127</f>
        <v>27.329133095626617</v>
      </c>
      <c r="V181" s="1205">
        <f t="shared" si="60"/>
        <v>118.40610409248444</v>
      </c>
      <c r="Y181" s="609">
        <f t="shared" si="77"/>
        <v>2025</v>
      </c>
      <c r="Z181" s="335">
        <f t="shared" si="61"/>
        <v>2397.5749666971119</v>
      </c>
      <c r="AA181" s="335">
        <f t="shared" si="78"/>
        <v>805.93658336632382</v>
      </c>
      <c r="AB181" s="335">
        <f t="shared" si="79"/>
        <v>394.54737333532785</v>
      </c>
      <c r="AC181" s="335">
        <f t="shared" si="80"/>
        <v>377.35071216555531</v>
      </c>
      <c r="AD181" s="335">
        <f t="shared" si="81"/>
        <v>328.35899459354056</v>
      </c>
      <c r="AE181" s="335">
        <f>MIN(Paper!H127,Paper!I127)</f>
        <v>27.329133095626617</v>
      </c>
      <c r="AF181" s="335">
        <f t="shared" si="62"/>
        <v>464.05217014073799</v>
      </c>
      <c r="AG181" s="533"/>
      <c r="AI181" s="609">
        <f t="shared" si="63"/>
        <v>2025</v>
      </c>
      <c r="AJ181" s="335">
        <f t="shared" si="82"/>
        <v>444.0676089981522</v>
      </c>
      <c r="AK181" s="335">
        <f t="shared" si="64"/>
        <v>-173.46855614408534</v>
      </c>
      <c r="AL181" s="335">
        <f t="shared" si="65"/>
        <v>1.6133197335502909</v>
      </c>
      <c r="AM181" s="335">
        <f t="shared" si="66"/>
        <v>161.73930084594556</v>
      </c>
      <c r="AN181" s="335">
        <f t="shared" si="67"/>
        <v>255.11101168592774</v>
      </c>
      <c r="AO181" s="335">
        <f t="shared" si="83"/>
        <v>118.40610409248444</v>
      </c>
      <c r="AP181" s="335">
        <f t="shared" si="68"/>
        <v>-1.5322058456509922</v>
      </c>
      <c r="AS181" s="609">
        <f t="shared" si="69"/>
        <v>2025</v>
      </c>
      <c r="AT181" s="335">
        <f t="shared" si="54"/>
        <v>394.54737333532785</v>
      </c>
      <c r="AU181" s="335">
        <f t="shared" si="54"/>
        <v>377.35071216555531</v>
      </c>
      <c r="AV181" s="335">
        <f t="shared" si="54"/>
        <v>328.35899459354056</v>
      </c>
      <c r="AW181" s="335">
        <f t="shared" si="54"/>
        <v>27.329133095626617</v>
      </c>
      <c r="AX181" s="335">
        <f t="shared" si="54"/>
        <v>464.05217014073799</v>
      </c>
      <c r="AY181" s="335">
        <f t="shared" si="84"/>
        <v>396.94034470855428</v>
      </c>
      <c r="AZ181" s="335">
        <f t="shared" si="85"/>
        <v>408.99623865776954</v>
      </c>
      <c r="BB181" s="533"/>
    </row>
    <row r="182" spans="2:54" ht="14.4" x14ac:dyDescent="0.55000000000000004">
      <c r="B182" s="3">
        <v>2026</v>
      </c>
      <c r="C182" s="334">
        <f t="shared" si="53"/>
        <v>627.36209482612105</v>
      </c>
      <c r="D182" s="532">
        <f>'Food System Summary'!H24-'Food System Summary'!I24</f>
        <v>1040.0008676814243</v>
      </c>
      <c r="E182" s="338">
        <f t="shared" si="70"/>
        <v>1.6577362200527428</v>
      </c>
      <c r="F182" s="338">
        <f t="shared" si="71"/>
        <v>0.54359501424560364</v>
      </c>
      <c r="G182" s="334">
        <f t="shared" si="55"/>
        <v>5.2601605356689412</v>
      </c>
      <c r="H182" s="338">
        <f t="shared" si="72"/>
        <v>8.3845686232076888E-3</v>
      </c>
      <c r="I182" s="334">
        <f t="shared" si="73"/>
        <v>-417.89893339097222</v>
      </c>
      <c r="J182" s="338">
        <f t="shared" si="74"/>
        <v>-0.66612078867595048</v>
      </c>
      <c r="K182" s="338">
        <f t="shared" si="75"/>
        <v>-0.21843037223260731</v>
      </c>
      <c r="N182" s="3">
        <v>2026</v>
      </c>
      <c r="O182" s="1205">
        <f t="shared" si="56"/>
        <v>482.77278403707021</v>
      </c>
      <c r="P182" s="1205">
        <f t="shared" si="57"/>
        <v>4.754911780262379</v>
      </c>
      <c r="Q182" s="1205">
        <f t="shared" si="58"/>
        <v>341.83327703330821</v>
      </c>
      <c r="R182" s="1205">
        <f t="shared" si="76"/>
        <v>140.939507003762</v>
      </c>
      <c r="S182" s="1206">
        <f>Paper!E128</f>
        <v>484.32983940790632</v>
      </c>
      <c r="T182" s="1205">
        <f t="shared" si="59"/>
        <v>142.49656237459811</v>
      </c>
      <c r="U182" s="1206">
        <f>Paper!I128</f>
        <v>26.611407194363096</v>
      </c>
      <c r="V182" s="1205">
        <f t="shared" si="60"/>
        <v>115.88515518023502</v>
      </c>
      <c r="Y182" s="609">
        <f t="shared" si="77"/>
        <v>2026</v>
      </c>
      <c r="Z182" s="335">
        <f t="shared" si="61"/>
        <v>2442.0419175786424</v>
      </c>
      <c r="AA182" s="335">
        <f t="shared" si="78"/>
        <v>724.10650913635084</v>
      </c>
      <c r="AB182" s="335">
        <f t="shared" si="79"/>
        <v>430.33925383800135</v>
      </c>
      <c r="AC182" s="335">
        <f t="shared" si="80"/>
        <v>390.30014584403017</v>
      </c>
      <c r="AD182" s="335">
        <f t="shared" si="81"/>
        <v>341.83327703330821</v>
      </c>
      <c r="AE182" s="335">
        <f>MIN(Paper!H128,Paper!I128)</f>
        <v>26.611407194363096</v>
      </c>
      <c r="AF182" s="335">
        <f t="shared" si="62"/>
        <v>528.85132453258871</v>
      </c>
      <c r="AG182" s="533"/>
      <c r="AI182" s="609">
        <f t="shared" si="63"/>
        <v>2026</v>
      </c>
      <c r="AJ182" s="335">
        <f t="shared" si="82"/>
        <v>326.6118996836982</v>
      </c>
      <c r="AK182" s="335">
        <f t="shared" si="64"/>
        <v>-131.24101022618271</v>
      </c>
      <c r="AL182" s="335">
        <f t="shared" si="65"/>
        <v>1.6519515306042258</v>
      </c>
      <c r="AM182" s="335">
        <f t="shared" si="66"/>
        <v>162.07955388758009</v>
      </c>
      <c r="AN182" s="335">
        <f t="shared" si="67"/>
        <v>250.676014451252</v>
      </c>
      <c r="AO182" s="335">
        <f t="shared" si="83"/>
        <v>115.88515518023502</v>
      </c>
      <c r="AP182" s="335">
        <f t="shared" si="68"/>
        <v>-1.5570553708361103</v>
      </c>
      <c r="AS182" s="609">
        <f t="shared" si="69"/>
        <v>2026</v>
      </c>
      <c r="AT182" s="335">
        <f t="shared" si="54"/>
        <v>430.33925383800135</v>
      </c>
      <c r="AU182" s="335">
        <f t="shared" si="54"/>
        <v>390.30014584403017</v>
      </c>
      <c r="AV182" s="335">
        <f t="shared" si="54"/>
        <v>341.83327703330821</v>
      </c>
      <c r="AW182" s="335">
        <f t="shared" si="54"/>
        <v>26.611407194363096</v>
      </c>
      <c r="AX182" s="335">
        <f t="shared" si="54"/>
        <v>528.85132453258871</v>
      </c>
      <c r="AY182" s="335">
        <f t="shared" si="84"/>
        <v>423.67644056405226</v>
      </c>
      <c r="AZ182" s="335">
        <f t="shared" si="85"/>
        <v>300.43006857229858</v>
      </c>
      <c r="BB182" s="533"/>
    </row>
    <row r="183" spans="2:54" ht="14.4" x14ac:dyDescent="0.55000000000000004">
      <c r="B183" s="3">
        <v>2027</v>
      </c>
      <c r="C183" s="334">
        <f t="shared" si="53"/>
        <v>588.8476485015002</v>
      </c>
      <c r="D183" s="532">
        <f>'Food System Summary'!H25-'Food System Summary'!I25</f>
        <v>992.57560526810607</v>
      </c>
      <c r="E183" s="338">
        <f t="shared" si="70"/>
        <v>1.6856237904558387</v>
      </c>
      <c r="F183" s="338">
        <f t="shared" si="71"/>
        <v>0.52352603413022214</v>
      </c>
      <c r="G183" s="334">
        <f t="shared" si="55"/>
        <v>6.8708633754553041</v>
      </c>
      <c r="H183" s="338">
        <f t="shared" si="72"/>
        <v>1.1668320987508876E-2</v>
      </c>
      <c r="I183" s="334">
        <f t="shared" si="73"/>
        <v>-410.59882014206119</v>
      </c>
      <c r="J183" s="338">
        <f t="shared" si="74"/>
        <v>-0.69729211144334746</v>
      </c>
      <c r="K183" s="338">
        <f t="shared" si="75"/>
        <v>-0.21656705120156436</v>
      </c>
      <c r="N183" s="3">
        <v>2027</v>
      </c>
      <c r="O183" s="1205">
        <f t="shared" si="56"/>
        <v>494.79968322305854</v>
      </c>
      <c r="P183" s="1205">
        <f t="shared" si="57"/>
        <v>5.9253112997709074</v>
      </c>
      <c r="Q183" s="1205">
        <f t="shared" si="58"/>
        <v>357.161305301423</v>
      </c>
      <c r="R183" s="1205">
        <f t="shared" si="76"/>
        <v>137.63837792163554</v>
      </c>
      <c r="S183" s="1206">
        <f>Paper!E129</f>
        <v>495.41509035042276</v>
      </c>
      <c r="T183" s="1205">
        <f t="shared" si="59"/>
        <v>138.25378504899976</v>
      </c>
      <c r="U183" s="1206">
        <f>Paper!I129</f>
        <v>19.772939173430586</v>
      </c>
      <c r="V183" s="1205">
        <f t="shared" si="60"/>
        <v>118.48084587556917</v>
      </c>
      <c r="Y183" s="609">
        <f t="shared" si="77"/>
        <v>2027</v>
      </c>
      <c r="Z183" s="335">
        <f t="shared" si="61"/>
        <v>2489.1118050597343</v>
      </c>
      <c r="AA183" s="335">
        <f t="shared" si="78"/>
        <v>648.01178542915386</v>
      </c>
      <c r="AB183" s="335">
        <f t="shared" si="79"/>
        <v>467.24543036622242</v>
      </c>
      <c r="AC183" s="335">
        <f t="shared" si="80"/>
        <v>403.75170312403276</v>
      </c>
      <c r="AD183" s="335">
        <f t="shared" si="81"/>
        <v>357.161305301423</v>
      </c>
      <c r="AE183" s="335">
        <f>MIN(Paper!H129,Paper!I129)</f>
        <v>19.772939173430586</v>
      </c>
      <c r="AF183" s="335">
        <f t="shared" si="62"/>
        <v>593.16864166547157</v>
      </c>
      <c r="AG183" s="533"/>
      <c r="AI183" s="609">
        <f t="shared" si="63"/>
        <v>2027</v>
      </c>
      <c r="AJ183" s="335">
        <f t="shared" si="82"/>
        <v>204.97559186102467</v>
      </c>
      <c r="AK183" s="335">
        <f t="shared" si="64"/>
        <v>-84.792267439742375</v>
      </c>
      <c r="AL183" s="335">
        <f t="shared" si="65"/>
        <v>1.4188937139954936</v>
      </c>
      <c r="AM183" s="335">
        <f t="shared" si="66"/>
        <v>162.08951773519701</v>
      </c>
      <c r="AN183" s="335">
        <f t="shared" si="67"/>
        <v>246.45461081047409</v>
      </c>
      <c r="AO183" s="335">
        <f t="shared" si="83"/>
        <v>118.48084587556917</v>
      </c>
      <c r="AP183" s="335">
        <f t="shared" si="68"/>
        <v>-0.61540712736427849</v>
      </c>
      <c r="AS183" s="609">
        <f t="shared" si="69"/>
        <v>2027</v>
      </c>
      <c r="AT183" s="335">
        <f t="shared" si="54"/>
        <v>467.24543036622242</v>
      </c>
      <c r="AU183" s="335">
        <f t="shared" si="54"/>
        <v>403.75170312403276</v>
      </c>
      <c r="AV183" s="335">
        <f t="shared" si="54"/>
        <v>357.161305301423</v>
      </c>
      <c r="AW183" s="335">
        <f t="shared" si="54"/>
        <v>19.772939173430586</v>
      </c>
      <c r="AX183" s="335">
        <f t="shared" si="54"/>
        <v>593.16864166547157</v>
      </c>
      <c r="AY183" s="335">
        <f t="shared" si="84"/>
        <v>448.33821664518143</v>
      </c>
      <c r="AZ183" s="335">
        <f t="shared" si="85"/>
        <v>199.67356878397243</v>
      </c>
      <c r="BB183" s="533"/>
    </row>
    <row r="184" spans="2:54" ht="14.4" x14ac:dyDescent="0.55000000000000004">
      <c r="B184" s="3">
        <v>2028</v>
      </c>
      <c r="C184" s="334">
        <f t="shared" si="53"/>
        <v>551.23355140266654</v>
      </c>
      <c r="D184" s="532">
        <f>'Food System Summary'!H26-'Food System Summary'!I26</f>
        <v>945.46968146998063</v>
      </c>
      <c r="E184" s="338">
        <f t="shared" si="70"/>
        <v>1.7151889232143844</v>
      </c>
      <c r="F184" s="338">
        <f t="shared" si="71"/>
        <v>0.50318429632939732</v>
      </c>
      <c r="G184" s="334">
        <f t="shared" si="55"/>
        <v>9.0796611960737525</v>
      </c>
      <c r="H184" s="338">
        <f t="shared" si="72"/>
        <v>1.6471532208026319E-2</v>
      </c>
      <c r="I184" s="334">
        <f t="shared" si="73"/>
        <v>-403.31579126338784</v>
      </c>
      <c r="J184" s="338">
        <f t="shared" si="74"/>
        <v>-0.73166045542241065</v>
      </c>
      <c r="K184" s="338">
        <f t="shared" si="75"/>
        <v>-0.21464693855637448</v>
      </c>
      <c r="N184" s="3">
        <v>2028</v>
      </c>
      <c r="O184" s="1205">
        <f t="shared" si="56"/>
        <v>507.05725259720543</v>
      </c>
      <c r="P184" s="1205">
        <f t="shared" si="57"/>
        <v>7.4775974992902459</v>
      </c>
      <c r="Q184" s="1205">
        <f t="shared" si="58"/>
        <v>367.06215347604581</v>
      </c>
      <c r="R184" s="1205">
        <f t="shared" si="76"/>
        <v>139.99509912115963</v>
      </c>
      <c r="S184" s="1206">
        <f>Paper!E130</f>
        <v>506.50122051119558</v>
      </c>
      <c r="T184" s="1205">
        <f t="shared" si="59"/>
        <v>139.43906703514978</v>
      </c>
      <c r="U184" s="1206">
        <f>Paper!I130</f>
        <v>9.3189159346392216</v>
      </c>
      <c r="V184" s="1205">
        <f t="shared" si="60"/>
        <v>130.12015110051055</v>
      </c>
      <c r="Y184" s="609">
        <f t="shared" si="77"/>
        <v>2028</v>
      </c>
      <c r="Z184" s="335">
        <f t="shared" si="61"/>
        <v>2535.9468423081339</v>
      </c>
      <c r="AA184" s="335">
        <f t="shared" si="78"/>
        <v>580.20820192140707</v>
      </c>
      <c r="AB184" s="335">
        <f t="shared" si="79"/>
        <v>505.13209447203724</v>
      </c>
      <c r="AC184" s="335">
        <f t="shared" si="80"/>
        <v>417.25158380289105</v>
      </c>
      <c r="AD184" s="335">
        <f t="shared" si="81"/>
        <v>367.06215347604581</v>
      </c>
      <c r="AE184" s="335">
        <f>MIN(Paper!H130,Paper!I130)</f>
        <v>9.3189159346392216</v>
      </c>
      <c r="AF184" s="335">
        <f t="shared" si="62"/>
        <v>656.97389270111341</v>
      </c>
      <c r="AG184" s="533"/>
      <c r="AI184" s="609">
        <f t="shared" si="63"/>
        <v>2028</v>
      </c>
      <c r="AJ184" s="335">
        <f t="shared" si="82"/>
        <v>79.072708271460328</v>
      </c>
      <c r="AK184" s="335">
        <f t="shared" si="64"/>
        <v>-33.730612973500911</v>
      </c>
      <c r="AL184" s="335">
        <f t="shared" si="65"/>
        <v>0.75936163266979761</v>
      </c>
      <c r="AM184" s="335">
        <f t="shared" si="66"/>
        <v>161.46204647573759</v>
      </c>
      <c r="AN184" s="335">
        <f t="shared" si="67"/>
        <v>241.9685153285198</v>
      </c>
      <c r="AO184" s="335">
        <f t="shared" si="83"/>
        <v>130.12015110051055</v>
      </c>
      <c r="AP184" s="335">
        <f t="shared" si="68"/>
        <v>0.55603208600996368</v>
      </c>
      <c r="AS184" s="609">
        <f t="shared" si="69"/>
        <v>2028</v>
      </c>
      <c r="AT184" s="335">
        <f t="shared" si="54"/>
        <v>505.13209447203724</v>
      </c>
      <c r="AU184" s="335">
        <f t="shared" si="54"/>
        <v>417.25158380289105</v>
      </c>
      <c r="AV184" s="335">
        <f t="shared" si="54"/>
        <v>367.06215347604581</v>
      </c>
      <c r="AW184" s="335">
        <f t="shared" si="54"/>
        <v>9.3189159346392216</v>
      </c>
      <c r="AX184" s="335">
        <f t="shared" si="54"/>
        <v>656.97389270111341</v>
      </c>
      <c r="AY184" s="335">
        <f t="shared" si="84"/>
        <v>472.43314509528648</v>
      </c>
      <c r="AZ184" s="335">
        <f t="shared" si="85"/>
        <v>107.77505682612059</v>
      </c>
      <c r="BB184" s="533"/>
    </row>
    <row r="185" spans="2:54" ht="14.4" x14ac:dyDescent="0.55000000000000004">
      <c r="B185" s="3">
        <v>2029</v>
      </c>
      <c r="C185" s="334">
        <f t="shared" si="53"/>
        <v>514.68567910419392</v>
      </c>
      <c r="D185" s="532">
        <f>'Food System Summary'!H27-'Food System Summary'!I27</f>
        <v>898.72111593005013</v>
      </c>
      <c r="E185" s="338">
        <f t="shared" si="70"/>
        <v>1.7461552796539175</v>
      </c>
      <c r="F185" s="338">
        <f t="shared" si="71"/>
        <v>0.48258290224323758</v>
      </c>
      <c r="G185" s="334">
        <f t="shared" si="55"/>
        <v>12.01600107112119</v>
      </c>
      <c r="H185" s="338">
        <f t="shared" si="72"/>
        <v>2.3346289898788206E-2</v>
      </c>
      <c r="I185" s="334">
        <f t="shared" si="73"/>
        <v>-396.0514378969774</v>
      </c>
      <c r="J185" s="338">
        <f t="shared" si="74"/>
        <v>-0.76950156955270566</v>
      </c>
      <c r="K185" s="338">
        <f t="shared" si="75"/>
        <v>-0.21266625313475632</v>
      </c>
      <c r="N185" s="3">
        <v>2029</v>
      </c>
      <c r="O185" s="1205">
        <f t="shared" si="56"/>
        <v>519.54063998228571</v>
      </c>
      <c r="P185" s="1205">
        <f t="shared" si="57"/>
        <v>9.4591656967144271</v>
      </c>
      <c r="Q185" s="1205">
        <f t="shared" si="58"/>
        <v>373.82039631954888</v>
      </c>
      <c r="R185" s="1205">
        <f t="shared" si="76"/>
        <v>145.72024366273683</v>
      </c>
      <c r="S185" s="1206">
        <f>Paper!E131</f>
        <v>517.85417053637252</v>
      </c>
      <c r="T185" s="1205">
        <f t="shared" si="59"/>
        <v>144.03377421682364</v>
      </c>
      <c r="U185" s="1206">
        <f>Paper!I131</f>
        <v>4.4534575311784579</v>
      </c>
      <c r="V185" s="1205">
        <f t="shared" si="60"/>
        <v>139.58031668564519</v>
      </c>
      <c r="Y185" s="609">
        <f t="shared" si="77"/>
        <v>2029</v>
      </c>
      <c r="Z185" s="335">
        <f t="shared" si="61"/>
        <v>2582.5519206119802</v>
      </c>
      <c r="AA185" s="335">
        <f t="shared" si="78"/>
        <v>537.898095794455</v>
      </c>
      <c r="AB185" s="335">
        <f t="shared" si="79"/>
        <v>515.34848165816334</v>
      </c>
      <c r="AC185" s="335">
        <f t="shared" si="80"/>
        <v>430.79402648709066</v>
      </c>
      <c r="AD185" s="335">
        <f t="shared" si="81"/>
        <v>373.82039631954888</v>
      </c>
      <c r="AE185" s="335">
        <f>MIN(Paper!H131,Paper!I131)</f>
        <v>4.4534575311784579</v>
      </c>
      <c r="AF185" s="335">
        <f t="shared" si="62"/>
        <v>720.23746282154377</v>
      </c>
      <c r="AI185" s="609">
        <f t="shared" si="63"/>
        <v>2029</v>
      </c>
      <c r="AJ185" s="335">
        <f t="shared" si="82"/>
        <v>-1.1573561789817859</v>
      </c>
      <c r="AK185" s="335">
        <f t="shared" si="64"/>
        <v>0.51002760558304772</v>
      </c>
      <c r="AL185" s="335">
        <f t="shared" si="65"/>
        <v>-1.5473980570627432E-2</v>
      </c>
      <c r="AM185" s="335">
        <f t="shared" si="66"/>
        <v>160.101736410092</v>
      </c>
      <c r="AN185" s="335">
        <f t="shared" si="67"/>
        <v>237.19237580677401</v>
      </c>
      <c r="AO185" s="335">
        <f t="shared" si="83"/>
        <v>139.58031668564519</v>
      </c>
      <c r="AP185" s="335">
        <f t="shared" si="68"/>
        <v>1.686469445913076</v>
      </c>
      <c r="AS185" s="609">
        <f t="shared" si="69"/>
        <v>2029</v>
      </c>
      <c r="AT185" s="335">
        <f t="shared" si="54"/>
        <v>515.34848165816334</v>
      </c>
      <c r="AU185" s="335">
        <f t="shared" si="54"/>
        <v>430.79402648709066</v>
      </c>
      <c r="AV185" s="335">
        <f t="shared" si="54"/>
        <v>373.82039631954888</v>
      </c>
      <c r="AW185" s="335">
        <f t="shared" si="54"/>
        <v>4.4534575311784579</v>
      </c>
      <c r="AX185" s="335">
        <f t="shared" si="54"/>
        <v>720.23746282154377</v>
      </c>
      <c r="AY185" s="335">
        <f t="shared" si="84"/>
        <v>496.30217363209351</v>
      </c>
      <c r="AZ185" s="335">
        <f t="shared" si="85"/>
        <v>41.595922162361489</v>
      </c>
      <c r="BB185" s="533"/>
    </row>
    <row r="186" spans="2:54" ht="14.4" x14ac:dyDescent="0.55000000000000004">
      <c r="B186" s="3">
        <v>2030</v>
      </c>
      <c r="C186" s="334">
        <f t="shared" si="53"/>
        <v>480.81304834521183</v>
      </c>
      <c r="D186" s="532">
        <f>'Food System Summary'!H28-'Food System Summary'!I28</f>
        <v>852.36564637079755</v>
      </c>
      <c r="E186" s="338">
        <f t="shared" si="70"/>
        <v>1.7727589742090779</v>
      </c>
      <c r="F186" s="338">
        <f t="shared" si="71"/>
        <v>0.46097894977842663</v>
      </c>
      <c r="G186" s="334">
        <f t="shared" si="55"/>
        <v>15.81547960034837</v>
      </c>
      <c r="H186" s="338">
        <f t="shared" si="72"/>
        <v>3.2893199664151475E-2</v>
      </c>
      <c r="I186" s="334">
        <f t="shared" si="73"/>
        <v>-387.36807762593412</v>
      </c>
      <c r="J186" s="338">
        <f t="shared" si="74"/>
        <v>-0.80565217387322952</v>
      </c>
      <c r="K186" s="338">
        <f t="shared" si="75"/>
        <v>-0.20949756757795232</v>
      </c>
      <c r="N186" s="3">
        <v>2030</v>
      </c>
      <c r="O186" s="1205">
        <f t="shared" si="56"/>
        <v>532.85894389310533</v>
      </c>
      <c r="P186" s="1205">
        <f t="shared" si="57"/>
        <v>11.911261206946476</v>
      </c>
      <c r="Q186" s="1205">
        <f t="shared" si="58"/>
        <v>381.06718683848584</v>
      </c>
      <c r="R186" s="1205">
        <f t="shared" si="76"/>
        <v>151.7917570546195</v>
      </c>
      <c r="S186" s="1206">
        <f>Paper!E132</f>
        <v>529.5753875852597</v>
      </c>
      <c r="T186" s="1205">
        <f t="shared" si="59"/>
        <v>148.50820074677387</v>
      </c>
      <c r="U186" s="1206">
        <f>Paper!I132</f>
        <v>0</v>
      </c>
      <c r="V186" s="1205">
        <f t="shared" si="60"/>
        <v>148.50820074677387</v>
      </c>
      <c r="Y186" s="609">
        <f t="shared" si="77"/>
        <v>2030</v>
      </c>
      <c r="Z186" s="335">
        <f t="shared" si="61"/>
        <v>2631.964314994379</v>
      </c>
      <c r="AA186" s="335">
        <f t="shared" si="78"/>
        <v>542.84136773983641</v>
      </c>
      <c r="AB186" s="335">
        <f t="shared" si="79"/>
        <v>480.23961332404809</v>
      </c>
      <c r="AC186" s="335">
        <f t="shared" si="80"/>
        <v>444.88560420478137</v>
      </c>
      <c r="AD186" s="335">
        <f t="shared" si="81"/>
        <v>381.06718683848584</v>
      </c>
      <c r="AE186" s="335">
        <f>MIN(Paper!H132,Paper!I132)</f>
        <v>0</v>
      </c>
      <c r="AF186" s="335">
        <f t="shared" si="62"/>
        <v>782.93054288722715</v>
      </c>
      <c r="AI186" s="609">
        <f t="shared" si="63"/>
        <v>2030</v>
      </c>
      <c r="AJ186" s="335">
        <f t="shared" si="82"/>
        <v>1.016562079893788</v>
      </c>
      <c r="AK186" s="335">
        <f t="shared" si="64"/>
        <v>-0.46198917137559192</v>
      </c>
      <c r="AL186" s="335">
        <f t="shared" si="65"/>
        <v>1.8862112645557261E-2</v>
      </c>
      <c r="AM186" s="335">
        <f t="shared" si="66"/>
        <v>157.92203006831616</v>
      </c>
      <c r="AN186" s="335">
        <f t="shared" si="67"/>
        <v>232.55414559573711</v>
      </c>
      <c r="AO186" s="335">
        <f t="shared" si="83"/>
        <v>148.50820074677387</v>
      </c>
      <c r="AP186" s="335">
        <f t="shared" si="68"/>
        <v>3.2835563078455152</v>
      </c>
      <c r="AS186" s="609">
        <f t="shared" si="69"/>
        <v>2030</v>
      </c>
      <c r="AT186" s="335">
        <f t="shared" si="54"/>
        <v>480.23961332404809</v>
      </c>
      <c r="AU186" s="335">
        <f t="shared" si="54"/>
        <v>444.88560420478137</v>
      </c>
      <c r="AV186" s="335">
        <f t="shared" si="54"/>
        <v>381.06718683848584</v>
      </c>
      <c r="AW186" s="335">
        <f t="shared" si="54"/>
        <v>0</v>
      </c>
      <c r="AX186" s="335">
        <f t="shared" si="54"/>
        <v>782.93054288722715</v>
      </c>
      <c r="AY186" s="335">
        <f t="shared" si="84"/>
        <v>519.22918248800215</v>
      </c>
      <c r="AZ186" s="335">
        <f t="shared" si="85"/>
        <v>23.612185251834262</v>
      </c>
      <c r="BB186" s="533"/>
    </row>
    <row r="187" spans="2:54" ht="14.4" x14ac:dyDescent="0.55000000000000004">
      <c r="B187" s="3">
        <v>2031</v>
      </c>
      <c r="C187" s="334">
        <f t="shared" si="53"/>
        <v>447.06271533183491</v>
      </c>
      <c r="D187" s="532">
        <f>'Food System Summary'!H29-'Food System Summary'!I29</f>
        <v>805.66617461315127</v>
      </c>
      <c r="E187" s="338">
        <f t="shared" si="70"/>
        <v>1.8021323339727422</v>
      </c>
      <c r="F187" s="338">
        <f t="shared" si="71"/>
        <v>0.43985791914099881</v>
      </c>
      <c r="G187" s="334">
        <f t="shared" si="55"/>
        <v>20.619432965549354</v>
      </c>
      <c r="H187" s="338">
        <f t="shared" si="72"/>
        <v>4.6122014335828611E-2</v>
      </c>
      <c r="I187" s="334">
        <f t="shared" si="73"/>
        <v>-379.22289224686574</v>
      </c>
      <c r="J187" s="338">
        <f t="shared" si="74"/>
        <v>-0.84825434830857083</v>
      </c>
      <c r="K187" s="338">
        <f t="shared" si="75"/>
        <v>-0.20703884255092414</v>
      </c>
      <c r="N187" s="3">
        <v>2031</v>
      </c>
      <c r="O187" s="1205">
        <f t="shared" si="56"/>
        <v>545.16563800679296</v>
      </c>
      <c r="P187" s="1205">
        <f t="shared" si="57"/>
        <v>14.869390418497201</v>
      </c>
      <c r="Q187" s="1205">
        <f t="shared" si="58"/>
        <v>388.80252503285681</v>
      </c>
      <c r="R187" s="1205">
        <f t="shared" si="76"/>
        <v>156.36311297393615</v>
      </c>
      <c r="S187" s="1206">
        <f>Paper!E133</f>
        <v>541.34905474398454</v>
      </c>
      <c r="T187" s="1205">
        <f t="shared" si="59"/>
        <v>152.54652971112773</v>
      </c>
      <c r="U187" s="1206">
        <f>Paper!I133</f>
        <v>0</v>
      </c>
      <c r="V187" s="1205">
        <f t="shared" si="60"/>
        <v>152.54652971112773</v>
      </c>
      <c r="Y187" s="609">
        <f t="shared" si="77"/>
        <v>2031</v>
      </c>
      <c r="Z187" s="335">
        <f t="shared" si="61"/>
        <v>2675.0918435535782</v>
      </c>
      <c r="AA187" s="335">
        <f t="shared" si="78"/>
        <v>539.71385360612692</v>
      </c>
      <c r="AB187" s="335">
        <f t="shared" si="79"/>
        <v>445.15242220784609</v>
      </c>
      <c r="AC187" s="335">
        <f t="shared" si="80"/>
        <v>457.98214722872513</v>
      </c>
      <c r="AD187" s="335">
        <f t="shared" si="81"/>
        <v>388.80252503285681</v>
      </c>
      <c r="AE187" s="335">
        <f>MIN(Paper!H133,Paper!I133)</f>
        <v>0</v>
      </c>
      <c r="AF187" s="335">
        <f t="shared" si="62"/>
        <v>843.44089547802332</v>
      </c>
      <c r="AI187" s="609">
        <f t="shared" si="63"/>
        <v>2031</v>
      </c>
      <c r="AJ187" s="335">
        <f t="shared" si="82"/>
        <v>3.4426010061060879</v>
      </c>
      <c r="AK187" s="335">
        <f t="shared" si="64"/>
        <v>-1.6204144489674945</v>
      </c>
      <c r="AL187" s="335">
        <f t="shared" si="65"/>
        <v>8.8106566850246537E-2</v>
      </c>
      <c r="AM187" s="335">
        <f t="shared" si="66"/>
        <v>154.82544080345289</v>
      </c>
      <c r="AN187" s="335">
        <f t="shared" si="67"/>
        <v>226.61500670474902</v>
      </c>
      <c r="AO187" s="335">
        <f t="shared" si="83"/>
        <v>152.54652971112773</v>
      </c>
      <c r="AP187" s="335">
        <f t="shared" si="68"/>
        <v>3.8165832628084218</v>
      </c>
      <c r="AS187" s="609">
        <f t="shared" si="69"/>
        <v>2031</v>
      </c>
      <c r="AT187" s="335">
        <f t="shared" si="54"/>
        <v>445.15242220784609</v>
      </c>
      <c r="AU187" s="335">
        <f t="shared" si="54"/>
        <v>457.98214722872513</v>
      </c>
      <c r="AV187" s="335">
        <f t="shared" si="54"/>
        <v>388.80252503285681</v>
      </c>
      <c r="AW187" s="335">
        <f t="shared" si="54"/>
        <v>0</v>
      </c>
      <c r="AX187" s="335">
        <f t="shared" si="54"/>
        <v>843.44089547802332</v>
      </c>
      <c r="AY187" s="335">
        <f t="shared" si="84"/>
        <v>539.71385360612692</v>
      </c>
      <c r="AZ187" s="335">
        <f t="shared" si="85"/>
        <v>0</v>
      </c>
      <c r="BB187" s="533"/>
    </row>
    <row r="188" spans="2:54" ht="14.4" x14ac:dyDescent="0.55000000000000004">
      <c r="B188" s="3">
        <v>2032</v>
      </c>
      <c r="C188" s="334">
        <f t="shared" si="53"/>
        <v>416.07326057030184</v>
      </c>
      <c r="D188" s="532">
        <f>'Food System Summary'!H30-'Food System Summary'!I30</f>
        <v>759.5822728662348</v>
      </c>
      <c r="E188" s="338">
        <f t="shared" si="70"/>
        <v>1.8255974244177413</v>
      </c>
      <c r="F188" s="338">
        <f t="shared" si="71"/>
        <v>0.41805356877088312</v>
      </c>
      <c r="G188" s="334">
        <f t="shared" si="55"/>
        <v>26.574546769717937</v>
      </c>
      <c r="H188" s="338">
        <f t="shared" si="72"/>
        <v>6.3869874101721485E-2</v>
      </c>
      <c r="I188" s="334">
        <f t="shared" si="73"/>
        <v>-370.08355906565089</v>
      </c>
      <c r="J188" s="338">
        <f t="shared" si="74"/>
        <v>-0.88946729851946282</v>
      </c>
      <c r="K188" s="338">
        <f t="shared" si="75"/>
        <v>-0.20368399597718245</v>
      </c>
      <c r="N188" s="3">
        <v>2032</v>
      </c>
      <c r="O188" s="1205">
        <f t="shared" si="56"/>
        <v>558.10617480621875</v>
      </c>
      <c r="P188" s="1205">
        <f t="shared" si="57"/>
        <v>18.363709821840519</v>
      </c>
      <c r="Q188" s="1205">
        <f t="shared" si="58"/>
        <v>397.02641090266178</v>
      </c>
      <c r="R188" s="1205">
        <f t="shared" si="76"/>
        <v>161.07976390355697</v>
      </c>
      <c r="S188" s="1206">
        <f>Paper!E134</f>
        <v>553.43367037320627</v>
      </c>
      <c r="T188" s="1205">
        <f t="shared" si="59"/>
        <v>156.40725947054449</v>
      </c>
      <c r="U188" s="1206">
        <f>Paper!I134</f>
        <v>0</v>
      </c>
      <c r="V188" s="1205">
        <f t="shared" si="60"/>
        <v>156.40725947054449</v>
      </c>
      <c r="Y188" s="609">
        <f t="shared" si="77"/>
        <v>2032</v>
      </c>
      <c r="Z188" s="335">
        <f t="shared" si="61"/>
        <v>2720.1024132340781</v>
      </c>
      <c r="AA188" s="335">
        <f t="shared" si="78"/>
        <v>535.74816352907328</v>
      </c>
      <c r="AB188" s="335">
        <f t="shared" si="79"/>
        <v>412.72072158631033</v>
      </c>
      <c r="AC188" s="335">
        <f t="shared" si="80"/>
        <v>471.45432385836955</v>
      </c>
      <c r="AD188" s="335">
        <f t="shared" si="81"/>
        <v>397.02641090266178</v>
      </c>
      <c r="AE188" s="335">
        <f>MIN(Paper!H134,Paper!I134)</f>
        <v>0</v>
      </c>
      <c r="AF188" s="335">
        <f t="shared" si="62"/>
        <v>903.1527933576632</v>
      </c>
      <c r="AI188" s="609">
        <f t="shared" si="63"/>
        <v>2032</v>
      </c>
      <c r="AJ188" s="335">
        <f t="shared" si="82"/>
        <v>6.1203865344349424</v>
      </c>
      <c r="AK188" s="335">
        <f t="shared" si="64"/>
        <v>-2.9819737932721182</v>
      </c>
      <c r="AL188" s="335">
        <f t="shared" si="65"/>
        <v>0.21412624282865167</v>
      </c>
      <c r="AM188" s="335">
        <f t="shared" si="66"/>
        <v>150.74384353229871</v>
      </c>
      <c r="AN188" s="335">
        <f t="shared" si="67"/>
        <v>220.57201710922607</v>
      </c>
      <c r="AO188" s="335">
        <f t="shared" si="83"/>
        <v>156.40725947054449</v>
      </c>
      <c r="AP188" s="335">
        <f t="shared" si="68"/>
        <v>4.6725044330125343</v>
      </c>
      <c r="AS188" s="609">
        <f t="shared" si="69"/>
        <v>2032</v>
      </c>
      <c r="AT188" s="335">
        <f t="shared" si="54"/>
        <v>412.72072158631033</v>
      </c>
      <c r="AU188" s="335">
        <f t="shared" si="54"/>
        <v>471.45432385836955</v>
      </c>
      <c r="AV188" s="335">
        <f t="shared" si="54"/>
        <v>397.02641090266178</v>
      </c>
      <c r="AW188" s="335">
        <f t="shared" si="54"/>
        <v>0</v>
      </c>
      <c r="AX188" s="335">
        <f t="shared" si="54"/>
        <v>903.1527933576632</v>
      </c>
      <c r="AY188" s="335">
        <f t="shared" si="84"/>
        <v>535.74816352907328</v>
      </c>
      <c r="AZ188" s="335">
        <f t="shared" si="85"/>
        <v>0</v>
      </c>
      <c r="BB188" s="533"/>
    </row>
    <row r="189" spans="2:54" ht="14.4" x14ac:dyDescent="0.55000000000000004">
      <c r="B189" s="3">
        <v>2033</v>
      </c>
      <c r="C189" s="334">
        <f t="shared" si="53"/>
        <v>387.0118109816292</v>
      </c>
      <c r="D189" s="532">
        <f>'Food System Summary'!H31-'Food System Summary'!I31</f>
        <v>714.13913777997197</v>
      </c>
      <c r="E189" s="338">
        <f t="shared" si="70"/>
        <v>1.8452644532181242</v>
      </c>
      <c r="F189" s="338">
        <f t="shared" si="71"/>
        <v>0.39611867999559019</v>
      </c>
      <c r="G189" s="334">
        <f t="shared" si="55"/>
        <v>33.832486929495097</v>
      </c>
      <c r="H189" s="338">
        <f t="shared" si="72"/>
        <v>8.7419778852953586E-2</v>
      </c>
      <c r="I189" s="334">
        <f t="shared" si="73"/>
        <v>-360.95981372783785</v>
      </c>
      <c r="J189" s="338">
        <f t="shared" si="74"/>
        <v>-0.93268423207107753</v>
      </c>
      <c r="K189" s="338">
        <f t="shared" si="75"/>
        <v>-0.20021718091213009</v>
      </c>
      <c r="N189" s="3">
        <v>2033</v>
      </c>
      <c r="O189" s="1205">
        <f t="shared" si="56"/>
        <v>571.25162447536547</v>
      </c>
      <c r="P189" s="1205">
        <f t="shared" si="57"/>
        <v>22.419395653407811</v>
      </c>
      <c r="Q189" s="1205">
        <f t="shared" si="58"/>
        <v>405.73884444790065</v>
      </c>
      <c r="R189" s="1205">
        <f t="shared" si="76"/>
        <v>165.51278002746483</v>
      </c>
      <c r="S189" s="1206">
        <f>Paper!E135</f>
        <v>565.67615347742219</v>
      </c>
      <c r="T189" s="1205">
        <f t="shared" si="59"/>
        <v>159.93730902952154</v>
      </c>
      <c r="U189" s="1206">
        <f>Paper!I135</f>
        <v>0</v>
      </c>
      <c r="V189" s="1205">
        <f t="shared" si="60"/>
        <v>159.93730902952154</v>
      </c>
      <c r="Y189" s="609">
        <f t="shared" si="77"/>
        <v>2033</v>
      </c>
      <c r="Z189" s="335">
        <f t="shared" si="61"/>
        <v>2764.905276871817</v>
      </c>
      <c r="AA189" s="335">
        <f t="shared" si="78"/>
        <v>530.0237153184255</v>
      </c>
      <c r="AB189" s="335">
        <f t="shared" si="79"/>
        <v>382.13210851993972</v>
      </c>
      <c r="AC189" s="335">
        <f t="shared" si="80"/>
        <v>484.94668670341099</v>
      </c>
      <c r="AD189" s="335">
        <f t="shared" si="81"/>
        <v>405.73884444790065</v>
      </c>
      <c r="AE189" s="335">
        <f>MIN(Paper!H135,Paper!I135)</f>
        <v>0</v>
      </c>
      <c r="AF189" s="335">
        <f t="shared" si="62"/>
        <v>962.06392188214033</v>
      </c>
      <c r="AI189" s="609">
        <f t="shared" si="63"/>
        <v>2033</v>
      </c>
      <c r="AJ189" s="335">
        <f t="shared" si="82"/>
        <v>9.0043414948364671</v>
      </c>
      <c r="AK189" s="335">
        <f t="shared" si="64"/>
        <v>-4.5512215432162293</v>
      </c>
      <c r="AL189" s="335">
        <f t="shared" si="65"/>
        <v>0.42658251006910319</v>
      </c>
      <c r="AM189" s="335">
        <f t="shared" si="66"/>
        <v>145.60054915867065</v>
      </c>
      <c r="AN189" s="335">
        <f t="shared" si="67"/>
        <v>214.03068367060047</v>
      </c>
      <c r="AO189" s="335">
        <f t="shared" si="83"/>
        <v>159.93730902952154</v>
      </c>
      <c r="AP189" s="335">
        <f t="shared" si="68"/>
        <v>5.5754709979434551</v>
      </c>
      <c r="AS189" s="609">
        <f t="shared" si="69"/>
        <v>2033</v>
      </c>
      <c r="AT189" s="335">
        <f t="shared" si="54"/>
        <v>382.13210851993972</v>
      </c>
      <c r="AU189" s="335">
        <f t="shared" si="54"/>
        <v>484.94668670341099</v>
      </c>
      <c r="AV189" s="335">
        <f t="shared" si="54"/>
        <v>405.73884444790065</v>
      </c>
      <c r="AW189" s="335">
        <f t="shared" si="54"/>
        <v>0</v>
      </c>
      <c r="AX189" s="335">
        <f t="shared" si="54"/>
        <v>962.06392188214033</v>
      </c>
      <c r="AY189" s="335">
        <f t="shared" si="84"/>
        <v>530.0237153184255</v>
      </c>
      <c r="AZ189" s="335">
        <f t="shared" si="85"/>
        <v>0</v>
      </c>
      <c r="BB189" s="533"/>
    </row>
    <row r="190" spans="2:54" ht="14.4" x14ac:dyDescent="0.55000000000000004">
      <c r="B190" s="3">
        <v>2034</v>
      </c>
      <c r="C190" s="334">
        <f t="shared" si="53"/>
        <v>360.04290158352558</v>
      </c>
      <c r="D190" s="532">
        <f>'Food System Summary'!H32-'Food System Summary'!I32</f>
        <v>669.36057083008154</v>
      </c>
      <c r="E190" s="338">
        <f t="shared" si="70"/>
        <v>1.8591133664519643</v>
      </c>
      <c r="F190" s="338">
        <f t="shared" si="71"/>
        <v>0.3740830207832973</v>
      </c>
      <c r="G190" s="334">
        <f t="shared" si="55"/>
        <v>42.549549610542364</v>
      </c>
      <c r="H190" s="338">
        <f t="shared" si="72"/>
        <v>0.118179109832197</v>
      </c>
      <c r="I190" s="334">
        <f t="shared" si="73"/>
        <v>-351.86721885709835</v>
      </c>
      <c r="J190" s="338">
        <f t="shared" si="74"/>
        <v>-0.97729247628416149</v>
      </c>
      <c r="K190" s="338">
        <f t="shared" si="75"/>
        <v>-0.19664670714238236</v>
      </c>
      <c r="N190" s="3">
        <v>2034</v>
      </c>
      <c r="O190" s="1205">
        <f t="shared" si="56"/>
        <v>584.5992119742981</v>
      </c>
      <c r="P190" s="1205">
        <f t="shared" si="57"/>
        <v>27.056994139028482</v>
      </c>
      <c r="Q190" s="1205">
        <f t="shared" si="58"/>
        <v>414.93982566857346</v>
      </c>
      <c r="R190" s="1205">
        <f t="shared" si="76"/>
        <v>169.65938630572464</v>
      </c>
      <c r="S190" s="1206">
        <f>Paper!E136</f>
        <v>578.04232088820231</v>
      </c>
      <c r="T190" s="1205">
        <f t="shared" si="59"/>
        <v>163.10249521962885</v>
      </c>
      <c r="U190" s="1206">
        <f>Paper!I136</f>
        <v>0</v>
      </c>
      <c r="V190" s="1205">
        <f t="shared" si="60"/>
        <v>163.10249521962885</v>
      </c>
      <c r="Y190" s="609">
        <f t="shared" si="77"/>
        <v>2034</v>
      </c>
      <c r="Z190" s="335">
        <f t="shared" si="61"/>
        <v>2809.5135667565687</v>
      </c>
      <c r="AA190" s="335">
        <f t="shared" si="78"/>
        <v>522.36590592036339</v>
      </c>
      <c r="AB190" s="335">
        <f t="shared" si="79"/>
        <v>353.5698871343094</v>
      </c>
      <c r="AC190" s="335">
        <f t="shared" si="80"/>
        <v>498.46132960576045</v>
      </c>
      <c r="AD190" s="335">
        <f t="shared" si="81"/>
        <v>414.93982566857346</v>
      </c>
      <c r="AE190" s="335">
        <f>MIN(Paper!H136,Paper!I136)</f>
        <v>0</v>
      </c>
      <c r="AF190" s="335">
        <f t="shared" si="62"/>
        <v>1020.1766184275621</v>
      </c>
      <c r="AI190" s="609">
        <f t="shared" si="63"/>
        <v>2034</v>
      </c>
      <c r="AJ190" s="335">
        <f t="shared" si="82"/>
        <v>12.034067683774538</v>
      </c>
      <c r="AK190" s="335">
        <f t="shared" si="64"/>
        <v>-6.3260283200976346</v>
      </c>
      <c r="AL190" s="335">
        <f t="shared" si="65"/>
        <v>0.76497508553931937</v>
      </c>
      <c r="AM190" s="335">
        <f t="shared" si="66"/>
        <v>139.33249310861763</v>
      </c>
      <c r="AN190" s="335">
        <f t="shared" si="67"/>
        <v>206.90101205680475</v>
      </c>
      <c r="AO190" s="335">
        <f t="shared" si="83"/>
        <v>163.10249521962885</v>
      </c>
      <c r="AP190" s="335">
        <f t="shared" si="68"/>
        <v>6.5568910860959591</v>
      </c>
      <c r="AS190" s="609">
        <f t="shared" si="69"/>
        <v>2034</v>
      </c>
      <c r="AT190" s="335">
        <f t="shared" si="54"/>
        <v>353.5698871343094</v>
      </c>
      <c r="AU190" s="335">
        <f t="shared" si="54"/>
        <v>498.46132960576045</v>
      </c>
      <c r="AV190" s="335">
        <f t="shared" si="54"/>
        <v>414.93982566857346</v>
      </c>
      <c r="AW190" s="335">
        <f t="shared" si="54"/>
        <v>0</v>
      </c>
      <c r="AX190" s="335">
        <f t="shared" si="54"/>
        <v>1020.1766184275621</v>
      </c>
      <c r="AY190" s="335">
        <f t="shared" si="84"/>
        <v>522.36590592036339</v>
      </c>
      <c r="AZ190" s="335">
        <f t="shared" si="85"/>
        <v>0</v>
      </c>
      <c r="BB190" s="533"/>
    </row>
    <row r="191" spans="2:54" ht="14.4" x14ac:dyDescent="0.55000000000000004">
      <c r="B191" s="3">
        <v>2035</v>
      </c>
      <c r="C191" s="334">
        <f t="shared" si="53"/>
        <v>335.39578911434018</v>
      </c>
      <c r="D191" s="532">
        <f>'Food System Summary'!H33-'Food System Summary'!I33</f>
        <v>625.2647760236548</v>
      </c>
      <c r="E191" s="338">
        <f t="shared" si="70"/>
        <v>1.8642594699079393</v>
      </c>
      <c r="F191" s="338">
        <f t="shared" si="71"/>
        <v>0.35195007638397308</v>
      </c>
      <c r="G191" s="334">
        <f t="shared" si="55"/>
        <v>52.886329137225339</v>
      </c>
      <c r="H191" s="338">
        <f t="shared" si="72"/>
        <v>0.15768334264684461</v>
      </c>
      <c r="I191" s="334">
        <f t="shared" si="73"/>
        <v>-342.75531604653997</v>
      </c>
      <c r="J191" s="338">
        <f t="shared" si="74"/>
        <v>-1.0219428125547838</v>
      </c>
      <c r="K191" s="338">
        <f t="shared" si="75"/>
        <v>-0.1929306819916381</v>
      </c>
      <c r="N191" s="3">
        <v>2035</v>
      </c>
      <c r="O191" s="1205">
        <f t="shared" si="56"/>
        <v>598.17225787038501</v>
      </c>
      <c r="P191" s="1205">
        <f t="shared" si="57"/>
        <v>32.29275310740929</v>
      </c>
      <c r="Q191" s="1205">
        <f t="shared" si="58"/>
        <v>424.62935456468028</v>
      </c>
      <c r="R191" s="1205">
        <f t="shared" si="76"/>
        <v>173.54290330570473</v>
      </c>
      <c r="S191" s="1206">
        <f>Paper!E137</f>
        <v>590.49284513009445</v>
      </c>
      <c r="T191" s="1205">
        <f t="shared" si="59"/>
        <v>165.86349056541417</v>
      </c>
      <c r="U191" s="1206">
        <f>Paper!I137</f>
        <v>0</v>
      </c>
      <c r="V191" s="1205">
        <f t="shared" si="60"/>
        <v>165.86349056541417</v>
      </c>
      <c r="Y191" s="609">
        <f t="shared" si="77"/>
        <v>2035</v>
      </c>
      <c r="Z191" s="335">
        <f t="shared" si="61"/>
        <v>2854.0638327332344</v>
      </c>
      <c r="AA191" s="335">
        <f t="shared" si="78"/>
        <v>512.64405337815492</v>
      </c>
      <c r="AB191" s="335">
        <f t="shared" si="79"/>
        <v>327.27778617548319</v>
      </c>
      <c r="AC191" s="335">
        <f t="shared" si="80"/>
        <v>512.02116082414466</v>
      </c>
      <c r="AD191" s="335">
        <f t="shared" si="81"/>
        <v>424.62935456468028</v>
      </c>
      <c r="AE191" s="335">
        <f>MIN(Paper!H137,Paper!I137)</f>
        <v>0</v>
      </c>
      <c r="AF191" s="335">
        <f t="shared" si="62"/>
        <v>1077.4914777907713</v>
      </c>
      <c r="AI191" s="609">
        <f t="shared" si="63"/>
        <v>2035</v>
      </c>
      <c r="AJ191" s="335">
        <f t="shared" si="82"/>
        <v>15.134063855504564</v>
      </c>
      <c r="AK191" s="335">
        <f t="shared" si="64"/>
        <v>-8.2961347556635587</v>
      </c>
      <c r="AL191" s="335">
        <f t="shared" si="65"/>
        <v>1.280073839015877</v>
      </c>
      <c r="AM191" s="335">
        <f t="shared" si="66"/>
        <v>131.89297791206474</v>
      </c>
      <c r="AN191" s="335">
        <f t="shared" si="67"/>
        <v>199.09016922152853</v>
      </c>
      <c r="AO191" s="335">
        <f t="shared" si="83"/>
        <v>165.86349056541417</v>
      </c>
      <c r="AP191" s="335">
        <f t="shared" si="68"/>
        <v>7.6794127402906156</v>
      </c>
      <c r="AS191" s="609">
        <f t="shared" si="69"/>
        <v>2035</v>
      </c>
      <c r="AT191" s="335">
        <f t="shared" si="54"/>
        <v>327.27778617548319</v>
      </c>
      <c r="AU191" s="335">
        <f t="shared" si="54"/>
        <v>512.02116082414466</v>
      </c>
      <c r="AV191" s="335">
        <f t="shared" si="54"/>
        <v>424.62935456468028</v>
      </c>
      <c r="AW191" s="335">
        <f t="shared" si="54"/>
        <v>0</v>
      </c>
      <c r="AX191" s="335">
        <f t="shared" si="54"/>
        <v>1077.4914777907713</v>
      </c>
      <c r="AY191" s="335">
        <f t="shared" si="84"/>
        <v>512.64405337815492</v>
      </c>
      <c r="AZ191" s="335">
        <f t="shared" si="85"/>
        <v>0</v>
      </c>
      <c r="BB191" s="533"/>
    </row>
    <row r="192" spans="2:54" ht="14.4" x14ac:dyDescent="0.55000000000000004">
      <c r="B192" s="3">
        <v>2036</v>
      </c>
      <c r="C192" s="334">
        <f t="shared" si="53"/>
        <v>313.05304144496148</v>
      </c>
      <c r="D192" s="532">
        <f>'Food System Summary'!H34-'Food System Summary'!I34</f>
        <v>581.86519356600775</v>
      </c>
      <c r="E192" s="338">
        <f t="shared" si="70"/>
        <v>1.8586792540979249</v>
      </c>
      <c r="F192" s="338">
        <f t="shared" si="71"/>
        <v>0.32982676626129037</v>
      </c>
      <c r="G192" s="334">
        <f t="shared" si="55"/>
        <v>65.007403874598751</v>
      </c>
      <c r="H192" s="338">
        <f t="shared" si="72"/>
        <v>0.20765619645330244</v>
      </c>
      <c r="I192" s="334">
        <f t="shared" si="73"/>
        <v>-333.81955599564503</v>
      </c>
      <c r="J192" s="338">
        <f t="shared" si="74"/>
        <v>-1.0663354505512272</v>
      </c>
      <c r="K192" s="338">
        <f t="shared" si="75"/>
        <v>-0.18922359661015387</v>
      </c>
      <c r="N192" s="3">
        <v>2036</v>
      </c>
      <c r="O192" s="1205">
        <f t="shared" si="56"/>
        <v>611.88253848143188</v>
      </c>
      <c r="P192" s="1205">
        <f t="shared" si="57"/>
        <v>38.13893634656786</v>
      </c>
      <c r="Q192" s="1205">
        <f t="shared" si="58"/>
        <v>434.80743113622106</v>
      </c>
      <c r="R192" s="1205">
        <f t="shared" si="76"/>
        <v>177.07510734521082</v>
      </c>
      <c r="S192" s="1206">
        <f>Paper!E138</f>
        <v>602.98378988232821</v>
      </c>
      <c r="T192" s="1205">
        <f t="shared" si="59"/>
        <v>168.17635874610716</v>
      </c>
      <c r="U192" s="1206">
        <f>Paper!I138</f>
        <v>0</v>
      </c>
      <c r="V192" s="1205">
        <f t="shared" si="60"/>
        <v>168.17635874610716</v>
      </c>
      <c r="Y192" s="609">
        <f t="shared" si="77"/>
        <v>2036</v>
      </c>
      <c r="Z192" s="335">
        <f t="shared" si="61"/>
        <v>2898.1595420928984</v>
      </c>
      <c r="AA192" s="335">
        <f t="shared" si="78"/>
        <v>500.549481379881</v>
      </c>
      <c r="AB192" s="335">
        <f t="shared" si="79"/>
        <v>303.24551960203632</v>
      </c>
      <c r="AC192" s="335">
        <f t="shared" si="80"/>
        <v>525.55152106664127</v>
      </c>
      <c r="AD192" s="335">
        <f t="shared" si="81"/>
        <v>434.80743113622106</v>
      </c>
      <c r="AE192" s="335">
        <f>MIN(Paper!H138,Paper!I138)</f>
        <v>0</v>
      </c>
      <c r="AF192" s="335">
        <f t="shared" si="62"/>
        <v>1134.0055889081186</v>
      </c>
      <c r="AI192" s="609">
        <f t="shared" si="63"/>
        <v>2036</v>
      </c>
      <c r="AJ192" s="335">
        <f t="shared" si="82"/>
        <v>18.22903738355717</v>
      </c>
      <c r="AK192" s="335">
        <f t="shared" si="64"/>
        <v>-10.458108223166619</v>
      </c>
      <c r="AL192" s="335">
        <f t="shared" si="65"/>
        <v>2.0365926825345184</v>
      </c>
      <c r="AM192" s="335">
        <f t="shared" si="66"/>
        <v>123.25363693194592</v>
      </c>
      <c r="AN192" s="335">
        <f t="shared" si="67"/>
        <v>190.41321525979913</v>
      </c>
      <c r="AO192" s="335">
        <f t="shared" si="83"/>
        <v>168.17635874610716</v>
      </c>
      <c r="AP192" s="335">
        <f t="shared" si="68"/>
        <v>8.8987485991037261</v>
      </c>
      <c r="AS192" s="609">
        <f t="shared" si="69"/>
        <v>2036</v>
      </c>
      <c r="AT192" s="335">
        <f t="shared" si="54"/>
        <v>303.24551960203632</v>
      </c>
      <c r="AU192" s="335">
        <f t="shared" si="54"/>
        <v>525.55152106664127</v>
      </c>
      <c r="AV192" s="335">
        <f t="shared" si="54"/>
        <v>434.80743113622106</v>
      </c>
      <c r="AW192" s="335">
        <f t="shared" si="54"/>
        <v>0</v>
      </c>
      <c r="AX192" s="335">
        <f t="shared" si="54"/>
        <v>1134.0055889081186</v>
      </c>
      <c r="AY192" s="335">
        <f t="shared" si="84"/>
        <v>500.549481379881</v>
      </c>
      <c r="AZ192" s="335">
        <f t="shared" si="85"/>
        <v>0</v>
      </c>
      <c r="BB192" s="533"/>
    </row>
    <row r="193" spans="2:54" ht="14.4" x14ac:dyDescent="0.55000000000000004">
      <c r="B193" s="3">
        <v>2037</v>
      </c>
      <c r="C193" s="334">
        <f t="shared" si="53"/>
        <v>293.40262443935063</v>
      </c>
      <c r="D193" s="532">
        <f>'Food System Summary'!H35-'Food System Summary'!I35</f>
        <v>539.17048441060638</v>
      </c>
      <c r="E193" s="338">
        <f t="shared" si="70"/>
        <v>1.8376471084431574</v>
      </c>
      <c r="F193" s="338">
        <f t="shared" si="71"/>
        <v>0.30765393503023408</v>
      </c>
      <c r="G193" s="334">
        <f t="shared" si="55"/>
        <v>79.081038846396538</v>
      </c>
      <c r="H193" s="338">
        <f t="shared" si="72"/>
        <v>0.26953078213771536</v>
      </c>
      <c r="I193" s="334">
        <f t="shared" si="73"/>
        <v>-324.8488988176523</v>
      </c>
      <c r="J193" s="338">
        <f t="shared" si="74"/>
        <v>-1.1071778905808729</v>
      </c>
      <c r="K193" s="338">
        <f t="shared" si="75"/>
        <v>-0.18536074377428047</v>
      </c>
      <c r="N193" s="3">
        <v>2037</v>
      </c>
      <c r="O193" s="1205">
        <f t="shared" si="56"/>
        <v>625.81532368817363</v>
      </c>
      <c r="P193" s="1205">
        <f t="shared" si="57"/>
        <v>44.604121164656547</v>
      </c>
      <c r="Q193" s="1205">
        <f t="shared" si="58"/>
        <v>445.47405538319572</v>
      </c>
      <c r="R193" s="1205">
        <f t="shared" si="76"/>
        <v>180.34126830497792</v>
      </c>
      <c r="S193" s="1206">
        <f>Paper!E139</f>
        <v>615.46723432447584</v>
      </c>
      <c r="T193" s="1205">
        <f t="shared" si="59"/>
        <v>169.99317894128012</v>
      </c>
      <c r="U193" s="1206">
        <f>Paper!I139</f>
        <v>0</v>
      </c>
      <c r="V193" s="1205">
        <f t="shared" si="60"/>
        <v>169.99317894128012</v>
      </c>
      <c r="Y193" s="609">
        <f t="shared" si="77"/>
        <v>2037</v>
      </c>
      <c r="Z193" s="335">
        <f t="shared" si="61"/>
        <v>2942.2306487243113</v>
      </c>
      <c r="AA193" s="335">
        <f t="shared" si="78"/>
        <v>486.06573425321631</v>
      </c>
      <c r="AB193" s="335">
        <f t="shared" si="79"/>
        <v>281.86040212859189</v>
      </c>
      <c r="AC193" s="335">
        <f t="shared" si="80"/>
        <v>539.12244168553343</v>
      </c>
      <c r="AD193" s="335">
        <f t="shared" si="81"/>
        <v>445.47405538319572</v>
      </c>
      <c r="AE193" s="335">
        <f>MIN(Paper!H139,Paper!I139)</f>
        <v>0</v>
      </c>
      <c r="AF193" s="335">
        <f t="shared" si="62"/>
        <v>1189.708015273774</v>
      </c>
      <c r="AI193" s="609">
        <f t="shared" si="63"/>
        <v>2037</v>
      </c>
      <c r="AJ193" s="335">
        <f t="shared" si="82"/>
        <v>21.21053145437395</v>
      </c>
      <c r="AK193" s="335">
        <f t="shared" si="64"/>
        <v>-12.779293350641353</v>
      </c>
      <c r="AL193" s="335">
        <f t="shared" si="65"/>
        <v>3.1109842070261919</v>
      </c>
      <c r="AM193" s="335">
        <f t="shared" si="66"/>
        <v>113.41622666501139</v>
      </c>
      <c r="AN193" s="335">
        <f t="shared" si="67"/>
        <v>180.76601697246826</v>
      </c>
      <c r="AO193" s="335">
        <f t="shared" si="83"/>
        <v>169.99317894128012</v>
      </c>
      <c r="AP193" s="335">
        <f t="shared" si="68"/>
        <v>10.348089363697738</v>
      </c>
      <c r="AS193" s="609">
        <f t="shared" si="69"/>
        <v>2037</v>
      </c>
      <c r="AT193" s="335">
        <f t="shared" si="54"/>
        <v>281.86040212859189</v>
      </c>
      <c r="AU193" s="335">
        <f t="shared" si="54"/>
        <v>539.12244168553343</v>
      </c>
      <c r="AV193" s="335">
        <f t="shared" si="54"/>
        <v>445.47405538319572</v>
      </c>
      <c r="AW193" s="335">
        <f t="shared" si="54"/>
        <v>0</v>
      </c>
      <c r="AX193" s="335">
        <f t="shared" si="54"/>
        <v>1189.708015273774</v>
      </c>
      <c r="AY193" s="335">
        <f t="shared" si="84"/>
        <v>486.06573425321631</v>
      </c>
      <c r="AZ193" s="335">
        <f t="shared" si="85"/>
        <v>0</v>
      </c>
      <c r="BB193" s="533"/>
    </row>
    <row r="194" spans="2:54" ht="14.4" x14ac:dyDescent="0.55000000000000004">
      <c r="B194" s="3">
        <v>2038</v>
      </c>
      <c r="C194" s="334">
        <f t="shared" si="53"/>
        <v>276.58883246068456</v>
      </c>
      <c r="D194" s="532">
        <f>'Food System Summary'!H36-'Food System Summary'!I36</f>
        <v>497.18744863654683</v>
      </c>
      <c r="E194" s="338">
        <f t="shared" si="70"/>
        <v>1.7975687746077711</v>
      </c>
      <c r="F194" s="338">
        <f t="shared" si="71"/>
        <v>0.28547849297220174</v>
      </c>
      <c r="G194" s="334">
        <f t="shared" si="55"/>
        <v>95.278904056693477</v>
      </c>
      <c r="H194" s="338">
        <f t="shared" si="72"/>
        <v>0.34447849253001495</v>
      </c>
      <c r="I194" s="334">
        <f t="shared" si="73"/>
        <v>-315.87752023255575</v>
      </c>
      <c r="J194" s="338">
        <f t="shared" si="74"/>
        <v>-1.1420472671377859</v>
      </c>
      <c r="K194" s="338">
        <f t="shared" si="75"/>
        <v>-0.18137271704480751</v>
      </c>
      <c r="N194" s="3">
        <v>2038</v>
      </c>
      <c r="O194" s="1205">
        <f t="shared" si="56"/>
        <v>639.94455473479502</v>
      </c>
      <c r="P194" s="1205">
        <f t="shared" si="57"/>
        <v>51.693479770277577</v>
      </c>
      <c r="Q194" s="1205">
        <f t="shared" si="58"/>
        <v>456.62922730560439</v>
      </c>
      <c r="R194" s="1205">
        <f t="shared" si="76"/>
        <v>183.31532742919063</v>
      </c>
      <c r="S194" s="1206">
        <f>Paper!E140</f>
        <v>627.89500953747279</v>
      </c>
      <c r="T194" s="1205">
        <f t="shared" si="59"/>
        <v>171.2657822318684</v>
      </c>
      <c r="U194" s="1206">
        <f>Paper!I140</f>
        <v>0</v>
      </c>
      <c r="V194" s="1205">
        <f t="shared" si="60"/>
        <v>171.2657822318684</v>
      </c>
      <c r="Y194" s="609">
        <f t="shared" si="77"/>
        <v>2038</v>
      </c>
      <c r="Z194" s="335">
        <f t="shared" si="61"/>
        <v>2986.1741721298445</v>
      </c>
      <c r="AA194" s="335">
        <f t="shared" si="78"/>
        <v>468.99730467958506</v>
      </c>
      <c r="AB194" s="335">
        <f t="shared" si="79"/>
        <v>263.26096684835181</v>
      </c>
      <c r="AC194" s="335">
        <f t="shared" si="80"/>
        <v>552.70586415566333</v>
      </c>
      <c r="AD194" s="335">
        <f t="shared" si="81"/>
        <v>456.62922730560439</v>
      </c>
      <c r="AE194" s="335">
        <f>MIN(Paper!H140,Paper!I140)</f>
        <v>0</v>
      </c>
      <c r="AF194" s="335">
        <f t="shared" si="62"/>
        <v>1244.5808091406398</v>
      </c>
      <c r="AI194" s="609">
        <f t="shared" si="63"/>
        <v>2038</v>
      </c>
      <c r="AJ194" s="335">
        <f t="shared" si="82"/>
        <v>23.957755056898009</v>
      </c>
      <c r="AK194" s="335">
        <f t="shared" si="64"/>
        <v>-15.221052499344296</v>
      </c>
      <c r="AL194" s="335">
        <f t="shared" si="65"/>
        <v>4.5911630547790026</v>
      </c>
      <c r="AM194" s="335">
        <f t="shared" si="66"/>
        <v>102.41329914706317</v>
      </c>
      <c r="AN194" s="335">
        <f t="shared" si="67"/>
        <v>169.94081249099872</v>
      </c>
      <c r="AO194" s="335">
        <f t="shared" si="83"/>
        <v>171.2657822318684</v>
      </c>
      <c r="AP194" s="335">
        <f t="shared" si="68"/>
        <v>12.049545197322061</v>
      </c>
      <c r="AS194" s="609">
        <f t="shared" si="69"/>
        <v>2038</v>
      </c>
      <c r="AT194" s="335">
        <f t="shared" si="54"/>
        <v>263.26096684835181</v>
      </c>
      <c r="AU194" s="335">
        <f t="shared" si="54"/>
        <v>552.70586415566333</v>
      </c>
      <c r="AV194" s="335">
        <f t="shared" si="54"/>
        <v>456.62922730560439</v>
      </c>
      <c r="AW194" s="335">
        <f t="shared" si="54"/>
        <v>0</v>
      </c>
      <c r="AX194" s="335">
        <f t="shared" si="54"/>
        <v>1244.5808091406398</v>
      </c>
      <c r="AY194" s="335">
        <f t="shared" si="84"/>
        <v>468.99730467958506</v>
      </c>
      <c r="AZ194" s="335">
        <f t="shared" si="85"/>
        <v>0</v>
      </c>
      <c r="BB194" s="533"/>
    </row>
    <row r="195" spans="2:54" ht="14.4" x14ac:dyDescent="0.55000000000000004">
      <c r="B195" s="3">
        <v>2039</v>
      </c>
      <c r="C195" s="334">
        <f t="shared" si="53"/>
        <v>262.82479482669731</v>
      </c>
      <c r="D195" s="532">
        <f>'Food System Summary'!H37-'Food System Summary'!I37</f>
        <v>455.92231368781813</v>
      </c>
      <c r="E195" s="338">
        <f t="shared" si="70"/>
        <v>1.7347005406717673</v>
      </c>
      <c r="F195" s="338">
        <f t="shared" si="71"/>
        <v>0.26332405823378596</v>
      </c>
      <c r="G195" s="334">
        <f t="shared" si="55"/>
        <v>113.77580834661485</v>
      </c>
      <c r="H195" s="338">
        <f t="shared" si="72"/>
        <v>0.4328960226969335</v>
      </c>
      <c r="I195" s="334">
        <f t="shared" si="73"/>
        <v>-306.87332720773566</v>
      </c>
      <c r="J195" s="338">
        <f t="shared" si="74"/>
        <v>-1.1675965633687007</v>
      </c>
      <c r="K195" s="338">
        <f t="shared" si="75"/>
        <v>-0.17723881340753192</v>
      </c>
      <c r="N195" s="3">
        <v>2039</v>
      </c>
      <c r="O195" s="1205">
        <f t="shared" si="56"/>
        <v>654.27034133774919</v>
      </c>
      <c r="P195" s="1205">
        <f t="shared" si="57"/>
        <v>59.409045534982667</v>
      </c>
      <c r="Q195" s="1205">
        <f t="shared" si="58"/>
        <v>468.27294690344701</v>
      </c>
      <c r="R195" s="1205">
        <f t="shared" si="76"/>
        <v>185.99739443430218</v>
      </c>
      <c r="S195" s="1206">
        <f>Paper!E141</f>
        <v>640.22067145497829</v>
      </c>
      <c r="T195" s="1205">
        <f t="shared" si="59"/>
        <v>171.94772455153128</v>
      </c>
      <c r="U195" s="1206">
        <f>Paper!I141</f>
        <v>0</v>
      </c>
      <c r="V195" s="1205">
        <f t="shared" si="60"/>
        <v>171.94772455153128</v>
      </c>
      <c r="Y195" s="609">
        <f t="shared" si="77"/>
        <v>2039</v>
      </c>
      <c r="Z195" s="335">
        <f t="shared" si="61"/>
        <v>3030.0104932724716</v>
      </c>
      <c r="AA195" s="335">
        <f t="shared" si="78"/>
        <v>449.19515381288608</v>
      </c>
      <c r="AB195" s="335">
        <f t="shared" si="79"/>
        <v>247.64994023604447</v>
      </c>
      <c r="AC195" s="335">
        <f t="shared" si="80"/>
        <v>566.29350095481277</v>
      </c>
      <c r="AD195" s="335">
        <f t="shared" si="81"/>
        <v>468.27294690344701</v>
      </c>
      <c r="AE195" s="335">
        <f>MIN(Paper!H141,Paper!I141)</f>
        <v>0</v>
      </c>
      <c r="AF195" s="335">
        <f t="shared" si="62"/>
        <v>1298.5989513652812</v>
      </c>
      <c r="AI195" s="609">
        <f t="shared" si="63"/>
        <v>2039</v>
      </c>
      <c r="AJ195" s="335">
        <f t="shared" si="82"/>
        <v>26.323828463020959</v>
      </c>
      <c r="AK195" s="335">
        <f t="shared" si="64"/>
        <v>-17.718108069666016</v>
      </c>
      <c r="AL195" s="335">
        <f t="shared" si="65"/>
        <v>6.5691341972979131</v>
      </c>
      <c r="AM195" s="335">
        <f t="shared" si="66"/>
        <v>90.319876663460832</v>
      </c>
      <c r="AN195" s="335">
        <f t="shared" si="67"/>
        <v>157.70302812447028</v>
      </c>
      <c r="AO195" s="335">
        <f t="shared" si="83"/>
        <v>171.94772455153128</v>
      </c>
      <c r="AP195" s="335">
        <f t="shared" si="68"/>
        <v>14.049669882770843</v>
      </c>
      <c r="AS195" s="609">
        <f t="shared" si="69"/>
        <v>2039</v>
      </c>
      <c r="AT195" s="335">
        <f t="shared" si="54"/>
        <v>247.64994023604447</v>
      </c>
      <c r="AU195" s="335">
        <f t="shared" si="54"/>
        <v>566.29350095481277</v>
      </c>
      <c r="AV195" s="335">
        <f t="shared" si="54"/>
        <v>468.27294690344701</v>
      </c>
      <c r="AW195" s="335">
        <f t="shared" si="54"/>
        <v>0</v>
      </c>
      <c r="AX195" s="335">
        <f t="shared" si="54"/>
        <v>1298.5989513652812</v>
      </c>
      <c r="AY195" s="335">
        <f t="shared" si="84"/>
        <v>449.19515381288608</v>
      </c>
      <c r="AZ195" s="335">
        <f t="shared" si="85"/>
        <v>0</v>
      </c>
      <c r="BB195" s="533"/>
    </row>
    <row r="196" spans="2:54" ht="14.4" x14ac:dyDescent="0.55000000000000004">
      <c r="B196" s="3">
        <v>2040</v>
      </c>
      <c r="C196" s="334">
        <f t="shared" si="53"/>
        <v>250.65679730723716</v>
      </c>
      <c r="D196" s="532">
        <f>'Food System Summary'!H38-'Food System Summary'!I38</f>
        <v>415.3839078210267</v>
      </c>
      <c r="E196" s="338">
        <f t="shared" si="70"/>
        <v>1.6571819008438013</v>
      </c>
      <c r="F196" s="338">
        <f t="shared" si="71"/>
        <v>0.241708795267633</v>
      </c>
      <c r="G196" s="334">
        <f t="shared" si="55"/>
        <v>134.7494477190123</v>
      </c>
      <c r="H196" s="338">
        <f t="shared" si="72"/>
        <v>0.53758545216647791</v>
      </c>
      <c r="I196" s="334">
        <f t="shared" si="73"/>
        <v>-299.47655823280184</v>
      </c>
      <c r="J196" s="338">
        <f t="shared" si="74"/>
        <v>-1.1947673530102794</v>
      </c>
      <c r="K196" s="338">
        <f t="shared" si="75"/>
        <v>-0.17426317374946582</v>
      </c>
      <c r="N196" s="3">
        <v>2040</v>
      </c>
      <c r="O196" s="1205">
        <f t="shared" si="56"/>
        <v>668.0333732780523</v>
      </c>
      <c r="P196" s="1205">
        <f t="shared" si="57"/>
        <v>67.749964608992556</v>
      </c>
      <c r="Q196" s="1205">
        <f t="shared" si="58"/>
        <v>480.40521417672363</v>
      </c>
      <c r="R196" s="1205">
        <f t="shared" si="76"/>
        <v>187.62815910132866</v>
      </c>
      <c r="S196" s="1206">
        <f>Paper!E142</f>
        <v>652.40480941635178</v>
      </c>
      <c r="T196" s="1205">
        <f t="shared" si="59"/>
        <v>171.99959523962815</v>
      </c>
      <c r="U196" s="1206">
        <f>Paper!I142</f>
        <v>0</v>
      </c>
      <c r="V196" s="1205">
        <f t="shared" si="60"/>
        <v>171.99959523962815</v>
      </c>
      <c r="Y196" s="609">
        <f t="shared" si="77"/>
        <v>2040</v>
      </c>
      <c r="Z196" s="335">
        <f t="shared" si="61"/>
        <v>3070.2682565731338</v>
      </c>
      <c r="AA196" s="335">
        <f t="shared" si="78"/>
        <v>425.33906842728908</v>
      </c>
      <c r="AB196" s="335">
        <f t="shared" si="79"/>
        <v>233.56658906298981</v>
      </c>
      <c r="AC196" s="335">
        <f t="shared" si="80"/>
        <v>579.21950850013729</v>
      </c>
      <c r="AD196" s="335">
        <f t="shared" si="81"/>
        <v>480.40521417672363</v>
      </c>
      <c r="AE196" s="335">
        <f>MIN(Paper!H142,Paper!I142)</f>
        <v>0</v>
      </c>
      <c r="AF196" s="335">
        <f t="shared" si="62"/>
        <v>1351.737876405994</v>
      </c>
      <c r="AI196" s="609">
        <f t="shared" si="63"/>
        <v>2040</v>
      </c>
      <c r="AJ196" s="335">
        <f t="shared" si="82"/>
        <v>28.32158378401823</v>
      </c>
      <c r="AK196" s="335">
        <f t="shared" si="64"/>
        <v>-20.41882286637383</v>
      </c>
      <c r="AL196" s="335">
        <f t="shared" si="65"/>
        <v>9.1874473266029923</v>
      </c>
      <c r="AM196" s="335">
        <f t="shared" si="66"/>
        <v>77.226258305737403</v>
      </c>
      <c r="AN196" s="335">
        <f t="shared" si="67"/>
        <v>143.39444277597568</v>
      </c>
      <c r="AO196" s="335">
        <f t="shared" si="83"/>
        <v>171.99959523962815</v>
      </c>
      <c r="AP196" s="335">
        <f t="shared" si="68"/>
        <v>15.628563861700457</v>
      </c>
      <c r="AS196" s="609">
        <f t="shared" si="69"/>
        <v>2040</v>
      </c>
      <c r="AT196" s="335">
        <f t="shared" si="54"/>
        <v>233.56658906298981</v>
      </c>
      <c r="AU196" s="335">
        <f t="shared" si="54"/>
        <v>579.21950850013729</v>
      </c>
      <c r="AV196" s="335">
        <f t="shared" si="54"/>
        <v>480.40521417672363</v>
      </c>
      <c r="AW196" s="335">
        <f t="shared" si="54"/>
        <v>0</v>
      </c>
      <c r="AX196" s="335">
        <f t="shared" si="54"/>
        <v>1351.737876405994</v>
      </c>
      <c r="AY196" s="335">
        <f t="shared" si="84"/>
        <v>425.33906842728908</v>
      </c>
      <c r="AZ196" s="335">
        <f t="shared" si="85"/>
        <v>0</v>
      </c>
      <c r="BB196" s="533"/>
    </row>
    <row r="197" spans="2:54" ht="14.4" x14ac:dyDescent="0.55000000000000004">
      <c r="B197" s="3">
        <v>2041</v>
      </c>
      <c r="C197" s="334">
        <f t="shared" si="53"/>
        <v>245.24510710861918</v>
      </c>
      <c r="D197" s="532">
        <f>'Food System Summary'!H39-'Food System Summary'!I39</f>
        <v>375.58490070389416</v>
      </c>
      <c r="E197" s="338">
        <f t="shared" si="70"/>
        <v>1.5314674577281064</v>
      </c>
      <c r="F197" s="338">
        <f t="shared" si="71"/>
        <v>0.21921176125847597</v>
      </c>
      <c r="G197" s="334">
        <f t="shared" si="55"/>
        <v>158.38016773323224</v>
      </c>
      <c r="H197" s="338">
        <f t="shared" si="72"/>
        <v>0.64580357830782564</v>
      </c>
      <c r="I197" s="334">
        <f t="shared" si="73"/>
        <v>-288.71996132850722</v>
      </c>
      <c r="J197" s="338">
        <f t="shared" si="74"/>
        <v>-1.177271036035932</v>
      </c>
      <c r="K197" s="338">
        <f t="shared" si="75"/>
        <v>-0.16851266149061386</v>
      </c>
      <c r="N197" s="3">
        <v>2041</v>
      </c>
      <c r="O197" s="1205">
        <f t="shared" si="56"/>
        <v>683.4874547168049</v>
      </c>
      <c r="P197" s="1205">
        <f t="shared" si="57"/>
        <v>76.712733705242414</v>
      </c>
      <c r="Q197" s="1205">
        <f t="shared" si="58"/>
        <v>493.02602912543415</v>
      </c>
      <c r="R197" s="1205">
        <f t="shared" si="76"/>
        <v>190.46142559137076</v>
      </c>
      <c r="S197" s="1206">
        <f>Paper!E143</f>
        <v>664.41938351539886</v>
      </c>
      <c r="T197" s="1205">
        <f t="shared" si="59"/>
        <v>171.39335438996471</v>
      </c>
      <c r="U197" s="1206">
        <f>Paper!I143</f>
        <v>0</v>
      </c>
      <c r="V197" s="1205">
        <f t="shared" si="60"/>
        <v>171.39335438996471</v>
      </c>
      <c r="Y197" s="609">
        <f t="shared" si="77"/>
        <v>2041</v>
      </c>
      <c r="Z197" s="335">
        <f t="shared" si="61"/>
        <v>3117.3237746717477</v>
      </c>
      <c r="AA197" s="335">
        <f t="shared" si="78"/>
        <v>400.7166165363613</v>
      </c>
      <c r="AB197" s="335">
        <f t="shared" si="79"/>
        <v>226.1662288843844</v>
      </c>
      <c r="AC197" s="335">
        <f t="shared" si="80"/>
        <v>593.43396138421622</v>
      </c>
      <c r="AD197" s="335">
        <f t="shared" si="81"/>
        <v>493.02602912543415</v>
      </c>
      <c r="AE197" s="335">
        <f>MIN(Paper!H143,Paper!I143)</f>
        <v>0</v>
      </c>
      <c r="AF197" s="335">
        <f t="shared" si="62"/>
        <v>1403.9809387413516</v>
      </c>
      <c r="AI197" s="609">
        <f t="shared" si="63"/>
        <v>2041</v>
      </c>
      <c r="AJ197" s="335">
        <f t="shared" si="82"/>
        <v>29.218681130372943</v>
      </c>
      <c r="AK197" s="335">
        <f t="shared" si="64"/>
        <v>-22.46101073344829</v>
      </c>
      <c r="AL197" s="335">
        <f t="shared" si="65"/>
        <v>12.321207827310076</v>
      </c>
      <c r="AM197" s="335">
        <f t="shared" si="66"/>
        <v>63.438484312702485</v>
      </c>
      <c r="AN197" s="335">
        <f t="shared" si="67"/>
        <v>127.73782840805347</v>
      </c>
      <c r="AO197" s="335">
        <f t="shared" si="83"/>
        <v>171.39335438996471</v>
      </c>
      <c r="AP197" s="335">
        <f t="shared" si="68"/>
        <v>19.068071201405871</v>
      </c>
      <c r="AS197" s="609">
        <f t="shared" si="69"/>
        <v>2041</v>
      </c>
      <c r="AT197" s="335">
        <f t="shared" si="54"/>
        <v>226.1662288843844</v>
      </c>
      <c r="AU197" s="335">
        <f t="shared" si="54"/>
        <v>593.43396138421622</v>
      </c>
      <c r="AV197" s="335">
        <f t="shared" si="54"/>
        <v>493.02602912543415</v>
      </c>
      <c r="AW197" s="335">
        <f t="shared" si="54"/>
        <v>0</v>
      </c>
      <c r="AX197" s="335">
        <f t="shared" si="54"/>
        <v>1403.9809387413516</v>
      </c>
      <c r="AY197" s="335">
        <f t="shared" si="84"/>
        <v>400.7166165363613</v>
      </c>
      <c r="AZ197" s="335">
        <f t="shared" si="85"/>
        <v>0</v>
      </c>
      <c r="BB197" s="533"/>
    </row>
    <row r="198" spans="2:54" ht="14.4" x14ac:dyDescent="0.55000000000000004">
      <c r="B198" s="3">
        <v>2042</v>
      </c>
      <c r="C198" s="334">
        <f t="shared" si="53"/>
        <v>241.29821692016358</v>
      </c>
      <c r="D198" s="532">
        <f>'Food System Summary'!H40-'Food System Summary'!I40</f>
        <v>336.53870731227471</v>
      </c>
      <c r="E198" s="338">
        <f t="shared" si="70"/>
        <v>1.3947003488369025</v>
      </c>
      <c r="F198" s="338">
        <f t="shared" si="71"/>
        <v>0.19745569751884376</v>
      </c>
      <c r="G198" s="334">
        <f t="shared" si="55"/>
        <v>184.85073913983879</v>
      </c>
      <c r="H198" s="338">
        <f t="shared" si="72"/>
        <v>0.76606757190003971</v>
      </c>
      <c r="I198" s="334">
        <f t="shared" si="73"/>
        <v>-280.09122953194992</v>
      </c>
      <c r="J198" s="338">
        <f t="shared" si="74"/>
        <v>-1.1607679207369421</v>
      </c>
      <c r="K198" s="338">
        <f t="shared" si="75"/>
        <v>-0.16433654701366518</v>
      </c>
      <c r="N198" s="3">
        <v>2042</v>
      </c>
      <c r="O198" s="1205">
        <f t="shared" si="56"/>
        <v>698.12564563149988</v>
      </c>
      <c r="P198" s="1205">
        <f t="shared" si="57"/>
        <v>86.291424583868405</v>
      </c>
      <c r="Q198" s="1205">
        <f t="shared" si="58"/>
        <v>506.13539174957867</v>
      </c>
      <c r="R198" s="1205">
        <f t="shared" si="76"/>
        <v>191.99025388192121</v>
      </c>
      <c r="S198" s="1206">
        <f>Paper!E144</f>
        <v>676.24735064553647</v>
      </c>
      <c r="T198" s="1205">
        <f t="shared" si="59"/>
        <v>170.1119588959578</v>
      </c>
      <c r="U198" s="1206">
        <f>Paper!I144</f>
        <v>0</v>
      </c>
      <c r="V198" s="1205">
        <f t="shared" si="60"/>
        <v>170.1119588959578</v>
      </c>
      <c r="Y198" s="609">
        <f t="shared" si="77"/>
        <v>2042</v>
      </c>
      <c r="Z198" s="335">
        <f t="shared" si="61"/>
        <v>3159.6894567667218</v>
      </c>
      <c r="AA198" s="335">
        <f t="shared" si="78"/>
        <v>371.31635263125139</v>
      </c>
      <c r="AB198" s="335">
        <f t="shared" si="79"/>
        <v>220.16366794479393</v>
      </c>
      <c r="AC198" s="335">
        <f t="shared" si="80"/>
        <v>606.76036179027813</v>
      </c>
      <c r="AD198" s="335">
        <f t="shared" si="81"/>
        <v>506.13539174957867</v>
      </c>
      <c r="AE198" s="335">
        <f>MIN(Paper!H144,Paper!I144)</f>
        <v>0</v>
      </c>
      <c r="AF198" s="335">
        <f t="shared" si="62"/>
        <v>1455.3136826508198</v>
      </c>
      <c r="AI198" s="609">
        <f t="shared" si="63"/>
        <v>2042</v>
      </c>
      <c r="AJ198" s="335">
        <f t="shared" si="82"/>
        <v>29.476362828458662</v>
      </c>
      <c r="AK198" s="335">
        <f t="shared" si="64"/>
        <v>-24.532306469852927</v>
      </c>
      <c r="AL198" s="335">
        <f t="shared" si="65"/>
        <v>16.190492616763891</v>
      </c>
      <c r="AM198" s="335">
        <f t="shared" si="66"/>
        <v>49.120870594503252</v>
      </c>
      <c r="AN198" s="335">
        <f t="shared" si="67"/>
        <v>109.0706791794571</v>
      </c>
      <c r="AO198" s="335">
        <f t="shared" si="83"/>
        <v>170.1119588959578</v>
      </c>
      <c r="AP198" s="335">
        <f t="shared" si="68"/>
        <v>21.878294985963635</v>
      </c>
      <c r="AS198" s="609">
        <f t="shared" si="69"/>
        <v>2042</v>
      </c>
      <c r="AT198" s="335">
        <f t="shared" si="54"/>
        <v>220.16366794479393</v>
      </c>
      <c r="AU198" s="335">
        <f t="shared" si="54"/>
        <v>606.76036179027813</v>
      </c>
      <c r="AV198" s="335">
        <f t="shared" si="54"/>
        <v>506.13539174957867</v>
      </c>
      <c r="AW198" s="335">
        <f t="shared" si="54"/>
        <v>0</v>
      </c>
      <c r="AX198" s="335">
        <f t="shared" si="54"/>
        <v>1455.3136826508198</v>
      </c>
      <c r="AY198" s="335">
        <f t="shared" si="84"/>
        <v>371.31635263125139</v>
      </c>
      <c r="AZ198" s="335">
        <f t="shared" si="85"/>
        <v>0</v>
      </c>
      <c r="BB198" s="533"/>
    </row>
    <row r="199" spans="2:54" ht="14.4" x14ac:dyDescent="0.55000000000000004">
      <c r="B199" s="3">
        <v>2043</v>
      </c>
      <c r="C199" s="334">
        <f t="shared" si="53"/>
        <v>241.2585950240308</v>
      </c>
      <c r="D199" s="532">
        <f>'Food System Summary'!H41-'Food System Summary'!I41</f>
        <v>298.25716285494718</v>
      </c>
      <c r="E199" s="338">
        <f t="shared" si="70"/>
        <v>1.236255076529974</v>
      </c>
      <c r="F199" s="338">
        <f t="shared" si="71"/>
        <v>0.17582589813697416</v>
      </c>
      <c r="G199" s="334">
        <f t="shared" si="55"/>
        <v>214.34614535599042</v>
      </c>
      <c r="H199" s="338">
        <f t="shared" si="72"/>
        <v>0.88844977868929498</v>
      </c>
      <c r="I199" s="334">
        <f t="shared" si="73"/>
        <v>-271.3447131869068</v>
      </c>
      <c r="J199" s="338">
        <f t="shared" si="74"/>
        <v>-1.1247048552192689</v>
      </c>
      <c r="K199" s="338">
        <f t="shared" si="75"/>
        <v>-0.15996071123364872</v>
      </c>
      <c r="N199" s="3">
        <v>2043</v>
      </c>
      <c r="O199" s="1205">
        <f t="shared" si="56"/>
        <v>712.96080417938379</v>
      </c>
      <c r="P199" s="1205">
        <f t="shared" si="57"/>
        <v>96.477895503947252</v>
      </c>
      <c r="Q199" s="1205">
        <f t="shared" si="58"/>
        <v>519.73330204915703</v>
      </c>
      <c r="R199" s="1205">
        <f t="shared" si="76"/>
        <v>193.22750213022675</v>
      </c>
      <c r="S199" s="1206">
        <f>Paper!E145</f>
        <v>687.88010807954925</v>
      </c>
      <c r="T199" s="1205">
        <f t="shared" si="59"/>
        <v>168.14680603039221</v>
      </c>
      <c r="U199" s="1206">
        <f>Paper!I145</f>
        <v>0</v>
      </c>
      <c r="V199" s="1205">
        <f t="shared" si="60"/>
        <v>168.14680603039221</v>
      </c>
      <c r="Y199" s="609">
        <f t="shared" si="77"/>
        <v>2043</v>
      </c>
      <c r="Z199" s="335">
        <f t="shared" si="61"/>
        <v>3202.0346277752164</v>
      </c>
      <c r="AA199" s="335">
        <f t="shared" si="78"/>
        <v>338.51800538442762</v>
      </c>
      <c r="AB199" s="335">
        <f t="shared" si="79"/>
        <v>217.99683626743365</v>
      </c>
      <c r="AC199" s="335">
        <f t="shared" si="80"/>
        <v>620.07285346286392</v>
      </c>
      <c r="AD199" s="335">
        <f t="shared" si="81"/>
        <v>519.73330204915703</v>
      </c>
      <c r="AE199" s="335">
        <f>MIN(Paper!H145,Paper!I145)</f>
        <v>0</v>
      </c>
      <c r="AF199" s="335">
        <f t="shared" si="62"/>
        <v>1505.7136306113343</v>
      </c>
      <c r="AI199" s="609">
        <f t="shared" si="63"/>
        <v>2043</v>
      </c>
      <c r="AJ199" s="335">
        <f t="shared" si="82"/>
        <v>28.757467351858793</v>
      </c>
      <c r="AK199" s="335">
        <f t="shared" si="64"/>
        <v>-26.16261301448418</v>
      </c>
      <c r="AL199" s="335">
        <f t="shared" si="65"/>
        <v>20.666904419222504</v>
      </c>
      <c r="AM199" s="335">
        <f t="shared" si="66"/>
        <v>34.74564002146375</v>
      </c>
      <c r="AN199" s="335">
        <f t="shared" si="67"/>
        <v>87.283104476139783</v>
      </c>
      <c r="AO199" s="335">
        <f t="shared" si="83"/>
        <v>168.14680603039221</v>
      </c>
      <c r="AP199" s="335">
        <f t="shared" si="68"/>
        <v>25.080696099834711</v>
      </c>
      <c r="AS199" s="609">
        <f t="shared" si="69"/>
        <v>2043</v>
      </c>
      <c r="AT199" s="335">
        <f t="shared" si="54"/>
        <v>217.99683626743365</v>
      </c>
      <c r="AU199" s="335">
        <f t="shared" si="54"/>
        <v>620.07285346286392</v>
      </c>
      <c r="AV199" s="335">
        <f t="shared" si="54"/>
        <v>519.73330204915703</v>
      </c>
      <c r="AW199" s="335">
        <f t="shared" si="54"/>
        <v>0</v>
      </c>
      <c r="AX199" s="335">
        <f t="shared" si="54"/>
        <v>1505.7136306113343</v>
      </c>
      <c r="AY199" s="335">
        <f t="shared" si="84"/>
        <v>338.51800538442762</v>
      </c>
      <c r="AZ199" s="335">
        <f t="shared" si="85"/>
        <v>0</v>
      </c>
      <c r="BB199" s="533"/>
    </row>
    <row r="200" spans="2:54" ht="14.4" x14ac:dyDescent="0.55000000000000004">
      <c r="B200" s="3">
        <v>2044</v>
      </c>
      <c r="C200" s="334">
        <f t="shared" si="53"/>
        <v>245.35262012339132</v>
      </c>
      <c r="D200" s="532">
        <f>'Food System Summary'!H42-'Food System Summary'!I42</f>
        <v>260.75263277728095</v>
      </c>
      <c r="E200" s="338">
        <f t="shared" si="70"/>
        <v>1.0627668563153911</v>
      </c>
      <c r="F200" s="338">
        <f t="shared" si="71"/>
        <v>0.15436198128479692</v>
      </c>
      <c r="G200" s="334">
        <f t="shared" si="55"/>
        <v>247.05338399580211</v>
      </c>
      <c r="H200" s="338">
        <f t="shared" si="72"/>
        <v>1.0069319164863837</v>
      </c>
      <c r="I200" s="334">
        <f t="shared" si="73"/>
        <v>-262.45339664969174</v>
      </c>
      <c r="J200" s="338">
        <f t="shared" si="74"/>
        <v>-1.0696987728017748</v>
      </c>
      <c r="K200" s="338">
        <f t="shared" si="75"/>
        <v>-0.15536881016413243</v>
      </c>
      <c r="N200" s="3">
        <v>2044</v>
      </c>
      <c r="O200" s="1205">
        <f t="shared" si="56"/>
        <v>727.99571763837821</v>
      </c>
      <c r="P200" s="1205">
        <f t="shared" si="57"/>
        <v>107.26199154087811</v>
      </c>
      <c r="Q200" s="1205">
        <f t="shared" si="58"/>
        <v>533.81976002416957</v>
      </c>
      <c r="R200" s="1205">
        <f t="shared" si="76"/>
        <v>194.17595761420864</v>
      </c>
      <c r="S200" s="1206">
        <f>Paper!E146</f>
        <v>699.32011372535237</v>
      </c>
      <c r="T200" s="1205">
        <f t="shared" si="59"/>
        <v>165.5003537011828</v>
      </c>
      <c r="U200" s="1206">
        <f>Paper!I146</f>
        <v>0</v>
      </c>
      <c r="V200" s="1205">
        <f t="shared" si="60"/>
        <v>165.5003537011828</v>
      </c>
      <c r="Y200" s="609">
        <f t="shared" si="77"/>
        <v>2044</v>
      </c>
      <c r="Z200" s="335">
        <f t="shared" si="61"/>
        <v>3244.3847108106588</v>
      </c>
      <c r="AA200" s="335">
        <f t="shared" si="78"/>
        <v>302.1491707276889</v>
      </c>
      <c r="AB200" s="335">
        <f t="shared" si="79"/>
        <v>219.88949973483886</v>
      </c>
      <c r="AC200" s="335">
        <f t="shared" si="80"/>
        <v>633.3699054478742</v>
      </c>
      <c r="AD200" s="335">
        <f t="shared" si="81"/>
        <v>533.81976002416957</v>
      </c>
      <c r="AE200" s="335">
        <f>MIN(Paper!H146,Paper!I146)</f>
        <v>0</v>
      </c>
      <c r="AF200" s="335">
        <f t="shared" si="62"/>
        <v>1555.1563748760873</v>
      </c>
      <c r="AI200" s="609">
        <f t="shared" si="63"/>
        <v>2044</v>
      </c>
      <c r="AJ200" s="335">
        <f t="shared" si="82"/>
        <v>27.061360407322212</v>
      </c>
      <c r="AK200" s="335">
        <f t="shared" si="64"/>
        <v>-27.237868631338415</v>
      </c>
      <c r="AL200" s="335">
        <f t="shared" si="65"/>
        <v>25.639628612568657</v>
      </c>
      <c r="AM200" s="335">
        <f t="shared" si="66"/>
        <v>20.918687099267359</v>
      </c>
      <c r="AN200" s="335">
        <f t="shared" si="67"/>
        <v>61.591405625660514</v>
      </c>
      <c r="AO200" s="335">
        <f t="shared" si="83"/>
        <v>165.5003537011828</v>
      </c>
      <c r="AP200" s="335">
        <f t="shared" si="68"/>
        <v>28.675603913025725</v>
      </c>
      <c r="AS200" s="609">
        <f t="shared" si="69"/>
        <v>2044</v>
      </c>
      <c r="AT200" s="335">
        <f t="shared" si="54"/>
        <v>219.88949973483886</v>
      </c>
      <c r="AU200" s="335">
        <f t="shared" si="54"/>
        <v>633.3699054478742</v>
      </c>
      <c r="AV200" s="335">
        <f t="shared" si="54"/>
        <v>533.81976002416957</v>
      </c>
      <c r="AW200" s="335">
        <f t="shared" si="54"/>
        <v>0</v>
      </c>
      <c r="AX200" s="335">
        <f t="shared" si="54"/>
        <v>1555.1563748760873</v>
      </c>
      <c r="AY200" s="335">
        <f t="shared" si="84"/>
        <v>302.1491707276889</v>
      </c>
      <c r="AZ200" s="335">
        <f t="shared" si="85"/>
        <v>0</v>
      </c>
      <c r="BB200" s="533"/>
    </row>
    <row r="201" spans="2:54" ht="14.4" x14ac:dyDescent="0.55000000000000004">
      <c r="B201" s="3">
        <v>2045</v>
      </c>
      <c r="C201" s="334">
        <f t="shared" si="53"/>
        <v>253.85851694877556</v>
      </c>
      <c r="D201" s="532">
        <f>'Food System Summary'!H43-'Food System Summary'!I43</f>
        <v>224.03841929182022</v>
      </c>
      <c r="E201" s="338">
        <f t="shared" si="70"/>
        <v>0.88253260904784792</v>
      </c>
      <c r="F201" s="338">
        <f t="shared" si="71"/>
        <v>0.13309848869478869</v>
      </c>
      <c r="G201" s="334">
        <f t="shared" si="55"/>
        <v>283.16127755362686</v>
      </c>
      <c r="H201" s="338">
        <f t="shared" si="72"/>
        <v>1.1154294957563473</v>
      </c>
      <c r="I201" s="334">
        <f t="shared" si="73"/>
        <v>-253.34117989667152</v>
      </c>
      <c r="J201" s="338">
        <f t="shared" si="74"/>
        <v>-0.99796210480419523</v>
      </c>
      <c r="K201" s="338">
        <f t="shared" si="75"/>
        <v>-0.15050690089221083</v>
      </c>
      <c r="N201" s="3">
        <v>2045</v>
      </c>
      <c r="O201" s="1205">
        <f t="shared" si="56"/>
        <v>743.25744551638252</v>
      </c>
      <c r="P201" s="1205">
        <f t="shared" si="57"/>
        <v>118.63173229377571</v>
      </c>
      <c r="Q201" s="1205">
        <f t="shared" si="58"/>
        <v>548.39476567461588</v>
      </c>
      <c r="R201" s="1205">
        <f t="shared" si="76"/>
        <v>194.86267984176664</v>
      </c>
      <c r="S201" s="1206">
        <f>Paper!E147</f>
        <v>710.58087292819198</v>
      </c>
      <c r="T201" s="1205">
        <f t="shared" si="59"/>
        <v>162.1861072535761</v>
      </c>
      <c r="U201" s="1206">
        <f>Paper!I147</f>
        <v>0</v>
      </c>
      <c r="V201" s="1205">
        <f t="shared" si="60"/>
        <v>162.1861072535761</v>
      </c>
      <c r="Y201" s="609">
        <f t="shared" si="77"/>
        <v>2045</v>
      </c>
      <c r="Z201" s="335">
        <f t="shared" si="61"/>
        <v>3286.87091114945</v>
      </c>
      <c r="AA201" s="335">
        <f t="shared" si="78"/>
        <v>262.07049638731496</v>
      </c>
      <c r="AB201" s="335">
        <f t="shared" si="79"/>
        <v>226.11673959355198</v>
      </c>
      <c r="AC201" s="335">
        <f t="shared" si="80"/>
        <v>646.67091495402178</v>
      </c>
      <c r="AD201" s="335">
        <f t="shared" si="81"/>
        <v>548.39476567461588</v>
      </c>
      <c r="AE201" s="335">
        <f>MIN(Paper!H147,Paper!I147)</f>
        <v>0</v>
      </c>
      <c r="AF201" s="335">
        <f t="shared" si="62"/>
        <v>1603.6179945399454</v>
      </c>
      <c r="AI201" s="609">
        <f t="shared" si="63"/>
        <v>2045</v>
      </c>
      <c r="AJ201" s="335">
        <f t="shared" si="82"/>
        <v>24.483023148929959</v>
      </c>
      <c r="AK201" s="335">
        <f t="shared" si="64"/>
        <v>-27.685242520428261</v>
      </c>
      <c r="AL201" s="335">
        <f t="shared" si="65"/>
        <v>30.943996726721878</v>
      </c>
      <c r="AM201" s="335">
        <f t="shared" si="66"/>
        <v>8.5091655691331916</v>
      </c>
      <c r="AN201" s="335">
        <f t="shared" si="67"/>
        <v>30.956873621191562</v>
      </c>
      <c r="AO201" s="335">
        <f t="shared" si="83"/>
        <v>162.1861072535761</v>
      </c>
      <c r="AP201" s="335">
        <f t="shared" si="68"/>
        <v>32.676572588190538</v>
      </c>
      <c r="AS201" s="609">
        <f t="shared" si="69"/>
        <v>2045</v>
      </c>
      <c r="AT201" s="335">
        <f t="shared" si="54"/>
        <v>226.11673959355198</v>
      </c>
      <c r="AU201" s="335">
        <f t="shared" si="54"/>
        <v>646.67091495402178</v>
      </c>
      <c r="AV201" s="335">
        <f t="shared" si="54"/>
        <v>548.39476567461588</v>
      </c>
      <c r="AW201" s="335">
        <f t="shared" si="54"/>
        <v>0</v>
      </c>
      <c r="AX201" s="335">
        <f t="shared" si="54"/>
        <v>1603.6179945399454</v>
      </c>
      <c r="AY201" s="335">
        <f t="shared" si="84"/>
        <v>262.07049638731496</v>
      </c>
      <c r="AZ201" s="335">
        <f t="shared" si="85"/>
        <v>0</v>
      </c>
      <c r="BB201" s="533"/>
    </row>
    <row r="202" spans="2:54" ht="14.4" x14ac:dyDescent="0.55000000000000004">
      <c r="B202" s="3">
        <v>2046</v>
      </c>
      <c r="C202" s="334">
        <f t="shared" si="53"/>
        <v>266.79484315590349</v>
      </c>
      <c r="D202" s="532">
        <f>'Food System Summary'!H44-'Food System Summary'!I44</f>
        <v>188.12883990624755</v>
      </c>
      <c r="E202" s="338">
        <f t="shared" si="70"/>
        <v>0.70514421373696901</v>
      </c>
      <c r="F202" s="338">
        <f t="shared" si="71"/>
        <v>0.11211433794843963</v>
      </c>
      <c r="G202" s="334">
        <f t="shared" si="55"/>
        <v>322.86029663220557</v>
      </c>
      <c r="H202" s="338">
        <f t="shared" si="72"/>
        <v>1.210144442123043</v>
      </c>
      <c r="I202" s="334">
        <f t="shared" si="73"/>
        <v>-244.19429338254963</v>
      </c>
      <c r="J202" s="338">
        <f t="shared" si="74"/>
        <v>-0.91528865586001196</v>
      </c>
      <c r="K202" s="338">
        <f t="shared" si="75"/>
        <v>-0.1455262337609429</v>
      </c>
      <c r="N202" s="3">
        <v>2046</v>
      </c>
      <c r="O202" s="1205">
        <f t="shared" si="56"/>
        <v>758.65168447919359</v>
      </c>
      <c r="P202" s="1205">
        <f t="shared" si="57"/>
        <v>130.57348937257618</v>
      </c>
      <c r="Q202" s="1205">
        <f t="shared" si="58"/>
        <v>563.4583190004962</v>
      </c>
      <c r="R202" s="1205">
        <f t="shared" si="76"/>
        <v>195.19336547869739</v>
      </c>
      <c r="S202" s="1206">
        <f>Paper!E148</f>
        <v>721.68660694963353</v>
      </c>
      <c r="T202" s="1205">
        <f t="shared" si="59"/>
        <v>158.22828794913733</v>
      </c>
      <c r="U202" s="1206">
        <f>Paper!I148</f>
        <v>0</v>
      </c>
      <c r="V202" s="1205">
        <f t="shared" si="60"/>
        <v>158.22828794913733</v>
      </c>
      <c r="Y202" s="609">
        <f t="shared" si="77"/>
        <v>2046</v>
      </c>
      <c r="Z202" s="335">
        <f t="shared" si="61"/>
        <v>3329.08709032667</v>
      </c>
      <c r="AA202" s="335">
        <f t="shared" si="78"/>
        <v>244.62381659992514</v>
      </c>
      <c r="AB202" s="335">
        <f t="shared" si="79"/>
        <v>236.69671679163321</v>
      </c>
      <c r="AC202" s="335">
        <f t="shared" si="80"/>
        <v>633.22989607655165</v>
      </c>
      <c r="AD202" s="335">
        <f t="shared" si="81"/>
        <v>563.4583190004962</v>
      </c>
      <c r="AE202" s="335">
        <f>MIN(Paper!H148,Paper!I148)</f>
        <v>0</v>
      </c>
      <c r="AF202" s="335">
        <f t="shared" si="62"/>
        <v>1651.0783418580638</v>
      </c>
      <c r="AI202" s="609">
        <f t="shared" si="63"/>
        <v>2046</v>
      </c>
      <c r="AJ202" s="335">
        <f t="shared" si="82"/>
        <v>21.223519650089315</v>
      </c>
      <c r="AK202" s="335">
        <f t="shared" si="64"/>
        <v>-27.548473623857745</v>
      </c>
      <c r="AL202" s="335">
        <f t="shared" si="65"/>
        <v>36.423080338038687</v>
      </c>
      <c r="AM202" s="335">
        <f t="shared" si="66"/>
        <v>3.2718919023454931</v>
      </c>
      <c r="AN202" s="335">
        <f t="shared" si="67"/>
        <v>16.060432854612031</v>
      </c>
      <c r="AO202" s="335">
        <f t="shared" si="83"/>
        <v>158.22828794913733</v>
      </c>
      <c r="AP202" s="335">
        <f t="shared" si="68"/>
        <v>36.965077529560034</v>
      </c>
      <c r="AS202" s="609">
        <f t="shared" si="69"/>
        <v>2046</v>
      </c>
      <c r="AT202" s="335">
        <f t="shared" si="54"/>
        <v>236.69671679163321</v>
      </c>
      <c r="AU202" s="335">
        <f t="shared" si="54"/>
        <v>633.22989607655165</v>
      </c>
      <c r="AV202" s="335">
        <f t="shared" si="54"/>
        <v>563.4583190004962</v>
      </c>
      <c r="AW202" s="335">
        <f t="shared" si="54"/>
        <v>0</v>
      </c>
      <c r="AX202" s="335">
        <f t="shared" si="54"/>
        <v>1651.0783418580638</v>
      </c>
      <c r="AY202" s="335">
        <f t="shared" si="84"/>
        <v>244.62381659992514</v>
      </c>
      <c r="AZ202" s="335">
        <f t="shared" si="85"/>
        <v>0</v>
      </c>
      <c r="BB202" s="533"/>
    </row>
    <row r="203" spans="2:54" ht="14.4" x14ac:dyDescent="0.55000000000000004">
      <c r="B203" s="3">
        <v>2047</v>
      </c>
      <c r="C203" s="334">
        <f t="shared" si="53"/>
        <v>284.3983379007567</v>
      </c>
      <c r="D203" s="532">
        <f>'Food System Summary'!H45-'Food System Summary'!I45</f>
        <v>153.03840085841739</v>
      </c>
      <c r="E203" s="338">
        <f t="shared" si="70"/>
        <v>0.53811285251540919</v>
      </c>
      <c r="F203" s="338">
        <f t="shared" si="71"/>
        <v>9.1444625497191415E-2</v>
      </c>
      <c r="G203" s="334">
        <f t="shared" si="55"/>
        <v>366.34239300444062</v>
      </c>
      <c r="H203" s="338">
        <f t="shared" si="72"/>
        <v>1.2881312728778289</v>
      </c>
      <c r="I203" s="334">
        <f t="shared" si="73"/>
        <v>-234.98245596210131</v>
      </c>
      <c r="J203" s="338">
        <f t="shared" si="74"/>
        <v>-0.8262441253932381</v>
      </c>
      <c r="K203" s="338">
        <f t="shared" si="75"/>
        <v>-0.14040843711993581</v>
      </c>
      <c r="N203" s="3">
        <v>2047</v>
      </c>
      <c r="O203" s="1205">
        <f t="shared" si="56"/>
        <v>774.18582226794877</v>
      </c>
      <c r="P203" s="1205">
        <f t="shared" si="57"/>
        <v>143.07215315744941</v>
      </c>
      <c r="Q203" s="1205">
        <f t="shared" si="58"/>
        <v>579.01042000181042</v>
      </c>
      <c r="R203" s="1205">
        <f t="shared" si="76"/>
        <v>195.17540226613835</v>
      </c>
      <c r="S203" s="1206">
        <f>Paper!E149</f>
        <v>732.67074481100497</v>
      </c>
      <c r="T203" s="1205">
        <f t="shared" si="59"/>
        <v>153.66032480919455</v>
      </c>
      <c r="U203" s="1206">
        <f>Paper!I149</f>
        <v>0</v>
      </c>
      <c r="V203" s="1205">
        <f t="shared" si="60"/>
        <v>153.66032480919455</v>
      </c>
      <c r="Y203" s="609">
        <f t="shared" si="77"/>
        <v>2047</v>
      </c>
      <c r="Z203" s="335">
        <f t="shared" si="61"/>
        <v>3371.0816863003333</v>
      </c>
      <c r="AA203" s="335">
        <f t="shared" si="78"/>
        <v>247.47396228857735</v>
      </c>
      <c r="AB203" s="335">
        <f t="shared" si="79"/>
        <v>251.86249608926403</v>
      </c>
      <c r="AC203" s="335">
        <f t="shared" si="80"/>
        <v>595.21676766664029</v>
      </c>
      <c r="AD203" s="335">
        <f t="shared" si="81"/>
        <v>579.01042000181042</v>
      </c>
      <c r="AE203" s="335">
        <f>MIN(Paper!H149,Paper!I149)</f>
        <v>0</v>
      </c>
      <c r="AF203" s="335">
        <f t="shared" si="62"/>
        <v>1697.5180402540411</v>
      </c>
      <c r="AI203" s="609">
        <f t="shared" si="63"/>
        <v>2047</v>
      </c>
      <c r="AJ203" s="335">
        <f t="shared" si="82"/>
        <v>17.507954646172436</v>
      </c>
      <c r="AK203" s="335">
        <f t="shared" si="64"/>
        <v>-26.882548161469515</v>
      </c>
      <c r="AL203" s="335">
        <f t="shared" si="65"/>
        <v>41.910435326789752</v>
      </c>
      <c r="AM203" s="335">
        <f t="shared" si="66"/>
        <v>2.2121353229555201</v>
      </c>
      <c r="AN203" s="335">
        <f t="shared" si="67"/>
        <v>17.550582887991027</v>
      </c>
      <c r="AO203" s="335">
        <f t="shared" si="83"/>
        <v>153.66032480919455</v>
      </c>
      <c r="AP203" s="335">
        <f t="shared" si="68"/>
        <v>41.515077456943573</v>
      </c>
      <c r="AS203" s="609">
        <f t="shared" si="69"/>
        <v>2047</v>
      </c>
      <c r="AT203" s="335">
        <f t="shared" si="54"/>
        <v>251.86249608926403</v>
      </c>
      <c r="AU203" s="335">
        <f t="shared" si="54"/>
        <v>595.21676766664029</v>
      </c>
      <c r="AV203" s="335">
        <f t="shared" si="54"/>
        <v>579.01042000181042</v>
      </c>
      <c r="AW203" s="335">
        <f t="shared" si="54"/>
        <v>0</v>
      </c>
      <c r="AX203" s="335">
        <f t="shared" si="54"/>
        <v>1697.5180402540411</v>
      </c>
      <c r="AY203" s="335">
        <f t="shared" si="84"/>
        <v>247.47396228857735</v>
      </c>
      <c r="AZ203" s="335">
        <f t="shared" si="85"/>
        <v>0</v>
      </c>
      <c r="BB203" s="533"/>
    </row>
    <row r="204" spans="2:54" ht="14.4" x14ac:dyDescent="0.55000000000000004">
      <c r="B204" s="3">
        <v>2048</v>
      </c>
      <c r="C204" s="334">
        <f t="shared" si="53"/>
        <v>306.92656061639855</v>
      </c>
      <c r="D204" s="532">
        <f>'Food System Summary'!H46-'Food System Summary'!I46</f>
        <v>118.78140015388522</v>
      </c>
      <c r="E204" s="338">
        <f t="shared" si="70"/>
        <v>0.38700267554341772</v>
      </c>
      <c r="F204" s="338">
        <f t="shared" si="71"/>
        <v>7.1125601025696747E-2</v>
      </c>
      <c r="G204" s="334">
        <f t="shared" si="55"/>
        <v>413.80084287467571</v>
      </c>
      <c r="H204" s="338">
        <f t="shared" si="72"/>
        <v>1.3482079949146215</v>
      </c>
      <c r="I204" s="334">
        <f t="shared" si="73"/>
        <v>-225.65568241216238</v>
      </c>
      <c r="J204" s="338">
        <f t="shared" si="74"/>
        <v>-0.73521067045803923</v>
      </c>
      <c r="K204" s="338">
        <f t="shared" si="75"/>
        <v>-0.13512129016525842</v>
      </c>
      <c r="N204" s="3">
        <v>2048</v>
      </c>
      <c r="O204" s="1205">
        <f t="shared" si="56"/>
        <v>789.87577806019704</v>
      </c>
      <c r="P204" s="1205">
        <f t="shared" si="57"/>
        <v>156.11128971633346</v>
      </c>
      <c r="Q204" s="1205">
        <f t="shared" si="58"/>
        <v>595.05106867855864</v>
      </c>
      <c r="R204" s="1205">
        <f t="shared" si="76"/>
        <v>194.8247093816384</v>
      </c>
      <c r="S204" s="1206">
        <f>Paper!E150</f>
        <v>743.57402231909225</v>
      </c>
      <c r="T204" s="1205">
        <f t="shared" si="59"/>
        <v>148.52295364053361</v>
      </c>
      <c r="U204" s="1206">
        <f>Paper!I150</f>
        <v>0</v>
      </c>
      <c r="V204" s="1205">
        <f t="shared" si="60"/>
        <v>148.52295364053361</v>
      </c>
      <c r="Y204" s="609">
        <f t="shared" si="77"/>
        <v>2048</v>
      </c>
      <c r="Z204" s="335">
        <f t="shared" si="61"/>
        <v>3412.9379410699567</v>
      </c>
      <c r="AA204" s="335">
        <f t="shared" si="78"/>
        <v>251.03379528023413</v>
      </c>
      <c r="AB204" s="335">
        <f t="shared" si="79"/>
        <v>271.86816860327144</v>
      </c>
      <c r="AC204" s="335">
        <f t="shared" si="80"/>
        <v>552.0701157972876</v>
      </c>
      <c r="AD204" s="335">
        <f t="shared" si="81"/>
        <v>595.05106867855864</v>
      </c>
      <c r="AE204" s="335">
        <f>MIN(Paper!H150,Paper!I150)</f>
        <v>0</v>
      </c>
      <c r="AF204" s="335">
        <f t="shared" si="62"/>
        <v>1742.9147927106048</v>
      </c>
      <c r="AI204" s="609">
        <f t="shared" si="63"/>
        <v>2048</v>
      </c>
      <c r="AJ204" s="335">
        <f t="shared" si="82"/>
        <v>13.567691509330174</v>
      </c>
      <c r="AK204" s="335">
        <f t="shared" si="64"/>
        <v>-25.775303897151929</v>
      </c>
      <c r="AL204" s="335">
        <f t="shared" si="65"/>
        <v>47.266004400948873</v>
      </c>
      <c r="AM204" s="335">
        <f t="shared" si="66"/>
        <v>0.84652651719575711</v>
      </c>
      <c r="AN204" s="335">
        <f t="shared" si="67"/>
        <v>20.304167368272829</v>
      </c>
      <c r="AO204" s="335">
        <f t="shared" si="83"/>
        <v>148.52295364053361</v>
      </c>
      <c r="AP204" s="335">
        <f t="shared" si="68"/>
        <v>46.301755741104813</v>
      </c>
      <c r="AS204" s="609">
        <f t="shared" si="69"/>
        <v>2048</v>
      </c>
      <c r="AT204" s="335">
        <f t="shared" si="54"/>
        <v>271.86816860327144</v>
      </c>
      <c r="AU204" s="335">
        <f t="shared" si="54"/>
        <v>552.0701157972876</v>
      </c>
      <c r="AV204" s="335">
        <f t="shared" si="54"/>
        <v>595.05106867855864</v>
      </c>
      <c r="AW204" s="335">
        <f t="shared" si="54"/>
        <v>0</v>
      </c>
      <c r="AX204" s="335">
        <f t="shared" si="54"/>
        <v>1742.9147927106048</v>
      </c>
      <c r="AY204" s="335">
        <f t="shared" si="84"/>
        <v>251.03379528023413</v>
      </c>
      <c r="AZ204" s="335">
        <f t="shared" si="85"/>
        <v>0</v>
      </c>
      <c r="BB204" s="533"/>
    </row>
    <row r="205" spans="2:54" ht="14.4" x14ac:dyDescent="0.55000000000000004">
      <c r="B205" s="3">
        <v>2049</v>
      </c>
      <c r="C205" s="334">
        <f t="shared" si="53"/>
        <v>334.60196989908525</v>
      </c>
      <c r="D205" s="532">
        <f>'Food System Summary'!H47-'Food System Summary'!I47</f>
        <v>85.372282238966818</v>
      </c>
      <c r="E205" s="338">
        <f t="shared" si="70"/>
        <v>0.25514578489993583</v>
      </c>
      <c r="F205" s="338">
        <f t="shared" si="71"/>
        <v>5.1200318606957049E-2</v>
      </c>
      <c r="G205" s="334">
        <f t="shared" si="55"/>
        <v>465.43009940062655</v>
      </c>
      <c r="H205" s="338">
        <f t="shared" si="72"/>
        <v>1.3909962919255932</v>
      </c>
      <c r="I205" s="334">
        <f t="shared" si="73"/>
        <v>-216.20041174050812</v>
      </c>
      <c r="J205" s="338">
        <f t="shared" si="74"/>
        <v>-0.64614207682552915</v>
      </c>
      <c r="K205" s="338">
        <f t="shared" si="75"/>
        <v>-0.12966187237544416</v>
      </c>
      <c r="N205" s="3">
        <v>2049</v>
      </c>
      <c r="O205" s="1205">
        <f t="shared" si="56"/>
        <v>805.72045427536466</v>
      </c>
      <c r="P205" s="1205">
        <f t="shared" si="57"/>
        <v>169.67328816379415</v>
      </c>
      <c r="Q205" s="1205">
        <f t="shared" si="58"/>
        <v>611.58026503074086</v>
      </c>
      <c r="R205" s="1205">
        <f t="shared" si="76"/>
        <v>194.1401892446238</v>
      </c>
      <c r="S205" s="1206">
        <f>Paper!E151</f>
        <v>754.44304206296385</v>
      </c>
      <c r="T205" s="1205">
        <f t="shared" si="59"/>
        <v>142.86277703222299</v>
      </c>
      <c r="U205" s="1206">
        <f>Paper!I151</f>
        <v>0</v>
      </c>
      <c r="V205" s="1205">
        <f t="shared" si="60"/>
        <v>142.86277703222299</v>
      </c>
      <c r="Y205" s="609">
        <f t="shared" si="77"/>
        <v>2049</v>
      </c>
      <c r="Z205" s="335">
        <f t="shared" si="61"/>
        <v>3454.663023726212</v>
      </c>
      <c r="AA205" s="335">
        <f t="shared" si="78"/>
        <v>254.38082438627885</v>
      </c>
      <c r="AB205" s="335">
        <f t="shared" si="79"/>
        <v>296.93272539878001</v>
      </c>
      <c r="AC205" s="335">
        <f t="shared" si="80"/>
        <v>504.52319667456447</v>
      </c>
      <c r="AD205" s="335">
        <f t="shared" si="81"/>
        <v>611.58026503074086</v>
      </c>
      <c r="AE205" s="335">
        <f>MIN(Paper!H151,Paper!I151)</f>
        <v>0</v>
      </c>
      <c r="AF205" s="335">
        <f t="shared" si="62"/>
        <v>1787.2460122358477</v>
      </c>
      <c r="AI205" s="609">
        <f t="shared" si="63"/>
        <v>2049</v>
      </c>
      <c r="AJ205" s="335">
        <f t="shared" si="82"/>
        <v>9.611148954617974</v>
      </c>
      <c r="AK205" s="335">
        <f t="shared" si="64"/>
        <v>-24.339683873875856</v>
      </c>
      <c r="AL205" s="335">
        <f t="shared" si="65"/>
        <v>52.397779419563165</v>
      </c>
      <c r="AM205" s="335">
        <f t="shared" si="66"/>
        <v>-1.174252630130908</v>
      </c>
      <c r="AN205" s="335">
        <f t="shared" si="67"/>
        <v>23.745643271480958</v>
      </c>
      <c r="AO205" s="335">
        <f t="shared" si="83"/>
        <v>142.86277703222299</v>
      </c>
      <c r="AP205" s="335">
        <f t="shared" si="68"/>
        <v>51.277412212400492</v>
      </c>
      <c r="AS205" s="609">
        <f t="shared" si="69"/>
        <v>2049</v>
      </c>
      <c r="AT205" s="335">
        <f t="shared" si="54"/>
        <v>296.93272539878001</v>
      </c>
      <c r="AU205" s="335">
        <f t="shared" si="54"/>
        <v>504.52319667456447</v>
      </c>
      <c r="AV205" s="335">
        <f t="shared" si="54"/>
        <v>611.58026503074086</v>
      </c>
      <c r="AW205" s="335">
        <f t="shared" si="54"/>
        <v>0</v>
      </c>
      <c r="AX205" s="335">
        <f t="shared" si="54"/>
        <v>1787.2460122358477</v>
      </c>
      <c r="AY205" s="335">
        <f t="shared" si="84"/>
        <v>254.38082438627885</v>
      </c>
      <c r="AZ205" s="335">
        <f t="shared" si="85"/>
        <v>0</v>
      </c>
      <c r="BB205" s="533"/>
    </row>
    <row r="206" spans="2:54" ht="14.4" x14ac:dyDescent="0.55000000000000004">
      <c r="B206" s="3">
        <v>2050</v>
      </c>
      <c r="C206" s="334">
        <f t="shared" si="53"/>
        <v>367.31418009603919</v>
      </c>
      <c r="D206" s="532">
        <f>'Food System Summary'!H48-'Food System Summary'!I48</f>
        <v>52.825634782905581</v>
      </c>
      <c r="E206" s="338">
        <f t="shared" si="70"/>
        <v>0.14381594189773347</v>
      </c>
      <c r="F206" s="338">
        <f t="shared" si="71"/>
        <v>3.1725568083743348E-2</v>
      </c>
      <c r="G206" s="334">
        <f t="shared" si="55"/>
        <v>521.42565431417518</v>
      </c>
      <c r="H206" s="338">
        <f t="shared" si="72"/>
        <v>1.4195630949446099</v>
      </c>
      <c r="I206" s="334">
        <f t="shared" si="73"/>
        <v>-206.93710900104156</v>
      </c>
      <c r="J206" s="338">
        <f t="shared" si="74"/>
        <v>-0.56337903684234325</v>
      </c>
      <c r="K206" s="338">
        <f t="shared" si="75"/>
        <v>-0.12428051963116336</v>
      </c>
      <c r="N206" s="3">
        <v>2050</v>
      </c>
      <c r="O206" s="1205">
        <f t="shared" si="56"/>
        <v>821.5561662488426</v>
      </c>
      <c r="P206" s="1205">
        <f t="shared" si="57"/>
        <v>183.73949904023118</v>
      </c>
      <c r="Q206" s="1205">
        <f t="shared" si="58"/>
        <v>628.59800905835698</v>
      </c>
      <c r="R206" s="1205">
        <f t="shared" si="76"/>
        <v>192.95815719048562</v>
      </c>
      <c r="S206" s="1206">
        <f>Paper!E152</f>
        <v>765.27987240923528</v>
      </c>
      <c r="T206" s="1205">
        <f t="shared" si="59"/>
        <v>136.6818633508783</v>
      </c>
      <c r="U206" s="1206">
        <f>Paper!I152</f>
        <v>0</v>
      </c>
      <c r="V206" s="1205">
        <f t="shared" si="60"/>
        <v>136.6818633508783</v>
      </c>
      <c r="Y206" s="609">
        <f t="shared" si="77"/>
        <v>2050</v>
      </c>
      <c r="Z206" s="335">
        <f t="shared" si="61"/>
        <v>3495.5715615028471</v>
      </c>
      <c r="AA206" s="335">
        <f t="shared" si="78"/>
        <v>257.33701075507224</v>
      </c>
      <c r="AB206" s="335">
        <f t="shared" si="79"/>
        <v>326.95413735407749</v>
      </c>
      <c r="AC206" s="335">
        <f t="shared" si="80"/>
        <v>452.19165851611262</v>
      </c>
      <c r="AD206" s="335">
        <f t="shared" si="81"/>
        <v>628.59800905835698</v>
      </c>
      <c r="AE206" s="335">
        <f>MIN(Paper!H152,Paper!I152)</f>
        <v>0</v>
      </c>
      <c r="AF206" s="335">
        <f t="shared" si="62"/>
        <v>1830.4907458192276</v>
      </c>
      <c r="AI206" s="609">
        <f t="shared" si="63"/>
        <v>2050</v>
      </c>
      <c r="AJ206" s="335">
        <f t="shared" si="82"/>
        <v>5.8044175619680018</v>
      </c>
      <c r="AK206" s="335">
        <f t="shared" si="64"/>
        <v>-22.738002006882198</v>
      </c>
      <c r="AL206" s="335">
        <f t="shared" si="65"/>
        <v>57.293627186875881</v>
      </c>
      <c r="AM206" s="335">
        <f t="shared" si="66"/>
        <v>-4.2101299640526406</v>
      </c>
      <c r="AN206" s="335">
        <f t="shared" si="67"/>
        <v>28.228940786677754</v>
      </c>
      <c r="AO206" s="335">
        <f t="shared" si="83"/>
        <v>136.6818633508783</v>
      </c>
      <c r="AP206" s="335">
        <f t="shared" si="68"/>
        <v>56.276293839607177</v>
      </c>
      <c r="AS206" s="609">
        <f t="shared" si="69"/>
        <v>2050</v>
      </c>
      <c r="AT206" s="335">
        <f t="shared" si="54"/>
        <v>326.95413735407749</v>
      </c>
      <c r="AU206" s="335">
        <f t="shared" si="54"/>
        <v>452.19165851611262</v>
      </c>
      <c r="AV206" s="335">
        <f t="shared" si="54"/>
        <v>628.59800905835698</v>
      </c>
      <c r="AW206" s="335">
        <f t="shared" si="54"/>
        <v>0</v>
      </c>
      <c r="AX206" s="335">
        <f t="shared" si="54"/>
        <v>1830.4907458192276</v>
      </c>
      <c r="AY206" s="335">
        <f t="shared" si="84"/>
        <v>257.33701075507224</v>
      </c>
      <c r="AZ206" s="335">
        <f t="shared" si="85"/>
        <v>0</v>
      </c>
      <c r="BB206" s="533"/>
    </row>
    <row r="207" spans="2:54" ht="14.4" x14ac:dyDescent="0.55000000000000004">
      <c r="B207" s="3">
        <v>2051</v>
      </c>
      <c r="C207" s="334">
        <f t="shared" si="53"/>
        <v>436.01574163898852</v>
      </c>
      <c r="D207" s="532">
        <f>'Food System Summary'!H49-'Food System Summary'!I49</f>
        <v>52.955790971251872</v>
      </c>
      <c r="E207" s="338">
        <f t="shared" si="70"/>
        <v>0.12145385112058203</v>
      </c>
      <c r="F207" s="338">
        <f t="shared" si="71"/>
        <v>3.1207072296742109E-2</v>
      </c>
      <c r="G207" s="334">
        <f t="shared" si="55"/>
        <v>579.9215251656243</v>
      </c>
      <c r="H207" s="338">
        <f t="shared" si="72"/>
        <v>1.3300472202808371</v>
      </c>
      <c r="I207" s="334">
        <f t="shared" si="73"/>
        <v>-196.86157449788766</v>
      </c>
      <c r="J207" s="338">
        <f t="shared" si="74"/>
        <v>-0.4515010714014191</v>
      </c>
      <c r="K207" s="338">
        <f t="shared" si="75"/>
        <v>-0.11601136108308102</v>
      </c>
      <c r="N207" s="3">
        <v>2051</v>
      </c>
      <c r="O207" s="1205">
        <f t="shared" si="56"/>
        <v>837.8704687258811</v>
      </c>
      <c r="P207" s="1205">
        <f t="shared" si="57"/>
        <v>200.35274712722813</v>
      </c>
      <c r="Q207" s="1205">
        <f t="shared" si="58"/>
        <v>646.1043007614071</v>
      </c>
      <c r="R207" s="1205">
        <f t="shared" si="76"/>
        <v>191.76616796447399</v>
      </c>
      <c r="S207" s="1206">
        <f>Paper!E153</f>
        <v>770.98974869333063</v>
      </c>
      <c r="T207" s="1205">
        <f t="shared" si="59"/>
        <v>124.88544793192352</v>
      </c>
      <c r="U207" s="1206">
        <f>Paper!I153</f>
        <v>0</v>
      </c>
      <c r="V207" s="1205">
        <f t="shared" si="60"/>
        <v>124.88544793192352</v>
      </c>
      <c r="Y207" s="609">
        <f t="shared" si="77"/>
        <v>2051</v>
      </c>
      <c r="Z207" s="335">
        <f t="shared" si="61"/>
        <v>3537.7483490613135</v>
      </c>
      <c r="AA207" s="335">
        <f t="shared" si="78"/>
        <v>260.44846122328283</v>
      </c>
      <c r="AB207" s="335">
        <f t="shared" si="79"/>
        <v>392.84757267794237</v>
      </c>
      <c r="AC207" s="335">
        <f t="shared" si="80"/>
        <v>397.51600749549596</v>
      </c>
      <c r="AD207" s="335">
        <f t="shared" si="81"/>
        <v>646.1043007614071</v>
      </c>
      <c r="AE207" s="335">
        <f>MIN(Paper!H153,Paper!I153)</f>
        <v>0</v>
      </c>
      <c r="AF207" s="335">
        <f t="shared" si="62"/>
        <v>1840.8320069031854</v>
      </c>
      <c r="AI207" s="609">
        <f t="shared" si="63"/>
        <v>2051</v>
      </c>
      <c r="AJ207" s="335">
        <f t="shared" si="82"/>
        <v>5.2429403661430314</v>
      </c>
      <c r="AK207" s="335">
        <f t="shared" si="64"/>
        <v>-19.490474536349836</v>
      </c>
      <c r="AL207" s="335">
        <f t="shared" si="65"/>
        <v>57.41570313125294</v>
      </c>
      <c r="AM207" s="335">
        <f t="shared" si="66"/>
        <v>-8.5806917233018574</v>
      </c>
      <c r="AN207" s="335">
        <f t="shared" si="67"/>
        <v>34.094816021064332</v>
      </c>
      <c r="AO207" s="335">
        <f t="shared" si="83"/>
        <v>124.88544793192352</v>
      </c>
      <c r="AP207" s="335">
        <f t="shared" si="68"/>
        <v>66.880720032550698</v>
      </c>
      <c r="AS207" s="609">
        <f t="shared" si="69"/>
        <v>2051</v>
      </c>
      <c r="AT207" s="335">
        <f t="shared" si="54"/>
        <v>392.84757267794237</v>
      </c>
      <c r="AU207" s="335">
        <f t="shared" si="54"/>
        <v>397.51600749549596</v>
      </c>
      <c r="AV207" s="335">
        <f t="shared" si="54"/>
        <v>646.1043007614071</v>
      </c>
      <c r="AW207" s="335">
        <f t="shared" si="54"/>
        <v>0</v>
      </c>
      <c r="AX207" s="335">
        <f t="shared" si="54"/>
        <v>1840.8320069031854</v>
      </c>
      <c r="AY207" s="335">
        <f t="shared" si="84"/>
        <v>260.44846122328283</v>
      </c>
      <c r="AZ207" s="335">
        <f t="shared" si="85"/>
        <v>0</v>
      </c>
      <c r="BB207" s="533"/>
    </row>
    <row r="208" spans="2:54" ht="14.4" x14ac:dyDescent="0.55000000000000004">
      <c r="B208" s="3">
        <v>2052</v>
      </c>
      <c r="C208" s="334">
        <f t="shared" si="53"/>
        <v>453.0582469802963</v>
      </c>
      <c r="D208" s="532">
        <f>'Food System Summary'!H50-'Food System Summary'!I50</f>
        <v>53.077377838434586</v>
      </c>
      <c r="E208" s="338">
        <f t="shared" si="70"/>
        <v>0.11715354083543025</v>
      </c>
      <c r="F208" s="338">
        <f t="shared" si="71"/>
        <v>3.0713077433390971E-2</v>
      </c>
      <c r="G208" s="334">
        <f t="shared" si="55"/>
        <v>586.94508969017318</v>
      </c>
      <c r="H208" s="338">
        <f t="shared" si="72"/>
        <v>1.295517946317617</v>
      </c>
      <c r="I208" s="334">
        <f t="shared" si="73"/>
        <v>-186.96422054831146</v>
      </c>
      <c r="J208" s="338">
        <f t="shared" si="74"/>
        <v>-0.41267148715304725</v>
      </c>
      <c r="K208" s="338">
        <f t="shared" si="75"/>
        <v>-0.10818632752456321</v>
      </c>
      <c r="N208" s="3">
        <v>2052</v>
      </c>
      <c r="O208" s="1205">
        <f t="shared" si="56"/>
        <v>854.17448453354314</v>
      </c>
      <c r="P208" s="1205">
        <f t="shared" si="57"/>
        <v>197.05491030982685</v>
      </c>
      <c r="Q208" s="1205">
        <f t="shared" si="58"/>
        <v>664.09914013989123</v>
      </c>
      <c r="R208" s="1205">
        <f t="shared" si="76"/>
        <v>190.0753443936519</v>
      </c>
      <c r="S208" s="1206">
        <f>Paper!E154</f>
        <v>779.89526650228277</v>
      </c>
      <c r="T208" s="1205">
        <f t="shared" si="59"/>
        <v>115.79612636239153</v>
      </c>
      <c r="U208" s="1206">
        <f>Paper!I154</f>
        <v>0</v>
      </c>
      <c r="V208" s="1205">
        <f t="shared" si="60"/>
        <v>115.79612636239153</v>
      </c>
      <c r="Y208" s="609">
        <f t="shared" si="77"/>
        <v>2052</v>
      </c>
      <c r="Z208" s="335">
        <f t="shared" si="61"/>
        <v>3579.1229299215083</v>
      </c>
      <c r="AA208" s="335">
        <f t="shared" si="78"/>
        <v>263.17276860551829</v>
      </c>
      <c r="AB208" s="335">
        <f t="shared" si="79"/>
        <v>406.9974833644302</v>
      </c>
      <c r="AC208" s="335">
        <f t="shared" si="80"/>
        <v>393.89926677972358</v>
      </c>
      <c r="AD208" s="335">
        <f t="shared" si="81"/>
        <v>664.09914013989123</v>
      </c>
      <c r="AE208" s="335">
        <f>MIN(Paper!H154,Paper!I154)</f>
        <v>0</v>
      </c>
      <c r="AF208" s="335">
        <f t="shared" si="62"/>
        <v>1850.9542710319449</v>
      </c>
      <c r="AI208" s="609">
        <f t="shared" si="63"/>
        <v>2052</v>
      </c>
      <c r="AJ208" s="335">
        <f t="shared" si="82"/>
        <v>5.3961815511824653</v>
      </c>
      <c r="AK208" s="335">
        <f t="shared" si="64"/>
        <v>-19.007963820764445</v>
      </c>
      <c r="AL208" s="335">
        <f t="shared" si="65"/>
        <v>59.67254588544813</v>
      </c>
      <c r="AM208" s="335">
        <f t="shared" si="66"/>
        <v>-8.3822996668430925</v>
      </c>
      <c r="AN208" s="335">
        <f t="shared" si="67"/>
        <v>35.41896026284337</v>
      </c>
      <c r="AO208" s="335">
        <f t="shared" si="83"/>
        <v>115.79612636239153</v>
      </c>
      <c r="AP208" s="335">
        <f t="shared" si="68"/>
        <v>74.27921803126037</v>
      </c>
      <c r="AS208" s="609">
        <f t="shared" si="69"/>
        <v>2052</v>
      </c>
      <c r="AT208" s="335">
        <f t="shared" si="54"/>
        <v>406.9974833644302</v>
      </c>
      <c r="AU208" s="335">
        <f t="shared" si="54"/>
        <v>393.89926677972358</v>
      </c>
      <c r="AV208" s="335">
        <f t="shared" si="54"/>
        <v>664.09914013989123</v>
      </c>
      <c r="AW208" s="335">
        <f t="shared" si="54"/>
        <v>0</v>
      </c>
      <c r="AX208" s="335">
        <f t="shared" si="54"/>
        <v>1850.9542710319449</v>
      </c>
      <c r="AY208" s="335">
        <f t="shared" si="84"/>
        <v>263.17276860551829</v>
      </c>
      <c r="AZ208" s="335">
        <f t="shared" si="85"/>
        <v>0</v>
      </c>
      <c r="BB208" s="533"/>
    </row>
    <row r="209" spans="2:54" ht="14.4" x14ac:dyDescent="0.55000000000000004">
      <c r="B209" s="3">
        <v>2053</v>
      </c>
      <c r="C209" s="334">
        <f t="shared" si="53"/>
        <v>467.28183893983646</v>
      </c>
      <c r="D209" s="532">
        <f>'Food System Summary'!H51-'Food System Summary'!I51</f>
        <v>53.190401257752455</v>
      </c>
      <c r="E209" s="338">
        <f t="shared" si="70"/>
        <v>0.11382937838635075</v>
      </c>
      <c r="F209" s="338">
        <f t="shared" si="71"/>
        <v>3.0229735016846438E-2</v>
      </c>
      <c r="G209" s="334">
        <f t="shared" si="55"/>
        <v>590.99777149912984</v>
      </c>
      <c r="H209" s="338">
        <f t="shared" si="72"/>
        <v>1.2647565607085836</v>
      </c>
      <c r="I209" s="334">
        <f t="shared" si="73"/>
        <v>-176.90633381704583</v>
      </c>
      <c r="J209" s="338">
        <f t="shared" si="74"/>
        <v>-0.37858593909493432</v>
      </c>
      <c r="K209" s="338">
        <f t="shared" si="75"/>
        <v>-0.10054129067717146</v>
      </c>
      <c r="N209" s="3">
        <v>2053</v>
      </c>
      <c r="O209" s="1205">
        <f t="shared" si="56"/>
        <v>870.63056382423395</v>
      </c>
      <c r="P209" s="1205">
        <f t="shared" si="57"/>
        <v>193.00222850087022</v>
      </c>
      <c r="Q209" s="1205">
        <f t="shared" si="58"/>
        <v>682.58252719380914</v>
      </c>
      <c r="R209" s="1205">
        <f t="shared" si="76"/>
        <v>188.0480366304248</v>
      </c>
      <c r="S209" s="1206">
        <f>Paper!E155</f>
        <v>788.65304314376851</v>
      </c>
      <c r="T209" s="1205">
        <f t="shared" si="59"/>
        <v>106.07051594995937</v>
      </c>
      <c r="U209" s="1206">
        <f>Paper!I155</f>
        <v>0</v>
      </c>
      <c r="V209" s="1205">
        <f t="shared" si="60"/>
        <v>106.07051594995937</v>
      </c>
      <c r="Y209" s="609">
        <f t="shared" si="77"/>
        <v>2053</v>
      </c>
      <c r="Z209" s="335">
        <f t="shared" si="61"/>
        <v>3620.3950150310288</v>
      </c>
      <c r="AA209" s="335">
        <f t="shared" si="78"/>
        <v>265.69446142543643</v>
      </c>
      <c r="AB209" s="335">
        <f t="shared" si="79"/>
        <v>418.22938005354467</v>
      </c>
      <c r="AC209" s="335">
        <f t="shared" si="80"/>
        <v>393.03274829632926</v>
      </c>
      <c r="AD209" s="335">
        <f t="shared" si="81"/>
        <v>682.58252719380914</v>
      </c>
      <c r="AE209" s="335">
        <f>MIN(Paper!H155,Paper!I155)</f>
        <v>0</v>
      </c>
      <c r="AF209" s="335">
        <f t="shared" si="62"/>
        <v>1860.8558980619093</v>
      </c>
      <c r="AI209" s="609">
        <f t="shared" si="63"/>
        <v>2053</v>
      </c>
      <c r="AJ209" s="335">
        <f t="shared" si="82"/>
        <v>5.583610903348621</v>
      </c>
      <c r="AK209" s="335">
        <f t="shared" si="64"/>
        <v>-18.570571212382418</v>
      </c>
      <c r="AL209" s="335">
        <f t="shared" si="65"/>
        <v>62.03941919532565</v>
      </c>
      <c r="AM209" s="335">
        <f t="shared" si="66"/>
        <v>-7.78533735277564</v>
      </c>
      <c r="AN209" s="335">
        <f t="shared" si="67"/>
        <v>36.379303261495465</v>
      </c>
      <c r="AO209" s="335">
        <f t="shared" si="83"/>
        <v>106.07051594995937</v>
      </c>
      <c r="AP209" s="335">
        <f t="shared" si="68"/>
        <v>81.977520680465318</v>
      </c>
      <c r="AS209" s="609">
        <f t="shared" si="69"/>
        <v>2053</v>
      </c>
      <c r="AT209" s="335">
        <f t="shared" si="54"/>
        <v>418.22938005354467</v>
      </c>
      <c r="AU209" s="335">
        <f t="shared" si="54"/>
        <v>393.03274829632926</v>
      </c>
      <c r="AV209" s="335">
        <f t="shared" si="54"/>
        <v>682.58252719380914</v>
      </c>
      <c r="AW209" s="335">
        <f t="shared" si="54"/>
        <v>0</v>
      </c>
      <c r="AX209" s="335">
        <f t="shared" si="54"/>
        <v>1860.8558980619093</v>
      </c>
      <c r="AY209" s="335">
        <f t="shared" si="84"/>
        <v>265.69446142543643</v>
      </c>
      <c r="AZ209" s="335">
        <f t="shared" si="85"/>
        <v>0</v>
      </c>
      <c r="BB209" s="533"/>
    </row>
    <row r="210" spans="2:54" ht="14.4" x14ac:dyDescent="0.55000000000000004">
      <c r="B210" s="3">
        <v>2054</v>
      </c>
      <c r="C210" s="334">
        <f t="shared" si="53"/>
        <v>481.46109798334135</v>
      </c>
      <c r="D210" s="532">
        <f>'Food System Summary'!H52-'Food System Summary'!I52</f>
        <v>53.294890979930642</v>
      </c>
      <c r="E210" s="338">
        <f t="shared" si="70"/>
        <v>0.11069407518730549</v>
      </c>
      <c r="F210" s="338">
        <f t="shared" si="71"/>
        <v>2.9756467458849009E-2</v>
      </c>
      <c r="G210" s="334">
        <f t="shared" si="55"/>
        <v>594.84863497280719</v>
      </c>
      <c r="H210" s="338">
        <f t="shared" si="72"/>
        <v>1.235507162394643</v>
      </c>
      <c r="I210" s="334">
        <f t="shared" si="73"/>
        <v>-166.68242796939649</v>
      </c>
      <c r="J210" s="338">
        <f t="shared" si="74"/>
        <v>-0.34620123758194837</v>
      </c>
      <c r="K210" s="338">
        <f t="shared" si="75"/>
        <v>-9.3064835158421511E-2</v>
      </c>
      <c r="N210" s="3">
        <v>2054</v>
      </c>
      <c r="O210" s="1205">
        <f t="shared" si="56"/>
        <v>887.23844558485644</v>
      </c>
      <c r="P210" s="1205">
        <f t="shared" si="57"/>
        <v>189.15136502719278</v>
      </c>
      <c r="Q210" s="1205">
        <f t="shared" si="58"/>
        <v>701.55446192316106</v>
      </c>
      <c r="R210" s="1205">
        <f t="shared" si="76"/>
        <v>185.68398366169538</v>
      </c>
      <c r="S210" s="1206">
        <f>Paper!E156</f>
        <v>797.29985723244988</v>
      </c>
      <c r="T210" s="1205">
        <f t="shared" si="59"/>
        <v>95.745395309288824</v>
      </c>
      <c r="U210" s="1206">
        <f>Paper!I156</f>
        <v>0</v>
      </c>
      <c r="V210" s="1205">
        <f t="shared" si="60"/>
        <v>95.745395309288824</v>
      </c>
      <c r="Y210" s="609">
        <f t="shared" si="77"/>
        <v>2054</v>
      </c>
      <c r="Z210" s="335">
        <f t="shared" si="61"/>
        <v>3661.5717734805517</v>
      </c>
      <c r="AA210" s="335">
        <f t="shared" si="78"/>
        <v>268.01684069154931</v>
      </c>
      <c r="AB210" s="335">
        <f t="shared" si="79"/>
        <v>429.31485068301879</v>
      </c>
      <c r="AC210" s="335">
        <f t="shared" si="80"/>
        <v>392.14939397055889</v>
      </c>
      <c r="AD210" s="335">
        <f t="shared" si="81"/>
        <v>701.55446192316106</v>
      </c>
      <c r="AE210" s="335">
        <f>MIN(Paper!H156,Paper!I156)</f>
        <v>0</v>
      </c>
      <c r="AF210" s="335">
        <f t="shared" si="62"/>
        <v>1870.5362262122635</v>
      </c>
      <c r="AI210" s="609">
        <f t="shared" si="63"/>
        <v>2054</v>
      </c>
      <c r="AJ210" s="335">
        <f t="shared" si="82"/>
        <v>5.7722806193977263</v>
      </c>
      <c r="AK210" s="335">
        <f t="shared" si="64"/>
        <v>-18.053095350625995</v>
      </c>
      <c r="AL210" s="335">
        <f t="shared" si="65"/>
        <v>64.427062031550804</v>
      </c>
      <c r="AM210" s="335">
        <f t="shared" si="66"/>
        <v>-7.0671616831200863</v>
      </c>
      <c r="AN210" s="335">
        <f t="shared" si="67"/>
        <v>37.253771412651474</v>
      </c>
      <c r="AO210" s="335">
        <f t="shared" si="83"/>
        <v>95.745395309288824</v>
      </c>
      <c r="AP210" s="335">
        <f t="shared" si="68"/>
        <v>89.938588352406526</v>
      </c>
      <c r="AS210" s="609">
        <f t="shared" si="69"/>
        <v>2054</v>
      </c>
      <c r="AT210" s="335">
        <f t="shared" si="54"/>
        <v>429.31485068301879</v>
      </c>
      <c r="AU210" s="335">
        <f t="shared" si="54"/>
        <v>392.14939397055889</v>
      </c>
      <c r="AV210" s="335">
        <f t="shared" si="54"/>
        <v>701.55446192316106</v>
      </c>
      <c r="AW210" s="335">
        <f t="shared" si="54"/>
        <v>0</v>
      </c>
      <c r="AX210" s="335">
        <f t="shared" si="54"/>
        <v>1870.5362262122635</v>
      </c>
      <c r="AY210" s="335">
        <f t="shared" si="84"/>
        <v>268.01684069154931</v>
      </c>
      <c r="AZ210" s="335">
        <f t="shared" si="85"/>
        <v>0</v>
      </c>
      <c r="BB210" s="533"/>
    </row>
    <row r="211" spans="2:54" ht="14.4" x14ac:dyDescent="0.55000000000000004">
      <c r="B211" s="3">
        <v>2055</v>
      </c>
      <c r="C211" s="334">
        <f t="shared" si="53"/>
        <v>495.59974132465277</v>
      </c>
      <c r="D211" s="532">
        <f>'Food System Summary'!H53-'Food System Summary'!I53</f>
        <v>53.390927774906231</v>
      </c>
      <c r="E211" s="338">
        <f t="shared" si="70"/>
        <v>0.10772993470941182</v>
      </c>
      <c r="F211" s="338">
        <f t="shared" si="71"/>
        <v>2.9292796434706045E-2</v>
      </c>
      <c r="G211" s="334">
        <f t="shared" si="55"/>
        <v>598.49768011120545</v>
      </c>
      <c r="H211" s="338">
        <f t="shared" si="72"/>
        <v>1.2076230679853146</v>
      </c>
      <c r="I211" s="334">
        <f t="shared" si="73"/>
        <v>-156.28886656145892</v>
      </c>
      <c r="J211" s="338">
        <f t="shared" si="74"/>
        <v>-0.31535300269472638</v>
      </c>
      <c r="K211" s="338">
        <f t="shared" si="75"/>
        <v>-8.5747488271733688E-2</v>
      </c>
      <c r="N211" s="3">
        <v>2055</v>
      </c>
      <c r="O211" s="1205">
        <f t="shared" si="56"/>
        <v>903.9980184490048</v>
      </c>
      <c r="P211" s="1205">
        <f t="shared" si="57"/>
        <v>185.50231988879449</v>
      </c>
      <c r="Q211" s="1205">
        <f t="shared" si="58"/>
        <v>721.01494432794698</v>
      </c>
      <c r="R211" s="1205">
        <f t="shared" si="76"/>
        <v>182.98307412105783</v>
      </c>
      <c r="S211" s="1206">
        <f>Paper!E157</f>
        <v>805.8701617764026</v>
      </c>
      <c r="T211" s="1205">
        <f t="shared" si="59"/>
        <v>84.855217448455619</v>
      </c>
      <c r="U211" s="1206">
        <f>Paper!I157</f>
        <v>0</v>
      </c>
      <c r="V211" s="1205">
        <f t="shared" si="60"/>
        <v>84.855217448455619</v>
      </c>
      <c r="Y211" s="609">
        <f t="shared" si="77"/>
        <v>2055</v>
      </c>
      <c r="Z211" s="335">
        <f t="shared" si="61"/>
        <v>3702.6603743607484</v>
      </c>
      <c r="AA211" s="335">
        <f t="shared" si="78"/>
        <v>270.14247889182525</v>
      </c>
      <c r="AB211" s="335">
        <f t="shared" si="79"/>
        <v>440.25514613626456</v>
      </c>
      <c r="AC211" s="335">
        <f t="shared" si="80"/>
        <v>391.25150759254598</v>
      </c>
      <c r="AD211" s="335">
        <f t="shared" si="81"/>
        <v>721.01494432794698</v>
      </c>
      <c r="AE211" s="335">
        <f>MIN(Paper!H157,Paper!I157)</f>
        <v>0</v>
      </c>
      <c r="AF211" s="335">
        <f t="shared" si="62"/>
        <v>1879.9962974121656</v>
      </c>
      <c r="AI211" s="609">
        <f t="shared" si="63"/>
        <v>2055</v>
      </c>
      <c r="AJ211" s="335">
        <f t="shared" si="82"/>
        <v>5.9622696261638879</v>
      </c>
      <c r="AK211" s="335">
        <f t="shared" si="64"/>
        <v>-17.453084275582313</v>
      </c>
      <c r="AL211" s="335">
        <f t="shared" si="65"/>
        <v>66.835409837806651</v>
      </c>
      <c r="AM211" s="335">
        <f t="shared" si="66"/>
        <v>-6.2222637424743308</v>
      </c>
      <c r="AN211" s="335">
        <f t="shared" si="67"/>
        <v>38.037073324853566</v>
      </c>
      <c r="AO211" s="335">
        <f t="shared" si="83"/>
        <v>84.855217448455619</v>
      </c>
      <c r="AP211" s="335">
        <f t="shared" si="68"/>
        <v>98.127856672602178</v>
      </c>
      <c r="AS211" s="609">
        <f t="shared" si="69"/>
        <v>2055</v>
      </c>
      <c r="AT211" s="335">
        <f t="shared" si="54"/>
        <v>440.25514613626456</v>
      </c>
      <c r="AU211" s="335">
        <f t="shared" si="54"/>
        <v>391.25150759254598</v>
      </c>
      <c r="AV211" s="335">
        <f t="shared" si="54"/>
        <v>721.01494432794698</v>
      </c>
      <c r="AW211" s="335">
        <f t="shared" si="54"/>
        <v>0</v>
      </c>
      <c r="AX211" s="335">
        <f t="shared" si="54"/>
        <v>1879.9962974121656</v>
      </c>
      <c r="AY211" s="335">
        <f t="shared" si="84"/>
        <v>270.14247889182525</v>
      </c>
      <c r="AZ211" s="335">
        <f t="shared" si="85"/>
        <v>0</v>
      </c>
      <c r="BB211" s="533"/>
    </row>
    <row r="212" spans="2:54" ht="14.4" x14ac:dyDescent="0.55000000000000004">
      <c r="B212" s="3">
        <v>2056</v>
      </c>
      <c r="C212" s="334">
        <f t="shared" si="53"/>
        <v>509.70189524925115</v>
      </c>
      <c r="D212" s="532">
        <f>'Food System Summary'!H54-'Food System Summary'!I54</f>
        <v>53.4785829464995</v>
      </c>
      <c r="E212" s="338">
        <f t="shared" si="70"/>
        <v>0.10492129506473141</v>
      </c>
      <c r="F212" s="338">
        <f t="shared" si="71"/>
        <v>2.8838265417164003E-2</v>
      </c>
      <c r="G212" s="334">
        <f t="shared" si="55"/>
        <v>601.94490691432463</v>
      </c>
      <c r="H212" s="338">
        <f t="shared" si="72"/>
        <v>1.1809744333400318</v>
      </c>
      <c r="I212" s="334">
        <f t="shared" si="73"/>
        <v>-145.72159461157298</v>
      </c>
      <c r="J212" s="338">
        <f t="shared" si="74"/>
        <v>-0.28589572840476324</v>
      </c>
      <c r="K212" s="338">
        <f t="shared" si="75"/>
        <v>-7.8580205212710988E-2</v>
      </c>
      <c r="N212" s="3">
        <v>2056</v>
      </c>
      <c r="O212" s="1205">
        <f t="shared" si="56"/>
        <v>920.90931516662624</v>
      </c>
      <c r="P212" s="1205">
        <f t="shared" si="57"/>
        <v>182.05509308567542</v>
      </c>
      <c r="Q212" s="1205">
        <f t="shared" si="58"/>
        <v>740.96397440816691</v>
      </c>
      <c r="R212" s="1205">
        <f t="shared" si="76"/>
        <v>179.94534075845934</v>
      </c>
      <c r="S212" s="1206">
        <f>Paper!E158</f>
        <v>814.3953438896981</v>
      </c>
      <c r="T212" s="1205">
        <f t="shared" si="59"/>
        <v>73.431369481531192</v>
      </c>
      <c r="U212" s="1206">
        <f>Paper!I158</f>
        <v>0</v>
      </c>
      <c r="V212" s="1205">
        <f t="shared" si="60"/>
        <v>73.431369481531192</v>
      </c>
      <c r="Y212" s="609">
        <f t="shared" si="77"/>
        <v>2056</v>
      </c>
      <c r="Z212" s="335">
        <f t="shared" si="61"/>
        <v>3743.6679867622934</v>
      </c>
      <c r="AA212" s="335">
        <f t="shared" si="78"/>
        <v>272.07351775923064</v>
      </c>
      <c r="AB212" s="335">
        <f t="shared" si="79"/>
        <v>451.05226639574892</v>
      </c>
      <c r="AC212" s="335">
        <f t="shared" si="80"/>
        <v>390.3415733112746</v>
      </c>
      <c r="AD212" s="335">
        <f t="shared" si="81"/>
        <v>740.96397440816691</v>
      </c>
      <c r="AE212" s="335">
        <f>MIN(Paper!H158,Paper!I158)</f>
        <v>0</v>
      </c>
      <c r="AF212" s="335">
        <f t="shared" si="62"/>
        <v>1889.2366548878722</v>
      </c>
      <c r="AI212" s="609">
        <f t="shared" si="63"/>
        <v>2056</v>
      </c>
      <c r="AJ212" s="335">
        <f t="shared" si="82"/>
        <v>6.1535950143752913</v>
      </c>
      <c r="AK212" s="335">
        <f t="shared" si="64"/>
        <v>-16.767678361741019</v>
      </c>
      <c r="AL212" s="335">
        <f t="shared" si="65"/>
        <v>69.263712200867985</v>
      </c>
      <c r="AM212" s="335">
        <f t="shared" si="66"/>
        <v>-5.2450749353727764</v>
      </c>
      <c r="AN212" s="335">
        <f t="shared" si="67"/>
        <v>38.723623082641836</v>
      </c>
      <c r="AO212" s="335">
        <f t="shared" si="83"/>
        <v>73.431369481531192</v>
      </c>
      <c r="AP212" s="335">
        <f t="shared" si="68"/>
        <v>106.51397127692815</v>
      </c>
      <c r="AS212" s="609">
        <f t="shared" si="69"/>
        <v>2056</v>
      </c>
      <c r="AT212" s="335">
        <f t="shared" si="54"/>
        <v>451.05226639574892</v>
      </c>
      <c r="AU212" s="335">
        <f t="shared" si="54"/>
        <v>390.3415733112746</v>
      </c>
      <c r="AV212" s="335">
        <f t="shared" si="54"/>
        <v>740.96397440816691</v>
      </c>
      <c r="AW212" s="335">
        <f t="shared" si="54"/>
        <v>0</v>
      </c>
      <c r="AX212" s="335">
        <f t="shared" si="54"/>
        <v>1889.2366548878722</v>
      </c>
      <c r="AY212" s="335">
        <f t="shared" si="84"/>
        <v>272.07351775923064</v>
      </c>
      <c r="AZ212" s="335">
        <f t="shared" si="85"/>
        <v>0</v>
      </c>
      <c r="BB212" s="533"/>
    </row>
    <row r="213" spans="2:54" ht="14.4" x14ac:dyDescent="0.55000000000000004">
      <c r="B213" s="3">
        <v>2057</v>
      </c>
      <c r="C213" s="334">
        <f t="shared" si="53"/>
        <v>523.76770229008343</v>
      </c>
      <c r="D213" s="532">
        <f>'Food System Summary'!H55-'Food System Summary'!I55</f>
        <v>53.55803889890035</v>
      </c>
      <c r="E213" s="338">
        <f t="shared" si="70"/>
        <v>0.10225532934682134</v>
      </c>
      <c r="F213" s="338">
        <f t="shared" si="71"/>
        <v>2.839256857564923E-2</v>
      </c>
      <c r="G213" s="334">
        <f t="shared" si="55"/>
        <v>605.1903153821645</v>
      </c>
      <c r="H213" s="338">
        <f t="shared" si="72"/>
        <v>1.1554555821904917</v>
      </c>
      <c r="I213" s="334">
        <f t="shared" si="73"/>
        <v>-134.98065199098141</v>
      </c>
      <c r="J213" s="338">
        <f t="shared" si="74"/>
        <v>-0.25771091153731307</v>
      </c>
      <c r="K213" s="338">
        <f t="shared" si="75"/>
        <v>-7.1556903442154804E-2</v>
      </c>
      <c r="N213" s="3">
        <v>2057</v>
      </c>
      <c r="O213" s="1205">
        <f t="shared" si="56"/>
        <v>937.97250727267419</v>
      </c>
      <c r="P213" s="1205">
        <f t="shared" si="57"/>
        <v>178.8096846178355</v>
      </c>
      <c r="Q213" s="1205">
        <f t="shared" si="58"/>
        <v>761.40155216382072</v>
      </c>
      <c r="R213" s="1205">
        <f t="shared" si="76"/>
        <v>176.57095510885347</v>
      </c>
      <c r="S213" s="1206">
        <f>Paper!E159</f>
        <v>822.90366684399692</v>
      </c>
      <c r="T213" s="1205">
        <f t="shared" si="59"/>
        <v>61.502114680176192</v>
      </c>
      <c r="U213" s="1206">
        <f>Paper!I159</f>
        <v>0</v>
      </c>
      <c r="V213" s="1205">
        <f t="shared" si="60"/>
        <v>61.502114680176192</v>
      </c>
      <c r="Y213" s="609">
        <f t="shared" si="77"/>
        <v>2057</v>
      </c>
      <c r="Z213" s="335">
        <f t="shared" si="61"/>
        <v>3784.60177977586</v>
      </c>
      <c r="AA213" s="335">
        <f t="shared" si="78"/>
        <v>273.81079055357077</v>
      </c>
      <c r="AB213" s="335">
        <f t="shared" si="79"/>
        <v>461.70512899866139</v>
      </c>
      <c r="AC213" s="335">
        <f t="shared" si="80"/>
        <v>389.42256674155192</v>
      </c>
      <c r="AD213" s="335">
        <f t="shared" si="81"/>
        <v>761.40155216382072</v>
      </c>
      <c r="AE213" s="335">
        <f>MIN(Paper!H159,Paper!I159)</f>
        <v>0</v>
      </c>
      <c r="AF213" s="335">
        <f t="shared" si="62"/>
        <v>1898.2617413182552</v>
      </c>
      <c r="AI213" s="609">
        <f t="shared" si="63"/>
        <v>2057</v>
      </c>
      <c r="AJ213" s="335">
        <f t="shared" si="82"/>
        <v>6.3462288720255984</v>
      </c>
      <c r="AK213" s="335">
        <f t="shared" si="64"/>
        <v>-15.994202335283674</v>
      </c>
      <c r="AL213" s="335">
        <f t="shared" si="65"/>
        <v>71.710546754680081</v>
      </c>
      <c r="AM213" s="335">
        <f t="shared" si="66"/>
        <v>-4.1300083185510008</v>
      </c>
      <c r="AN213" s="335">
        <f t="shared" si="67"/>
        <v>39.307270471846266</v>
      </c>
      <c r="AO213" s="335">
        <f t="shared" si="83"/>
        <v>61.502114680176192</v>
      </c>
      <c r="AP213" s="335">
        <f t="shared" si="68"/>
        <v>115.06884042867728</v>
      </c>
      <c r="AS213" s="609">
        <f t="shared" si="69"/>
        <v>2057</v>
      </c>
      <c r="AT213" s="335">
        <f t="shared" si="54"/>
        <v>461.70512899866139</v>
      </c>
      <c r="AU213" s="335">
        <f t="shared" si="54"/>
        <v>389.42256674155192</v>
      </c>
      <c r="AV213" s="335">
        <f t="shared" si="54"/>
        <v>761.40155216382072</v>
      </c>
      <c r="AW213" s="335">
        <f t="shared" si="54"/>
        <v>0</v>
      </c>
      <c r="AX213" s="335">
        <f t="shared" si="54"/>
        <v>1898.2617413182552</v>
      </c>
      <c r="AY213" s="335">
        <f t="shared" si="84"/>
        <v>273.81079055357077</v>
      </c>
      <c r="AZ213" s="335">
        <f t="shared" si="85"/>
        <v>0</v>
      </c>
      <c r="BB213" s="533"/>
    </row>
    <row r="214" spans="2:54" ht="14.4" x14ac:dyDescent="0.55000000000000004">
      <c r="B214" s="3">
        <v>2058</v>
      </c>
      <c r="C214" s="334">
        <f t="shared" si="53"/>
        <v>537.79099294289404</v>
      </c>
      <c r="D214" s="532">
        <f>'Food System Summary'!H56-'Food System Summary'!I56</f>
        <v>53.62964469612939</v>
      </c>
      <c r="E214" s="338">
        <f t="shared" si="70"/>
        <v>9.972209538627233E-2</v>
      </c>
      <c r="F214" s="338">
        <f t="shared" si="71"/>
        <v>2.7955596735852881E-2</v>
      </c>
      <c r="G214" s="334">
        <f t="shared" si="55"/>
        <v>608.23390551472517</v>
      </c>
      <c r="H214" s="338">
        <f t="shared" si="72"/>
        <v>1.1309856682172272</v>
      </c>
      <c r="I214" s="334">
        <f t="shared" si="73"/>
        <v>-124.07255726796052</v>
      </c>
      <c r="J214" s="338">
        <f t="shared" si="74"/>
        <v>-0.23070776360349959</v>
      </c>
      <c r="K214" s="338">
        <f t="shared" si="75"/>
        <v>-6.4675468141213513E-2</v>
      </c>
      <c r="N214" s="3">
        <v>2058</v>
      </c>
      <c r="O214" s="1205">
        <f t="shared" si="56"/>
        <v>955.18789996706664</v>
      </c>
      <c r="P214" s="1205">
        <f t="shared" si="57"/>
        <v>175.76609448527486</v>
      </c>
      <c r="Q214" s="1205">
        <f t="shared" si="58"/>
        <v>782.32767759490844</v>
      </c>
      <c r="R214" s="1205">
        <f t="shared" si="76"/>
        <v>172.8602223721582</v>
      </c>
      <c r="S214" s="1206">
        <f>Paper!E160</f>
        <v>831.42001936786221</v>
      </c>
      <c r="T214" s="1205">
        <f t="shared" si="59"/>
        <v>49.092341772953773</v>
      </c>
      <c r="U214" s="1206">
        <f>Paper!I160</f>
        <v>2.9694561665902484</v>
      </c>
      <c r="V214" s="1205">
        <f t="shared" si="60"/>
        <v>46.122885606363525</v>
      </c>
      <c r="Y214" s="609">
        <f t="shared" si="77"/>
        <v>2058</v>
      </c>
      <c r="Z214" s="335">
        <f t="shared" si="61"/>
        <v>3825.4689224921226</v>
      </c>
      <c r="AA214" s="335">
        <f t="shared" si="78"/>
        <v>272.38412691459132</v>
      </c>
      <c r="AB214" s="335">
        <f t="shared" si="79"/>
        <v>472.20740206597247</v>
      </c>
      <c r="AC214" s="335">
        <f t="shared" si="80"/>
        <v>388.49802751054438</v>
      </c>
      <c r="AD214" s="335">
        <f t="shared" si="81"/>
        <v>782.32767759490844</v>
      </c>
      <c r="AE214" s="335">
        <f>MIN(Paper!H160,Paper!I160)</f>
        <v>2.9694561665902484</v>
      </c>
      <c r="AF214" s="335">
        <f t="shared" si="62"/>
        <v>1907.0822322395156</v>
      </c>
      <c r="AI214" s="609">
        <f t="shared" si="63"/>
        <v>2058</v>
      </c>
      <c r="AJ214" s="335">
        <f t="shared" si="82"/>
        <v>6.540133105202635</v>
      </c>
      <c r="AK214" s="335">
        <f t="shared" si="64"/>
        <v>-15.130643580301452</v>
      </c>
      <c r="AL214" s="335">
        <f t="shared" si="65"/>
        <v>74.174101352020443</v>
      </c>
      <c r="AM214" s="335">
        <f t="shared" si="66"/>
        <v>-2.8716046876236048</v>
      </c>
      <c r="AN214" s="335">
        <f t="shared" si="67"/>
        <v>39.781374519725546</v>
      </c>
      <c r="AO214" s="335">
        <f t="shared" si="83"/>
        <v>46.122885606363525</v>
      </c>
      <c r="AP214" s="335">
        <f t="shared" si="68"/>
        <v>123.76788059920423</v>
      </c>
      <c r="AS214" s="609">
        <f>Y214</f>
        <v>2058</v>
      </c>
      <c r="AT214" s="335">
        <f t="shared" si="54"/>
        <v>472.20740206597247</v>
      </c>
      <c r="AU214" s="335">
        <f t="shared" si="54"/>
        <v>388.49802751054438</v>
      </c>
      <c r="AV214" s="335">
        <f t="shared" si="54"/>
        <v>782.32767759490844</v>
      </c>
      <c r="AW214" s="335">
        <f t="shared" si="54"/>
        <v>2.9694561665902484</v>
      </c>
      <c r="AX214" s="335">
        <f t="shared" si="54"/>
        <v>1907.0822322395156</v>
      </c>
      <c r="AY214" s="335">
        <f t="shared" si="84"/>
        <v>272.38412691459132</v>
      </c>
      <c r="AZ214" s="335">
        <f t="shared" si="85"/>
        <v>0</v>
      </c>
      <c r="BB214" s="533"/>
    </row>
    <row r="215" spans="2:54" ht="14.4" x14ac:dyDescent="0.55000000000000004">
      <c r="B215" s="3">
        <v>2059</v>
      </c>
      <c r="C215" s="334">
        <f t="shared" si="53"/>
        <v>551.76204764116153</v>
      </c>
      <c r="D215" s="532">
        <f>'Food System Summary'!H57-'Food System Summary'!I57</f>
        <v>53.693840515965121</v>
      </c>
      <c r="E215" s="338">
        <f t="shared" si="70"/>
        <v>9.7313399400179315E-2</v>
      </c>
      <c r="F215" s="338">
        <f t="shared" si="71"/>
        <v>2.7527336769918018E-2</v>
      </c>
      <c r="G215" s="334">
        <f t="shared" si="55"/>
        <v>611.07567731200663</v>
      </c>
      <c r="H215" s="338">
        <f t="shared" si="72"/>
        <v>1.1074985674067597</v>
      </c>
      <c r="I215" s="334">
        <f t="shared" si="73"/>
        <v>-113.00747018681022</v>
      </c>
      <c r="J215" s="338">
        <f t="shared" si="74"/>
        <v>-0.20481196680693892</v>
      </c>
      <c r="K215" s="338">
        <f t="shared" si="75"/>
        <v>-5.7935782940016063E-2</v>
      </c>
      <c r="N215" s="3">
        <v>2059</v>
      </c>
      <c r="O215" s="1205">
        <f t="shared" si="56"/>
        <v>972.55592721401797</v>
      </c>
      <c r="P215" s="1205">
        <f t="shared" si="57"/>
        <v>172.9243226879934</v>
      </c>
      <c r="Q215" s="1205">
        <f t="shared" si="58"/>
        <v>803.74235070143027</v>
      </c>
      <c r="R215" s="1205">
        <f t="shared" si="76"/>
        <v>168.8135765125877</v>
      </c>
      <c r="S215" s="1206">
        <f>Paper!E161</f>
        <v>839.96570260949193</v>
      </c>
      <c r="T215" s="1205">
        <f t="shared" si="59"/>
        <v>36.223351908061659</v>
      </c>
      <c r="U215" s="1206">
        <f>Paper!I161</f>
        <v>6.5452468256041811</v>
      </c>
      <c r="V215" s="1205">
        <f t="shared" si="60"/>
        <v>29.678105082457478</v>
      </c>
      <c r="Y215" s="609">
        <f t="shared" si="77"/>
        <v>2059</v>
      </c>
      <c r="Z215" s="335">
        <f t="shared" si="61"/>
        <v>3866.2765840017541</v>
      </c>
      <c r="AA215" s="335">
        <f t="shared" si="78"/>
        <v>270.1548963856726</v>
      </c>
      <c r="AB215" s="335">
        <f t="shared" si="79"/>
        <v>482.54994998160521</v>
      </c>
      <c r="AC215" s="335">
        <f t="shared" si="80"/>
        <v>387.57186113653086</v>
      </c>
      <c r="AD215" s="335">
        <f t="shared" si="81"/>
        <v>803.74235070143027</v>
      </c>
      <c r="AE215" s="335">
        <f>MIN(Paper!H161,Paper!I161)</f>
        <v>6.5452468256041811</v>
      </c>
      <c r="AF215" s="335">
        <f t="shared" si="62"/>
        <v>1915.7122789709108</v>
      </c>
      <c r="AI215" s="609">
        <f t="shared" si="63"/>
        <v>2059</v>
      </c>
      <c r="AJ215" s="335">
        <f t="shared" si="82"/>
        <v>6.735264502868624</v>
      </c>
      <c r="AK215" s="335">
        <f t="shared" si="64"/>
        <v>-14.175465848487661</v>
      </c>
      <c r="AL215" s="335">
        <f t="shared" si="65"/>
        <v>76.652299005175337</v>
      </c>
      <c r="AM215" s="335">
        <f t="shared" si="66"/>
        <v>-1.4646673843003086</v>
      </c>
      <c r="AN215" s="335">
        <f t="shared" si="67"/>
        <v>40.139136423433399</v>
      </c>
      <c r="AO215" s="335">
        <f t="shared" si="83"/>
        <v>29.678105082457478</v>
      </c>
      <c r="AP215" s="335">
        <f t="shared" si="68"/>
        <v>132.5902246045257</v>
      </c>
      <c r="AS215" s="609">
        <f>Y215</f>
        <v>2059</v>
      </c>
      <c r="AT215" s="335">
        <f t="shared" si="54"/>
        <v>482.54994998160521</v>
      </c>
      <c r="AU215" s="335">
        <f t="shared" si="54"/>
        <v>387.57186113653086</v>
      </c>
      <c r="AV215" s="335">
        <f t="shared" si="54"/>
        <v>803.74235070143027</v>
      </c>
      <c r="AW215" s="335">
        <f t="shared" si="54"/>
        <v>6.5452468256041811</v>
      </c>
      <c r="AX215" s="335">
        <f t="shared" si="54"/>
        <v>1915.7122789709108</v>
      </c>
      <c r="AY215" s="335">
        <f t="shared" si="84"/>
        <v>270.1548963856726</v>
      </c>
      <c r="AZ215" s="335">
        <f t="shared" si="85"/>
        <v>0</v>
      </c>
      <c r="BB215" s="533"/>
    </row>
    <row r="216" spans="2:54" ht="14.4" x14ac:dyDescent="0.55000000000000004">
      <c r="B216" s="3">
        <v>2060</v>
      </c>
      <c r="C216" s="334">
        <f t="shared" si="53"/>
        <v>565.67286337482756</v>
      </c>
      <c r="D216" s="532">
        <f>'Food System Summary'!H58-'Food System Summary'!I58</f>
        <v>53.751014009904111</v>
      </c>
      <c r="E216" s="338">
        <f t="shared" si="70"/>
        <v>9.5021376293752804E-2</v>
      </c>
      <c r="F216" s="338">
        <f t="shared" si="71"/>
        <v>2.7107715945860925E-2</v>
      </c>
      <c r="G216" s="334">
        <f t="shared" si="55"/>
        <v>613.71563077400901</v>
      </c>
      <c r="H216" s="338">
        <f t="shared" si="72"/>
        <v>1.0849303024941948</v>
      </c>
      <c r="I216" s="334">
        <f t="shared" si="73"/>
        <v>-101.79378140908557</v>
      </c>
      <c r="J216" s="338">
        <f t="shared" si="74"/>
        <v>-0.17995167878794766</v>
      </c>
      <c r="K216" s="338">
        <f t="shared" si="75"/>
        <v>-5.1336648476698624E-2</v>
      </c>
      <c r="N216" s="3">
        <v>2060</v>
      </c>
      <c r="O216" s="1205">
        <f t="shared" si="56"/>
        <v>990.07714706529555</v>
      </c>
      <c r="P216" s="1205">
        <f t="shared" si="57"/>
        <v>170.28436922599101</v>
      </c>
      <c r="Q216" s="1205">
        <f t="shared" si="58"/>
        <v>825.64557148338611</v>
      </c>
      <c r="R216" s="1205">
        <f t="shared" si="76"/>
        <v>164.43157558190944</v>
      </c>
      <c r="S216" s="1206">
        <f>Paper!E162</f>
        <v>848.55787966948071</v>
      </c>
      <c r="T216" s="1205">
        <f t="shared" si="59"/>
        <v>22.912308186094606</v>
      </c>
      <c r="U216" s="1206">
        <f>Paper!I162</f>
        <v>6.4904764412476652</v>
      </c>
      <c r="V216" s="1205">
        <f t="shared" si="60"/>
        <v>16.421831744846941</v>
      </c>
      <c r="Y216" s="609">
        <f t="shared" si="77"/>
        <v>2060</v>
      </c>
      <c r="Z216" s="335">
        <f t="shared" si="61"/>
        <v>3907.0319333954285</v>
      </c>
      <c r="AA216" s="335">
        <f t="shared" si="78"/>
        <v>271.35864967970303</v>
      </c>
      <c r="AB216" s="335">
        <f t="shared" si="79"/>
        <v>492.72517707880456</v>
      </c>
      <c r="AC216" s="335">
        <f t="shared" si="80"/>
        <v>386.64781203951475</v>
      </c>
      <c r="AD216" s="335">
        <f t="shared" si="81"/>
        <v>825.64557148338611</v>
      </c>
      <c r="AE216" s="335">
        <f>MIN(Paper!H162,Paper!I162)</f>
        <v>6.4904764412476652</v>
      </c>
      <c r="AF216" s="335">
        <f t="shared" si="62"/>
        <v>1924.1642466727724</v>
      </c>
      <c r="AI216" s="609">
        <f t="shared" si="63"/>
        <v>2060</v>
      </c>
      <c r="AJ216" s="335">
        <f t="shared" si="82"/>
        <v>6.9315895492930366</v>
      </c>
      <c r="AK216" s="335">
        <f t="shared" si="64"/>
        <v>-13.127058612665905</v>
      </c>
      <c r="AL216" s="335">
        <f t="shared" si="65"/>
        <v>79.143155359395905</v>
      </c>
      <c r="AM216" s="335">
        <f t="shared" si="66"/>
        <v>9.5656950623470974E-2</v>
      </c>
      <c r="AN216" s="335">
        <f t="shared" si="67"/>
        <v>40.374207292394772</v>
      </c>
      <c r="AO216" s="335">
        <f t="shared" si="83"/>
        <v>16.421831744846941</v>
      </c>
      <c r="AP216" s="335">
        <f t="shared" si="68"/>
        <v>141.51926739581481</v>
      </c>
      <c r="AS216" s="609">
        <f>Y216</f>
        <v>2060</v>
      </c>
      <c r="AT216" s="335">
        <f t="shared" si="54"/>
        <v>492.72517707880456</v>
      </c>
      <c r="AU216" s="335">
        <f t="shared" si="54"/>
        <v>386.64781203951475</v>
      </c>
      <c r="AV216" s="335">
        <f t="shared" si="54"/>
        <v>825.64557148338611</v>
      </c>
      <c r="AW216" s="335">
        <f t="shared" si="54"/>
        <v>6.4904764412476652</v>
      </c>
      <c r="AX216" s="335">
        <f t="shared" si="54"/>
        <v>1924.1642466727724</v>
      </c>
      <c r="AY216" s="335">
        <f t="shared" si="84"/>
        <v>271.35864967970303</v>
      </c>
      <c r="AZ216" s="335">
        <f t="shared" si="85"/>
        <v>0</v>
      </c>
      <c r="BB216" s="533"/>
    </row>
  </sheetData>
  <mergeCells count="29">
    <mergeCell ref="AY3:BA3"/>
    <mergeCell ref="BD3:BG3"/>
    <mergeCell ref="T57:U57"/>
    <mergeCell ref="C3:L3"/>
    <mergeCell ref="N3:X3"/>
    <mergeCell ref="AA3:AK3"/>
    <mergeCell ref="AM3:AW3"/>
    <mergeCell ref="B57:C57"/>
    <mergeCell ref="E57:F57"/>
    <mergeCell ref="H57:I57"/>
    <mergeCell ref="L57:M57"/>
    <mergeCell ref="Q57:R57"/>
    <mergeCell ref="W57:Y57"/>
    <mergeCell ref="AA57:AB57"/>
    <mergeCell ref="AD57:AE57"/>
    <mergeCell ref="AG57:AH57"/>
    <mergeCell ref="AK57:AN57"/>
    <mergeCell ref="AE110:AI110"/>
    <mergeCell ref="AK110:AT110"/>
    <mergeCell ref="B167:J167"/>
    <mergeCell ref="N167:V167"/>
    <mergeCell ref="Y167:AF167"/>
    <mergeCell ref="AI167:AP167"/>
    <mergeCell ref="AS167:AZ167"/>
    <mergeCell ref="B110:D110"/>
    <mergeCell ref="F110:H110"/>
    <mergeCell ref="J110:N110"/>
    <mergeCell ref="P110:S110"/>
    <mergeCell ref="V110:AC110"/>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114"/>
  <sheetViews>
    <sheetView topLeftCell="A52" zoomScale="83" zoomScaleNormal="83" workbookViewId="0">
      <selection activeCell="I62" sqref="I62"/>
    </sheetView>
  </sheetViews>
  <sheetFormatPr defaultColWidth="10.6640625" defaultRowHeight="12.3" x14ac:dyDescent="0.4"/>
  <cols>
    <col min="7" max="7" width="11.6640625" bestFit="1" customWidth="1"/>
    <col min="9" max="9" width="11.6640625" bestFit="1" customWidth="1"/>
  </cols>
  <sheetData>
    <row r="1" spans="2:33" ht="123" x14ac:dyDescent="0.4">
      <c r="B1" s="351" t="s">
        <v>166</v>
      </c>
      <c r="C1" s="352">
        <f>M49</f>
        <v>2.4730863437256865</v>
      </c>
      <c r="D1" s="352" t="s">
        <v>167</v>
      </c>
      <c r="J1" s="353" t="s">
        <v>390</v>
      </c>
      <c r="K1" s="354" t="s">
        <v>282</v>
      </c>
      <c r="L1" s="354" t="s">
        <v>283</v>
      </c>
      <c r="M1" s="354" t="s">
        <v>284</v>
      </c>
      <c r="N1" s="354" t="s">
        <v>285</v>
      </c>
      <c r="O1" s="354" t="s">
        <v>286</v>
      </c>
      <c r="P1" s="354" t="s">
        <v>287</v>
      </c>
      <c r="Q1" s="354" t="s">
        <v>288</v>
      </c>
      <c r="R1" s="354" t="s">
        <v>289</v>
      </c>
      <c r="S1" s="354" t="s">
        <v>290</v>
      </c>
    </row>
    <row r="2" spans="2:33" x14ac:dyDescent="0.4">
      <c r="K2" s="926">
        <v>0.33077877035171555</v>
      </c>
      <c r="L2" s="926">
        <v>0.21720872877362879</v>
      </c>
      <c r="M2" s="926">
        <v>6.6381925889691842E-2</v>
      </c>
      <c r="N2" s="926">
        <v>3.3339135364901074E-2</v>
      </c>
      <c r="O2" s="926">
        <v>1.2148152231199607E-2</v>
      </c>
      <c r="P2" s="926">
        <v>0.12144689809008928</v>
      </c>
      <c r="Q2" s="926">
        <v>4.4299195836806353E-2</v>
      </c>
      <c r="R2" s="926">
        <v>5.3907572082677671E-2</v>
      </c>
      <c r="S2" s="926">
        <v>0.1204896213792897</v>
      </c>
      <c r="Y2" s="609" t="s">
        <v>1057</v>
      </c>
      <c r="Z2" s="609" t="s">
        <v>1058</v>
      </c>
      <c r="AA2" s="609" t="s">
        <v>202</v>
      </c>
      <c r="AB2" s="609" t="s">
        <v>200</v>
      </c>
      <c r="AC2" s="609" t="s">
        <v>184</v>
      </c>
      <c r="AD2" s="609" t="s">
        <v>185</v>
      </c>
      <c r="AE2" s="609" t="s">
        <v>205</v>
      </c>
      <c r="AF2" s="609" t="s">
        <v>1059</v>
      </c>
      <c r="AG2" s="609" t="s">
        <v>1060</v>
      </c>
    </row>
    <row r="3" spans="2:33" x14ac:dyDescent="0.4">
      <c r="Y3" s="609">
        <v>2010</v>
      </c>
      <c r="Z3" s="609">
        <f>(75+369+243+602)/1000</f>
        <v>1.2889999999999999</v>
      </c>
      <c r="AA3" s="609">
        <v>0.17</v>
      </c>
      <c r="AB3" s="609">
        <v>0.1</v>
      </c>
      <c r="AC3" s="609">
        <v>0.04</v>
      </c>
      <c r="AD3" s="609">
        <v>0.05</v>
      </c>
      <c r="AE3" s="609">
        <v>0.18</v>
      </c>
      <c r="AF3" s="609">
        <v>0.36099999999999999</v>
      </c>
      <c r="AG3" s="1128">
        <v>0.10381691233514352</v>
      </c>
    </row>
    <row r="4" spans="2:33" x14ac:dyDescent="0.4">
      <c r="B4" s="356" t="s">
        <v>168</v>
      </c>
      <c r="Y4" s="609">
        <v>2016</v>
      </c>
      <c r="Z4" s="609">
        <v>2.0099999999999998</v>
      </c>
      <c r="AA4" s="609">
        <v>0.17</v>
      </c>
      <c r="AB4" s="609">
        <v>0.12</v>
      </c>
      <c r="AC4" s="609">
        <v>0.04</v>
      </c>
      <c r="AD4" s="609">
        <v>0.05</v>
      </c>
      <c r="AE4" s="609">
        <v>0.14000000000000001</v>
      </c>
      <c r="AF4" s="609">
        <f>SUM(AB4:AE4)</f>
        <v>0.35000000000000003</v>
      </c>
      <c r="AG4" s="609">
        <v>0.13500000000000001</v>
      </c>
    </row>
    <row r="5" spans="2:33" ht="14.4" x14ac:dyDescent="0.55000000000000004">
      <c r="I5" s="356"/>
      <c r="J5" s="356"/>
      <c r="L5" s="357" t="s">
        <v>169</v>
      </c>
      <c r="R5" s="358"/>
      <c r="Y5" s="609">
        <v>2025</v>
      </c>
      <c r="Z5" s="609">
        <f>(213+956+360+686)/1000</f>
        <v>2.2149999999999999</v>
      </c>
      <c r="AA5" s="609"/>
      <c r="AB5" s="609">
        <v>0.11</v>
      </c>
      <c r="AC5" s="609">
        <v>0.04</v>
      </c>
      <c r="AD5" s="609">
        <v>0.05</v>
      </c>
      <c r="AE5" s="609">
        <v>0.16</v>
      </c>
      <c r="AF5" s="609">
        <v>0.36899999999999999</v>
      </c>
      <c r="AG5" s="609"/>
    </row>
    <row r="6" spans="2:33" ht="49.2" x14ac:dyDescent="0.4">
      <c r="I6" s="356"/>
      <c r="J6" s="356"/>
      <c r="L6" s="359" t="s">
        <v>170</v>
      </c>
      <c r="M6" s="359" t="s">
        <v>171</v>
      </c>
      <c r="N6" s="359" t="s">
        <v>172</v>
      </c>
      <c r="O6" s="359" t="s">
        <v>173</v>
      </c>
      <c r="P6" s="359" t="s">
        <v>174</v>
      </c>
      <c r="Q6" s="359" t="s">
        <v>175</v>
      </c>
      <c r="R6" s="350" t="s">
        <v>198</v>
      </c>
    </row>
    <row r="7" spans="2:33" x14ac:dyDescent="0.4">
      <c r="L7" s="352" t="s">
        <v>176</v>
      </c>
      <c r="M7" s="355">
        <v>90</v>
      </c>
      <c r="N7" s="355">
        <v>40</v>
      </c>
      <c r="O7" s="355">
        <v>44</v>
      </c>
      <c r="P7" s="355">
        <v>46</v>
      </c>
      <c r="Q7" s="355">
        <v>1</v>
      </c>
      <c r="R7" s="526" t="s">
        <v>158</v>
      </c>
    </row>
    <row r="8" spans="2:33" x14ac:dyDescent="0.4">
      <c r="L8" s="352" t="s">
        <v>177</v>
      </c>
      <c r="M8" s="355">
        <v>80</v>
      </c>
      <c r="N8" s="355">
        <v>24</v>
      </c>
      <c r="O8" s="355">
        <v>30</v>
      </c>
      <c r="P8" s="355">
        <v>50</v>
      </c>
      <c r="Q8" s="355">
        <v>20</v>
      </c>
      <c r="R8" s="526" t="s">
        <v>201</v>
      </c>
    </row>
    <row r="9" spans="2:33" x14ac:dyDescent="0.4">
      <c r="L9" s="352" t="s">
        <v>178</v>
      </c>
      <c r="M9" s="355">
        <v>40</v>
      </c>
      <c r="N9" s="355">
        <v>15</v>
      </c>
      <c r="O9" s="355">
        <v>38</v>
      </c>
      <c r="P9" s="355">
        <v>38</v>
      </c>
      <c r="Q9" s="355">
        <v>0</v>
      </c>
      <c r="R9" s="526" t="s">
        <v>199</v>
      </c>
    </row>
    <row r="10" spans="2:33" x14ac:dyDescent="0.4">
      <c r="L10" s="352" t="s">
        <v>179</v>
      </c>
      <c r="M10" s="355">
        <v>85</v>
      </c>
      <c r="N10" s="355">
        <v>43</v>
      </c>
      <c r="O10" s="355">
        <v>50</v>
      </c>
      <c r="P10" s="355">
        <v>50</v>
      </c>
      <c r="Q10" s="355">
        <v>0</v>
      </c>
      <c r="R10" s="526" t="s">
        <v>199</v>
      </c>
    </row>
    <row r="11" spans="2:33" x14ac:dyDescent="0.4">
      <c r="L11" s="352" t="s">
        <v>180</v>
      </c>
      <c r="M11" s="355">
        <v>40</v>
      </c>
      <c r="N11" s="355">
        <v>20</v>
      </c>
      <c r="O11" s="355">
        <v>49</v>
      </c>
      <c r="P11" s="355">
        <v>49</v>
      </c>
      <c r="Q11" s="355">
        <v>0</v>
      </c>
      <c r="R11" s="526" t="s">
        <v>199</v>
      </c>
    </row>
    <row r="12" spans="2:33" x14ac:dyDescent="0.4">
      <c r="L12" s="352" t="s">
        <v>181</v>
      </c>
      <c r="M12" s="355">
        <v>40</v>
      </c>
      <c r="N12" s="355">
        <v>24</v>
      </c>
      <c r="O12" s="355">
        <v>60</v>
      </c>
      <c r="P12" s="355">
        <v>70</v>
      </c>
      <c r="Q12" s="355">
        <v>10</v>
      </c>
      <c r="R12" s="526" t="s">
        <v>158</v>
      </c>
    </row>
    <row r="13" spans="2:33" x14ac:dyDescent="0.4">
      <c r="L13" s="352" t="s">
        <v>182</v>
      </c>
      <c r="M13" s="355">
        <v>84</v>
      </c>
      <c r="N13" s="355">
        <v>39</v>
      </c>
      <c r="O13" s="355">
        <v>47</v>
      </c>
      <c r="P13" s="355">
        <v>67</v>
      </c>
      <c r="Q13" s="355">
        <v>20</v>
      </c>
      <c r="R13" s="526" t="s">
        <v>201</v>
      </c>
    </row>
    <row r="14" spans="2:33" x14ac:dyDescent="0.4">
      <c r="L14" s="352" t="s">
        <v>183</v>
      </c>
      <c r="M14" s="355">
        <v>100</v>
      </c>
      <c r="N14" s="355"/>
      <c r="O14" s="355"/>
      <c r="P14" s="355">
        <v>75</v>
      </c>
      <c r="Q14" s="355">
        <v>100</v>
      </c>
      <c r="R14" s="526" t="s">
        <v>201</v>
      </c>
    </row>
    <row r="15" spans="2:33" ht="14.4" x14ac:dyDescent="0.55000000000000004">
      <c r="L15" s="352"/>
      <c r="M15" s="355"/>
      <c r="N15" s="355"/>
      <c r="O15" s="355"/>
      <c r="P15" s="355"/>
      <c r="Q15" s="355"/>
      <c r="R15" s="358"/>
    </row>
    <row r="16" spans="2:33" ht="14.4" x14ac:dyDescent="0.55000000000000004">
      <c r="L16" s="352"/>
      <c r="M16" s="355"/>
      <c r="N16" s="355"/>
      <c r="O16" s="355"/>
      <c r="P16" s="355"/>
      <c r="Q16" s="355"/>
      <c r="R16" s="358"/>
    </row>
    <row r="17" spans="12:18" ht="14.4" x14ac:dyDescent="0.55000000000000004">
      <c r="L17" s="352"/>
      <c r="M17" s="355"/>
      <c r="N17" s="355"/>
      <c r="O17" s="355"/>
      <c r="P17" s="355"/>
      <c r="Q17" s="355"/>
      <c r="R17" s="358"/>
    </row>
    <row r="18" spans="12:18" ht="14.4" x14ac:dyDescent="0.55000000000000004">
      <c r="L18" s="352"/>
      <c r="M18" s="355"/>
      <c r="N18" s="355"/>
      <c r="O18" s="355"/>
      <c r="P18" s="355"/>
      <c r="Q18" s="355"/>
      <c r="R18" s="358"/>
    </row>
    <row r="19" spans="12:18" ht="14.4" x14ac:dyDescent="0.55000000000000004">
      <c r="L19" s="352"/>
      <c r="M19" s="355"/>
      <c r="N19" s="355"/>
      <c r="O19" s="355"/>
      <c r="P19" s="355"/>
      <c r="Q19" s="355"/>
      <c r="R19" s="358"/>
    </row>
    <row r="20" spans="12:18" ht="14.4" x14ac:dyDescent="0.55000000000000004">
      <c r="L20" s="352"/>
      <c r="M20" s="355"/>
      <c r="N20" s="355"/>
      <c r="O20" s="355"/>
      <c r="P20" s="355"/>
      <c r="Q20" s="355"/>
      <c r="R20" s="358"/>
    </row>
    <row r="21" spans="12:18" ht="14.4" x14ac:dyDescent="0.55000000000000004">
      <c r="L21" s="352"/>
      <c r="M21" s="355"/>
      <c r="N21" s="355"/>
      <c r="O21" s="355"/>
      <c r="P21" s="355"/>
      <c r="Q21" s="355"/>
      <c r="R21" s="358"/>
    </row>
    <row r="22" spans="12:18" ht="14.4" x14ac:dyDescent="0.55000000000000004">
      <c r="L22" s="352"/>
      <c r="M22" s="355"/>
      <c r="N22" s="355"/>
      <c r="O22" s="355"/>
      <c r="P22" s="355"/>
      <c r="Q22" s="355"/>
      <c r="R22" s="358"/>
    </row>
    <row r="23" spans="12:18" ht="14.4" x14ac:dyDescent="0.55000000000000004">
      <c r="L23" s="352"/>
      <c r="M23" s="355"/>
      <c r="N23" s="355"/>
      <c r="O23" s="355"/>
      <c r="P23" s="355"/>
      <c r="Q23" s="355"/>
      <c r="R23" s="358"/>
    </row>
    <row r="24" spans="12:18" ht="14.4" x14ac:dyDescent="0.55000000000000004">
      <c r="L24" s="352"/>
      <c r="M24" s="355"/>
      <c r="N24" s="355"/>
      <c r="O24" s="355"/>
      <c r="P24" s="355"/>
      <c r="Q24" s="355"/>
      <c r="R24" s="358"/>
    </row>
    <row r="25" spans="12:18" ht="14.4" x14ac:dyDescent="0.55000000000000004">
      <c r="L25" s="352"/>
      <c r="M25" s="355"/>
      <c r="N25" s="355"/>
      <c r="O25" s="355"/>
      <c r="P25" s="355"/>
      <c r="Q25" s="355"/>
      <c r="R25" s="358"/>
    </row>
    <row r="26" spans="12:18" ht="14.4" x14ac:dyDescent="0.55000000000000004">
      <c r="L26" s="352" t="s">
        <v>184</v>
      </c>
      <c r="M26" s="355">
        <v>100</v>
      </c>
      <c r="N26" s="355"/>
      <c r="O26" s="355"/>
      <c r="P26" s="355">
        <v>0</v>
      </c>
      <c r="Q26" s="355">
        <v>0</v>
      </c>
      <c r="R26" s="358"/>
    </row>
    <row r="27" spans="12:18" ht="14.4" x14ac:dyDescent="0.55000000000000004">
      <c r="L27" s="352" t="s">
        <v>185</v>
      </c>
      <c r="M27" s="355">
        <v>100</v>
      </c>
      <c r="N27" s="355"/>
      <c r="O27" s="355"/>
      <c r="P27" s="355">
        <v>0</v>
      </c>
      <c r="Q27" s="355">
        <v>0</v>
      </c>
      <c r="R27" s="358"/>
    </row>
    <row r="28" spans="12:18" ht="14.4" x14ac:dyDescent="0.55000000000000004">
      <c r="L28" s="352" t="s">
        <v>186</v>
      </c>
      <c r="M28" s="355">
        <v>90</v>
      </c>
      <c r="N28" s="355"/>
      <c r="O28" s="355"/>
      <c r="P28" s="355">
        <v>3</v>
      </c>
      <c r="Q28" s="355">
        <v>100</v>
      </c>
      <c r="R28" s="358"/>
    </row>
    <row r="30" spans="12:18" x14ac:dyDescent="0.4">
      <c r="L30" s="643" t="s">
        <v>187</v>
      </c>
      <c r="M30" s="643"/>
      <c r="N30" s="643"/>
      <c r="O30" s="355">
        <f>(K2*(N9+N11)/2+L2*N7+M2*N10+N2*N8+O2*N13+P2*N14+Q2*N26+R2*N27)/100</f>
        <v>0.18605317631131335</v>
      </c>
      <c r="Q30" s="356" t="s">
        <v>276</v>
      </c>
    </row>
    <row r="31" spans="12:18" x14ac:dyDescent="0.4">
      <c r="L31" s="644" t="s">
        <v>188</v>
      </c>
      <c r="M31" s="644"/>
      <c r="N31" s="644"/>
      <c r="O31" s="360">
        <f>(M7*P7*L2+M8*P8*N2+K2*(M9*P9+M11*P11)/2+M10*P10*M2+M13*P13*O2+M14*P14*P2+M26*P26*Q2+M27*P27*R2+M28*P28*S2)/10000</f>
        <v>0.2902032658230872</v>
      </c>
      <c r="Q31" s="350" t="s">
        <v>199</v>
      </c>
      <c r="R31" s="355">
        <f>(N9*K2+N10*M2+N11*K2)/SUM(K2,K2,M2)/100</f>
        <v>0.1982538444179904</v>
      </c>
    </row>
    <row r="32" spans="12:18" x14ac:dyDescent="0.4">
      <c r="L32" s="644" t="s">
        <v>189</v>
      </c>
      <c r="M32" s="644"/>
      <c r="N32" s="644"/>
      <c r="O32" s="360">
        <f>(M7*P7*Q7*L2+M8*P8*Q8*N2+K2*(M9*P9*Q9+M11*P11*Q11)/2+M10*P10*Q10*M2+M13*P13*Q13*O2+M14*P14*Q14*P2+M28*P28*Q28*S2)/1000000</f>
        <v>9.9272164326266538E-2</v>
      </c>
      <c r="Q32" s="350" t="s">
        <v>277</v>
      </c>
      <c r="R32" s="355">
        <f>(N8*N2+N13*O2)/SUM(N2+O2)/100</f>
        <v>0.28006004602560974</v>
      </c>
    </row>
    <row r="33" spans="1:19" x14ac:dyDescent="0.4">
      <c r="L33" s="645" t="s">
        <v>190</v>
      </c>
      <c r="M33" s="645"/>
      <c r="N33" s="645"/>
      <c r="O33" s="352">
        <f>O31*O32</f>
        <v>2.8809106292808723E-2</v>
      </c>
      <c r="Q33" s="350" t="s">
        <v>158</v>
      </c>
      <c r="R33" s="355">
        <f>(N7*L2+N12*S2)/SUM(L2,S2)/100</f>
        <v>0.3429125448437737</v>
      </c>
    </row>
    <row r="34" spans="1:19" x14ac:dyDescent="0.4">
      <c r="M34" s="361"/>
    </row>
    <row r="36" spans="1:19" x14ac:dyDescent="0.4">
      <c r="L36" s="356" t="s">
        <v>191</v>
      </c>
    </row>
    <row r="37" spans="1:19" ht="14.4" x14ac:dyDescent="0.55000000000000004">
      <c r="L37" s="362"/>
      <c r="M37" s="362" t="s">
        <v>192</v>
      </c>
      <c r="N37" s="362" t="s">
        <v>193</v>
      </c>
      <c r="O37" s="362" t="s">
        <v>194</v>
      </c>
      <c r="P37" s="363" t="s">
        <v>195</v>
      </c>
      <c r="Q37" s="363" t="s">
        <v>196</v>
      </c>
      <c r="R37" s="363" t="s">
        <v>197</v>
      </c>
      <c r="S37" s="350" t="s">
        <v>198</v>
      </c>
    </row>
    <row r="38" spans="1:19" ht="14.4" x14ac:dyDescent="0.55000000000000004">
      <c r="A38" s="1236"/>
      <c r="B38" s="1236"/>
      <c r="C38" s="1236"/>
      <c r="D38" s="1236"/>
      <c r="L38" s="362" t="s">
        <v>156</v>
      </c>
      <c r="M38" s="364">
        <v>0.53111153600000005</v>
      </c>
      <c r="N38" s="364">
        <v>1.6798911999999999</v>
      </c>
      <c r="O38" s="364">
        <v>1.1611120400000001</v>
      </c>
      <c r="P38" s="364">
        <v>0.53111153600000005</v>
      </c>
      <c r="Q38" s="364">
        <v>1.6798911999999999</v>
      </c>
      <c r="R38" s="364">
        <v>1.1240382586666666</v>
      </c>
      <c r="S38" s="365" t="s">
        <v>199</v>
      </c>
    </row>
    <row r="39" spans="1:19" ht="14.4" x14ac:dyDescent="0.55000000000000004">
      <c r="A39" s="826"/>
      <c r="B39" s="826"/>
      <c r="C39" s="1231"/>
      <c r="D39" s="1231"/>
      <c r="L39" s="362" t="s">
        <v>200</v>
      </c>
      <c r="M39" s="364">
        <v>5.5955600319999999</v>
      </c>
      <c r="N39" s="364">
        <v>8.9163455999999996</v>
      </c>
      <c r="O39" s="364">
        <v>9.1108406219999996</v>
      </c>
      <c r="P39" s="364">
        <v>5.5955600319999999</v>
      </c>
      <c r="Q39" s="364">
        <v>9.1108406219999996</v>
      </c>
      <c r="R39" s="364">
        <v>7.874248751333333</v>
      </c>
      <c r="S39" s="365" t="s">
        <v>201</v>
      </c>
    </row>
    <row r="40" spans="1:19" ht="14.4" x14ac:dyDescent="0.55000000000000004">
      <c r="A40" s="1231"/>
      <c r="B40" s="826"/>
      <c r="C40" s="1231"/>
      <c r="D40" s="1231"/>
      <c r="L40" s="362" t="s">
        <v>202</v>
      </c>
      <c r="M40" s="364">
        <v>1.7888903200000001</v>
      </c>
      <c r="N40" s="364">
        <v>3.7474495999999999</v>
      </c>
      <c r="O40" s="364">
        <v>4.3927812920000004</v>
      </c>
      <c r="P40" s="364">
        <v>1.7888903200000001</v>
      </c>
      <c r="Q40" s="364">
        <v>4.3927812920000004</v>
      </c>
      <c r="R40" s="364">
        <v>3.3097070706666667</v>
      </c>
      <c r="S40" s="365" t="s">
        <v>158</v>
      </c>
    </row>
    <row r="41" spans="1:19" ht="14.4" x14ac:dyDescent="0.55000000000000004">
      <c r="A41" s="1232"/>
      <c r="B41" s="826"/>
      <c r="C41" s="1232"/>
      <c r="D41" s="1230"/>
      <c r="L41" s="362" t="s">
        <v>184</v>
      </c>
      <c r="M41" s="364">
        <v>-4.0833366000000003E-2</v>
      </c>
      <c r="N41" s="364"/>
      <c r="O41" s="364">
        <v>0</v>
      </c>
      <c r="P41" s="364">
        <v>-4.0833366000000003E-2</v>
      </c>
      <c r="Q41" s="364">
        <v>0</v>
      </c>
      <c r="R41" s="364">
        <v>-1.3611122000000002E-2</v>
      </c>
      <c r="S41" s="365" t="s">
        <v>201</v>
      </c>
    </row>
    <row r="42" spans="1:19" ht="14.4" x14ac:dyDescent="0.55000000000000004">
      <c r="A42" s="1232"/>
      <c r="B42" s="826"/>
      <c r="C42" s="1232"/>
      <c r="D42" s="1230"/>
      <c r="L42" s="362" t="s">
        <v>185</v>
      </c>
      <c r="M42" s="364">
        <v>-2.0277794000000002E-2</v>
      </c>
      <c r="N42" s="364"/>
      <c r="O42" s="364">
        <v>5.416671E-2</v>
      </c>
      <c r="P42" s="364">
        <v>-2.0277794000000002E-2</v>
      </c>
      <c r="Q42" s="364">
        <v>0</v>
      </c>
      <c r="R42" s="364">
        <v>1.1296305333333333E-2</v>
      </c>
      <c r="S42" s="365" t="s">
        <v>201</v>
      </c>
    </row>
    <row r="43" spans="1:19" ht="14.4" x14ac:dyDescent="0.55000000000000004">
      <c r="A43" s="1232"/>
      <c r="B43" s="826"/>
      <c r="C43" s="1232"/>
      <c r="D43" s="1230"/>
      <c r="L43" s="362" t="s">
        <v>203</v>
      </c>
      <c r="M43" s="364">
        <v>3.2747248419999999</v>
      </c>
      <c r="N43" s="364">
        <v>4.4581727999999998</v>
      </c>
      <c r="O43" s="364">
        <v>4.2902812099999998</v>
      </c>
      <c r="P43" s="364">
        <v>3.2747248419999999</v>
      </c>
      <c r="Q43" s="364">
        <v>4.4581727999999998</v>
      </c>
      <c r="R43" s="364">
        <v>4.0077262839999994</v>
      </c>
      <c r="S43" s="365" t="s">
        <v>201</v>
      </c>
    </row>
    <row r="44" spans="1:19" ht="14.4" x14ac:dyDescent="0.55000000000000004">
      <c r="A44" s="1232"/>
      <c r="B44" s="826"/>
      <c r="C44" s="1232"/>
      <c r="D44" s="1230"/>
      <c r="L44" s="362" t="s">
        <v>204</v>
      </c>
      <c r="M44" s="364">
        <v>3.9625031700000002</v>
      </c>
      <c r="N44" s="364">
        <v>6.6711063999999993</v>
      </c>
      <c r="O44" s="364">
        <v>7.0361167400000006</v>
      </c>
      <c r="P44" s="364">
        <v>3.9625031700000002</v>
      </c>
      <c r="Q44" s="364">
        <v>7.0361167400000006</v>
      </c>
      <c r="R44" s="364">
        <v>5.8899087700000008</v>
      </c>
      <c r="S44" s="365" t="s">
        <v>201</v>
      </c>
    </row>
    <row r="45" spans="1:19" ht="14.4" x14ac:dyDescent="0.55000000000000004">
      <c r="A45" s="1232"/>
      <c r="B45" s="826"/>
      <c r="C45" s="1232"/>
      <c r="D45" s="1230"/>
      <c r="L45" s="362" t="s">
        <v>205</v>
      </c>
      <c r="M45" s="364">
        <v>-6.8055610000000002E-2</v>
      </c>
      <c r="N45" s="364"/>
      <c r="O45" s="364">
        <v>0</v>
      </c>
      <c r="P45" s="364">
        <v>-6.8055610000000002E-2</v>
      </c>
      <c r="Q45" s="364">
        <v>0</v>
      </c>
      <c r="R45" s="364">
        <v>-2.2685203333333334E-2</v>
      </c>
      <c r="S45" s="365" t="s">
        <v>158</v>
      </c>
    </row>
    <row r="46" spans="1:19" ht="14.4" x14ac:dyDescent="0.55000000000000004">
      <c r="A46" s="1232"/>
      <c r="B46" s="826"/>
      <c r="C46" s="1232"/>
      <c r="D46" s="1230"/>
      <c r="L46" s="362" t="s">
        <v>179</v>
      </c>
      <c r="M46" s="364">
        <v>2.5861131799999999</v>
      </c>
      <c r="N46" s="364">
        <v>3.2305599999999997</v>
      </c>
      <c r="O46" s="364">
        <v>4.2902812099999998</v>
      </c>
      <c r="P46" s="364">
        <v>2.5861131799999999</v>
      </c>
      <c r="Q46" s="364">
        <v>4.2902812099999998</v>
      </c>
      <c r="R46" s="364">
        <v>3.3689847966666662</v>
      </c>
      <c r="S46" s="365" t="s">
        <v>199</v>
      </c>
    </row>
    <row r="47" spans="1:19" ht="57.6" x14ac:dyDescent="0.55000000000000004">
      <c r="A47" s="1232"/>
      <c r="B47" s="826"/>
      <c r="C47" s="1232"/>
      <c r="D47" s="1230"/>
      <c r="L47" s="366" t="s">
        <v>206</v>
      </c>
      <c r="M47" s="364">
        <v>1.2929195272361471</v>
      </c>
      <c r="N47" s="364">
        <v>1.7891641272704035</v>
      </c>
      <c r="O47" s="364">
        <v>2.0796669218036152</v>
      </c>
      <c r="P47" s="364">
        <v>1.2929195272361471</v>
      </c>
      <c r="Q47" s="364">
        <v>2.0796669218036152</v>
      </c>
      <c r="R47" s="364">
        <v>1.7205835254367219</v>
      </c>
      <c r="S47" s="365" t="s">
        <v>201</v>
      </c>
    </row>
    <row r="48" spans="1:19" x14ac:dyDescent="0.4">
      <c r="A48" s="1232"/>
      <c r="B48" s="826"/>
      <c r="C48" s="1232"/>
      <c r="D48" s="1230"/>
    </row>
    <row r="49" spans="1:16" ht="49.2" x14ac:dyDescent="0.4">
      <c r="A49" s="1232"/>
      <c r="B49" s="826"/>
      <c r="C49" s="1232"/>
      <c r="D49" s="1230"/>
      <c r="L49" s="1237" t="s">
        <v>207</v>
      </c>
      <c r="M49" s="1238">
        <f>R38*K2+L2*R40+M2*R46+N2*R43+O2*R44+P2*R39+Q2*R41+R2*R42+S2*R45</f>
        <v>2.4730863437256865</v>
      </c>
    </row>
    <row r="50" spans="1:16" x14ac:dyDescent="0.4">
      <c r="A50" s="1232"/>
      <c r="B50" s="826"/>
      <c r="C50" s="1232"/>
      <c r="D50" s="1230"/>
    </row>
    <row r="51" spans="1:16" x14ac:dyDescent="0.4">
      <c r="A51" s="1232"/>
      <c r="B51" s="826"/>
      <c r="C51" s="1232"/>
      <c r="D51" s="1230"/>
      <c r="L51" s="356" t="s">
        <v>208</v>
      </c>
    </row>
    <row r="52" spans="1:16" ht="14.4" x14ac:dyDescent="0.55000000000000004">
      <c r="A52" s="1232"/>
      <c r="B52" s="826"/>
      <c r="C52" s="1232"/>
      <c r="D52" s="1230"/>
      <c r="L52" s="367" t="s">
        <v>199</v>
      </c>
      <c r="M52" s="364">
        <f>(R38*K2+R46*M2)/SUM(K2,M2)</f>
        <v>1.4992613764679676</v>
      </c>
    </row>
    <row r="53" spans="1:16" ht="14.4" x14ac:dyDescent="0.55000000000000004">
      <c r="A53" s="1232"/>
      <c r="B53" s="826"/>
      <c r="C53" s="1232"/>
      <c r="D53" s="1230"/>
      <c r="L53" s="367" t="s">
        <v>201</v>
      </c>
      <c r="M53" s="364">
        <f>(R39*P2+R41*Q2+R42*R2+R43*N2+R44*O2+R47*S2)/SUM(N2,O2,P2,Q2,R2,S2)</f>
        <v>3.5494778268358278</v>
      </c>
    </row>
    <row r="54" spans="1:16" ht="14.4" x14ac:dyDescent="0.55000000000000004">
      <c r="A54" s="1232"/>
      <c r="B54" s="826"/>
      <c r="C54" s="1232"/>
      <c r="D54" s="1230"/>
      <c r="L54" s="367" t="s">
        <v>158</v>
      </c>
      <c r="M54" s="364">
        <f>(R40*L2+R45*S2)/SUM(L2,S2)</f>
        <v>2.1207208550108536</v>
      </c>
    </row>
    <row r="55" spans="1:16" x14ac:dyDescent="0.4">
      <c r="A55" s="1232"/>
      <c r="B55" s="826"/>
      <c r="C55" s="1232"/>
      <c r="D55" s="1230"/>
    </row>
    <row r="56" spans="1:16" x14ac:dyDescent="0.4">
      <c r="A56" s="1232"/>
      <c r="B56" s="826"/>
      <c r="C56" s="1232"/>
      <c r="D56" s="1230"/>
    </row>
    <row r="57" spans="1:16" x14ac:dyDescent="0.4">
      <c r="A57" s="1232"/>
      <c r="B57" s="826"/>
      <c r="C57" s="1232"/>
      <c r="D57" s="1230"/>
    </row>
    <row r="58" spans="1:16" x14ac:dyDescent="0.4">
      <c r="A58" s="1232"/>
      <c r="B58" s="1232"/>
      <c r="C58" s="1232"/>
      <c r="D58" s="826"/>
      <c r="E58" s="1232"/>
      <c r="F58" s="826"/>
      <c r="G58" s="1232"/>
      <c r="H58" s="1232"/>
      <c r="I58" s="826"/>
      <c r="J58" s="1232"/>
      <c r="K58" s="1230"/>
      <c r="L58" s="826"/>
      <c r="M58" s="1232"/>
      <c r="N58" s="826"/>
      <c r="O58" s="1232"/>
      <c r="P58" s="1230"/>
    </row>
    <row r="59" spans="1:16" x14ac:dyDescent="0.4">
      <c r="A59" s="1232"/>
      <c r="B59" s="1232"/>
      <c r="C59" s="1232"/>
      <c r="D59" s="826"/>
      <c r="E59" s="1232"/>
      <c r="F59" s="826"/>
      <c r="G59" s="1232"/>
      <c r="H59" s="1232"/>
      <c r="I59" s="826"/>
      <c r="J59" s="1232"/>
      <c r="K59" s="1230"/>
      <c r="L59" s="826"/>
      <c r="M59" s="1232"/>
      <c r="N59" s="826"/>
      <c r="O59" s="1232"/>
      <c r="P59" s="1230"/>
    </row>
    <row r="61" spans="1:16" s="609" customFormat="1" ht="12.6" thickBot="1" x14ac:dyDescent="0.45"/>
    <row r="62" spans="1:16" s="609" customFormat="1" ht="30" customHeight="1" thickBot="1" x14ac:dyDescent="0.55000000000000004">
      <c r="B62" s="1283" t="s">
        <v>1121</v>
      </c>
      <c r="C62" s="1284"/>
      <c r="D62" s="1239">
        <v>0.23669999999999999</v>
      </c>
    </row>
    <row r="63" spans="1:16" s="609" customFormat="1" x14ac:dyDescent="0.4"/>
    <row r="64" spans="1:16" ht="15" x14ac:dyDescent="0.5">
      <c r="B64" s="1233" t="s">
        <v>1120</v>
      </c>
      <c r="C64" s="1240"/>
      <c r="G64" s="1285"/>
    </row>
    <row r="65" spans="1:22" ht="15.3" thickBot="1" x14ac:dyDescent="0.55000000000000004">
      <c r="B65" s="1234" t="s">
        <v>478</v>
      </c>
      <c r="C65" s="1240"/>
      <c r="G65" s="1286"/>
    </row>
    <row r="66" spans="1:22" ht="61.5" x14ac:dyDescent="0.4">
      <c r="A66" s="348" t="s">
        <v>114</v>
      </c>
      <c r="B66" s="349" t="s">
        <v>405</v>
      </c>
      <c r="C66" s="349" t="s">
        <v>406</v>
      </c>
      <c r="E66" s="1213" t="s">
        <v>391</v>
      </c>
      <c r="G66" s="1221" t="s">
        <v>392</v>
      </c>
      <c r="I66" s="1222" t="s">
        <v>544</v>
      </c>
      <c r="K66" s="349" t="s">
        <v>393</v>
      </c>
      <c r="M66" s="1213" t="s">
        <v>394</v>
      </c>
      <c r="O66" s="1225" t="s">
        <v>395</v>
      </c>
      <c r="R66" s="349" t="s">
        <v>396</v>
      </c>
      <c r="T66" s="1213" t="s">
        <v>397</v>
      </c>
      <c r="V66" s="1222" t="s">
        <v>398</v>
      </c>
    </row>
    <row r="67" spans="1:22" x14ac:dyDescent="0.4">
      <c r="A67" s="352">
        <f>2014</f>
        <v>2014</v>
      </c>
      <c r="B67" s="534">
        <f>IF($B$65='WTE and LM Analysis'!$C$8,'WTE and LM Analysis'!C11,IF('WTE Tonnes and Composition'!$B$65='WTE and LM Analysis'!$I$8,'WTE and LM Analysis'!I11, IF($B$65='WTE and LM Analysis'!$O$8,'WTE and LM Analysis'!O11, "Choose Scenario")))</f>
        <v>76.323108000000005</v>
      </c>
      <c r="C67" s="534">
        <f>E67*$D$62*'MSW Integration Calcs PDS1 '!AE113</f>
        <v>76.323108000000005</v>
      </c>
      <c r="E67" s="1223">
        <f>'MSW Integration Calcs PDS1 '!AI113</f>
        <v>2.2587113569159354</v>
      </c>
      <c r="G67" s="1220">
        <f>(B67*10^6/($D$62*$E67))/1000000</f>
        <v>142.75688198659913</v>
      </c>
      <c r="I67" s="1226">
        <f>E67*$D$62*'MSW Integration Calcs PDS1 '!AE113</f>
        <v>76.323108000000005</v>
      </c>
      <c r="K67" s="1220">
        <f>'MSW Integration Calcs PDS2'!AE113</f>
        <v>142.75688198659913</v>
      </c>
      <c r="M67" s="1223">
        <f>'MSW Integration Calcs PDS2'!AI113</f>
        <v>2.2587113569159354</v>
      </c>
      <c r="O67" s="1226">
        <f>M67*$D$62*K67</f>
        <v>76.323108000000005</v>
      </c>
      <c r="R67" s="1220">
        <f>'MSW Integration Calcs PDS3'!AE113</f>
        <v>142.75688198659913</v>
      </c>
      <c r="T67" s="1223">
        <f>'MSW Integration Calcs PDS3'!AI113</f>
        <v>2.2587113569159354</v>
      </c>
      <c r="V67" s="1226">
        <f t="shared" ref="V67:V113" si="0">T67*$D$62*R67</f>
        <v>76.323108000000005</v>
      </c>
    </row>
    <row r="68" spans="1:22" x14ac:dyDescent="0.4">
      <c r="A68" s="352">
        <f>A67+1</f>
        <v>2015</v>
      </c>
      <c r="B68" s="534">
        <f>IF($B$65='WTE and LM Analysis'!$C$8,'WTE and LM Analysis'!C12,IF('WTE Tonnes and Composition'!$B$65='WTE and LM Analysis'!$I$8,'WTE and LM Analysis'!I12, IF($B$65='WTE and LM Analysis'!$O$8,'WTE and LM Analysis'!O12, "Choose Scenario")))</f>
        <v>80.232839999999996</v>
      </c>
      <c r="C68" s="534">
        <f>E68*$D$62*'MSW Integration Calcs PDS1 '!AE114</f>
        <v>80.232839999999996</v>
      </c>
      <c r="E68" s="1223">
        <f>'MSW Integration Calcs PDS1 '!AI114</f>
        <v>2.2414384810405719</v>
      </c>
      <c r="G68" s="1220">
        <f>(B68*10^6/($D$62*$E68))/1000000</f>
        <v>151.22621540688968</v>
      </c>
      <c r="I68" s="1226">
        <f>E68*$D$62*'MSW Integration Calcs PDS1 '!AE114</f>
        <v>80.232839999999996</v>
      </c>
      <c r="K68" s="1220">
        <f>'MSW Integration Calcs PDS2'!AE114</f>
        <v>151.22621540688968</v>
      </c>
      <c r="M68" s="1223">
        <f>'MSW Integration Calcs PDS2'!AI114</f>
        <v>2.2425084382173357</v>
      </c>
      <c r="O68" s="1226">
        <f t="shared" ref="O68:O113" si="1">M68*$D$62*K68</f>
        <v>80.271139379481653</v>
      </c>
      <c r="R68" s="1220">
        <f>'MSW Integration Calcs PDS3'!AE114</f>
        <v>151.22621540688968</v>
      </c>
      <c r="T68" s="1223">
        <f>'MSW Integration Calcs PDS3'!AI114</f>
        <v>2.2442947401229327</v>
      </c>
      <c r="V68" s="1226">
        <f t="shared" si="0"/>
        <v>80.335080494170171</v>
      </c>
    </row>
    <row r="69" spans="1:22" x14ac:dyDescent="0.4">
      <c r="A69" s="352">
        <f t="shared" ref="A69:A113" si="2">A68+1</f>
        <v>2016</v>
      </c>
      <c r="B69" s="534">
        <f>IF($B$65='WTE and LM Analysis'!$C$8,'WTE and LM Analysis'!C13,IF('WTE Tonnes and Composition'!$B$65='WTE and LM Analysis'!$I$8,'WTE and LM Analysis'!I13, IF($B$65='WTE and LM Analysis'!$O$8,'WTE and LM Analysis'!O13, "Choose Scenario")))</f>
        <v>83.42240799999999</v>
      </c>
      <c r="C69" s="534">
        <f>E69*$D$62*'MSW Integration Calcs PDS1 '!AE115</f>
        <v>83.422407999999976</v>
      </c>
      <c r="E69" s="1223">
        <f>'MSW Integration Calcs PDS1 '!AI115</f>
        <v>2.2155797091984817</v>
      </c>
      <c r="G69" s="1220">
        <f t="shared" ref="G69:G113" si="3">(B69*10^6/($D$62*$E69))/1000000</f>
        <v>159.07322452483973</v>
      </c>
      <c r="I69" s="1226">
        <f>E69*$D$62*'MSW Integration Calcs PDS1 '!AE115</f>
        <v>83.422407999999976</v>
      </c>
      <c r="K69" s="1220">
        <f>'MSW Integration Calcs PDS2'!AE115</f>
        <v>159.07322452483973</v>
      </c>
      <c r="M69" s="1223">
        <f>'MSW Integration Calcs PDS2'!AI115</f>
        <v>2.2159879468834407</v>
      </c>
      <c r="O69" s="1226">
        <f t="shared" si="1"/>
        <v>83.437779223420307</v>
      </c>
      <c r="R69" s="1220">
        <f>'MSW Integration Calcs PDS3'!AE115</f>
        <v>159.07322452483973</v>
      </c>
      <c r="T69" s="1223">
        <f>'MSW Integration Calcs PDS3'!AI115</f>
        <v>2.2167547225638651</v>
      </c>
      <c r="V69" s="1226">
        <f t="shared" si="0"/>
        <v>83.466650346129754</v>
      </c>
    </row>
    <row r="70" spans="1:22" x14ac:dyDescent="0.4">
      <c r="A70" s="352">
        <f t="shared" si="2"/>
        <v>2017</v>
      </c>
      <c r="B70" s="534">
        <f>IF($B$65='WTE and LM Analysis'!$C$8,'WTE and LM Analysis'!C14,IF('WTE Tonnes and Composition'!$B$65='WTE and LM Analysis'!$I$8,'WTE and LM Analysis'!I14, IF($B$65='WTE and LM Analysis'!$O$8,'WTE and LM Analysis'!O14, "Choose Scenario")))</f>
        <v>85.207939999999994</v>
      </c>
      <c r="C70" s="534">
        <f>E70*$D$62*'MSW Integration Calcs PDS1 '!AE116</f>
        <v>85.207939999999994</v>
      </c>
      <c r="E70" s="1223">
        <f>'MSW Integration Calcs PDS1 '!AI116</f>
        <v>2.2106146223057386</v>
      </c>
      <c r="G70" s="1220">
        <f t="shared" si="3"/>
        <v>162.84287810907378</v>
      </c>
      <c r="I70" s="1226">
        <f>E70*$D$62*'MSW Integration Calcs PDS1 '!AE116</f>
        <v>85.207939999999994</v>
      </c>
      <c r="K70" s="1220">
        <f>'MSW Integration Calcs PDS2'!AE116</f>
        <v>162.84287810907378</v>
      </c>
      <c r="M70" s="1223">
        <f>'MSW Integration Calcs PDS2'!AI116</f>
        <v>2.210974060718391</v>
      </c>
      <c r="O70" s="1226">
        <f t="shared" si="1"/>
        <v>85.221794520996085</v>
      </c>
      <c r="R70" s="1220">
        <f>'MSW Integration Calcs PDS3'!AE116</f>
        <v>162.84287810907378</v>
      </c>
      <c r="T70" s="1223">
        <f>'MSW Integration Calcs PDS3'!AI116</f>
        <v>2.2116358285102971</v>
      </c>
      <c r="V70" s="1226">
        <f t="shared" si="0"/>
        <v>85.247302300478623</v>
      </c>
    </row>
    <row r="71" spans="1:22" x14ac:dyDescent="0.4">
      <c r="A71" s="352">
        <f t="shared" si="2"/>
        <v>2018</v>
      </c>
      <c r="B71" s="534">
        <f>IF($B$65='WTE and LM Analysis'!$C$8,'WTE and LM Analysis'!C15,IF('WTE Tonnes and Composition'!$B$65='WTE and LM Analysis'!$I$8,'WTE and LM Analysis'!I15, IF($B$65='WTE and LM Analysis'!$O$8,'WTE and LM Analysis'!O15, "Choose Scenario")))</f>
        <v>86.215309599999983</v>
      </c>
      <c r="C71" s="534">
        <f>E71*$D$62*'MSW Integration Calcs PDS1 '!AE117</f>
        <v>86.215309599999983</v>
      </c>
      <c r="E71" s="1223">
        <f>'MSW Integration Calcs PDS1 '!AI117</f>
        <v>2.2049661995362548</v>
      </c>
      <c r="G71" s="1220">
        <f t="shared" si="3"/>
        <v>165.19016908698848</v>
      </c>
      <c r="I71" s="1226">
        <f>E71*$D$62*'MSW Integration Calcs PDS1 '!AE117</f>
        <v>86.215309599999983</v>
      </c>
      <c r="K71" s="1220">
        <f>'MSW Integration Calcs PDS2'!AE117</f>
        <v>165.19016908698848</v>
      </c>
      <c r="M71" s="1223">
        <f>'MSW Integration Calcs PDS2'!AI117</f>
        <v>2.2053234204464811</v>
      </c>
      <c r="O71" s="1226">
        <f t="shared" si="1"/>
        <v>86.229277120852331</v>
      </c>
      <c r="R71" s="1220">
        <f>'MSW Integration Calcs PDS3'!AE117</f>
        <v>165.19016908698848</v>
      </c>
      <c r="T71" s="1223">
        <f>'MSW Integration Calcs PDS3'!AI117</f>
        <v>2.2059134774001334</v>
      </c>
      <c r="V71" s="1226">
        <f t="shared" si="0"/>
        <v>86.252348650452873</v>
      </c>
    </row>
    <row r="72" spans="1:22" x14ac:dyDescent="0.4">
      <c r="A72" s="352">
        <f t="shared" si="2"/>
        <v>2019</v>
      </c>
      <c r="B72" s="534">
        <f>IF($B$65='WTE and LM Analysis'!$C$8,'WTE and LM Analysis'!C16,IF('WTE Tonnes and Composition'!$B$65='WTE and LM Analysis'!$I$8,'WTE and LM Analysis'!I16, IF($B$65='WTE and LM Analysis'!$O$8,'WTE and LM Analysis'!O16, "Choose Scenario")))</f>
        <v>129.37856472251593</v>
      </c>
      <c r="C72" s="534">
        <f>E72*$D$62*'MSW Integration Calcs PDS1 '!AE118</f>
        <v>129.37856472251593</v>
      </c>
      <c r="E72" s="1223">
        <f>'MSW Integration Calcs PDS1 '!AI118</f>
        <v>2.2164426034700555</v>
      </c>
      <c r="G72" s="1220">
        <f t="shared" si="3"/>
        <v>246.60823880527803</v>
      </c>
      <c r="I72" s="1226">
        <f>E72*$D$62*'MSW Integration Calcs PDS1 '!AE118</f>
        <v>129.37856472251593</v>
      </c>
      <c r="K72" s="1220">
        <f>'MSW Integration Calcs PDS2'!AE118</f>
        <v>246.60823880527803</v>
      </c>
      <c r="M72" s="1223">
        <f>'MSW Integration Calcs PDS2'!AI118</f>
        <v>2.2290820029328033</v>
      </c>
      <c r="O72" s="1226">
        <f t="shared" si="1"/>
        <v>130.1163538982359</v>
      </c>
      <c r="R72" s="1220">
        <f>'MSW Integration Calcs PDS3'!AE118</f>
        <v>246.60823880527803</v>
      </c>
      <c r="T72" s="1223">
        <f>'MSW Integration Calcs PDS3'!AI118</f>
        <v>2.2534189350175837</v>
      </c>
      <c r="V72" s="1226">
        <f t="shared" si="0"/>
        <v>131.53695343821437</v>
      </c>
    </row>
    <row r="73" spans="1:22" x14ac:dyDescent="0.4">
      <c r="A73" s="352">
        <f t="shared" si="2"/>
        <v>2020</v>
      </c>
      <c r="B73" s="534">
        <f>IF($B$65='WTE and LM Analysis'!$C$8,'WTE and LM Analysis'!C17,IF('WTE Tonnes and Composition'!$B$65='WTE and LM Analysis'!$I$8,'WTE and LM Analysis'!I17, IF($B$65='WTE and LM Analysis'!$O$8,'WTE and LM Analysis'!O17, "Choose Scenario")))</f>
        <v>144.0416802970156</v>
      </c>
      <c r="C73" s="534">
        <f>E73*$D$62*'MSW Integration Calcs PDS1 '!AE119</f>
        <v>144.0416802970156</v>
      </c>
      <c r="E73" s="1223">
        <f>'MSW Integration Calcs PDS1 '!AI119</f>
        <v>2.2276359345237231</v>
      </c>
      <c r="G73" s="1220">
        <f t="shared" si="3"/>
        <v>273.17799049209589</v>
      </c>
      <c r="I73" s="1226">
        <f>E73*$D$62*'MSW Integration Calcs PDS1 '!AE119</f>
        <v>144.0416802970156</v>
      </c>
      <c r="K73" s="1220">
        <f>'MSW Integration Calcs PDS2'!AE119</f>
        <v>273.17799049209589</v>
      </c>
      <c r="M73" s="1223">
        <f>'MSW Integration Calcs PDS2'!AI119</f>
        <v>2.2516888095092131</v>
      </c>
      <c r="O73" s="1226">
        <f t="shared" si="1"/>
        <v>145.59696878701959</v>
      </c>
      <c r="R73" s="1220">
        <f>'MSW Integration Calcs PDS3'!AE119</f>
        <v>273.17799049209589</v>
      </c>
      <c r="T73" s="1223">
        <f>'MSW Integration Calcs PDS3'!AI119</f>
        <v>2.2955244626926468</v>
      </c>
      <c r="V73" s="1226">
        <f t="shared" si="0"/>
        <v>148.43143605503346</v>
      </c>
    </row>
    <row r="74" spans="1:22" x14ac:dyDescent="0.4">
      <c r="A74" s="352">
        <f t="shared" si="2"/>
        <v>2021</v>
      </c>
      <c r="B74" s="534">
        <f>IF($B$65='WTE and LM Analysis'!$C$8,'WTE and LM Analysis'!C18,IF('WTE Tonnes and Composition'!$B$65='WTE and LM Analysis'!$I$8,'WTE and LM Analysis'!I18, IF($B$65='WTE and LM Analysis'!$O$8,'WTE and LM Analysis'!O18, "Choose Scenario")))</f>
        <v>157.62642664569816</v>
      </c>
      <c r="C74" s="534">
        <f>E74*$D$62*'MSW Integration Calcs PDS1 '!AE120</f>
        <v>157.62642664569816</v>
      </c>
      <c r="E74" s="1223">
        <f>'MSW Integration Calcs PDS1 '!AI120</f>
        <v>2.2394533281573579</v>
      </c>
      <c r="G74" s="1220">
        <f t="shared" si="3"/>
        <v>297.36425092534949</v>
      </c>
      <c r="I74" s="1226">
        <f>E74*$D$62*'MSW Integration Calcs PDS1 '!AE120</f>
        <v>157.62642664569816</v>
      </c>
      <c r="K74" s="1220">
        <f>'MSW Integration Calcs PDS2'!AE120</f>
        <v>297.36425092534949</v>
      </c>
      <c r="M74" s="1223">
        <f>'MSW Integration Calcs PDS2'!AI120</f>
        <v>2.2762061333644543</v>
      </c>
      <c r="O74" s="1226">
        <f t="shared" si="1"/>
        <v>160.21331393696698</v>
      </c>
      <c r="R74" s="1220">
        <f>'MSW Integration Calcs PDS3'!AE120</f>
        <v>297.36425092534949</v>
      </c>
      <c r="T74" s="1223">
        <f>'MSW Integration Calcs PDS3'!AI120</f>
        <v>2.3439851692262295</v>
      </c>
      <c r="V74" s="1226">
        <f t="shared" si="0"/>
        <v>164.98401716621134</v>
      </c>
    </row>
    <row r="75" spans="1:22" x14ac:dyDescent="0.4">
      <c r="A75" s="352">
        <f t="shared" si="2"/>
        <v>2022</v>
      </c>
      <c r="B75" s="534">
        <f>IF($B$65='WTE and LM Analysis'!$C$8,'WTE and LM Analysis'!C19,IF('WTE Tonnes and Composition'!$B$65='WTE and LM Analysis'!$I$8,'WTE and LM Analysis'!I19, IF($B$65='WTE and LM Analysis'!$O$8,'WTE and LM Analysis'!O19, "Choose Scenario")))</f>
        <v>172.06861478672792</v>
      </c>
      <c r="C75" s="534">
        <f>E75*$D$62*'MSW Integration Calcs PDS1 '!AE121</f>
        <v>172.06861478672792</v>
      </c>
      <c r="E75" s="1223">
        <f>'MSW Integration Calcs PDS1 '!AI121</f>
        <v>2.2518783934794189</v>
      </c>
      <c r="G75" s="1220">
        <f t="shared" si="3"/>
        <v>322.81854120686864</v>
      </c>
      <c r="I75" s="1226">
        <f>E75*$D$62*'MSW Integration Calcs PDS1 '!AE121</f>
        <v>172.06861478672792</v>
      </c>
      <c r="K75" s="1220">
        <f>'MSW Integration Calcs PDS2'!AE121</f>
        <v>322.81854120686864</v>
      </c>
      <c r="M75" s="1223">
        <f>'MSW Integration Calcs PDS2'!AI121</f>
        <v>2.3028028866840584</v>
      </c>
      <c r="O75" s="1226">
        <f t="shared" si="1"/>
        <v>175.95981380964645</v>
      </c>
      <c r="R75" s="1220">
        <f>'MSW Integration Calcs PDS3'!AE121</f>
        <v>322.81854120686864</v>
      </c>
      <c r="T75" s="1223">
        <f>'MSW Integration Calcs PDS3'!AI121</f>
        <v>2.4002788180285526</v>
      </c>
      <c r="V75" s="1226">
        <f t="shared" si="0"/>
        <v>183.40806169463895</v>
      </c>
    </row>
    <row r="76" spans="1:22" x14ac:dyDescent="0.4">
      <c r="A76" s="352">
        <f t="shared" si="2"/>
        <v>2023</v>
      </c>
      <c r="B76" s="534">
        <f>IF($B$65='WTE and LM Analysis'!$C$8,'WTE and LM Analysis'!C20,IF('WTE Tonnes and Composition'!$B$65='WTE and LM Analysis'!$I$8,'WTE and LM Analysis'!I20, IF($B$65='WTE and LM Analysis'!$O$8,'WTE and LM Analysis'!O20, "Choose Scenario")))</f>
        <v>186.69853638922703</v>
      </c>
      <c r="C76" s="534">
        <f>E76*$D$62*'MSW Integration Calcs PDS1 '!AE122</f>
        <v>186.69853638922703</v>
      </c>
      <c r="E76" s="1223">
        <f>'MSW Integration Calcs PDS1 '!AI122</f>
        <v>2.2650058608076202</v>
      </c>
      <c r="G76" s="1220">
        <f t="shared" si="3"/>
        <v>348.23572707903827</v>
      </c>
      <c r="I76" s="1226">
        <f>E76*$D$62*'MSW Integration Calcs PDS1 '!AE122</f>
        <v>186.69853638922703</v>
      </c>
      <c r="K76" s="1220">
        <f>'MSW Integration Calcs PDS2'!AE122</f>
        <v>348.23572707903827</v>
      </c>
      <c r="M76" s="1223">
        <f>'MSW Integration Calcs PDS2'!AI122</f>
        <v>2.3318410464236607</v>
      </c>
      <c r="O76" s="1226">
        <f t="shared" si="1"/>
        <v>192.20758674080884</v>
      </c>
      <c r="R76" s="1220">
        <f>'MSW Integration Calcs PDS3'!AE122</f>
        <v>348.23572707903827</v>
      </c>
      <c r="T76" s="1223">
        <f>'MSW Integration Calcs PDS3'!AI122</f>
        <v>2.4666741841980602</v>
      </c>
      <c r="V76" s="1226">
        <f t="shared" si="0"/>
        <v>203.32153126290891</v>
      </c>
    </row>
    <row r="77" spans="1:22" x14ac:dyDescent="0.4">
      <c r="A77" s="352">
        <f t="shared" si="2"/>
        <v>2024</v>
      </c>
      <c r="B77" s="534">
        <f>IF($B$65='WTE and LM Analysis'!$C$8,'WTE and LM Analysis'!C21,IF('WTE Tonnes and Composition'!$B$65='WTE and LM Analysis'!$I$8,'WTE and LM Analysis'!I21, IF($B$65='WTE and LM Analysis'!$O$8,'WTE and LM Analysis'!O21, "Choose Scenario")))</f>
        <v>201.47341938957669</v>
      </c>
      <c r="C77" s="534">
        <f>E77*$D$62*'MSW Integration Calcs PDS1 '!AE123</f>
        <v>201.47341938957669</v>
      </c>
      <c r="E77" s="1223">
        <f>'MSW Integration Calcs PDS1 '!AI123</f>
        <v>2.2782109654846145</v>
      </c>
      <c r="G77" s="1220">
        <f t="shared" si="3"/>
        <v>373.61608173336145</v>
      </c>
      <c r="I77" s="1226">
        <f>E77*$D$62*'MSW Integration Calcs PDS1 '!AE123</f>
        <v>201.47341938957669</v>
      </c>
      <c r="K77" s="1220">
        <f>'MSW Integration Calcs PDS2'!AE123</f>
        <v>373.61608173336145</v>
      </c>
      <c r="M77" s="1223">
        <f>'MSW Integration Calcs PDS2'!AI123</f>
        <v>2.3603480080904902</v>
      </c>
      <c r="O77" s="1226">
        <f t="shared" si="1"/>
        <v>208.73720271915653</v>
      </c>
      <c r="R77" s="1220">
        <f>'MSW Integration Calcs PDS3'!AE123</f>
        <v>373.61608173336145</v>
      </c>
      <c r="T77" s="1223">
        <f>'MSW Integration Calcs PDS3'!AI123</f>
        <v>2.5465322925046916</v>
      </c>
      <c r="V77" s="1226">
        <f t="shared" si="0"/>
        <v>225.20239623539939</v>
      </c>
    </row>
    <row r="78" spans="1:22" x14ac:dyDescent="0.4">
      <c r="A78" s="352">
        <f t="shared" si="2"/>
        <v>2025</v>
      </c>
      <c r="B78" s="534">
        <f>IF($B$65='WTE and LM Analysis'!$C$8,'WTE and LM Analysis'!C22,IF('WTE Tonnes and Composition'!$B$65='WTE and LM Analysis'!$I$8,'WTE and LM Analysis'!I22, IF($B$65='WTE and LM Analysis'!$O$8,'WTE and LM Analysis'!O22, "Choose Scenario")))</f>
        <v>215.43680029047999</v>
      </c>
      <c r="C78" s="534">
        <f>E78*$D$62*'MSW Integration Calcs PDS1 '!AE124</f>
        <v>215.43680029047999</v>
      </c>
      <c r="E78" s="1223">
        <f>'MSW Integration Calcs PDS1 '!AI124</f>
        <v>2.2929595308008413</v>
      </c>
      <c r="G78" s="1220">
        <f t="shared" si="3"/>
        <v>396.94034470855428</v>
      </c>
      <c r="I78" s="1226">
        <f>E78*$D$62*'MSW Integration Calcs PDS1 '!AE124</f>
        <v>215.43680029047999</v>
      </c>
      <c r="K78" s="1220">
        <f>'MSW Integration Calcs PDS2'!AE124</f>
        <v>396.94034470855428</v>
      </c>
      <c r="M78" s="1223">
        <f>'MSW Integration Calcs PDS2'!AI124</f>
        <v>2.3931241773603014</v>
      </c>
      <c r="O78" s="1226">
        <f t="shared" si="1"/>
        <v>224.84784774558278</v>
      </c>
      <c r="R78" s="1220">
        <f>'MSW Integration Calcs PDS3'!AE124</f>
        <v>396.94034470855428</v>
      </c>
      <c r="T78" s="1223">
        <f>'MSW Integration Calcs PDS3'!AI124</f>
        <v>2.6457374360429058</v>
      </c>
      <c r="V78" s="1226">
        <f t="shared" si="0"/>
        <v>248.58232340051248</v>
      </c>
    </row>
    <row r="79" spans="1:22" x14ac:dyDescent="0.4">
      <c r="A79" s="352">
        <f t="shared" si="2"/>
        <v>2026</v>
      </c>
      <c r="B79" s="534">
        <f>IF($B$65='WTE and LM Analysis'!$C$8,'WTE and LM Analysis'!C23,IF('WTE Tonnes and Composition'!$B$65='WTE and LM Analysis'!$I$8,'WTE and LM Analysis'!I23, IF($B$65='WTE and LM Analysis'!$O$8,'WTE and LM Analysis'!O23, "Choose Scenario")))</f>
        <v>231.29191898601781</v>
      </c>
      <c r="C79" s="534">
        <f>E79*$D$62*'MSW Integration Calcs PDS1 '!AE125</f>
        <v>231.29191898601778</v>
      </c>
      <c r="E79" s="1223">
        <f>'MSW Integration Calcs PDS1 '!AI125</f>
        <v>2.3063641918940685</v>
      </c>
      <c r="G79" s="1220">
        <f t="shared" si="3"/>
        <v>423.67644056405226</v>
      </c>
      <c r="I79" s="1226">
        <f>E79*$D$62*'MSW Integration Calcs PDS1 '!AE125</f>
        <v>231.29191898601778</v>
      </c>
      <c r="K79" s="1220">
        <f>'MSW Integration Calcs PDS2'!AE125</f>
        <v>423.67644056405226</v>
      </c>
      <c r="M79" s="1223">
        <f>'MSW Integration Calcs PDS2'!AI125</f>
        <v>2.4252844995545937</v>
      </c>
      <c r="O79" s="1226">
        <f t="shared" si="1"/>
        <v>243.21774850673285</v>
      </c>
      <c r="R79" s="1220">
        <f>'MSW Integration Calcs PDS3'!AE125</f>
        <v>423.67644056405226</v>
      </c>
      <c r="T79" s="1223">
        <f>'MSW Integration Calcs PDS3'!AI125</f>
        <v>2.761041412192478</v>
      </c>
      <c r="V79" s="1226">
        <f t="shared" si="0"/>
        <v>276.88886641160354</v>
      </c>
    </row>
    <row r="80" spans="1:22" x14ac:dyDescent="0.4">
      <c r="A80" s="352">
        <f t="shared" si="2"/>
        <v>2027</v>
      </c>
      <c r="B80" s="534">
        <f>IF($B$65='WTE and LM Analysis'!$C$8,'WTE and LM Analysis'!C24,IF('WTE Tonnes and Composition'!$B$65='WTE and LM Analysis'!$I$8,'WTE and LM Analysis'!I24, IF($B$65='WTE and LM Analysis'!$O$8,'WTE and LM Analysis'!O24, "Choose Scenario")))</f>
        <v>246.25991135655431</v>
      </c>
      <c r="C80" s="534">
        <f>E80*$D$62*'MSW Integration Calcs PDS1 '!AE126</f>
        <v>246.25991135655431</v>
      </c>
      <c r="E80" s="1223">
        <f>'MSW Integration Calcs PDS1 '!AI126</f>
        <v>2.3205434302233097</v>
      </c>
      <c r="G80" s="1220">
        <f t="shared" si="3"/>
        <v>448.33821664518143</v>
      </c>
      <c r="I80" s="1226">
        <f>E80*$D$62*'MSW Integration Calcs PDS1 '!AE126</f>
        <v>246.25991135655431</v>
      </c>
      <c r="K80" s="1220">
        <f>'MSW Integration Calcs PDS2'!AE126</f>
        <v>448.33821664518143</v>
      </c>
      <c r="M80" s="1223">
        <f>'MSW Integration Calcs PDS2'!AI126</f>
        <v>2.4599063108789996</v>
      </c>
      <c r="O80" s="1226">
        <f t="shared" si="1"/>
        <v>261.049331019931</v>
      </c>
      <c r="R80" s="1220">
        <f>'MSW Integration Calcs PDS3'!AE126</f>
        <v>448.33821664518143</v>
      </c>
      <c r="T80" s="1223">
        <f>'MSW Integration Calcs PDS3'!AI126</f>
        <v>2.8993503485532921</v>
      </c>
      <c r="V80" s="1226">
        <f t="shared" si="0"/>
        <v>307.68385996448245</v>
      </c>
    </row>
    <row r="81" spans="1:22" x14ac:dyDescent="0.4">
      <c r="A81" s="352">
        <f t="shared" si="2"/>
        <v>2028</v>
      </c>
      <c r="B81" s="534">
        <f>IF($B$65='WTE and LM Analysis'!$C$8,'WTE and LM Analysis'!C25,IF('WTE Tonnes and Composition'!$B$65='WTE and LM Analysis'!$I$8,'WTE and LM Analysis'!I25, IF($B$65='WTE and LM Analysis'!$O$8,'WTE and LM Analysis'!O25, "Choose Scenario")))</f>
        <v>261.21698930026662</v>
      </c>
      <c r="C81" s="534">
        <f>E81*$D$62*'MSW Integration Calcs PDS1 '!AE127</f>
        <v>261.21698930026662</v>
      </c>
      <c r="E81" s="1223">
        <f>'MSW Integration Calcs PDS1 '!AI127</f>
        <v>2.3359460179649552</v>
      </c>
      <c r="G81" s="1220">
        <f t="shared" si="3"/>
        <v>472.43314509528648</v>
      </c>
      <c r="I81" s="1226">
        <f>E81*$D$62*'MSW Integration Calcs PDS1 '!AE127</f>
        <v>261.21698930026662</v>
      </c>
      <c r="K81" s="1220">
        <f>'MSW Integration Calcs PDS2'!AE127</f>
        <v>472.43314509528648</v>
      </c>
      <c r="M81" s="1223">
        <f>'MSW Integration Calcs PDS2'!AI127</f>
        <v>2.5023454272551025</v>
      </c>
      <c r="O81" s="1226">
        <f t="shared" si="1"/>
        <v>279.82459083807203</v>
      </c>
      <c r="R81" s="1220">
        <f>'MSW Integration Calcs PDS3'!AE127</f>
        <v>472.43314509528648</v>
      </c>
      <c r="T81" s="1223">
        <f>'MSW Integration Calcs PDS3'!AI127</f>
        <v>3.0597925005171613</v>
      </c>
      <c r="V81" s="1226">
        <f t="shared" si="0"/>
        <v>342.16106824460803</v>
      </c>
    </row>
    <row r="82" spans="1:22" x14ac:dyDescent="0.4">
      <c r="A82" s="352">
        <f t="shared" si="2"/>
        <v>2029</v>
      </c>
      <c r="B82" s="534">
        <f>IF($B$65='WTE and LM Analysis'!$C$8,'WTE and LM Analysis'!C26,IF('WTE Tonnes and Composition'!$B$65='WTE and LM Analysis'!$I$8,'WTE and LM Analysis'!I26, IF($B$65='WTE and LM Analysis'!$O$8,'WTE and LM Analysis'!O26, "Choose Scenario")))</f>
        <v>276.12587090018144</v>
      </c>
      <c r="C82" s="534">
        <f>E82*$D$62*'MSW Integration Calcs PDS1 '!AE128</f>
        <v>276.12587090018138</v>
      </c>
      <c r="E82" s="1223">
        <f>'MSW Integration Calcs PDS1 '!AI128</f>
        <v>2.3505130323008183</v>
      </c>
      <c r="G82" s="1220">
        <f t="shared" si="3"/>
        <v>496.30217363209351</v>
      </c>
      <c r="I82" s="1226">
        <f>E82*$D$62*'MSW Integration Calcs PDS1 '!AE128</f>
        <v>276.12587090018138</v>
      </c>
      <c r="K82" s="1220">
        <f>'MSW Integration Calcs PDS2'!AE128</f>
        <v>496.30217363209351</v>
      </c>
      <c r="M82" s="1223">
        <f>'MSW Integration Calcs PDS2'!AI128</f>
        <v>2.5376953050376558</v>
      </c>
      <c r="O82" s="1226">
        <f t="shared" si="1"/>
        <v>298.11505682098505</v>
      </c>
      <c r="R82" s="1220">
        <f>'MSW Integration Calcs PDS3'!AE128</f>
        <v>496.30217363209351</v>
      </c>
      <c r="T82" s="1223">
        <f>'MSW Integration Calcs PDS3'!AI128</f>
        <v>3.1744749647056842</v>
      </c>
      <c r="V82" s="1226">
        <f t="shared" si="0"/>
        <v>372.92057190687314</v>
      </c>
    </row>
    <row r="83" spans="1:22" x14ac:dyDescent="0.4">
      <c r="A83" s="352">
        <f t="shared" si="2"/>
        <v>2030</v>
      </c>
      <c r="B83" s="534">
        <f>IF($B$65='WTE and LM Analysis'!$C$8,'WTE and LM Analysis'!C27,IF('WTE Tonnes and Composition'!$B$65='WTE and LM Analysis'!$I$8,'WTE and LM Analysis'!I27, IF($B$65='WTE and LM Analysis'!$O$8,'WTE and LM Analysis'!O27, "Choose Scenario")))</f>
        <v>290.78015707271987</v>
      </c>
      <c r="C83" s="534">
        <f>E83*$D$62*'MSW Integration Calcs PDS1 '!AE129</f>
        <v>290.78015707271987</v>
      </c>
      <c r="E83" s="1223">
        <f>'MSW Integration Calcs PDS1 '!AI129</f>
        <v>2.3659600956998719</v>
      </c>
      <c r="G83" s="1220">
        <f t="shared" si="3"/>
        <v>519.22918248800215</v>
      </c>
      <c r="I83" s="1226">
        <f>E83*$D$62*'MSW Integration Calcs PDS1 '!AE129</f>
        <v>290.78015707271987</v>
      </c>
      <c r="K83" s="1220">
        <f>'MSW Integration Calcs PDS2'!AE129</f>
        <v>519.22918248800215</v>
      </c>
      <c r="M83" s="1223">
        <f>'MSW Integration Calcs PDS2'!AI129</f>
        <v>2.5809414332460183</v>
      </c>
      <c r="O83" s="1226">
        <f t="shared" si="1"/>
        <v>317.20169613966686</v>
      </c>
      <c r="R83" s="1220">
        <f>'MSW Integration Calcs PDS3'!AE129</f>
        <v>519.22918248800215</v>
      </c>
      <c r="T83" s="1223">
        <f>'MSW Integration Calcs PDS3'!AI129</f>
        <v>3.1497161572121257</v>
      </c>
      <c r="V83" s="1226">
        <f t="shared" si="0"/>
        <v>387.1049898910918</v>
      </c>
    </row>
    <row r="84" spans="1:22" x14ac:dyDescent="0.4">
      <c r="A84" s="352">
        <f t="shared" si="2"/>
        <v>2031</v>
      </c>
      <c r="B84" s="534">
        <f>IF($B$65='WTE and LM Analysis'!$C$8,'WTE and LM Analysis'!C28,IF('WTE Tonnes and Composition'!$B$65='WTE and LM Analysis'!$I$8,'WTE and LM Analysis'!I28, IF($B$65='WTE and LM Analysis'!$O$8,'WTE and LM Analysis'!O28, "Choose Scenario")))</f>
        <v>305.65066042381892</v>
      </c>
      <c r="C84" s="534">
        <f>E84*$D$62*'MSW Integration Calcs PDS1 '!AE130</f>
        <v>305.65066042381898</v>
      </c>
      <c r="E84" s="1223">
        <f>'MSW Integration Calcs PDS1 '!AI130</f>
        <v>2.3821795798392484</v>
      </c>
      <c r="G84" s="1220">
        <f t="shared" si="3"/>
        <v>542.06651819247668</v>
      </c>
      <c r="I84" s="1226">
        <f>E84*$D$62*'MSW Integration Calcs PDS1 '!AE130</f>
        <v>305.65066042381898</v>
      </c>
      <c r="K84" s="1220">
        <f>'MSW Integration Calcs PDS2'!AE130</f>
        <v>542.06651819247668</v>
      </c>
      <c r="M84" s="1223">
        <f>'MSW Integration Calcs PDS2'!AI130</f>
        <v>2.6290124778493866</v>
      </c>
      <c r="O84" s="1226">
        <f t="shared" si="1"/>
        <v>337.32108482407136</v>
      </c>
      <c r="R84" s="1220">
        <f>'MSW Integration Calcs PDS3'!AE130</f>
        <v>535.68969955811451</v>
      </c>
      <c r="T84" s="1223">
        <f>'MSW Integration Calcs PDS3'!AI130</f>
        <v>3.1346235353229974</v>
      </c>
      <c r="V84" s="1226">
        <f t="shared" si="0"/>
        <v>397.46321728603868</v>
      </c>
    </row>
    <row r="85" spans="1:22" x14ac:dyDescent="0.4">
      <c r="A85" s="352">
        <f t="shared" si="2"/>
        <v>2032</v>
      </c>
      <c r="B85" s="534">
        <f>IF($B$65='WTE and LM Analysis'!$C$8,'WTE and LM Analysis'!C29,IF('WTE Tonnes and Composition'!$B$65='WTE and LM Analysis'!$I$8,'WTE and LM Analysis'!I29, IF($B$65='WTE and LM Analysis'!$O$8,'WTE and LM Analysis'!O29, "Choose Scenario")))</f>
        <v>320.19366961767741</v>
      </c>
      <c r="C85" s="534">
        <f>E85*$D$62*'MSW Integration Calcs PDS1 '!AE131</f>
        <v>320.19366961767741</v>
      </c>
      <c r="E85" s="1223">
        <f>'MSW Integration Calcs PDS1 '!AI131</f>
        <v>2.3987069219790058</v>
      </c>
      <c r="G85" s="1220">
        <f t="shared" si="3"/>
        <v>563.9457072319284</v>
      </c>
      <c r="I85" s="1226">
        <f>E85*$D$62*'MSW Integration Calcs PDS1 '!AE131</f>
        <v>320.19366961767741</v>
      </c>
      <c r="K85" s="1220">
        <f>'MSW Integration Calcs PDS2'!AE131</f>
        <v>563.9457072319284</v>
      </c>
      <c r="M85" s="1223">
        <f>'MSW Integration Calcs PDS2'!AI131</f>
        <v>2.6815655902111546</v>
      </c>
      <c r="O85" s="1226">
        <f t="shared" si="1"/>
        <v>357.95132735174451</v>
      </c>
      <c r="R85" s="1220">
        <f>'MSW Integration Calcs PDS3'!AE131</f>
        <v>528.69347838747262</v>
      </c>
      <c r="T85" s="1223">
        <f>'MSW Integration Calcs PDS3'!AI131</f>
        <v>3.1180827673152103</v>
      </c>
      <c r="V85" s="1226">
        <f t="shared" si="0"/>
        <v>390.20232271675826</v>
      </c>
    </row>
    <row r="86" spans="1:22" x14ac:dyDescent="0.4">
      <c r="A86" s="352">
        <f t="shared" si="2"/>
        <v>2033</v>
      </c>
      <c r="B86" s="534">
        <f>IF($B$65='WTE and LM Analysis'!$C$8,'WTE and LM Analysis'!C30,IF('WTE Tonnes and Composition'!$B$65='WTE and LM Analysis'!$I$8,'WTE and LM Analysis'!I30, IF($B$65='WTE and LM Analysis'!$O$8,'WTE and LM Analysis'!O30, "Choose Scenario")))</f>
        <v>334.54563085505572</v>
      </c>
      <c r="C86" s="534">
        <f>E86*$D$62*'MSW Integration Calcs PDS1 '!AE132</f>
        <v>334.54563085505566</v>
      </c>
      <c r="E86" s="1223">
        <f>'MSW Integration Calcs PDS1 '!AI132</f>
        <v>2.4159482454832126</v>
      </c>
      <c r="G86" s="1220">
        <f t="shared" si="3"/>
        <v>585.01833555366329</v>
      </c>
      <c r="I86" s="1226">
        <f>E86*$D$62*'MSW Integration Calcs PDS1 '!AE132</f>
        <v>334.54563085505566</v>
      </c>
      <c r="K86" s="1220">
        <f>'MSW Integration Calcs PDS2'!AE132</f>
        <v>585.01833555366329</v>
      </c>
      <c r="M86" s="1223">
        <f>'MSW Integration Calcs PDS2'!AI132</f>
        <v>2.740802792430828</v>
      </c>
      <c r="O86" s="1226">
        <f t="shared" si="1"/>
        <v>379.52948742065297</v>
      </c>
      <c r="R86" s="1220">
        <f>'MSW Integration Calcs PDS3'!AE132</f>
        <v>519.76560137060892</v>
      </c>
      <c r="T86" s="1223">
        <f>'MSW Integration Calcs PDS3'!AI132</f>
        <v>3.1003341785450056</v>
      </c>
      <c r="V86" s="1226">
        <f t="shared" si="0"/>
        <v>381.42951880879912</v>
      </c>
    </row>
    <row r="87" spans="1:22" x14ac:dyDescent="0.4">
      <c r="A87" s="352">
        <f t="shared" si="2"/>
        <v>2034</v>
      </c>
      <c r="B87" s="534">
        <f>IF($B$65='WTE and LM Analysis'!$C$8,'WTE and LM Analysis'!C31,IF('WTE Tonnes and Composition'!$B$65='WTE and LM Analysis'!$I$8,'WTE and LM Analysis'!I31, IF($B$65='WTE and LM Analysis'!$O$8,'WTE and LM Analysis'!O31, "Choose Scenario")))</f>
        <v>348.67551759312306</v>
      </c>
      <c r="C87" s="534">
        <f>E87*$D$62*'MSW Integration Calcs PDS1 '!AE133</f>
        <v>348.67551759312306</v>
      </c>
      <c r="E87" s="1223">
        <f>'MSW Integration Calcs PDS1 '!AI133</f>
        <v>2.43442869985474</v>
      </c>
      <c r="G87" s="1220">
        <f t="shared" si="3"/>
        <v>605.09858449771889</v>
      </c>
      <c r="I87" s="1226">
        <f>E87*$D$62*'MSW Integration Calcs PDS1 '!AE133</f>
        <v>348.67551759312306</v>
      </c>
      <c r="K87" s="1220">
        <f>'MSW Integration Calcs PDS2'!AE133</f>
        <v>605.09858449771889</v>
      </c>
      <c r="M87" s="1223">
        <f>'MSW Integration Calcs PDS2'!AI133</f>
        <v>2.8046276215669095</v>
      </c>
      <c r="O87" s="1226">
        <f t="shared" si="1"/>
        <v>401.6979374520858</v>
      </c>
      <c r="R87" s="1220">
        <f>'MSW Integration Calcs PDS3'!AE133</f>
        <v>508.77060789073187</v>
      </c>
      <c r="T87" s="1223">
        <f>'MSW Integration Calcs PDS3'!AI133</f>
        <v>3.080975454235118</v>
      </c>
      <c r="V87" s="1226">
        <f t="shared" si="0"/>
        <v>371.02955894876277</v>
      </c>
    </row>
    <row r="88" spans="1:22" x14ac:dyDescent="0.4">
      <c r="A88" s="352">
        <f t="shared" si="2"/>
        <v>2035</v>
      </c>
      <c r="B88" s="534">
        <f>IF($B$65='WTE and LM Analysis'!$C$8,'WTE and LM Analysis'!C32,IF('WTE Tonnes and Composition'!$B$65='WTE and LM Analysis'!$I$8,'WTE and LM Analysis'!I32, IF($B$65='WTE and LM Analysis'!$O$8,'WTE and LM Analysis'!O32, "Choose Scenario")))</f>
        <v>362.55173611836597</v>
      </c>
      <c r="C88" s="534">
        <f>E88*$D$62*'MSW Integration Calcs PDS1 '!AE134</f>
        <v>362.55173611836597</v>
      </c>
      <c r="E88" s="1223">
        <f>'MSW Integration Calcs PDS1 '!AI134</f>
        <v>2.4529172755962017</v>
      </c>
      <c r="G88" s="1220">
        <f t="shared" si="3"/>
        <v>624.4372886075306</v>
      </c>
      <c r="I88" s="1226">
        <f>E88*$D$62*'MSW Integration Calcs PDS1 '!AE134</f>
        <v>362.55173611836597</v>
      </c>
      <c r="K88" s="1220">
        <f>'MSW Integration Calcs PDS2'!AE134</f>
        <v>587.94084676586101</v>
      </c>
      <c r="M88" s="1223">
        <f>'MSW Integration Calcs PDS2'!AI134</f>
        <v>2.8693060699594697</v>
      </c>
      <c r="O88" s="1226">
        <f t="shared" si="1"/>
        <v>399.30869630324696</v>
      </c>
      <c r="R88" s="1220">
        <f>'MSW Integration Calcs PDS3'!AE134</f>
        <v>495.60781616802456</v>
      </c>
      <c r="T88" s="1223">
        <f>'MSW Integration Calcs PDS3'!AI134</f>
        <v>3.059475120190378</v>
      </c>
      <c r="V88" s="1226">
        <f t="shared" si="0"/>
        <v>358.9081586214146</v>
      </c>
    </row>
    <row r="89" spans="1:22" x14ac:dyDescent="0.4">
      <c r="A89" s="352">
        <f t="shared" si="2"/>
        <v>2036</v>
      </c>
      <c r="B89" s="534">
        <f>IF($B$65='WTE and LM Analysis'!$C$8,'WTE and LM Analysis'!C33,IF('WTE Tonnes and Composition'!$B$65='WTE and LM Analysis'!$I$8,'WTE and LM Analysis'!I33, IF($B$65='WTE and LM Analysis'!$O$8,'WTE and LM Analysis'!O33, "Choose Scenario")))</f>
        <v>376.14144168527906</v>
      </c>
      <c r="C89" s="534">
        <f>E89*$D$62*'MSW Integration Calcs PDS1 '!AE135</f>
        <v>376.14144168527906</v>
      </c>
      <c r="E89" s="1223">
        <f>'MSW Integration Calcs PDS1 '!AI135</f>
        <v>2.4729476645876463</v>
      </c>
      <c r="G89" s="1220">
        <f t="shared" si="3"/>
        <v>642.59597575340285</v>
      </c>
      <c r="I89" s="1226">
        <f>E89*$D$62*'MSW Integration Calcs PDS1 '!AE135</f>
        <v>376.14144168527906</v>
      </c>
      <c r="K89" s="1220">
        <f>'MSW Integration Calcs PDS2'!AE135</f>
        <v>545.14172847866462</v>
      </c>
      <c r="M89" s="1223">
        <f>'MSW Integration Calcs PDS2'!AI135</f>
        <v>2.9371061822339493</v>
      </c>
      <c r="O89" s="1226">
        <f t="shared" si="1"/>
        <v>378.98963465301517</v>
      </c>
      <c r="R89" s="1220">
        <f>'MSW Integration Calcs PDS3'!AE135</f>
        <v>479.98312141521961</v>
      </c>
      <c r="T89" s="1223">
        <f>'MSW Integration Calcs PDS3'!AI135</f>
        <v>3.0353067462551611</v>
      </c>
      <c r="V89" s="1226">
        <f t="shared" si="0"/>
        <v>344.84728474333753</v>
      </c>
    </row>
    <row r="90" spans="1:22" x14ac:dyDescent="0.4">
      <c r="A90" s="352">
        <f t="shared" si="2"/>
        <v>2037</v>
      </c>
      <c r="B90" s="534">
        <f>IF($B$65='WTE and LM Analysis'!$C$8,'WTE and LM Analysis'!C34,IF('WTE Tonnes and Composition'!$B$65='WTE and LM Analysis'!$I$8,'WTE and LM Analysis'!I34, IF($B$65='WTE and LM Analysis'!$O$8,'WTE and LM Analysis'!O34, "Choose Scenario")))</f>
        <v>389.40936442882105</v>
      </c>
      <c r="C90" s="534">
        <f>E90*$D$62*'MSW Integration Calcs PDS1 '!AE136</f>
        <v>389.40936442882105</v>
      </c>
      <c r="E90" s="1223">
        <f>'MSW Integration Calcs PDS1 '!AI136</f>
        <v>2.4941246066237142</v>
      </c>
      <c r="G90" s="1220">
        <f t="shared" si="3"/>
        <v>659.61418432924825</v>
      </c>
      <c r="I90" s="1226">
        <f>E90*$D$62*'MSW Integration Calcs PDS1 '!AE136</f>
        <v>389.40936442882105</v>
      </c>
      <c r="K90" s="1220">
        <f>'MSW Integration Calcs PDS2'!AE136</f>
        <v>504.16274702886409</v>
      </c>
      <c r="M90" s="1223">
        <f>'MSW Integration Calcs PDS2'!AI136</f>
        <v>3.0096243871623911</v>
      </c>
      <c r="O90" s="1226">
        <f t="shared" si="1"/>
        <v>359.15449600840702</v>
      </c>
      <c r="R90" s="1220">
        <f>'MSW Integration Calcs PDS3'!AE136</f>
        <v>461.87829531593206</v>
      </c>
      <c r="T90" s="1223">
        <f>'MSW Integration Calcs PDS3'!AI136</f>
        <v>3.0075313170244375</v>
      </c>
      <c r="V90" s="1226">
        <f t="shared" si="0"/>
        <v>328.80315073117202</v>
      </c>
    </row>
    <row r="91" spans="1:22" x14ac:dyDescent="0.4">
      <c r="A91" s="352">
        <f t="shared" si="2"/>
        <v>2038</v>
      </c>
      <c r="B91" s="534">
        <f>IF($B$65='WTE and LM Analysis'!$C$8,'WTE and LM Analysis'!C35,IF('WTE Tonnes and Composition'!$B$65='WTE and LM Analysis'!$I$8,'WTE and LM Analysis'!I35, IF($B$65='WTE and LM Analysis'!$O$8,'WTE and LM Analysis'!O35, "Choose Scenario")))</f>
        <v>402.3186301270481</v>
      </c>
      <c r="C91" s="534">
        <f>E91*$D$62*'MSW Integration Calcs PDS1 '!AE137</f>
        <v>402.31863012704804</v>
      </c>
      <c r="E91" s="1223">
        <f>'MSW Integration Calcs PDS1 '!AI137</f>
        <v>2.5160770475904157</v>
      </c>
      <c r="G91" s="1220">
        <f t="shared" si="3"/>
        <v>675.53514756313143</v>
      </c>
      <c r="I91" s="1226">
        <f>E91*$D$62*'MSW Integration Calcs PDS1 '!AE137</f>
        <v>402.31863012704804</v>
      </c>
      <c r="K91" s="1220">
        <f>'MSW Integration Calcs PDS2'!AE137</f>
        <v>462.45706022358058</v>
      </c>
      <c r="M91" s="1223">
        <f>'MSW Integration Calcs PDS2'!AI137</f>
        <v>3.092500901410137</v>
      </c>
      <c r="O91" s="1226">
        <f t="shared" si="1"/>
        <v>338.51623885568102</v>
      </c>
      <c r="R91" s="1220">
        <f>'MSW Integration Calcs PDS3'!AE137</f>
        <v>441.0853987998259</v>
      </c>
      <c r="T91" s="1223">
        <f>'MSW Integration Calcs PDS3'!AI137</f>
        <v>2.9750611421517141</v>
      </c>
      <c r="V91" s="1226">
        <f t="shared" si="0"/>
        <v>310.61100238144354</v>
      </c>
    </row>
    <row r="92" spans="1:22" x14ac:dyDescent="0.4">
      <c r="A92" s="352">
        <f t="shared" si="2"/>
        <v>2039</v>
      </c>
      <c r="B92" s="534">
        <f>IF($B$65='WTE and LM Analysis'!$C$8,'WTE and LM Analysis'!C36,IF('WTE Tonnes and Composition'!$B$65='WTE and LM Analysis'!$I$8,'WTE and LM Analysis'!I36, IF($B$65='WTE and LM Analysis'!$O$8,'WTE and LM Analysis'!O36, "Choose Scenario")))</f>
        <v>414.83068593390345</v>
      </c>
      <c r="C92" s="534">
        <f>E92*$D$62*'MSW Integration Calcs PDS1 '!AE138</f>
        <v>414.83068593390345</v>
      </c>
      <c r="E92" s="1223">
        <f>'MSW Integration Calcs PDS1 '!AI138</f>
        <v>2.5375607353212315</v>
      </c>
      <c r="G92" s="1220">
        <f t="shared" si="3"/>
        <v>690.64706571979582</v>
      </c>
      <c r="I92" s="1226">
        <f>E92*$D$62*'MSW Integration Calcs PDS1 '!AE138</f>
        <v>414.83068593390345</v>
      </c>
      <c r="K92" s="1220">
        <f>'MSW Integration Calcs PDS2'!AE138</f>
        <v>416.17592847462458</v>
      </c>
      <c r="M92" s="1223">
        <f>'MSW Integration Calcs PDS2'!AI138</f>
        <v>3.1957301157229208</v>
      </c>
      <c r="O92" s="1226">
        <f t="shared" si="1"/>
        <v>314.8076739070579</v>
      </c>
      <c r="R92" s="1220">
        <f>'MSW Integration Calcs PDS3'!AE138</f>
        <v>417.43330934675356</v>
      </c>
      <c r="T92" s="1223">
        <f>'MSW Integration Calcs PDS3'!AI138</f>
        <v>2.9363351484121245</v>
      </c>
      <c r="V92" s="1226">
        <f t="shared" si="0"/>
        <v>290.1288940801229</v>
      </c>
    </row>
    <row r="93" spans="1:22" x14ac:dyDescent="0.4">
      <c r="A93" s="352">
        <f t="shared" si="2"/>
        <v>2040</v>
      </c>
      <c r="B93" s="534">
        <f>IF($B$65='WTE and LM Analysis'!$C$8,'WTE and LM Analysis'!C37,IF('WTE Tonnes and Composition'!$B$65='WTE and LM Analysis'!$I$8,'WTE and LM Analysis'!I37, IF($B$65='WTE and LM Analysis'!$O$8,'WTE and LM Analysis'!O37, "Choose Scenario")))</f>
        <v>427.6361813945071</v>
      </c>
      <c r="C93" s="534">
        <f>E93*$D$62*'MSW Integration Calcs PDS1 '!AE139</f>
        <v>427.6361813945071</v>
      </c>
      <c r="E93" s="1223">
        <f>'MSW Integration Calcs PDS1 '!AI139</f>
        <v>2.5617241138341447</v>
      </c>
      <c r="G93" s="1220">
        <f t="shared" si="3"/>
        <v>705.25119147049998</v>
      </c>
      <c r="I93" s="1226">
        <f>E93*$D$62*'MSW Integration Calcs PDS1 '!AE139</f>
        <v>427.6361813945071</v>
      </c>
      <c r="K93" s="1220">
        <f>'MSW Integration Calcs PDS2'!AE139</f>
        <v>398.4990165627338</v>
      </c>
      <c r="M93" s="1223">
        <f>'MSW Integration Calcs PDS2'!AI139</f>
        <v>3.184561180053052</v>
      </c>
      <c r="O93" s="1226">
        <f t="shared" si="1"/>
        <v>300.38283277956452</v>
      </c>
      <c r="R93" s="1220">
        <f>'MSW Integration Calcs PDS3'!AE139</f>
        <v>389.58688326619773</v>
      </c>
      <c r="T93" s="1223">
        <f>'MSW Integration Calcs PDS3'!AI139</f>
        <v>2.8899055101416571</v>
      </c>
      <c r="V93" s="1226">
        <f t="shared" si="0"/>
        <v>266.49325872509718</v>
      </c>
    </row>
    <row r="94" spans="1:22" x14ac:dyDescent="0.4">
      <c r="A94" s="352">
        <f t="shared" si="2"/>
        <v>2041</v>
      </c>
      <c r="B94" s="534">
        <f>IF($B$65='WTE and LM Analysis'!$C$8,'WTE and LM Analysis'!C38,IF('WTE Tonnes and Composition'!$B$65='WTE and LM Analysis'!$I$8,'WTE and LM Analysis'!I38, IF($B$65='WTE and LM Analysis'!$O$8,'WTE and LM Analysis'!O38, "Choose Scenario")))</f>
        <v>438.5145124289412</v>
      </c>
      <c r="C94" s="534">
        <f>E94*$D$62*'MSW Integration Calcs PDS1 '!AE140</f>
        <v>438.51451242894115</v>
      </c>
      <c r="E94" s="1223">
        <f>'MSW Integration Calcs PDS1 '!AI140</f>
        <v>2.5844656319242625</v>
      </c>
      <c r="G94" s="1220">
        <f t="shared" si="3"/>
        <v>716.82798433607491</v>
      </c>
      <c r="I94" s="1226">
        <f>E94*$D$62*'MSW Integration Calcs PDS1 '!AE140</f>
        <v>438.51451242894115</v>
      </c>
      <c r="K94" s="1220">
        <f>'MSW Integration Calcs PDS2'!AE140</f>
        <v>381.85137588362454</v>
      </c>
      <c r="M94" s="1223">
        <f>'MSW Integration Calcs PDS2'!AI140</f>
        <v>3.1693459946231921</v>
      </c>
      <c r="O94" s="1226">
        <f t="shared" si="1"/>
        <v>286.4588677628451</v>
      </c>
      <c r="R94" s="1220">
        <f>'MSW Integration Calcs PDS3'!AE140</f>
        <v>360.82312951971272</v>
      </c>
      <c r="T94" s="1223">
        <f>'MSW Integration Calcs PDS3'!AI140</f>
        <v>2.8299397053442661</v>
      </c>
      <c r="V94" s="1226">
        <f t="shared" si="0"/>
        <v>241.69619278750528</v>
      </c>
    </row>
    <row r="95" spans="1:22" x14ac:dyDescent="0.4">
      <c r="A95" s="352">
        <f t="shared" si="2"/>
        <v>2042</v>
      </c>
      <c r="B95" s="534">
        <f>IF($B$65='WTE and LM Analysis'!$C$8,'WTE and LM Analysis'!C39,IF('WTE Tonnes and Composition'!$B$65='WTE and LM Analysis'!$I$8,'WTE and LM Analysis'!I39, IF($B$65='WTE and LM Analysis'!$O$8,'WTE and LM Analysis'!O39, "Choose Scenario")))</f>
        <v>449.61728247462941</v>
      </c>
      <c r="C95" s="534">
        <f>E95*$D$62*'MSW Integration Calcs PDS1 '!AE141</f>
        <v>449.61728247462941</v>
      </c>
      <c r="E95" s="1223">
        <f>'MSW Integration Calcs PDS1 '!AI141</f>
        <v>2.6108337475509145</v>
      </c>
      <c r="G95" s="1220">
        <f t="shared" si="3"/>
        <v>727.55448240198814</v>
      </c>
      <c r="I95" s="1226">
        <f>E95*$D$62*'MSW Integration Calcs PDS1 '!AE141</f>
        <v>449.61728247462941</v>
      </c>
      <c r="K95" s="1220">
        <f>'MSW Integration Calcs PDS2'!AE141</f>
        <v>362.19086006379132</v>
      </c>
      <c r="M95" s="1223">
        <f>'MSW Integration Calcs PDS2'!AI141</f>
        <v>3.1550806556726703</v>
      </c>
      <c r="O95" s="1226">
        <f t="shared" si="1"/>
        <v>270.48688375807086</v>
      </c>
      <c r="R95" s="1220">
        <f>'MSW Integration Calcs PDS3'!AE141</f>
        <v>327.14362659564489</v>
      </c>
      <c r="T95" s="1223">
        <f>'MSW Integration Calcs PDS3'!AI141</f>
        <v>2.7536104131458679</v>
      </c>
      <c r="V95" s="1226">
        <f t="shared" si="0"/>
        <v>213.22553710973645</v>
      </c>
    </row>
    <row r="96" spans="1:22" x14ac:dyDescent="0.4">
      <c r="A96" s="352">
        <f t="shared" si="2"/>
        <v>2043</v>
      </c>
      <c r="B96" s="534">
        <f>IF($B$65='WTE and LM Analysis'!$C$8,'WTE and LM Analysis'!C40,IF('WTE Tonnes and Composition'!$B$65='WTE and LM Analysis'!$I$8,'WTE and LM Analysis'!I40, IF($B$65='WTE and LM Analysis'!$O$8,'WTE and LM Analysis'!O40, "Choose Scenario")))</f>
        <v>460.18112979764055</v>
      </c>
      <c r="C96" s="534">
        <f>E96*$D$62*'MSW Integration Calcs PDS1 '!AE142</f>
        <v>460.18112979764055</v>
      </c>
      <c r="E96" s="1223">
        <f>'MSW Integration Calcs PDS1 '!AI142</f>
        <v>2.6391638535969646</v>
      </c>
      <c r="G96" s="1220">
        <f t="shared" si="3"/>
        <v>736.65508942157817</v>
      </c>
      <c r="I96" s="1226">
        <f>E96*$D$62*'MSW Integration Calcs PDS1 '!AE142</f>
        <v>460.18112979764055</v>
      </c>
      <c r="K96" s="1220">
        <f>'MSW Integration Calcs PDS2'!AE142</f>
        <v>341.14626456631822</v>
      </c>
      <c r="M96" s="1223">
        <f>'MSW Integration Calcs PDS2'!AI142</f>
        <v>3.1392687429129582</v>
      </c>
      <c r="O96" s="1226">
        <f t="shared" si="1"/>
        <v>253.49381887061571</v>
      </c>
      <c r="R96" s="1220">
        <f>'MSW Integration Calcs PDS3'!AE142</f>
        <v>289.9184428427277</v>
      </c>
      <c r="T96" s="1223">
        <f>'MSW Integration Calcs PDS3'!AI142</f>
        <v>2.6505546829938149</v>
      </c>
      <c r="V96" s="1226">
        <f t="shared" si="0"/>
        <v>181.89085726213784</v>
      </c>
    </row>
    <row r="97" spans="1:23" x14ac:dyDescent="0.4">
      <c r="A97" s="352">
        <f t="shared" si="2"/>
        <v>2044</v>
      </c>
      <c r="B97" s="534">
        <f>IF($B$65='WTE and LM Analysis'!$C$8,'WTE and LM Analysis'!C41,IF('WTE Tonnes and Composition'!$B$65='WTE and LM Analysis'!$I$8,'WTE and LM Analysis'!I41, IF($B$65='WTE and LM Analysis'!$O$8,'WTE and LM Analysis'!O41, "Choose Scenario")))</f>
        <v>470.17147126026009</v>
      </c>
      <c r="C97" s="534">
        <f>E97*$D$62*'MSW Integration Calcs PDS1 '!AE143</f>
        <v>446.7458437771802</v>
      </c>
      <c r="E97" s="1223">
        <f>'MSW Integration Calcs PDS1 '!AI143</f>
        <v>2.6697551154915011</v>
      </c>
      <c r="G97" s="1220">
        <f t="shared" si="3"/>
        <v>744.02338957388417</v>
      </c>
      <c r="I97" s="1226">
        <f>E97*$D$62*'MSW Integration Calcs PDS1 '!AE143</f>
        <v>446.7458437771802</v>
      </c>
      <c r="K97" s="1220">
        <f>'MSW Integration Calcs PDS2'!AE143</f>
        <v>318.71532551620032</v>
      </c>
      <c r="M97" s="1223">
        <f>'MSW Integration Calcs PDS2'!AI143</f>
        <v>3.121392111549278</v>
      </c>
      <c r="O97" s="1226">
        <f t="shared" si="1"/>
        <v>235.4775635355135</v>
      </c>
      <c r="R97" s="1220">
        <f>'MSW Integration Calcs PDS3'!AE143</f>
        <v>248.96956398966609</v>
      </c>
      <c r="T97" s="1223">
        <f>'MSW Integration Calcs PDS3'!AI143</f>
        <v>2.5036423128855176</v>
      </c>
      <c r="V97" s="1226">
        <f t="shared" si="0"/>
        <v>147.54238498046163</v>
      </c>
    </row>
    <row r="98" spans="1:23" x14ac:dyDescent="0.4">
      <c r="A98" s="352">
        <f t="shared" si="2"/>
        <v>2045</v>
      </c>
      <c r="B98" s="534">
        <f>IF($B$65='WTE and LM Analysis'!$C$8,'WTE and LM Analysis'!C42,IF('WTE Tonnes and Composition'!$B$65='WTE and LM Analysis'!$I$8,'WTE and LM Analysis'!I42, IF($B$65='WTE and LM Analysis'!$O$8,'WTE and LM Analysis'!O42, "Choose Scenario")))</f>
        <v>479.55390012097376</v>
      </c>
      <c r="C98" s="534">
        <f>E98*$D$62*'MSW Integration Calcs PDS1 '!AE144</f>
        <v>430.23250514045816</v>
      </c>
      <c r="E98" s="1223">
        <f>'MSW Integration Calcs PDS1 '!AI144</f>
        <v>2.7029012952319955</v>
      </c>
      <c r="G98" s="1220">
        <f t="shared" si="3"/>
        <v>749.56445381778781</v>
      </c>
      <c r="I98" s="1226">
        <f>E98*$D$62*'MSW Integration Calcs PDS1 '!AE144</f>
        <v>430.23250514045816</v>
      </c>
      <c r="K98" s="1220">
        <f>'MSW Integration Calcs PDS2'!AE144</f>
        <v>294.93248711283627</v>
      </c>
      <c r="M98" s="1223">
        <f>'MSW Integration Calcs PDS2'!AI144</f>
        <v>3.1006606988298939</v>
      </c>
      <c r="O98" s="1226">
        <f t="shared" si="1"/>
        <v>216.45873479746567</v>
      </c>
      <c r="R98" s="1220">
        <f>'MSW Integration Calcs PDS3'!AE144</f>
        <v>204.15093933357912</v>
      </c>
      <c r="T98" s="1223">
        <f>'MSW Integration Calcs PDS3'!AI144</f>
        <v>2.277386935588587</v>
      </c>
      <c r="V98" s="1226">
        <f t="shared" si="0"/>
        <v>110.04909245932629</v>
      </c>
    </row>
    <row r="99" spans="1:23" x14ac:dyDescent="0.4">
      <c r="A99" s="352">
        <f t="shared" si="2"/>
        <v>2046</v>
      </c>
      <c r="B99" s="534">
        <f>IF($B$65='WTE and LM Analysis'!$C$8,'WTE and LM Analysis'!C43,IF('WTE Tonnes and Composition'!$B$65='WTE and LM Analysis'!$I$8,'WTE and LM Analysis'!I43, IF($B$65='WTE and LM Analysis'!$O$8,'WTE and LM Analysis'!O43, "Choose Scenario")))</f>
        <v>488.29423926202946</v>
      </c>
      <c r="C99" s="534">
        <f>E99*$D$62*'MSW Integration Calcs PDS1 '!AE145</f>
        <v>413.21137450035491</v>
      </c>
      <c r="E99" s="1223">
        <f>'MSW Integration Calcs PDS1 '!AI145</f>
        <v>2.739355705048272</v>
      </c>
      <c r="G99" s="1220">
        <f t="shared" si="3"/>
        <v>753.06924869930901</v>
      </c>
      <c r="I99" s="1226">
        <f>E99*$D$62*'MSW Integration Calcs PDS1 '!AE145</f>
        <v>413.21137450035491</v>
      </c>
      <c r="K99" s="1220">
        <f>'MSW Integration Calcs PDS2'!AE145</f>
        <v>269.65031705838055</v>
      </c>
      <c r="M99" s="1223">
        <f>'MSW Integration Calcs PDS2'!AI145</f>
        <v>3.0762549836900157</v>
      </c>
      <c r="O99" s="1226">
        <f t="shared" si="1"/>
        <v>196.34575827443999</v>
      </c>
      <c r="R99" s="1220">
        <f>'MSW Integration Calcs PDS3'!AE145</f>
        <v>181.80345655633243</v>
      </c>
      <c r="T99" s="1223">
        <f>'MSW Integration Calcs PDS3'!AI145</f>
        <v>2.1279977835103976</v>
      </c>
      <c r="V99" s="1226">
        <f t="shared" si="0"/>
        <v>91.573869357201886</v>
      </c>
      <c r="W99" s="609"/>
    </row>
    <row r="100" spans="1:23" x14ac:dyDescent="0.4">
      <c r="A100" s="352">
        <f t="shared" si="2"/>
        <v>2047</v>
      </c>
      <c r="B100" s="534">
        <f>IF($B$65='WTE and LM Analysis'!$C$8,'WTE and LM Analysis'!C44,IF('WTE Tonnes and Composition'!$B$65='WTE and LM Analysis'!$I$8,'WTE and LM Analysis'!I44, IF($B$65='WTE and LM Analysis'!$O$8,'WTE and LM Analysis'!O44, "Choose Scenario")))</f>
        <v>496.35854285998749</v>
      </c>
      <c r="C100" s="534">
        <f>E100*$D$62*'MSW Integration Calcs PDS1 '!AE146</f>
        <v>395.70628329978683</v>
      </c>
      <c r="E100" s="1223">
        <f>'MSW Integration Calcs PDS1 '!AI146</f>
        <v>2.7797531057860771</v>
      </c>
      <c r="G100" s="1220">
        <f t="shared" si="3"/>
        <v>754.38148159569243</v>
      </c>
      <c r="I100" s="1226">
        <f>E100*$D$62*'MSW Integration Calcs PDS1 '!AE146</f>
        <v>395.70628329978683</v>
      </c>
      <c r="K100" s="1220">
        <f>'MSW Integration Calcs PDS2'!AE146</f>
        <v>242.87634984658939</v>
      </c>
      <c r="M100" s="1223">
        <f>'MSW Integration Calcs PDS2'!AI146</f>
        <v>3.0465638478717874</v>
      </c>
      <c r="O100" s="1226">
        <f t="shared" si="1"/>
        <v>175.14339725404238</v>
      </c>
      <c r="R100" s="1220">
        <f>'MSW Integration Calcs PDS3'!AE146</f>
        <v>179.58417111390702</v>
      </c>
      <c r="T100" s="1223">
        <f>'MSW Integration Calcs PDS3'!AI146</f>
        <v>2.1207208550108536</v>
      </c>
      <c r="V100" s="1226">
        <f t="shared" si="0"/>
        <v>90.146697198857453</v>
      </c>
      <c r="W100" s="609"/>
    </row>
    <row r="101" spans="1:23" x14ac:dyDescent="0.4">
      <c r="A101" s="352">
        <f t="shared" si="2"/>
        <v>2048</v>
      </c>
      <c r="B101" s="534">
        <f>IF($B$65='WTE and LM Analysis'!$C$8,'WTE and LM Analysis'!C45,IF('WTE Tonnes and Composition'!$B$65='WTE and LM Analysis'!$I$8,'WTE and LM Analysis'!I45, IF($B$65='WTE and LM Analysis'!$O$8,'WTE and LM Analysis'!O45, "Choose Scenario")))</f>
        <v>503.71313875084354</v>
      </c>
      <c r="C101" s="534">
        <f>E101*$D$62*'MSW Integration Calcs PDS1 '!AE147</f>
        <v>377.75365761955339</v>
      </c>
      <c r="E101" s="1223">
        <f>'MSW Integration Calcs PDS1 '!AI147</f>
        <v>2.8248618915247832</v>
      </c>
      <c r="G101" s="1220">
        <f t="shared" si="3"/>
        <v>753.33440329676228</v>
      </c>
      <c r="I101" s="1226">
        <f>E101*$D$62*'MSW Integration Calcs PDS1 '!AE147</f>
        <v>377.75365761955339</v>
      </c>
      <c r="K101" s="1220">
        <f>'MSW Integration Calcs PDS2'!AE147</f>
        <v>214.63037042611325</v>
      </c>
      <c r="M101" s="1223">
        <f>'MSW Integration Calcs PDS2'!AI147</f>
        <v>3.0089518019221115</v>
      </c>
      <c r="O101" s="1226">
        <f t="shared" si="1"/>
        <v>152.86380451033244</v>
      </c>
      <c r="R101" s="1220">
        <f>'MSW Integration Calcs PDS3'!AE147</f>
        <v>177.89861586990025</v>
      </c>
      <c r="T101" s="1223">
        <f>'MSW Integration Calcs PDS3'!AI147</f>
        <v>2.1207208550108536</v>
      </c>
      <c r="V101" s="1226">
        <f t="shared" si="0"/>
        <v>89.3005912350025</v>
      </c>
      <c r="W101" s="609"/>
    </row>
    <row r="102" spans="1:23" x14ac:dyDescent="0.4">
      <c r="A102" s="352">
        <f t="shared" si="2"/>
        <v>2049</v>
      </c>
      <c r="B102" s="534">
        <f>IF($B$65='WTE and LM Analysis'!$C$8,'WTE and LM Analysis'!C46,IF('WTE Tonnes and Composition'!$B$65='WTE and LM Analysis'!$I$8,'WTE and LM Analysis'!I46, IF($B$65='WTE and LM Analysis'!$O$8,'WTE and LM Analysis'!O46, "Choose Scenario")))</f>
        <v>510.32464802399608</v>
      </c>
      <c r="C102" s="534">
        <f>E102*$D$62*'MSW Integration Calcs PDS1 '!AE148</f>
        <v>359.363280150457</v>
      </c>
      <c r="E102" s="1223">
        <f>'MSW Integration Calcs PDS1 '!AI148</f>
        <v>2.8757498913114166</v>
      </c>
      <c r="G102" s="1220">
        <f t="shared" si="3"/>
        <v>749.71668243801298</v>
      </c>
      <c r="I102" s="1226">
        <f>E102*$D$62*'MSW Integration Calcs PDS1 '!AE148</f>
        <v>359.363280150457</v>
      </c>
      <c r="K102" s="1220">
        <f>'MSW Integration Calcs PDS2'!AE148</f>
        <v>184.90626416012549</v>
      </c>
      <c r="M102" s="1223">
        <f>'MSW Integration Calcs PDS2'!AI148</f>
        <v>2.958900948252805</v>
      </c>
      <c r="O102" s="1226">
        <f t="shared" si="1"/>
        <v>129.50314312951471</v>
      </c>
      <c r="R102" s="1220">
        <f>'MSW Integration Calcs PDS3'!AE148</f>
        <v>175.81698644214362</v>
      </c>
      <c r="T102" s="1223">
        <f>'MSW Integration Calcs PDS3'!AI148</f>
        <v>2.1207208550108536</v>
      </c>
      <c r="V102" s="1226">
        <f t="shared" si="0"/>
        <v>88.255666080740525</v>
      </c>
      <c r="W102" s="609"/>
    </row>
    <row r="103" spans="1:23" x14ac:dyDescent="0.4">
      <c r="A103" s="352">
        <f t="shared" si="2"/>
        <v>2050</v>
      </c>
      <c r="B103" s="534">
        <f>IF($B$65='WTE and LM Analysis'!$C$8,'WTE and LM Analysis'!C47,IF('WTE Tonnes and Composition'!$B$65='WTE and LM Analysis'!$I$8,'WTE and LM Analysis'!I47, IF($B$65='WTE and LM Analysis'!$O$8,'WTE and LM Analysis'!O47, "Choose Scenario")))</f>
        <v>515.88383562975162</v>
      </c>
      <c r="C103" s="534">
        <f>E103*$D$62*'MSW Integration Calcs PDS1 '!AE149</f>
        <v>340.32236487313185</v>
      </c>
      <c r="E103" s="1223">
        <f>'MSW Integration Calcs PDS1 '!AI149</f>
        <v>2.9346930051801614</v>
      </c>
      <c r="G103" s="1220">
        <f t="shared" si="3"/>
        <v>742.66162810392564</v>
      </c>
      <c r="I103" s="1226">
        <f>E103*$D$62*'MSW Integration Calcs PDS1 '!AE149</f>
        <v>340.32236487313185</v>
      </c>
      <c r="K103" s="1220">
        <f>'MSW Integration Calcs PDS2'!AE149</f>
        <v>153.47525052691503</v>
      </c>
      <c r="M103" s="1223">
        <f>'MSW Integration Calcs PDS2'!AI149</f>
        <v>2.88826031740372</v>
      </c>
      <c r="O103" s="1226">
        <f t="shared" si="1"/>
        <v>104.92354182197434</v>
      </c>
      <c r="R103" s="1220">
        <f>'MSW Integration Calcs PDS3'!AE149</f>
        <v>173.17859862253863</v>
      </c>
      <c r="T103" s="1223">
        <f>'MSW Integration Calcs PDS3'!AI149</f>
        <v>2.1207208550108536</v>
      </c>
      <c r="V103" s="1226">
        <f t="shared" si="0"/>
        <v>86.931262340745945</v>
      </c>
      <c r="W103" s="609"/>
    </row>
    <row r="104" spans="1:23" x14ac:dyDescent="0.4">
      <c r="A104" s="352">
        <f t="shared" si="2"/>
        <v>2051</v>
      </c>
      <c r="B104" s="534">
        <f>IF($B$65='WTE and LM Analysis'!$C$8,'WTE and LM Analysis'!C48,IF('WTE Tonnes and Composition'!$B$65='WTE and LM Analysis'!$I$8,'WTE and LM Analysis'!I48, IF($B$65='WTE and LM Analysis'!$O$8,'WTE and LM Analysis'!O48, "Choose Scenario")))</f>
        <v>521.18647744583427</v>
      </c>
      <c r="C104" s="534">
        <f>E104*$D$62*'MSW Integration Calcs PDS1 '!AE150</f>
        <v>337.05921729212417</v>
      </c>
      <c r="E104" s="1223">
        <f>'MSW Integration Calcs PDS1 '!AI150</f>
        <v>2.9245552858017154</v>
      </c>
      <c r="G104" s="1220">
        <f t="shared" si="3"/>
        <v>752.89609652400998</v>
      </c>
      <c r="I104" s="1226">
        <f>E104*$D$62*'MSW Integration Calcs PDS1 '!AE150</f>
        <v>337.05921729212417</v>
      </c>
      <c r="K104" s="1220">
        <f>'MSW Integration Calcs PDS2'!AE150</f>
        <v>129.75615251956833</v>
      </c>
      <c r="M104" s="1223">
        <f>'MSW Integration Calcs PDS2'!AI150</f>
        <v>2.8287445684456141</v>
      </c>
      <c r="O104" s="1226">
        <f t="shared" si="1"/>
        <v>86.88002766042608</v>
      </c>
      <c r="R104" s="1220">
        <f>'MSW Integration Calcs PDS3'!AE150</f>
        <v>170.4515501200641</v>
      </c>
      <c r="T104" s="1223">
        <f>'MSW Integration Calcs PDS3'!AI150</f>
        <v>2.1207208550108536</v>
      </c>
      <c r="V104" s="1226">
        <f t="shared" si="0"/>
        <v>85.562353187593246</v>
      </c>
      <c r="W104" s="609"/>
    </row>
    <row r="105" spans="1:23" x14ac:dyDescent="0.4">
      <c r="A105" s="352">
        <f t="shared" si="2"/>
        <v>2052</v>
      </c>
      <c r="B105" s="534">
        <f>IF($B$65='WTE and LM Analysis'!$C$8,'WTE and LM Analysis'!C49,IF('WTE Tonnes and Composition'!$B$65='WTE and LM Analysis'!$I$8,'WTE and LM Analysis'!I49, IF($B$65='WTE and LM Analysis'!$O$8,'WTE and LM Analysis'!O49, "Choose Scenario")))</f>
        <v>525.37182402018357</v>
      </c>
      <c r="C105" s="534">
        <f>E105*$D$62*'MSW Integration Calcs PDS1 '!AE151</f>
        <v>333.05879712260224</v>
      </c>
      <c r="E105" s="1223">
        <f>'MSW Integration Calcs PDS1 '!AI151</f>
        <v>2.9145142820694128</v>
      </c>
      <c r="G105" s="1220">
        <f t="shared" si="3"/>
        <v>761.55685527478352</v>
      </c>
      <c r="I105" s="1226">
        <f>E105*$D$62*'MSW Integration Calcs PDS1 '!AE151</f>
        <v>333.05879712260224</v>
      </c>
      <c r="K105" s="1220">
        <f>'MSW Integration Calcs PDS2'!AE151</f>
        <v>103.77994300882551</v>
      </c>
      <c r="M105" s="1223">
        <f>'MSW Integration Calcs PDS2'!AI151</f>
        <v>2.7338927481349442</v>
      </c>
      <c r="O105" s="1226">
        <f t="shared" si="1"/>
        <v>67.157289391625454</v>
      </c>
      <c r="R105" s="1220">
        <f>'MSW Integration Calcs PDS3'!AE151</f>
        <v>167.16190001176756</v>
      </c>
      <c r="T105" s="1223">
        <f>'MSW Integration Calcs PDS3'!AI151</f>
        <v>2.1207208550108536</v>
      </c>
      <c r="V105" s="1226">
        <f t="shared" si="0"/>
        <v>83.911032303556638</v>
      </c>
      <c r="W105" s="609"/>
    </row>
    <row r="106" spans="1:23" x14ac:dyDescent="0.4">
      <c r="A106" s="352">
        <f t="shared" si="2"/>
        <v>2053</v>
      </c>
      <c r="B106" s="534">
        <f>IF($B$65='WTE and LM Analysis'!$C$8,'WTE and LM Analysis'!C50,IF('WTE Tonnes and Composition'!$B$65='WTE and LM Analysis'!$I$8,'WTE and LM Analysis'!I50, IF($B$65='WTE and LM Analysis'!$O$8,'WTE and LM Analysis'!O50, "Choose Scenario")))</f>
        <v>528.68406743061257</v>
      </c>
      <c r="C106" s="534">
        <f>E106*$D$62*'MSW Integration Calcs PDS1 '!AE152</f>
        <v>328.63009502324326</v>
      </c>
      <c r="E106" s="1223">
        <f>'MSW Integration Calcs PDS1 '!AI152</f>
        <v>2.9043996182810585</v>
      </c>
      <c r="G106" s="1220">
        <f t="shared" si="3"/>
        <v>769.02701027599392</v>
      </c>
      <c r="I106" s="1226">
        <f>E106*$D$62*'MSW Integration Calcs PDS1 '!AE152</f>
        <v>328.63009502324326</v>
      </c>
      <c r="K106" s="1220">
        <f>'MSW Integration Calcs PDS2'!AE152</f>
        <v>76.448720271721299</v>
      </c>
      <c r="M106" s="1223">
        <f>'MSW Integration Calcs PDS2'!AI152</f>
        <v>2.5675659232620571</v>
      </c>
      <c r="O106" s="1226">
        <f t="shared" si="1"/>
        <v>46.461163445345569</v>
      </c>
      <c r="R106" s="1220">
        <f>'MSW Integration Calcs PDS3'!AE152</f>
        <v>163.46362156587315</v>
      </c>
      <c r="T106" s="1223">
        <f>'MSW Integration Calcs PDS3'!AI152</f>
        <v>2.1207208550108536</v>
      </c>
      <c r="V106" s="1226">
        <f t="shared" si="0"/>
        <v>82.054590362425643</v>
      </c>
      <c r="W106" s="609"/>
    </row>
    <row r="107" spans="1:23" x14ac:dyDescent="0.4">
      <c r="A107" s="352">
        <f t="shared" si="2"/>
        <v>2054</v>
      </c>
      <c r="B107" s="534">
        <f>IF($B$65='WTE and LM Analysis'!$C$8,'WTE and LM Analysis'!C51,IF('WTE Tonnes and Composition'!$B$65='WTE and LM Analysis'!$I$8,'WTE and LM Analysis'!I51, IF($B$65='WTE and LM Analysis'!$O$8,'WTE and LM Analysis'!O51, "Choose Scenario")))</f>
        <v>531.09165330423866</v>
      </c>
      <c r="C107" s="534">
        <f>E107*$D$62*'MSW Integration Calcs PDS1 '!AE153</f>
        <v>323.77450763823538</v>
      </c>
      <c r="E107" s="1223">
        <f>'MSW Integration Calcs PDS1 '!AI153</f>
        <v>2.8941687619165206</v>
      </c>
      <c r="G107" s="1220">
        <f t="shared" si="3"/>
        <v>775.25998140634522</v>
      </c>
      <c r="I107" s="1226">
        <f>E107*$D$62*'MSW Integration Calcs PDS1 '!AE153</f>
        <v>323.77450763823538</v>
      </c>
      <c r="K107" s="1220">
        <f>'MSW Integration Calcs PDS2'!AE153</f>
        <v>47.766750076887888</v>
      </c>
      <c r="M107" s="1223">
        <f>'MSW Integration Calcs PDS2'!AI153</f>
        <v>2.1931174129060236</v>
      </c>
      <c r="O107" s="1226">
        <f t="shared" si="1"/>
        <v>24.796240222912587</v>
      </c>
      <c r="R107" s="1220">
        <f>'MSW Integration Calcs PDS3'!AE153</f>
        <v>159.35373871339493</v>
      </c>
      <c r="T107" s="1223">
        <f>'MSW Integration Calcs PDS3'!AI153</f>
        <v>2.1207208550108536</v>
      </c>
      <c r="V107" s="1226">
        <f t="shared" si="0"/>
        <v>79.991533453082923</v>
      </c>
      <c r="W107" s="609"/>
    </row>
    <row r="108" spans="1:23" x14ac:dyDescent="0.4">
      <c r="A108" s="352">
        <f t="shared" si="2"/>
        <v>2055</v>
      </c>
      <c r="B108" s="534">
        <f>IF($B$65='WTE and LM Analysis'!$C$8,'WTE and LM Analysis'!C52,IF('WTE Tonnes and Composition'!$B$65='WTE and LM Analysis'!$I$8,'WTE and LM Analysis'!I52, IF($B$65='WTE and LM Analysis'!$O$8,'WTE and LM Analysis'!O52, "Choose Scenario")))</f>
        <v>532.56342225953415</v>
      </c>
      <c r="C108" s="534">
        <f>E108*$D$62*'MSW Integration Calcs PDS1 '!AE154</f>
        <v>318.49301563089909</v>
      </c>
      <c r="E108" s="1223">
        <f>'MSW Integration Calcs PDS1 '!AI154</f>
        <v>2.8837820745214398</v>
      </c>
      <c r="G108" s="1220">
        <f t="shared" si="3"/>
        <v>780.20843070550461</v>
      </c>
      <c r="I108" s="1226">
        <f>E108*$D$62*'MSW Integration Calcs PDS1 '!AE154</f>
        <v>318.49301563089909</v>
      </c>
      <c r="K108" s="1220">
        <f>'MSW Integration Calcs PDS2'!AE154</f>
        <v>37.659810664332213</v>
      </c>
      <c r="M108" s="1223">
        <f>'MSW Integration Calcs PDS2'!AI154</f>
        <v>2.1207208550108536</v>
      </c>
      <c r="O108" s="1226">
        <f t="shared" si="1"/>
        <v>18.904269387809961</v>
      </c>
      <c r="R108" s="1220">
        <f>'MSW Integration Calcs PDS3'!AE154</f>
        <v>154.82964966971849</v>
      </c>
      <c r="T108" s="1223">
        <f>'MSW Integration Calcs PDS3'!AI154</f>
        <v>2.1207208550108536</v>
      </c>
      <c r="V108" s="1226">
        <f t="shared" si="0"/>
        <v>77.720555545668745</v>
      </c>
      <c r="W108" s="609"/>
    </row>
    <row r="109" spans="1:23" x14ac:dyDescent="0.4">
      <c r="A109" s="352">
        <f t="shared" si="2"/>
        <v>2056</v>
      </c>
      <c r="B109" s="534">
        <f>IF($B$65='WTE and LM Analysis'!$C$8,'WTE and LM Analysis'!C53,IF('WTE Tonnes and Composition'!$B$65='WTE and LM Analysis'!$I$8,'WTE and LM Analysis'!I53, IF($B$65='WTE and LM Analysis'!$O$8,'WTE and LM Analysis'!O53, "Choose Scenario")))</f>
        <v>533.06855171740585</v>
      </c>
      <c r="C109" s="534">
        <f>E109*$D$62*'MSW Integration Calcs PDS1 '!AE155</f>
        <v>312.78700305075364</v>
      </c>
      <c r="E109" s="1223">
        <f>'MSW Integration Calcs PDS1 '!AI155</f>
        <v>2.8731964842982891</v>
      </c>
      <c r="G109" s="1220">
        <f t="shared" si="3"/>
        <v>783.82566191282694</v>
      </c>
      <c r="I109" s="1226">
        <f>E109*$D$62*'MSW Integration Calcs PDS1 '!AE155</f>
        <v>312.78700305075364</v>
      </c>
      <c r="K109" s="1220">
        <f>'MSW Integration Calcs PDS2'!AE155</f>
        <v>27.303825301838287</v>
      </c>
      <c r="M109" s="1223">
        <f>'MSW Integration Calcs PDS2'!AI155</f>
        <v>2.1207208550108536</v>
      </c>
      <c r="O109" s="1226">
        <f t="shared" si="1"/>
        <v>13.705827504664255</v>
      </c>
      <c r="R109" s="1220">
        <f>'MSW Integration Calcs PDS3'!AE155</f>
        <v>149.88903546992708</v>
      </c>
      <c r="T109" s="1223">
        <f>'MSW Integration Calcs PDS3'!AI155</f>
        <v>2.1207208550108536</v>
      </c>
      <c r="V109" s="1226">
        <f t="shared" si="0"/>
        <v>75.240492578635454</v>
      </c>
      <c r="W109" s="609"/>
    </row>
    <row r="110" spans="1:23" x14ac:dyDescent="0.4">
      <c r="A110" s="352">
        <f t="shared" si="2"/>
        <v>2057</v>
      </c>
      <c r="B110" s="534">
        <f>IF($B$65='WTE and LM Analysis'!$C$8,'WTE and LM Analysis'!C54,IF('WTE Tonnes and Composition'!$B$65='WTE and LM Analysis'!$I$8,'WTE and LM Analysis'!I54, IF($B$65='WTE and LM Analysis'!$O$8,'WTE and LM Analysis'!O54, "Choose Scenario")))</f>
        <v>532.57669206210471</v>
      </c>
      <c r="C110" s="534">
        <f>E110*$D$62*'MSW Integration Calcs PDS1 '!AE156</f>
        <v>306.65763878192269</v>
      </c>
      <c r="E110" s="1223">
        <f>'MSW Integration Calcs PDS1 '!AI156</f>
        <v>2.8623727756183435</v>
      </c>
      <c r="G110" s="1220">
        <f t="shared" si="3"/>
        <v>786.06363493842741</v>
      </c>
      <c r="I110" s="1226">
        <f>E110*$D$62*'MSW Integration Calcs PDS1 '!AE156</f>
        <v>306.65763878192269</v>
      </c>
      <c r="K110" s="1220">
        <f>'MSW Integration Calcs PDS2'!AE156</f>
        <v>11.604530112669977</v>
      </c>
      <c r="M110" s="1223">
        <f>'MSW Integration Calcs PDS2'!AI156</f>
        <v>2.1207208550108536</v>
      </c>
      <c r="O110" s="1226">
        <f t="shared" si="1"/>
        <v>5.8251796676353766</v>
      </c>
      <c r="R110" s="1220">
        <f>'MSW Integration Calcs PDS3'!AE156</f>
        <v>144.5301505194102</v>
      </c>
      <c r="T110" s="1223">
        <f>'MSW Integration Calcs PDS3'!AI156</f>
        <v>2.1207208550108536</v>
      </c>
      <c r="V110" s="1226">
        <f t="shared" si="0"/>
        <v>72.550468307780605</v>
      </c>
      <c r="W110" s="609"/>
    </row>
    <row r="111" spans="1:23" x14ac:dyDescent="0.4">
      <c r="A111" s="352">
        <f t="shared" si="2"/>
        <v>2058</v>
      </c>
      <c r="B111" s="534">
        <f>IF($B$65='WTE and LM Analysis'!$C$8,'WTE and LM Analysis'!C55,IF('WTE Tonnes and Composition'!$B$65='WTE and LM Analysis'!$I$8,'WTE and LM Analysis'!I55, IF($B$65='WTE and LM Analysis'!$O$8,'WTE and LM Analysis'!O55, "Choose Scenario")))</f>
        <v>531.05815487627171</v>
      </c>
      <c r="C111" s="534">
        <f>E111*$D$62*'MSW Integration Calcs PDS1 '!AE157</f>
        <v>300.10596144179573</v>
      </c>
      <c r="E111" s="1223">
        <f>'MSW Integration Calcs PDS1 '!AI157</f>
        <v>2.851277960026807</v>
      </c>
      <c r="G111" s="1220">
        <f t="shared" si="3"/>
        <v>786.87231805647218</v>
      </c>
      <c r="I111" s="1226">
        <f>E111*$D$62*'MSW Integration Calcs PDS1 '!AE157</f>
        <v>300.10596144179573</v>
      </c>
      <c r="K111" s="1220">
        <f>'MSW Integration Calcs PDS2'!AE157</f>
        <v>-0.246632127661087</v>
      </c>
      <c r="M111" s="1223">
        <f>'MSW Integration Calcs PDS2'!AI157</f>
        <v>2.1207208550108536</v>
      </c>
      <c r="O111" s="1226">
        <f t="shared" si="1"/>
        <v>-0.12380307013624227</v>
      </c>
      <c r="R111" s="1220">
        <f>'MSW Integration Calcs PDS3'!AE157</f>
        <v>135.78246210296311</v>
      </c>
      <c r="T111" s="1223">
        <f>'MSW Integration Calcs PDS3'!AI157</f>
        <v>2.1207208550108536</v>
      </c>
      <c r="V111" s="1226">
        <f t="shared" si="0"/>
        <v>68.159350683236568</v>
      </c>
      <c r="W111" s="609"/>
    </row>
    <row r="112" spans="1:23" x14ac:dyDescent="0.4">
      <c r="A112" s="352">
        <f t="shared" si="2"/>
        <v>2059</v>
      </c>
      <c r="B112" s="534">
        <f>IF($B$65='WTE and LM Analysis'!$C$8,'WTE and LM Analysis'!C56,IF('WTE Tonnes and Composition'!$B$65='WTE and LM Analysis'!$I$8,'WTE and LM Analysis'!I56, IF($B$65='WTE and LM Analysis'!$O$8,'WTE and LM Analysis'!O56, "Choose Scenario")))</f>
        <v>528.48377583603838</v>
      </c>
      <c r="C112" s="534">
        <f>E112*$D$62*'MSW Integration Calcs PDS1 '!AE158</f>
        <v>293.13299096619301</v>
      </c>
      <c r="E112" s="1223">
        <f>'MSW Integration Calcs PDS1 '!AI158</f>
        <v>2.8398808825352857</v>
      </c>
      <c r="G112" s="1220">
        <f t="shared" si="3"/>
        <v>786.20043026897781</v>
      </c>
      <c r="I112" s="1226">
        <f>E112*$D$62*'MSW Integration Calcs PDS1 '!AE158</f>
        <v>293.13299096619301</v>
      </c>
      <c r="K112" s="1220">
        <f>'MSW Integration Calcs PDS2'!AE158</f>
        <v>-9.7474071525775798</v>
      </c>
      <c r="M112" s="1223">
        <f>'MSW Integration Calcs PDS2'!AI158</f>
        <v>2.1207208550108536</v>
      </c>
      <c r="O112" s="1226">
        <f t="shared" si="1"/>
        <v>-4.8929510635992903</v>
      </c>
      <c r="R112" s="1220">
        <f>'MSW Integration Calcs PDS3'!AE158</f>
        <v>126.00853395878823</v>
      </c>
      <c r="T112" s="1223">
        <f>'MSW Integration Calcs PDS3'!AI158</f>
        <v>2.1207208550108536</v>
      </c>
      <c r="V112" s="1226">
        <f t="shared" si="0"/>
        <v>63.253086754788974</v>
      </c>
      <c r="W112" s="609"/>
    </row>
    <row r="113" spans="1:23" ht="12.6" thickBot="1" x14ac:dyDescent="0.45">
      <c r="A113" s="352">
        <f t="shared" si="2"/>
        <v>2060</v>
      </c>
      <c r="B113" s="534">
        <f>IF($B$65='WTE and LM Analysis'!$C$8,'WTE and LM Analysis'!C57,IF('WTE Tonnes and Composition'!$B$65='WTE and LM Analysis'!$I$8,'WTE and LM Analysis'!I57, IF($B$65='WTE and LM Analysis'!$O$8,'WTE and LM Analysis'!O57, "Choose Scenario")))</f>
        <v>524.82475980751224</v>
      </c>
      <c r="C113" s="534">
        <f>E113*$D$62*'MSW Integration Calcs PDS1 '!AE159</f>
        <v>285.74071987012951</v>
      </c>
      <c r="E113" s="1223">
        <f>'MSW Integration Calcs PDS1 '!AI159</f>
        <v>2.8281412399396073</v>
      </c>
      <c r="G113" s="1220">
        <f t="shared" si="3"/>
        <v>783.9980148763035</v>
      </c>
      <c r="I113" s="1227">
        <f>E113*$D$62*'MSW Integration Calcs PDS1 '!AE159</f>
        <v>285.74071987012951</v>
      </c>
      <c r="K113" s="1220">
        <f>'MSW Integration Calcs PDS2'!AE159</f>
        <v>-19.754318165240306</v>
      </c>
      <c r="M113" s="1223">
        <f>'MSW Integration Calcs PDS2'!AI159</f>
        <v>2.1207208550108536</v>
      </c>
      <c r="O113" s="1226">
        <f t="shared" si="1"/>
        <v>-9.9161664804092684</v>
      </c>
      <c r="R113" s="1220">
        <f>'MSW Integration Calcs PDS3'!AE159</f>
        <v>119.44474486356842</v>
      </c>
      <c r="T113" s="1223">
        <f>'MSW Integration Calcs PDS3'!AI159</f>
        <v>2.1207208550108536</v>
      </c>
      <c r="V113" s="1226">
        <f t="shared" si="0"/>
        <v>59.95823117607187</v>
      </c>
      <c r="W113" s="609"/>
    </row>
    <row r="114" spans="1:23" x14ac:dyDescent="0.4">
      <c r="I114" s="1235"/>
    </row>
  </sheetData>
  <mergeCells count="2">
    <mergeCell ref="B62:C62"/>
    <mergeCell ref="G64:G65"/>
  </mergeCells>
  <pageMargins left="0.7" right="0.7" top="0.75" bottom="0.75" header="0.3" footer="0.3"/>
  <cellWatches>
    <cellWatch r="AZ112"/>
    <cellWatch r="AZ113"/>
    <cellWatch r="AZ114"/>
    <cellWatch r="AZ115"/>
    <cellWatch r="AZ116"/>
    <cellWatch r="AZ117"/>
    <cellWatch r="AZ118"/>
    <cellWatch r="AZ119"/>
    <cellWatch r="AZ120"/>
    <cellWatch r="AZ121"/>
    <cellWatch r="AZ122"/>
    <cellWatch r="AZ123"/>
    <cellWatch r="AZ124"/>
    <cellWatch r="AZ125"/>
    <cellWatch r="AZ126"/>
    <cellWatch r="AZ127"/>
    <cellWatch r="AZ128"/>
    <cellWatch r="AZ129"/>
    <cellWatch r="AZ130"/>
    <cellWatch r="AZ131"/>
    <cellWatch r="AZ132"/>
    <cellWatch r="AZ133"/>
    <cellWatch r="AZ134"/>
    <cellWatch r="AZ135"/>
    <cellWatch r="AZ136"/>
    <cellWatch r="AZ137"/>
    <cellWatch r="AZ138"/>
    <cellWatch r="AZ139"/>
    <cellWatch r="AZ140"/>
    <cellWatch r="AZ141"/>
    <cellWatch r="AZ142"/>
    <cellWatch r="AZ143"/>
    <cellWatch r="AZ144"/>
    <cellWatch r="AZ145"/>
    <cellWatch r="AZ146"/>
    <cellWatch r="AZ147"/>
    <cellWatch r="AZ148"/>
    <cellWatch r="AY123"/>
    <cellWatch r="AY124"/>
    <cellWatch r="AY125"/>
    <cellWatch r="AY126"/>
    <cellWatch r="AY127"/>
    <cellWatch r="AY128"/>
    <cellWatch r="AY129"/>
    <cellWatch r="AY130"/>
    <cellWatch r="AY131"/>
    <cellWatch r="AY132"/>
    <cellWatch r="AY133"/>
    <cellWatch r="AY134"/>
    <cellWatch r="AY135"/>
    <cellWatch r="AY136"/>
    <cellWatch r="AY137"/>
    <cellWatch r="AY138"/>
    <cellWatch r="AY139"/>
    <cellWatch r="AY140"/>
    <cellWatch r="AY141"/>
    <cellWatch r="AY142"/>
    <cellWatch r="AY143"/>
    <cellWatch r="AY144"/>
    <cellWatch r="AY145"/>
    <cellWatch r="AY146"/>
    <cellWatch r="AY147"/>
    <cellWatch r="AY148"/>
    <cellWatch r="AY149"/>
    <cellWatch r="AY150"/>
    <cellWatch r="AY151"/>
    <cellWatch r="AY152"/>
    <cellWatch r="AY153"/>
    <cellWatch r="AY154"/>
    <cellWatch r="AY155"/>
    <cellWatch r="AY156"/>
    <cellWatch r="AY157"/>
    <cellWatch r="AZ187"/>
    <cellWatch r="AZ188"/>
    <cellWatch r="AZ189"/>
    <cellWatch r="AZ190"/>
    <cellWatch r="AZ191"/>
    <cellWatch r="AZ192"/>
    <cellWatch r="AZ193"/>
    <cellWatch r="AZ194"/>
    <cellWatch r="AZ195"/>
    <cellWatch r="AZ196"/>
    <cellWatch r="AZ197"/>
    <cellWatch r="AZ198"/>
    <cellWatch r="AZ199"/>
    <cellWatch r="AZ200"/>
    <cellWatch r="AZ201"/>
    <cellWatch r="AZ202"/>
    <cellWatch r="AZ203"/>
    <cellWatch r="AZ204"/>
    <cellWatch r="AZ205"/>
    <cellWatch r="AZ206"/>
    <cellWatch r="AZ207"/>
    <cellWatch r="AZ208"/>
    <cellWatch r="AZ209"/>
    <cellWatch r="AZ210"/>
    <cellWatch r="AZ211"/>
    <cellWatch r="AZ212"/>
    <cellWatch r="AZ213"/>
    <cellWatch r="AZ214"/>
    <cellWatch r="AZ215"/>
    <cellWatch r="AZ216"/>
    <cellWatch r="BA112"/>
    <cellWatch r="BA113"/>
    <cellWatch r="BA114"/>
    <cellWatch r="BA115"/>
    <cellWatch r="BA116"/>
    <cellWatch r="BA117"/>
    <cellWatch r="BA118"/>
    <cellWatch r="BA119"/>
    <cellWatch r="BA120"/>
    <cellWatch r="BA121"/>
    <cellWatch r="BA122"/>
    <cellWatch r="BA123"/>
    <cellWatch r="BA124"/>
    <cellWatch r="BA125"/>
    <cellWatch r="BA126"/>
    <cellWatch r="BA127"/>
    <cellWatch r="BA128"/>
    <cellWatch r="BA129"/>
    <cellWatch r="BA130"/>
    <cellWatch r="BA131"/>
    <cellWatch r="BA132"/>
    <cellWatch r="BA133"/>
    <cellWatch r="BA134"/>
    <cellWatch r="BA135"/>
    <cellWatch r="BA136"/>
    <cellWatch r="BA137"/>
    <cellWatch r="BA138"/>
    <cellWatch r="BA139"/>
    <cellWatch r="BA140"/>
    <cellWatch r="BA141"/>
    <cellWatch r="BA142"/>
    <cellWatch r="BA143"/>
    <cellWatch r="BA144"/>
    <cellWatch r="BA145"/>
    <cellWatch r="BA146"/>
    <cellWatch r="AZ149"/>
    <cellWatch r="AZ150"/>
    <cellWatch r="AZ217"/>
    <cellWatch r="AZ218"/>
    <cellWatch r="AZ219"/>
    <cellWatch r="AZ220"/>
    <cellWatch r="AY114"/>
    <cellWatch r="AY115"/>
    <cellWatch r="AY116"/>
    <cellWatch r="AY117"/>
    <cellWatch r="AY118"/>
    <cellWatch r="AY119"/>
    <cellWatch r="AY120"/>
    <cellWatch r="AY121"/>
    <cellWatch r="AY122"/>
    <cellWatch r="AZ151"/>
    <cellWatch r="AZ152"/>
    <cellWatch r="AZ153"/>
    <cellWatch r="AZ271"/>
    <cellWatch r="AZ272"/>
    <cellWatch r="AZ273"/>
    <cellWatch r="AZ274"/>
    <cellWatch r="AZ275"/>
    <cellWatch r="AZ276"/>
    <cellWatch r="AZ277"/>
    <cellWatch r="AZ278"/>
    <cellWatch r="AZ279"/>
    <cellWatch r="AZ280"/>
    <cellWatch r="AZ281"/>
    <cellWatch r="AZ282"/>
    <cellWatch r="AZ283"/>
    <cellWatch r="AZ284"/>
    <cellWatch r="AZ285"/>
    <cellWatch r="AZ286"/>
    <cellWatch r="AZ287"/>
    <cellWatch r="AZ288"/>
    <cellWatch r="AZ289"/>
    <cellWatch r="AZ290"/>
    <cellWatch r="AZ291"/>
    <cellWatch r="AZ292"/>
    <cellWatch r="AZ293"/>
    <cellWatch r="AZ294"/>
    <cellWatch r="AZ295"/>
    <cellWatch r="AZ296"/>
    <cellWatch r="BB112"/>
    <cellWatch r="BB113"/>
    <cellWatch r="BB114"/>
    <cellWatch r="BB115"/>
    <cellWatch r="BB116"/>
    <cellWatch r="BB117"/>
    <cellWatch r="BB118"/>
    <cellWatch r="BB119"/>
    <cellWatch r="BB120"/>
    <cellWatch r="BB121"/>
    <cellWatch r="BB122"/>
    <cellWatch r="BB123"/>
    <cellWatch r="BB124"/>
    <cellWatch r="BB125"/>
    <cellWatch r="BB126"/>
    <cellWatch r="BB127"/>
    <cellWatch r="BB128"/>
    <cellWatch r="BB129"/>
    <cellWatch r="BB130"/>
    <cellWatch r="BB131"/>
    <cellWatch r="BB132"/>
    <cellWatch r="BB133"/>
    <cellWatch r="BB134"/>
    <cellWatch r="BB135"/>
    <cellWatch r="BB136"/>
    <cellWatch r="BB137"/>
    <cellWatch r="BB138"/>
    <cellWatch r="BB139"/>
    <cellWatch r="BB140"/>
    <cellWatch r="BB141"/>
    <cellWatch r="BB142"/>
    <cellWatch r="BB143"/>
    <cellWatch r="BB144"/>
    <cellWatch r="BB145"/>
    <cellWatch r="BB146"/>
    <cellWatch r="AY110"/>
    <cellWatch r="AY111"/>
    <cellWatch r="AY112"/>
    <cellWatch r="AY113"/>
    <cellWatch r="AZ154"/>
    <cellWatch r="AZ155"/>
    <cellWatch r="AZ156"/>
    <cellWatch r="AZ157"/>
    <cellWatch r="BB147"/>
    <cellWatch r="AZ221"/>
    <cellWatch r="AY158"/>
    <cellWatch r="AY159"/>
    <cellWatch r="AY160"/>
    <cellWatch r="AY161"/>
    <cellWatch r="AY162"/>
    <cellWatch r="BA147"/>
    <cellWatch r="AZ297"/>
    <cellWatch r="BB148"/>
    <cellWatch r="AZ222"/>
    <cellWatch r="AY163"/>
    <cellWatch r="AY195"/>
    <cellWatch r="AY196"/>
    <cellWatch r="AY197"/>
    <cellWatch r="AY198"/>
    <cellWatch r="AY199"/>
    <cellWatch r="AY200"/>
    <cellWatch r="AY201"/>
    <cellWatch r="AY202"/>
    <cellWatch r="AY203"/>
    <cellWatch r="AY204"/>
    <cellWatch r="AY205"/>
    <cellWatch r="AY206"/>
    <cellWatch r="AY207"/>
    <cellWatch r="AY208"/>
    <cellWatch r="AY209"/>
    <cellWatch r="AY210"/>
    <cellWatch r="AY211"/>
    <cellWatch r="AY212"/>
    <cellWatch r="AY213"/>
    <cellWatch r="AY214"/>
    <cellWatch r="AY215"/>
    <cellWatch r="AY216"/>
    <cellWatch r="AY217"/>
    <cellWatch r="AY218"/>
    <cellWatch r="AY219"/>
    <cellWatch r="AY220"/>
    <cellWatch r="AY221"/>
    <cellWatch r="AY222"/>
    <cellWatch r="AY223"/>
    <cellWatch r="AY224"/>
    <cellWatch r="AX131"/>
    <cellWatch r="AX132"/>
    <cellWatch r="AX133"/>
    <cellWatch r="AX134"/>
    <cellWatch r="AX135"/>
    <cellWatch r="AX136"/>
    <cellWatch r="AX137"/>
    <cellWatch r="AX138"/>
    <cellWatch r="AX139"/>
    <cellWatch r="AX140"/>
    <cellWatch r="AX141"/>
    <cellWatch r="AX142"/>
    <cellWatch r="AX143"/>
    <cellWatch r="AX144"/>
    <cellWatch r="AX145"/>
    <cellWatch r="AX146"/>
    <cellWatch r="AX147"/>
    <cellWatch r="AX148"/>
    <cellWatch r="AX149"/>
    <cellWatch r="AX150"/>
    <cellWatch r="AX151"/>
    <cellWatch r="AX152"/>
    <cellWatch r="AX153"/>
    <cellWatch r="AX154"/>
    <cellWatch r="AX155"/>
    <cellWatch r="AX156"/>
    <cellWatch r="AX157"/>
    <cellWatch r="AX158"/>
    <cellWatch r="AX159"/>
    <cellWatch r="AX160"/>
    <cellWatch r="AX161"/>
    <cellWatch r="AX162"/>
    <cellWatch r="AX163"/>
    <cellWatch r="AX164"/>
    <cellWatch r="AX165"/>
    <cellWatch r="AY279"/>
    <cellWatch r="AY280"/>
    <cellWatch r="AY281"/>
    <cellWatch r="AY282"/>
    <cellWatch r="AY283"/>
    <cellWatch r="AY284"/>
    <cellWatch r="AY285"/>
    <cellWatch r="AY286"/>
    <cellWatch r="AY287"/>
    <cellWatch r="AY288"/>
    <cellWatch r="AY289"/>
    <cellWatch r="AY290"/>
    <cellWatch r="AY291"/>
    <cellWatch r="AY292"/>
    <cellWatch r="AY293"/>
    <cellWatch r="AY294"/>
    <cellWatch r="AY295"/>
    <cellWatch r="AY296"/>
    <cellWatch r="AY297"/>
    <cellWatch r="AY298"/>
    <cellWatch r="AY299"/>
    <cellWatch r="AY300"/>
    <cellWatch r="AY301"/>
    <cellWatch r="AY302"/>
    <cellWatch r="AY303"/>
    <cellWatch r="AY304"/>
    <cellWatch r="BA148"/>
    <cellWatch r="BA149"/>
    <cellWatch r="BA150"/>
    <cellWatch r="BA151"/>
    <cellWatch r="BA152"/>
    <cellWatch r="BA153"/>
    <cellWatch r="BA154"/>
    <cellWatch r="BA155"/>
    <cellWatch r="AY225"/>
    <cellWatch r="AY226"/>
    <cellWatch r="AY227"/>
    <cellWatch r="AY228"/>
    <cellWatch r="AY229"/>
    <cellWatch r="AX166"/>
    <cellWatch r="AX167"/>
    <cellWatch r="AX168"/>
    <cellWatch r="AX169"/>
    <cellWatch r="AX170"/>
    <cellWatch r="AU119"/>
    <cellWatch r="AU120"/>
    <cellWatch r="AU121"/>
    <cellWatch r="AU122"/>
    <cellWatch r="AU123"/>
    <cellWatch r="AU124"/>
    <cellWatch r="AU125"/>
    <cellWatch r="AU126"/>
    <cellWatch r="AU127"/>
    <cellWatch r="AU128"/>
    <cellWatch r="AU129"/>
    <cellWatch r="AU130"/>
    <cellWatch r="AU131"/>
    <cellWatch r="AU132"/>
    <cellWatch r="AU133"/>
    <cellWatch r="AU134"/>
    <cellWatch r="AU135"/>
    <cellWatch r="AU136"/>
    <cellWatch r="AU137"/>
    <cellWatch r="AU138"/>
    <cellWatch r="AU139"/>
    <cellWatch r="AU140"/>
    <cellWatch r="AU141"/>
    <cellWatch r="AU142"/>
    <cellWatch r="AU143"/>
    <cellWatch r="AU144"/>
    <cellWatch r="AU145"/>
    <cellWatch r="AU146"/>
    <cellWatch r="AU147"/>
    <cellWatch r="AU148"/>
    <cellWatch r="AU149"/>
    <cellWatch r="AU150"/>
    <cellWatch r="AU151"/>
    <cellWatch r="AU152"/>
    <cellWatch r="AU153"/>
    <cellWatch r="AU199"/>
    <cellWatch r="AU200"/>
    <cellWatch r="AU201"/>
    <cellWatch r="AU202"/>
    <cellWatch r="AU203"/>
    <cellWatch r="AU204"/>
    <cellWatch r="AU205"/>
    <cellWatch r="AU206"/>
    <cellWatch r="AU207"/>
    <cellWatch r="AU208"/>
    <cellWatch r="AU209"/>
    <cellWatch r="AU210"/>
    <cellWatch r="AU211"/>
    <cellWatch r="AU212"/>
    <cellWatch r="AU213"/>
    <cellWatch r="AU214"/>
    <cellWatch r="AU215"/>
    <cellWatch r="AU216"/>
    <cellWatch r="AU217"/>
    <cellWatch r="AU218"/>
    <cellWatch r="AU219"/>
    <cellWatch r="AU220"/>
    <cellWatch r="AU221"/>
    <cellWatch r="AU222"/>
    <cellWatch r="AU223"/>
    <cellWatch r="AU224"/>
    <cellWatch r="AU225"/>
    <cellWatch r="AU226"/>
    <cellWatch r="AU227"/>
    <cellWatch r="AU228"/>
    <cellWatch r="AU154"/>
    <cellWatch r="AU155"/>
    <cellWatch r="AU156"/>
    <cellWatch r="AU157"/>
    <cellWatch r="AU158"/>
    <cellWatch r="AU194"/>
    <cellWatch r="AU195"/>
    <cellWatch r="AU196"/>
    <cellWatch r="AU197"/>
    <cellWatch r="AU198"/>
    <cellWatch r="AV119"/>
    <cellWatch r="AV120"/>
    <cellWatch r="AV121"/>
    <cellWatch r="AV122"/>
    <cellWatch r="AV123"/>
    <cellWatch r="AV124"/>
    <cellWatch r="AV125"/>
    <cellWatch r="AV126"/>
    <cellWatch r="AV127"/>
    <cellWatch r="AV128"/>
    <cellWatch r="AV129"/>
    <cellWatch r="AV130"/>
    <cellWatch r="AV131"/>
    <cellWatch r="AV132"/>
    <cellWatch r="AV133"/>
    <cellWatch r="AV134"/>
    <cellWatch r="AV135"/>
    <cellWatch r="AV136"/>
    <cellWatch r="AV137"/>
    <cellWatch r="AV138"/>
    <cellWatch r="AV139"/>
    <cellWatch r="AV140"/>
    <cellWatch r="AV141"/>
    <cellWatch r="AV142"/>
    <cellWatch r="AV143"/>
    <cellWatch r="AV144"/>
    <cellWatch r="AV145"/>
    <cellWatch r="AV146"/>
    <cellWatch r="AV147"/>
    <cellWatch r="AV148"/>
    <cellWatch r="AV149"/>
    <cellWatch r="AV150"/>
    <cellWatch r="AV151"/>
    <cellWatch r="AV152"/>
    <cellWatch r="AV153"/>
    <cellWatch r="AT130"/>
    <cellWatch r="AT131"/>
    <cellWatch r="AT132"/>
    <cellWatch r="AT133"/>
    <cellWatch r="AT134"/>
    <cellWatch r="AT135"/>
    <cellWatch r="AT136"/>
    <cellWatch r="AT137"/>
    <cellWatch r="AT138"/>
    <cellWatch r="AT139"/>
    <cellWatch r="AT140"/>
    <cellWatch r="AT141"/>
    <cellWatch r="AT142"/>
    <cellWatch r="AT143"/>
    <cellWatch r="AT144"/>
    <cellWatch r="AT145"/>
    <cellWatch r="AT146"/>
    <cellWatch r="AT147"/>
    <cellWatch r="AT148"/>
    <cellWatch r="AT149"/>
    <cellWatch r="AT150"/>
    <cellWatch r="AT151"/>
    <cellWatch r="AT152"/>
    <cellWatch r="AT153"/>
    <cellWatch r="AT154"/>
    <cellWatch r="AT155"/>
    <cellWatch r="AT156"/>
    <cellWatch r="AT157"/>
    <cellWatch r="AT158"/>
    <cellWatch r="AT159"/>
    <cellWatch r="AT160"/>
    <cellWatch r="AT161"/>
    <cellWatch r="AT162"/>
    <cellWatch r="AT163"/>
    <cellWatch r="AT164"/>
    <cellWatch r="AU278"/>
    <cellWatch r="AU279"/>
    <cellWatch r="AU280"/>
    <cellWatch r="AU281"/>
    <cellWatch r="AU282"/>
    <cellWatch r="AU283"/>
    <cellWatch r="AU284"/>
    <cellWatch r="AU285"/>
    <cellWatch r="AU286"/>
    <cellWatch r="AU287"/>
    <cellWatch r="AU288"/>
    <cellWatch r="AU289"/>
    <cellWatch r="AU290"/>
    <cellWatch r="AU291"/>
    <cellWatch r="AU292"/>
    <cellWatch r="AU293"/>
    <cellWatch r="AU294"/>
    <cellWatch r="AU295"/>
    <cellWatch r="AU296"/>
    <cellWatch r="AU297"/>
    <cellWatch r="AU298"/>
    <cellWatch r="AU299"/>
    <cellWatch r="AU300"/>
    <cellWatch r="AU301"/>
    <cellWatch r="AU302"/>
    <cellWatch r="AU303"/>
    <cellWatch r="AW119"/>
    <cellWatch r="AW120"/>
    <cellWatch r="AW122"/>
    <cellWatch r="AW123"/>
    <cellWatch r="AW124"/>
    <cellWatch r="AW125"/>
    <cellWatch r="AW126"/>
    <cellWatch r="AW127"/>
    <cellWatch r="AW128"/>
    <cellWatch r="AW129"/>
    <cellWatch r="AW130"/>
    <cellWatch r="AW131"/>
    <cellWatch r="AW132"/>
    <cellWatch r="AW133"/>
    <cellWatch r="AW134"/>
    <cellWatch r="AW135"/>
    <cellWatch r="AW136"/>
    <cellWatch r="AW137"/>
    <cellWatch r="AW138"/>
    <cellWatch r="AW139"/>
    <cellWatch r="AW140"/>
    <cellWatch r="AW141"/>
    <cellWatch r="AW142"/>
    <cellWatch r="AW143"/>
    <cellWatch r="AW144"/>
    <cellWatch r="AW145"/>
    <cellWatch r="AW146"/>
    <cellWatch r="AW147"/>
    <cellWatch r="AW148"/>
    <cellWatch r="AW149"/>
    <cellWatch r="AW150"/>
    <cellWatch r="AW151"/>
    <cellWatch r="AW152"/>
    <cellWatch r="AW153"/>
    <cellWatch r="AW154"/>
    <cellWatch r="AU159"/>
    <cellWatch r="AU160"/>
    <cellWatch r="AT165"/>
    <cellWatch r="AT166"/>
    <cellWatch r="AT167"/>
    <cellWatch r="AT168"/>
    <cellWatch r="AT169"/>
    <cellWatch r="AU117"/>
    <cellWatch r="AU118"/>
    <cellWatch r="AT126"/>
    <cellWatch r="AT127"/>
    <cellWatch r="AT128"/>
    <cellWatch r="AT129"/>
    <cellWatch r="AU115"/>
    <cellWatch r="AU116"/>
    <cellWatch r="AU190"/>
    <cellWatch r="AU191"/>
    <cellWatch r="AU192"/>
    <cellWatch r="AU193"/>
    <cellWatch r="AV115"/>
    <cellWatch r="AV116"/>
    <cellWatch r="AV117"/>
    <cellWatch r="AV118"/>
    <cellWatch r="AT117"/>
    <cellWatch r="AT118"/>
    <cellWatch r="AT119"/>
    <cellWatch r="AT120"/>
    <cellWatch r="AT121"/>
    <cellWatch r="AT122"/>
    <cellWatch r="AT123"/>
    <cellWatch r="AT124"/>
    <cellWatch r="AT125"/>
    <cellWatch r="AU274"/>
    <cellWatch r="AU275"/>
    <cellWatch r="AU276"/>
    <cellWatch r="AU277"/>
    <cellWatch r="AW115"/>
    <cellWatch r="AW116"/>
    <cellWatch r="AW117"/>
    <cellWatch r="AW118"/>
    <cellWatch r="AW121"/>
    <cellWatch r="AT113"/>
    <cellWatch r="AT114"/>
    <cellWatch r="AT115"/>
    <cellWatch r="AT116"/>
    <cellWatch r="BC112"/>
    <cellWatch r="BC113"/>
    <cellWatch r="BC114"/>
    <cellWatch r="BC115"/>
    <cellWatch r="BC116"/>
    <cellWatch r="BC117"/>
    <cellWatch r="BC118"/>
    <cellWatch r="BC119"/>
    <cellWatch r="BC120"/>
    <cellWatch r="BC121"/>
    <cellWatch r="BC122"/>
    <cellWatch r="BC123"/>
    <cellWatch r="BC124"/>
    <cellWatch r="BC125"/>
    <cellWatch r="BC126"/>
    <cellWatch r="BC127"/>
    <cellWatch r="BC128"/>
    <cellWatch r="BC129"/>
    <cellWatch r="BC130"/>
    <cellWatch r="BC131"/>
    <cellWatch r="BC132"/>
    <cellWatch r="BC133"/>
    <cellWatch r="BC134"/>
    <cellWatch r="BC135"/>
    <cellWatch r="BC136"/>
    <cellWatch r="BC137"/>
    <cellWatch r="BC138"/>
    <cellWatch r="BC139"/>
    <cellWatch r="BC140"/>
    <cellWatch r="BC141"/>
    <cellWatch r="BC142"/>
    <cellWatch r="BC143"/>
    <cellWatch r="BC144"/>
    <cellWatch r="BC145"/>
    <cellWatch r="BC146"/>
  </cellWatche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2:S366"/>
  <sheetViews>
    <sheetView topLeftCell="A6" zoomScale="73" zoomScaleNormal="73" workbookViewId="0">
      <selection activeCell="T152" sqref="T152"/>
    </sheetView>
  </sheetViews>
  <sheetFormatPr defaultColWidth="10.6640625" defaultRowHeight="12.3" x14ac:dyDescent="0.4"/>
  <cols>
    <col min="5" max="5" width="13.83203125" customWidth="1"/>
    <col min="7" max="7" width="14" customWidth="1"/>
    <col min="11" max="11" width="12" customWidth="1"/>
    <col min="13" max="13" width="12.6640625" customWidth="1"/>
    <col min="19" max="19" width="13.83203125" customWidth="1"/>
  </cols>
  <sheetData>
    <row r="2" spans="1:18" ht="15" x14ac:dyDescent="0.5">
      <c r="A2" s="621" t="s">
        <v>427</v>
      </c>
    </row>
    <row r="3" spans="1:18" ht="15" x14ac:dyDescent="0.5">
      <c r="A3" s="621" t="s">
        <v>428</v>
      </c>
    </row>
    <row r="4" spans="1:18" ht="15" x14ac:dyDescent="0.5">
      <c r="A4" s="621" t="s">
        <v>429</v>
      </c>
      <c r="C4" s="1" t="s">
        <v>453</v>
      </c>
    </row>
    <row r="5" spans="1:18" ht="15" x14ac:dyDescent="0.5">
      <c r="A5" s="621" t="s">
        <v>430</v>
      </c>
    </row>
    <row r="6" spans="1:18" ht="32.700000000000003" x14ac:dyDescent="1.05">
      <c r="A6" s="613" t="s">
        <v>402</v>
      </c>
    </row>
    <row r="7" spans="1:18" ht="15" x14ac:dyDescent="0.5">
      <c r="A7" s="1245" t="s">
        <v>1140</v>
      </c>
    </row>
    <row r="8" spans="1:18" x14ac:dyDescent="0.4">
      <c r="C8" s="609" t="s">
        <v>478</v>
      </c>
      <c r="I8" s="609" t="s">
        <v>479</v>
      </c>
      <c r="O8" t="s">
        <v>545</v>
      </c>
    </row>
    <row r="9" spans="1:18" ht="38.049999999999997" customHeight="1" x14ac:dyDescent="0.4">
      <c r="C9" s="1" t="s">
        <v>399</v>
      </c>
      <c r="E9" s="1285" t="s">
        <v>1142</v>
      </c>
      <c r="F9" s="1285"/>
      <c r="G9" s="1285"/>
      <c r="I9" s="609" t="s">
        <v>399</v>
      </c>
      <c r="K9" s="1285" t="s">
        <v>1143</v>
      </c>
      <c r="L9" s="1285"/>
      <c r="M9" s="1285"/>
      <c r="P9" s="1285" t="s">
        <v>1144</v>
      </c>
      <c r="Q9" s="1285"/>
      <c r="R9" s="1285"/>
    </row>
    <row r="10" spans="1:18" ht="86.1" x14ac:dyDescent="0.4">
      <c r="C10" s="1217" t="s">
        <v>547</v>
      </c>
      <c r="E10" s="705"/>
      <c r="F10" s="705"/>
      <c r="G10" s="705"/>
      <c r="I10" s="1217" t="s">
        <v>403</v>
      </c>
      <c r="K10" s="705"/>
      <c r="L10" s="705"/>
      <c r="M10" s="705"/>
      <c r="O10" s="1217" t="s">
        <v>546</v>
      </c>
      <c r="P10" s="705"/>
      <c r="Q10" s="705"/>
      <c r="R10" s="705"/>
    </row>
    <row r="11" spans="1:18" ht="14.1" x14ac:dyDescent="0.4">
      <c r="B11" s="612">
        <v>2014</v>
      </c>
      <c r="C11" s="1224">
        <v>76.323108000000005</v>
      </c>
      <c r="E11" s="614"/>
      <c r="F11" s="614"/>
      <c r="G11" s="614"/>
      <c r="I11" s="1218"/>
      <c r="K11" s="614"/>
      <c r="L11" s="614"/>
      <c r="M11" s="614"/>
      <c r="O11" s="1224">
        <v>76.323108000000005</v>
      </c>
      <c r="P11" s="614"/>
      <c r="Q11" s="614"/>
      <c r="R11" s="614"/>
    </row>
    <row r="12" spans="1:18" ht="14.1" x14ac:dyDescent="0.4">
      <c r="B12" s="612">
        <v>2015</v>
      </c>
      <c r="C12" s="1224">
        <v>80.232839999999996</v>
      </c>
      <c r="E12" s="614"/>
      <c r="F12" s="614"/>
      <c r="G12" s="614"/>
      <c r="I12" s="1218"/>
      <c r="K12" s="614"/>
      <c r="L12" s="614"/>
      <c r="M12" s="614"/>
      <c r="O12" s="1224">
        <v>80.232839999999996</v>
      </c>
      <c r="P12" s="614"/>
      <c r="Q12" s="614"/>
      <c r="R12" s="614"/>
    </row>
    <row r="13" spans="1:18" ht="14.1" x14ac:dyDescent="0.4">
      <c r="B13" s="612">
        <v>2016</v>
      </c>
      <c r="C13" s="1224">
        <v>83.42240799999999</v>
      </c>
      <c r="E13" s="614"/>
      <c r="F13" s="614"/>
      <c r="G13" s="614"/>
      <c r="I13" s="1218"/>
      <c r="K13" s="614"/>
      <c r="L13" s="614"/>
      <c r="M13" s="614"/>
      <c r="O13" s="1224">
        <v>83.42240799999999</v>
      </c>
      <c r="P13" s="614"/>
      <c r="Q13" s="614"/>
      <c r="R13" s="614"/>
    </row>
    <row r="14" spans="1:18" ht="14.1" x14ac:dyDescent="0.4">
      <c r="B14" s="612">
        <v>2017</v>
      </c>
      <c r="C14" s="1224">
        <v>85.207939999999994</v>
      </c>
      <c r="E14" s="614"/>
      <c r="F14" s="614"/>
      <c r="G14" s="614"/>
      <c r="I14" s="1218"/>
      <c r="K14" s="614"/>
      <c r="L14" s="614"/>
      <c r="M14" s="614"/>
      <c r="O14" s="1224">
        <v>85.207939999999994</v>
      </c>
      <c r="P14" s="614"/>
      <c r="Q14" s="614"/>
      <c r="R14" s="614"/>
    </row>
    <row r="15" spans="1:18" ht="14.1" x14ac:dyDescent="0.4">
      <c r="B15" s="612">
        <v>2018</v>
      </c>
      <c r="C15" s="1224">
        <v>86.215309599999983</v>
      </c>
      <c r="E15" s="614"/>
      <c r="F15" s="614"/>
      <c r="G15" s="614"/>
      <c r="I15" s="1218"/>
      <c r="K15" s="614"/>
      <c r="L15" s="614"/>
      <c r="M15" s="614"/>
      <c r="O15" s="1224">
        <v>86.215309599999983</v>
      </c>
      <c r="P15" s="614"/>
      <c r="Q15" s="614"/>
      <c r="R15" s="614"/>
    </row>
    <row r="16" spans="1:18" ht="14.1" x14ac:dyDescent="0.4">
      <c r="B16" s="612">
        <v>2019</v>
      </c>
      <c r="C16" s="1224">
        <v>129.37856472251593</v>
      </c>
      <c r="E16" s="614"/>
      <c r="F16" s="614"/>
      <c r="G16" s="614"/>
      <c r="I16" s="1218"/>
      <c r="K16" s="614"/>
      <c r="L16" s="614"/>
      <c r="M16" s="614"/>
      <c r="O16" s="1224">
        <v>113.44710306611145</v>
      </c>
      <c r="P16" s="614"/>
      <c r="Q16" s="614"/>
      <c r="R16" s="614"/>
    </row>
    <row r="17" spans="2:18" ht="14.1" x14ac:dyDescent="0.4">
      <c r="B17" s="612">
        <v>2020</v>
      </c>
      <c r="C17" s="1224">
        <v>144.0416802970156</v>
      </c>
      <c r="E17" s="614"/>
      <c r="F17" s="614"/>
      <c r="G17" s="614"/>
      <c r="I17" s="1218"/>
      <c r="K17" s="614"/>
      <c r="L17" s="614"/>
      <c r="M17" s="614"/>
      <c r="O17" s="1224">
        <v>121.14247948033275</v>
      </c>
      <c r="P17" s="614"/>
      <c r="Q17" s="614"/>
      <c r="R17" s="614"/>
    </row>
    <row r="18" spans="2:18" ht="14.1" x14ac:dyDescent="0.4">
      <c r="B18" s="612">
        <v>2021</v>
      </c>
      <c r="C18" s="1224">
        <v>157.62642664569816</v>
      </c>
      <c r="E18" s="614"/>
      <c r="F18" s="614"/>
      <c r="G18" s="614"/>
      <c r="I18" s="1218"/>
      <c r="K18" s="614"/>
      <c r="L18" s="614"/>
      <c r="M18" s="614"/>
      <c r="O18" s="1224">
        <v>128.69373007569837</v>
      </c>
      <c r="P18" s="614"/>
      <c r="Q18" s="614"/>
      <c r="R18" s="614"/>
    </row>
    <row r="19" spans="2:18" ht="14.1" x14ac:dyDescent="0.4">
      <c r="B19" s="612">
        <v>2022</v>
      </c>
      <c r="C19" s="1224">
        <v>172.06861478672792</v>
      </c>
      <c r="E19" s="614"/>
      <c r="F19" s="614"/>
      <c r="G19" s="614"/>
      <c r="I19" s="1218"/>
      <c r="K19" s="614"/>
      <c r="L19" s="614"/>
      <c r="M19" s="614"/>
      <c r="O19" s="1224">
        <v>136.17400075496434</v>
      </c>
      <c r="P19" s="614"/>
      <c r="Q19" s="614"/>
      <c r="R19" s="614"/>
    </row>
    <row r="20" spans="2:18" ht="14.1" x14ac:dyDescent="0.4">
      <c r="B20" s="612">
        <v>2023</v>
      </c>
      <c r="C20" s="1224">
        <v>186.69853638922703</v>
      </c>
      <c r="E20" s="614"/>
      <c r="F20" s="614"/>
      <c r="G20" s="614"/>
      <c r="I20" s="1218"/>
      <c r="K20" s="614"/>
      <c r="L20" s="614"/>
      <c r="M20" s="614"/>
      <c r="O20" s="1224">
        <v>143.58230396699381</v>
      </c>
      <c r="P20" s="614"/>
      <c r="Q20" s="614"/>
      <c r="R20" s="614"/>
    </row>
    <row r="21" spans="2:18" ht="14.1" x14ac:dyDescent="0.4">
      <c r="B21" s="612">
        <v>2024</v>
      </c>
      <c r="C21" s="1224">
        <v>201.47341938957669</v>
      </c>
      <c r="E21" s="614"/>
      <c r="F21" s="614"/>
      <c r="G21" s="614"/>
      <c r="I21" s="1218"/>
      <c r="K21" s="614"/>
      <c r="L21" s="614"/>
      <c r="M21" s="614"/>
      <c r="O21" s="1224">
        <v>150.91538812587979</v>
      </c>
      <c r="P21" s="614"/>
      <c r="Q21" s="614"/>
      <c r="R21" s="614"/>
    </row>
    <row r="22" spans="2:18" ht="14.1" x14ac:dyDescent="0.4">
      <c r="B22" s="612">
        <v>2025</v>
      </c>
      <c r="C22" s="1224">
        <v>215.43680029047999</v>
      </c>
      <c r="E22" s="614"/>
      <c r="F22" s="614"/>
      <c r="G22" s="614"/>
      <c r="I22" s="1218"/>
      <c r="K22" s="614"/>
      <c r="L22" s="614"/>
      <c r="M22" s="614"/>
      <c r="O22" s="1224">
        <v>158.17049356268484</v>
      </c>
      <c r="P22" s="614"/>
      <c r="Q22" s="614"/>
      <c r="R22" s="614"/>
    </row>
    <row r="23" spans="2:18" ht="14.1" x14ac:dyDescent="0.4">
      <c r="B23" s="612">
        <v>2026</v>
      </c>
      <c r="C23" s="1224">
        <v>231.29191898601781</v>
      </c>
      <c r="E23" s="614"/>
      <c r="F23" s="614"/>
      <c r="G23" s="614"/>
      <c r="I23" s="1218"/>
      <c r="K23" s="614"/>
      <c r="L23" s="614"/>
      <c r="M23" s="614"/>
      <c r="O23" s="1224">
        <v>165.3472465288169</v>
      </c>
      <c r="P23" s="614"/>
      <c r="Q23" s="614"/>
      <c r="R23" s="614"/>
    </row>
    <row r="24" spans="2:18" ht="14.1" x14ac:dyDescent="0.4">
      <c r="B24" s="612">
        <v>2027</v>
      </c>
      <c r="C24" s="1224">
        <v>246.25991135655431</v>
      </c>
      <c r="E24" s="614"/>
      <c r="F24" s="614"/>
      <c r="G24" s="614"/>
      <c r="I24" s="1218"/>
      <c r="K24" s="614"/>
      <c r="L24" s="614"/>
      <c r="M24" s="614"/>
      <c r="O24" s="1224">
        <v>172.44688485587207</v>
      </c>
      <c r="P24" s="614"/>
      <c r="Q24" s="614"/>
      <c r="R24" s="614"/>
    </row>
    <row r="25" spans="2:18" ht="14.1" x14ac:dyDescent="0.4">
      <c r="B25" s="612">
        <v>2028</v>
      </c>
      <c r="C25" s="1224">
        <v>261.21698930026662</v>
      </c>
      <c r="E25" s="614"/>
      <c r="F25" s="614"/>
      <c r="G25" s="614"/>
      <c r="I25" s="1218"/>
      <c r="K25" s="614"/>
      <c r="L25" s="614"/>
      <c r="M25" s="614"/>
      <c r="O25" s="1224">
        <v>179.46956668136983</v>
      </c>
      <c r="P25" s="614"/>
      <c r="Q25" s="614"/>
      <c r="R25" s="614"/>
    </row>
    <row r="26" spans="2:18" ht="14.1" x14ac:dyDescent="0.4">
      <c r="B26" s="612">
        <v>2029</v>
      </c>
      <c r="C26" s="1224">
        <v>276.12587090018144</v>
      </c>
      <c r="E26" s="614"/>
      <c r="F26" s="614"/>
      <c r="G26" s="614"/>
      <c r="I26" s="1218"/>
      <c r="K26" s="614"/>
      <c r="L26" s="614"/>
      <c r="M26" s="614"/>
      <c r="O26" s="1224">
        <v>186.41573197399399</v>
      </c>
      <c r="P26" s="614"/>
      <c r="Q26" s="614"/>
      <c r="R26" s="614"/>
    </row>
    <row r="27" spans="2:18" ht="14.1" x14ac:dyDescent="0.4">
      <c r="B27" s="612">
        <v>2030</v>
      </c>
      <c r="C27" s="1224">
        <v>290.78015707271987</v>
      </c>
      <c r="E27" s="614"/>
      <c r="F27" s="614"/>
      <c r="G27" s="614"/>
      <c r="I27" s="1218"/>
      <c r="K27" s="614"/>
      <c r="L27" s="614"/>
      <c r="M27" s="614"/>
      <c r="O27" s="1224">
        <v>193.28575434664145</v>
      </c>
      <c r="P27" s="614"/>
      <c r="Q27" s="614"/>
      <c r="R27" s="614"/>
    </row>
    <row r="28" spans="2:18" ht="14.1" x14ac:dyDescent="0.4">
      <c r="B28" s="612">
        <v>2031</v>
      </c>
      <c r="C28" s="1224">
        <v>305.65066042381892</v>
      </c>
      <c r="E28" s="614"/>
      <c r="F28" s="614"/>
      <c r="G28" s="614"/>
      <c r="I28" s="1218"/>
      <c r="K28" s="614"/>
      <c r="L28" s="614"/>
      <c r="M28" s="614"/>
      <c r="O28" s="1224">
        <v>200.07976317935692</v>
      </c>
      <c r="P28" s="614"/>
      <c r="Q28" s="614"/>
      <c r="R28" s="614"/>
    </row>
    <row r="29" spans="2:18" ht="14.1" x14ac:dyDescent="0.4">
      <c r="B29" s="612">
        <v>2032</v>
      </c>
      <c r="C29" s="1224">
        <v>320.19366961767741</v>
      </c>
      <c r="E29" s="614"/>
      <c r="F29" s="614"/>
      <c r="G29" s="614"/>
      <c r="I29" s="1218"/>
      <c r="K29" s="614"/>
      <c r="L29" s="614"/>
      <c r="M29" s="614"/>
      <c r="O29" s="1224">
        <v>206.7985554937157</v>
      </c>
      <c r="P29" s="614"/>
      <c r="Q29" s="614"/>
      <c r="R29" s="614"/>
    </row>
    <row r="30" spans="2:18" ht="14.1" x14ac:dyDescent="0.4">
      <c r="B30" s="612">
        <v>2033</v>
      </c>
      <c r="C30" s="1224">
        <v>334.54563085505572</v>
      </c>
      <c r="E30" s="614"/>
      <c r="F30" s="614"/>
      <c r="G30" s="614"/>
      <c r="I30" s="1218"/>
      <c r="K30" s="614"/>
      <c r="L30" s="614"/>
      <c r="M30" s="614"/>
      <c r="O30" s="1224">
        <v>213.44472098731805</v>
      </c>
      <c r="P30" s="614"/>
      <c r="Q30" s="614"/>
      <c r="R30" s="614"/>
    </row>
    <row r="31" spans="2:18" ht="14.1" x14ac:dyDescent="0.4">
      <c r="B31" s="612">
        <v>2034</v>
      </c>
      <c r="C31" s="1224">
        <v>348.67551759312306</v>
      </c>
      <c r="E31" s="614"/>
      <c r="F31" s="614"/>
      <c r="G31" s="614"/>
      <c r="I31" s="1218"/>
      <c r="K31" s="614"/>
      <c r="L31" s="614"/>
      <c r="M31" s="614"/>
      <c r="O31" s="1224">
        <v>220.02176181712468</v>
      </c>
      <c r="P31" s="614"/>
      <c r="Q31" s="614"/>
      <c r="R31" s="614"/>
    </row>
    <row r="32" spans="2:18" ht="14.1" x14ac:dyDescent="0.4">
      <c r="B32" s="612">
        <v>2035</v>
      </c>
      <c r="C32" s="1224">
        <v>362.55173611836597</v>
      </c>
      <c r="E32" s="614"/>
      <c r="F32" s="614"/>
      <c r="G32" s="614"/>
      <c r="I32" s="1218"/>
      <c r="K32" s="614"/>
      <c r="L32" s="614"/>
      <c r="M32" s="614"/>
      <c r="O32" s="1224">
        <v>226.53249635339597</v>
      </c>
      <c r="P32" s="614"/>
      <c r="Q32" s="614"/>
      <c r="R32" s="614"/>
    </row>
    <row r="33" spans="2:18" ht="14.1" x14ac:dyDescent="0.4">
      <c r="B33" s="612">
        <v>2036</v>
      </c>
      <c r="C33" s="1224">
        <v>376.14144168527906</v>
      </c>
      <c r="E33" s="614"/>
      <c r="F33" s="614"/>
      <c r="G33" s="614"/>
      <c r="I33" s="1218"/>
      <c r="K33" s="614"/>
      <c r="L33" s="614"/>
      <c r="M33" s="614"/>
      <c r="O33" s="1224">
        <v>232.97869973711607</v>
      </c>
      <c r="P33" s="614"/>
      <c r="Q33" s="614"/>
      <c r="R33" s="614"/>
    </row>
    <row r="34" spans="2:18" ht="14.1" x14ac:dyDescent="0.4">
      <c r="B34" s="612">
        <v>2037</v>
      </c>
      <c r="C34" s="1224">
        <v>389.40936442882105</v>
      </c>
      <c r="E34" s="614"/>
      <c r="F34" s="614"/>
      <c r="G34" s="614"/>
      <c r="I34" s="1218"/>
      <c r="K34" s="614"/>
      <c r="L34" s="614"/>
      <c r="M34" s="614"/>
      <c r="O34" s="1224">
        <v>239.36038014977476</v>
      </c>
      <c r="P34" s="614"/>
      <c r="Q34" s="614"/>
      <c r="R34" s="614"/>
    </row>
    <row r="35" spans="2:18" ht="14.1" x14ac:dyDescent="0.4">
      <c r="B35" s="612">
        <v>2038</v>
      </c>
      <c r="C35" s="1224">
        <v>402.3186301270481</v>
      </c>
      <c r="E35" s="614"/>
      <c r="F35" s="614"/>
      <c r="G35" s="614"/>
      <c r="I35" s="1218"/>
      <c r="K35" s="614"/>
      <c r="L35" s="614"/>
      <c r="M35" s="614"/>
      <c r="O35" s="1224">
        <v>245.67635615239243</v>
      </c>
      <c r="P35" s="614"/>
      <c r="Q35" s="614"/>
      <c r="R35" s="614"/>
    </row>
    <row r="36" spans="2:18" ht="14.1" x14ac:dyDescent="0.4">
      <c r="B36" s="612">
        <v>2039</v>
      </c>
      <c r="C36" s="1224">
        <v>414.83068593390345</v>
      </c>
      <c r="E36" s="614"/>
      <c r="F36" s="614"/>
      <c r="G36" s="614"/>
      <c r="I36" s="1218"/>
      <c r="K36" s="614"/>
      <c r="L36" s="614"/>
      <c r="M36" s="614"/>
      <c r="O36" s="1224">
        <v>251.92426345365132</v>
      </c>
      <c r="P36" s="614"/>
      <c r="Q36" s="614"/>
      <c r="R36" s="614"/>
    </row>
    <row r="37" spans="2:18" ht="14.1" x14ac:dyDescent="0.4">
      <c r="B37" s="612">
        <v>2040</v>
      </c>
      <c r="C37" s="1224">
        <v>427.6361813945071</v>
      </c>
      <c r="E37" s="614"/>
      <c r="F37" s="614"/>
      <c r="G37" s="614"/>
      <c r="I37" s="1218"/>
      <c r="K37" s="614"/>
      <c r="L37" s="614"/>
      <c r="M37" s="614"/>
      <c r="O37" s="1224">
        <v>258.10214838725483</v>
      </c>
      <c r="P37" s="614"/>
      <c r="Q37" s="614"/>
      <c r="R37" s="614"/>
    </row>
    <row r="38" spans="2:18" ht="14.1" x14ac:dyDescent="0.4">
      <c r="B38" s="612">
        <v>2041</v>
      </c>
      <c r="C38" s="1224">
        <v>438.5145124289412</v>
      </c>
      <c r="E38" s="614"/>
      <c r="F38" s="614"/>
      <c r="G38" s="614"/>
      <c r="I38" s="1218"/>
      <c r="K38" s="614"/>
      <c r="L38" s="614"/>
      <c r="M38" s="614"/>
      <c r="O38" s="1224">
        <v>264.20962748689772</v>
      </c>
      <c r="P38" s="614"/>
      <c r="Q38" s="614"/>
      <c r="R38" s="614"/>
    </row>
    <row r="39" spans="2:18" ht="14.1" x14ac:dyDescent="0.4">
      <c r="B39" s="612">
        <v>2042</v>
      </c>
      <c r="C39" s="1224">
        <v>449.61728247462941</v>
      </c>
      <c r="E39" s="614"/>
      <c r="F39" s="614"/>
      <c r="G39" s="614"/>
      <c r="I39" s="1218"/>
      <c r="K39" s="614"/>
      <c r="L39" s="614"/>
      <c r="M39" s="614"/>
      <c r="O39" s="1224">
        <v>270.24710159151527</v>
      </c>
      <c r="P39" s="614"/>
      <c r="Q39" s="614"/>
      <c r="R39" s="614"/>
    </row>
    <row r="40" spans="2:18" ht="14.1" x14ac:dyDescent="0.4">
      <c r="B40" s="612">
        <v>2043</v>
      </c>
      <c r="C40" s="1224">
        <v>460.18112979764055</v>
      </c>
      <c r="E40" s="614"/>
      <c r="F40" s="614"/>
      <c r="G40" s="614"/>
      <c r="I40" s="1218"/>
      <c r="K40" s="614"/>
      <c r="L40" s="614"/>
      <c r="M40" s="614"/>
      <c r="O40" s="1224">
        <v>276.21406079343308</v>
      </c>
      <c r="P40" s="614"/>
      <c r="Q40" s="614"/>
      <c r="R40" s="614"/>
    </row>
    <row r="41" spans="2:18" ht="14.1" x14ac:dyDescent="0.4">
      <c r="B41" s="612">
        <v>2044</v>
      </c>
      <c r="C41" s="1224">
        <v>470.17147126026009</v>
      </c>
      <c r="E41" s="614"/>
      <c r="F41" s="614"/>
      <c r="G41" s="614"/>
      <c r="I41" s="1218"/>
      <c r="K41" s="614"/>
      <c r="L41" s="614"/>
      <c r="M41" s="614"/>
      <c r="O41" s="1224">
        <v>282.1100456117868</v>
      </c>
      <c r="P41" s="614"/>
      <c r="Q41" s="614"/>
      <c r="R41" s="614"/>
    </row>
    <row r="42" spans="2:18" ht="14.1" x14ac:dyDescent="0.4">
      <c r="B42" s="612">
        <v>2045</v>
      </c>
      <c r="C42" s="1224">
        <v>479.55390012097376</v>
      </c>
      <c r="E42" s="614"/>
      <c r="F42" s="614"/>
      <c r="G42" s="614"/>
      <c r="I42" s="1218"/>
      <c r="K42" s="614"/>
      <c r="L42" s="614"/>
      <c r="M42" s="614"/>
      <c r="O42" s="1224">
        <v>287.93457757938029</v>
      </c>
      <c r="P42" s="614"/>
      <c r="Q42" s="614"/>
      <c r="R42" s="614"/>
    </row>
    <row r="43" spans="2:18" ht="14.1" x14ac:dyDescent="0.4">
      <c r="B43" s="612">
        <v>2046</v>
      </c>
      <c r="C43" s="1224">
        <v>488.29423926202946</v>
      </c>
      <c r="E43" s="614"/>
      <c r="F43" s="614"/>
      <c r="G43" s="614"/>
      <c r="I43" s="1218"/>
      <c r="K43" s="614"/>
      <c r="L43" s="614"/>
      <c r="M43" s="614"/>
      <c r="O43" s="1224">
        <v>293.68717443699359</v>
      </c>
      <c r="P43" s="614"/>
      <c r="Q43" s="614"/>
      <c r="R43" s="614"/>
    </row>
    <row r="44" spans="2:18" ht="14.1" x14ac:dyDescent="0.4">
      <c r="B44" s="612">
        <v>2047</v>
      </c>
      <c r="C44" s="1224">
        <v>496.35854285998749</v>
      </c>
      <c r="E44" s="614"/>
      <c r="F44" s="614"/>
      <c r="G44" s="614"/>
      <c r="I44" s="1218"/>
      <c r="K44" s="614"/>
      <c r="L44" s="614"/>
      <c r="M44" s="614"/>
      <c r="O44" s="1224">
        <v>299.36737419767792</v>
      </c>
      <c r="P44" s="614"/>
      <c r="Q44" s="614"/>
      <c r="R44" s="614"/>
    </row>
    <row r="45" spans="2:18" ht="14.1" x14ac:dyDescent="0.4">
      <c r="B45" s="612">
        <v>2048</v>
      </c>
      <c r="C45" s="1224">
        <v>503.71313875084354</v>
      </c>
      <c r="E45" s="614"/>
      <c r="F45" s="614"/>
      <c r="G45" s="614"/>
      <c r="I45" s="1218"/>
      <c r="K45" s="614"/>
      <c r="L45" s="614"/>
      <c r="M45" s="614"/>
      <c r="O45" s="1224">
        <v>304.97476935881298</v>
      </c>
      <c r="P45" s="614"/>
      <c r="Q45" s="614"/>
      <c r="R45" s="614"/>
    </row>
    <row r="46" spans="2:18" ht="14.1" x14ac:dyDescent="0.4">
      <c r="B46" s="612">
        <v>2049</v>
      </c>
      <c r="C46" s="1224">
        <v>510.32464802399608</v>
      </c>
      <c r="E46" s="614"/>
      <c r="F46" s="614"/>
      <c r="G46" s="614"/>
      <c r="I46" s="1218"/>
      <c r="K46" s="614"/>
      <c r="L46" s="614"/>
      <c r="M46" s="614"/>
      <c r="O46" s="1224">
        <v>310.50900019324945</v>
      </c>
      <c r="P46" s="614"/>
      <c r="Q46" s="614"/>
      <c r="R46" s="614"/>
    </row>
    <row r="47" spans="2:18" ht="14.1" x14ac:dyDescent="0.4">
      <c r="B47" s="612">
        <v>2050</v>
      </c>
      <c r="C47" s="1224">
        <v>515.88383562975162</v>
      </c>
      <c r="E47" s="614"/>
      <c r="F47" s="614"/>
      <c r="G47" s="614"/>
      <c r="I47" s="1218"/>
      <c r="K47" s="614"/>
      <c r="L47" s="614"/>
      <c r="M47" s="614"/>
      <c r="O47" s="1224">
        <v>315.96970120154054</v>
      </c>
      <c r="P47" s="614"/>
      <c r="Q47" s="614"/>
      <c r="R47" s="614"/>
    </row>
    <row r="48" spans="2:18" ht="14.1" x14ac:dyDescent="0.4">
      <c r="B48" s="612">
        <v>2051</v>
      </c>
      <c r="C48" s="1224">
        <v>521.18647744583427</v>
      </c>
      <c r="E48" s="614"/>
      <c r="F48" s="614"/>
      <c r="G48" s="614"/>
      <c r="I48" s="1218"/>
      <c r="K48" s="614"/>
      <c r="L48" s="614"/>
      <c r="M48" s="614"/>
      <c r="O48" s="1224">
        <v>321.35655409324181</v>
      </c>
      <c r="P48" s="614"/>
      <c r="Q48" s="614"/>
      <c r="R48" s="614"/>
    </row>
    <row r="49" spans="2:18" ht="14.1" x14ac:dyDescent="0.4">
      <c r="B49" s="612">
        <v>2052</v>
      </c>
      <c r="C49" s="1224">
        <v>525.37182402018357</v>
      </c>
      <c r="E49" s="614"/>
      <c r="F49" s="614"/>
      <c r="G49" s="614"/>
      <c r="I49" s="1218"/>
      <c r="K49" s="614"/>
      <c r="L49" s="614"/>
      <c r="M49" s="614"/>
      <c r="O49" s="1224">
        <v>326.66923504030063</v>
      </c>
      <c r="P49" s="614"/>
      <c r="Q49" s="614"/>
      <c r="R49" s="614"/>
    </row>
    <row r="50" spans="2:18" ht="14.1" x14ac:dyDescent="0.4">
      <c r="B50" s="612">
        <v>2053</v>
      </c>
      <c r="C50" s="1224">
        <v>528.68406743061257</v>
      </c>
      <c r="E50" s="614"/>
      <c r="F50" s="614"/>
      <c r="G50" s="614"/>
      <c r="I50" s="1218"/>
      <c r="K50" s="614"/>
      <c r="L50" s="614"/>
      <c r="M50" s="614"/>
      <c r="O50" s="1224">
        <v>331.9073818062185</v>
      </c>
      <c r="P50" s="614"/>
      <c r="Q50" s="614"/>
      <c r="R50" s="614"/>
    </row>
    <row r="51" spans="2:18" ht="14.1" x14ac:dyDescent="0.4">
      <c r="B51" s="612">
        <v>2054</v>
      </c>
      <c r="C51" s="1224">
        <v>531.09165330423866</v>
      </c>
      <c r="E51" s="614"/>
      <c r="F51" s="614"/>
      <c r="G51" s="614"/>
      <c r="I51" s="1218"/>
      <c r="K51" s="614"/>
      <c r="L51" s="614"/>
      <c r="M51" s="614"/>
      <c r="O51" s="1224">
        <v>337.07064756533674</v>
      </c>
      <c r="P51" s="614"/>
      <c r="Q51" s="614"/>
      <c r="R51" s="614"/>
    </row>
    <row r="52" spans="2:18" ht="14.1" x14ac:dyDescent="0.4">
      <c r="B52" s="612">
        <v>2055</v>
      </c>
      <c r="C52" s="1224">
        <v>532.56342225953415</v>
      </c>
      <c r="E52" s="614"/>
      <c r="F52" s="614"/>
      <c r="G52" s="614"/>
      <c r="I52" s="1218"/>
      <c r="K52" s="614"/>
      <c r="L52" s="614"/>
      <c r="M52" s="614"/>
      <c r="O52" s="1224">
        <v>342.15875632120134</v>
      </c>
      <c r="P52" s="614"/>
      <c r="Q52" s="614"/>
      <c r="R52" s="614"/>
    </row>
    <row r="53" spans="2:18" ht="14.1" x14ac:dyDescent="0.4">
      <c r="B53" s="612">
        <v>2056</v>
      </c>
      <c r="C53" s="1224">
        <v>533.06855171740585</v>
      </c>
      <c r="E53" s="614"/>
      <c r="F53" s="614"/>
      <c r="G53" s="614"/>
      <c r="I53" s="1218"/>
      <c r="K53" s="614"/>
      <c r="L53" s="614"/>
      <c r="M53" s="614"/>
      <c r="O53" s="1224">
        <v>347.17151916885979</v>
      </c>
      <c r="P53" s="614"/>
      <c r="Q53" s="614"/>
      <c r="R53" s="614"/>
    </row>
    <row r="54" spans="2:18" ht="14.1" x14ac:dyDescent="0.4">
      <c r="B54" s="612">
        <v>2057</v>
      </c>
      <c r="C54" s="1224">
        <v>532.57669206210471</v>
      </c>
      <c r="E54" s="614"/>
      <c r="F54" s="614"/>
      <c r="G54" s="614"/>
      <c r="I54" s="1218"/>
      <c r="K54" s="614"/>
      <c r="L54" s="614"/>
      <c r="M54" s="614"/>
      <c r="O54" s="1224">
        <v>352.10886859207511</v>
      </c>
      <c r="P54" s="614"/>
      <c r="Q54" s="614"/>
      <c r="R54" s="614"/>
    </row>
    <row r="55" spans="2:18" ht="14.1" x14ac:dyDescent="0.4">
      <c r="B55" s="612">
        <v>2058</v>
      </c>
      <c r="C55" s="1224">
        <v>531.05815487627171</v>
      </c>
      <c r="E55" s="614"/>
      <c r="F55" s="614"/>
      <c r="G55" s="614"/>
      <c r="I55" s="1218"/>
      <c r="K55" s="614"/>
      <c r="L55" s="614"/>
      <c r="M55" s="614"/>
      <c r="O55" s="1224">
        <v>356.97090437777297</v>
      </c>
      <c r="P55" s="614"/>
      <c r="Q55" s="614"/>
      <c r="R55" s="614"/>
    </row>
    <row r="56" spans="2:18" ht="14.1" x14ac:dyDescent="0.4">
      <c r="B56" s="612">
        <v>2059</v>
      </c>
      <c r="C56" s="1224">
        <v>528.48377583603838</v>
      </c>
      <c r="E56" s="614"/>
      <c r="F56" s="614"/>
      <c r="G56" s="614"/>
      <c r="I56" s="1218"/>
      <c r="K56" s="614"/>
      <c r="L56" s="614"/>
      <c r="M56" s="614"/>
      <c r="O56" s="1224">
        <v>361.75784861768318</v>
      </c>
      <c r="P56" s="614"/>
      <c r="Q56" s="614"/>
      <c r="R56" s="614"/>
    </row>
    <row r="57" spans="2:18" ht="14.1" x14ac:dyDescent="0.4">
      <c r="B57" s="612">
        <v>2060</v>
      </c>
      <c r="C57" s="1224">
        <v>524.82475980751224</v>
      </c>
      <c r="E57" s="614"/>
      <c r="F57" s="614"/>
      <c r="G57" s="614"/>
      <c r="I57" s="1219"/>
      <c r="K57" s="614"/>
      <c r="L57" s="614"/>
      <c r="M57" s="614"/>
      <c r="O57" s="1224">
        <v>366.46994756904269</v>
      </c>
      <c r="P57" s="614"/>
      <c r="Q57" s="614"/>
      <c r="R57" s="614"/>
    </row>
    <row r="58" spans="2:18" x14ac:dyDescent="0.4">
      <c r="C58" s="609"/>
    </row>
    <row r="68" spans="1:19" ht="32.700000000000003" x14ac:dyDescent="1.05">
      <c r="A68" s="613" t="s">
        <v>401</v>
      </c>
    </row>
    <row r="69" spans="1:19" ht="17.399999999999999" x14ac:dyDescent="0.55000000000000004">
      <c r="A69" s="1229" t="s">
        <v>1124</v>
      </c>
      <c r="C69" t="s">
        <v>478</v>
      </c>
      <c r="I69" s="609" t="s">
        <v>479</v>
      </c>
      <c r="O69" t="s">
        <v>545</v>
      </c>
    </row>
    <row r="70" spans="1:19" ht="45" customHeight="1" x14ac:dyDescent="0.4">
      <c r="C70" s="1" t="s">
        <v>399</v>
      </c>
      <c r="E70" s="1285" t="s">
        <v>1145</v>
      </c>
      <c r="F70" s="1285"/>
      <c r="G70" s="1285"/>
      <c r="I70" s="609" t="s">
        <v>399</v>
      </c>
      <c r="K70" s="1285" t="s">
        <v>1146</v>
      </c>
      <c r="L70" s="1285"/>
      <c r="M70" s="1285"/>
      <c r="O70" s="609" t="s">
        <v>399</v>
      </c>
      <c r="P70" s="609"/>
      <c r="Q70" s="1285" t="s">
        <v>1147</v>
      </c>
      <c r="R70" s="1285"/>
      <c r="S70" s="1285"/>
    </row>
    <row r="71" spans="1:19" ht="86.1" x14ac:dyDescent="0.4">
      <c r="B71" s="1172"/>
      <c r="C71" s="1217" t="s">
        <v>409</v>
      </c>
      <c r="E71" s="705"/>
      <c r="F71" s="705"/>
      <c r="G71" s="705"/>
      <c r="I71" s="1217" t="s">
        <v>415</v>
      </c>
      <c r="K71" s="1"/>
      <c r="L71" s="1"/>
      <c r="M71" s="1"/>
      <c r="O71" s="1217" t="s">
        <v>1122</v>
      </c>
      <c r="P71" s="609"/>
      <c r="Q71" s="705"/>
      <c r="R71" s="705"/>
      <c r="S71" s="705"/>
    </row>
    <row r="72" spans="1:19" ht="14.1" x14ac:dyDescent="0.4">
      <c r="B72" s="612">
        <v>2014</v>
      </c>
      <c r="C72" s="1224">
        <v>23.802159959999997</v>
      </c>
      <c r="E72" s="614"/>
      <c r="F72" s="614"/>
      <c r="G72" s="614"/>
      <c r="I72" s="1218"/>
      <c r="K72" s="614"/>
      <c r="L72" s="614"/>
      <c r="M72" s="614"/>
      <c r="O72" s="1260">
        <v>23.802159959999997</v>
      </c>
      <c r="P72" s="609"/>
      <c r="Q72" s="614"/>
      <c r="R72" s="614"/>
      <c r="S72" s="614"/>
    </row>
    <row r="73" spans="1:19" ht="14.1" x14ac:dyDescent="0.4">
      <c r="B73" s="612">
        <v>2015</v>
      </c>
      <c r="C73" s="1224">
        <v>25.0214508</v>
      </c>
      <c r="E73" s="614"/>
      <c r="F73" s="614"/>
      <c r="G73" s="614"/>
      <c r="I73" s="1218"/>
      <c r="K73" s="614"/>
      <c r="L73" s="614"/>
      <c r="M73" s="614"/>
      <c r="O73" s="1260">
        <v>25.0214508</v>
      </c>
      <c r="P73" s="609"/>
      <c r="Q73" s="614"/>
      <c r="R73" s="614"/>
      <c r="S73" s="614"/>
    </row>
    <row r="74" spans="1:19" ht="14.1" x14ac:dyDescent="0.4">
      <c r="B74" s="612">
        <v>2016</v>
      </c>
      <c r="C74" s="1224">
        <v>26.016150959999997</v>
      </c>
      <c r="E74" s="614"/>
      <c r="F74" s="614"/>
      <c r="G74" s="614"/>
      <c r="I74" s="1218"/>
      <c r="K74" s="614"/>
      <c r="L74" s="614"/>
      <c r="M74" s="614"/>
      <c r="O74" s="1260">
        <v>26.016150960000001</v>
      </c>
      <c r="P74" s="609"/>
      <c r="Q74" s="614"/>
      <c r="R74" s="614"/>
      <c r="S74" s="614"/>
    </row>
    <row r="75" spans="1:19" ht="14.1" x14ac:dyDescent="0.4">
      <c r="B75" s="612">
        <v>2017</v>
      </c>
      <c r="C75" s="1224">
        <v>26.572987800000003</v>
      </c>
      <c r="E75" s="614"/>
      <c r="F75" s="614"/>
      <c r="G75" s="614"/>
      <c r="I75" s="1218"/>
      <c r="K75" s="614"/>
      <c r="L75" s="614"/>
      <c r="M75" s="614"/>
      <c r="O75" s="1260">
        <v>26.572987800000003</v>
      </c>
      <c r="P75" s="609"/>
      <c r="Q75" s="614"/>
      <c r="R75" s="614"/>
      <c r="S75" s="614"/>
    </row>
    <row r="76" spans="1:19" ht="14.1" x14ac:dyDescent="0.4">
      <c r="B76" s="612">
        <v>2018</v>
      </c>
      <c r="C76" s="1224">
        <v>26.887146552000008</v>
      </c>
      <c r="E76" s="614"/>
      <c r="F76" s="614"/>
      <c r="G76" s="614"/>
      <c r="I76" s="1218"/>
      <c r="K76" s="614"/>
      <c r="L76" s="614"/>
      <c r="M76" s="614"/>
      <c r="O76" s="1260">
        <v>26.887146552000008</v>
      </c>
      <c r="P76" s="609"/>
      <c r="Q76" s="614"/>
      <c r="R76" s="614"/>
      <c r="S76" s="614"/>
    </row>
    <row r="77" spans="1:19" ht="14.1" x14ac:dyDescent="0.4">
      <c r="B77" s="612">
        <v>2019</v>
      </c>
      <c r="C77" s="1224">
        <v>38.983440300426977</v>
      </c>
      <c r="E77" s="614"/>
      <c r="F77" s="614"/>
      <c r="G77" s="614"/>
      <c r="I77" s="1218"/>
      <c r="K77" s="614"/>
      <c r="L77" s="614"/>
      <c r="M77" s="614"/>
      <c r="O77" s="1260">
        <v>35.379666328291968</v>
      </c>
      <c r="P77" s="609"/>
      <c r="Q77" s="614"/>
      <c r="R77" s="614"/>
      <c r="S77" s="614"/>
    </row>
    <row r="78" spans="1:19" ht="14.1" x14ac:dyDescent="0.4">
      <c r="B78" s="612">
        <v>2020</v>
      </c>
      <c r="C78" s="1224">
        <v>42.798705434678645</v>
      </c>
      <c r="E78" s="614"/>
      <c r="F78" s="614"/>
      <c r="G78" s="614"/>
      <c r="I78" s="1218"/>
      <c r="K78" s="614"/>
      <c r="L78" s="614"/>
      <c r="M78" s="614"/>
      <c r="O78" s="1260">
        <v>37.779549996075865</v>
      </c>
      <c r="P78" s="609"/>
      <c r="Q78" s="614"/>
      <c r="R78" s="614"/>
      <c r="S78" s="614"/>
    </row>
    <row r="79" spans="1:19" ht="14.1" x14ac:dyDescent="0.4">
      <c r="B79" s="612">
        <v>2021</v>
      </c>
      <c r="C79" s="1224">
        <v>46.736252265010435</v>
      </c>
      <c r="E79" s="614"/>
      <c r="F79" s="614"/>
      <c r="G79" s="614"/>
      <c r="I79" s="1218"/>
      <c r="K79" s="614"/>
      <c r="L79" s="614"/>
      <c r="M79" s="614"/>
      <c r="O79" s="1260">
        <v>40.134486518956166</v>
      </c>
      <c r="P79" s="609"/>
      <c r="Q79" s="614"/>
      <c r="R79" s="614"/>
      <c r="S79" s="614"/>
    </row>
    <row r="80" spans="1:19" ht="14.1" x14ac:dyDescent="0.4">
      <c r="B80" s="612">
        <v>2022</v>
      </c>
      <c r="C80" s="1224">
        <v>50.806377378688339</v>
      </c>
      <c r="E80" s="614"/>
      <c r="F80" s="614"/>
      <c r="G80" s="614"/>
      <c r="I80" s="1218"/>
      <c r="K80" s="614"/>
      <c r="L80" s="614"/>
      <c r="M80" s="614"/>
      <c r="O80" s="1260">
        <v>42.467287212187713</v>
      </c>
      <c r="P80" s="609"/>
      <c r="Q80" s="614"/>
      <c r="R80" s="614"/>
      <c r="S80" s="614"/>
    </row>
    <row r="81" spans="2:19" ht="14.1" x14ac:dyDescent="0.4">
      <c r="B81" s="612">
        <v>2023</v>
      </c>
      <c r="C81" s="1224">
        <v>54.993820099953695</v>
      </c>
      <c r="E81" s="614"/>
      <c r="F81" s="614"/>
      <c r="G81" s="614"/>
      <c r="I81" s="1218"/>
      <c r="K81" s="614"/>
      <c r="L81" s="614"/>
      <c r="M81" s="614"/>
      <c r="O81" s="1260">
        <v>44.777644097613653</v>
      </c>
      <c r="P81" s="609"/>
      <c r="Q81" s="614"/>
      <c r="R81" s="614"/>
      <c r="S81" s="614"/>
    </row>
    <row r="82" spans="2:19" ht="14.1" x14ac:dyDescent="0.4">
      <c r="B82" s="612">
        <v>2024</v>
      </c>
      <c r="C82" s="1224">
        <v>59.282446062561277</v>
      </c>
      <c r="E82" s="614"/>
      <c r="F82" s="614"/>
      <c r="G82" s="614"/>
      <c r="I82" s="1218"/>
      <c r="K82" s="614"/>
      <c r="L82" s="614"/>
      <c r="M82" s="614"/>
      <c r="O82" s="1260">
        <v>47.064543134140642</v>
      </c>
      <c r="P82" s="609"/>
      <c r="Q82" s="614"/>
      <c r="R82" s="614"/>
      <c r="S82" s="614"/>
    </row>
    <row r="83" spans="2:19" ht="14.1" x14ac:dyDescent="0.4">
      <c r="B83" s="612">
        <v>2025</v>
      </c>
      <c r="C83" s="1224">
        <v>63.656241688118101</v>
      </c>
      <c r="E83" s="614"/>
      <c r="F83" s="614"/>
      <c r="G83" s="614"/>
      <c r="I83" s="1218"/>
      <c r="K83" s="614"/>
      <c r="L83" s="614"/>
      <c r="M83" s="614"/>
      <c r="O83" s="1260">
        <v>49.327123690130321</v>
      </c>
      <c r="P83" s="609"/>
      <c r="Q83" s="614"/>
      <c r="R83" s="614"/>
      <c r="S83" s="614"/>
    </row>
    <row r="84" spans="2:19" ht="14.1" x14ac:dyDescent="0.4">
      <c r="B84" s="612">
        <v>2026</v>
      </c>
      <c r="C84" s="1224">
        <v>68.100112894931939</v>
      </c>
      <c r="E84" s="614"/>
      <c r="F84" s="614"/>
      <c r="G84" s="614"/>
      <c r="I84" s="1218"/>
      <c r="K84" s="614"/>
      <c r="L84" s="614"/>
      <c r="M84" s="614"/>
      <c r="O84" s="1260">
        <v>51.565269208172893</v>
      </c>
      <c r="P84" s="609"/>
      <c r="Q84" s="614"/>
      <c r="R84" s="614"/>
      <c r="S84" s="614"/>
    </row>
    <row r="85" spans="2:19" ht="14.1" x14ac:dyDescent="0.4">
      <c r="B85" s="612">
        <v>2027</v>
      </c>
      <c r="C85" s="1224">
        <v>72.599686544155418</v>
      </c>
      <c r="E85" s="614"/>
      <c r="F85" s="614"/>
      <c r="G85" s="614"/>
      <c r="I85" s="1218"/>
      <c r="K85" s="614"/>
      <c r="L85" s="614"/>
      <c r="M85" s="614"/>
      <c r="O85" s="1260">
        <v>53.779365719005682</v>
      </c>
      <c r="P85" s="609"/>
      <c r="Q85" s="614"/>
      <c r="R85" s="614"/>
      <c r="S85" s="614"/>
    </row>
    <row r="86" spans="2:19" ht="14.1" x14ac:dyDescent="0.4">
      <c r="B86" s="612">
        <v>2028</v>
      </c>
      <c r="C86" s="1224">
        <v>77.140250356915004</v>
      </c>
      <c r="E86" s="614"/>
      <c r="F86" s="614"/>
      <c r="G86" s="614"/>
      <c r="I86" s="1218"/>
      <c r="K86" s="614"/>
      <c r="L86" s="614"/>
      <c r="M86" s="614"/>
      <c r="O86" s="1260">
        <v>55.969462539469063</v>
      </c>
      <c r="P86" s="609"/>
      <c r="Q86" s="614"/>
      <c r="R86" s="614"/>
      <c r="S86" s="614"/>
    </row>
    <row r="87" spans="2:19" ht="14.1" x14ac:dyDescent="0.4">
      <c r="B87" s="612">
        <v>2029</v>
      </c>
      <c r="C87" s="1224">
        <v>81.707294426274828</v>
      </c>
      <c r="E87" s="614"/>
      <c r="F87" s="614"/>
      <c r="G87" s="614"/>
      <c r="I87" s="1218"/>
      <c r="K87" s="614"/>
      <c r="L87" s="614"/>
      <c r="M87" s="614"/>
      <c r="O87" s="1260">
        <v>58.135696878401376</v>
      </c>
      <c r="P87" s="609"/>
      <c r="Q87" s="614"/>
      <c r="R87" s="614"/>
      <c r="S87" s="614"/>
    </row>
    <row r="88" spans="2:19" ht="14.1" x14ac:dyDescent="0.4">
      <c r="B88" s="612">
        <v>2030</v>
      </c>
      <c r="C88" s="1224">
        <v>86.286367400519538</v>
      </c>
      <c r="E88" s="614"/>
      <c r="F88" s="614"/>
      <c r="G88" s="614"/>
      <c r="I88" s="1218"/>
      <c r="K88" s="614"/>
      <c r="L88" s="614"/>
      <c r="M88" s="614"/>
      <c r="O88" s="1260">
        <v>60.27818525089446</v>
      </c>
      <c r="P88" s="609"/>
      <c r="Q88" s="614"/>
      <c r="R88" s="614"/>
      <c r="S88" s="614"/>
    </row>
    <row r="89" spans="2:19" ht="14.1" x14ac:dyDescent="0.4">
      <c r="B89" s="612">
        <v>2031</v>
      </c>
      <c r="C89" s="1224">
        <v>90.862998276895667</v>
      </c>
      <c r="E89" s="614"/>
      <c r="F89" s="614"/>
      <c r="G89" s="614"/>
      <c r="I89" s="1218"/>
      <c r="K89" s="614"/>
      <c r="L89" s="614"/>
      <c r="M89" s="614"/>
      <c r="O89" s="1260">
        <v>62.396968005469226</v>
      </c>
      <c r="P89" s="609"/>
      <c r="Q89" s="614"/>
      <c r="R89" s="614"/>
      <c r="S89" s="614"/>
    </row>
    <row r="90" spans="2:19" ht="14.1" x14ac:dyDescent="0.4">
      <c r="B90" s="612">
        <v>2032</v>
      </c>
      <c r="C90" s="1224">
        <v>95.423100541453977</v>
      </c>
      <c r="E90" s="614"/>
      <c r="F90" s="614"/>
      <c r="G90" s="614"/>
      <c r="I90" s="1218"/>
      <c r="K90" s="614"/>
      <c r="L90" s="614"/>
      <c r="M90" s="614"/>
      <c r="O90" s="1260">
        <v>64.492293701644826</v>
      </c>
      <c r="P90" s="609"/>
      <c r="Q90" s="614"/>
      <c r="R90" s="614"/>
      <c r="S90" s="614"/>
    </row>
    <row r="91" spans="2:19" ht="14.1" x14ac:dyDescent="0.4">
      <c r="B91" s="612">
        <v>2033</v>
      </c>
      <c r="C91" s="1224">
        <v>99.953520854905804</v>
      </c>
      <c r="E91" s="614"/>
      <c r="F91" s="614"/>
      <c r="G91" s="614"/>
      <c r="I91" s="1218"/>
      <c r="K91" s="614"/>
      <c r="L91" s="614"/>
      <c r="M91" s="614"/>
      <c r="O91" s="1260">
        <v>66.56496996371942</v>
      </c>
      <c r="P91" s="609"/>
      <c r="Q91" s="614"/>
      <c r="R91" s="614"/>
      <c r="S91" s="614"/>
    </row>
    <row r="92" spans="2:19" ht="14.1" x14ac:dyDescent="0.4">
      <c r="B92" s="612">
        <v>2034</v>
      </c>
      <c r="C92" s="1224">
        <v>104.44168357294357</v>
      </c>
      <c r="E92" s="614"/>
      <c r="F92" s="614"/>
      <c r="G92" s="614"/>
      <c r="I92" s="1218"/>
      <c r="K92" s="614"/>
      <c r="L92" s="614"/>
      <c r="M92" s="614"/>
      <c r="O92" s="1260">
        <v>68.616088975991673</v>
      </c>
      <c r="P92" s="609"/>
      <c r="Q92" s="614"/>
      <c r="R92" s="614"/>
      <c r="S92" s="614"/>
    </row>
    <row r="93" spans="2:19" ht="14.1" x14ac:dyDescent="0.4">
      <c r="B93" s="612">
        <v>2035</v>
      </c>
      <c r="C93" s="1224">
        <v>108.87485323191225</v>
      </c>
      <c r="E93" s="614"/>
      <c r="F93" s="614"/>
      <c r="G93" s="614"/>
      <c r="I93" s="1218"/>
      <c r="K93" s="614"/>
      <c r="L93" s="614"/>
      <c r="M93" s="614"/>
      <c r="O93" s="1260">
        <v>70.646529676721855</v>
      </c>
      <c r="P93" s="609"/>
      <c r="Q93" s="614"/>
      <c r="R93" s="614"/>
      <c r="S93" s="614"/>
    </row>
    <row r="94" spans="2:19" ht="14.1" x14ac:dyDescent="0.4">
      <c r="B94" s="612">
        <v>2036</v>
      </c>
      <c r="C94" s="1224">
        <v>113.23993274907275</v>
      </c>
      <c r="E94" s="614"/>
      <c r="F94" s="614"/>
      <c r="G94" s="614"/>
      <c r="I94" s="1218"/>
      <c r="K94" s="614"/>
      <c r="L94" s="614"/>
      <c r="M94" s="614"/>
      <c r="O94" s="1260">
        <v>72.65684566220294</v>
      </c>
      <c r="P94" s="609"/>
      <c r="Q94" s="614"/>
      <c r="R94" s="614"/>
      <c r="S94" s="614"/>
    </row>
    <row r="95" spans="2:19" ht="14.1" x14ac:dyDescent="0.4">
      <c r="B95" s="612">
        <v>2037</v>
      </c>
      <c r="C95" s="1224">
        <v>117.52306377809114</v>
      </c>
      <c r="E95" s="614"/>
      <c r="F95" s="614"/>
      <c r="G95" s="614"/>
      <c r="I95" s="1218"/>
      <c r="K95" s="614"/>
      <c r="L95" s="614"/>
      <c r="M95" s="614"/>
      <c r="O95" s="1260">
        <v>74.647039483918121</v>
      </c>
      <c r="P95" s="609"/>
      <c r="Q95" s="614"/>
      <c r="R95" s="614"/>
      <c r="S95" s="614"/>
    </row>
    <row r="96" spans="2:19" ht="14.1" x14ac:dyDescent="0.4">
      <c r="B96" s="612">
        <v>2038</v>
      </c>
      <c r="C96" s="1224">
        <v>121.70985730862294</v>
      </c>
      <c r="E96" s="614"/>
      <c r="F96" s="614"/>
      <c r="G96" s="614"/>
      <c r="I96" s="1218"/>
      <c r="K96" s="614"/>
      <c r="L96" s="614"/>
      <c r="M96" s="614"/>
      <c r="O96" s="1260">
        <v>76.616742697757715</v>
      </c>
      <c r="P96" s="609"/>
      <c r="Q96" s="614"/>
      <c r="R96" s="614"/>
      <c r="S96" s="614"/>
    </row>
    <row r="97" spans="2:19" ht="14.1" x14ac:dyDescent="0.4">
      <c r="B97" s="612">
        <v>2039</v>
      </c>
      <c r="C97" s="1224">
        <v>125.78537970755778</v>
      </c>
      <c r="E97" s="614"/>
      <c r="F97" s="614"/>
      <c r="G97" s="614"/>
      <c r="I97" s="1218"/>
      <c r="K97" s="614"/>
      <c r="L97" s="614"/>
      <c r="M97" s="614"/>
      <c r="O97" s="1260">
        <v>78.565217974731738</v>
      </c>
      <c r="P97" s="609"/>
      <c r="Q97" s="614"/>
      <c r="R97" s="614"/>
      <c r="S97" s="614"/>
    </row>
    <row r="98" spans="2:19" ht="14.1" x14ac:dyDescent="0.4">
      <c r="B98" s="612">
        <v>2040</v>
      </c>
      <c r="C98" s="1224">
        <v>129.73494029810473</v>
      </c>
      <c r="E98" s="614"/>
      <c r="F98" s="614"/>
      <c r="G98" s="614"/>
      <c r="I98" s="1218"/>
      <c r="K98" s="614"/>
      <c r="L98" s="614"/>
      <c r="M98" s="614"/>
      <c r="O98" s="1260">
        <v>80.491856043560162</v>
      </c>
      <c r="P98" s="609"/>
      <c r="Q98" s="614"/>
      <c r="R98" s="614"/>
      <c r="S98" s="614"/>
    </row>
    <row r="99" spans="2:19" ht="14.1" x14ac:dyDescent="0.4">
      <c r="B99" s="612">
        <v>2041</v>
      </c>
      <c r="C99" s="1224">
        <v>133.54469664651052</v>
      </c>
      <c r="E99" s="614"/>
      <c r="F99" s="614"/>
      <c r="G99" s="614"/>
      <c r="I99" s="1218"/>
      <c r="K99" s="614"/>
      <c r="L99" s="614"/>
      <c r="M99" s="614"/>
      <c r="O99" s="1260">
        <v>82.396537316262766</v>
      </c>
      <c r="P99" s="609"/>
      <c r="Q99" s="614"/>
      <c r="R99" s="614"/>
      <c r="S99" s="614"/>
    </row>
    <row r="100" spans="2:19" ht="14.1" x14ac:dyDescent="0.4">
      <c r="B100" s="612">
        <v>2042</v>
      </c>
      <c r="C100" s="1224">
        <v>137.20128690927984</v>
      </c>
      <c r="E100" s="614"/>
      <c r="F100" s="614"/>
      <c r="G100" s="614"/>
      <c r="I100" s="1218"/>
      <c r="K100" s="614"/>
      <c r="L100" s="614"/>
      <c r="M100" s="614"/>
      <c r="O100" s="1260">
        <v>84.27938679865629</v>
      </c>
      <c r="P100" s="609"/>
      <c r="Q100" s="614"/>
      <c r="R100" s="614"/>
      <c r="S100" s="614"/>
    </row>
    <row r="101" spans="2:19" ht="14.1" x14ac:dyDescent="0.4">
      <c r="B101" s="612">
        <v>2043</v>
      </c>
      <c r="C101" s="1224">
        <v>140.69097532313859</v>
      </c>
      <c r="E101" s="614"/>
      <c r="F101" s="614"/>
      <c r="G101" s="614"/>
      <c r="I101" s="1218"/>
      <c r="K101" s="614"/>
      <c r="L101" s="614"/>
      <c r="M101" s="614"/>
      <c r="O101" s="1260">
        <v>86.140245470696229</v>
      </c>
      <c r="P101" s="609"/>
      <c r="Q101" s="614"/>
      <c r="R101" s="614"/>
      <c r="S101" s="614"/>
    </row>
    <row r="102" spans="2:19" ht="14.1" x14ac:dyDescent="0.4">
      <c r="B102" s="612">
        <v>2044</v>
      </c>
      <c r="C102" s="1224">
        <v>144.00013374410895</v>
      </c>
      <c r="E102" s="614"/>
      <c r="F102" s="614"/>
      <c r="G102" s="614"/>
      <c r="I102" s="1218"/>
      <c r="K102" s="614"/>
      <c r="L102" s="614"/>
      <c r="M102" s="614"/>
      <c r="O102" s="1260">
        <v>87.978970038466557</v>
      </c>
      <c r="P102" s="609"/>
      <c r="Q102" s="614"/>
      <c r="R102" s="614"/>
      <c r="S102" s="614"/>
    </row>
    <row r="103" spans="2:19" ht="14.1" x14ac:dyDescent="0.4">
      <c r="B103" s="612">
        <v>2045</v>
      </c>
      <c r="C103" s="1224">
        <v>147.11520867761618</v>
      </c>
      <c r="E103" s="614"/>
      <c r="F103" s="614"/>
      <c r="G103" s="614"/>
      <c r="I103" s="1218"/>
      <c r="K103" s="614"/>
      <c r="L103" s="614"/>
      <c r="M103" s="614"/>
      <c r="O103" s="1260">
        <v>89.795411286964878</v>
      </c>
      <c r="P103" s="609"/>
      <c r="Q103" s="614"/>
      <c r="R103" s="614"/>
      <c r="S103" s="614"/>
    </row>
    <row r="104" spans="2:19" ht="14.1" x14ac:dyDescent="0.4">
      <c r="B104" s="612">
        <v>2046</v>
      </c>
      <c r="C104" s="1224">
        <v>150.02273522205866</v>
      </c>
      <c r="E104" s="614"/>
      <c r="F104" s="614"/>
      <c r="G104" s="614"/>
      <c r="I104" s="1218"/>
      <c r="K104" s="614"/>
      <c r="L104" s="614"/>
      <c r="M104" s="614"/>
      <c r="O104" s="1260">
        <v>91.589418818606603</v>
      </c>
      <c r="P104" s="609"/>
      <c r="Q104" s="614"/>
      <c r="R104" s="614"/>
      <c r="S104" s="614"/>
    </row>
    <row r="105" spans="2:19" ht="14.1" x14ac:dyDescent="0.4">
      <c r="B105" s="612">
        <v>2047</v>
      </c>
      <c r="C105" s="1224">
        <v>152.70935417829546</v>
      </c>
      <c r="E105" s="614"/>
      <c r="F105" s="614"/>
      <c r="G105" s="614"/>
      <c r="I105" s="1218"/>
      <c r="K105" s="614"/>
      <c r="L105" s="614"/>
      <c r="M105" s="614"/>
      <c r="O105" s="1260">
        <v>93.360848557927</v>
      </c>
      <c r="P105" s="609"/>
      <c r="Q105" s="614"/>
      <c r="R105" s="614"/>
      <c r="S105" s="614"/>
    </row>
    <row r="106" spans="2:19" ht="14.1" x14ac:dyDescent="0.4">
      <c r="B106" s="612">
        <v>2048</v>
      </c>
      <c r="C106" s="1224">
        <v>155.16182805723255</v>
      </c>
      <c r="E106" s="614"/>
      <c r="F106" s="614"/>
      <c r="G106" s="614"/>
      <c r="I106" s="1218"/>
      <c r="K106" s="614"/>
      <c r="L106" s="614"/>
      <c r="M106" s="614"/>
      <c r="O106" s="1260">
        <v>95.10957342096934</v>
      </c>
      <c r="P106" s="609"/>
      <c r="Q106" s="614"/>
      <c r="R106" s="614"/>
      <c r="S106" s="614"/>
    </row>
    <row r="107" spans="2:19" ht="14.1" x14ac:dyDescent="0.4">
      <c r="B107" s="612">
        <v>2049</v>
      </c>
      <c r="C107" s="1224">
        <v>157.36703877423986</v>
      </c>
      <c r="E107" s="614"/>
      <c r="F107" s="614"/>
      <c r="G107" s="614"/>
      <c r="I107" s="1218"/>
      <c r="K107" s="614"/>
      <c r="L107" s="614"/>
      <c r="M107" s="614"/>
      <c r="O107" s="1260">
        <v>96.83548122305757</v>
      </c>
      <c r="P107" s="609"/>
      <c r="Q107" s="614"/>
      <c r="R107" s="614"/>
      <c r="S107" s="614"/>
    </row>
    <row r="108" spans="2:19" ht="14.1" x14ac:dyDescent="0.4">
      <c r="B108" s="612">
        <v>2050</v>
      </c>
      <c r="C108" s="1224">
        <v>159.31196703206891</v>
      </c>
      <c r="E108" s="614"/>
      <c r="F108" s="614"/>
      <c r="G108" s="614"/>
      <c r="I108" s="1218"/>
      <c r="K108" s="614"/>
      <c r="L108" s="614"/>
      <c r="M108" s="614"/>
      <c r="O108" s="1260">
        <v>98.538457979364154</v>
      </c>
      <c r="P108" s="609"/>
      <c r="Q108" s="614"/>
      <c r="R108" s="614"/>
      <c r="S108" s="614"/>
    </row>
    <row r="109" spans="2:19" ht="14.1" x14ac:dyDescent="0.4">
      <c r="B109" s="612">
        <v>2051</v>
      </c>
      <c r="C109" s="1224">
        <v>160.98372829374765</v>
      </c>
      <c r="E109" s="614"/>
      <c r="F109" s="614"/>
      <c r="G109" s="614"/>
      <c r="I109" s="1218"/>
      <c r="K109" s="614"/>
      <c r="L109" s="614"/>
      <c r="M109" s="614"/>
      <c r="O109" s="1260">
        <v>100.21840442768308</v>
      </c>
      <c r="P109" s="609"/>
      <c r="Q109" s="614"/>
      <c r="R109" s="614"/>
      <c r="S109" s="614"/>
    </row>
    <row r="110" spans="2:19" ht="14.1" x14ac:dyDescent="0.4">
      <c r="B110" s="612">
        <v>2052</v>
      </c>
      <c r="C110" s="1224">
        <v>162.36955235982163</v>
      </c>
      <c r="E110" s="614"/>
      <c r="F110" s="614"/>
      <c r="G110" s="614"/>
      <c r="I110" s="1218"/>
      <c r="K110" s="614"/>
      <c r="L110" s="614"/>
      <c r="M110" s="614"/>
      <c r="O110" s="1260">
        <v>101.87521957884724</v>
      </c>
      <c r="P110" s="609"/>
      <c r="Q110" s="614"/>
      <c r="R110" s="614"/>
      <c r="S110" s="614"/>
    </row>
    <row r="111" spans="2:19" ht="14.1" x14ac:dyDescent="0.4">
      <c r="B111" s="612">
        <v>2053</v>
      </c>
      <c r="C111" s="1224">
        <v>163.45676757144494</v>
      </c>
      <c r="E111" s="614"/>
      <c r="F111" s="614"/>
      <c r="G111" s="614"/>
      <c r="I111" s="1218"/>
      <c r="K111" s="614"/>
      <c r="L111" s="614"/>
      <c r="M111" s="614"/>
      <c r="O111" s="1260">
        <v>103.50879046561373</v>
      </c>
      <c r="P111" s="609"/>
      <c r="Q111" s="614"/>
      <c r="R111" s="614"/>
      <c r="S111" s="614"/>
    </row>
    <row r="112" spans="2:19" ht="14.1" x14ac:dyDescent="0.4">
      <c r="B112" s="612">
        <v>2054</v>
      </c>
      <c r="C112" s="1224">
        <v>164.23283666348806</v>
      </c>
      <c r="E112" s="614"/>
      <c r="F112" s="614"/>
      <c r="G112" s="614"/>
      <c r="I112" s="1218"/>
      <c r="K112" s="614"/>
      <c r="L112" s="614"/>
      <c r="M112" s="614"/>
      <c r="O112" s="1260">
        <v>105.1190089267713</v>
      </c>
      <c r="P112" s="609"/>
      <c r="Q112" s="614"/>
      <c r="R112" s="614"/>
      <c r="S112" s="614"/>
    </row>
    <row r="113" spans="1:19" ht="14.1" x14ac:dyDescent="0.4">
      <c r="B113" s="612">
        <v>2055</v>
      </c>
      <c r="C113" s="1224">
        <v>164.68538599054216</v>
      </c>
      <c r="E113" s="614"/>
      <c r="F113" s="614"/>
      <c r="G113" s="614"/>
      <c r="I113" s="1218"/>
      <c r="K113" s="614"/>
      <c r="L113" s="614"/>
      <c r="M113" s="614"/>
      <c r="O113" s="1260">
        <v>106.70578888993744</v>
      </c>
      <c r="P113" s="609"/>
      <c r="Q113" s="614"/>
      <c r="R113" s="614"/>
      <c r="S113" s="614"/>
    </row>
    <row r="114" spans="1:19" ht="14.1" x14ac:dyDescent="0.4">
      <c r="B114" s="612">
        <v>2056</v>
      </c>
      <c r="C114" s="1224">
        <v>164.80221262789735</v>
      </c>
      <c r="E114" s="614"/>
      <c r="F114" s="614"/>
      <c r="G114" s="614"/>
      <c r="I114" s="1218"/>
      <c r="K114" s="614"/>
      <c r="L114" s="614"/>
      <c r="M114" s="614"/>
      <c r="O114" s="1260">
        <v>108.2690714431258</v>
      </c>
      <c r="P114" s="609"/>
      <c r="Q114" s="614"/>
      <c r="R114" s="614"/>
      <c r="S114" s="614"/>
    </row>
    <row r="115" spans="1:19" ht="14.1" x14ac:dyDescent="0.4">
      <c r="B115" s="612">
        <v>2057</v>
      </c>
      <c r="C115" s="1224">
        <v>164.57130761627104</v>
      </c>
      <c r="E115" s="614"/>
      <c r="F115" s="614"/>
      <c r="G115" s="614"/>
      <c r="I115" s="1218"/>
      <c r="K115" s="614"/>
      <c r="L115" s="614"/>
      <c r="M115" s="614"/>
      <c r="O115" s="1260">
        <v>109.80883553069131</v>
      </c>
      <c r="P115" s="609"/>
      <c r="Q115" s="614"/>
      <c r="R115" s="614"/>
      <c r="S115" s="614"/>
    </row>
    <row r="116" spans="1:19" ht="14.1" x14ac:dyDescent="0.4">
      <c r="B116" s="612">
        <v>2058</v>
      </c>
      <c r="C116" s="1224">
        <v>163.98088810988349</v>
      </c>
      <c r="E116" s="614"/>
      <c r="F116" s="614"/>
      <c r="G116" s="614"/>
      <c r="I116" s="1218"/>
      <c r="K116" s="614"/>
      <c r="L116" s="614"/>
      <c r="M116" s="614"/>
      <c r="O116" s="1260">
        <v>111.32511227223105</v>
      </c>
      <c r="P116" s="609"/>
      <c r="Q116" s="614"/>
      <c r="R116" s="614"/>
      <c r="S116" s="614"/>
    </row>
    <row r="117" spans="1:19" ht="14.1" x14ac:dyDescent="0.4">
      <c r="B117" s="612">
        <v>2059</v>
      </c>
      <c r="C117" s="1224">
        <v>163.01936939813382</v>
      </c>
      <c r="E117" s="614"/>
      <c r="F117" s="614"/>
      <c r="G117" s="614"/>
      <c r="I117" s="1218"/>
      <c r="K117" s="614"/>
      <c r="L117" s="614"/>
      <c r="M117" s="614"/>
      <c r="O117" s="1260">
        <v>112.81797092937515</v>
      </c>
      <c r="P117" s="609"/>
      <c r="Q117" s="614"/>
      <c r="R117" s="614"/>
      <c r="S117" s="614"/>
    </row>
    <row r="118" spans="1:19" ht="14.1" x14ac:dyDescent="0.4">
      <c r="B118" s="612">
        <v>2060</v>
      </c>
      <c r="C118" s="1224">
        <v>161.67531421765241</v>
      </c>
      <c r="E118" s="614"/>
      <c r="F118" s="614"/>
      <c r="G118" s="614"/>
      <c r="I118" s="1219"/>
      <c r="K118" s="614"/>
      <c r="L118" s="614"/>
      <c r="M118" s="614"/>
      <c r="O118" s="1260">
        <v>114.28748830002007</v>
      </c>
      <c r="P118" s="609"/>
      <c r="Q118" s="614"/>
      <c r="R118" s="614"/>
      <c r="S118" s="614"/>
    </row>
    <row r="121" spans="1:19" s="609" customFormat="1" x14ac:dyDescent="0.4"/>
    <row r="122" spans="1:19" s="609" customFormat="1" ht="17.399999999999999" x14ac:dyDescent="0.55000000000000004">
      <c r="A122" s="1229" t="s">
        <v>1148</v>
      </c>
    </row>
    <row r="123" spans="1:19" s="609" customFormat="1" x14ac:dyDescent="0.4"/>
    <row r="124" spans="1:19" ht="42" customHeight="1" x14ac:dyDescent="0.4">
      <c r="C124" s="1287" t="s">
        <v>416</v>
      </c>
      <c r="D124" s="1287"/>
      <c r="E124" s="1287"/>
      <c r="F124" s="1"/>
      <c r="G124" s="1287" t="s">
        <v>1126</v>
      </c>
      <c r="H124" s="1287"/>
      <c r="I124" s="1287"/>
      <c r="J124" s="1"/>
      <c r="K124" s="1"/>
      <c r="L124" s="1287" t="s">
        <v>1125</v>
      </c>
      <c r="M124" s="1287"/>
      <c r="N124" s="1287"/>
      <c r="O124" s="1"/>
      <c r="P124" s="1287" t="s">
        <v>1127</v>
      </c>
      <c r="Q124" s="1287"/>
      <c r="R124" s="1287"/>
    </row>
    <row r="125" spans="1:19" x14ac:dyDescent="0.4">
      <c r="B125" s="1172"/>
      <c r="C125" s="963" t="s">
        <v>404</v>
      </c>
      <c r="D125" s="963" t="s">
        <v>407</v>
      </c>
      <c r="E125" s="963" t="s">
        <v>408</v>
      </c>
      <c r="G125" s="1" t="s">
        <v>404</v>
      </c>
      <c r="H125" s="1" t="s">
        <v>407</v>
      </c>
      <c r="I125" s="1" t="s">
        <v>408</v>
      </c>
      <c r="K125" s="1172"/>
      <c r="L125" s="963" t="s">
        <v>404</v>
      </c>
      <c r="M125" s="963" t="s">
        <v>407</v>
      </c>
      <c r="N125" s="963" t="s">
        <v>408</v>
      </c>
      <c r="O125" s="609"/>
      <c r="P125" s="1" t="s">
        <v>404</v>
      </c>
      <c r="Q125" s="1" t="s">
        <v>407</v>
      </c>
      <c r="R125" s="1" t="s">
        <v>408</v>
      </c>
    </row>
    <row r="126" spans="1:19" ht="14.1" x14ac:dyDescent="0.4">
      <c r="B126" s="612">
        <v>2014</v>
      </c>
      <c r="C126" s="614">
        <v>23.802159959999997</v>
      </c>
      <c r="D126" s="614">
        <v>23.802159959999997</v>
      </c>
      <c r="E126" s="614">
        <v>23.802159959999997</v>
      </c>
      <c r="G126" s="614">
        <v>23.802159959999997</v>
      </c>
      <c r="H126" s="614">
        <v>23.802159959999997</v>
      </c>
      <c r="I126" s="614">
        <v>23.802159959999997</v>
      </c>
      <c r="K126" s="612">
        <v>2014</v>
      </c>
      <c r="L126" s="614">
        <v>23.802159959999997</v>
      </c>
      <c r="M126" s="614">
        <v>23.802159959999997</v>
      </c>
      <c r="N126" s="614">
        <v>23.802159959999997</v>
      </c>
      <c r="O126" s="609"/>
      <c r="P126" s="614">
        <v>23.802159959999997</v>
      </c>
      <c r="Q126" s="614">
        <v>23.802159959999997</v>
      </c>
      <c r="R126" s="614">
        <v>23.802159959999997</v>
      </c>
    </row>
    <row r="127" spans="1:19" ht="14.1" x14ac:dyDescent="0.4">
      <c r="B127" s="612">
        <v>2015</v>
      </c>
      <c r="C127" s="614">
        <v>25.0214508</v>
      </c>
      <c r="D127" s="614">
        <v>25.0214508</v>
      </c>
      <c r="E127" s="614">
        <v>25.0214508</v>
      </c>
      <c r="G127" s="614">
        <v>25.0214508</v>
      </c>
      <c r="H127" s="614">
        <v>25.0214508</v>
      </c>
      <c r="I127" s="614">
        <v>25.0214508</v>
      </c>
      <c r="K127" s="612">
        <v>2015</v>
      </c>
      <c r="L127" s="614">
        <v>25.0214508</v>
      </c>
      <c r="M127" s="614">
        <v>25.0214508</v>
      </c>
      <c r="N127" s="614">
        <v>25.0214508</v>
      </c>
      <c r="O127" s="609"/>
      <c r="P127" s="614">
        <v>25.0214508</v>
      </c>
      <c r="Q127" s="614">
        <v>25.0214508</v>
      </c>
      <c r="R127" s="614">
        <v>25.0214508</v>
      </c>
    </row>
    <row r="128" spans="1:19" ht="14.1" x14ac:dyDescent="0.4">
      <c r="B128" s="612">
        <v>2016</v>
      </c>
      <c r="C128" s="614">
        <v>26.016150959999997</v>
      </c>
      <c r="D128" s="614">
        <v>26.016150959999997</v>
      </c>
      <c r="E128" s="614">
        <v>26.016150959999997</v>
      </c>
      <c r="G128" s="614">
        <v>26.016150960000001</v>
      </c>
      <c r="H128" s="614">
        <v>26.016150960000001</v>
      </c>
      <c r="I128" s="614">
        <v>26.016150960000001</v>
      </c>
      <c r="K128" s="612">
        <v>2016</v>
      </c>
      <c r="L128" s="614">
        <v>26.016150959999997</v>
      </c>
      <c r="M128" s="614">
        <v>26.016150959999997</v>
      </c>
      <c r="N128" s="614">
        <v>26.016150959999997</v>
      </c>
      <c r="O128" s="609"/>
      <c r="P128" s="614">
        <v>26.016150960000001</v>
      </c>
      <c r="Q128" s="614">
        <v>26.016150960000001</v>
      </c>
      <c r="R128" s="614">
        <v>26.016150960000001</v>
      </c>
    </row>
    <row r="129" spans="2:18" ht="14.1" x14ac:dyDescent="0.4">
      <c r="B129" s="612">
        <v>2017</v>
      </c>
      <c r="C129" s="614">
        <v>26.572987800000003</v>
      </c>
      <c r="D129" s="614">
        <v>26.572987800000003</v>
      </c>
      <c r="E129" s="614">
        <v>26.572987800000003</v>
      </c>
      <c r="G129" s="614">
        <v>26.572987800000003</v>
      </c>
      <c r="H129" s="614">
        <v>26.572987800000003</v>
      </c>
      <c r="I129" s="614">
        <v>26.572987800000003</v>
      </c>
      <c r="K129" s="612">
        <v>2017</v>
      </c>
      <c r="L129" s="614">
        <v>26.572987800000003</v>
      </c>
      <c r="M129" s="614">
        <v>26.572987800000003</v>
      </c>
      <c r="N129" s="614">
        <v>26.572987800000003</v>
      </c>
      <c r="O129" s="609"/>
      <c r="P129" s="614">
        <v>26.572987800000003</v>
      </c>
      <c r="Q129" s="614">
        <v>26.572987800000003</v>
      </c>
      <c r="R129" s="614">
        <v>26.572987800000003</v>
      </c>
    </row>
    <row r="130" spans="2:18" ht="14.1" x14ac:dyDescent="0.4">
      <c r="B130" s="612">
        <v>2018</v>
      </c>
      <c r="C130" s="614">
        <v>26.887146552000008</v>
      </c>
      <c r="D130" s="614">
        <v>26.887146552000008</v>
      </c>
      <c r="E130" s="614">
        <v>26.887146552000008</v>
      </c>
      <c r="G130" s="614">
        <v>26.887146552000008</v>
      </c>
      <c r="H130" s="614">
        <v>26.887146552000008</v>
      </c>
      <c r="I130" s="614">
        <v>26.887146552000008</v>
      </c>
      <c r="K130" s="612">
        <v>2018</v>
      </c>
      <c r="L130" s="614">
        <v>26.887146552000008</v>
      </c>
      <c r="M130" s="614">
        <v>26.887146552000008</v>
      </c>
      <c r="N130" s="614">
        <v>26.887146552000008</v>
      </c>
      <c r="O130" s="609"/>
      <c r="P130" s="614">
        <v>26.887146552000008</v>
      </c>
      <c r="Q130" s="614">
        <v>26.887146552000008</v>
      </c>
      <c r="R130" s="614">
        <v>26.887146552000008</v>
      </c>
    </row>
    <row r="131" spans="2:18" ht="14.1" x14ac:dyDescent="0.4">
      <c r="B131" s="612">
        <v>2019</v>
      </c>
      <c r="C131" s="614">
        <v>38.983440300426977</v>
      </c>
      <c r="D131" s="614">
        <v>38.983440300426977</v>
      </c>
      <c r="E131" s="614">
        <v>38.983440300426977</v>
      </c>
      <c r="G131" s="614">
        <v>35.379666328291968</v>
      </c>
      <c r="H131" s="614">
        <v>35.379666328291968</v>
      </c>
      <c r="I131" s="614">
        <v>35.379666328291968</v>
      </c>
      <c r="K131" s="612">
        <v>2019</v>
      </c>
      <c r="L131" s="614">
        <v>38.983440300426977</v>
      </c>
      <c r="M131" s="614">
        <v>38.983440300426977</v>
      </c>
      <c r="N131" s="614">
        <v>38.983440300426977</v>
      </c>
      <c r="O131" s="609"/>
      <c r="P131" s="614">
        <v>35.379666328291968</v>
      </c>
      <c r="Q131" s="614">
        <v>35.379666328291968</v>
      </c>
      <c r="R131" s="614">
        <v>35.379666328291968</v>
      </c>
    </row>
    <row r="132" spans="2:18" ht="14.1" x14ac:dyDescent="0.4">
      <c r="B132" s="612">
        <v>2020</v>
      </c>
      <c r="C132" s="614">
        <v>42.798705434678645</v>
      </c>
      <c r="D132" s="614">
        <v>42.798705434678645</v>
      </c>
      <c r="E132" s="614">
        <v>42.798705434678645</v>
      </c>
      <c r="G132" s="614">
        <v>37.779549996075865</v>
      </c>
      <c r="H132" s="614">
        <v>37.779549996075865</v>
      </c>
      <c r="I132" s="614">
        <v>37.779549996075865</v>
      </c>
      <c r="K132" s="612">
        <v>2020</v>
      </c>
      <c r="L132" s="614">
        <v>42.798705434678645</v>
      </c>
      <c r="M132" s="614">
        <v>42.798705434678645</v>
      </c>
      <c r="N132" s="614">
        <v>42.798705434678645</v>
      </c>
      <c r="O132" s="609"/>
      <c r="P132" s="614">
        <v>37.779549996075865</v>
      </c>
      <c r="Q132" s="614">
        <v>37.779549996075865</v>
      </c>
      <c r="R132" s="614">
        <v>37.779549996075865</v>
      </c>
    </row>
    <row r="133" spans="2:18" ht="14.1" x14ac:dyDescent="0.4">
      <c r="B133" s="612">
        <v>2021</v>
      </c>
      <c r="C133" s="614">
        <v>46.736252265010435</v>
      </c>
      <c r="D133" s="614">
        <v>46.736252265010435</v>
      </c>
      <c r="E133" s="614">
        <v>46.736252265010435</v>
      </c>
      <c r="G133" s="614">
        <v>40.134486518956166</v>
      </c>
      <c r="H133" s="614">
        <v>40.134486518956166</v>
      </c>
      <c r="I133" s="614">
        <v>40.134486518956166</v>
      </c>
      <c r="K133" s="612">
        <v>2021</v>
      </c>
      <c r="L133" s="614">
        <v>46.736252265010435</v>
      </c>
      <c r="M133" s="614">
        <v>46.736252265010435</v>
      </c>
      <c r="N133" s="614">
        <v>46.736252265010435</v>
      </c>
      <c r="O133" s="609"/>
      <c r="P133" s="614">
        <v>40.134486518956166</v>
      </c>
      <c r="Q133" s="614">
        <v>40.134486518956166</v>
      </c>
      <c r="R133" s="614">
        <v>40.134486518956166</v>
      </c>
    </row>
    <row r="134" spans="2:18" ht="14.1" x14ac:dyDescent="0.4">
      <c r="B134" s="612">
        <v>2022</v>
      </c>
      <c r="C134" s="614">
        <v>50.806377378688339</v>
      </c>
      <c r="D134" s="614">
        <v>50.806377378688339</v>
      </c>
      <c r="E134" s="614">
        <v>50.806377378688339</v>
      </c>
      <c r="G134" s="614">
        <v>42.467287212187713</v>
      </c>
      <c r="H134" s="614">
        <v>42.467287212187713</v>
      </c>
      <c r="I134" s="614">
        <v>42.467287212187713</v>
      </c>
      <c r="K134" s="612">
        <v>2022</v>
      </c>
      <c r="L134" s="614">
        <v>50.806377378688339</v>
      </c>
      <c r="M134" s="614">
        <v>50.806377378688339</v>
      </c>
      <c r="N134" s="614">
        <v>50.806377378688339</v>
      </c>
      <c r="O134" s="609"/>
      <c r="P134" s="614">
        <v>42.467287212187713</v>
      </c>
      <c r="Q134" s="614">
        <v>42.467287212187713</v>
      </c>
      <c r="R134" s="614">
        <v>42.467287212187713</v>
      </c>
    </row>
    <row r="135" spans="2:18" ht="14.1" x14ac:dyDescent="0.4">
      <c r="B135" s="612">
        <v>2023</v>
      </c>
      <c r="C135" s="614">
        <v>54.993820099953695</v>
      </c>
      <c r="D135" s="614">
        <v>54.993820099953695</v>
      </c>
      <c r="E135" s="614">
        <v>54.993820099953695</v>
      </c>
      <c r="G135" s="614">
        <v>44.777644097613653</v>
      </c>
      <c r="H135" s="614">
        <v>44.777644097613653</v>
      </c>
      <c r="I135" s="614">
        <v>44.777644097613653</v>
      </c>
      <c r="K135" s="612">
        <v>2023</v>
      </c>
      <c r="L135" s="614">
        <v>54.993820099953695</v>
      </c>
      <c r="M135" s="614">
        <v>54.993820099953695</v>
      </c>
      <c r="N135" s="614">
        <v>54.993820099953695</v>
      </c>
      <c r="O135" s="609"/>
      <c r="P135" s="614">
        <v>44.777644097613653</v>
      </c>
      <c r="Q135" s="614">
        <v>44.777644097613653</v>
      </c>
      <c r="R135" s="614">
        <v>44.777644097613653</v>
      </c>
    </row>
    <row r="136" spans="2:18" ht="14.1" x14ac:dyDescent="0.4">
      <c r="B136" s="612">
        <v>2024</v>
      </c>
      <c r="C136" s="614">
        <v>59.282446062561277</v>
      </c>
      <c r="D136" s="614">
        <v>59.282446062561277</v>
      </c>
      <c r="E136" s="614">
        <v>59.282446062561277</v>
      </c>
      <c r="G136" s="614">
        <v>47.064543134140642</v>
      </c>
      <c r="H136" s="614">
        <v>47.064543134140642</v>
      </c>
      <c r="I136" s="614">
        <v>47.064543134140642</v>
      </c>
      <c r="K136" s="612">
        <v>2024</v>
      </c>
      <c r="L136" s="614">
        <v>59.282446062561277</v>
      </c>
      <c r="M136" s="614">
        <v>59.282446062561277</v>
      </c>
      <c r="N136" s="614">
        <v>59.282446062561277</v>
      </c>
      <c r="O136" s="609"/>
      <c r="P136" s="614">
        <v>47.064543134140642</v>
      </c>
      <c r="Q136" s="614">
        <v>47.064543134140642</v>
      </c>
      <c r="R136" s="614">
        <v>47.064543134140642</v>
      </c>
    </row>
    <row r="137" spans="2:18" ht="14.1" x14ac:dyDescent="0.4">
      <c r="B137" s="612">
        <v>2025</v>
      </c>
      <c r="C137" s="614">
        <v>63.656241688118101</v>
      </c>
      <c r="D137" s="614">
        <v>63.656241688118101</v>
      </c>
      <c r="E137" s="614">
        <v>63.656241688118101</v>
      </c>
      <c r="G137" s="614">
        <v>49.327123690130321</v>
      </c>
      <c r="H137" s="614">
        <v>49.327123690130321</v>
      </c>
      <c r="I137" s="614">
        <v>49.327123690130321</v>
      </c>
      <c r="K137" s="612">
        <v>2025</v>
      </c>
      <c r="L137" s="614">
        <v>63.656241688118101</v>
      </c>
      <c r="M137" s="614">
        <v>63.656241688118101</v>
      </c>
      <c r="N137" s="614">
        <v>63.656241688118101</v>
      </c>
      <c r="O137" s="609"/>
      <c r="P137" s="614">
        <v>49.327123690130321</v>
      </c>
      <c r="Q137" s="614">
        <v>49.327123690130321</v>
      </c>
      <c r="R137" s="614">
        <v>49.327123690130321</v>
      </c>
    </row>
    <row r="138" spans="2:18" ht="14.1" x14ac:dyDescent="0.4">
      <c r="B138" s="612">
        <v>2026</v>
      </c>
      <c r="C138" s="614">
        <v>68.100112894931939</v>
      </c>
      <c r="D138" s="614">
        <v>68.100112894931939</v>
      </c>
      <c r="E138" s="614">
        <v>61.366106233369443</v>
      </c>
      <c r="G138" s="614">
        <v>51.565269208172893</v>
      </c>
      <c r="H138" s="614">
        <v>51.565269208172893</v>
      </c>
      <c r="I138" s="614">
        <v>51.565269208172893</v>
      </c>
      <c r="K138" s="612">
        <v>2026</v>
      </c>
      <c r="L138" s="614">
        <v>68.100112894931939</v>
      </c>
      <c r="M138" s="614">
        <v>68.100112894931939</v>
      </c>
      <c r="N138" s="614">
        <v>68.100112894931939</v>
      </c>
      <c r="O138" s="609"/>
      <c r="P138" s="614">
        <v>51.565269208172893</v>
      </c>
      <c r="Q138" s="614">
        <v>51.565269208172893</v>
      </c>
      <c r="R138" s="614">
        <v>51.565269208172893</v>
      </c>
    </row>
    <row r="139" spans="2:18" ht="14.1" x14ac:dyDescent="0.4">
      <c r="B139" s="612">
        <v>2027</v>
      </c>
      <c r="C139" s="614">
        <v>72.599686544155418</v>
      </c>
      <c r="D139" s="614">
        <v>72.599686544155418</v>
      </c>
      <c r="E139" s="614">
        <v>40.927035526691306</v>
      </c>
      <c r="G139" s="614">
        <v>53.779365719005682</v>
      </c>
      <c r="H139" s="614">
        <v>53.779365719005682</v>
      </c>
      <c r="I139" s="614">
        <v>40.927035526691306</v>
      </c>
      <c r="K139" s="612">
        <v>2027</v>
      </c>
      <c r="L139" s="614">
        <v>72.599686544155418</v>
      </c>
      <c r="M139" s="614">
        <v>72.599686544155418</v>
      </c>
      <c r="N139" s="614">
        <v>67.675036254026082</v>
      </c>
      <c r="O139" s="609"/>
      <c r="P139" s="614">
        <v>53.779365719005682</v>
      </c>
      <c r="Q139" s="614">
        <v>53.779365719005682</v>
      </c>
      <c r="R139" s="614">
        <v>53.779365719005682</v>
      </c>
    </row>
    <row r="140" spans="2:18" ht="14.1" x14ac:dyDescent="0.4">
      <c r="B140" s="612">
        <v>2028</v>
      </c>
      <c r="C140" s="614">
        <v>77.140250356915004</v>
      </c>
      <c r="D140" s="614">
        <v>77.140250356915004</v>
      </c>
      <c r="E140" s="614">
        <v>22.205157647442583</v>
      </c>
      <c r="G140" s="614">
        <v>55.969462539469063</v>
      </c>
      <c r="H140" s="614">
        <v>55.969462539469063</v>
      </c>
      <c r="I140" s="614">
        <v>22.205157647442583</v>
      </c>
      <c r="K140" s="612">
        <v>2028</v>
      </c>
      <c r="L140" s="614">
        <v>77.140250356915004</v>
      </c>
      <c r="M140" s="614">
        <v>77.140250356915004</v>
      </c>
      <c r="N140" s="614">
        <v>51.633058286326403</v>
      </c>
      <c r="O140" s="609"/>
      <c r="P140" s="614">
        <v>55.969462539469063</v>
      </c>
      <c r="Q140" s="614">
        <v>55.969462539469063</v>
      </c>
      <c r="R140" s="614">
        <v>51.633058286326403</v>
      </c>
    </row>
    <row r="141" spans="2:18" ht="14.1" x14ac:dyDescent="0.4">
      <c r="B141" s="612">
        <v>2029</v>
      </c>
      <c r="C141" s="614">
        <v>81.707294426274828</v>
      </c>
      <c r="D141" s="614">
        <v>79.587608277057555</v>
      </c>
      <c r="E141" s="614">
        <v>8.557968155218008</v>
      </c>
      <c r="G141" s="614">
        <v>58.135696878401376</v>
      </c>
      <c r="H141" s="614">
        <v>58.135696878401376</v>
      </c>
      <c r="I141" s="614">
        <v>8.557968155218008</v>
      </c>
      <c r="K141" s="612">
        <v>2029</v>
      </c>
      <c r="L141" s="614">
        <v>81.707294426274828</v>
      </c>
      <c r="M141" s="614">
        <v>81.707294426274828</v>
      </c>
      <c r="N141" s="614">
        <v>40.652192216366835</v>
      </c>
      <c r="O141" s="609"/>
      <c r="P141" s="614">
        <v>58.135696878401376</v>
      </c>
      <c r="Q141" s="614">
        <v>58.135696878401376</v>
      </c>
      <c r="R141" s="614">
        <v>40.652192216366835</v>
      </c>
    </row>
    <row r="142" spans="2:18" ht="14.1" x14ac:dyDescent="0.4">
      <c r="B142" s="612">
        <v>2030</v>
      </c>
      <c r="C142" s="614">
        <v>86.286367400519538</v>
      </c>
      <c r="D142" s="614">
        <v>65.119478625174821</v>
      </c>
      <c r="E142" s="614">
        <v>4.4591084581720555</v>
      </c>
      <c r="G142" s="614">
        <v>60.27818525089446</v>
      </c>
      <c r="H142" s="614">
        <v>60.27818525089446</v>
      </c>
      <c r="I142" s="614">
        <v>4.4591084581720555</v>
      </c>
      <c r="K142" s="612">
        <v>2030</v>
      </c>
      <c r="L142" s="614">
        <v>86.286367400519538</v>
      </c>
      <c r="M142" s="614">
        <v>86.286367400519538</v>
      </c>
      <c r="N142" s="614">
        <v>39.110468255136929</v>
      </c>
      <c r="O142" s="609"/>
      <c r="P142" s="614">
        <v>60.27818525089446</v>
      </c>
      <c r="Q142" s="614">
        <v>60.27818525089446</v>
      </c>
      <c r="R142" s="614">
        <v>39.110468255136929</v>
      </c>
    </row>
    <row r="143" spans="2:18" ht="14.1" x14ac:dyDescent="0.4">
      <c r="B143" s="612">
        <v>2031</v>
      </c>
      <c r="C143" s="614">
        <v>90.862998276895667</v>
      </c>
      <c r="D143" s="614">
        <v>49.908168329842702</v>
      </c>
      <c r="E143" s="614">
        <v>0</v>
      </c>
      <c r="G143" s="614">
        <v>62.396968005469226</v>
      </c>
      <c r="H143" s="614">
        <v>49.908168329842702</v>
      </c>
      <c r="I143" s="614">
        <v>0</v>
      </c>
      <c r="K143" s="612">
        <v>2031</v>
      </c>
      <c r="L143" s="614">
        <v>90.862998276895667</v>
      </c>
      <c r="M143" s="614">
        <v>87.174593077993052</v>
      </c>
      <c r="N143" s="614">
        <v>35.997165496616439</v>
      </c>
      <c r="O143" s="609"/>
      <c r="P143" s="614">
        <v>62.396968005469226</v>
      </c>
      <c r="Q143" s="614">
        <v>62.396968005469226</v>
      </c>
      <c r="R143" s="614">
        <v>35.997165496616439</v>
      </c>
    </row>
    <row r="144" spans="2:18" ht="14.1" x14ac:dyDescent="0.4">
      <c r="B144" s="612">
        <v>2032</v>
      </c>
      <c r="C144" s="614">
        <v>95.423100541453977</v>
      </c>
      <c r="D144" s="614">
        <v>34.967652313585589</v>
      </c>
      <c r="E144" s="614">
        <v>0</v>
      </c>
      <c r="G144" s="614">
        <v>64.492293701644826</v>
      </c>
      <c r="H144" s="614">
        <v>34.967652313585589</v>
      </c>
      <c r="I144" s="614">
        <v>0</v>
      </c>
      <c r="K144" s="612">
        <v>2032</v>
      </c>
      <c r="L144" s="614">
        <v>95.423100541453977</v>
      </c>
      <c r="M144" s="614">
        <v>74.720218426150254</v>
      </c>
      <c r="N144" s="614">
        <v>32.735867008577735</v>
      </c>
      <c r="O144" s="609"/>
      <c r="P144" s="614">
        <v>64.492293701644826</v>
      </c>
      <c r="Q144" s="614">
        <v>64.492293701644826</v>
      </c>
      <c r="R144" s="614">
        <v>32.735867008577735</v>
      </c>
    </row>
    <row r="145" spans="2:18" ht="14.1" x14ac:dyDescent="0.4">
      <c r="B145" s="612">
        <v>2033</v>
      </c>
      <c r="C145" s="614">
        <v>94.696250653577181</v>
      </c>
      <c r="D145" s="614">
        <v>19.970710360039988</v>
      </c>
      <c r="E145" s="614">
        <v>0</v>
      </c>
      <c r="G145" s="614">
        <v>66.56496996371942</v>
      </c>
      <c r="H145" s="614">
        <v>19.970710360039988</v>
      </c>
      <c r="I145" s="614">
        <v>0</v>
      </c>
      <c r="K145" s="612">
        <v>2033</v>
      </c>
      <c r="L145" s="614">
        <v>99.953520854905804</v>
      </c>
      <c r="M145" s="614">
        <v>62.121701785580669</v>
      </c>
      <c r="N145" s="614">
        <v>29.162910487590466</v>
      </c>
      <c r="O145" s="609"/>
      <c r="P145" s="614">
        <v>66.56496996371942</v>
      </c>
      <c r="Q145" s="614">
        <v>62.121701785580669</v>
      </c>
      <c r="R145" s="614">
        <v>29.162910487590466</v>
      </c>
    </row>
    <row r="146" spans="2:18" ht="14.1" x14ac:dyDescent="0.4">
      <c r="B146" s="612">
        <v>2034</v>
      </c>
      <c r="C146" s="614">
        <v>84.281703360354783</v>
      </c>
      <c r="D146" s="614">
        <v>5.7017403551625945</v>
      </c>
      <c r="E146" s="614">
        <v>0</v>
      </c>
      <c r="G146" s="614">
        <v>68.616088975991673</v>
      </c>
      <c r="H146" s="614">
        <v>5.7017403551625945</v>
      </c>
      <c r="I146" s="614">
        <v>0</v>
      </c>
      <c r="K146" s="612">
        <v>2034</v>
      </c>
      <c r="L146" s="614">
        <v>104.44168357294357</v>
      </c>
      <c r="M146" s="614">
        <v>50.141676289396777</v>
      </c>
      <c r="N146" s="614">
        <v>25.266554582109503</v>
      </c>
      <c r="O146" s="609"/>
      <c r="P146" s="614">
        <v>68.616088975991673</v>
      </c>
      <c r="Q146" s="614">
        <v>50.141676289396777</v>
      </c>
      <c r="R146" s="614">
        <v>25.266554582109503</v>
      </c>
    </row>
    <row r="147" spans="2:18" ht="14.1" x14ac:dyDescent="0.4">
      <c r="B147" s="612">
        <v>2035</v>
      </c>
      <c r="C147" s="614">
        <v>74.421817381751339</v>
      </c>
      <c r="D147" s="614">
        <v>0</v>
      </c>
      <c r="E147" s="614">
        <v>0</v>
      </c>
      <c r="G147" s="614">
        <v>70.646529676721855</v>
      </c>
      <c r="H147" s="614">
        <v>0</v>
      </c>
      <c r="I147" s="614">
        <v>0</v>
      </c>
      <c r="K147" s="612">
        <v>2035</v>
      </c>
      <c r="L147" s="614">
        <v>108.87485323191225</v>
      </c>
      <c r="M147" s="614">
        <v>39.365653696202564</v>
      </c>
      <c r="N147" s="614">
        <v>20.987437217384656</v>
      </c>
      <c r="O147" s="609"/>
      <c r="P147" s="614">
        <v>70.646529676721855</v>
      </c>
      <c r="Q147" s="614">
        <v>39.365653696202564</v>
      </c>
      <c r="R147" s="614">
        <v>20.987437217384656</v>
      </c>
    </row>
    <row r="148" spans="2:18" ht="14.1" x14ac:dyDescent="0.4">
      <c r="B148" s="612">
        <v>2036</v>
      </c>
      <c r="C148" s="614">
        <v>64.29640922441763</v>
      </c>
      <c r="D148" s="614">
        <v>0</v>
      </c>
      <c r="E148" s="614">
        <v>0</v>
      </c>
      <c r="G148" s="614">
        <v>64.29640922441763</v>
      </c>
      <c r="H148" s="614">
        <v>0</v>
      </c>
      <c r="I148" s="614">
        <v>0</v>
      </c>
      <c r="K148" s="612">
        <v>2036</v>
      </c>
      <c r="L148" s="614">
        <v>112.97781341699439</v>
      </c>
      <c r="M148" s="614">
        <v>29.283846876426487</v>
      </c>
      <c r="N148" s="614">
        <v>16.314501255290928</v>
      </c>
      <c r="O148" s="609"/>
      <c r="P148" s="614">
        <v>72.65684566220294</v>
      </c>
      <c r="Q148" s="614">
        <v>29.283846876426487</v>
      </c>
      <c r="R148" s="614">
        <v>16.314501255290928</v>
      </c>
    </row>
    <row r="149" spans="2:18" ht="14.1" x14ac:dyDescent="0.4">
      <c r="B149" s="612">
        <v>2037</v>
      </c>
      <c r="C149" s="614">
        <v>54.246488485382926</v>
      </c>
      <c r="D149" s="614">
        <v>0</v>
      </c>
      <c r="E149" s="614">
        <v>0</v>
      </c>
      <c r="G149" s="614">
        <v>54.246488485382926</v>
      </c>
      <c r="H149" s="614">
        <v>0</v>
      </c>
      <c r="I149" s="614">
        <v>0</v>
      </c>
      <c r="K149" s="612">
        <v>2037</v>
      </c>
      <c r="L149" s="614">
        <v>104.83628439015737</v>
      </c>
      <c r="M149" s="614">
        <v>19.64832081019663</v>
      </c>
      <c r="N149" s="614">
        <v>11.231909020864583</v>
      </c>
      <c r="O149" s="609"/>
      <c r="P149" s="614">
        <v>74.647039483918121</v>
      </c>
      <c r="Q149" s="614">
        <v>19.64832081019663</v>
      </c>
      <c r="R149" s="614">
        <v>11.231909020864583</v>
      </c>
    </row>
    <row r="150" spans="2:18" ht="14.1" x14ac:dyDescent="0.4">
      <c r="B150" s="612">
        <v>2038</v>
      </c>
      <c r="C150" s="614">
        <v>44.508006007394641</v>
      </c>
      <c r="D150" s="614">
        <v>0</v>
      </c>
      <c r="E150" s="614">
        <v>0</v>
      </c>
      <c r="G150" s="614">
        <v>44.508006007394641</v>
      </c>
      <c r="H150" s="614">
        <v>0</v>
      </c>
      <c r="I150" s="614">
        <v>0</v>
      </c>
      <c r="K150" s="612">
        <v>2038</v>
      </c>
      <c r="L150" s="614">
        <v>96.859979485873097</v>
      </c>
      <c r="M150" s="614">
        <v>9.9403338879277126</v>
      </c>
      <c r="N150" s="614">
        <v>5.6864605165605582</v>
      </c>
      <c r="O150" s="609"/>
      <c r="P150" s="614">
        <v>76.616742697757715</v>
      </c>
      <c r="Q150" s="614">
        <v>9.9403338879277126</v>
      </c>
      <c r="R150" s="614">
        <v>5.6864605165605582</v>
      </c>
    </row>
    <row r="151" spans="2:18" ht="14.1" x14ac:dyDescent="0.4">
      <c r="B151" s="612">
        <v>2039</v>
      </c>
      <c r="C151" s="614">
        <v>35.55399534105166</v>
      </c>
      <c r="D151" s="614">
        <v>0</v>
      </c>
      <c r="E151" s="614">
        <v>0</v>
      </c>
      <c r="G151" s="614">
        <v>35.55399534105166</v>
      </c>
      <c r="H151" s="614">
        <v>0</v>
      </c>
      <c r="I151" s="614">
        <v>0</v>
      </c>
      <c r="K151" s="612">
        <v>2039</v>
      </c>
      <c r="L151" s="614">
        <v>89.538581346453626</v>
      </c>
      <c r="M151" s="614">
        <v>0</v>
      </c>
      <c r="N151" s="614">
        <v>0</v>
      </c>
      <c r="O151" s="609"/>
      <c r="P151" s="614">
        <v>78.565217974731738</v>
      </c>
      <c r="Q151" s="614">
        <v>0</v>
      </c>
      <c r="R151" s="614">
        <v>0</v>
      </c>
    </row>
    <row r="152" spans="2:18" ht="14.1" x14ac:dyDescent="0.4">
      <c r="B152" s="612">
        <v>2040</v>
      </c>
      <c r="C152" s="614">
        <v>26.053832100882342</v>
      </c>
      <c r="D152" s="614">
        <v>0</v>
      </c>
      <c r="E152" s="614">
        <v>0</v>
      </c>
      <c r="G152" s="614">
        <v>26.053832100882342</v>
      </c>
      <c r="H152" s="614">
        <v>0</v>
      </c>
      <c r="I152" s="614">
        <v>0</v>
      </c>
      <c r="K152" s="612">
        <v>2040</v>
      </c>
      <c r="L152" s="614">
        <v>81.704778147554251</v>
      </c>
      <c r="M152" s="614">
        <v>0</v>
      </c>
      <c r="N152" s="614">
        <v>0</v>
      </c>
      <c r="O152" s="609"/>
      <c r="P152" s="614">
        <v>80.491856043560162</v>
      </c>
      <c r="Q152" s="614">
        <v>0</v>
      </c>
      <c r="R152" s="614">
        <v>0</v>
      </c>
    </row>
    <row r="153" spans="2:18" ht="14.1" x14ac:dyDescent="0.4">
      <c r="B153" s="612">
        <v>2041</v>
      </c>
      <c r="C153" s="614">
        <v>18.007236718506022</v>
      </c>
      <c r="D153" s="614">
        <v>0</v>
      </c>
      <c r="E153" s="614">
        <v>0</v>
      </c>
      <c r="G153" s="614">
        <v>18.007236718506022</v>
      </c>
      <c r="H153" s="614">
        <v>0</v>
      </c>
      <c r="I153" s="614">
        <v>0</v>
      </c>
      <c r="K153" s="612">
        <v>2041</v>
      </c>
      <c r="L153" s="614">
        <v>74.72078394267389</v>
      </c>
      <c r="M153" s="614">
        <v>0</v>
      </c>
      <c r="N153" s="614">
        <v>0</v>
      </c>
      <c r="O153" s="609"/>
      <c r="P153" s="614">
        <v>74.72078394267389</v>
      </c>
      <c r="Q153" s="614">
        <v>0</v>
      </c>
      <c r="R153" s="614">
        <v>0</v>
      </c>
    </row>
    <row r="154" spans="2:18" ht="14.1" x14ac:dyDescent="0.4">
      <c r="B154" s="612">
        <v>2042</v>
      </c>
      <c r="C154" s="614">
        <v>9.3326949870325642</v>
      </c>
      <c r="D154" s="614">
        <v>0</v>
      </c>
      <c r="E154" s="614">
        <v>0</v>
      </c>
      <c r="G154" s="614">
        <v>9.3326949870325642</v>
      </c>
      <c r="H154" s="614">
        <v>0</v>
      </c>
      <c r="I154" s="614">
        <v>0</v>
      </c>
      <c r="K154" s="612">
        <v>2042</v>
      </c>
      <c r="L154" s="614">
        <v>67.104913183403056</v>
      </c>
      <c r="M154" s="614">
        <v>0</v>
      </c>
      <c r="N154" s="614">
        <v>0</v>
      </c>
      <c r="O154" s="609"/>
      <c r="P154" s="614">
        <v>67.104913183403056</v>
      </c>
      <c r="Q154" s="614">
        <v>0</v>
      </c>
      <c r="R154" s="614">
        <v>0</v>
      </c>
    </row>
    <row r="155" spans="2:18" ht="14.1" x14ac:dyDescent="0.4">
      <c r="B155" s="612">
        <v>2043</v>
      </c>
      <c r="C155" s="614">
        <v>0.86106544127762796</v>
      </c>
      <c r="D155" s="614">
        <v>0</v>
      </c>
      <c r="E155" s="614">
        <v>0</v>
      </c>
      <c r="G155" s="614">
        <v>0.86106544127762796</v>
      </c>
      <c r="H155" s="614">
        <v>0</v>
      </c>
      <c r="I155" s="614">
        <v>0</v>
      </c>
      <c r="K155" s="612">
        <v>2043</v>
      </c>
      <c r="L155" s="614">
        <v>59.477817312372011</v>
      </c>
      <c r="M155" s="614">
        <v>0</v>
      </c>
      <c r="N155" s="614">
        <v>0</v>
      </c>
      <c r="O155" s="609"/>
      <c r="P155" s="614">
        <v>59.477817312372011</v>
      </c>
      <c r="Q155" s="614">
        <v>0</v>
      </c>
      <c r="R155" s="614">
        <v>0</v>
      </c>
    </row>
    <row r="156" spans="2:18" ht="14.1" x14ac:dyDescent="0.4">
      <c r="B156" s="612">
        <v>2044</v>
      </c>
      <c r="C156" s="614">
        <v>0</v>
      </c>
      <c r="D156" s="614">
        <v>0</v>
      </c>
      <c r="E156" s="614">
        <v>0</v>
      </c>
      <c r="G156" s="614">
        <v>0</v>
      </c>
      <c r="H156" s="614">
        <v>0</v>
      </c>
      <c r="I156" s="614">
        <v>0</v>
      </c>
      <c r="K156" s="612">
        <v>2044</v>
      </c>
      <c r="L156" s="614">
        <v>51.856220532141876</v>
      </c>
      <c r="M156" s="614">
        <v>0</v>
      </c>
      <c r="N156" s="614">
        <v>0</v>
      </c>
      <c r="O156" s="609"/>
      <c r="P156" s="614">
        <v>51.856220532141876</v>
      </c>
      <c r="Q156" s="614">
        <v>0</v>
      </c>
      <c r="R156" s="614">
        <v>0</v>
      </c>
    </row>
    <row r="157" spans="2:18" ht="14.1" x14ac:dyDescent="0.4">
      <c r="B157" s="612">
        <v>2045</v>
      </c>
      <c r="C157" s="614">
        <v>0</v>
      </c>
      <c r="D157" s="614">
        <v>0</v>
      </c>
      <c r="E157" s="614">
        <v>0</v>
      </c>
      <c r="G157" s="614">
        <v>0</v>
      </c>
      <c r="H157" s="614">
        <v>0</v>
      </c>
      <c r="I157" s="614">
        <v>0</v>
      </c>
      <c r="K157" s="612">
        <v>2045</v>
      </c>
      <c r="L157" s="614">
        <v>44.270701437693177</v>
      </c>
      <c r="M157" s="614">
        <v>0</v>
      </c>
      <c r="N157" s="614">
        <v>0</v>
      </c>
      <c r="O157" s="609"/>
      <c r="P157" s="614">
        <v>44.270701437693177</v>
      </c>
      <c r="Q157" s="614">
        <v>0</v>
      </c>
      <c r="R157" s="614">
        <v>0</v>
      </c>
    </row>
    <row r="158" spans="2:18" ht="14.1" x14ac:dyDescent="0.4">
      <c r="B158" s="612">
        <v>2046</v>
      </c>
      <c r="C158" s="614">
        <v>0</v>
      </c>
      <c r="D158" s="614">
        <v>0</v>
      </c>
      <c r="E158" s="614">
        <v>0</v>
      </c>
      <c r="G158" s="614">
        <v>0</v>
      </c>
      <c r="H158" s="614">
        <v>0</v>
      </c>
      <c r="I158" s="614">
        <v>0</v>
      </c>
      <c r="K158" s="612">
        <v>2046</v>
      </c>
      <c r="L158" s="614">
        <v>36.690652163371034</v>
      </c>
      <c r="M158" s="614">
        <v>0</v>
      </c>
      <c r="N158" s="614">
        <v>0</v>
      </c>
      <c r="O158" s="609"/>
      <c r="P158" s="614">
        <v>36.690652163371034</v>
      </c>
      <c r="Q158" s="614">
        <v>0</v>
      </c>
      <c r="R158" s="614">
        <v>0</v>
      </c>
    </row>
    <row r="159" spans="2:18" ht="14.1" x14ac:dyDescent="0.4">
      <c r="B159" s="612">
        <v>2047</v>
      </c>
      <c r="C159" s="614">
        <v>0</v>
      </c>
      <c r="D159" s="614">
        <v>0</v>
      </c>
      <c r="E159" s="614">
        <v>0</v>
      </c>
      <c r="G159" s="614">
        <v>0</v>
      </c>
      <c r="H159" s="614">
        <v>0</v>
      </c>
      <c r="I159" s="614">
        <v>0</v>
      </c>
      <c r="K159" s="612">
        <v>2047</v>
      </c>
      <c r="L159" s="614">
        <v>29.143621277461115</v>
      </c>
      <c r="M159" s="614">
        <v>0</v>
      </c>
      <c r="N159" s="614">
        <v>0</v>
      </c>
      <c r="O159" s="609"/>
      <c r="P159" s="614">
        <v>29.143621277461115</v>
      </c>
      <c r="Q159" s="614">
        <v>0</v>
      </c>
      <c r="R159" s="614">
        <v>0</v>
      </c>
    </row>
    <row r="160" spans="2:18" ht="14.1" x14ac:dyDescent="0.4">
      <c r="B160" s="612">
        <v>2048</v>
      </c>
      <c r="C160" s="614">
        <v>0</v>
      </c>
      <c r="D160" s="614">
        <v>0</v>
      </c>
      <c r="E160" s="614">
        <v>0</v>
      </c>
      <c r="G160" s="614">
        <v>0</v>
      </c>
      <c r="H160" s="614">
        <v>0</v>
      </c>
      <c r="I160" s="614">
        <v>0</v>
      </c>
      <c r="K160" s="612">
        <v>2048</v>
      </c>
      <c r="L160" s="614">
        <v>21.664876206678596</v>
      </c>
      <c r="M160" s="614">
        <v>0</v>
      </c>
      <c r="N160" s="614">
        <v>0</v>
      </c>
      <c r="O160" s="609"/>
      <c r="P160" s="614">
        <v>21.664876206678596</v>
      </c>
      <c r="Q160" s="614">
        <v>0</v>
      </c>
      <c r="R160" s="614">
        <v>0</v>
      </c>
    </row>
    <row r="161" spans="2:18" ht="14.1" x14ac:dyDescent="0.4">
      <c r="B161" s="612">
        <v>2049</v>
      </c>
      <c r="C161" s="614">
        <v>0</v>
      </c>
      <c r="D161" s="614">
        <v>0</v>
      </c>
      <c r="E161" s="614">
        <v>0</v>
      </c>
      <c r="G161" s="614">
        <v>0</v>
      </c>
      <c r="H161" s="614">
        <v>0</v>
      </c>
      <c r="I161" s="614">
        <v>0</v>
      </c>
      <c r="K161" s="612">
        <v>2049</v>
      </c>
      <c r="L161" s="614">
        <v>14.285633998938188</v>
      </c>
      <c r="M161" s="614">
        <v>0</v>
      </c>
      <c r="N161" s="614">
        <v>0</v>
      </c>
      <c r="O161" s="609"/>
      <c r="P161" s="614">
        <v>14.285633998938188</v>
      </c>
      <c r="Q161" s="614">
        <v>0</v>
      </c>
      <c r="R161" s="614">
        <v>0</v>
      </c>
    </row>
    <row r="162" spans="2:18" ht="14.1" x14ac:dyDescent="0.4">
      <c r="B162" s="612">
        <v>2050</v>
      </c>
      <c r="C162" s="614">
        <v>0</v>
      </c>
      <c r="D162" s="614">
        <v>0</v>
      </c>
      <c r="E162" s="614">
        <v>0</v>
      </c>
      <c r="G162" s="614">
        <v>0</v>
      </c>
      <c r="H162" s="614">
        <v>0</v>
      </c>
      <c r="I162" s="614">
        <v>0</v>
      </c>
      <c r="K162" s="612">
        <v>2050</v>
      </c>
      <c r="L162" s="614">
        <v>6.9780135499994689</v>
      </c>
      <c r="M162" s="614">
        <v>0</v>
      </c>
      <c r="N162" s="614">
        <v>0</v>
      </c>
      <c r="O162" s="609"/>
      <c r="P162" s="614">
        <v>6.9780135499994689</v>
      </c>
      <c r="Q162" s="614">
        <v>0</v>
      </c>
      <c r="R162" s="614">
        <v>0</v>
      </c>
    </row>
    <row r="163" spans="2:18" ht="14.1" x14ac:dyDescent="0.4">
      <c r="B163" s="612">
        <v>2051</v>
      </c>
      <c r="C163" s="614">
        <v>0</v>
      </c>
      <c r="D163" s="614">
        <v>0</v>
      </c>
      <c r="E163" s="614">
        <v>0</v>
      </c>
      <c r="G163" s="614">
        <v>0</v>
      </c>
      <c r="H163" s="614">
        <v>0</v>
      </c>
      <c r="I163" s="614">
        <v>0</v>
      </c>
      <c r="K163" s="612">
        <v>2051</v>
      </c>
      <c r="L163" s="614">
        <v>4.5150388808084401</v>
      </c>
      <c r="M163" s="614">
        <v>0</v>
      </c>
      <c r="N163" s="614">
        <v>0</v>
      </c>
      <c r="O163" s="609"/>
      <c r="P163" s="614">
        <v>4.5150388808084401</v>
      </c>
      <c r="Q163" s="614">
        <v>0</v>
      </c>
      <c r="R163" s="614">
        <v>0</v>
      </c>
    </row>
    <row r="164" spans="2:18" ht="14.1" x14ac:dyDescent="0.4">
      <c r="B164" s="612">
        <v>2052</v>
      </c>
      <c r="C164" s="614">
        <v>0</v>
      </c>
      <c r="D164" s="614">
        <v>0</v>
      </c>
      <c r="E164" s="614">
        <v>0</v>
      </c>
      <c r="G164" s="614">
        <v>0</v>
      </c>
      <c r="H164" s="614">
        <v>0</v>
      </c>
      <c r="I164" s="614">
        <v>0</v>
      </c>
      <c r="K164" s="612">
        <v>2052</v>
      </c>
      <c r="L164" s="614">
        <v>1.8435415100130625</v>
      </c>
      <c r="M164" s="614">
        <v>0</v>
      </c>
      <c r="N164" s="614">
        <v>0</v>
      </c>
      <c r="O164" s="609"/>
      <c r="P164" s="614">
        <v>1.8435415100130625</v>
      </c>
      <c r="Q164" s="614">
        <v>0</v>
      </c>
      <c r="R164" s="614">
        <v>0</v>
      </c>
    </row>
    <row r="165" spans="2:18" ht="14.1" x14ac:dyDescent="0.4">
      <c r="B165" s="612">
        <v>2053</v>
      </c>
      <c r="C165" s="614">
        <v>0</v>
      </c>
      <c r="D165" s="614">
        <v>0</v>
      </c>
      <c r="E165" s="614">
        <v>0</v>
      </c>
      <c r="G165" s="614">
        <v>0</v>
      </c>
      <c r="H165" s="614">
        <v>0</v>
      </c>
      <c r="I165" s="614">
        <v>0</v>
      </c>
      <c r="K165" s="612">
        <v>2053</v>
      </c>
      <c r="L165" s="614">
        <v>0</v>
      </c>
      <c r="M165" s="614">
        <v>0</v>
      </c>
      <c r="N165" s="614">
        <v>0</v>
      </c>
      <c r="O165" s="609"/>
      <c r="P165" s="614">
        <v>0</v>
      </c>
      <c r="Q165" s="614">
        <v>0</v>
      </c>
      <c r="R165" s="614">
        <v>0</v>
      </c>
    </row>
    <row r="166" spans="2:18" ht="14.1" x14ac:dyDescent="0.4">
      <c r="B166" s="612">
        <v>2054</v>
      </c>
      <c r="C166" s="614">
        <v>0</v>
      </c>
      <c r="D166" s="614">
        <v>0</v>
      </c>
      <c r="E166" s="614">
        <v>0</v>
      </c>
      <c r="G166" s="614">
        <v>0</v>
      </c>
      <c r="H166" s="614">
        <v>0</v>
      </c>
      <c r="I166" s="614">
        <v>0</v>
      </c>
      <c r="K166" s="612">
        <v>2054</v>
      </c>
      <c r="L166" s="614">
        <v>0</v>
      </c>
      <c r="M166" s="614">
        <v>0</v>
      </c>
      <c r="N166" s="614">
        <v>0</v>
      </c>
      <c r="O166" s="609"/>
      <c r="P166" s="614">
        <v>0</v>
      </c>
      <c r="Q166" s="614">
        <v>0</v>
      </c>
      <c r="R166" s="614">
        <v>0</v>
      </c>
    </row>
    <row r="167" spans="2:18" ht="14.1" x14ac:dyDescent="0.4">
      <c r="B167" s="612">
        <v>2055</v>
      </c>
      <c r="C167" s="614">
        <v>0</v>
      </c>
      <c r="D167" s="614">
        <v>0</v>
      </c>
      <c r="E167" s="614">
        <v>0</v>
      </c>
      <c r="G167" s="614">
        <v>0</v>
      </c>
      <c r="H167" s="614">
        <v>0</v>
      </c>
      <c r="I167" s="614">
        <v>0</v>
      </c>
      <c r="K167" s="612">
        <v>2055</v>
      </c>
      <c r="L167" s="614">
        <v>0</v>
      </c>
      <c r="M167" s="614">
        <v>0</v>
      </c>
      <c r="N167" s="614">
        <v>0</v>
      </c>
      <c r="O167" s="609"/>
      <c r="P167" s="614">
        <v>0</v>
      </c>
      <c r="Q167" s="614">
        <v>0</v>
      </c>
      <c r="R167" s="614">
        <v>0</v>
      </c>
    </row>
    <row r="168" spans="2:18" ht="14.1" x14ac:dyDescent="0.4">
      <c r="B168" s="612">
        <v>2056</v>
      </c>
      <c r="C168" s="614">
        <v>0</v>
      </c>
      <c r="D168" s="614">
        <v>0</v>
      </c>
      <c r="E168" s="614">
        <v>0</v>
      </c>
      <c r="G168" s="614">
        <v>0</v>
      </c>
      <c r="H168" s="614">
        <v>0</v>
      </c>
      <c r="I168" s="614">
        <v>0</v>
      </c>
      <c r="K168" s="612">
        <v>2056</v>
      </c>
      <c r="L168" s="614">
        <v>0</v>
      </c>
      <c r="M168" s="614">
        <v>0</v>
      </c>
      <c r="N168" s="614">
        <v>0</v>
      </c>
      <c r="O168" s="609"/>
      <c r="P168" s="614">
        <v>0</v>
      </c>
      <c r="Q168" s="614">
        <v>0</v>
      </c>
      <c r="R168" s="614">
        <v>0</v>
      </c>
    </row>
    <row r="169" spans="2:18" ht="14.1" x14ac:dyDescent="0.4">
      <c r="B169" s="612">
        <v>2057</v>
      </c>
      <c r="C169" s="614">
        <v>0</v>
      </c>
      <c r="D169" s="614">
        <v>0</v>
      </c>
      <c r="E169" s="614">
        <v>0</v>
      </c>
      <c r="G169" s="614">
        <v>0</v>
      </c>
      <c r="H169" s="614">
        <v>0</v>
      </c>
      <c r="I169" s="614">
        <v>0</v>
      </c>
      <c r="K169" s="612">
        <v>2057</v>
      </c>
      <c r="L169" s="614">
        <v>0</v>
      </c>
      <c r="M169" s="614">
        <v>0</v>
      </c>
      <c r="N169" s="614">
        <v>0</v>
      </c>
      <c r="O169" s="609"/>
      <c r="P169" s="614">
        <v>0</v>
      </c>
      <c r="Q169" s="614">
        <v>0</v>
      </c>
      <c r="R169" s="614">
        <v>0</v>
      </c>
    </row>
    <row r="170" spans="2:18" ht="14.1" x14ac:dyDescent="0.4">
      <c r="B170" s="612">
        <v>2058</v>
      </c>
      <c r="C170" s="614">
        <v>0</v>
      </c>
      <c r="D170" s="614">
        <v>0</v>
      </c>
      <c r="E170" s="614">
        <v>0</v>
      </c>
      <c r="G170" s="614">
        <v>0</v>
      </c>
      <c r="H170" s="614">
        <v>0</v>
      </c>
      <c r="I170" s="614">
        <v>0</v>
      </c>
      <c r="K170" s="612">
        <v>2058</v>
      </c>
      <c r="L170" s="614">
        <v>0</v>
      </c>
      <c r="M170" s="614">
        <v>0</v>
      </c>
      <c r="N170" s="614">
        <v>0</v>
      </c>
      <c r="O170" s="609"/>
      <c r="P170" s="614">
        <v>0</v>
      </c>
      <c r="Q170" s="614">
        <v>0</v>
      </c>
      <c r="R170" s="614">
        <v>0</v>
      </c>
    </row>
    <row r="171" spans="2:18" ht="14.1" x14ac:dyDescent="0.4">
      <c r="B171" s="612">
        <v>2059</v>
      </c>
      <c r="C171" s="614">
        <v>0</v>
      </c>
      <c r="D171" s="614">
        <v>0</v>
      </c>
      <c r="E171" s="614">
        <v>0</v>
      </c>
      <c r="G171" s="614">
        <v>0</v>
      </c>
      <c r="H171" s="614">
        <v>0</v>
      </c>
      <c r="I171" s="614">
        <v>0</v>
      </c>
      <c r="K171" s="612">
        <v>2059</v>
      </c>
      <c r="L171" s="614">
        <v>0</v>
      </c>
      <c r="M171" s="614">
        <v>0</v>
      </c>
      <c r="N171" s="614">
        <v>0</v>
      </c>
      <c r="O171" s="609"/>
      <c r="P171" s="614">
        <v>0</v>
      </c>
      <c r="Q171" s="614">
        <v>0</v>
      </c>
      <c r="R171" s="614">
        <v>0</v>
      </c>
    </row>
    <row r="172" spans="2:18" ht="14.1" x14ac:dyDescent="0.4">
      <c r="B172" s="612">
        <v>2060</v>
      </c>
      <c r="C172" s="614">
        <v>0</v>
      </c>
      <c r="D172" s="614">
        <v>0</v>
      </c>
      <c r="E172" s="614">
        <v>0</v>
      </c>
      <c r="G172" s="614">
        <v>0</v>
      </c>
      <c r="H172" s="614">
        <v>0</v>
      </c>
      <c r="I172" s="614">
        <v>0</v>
      </c>
      <c r="K172" s="612">
        <v>2060</v>
      </c>
      <c r="L172" s="614">
        <v>0</v>
      </c>
      <c r="M172" s="614">
        <v>0</v>
      </c>
      <c r="N172" s="614">
        <v>0</v>
      </c>
      <c r="O172" s="609"/>
      <c r="P172" s="614">
        <v>0</v>
      </c>
      <c r="Q172" s="614">
        <v>0</v>
      </c>
      <c r="R172" s="614">
        <v>0</v>
      </c>
    </row>
    <row r="184" spans="1:13" ht="17.399999999999999" x14ac:dyDescent="0.55000000000000004">
      <c r="A184" s="1229" t="s">
        <v>1128</v>
      </c>
    </row>
    <row r="188" spans="1:13" ht="15" x14ac:dyDescent="0.5">
      <c r="B188" s="1241" t="s">
        <v>424</v>
      </c>
      <c r="C188" s="1242" t="s">
        <v>420</v>
      </c>
      <c r="E188" s="1242" t="s">
        <v>420</v>
      </c>
      <c r="G188" s="1242" t="s">
        <v>1129</v>
      </c>
      <c r="I188" s="1242" t="s">
        <v>1129</v>
      </c>
      <c r="K188" s="1242" t="s">
        <v>420</v>
      </c>
      <c r="M188" s="1242" t="s">
        <v>1129</v>
      </c>
    </row>
    <row r="189" spans="1:13" x14ac:dyDescent="0.4">
      <c r="C189" s="1242" t="s">
        <v>402</v>
      </c>
      <c r="D189" s="618" t="s">
        <v>422</v>
      </c>
      <c r="E189" s="1242" t="s">
        <v>423</v>
      </c>
      <c r="F189" s="618" t="s">
        <v>431</v>
      </c>
      <c r="G189" s="1242" t="s">
        <v>423</v>
      </c>
      <c r="H189" s="619" t="s">
        <v>426</v>
      </c>
      <c r="I189" s="1242" t="s">
        <v>402</v>
      </c>
      <c r="J189" s="618" t="s">
        <v>422</v>
      </c>
      <c r="K189" s="1242" t="s">
        <v>423</v>
      </c>
      <c r="L189" s="618" t="s">
        <v>425</v>
      </c>
      <c r="M189" s="1242" t="s">
        <v>423</v>
      </c>
    </row>
    <row r="190" spans="1:13" x14ac:dyDescent="0.4">
      <c r="B190" s="609">
        <f t="shared" ref="B190:B236" si="0">B11</f>
        <v>2014</v>
      </c>
      <c r="C190" s="615">
        <v>76.323108000000005</v>
      </c>
      <c r="E190" s="1224">
        <f>C126</f>
        <v>23.802159959999997</v>
      </c>
      <c r="F190" s="609"/>
      <c r="G190" s="1224">
        <f>G126</f>
        <v>23.802159959999997</v>
      </c>
      <c r="I190" s="615">
        <v>76.323108000000005</v>
      </c>
      <c r="K190" s="1224">
        <f>L126</f>
        <v>23.802159959999997</v>
      </c>
      <c r="M190" s="1224">
        <f>P126</f>
        <v>23.802159959999997</v>
      </c>
    </row>
    <row r="191" spans="1:13" x14ac:dyDescent="0.4">
      <c r="B191" s="609">
        <f t="shared" si="0"/>
        <v>2015</v>
      </c>
      <c r="C191" s="615">
        <v>80.232839999999996</v>
      </c>
      <c r="E191" s="1224">
        <f t="shared" ref="E191:E236" si="1">C127</f>
        <v>25.0214508</v>
      </c>
      <c r="F191" s="609"/>
      <c r="G191" s="1224">
        <f t="shared" ref="G191:G236" si="2">G127</f>
        <v>25.0214508</v>
      </c>
      <c r="I191" s="615">
        <v>80.232839999999996</v>
      </c>
      <c r="K191" s="1224">
        <f t="shared" ref="K191:K236" si="3">L127</f>
        <v>25.0214508</v>
      </c>
      <c r="L191" s="609"/>
      <c r="M191" s="1224">
        <f t="shared" ref="M191:M236" si="4">P127</f>
        <v>25.0214508</v>
      </c>
    </row>
    <row r="192" spans="1:13" x14ac:dyDescent="0.4">
      <c r="B192" s="609">
        <f t="shared" si="0"/>
        <v>2016</v>
      </c>
      <c r="C192" s="615">
        <v>83.422407999999976</v>
      </c>
      <c r="E192" s="1224">
        <f t="shared" si="1"/>
        <v>26.016150959999997</v>
      </c>
      <c r="F192" s="609"/>
      <c r="G192" s="1224">
        <f t="shared" si="2"/>
        <v>26.016150960000001</v>
      </c>
      <c r="I192" s="615">
        <v>83.422407999999976</v>
      </c>
      <c r="K192" s="1224">
        <f t="shared" si="3"/>
        <v>26.016150959999997</v>
      </c>
      <c r="L192" s="609"/>
      <c r="M192" s="1224">
        <f t="shared" si="4"/>
        <v>26.016150960000001</v>
      </c>
    </row>
    <row r="193" spans="1:13" ht="32.700000000000003" x14ac:dyDescent="1.05">
      <c r="A193" s="613" t="s">
        <v>419</v>
      </c>
      <c r="B193" s="609">
        <f t="shared" si="0"/>
        <v>2017</v>
      </c>
      <c r="C193" s="615">
        <v>85.207939999999994</v>
      </c>
      <c r="E193" s="1224">
        <f t="shared" si="1"/>
        <v>26.572987800000003</v>
      </c>
      <c r="F193" s="609"/>
      <c r="G193" s="1224">
        <f t="shared" si="2"/>
        <v>26.572987800000003</v>
      </c>
      <c r="I193" s="615">
        <v>85.207939999999994</v>
      </c>
      <c r="K193" s="1224">
        <f t="shared" si="3"/>
        <v>26.572987800000003</v>
      </c>
      <c r="L193" s="609"/>
      <c r="M193" s="1224">
        <f t="shared" si="4"/>
        <v>26.572987800000003</v>
      </c>
    </row>
    <row r="194" spans="1:13" ht="17.7" x14ac:dyDescent="0.6">
      <c r="A194" s="620" t="s">
        <v>404</v>
      </c>
      <c r="B194" s="609">
        <f t="shared" si="0"/>
        <v>2018</v>
      </c>
      <c r="C194" s="615">
        <v>86.215309599999983</v>
      </c>
      <c r="E194" s="1224">
        <f t="shared" si="1"/>
        <v>26.887146552000008</v>
      </c>
      <c r="F194" s="609"/>
      <c r="G194" s="1224">
        <f t="shared" si="2"/>
        <v>26.887146552000008</v>
      </c>
      <c r="I194" s="615">
        <v>86.215309599999983</v>
      </c>
      <c r="K194" s="1224">
        <f t="shared" si="3"/>
        <v>26.887146552000008</v>
      </c>
      <c r="L194" s="609"/>
      <c r="M194" s="1224">
        <f t="shared" si="4"/>
        <v>26.887146552000008</v>
      </c>
    </row>
    <row r="195" spans="1:13" x14ac:dyDescent="0.4">
      <c r="A195" s="609" t="s">
        <v>421</v>
      </c>
      <c r="B195" s="609">
        <f t="shared" si="0"/>
        <v>2019</v>
      </c>
      <c r="C195" s="615">
        <v>129.37856472251593</v>
      </c>
      <c r="E195" s="1224">
        <f t="shared" si="1"/>
        <v>38.983440300426977</v>
      </c>
      <c r="F195" s="609"/>
      <c r="G195" s="1224">
        <f t="shared" si="2"/>
        <v>35.379666328291968</v>
      </c>
      <c r="I195" s="615">
        <v>113.44710306611145</v>
      </c>
      <c r="K195" s="1224">
        <f t="shared" si="3"/>
        <v>38.983440300426977</v>
      </c>
      <c r="L195" s="609"/>
      <c r="M195" s="1224">
        <f t="shared" si="4"/>
        <v>35.379666328291968</v>
      </c>
    </row>
    <row r="196" spans="1:13" x14ac:dyDescent="0.4">
      <c r="B196" s="609">
        <f t="shared" si="0"/>
        <v>2020</v>
      </c>
      <c r="C196" s="615">
        <v>144.0416802970156</v>
      </c>
      <c r="E196" s="1224">
        <f t="shared" si="1"/>
        <v>42.798705434678645</v>
      </c>
      <c r="F196" s="609"/>
      <c r="G196" s="1224">
        <f t="shared" si="2"/>
        <v>37.779549996075865</v>
      </c>
      <c r="I196" s="615">
        <v>121.14247948033274</v>
      </c>
      <c r="K196" s="1224">
        <f t="shared" si="3"/>
        <v>42.798705434678645</v>
      </c>
      <c r="L196" s="609"/>
      <c r="M196" s="1224">
        <f t="shared" si="4"/>
        <v>37.779549996075865</v>
      </c>
    </row>
    <row r="197" spans="1:13" x14ac:dyDescent="0.4">
      <c r="B197" s="609">
        <f t="shared" si="0"/>
        <v>2021</v>
      </c>
      <c r="C197" s="615">
        <v>157.62642664569816</v>
      </c>
      <c r="E197" s="1224">
        <f t="shared" si="1"/>
        <v>46.736252265010435</v>
      </c>
      <c r="F197" s="609"/>
      <c r="G197" s="1224">
        <f t="shared" si="2"/>
        <v>40.134486518956166</v>
      </c>
      <c r="I197" s="615">
        <v>128.6937300756984</v>
      </c>
      <c r="K197" s="1224">
        <f t="shared" si="3"/>
        <v>46.736252265010435</v>
      </c>
      <c r="L197" s="609"/>
      <c r="M197" s="1224">
        <f t="shared" si="4"/>
        <v>40.134486518956166</v>
      </c>
    </row>
    <row r="198" spans="1:13" x14ac:dyDescent="0.4">
      <c r="B198" s="609">
        <f t="shared" si="0"/>
        <v>2022</v>
      </c>
      <c r="C198" s="615">
        <v>172.06861478672792</v>
      </c>
      <c r="E198" s="1224">
        <f t="shared" si="1"/>
        <v>50.806377378688339</v>
      </c>
      <c r="F198" s="609"/>
      <c r="G198" s="1224">
        <f t="shared" si="2"/>
        <v>42.467287212187713</v>
      </c>
      <c r="I198" s="615">
        <v>136.17400075496437</v>
      </c>
      <c r="K198" s="1224">
        <f t="shared" si="3"/>
        <v>50.806377378688339</v>
      </c>
      <c r="L198" s="609"/>
      <c r="M198" s="1224">
        <f t="shared" si="4"/>
        <v>42.467287212187713</v>
      </c>
    </row>
    <row r="199" spans="1:13" x14ac:dyDescent="0.4">
      <c r="B199" s="609">
        <f t="shared" si="0"/>
        <v>2023</v>
      </c>
      <c r="C199" s="615">
        <v>186.69853638922703</v>
      </c>
      <c r="E199" s="1224">
        <f t="shared" si="1"/>
        <v>54.993820099953695</v>
      </c>
      <c r="F199" s="609"/>
      <c r="G199" s="1224">
        <f t="shared" si="2"/>
        <v>44.777644097613653</v>
      </c>
      <c r="I199" s="615">
        <v>143.58230396699383</v>
      </c>
      <c r="K199" s="1224">
        <f t="shared" si="3"/>
        <v>54.993820099953695</v>
      </c>
      <c r="L199" s="609"/>
      <c r="M199" s="1224">
        <f t="shared" si="4"/>
        <v>44.777644097613653</v>
      </c>
    </row>
    <row r="200" spans="1:13" x14ac:dyDescent="0.4">
      <c r="B200" s="609">
        <f t="shared" si="0"/>
        <v>2024</v>
      </c>
      <c r="C200" s="615">
        <v>201.47341938957669</v>
      </c>
      <c r="E200" s="1224">
        <f t="shared" si="1"/>
        <v>59.282446062561277</v>
      </c>
      <c r="F200" s="609"/>
      <c r="G200" s="1224">
        <f t="shared" si="2"/>
        <v>47.064543134140642</v>
      </c>
      <c r="I200" s="615">
        <v>150.91538812587979</v>
      </c>
      <c r="K200" s="1224">
        <f t="shared" si="3"/>
        <v>59.282446062561277</v>
      </c>
      <c r="L200" s="609"/>
      <c r="M200" s="1224">
        <f t="shared" si="4"/>
        <v>47.064543134140642</v>
      </c>
    </row>
    <row r="201" spans="1:13" x14ac:dyDescent="0.4">
      <c r="B201" s="609">
        <f t="shared" si="0"/>
        <v>2025</v>
      </c>
      <c r="C201" s="615">
        <v>215.43680029047999</v>
      </c>
      <c r="E201" s="1224">
        <f t="shared" si="1"/>
        <v>63.656241688118101</v>
      </c>
      <c r="F201" s="609"/>
      <c r="G201" s="1224">
        <f t="shared" si="2"/>
        <v>49.327123690130321</v>
      </c>
      <c r="I201" s="615">
        <v>158.17049356268484</v>
      </c>
      <c r="K201" s="1224">
        <f t="shared" si="3"/>
        <v>63.656241688118101</v>
      </c>
      <c r="L201" s="609"/>
      <c r="M201" s="1224">
        <f t="shared" si="4"/>
        <v>49.327123690130321</v>
      </c>
    </row>
    <row r="202" spans="1:13" x14ac:dyDescent="0.4">
      <c r="B202" s="609">
        <f t="shared" si="0"/>
        <v>2026</v>
      </c>
      <c r="C202" s="615">
        <v>231.29191898601778</v>
      </c>
      <c r="E202" s="1224">
        <f t="shared" si="1"/>
        <v>68.100112894931939</v>
      </c>
      <c r="F202" s="609"/>
      <c r="G202" s="1224">
        <f t="shared" si="2"/>
        <v>51.565269208172893</v>
      </c>
      <c r="I202" s="615">
        <v>165.34724652881692</v>
      </c>
      <c r="K202" s="1224">
        <f t="shared" si="3"/>
        <v>68.100112894931939</v>
      </c>
      <c r="L202" s="609"/>
      <c r="M202" s="1224">
        <f t="shared" si="4"/>
        <v>51.565269208172893</v>
      </c>
    </row>
    <row r="203" spans="1:13" x14ac:dyDescent="0.4">
      <c r="B203" s="609">
        <f t="shared" si="0"/>
        <v>2027</v>
      </c>
      <c r="C203" s="615">
        <v>246.25991135655431</v>
      </c>
      <c r="E203" s="1224">
        <f t="shared" si="1"/>
        <v>72.599686544155418</v>
      </c>
      <c r="F203" s="609"/>
      <c r="G203" s="1224">
        <f t="shared" si="2"/>
        <v>53.779365719005682</v>
      </c>
      <c r="I203" s="615">
        <v>172.44688485587204</v>
      </c>
      <c r="K203" s="1224">
        <f t="shared" si="3"/>
        <v>72.599686544155418</v>
      </c>
      <c r="L203" s="609"/>
      <c r="M203" s="1224">
        <f t="shared" si="4"/>
        <v>53.779365719005682</v>
      </c>
    </row>
    <row r="204" spans="1:13" x14ac:dyDescent="0.4">
      <c r="B204" s="609">
        <f t="shared" si="0"/>
        <v>2028</v>
      </c>
      <c r="C204" s="615">
        <v>261.21698930026662</v>
      </c>
      <c r="E204" s="1224">
        <f t="shared" si="1"/>
        <v>77.140250356915004</v>
      </c>
      <c r="F204" s="609"/>
      <c r="G204" s="1224">
        <f t="shared" si="2"/>
        <v>55.969462539469063</v>
      </c>
      <c r="I204" s="615">
        <v>179.46956668136983</v>
      </c>
      <c r="K204" s="1224">
        <f t="shared" si="3"/>
        <v>77.140250356915004</v>
      </c>
      <c r="L204" s="609"/>
      <c r="M204" s="1224">
        <f t="shared" si="4"/>
        <v>55.969462539469063</v>
      </c>
    </row>
    <row r="205" spans="1:13" x14ac:dyDescent="0.4">
      <c r="B205" s="609">
        <f t="shared" si="0"/>
        <v>2029</v>
      </c>
      <c r="C205" s="615">
        <v>276.12587090018138</v>
      </c>
      <c r="E205" s="1224">
        <f t="shared" si="1"/>
        <v>81.707294426274828</v>
      </c>
      <c r="F205" s="609"/>
      <c r="G205" s="1224">
        <f t="shared" si="2"/>
        <v>58.135696878401376</v>
      </c>
      <c r="I205" s="615">
        <v>186.41573197399399</v>
      </c>
      <c r="K205" s="1224">
        <f t="shared" si="3"/>
        <v>81.707294426274828</v>
      </c>
      <c r="L205" s="609"/>
      <c r="M205" s="1224">
        <f t="shared" si="4"/>
        <v>58.135696878401376</v>
      </c>
    </row>
    <row r="206" spans="1:13" x14ac:dyDescent="0.4">
      <c r="B206" s="609">
        <f t="shared" si="0"/>
        <v>2030</v>
      </c>
      <c r="C206" s="615">
        <v>290.78015707271987</v>
      </c>
      <c r="E206" s="1224">
        <f t="shared" si="1"/>
        <v>86.286367400519538</v>
      </c>
      <c r="F206" s="609"/>
      <c r="G206" s="1224">
        <f t="shared" si="2"/>
        <v>60.27818525089446</v>
      </c>
      <c r="I206" s="615">
        <v>193.28575434664145</v>
      </c>
      <c r="K206" s="1224">
        <f t="shared" si="3"/>
        <v>86.286367400519538</v>
      </c>
      <c r="L206" s="609"/>
      <c r="M206" s="1224">
        <f t="shared" si="4"/>
        <v>60.27818525089446</v>
      </c>
    </row>
    <row r="207" spans="1:13" x14ac:dyDescent="0.4">
      <c r="B207" s="609">
        <f t="shared" si="0"/>
        <v>2031</v>
      </c>
      <c r="C207" s="615">
        <v>305.65066042381898</v>
      </c>
      <c r="E207" s="1224">
        <f t="shared" si="1"/>
        <v>90.862998276895667</v>
      </c>
      <c r="F207" s="609"/>
      <c r="G207" s="1224">
        <f t="shared" si="2"/>
        <v>62.396968005469226</v>
      </c>
      <c r="I207" s="615">
        <v>200.07976317935689</v>
      </c>
      <c r="K207" s="1224">
        <f t="shared" si="3"/>
        <v>90.862998276895667</v>
      </c>
      <c r="L207" s="609"/>
      <c r="M207" s="1224">
        <f t="shared" si="4"/>
        <v>62.396968005469226</v>
      </c>
    </row>
    <row r="208" spans="1:13" x14ac:dyDescent="0.4">
      <c r="B208" s="609">
        <f t="shared" si="0"/>
        <v>2032</v>
      </c>
      <c r="C208" s="615">
        <v>320.19366961767741</v>
      </c>
      <c r="E208" s="1224">
        <f t="shared" si="1"/>
        <v>95.423100541453977</v>
      </c>
      <c r="F208" s="609"/>
      <c r="G208" s="1224">
        <f t="shared" si="2"/>
        <v>64.492293701644826</v>
      </c>
      <c r="I208" s="615">
        <v>206.7985554937157</v>
      </c>
      <c r="K208" s="1224">
        <f t="shared" si="3"/>
        <v>95.423100541453977</v>
      </c>
      <c r="L208" s="609"/>
      <c r="M208" s="1224">
        <f t="shared" si="4"/>
        <v>64.492293701644826</v>
      </c>
    </row>
    <row r="209" spans="2:13" x14ac:dyDescent="0.4">
      <c r="B209" s="609">
        <f t="shared" si="0"/>
        <v>2033</v>
      </c>
      <c r="C209" s="615">
        <v>334.54563085505566</v>
      </c>
      <c r="E209" s="1224">
        <f t="shared" si="1"/>
        <v>94.696250653577181</v>
      </c>
      <c r="F209" s="609"/>
      <c r="G209" s="1224">
        <f t="shared" si="2"/>
        <v>66.56496996371942</v>
      </c>
      <c r="I209" s="615">
        <v>213.44472098731802</v>
      </c>
      <c r="K209" s="1224">
        <f t="shared" si="3"/>
        <v>99.953520854905804</v>
      </c>
      <c r="L209" s="609"/>
      <c r="M209" s="1224">
        <f t="shared" si="4"/>
        <v>66.56496996371942</v>
      </c>
    </row>
    <row r="210" spans="2:13" x14ac:dyDescent="0.4">
      <c r="B210" s="609">
        <f t="shared" si="0"/>
        <v>2034</v>
      </c>
      <c r="C210" s="615">
        <v>348.67551759312306</v>
      </c>
      <c r="E210" s="1224">
        <f t="shared" si="1"/>
        <v>84.281703360354783</v>
      </c>
      <c r="F210" s="609"/>
      <c r="G210" s="1224">
        <f t="shared" si="2"/>
        <v>68.616088975991673</v>
      </c>
      <c r="I210" s="615">
        <v>220.02176181712471</v>
      </c>
      <c r="K210" s="1224">
        <f t="shared" si="3"/>
        <v>104.44168357294357</v>
      </c>
      <c r="L210" s="609"/>
      <c r="M210" s="1224">
        <f t="shared" si="4"/>
        <v>68.616088975991673</v>
      </c>
    </row>
    <row r="211" spans="2:13" x14ac:dyDescent="0.4">
      <c r="B211" s="609">
        <f t="shared" si="0"/>
        <v>2035</v>
      </c>
      <c r="C211" s="615">
        <v>362.55173611836597</v>
      </c>
      <c r="E211" s="1224">
        <f t="shared" si="1"/>
        <v>74.421817381751339</v>
      </c>
      <c r="F211" s="609"/>
      <c r="G211" s="1224">
        <f t="shared" si="2"/>
        <v>70.646529676721855</v>
      </c>
      <c r="I211" s="615">
        <v>226.53249635339597</v>
      </c>
      <c r="K211" s="1224">
        <f t="shared" si="3"/>
        <v>108.87485323191225</v>
      </c>
      <c r="L211" s="609"/>
      <c r="M211" s="1224">
        <f t="shared" si="4"/>
        <v>70.646529676721855</v>
      </c>
    </row>
    <row r="212" spans="2:13" x14ac:dyDescent="0.4">
      <c r="B212" s="609">
        <f t="shared" si="0"/>
        <v>2036</v>
      </c>
      <c r="C212" s="615">
        <v>376.14144168527906</v>
      </c>
      <c r="E212" s="1224">
        <f t="shared" si="1"/>
        <v>64.29640922441763</v>
      </c>
      <c r="F212" s="609"/>
      <c r="G212" s="1224">
        <f t="shared" si="2"/>
        <v>64.29640922441763</v>
      </c>
      <c r="I212" s="615">
        <v>232.97869973711607</v>
      </c>
      <c r="K212" s="1224">
        <f t="shared" si="3"/>
        <v>112.97781341699439</v>
      </c>
      <c r="L212" s="609"/>
      <c r="M212" s="1224">
        <f t="shared" si="4"/>
        <v>72.65684566220294</v>
      </c>
    </row>
    <row r="213" spans="2:13" x14ac:dyDescent="0.4">
      <c r="B213" s="609">
        <f t="shared" si="0"/>
        <v>2037</v>
      </c>
      <c r="C213" s="615">
        <v>389.40936442882105</v>
      </c>
      <c r="E213" s="1224">
        <f t="shared" si="1"/>
        <v>54.246488485382926</v>
      </c>
      <c r="F213" s="609"/>
      <c r="G213" s="1224">
        <f t="shared" si="2"/>
        <v>54.246488485382926</v>
      </c>
      <c r="I213" s="615">
        <v>239.36038014977476</v>
      </c>
      <c r="K213" s="1224">
        <f t="shared" si="3"/>
        <v>104.83628439015737</v>
      </c>
      <c r="L213" s="609"/>
      <c r="M213" s="1224">
        <f t="shared" si="4"/>
        <v>74.647039483918121</v>
      </c>
    </row>
    <row r="214" spans="2:13" x14ac:dyDescent="0.4">
      <c r="B214" s="609">
        <f t="shared" si="0"/>
        <v>2038</v>
      </c>
      <c r="C214" s="615">
        <v>402.31863012704804</v>
      </c>
      <c r="E214" s="1224">
        <f t="shared" si="1"/>
        <v>44.508006007394641</v>
      </c>
      <c r="F214" s="609"/>
      <c r="G214" s="1224">
        <f t="shared" si="2"/>
        <v>44.508006007394641</v>
      </c>
      <c r="I214" s="615">
        <v>245.6763561523924</v>
      </c>
      <c r="K214" s="1224">
        <f t="shared" si="3"/>
        <v>96.859979485873097</v>
      </c>
      <c r="L214" s="609"/>
      <c r="M214" s="1224">
        <f t="shared" si="4"/>
        <v>76.616742697757715</v>
      </c>
    </row>
    <row r="215" spans="2:13" x14ac:dyDescent="0.4">
      <c r="B215" s="609">
        <f t="shared" si="0"/>
        <v>2039</v>
      </c>
      <c r="C215" s="615">
        <v>414.83068593390345</v>
      </c>
      <c r="E215" s="1224">
        <f t="shared" si="1"/>
        <v>35.55399534105166</v>
      </c>
      <c r="F215" s="609"/>
      <c r="G215" s="1224">
        <f t="shared" si="2"/>
        <v>35.55399534105166</v>
      </c>
      <c r="I215" s="615">
        <v>251.92426345365129</v>
      </c>
      <c r="K215" s="1224">
        <f t="shared" si="3"/>
        <v>89.538581346453626</v>
      </c>
      <c r="L215" s="609"/>
      <c r="M215" s="1224">
        <f t="shared" si="4"/>
        <v>78.565217974731738</v>
      </c>
    </row>
    <row r="216" spans="2:13" x14ac:dyDescent="0.4">
      <c r="B216" s="609">
        <f t="shared" si="0"/>
        <v>2040</v>
      </c>
      <c r="C216" s="615">
        <v>427.6361813945071</v>
      </c>
      <c r="E216" s="1224">
        <f t="shared" si="1"/>
        <v>26.053832100882342</v>
      </c>
      <c r="F216" s="609"/>
      <c r="G216" s="1224">
        <f t="shared" si="2"/>
        <v>26.053832100882342</v>
      </c>
      <c r="I216" s="615">
        <v>258.10214838725483</v>
      </c>
      <c r="K216" s="1224">
        <f t="shared" si="3"/>
        <v>81.704778147554251</v>
      </c>
      <c r="L216" s="609"/>
      <c r="M216" s="1224">
        <f t="shared" si="4"/>
        <v>80.491856043560162</v>
      </c>
    </row>
    <row r="217" spans="2:13" x14ac:dyDescent="0.4">
      <c r="B217" s="609">
        <f t="shared" si="0"/>
        <v>2041</v>
      </c>
      <c r="C217" s="615">
        <v>438.51451242894115</v>
      </c>
      <c r="E217" s="1224">
        <f t="shared" si="1"/>
        <v>18.007236718506022</v>
      </c>
      <c r="F217" s="609"/>
      <c r="G217" s="1224">
        <f t="shared" si="2"/>
        <v>18.007236718506022</v>
      </c>
      <c r="I217" s="615">
        <v>264.20962748689772</v>
      </c>
      <c r="K217" s="1224">
        <f t="shared" si="3"/>
        <v>74.72078394267389</v>
      </c>
      <c r="L217" s="609"/>
      <c r="M217" s="1224">
        <f t="shared" si="4"/>
        <v>74.72078394267389</v>
      </c>
    </row>
    <row r="218" spans="2:13" x14ac:dyDescent="0.4">
      <c r="B218" s="609">
        <f t="shared" si="0"/>
        <v>2042</v>
      </c>
      <c r="C218" s="615">
        <v>449.61728247462941</v>
      </c>
      <c r="E218" s="1224">
        <f t="shared" si="1"/>
        <v>9.3326949870325642</v>
      </c>
      <c r="F218" s="609"/>
      <c r="G218" s="1224">
        <f t="shared" si="2"/>
        <v>9.3326949870325642</v>
      </c>
      <c r="I218" s="615">
        <v>270.24710159151527</v>
      </c>
      <c r="K218" s="1224">
        <f t="shared" si="3"/>
        <v>67.104913183403056</v>
      </c>
      <c r="L218" s="609"/>
      <c r="M218" s="1224">
        <f t="shared" si="4"/>
        <v>67.104913183403056</v>
      </c>
    </row>
    <row r="219" spans="2:13" x14ac:dyDescent="0.4">
      <c r="B219" s="609">
        <f t="shared" si="0"/>
        <v>2043</v>
      </c>
      <c r="C219" s="615">
        <v>460.18112979764055</v>
      </c>
      <c r="E219" s="1224">
        <f t="shared" si="1"/>
        <v>0.86106544127762796</v>
      </c>
      <c r="F219" s="609"/>
      <c r="G219" s="1224">
        <f t="shared" si="2"/>
        <v>0.86106544127762796</v>
      </c>
      <c r="I219" s="615">
        <v>276.21406079343302</v>
      </c>
      <c r="K219" s="1224">
        <f t="shared" si="3"/>
        <v>59.477817312372011</v>
      </c>
      <c r="L219" s="609"/>
      <c r="M219" s="1224">
        <f t="shared" si="4"/>
        <v>59.477817312372011</v>
      </c>
    </row>
    <row r="220" spans="2:13" x14ac:dyDescent="0.4">
      <c r="B220" s="609">
        <f t="shared" si="0"/>
        <v>2044</v>
      </c>
      <c r="C220" s="615">
        <v>446.7458437771802</v>
      </c>
      <c r="E220" s="1224">
        <f t="shared" si="1"/>
        <v>0</v>
      </c>
      <c r="F220" s="609"/>
      <c r="G220" s="1224">
        <f t="shared" si="2"/>
        <v>0</v>
      </c>
      <c r="I220" s="615">
        <v>282.1100456117868</v>
      </c>
      <c r="K220" s="1224">
        <f t="shared" si="3"/>
        <v>51.856220532141876</v>
      </c>
      <c r="L220" s="609"/>
      <c r="M220" s="1224">
        <f t="shared" si="4"/>
        <v>51.856220532141876</v>
      </c>
    </row>
    <row r="221" spans="2:13" x14ac:dyDescent="0.4">
      <c r="B221" s="609">
        <f t="shared" si="0"/>
        <v>2045</v>
      </c>
      <c r="C221" s="615">
        <v>430.23250514045816</v>
      </c>
      <c r="E221" s="1224">
        <f t="shared" si="1"/>
        <v>0</v>
      </c>
      <c r="F221" s="609"/>
      <c r="G221" s="1224">
        <f t="shared" si="2"/>
        <v>0</v>
      </c>
      <c r="I221" s="615">
        <v>287.93457757938029</v>
      </c>
      <c r="K221" s="1224">
        <f t="shared" si="3"/>
        <v>44.270701437693177</v>
      </c>
      <c r="L221" s="609"/>
      <c r="M221" s="1224">
        <f t="shared" si="4"/>
        <v>44.270701437693177</v>
      </c>
    </row>
    <row r="222" spans="2:13" x14ac:dyDescent="0.4">
      <c r="B222" s="609">
        <f t="shared" si="0"/>
        <v>2046</v>
      </c>
      <c r="C222" s="615">
        <v>413.21137450035491</v>
      </c>
      <c r="E222" s="1224">
        <f t="shared" si="1"/>
        <v>0</v>
      </c>
      <c r="F222" s="609"/>
      <c r="G222" s="1224">
        <f t="shared" si="2"/>
        <v>0</v>
      </c>
      <c r="I222" s="615">
        <v>293.68717443699359</v>
      </c>
      <c r="K222" s="1224">
        <f t="shared" si="3"/>
        <v>36.690652163371034</v>
      </c>
      <c r="L222" s="609"/>
      <c r="M222" s="1224">
        <f t="shared" si="4"/>
        <v>36.690652163371034</v>
      </c>
    </row>
    <row r="223" spans="2:13" x14ac:dyDescent="0.4">
      <c r="B223" s="609">
        <f t="shared" si="0"/>
        <v>2047</v>
      </c>
      <c r="C223" s="615">
        <v>395.70628329978683</v>
      </c>
      <c r="E223" s="1224">
        <f t="shared" si="1"/>
        <v>0</v>
      </c>
      <c r="F223" s="609"/>
      <c r="G223" s="1224">
        <f t="shared" si="2"/>
        <v>0</v>
      </c>
      <c r="I223" s="615">
        <v>299.36737419767792</v>
      </c>
      <c r="K223" s="1224">
        <f t="shared" si="3"/>
        <v>29.143621277461115</v>
      </c>
      <c r="L223" s="609"/>
      <c r="M223" s="1224">
        <f t="shared" si="4"/>
        <v>29.143621277461115</v>
      </c>
    </row>
    <row r="224" spans="2:13" x14ac:dyDescent="0.4">
      <c r="B224" s="609">
        <f t="shared" si="0"/>
        <v>2048</v>
      </c>
      <c r="C224" s="615">
        <v>377.75365761955339</v>
      </c>
      <c r="E224" s="1224">
        <f t="shared" si="1"/>
        <v>0</v>
      </c>
      <c r="F224" s="609"/>
      <c r="G224" s="1224">
        <f t="shared" si="2"/>
        <v>0</v>
      </c>
      <c r="I224" s="615">
        <v>304.97476935881298</v>
      </c>
      <c r="K224" s="1224">
        <f t="shared" si="3"/>
        <v>21.664876206678596</v>
      </c>
      <c r="L224" s="609"/>
      <c r="M224" s="1224">
        <f t="shared" si="4"/>
        <v>21.664876206678596</v>
      </c>
    </row>
    <row r="225" spans="2:13" x14ac:dyDescent="0.4">
      <c r="B225" s="609">
        <f t="shared" si="0"/>
        <v>2049</v>
      </c>
      <c r="C225" s="615">
        <v>359.363280150457</v>
      </c>
      <c r="E225" s="1224">
        <f t="shared" si="1"/>
        <v>0</v>
      </c>
      <c r="F225" s="609"/>
      <c r="G225" s="1224">
        <f t="shared" si="2"/>
        <v>0</v>
      </c>
      <c r="I225" s="615">
        <v>310.50900019324945</v>
      </c>
      <c r="K225" s="1224">
        <f t="shared" si="3"/>
        <v>14.285633998938188</v>
      </c>
      <c r="L225" s="609"/>
      <c r="M225" s="1224">
        <f t="shared" si="4"/>
        <v>14.285633998938188</v>
      </c>
    </row>
    <row r="226" spans="2:13" x14ac:dyDescent="0.4">
      <c r="B226" s="609">
        <f t="shared" si="0"/>
        <v>2050</v>
      </c>
      <c r="C226" s="615">
        <v>340.32236487313185</v>
      </c>
      <c r="E226" s="1224">
        <f t="shared" si="1"/>
        <v>0</v>
      </c>
      <c r="F226" s="609"/>
      <c r="G226" s="1224">
        <f t="shared" si="2"/>
        <v>0</v>
      </c>
      <c r="I226" s="615">
        <v>315.96970120154049</v>
      </c>
      <c r="K226" s="1224">
        <f t="shared" si="3"/>
        <v>6.9780135499994689</v>
      </c>
      <c r="L226" s="609"/>
      <c r="M226" s="1224">
        <f t="shared" si="4"/>
        <v>6.9780135499994689</v>
      </c>
    </row>
    <row r="227" spans="2:13" x14ac:dyDescent="0.4">
      <c r="B227" s="609">
        <f t="shared" si="0"/>
        <v>2051</v>
      </c>
      <c r="C227" s="615">
        <v>337.05921729212417</v>
      </c>
      <c r="E227" s="1224">
        <f t="shared" si="1"/>
        <v>0</v>
      </c>
      <c r="F227" s="609"/>
      <c r="G227" s="1224">
        <f t="shared" si="2"/>
        <v>0</v>
      </c>
      <c r="I227" s="615">
        <v>321.35655409324181</v>
      </c>
      <c r="K227" s="1224">
        <f t="shared" si="3"/>
        <v>4.5150388808084401</v>
      </c>
      <c r="L227" s="609"/>
      <c r="M227" s="1224">
        <f t="shared" si="4"/>
        <v>4.5150388808084401</v>
      </c>
    </row>
    <row r="228" spans="2:13" x14ac:dyDescent="0.4">
      <c r="B228" s="609">
        <f t="shared" si="0"/>
        <v>2052</v>
      </c>
      <c r="C228" s="615">
        <v>333.05879712260224</v>
      </c>
      <c r="E228" s="1224">
        <f t="shared" si="1"/>
        <v>0</v>
      </c>
      <c r="F228" s="609"/>
      <c r="G228" s="1224">
        <f t="shared" si="2"/>
        <v>0</v>
      </c>
      <c r="I228" s="615">
        <v>326.66923504030058</v>
      </c>
      <c r="K228" s="1224">
        <f t="shared" si="3"/>
        <v>1.8435415100130625</v>
      </c>
      <c r="L228" s="609"/>
      <c r="M228" s="1224">
        <f t="shared" si="4"/>
        <v>1.8435415100130625</v>
      </c>
    </row>
    <row r="229" spans="2:13" x14ac:dyDescent="0.4">
      <c r="B229" s="609">
        <f t="shared" si="0"/>
        <v>2053</v>
      </c>
      <c r="C229" s="615">
        <v>328.63009502324326</v>
      </c>
      <c r="E229" s="1224">
        <f t="shared" si="1"/>
        <v>0</v>
      </c>
      <c r="F229" s="609"/>
      <c r="G229" s="1224">
        <f t="shared" si="2"/>
        <v>0</v>
      </c>
      <c r="I229" s="615">
        <v>328.63009502324326</v>
      </c>
      <c r="K229" s="1224">
        <f t="shared" si="3"/>
        <v>0</v>
      </c>
      <c r="L229" s="609"/>
      <c r="M229" s="1224">
        <f t="shared" si="4"/>
        <v>0</v>
      </c>
    </row>
    <row r="230" spans="2:13" x14ac:dyDescent="0.4">
      <c r="B230" s="609">
        <f t="shared" si="0"/>
        <v>2054</v>
      </c>
      <c r="C230" s="615">
        <v>323.77450763823538</v>
      </c>
      <c r="E230" s="1224">
        <f t="shared" si="1"/>
        <v>0</v>
      </c>
      <c r="F230" s="609"/>
      <c r="G230" s="1224">
        <f t="shared" si="2"/>
        <v>0</v>
      </c>
      <c r="I230" s="615">
        <v>323.77450763823538</v>
      </c>
      <c r="K230" s="1224">
        <f t="shared" si="3"/>
        <v>0</v>
      </c>
      <c r="L230" s="609"/>
      <c r="M230" s="1224">
        <f t="shared" si="4"/>
        <v>0</v>
      </c>
    </row>
    <row r="231" spans="2:13" x14ac:dyDescent="0.4">
      <c r="B231" s="609">
        <f t="shared" si="0"/>
        <v>2055</v>
      </c>
      <c r="C231" s="615">
        <v>318.49301563089909</v>
      </c>
      <c r="E231" s="1224">
        <f t="shared" si="1"/>
        <v>0</v>
      </c>
      <c r="F231" s="609"/>
      <c r="G231" s="1224">
        <f t="shared" si="2"/>
        <v>0</v>
      </c>
      <c r="I231" s="615">
        <v>318.49301563089909</v>
      </c>
      <c r="K231" s="1224">
        <f t="shared" si="3"/>
        <v>0</v>
      </c>
      <c r="L231" s="609"/>
      <c r="M231" s="1224">
        <f t="shared" si="4"/>
        <v>0</v>
      </c>
    </row>
    <row r="232" spans="2:13" x14ac:dyDescent="0.4">
      <c r="B232" s="609">
        <f t="shared" si="0"/>
        <v>2056</v>
      </c>
      <c r="C232" s="615">
        <v>312.78700305075364</v>
      </c>
      <c r="E232" s="1224">
        <f t="shared" si="1"/>
        <v>0</v>
      </c>
      <c r="F232" s="609"/>
      <c r="G232" s="1224">
        <f t="shared" si="2"/>
        <v>0</v>
      </c>
      <c r="I232" s="615">
        <v>312.78700305075364</v>
      </c>
      <c r="K232" s="1224">
        <f t="shared" si="3"/>
        <v>0</v>
      </c>
      <c r="L232" s="609"/>
      <c r="M232" s="1224">
        <f t="shared" si="4"/>
        <v>0</v>
      </c>
    </row>
    <row r="233" spans="2:13" x14ac:dyDescent="0.4">
      <c r="B233" s="609">
        <f t="shared" si="0"/>
        <v>2057</v>
      </c>
      <c r="C233" s="615">
        <v>306.65763878192269</v>
      </c>
      <c r="E233" s="1224">
        <f t="shared" si="1"/>
        <v>0</v>
      </c>
      <c r="F233" s="609"/>
      <c r="G233" s="1224">
        <f t="shared" si="2"/>
        <v>0</v>
      </c>
      <c r="I233" s="615">
        <v>306.65763878192269</v>
      </c>
      <c r="K233" s="1224">
        <f t="shared" si="3"/>
        <v>0</v>
      </c>
      <c r="L233" s="609"/>
      <c r="M233" s="1224">
        <f t="shared" si="4"/>
        <v>0</v>
      </c>
    </row>
    <row r="234" spans="2:13" x14ac:dyDescent="0.4">
      <c r="B234" s="609">
        <f t="shared" si="0"/>
        <v>2058</v>
      </c>
      <c r="C234" s="615">
        <v>300.10596144179573</v>
      </c>
      <c r="E234" s="1224">
        <f t="shared" si="1"/>
        <v>0</v>
      </c>
      <c r="F234" s="609"/>
      <c r="G234" s="1224">
        <f t="shared" si="2"/>
        <v>0</v>
      </c>
      <c r="I234" s="615">
        <v>300.10596144179573</v>
      </c>
      <c r="K234" s="1224">
        <f t="shared" si="3"/>
        <v>0</v>
      </c>
      <c r="L234" s="609"/>
      <c r="M234" s="1224">
        <f t="shared" si="4"/>
        <v>0</v>
      </c>
    </row>
    <row r="235" spans="2:13" x14ac:dyDescent="0.4">
      <c r="B235" s="609">
        <f t="shared" si="0"/>
        <v>2059</v>
      </c>
      <c r="C235" s="615">
        <v>293.13299096619301</v>
      </c>
      <c r="E235" s="1224">
        <f t="shared" si="1"/>
        <v>0</v>
      </c>
      <c r="F235" s="609"/>
      <c r="G235" s="1224">
        <f t="shared" si="2"/>
        <v>0</v>
      </c>
      <c r="I235" s="615">
        <v>293.13299096619301</v>
      </c>
      <c r="K235" s="1224">
        <f t="shared" si="3"/>
        <v>0</v>
      </c>
      <c r="L235" s="609"/>
      <c r="M235" s="1224">
        <f t="shared" si="4"/>
        <v>0</v>
      </c>
    </row>
    <row r="236" spans="2:13" x14ac:dyDescent="0.4">
      <c r="B236" s="609">
        <f t="shared" si="0"/>
        <v>2060</v>
      </c>
      <c r="C236" s="615">
        <v>285.74071987012951</v>
      </c>
      <c r="E236" s="1224">
        <f t="shared" si="1"/>
        <v>0</v>
      </c>
      <c r="F236" s="609"/>
      <c r="G236" s="1224">
        <f t="shared" si="2"/>
        <v>0</v>
      </c>
      <c r="I236" s="615">
        <v>285.74071987012951</v>
      </c>
      <c r="K236" s="1224">
        <f t="shared" si="3"/>
        <v>0</v>
      </c>
      <c r="L236" s="609"/>
      <c r="M236" s="1224">
        <f t="shared" si="4"/>
        <v>0</v>
      </c>
    </row>
    <row r="237" spans="2:13" x14ac:dyDescent="0.4">
      <c r="C237" s="1"/>
      <c r="E237" s="1"/>
      <c r="G237" s="1"/>
      <c r="I237" s="1"/>
      <c r="K237" s="1"/>
      <c r="M237" s="1"/>
    </row>
    <row r="238" spans="2:13" x14ac:dyDescent="0.4">
      <c r="B238" s="1" t="s">
        <v>424</v>
      </c>
      <c r="C238" s="618" t="s">
        <v>420</v>
      </c>
      <c r="E238" s="618" t="s">
        <v>420</v>
      </c>
      <c r="G238" s="1215" t="s">
        <v>1129</v>
      </c>
      <c r="I238" s="1215" t="s">
        <v>1129</v>
      </c>
      <c r="K238" s="618" t="s">
        <v>420</v>
      </c>
      <c r="M238" s="1215" t="s">
        <v>1129</v>
      </c>
    </row>
    <row r="239" spans="2:13" x14ac:dyDescent="0.4">
      <c r="C239" s="618" t="s">
        <v>402</v>
      </c>
      <c r="D239" s="618" t="s">
        <v>422</v>
      </c>
      <c r="E239" s="618" t="s">
        <v>423</v>
      </c>
      <c r="F239" s="618" t="s">
        <v>431</v>
      </c>
      <c r="G239" s="618" t="s">
        <v>423</v>
      </c>
      <c r="H239" s="619" t="s">
        <v>426</v>
      </c>
      <c r="I239" s="618" t="s">
        <v>402</v>
      </c>
      <c r="J239" s="618" t="s">
        <v>422</v>
      </c>
      <c r="K239" s="618" t="s">
        <v>423</v>
      </c>
      <c r="L239" s="618" t="s">
        <v>425</v>
      </c>
      <c r="M239" s="618" t="s">
        <v>423</v>
      </c>
    </row>
    <row r="240" spans="2:13" x14ac:dyDescent="0.4">
      <c r="B240" s="609">
        <f>B190</f>
        <v>2014</v>
      </c>
      <c r="C240" s="615">
        <v>76.323108000000005</v>
      </c>
      <c r="E240" s="1224">
        <f>D126</f>
        <v>23.802159959999997</v>
      </c>
      <c r="F240" s="609"/>
      <c r="G240" s="1224">
        <f>H126</f>
        <v>23.802159959999997</v>
      </c>
      <c r="I240" s="615">
        <v>76.323108000000005</v>
      </c>
      <c r="K240" s="1224">
        <f>M126</f>
        <v>23.802159959999997</v>
      </c>
      <c r="M240" s="1224">
        <f>Q126</f>
        <v>23.802159959999997</v>
      </c>
    </row>
    <row r="241" spans="1:13" x14ac:dyDescent="0.4">
      <c r="B241" s="609">
        <f t="shared" ref="B241:B286" si="5">B191</f>
        <v>2015</v>
      </c>
      <c r="C241" s="615">
        <v>80.271139379481653</v>
      </c>
      <c r="E241" s="1224">
        <f t="shared" ref="E241:E286" si="6">D127</f>
        <v>25.0214508</v>
      </c>
      <c r="F241" s="609"/>
      <c r="G241" s="1224">
        <f t="shared" ref="G241:G286" si="7">H127</f>
        <v>25.0214508</v>
      </c>
      <c r="I241" s="615">
        <v>80.271139379481653</v>
      </c>
      <c r="K241" s="1224">
        <f t="shared" ref="K241:K286" si="8">M127</f>
        <v>25.0214508</v>
      </c>
      <c r="L241" s="609"/>
      <c r="M241" s="1224">
        <f t="shared" ref="M241:M286" si="9">Q127</f>
        <v>25.0214508</v>
      </c>
    </row>
    <row r="242" spans="1:13" x14ac:dyDescent="0.4">
      <c r="B242" s="609">
        <f t="shared" si="5"/>
        <v>2016</v>
      </c>
      <c r="C242" s="615">
        <v>83.437779223420307</v>
      </c>
      <c r="E242" s="1224">
        <f t="shared" si="6"/>
        <v>26.016150959999997</v>
      </c>
      <c r="F242" s="609"/>
      <c r="G242" s="1224">
        <f t="shared" si="7"/>
        <v>26.016150960000001</v>
      </c>
      <c r="I242" s="615">
        <v>83.437779223420307</v>
      </c>
      <c r="K242" s="1224">
        <f t="shared" si="8"/>
        <v>26.016150959999997</v>
      </c>
      <c r="L242" s="609"/>
      <c r="M242" s="1224">
        <f t="shared" si="9"/>
        <v>26.016150960000001</v>
      </c>
    </row>
    <row r="243" spans="1:13" x14ac:dyDescent="0.4">
      <c r="B243" s="609">
        <f t="shared" si="5"/>
        <v>2017</v>
      </c>
      <c r="C243" s="615">
        <v>85.221794520996085</v>
      </c>
      <c r="E243" s="1224">
        <f t="shared" si="6"/>
        <v>26.572987800000003</v>
      </c>
      <c r="F243" s="609"/>
      <c r="G243" s="1224">
        <f t="shared" si="7"/>
        <v>26.572987800000003</v>
      </c>
      <c r="I243" s="615">
        <v>85.221794520996085</v>
      </c>
      <c r="K243" s="1224">
        <f t="shared" si="8"/>
        <v>26.572987800000003</v>
      </c>
      <c r="L243" s="609"/>
      <c r="M243" s="1224">
        <f t="shared" si="9"/>
        <v>26.572987800000003</v>
      </c>
    </row>
    <row r="244" spans="1:13" ht="17.7" x14ac:dyDescent="0.6">
      <c r="A244" s="620" t="s">
        <v>407</v>
      </c>
      <c r="B244" s="609">
        <f t="shared" si="5"/>
        <v>2018</v>
      </c>
      <c r="C244" s="615">
        <v>86.229277120852331</v>
      </c>
      <c r="E244" s="1224">
        <f t="shared" si="6"/>
        <v>26.887146552000008</v>
      </c>
      <c r="F244" s="609"/>
      <c r="G244" s="1224">
        <f t="shared" si="7"/>
        <v>26.887146552000008</v>
      </c>
      <c r="I244" s="615">
        <v>86.229277120852331</v>
      </c>
      <c r="K244" s="1224">
        <f t="shared" si="8"/>
        <v>26.887146552000008</v>
      </c>
      <c r="L244" s="609"/>
      <c r="M244" s="1224">
        <f t="shared" si="9"/>
        <v>26.887146552000008</v>
      </c>
    </row>
    <row r="245" spans="1:13" x14ac:dyDescent="0.4">
      <c r="A245" s="609" t="s">
        <v>421</v>
      </c>
      <c r="B245" s="609">
        <f t="shared" si="5"/>
        <v>2019</v>
      </c>
      <c r="C245" s="615">
        <v>130.1163538982359</v>
      </c>
      <c r="E245" s="1224">
        <f t="shared" si="6"/>
        <v>38.983440300426977</v>
      </c>
      <c r="F245" s="609"/>
      <c r="G245" s="1224">
        <f t="shared" si="7"/>
        <v>35.379666328291968</v>
      </c>
      <c r="I245" s="615">
        <v>114.09404210766351</v>
      </c>
      <c r="K245" s="1224">
        <f t="shared" si="8"/>
        <v>38.983440300426977</v>
      </c>
      <c r="L245" s="609"/>
      <c r="M245" s="1224">
        <f t="shared" si="9"/>
        <v>35.379666328291968</v>
      </c>
    </row>
    <row r="246" spans="1:13" x14ac:dyDescent="0.4">
      <c r="B246" s="609">
        <f t="shared" si="5"/>
        <v>2020</v>
      </c>
      <c r="C246" s="615">
        <v>145.59696878701959</v>
      </c>
      <c r="E246" s="1224">
        <f t="shared" si="6"/>
        <v>42.798705434678645</v>
      </c>
      <c r="F246" s="609"/>
      <c r="G246" s="1224">
        <f t="shared" si="7"/>
        <v>37.779549996075865</v>
      </c>
      <c r="I246" s="615">
        <v>122.45051409640914</v>
      </c>
      <c r="K246" s="1224">
        <f t="shared" si="8"/>
        <v>42.798705434678645</v>
      </c>
      <c r="L246" s="609"/>
      <c r="M246" s="1224">
        <f t="shared" si="9"/>
        <v>37.779549996075865</v>
      </c>
    </row>
    <row r="247" spans="1:13" x14ac:dyDescent="0.4">
      <c r="B247" s="609">
        <f t="shared" si="5"/>
        <v>2021</v>
      </c>
      <c r="C247" s="615">
        <v>160.21331393696698</v>
      </c>
      <c r="E247" s="1224">
        <f t="shared" si="6"/>
        <v>46.736252265010435</v>
      </c>
      <c r="F247" s="609"/>
      <c r="G247" s="1224">
        <f t="shared" si="7"/>
        <v>40.134486518956166</v>
      </c>
      <c r="I247" s="615">
        <v>130.80578819871295</v>
      </c>
      <c r="K247" s="1224">
        <f t="shared" si="8"/>
        <v>46.736252265010435</v>
      </c>
      <c r="L247" s="609"/>
      <c r="M247" s="1224">
        <f t="shared" si="9"/>
        <v>40.134486518956166</v>
      </c>
    </row>
    <row r="248" spans="1:13" x14ac:dyDescent="0.4">
      <c r="B248" s="609">
        <f t="shared" si="5"/>
        <v>2022</v>
      </c>
      <c r="C248" s="615">
        <v>175.95981380964645</v>
      </c>
      <c r="E248" s="1224">
        <f t="shared" si="6"/>
        <v>50.806377378688339</v>
      </c>
      <c r="F248" s="609"/>
      <c r="G248" s="1224">
        <f t="shared" si="7"/>
        <v>42.467287212187713</v>
      </c>
      <c r="I248" s="615">
        <v>139.25347076372447</v>
      </c>
      <c r="K248" s="1224">
        <f t="shared" si="8"/>
        <v>50.806377378688339</v>
      </c>
      <c r="L248" s="609"/>
      <c r="M248" s="1224">
        <f t="shared" si="9"/>
        <v>42.467287212187713</v>
      </c>
    </row>
    <row r="249" spans="1:13" x14ac:dyDescent="0.4">
      <c r="B249" s="609">
        <f t="shared" si="5"/>
        <v>2023</v>
      </c>
      <c r="C249" s="615">
        <v>192.20758674080884</v>
      </c>
      <c r="E249" s="1224">
        <f t="shared" si="6"/>
        <v>54.993820099953695</v>
      </c>
      <c r="F249" s="609"/>
      <c r="G249" s="1224">
        <f t="shared" si="7"/>
        <v>44.777644097613653</v>
      </c>
      <c r="I249" s="615">
        <v>147.81909209318042</v>
      </c>
      <c r="K249" s="1224">
        <f t="shared" si="8"/>
        <v>54.993820099953695</v>
      </c>
      <c r="L249" s="609"/>
      <c r="M249" s="1224">
        <f t="shared" si="9"/>
        <v>44.777644097613653</v>
      </c>
    </row>
    <row r="250" spans="1:13" x14ac:dyDescent="0.4">
      <c r="B250" s="609">
        <f t="shared" si="5"/>
        <v>2024</v>
      </c>
      <c r="C250" s="615">
        <v>208.73720271915653</v>
      </c>
      <c r="E250" s="1224">
        <f t="shared" si="6"/>
        <v>59.282446062561277</v>
      </c>
      <c r="F250" s="609"/>
      <c r="G250" s="1224">
        <f t="shared" si="7"/>
        <v>47.064543134140642</v>
      </c>
      <c r="I250" s="615">
        <v>156.35638716072592</v>
      </c>
      <c r="K250" s="1224">
        <f t="shared" si="8"/>
        <v>59.282446062561277</v>
      </c>
      <c r="L250" s="609"/>
      <c r="M250" s="1224">
        <f t="shared" si="9"/>
        <v>47.064543134140642</v>
      </c>
    </row>
    <row r="251" spans="1:13" x14ac:dyDescent="0.4">
      <c r="B251" s="609">
        <f t="shared" si="5"/>
        <v>2025</v>
      </c>
      <c r="C251" s="615">
        <v>224.84784774558278</v>
      </c>
      <c r="E251" s="1224">
        <f t="shared" si="6"/>
        <v>63.656241688118101</v>
      </c>
      <c r="F251" s="609"/>
      <c r="G251" s="1224">
        <f t="shared" si="7"/>
        <v>49.327123690130321</v>
      </c>
      <c r="I251" s="615">
        <v>165.07994458919657</v>
      </c>
      <c r="K251" s="1224">
        <f t="shared" si="8"/>
        <v>63.656241688118101</v>
      </c>
      <c r="L251" s="609"/>
      <c r="M251" s="1224">
        <f t="shared" si="9"/>
        <v>49.327123690130321</v>
      </c>
    </row>
    <row r="252" spans="1:13" x14ac:dyDescent="0.4">
      <c r="B252" s="609">
        <f t="shared" si="5"/>
        <v>2026</v>
      </c>
      <c r="C252" s="615">
        <v>243.21774850673285</v>
      </c>
      <c r="E252" s="1224">
        <f t="shared" si="6"/>
        <v>68.100112894931939</v>
      </c>
      <c r="F252" s="609"/>
      <c r="G252" s="1224">
        <f t="shared" si="7"/>
        <v>51.565269208172893</v>
      </c>
      <c r="I252" s="615">
        <v>173.87284950909884</v>
      </c>
      <c r="K252" s="1224">
        <f t="shared" si="8"/>
        <v>68.100112894931939</v>
      </c>
      <c r="L252" s="609"/>
      <c r="M252" s="1224">
        <f t="shared" si="9"/>
        <v>51.565269208172893</v>
      </c>
    </row>
    <row r="253" spans="1:13" x14ac:dyDescent="0.4">
      <c r="B253" s="609">
        <f t="shared" si="5"/>
        <v>2027</v>
      </c>
      <c r="C253" s="615">
        <v>261.049331019931</v>
      </c>
      <c r="E253" s="1224">
        <f t="shared" si="6"/>
        <v>72.599686544155418</v>
      </c>
      <c r="F253" s="609"/>
      <c r="G253" s="1224">
        <f t="shared" si="7"/>
        <v>53.779365719005682</v>
      </c>
      <c r="I253" s="615">
        <v>182.80337908071905</v>
      </c>
      <c r="K253" s="1224">
        <f t="shared" si="8"/>
        <v>72.599686544155418</v>
      </c>
      <c r="L253" s="609"/>
      <c r="M253" s="1224">
        <f t="shared" si="9"/>
        <v>53.779365719005682</v>
      </c>
    </row>
    <row r="254" spans="1:13" x14ac:dyDescent="0.4">
      <c r="B254" s="609">
        <f t="shared" si="5"/>
        <v>2028</v>
      </c>
      <c r="C254" s="615">
        <v>279.82459083807203</v>
      </c>
      <c r="E254" s="1224">
        <f t="shared" si="6"/>
        <v>77.140250356915004</v>
      </c>
      <c r="F254" s="609"/>
      <c r="G254" s="1224">
        <f t="shared" si="7"/>
        <v>55.969462539469063</v>
      </c>
      <c r="I254" s="615">
        <v>192.25395024660114</v>
      </c>
      <c r="K254" s="1224">
        <f t="shared" si="8"/>
        <v>77.140250356915004</v>
      </c>
      <c r="L254" s="609"/>
      <c r="M254" s="1224">
        <f t="shared" si="9"/>
        <v>55.969462539469063</v>
      </c>
    </row>
    <row r="255" spans="1:13" x14ac:dyDescent="0.4">
      <c r="B255" s="609">
        <f t="shared" si="5"/>
        <v>2029</v>
      </c>
      <c r="C255" s="615">
        <v>298.11505682098505</v>
      </c>
      <c r="E255" s="1224">
        <f t="shared" si="6"/>
        <v>79.587608277057555</v>
      </c>
      <c r="F255" s="609"/>
      <c r="G255" s="1224">
        <f t="shared" si="7"/>
        <v>58.135696878401376</v>
      </c>
      <c r="I255" s="615">
        <v>201.26088275821974</v>
      </c>
      <c r="K255" s="1224">
        <f t="shared" si="8"/>
        <v>81.707294426274828</v>
      </c>
      <c r="L255" s="609"/>
      <c r="M255" s="1224">
        <f t="shared" si="9"/>
        <v>58.135696878401376</v>
      </c>
    </row>
    <row r="256" spans="1:13" x14ac:dyDescent="0.4">
      <c r="B256" s="609">
        <f t="shared" si="5"/>
        <v>2030</v>
      </c>
      <c r="C256" s="615">
        <v>317.20169613966686</v>
      </c>
      <c r="E256" s="1224">
        <f t="shared" si="6"/>
        <v>65.119478625174821</v>
      </c>
      <c r="F256" s="609"/>
      <c r="G256" s="1224">
        <f t="shared" si="7"/>
        <v>60.27818525089446</v>
      </c>
      <c r="I256" s="615">
        <v>210.8485315353096</v>
      </c>
      <c r="K256" s="1224">
        <f t="shared" si="8"/>
        <v>86.286367400519538</v>
      </c>
      <c r="L256" s="609"/>
      <c r="M256" s="1224">
        <f t="shared" si="9"/>
        <v>60.27818525089446</v>
      </c>
    </row>
    <row r="257" spans="2:13" x14ac:dyDescent="0.4">
      <c r="B257" s="609">
        <f t="shared" si="5"/>
        <v>2031</v>
      </c>
      <c r="C257" s="615">
        <v>337.32108482407136</v>
      </c>
      <c r="E257" s="1224">
        <f t="shared" si="6"/>
        <v>49.908168329842702</v>
      </c>
      <c r="F257" s="609"/>
      <c r="G257" s="1224">
        <f t="shared" si="7"/>
        <v>49.908168329842702</v>
      </c>
      <c r="I257" s="615">
        <v>220.81131011927124</v>
      </c>
      <c r="K257" s="1224">
        <f t="shared" si="8"/>
        <v>87.174593077993052</v>
      </c>
      <c r="L257" s="609"/>
      <c r="M257" s="1224">
        <f t="shared" si="9"/>
        <v>62.396968005469226</v>
      </c>
    </row>
    <row r="258" spans="2:13" x14ac:dyDescent="0.4">
      <c r="B258" s="609">
        <f t="shared" si="5"/>
        <v>2032</v>
      </c>
      <c r="C258" s="615">
        <v>357.95132735174451</v>
      </c>
      <c r="E258" s="1224">
        <f t="shared" si="6"/>
        <v>34.967652313585589</v>
      </c>
      <c r="F258" s="609"/>
      <c r="G258" s="1224">
        <f t="shared" si="7"/>
        <v>34.967652313585589</v>
      </c>
      <c r="I258" s="615">
        <v>231.18451255387399</v>
      </c>
      <c r="K258" s="1224">
        <f t="shared" si="8"/>
        <v>74.720218426150254</v>
      </c>
      <c r="L258" s="609"/>
      <c r="M258" s="1224">
        <f t="shared" si="9"/>
        <v>64.492293701644826</v>
      </c>
    </row>
    <row r="259" spans="2:13" x14ac:dyDescent="0.4">
      <c r="B259" s="609">
        <f t="shared" si="5"/>
        <v>2033</v>
      </c>
      <c r="C259" s="615">
        <v>379.52948742065297</v>
      </c>
      <c r="E259" s="1224">
        <f t="shared" si="6"/>
        <v>19.970710360039988</v>
      </c>
      <c r="F259" s="609"/>
      <c r="G259" s="1224">
        <f t="shared" si="7"/>
        <v>19.970710360039988</v>
      </c>
      <c r="I259" s="615">
        <v>242.14504114704354</v>
      </c>
      <c r="K259" s="1224">
        <f t="shared" si="8"/>
        <v>62.121701785580669</v>
      </c>
      <c r="L259" s="609"/>
      <c r="M259" s="1224">
        <f t="shared" si="9"/>
        <v>62.121701785580669</v>
      </c>
    </row>
    <row r="260" spans="2:13" x14ac:dyDescent="0.4">
      <c r="B260" s="609">
        <f t="shared" si="5"/>
        <v>2034</v>
      </c>
      <c r="C260" s="615">
        <v>401.6979374520858</v>
      </c>
      <c r="E260" s="1224">
        <f t="shared" si="6"/>
        <v>5.7017403551625945</v>
      </c>
      <c r="F260" s="609"/>
      <c r="G260" s="1224">
        <f t="shared" si="7"/>
        <v>5.7017403551625945</v>
      </c>
      <c r="I260" s="615">
        <v>253.48005081230932</v>
      </c>
      <c r="K260" s="1224">
        <f t="shared" si="8"/>
        <v>50.141676289396777</v>
      </c>
      <c r="L260" s="609"/>
      <c r="M260" s="1224">
        <f t="shared" si="9"/>
        <v>50.141676289396777</v>
      </c>
    </row>
    <row r="261" spans="2:13" x14ac:dyDescent="0.4">
      <c r="B261" s="609">
        <f t="shared" si="5"/>
        <v>2035</v>
      </c>
      <c r="C261" s="615">
        <v>399.30869630324696</v>
      </c>
      <c r="E261" s="1224">
        <f t="shared" si="6"/>
        <v>0</v>
      </c>
      <c r="F261" s="609"/>
      <c r="G261" s="1224">
        <f t="shared" si="7"/>
        <v>0</v>
      </c>
      <c r="I261" s="615">
        <v>264.98694974207183</v>
      </c>
      <c r="K261" s="1224">
        <f t="shared" si="8"/>
        <v>39.365653696202564</v>
      </c>
      <c r="L261" s="609"/>
      <c r="M261" s="1224">
        <f t="shared" si="9"/>
        <v>39.365653696202564</v>
      </c>
    </row>
    <row r="262" spans="2:13" x14ac:dyDescent="0.4">
      <c r="B262" s="609">
        <f t="shared" si="5"/>
        <v>2036</v>
      </c>
      <c r="C262" s="615">
        <v>378.98963465301517</v>
      </c>
      <c r="E262" s="1224">
        <f t="shared" si="6"/>
        <v>0</v>
      </c>
      <c r="F262" s="609"/>
      <c r="G262" s="1224">
        <f t="shared" si="7"/>
        <v>0</v>
      </c>
      <c r="I262" s="615">
        <v>276.70750542988628</v>
      </c>
      <c r="K262" s="1224">
        <f t="shared" si="8"/>
        <v>29.283846876426487</v>
      </c>
      <c r="L262" s="609"/>
      <c r="M262" s="1224">
        <f t="shared" si="9"/>
        <v>29.283846876426487</v>
      </c>
    </row>
    <row r="263" spans="2:13" x14ac:dyDescent="0.4">
      <c r="B263" s="609">
        <f t="shared" si="5"/>
        <v>2037</v>
      </c>
      <c r="C263" s="615">
        <v>359.15449600840702</v>
      </c>
      <c r="E263" s="1224">
        <f t="shared" si="6"/>
        <v>0</v>
      </c>
      <c r="F263" s="609"/>
      <c r="G263" s="1224">
        <f t="shared" si="7"/>
        <v>0</v>
      </c>
      <c r="I263" s="615">
        <v>288.83273734843777</v>
      </c>
      <c r="K263" s="1224">
        <f t="shared" si="8"/>
        <v>19.64832081019663</v>
      </c>
      <c r="L263" s="609"/>
      <c r="M263" s="1224">
        <f t="shared" si="9"/>
        <v>19.64832081019663</v>
      </c>
    </row>
    <row r="264" spans="2:13" x14ac:dyDescent="0.4">
      <c r="B264" s="609">
        <f t="shared" si="5"/>
        <v>2038</v>
      </c>
      <c r="C264" s="615">
        <v>338.51623885568102</v>
      </c>
      <c r="E264" s="1224">
        <f t="shared" si="6"/>
        <v>0</v>
      </c>
      <c r="F264" s="609"/>
      <c r="G264" s="1224">
        <f t="shared" si="7"/>
        <v>0</v>
      </c>
      <c r="I264" s="615">
        <v>301.95989172272334</v>
      </c>
      <c r="K264" s="1224">
        <f t="shared" si="8"/>
        <v>9.9403338879277126</v>
      </c>
      <c r="L264" s="609"/>
      <c r="M264" s="1224">
        <f t="shared" si="9"/>
        <v>9.9403338879277126</v>
      </c>
    </row>
    <row r="265" spans="2:13" x14ac:dyDescent="0.4">
      <c r="B265" s="609">
        <f t="shared" si="5"/>
        <v>2039</v>
      </c>
      <c r="C265" s="615">
        <v>314.8076739070579</v>
      </c>
      <c r="E265" s="1224">
        <f t="shared" si="6"/>
        <v>0</v>
      </c>
      <c r="F265" s="609"/>
      <c r="G265" s="1224">
        <f t="shared" si="7"/>
        <v>0</v>
      </c>
      <c r="I265" s="615">
        <v>314.8076739070579</v>
      </c>
      <c r="K265" s="1224">
        <f t="shared" si="8"/>
        <v>0</v>
      </c>
      <c r="L265" s="609"/>
      <c r="M265" s="1224">
        <f t="shared" si="9"/>
        <v>0</v>
      </c>
    </row>
    <row r="266" spans="2:13" x14ac:dyDescent="0.4">
      <c r="B266" s="609">
        <f t="shared" si="5"/>
        <v>2040</v>
      </c>
      <c r="C266" s="615">
        <v>300.38283277956452</v>
      </c>
      <c r="E266" s="1224">
        <f t="shared" si="6"/>
        <v>0</v>
      </c>
      <c r="F266" s="609"/>
      <c r="G266" s="1224">
        <f t="shared" si="7"/>
        <v>0</v>
      </c>
      <c r="I266" s="615">
        <v>300.38283277956452</v>
      </c>
      <c r="K266" s="1224">
        <f t="shared" si="8"/>
        <v>0</v>
      </c>
      <c r="L266" s="609"/>
      <c r="M266" s="1224">
        <f t="shared" si="9"/>
        <v>0</v>
      </c>
    </row>
    <row r="267" spans="2:13" x14ac:dyDescent="0.4">
      <c r="B267" s="609">
        <f t="shared" si="5"/>
        <v>2041</v>
      </c>
      <c r="C267" s="615">
        <v>286.4588677628451</v>
      </c>
      <c r="E267" s="1224">
        <f t="shared" si="6"/>
        <v>0</v>
      </c>
      <c r="F267" s="609"/>
      <c r="G267" s="1224">
        <f t="shared" si="7"/>
        <v>0</v>
      </c>
      <c r="I267" s="615">
        <v>286.4588677628451</v>
      </c>
      <c r="K267" s="1224">
        <f t="shared" si="8"/>
        <v>0</v>
      </c>
      <c r="L267" s="609"/>
      <c r="M267" s="1224">
        <f t="shared" si="9"/>
        <v>0</v>
      </c>
    </row>
    <row r="268" spans="2:13" x14ac:dyDescent="0.4">
      <c r="B268" s="609">
        <f t="shared" si="5"/>
        <v>2042</v>
      </c>
      <c r="C268" s="615">
        <v>270.48688375807086</v>
      </c>
      <c r="E268" s="1224">
        <f t="shared" si="6"/>
        <v>0</v>
      </c>
      <c r="F268" s="609"/>
      <c r="G268" s="1224">
        <f t="shared" si="7"/>
        <v>0</v>
      </c>
      <c r="I268" s="615">
        <v>270.48688375807086</v>
      </c>
      <c r="K268" s="1224">
        <f t="shared" si="8"/>
        <v>0</v>
      </c>
      <c r="L268" s="609"/>
      <c r="M268" s="1224">
        <f t="shared" si="9"/>
        <v>0</v>
      </c>
    </row>
    <row r="269" spans="2:13" x14ac:dyDescent="0.4">
      <c r="B269" s="609">
        <f t="shared" si="5"/>
        <v>2043</v>
      </c>
      <c r="C269" s="615">
        <v>253.49381887061571</v>
      </c>
      <c r="E269" s="1224">
        <f t="shared" si="6"/>
        <v>0</v>
      </c>
      <c r="F269" s="609"/>
      <c r="G269" s="1224">
        <f t="shared" si="7"/>
        <v>0</v>
      </c>
      <c r="I269" s="615">
        <v>253.49381887061571</v>
      </c>
      <c r="K269" s="1224">
        <f t="shared" si="8"/>
        <v>0</v>
      </c>
      <c r="L269" s="609"/>
      <c r="M269" s="1224">
        <f t="shared" si="9"/>
        <v>0</v>
      </c>
    </row>
    <row r="270" spans="2:13" x14ac:dyDescent="0.4">
      <c r="B270" s="609">
        <f t="shared" si="5"/>
        <v>2044</v>
      </c>
      <c r="C270" s="615">
        <v>235.4775635355135</v>
      </c>
      <c r="E270" s="1224">
        <f t="shared" si="6"/>
        <v>0</v>
      </c>
      <c r="F270" s="609"/>
      <c r="G270" s="1224">
        <f t="shared" si="7"/>
        <v>0</v>
      </c>
      <c r="I270" s="615">
        <v>235.4775635355135</v>
      </c>
      <c r="K270" s="1224">
        <f t="shared" si="8"/>
        <v>0</v>
      </c>
      <c r="L270" s="609"/>
      <c r="M270" s="1224">
        <f t="shared" si="9"/>
        <v>0</v>
      </c>
    </row>
    <row r="271" spans="2:13" x14ac:dyDescent="0.4">
      <c r="B271" s="609">
        <f t="shared" si="5"/>
        <v>2045</v>
      </c>
      <c r="C271" s="615">
        <v>216.45873479746567</v>
      </c>
      <c r="E271" s="1224">
        <f t="shared" si="6"/>
        <v>0</v>
      </c>
      <c r="F271" s="609"/>
      <c r="G271" s="1224">
        <f t="shared" si="7"/>
        <v>0</v>
      </c>
      <c r="I271" s="615">
        <v>216.45873479746567</v>
      </c>
      <c r="K271" s="1224">
        <f t="shared" si="8"/>
        <v>0</v>
      </c>
      <c r="L271" s="609"/>
      <c r="M271" s="1224">
        <f t="shared" si="9"/>
        <v>0</v>
      </c>
    </row>
    <row r="272" spans="2:13" x14ac:dyDescent="0.4">
      <c r="B272" s="609">
        <f t="shared" si="5"/>
        <v>2046</v>
      </c>
      <c r="C272" s="615">
        <v>196.34575827443999</v>
      </c>
      <c r="E272" s="1224">
        <f t="shared" si="6"/>
        <v>0</v>
      </c>
      <c r="F272" s="609"/>
      <c r="G272" s="1224">
        <f t="shared" si="7"/>
        <v>0</v>
      </c>
      <c r="I272" s="615">
        <v>196.34575827443999</v>
      </c>
      <c r="K272" s="1224">
        <f t="shared" si="8"/>
        <v>0</v>
      </c>
      <c r="L272" s="609"/>
      <c r="M272" s="1224">
        <f t="shared" si="9"/>
        <v>0</v>
      </c>
    </row>
    <row r="273" spans="2:13" x14ac:dyDescent="0.4">
      <c r="B273" s="609">
        <f t="shared" si="5"/>
        <v>2047</v>
      </c>
      <c r="C273" s="615">
        <v>175.14339725404238</v>
      </c>
      <c r="E273" s="1224">
        <f t="shared" si="6"/>
        <v>0</v>
      </c>
      <c r="F273" s="609"/>
      <c r="G273" s="1224">
        <f t="shared" si="7"/>
        <v>0</v>
      </c>
      <c r="I273" s="615">
        <v>175.14339725404238</v>
      </c>
      <c r="K273" s="1224">
        <f t="shared" si="8"/>
        <v>0</v>
      </c>
      <c r="L273" s="609"/>
      <c r="M273" s="1224">
        <f t="shared" si="9"/>
        <v>0</v>
      </c>
    </row>
    <row r="274" spans="2:13" x14ac:dyDescent="0.4">
      <c r="B274" s="609">
        <f t="shared" si="5"/>
        <v>2048</v>
      </c>
      <c r="C274" s="615">
        <v>152.86380451033244</v>
      </c>
      <c r="E274" s="1224">
        <f t="shared" si="6"/>
        <v>0</v>
      </c>
      <c r="F274" s="609"/>
      <c r="G274" s="1224">
        <f t="shared" si="7"/>
        <v>0</v>
      </c>
      <c r="I274" s="615">
        <v>152.86380451033244</v>
      </c>
      <c r="K274" s="1224">
        <f t="shared" si="8"/>
        <v>0</v>
      </c>
      <c r="L274" s="609"/>
      <c r="M274" s="1224">
        <f t="shared" si="9"/>
        <v>0</v>
      </c>
    </row>
    <row r="275" spans="2:13" x14ac:dyDescent="0.4">
      <c r="B275" s="609">
        <f t="shared" si="5"/>
        <v>2049</v>
      </c>
      <c r="C275" s="615">
        <v>129.50314312951471</v>
      </c>
      <c r="E275" s="1224">
        <f t="shared" si="6"/>
        <v>0</v>
      </c>
      <c r="F275" s="609"/>
      <c r="G275" s="1224">
        <f t="shared" si="7"/>
        <v>0</v>
      </c>
      <c r="I275" s="615">
        <v>129.50314312951471</v>
      </c>
      <c r="K275" s="1224">
        <f t="shared" si="8"/>
        <v>0</v>
      </c>
      <c r="L275" s="609"/>
      <c r="M275" s="1224">
        <f t="shared" si="9"/>
        <v>0</v>
      </c>
    </row>
    <row r="276" spans="2:13" x14ac:dyDescent="0.4">
      <c r="B276" s="609">
        <f t="shared" si="5"/>
        <v>2050</v>
      </c>
      <c r="C276" s="615">
        <v>104.92354182197434</v>
      </c>
      <c r="E276" s="1224">
        <f t="shared" si="6"/>
        <v>0</v>
      </c>
      <c r="F276" s="609"/>
      <c r="G276" s="1224">
        <f t="shared" si="7"/>
        <v>0</v>
      </c>
      <c r="I276" s="615">
        <v>104.92354182197434</v>
      </c>
      <c r="K276" s="1224">
        <f t="shared" si="8"/>
        <v>0</v>
      </c>
      <c r="L276" s="609"/>
      <c r="M276" s="1224">
        <f t="shared" si="9"/>
        <v>0</v>
      </c>
    </row>
    <row r="277" spans="2:13" x14ac:dyDescent="0.4">
      <c r="B277" s="609">
        <f t="shared" si="5"/>
        <v>2051</v>
      </c>
      <c r="C277" s="615">
        <v>86.88002766042608</v>
      </c>
      <c r="E277" s="1224">
        <f t="shared" si="6"/>
        <v>0</v>
      </c>
      <c r="F277" s="609"/>
      <c r="G277" s="1224">
        <f t="shared" si="7"/>
        <v>0</v>
      </c>
      <c r="I277" s="615">
        <v>86.88002766042608</v>
      </c>
      <c r="K277" s="1224">
        <f t="shared" si="8"/>
        <v>0</v>
      </c>
      <c r="L277" s="609"/>
      <c r="M277" s="1224">
        <f t="shared" si="9"/>
        <v>0</v>
      </c>
    </row>
    <row r="278" spans="2:13" x14ac:dyDescent="0.4">
      <c r="B278" s="609">
        <f t="shared" si="5"/>
        <v>2052</v>
      </c>
      <c r="C278" s="615">
        <v>67.157289391625454</v>
      </c>
      <c r="E278" s="1224">
        <f t="shared" si="6"/>
        <v>0</v>
      </c>
      <c r="F278" s="609"/>
      <c r="G278" s="1224">
        <f t="shared" si="7"/>
        <v>0</v>
      </c>
      <c r="I278" s="615">
        <v>67.157289391625454</v>
      </c>
      <c r="K278" s="1224">
        <f t="shared" si="8"/>
        <v>0</v>
      </c>
      <c r="L278" s="609"/>
      <c r="M278" s="1224">
        <f t="shared" si="9"/>
        <v>0</v>
      </c>
    </row>
    <row r="279" spans="2:13" x14ac:dyDescent="0.4">
      <c r="B279" s="609">
        <f t="shared" si="5"/>
        <v>2053</v>
      </c>
      <c r="C279" s="615">
        <v>46.461163445345569</v>
      </c>
      <c r="E279" s="1224">
        <f t="shared" si="6"/>
        <v>0</v>
      </c>
      <c r="F279" s="609"/>
      <c r="G279" s="1224">
        <f t="shared" si="7"/>
        <v>0</v>
      </c>
      <c r="I279" s="615">
        <v>46.461163445345569</v>
      </c>
      <c r="K279" s="1224">
        <f t="shared" si="8"/>
        <v>0</v>
      </c>
      <c r="L279" s="609"/>
      <c r="M279" s="1224">
        <f t="shared" si="9"/>
        <v>0</v>
      </c>
    </row>
    <row r="280" spans="2:13" x14ac:dyDescent="0.4">
      <c r="B280" s="609">
        <f t="shared" si="5"/>
        <v>2054</v>
      </c>
      <c r="C280" s="615">
        <v>24.796240222912587</v>
      </c>
      <c r="E280" s="1224">
        <f t="shared" si="6"/>
        <v>0</v>
      </c>
      <c r="F280" s="609"/>
      <c r="G280" s="1224">
        <f t="shared" si="7"/>
        <v>0</v>
      </c>
      <c r="I280" s="615">
        <v>24.796240222912587</v>
      </c>
      <c r="K280" s="1224">
        <f t="shared" si="8"/>
        <v>0</v>
      </c>
      <c r="L280" s="609"/>
      <c r="M280" s="1224">
        <f t="shared" si="9"/>
        <v>0</v>
      </c>
    </row>
    <row r="281" spans="2:13" x14ac:dyDescent="0.4">
      <c r="B281" s="609">
        <f t="shared" si="5"/>
        <v>2055</v>
      </c>
      <c r="C281" s="615">
        <v>18.904269387809961</v>
      </c>
      <c r="E281" s="1224">
        <f t="shared" si="6"/>
        <v>0</v>
      </c>
      <c r="F281" s="609"/>
      <c r="G281" s="1224">
        <f t="shared" si="7"/>
        <v>0</v>
      </c>
      <c r="I281" s="615">
        <v>18.904269387809961</v>
      </c>
      <c r="K281" s="1224">
        <f t="shared" si="8"/>
        <v>0</v>
      </c>
      <c r="L281" s="609"/>
      <c r="M281" s="1224">
        <f t="shared" si="9"/>
        <v>0</v>
      </c>
    </row>
    <row r="282" spans="2:13" x14ac:dyDescent="0.4">
      <c r="B282" s="609">
        <f t="shared" si="5"/>
        <v>2056</v>
      </c>
      <c r="C282" s="615">
        <v>13.705827504664255</v>
      </c>
      <c r="E282" s="1224">
        <f t="shared" si="6"/>
        <v>0</v>
      </c>
      <c r="F282" s="609"/>
      <c r="G282" s="1224">
        <f t="shared" si="7"/>
        <v>0</v>
      </c>
      <c r="I282" s="615">
        <v>13.705827504664255</v>
      </c>
      <c r="K282" s="1224">
        <f t="shared" si="8"/>
        <v>0</v>
      </c>
      <c r="L282" s="609"/>
      <c r="M282" s="1224">
        <f t="shared" si="9"/>
        <v>0</v>
      </c>
    </row>
    <row r="283" spans="2:13" x14ac:dyDescent="0.4">
      <c r="B283" s="609">
        <f t="shared" si="5"/>
        <v>2057</v>
      </c>
      <c r="C283" s="615">
        <v>5.8251796676353766</v>
      </c>
      <c r="E283" s="1224">
        <f t="shared" si="6"/>
        <v>0</v>
      </c>
      <c r="F283" s="609"/>
      <c r="G283" s="1224">
        <f t="shared" si="7"/>
        <v>0</v>
      </c>
      <c r="I283" s="615">
        <v>5.8251796676353766</v>
      </c>
      <c r="K283" s="1224">
        <f t="shared" si="8"/>
        <v>0</v>
      </c>
      <c r="L283" s="609"/>
      <c r="M283" s="1224">
        <f t="shared" si="9"/>
        <v>0</v>
      </c>
    </row>
    <row r="284" spans="2:13" x14ac:dyDescent="0.4">
      <c r="B284" s="609">
        <f t="shared" si="5"/>
        <v>2058</v>
      </c>
      <c r="C284" s="615">
        <v>-0.12380307013624227</v>
      </c>
      <c r="E284" s="1224">
        <f t="shared" si="6"/>
        <v>0</v>
      </c>
      <c r="F284" s="609"/>
      <c r="G284" s="1224">
        <f t="shared" si="7"/>
        <v>0</v>
      </c>
      <c r="I284" s="615">
        <v>-0.12380307013624227</v>
      </c>
      <c r="K284" s="1224">
        <f t="shared" si="8"/>
        <v>0</v>
      </c>
      <c r="L284" s="609"/>
      <c r="M284" s="1224">
        <f t="shared" si="9"/>
        <v>0</v>
      </c>
    </row>
    <row r="285" spans="2:13" x14ac:dyDescent="0.4">
      <c r="B285" s="609">
        <f t="shared" si="5"/>
        <v>2059</v>
      </c>
      <c r="C285" s="615">
        <v>-4.8929510635992903</v>
      </c>
      <c r="E285" s="1224">
        <f t="shared" si="6"/>
        <v>0</v>
      </c>
      <c r="F285" s="609"/>
      <c r="G285" s="1224">
        <f t="shared" si="7"/>
        <v>0</v>
      </c>
      <c r="I285" s="615">
        <v>-4.8929510635992903</v>
      </c>
      <c r="K285" s="1224">
        <f t="shared" si="8"/>
        <v>0</v>
      </c>
      <c r="L285" s="609"/>
      <c r="M285" s="1224">
        <f t="shared" si="9"/>
        <v>0</v>
      </c>
    </row>
    <row r="286" spans="2:13" x14ac:dyDescent="0.4">
      <c r="B286" s="609">
        <f t="shared" si="5"/>
        <v>2060</v>
      </c>
      <c r="C286" s="615">
        <v>-9.9161664804092684</v>
      </c>
      <c r="E286" s="1224">
        <f t="shared" si="6"/>
        <v>0</v>
      </c>
      <c r="F286" s="609"/>
      <c r="G286" s="1224">
        <f t="shared" si="7"/>
        <v>0</v>
      </c>
      <c r="I286" s="615">
        <v>-9.9161664804092684</v>
      </c>
      <c r="K286" s="1224">
        <f t="shared" si="8"/>
        <v>0</v>
      </c>
      <c r="L286" s="609"/>
      <c r="M286" s="1224">
        <f t="shared" si="9"/>
        <v>0</v>
      </c>
    </row>
    <row r="287" spans="2:13" x14ac:dyDescent="0.4">
      <c r="C287" s="1"/>
      <c r="E287" s="1"/>
      <c r="G287" s="1"/>
      <c r="I287" s="1"/>
      <c r="K287" s="1"/>
      <c r="M287" s="1"/>
    </row>
    <row r="288" spans="2:13" x14ac:dyDescent="0.4">
      <c r="B288" s="1" t="s">
        <v>424</v>
      </c>
      <c r="C288" s="618" t="s">
        <v>420</v>
      </c>
      <c r="E288" s="618" t="s">
        <v>420</v>
      </c>
      <c r="G288" s="1215" t="s">
        <v>1129</v>
      </c>
      <c r="I288" s="618" t="s">
        <v>1129</v>
      </c>
      <c r="K288" s="618" t="s">
        <v>420</v>
      </c>
      <c r="M288" s="1215" t="s">
        <v>1129</v>
      </c>
    </row>
    <row r="289" spans="1:13" x14ac:dyDescent="0.4">
      <c r="C289" s="618" t="s">
        <v>402</v>
      </c>
      <c r="D289" s="618" t="s">
        <v>422</v>
      </c>
      <c r="E289" s="618" t="s">
        <v>423</v>
      </c>
      <c r="F289" s="618" t="s">
        <v>431</v>
      </c>
      <c r="G289" s="618" t="s">
        <v>423</v>
      </c>
      <c r="H289" s="619" t="s">
        <v>426</v>
      </c>
      <c r="I289" s="618" t="s">
        <v>402</v>
      </c>
      <c r="J289" s="618" t="s">
        <v>422</v>
      </c>
      <c r="K289" s="618" t="s">
        <v>423</v>
      </c>
      <c r="L289" s="618" t="s">
        <v>425</v>
      </c>
      <c r="M289" s="618" t="s">
        <v>423</v>
      </c>
    </row>
    <row r="290" spans="1:13" x14ac:dyDescent="0.4">
      <c r="B290" s="609">
        <f>B240</f>
        <v>2014</v>
      </c>
      <c r="C290" s="615">
        <v>76.323108000000005</v>
      </c>
      <c r="E290" s="1224">
        <f>E126</f>
        <v>23.802159959999997</v>
      </c>
      <c r="F290" s="609"/>
      <c r="G290" s="1224">
        <f>I126</f>
        <v>23.802159959999997</v>
      </c>
      <c r="I290" s="615">
        <v>76.323108000000005</v>
      </c>
      <c r="K290" s="1224">
        <f>N126</f>
        <v>23.802159959999997</v>
      </c>
      <c r="M290" s="1224">
        <f>R126</f>
        <v>23.802159959999997</v>
      </c>
    </row>
    <row r="291" spans="1:13" x14ac:dyDescent="0.4">
      <c r="B291" s="609">
        <f t="shared" ref="B291:B336" si="10">B241</f>
        <v>2015</v>
      </c>
      <c r="C291" s="615">
        <v>80.335080494170171</v>
      </c>
      <c r="E291" s="1224">
        <f t="shared" ref="E291:E336" si="11">E127</f>
        <v>25.0214508</v>
      </c>
      <c r="F291" s="609"/>
      <c r="G291" s="1224">
        <f t="shared" ref="G291:G336" si="12">I127</f>
        <v>25.0214508</v>
      </c>
      <c r="I291" s="615">
        <v>80.335080494170171</v>
      </c>
      <c r="K291" s="1224">
        <f t="shared" ref="K291:K336" si="13">N127</f>
        <v>25.0214508</v>
      </c>
      <c r="L291" s="609"/>
      <c r="M291" s="1224">
        <f t="shared" ref="M291:M336" si="14">R127</f>
        <v>25.0214508</v>
      </c>
    </row>
    <row r="292" spans="1:13" x14ac:dyDescent="0.4">
      <c r="B292" s="609">
        <f t="shared" si="10"/>
        <v>2016</v>
      </c>
      <c r="C292" s="615">
        <v>83.466650346129754</v>
      </c>
      <c r="E292" s="1224">
        <f t="shared" si="11"/>
        <v>26.016150959999997</v>
      </c>
      <c r="F292" s="609"/>
      <c r="G292" s="1224">
        <f t="shared" si="12"/>
        <v>26.016150960000001</v>
      </c>
      <c r="I292" s="615">
        <v>83.466650346129754</v>
      </c>
      <c r="K292" s="1224">
        <f t="shared" si="13"/>
        <v>26.016150959999997</v>
      </c>
      <c r="L292" s="609"/>
      <c r="M292" s="1224">
        <f t="shared" si="14"/>
        <v>26.016150960000001</v>
      </c>
    </row>
    <row r="293" spans="1:13" x14ac:dyDescent="0.4">
      <c r="B293" s="609">
        <f t="shared" si="10"/>
        <v>2017</v>
      </c>
      <c r="C293" s="615">
        <v>85.247302300478623</v>
      </c>
      <c r="E293" s="1224">
        <f t="shared" si="11"/>
        <v>26.572987800000003</v>
      </c>
      <c r="F293" s="609"/>
      <c r="G293" s="1224">
        <f t="shared" si="12"/>
        <v>26.572987800000003</v>
      </c>
      <c r="I293" s="615">
        <v>85.247302300478623</v>
      </c>
      <c r="K293" s="1224">
        <f t="shared" si="13"/>
        <v>26.572987800000003</v>
      </c>
      <c r="L293" s="609"/>
      <c r="M293" s="1224">
        <f t="shared" si="14"/>
        <v>26.572987800000003</v>
      </c>
    </row>
    <row r="294" spans="1:13" ht="17.7" x14ac:dyDescent="0.6">
      <c r="A294" s="620" t="s">
        <v>408</v>
      </c>
      <c r="B294" s="609">
        <f t="shared" si="10"/>
        <v>2018</v>
      </c>
      <c r="C294" s="615">
        <v>86.252348650452873</v>
      </c>
      <c r="E294" s="1224">
        <f t="shared" si="11"/>
        <v>26.887146552000008</v>
      </c>
      <c r="F294" s="609"/>
      <c r="G294" s="1224">
        <f t="shared" si="12"/>
        <v>26.887146552000008</v>
      </c>
      <c r="I294" s="615">
        <v>86.252348650452873</v>
      </c>
      <c r="K294" s="1224">
        <f t="shared" si="13"/>
        <v>26.887146552000008</v>
      </c>
      <c r="L294" s="609"/>
      <c r="M294" s="1224">
        <f t="shared" si="14"/>
        <v>26.887146552000008</v>
      </c>
    </row>
    <row r="295" spans="1:13" x14ac:dyDescent="0.4">
      <c r="A295" s="609" t="s">
        <v>421</v>
      </c>
      <c r="B295" s="609">
        <f t="shared" si="10"/>
        <v>2019</v>
      </c>
      <c r="C295" s="615">
        <v>131.53695343821437</v>
      </c>
      <c r="E295" s="1224">
        <f t="shared" si="11"/>
        <v>38.983440300426977</v>
      </c>
      <c r="F295" s="609"/>
      <c r="G295" s="1224">
        <f t="shared" si="12"/>
        <v>35.379666328291968</v>
      </c>
      <c r="I295" s="615">
        <v>115.33971137886977</v>
      </c>
      <c r="K295" s="1224">
        <f t="shared" si="13"/>
        <v>38.983440300426977</v>
      </c>
      <c r="L295" s="609"/>
      <c r="M295" s="1224">
        <f t="shared" si="14"/>
        <v>35.379666328291968</v>
      </c>
    </row>
    <row r="296" spans="1:13" x14ac:dyDescent="0.4">
      <c r="B296" s="609">
        <f t="shared" si="10"/>
        <v>2020</v>
      </c>
      <c r="C296" s="615">
        <v>148.43143605503346</v>
      </c>
      <c r="E296" s="1224">
        <f t="shared" si="11"/>
        <v>42.798705434678645</v>
      </c>
      <c r="F296" s="609"/>
      <c r="G296" s="1224">
        <f t="shared" si="12"/>
        <v>37.779549996075865</v>
      </c>
      <c r="I296" s="615">
        <v>124.83436849289356</v>
      </c>
      <c r="K296" s="1224">
        <f t="shared" si="13"/>
        <v>42.798705434678645</v>
      </c>
      <c r="L296" s="609"/>
      <c r="M296" s="1224">
        <f t="shared" si="14"/>
        <v>37.779549996075865</v>
      </c>
    </row>
    <row r="297" spans="1:13" x14ac:dyDescent="0.4">
      <c r="B297" s="609">
        <f t="shared" si="10"/>
        <v>2021</v>
      </c>
      <c r="C297" s="615">
        <v>164.98401716621134</v>
      </c>
      <c r="E297" s="1224">
        <f t="shared" si="11"/>
        <v>46.736252265010435</v>
      </c>
      <c r="F297" s="609"/>
      <c r="G297" s="1224">
        <f t="shared" si="12"/>
        <v>40.134486518956166</v>
      </c>
      <c r="I297" s="615">
        <v>134.70081777415115</v>
      </c>
      <c r="K297" s="1224">
        <f t="shared" si="13"/>
        <v>46.736252265010435</v>
      </c>
      <c r="L297" s="609"/>
      <c r="M297" s="1224">
        <f t="shared" si="14"/>
        <v>40.134486518956166</v>
      </c>
    </row>
    <row r="298" spans="1:13" x14ac:dyDescent="0.4">
      <c r="B298" s="609">
        <f t="shared" si="10"/>
        <v>2022</v>
      </c>
      <c r="C298" s="615">
        <v>183.40806169463895</v>
      </c>
      <c r="E298" s="1224">
        <f t="shared" si="11"/>
        <v>50.806377378688339</v>
      </c>
      <c r="F298" s="609"/>
      <c r="G298" s="1224">
        <f t="shared" si="12"/>
        <v>42.467287212187713</v>
      </c>
      <c r="I298" s="615">
        <v>145.14796648202415</v>
      </c>
      <c r="K298" s="1224">
        <f t="shared" si="13"/>
        <v>50.806377378688339</v>
      </c>
      <c r="L298" s="609"/>
      <c r="M298" s="1224">
        <f t="shared" si="14"/>
        <v>42.467287212187713</v>
      </c>
    </row>
    <row r="299" spans="1:13" x14ac:dyDescent="0.4">
      <c r="B299" s="609">
        <f t="shared" si="10"/>
        <v>2023</v>
      </c>
      <c r="C299" s="615">
        <v>203.32153126290891</v>
      </c>
      <c r="E299" s="1224">
        <f t="shared" si="11"/>
        <v>54.993820099953695</v>
      </c>
      <c r="F299" s="609"/>
      <c r="G299" s="1224">
        <f t="shared" si="12"/>
        <v>44.777644097613653</v>
      </c>
      <c r="I299" s="615">
        <v>156.36637795576289</v>
      </c>
      <c r="K299" s="1224">
        <f t="shared" si="13"/>
        <v>54.993820099953695</v>
      </c>
      <c r="L299" s="609"/>
      <c r="M299" s="1224">
        <f t="shared" si="14"/>
        <v>44.777644097613653</v>
      </c>
    </row>
    <row r="300" spans="1:13" x14ac:dyDescent="0.4">
      <c r="B300" s="609">
        <f t="shared" si="10"/>
        <v>2024</v>
      </c>
      <c r="C300" s="615">
        <v>225.20239623539939</v>
      </c>
      <c r="E300" s="1224">
        <f t="shared" si="11"/>
        <v>59.282446062561277</v>
      </c>
      <c r="F300" s="609"/>
      <c r="G300" s="1224">
        <f t="shared" si="12"/>
        <v>47.064543134140642</v>
      </c>
      <c r="I300" s="615">
        <v>168.68978120148873</v>
      </c>
      <c r="K300" s="1224">
        <f t="shared" si="13"/>
        <v>59.282446062561277</v>
      </c>
      <c r="L300" s="609"/>
      <c r="M300" s="1224">
        <f t="shared" si="14"/>
        <v>47.064543134140642</v>
      </c>
    </row>
    <row r="301" spans="1:13" x14ac:dyDescent="0.4">
      <c r="B301" s="609">
        <f t="shared" si="10"/>
        <v>2025</v>
      </c>
      <c r="C301" s="615">
        <v>248.58232340051248</v>
      </c>
      <c r="E301" s="1224">
        <f t="shared" si="11"/>
        <v>63.656241688118101</v>
      </c>
      <c r="F301" s="609"/>
      <c r="G301" s="1224">
        <f t="shared" si="12"/>
        <v>49.327123690130321</v>
      </c>
      <c r="I301" s="615">
        <v>182.5054434999212</v>
      </c>
      <c r="K301" s="1224">
        <f t="shared" si="13"/>
        <v>63.656241688118101</v>
      </c>
      <c r="L301" s="609"/>
      <c r="M301" s="1224">
        <f t="shared" si="14"/>
        <v>49.327123690130321</v>
      </c>
    </row>
    <row r="302" spans="1:13" x14ac:dyDescent="0.4">
      <c r="B302" s="609">
        <f t="shared" si="10"/>
        <v>2026</v>
      </c>
      <c r="C302" s="615">
        <v>276.88886641160354</v>
      </c>
      <c r="E302" s="1224">
        <f t="shared" si="11"/>
        <v>61.366106233369443</v>
      </c>
      <c r="F302" s="609"/>
      <c r="G302" s="1224">
        <f t="shared" si="12"/>
        <v>51.565269208172893</v>
      </c>
      <c r="I302" s="615">
        <v>197.94384454223737</v>
      </c>
      <c r="K302" s="1224">
        <f t="shared" si="13"/>
        <v>68.100112894931939</v>
      </c>
      <c r="L302" s="609"/>
      <c r="M302" s="1224">
        <f t="shared" si="14"/>
        <v>51.565269208172893</v>
      </c>
    </row>
    <row r="303" spans="1:13" x14ac:dyDescent="0.4">
      <c r="B303" s="609">
        <f t="shared" si="10"/>
        <v>2027</v>
      </c>
      <c r="C303" s="615">
        <v>307.68385996448245</v>
      </c>
      <c r="E303" s="1224">
        <f t="shared" si="11"/>
        <v>40.927035526691306</v>
      </c>
      <c r="F303" s="609"/>
      <c r="G303" s="1224">
        <f t="shared" si="12"/>
        <v>40.927035526691306</v>
      </c>
      <c r="I303" s="615">
        <v>215.459848413907</v>
      </c>
      <c r="K303" s="1224">
        <f t="shared" si="13"/>
        <v>67.675036254026082</v>
      </c>
      <c r="L303" s="609"/>
      <c r="M303" s="1224">
        <f t="shared" si="14"/>
        <v>53.779365719005682</v>
      </c>
    </row>
    <row r="304" spans="1:13" x14ac:dyDescent="0.4">
      <c r="B304" s="609">
        <f t="shared" si="10"/>
        <v>2028</v>
      </c>
      <c r="C304" s="615">
        <v>342.16106824460803</v>
      </c>
      <c r="E304" s="1224">
        <f t="shared" si="11"/>
        <v>22.205157647442583</v>
      </c>
      <c r="F304" s="609"/>
      <c r="G304" s="1224">
        <f t="shared" si="12"/>
        <v>22.205157647442583</v>
      </c>
      <c r="I304" s="615">
        <v>235.0823306615292</v>
      </c>
      <c r="K304" s="1224">
        <f t="shared" si="13"/>
        <v>51.633058286326403</v>
      </c>
      <c r="L304" s="609"/>
      <c r="M304" s="1224">
        <f t="shared" si="14"/>
        <v>51.633058286326403</v>
      </c>
    </row>
    <row r="305" spans="2:13" x14ac:dyDescent="0.4">
      <c r="B305" s="609">
        <f t="shared" si="10"/>
        <v>2029</v>
      </c>
      <c r="C305" s="615">
        <v>372.92057190687314</v>
      </c>
      <c r="E305" s="1224">
        <f t="shared" si="11"/>
        <v>8.557968155218008</v>
      </c>
      <c r="F305" s="609"/>
      <c r="G305" s="1224">
        <f t="shared" si="12"/>
        <v>8.557968155218008</v>
      </c>
      <c r="I305" s="615">
        <v>251.76294113097006</v>
      </c>
      <c r="K305" s="1224">
        <f t="shared" si="13"/>
        <v>40.652192216366835</v>
      </c>
      <c r="L305" s="609"/>
      <c r="M305" s="1224">
        <f t="shared" si="14"/>
        <v>40.652192216366835</v>
      </c>
    </row>
    <row r="306" spans="2:13" x14ac:dyDescent="0.4">
      <c r="B306" s="609">
        <f t="shared" si="10"/>
        <v>2030</v>
      </c>
      <c r="C306" s="615">
        <v>387.1049898910918</v>
      </c>
      <c r="E306" s="1224">
        <f t="shared" si="11"/>
        <v>4.4591084581720555</v>
      </c>
      <c r="F306" s="609"/>
      <c r="G306" s="1224">
        <f t="shared" si="12"/>
        <v>4.4591084581720555</v>
      </c>
      <c r="I306" s="615">
        <v>257.31425670747137</v>
      </c>
      <c r="K306" s="1224">
        <f t="shared" si="13"/>
        <v>39.110468255136929</v>
      </c>
      <c r="L306" s="609"/>
      <c r="M306" s="1224">
        <f t="shared" si="14"/>
        <v>39.110468255136929</v>
      </c>
    </row>
    <row r="307" spans="2:13" x14ac:dyDescent="0.4">
      <c r="B307" s="609">
        <f t="shared" si="10"/>
        <v>2031</v>
      </c>
      <c r="C307" s="615">
        <v>397.46321728603868</v>
      </c>
      <c r="E307" s="1224">
        <f t="shared" si="11"/>
        <v>0</v>
      </c>
      <c r="F307" s="609"/>
      <c r="G307" s="1224">
        <f t="shared" si="12"/>
        <v>0</v>
      </c>
      <c r="I307" s="615">
        <v>263.27768901712528</v>
      </c>
      <c r="K307" s="1224">
        <f t="shared" si="13"/>
        <v>35.997165496616439</v>
      </c>
      <c r="L307" s="609"/>
      <c r="M307" s="1224">
        <f t="shared" si="14"/>
        <v>35.997165496616439</v>
      </c>
    </row>
    <row r="308" spans="2:13" x14ac:dyDescent="0.4">
      <c r="B308" s="609">
        <f t="shared" si="10"/>
        <v>2032</v>
      </c>
      <c r="C308" s="615">
        <v>390.20232271675826</v>
      </c>
      <c r="E308" s="1224">
        <f t="shared" si="11"/>
        <v>0</v>
      </c>
      <c r="F308" s="609"/>
      <c r="G308" s="1224">
        <f t="shared" si="12"/>
        <v>0</v>
      </c>
      <c r="I308" s="615">
        <v>268.81775605109823</v>
      </c>
      <c r="K308" s="1224">
        <f t="shared" si="13"/>
        <v>32.735867008577735</v>
      </c>
      <c r="L308" s="609"/>
      <c r="M308" s="1224">
        <f t="shared" si="14"/>
        <v>32.735867008577735</v>
      </c>
    </row>
    <row r="309" spans="2:13" x14ac:dyDescent="0.4">
      <c r="B309" s="609">
        <f t="shared" si="10"/>
        <v>2033</v>
      </c>
      <c r="C309" s="615">
        <v>381.42951880879912</v>
      </c>
      <c r="E309" s="1224">
        <f t="shared" si="11"/>
        <v>0</v>
      </c>
      <c r="F309" s="609"/>
      <c r="G309" s="1224">
        <f t="shared" si="12"/>
        <v>0</v>
      </c>
      <c r="I309" s="615">
        <v>273.90899823461581</v>
      </c>
      <c r="K309" s="1224">
        <f t="shared" si="13"/>
        <v>29.162910487590466</v>
      </c>
      <c r="L309" s="609"/>
      <c r="M309" s="1224">
        <f t="shared" si="14"/>
        <v>29.162910487590466</v>
      </c>
    </row>
    <row r="310" spans="2:13" x14ac:dyDescent="0.4">
      <c r="B310" s="609">
        <f t="shared" si="10"/>
        <v>2034</v>
      </c>
      <c r="C310" s="615">
        <v>371.02955894876277</v>
      </c>
      <c r="E310" s="1224">
        <f t="shared" si="11"/>
        <v>0</v>
      </c>
      <c r="F310" s="609"/>
      <c r="G310" s="1224">
        <f t="shared" si="12"/>
        <v>0</v>
      </c>
      <c r="I310" s="615">
        <v>278.45615178484189</v>
      </c>
      <c r="K310" s="1224">
        <f t="shared" si="13"/>
        <v>25.266554582109503</v>
      </c>
      <c r="L310" s="609"/>
      <c r="M310" s="1224">
        <f t="shared" si="14"/>
        <v>25.266554582109503</v>
      </c>
    </row>
    <row r="311" spans="2:13" x14ac:dyDescent="0.4">
      <c r="B311" s="609">
        <f t="shared" si="10"/>
        <v>2035</v>
      </c>
      <c r="C311" s="615">
        <v>358.9081586214146</v>
      </c>
      <c r="E311" s="1224">
        <f t="shared" si="11"/>
        <v>0</v>
      </c>
      <c r="F311" s="609"/>
      <c r="G311" s="1224">
        <f t="shared" si="12"/>
        <v>0</v>
      </c>
      <c r="I311" s="615">
        <v>282.54949459694927</v>
      </c>
      <c r="K311" s="1224">
        <f t="shared" si="13"/>
        <v>20.987437217384656</v>
      </c>
      <c r="L311" s="609"/>
      <c r="M311" s="1224">
        <f t="shared" si="14"/>
        <v>20.987437217384656</v>
      </c>
    </row>
    <row r="312" spans="2:13" x14ac:dyDescent="0.4">
      <c r="B312" s="609">
        <f t="shared" si="10"/>
        <v>2036</v>
      </c>
      <c r="C312" s="615">
        <v>344.84728474333753</v>
      </c>
      <c r="E312" s="1224">
        <f t="shared" si="11"/>
        <v>0</v>
      </c>
      <c r="F312" s="609"/>
      <c r="G312" s="1224">
        <f t="shared" si="12"/>
        <v>0</v>
      </c>
      <c r="I312" s="615">
        <v>285.9590719093282</v>
      </c>
      <c r="K312" s="1224">
        <f t="shared" si="13"/>
        <v>16.314501255290928</v>
      </c>
      <c r="L312" s="609"/>
      <c r="M312" s="1224">
        <f t="shared" si="14"/>
        <v>16.314501255290928</v>
      </c>
    </row>
    <row r="313" spans="2:13" x14ac:dyDescent="0.4">
      <c r="B313" s="609">
        <f t="shared" si="10"/>
        <v>2037</v>
      </c>
      <c r="C313" s="615">
        <v>328.80315073117202</v>
      </c>
      <c r="E313" s="1224">
        <f t="shared" si="11"/>
        <v>0</v>
      </c>
      <c r="F313" s="609"/>
      <c r="G313" s="1224">
        <f t="shared" si="12"/>
        <v>0</v>
      </c>
      <c r="I313" s="615">
        <v>288.63186604370418</v>
      </c>
      <c r="K313" s="1224">
        <f t="shared" si="13"/>
        <v>11.231909020864583</v>
      </c>
      <c r="L313" s="609"/>
      <c r="M313" s="1224">
        <f t="shared" si="14"/>
        <v>11.231909020864583</v>
      </c>
    </row>
    <row r="314" spans="2:13" x14ac:dyDescent="0.4">
      <c r="B314" s="609">
        <f t="shared" si="10"/>
        <v>2038</v>
      </c>
      <c r="C314" s="615">
        <v>310.61100238144354</v>
      </c>
      <c r="E314" s="1224">
        <f t="shared" si="11"/>
        <v>0</v>
      </c>
      <c r="F314" s="609"/>
      <c r="G314" s="1224">
        <f t="shared" si="12"/>
        <v>0</v>
      </c>
      <c r="I314" s="615">
        <v>290.49276588504097</v>
      </c>
      <c r="K314" s="1224">
        <f t="shared" si="13"/>
        <v>5.6864605165605582</v>
      </c>
      <c r="L314" s="609"/>
      <c r="M314" s="1224">
        <f t="shared" si="14"/>
        <v>5.6864605165605582</v>
      </c>
    </row>
    <row r="315" spans="2:13" x14ac:dyDescent="0.4">
      <c r="B315" s="609">
        <f t="shared" si="10"/>
        <v>2039</v>
      </c>
      <c r="C315" s="615">
        <v>290.1288940801229</v>
      </c>
      <c r="E315" s="1224">
        <f t="shared" si="11"/>
        <v>0</v>
      </c>
      <c r="F315" s="609"/>
      <c r="G315" s="1224">
        <f t="shared" si="12"/>
        <v>0</v>
      </c>
      <c r="I315" s="615">
        <v>290.1288940801229</v>
      </c>
      <c r="K315" s="1224">
        <f t="shared" si="13"/>
        <v>0</v>
      </c>
      <c r="L315" s="609"/>
      <c r="M315" s="1224">
        <f t="shared" si="14"/>
        <v>0</v>
      </c>
    </row>
    <row r="316" spans="2:13" x14ac:dyDescent="0.4">
      <c r="B316" s="609">
        <f t="shared" si="10"/>
        <v>2040</v>
      </c>
      <c r="C316" s="615">
        <v>266.49325872509718</v>
      </c>
      <c r="E316" s="1224">
        <f t="shared" si="11"/>
        <v>0</v>
      </c>
      <c r="F316" s="609"/>
      <c r="G316" s="1224">
        <f t="shared" si="12"/>
        <v>0</v>
      </c>
      <c r="I316" s="615">
        <v>266.49325872509718</v>
      </c>
      <c r="K316" s="1224">
        <f t="shared" si="13"/>
        <v>0</v>
      </c>
      <c r="L316" s="609"/>
      <c r="M316" s="1224">
        <f t="shared" si="14"/>
        <v>0</v>
      </c>
    </row>
    <row r="317" spans="2:13" x14ac:dyDescent="0.4">
      <c r="B317" s="609">
        <f t="shared" si="10"/>
        <v>2041</v>
      </c>
      <c r="C317" s="615">
        <v>241.69619278750528</v>
      </c>
      <c r="E317" s="1224">
        <f t="shared" si="11"/>
        <v>0</v>
      </c>
      <c r="F317" s="609"/>
      <c r="G317" s="1224">
        <f t="shared" si="12"/>
        <v>0</v>
      </c>
      <c r="I317" s="615">
        <v>241.69619278750528</v>
      </c>
      <c r="K317" s="1224">
        <f t="shared" si="13"/>
        <v>0</v>
      </c>
      <c r="L317" s="609"/>
      <c r="M317" s="1224">
        <f t="shared" si="14"/>
        <v>0</v>
      </c>
    </row>
    <row r="318" spans="2:13" x14ac:dyDescent="0.4">
      <c r="B318" s="609">
        <f t="shared" si="10"/>
        <v>2042</v>
      </c>
      <c r="C318" s="615">
        <v>213.22553710973645</v>
      </c>
      <c r="E318" s="1224">
        <f t="shared" si="11"/>
        <v>0</v>
      </c>
      <c r="F318" s="609"/>
      <c r="G318" s="1224">
        <f t="shared" si="12"/>
        <v>0</v>
      </c>
      <c r="I318" s="615">
        <v>213.22553710973645</v>
      </c>
      <c r="K318" s="1224">
        <f t="shared" si="13"/>
        <v>0</v>
      </c>
      <c r="L318" s="609"/>
      <c r="M318" s="1224">
        <f t="shared" si="14"/>
        <v>0</v>
      </c>
    </row>
    <row r="319" spans="2:13" x14ac:dyDescent="0.4">
      <c r="B319" s="609">
        <f t="shared" si="10"/>
        <v>2043</v>
      </c>
      <c r="C319" s="615">
        <v>181.89085726213784</v>
      </c>
      <c r="E319" s="1224">
        <f t="shared" si="11"/>
        <v>0</v>
      </c>
      <c r="F319" s="609"/>
      <c r="G319" s="1224">
        <f t="shared" si="12"/>
        <v>0</v>
      </c>
      <c r="I319" s="615">
        <v>181.89085726213784</v>
      </c>
      <c r="K319" s="1224">
        <f t="shared" si="13"/>
        <v>0</v>
      </c>
      <c r="L319" s="609"/>
      <c r="M319" s="1224">
        <f t="shared" si="14"/>
        <v>0</v>
      </c>
    </row>
    <row r="320" spans="2:13" x14ac:dyDescent="0.4">
      <c r="B320" s="609">
        <f t="shared" si="10"/>
        <v>2044</v>
      </c>
      <c r="C320" s="615">
        <v>147.54238498046163</v>
      </c>
      <c r="E320" s="1224">
        <f t="shared" si="11"/>
        <v>0</v>
      </c>
      <c r="F320" s="609"/>
      <c r="G320" s="1224">
        <f t="shared" si="12"/>
        <v>0</v>
      </c>
      <c r="I320" s="615">
        <v>147.54238498046163</v>
      </c>
      <c r="K320" s="1224">
        <f t="shared" si="13"/>
        <v>0</v>
      </c>
      <c r="L320" s="609"/>
      <c r="M320" s="1224">
        <f t="shared" si="14"/>
        <v>0</v>
      </c>
    </row>
    <row r="321" spans="2:13" x14ac:dyDescent="0.4">
      <c r="B321" s="609">
        <f t="shared" si="10"/>
        <v>2045</v>
      </c>
      <c r="C321" s="615">
        <v>110.04909245932629</v>
      </c>
      <c r="E321" s="1224">
        <f t="shared" si="11"/>
        <v>0</v>
      </c>
      <c r="F321" s="609"/>
      <c r="G321" s="1224">
        <f t="shared" si="12"/>
        <v>0</v>
      </c>
      <c r="I321" s="615">
        <v>110.04909245932629</v>
      </c>
      <c r="K321" s="1224">
        <f t="shared" si="13"/>
        <v>0</v>
      </c>
      <c r="L321" s="609"/>
      <c r="M321" s="1224">
        <f t="shared" si="14"/>
        <v>0</v>
      </c>
    </row>
    <row r="322" spans="2:13" x14ac:dyDescent="0.4">
      <c r="B322" s="609">
        <f t="shared" si="10"/>
        <v>2046</v>
      </c>
      <c r="C322" s="615">
        <v>91.573869357201886</v>
      </c>
      <c r="E322" s="1224">
        <f t="shared" si="11"/>
        <v>0</v>
      </c>
      <c r="F322" s="609"/>
      <c r="G322" s="1224">
        <f t="shared" si="12"/>
        <v>0</v>
      </c>
      <c r="I322" s="615">
        <v>91.573869357201886</v>
      </c>
      <c r="K322" s="1224">
        <f t="shared" si="13"/>
        <v>0</v>
      </c>
      <c r="L322" s="609"/>
      <c r="M322" s="1224">
        <f t="shared" si="14"/>
        <v>0</v>
      </c>
    </row>
    <row r="323" spans="2:13" x14ac:dyDescent="0.4">
      <c r="B323" s="609">
        <f t="shared" si="10"/>
        <v>2047</v>
      </c>
      <c r="C323" s="615">
        <v>90.146697198857453</v>
      </c>
      <c r="E323" s="1224">
        <f t="shared" si="11"/>
        <v>0</v>
      </c>
      <c r="F323" s="609"/>
      <c r="G323" s="1224">
        <f t="shared" si="12"/>
        <v>0</v>
      </c>
      <c r="I323" s="615">
        <v>90.146697198857453</v>
      </c>
      <c r="K323" s="1224">
        <f t="shared" si="13"/>
        <v>0</v>
      </c>
      <c r="L323" s="609"/>
      <c r="M323" s="1224">
        <f t="shared" si="14"/>
        <v>0</v>
      </c>
    </row>
    <row r="324" spans="2:13" x14ac:dyDescent="0.4">
      <c r="B324" s="609">
        <f t="shared" si="10"/>
        <v>2048</v>
      </c>
      <c r="C324" s="615">
        <v>89.3005912350025</v>
      </c>
      <c r="E324" s="1224">
        <f t="shared" si="11"/>
        <v>0</v>
      </c>
      <c r="F324" s="609"/>
      <c r="G324" s="1224">
        <f t="shared" si="12"/>
        <v>0</v>
      </c>
      <c r="I324" s="615">
        <v>89.3005912350025</v>
      </c>
      <c r="K324" s="1224">
        <f t="shared" si="13"/>
        <v>0</v>
      </c>
      <c r="L324" s="609"/>
      <c r="M324" s="1224">
        <f t="shared" si="14"/>
        <v>0</v>
      </c>
    </row>
    <row r="325" spans="2:13" x14ac:dyDescent="0.4">
      <c r="B325" s="609">
        <f t="shared" si="10"/>
        <v>2049</v>
      </c>
      <c r="C325" s="615">
        <v>88.255666080740525</v>
      </c>
      <c r="E325" s="1224">
        <f t="shared" si="11"/>
        <v>0</v>
      </c>
      <c r="F325" s="609"/>
      <c r="G325" s="1224">
        <f t="shared" si="12"/>
        <v>0</v>
      </c>
      <c r="I325" s="615">
        <v>88.255666080740525</v>
      </c>
      <c r="K325" s="1224">
        <f t="shared" si="13"/>
        <v>0</v>
      </c>
      <c r="L325" s="609"/>
      <c r="M325" s="1224">
        <f t="shared" si="14"/>
        <v>0</v>
      </c>
    </row>
    <row r="326" spans="2:13" x14ac:dyDescent="0.4">
      <c r="B326" s="609">
        <f t="shared" si="10"/>
        <v>2050</v>
      </c>
      <c r="C326" s="615">
        <v>86.931262340745945</v>
      </c>
      <c r="E326" s="1224">
        <f t="shared" si="11"/>
        <v>0</v>
      </c>
      <c r="F326" s="609"/>
      <c r="G326" s="1224">
        <f t="shared" si="12"/>
        <v>0</v>
      </c>
      <c r="I326" s="615">
        <v>86.931262340745945</v>
      </c>
      <c r="K326" s="1224">
        <f t="shared" si="13"/>
        <v>0</v>
      </c>
      <c r="L326" s="609"/>
      <c r="M326" s="1224">
        <f t="shared" si="14"/>
        <v>0</v>
      </c>
    </row>
    <row r="327" spans="2:13" x14ac:dyDescent="0.4">
      <c r="B327" s="609">
        <f t="shared" si="10"/>
        <v>2051</v>
      </c>
      <c r="C327" s="615">
        <v>85.562353187593246</v>
      </c>
      <c r="E327" s="1224">
        <f t="shared" si="11"/>
        <v>0</v>
      </c>
      <c r="F327" s="609"/>
      <c r="G327" s="1224">
        <f t="shared" si="12"/>
        <v>0</v>
      </c>
      <c r="I327" s="615">
        <v>85.562353187593246</v>
      </c>
      <c r="K327" s="1224">
        <f t="shared" si="13"/>
        <v>0</v>
      </c>
      <c r="L327" s="609"/>
      <c r="M327" s="1224">
        <f t="shared" si="14"/>
        <v>0</v>
      </c>
    </row>
    <row r="328" spans="2:13" x14ac:dyDescent="0.4">
      <c r="B328" s="609">
        <f t="shared" si="10"/>
        <v>2052</v>
      </c>
      <c r="C328" s="615">
        <v>83.911032303556638</v>
      </c>
      <c r="E328" s="1224">
        <f t="shared" si="11"/>
        <v>0</v>
      </c>
      <c r="F328" s="609"/>
      <c r="G328" s="1224">
        <f t="shared" si="12"/>
        <v>0</v>
      </c>
      <c r="I328" s="615">
        <v>83.911032303556638</v>
      </c>
      <c r="K328" s="1224">
        <f t="shared" si="13"/>
        <v>0</v>
      </c>
      <c r="L328" s="609"/>
      <c r="M328" s="1224">
        <f t="shared" si="14"/>
        <v>0</v>
      </c>
    </row>
    <row r="329" spans="2:13" x14ac:dyDescent="0.4">
      <c r="B329" s="609">
        <f t="shared" si="10"/>
        <v>2053</v>
      </c>
      <c r="C329" s="615">
        <v>82.054590362425643</v>
      </c>
      <c r="E329" s="1224">
        <f t="shared" si="11"/>
        <v>0</v>
      </c>
      <c r="F329" s="609"/>
      <c r="G329" s="1224">
        <f t="shared" si="12"/>
        <v>0</v>
      </c>
      <c r="I329" s="615">
        <v>82.054590362425643</v>
      </c>
      <c r="K329" s="1224">
        <f t="shared" si="13"/>
        <v>0</v>
      </c>
      <c r="L329" s="609"/>
      <c r="M329" s="1224">
        <f t="shared" si="14"/>
        <v>0</v>
      </c>
    </row>
    <row r="330" spans="2:13" x14ac:dyDescent="0.4">
      <c r="B330" s="609">
        <f t="shared" si="10"/>
        <v>2054</v>
      </c>
      <c r="C330" s="615">
        <v>79.991533453082923</v>
      </c>
      <c r="E330" s="1224">
        <f t="shared" si="11"/>
        <v>0</v>
      </c>
      <c r="F330" s="609"/>
      <c r="G330" s="1224">
        <f t="shared" si="12"/>
        <v>0</v>
      </c>
      <c r="I330" s="615">
        <v>79.991533453082923</v>
      </c>
      <c r="K330" s="1224">
        <f t="shared" si="13"/>
        <v>0</v>
      </c>
      <c r="L330" s="609"/>
      <c r="M330" s="1224">
        <f t="shared" si="14"/>
        <v>0</v>
      </c>
    </row>
    <row r="331" spans="2:13" x14ac:dyDescent="0.4">
      <c r="B331" s="609">
        <f t="shared" si="10"/>
        <v>2055</v>
      </c>
      <c r="C331" s="615">
        <v>77.720555545668745</v>
      </c>
      <c r="E331" s="1224">
        <f t="shared" si="11"/>
        <v>0</v>
      </c>
      <c r="F331" s="609"/>
      <c r="G331" s="1224">
        <f t="shared" si="12"/>
        <v>0</v>
      </c>
      <c r="I331" s="615">
        <v>77.720555545668745</v>
      </c>
      <c r="K331" s="1224">
        <f t="shared" si="13"/>
        <v>0</v>
      </c>
      <c r="L331" s="609"/>
      <c r="M331" s="1224">
        <f t="shared" si="14"/>
        <v>0</v>
      </c>
    </row>
    <row r="332" spans="2:13" x14ac:dyDescent="0.4">
      <c r="B332" s="609">
        <f t="shared" si="10"/>
        <v>2056</v>
      </c>
      <c r="C332" s="615">
        <v>75.240492578635454</v>
      </c>
      <c r="E332" s="1224">
        <f t="shared" si="11"/>
        <v>0</v>
      </c>
      <c r="F332" s="609"/>
      <c r="G332" s="1224">
        <f t="shared" si="12"/>
        <v>0</v>
      </c>
      <c r="I332" s="615">
        <v>75.240492578635454</v>
      </c>
      <c r="K332" s="1224">
        <f t="shared" si="13"/>
        <v>0</v>
      </c>
      <c r="L332" s="609"/>
      <c r="M332" s="1224">
        <f t="shared" si="14"/>
        <v>0</v>
      </c>
    </row>
    <row r="333" spans="2:13" x14ac:dyDescent="0.4">
      <c r="B333" s="609">
        <f t="shared" si="10"/>
        <v>2057</v>
      </c>
      <c r="C333" s="615">
        <v>72.550468307780605</v>
      </c>
      <c r="E333" s="1224">
        <f t="shared" si="11"/>
        <v>0</v>
      </c>
      <c r="F333" s="609"/>
      <c r="G333" s="1224">
        <f t="shared" si="12"/>
        <v>0</v>
      </c>
      <c r="I333" s="615">
        <v>72.550468307780605</v>
      </c>
      <c r="K333" s="1224">
        <f t="shared" si="13"/>
        <v>0</v>
      </c>
      <c r="L333" s="609"/>
      <c r="M333" s="1224">
        <f t="shared" si="14"/>
        <v>0</v>
      </c>
    </row>
    <row r="334" spans="2:13" x14ac:dyDescent="0.4">
      <c r="B334" s="609">
        <f t="shared" si="10"/>
        <v>2058</v>
      </c>
      <c r="C334" s="615">
        <v>68.159350683236568</v>
      </c>
      <c r="E334" s="1224">
        <f t="shared" si="11"/>
        <v>0</v>
      </c>
      <c r="F334" s="609"/>
      <c r="G334" s="1224">
        <f t="shared" si="12"/>
        <v>0</v>
      </c>
      <c r="I334" s="615">
        <v>68.159350683236568</v>
      </c>
      <c r="K334" s="1224">
        <f t="shared" si="13"/>
        <v>0</v>
      </c>
      <c r="L334" s="609"/>
      <c r="M334" s="1224">
        <f t="shared" si="14"/>
        <v>0</v>
      </c>
    </row>
    <row r="335" spans="2:13" x14ac:dyDescent="0.4">
      <c r="B335" s="609">
        <f t="shared" si="10"/>
        <v>2059</v>
      </c>
      <c r="C335" s="615">
        <v>63.253086754788974</v>
      </c>
      <c r="E335" s="1224">
        <f t="shared" si="11"/>
        <v>0</v>
      </c>
      <c r="F335" s="609"/>
      <c r="G335" s="1224">
        <f t="shared" si="12"/>
        <v>0</v>
      </c>
      <c r="I335" s="615">
        <v>63.253086754788974</v>
      </c>
      <c r="K335" s="1224">
        <f t="shared" si="13"/>
        <v>0</v>
      </c>
      <c r="L335" s="609"/>
      <c r="M335" s="1224">
        <f t="shared" si="14"/>
        <v>0</v>
      </c>
    </row>
    <row r="336" spans="2:13" x14ac:dyDescent="0.4">
      <c r="B336" s="609">
        <f t="shared" si="10"/>
        <v>2060</v>
      </c>
      <c r="C336" s="615">
        <v>59.95823117607187</v>
      </c>
      <c r="E336" s="1224">
        <f t="shared" si="11"/>
        <v>0</v>
      </c>
      <c r="F336" s="609"/>
      <c r="G336" s="1224">
        <f t="shared" si="12"/>
        <v>0</v>
      </c>
      <c r="I336" s="615">
        <v>59.95823117607187</v>
      </c>
      <c r="K336" s="1224">
        <f t="shared" si="13"/>
        <v>0</v>
      </c>
      <c r="L336" s="609"/>
      <c r="M336" s="1224">
        <f t="shared" si="14"/>
        <v>0</v>
      </c>
    </row>
    <row r="337" spans="1:13" x14ac:dyDescent="0.4">
      <c r="C337" s="1"/>
      <c r="E337" s="1"/>
      <c r="G337" s="1"/>
      <c r="I337" s="1"/>
      <c r="K337" s="1"/>
      <c r="M337" s="1"/>
    </row>
    <row r="348" spans="1:13" x14ac:dyDescent="0.4">
      <c r="B348" s="609"/>
      <c r="C348" s="1"/>
      <c r="D348" s="1"/>
    </row>
    <row r="349" spans="1:13" x14ac:dyDescent="0.4">
      <c r="C349" s="609"/>
      <c r="D349" s="609"/>
    </row>
    <row r="350" spans="1:13" x14ac:dyDescent="0.4">
      <c r="C350" s="609"/>
      <c r="D350" s="609"/>
    </row>
    <row r="351" spans="1:13" x14ac:dyDescent="0.4">
      <c r="C351" s="609"/>
      <c r="D351" s="609"/>
    </row>
    <row r="352" spans="1:13" ht="32.700000000000003" x14ac:dyDescent="1.05">
      <c r="A352" s="613"/>
      <c r="C352" s="609"/>
      <c r="D352" s="609"/>
    </row>
    <row r="355" spans="2:4" x14ac:dyDescent="0.4">
      <c r="B355" s="609"/>
      <c r="C355" s="1"/>
      <c r="D355" s="1"/>
    </row>
    <row r="356" spans="2:4" x14ac:dyDescent="0.4">
      <c r="C356" s="609"/>
      <c r="D356" s="609"/>
    </row>
    <row r="357" spans="2:4" x14ac:dyDescent="0.4">
      <c r="C357" s="609"/>
      <c r="D357" s="609"/>
    </row>
    <row r="358" spans="2:4" x14ac:dyDescent="0.4">
      <c r="C358" s="609"/>
      <c r="D358" s="609"/>
    </row>
    <row r="359" spans="2:4" x14ac:dyDescent="0.4">
      <c r="C359" s="609"/>
      <c r="D359" s="609"/>
    </row>
    <row r="362" spans="2:4" x14ac:dyDescent="0.4">
      <c r="B362" s="609"/>
      <c r="C362" s="1"/>
      <c r="D362" s="1"/>
    </row>
    <row r="363" spans="2:4" x14ac:dyDescent="0.4">
      <c r="C363" s="609"/>
      <c r="D363" s="609"/>
    </row>
    <row r="364" spans="2:4" x14ac:dyDescent="0.4">
      <c r="C364" s="609"/>
      <c r="D364" s="609"/>
    </row>
    <row r="365" spans="2:4" x14ac:dyDescent="0.4">
      <c r="C365" s="609"/>
      <c r="D365" s="609"/>
    </row>
    <row r="366" spans="2:4" x14ac:dyDescent="0.4">
      <c r="C366" s="609"/>
      <c r="D366" s="609"/>
    </row>
  </sheetData>
  <mergeCells count="10">
    <mergeCell ref="E9:G9"/>
    <mergeCell ref="K9:M9"/>
    <mergeCell ref="P9:R9"/>
    <mergeCell ref="Q70:S70"/>
    <mergeCell ref="C124:E124"/>
    <mergeCell ref="G124:I124"/>
    <mergeCell ref="L124:N124"/>
    <mergeCell ref="P124:R124"/>
    <mergeCell ref="E70:G70"/>
    <mergeCell ref="K70:M70"/>
  </mergeCells>
  <pageMargins left="0.7" right="0.7" top="0.75" bottom="0.75" header="0.3" footer="0.3"/>
  <cellWatches>
    <cellWatch r="AG132"/>
    <cellWatch r="AG133"/>
    <cellWatch r="AG134"/>
    <cellWatch r="AG135"/>
    <cellWatch r="AG136"/>
    <cellWatch r="AG137"/>
    <cellWatch r="AG138"/>
    <cellWatch r="AG139"/>
    <cellWatch r="AG140"/>
    <cellWatch r="AG141"/>
    <cellWatch r="AG142"/>
    <cellWatch r="AG143"/>
    <cellWatch r="AG144"/>
    <cellWatch r="AG145"/>
    <cellWatch r="AG146"/>
    <cellWatch r="AG147"/>
    <cellWatch r="AG148"/>
    <cellWatch r="AG149"/>
    <cellWatch r="AG150"/>
    <cellWatch r="AG151"/>
    <cellWatch r="AG152"/>
    <cellWatch r="AG153"/>
    <cellWatch r="AG154"/>
    <cellWatch r="AG155"/>
    <cellWatch r="AG156"/>
    <cellWatch r="AG157"/>
    <cellWatch r="AG158"/>
    <cellWatch r="AG159"/>
    <cellWatch r="AG160"/>
    <cellWatch r="AG161"/>
    <cellWatch r="AG162"/>
    <cellWatch r="AG163"/>
    <cellWatch r="AG164"/>
    <cellWatch r="AG165"/>
    <cellWatch r="AG166"/>
    <cellWatch r="AG207"/>
    <cellWatch r="AG208"/>
    <cellWatch r="AG209"/>
    <cellWatch r="AG210"/>
    <cellWatch r="AG211"/>
    <cellWatch r="AG212"/>
    <cellWatch r="AG213"/>
    <cellWatch r="AG214"/>
    <cellWatch r="AG215"/>
    <cellWatch r="AG216"/>
    <cellWatch r="AG217"/>
    <cellWatch r="AG218"/>
    <cellWatch r="AG219"/>
    <cellWatch r="AG220"/>
    <cellWatch r="AG221"/>
    <cellWatch r="AG222"/>
    <cellWatch r="AG223"/>
    <cellWatch r="AG224"/>
    <cellWatch r="AG225"/>
    <cellWatch r="AG226"/>
    <cellWatch r="AG227"/>
    <cellWatch r="AG228"/>
    <cellWatch r="AG229"/>
    <cellWatch r="AG230"/>
    <cellWatch r="AG231"/>
    <cellWatch r="AG232"/>
    <cellWatch r="AG233"/>
    <cellWatch r="AG234"/>
    <cellWatch r="AG235"/>
    <cellWatch r="AG236"/>
    <cellWatch r="AG167"/>
    <cellWatch r="AG168"/>
    <cellWatch r="AF143"/>
    <cellWatch r="AF144"/>
    <cellWatch r="AF145"/>
    <cellWatch r="AF146"/>
    <cellWatch r="AF147"/>
    <cellWatch r="AF148"/>
    <cellWatch r="AF149"/>
    <cellWatch r="AF150"/>
    <cellWatch r="AF151"/>
    <cellWatch r="AF152"/>
    <cellWatch r="AF153"/>
    <cellWatch r="AF154"/>
    <cellWatch r="AF155"/>
    <cellWatch r="AF156"/>
    <cellWatch r="AF157"/>
    <cellWatch r="AF158"/>
    <cellWatch r="AF159"/>
    <cellWatch r="AF160"/>
    <cellWatch r="AF161"/>
    <cellWatch r="AF162"/>
    <cellWatch r="AF163"/>
    <cellWatch r="AF164"/>
    <cellWatch r="AF165"/>
    <cellWatch r="AF166"/>
    <cellWatch r="AF167"/>
    <cellWatch r="AF168"/>
    <cellWatch r="AF169"/>
    <cellWatch r="AF170"/>
    <cellWatch r="AF171"/>
    <cellWatch r="AF172"/>
    <cellWatch r="AF173"/>
    <cellWatch r="AF174"/>
    <cellWatch r="AF175"/>
    <cellWatch r="AF176"/>
    <cellWatch r="AF177"/>
    <cellWatch r="AI132"/>
    <cellWatch r="AI133"/>
    <cellWatch r="AI134"/>
    <cellWatch r="AI135"/>
    <cellWatch r="AI136"/>
    <cellWatch r="AI137"/>
    <cellWatch r="AI138"/>
    <cellWatch r="AI139"/>
    <cellWatch r="AI140"/>
    <cellWatch r="AI141"/>
    <cellWatch r="AI142"/>
    <cellWatch r="AI143"/>
    <cellWatch r="AI144"/>
    <cellWatch r="AI145"/>
    <cellWatch r="AI146"/>
    <cellWatch r="AI147"/>
    <cellWatch r="AI148"/>
    <cellWatch r="AI149"/>
    <cellWatch r="AI150"/>
    <cellWatch r="AI151"/>
    <cellWatch r="AI152"/>
    <cellWatch r="AI153"/>
    <cellWatch r="AI154"/>
    <cellWatch r="AI155"/>
    <cellWatch r="AI156"/>
    <cellWatch r="AI157"/>
    <cellWatch r="AI158"/>
    <cellWatch r="AI159"/>
    <cellWatch r="AI160"/>
    <cellWatch r="AI161"/>
    <cellWatch r="AI162"/>
    <cellWatch r="AI163"/>
    <cellWatch r="AI164"/>
    <cellWatch r="AI165"/>
    <cellWatch r="AI166"/>
    <cellWatch r="AG291"/>
    <cellWatch r="AG292"/>
    <cellWatch r="AG293"/>
    <cellWatch r="AG294"/>
    <cellWatch r="AG295"/>
    <cellWatch r="AG296"/>
    <cellWatch r="AG297"/>
    <cellWatch r="AG298"/>
    <cellWatch r="AG299"/>
    <cellWatch r="AG300"/>
    <cellWatch r="AG301"/>
    <cellWatch r="AG302"/>
    <cellWatch r="AG303"/>
    <cellWatch r="AG304"/>
    <cellWatch r="AG305"/>
    <cellWatch r="AG306"/>
    <cellWatch r="AG307"/>
    <cellWatch r="AG308"/>
    <cellWatch r="AG309"/>
    <cellWatch r="AG310"/>
    <cellWatch r="AG311"/>
    <cellWatch r="AG312"/>
    <cellWatch r="AG313"/>
    <cellWatch r="AG314"/>
    <cellWatch r="AG315"/>
    <cellWatch r="AG316"/>
    <cellWatch r="AG169"/>
    <cellWatch r="AG170"/>
    <cellWatch r="AG171"/>
    <cellWatch r="AG172"/>
    <cellWatch r="AG173"/>
    <cellWatch r="AG174"/>
    <cellWatch r="AG175"/>
    <cellWatch r="AG176"/>
    <cellWatch r="AG177"/>
    <cellWatch r="AG237"/>
    <cellWatch r="AH133"/>
    <cellWatch r="AH134"/>
    <cellWatch r="AH135"/>
    <cellWatch r="AH136"/>
    <cellWatch r="AH137"/>
    <cellWatch r="AH138"/>
    <cellWatch r="AH139"/>
    <cellWatch r="AH140"/>
    <cellWatch r="AH141"/>
    <cellWatch r="AH142"/>
    <cellWatch r="AH143"/>
    <cellWatch r="AH144"/>
    <cellWatch r="AH145"/>
    <cellWatch r="AH146"/>
    <cellWatch r="AH147"/>
    <cellWatch r="AH148"/>
    <cellWatch r="AH149"/>
    <cellWatch r="AH150"/>
    <cellWatch r="AH151"/>
    <cellWatch r="AH152"/>
    <cellWatch r="AH153"/>
    <cellWatch r="AH154"/>
    <cellWatch r="AH155"/>
    <cellWatch r="AH156"/>
    <cellWatch r="AH157"/>
    <cellWatch r="AH158"/>
    <cellWatch r="AH159"/>
    <cellWatch r="AH160"/>
    <cellWatch r="AH161"/>
    <cellWatch r="AH162"/>
    <cellWatch r="AH163"/>
    <cellWatch r="AH164"/>
    <cellWatch r="AH165"/>
    <cellWatch r="AH166"/>
    <cellWatch r="AH167"/>
    <cellWatch r="AF178"/>
    <cellWatch r="AG317"/>
    <cellWatch r="AI167"/>
    <cellWatch r="AI168"/>
    <cellWatch r="AG238"/>
    <cellWatch r="AG239"/>
    <cellWatch r="AG240"/>
    <cellWatch r="AG241"/>
    <cellWatch r="AG242"/>
    <cellWatch r="AF179"/>
    <cellWatch r="AF180"/>
    <cellWatch r="AF181"/>
    <cellWatch r="AF182"/>
    <cellWatch r="AF183"/>
    <cellWatch r="AF140"/>
    <cellWatch r="AF141"/>
    <cellWatch r="AF142"/>
    <cellWatch r="AF215"/>
    <cellWatch r="AF216"/>
    <cellWatch r="AF217"/>
    <cellWatch r="AF218"/>
    <cellWatch r="AF219"/>
    <cellWatch r="AF220"/>
    <cellWatch r="AF221"/>
    <cellWatch r="AF222"/>
    <cellWatch r="AF223"/>
    <cellWatch r="AF224"/>
    <cellWatch r="AF225"/>
    <cellWatch r="AF226"/>
    <cellWatch r="AF227"/>
    <cellWatch r="AF228"/>
    <cellWatch r="AF229"/>
    <cellWatch r="AF230"/>
    <cellWatch r="AF231"/>
    <cellWatch r="AF232"/>
    <cellWatch r="AF233"/>
    <cellWatch r="AF234"/>
    <cellWatch r="AF235"/>
    <cellWatch r="AF236"/>
    <cellWatch r="AF237"/>
    <cellWatch r="AF238"/>
    <cellWatch r="AF239"/>
    <cellWatch r="AF240"/>
    <cellWatch r="AF241"/>
    <cellWatch r="AF242"/>
    <cellWatch r="AF243"/>
    <cellWatch r="AF244"/>
    <cellWatch r="AE151"/>
    <cellWatch r="AE152"/>
    <cellWatch r="AE153"/>
    <cellWatch r="AE154"/>
    <cellWatch r="AE155"/>
    <cellWatch r="AE156"/>
    <cellWatch r="AE157"/>
    <cellWatch r="AE158"/>
    <cellWatch r="AE159"/>
    <cellWatch r="AE160"/>
    <cellWatch r="AE161"/>
    <cellWatch r="AE162"/>
    <cellWatch r="AE163"/>
    <cellWatch r="AE164"/>
    <cellWatch r="AE165"/>
    <cellWatch r="AE166"/>
    <cellWatch r="AE167"/>
    <cellWatch r="AE168"/>
    <cellWatch r="AE169"/>
    <cellWatch r="AE170"/>
    <cellWatch r="AE171"/>
    <cellWatch r="AE172"/>
    <cellWatch r="AE173"/>
    <cellWatch r="AE174"/>
    <cellWatch r="AE175"/>
    <cellWatch r="AE176"/>
    <cellWatch r="AE177"/>
    <cellWatch r="AE178"/>
    <cellWatch r="AE179"/>
    <cellWatch r="AE180"/>
    <cellWatch r="AE181"/>
    <cellWatch r="AE182"/>
    <cellWatch r="AE183"/>
    <cellWatch r="AE184"/>
    <cellWatch r="AE185"/>
    <cellWatch r="AF299"/>
    <cellWatch r="AF300"/>
    <cellWatch r="AF301"/>
    <cellWatch r="AF302"/>
    <cellWatch r="AF303"/>
    <cellWatch r="AF304"/>
    <cellWatch r="AF305"/>
    <cellWatch r="AF306"/>
    <cellWatch r="AF307"/>
    <cellWatch r="AF308"/>
    <cellWatch r="AF309"/>
    <cellWatch r="AF310"/>
    <cellWatch r="AF311"/>
    <cellWatch r="AF312"/>
    <cellWatch r="AF313"/>
    <cellWatch r="AF314"/>
    <cellWatch r="AF315"/>
    <cellWatch r="AF316"/>
    <cellWatch r="AF317"/>
    <cellWatch r="AF318"/>
    <cellWatch r="AF319"/>
    <cellWatch r="AF320"/>
    <cellWatch r="AF321"/>
    <cellWatch r="AF322"/>
    <cellWatch r="AF323"/>
    <cellWatch r="AF324"/>
    <cellWatch r="AH168"/>
    <cellWatch r="AH169"/>
    <cellWatch r="AH170"/>
    <cellWatch r="AH171"/>
    <cellWatch r="AH172"/>
    <cellWatch r="AH173"/>
    <cellWatch r="AH174"/>
    <cellWatch r="AH175"/>
    <cellWatch r="AF245"/>
    <cellWatch r="AF246"/>
    <cellWatch r="AF247"/>
    <cellWatch r="AF248"/>
    <cellWatch r="AF249"/>
    <cellWatch r="AE186"/>
    <cellWatch r="AE187"/>
    <cellWatch r="AE188"/>
    <cellWatch r="AE189"/>
    <cellWatch r="AE190"/>
    <cellWatch r="AH132"/>
    <cellWatch r="AF134"/>
    <cellWatch r="AF135"/>
    <cellWatch r="AF136"/>
    <cellWatch r="AF137"/>
    <cellWatch r="AF138"/>
    <cellWatch r="AF139"/>
    <cellWatch r="AF130"/>
    <cellWatch r="AF131"/>
    <cellWatch r="AF132"/>
    <cellWatch r="AF133"/>
    <cellWatch r="AG318"/>
  </cellWatch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61E0F-C390-4105-804B-1D56FA704BCB}">
  <dimension ref="A2:S362"/>
  <sheetViews>
    <sheetView zoomScale="70" zoomScaleNormal="70" workbookViewId="0">
      <selection activeCell="J23" sqref="J23"/>
    </sheetView>
  </sheetViews>
  <sheetFormatPr defaultColWidth="10.6640625" defaultRowHeight="12.3" x14ac:dyDescent="0.4"/>
  <cols>
    <col min="1" max="4" width="10.6640625" style="609"/>
    <col min="5" max="5" width="13.83203125" style="609" customWidth="1"/>
    <col min="6" max="6" width="10.6640625" style="609"/>
    <col min="7" max="7" width="14" style="609" customWidth="1"/>
    <col min="8" max="10" width="10.6640625" style="609"/>
    <col min="11" max="11" width="12" style="609" customWidth="1"/>
    <col min="12" max="12" width="10.6640625" style="609"/>
    <col min="13" max="13" width="12.6640625" style="609" customWidth="1"/>
    <col min="14" max="18" width="10.6640625" style="609"/>
    <col min="19" max="19" width="13.83203125" style="609" customWidth="1"/>
    <col min="20" max="16384" width="10.6640625" style="609"/>
  </cols>
  <sheetData>
    <row r="2" spans="1:18" ht="15" x14ac:dyDescent="0.5">
      <c r="A2" s="621" t="s">
        <v>427</v>
      </c>
    </row>
    <row r="3" spans="1:18" ht="15" x14ac:dyDescent="0.5">
      <c r="A3" s="621" t="s">
        <v>428</v>
      </c>
    </row>
    <row r="4" spans="1:18" ht="15" x14ac:dyDescent="0.5">
      <c r="A4" s="621" t="s">
        <v>429</v>
      </c>
      <c r="C4" s="1" t="s">
        <v>453</v>
      </c>
    </row>
    <row r="5" spans="1:18" ht="15" x14ac:dyDescent="0.5">
      <c r="A5" s="621" t="s">
        <v>430</v>
      </c>
    </row>
    <row r="6" spans="1:18" ht="32.700000000000003" x14ac:dyDescent="1.05">
      <c r="A6" s="613" t="s">
        <v>402</v>
      </c>
    </row>
    <row r="7" spans="1:18" ht="15" x14ac:dyDescent="0.5">
      <c r="A7" s="1245" t="s">
        <v>1140</v>
      </c>
    </row>
    <row r="8" spans="1:18" x14ac:dyDescent="0.4">
      <c r="C8" s="609" t="s">
        <v>478</v>
      </c>
      <c r="I8" s="609" t="s">
        <v>479</v>
      </c>
      <c r="O8" s="609" t="s">
        <v>545</v>
      </c>
    </row>
    <row r="9" spans="1:18" ht="38.049999999999997" customHeight="1" x14ac:dyDescent="0.4">
      <c r="C9" s="1" t="s">
        <v>399</v>
      </c>
      <c r="E9" s="1285" t="s">
        <v>1142</v>
      </c>
      <c r="F9" s="1285"/>
      <c r="G9" s="1285"/>
      <c r="I9" s="609" t="s">
        <v>399</v>
      </c>
      <c r="K9" s="1285" t="s">
        <v>1143</v>
      </c>
      <c r="L9" s="1285"/>
      <c r="M9" s="1285"/>
      <c r="P9" s="1285" t="s">
        <v>1144</v>
      </c>
      <c r="Q9" s="1285"/>
      <c r="R9" s="1285"/>
    </row>
    <row r="10" spans="1:18" ht="86.1" x14ac:dyDescent="0.4">
      <c r="C10" s="1217" t="s">
        <v>547</v>
      </c>
      <c r="E10" s="705"/>
      <c r="F10" s="705"/>
      <c r="G10" s="705"/>
      <c r="I10" s="1217" t="s">
        <v>403</v>
      </c>
      <c r="K10" s="705"/>
      <c r="L10" s="705"/>
      <c r="M10" s="705"/>
      <c r="O10" s="1217" t="s">
        <v>546</v>
      </c>
      <c r="P10" s="705"/>
      <c r="Q10" s="705"/>
      <c r="R10" s="705"/>
    </row>
    <row r="11" spans="1:18" ht="14.1" x14ac:dyDescent="0.4">
      <c r="B11" s="612">
        <v>2014</v>
      </c>
      <c r="C11" s="1224">
        <v>76.323108000000005</v>
      </c>
      <c r="E11" s="614"/>
      <c r="F11" s="614"/>
      <c r="G11" s="614"/>
      <c r="I11" s="1218"/>
      <c r="K11" s="614"/>
      <c r="L11" s="614"/>
      <c r="M11" s="614"/>
      <c r="O11" s="1224">
        <v>76.323108000000005</v>
      </c>
      <c r="P11" s="614"/>
      <c r="Q11" s="614"/>
      <c r="R11" s="614"/>
    </row>
    <row r="12" spans="1:18" ht="14.1" x14ac:dyDescent="0.4">
      <c r="B12" s="612">
        <v>2015</v>
      </c>
      <c r="C12" s="1224">
        <v>94.594276312775861</v>
      </c>
      <c r="E12" s="614"/>
      <c r="F12" s="614"/>
      <c r="G12" s="614"/>
      <c r="I12" s="1218"/>
      <c r="K12" s="614"/>
      <c r="L12" s="614"/>
      <c r="M12" s="614"/>
      <c r="O12" s="1224">
        <v>89.962049095900866</v>
      </c>
      <c r="P12" s="614"/>
      <c r="Q12" s="614"/>
      <c r="R12" s="614"/>
    </row>
    <row r="13" spans="1:18" ht="14.1" x14ac:dyDescent="0.4">
      <c r="B13" s="612">
        <v>2016</v>
      </c>
      <c r="C13" s="1224">
        <v>103.23867192935207</v>
      </c>
      <c r="E13" s="614"/>
      <c r="F13" s="614"/>
      <c r="G13" s="614"/>
      <c r="I13" s="1218"/>
      <c r="K13" s="614"/>
      <c r="L13" s="614"/>
      <c r="M13" s="614"/>
      <c r="O13" s="1224">
        <v>95.966152880460356</v>
      </c>
      <c r="P13" s="614"/>
      <c r="Q13" s="614"/>
      <c r="R13" s="614"/>
    </row>
    <row r="14" spans="1:18" ht="14.1" x14ac:dyDescent="0.4">
      <c r="B14" s="612">
        <v>2017</v>
      </c>
      <c r="C14" s="1224">
        <v>112.706972579622</v>
      </c>
      <c r="E14" s="614"/>
      <c r="F14" s="614"/>
      <c r="G14" s="614"/>
      <c r="I14" s="1218"/>
      <c r="K14" s="614"/>
      <c r="L14" s="614"/>
      <c r="M14" s="614"/>
      <c r="O14" s="1224">
        <v>102.11587242317862</v>
      </c>
      <c r="P14" s="614"/>
      <c r="Q14" s="614"/>
      <c r="R14" s="614"/>
    </row>
    <row r="15" spans="1:18" ht="14.1" x14ac:dyDescent="0.4">
      <c r="B15" s="612">
        <v>2018</v>
      </c>
      <c r="C15" s="1224">
        <v>122.94586587888814</v>
      </c>
      <c r="E15" s="614"/>
      <c r="F15" s="614"/>
      <c r="G15" s="614"/>
      <c r="I15" s="1218"/>
      <c r="K15" s="614"/>
      <c r="L15" s="614"/>
      <c r="M15" s="614"/>
      <c r="O15" s="1224">
        <v>108.40250829439577</v>
      </c>
      <c r="P15" s="614"/>
      <c r="Q15" s="614"/>
      <c r="R15" s="614"/>
    </row>
    <row r="16" spans="1:18" ht="14.1" x14ac:dyDescent="0.4">
      <c r="B16" s="612">
        <v>2019</v>
      </c>
      <c r="C16" s="1224">
        <v>133.90203944245292</v>
      </c>
      <c r="E16" s="614"/>
      <c r="F16" s="614"/>
      <c r="G16" s="614"/>
      <c r="I16" s="1218"/>
      <c r="K16" s="614"/>
      <c r="L16" s="614"/>
      <c r="M16" s="614"/>
      <c r="O16" s="1224">
        <v>114.81736106445196</v>
      </c>
      <c r="P16" s="614"/>
      <c r="Q16" s="614"/>
      <c r="R16" s="614"/>
    </row>
    <row r="17" spans="2:18" ht="14.1" x14ac:dyDescent="0.4">
      <c r="B17" s="612">
        <v>2020</v>
      </c>
      <c r="C17" s="1224">
        <v>145.52218088561875</v>
      </c>
      <c r="E17" s="614"/>
      <c r="F17" s="614"/>
      <c r="G17" s="614"/>
      <c r="I17" s="1218"/>
      <c r="K17" s="614"/>
      <c r="L17" s="614"/>
      <c r="M17" s="614"/>
      <c r="O17" s="1224">
        <v>121.3517313036873</v>
      </c>
      <c r="P17" s="614"/>
      <c r="Q17" s="614"/>
      <c r="R17" s="614"/>
    </row>
    <row r="18" spans="2:18" ht="14.1" x14ac:dyDescent="0.4">
      <c r="B18" s="612">
        <v>2021</v>
      </c>
      <c r="C18" s="1224">
        <v>157.75297782368816</v>
      </c>
      <c r="E18" s="614"/>
      <c r="F18" s="614"/>
      <c r="G18" s="614"/>
      <c r="I18" s="1218"/>
      <c r="K18" s="614"/>
      <c r="L18" s="614"/>
      <c r="M18" s="614"/>
      <c r="O18" s="1224">
        <v>127.99691958244193</v>
      </c>
      <c r="P18" s="614"/>
      <c r="Q18" s="614"/>
      <c r="R18" s="614"/>
    </row>
    <row r="19" spans="2:18" ht="14.1" x14ac:dyDescent="0.4">
      <c r="B19" s="612">
        <v>2022</v>
      </c>
      <c r="C19" s="1224">
        <v>170.54111787196354</v>
      </c>
      <c r="E19" s="614"/>
      <c r="F19" s="614"/>
      <c r="G19" s="614"/>
      <c r="I19" s="1218"/>
      <c r="K19" s="614"/>
      <c r="L19" s="614"/>
      <c r="M19" s="614"/>
      <c r="O19" s="1224">
        <v>134.74422647105595</v>
      </c>
      <c r="P19" s="614"/>
      <c r="Q19" s="614"/>
      <c r="R19" s="614"/>
    </row>
    <row r="20" spans="2:18" ht="14.1" x14ac:dyDescent="0.4">
      <c r="B20" s="612">
        <v>2023</v>
      </c>
      <c r="C20" s="1224">
        <v>183.83328864574733</v>
      </c>
      <c r="E20" s="614"/>
      <c r="F20" s="614"/>
      <c r="G20" s="614"/>
      <c r="I20" s="1218"/>
      <c r="K20" s="614"/>
      <c r="L20" s="614"/>
      <c r="M20" s="614"/>
      <c r="O20" s="1224">
        <v>141.58495253986951</v>
      </c>
      <c r="P20" s="614"/>
      <c r="Q20" s="614"/>
      <c r="R20" s="614"/>
    </row>
    <row r="21" spans="2:18" ht="14.1" x14ac:dyDescent="0.4">
      <c r="B21" s="612">
        <v>2024</v>
      </c>
      <c r="C21" s="1224">
        <v>197.57617776034201</v>
      </c>
      <c r="E21" s="614"/>
      <c r="F21" s="614"/>
      <c r="G21" s="614"/>
      <c r="I21" s="1218"/>
      <c r="K21" s="614"/>
      <c r="L21" s="614"/>
      <c r="M21" s="614"/>
      <c r="O21" s="1224">
        <v>148.51039835922273</v>
      </c>
      <c r="P21" s="614"/>
      <c r="Q21" s="614"/>
      <c r="R21" s="614"/>
    </row>
    <row r="22" spans="2:18" ht="14.1" x14ac:dyDescent="0.4">
      <c r="B22" s="612">
        <v>2025</v>
      </c>
      <c r="C22" s="1224">
        <v>211.71647283105</v>
      </c>
      <c r="E22" s="614"/>
      <c r="F22" s="614"/>
      <c r="G22" s="614"/>
      <c r="I22" s="1218"/>
      <c r="K22" s="614"/>
      <c r="L22" s="614"/>
      <c r="M22" s="614"/>
      <c r="O22" s="1224">
        <v>155.51186449945573</v>
      </c>
      <c r="P22" s="614"/>
      <c r="Q22" s="614"/>
      <c r="R22" s="614"/>
    </row>
    <row r="23" spans="2:18" ht="14.1" x14ac:dyDescent="0.4">
      <c r="B23" s="612">
        <v>2026</v>
      </c>
      <c r="C23" s="1224">
        <v>226.20086147317377</v>
      </c>
      <c r="E23" s="614"/>
      <c r="F23" s="614"/>
      <c r="G23" s="614"/>
      <c r="I23" s="1218"/>
      <c r="K23" s="614"/>
      <c r="L23" s="614"/>
      <c r="M23" s="614"/>
      <c r="O23" s="1224">
        <v>162.58065153090868</v>
      </c>
      <c r="P23" s="614"/>
      <c r="Q23" s="614"/>
      <c r="R23" s="614"/>
    </row>
    <row r="24" spans="2:18" ht="14.1" x14ac:dyDescent="0.4">
      <c r="B24" s="612">
        <v>2027</v>
      </c>
      <c r="C24" s="1224">
        <v>240.9760313020158</v>
      </c>
      <c r="E24" s="614"/>
      <c r="F24" s="614"/>
      <c r="G24" s="614"/>
      <c r="I24" s="1218"/>
      <c r="K24" s="614"/>
      <c r="L24" s="614"/>
      <c r="M24" s="614"/>
      <c r="O24" s="1224">
        <v>169.70806002392163</v>
      </c>
      <c r="P24" s="614"/>
      <c r="Q24" s="614"/>
      <c r="R24" s="614"/>
    </row>
    <row r="25" spans="2:18" ht="14.1" x14ac:dyDescent="0.4">
      <c r="B25" s="612">
        <v>2028</v>
      </c>
      <c r="C25" s="1224">
        <v>255.98866993287848</v>
      </c>
      <c r="E25" s="614"/>
      <c r="F25" s="614"/>
      <c r="G25" s="614"/>
      <c r="I25" s="1218"/>
      <c r="K25" s="614"/>
      <c r="L25" s="614"/>
      <c r="M25" s="614"/>
      <c r="O25" s="1224">
        <v>176.88539054883478</v>
      </c>
      <c r="P25" s="614"/>
      <c r="Q25" s="614"/>
      <c r="R25" s="614"/>
    </row>
    <row r="26" spans="2:18" ht="14.1" x14ac:dyDescent="0.4">
      <c r="B26" s="612">
        <v>2029</v>
      </c>
      <c r="C26" s="1224">
        <v>271.18546498106429</v>
      </c>
      <c r="E26" s="614"/>
      <c r="F26" s="614"/>
      <c r="G26" s="614"/>
      <c r="I26" s="1218"/>
      <c r="K26" s="614"/>
      <c r="L26" s="614"/>
      <c r="M26" s="614"/>
      <c r="O26" s="1224">
        <v>184.10394367598821</v>
      </c>
      <c r="P26" s="614"/>
      <c r="Q26" s="614"/>
      <c r="R26" s="614"/>
    </row>
    <row r="27" spans="2:18" ht="14.1" x14ac:dyDescent="0.4">
      <c r="B27" s="612">
        <v>2030</v>
      </c>
      <c r="C27" s="1224">
        <v>286.51310406187565</v>
      </c>
      <c r="E27" s="614"/>
      <c r="F27" s="614"/>
      <c r="G27" s="614"/>
      <c r="I27" s="1218"/>
      <c r="K27" s="614"/>
      <c r="L27" s="614"/>
      <c r="M27" s="614"/>
      <c r="O27" s="1224">
        <v>191.35501997572203</v>
      </c>
      <c r="P27" s="614"/>
      <c r="Q27" s="614"/>
      <c r="R27" s="614"/>
    </row>
    <row r="28" spans="2:18" ht="14.1" x14ac:dyDescent="0.4">
      <c r="B28" s="612">
        <v>2031</v>
      </c>
      <c r="C28" s="1224">
        <v>301.91827479061499</v>
      </c>
      <c r="E28" s="614"/>
      <c r="F28" s="614"/>
      <c r="G28" s="614"/>
      <c r="I28" s="1218"/>
      <c r="K28" s="614"/>
      <c r="L28" s="614"/>
      <c r="M28" s="614"/>
      <c r="O28" s="1224">
        <v>198.62992001837642</v>
      </c>
      <c r="P28" s="614"/>
      <c r="Q28" s="614"/>
      <c r="R28" s="614"/>
    </row>
    <row r="29" spans="2:18" ht="14.1" x14ac:dyDescent="0.4">
      <c r="B29" s="612">
        <v>2032</v>
      </c>
      <c r="C29" s="1224">
        <v>317.3476647825849</v>
      </c>
      <c r="E29" s="614"/>
      <c r="F29" s="614"/>
      <c r="G29" s="614"/>
      <c r="I29" s="1218"/>
      <c r="K29" s="614"/>
      <c r="L29" s="614"/>
      <c r="M29" s="614"/>
      <c r="O29" s="1224">
        <v>205.9199443742915</v>
      </c>
      <c r="P29" s="614"/>
      <c r="Q29" s="614"/>
      <c r="R29" s="614"/>
    </row>
    <row r="30" spans="2:18" ht="14.1" x14ac:dyDescent="0.4">
      <c r="B30" s="612">
        <v>2033</v>
      </c>
      <c r="C30" s="1224">
        <v>332.74796165308771</v>
      </c>
      <c r="E30" s="614"/>
      <c r="F30" s="614"/>
      <c r="G30" s="614"/>
      <c r="I30" s="1218"/>
      <c r="K30" s="614"/>
      <c r="L30" s="614"/>
      <c r="M30" s="614"/>
      <c r="O30" s="1224">
        <v>213.21639361380733</v>
      </c>
      <c r="P30" s="614"/>
      <c r="Q30" s="614"/>
      <c r="R30" s="614"/>
    </row>
    <row r="31" spans="2:18" ht="14.1" x14ac:dyDescent="0.4">
      <c r="B31" s="612">
        <v>2034</v>
      </c>
      <c r="C31" s="1224">
        <v>348.06585301742587</v>
      </c>
      <c r="E31" s="614"/>
      <c r="F31" s="614"/>
      <c r="G31" s="614"/>
      <c r="I31" s="1218"/>
      <c r="K31" s="614"/>
      <c r="L31" s="614"/>
      <c r="M31" s="614"/>
      <c r="O31" s="1224">
        <v>220.51056830726412</v>
      </c>
      <c r="P31" s="614"/>
      <c r="Q31" s="614"/>
      <c r="R31" s="614"/>
    </row>
    <row r="32" spans="2:18" ht="14.1" x14ac:dyDescent="0.4">
      <c r="B32" s="612">
        <v>2035</v>
      </c>
      <c r="C32" s="1224">
        <v>363.24802649090179</v>
      </c>
      <c r="E32" s="614"/>
      <c r="F32" s="614"/>
      <c r="G32" s="614"/>
      <c r="I32" s="1218"/>
      <c r="K32" s="614"/>
      <c r="L32" s="614"/>
      <c r="M32" s="614"/>
      <c r="O32" s="1224">
        <v>227.79376902500201</v>
      </c>
      <c r="P32" s="614"/>
      <c r="Q32" s="614"/>
      <c r="R32" s="614"/>
    </row>
    <row r="33" spans="2:18" ht="14.1" x14ac:dyDescent="0.4">
      <c r="B33" s="612">
        <v>2036</v>
      </c>
      <c r="C33" s="1224">
        <v>378.24116968881799</v>
      </c>
      <c r="E33" s="614"/>
      <c r="F33" s="614"/>
      <c r="G33" s="614"/>
      <c r="I33" s="1218"/>
      <c r="K33" s="614"/>
      <c r="L33" s="614"/>
      <c r="M33" s="614"/>
      <c r="O33" s="1224">
        <v>235.05729633736104</v>
      </c>
      <c r="P33" s="614"/>
      <c r="Q33" s="614"/>
      <c r="R33" s="614"/>
    </row>
    <row r="34" spans="2:18" ht="14.1" x14ac:dyDescent="0.4">
      <c r="B34" s="612">
        <v>2037</v>
      </c>
      <c r="C34" s="1224">
        <v>392.99197022647695</v>
      </c>
      <c r="E34" s="614"/>
      <c r="F34" s="614"/>
      <c r="G34" s="614"/>
      <c r="I34" s="1218"/>
      <c r="K34" s="614"/>
      <c r="L34" s="614"/>
      <c r="M34" s="614"/>
      <c r="O34" s="1224">
        <v>242.29245081468139</v>
      </c>
      <c r="P34" s="614"/>
      <c r="Q34" s="614"/>
      <c r="R34" s="614"/>
    </row>
    <row r="35" spans="2:18" ht="14.1" x14ac:dyDescent="0.4">
      <c r="B35" s="612">
        <v>2038</v>
      </c>
      <c r="C35" s="1224">
        <v>407.44711571918094</v>
      </c>
      <c r="E35" s="614"/>
      <c r="F35" s="614"/>
      <c r="G35" s="614"/>
      <c r="I35" s="1218"/>
      <c r="K35" s="614"/>
      <c r="L35" s="614"/>
      <c r="M35" s="614"/>
      <c r="O35" s="1224">
        <v>249.49053302730317</v>
      </c>
      <c r="P35" s="614"/>
      <c r="Q35" s="614"/>
      <c r="R35" s="614"/>
    </row>
    <row r="36" spans="2:18" ht="14.1" x14ac:dyDescent="0.4">
      <c r="B36" s="612">
        <v>2039</v>
      </c>
      <c r="C36" s="1224">
        <v>421.55329378223269</v>
      </c>
      <c r="E36" s="614"/>
      <c r="F36" s="614"/>
      <c r="G36" s="614"/>
      <c r="I36" s="1218"/>
      <c r="K36" s="614"/>
      <c r="L36" s="614"/>
      <c r="M36" s="614"/>
      <c r="O36" s="1224">
        <v>256.64284354556645</v>
      </c>
      <c r="P36" s="614"/>
      <c r="Q36" s="614"/>
      <c r="R36" s="614"/>
    </row>
    <row r="37" spans="2:18" ht="14.1" x14ac:dyDescent="0.4">
      <c r="B37" s="612">
        <v>2040</v>
      </c>
      <c r="C37" s="1224">
        <v>435.25719203093445</v>
      </c>
      <c r="E37" s="614"/>
      <c r="F37" s="614"/>
      <c r="G37" s="614"/>
      <c r="I37" s="1218"/>
      <c r="K37" s="614"/>
      <c r="L37" s="614"/>
      <c r="M37" s="614"/>
      <c r="O37" s="1224">
        <v>263.74068293981151</v>
      </c>
      <c r="P37" s="614"/>
      <c r="Q37" s="614"/>
      <c r="R37" s="614"/>
    </row>
    <row r="38" spans="2:18" ht="14.1" x14ac:dyDescent="0.4">
      <c r="B38" s="612">
        <v>2041</v>
      </c>
      <c r="C38" s="1224">
        <v>448.50549808058861</v>
      </c>
      <c r="E38" s="614"/>
      <c r="F38" s="614"/>
      <c r="G38" s="614"/>
      <c r="I38" s="1218"/>
      <c r="K38" s="614"/>
      <c r="L38" s="614"/>
      <c r="M38" s="614"/>
      <c r="O38" s="1224">
        <v>270.77535178037829</v>
      </c>
      <c r="P38" s="614"/>
      <c r="Q38" s="614"/>
      <c r="R38" s="614"/>
    </row>
    <row r="39" spans="2:18" ht="14.1" x14ac:dyDescent="0.4">
      <c r="B39" s="612">
        <v>2042</v>
      </c>
      <c r="C39" s="1224">
        <v>461.24489954649789</v>
      </c>
      <c r="E39" s="614"/>
      <c r="F39" s="614"/>
      <c r="G39" s="614"/>
      <c r="I39" s="1218"/>
      <c r="K39" s="614"/>
      <c r="L39" s="614"/>
      <c r="M39" s="614"/>
      <c r="O39" s="1224">
        <v>277.73815063760708</v>
      </c>
      <c r="P39" s="614"/>
      <c r="Q39" s="614"/>
      <c r="R39" s="614"/>
    </row>
    <row r="40" spans="2:18" ht="14.1" x14ac:dyDescent="0.4">
      <c r="B40" s="612">
        <v>2043</v>
      </c>
      <c r="C40" s="1224">
        <v>473.42208404396445</v>
      </c>
      <c r="E40" s="614"/>
      <c r="F40" s="614"/>
      <c r="G40" s="614"/>
      <c r="I40" s="1218"/>
      <c r="K40" s="614"/>
      <c r="L40" s="614"/>
      <c r="M40" s="614"/>
      <c r="O40" s="1224">
        <v>284.62038008183788</v>
      </c>
      <c r="P40" s="614"/>
      <c r="Q40" s="614"/>
      <c r="R40" s="614"/>
    </row>
    <row r="41" spans="2:18" ht="14.1" x14ac:dyDescent="0.4">
      <c r="B41" s="612">
        <v>2044</v>
      </c>
      <c r="C41" s="1224">
        <v>484.98373918829088</v>
      </c>
      <c r="E41" s="614"/>
      <c r="F41" s="614"/>
      <c r="G41" s="614"/>
      <c r="I41" s="1218"/>
      <c r="K41" s="614"/>
      <c r="L41" s="614"/>
      <c r="M41" s="614"/>
      <c r="O41" s="1224">
        <v>291.41334068341098</v>
      </c>
      <c r="P41" s="614"/>
      <c r="Q41" s="614"/>
      <c r="R41" s="614"/>
    </row>
    <row r="42" spans="2:18" ht="14.1" x14ac:dyDescent="0.4">
      <c r="B42" s="612">
        <v>2045</v>
      </c>
      <c r="C42" s="1224">
        <v>495.87655259477958</v>
      </c>
      <c r="E42" s="614"/>
      <c r="F42" s="614"/>
      <c r="G42" s="614"/>
      <c r="I42" s="1218"/>
      <c r="K42" s="614"/>
      <c r="L42" s="614"/>
      <c r="M42" s="614"/>
      <c r="O42" s="1224">
        <v>298.10833301266626</v>
      </c>
      <c r="P42" s="614"/>
      <c r="Q42" s="614"/>
      <c r="R42" s="614"/>
    </row>
    <row r="43" spans="2:18" ht="14.1" x14ac:dyDescent="0.4">
      <c r="B43" s="612">
        <v>2046</v>
      </c>
      <c r="C43" s="1224">
        <v>506.04721187873315</v>
      </c>
      <c r="E43" s="614"/>
      <c r="F43" s="614"/>
      <c r="G43" s="614"/>
      <c r="I43" s="1218"/>
      <c r="K43" s="614"/>
      <c r="L43" s="614"/>
      <c r="M43" s="614"/>
      <c r="O43" s="1224">
        <v>304.69665763994408</v>
      </c>
      <c r="P43" s="614"/>
      <c r="Q43" s="614"/>
      <c r="R43" s="614"/>
    </row>
    <row r="44" spans="2:18" ht="14.1" x14ac:dyDescent="0.4">
      <c r="B44" s="612">
        <v>2047</v>
      </c>
      <c r="C44" s="1224">
        <v>515.44240465545386</v>
      </c>
      <c r="E44" s="614"/>
      <c r="F44" s="614"/>
      <c r="G44" s="614"/>
      <c r="I44" s="1218"/>
      <c r="K44" s="614"/>
      <c r="L44" s="614"/>
      <c r="M44" s="614"/>
      <c r="O44" s="1224">
        <v>311.16961513558448</v>
      </c>
      <c r="P44" s="614"/>
      <c r="Q44" s="614"/>
      <c r="R44" s="614"/>
    </row>
    <row r="45" spans="2:18" ht="14.1" x14ac:dyDescent="0.4">
      <c r="B45" s="612">
        <v>2048</v>
      </c>
      <c r="C45" s="1224">
        <v>524.00881854024419</v>
      </c>
      <c r="E45" s="614"/>
      <c r="F45" s="614"/>
      <c r="G45" s="614"/>
      <c r="I45" s="1218"/>
      <c r="K45" s="614"/>
      <c r="L45" s="614"/>
      <c r="M45" s="614"/>
      <c r="O45" s="1224">
        <v>317.51850606992753</v>
      </c>
      <c r="P45" s="614"/>
      <c r="Q45" s="614"/>
      <c r="R45" s="614"/>
    </row>
    <row r="46" spans="2:18" ht="14.1" x14ac:dyDescent="0.4">
      <c r="B46" s="612">
        <v>2049</v>
      </c>
      <c r="C46" s="1224">
        <v>531.69314114840665</v>
      </c>
      <c r="E46" s="614"/>
      <c r="F46" s="614"/>
      <c r="G46" s="614"/>
      <c r="I46" s="1218"/>
      <c r="K46" s="614"/>
      <c r="L46" s="614"/>
      <c r="M46" s="614"/>
      <c r="O46" s="1224">
        <v>323.73463101331345</v>
      </c>
      <c r="P46" s="614"/>
      <c r="Q46" s="614"/>
      <c r="R46" s="614"/>
    </row>
    <row r="47" spans="2:18" ht="14.1" x14ac:dyDescent="0.4">
      <c r="B47" s="612">
        <v>2050</v>
      </c>
      <c r="C47" s="1224">
        <v>538.44206009524362</v>
      </c>
      <c r="E47" s="614"/>
      <c r="F47" s="614"/>
      <c r="G47" s="614"/>
      <c r="I47" s="1218"/>
      <c r="K47" s="614"/>
      <c r="L47" s="614"/>
      <c r="M47" s="614"/>
      <c r="O47" s="1224">
        <v>329.8092905360823</v>
      </c>
      <c r="P47" s="614"/>
      <c r="Q47" s="614"/>
      <c r="R47" s="614"/>
    </row>
    <row r="48" spans="2:18" ht="14.1" x14ac:dyDescent="0.4">
      <c r="B48" s="612">
        <v>2051</v>
      </c>
      <c r="C48" s="1224">
        <v>544.20226299605758</v>
      </c>
      <c r="E48" s="614"/>
      <c r="F48" s="614"/>
      <c r="G48" s="614"/>
      <c r="I48" s="1218"/>
      <c r="K48" s="614"/>
      <c r="L48" s="614"/>
      <c r="M48" s="614"/>
      <c r="O48" s="1224">
        <v>335.73378520857426</v>
      </c>
      <c r="P48" s="614"/>
      <c r="Q48" s="614"/>
      <c r="R48" s="614"/>
    </row>
    <row r="49" spans="2:18" ht="14.1" x14ac:dyDescent="0.4">
      <c r="B49" s="612">
        <v>2052</v>
      </c>
      <c r="C49" s="1224">
        <v>548.92043746615104</v>
      </c>
      <c r="E49" s="614"/>
      <c r="F49" s="614"/>
      <c r="G49" s="614"/>
      <c r="I49" s="1218"/>
      <c r="K49" s="614"/>
      <c r="L49" s="614"/>
      <c r="M49" s="614"/>
      <c r="O49" s="1224">
        <v>341.49941560112939</v>
      </c>
      <c r="P49" s="614"/>
      <c r="Q49" s="614"/>
      <c r="R49" s="614"/>
    </row>
    <row r="50" spans="2:18" ht="14.1" x14ac:dyDescent="0.4">
      <c r="B50" s="612">
        <v>2053</v>
      </c>
      <c r="C50" s="1224">
        <v>552.54327112082626</v>
      </c>
      <c r="E50" s="614"/>
      <c r="F50" s="614"/>
      <c r="G50" s="614"/>
      <c r="I50" s="1218"/>
      <c r="K50" s="614"/>
      <c r="L50" s="614"/>
      <c r="M50" s="614"/>
      <c r="O50" s="1224">
        <v>347.09748228408785</v>
      </c>
      <c r="P50" s="614"/>
      <c r="Q50" s="614"/>
      <c r="R50" s="614"/>
    </row>
    <row r="51" spans="2:18" ht="14.1" x14ac:dyDescent="0.4">
      <c r="B51" s="612">
        <v>2054</v>
      </c>
      <c r="C51" s="1224">
        <v>555.01745157538596</v>
      </c>
      <c r="E51" s="614"/>
      <c r="F51" s="614"/>
      <c r="G51" s="614"/>
      <c r="I51" s="1218"/>
      <c r="K51" s="614"/>
      <c r="L51" s="614"/>
      <c r="M51" s="614"/>
      <c r="O51" s="1224">
        <v>352.51928582778976</v>
      </c>
      <c r="P51" s="614"/>
      <c r="Q51" s="614"/>
      <c r="R51" s="614"/>
    </row>
    <row r="52" spans="2:18" ht="14.1" x14ac:dyDescent="0.4">
      <c r="B52" s="612">
        <v>2055</v>
      </c>
      <c r="C52" s="1224">
        <v>556.2896664451323</v>
      </c>
      <c r="E52" s="614"/>
      <c r="F52" s="614"/>
      <c r="G52" s="614"/>
      <c r="I52" s="1218"/>
      <c r="K52" s="614"/>
      <c r="L52" s="614"/>
      <c r="M52" s="614"/>
      <c r="O52" s="1224">
        <v>357.7561268025753</v>
      </c>
      <c r="P52" s="614"/>
      <c r="Q52" s="614"/>
      <c r="R52" s="614"/>
    </row>
    <row r="53" spans="2:18" ht="14.1" x14ac:dyDescent="0.4">
      <c r="B53" s="612">
        <v>2056</v>
      </c>
      <c r="C53" s="1224">
        <v>556.30660334536788</v>
      </c>
      <c r="E53" s="614"/>
      <c r="F53" s="614"/>
      <c r="G53" s="614"/>
      <c r="I53" s="1218"/>
      <c r="K53" s="614"/>
      <c r="L53" s="614"/>
      <c r="M53" s="614"/>
      <c r="O53" s="1224">
        <v>362.79930577878451</v>
      </c>
      <c r="P53" s="614"/>
      <c r="Q53" s="614"/>
      <c r="R53" s="614"/>
    </row>
    <row r="54" spans="2:18" ht="14.1" x14ac:dyDescent="0.4">
      <c r="B54" s="612">
        <v>2057</v>
      </c>
      <c r="C54" s="1224">
        <v>555.01494989139519</v>
      </c>
      <c r="E54" s="614"/>
      <c r="F54" s="614"/>
      <c r="G54" s="614"/>
      <c r="I54" s="1218"/>
      <c r="K54" s="614"/>
      <c r="L54" s="614"/>
      <c r="M54" s="614"/>
      <c r="O54" s="1224">
        <v>367.64012332675759</v>
      </c>
      <c r="P54" s="614"/>
      <c r="Q54" s="614"/>
      <c r="R54" s="614"/>
    </row>
    <row r="55" spans="2:18" ht="14.1" x14ac:dyDescent="0.4">
      <c r="B55" s="612">
        <v>2058</v>
      </c>
      <c r="C55" s="1224">
        <v>552.36139369851674</v>
      </c>
      <c r="E55" s="614"/>
      <c r="F55" s="614"/>
      <c r="G55" s="614"/>
      <c r="I55" s="1218"/>
      <c r="K55" s="614"/>
      <c r="L55" s="614"/>
      <c r="M55" s="614"/>
      <c r="O55" s="1224">
        <v>372.26988001683469</v>
      </c>
      <c r="P55" s="614"/>
      <c r="Q55" s="614"/>
      <c r="R55" s="614"/>
    </row>
    <row r="56" spans="2:18" ht="14.1" x14ac:dyDescent="0.4">
      <c r="B56" s="612">
        <v>2059</v>
      </c>
      <c r="C56" s="1224">
        <v>548.29262238203478</v>
      </c>
      <c r="E56" s="614"/>
      <c r="F56" s="614"/>
      <c r="G56" s="614"/>
      <c r="I56" s="1218"/>
      <c r="K56" s="614"/>
      <c r="L56" s="614"/>
      <c r="M56" s="614"/>
      <c r="O56" s="1224">
        <v>376.67987641935576</v>
      </c>
      <c r="P56" s="614"/>
      <c r="Q56" s="614"/>
      <c r="R56" s="614"/>
    </row>
    <row r="57" spans="2:18" ht="14.1" x14ac:dyDescent="0.4">
      <c r="B57" s="612">
        <v>2060</v>
      </c>
      <c r="C57" s="1224">
        <v>542.75532355725181</v>
      </c>
      <c r="E57" s="614"/>
      <c r="F57" s="614"/>
      <c r="G57" s="614"/>
      <c r="I57" s="1219"/>
      <c r="K57" s="614"/>
      <c r="L57" s="614"/>
      <c r="M57" s="614"/>
      <c r="O57" s="1224">
        <v>380.86141310466115</v>
      </c>
      <c r="P57" s="614"/>
      <c r="Q57" s="614"/>
      <c r="R57" s="614"/>
    </row>
    <row r="68" spans="1:19" ht="32.700000000000003" x14ac:dyDescent="1.05">
      <c r="A68" s="613" t="s">
        <v>401</v>
      </c>
    </row>
    <row r="69" spans="1:19" ht="17.399999999999999" x14ac:dyDescent="0.55000000000000004">
      <c r="A69" s="1229" t="s">
        <v>1124</v>
      </c>
      <c r="C69" s="609" t="s">
        <v>478</v>
      </c>
      <c r="I69" s="609" t="s">
        <v>479</v>
      </c>
      <c r="O69" s="609" t="s">
        <v>545</v>
      </c>
    </row>
    <row r="70" spans="1:19" ht="45" customHeight="1" x14ac:dyDescent="0.4">
      <c r="C70" s="1" t="s">
        <v>399</v>
      </c>
      <c r="E70" s="1285" t="s">
        <v>1145</v>
      </c>
      <c r="F70" s="1285"/>
      <c r="G70" s="1285"/>
      <c r="I70" s="609" t="s">
        <v>399</v>
      </c>
      <c r="K70" s="1285" t="s">
        <v>1146</v>
      </c>
      <c r="L70" s="1285"/>
      <c r="M70" s="1285"/>
      <c r="O70" s="609" t="s">
        <v>399</v>
      </c>
      <c r="Q70" s="1285" t="s">
        <v>1147</v>
      </c>
      <c r="R70" s="1285"/>
      <c r="S70" s="1285"/>
    </row>
    <row r="71" spans="1:19" ht="86.1" x14ac:dyDescent="0.4">
      <c r="B71" s="1172"/>
      <c r="C71" s="1217" t="s">
        <v>409</v>
      </c>
      <c r="E71" s="705"/>
      <c r="F71" s="705"/>
      <c r="G71" s="705"/>
      <c r="I71" s="1217" t="s">
        <v>415</v>
      </c>
      <c r="K71" s="1"/>
      <c r="L71" s="1"/>
      <c r="M71" s="1"/>
      <c r="O71" s="1217" t="s">
        <v>1122</v>
      </c>
      <c r="Q71" s="705"/>
      <c r="R71" s="705"/>
      <c r="S71" s="705"/>
    </row>
    <row r="72" spans="1:19" ht="14.1" x14ac:dyDescent="0.4">
      <c r="B72" s="612">
        <v>2014</v>
      </c>
      <c r="C72" s="1224">
        <v>23.802159959999997</v>
      </c>
      <c r="E72" s="614"/>
      <c r="F72" s="614"/>
      <c r="G72" s="614"/>
      <c r="I72" s="1218"/>
      <c r="K72" s="614"/>
      <c r="L72" s="614"/>
      <c r="M72" s="614"/>
      <c r="O72" s="1218">
        <v>23.802159959999997</v>
      </c>
      <c r="Q72" s="614"/>
      <c r="R72" s="614"/>
      <c r="S72" s="614"/>
    </row>
    <row r="73" spans="1:19" ht="14.1" x14ac:dyDescent="0.4">
      <c r="B73" s="612">
        <v>2015</v>
      </c>
      <c r="C73" s="1224">
        <v>20.704508545199335</v>
      </c>
      <c r="E73" s="614"/>
      <c r="F73" s="614"/>
      <c r="G73" s="614"/>
      <c r="I73" s="1218"/>
      <c r="K73" s="614"/>
      <c r="L73" s="614"/>
      <c r="M73" s="614"/>
      <c r="O73" s="1218">
        <v>25.038474106585277</v>
      </c>
      <c r="Q73" s="614"/>
      <c r="R73" s="614"/>
      <c r="S73" s="614"/>
    </row>
    <row r="74" spans="1:19" ht="14.1" x14ac:dyDescent="0.4">
      <c r="B74" s="612">
        <v>2016</v>
      </c>
      <c r="C74" s="1224">
        <v>25.947379190707494</v>
      </c>
      <c r="E74" s="614"/>
      <c r="F74" s="614"/>
      <c r="G74" s="614"/>
      <c r="I74" s="1218"/>
      <c r="K74" s="614"/>
      <c r="L74" s="614"/>
      <c r="M74" s="614"/>
      <c r="O74" s="1218">
        <v>27.53206836991609</v>
      </c>
      <c r="Q74" s="614"/>
      <c r="R74" s="614"/>
      <c r="S74" s="614"/>
    </row>
    <row r="75" spans="1:19" ht="14.1" x14ac:dyDescent="0.4">
      <c r="B75" s="612">
        <v>2017</v>
      </c>
      <c r="C75" s="1224">
        <v>31.115145406136513</v>
      </c>
      <c r="E75" s="614"/>
      <c r="F75" s="614"/>
      <c r="G75" s="614"/>
      <c r="I75" s="1218"/>
      <c r="K75" s="614"/>
      <c r="L75" s="614"/>
      <c r="M75" s="614"/>
      <c r="O75" s="1218">
        <v>30.0084551804391</v>
      </c>
      <c r="Q75" s="614"/>
      <c r="R75" s="614"/>
      <c r="S75" s="614"/>
    </row>
    <row r="76" spans="1:19" ht="14.1" x14ac:dyDescent="0.4">
      <c r="B76" s="612">
        <v>2018</v>
      </c>
      <c r="C76" s="1224">
        <v>36.207807191486388</v>
      </c>
      <c r="E76" s="614"/>
      <c r="F76" s="614"/>
      <c r="G76" s="614"/>
      <c r="I76" s="1218"/>
      <c r="K76" s="614"/>
      <c r="L76" s="614"/>
      <c r="M76" s="614"/>
      <c r="O76" s="1218">
        <v>32.467634538154307</v>
      </c>
      <c r="Q76" s="614"/>
      <c r="R76" s="614"/>
      <c r="S76" s="614"/>
    </row>
    <row r="77" spans="1:19" ht="14.1" x14ac:dyDescent="0.4">
      <c r="B77" s="612">
        <v>2019</v>
      </c>
      <c r="C77" s="1224">
        <v>41.225364546757135</v>
      </c>
      <c r="E77" s="614"/>
      <c r="F77" s="614"/>
      <c r="G77" s="614"/>
      <c r="I77" s="1218"/>
      <c r="K77" s="614"/>
      <c r="L77" s="614"/>
      <c r="M77" s="614"/>
      <c r="O77" s="1218">
        <v>34.909606443061712</v>
      </c>
      <c r="Q77" s="614"/>
      <c r="R77" s="614"/>
      <c r="S77" s="614"/>
    </row>
    <row r="78" spans="1:19" ht="14.1" x14ac:dyDescent="0.4">
      <c r="B78" s="612">
        <v>2020</v>
      </c>
      <c r="C78" s="1224">
        <v>46.167817471948737</v>
      </c>
      <c r="E78" s="614"/>
      <c r="F78" s="614"/>
      <c r="G78" s="614"/>
      <c r="I78" s="1218"/>
      <c r="K78" s="614"/>
      <c r="L78" s="614"/>
      <c r="M78" s="614"/>
      <c r="O78" s="1218">
        <v>37.334370895161314</v>
      </c>
      <c r="Q78" s="614"/>
      <c r="R78" s="614"/>
      <c r="S78" s="614"/>
    </row>
    <row r="79" spans="1:19" ht="14.1" x14ac:dyDescent="0.4">
      <c r="B79" s="612">
        <v>2021</v>
      </c>
      <c r="C79" s="1224">
        <v>51.035165967061204</v>
      </c>
      <c r="E79" s="614"/>
      <c r="F79" s="614"/>
      <c r="G79" s="614"/>
      <c r="I79" s="1218"/>
      <c r="K79" s="614"/>
      <c r="L79" s="614"/>
      <c r="M79" s="614"/>
      <c r="O79" s="1218">
        <v>39.741927894453099</v>
      </c>
      <c r="Q79" s="614"/>
      <c r="R79" s="614"/>
      <c r="S79" s="614"/>
    </row>
    <row r="80" spans="1:19" ht="14.1" x14ac:dyDescent="0.4">
      <c r="B80" s="612">
        <v>2022</v>
      </c>
      <c r="C80" s="1224">
        <v>55.827410032094534</v>
      </c>
      <c r="E80" s="614"/>
      <c r="F80" s="614"/>
      <c r="G80" s="614"/>
      <c r="I80" s="1218"/>
      <c r="K80" s="614"/>
      <c r="L80" s="614"/>
      <c r="M80" s="614"/>
      <c r="O80" s="1218">
        <v>42.132277440937102</v>
      </c>
      <c r="Q80" s="614"/>
      <c r="R80" s="614"/>
      <c r="S80" s="614"/>
    </row>
    <row r="81" spans="2:19" ht="14.1" x14ac:dyDescent="0.4">
      <c r="B81" s="612">
        <v>2023</v>
      </c>
      <c r="C81" s="1224">
        <v>60.544549667048727</v>
      </c>
      <c r="E81" s="614"/>
      <c r="F81" s="614"/>
      <c r="G81" s="614"/>
      <c r="I81" s="1218"/>
      <c r="K81" s="614"/>
      <c r="L81" s="614"/>
      <c r="M81" s="614"/>
      <c r="O81" s="1218">
        <v>44.505419534613289</v>
      </c>
      <c r="Q81" s="614"/>
      <c r="R81" s="614"/>
      <c r="S81" s="614"/>
    </row>
    <row r="82" spans="2:19" ht="14.1" x14ac:dyDescent="0.4">
      <c r="B82" s="612">
        <v>2024</v>
      </c>
      <c r="C82" s="1224">
        <v>65.18658487192377</v>
      </c>
      <c r="E82" s="614"/>
      <c r="F82" s="614"/>
      <c r="G82" s="614"/>
      <c r="I82" s="1218"/>
      <c r="K82" s="614"/>
      <c r="L82" s="614"/>
      <c r="M82" s="614"/>
      <c r="O82" s="1218">
        <v>46.861354175481672</v>
      </c>
      <c r="Q82" s="614"/>
      <c r="R82" s="614"/>
      <c r="S82" s="614"/>
    </row>
    <row r="83" spans="2:19" ht="14.1" x14ac:dyDescent="0.4">
      <c r="B83" s="612">
        <v>2025</v>
      </c>
      <c r="C83" s="1224">
        <v>69.753515646719706</v>
      </c>
      <c r="E83" s="614"/>
      <c r="F83" s="614"/>
      <c r="G83" s="614"/>
      <c r="I83" s="1218"/>
      <c r="K83" s="614"/>
      <c r="L83" s="614"/>
      <c r="M83" s="614"/>
      <c r="O83" s="1218">
        <v>49.200081363542253</v>
      </c>
      <c r="Q83" s="614"/>
      <c r="R83" s="614"/>
      <c r="S83" s="614"/>
    </row>
    <row r="84" spans="2:19" ht="14.1" x14ac:dyDescent="0.4">
      <c r="B84" s="612">
        <v>2026</v>
      </c>
      <c r="C84" s="1224">
        <v>74.24534199143649</v>
      </c>
      <c r="E84" s="614"/>
      <c r="F84" s="614"/>
      <c r="G84" s="614"/>
      <c r="I84" s="1218"/>
      <c r="K84" s="614"/>
      <c r="L84" s="614"/>
      <c r="M84" s="614"/>
      <c r="O84" s="1218">
        <v>51.521601098795031</v>
      </c>
      <c r="Q84" s="614"/>
      <c r="R84" s="614"/>
      <c r="S84" s="614"/>
    </row>
    <row r="85" spans="2:19" ht="14.1" x14ac:dyDescent="0.4">
      <c r="B85" s="612">
        <v>2027</v>
      </c>
      <c r="C85" s="1224">
        <v>78.66206390607411</v>
      </c>
      <c r="E85" s="614"/>
      <c r="F85" s="614"/>
      <c r="G85" s="614"/>
      <c r="I85" s="1218"/>
      <c r="K85" s="614"/>
      <c r="L85" s="614"/>
      <c r="M85" s="614"/>
      <c r="O85" s="1218">
        <v>53.825913381240007</v>
      </c>
      <c r="Q85" s="614"/>
      <c r="R85" s="614"/>
      <c r="S85" s="614"/>
    </row>
    <row r="86" spans="2:19" ht="14.1" x14ac:dyDescent="0.4">
      <c r="B86" s="612">
        <v>2028</v>
      </c>
      <c r="C86" s="1224">
        <v>83.003681390632622</v>
      </c>
      <c r="E86" s="614"/>
      <c r="F86" s="614"/>
      <c r="G86" s="614"/>
      <c r="I86" s="1218"/>
      <c r="K86" s="614"/>
      <c r="L86" s="614"/>
      <c r="M86" s="614"/>
      <c r="O86" s="1218">
        <v>56.113018210877172</v>
      </c>
      <c r="Q86" s="614"/>
      <c r="R86" s="614"/>
      <c r="S86" s="614"/>
    </row>
    <row r="87" spans="2:19" ht="14.1" x14ac:dyDescent="0.4">
      <c r="B87" s="612">
        <v>2029</v>
      </c>
      <c r="C87" s="1224">
        <v>87.270194445111983</v>
      </c>
      <c r="E87" s="614"/>
      <c r="F87" s="614"/>
      <c r="G87" s="614"/>
      <c r="I87" s="1218"/>
      <c r="K87" s="614"/>
      <c r="L87" s="614"/>
      <c r="M87" s="614"/>
      <c r="O87" s="1218">
        <v>58.382915587706542</v>
      </c>
      <c r="Q87" s="614"/>
      <c r="R87" s="614"/>
      <c r="S87" s="614"/>
    </row>
    <row r="88" spans="2:19" ht="14.1" x14ac:dyDescent="0.4">
      <c r="B88" s="612">
        <v>2030</v>
      </c>
      <c r="C88" s="1224">
        <v>91.461603069512222</v>
      </c>
      <c r="E88" s="614"/>
      <c r="F88" s="614"/>
      <c r="G88" s="614"/>
      <c r="I88" s="1218"/>
      <c r="K88" s="614"/>
      <c r="L88" s="614"/>
      <c r="M88" s="614"/>
      <c r="O88" s="1218">
        <v>60.635605511728109</v>
      </c>
      <c r="Q88" s="614"/>
      <c r="R88" s="614"/>
      <c r="S88" s="614"/>
    </row>
    <row r="89" spans="2:19" ht="14.1" x14ac:dyDescent="0.4">
      <c r="B89" s="612">
        <v>2031</v>
      </c>
      <c r="C89" s="1224">
        <v>95.577907263833325</v>
      </c>
      <c r="E89" s="614"/>
      <c r="F89" s="614"/>
      <c r="G89" s="614"/>
      <c r="I89" s="1218"/>
      <c r="K89" s="614"/>
      <c r="L89" s="614"/>
      <c r="M89" s="614"/>
      <c r="O89" s="1218">
        <v>62.871087982941866</v>
      </c>
      <c r="Q89" s="614"/>
      <c r="R89" s="614"/>
      <c r="S89" s="614"/>
    </row>
    <row r="90" spans="2:19" ht="14.1" x14ac:dyDescent="0.4">
      <c r="B90" s="612">
        <v>2032</v>
      </c>
      <c r="C90" s="1224">
        <v>99.619107028075263</v>
      </c>
      <c r="E90" s="614"/>
      <c r="F90" s="614"/>
      <c r="G90" s="614"/>
      <c r="I90" s="1218"/>
      <c r="K90" s="614"/>
      <c r="L90" s="614"/>
      <c r="M90" s="614"/>
      <c r="O90" s="1218">
        <v>65.089363001347834</v>
      </c>
      <c r="Q90" s="614"/>
      <c r="R90" s="614"/>
      <c r="S90" s="614"/>
    </row>
    <row r="91" spans="2:19" ht="14.1" x14ac:dyDescent="0.4">
      <c r="B91" s="612">
        <v>2033</v>
      </c>
      <c r="C91" s="1224">
        <v>103.58520236223808</v>
      </c>
      <c r="E91" s="614"/>
      <c r="F91" s="614"/>
      <c r="G91" s="614"/>
      <c r="I91" s="1218"/>
      <c r="K91" s="614"/>
      <c r="L91" s="614"/>
      <c r="M91" s="614"/>
      <c r="O91" s="1218">
        <v>67.290430566945972</v>
      </c>
      <c r="Q91" s="614"/>
      <c r="R91" s="614"/>
      <c r="S91" s="614"/>
    </row>
    <row r="92" spans="2:19" ht="14.1" x14ac:dyDescent="0.4">
      <c r="B92" s="612">
        <v>2034</v>
      </c>
      <c r="C92" s="1224">
        <v>107.47619326632176</v>
      </c>
      <c r="E92" s="614"/>
      <c r="F92" s="614"/>
      <c r="G92" s="614"/>
      <c r="I92" s="1218"/>
      <c r="K92" s="614"/>
      <c r="L92" s="614"/>
      <c r="M92" s="614"/>
      <c r="O92" s="1218">
        <v>69.474290679736328</v>
      </c>
      <c r="Q92" s="614"/>
      <c r="R92" s="614"/>
      <c r="S92" s="614"/>
    </row>
    <row r="93" spans="2:19" ht="14.1" x14ac:dyDescent="0.4">
      <c r="B93" s="612">
        <v>2035</v>
      </c>
      <c r="C93" s="1224">
        <v>111.2920797403263</v>
      </c>
      <c r="E93" s="614"/>
      <c r="F93" s="614"/>
      <c r="G93" s="614"/>
      <c r="I93" s="1218"/>
      <c r="K93" s="614"/>
      <c r="L93" s="614"/>
      <c r="M93" s="614"/>
      <c r="O93" s="1218">
        <v>71.640943339718859</v>
      </c>
      <c r="Q93" s="614"/>
      <c r="R93" s="614"/>
      <c r="S93" s="614"/>
    </row>
    <row r="94" spans="2:19" ht="14.1" x14ac:dyDescent="0.4">
      <c r="B94" s="612">
        <v>2036</v>
      </c>
      <c r="C94" s="1224">
        <v>115.03286178425171</v>
      </c>
      <c r="E94" s="614"/>
      <c r="F94" s="614"/>
      <c r="G94" s="614"/>
      <c r="I94" s="1218"/>
      <c r="K94" s="614"/>
      <c r="L94" s="614"/>
      <c r="M94" s="614"/>
      <c r="O94" s="1218">
        <v>73.79038854689361</v>
      </c>
      <c r="Q94" s="614"/>
      <c r="R94" s="614"/>
      <c r="S94" s="614"/>
    </row>
    <row r="95" spans="2:19" ht="14.1" x14ac:dyDescent="0.4">
      <c r="B95" s="612">
        <v>2037</v>
      </c>
      <c r="C95" s="1224">
        <v>118.69853939809796</v>
      </c>
      <c r="E95" s="614"/>
      <c r="F95" s="614"/>
      <c r="G95" s="614"/>
      <c r="I95" s="1218"/>
      <c r="K95" s="614"/>
      <c r="L95" s="614"/>
      <c r="M95" s="614"/>
      <c r="O95" s="1218">
        <v>75.92262630126055</v>
      </c>
      <c r="Q95" s="614"/>
      <c r="R95" s="614"/>
      <c r="S95" s="614"/>
    </row>
    <row r="96" spans="2:19" ht="14.1" x14ac:dyDescent="0.4">
      <c r="B96" s="612">
        <v>2038</v>
      </c>
      <c r="C96" s="1224">
        <v>122.28911258186511</v>
      </c>
      <c r="E96" s="614"/>
      <c r="F96" s="614"/>
      <c r="G96" s="614"/>
      <c r="I96" s="1218"/>
      <c r="K96" s="614"/>
      <c r="L96" s="614"/>
      <c r="M96" s="614"/>
      <c r="O96" s="1218">
        <v>78.037656602819681</v>
      </c>
      <c r="Q96" s="614"/>
      <c r="R96" s="614"/>
      <c r="S96" s="614"/>
    </row>
    <row r="97" spans="2:19" ht="14.1" x14ac:dyDescent="0.4">
      <c r="B97" s="612">
        <v>2039</v>
      </c>
      <c r="C97" s="1224">
        <v>125.80458133555308</v>
      </c>
      <c r="E97" s="614"/>
      <c r="F97" s="614"/>
      <c r="G97" s="614"/>
      <c r="I97" s="1218"/>
      <c r="K97" s="614"/>
      <c r="L97" s="614"/>
      <c r="M97" s="614"/>
      <c r="O97" s="1218">
        <v>80.135479451571015</v>
      </c>
      <c r="Q97" s="614"/>
      <c r="R97" s="614"/>
      <c r="S97" s="614"/>
    </row>
    <row r="98" spans="2:19" ht="14.1" x14ac:dyDescent="0.4">
      <c r="B98" s="612">
        <v>2040</v>
      </c>
      <c r="C98" s="1224">
        <v>129.24494565916191</v>
      </c>
      <c r="E98" s="614"/>
      <c r="F98" s="614"/>
      <c r="G98" s="614"/>
      <c r="I98" s="1218"/>
      <c r="K98" s="614"/>
      <c r="L98" s="614"/>
      <c r="M98" s="614"/>
      <c r="O98" s="1218">
        <v>82.21609484751454</v>
      </c>
      <c r="Q98" s="614"/>
      <c r="R98" s="614"/>
      <c r="S98" s="614"/>
    </row>
    <row r="99" spans="2:19" ht="14.1" x14ac:dyDescent="0.4">
      <c r="B99" s="612">
        <v>2041</v>
      </c>
      <c r="C99" s="1224">
        <v>132.61020555269164</v>
      </c>
      <c r="E99" s="614"/>
      <c r="F99" s="614"/>
      <c r="G99" s="614"/>
      <c r="I99" s="1218"/>
      <c r="K99" s="614"/>
      <c r="L99" s="614"/>
      <c r="M99" s="614"/>
      <c r="O99" s="1218">
        <v>84.27950279065027</v>
      </c>
      <c r="Q99" s="614"/>
      <c r="R99" s="614"/>
      <c r="S99" s="614"/>
    </row>
    <row r="100" spans="2:19" ht="14.1" x14ac:dyDescent="0.4">
      <c r="B100" s="612">
        <v>2042</v>
      </c>
      <c r="C100" s="1224">
        <v>135.90036101614223</v>
      </c>
      <c r="E100" s="614"/>
      <c r="F100" s="614"/>
      <c r="G100" s="614"/>
      <c r="I100" s="1218"/>
      <c r="K100" s="614"/>
      <c r="L100" s="614"/>
      <c r="M100" s="614"/>
      <c r="O100" s="1218">
        <v>86.325703280978189</v>
      </c>
      <c r="Q100" s="614"/>
      <c r="R100" s="614"/>
      <c r="S100" s="614"/>
    </row>
    <row r="101" spans="2:19" ht="14.1" x14ac:dyDescent="0.4">
      <c r="B101" s="612">
        <v>2043</v>
      </c>
      <c r="C101" s="1224">
        <v>139.11541204951368</v>
      </c>
      <c r="E101" s="614"/>
      <c r="F101" s="614"/>
      <c r="G101" s="614"/>
      <c r="I101" s="1218"/>
      <c r="K101" s="614"/>
      <c r="L101" s="614"/>
      <c r="M101" s="614"/>
      <c r="O101" s="1218">
        <v>88.354696318498299</v>
      </c>
      <c r="Q101" s="614"/>
      <c r="R101" s="614"/>
      <c r="S101" s="614"/>
    </row>
    <row r="102" spans="2:19" ht="14.1" x14ac:dyDescent="0.4">
      <c r="B102" s="612">
        <v>2044</v>
      </c>
      <c r="C102" s="1224">
        <v>142.25535865280597</v>
      </c>
      <c r="E102" s="614"/>
      <c r="F102" s="614"/>
      <c r="G102" s="614"/>
      <c r="I102" s="1218"/>
      <c r="K102" s="614"/>
      <c r="L102" s="614"/>
      <c r="M102" s="614"/>
      <c r="O102" s="1218">
        <v>90.366481903210627</v>
      </c>
      <c r="Q102" s="614"/>
      <c r="R102" s="614"/>
      <c r="S102" s="614"/>
    </row>
    <row r="103" spans="2:19" ht="14.1" x14ac:dyDescent="0.4">
      <c r="B103" s="612">
        <v>2045</v>
      </c>
      <c r="C103" s="1224">
        <v>145.32020082601912</v>
      </c>
      <c r="E103" s="614"/>
      <c r="F103" s="614"/>
      <c r="G103" s="614"/>
      <c r="I103" s="1218"/>
      <c r="K103" s="614"/>
      <c r="L103" s="614"/>
      <c r="M103" s="614"/>
      <c r="O103" s="1218">
        <v>92.361060035115116</v>
      </c>
      <c r="Q103" s="614"/>
      <c r="R103" s="614"/>
      <c r="S103" s="614"/>
    </row>
    <row r="104" spans="2:19" ht="14.1" x14ac:dyDescent="0.4">
      <c r="B104" s="612">
        <v>2046</v>
      </c>
      <c r="C104" s="1224">
        <v>148.30993856915316</v>
      </c>
      <c r="E104" s="614"/>
      <c r="F104" s="614"/>
      <c r="G104" s="614"/>
      <c r="I104" s="1218"/>
      <c r="K104" s="614"/>
      <c r="L104" s="614"/>
      <c r="M104" s="614"/>
      <c r="O104" s="1218">
        <v>94.338430714211825</v>
      </c>
      <c r="Q104" s="614"/>
      <c r="R104" s="614"/>
      <c r="S104" s="614"/>
    </row>
    <row r="105" spans="2:19" ht="14.1" x14ac:dyDescent="0.4">
      <c r="B105" s="612">
        <v>2047</v>
      </c>
      <c r="C105" s="1224">
        <v>151.22457188220804</v>
      </c>
      <c r="E105" s="614"/>
      <c r="F105" s="614"/>
      <c r="G105" s="614"/>
      <c r="I105" s="1218"/>
      <c r="K105" s="614"/>
      <c r="L105" s="614"/>
      <c r="M105" s="614"/>
      <c r="O105" s="1218">
        <v>96.298593940500723</v>
      </c>
      <c r="Q105" s="614"/>
      <c r="R105" s="614"/>
      <c r="S105" s="614"/>
    </row>
    <row r="106" spans="2:19" ht="14.1" x14ac:dyDescent="0.4">
      <c r="B106" s="612">
        <v>2048</v>
      </c>
      <c r="C106" s="1224">
        <v>154.06410076518381</v>
      </c>
      <c r="E106" s="614"/>
      <c r="F106" s="614"/>
      <c r="G106" s="614"/>
      <c r="I106" s="1218"/>
      <c r="K106" s="614"/>
      <c r="L106" s="614"/>
      <c r="M106" s="614"/>
      <c r="O106" s="1218">
        <v>98.24154971398184</v>
      </c>
      <c r="Q106" s="614"/>
      <c r="R106" s="614"/>
      <c r="S106" s="614"/>
    </row>
    <row r="107" spans="2:19" ht="14.1" x14ac:dyDescent="0.4">
      <c r="B107" s="612">
        <v>2049</v>
      </c>
      <c r="C107" s="1224">
        <v>156.82852521808039</v>
      </c>
      <c r="E107" s="614"/>
      <c r="F107" s="614"/>
      <c r="G107" s="614"/>
      <c r="I107" s="1218"/>
      <c r="K107" s="614"/>
      <c r="L107" s="614"/>
      <c r="M107" s="614"/>
      <c r="O107" s="1218">
        <v>100.16729803465515</v>
      </c>
      <c r="Q107" s="614"/>
      <c r="R107" s="614"/>
      <c r="S107" s="614"/>
    </row>
    <row r="108" spans="2:19" ht="14.1" x14ac:dyDescent="0.4">
      <c r="B108" s="612">
        <v>2050</v>
      </c>
      <c r="C108" s="1224">
        <v>159.51784524089788</v>
      </c>
      <c r="E108" s="614"/>
      <c r="F108" s="614"/>
      <c r="G108" s="614"/>
      <c r="I108" s="1218"/>
      <c r="K108" s="614"/>
      <c r="L108" s="614"/>
      <c r="M108" s="614"/>
      <c r="O108" s="1218">
        <v>102.07583890252062</v>
      </c>
      <c r="Q108" s="614"/>
      <c r="R108" s="614"/>
      <c r="S108" s="614"/>
    </row>
    <row r="109" spans="2:19" ht="14.1" x14ac:dyDescent="0.4">
      <c r="B109" s="612">
        <v>2051</v>
      </c>
      <c r="C109" s="1224">
        <v>162.13206083363622</v>
      </c>
      <c r="E109" s="614"/>
      <c r="F109" s="614"/>
      <c r="G109" s="614"/>
      <c r="I109" s="1218"/>
      <c r="K109" s="614"/>
      <c r="L109" s="614"/>
      <c r="M109" s="614"/>
      <c r="O109" s="1218">
        <v>103.9671723175783</v>
      </c>
      <c r="Q109" s="614"/>
      <c r="R109" s="614"/>
      <c r="S109" s="614"/>
    </row>
    <row r="110" spans="2:19" ht="14.1" x14ac:dyDescent="0.4">
      <c r="B110" s="612">
        <v>2052</v>
      </c>
      <c r="C110" s="1224">
        <v>164.67117199629544</v>
      </c>
      <c r="E110" s="614"/>
      <c r="F110" s="614"/>
      <c r="G110" s="614"/>
      <c r="I110" s="1218"/>
      <c r="K110" s="614"/>
      <c r="L110" s="614"/>
      <c r="M110" s="614"/>
      <c r="O110" s="1218">
        <v>105.84129827982818</v>
      </c>
      <c r="Q110" s="614"/>
      <c r="R110" s="614"/>
      <c r="S110" s="614"/>
    </row>
    <row r="111" spans="2:19" ht="14.1" x14ac:dyDescent="0.4">
      <c r="B111" s="612">
        <v>2053</v>
      </c>
      <c r="C111" s="1224">
        <v>167.1351787288755</v>
      </c>
      <c r="E111" s="614"/>
      <c r="F111" s="614"/>
      <c r="G111" s="614"/>
      <c r="I111" s="1218"/>
      <c r="K111" s="614"/>
      <c r="L111" s="614"/>
      <c r="M111" s="614"/>
      <c r="O111" s="1218">
        <v>107.69821678927028</v>
      </c>
      <c r="Q111" s="614"/>
      <c r="R111" s="614"/>
      <c r="S111" s="614"/>
    </row>
    <row r="112" spans="2:19" ht="14.1" x14ac:dyDescent="0.4">
      <c r="B112" s="612">
        <v>2054</v>
      </c>
      <c r="C112" s="1224">
        <v>169.5240810313764</v>
      </c>
      <c r="E112" s="614"/>
      <c r="F112" s="614"/>
      <c r="G112" s="614"/>
      <c r="I112" s="1218"/>
      <c r="K112" s="614"/>
      <c r="L112" s="614"/>
      <c r="M112" s="614"/>
      <c r="O112" s="1218">
        <v>109.53792784590456</v>
      </c>
      <c r="Q112" s="614"/>
      <c r="R112" s="614"/>
      <c r="S112" s="614"/>
    </row>
    <row r="113" spans="1:19" ht="14.1" x14ac:dyDescent="0.4">
      <c r="B113" s="612">
        <v>2055</v>
      </c>
      <c r="C113" s="1224">
        <v>171.83787890379821</v>
      </c>
      <c r="E113" s="614"/>
      <c r="F113" s="614"/>
      <c r="G113" s="614"/>
      <c r="I113" s="1218"/>
      <c r="K113" s="614"/>
      <c r="L113" s="614"/>
      <c r="M113" s="614"/>
      <c r="O113" s="1218">
        <v>111.36043144973104</v>
      </c>
      <c r="Q113" s="614"/>
      <c r="R113" s="614"/>
      <c r="S113" s="614"/>
    </row>
    <row r="114" spans="1:19" ht="14.1" x14ac:dyDescent="0.4">
      <c r="B114" s="612">
        <v>2056</v>
      </c>
      <c r="C114" s="1224">
        <v>174.07657234614086</v>
      </c>
      <c r="E114" s="614"/>
      <c r="F114" s="614"/>
      <c r="G114" s="614"/>
      <c r="I114" s="1218"/>
      <c r="K114" s="614"/>
      <c r="L114" s="614"/>
      <c r="M114" s="614"/>
      <c r="O114" s="1218">
        <v>113.1657276007497</v>
      </c>
      <c r="Q114" s="614"/>
      <c r="R114" s="614"/>
      <c r="S114" s="614"/>
    </row>
    <row r="115" spans="1:19" ht="14.1" x14ac:dyDescent="0.4">
      <c r="B115" s="612">
        <v>2057</v>
      </c>
      <c r="C115" s="1224">
        <v>176.24016135840438</v>
      </c>
      <c r="E115" s="614"/>
      <c r="F115" s="614"/>
      <c r="G115" s="614"/>
      <c r="I115" s="1218"/>
      <c r="K115" s="614"/>
      <c r="L115" s="614"/>
      <c r="M115" s="614"/>
      <c r="O115" s="1218">
        <v>114.95381629896056</v>
      </c>
      <c r="Q115" s="614"/>
      <c r="R115" s="614"/>
      <c r="S115" s="614"/>
    </row>
    <row r="116" spans="1:19" ht="14.1" x14ac:dyDescent="0.4">
      <c r="B116" s="612">
        <v>2058</v>
      </c>
      <c r="C116" s="1224">
        <v>178.32864594058876</v>
      </c>
      <c r="E116" s="614"/>
      <c r="F116" s="614"/>
      <c r="G116" s="614"/>
      <c r="I116" s="1218"/>
      <c r="K116" s="614"/>
      <c r="L116" s="614"/>
      <c r="M116" s="614"/>
      <c r="O116" s="1218">
        <v>116.72469754436361</v>
      </c>
      <c r="Q116" s="614"/>
      <c r="R116" s="614"/>
      <c r="S116" s="614"/>
    </row>
    <row r="117" spans="1:19" ht="14.1" x14ac:dyDescent="0.4">
      <c r="B117" s="612">
        <v>2059</v>
      </c>
      <c r="C117" s="1224">
        <v>180.342026092694</v>
      </c>
      <c r="E117" s="614"/>
      <c r="F117" s="614"/>
      <c r="G117" s="614"/>
      <c r="I117" s="1218"/>
      <c r="K117" s="614"/>
      <c r="L117" s="614"/>
      <c r="M117" s="614"/>
      <c r="O117" s="1218">
        <v>118.47837133695887</v>
      </c>
      <c r="Q117" s="614"/>
      <c r="R117" s="614"/>
      <c r="S117" s="614"/>
    </row>
    <row r="118" spans="1:19" ht="14.1" x14ac:dyDescent="0.4">
      <c r="B118" s="612">
        <v>2060</v>
      </c>
      <c r="C118" s="1224">
        <v>182.28030181472008</v>
      </c>
      <c r="E118" s="614"/>
      <c r="F118" s="614"/>
      <c r="G118" s="614"/>
      <c r="I118" s="1219"/>
      <c r="K118" s="614"/>
      <c r="L118" s="614"/>
      <c r="M118" s="614"/>
      <c r="O118" s="1219">
        <v>120.21483767674633</v>
      </c>
      <c r="Q118" s="614"/>
      <c r="R118" s="614"/>
      <c r="S118" s="614"/>
    </row>
    <row r="122" spans="1:19" ht="17.399999999999999" x14ac:dyDescent="0.55000000000000004">
      <c r="A122" s="1229" t="s">
        <v>1148</v>
      </c>
    </row>
    <row r="124" spans="1:19" ht="42" customHeight="1" x14ac:dyDescent="0.4">
      <c r="C124" s="1287" t="s">
        <v>416</v>
      </c>
      <c r="D124" s="1287"/>
      <c r="E124" s="1287"/>
      <c r="F124" s="1"/>
      <c r="G124" s="1287" t="s">
        <v>1126</v>
      </c>
      <c r="H124" s="1287"/>
      <c r="I124" s="1287"/>
      <c r="J124" s="1"/>
      <c r="K124" s="1"/>
      <c r="L124" s="1287" t="s">
        <v>1125</v>
      </c>
      <c r="M124" s="1287"/>
      <c r="N124" s="1287"/>
      <c r="O124" s="1"/>
      <c r="P124" s="1287" t="s">
        <v>1127</v>
      </c>
      <c r="Q124" s="1287"/>
      <c r="R124" s="1287"/>
    </row>
    <row r="125" spans="1:19" x14ac:dyDescent="0.4">
      <c r="B125" s="1172"/>
      <c r="C125" s="963" t="s">
        <v>404</v>
      </c>
      <c r="D125" s="963" t="s">
        <v>407</v>
      </c>
      <c r="E125" s="963" t="s">
        <v>408</v>
      </c>
      <c r="G125" s="1" t="s">
        <v>404</v>
      </c>
      <c r="H125" s="1" t="s">
        <v>407</v>
      </c>
      <c r="I125" s="1" t="s">
        <v>408</v>
      </c>
      <c r="K125" s="1172"/>
      <c r="L125" s="963" t="s">
        <v>404</v>
      </c>
      <c r="M125" s="963" t="s">
        <v>407</v>
      </c>
      <c r="N125" s="963" t="s">
        <v>408</v>
      </c>
      <c r="P125" s="1" t="s">
        <v>404</v>
      </c>
      <c r="Q125" s="1" t="s">
        <v>407</v>
      </c>
      <c r="R125" s="1" t="s">
        <v>408</v>
      </c>
    </row>
    <row r="126" spans="1:19" ht="14.1" x14ac:dyDescent="0.4">
      <c r="B126" s="612">
        <v>2014</v>
      </c>
      <c r="C126" s="614">
        <v>23.802159959999997</v>
      </c>
      <c r="D126" s="614">
        <v>23.802159959999997</v>
      </c>
      <c r="E126" s="614">
        <v>23.802159959999997</v>
      </c>
      <c r="G126" s="614">
        <v>23.802159959999997</v>
      </c>
      <c r="H126" s="614">
        <v>23.802159959999997</v>
      </c>
      <c r="I126" s="614">
        <v>23.802159959999997</v>
      </c>
      <c r="K126" s="612">
        <v>2014</v>
      </c>
      <c r="L126" s="614">
        <v>23.802159959999997</v>
      </c>
      <c r="M126" s="614">
        <v>23.802159959999997</v>
      </c>
      <c r="N126" s="614">
        <v>23.802159959999997</v>
      </c>
      <c r="P126" s="614">
        <v>23.802159959999997</v>
      </c>
      <c r="Q126" s="614">
        <v>23.802159959999997</v>
      </c>
      <c r="R126" s="614">
        <v>23.802159959999997</v>
      </c>
    </row>
    <row r="127" spans="1:19" ht="14.1" x14ac:dyDescent="0.4">
      <c r="B127" s="612">
        <v>2015</v>
      </c>
      <c r="C127" s="614">
        <v>20.704508545199335</v>
      </c>
      <c r="D127" s="614">
        <v>20.704508545199335</v>
      </c>
      <c r="E127" s="614">
        <v>20.704508545199335</v>
      </c>
      <c r="G127" s="614">
        <v>25.038474106585277</v>
      </c>
      <c r="H127" s="614">
        <v>25.038474106585277</v>
      </c>
      <c r="I127" s="614">
        <v>25.038474106585277</v>
      </c>
      <c r="K127" s="612">
        <v>2015</v>
      </c>
      <c r="L127" s="614">
        <v>20.704508545199335</v>
      </c>
      <c r="M127" s="614">
        <v>20.704508545199335</v>
      </c>
      <c r="N127" s="614">
        <v>20.704508545199335</v>
      </c>
      <c r="P127" s="614">
        <v>25.038474106585277</v>
      </c>
      <c r="Q127" s="614">
        <v>25.038474106585277</v>
      </c>
      <c r="R127" s="614">
        <v>25.038474106585277</v>
      </c>
    </row>
    <row r="128" spans="1:19" ht="14.1" x14ac:dyDescent="0.4">
      <c r="B128" s="612">
        <v>2016</v>
      </c>
      <c r="C128" s="614">
        <v>25.947379190707494</v>
      </c>
      <c r="D128" s="614">
        <v>25.947379190707494</v>
      </c>
      <c r="E128" s="614">
        <v>25.947379190707494</v>
      </c>
      <c r="G128" s="614">
        <v>27.53206836991609</v>
      </c>
      <c r="H128" s="614">
        <v>27.53206836991609</v>
      </c>
      <c r="I128" s="614">
        <v>27.53206836991609</v>
      </c>
      <c r="K128" s="612">
        <v>2016</v>
      </c>
      <c r="L128" s="614">
        <v>25.947379190707494</v>
      </c>
      <c r="M128" s="614">
        <v>25.947379190707494</v>
      </c>
      <c r="N128" s="614">
        <v>25.947379190707494</v>
      </c>
      <c r="P128" s="614">
        <v>27.53206836991609</v>
      </c>
      <c r="Q128" s="614">
        <v>27.53206836991609</v>
      </c>
      <c r="R128" s="614">
        <v>27.53206836991609</v>
      </c>
    </row>
    <row r="129" spans="2:18" ht="14.1" x14ac:dyDescent="0.4">
      <c r="B129" s="612">
        <v>2017</v>
      </c>
      <c r="C129" s="614">
        <v>31.115145406136513</v>
      </c>
      <c r="D129" s="614">
        <v>31.115145406136513</v>
      </c>
      <c r="E129" s="614">
        <v>31.115145406136513</v>
      </c>
      <c r="G129" s="614">
        <v>30.0084551804391</v>
      </c>
      <c r="H129" s="614">
        <v>30.0084551804391</v>
      </c>
      <c r="I129" s="614">
        <v>30.0084551804391</v>
      </c>
      <c r="K129" s="612">
        <v>2017</v>
      </c>
      <c r="L129" s="614">
        <v>31.115145406136513</v>
      </c>
      <c r="M129" s="614">
        <v>31.115145406136513</v>
      </c>
      <c r="N129" s="614">
        <v>31.115145406136513</v>
      </c>
      <c r="P129" s="614">
        <v>30.0084551804391</v>
      </c>
      <c r="Q129" s="614">
        <v>30.0084551804391</v>
      </c>
      <c r="R129" s="614">
        <v>30.0084551804391</v>
      </c>
    </row>
    <row r="130" spans="2:18" ht="14.1" x14ac:dyDescent="0.4">
      <c r="B130" s="612">
        <v>2018</v>
      </c>
      <c r="C130" s="614">
        <v>36.207807191486388</v>
      </c>
      <c r="D130" s="614">
        <v>36.207807191486388</v>
      </c>
      <c r="E130" s="614">
        <v>36.207807191486388</v>
      </c>
      <c r="G130" s="614">
        <v>32.467634538154307</v>
      </c>
      <c r="H130" s="614">
        <v>32.467634538154307</v>
      </c>
      <c r="I130" s="614">
        <v>32.467634538154307</v>
      </c>
      <c r="K130" s="612">
        <v>2018</v>
      </c>
      <c r="L130" s="614">
        <v>36.207807191486388</v>
      </c>
      <c r="M130" s="614">
        <v>36.207807191486388</v>
      </c>
      <c r="N130" s="614">
        <v>36.207807191486388</v>
      </c>
      <c r="P130" s="614">
        <v>32.467634538154307</v>
      </c>
      <c r="Q130" s="614">
        <v>32.467634538154307</v>
      </c>
      <c r="R130" s="614">
        <v>32.467634538154307</v>
      </c>
    </row>
    <row r="131" spans="2:18" ht="14.1" x14ac:dyDescent="0.4">
      <c r="B131" s="612">
        <v>2019</v>
      </c>
      <c r="C131" s="614">
        <v>41.225364546757135</v>
      </c>
      <c r="D131" s="614">
        <v>41.225364546757135</v>
      </c>
      <c r="E131" s="614">
        <v>41.225364546757135</v>
      </c>
      <c r="G131" s="614">
        <v>34.909606443061712</v>
      </c>
      <c r="H131" s="614">
        <v>34.909606443061712</v>
      </c>
      <c r="I131" s="614">
        <v>34.909606443061712</v>
      </c>
      <c r="K131" s="612">
        <v>2019</v>
      </c>
      <c r="L131" s="614">
        <v>41.225364546757135</v>
      </c>
      <c r="M131" s="614">
        <v>41.225364546757135</v>
      </c>
      <c r="N131" s="614">
        <v>41.225364546757135</v>
      </c>
      <c r="P131" s="614">
        <v>34.909606443061712</v>
      </c>
      <c r="Q131" s="614">
        <v>34.909606443061712</v>
      </c>
      <c r="R131" s="614">
        <v>34.909606443061712</v>
      </c>
    </row>
    <row r="132" spans="2:18" ht="14.1" x14ac:dyDescent="0.4">
      <c r="B132" s="612">
        <v>2020</v>
      </c>
      <c r="C132" s="614">
        <v>46.167817471948737</v>
      </c>
      <c r="D132" s="614">
        <v>46.167817471948737</v>
      </c>
      <c r="E132" s="614">
        <v>46.167817471948737</v>
      </c>
      <c r="G132" s="614">
        <v>37.334370895161314</v>
      </c>
      <c r="H132" s="614">
        <v>37.334370895161314</v>
      </c>
      <c r="I132" s="614">
        <v>37.334370895161314</v>
      </c>
      <c r="K132" s="612">
        <v>2020</v>
      </c>
      <c r="L132" s="614">
        <v>46.167817471948737</v>
      </c>
      <c r="M132" s="614">
        <v>46.167817471948737</v>
      </c>
      <c r="N132" s="614">
        <v>46.167817471948737</v>
      </c>
      <c r="P132" s="614">
        <v>37.334370895161314</v>
      </c>
      <c r="Q132" s="614">
        <v>37.334370895161314</v>
      </c>
      <c r="R132" s="614">
        <v>37.334370895161314</v>
      </c>
    </row>
    <row r="133" spans="2:18" ht="14.1" x14ac:dyDescent="0.4">
      <c r="B133" s="612">
        <v>2021</v>
      </c>
      <c r="C133" s="614">
        <v>51.035165967061204</v>
      </c>
      <c r="D133" s="614">
        <v>51.035165967061204</v>
      </c>
      <c r="E133" s="614">
        <v>51.035165967061204</v>
      </c>
      <c r="G133" s="614">
        <v>39.741927894453099</v>
      </c>
      <c r="H133" s="614">
        <v>39.741927894453099</v>
      </c>
      <c r="I133" s="614">
        <v>39.741927894453099</v>
      </c>
      <c r="K133" s="612">
        <v>2021</v>
      </c>
      <c r="L133" s="614">
        <v>51.035165967061204</v>
      </c>
      <c r="M133" s="614">
        <v>51.035165967061204</v>
      </c>
      <c r="N133" s="614">
        <v>51.035165967061204</v>
      </c>
      <c r="P133" s="614">
        <v>39.741927894453099</v>
      </c>
      <c r="Q133" s="614">
        <v>39.741927894453099</v>
      </c>
      <c r="R133" s="614">
        <v>39.741927894453099</v>
      </c>
    </row>
    <row r="134" spans="2:18" ht="14.1" x14ac:dyDescent="0.4">
      <c r="B134" s="612">
        <v>2022</v>
      </c>
      <c r="C134" s="614">
        <v>55.827410032094534</v>
      </c>
      <c r="D134" s="614">
        <v>55.827410032094534</v>
      </c>
      <c r="E134" s="614">
        <v>55.827410032094534</v>
      </c>
      <c r="G134" s="614">
        <v>42.132277440937102</v>
      </c>
      <c r="H134" s="614">
        <v>42.132277440937102</v>
      </c>
      <c r="I134" s="614">
        <v>42.132277440937102</v>
      </c>
      <c r="K134" s="612">
        <v>2022</v>
      </c>
      <c r="L134" s="614">
        <v>55.827410032094534</v>
      </c>
      <c r="M134" s="614">
        <v>55.827410032094534</v>
      </c>
      <c r="N134" s="614">
        <v>55.827410032094534</v>
      </c>
      <c r="P134" s="614">
        <v>42.132277440937102</v>
      </c>
      <c r="Q134" s="614">
        <v>42.132277440937102</v>
      </c>
      <c r="R134" s="614">
        <v>42.132277440937102</v>
      </c>
    </row>
    <row r="135" spans="2:18" ht="14.1" x14ac:dyDescent="0.4">
      <c r="B135" s="612">
        <v>2023</v>
      </c>
      <c r="C135" s="614">
        <v>60.544549667048727</v>
      </c>
      <c r="D135" s="614">
        <v>60.544549667048727</v>
      </c>
      <c r="E135" s="614">
        <v>60.544549667048727</v>
      </c>
      <c r="G135" s="614">
        <v>44.505419534613289</v>
      </c>
      <c r="H135" s="614">
        <v>44.505419534613289</v>
      </c>
      <c r="I135" s="614">
        <v>44.505419534613289</v>
      </c>
      <c r="K135" s="612">
        <v>2023</v>
      </c>
      <c r="L135" s="614">
        <v>60.544549667048727</v>
      </c>
      <c r="M135" s="614">
        <v>60.544549667048727</v>
      </c>
      <c r="N135" s="614">
        <v>60.544549667048727</v>
      </c>
      <c r="P135" s="614">
        <v>44.505419534613289</v>
      </c>
      <c r="Q135" s="614">
        <v>44.505419534613289</v>
      </c>
      <c r="R135" s="614">
        <v>44.505419534613289</v>
      </c>
    </row>
    <row r="136" spans="2:18" ht="14.1" x14ac:dyDescent="0.4">
      <c r="B136" s="612">
        <v>2024</v>
      </c>
      <c r="C136" s="614">
        <v>65.18658487192377</v>
      </c>
      <c r="D136" s="614">
        <v>65.18658487192377</v>
      </c>
      <c r="E136" s="614">
        <v>65.18658487192377</v>
      </c>
      <c r="G136" s="614">
        <v>46.861354175481672</v>
      </c>
      <c r="H136" s="614">
        <v>46.861354175481672</v>
      </c>
      <c r="I136" s="614">
        <v>46.861354175481672</v>
      </c>
      <c r="K136" s="612">
        <v>2024</v>
      </c>
      <c r="L136" s="614">
        <v>65.18658487192377</v>
      </c>
      <c r="M136" s="614">
        <v>65.18658487192377</v>
      </c>
      <c r="N136" s="614">
        <v>65.18658487192377</v>
      </c>
      <c r="P136" s="614">
        <v>46.861354175481672</v>
      </c>
      <c r="Q136" s="614">
        <v>46.861354175481672</v>
      </c>
      <c r="R136" s="614">
        <v>46.861354175481672</v>
      </c>
    </row>
    <row r="137" spans="2:18" ht="14.1" x14ac:dyDescent="0.4">
      <c r="B137" s="612">
        <v>2025</v>
      </c>
      <c r="C137" s="614">
        <v>69.753515646719706</v>
      </c>
      <c r="D137" s="614">
        <v>69.753515646719706</v>
      </c>
      <c r="E137" s="614">
        <v>69.753515646719706</v>
      </c>
      <c r="G137" s="614">
        <v>49.200081363542253</v>
      </c>
      <c r="H137" s="614">
        <v>49.200081363542253</v>
      </c>
      <c r="I137" s="614">
        <v>49.200081363542253</v>
      </c>
      <c r="K137" s="612">
        <v>2025</v>
      </c>
      <c r="L137" s="614">
        <v>69.753515646719706</v>
      </c>
      <c r="M137" s="614">
        <v>69.753515646719706</v>
      </c>
      <c r="N137" s="614">
        <v>69.753515646719706</v>
      </c>
      <c r="P137" s="614">
        <v>49.200081363542253</v>
      </c>
      <c r="Q137" s="614">
        <v>49.200081363542253</v>
      </c>
      <c r="R137" s="614">
        <v>49.200081363542253</v>
      </c>
    </row>
    <row r="138" spans="2:18" ht="14.1" x14ac:dyDescent="0.4">
      <c r="B138" s="612">
        <v>2026</v>
      </c>
      <c r="C138" s="614">
        <v>74.24534199143649</v>
      </c>
      <c r="D138" s="614">
        <v>74.24534199143649</v>
      </c>
      <c r="E138" s="614">
        <v>74.24534199143649</v>
      </c>
      <c r="G138" s="614">
        <v>51.521601098795031</v>
      </c>
      <c r="H138" s="614">
        <v>51.521601098795031</v>
      </c>
      <c r="I138" s="614">
        <v>51.521601098795031</v>
      </c>
      <c r="K138" s="612">
        <v>2026</v>
      </c>
      <c r="L138" s="614">
        <v>74.24534199143649</v>
      </c>
      <c r="M138" s="614">
        <v>74.24534199143649</v>
      </c>
      <c r="N138" s="614">
        <v>74.24534199143649</v>
      </c>
      <c r="P138" s="614">
        <v>51.521601098795031</v>
      </c>
      <c r="Q138" s="614">
        <v>51.521601098795031</v>
      </c>
      <c r="R138" s="614">
        <v>51.521601098795031</v>
      </c>
    </row>
    <row r="139" spans="2:18" ht="14.1" x14ac:dyDescent="0.4">
      <c r="B139" s="612">
        <v>2027</v>
      </c>
      <c r="C139" s="614">
        <v>78.66206390607411</v>
      </c>
      <c r="D139" s="614">
        <v>78.66206390607411</v>
      </c>
      <c r="E139" s="614">
        <v>71.805700797879695</v>
      </c>
      <c r="G139" s="614">
        <v>53.825913381240007</v>
      </c>
      <c r="H139" s="614">
        <v>53.825913381240007</v>
      </c>
      <c r="I139" s="614">
        <v>53.825913381240007</v>
      </c>
      <c r="K139" s="612">
        <v>2027</v>
      </c>
      <c r="L139" s="614">
        <v>78.66206390607411</v>
      </c>
      <c r="M139" s="614">
        <v>78.66206390607411</v>
      </c>
      <c r="N139" s="614">
        <v>78.66206390607411</v>
      </c>
      <c r="P139" s="614">
        <v>53.825913381240007</v>
      </c>
      <c r="Q139" s="614">
        <v>53.825913381240007</v>
      </c>
      <c r="R139" s="614">
        <v>53.825913381240007</v>
      </c>
    </row>
    <row r="140" spans="2:18" ht="14.1" x14ac:dyDescent="0.4">
      <c r="B140" s="612">
        <v>2028</v>
      </c>
      <c r="C140" s="614">
        <v>83.003681390632622</v>
      </c>
      <c r="D140" s="614">
        <v>83.003681390632622</v>
      </c>
      <c r="E140" s="614">
        <v>58.730460249175501</v>
      </c>
      <c r="G140" s="614">
        <v>56.113018210877172</v>
      </c>
      <c r="H140" s="614">
        <v>56.113018210877172</v>
      </c>
      <c r="I140" s="614">
        <v>56.113018210877172</v>
      </c>
      <c r="K140" s="612">
        <v>2028</v>
      </c>
      <c r="L140" s="614">
        <v>83.003681390632622</v>
      </c>
      <c r="M140" s="614">
        <v>83.003681390632622</v>
      </c>
      <c r="N140" s="614">
        <v>83.003681390632622</v>
      </c>
      <c r="P140" s="614">
        <v>56.113018210877172</v>
      </c>
      <c r="Q140" s="614">
        <v>56.113018210877172</v>
      </c>
      <c r="R140" s="614">
        <v>56.113018210877172</v>
      </c>
    </row>
    <row r="141" spans="2:18" ht="14.1" x14ac:dyDescent="0.4">
      <c r="B141" s="612">
        <v>2029</v>
      </c>
      <c r="C141" s="614">
        <v>87.270194445111983</v>
      </c>
      <c r="D141" s="614">
        <v>87.270194445111983</v>
      </c>
      <c r="E141" s="614">
        <v>44.801544376514869</v>
      </c>
      <c r="G141" s="614">
        <v>58.382915587706542</v>
      </c>
      <c r="H141" s="614">
        <v>58.382915587706542</v>
      </c>
      <c r="I141" s="614">
        <v>44.801544376514869</v>
      </c>
      <c r="K141" s="612">
        <v>2029</v>
      </c>
      <c r="L141" s="614">
        <v>87.270194445111983</v>
      </c>
      <c r="M141" s="614">
        <v>87.270194445111983</v>
      </c>
      <c r="N141" s="614">
        <v>77.15579283629495</v>
      </c>
      <c r="P141" s="614">
        <v>58.382915587706542</v>
      </c>
      <c r="Q141" s="614">
        <v>58.382915587706542</v>
      </c>
      <c r="R141" s="614">
        <v>58.382915587706542</v>
      </c>
    </row>
    <row r="142" spans="2:18" ht="14.1" x14ac:dyDescent="0.4">
      <c r="B142" s="612">
        <v>2030</v>
      </c>
      <c r="C142" s="614">
        <v>91.461603069512222</v>
      </c>
      <c r="D142" s="614">
        <v>91.461603069512222</v>
      </c>
      <c r="E142" s="614">
        <v>30.761229192975836</v>
      </c>
      <c r="G142" s="614">
        <v>60.635605511728109</v>
      </c>
      <c r="H142" s="614">
        <v>60.635605511728109</v>
      </c>
      <c r="I142" s="614">
        <v>30.761229192975836</v>
      </c>
      <c r="K142" s="612">
        <v>2030</v>
      </c>
      <c r="L142" s="614">
        <v>91.461603069512222</v>
      </c>
      <c r="M142" s="614">
        <v>91.461603069512222</v>
      </c>
      <c r="N142" s="614">
        <v>66.104549694214356</v>
      </c>
      <c r="P142" s="614">
        <v>60.635605511728109</v>
      </c>
      <c r="Q142" s="614">
        <v>60.635605511728109</v>
      </c>
      <c r="R142" s="614">
        <v>60.635605511728109</v>
      </c>
    </row>
    <row r="143" spans="2:18" ht="14.1" x14ac:dyDescent="0.4">
      <c r="B143" s="612">
        <v>2031</v>
      </c>
      <c r="C143" s="614">
        <v>95.577907263833325</v>
      </c>
      <c r="D143" s="614">
        <v>92.134195312046074</v>
      </c>
      <c r="E143" s="614">
        <v>14.965691303252669</v>
      </c>
      <c r="G143" s="614">
        <v>62.871087982941866</v>
      </c>
      <c r="H143" s="614">
        <v>62.871087982941866</v>
      </c>
      <c r="I143" s="614">
        <v>14.965691303252669</v>
      </c>
      <c r="K143" s="612">
        <v>2031</v>
      </c>
      <c r="L143" s="614">
        <v>95.577907263833325</v>
      </c>
      <c r="M143" s="614">
        <v>95.577907263833325</v>
      </c>
      <c r="N143" s="614">
        <v>53.319720002146894</v>
      </c>
      <c r="P143" s="614">
        <v>62.871087982941866</v>
      </c>
      <c r="Q143" s="614">
        <v>62.871087982941866</v>
      </c>
      <c r="R143" s="614">
        <v>53.319720002146894</v>
      </c>
    </row>
    <row r="144" spans="2:18" ht="14.1" x14ac:dyDescent="0.4">
      <c r="B144" s="612">
        <v>2032</v>
      </c>
      <c r="C144" s="614">
        <v>99.619107028075263</v>
      </c>
      <c r="D144" s="614">
        <v>81.071742217579285</v>
      </c>
      <c r="E144" s="614">
        <v>0</v>
      </c>
      <c r="G144" s="614">
        <v>65.089363001347834</v>
      </c>
      <c r="H144" s="614">
        <v>65.089363001347834</v>
      </c>
      <c r="I144" s="614">
        <v>0</v>
      </c>
      <c r="K144" s="612">
        <v>2032</v>
      </c>
      <c r="L144" s="614">
        <v>99.619107028075263</v>
      </c>
      <c r="M144" s="614">
        <v>99.619107028075263</v>
      </c>
      <c r="N144" s="614">
        <v>40.459302353774746</v>
      </c>
      <c r="P144" s="614">
        <v>65.089363001347834</v>
      </c>
      <c r="Q144" s="614">
        <v>65.089363001347834</v>
      </c>
      <c r="R144" s="614">
        <v>40.459302353774746</v>
      </c>
    </row>
    <row r="145" spans="2:18" ht="14.1" x14ac:dyDescent="0.4">
      <c r="B145" s="612">
        <v>2033</v>
      </c>
      <c r="C145" s="614">
        <v>103.58520236223808</v>
      </c>
      <c r="D145" s="614">
        <v>69.744751858581566</v>
      </c>
      <c r="E145" s="614">
        <v>0</v>
      </c>
      <c r="G145" s="614">
        <v>67.290430566945972</v>
      </c>
      <c r="H145" s="614">
        <v>67.290430566945972</v>
      </c>
      <c r="I145" s="614">
        <v>0</v>
      </c>
      <c r="K145" s="612">
        <v>2033</v>
      </c>
      <c r="L145" s="614">
        <v>103.58520236223808</v>
      </c>
      <c r="M145" s="614">
        <v>103.58520236223808</v>
      </c>
      <c r="N145" s="614">
        <v>27.282918816155867</v>
      </c>
      <c r="P145" s="614">
        <v>67.290430566945972</v>
      </c>
      <c r="Q145" s="614">
        <v>67.290430566945972</v>
      </c>
      <c r="R145" s="614">
        <v>27.282918816155867</v>
      </c>
    </row>
    <row r="146" spans="2:18" ht="14.1" x14ac:dyDescent="0.4">
      <c r="B146" s="612">
        <v>2034</v>
      </c>
      <c r="C146" s="614">
        <v>107.47619326632176</v>
      </c>
      <c r="D146" s="614">
        <v>58.921677070748188</v>
      </c>
      <c r="E146" s="614">
        <v>0</v>
      </c>
      <c r="G146" s="614">
        <v>69.474290679736328</v>
      </c>
      <c r="H146" s="614">
        <v>58.921677070748188</v>
      </c>
      <c r="I146" s="614">
        <v>0</v>
      </c>
      <c r="K146" s="612">
        <v>2034</v>
      </c>
      <c r="L146" s="614">
        <v>107.47619326632176</v>
      </c>
      <c r="M146" s="614">
        <v>106.29287398113303</v>
      </c>
      <c r="N146" s="614">
        <v>19.345224390575872</v>
      </c>
      <c r="P146" s="614">
        <v>69.474290679736328</v>
      </c>
      <c r="Q146" s="614">
        <v>69.474290679736328</v>
      </c>
      <c r="R146" s="614">
        <v>19.345224390575872</v>
      </c>
    </row>
    <row r="147" spans="2:18" ht="14.1" x14ac:dyDescent="0.4">
      <c r="B147" s="612">
        <v>2035</v>
      </c>
      <c r="C147" s="614">
        <v>111.2920797403263</v>
      </c>
      <c r="D147" s="614">
        <v>49.211346776399637</v>
      </c>
      <c r="E147" s="614">
        <v>0</v>
      </c>
      <c r="G147" s="614">
        <v>71.640943339718859</v>
      </c>
      <c r="H147" s="614">
        <v>49.211346776399637</v>
      </c>
      <c r="I147" s="614">
        <v>0</v>
      </c>
      <c r="K147" s="612">
        <v>2035</v>
      </c>
      <c r="L147" s="614">
        <v>111.2920797403263</v>
      </c>
      <c r="M147" s="614">
        <v>99.535820256933505</v>
      </c>
      <c r="N147" s="614">
        <v>14.172951578956717</v>
      </c>
      <c r="P147" s="614">
        <v>71.640943339718859</v>
      </c>
      <c r="Q147" s="614">
        <v>71.640943339718859</v>
      </c>
      <c r="R147" s="614">
        <v>14.172951578956717</v>
      </c>
    </row>
    <row r="148" spans="2:18" ht="14.1" x14ac:dyDescent="0.4">
      <c r="B148" s="612">
        <v>2036</v>
      </c>
      <c r="C148" s="614">
        <v>104.51518578512102</v>
      </c>
      <c r="D148" s="614">
        <v>40.101373585350274</v>
      </c>
      <c r="E148" s="614">
        <v>0</v>
      </c>
      <c r="G148" s="614">
        <v>73.79038854689361</v>
      </c>
      <c r="H148" s="614">
        <v>40.101373585350274</v>
      </c>
      <c r="I148" s="614">
        <v>0</v>
      </c>
      <c r="K148" s="612">
        <v>2036</v>
      </c>
      <c r="L148" s="614">
        <v>115.03286178425171</v>
      </c>
      <c r="M148" s="614">
        <v>93.321256506739275</v>
      </c>
      <c r="N148" s="614">
        <v>8.5144463493651159</v>
      </c>
      <c r="P148" s="614">
        <v>73.79038854689361</v>
      </c>
      <c r="Q148" s="614">
        <v>73.79038854689361</v>
      </c>
      <c r="R148" s="614">
        <v>8.5144463493651159</v>
      </c>
    </row>
    <row r="149" spans="2:18" ht="14.1" x14ac:dyDescent="0.4">
      <c r="B149" s="612">
        <v>2037</v>
      </c>
      <c r="C149" s="614">
        <v>96.314680416964677</v>
      </c>
      <c r="D149" s="614">
        <v>31.359214479868626</v>
      </c>
      <c r="E149" s="614">
        <v>0</v>
      </c>
      <c r="G149" s="614">
        <v>75.92262630126055</v>
      </c>
      <c r="H149" s="614">
        <v>31.359214479868626</v>
      </c>
      <c r="I149" s="614">
        <v>0</v>
      </c>
      <c r="K149" s="612">
        <v>2037</v>
      </c>
      <c r="L149" s="614">
        <v>118.69853939809796</v>
      </c>
      <c r="M149" s="614">
        <v>87.405925254324117</v>
      </c>
      <c r="N149" s="614">
        <v>2.3598932990016599</v>
      </c>
      <c r="P149" s="614">
        <v>75.92262630126055</v>
      </c>
      <c r="Q149" s="614">
        <v>75.92262630126055</v>
      </c>
      <c r="R149" s="614">
        <v>2.3598932990016599</v>
      </c>
    </row>
    <row r="150" spans="2:18" ht="14.1" x14ac:dyDescent="0.4">
      <c r="B150" s="612">
        <v>2038</v>
      </c>
      <c r="C150" s="614">
        <v>88.270205209648552</v>
      </c>
      <c r="D150" s="614">
        <v>22.483875524670367</v>
      </c>
      <c r="E150" s="614">
        <v>0</v>
      </c>
      <c r="G150" s="614">
        <v>78.037656602819681</v>
      </c>
      <c r="H150" s="614">
        <v>22.483875524670367</v>
      </c>
      <c r="I150" s="614">
        <v>0</v>
      </c>
      <c r="K150" s="612">
        <v>2038</v>
      </c>
      <c r="L150" s="614">
        <v>122.28911258186511</v>
      </c>
      <c r="M150" s="614">
        <v>81.277533697582271</v>
      </c>
      <c r="N150" s="614">
        <v>0</v>
      </c>
      <c r="P150" s="614">
        <v>78.037656602819681</v>
      </c>
      <c r="Q150" s="614">
        <v>78.037656602819681</v>
      </c>
      <c r="R150" s="614">
        <v>0</v>
      </c>
    </row>
    <row r="151" spans="2:18" ht="14.1" x14ac:dyDescent="0.4">
      <c r="B151" s="612">
        <v>2039</v>
      </c>
      <c r="C151" s="614">
        <v>80.905918752538369</v>
      </c>
      <c r="D151" s="614">
        <v>12.260825929677846</v>
      </c>
      <c r="E151" s="614">
        <v>0</v>
      </c>
      <c r="G151" s="614">
        <v>80.135479451571015</v>
      </c>
      <c r="H151" s="614">
        <v>12.260825929677846</v>
      </c>
      <c r="I151" s="614">
        <v>0</v>
      </c>
      <c r="K151" s="612">
        <v>2039</v>
      </c>
      <c r="L151" s="614">
        <v>125.80458133555308</v>
      </c>
      <c r="M151" s="614">
        <v>73.71537422193299</v>
      </c>
      <c r="N151" s="614">
        <v>0</v>
      </c>
      <c r="P151" s="614">
        <v>80.135479451571015</v>
      </c>
      <c r="Q151" s="614">
        <v>73.71537422193299</v>
      </c>
      <c r="R151" s="614">
        <v>0</v>
      </c>
    </row>
    <row r="152" spans="2:18" ht="14.1" x14ac:dyDescent="0.4">
      <c r="B152" s="612">
        <v>2040</v>
      </c>
      <c r="C152" s="614">
        <v>73.024594409886802</v>
      </c>
      <c r="D152" s="614">
        <v>1.5435842660960792</v>
      </c>
      <c r="E152" s="614">
        <v>0</v>
      </c>
      <c r="G152" s="614">
        <v>73.024594409886802</v>
      </c>
      <c r="H152" s="614">
        <v>1.5435842660960792</v>
      </c>
      <c r="I152" s="614">
        <v>0</v>
      </c>
      <c r="K152" s="612">
        <v>2040</v>
      </c>
      <c r="L152" s="614">
        <v>129.24494565916191</v>
      </c>
      <c r="M152" s="614">
        <v>65.536127849087904</v>
      </c>
      <c r="N152" s="614">
        <v>0</v>
      </c>
      <c r="P152" s="614">
        <v>82.21609484751454</v>
      </c>
      <c r="Q152" s="614">
        <v>65.536127849087904</v>
      </c>
      <c r="R152" s="614">
        <v>0</v>
      </c>
    </row>
    <row r="153" spans="2:18" ht="14.1" x14ac:dyDescent="0.4">
      <c r="B153" s="612">
        <v>2041</v>
      </c>
      <c r="C153" s="614">
        <v>66.051492557161509</v>
      </c>
      <c r="D153" s="614">
        <v>0</v>
      </c>
      <c r="E153" s="614">
        <v>0</v>
      </c>
      <c r="G153" s="614">
        <v>66.051492557161509</v>
      </c>
      <c r="H153" s="614">
        <v>0</v>
      </c>
      <c r="I153" s="614">
        <v>0</v>
      </c>
      <c r="K153" s="612">
        <v>2041</v>
      </c>
      <c r="L153" s="614">
        <v>132.47586525989644</v>
      </c>
      <c r="M153" s="614">
        <v>58.094322590945282</v>
      </c>
      <c r="N153" s="614">
        <v>0</v>
      </c>
      <c r="P153" s="614">
        <v>84.27950279065027</v>
      </c>
      <c r="Q153" s="614">
        <v>58.094322590945282</v>
      </c>
      <c r="R153" s="614">
        <v>0</v>
      </c>
    </row>
    <row r="154" spans="2:18" ht="14.1" x14ac:dyDescent="0.4">
      <c r="B154" s="612">
        <v>2042</v>
      </c>
      <c r="C154" s="614">
        <v>58.448877261597872</v>
      </c>
      <c r="D154" s="614">
        <v>0</v>
      </c>
      <c r="E154" s="614">
        <v>0</v>
      </c>
      <c r="G154" s="614">
        <v>58.448877261597872</v>
      </c>
      <c r="H154" s="614">
        <v>0</v>
      </c>
      <c r="I154" s="614">
        <v>0</v>
      </c>
      <c r="K154" s="612">
        <v>2042</v>
      </c>
      <c r="L154" s="614">
        <v>127.14814149686583</v>
      </c>
      <c r="M154" s="614">
        <v>49.900543864750738</v>
      </c>
      <c r="N154" s="614">
        <v>0</v>
      </c>
      <c r="P154" s="614">
        <v>86.325703280978189</v>
      </c>
      <c r="Q154" s="614">
        <v>49.900543864750738</v>
      </c>
      <c r="R154" s="614">
        <v>0</v>
      </c>
    </row>
    <row r="155" spans="2:18" ht="14.1" x14ac:dyDescent="0.4">
      <c r="B155" s="612">
        <v>2043</v>
      </c>
      <c r="C155" s="614">
        <v>50.867819425134037</v>
      </c>
      <c r="D155" s="614">
        <v>0</v>
      </c>
      <c r="E155" s="614">
        <v>0</v>
      </c>
      <c r="G155" s="614">
        <v>50.867819425134037</v>
      </c>
      <c r="H155" s="614">
        <v>0</v>
      </c>
      <c r="I155" s="614">
        <v>0</v>
      </c>
      <c r="K155" s="612">
        <v>2043</v>
      </c>
      <c r="L155" s="614">
        <v>121.68420097558882</v>
      </c>
      <c r="M155" s="614">
        <v>41.565919996296287</v>
      </c>
      <c r="N155" s="614">
        <v>0</v>
      </c>
      <c r="P155" s="614">
        <v>88.354696318498299</v>
      </c>
      <c r="Q155" s="614">
        <v>41.565919996296287</v>
      </c>
      <c r="R155" s="614">
        <v>0</v>
      </c>
    </row>
    <row r="156" spans="2:18" ht="14.1" x14ac:dyDescent="0.4">
      <c r="B156" s="612">
        <v>2044</v>
      </c>
      <c r="C156" s="614">
        <v>43.329378743029629</v>
      </c>
      <c r="D156" s="614">
        <v>0</v>
      </c>
      <c r="E156" s="614">
        <v>0</v>
      </c>
      <c r="G156" s="614">
        <v>43.329378743029629</v>
      </c>
      <c r="H156" s="614">
        <v>0</v>
      </c>
      <c r="I156" s="614">
        <v>0</v>
      </c>
      <c r="K156" s="612">
        <v>2044</v>
      </c>
      <c r="L156" s="614">
        <v>116.0899399804165</v>
      </c>
      <c r="M156" s="614">
        <v>33.096771909817647</v>
      </c>
      <c r="N156" s="614">
        <v>0</v>
      </c>
      <c r="P156" s="614">
        <v>90.366481903210627</v>
      </c>
      <c r="Q156" s="614">
        <v>33.096771909817647</v>
      </c>
      <c r="R156" s="614">
        <v>0</v>
      </c>
    </row>
    <row r="157" spans="2:18" ht="14.1" x14ac:dyDescent="0.4">
      <c r="B157" s="612">
        <v>2045</v>
      </c>
      <c r="C157" s="614">
        <v>35.868124913785508</v>
      </c>
      <c r="D157" s="614">
        <v>0</v>
      </c>
      <c r="E157" s="614">
        <v>0</v>
      </c>
      <c r="G157" s="614">
        <v>35.868124913785508</v>
      </c>
      <c r="H157" s="614">
        <v>0</v>
      </c>
      <c r="I157" s="614">
        <v>0</v>
      </c>
      <c r="K157" s="612">
        <v>2045</v>
      </c>
      <c r="L157" s="614">
        <v>110.38502407608982</v>
      </c>
      <c r="M157" s="614">
        <v>24.512141538208066</v>
      </c>
      <c r="N157" s="614">
        <v>0</v>
      </c>
      <c r="P157" s="614">
        <v>92.361060035115116</v>
      </c>
      <c r="Q157" s="614">
        <v>24.512141538208066</v>
      </c>
      <c r="R157" s="614">
        <v>0</v>
      </c>
    </row>
    <row r="158" spans="2:18" ht="14.1" x14ac:dyDescent="0.4">
      <c r="B158" s="612">
        <v>2046</v>
      </c>
      <c r="C158" s="614">
        <v>28.447792186456706</v>
      </c>
      <c r="D158" s="614">
        <v>0</v>
      </c>
      <c r="E158" s="614">
        <v>0</v>
      </c>
      <c r="G158" s="614">
        <v>28.447792186456706</v>
      </c>
      <c r="H158" s="614">
        <v>0</v>
      </c>
      <c r="I158" s="614">
        <v>0</v>
      </c>
      <c r="K158" s="612">
        <v>2046</v>
      </c>
      <c r="L158" s="614">
        <v>104.51602684980205</v>
      </c>
      <c r="M158" s="614">
        <v>15.763498710933591</v>
      </c>
      <c r="N158" s="614">
        <v>0</v>
      </c>
      <c r="P158" s="614">
        <v>94.338430714211825</v>
      </c>
      <c r="Q158" s="614">
        <v>15.763498710933591</v>
      </c>
      <c r="R158" s="614">
        <v>0</v>
      </c>
    </row>
    <row r="159" spans="2:18" ht="14.1" x14ac:dyDescent="0.4">
      <c r="B159" s="612">
        <v>2047</v>
      </c>
      <c r="C159" s="614">
        <v>21.092233689685983</v>
      </c>
      <c r="D159" s="614">
        <v>0</v>
      </c>
      <c r="E159" s="614">
        <v>0</v>
      </c>
      <c r="G159" s="614">
        <v>21.092233689685983</v>
      </c>
      <c r="H159" s="614">
        <v>0</v>
      </c>
      <c r="I159" s="614">
        <v>0</v>
      </c>
      <c r="K159" s="612">
        <v>2047</v>
      </c>
      <c r="L159" s="614">
        <v>98.491048788059842</v>
      </c>
      <c r="M159" s="614">
        <v>6.8592917143683589</v>
      </c>
      <c r="N159" s="614">
        <v>0</v>
      </c>
      <c r="P159" s="614">
        <v>96.298593940500723</v>
      </c>
      <c r="Q159" s="614">
        <v>6.8592917143683589</v>
      </c>
      <c r="R159" s="614">
        <v>0</v>
      </c>
    </row>
    <row r="160" spans="2:18" ht="14.1" x14ac:dyDescent="0.4">
      <c r="B160" s="612">
        <v>2048</v>
      </c>
      <c r="C160" s="614">
        <v>13.829732128803609</v>
      </c>
      <c r="D160" s="614">
        <v>0</v>
      </c>
      <c r="E160" s="614">
        <v>0</v>
      </c>
      <c r="G160" s="614">
        <v>13.829732128803609</v>
      </c>
      <c r="H160" s="614">
        <v>0</v>
      </c>
      <c r="I160" s="614">
        <v>0</v>
      </c>
      <c r="K160" s="612">
        <v>2048</v>
      </c>
      <c r="L160" s="614">
        <v>92.322533369289786</v>
      </c>
      <c r="M160" s="614">
        <v>0</v>
      </c>
      <c r="N160" s="614">
        <v>0</v>
      </c>
      <c r="P160" s="614">
        <v>92.322533369289786</v>
      </c>
      <c r="Q160" s="614">
        <v>0</v>
      </c>
      <c r="R160" s="614">
        <v>0</v>
      </c>
    </row>
    <row r="161" spans="2:18" ht="14.1" x14ac:dyDescent="0.4">
      <c r="B161" s="612">
        <v>2049</v>
      </c>
      <c r="C161" s="614">
        <v>6.6783346310764724</v>
      </c>
      <c r="D161" s="614">
        <v>0</v>
      </c>
      <c r="E161" s="614">
        <v>0</v>
      </c>
      <c r="G161" s="614">
        <v>6.6783346310764724</v>
      </c>
      <c r="H161" s="614">
        <v>0</v>
      </c>
      <c r="I161" s="614">
        <v>0</v>
      </c>
      <c r="K161" s="612">
        <v>2049</v>
      </c>
      <c r="L161" s="614">
        <v>86.012061520696733</v>
      </c>
      <c r="M161" s="614">
        <v>0</v>
      </c>
      <c r="N161" s="614">
        <v>0</v>
      </c>
      <c r="P161" s="614">
        <v>86.012061520696733</v>
      </c>
      <c r="Q161" s="614">
        <v>0</v>
      </c>
      <c r="R161" s="614">
        <v>0</v>
      </c>
    </row>
    <row r="162" spans="2:18" ht="14.1" x14ac:dyDescent="0.4">
      <c r="B162" s="612">
        <v>2050</v>
      </c>
      <c r="C162" s="614">
        <v>0</v>
      </c>
      <c r="D162" s="614">
        <v>0</v>
      </c>
      <c r="E162" s="614">
        <v>0</v>
      </c>
      <c r="G162" s="614">
        <v>0</v>
      </c>
      <c r="H162" s="614">
        <v>0</v>
      </c>
      <c r="I162" s="614">
        <v>0</v>
      </c>
      <c r="K162" s="612">
        <v>2050</v>
      </c>
      <c r="L162" s="614">
        <v>79.469377156905921</v>
      </c>
      <c r="M162" s="614">
        <v>0</v>
      </c>
      <c r="N162" s="614">
        <v>0</v>
      </c>
      <c r="P162" s="614">
        <v>79.469377156905921</v>
      </c>
      <c r="Q162" s="614">
        <v>0</v>
      </c>
      <c r="R162" s="614">
        <v>0</v>
      </c>
    </row>
    <row r="163" spans="2:18" ht="14.1" x14ac:dyDescent="0.4">
      <c r="B163" s="612">
        <v>2051</v>
      </c>
      <c r="C163" s="614">
        <v>0</v>
      </c>
      <c r="D163" s="614">
        <v>0</v>
      </c>
      <c r="E163" s="614">
        <v>0</v>
      </c>
      <c r="G163" s="614">
        <v>0</v>
      </c>
      <c r="H163" s="614">
        <v>0</v>
      </c>
      <c r="I163" s="614">
        <v>0</v>
      </c>
      <c r="K163" s="612">
        <v>2051</v>
      </c>
      <c r="L163" s="614">
        <v>77.409542161148025</v>
      </c>
      <c r="M163" s="614">
        <v>0</v>
      </c>
      <c r="N163" s="614">
        <v>0</v>
      </c>
      <c r="P163" s="614">
        <v>77.409542161148025</v>
      </c>
      <c r="Q163" s="614">
        <v>0</v>
      </c>
      <c r="R163" s="614">
        <v>0</v>
      </c>
    </row>
    <row r="164" spans="2:18" ht="14.1" x14ac:dyDescent="0.4">
      <c r="B164" s="612">
        <v>2052</v>
      </c>
      <c r="C164" s="614">
        <v>0</v>
      </c>
      <c r="D164" s="614">
        <v>0</v>
      </c>
      <c r="E164" s="614">
        <v>0</v>
      </c>
      <c r="G164" s="614">
        <v>0</v>
      </c>
      <c r="H164" s="614">
        <v>0</v>
      </c>
      <c r="I164" s="614">
        <v>0</v>
      </c>
      <c r="K164" s="612">
        <v>2052</v>
      </c>
      <c r="L164" s="614">
        <v>75.138748145542721</v>
      </c>
      <c r="M164" s="614">
        <v>0</v>
      </c>
      <c r="N164" s="614">
        <v>0</v>
      </c>
      <c r="P164" s="614">
        <v>75.138748145542721</v>
      </c>
      <c r="Q164" s="614">
        <v>0</v>
      </c>
      <c r="R164" s="614">
        <v>0</v>
      </c>
    </row>
    <row r="165" spans="2:18" ht="14.1" x14ac:dyDescent="0.4">
      <c r="B165" s="612">
        <v>2053</v>
      </c>
      <c r="C165" s="614">
        <v>0</v>
      </c>
      <c r="D165" s="614">
        <v>0</v>
      </c>
      <c r="E165" s="614">
        <v>0</v>
      </c>
      <c r="G165" s="614">
        <v>0</v>
      </c>
      <c r="H165" s="614">
        <v>0</v>
      </c>
      <c r="I165" s="614">
        <v>0</v>
      </c>
      <c r="K165" s="612">
        <v>2053</v>
      </c>
      <c r="L165" s="614">
        <v>72.771067601767214</v>
      </c>
      <c r="M165" s="614">
        <v>0</v>
      </c>
      <c r="N165" s="614">
        <v>0</v>
      </c>
      <c r="P165" s="614">
        <v>72.771067601767214</v>
      </c>
      <c r="Q165" s="614">
        <v>0</v>
      </c>
      <c r="R165" s="614">
        <v>0</v>
      </c>
    </row>
    <row r="166" spans="2:18" ht="14.1" x14ac:dyDescent="0.4">
      <c r="B166" s="612">
        <v>2054</v>
      </c>
      <c r="C166" s="614">
        <v>0</v>
      </c>
      <c r="D166" s="614">
        <v>0</v>
      </c>
      <c r="E166" s="614">
        <v>0</v>
      </c>
      <c r="G166" s="614">
        <v>0</v>
      </c>
      <c r="H166" s="614">
        <v>0</v>
      </c>
      <c r="I166" s="614">
        <v>0</v>
      </c>
      <c r="K166" s="612">
        <v>2054</v>
      </c>
      <c r="L166" s="614">
        <v>70.309438907619153</v>
      </c>
      <c r="M166" s="614">
        <v>0</v>
      </c>
      <c r="N166" s="614">
        <v>0</v>
      </c>
      <c r="P166" s="614">
        <v>70.309438907619153</v>
      </c>
      <c r="Q166" s="614">
        <v>0</v>
      </c>
      <c r="R166" s="614">
        <v>0</v>
      </c>
    </row>
    <row r="167" spans="2:18" ht="14.1" x14ac:dyDescent="0.4">
      <c r="B167" s="612">
        <v>2055</v>
      </c>
      <c r="C167" s="614">
        <v>0</v>
      </c>
      <c r="D167" s="614">
        <v>0</v>
      </c>
      <c r="E167" s="614">
        <v>0</v>
      </c>
      <c r="G167" s="614">
        <v>0</v>
      </c>
      <c r="H167" s="614">
        <v>0</v>
      </c>
      <c r="I167" s="614">
        <v>0</v>
      </c>
      <c r="K167" s="612">
        <v>2055</v>
      </c>
      <c r="L167" s="614">
        <v>67.756304690274547</v>
      </c>
      <c r="M167" s="614">
        <v>0</v>
      </c>
      <c r="N167" s="614">
        <v>0</v>
      </c>
      <c r="P167" s="614">
        <v>67.756304690274547</v>
      </c>
      <c r="Q167" s="614">
        <v>0</v>
      </c>
      <c r="R167" s="614">
        <v>0</v>
      </c>
    </row>
    <row r="168" spans="2:18" ht="14.1" x14ac:dyDescent="0.4">
      <c r="B168" s="612">
        <v>2056</v>
      </c>
      <c r="C168" s="614">
        <v>0</v>
      </c>
      <c r="D168" s="614">
        <v>0</v>
      </c>
      <c r="E168" s="614">
        <v>0</v>
      </c>
      <c r="G168" s="614">
        <v>0</v>
      </c>
      <c r="H168" s="614">
        <v>0</v>
      </c>
      <c r="I168" s="614">
        <v>0</v>
      </c>
      <c r="K168" s="612">
        <v>2056</v>
      </c>
      <c r="L168" s="614">
        <v>65.113923270617107</v>
      </c>
      <c r="M168" s="614">
        <v>0</v>
      </c>
      <c r="N168" s="614">
        <v>0</v>
      </c>
      <c r="P168" s="614">
        <v>65.113923270617107</v>
      </c>
      <c r="Q168" s="614">
        <v>0</v>
      </c>
      <c r="R168" s="614">
        <v>0</v>
      </c>
    </row>
    <row r="169" spans="2:18" ht="14.1" x14ac:dyDescent="0.4">
      <c r="B169" s="612">
        <v>2057</v>
      </c>
      <c r="C169" s="614">
        <v>0</v>
      </c>
      <c r="D169" s="614">
        <v>0</v>
      </c>
      <c r="E169" s="614">
        <v>0</v>
      </c>
      <c r="G169" s="614">
        <v>0</v>
      </c>
      <c r="H169" s="614">
        <v>0</v>
      </c>
      <c r="I169" s="614">
        <v>0</v>
      </c>
      <c r="K169" s="612">
        <v>2057</v>
      </c>
      <c r="L169" s="614">
        <v>62.383962695994718</v>
      </c>
      <c r="M169" s="614">
        <v>0</v>
      </c>
      <c r="N169" s="614">
        <v>0</v>
      </c>
      <c r="P169" s="614">
        <v>62.383962695994718</v>
      </c>
      <c r="Q169" s="614">
        <v>0</v>
      </c>
      <c r="R169" s="614">
        <v>0</v>
      </c>
    </row>
    <row r="170" spans="2:18" ht="14.1" x14ac:dyDescent="0.4">
      <c r="B170" s="612">
        <v>2058</v>
      </c>
      <c r="C170" s="614">
        <v>0</v>
      </c>
      <c r="D170" s="614">
        <v>0</v>
      </c>
      <c r="E170" s="614">
        <v>0</v>
      </c>
      <c r="G170" s="614">
        <v>0</v>
      </c>
      <c r="H170" s="614">
        <v>0</v>
      </c>
      <c r="I170" s="614">
        <v>0</v>
      </c>
      <c r="K170" s="612">
        <v>2058</v>
      </c>
      <c r="L170" s="614">
        <v>59.567647979462905</v>
      </c>
      <c r="M170" s="614">
        <v>0</v>
      </c>
      <c r="N170" s="614">
        <v>0</v>
      </c>
      <c r="P170" s="614">
        <v>59.567647979462905</v>
      </c>
      <c r="Q170" s="614">
        <v>0</v>
      </c>
      <c r="R170" s="614">
        <v>0</v>
      </c>
    </row>
    <row r="171" spans="2:18" ht="14.1" x14ac:dyDescent="0.4">
      <c r="B171" s="612">
        <v>2059</v>
      </c>
      <c r="C171" s="614">
        <v>0</v>
      </c>
      <c r="D171" s="614">
        <v>0</v>
      </c>
      <c r="E171" s="614">
        <v>0</v>
      </c>
      <c r="G171" s="614">
        <v>0</v>
      </c>
      <c r="H171" s="614">
        <v>0</v>
      </c>
      <c r="I171" s="614">
        <v>0</v>
      </c>
      <c r="K171" s="612">
        <v>2059</v>
      </c>
      <c r="L171" s="614">
        <v>56.66584856369829</v>
      </c>
      <c r="M171" s="614">
        <v>0</v>
      </c>
      <c r="N171" s="614">
        <v>0</v>
      </c>
      <c r="P171" s="614">
        <v>56.66584856369829</v>
      </c>
      <c r="Q171" s="614">
        <v>0</v>
      </c>
      <c r="R171" s="614">
        <v>0</v>
      </c>
    </row>
    <row r="172" spans="2:18" ht="14.1" x14ac:dyDescent="0.4">
      <c r="B172" s="612">
        <v>2060</v>
      </c>
      <c r="C172" s="614">
        <v>0</v>
      </c>
      <c r="D172" s="614">
        <v>0</v>
      </c>
      <c r="E172" s="614">
        <v>0</v>
      </c>
      <c r="G172" s="614">
        <v>0</v>
      </c>
      <c r="H172" s="614">
        <v>0</v>
      </c>
      <c r="I172" s="614">
        <v>0</v>
      </c>
      <c r="K172" s="612">
        <v>2060</v>
      </c>
      <c r="L172" s="614">
        <v>53.67979712705764</v>
      </c>
      <c r="M172" s="614">
        <v>0</v>
      </c>
      <c r="N172" s="614">
        <v>0</v>
      </c>
      <c r="P172" s="614">
        <v>53.67979712705764</v>
      </c>
      <c r="Q172" s="614">
        <v>0</v>
      </c>
      <c r="R172" s="614">
        <v>0</v>
      </c>
    </row>
    <row r="184" spans="1:13" ht="17.399999999999999" x14ac:dyDescent="0.55000000000000004">
      <c r="A184" s="1229" t="s">
        <v>1128</v>
      </c>
    </row>
    <row r="188" spans="1:13" ht="15" x14ac:dyDescent="0.5">
      <c r="B188" s="1241" t="s">
        <v>424</v>
      </c>
      <c r="C188" s="1257" t="s">
        <v>420</v>
      </c>
      <c r="E188" s="1257" t="s">
        <v>420</v>
      </c>
      <c r="G188" s="1257" t="s">
        <v>1129</v>
      </c>
      <c r="I188" s="1257" t="s">
        <v>1129</v>
      </c>
      <c r="K188" s="1257" t="s">
        <v>420</v>
      </c>
      <c r="M188" s="1257" t="s">
        <v>1129</v>
      </c>
    </row>
    <row r="189" spans="1:13" x14ac:dyDescent="0.4">
      <c r="C189" s="1257" t="s">
        <v>402</v>
      </c>
      <c r="D189" s="1256" t="s">
        <v>422</v>
      </c>
      <c r="E189" s="1257" t="s">
        <v>423</v>
      </c>
      <c r="F189" s="1256" t="s">
        <v>431</v>
      </c>
      <c r="G189" s="1257" t="s">
        <v>423</v>
      </c>
      <c r="H189" s="1257" t="s">
        <v>426</v>
      </c>
      <c r="I189" s="1257" t="s">
        <v>402</v>
      </c>
      <c r="J189" s="1256" t="s">
        <v>422</v>
      </c>
      <c r="K189" s="1257" t="s">
        <v>423</v>
      </c>
      <c r="L189" s="1256" t="s">
        <v>425</v>
      </c>
      <c r="M189" s="1257" t="s">
        <v>423</v>
      </c>
    </row>
    <row r="190" spans="1:13" x14ac:dyDescent="0.4">
      <c r="B190" s="609">
        <f t="shared" ref="B190:B236" si="0">B11</f>
        <v>2014</v>
      </c>
      <c r="C190" s="615">
        <v>76.323108000000005</v>
      </c>
      <c r="E190" s="1224">
        <f>C126</f>
        <v>23.802159959999997</v>
      </c>
      <c r="G190" s="1224">
        <f>G126</f>
        <v>23.802159959999997</v>
      </c>
      <c r="I190" s="615">
        <v>76.323108000000005</v>
      </c>
      <c r="K190" s="1224">
        <f>L126</f>
        <v>23.802159959999997</v>
      </c>
      <c r="M190" s="1224">
        <f>P126</f>
        <v>23.802159959999997</v>
      </c>
    </row>
    <row r="191" spans="1:13" x14ac:dyDescent="0.4">
      <c r="B191" s="609">
        <f t="shared" si="0"/>
        <v>2015</v>
      </c>
      <c r="C191" s="615">
        <v>94.594276312775875</v>
      </c>
      <c r="E191" s="1224">
        <f t="shared" ref="E191:E236" si="1">C127</f>
        <v>20.704508545199335</v>
      </c>
      <c r="G191" s="1224">
        <f t="shared" ref="G191:G236" si="2">G127</f>
        <v>25.038474106585277</v>
      </c>
      <c r="I191" s="615">
        <v>89.962049095900866</v>
      </c>
      <c r="K191" s="1224">
        <f t="shared" ref="K191:K236" si="3">L127</f>
        <v>20.704508545199335</v>
      </c>
      <c r="M191" s="1224">
        <f t="shared" ref="M191:M236" si="4">P127</f>
        <v>25.038474106585277</v>
      </c>
    </row>
    <row r="192" spans="1:13" x14ac:dyDescent="0.4">
      <c r="B192" s="609">
        <f t="shared" si="0"/>
        <v>2016</v>
      </c>
      <c r="C192" s="615">
        <v>103.23867192935205</v>
      </c>
      <c r="E192" s="1224">
        <f t="shared" si="1"/>
        <v>25.947379190707494</v>
      </c>
      <c r="G192" s="1224">
        <f t="shared" si="2"/>
        <v>27.53206836991609</v>
      </c>
      <c r="I192" s="615">
        <v>95.966152880460342</v>
      </c>
      <c r="K192" s="1224">
        <f t="shared" si="3"/>
        <v>25.947379190707494</v>
      </c>
      <c r="M192" s="1224">
        <f t="shared" si="4"/>
        <v>27.53206836991609</v>
      </c>
    </row>
    <row r="193" spans="1:13" ht="32.700000000000003" x14ac:dyDescent="1.05">
      <c r="A193" s="613" t="s">
        <v>419</v>
      </c>
      <c r="B193" s="609">
        <f t="shared" si="0"/>
        <v>2017</v>
      </c>
      <c r="C193" s="615">
        <v>112.70697257962199</v>
      </c>
      <c r="E193" s="1224">
        <f t="shared" si="1"/>
        <v>31.115145406136513</v>
      </c>
      <c r="G193" s="1224">
        <f t="shared" si="2"/>
        <v>30.0084551804391</v>
      </c>
      <c r="I193" s="615">
        <v>102.1158724231786</v>
      </c>
      <c r="K193" s="1224">
        <f t="shared" si="3"/>
        <v>31.115145406136513</v>
      </c>
      <c r="M193" s="1224">
        <f t="shared" si="4"/>
        <v>30.0084551804391</v>
      </c>
    </row>
    <row r="194" spans="1:13" ht="17.7" x14ac:dyDescent="0.6">
      <c r="A194" s="620" t="s">
        <v>404</v>
      </c>
      <c r="B194" s="609">
        <f t="shared" si="0"/>
        <v>2018</v>
      </c>
      <c r="C194" s="615">
        <v>122.94586587888816</v>
      </c>
      <c r="E194" s="1224">
        <f t="shared" si="1"/>
        <v>36.207807191486388</v>
      </c>
      <c r="G194" s="1224">
        <f t="shared" si="2"/>
        <v>32.467634538154307</v>
      </c>
      <c r="I194" s="615">
        <v>108.40250829439577</v>
      </c>
      <c r="K194" s="1224">
        <f t="shared" si="3"/>
        <v>36.207807191486388</v>
      </c>
      <c r="M194" s="1224">
        <f t="shared" si="4"/>
        <v>32.467634538154307</v>
      </c>
    </row>
    <row r="195" spans="1:13" x14ac:dyDescent="0.4">
      <c r="A195" s="609" t="s">
        <v>421</v>
      </c>
      <c r="B195" s="609">
        <f t="shared" si="0"/>
        <v>2019</v>
      </c>
      <c r="C195" s="615">
        <v>133.90203944245292</v>
      </c>
      <c r="E195" s="1224">
        <f t="shared" si="1"/>
        <v>41.225364546757135</v>
      </c>
      <c r="G195" s="1224">
        <f t="shared" si="2"/>
        <v>34.909606443061712</v>
      </c>
      <c r="I195" s="615">
        <v>114.81736106445196</v>
      </c>
      <c r="K195" s="1224">
        <f t="shared" si="3"/>
        <v>41.225364546757135</v>
      </c>
      <c r="M195" s="1224">
        <f t="shared" si="4"/>
        <v>34.909606443061712</v>
      </c>
    </row>
    <row r="196" spans="1:13" x14ac:dyDescent="0.4">
      <c r="B196" s="609">
        <f t="shared" si="0"/>
        <v>2020</v>
      </c>
      <c r="C196" s="615">
        <v>145.52218088561875</v>
      </c>
      <c r="E196" s="1224">
        <f t="shared" si="1"/>
        <v>46.167817471948737</v>
      </c>
      <c r="G196" s="1224">
        <f t="shared" si="2"/>
        <v>37.334370895161314</v>
      </c>
      <c r="I196" s="615">
        <v>121.3517313036873</v>
      </c>
      <c r="K196" s="1224">
        <f t="shared" si="3"/>
        <v>46.167817471948737</v>
      </c>
      <c r="M196" s="1224">
        <f t="shared" si="4"/>
        <v>37.334370895161314</v>
      </c>
    </row>
    <row r="197" spans="1:13" x14ac:dyDescent="0.4">
      <c r="B197" s="609">
        <f t="shared" si="0"/>
        <v>2021</v>
      </c>
      <c r="C197" s="615">
        <v>157.75297782368816</v>
      </c>
      <c r="E197" s="1224">
        <f t="shared" si="1"/>
        <v>51.035165967061204</v>
      </c>
      <c r="G197" s="1224">
        <f t="shared" si="2"/>
        <v>39.741927894453099</v>
      </c>
      <c r="I197" s="615">
        <v>127.99691958244192</v>
      </c>
      <c r="K197" s="1224">
        <f t="shared" si="3"/>
        <v>51.035165967061204</v>
      </c>
      <c r="M197" s="1224">
        <f t="shared" si="4"/>
        <v>39.741927894453099</v>
      </c>
    </row>
    <row r="198" spans="1:13" x14ac:dyDescent="0.4">
      <c r="B198" s="609">
        <f t="shared" si="0"/>
        <v>2022</v>
      </c>
      <c r="C198" s="615">
        <v>170.54111787196354</v>
      </c>
      <c r="E198" s="1224">
        <f t="shared" si="1"/>
        <v>55.827410032094534</v>
      </c>
      <c r="G198" s="1224">
        <f t="shared" si="2"/>
        <v>42.132277440937102</v>
      </c>
      <c r="I198" s="615">
        <v>134.74422647105595</v>
      </c>
      <c r="K198" s="1224">
        <f t="shared" si="3"/>
        <v>55.827410032094534</v>
      </c>
      <c r="M198" s="1224">
        <f t="shared" si="4"/>
        <v>42.132277440937102</v>
      </c>
    </row>
    <row r="199" spans="1:13" x14ac:dyDescent="0.4">
      <c r="B199" s="609">
        <f t="shared" si="0"/>
        <v>2023</v>
      </c>
      <c r="C199" s="615">
        <v>183.83328864574736</v>
      </c>
      <c r="E199" s="1224">
        <f t="shared" si="1"/>
        <v>60.544549667048727</v>
      </c>
      <c r="G199" s="1224">
        <f t="shared" si="2"/>
        <v>44.505419534613289</v>
      </c>
      <c r="I199" s="615">
        <v>141.58495253986951</v>
      </c>
      <c r="K199" s="1224">
        <f t="shared" si="3"/>
        <v>60.544549667048727</v>
      </c>
      <c r="M199" s="1224">
        <f t="shared" si="4"/>
        <v>44.505419534613289</v>
      </c>
    </row>
    <row r="200" spans="1:13" x14ac:dyDescent="0.4">
      <c r="B200" s="609">
        <f t="shared" si="0"/>
        <v>2024</v>
      </c>
      <c r="C200" s="615">
        <v>197.57617776034203</v>
      </c>
      <c r="E200" s="1224">
        <f t="shared" si="1"/>
        <v>65.18658487192377</v>
      </c>
      <c r="G200" s="1224">
        <f t="shared" si="2"/>
        <v>46.861354175481672</v>
      </c>
      <c r="I200" s="615">
        <v>148.51039835922276</v>
      </c>
      <c r="K200" s="1224">
        <f t="shared" si="3"/>
        <v>65.18658487192377</v>
      </c>
      <c r="M200" s="1224">
        <f t="shared" si="4"/>
        <v>46.861354175481672</v>
      </c>
    </row>
    <row r="201" spans="1:13" x14ac:dyDescent="0.4">
      <c r="B201" s="609">
        <f t="shared" si="0"/>
        <v>2025</v>
      </c>
      <c r="C201" s="615">
        <v>211.71647283105003</v>
      </c>
      <c r="E201" s="1224">
        <f t="shared" si="1"/>
        <v>69.753515646719706</v>
      </c>
      <c r="G201" s="1224">
        <f t="shared" si="2"/>
        <v>49.200081363542253</v>
      </c>
      <c r="I201" s="615">
        <v>155.5118644994557</v>
      </c>
      <c r="K201" s="1224">
        <f t="shared" si="3"/>
        <v>69.753515646719706</v>
      </c>
      <c r="M201" s="1224">
        <f t="shared" si="4"/>
        <v>49.200081363542253</v>
      </c>
    </row>
    <row r="202" spans="1:13" x14ac:dyDescent="0.4">
      <c r="B202" s="609">
        <f t="shared" si="0"/>
        <v>2026</v>
      </c>
      <c r="C202" s="615">
        <v>226.20086147317377</v>
      </c>
      <c r="E202" s="1224">
        <f t="shared" si="1"/>
        <v>74.24534199143649</v>
      </c>
      <c r="G202" s="1224">
        <f t="shared" si="2"/>
        <v>51.521601098795031</v>
      </c>
      <c r="I202" s="615">
        <v>162.58065153090865</v>
      </c>
      <c r="K202" s="1224">
        <f t="shared" si="3"/>
        <v>74.24534199143649</v>
      </c>
      <c r="M202" s="1224">
        <f t="shared" si="4"/>
        <v>51.521601098795031</v>
      </c>
    </row>
    <row r="203" spans="1:13" x14ac:dyDescent="0.4">
      <c r="B203" s="609">
        <f t="shared" si="0"/>
        <v>2027</v>
      </c>
      <c r="C203" s="615">
        <v>240.97603130201583</v>
      </c>
      <c r="E203" s="1224">
        <f t="shared" si="1"/>
        <v>78.66206390607411</v>
      </c>
      <c r="G203" s="1224">
        <f t="shared" si="2"/>
        <v>53.825913381240007</v>
      </c>
      <c r="I203" s="615">
        <v>169.70806002392163</v>
      </c>
      <c r="K203" s="1224">
        <f t="shared" si="3"/>
        <v>78.66206390607411</v>
      </c>
      <c r="M203" s="1224">
        <f t="shared" si="4"/>
        <v>53.825913381240007</v>
      </c>
    </row>
    <row r="204" spans="1:13" x14ac:dyDescent="0.4">
      <c r="B204" s="609">
        <f t="shared" si="0"/>
        <v>2028</v>
      </c>
      <c r="C204" s="615">
        <v>255.98866993287848</v>
      </c>
      <c r="E204" s="1224">
        <f t="shared" si="1"/>
        <v>83.003681390632622</v>
      </c>
      <c r="G204" s="1224">
        <f t="shared" si="2"/>
        <v>56.113018210877172</v>
      </c>
      <c r="I204" s="615">
        <v>176.88539054883478</v>
      </c>
      <c r="K204" s="1224">
        <f t="shared" si="3"/>
        <v>83.003681390632622</v>
      </c>
      <c r="M204" s="1224">
        <f t="shared" si="4"/>
        <v>56.113018210877172</v>
      </c>
    </row>
    <row r="205" spans="1:13" x14ac:dyDescent="0.4">
      <c r="B205" s="609">
        <f t="shared" si="0"/>
        <v>2029</v>
      </c>
      <c r="C205" s="615">
        <v>271.18546498106429</v>
      </c>
      <c r="E205" s="1224">
        <f t="shared" si="1"/>
        <v>87.270194445111983</v>
      </c>
      <c r="G205" s="1224">
        <f t="shared" si="2"/>
        <v>58.382915587706542</v>
      </c>
      <c r="I205" s="615">
        <v>184.10394367598821</v>
      </c>
      <c r="K205" s="1224">
        <f t="shared" si="3"/>
        <v>87.270194445111983</v>
      </c>
      <c r="M205" s="1224">
        <f t="shared" si="4"/>
        <v>58.382915587706542</v>
      </c>
    </row>
    <row r="206" spans="1:13" x14ac:dyDescent="0.4">
      <c r="B206" s="609">
        <f t="shared" si="0"/>
        <v>2030</v>
      </c>
      <c r="C206" s="615">
        <v>286.51310406187565</v>
      </c>
      <c r="E206" s="1224">
        <f t="shared" si="1"/>
        <v>91.461603069512222</v>
      </c>
      <c r="G206" s="1224">
        <f t="shared" si="2"/>
        <v>60.635605511728109</v>
      </c>
      <c r="I206" s="615">
        <v>191.35501997572203</v>
      </c>
      <c r="K206" s="1224">
        <f t="shared" si="3"/>
        <v>91.461603069512222</v>
      </c>
      <c r="M206" s="1224">
        <f t="shared" si="4"/>
        <v>60.635605511728109</v>
      </c>
    </row>
    <row r="207" spans="1:13" x14ac:dyDescent="0.4">
      <c r="B207" s="609">
        <f t="shared" si="0"/>
        <v>2031</v>
      </c>
      <c r="C207" s="615">
        <v>301.91827479061499</v>
      </c>
      <c r="E207" s="1224">
        <f t="shared" si="1"/>
        <v>95.577907263833325</v>
      </c>
      <c r="G207" s="1224">
        <f t="shared" si="2"/>
        <v>62.871087982941866</v>
      </c>
      <c r="I207" s="615">
        <v>198.6299200183764</v>
      </c>
      <c r="K207" s="1224">
        <f t="shared" si="3"/>
        <v>95.577907263833325</v>
      </c>
      <c r="M207" s="1224">
        <f t="shared" si="4"/>
        <v>62.871087982941866</v>
      </c>
    </row>
    <row r="208" spans="1:13" x14ac:dyDescent="0.4">
      <c r="B208" s="609">
        <f t="shared" si="0"/>
        <v>2032</v>
      </c>
      <c r="C208" s="615">
        <v>317.34766478258496</v>
      </c>
      <c r="E208" s="1224">
        <f t="shared" si="1"/>
        <v>99.619107028075263</v>
      </c>
      <c r="G208" s="1224">
        <f t="shared" si="2"/>
        <v>65.089363001347834</v>
      </c>
      <c r="I208" s="615">
        <v>205.9199443742915</v>
      </c>
      <c r="K208" s="1224">
        <f t="shared" si="3"/>
        <v>99.619107028075263</v>
      </c>
      <c r="M208" s="1224">
        <f t="shared" si="4"/>
        <v>65.089363001347834</v>
      </c>
    </row>
    <row r="209" spans="2:13" x14ac:dyDescent="0.4">
      <c r="B209" s="609">
        <f t="shared" si="0"/>
        <v>2033</v>
      </c>
      <c r="C209" s="615">
        <v>332.74796165308771</v>
      </c>
      <c r="E209" s="1224">
        <f t="shared" si="1"/>
        <v>103.58520236223808</v>
      </c>
      <c r="G209" s="1224">
        <f t="shared" si="2"/>
        <v>67.290430566945972</v>
      </c>
      <c r="I209" s="615">
        <v>213.21639361380733</v>
      </c>
      <c r="K209" s="1224">
        <f t="shared" si="3"/>
        <v>103.58520236223808</v>
      </c>
      <c r="M209" s="1224">
        <f t="shared" si="4"/>
        <v>67.290430566945972</v>
      </c>
    </row>
    <row r="210" spans="2:13" x14ac:dyDescent="0.4">
      <c r="B210" s="609">
        <f t="shared" si="0"/>
        <v>2034</v>
      </c>
      <c r="C210" s="615">
        <v>348.06585301742592</v>
      </c>
      <c r="E210" s="1224">
        <f t="shared" si="1"/>
        <v>107.47619326632176</v>
      </c>
      <c r="G210" s="1224">
        <f t="shared" si="2"/>
        <v>69.474290679736328</v>
      </c>
      <c r="I210" s="615">
        <v>220.51056830726412</v>
      </c>
      <c r="K210" s="1224">
        <f t="shared" si="3"/>
        <v>107.47619326632176</v>
      </c>
      <c r="M210" s="1224">
        <f t="shared" si="4"/>
        <v>69.474290679736328</v>
      </c>
    </row>
    <row r="211" spans="2:13" x14ac:dyDescent="0.4">
      <c r="B211" s="609">
        <f t="shared" si="0"/>
        <v>2035</v>
      </c>
      <c r="C211" s="615">
        <v>363.24802649090179</v>
      </c>
      <c r="E211" s="1224">
        <f t="shared" si="1"/>
        <v>111.2920797403263</v>
      </c>
      <c r="G211" s="1224">
        <f t="shared" si="2"/>
        <v>71.640943339718859</v>
      </c>
      <c r="I211" s="615">
        <v>227.79376902500201</v>
      </c>
      <c r="K211" s="1224">
        <f t="shared" si="3"/>
        <v>111.2920797403263</v>
      </c>
      <c r="M211" s="1224">
        <f t="shared" si="4"/>
        <v>71.640943339718859</v>
      </c>
    </row>
    <row r="212" spans="2:13" x14ac:dyDescent="0.4">
      <c r="B212" s="609">
        <f t="shared" si="0"/>
        <v>2036</v>
      </c>
      <c r="C212" s="615">
        <v>378.24116968881799</v>
      </c>
      <c r="E212" s="1224">
        <f t="shared" si="1"/>
        <v>104.51518578512102</v>
      </c>
      <c r="G212" s="1224">
        <f t="shared" si="2"/>
        <v>73.79038854689361</v>
      </c>
      <c r="I212" s="615">
        <v>235.05729633736104</v>
      </c>
      <c r="K212" s="1224">
        <f t="shared" si="3"/>
        <v>115.03286178425171</v>
      </c>
      <c r="M212" s="1224">
        <f t="shared" si="4"/>
        <v>73.79038854689361</v>
      </c>
    </row>
    <row r="213" spans="2:13" x14ac:dyDescent="0.4">
      <c r="B213" s="609">
        <f t="shared" si="0"/>
        <v>2037</v>
      </c>
      <c r="C213" s="615">
        <v>392.99197022647701</v>
      </c>
      <c r="E213" s="1224">
        <f t="shared" si="1"/>
        <v>96.314680416964677</v>
      </c>
      <c r="G213" s="1224">
        <f t="shared" si="2"/>
        <v>75.92262630126055</v>
      </c>
      <c r="I213" s="615">
        <v>242.29245081468139</v>
      </c>
      <c r="K213" s="1224">
        <f t="shared" si="3"/>
        <v>118.69853939809796</v>
      </c>
      <c r="M213" s="1224">
        <f t="shared" si="4"/>
        <v>75.92262630126055</v>
      </c>
    </row>
    <row r="214" spans="2:13" x14ac:dyDescent="0.4">
      <c r="B214" s="609">
        <f t="shared" si="0"/>
        <v>2038</v>
      </c>
      <c r="C214" s="615">
        <v>407.44711571918094</v>
      </c>
      <c r="E214" s="1224">
        <f t="shared" si="1"/>
        <v>88.270205209648552</v>
      </c>
      <c r="G214" s="1224">
        <f t="shared" si="2"/>
        <v>78.037656602819681</v>
      </c>
      <c r="I214" s="615">
        <v>249.49053302730317</v>
      </c>
      <c r="K214" s="1224">
        <f t="shared" si="3"/>
        <v>122.28911258186511</v>
      </c>
      <c r="M214" s="1224">
        <f t="shared" si="4"/>
        <v>78.037656602819681</v>
      </c>
    </row>
    <row r="215" spans="2:13" x14ac:dyDescent="0.4">
      <c r="B215" s="609">
        <f t="shared" si="0"/>
        <v>2039</v>
      </c>
      <c r="C215" s="615">
        <v>421.55329378223263</v>
      </c>
      <c r="E215" s="1224">
        <f t="shared" si="1"/>
        <v>80.905918752538369</v>
      </c>
      <c r="G215" s="1224">
        <f t="shared" si="2"/>
        <v>80.135479451571015</v>
      </c>
      <c r="I215" s="615">
        <v>256.64284354556645</v>
      </c>
      <c r="K215" s="1224">
        <f t="shared" si="3"/>
        <v>125.80458133555308</v>
      </c>
      <c r="M215" s="1224">
        <f t="shared" si="4"/>
        <v>80.135479451571015</v>
      </c>
    </row>
    <row r="216" spans="2:13" x14ac:dyDescent="0.4">
      <c r="B216" s="609">
        <f t="shared" si="0"/>
        <v>2040</v>
      </c>
      <c r="C216" s="615">
        <v>435.25719203093445</v>
      </c>
      <c r="E216" s="1224">
        <f t="shared" si="1"/>
        <v>73.024594409886802</v>
      </c>
      <c r="G216" s="1224">
        <f t="shared" si="2"/>
        <v>73.024594409886802</v>
      </c>
      <c r="I216" s="615">
        <v>263.74068293981151</v>
      </c>
      <c r="K216" s="1224">
        <f t="shared" si="3"/>
        <v>129.24494565916191</v>
      </c>
      <c r="M216" s="1224">
        <f t="shared" si="4"/>
        <v>82.21609484751454</v>
      </c>
    </row>
    <row r="217" spans="2:13" x14ac:dyDescent="0.4">
      <c r="B217" s="609">
        <f t="shared" si="0"/>
        <v>2041</v>
      </c>
      <c r="C217" s="615">
        <v>448.50549808058855</v>
      </c>
      <c r="E217" s="1224">
        <f t="shared" si="1"/>
        <v>66.051492557161509</v>
      </c>
      <c r="G217" s="1224">
        <f t="shared" si="2"/>
        <v>66.051492557161509</v>
      </c>
      <c r="I217" s="615">
        <v>270.77535178037829</v>
      </c>
      <c r="K217" s="1224">
        <f t="shared" si="3"/>
        <v>132.47586525989644</v>
      </c>
      <c r="M217" s="1224">
        <f t="shared" si="4"/>
        <v>84.27950279065027</v>
      </c>
    </row>
    <row r="218" spans="2:13" x14ac:dyDescent="0.4">
      <c r="B218" s="609">
        <f t="shared" si="0"/>
        <v>2042</v>
      </c>
      <c r="C218" s="615">
        <v>461.24489954649789</v>
      </c>
      <c r="E218" s="1224">
        <f t="shared" si="1"/>
        <v>58.448877261597872</v>
      </c>
      <c r="G218" s="1224">
        <f t="shared" si="2"/>
        <v>58.448877261597872</v>
      </c>
      <c r="I218" s="615">
        <v>277.73815063760708</v>
      </c>
      <c r="K218" s="1224">
        <f t="shared" si="3"/>
        <v>127.14814149686583</v>
      </c>
      <c r="M218" s="1224">
        <f t="shared" si="4"/>
        <v>86.325703280978189</v>
      </c>
    </row>
    <row r="219" spans="2:13" x14ac:dyDescent="0.4">
      <c r="B219" s="609">
        <f t="shared" si="0"/>
        <v>2043</v>
      </c>
      <c r="C219" s="615">
        <v>473.42208404396445</v>
      </c>
      <c r="E219" s="1224">
        <f t="shared" si="1"/>
        <v>50.867819425134037</v>
      </c>
      <c r="G219" s="1224">
        <f t="shared" si="2"/>
        <v>50.867819425134037</v>
      </c>
      <c r="I219" s="615">
        <v>284.62038008183788</v>
      </c>
      <c r="K219" s="1224">
        <f t="shared" si="3"/>
        <v>121.68420097558882</v>
      </c>
      <c r="M219" s="1224">
        <f t="shared" si="4"/>
        <v>88.354696318498299</v>
      </c>
    </row>
    <row r="220" spans="2:13" x14ac:dyDescent="0.4">
      <c r="B220" s="609">
        <f t="shared" si="0"/>
        <v>2044</v>
      </c>
      <c r="C220" s="615">
        <v>484.98373918829088</v>
      </c>
      <c r="E220" s="1224">
        <f t="shared" si="1"/>
        <v>43.329378743029629</v>
      </c>
      <c r="G220" s="1224">
        <f t="shared" si="2"/>
        <v>43.329378743029629</v>
      </c>
      <c r="I220" s="615">
        <v>291.41334068341104</v>
      </c>
      <c r="K220" s="1224">
        <f t="shared" si="3"/>
        <v>116.0899399804165</v>
      </c>
      <c r="M220" s="1224">
        <f t="shared" si="4"/>
        <v>90.366481903210627</v>
      </c>
    </row>
    <row r="221" spans="2:13" x14ac:dyDescent="0.4">
      <c r="B221" s="609">
        <f t="shared" si="0"/>
        <v>2045</v>
      </c>
      <c r="C221" s="615">
        <v>495.87655259477958</v>
      </c>
      <c r="E221" s="1224">
        <f t="shared" si="1"/>
        <v>35.868124913785508</v>
      </c>
      <c r="G221" s="1224">
        <f t="shared" si="2"/>
        <v>35.868124913785508</v>
      </c>
      <c r="I221" s="615">
        <v>298.10833301266632</v>
      </c>
      <c r="K221" s="1224">
        <f t="shared" si="3"/>
        <v>110.38502407608982</v>
      </c>
      <c r="M221" s="1224">
        <f t="shared" si="4"/>
        <v>92.361060035115116</v>
      </c>
    </row>
    <row r="222" spans="2:13" x14ac:dyDescent="0.4">
      <c r="B222" s="609">
        <f t="shared" si="0"/>
        <v>2046</v>
      </c>
      <c r="C222" s="615">
        <v>506.04721187873315</v>
      </c>
      <c r="E222" s="1224">
        <f t="shared" si="1"/>
        <v>28.447792186456706</v>
      </c>
      <c r="G222" s="1224">
        <f t="shared" si="2"/>
        <v>28.447792186456706</v>
      </c>
      <c r="I222" s="615">
        <v>304.69665763994408</v>
      </c>
      <c r="K222" s="1224">
        <f t="shared" si="3"/>
        <v>104.51602684980205</v>
      </c>
      <c r="M222" s="1224">
        <f t="shared" si="4"/>
        <v>94.338430714211825</v>
      </c>
    </row>
    <row r="223" spans="2:13" x14ac:dyDescent="0.4">
      <c r="B223" s="609">
        <f t="shared" si="0"/>
        <v>2047</v>
      </c>
      <c r="C223" s="615">
        <v>515.44240465545386</v>
      </c>
      <c r="E223" s="1224">
        <f t="shared" si="1"/>
        <v>21.092233689685983</v>
      </c>
      <c r="G223" s="1224">
        <f t="shared" si="2"/>
        <v>21.092233689685983</v>
      </c>
      <c r="I223" s="615">
        <v>311.16961513558448</v>
      </c>
      <c r="K223" s="1224">
        <f t="shared" si="3"/>
        <v>98.491048788059842</v>
      </c>
      <c r="M223" s="1224">
        <f t="shared" si="4"/>
        <v>96.298593940500723</v>
      </c>
    </row>
    <row r="224" spans="2:13" x14ac:dyDescent="0.4">
      <c r="B224" s="609">
        <f t="shared" si="0"/>
        <v>2048</v>
      </c>
      <c r="C224" s="615">
        <v>524.00881854024419</v>
      </c>
      <c r="E224" s="1224">
        <f t="shared" si="1"/>
        <v>13.829732128803609</v>
      </c>
      <c r="G224" s="1224">
        <f t="shared" si="2"/>
        <v>13.829732128803609</v>
      </c>
      <c r="I224" s="615">
        <v>317.51850606992753</v>
      </c>
      <c r="K224" s="1224">
        <f t="shared" si="3"/>
        <v>92.322533369289786</v>
      </c>
      <c r="M224" s="1224">
        <f t="shared" si="4"/>
        <v>92.322533369289786</v>
      </c>
    </row>
    <row r="225" spans="2:13" x14ac:dyDescent="0.4">
      <c r="B225" s="609">
        <f t="shared" si="0"/>
        <v>2049</v>
      </c>
      <c r="C225" s="615">
        <v>531.69314114840665</v>
      </c>
      <c r="E225" s="1224">
        <f t="shared" si="1"/>
        <v>6.6783346310764724</v>
      </c>
      <c r="G225" s="1224">
        <f t="shared" si="2"/>
        <v>6.6783346310764724</v>
      </c>
      <c r="I225" s="615">
        <v>323.73463101331345</v>
      </c>
      <c r="K225" s="1224">
        <f t="shared" si="3"/>
        <v>86.012061520696733</v>
      </c>
      <c r="M225" s="1224">
        <f t="shared" si="4"/>
        <v>86.012061520696733</v>
      </c>
    </row>
    <row r="226" spans="2:13" x14ac:dyDescent="0.4">
      <c r="B226" s="609">
        <f t="shared" si="0"/>
        <v>2050</v>
      </c>
      <c r="C226" s="615">
        <v>537.31275404092594</v>
      </c>
      <c r="E226" s="1224">
        <f t="shared" si="1"/>
        <v>0</v>
      </c>
      <c r="G226" s="1224">
        <f t="shared" si="2"/>
        <v>0</v>
      </c>
      <c r="I226" s="615">
        <v>329.8092905360823</v>
      </c>
      <c r="K226" s="1224">
        <f t="shared" si="3"/>
        <v>79.469377156905921</v>
      </c>
      <c r="M226" s="1224">
        <f t="shared" si="4"/>
        <v>79.469377156905921</v>
      </c>
    </row>
    <row r="227" spans="2:13" x14ac:dyDescent="0.4">
      <c r="B227" s="609">
        <f t="shared" si="0"/>
        <v>2051</v>
      </c>
      <c r="C227" s="615">
        <v>536.96739311809768</v>
      </c>
      <c r="E227" s="1224">
        <f t="shared" si="1"/>
        <v>0</v>
      </c>
      <c r="G227" s="1224">
        <f t="shared" si="2"/>
        <v>0</v>
      </c>
      <c r="I227" s="615">
        <v>335.73378520857426</v>
      </c>
      <c r="K227" s="1224">
        <f t="shared" si="3"/>
        <v>77.409542161148025</v>
      </c>
      <c r="M227" s="1224">
        <f t="shared" si="4"/>
        <v>77.409542161148025</v>
      </c>
    </row>
    <row r="228" spans="2:13" x14ac:dyDescent="0.4">
      <c r="B228" s="609">
        <f t="shared" si="0"/>
        <v>2052</v>
      </c>
      <c r="C228" s="615">
        <v>535.91401993447857</v>
      </c>
      <c r="E228" s="1224">
        <f t="shared" si="1"/>
        <v>0</v>
      </c>
      <c r="G228" s="1224">
        <f t="shared" si="2"/>
        <v>0</v>
      </c>
      <c r="I228" s="615">
        <v>341.49941560112944</v>
      </c>
      <c r="K228" s="1224">
        <f t="shared" si="3"/>
        <v>75.138748145542721</v>
      </c>
      <c r="M228" s="1224">
        <f t="shared" si="4"/>
        <v>75.138748145542721</v>
      </c>
    </row>
    <row r="229" spans="2:13" x14ac:dyDescent="0.4">
      <c r="B229" s="609">
        <f t="shared" si="0"/>
        <v>2053</v>
      </c>
      <c r="C229" s="615">
        <v>534.47191489666238</v>
      </c>
      <c r="E229" s="1224">
        <f t="shared" si="1"/>
        <v>0</v>
      </c>
      <c r="G229" s="1224">
        <f t="shared" si="2"/>
        <v>0</v>
      </c>
      <c r="I229" s="615">
        <v>347.09748228408785</v>
      </c>
      <c r="K229" s="1224">
        <f t="shared" si="3"/>
        <v>72.771067601767214</v>
      </c>
      <c r="M229" s="1224">
        <f t="shared" si="4"/>
        <v>72.771067601767214</v>
      </c>
    </row>
    <row r="230" spans="2:13" x14ac:dyDescent="0.4">
      <c r="B230" s="609">
        <f t="shared" si="0"/>
        <v>2054</v>
      </c>
      <c r="C230" s="615">
        <v>532.64496544223186</v>
      </c>
      <c r="E230" s="1224">
        <f t="shared" si="1"/>
        <v>0</v>
      </c>
      <c r="G230" s="1224">
        <f t="shared" si="2"/>
        <v>0</v>
      </c>
      <c r="I230" s="615">
        <v>352.51928582778976</v>
      </c>
      <c r="K230" s="1224">
        <f t="shared" si="3"/>
        <v>70.309438907619153</v>
      </c>
      <c r="M230" s="1224">
        <f t="shared" si="4"/>
        <v>70.309438907619153</v>
      </c>
    </row>
    <row r="231" spans="2:13" x14ac:dyDescent="0.4">
      <c r="B231" s="609">
        <f t="shared" si="0"/>
        <v>2055</v>
      </c>
      <c r="C231" s="615">
        <v>530.43610345620561</v>
      </c>
      <c r="E231" s="1224">
        <f t="shared" si="1"/>
        <v>0</v>
      </c>
      <c r="G231" s="1224">
        <f t="shared" si="2"/>
        <v>0</v>
      </c>
      <c r="I231" s="615">
        <v>357.7561268025753</v>
      </c>
      <c r="K231" s="1224">
        <f t="shared" si="3"/>
        <v>67.756304690274547</v>
      </c>
      <c r="M231" s="1224">
        <f t="shared" si="4"/>
        <v>67.756304690274547</v>
      </c>
    </row>
    <row r="232" spans="2:13" x14ac:dyDescent="0.4">
      <c r="B232" s="609">
        <f t="shared" si="0"/>
        <v>2056</v>
      </c>
      <c r="C232" s="615">
        <v>527.84807254179054</v>
      </c>
      <c r="E232" s="1224">
        <f t="shared" si="1"/>
        <v>0</v>
      </c>
      <c r="G232" s="1224">
        <f t="shared" si="2"/>
        <v>0</v>
      </c>
      <c r="I232" s="615">
        <v>362.79930577878446</v>
      </c>
      <c r="K232" s="1224">
        <f t="shared" si="3"/>
        <v>65.113923270617107</v>
      </c>
      <c r="M232" s="1224">
        <f t="shared" si="4"/>
        <v>65.113923270617107</v>
      </c>
    </row>
    <row r="233" spans="2:13" x14ac:dyDescent="0.4">
      <c r="B233" s="609">
        <f t="shared" si="0"/>
        <v>2057</v>
      </c>
      <c r="C233" s="615">
        <v>524.88250606335441</v>
      </c>
      <c r="E233" s="1224">
        <f t="shared" si="1"/>
        <v>0</v>
      </c>
      <c r="G233" s="1224">
        <f t="shared" si="2"/>
        <v>0</v>
      </c>
      <c r="I233" s="615">
        <v>367.64012332675759</v>
      </c>
      <c r="K233" s="1224">
        <f t="shared" si="3"/>
        <v>62.383962695994718</v>
      </c>
      <c r="M233" s="1224">
        <f t="shared" si="4"/>
        <v>62.383962695994718</v>
      </c>
    </row>
    <row r="234" spans="2:13" x14ac:dyDescent="0.4">
      <c r="B234" s="609">
        <f t="shared" si="0"/>
        <v>2058</v>
      </c>
      <c r="C234" s="615">
        <v>521.5403152299757</v>
      </c>
      <c r="E234" s="1224">
        <f t="shared" si="1"/>
        <v>0</v>
      </c>
      <c r="G234" s="1224">
        <f t="shared" si="2"/>
        <v>0</v>
      </c>
      <c r="I234" s="615">
        <v>372.26988001683469</v>
      </c>
      <c r="K234" s="1224">
        <f t="shared" si="3"/>
        <v>59.567647979462905</v>
      </c>
      <c r="M234" s="1224">
        <f t="shared" si="4"/>
        <v>59.567647979462905</v>
      </c>
    </row>
    <row r="235" spans="2:13" x14ac:dyDescent="0.4">
      <c r="B235" s="609">
        <f t="shared" si="0"/>
        <v>2059</v>
      </c>
      <c r="C235" s="615">
        <v>517.82186308390669</v>
      </c>
      <c r="E235" s="1224">
        <f t="shared" si="1"/>
        <v>0</v>
      </c>
      <c r="G235" s="1224">
        <f t="shared" si="2"/>
        <v>0</v>
      </c>
      <c r="I235" s="615">
        <v>376.67987641935576</v>
      </c>
      <c r="K235" s="1224">
        <f t="shared" si="3"/>
        <v>56.66584856369829</v>
      </c>
      <c r="M235" s="1224">
        <f t="shared" si="4"/>
        <v>56.66584856369829</v>
      </c>
    </row>
    <row r="236" spans="2:13" x14ac:dyDescent="0.4">
      <c r="B236" s="609">
        <f t="shared" si="0"/>
        <v>2060</v>
      </c>
      <c r="C236" s="615">
        <v>513.7286453259685</v>
      </c>
      <c r="E236" s="1224">
        <f t="shared" si="1"/>
        <v>0</v>
      </c>
      <c r="G236" s="1224">
        <f t="shared" si="2"/>
        <v>0</v>
      </c>
      <c r="I236" s="615">
        <v>380.86141310466115</v>
      </c>
      <c r="K236" s="1224">
        <f t="shared" si="3"/>
        <v>53.67979712705764</v>
      </c>
      <c r="M236" s="1224">
        <f t="shared" si="4"/>
        <v>53.67979712705764</v>
      </c>
    </row>
    <row r="237" spans="2:13" x14ac:dyDescent="0.4">
      <c r="C237" s="1"/>
      <c r="E237" s="1"/>
      <c r="G237" s="1"/>
      <c r="I237" s="1"/>
      <c r="K237" s="1"/>
      <c r="M237" s="1"/>
    </row>
    <row r="238" spans="2:13" x14ac:dyDescent="0.4">
      <c r="B238" s="1" t="s">
        <v>424</v>
      </c>
      <c r="C238" s="1256" t="s">
        <v>420</v>
      </c>
      <c r="E238" s="1256" t="s">
        <v>420</v>
      </c>
      <c r="G238" s="1256" t="s">
        <v>1129</v>
      </c>
      <c r="I238" s="1256" t="s">
        <v>1129</v>
      </c>
      <c r="K238" s="1256" t="s">
        <v>420</v>
      </c>
      <c r="M238" s="1256" t="s">
        <v>1129</v>
      </c>
    </row>
    <row r="239" spans="2:13" x14ac:dyDescent="0.4">
      <c r="C239" s="1256" t="s">
        <v>402</v>
      </c>
      <c r="D239" s="1256" t="s">
        <v>422</v>
      </c>
      <c r="E239" s="1256" t="s">
        <v>423</v>
      </c>
      <c r="F239" s="1256" t="s">
        <v>431</v>
      </c>
      <c r="G239" s="1256" t="s">
        <v>423</v>
      </c>
      <c r="H239" s="1257" t="s">
        <v>426</v>
      </c>
      <c r="I239" s="1256" t="s">
        <v>402</v>
      </c>
      <c r="J239" s="1256" t="s">
        <v>422</v>
      </c>
      <c r="K239" s="1256" t="s">
        <v>423</v>
      </c>
      <c r="L239" s="1256" t="s">
        <v>425</v>
      </c>
      <c r="M239" s="1256" t="s">
        <v>423</v>
      </c>
    </row>
    <row r="240" spans="2:13" x14ac:dyDescent="0.4">
      <c r="B240" s="609">
        <f>B190</f>
        <v>2014</v>
      </c>
      <c r="C240" s="615">
        <v>76.323108000000005</v>
      </c>
      <c r="E240" s="1224">
        <f>D126</f>
        <v>23.802159959999997</v>
      </c>
      <c r="G240" s="1224">
        <f>H126</f>
        <v>23.802159959999997</v>
      </c>
      <c r="I240" s="615">
        <v>76.323108000000005</v>
      </c>
      <c r="K240" s="1224">
        <f>M126</f>
        <v>23.802159959999997</v>
      </c>
      <c r="M240" s="1224">
        <f>Q126</f>
        <v>23.802159959999997</v>
      </c>
    </row>
    <row r="241" spans="1:13" x14ac:dyDescent="0.4">
      <c r="B241" s="609">
        <f t="shared" ref="B241:B286" si="5">B191</f>
        <v>2015</v>
      </c>
      <c r="C241" s="615">
        <v>94.862215331673212</v>
      </c>
      <c r="E241" s="1224">
        <f t="shared" ref="E241:E286" si="6">D127</f>
        <v>20.704508545199335</v>
      </c>
      <c r="G241" s="1224">
        <f t="shared" ref="G241:G286" si="7">H127</f>
        <v>25.038474106585277</v>
      </c>
      <c r="I241" s="615">
        <v>90.216867295397932</v>
      </c>
      <c r="K241" s="1224">
        <f t="shared" ref="K241:K286" si="8">M127</f>
        <v>20.704508545199335</v>
      </c>
      <c r="M241" s="1224">
        <f t="shared" ref="M241:M286" si="9">Q127</f>
        <v>25.038474106585277</v>
      </c>
    </row>
    <row r="242" spans="1:13" x14ac:dyDescent="0.4">
      <c r="B242" s="609">
        <f t="shared" si="5"/>
        <v>2016</v>
      </c>
      <c r="C242" s="615">
        <v>103.70051642336665</v>
      </c>
      <c r="E242" s="1224">
        <f t="shared" si="6"/>
        <v>25.947379190707494</v>
      </c>
      <c r="G242" s="1224">
        <f t="shared" si="7"/>
        <v>27.53206836991609</v>
      </c>
      <c r="I242" s="615">
        <v>96.395463317056553</v>
      </c>
      <c r="K242" s="1224">
        <f t="shared" si="8"/>
        <v>25.947379190707494</v>
      </c>
      <c r="M242" s="1224">
        <f t="shared" si="9"/>
        <v>27.53206836991609</v>
      </c>
    </row>
    <row r="243" spans="1:13" x14ac:dyDescent="0.4">
      <c r="B243" s="609">
        <f t="shared" si="5"/>
        <v>2017</v>
      </c>
      <c r="C243" s="615">
        <v>113.39623067008149</v>
      </c>
      <c r="E243" s="1224">
        <f t="shared" si="6"/>
        <v>31.115145406136513</v>
      </c>
      <c r="G243" s="1224">
        <f t="shared" si="7"/>
        <v>30.0084551804391</v>
      </c>
      <c r="I243" s="615">
        <v>102.74036077222269</v>
      </c>
      <c r="K243" s="1224">
        <f t="shared" si="8"/>
        <v>31.115145406136513</v>
      </c>
      <c r="M243" s="1224">
        <f t="shared" si="9"/>
        <v>30.0084551804391</v>
      </c>
    </row>
    <row r="244" spans="1:13" ht="17.7" x14ac:dyDescent="0.6">
      <c r="A244" s="620" t="s">
        <v>407</v>
      </c>
      <c r="B244" s="609">
        <f t="shared" si="5"/>
        <v>2018</v>
      </c>
      <c r="C244" s="615">
        <v>123.92417028120664</v>
      </c>
      <c r="E244" s="1224">
        <f t="shared" si="6"/>
        <v>36.207807191486388</v>
      </c>
      <c r="G244" s="1224">
        <f t="shared" si="7"/>
        <v>32.467634538154307</v>
      </c>
      <c r="I244" s="615">
        <v>109.26508834398641</v>
      </c>
      <c r="K244" s="1224">
        <f t="shared" si="8"/>
        <v>36.207807191486388</v>
      </c>
      <c r="M244" s="1224">
        <f t="shared" si="9"/>
        <v>32.467634538154307</v>
      </c>
    </row>
    <row r="245" spans="1:13" x14ac:dyDescent="0.4">
      <c r="A245" s="609" t="s">
        <v>421</v>
      </c>
      <c r="B245" s="609">
        <f t="shared" si="5"/>
        <v>2019</v>
      </c>
      <c r="C245" s="615">
        <v>135.59210872310479</v>
      </c>
      <c r="E245" s="1224">
        <f t="shared" si="6"/>
        <v>41.225364546757135</v>
      </c>
      <c r="G245" s="1224">
        <f t="shared" si="7"/>
        <v>34.909606443061712</v>
      </c>
      <c r="I245" s="615">
        <v>116.26654955798449</v>
      </c>
      <c r="K245" s="1224">
        <f t="shared" si="8"/>
        <v>41.225364546757135</v>
      </c>
      <c r="M245" s="1224">
        <f t="shared" si="9"/>
        <v>34.909606443061712</v>
      </c>
    </row>
    <row r="246" spans="1:13" x14ac:dyDescent="0.4">
      <c r="B246" s="609">
        <f t="shared" si="5"/>
        <v>2020</v>
      </c>
      <c r="C246" s="615">
        <v>147.7947216869174</v>
      </c>
      <c r="E246" s="1224">
        <f t="shared" si="6"/>
        <v>46.167817471948737</v>
      </c>
      <c r="G246" s="1224">
        <f t="shared" si="7"/>
        <v>37.334370895161314</v>
      </c>
      <c r="I246" s="615">
        <v>123.24681533154848</v>
      </c>
      <c r="K246" s="1224">
        <f t="shared" si="8"/>
        <v>46.167817471948737</v>
      </c>
      <c r="M246" s="1224">
        <f t="shared" si="9"/>
        <v>37.334370895161314</v>
      </c>
    </row>
    <row r="247" spans="1:13" x14ac:dyDescent="0.4">
      <c r="B247" s="609">
        <f t="shared" si="5"/>
        <v>2021</v>
      </c>
      <c r="C247" s="615">
        <v>160.7195922057069</v>
      </c>
      <c r="E247" s="1224">
        <f t="shared" si="6"/>
        <v>51.035165967061204</v>
      </c>
      <c r="G247" s="1224">
        <f t="shared" si="7"/>
        <v>39.741927894453099</v>
      </c>
      <c r="I247" s="615">
        <v>130.40395815455534</v>
      </c>
      <c r="K247" s="1224">
        <f t="shared" si="8"/>
        <v>51.035165967061204</v>
      </c>
      <c r="M247" s="1224">
        <f t="shared" si="9"/>
        <v>39.741927894453099</v>
      </c>
    </row>
    <row r="248" spans="1:13" x14ac:dyDescent="0.4">
      <c r="B248" s="609">
        <f t="shared" si="5"/>
        <v>2022</v>
      </c>
      <c r="C248" s="615">
        <v>174.32407317611643</v>
      </c>
      <c r="E248" s="1224">
        <f t="shared" si="6"/>
        <v>55.827410032094534</v>
      </c>
      <c r="G248" s="1224">
        <f t="shared" si="7"/>
        <v>42.132277440937102</v>
      </c>
      <c r="I248" s="615">
        <v>137.73313256357582</v>
      </c>
      <c r="K248" s="1224">
        <f t="shared" si="8"/>
        <v>55.827410032094534</v>
      </c>
      <c r="M248" s="1224">
        <f t="shared" si="9"/>
        <v>42.132277440937102</v>
      </c>
    </row>
    <row r="249" spans="1:13" x14ac:dyDescent="0.4">
      <c r="B249" s="609">
        <f t="shared" si="5"/>
        <v>2023</v>
      </c>
      <c r="C249" s="615">
        <v>188.5700127981209</v>
      </c>
      <c r="E249" s="1224">
        <f t="shared" si="6"/>
        <v>60.544549667048727</v>
      </c>
      <c r="G249" s="1224">
        <f t="shared" si="7"/>
        <v>44.505419534613289</v>
      </c>
      <c r="I249" s="615">
        <v>145.23308868130917</v>
      </c>
      <c r="K249" s="1224">
        <f t="shared" si="8"/>
        <v>60.544549667048727</v>
      </c>
      <c r="M249" s="1224">
        <f t="shared" si="9"/>
        <v>44.505419534613289</v>
      </c>
    </row>
    <row r="250" spans="1:13" x14ac:dyDescent="0.4">
      <c r="B250" s="609">
        <f t="shared" si="5"/>
        <v>2024</v>
      </c>
      <c r="C250" s="615">
        <v>203.19717058853081</v>
      </c>
      <c r="E250" s="1224">
        <f t="shared" si="6"/>
        <v>65.18658487192377</v>
      </c>
      <c r="G250" s="1224">
        <f t="shared" si="7"/>
        <v>46.861354175481672</v>
      </c>
      <c r="I250" s="615">
        <v>152.73548203859843</v>
      </c>
      <c r="K250" s="1224">
        <f t="shared" si="8"/>
        <v>65.18658487192377</v>
      </c>
      <c r="M250" s="1224">
        <f t="shared" si="9"/>
        <v>46.861354175481672</v>
      </c>
    </row>
    <row r="251" spans="1:13" x14ac:dyDescent="0.4">
      <c r="B251" s="609">
        <f t="shared" si="5"/>
        <v>2025</v>
      </c>
      <c r="C251" s="615">
        <v>218.38938669855304</v>
      </c>
      <c r="E251" s="1224">
        <f t="shared" si="6"/>
        <v>69.753515646719706</v>
      </c>
      <c r="G251" s="1224">
        <f t="shared" si="7"/>
        <v>49.200081363542253</v>
      </c>
      <c r="I251" s="615">
        <v>160.4133124751537</v>
      </c>
      <c r="K251" s="1224">
        <f t="shared" si="8"/>
        <v>69.753515646719706</v>
      </c>
      <c r="M251" s="1224">
        <f t="shared" si="9"/>
        <v>49.200081363542253</v>
      </c>
    </row>
    <row r="252" spans="1:13" x14ac:dyDescent="0.4">
      <c r="B252" s="609">
        <f t="shared" si="5"/>
        <v>2026</v>
      </c>
      <c r="C252" s="615">
        <v>233.94161793016241</v>
      </c>
      <c r="E252" s="1224">
        <f t="shared" si="6"/>
        <v>74.24534199143649</v>
      </c>
      <c r="G252" s="1224">
        <f t="shared" si="7"/>
        <v>51.521601098795031</v>
      </c>
      <c r="I252" s="615">
        <v>168.14427856540848</v>
      </c>
      <c r="K252" s="1224">
        <f t="shared" si="8"/>
        <v>74.24534199143649</v>
      </c>
      <c r="M252" s="1224">
        <f t="shared" si="9"/>
        <v>51.521601098795031</v>
      </c>
    </row>
    <row r="253" spans="1:13" x14ac:dyDescent="0.4">
      <c r="B253" s="609">
        <f t="shared" si="5"/>
        <v>2027</v>
      </c>
      <c r="C253" s="615">
        <v>249.83169215098931</v>
      </c>
      <c r="E253" s="1224">
        <f t="shared" si="6"/>
        <v>78.66206390607411</v>
      </c>
      <c r="G253" s="1224">
        <f t="shared" si="7"/>
        <v>53.825913381240007</v>
      </c>
      <c r="I253" s="615">
        <v>175.94468453296057</v>
      </c>
      <c r="K253" s="1224">
        <f t="shared" si="8"/>
        <v>78.66206390607411</v>
      </c>
      <c r="M253" s="1224">
        <f t="shared" si="9"/>
        <v>53.825913381240007</v>
      </c>
    </row>
    <row r="254" spans="1:13" x14ac:dyDescent="0.4">
      <c r="B254" s="609">
        <f t="shared" si="5"/>
        <v>2028</v>
      </c>
      <c r="C254" s="615">
        <v>266.25734350533531</v>
      </c>
      <c r="E254" s="1224">
        <f t="shared" si="6"/>
        <v>83.003681390632622</v>
      </c>
      <c r="G254" s="1224">
        <f t="shared" si="7"/>
        <v>56.113018210877172</v>
      </c>
      <c r="I254" s="615">
        <v>183.98093245605583</v>
      </c>
      <c r="K254" s="1224">
        <f t="shared" si="8"/>
        <v>83.003681390632622</v>
      </c>
      <c r="M254" s="1224">
        <f t="shared" si="9"/>
        <v>56.113018210877172</v>
      </c>
    </row>
    <row r="255" spans="1:13" x14ac:dyDescent="0.4">
      <c r="B255" s="609">
        <f t="shared" si="5"/>
        <v>2029</v>
      </c>
      <c r="C255" s="615">
        <v>282.38649278804303</v>
      </c>
      <c r="E255" s="1224">
        <f t="shared" si="6"/>
        <v>87.270194445111983</v>
      </c>
      <c r="G255" s="1224">
        <f t="shared" si="7"/>
        <v>58.382915587706542</v>
      </c>
      <c r="I255" s="615">
        <v>191.70816166987365</v>
      </c>
      <c r="K255" s="1224">
        <f t="shared" si="8"/>
        <v>87.270194445111983</v>
      </c>
      <c r="M255" s="1224">
        <f t="shared" si="9"/>
        <v>58.382915587706542</v>
      </c>
    </row>
    <row r="256" spans="1:13" x14ac:dyDescent="0.4">
      <c r="B256" s="609">
        <f t="shared" si="5"/>
        <v>2030</v>
      </c>
      <c r="C256" s="615">
        <v>298.88862657520247</v>
      </c>
      <c r="E256" s="1224">
        <f t="shared" si="6"/>
        <v>91.461603069512222</v>
      </c>
      <c r="G256" s="1224">
        <f t="shared" si="7"/>
        <v>60.635605511728109</v>
      </c>
      <c r="I256" s="615">
        <v>199.62032555572873</v>
      </c>
      <c r="K256" s="1224">
        <f t="shared" si="8"/>
        <v>91.461603069512222</v>
      </c>
      <c r="M256" s="1224">
        <f t="shared" si="9"/>
        <v>60.635605511728109</v>
      </c>
    </row>
    <row r="257" spans="2:13" x14ac:dyDescent="0.4">
      <c r="B257" s="609">
        <f t="shared" si="5"/>
        <v>2031</v>
      </c>
      <c r="C257" s="615">
        <v>315.45487148110891</v>
      </c>
      <c r="E257" s="1224">
        <f t="shared" si="6"/>
        <v>92.134195312046074</v>
      </c>
      <c r="G257" s="1224">
        <f t="shared" si="7"/>
        <v>62.871087982941866</v>
      </c>
      <c r="I257" s="615">
        <v>207.53555224556948</v>
      </c>
      <c r="K257" s="1224">
        <f t="shared" si="8"/>
        <v>95.577907263833325</v>
      </c>
      <c r="M257" s="1224">
        <f t="shared" si="9"/>
        <v>62.871087982941866</v>
      </c>
    </row>
    <row r="258" spans="2:13" x14ac:dyDescent="0.4">
      <c r="B258" s="609">
        <f t="shared" si="5"/>
        <v>2032</v>
      </c>
      <c r="C258" s="615">
        <v>331.98203720625588</v>
      </c>
      <c r="E258" s="1224">
        <f t="shared" si="6"/>
        <v>81.071742217579285</v>
      </c>
      <c r="G258" s="1224">
        <f t="shared" si="7"/>
        <v>65.089363001347834</v>
      </c>
      <c r="I258" s="615">
        <v>215.41586789873131</v>
      </c>
      <c r="K258" s="1224">
        <f t="shared" si="8"/>
        <v>99.619107028075263</v>
      </c>
      <c r="M258" s="1224">
        <f t="shared" si="9"/>
        <v>65.089363001347834</v>
      </c>
    </row>
    <row r="259" spans="2:13" x14ac:dyDescent="0.4">
      <c r="B259" s="609">
        <f t="shared" si="5"/>
        <v>2033</v>
      </c>
      <c r="C259" s="615">
        <v>348.40649509691968</v>
      </c>
      <c r="E259" s="1224">
        <f t="shared" si="6"/>
        <v>69.744751858581566</v>
      </c>
      <c r="G259" s="1224">
        <f t="shared" si="7"/>
        <v>67.290430566945972</v>
      </c>
      <c r="I259" s="615">
        <v>223.24998183952823</v>
      </c>
      <c r="K259" s="1224">
        <f t="shared" si="8"/>
        <v>103.58520236223808</v>
      </c>
      <c r="M259" s="1224">
        <f t="shared" si="9"/>
        <v>67.290430566945972</v>
      </c>
    </row>
    <row r="260" spans="2:13" x14ac:dyDescent="0.4">
      <c r="B260" s="609">
        <f t="shared" si="5"/>
        <v>2034</v>
      </c>
      <c r="C260" s="615">
        <v>364.46153482002711</v>
      </c>
      <c r="E260" s="1224">
        <f t="shared" si="6"/>
        <v>58.921677070748188</v>
      </c>
      <c r="G260" s="1224">
        <f t="shared" si="7"/>
        <v>58.921677070748188</v>
      </c>
      <c r="I260" s="615">
        <v>230.89774383952076</v>
      </c>
      <c r="K260" s="1224">
        <f t="shared" si="8"/>
        <v>106.29287398113303</v>
      </c>
      <c r="M260" s="1224">
        <f t="shared" si="9"/>
        <v>69.474290679736328</v>
      </c>
    </row>
    <row r="261" spans="2:13" x14ac:dyDescent="0.4">
      <c r="B261" s="609">
        <f t="shared" si="5"/>
        <v>2035</v>
      </c>
      <c r="C261" s="615">
        <v>379.96801588136003</v>
      </c>
      <c r="E261" s="1224">
        <f t="shared" si="6"/>
        <v>49.211346776399637</v>
      </c>
      <c r="G261" s="1224">
        <f t="shared" si="7"/>
        <v>49.211346776399637</v>
      </c>
      <c r="I261" s="615">
        <v>238.27891725307072</v>
      </c>
      <c r="K261" s="1224">
        <f t="shared" si="8"/>
        <v>99.535820256933505</v>
      </c>
      <c r="M261" s="1224">
        <f t="shared" si="9"/>
        <v>71.640943339718859</v>
      </c>
    </row>
    <row r="262" spans="2:13" x14ac:dyDescent="0.4">
      <c r="B262" s="609">
        <f t="shared" si="5"/>
        <v>2036</v>
      </c>
      <c r="C262" s="615">
        <v>394.82245219134546</v>
      </c>
      <c r="E262" s="1224">
        <f t="shared" si="6"/>
        <v>40.101373585350274</v>
      </c>
      <c r="G262" s="1224">
        <f t="shared" si="7"/>
        <v>40.101373585350274</v>
      </c>
      <c r="I262" s="615">
        <v>245.36170460168788</v>
      </c>
      <c r="K262" s="1224">
        <f t="shared" si="8"/>
        <v>93.321256506739275</v>
      </c>
      <c r="M262" s="1224">
        <f t="shared" si="9"/>
        <v>73.79038854689361</v>
      </c>
    </row>
    <row r="263" spans="2:13" x14ac:dyDescent="0.4">
      <c r="B263" s="609">
        <f t="shared" si="5"/>
        <v>2037</v>
      </c>
      <c r="C263" s="615">
        <v>408.98981086131823</v>
      </c>
      <c r="E263" s="1224">
        <f t="shared" si="6"/>
        <v>31.359214479868626</v>
      </c>
      <c r="G263" s="1224">
        <f t="shared" si="7"/>
        <v>31.359214479868626</v>
      </c>
      <c r="I263" s="615">
        <v>252.15564474438074</v>
      </c>
      <c r="K263" s="1224">
        <f t="shared" si="8"/>
        <v>87.405925254324117</v>
      </c>
      <c r="M263" s="1224">
        <f t="shared" si="9"/>
        <v>75.92262630126055</v>
      </c>
    </row>
    <row r="264" spans="2:13" x14ac:dyDescent="0.4">
      <c r="B264" s="609">
        <f t="shared" si="5"/>
        <v>2038</v>
      </c>
      <c r="C264" s="615">
        <v>422.49791399507546</v>
      </c>
      <c r="E264" s="1224">
        <f t="shared" si="6"/>
        <v>22.483875524670367</v>
      </c>
      <c r="G264" s="1224">
        <f t="shared" si="7"/>
        <v>22.483875524670367</v>
      </c>
      <c r="I264" s="615">
        <v>258.70653073466542</v>
      </c>
      <c r="K264" s="1224">
        <f t="shared" si="8"/>
        <v>81.277533697582271</v>
      </c>
      <c r="M264" s="1224">
        <f t="shared" si="9"/>
        <v>78.037656602819681</v>
      </c>
    </row>
    <row r="265" spans="2:13" x14ac:dyDescent="0.4">
      <c r="B265" s="609">
        <f t="shared" si="5"/>
        <v>2039</v>
      </c>
      <c r="C265" s="615">
        <v>435.57199888685602</v>
      </c>
      <c r="E265" s="1224">
        <f t="shared" si="6"/>
        <v>12.260825929677846</v>
      </c>
      <c r="G265" s="1224">
        <f t="shared" si="7"/>
        <v>12.260825929677846</v>
      </c>
      <c r="I265" s="615">
        <v>265.17747106228529</v>
      </c>
      <c r="K265" s="1224">
        <f t="shared" si="8"/>
        <v>73.71537422193299</v>
      </c>
      <c r="M265" s="1224">
        <f t="shared" si="9"/>
        <v>73.71537422193299</v>
      </c>
    </row>
    <row r="266" spans="2:13" x14ac:dyDescent="0.4">
      <c r="B266" s="609">
        <f t="shared" si="5"/>
        <v>2040</v>
      </c>
      <c r="C266" s="615">
        <v>447.7623255081466</v>
      </c>
      <c r="E266" s="1224">
        <f t="shared" si="6"/>
        <v>1.5435842660960792</v>
      </c>
      <c r="G266" s="1224">
        <f t="shared" si="7"/>
        <v>1.5435842660960792</v>
      </c>
      <c r="I266" s="615">
        <v>271.31807052563005</v>
      </c>
      <c r="K266" s="1224">
        <f t="shared" si="8"/>
        <v>65.536127849087904</v>
      </c>
      <c r="M266" s="1224">
        <f t="shared" si="9"/>
        <v>65.536127849087904</v>
      </c>
    </row>
    <row r="267" spans="2:13" x14ac:dyDescent="0.4">
      <c r="B267" s="609">
        <f t="shared" si="5"/>
        <v>2041</v>
      </c>
      <c r="C267" s="615">
        <v>435.97346467779562</v>
      </c>
      <c r="E267" s="1224">
        <f t="shared" si="6"/>
        <v>0</v>
      </c>
      <c r="G267" s="1224">
        <f t="shared" si="7"/>
        <v>0</v>
      </c>
      <c r="I267" s="615">
        <v>276.97364161825908</v>
      </c>
      <c r="K267" s="1224">
        <f t="shared" si="8"/>
        <v>58.094322590945282</v>
      </c>
      <c r="M267" s="1224">
        <f t="shared" si="9"/>
        <v>58.094322590945282</v>
      </c>
    </row>
    <row r="268" spans="2:13" x14ac:dyDescent="0.4">
      <c r="B268" s="609">
        <f t="shared" si="5"/>
        <v>2042</v>
      </c>
      <c r="C268" s="615">
        <v>417.58349535700165</v>
      </c>
      <c r="E268" s="1224">
        <f t="shared" si="6"/>
        <v>0</v>
      </c>
      <c r="G268" s="1224">
        <f t="shared" si="7"/>
        <v>0</v>
      </c>
      <c r="I268" s="615">
        <v>282.16608435381266</v>
      </c>
      <c r="K268" s="1224">
        <f t="shared" si="8"/>
        <v>49.900543864750738</v>
      </c>
      <c r="M268" s="1224">
        <f t="shared" si="9"/>
        <v>49.900543864750738</v>
      </c>
    </row>
    <row r="269" spans="2:13" x14ac:dyDescent="0.4">
      <c r="B269" s="609">
        <f t="shared" si="5"/>
        <v>2043</v>
      </c>
      <c r="C269" s="615">
        <v>398.41819884773571</v>
      </c>
      <c r="E269" s="1224">
        <f t="shared" si="6"/>
        <v>0</v>
      </c>
      <c r="G269" s="1224">
        <f t="shared" si="7"/>
        <v>0</v>
      </c>
      <c r="I269" s="615">
        <v>286.76526748176866</v>
      </c>
      <c r="K269" s="1224">
        <f t="shared" si="8"/>
        <v>41.565919996296287</v>
      </c>
      <c r="M269" s="1224">
        <f t="shared" si="9"/>
        <v>41.565919996296287</v>
      </c>
    </row>
    <row r="270" spans="2:13" x14ac:dyDescent="0.4">
      <c r="B270" s="609">
        <f t="shared" si="5"/>
        <v>2044</v>
      </c>
      <c r="C270" s="615">
        <v>378.48817230826705</v>
      </c>
      <c r="E270" s="1224">
        <f t="shared" si="6"/>
        <v>0</v>
      </c>
      <c r="G270" s="1224">
        <f t="shared" si="7"/>
        <v>0</v>
      </c>
      <c r="I270" s="615">
        <v>290.66457591579524</v>
      </c>
      <c r="K270" s="1224">
        <f t="shared" si="8"/>
        <v>33.096771909817647</v>
      </c>
      <c r="M270" s="1224">
        <f t="shared" si="9"/>
        <v>33.096771909817647</v>
      </c>
    </row>
    <row r="271" spans="2:13" x14ac:dyDescent="0.4">
      <c r="B271" s="609">
        <f t="shared" si="5"/>
        <v>2045</v>
      </c>
      <c r="C271" s="615">
        <v>357.83792690687631</v>
      </c>
      <c r="E271" s="1224">
        <f t="shared" si="6"/>
        <v>0</v>
      </c>
      <c r="G271" s="1224">
        <f t="shared" si="7"/>
        <v>0</v>
      </c>
      <c r="I271" s="615">
        <v>293.73661054370137</v>
      </c>
      <c r="K271" s="1224">
        <f t="shared" si="8"/>
        <v>24.512141538208066</v>
      </c>
      <c r="M271" s="1224">
        <f t="shared" si="9"/>
        <v>24.512141538208066</v>
      </c>
    </row>
    <row r="272" spans="2:13" x14ac:dyDescent="0.4">
      <c r="B272" s="609">
        <f t="shared" si="5"/>
        <v>2046</v>
      </c>
      <c r="C272" s="615">
        <v>336.33915930137653</v>
      </c>
      <c r="E272" s="1224">
        <f t="shared" si="6"/>
        <v>0</v>
      </c>
      <c r="G272" s="1224">
        <f t="shared" si="7"/>
        <v>0</v>
      </c>
      <c r="I272" s="615">
        <v>295.82808015613762</v>
      </c>
      <c r="K272" s="1224">
        <f t="shared" si="8"/>
        <v>15.763498710933591</v>
      </c>
      <c r="M272" s="1224">
        <f t="shared" si="9"/>
        <v>15.763498710933591</v>
      </c>
    </row>
    <row r="273" spans="2:13" x14ac:dyDescent="0.4">
      <c r="B273" s="609">
        <f t="shared" si="5"/>
        <v>2047</v>
      </c>
      <c r="C273" s="615">
        <v>314.0118085546647</v>
      </c>
      <c r="E273" s="1224">
        <f t="shared" si="6"/>
        <v>0</v>
      </c>
      <c r="G273" s="1224">
        <f t="shared" si="7"/>
        <v>0</v>
      </c>
      <c r="I273" s="615">
        <v>296.74764360199038</v>
      </c>
      <c r="K273" s="1224">
        <f t="shared" si="8"/>
        <v>6.8592917143683589</v>
      </c>
      <c r="M273" s="1224">
        <f t="shared" si="9"/>
        <v>6.8592917143683589</v>
      </c>
    </row>
    <row r="274" spans="2:13" x14ac:dyDescent="0.4">
      <c r="B274" s="609">
        <f t="shared" si="5"/>
        <v>2048</v>
      </c>
      <c r="C274" s="615">
        <v>290.8869601303644</v>
      </c>
      <c r="E274" s="1224">
        <f t="shared" si="6"/>
        <v>0</v>
      </c>
      <c r="G274" s="1224">
        <f t="shared" si="7"/>
        <v>0</v>
      </c>
      <c r="I274" s="615">
        <v>290.8869601303644</v>
      </c>
      <c r="K274" s="1224">
        <f t="shared" si="8"/>
        <v>0</v>
      </c>
      <c r="M274" s="1224">
        <f t="shared" si="9"/>
        <v>0</v>
      </c>
    </row>
    <row r="275" spans="2:13" x14ac:dyDescent="0.4">
      <c r="B275" s="609">
        <f t="shared" si="5"/>
        <v>2049</v>
      </c>
      <c r="C275" s="615">
        <v>266.97155489109565</v>
      </c>
      <c r="E275" s="1224">
        <f t="shared" si="6"/>
        <v>0</v>
      </c>
      <c r="G275" s="1224">
        <f t="shared" si="7"/>
        <v>0</v>
      </c>
      <c r="I275" s="615">
        <v>266.97155489109565</v>
      </c>
      <c r="K275" s="1224">
        <f t="shared" si="8"/>
        <v>0</v>
      </c>
      <c r="M275" s="1224">
        <f t="shared" si="9"/>
        <v>0</v>
      </c>
    </row>
    <row r="276" spans="2:13" x14ac:dyDescent="0.4">
      <c r="B276" s="609">
        <f t="shared" si="5"/>
        <v>2050</v>
      </c>
      <c r="C276" s="615">
        <v>242.05962846276111</v>
      </c>
      <c r="E276" s="1224">
        <f t="shared" si="6"/>
        <v>0</v>
      </c>
      <c r="G276" s="1224">
        <f t="shared" si="7"/>
        <v>0</v>
      </c>
      <c r="I276" s="615">
        <v>242.05962846276111</v>
      </c>
      <c r="K276" s="1224">
        <f t="shared" si="8"/>
        <v>0</v>
      </c>
      <c r="M276" s="1224">
        <f t="shared" si="9"/>
        <v>0</v>
      </c>
    </row>
    <row r="277" spans="2:13" x14ac:dyDescent="0.4">
      <c r="B277" s="609">
        <f t="shared" si="5"/>
        <v>2051</v>
      </c>
      <c r="C277" s="615">
        <v>230.40065555346803</v>
      </c>
      <c r="E277" s="1224">
        <f t="shared" si="6"/>
        <v>0</v>
      </c>
      <c r="G277" s="1224">
        <f t="shared" si="7"/>
        <v>0</v>
      </c>
      <c r="I277" s="615">
        <v>230.40065555346803</v>
      </c>
      <c r="K277" s="1224">
        <f t="shared" si="8"/>
        <v>0</v>
      </c>
      <c r="M277" s="1224">
        <f t="shared" si="9"/>
        <v>0</v>
      </c>
    </row>
    <row r="278" spans="2:13" x14ac:dyDescent="0.4">
      <c r="B278" s="609">
        <f t="shared" si="5"/>
        <v>2052</v>
      </c>
      <c r="C278" s="615">
        <v>217.46656765114241</v>
      </c>
      <c r="E278" s="1224">
        <f t="shared" si="6"/>
        <v>0</v>
      </c>
      <c r="G278" s="1224">
        <f t="shared" si="7"/>
        <v>0</v>
      </c>
      <c r="I278" s="615">
        <v>217.46656765114241</v>
      </c>
      <c r="K278" s="1224">
        <f t="shared" si="8"/>
        <v>0</v>
      </c>
      <c r="M278" s="1224">
        <f t="shared" si="9"/>
        <v>0</v>
      </c>
    </row>
    <row r="279" spans="2:13" x14ac:dyDescent="0.4">
      <c r="B279" s="609">
        <f t="shared" si="5"/>
        <v>2053</v>
      </c>
      <c r="C279" s="615">
        <v>203.80368778176359</v>
      </c>
      <c r="E279" s="1224">
        <f t="shared" si="6"/>
        <v>0</v>
      </c>
      <c r="G279" s="1224">
        <f t="shared" si="7"/>
        <v>0</v>
      </c>
      <c r="I279" s="615">
        <v>203.80368778176359</v>
      </c>
      <c r="K279" s="1224">
        <f t="shared" si="8"/>
        <v>0</v>
      </c>
      <c r="M279" s="1224">
        <f t="shared" si="9"/>
        <v>0</v>
      </c>
    </row>
    <row r="280" spans="2:13" x14ac:dyDescent="0.4">
      <c r="B280" s="609">
        <f t="shared" si="5"/>
        <v>2054</v>
      </c>
      <c r="C280" s="615">
        <v>189.41831551685709</v>
      </c>
      <c r="E280" s="1224">
        <f t="shared" si="6"/>
        <v>0</v>
      </c>
      <c r="G280" s="1224">
        <f t="shared" si="7"/>
        <v>0</v>
      </c>
      <c r="I280" s="615">
        <v>189.41831551685709</v>
      </c>
      <c r="K280" s="1224">
        <f t="shared" si="8"/>
        <v>0</v>
      </c>
      <c r="M280" s="1224">
        <f t="shared" si="9"/>
        <v>0</v>
      </c>
    </row>
    <row r="281" spans="2:13" x14ac:dyDescent="0.4">
      <c r="B281" s="609">
        <f t="shared" si="5"/>
        <v>2055</v>
      </c>
      <c r="C281" s="615">
        <v>188.14581655880878</v>
      </c>
      <c r="E281" s="1224">
        <f t="shared" si="6"/>
        <v>0</v>
      </c>
      <c r="G281" s="1224">
        <f t="shared" si="7"/>
        <v>0</v>
      </c>
      <c r="I281" s="615">
        <v>188.14581655880878</v>
      </c>
      <c r="K281" s="1224">
        <f t="shared" si="8"/>
        <v>0</v>
      </c>
      <c r="M281" s="1224">
        <f t="shared" si="9"/>
        <v>0</v>
      </c>
    </row>
    <row r="282" spans="2:13" x14ac:dyDescent="0.4">
      <c r="B282" s="609">
        <f t="shared" si="5"/>
        <v>2056</v>
      </c>
      <c r="C282" s="615">
        <v>190.28816875683626</v>
      </c>
      <c r="E282" s="1224">
        <f t="shared" si="6"/>
        <v>0</v>
      </c>
      <c r="G282" s="1224">
        <f t="shared" si="7"/>
        <v>0</v>
      </c>
      <c r="I282" s="615">
        <v>190.28816875683626</v>
      </c>
      <c r="K282" s="1224">
        <f t="shared" si="8"/>
        <v>0</v>
      </c>
      <c r="M282" s="1224">
        <f t="shared" si="9"/>
        <v>0</v>
      </c>
    </row>
    <row r="283" spans="2:13" x14ac:dyDescent="0.4">
      <c r="B283" s="609">
        <f t="shared" si="5"/>
        <v>2057</v>
      </c>
      <c r="C283" s="615">
        <v>189.97689610643425</v>
      </c>
      <c r="E283" s="1224">
        <f t="shared" si="6"/>
        <v>0</v>
      </c>
      <c r="G283" s="1224">
        <f t="shared" si="7"/>
        <v>0</v>
      </c>
      <c r="I283" s="615">
        <v>189.97689610643425</v>
      </c>
      <c r="K283" s="1224">
        <f t="shared" si="8"/>
        <v>0</v>
      </c>
      <c r="M283" s="1224">
        <f t="shared" si="9"/>
        <v>0</v>
      </c>
    </row>
    <row r="284" spans="2:13" x14ac:dyDescent="0.4">
      <c r="B284" s="609">
        <f t="shared" si="5"/>
        <v>2058</v>
      </c>
      <c r="C284" s="615">
        <v>191.82066970685258</v>
      </c>
      <c r="E284" s="1224">
        <f t="shared" si="6"/>
        <v>0</v>
      </c>
      <c r="G284" s="1224">
        <f t="shared" si="7"/>
        <v>0</v>
      </c>
      <c r="I284" s="615">
        <v>191.82066970685258</v>
      </c>
      <c r="K284" s="1224">
        <f t="shared" si="8"/>
        <v>0</v>
      </c>
      <c r="M284" s="1224">
        <f t="shared" si="9"/>
        <v>0</v>
      </c>
    </row>
    <row r="285" spans="2:13" x14ac:dyDescent="0.4">
      <c r="B285" s="609">
        <f t="shared" si="5"/>
        <v>2059</v>
      </c>
      <c r="C285" s="615">
        <v>195.06078515801275</v>
      </c>
      <c r="E285" s="1224">
        <f t="shared" si="6"/>
        <v>0</v>
      </c>
      <c r="G285" s="1224">
        <f t="shared" si="7"/>
        <v>0</v>
      </c>
      <c r="I285" s="615">
        <v>195.06078515801275</v>
      </c>
      <c r="K285" s="1224">
        <f t="shared" si="8"/>
        <v>0</v>
      </c>
      <c r="M285" s="1224">
        <f t="shared" si="9"/>
        <v>0</v>
      </c>
    </row>
    <row r="286" spans="2:13" x14ac:dyDescent="0.4">
      <c r="B286" s="609">
        <f t="shared" si="5"/>
        <v>2060</v>
      </c>
      <c r="C286" s="615">
        <v>198.25649025518084</v>
      </c>
      <c r="E286" s="1224">
        <f t="shared" si="6"/>
        <v>0</v>
      </c>
      <c r="G286" s="1224">
        <f t="shared" si="7"/>
        <v>0</v>
      </c>
      <c r="I286" s="615">
        <v>198.25649025518084</v>
      </c>
      <c r="K286" s="1224">
        <f t="shared" si="8"/>
        <v>0</v>
      </c>
      <c r="M286" s="1224">
        <f t="shared" si="9"/>
        <v>0</v>
      </c>
    </row>
    <row r="287" spans="2:13" x14ac:dyDescent="0.4">
      <c r="C287" s="1"/>
      <c r="E287" s="1"/>
      <c r="G287" s="1"/>
      <c r="I287" s="1"/>
      <c r="K287" s="1"/>
      <c r="M287" s="1"/>
    </row>
    <row r="288" spans="2:13" x14ac:dyDescent="0.4">
      <c r="B288" s="1" t="s">
        <v>424</v>
      </c>
      <c r="C288" s="1256" t="s">
        <v>420</v>
      </c>
      <c r="E288" s="1256" t="s">
        <v>420</v>
      </c>
      <c r="G288" s="1256" t="s">
        <v>1129</v>
      </c>
      <c r="I288" s="1256" t="s">
        <v>1129</v>
      </c>
      <c r="K288" s="1256" t="s">
        <v>420</v>
      </c>
      <c r="M288" s="1256" t="s">
        <v>1129</v>
      </c>
    </row>
    <row r="289" spans="1:13" x14ac:dyDescent="0.4">
      <c r="C289" s="1256" t="s">
        <v>402</v>
      </c>
      <c r="D289" s="1256" t="s">
        <v>422</v>
      </c>
      <c r="E289" s="1256" t="s">
        <v>423</v>
      </c>
      <c r="F289" s="1256" t="s">
        <v>431</v>
      </c>
      <c r="G289" s="1256" t="s">
        <v>423</v>
      </c>
      <c r="H289" s="1257" t="s">
        <v>426</v>
      </c>
      <c r="I289" s="1256" t="s">
        <v>402</v>
      </c>
      <c r="J289" s="1256" t="s">
        <v>422</v>
      </c>
      <c r="K289" s="1256" t="s">
        <v>423</v>
      </c>
      <c r="L289" s="1256" t="s">
        <v>425</v>
      </c>
      <c r="M289" s="1256" t="s">
        <v>423</v>
      </c>
    </row>
    <row r="290" spans="1:13" x14ac:dyDescent="0.4">
      <c r="B290" s="609">
        <f>B240</f>
        <v>2014</v>
      </c>
      <c r="C290" s="615">
        <v>76.323108000000005</v>
      </c>
      <c r="E290" s="1224">
        <f>E126</f>
        <v>23.802159959999997</v>
      </c>
      <c r="G290" s="1224">
        <f>I126</f>
        <v>23.802159959999997</v>
      </c>
      <c r="I290" s="615">
        <v>76.323108000000005</v>
      </c>
      <c r="K290" s="1224">
        <f>N126</f>
        <v>23.802159959999997</v>
      </c>
      <c r="M290" s="1224">
        <f>R126</f>
        <v>23.802159959999997</v>
      </c>
    </row>
    <row r="291" spans="1:13" x14ac:dyDescent="0.4">
      <c r="B291" s="609">
        <f t="shared" ref="B291:B336" si="10">B241</f>
        <v>2015</v>
      </c>
      <c r="C291" s="615">
        <v>95.126850763608076</v>
      </c>
      <c r="E291" s="1224">
        <f t="shared" ref="E291:E336" si="11">E127</f>
        <v>20.704508545199335</v>
      </c>
      <c r="G291" s="1224">
        <f t="shared" ref="G291:G336" si="12">I127</f>
        <v>25.038474106585277</v>
      </c>
      <c r="I291" s="615">
        <v>90.468543682682949</v>
      </c>
      <c r="K291" s="1224">
        <f t="shared" ref="K291:K336" si="13">N127</f>
        <v>20.704508545199335</v>
      </c>
      <c r="M291" s="1224">
        <f t="shared" ref="M291:M336" si="14">R127</f>
        <v>25.038474106585277</v>
      </c>
    </row>
    <row r="292" spans="1:13" x14ac:dyDescent="0.4">
      <c r="B292" s="609">
        <f t="shared" si="10"/>
        <v>2016</v>
      </c>
      <c r="C292" s="615">
        <v>104.10673908737702</v>
      </c>
      <c r="E292" s="1224">
        <f t="shared" si="11"/>
        <v>25.947379190707494</v>
      </c>
      <c r="G292" s="1224">
        <f t="shared" si="12"/>
        <v>27.53206836991609</v>
      </c>
      <c r="I292" s="615">
        <v>96.773070133856805</v>
      </c>
      <c r="K292" s="1224">
        <f t="shared" si="13"/>
        <v>25.947379190707494</v>
      </c>
      <c r="M292" s="1224">
        <f t="shared" si="14"/>
        <v>27.53206836991609</v>
      </c>
    </row>
    <row r="293" spans="1:13" x14ac:dyDescent="0.4">
      <c r="B293" s="609">
        <f t="shared" si="10"/>
        <v>2017</v>
      </c>
      <c r="C293" s="615">
        <v>113.92456904350291</v>
      </c>
      <c r="E293" s="1224">
        <f t="shared" si="11"/>
        <v>31.115145406136513</v>
      </c>
      <c r="G293" s="1224">
        <f t="shared" si="12"/>
        <v>30.0084551804391</v>
      </c>
      <c r="I293" s="615">
        <v>103.21905106707962</v>
      </c>
      <c r="K293" s="1224">
        <f t="shared" si="13"/>
        <v>31.115145406136513</v>
      </c>
      <c r="M293" s="1224">
        <f t="shared" si="14"/>
        <v>30.0084551804391</v>
      </c>
    </row>
    <row r="294" spans="1:13" ht="17.7" x14ac:dyDescent="0.6">
      <c r="A294" s="620" t="s">
        <v>408</v>
      </c>
      <c r="B294" s="609">
        <f t="shared" si="10"/>
        <v>2018</v>
      </c>
      <c r="C294" s="615">
        <v>124.61325079275493</v>
      </c>
      <c r="E294" s="1224">
        <f t="shared" si="11"/>
        <v>36.207807191486388</v>
      </c>
      <c r="G294" s="1224">
        <f t="shared" si="12"/>
        <v>32.467634538154307</v>
      </c>
      <c r="I294" s="615">
        <v>109.87265701117691</v>
      </c>
      <c r="K294" s="1224">
        <f t="shared" si="13"/>
        <v>36.207807191486388</v>
      </c>
      <c r="M294" s="1224">
        <f t="shared" si="14"/>
        <v>32.467634538154307</v>
      </c>
    </row>
    <row r="295" spans="1:13" x14ac:dyDescent="0.4">
      <c r="A295" s="609" t="s">
        <v>421</v>
      </c>
      <c r="B295" s="609">
        <f t="shared" si="10"/>
        <v>2019</v>
      </c>
      <c r="C295" s="615">
        <v>138.03623735543928</v>
      </c>
      <c r="E295" s="1224">
        <f t="shared" si="11"/>
        <v>41.225364546757135</v>
      </c>
      <c r="G295" s="1224">
        <f t="shared" si="12"/>
        <v>34.909606443061712</v>
      </c>
      <c r="I295" s="615">
        <v>118.36232345982502</v>
      </c>
      <c r="K295" s="1224">
        <f t="shared" si="13"/>
        <v>41.225364546757135</v>
      </c>
      <c r="M295" s="1224">
        <f t="shared" si="14"/>
        <v>34.909606443061712</v>
      </c>
    </row>
    <row r="296" spans="1:13" x14ac:dyDescent="0.4">
      <c r="B296" s="609">
        <f t="shared" si="10"/>
        <v>2020</v>
      </c>
      <c r="C296" s="615">
        <v>151.4800570502747</v>
      </c>
      <c r="E296" s="1224">
        <f t="shared" si="11"/>
        <v>46.167817471948737</v>
      </c>
      <c r="G296" s="1224">
        <f t="shared" si="12"/>
        <v>37.334370895161314</v>
      </c>
      <c r="I296" s="615">
        <v>126.32003636257211</v>
      </c>
      <c r="K296" s="1224">
        <f t="shared" si="13"/>
        <v>46.167817471948737</v>
      </c>
      <c r="M296" s="1224">
        <f t="shared" si="14"/>
        <v>37.334370895161314</v>
      </c>
    </row>
    <row r="297" spans="1:13" x14ac:dyDescent="0.4">
      <c r="B297" s="609">
        <f t="shared" si="10"/>
        <v>2021</v>
      </c>
      <c r="C297" s="615">
        <v>165.98786697478533</v>
      </c>
      <c r="E297" s="1224">
        <f t="shared" si="11"/>
        <v>51.035165967061204</v>
      </c>
      <c r="G297" s="1224">
        <f t="shared" si="12"/>
        <v>39.741927894453099</v>
      </c>
      <c r="I297" s="615">
        <v>134.67850784140558</v>
      </c>
      <c r="K297" s="1224">
        <f t="shared" si="13"/>
        <v>51.035165967061204</v>
      </c>
      <c r="M297" s="1224">
        <f t="shared" si="14"/>
        <v>39.741927894453099</v>
      </c>
    </row>
    <row r="298" spans="1:13" x14ac:dyDescent="0.4">
      <c r="B298" s="609">
        <f t="shared" si="10"/>
        <v>2022</v>
      </c>
      <c r="C298" s="615">
        <v>181.5958481075229</v>
      </c>
      <c r="E298" s="1224">
        <f t="shared" si="11"/>
        <v>55.827410032094534</v>
      </c>
      <c r="G298" s="1224">
        <f t="shared" si="12"/>
        <v>42.132277440937102</v>
      </c>
      <c r="I298" s="615">
        <v>143.47854868627067</v>
      </c>
      <c r="K298" s="1224">
        <f t="shared" si="13"/>
        <v>55.827410032094534</v>
      </c>
      <c r="M298" s="1224">
        <f t="shared" si="14"/>
        <v>42.132277440937102</v>
      </c>
    </row>
    <row r="299" spans="1:13" x14ac:dyDescent="0.4">
      <c r="B299" s="609">
        <f t="shared" si="10"/>
        <v>2023</v>
      </c>
      <c r="C299" s="615">
        <v>198.37033389336307</v>
      </c>
      <c r="E299" s="1224">
        <f t="shared" si="11"/>
        <v>60.544549667048727</v>
      </c>
      <c r="G299" s="1224">
        <f t="shared" si="12"/>
        <v>44.505419534613289</v>
      </c>
      <c r="I299" s="615">
        <v>152.78111225945042</v>
      </c>
      <c r="K299" s="1224">
        <f t="shared" si="13"/>
        <v>60.544549667048727</v>
      </c>
      <c r="M299" s="1224">
        <f t="shared" si="14"/>
        <v>44.505419534613289</v>
      </c>
    </row>
    <row r="300" spans="1:13" x14ac:dyDescent="0.4">
      <c r="B300" s="609">
        <f t="shared" si="10"/>
        <v>2024</v>
      </c>
      <c r="C300" s="615">
        <v>216.4886285497592</v>
      </c>
      <c r="E300" s="1224">
        <f t="shared" si="11"/>
        <v>65.18658487192377</v>
      </c>
      <c r="G300" s="1224">
        <f t="shared" si="12"/>
        <v>46.861354175481672</v>
      </c>
      <c r="I300" s="615">
        <v>162.72615874351595</v>
      </c>
      <c r="K300" s="1224">
        <f t="shared" si="13"/>
        <v>65.18658487192377</v>
      </c>
      <c r="M300" s="1224">
        <f t="shared" si="14"/>
        <v>46.861354175481672</v>
      </c>
    </row>
    <row r="301" spans="1:13" x14ac:dyDescent="0.4">
      <c r="B301" s="609">
        <f t="shared" si="10"/>
        <v>2025</v>
      </c>
      <c r="C301" s="615">
        <v>236.05467074183915</v>
      </c>
      <c r="E301" s="1224">
        <f t="shared" si="11"/>
        <v>69.753515646719706</v>
      </c>
      <c r="G301" s="1224">
        <f t="shared" si="12"/>
        <v>49.200081363542253</v>
      </c>
      <c r="I301" s="615">
        <v>173.38897384788089</v>
      </c>
      <c r="K301" s="1224">
        <f t="shared" si="13"/>
        <v>69.753515646719706</v>
      </c>
      <c r="M301" s="1224">
        <f t="shared" si="14"/>
        <v>49.200081363542253</v>
      </c>
    </row>
    <row r="302" spans="1:13" x14ac:dyDescent="0.4">
      <c r="B302" s="609">
        <f t="shared" si="10"/>
        <v>2026</v>
      </c>
      <c r="C302" s="615">
        <v>256.83821216542003</v>
      </c>
      <c r="E302" s="1224">
        <f t="shared" si="11"/>
        <v>74.24534199143649</v>
      </c>
      <c r="G302" s="1224">
        <f t="shared" si="12"/>
        <v>51.521601098795031</v>
      </c>
      <c r="I302" s="615">
        <v>184.60108241824662</v>
      </c>
      <c r="K302" s="1224">
        <f t="shared" si="13"/>
        <v>74.24534199143649</v>
      </c>
      <c r="M302" s="1224">
        <f t="shared" si="14"/>
        <v>51.521601098795031</v>
      </c>
    </row>
    <row r="303" spans="1:13" x14ac:dyDescent="0.4">
      <c r="B303" s="609">
        <f t="shared" si="10"/>
        <v>2027</v>
      </c>
      <c r="C303" s="615">
        <v>278.85789167126512</v>
      </c>
      <c r="E303" s="1224">
        <f t="shared" si="11"/>
        <v>71.805700797879695</v>
      </c>
      <c r="G303" s="1224">
        <f t="shared" si="12"/>
        <v>53.825913381240007</v>
      </c>
      <c r="I303" s="615">
        <v>196.38646865496543</v>
      </c>
      <c r="K303" s="1224">
        <f t="shared" si="13"/>
        <v>78.66206390607411</v>
      </c>
      <c r="M303" s="1224">
        <f t="shared" si="14"/>
        <v>53.825913381240007</v>
      </c>
    </row>
    <row r="304" spans="1:13" x14ac:dyDescent="0.4">
      <c r="B304" s="609">
        <f t="shared" si="10"/>
        <v>2028</v>
      </c>
      <c r="C304" s="615">
        <v>301.6803092866175</v>
      </c>
      <c r="E304" s="1224">
        <f t="shared" si="11"/>
        <v>58.730460249175501</v>
      </c>
      <c r="G304" s="1224">
        <f t="shared" si="12"/>
        <v>56.113018210877172</v>
      </c>
      <c r="I304" s="615">
        <v>208.45781707076566</v>
      </c>
      <c r="K304" s="1224">
        <f t="shared" si="13"/>
        <v>83.003681390632622</v>
      </c>
      <c r="M304" s="1224">
        <f t="shared" si="14"/>
        <v>56.113018210877172</v>
      </c>
    </row>
    <row r="305" spans="2:13" x14ac:dyDescent="0.4">
      <c r="B305" s="609">
        <f t="shared" si="10"/>
        <v>2029</v>
      </c>
      <c r="C305" s="615">
        <v>326.28913131416374</v>
      </c>
      <c r="E305" s="1224">
        <f t="shared" si="11"/>
        <v>44.801544376514869</v>
      </c>
      <c r="G305" s="1224">
        <f t="shared" si="12"/>
        <v>44.801544376514869</v>
      </c>
      <c r="I305" s="615">
        <v>221.51303668780491</v>
      </c>
      <c r="K305" s="1224">
        <f t="shared" si="13"/>
        <v>77.15579283629495</v>
      </c>
      <c r="M305" s="1224">
        <f t="shared" si="14"/>
        <v>58.382915587706542</v>
      </c>
    </row>
    <row r="306" spans="2:13" x14ac:dyDescent="0.4">
      <c r="B306" s="609">
        <f t="shared" si="10"/>
        <v>2030</v>
      </c>
      <c r="C306" s="615">
        <v>352.46821263202452</v>
      </c>
      <c r="E306" s="1224">
        <f t="shared" si="11"/>
        <v>30.761229192975836</v>
      </c>
      <c r="G306" s="1224">
        <f t="shared" si="12"/>
        <v>30.761229192975836</v>
      </c>
      <c r="I306" s="615">
        <v>235.40480666616307</v>
      </c>
      <c r="K306" s="1224">
        <f t="shared" si="13"/>
        <v>66.104549694214356</v>
      </c>
      <c r="M306" s="1224">
        <f t="shared" si="14"/>
        <v>60.635605511728109</v>
      </c>
    </row>
    <row r="307" spans="2:13" x14ac:dyDescent="0.4">
      <c r="B307" s="609">
        <f t="shared" si="10"/>
        <v>2031</v>
      </c>
      <c r="C307" s="615">
        <v>381.3864389831781</v>
      </c>
      <c r="E307" s="1224">
        <f t="shared" si="11"/>
        <v>14.965691303252669</v>
      </c>
      <c r="G307" s="1224">
        <f t="shared" si="12"/>
        <v>14.965691303252669</v>
      </c>
      <c r="I307" s="615">
        <v>250.91146908500048</v>
      </c>
      <c r="K307" s="1224">
        <f t="shared" si="13"/>
        <v>53.319720002146894</v>
      </c>
      <c r="M307" s="1224">
        <f t="shared" si="14"/>
        <v>53.319720002146894</v>
      </c>
    </row>
    <row r="308" spans="2:13" x14ac:dyDescent="0.4">
      <c r="B308" s="609">
        <f t="shared" si="10"/>
        <v>2032</v>
      </c>
      <c r="C308" s="615">
        <v>409.60586626999589</v>
      </c>
      <c r="E308" s="1224">
        <f t="shared" si="11"/>
        <v>0</v>
      </c>
      <c r="G308" s="1224">
        <f t="shared" si="12"/>
        <v>0</v>
      </c>
      <c r="I308" s="615">
        <v>267.8643299803731</v>
      </c>
      <c r="K308" s="1224">
        <f t="shared" si="13"/>
        <v>40.459302353774746</v>
      </c>
      <c r="M308" s="1224">
        <f t="shared" si="14"/>
        <v>40.459302353774746</v>
      </c>
    </row>
    <row r="309" spans="2:13" x14ac:dyDescent="0.4">
      <c r="B309" s="609">
        <f t="shared" si="10"/>
        <v>2033</v>
      </c>
      <c r="C309" s="615">
        <v>385.55054605734347</v>
      </c>
      <c r="E309" s="1224">
        <f t="shared" si="11"/>
        <v>0</v>
      </c>
      <c r="G309" s="1224">
        <f t="shared" si="12"/>
        <v>0</v>
      </c>
      <c r="I309" s="615">
        <v>286.74182829982715</v>
      </c>
      <c r="K309" s="1224">
        <f t="shared" si="13"/>
        <v>27.282918816155867</v>
      </c>
      <c r="M309" s="1224">
        <f t="shared" si="14"/>
        <v>27.282918816155867</v>
      </c>
    </row>
    <row r="310" spans="2:13" x14ac:dyDescent="0.4">
      <c r="B310" s="609">
        <f t="shared" si="10"/>
        <v>2034</v>
      </c>
      <c r="C310" s="615">
        <v>369.94989691182911</v>
      </c>
      <c r="E310" s="1224">
        <f t="shared" si="11"/>
        <v>0</v>
      </c>
      <c r="G310" s="1224">
        <f t="shared" si="12"/>
        <v>0</v>
      </c>
      <c r="I310" s="615">
        <v>299.25739495077931</v>
      </c>
      <c r="K310" s="1224">
        <f t="shared" si="13"/>
        <v>19.345224390575872</v>
      </c>
      <c r="M310" s="1224">
        <f t="shared" si="14"/>
        <v>19.345224390575872</v>
      </c>
    </row>
    <row r="311" spans="2:13" x14ac:dyDescent="0.4">
      <c r="B311" s="609">
        <f t="shared" si="10"/>
        <v>2035</v>
      </c>
      <c r="C311" s="615">
        <v>358.36175644416352</v>
      </c>
      <c r="E311" s="1224">
        <f t="shared" si="11"/>
        <v>0</v>
      </c>
      <c r="G311" s="1224">
        <f t="shared" si="12"/>
        <v>0</v>
      </c>
      <c r="I311" s="615">
        <v>306.95637961985994</v>
      </c>
      <c r="K311" s="1224">
        <f t="shared" si="13"/>
        <v>14.172951578956717</v>
      </c>
      <c r="M311" s="1224">
        <f t="shared" si="14"/>
        <v>14.172951578956717</v>
      </c>
    </row>
    <row r="312" spans="2:13" x14ac:dyDescent="0.4">
      <c r="B312" s="609">
        <f t="shared" si="10"/>
        <v>2036</v>
      </c>
      <c r="C312" s="615">
        <v>344.83734951777416</v>
      </c>
      <c r="E312" s="1224">
        <f t="shared" si="11"/>
        <v>0</v>
      </c>
      <c r="G312" s="1224">
        <f t="shared" si="12"/>
        <v>0</v>
      </c>
      <c r="I312" s="615">
        <v>314.21556069986599</v>
      </c>
      <c r="K312" s="1224">
        <f t="shared" si="13"/>
        <v>8.5144463493651159</v>
      </c>
      <c r="M312" s="1224">
        <f t="shared" si="14"/>
        <v>8.5144463493651159</v>
      </c>
    </row>
    <row r="313" spans="2:13" x14ac:dyDescent="0.4">
      <c r="B313" s="609">
        <f t="shared" si="10"/>
        <v>2037</v>
      </c>
      <c r="C313" s="615">
        <v>329.331892732661</v>
      </c>
      <c r="E313" s="1224">
        <f t="shared" si="11"/>
        <v>0</v>
      </c>
      <c r="G313" s="1224">
        <f t="shared" si="12"/>
        <v>0</v>
      </c>
      <c r="I313" s="615">
        <v>320.92722059883857</v>
      </c>
      <c r="K313" s="1224">
        <f t="shared" si="13"/>
        <v>2.3598932990016599</v>
      </c>
      <c r="M313" s="1224">
        <f t="shared" si="14"/>
        <v>2.3598932990016599</v>
      </c>
    </row>
    <row r="314" spans="2:13" x14ac:dyDescent="0.4">
      <c r="B314" s="609">
        <f t="shared" si="10"/>
        <v>2038</v>
      </c>
      <c r="C314" s="615">
        <v>311.68246412754161</v>
      </c>
      <c r="E314" s="1224">
        <f t="shared" si="11"/>
        <v>0</v>
      </c>
      <c r="G314" s="1224">
        <f t="shared" si="12"/>
        <v>0</v>
      </c>
      <c r="I314" s="615">
        <v>311.68246412754161</v>
      </c>
      <c r="K314" s="1224">
        <f t="shared" si="13"/>
        <v>0</v>
      </c>
      <c r="M314" s="1224">
        <f t="shared" si="14"/>
        <v>0</v>
      </c>
    </row>
    <row r="315" spans="2:13" x14ac:dyDescent="0.4">
      <c r="B315" s="609">
        <f t="shared" si="10"/>
        <v>2039</v>
      </c>
      <c r="C315" s="615">
        <v>291.74998240683072</v>
      </c>
      <c r="E315" s="1224">
        <f t="shared" si="11"/>
        <v>0</v>
      </c>
      <c r="G315" s="1224">
        <f t="shared" si="12"/>
        <v>0</v>
      </c>
      <c r="I315" s="615">
        <v>291.74998240683072</v>
      </c>
      <c r="K315" s="1224">
        <f t="shared" si="13"/>
        <v>0</v>
      </c>
      <c r="M315" s="1224">
        <f t="shared" si="14"/>
        <v>0</v>
      </c>
    </row>
    <row r="316" spans="2:13" x14ac:dyDescent="0.4">
      <c r="B316" s="609">
        <f t="shared" si="10"/>
        <v>2040</v>
      </c>
      <c r="C316" s="615">
        <v>268.68422894571353</v>
      </c>
      <c r="E316" s="1224">
        <f t="shared" si="11"/>
        <v>0</v>
      </c>
      <c r="G316" s="1224">
        <f t="shared" si="12"/>
        <v>0</v>
      </c>
      <c r="I316" s="615">
        <v>268.68422894571353</v>
      </c>
      <c r="K316" s="1224">
        <f t="shared" si="13"/>
        <v>0</v>
      </c>
      <c r="M316" s="1224">
        <f t="shared" si="14"/>
        <v>0</v>
      </c>
    </row>
    <row r="317" spans="2:13" x14ac:dyDescent="0.4">
      <c r="B317" s="609">
        <f t="shared" si="10"/>
        <v>2041</v>
      </c>
      <c r="C317" s="615">
        <v>244.44301543497892</v>
      </c>
      <c r="E317" s="1224">
        <f t="shared" si="11"/>
        <v>0</v>
      </c>
      <c r="G317" s="1224">
        <f t="shared" si="12"/>
        <v>0</v>
      </c>
      <c r="I317" s="615">
        <v>244.44301543497892</v>
      </c>
      <c r="K317" s="1224">
        <f t="shared" si="13"/>
        <v>0</v>
      </c>
      <c r="M317" s="1224">
        <f t="shared" si="14"/>
        <v>0</v>
      </c>
    </row>
    <row r="318" spans="2:13" x14ac:dyDescent="0.4">
      <c r="B318" s="609">
        <f t="shared" si="10"/>
        <v>2042</v>
      </c>
      <c r="C318" s="615">
        <v>216.55072876610569</v>
      </c>
      <c r="E318" s="1224">
        <f t="shared" si="11"/>
        <v>0</v>
      </c>
      <c r="G318" s="1224">
        <f t="shared" si="12"/>
        <v>0</v>
      </c>
      <c r="I318" s="615">
        <v>216.55072876610569</v>
      </c>
      <c r="K318" s="1224">
        <f t="shared" si="13"/>
        <v>0</v>
      </c>
      <c r="M318" s="1224">
        <f t="shared" si="14"/>
        <v>0</v>
      </c>
    </row>
    <row r="319" spans="2:13" x14ac:dyDescent="0.4">
      <c r="B319" s="609">
        <f t="shared" si="10"/>
        <v>2043</v>
      </c>
      <c r="C319" s="615">
        <v>185.80243839991016</v>
      </c>
      <c r="E319" s="1224">
        <f t="shared" si="11"/>
        <v>0</v>
      </c>
      <c r="G319" s="1224">
        <f t="shared" si="12"/>
        <v>0</v>
      </c>
      <c r="I319" s="615">
        <v>185.80243839991016</v>
      </c>
      <c r="K319" s="1224">
        <f t="shared" si="13"/>
        <v>0</v>
      </c>
      <c r="M319" s="1224">
        <f t="shared" si="14"/>
        <v>0</v>
      </c>
    </row>
    <row r="320" spans="2:13" x14ac:dyDescent="0.4">
      <c r="B320" s="609">
        <f t="shared" si="10"/>
        <v>2044</v>
      </c>
      <c r="C320" s="615">
        <v>152.04898507952416</v>
      </c>
      <c r="E320" s="1224">
        <f t="shared" si="11"/>
        <v>0</v>
      </c>
      <c r="G320" s="1224">
        <f t="shared" si="12"/>
        <v>0</v>
      </c>
      <c r="I320" s="615">
        <v>152.04898507952416</v>
      </c>
      <c r="K320" s="1224">
        <f t="shared" si="13"/>
        <v>0</v>
      </c>
      <c r="M320" s="1224">
        <f t="shared" si="14"/>
        <v>0</v>
      </c>
    </row>
    <row r="321" spans="2:13" x14ac:dyDescent="0.4">
      <c r="B321" s="609">
        <f t="shared" si="10"/>
        <v>2045</v>
      </c>
      <c r="C321" s="615">
        <v>115.15975122958996</v>
      </c>
      <c r="E321" s="1224">
        <f t="shared" si="11"/>
        <v>0</v>
      </c>
      <c r="G321" s="1224">
        <f t="shared" si="12"/>
        <v>0</v>
      </c>
      <c r="I321" s="615">
        <v>115.15975122958996</v>
      </c>
      <c r="K321" s="1224">
        <f t="shared" si="13"/>
        <v>0</v>
      </c>
      <c r="M321" s="1224">
        <f t="shared" si="14"/>
        <v>0</v>
      </c>
    </row>
    <row r="322" spans="2:13" x14ac:dyDescent="0.4">
      <c r="B322" s="609">
        <f t="shared" si="10"/>
        <v>2046</v>
      </c>
      <c r="C322" s="615">
        <v>97.982116708232581</v>
      </c>
      <c r="E322" s="1224">
        <f t="shared" si="11"/>
        <v>0</v>
      </c>
      <c r="G322" s="1224">
        <f t="shared" si="12"/>
        <v>0</v>
      </c>
      <c r="I322" s="615">
        <v>97.982116708232581</v>
      </c>
      <c r="K322" s="1224">
        <f t="shared" si="13"/>
        <v>0</v>
      </c>
      <c r="M322" s="1224">
        <f t="shared" si="14"/>
        <v>0</v>
      </c>
    </row>
    <row r="323" spans="2:13" x14ac:dyDescent="0.4">
      <c r="B323" s="609">
        <f t="shared" si="10"/>
        <v>2047</v>
      </c>
      <c r="C323" s="615">
        <v>97.973099631319656</v>
      </c>
      <c r="E323" s="1224">
        <f t="shared" si="11"/>
        <v>0</v>
      </c>
      <c r="G323" s="1224">
        <f t="shared" si="12"/>
        <v>0</v>
      </c>
      <c r="I323" s="615">
        <v>97.973099631319656</v>
      </c>
      <c r="K323" s="1224">
        <f t="shared" si="13"/>
        <v>0</v>
      </c>
      <c r="M323" s="1224">
        <f t="shared" si="14"/>
        <v>0</v>
      </c>
    </row>
    <row r="324" spans="2:13" x14ac:dyDescent="0.4">
      <c r="B324" s="609">
        <f t="shared" si="10"/>
        <v>2048</v>
      </c>
      <c r="C324" s="615">
        <v>97.797060701648292</v>
      </c>
      <c r="E324" s="1224">
        <f t="shared" si="11"/>
        <v>0</v>
      </c>
      <c r="G324" s="1224">
        <f t="shared" si="12"/>
        <v>0</v>
      </c>
      <c r="I324" s="615">
        <v>97.797060701648292</v>
      </c>
      <c r="K324" s="1224">
        <f t="shared" si="13"/>
        <v>0</v>
      </c>
      <c r="M324" s="1224">
        <f t="shared" si="14"/>
        <v>0</v>
      </c>
    </row>
    <row r="325" spans="2:13" x14ac:dyDescent="0.4">
      <c r="B325" s="609">
        <f t="shared" si="10"/>
        <v>2049</v>
      </c>
      <c r="C325" s="615">
        <v>97.453448961620069</v>
      </c>
      <c r="E325" s="1224">
        <f t="shared" si="11"/>
        <v>0</v>
      </c>
      <c r="G325" s="1224">
        <f t="shared" si="12"/>
        <v>0</v>
      </c>
      <c r="I325" s="615">
        <v>97.453448961620069</v>
      </c>
      <c r="K325" s="1224">
        <f t="shared" si="13"/>
        <v>0</v>
      </c>
      <c r="M325" s="1224">
        <f t="shared" si="14"/>
        <v>0</v>
      </c>
    </row>
    <row r="326" spans="2:13" x14ac:dyDescent="0.4">
      <c r="B326" s="609">
        <f t="shared" si="10"/>
        <v>2050</v>
      </c>
      <c r="C326" s="615">
        <v>96.860098862873613</v>
      </c>
      <c r="E326" s="1224">
        <f t="shared" si="11"/>
        <v>0</v>
      </c>
      <c r="G326" s="1224">
        <f t="shared" si="12"/>
        <v>0</v>
      </c>
      <c r="I326" s="615">
        <v>96.860098862873613</v>
      </c>
      <c r="K326" s="1224">
        <f t="shared" si="13"/>
        <v>0</v>
      </c>
      <c r="M326" s="1224">
        <f t="shared" si="14"/>
        <v>0</v>
      </c>
    </row>
    <row r="327" spans="2:13" x14ac:dyDescent="0.4">
      <c r="B327" s="609">
        <f t="shared" si="10"/>
        <v>2051</v>
      </c>
      <c r="C327" s="615">
        <v>96.261750516496164</v>
      </c>
      <c r="E327" s="1224">
        <f t="shared" si="11"/>
        <v>0</v>
      </c>
      <c r="G327" s="1224">
        <f t="shared" si="12"/>
        <v>0</v>
      </c>
      <c r="I327" s="615">
        <v>96.261750516496164</v>
      </c>
      <c r="K327" s="1224">
        <f t="shared" si="13"/>
        <v>0</v>
      </c>
      <c r="M327" s="1224">
        <f t="shared" si="14"/>
        <v>0</v>
      </c>
    </row>
    <row r="328" spans="2:13" x14ac:dyDescent="0.4">
      <c r="B328" s="609">
        <f t="shared" si="10"/>
        <v>2052</v>
      </c>
      <c r="C328" s="615">
        <v>95.412999986256665</v>
      </c>
      <c r="E328" s="1224">
        <f t="shared" si="11"/>
        <v>0</v>
      </c>
      <c r="G328" s="1224">
        <f t="shared" si="12"/>
        <v>0</v>
      </c>
      <c r="I328" s="615">
        <v>95.412999986256665</v>
      </c>
      <c r="K328" s="1224">
        <f t="shared" si="13"/>
        <v>0</v>
      </c>
      <c r="M328" s="1224">
        <f t="shared" si="14"/>
        <v>0</v>
      </c>
    </row>
    <row r="329" spans="2:13" x14ac:dyDescent="0.4">
      <c r="B329" s="609">
        <f t="shared" si="10"/>
        <v>2053</v>
      </c>
      <c r="C329" s="615">
        <v>94.395342929251072</v>
      </c>
      <c r="E329" s="1224">
        <f t="shared" si="11"/>
        <v>0</v>
      </c>
      <c r="G329" s="1224">
        <f t="shared" si="12"/>
        <v>0</v>
      </c>
      <c r="I329" s="615">
        <v>94.395342929251072</v>
      </c>
      <c r="K329" s="1224">
        <f t="shared" si="13"/>
        <v>0</v>
      </c>
      <c r="M329" s="1224">
        <f t="shared" si="14"/>
        <v>0</v>
      </c>
    </row>
    <row r="330" spans="2:13" x14ac:dyDescent="0.4">
      <c r="B330" s="609">
        <f t="shared" si="10"/>
        <v>2054</v>
      </c>
      <c r="C330" s="615">
        <v>93.208648323528067</v>
      </c>
      <c r="E330" s="1224">
        <f t="shared" si="11"/>
        <v>0</v>
      </c>
      <c r="G330" s="1224">
        <f t="shared" si="12"/>
        <v>0</v>
      </c>
      <c r="I330" s="615">
        <v>93.208648323528067</v>
      </c>
      <c r="K330" s="1224">
        <f t="shared" si="13"/>
        <v>0</v>
      </c>
      <c r="M330" s="1224">
        <f t="shared" si="14"/>
        <v>0</v>
      </c>
    </row>
    <row r="331" spans="2:13" x14ac:dyDescent="0.4">
      <c r="B331" s="609">
        <f t="shared" si="10"/>
        <v>2055</v>
      </c>
      <c r="C331" s="615">
        <v>91.852860265977469</v>
      </c>
      <c r="E331" s="1224">
        <f t="shared" si="11"/>
        <v>0</v>
      </c>
      <c r="G331" s="1224">
        <f t="shared" si="12"/>
        <v>0</v>
      </c>
      <c r="I331" s="615">
        <v>91.852860265977469</v>
      </c>
      <c r="K331" s="1224">
        <f t="shared" si="13"/>
        <v>0</v>
      </c>
      <c r="M331" s="1224">
        <f t="shared" si="14"/>
        <v>0</v>
      </c>
    </row>
    <row r="332" spans="2:13" x14ac:dyDescent="0.4">
      <c r="B332" s="609">
        <f t="shared" si="10"/>
        <v>2056</v>
      </c>
      <c r="C332" s="615">
        <v>90.327995196241787</v>
      </c>
      <c r="E332" s="1224">
        <f t="shared" si="11"/>
        <v>0</v>
      </c>
      <c r="G332" s="1224">
        <f t="shared" si="12"/>
        <v>0</v>
      </c>
      <c r="I332" s="615">
        <v>90.327995196241787</v>
      </c>
      <c r="K332" s="1224">
        <f t="shared" si="13"/>
        <v>0</v>
      </c>
      <c r="M332" s="1224">
        <f t="shared" si="14"/>
        <v>0</v>
      </c>
    </row>
    <row r="333" spans="2:13" x14ac:dyDescent="0.4">
      <c r="B333" s="609">
        <f t="shared" si="10"/>
        <v>2057</v>
      </c>
      <c r="C333" s="615">
        <v>88.634139220515237</v>
      </c>
      <c r="E333" s="1224">
        <f t="shared" si="11"/>
        <v>0</v>
      </c>
      <c r="G333" s="1224">
        <f t="shared" si="12"/>
        <v>0</v>
      </c>
      <c r="I333" s="615">
        <v>88.634139220515237</v>
      </c>
      <c r="K333" s="1224">
        <f t="shared" si="13"/>
        <v>0</v>
      </c>
      <c r="M333" s="1224">
        <f t="shared" si="14"/>
        <v>0</v>
      </c>
    </row>
    <row r="334" spans="2:13" x14ac:dyDescent="0.4">
      <c r="B334" s="609">
        <f t="shared" si="10"/>
        <v>2058</v>
      </c>
      <c r="C334" s="615">
        <v>85.280853891633527</v>
      </c>
      <c r="E334" s="1224">
        <f t="shared" si="11"/>
        <v>0</v>
      </c>
      <c r="G334" s="1224">
        <f t="shared" si="12"/>
        <v>0</v>
      </c>
      <c r="I334" s="615">
        <v>85.280853891633527</v>
      </c>
      <c r="K334" s="1224">
        <f t="shared" si="13"/>
        <v>0</v>
      </c>
      <c r="M334" s="1224">
        <f t="shared" si="14"/>
        <v>0</v>
      </c>
    </row>
    <row r="335" spans="2:13" x14ac:dyDescent="0.4">
      <c r="B335" s="609">
        <f t="shared" si="10"/>
        <v>2059</v>
      </c>
      <c r="C335" s="615">
        <v>81.454584168103452</v>
      </c>
      <c r="E335" s="1224">
        <f t="shared" si="11"/>
        <v>0</v>
      </c>
      <c r="G335" s="1224">
        <f t="shared" si="12"/>
        <v>0</v>
      </c>
      <c r="I335" s="615">
        <v>81.454584168103452</v>
      </c>
      <c r="K335" s="1224">
        <f t="shared" si="13"/>
        <v>0</v>
      </c>
      <c r="M335" s="1224">
        <f t="shared" si="14"/>
        <v>0</v>
      </c>
    </row>
    <row r="336" spans="2:13" x14ac:dyDescent="0.4">
      <c r="B336" s="609">
        <f t="shared" si="10"/>
        <v>2060</v>
      </c>
      <c r="C336" s="615">
        <v>79.282424231349083</v>
      </c>
      <c r="E336" s="1224">
        <f t="shared" si="11"/>
        <v>0</v>
      </c>
      <c r="G336" s="1224">
        <f t="shared" si="12"/>
        <v>0</v>
      </c>
      <c r="I336" s="615">
        <v>79.282424231349083</v>
      </c>
      <c r="K336" s="1224">
        <f t="shared" si="13"/>
        <v>0</v>
      </c>
      <c r="M336" s="1224">
        <f t="shared" si="14"/>
        <v>0</v>
      </c>
    </row>
    <row r="337" spans="1:13" x14ac:dyDescent="0.4">
      <c r="C337" s="1"/>
      <c r="E337" s="1"/>
      <c r="G337" s="1"/>
      <c r="I337" s="1"/>
      <c r="K337" s="1"/>
      <c r="M337" s="1"/>
    </row>
    <row r="348" spans="1:13" x14ac:dyDescent="0.4">
      <c r="C348" s="1"/>
      <c r="D348" s="1"/>
    </row>
    <row r="352" spans="1:13" ht="32.700000000000003" x14ac:dyDescent="1.05">
      <c r="A352" s="613"/>
    </row>
    <row r="355" spans="3:4" x14ac:dyDescent="0.4">
      <c r="C355" s="1"/>
      <c r="D355" s="1"/>
    </row>
    <row r="362" spans="3:4" x14ac:dyDescent="0.4">
      <c r="C362" s="1"/>
      <c r="D362" s="1"/>
    </row>
  </sheetData>
  <mergeCells count="10">
    <mergeCell ref="C124:E124"/>
    <mergeCell ref="G124:I124"/>
    <mergeCell ref="L124:N124"/>
    <mergeCell ref="P124:R124"/>
    <mergeCell ref="E9:G9"/>
    <mergeCell ref="K9:M9"/>
    <mergeCell ref="P9:R9"/>
    <mergeCell ref="E70:G70"/>
    <mergeCell ref="K70:M70"/>
    <mergeCell ref="Q70:S7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4:J154"/>
  <sheetViews>
    <sheetView topLeftCell="A131" zoomScale="97" zoomScaleNormal="97" workbookViewId="0">
      <selection activeCell="F108" sqref="F108:F154"/>
    </sheetView>
  </sheetViews>
  <sheetFormatPr defaultColWidth="10.6640625" defaultRowHeight="12.3" x14ac:dyDescent="0.4"/>
  <cols>
    <col min="4" max="4" width="15.5" customWidth="1"/>
    <col min="5" max="5" width="14.6640625" customWidth="1"/>
    <col min="6" max="6" width="17.33203125" customWidth="1"/>
  </cols>
  <sheetData>
    <row r="4" spans="1:10" x14ac:dyDescent="0.4">
      <c r="A4" t="s">
        <v>410</v>
      </c>
      <c r="C4" t="s">
        <v>412</v>
      </c>
      <c r="D4" s="611">
        <v>199042.70833333334</v>
      </c>
    </row>
    <row r="5" spans="1:10" x14ac:dyDescent="0.4">
      <c r="A5" t="s">
        <v>480</v>
      </c>
      <c r="B5" s="616" t="str">
        <f>'WTE Tonnes and Composition'!B65</f>
        <v>AMBITIOUS</v>
      </c>
    </row>
    <row r="6" spans="1:10" x14ac:dyDescent="0.4">
      <c r="A6" s="1" t="s">
        <v>387</v>
      </c>
      <c r="D6" s="1"/>
    </row>
    <row r="7" spans="1:10" ht="73.8" x14ac:dyDescent="0.4">
      <c r="B7" s="341" t="s">
        <v>411</v>
      </c>
      <c r="C7" s="341" t="s">
        <v>413</v>
      </c>
      <c r="D7" s="1216" t="s">
        <v>1106</v>
      </c>
      <c r="E7" s="341" t="s">
        <v>1107</v>
      </c>
      <c r="F7" s="340" t="s">
        <v>548</v>
      </c>
      <c r="H7" s="1216" t="s">
        <v>1123</v>
      </c>
      <c r="I7" s="341" t="s">
        <v>414</v>
      </c>
      <c r="J7" s="341" t="s">
        <v>1130</v>
      </c>
    </row>
    <row r="8" spans="1:10" x14ac:dyDescent="0.4">
      <c r="A8">
        <f>'MSW Integration Calcs PDS1 '!B113</f>
        <v>2014</v>
      </c>
      <c r="B8" s="1208">
        <f>'MSW Integration Calcs PDS1 '!AK113</f>
        <v>1086.7611689236269</v>
      </c>
      <c r="C8" s="1228">
        <f>B8*$D$4/10^6</f>
        <v>216.31188637405785</v>
      </c>
      <c r="D8" s="1208">
        <f>'WTE and LM Analysis'!O72</f>
        <v>23.802159959999997</v>
      </c>
      <c r="E8" s="1228">
        <f>IF((D8-$C8)&gt;0,(D8-$C8),0)</f>
        <v>0</v>
      </c>
      <c r="F8" s="1228">
        <f>MIN($C8,D8)</f>
        <v>23.802159959999997</v>
      </c>
      <c r="H8" s="1208">
        <f>'WTE and LM Analysis'!C72</f>
        <v>23.802159959999997</v>
      </c>
      <c r="I8" s="803">
        <f>IF((H8-$C8)&gt;0,(H8-$C8),0)</f>
        <v>0</v>
      </c>
      <c r="J8" s="1228">
        <f>MIN($C8,H8)</f>
        <v>23.802159959999997</v>
      </c>
    </row>
    <row r="9" spans="1:10" x14ac:dyDescent="0.4">
      <c r="A9" s="609">
        <f>'MSW Integration Calcs PDS1 '!B114</f>
        <v>2015</v>
      </c>
      <c r="B9" s="1208">
        <f>'MSW Integration Calcs PDS1 '!AK114</f>
        <v>1112.3042741982968</v>
      </c>
      <c r="C9" s="1228">
        <f t="shared" ref="C9:C54" si="0">B9*$D$4/10^6</f>
        <v>221.39605522717164</v>
      </c>
      <c r="D9" s="1208">
        <f>'WTE and LM Analysis'!O73</f>
        <v>25.0214508</v>
      </c>
      <c r="E9" s="1228">
        <f t="shared" ref="E9:E54" si="1">IF((D9-$C9)&gt;0,(D9-$C9),0)</f>
        <v>0</v>
      </c>
      <c r="F9" s="1228">
        <f t="shared" ref="F9:F54" si="2">MIN($C9,D9)</f>
        <v>25.0214508</v>
      </c>
      <c r="H9" s="1208">
        <f>'WTE and LM Analysis'!C73</f>
        <v>25.0214508</v>
      </c>
      <c r="I9" s="803">
        <f t="shared" ref="I9:I54" si="3">IF((H9-$C9)&gt;0,(H9-$C9),0)</f>
        <v>0</v>
      </c>
      <c r="J9" s="1228">
        <f t="shared" ref="J9:J54" si="4">MIN($C9,H9)</f>
        <v>25.0214508</v>
      </c>
    </row>
    <row r="10" spans="1:10" x14ac:dyDescent="0.4">
      <c r="A10" s="609">
        <f>'MSW Integration Calcs PDS1 '!B115</f>
        <v>2016</v>
      </c>
      <c r="B10" s="1208">
        <f>'MSW Integration Calcs PDS1 '!AK115</f>
        <v>1206.460259658764</v>
      </c>
      <c r="C10" s="1228">
        <f t="shared" si="0"/>
        <v>240.13711757901697</v>
      </c>
      <c r="D10" s="1208">
        <f>'WTE and LM Analysis'!O74</f>
        <v>26.016150960000001</v>
      </c>
      <c r="E10" s="1228">
        <f t="shared" si="1"/>
        <v>0</v>
      </c>
      <c r="F10" s="1228">
        <f t="shared" si="2"/>
        <v>26.016150960000001</v>
      </c>
      <c r="H10" s="1208">
        <f>'WTE and LM Analysis'!C74</f>
        <v>26.016150959999997</v>
      </c>
      <c r="I10" s="803">
        <f t="shared" si="3"/>
        <v>0</v>
      </c>
      <c r="J10" s="1228">
        <f t="shared" si="4"/>
        <v>26.016150959999997</v>
      </c>
    </row>
    <row r="11" spans="1:10" x14ac:dyDescent="0.4">
      <c r="A11" s="609">
        <f>'MSW Integration Calcs PDS1 '!B116</f>
        <v>2017</v>
      </c>
      <c r="B11" s="1208">
        <f>'MSW Integration Calcs PDS1 '!AK116</f>
        <v>1284.8154940976856</v>
      </c>
      <c r="C11" s="1228">
        <f t="shared" si="0"/>
        <v>255.73315565383322</v>
      </c>
      <c r="D11" s="1208">
        <f>'WTE and LM Analysis'!O75</f>
        <v>26.572987800000003</v>
      </c>
      <c r="E11" s="1228">
        <f t="shared" si="1"/>
        <v>0</v>
      </c>
      <c r="F11" s="1228">
        <f t="shared" si="2"/>
        <v>26.572987800000003</v>
      </c>
      <c r="H11" s="1208">
        <f>'WTE and LM Analysis'!C75</f>
        <v>26.572987800000003</v>
      </c>
      <c r="I11" s="803">
        <f t="shared" si="3"/>
        <v>0</v>
      </c>
      <c r="J11" s="1228">
        <f t="shared" si="4"/>
        <v>26.572987800000003</v>
      </c>
    </row>
    <row r="12" spans="1:10" x14ac:dyDescent="0.4">
      <c r="A12" s="609">
        <f>'MSW Integration Calcs PDS1 '!B117</f>
        <v>2018</v>
      </c>
      <c r="B12" s="1208">
        <f>'MSW Integration Calcs PDS1 '!AK117</f>
        <v>1305.4429833683839</v>
      </c>
      <c r="C12" s="1228">
        <f t="shared" si="0"/>
        <v>259.83890698438978</v>
      </c>
      <c r="D12" s="1208">
        <f>'WTE and LM Analysis'!O76</f>
        <v>26.887146552000008</v>
      </c>
      <c r="E12" s="1228">
        <f t="shared" si="1"/>
        <v>0</v>
      </c>
      <c r="F12" s="1228">
        <f t="shared" si="2"/>
        <v>26.887146552000008</v>
      </c>
      <c r="H12" s="1208">
        <f>'WTE and LM Analysis'!C76</f>
        <v>26.887146552000008</v>
      </c>
      <c r="I12" s="803">
        <f t="shared" si="3"/>
        <v>0</v>
      </c>
      <c r="J12" s="1228">
        <f t="shared" si="4"/>
        <v>26.887146552000008</v>
      </c>
    </row>
    <row r="13" spans="1:10" x14ac:dyDescent="0.4">
      <c r="A13" s="609">
        <f>'MSW Integration Calcs PDS1 '!B118</f>
        <v>2019</v>
      </c>
      <c r="B13" s="1208">
        <f>'MSW Integration Calcs PDS1 '!AK118</f>
        <v>1191.4474114005131</v>
      </c>
      <c r="C13" s="1228">
        <f t="shared" si="0"/>
        <v>237.14891960189735</v>
      </c>
      <c r="D13" s="1208">
        <f>'WTE and LM Analysis'!O77</f>
        <v>35.379666328291968</v>
      </c>
      <c r="E13" s="1228">
        <f t="shared" si="1"/>
        <v>0</v>
      </c>
      <c r="F13" s="1228">
        <f t="shared" si="2"/>
        <v>35.379666328291968</v>
      </c>
      <c r="H13" s="1208">
        <f>'WTE and LM Analysis'!C77</f>
        <v>38.983440300426977</v>
      </c>
      <c r="I13" s="803">
        <f t="shared" si="3"/>
        <v>0</v>
      </c>
      <c r="J13" s="1228">
        <f t="shared" si="4"/>
        <v>38.983440300426977</v>
      </c>
    </row>
    <row r="14" spans="1:10" x14ac:dyDescent="0.4">
      <c r="A14" s="609">
        <f>'MSW Integration Calcs PDS1 '!B119</f>
        <v>2020</v>
      </c>
      <c r="B14" s="1208">
        <f>'MSW Integration Calcs PDS1 '!AK119</f>
        <v>1141.4104313109044</v>
      </c>
      <c r="C14" s="1228">
        <f t="shared" si="0"/>
        <v>227.18942356804055</v>
      </c>
      <c r="D14" s="1208">
        <f>'WTE and LM Analysis'!O78</f>
        <v>37.779549996075865</v>
      </c>
      <c r="E14" s="1228">
        <f t="shared" si="1"/>
        <v>0</v>
      </c>
      <c r="F14" s="1228">
        <f t="shared" si="2"/>
        <v>37.779549996075865</v>
      </c>
      <c r="H14" s="1208">
        <f>'WTE and LM Analysis'!C78</f>
        <v>42.798705434678645</v>
      </c>
      <c r="I14" s="803">
        <f t="shared" si="3"/>
        <v>0</v>
      </c>
      <c r="J14" s="1228">
        <f t="shared" si="4"/>
        <v>42.798705434678645</v>
      </c>
    </row>
    <row r="15" spans="1:10" x14ac:dyDescent="0.4">
      <c r="A15" s="609">
        <f>'MSW Integration Calcs PDS1 '!B120</f>
        <v>2021</v>
      </c>
      <c r="B15" s="1208">
        <f>'MSW Integration Calcs PDS1 '!AK120</f>
        <v>1090.9691462299152</v>
      </c>
      <c r="C15" s="1228">
        <f t="shared" si="0"/>
        <v>217.14945357370669</v>
      </c>
      <c r="D15" s="1208">
        <f>'WTE and LM Analysis'!O79</f>
        <v>40.134486518956166</v>
      </c>
      <c r="E15" s="1228">
        <f t="shared" si="1"/>
        <v>0</v>
      </c>
      <c r="F15" s="1228">
        <f t="shared" si="2"/>
        <v>40.134486518956166</v>
      </c>
      <c r="H15" s="1208">
        <f>'WTE and LM Analysis'!C79</f>
        <v>46.736252265010435</v>
      </c>
      <c r="I15" s="803">
        <f t="shared" si="3"/>
        <v>0</v>
      </c>
      <c r="J15" s="1228">
        <f t="shared" si="4"/>
        <v>46.736252265010435</v>
      </c>
    </row>
    <row r="16" spans="1:10" x14ac:dyDescent="0.4">
      <c r="A16" s="609">
        <f>'MSW Integration Calcs PDS1 '!B121</f>
        <v>2022</v>
      </c>
      <c r="B16" s="1208">
        <f>'MSW Integration Calcs PDS1 '!AK121</f>
        <v>1038.9620738819326</v>
      </c>
      <c r="C16" s="1228">
        <f t="shared" si="0"/>
        <v>206.79782504107663</v>
      </c>
      <c r="D16" s="1208">
        <f>'WTE and LM Analysis'!O80</f>
        <v>42.467287212187713</v>
      </c>
      <c r="E16" s="1228">
        <f t="shared" si="1"/>
        <v>0</v>
      </c>
      <c r="F16" s="1228">
        <f t="shared" si="2"/>
        <v>42.467287212187713</v>
      </c>
      <c r="H16" s="1208">
        <f>'WTE and LM Analysis'!C80</f>
        <v>50.806377378688339</v>
      </c>
      <c r="I16" s="803">
        <f t="shared" si="3"/>
        <v>0</v>
      </c>
      <c r="J16" s="1228">
        <f t="shared" si="4"/>
        <v>50.806377378688339</v>
      </c>
    </row>
    <row r="17" spans="1:10" x14ac:dyDescent="0.4">
      <c r="A17" s="609">
        <f>'MSW Integration Calcs PDS1 '!B122</f>
        <v>2023</v>
      </c>
      <c r="B17" s="1208">
        <f>'MSW Integration Calcs PDS1 '!AK122</f>
        <v>985.69233961085547</v>
      </c>
      <c r="C17" s="1228">
        <f t="shared" si="0"/>
        <v>196.19487285956444</v>
      </c>
      <c r="D17" s="1208">
        <f>'WTE and LM Analysis'!O81</f>
        <v>44.777644097613653</v>
      </c>
      <c r="E17" s="1228">
        <f t="shared" si="1"/>
        <v>0</v>
      </c>
      <c r="F17" s="1228">
        <f t="shared" si="2"/>
        <v>44.777644097613653</v>
      </c>
      <c r="H17" s="1208">
        <f>'WTE and LM Analysis'!C81</f>
        <v>54.993820099953695</v>
      </c>
      <c r="I17" s="803">
        <f t="shared" si="3"/>
        <v>0</v>
      </c>
      <c r="J17" s="1228">
        <f t="shared" si="4"/>
        <v>54.993820099953695</v>
      </c>
    </row>
    <row r="18" spans="1:10" x14ac:dyDescent="0.4">
      <c r="A18" s="609">
        <f>'MSW Integration Calcs PDS1 '!B123</f>
        <v>2024</v>
      </c>
      <c r="B18" s="1208">
        <f>'MSW Integration Calcs PDS1 '!AK123</f>
        <v>931.15307177019599</v>
      </c>
      <c r="C18" s="1228">
        <f t="shared" si="0"/>
        <v>185.33922927804252</v>
      </c>
      <c r="D18" s="1208">
        <f>'WTE and LM Analysis'!O82</f>
        <v>47.064543134140642</v>
      </c>
      <c r="E18" s="1228">
        <f t="shared" si="1"/>
        <v>0</v>
      </c>
      <c r="F18" s="1228">
        <f t="shared" si="2"/>
        <v>47.064543134140642</v>
      </c>
      <c r="H18" s="1208">
        <f>'WTE and LM Analysis'!C82</f>
        <v>59.282446062561277</v>
      </c>
      <c r="I18" s="803">
        <f t="shared" si="3"/>
        <v>0</v>
      </c>
      <c r="J18" s="1228">
        <f t="shared" si="4"/>
        <v>59.282446062561277</v>
      </c>
    </row>
    <row r="19" spans="1:10" x14ac:dyDescent="0.4">
      <c r="A19" s="609">
        <f>'MSW Integration Calcs PDS1 '!B124</f>
        <v>2025</v>
      </c>
      <c r="B19" s="1208">
        <f>'MSW Integration Calcs PDS1 '!AK124</f>
        <v>875.56088514446651</v>
      </c>
      <c r="C19" s="1228">
        <f t="shared" si="0"/>
        <v>174.27400988988521</v>
      </c>
      <c r="D19" s="1208">
        <f>'WTE and LM Analysis'!O83</f>
        <v>49.327123690130321</v>
      </c>
      <c r="E19" s="1228">
        <f t="shared" si="1"/>
        <v>0</v>
      </c>
      <c r="F19" s="1228">
        <f t="shared" si="2"/>
        <v>49.327123690130321</v>
      </c>
      <c r="H19" s="1208">
        <f>'WTE and LM Analysis'!C83</f>
        <v>63.656241688118101</v>
      </c>
      <c r="I19" s="803">
        <f t="shared" si="3"/>
        <v>0</v>
      </c>
      <c r="J19" s="1228">
        <f t="shared" si="4"/>
        <v>63.656241688118101</v>
      </c>
    </row>
    <row r="20" spans="1:10" x14ac:dyDescent="0.4">
      <c r="A20" s="609">
        <f>'MSW Integration Calcs PDS1 '!B125</f>
        <v>2026</v>
      </c>
      <c r="B20" s="1208">
        <f>'MSW Integration Calcs PDS1 '!AK125</f>
        <v>825.31517020706974</v>
      </c>
      <c r="C20" s="1228">
        <f t="shared" si="0"/>
        <v>164.27296670660115</v>
      </c>
      <c r="D20" s="1208">
        <f>'WTE and LM Analysis'!O84</f>
        <v>51.565269208172893</v>
      </c>
      <c r="E20" s="1228">
        <f t="shared" si="1"/>
        <v>0</v>
      </c>
      <c r="F20" s="1228">
        <f t="shared" si="2"/>
        <v>51.565269208172893</v>
      </c>
      <c r="H20" s="1208">
        <f>'WTE and LM Analysis'!C84</f>
        <v>68.100112894931939</v>
      </c>
      <c r="I20" s="803">
        <f t="shared" si="3"/>
        <v>0</v>
      </c>
      <c r="J20" s="1228">
        <f t="shared" si="4"/>
        <v>68.100112894931939</v>
      </c>
    </row>
    <row r="21" spans="1:10" x14ac:dyDescent="0.4">
      <c r="A21" s="609">
        <f>'MSW Integration Calcs PDS1 '!B126</f>
        <v>2027</v>
      </c>
      <c r="B21" s="1208">
        <f>'MSW Integration Calcs PDS1 '!AK126</f>
        <v>777.02056959542267</v>
      </c>
      <c r="C21" s="1228">
        <f t="shared" si="0"/>
        <v>154.66027860298226</v>
      </c>
      <c r="D21" s="1208">
        <f>'WTE and LM Analysis'!O85</f>
        <v>53.779365719005682</v>
      </c>
      <c r="E21" s="1228">
        <f t="shared" si="1"/>
        <v>0</v>
      </c>
      <c r="F21" s="1228">
        <f t="shared" si="2"/>
        <v>53.779365719005682</v>
      </c>
      <c r="H21" s="1208">
        <f>'WTE and LM Analysis'!C85</f>
        <v>72.599686544155418</v>
      </c>
      <c r="I21" s="803">
        <f t="shared" si="3"/>
        <v>0</v>
      </c>
      <c r="J21" s="1228">
        <f t="shared" si="4"/>
        <v>72.599686544155418</v>
      </c>
    </row>
    <row r="22" spans="1:10" x14ac:dyDescent="0.4">
      <c r="A22" s="609">
        <f>'MSW Integration Calcs PDS1 '!B127</f>
        <v>2028</v>
      </c>
      <c r="B22" s="1208">
        <f>'MSW Integration Calcs PDS1 '!AK127</f>
        <v>724.04731802153526</v>
      </c>
      <c r="C22" s="1228">
        <f t="shared" si="0"/>
        <v>144.1163391404927</v>
      </c>
      <c r="D22" s="1208">
        <f>'WTE and LM Analysis'!O86</f>
        <v>55.969462539469063</v>
      </c>
      <c r="E22" s="1228">
        <f t="shared" si="1"/>
        <v>0</v>
      </c>
      <c r="F22" s="1228">
        <f t="shared" si="2"/>
        <v>55.969462539469063</v>
      </c>
      <c r="H22" s="1208">
        <f>'WTE and LM Analysis'!C86</f>
        <v>77.140250356915004</v>
      </c>
      <c r="I22" s="803">
        <f t="shared" si="3"/>
        <v>0</v>
      </c>
      <c r="J22" s="1228">
        <f t="shared" si="4"/>
        <v>77.140250356915004</v>
      </c>
    </row>
    <row r="23" spans="1:10" x14ac:dyDescent="0.4">
      <c r="A23" s="609">
        <f>'MSW Integration Calcs PDS1 '!B128</f>
        <v>2029</v>
      </c>
      <c r="B23" s="1208">
        <f>'MSW Integration Calcs PDS1 '!AK128</f>
        <v>677.89913724655628</v>
      </c>
      <c r="C23" s="1228">
        <f t="shared" si="0"/>
        <v>134.93088025438462</v>
      </c>
      <c r="D23" s="1208">
        <f>'WTE and LM Analysis'!O87</f>
        <v>58.135696878401376</v>
      </c>
      <c r="E23" s="1228">
        <f t="shared" si="1"/>
        <v>0</v>
      </c>
      <c r="F23" s="1228">
        <f t="shared" si="2"/>
        <v>58.135696878401376</v>
      </c>
      <c r="H23" s="1208">
        <f>'WTE and LM Analysis'!C87</f>
        <v>81.707294426274828</v>
      </c>
      <c r="I23" s="803">
        <f t="shared" si="3"/>
        <v>0</v>
      </c>
      <c r="J23" s="1228">
        <f t="shared" si="4"/>
        <v>81.707294426274828</v>
      </c>
    </row>
    <row r="24" spans="1:10" x14ac:dyDescent="0.4">
      <c r="A24" s="609">
        <f>'MSW Integration Calcs PDS1 '!B129</f>
        <v>2030</v>
      </c>
      <c r="B24" s="1208">
        <f>'MSW Integration Calcs PDS1 '!AK129</f>
        <v>629.77876440142381</v>
      </c>
      <c r="C24" s="1228">
        <f t="shared" si="0"/>
        <v>125.35287091727966</v>
      </c>
      <c r="D24" s="1208">
        <f>'WTE and LM Analysis'!O88</f>
        <v>60.27818525089446</v>
      </c>
      <c r="E24" s="1228">
        <f t="shared" si="1"/>
        <v>0</v>
      </c>
      <c r="F24" s="1228">
        <f t="shared" si="2"/>
        <v>60.27818525089446</v>
      </c>
      <c r="H24" s="1208">
        <f>'WTE and LM Analysis'!C88</f>
        <v>86.286367400519538</v>
      </c>
      <c r="I24" s="803">
        <f t="shared" si="3"/>
        <v>0</v>
      </c>
      <c r="J24" s="1228">
        <f t="shared" si="4"/>
        <v>86.286367400519538</v>
      </c>
    </row>
    <row r="25" spans="1:10" x14ac:dyDescent="0.4">
      <c r="A25" s="609">
        <f>'MSW Integration Calcs PDS1 '!B130</f>
        <v>2031</v>
      </c>
      <c r="B25" s="1208">
        <f>'MSW Integration Calcs PDS1 '!AK130</f>
        <v>577.48853766539946</v>
      </c>
      <c r="C25" s="1228">
        <f t="shared" si="0"/>
        <v>114.94488256837728</v>
      </c>
      <c r="D25" s="1208">
        <f>'WTE and LM Analysis'!O89</f>
        <v>62.396968005469226</v>
      </c>
      <c r="E25" s="1228">
        <f t="shared" si="1"/>
        <v>0</v>
      </c>
      <c r="F25" s="1228">
        <f t="shared" si="2"/>
        <v>62.396968005469226</v>
      </c>
      <c r="H25" s="1208">
        <f>'WTE and LM Analysis'!C89</f>
        <v>90.862998276895667</v>
      </c>
      <c r="I25" s="803">
        <f t="shared" si="3"/>
        <v>0</v>
      </c>
      <c r="J25" s="1228">
        <f t="shared" si="4"/>
        <v>90.862998276895667</v>
      </c>
    </row>
    <row r="26" spans="1:10" x14ac:dyDescent="0.4">
      <c r="A26" s="609">
        <f>'MSW Integration Calcs PDS1 '!B131</f>
        <v>2032</v>
      </c>
      <c r="B26" s="1208">
        <f>'MSW Integration Calcs PDS1 '!AK131</f>
        <v>526.70990200808239</v>
      </c>
      <c r="C26" s="1228">
        <f t="shared" si="0"/>
        <v>104.83776540167334</v>
      </c>
      <c r="D26" s="1208">
        <f>'WTE and LM Analysis'!O90</f>
        <v>64.492293701644826</v>
      </c>
      <c r="E26" s="1228">
        <f t="shared" si="1"/>
        <v>0</v>
      </c>
      <c r="F26" s="1228">
        <f t="shared" si="2"/>
        <v>64.492293701644826</v>
      </c>
      <c r="H26" s="1208">
        <f>'WTE and LM Analysis'!C90</f>
        <v>95.423100541453977</v>
      </c>
      <c r="I26" s="803">
        <f t="shared" si="3"/>
        <v>0</v>
      </c>
      <c r="J26" s="1228">
        <f t="shared" si="4"/>
        <v>95.423100541453977</v>
      </c>
    </row>
    <row r="27" spans="1:10" x14ac:dyDescent="0.4">
      <c r="A27" s="609">
        <f>'MSW Integration Calcs PDS1 '!B132</f>
        <v>2033</v>
      </c>
      <c r="B27" s="1208">
        <f>'MSW Integration Calcs PDS1 '!AK132</f>
        <v>475.7584512716287</v>
      </c>
      <c r="C27" s="1228">
        <f t="shared" si="0"/>
        <v>94.696250653577181</v>
      </c>
      <c r="D27" s="1208">
        <f>'WTE and LM Analysis'!O91</f>
        <v>66.56496996371942</v>
      </c>
      <c r="E27" s="1228">
        <f t="shared" si="1"/>
        <v>0</v>
      </c>
      <c r="F27" s="1228">
        <f t="shared" si="2"/>
        <v>66.56496996371942</v>
      </c>
      <c r="H27" s="1208">
        <f>'WTE and LM Analysis'!C91</f>
        <v>99.953520854905804</v>
      </c>
      <c r="I27" s="803">
        <f t="shared" si="3"/>
        <v>5.2572702013286232</v>
      </c>
      <c r="J27" s="1228">
        <f t="shared" si="4"/>
        <v>94.696250653577181</v>
      </c>
    </row>
    <row r="28" spans="1:10" x14ac:dyDescent="0.4">
      <c r="A28" s="609">
        <f>'MSW Integration Calcs PDS1 '!B133</f>
        <v>2034</v>
      </c>
      <c r="B28" s="1208">
        <f>'MSW Integration Calcs PDS1 '!AK133</f>
        <v>423.43527208848911</v>
      </c>
      <c r="C28" s="1228">
        <f t="shared" si="0"/>
        <v>84.281703360354783</v>
      </c>
      <c r="D28" s="1208">
        <f>'WTE and LM Analysis'!O92</f>
        <v>68.616088975991673</v>
      </c>
      <c r="E28" s="1228">
        <f t="shared" si="1"/>
        <v>0</v>
      </c>
      <c r="F28" s="1228">
        <f t="shared" si="2"/>
        <v>68.616088975991673</v>
      </c>
      <c r="H28" s="1208">
        <f>'WTE and LM Analysis'!C92</f>
        <v>104.44168357294357</v>
      </c>
      <c r="I28" s="803">
        <f t="shared" si="3"/>
        <v>20.159980212588792</v>
      </c>
      <c r="J28" s="1228">
        <f t="shared" si="4"/>
        <v>84.281703360354783</v>
      </c>
    </row>
    <row r="29" spans="1:10" x14ac:dyDescent="0.4">
      <c r="A29" s="609">
        <f>'MSW Integration Calcs PDS1 '!B134</f>
        <v>2035</v>
      </c>
      <c r="B29" s="1208">
        <f>'MSW Integration Calcs PDS1 '!AK134</f>
        <v>373.89873763734374</v>
      </c>
      <c r="C29" s="1228">
        <f t="shared" si="0"/>
        <v>74.421817381751339</v>
      </c>
      <c r="D29" s="1208">
        <f>'WTE and LM Analysis'!O93</f>
        <v>70.646529676721855</v>
      </c>
      <c r="E29" s="1228">
        <f t="shared" si="1"/>
        <v>0</v>
      </c>
      <c r="F29" s="1228">
        <f t="shared" si="2"/>
        <v>70.646529676721855</v>
      </c>
      <c r="H29" s="1208">
        <f>'WTE and LM Analysis'!C93</f>
        <v>108.87485323191225</v>
      </c>
      <c r="I29" s="803">
        <f t="shared" si="3"/>
        <v>34.453035850160916</v>
      </c>
      <c r="J29" s="1228">
        <f t="shared" si="4"/>
        <v>74.421817381751339</v>
      </c>
    </row>
    <row r="30" spans="1:10" x14ac:dyDescent="0.4">
      <c r="A30" s="609">
        <f>'MSW Integration Calcs PDS1 '!B135</f>
        <v>2036</v>
      </c>
      <c r="B30" s="1208">
        <f>'MSW Integration Calcs PDS1 '!AK135</f>
        <v>323.02820717622853</v>
      </c>
      <c r="C30" s="1228">
        <f t="shared" si="0"/>
        <v>64.29640922441763</v>
      </c>
      <c r="D30" s="1208">
        <f>'WTE and LM Analysis'!O94</f>
        <v>72.65684566220294</v>
      </c>
      <c r="E30" s="1228">
        <f t="shared" si="1"/>
        <v>8.3604364377853102</v>
      </c>
      <c r="F30" s="1228">
        <f t="shared" si="2"/>
        <v>64.29640922441763</v>
      </c>
      <c r="H30" s="1208">
        <f>'WTE and LM Analysis'!C94</f>
        <v>113.23993274907275</v>
      </c>
      <c r="I30" s="1228">
        <f t="shared" si="3"/>
        <v>48.94352352465512</v>
      </c>
      <c r="J30" s="1228">
        <f t="shared" si="4"/>
        <v>64.29640922441763</v>
      </c>
    </row>
    <row r="31" spans="1:10" x14ac:dyDescent="0.4">
      <c r="A31" s="609">
        <f>'MSW Integration Calcs PDS1 '!B136</f>
        <v>2037</v>
      </c>
      <c r="B31" s="1208">
        <f>'MSW Integration Calcs PDS1 '!AK136</f>
        <v>272.53692908226151</v>
      </c>
      <c r="C31" s="1228">
        <f t="shared" si="0"/>
        <v>54.246488485382926</v>
      </c>
      <c r="D31" s="1208">
        <f>'WTE and LM Analysis'!O95</f>
        <v>74.647039483918121</v>
      </c>
      <c r="E31" s="1228">
        <f t="shared" si="1"/>
        <v>20.400550998535195</v>
      </c>
      <c r="F31" s="1228">
        <f t="shared" si="2"/>
        <v>54.246488485382926</v>
      </c>
      <c r="H31" s="1208">
        <f>'WTE and LM Analysis'!C95</f>
        <v>117.52306377809114</v>
      </c>
      <c r="I31" s="1228">
        <f t="shared" si="3"/>
        <v>63.276575292708216</v>
      </c>
      <c r="J31" s="1228">
        <f t="shared" si="4"/>
        <v>54.246488485382926</v>
      </c>
    </row>
    <row r="32" spans="1:10" x14ac:dyDescent="0.4">
      <c r="A32" s="609">
        <f>'MSW Integration Calcs PDS1 '!B137</f>
        <v>2038</v>
      </c>
      <c r="B32" s="1208">
        <f>'MSW Integration Calcs PDS1 '!AK137</f>
        <v>223.61033157194515</v>
      </c>
      <c r="C32" s="1228">
        <f t="shared" si="0"/>
        <v>44.508006007394641</v>
      </c>
      <c r="D32" s="1208">
        <f>'WTE and LM Analysis'!O96</f>
        <v>76.616742697757715</v>
      </c>
      <c r="E32" s="1228">
        <f t="shared" si="1"/>
        <v>32.108736690363074</v>
      </c>
      <c r="F32" s="1228">
        <f t="shared" si="2"/>
        <v>44.508006007394641</v>
      </c>
      <c r="H32" s="1208">
        <f>'WTE and LM Analysis'!C96</f>
        <v>121.70985730862294</v>
      </c>
      <c r="I32" s="1228">
        <f t="shared" si="3"/>
        <v>77.201851301228302</v>
      </c>
      <c r="J32" s="1228">
        <f t="shared" si="4"/>
        <v>44.508006007394641</v>
      </c>
    </row>
    <row r="33" spans="1:10" x14ac:dyDescent="0.4">
      <c r="A33" s="609">
        <f>'MSW Integration Calcs PDS1 '!B138</f>
        <v>2039</v>
      </c>
      <c r="B33" s="1208">
        <f>'MSW Integration Calcs PDS1 '!AK138</f>
        <v>178.62495762221045</v>
      </c>
      <c r="C33" s="1228">
        <f t="shared" si="0"/>
        <v>35.55399534105166</v>
      </c>
      <c r="D33" s="1208">
        <f>'WTE and LM Analysis'!O97</f>
        <v>78.565217974731738</v>
      </c>
      <c r="E33" s="1228">
        <f t="shared" si="1"/>
        <v>43.011222633680077</v>
      </c>
      <c r="F33" s="1228">
        <f t="shared" si="2"/>
        <v>35.55399534105166</v>
      </c>
      <c r="H33" s="1208">
        <f>'WTE and LM Analysis'!C97</f>
        <v>125.78537970755778</v>
      </c>
      <c r="I33" s="1228">
        <f t="shared" si="3"/>
        <v>90.23138436650612</v>
      </c>
      <c r="J33" s="1228">
        <f t="shared" si="4"/>
        <v>35.55399534105166</v>
      </c>
    </row>
    <row r="34" spans="1:10" x14ac:dyDescent="0.4">
      <c r="A34" s="609">
        <f>'MSW Integration Calcs PDS1 '!B139</f>
        <v>2040</v>
      </c>
      <c r="B34" s="1208">
        <f>'MSW Integration Calcs PDS1 '!AK139</f>
        <v>130.89568725748268</v>
      </c>
      <c r="C34" s="1228">
        <f t="shared" si="0"/>
        <v>26.053832100882342</v>
      </c>
      <c r="D34" s="1208">
        <f>'WTE and LM Analysis'!O98</f>
        <v>80.491856043560162</v>
      </c>
      <c r="E34" s="1228">
        <f t="shared" si="1"/>
        <v>54.438023942677816</v>
      </c>
      <c r="F34" s="1228">
        <f t="shared" si="2"/>
        <v>26.053832100882342</v>
      </c>
      <c r="H34" s="1208">
        <f>'WTE and LM Analysis'!C98</f>
        <v>129.73494029810473</v>
      </c>
      <c r="I34" s="1228">
        <f t="shared" si="3"/>
        <v>103.68110819722239</v>
      </c>
      <c r="J34" s="1228">
        <f t="shared" si="4"/>
        <v>26.053832100882342</v>
      </c>
    </row>
    <row r="35" spans="1:10" x14ac:dyDescent="0.4">
      <c r="A35" s="609">
        <f>'MSW Integration Calcs PDS1 '!B140</f>
        <v>2041</v>
      </c>
      <c r="B35" s="1208">
        <f>'MSW Integration Calcs PDS1 '!AK140</f>
        <v>90.469210699995187</v>
      </c>
      <c r="C35" s="1228">
        <f t="shared" si="0"/>
        <v>18.007236718506022</v>
      </c>
      <c r="D35" s="1208">
        <f>'WTE and LM Analysis'!O99</f>
        <v>82.396537316262766</v>
      </c>
      <c r="E35" s="1228">
        <f t="shared" si="1"/>
        <v>64.389300597756744</v>
      </c>
      <c r="F35" s="1228">
        <f t="shared" si="2"/>
        <v>18.007236718506022</v>
      </c>
      <c r="H35" s="1208">
        <f>'WTE and LM Analysis'!C99</f>
        <v>133.54469664651052</v>
      </c>
      <c r="I35" s="1228">
        <f t="shared" si="3"/>
        <v>115.53745992800449</v>
      </c>
      <c r="J35" s="1228">
        <f t="shared" si="4"/>
        <v>18.007236718506022</v>
      </c>
    </row>
    <row r="36" spans="1:10" x14ac:dyDescent="0.4">
      <c r="A36" s="609">
        <f>'MSW Integration Calcs PDS1 '!B141</f>
        <v>2042</v>
      </c>
      <c r="B36" s="1208">
        <f>'MSW Integration Calcs PDS1 '!AK141</f>
        <v>46.887901924059747</v>
      </c>
      <c r="C36" s="1228">
        <f t="shared" si="0"/>
        <v>9.3326949870325642</v>
      </c>
      <c r="D36" s="1208">
        <f>'WTE and LM Analysis'!O100</f>
        <v>84.27938679865629</v>
      </c>
      <c r="E36" s="1228">
        <f t="shared" si="1"/>
        <v>74.946691811623722</v>
      </c>
      <c r="F36" s="1228">
        <f t="shared" si="2"/>
        <v>9.3326949870325642</v>
      </c>
      <c r="H36" s="1208">
        <f>'WTE and LM Analysis'!C100</f>
        <v>137.20128690927984</v>
      </c>
      <c r="I36" s="1228">
        <f t="shared" si="3"/>
        <v>127.86859192224728</v>
      </c>
      <c r="J36" s="1228">
        <f>MIN($C36,H36)</f>
        <v>9.3326949870325642</v>
      </c>
    </row>
    <row r="37" spans="1:10" x14ac:dyDescent="0.4">
      <c r="A37" s="609">
        <f>'MSW Integration Calcs PDS1 '!B142</f>
        <v>2043</v>
      </c>
      <c r="B37" s="1208">
        <f>'MSW Integration Calcs PDS1 '!AK142</f>
        <v>4.3260335858956296</v>
      </c>
      <c r="C37" s="1228">
        <f t="shared" si="0"/>
        <v>0.86106544127762796</v>
      </c>
      <c r="D37" s="1208">
        <f>'WTE and LM Analysis'!O101</f>
        <v>86.140245470696229</v>
      </c>
      <c r="E37" s="1228">
        <f t="shared" si="1"/>
        <v>85.279180029418598</v>
      </c>
      <c r="F37" s="1228">
        <f>MIN($C37,D37)</f>
        <v>0.86106544127762796</v>
      </c>
      <c r="H37" s="1208">
        <f>'WTE and LM Analysis'!C101</f>
        <v>140.69097532313859</v>
      </c>
      <c r="I37" s="1228">
        <f t="shared" si="3"/>
        <v>139.82990988186097</v>
      </c>
      <c r="J37" s="1228">
        <f t="shared" si="4"/>
        <v>0.86106544127762796</v>
      </c>
    </row>
    <row r="38" spans="1:10" x14ac:dyDescent="0.4">
      <c r="A38" s="609">
        <f>'MSW Integration Calcs PDS1 '!B143</f>
        <v>2044</v>
      </c>
      <c r="B38" s="1208">
        <f>'MSW Integration Calcs PDS1 '!AK143</f>
        <v>0</v>
      </c>
      <c r="C38" s="1228">
        <f t="shared" si="0"/>
        <v>0</v>
      </c>
      <c r="D38" s="1208">
        <f>'WTE and LM Analysis'!O102</f>
        <v>87.978970038466557</v>
      </c>
      <c r="E38" s="1228">
        <f t="shared" si="1"/>
        <v>87.978970038466557</v>
      </c>
      <c r="F38" s="1228">
        <f t="shared" si="2"/>
        <v>0</v>
      </c>
      <c r="H38" s="1208">
        <f>'WTE and LM Analysis'!C102</f>
        <v>144.00013374410895</v>
      </c>
      <c r="I38" s="1228">
        <f t="shared" si="3"/>
        <v>144.00013374410895</v>
      </c>
      <c r="J38" s="1228">
        <f t="shared" si="4"/>
        <v>0</v>
      </c>
    </row>
    <row r="39" spans="1:10" x14ac:dyDescent="0.4">
      <c r="A39" s="609">
        <f>'MSW Integration Calcs PDS1 '!B144</f>
        <v>2045</v>
      </c>
      <c r="B39" s="1208">
        <f>'MSW Integration Calcs PDS1 '!AK144</f>
        <v>0</v>
      </c>
      <c r="C39" s="1228">
        <f t="shared" si="0"/>
        <v>0</v>
      </c>
      <c r="D39" s="1208">
        <f>'WTE and LM Analysis'!O103</f>
        <v>89.795411286964878</v>
      </c>
      <c r="E39" s="1228">
        <f t="shared" si="1"/>
        <v>89.795411286964878</v>
      </c>
      <c r="F39" s="1228">
        <f t="shared" si="2"/>
        <v>0</v>
      </c>
      <c r="H39" s="1208">
        <f>'WTE and LM Analysis'!C103</f>
        <v>147.11520867761618</v>
      </c>
      <c r="I39" s="1228">
        <f t="shared" si="3"/>
        <v>147.11520867761618</v>
      </c>
      <c r="J39" s="1228">
        <f t="shared" si="4"/>
        <v>0</v>
      </c>
    </row>
    <row r="40" spans="1:10" x14ac:dyDescent="0.4">
      <c r="A40" s="609">
        <f>'MSW Integration Calcs PDS1 '!B145</f>
        <v>2046</v>
      </c>
      <c r="B40" s="1208">
        <f>'MSW Integration Calcs PDS1 '!AK145</f>
        <v>0</v>
      </c>
      <c r="C40" s="1228">
        <f t="shared" si="0"/>
        <v>0</v>
      </c>
      <c r="D40" s="1208">
        <f>'WTE and LM Analysis'!O104</f>
        <v>91.589418818606603</v>
      </c>
      <c r="E40" s="1228">
        <f t="shared" si="1"/>
        <v>91.589418818606603</v>
      </c>
      <c r="F40" s="1228">
        <f t="shared" si="2"/>
        <v>0</v>
      </c>
      <c r="H40" s="1208">
        <f>'WTE and LM Analysis'!C104</f>
        <v>150.02273522205866</v>
      </c>
      <c r="I40" s="1228">
        <f t="shared" si="3"/>
        <v>150.02273522205866</v>
      </c>
      <c r="J40" s="1228">
        <f t="shared" si="4"/>
        <v>0</v>
      </c>
    </row>
    <row r="41" spans="1:10" x14ac:dyDescent="0.4">
      <c r="A41" s="609">
        <f>'MSW Integration Calcs PDS1 '!B146</f>
        <v>2047</v>
      </c>
      <c r="B41" s="1208">
        <f>'MSW Integration Calcs PDS1 '!AK146</f>
        <v>0</v>
      </c>
      <c r="C41" s="1228">
        <f t="shared" si="0"/>
        <v>0</v>
      </c>
      <c r="D41" s="1208">
        <f>'WTE and LM Analysis'!O105</f>
        <v>93.360848557927</v>
      </c>
      <c r="E41" s="1228">
        <f t="shared" si="1"/>
        <v>93.360848557927</v>
      </c>
      <c r="F41" s="1228">
        <f t="shared" si="2"/>
        <v>0</v>
      </c>
      <c r="H41" s="1208">
        <f>'WTE and LM Analysis'!C105</f>
        <v>152.70935417829546</v>
      </c>
      <c r="I41" s="1228">
        <f t="shared" si="3"/>
        <v>152.70935417829546</v>
      </c>
      <c r="J41" s="1228">
        <f t="shared" si="4"/>
        <v>0</v>
      </c>
    </row>
    <row r="42" spans="1:10" x14ac:dyDescent="0.4">
      <c r="A42" s="609">
        <f>'MSW Integration Calcs PDS1 '!B147</f>
        <v>2048</v>
      </c>
      <c r="B42" s="1208">
        <f>'MSW Integration Calcs PDS1 '!AK147</f>
        <v>0</v>
      </c>
      <c r="C42" s="1228">
        <f t="shared" si="0"/>
        <v>0</v>
      </c>
      <c r="D42" s="1208">
        <f>'WTE and LM Analysis'!O106</f>
        <v>95.10957342096934</v>
      </c>
      <c r="E42" s="1228">
        <f t="shared" si="1"/>
        <v>95.10957342096934</v>
      </c>
      <c r="F42" s="1228">
        <f t="shared" si="2"/>
        <v>0</v>
      </c>
      <c r="H42" s="1208">
        <f>'WTE and LM Analysis'!C106</f>
        <v>155.16182805723255</v>
      </c>
      <c r="I42" s="1228">
        <f t="shared" si="3"/>
        <v>155.16182805723255</v>
      </c>
      <c r="J42" s="1228">
        <f t="shared" si="4"/>
        <v>0</v>
      </c>
    </row>
    <row r="43" spans="1:10" x14ac:dyDescent="0.4">
      <c r="A43" s="609">
        <f>'MSW Integration Calcs PDS1 '!B148</f>
        <v>2049</v>
      </c>
      <c r="B43" s="1208">
        <f>'MSW Integration Calcs PDS1 '!AK148</f>
        <v>0</v>
      </c>
      <c r="C43" s="1228">
        <f t="shared" si="0"/>
        <v>0</v>
      </c>
      <c r="D43" s="1208">
        <f>'WTE and LM Analysis'!O107</f>
        <v>96.83548122305757</v>
      </c>
      <c r="E43" s="1228">
        <f t="shared" si="1"/>
        <v>96.83548122305757</v>
      </c>
      <c r="F43" s="1228">
        <f t="shared" si="2"/>
        <v>0</v>
      </c>
      <c r="H43" s="1208">
        <f>'WTE and LM Analysis'!C107</f>
        <v>157.36703877423986</v>
      </c>
      <c r="I43" s="1228">
        <f t="shared" si="3"/>
        <v>157.36703877423986</v>
      </c>
      <c r="J43" s="1228">
        <f t="shared" si="4"/>
        <v>0</v>
      </c>
    </row>
    <row r="44" spans="1:10" x14ac:dyDescent="0.4">
      <c r="A44" s="609">
        <f>'MSW Integration Calcs PDS1 '!B149</f>
        <v>2050</v>
      </c>
      <c r="B44" s="1208">
        <f>'MSW Integration Calcs PDS1 '!AK149</f>
        <v>0</v>
      </c>
      <c r="C44" s="1228">
        <f t="shared" si="0"/>
        <v>0</v>
      </c>
      <c r="D44" s="1208">
        <f>'WTE and LM Analysis'!O108</f>
        <v>98.538457979364154</v>
      </c>
      <c r="E44" s="1228">
        <f t="shared" si="1"/>
        <v>98.538457979364154</v>
      </c>
      <c r="F44" s="1228">
        <f t="shared" si="2"/>
        <v>0</v>
      </c>
      <c r="H44" s="1208">
        <f>'WTE and LM Analysis'!C108</f>
        <v>159.31196703206891</v>
      </c>
      <c r="I44" s="1228">
        <f t="shared" si="3"/>
        <v>159.31196703206891</v>
      </c>
      <c r="J44" s="1228">
        <f t="shared" si="4"/>
        <v>0</v>
      </c>
    </row>
    <row r="45" spans="1:10" x14ac:dyDescent="0.4">
      <c r="A45" s="609">
        <f>'MSW Integration Calcs PDS1 '!B150</f>
        <v>2051</v>
      </c>
      <c r="B45" s="1208">
        <f>'MSW Integration Calcs PDS1 '!AK150</f>
        <v>0</v>
      </c>
      <c r="C45" s="1228">
        <f t="shared" si="0"/>
        <v>0</v>
      </c>
      <c r="D45" s="1208">
        <f>'WTE and LM Analysis'!O109</f>
        <v>100.21840442768308</v>
      </c>
      <c r="E45" s="1228">
        <f t="shared" si="1"/>
        <v>100.21840442768308</v>
      </c>
      <c r="F45" s="1228">
        <f t="shared" si="2"/>
        <v>0</v>
      </c>
      <c r="H45" s="1208">
        <f>'WTE and LM Analysis'!C109</f>
        <v>160.98372829374765</v>
      </c>
      <c r="I45" s="1228">
        <f t="shared" si="3"/>
        <v>160.98372829374765</v>
      </c>
      <c r="J45" s="1228">
        <f t="shared" si="4"/>
        <v>0</v>
      </c>
    </row>
    <row r="46" spans="1:10" x14ac:dyDescent="0.4">
      <c r="A46" s="609">
        <f>'MSW Integration Calcs PDS1 '!B151</f>
        <v>2052</v>
      </c>
      <c r="B46" s="1208">
        <f>'MSW Integration Calcs PDS1 '!AK151</f>
        <v>0</v>
      </c>
      <c r="C46" s="1228">
        <f t="shared" si="0"/>
        <v>0</v>
      </c>
      <c r="D46" s="1208">
        <f>'WTE and LM Analysis'!O110</f>
        <v>101.87521957884724</v>
      </c>
      <c r="E46" s="1228">
        <f t="shared" si="1"/>
        <v>101.87521957884724</v>
      </c>
      <c r="F46" s="1228">
        <f t="shared" si="2"/>
        <v>0</v>
      </c>
      <c r="H46" s="1208">
        <f>'WTE and LM Analysis'!C110</f>
        <v>162.36955235982163</v>
      </c>
      <c r="I46" s="1228">
        <f t="shared" si="3"/>
        <v>162.36955235982163</v>
      </c>
      <c r="J46" s="1228">
        <f t="shared" si="4"/>
        <v>0</v>
      </c>
    </row>
    <row r="47" spans="1:10" x14ac:dyDescent="0.4">
      <c r="A47" s="609">
        <f>'MSW Integration Calcs PDS1 '!B152</f>
        <v>2053</v>
      </c>
      <c r="B47" s="1208">
        <f>'MSW Integration Calcs PDS1 '!AK152</f>
        <v>0</v>
      </c>
      <c r="C47" s="1228">
        <f t="shared" si="0"/>
        <v>0</v>
      </c>
      <c r="D47" s="1208">
        <f>'WTE and LM Analysis'!O111</f>
        <v>103.50879046561373</v>
      </c>
      <c r="E47" s="1228">
        <f t="shared" si="1"/>
        <v>103.50879046561373</v>
      </c>
      <c r="F47" s="1228">
        <f t="shared" si="2"/>
        <v>0</v>
      </c>
      <c r="H47" s="1208">
        <f>'WTE and LM Analysis'!C111</f>
        <v>163.45676757144494</v>
      </c>
      <c r="I47" s="1228">
        <f t="shared" si="3"/>
        <v>163.45676757144494</v>
      </c>
      <c r="J47" s="1228">
        <f t="shared" si="4"/>
        <v>0</v>
      </c>
    </row>
    <row r="48" spans="1:10" x14ac:dyDescent="0.4">
      <c r="A48" s="609">
        <f>'MSW Integration Calcs PDS1 '!B153</f>
        <v>2054</v>
      </c>
      <c r="B48" s="1208">
        <f>'MSW Integration Calcs PDS1 '!AK153</f>
        <v>0</v>
      </c>
      <c r="C48" s="1228">
        <f t="shared" si="0"/>
        <v>0</v>
      </c>
      <c r="D48" s="1208">
        <f>'WTE and LM Analysis'!O112</f>
        <v>105.1190089267713</v>
      </c>
      <c r="E48" s="1228">
        <f t="shared" si="1"/>
        <v>105.1190089267713</v>
      </c>
      <c r="F48" s="1228">
        <f t="shared" si="2"/>
        <v>0</v>
      </c>
      <c r="H48" s="1208">
        <f>'WTE and LM Analysis'!C112</f>
        <v>164.23283666348806</v>
      </c>
      <c r="I48" s="1228">
        <f t="shared" si="3"/>
        <v>164.23283666348806</v>
      </c>
      <c r="J48" s="1228">
        <f t="shared" si="4"/>
        <v>0</v>
      </c>
    </row>
    <row r="49" spans="1:10" x14ac:dyDescent="0.4">
      <c r="A49" s="609">
        <f>'MSW Integration Calcs PDS1 '!B154</f>
        <v>2055</v>
      </c>
      <c r="B49" s="1208">
        <f>'MSW Integration Calcs PDS1 '!AK154</f>
        <v>0</v>
      </c>
      <c r="C49" s="1228">
        <f t="shared" si="0"/>
        <v>0</v>
      </c>
      <c r="D49" s="1208">
        <f>'WTE and LM Analysis'!O113</f>
        <v>106.70578888993744</v>
      </c>
      <c r="E49" s="1228">
        <f t="shared" si="1"/>
        <v>106.70578888993744</v>
      </c>
      <c r="F49" s="1228">
        <f t="shared" si="2"/>
        <v>0</v>
      </c>
      <c r="H49" s="1208">
        <f>'WTE and LM Analysis'!C113</f>
        <v>164.68538599054216</v>
      </c>
      <c r="I49" s="1228">
        <f t="shared" si="3"/>
        <v>164.68538599054216</v>
      </c>
      <c r="J49" s="1228">
        <f t="shared" si="4"/>
        <v>0</v>
      </c>
    </row>
    <row r="50" spans="1:10" x14ac:dyDescent="0.4">
      <c r="A50" s="609">
        <f>'MSW Integration Calcs PDS1 '!B155</f>
        <v>2056</v>
      </c>
      <c r="B50" s="1208">
        <f>'MSW Integration Calcs PDS1 '!AK155</f>
        <v>0</v>
      </c>
      <c r="C50" s="1228">
        <f t="shared" si="0"/>
        <v>0</v>
      </c>
      <c r="D50" s="1208">
        <f>'WTE and LM Analysis'!O114</f>
        <v>108.2690714431258</v>
      </c>
      <c r="E50" s="1228">
        <f t="shared" si="1"/>
        <v>108.2690714431258</v>
      </c>
      <c r="F50" s="1228">
        <f t="shared" si="2"/>
        <v>0</v>
      </c>
      <c r="H50" s="1208">
        <f>'WTE and LM Analysis'!C114</f>
        <v>164.80221262789735</v>
      </c>
      <c r="I50" s="1228">
        <f t="shared" si="3"/>
        <v>164.80221262789735</v>
      </c>
      <c r="J50" s="1228">
        <f t="shared" si="4"/>
        <v>0</v>
      </c>
    </row>
    <row r="51" spans="1:10" x14ac:dyDescent="0.4">
      <c r="A51" s="609">
        <f>'MSW Integration Calcs PDS1 '!B156</f>
        <v>2057</v>
      </c>
      <c r="B51" s="1208">
        <f>'MSW Integration Calcs PDS1 '!AK156</f>
        <v>0</v>
      </c>
      <c r="C51" s="1228">
        <f t="shared" si="0"/>
        <v>0</v>
      </c>
      <c r="D51" s="1208">
        <f>'WTE and LM Analysis'!O115</f>
        <v>109.80883553069131</v>
      </c>
      <c r="E51" s="1228">
        <f t="shared" si="1"/>
        <v>109.80883553069131</v>
      </c>
      <c r="F51" s="1228">
        <f t="shared" si="2"/>
        <v>0</v>
      </c>
      <c r="H51" s="1208">
        <f>'WTE and LM Analysis'!C115</f>
        <v>164.57130761627104</v>
      </c>
      <c r="I51" s="1228">
        <f t="shared" si="3"/>
        <v>164.57130761627104</v>
      </c>
      <c r="J51" s="1228">
        <f t="shared" si="4"/>
        <v>0</v>
      </c>
    </row>
    <row r="52" spans="1:10" x14ac:dyDescent="0.4">
      <c r="A52" s="609">
        <f>'MSW Integration Calcs PDS1 '!B157</f>
        <v>2058</v>
      </c>
      <c r="B52" s="1208">
        <f>'MSW Integration Calcs PDS1 '!AK157</f>
        <v>0</v>
      </c>
      <c r="C52" s="1228">
        <f t="shared" si="0"/>
        <v>0</v>
      </c>
      <c r="D52" s="1208">
        <f>'WTE and LM Analysis'!O116</f>
        <v>111.32511227223105</v>
      </c>
      <c r="E52" s="1228">
        <f t="shared" si="1"/>
        <v>111.32511227223105</v>
      </c>
      <c r="F52" s="1228">
        <f t="shared" si="2"/>
        <v>0</v>
      </c>
      <c r="H52" s="1208">
        <f>'WTE and LM Analysis'!C116</f>
        <v>163.98088810988349</v>
      </c>
      <c r="I52" s="1228">
        <f t="shared" si="3"/>
        <v>163.98088810988349</v>
      </c>
      <c r="J52" s="1228">
        <f t="shared" si="4"/>
        <v>0</v>
      </c>
    </row>
    <row r="53" spans="1:10" x14ac:dyDescent="0.4">
      <c r="A53" s="609">
        <f>'MSW Integration Calcs PDS1 '!B158</f>
        <v>2059</v>
      </c>
      <c r="B53" s="1208">
        <f>'MSW Integration Calcs PDS1 '!AK158</f>
        <v>0</v>
      </c>
      <c r="C53" s="1228">
        <f t="shared" si="0"/>
        <v>0</v>
      </c>
      <c r="D53" s="1208">
        <f>'WTE and LM Analysis'!O117</f>
        <v>112.81797092937515</v>
      </c>
      <c r="E53" s="1228">
        <f t="shared" si="1"/>
        <v>112.81797092937515</v>
      </c>
      <c r="F53" s="1228">
        <f t="shared" si="2"/>
        <v>0</v>
      </c>
      <c r="H53" s="1208">
        <f>'WTE and LM Analysis'!C117</f>
        <v>163.01936939813382</v>
      </c>
      <c r="I53" s="1228">
        <f t="shared" si="3"/>
        <v>163.01936939813382</v>
      </c>
      <c r="J53" s="1228">
        <f t="shared" si="4"/>
        <v>0</v>
      </c>
    </row>
    <row r="54" spans="1:10" x14ac:dyDescent="0.4">
      <c r="A54" s="609">
        <f>'MSW Integration Calcs PDS1 '!B159</f>
        <v>2060</v>
      </c>
      <c r="B54" s="1208">
        <f>'MSW Integration Calcs PDS1 '!AK159</f>
        <v>0</v>
      </c>
      <c r="C54" s="1228">
        <f t="shared" si="0"/>
        <v>0</v>
      </c>
      <c r="D54" s="1208">
        <f>'WTE and LM Analysis'!O118</f>
        <v>114.28748830002007</v>
      </c>
      <c r="E54" s="1228">
        <f t="shared" si="1"/>
        <v>114.28748830002007</v>
      </c>
      <c r="F54" s="1228">
        <f t="shared" si="2"/>
        <v>0</v>
      </c>
      <c r="H54" s="1208">
        <f>'WTE and LM Analysis'!C118</f>
        <v>161.67531421765241</v>
      </c>
      <c r="I54" s="1228">
        <f t="shared" si="3"/>
        <v>161.67531421765241</v>
      </c>
      <c r="J54" s="1228">
        <f t="shared" si="4"/>
        <v>0</v>
      </c>
    </row>
    <row r="55" spans="1:10" x14ac:dyDescent="0.4">
      <c r="A55" s="609"/>
    </row>
    <row r="56" spans="1:10" x14ac:dyDescent="0.4">
      <c r="A56" s="1" t="s">
        <v>407</v>
      </c>
    </row>
    <row r="57" spans="1:10" ht="73.8" x14ac:dyDescent="0.4">
      <c r="A57" s="609"/>
      <c r="B57" s="341" t="s">
        <v>411</v>
      </c>
      <c r="C57" s="341" t="s">
        <v>413</v>
      </c>
      <c r="D57" s="1216" t="s">
        <v>1106</v>
      </c>
      <c r="E57" s="341" t="s">
        <v>1107</v>
      </c>
      <c r="F57" s="341" t="s">
        <v>1131</v>
      </c>
      <c r="G57" s="609"/>
      <c r="H57" s="1216" t="s">
        <v>1123</v>
      </c>
      <c r="I57" s="341" t="s">
        <v>414</v>
      </c>
      <c r="J57" s="341" t="s">
        <v>417</v>
      </c>
    </row>
    <row r="58" spans="1:10" x14ac:dyDescent="0.4">
      <c r="A58" s="609">
        <f>A8</f>
        <v>2014</v>
      </c>
      <c r="B58" s="1208">
        <f>'MSW Integration Calcs PDS2'!AK113</f>
        <v>1086.7611689236271</v>
      </c>
      <c r="C58" s="1228">
        <f>B58*$D$4/10^6</f>
        <v>216.31188637405791</v>
      </c>
      <c r="D58" s="1208">
        <f>'WTE and LM Analysis'!O72</f>
        <v>23.802159959999997</v>
      </c>
      <c r="E58" s="1228">
        <f>IF((D58-$C58)&gt;0,(D58-$C58),0)</f>
        <v>0</v>
      </c>
      <c r="F58" s="1228">
        <f>MIN(C58,D58)</f>
        <v>23.802159959999997</v>
      </c>
      <c r="G58" s="609"/>
      <c r="H58" s="1208">
        <f>'WTE and LM Analysis'!C72</f>
        <v>23.802159959999997</v>
      </c>
      <c r="I58" s="803">
        <f>IF((H58-$C58)&gt;0,(H58-$C58),0)</f>
        <v>0</v>
      </c>
      <c r="J58" s="1228">
        <f>MIN($C58,H58)</f>
        <v>23.802159959999997</v>
      </c>
    </row>
    <row r="59" spans="1:10" x14ac:dyDescent="0.4">
      <c r="A59" s="609">
        <f t="shared" ref="A59:A104" si="5">A9</f>
        <v>2015</v>
      </c>
      <c r="B59" s="1208">
        <f>'MSW Integration Calcs PDS2'!AK114</f>
        <v>1100.3462632569015</v>
      </c>
      <c r="C59" s="1228">
        <f t="shared" ref="C59:C104" si="6">B59*$D$4/10^6</f>
        <v>219.01590034311667</v>
      </c>
      <c r="D59" s="1208">
        <f>'WTE and LM Analysis'!O73</f>
        <v>25.0214508</v>
      </c>
      <c r="E59" s="1228">
        <f t="shared" ref="E59:E104" si="7">IF((D59-$C59)&gt;0,(D59-$C59),0)</f>
        <v>0</v>
      </c>
      <c r="F59" s="1228">
        <f t="shared" ref="F59:F104" si="8">MIN(C59,D59)</f>
        <v>25.0214508</v>
      </c>
      <c r="G59" s="609"/>
      <c r="H59" s="1208">
        <f>'WTE and LM Analysis'!C73</f>
        <v>25.0214508</v>
      </c>
      <c r="I59" s="803">
        <f t="shared" ref="I59:I104" si="9">IF((H59-$C59)&gt;0,(H59-$C59),0)</f>
        <v>0</v>
      </c>
      <c r="J59" s="1228">
        <f t="shared" ref="J59:J104" si="10">MIN($C59,H59)</f>
        <v>25.0214508</v>
      </c>
    </row>
    <row r="60" spans="1:10" x14ac:dyDescent="0.4">
      <c r="A60" s="609">
        <f t="shared" si="5"/>
        <v>2016</v>
      </c>
      <c r="B60" s="1208">
        <f>'MSW Integration Calcs PDS2'!AK115</f>
        <v>1200.6086878582653</v>
      </c>
      <c r="C60" s="1228">
        <f t="shared" si="6"/>
        <v>238.97240487983876</v>
      </c>
      <c r="D60" s="1208">
        <f>'WTE and LM Analysis'!O74</f>
        <v>26.016150960000001</v>
      </c>
      <c r="E60" s="1228">
        <f t="shared" si="7"/>
        <v>0</v>
      </c>
      <c r="F60" s="1228">
        <f t="shared" si="8"/>
        <v>26.016150960000001</v>
      </c>
      <c r="G60" s="609"/>
      <c r="H60" s="1208">
        <f>'WTE and LM Analysis'!C74</f>
        <v>26.016150959999997</v>
      </c>
      <c r="I60" s="803">
        <f t="shared" si="9"/>
        <v>0</v>
      </c>
      <c r="J60" s="1228">
        <f t="shared" si="10"/>
        <v>26.016150959999997</v>
      </c>
    </row>
    <row r="61" spans="1:10" x14ac:dyDescent="0.4">
      <c r="A61" s="609">
        <f t="shared" si="5"/>
        <v>2017</v>
      </c>
      <c r="B61" s="1208">
        <f>'MSW Integration Calcs PDS2'!AK116</f>
        <v>1279.0501140949498</v>
      </c>
      <c r="C61" s="1228">
        <f t="shared" si="6"/>
        <v>254.58559880351783</v>
      </c>
      <c r="D61" s="1208">
        <f>'WTE and LM Analysis'!O75</f>
        <v>26.572987800000003</v>
      </c>
      <c r="E61" s="1228">
        <f t="shared" si="7"/>
        <v>0</v>
      </c>
      <c r="F61" s="1228">
        <f t="shared" si="8"/>
        <v>26.572987800000003</v>
      </c>
      <c r="G61" s="609"/>
      <c r="H61" s="1208">
        <f>'WTE and LM Analysis'!C75</f>
        <v>26.572987800000003</v>
      </c>
      <c r="I61" s="803">
        <f t="shared" si="9"/>
        <v>0</v>
      </c>
      <c r="J61" s="1228">
        <f t="shared" si="10"/>
        <v>26.572987800000003</v>
      </c>
    </row>
    <row r="62" spans="1:10" x14ac:dyDescent="0.4">
      <c r="A62" s="609">
        <f t="shared" si="5"/>
        <v>2018</v>
      </c>
      <c r="B62" s="1208">
        <f>'MSW Integration Calcs PDS2'!AK117</f>
        <v>1299.2334682003179</v>
      </c>
      <c r="C62" s="1228">
        <f t="shared" si="6"/>
        <v>258.60294826790101</v>
      </c>
      <c r="D62" s="1208">
        <f>'WTE and LM Analysis'!O76</f>
        <v>26.887146552000008</v>
      </c>
      <c r="E62" s="1228">
        <f t="shared" si="7"/>
        <v>0</v>
      </c>
      <c r="F62" s="1228">
        <f t="shared" si="8"/>
        <v>26.887146552000008</v>
      </c>
      <c r="G62" s="609"/>
      <c r="H62" s="1208">
        <f>'WTE and LM Analysis'!C76</f>
        <v>26.887146552000008</v>
      </c>
      <c r="I62" s="803">
        <f t="shared" si="9"/>
        <v>0</v>
      </c>
      <c r="J62" s="1228">
        <f t="shared" si="10"/>
        <v>26.887146552000008</v>
      </c>
    </row>
    <row r="63" spans="1:10" x14ac:dyDescent="0.4">
      <c r="A63" s="609">
        <f t="shared" si="5"/>
        <v>2019</v>
      </c>
      <c r="B63" s="1208">
        <f>'MSW Integration Calcs PDS2'!AK118</f>
        <v>1147.9339047103983</v>
      </c>
      <c r="C63" s="1228">
        <f t="shared" si="6"/>
        <v>228.48787338121627</v>
      </c>
      <c r="D63" s="1208">
        <f>'WTE and LM Analysis'!O77</f>
        <v>35.379666328291968</v>
      </c>
      <c r="E63" s="1228">
        <f t="shared" si="7"/>
        <v>0</v>
      </c>
      <c r="F63" s="1228">
        <f t="shared" si="8"/>
        <v>35.379666328291968</v>
      </c>
      <c r="G63" s="609"/>
      <c r="H63" s="1208">
        <f>'WTE and LM Analysis'!C77</f>
        <v>38.983440300426977</v>
      </c>
      <c r="I63" s="803">
        <f t="shared" si="9"/>
        <v>0</v>
      </c>
      <c r="J63" s="1228">
        <f t="shared" si="10"/>
        <v>38.983440300426977</v>
      </c>
    </row>
    <row r="64" spans="1:10" x14ac:dyDescent="0.4">
      <c r="A64" s="609">
        <f t="shared" si="5"/>
        <v>2020</v>
      </c>
      <c r="B64" s="1208">
        <f>'MSW Integration Calcs PDS2'!AK119</f>
        <v>1076.0191798608189</v>
      </c>
      <c r="C64" s="1228">
        <f t="shared" si="6"/>
        <v>214.17377177810951</v>
      </c>
      <c r="D64" s="1208">
        <f>'WTE and LM Analysis'!O78</f>
        <v>37.779549996075865</v>
      </c>
      <c r="E64" s="1228">
        <f t="shared" si="7"/>
        <v>0</v>
      </c>
      <c r="F64" s="1228">
        <f t="shared" si="8"/>
        <v>37.779549996075865</v>
      </c>
      <c r="G64" s="609"/>
      <c r="H64" s="1208">
        <f>'WTE and LM Analysis'!C78</f>
        <v>42.798705434678645</v>
      </c>
      <c r="I64" s="803">
        <f t="shared" si="9"/>
        <v>0</v>
      </c>
      <c r="J64" s="1228">
        <f t="shared" si="10"/>
        <v>42.798705434678645</v>
      </c>
    </row>
    <row r="65" spans="1:10" x14ac:dyDescent="0.4">
      <c r="A65" s="609">
        <f t="shared" si="5"/>
        <v>2021</v>
      </c>
      <c r="B65" s="1208">
        <f>'MSW Integration Calcs PDS2'!AK120</f>
        <v>1003.0047522010541</v>
      </c>
      <c r="C65" s="1228">
        <f t="shared" si="6"/>
        <v>199.6407823493017</v>
      </c>
      <c r="D65" s="1208">
        <f>'WTE and LM Analysis'!O79</f>
        <v>40.134486518956166</v>
      </c>
      <c r="E65" s="1228">
        <f t="shared" si="7"/>
        <v>0</v>
      </c>
      <c r="F65" s="1228">
        <f t="shared" si="8"/>
        <v>40.134486518956166</v>
      </c>
      <c r="G65" s="609"/>
      <c r="H65" s="1208">
        <f>'WTE and LM Analysis'!C79</f>
        <v>46.736252265010435</v>
      </c>
      <c r="I65" s="803">
        <f t="shared" si="9"/>
        <v>0</v>
      </c>
      <c r="J65" s="1228">
        <f t="shared" si="10"/>
        <v>46.736252265010435</v>
      </c>
    </row>
    <row r="66" spans="1:10" x14ac:dyDescent="0.4">
      <c r="A66" s="609">
        <f t="shared" si="5"/>
        <v>2022</v>
      </c>
      <c r="B66" s="1208">
        <f>'MSW Integration Calcs PDS2'!AK121</f>
        <v>927.89883446529291</v>
      </c>
      <c r="C66" s="1228">
        <f t="shared" si="6"/>
        <v>184.69149707131527</v>
      </c>
      <c r="D66" s="1208">
        <f>'WTE and LM Analysis'!O80</f>
        <v>42.467287212187713</v>
      </c>
      <c r="E66" s="1228">
        <f t="shared" si="7"/>
        <v>0</v>
      </c>
      <c r="F66" s="1228">
        <f t="shared" si="8"/>
        <v>42.467287212187713</v>
      </c>
      <c r="G66" s="609"/>
      <c r="H66" s="1208">
        <f>'WTE and LM Analysis'!C80</f>
        <v>50.806377378688339</v>
      </c>
      <c r="I66" s="803">
        <f t="shared" si="9"/>
        <v>0</v>
      </c>
      <c r="J66" s="1228">
        <f t="shared" si="10"/>
        <v>50.806377378688339</v>
      </c>
    </row>
    <row r="67" spans="1:10" x14ac:dyDescent="0.4">
      <c r="A67" s="609">
        <f t="shared" si="5"/>
        <v>2023</v>
      </c>
      <c r="B67" s="1208">
        <f>'MSW Integration Calcs PDS2'!AK122</f>
        <v>851.30948029339265</v>
      </c>
      <c r="C67" s="1228">
        <f t="shared" si="6"/>
        <v>169.44694458743933</v>
      </c>
      <c r="D67" s="1208">
        <f>'WTE and LM Analysis'!O81</f>
        <v>44.777644097613653</v>
      </c>
      <c r="E67" s="1228">
        <f t="shared" si="7"/>
        <v>0</v>
      </c>
      <c r="F67" s="1228">
        <f t="shared" si="8"/>
        <v>44.777644097613653</v>
      </c>
      <c r="G67" s="609"/>
      <c r="H67" s="1208">
        <f>'WTE and LM Analysis'!C81</f>
        <v>54.993820099953695</v>
      </c>
      <c r="I67" s="803">
        <f t="shared" si="9"/>
        <v>0</v>
      </c>
      <c r="J67" s="1228">
        <f t="shared" si="10"/>
        <v>54.993820099953695</v>
      </c>
    </row>
    <row r="68" spans="1:10" x14ac:dyDescent="0.4">
      <c r="A68" s="609">
        <f t="shared" si="5"/>
        <v>2024</v>
      </c>
      <c r="B68" s="1208">
        <f>'MSW Integration Calcs PDS2'!AK123</f>
        <v>773.28249267223237</v>
      </c>
      <c r="C68" s="1228">
        <f t="shared" si="6"/>
        <v>153.91624164823213</v>
      </c>
      <c r="D68" s="1208">
        <f>'WTE and LM Analysis'!O82</f>
        <v>47.064543134140642</v>
      </c>
      <c r="E68" s="1228">
        <f t="shared" si="7"/>
        <v>0</v>
      </c>
      <c r="F68" s="1228">
        <f t="shared" si="8"/>
        <v>47.064543134140642</v>
      </c>
      <c r="G68" s="609"/>
      <c r="H68" s="1208">
        <f>'WTE and LM Analysis'!C82</f>
        <v>59.282446062561277</v>
      </c>
      <c r="I68" s="803">
        <f t="shared" si="9"/>
        <v>0</v>
      </c>
      <c r="J68" s="1228">
        <f t="shared" si="10"/>
        <v>59.282446062561277</v>
      </c>
    </row>
    <row r="69" spans="1:10" x14ac:dyDescent="0.4">
      <c r="A69" s="609">
        <f t="shared" si="5"/>
        <v>2025</v>
      </c>
      <c r="B69" s="1208">
        <f>'MSW Integration Calcs PDS2'!AK124</f>
        <v>694.26190181982474</v>
      </c>
      <c r="C69" s="1228">
        <f t="shared" si="6"/>
        <v>138.1877692308687</v>
      </c>
      <c r="D69" s="1208">
        <f>'WTE and LM Analysis'!O83</f>
        <v>49.327123690130321</v>
      </c>
      <c r="E69" s="1228">
        <f t="shared" si="7"/>
        <v>0</v>
      </c>
      <c r="F69" s="1228">
        <f t="shared" si="8"/>
        <v>49.327123690130321</v>
      </c>
      <c r="G69" s="609"/>
      <c r="H69" s="1208">
        <f>'WTE and LM Analysis'!C83</f>
        <v>63.656241688118101</v>
      </c>
      <c r="I69" s="803">
        <f t="shared" si="9"/>
        <v>0</v>
      </c>
      <c r="J69" s="1228">
        <f t="shared" si="10"/>
        <v>63.656241688118101</v>
      </c>
    </row>
    <row r="70" spans="1:10" x14ac:dyDescent="0.4">
      <c r="A70" s="609">
        <f t="shared" si="5"/>
        <v>2026</v>
      </c>
      <c r="B70" s="1208">
        <f>'MSW Integration Calcs PDS2'!AK125</f>
        <v>619.94126291446446</v>
      </c>
      <c r="C70" s="1228">
        <f t="shared" si="6"/>
        <v>123.39478797808208</v>
      </c>
      <c r="D70" s="1208">
        <f>'WTE and LM Analysis'!O84</f>
        <v>51.565269208172893</v>
      </c>
      <c r="E70" s="1228">
        <f t="shared" si="7"/>
        <v>0</v>
      </c>
      <c r="F70" s="1228">
        <f t="shared" si="8"/>
        <v>51.565269208172893</v>
      </c>
      <c r="G70" s="609"/>
      <c r="H70" s="1208">
        <f>'WTE and LM Analysis'!C84</f>
        <v>68.100112894931939</v>
      </c>
      <c r="I70" s="803">
        <f t="shared" si="9"/>
        <v>0</v>
      </c>
      <c r="J70" s="1228">
        <f t="shared" si="10"/>
        <v>68.100112894931939</v>
      </c>
    </row>
    <row r="71" spans="1:10" x14ac:dyDescent="0.4">
      <c r="A71" s="609">
        <f t="shared" si="5"/>
        <v>2027</v>
      </c>
      <c r="B71" s="1208">
        <f>'MSW Integration Calcs PDS2'!AK126</f>
        <v>547.55924660882397</v>
      </c>
      <c r="C71" s="1228">
        <f t="shared" si="6"/>
        <v>108.9876754179799</v>
      </c>
      <c r="D71" s="1208">
        <f>'WTE and LM Analysis'!O85</f>
        <v>53.779365719005682</v>
      </c>
      <c r="E71" s="1228">
        <f t="shared" si="7"/>
        <v>0</v>
      </c>
      <c r="F71" s="1228">
        <f t="shared" si="8"/>
        <v>53.779365719005682</v>
      </c>
      <c r="G71" s="609"/>
      <c r="H71" s="1208">
        <f>'WTE and LM Analysis'!C85</f>
        <v>72.599686544155418</v>
      </c>
      <c r="I71" s="803">
        <f t="shared" si="9"/>
        <v>0</v>
      </c>
      <c r="J71" s="1228">
        <f t="shared" si="10"/>
        <v>72.599686544155418</v>
      </c>
    </row>
    <row r="72" spans="1:10" x14ac:dyDescent="0.4">
      <c r="A72" s="609">
        <f t="shared" si="5"/>
        <v>2028</v>
      </c>
      <c r="B72" s="1208">
        <f>'MSW Integration Calcs PDS2'!AK127</f>
        <v>461.52873649822141</v>
      </c>
      <c r="C72" s="1228">
        <f t="shared" si="6"/>
        <v>91.86392968626734</v>
      </c>
      <c r="D72" s="1208">
        <f>'WTE and LM Analysis'!O86</f>
        <v>55.969462539469063</v>
      </c>
      <c r="E72" s="1228">
        <f t="shared" si="7"/>
        <v>0</v>
      </c>
      <c r="F72" s="1228">
        <f t="shared" si="8"/>
        <v>55.969462539469063</v>
      </c>
      <c r="G72" s="609"/>
      <c r="H72" s="1208">
        <f>'WTE and LM Analysis'!C86</f>
        <v>77.140250356915004</v>
      </c>
      <c r="I72" s="803">
        <f t="shared" si="9"/>
        <v>0</v>
      </c>
      <c r="J72" s="1228">
        <f t="shared" si="10"/>
        <v>77.140250356915004</v>
      </c>
    </row>
    <row r="73" spans="1:10" x14ac:dyDescent="0.4">
      <c r="A73" s="609">
        <f t="shared" si="5"/>
        <v>2029</v>
      </c>
      <c r="B73" s="1208">
        <f>'MSW Integration Calcs PDS2'!AK128</f>
        <v>399.85191592034403</v>
      </c>
      <c r="C73" s="1228">
        <f t="shared" si="6"/>
        <v>79.587608277057555</v>
      </c>
      <c r="D73" s="1208">
        <f>'WTE and LM Analysis'!O87</f>
        <v>58.135696878401376</v>
      </c>
      <c r="E73" s="1228">
        <f t="shared" si="7"/>
        <v>0</v>
      </c>
      <c r="F73" s="1228">
        <f t="shared" si="8"/>
        <v>58.135696878401376</v>
      </c>
      <c r="G73" s="609"/>
      <c r="H73" s="1208">
        <f>'WTE and LM Analysis'!C87</f>
        <v>81.707294426274828</v>
      </c>
      <c r="I73" s="803">
        <f t="shared" si="9"/>
        <v>2.1196861492172729</v>
      </c>
      <c r="J73" s="1228">
        <f t="shared" si="10"/>
        <v>79.587608277057555</v>
      </c>
    </row>
    <row r="74" spans="1:10" x14ac:dyDescent="0.4">
      <c r="A74" s="609">
        <f t="shared" si="5"/>
        <v>2030</v>
      </c>
      <c r="B74" s="1208">
        <f>'MSW Integration Calcs PDS2'!AK129</f>
        <v>327.16334685378365</v>
      </c>
      <c r="C74" s="1228">
        <f t="shared" si="6"/>
        <v>65.119478625174821</v>
      </c>
      <c r="D74" s="1208">
        <f>'WTE and LM Analysis'!O88</f>
        <v>60.27818525089446</v>
      </c>
      <c r="E74" s="1228">
        <f t="shared" si="7"/>
        <v>0</v>
      </c>
      <c r="F74" s="1228">
        <f t="shared" si="8"/>
        <v>60.27818525089446</v>
      </c>
      <c r="G74" s="609"/>
      <c r="H74" s="1208">
        <f>'WTE and LM Analysis'!C88</f>
        <v>86.286367400519538</v>
      </c>
      <c r="I74" s="803">
        <f t="shared" si="9"/>
        <v>21.166888775344717</v>
      </c>
      <c r="J74" s="1228">
        <f t="shared" si="10"/>
        <v>65.119478625174821</v>
      </c>
    </row>
    <row r="75" spans="1:10" x14ac:dyDescent="0.4">
      <c r="A75" s="609">
        <f t="shared" si="5"/>
        <v>2031</v>
      </c>
      <c r="B75" s="1208">
        <f>'MSW Integration Calcs PDS2'!AK130</f>
        <v>250.74100301259148</v>
      </c>
      <c r="C75" s="1228">
        <f t="shared" si="6"/>
        <v>49.908168329842702</v>
      </c>
      <c r="D75" s="1208">
        <f>'WTE and LM Analysis'!O89</f>
        <v>62.396968005469226</v>
      </c>
      <c r="E75" s="1228">
        <f t="shared" si="7"/>
        <v>12.488799675626524</v>
      </c>
      <c r="F75" s="1228">
        <f t="shared" si="8"/>
        <v>49.908168329842702</v>
      </c>
      <c r="G75" s="609"/>
      <c r="H75" s="1208">
        <f>'WTE and LM Analysis'!C89</f>
        <v>90.862998276895667</v>
      </c>
      <c r="I75" s="1228">
        <f t="shared" si="9"/>
        <v>40.954829947052964</v>
      </c>
      <c r="J75" s="1228">
        <f t="shared" si="10"/>
        <v>49.908168329842702</v>
      </c>
    </row>
    <row r="76" spans="1:10" x14ac:dyDescent="0.4">
      <c r="A76" s="609">
        <f t="shared" si="5"/>
        <v>2032</v>
      </c>
      <c r="B76" s="1208">
        <f>'MSW Integration Calcs PDS2'!AK131</f>
        <v>175.67914246336454</v>
      </c>
      <c r="C76" s="1228">
        <f t="shared" si="6"/>
        <v>34.967652313585589</v>
      </c>
      <c r="D76" s="1208">
        <f>'WTE and LM Analysis'!O90</f>
        <v>64.492293701644826</v>
      </c>
      <c r="E76" s="1228">
        <f t="shared" si="7"/>
        <v>29.524641388059237</v>
      </c>
      <c r="F76" s="1228">
        <f t="shared" si="8"/>
        <v>34.967652313585589</v>
      </c>
      <c r="G76" s="609"/>
      <c r="H76" s="1208">
        <f>'WTE and LM Analysis'!C90</f>
        <v>95.423100541453977</v>
      </c>
      <c r="I76" s="1228">
        <f t="shared" si="9"/>
        <v>60.455448227868388</v>
      </c>
      <c r="J76" s="1228">
        <f t="shared" si="10"/>
        <v>34.967652313585589</v>
      </c>
    </row>
    <row r="77" spans="1:10" x14ac:dyDescent="0.4">
      <c r="A77" s="609">
        <f t="shared" si="5"/>
        <v>2033</v>
      </c>
      <c r="B77" s="1208">
        <f>'MSW Integration Calcs PDS2'!AK132</f>
        <v>100.33379533097684</v>
      </c>
      <c r="C77" s="1228">
        <f t="shared" si="6"/>
        <v>19.970710360039988</v>
      </c>
      <c r="D77" s="1208">
        <f>'WTE and LM Analysis'!O91</f>
        <v>66.56496996371942</v>
      </c>
      <c r="E77" s="1228">
        <f t="shared" si="7"/>
        <v>46.594259603679433</v>
      </c>
      <c r="F77" s="1228">
        <f t="shared" si="8"/>
        <v>19.970710360039988</v>
      </c>
      <c r="G77" s="609"/>
      <c r="H77" s="1208">
        <f>'WTE and LM Analysis'!C91</f>
        <v>99.953520854905804</v>
      </c>
      <c r="I77" s="1228">
        <f t="shared" si="9"/>
        <v>79.982810494865817</v>
      </c>
      <c r="J77" s="1228">
        <f t="shared" si="10"/>
        <v>19.970710360039988</v>
      </c>
    </row>
    <row r="78" spans="1:10" x14ac:dyDescent="0.4">
      <c r="A78" s="609">
        <f t="shared" si="5"/>
        <v>2034</v>
      </c>
      <c r="B78" s="1208">
        <f>'MSW Integration Calcs PDS2'!AK133</f>
        <v>28.645813769846768</v>
      </c>
      <c r="C78" s="1228">
        <f t="shared" si="6"/>
        <v>5.7017403551625945</v>
      </c>
      <c r="D78" s="1208">
        <f>'WTE and LM Analysis'!O92</f>
        <v>68.616088975991673</v>
      </c>
      <c r="E78" s="1228">
        <f t="shared" si="7"/>
        <v>62.914348620829081</v>
      </c>
      <c r="F78" s="1228">
        <f t="shared" si="8"/>
        <v>5.7017403551625945</v>
      </c>
      <c r="G78" s="609"/>
      <c r="H78" s="1208">
        <f>'WTE and LM Analysis'!C92</f>
        <v>104.44168357294357</v>
      </c>
      <c r="I78" s="1228">
        <f t="shared" si="9"/>
        <v>98.739943217780976</v>
      </c>
      <c r="J78" s="1228">
        <f t="shared" si="10"/>
        <v>5.7017403551625945</v>
      </c>
    </row>
    <row r="79" spans="1:10" x14ac:dyDescent="0.4">
      <c r="A79" s="609">
        <f t="shared" si="5"/>
        <v>2035</v>
      </c>
      <c r="B79" s="1208">
        <f>'MSW Integration Calcs PDS2'!AK134</f>
        <v>0</v>
      </c>
      <c r="C79" s="1228">
        <f t="shared" si="6"/>
        <v>0</v>
      </c>
      <c r="D79" s="1208">
        <f>'WTE and LM Analysis'!O93</f>
        <v>70.646529676721855</v>
      </c>
      <c r="E79" s="1228">
        <f t="shared" si="7"/>
        <v>70.646529676721855</v>
      </c>
      <c r="F79" s="1228">
        <f t="shared" si="8"/>
        <v>0</v>
      </c>
      <c r="G79" s="609"/>
      <c r="H79" s="1208">
        <f>'WTE and LM Analysis'!C93</f>
        <v>108.87485323191225</v>
      </c>
      <c r="I79" s="1228">
        <f t="shared" si="9"/>
        <v>108.87485323191225</v>
      </c>
      <c r="J79" s="1228">
        <f t="shared" si="10"/>
        <v>0</v>
      </c>
    </row>
    <row r="80" spans="1:10" x14ac:dyDescent="0.4">
      <c r="A80" s="609">
        <f t="shared" si="5"/>
        <v>2036</v>
      </c>
      <c r="B80" s="1208">
        <f>'MSW Integration Calcs PDS2'!AK135</f>
        <v>0</v>
      </c>
      <c r="C80" s="1228">
        <f t="shared" si="6"/>
        <v>0</v>
      </c>
      <c r="D80" s="1208">
        <f>'WTE and LM Analysis'!O94</f>
        <v>72.65684566220294</v>
      </c>
      <c r="E80" s="1228">
        <f t="shared" si="7"/>
        <v>72.65684566220294</v>
      </c>
      <c r="F80" s="1228">
        <f t="shared" si="8"/>
        <v>0</v>
      </c>
      <c r="G80" s="609"/>
      <c r="H80" s="1208">
        <f>'WTE and LM Analysis'!C94</f>
        <v>113.23993274907275</v>
      </c>
      <c r="I80" s="1228">
        <f t="shared" si="9"/>
        <v>113.23993274907275</v>
      </c>
      <c r="J80" s="1228">
        <f t="shared" si="10"/>
        <v>0</v>
      </c>
    </row>
    <row r="81" spans="1:10" x14ac:dyDescent="0.4">
      <c r="A81" s="609">
        <f t="shared" si="5"/>
        <v>2037</v>
      </c>
      <c r="B81" s="1208">
        <f>'MSW Integration Calcs PDS2'!AK136</f>
        <v>0</v>
      </c>
      <c r="C81" s="1228">
        <f t="shared" si="6"/>
        <v>0</v>
      </c>
      <c r="D81" s="1208">
        <f>'WTE and LM Analysis'!O95</f>
        <v>74.647039483918121</v>
      </c>
      <c r="E81" s="1228">
        <f t="shared" si="7"/>
        <v>74.647039483918121</v>
      </c>
      <c r="F81" s="1228">
        <f t="shared" si="8"/>
        <v>0</v>
      </c>
      <c r="G81" s="609"/>
      <c r="H81" s="1208">
        <f>'WTE and LM Analysis'!C95</f>
        <v>117.52306377809114</v>
      </c>
      <c r="I81" s="1228">
        <f t="shared" si="9"/>
        <v>117.52306377809114</v>
      </c>
      <c r="J81" s="1228">
        <f t="shared" si="10"/>
        <v>0</v>
      </c>
    </row>
    <row r="82" spans="1:10" x14ac:dyDescent="0.4">
      <c r="A82" s="609">
        <f t="shared" si="5"/>
        <v>2038</v>
      </c>
      <c r="B82" s="1208">
        <f>'MSW Integration Calcs PDS2'!AK137</f>
        <v>0</v>
      </c>
      <c r="C82" s="1228">
        <f t="shared" si="6"/>
        <v>0</v>
      </c>
      <c r="D82" s="1208">
        <f>'WTE and LM Analysis'!O96</f>
        <v>76.616742697757715</v>
      </c>
      <c r="E82" s="1228">
        <f t="shared" si="7"/>
        <v>76.616742697757715</v>
      </c>
      <c r="F82" s="1228">
        <f t="shared" si="8"/>
        <v>0</v>
      </c>
      <c r="G82" s="609"/>
      <c r="H82" s="1208">
        <f>'WTE and LM Analysis'!C96</f>
        <v>121.70985730862294</v>
      </c>
      <c r="I82" s="1228">
        <f t="shared" si="9"/>
        <v>121.70985730862294</v>
      </c>
      <c r="J82" s="1228">
        <f t="shared" si="10"/>
        <v>0</v>
      </c>
    </row>
    <row r="83" spans="1:10" x14ac:dyDescent="0.4">
      <c r="A83" s="609">
        <f t="shared" si="5"/>
        <v>2039</v>
      </c>
      <c r="B83" s="1208">
        <f>'MSW Integration Calcs PDS2'!AK138</f>
        <v>0</v>
      </c>
      <c r="C83" s="1228">
        <f t="shared" si="6"/>
        <v>0</v>
      </c>
      <c r="D83" s="1208">
        <f>'WTE and LM Analysis'!O97</f>
        <v>78.565217974731738</v>
      </c>
      <c r="E83" s="1228">
        <f t="shared" si="7"/>
        <v>78.565217974731738</v>
      </c>
      <c r="F83" s="1228">
        <f t="shared" si="8"/>
        <v>0</v>
      </c>
      <c r="G83" s="609"/>
      <c r="H83" s="1208">
        <f>'WTE and LM Analysis'!C97</f>
        <v>125.78537970755778</v>
      </c>
      <c r="I83" s="1228">
        <f t="shared" si="9"/>
        <v>125.78537970755778</v>
      </c>
      <c r="J83" s="1228">
        <f t="shared" si="10"/>
        <v>0</v>
      </c>
    </row>
    <row r="84" spans="1:10" x14ac:dyDescent="0.4">
      <c r="A84" s="609">
        <f t="shared" si="5"/>
        <v>2040</v>
      </c>
      <c r="B84" s="1208">
        <f>'MSW Integration Calcs PDS2'!AK139</f>
        <v>0</v>
      </c>
      <c r="C84" s="1228">
        <f t="shared" si="6"/>
        <v>0</v>
      </c>
      <c r="D84" s="1208">
        <f>'WTE and LM Analysis'!O98</f>
        <v>80.491856043560162</v>
      </c>
      <c r="E84" s="1228">
        <f t="shared" si="7"/>
        <v>80.491856043560162</v>
      </c>
      <c r="F84" s="1228">
        <f t="shared" si="8"/>
        <v>0</v>
      </c>
      <c r="G84" s="609"/>
      <c r="H84" s="1208">
        <f>'WTE and LM Analysis'!C98</f>
        <v>129.73494029810473</v>
      </c>
      <c r="I84" s="1228">
        <f t="shared" si="9"/>
        <v>129.73494029810473</v>
      </c>
      <c r="J84" s="1228">
        <f t="shared" si="10"/>
        <v>0</v>
      </c>
    </row>
    <row r="85" spans="1:10" x14ac:dyDescent="0.4">
      <c r="A85" s="609">
        <f t="shared" si="5"/>
        <v>2041</v>
      </c>
      <c r="B85" s="1208">
        <f>'MSW Integration Calcs PDS2'!AK140</f>
        <v>0</v>
      </c>
      <c r="C85" s="1228">
        <f t="shared" si="6"/>
        <v>0</v>
      </c>
      <c r="D85" s="1208">
        <f>'WTE and LM Analysis'!O99</f>
        <v>82.396537316262766</v>
      </c>
      <c r="E85" s="1228">
        <f t="shared" si="7"/>
        <v>82.396537316262766</v>
      </c>
      <c r="F85" s="1228">
        <f t="shared" si="8"/>
        <v>0</v>
      </c>
      <c r="G85" s="609"/>
      <c r="H85" s="1208">
        <f>'WTE and LM Analysis'!C99</f>
        <v>133.54469664651052</v>
      </c>
      <c r="I85" s="1228">
        <f t="shared" si="9"/>
        <v>133.54469664651052</v>
      </c>
      <c r="J85" s="1228">
        <f t="shared" si="10"/>
        <v>0</v>
      </c>
    </row>
    <row r="86" spans="1:10" x14ac:dyDescent="0.4">
      <c r="A86" s="609">
        <f t="shared" si="5"/>
        <v>2042</v>
      </c>
      <c r="B86" s="1208">
        <f>'MSW Integration Calcs PDS2'!AK141</f>
        <v>0</v>
      </c>
      <c r="C86" s="1228">
        <f t="shared" si="6"/>
        <v>0</v>
      </c>
      <c r="D86" s="1208">
        <f>'WTE and LM Analysis'!O100</f>
        <v>84.27938679865629</v>
      </c>
      <c r="E86" s="1228">
        <f t="shared" si="7"/>
        <v>84.27938679865629</v>
      </c>
      <c r="F86" s="1228">
        <f t="shared" si="8"/>
        <v>0</v>
      </c>
      <c r="G86" s="609"/>
      <c r="H86" s="1208">
        <f>'WTE and LM Analysis'!C100</f>
        <v>137.20128690927984</v>
      </c>
      <c r="I86" s="1228">
        <f t="shared" si="9"/>
        <v>137.20128690927984</v>
      </c>
      <c r="J86" s="1228">
        <f t="shared" si="10"/>
        <v>0</v>
      </c>
    </row>
    <row r="87" spans="1:10" x14ac:dyDescent="0.4">
      <c r="A87" s="609">
        <f t="shared" si="5"/>
        <v>2043</v>
      </c>
      <c r="B87" s="1208">
        <f>'MSW Integration Calcs PDS2'!AK142</f>
        <v>0</v>
      </c>
      <c r="C87" s="1228">
        <f t="shared" si="6"/>
        <v>0</v>
      </c>
      <c r="D87" s="1208">
        <f>'WTE and LM Analysis'!O101</f>
        <v>86.140245470696229</v>
      </c>
      <c r="E87" s="1228">
        <f t="shared" si="7"/>
        <v>86.140245470696229</v>
      </c>
      <c r="F87" s="1228">
        <f t="shared" si="8"/>
        <v>0</v>
      </c>
      <c r="G87" s="609"/>
      <c r="H87" s="1208">
        <f>'WTE and LM Analysis'!C101</f>
        <v>140.69097532313859</v>
      </c>
      <c r="I87" s="1228">
        <f t="shared" si="9"/>
        <v>140.69097532313859</v>
      </c>
      <c r="J87" s="1228">
        <f t="shared" si="10"/>
        <v>0</v>
      </c>
    </row>
    <row r="88" spans="1:10" x14ac:dyDescent="0.4">
      <c r="A88" s="609">
        <f t="shared" si="5"/>
        <v>2044</v>
      </c>
      <c r="B88" s="1208">
        <f>'MSW Integration Calcs PDS2'!AK143</f>
        <v>0</v>
      </c>
      <c r="C88" s="1228">
        <f t="shared" si="6"/>
        <v>0</v>
      </c>
      <c r="D88" s="1208">
        <f>'WTE and LM Analysis'!O102</f>
        <v>87.978970038466557</v>
      </c>
      <c r="E88" s="1228">
        <f t="shared" si="7"/>
        <v>87.978970038466557</v>
      </c>
      <c r="F88" s="1228">
        <f t="shared" si="8"/>
        <v>0</v>
      </c>
      <c r="G88" s="609"/>
      <c r="H88" s="1208">
        <f>'WTE and LM Analysis'!C102</f>
        <v>144.00013374410895</v>
      </c>
      <c r="I88" s="1228">
        <f t="shared" si="9"/>
        <v>144.00013374410895</v>
      </c>
      <c r="J88" s="1228">
        <f t="shared" si="10"/>
        <v>0</v>
      </c>
    </row>
    <row r="89" spans="1:10" x14ac:dyDescent="0.4">
      <c r="A89" s="609">
        <f t="shared" si="5"/>
        <v>2045</v>
      </c>
      <c r="B89" s="1208">
        <f>'MSW Integration Calcs PDS2'!AK144</f>
        <v>0</v>
      </c>
      <c r="C89" s="1228">
        <f t="shared" si="6"/>
        <v>0</v>
      </c>
      <c r="D89" s="1208">
        <f>'WTE and LM Analysis'!O103</f>
        <v>89.795411286964878</v>
      </c>
      <c r="E89" s="1228">
        <f t="shared" si="7"/>
        <v>89.795411286964878</v>
      </c>
      <c r="F89" s="1228">
        <f t="shared" si="8"/>
        <v>0</v>
      </c>
      <c r="G89" s="609"/>
      <c r="H89" s="1208">
        <f>'WTE and LM Analysis'!C103</f>
        <v>147.11520867761618</v>
      </c>
      <c r="I89" s="1228">
        <f t="shared" si="9"/>
        <v>147.11520867761618</v>
      </c>
      <c r="J89" s="1228">
        <f t="shared" si="10"/>
        <v>0</v>
      </c>
    </row>
    <row r="90" spans="1:10" x14ac:dyDescent="0.4">
      <c r="A90" s="609">
        <f t="shared" si="5"/>
        <v>2046</v>
      </c>
      <c r="B90" s="1208">
        <f>'MSW Integration Calcs PDS2'!AK145</f>
        <v>0</v>
      </c>
      <c r="C90" s="1228">
        <f t="shared" si="6"/>
        <v>0</v>
      </c>
      <c r="D90" s="1208">
        <f>'WTE and LM Analysis'!O104</f>
        <v>91.589418818606603</v>
      </c>
      <c r="E90" s="1228">
        <f t="shared" si="7"/>
        <v>91.589418818606603</v>
      </c>
      <c r="F90" s="1228">
        <f t="shared" si="8"/>
        <v>0</v>
      </c>
      <c r="G90" s="609"/>
      <c r="H90" s="1208">
        <f>'WTE and LM Analysis'!C104</f>
        <v>150.02273522205866</v>
      </c>
      <c r="I90" s="1228">
        <f t="shared" si="9"/>
        <v>150.02273522205866</v>
      </c>
      <c r="J90" s="1228">
        <f t="shared" si="10"/>
        <v>0</v>
      </c>
    </row>
    <row r="91" spans="1:10" x14ac:dyDescent="0.4">
      <c r="A91" s="609">
        <f t="shared" si="5"/>
        <v>2047</v>
      </c>
      <c r="B91" s="1208">
        <f>'MSW Integration Calcs PDS2'!AK146</f>
        <v>0</v>
      </c>
      <c r="C91" s="1228">
        <f t="shared" si="6"/>
        <v>0</v>
      </c>
      <c r="D91" s="1208">
        <f>'WTE and LM Analysis'!O105</f>
        <v>93.360848557927</v>
      </c>
      <c r="E91" s="1228">
        <f t="shared" si="7"/>
        <v>93.360848557927</v>
      </c>
      <c r="F91" s="1228">
        <f t="shared" si="8"/>
        <v>0</v>
      </c>
      <c r="G91" s="609"/>
      <c r="H91" s="1208">
        <f>'WTE and LM Analysis'!C105</f>
        <v>152.70935417829546</v>
      </c>
      <c r="I91" s="1228">
        <f t="shared" si="9"/>
        <v>152.70935417829546</v>
      </c>
      <c r="J91" s="1228">
        <f t="shared" si="10"/>
        <v>0</v>
      </c>
    </row>
    <row r="92" spans="1:10" x14ac:dyDescent="0.4">
      <c r="A92" s="609">
        <f t="shared" si="5"/>
        <v>2048</v>
      </c>
      <c r="B92" s="1208">
        <f>'MSW Integration Calcs PDS2'!AK147</f>
        <v>0</v>
      </c>
      <c r="C92" s="1228">
        <f t="shared" si="6"/>
        <v>0</v>
      </c>
      <c r="D92" s="1208">
        <f>'WTE and LM Analysis'!O106</f>
        <v>95.10957342096934</v>
      </c>
      <c r="E92" s="1228">
        <f t="shared" si="7"/>
        <v>95.10957342096934</v>
      </c>
      <c r="F92" s="1228">
        <f t="shared" si="8"/>
        <v>0</v>
      </c>
      <c r="G92" s="609"/>
      <c r="H92" s="1208">
        <f>'WTE and LM Analysis'!C106</f>
        <v>155.16182805723255</v>
      </c>
      <c r="I92" s="1228">
        <f t="shared" si="9"/>
        <v>155.16182805723255</v>
      </c>
      <c r="J92" s="1228">
        <f t="shared" si="10"/>
        <v>0</v>
      </c>
    </row>
    <row r="93" spans="1:10" x14ac:dyDescent="0.4">
      <c r="A93" s="609">
        <f t="shared" si="5"/>
        <v>2049</v>
      </c>
      <c r="B93" s="1208">
        <f>'MSW Integration Calcs PDS2'!AK148</f>
        <v>0</v>
      </c>
      <c r="C93" s="1228">
        <f t="shared" si="6"/>
        <v>0</v>
      </c>
      <c r="D93" s="1208">
        <f>'WTE and LM Analysis'!O107</f>
        <v>96.83548122305757</v>
      </c>
      <c r="E93" s="1228">
        <f t="shared" si="7"/>
        <v>96.83548122305757</v>
      </c>
      <c r="F93" s="1228">
        <f t="shared" si="8"/>
        <v>0</v>
      </c>
      <c r="G93" s="609"/>
      <c r="H93" s="1208">
        <f>'WTE and LM Analysis'!C107</f>
        <v>157.36703877423986</v>
      </c>
      <c r="I93" s="1228">
        <f t="shared" si="9"/>
        <v>157.36703877423986</v>
      </c>
      <c r="J93" s="1228">
        <f t="shared" si="10"/>
        <v>0</v>
      </c>
    </row>
    <row r="94" spans="1:10" x14ac:dyDescent="0.4">
      <c r="A94" s="609">
        <f t="shared" si="5"/>
        <v>2050</v>
      </c>
      <c r="B94" s="1208">
        <f>'MSW Integration Calcs PDS2'!AK149</f>
        <v>0</v>
      </c>
      <c r="C94" s="1228">
        <f t="shared" si="6"/>
        <v>0</v>
      </c>
      <c r="D94" s="1208">
        <f>'WTE and LM Analysis'!O108</f>
        <v>98.538457979364154</v>
      </c>
      <c r="E94" s="1228">
        <f t="shared" si="7"/>
        <v>98.538457979364154</v>
      </c>
      <c r="F94" s="1228">
        <f t="shared" si="8"/>
        <v>0</v>
      </c>
      <c r="G94" s="609"/>
      <c r="H94" s="1208">
        <f>'WTE and LM Analysis'!C108</f>
        <v>159.31196703206891</v>
      </c>
      <c r="I94" s="1228">
        <f t="shared" si="9"/>
        <v>159.31196703206891</v>
      </c>
      <c r="J94" s="1228">
        <f t="shared" si="10"/>
        <v>0</v>
      </c>
    </row>
    <row r="95" spans="1:10" x14ac:dyDescent="0.4">
      <c r="A95" s="609">
        <f t="shared" si="5"/>
        <v>2051</v>
      </c>
      <c r="B95" s="1208">
        <f>'MSW Integration Calcs PDS2'!AK150</f>
        <v>0</v>
      </c>
      <c r="C95" s="1228">
        <f t="shared" si="6"/>
        <v>0</v>
      </c>
      <c r="D95" s="1208">
        <f>'WTE and LM Analysis'!O109</f>
        <v>100.21840442768308</v>
      </c>
      <c r="E95" s="1228">
        <f t="shared" si="7"/>
        <v>100.21840442768308</v>
      </c>
      <c r="F95" s="1228">
        <f t="shared" si="8"/>
        <v>0</v>
      </c>
      <c r="G95" s="609"/>
      <c r="H95" s="1208">
        <f>'WTE and LM Analysis'!C109</f>
        <v>160.98372829374765</v>
      </c>
      <c r="I95" s="1228">
        <f t="shared" si="9"/>
        <v>160.98372829374765</v>
      </c>
      <c r="J95" s="1228">
        <f t="shared" si="10"/>
        <v>0</v>
      </c>
    </row>
    <row r="96" spans="1:10" x14ac:dyDescent="0.4">
      <c r="A96" s="609">
        <f t="shared" si="5"/>
        <v>2052</v>
      </c>
      <c r="B96" s="1208">
        <f>'MSW Integration Calcs PDS2'!AK151</f>
        <v>0</v>
      </c>
      <c r="C96" s="1228">
        <f t="shared" si="6"/>
        <v>0</v>
      </c>
      <c r="D96" s="1208">
        <f>'WTE and LM Analysis'!O110</f>
        <v>101.87521957884724</v>
      </c>
      <c r="E96" s="1228">
        <f t="shared" si="7"/>
        <v>101.87521957884724</v>
      </c>
      <c r="F96" s="1228">
        <f t="shared" si="8"/>
        <v>0</v>
      </c>
      <c r="G96" s="609"/>
      <c r="H96" s="1208">
        <f>'WTE and LM Analysis'!C110</f>
        <v>162.36955235982163</v>
      </c>
      <c r="I96" s="1228">
        <f t="shared" si="9"/>
        <v>162.36955235982163</v>
      </c>
      <c r="J96" s="1228">
        <f t="shared" si="10"/>
        <v>0</v>
      </c>
    </row>
    <row r="97" spans="1:10" x14ac:dyDescent="0.4">
      <c r="A97" s="609">
        <f t="shared" si="5"/>
        <v>2053</v>
      </c>
      <c r="B97" s="1208">
        <f>'MSW Integration Calcs PDS2'!AK152</f>
        <v>0</v>
      </c>
      <c r="C97" s="1228">
        <f t="shared" si="6"/>
        <v>0</v>
      </c>
      <c r="D97" s="1208">
        <f>'WTE and LM Analysis'!O111</f>
        <v>103.50879046561373</v>
      </c>
      <c r="E97" s="1228">
        <f t="shared" si="7"/>
        <v>103.50879046561373</v>
      </c>
      <c r="F97" s="1228">
        <f t="shared" si="8"/>
        <v>0</v>
      </c>
      <c r="G97" s="609"/>
      <c r="H97" s="1208">
        <f>'WTE and LM Analysis'!C111</f>
        <v>163.45676757144494</v>
      </c>
      <c r="I97" s="1228">
        <f t="shared" si="9"/>
        <v>163.45676757144494</v>
      </c>
      <c r="J97" s="1228">
        <f t="shared" si="10"/>
        <v>0</v>
      </c>
    </row>
    <row r="98" spans="1:10" x14ac:dyDescent="0.4">
      <c r="A98" s="609">
        <f t="shared" si="5"/>
        <v>2054</v>
      </c>
      <c r="B98" s="1208">
        <f>'MSW Integration Calcs PDS2'!AK153</f>
        <v>0</v>
      </c>
      <c r="C98" s="1228">
        <f t="shared" si="6"/>
        <v>0</v>
      </c>
      <c r="D98" s="1208">
        <f>'WTE and LM Analysis'!O112</f>
        <v>105.1190089267713</v>
      </c>
      <c r="E98" s="1228">
        <f t="shared" si="7"/>
        <v>105.1190089267713</v>
      </c>
      <c r="F98" s="1228">
        <f t="shared" si="8"/>
        <v>0</v>
      </c>
      <c r="G98" s="609"/>
      <c r="H98" s="1208">
        <f>'WTE and LM Analysis'!C112</f>
        <v>164.23283666348806</v>
      </c>
      <c r="I98" s="1228">
        <f t="shared" si="9"/>
        <v>164.23283666348806</v>
      </c>
      <c r="J98" s="1228">
        <f t="shared" si="10"/>
        <v>0</v>
      </c>
    </row>
    <row r="99" spans="1:10" x14ac:dyDescent="0.4">
      <c r="A99" s="609">
        <f t="shared" si="5"/>
        <v>2055</v>
      </c>
      <c r="B99" s="1208">
        <f>'MSW Integration Calcs PDS2'!AK154</f>
        <v>0</v>
      </c>
      <c r="C99" s="1228">
        <f t="shared" si="6"/>
        <v>0</v>
      </c>
      <c r="D99" s="1208">
        <f>'WTE and LM Analysis'!O113</f>
        <v>106.70578888993744</v>
      </c>
      <c r="E99" s="1228">
        <f t="shared" si="7"/>
        <v>106.70578888993744</v>
      </c>
      <c r="F99" s="1228">
        <f t="shared" si="8"/>
        <v>0</v>
      </c>
      <c r="G99" s="609"/>
      <c r="H99" s="1208">
        <f>'WTE and LM Analysis'!C113</f>
        <v>164.68538599054216</v>
      </c>
      <c r="I99" s="1228">
        <f t="shared" si="9"/>
        <v>164.68538599054216</v>
      </c>
      <c r="J99" s="1228">
        <f t="shared" si="10"/>
        <v>0</v>
      </c>
    </row>
    <row r="100" spans="1:10" x14ac:dyDescent="0.4">
      <c r="A100" s="609">
        <f t="shared" si="5"/>
        <v>2056</v>
      </c>
      <c r="B100" s="1208">
        <f>'MSW Integration Calcs PDS2'!AK155</f>
        <v>0</v>
      </c>
      <c r="C100" s="1228">
        <f t="shared" si="6"/>
        <v>0</v>
      </c>
      <c r="D100" s="1208">
        <f>'WTE and LM Analysis'!O114</f>
        <v>108.2690714431258</v>
      </c>
      <c r="E100" s="1228">
        <f t="shared" si="7"/>
        <v>108.2690714431258</v>
      </c>
      <c r="F100" s="1228">
        <f t="shared" si="8"/>
        <v>0</v>
      </c>
      <c r="G100" s="609"/>
      <c r="H100" s="1208">
        <f>'WTE and LM Analysis'!C114</f>
        <v>164.80221262789735</v>
      </c>
      <c r="I100" s="1228">
        <f t="shared" si="9"/>
        <v>164.80221262789735</v>
      </c>
      <c r="J100" s="1228">
        <f t="shared" si="10"/>
        <v>0</v>
      </c>
    </row>
    <row r="101" spans="1:10" x14ac:dyDescent="0.4">
      <c r="A101" s="609">
        <f t="shared" si="5"/>
        <v>2057</v>
      </c>
      <c r="B101" s="1208">
        <f>'MSW Integration Calcs PDS2'!AK156</f>
        <v>0</v>
      </c>
      <c r="C101" s="1228">
        <f t="shared" si="6"/>
        <v>0</v>
      </c>
      <c r="D101" s="1208">
        <f>'WTE and LM Analysis'!O115</f>
        <v>109.80883553069131</v>
      </c>
      <c r="E101" s="1228">
        <f t="shared" si="7"/>
        <v>109.80883553069131</v>
      </c>
      <c r="F101" s="1228">
        <f t="shared" si="8"/>
        <v>0</v>
      </c>
      <c r="G101" s="609"/>
      <c r="H101" s="1208">
        <f>'WTE and LM Analysis'!C115</f>
        <v>164.57130761627104</v>
      </c>
      <c r="I101" s="1228">
        <f t="shared" si="9"/>
        <v>164.57130761627104</v>
      </c>
      <c r="J101" s="1228">
        <f t="shared" si="10"/>
        <v>0</v>
      </c>
    </row>
    <row r="102" spans="1:10" x14ac:dyDescent="0.4">
      <c r="A102" s="609">
        <f t="shared" si="5"/>
        <v>2058</v>
      </c>
      <c r="B102" s="1208">
        <f>'MSW Integration Calcs PDS2'!AK157</f>
        <v>0</v>
      </c>
      <c r="C102" s="1228">
        <f t="shared" si="6"/>
        <v>0</v>
      </c>
      <c r="D102" s="1208">
        <f>'WTE and LM Analysis'!O116</f>
        <v>111.32511227223105</v>
      </c>
      <c r="E102" s="1228">
        <f t="shared" si="7"/>
        <v>111.32511227223105</v>
      </c>
      <c r="F102" s="1228">
        <f t="shared" si="8"/>
        <v>0</v>
      </c>
      <c r="G102" s="609"/>
      <c r="H102" s="1208">
        <f>'WTE and LM Analysis'!C116</f>
        <v>163.98088810988349</v>
      </c>
      <c r="I102" s="1228">
        <f t="shared" si="9"/>
        <v>163.98088810988349</v>
      </c>
      <c r="J102" s="1228">
        <f t="shared" si="10"/>
        <v>0</v>
      </c>
    </row>
    <row r="103" spans="1:10" x14ac:dyDescent="0.4">
      <c r="A103" s="609">
        <f t="shared" si="5"/>
        <v>2059</v>
      </c>
      <c r="B103" s="1208">
        <f>'MSW Integration Calcs PDS2'!AK158</f>
        <v>0</v>
      </c>
      <c r="C103" s="1228">
        <f t="shared" si="6"/>
        <v>0</v>
      </c>
      <c r="D103" s="1208">
        <f>'WTE and LM Analysis'!O117</f>
        <v>112.81797092937515</v>
      </c>
      <c r="E103" s="1228">
        <f t="shared" si="7"/>
        <v>112.81797092937515</v>
      </c>
      <c r="F103" s="1228">
        <f t="shared" si="8"/>
        <v>0</v>
      </c>
      <c r="G103" s="609"/>
      <c r="H103" s="1208">
        <f>'WTE and LM Analysis'!C117</f>
        <v>163.01936939813382</v>
      </c>
      <c r="I103" s="1228">
        <f t="shared" si="9"/>
        <v>163.01936939813382</v>
      </c>
      <c r="J103" s="1228">
        <f t="shared" si="10"/>
        <v>0</v>
      </c>
    </row>
    <row r="104" spans="1:10" x14ac:dyDescent="0.4">
      <c r="A104" s="609">
        <f t="shared" si="5"/>
        <v>2060</v>
      </c>
      <c r="B104" s="1208">
        <f>'MSW Integration Calcs PDS2'!AK159</f>
        <v>0</v>
      </c>
      <c r="C104" s="1228">
        <f t="shared" si="6"/>
        <v>0</v>
      </c>
      <c r="D104" s="1208">
        <f>'WTE and LM Analysis'!O118</f>
        <v>114.28748830002007</v>
      </c>
      <c r="E104" s="1228">
        <f t="shared" si="7"/>
        <v>114.28748830002007</v>
      </c>
      <c r="F104" s="1228">
        <f t="shared" si="8"/>
        <v>0</v>
      </c>
      <c r="G104" s="609"/>
      <c r="H104" s="1208">
        <f>'WTE and LM Analysis'!C118</f>
        <v>161.67531421765241</v>
      </c>
      <c r="I104" s="1228">
        <f t="shared" si="9"/>
        <v>161.67531421765241</v>
      </c>
      <c r="J104" s="1228">
        <f t="shared" si="10"/>
        <v>0</v>
      </c>
    </row>
    <row r="105" spans="1:10" x14ac:dyDescent="0.4">
      <c r="A105" s="609"/>
    </row>
    <row r="106" spans="1:10" x14ac:dyDescent="0.4">
      <c r="A106" s="1" t="s">
        <v>408</v>
      </c>
      <c r="B106" s="609"/>
      <c r="C106" s="609"/>
      <c r="D106" s="609"/>
      <c r="E106" s="609"/>
      <c r="F106" s="609"/>
      <c r="G106" s="609"/>
      <c r="H106" s="609"/>
      <c r="I106" s="609"/>
      <c r="J106" s="609"/>
    </row>
    <row r="107" spans="1:10" ht="49.2" x14ac:dyDescent="0.4">
      <c r="A107" s="609"/>
      <c r="B107" s="609" t="s">
        <v>411</v>
      </c>
      <c r="C107" s="609" t="s">
        <v>413</v>
      </c>
      <c r="D107" s="1216" t="s">
        <v>1106</v>
      </c>
      <c r="E107" s="341" t="s">
        <v>1107</v>
      </c>
      <c r="F107" s="341" t="s">
        <v>1132</v>
      </c>
      <c r="G107" s="609"/>
      <c r="H107" s="1216" t="s">
        <v>1123</v>
      </c>
      <c r="I107" s="341" t="s">
        <v>414</v>
      </c>
      <c r="J107" s="341" t="s">
        <v>418</v>
      </c>
    </row>
    <row r="108" spans="1:10" x14ac:dyDescent="0.4">
      <c r="A108" s="609">
        <f>A58</f>
        <v>2014</v>
      </c>
      <c r="B108" s="1208">
        <f>'MSW Integration Calcs PDS3'!AK113</f>
        <v>1086.7611689236271</v>
      </c>
      <c r="C108" s="1228">
        <f>B108*$D$4/10^6</f>
        <v>216.31188637405791</v>
      </c>
      <c r="D108" s="1208">
        <f>'WTE and LM Analysis'!O72</f>
        <v>23.802159959999997</v>
      </c>
      <c r="E108" s="1228">
        <f>IF((D108-$C108)&gt;0,(D108-$C108),0)</f>
        <v>0</v>
      </c>
      <c r="F108" s="1228">
        <f>MIN(C108,D108)</f>
        <v>23.802159959999997</v>
      </c>
      <c r="G108" s="609"/>
      <c r="H108" s="1208">
        <f>'WTE and LM Analysis'!C72</f>
        <v>23.802159959999997</v>
      </c>
      <c r="I108" s="1228">
        <f>IF((H108-$C108)&gt;0,(H108-$C108),0)</f>
        <v>0</v>
      </c>
      <c r="J108" s="1228">
        <f>MIN($C108,H108)</f>
        <v>23.802159959999997</v>
      </c>
    </row>
    <row r="109" spans="1:10" x14ac:dyDescent="0.4">
      <c r="A109" s="609">
        <f t="shared" ref="A109:A154" si="11">A59</f>
        <v>2015</v>
      </c>
      <c r="B109" s="1208">
        <f>'MSW Integration Calcs PDS3'!AK114</f>
        <v>1083.0993136720335</v>
      </c>
      <c r="C109" s="1228">
        <f t="shared" ref="C109:C154" si="12">B109*$D$4/10^6</f>
        <v>215.58302078725609</v>
      </c>
      <c r="D109" s="1208">
        <f>'WTE and LM Analysis'!O73</f>
        <v>25.0214508</v>
      </c>
      <c r="E109" s="1228">
        <f t="shared" ref="E109:E154" si="13">IF((D109-$C109)&gt;0,(D109-$C109),0)</f>
        <v>0</v>
      </c>
      <c r="F109" s="1228">
        <f t="shared" ref="F109:F154" si="14">MIN(C109,D109)</f>
        <v>25.0214508</v>
      </c>
      <c r="G109" s="609"/>
      <c r="H109" s="1208">
        <f>'WTE and LM Analysis'!C73</f>
        <v>25.0214508</v>
      </c>
      <c r="I109" s="1228">
        <f t="shared" ref="I109:I154" si="15">IF((H109-$C109)&gt;0,(H109-$C109),0)</f>
        <v>0</v>
      </c>
      <c r="J109" s="1228">
        <f t="shared" ref="J109:J154" si="16">MIN($C109,H109)</f>
        <v>25.0214508</v>
      </c>
    </row>
    <row r="110" spans="1:10" x14ac:dyDescent="0.4">
      <c r="A110" s="609">
        <f t="shared" si="11"/>
        <v>2016</v>
      </c>
      <c r="B110" s="1208">
        <f>'MSW Integration Calcs PDS3'!AK115</f>
        <v>1189.752402986132</v>
      </c>
      <c r="C110" s="1228">
        <f t="shared" si="12"/>
        <v>236.81154053645113</v>
      </c>
      <c r="D110" s="1208">
        <f>'WTE and LM Analysis'!O74</f>
        <v>26.016150960000001</v>
      </c>
      <c r="E110" s="1228">
        <f t="shared" si="13"/>
        <v>0</v>
      </c>
      <c r="F110" s="1228">
        <f t="shared" si="14"/>
        <v>26.016150960000001</v>
      </c>
      <c r="G110" s="609"/>
      <c r="H110" s="1208">
        <f>'WTE and LM Analysis'!C74</f>
        <v>26.016150959999997</v>
      </c>
      <c r="I110" s="1228">
        <f t="shared" si="15"/>
        <v>0</v>
      </c>
      <c r="J110" s="1228">
        <f t="shared" si="16"/>
        <v>26.016150959999997</v>
      </c>
    </row>
    <row r="111" spans="1:10" x14ac:dyDescent="0.4">
      <c r="A111" s="609">
        <f t="shared" si="11"/>
        <v>2017</v>
      </c>
      <c r="B111" s="1208">
        <f>'MSW Integration Calcs PDS3'!AK116</f>
        <v>1268.5546114853487</v>
      </c>
      <c r="C111" s="1228">
        <f t="shared" si="12"/>
        <v>252.49654553878327</v>
      </c>
      <c r="D111" s="1208">
        <f>'WTE and LM Analysis'!O75</f>
        <v>26.572987800000003</v>
      </c>
      <c r="E111" s="1228">
        <f t="shared" si="13"/>
        <v>0</v>
      </c>
      <c r="F111" s="1228">
        <f t="shared" si="14"/>
        <v>26.572987800000003</v>
      </c>
      <c r="G111" s="609"/>
      <c r="H111" s="1208">
        <f>'WTE and LM Analysis'!C75</f>
        <v>26.572987800000003</v>
      </c>
      <c r="I111" s="1228">
        <f t="shared" si="15"/>
        <v>0</v>
      </c>
      <c r="J111" s="1228">
        <f t="shared" si="16"/>
        <v>26.572987800000003</v>
      </c>
    </row>
    <row r="112" spans="1:10" x14ac:dyDescent="0.4">
      <c r="A112" s="609">
        <f t="shared" si="11"/>
        <v>2018</v>
      </c>
      <c r="B112" s="1208">
        <f>'MSW Integration Calcs PDS3'!AK117</f>
        <v>1289.090649185714</v>
      </c>
      <c r="C112" s="1228">
        <f t="shared" si="12"/>
        <v>256.58409410109942</v>
      </c>
      <c r="D112" s="1208">
        <f>'WTE and LM Analysis'!O76</f>
        <v>26.887146552000008</v>
      </c>
      <c r="E112" s="1228">
        <f t="shared" si="13"/>
        <v>0</v>
      </c>
      <c r="F112" s="1228">
        <f t="shared" si="14"/>
        <v>26.887146552000008</v>
      </c>
      <c r="G112" s="609"/>
      <c r="H112" s="1208">
        <f>'WTE and LM Analysis'!C76</f>
        <v>26.887146552000008</v>
      </c>
      <c r="I112" s="1228">
        <f t="shared" si="15"/>
        <v>0</v>
      </c>
      <c r="J112" s="1228">
        <f t="shared" si="16"/>
        <v>26.887146552000008</v>
      </c>
    </row>
    <row r="113" spans="1:10" x14ac:dyDescent="0.4">
      <c r="A113" s="609">
        <f t="shared" si="11"/>
        <v>2019</v>
      </c>
      <c r="B113" s="1208">
        <f>'MSW Integration Calcs PDS3'!AK118</f>
        <v>1078.2017919472439</v>
      </c>
      <c r="C113" s="1228">
        <f t="shared" si="12"/>
        <v>214.60820479903262</v>
      </c>
      <c r="D113" s="1208">
        <f>'WTE and LM Analysis'!O77</f>
        <v>35.379666328291968</v>
      </c>
      <c r="E113" s="1228">
        <f t="shared" si="13"/>
        <v>0</v>
      </c>
      <c r="F113" s="1228">
        <f t="shared" si="14"/>
        <v>35.379666328291968</v>
      </c>
      <c r="G113" s="609"/>
      <c r="H113" s="1208">
        <f>'WTE and LM Analysis'!C77</f>
        <v>38.983440300426977</v>
      </c>
      <c r="I113" s="1228">
        <f t="shared" si="15"/>
        <v>0</v>
      </c>
      <c r="J113" s="1228">
        <f t="shared" si="16"/>
        <v>38.983440300426977</v>
      </c>
    </row>
    <row r="114" spans="1:10" x14ac:dyDescent="0.4">
      <c r="A114" s="609">
        <f t="shared" si="11"/>
        <v>2020</v>
      </c>
      <c r="B114" s="1208">
        <f>'MSW Integration Calcs PDS3'!AK119</f>
        <v>972.53188481619691</v>
      </c>
      <c r="C114" s="1228">
        <f t="shared" si="12"/>
        <v>193.57538029433721</v>
      </c>
      <c r="D114" s="1208">
        <f>'WTE and LM Analysis'!O78</f>
        <v>37.779549996075865</v>
      </c>
      <c r="E114" s="1228">
        <f t="shared" si="13"/>
        <v>0</v>
      </c>
      <c r="F114" s="1228">
        <f t="shared" si="14"/>
        <v>37.779549996075865</v>
      </c>
      <c r="G114" s="609"/>
      <c r="H114" s="1208">
        <f>'WTE and LM Analysis'!C78</f>
        <v>42.798705434678645</v>
      </c>
      <c r="I114" s="1228">
        <f t="shared" si="15"/>
        <v>0</v>
      </c>
      <c r="J114" s="1228">
        <f t="shared" si="16"/>
        <v>42.798705434678645</v>
      </c>
    </row>
    <row r="115" spans="1:10" x14ac:dyDescent="0.4">
      <c r="A115" s="609">
        <f t="shared" si="11"/>
        <v>2021</v>
      </c>
      <c r="B115" s="1208">
        <f>'MSW Integration Calcs PDS3'!AK120</f>
        <v>865.57457447333445</v>
      </c>
      <c r="C115" s="1228">
        <f t="shared" si="12"/>
        <v>172.28630756764505</v>
      </c>
      <c r="D115" s="1208">
        <f>'WTE and LM Analysis'!O79</f>
        <v>40.134486518956166</v>
      </c>
      <c r="E115" s="1228">
        <f t="shared" si="13"/>
        <v>0</v>
      </c>
      <c r="F115" s="1228">
        <f t="shared" si="14"/>
        <v>40.134486518956166</v>
      </c>
      <c r="G115" s="609"/>
      <c r="H115" s="1208">
        <f>'WTE and LM Analysis'!C79</f>
        <v>46.736252265010435</v>
      </c>
      <c r="I115" s="1228">
        <f t="shared" si="15"/>
        <v>0</v>
      </c>
      <c r="J115" s="1228">
        <f t="shared" si="16"/>
        <v>46.736252265010435</v>
      </c>
    </row>
    <row r="116" spans="1:10" x14ac:dyDescent="0.4">
      <c r="A116" s="609">
        <f t="shared" si="11"/>
        <v>2022</v>
      </c>
      <c r="B116" s="1208">
        <f>'MSW Integration Calcs PDS3'!AK121</f>
        <v>756.22331123365086</v>
      </c>
      <c r="C116" s="1228">
        <f t="shared" si="12"/>
        <v>150.52073597274716</v>
      </c>
      <c r="D116" s="1208">
        <f>'WTE and LM Analysis'!O80</f>
        <v>42.467287212187713</v>
      </c>
      <c r="E116" s="1228">
        <f t="shared" si="13"/>
        <v>0</v>
      </c>
      <c r="F116" s="1228">
        <f t="shared" si="14"/>
        <v>42.467287212187713</v>
      </c>
      <c r="G116" s="609"/>
      <c r="H116" s="1208">
        <f>'WTE and LM Analysis'!C80</f>
        <v>50.806377378688339</v>
      </c>
      <c r="I116" s="1228">
        <f t="shared" si="15"/>
        <v>0</v>
      </c>
      <c r="J116" s="1228">
        <f t="shared" si="16"/>
        <v>50.806377378688339</v>
      </c>
    </row>
    <row r="117" spans="1:10" x14ac:dyDescent="0.4">
      <c r="A117" s="609">
        <f t="shared" si="11"/>
        <v>2023</v>
      </c>
      <c r="B117" s="1208">
        <f>'MSW Integration Calcs PDS3'!AK122</f>
        <v>645.12888595756863</v>
      </c>
      <c r="C117" s="1228">
        <f t="shared" si="12"/>
        <v>128.40820068506059</v>
      </c>
      <c r="D117" s="1208">
        <f>'WTE and LM Analysis'!O81</f>
        <v>44.777644097613653</v>
      </c>
      <c r="E117" s="1228">
        <f t="shared" si="13"/>
        <v>0</v>
      </c>
      <c r="F117" s="1228">
        <f t="shared" si="14"/>
        <v>44.777644097613653</v>
      </c>
      <c r="G117" s="609"/>
      <c r="H117" s="1208">
        <f>'WTE and LM Analysis'!C81</f>
        <v>54.993820099953695</v>
      </c>
      <c r="I117" s="1228">
        <f t="shared" si="15"/>
        <v>0</v>
      </c>
      <c r="J117" s="1228">
        <f t="shared" si="16"/>
        <v>54.993820099953695</v>
      </c>
    </row>
    <row r="118" spans="1:10" x14ac:dyDescent="0.4">
      <c r="A118" s="609">
        <f t="shared" si="11"/>
        <v>2024</v>
      </c>
      <c r="B118" s="1208">
        <f>'MSW Integration Calcs PDS3'!AK123</f>
        <v>532.35790426269227</v>
      </c>
      <c r="C118" s="1228">
        <f t="shared" si="12"/>
        <v>105.96195906710365</v>
      </c>
      <c r="D118" s="1208">
        <f>'WTE and LM Analysis'!O82</f>
        <v>47.064543134140642</v>
      </c>
      <c r="E118" s="1228">
        <f t="shared" si="13"/>
        <v>0</v>
      </c>
      <c r="F118" s="1228">
        <f t="shared" si="14"/>
        <v>47.064543134140642</v>
      </c>
      <c r="G118" s="609"/>
      <c r="H118" s="1208">
        <f>'WTE and LM Analysis'!C82</f>
        <v>59.282446062561277</v>
      </c>
      <c r="I118" s="1228">
        <f t="shared" si="15"/>
        <v>0</v>
      </c>
      <c r="J118" s="1228">
        <f t="shared" si="16"/>
        <v>59.282446062561277</v>
      </c>
    </row>
    <row r="119" spans="1:10" x14ac:dyDescent="0.4">
      <c r="A119" s="609">
        <f t="shared" si="11"/>
        <v>2025</v>
      </c>
      <c r="B119" s="1208">
        <f>'MSW Integration Calcs PDS3'!AK124</f>
        <v>418.59815954534776</v>
      </c>
      <c r="C119" s="1228">
        <f t="shared" si="12"/>
        <v>83.318911379254786</v>
      </c>
      <c r="D119" s="1208">
        <f>'WTE and LM Analysis'!O83</f>
        <v>49.327123690130321</v>
      </c>
      <c r="E119" s="1228">
        <f t="shared" si="13"/>
        <v>0</v>
      </c>
      <c r="F119" s="1228">
        <f t="shared" si="14"/>
        <v>49.327123690130321</v>
      </c>
      <c r="G119" s="609"/>
      <c r="H119" s="1208">
        <f>'WTE and LM Analysis'!C83</f>
        <v>63.656241688118101</v>
      </c>
      <c r="I119" s="1228">
        <f t="shared" si="15"/>
        <v>0</v>
      </c>
      <c r="J119" s="1228">
        <f t="shared" si="16"/>
        <v>63.656241688118101</v>
      </c>
    </row>
    <row r="120" spans="1:10" x14ac:dyDescent="0.4">
      <c r="A120" s="609">
        <f t="shared" si="11"/>
        <v>2026</v>
      </c>
      <c r="B120" s="1208">
        <f>'MSW Integration Calcs PDS3'!AK125</f>
        <v>308.30622607184733</v>
      </c>
      <c r="C120" s="1228">
        <f t="shared" si="12"/>
        <v>61.366106233369443</v>
      </c>
      <c r="D120" s="1208">
        <f>'WTE and LM Analysis'!O84</f>
        <v>51.565269208172893</v>
      </c>
      <c r="E120" s="1228">
        <f t="shared" si="13"/>
        <v>0</v>
      </c>
      <c r="F120" s="1228">
        <f t="shared" si="14"/>
        <v>51.565269208172893</v>
      </c>
      <c r="G120" s="609"/>
      <c r="H120" s="1208">
        <f>'WTE and LM Analysis'!C84</f>
        <v>68.100112894931939</v>
      </c>
      <c r="I120" s="1228">
        <f t="shared" si="15"/>
        <v>6.7340066615624963</v>
      </c>
      <c r="J120" s="1228">
        <f t="shared" si="16"/>
        <v>61.366106233369443</v>
      </c>
    </row>
    <row r="121" spans="1:10" x14ac:dyDescent="0.4">
      <c r="A121" s="609">
        <f t="shared" si="11"/>
        <v>2027</v>
      </c>
      <c r="B121" s="1208">
        <f>'MSW Integration Calcs PDS3'!AK126</f>
        <v>205.6193661621179</v>
      </c>
      <c r="C121" s="1228">
        <f t="shared" si="12"/>
        <v>40.927035526691306</v>
      </c>
      <c r="D121" s="1208">
        <f>'WTE and LM Analysis'!O85</f>
        <v>53.779365719005682</v>
      </c>
      <c r="E121" s="1228">
        <f t="shared" si="13"/>
        <v>12.852330192314376</v>
      </c>
      <c r="F121" s="1228">
        <f t="shared" si="14"/>
        <v>40.927035526691306</v>
      </c>
      <c r="G121" s="609"/>
      <c r="H121" s="1208">
        <f>'WTE and LM Analysis'!C85</f>
        <v>72.599686544155418</v>
      </c>
      <c r="I121" s="1228">
        <f t="shared" si="15"/>
        <v>31.672651017464112</v>
      </c>
      <c r="J121" s="1228">
        <f t="shared" si="16"/>
        <v>40.927035526691306</v>
      </c>
    </row>
    <row r="122" spans="1:10" x14ac:dyDescent="0.4">
      <c r="A122" s="609">
        <f t="shared" si="11"/>
        <v>2028</v>
      </c>
      <c r="B122" s="1208">
        <f>'MSW Integration Calcs PDS3'!AK127</f>
        <v>111.55976440119571</v>
      </c>
      <c r="C122" s="1228">
        <f t="shared" si="12"/>
        <v>22.205157647442583</v>
      </c>
      <c r="D122" s="1208">
        <f>'WTE and LM Analysis'!O86</f>
        <v>55.969462539469063</v>
      </c>
      <c r="E122" s="1228">
        <f t="shared" si="13"/>
        <v>33.76430489202648</v>
      </c>
      <c r="F122" s="1228">
        <f t="shared" si="14"/>
        <v>22.205157647442583</v>
      </c>
      <c r="G122" s="609"/>
      <c r="H122" s="1208">
        <f>'WTE and LM Analysis'!C86</f>
        <v>77.140250356915004</v>
      </c>
      <c r="I122" s="1228">
        <f t="shared" si="15"/>
        <v>54.935092709472421</v>
      </c>
      <c r="J122" s="1228">
        <f t="shared" si="16"/>
        <v>22.205157647442583</v>
      </c>
    </row>
    <row r="123" spans="1:10" x14ac:dyDescent="0.4">
      <c r="A123" s="609">
        <f t="shared" si="11"/>
        <v>2029</v>
      </c>
      <c r="B123" s="1208">
        <f>'MSW Integration Calcs PDS3'!AK128</f>
        <v>42.99563760399667</v>
      </c>
      <c r="C123" s="1228">
        <f t="shared" si="12"/>
        <v>8.557968155218008</v>
      </c>
      <c r="D123" s="1208">
        <f>'WTE and LM Analysis'!O87</f>
        <v>58.135696878401376</v>
      </c>
      <c r="E123" s="1228">
        <f t="shared" si="13"/>
        <v>49.57772872318337</v>
      </c>
      <c r="F123" s="1228">
        <f t="shared" si="14"/>
        <v>8.557968155218008</v>
      </c>
      <c r="G123" s="609"/>
      <c r="H123" s="1208">
        <f>'WTE and LM Analysis'!C87</f>
        <v>81.707294426274828</v>
      </c>
      <c r="I123" s="1228">
        <f t="shared" si="15"/>
        <v>73.149326271056822</v>
      </c>
      <c r="J123" s="1228">
        <f t="shared" si="16"/>
        <v>8.557968155218008</v>
      </c>
    </row>
    <row r="124" spans="1:10" x14ac:dyDescent="0.4">
      <c r="A124" s="609">
        <f t="shared" si="11"/>
        <v>2030</v>
      </c>
      <c r="B124" s="1208">
        <f>'MSW Integration Calcs PDS3'!AK129</f>
        <v>22.402772226674415</v>
      </c>
      <c r="C124" s="1228">
        <f t="shared" si="12"/>
        <v>4.4591084581720555</v>
      </c>
      <c r="D124" s="1208">
        <f>'WTE and LM Analysis'!O88</f>
        <v>60.27818525089446</v>
      </c>
      <c r="E124" s="1228">
        <f t="shared" si="13"/>
        <v>55.819076792722406</v>
      </c>
      <c r="F124" s="1228">
        <f t="shared" si="14"/>
        <v>4.4591084581720555</v>
      </c>
      <c r="G124" s="609"/>
      <c r="H124" s="1208">
        <f>'WTE and LM Analysis'!C88</f>
        <v>86.286367400519538</v>
      </c>
      <c r="I124" s="1228">
        <f t="shared" si="15"/>
        <v>81.827258942347484</v>
      </c>
      <c r="J124" s="1228">
        <f t="shared" si="16"/>
        <v>4.4591084581720555</v>
      </c>
    </row>
    <row r="125" spans="1:10" x14ac:dyDescent="0.4">
      <c r="A125" s="609">
        <f t="shared" si="11"/>
        <v>2031</v>
      </c>
      <c r="B125" s="1208">
        <f>'MSW Integration Calcs PDS3'!AK130</f>
        <v>0</v>
      </c>
      <c r="C125" s="1228">
        <f t="shared" si="12"/>
        <v>0</v>
      </c>
      <c r="D125" s="1208">
        <f>'WTE and LM Analysis'!O89</f>
        <v>62.396968005469226</v>
      </c>
      <c r="E125" s="1228">
        <f t="shared" si="13"/>
        <v>62.396968005469226</v>
      </c>
      <c r="F125" s="1228">
        <f t="shared" si="14"/>
        <v>0</v>
      </c>
      <c r="G125" s="609"/>
      <c r="H125" s="1208">
        <f>'WTE and LM Analysis'!C89</f>
        <v>90.862998276895667</v>
      </c>
      <c r="I125" s="1228">
        <f t="shared" si="15"/>
        <v>90.862998276895667</v>
      </c>
      <c r="J125" s="1228">
        <f t="shared" si="16"/>
        <v>0</v>
      </c>
    </row>
    <row r="126" spans="1:10" x14ac:dyDescent="0.4">
      <c r="A126" s="609">
        <f t="shared" si="11"/>
        <v>2032</v>
      </c>
      <c r="B126" s="1208">
        <f>'MSW Integration Calcs PDS3'!AK131</f>
        <v>0</v>
      </c>
      <c r="C126" s="1228">
        <f t="shared" si="12"/>
        <v>0</v>
      </c>
      <c r="D126" s="1208">
        <f>'WTE and LM Analysis'!O90</f>
        <v>64.492293701644826</v>
      </c>
      <c r="E126" s="1228">
        <f t="shared" si="13"/>
        <v>64.492293701644826</v>
      </c>
      <c r="F126" s="1228">
        <f t="shared" si="14"/>
        <v>0</v>
      </c>
      <c r="G126" s="609"/>
      <c r="H126" s="1208">
        <f>'WTE and LM Analysis'!C90</f>
        <v>95.423100541453977</v>
      </c>
      <c r="I126" s="1228">
        <f t="shared" si="15"/>
        <v>95.423100541453977</v>
      </c>
      <c r="J126" s="1228">
        <f t="shared" si="16"/>
        <v>0</v>
      </c>
    </row>
    <row r="127" spans="1:10" x14ac:dyDescent="0.4">
      <c r="A127" s="609">
        <f t="shared" si="11"/>
        <v>2033</v>
      </c>
      <c r="B127" s="1208">
        <f>'MSW Integration Calcs PDS3'!AK132</f>
        <v>0</v>
      </c>
      <c r="C127" s="1228">
        <f t="shared" si="12"/>
        <v>0</v>
      </c>
      <c r="D127" s="1208">
        <f>'WTE and LM Analysis'!O91</f>
        <v>66.56496996371942</v>
      </c>
      <c r="E127" s="1228">
        <f t="shared" si="13"/>
        <v>66.56496996371942</v>
      </c>
      <c r="F127" s="1228">
        <f t="shared" si="14"/>
        <v>0</v>
      </c>
      <c r="G127" s="609"/>
      <c r="H127" s="1208">
        <f>'WTE and LM Analysis'!C91</f>
        <v>99.953520854905804</v>
      </c>
      <c r="I127" s="1228">
        <f t="shared" si="15"/>
        <v>99.953520854905804</v>
      </c>
      <c r="J127" s="1228">
        <f t="shared" si="16"/>
        <v>0</v>
      </c>
    </row>
    <row r="128" spans="1:10" x14ac:dyDescent="0.4">
      <c r="A128" s="609">
        <f t="shared" si="11"/>
        <v>2034</v>
      </c>
      <c r="B128" s="1208">
        <f>'MSW Integration Calcs PDS3'!AK133</f>
        <v>0</v>
      </c>
      <c r="C128" s="1228">
        <f t="shared" si="12"/>
        <v>0</v>
      </c>
      <c r="D128" s="1208">
        <f>'WTE and LM Analysis'!O92</f>
        <v>68.616088975991673</v>
      </c>
      <c r="E128" s="1228">
        <f t="shared" si="13"/>
        <v>68.616088975991673</v>
      </c>
      <c r="F128" s="1228">
        <f t="shared" si="14"/>
        <v>0</v>
      </c>
      <c r="G128" s="609"/>
      <c r="H128" s="1208">
        <f>'WTE and LM Analysis'!C92</f>
        <v>104.44168357294357</v>
      </c>
      <c r="I128" s="1228">
        <f t="shared" si="15"/>
        <v>104.44168357294357</v>
      </c>
      <c r="J128" s="1228">
        <f t="shared" si="16"/>
        <v>0</v>
      </c>
    </row>
    <row r="129" spans="1:10" x14ac:dyDescent="0.4">
      <c r="A129" s="609">
        <f t="shared" si="11"/>
        <v>2035</v>
      </c>
      <c r="B129" s="1208">
        <f>'MSW Integration Calcs PDS3'!AK134</f>
        <v>0</v>
      </c>
      <c r="C129" s="1228">
        <f t="shared" si="12"/>
        <v>0</v>
      </c>
      <c r="D129" s="1208">
        <f>'WTE and LM Analysis'!O93</f>
        <v>70.646529676721855</v>
      </c>
      <c r="E129" s="1228">
        <f t="shared" si="13"/>
        <v>70.646529676721855</v>
      </c>
      <c r="F129" s="1228">
        <f t="shared" si="14"/>
        <v>0</v>
      </c>
      <c r="G129" s="609"/>
      <c r="H129" s="1208">
        <f>'WTE and LM Analysis'!C93</f>
        <v>108.87485323191225</v>
      </c>
      <c r="I129" s="1228">
        <f t="shared" si="15"/>
        <v>108.87485323191225</v>
      </c>
      <c r="J129" s="1228">
        <f t="shared" si="16"/>
        <v>0</v>
      </c>
    </row>
    <row r="130" spans="1:10" x14ac:dyDescent="0.4">
      <c r="A130" s="609">
        <f t="shared" si="11"/>
        <v>2036</v>
      </c>
      <c r="B130" s="1208">
        <f>'MSW Integration Calcs PDS3'!AK135</f>
        <v>0</v>
      </c>
      <c r="C130" s="1228">
        <f t="shared" si="12"/>
        <v>0</v>
      </c>
      <c r="D130" s="1208">
        <f>'WTE and LM Analysis'!O94</f>
        <v>72.65684566220294</v>
      </c>
      <c r="E130" s="1228">
        <f t="shared" si="13"/>
        <v>72.65684566220294</v>
      </c>
      <c r="F130" s="1228">
        <f t="shared" si="14"/>
        <v>0</v>
      </c>
      <c r="G130" s="609"/>
      <c r="H130" s="1208">
        <f>'WTE and LM Analysis'!C94</f>
        <v>113.23993274907275</v>
      </c>
      <c r="I130" s="1228">
        <f t="shared" si="15"/>
        <v>113.23993274907275</v>
      </c>
      <c r="J130" s="1228">
        <f t="shared" si="16"/>
        <v>0</v>
      </c>
    </row>
    <row r="131" spans="1:10" x14ac:dyDescent="0.4">
      <c r="A131" s="609">
        <f t="shared" si="11"/>
        <v>2037</v>
      </c>
      <c r="B131" s="1208">
        <f>'MSW Integration Calcs PDS3'!AK136</f>
        <v>0</v>
      </c>
      <c r="C131" s="1228">
        <f t="shared" si="12"/>
        <v>0</v>
      </c>
      <c r="D131" s="1208">
        <f>'WTE and LM Analysis'!O95</f>
        <v>74.647039483918121</v>
      </c>
      <c r="E131" s="1228">
        <f t="shared" si="13"/>
        <v>74.647039483918121</v>
      </c>
      <c r="F131" s="1228">
        <f t="shared" si="14"/>
        <v>0</v>
      </c>
      <c r="G131" s="609"/>
      <c r="H131" s="1208">
        <f>'WTE and LM Analysis'!C95</f>
        <v>117.52306377809114</v>
      </c>
      <c r="I131" s="1228">
        <f t="shared" si="15"/>
        <v>117.52306377809114</v>
      </c>
      <c r="J131" s="1228">
        <f t="shared" si="16"/>
        <v>0</v>
      </c>
    </row>
    <row r="132" spans="1:10" x14ac:dyDescent="0.4">
      <c r="A132" s="609">
        <f t="shared" si="11"/>
        <v>2038</v>
      </c>
      <c r="B132" s="1208">
        <f>'MSW Integration Calcs PDS3'!AK137</f>
        <v>0</v>
      </c>
      <c r="C132" s="1228">
        <f t="shared" si="12"/>
        <v>0</v>
      </c>
      <c r="D132" s="1208">
        <f>'WTE and LM Analysis'!O96</f>
        <v>76.616742697757715</v>
      </c>
      <c r="E132" s="1228">
        <f t="shared" si="13"/>
        <v>76.616742697757715</v>
      </c>
      <c r="F132" s="1228">
        <f t="shared" si="14"/>
        <v>0</v>
      </c>
      <c r="G132" s="609"/>
      <c r="H132" s="1208">
        <f>'WTE and LM Analysis'!C96</f>
        <v>121.70985730862294</v>
      </c>
      <c r="I132" s="1228">
        <f t="shared" si="15"/>
        <v>121.70985730862294</v>
      </c>
      <c r="J132" s="1228">
        <f t="shared" si="16"/>
        <v>0</v>
      </c>
    </row>
    <row r="133" spans="1:10" x14ac:dyDescent="0.4">
      <c r="A133" s="609">
        <f t="shared" si="11"/>
        <v>2039</v>
      </c>
      <c r="B133" s="1208">
        <f>'MSW Integration Calcs PDS3'!AK138</f>
        <v>0</v>
      </c>
      <c r="C133" s="1228">
        <f t="shared" si="12"/>
        <v>0</v>
      </c>
      <c r="D133" s="1208">
        <f>'WTE and LM Analysis'!O97</f>
        <v>78.565217974731738</v>
      </c>
      <c r="E133" s="1228">
        <f t="shared" si="13"/>
        <v>78.565217974731738</v>
      </c>
      <c r="F133" s="1228">
        <f t="shared" si="14"/>
        <v>0</v>
      </c>
      <c r="G133" s="609"/>
      <c r="H133" s="1208">
        <f>'WTE and LM Analysis'!C97</f>
        <v>125.78537970755778</v>
      </c>
      <c r="I133" s="1228">
        <f t="shared" si="15"/>
        <v>125.78537970755778</v>
      </c>
      <c r="J133" s="1228">
        <f t="shared" si="16"/>
        <v>0</v>
      </c>
    </row>
    <row r="134" spans="1:10" x14ac:dyDescent="0.4">
      <c r="A134" s="609">
        <f t="shared" si="11"/>
        <v>2040</v>
      </c>
      <c r="B134" s="1208">
        <f>'MSW Integration Calcs PDS3'!AK139</f>
        <v>0</v>
      </c>
      <c r="C134" s="1228">
        <f t="shared" si="12"/>
        <v>0</v>
      </c>
      <c r="D134" s="1208">
        <f>'WTE and LM Analysis'!O98</f>
        <v>80.491856043560162</v>
      </c>
      <c r="E134" s="1228">
        <f t="shared" si="13"/>
        <v>80.491856043560162</v>
      </c>
      <c r="F134" s="1228">
        <f t="shared" si="14"/>
        <v>0</v>
      </c>
      <c r="G134" s="609"/>
      <c r="H134" s="1208">
        <f>'WTE and LM Analysis'!C98</f>
        <v>129.73494029810473</v>
      </c>
      <c r="I134" s="1228">
        <f t="shared" si="15"/>
        <v>129.73494029810473</v>
      </c>
      <c r="J134" s="1228">
        <f t="shared" si="16"/>
        <v>0</v>
      </c>
    </row>
    <row r="135" spans="1:10" x14ac:dyDescent="0.4">
      <c r="A135" s="609">
        <f t="shared" si="11"/>
        <v>2041</v>
      </c>
      <c r="B135" s="1208">
        <f>'MSW Integration Calcs PDS3'!AK140</f>
        <v>0</v>
      </c>
      <c r="C135" s="1228">
        <f t="shared" si="12"/>
        <v>0</v>
      </c>
      <c r="D135" s="1208">
        <f>'WTE and LM Analysis'!O99</f>
        <v>82.396537316262766</v>
      </c>
      <c r="E135" s="1228">
        <f t="shared" si="13"/>
        <v>82.396537316262766</v>
      </c>
      <c r="F135" s="1228">
        <f t="shared" si="14"/>
        <v>0</v>
      </c>
      <c r="G135" s="609"/>
      <c r="H135" s="1208">
        <f>'WTE and LM Analysis'!C99</f>
        <v>133.54469664651052</v>
      </c>
      <c r="I135" s="1228">
        <f t="shared" si="15"/>
        <v>133.54469664651052</v>
      </c>
      <c r="J135" s="1228">
        <f t="shared" si="16"/>
        <v>0</v>
      </c>
    </row>
    <row r="136" spans="1:10" x14ac:dyDescent="0.4">
      <c r="A136" s="609">
        <f t="shared" si="11"/>
        <v>2042</v>
      </c>
      <c r="B136" s="1208">
        <f>'MSW Integration Calcs PDS3'!AK141</f>
        <v>0</v>
      </c>
      <c r="C136" s="1228">
        <f t="shared" si="12"/>
        <v>0</v>
      </c>
      <c r="D136" s="1208">
        <f>'WTE and LM Analysis'!O100</f>
        <v>84.27938679865629</v>
      </c>
      <c r="E136" s="1228">
        <f t="shared" si="13"/>
        <v>84.27938679865629</v>
      </c>
      <c r="F136" s="1228">
        <f t="shared" si="14"/>
        <v>0</v>
      </c>
      <c r="G136" s="609"/>
      <c r="H136" s="1208">
        <f>'WTE and LM Analysis'!C100</f>
        <v>137.20128690927984</v>
      </c>
      <c r="I136" s="1228">
        <f t="shared" si="15"/>
        <v>137.20128690927984</v>
      </c>
      <c r="J136" s="1228">
        <f t="shared" si="16"/>
        <v>0</v>
      </c>
    </row>
    <row r="137" spans="1:10" x14ac:dyDescent="0.4">
      <c r="A137" s="609">
        <f t="shared" si="11"/>
        <v>2043</v>
      </c>
      <c r="B137" s="1208">
        <f>'MSW Integration Calcs PDS3'!AK142</f>
        <v>0</v>
      </c>
      <c r="C137" s="1228">
        <f t="shared" si="12"/>
        <v>0</v>
      </c>
      <c r="D137" s="1208">
        <f>'WTE and LM Analysis'!O101</f>
        <v>86.140245470696229</v>
      </c>
      <c r="E137" s="1228">
        <f t="shared" si="13"/>
        <v>86.140245470696229</v>
      </c>
      <c r="F137" s="1228">
        <f t="shared" si="14"/>
        <v>0</v>
      </c>
      <c r="G137" s="609"/>
      <c r="H137" s="1208">
        <f>'WTE and LM Analysis'!C101</f>
        <v>140.69097532313859</v>
      </c>
      <c r="I137" s="1228">
        <f t="shared" si="15"/>
        <v>140.69097532313859</v>
      </c>
      <c r="J137" s="1228">
        <f t="shared" si="16"/>
        <v>0</v>
      </c>
    </row>
    <row r="138" spans="1:10" x14ac:dyDescent="0.4">
      <c r="A138" s="609">
        <f t="shared" si="11"/>
        <v>2044</v>
      </c>
      <c r="B138" s="1208">
        <f>'MSW Integration Calcs PDS3'!AK143</f>
        <v>0</v>
      </c>
      <c r="C138" s="1228">
        <f t="shared" si="12"/>
        <v>0</v>
      </c>
      <c r="D138" s="1208">
        <f>'WTE and LM Analysis'!O102</f>
        <v>87.978970038466557</v>
      </c>
      <c r="E138" s="1228">
        <f t="shared" si="13"/>
        <v>87.978970038466557</v>
      </c>
      <c r="F138" s="1228">
        <f t="shared" si="14"/>
        <v>0</v>
      </c>
      <c r="G138" s="609"/>
      <c r="H138" s="1208">
        <f>'WTE and LM Analysis'!C102</f>
        <v>144.00013374410895</v>
      </c>
      <c r="I138" s="1228">
        <f t="shared" si="15"/>
        <v>144.00013374410895</v>
      </c>
      <c r="J138" s="1228">
        <f t="shared" si="16"/>
        <v>0</v>
      </c>
    </row>
    <row r="139" spans="1:10" x14ac:dyDescent="0.4">
      <c r="A139" s="609">
        <f t="shared" si="11"/>
        <v>2045</v>
      </c>
      <c r="B139" s="1208">
        <f>'MSW Integration Calcs PDS3'!AK144</f>
        <v>0</v>
      </c>
      <c r="C139" s="1228">
        <f t="shared" si="12"/>
        <v>0</v>
      </c>
      <c r="D139" s="1208">
        <f>'WTE and LM Analysis'!O103</f>
        <v>89.795411286964878</v>
      </c>
      <c r="E139" s="1228">
        <f t="shared" si="13"/>
        <v>89.795411286964878</v>
      </c>
      <c r="F139" s="1228">
        <f t="shared" si="14"/>
        <v>0</v>
      </c>
      <c r="G139" s="609"/>
      <c r="H139" s="1208">
        <f>'WTE and LM Analysis'!C103</f>
        <v>147.11520867761618</v>
      </c>
      <c r="I139" s="1228">
        <f t="shared" si="15"/>
        <v>147.11520867761618</v>
      </c>
      <c r="J139" s="1228">
        <f t="shared" si="16"/>
        <v>0</v>
      </c>
    </row>
    <row r="140" spans="1:10" x14ac:dyDescent="0.4">
      <c r="A140" s="609">
        <f t="shared" si="11"/>
        <v>2046</v>
      </c>
      <c r="B140" s="1208">
        <f>'MSW Integration Calcs PDS3'!AK145</f>
        <v>0</v>
      </c>
      <c r="C140" s="1228">
        <f t="shared" si="12"/>
        <v>0</v>
      </c>
      <c r="D140" s="1208">
        <f>'WTE and LM Analysis'!O104</f>
        <v>91.589418818606603</v>
      </c>
      <c r="E140" s="1228">
        <f t="shared" si="13"/>
        <v>91.589418818606603</v>
      </c>
      <c r="F140" s="1228">
        <f t="shared" si="14"/>
        <v>0</v>
      </c>
      <c r="G140" s="609"/>
      <c r="H140" s="1208">
        <f>'WTE and LM Analysis'!C104</f>
        <v>150.02273522205866</v>
      </c>
      <c r="I140" s="1228">
        <f t="shared" si="15"/>
        <v>150.02273522205866</v>
      </c>
      <c r="J140" s="1228">
        <f t="shared" si="16"/>
        <v>0</v>
      </c>
    </row>
    <row r="141" spans="1:10" x14ac:dyDescent="0.4">
      <c r="A141" s="609">
        <f t="shared" si="11"/>
        <v>2047</v>
      </c>
      <c r="B141" s="1208">
        <f>'MSW Integration Calcs PDS3'!AK146</f>
        <v>0</v>
      </c>
      <c r="C141" s="1228">
        <f t="shared" si="12"/>
        <v>0</v>
      </c>
      <c r="D141" s="1208">
        <f>'WTE and LM Analysis'!O105</f>
        <v>93.360848557927</v>
      </c>
      <c r="E141" s="1228">
        <f t="shared" si="13"/>
        <v>93.360848557927</v>
      </c>
      <c r="F141" s="1228">
        <f t="shared" si="14"/>
        <v>0</v>
      </c>
      <c r="G141" s="609"/>
      <c r="H141" s="1208">
        <f>'WTE and LM Analysis'!C105</f>
        <v>152.70935417829546</v>
      </c>
      <c r="I141" s="1228">
        <f t="shared" si="15"/>
        <v>152.70935417829546</v>
      </c>
      <c r="J141" s="1228">
        <f t="shared" si="16"/>
        <v>0</v>
      </c>
    </row>
    <row r="142" spans="1:10" x14ac:dyDescent="0.4">
      <c r="A142" s="609">
        <f t="shared" si="11"/>
        <v>2048</v>
      </c>
      <c r="B142" s="1208">
        <f>'MSW Integration Calcs PDS3'!AK147</f>
        <v>0</v>
      </c>
      <c r="C142" s="1228">
        <f t="shared" si="12"/>
        <v>0</v>
      </c>
      <c r="D142" s="1208">
        <f>'WTE and LM Analysis'!O106</f>
        <v>95.10957342096934</v>
      </c>
      <c r="E142" s="1228">
        <f t="shared" si="13"/>
        <v>95.10957342096934</v>
      </c>
      <c r="F142" s="1228">
        <f t="shared" si="14"/>
        <v>0</v>
      </c>
      <c r="G142" s="609"/>
      <c r="H142" s="1208">
        <f>'WTE and LM Analysis'!C106</f>
        <v>155.16182805723255</v>
      </c>
      <c r="I142" s="1228">
        <f t="shared" si="15"/>
        <v>155.16182805723255</v>
      </c>
      <c r="J142" s="1228">
        <f t="shared" si="16"/>
        <v>0</v>
      </c>
    </row>
    <row r="143" spans="1:10" x14ac:dyDescent="0.4">
      <c r="A143" s="609">
        <f t="shared" si="11"/>
        <v>2049</v>
      </c>
      <c r="B143" s="1208">
        <f>'MSW Integration Calcs PDS3'!AK148</f>
        <v>0</v>
      </c>
      <c r="C143" s="1228">
        <f t="shared" si="12"/>
        <v>0</v>
      </c>
      <c r="D143" s="1208">
        <f>'WTE and LM Analysis'!O107</f>
        <v>96.83548122305757</v>
      </c>
      <c r="E143" s="1228">
        <f t="shared" si="13"/>
        <v>96.83548122305757</v>
      </c>
      <c r="F143" s="1228">
        <f t="shared" si="14"/>
        <v>0</v>
      </c>
      <c r="G143" s="609"/>
      <c r="H143" s="1208">
        <f>'WTE and LM Analysis'!C107</f>
        <v>157.36703877423986</v>
      </c>
      <c r="I143" s="1228">
        <f t="shared" si="15"/>
        <v>157.36703877423986</v>
      </c>
      <c r="J143" s="1228">
        <f t="shared" si="16"/>
        <v>0</v>
      </c>
    </row>
    <row r="144" spans="1:10" x14ac:dyDescent="0.4">
      <c r="A144" s="609">
        <f t="shared" si="11"/>
        <v>2050</v>
      </c>
      <c r="B144" s="1208">
        <f>'MSW Integration Calcs PDS3'!AK149</f>
        <v>0</v>
      </c>
      <c r="C144" s="1228">
        <f t="shared" si="12"/>
        <v>0</v>
      </c>
      <c r="D144" s="1208">
        <f>'WTE and LM Analysis'!O108</f>
        <v>98.538457979364154</v>
      </c>
      <c r="E144" s="1228">
        <f t="shared" si="13"/>
        <v>98.538457979364154</v>
      </c>
      <c r="F144" s="1228">
        <f t="shared" si="14"/>
        <v>0</v>
      </c>
      <c r="G144" s="609"/>
      <c r="H144" s="1208">
        <f>'WTE and LM Analysis'!C108</f>
        <v>159.31196703206891</v>
      </c>
      <c r="I144" s="1228">
        <f t="shared" si="15"/>
        <v>159.31196703206891</v>
      </c>
      <c r="J144" s="1228">
        <f t="shared" si="16"/>
        <v>0</v>
      </c>
    </row>
    <row r="145" spans="1:10" x14ac:dyDescent="0.4">
      <c r="A145" s="609">
        <f t="shared" si="11"/>
        <v>2051</v>
      </c>
      <c r="B145" s="1208">
        <f>'MSW Integration Calcs PDS3'!AK150</f>
        <v>0</v>
      </c>
      <c r="C145" s="1228">
        <f t="shared" si="12"/>
        <v>0</v>
      </c>
      <c r="D145" s="1208">
        <f>'WTE and LM Analysis'!O109</f>
        <v>100.21840442768308</v>
      </c>
      <c r="E145" s="1228">
        <f t="shared" si="13"/>
        <v>100.21840442768308</v>
      </c>
      <c r="F145" s="1228">
        <f t="shared" si="14"/>
        <v>0</v>
      </c>
      <c r="G145" s="609"/>
      <c r="H145" s="1208">
        <f>'WTE and LM Analysis'!C109</f>
        <v>160.98372829374765</v>
      </c>
      <c r="I145" s="1228">
        <f t="shared" si="15"/>
        <v>160.98372829374765</v>
      </c>
      <c r="J145" s="1228">
        <f t="shared" si="16"/>
        <v>0</v>
      </c>
    </row>
    <row r="146" spans="1:10" x14ac:dyDescent="0.4">
      <c r="A146" s="609">
        <f t="shared" si="11"/>
        <v>2052</v>
      </c>
      <c r="B146" s="1208">
        <f>'MSW Integration Calcs PDS3'!AK151</f>
        <v>0</v>
      </c>
      <c r="C146" s="1228">
        <f t="shared" si="12"/>
        <v>0</v>
      </c>
      <c r="D146" s="1208">
        <f>'WTE and LM Analysis'!O110</f>
        <v>101.87521957884724</v>
      </c>
      <c r="E146" s="1228">
        <f t="shared" si="13"/>
        <v>101.87521957884724</v>
      </c>
      <c r="F146" s="1228">
        <f t="shared" si="14"/>
        <v>0</v>
      </c>
      <c r="G146" s="609"/>
      <c r="H146" s="1208">
        <f>'WTE and LM Analysis'!C110</f>
        <v>162.36955235982163</v>
      </c>
      <c r="I146" s="1228">
        <f t="shared" si="15"/>
        <v>162.36955235982163</v>
      </c>
      <c r="J146" s="1228">
        <f t="shared" si="16"/>
        <v>0</v>
      </c>
    </row>
    <row r="147" spans="1:10" x14ac:dyDescent="0.4">
      <c r="A147" s="609">
        <f t="shared" si="11"/>
        <v>2053</v>
      </c>
      <c r="B147" s="1208">
        <f>'MSW Integration Calcs PDS3'!AK152</f>
        <v>0</v>
      </c>
      <c r="C147" s="1228">
        <f t="shared" si="12"/>
        <v>0</v>
      </c>
      <c r="D147" s="1208">
        <f>'WTE and LM Analysis'!O111</f>
        <v>103.50879046561373</v>
      </c>
      <c r="E147" s="1228">
        <f t="shared" si="13"/>
        <v>103.50879046561373</v>
      </c>
      <c r="F147" s="1228">
        <f t="shared" si="14"/>
        <v>0</v>
      </c>
      <c r="G147" s="609"/>
      <c r="H147" s="1208">
        <f>'WTE and LM Analysis'!C111</f>
        <v>163.45676757144494</v>
      </c>
      <c r="I147" s="1228">
        <f t="shared" si="15"/>
        <v>163.45676757144494</v>
      </c>
      <c r="J147" s="1228">
        <f t="shared" si="16"/>
        <v>0</v>
      </c>
    </row>
    <row r="148" spans="1:10" x14ac:dyDescent="0.4">
      <c r="A148" s="609">
        <f t="shared" si="11"/>
        <v>2054</v>
      </c>
      <c r="B148" s="1208">
        <f>'MSW Integration Calcs PDS3'!AK153</f>
        <v>0</v>
      </c>
      <c r="C148" s="1228">
        <f t="shared" si="12"/>
        <v>0</v>
      </c>
      <c r="D148" s="1208">
        <f>'WTE and LM Analysis'!O112</f>
        <v>105.1190089267713</v>
      </c>
      <c r="E148" s="1228">
        <f t="shared" si="13"/>
        <v>105.1190089267713</v>
      </c>
      <c r="F148" s="1228">
        <f t="shared" si="14"/>
        <v>0</v>
      </c>
      <c r="G148" s="609"/>
      <c r="H148" s="1208">
        <f>'WTE and LM Analysis'!C112</f>
        <v>164.23283666348806</v>
      </c>
      <c r="I148" s="1228">
        <f t="shared" si="15"/>
        <v>164.23283666348806</v>
      </c>
      <c r="J148" s="1228">
        <f t="shared" si="16"/>
        <v>0</v>
      </c>
    </row>
    <row r="149" spans="1:10" x14ac:dyDescent="0.4">
      <c r="A149" s="609">
        <f t="shared" si="11"/>
        <v>2055</v>
      </c>
      <c r="B149" s="1208">
        <f>'MSW Integration Calcs PDS3'!AK154</f>
        <v>0</v>
      </c>
      <c r="C149" s="1228">
        <f t="shared" si="12"/>
        <v>0</v>
      </c>
      <c r="D149" s="1208">
        <f>'WTE and LM Analysis'!O113</f>
        <v>106.70578888993744</v>
      </c>
      <c r="E149" s="1228">
        <f t="shared" si="13"/>
        <v>106.70578888993744</v>
      </c>
      <c r="F149" s="1228">
        <f t="shared" si="14"/>
        <v>0</v>
      </c>
      <c r="G149" s="609"/>
      <c r="H149" s="1208">
        <f>'WTE and LM Analysis'!C113</f>
        <v>164.68538599054216</v>
      </c>
      <c r="I149" s="1228">
        <f t="shared" si="15"/>
        <v>164.68538599054216</v>
      </c>
      <c r="J149" s="1228">
        <f t="shared" si="16"/>
        <v>0</v>
      </c>
    </row>
    <row r="150" spans="1:10" x14ac:dyDescent="0.4">
      <c r="A150" s="609">
        <f t="shared" si="11"/>
        <v>2056</v>
      </c>
      <c r="B150" s="1208">
        <f>'MSW Integration Calcs PDS3'!AK155</f>
        <v>0</v>
      </c>
      <c r="C150" s="1228">
        <f t="shared" si="12"/>
        <v>0</v>
      </c>
      <c r="D150" s="1208">
        <f>'WTE and LM Analysis'!O114</f>
        <v>108.2690714431258</v>
      </c>
      <c r="E150" s="1228">
        <f t="shared" si="13"/>
        <v>108.2690714431258</v>
      </c>
      <c r="F150" s="1228">
        <f t="shared" si="14"/>
        <v>0</v>
      </c>
      <c r="G150" s="609"/>
      <c r="H150" s="1208">
        <f>'WTE and LM Analysis'!C114</f>
        <v>164.80221262789735</v>
      </c>
      <c r="I150" s="1228">
        <f t="shared" si="15"/>
        <v>164.80221262789735</v>
      </c>
      <c r="J150" s="1228">
        <f t="shared" si="16"/>
        <v>0</v>
      </c>
    </row>
    <row r="151" spans="1:10" x14ac:dyDescent="0.4">
      <c r="A151" s="609">
        <f t="shared" si="11"/>
        <v>2057</v>
      </c>
      <c r="B151" s="1208">
        <f>'MSW Integration Calcs PDS3'!AK156</f>
        <v>0</v>
      </c>
      <c r="C151" s="1228">
        <f t="shared" si="12"/>
        <v>0</v>
      </c>
      <c r="D151" s="1208">
        <f>'WTE and LM Analysis'!O115</f>
        <v>109.80883553069131</v>
      </c>
      <c r="E151" s="1228">
        <f t="shared" si="13"/>
        <v>109.80883553069131</v>
      </c>
      <c r="F151" s="1228">
        <f t="shared" si="14"/>
        <v>0</v>
      </c>
      <c r="G151" s="609"/>
      <c r="H151" s="1208">
        <f>'WTE and LM Analysis'!C115</f>
        <v>164.57130761627104</v>
      </c>
      <c r="I151" s="1228">
        <f t="shared" si="15"/>
        <v>164.57130761627104</v>
      </c>
      <c r="J151" s="1228">
        <f t="shared" si="16"/>
        <v>0</v>
      </c>
    </row>
    <row r="152" spans="1:10" x14ac:dyDescent="0.4">
      <c r="A152" s="609">
        <f t="shared" si="11"/>
        <v>2058</v>
      </c>
      <c r="B152" s="1208">
        <f>'MSW Integration Calcs PDS3'!AK157</f>
        <v>0</v>
      </c>
      <c r="C152" s="1228">
        <f t="shared" si="12"/>
        <v>0</v>
      </c>
      <c r="D152" s="1208">
        <f>'WTE and LM Analysis'!O116</f>
        <v>111.32511227223105</v>
      </c>
      <c r="E152" s="1228">
        <f t="shared" si="13"/>
        <v>111.32511227223105</v>
      </c>
      <c r="F152" s="1228">
        <f t="shared" si="14"/>
        <v>0</v>
      </c>
      <c r="G152" s="609"/>
      <c r="H152" s="1208">
        <f>'WTE and LM Analysis'!C116</f>
        <v>163.98088810988349</v>
      </c>
      <c r="I152" s="1228">
        <f t="shared" si="15"/>
        <v>163.98088810988349</v>
      </c>
      <c r="J152" s="1228">
        <f t="shared" si="16"/>
        <v>0</v>
      </c>
    </row>
    <row r="153" spans="1:10" x14ac:dyDescent="0.4">
      <c r="A153" s="609">
        <f t="shared" si="11"/>
        <v>2059</v>
      </c>
      <c r="B153" s="1208">
        <f>'MSW Integration Calcs PDS3'!AK158</f>
        <v>0</v>
      </c>
      <c r="C153" s="1228">
        <f t="shared" si="12"/>
        <v>0</v>
      </c>
      <c r="D153" s="1208">
        <f>'WTE and LM Analysis'!O117</f>
        <v>112.81797092937515</v>
      </c>
      <c r="E153" s="1228">
        <f t="shared" si="13"/>
        <v>112.81797092937515</v>
      </c>
      <c r="F153" s="1228">
        <f t="shared" si="14"/>
        <v>0</v>
      </c>
      <c r="G153" s="609"/>
      <c r="H153" s="1208">
        <f>'WTE and LM Analysis'!C117</f>
        <v>163.01936939813382</v>
      </c>
      <c r="I153" s="1228">
        <f t="shared" si="15"/>
        <v>163.01936939813382</v>
      </c>
      <c r="J153" s="1228">
        <f t="shared" si="16"/>
        <v>0</v>
      </c>
    </row>
    <row r="154" spans="1:10" x14ac:dyDescent="0.4">
      <c r="A154" s="609">
        <f t="shared" si="11"/>
        <v>2060</v>
      </c>
      <c r="B154" s="1208">
        <f>'MSW Integration Calcs PDS3'!AK159</f>
        <v>0</v>
      </c>
      <c r="C154" s="1228">
        <f t="shared" si="12"/>
        <v>0</v>
      </c>
      <c r="D154" s="1208">
        <f>'WTE and LM Analysis'!O118</f>
        <v>114.28748830002007</v>
      </c>
      <c r="E154" s="1228">
        <f t="shared" si="13"/>
        <v>114.28748830002007</v>
      </c>
      <c r="F154" s="1228">
        <f t="shared" si="14"/>
        <v>0</v>
      </c>
      <c r="G154" s="609"/>
      <c r="H154" s="1208">
        <f>'WTE and LM Analysis'!C118</f>
        <v>161.67531421765241</v>
      </c>
      <c r="I154" s="1228">
        <f t="shared" si="15"/>
        <v>161.67531421765241</v>
      </c>
      <c r="J154" s="1228">
        <f t="shared" si="16"/>
        <v>0</v>
      </c>
    </row>
  </sheetData>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225"/>
    <cellWatch r="AZ226"/>
    <cellWatch r="AZ227"/>
    <cellWatch r="AZ228"/>
    <cellWatch r="AZ229"/>
    <cellWatch r="AZ230"/>
    <cellWatch r="AZ231"/>
    <cellWatch r="AZ232"/>
    <cellWatch r="AZ233"/>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172"/>
    <cellWatch r="AZ212"/>
    <cellWatch r="AZ213"/>
    <cellWatch r="AZ214"/>
    <cellWatch r="AZ215"/>
    <cellWatch r="AZ216"/>
    <cellWatch r="AZ217"/>
    <cellWatch r="AZ218"/>
    <cellWatch r="AZ219"/>
    <cellWatch r="AZ220"/>
    <cellWatch r="AZ221"/>
    <cellWatch r="AZ222"/>
    <cellWatch r="AZ223"/>
    <cellWatch r="AZ224"/>
    <cellWatch r="AZ234"/>
    <cellWatch r="AZ235"/>
    <cellWatch r="AZ236"/>
    <cellWatch r="AZ237"/>
    <cellWatch r="AZ238"/>
    <cellWatch r="AZ239"/>
    <cellWatch r="AZ240"/>
    <cellWatch r="AZ241"/>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174"/>
    <cellWatch r="AZ175"/>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Y183"/>
    <cellWatch r="AY184"/>
    <cellWatch r="AY185"/>
    <cellWatch r="AZ242"/>
    <cellWatch r="AZ243"/>
    <cellWatch r="AZ244"/>
    <cellWatch r="AZ245"/>
    <cellWatch r="BB172"/>
    <cellWatch r="BB173"/>
    <cellWatch r="BB174"/>
    <cellWatch r="BB175"/>
    <cellWatch r="AZ176"/>
    <cellWatch r="AZ177"/>
    <cellWatch r="AY186"/>
    <cellWatch r="AZ322"/>
    <cellWatch r="AZ323"/>
    <cellWatch r="AZ324"/>
    <cellWatch r="AZ325"/>
    <cellWatch r="AZ246"/>
    <cellWatch r="AZ247"/>
    <cellWatch r="AZ248"/>
    <cellWatch r="AZ249"/>
    <cellWatch r="AZ250"/>
    <cellWatch r="AZ251"/>
    <cellWatch r="AZ178"/>
    <cellWatch r="AZ179"/>
    <cellWatch r="AZ180"/>
    <cellWatch r="AZ181"/>
    <cellWatch r="AY143"/>
    <cellWatch r="AY144"/>
    <cellWatch r="AY145"/>
    <cellWatch r="AY146"/>
    <cellWatch r="AY147"/>
    <cellWatch r="AZ182"/>
    <cellWatch r="AY135"/>
    <cellWatch r="AY136"/>
    <cellWatch r="AY137"/>
    <cellWatch r="AY138"/>
    <cellWatch r="AY139"/>
    <cellWatch r="AY140"/>
    <cellWatch r="AY141"/>
    <cellWatch r="AY142"/>
    <cellWatch r="AY187"/>
    <cellWatch r="BA172"/>
    <cellWatch r="AY188"/>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AZ11"/>
    <cellWatch r="AZ12"/>
    <cellWatch r="AZ13"/>
    <cellWatch r="AZ14"/>
    <cellWatch r="AZ15"/>
    <cellWatch r="AZ16"/>
    <cellWatch r="AZ17"/>
    <cellWatch r="AZ18"/>
    <cellWatch r="AZ19"/>
    <cellWatch r="AZ20"/>
    <cellWatch r="AZ21"/>
    <cellWatch r="AZ22"/>
    <cellWatch r="AZ23"/>
    <cellWatch r="AZ24"/>
    <cellWatch r="AZ26"/>
    <cellWatch r="AZ27"/>
    <cellWatch r="AZ28"/>
    <cellWatch r="AZ29"/>
    <cellWatch r="BB11"/>
    <cellWatch r="BB12"/>
    <cellWatch r="BB13"/>
    <cellWatch r="BB14"/>
    <cellWatch r="BB15"/>
    <cellWatch r="BB16"/>
    <cellWatch r="BB17"/>
    <cellWatch r="BB18"/>
    <cellWatch r="BB19"/>
    <cellWatch r="BB20"/>
    <cellWatch r="BB21"/>
    <cellWatch r="BB22"/>
    <cellWatch r="BB23"/>
    <cellWatch r="BB24"/>
    <cellWatch r="BB26"/>
    <cellWatch r="BB27"/>
    <cellWatch r="BB28"/>
    <cellWatch r="BB29"/>
    <cellWatch r="AZ30"/>
    <cellWatch r="AZ31"/>
    <cellWatch r="AZ32"/>
    <cellWatch r="AZ33"/>
    <cellWatch r="AY11"/>
    <cellWatch r="AY12"/>
    <cellWatch r="AY13"/>
    <cellWatch r="AY14"/>
    <cellWatch r="AY15"/>
    <cellWatch r="AY16"/>
    <cellWatch r="AY17"/>
    <cellWatch r="AY18"/>
    <cellWatch r="AY19"/>
    <cellWatch r="AY20"/>
    <cellWatch r="AY21"/>
    <cellWatch r="AY22"/>
    <cellWatch r="AY23"/>
    <cellWatch r="AY24"/>
    <cellWatch r="AY26"/>
    <cellWatch r="AY27"/>
    <cellWatch r="AY28"/>
    <cellWatch r="AY29"/>
    <cellWatch r="AY30"/>
    <cellWatch r="AY31"/>
    <cellWatch r="AY32"/>
    <cellWatch r="AY33"/>
    <cellWatch r="AY34"/>
    <cellWatch r="AY35"/>
    <cellWatch r="AY36"/>
    <cellWatch r="AY37"/>
    <cellWatch r="AY38"/>
    <cellWatch r="AY39"/>
    <cellWatch r="AY40"/>
    <cellWatch r="AY41"/>
    <cellWatch r="AY207"/>
    <cellWatch r="AY208"/>
    <cellWatch r="AZ252"/>
    <cellWatch r="AZ253"/>
    <cellWatch r="AZ254"/>
    <cellWatch r="AZ255"/>
    <cellWatch r="AZ256"/>
    <cellWatch r="AZ257"/>
    <cellWatch r="AZ258"/>
    <cellWatch r="AZ259"/>
    <cellWatch r="AZ260"/>
    <cellWatch r="AZ261"/>
    <cellWatch r="AZ262"/>
    <cellWatch r="AZ263"/>
    <cellWatch r="AZ264"/>
    <cellWatch r="AZ265"/>
    <cellWatch r="AZ266"/>
    <cellWatch r="AZ267"/>
    <cellWatch r="AZ268"/>
    <cellWatch r="BB30"/>
    <cellWatch r="BB31"/>
    <cellWatch r="BB32"/>
    <cellWatch r="BB33"/>
    <cellWatch r="AZ34"/>
    <cellWatch r="AZ35"/>
    <cellWatch r="AY209"/>
    <cellWatch r="AZ326"/>
    <cellWatch r="AZ327"/>
    <cellWatch r="AZ328"/>
    <cellWatch r="AZ329"/>
    <cellWatch r="AZ330"/>
    <cellWatch r="AZ331"/>
    <cellWatch r="AZ332"/>
    <cellWatch r="AZ333"/>
    <cellWatch r="AZ334"/>
    <cellWatch r="AZ335"/>
    <cellWatch r="AZ336"/>
    <cellWatch r="AZ337"/>
    <cellWatch r="AZ338"/>
    <cellWatch r="AZ339"/>
    <cellWatch r="AZ340"/>
    <cellWatch r="AZ341"/>
    <cellWatch r="AZ342"/>
    <cellWatch r="AZ343"/>
    <cellWatch r="AZ344"/>
    <cellWatch r="AZ345"/>
    <cellWatch r="AZ346"/>
    <cellWatch r="AZ347"/>
    <cellWatch r="AZ348"/>
    <cellWatch r="AZ269"/>
    <cellWatch r="AZ270"/>
    <cellWatch r="AZ271"/>
    <cellWatch r="AZ272"/>
    <cellWatch r="AZ273"/>
    <cellWatch r="AZ274"/>
    <cellWatch r="AZ36"/>
    <cellWatch r="AZ37"/>
    <cellWatch r="AZ38"/>
    <cellWatch r="AZ39"/>
    <cellWatch r="AZ40"/>
    <cellWatch r="AZ41"/>
    <cellWatch r="AZ207"/>
    <cellWatch r="AZ208"/>
    <cellWatch r="AZ209"/>
    <cellWatch r="AZ210"/>
    <cellWatch r="AZ211"/>
    <cellWatch r="AZ276"/>
    <cellWatch r="AZ277"/>
    <cellWatch r="AZ278"/>
    <cellWatch r="AZ279"/>
    <cellWatch r="AZ280"/>
    <cellWatch r="AZ281"/>
    <cellWatch r="AZ282"/>
    <cellWatch r="AZ283"/>
    <cellWatch r="AZ284"/>
    <cellWatch r="AZ285"/>
    <cellWatch r="AZ286"/>
    <cellWatch r="AZ287"/>
    <cellWatch r="AZ288"/>
    <cellWatch r="AZ291"/>
    <cellWatch r="AZ292"/>
    <cellWatch r="AZ293"/>
    <cellWatch r="AZ294"/>
    <cellWatch r="AZ295"/>
    <cellWatch r="BA11"/>
    <cellWatch r="BA12"/>
    <cellWatch r="BA13"/>
    <cellWatch r="BA14"/>
    <cellWatch r="BA15"/>
    <cellWatch r="BA16"/>
    <cellWatch r="BA17"/>
    <cellWatch r="BA18"/>
    <cellWatch r="BA19"/>
    <cellWatch r="BA20"/>
    <cellWatch r="BA21"/>
    <cellWatch r="BA22"/>
    <cellWatch r="BA23"/>
    <cellWatch r="BA24"/>
    <cellWatch r="BA26"/>
    <cellWatch r="BA27"/>
    <cellWatch r="BA28"/>
    <cellWatch r="BA29"/>
    <cellWatch r="BA30"/>
    <cellWatch r="AY210"/>
    <cellWatch r="AY211"/>
    <cellWatch r="AZ183"/>
    <cellWatch r="AZ184"/>
    <cellWatch r="AZ185"/>
    <cellWatch r="BB176"/>
    <cellWatch r="AY189"/>
    <cellWatch r="AY190"/>
    <cellWatch r="AY191"/>
  </cellWatches>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O60"/>
  <sheetViews>
    <sheetView topLeftCell="A7" zoomScale="71" zoomScaleNormal="71" workbookViewId="0">
      <selection activeCell="P32" sqref="P32"/>
    </sheetView>
  </sheetViews>
  <sheetFormatPr defaultColWidth="10.6640625" defaultRowHeight="12.3" x14ac:dyDescent="0.4"/>
  <cols>
    <col min="2" max="2" width="28" customWidth="1"/>
    <col min="3" max="3" width="18" customWidth="1"/>
    <col min="5" max="5" width="18.33203125" customWidth="1"/>
    <col min="6" max="6" width="21" customWidth="1"/>
    <col min="8" max="8" width="18" customWidth="1"/>
    <col min="9" max="9" width="23.83203125" customWidth="1"/>
  </cols>
  <sheetData>
    <row r="1" spans="1:15" x14ac:dyDescent="0.4">
      <c r="N1" s="1" t="s">
        <v>294</v>
      </c>
    </row>
    <row r="2" spans="1:15" x14ac:dyDescent="0.4">
      <c r="N2" t="s">
        <v>295</v>
      </c>
      <c r="O2" t="s">
        <v>20</v>
      </c>
    </row>
    <row r="3" spans="1:15" x14ac:dyDescent="0.4">
      <c r="N3" t="s">
        <v>296</v>
      </c>
      <c r="O3" t="s">
        <v>20</v>
      </c>
    </row>
    <row r="4" spans="1:15" x14ac:dyDescent="0.4">
      <c r="N4" t="s">
        <v>297</v>
      </c>
      <c r="O4" t="s">
        <v>20</v>
      </c>
    </row>
    <row r="5" spans="1:15" x14ac:dyDescent="0.4">
      <c r="N5" s="371" t="s">
        <v>298</v>
      </c>
      <c r="O5" s="371" t="s">
        <v>20</v>
      </c>
    </row>
    <row r="6" spans="1:15" ht="12.6" x14ac:dyDescent="0.45">
      <c r="H6" s="719" t="s">
        <v>1108</v>
      </c>
      <c r="N6" s="1" t="s">
        <v>299</v>
      </c>
      <c r="O6" s="1" t="s">
        <v>14</v>
      </c>
    </row>
    <row r="7" spans="1:15" x14ac:dyDescent="0.4">
      <c r="B7" s="1" t="s">
        <v>291</v>
      </c>
      <c r="C7" s="1"/>
      <c r="D7" s="1"/>
      <c r="E7" s="1" t="s">
        <v>292</v>
      </c>
      <c r="F7" s="1"/>
      <c r="G7" s="1"/>
      <c r="H7" s="1" t="s">
        <v>293</v>
      </c>
      <c r="I7" s="1"/>
      <c r="J7" s="1"/>
      <c r="N7" s="1" t="s">
        <v>300</v>
      </c>
      <c r="O7" s="1" t="s">
        <v>14</v>
      </c>
    </row>
    <row r="8" spans="1:15" x14ac:dyDescent="0.4">
      <c r="B8" s="1" t="s">
        <v>450</v>
      </c>
      <c r="C8" s="1" t="s">
        <v>387</v>
      </c>
      <c r="D8" s="1"/>
      <c r="E8" s="1" t="s">
        <v>451</v>
      </c>
      <c r="F8" s="1" t="s">
        <v>388</v>
      </c>
      <c r="G8" s="1"/>
      <c r="H8" s="1" t="s">
        <v>1149</v>
      </c>
      <c r="I8" s="1" t="s">
        <v>389</v>
      </c>
      <c r="J8" s="1"/>
      <c r="N8" s="1"/>
      <c r="O8" s="1"/>
    </row>
    <row r="9" spans="1:15" ht="86.1" x14ac:dyDescent="0.4">
      <c r="B9" s="340" t="s">
        <v>1109</v>
      </c>
      <c r="C9" s="340" t="s">
        <v>1112</v>
      </c>
      <c r="D9" s="1"/>
      <c r="E9" s="340" t="s">
        <v>1110</v>
      </c>
      <c r="F9" s="340" t="s">
        <v>1113</v>
      </c>
      <c r="G9" s="1"/>
      <c r="H9" s="340" t="s">
        <v>1111</v>
      </c>
      <c r="I9" s="340" t="s">
        <v>1114</v>
      </c>
      <c r="J9" s="1"/>
      <c r="N9" s="1" t="s">
        <v>1150</v>
      </c>
      <c r="O9" s="1"/>
    </row>
    <row r="10" spans="1:15" s="609" customFormat="1" ht="14.4" x14ac:dyDescent="0.4">
      <c r="A10" s="529">
        <v>2012</v>
      </c>
      <c r="B10" s="708"/>
      <c r="C10" s="708"/>
      <c r="D10" s="1"/>
      <c r="E10" s="708"/>
      <c r="F10" s="708"/>
      <c r="G10" s="1"/>
      <c r="H10" s="708"/>
      <c r="I10" s="708"/>
      <c r="J10" s="1"/>
      <c r="N10" s="707">
        <v>1536.6666666666667</v>
      </c>
      <c r="O10" s="535">
        <f>B10/N10</f>
        <v>0</v>
      </c>
    </row>
    <row r="11" spans="1:15" s="609" customFormat="1" ht="14.4" x14ac:dyDescent="0.4">
      <c r="A11" s="529">
        <v>2013</v>
      </c>
      <c r="B11" s="708"/>
      <c r="C11" s="708"/>
      <c r="D11" s="1"/>
      <c r="E11" s="708"/>
      <c r="F11" s="708"/>
      <c r="G11" s="1"/>
      <c r="H11" s="708"/>
      <c r="I11" s="708"/>
      <c r="J11" s="1"/>
      <c r="N11" s="707">
        <v>1655</v>
      </c>
      <c r="O11" s="535">
        <f t="shared" ref="O11:O58" si="0">B11/N11</f>
        <v>0</v>
      </c>
    </row>
    <row r="12" spans="1:15" ht="14.4" x14ac:dyDescent="0.4">
      <c r="A12" s="529">
        <v>2014</v>
      </c>
      <c r="B12" s="708">
        <v>1351.0179807789712</v>
      </c>
      <c r="C12" s="708">
        <v>0</v>
      </c>
      <c r="E12" s="708">
        <v>1351.0179807789712</v>
      </c>
      <c r="F12" s="708">
        <v>-2.3841857910156249E-13</v>
      </c>
      <c r="H12" s="708">
        <v>1351.0179807789712</v>
      </c>
      <c r="I12" s="708">
        <v>-2.3841857910156249E-13</v>
      </c>
      <c r="N12" s="707">
        <v>1773.3333333333333</v>
      </c>
      <c r="O12" s="535">
        <f t="shared" si="0"/>
        <v>0.76185224480017177</v>
      </c>
    </row>
    <row r="13" spans="1:15" ht="14.4" x14ac:dyDescent="0.4">
      <c r="A13" s="529">
        <v>2015</v>
      </c>
      <c r="B13" s="708">
        <v>1373.0725590764539</v>
      </c>
      <c r="C13" s="708">
        <v>0</v>
      </c>
      <c r="E13" s="708">
        <v>1373.0725590764539</v>
      </c>
      <c r="F13" s="708">
        <v>0</v>
      </c>
      <c r="H13" s="708">
        <v>1373.0725590764539</v>
      </c>
      <c r="I13" s="708">
        <v>0</v>
      </c>
      <c r="N13" s="707">
        <v>1891.6666666666667</v>
      </c>
      <c r="O13" s="535">
        <f t="shared" si="0"/>
        <v>0.72585333519460116</v>
      </c>
    </row>
    <row r="14" spans="1:15" ht="14.4" x14ac:dyDescent="0.4">
      <c r="A14" s="529">
        <v>2016</v>
      </c>
      <c r="B14" s="708">
        <v>1381.3419093589625</v>
      </c>
      <c r="C14" s="708">
        <v>0</v>
      </c>
      <c r="E14" s="708">
        <v>1381.3419093589625</v>
      </c>
      <c r="F14" s="708">
        <v>0</v>
      </c>
      <c r="H14" s="708">
        <v>1381.3419093589625</v>
      </c>
      <c r="I14" s="708">
        <v>0</v>
      </c>
      <c r="N14" s="707">
        <v>2009.9999999999998</v>
      </c>
      <c r="O14" s="535">
        <f t="shared" si="0"/>
        <v>0.68723478077560329</v>
      </c>
    </row>
    <row r="15" spans="1:15" ht="14.4" x14ac:dyDescent="0.4">
      <c r="A15" s="529">
        <v>2017</v>
      </c>
      <c r="B15" s="708">
        <v>1402.4337305219585</v>
      </c>
      <c r="C15" s="708">
        <v>0</v>
      </c>
      <c r="E15" s="708">
        <v>1402.4337305219585</v>
      </c>
      <c r="F15" s="708">
        <v>2.3841857910156249E-13</v>
      </c>
      <c r="H15" s="708">
        <v>1402.4337305219585</v>
      </c>
      <c r="I15" s="708">
        <v>2.3841857910156249E-13</v>
      </c>
      <c r="N15" s="707">
        <v>2123.324211440809</v>
      </c>
      <c r="O15" s="535">
        <f t="shared" si="0"/>
        <v>0.66048968073995584</v>
      </c>
    </row>
    <row r="16" spans="1:15" ht="14.4" x14ac:dyDescent="0.4">
      <c r="A16" s="529">
        <v>2018</v>
      </c>
      <c r="B16" s="708">
        <v>1422.5384092203535</v>
      </c>
      <c r="C16" s="708">
        <v>0</v>
      </c>
      <c r="E16" s="708">
        <v>1422.5384092203535</v>
      </c>
      <c r="F16" s="708">
        <v>0</v>
      </c>
      <c r="H16" s="708">
        <v>1422.5384092203535</v>
      </c>
      <c r="I16" s="708">
        <v>0</v>
      </c>
      <c r="N16" s="707">
        <v>2160.7043297289983</v>
      </c>
      <c r="O16" s="535">
        <f t="shared" si="0"/>
        <v>0.6583679171868797</v>
      </c>
    </row>
    <row r="17" spans="1:15" ht="14.4" x14ac:dyDescent="0.4">
      <c r="A17" s="529">
        <v>2019</v>
      </c>
      <c r="B17" s="708">
        <v>1442.6423443579197</v>
      </c>
      <c r="C17" s="708">
        <v>35.56819850190854</v>
      </c>
      <c r="E17" s="708">
        <v>1442.6423443579197</v>
      </c>
      <c r="F17" s="708">
        <v>53.117315912884713</v>
      </c>
      <c r="H17" s="708">
        <v>1442.6423443579197</v>
      </c>
      <c r="I17" s="708">
        <v>67.045668835695025</v>
      </c>
      <c r="N17" s="707">
        <v>2197.9034203535862</v>
      </c>
      <c r="O17" s="535">
        <f t="shared" si="0"/>
        <v>0.65637203664109844</v>
      </c>
    </row>
    <row r="18" spans="1:15" ht="14.4" x14ac:dyDescent="0.4">
      <c r="A18" s="529">
        <v>2020</v>
      </c>
      <c r="B18" s="708">
        <v>1462.5329054746576</v>
      </c>
      <c r="C18" s="708">
        <v>71.65690171818423</v>
      </c>
      <c r="E18" s="708">
        <v>1462.5329054746576</v>
      </c>
      <c r="F18" s="708">
        <v>106.54635670267987</v>
      </c>
      <c r="H18" s="708">
        <v>1462.5329054746576</v>
      </c>
      <c r="I18" s="708">
        <v>134.02168870726658</v>
      </c>
      <c r="N18" s="707">
        <v>2235.4879894080063</v>
      </c>
      <c r="O18" s="535">
        <f t="shared" si="0"/>
        <v>0.65423429354320084</v>
      </c>
    </row>
    <row r="19" spans="1:15" ht="14.4" x14ac:dyDescent="0.4">
      <c r="A19" s="529">
        <v>2021</v>
      </c>
      <c r="B19" s="708">
        <v>1480.971885470809</v>
      </c>
      <c r="C19" s="708">
        <v>108.1389309845767</v>
      </c>
      <c r="E19" s="708">
        <v>1480.971885470809</v>
      </c>
      <c r="F19" s="708">
        <v>160.09996373372053</v>
      </c>
      <c r="H19" s="708">
        <v>1480.971885470809</v>
      </c>
      <c r="I19" s="708">
        <v>200.70456206726837</v>
      </c>
      <c r="N19" s="707">
        <v>2270.2853275329462</v>
      </c>
      <c r="O19" s="535">
        <f t="shared" si="0"/>
        <v>0.65232852783316819</v>
      </c>
    </row>
    <row r="20" spans="1:15" ht="14.4" x14ac:dyDescent="0.4">
      <c r="A20" s="529">
        <v>2022</v>
      </c>
      <c r="B20" s="708">
        <v>1499.079316488225</v>
      </c>
      <c r="C20" s="708">
        <v>145.00472804000998</v>
      </c>
      <c r="E20" s="708">
        <v>1499.079316488225</v>
      </c>
      <c r="F20" s="708">
        <v>213.7669753937831</v>
      </c>
      <c r="H20" s="708">
        <v>1499.079316488225</v>
      </c>
      <c r="I20" s="708">
        <v>267.09242117504431</v>
      </c>
      <c r="N20" s="707">
        <v>2305.4281717581962</v>
      </c>
      <c r="O20" s="535">
        <f t="shared" si="0"/>
        <v>0.65023900325854755</v>
      </c>
    </row>
    <row r="21" spans="1:15" ht="14.4" x14ac:dyDescent="0.4">
      <c r="A21" s="529">
        <v>2023</v>
      </c>
      <c r="B21" s="708">
        <v>1516.8918974482606</v>
      </c>
      <c r="C21" s="708">
        <v>182.22106275890874</v>
      </c>
      <c r="E21" s="708">
        <v>1516.8918974482606</v>
      </c>
      <c r="F21" s="708">
        <v>267.50114115409565</v>
      </c>
      <c r="H21" s="708">
        <v>1516.8918974482606</v>
      </c>
      <c r="I21" s="708">
        <v>333.1385890502529</v>
      </c>
      <c r="N21" s="707">
        <v>2340.1548550480929</v>
      </c>
      <c r="O21" s="535">
        <f t="shared" si="0"/>
        <v>0.6482015043474918</v>
      </c>
    </row>
    <row r="22" spans="1:15" ht="14.4" x14ac:dyDescent="0.4">
      <c r="A22" s="529">
        <v>2024</v>
      </c>
      <c r="B22" s="708">
        <v>1534.4419135945341</v>
      </c>
      <c r="C22" s="708">
        <v>219.75873914715552</v>
      </c>
      <c r="E22" s="708">
        <v>1534.4419135945341</v>
      </c>
      <c r="F22" s="708">
        <v>321.26232008042575</v>
      </c>
      <c r="H22" s="708">
        <v>1534.4419135945341</v>
      </c>
      <c r="I22" s="708">
        <v>398.80347782666684</v>
      </c>
      <c r="N22" s="707">
        <v>2374.4267580491282</v>
      </c>
      <c r="O22" s="535">
        <f t="shared" si="0"/>
        <v>0.64623678468619483</v>
      </c>
    </row>
    <row r="23" spans="1:15" ht="14.4" x14ac:dyDescent="0.4">
      <c r="A23" s="529">
        <v>2025</v>
      </c>
      <c r="B23" s="708">
        <v>1551.7558749123357</v>
      </c>
      <c r="C23" s="708">
        <v>257.59136536958215</v>
      </c>
      <c r="E23" s="708">
        <v>1551.7558749123357</v>
      </c>
      <c r="F23" s="708">
        <v>375.01456949694608</v>
      </c>
      <c r="H23" s="708">
        <v>1551.7558749123357</v>
      </c>
      <c r="I23" s="708">
        <v>464.05217014073799</v>
      </c>
      <c r="N23" s="707">
        <v>2407.1768875846901</v>
      </c>
      <c r="O23" s="535">
        <f t="shared" si="0"/>
        <v>0.64463724411600443</v>
      </c>
    </row>
    <row r="24" spans="1:15" ht="14.4" x14ac:dyDescent="0.4">
      <c r="A24" s="529">
        <v>2026</v>
      </c>
      <c r="B24" s="708">
        <v>1568.852192214013</v>
      </c>
      <c r="C24" s="708">
        <v>295.69363141168691</v>
      </c>
      <c r="E24" s="708">
        <v>1568.852192214013</v>
      </c>
      <c r="F24" s="708">
        <v>428.72361475064184</v>
      </c>
      <c r="H24" s="708">
        <v>1568.852192214013</v>
      </c>
      <c r="I24" s="708">
        <v>528.85132453258871</v>
      </c>
      <c r="N24" s="707">
        <v>2449.9180750781911</v>
      </c>
      <c r="O24" s="535">
        <f t="shared" si="0"/>
        <v>0.64036924669978679</v>
      </c>
    </row>
    <row r="25" spans="1:15" ht="14.4" x14ac:dyDescent="0.4">
      <c r="A25" s="529">
        <v>2027</v>
      </c>
      <c r="B25" s="708">
        <v>1585.7442469335776</v>
      </c>
      <c r="C25" s="708">
        <v>334.04098811636828</v>
      </c>
      <c r="E25" s="708">
        <v>1585.7442469335776</v>
      </c>
      <c r="F25" s="708">
        <v>482.35637881691815</v>
      </c>
      <c r="H25" s="708">
        <v>1585.7442469335776</v>
      </c>
      <c r="I25" s="708">
        <v>593.16864166547157</v>
      </c>
      <c r="N25" s="707">
        <v>2495.0576024378797</v>
      </c>
      <c r="O25" s="535">
        <f t="shared" si="0"/>
        <v>0.63555416331237125</v>
      </c>
    </row>
    <row r="26" spans="1:15" ht="14.4" x14ac:dyDescent="0.4">
      <c r="A26" s="529">
        <v>2028</v>
      </c>
      <c r="B26" s="708">
        <v>1602.443574171094</v>
      </c>
      <c r="C26" s="708">
        <v>372.61028955407261</v>
      </c>
      <c r="E26" s="708">
        <v>1602.443574171094</v>
      </c>
      <c r="F26" s="708">
        <v>535.88183749903942</v>
      </c>
      <c r="H26" s="708">
        <v>1602.443574171094</v>
      </c>
      <c r="I26" s="708">
        <v>656.97389270111341</v>
      </c>
      <c r="N26" s="707">
        <v>2539.731549883209</v>
      </c>
      <c r="O26" s="535">
        <f t="shared" si="0"/>
        <v>0.63094998140444536</v>
      </c>
    </row>
    <row r="27" spans="1:15" ht="14.4" x14ac:dyDescent="0.4">
      <c r="A27" s="529">
        <v>2029</v>
      </c>
      <c r="B27" s="708">
        <v>1618.9585787515939</v>
      </c>
      <c r="C27" s="708">
        <v>411.37894501375746</v>
      </c>
      <c r="E27" s="708">
        <v>1618.9585787515939</v>
      </c>
      <c r="F27" s="708">
        <v>589.26979756236983</v>
      </c>
      <c r="H27" s="708">
        <v>1618.9585787515939</v>
      </c>
      <c r="I27" s="708">
        <v>720.23746282154377</v>
      </c>
      <c r="N27" s="707">
        <v>2583.9516360536154</v>
      </c>
      <c r="O27" s="535">
        <f t="shared" si="0"/>
        <v>0.62654368454983012</v>
      </c>
    </row>
    <row r="28" spans="1:15" ht="14.4" x14ac:dyDescent="0.4">
      <c r="A28" s="529">
        <v>2030</v>
      </c>
      <c r="B28" s="708">
        <v>1635.2961892580247</v>
      </c>
      <c r="C28" s="708">
        <v>450.325006870214</v>
      </c>
      <c r="E28" s="708">
        <v>1635.2961892580247</v>
      </c>
      <c r="F28" s="708">
        <v>642.49102313794742</v>
      </c>
      <c r="H28" s="708">
        <v>1635.2961892580247</v>
      </c>
      <c r="I28" s="708">
        <v>782.93054288722715</v>
      </c>
      <c r="N28" s="707">
        <v>2630.7549019692192</v>
      </c>
      <c r="O28" s="535">
        <f t="shared" si="0"/>
        <v>0.62160720028838257</v>
      </c>
    </row>
    <row r="29" spans="1:15" ht="14.4" x14ac:dyDescent="0.4">
      <c r="A29" s="529">
        <v>2031</v>
      </c>
      <c r="B29" s="708">
        <v>1649.1070700911746</v>
      </c>
      <c r="C29" s="708">
        <v>488.45606275684906</v>
      </c>
      <c r="E29" s="708">
        <v>1649.1070700911746</v>
      </c>
      <c r="F29" s="708">
        <v>694.17839459097922</v>
      </c>
      <c r="H29" s="708">
        <v>1649.1070700911746</v>
      </c>
      <c r="I29" s="708">
        <v>843.44089547802332</v>
      </c>
      <c r="N29" s="707">
        <v>2671.0676895055658</v>
      </c>
      <c r="O29" s="535">
        <f t="shared" si="0"/>
        <v>0.61739621072517126</v>
      </c>
    </row>
    <row r="30" spans="1:15" ht="14.4" x14ac:dyDescent="0.4">
      <c r="A30" s="529">
        <v>2032</v>
      </c>
      <c r="B30" s="708">
        <v>1662.735066223898</v>
      </c>
      <c r="C30" s="708">
        <v>526.591531777863</v>
      </c>
      <c r="E30" s="708">
        <v>1662.735066223898</v>
      </c>
      <c r="F30" s="708">
        <v>745.48174787789981</v>
      </c>
      <c r="H30" s="708">
        <v>1662.735066223898</v>
      </c>
      <c r="I30" s="708">
        <v>903.1527933576632</v>
      </c>
      <c r="N30" s="707">
        <v>2713.0477280924774</v>
      </c>
      <c r="O30" s="535">
        <f t="shared" si="0"/>
        <v>0.61286613169645709</v>
      </c>
    </row>
    <row r="31" spans="1:15" ht="14.4" x14ac:dyDescent="0.4">
      <c r="A31" s="529">
        <v>2033</v>
      </c>
      <c r="B31" s="708">
        <v>1676.2030596621123</v>
      </c>
      <c r="C31" s="708">
        <v>564.72128346671252</v>
      </c>
      <c r="E31" s="708">
        <v>1676.2030596621123</v>
      </c>
      <c r="F31" s="708">
        <v>796.39203699699715</v>
      </c>
      <c r="H31" s="708">
        <v>1676.2030596621123</v>
      </c>
      <c r="I31" s="708">
        <v>962.06392188214033</v>
      </c>
      <c r="N31" s="707">
        <v>2754.6471629240004</v>
      </c>
      <c r="O31" s="535">
        <f t="shared" si="0"/>
        <v>0.60850009475727473</v>
      </c>
    </row>
    <row r="32" spans="1:15" ht="14.4" x14ac:dyDescent="0.4">
      <c r="A32" s="529">
        <v>2034</v>
      </c>
      <c r="B32" s="708">
        <v>1689.5371892576436</v>
      </c>
      <c r="C32" s="708">
        <v>602.83838655037994</v>
      </c>
      <c r="E32" s="708">
        <v>1689.5371892576436</v>
      </c>
      <c r="F32" s="708">
        <v>846.90450605275487</v>
      </c>
      <c r="H32" s="708">
        <v>1689.5371892576436</v>
      </c>
      <c r="I32" s="708">
        <v>1020.1766184275621</v>
      </c>
      <c r="N32" s="707">
        <v>2795.9182687269372</v>
      </c>
      <c r="O32" s="535">
        <f t="shared" si="0"/>
        <v>0.60428704520999432</v>
      </c>
    </row>
    <row r="33" spans="1:15" ht="14.4" x14ac:dyDescent="0.4">
      <c r="A33" s="529">
        <v>2035</v>
      </c>
      <c r="B33" s="708">
        <v>1702.7562538144261</v>
      </c>
      <c r="C33" s="708">
        <v>640.93538891223034</v>
      </c>
      <c r="E33" s="708">
        <v>1702.7562538144261</v>
      </c>
      <c r="F33" s="708">
        <v>897.01340133899123</v>
      </c>
      <c r="H33" s="708">
        <v>1702.7562538144261</v>
      </c>
      <c r="I33" s="708">
        <v>1077.4914777907713</v>
      </c>
      <c r="N33" s="707">
        <v>2837.0275955231041</v>
      </c>
      <c r="O33" s="535">
        <f t="shared" si="0"/>
        <v>0.60019023308106534</v>
      </c>
    </row>
    <row r="34" spans="1:15" ht="14.4" x14ac:dyDescent="0.4">
      <c r="A34" s="529">
        <v>2036</v>
      </c>
      <c r="B34" s="708">
        <v>1715.8707824741264</v>
      </c>
      <c r="C34" s="708">
        <v>679.00324128366879</v>
      </c>
      <c r="E34" s="708">
        <v>1715.8707824741264</v>
      </c>
      <c r="F34" s="708">
        <v>946.71047306904484</v>
      </c>
      <c r="H34" s="708">
        <v>1715.8707824741264</v>
      </c>
      <c r="I34" s="708">
        <v>1134.0055889081186</v>
      </c>
      <c r="N34" s="707">
        <v>2877.593182128237</v>
      </c>
      <c r="O34" s="535">
        <f t="shared" si="0"/>
        <v>0.59628678338926522</v>
      </c>
    </row>
    <row r="35" spans="1:15" ht="14.4" x14ac:dyDescent="0.4">
      <c r="A35" s="529">
        <v>2037</v>
      </c>
      <c r="B35" s="708">
        <v>1728.8784996843804</v>
      </c>
      <c r="C35" s="708">
        <v>717.02844449102145</v>
      </c>
      <c r="E35" s="708">
        <v>1728.8784996843804</v>
      </c>
      <c r="F35" s="708">
        <v>995.98110159934879</v>
      </c>
      <c r="H35" s="708">
        <v>1728.8784996843804</v>
      </c>
      <c r="I35" s="708">
        <v>1189.708015273774</v>
      </c>
      <c r="N35" s="707">
        <v>2918.0432097870271</v>
      </c>
      <c r="O35" s="535">
        <f t="shared" si="0"/>
        <v>0.59247871789073414</v>
      </c>
    </row>
    <row r="36" spans="1:15" ht="14.4" x14ac:dyDescent="0.4">
      <c r="A36" s="529">
        <v>2038</v>
      </c>
      <c r="B36" s="708">
        <v>1741.7682577771866</v>
      </c>
      <c r="C36" s="708">
        <v>754.99343044710758</v>
      </c>
      <c r="E36" s="708">
        <v>1741.7682577771866</v>
      </c>
      <c r="F36" s="708">
        <v>1044.8050009697686</v>
      </c>
      <c r="H36" s="708">
        <v>1741.7682577771866</v>
      </c>
      <c r="I36" s="708">
        <v>1244.5808091406398</v>
      </c>
      <c r="N36" s="707">
        <v>2958.2622662500853</v>
      </c>
      <c r="O36" s="535">
        <f t="shared" si="0"/>
        <v>0.58878087911558452</v>
      </c>
    </row>
    <row r="37" spans="1:15" ht="14.4" x14ac:dyDescent="0.4">
      <c r="A37" s="529">
        <v>2039</v>
      </c>
      <c r="B37" s="708">
        <v>1754.5212650530993</v>
      </c>
      <c r="C37" s="708">
        <v>792.87638471019363</v>
      </c>
      <c r="E37" s="708">
        <v>1754.5212650530993</v>
      </c>
      <c r="F37" s="708">
        <v>1093.1560763959806</v>
      </c>
      <c r="H37" s="708">
        <v>1754.5212650530993</v>
      </c>
      <c r="I37" s="708">
        <v>1298.5989513652812</v>
      </c>
      <c r="N37" s="707">
        <v>2998.2486488063391</v>
      </c>
      <c r="O37" s="535">
        <f t="shared" si="0"/>
        <v>0.58518204143996133</v>
      </c>
    </row>
    <row r="38" spans="1:15" ht="14.4" x14ac:dyDescent="0.4">
      <c r="A38" s="529">
        <v>2040</v>
      </c>
      <c r="B38" s="708">
        <v>1767.1217842270207</v>
      </c>
      <c r="C38" s="708">
        <v>830.65576130600334</v>
      </c>
      <c r="E38" s="708">
        <v>1767.1217842270207</v>
      </c>
      <c r="F38" s="708">
        <v>1141.0087076754892</v>
      </c>
      <c r="H38" s="708">
        <v>1767.1217842270207</v>
      </c>
      <c r="I38" s="708">
        <v>1351.737876405994</v>
      </c>
      <c r="N38" s="707">
        <v>3034.5160714120425</v>
      </c>
      <c r="O38" s="535">
        <f t="shared" si="0"/>
        <v>0.58234055863962886</v>
      </c>
    </row>
    <row r="39" spans="1:15" ht="14.4" x14ac:dyDescent="0.4">
      <c r="A39" s="529">
        <v>2041</v>
      </c>
      <c r="B39" s="708">
        <v>1779.5658394452457</v>
      </c>
      <c r="C39" s="708">
        <v>868.31492364607482</v>
      </c>
      <c r="E39" s="708">
        <v>1779.5658394452457</v>
      </c>
      <c r="F39" s="708">
        <v>1188.3440798795241</v>
      </c>
      <c r="H39" s="708">
        <v>1779.5658394452457</v>
      </c>
      <c r="I39" s="708">
        <v>1403.9809387413516</v>
      </c>
      <c r="N39" s="707">
        <v>3077.4302876550992</v>
      </c>
      <c r="O39" s="535">
        <f t="shared" si="0"/>
        <v>0.57826357483509938</v>
      </c>
    </row>
    <row r="40" spans="1:15" ht="14.4" x14ac:dyDescent="0.4">
      <c r="A40" s="529">
        <v>2042</v>
      </c>
      <c r="B40" s="708">
        <v>1791.8523899630945</v>
      </c>
      <c r="C40" s="708">
        <v>905.83872199026155</v>
      </c>
      <c r="E40" s="708">
        <v>1791.8523899630945</v>
      </c>
      <c r="F40" s="708">
        <v>1235.1453961614427</v>
      </c>
      <c r="H40" s="708">
        <v>1791.8523899630945</v>
      </c>
      <c r="I40" s="708">
        <v>1455.3136826508198</v>
      </c>
      <c r="N40" s="707">
        <v>3115.5167307311153</v>
      </c>
      <c r="O40" s="535">
        <f t="shared" si="0"/>
        <v>0.57513810543479327</v>
      </c>
    </row>
    <row r="41" spans="1:15" ht="14.4" x14ac:dyDescent="0.4">
      <c r="A41" s="529">
        <v>2043</v>
      </c>
      <c r="B41" s="708">
        <v>1803.9707934662815</v>
      </c>
      <c r="C41" s="708">
        <v>943.20706879418799</v>
      </c>
      <c r="E41" s="708">
        <v>1803.9707934662815</v>
      </c>
      <c r="F41" s="708">
        <v>1281.3891594945849</v>
      </c>
      <c r="H41" s="708">
        <v>1803.9707934662815</v>
      </c>
      <c r="I41" s="708">
        <v>1505.7136306113343</v>
      </c>
      <c r="N41" s="707">
        <v>3153.4350652335165</v>
      </c>
      <c r="O41" s="535">
        <f t="shared" si="0"/>
        <v>0.57206530534114386</v>
      </c>
    </row>
    <row r="42" spans="1:15" ht="14.4" x14ac:dyDescent="0.4">
      <c r="A42" s="529">
        <v>2044</v>
      </c>
      <c r="B42" s="708">
        <v>1815.9090076533682</v>
      </c>
      <c r="C42" s="708">
        <v>980.39863684178079</v>
      </c>
      <c r="E42" s="708">
        <v>1815.9090076533682</v>
      </c>
      <c r="F42" s="708">
        <v>1327.0502859997002</v>
      </c>
      <c r="H42" s="708">
        <v>1815.9090076533682</v>
      </c>
      <c r="I42" s="708">
        <v>1555.1563748760873</v>
      </c>
      <c r="N42" s="707">
        <v>3191.205104072636</v>
      </c>
      <c r="O42" s="535">
        <f t="shared" si="0"/>
        <v>0.56903550490562127</v>
      </c>
    </row>
    <row r="43" spans="1:15" ht="14.4" x14ac:dyDescent="0.4">
      <c r="A43" s="529">
        <v>2045</v>
      </c>
      <c r="B43" s="708">
        <v>1827.6564138317656</v>
      </c>
      <c r="C43" s="708">
        <v>1017.392325359511</v>
      </c>
      <c r="E43" s="708">
        <v>1827.6564138317656</v>
      </c>
      <c r="F43" s="708">
        <v>1372.1041315775694</v>
      </c>
      <c r="H43" s="708">
        <v>1827.6564138317656</v>
      </c>
      <c r="I43" s="708">
        <v>1603.6179945399454</v>
      </c>
      <c r="N43" s="707">
        <v>3228.9513540957141</v>
      </c>
      <c r="O43" s="535">
        <f t="shared" si="0"/>
        <v>0.56602166257893682</v>
      </c>
    </row>
    <row r="44" spans="1:15" ht="14.4" x14ac:dyDescent="0.4">
      <c r="A44" s="529">
        <v>2046</v>
      </c>
      <c r="B44" s="708">
        <v>1839.2071817643114</v>
      </c>
      <c r="C44" s="708">
        <v>1054.1693722477883</v>
      </c>
      <c r="E44" s="708">
        <v>1839.2071817643114</v>
      </c>
      <c r="F44" s="708">
        <v>1416.5293195718832</v>
      </c>
      <c r="H44" s="708">
        <v>1839.2071817643114</v>
      </c>
      <c r="I44" s="708">
        <v>1651.0783418580638</v>
      </c>
      <c r="N44" s="707">
        <v>3266.2667302830773</v>
      </c>
      <c r="O44" s="535">
        <f t="shared" si="0"/>
        <v>0.56309154568185338</v>
      </c>
    </row>
    <row r="45" spans="1:15" ht="14.4" x14ac:dyDescent="0.4">
      <c r="A45" s="529">
        <v>2047</v>
      </c>
      <c r="B45" s="708">
        <v>1850.5564411124585</v>
      </c>
      <c r="C45" s="708">
        <v>1090.711457520207</v>
      </c>
      <c r="E45" s="708">
        <v>1850.5564411124585</v>
      </c>
      <c r="F45" s="708">
        <v>1460.3051706408896</v>
      </c>
      <c r="H45" s="708">
        <v>1850.5564411124585</v>
      </c>
      <c r="I45" s="708">
        <v>1697.5180402540411</v>
      </c>
      <c r="N45" s="707">
        <v>3303.191895125663</v>
      </c>
      <c r="O45" s="535">
        <f t="shared" si="0"/>
        <v>0.56023279902182554</v>
      </c>
    </row>
    <row r="46" spans="1:15" ht="14.4" x14ac:dyDescent="0.4">
      <c r="A46" s="529">
        <v>2048</v>
      </c>
      <c r="B46" s="708">
        <v>1861.6961928644901</v>
      </c>
      <c r="C46" s="708">
        <v>1126.9983105518609</v>
      </c>
      <c r="E46" s="708">
        <v>1861.6961928644901</v>
      </c>
      <c r="F46" s="708">
        <v>1503.4085068024622</v>
      </c>
      <c r="H46" s="708">
        <v>1861.6961928644901</v>
      </c>
      <c r="I46" s="708">
        <v>1742.9147927106048</v>
      </c>
      <c r="N46" s="707">
        <v>3339.8027616596228</v>
      </c>
      <c r="O46" s="535">
        <f t="shared" si="0"/>
        <v>0.55742698767617394</v>
      </c>
    </row>
    <row r="47" spans="1:15" ht="14.4" x14ac:dyDescent="0.4">
      <c r="A47" s="529">
        <v>2049</v>
      </c>
      <c r="B47" s="708">
        <v>1872.6182944748145</v>
      </c>
      <c r="C47" s="708">
        <v>1163.0093560141352</v>
      </c>
      <c r="E47" s="708">
        <v>1872.6182944748145</v>
      </c>
      <c r="F47" s="708">
        <v>1545.8158890591249</v>
      </c>
      <c r="H47" s="708">
        <v>1872.6182944748145</v>
      </c>
      <c r="I47" s="708">
        <v>1787.2460122358477</v>
      </c>
      <c r="N47" s="707">
        <v>3376.0991857820768</v>
      </c>
      <c r="O47" s="535">
        <f t="shared" si="0"/>
        <v>0.55466921776500488</v>
      </c>
    </row>
    <row r="48" spans="1:15" ht="14.4" x14ac:dyDescent="0.4">
      <c r="A48" s="529">
        <v>2050</v>
      </c>
      <c r="B48" s="708">
        <v>1883.3163806021332</v>
      </c>
      <c r="C48" s="708">
        <v>1198.7249822894426</v>
      </c>
      <c r="E48" s="708">
        <v>1883.3163806021332</v>
      </c>
      <c r="F48" s="708">
        <v>1587.5052903575274</v>
      </c>
      <c r="H48" s="708">
        <v>1883.3163806021332</v>
      </c>
      <c r="I48" s="708">
        <v>1830.4907458192276</v>
      </c>
      <c r="N48" s="707">
        <v>3411.4131493703135</v>
      </c>
      <c r="O48" s="535">
        <f t="shared" si="0"/>
        <v>0.55206341130207581</v>
      </c>
    </row>
    <row r="49" spans="1:15" ht="14.4" x14ac:dyDescent="0.4">
      <c r="A49" s="529">
        <v>2051</v>
      </c>
      <c r="B49" s="708">
        <v>1893.7877978744373</v>
      </c>
      <c r="C49" s="708">
        <v>1206.4458033222447</v>
      </c>
      <c r="E49" s="708">
        <v>1893.7877978744373</v>
      </c>
      <c r="F49" s="708">
        <v>1597.0345551669989</v>
      </c>
      <c r="H49" s="708">
        <v>1893.7877978744373</v>
      </c>
      <c r="I49" s="708">
        <v>1840.8320069031854</v>
      </c>
      <c r="N49" s="707">
        <v>3447.7514379580948</v>
      </c>
      <c r="O49" s="535">
        <f t="shared" si="0"/>
        <v>0.54928199783335285</v>
      </c>
    </row>
    <row r="50" spans="1:15" ht="14.4" x14ac:dyDescent="0.4">
      <c r="A50" s="529">
        <v>2052</v>
      </c>
      <c r="B50" s="708">
        <v>1904.0316488703795</v>
      </c>
      <c r="C50" s="708">
        <v>1214.0360571673757</v>
      </c>
      <c r="E50" s="708">
        <v>1904.0316488703795</v>
      </c>
      <c r="F50" s="708">
        <v>1606.3814292614609</v>
      </c>
      <c r="H50" s="708">
        <v>1904.0316488703795</v>
      </c>
      <c r="I50" s="708">
        <v>1850.9542710319449</v>
      </c>
      <c r="N50" s="707">
        <v>3483.1120613277576</v>
      </c>
      <c r="O50" s="535">
        <f t="shared" si="0"/>
        <v>0.5466466812855183</v>
      </c>
    </row>
    <row r="51" spans="1:15" ht="14.4" x14ac:dyDescent="0.4">
      <c r="A51" s="529">
        <v>2053</v>
      </c>
      <c r="B51" s="708">
        <v>1914.0462993196618</v>
      </c>
      <c r="C51" s="708">
        <v>1221.4943580522961</v>
      </c>
      <c r="E51" s="708">
        <v>1914.0462993196618</v>
      </c>
      <c r="F51" s="708">
        <v>1615.5443097038897</v>
      </c>
      <c r="H51" s="708">
        <v>1914.0462993196618</v>
      </c>
      <c r="I51" s="708">
        <v>1860.8558980619093</v>
      </c>
      <c r="N51" s="707">
        <v>3518.1641751714656</v>
      </c>
      <c r="O51" s="535">
        <f t="shared" si="0"/>
        <v>0.5440468960566277</v>
      </c>
    </row>
    <row r="52" spans="1:15" ht="14.4" x14ac:dyDescent="0.4">
      <c r="A52" s="529">
        <v>2054</v>
      </c>
      <c r="B52" s="708">
        <v>1923.8311171921941</v>
      </c>
      <c r="C52" s="708">
        <v>1228.819979851994</v>
      </c>
      <c r="E52" s="708">
        <v>1923.8311171921941</v>
      </c>
      <c r="F52" s="708">
        <v>1624.5224550885387</v>
      </c>
      <c r="H52" s="708">
        <v>1923.8311171921941</v>
      </c>
      <c r="I52" s="708">
        <v>1870.5362262122635</v>
      </c>
      <c r="N52" s="707">
        <v>3552.9086715023973</v>
      </c>
      <c r="O52" s="535">
        <f t="shared" si="0"/>
        <v>0.54148059943760818</v>
      </c>
    </row>
    <row r="53" spans="1:15" ht="14.4" x14ac:dyDescent="0.4">
      <c r="A53" s="529">
        <v>2055</v>
      </c>
      <c r="B53" s="708">
        <v>1933.3872251870719</v>
      </c>
      <c r="C53" s="708">
        <v>1236.0132992791862</v>
      </c>
      <c r="E53" s="708">
        <v>1933.3872251870719</v>
      </c>
      <c r="F53" s="708">
        <v>1633.3165947135749</v>
      </c>
      <c r="H53" s="708">
        <v>1933.3872251870719</v>
      </c>
      <c r="I53" s="708">
        <v>1879.9962974121656</v>
      </c>
      <c r="N53" s="707">
        <v>3587.3475451386416</v>
      </c>
      <c r="O53" s="535">
        <f t="shared" si="0"/>
        <v>0.53894617147064061</v>
      </c>
    </row>
    <row r="54" spans="1:15" ht="14.4" x14ac:dyDescent="0.4">
      <c r="A54" s="529">
        <v>2056</v>
      </c>
      <c r="B54" s="708">
        <v>1942.7152378343717</v>
      </c>
      <c r="C54" s="708">
        <v>1243.0743439358525</v>
      </c>
      <c r="E54" s="708">
        <v>1942.7152378343717</v>
      </c>
      <c r="F54" s="708">
        <v>1641.9270103226868</v>
      </c>
      <c r="H54" s="708">
        <v>1942.7152378343717</v>
      </c>
      <c r="I54" s="708">
        <v>1889.2366548878722</v>
      </c>
      <c r="N54" s="707">
        <v>3621.4835044729898</v>
      </c>
      <c r="O54" s="535">
        <f t="shared" si="0"/>
        <v>0.53644182982881816</v>
      </c>
    </row>
    <row r="55" spans="1:15" ht="14.4" x14ac:dyDescent="0.4">
      <c r="A55" s="529">
        <v>2057</v>
      </c>
      <c r="B55" s="708">
        <v>1951.8197802171555</v>
      </c>
      <c r="C55" s="708">
        <v>1250.0056956534447</v>
      </c>
      <c r="E55" s="708">
        <v>1951.8197802171555</v>
      </c>
      <c r="F55" s="708">
        <v>1650.3573682046656</v>
      </c>
      <c r="H55" s="708">
        <v>1951.8197802171555</v>
      </c>
      <c r="I55" s="708">
        <v>1898.2617413182552</v>
      </c>
      <c r="N55" s="707">
        <v>3655.3211397416994</v>
      </c>
      <c r="O55" s="535">
        <f t="shared" si="0"/>
        <v>0.53396670377232014</v>
      </c>
    </row>
    <row r="56" spans="1:15" ht="14.4" x14ac:dyDescent="0.4">
      <c r="A56" s="529">
        <v>2058</v>
      </c>
      <c r="B56" s="708">
        <v>1960.711876935645</v>
      </c>
      <c r="C56" s="708">
        <v>1256.8140731168446</v>
      </c>
      <c r="E56" s="708">
        <v>1960.711876935645</v>
      </c>
      <c r="F56" s="708">
        <v>1658.6167789636181</v>
      </c>
      <c r="H56" s="708">
        <v>1960.711876935645</v>
      </c>
      <c r="I56" s="708">
        <v>1907.0822322395156</v>
      </c>
      <c r="N56" s="707">
        <v>3688.8672576804943</v>
      </c>
      <c r="O56" s="535">
        <f t="shared" si="0"/>
        <v>0.53152139667083387</v>
      </c>
    </row>
    <row r="57" spans="1:15" ht="14.4" x14ac:dyDescent="0.4">
      <c r="A57" s="529">
        <v>2059</v>
      </c>
      <c r="B57" s="708">
        <v>1969.4061194868759</v>
      </c>
      <c r="C57" s="708">
        <v>1263.5085129412628</v>
      </c>
      <c r="E57" s="708">
        <v>1969.4061194868759</v>
      </c>
      <c r="F57" s="708">
        <v>1666.7173955002281</v>
      </c>
      <c r="H57" s="708">
        <v>1969.4061194868759</v>
      </c>
      <c r="I57" s="708">
        <v>1915.7122789709108</v>
      </c>
      <c r="N57" s="707">
        <v>3722.1302215748697</v>
      </c>
      <c r="O57" s="535">
        <f t="shared" si="0"/>
        <v>0.52910725908283807</v>
      </c>
    </row>
    <row r="58" spans="1:15" ht="14.4" x14ac:dyDescent="0.4">
      <c r="A58" s="529">
        <v>2060</v>
      </c>
      <c r="B58" s="708">
        <v>1977.9152606826765</v>
      </c>
      <c r="C58" s="708">
        <v>1270.0968906403518</v>
      </c>
      <c r="E58" s="708">
        <v>1977.9152606826765</v>
      </c>
      <c r="F58" s="708">
        <v>1674.6698257524004</v>
      </c>
      <c r="H58" s="708">
        <v>1977.9152606826765</v>
      </c>
      <c r="I58" s="708">
        <v>1924.1642466727724</v>
      </c>
      <c r="N58" s="707">
        <v>3755.1180285792939</v>
      </c>
      <c r="O58" s="535">
        <f t="shared" si="0"/>
        <v>0.5267251909605084</v>
      </c>
    </row>
    <row r="60" spans="1:15" x14ac:dyDescent="0.4">
      <c r="F60" s="530"/>
      <c r="I60" s="530"/>
    </row>
  </sheetData>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172"/>
    <cellWatch r="AZ173"/>
    <cellWatch r="AZ174"/>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175"/>
    <cellWatch r="AZ176"/>
    <cellWatch r="AZ177"/>
    <cellWatch r="AZ178"/>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Y183"/>
    <cellWatch r="AY184"/>
    <cellWatch r="AY185"/>
    <cellWatch r="AY186"/>
    <cellWatch r="AY187"/>
    <cellWatch r="AY148"/>
    <cellWatch r="AY149"/>
    <cellWatch r="AY150"/>
    <cellWatch r="AY151"/>
    <cellWatch r="AY152"/>
    <cellWatch r="AZ242"/>
    <cellWatch r="AZ243"/>
    <cellWatch r="AZ244"/>
    <cellWatch r="AZ245"/>
    <cellWatch r="AZ246"/>
    <cellWatch r="AZ247"/>
    <cellWatch r="BA172"/>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322"/>
    <cellWatch r="BB172"/>
    <cellWatch r="BB173"/>
    <cellWatch r="AZ179"/>
    <cellWatch r="AY188"/>
    <cellWatch r="BB174"/>
    <cellWatch r="BB175"/>
    <cellWatch r="AZ323"/>
    <cellWatch r="AZ324"/>
    <cellWatch r="AZ325"/>
    <cellWatch r="BA173"/>
    <cellWatch r="BA174"/>
    <cellWatch r="BA175"/>
    <cellWatch r="AZ180"/>
    <cellWatch r="AZ181"/>
    <cellWatch r="AZ182"/>
    <cellWatch r="AY189"/>
    <cellWatch r="AY190"/>
    <cellWatch r="AY191"/>
    <cellWatch r="AZ296"/>
    <cellWatch r="AY137"/>
    <cellWatch r="AY138"/>
    <cellWatch r="AY139"/>
    <cellWatch r="AY140"/>
    <cellWatch r="AY141"/>
    <cellWatch r="AY142"/>
    <cellWatch r="AY143"/>
    <cellWatch r="AY144"/>
    <cellWatch r="AY145"/>
    <cellWatch r="AY146"/>
    <cellWatch r="AY147"/>
    <cellWatch r="AZ248"/>
    <cellWatch r="AZ249"/>
    <cellWatch r="AZ250"/>
    <cellWatch r="AZ251"/>
    <cellWatch r="BA176"/>
    <cellWatch r="AZ326"/>
    <cellWatch r="BB176"/>
    <cellWatch r="BB177"/>
    <cellWatch r="AZ183"/>
    <cellWatch r="AY192"/>
    <cellWatch r="AZ184"/>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67551-D1B5-404A-86A6-35DC7B0A69D7}">
  <dimension ref="A1:O60"/>
  <sheetViews>
    <sheetView zoomScale="71" zoomScaleNormal="71" workbookViewId="0">
      <selection activeCell="N17" sqref="N17"/>
    </sheetView>
  </sheetViews>
  <sheetFormatPr defaultColWidth="10.6640625" defaultRowHeight="12.3" x14ac:dyDescent="0.4"/>
  <cols>
    <col min="1" max="1" width="10.6640625" style="609"/>
    <col min="2" max="2" width="16.83203125" style="609" customWidth="1"/>
    <col min="3" max="3" width="18" style="609" customWidth="1"/>
    <col min="4" max="4" width="10.6640625" style="609"/>
    <col min="5" max="5" width="18.33203125" style="609" customWidth="1"/>
    <col min="6" max="6" width="21" style="609" customWidth="1"/>
    <col min="7" max="7" width="10.6640625" style="609"/>
    <col min="8" max="8" width="18" style="609" customWidth="1"/>
    <col min="9" max="9" width="23.83203125" style="609" customWidth="1"/>
    <col min="10" max="16384" width="10.6640625" style="609"/>
  </cols>
  <sheetData>
    <row r="1" spans="1:15" x14ac:dyDescent="0.4">
      <c r="N1" s="1" t="s">
        <v>294</v>
      </c>
    </row>
    <row r="2" spans="1:15" x14ac:dyDescent="0.4">
      <c r="N2" s="609" t="s">
        <v>295</v>
      </c>
      <c r="O2" s="609" t="s">
        <v>20</v>
      </c>
    </row>
    <row r="3" spans="1:15" x14ac:dyDescent="0.4">
      <c r="N3" s="609" t="s">
        <v>296</v>
      </c>
      <c r="O3" s="609" t="s">
        <v>20</v>
      </c>
    </row>
    <row r="4" spans="1:15" x14ac:dyDescent="0.4">
      <c r="N4" s="609" t="s">
        <v>297</v>
      </c>
      <c r="O4" s="609" t="s">
        <v>20</v>
      </c>
    </row>
    <row r="5" spans="1:15" x14ac:dyDescent="0.4">
      <c r="N5" s="371" t="s">
        <v>298</v>
      </c>
      <c r="O5" s="371" t="s">
        <v>20</v>
      </c>
    </row>
    <row r="6" spans="1:15" ht="12.6" x14ac:dyDescent="0.45">
      <c r="H6" s="719" t="s">
        <v>1108</v>
      </c>
      <c r="N6" s="1" t="s">
        <v>299</v>
      </c>
      <c r="O6" s="1" t="s">
        <v>14</v>
      </c>
    </row>
    <row r="7" spans="1:15" x14ac:dyDescent="0.4">
      <c r="B7" s="1" t="s">
        <v>291</v>
      </c>
      <c r="C7" s="1"/>
      <c r="D7" s="1"/>
      <c r="E7" s="1" t="s">
        <v>292</v>
      </c>
      <c r="F7" s="1"/>
      <c r="G7" s="1"/>
      <c r="H7" s="1" t="s">
        <v>293</v>
      </c>
      <c r="I7" s="1"/>
      <c r="J7" s="1"/>
      <c r="N7" s="1" t="s">
        <v>300</v>
      </c>
      <c r="O7" s="1" t="s">
        <v>14</v>
      </c>
    </row>
    <row r="8" spans="1:15" x14ac:dyDescent="0.4">
      <c r="B8" s="1" t="s">
        <v>450</v>
      </c>
      <c r="C8" s="1" t="s">
        <v>387</v>
      </c>
      <c r="D8" s="1"/>
      <c r="E8" s="1" t="s">
        <v>451</v>
      </c>
      <c r="F8" s="1" t="s">
        <v>388</v>
      </c>
      <c r="G8" s="1"/>
      <c r="H8" s="1" t="s">
        <v>452</v>
      </c>
      <c r="I8" s="1" t="s">
        <v>389</v>
      </c>
      <c r="J8" s="1"/>
      <c r="N8" s="1"/>
      <c r="O8" s="1"/>
    </row>
    <row r="9" spans="1:15" ht="98.4" x14ac:dyDescent="0.4">
      <c r="B9" s="340" t="s">
        <v>1109</v>
      </c>
      <c r="C9" s="340" t="s">
        <v>1112</v>
      </c>
      <c r="D9" s="1"/>
      <c r="E9" s="340" t="s">
        <v>1110</v>
      </c>
      <c r="F9" s="340" t="s">
        <v>1113</v>
      </c>
      <c r="G9" s="1"/>
      <c r="H9" s="340" t="s">
        <v>1111</v>
      </c>
      <c r="I9" s="340" t="s">
        <v>1114</v>
      </c>
      <c r="J9" s="1"/>
      <c r="N9" s="1" t="s">
        <v>1072</v>
      </c>
      <c r="O9" s="1"/>
    </row>
    <row r="10" spans="1:15" ht="14.4" x14ac:dyDescent="0.4">
      <c r="A10" s="529">
        <v>2012</v>
      </c>
      <c r="B10" s="708"/>
      <c r="C10" s="708"/>
      <c r="D10" s="1"/>
      <c r="E10" s="708"/>
      <c r="F10" s="708"/>
      <c r="G10" s="1"/>
      <c r="H10" s="708"/>
      <c r="I10" s="708"/>
      <c r="J10" s="1"/>
      <c r="N10" s="707">
        <v>1536.6666666666667</v>
      </c>
      <c r="O10" s="535">
        <f>B10/N10</f>
        <v>0</v>
      </c>
    </row>
    <row r="11" spans="1:15" ht="14.4" x14ac:dyDescent="0.4">
      <c r="A11" s="529">
        <v>2013</v>
      </c>
      <c r="B11" s="708"/>
      <c r="C11" s="708"/>
      <c r="D11" s="1"/>
      <c r="E11" s="708"/>
      <c r="F11" s="708"/>
      <c r="G11" s="1"/>
      <c r="H11" s="708"/>
      <c r="I11" s="708"/>
      <c r="J11" s="1"/>
      <c r="N11" s="707">
        <v>1655</v>
      </c>
      <c r="O11" s="535">
        <f t="shared" ref="O11:O58" si="0">B11/N11</f>
        <v>0</v>
      </c>
    </row>
    <row r="12" spans="1:15" ht="14.4" x14ac:dyDescent="0.4">
      <c r="A12" s="529">
        <v>2014</v>
      </c>
      <c r="B12" s="708">
        <v>826.15183842668978</v>
      </c>
      <c r="C12" s="708">
        <v>0</v>
      </c>
      <c r="E12" s="708">
        <v>826.15183842668978</v>
      </c>
      <c r="F12" s="708">
        <v>0</v>
      </c>
      <c r="H12" s="708">
        <v>826.15183842668978</v>
      </c>
      <c r="I12" s="708">
        <v>0</v>
      </c>
      <c r="N12" s="707">
        <v>1773.3333333333333</v>
      </c>
      <c r="O12" s="535">
        <f t="shared" si="0"/>
        <v>0.46587509685715589</v>
      </c>
    </row>
    <row r="13" spans="1:15" ht="14.4" x14ac:dyDescent="0.4">
      <c r="A13" s="529">
        <v>2015</v>
      </c>
      <c r="B13" s="708">
        <v>837.16192978220192</v>
      </c>
      <c r="C13" s="708">
        <v>17.069609175853998</v>
      </c>
      <c r="E13" s="708">
        <v>837.16192978220192</v>
      </c>
      <c r="F13" s="708">
        <v>25.521490534682812</v>
      </c>
      <c r="H13" s="708">
        <v>837.16192978220192</v>
      </c>
      <c r="I13" s="708">
        <v>32.243689314302628</v>
      </c>
      <c r="N13" s="707">
        <v>1891.6666666666667</v>
      </c>
      <c r="O13" s="535">
        <f t="shared" si="0"/>
        <v>0.44255256199940191</v>
      </c>
    </row>
    <row r="14" spans="1:15" ht="14.4" x14ac:dyDescent="0.4">
      <c r="A14" s="529">
        <v>2016</v>
      </c>
      <c r="B14" s="708">
        <v>848.09983864610376</v>
      </c>
      <c r="C14" s="708">
        <v>34.448949720292035</v>
      </c>
      <c r="E14" s="708">
        <v>848.09983864610376</v>
      </c>
      <c r="F14" s="708">
        <v>51.340158968477226</v>
      </c>
      <c r="H14" s="708">
        <v>848.09983864610376</v>
      </c>
      <c r="I14" s="708">
        <v>64.697087681533048</v>
      </c>
      <c r="N14" s="707">
        <v>2009.9999999999998</v>
      </c>
      <c r="O14" s="535">
        <f t="shared" si="0"/>
        <v>0.42194021823189248</v>
      </c>
    </row>
    <row r="15" spans="1:15" ht="14.4" x14ac:dyDescent="0.4">
      <c r="A15" s="529">
        <v>2017</v>
      </c>
      <c r="B15" s="708">
        <v>858.96102289783016</v>
      </c>
      <c r="C15" s="708">
        <v>52.125829011527799</v>
      </c>
      <c r="E15" s="708">
        <v>858.96102289783016</v>
      </c>
      <c r="F15" s="708">
        <v>77.435515077080481</v>
      </c>
      <c r="H15" s="708">
        <v>858.96102289783016</v>
      </c>
      <c r="I15" s="708">
        <v>97.334821186570707</v>
      </c>
      <c r="N15" s="707">
        <v>2111.0920259528007</v>
      </c>
      <c r="O15" s="535">
        <f t="shared" si="0"/>
        <v>0.40687995233658975</v>
      </c>
    </row>
    <row r="16" spans="1:15" ht="14.4" x14ac:dyDescent="0.4">
      <c r="A16" s="529">
        <v>2018</v>
      </c>
      <c r="B16" s="708">
        <v>869.7336073202955</v>
      </c>
      <c r="C16" s="708">
        <v>70.087365528618761</v>
      </c>
      <c r="E16" s="708">
        <v>869.7336073202955</v>
      </c>
      <c r="F16" s="708">
        <v>103.78623856296406</v>
      </c>
      <c r="H16" s="708">
        <v>869.7336073202955</v>
      </c>
      <c r="I16" s="708">
        <v>130.1305399805434</v>
      </c>
      <c r="N16" s="707">
        <v>2147.6619980403138</v>
      </c>
      <c r="O16" s="535">
        <f t="shared" si="0"/>
        <v>0.40496763834993821</v>
      </c>
    </row>
    <row r="17" spans="1:15" ht="14.4" x14ac:dyDescent="0.4">
      <c r="A17" s="529">
        <v>2019</v>
      </c>
      <c r="B17" s="708">
        <v>880.41176045449527</v>
      </c>
      <c r="C17" s="708">
        <v>88.320756424582441</v>
      </c>
      <c r="E17" s="708">
        <v>880.41176045449527</v>
      </c>
      <c r="F17" s="708">
        <v>130.37129203839663</v>
      </c>
      <c r="H17" s="708">
        <v>880.41176045449527</v>
      </c>
      <c r="I17" s="708">
        <v>163.05829661087171</v>
      </c>
      <c r="N17" s="707">
        <v>2184.0313313767401</v>
      </c>
      <c r="O17" s="535">
        <f t="shared" si="0"/>
        <v>0.4031131549287405</v>
      </c>
    </row>
    <row r="18" spans="1:15" ht="14.4" x14ac:dyDescent="0.4">
      <c r="A18" s="529">
        <v>2020</v>
      </c>
      <c r="B18" s="708">
        <v>890.99122806222306</v>
      </c>
      <c r="C18" s="708">
        <v>106.81318209953258</v>
      </c>
      <c r="E18" s="708">
        <v>890.99122806222306</v>
      </c>
      <c r="F18" s="708">
        <v>157.16976327550799</v>
      </c>
      <c r="H18" s="708">
        <v>890.99122806222306</v>
      </c>
      <c r="I18" s="708">
        <v>196.09233906281895</v>
      </c>
      <c r="N18" s="707">
        <v>2220.6184110457084</v>
      </c>
      <c r="O18" s="535">
        <f t="shared" si="0"/>
        <v>0.40123563041281263</v>
      </c>
    </row>
    <row r="19" spans="1:15" ht="14.4" x14ac:dyDescent="0.4">
      <c r="A19" s="529">
        <v>2021</v>
      </c>
      <c r="B19" s="708">
        <v>901.45992695427685</v>
      </c>
      <c r="C19" s="708">
        <v>125.55029431633147</v>
      </c>
      <c r="E19" s="708">
        <v>901.45992695427685</v>
      </c>
      <c r="F19" s="708">
        <v>184.15867399700142</v>
      </c>
      <c r="H19" s="708">
        <v>901.45992695427685</v>
      </c>
      <c r="I19" s="708">
        <v>229.20441498184641</v>
      </c>
      <c r="N19" s="707">
        <v>2256.0862349785043</v>
      </c>
      <c r="O19" s="535">
        <f t="shared" si="0"/>
        <v>0.39956802757713111</v>
      </c>
    </row>
    <row r="20" spans="1:15" ht="14.4" x14ac:dyDescent="0.4">
      <c r="A20" s="529">
        <v>2022</v>
      </c>
      <c r="B20" s="708">
        <v>911.81252110477067</v>
      </c>
      <c r="C20" s="708">
        <v>144.51791861922743</v>
      </c>
      <c r="E20" s="708">
        <v>911.81252110477067</v>
      </c>
      <c r="F20" s="708">
        <v>211.31550657953073</v>
      </c>
      <c r="H20" s="708">
        <v>911.81252110477067</v>
      </c>
      <c r="I20" s="708">
        <v>262.36694800432974</v>
      </c>
      <c r="N20" s="707">
        <v>2292.067049961684</v>
      </c>
      <c r="O20" s="535">
        <f t="shared" si="0"/>
        <v>0.3978123245216641</v>
      </c>
    </row>
    <row r="21" spans="1:15" ht="14.4" x14ac:dyDescent="0.4">
      <c r="A21" s="529">
        <v>2023</v>
      </c>
      <c r="B21" s="708">
        <v>922.06198564546673</v>
      </c>
      <c r="C21" s="708">
        <v>163.70522819751011</v>
      </c>
      <c r="E21" s="708">
        <v>922.06198564546673</v>
      </c>
      <c r="F21" s="708">
        <v>238.62276826826951</v>
      </c>
      <c r="H21" s="708">
        <v>922.06198564546673</v>
      </c>
      <c r="I21" s="708">
        <v>295.55863449402113</v>
      </c>
      <c r="N21" s="707">
        <v>2327.8121531494985</v>
      </c>
      <c r="O21" s="535">
        <f t="shared" si="0"/>
        <v>0.39610669804173387</v>
      </c>
    </row>
    <row r="22" spans="1:15" ht="14.4" x14ac:dyDescent="0.4">
      <c r="A22" s="529">
        <v>2024</v>
      </c>
      <c r="B22" s="708">
        <v>932.22953566011881</v>
      </c>
      <c r="C22" s="708">
        <v>183.10434777352657</v>
      </c>
      <c r="E22" s="708">
        <v>932.22953566011881</v>
      </c>
      <c r="F22" s="708">
        <v>266.06733673892211</v>
      </c>
      <c r="H22" s="708">
        <v>932.22953566011881</v>
      </c>
      <c r="I22" s="708">
        <v>328.76356349625655</v>
      </c>
      <c r="N22" s="707">
        <v>2363.3235557594176</v>
      </c>
      <c r="O22" s="535">
        <f t="shared" si="0"/>
        <v>0.39445700669647038</v>
      </c>
    </row>
    <row r="23" spans="1:15" ht="14.4" x14ac:dyDescent="0.4">
      <c r="A23" s="529">
        <v>2025</v>
      </c>
      <c r="B23" s="708">
        <v>942.3321088601466</v>
      </c>
      <c r="C23" s="708">
        <v>202.70823139224296</v>
      </c>
      <c r="E23" s="708">
        <v>942.3321088601466</v>
      </c>
      <c r="F23" s="708">
        <v>293.63732568446255</v>
      </c>
      <c r="H23" s="708">
        <v>942.3321088601466</v>
      </c>
      <c r="I23" s="708">
        <v>361.96730131331378</v>
      </c>
      <c r="N23" s="707">
        <v>2397.5749666971119</v>
      </c>
      <c r="O23" s="535">
        <f t="shared" si="0"/>
        <v>0.39303551377928297</v>
      </c>
    </row>
    <row r="24" spans="1:15" ht="14.4" x14ac:dyDescent="0.4">
      <c r="A24" s="529">
        <v>2026</v>
      </c>
      <c r="B24" s="708">
        <v>952.37347863779291</v>
      </c>
      <c r="C24" s="708">
        <v>222.50794793075499</v>
      </c>
      <c r="E24" s="708">
        <v>952.37347863779291</v>
      </c>
      <c r="F24" s="708">
        <v>321.31816881912266</v>
      </c>
      <c r="H24" s="708">
        <v>952.37347863779291</v>
      </c>
      <c r="I24" s="708">
        <v>395.15208626801052</v>
      </c>
      <c r="N24" s="707">
        <v>2442.0419175786424</v>
      </c>
      <c r="O24" s="535">
        <f t="shared" si="0"/>
        <v>0.38999063520666333</v>
      </c>
    </row>
    <row r="25" spans="1:15" ht="14.4" x14ac:dyDescent="0.4">
      <c r="A25" s="529">
        <v>2027</v>
      </c>
      <c r="B25" s="708">
        <v>962.35211205723931</v>
      </c>
      <c r="C25" s="708">
        <v>242.49347919233867</v>
      </c>
      <c r="E25" s="708">
        <v>962.35211205723931</v>
      </c>
      <c r="F25" s="708">
        <v>349.0938140145438</v>
      </c>
      <c r="H25" s="708">
        <v>962.35211205723931</v>
      </c>
      <c r="I25" s="708">
        <v>428.29834020681017</v>
      </c>
      <c r="N25" s="707">
        <v>2489.1118050597343</v>
      </c>
      <c r="O25" s="535">
        <f t="shared" si="0"/>
        <v>0.38662470287635176</v>
      </c>
    </row>
    <row r="26" spans="1:15" ht="14.4" x14ac:dyDescent="0.4">
      <c r="A26" s="529">
        <v>2028</v>
      </c>
      <c r="B26" s="708">
        <v>972.27410746014618</v>
      </c>
      <c r="C26" s="708">
        <v>262.65695534073996</v>
      </c>
      <c r="E26" s="708">
        <v>972.27410746014618</v>
      </c>
      <c r="F26" s="708">
        <v>376.95136179964925</v>
      </c>
      <c r="H26" s="708">
        <v>972.27410746014618</v>
      </c>
      <c r="I26" s="708">
        <v>461.3903419507792</v>
      </c>
      <c r="N26" s="707">
        <v>2535.9468423081339</v>
      </c>
      <c r="O26" s="535">
        <f t="shared" si="0"/>
        <v>0.38339688010779233</v>
      </c>
    </row>
    <row r="27" spans="1:15" ht="14.4" x14ac:dyDescent="0.4">
      <c r="A27" s="529">
        <v>2029</v>
      </c>
      <c r="B27" s="708">
        <v>982.14570442011814</v>
      </c>
      <c r="C27" s="708">
        <v>282.99106918412645</v>
      </c>
      <c r="E27" s="708">
        <v>982.14570442011814</v>
      </c>
      <c r="F27" s="708">
        <v>404.87875948192266</v>
      </c>
      <c r="H27" s="708">
        <v>982.14570442011814</v>
      </c>
      <c r="I27" s="708">
        <v>494.41338057229689</v>
      </c>
      <c r="N27" s="707">
        <v>2582.5519206119802</v>
      </c>
      <c r="O27" s="535">
        <f t="shared" si="0"/>
        <v>0.38030046814601187</v>
      </c>
    </row>
    <row r="28" spans="1:15" ht="14.4" x14ac:dyDescent="0.4">
      <c r="A28" s="529">
        <v>2030</v>
      </c>
      <c r="B28" s="708">
        <v>991.97222088240881</v>
      </c>
      <c r="C28" s="708">
        <v>303.48872972260961</v>
      </c>
      <c r="E28" s="708">
        <v>991.97222088240881</v>
      </c>
      <c r="F28" s="708">
        <v>432.86429437154106</v>
      </c>
      <c r="H28" s="708">
        <v>991.97222088240881</v>
      </c>
      <c r="I28" s="708">
        <v>527.35313017769545</v>
      </c>
      <c r="N28" s="707">
        <v>2631.964314994379</v>
      </c>
      <c r="O28" s="535">
        <f t="shared" si="0"/>
        <v>0.37689425165497631</v>
      </c>
    </row>
    <row r="29" spans="1:15" ht="14.4" x14ac:dyDescent="0.4">
      <c r="A29" s="529">
        <v>2031</v>
      </c>
      <c r="B29" s="708">
        <v>1000.0997490781024</v>
      </c>
      <c r="C29" s="708">
        <v>323.3737150242473</v>
      </c>
      <c r="E29" s="708">
        <v>1000.0997490781024</v>
      </c>
      <c r="F29" s="708">
        <v>459.84962826259232</v>
      </c>
      <c r="H29" s="708">
        <v>1000.0997490781024</v>
      </c>
      <c r="I29" s="708">
        <v>558.97016496562901</v>
      </c>
      <c r="N29" s="707">
        <v>2675.0918435535782</v>
      </c>
      <c r="O29" s="535">
        <f t="shared" si="0"/>
        <v>0.37385622908168081</v>
      </c>
    </row>
    <row r="30" spans="1:15" ht="14.4" x14ac:dyDescent="0.4">
      <c r="A30" s="529">
        <v>2032</v>
      </c>
      <c r="B30" s="708">
        <v>1008.1637274878989</v>
      </c>
      <c r="C30" s="708">
        <v>343.32379603658558</v>
      </c>
      <c r="E30" s="708">
        <v>1008.1637274878989</v>
      </c>
      <c r="F30" s="708">
        <v>486.76805981699795</v>
      </c>
      <c r="H30" s="708">
        <v>1008.1637274878989</v>
      </c>
      <c r="I30" s="708">
        <v>590.36888209111044</v>
      </c>
      <c r="N30" s="707">
        <v>2720.1024132340781</v>
      </c>
      <c r="O30" s="535">
        <f t="shared" si="0"/>
        <v>0.37063447412233208</v>
      </c>
    </row>
    <row r="31" spans="1:15" ht="14.4" x14ac:dyDescent="0.4">
      <c r="A31" s="529">
        <v>2033</v>
      </c>
      <c r="B31" s="708">
        <v>1016.1671582614696</v>
      </c>
      <c r="C31" s="708">
        <v>363.33330576101196</v>
      </c>
      <c r="E31" s="708">
        <v>1016.1671582614696</v>
      </c>
      <c r="F31" s="708">
        <v>513.61190325216057</v>
      </c>
      <c r="H31" s="708">
        <v>1016.1671582614696</v>
      </c>
      <c r="I31" s="708">
        <v>621.5414397435004</v>
      </c>
      <c r="N31" s="707">
        <v>2764.905276871817</v>
      </c>
      <c r="O31" s="535">
        <f t="shared" si="0"/>
        <v>0.36752331689682682</v>
      </c>
    </row>
    <row r="32" spans="1:15" ht="14.4" x14ac:dyDescent="0.4">
      <c r="A32" s="529">
        <v>2034</v>
      </c>
      <c r="B32" s="708">
        <v>1024.1122841924607</v>
      </c>
      <c r="C32" s="708">
        <v>383.3965266012201</v>
      </c>
      <c r="E32" s="708">
        <v>1024.1122841924607</v>
      </c>
      <c r="F32" s="708">
        <v>540.37340078198565</v>
      </c>
      <c r="H32" s="708">
        <v>1024.1122841924607</v>
      </c>
      <c r="I32" s="708">
        <v>652.47984525160314</v>
      </c>
      <c r="N32" s="707">
        <v>2809.5135667565687</v>
      </c>
      <c r="O32" s="535">
        <f t="shared" si="0"/>
        <v>0.36451587075792019</v>
      </c>
    </row>
    <row r="33" spans="1:15" ht="14.4" x14ac:dyDescent="0.4">
      <c r="A33" s="529">
        <v>2035</v>
      </c>
      <c r="B33" s="708">
        <v>1032.0006776215337</v>
      </c>
      <c r="C33" s="708">
        <v>403.50766279738059</v>
      </c>
      <c r="E33" s="708">
        <v>1032.0006776215337</v>
      </c>
      <c r="F33" s="708">
        <v>567.04468467944344</v>
      </c>
      <c r="H33" s="708">
        <v>1032.0006776215337</v>
      </c>
      <c r="I33" s="708">
        <v>683.17591405036899</v>
      </c>
      <c r="N33" s="707">
        <v>2854.0638327332344</v>
      </c>
      <c r="O33" s="535">
        <f t="shared" si="0"/>
        <v>0.36158990762067983</v>
      </c>
    </row>
    <row r="34" spans="1:15" ht="14.4" x14ac:dyDescent="0.4">
      <c r="A34" s="529">
        <v>2036</v>
      </c>
      <c r="B34" s="708">
        <v>1039.8339518940829</v>
      </c>
      <c r="C34" s="708">
        <v>423.66112786189046</v>
      </c>
      <c r="E34" s="708">
        <v>1039.8339518940829</v>
      </c>
      <c r="F34" s="708">
        <v>593.61816595823507</v>
      </c>
      <c r="H34" s="708">
        <v>1039.8339518940829</v>
      </c>
      <c r="I34" s="708">
        <v>713.62172695886898</v>
      </c>
      <c r="N34" s="707">
        <v>2898.1595420928984</v>
      </c>
      <c r="O34" s="535">
        <f t="shared" si="0"/>
        <v>0.35879113512956212</v>
      </c>
    </row>
    <row r="35" spans="1:15" ht="14.4" x14ac:dyDescent="0.4">
      <c r="A35" s="529">
        <v>2037</v>
      </c>
      <c r="B35" s="708">
        <v>1047.6125878952673</v>
      </c>
      <c r="C35" s="708">
        <v>443.85095211382225</v>
      </c>
      <c r="E35" s="708">
        <v>1047.6125878952673</v>
      </c>
      <c r="F35" s="708">
        <v>620.08573062237508</v>
      </c>
      <c r="H35" s="708">
        <v>1047.6125878952673</v>
      </c>
      <c r="I35" s="708">
        <v>743.80869287786027</v>
      </c>
      <c r="N35" s="707">
        <v>2942.2306487243113</v>
      </c>
      <c r="O35" s="535">
        <f t="shared" si="0"/>
        <v>0.35606066042085788</v>
      </c>
    </row>
    <row r="36" spans="1:15" ht="14.4" x14ac:dyDescent="0.4">
      <c r="A36" s="529">
        <v>2038</v>
      </c>
      <c r="B36" s="708">
        <v>1055.335157185968</v>
      </c>
      <c r="C36" s="708">
        <v>464.07027318618759</v>
      </c>
      <c r="E36" s="708">
        <v>1055.335157185968</v>
      </c>
      <c r="F36" s="708">
        <v>646.43807074196798</v>
      </c>
      <c r="H36" s="708">
        <v>1055.335157185968</v>
      </c>
      <c r="I36" s="708">
        <v>773.72678885370624</v>
      </c>
      <c r="N36" s="707">
        <v>2986.1741721298445</v>
      </c>
      <c r="O36" s="535">
        <f t="shared" si="0"/>
        <v>0.3534071009773907</v>
      </c>
    </row>
    <row r="37" spans="1:15" ht="14.4" x14ac:dyDescent="0.4">
      <c r="A37" s="529">
        <v>2039</v>
      </c>
      <c r="B37" s="708">
        <v>1062.9991194298395</v>
      </c>
      <c r="C37" s="708">
        <v>484.31160867396545</v>
      </c>
      <c r="E37" s="708">
        <v>1062.9991194298395</v>
      </c>
      <c r="F37" s="708">
        <v>672.66507256157183</v>
      </c>
      <c r="H37" s="708">
        <v>1062.9991194298395</v>
      </c>
      <c r="I37" s="708">
        <v>803.36503349598627</v>
      </c>
      <c r="N37" s="707">
        <v>3030.0104932724716</v>
      </c>
      <c r="O37" s="535">
        <f t="shared" si="0"/>
        <v>0.35082357694470534</v>
      </c>
    </row>
    <row r="38" spans="1:15" ht="14.4" x14ac:dyDescent="0.4">
      <c r="A38" s="529">
        <v>2040</v>
      </c>
      <c r="B38" s="708">
        <v>1070.6019664382377</v>
      </c>
      <c r="C38" s="708">
        <v>504.56740812346141</v>
      </c>
      <c r="E38" s="708">
        <v>1070.6019664382377</v>
      </c>
      <c r="F38" s="708">
        <v>698.75656591416532</v>
      </c>
      <c r="H38" s="708">
        <v>1070.6019664382377</v>
      </c>
      <c r="I38" s="708">
        <v>832.71236579783567</v>
      </c>
      <c r="N38" s="707">
        <v>3070.2682565731338</v>
      </c>
      <c r="O38" s="535">
        <f t="shared" si="0"/>
        <v>0.3486998128408445</v>
      </c>
    </row>
    <row r="39" spans="1:15" ht="14.4" x14ac:dyDescent="0.4">
      <c r="A39" s="529">
        <v>2041</v>
      </c>
      <c r="B39" s="708">
        <v>1078.1427695904588</v>
      </c>
      <c r="C39" s="708">
        <v>524.83088870130814</v>
      </c>
      <c r="E39" s="708">
        <v>1078.1427695904588</v>
      </c>
      <c r="F39" s="708">
        <v>724.70344832837429</v>
      </c>
      <c r="H39" s="708">
        <v>1078.1427695904588</v>
      </c>
      <c r="I39" s="708">
        <v>861.75895463185304</v>
      </c>
      <c r="N39" s="707">
        <v>3117.3237746717477</v>
      </c>
      <c r="O39" s="535">
        <f t="shared" si="0"/>
        <v>0.34585524235575643</v>
      </c>
    </row>
    <row r="40" spans="1:15" ht="14.4" x14ac:dyDescent="0.4">
      <c r="A40" s="529">
        <v>2042</v>
      </c>
      <c r="B40" s="708">
        <v>1085.6201138951651</v>
      </c>
      <c r="C40" s="708">
        <v>545.09505921731022</v>
      </c>
      <c r="E40" s="708">
        <v>1085.6201138951651</v>
      </c>
      <c r="F40" s="708">
        <v>750.49634412128512</v>
      </c>
      <c r="H40" s="708">
        <v>1085.6201138951651</v>
      </c>
      <c r="I40" s="708">
        <v>890.49461338101014</v>
      </c>
      <c r="N40" s="707">
        <v>3159.6894567667218</v>
      </c>
      <c r="O40" s="535">
        <f t="shared" si="0"/>
        <v>0.34358443408741479</v>
      </c>
    </row>
    <row r="41" spans="1:15" ht="14.4" x14ac:dyDescent="0.4">
      <c r="A41" s="529">
        <v>2043</v>
      </c>
      <c r="B41" s="708">
        <v>1093.0301092699638</v>
      </c>
      <c r="C41" s="708">
        <v>565.35154998290704</v>
      </c>
      <c r="E41" s="708">
        <v>1093.0301092699638</v>
      </c>
      <c r="F41" s="708">
        <v>776.1240470077521</v>
      </c>
      <c r="H41" s="708">
        <v>1093.0301092699638</v>
      </c>
      <c r="I41" s="708">
        <v>918.9070048586218</v>
      </c>
      <c r="N41" s="707">
        <v>3202.0346277752164</v>
      </c>
      <c r="O41" s="535">
        <f t="shared" si="0"/>
        <v>0.34135486849166413</v>
      </c>
    </row>
    <row r="42" spans="1:15" ht="14.4" x14ac:dyDescent="0.4">
      <c r="A42" s="529">
        <v>2044</v>
      </c>
      <c r="B42" s="708">
        <v>1100.3679535657134</v>
      </c>
      <c r="C42" s="708">
        <v>585.59132404500224</v>
      </c>
      <c r="E42" s="708">
        <v>1100.3679535657134</v>
      </c>
      <c r="F42" s="708">
        <v>801.5745010529422</v>
      </c>
      <c r="H42" s="708">
        <v>1100.3679535657134</v>
      </c>
      <c r="I42" s="708">
        <v>946.98280631035811</v>
      </c>
      <c r="N42" s="707">
        <v>3244.3847108106588</v>
      </c>
      <c r="O42" s="535">
        <f t="shared" si="0"/>
        <v>0.33916075054205569</v>
      </c>
    </row>
    <row r="43" spans="1:15" ht="14.4" x14ac:dyDescent="0.4">
      <c r="A43" s="529">
        <v>2045</v>
      </c>
      <c r="B43" s="708">
        <v>1107.6294173573685</v>
      </c>
      <c r="C43" s="708">
        <v>605.80544766126468</v>
      </c>
      <c r="E43" s="708">
        <v>1107.6294173573685</v>
      </c>
      <c r="F43" s="708">
        <v>826.8358580608359</v>
      </c>
      <c r="H43" s="708">
        <v>1107.6294173573685</v>
      </c>
      <c r="I43" s="708">
        <v>974.70896224930823</v>
      </c>
      <c r="N43" s="707">
        <v>3286.87091114945</v>
      </c>
      <c r="O43" s="535">
        <f t="shared" si="0"/>
        <v>0.33698598067851104</v>
      </c>
    </row>
    <row r="44" spans="1:15" ht="14.4" x14ac:dyDescent="0.4">
      <c r="A44" s="529">
        <v>2046</v>
      </c>
      <c r="B44" s="708">
        <v>1114.8125640590338</v>
      </c>
      <c r="C44" s="708">
        <v>625.98613774360911</v>
      </c>
      <c r="E44" s="708">
        <v>1114.8125640590338</v>
      </c>
      <c r="F44" s="708">
        <v>851.89788418271235</v>
      </c>
      <c r="H44" s="708">
        <v>1114.8125640590338</v>
      </c>
      <c r="I44" s="708">
        <v>1002.0743230093577</v>
      </c>
      <c r="N44" s="707">
        <v>3329.08709032667</v>
      </c>
      <c r="O44" s="535">
        <f t="shared" si="0"/>
        <v>0.33487035148414868</v>
      </c>
    </row>
    <row r="45" spans="1:15" ht="14.4" x14ac:dyDescent="0.4">
      <c r="A45" s="529">
        <v>2047</v>
      </c>
      <c r="B45" s="708">
        <v>1121.9156527660441</v>
      </c>
      <c r="C45" s="708">
        <v>646.12569163793535</v>
      </c>
      <c r="E45" s="708">
        <v>1121.9156527660441</v>
      </c>
      <c r="F45" s="708">
        <v>876.7505014236101</v>
      </c>
      <c r="H45" s="708">
        <v>1121.9156527660441</v>
      </c>
      <c r="I45" s="708">
        <v>1029.0679293578066</v>
      </c>
      <c r="N45" s="707">
        <v>3371.0816863003333</v>
      </c>
      <c r="O45" s="535">
        <f t="shared" si="0"/>
        <v>0.33280583420015397</v>
      </c>
    </row>
    <row r="46" spans="1:15" ht="14.4" x14ac:dyDescent="0.4">
      <c r="A46" s="529">
        <v>2048</v>
      </c>
      <c r="B46" s="708">
        <v>1128.934907716922</v>
      </c>
      <c r="C46" s="708">
        <v>666.21515702378701</v>
      </c>
      <c r="E46" s="708">
        <v>1128.934907716922</v>
      </c>
      <c r="F46" s="708">
        <v>901.38200644154517</v>
      </c>
      <c r="H46" s="708">
        <v>1128.934907716922</v>
      </c>
      <c r="I46" s="708">
        <v>1055.6769444620932</v>
      </c>
      <c r="N46" s="707">
        <v>3412.9379410699567</v>
      </c>
      <c r="O46" s="535">
        <f t="shared" si="0"/>
        <v>0.33078096561081938</v>
      </c>
    </row>
    <row r="47" spans="1:15" ht="14.4" x14ac:dyDescent="0.4">
      <c r="A47" s="529">
        <v>2049</v>
      </c>
      <c r="B47" s="708">
        <v>1135.8662228770306</v>
      </c>
      <c r="C47" s="708">
        <v>686.2452535483153</v>
      </c>
      <c r="E47" s="708">
        <v>1135.8662228770306</v>
      </c>
      <c r="F47" s="708">
        <v>925.78032405423824</v>
      </c>
      <c r="H47" s="708">
        <v>1135.8662228770306</v>
      </c>
      <c r="I47" s="708">
        <v>1081.8881279444499</v>
      </c>
      <c r="N47" s="707">
        <v>3454.663023726212</v>
      </c>
      <c r="O47" s="535">
        <f t="shared" si="0"/>
        <v>0.32879219046142488</v>
      </c>
    </row>
    <row r="48" spans="1:15" ht="14.4" x14ac:dyDescent="0.4">
      <c r="A48" s="529">
        <v>2050</v>
      </c>
      <c r="B48" s="708">
        <v>1142.7065082385684</v>
      </c>
      <c r="C48" s="708">
        <v>706.20721661215805</v>
      </c>
      <c r="E48" s="708">
        <v>1142.7065082385684</v>
      </c>
      <c r="F48" s="708">
        <v>949.93413125445568</v>
      </c>
      <c r="H48" s="708">
        <v>1142.7065082385684</v>
      </c>
      <c r="I48" s="708">
        <v>1107.6891367357644</v>
      </c>
      <c r="N48" s="707">
        <v>3495.5715615028471</v>
      </c>
      <c r="O48" s="535">
        <f t="shared" si="0"/>
        <v>0.32690119144558033</v>
      </c>
    </row>
    <row r="49" spans="1:15" ht="14.4" x14ac:dyDescent="0.4">
      <c r="A49" s="529">
        <v>2051</v>
      </c>
      <c r="B49" s="708">
        <v>1149.4558364840325</v>
      </c>
      <c r="C49" s="708">
        <v>710.90846643146881</v>
      </c>
      <c r="E49" s="708">
        <v>1149.4558364840325</v>
      </c>
      <c r="F49" s="708">
        <v>955.9067930706201</v>
      </c>
      <c r="H49" s="708">
        <v>1149.4558364840325</v>
      </c>
      <c r="I49" s="708">
        <v>1114.3173936292096</v>
      </c>
      <c r="N49" s="707">
        <v>3537.7483490613135</v>
      </c>
      <c r="O49" s="535">
        <f t="shared" si="0"/>
        <v>0.32491170175770773</v>
      </c>
    </row>
    <row r="50" spans="1:15" ht="14.4" x14ac:dyDescent="0.4">
      <c r="A50" s="529">
        <v>2052</v>
      </c>
      <c r="B50" s="708">
        <v>1156.1144509541871</v>
      </c>
      <c r="C50" s="708">
        <v>715.56058957610708</v>
      </c>
      <c r="E50" s="708">
        <v>1156.1144509541871</v>
      </c>
      <c r="F50" s="708">
        <v>961.80877611243307</v>
      </c>
      <c r="H50" s="708">
        <v>1156.1144509541871</v>
      </c>
      <c r="I50" s="708">
        <v>1120.8588384575244</v>
      </c>
      <c r="N50" s="707">
        <v>3579.1229299215083</v>
      </c>
      <c r="O50" s="535">
        <f t="shared" si="0"/>
        <v>0.3230161337262426</v>
      </c>
    </row>
    <row r="51" spans="1:15" ht="14.4" x14ac:dyDescent="0.4">
      <c r="A51" s="529">
        <v>2053</v>
      </c>
      <c r="B51" s="708">
        <v>1162.6801215205655</v>
      </c>
      <c r="C51" s="708">
        <v>720.16202925140783</v>
      </c>
      <c r="E51" s="708">
        <v>1162.6801215205655</v>
      </c>
      <c r="F51" s="708">
        <v>967.63810242873205</v>
      </c>
      <c r="H51" s="708">
        <v>1162.6801215205655</v>
      </c>
      <c r="I51" s="708">
        <v>1127.3112797805006</v>
      </c>
      <c r="N51" s="707">
        <v>3620.3950150310288</v>
      </c>
      <c r="O51" s="535">
        <f t="shared" si="0"/>
        <v>0.32114731036071786</v>
      </c>
    </row>
    <row r="52" spans="1:15" ht="14.4" x14ac:dyDescent="0.4">
      <c r="A52" s="529">
        <v>2054</v>
      </c>
      <c r="B52" s="708">
        <v>1169.1503491511289</v>
      </c>
      <c r="C52" s="708">
        <v>724.71103711027013</v>
      </c>
      <c r="E52" s="708">
        <v>1169.1503491511289</v>
      </c>
      <c r="F52" s="708">
        <v>973.39255192834196</v>
      </c>
      <c r="H52" s="708">
        <v>1169.1503491511289</v>
      </c>
      <c r="I52" s="708">
        <v>1133.6722609029716</v>
      </c>
      <c r="N52" s="707">
        <v>3661.5717734805517</v>
      </c>
      <c r="O52" s="535">
        <f t="shared" si="0"/>
        <v>0.31930286267194452</v>
      </c>
    </row>
    <row r="53" spans="1:15" ht="14.4" x14ac:dyDescent="0.4">
      <c r="A53" s="529">
        <v>2055</v>
      </c>
      <c r="B53" s="708">
        <v>1175.5247393385496</v>
      </c>
      <c r="C53" s="708">
        <v>729.20723845313876</v>
      </c>
      <c r="E53" s="708">
        <v>1175.5247393385496</v>
      </c>
      <c r="F53" s="708">
        <v>979.07170550448302</v>
      </c>
      <c r="H53" s="708">
        <v>1175.5247393385496</v>
      </c>
      <c r="I53" s="708">
        <v>1139.9413775793946</v>
      </c>
      <c r="N53" s="707">
        <v>3702.6603743607484</v>
      </c>
      <c r="O53" s="535">
        <f t="shared" si="0"/>
        <v>0.31748111370908544</v>
      </c>
    </row>
    <row r="54" spans="1:15" ht="14.4" x14ac:dyDescent="0.4">
      <c r="A54" s="529">
        <v>2056</v>
      </c>
      <c r="B54" s="708">
        <v>1181.8040346069456</v>
      </c>
      <c r="C54" s="708">
        <v>733.65098598987674</v>
      </c>
      <c r="E54" s="708">
        <v>1181.8040346069456</v>
      </c>
      <c r="F54" s="708">
        <v>984.67610796727445</v>
      </c>
      <c r="H54" s="708">
        <v>1181.8040346069456</v>
      </c>
      <c r="I54" s="708">
        <v>1146.1193324469509</v>
      </c>
      <c r="N54" s="707">
        <v>3743.6679867622934</v>
      </c>
      <c r="O54" s="535">
        <f t="shared" si="0"/>
        <v>0.31568078119796816</v>
      </c>
    </row>
    <row r="55" spans="1:15" ht="14.4" x14ac:dyDescent="0.4">
      <c r="A55" s="529">
        <v>2057</v>
      </c>
      <c r="B55" s="708">
        <v>1187.9933782842782</v>
      </c>
      <c r="C55" s="708">
        <v>738.04554582931996</v>
      </c>
      <c r="E55" s="708">
        <v>1187.9933782842782</v>
      </c>
      <c r="F55" s="708">
        <v>990.21009831708147</v>
      </c>
      <c r="H55" s="708">
        <v>1187.9933782842782</v>
      </c>
      <c r="I55" s="708">
        <v>1152.2111267353366</v>
      </c>
      <c r="N55" s="707">
        <v>3784.60177977586</v>
      </c>
      <c r="O55" s="535">
        <f t="shared" si="0"/>
        <v>0.31390181779036103</v>
      </c>
    </row>
    <row r="56" spans="1:15" ht="14.4" x14ac:dyDescent="0.4">
      <c r="A56" s="529">
        <v>2058</v>
      </c>
      <c r="B56" s="708">
        <v>1194.1027501784224</v>
      </c>
      <c r="C56" s="708">
        <v>742.39740891418842</v>
      </c>
      <c r="E56" s="708">
        <v>1194.1027501784224</v>
      </c>
      <c r="F56" s="708">
        <v>995.68220009729919</v>
      </c>
      <c r="H56" s="708">
        <v>1194.1027501784224</v>
      </c>
      <c r="I56" s="708">
        <v>1158.2264891653017</v>
      </c>
      <c r="N56" s="707">
        <v>3825.4689224921226</v>
      </c>
      <c r="O56" s="535">
        <f t="shared" si="0"/>
        <v>0.31214545834044255</v>
      </c>
    </row>
    <row r="57" spans="1:15" ht="14.4" x14ac:dyDescent="0.4">
      <c r="A57" s="529">
        <v>2059</v>
      </c>
      <c r="B57" s="708">
        <v>1200.1452841512501</v>
      </c>
      <c r="C57" s="708">
        <v>746.7151730027133</v>
      </c>
      <c r="E57" s="708">
        <v>1200.1452841512501</v>
      </c>
      <c r="F57" s="708">
        <v>1001.1036690289905</v>
      </c>
      <c r="H57" s="708">
        <v>1200.1452841512501</v>
      </c>
      <c r="I57" s="708">
        <v>1164.1782323206555</v>
      </c>
      <c r="N57" s="707">
        <v>3866.2765840017541</v>
      </c>
      <c r="O57" s="535">
        <f t="shared" si="0"/>
        <v>0.31041371667958911</v>
      </c>
    </row>
    <row r="58" spans="1:15" ht="14.4" x14ac:dyDescent="0.4">
      <c r="A58" s="529">
        <v>2060</v>
      </c>
      <c r="B58" s="708">
        <v>1206.1325123720771</v>
      </c>
      <c r="C58" s="708">
        <v>751.00637482088837</v>
      </c>
      <c r="E58" s="708">
        <v>1206.1325123720771</v>
      </c>
      <c r="F58" s="708">
        <v>1006.4843798941359</v>
      </c>
      <c r="H58" s="708">
        <v>1206.1325123720771</v>
      </c>
      <c r="I58" s="708">
        <v>1170.0776043627252</v>
      </c>
      <c r="N58" s="707">
        <v>3907.0319333954285</v>
      </c>
      <c r="O58" s="535">
        <f t="shared" si="0"/>
        <v>0.30870812753349591</v>
      </c>
    </row>
    <row r="60" spans="1:15" x14ac:dyDescent="0.4">
      <c r="F60" s="530"/>
      <c r="I60" s="53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905BB-CB68-3C43-93FA-276A22553933}">
  <dimension ref="A1:M162"/>
  <sheetViews>
    <sheetView tabSelected="1" topLeftCell="A3" zoomScale="58" zoomScaleNormal="58" workbookViewId="0">
      <selection activeCell="M17" sqref="M17"/>
    </sheetView>
  </sheetViews>
  <sheetFormatPr defaultColWidth="10.83203125" defaultRowHeight="12.3" x14ac:dyDescent="0.4"/>
  <cols>
    <col min="1" max="1" width="10.83203125" style="609"/>
    <col min="2" max="2" width="15.33203125" style="1167" customWidth="1"/>
    <col min="3" max="3" width="15.33203125" style="1168" customWidth="1"/>
    <col min="4" max="5" width="15.33203125" style="1194" customWidth="1"/>
    <col min="6" max="6" width="22.609375" style="1168" customWidth="1"/>
    <col min="7" max="10" width="15.33203125" style="609" customWidth="1"/>
    <col min="11" max="16384" width="10.83203125" style="609"/>
  </cols>
  <sheetData>
    <row r="1" spans="1:13" x14ac:dyDescent="0.4">
      <c r="C1" s="1168" t="s">
        <v>1086</v>
      </c>
    </row>
    <row r="2" spans="1:13" x14ac:dyDescent="0.4">
      <c r="B2" s="1288" t="s">
        <v>387</v>
      </c>
      <c r="C2" s="1288"/>
      <c r="D2" s="1288"/>
      <c r="E2" s="1288"/>
      <c r="F2" s="1288"/>
      <c r="G2" s="1288"/>
      <c r="H2" s="1288"/>
      <c r="I2" s="1288"/>
      <c r="J2" s="1288"/>
    </row>
    <row r="3" spans="1:13" ht="37.200000000000003" x14ac:dyDescent="0.45">
      <c r="B3" s="1169"/>
      <c r="C3" s="1192"/>
      <c r="D3" s="1192"/>
      <c r="E3" s="1192"/>
      <c r="F3" s="341" t="s">
        <v>1087</v>
      </c>
      <c r="G3" s="1191">
        <v>1.2966666666666666</v>
      </c>
      <c r="H3" s="1169"/>
      <c r="I3" s="1169"/>
      <c r="J3" s="1212" t="s">
        <v>1119</v>
      </c>
    </row>
    <row r="4" spans="1:13" ht="63" x14ac:dyDescent="0.45">
      <c r="B4" s="1185" t="s">
        <v>1085</v>
      </c>
      <c r="C4" s="1186" t="s">
        <v>1092</v>
      </c>
      <c r="D4" s="1186"/>
      <c r="E4" s="1186"/>
      <c r="F4" s="1258" t="s">
        <v>1136</v>
      </c>
      <c r="I4" s="1196" t="s">
        <v>1073</v>
      </c>
    </row>
    <row r="5" spans="1:13" ht="81" customHeight="1" x14ac:dyDescent="0.4">
      <c r="B5" s="1193" t="s">
        <v>1084</v>
      </c>
      <c r="C5" s="1193" t="s">
        <v>1088</v>
      </c>
      <c r="D5" s="1193" t="s">
        <v>1104</v>
      </c>
      <c r="E5" s="1193" t="s">
        <v>1105</v>
      </c>
      <c r="F5" s="1193" t="s">
        <v>1137</v>
      </c>
      <c r="G5" s="1184" t="s">
        <v>1100</v>
      </c>
      <c r="H5" s="1190" t="s">
        <v>1089</v>
      </c>
      <c r="I5" s="1188" t="s">
        <v>1091</v>
      </c>
      <c r="J5" s="1184" t="s">
        <v>1090</v>
      </c>
    </row>
    <row r="6" spans="1:13" ht="14.4" x14ac:dyDescent="0.4">
      <c r="A6" s="529">
        <v>2014</v>
      </c>
      <c r="B6" s="1199">
        <f>'MSW Integration Calcs PDS1 '!O170</f>
        <v>341.7860216816789</v>
      </c>
      <c r="C6" s="706">
        <v>404.08731600000004</v>
      </c>
      <c r="D6" s="1200">
        <f t="shared" ref="D6:D52" si="0">IF(C6/B6&gt;1, 1, C6/B6)</f>
        <v>1</v>
      </c>
      <c r="E6" s="1199">
        <f t="shared" ref="E6:E52" si="1">B6*D6</f>
        <v>341.7860216816789</v>
      </c>
      <c r="F6" s="706">
        <v>175.25105629820052</v>
      </c>
      <c r="G6" s="1199">
        <f t="shared" ref="G6:G35" si="2">F6*$G$3</f>
        <v>227.24220300000002</v>
      </c>
      <c r="H6" s="1199">
        <f t="shared" ref="H6:H52" si="3">E6-G6</f>
        <v>114.54381868167889</v>
      </c>
      <c r="I6" s="706">
        <v>0</v>
      </c>
      <c r="J6" s="1199">
        <f t="shared" ref="J6:J35" si="4">H6-I6</f>
        <v>114.54381868167889</v>
      </c>
      <c r="L6" s="533"/>
      <c r="M6" s="533"/>
    </row>
    <row r="7" spans="1:13" ht="14.4" x14ac:dyDescent="0.4">
      <c r="A7" s="529">
        <v>2015</v>
      </c>
      <c r="B7" s="1199">
        <f>'MSW Integration Calcs PDS1 '!O171</f>
        <v>363.88533774070322</v>
      </c>
      <c r="C7" s="706">
        <v>406.92588399999994</v>
      </c>
      <c r="D7" s="1200">
        <f t="shared" si="0"/>
        <v>1</v>
      </c>
      <c r="E7" s="1199">
        <f t="shared" si="1"/>
        <v>363.88533774070322</v>
      </c>
      <c r="F7" s="706">
        <v>175.9042719794345</v>
      </c>
      <c r="G7" s="1199">
        <f t="shared" si="2"/>
        <v>228.08920600000005</v>
      </c>
      <c r="H7" s="1199">
        <f t="shared" si="3"/>
        <v>135.79613174070317</v>
      </c>
      <c r="I7" s="706">
        <v>43.478238261237635</v>
      </c>
      <c r="J7" s="1199">
        <f t="shared" si="4"/>
        <v>92.317893479465539</v>
      </c>
      <c r="L7" s="533"/>
      <c r="M7" s="533"/>
    </row>
    <row r="8" spans="1:13" ht="14.4" x14ac:dyDescent="0.4">
      <c r="A8" s="529">
        <v>2016</v>
      </c>
      <c r="B8" s="1199">
        <f>'MSW Integration Calcs PDS1 '!O172</f>
        <v>381.89999999999986</v>
      </c>
      <c r="C8" s="706">
        <v>409.34131699999995</v>
      </c>
      <c r="D8" s="1200">
        <f t="shared" si="0"/>
        <v>1</v>
      </c>
      <c r="E8" s="1199">
        <f t="shared" si="1"/>
        <v>381.89999999999986</v>
      </c>
      <c r="F8" s="706">
        <v>177.60189408740359</v>
      </c>
      <c r="G8" s="1199">
        <f t="shared" si="2"/>
        <v>230.29045599999998</v>
      </c>
      <c r="H8" s="1199">
        <f t="shared" si="3"/>
        <v>151.60954399999989</v>
      </c>
      <c r="I8" s="706">
        <v>15.835557200146809</v>
      </c>
      <c r="J8" s="1199">
        <f t="shared" si="4"/>
        <v>135.77398679985308</v>
      </c>
      <c r="L8" s="533"/>
      <c r="M8" s="533"/>
    </row>
    <row r="9" spans="1:13" ht="14.4" x14ac:dyDescent="0.4">
      <c r="A9" s="529">
        <v>2017</v>
      </c>
      <c r="B9" s="1199">
        <f>'MSW Integration Calcs PDS1 '!O173</f>
        <v>407.9843540012323</v>
      </c>
      <c r="C9" s="706">
        <v>415.22403500000007</v>
      </c>
      <c r="D9" s="1200">
        <f t="shared" si="0"/>
        <v>1</v>
      </c>
      <c r="E9" s="1199">
        <f t="shared" si="1"/>
        <v>407.9843540012323</v>
      </c>
      <c r="F9" s="706">
        <v>180.34826683804627</v>
      </c>
      <c r="G9" s="1199">
        <f t="shared" si="2"/>
        <v>233.851586</v>
      </c>
      <c r="H9" s="1199">
        <f t="shared" si="3"/>
        <v>174.13276800123231</v>
      </c>
      <c r="I9" s="706">
        <v>15.825419811333859</v>
      </c>
      <c r="J9" s="1199">
        <f t="shared" si="4"/>
        <v>158.30734818989845</v>
      </c>
      <c r="L9" s="533"/>
      <c r="M9" s="533"/>
    </row>
    <row r="10" spans="1:13" ht="14.4" x14ac:dyDescent="0.4">
      <c r="A10" s="529">
        <v>2018</v>
      </c>
      <c r="B10" s="1199">
        <f>'MSW Integration Calcs PDS1 '!O174</f>
        <v>415.44977691844485</v>
      </c>
      <c r="C10" s="706">
        <v>408.843143</v>
      </c>
      <c r="D10" s="1200">
        <f t="shared" si="0"/>
        <v>0.98409763517638915</v>
      </c>
      <c r="E10" s="1199">
        <f t="shared" si="1"/>
        <v>408.843143</v>
      </c>
      <c r="F10" s="706">
        <v>176.70263907455015</v>
      </c>
      <c r="G10" s="1199">
        <f t="shared" si="2"/>
        <v>229.12442200000001</v>
      </c>
      <c r="H10" s="1199">
        <f t="shared" si="3"/>
        <v>179.71872099999999</v>
      </c>
      <c r="I10" s="706">
        <v>15.803068795564855</v>
      </c>
      <c r="J10" s="1199">
        <f t="shared" si="4"/>
        <v>163.91565220443513</v>
      </c>
      <c r="L10" s="533"/>
      <c r="M10" s="533"/>
    </row>
    <row r="11" spans="1:13" ht="14.4" x14ac:dyDescent="0.4">
      <c r="A11" s="529">
        <v>2019</v>
      </c>
      <c r="B11" s="1199">
        <f>'MSW Integration Calcs PDS1 '!O175</f>
        <v>423.20764193175262</v>
      </c>
      <c r="C11" s="706">
        <v>414.74298663357462</v>
      </c>
      <c r="D11" s="1200">
        <f t="shared" si="0"/>
        <v>0.97999881273518441</v>
      </c>
      <c r="E11" s="1199">
        <f t="shared" si="1"/>
        <v>414.74298663357462</v>
      </c>
      <c r="F11" s="706">
        <v>190.82356384483535</v>
      </c>
      <c r="G11" s="1199">
        <f t="shared" si="2"/>
        <v>247.4345544521365</v>
      </c>
      <c r="H11" s="1199">
        <f t="shared" si="3"/>
        <v>167.30843218143812</v>
      </c>
      <c r="I11" s="706">
        <v>15.765092744093181</v>
      </c>
      <c r="J11" s="1199">
        <f t="shared" si="4"/>
        <v>151.54333943734494</v>
      </c>
      <c r="L11" s="533"/>
      <c r="M11" s="533"/>
    </row>
    <row r="12" spans="1:13" ht="14.4" x14ac:dyDescent="0.4">
      <c r="A12" s="529">
        <v>2020</v>
      </c>
      <c r="B12" s="1199">
        <f>'MSW Integration Calcs PDS1 '!O176</f>
        <v>431.35895949500423</v>
      </c>
      <c r="C12" s="706">
        <v>424.86563496218895</v>
      </c>
      <c r="D12" s="1200">
        <f t="shared" si="0"/>
        <v>0.98494681890827751</v>
      </c>
      <c r="E12" s="1199">
        <f t="shared" si="1"/>
        <v>424.86563496218895</v>
      </c>
      <c r="F12" s="706">
        <v>197.83813285717787</v>
      </c>
      <c r="G12" s="1199">
        <f t="shared" si="2"/>
        <v>256.53011227147397</v>
      </c>
      <c r="H12" s="1199">
        <f t="shared" si="3"/>
        <v>168.33552269071498</v>
      </c>
      <c r="I12" s="706">
        <v>15.714087498649576</v>
      </c>
      <c r="J12" s="1199">
        <f t="shared" si="4"/>
        <v>152.62143519206541</v>
      </c>
      <c r="L12" s="533"/>
      <c r="M12" s="533"/>
    </row>
    <row r="13" spans="1:13" ht="14.4" x14ac:dyDescent="0.4">
      <c r="A13" s="529">
        <v>2021</v>
      </c>
      <c r="B13" s="1199">
        <f>'MSW Integration Calcs PDS1 '!O177</f>
        <v>439.28218533793995</v>
      </c>
      <c r="C13" s="706">
        <v>435.00883978153735</v>
      </c>
      <c r="D13" s="1200">
        <f t="shared" si="0"/>
        <v>0.99027198074714751</v>
      </c>
      <c r="E13" s="1199">
        <f t="shared" si="1"/>
        <v>435.00883978153735</v>
      </c>
      <c r="F13" s="706">
        <v>205.00634445125723</v>
      </c>
      <c r="G13" s="1199">
        <f t="shared" si="2"/>
        <v>265.82489330513022</v>
      </c>
      <c r="H13" s="1199">
        <f t="shared" si="3"/>
        <v>169.18394647640713</v>
      </c>
      <c r="I13" s="706">
        <v>15.494297163452188</v>
      </c>
      <c r="J13" s="1199">
        <f t="shared" si="4"/>
        <v>153.68964931295494</v>
      </c>
      <c r="L13" s="533"/>
      <c r="M13" s="533"/>
    </row>
    <row r="14" spans="1:13" ht="14.4" x14ac:dyDescent="0.4">
      <c r="A14" s="529">
        <v>2022</v>
      </c>
      <c r="B14" s="1199">
        <f>'MSW Integration Calcs PDS1 '!O178</f>
        <v>447.57194574128391</v>
      </c>
      <c r="C14" s="706">
        <v>444.54089977599546</v>
      </c>
      <c r="D14" s="1200">
        <f t="shared" si="0"/>
        <v>0.99322780171069858</v>
      </c>
      <c r="E14" s="1199">
        <f t="shared" si="1"/>
        <v>444.54089977599546</v>
      </c>
      <c r="F14" s="706">
        <v>212.19173278956757</v>
      </c>
      <c r="G14" s="1199">
        <f t="shared" si="2"/>
        <v>275.14194685047261</v>
      </c>
      <c r="H14" s="1199">
        <f t="shared" si="3"/>
        <v>169.39895292552285</v>
      </c>
      <c r="I14" s="706">
        <v>15.27837508652101</v>
      </c>
      <c r="J14" s="1199">
        <f t="shared" si="4"/>
        <v>154.12057783900184</v>
      </c>
      <c r="L14" s="533"/>
      <c r="M14" s="533"/>
    </row>
    <row r="15" spans="1:13" ht="14.4" x14ac:dyDescent="0.4">
      <c r="A15" s="529">
        <v>2023</v>
      </c>
      <c r="B15" s="1199">
        <f>'MSW Integration Calcs PDS1 '!O179</f>
        <v>456.07158944859225</v>
      </c>
      <c r="C15" s="706">
        <v>454.17772675559291</v>
      </c>
      <c r="D15" s="1200">
        <f t="shared" si="0"/>
        <v>0.99584744426792937</v>
      </c>
      <c r="E15" s="1199">
        <f t="shared" si="1"/>
        <v>454.17772675559291</v>
      </c>
      <c r="F15" s="706">
        <v>219.73440559422301</v>
      </c>
      <c r="G15" s="1199">
        <f t="shared" si="2"/>
        <v>284.92227925384248</v>
      </c>
      <c r="H15" s="1199">
        <f t="shared" si="3"/>
        <v>169.25544750175044</v>
      </c>
      <c r="I15" s="706">
        <v>15.067653902712948</v>
      </c>
      <c r="J15" s="1199">
        <f t="shared" si="4"/>
        <v>154.18779359903749</v>
      </c>
      <c r="L15" s="533"/>
      <c r="M15" s="533"/>
    </row>
    <row r="16" spans="1:13" ht="14.4" x14ac:dyDescent="0.4">
      <c r="A16" s="529">
        <v>2024</v>
      </c>
      <c r="B16" s="1199">
        <f>'MSW Integration Calcs PDS1 '!O180</f>
        <v>464.76380921850205</v>
      </c>
      <c r="C16" s="706">
        <v>463.86975570882623</v>
      </c>
      <c r="D16" s="1200">
        <f t="shared" si="0"/>
        <v>0.99807632717534711</v>
      </c>
      <c r="E16" s="1199">
        <f t="shared" si="1"/>
        <v>463.86975570882623</v>
      </c>
      <c r="F16" s="706">
        <v>227.64186188428988</v>
      </c>
      <c r="G16" s="1199">
        <f t="shared" si="2"/>
        <v>295.17561424329585</v>
      </c>
      <c r="H16" s="1199">
        <f t="shared" si="3"/>
        <v>168.69414146553038</v>
      </c>
      <c r="I16" s="706">
        <v>14.864567701617432</v>
      </c>
      <c r="J16" s="1199">
        <f t="shared" si="4"/>
        <v>153.82957376391295</v>
      </c>
      <c r="L16" s="533"/>
      <c r="M16" s="533"/>
    </row>
    <row r="17" spans="1:13" ht="14.4" x14ac:dyDescent="0.4">
      <c r="A17" s="529">
        <v>2025</v>
      </c>
      <c r="B17" s="1199">
        <f>'MSW Integration Calcs PDS1 '!O181</f>
        <v>474.45456454294208</v>
      </c>
      <c r="C17" s="706">
        <v>474.09423178165162</v>
      </c>
      <c r="D17" s="1200">
        <f t="shared" si="0"/>
        <v>0.99924053262795021</v>
      </c>
      <c r="E17" s="1199">
        <f t="shared" si="1"/>
        <v>474.09423178165162</v>
      </c>
      <c r="F17" s="706">
        <v>236.83853075631973</v>
      </c>
      <c r="G17" s="1199">
        <f t="shared" si="2"/>
        <v>307.10062821402789</v>
      </c>
      <c r="H17" s="1199">
        <f t="shared" si="3"/>
        <v>166.99360356762372</v>
      </c>
      <c r="I17" s="706">
        <v>14.667952258686853</v>
      </c>
      <c r="J17" s="1199">
        <f t="shared" si="4"/>
        <v>152.32565130893687</v>
      </c>
      <c r="L17" s="533"/>
      <c r="M17" s="533"/>
    </row>
    <row r="18" spans="1:13" ht="14.4" x14ac:dyDescent="0.4">
      <c r="A18" s="529">
        <v>2026</v>
      </c>
      <c r="B18" s="1199">
        <f>'MSW Integration Calcs PDS1 '!O182</f>
        <v>484.32983940790632</v>
      </c>
      <c r="C18" s="706">
        <v>484.60969596594623</v>
      </c>
      <c r="D18" s="1200">
        <f t="shared" si="0"/>
        <v>1</v>
      </c>
      <c r="E18" s="1199">
        <f t="shared" si="1"/>
        <v>484.32983940790632</v>
      </c>
      <c r="F18" s="706">
        <v>244.58207588345104</v>
      </c>
      <c r="G18" s="1199">
        <f t="shared" si="2"/>
        <v>317.14142506220816</v>
      </c>
      <c r="H18" s="1199">
        <f t="shared" si="3"/>
        <v>167.18841434569816</v>
      </c>
      <c r="I18" s="706">
        <v>14.47409556283867</v>
      </c>
      <c r="J18" s="1199">
        <f t="shared" si="4"/>
        <v>152.71431878285949</v>
      </c>
      <c r="L18" s="533"/>
      <c r="M18" s="533"/>
    </row>
    <row r="19" spans="1:13" ht="14.4" x14ac:dyDescent="0.4">
      <c r="A19" s="529">
        <v>2027</v>
      </c>
      <c r="B19" s="1199">
        <f>'MSW Integration Calcs PDS1 '!O183</f>
        <v>495.98162236023791</v>
      </c>
      <c r="C19" s="706">
        <v>495.41509035042276</v>
      </c>
      <c r="D19" s="1200">
        <f t="shared" si="0"/>
        <v>0.99885775604523575</v>
      </c>
      <c r="E19" s="1199">
        <f t="shared" si="1"/>
        <v>495.41509035042276</v>
      </c>
      <c r="F19" s="706">
        <v>253.63080836108202</v>
      </c>
      <c r="G19" s="1199">
        <f t="shared" si="2"/>
        <v>328.87461484153636</v>
      </c>
      <c r="H19" s="1199">
        <f t="shared" si="3"/>
        <v>166.5404755088864</v>
      </c>
      <c r="I19" s="706">
        <v>14.281701416224735</v>
      </c>
      <c r="J19" s="1199">
        <f t="shared" si="4"/>
        <v>152.25877409266167</v>
      </c>
      <c r="L19" s="533"/>
      <c r="M19" s="533"/>
    </row>
    <row r="20" spans="1:13" ht="14.4" x14ac:dyDescent="0.4">
      <c r="A20" s="529">
        <v>2028</v>
      </c>
      <c r="B20" s="1199">
        <f>'MSW Integration Calcs PDS1 '!O184</f>
        <v>507.81399693935214</v>
      </c>
      <c r="C20" s="706">
        <v>506.50122051119558</v>
      </c>
      <c r="D20" s="1200">
        <f t="shared" si="0"/>
        <v>0.99741484788511381</v>
      </c>
      <c r="E20" s="1199">
        <f t="shared" si="1"/>
        <v>506.50122051119558</v>
      </c>
      <c r="F20" s="706">
        <v>266.11408809523505</v>
      </c>
      <c r="G20" s="1199">
        <f t="shared" si="2"/>
        <v>345.06126756348812</v>
      </c>
      <c r="H20" s="1199">
        <f t="shared" si="3"/>
        <v>161.43995294770747</v>
      </c>
      <c r="I20" s="706">
        <v>14.093189301744189</v>
      </c>
      <c r="J20" s="1199">
        <f t="shared" si="4"/>
        <v>147.34676364596328</v>
      </c>
      <c r="L20" s="533"/>
      <c r="M20" s="533"/>
    </row>
    <row r="21" spans="1:13" ht="14.4" x14ac:dyDescent="0.4">
      <c r="A21" s="529">
        <v>2029</v>
      </c>
      <c r="B21" s="1199">
        <f>'MSW Integration Calcs PDS1 '!O185</f>
        <v>519.82222543678768</v>
      </c>
      <c r="C21" s="706">
        <v>517.85417053637252</v>
      </c>
      <c r="D21" s="1200">
        <f t="shared" si="0"/>
        <v>0.99621398469686162</v>
      </c>
      <c r="E21" s="1199">
        <f t="shared" si="1"/>
        <v>517.85417053637252</v>
      </c>
      <c r="F21" s="706">
        <v>272.92703942026151</v>
      </c>
      <c r="G21" s="1199">
        <f t="shared" si="2"/>
        <v>353.89539444827244</v>
      </c>
      <c r="H21" s="1199">
        <f t="shared" si="3"/>
        <v>163.95877608810008</v>
      </c>
      <c r="I21" s="706">
        <v>13.908756703063489</v>
      </c>
      <c r="J21" s="1199">
        <f t="shared" si="4"/>
        <v>150.05001938503659</v>
      </c>
      <c r="L21" s="533"/>
      <c r="M21" s="533"/>
    </row>
    <row r="22" spans="1:13" ht="14.4" x14ac:dyDescent="0.4">
      <c r="A22" s="529">
        <v>2030</v>
      </c>
      <c r="B22" s="1199">
        <f>'MSW Integration Calcs PDS1 '!O186</f>
        <v>532.61409006144584</v>
      </c>
      <c r="C22" s="706">
        <v>529.5753875852597</v>
      </c>
      <c r="D22" s="1200">
        <f t="shared" si="0"/>
        <v>0.99429473884959452</v>
      </c>
      <c r="E22" s="1199">
        <f t="shared" si="1"/>
        <v>529.5753875852597</v>
      </c>
      <c r="F22" s="706">
        <v>283.19180913933087</v>
      </c>
      <c r="G22" s="1199">
        <f t="shared" si="2"/>
        <v>367.20537918399901</v>
      </c>
      <c r="H22" s="1199">
        <f t="shared" si="3"/>
        <v>162.37000840126069</v>
      </c>
      <c r="I22" s="706">
        <v>13.728173775782238</v>
      </c>
      <c r="J22" s="1199">
        <f t="shared" si="4"/>
        <v>148.64183462547845</v>
      </c>
      <c r="L22" s="533"/>
      <c r="M22" s="533"/>
    </row>
    <row r="23" spans="1:13" ht="14.4" x14ac:dyDescent="0.4">
      <c r="A23" s="529">
        <v>2031</v>
      </c>
      <c r="B23" s="1199">
        <f>'MSW Integration Calcs PDS1 '!O187</f>
        <v>544.34554260920549</v>
      </c>
      <c r="C23" s="706">
        <v>541.34905474398454</v>
      </c>
      <c r="D23" s="1200">
        <f t="shared" si="0"/>
        <v>0.99449524680434065</v>
      </c>
      <c r="E23" s="1199">
        <f t="shared" si="1"/>
        <v>541.34905474398454</v>
      </c>
      <c r="F23" s="706">
        <v>293.45142025446677</v>
      </c>
      <c r="G23" s="1199">
        <f t="shared" si="2"/>
        <v>380.50867492995854</v>
      </c>
      <c r="H23" s="1199">
        <f t="shared" si="3"/>
        <v>160.84037981402599</v>
      </c>
      <c r="I23" s="706">
        <v>13.550761741626104</v>
      </c>
      <c r="J23" s="1199">
        <f t="shared" si="4"/>
        <v>147.28961807239989</v>
      </c>
      <c r="L23" s="533"/>
      <c r="M23" s="533"/>
    </row>
    <row r="24" spans="1:13" ht="14.4" x14ac:dyDescent="0.4">
      <c r="A24" s="529">
        <v>2032</v>
      </c>
      <c r="B24" s="1199">
        <f>'MSW Integration Calcs PDS1 '!O188</f>
        <v>556.65870601986501</v>
      </c>
      <c r="C24" s="706">
        <v>553.43367037320627</v>
      </c>
      <c r="D24" s="1200">
        <f t="shared" si="0"/>
        <v>0.99420643993926205</v>
      </c>
      <c r="E24" s="1199">
        <f t="shared" si="1"/>
        <v>553.43367037320627</v>
      </c>
      <c r="F24" s="706">
        <v>304.10586673884802</v>
      </c>
      <c r="G24" s="1199">
        <f t="shared" si="2"/>
        <v>394.32394053803961</v>
      </c>
      <c r="H24" s="1199">
        <f t="shared" si="3"/>
        <v>159.10972983516666</v>
      </c>
      <c r="I24" s="706">
        <v>13.376384602145947</v>
      </c>
      <c r="J24" s="1199">
        <f t="shared" si="4"/>
        <v>145.73334523302071</v>
      </c>
      <c r="L24" s="533"/>
      <c r="M24" s="533"/>
    </row>
    <row r="25" spans="1:13" ht="14.4" x14ac:dyDescent="0.4">
      <c r="A25" s="529">
        <v>2033</v>
      </c>
      <c r="B25" s="1199">
        <f>'MSW Integration Calcs PDS1 '!O189</f>
        <v>569.13221579045955</v>
      </c>
      <c r="C25" s="706">
        <v>565.67615347742219</v>
      </c>
      <c r="D25" s="1200">
        <f t="shared" si="0"/>
        <v>0.9939274878189116</v>
      </c>
      <c r="E25" s="1199">
        <f t="shared" si="1"/>
        <v>565.67615347742219</v>
      </c>
      <c r="F25" s="706">
        <v>315.16236767932605</v>
      </c>
      <c r="G25" s="1199">
        <f t="shared" si="2"/>
        <v>408.66053675752613</v>
      </c>
      <c r="H25" s="1199">
        <f t="shared" si="3"/>
        <v>157.01561671989606</v>
      </c>
      <c r="I25" s="706">
        <v>13.205489540782764</v>
      </c>
      <c r="J25" s="1199">
        <f t="shared" si="4"/>
        <v>143.81012717911329</v>
      </c>
      <c r="L25" s="533"/>
      <c r="M25" s="533"/>
    </row>
    <row r="26" spans="1:13" ht="14.4" x14ac:dyDescent="0.4">
      <c r="A26" s="529">
        <v>2034</v>
      </c>
      <c r="B26" s="1199">
        <f>'MSW Integration Calcs PDS1 '!O190</f>
        <v>581.77032351164087</v>
      </c>
      <c r="C26" s="706">
        <v>578.04232088820231</v>
      </c>
      <c r="D26" s="1200">
        <f t="shared" si="0"/>
        <v>0.99359196838894115</v>
      </c>
      <c r="E26" s="1199">
        <f t="shared" si="1"/>
        <v>578.04232088820231</v>
      </c>
      <c r="F26" s="706">
        <v>327.72909083682998</v>
      </c>
      <c r="G26" s="1199">
        <f t="shared" si="2"/>
        <v>424.95538778508956</v>
      </c>
      <c r="H26" s="1199">
        <f t="shared" si="3"/>
        <v>153.08693310311276</v>
      </c>
      <c r="I26" s="706">
        <v>13.038107484937825</v>
      </c>
      <c r="J26" s="1199">
        <f t="shared" si="4"/>
        <v>140.04882561817493</v>
      </c>
      <c r="L26" s="533"/>
      <c r="M26" s="533"/>
    </row>
    <row r="27" spans="1:13" ht="14.4" x14ac:dyDescent="0.4">
      <c r="A27" s="529">
        <v>2035</v>
      </c>
      <c r="B27" s="1199">
        <f>'MSW Integration Calcs PDS1 '!O191</f>
        <v>594.60169845937173</v>
      </c>
      <c r="C27" s="706">
        <v>590.49284513009445</v>
      </c>
      <c r="D27" s="1200">
        <f t="shared" si="0"/>
        <v>0.9930897383241194</v>
      </c>
      <c r="E27" s="1199">
        <f t="shared" si="1"/>
        <v>590.49284513009445</v>
      </c>
      <c r="F27" s="706">
        <v>338.51115311507277</v>
      </c>
      <c r="G27" s="1199">
        <f t="shared" si="2"/>
        <v>438.93612853921104</v>
      </c>
      <c r="H27" s="1199">
        <f t="shared" si="3"/>
        <v>151.55671659088341</v>
      </c>
      <c r="I27" s="706">
        <v>12.873951685425254</v>
      </c>
      <c r="J27" s="1199">
        <f t="shared" si="4"/>
        <v>138.68276490545816</v>
      </c>
      <c r="L27" s="533"/>
      <c r="M27" s="533"/>
    </row>
    <row r="28" spans="1:13" ht="14.4" x14ac:dyDescent="0.4">
      <c r="A28" s="529">
        <v>2036</v>
      </c>
      <c r="B28" s="1199">
        <f>'MSW Integration Calcs PDS1 '!O192</f>
        <v>607.54040466867013</v>
      </c>
      <c r="C28" s="706">
        <v>602.98378988232821</v>
      </c>
      <c r="D28" s="1200">
        <f t="shared" si="0"/>
        <v>0.9924998983584854</v>
      </c>
      <c r="E28" s="1199">
        <f t="shared" si="1"/>
        <v>602.98378988232821</v>
      </c>
      <c r="F28" s="706">
        <v>350.81863337780754</v>
      </c>
      <c r="G28" s="1199">
        <f t="shared" si="2"/>
        <v>454.89482794655709</v>
      </c>
      <c r="H28" s="1199">
        <f t="shared" si="3"/>
        <v>148.08896193577112</v>
      </c>
      <c r="I28" s="706">
        <v>12.712520611458331</v>
      </c>
      <c r="J28" s="1199">
        <f t="shared" si="4"/>
        <v>135.37644132431279</v>
      </c>
      <c r="L28" s="533"/>
      <c r="M28" s="533"/>
    </row>
    <row r="29" spans="1:13" ht="14.4" x14ac:dyDescent="0.4">
      <c r="A29" s="529">
        <v>2037</v>
      </c>
      <c r="B29" s="1199">
        <f>'MSW Integration Calcs PDS1 '!O193</f>
        <v>620.67063187610006</v>
      </c>
      <c r="C29" s="706">
        <v>615.46723432447584</v>
      </c>
      <c r="D29" s="1200">
        <f t="shared" si="0"/>
        <v>0.99161649144588015</v>
      </c>
      <c r="E29" s="1199">
        <f t="shared" si="1"/>
        <v>615.46723432447584</v>
      </c>
      <c r="F29" s="706">
        <v>363.55856912579111</v>
      </c>
      <c r="G29" s="1199">
        <f t="shared" si="2"/>
        <v>471.41427796644246</v>
      </c>
      <c r="H29" s="1199">
        <f t="shared" si="3"/>
        <v>144.05295635803338</v>
      </c>
      <c r="I29" s="706">
        <v>12.553508058758098</v>
      </c>
      <c r="J29" s="1199">
        <f t="shared" si="4"/>
        <v>131.49944829927529</v>
      </c>
      <c r="L29" s="533"/>
      <c r="M29" s="533"/>
    </row>
    <row r="30" spans="1:13" ht="14.4" x14ac:dyDescent="0.4">
      <c r="A30" s="529">
        <v>2038</v>
      </c>
      <c r="B30" s="1199">
        <f>'MSW Integration Calcs PDS1 '!O194</f>
        <v>633.9629638595103</v>
      </c>
      <c r="C30" s="706">
        <v>627.89500953747279</v>
      </c>
      <c r="D30" s="1200">
        <f t="shared" si="0"/>
        <v>0.990428534996593</v>
      </c>
      <c r="E30" s="1199">
        <f t="shared" si="1"/>
        <v>627.89500953747279</v>
      </c>
      <c r="F30" s="706">
        <v>375.73599999999993</v>
      </c>
      <c r="G30" s="1199">
        <f t="shared" si="2"/>
        <v>487.20434666666659</v>
      </c>
      <c r="H30" s="1199">
        <f t="shared" si="3"/>
        <v>140.69066287080619</v>
      </c>
      <c r="I30" s="706">
        <v>12.396933139974635</v>
      </c>
      <c r="J30" s="1199">
        <f t="shared" si="4"/>
        <v>128.29372973083156</v>
      </c>
      <c r="L30" s="533"/>
      <c r="M30" s="533"/>
    </row>
    <row r="31" spans="1:13" ht="14.4" x14ac:dyDescent="0.4">
      <c r="A31" s="529">
        <v>2039</v>
      </c>
      <c r="B31" s="1199">
        <f>'MSW Integration Calcs PDS1 '!O195</f>
        <v>647.4120044222459</v>
      </c>
      <c r="C31" s="706">
        <v>640.22067145497829</v>
      </c>
      <c r="D31" s="1200">
        <f t="shared" si="0"/>
        <v>0.98889218470132445</v>
      </c>
      <c r="E31" s="1199">
        <f t="shared" si="1"/>
        <v>640.22067145497829</v>
      </c>
      <c r="F31" s="706">
        <v>385.31699999999995</v>
      </c>
      <c r="G31" s="1199">
        <f t="shared" si="2"/>
        <v>499.62770999999992</v>
      </c>
      <c r="H31" s="1199">
        <f t="shared" si="3"/>
        <v>140.59296145497837</v>
      </c>
      <c r="I31" s="706">
        <v>12.242629043424927</v>
      </c>
      <c r="J31" s="1199">
        <f t="shared" si="4"/>
        <v>128.35033241155344</v>
      </c>
      <c r="L31" s="533"/>
      <c r="M31" s="533"/>
    </row>
    <row r="32" spans="1:13" ht="14.4" x14ac:dyDescent="0.4">
      <c r="A32" s="529">
        <v>2040</v>
      </c>
      <c r="B32" s="1199">
        <f>'MSW Integration Calcs PDS1 '!O196</f>
        <v>660.25436152424425</v>
      </c>
      <c r="C32" s="706">
        <v>652.40480941635178</v>
      </c>
      <c r="D32" s="1200">
        <f t="shared" si="0"/>
        <v>0.98811132108272448</v>
      </c>
      <c r="E32" s="1199">
        <f t="shared" si="1"/>
        <v>652.40480941635178</v>
      </c>
      <c r="F32" s="706">
        <v>395.29999999999995</v>
      </c>
      <c r="G32" s="1199">
        <f t="shared" si="2"/>
        <v>512.57233333333329</v>
      </c>
      <c r="H32" s="1199">
        <f t="shared" si="3"/>
        <v>139.83247608301849</v>
      </c>
      <c r="I32" s="706">
        <v>12.090389410974808</v>
      </c>
      <c r="J32" s="1199">
        <f t="shared" si="4"/>
        <v>127.74208667204368</v>
      </c>
      <c r="L32" s="533"/>
      <c r="M32" s="533"/>
    </row>
    <row r="33" spans="1:13" ht="14.4" x14ac:dyDescent="0.4">
      <c r="A33" s="529">
        <v>2041</v>
      </c>
      <c r="B33" s="1199">
        <f>'MSW Integration Calcs PDS1 '!O197</f>
        <v>674.74062574692732</v>
      </c>
      <c r="C33" s="706">
        <v>664.41938351539886</v>
      </c>
      <c r="D33" s="1200">
        <f t="shared" si="0"/>
        <v>0.98470339292212761</v>
      </c>
      <c r="E33" s="1199">
        <f t="shared" si="1"/>
        <v>664.41938351539886</v>
      </c>
      <c r="F33" s="706">
        <v>405.68499999999995</v>
      </c>
      <c r="G33" s="1199">
        <f t="shared" si="2"/>
        <v>526.03821666666659</v>
      </c>
      <c r="H33" s="1199">
        <f t="shared" si="3"/>
        <v>138.38116684873228</v>
      </c>
      <c r="I33" s="706">
        <v>11.940247479314053</v>
      </c>
      <c r="J33" s="1199">
        <f t="shared" si="4"/>
        <v>126.44091936941822</v>
      </c>
      <c r="L33" s="533"/>
      <c r="M33" s="533"/>
    </row>
    <row r="34" spans="1:13" ht="14.4" x14ac:dyDescent="0.4">
      <c r="A34" s="529">
        <v>2042</v>
      </c>
      <c r="B34" s="1199">
        <f>'MSW Integration Calcs PDS1 '!O198</f>
        <v>688.36579001756638</v>
      </c>
      <c r="C34" s="706">
        <v>676.24735064553647</v>
      </c>
      <c r="D34" s="1200">
        <f t="shared" si="0"/>
        <v>0.98239534917660465</v>
      </c>
      <c r="E34" s="1199">
        <f t="shared" si="1"/>
        <v>676.24735064553647</v>
      </c>
      <c r="F34" s="706">
        <v>416.47199999999998</v>
      </c>
      <c r="G34" s="1199">
        <f t="shared" si="2"/>
        <v>540.02535999999998</v>
      </c>
      <c r="H34" s="1199">
        <f t="shared" si="3"/>
        <v>136.22199064553649</v>
      </c>
      <c r="I34" s="706">
        <v>11.791772724761927</v>
      </c>
      <c r="J34" s="1199">
        <f t="shared" si="4"/>
        <v>124.43021792077457</v>
      </c>
      <c r="L34" s="533"/>
      <c r="M34" s="533"/>
    </row>
    <row r="35" spans="1:13" ht="14.4" x14ac:dyDescent="0.4">
      <c r="A35" s="529">
        <v>2043</v>
      </c>
      <c r="B35" s="1199">
        <f>'MSW Integration Calcs PDS1 '!O199</f>
        <v>702.13968972548696</v>
      </c>
      <c r="C35" s="706">
        <v>687.88010807954925</v>
      </c>
      <c r="D35" s="1200">
        <f t="shared" si="0"/>
        <v>0.97969124683506681</v>
      </c>
      <c r="E35" s="1199">
        <f t="shared" si="1"/>
        <v>687.88010807954925</v>
      </c>
      <c r="F35" s="706">
        <v>427.66099999999994</v>
      </c>
      <c r="G35" s="1199">
        <f t="shared" si="2"/>
        <v>554.53376333333324</v>
      </c>
      <c r="H35" s="1199">
        <f t="shared" si="3"/>
        <v>133.346344746216</v>
      </c>
      <c r="I35" s="706">
        <v>11.644287251645551</v>
      </c>
      <c r="J35" s="1199">
        <f t="shared" si="4"/>
        <v>121.70205749457045</v>
      </c>
      <c r="L35" s="533"/>
      <c r="M35" s="533"/>
    </row>
    <row r="36" spans="1:13" ht="14.4" x14ac:dyDescent="0.4">
      <c r="A36" s="529">
        <v>2044</v>
      </c>
      <c r="B36" s="1199">
        <f>'MSW Integration Calcs PDS1 '!O200</f>
        <v>716.06293856875288</v>
      </c>
      <c r="C36" s="706">
        <v>699.32011372535237</v>
      </c>
      <c r="D36" s="1200">
        <f t="shared" si="0"/>
        <v>0.97661822174896296</v>
      </c>
      <c r="E36" s="1199">
        <f t="shared" si="1"/>
        <v>699.32011372535237</v>
      </c>
      <c r="F36" s="706">
        <v>439.25199999999995</v>
      </c>
      <c r="G36" s="1199">
        <f t="shared" ref="G36:G52" si="5">F36*$G$3</f>
        <v>569.5634266666666</v>
      </c>
      <c r="H36" s="1199">
        <f t="shared" si="3"/>
        <v>129.75668705868577</v>
      </c>
      <c r="I36" s="706">
        <v>11.497407754805522</v>
      </c>
      <c r="J36" s="1199">
        <f t="shared" ref="J36:J52" si="6">H36-I36</f>
        <v>118.25927930388025</v>
      </c>
      <c r="L36" s="533"/>
      <c r="M36" s="533"/>
    </row>
    <row r="37" spans="1:13" ht="14.4" x14ac:dyDescent="0.4">
      <c r="A37" s="529">
        <v>2045</v>
      </c>
      <c r="B37" s="1199">
        <f>'MSW Integration Calcs PDS1 '!O201</f>
        <v>730.16014319301667</v>
      </c>
      <c r="C37" s="706">
        <v>710.58087292819198</v>
      </c>
      <c r="D37" s="1200">
        <f t="shared" si="0"/>
        <v>0.97318496435699187</v>
      </c>
      <c r="E37" s="1199">
        <f t="shared" si="1"/>
        <v>710.58087292819198</v>
      </c>
      <c r="F37" s="706">
        <v>451.24499999999995</v>
      </c>
      <c r="G37" s="1199">
        <f t="shared" si="5"/>
        <v>585.11434999999994</v>
      </c>
      <c r="H37" s="1199">
        <f t="shared" si="3"/>
        <v>125.46652292819203</v>
      </c>
      <c r="I37" s="706">
        <v>11.351238359242188</v>
      </c>
      <c r="J37" s="1199">
        <f t="shared" si="6"/>
        <v>114.11528456894985</v>
      </c>
      <c r="L37" s="533"/>
      <c r="M37" s="533"/>
    </row>
    <row r="38" spans="1:13" ht="14.4" x14ac:dyDescent="0.4">
      <c r="A38" s="529">
        <v>2046</v>
      </c>
      <c r="B38" s="1199">
        <f>'MSW Integration Calcs PDS1 '!O202</f>
        <v>744.33581629264393</v>
      </c>
      <c r="C38" s="706">
        <v>721.68660694963353</v>
      </c>
      <c r="D38" s="1200">
        <f t="shared" si="0"/>
        <v>0.96957124882714818</v>
      </c>
      <c r="E38" s="1199">
        <f t="shared" si="1"/>
        <v>721.68660694963353</v>
      </c>
      <c r="F38" s="706">
        <v>463.63999999999993</v>
      </c>
      <c r="G38" s="1199">
        <f t="shared" si="5"/>
        <v>601.18653333333327</v>
      </c>
      <c r="H38" s="1199">
        <f t="shared" si="3"/>
        <v>120.50007361630026</v>
      </c>
      <c r="I38" s="706">
        <v>11.20638914407607</v>
      </c>
      <c r="J38" s="1199">
        <f t="shared" si="6"/>
        <v>109.29368447222419</v>
      </c>
      <c r="L38" s="533"/>
      <c r="M38" s="533"/>
    </row>
    <row r="39" spans="1:13" ht="14.4" x14ac:dyDescent="0.4">
      <c r="A39" s="529">
        <v>2047</v>
      </c>
      <c r="B39" s="1199">
        <f>'MSW Integration Calcs PDS1 '!O203</f>
        <v>758.59459111571778</v>
      </c>
      <c r="C39" s="706">
        <v>732.67074481100497</v>
      </c>
      <c r="D39" s="1200">
        <f t="shared" si="0"/>
        <v>0.96582648148520966</v>
      </c>
      <c r="E39" s="1199">
        <f t="shared" si="1"/>
        <v>732.67074481100497</v>
      </c>
      <c r="F39" s="706">
        <v>476.4369999999999</v>
      </c>
      <c r="G39" s="1199">
        <f t="shared" si="5"/>
        <v>617.77997666666647</v>
      </c>
      <c r="H39" s="1199">
        <f t="shared" si="3"/>
        <v>114.89076814433849</v>
      </c>
      <c r="I39" s="706">
        <v>11.062881191423685</v>
      </c>
      <c r="J39" s="1199">
        <f t="shared" si="6"/>
        <v>103.82788695291481</v>
      </c>
      <c r="L39" s="533"/>
      <c r="M39" s="533"/>
    </row>
    <row r="40" spans="1:13" ht="14.4" x14ac:dyDescent="0.4">
      <c r="A40" s="529">
        <v>2048</v>
      </c>
      <c r="B40" s="1199">
        <f>'MSW Integration Calcs PDS1 '!O204</f>
        <v>772.949684548459</v>
      </c>
      <c r="C40" s="706">
        <v>743.57402231909225</v>
      </c>
      <c r="D40" s="1200">
        <f t="shared" si="0"/>
        <v>0.96199537587426875</v>
      </c>
      <c r="E40" s="1199">
        <f t="shared" si="1"/>
        <v>743.57402231909225</v>
      </c>
      <c r="F40" s="706">
        <v>489.63599999999991</v>
      </c>
      <c r="G40" s="1199">
        <f t="shared" si="5"/>
        <v>634.89467999999988</v>
      </c>
      <c r="H40" s="1199">
        <f t="shared" si="3"/>
        <v>108.67934231909237</v>
      </c>
      <c r="I40" s="706">
        <v>10.920058796903163</v>
      </c>
      <c r="J40" s="1199">
        <f t="shared" si="6"/>
        <v>97.759283522189207</v>
      </c>
      <c r="L40" s="533"/>
      <c r="M40" s="533"/>
    </row>
    <row r="41" spans="1:13" ht="14.4" x14ac:dyDescent="0.4">
      <c r="A41" s="529">
        <v>2049</v>
      </c>
      <c r="B41" s="1199">
        <f>'MSW Integration Calcs PDS1 '!O205</f>
        <v>787.39725147288436</v>
      </c>
      <c r="C41" s="706">
        <v>754.44304206296385</v>
      </c>
      <c r="D41" s="1200">
        <f t="shared" si="0"/>
        <v>0.95814792425516182</v>
      </c>
      <c r="E41" s="1199">
        <f t="shared" si="1"/>
        <v>754.44304206296385</v>
      </c>
      <c r="F41" s="706">
        <v>503.23699999999997</v>
      </c>
      <c r="G41" s="1199">
        <f t="shared" si="5"/>
        <v>652.53064333333327</v>
      </c>
      <c r="H41" s="1199">
        <f t="shared" si="3"/>
        <v>101.91239872963058</v>
      </c>
      <c r="I41" s="706">
        <v>10.777752578856166</v>
      </c>
      <c r="J41" s="1199">
        <f t="shared" si="6"/>
        <v>91.134646150774415</v>
      </c>
      <c r="L41" s="533"/>
      <c r="M41" s="533"/>
    </row>
    <row r="42" spans="1:13" ht="14.4" x14ac:dyDescent="0.4">
      <c r="A42" s="529">
        <v>2050</v>
      </c>
      <c r="B42" s="1199">
        <f>'MSW Integration Calcs PDS1 '!O206</f>
        <v>801.77660768089549</v>
      </c>
      <c r="C42" s="706">
        <v>765.27987240923528</v>
      </c>
      <c r="D42" s="1200">
        <f t="shared" si="0"/>
        <v>0.95448016951102443</v>
      </c>
      <c r="E42" s="1199">
        <f t="shared" si="1"/>
        <v>765.27987240923528</v>
      </c>
      <c r="F42" s="706">
        <v>517.2399999999999</v>
      </c>
      <c r="G42" s="1199">
        <f t="shared" si="5"/>
        <v>670.68786666666654</v>
      </c>
      <c r="H42" s="1199">
        <f t="shared" si="3"/>
        <v>94.592005742568745</v>
      </c>
      <c r="I42" s="706">
        <v>10.636119743318204</v>
      </c>
      <c r="J42" s="1199">
        <f t="shared" si="6"/>
        <v>83.95588599925054</v>
      </c>
      <c r="L42" s="533"/>
      <c r="M42" s="533"/>
    </row>
    <row r="43" spans="1:13" ht="14.4" x14ac:dyDescent="0.4">
      <c r="A43" s="529">
        <v>2051</v>
      </c>
      <c r="B43" s="1199">
        <f>'MSW Integration Calcs PDS1 '!O207</f>
        <v>816.55585088147086</v>
      </c>
      <c r="C43" s="706">
        <v>770.98974869333063</v>
      </c>
      <c r="D43" s="1200">
        <f t="shared" si="0"/>
        <v>0.94419720079287695</v>
      </c>
      <c r="E43" s="1199">
        <f t="shared" si="1"/>
        <v>770.98974869333063</v>
      </c>
      <c r="F43" s="706">
        <v>531.64499999999998</v>
      </c>
      <c r="G43" s="1199">
        <f t="shared" si="5"/>
        <v>689.36635000000001</v>
      </c>
      <c r="H43" s="1199">
        <f t="shared" si="3"/>
        <v>81.623398693330614</v>
      </c>
      <c r="I43" s="706">
        <v>10.49619846419273</v>
      </c>
      <c r="J43" s="1199">
        <f t="shared" si="6"/>
        <v>71.127200229137884</v>
      </c>
      <c r="L43" s="533"/>
      <c r="M43" s="533"/>
    </row>
    <row r="44" spans="1:13" ht="14.4" x14ac:dyDescent="0.4">
      <c r="A44" s="529">
        <v>2052</v>
      </c>
      <c r="B44" s="1199">
        <f>'MSW Integration Calcs PDS1 '!O208</f>
        <v>831.26104015165856</v>
      </c>
      <c r="C44" s="706">
        <v>779.89526650228277</v>
      </c>
      <c r="D44" s="1200">
        <f t="shared" si="0"/>
        <v>0.93820740878219866</v>
      </c>
      <c r="E44" s="1199">
        <f t="shared" si="1"/>
        <v>779.89526650228277</v>
      </c>
      <c r="F44" s="706">
        <v>546.452</v>
      </c>
      <c r="G44" s="1199">
        <f t="shared" si="5"/>
        <v>708.56609333333336</v>
      </c>
      <c r="H44" s="1199">
        <f t="shared" si="3"/>
        <v>71.32917316894941</v>
      </c>
      <c r="I44" s="706">
        <v>10.357658176593873</v>
      </c>
      <c r="J44" s="1199">
        <f t="shared" si="6"/>
        <v>60.971514992355537</v>
      </c>
      <c r="L44" s="533"/>
      <c r="M44" s="533"/>
    </row>
    <row r="45" spans="1:13" ht="14.4" x14ac:dyDescent="0.4">
      <c r="A45" s="529">
        <v>2053</v>
      </c>
      <c r="B45" s="1199">
        <f>'MSW Integration Calcs PDS1 '!O209</f>
        <v>846.04614875968196</v>
      </c>
      <c r="C45" s="706">
        <v>788.65304314376851</v>
      </c>
      <c r="D45" s="1200">
        <f t="shared" si="0"/>
        <v>0.93216315008341721</v>
      </c>
      <c r="E45" s="1199">
        <f t="shared" si="1"/>
        <v>788.65304314376851</v>
      </c>
      <c r="F45" s="706">
        <v>561.66099999999994</v>
      </c>
      <c r="G45" s="1199">
        <f t="shared" si="5"/>
        <v>728.28709666666657</v>
      </c>
      <c r="H45" s="1199">
        <f t="shared" si="3"/>
        <v>60.365946477101943</v>
      </c>
      <c r="I45" s="706">
        <v>10.219137085828265</v>
      </c>
      <c r="J45" s="1199">
        <f t="shared" si="6"/>
        <v>50.146809391273678</v>
      </c>
      <c r="L45" s="533"/>
      <c r="M45" s="533"/>
    </row>
    <row r="46" spans="1:13" ht="14.4" x14ac:dyDescent="0.4">
      <c r="A46" s="529">
        <v>2054</v>
      </c>
      <c r="B46" s="1199">
        <f>'MSW Integration Calcs PDS1 '!O210</f>
        <v>860.90820063655599</v>
      </c>
      <c r="C46" s="706">
        <v>797.29985723244988</v>
      </c>
      <c r="D46" s="1200">
        <f t="shared" si="0"/>
        <v>0.92611483621938551</v>
      </c>
      <c r="E46" s="1199">
        <f t="shared" si="1"/>
        <v>797.29985723244988</v>
      </c>
      <c r="F46" s="706">
        <v>577.27199999999993</v>
      </c>
      <c r="G46" s="1199">
        <f t="shared" si="5"/>
        <v>748.52935999999988</v>
      </c>
      <c r="H46" s="1199">
        <f t="shared" si="3"/>
        <v>48.770497232449998</v>
      </c>
      <c r="I46" s="706">
        <v>10.08023121597796</v>
      </c>
      <c r="J46" s="1199">
        <f t="shared" si="6"/>
        <v>38.690266016472037</v>
      </c>
      <c r="L46" s="533"/>
      <c r="M46" s="533"/>
    </row>
    <row r="47" spans="1:13" ht="14.4" x14ac:dyDescent="0.4">
      <c r="A47" s="529">
        <v>2055</v>
      </c>
      <c r="B47" s="1199">
        <f>'MSW Integration Calcs PDS1 '!O211</f>
        <v>875.84459399766536</v>
      </c>
      <c r="C47" s="706">
        <v>805.8701617764026</v>
      </c>
      <c r="D47" s="1200">
        <f t="shared" si="0"/>
        <v>0.92010633769870676</v>
      </c>
      <c r="E47" s="1199">
        <f t="shared" si="1"/>
        <v>805.8701617764026</v>
      </c>
      <c r="F47" s="706">
        <v>593.28499999999997</v>
      </c>
      <c r="G47" s="1199">
        <f t="shared" si="5"/>
        <v>769.29288333333329</v>
      </c>
      <c r="H47" s="1199">
        <f t="shared" si="3"/>
        <v>36.577278443069304</v>
      </c>
      <c r="I47" s="706">
        <v>9.9417871235904158</v>
      </c>
      <c r="J47" s="1199">
        <f t="shared" si="6"/>
        <v>26.635491319478888</v>
      </c>
      <c r="L47" s="533"/>
      <c r="M47" s="533"/>
    </row>
    <row r="48" spans="1:13" ht="14.4" x14ac:dyDescent="0.4">
      <c r="A48" s="529">
        <v>2056</v>
      </c>
      <c r="B48" s="1199">
        <f>'MSW Integration Calcs PDS1 '!O212</f>
        <v>890.8530098780941</v>
      </c>
      <c r="C48" s="706">
        <v>814.3953438896981</v>
      </c>
      <c r="D48" s="1200">
        <f t="shared" si="0"/>
        <v>0.91417476829442534</v>
      </c>
      <c r="E48" s="1199">
        <f t="shared" si="1"/>
        <v>814.3953438896981</v>
      </c>
      <c r="F48" s="706">
        <v>609.69999999999993</v>
      </c>
      <c r="G48" s="1199">
        <f t="shared" si="5"/>
        <v>790.57766666666657</v>
      </c>
      <c r="H48" s="1199">
        <f t="shared" si="3"/>
        <v>23.817677223031524</v>
      </c>
      <c r="I48" s="706">
        <v>9.804829261462146</v>
      </c>
      <c r="J48" s="1199">
        <f t="shared" si="6"/>
        <v>14.012847961569378</v>
      </c>
      <c r="L48" s="533"/>
      <c r="M48" s="533"/>
    </row>
    <row r="49" spans="1:13" ht="14.4" x14ac:dyDescent="0.4">
      <c r="A49" s="529">
        <v>2057</v>
      </c>
      <c r="B49" s="1199">
        <f>'MSW Integration Calcs PDS1 '!O213</f>
        <v>905.9317026832307</v>
      </c>
      <c r="C49" s="706">
        <v>822.90366684399692</v>
      </c>
      <c r="D49" s="1200">
        <f t="shared" si="0"/>
        <v>0.90835066750250881</v>
      </c>
      <c r="E49" s="1199">
        <f t="shared" si="1"/>
        <v>822.90366684399692</v>
      </c>
      <c r="F49" s="706">
        <v>626.51699999999983</v>
      </c>
      <c r="G49" s="1199">
        <f t="shared" si="5"/>
        <v>812.38370999999972</v>
      </c>
      <c r="H49" s="1199">
        <f t="shared" si="3"/>
        <v>10.519956843997193</v>
      </c>
      <c r="I49" s="706">
        <v>9.6708502539252095</v>
      </c>
      <c r="J49" s="1199">
        <f t="shared" si="6"/>
        <v>0.84910659007198319</v>
      </c>
      <c r="L49" s="533"/>
      <c r="M49" s="533"/>
    </row>
    <row r="50" spans="1:13" ht="14.4" x14ac:dyDescent="0.4">
      <c r="A50" s="529">
        <v>2058</v>
      </c>
      <c r="B50" s="1199">
        <f>'MSW Integration Calcs PDS1 '!O214</f>
        <v>921.07959586446179</v>
      </c>
      <c r="C50" s="706">
        <v>831.42001936786221</v>
      </c>
      <c r="D50" s="1200">
        <f t="shared" si="0"/>
        <v>0.90265816667836263</v>
      </c>
      <c r="E50" s="1199">
        <f t="shared" si="1"/>
        <v>831.42001936786221</v>
      </c>
      <c r="F50" s="706">
        <v>643.73599999999988</v>
      </c>
      <c r="G50" s="1199">
        <f t="shared" si="5"/>
        <v>834.7110133333332</v>
      </c>
      <c r="H50" s="1199">
        <f t="shared" si="3"/>
        <v>-3.2909939654709888</v>
      </c>
      <c r="I50" s="706">
        <v>9.540816652530907</v>
      </c>
      <c r="J50" s="1199">
        <f t="shared" si="6"/>
        <v>-12.831810618001896</v>
      </c>
      <c r="L50" s="533"/>
      <c r="M50" s="533"/>
    </row>
    <row r="51" spans="1:13" ht="14.4" x14ac:dyDescent="0.4">
      <c r="A51" s="529">
        <v>2059</v>
      </c>
      <c r="B51" s="1199">
        <f>'MSW Integration Calcs PDS1 '!O215</f>
        <v>936.29613148582291</v>
      </c>
      <c r="C51" s="706">
        <v>839.96570260949193</v>
      </c>
      <c r="D51" s="1200">
        <f t="shared" si="0"/>
        <v>0.89711542573238801</v>
      </c>
      <c r="E51" s="1199">
        <f t="shared" si="1"/>
        <v>839.96570260949193</v>
      </c>
      <c r="F51" s="706">
        <v>661.35699999999986</v>
      </c>
      <c r="G51" s="1199">
        <f t="shared" si="5"/>
        <v>857.55957666666643</v>
      </c>
      <c r="H51" s="1199">
        <f t="shared" si="3"/>
        <v>-17.593874057174503</v>
      </c>
      <c r="I51" s="706">
        <v>9.4156117930513119</v>
      </c>
      <c r="J51" s="1199">
        <f t="shared" si="6"/>
        <v>-27.009485850225815</v>
      </c>
      <c r="L51" s="533"/>
      <c r="M51" s="533"/>
    </row>
    <row r="52" spans="1:13" ht="14.4" x14ac:dyDescent="0.4">
      <c r="A52" s="529">
        <v>2060</v>
      </c>
      <c r="B52" s="1199">
        <f>'MSW Integration Calcs PDS1 '!O216</f>
        <v>951.58079278820219</v>
      </c>
      <c r="C52" s="706">
        <v>848.55787966948071</v>
      </c>
      <c r="D52" s="1200">
        <f t="shared" si="0"/>
        <v>0.89173498046670663</v>
      </c>
      <c r="E52" s="1199">
        <f t="shared" si="1"/>
        <v>848.55787966948071</v>
      </c>
      <c r="F52" s="706">
        <v>679.37999999999988</v>
      </c>
      <c r="G52" s="1199">
        <f t="shared" si="5"/>
        <v>880.92939999999987</v>
      </c>
      <c r="H52" s="1199">
        <f t="shared" si="3"/>
        <v>-32.371520330519161</v>
      </c>
      <c r="I52" s="706">
        <v>9.2949260145077233</v>
      </c>
      <c r="J52" s="1199">
        <f t="shared" si="6"/>
        <v>-41.666446345026884</v>
      </c>
      <c r="L52" s="533"/>
      <c r="M52" s="533"/>
    </row>
    <row r="57" spans="1:13" x14ac:dyDescent="0.4">
      <c r="B57" s="1288" t="s">
        <v>388</v>
      </c>
      <c r="C57" s="1288"/>
      <c r="D57" s="1288"/>
      <c r="E57" s="1288"/>
      <c r="F57" s="1288"/>
      <c r="G57" s="1288"/>
      <c r="H57" s="1288"/>
      <c r="I57" s="1288"/>
      <c r="J57" s="1288"/>
    </row>
    <row r="58" spans="1:13" ht="36.9" x14ac:dyDescent="0.4">
      <c r="B58" s="1187"/>
      <c r="C58" s="1192"/>
      <c r="D58" s="1192"/>
      <c r="E58" s="1192"/>
      <c r="F58" s="341" t="s">
        <v>1087</v>
      </c>
      <c r="G58" s="1191">
        <v>1.2966666666666666</v>
      </c>
      <c r="H58" s="1187"/>
      <c r="I58" s="1187"/>
      <c r="J58" s="1187"/>
    </row>
    <row r="59" spans="1:13" ht="63" x14ac:dyDescent="0.45">
      <c r="B59" s="1185" t="s">
        <v>1085</v>
      </c>
      <c r="C59" s="1186" t="s">
        <v>1092</v>
      </c>
      <c r="D59" s="1186"/>
      <c r="E59" s="1186"/>
      <c r="F59" s="1244" t="s">
        <v>1136</v>
      </c>
      <c r="I59" s="1196" t="s">
        <v>1073</v>
      </c>
    </row>
    <row r="60" spans="1:13" ht="79" customHeight="1" x14ac:dyDescent="0.4">
      <c r="B60" s="1193" t="s">
        <v>1084</v>
      </c>
      <c r="C60" s="1193" t="s">
        <v>1088</v>
      </c>
      <c r="D60" s="1193" t="s">
        <v>1104</v>
      </c>
      <c r="E60" s="1193" t="s">
        <v>1105</v>
      </c>
      <c r="F60" s="1193" t="s">
        <v>1138</v>
      </c>
      <c r="G60" s="1193" t="s">
        <v>1100</v>
      </c>
      <c r="H60" s="1193" t="s">
        <v>1089</v>
      </c>
      <c r="I60" s="1188" t="s">
        <v>1091</v>
      </c>
      <c r="J60" s="1184" t="s">
        <v>1090</v>
      </c>
    </row>
    <row r="61" spans="1:13" ht="14.4" x14ac:dyDescent="0.4">
      <c r="A61" s="529">
        <v>2014</v>
      </c>
      <c r="B61" s="1199">
        <f>'MSW Integration Calcs PDS2'!O170</f>
        <v>341.7860216816789</v>
      </c>
      <c r="C61" s="706">
        <v>404.08731600000004</v>
      </c>
      <c r="D61" s="1200">
        <f t="shared" ref="D61:D107" si="7">IF(C61/B61&gt;1, 1, C61/B61)</f>
        <v>1</v>
      </c>
      <c r="E61" s="1199">
        <f t="shared" ref="E61:E107" si="8">B61*D61</f>
        <v>341.7860216816789</v>
      </c>
      <c r="F61" s="706">
        <v>175.25105629820052</v>
      </c>
      <c r="G61" s="1199">
        <f t="shared" ref="G61:G90" si="9">F61*$G$58</f>
        <v>227.24220300000002</v>
      </c>
      <c r="H61" s="1199">
        <f t="shared" ref="H61:H107" si="10">E61-G61</f>
        <v>114.54381868167889</v>
      </c>
      <c r="I61" s="706">
        <v>0</v>
      </c>
      <c r="J61" s="1199">
        <f t="shared" ref="J61:J107" si="11">H61-I61</f>
        <v>114.54381868167889</v>
      </c>
    </row>
    <row r="62" spans="1:13" ht="14.4" x14ac:dyDescent="0.4">
      <c r="A62" s="529">
        <v>2015</v>
      </c>
      <c r="B62" s="1199">
        <f>'MSW Integration Calcs PDS2'!O171</f>
        <v>363.88533774070333</v>
      </c>
      <c r="C62" s="706">
        <v>406.92588399999994</v>
      </c>
      <c r="D62" s="1200">
        <f t="shared" si="7"/>
        <v>1</v>
      </c>
      <c r="E62" s="1199">
        <f t="shared" si="8"/>
        <v>363.88533774070333</v>
      </c>
      <c r="F62" s="1325">
        <v>175.90427197943453</v>
      </c>
      <c r="G62" s="1199">
        <f t="shared" si="9"/>
        <v>228.0892060000001</v>
      </c>
      <c r="H62" s="1199">
        <f t="shared" si="10"/>
        <v>135.79613174070323</v>
      </c>
      <c r="I62" s="706">
        <v>55.436249202633121</v>
      </c>
      <c r="J62" s="1199">
        <f t="shared" si="11"/>
        <v>80.35988253807011</v>
      </c>
    </row>
    <row r="63" spans="1:13" ht="14.4" x14ac:dyDescent="0.4">
      <c r="A63" s="529">
        <v>2016</v>
      </c>
      <c r="B63" s="1199">
        <f>'MSW Integration Calcs PDS2'!O172</f>
        <v>381.89999999999986</v>
      </c>
      <c r="C63" s="706">
        <v>409.34131699999995</v>
      </c>
      <c r="D63" s="1200">
        <f t="shared" si="7"/>
        <v>1</v>
      </c>
      <c r="E63" s="1199">
        <f t="shared" si="8"/>
        <v>381.89999999999986</v>
      </c>
      <c r="F63" s="1325">
        <v>177.60189408740362</v>
      </c>
      <c r="G63" s="1199">
        <f t="shared" si="9"/>
        <v>230.29045600000003</v>
      </c>
      <c r="H63" s="1199">
        <f t="shared" si="10"/>
        <v>151.60954399999983</v>
      </c>
      <c r="I63" s="706">
        <v>21.687129000645655</v>
      </c>
      <c r="J63" s="1199">
        <f t="shared" si="11"/>
        <v>129.92241499935417</v>
      </c>
    </row>
    <row r="64" spans="1:13" ht="14.4" x14ac:dyDescent="0.4">
      <c r="A64" s="529">
        <v>2017</v>
      </c>
      <c r="B64" s="1199">
        <f>'MSW Integration Calcs PDS2'!O173</f>
        <v>407.98435400123185</v>
      </c>
      <c r="C64" s="706">
        <v>415.22403500000007</v>
      </c>
      <c r="D64" s="1200">
        <f t="shared" si="7"/>
        <v>1</v>
      </c>
      <c r="E64" s="1199">
        <f t="shared" si="8"/>
        <v>407.98435400123185</v>
      </c>
      <c r="F64" s="1325">
        <v>180.34826683804627</v>
      </c>
      <c r="G64" s="1199">
        <f t="shared" si="9"/>
        <v>233.851586</v>
      </c>
      <c r="H64" s="1199">
        <f t="shared" si="10"/>
        <v>174.13276800123185</v>
      </c>
      <c r="I64" s="706">
        <v>21.590799814069157</v>
      </c>
      <c r="J64" s="1199">
        <f t="shared" si="11"/>
        <v>152.54196818716269</v>
      </c>
    </row>
    <row r="65" spans="1:10" ht="14.4" x14ac:dyDescent="0.4">
      <c r="A65" s="529">
        <v>2018</v>
      </c>
      <c r="B65" s="1199">
        <f>'MSW Integration Calcs PDS2'!O174</f>
        <v>415.44977691844485</v>
      </c>
      <c r="C65" s="706">
        <v>408.843143</v>
      </c>
      <c r="D65" s="1200">
        <f t="shared" si="7"/>
        <v>0.98409763517638915</v>
      </c>
      <c r="E65" s="1199">
        <f t="shared" si="8"/>
        <v>408.843143</v>
      </c>
      <c r="F65" s="1325">
        <v>177.11259463680977</v>
      </c>
      <c r="G65" s="1199">
        <f t="shared" si="9"/>
        <v>229.65599771239667</v>
      </c>
      <c r="H65" s="1199">
        <f t="shared" si="10"/>
        <v>179.18714528760333</v>
      </c>
      <c r="I65" s="706">
        <v>21.481008251234357</v>
      </c>
      <c r="J65" s="1199">
        <f t="shared" si="11"/>
        <v>157.70613703636897</v>
      </c>
    </row>
    <row r="66" spans="1:10" ht="14.4" x14ac:dyDescent="0.4">
      <c r="A66" s="529">
        <v>2019</v>
      </c>
      <c r="B66" s="1199">
        <f>'MSW Integration Calcs PDS2'!O175</f>
        <v>423.20764193175251</v>
      </c>
      <c r="C66" s="706">
        <v>414.74298663357462</v>
      </c>
      <c r="D66" s="1200">
        <f t="shared" si="7"/>
        <v>0.97999881273518463</v>
      </c>
      <c r="E66" s="1199">
        <f t="shared" si="8"/>
        <v>414.74298663357462</v>
      </c>
      <c r="F66" s="1325">
        <v>198.38819189692467</v>
      </c>
      <c r="G66" s="1199">
        <f t="shared" si="9"/>
        <v>257.2433554930123</v>
      </c>
      <c r="H66" s="1199">
        <f t="shared" si="10"/>
        <v>157.49963114056231</v>
      </c>
      <c r="I66" s="706">
        <v>21.353586828499999</v>
      </c>
      <c r="J66" s="1199">
        <f t="shared" si="11"/>
        <v>136.14604431206232</v>
      </c>
    </row>
    <row r="67" spans="1:10" ht="14.4" x14ac:dyDescent="0.4">
      <c r="A67" s="529">
        <v>2020</v>
      </c>
      <c r="B67" s="1199">
        <f>'MSW Integration Calcs PDS2'!O176</f>
        <v>431.35895949500389</v>
      </c>
      <c r="C67" s="706">
        <v>424.86563496218895</v>
      </c>
      <c r="D67" s="1200">
        <f t="shared" si="7"/>
        <v>0.98494681890827829</v>
      </c>
      <c r="E67" s="1199">
        <f t="shared" si="8"/>
        <v>424.86563496218895</v>
      </c>
      <c r="F67" s="1325">
        <v>205.71874736723038</v>
      </c>
      <c r="G67" s="1199">
        <f t="shared" si="9"/>
        <v>266.74864241950871</v>
      </c>
      <c r="H67" s="1199">
        <f t="shared" si="10"/>
        <v>158.11699254268024</v>
      </c>
      <c r="I67" s="706">
        <v>21.211686174012073</v>
      </c>
      <c r="J67" s="1199">
        <f t="shared" si="11"/>
        <v>136.90530636866816</v>
      </c>
    </row>
    <row r="68" spans="1:10" ht="14.4" x14ac:dyDescent="0.4">
      <c r="A68" s="529">
        <v>2021</v>
      </c>
      <c r="B68" s="1199">
        <f>'MSW Integration Calcs PDS2'!O177</f>
        <v>439.28218533793995</v>
      </c>
      <c r="C68" s="706">
        <v>435.00883978153735</v>
      </c>
      <c r="D68" s="1200">
        <f t="shared" si="7"/>
        <v>0.99027198074714751</v>
      </c>
      <c r="E68" s="1199">
        <f t="shared" si="8"/>
        <v>435.00883978153735</v>
      </c>
      <c r="F68" s="1325">
        <v>213.88079712929371</v>
      </c>
      <c r="G68" s="1199">
        <f t="shared" si="9"/>
        <v>277.33210027765085</v>
      </c>
      <c r="H68" s="1199">
        <f t="shared" si="10"/>
        <v>157.67673950388649</v>
      </c>
      <c r="I68" s="706">
        <v>20.865617033883495</v>
      </c>
      <c r="J68" s="1199">
        <f t="shared" si="11"/>
        <v>136.811122470003</v>
      </c>
    </row>
    <row r="69" spans="1:10" ht="14.4" x14ac:dyDescent="0.4">
      <c r="A69" s="529">
        <v>2022</v>
      </c>
      <c r="B69" s="1199">
        <f>'MSW Integration Calcs PDS2'!O178</f>
        <v>447.57194574128391</v>
      </c>
      <c r="C69" s="706">
        <v>444.54089977599546</v>
      </c>
      <c r="D69" s="1200">
        <f t="shared" si="7"/>
        <v>0.99322780171069858</v>
      </c>
      <c r="E69" s="1199">
        <f t="shared" si="8"/>
        <v>444.54089977599546</v>
      </c>
      <c r="F69" s="1325">
        <v>222.56713006213093</v>
      </c>
      <c r="G69" s="1199">
        <f t="shared" si="9"/>
        <v>288.59537864722978</v>
      </c>
      <c r="H69" s="1199">
        <f t="shared" si="10"/>
        <v>155.94552112876568</v>
      </c>
      <c r="I69" s="706">
        <v>20.526417357201581</v>
      </c>
      <c r="J69" s="1199">
        <f t="shared" si="11"/>
        <v>135.4191037715641</v>
      </c>
    </row>
    <row r="70" spans="1:10" ht="14.4" x14ac:dyDescent="0.4">
      <c r="A70" s="529">
        <v>2023</v>
      </c>
      <c r="B70" s="1199">
        <f>'MSW Integration Calcs PDS2'!O179</f>
        <v>456.07158944859248</v>
      </c>
      <c r="C70" s="706">
        <v>454.17772675559291</v>
      </c>
      <c r="D70" s="1200">
        <f t="shared" si="7"/>
        <v>0.99584744426792882</v>
      </c>
      <c r="E70" s="1199">
        <f t="shared" si="8"/>
        <v>454.17772675559291</v>
      </c>
      <c r="F70" s="1325">
        <v>231.89961845224667</v>
      </c>
      <c r="G70" s="1199">
        <f t="shared" si="9"/>
        <v>300.69650525974652</v>
      </c>
      <c r="H70" s="1199">
        <f t="shared" si="10"/>
        <v>153.4812214958464</v>
      </c>
      <c r="I70" s="706">
        <v>20.195657427249955</v>
      </c>
      <c r="J70" s="1199">
        <f t="shared" si="11"/>
        <v>133.28556406859644</v>
      </c>
    </row>
    <row r="71" spans="1:10" ht="14.4" x14ac:dyDescent="0.4">
      <c r="A71" s="529">
        <v>2024</v>
      </c>
      <c r="B71" s="1199">
        <f>'MSW Integration Calcs PDS2'!O180</f>
        <v>464.76380921850193</v>
      </c>
      <c r="C71" s="706">
        <v>463.86975570882623</v>
      </c>
      <c r="D71" s="1200">
        <f t="shared" si="7"/>
        <v>0.99807632717534733</v>
      </c>
      <c r="E71" s="1199">
        <f t="shared" si="8"/>
        <v>463.86975570882623</v>
      </c>
      <c r="F71" s="1325">
        <v>241.85671669846457</v>
      </c>
      <c r="G71" s="1199">
        <f t="shared" si="9"/>
        <v>313.60754265234237</v>
      </c>
      <c r="H71" s="1199">
        <f t="shared" si="10"/>
        <v>150.26221305648386</v>
      </c>
      <c r="I71" s="706">
        <v>19.87625010055757</v>
      </c>
      <c r="J71" s="1199">
        <f t="shared" si="11"/>
        <v>130.38596295592629</v>
      </c>
    </row>
    <row r="72" spans="1:10" ht="14.4" x14ac:dyDescent="0.4">
      <c r="A72" s="529">
        <v>2025</v>
      </c>
      <c r="B72" s="1199">
        <f>'MSW Integration Calcs PDS2'!O181</f>
        <v>474.45456454294197</v>
      </c>
      <c r="C72" s="706">
        <v>474.09423178165162</v>
      </c>
      <c r="D72" s="1200">
        <f t="shared" si="7"/>
        <v>0.99924053262795043</v>
      </c>
      <c r="E72" s="1199">
        <f t="shared" si="8"/>
        <v>474.09423178165162</v>
      </c>
      <c r="F72" s="1325">
        <v>253.2331577842215</v>
      </c>
      <c r="G72" s="1199">
        <f t="shared" si="9"/>
        <v>328.35899459354056</v>
      </c>
      <c r="H72" s="1199">
        <f t="shared" si="10"/>
        <v>145.73523718811106</v>
      </c>
      <c r="I72" s="706">
        <v>19.566727324782846</v>
      </c>
      <c r="J72" s="1199">
        <f t="shared" si="11"/>
        <v>126.16850986332821</v>
      </c>
    </row>
    <row r="73" spans="1:10" ht="14.4" x14ac:dyDescent="0.4">
      <c r="A73" s="529">
        <v>2026</v>
      </c>
      <c r="B73" s="1199">
        <f>'MSW Integration Calcs PDS2'!O182</f>
        <v>484.32983940790621</v>
      </c>
      <c r="C73" s="706">
        <v>484.60969596594623</v>
      </c>
      <c r="D73" s="1200">
        <f t="shared" si="7"/>
        <v>1</v>
      </c>
      <c r="E73" s="1199">
        <f t="shared" si="8"/>
        <v>484.32983940790621</v>
      </c>
      <c r="F73" s="1325">
        <v>263.62463524419655</v>
      </c>
      <c r="G73" s="1199">
        <f t="shared" si="9"/>
        <v>341.83327703330821</v>
      </c>
      <c r="H73" s="1199">
        <f t="shared" si="10"/>
        <v>142.496562374598</v>
      </c>
      <c r="I73" s="706">
        <v>19.262519462537966</v>
      </c>
      <c r="J73" s="1199">
        <f t="shared" si="11"/>
        <v>123.23404291206003</v>
      </c>
    </row>
    <row r="74" spans="1:10" ht="14.4" x14ac:dyDescent="0.4">
      <c r="A74" s="529">
        <v>2027</v>
      </c>
      <c r="B74" s="1199">
        <f>'MSW Integration Calcs PDS2'!O183</f>
        <v>495.98162236023802</v>
      </c>
      <c r="C74" s="706">
        <v>495.41509035042276</v>
      </c>
      <c r="D74" s="1200">
        <f t="shared" si="7"/>
        <v>0.99885775604523552</v>
      </c>
      <c r="E74" s="1199">
        <f t="shared" si="8"/>
        <v>495.41509035042276</v>
      </c>
      <c r="F74" s="1325">
        <v>275.44573673631595</v>
      </c>
      <c r="G74" s="1199">
        <f t="shared" si="9"/>
        <v>357.161305301423</v>
      </c>
      <c r="H74" s="1199">
        <f t="shared" si="10"/>
        <v>138.25378504899976</v>
      </c>
      <c r="I74" s="706">
        <v>18.962000019246375</v>
      </c>
      <c r="J74" s="1199">
        <f t="shared" si="11"/>
        <v>119.29178502975338</v>
      </c>
    </row>
    <row r="75" spans="1:10" ht="14.4" x14ac:dyDescent="0.4">
      <c r="A75" s="529">
        <v>2028</v>
      </c>
      <c r="B75" s="1199">
        <f>'MSW Integration Calcs PDS2'!O184</f>
        <v>507.81399693935202</v>
      </c>
      <c r="C75" s="706">
        <v>506.50122051119558</v>
      </c>
      <c r="D75" s="1200">
        <f t="shared" si="7"/>
        <v>0.99741484788511403</v>
      </c>
      <c r="E75" s="1199">
        <f t="shared" si="8"/>
        <v>506.50122051119558</v>
      </c>
      <c r="F75" s="1325">
        <v>297.7550860898719</v>
      </c>
      <c r="G75" s="1199">
        <f t="shared" si="9"/>
        <v>386.08909496320052</v>
      </c>
      <c r="H75" s="1199">
        <f t="shared" si="10"/>
        <v>120.41212554799506</v>
      </c>
      <c r="I75" s="706">
        <v>18.66806861830139</v>
      </c>
      <c r="J75" s="1199">
        <f t="shared" si="11"/>
        <v>101.74405692969367</v>
      </c>
    </row>
    <row r="76" spans="1:10" ht="14.4" x14ac:dyDescent="0.4">
      <c r="A76" s="529">
        <v>2029</v>
      </c>
      <c r="B76" s="1199">
        <f>'MSW Integration Calcs PDS2'!O185</f>
        <v>519.82222543678768</v>
      </c>
      <c r="C76" s="706">
        <v>517.85417053637252</v>
      </c>
      <c r="D76" s="1200">
        <f t="shared" si="7"/>
        <v>0.99621398469686162</v>
      </c>
      <c r="E76" s="1199">
        <f t="shared" si="8"/>
        <v>517.85417053637252</v>
      </c>
      <c r="F76" s="1325">
        <v>301.02058348418632</v>
      </c>
      <c r="G76" s="1199">
        <f t="shared" si="9"/>
        <v>390.32335658449489</v>
      </c>
      <c r="H76" s="1199">
        <f t="shared" si="10"/>
        <v>127.53081395187763</v>
      </c>
      <c r="I76" s="706">
        <v>18.380919972696233</v>
      </c>
      <c r="J76" s="1199">
        <f t="shared" si="11"/>
        <v>109.1498939791814</v>
      </c>
    </row>
    <row r="77" spans="1:10" ht="14.4" x14ac:dyDescent="0.4">
      <c r="A77" s="529">
        <v>2030</v>
      </c>
      <c r="B77" s="1199">
        <f>'MSW Integration Calcs PDS2'!O186</f>
        <v>532.61409006144595</v>
      </c>
      <c r="C77" s="706">
        <v>529.5753875852597</v>
      </c>
      <c r="D77" s="1200">
        <f t="shared" si="7"/>
        <v>0.9942947388495943</v>
      </c>
      <c r="E77" s="1199">
        <f t="shared" si="8"/>
        <v>529.5753875852597</v>
      </c>
      <c r="F77" s="1325">
        <v>314.80455028844688</v>
      </c>
      <c r="G77" s="1199">
        <f t="shared" si="9"/>
        <v>408.19656687401942</v>
      </c>
      <c r="H77" s="1199">
        <f t="shared" si="10"/>
        <v>121.37882071124028</v>
      </c>
      <c r="I77" s="706">
        <v>18.100229441245119</v>
      </c>
      <c r="J77" s="1199">
        <f t="shared" si="11"/>
        <v>103.27859126999516</v>
      </c>
    </row>
    <row r="78" spans="1:10" ht="14.4" x14ac:dyDescent="0.4">
      <c r="A78" s="529">
        <v>2031</v>
      </c>
      <c r="B78" s="1199">
        <f>'MSW Integration Calcs PDS2'!O187</f>
        <v>544.34554260920549</v>
      </c>
      <c r="C78" s="706">
        <v>541.34905474398454</v>
      </c>
      <c r="D78" s="1200">
        <f t="shared" si="7"/>
        <v>0.99449524680434065</v>
      </c>
      <c r="E78" s="1199">
        <f t="shared" si="8"/>
        <v>541.34905474398454</v>
      </c>
      <c r="F78" s="1325">
        <v>328.80734788451042</v>
      </c>
      <c r="G78" s="1199">
        <f t="shared" si="9"/>
        <v>426.35352775691518</v>
      </c>
      <c r="H78" s="1199">
        <f t="shared" si="10"/>
        <v>114.99552698706935</v>
      </c>
      <c r="I78" s="706">
        <v>17.825126693420884</v>
      </c>
      <c r="J78" s="1199">
        <f t="shared" si="11"/>
        <v>97.17040029364847</v>
      </c>
    </row>
    <row r="79" spans="1:10" ht="14.4" x14ac:dyDescent="0.4">
      <c r="A79" s="529">
        <v>2032</v>
      </c>
      <c r="B79" s="1199">
        <f>'MSW Integration Calcs PDS2'!O188</f>
        <v>556.65870601986512</v>
      </c>
      <c r="C79" s="706">
        <v>553.43367037320627</v>
      </c>
      <c r="D79" s="1200">
        <f t="shared" si="7"/>
        <v>0.99420643993926183</v>
      </c>
      <c r="E79" s="1199">
        <f t="shared" si="8"/>
        <v>553.43367037320627</v>
      </c>
      <c r="F79" s="1325">
        <v>343.47657869481304</v>
      </c>
      <c r="G79" s="1199">
        <f t="shared" si="9"/>
        <v>445.37463037427426</v>
      </c>
      <c r="H79" s="1199">
        <f t="shared" si="10"/>
        <v>108.05903999893201</v>
      </c>
      <c r="I79" s="706">
        <v>17.555403411811994</v>
      </c>
      <c r="J79" s="1199">
        <f t="shared" si="11"/>
        <v>90.503636587120013</v>
      </c>
    </row>
    <row r="80" spans="1:10" ht="14.4" x14ac:dyDescent="0.4">
      <c r="A80" s="529">
        <v>2033</v>
      </c>
      <c r="B80" s="1199">
        <f>'MSW Integration Calcs PDS2'!O189</f>
        <v>569.13221579045967</v>
      </c>
      <c r="C80" s="706">
        <v>565.67615347742219</v>
      </c>
      <c r="D80" s="1200">
        <f t="shared" si="7"/>
        <v>0.99392748781891149</v>
      </c>
      <c r="E80" s="1199">
        <f t="shared" si="8"/>
        <v>565.67615347742219</v>
      </c>
      <c r="F80" s="1325">
        <v>358.82888507586529</v>
      </c>
      <c r="G80" s="1199">
        <f t="shared" si="9"/>
        <v>465.28145431503862</v>
      </c>
      <c r="H80" s="1199">
        <f t="shared" si="10"/>
        <v>100.39469916238357</v>
      </c>
      <c r="I80" s="706">
        <v>17.291562472155988</v>
      </c>
      <c r="J80" s="1199">
        <f t="shared" si="11"/>
        <v>83.103136690227586</v>
      </c>
    </row>
    <row r="81" spans="1:10" ht="14.4" x14ac:dyDescent="0.4">
      <c r="A81" s="529">
        <v>2034</v>
      </c>
      <c r="B81" s="1199">
        <f>'MSW Integration Calcs PDS2'!O190</f>
        <v>581.77032351164041</v>
      </c>
      <c r="C81" s="706">
        <v>578.04232088820231</v>
      </c>
      <c r="D81" s="1200">
        <f t="shared" si="7"/>
        <v>0.99359196838894193</v>
      </c>
      <c r="E81" s="1199">
        <f t="shared" si="8"/>
        <v>578.04232088820231</v>
      </c>
      <c r="F81" s="1325">
        <v>372.00799999999998</v>
      </c>
      <c r="G81" s="1199">
        <f t="shared" si="9"/>
        <v>482.3703733333333</v>
      </c>
      <c r="H81" s="1199">
        <f t="shared" si="10"/>
        <v>95.671947554869007</v>
      </c>
      <c r="I81" s="706">
        <v>17.03360078964613</v>
      </c>
      <c r="J81" s="1199">
        <f t="shared" si="11"/>
        <v>78.638346765222877</v>
      </c>
    </row>
    <row r="82" spans="1:10" ht="14.4" x14ac:dyDescent="0.4">
      <c r="A82" s="529">
        <v>2035</v>
      </c>
      <c r="B82" s="1199">
        <f>'MSW Integration Calcs PDS2'!O191</f>
        <v>594.60169845937185</v>
      </c>
      <c r="C82" s="706">
        <v>590.49284513009445</v>
      </c>
      <c r="D82" s="1200">
        <f t="shared" si="7"/>
        <v>0.99308973832411929</v>
      </c>
      <c r="E82" s="1199">
        <f t="shared" si="8"/>
        <v>590.49284513009445</v>
      </c>
      <c r="F82" s="1325">
        <v>380.69499999999999</v>
      </c>
      <c r="G82" s="1199">
        <f t="shared" si="9"/>
        <v>493.63451666666663</v>
      </c>
      <c r="H82" s="1199">
        <f t="shared" si="10"/>
        <v>96.858328463427824</v>
      </c>
      <c r="I82" s="706">
        <v>16.781129349292314</v>
      </c>
      <c r="J82" s="1199">
        <f t="shared" si="11"/>
        <v>80.07719911413551</v>
      </c>
    </row>
    <row r="83" spans="1:10" ht="14.4" x14ac:dyDescent="0.4">
      <c r="A83" s="529">
        <v>2036</v>
      </c>
      <c r="B83" s="1199">
        <f>'MSW Integration Calcs PDS2'!O192</f>
        <v>607.54040466866991</v>
      </c>
      <c r="C83" s="706">
        <v>602.98378988232821</v>
      </c>
      <c r="D83" s="1200">
        <f t="shared" si="7"/>
        <v>0.99249989835848584</v>
      </c>
      <c r="E83" s="1199">
        <f t="shared" si="8"/>
        <v>602.98378988232821</v>
      </c>
      <c r="F83" s="1325">
        <v>389.82</v>
      </c>
      <c r="G83" s="1199">
        <f t="shared" si="9"/>
        <v>505.46659999999997</v>
      </c>
      <c r="H83" s="1199">
        <f t="shared" si="10"/>
        <v>97.517189882328239</v>
      </c>
      <c r="I83" s="706">
        <v>12.688122217091916</v>
      </c>
      <c r="J83" s="1199">
        <f t="shared" si="11"/>
        <v>84.829067665236323</v>
      </c>
    </row>
    <row r="84" spans="1:10" ht="14.4" x14ac:dyDescent="0.4">
      <c r="A84" s="529">
        <v>2037</v>
      </c>
      <c r="B84" s="1199">
        <f>'MSW Integration Calcs PDS2'!O193</f>
        <v>620.67063187610006</v>
      </c>
      <c r="C84" s="706">
        <v>615.46723432447584</v>
      </c>
      <c r="D84" s="1200">
        <f t="shared" si="7"/>
        <v>0.99161649144588015</v>
      </c>
      <c r="E84" s="1199">
        <f t="shared" si="8"/>
        <v>615.46723432447584</v>
      </c>
      <c r="F84" s="1325">
        <v>399.38299999999998</v>
      </c>
      <c r="G84" s="1199">
        <f t="shared" si="9"/>
        <v>517.86662333333334</v>
      </c>
      <c r="H84" s="1199">
        <f t="shared" si="10"/>
        <v>97.600610991142503</v>
      </c>
      <c r="I84" s="706">
        <v>6.2630600658332582</v>
      </c>
      <c r="J84" s="1199">
        <f t="shared" si="11"/>
        <v>91.337550925309245</v>
      </c>
    </row>
    <row r="85" spans="1:10" ht="14.4" x14ac:dyDescent="0.4">
      <c r="A85" s="529">
        <v>2038</v>
      </c>
      <c r="B85" s="1199">
        <f>'MSW Integration Calcs PDS2'!O194</f>
        <v>633.96296385951007</v>
      </c>
      <c r="C85" s="706">
        <v>627.89500953747279</v>
      </c>
      <c r="D85" s="1200">
        <f t="shared" si="7"/>
        <v>0.99042853499659333</v>
      </c>
      <c r="E85" s="1199">
        <f t="shared" si="8"/>
        <v>627.89500953747279</v>
      </c>
      <c r="F85" s="1325">
        <v>409.38399999999996</v>
      </c>
      <c r="G85" s="1199">
        <f t="shared" si="9"/>
        <v>530.83458666666661</v>
      </c>
      <c r="H85" s="1199">
        <f t="shared" si="10"/>
        <v>97.060422870806178</v>
      </c>
      <c r="I85" s="706">
        <v>0</v>
      </c>
      <c r="J85" s="1199">
        <f t="shared" si="11"/>
        <v>97.060422870806178</v>
      </c>
    </row>
    <row r="86" spans="1:10" ht="14.4" x14ac:dyDescent="0.4">
      <c r="A86" s="529">
        <v>2039</v>
      </c>
      <c r="B86" s="1199">
        <f>'MSW Integration Calcs PDS2'!O195</f>
        <v>647.41200442224579</v>
      </c>
      <c r="C86" s="706">
        <v>640.22067145497829</v>
      </c>
      <c r="D86" s="1200">
        <f t="shared" si="7"/>
        <v>0.98889218470132467</v>
      </c>
      <c r="E86" s="1199">
        <f t="shared" si="8"/>
        <v>640.22067145497829</v>
      </c>
      <c r="F86" s="1325">
        <v>419.82299999999998</v>
      </c>
      <c r="G86" s="1199">
        <f t="shared" si="9"/>
        <v>544.3704899999999</v>
      </c>
      <c r="H86" s="1199">
        <f t="shared" si="10"/>
        <v>95.850181454978383</v>
      </c>
      <c r="I86" s="706">
        <v>0</v>
      </c>
      <c r="J86" s="1199">
        <f t="shared" si="11"/>
        <v>95.850181454978383</v>
      </c>
    </row>
    <row r="87" spans="1:10" ht="14.4" x14ac:dyDescent="0.4">
      <c r="A87" s="529">
        <v>2040</v>
      </c>
      <c r="B87" s="1199">
        <f>'MSW Integration Calcs PDS2'!O196</f>
        <v>660.25436152424447</v>
      </c>
      <c r="C87" s="706">
        <v>652.40480941635178</v>
      </c>
      <c r="D87" s="1200">
        <f t="shared" si="7"/>
        <v>0.98811132108272415</v>
      </c>
      <c r="E87" s="1199">
        <f t="shared" si="8"/>
        <v>652.40480941635178</v>
      </c>
      <c r="F87" s="1325">
        <v>430.7</v>
      </c>
      <c r="G87" s="1199">
        <f t="shared" si="9"/>
        <v>558.47433333333333</v>
      </c>
      <c r="H87" s="1199">
        <f t="shared" si="10"/>
        <v>93.930476083018448</v>
      </c>
      <c r="I87" s="706">
        <v>0</v>
      </c>
      <c r="J87" s="1199">
        <f t="shared" si="11"/>
        <v>93.930476083018448</v>
      </c>
    </row>
    <row r="88" spans="1:10" ht="14.4" x14ac:dyDescent="0.4">
      <c r="A88" s="529">
        <v>2041</v>
      </c>
      <c r="B88" s="1199">
        <f>'MSW Integration Calcs PDS2'!O197</f>
        <v>674.74062574692732</v>
      </c>
      <c r="C88" s="706">
        <v>664.41938351539886</v>
      </c>
      <c r="D88" s="1200">
        <f t="shared" si="7"/>
        <v>0.98470339292212761</v>
      </c>
      <c r="E88" s="1199">
        <f t="shared" si="8"/>
        <v>664.41938351539886</v>
      </c>
      <c r="F88" s="1325">
        <v>442.01499999999999</v>
      </c>
      <c r="G88" s="1199">
        <f t="shared" si="9"/>
        <v>573.14611666666667</v>
      </c>
      <c r="H88" s="1199">
        <f t="shared" si="10"/>
        <v>91.273266848732192</v>
      </c>
      <c r="I88" s="706">
        <v>0</v>
      </c>
      <c r="J88" s="1199">
        <f t="shared" si="11"/>
        <v>91.273266848732192</v>
      </c>
    </row>
    <row r="89" spans="1:10" ht="14.4" x14ac:dyDescent="0.4">
      <c r="A89" s="529">
        <v>2042</v>
      </c>
      <c r="B89" s="1199">
        <f>'MSW Integration Calcs PDS2'!O198</f>
        <v>688.36579001756627</v>
      </c>
      <c r="C89" s="706">
        <v>676.24735064553647</v>
      </c>
      <c r="D89" s="1200">
        <f t="shared" si="7"/>
        <v>0.98239534917660487</v>
      </c>
      <c r="E89" s="1199">
        <f t="shared" si="8"/>
        <v>676.24735064553647</v>
      </c>
      <c r="F89" s="1325">
        <v>453.76800000000003</v>
      </c>
      <c r="G89" s="1199">
        <f t="shared" si="9"/>
        <v>588.38584000000003</v>
      </c>
      <c r="H89" s="1199">
        <f t="shared" si="10"/>
        <v>87.861510645536441</v>
      </c>
      <c r="I89" s="706">
        <v>0</v>
      </c>
      <c r="J89" s="1199">
        <f t="shared" si="11"/>
        <v>87.861510645536441</v>
      </c>
    </row>
    <row r="90" spans="1:10" ht="14.4" x14ac:dyDescent="0.4">
      <c r="A90" s="529">
        <v>2043</v>
      </c>
      <c r="B90" s="1199">
        <f>'MSW Integration Calcs PDS2'!O199</f>
        <v>702.13968972548719</v>
      </c>
      <c r="C90" s="706">
        <v>687.88010807954925</v>
      </c>
      <c r="D90" s="1200">
        <f t="shared" si="7"/>
        <v>0.97969124683506648</v>
      </c>
      <c r="E90" s="1199">
        <f t="shared" si="8"/>
        <v>687.88010807954925</v>
      </c>
      <c r="F90" s="1325">
        <v>465.95899999999995</v>
      </c>
      <c r="G90" s="1199">
        <f t="shared" si="9"/>
        <v>604.1935033333333</v>
      </c>
      <c r="H90" s="1199">
        <f t="shared" si="10"/>
        <v>83.686604746215949</v>
      </c>
      <c r="I90" s="706">
        <v>0</v>
      </c>
      <c r="J90" s="1199">
        <f t="shared" si="11"/>
        <v>83.686604746215949</v>
      </c>
    </row>
    <row r="91" spans="1:10" ht="14.4" x14ac:dyDescent="0.4">
      <c r="A91" s="529">
        <v>2044</v>
      </c>
      <c r="B91" s="1199">
        <f>'MSW Integration Calcs PDS2'!O200</f>
        <v>716.06293856875311</v>
      </c>
      <c r="C91" s="706">
        <v>699.32011372535237</v>
      </c>
      <c r="D91" s="1200">
        <f t="shared" si="7"/>
        <v>0.97661822174896273</v>
      </c>
      <c r="E91" s="1199">
        <f t="shared" si="8"/>
        <v>699.32011372535237</v>
      </c>
      <c r="F91" s="1325">
        <v>478.58800000000002</v>
      </c>
      <c r="G91" s="1199">
        <f t="shared" ref="G91:G107" si="12">F91*$G$58</f>
        <v>620.5691066666667</v>
      </c>
      <c r="H91" s="1199">
        <f t="shared" si="10"/>
        <v>78.751007058685673</v>
      </c>
      <c r="I91" s="706">
        <v>0</v>
      </c>
      <c r="J91" s="1199">
        <f t="shared" si="11"/>
        <v>78.751007058685673</v>
      </c>
    </row>
    <row r="92" spans="1:10" ht="14.4" x14ac:dyDescent="0.4">
      <c r="A92" s="529">
        <v>2045</v>
      </c>
      <c r="B92" s="1199">
        <f>'MSW Integration Calcs PDS2'!O201</f>
        <v>730.16014319301712</v>
      </c>
      <c r="C92" s="706">
        <v>710.58087292819198</v>
      </c>
      <c r="D92" s="1200">
        <f t="shared" si="7"/>
        <v>0.9731849643569912</v>
      </c>
      <c r="E92" s="1199">
        <f t="shared" si="8"/>
        <v>710.58087292819198</v>
      </c>
      <c r="F92" s="1325">
        <v>491.65499999999997</v>
      </c>
      <c r="G92" s="1199">
        <f t="shared" si="12"/>
        <v>637.51264999999989</v>
      </c>
      <c r="H92" s="1199">
        <f t="shared" si="10"/>
        <v>73.068222928192085</v>
      </c>
      <c r="I92" s="706">
        <v>0</v>
      </c>
      <c r="J92" s="1199">
        <f t="shared" si="11"/>
        <v>73.068222928192085</v>
      </c>
    </row>
    <row r="93" spans="1:10" ht="14.4" x14ac:dyDescent="0.4">
      <c r="A93" s="529">
        <v>2046</v>
      </c>
      <c r="B93" s="1199">
        <f>'MSW Integration Calcs PDS2'!O202</f>
        <v>744.3358162926437</v>
      </c>
      <c r="C93" s="706">
        <v>721.68660694963353</v>
      </c>
      <c r="D93" s="1200">
        <f t="shared" si="7"/>
        <v>0.96957124882714851</v>
      </c>
      <c r="E93" s="1199">
        <f t="shared" si="8"/>
        <v>721.68660694963353</v>
      </c>
      <c r="F93" s="1325">
        <v>505.15999999999997</v>
      </c>
      <c r="G93" s="1199">
        <f t="shared" si="12"/>
        <v>655.02413333333322</v>
      </c>
      <c r="H93" s="1199">
        <f t="shared" si="10"/>
        <v>66.662473616300304</v>
      </c>
      <c r="I93" s="706">
        <v>0</v>
      </c>
      <c r="J93" s="1199">
        <f t="shared" si="11"/>
        <v>66.662473616300304</v>
      </c>
    </row>
    <row r="94" spans="1:10" ht="14.4" x14ac:dyDescent="0.4">
      <c r="A94" s="529">
        <v>2047</v>
      </c>
      <c r="B94" s="1199">
        <f>'MSW Integration Calcs PDS2'!O203</f>
        <v>758.59459111571755</v>
      </c>
      <c r="C94" s="706">
        <v>732.67074481100497</v>
      </c>
      <c r="D94" s="1200">
        <f t="shared" si="7"/>
        <v>0.96582648148520989</v>
      </c>
      <c r="E94" s="1199">
        <f t="shared" si="8"/>
        <v>732.67074481100497</v>
      </c>
      <c r="F94" s="1325">
        <v>519.10299999999995</v>
      </c>
      <c r="G94" s="1199">
        <f t="shared" si="12"/>
        <v>673.10355666666658</v>
      </c>
      <c r="H94" s="1199">
        <f t="shared" si="10"/>
        <v>59.567188144338388</v>
      </c>
      <c r="I94" s="706">
        <v>0</v>
      </c>
      <c r="J94" s="1199">
        <f t="shared" si="11"/>
        <v>59.567188144338388</v>
      </c>
    </row>
    <row r="95" spans="1:10" ht="14.4" x14ac:dyDescent="0.4">
      <c r="A95" s="529">
        <v>2048</v>
      </c>
      <c r="B95" s="1199">
        <f>'MSW Integration Calcs PDS2'!O204</f>
        <v>772.94968454845889</v>
      </c>
      <c r="C95" s="706">
        <v>743.57402231909225</v>
      </c>
      <c r="D95" s="1200">
        <f t="shared" si="7"/>
        <v>0.96199537587426887</v>
      </c>
      <c r="E95" s="1199">
        <f t="shared" si="8"/>
        <v>743.57402231909225</v>
      </c>
      <c r="F95" s="1325">
        <v>533.48399999999992</v>
      </c>
      <c r="G95" s="1199">
        <f t="shared" si="12"/>
        <v>691.75091999999984</v>
      </c>
      <c r="H95" s="1199">
        <f t="shared" si="10"/>
        <v>51.823102319092413</v>
      </c>
      <c r="I95" s="706">
        <v>0</v>
      </c>
      <c r="J95" s="1199">
        <f t="shared" si="11"/>
        <v>51.823102319092413</v>
      </c>
    </row>
    <row r="96" spans="1:10" ht="14.4" x14ac:dyDescent="0.4">
      <c r="A96" s="529">
        <v>2049</v>
      </c>
      <c r="B96" s="1199">
        <f>'MSW Integration Calcs PDS2'!O205</f>
        <v>787.3972514728847</v>
      </c>
      <c r="C96" s="706">
        <v>754.44304206296385</v>
      </c>
      <c r="D96" s="1200">
        <f t="shared" si="7"/>
        <v>0.95814792425516149</v>
      </c>
      <c r="E96" s="1199">
        <f t="shared" si="8"/>
        <v>754.44304206296385</v>
      </c>
      <c r="F96" s="1325">
        <v>548.303</v>
      </c>
      <c r="G96" s="1199">
        <f t="shared" si="12"/>
        <v>710.96622333333335</v>
      </c>
      <c r="H96" s="1199">
        <f t="shared" si="10"/>
        <v>43.476818729630509</v>
      </c>
      <c r="I96" s="706">
        <v>0</v>
      </c>
      <c r="J96" s="1199">
        <f t="shared" si="11"/>
        <v>43.476818729630509</v>
      </c>
    </row>
    <row r="97" spans="1:10" ht="14.4" x14ac:dyDescent="0.4">
      <c r="A97" s="529">
        <v>2050</v>
      </c>
      <c r="B97" s="1199">
        <f>'MSW Integration Calcs PDS2'!O206</f>
        <v>801.77660768089572</v>
      </c>
      <c r="C97" s="706">
        <v>765.27987240923528</v>
      </c>
      <c r="D97" s="1200">
        <f t="shared" si="7"/>
        <v>0.95448016951102421</v>
      </c>
      <c r="E97" s="1199">
        <f t="shared" si="8"/>
        <v>765.27987240923528</v>
      </c>
      <c r="F97" s="1325">
        <v>563.55999999999995</v>
      </c>
      <c r="G97" s="1199">
        <f t="shared" si="12"/>
        <v>730.74946666666654</v>
      </c>
      <c r="H97" s="1199">
        <f t="shared" si="10"/>
        <v>34.530405742568746</v>
      </c>
      <c r="I97" s="706">
        <v>0</v>
      </c>
      <c r="J97" s="1199">
        <f t="shared" si="11"/>
        <v>34.530405742568746</v>
      </c>
    </row>
    <row r="98" spans="1:10" ht="14.4" x14ac:dyDescent="0.4">
      <c r="A98" s="529">
        <v>2051</v>
      </c>
      <c r="B98" s="1199">
        <f>'MSW Integration Calcs PDS2'!O207</f>
        <v>816.55585088147109</v>
      </c>
      <c r="C98" s="706">
        <v>770.98974869333063</v>
      </c>
      <c r="D98" s="1200">
        <f t="shared" si="7"/>
        <v>0.94419720079287672</v>
      </c>
      <c r="E98" s="1199">
        <f t="shared" si="8"/>
        <v>770.98974869333063</v>
      </c>
      <c r="F98" s="1325">
        <v>579.255</v>
      </c>
      <c r="G98" s="1199">
        <f t="shared" si="12"/>
        <v>751.10064999999997</v>
      </c>
      <c r="H98" s="1199">
        <f t="shared" si="10"/>
        <v>19.889098693330652</v>
      </c>
      <c r="I98" s="706">
        <v>0</v>
      </c>
      <c r="J98" s="1199">
        <f t="shared" si="11"/>
        <v>19.889098693330652</v>
      </c>
    </row>
    <row r="99" spans="1:10" ht="14.4" x14ac:dyDescent="0.4">
      <c r="A99" s="529">
        <v>2052</v>
      </c>
      <c r="B99" s="1199">
        <f>'MSW Integration Calcs PDS2'!O208</f>
        <v>831.2610401516589</v>
      </c>
      <c r="C99" s="706">
        <v>779.89526650228277</v>
      </c>
      <c r="D99" s="1200">
        <f t="shared" si="7"/>
        <v>0.93820740878219822</v>
      </c>
      <c r="E99" s="1199">
        <f t="shared" si="8"/>
        <v>779.89526650228277</v>
      </c>
      <c r="F99" s="1325">
        <v>595.38800000000003</v>
      </c>
      <c r="G99" s="1199">
        <f t="shared" si="12"/>
        <v>772.01977333333332</v>
      </c>
      <c r="H99" s="1199">
        <f t="shared" si="10"/>
        <v>7.875493168949447</v>
      </c>
      <c r="I99" s="706">
        <v>0</v>
      </c>
      <c r="J99" s="1199">
        <f t="shared" si="11"/>
        <v>7.875493168949447</v>
      </c>
    </row>
    <row r="100" spans="1:10" ht="14.4" x14ac:dyDescent="0.4">
      <c r="A100" s="529">
        <v>2053</v>
      </c>
      <c r="B100" s="1199">
        <f>'MSW Integration Calcs PDS2'!O209</f>
        <v>846.04614875968241</v>
      </c>
      <c r="C100" s="706">
        <v>788.65304314376851</v>
      </c>
      <c r="D100" s="1200">
        <f t="shared" si="7"/>
        <v>0.93216315008341666</v>
      </c>
      <c r="E100" s="1199">
        <f t="shared" si="8"/>
        <v>788.65304314376851</v>
      </c>
      <c r="F100" s="1325">
        <v>611.95899999999995</v>
      </c>
      <c r="G100" s="1199">
        <f t="shared" si="12"/>
        <v>793.50683666666657</v>
      </c>
      <c r="H100" s="1199">
        <f t="shared" si="10"/>
        <v>-4.8537935228980587</v>
      </c>
      <c r="I100" s="706">
        <v>0</v>
      </c>
      <c r="J100" s="1199">
        <f t="shared" si="11"/>
        <v>-4.8537935228980587</v>
      </c>
    </row>
    <row r="101" spans="1:10" ht="14.4" x14ac:dyDescent="0.4">
      <c r="A101" s="529">
        <v>2054</v>
      </c>
      <c r="B101" s="1199">
        <f>'MSW Integration Calcs PDS2'!O210</f>
        <v>860.9082006365561</v>
      </c>
      <c r="C101" s="706">
        <v>797.29985723244988</v>
      </c>
      <c r="D101" s="1200">
        <f t="shared" si="7"/>
        <v>0.92611483621938528</v>
      </c>
      <c r="E101" s="1199">
        <f t="shared" si="8"/>
        <v>797.29985723244988</v>
      </c>
      <c r="F101" s="1325">
        <v>628.96799999999996</v>
      </c>
      <c r="G101" s="1199">
        <f t="shared" si="12"/>
        <v>815.56183999999996</v>
      </c>
      <c r="H101" s="1199">
        <f t="shared" si="10"/>
        <v>-18.26198276755008</v>
      </c>
      <c r="I101" s="706">
        <v>0</v>
      </c>
      <c r="J101" s="1199">
        <f t="shared" si="11"/>
        <v>-18.26198276755008</v>
      </c>
    </row>
    <row r="102" spans="1:10" ht="14.4" x14ac:dyDescent="0.4">
      <c r="A102" s="529">
        <v>2055</v>
      </c>
      <c r="B102" s="1199">
        <f>'MSW Integration Calcs PDS2'!O211</f>
        <v>875.84459399766547</v>
      </c>
      <c r="C102" s="706">
        <v>805.8701617764026</v>
      </c>
      <c r="D102" s="1200">
        <f t="shared" si="7"/>
        <v>0.92010633769870664</v>
      </c>
      <c r="E102" s="1199">
        <f t="shared" si="8"/>
        <v>805.8701617764026</v>
      </c>
      <c r="F102" s="1325">
        <v>646.41499999999996</v>
      </c>
      <c r="G102" s="1199">
        <f t="shared" si="12"/>
        <v>838.18478333333326</v>
      </c>
      <c r="H102" s="1199">
        <f t="shared" si="10"/>
        <v>-32.314621556930661</v>
      </c>
      <c r="I102" s="706">
        <v>0</v>
      </c>
      <c r="J102" s="1199">
        <f t="shared" si="11"/>
        <v>-32.314621556930661</v>
      </c>
    </row>
    <row r="103" spans="1:10" ht="14.4" x14ac:dyDescent="0.4">
      <c r="A103" s="529">
        <v>2056</v>
      </c>
      <c r="B103" s="1199">
        <f>'MSW Integration Calcs PDS2'!O212</f>
        <v>890.8530098780941</v>
      </c>
      <c r="C103" s="706">
        <v>814.3953438896981</v>
      </c>
      <c r="D103" s="1200">
        <f t="shared" si="7"/>
        <v>0.91417476829442534</v>
      </c>
      <c r="E103" s="1199">
        <f t="shared" si="8"/>
        <v>814.3953438896981</v>
      </c>
      <c r="F103" s="1325">
        <v>664.3</v>
      </c>
      <c r="G103" s="1199">
        <f t="shared" si="12"/>
        <v>861.37566666666658</v>
      </c>
      <c r="H103" s="1199">
        <f t="shared" si="10"/>
        <v>-46.980322776968478</v>
      </c>
      <c r="I103" s="706">
        <v>2.1735179095892363</v>
      </c>
      <c r="J103" s="1199">
        <f t="shared" si="11"/>
        <v>-49.153840686557714</v>
      </c>
    </row>
    <row r="104" spans="1:10" ht="14.4" x14ac:dyDescent="0.4">
      <c r="A104" s="529">
        <v>2057</v>
      </c>
      <c r="B104" s="1199">
        <f>'MSW Integration Calcs PDS2'!O213</f>
        <v>905.93170268323081</v>
      </c>
      <c r="C104" s="706">
        <v>822.90366684399692</v>
      </c>
      <c r="D104" s="1200">
        <f t="shared" si="7"/>
        <v>0.9083506675025087</v>
      </c>
      <c r="E104" s="1199">
        <f t="shared" si="8"/>
        <v>822.90366684399692</v>
      </c>
      <c r="F104" s="1325">
        <v>682.62299999999993</v>
      </c>
      <c r="G104" s="1199">
        <f t="shared" si="12"/>
        <v>885.13448999999991</v>
      </c>
      <c r="H104" s="1199">
        <f t="shared" si="10"/>
        <v>-62.230823156002998</v>
      </c>
      <c r="I104" s="706">
        <v>9.192682570560919</v>
      </c>
      <c r="J104" s="1199">
        <f t="shared" si="11"/>
        <v>-71.423505726563917</v>
      </c>
    </row>
    <row r="105" spans="1:10" ht="14.4" x14ac:dyDescent="0.4">
      <c r="A105" s="529">
        <v>2058</v>
      </c>
      <c r="B105" s="1199">
        <f>'MSW Integration Calcs PDS2'!O214</f>
        <v>921.07959586446191</v>
      </c>
      <c r="C105" s="706">
        <v>831.42001936786221</v>
      </c>
      <c r="D105" s="1200">
        <f t="shared" si="7"/>
        <v>0.90265816667836252</v>
      </c>
      <c r="E105" s="1199">
        <f t="shared" si="8"/>
        <v>831.42001936786221</v>
      </c>
      <c r="F105" s="1325">
        <v>701.3839999999999</v>
      </c>
      <c r="G105" s="1199">
        <f t="shared" si="12"/>
        <v>909.46125333333316</v>
      </c>
      <c r="H105" s="1199">
        <f t="shared" si="10"/>
        <v>-78.041233965470951</v>
      </c>
      <c r="I105" s="706">
        <v>11.864974658789833</v>
      </c>
      <c r="J105" s="1199">
        <f t="shared" si="11"/>
        <v>-89.906208624260785</v>
      </c>
    </row>
    <row r="106" spans="1:10" ht="14.4" x14ac:dyDescent="0.4">
      <c r="A106" s="529">
        <v>2059</v>
      </c>
      <c r="B106" s="1199">
        <f>'MSW Integration Calcs PDS2'!O215</f>
        <v>936.29613148582268</v>
      </c>
      <c r="C106" s="706">
        <v>839.96570260949193</v>
      </c>
      <c r="D106" s="1200">
        <f t="shared" si="7"/>
        <v>0.89711542573238823</v>
      </c>
      <c r="E106" s="1199">
        <f t="shared" si="8"/>
        <v>839.96570260949193</v>
      </c>
      <c r="F106" s="1325">
        <v>720.58299999999997</v>
      </c>
      <c r="G106" s="1199">
        <f t="shared" si="12"/>
        <v>934.35595666666666</v>
      </c>
      <c r="H106" s="1199">
        <f t="shared" si="10"/>
        <v>-94.390254057174729</v>
      </c>
      <c r="I106" s="706">
        <v>11.687581971733607</v>
      </c>
      <c r="J106" s="1199">
        <f t="shared" si="11"/>
        <v>-106.07783602890834</v>
      </c>
    </row>
    <row r="107" spans="1:10" ht="14.4" x14ac:dyDescent="0.4">
      <c r="A107" s="529">
        <v>2060</v>
      </c>
      <c r="B107" s="1199">
        <f>'MSW Integration Calcs PDS2'!O216</f>
        <v>951.58079278820207</v>
      </c>
      <c r="C107" s="706">
        <v>848.55787966948071</v>
      </c>
      <c r="D107" s="1200">
        <f t="shared" si="7"/>
        <v>0.89173498046670674</v>
      </c>
      <c r="E107" s="1199">
        <f t="shared" si="8"/>
        <v>848.55787966948071</v>
      </c>
      <c r="F107" s="1325">
        <v>740.22</v>
      </c>
      <c r="G107" s="1199">
        <f t="shared" si="12"/>
        <v>959.81860000000006</v>
      </c>
      <c r="H107" s="1199">
        <f t="shared" si="10"/>
        <v>-111.26072033051935</v>
      </c>
      <c r="I107" s="706">
        <v>11.516510953442321</v>
      </c>
      <c r="J107" s="1199">
        <f t="shared" si="11"/>
        <v>-122.77723128396167</v>
      </c>
    </row>
    <row r="112" spans="1:10" x14ac:dyDescent="0.4">
      <c r="B112" s="1288" t="s">
        <v>389</v>
      </c>
      <c r="C112" s="1288"/>
      <c r="D112" s="1288"/>
      <c r="E112" s="1288"/>
      <c r="F112" s="1288"/>
      <c r="G112" s="1288"/>
      <c r="H112" s="1288"/>
      <c r="I112" s="1288"/>
      <c r="J112" s="1288"/>
    </row>
    <row r="113" spans="1:10" ht="36.9" x14ac:dyDescent="0.4">
      <c r="B113" s="1187"/>
      <c r="C113" s="1192"/>
      <c r="D113" s="1192"/>
      <c r="E113" s="1192"/>
      <c r="F113" s="341" t="s">
        <v>1087</v>
      </c>
      <c r="G113" s="1195">
        <v>1.1154056516756992</v>
      </c>
      <c r="H113" s="1187"/>
      <c r="I113" s="1187"/>
      <c r="J113" s="1187"/>
    </row>
    <row r="114" spans="1:10" ht="63" x14ac:dyDescent="0.45">
      <c r="B114" s="1185" t="s">
        <v>1085</v>
      </c>
      <c r="C114" s="1186" t="s">
        <v>1092</v>
      </c>
      <c r="D114" s="1186"/>
      <c r="E114" s="1186"/>
      <c r="F114" s="1244" t="s">
        <v>1136</v>
      </c>
      <c r="I114" s="1196" t="s">
        <v>1073</v>
      </c>
    </row>
    <row r="115" spans="1:10" ht="76" customHeight="1" x14ac:dyDescent="0.4">
      <c r="B115" s="1193" t="s">
        <v>1084</v>
      </c>
      <c r="C115" s="1193" t="s">
        <v>1088</v>
      </c>
      <c r="D115" s="1193" t="s">
        <v>1104</v>
      </c>
      <c r="E115" s="1193" t="s">
        <v>1105</v>
      </c>
      <c r="F115" s="1193" t="s">
        <v>1139</v>
      </c>
      <c r="G115" s="1193" t="s">
        <v>1100</v>
      </c>
      <c r="H115" s="1193" t="s">
        <v>1089</v>
      </c>
      <c r="I115" s="1188" t="s">
        <v>1091</v>
      </c>
      <c r="J115" s="1184" t="s">
        <v>1090</v>
      </c>
    </row>
    <row r="116" spans="1:10" ht="14.4" x14ac:dyDescent="0.4">
      <c r="A116" s="529">
        <v>2014</v>
      </c>
      <c r="B116" s="1199">
        <f>'MSW Integration Calcs PDS3'!O170</f>
        <v>341.7860216816789</v>
      </c>
      <c r="C116" s="706">
        <v>404.08731600000004</v>
      </c>
      <c r="D116" s="1200">
        <f t="shared" ref="D116:D162" si="13">IF(C116/B116&gt;1, 1, C116/B116)</f>
        <v>1</v>
      </c>
      <c r="E116" s="1199">
        <f t="shared" ref="E116:E162" si="14">B116*D116</f>
        <v>341.7860216816789</v>
      </c>
      <c r="F116" s="706">
        <v>203.73054651337733</v>
      </c>
      <c r="G116" s="1199">
        <f t="shared" ref="G116:G145" si="15">F116*$G$113</f>
        <v>227.24220299999999</v>
      </c>
      <c r="H116" s="1199">
        <f>E116-G116</f>
        <v>114.54381868167891</v>
      </c>
      <c r="I116" s="706">
        <v>0</v>
      </c>
      <c r="J116" s="1199">
        <f t="shared" ref="J116:J162" si="16">H116-I116</f>
        <v>114.54381868167891</v>
      </c>
    </row>
    <row r="117" spans="1:10" ht="14.4" x14ac:dyDescent="0.4">
      <c r="A117" s="529">
        <v>2015</v>
      </c>
      <c r="B117" s="1199">
        <f>'MSW Integration Calcs PDS3'!O171</f>
        <v>363.88533774070322</v>
      </c>
      <c r="C117" s="706">
        <v>406.92588399999994</v>
      </c>
      <c r="D117" s="1200">
        <f t="shared" si="13"/>
        <v>1</v>
      </c>
      <c r="E117" s="1199">
        <f t="shared" si="14"/>
        <v>363.88533774070322</v>
      </c>
      <c r="F117" s="706">
        <v>204.48991419160959</v>
      </c>
      <c r="G117" s="1199">
        <f t="shared" si="15"/>
        <v>228.0892060000001</v>
      </c>
      <c r="H117" s="1199">
        <f t="shared" ref="H117:H162" si="17">E117-G117</f>
        <v>135.79613174070312</v>
      </c>
      <c r="I117" s="706">
        <v>72.683198787500999</v>
      </c>
      <c r="J117" s="1199">
        <f t="shared" si="16"/>
        <v>63.112932953202119</v>
      </c>
    </row>
    <row r="118" spans="1:10" ht="14.4" x14ac:dyDescent="0.4">
      <c r="A118" s="529">
        <v>2016</v>
      </c>
      <c r="B118" s="1199">
        <f>'MSW Integration Calcs PDS3'!O172</f>
        <v>381.89999999999986</v>
      </c>
      <c r="C118" s="706">
        <v>409.34131699999995</v>
      </c>
      <c r="D118" s="1200">
        <f t="shared" si="13"/>
        <v>1</v>
      </c>
      <c r="E118" s="1199">
        <f t="shared" si="14"/>
        <v>381.89999999999986</v>
      </c>
      <c r="F118" s="706">
        <v>206.46341145396693</v>
      </c>
      <c r="G118" s="1199">
        <f t="shared" si="15"/>
        <v>230.29045599999998</v>
      </c>
      <c r="H118" s="1199">
        <f t="shared" si="17"/>
        <v>151.60954399999989</v>
      </c>
      <c r="I118" s="706">
        <v>32.543413872778956</v>
      </c>
      <c r="J118" s="1199">
        <f t="shared" si="16"/>
        <v>119.06613012722093</v>
      </c>
    </row>
    <row r="119" spans="1:10" ht="14.4" x14ac:dyDescent="0.4">
      <c r="A119" s="529">
        <v>2017</v>
      </c>
      <c r="B119" s="1199">
        <f>'MSW Integration Calcs PDS3'!O173</f>
        <v>407.98435400123185</v>
      </c>
      <c r="C119" s="706">
        <v>415.22403500000007</v>
      </c>
      <c r="D119" s="1200">
        <f t="shared" si="13"/>
        <v>1</v>
      </c>
      <c r="E119" s="1199">
        <f t="shared" si="14"/>
        <v>407.98435400123185</v>
      </c>
      <c r="F119" s="706">
        <v>209.65608848106467</v>
      </c>
      <c r="G119" s="1199">
        <f t="shared" si="15"/>
        <v>233.851586</v>
      </c>
      <c r="H119" s="1199">
        <f t="shared" si="17"/>
        <v>174.13276800123185</v>
      </c>
      <c r="I119" s="706">
        <v>32.086302423670247</v>
      </c>
      <c r="J119" s="1199">
        <f t="shared" si="16"/>
        <v>142.04646557756161</v>
      </c>
    </row>
    <row r="120" spans="1:10" ht="14.4" x14ac:dyDescent="0.4">
      <c r="A120" s="529">
        <v>2018</v>
      </c>
      <c r="B120" s="1199">
        <f>'MSW Integration Calcs PDS3'!O174</f>
        <v>415.44977691844497</v>
      </c>
      <c r="C120" s="706">
        <v>408.843143</v>
      </c>
      <c r="D120" s="1200">
        <f t="shared" si="13"/>
        <v>0.98409763517638882</v>
      </c>
      <c r="E120" s="1199">
        <f t="shared" si="14"/>
        <v>408.843143</v>
      </c>
      <c r="F120" s="706">
        <v>205.89459751022355</v>
      </c>
      <c r="G120" s="1199">
        <f t="shared" si="15"/>
        <v>229.65599771239667</v>
      </c>
      <c r="H120" s="1199">
        <f t="shared" si="17"/>
        <v>179.18714528760333</v>
      </c>
      <c r="I120" s="706">
        <v>31.623827265838372</v>
      </c>
      <c r="J120" s="1199">
        <f t="shared" si="16"/>
        <v>147.56331802176496</v>
      </c>
    </row>
    <row r="121" spans="1:10" ht="14.4" x14ac:dyDescent="0.4">
      <c r="A121" s="529">
        <v>2019</v>
      </c>
      <c r="B121" s="1199">
        <f>'MSW Integration Calcs PDS3'!O175</f>
        <v>423.20764193175285</v>
      </c>
      <c r="C121" s="706">
        <v>414.74298663357462</v>
      </c>
      <c r="D121" s="1200">
        <f t="shared" si="13"/>
        <v>0.97999881273518386</v>
      </c>
      <c r="E121" s="1199">
        <f t="shared" si="14"/>
        <v>414.74298663357462</v>
      </c>
      <c r="F121" s="706">
        <v>230.62762422491744</v>
      </c>
      <c r="G121" s="1199">
        <f t="shared" si="15"/>
        <v>257.2433554930123</v>
      </c>
      <c r="H121" s="1199">
        <f t="shared" si="17"/>
        <v>157.49963114056231</v>
      </c>
      <c r="I121" s="706">
        <v>31.150788539061352</v>
      </c>
      <c r="J121" s="1199">
        <f t="shared" si="16"/>
        <v>126.34884260150096</v>
      </c>
    </row>
    <row r="122" spans="1:10" ht="14.4" x14ac:dyDescent="0.4">
      <c r="A122" s="529">
        <v>2020</v>
      </c>
      <c r="B122" s="1199">
        <f>'MSW Integration Calcs PDS3'!O176</f>
        <v>431.35895949500411</v>
      </c>
      <c r="C122" s="706">
        <v>424.86563496218895</v>
      </c>
      <c r="D122" s="1200">
        <f t="shared" si="13"/>
        <v>0.98494681890827773</v>
      </c>
      <c r="E122" s="1199">
        <f t="shared" si="14"/>
        <v>424.86563496218895</v>
      </c>
      <c r="F122" s="706">
        <v>239.14944488470735</v>
      </c>
      <c r="G122" s="1199">
        <f t="shared" si="15"/>
        <v>266.74864241950871</v>
      </c>
      <c r="H122" s="1199">
        <f t="shared" si="17"/>
        <v>158.11699254268024</v>
      </c>
      <c r="I122" s="706">
        <v>30.670628419755417</v>
      </c>
      <c r="J122" s="1199">
        <f t="shared" si="16"/>
        <v>127.44636412292482</v>
      </c>
    </row>
    <row r="123" spans="1:10" ht="14.4" x14ac:dyDescent="0.4">
      <c r="A123" s="529">
        <v>2021</v>
      </c>
      <c r="B123" s="1199">
        <f>'MSW Integration Calcs PDS3'!O177</f>
        <v>439.28218533793995</v>
      </c>
      <c r="C123" s="706">
        <v>435.00883978153735</v>
      </c>
      <c r="D123" s="1200">
        <f t="shared" si="13"/>
        <v>0.99027198074714751</v>
      </c>
      <c r="E123" s="1199">
        <f t="shared" si="14"/>
        <v>435.00883978153735</v>
      </c>
      <c r="F123" s="706">
        <v>248.63788332164944</v>
      </c>
      <c r="G123" s="1199">
        <f t="shared" si="15"/>
        <v>277.33210027765085</v>
      </c>
      <c r="H123" s="1199">
        <f t="shared" si="17"/>
        <v>157.67673950388649</v>
      </c>
      <c r="I123" s="706">
        <v>29.959476074754036</v>
      </c>
      <c r="J123" s="1199">
        <f t="shared" si="16"/>
        <v>127.71726342913246</v>
      </c>
    </row>
    <row r="124" spans="1:10" ht="14.4" x14ac:dyDescent="0.4">
      <c r="A124" s="529">
        <v>2022</v>
      </c>
      <c r="B124" s="1199">
        <f>'MSW Integration Calcs PDS3'!O178</f>
        <v>447.57194574128391</v>
      </c>
      <c r="C124" s="706">
        <v>444.54089977599546</v>
      </c>
      <c r="D124" s="1200">
        <f t="shared" si="13"/>
        <v>0.99322780171069858</v>
      </c>
      <c r="E124" s="1199">
        <f t="shared" si="14"/>
        <v>444.54089977599546</v>
      </c>
      <c r="F124" s="706">
        <v>258.73580451530472</v>
      </c>
      <c r="G124" s="1199">
        <f t="shared" si="15"/>
        <v>288.59537864722978</v>
      </c>
      <c r="H124" s="1199">
        <f t="shared" si="17"/>
        <v>155.94552112876568</v>
      </c>
      <c r="I124" s="706">
        <v>29.268182113106946</v>
      </c>
      <c r="J124" s="1199">
        <f t="shared" si="16"/>
        <v>126.67733901565873</v>
      </c>
    </row>
    <row r="125" spans="1:10" ht="14.4" x14ac:dyDescent="0.4">
      <c r="A125" s="529">
        <v>2023</v>
      </c>
      <c r="B125" s="1199">
        <f>'MSW Integration Calcs PDS3'!O179</f>
        <v>456.07158944859214</v>
      </c>
      <c r="C125" s="706">
        <v>454.17772675559291</v>
      </c>
      <c r="D125" s="1200">
        <f t="shared" si="13"/>
        <v>0.99584744426792959</v>
      </c>
      <c r="E125" s="1199">
        <f t="shared" si="14"/>
        <v>454.17772675559291</v>
      </c>
      <c r="F125" s="706">
        <v>269.58488582875958</v>
      </c>
      <c r="G125" s="1199">
        <f t="shared" si="15"/>
        <v>300.69650525974652</v>
      </c>
      <c r="H125" s="1199">
        <f t="shared" si="17"/>
        <v>153.4812214958464</v>
      </c>
      <c r="I125" s="706">
        <v>28.598191574614702</v>
      </c>
      <c r="J125" s="1199">
        <f t="shared" si="16"/>
        <v>124.8830299212317</v>
      </c>
    </row>
    <row r="126" spans="1:10" ht="14.4" x14ac:dyDescent="0.4">
      <c r="A126" s="529">
        <v>2024</v>
      </c>
      <c r="B126" s="1199">
        <f>'MSW Integration Calcs PDS3'!O180</f>
        <v>464.76380921850205</v>
      </c>
      <c r="C126" s="706">
        <v>463.86975570882623</v>
      </c>
      <c r="D126" s="1200">
        <f t="shared" si="13"/>
        <v>0.99807632717534711</v>
      </c>
      <c r="E126" s="1199">
        <f t="shared" si="14"/>
        <v>463.86975570882623</v>
      </c>
      <c r="F126" s="706">
        <v>281.16008035390769</v>
      </c>
      <c r="G126" s="1199">
        <f t="shared" si="15"/>
        <v>313.60754265234232</v>
      </c>
      <c r="H126" s="1199">
        <f t="shared" si="17"/>
        <v>150.26221305648392</v>
      </c>
      <c r="I126" s="706">
        <v>27.952545451421543</v>
      </c>
      <c r="J126" s="1199">
        <f t="shared" si="16"/>
        <v>122.30966760506237</v>
      </c>
    </row>
    <row r="127" spans="1:10" ht="14.4" x14ac:dyDescent="0.4">
      <c r="A127" s="529">
        <v>2025</v>
      </c>
      <c r="B127" s="1199">
        <f>'MSW Integration Calcs PDS3'!O181</f>
        <v>474.45456454294197</v>
      </c>
      <c r="C127" s="706">
        <v>474.09423178165162</v>
      </c>
      <c r="D127" s="1200">
        <f t="shared" si="13"/>
        <v>0.99924053262795043</v>
      </c>
      <c r="E127" s="1199">
        <f t="shared" si="14"/>
        <v>474.09423178165162</v>
      </c>
      <c r="F127" s="706">
        <v>294.38527059661158</v>
      </c>
      <c r="G127" s="1199">
        <f t="shared" si="15"/>
        <v>328.35899459354056</v>
      </c>
      <c r="H127" s="1199">
        <f t="shared" si="17"/>
        <v>145.73523718811106</v>
      </c>
      <c r="I127" s="706">
        <v>27.329133095626617</v>
      </c>
      <c r="J127" s="1199">
        <f t="shared" si="16"/>
        <v>118.40610409248444</v>
      </c>
    </row>
    <row r="128" spans="1:10" ht="14.4" x14ac:dyDescent="0.4">
      <c r="A128" s="529">
        <v>2026</v>
      </c>
      <c r="B128" s="1199">
        <f>'MSW Integration Calcs PDS3'!O182</f>
        <v>484.32983940790632</v>
      </c>
      <c r="C128" s="706">
        <v>484.60969596594623</v>
      </c>
      <c r="D128" s="1200">
        <f t="shared" si="13"/>
        <v>1</v>
      </c>
      <c r="E128" s="1199">
        <f t="shared" si="14"/>
        <v>484.32983940790632</v>
      </c>
      <c r="F128" s="706">
        <v>306.46543391614011</v>
      </c>
      <c r="G128" s="1199">
        <f t="shared" si="15"/>
        <v>341.83327703330821</v>
      </c>
      <c r="H128" s="1199">
        <f t="shared" si="17"/>
        <v>142.49656237459811</v>
      </c>
      <c r="I128" s="706">
        <v>26.611407194363096</v>
      </c>
      <c r="J128" s="1199">
        <f t="shared" si="16"/>
        <v>115.88515518023502</v>
      </c>
    </row>
    <row r="129" spans="1:10" ht="14.4" x14ac:dyDescent="0.4">
      <c r="A129" s="529">
        <v>2027</v>
      </c>
      <c r="B129" s="1199">
        <f>'MSW Integration Calcs PDS3'!O183</f>
        <v>495.98162236023802</v>
      </c>
      <c r="C129" s="706">
        <v>495.41509035042276</v>
      </c>
      <c r="D129" s="1200">
        <f t="shared" si="13"/>
        <v>0.99885775604523552</v>
      </c>
      <c r="E129" s="1199">
        <f t="shared" si="14"/>
        <v>495.41509035042276</v>
      </c>
      <c r="F129" s="706">
        <v>320.20754490964924</v>
      </c>
      <c r="G129" s="1199">
        <f t="shared" si="15"/>
        <v>357.161305301423</v>
      </c>
      <c r="H129" s="1199">
        <f t="shared" si="17"/>
        <v>138.25378504899976</v>
      </c>
      <c r="I129" s="706">
        <v>19.772939173430586</v>
      </c>
      <c r="J129" s="1199">
        <f t="shared" si="16"/>
        <v>118.48084587556917</v>
      </c>
    </row>
    <row r="130" spans="1:10" ht="14.4" x14ac:dyDescent="0.4">
      <c r="A130" s="529">
        <v>2028</v>
      </c>
      <c r="B130" s="1199">
        <f>'MSW Integration Calcs PDS3'!O184</f>
        <v>507.81399693935202</v>
      </c>
      <c r="C130" s="706">
        <v>506.50122051119558</v>
      </c>
      <c r="D130" s="1200">
        <f t="shared" si="13"/>
        <v>0.99741484788511403</v>
      </c>
      <c r="E130" s="1199">
        <f t="shared" si="14"/>
        <v>506.50122051119558</v>
      </c>
      <c r="F130" s="706">
        <v>329.084</v>
      </c>
      <c r="G130" s="1199">
        <f t="shared" si="15"/>
        <v>367.06215347604581</v>
      </c>
      <c r="H130" s="1199">
        <f t="shared" si="17"/>
        <v>139.43906703514978</v>
      </c>
      <c r="I130" s="706">
        <v>9.3189159346392216</v>
      </c>
      <c r="J130" s="1199">
        <f t="shared" si="16"/>
        <v>130.12015110051055</v>
      </c>
    </row>
    <row r="131" spans="1:10" ht="14.4" x14ac:dyDescent="0.4">
      <c r="A131" s="529">
        <v>2029</v>
      </c>
      <c r="B131" s="1199">
        <f>'MSW Integration Calcs PDS3'!O185</f>
        <v>519.82222543678756</v>
      </c>
      <c r="C131" s="706">
        <v>517.85417053637252</v>
      </c>
      <c r="D131" s="1200">
        <f t="shared" si="13"/>
        <v>0.99621398469686173</v>
      </c>
      <c r="E131" s="1199">
        <f t="shared" si="14"/>
        <v>517.85417053637252</v>
      </c>
      <c r="F131" s="706">
        <v>335.14300000000003</v>
      </c>
      <c r="G131" s="1199">
        <f t="shared" si="15"/>
        <v>373.82039631954888</v>
      </c>
      <c r="H131" s="1199">
        <f t="shared" si="17"/>
        <v>144.03377421682364</v>
      </c>
      <c r="I131" s="706">
        <v>4.4534575311784579</v>
      </c>
      <c r="J131" s="1199">
        <f t="shared" si="16"/>
        <v>139.58031668564519</v>
      </c>
    </row>
    <row r="132" spans="1:10" ht="14.4" x14ac:dyDescent="0.4">
      <c r="A132" s="529">
        <v>2030</v>
      </c>
      <c r="B132" s="1199">
        <f>'MSW Integration Calcs PDS3'!O186</f>
        <v>532.61409006144595</v>
      </c>
      <c r="C132" s="706">
        <v>529.5753875852597</v>
      </c>
      <c r="D132" s="1200">
        <f t="shared" si="13"/>
        <v>0.9942947388495943</v>
      </c>
      <c r="E132" s="1199">
        <f t="shared" si="14"/>
        <v>529.5753875852597</v>
      </c>
      <c r="F132" s="706">
        <v>341.64</v>
      </c>
      <c r="G132" s="1199">
        <f t="shared" si="15"/>
        <v>381.06718683848584</v>
      </c>
      <c r="H132" s="1199">
        <f t="shared" si="17"/>
        <v>148.50820074677387</v>
      </c>
      <c r="I132" s="706">
        <v>0</v>
      </c>
      <c r="J132" s="1199">
        <f t="shared" si="16"/>
        <v>148.50820074677387</v>
      </c>
    </row>
    <row r="133" spans="1:10" ht="14.4" x14ac:dyDescent="0.4">
      <c r="A133" s="529">
        <v>2031</v>
      </c>
      <c r="B133" s="1199">
        <f>'MSW Integration Calcs PDS3'!O187</f>
        <v>544.34554260920549</v>
      </c>
      <c r="C133" s="706">
        <v>541.34905474398454</v>
      </c>
      <c r="D133" s="1200">
        <f t="shared" si="13"/>
        <v>0.99449524680434065</v>
      </c>
      <c r="E133" s="1199">
        <f t="shared" si="14"/>
        <v>541.34905474398454</v>
      </c>
      <c r="F133" s="706">
        <v>348.57499999999999</v>
      </c>
      <c r="G133" s="1199">
        <f t="shared" si="15"/>
        <v>388.80252503285681</v>
      </c>
      <c r="H133" s="1199">
        <f t="shared" si="17"/>
        <v>152.54652971112773</v>
      </c>
      <c r="I133" s="706">
        <v>0</v>
      </c>
      <c r="J133" s="1199">
        <f t="shared" si="16"/>
        <v>152.54652971112773</v>
      </c>
    </row>
    <row r="134" spans="1:10" ht="14.4" x14ac:dyDescent="0.4">
      <c r="A134" s="529">
        <v>2032</v>
      </c>
      <c r="B134" s="1199">
        <f>'MSW Integration Calcs PDS3'!O188</f>
        <v>556.65870601986512</v>
      </c>
      <c r="C134" s="706">
        <v>553.43367037320627</v>
      </c>
      <c r="D134" s="1200">
        <f t="shared" si="13"/>
        <v>0.99420643993926183</v>
      </c>
      <c r="E134" s="1199">
        <f t="shared" si="14"/>
        <v>553.43367037320627</v>
      </c>
      <c r="F134" s="706">
        <v>355.94800000000004</v>
      </c>
      <c r="G134" s="1199">
        <f t="shared" si="15"/>
        <v>397.02641090266178</v>
      </c>
      <c r="H134" s="1199">
        <f t="shared" si="17"/>
        <v>156.40725947054449</v>
      </c>
      <c r="I134" s="706">
        <v>0</v>
      </c>
      <c r="J134" s="1199">
        <f t="shared" si="16"/>
        <v>156.40725947054449</v>
      </c>
    </row>
    <row r="135" spans="1:10" ht="14.4" x14ac:dyDescent="0.4">
      <c r="A135" s="529">
        <v>2033</v>
      </c>
      <c r="B135" s="1199">
        <f>'MSW Integration Calcs PDS3'!O189</f>
        <v>569.13221579045978</v>
      </c>
      <c r="C135" s="706">
        <v>565.67615347742219</v>
      </c>
      <c r="D135" s="1200">
        <f t="shared" si="13"/>
        <v>0.99392748781891127</v>
      </c>
      <c r="E135" s="1199">
        <f t="shared" si="14"/>
        <v>565.67615347742219</v>
      </c>
      <c r="F135" s="706">
        <v>363.75900000000001</v>
      </c>
      <c r="G135" s="1199">
        <f t="shared" si="15"/>
        <v>405.73884444790065</v>
      </c>
      <c r="H135" s="1199">
        <f t="shared" si="17"/>
        <v>159.93730902952154</v>
      </c>
      <c r="I135" s="706">
        <v>0</v>
      </c>
      <c r="J135" s="1199">
        <f t="shared" si="16"/>
        <v>159.93730902952154</v>
      </c>
    </row>
    <row r="136" spans="1:10" ht="14.4" x14ac:dyDescent="0.4">
      <c r="A136" s="529">
        <v>2034</v>
      </c>
      <c r="B136" s="1199">
        <f>'MSW Integration Calcs PDS3'!O190</f>
        <v>581.77032351164064</v>
      </c>
      <c r="C136" s="706">
        <v>578.04232088820231</v>
      </c>
      <c r="D136" s="1200">
        <f t="shared" si="13"/>
        <v>0.99359196838894148</v>
      </c>
      <c r="E136" s="1199">
        <f t="shared" si="14"/>
        <v>578.04232088820231</v>
      </c>
      <c r="F136" s="706">
        <v>372.00799999999998</v>
      </c>
      <c r="G136" s="1199">
        <f t="shared" si="15"/>
        <v>414.93982566857346</v>
      </c>
      <c r="H136" s="1199">
        <f t="shared" si="17"/>
        <v>163.10249521962885</v>
      </c>
      <c r="I136" s="706">
        <v>0</v>
      </c>
      <c r="J136" s="1199">
        <f t="shared" si="16"/>
        <v>163.10249521962885</v>
      </c>
    </row>
    <row r="137" spans="1:10" ht="14.4" x14ac:dyDescent="0.4">
      <c r="A137" s="529">
        <v>2035</v>
      </c>
      <c r="B137" s="1199">
        <f>'MSW Integration Calcs PDS3'!O191</f>
        <v>594.60169845937162</v>
      </c>
      <c r="C137" s="706">
        <v>590.49284513009445</v>
      </c>
      <c r="D137" s="1200">
        <f t="shared" si="13"/>
        <v>0.99308973832411962</v>
      </c>
      <c r="E137" s="1199">
        <f t="shared" si="14"/>
        <v>590.49284513009445</v>
      </c>
      <c r="F137" s="706">
        <v>380.69499999999999</v>
      </c>
      <c r="G137" s="1199">
        <f t="shared" si="15"/>
        <v>424.62935456468028</v>
      </c>
      <c r="H137" s="1199">
        <f t="shared" si="17"/>
        <v>165.86349056541417</v>
      </c>
      <c r="I137" s="706">
        <v>0</v>
      </c>
      <c r="J137" s="1199">
        <f t="shared" si="16"/>
        <v>165.86349056541417</v>
      </c>
    </row>
    <row r="138" spans="1:10" ht="14.4" x14ac:dyDescent="0.4">
      <c r="A138" s="529">
        <v>2036</v>
      </c>
      <c r="B138" s="1199">
        <f>'MSW Integration Calcs PDS3'!O192</f>
        <v>607.54040466866979</v>
      </c>
      <c r="C138" s="706">
        <v>602.98378988232821</v>
      </c>
      <c r="D138" s="1200">
        <f t="shared" si="13"/>
        <v>0.99249989835848595</v>
      </c>
      <c r="E138" s="1199">
        <f t="shared" si="14"/>
        <v>602.98378988232821</v>
      </c>
      <c r="F138" s="706">
        <v>389.82</v>
      </c>
      <c r="G138" s="1199">
        <f t="shared" si="15"/>
        <v>434.80743113622106</v>
      </c>
      <c r="H138" s="1199">
        <f t="shared" si="17"/>
        <v>168.17635874610716</v>
      </c>
      <c r="I138" s="706">
        <v>0</v>
      </c>
      <c r="J138" s="1199">
        <f t="shared" si="16"/>
        <v>168.17635874610716</v>
      </c>
    </row>
    <row r="139" spans="1:10" ht="14.4" x14ac:dyDescent="0.4">
      <c r="A139" s="529">
        <v>2037</v>
      </c>
      <c r="B139" s="1199">
        <f>'MSW Integration Calcs PDS3'!O193</f>
        <v>620.67063187609983</v>
      </c>
      <c r="C139" s="706">
        <v>615.46723432447584</v>
      </c>
      <c r="D139" s="1200">
        <f t="shared" si="13"/>
        <v>0.9916164914458806</v>
      </c>
      <c r="E139" s="1199">
        <f t="shared" si="14"/>
        <v>615.46723432447584</v>
      </c>
      <c r="F139" s="706">
        <v>399.38299999999998</v>
      </c>
      <c r="G139" s="1199">
        <f t="shared" si="15"/>
        <v>445.47405538319572</v>
      </c>
      <c r="H139" s="1199">
        <f t="shared" si="17"/>
        <v>169.99317894128012</v>
      </c>
      <c r="I139" s="706">
        <v>0</v>
      </c>
      <c r="J139" s="1199">
        <f t="shared" si="16"/>
        <v>169.99317894128012</v>
      </c>
    </row>
    <row r="140" spans="1:10" ht="14.4" x14ac:dyDescent="0.4">
      <c r="A140" s="529">
        <v>2038</v>
      </c>
      <c r="B140" s="1199">
        <f>'MSW Integration Calcs PDS3'!O194</f>
        <v>633.96296385951007</v>
      </c>
      <c r="C140" s="706">
        <v>627.89500953747279</v>
      </c>
      <c r="D140" s="1200">
        <f t="shared" si="13"/>
        <v>0.99042853499659333</v>
      </c>
      <c r="E140" s="1199">
        <f t="shared" si="14"/>
        <v>627.89500953747279</v>
      </c>
      <c r="F140" s="706">
        <v>409.38399999999996</v>
      </c>
      <c r="G140" s="1199">
        <f t="shared" si="15"/>
        <v>456.62922730560439</v>
      </c>
      <c r="H140" s="1199">
        <f t="shared" si="17"/>
        <v>171.2657822318684</v>
      </c>
      <c r="I140" s="706">
        <v>0</v>
      </c>
      <c r="J140" s="1199">
        <f t="shared" si="16"/>
        <v>171.2657822318684</v>
      </c>
    </row>
    <row r="141" spans="1:10" ht="14.4" x14ac:dyDescent="0.4">
      <c r="A141" s="529">
        <v>2039</v>
      </c>
      <c r="B141" s="1199">
        <f>'MSW Integration Calcs PDS3'!O195</f>
        <v>647.41200442224579</v>
      </c>
      <c r="C141" s="706">
        <v>640.22067145497829</v>
      </c>
      <c r="D141" s="1200">
        <f t="shared" si="13"/>
        <v>0.98889218470132467</v>
      </c>
      <c r="E141" s="1199">
        <f t="shared" si="14"/>
        <v>640.22067145497829</v>
      </c>
      <c r="F141" s="706">
        <v>419.82299999999998</v>
      </c>
      <c r="G141" s="1199">
        <f t="shared" si="15"/>
        <v>468.27294690344701</v>
      </c>
      <c r="H141" s="1199">
        <f t="shared" si="17"/>
        <v>171.94772455153128</v>
      </c>
      <c r="I141" s="706">
        <v>0</v>
      </c>
      <c r="J141" s="1199">
        <f t="shared" si="16"/>
        <v>171.94772455153128</v>
      </c>
    </row>
    <row r="142" spans="1:10" ht="14.4" x14ac:dyDescent="0.4">
      <c r="A142" s="529">
        <v>2040</v>
      </c>
      <c r="B142" s="1199">
        <f>'MSW Integration Calcs PDS3'!O196</f>
        <v>660.25436152424447</v>
      </c>
      <c r="C142" s="706">
        <v>652.40480941635178</v>
      </c>
      <c r="D142" s="1200">
        <f t="shared" si="13"/>
        <v>0.98811132108272415</v>
      </c>
      <c r="E142" s="1199">
        <f t="shared" si="14"/>
        <v>652.40480941635178</v>
      </c>
      <c r="F142" s="706">
        <v>430.7</v>
      </c>
      <c r="G142" s="1199">
        <f t="shared" si="15"/>
        <v>480.40521417672363</v>
      </c>
      <c r="H142" s="1199">
        <f t="shared" si="17"/>
        <v>171.99959523962815</v>
      </c>
      <c r="I142" s="706">
        <v>0</v>
      </c>
      <c r="J142" s="1199">
        <f t="shared" si="16"/>
        <v>171.99959523962815</v>
      </c>
    </row>
    <row r="143" spans="1:10" ht="14.4" x14ac:dyDescent="0.4">
      <c r="A143" s="529">
        <v>2041</v>
      </c>
      <c r="B143" s="1199">
        <f>'MSW Integration Calcs PDS3'!O197</f>
        <v>674.74062574692744</v>
      </c>
      <c r="C143" s="706">
        <v>664.41938351539886</v>
      </c>
      <c r="D143" s="1200">
        <f t="shared" si="13"/>
        <v>0.9847033929221275</v>
      </c>
      <c r="E143" s="1199">
        <f t="shared" si="14"/>
        <v>664.41938351539886</v>
      </c>
      <c r="F143" s="706">
        <v>442.01499999999999</v>
      </c>
      <c r="G143" s="1199">
        <f t="shared" si="15"/>
        <v>493.02602912543415</v>
      </c>
      <c r="H143" s="1199">
        <f t="shared" si="17"/>
        <v>171.39335438996471</v>
      </c>
      <c r="I143" s="706">
        <v>0</v>
      </c>
      <c r="J143" s="1199">
        <f t="shared" si="16"/>
        <v>171.39335438996471</v>
      </c>
    </row>
    <row r="144" spans="1:10" ht="14.4" x14ac:dyDescent="0.4">
      <c r="A144" s="529">
        <v>2042</v>
      </c>
      <c r="B144" s="1199">
        <f>'MSW Integration Calcs PDS3'!O198</f>
        <v>688.36579001756627</v>
      </c>
      <c r="C144" s="706">
        <v>676.24735064553647</v>
      </c>
      <c r="D144" s="1200">
        <f t="shared" si="13"/>
        <v>0.98239534917660487</v>
      </c>
      <c r="E144" s="1199">
        <f t="shared" si="14"/>
        <v>676.24735064553647</v>
      </c>
      <c r="F144" s="706">
        <v>453.76800000000003</v>
      </c>
      <c r="G144" s="1199">
        <f t="shared" si="15"/>
        <v>506.13539174957867</v>
      </c>
      <c r="H144" s="1199">
        <f t="shared" si="17"/>
        <v>170.1119588959578</v>
      </c>
      <c r="I144" s="706">
        <v>0</v>
      </c>
      <c r="J144" s="1199">
        <f t="shared" si="16"/>
        <v>170.1119588959578</v>
      </c>
    </row>
    <row r="145" spans="1:10" ht="14.4" x14ac:dyDescent="0.4">
      <c r="A145" s="529">
        <v>2043</v>
      </c>
      <c r="B145" s="1199">
        <f>'MSW Integration Calcs PDS3'!O199</f>
        <v>702.13968972548719</v>
      </c>
      <c r="C145" s="706">
        <v>687.88010807954925</v>
      </c>
      <c r="D145" s="1200">
        <f t="shared" si="13"/>
        <v>0.97969124683506648</v>
      </c>
      <c r="E145" s="1199">
        <f t="shared" si="14"/>
        <v>687.88010807954925</v>
      </c>
      <c r="F145" s="706">
        <v>465.95899999999995</v>
      </c>
      <c r="G145" s="1199">
        <f t="shared" si="15"/>
        <v>519.73330204915703</v>
      </c>
      <c r="H145" s="1199">
        <f t="shared" si="17"/>
        <v>168.14680603039221</v>
      </c>
      <c r="I145" s="706">
        <v>0</v>
      </c>
      <c r="J145" s="1199">
        <f t="shared" si="16"/>
        <v>168.14680603039221</v>
      </c>
    </row>
    <row r="146" spans="1:10" ht="14.4" x14ac:dyDescent="0.4">
      <c r="A146" s="529">
        <v>2044</v>
      </c>
      <c r="B146" s="1199">
        <f>'MSW Integration Calcs PDS3'!O200</f>
        <v>716.062938568753</v>
      </c>
      <c r="C146" s="706">
        <v>699.32011372535237</v>
      </c>
      <c r="D146" s="1200">
        <f t="shared" si="13"/>
        <v>0.97661822174896284</v>
      </c>
      <c r="E146" s="1199">
        <f t="shared" si="14"/>
        <v>699.32011372535237</v>
      </c>
      <c r="F146" s="706">
        <v>478.58800000000002</v>
      </c>
      <c r="G146" s="1199">
        <f t="shared" ref="G146:G162" si="18">F146*$G$113</f>
        <v>533.81976002416957</v>
      </c>
      <c r="H146" s="1199">
        <f t="shared" si="17"/>
        <v>165.5003537011828</v>
      </c>
      <c r="I146" s="706">
        <v>0</v>
      </c>
      <c r="J146" s="1199">
        <f t="shared" si="16"/>
        <v>165.5003537011828</v>
      </c>
    </row>
    <row r="147" spans="1:10" ht="14.4" x14ac:dyDescent="0.4">
      <c r="A147" s="529">
        <v>2045</v>
      </c>
      <c r="B147" s="1199">
        <f>'MSW Integration Calcs PDS3'!O201</f>
        <v>730.16014319301701</v>
      </c>
      <c r="C147" s="706">
        <v>710.58087292819198</v>
      </c>
      <c r="D147" s="1200">
        <f t="shared" si="13"/>
        <v>0.97318496435699142</v>
      </c>
      <c r="E147" s="1199">
        <f t="shared" si="14"/>
        <v>710.58087292819198</v>
      </c>
      <c r="F147" s="706">
        <v>491.65499999999997</v>
      </c>
      <c r="G147" s="1199">
        <f t="shared" si="18"/>
        <v>548.39476567461588</v>
      </c>
      <c r="H147" s="1199">
        <f t="shared" si="17"/>
        <v>162.1861072535761</v>
      </c>
      <c r="I147" s="706">
        <v>0</v>
      </c>
      <c r="J147" s="1199">
        <f t="shared" si="16"/>
        <v>162.1861072535761</v>
      </c>
    </row>
    <row r="148" spans="1:10" ht="14.4" x14ac:dyDescent="0.4">
      <c r="A148" s="529">
        <v>2046</v>
      </c>
      <c r="B148" s="1199">
        <f>'MSW Integration Calcs PDS3'!O202</f>
        <v>744.33581629264359</v>
      </c>
      <c r="C148" s="706">
        <v>721.68660694963353</v>
      </c>
      <c r="D148" s="1200">
        <f t="shared" si="13"/>
        <v>0.96957124882714862</v>
      </c>
      <c r="E148" s="1199">
        <f t="shared" si="14"/>
        <v>721.68660694963353</v>
      </c>
      <c r="F148" s="706">
        <v>505.15999999999997</v>
      </c>
      <c r="G148" s="1199">
        <f t="shared" si="18"/>
        <v>563.4583190004962</v>
      </c>
      <c r="H148" s="1199">
        <f t="shared" si="17"/>
        <v>158.22828794913733</v>
      </c>
      <c r="I148" s="706">
        <v>0</v>
      </c>
      <c r="J148" s="1199">
        <f t="shared" si="16"/>
        <v>158.22828794913733</v>
      </c>
    </row>
    <row r="149" spans="1:10" ht="14.4" x14ac:dyDescent="0.4">
      <c r="A149" s="529">
        <v>2047</v>
      </c>
      <c r="B149" s="1199">
        <f>'MSW Integration Calcs PDS3'!O203</f>
        <v>758.59459111571744</v>
      </c>
      <c r="C149" s="706">
        <v>732.67074481100497</v>
      </c>
      <c r="D149" s="1200">
        <f t="shared" si="13"/>
        <v>0.96582648148521011</v>
      </c>
      <c r="E149" s="1199">
        <f t="shared" si="14"/>
        <v>732.67074481100497</v>
      </c>
      <c r="F149" s="706">
        <v>519.10299999999995</v>
      </c>
      <c r="G149" s="1199">
        <f t="shared" si="18"/>
        <v>579.01042000181042</v>
      </c>
      <c r="H149" s="1199">
        <f t="shared" si="17"/>
        <v>153.66032480919455</v>
      </c>
      <c r="I149" s="706">
        <v>0</v>
      </c>
      <c r="J149" s="1199">
        <f t="shared" si="16"/>
        <v>153.66032480919455</v>
      </c>
    </row>
    <row r="150" spans="1:10" ht="14.4" x14ac:dyDescent="0.4">
      <c r="A150" s="529">
        <v>2048</v>
      </c>
      <c r="B150" s="1199">
        <f>'MSW Integration Calcs PDS3'!O204</f>
        <v>772.94968454845889</v>
      </c>
      <c r="C150" s="706">
        <v>743.57402231909225</v>
      </c>
      <c r="D150" s="1200">
        <f t="shared" si="13"/>
        <v>0.96199537587426887</v>
      </c>
      <c r="E150" s="1199">
        <f t="shared" si="14"/>
        <v>743.57402231909225</v>
      </c>
      <c r="F150" s="706">
        <v>533.48399999999992</v>
      </c>
      <c r="G150" s="1199">
        <f t="shared" si="18"/>
        <v>595.05106867855864</v>
      </c>
      <c r="H150" s="1199">
        <f t="shared" si="17"/>
        <v>148.52295364053361</v>
      </c>
      <c r="I150" s="706">
        <v>0</v>
      </c>
      <c r="J150" s="1199">
        <f t="shared" si="16"/>
        <v>148.52295364053361</v>
      </c>
    </row>
    <row r="151" spans="1:10" ht="14.4" x14ac:dyDescent="0.4">
      <c r="A151" s="529">
        <v>2049</v>
      </c>
      <c r="B151" s="1199">
        <f>'MSW Integration Calcs PDS3'!O205</f>
        <v>787.39725147288448</v>
      </c>
      <c r="C151" s="706">
        <v>754.44304206296385</v>
      </c>
      <c r="D151" s="1200">
        <f t="shared" si="13"/>
        <v>0.95814792425516171</v>
      </c>
      <c r="E151" s="1199">
        <f t="shared" si="14"/>
        <v>754.44304206296385</v>
      </c>
      <c r="F151" s="706">
        <v>548.303</v>
      </c>
      <c r="G151" s="1199">
        <f t="shared" si="18"/>
        <v>611.58026503074086</v>
      </c>
      <c r="H151" s="1199">
        <f t="shared" si="17"/>
        <v>142.86277703222299</v>
      </c>
      <c r="I151" s="706">
        <v>0</v>
      </c>
      <c r="J151" s="1199">
        <f t="shared" si="16"/>
        <v>142.86277703222299</v>
      </c>
    </row>
    <row r="152" spans="1:10" ht="14.4" x14ac:dyDescent="0.4">
      <c r="A152" s="529">
        <v>2050</v>
      </c>
      <c r="B152" s="1199">
        <f>'MSW Integration Calcs PDS3'!O206</f>
        <v>801.77660768089561</v>
      </c>
      <c r="C152" s="706">
        <v>765.27987240923528</v>
      </c>
      <c r="D152" s="1200">
        <f t="shared" si="13"/>
        <v>0.95448016951102432</v>
      </c>
      <c r="E152" s="1199">
        <f t="shared" si="14"/>
        <v>765.27987240923528</v>
      </c>
      <c r="F152" s="706">
        <v>563.55999999999995</v>
      </c>
      <c r="G152" s="1199">
        <f t="shared" si="18"/>
        <v>628.59800905835698</v>
      </c>
      <c r="H152" s="1199">
        <f t="shared" si="17"/>
        <v>136.6818633508783</v>
      </c>
      <c r="I152" s="706">
        <v>0</v>
      </c>
      <c r="J152" s="1199">
        <f t="shared" si="16"/>
        <v>136.6818633508783</v>
      </c>
    </row>
    <row r="153" spans="1:10" ht="14.4" x14ac:dyDescent="0.4">
      <c r="A153" s="529">
        <v>2051</v>
      </c>
      <c r="B153" s="1199">
        <f>'MSW Integration Calcs PDS3'!O207</f>
        <v>816.5558508814712</v>
      </c>
      <c r="C153" s="706">
        <v>770.98974869333063</v>
      </c>
      <c r="D153" s="1200">
        <f t="shared" si="13"/>
        <v>0.9441972007928765</v>
      </c>
      <c r="E153" s="1199">
        <f t="shared" si="14"/>
        <v>770.98974869333063</v>
      </c>
      <c r="F153" s="706">
        <v>579.255</v>
      </c>
      <c r="G153" s="1199">
        <f t="shared" si="18"/>
        <v>646.1043007614071</v>
      </c>
      <c r="H153" s="1199">
        <f t="shared" si="17"/>
        <v>124.88544793192352</v>
      </c>
      <c r="I153" s="706">
        <v>0</v>
      </c>
      <c r="J153" s="1199">
        <f t="shared" si="16"/>
        <v>124.88544793192352</v>
      </c>
    </row>
    <row r="154" spans="1:10" ht="14.4" x14ac:dyDescent="0.4">
      <c r="A154" s="529">
        <v>2052</v>
      </c>
      <c r="B154" s="1199">
        <f>'MSW Integration Calcs PDS3'!O208</f>
        <v>831.26104015165879</v>
      </c>
      <c r="C154" s="706">
        <v>779.89526650228277</v>
      </c>
      <c r="D154" s="1200">
        <f t="shared" si="13"/>
        <v>0.93820740878219844</v>
      </c>
      <c r="E154" s="1199">
        <f t="shared" si="14"/>
        <v>779.89526650228277</v>
      </c>
      <c r="F154" s="706">
        <v>595.38800000000003</v>
      </c>
      <c r="G154" s="1199">
        <f t="shared" si="18"/>
        <v>664.09914013989123</v>
      </c>
      <c r="H154" s="1199">
        <f t="shared" si="17"/>
        <v>115.79612636239153</v>
      </c>
      <c r="I154" s="706">
        <v>0</v>
      </c>
      <c r="J154" s="1199">
        <f t="shared" si="16"/>
        <v>115.79612636239153</v>
      </c>
    </row>
    <row r="155" spans="1:10" ht="14.4" x14ac:dyDescent="0.4">
      <c r="A155" s="529">
        <v>2053</v>
      </c>
      <c r="B155" s="1199">
        <f>'MSW Integration Calcs PDS3'!O209</f>
        <v>846.0461487596823</v>
      </c>
      <c r="C155" s="706">
        <v>788.65304314376851</v>
      </c>
      <c r="D155" s="1200">
        <f t="shared" si="13"/>
        <v>0.93216315008341677</v>
      </c>
      <c r="E155" s="1199">
        <f t="shared" si="14"/>
        <v>788.65304314376851</v>
      </c>
      <c r="F155" s="706">
        <v>611.95899999999995</v>
      </c>
      <c r="G155" s="1199">
        <f t="shared" si="18"/>
        <v>682.58252719380914</v>
      </c>
      <c r="H155" s="1199">
        <f t="shared" si="17"/>
        <v>106.07051594995937</v>
      </c>
      <c r="I155" s="706">
        <v>0</v>
      </c>
      <c r="J155" s="1199">
        <f t="shared" si="16"/>
        <v>106.07051594995937</v>
      </c>
    </row>
    <row r="156" spans="1:10" ht="14.4" x14ac:dyDescent="0.4">
      <c r="A156" s="529">
        <v>2054</v>
      </c>
      <c r="B156" s="1199">
        <f>'MSW Integration Calcs PDS3'!O210</f>
        <v>860.90820063655599</v>
      </c>
      <c r="C156" s="706">
        <v>797.29985723244988</v>
      </c>
      <c r="D156" s="1200">
        <f t="shared" si="13"/>
        <v>0.92611483621938551</v>
      </c>
      <c r="E156" s="1199">
        <f t="shared" si="14"/>
        <v>797.29985723244988</v>
      </c>
      <c r="F156" s="706">
        <v>628.96799999999996</v>
      </c>
      <c r="G156" s="1199">
        <f t="shared" si="18"/>
        <v>701.55446192316106</v>
      </c>
      <c r="H156" s="1199">
        <f t="shared" si="17"/>
        <v>95.745395309288824</v>
      </c>
      <c r="I156" s="706">
        <v>0</v>
      </c>
      <c r="J156" s="1199">
        <f t="shared" si="16"/>
        <v>95.745395309288824</v>
      </c>
    </row>
    <row r="157" spans="1:10" ht="14.4" x14ac:dyDescent="0.4">
      <c r="A157" s="529">
        <v>2055</v>
      </c>
      <c r="B157" s="1199">
        <f>'MSW Integration Calcs PDS3'!O211</f>
        <v>875.84459399766547</v>
      </c>
      <c r="C157" s="706">
        <v>805.8701617764026</v>
      </c>
      <c r="D157" s="1200">
        <f t="shared" si="13"/>
        <v>0.92010633769870664</v>
      </c>
      <c r="E157" s="1199">
        <f t="shared" si="14"/>
        <v>805.8701617764026</v>
      </c>
      <c r="F157" s="706">
        <v>646.41499999999996</v>
      </c>
      <c r="G157" s="1199">
        <f t="shared" si="18"/>
        <v>721.01494432794698</v>
      </c>
      <c r="H157" s="1199">
        <f t="shared" si="17"/>
        <v>84.855217448455619</v>
      </c>
      <c r="I157" s="706">
        <v>0</v>
      </c>
      <c r="J157" s="1199">
        <f t="shared" si="16"/>
        <v>84.855217448455619</v>
      </c>
    </row>
    <row r="158" spans="1:10" ht="14.4" x14ac:dyDescent="0.4">
      <c r="A158" s="529">
        <v>2056</v>
      </c>
      <c r="B158" s="1199">
        <f>'MSW Integration Calcs PDS3'!O212</f>
        <v>890.85300987809399</v>
      </c>
      <c r="C158" s="706">
        <v>814.3953438896981</v>
      </c>
      <c r="D158" s="1200">
        <f t="shared" si="13"/>
        <v>0.91417476829442545</v>
      </c>
      <c r="E158" s="1199">
        <f t="shared" si="14"/>
        <v>814.3953438896981</v>
      </c>
      <c r="F158" s="706">
        <v>664.3</v>
      </c>
      <c r="G158" s="1199">
        <f t="shared" si="18"/>
        <v>740.96397440816691</v>
      </c>
      <c r="H158" s="1199">
        <f t="shared" si="17"/>
        <v>73.431369481531192</v>
      </c>
      <c r="I158" s="706">
        <v>0</v>
      </c>
      <c r="J158" s="1199">
        <f t="shared" si="16"/>
        <v>73.431369481531192</v>
      </c>
    </row>
    <row r="159" spans="1:10" ht="14.4" x14ac:dyDescent="0.4">
      <c r="A159" s="529">
        <v>2057</v>
      </c>
      <c r="B159" s="1199">
        <f>'MSW Integration Calcs PDS3'!O213</f>
        <v>905.93170268323092</v>
      </c>
      <c r="C159" s="706">
        <v>822.90366684399692</v>
      </c>
      <c r="D159" s="1200">
        <f t="shared" si="13"/>
        <v>0.90835066750250859</v>
      </c>
      <c r="E159" s="1199">
        <f t="shared" si="14"/>
        <v>822.90366684399692</v>
      </c>
      <c r="F159" s="706">
        <v>682.62299999999993</v>
      </c>
      <c r="G159" s="1199">
        <f t="shared" si="18"/>
        <v>761.40155216382072</v>
      </c>
      <c r="H159" s="1199">
        <f t="shared" si="17"/>
        <v>61.502114680176192</v>
      </c>
      <c r="I159" s="706">
        <v>0</v>
      </c>
      <c r="J159" s="1199">
        <f t="shared" si="16"/>
        <v>61.502114680176192</v>
      </c>
    </row>
    <row r="160" spans="1:10" ht="14.4" x14ac:dyDescent="0.4">
      <c r="A160" s="529">
        <v>2058</v>
      </c>
      <c r="B160" s="1199">
        <f>'MSW Integration Calcs PDS3'!O214</f>
        <v>921.07959586446179</v>
      </c>
      <c r="C160" s="706">
        <v>831.42001936786221</v>
      </c>
      <c r="D160" s="1200">
        <f t="shared" si="13"/>
        <v>0.90265816667836263</v>
      </c>
      <c r="E160" s="1199">
        <f t="shared" si="14"/>
        <v>831.42001936786221</v>
      </c>
      <c r="F160" s="706">
        <v>701.3839999999999</v>
      </c>
      <c r="G160" s="1199">
        <f t="shared" si="18"/>
        <v>782.32767759490844</v>
      </c>
      <c r="H160" s="1199">
        <f t="shared" si="17"/>
        <v>49.092341772953773</v>
      </c>
      <c r="I160" s="706">
        <v>2.9694561665902484</v>
      </c>
      <c r="J160" s="1199">
        <f t="shared" si="16"/>
        <v>46.122885606363525</v>
      </c>
    </row>
    <row r="161" spans="1:10" ht="14.4" x14ac:dyDescent="0.4">
      <c r="A161" s="529">
        <v>2059</v>
      </c>
      <c r="B161" s="1199">
        <f>'MSW Integration Calcs PDS3'!O215</f>
        <v>936.29613148582268</v>
      </c>
      <c r="C161" s="706">
        <v>839.96570260949193</v>
      </c>
      <c r="D161" s="1200">
        <f t="shared" si="13"/>
        <v>0.89711542573238823</v>
      </c>
      <c r="E161" s="1199">
        <f t="shared" si="14"/>
        <v>839.96570260949193</v>
      </c>
      <c r="F161" s="706">
        <v>720.58299999999997</v>
      </c>
      <c r="G161" s="1199">
        <f t="shared" si="18"/>
        <v>803.74235070143027</v>
      </c>
      <c r="H161" s="1199">
        <f t="shared" si="17"/>
        <v>36.223351908061659</v>
      </c>
      <c r="I161" s="706">
        <v>6.5452468256041811</v>
      </c>
      <c r="J161" s="1199">
        <f t="shared" si="16"/>
        <v>29.678105082457478</v>
      </c>
    </row>
    <row r="162" spans="1:10" ht="14.4" x14ac:dyDescent="0.4">
      <c r="A162" s="529">
        <v>2060</v>
      </c>
      <c r="B162" s="1199">
        <f>'MSW Integration Calcs PDS3'!O216</f>
        <v>951.58079278820219</v>
      </c>
      <c r="C162" s="706">
        <v>848.55787966948071</v>
      </c>
      <c r="D162" s="1200">
        <f t="shared" si="13"/>
        <v>0.89173498046670663</v>
      </c>
      <c r="E162" s="1199">
        <f t="shared" si="14"/>
        <v>848.55787966948071</v>
      </c>
      <c r="F162" s="706">
        <v>740.22</v>
      </c>
      <c r="G162" s="1199">
        <f t="shared" si="18"/>
        <v>825.64557148338611</v>
      </c>
      <c r="H162" s="1199">
        <f t="shared" si="17"/>
        <v>22.912308186094606</v>
      </c>
      <c r="I162" s="706">
        <v>6.4904764412476652</v>
      </c>
      <c r="J162" s="1199">
        <f t="shared" si="16"/>
        <v>16.421831744846941</v>
      </c>
    </row>
  </sheetData>
  <mergeCells count="3">
    <mergeCell ref="B2:J2"/>
    <mergeCell ref="B57:J57"/>
    <mergeCell ref="B112:J11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DD64-A456-4ABB-85A9-108FE82697EE}">
  <dimension ref="A1:M162"/>
  <sheetViews>
    <sheetView topLeftCell="A19" zoomScale="60" zoomScaleNormal="60" workbookViewId="0">
      <selection activeCell="C6" sqref="C6"/>
    </sheetView>
  </sheetViews>
  <sheetFormatPr defaultColWidth="10.83203125" defaultRowHeight="12.3" x14ac:dyDescent="0.4"/>
  <cols>
    <col min="1" max="1" width="10.83203125" style="609"/>
    <col min="2" max="6" width="15.33203125" style="1251" customWidth="1"/>
    <col min="7" max="10" width="15.33203125" style="609" customWidth="1"/>
    <col min="11" max="16384" width="10.83203125" style="609"/>
  </cols>
  <sheetData>
    <row r="1" spans="1:13" x14ac:dyDescent="0.4">
      <c r="C1" s="1251" t="s">
        <v>1086</v>
      </c>
    </row>
    <row r="2" spans="1:13" x14ac:dyDescent="0.4">
      <c r="B2" s="1288" t="s">
        <v>387</v>
      </c>
      <c r="C2" s="1288"/>
      <c r="D2" s="1288"/>
      <c r="E2" s="1288"/>
      <c r="F2" s="1288"/>
      <c r="G2" s="1288"/>
      <c r="H2" s="1288"/>
      <c r="I2" s="1288"/>
      <c r="J2" s="1288"/>
    </row>
    <row r="3" spans="1:13" ht="61.8" x14ac:dyDescent="0.45">
      <c r="B3" s="1254"/>
      <c r="C3" s="1192"/>
      <c r="D3" s="1192"/>
      <c r="E3" s="1192"/>
      <c r="F3" s="341" t="s">
        <v>1087</v>
      </c>
      <c r="G3" s="1191">
        <v>1.2966666666666666</v>
      </c>
      <c r="H3" s="1254"/>
      <c r="I3" s="1254"/>
      <c r="J3" s="1212" t="s">
        <v>1119</v>
      </c>
    </row>
    <row r="4" spans="1:13" ht="86.4" x14ac:dyDescent="0.45">
      <c r="B4" s="1185" t="s">
        <v>1085</v>
      </c>
      <c r="C4" s="1186" t="s">
        <v>1092</v>
      </c>
      <c r="D4" s="1186"/>
      <c r="E4" s="1186"/>
      <c r="F4" s="1252" t="s">
        <v>1136</v>
      </c>
      <c r="I4" s="1196" t="s">
        <v>1073</v>
      </c>
    </row>
    <row r="5" spans="1:13" ht="81" customHeight="1" x14ac:dyDescent="0.4">
      <c r="B5" s="1193" t="s">
        <v>1084</v>
      </c>
      <c r="C5" s="1193" t="s">
        <v>1088</v>
      </c>
      <c r="D5" s="1193" t="s">
        <v>1104</v>
      </c>
      <c r="E5" s="1193" t="s">
        <v>1105</v>
      </c>
      <c r="F5" s="1193" t="s">
        <v>1137</v>
      </c>
      <c r="G5" s="1253" t="s">
        <v>1100</v>
      </c>
      <c r="H5" s="1190" t="s">
        <v>1089</v>
      </c>
      <c r="I5" s="1255" t="s">
        <v>1091</v>
      </c>
      <c r="J5" s="1253" t="s">
        <v>1090</v>
      </c>
    </row>
    <row r="6" spans="1:13" ht="14.4" x14ac:dyDescent="0.4">
      <c r="A6" s="529">
        <v>2014</v>
      </c>
      <c r="B6" s="1199">
        <f>'MSW Integration Calcs PDS1 '!O170</f>
        <v>341.7860216816789</v>
      </c>
      <c r="C6" s="706">
        <v>404.08731600000004</v>
      </c>
      <c r="D6" s="1200">
        <f t="shared" ref="D6:D52" si="0">IF(C6/B6&gt;1, 1, C6/B6)</f>
        <v>1</v>
      </c>
      <c r="E6" s="1199">
        <f t="shared" ref="E6:E52" si="1">B6*D6</f>
        <v>341.7860216816789</v>
      </c>
      <c r="F6" s="706">
        <v>175.25105629820052</v>
      </c>
      <c r="G6" s="1199">
        <f t="shared" ref="G6:G52" si="2">F6*$G$3</f>
        <v>227.24220300000002</v>
      </c>
      <c r="H6" s="1199">
        <f t="shared" ref="H6:H52" si="3">E6-G6</f>
        <v>114.54381868167889</v>
      </c>
      <c r="I6" s="706">
        <v>0</v>
      </c>
      <c r="J6" s="1199">
        <f t="shared" ref="J6:J52" si="4">H6-I6</f>
        <v>114.54381868167889</v>
      </c>
      <c r="L6" s="533"/>
      <c r="M6" s="533"/>
    </row>
    <row r="7" spans="1:13" ht="14.4" x14ac:dyDescent="0.4">
      <c r="A7" s="529">
        <v>2015</v>
      </c>
      <c r="B7" s="1199">
        <f>'MSW Integration Calcs PDS1 '!O171</f>
        <v>363.88533774070322</v>
      </c>
      <c r="C7" s="706">
        <v>406.92588399999994</v>
      </c>
      <c r="D7" s="1200">
        <f t="shared" si="0"/>
        <v>1</v>
      </c>
      <c r="E7" s="1199">
        <f t="shared" si="1"/>
        <v>363.88533774070322</v>
      </c>
      <c r="F7" s="706">
        <v>175.9042719794345</v>
      </c>
      <c r="G7" s="1199">
        <f t="shared" si="2"/>
        <v>228.08920600000005</v>
      </c>
      <c r="H7" s="1199">
        <f t="shared" si="3"/>
        <v>135.79613174070317</v>
      </c>
      <c r="I7" s="706">
        <v>43.478238261237635</v>
      </c>
      <c r="J7" s="1199">
        <f t="shared" si="4"/>
        <v>92.317893479465539</v>
      </c>
      <c r="L7" s="533"/>
      <c r="M7" s="533"/>
    </row>
    <row r="8" spans="1:13" ht="14.4" x14ac:dyDescent="0.4">
      <c r="A8" s="529">
        <v>2016</v>
      </c>
      <c r="B8" s="1199">
        <f>'MSW Integration Calcs PDS1 '!O172</f>
        <v>381.89999999999986</v>
      </c>
      <c r="C8" s="706">
        <v>409.34131699999995</v>
      </c>
      <c r="D8" s="1200">
        <f t="shared" si="0"/>
        <v>1</v>
      </c>
      <c r="E8" s="1199">
        <f t="shared" si="1"/>
        <v>381.89999999999986</v>
      </c>
      <c r="F8" s="706">
        <v>177.60189408740359</v>
      </c>
      <c r="G8" s="1199">
        <f t="shared" si="2"/>
        <v>230.29045599999998</v>
      </c>
      <c r="H8" s="1199">
        <f t="shared" si="3"/>
        <v>151.60954399999989</v>
      </c>
      <c r="I8" s="706">
        <v>15.835557200146809</v>
      </c>
      <c r="J8" s="1199">
        <f t="shared" si="4"/>
        <v>135.77398679985308</v>
      </c>
      <c r="L8" s="533"/>
      <c r="M8" s="533"/>
    </row>
    <row r="9" spans="1:13" ht="14.4" x14ac:dyDescent="0.4">
      <c r="A9" s="529">
        <v>2017</v>
      </c>
      <c r="B9" s="1199">
        <f>'MSW Integration Calcs PDS1 '!O173</f>
        <v>407.9843540012323</v>
      </c>
      <c r="C9" s="706">
        <v>415.22403500000007</v>
      </c>
      <c r="D9" s="1200">
        <f t="shared" si="0"/>
        <v>1</v>
      </c>
      <c r="E9" s="1199">
        <f t="shared" si="1"/>
        <v>407.9843540012323</v>
      </c>
      <c r="F9" s="706">
        <v>180.34826683804627</v>
      </c>
      <c r="G9" s="1199">
        <f t="shared" si="2"/>
        <v>233.851586</v>
      </c>
      <c r="H9" s="1199">
        <f t="shared" si="3"/>
        <v>174.13276800123231</v>
      </c>
      <c r="I9" s="706">
        <v>15.825419811333859</v>
      </c>
      <c r="J9" s="1199">
        <f t="shared" si="4"/>
        <v>158.30734818989845</v>
      </c>
      <c r="L9" s="533"/>
      <c r="M9" s="533"/>
    </row>
    <row r="10" spans="1:13" ht="14.4" x14ac:dyDescent="0.4">
      <c r="A10" s="529">
        <v>2018</v>
      </c>
      <c r="B10" s="1199">
        <f>'MSW Integration Calcs PDS1 '!O174</f>
        <v>415.44977691844485</v>
      </c>
      <c r="C10" s="706">
        <v>408.843143</v>
      </c>
      <c r="D10" s="1200">
        <f t="shared" si="0"/>
        <v>0.98409763517638915</v>
      </c>
      <c r="E10" s="1199">
        <f t="shared" si="1"/>
        <v>408.843143</v>
      </c>
      <c r="F10" s="706">
        <v>176.70263907455015</v>
      </c>
      <c r="G10" s="1199">
        <f t="shared" si="2"/>
        <v>229.12442200000001</v>
      </c>
      <c r="H10" s="1199">
        <f t="shared" si="3"/>
        <v>179.71872099999999</v>
      </c>
      <c r="I10" s="706">
        <v>15.803068795564855</v>
      </c>
      <c r="J10" s="1199">
        <f t="shared" si="4"/>
        <v>163.91565220443513</v>
      </c>
      <c r="L10" s="533"/>
      <c r="M10" s="533"/>
    </row>
    <row r="11" spans="1:13" ht="14.4" x14ac:dyDescent="0.4">
      <c r="A11" s="529">
        <v>2019</v>
      </c>
      <c r="B11" s="1199">
        <f>'MSW Integration Calcs PDS1 '!O175</f>
        <v>423.20764193175262</v>
      </c>
      <c r="C11" s="706">
        <v>407.37247715767188</v>
      </c>
      <c r="D11" s="1200">
        <f t="shared" si="0"/>
        <v>0.96258298951833587</v>
      </c>
      <c r="E11" s="1199">
        <f t="shared" si="1"/>
        <v>407.37247715767188</v>
      </c>
      <c r="F11" s="706">
        <v>190.82356384483535</v>
      </c>
      <c r="G11" s="1199">
        <f t="shared" si="2"/>
        <v>247.4345544521365</v>
      </c>
      <c r="H11" s="1199">
        <f t="shared" si="3"/>
        <v>159.93792270553539</v>
      </c>
      <c r="I11" s="706">
        <v>15.765092744093181</v>
      </c>
      <c r="J11" s="1199">
        <f t="shared" si="4"/>
        <v>144.1728299614422</v>
      </c>
      <c r="L11" s="533"/>
      <c r="M11" s="533"/>
    </row>
    <row r="12" spans="1:13" ht="14.4" x14ac:dyDescent="0.4">
      <c r="A12" s="529">
        <v>2020</v>
      </c>
      <c r="B12" s="1199">
        <f>'MSW Integration Calcs PDS1 '!O176</f>
        <v>431.35895949500423</v>
      </c>
      <c r="C12" s="706">
        <v>415.88104035900426</v>
      </c>
      <c r="D12" s="1200">
        <f t="shared" si="0"/>
        <v>0.96411823889291626</v>
      </c>
      <c r="E12" s="1199">
        <f t="shared" si="1"/>
        <v>415.88104035900426</v>
      </c>
      <c r="F12" s="706">
        <v>197.83813285717787</v>
      </c>
      <c r="G12" s="1199">
        <f t="shared" si="2"/>
        <v>256.53011227147397</v>
      </c>
      <c r="H12" s="1199">
        <f t="shared" si="3"/>
        <v>159.35092808753029</v>
      </c>
      <c r="I12" s="706">
        <v>15.714087498649576</v>
      </c>
      <c r="J12" s="1199">
        <f t="shared" si="4"/>
        <v>143.63684058888072</v>
      </c>
      <c r="L12" s="533"/>
      <c r="M12" s="533"/>
    </row>
    <row r="13" spans="1:13" ht="14.4" x14ac:dyDescent="0.4">
      <c r="A13" s="529">
        <v>2021</v>
      </c>
      <c r="B13" s="1199">
        <f>'MSW Integration Calcs PDS1 '!O177</f>
        <v>439.28218533793995</v>
      </c>
      <c r="C13" s="706">
        <v>424.60324438389813</v>
      </c>
      <c r="D13" s="1200">
        <f t="shared" si="0"/>
        <v>0.96658425621619659</v>
      </c>
      <c r="E13" s="1199">
        <f t="shared" si="1"/>
        <v>424.60324438389813</v>
      </c>
      <c r="F13" s="706">
        <v>205.00634445125723</v>
      </c>
      <c r="G13" s="1199">
        <f t="shared" si="2"/>
        <v>265.82489330513022</v>
      </c>
      <c r="H13" s="1199">
        <f t="shared" si="3"/>
        <v>158.77835107876791</v>
      </c>
      <c r="I13" s="706">
        <v>15.494297163452188</v>
      </c>
      <c r="J13" s="1199">
        <f t="shared" si="4"/>
        <v>143.28405391531572</v>
      </c>
      <c r="L13" s="533"/>
      <c r="M13" s="533"/>
    </row>
    <row r="14" spans="1:13" ht="14.4" x14ac:dyDescent="0.4">
      <c r="A14" s="529">
        <v>2022</v>
      </c>
      <c r="B14" s="1199">
        <f>'MSW Integration Calcs PDS1 '!O178</f>
        <v>447.57194574128391</v>
      </c>
      <c r="C14" s="706">
        <v>432.60359210289306</v>
      </c>
      <c r="D14" s="1200">
        <f t="shared" si="0"/>
        <v>0.96655654184580364</v>
      </c>
      <c r="E14" s="1199">
        <f t="shared" si="1"/>
        <v>432.60359210289306</v>
      </c>
      <c r="F14" s="706">
        <v>212.19173278956757</v>
      </c>
      <c r="G14" s="1199">
        <f t="shared" si="2"/>
        <v>275.14194685047261</v>
      </c>
      <c r="H14" s="1199">
        <f t="shared" si="3"/>
        <v>157.46164525242045</v>
      </c>
      <c r="I14" s="706">
        <v>15.27837508652101</v>
      </c>
      <c r="J14" s="1199">
        <f t="shared" si="4"/>
        <v>142.18327016589944</v>
      </c>
      <c r="L14" s="533"/>
      <c r="M14" s="533"/>
    </row>
    <row r="15" spans="1:13" ht="14.4" x14ac:dyDescent="0.4">
      <c r="A15" s="529">
        <v>2023</v>
      </c>
      <c r="B15" s="1199">
        <f>'MSW Integration Calcs PDS1 '!O179</f>
        <v>456.07158944859225</v>
      </c>
      <c r="C15" s="706">
        <v>440.60181815289531</v>
      </c>
      <c r="D15" s="1200">
        <f t="shared" si="0"/>
        <v>0.96608038813730868</v>
      </c>
      <c r="E15" s="1199">
        <f t="shared" si="1"/>
        <v>440.60181815289531</v>
      </c>
      <c r="F15" s="706">
        <v>219.73440559422301</v>
      </c>
      <c r="G15" s="1199">
        <f t="shared" si="2"/>
        <v>284.92227925384248</v>
      </c>
      <c r="H15" s="1199">
        <f t="shared" si="3"/>
        <v>155.67953889905283</v>
      </c>
      <c r="I15" s="706">
        <v>15.067653902712948</v>
      </c>
      <c r="J15" s="1199">
        <f t="shared" si="4"/>
        <v>140.61188499633988</v>
      </c>
      <c r="L15" s="533"/>
      <c r="M15" s="533"/>
    </row>
    <row r="16" spans="1:13" ht="14.4" x14ac:dyDescent="0.4">
      <c r="A16" s="529">
        <v>2024</v>
      </c>
      <c r="B16" s="1199">
        <f>'MSW Integration Calcs PDS1 '!O180</f>
        <v>464.76380921850205</v>
      </c>
      <c r="C16" s="706">
        <v>448.56137513547901</v>
      </c>
      <c r="D16" s="1200">
        <f t="shared" si="0"/>
        <v>0.96513834820687239</v>
      </c>
      <c r="E16" s="1199">
        <f t="shared" si="1"/>
        <v>448.56137513547901</v>
      </c>
      <c r="F16" s="706">
        <v>227.64186188428988</v>
      </c>
      <c r="G16" s="1199">
        <f t="shared" si="2"/>
        <v>295.17561424329585</v>
      </c>
      <c r="H16" s="1199">
        <f t="shared" si="3"/>
        <v>153.38576089218316</v>
      </c>
      <c r="I16" s="706">
        <v>14.864567701617432</v>
      </c>
      <c r="J16" s="1199">
        <f t="shared" si="4"/>
        <v>138.52119319056573</v>
      </c>
      <c r="L16" s="533"/>
      <c r="M16" s="533"/>
    </row>
    <row r="17" spans="1:13" ht="14.4" x14ac:dyDescent="0.4">
      <c r="A17" s="529">
        <v>2025</v>
      </c>
      <c r="B17" s="1199">
        <f>'MSW Integration Calcs PDS1 '!O181</f>
        <v>474.45456454294208</v>
      </c>
      <c r="C17" s="706">
        <v>456.97572824558705</v>
      </c>
      <c r="D17" s="1200">
        <f t="shared" si="0"/>
        <v>0.96316014724361865</v>
      </c>
      <c r="E17" s="1199">
        <f t="shared" si="1"/>
        <v>456.97572824558705</v>
      </c>
      <c r="F17" s="706">
        <v>236.83853075631973</v>
      </c>
      <c r="G17" s="1199">
        <f t="shared" si="2"/>
        <v>307.10062821402789</v>
      </c>
      <c r="H17" s="1199">
        <f t="shared" si="3"/>
        <v>149.87510003155916</v>
      </c>
      <c r="I17" s="706">
        <v>14.667952258686853</v>
      </c>
      <c r="J17" s="1199">
        <f t="shared" si="4"/>
        <v>135.2071477728723</v>
      </c>
      <c r="L17" s="533"/>
      <c r="M17" s="533"/>
    </row>
    <row r="18" spans="1:13" ht="14.4" x14ac:dyDescent="0.4">
      <c r="A18" s="529">
        <v>2026</v>
      </c>
      <c r="B18" s="1199">
        <f>'MSW Integration Calcs PDS1 '!O182</f>
        <v>484.32983940790632</v>
      </c>
      <c r="C18" s="706">
        <v>465.61519856559846</v>
      </c>
      <c r="D18" s="1200">
        <f t="shared" si="0"/>
        <v>0.96135971951431587</v>
      </c>
      <c r="E18" s="1199">
        <f t="shared" si="1"/>
        <v>465.61519856559846</v>
      </c>
      <c r="F18" s="706">
        <v>244.58207588345104</v>
      </c>
      <c r="G18" s="1199">
        <f t="shared" si="2"/>
        <v>317.14142506220816</v>
      </c>
      <c r="H18" s="1199">
        <f t="shared" si="3"/>
        <v>148.4737735033903</v>
      </c>
      <c r="I18" s="706">
        <v>14.47409556283867</v>
      </c>
      <c r="J18" s="1199">
        <f t="shared" si="4"/>
        <v>133.99967794055163</v>
      </c>
      <c r="L18" s="533"/>
      <c r="M18" s="533"/>
    </row>
    <row r="19" spans="1:13" ht="14.4" x14ac:dyDescent="0.4">
      <c r="A19" s="529">
        <v>2027</v>
      </c>
      <c r="B19" s="1199">
        <f>'MSW Integration Calcs PDS1 '!O183</f>
        <v>495.98162236023791</v>
      </c>
      <c r="C19" s="706">
        <v>474.49155267691356</v>
      </c>
      <c r="D19" s="1200">
        <f t="shared" si="0"/>
        <v>0.95667164121715009</v>
      </c>
      <c r="E19" s="1199">
        <f t="shared" si="1"/>
        <v>474.49155267691356</v>
      </c>
      <c r="F19" s="706">
        <v>253.63080836108202</v>
      </c>
      <c r="G19" s="1199">
        <f t="shared" si="2"/>
        <v>328.87461484153636</v>
      </c>
      <c r="H19" s="1199">
        <f t="shared" si="3"/>
        <v>145.6169378353772</v>
      </c>
      <c r="I19" s="706">
        <v>14.281701416224735</v>
      </c>
      <c r="J19" s="1199">
        <f t="shared" si="4"/>
        <v>131.33523641915247</v>
      </c>
      <c r="L19" s="533"/>
      <c r="M19" s="533"/>
    </row>
    <row r="20" spans="1:13" ht="14.4" x14ac:dyDescent="0.4">
      <c r="A20" s="529">
        <v>2028</v>
      </c>
      <c r="B20" s="1199">
        <f>'MSW Integration Calcs PDS1 '!O184</f>
        <v>507.81399693935214</v>
      </c>
      <c r="C20" s="706">
        <v>483.61672222152959</v>
      </c>
      <c r="D20" s="1200">
        <f t="shared" si="0"/>
        <v>0.95235012255734963</v>
      </c>
      <c r="E20" s="1199">
        <f t="shared" si="1"/>
        <v>483.61672222152959</v>
      </c>
      <c r="F20" s="706">
        <v>266.11408809523505</v>
      </c>
      <c r="G20" s="1199">
        <f t="shared" si="2"/>
        <v>345.06126756348812</v>
      </c>
      <c r="H20" s="1199">
        <f t="shared" si="3"/>
        <v>138.55545465804147</v>
      </c>
      <c r="I20" s="706">
        <v>14.093189301744189</v>
      </c>
      <c r="J20" s="1199">
        <f t="shared" si="4"/>
        <v>124.46226535629728</v>
      </c>
      <c r="L20" s="533"/>
      <c r="M20" s="533"/>
    </row>
    <row r="21" spans="1:13" ht="14.4" x14ac:dyDescent="0.4">
      <c r="A21" s="529">
        <v>2029</v>
      </c>
      <c r="B21" s="1199">
        <f>'MSW Integration Calcs PDS1 '!O185</f>
        <v>519.82222543678768</v>
      </c>
      <c r="C21" s="706">
        <v>493.00280912842766</v>
      </c>
      <c r="D21" s="1200">
        <f t="shared" si="0"/>
        <v>0.94840656094335973</v>
      </c>
      <c r="E21" s="1199">
        <f t="shared" si="1"/>
        <v>493.00280912842766</v>
      </c>
      <c r="F21" s="706">
        <v>272.92703942026151</v>
      </c>
      <c r="G21" s="1199">
        <f t="shared" si="2"/>
        <v>353.89539444827244</v>
      </c>
      <c r="H21" s="1199">
        <f t="shared" si="3"/>
        <v>139.10741468015522</v>
      </c>
      <c r="I21" s="706">
        <v>13.908756703063489</v>
      </c>
      <c r="J21" s="1199">
        <f t="shared" si="4"/>
        <v>125.19865797709173</v>
      </c>
      <c r="L21" s="533"/>
      <c r="M21" s="533"/>
    </row>
    <row r="22" spans="1:13" ht="14.4" x14ac:dyDescent="0.4">
      <c r="A22" s="529">
        <v>2030</v>
      </c>
      <c r="B22" s="1199">
        <f>'MSW Integration Calcs PDS1 '!O186</f>
        <v>532.61409006144584</v>
      </c>
      <c r="C22" s="706">
        <v>502.78462851976138</v>
      </c>
      <c r="D22" s="1200">
        <f t="shared" si="0"/>
        <v>0.94399423128621485</v>
      </c>
      <c r="E22" s="1199">
        <f t="shared" si="1"/>
        <v>502.78462851976138</v>
      </c>
      <c r="F22" s="706">
        <v>283.19180913933087</v>
      </c>
      <c r="G22" s="1199">
        <f t="shared" si="2"/>
        <v>367.20537918399901</v>
      </c>
      <c r="H22" s="1199">
        <f t="shared" si="3"/>
        <v>135.57924933576237</v>
      </c>
      <c r="I22" s="706">
        <v>13.728173775782238</v>
      </c>
      <c r="J22" s="1199">
        <f t="shared" si="4"/>
        <v>121.85107555998013</v>
      </c>
      <c r="L22" s="533"/>
      <c r="M22" s="533"/>
    </row>
    <row r="23" spans="1:13" ht="14.4" x14ac:dyDescent="0.4">
      <c r="A23" s="529">
        <v>2031</v>
      </c>
      <c r="B23" s="1199">
        <f>'MSW Integration Calcs PDS1 '!O187</f>
        <v>544.34554260920549</v>
      </c>
      <c r="C23" s="706">
        <v>512.67575323813367</v>
      </c>
      <c r="D23" s="1200">
        <f t="shared" si="0"/>
        <v>0.94182043042132879</v>
      </c>
      <c r="E23" s="1199">
        <f t="shared" si="1"/>
        <v>512.67575323813367</v>
      </c>
      <c r="F23" s="706">
        <v>293.45142025446677</v>
      </c>
      <c r="G23" s="1199">
        <f t="shared" si="2"/>
        <v>380.50867492995854</v>
      </c>
      <c r="H23" s="1199">
        <f t="shared" si="3"/>
        <v>132.16707830817512</v>
      </c>
      <c r="I23" s="706">
        <v>13.550761741626104</v>
      </c>
      <c r="J23" s="1199">
        <f t="shared" si="4"/>
        <v>118.61631656654902</v>
      </c>
      <c r="L23" s="533"/>
      <c r="M23" s="533"/>
    </row>
    <row r="24" spans="1:13" ht="14.4" x14ac:dyDescent="0.4">
      <c r="A24" s="529">
        <v>2032</v>
      </c>
      <c r="B24" s="1199">
        <f>'MSW Integration Calcs PDS1 '!O188</f>
        <v>556.65870601986501</v>
      </c>
      <c r="C24" s="706">
        <v>522.98673653161768</v>
      </c>
      <c r="D24" s="1200">
        <f t="shared" si="0"/>
        <v>0.93951056702408653</v>
      </c>
      <c r="E24" s="1199">
        <f t="shared" si="1"/>
        <v>522.98673653161768</v>
      </c>
      <c r="F24" s="706">
        <v>304.10586673884802</v>
      </c>
      <c r="G24" s="1199">
        <f t="shared" si="2"/>
        <v>394.32394053803961</v>
      </c>
      <c r="H24" s="1199">
        <f t="shared" si="3"/>
        <v>128.66279599357807</v>
      </c>
      <c r="I24" s="706">
        <v>13.376384602145947</v>
      </c>
      <c r="J24" s="1199">
        <f t="shared" si="4"/>
        <v>115.28641139143213</v>
      </c>
      <c r="L24" s="533"/>
      <c r="M24" s="533"/>
    </row>
    <row r="25" spans="1:13" ht="14.4" x14ac:dyDescent="0.4">
      <c r="A25" s="529">
        <v>2033</v>
      </c>
      <c r="B25" s="1199">
        <f>'MSW Integration Calcs PDS1 '!O189</f>
        <v>569.13221579045955</v>
      </c>
      <c r="C25" s="706">
        <v>533.60763450929358</v>
      </c>
      <c r="D25" s="1200">
        <f t="shared" si="0"/>
        <v>0.9375811449509559</v>
      </c>
      <c r="E25" s="1199">
        <f t="shared" si="1"/>
        <v>533.60763450929358</v>
      </c>
      <c r="F25" s="706">
        <v>315.16236767932605</v>
      </c>
      <c r="G25" s="1199">
        <f t="shared" si="2"/>
        <v>408.66053675752613</v>
      </c>
      <c r="H25" s="1199">
        <f t="shared" si="3"/>
        <v>124.94709775176744</v>
      </c>
      <c r="I25" s="706">
        <v>13.205489540782764</v>
      </c>
      <c r="J25" s="1199">
        <f t="shared" si="4"/>
        <v>111.74160821098468</v>
      </c>
      <c r="L25" s="533"/>
      <c r="M25" s="533"/>
    </row>
    <row r="26" spans="1:13" ht="14.4" x14ac:dyDescent="0.4">
      <c r="A26" s="529">
        <v>2034</v>
      </c>
      <c r="B26" s="1199">
        <f>'MSW Integration Calcs PDS1 '!O190</f>
        <v>581.77032351164087</v>
      </c>
      <c r="C26" s="706">
        <v>544.55122283257788</v>
      </c>
      <c r="D26" s="1200">
        <f t="shared" si="0"/>
        <v>0.93602440830188161</v>
      </c>
      <c r="E26" s="1199">
        <f t="shared" si="1"/>
        <v>544.55122283257788</v>
      </c>
      <c r="F26" s="706">
        <v>327.72909083682998</v>
      </c>
      <c r="G26" s="1199">
        <f t="shared" si="2"/>
        <v>424.95538778508956</v>
      </c>
      <c r="H26" s="1199">
        <f t="shared" si="3"/>
        <v>119.59583504748832</v>
      </c>
      <c r="I26" s="706">
        <v>13.038107484937825</v>
      </c>
      <c r="J26" s="1199">
        <f t="shared" si="4"/>
        <v>106.5577275625505</v>
      </c>
      <c r="L26" s="533"/>
      <c r="M26" s="533"/>
    </row>
    <row r="27" spans="1:13" ht="14.4" x14ac:dyDescent="0.4">
      <c r="A27" s="529">
        <v>2035</v>
      </c>
      <c r="B27" s="1199">
        <f>'MSW Integration Calcs PDS1 '!O191</f>
        <v>594.60169845937173</v>
      </c>
      <c r="C27" s="706">
        <v>555.83046466092242</v>
      </c>
      <c r="D27" s="1200">
        <f t="shared" si="0"/>
        <v>0.93479461310166689</v>
      </c>
      <c r="E27" s="1199">
        <f t="shared" si="1"/>
        <v>555.83046466092242</v>
      </c>
      <c r="F27" s="706">
        <v>338.51115311507277</v>
      </c>
      <c r="G27" s="1199">
        <f t="shared" si="2"/>
        <v>438.93612853921104</v>
      </c>
      <c r="H27" s="1199">
        <f t="shared" si="3"/>
        <v>116.89433612171138</v>
      </c>
      <c r="I27" s="706">
        <v>12.873951685425254</v>
      </c>
      <c r="J27" s="1199">
        <f t="shared" si="4"/>
        <v>104.02038443628612</v>
      </c>
      <c r="L27" s="533"/>
      <c r="M27" s="533"/>
    </row>
    <row r="28" spans="1:13" ht="14.4" x14ac:dyDescent="0.4">
      <c r="A28" s="529">
        <v>2036</v>
      </c>
      <c r="B28" s="1199">
        <f>'MSW Integration Calcs PDS1 '!O192</f>
        <v>607.54040466867013</v>
      </c>
      <c r="C28" s="706">
        <v>567.45851627429192</v>
      </c>
      <c r="D28" s="1200">
        <f t="shared" si="0"/>
        <v>0.93402597080561678</v>
      </c>
      <c r="E28" s="1199">
        <f t="shared" si="1"/>
        <v>567.45851627429192</v>
      </c>
      <c r="F28" s="706">
        <v>350.81863337780754</v>
      </c>
      <c r="G28" s="1199">
        <f t="shared" si="2"/>
        <v>454.89482794655709</v>
      </c>
      <c r="H28" s="1199">
        <f t="shared" si="3"/>
        <v>112.56368832773484</v>
      </c>
      <c r="I28" s="706">
        <v>12.712520611458331</v>
      </c>
      <c r="J28" s="1199">
        <f t="shared" si="4"/>
        <v>99.851167716276507</v>
      </c>
      <c r="L28" s="533"/>
      <c r="M28" s="533"/>
    </row>
    <row r="29" spans="1:13" ht="14.4" x14ac:dyDescent="0.4">
      <c r="A29" s="529">
        <v>2037</v>
      </c>
      <c r="B29" s="1199">
        <f>'MSW Integration Calcs PDS1 '!O193</f>
        <v>620.67063187610006</v>
      </c>
      <c r="C29" s="706">
        <v>579.44873286961729</v>
      </c>
      <c r="D29" s="1200">
        <f t="shared" si="0"/>
        <v>0.93358490495694724</v>
      </c>
      <c r="E29" s="1199">
        <f t="shared" si="1"/>
        <v>579.44873286961729</v>
      </c>
      <c r="F29" s="706">
        <v>363.55856912579111</v>
      </c>
      <c r="G29" s="1199">
        <f t="shared" si="2"/>
        <v>471.41427796644246</v>
      </c>
      <c r="H29" s="1199">
        <f t="shared" si="3"/>
        <v>108.03445490317483</v>
      </c>
      <c r="I29" s="706">
        <v>12.553508058758098</v>
      </c>
      <c r="J29" s="1199">
        <f t="shared" si="4"/>
        <v>95.480946844416735</v>
      </c>
      <c r="L29" s="533"/>
      <c r="M29" s="533"/>
    </row>
    <row r="30" spans="1:13" ht="14.4" x14ac:dyDescent="0.4">
      <c r="A30" s="529">
        <v>2038</v>
      </c>
      <c r="B30" s="1199">
        <f>'MSW Integration Calcs PDS1 '!O194</f>
        <v>633.9629638595103</v>
      </c>
      <c r="C30" s="706">
        <v>591.81467453677203</v>
      </c>
      <c r="D30" s="1200">
        <f t="shared" si="0"/>
        <v>0.93351616462554343</v>
      </c>
      <c r="E30" s="1199">
        <f t="shared" si="1"/>
        <v>591.81467453677203</v>
      </c>
      <c r="F30" s="706">
        <v>375.73599999999993</v>
      </c>
      <c r="G30" s="1199">
        <f t="shared" si="2"/>
        <v>487.20434666666659</v>
      </c>
      <c r="H30" s="1199">
        <f t="shared" si="3"/>
        <v>104.61032787010544</v>
      </c>
      <c r="I30" s="706">
        <v>12.396933139974635</v>
      </c>
      <c r="J30" s="1199">
        <f t="shared" si="4"/>
        <v>92.213394730130801</v>
      </c>
      <c r="L30" s="533"/>
      <c r="M30" s="533"/>
    </row>
    <row r="31" spans="1:13" ht="14.4" x14ac:dyDescent="0.4">
      <c r="A31" s="529">
        <v>2039</v>
      </c>
      <c r="B31" s="1199">
        <f>'MSW Integration Calcs PDS1 '!O195</f>
        <v>647.4120044222459</v>
      </c>
      <c r="C31" s="706">
        <v>604.57011241979001</v>
      </c>
      <c r="D31" s="1200">
        <f t="shared" si="0"/>
        <v>0.93382592273572651</v>
      </c>
      <c r="E31" s="1199">
        <f t="shared" si="1"/>
        <v>604.57011241979001</v>
      </c>
      <c r="F31" s="706">
        <v>385.31699999999995</v>
      </c>
      <c r="G31" s="1199">
        <f t="shared" si="2"/>
        <v>499.62770999999992</v>
      </c>
      <c r="H31" s="1199">
        <f t="shared" si="3"/>
        <v>104.94240241979008</v>
      </c>
      <c r="I31" s="706">
        <v>12.242629043424927</v>
      </c>
      <c r="J31" s="1199">
        <f t="shared" si="4"/>
        <v>92.699773376365158</v>
      </c>
      <c r="L31" s="533"/>
      <c r="M31" s="533"/>
    </row>
    <row r="32" spans="1:13" ht="14.4" x14ac:dyDescent="0.4">
      <c r="A32" s="529">
        <v>2040</v>
      </c>
      <c r="B32" s="1199">
        <f>'MSW Integration Calcs PDS1 '!O196</f>
        <v>660.25436152424425</v>
      </c>
      <c r="C32" s="706">
        <v>617.72903506922728</v>
      </c>
      <c r="D32" s="1200">
        <f t="shared" si="0"/>
        <v>0.93559250959456863</v>
      </c>
      <c r="E32" s="1199">
        <f t="shared" si="1"/>
        <v>617.72903506922728</v>
      </c>
      <c r="F32" s="706">
        <v>395.29999999999995</v>
      </c>
      <c r="G32" s="1199">
        <f t="shared" si="2"/>
        <v>512.57233333333329</v>
      </c>
      <c r="H32" s="1199">
        <f t="shared" si="3"/>
        <v>105.15670173589399</v>
      </c>
      <c r="I32" s="706">
        <v>12.090389410974808</v>
      </c>
      <c r="J32" s="1199">
        <f t="shared" si="4"/>
        <v>93.066312324919181</v>
      </c>
      <c r="L32" s="533"/>
      <c r="M32" s="533"/>
    </row>
    <row r="33" spans="1:13" ht="14.4" x14ac:dyDescent="0.4">
      <c r="A33" s="529">
        <v>2041</v>
      </c>
      <c r="B33" s="1199">
        <f>'MSW Integration Calcs PDS1 '!O197</f>
        <v>674.74062574692732</v>
      </c>
      <c r="C33" s="706">
        <v>631.30565499177396</v>
      </c>
      <c r="D33" s="1200">
        <f t="shared" si="0"/>
        <v>0.9356271593887332</v>
      </c>
      <c r="E33" s="1199">
        <f t="shared" si="1"/>
        <v>631.30565499177396</v>
      </c>
      <c r="F33" s="706">
        <v>405.68499999999995</v>
      </c>
      <c r="G33" s="1199">
        <f t="shared" si="2"/>
        <v>526.03821666666659</v>
      </c>
      <c r="H33" s="1199">
        <f t="shared" si="3"/>
        <v>105.26743832510738</v>
      </c>
      <c r="I33" s="706">
        <v>11.940247479314053</v>
      </c>
      <c r="J33" s="1199">
        <f t="shared" si="4"/>
        <v>93.327190845793325</v>
      </c>
      <c r="L33" s="533"/>
      <c r="M33" s="533"/>
    </row>
    <row r="34" spans="1:13" ht="14.4" x14ac:dyDescent="0.4">
      <c r="A34" s="529">
        <v>2042</v>
      </c>
      <c r="B34" s="1199">
        <f>'MSW Integration Calcs PDS1 '!O198</f>
        <v>688.36579001756638</v>
      </c>
      <c r="C34" s="706">
        <v>645.31441540340791</v>
      </c>
      <c r="D34" s="1200">
        <f t="shared" si="0"/>
        <v>0.9374585790890918</v>
      </c>
      <c r="E34" s="1199">
        <f t="shared" si="1"/>
        <v>645.31441540340791</v>
      </c>
      <c r="F34" s="706">
        <v>416.47199999999998</v>
      </c>
      <c r="G34" s="1199">
        <f t="shared" si="2"/>
        <v>540.02535999999998</v>
      </c>
      <c r="H34" s="1199">
        <f t="shared" si="3"/>
        <v>105.28905540340793</v>
      </c>
      <c r="I34" s="706">
        <v>11.791772724761927</v>
      </c>
      <c r="J34" s="1199">
        <f t="shared" si="4"/>
        <v>93.497282678646002</v>
      </c>
      <c r="L34" s="533"/>
      <c r="M34" s="533"/>
    </row>
    <row r="35" spans="1:13" ht="14.4" x14ac:dyDescent="0.4">
      <c r="A35" s="529">
        <v>2043</v>
      </c>
      <c r="B35" s="1199">
        <f>'MSW Integration Calcs PDS1 '!O199</f>
        <v>702.13968972548696</v>
      </c>
      <c r="C35" s="706">
        <v>659.76999719260346</v>
      </c>
      <c r="D35" s="1200">
        <f t="shared" si="0"/>
        <v>0.9396563203122037</v>
      </c>
      <c r="E35" s="1199">
        <f t="shared" si="1"/>
        <v>659.76999719260346</v>
      </c>
      <c r="F35" s="706">
        <v>427.66099999999994</v>
      </c>
      <c r="G35" s="1199">
        <f t="shared" si="2"/>
        <v>554.53376333333324</v>
      </c>
      <c r="H35" s="1199">
        <f t="shared" si="3"/>
        <v>105.23623385927021</v>
      </c>
      <c r="I35" s="706">
        <v>11.644287251645551</v>
      </c>
      <c r="J35" s="1199">
        <f t="shared" si="4"/>
        <v>93.591946607624664</v>
      </c>
      <c r="L35" s="533"/>
      <c r="M35" s="533"/>
    </row>
    <row r="36" spans="1:13" ht="14.4" x14ac:dyDescent="0.4">
      <c r="A36" s="529">
        <v>2044</v>
      </c>
      <c r="B36" s="1199">
        <f>'MSW Integration Calcs PDS1 '!O200</f>
        <v>716.06293856875288</v>
      </c>
      <c r="C36" s="706">
        <v>674.68732610030827</v>
      </c>
      <c r="D36" s="1200">
        <f t="shared" si="0"/>
        <v>0.94221791096862928</v>
      </c>
      <c r="E36" s="1199">
        <f t="shared" si="1"/>
        <v>674.68732610030827</v>
      </c>
      <c r="F36" s="706">
        <v>439.25199999999995</v>
      </c>
      <c r="G36" s="1199">
        <f t="shared" si="2"/>
        <v>569.5634266666666</v>
      </c>
      <c r="H36" s="1199">
        <f t="shared" si="3"/>
        <v>105.12389943364167</v>
      </c>
      <c r="I36" s="706">
        <v>11.497407754805522</v>
      </c>
      <c r="J36" s="1199">
        <f t="shared" si="4"/>
        <v>93.626491678836146</v>
      </c>
      <c r="L36" s="533"/>
      <c r="M36" s="533"/>
    </row>
    <row r="37" spans="1:13" ht="14.4" x14ac:dyDescent="0.4">
      <c r="A37" s="529">
        <v>2045</v>
      </c>
      <c r="B37" s="1199">
        <f>'MSW Integration Calcs PDS1 '!O201</f>
        <v>730.16014319301667</v>
      </c>
      <c r="C37" s="706">
        <v>690.0815801236256</v>
      </c>
      <c r="D37" s="1200">
        <f t="shared" si="0"/>
        <v>0.94510990028279818</v>
      </c>
      <c r="E37" s="1199">
        <f t="shared" si="1"/>
        <v>690.0815801236256</v>
      </c>
      <c r="F37" s="706">
        <v>451.24499999999995</v>
      </c>
      <c r="G37" s="1199">
        <f t="shared" si="2"/>
        <v>585.11434999999994</v>
      </c>
      <c r="H37" s="1199">
        <f t="shared" si="3"/>
        <v>104.96723012362565</v>
      </c>
      <c r="I37" s="706">
        <v>11.351238359242188</v>
      </c>
      <c r="J37" s="1199">
        <f t="shared" si="4"/>
        <v>93.615991764383466</v>
      </c>
      <c r="L37" s="533"/>
      <c r="M37" s="533"/>
    </row>
    <row r="38" spans="1:13" ht="14.4" x14ac:dyDescent="0.4">
      <c r="A38" s="529">
        <v>2046</v>
      </c>
      <c r="B38" s="1199">
        <f>'MSW Integration Calcs PDS1 '!O202</f>
        <v>744.33581629264393</v>
      </c>
      <c r="C38" s="706">
        <v>705.96819715037543</v>
      </c>
      <c r="D38" s="1200">
        <f t="shared" si="0"/>
        <v>0.94845388559512256</v>
      </c>
      <c r="E38" s="1199">
        <f t="shared" si="1"/>
        <v>705.96819715037543</v>
      </c>
      <c r="F38" s="706">
        <v>463.63999999999993</v>
      </c>
      <c r="G38" s="1199">
        <f t="shared" si="2"/>
        <v>601.18653333333327</v>
      </c>
      <c r="H38" s="1199">
        <f t="shared" si="3"/>
        <v>104.78166381704216</v>
      </c>
      <c r="I38" s="706">
        <v>11.20638914407607</v>
      </c>
      <c r="J38" s="1199">
        <f t="shared" si="4"/>
        <v>93.575274672966088</v>
      </c>
      <c r="L38" s="533"/>
      <c r="M38" s="533"/>
    </row>
    <row r="39" spans="1:13" ht="14.4" x14ac:dyDescent="0.4">
      <c r="A39" s="529">
        <v>2047</v>
      </c>
      <c r="B39" s="1199">
        <f>'MSW Integration Calcs PDS1 '!O203</f>
        <v>758.59459111571778</v>
      </c>
      <c r="C39" s="706">
        <v>722.36288283192539</v>
      </c>
      <c r="D39" s="1200">
        <f t="shared" si="0"/>
        <v>0.95223837777368814</v>
      </c>
      <c r="E39" s="1199">
        <f t="shared" si="1"/>
        <v>722.36288283192539</v>
      </c>
      <c r="F39" s="706">
        <v>476.4369999999999</v>
      </c>
      <c r="G39" s="1199">
        <f t="shared" si="2"/>
        <v>617.77997666666647</v>
      </c>
      <c r="H39" s="1199">
        <f t="shared" si="3"/>
        <v>104.58290616525892</v>
      </c>
      <c r="I39" s="706">
        <v>11.062881191423685</v>
      </c>
      <c r="J39" s="1199">
        <f t="shared" si="4"/>
        <v>93.520024973835234</v>
      </c>
      <c r="L39" s="533"/>
      <c r="M39" s="533"/>
    </row>
    <row r="40" spans="1:13" ht="14.4" x14ac:dyDescent="0.4">
      <c r="A40" s="529">
        <v>2048</v>
      </c>
      <c r="B40" s="1199">
        <f>'MSW Integration Calcs PDS1 '!O204</f>
        <v>772.949684548459</v>
      </c>
      <c r="C40" s="706">
        <v>739.28161870194594</v>
      </c>
      <c r="D40" s="1200">
        <f t="shared" si="0"/>
        <v>0.95644209898839505</v>
      </c>
      <c r="E40" s="1199">
        <f t="shared" si="1"/>
        <v>739.28161870194594</v>
      </c>
      <c r="F40" s="706">
        <v>489.63599999999991</v>
      </c>
      <c r="G40" s="1199">
        <f t="shared" si="2"/>
        <v>634.89467999999988</v>
      </c>
      <c r="H40" s="1199">
        <f t="shared" si="3"/>
        <v>104.38693870194606</v>
      </c>
      <c r="I40" s="706">
        <v>10.920058796903163</v>
      </c>
      <c r="J40" s="1199">
        <f t="shared" si="4"/>
        <v>93.466879905042902</v>
      </c>
      <c r="L40" s="533"/>
      <c r="M40" s="533"/>
    </row>
    <row r="41" spans="1:13" ht="14.4" x14ac:dyDescent="0.4">
      <c r="A41" s="529">
        <v>2049</v>
      </c>
      <c r="B41" s="1199">
        <f>'MSW Integration Calcs PDS1 '!O205</f>
        <v>787.39725147288436</v>
      </c>
      <c r="C41" s="706">
        <v>756.74067054897671</v>
      </c>
      <c r="D41" s="1200">
        <f t="shared" si="0"/>
        <v>0.9610659284540779</v>
      </c>
      <c r="E41" s="1199">
        <f t="shared" si="1"/>
        <v>756.74067054897671</v>
      </c>
      <c r="F41" s="706">
        <v>503.23699999999997</v>
      </c>
      <c r="G41" s="1199">
        <f t="shared" si="2"/>
        <v>652.53064333333327</v>
      </c>
      <c r="H41" s="1199">
        <f t="shared" si="3"/>
        <v>104.21002721564344</v>
      </c>
      <c r="I41" s="706">
        <v>10.777752578856166</v>
      </c>
      <c r="J41" s="1199">
        <f t="shared" si="4"/>
        <v>93.43227463678727</v>
      </c>
      <c r="L41" s="533"/>
      <c r="M41" s="533"/>
    </row>
    <row r="42" spans="1:13" ht="14.4" x14ac:dyDescent="0.4">
      <c r="A42" s="529">
        <v>2050</v>
      </c>
      <c r="B42" s="1199">
        <f>'MSW Integration Calcs PDS1 '!O206</f>
        <v>801.77660768089549</v>
      </c>
      <c r="C42" s="706">
        <v>774.70614042995862</v>
      </c>
      <c r="D42" s="1200">
        <f t="shared" si="0"/>
        <v>0.9662368956744235</v>
      </c>
      <c r="E42" s="1199">
        <f t="shared" si="1"/>
        <v>774.70614042995862</v>
      </c>
      <c r="F42" s="706">
        <v>517.2399999999999</v>
      </c>
      <c r="G42" s="1199">
        <f t="shared" si="2"/>
        <v>670.68786666666654</v>
      </c>
      <c r="H42" s="1199">
        <f t="shared" si="3"/>
        <v>104.01827376329209</v>
      </c>
      <c r="I42" s="706">
        <v>10.636119743318204</v>
      </c>
      <c r="J42" s="1199">
        <f t="shared" si="4"/>
        <v>93.382154019973882</v>
      </c>
      <c r="L42" s="533"/>
      <c r="M42" s="533"/>
    </row>
    <row r="43" spans="1:13" ht="14.4" x14ac:dyDescent="0.4">
      <c r="A43" s="529">
        <v>2051</v>
      </c>
      <c r="B43" s="1199">
        <f>'MSW Integration Calcs PDS1 '!O207</f>
        <v>816.55585088147086</v>
      </c>
      <c r="C43" s="706">
        <v>793.28006740866385</v>
      </c>
      <c r="D43" s="1200">
        <f t="shared" si="0"/>
        <v>0.97149517274577013</v>
      </c>
      <c r="E43" s="1199">
        <f t="shared" si="1"/>
        <v>793.28006740866385</v>
      </c>
      <c r="F43" s="706">
        <v>531.64499999999998</v>
      </c>
      <c r="G43" s="1199">
        <f t="shared" si="2"/>
        <v>689.36635000000001</v>
      </c>
      <c r="H43" s="1199">
        <f t="shared" si="3"/>
        <v>103.91371740866384</v>
      </c>
      <c r="I43" s="706">
        <v>10.49619846419273</v>
      </c>
      <c r="J43" s="1199">
        <f t="shared" si="4"/>
        <v>93.417518944471112</v>
      </c>
      <c r="L43" s="533"/>
      <c r="M43" s="533"/>
    </row>
    <row r="44" spans="1:13" ht="14.4" x14ac:dyDescent="0.4">
      <c r="A44" s="529">
        <v>2052</v>
      </c>
      <c r="B44" s="1199">
        <f>'MSW Integration Calcs PDS1 '!O208</f>
        <v>831.26104015165856</v>
      </c>
      <c r="C44" s="706">
        <v>811.75322952191584</v>
      </c>
      <c r="D44" s="1200">
        <f t="shared" si="0"/>
        <v>0.97653226882113509</v>
      </c>
      <c r="E44" s="1199">
        <f t="shared" si="1"/>
        <v>811.75322952191584</v>
      </c>
      <c r="F44" s="706">
        <v>546.452</v>
      </c>
      <c r="G44" s="1199">
        <f t="shared" si="2"/>
        <v>708.56609333333336</v>
      </c>
      <c r="H44" s="1199">
        <f t="shared" si="3"/>
        <v>103.18713618858249</v>
      </c>
      <c r="I44" s="706">
        <v>10.357658176593873</v>
      </c>
      <c r="J44" s="1199">
        <f t="shared" si="4"/>
        <v>92.829478011988613</v>
      </c>
      <c r="L44" s="533"/>
      <c r="M44" s="533"/>
    </row>
    <row r="45" spans="1:13" ht="14.4" x14ac:dyDescent="0.4">
      <c r="A45" s="529">
        <v>2053</v>
      </c>
      <c r="B45" s="1199">
        <f>'MSW Integration Calcs PDS1 '!O209</f>
        <v>846.04614875968196</v>
      </c>
      <c r="C45" s="706">
        <v>830.63807809768787</v>
      </c>
      <c r="D45" s="1200">
        <f t="shared" si="0"/>
        <v>0.98178814396285286</v>
      </c>
      <c r="E45" s="1199">
        <f t="shared" si="1"/>
        <v>830.63807809768787</v>
      </c>
      <c r="F45" s="706">
        <v>561.66099999999994</v>
      </c>
      <c r="G45" s="1199">
        <f t="shared" si="2"/>
        <v>728.28709666666657</v>
      </c>
      <c r="H45" s="1199">
        <f t="shared" si="3"/>
        <v>102.3509814310213</v>
      </c>
      <c r="I45" s="706">
        <v>10.219137085828265</v>
      </c>
      <c r="J45" s="1199">
        <f t="shared" si="4"/>
        <v>92.131844345193031</v>
      </c>
      <c r="L45" s="533"/>
      <c r="M45" s="533"/>
    </row>
    <row r="46" spans="1:13" ht="14.4" x14ac:dyDescent="0.4">
      <c r="A46" s="529">
        <v>2054</v>
      </c>
      <c r="B46" s="1199">
        <f>'MSW Integration Calcs PDS1 '!O210</f>
        <v>860.90820063655599</v>
      </c>
      <c r="C46" s="706">
        <v>849.93461313598027</v>
      </c>
      <c r="D46" s="1200">
        <f t="shared" si="0"/>
        <v>0.98725347546641806</v>
      </c>
      <c r="E46" s="1199">
        <f t="shared" si="1"/>
        <v>849.93461313598027</v>
      </c>
      <c r="F46" s="706">
        <v>577.27199999999993</v>
      </c>
      <c r="G46" s="1199">
        <f t="shared" si="2"/>
        <v>748.52935999999988</v>
      </c>
      <c r="H46" s="1199">
        <f t="shared" si="3"/>
        <v>101.40525313598039</v>
      </c>
      <c r="I46" s="706">
        <v>10.08023121597796</v>
      </c>
      <c r="J46" s="1199">
        <f t="shared" si="4"/>
        <v>91.325021920002428</v>
      </c>
      <c r="L46" s="533"/>
      <c r="M46" s="533"/>
    </row>
    <row r="47" spans="1:13" ht="14.4" x14ac:dyDescent="0.4">
      <c r="A47" s="529">
        <v>2055</v>
      </c>
      <c r="B47" s="1199">
        <f>'MSW Integration Calcs PDS1 '!O211</f>
        <v>875.84459399766536</v>
      </c>
      <c r="C47" s="706">
        <v>869.64283463679283</v>
      </c>
      <c r="D47" s="1200">
        <f t="shared" si="0"/>
        <v>0.99291910984736975</v>
      </c>
      <c r="E47" s="1199">
        <f t="shared" si="1"/>
        <v>869.64283463679283</v>
      </c>
      <c r="F47" s="706">
        <v>593.28499999999997</v>
      </c>
      <c r="G47" s="1199">
        <f t="shared" si="2"/>
        <v>769.29288333333329</v>
      </c>
      <c r="H47" s="1199">
        <f t="shared" si="3"/>
        <v>100.34995130345953</v>
      </c>
      <c r="I47" s="706">
        <v>9.9417871235904158</v>
      </c>
      <c r="J47" s="1199">
        <f t="shared" si="4"/>
        <v>90.408164179869118</v>
      </c>
      <c r="L47" s="533"/>
      <c r="M47" s="533"/>
    </row>
    <row r="48" spans="1:13" ht="14.4" x14ac:dyDescent="0.4">
      <c r="A48" s="529">
        <v>2056</v>
      </c>
      <c r="B48" s="1199">
        <f>'MSW Integration Calcs PDS1 '!O212</f>
        <v>890.8530098780941</v>
      </c>
      <c r="C48" s="706">
        <v>889.76274260012553</v>
      </c>
      <c r="D48" s="1200">
        <f t="shared" si="0"/>
        <v>0.99877615356755911</v>
      </c>
      <c r="E48" s="1199">
        <f t="shared" si="1"/>
        <v>889.76274260012553</v>
      </c>
      <c r="F48" s="706">
        <v>609.69999999999993</v>
      </c>
      <c r="G48" s="1199">
        <f t="shared" si="2"/>
        <v>790.57766666666657</v>
      </c>
      <c r="H48" s="1199">
        <f t="shared" si="3"/>
        <v>99.185075933458961</v>
      </c>
      <c r="I48" s="706">
        <v>9.804829261462146</v>
      </c>
      <c r="J48" s="1199">
        <f t="shared" si="4"/>
        <v>89.380246671996815</v>
      </c>
      <c r="L48" s="533"/>
      <c r="M48" s="533"/>
    </row>
    <row r="49" spans="1:13" ht="14.4" x14ac:dyDescent="0.4">
      <c r="A49" s="529">
        <v>2057</v>
      </c>
      <c r="B49" s="1199">
        <f>'MSW Integration Calcs PDS1 '!O213</f>
        <v>905.9317026832307</v>
      </c>
      <c r="C49" s="706">
        <v>910.29433702597839</v>
      </c>
      <c r="D49" s="1200">
        <f t="shared" si="0"/>
        <v>1</v>
      </c>
      <c r="E49" s="1199">
        <f t="shared" si="1"/>
        <v>905.9317026832307</v>
      </c>
      <c r="F49" s="706">
        <v>626.51699999999983</v>
      </c>
      <c r="G49" s="1199">
        <f t="shared" si="2"/>
        <v>812.38370999999972</v>
      </c>
      <c r="H49" s="1199">
        <f t="shared" si="3"/>
        <v>93.547992683230973</v>
      </c>
      <c r="I49" s="706">
        <v>9.6708502539252095</v>
      </c>
      <c r="J49" s="1199">
        <f t="shared" si="4"/>
        <v>83.877142429305763</v>
      </c>
      <c r="L49" s="533"/>
      <c r="M49" s="533"/>
    </row>
    <row r="50" spans="1:13" ht="14.4" x14ac:dyDescent="0.4">
      <c r="A50" s="529">
        <v>2058</v>
      </c>
      <c r="B50" s="1199">
        <f>'MSW Integration Calcs PDS1 '!O214</f>
        <v>921.07959586446179</v>
      </c>
      <c r="C50" s="706">
        <v>931.23761791435163</v>
      </c>
      <c r="D50" s="1200">
        <f t="shared" si="0"/>
        <v>1</v>
      </c>
      <c r="E50" s="1199">
        <f t="shared" si="1"/>
        <v>921.07959586446179</v>
      </c>
      <c r="F50" s="706">
        <v>643.73599999999988</v>
      </c>
      <c r="G50" s="1199">
        <f t="shared" si="2"/>
        <v>834.7110133333332</v>
      </c>
      <c r="H50" s="1199">
        <f t="shared" si="3"/>
        <v>86.368582531128595</v>
      </c>
      <c r="I50" s="706">
        <v>9.540816652530907</v>
      </c>
      <c r="J50" s="1199">
        <f t="shared" si="4"/>
        <v>76.827765878597688</v>
      </c>
      <c r="L50" s="533"/>
      <c r="M50" s="533"/>
    </row>
    <row r="51" spans="1:13" ht="14.4" x14ac:dyDescent="0.4">
      <c r="A51" s="529">
        <v>2059</v>
      </c>
      <c r="B51" s="1199">
        <f>'MSW Integration Calcs PDS1 '!O215</f>
        <v>936.29613148582291</v>
      </c>
      <c r="C51" s="706">
        <v>952.59258526524491</v>
      </c>
      <c r="D51" s="1200">
        <f t="shared" si="0"/>
        <v>1</v>
      </c>
      <c r="E51" s="1199">
        <f t="shared" si="1"/>
        <v>936.29613148582291</v>
      </c>
      <c r="F51" s="706">
        <v>661.35699999999986</v>
      </c>
      <c r="G51" s="1199">
        <f t="shared" si="2"/>
        <v>857.55957666666643</v>
      </c>
      <c r="H51" s="1199">
        <f t="shared" si="3"/>
        <v>78.736554819156481</v>
      </c>
      <c r="I51" s="706">
        <v>9.4156117930513119</v>
      </c>
      <c r="J51" s="1199">
        <f t="shared" si="4"/>
        <v>69.320943026105169</v>
      </c>
      <c r="L51" s="533"/>
      <c r="M51" s="533"/>
    </row>
    <row r="52" spans="1:13" ht="14.4" x14ac:dyDescent="0.4">
      <c r="A52" s="529">
        <v>2060</v>
      </c>
      <c r="B52" s="1199">
        <f>'MSW Integration Calcs PDS1 '!O216</f>
        <v>951.58079278820219</v>
      </c>
      <c r="C52" s="706">
        <v>974.35923907865845</v>
      </c>
      <c r="D52" s="1200">
        <f t="shared" si="0"/>
        <v>1</v>
      </c>
      <c r="E52" s="1199">
        <f t="shared" si="1"/>
        <v>951.58079278820219</v>
      </c>
      <c r="F52" s="706">
        <v>679.37999999999988</v>
      </c>
      <c r="G52" s="1199">
        <f t="shared" si="2"/>
        <v>880.92939999999987</v>
      </c>
      <c r="H52" s="1199">
        <f t="shared" si="3"/>
        <v>70.651392788202315</v>
      </c>
      <c r="I52" s="706">
        <v>9.2949260145077233</v>
      </c>
      <c r="J52" s="1199">
        <f t="shared" si="4"/>
        <v>61.356466773694592</v>
      </c>
      <c r="L52" s="533"/>
      <c r="M52" s="533"/>
    </row>
    <row r="57" spans="1:13" x14ac:dyDescent="0.4">
      <c r="B57" s="1288" t="s">
        <v>388</v>
      </c>
      <c r="C57" s="1288"/>
      <c r="D57" s="1288"/>
      <c r="E57" s="1288"/>
      <c r="F57" s="1288"/>
      <c r="G57" s="1288"/>
      <c r="H57" s="1288"/>
      <c r="I57" s="1288"/>
      <c r="J57" s="1288"/>
    </row>
    <row r="58" spans="1:13" ht="61.5" x14ac:dyDescent="0.4">
      <c r="B58" s="1254"/>
      <c r="C58" s="1192"/>
      <c r="D58" s="1192"/>
      <c r="E58" s="1192"/>
      <c r="F58" s="341" t="s">
        <v>1087</v>
      </c>
      <c r="G58" s="1191">
        <v>1.2966666666666666</v>
      </c>
      <c r="H58" s="1254"/>
      <c r="I58" s="1254"/>
      <c r="J58" s="1254"/>
    </row>
    <row r="59" spans="1:13" ht="86.4" x14ac:dyDescent="0.45">
      <c r="B59" s="1185" t="s">
        <v>1085</v>
      </c>
      <c r="C59" s="1186" t="s">
        <v>1092</v>
      </c>
      <c r="D59" s="1186"/>
      <c r="E59" s="1186"/>
      <c r="F59" s="1252" t="s">
        <v>1136</v>
      </c>
      <c r="I59" s="1196" t="s">
        <v>1073</v>
      </c>
    </row>
    <row r="60" spans="1:13" ht="79" customHeight="1" x14ac:dyDescent="0.4">
      <c r="B60" s="1193" t="s">
        <v>1084</v>
      </c>
      <c r="C60" s="1193" t="s">
        <v>1088</v>
      </c>
      <c r="D60" s="1193" t="s">
        <v>1104</v>
      </c>
      <c r="E60" s="1193" t="s">
        <v>1105</v>
      </c>
      <c r="F60" s="1193" t="s">
        <v>1138</v>
      </c>
      <c r="G60" s="1193" t="s">
        <v>1100</v>
      </c>
      <c r="H60" s="1193" t="s">
        <v>1089</v>
      </c>
      <c r="I60" s="1255" t="s">
        <v>1091</v>
      </c>
      <c r="J60" s="1253" t="s">
        <v>1090</v>
      </c>
    </row>
    <row r="61" spans="1:13" ht="14.4" x14ac:dyDescent="0.4">
      <c r="A61" s="529">
        <v>2014</v>
      </c>
      <c r="B61" s="1199">
        <f>'MSW Integration Calcs PDS2'!O170</f>
        <v>341.7860216816789</v>
      </c>
      <c r="C61" s="706">
        <v>404.08731600000004</v>
      </c>
      <c r="D61" s="1200">
        <f t="shared" ref="D61:D107" si="5">IF(C61/B61&gt;1, 1, C61/B61)</f>
        <v>1</v>
      </c>
      <c r="E61" s="1199">
        <f t="shared" ref="E61:E107" si="6">B61*D61</f>
        <v>341.7860216816789</v>
      </c>
      <c r="F61" s="706">
        <v>175.25105629820052</v>
      </c>
      <c r="G61" s="1199">
        <f t="shared" ref="G61:G107" si="7">F61*$G$58</f>
        <v>227.24220300000002</v>
      </c>
      <c r="H61" s="1199">
        <f t="shared" ref="H61:H107" si="8">E61-G61</f>
        <v>114.54381868167889</v>
      </c>
      <c r="I61" s="706">
        <v>0</v>
      </c>
      <c r="J61" s="1199">
        <f t="shared" ref="J61:J107" si="9">H61-I61</f>
        <v>114.54381868167889</v>
      </c>
    </row>
    <row r="62" spans="1:13" ht="14.4" x14ac:dyDescent="0.4">
      <c r="A62" s="529">
        <v>2015</v>
      </c>
      <c r="B62" s="1199">
        <f>'MSW Integration Calcs PDS2'!O171</f>
        <v>363.88533774070333</v>
      </c>
      <c r="C62" s="706">
        <v>406.92588399999994</v>
      </c>
      <c r="D62" s="1200">
        <f t="shared" si="5"/>
        <v>1</v>
      </c>
      <c r="E62" s="1199">
        <f t="shared" si="6"/>
        <v>363.88533774070333</v>
      </c>
      <c r="F62" s="706">
        <v>175.90427197943453</v>
      </c>
      <c r="G62" s="1199">
        <f t="shared" si="7"/>
        <v>228.0892060000001</v>
      </c>
      <c r="H62" s="1199">
        <f t="shared" si="8"/>
        <v>135.79613174070323</v>
      </c>
      <c r="I62" s="706">
        <v>55.436249202633121</v>
      </c>
      <c r="J62" s="1199">
        <f t="shared" si="9"/>
        <v>80.35988253807011</v>
      </c>
    </row>
    <row r="63" spans="1:13" ht="14.4" x14ac:dyDescent="0.4">
      <c r="A63" s="529">
        <v>2016</v>
      </c>
      <c r="B63" s="1199">
        <f>'MSW Integration Calcs PDS2'!O172</f>
        <v>381.89999999999986</v>
      </c>
      <c r="C63" s="706">
        <v>409.34131699999995</v>
      </c>
      <c r="D63" s="1200">
        <f t="shared" si="5"/>
        <v>1</v>
      </c>
      <c r="E63" s="1199">
        <f t="shared" si="6"/>
        <v>381.89999999999986</v>
      </c>
      <c r="F63" s="706">
        <v>177.60189408740362</v>
      </c>
      <c r="G63" s="1199">
        <f t="shared" si="7"/>
        <v>230.29045600000003</v>
      </c>
      <c r="H63" s="1199">
        <f t="shared" si="8"/>
        <v>151.60954399999983</v>
      </c>
      <c r="I63" s="706">
        <v>21.687129000645655</v>
      </c>
      <c r="J63" s="1199">
        <f t="shared" si="9"/>
        <v>129.92241499935417</v>
      </c>
    </row>
    <row r="64" spans="1:13" ht="14.4" x14ac:dyDescent="0.4">
      <c r="A64" s="529">
        <v>2017</v>
      </c>
      <c r="B64" s="1199">
        <f>'MSW Integration Calcs PDS2'!O173</f>
        <v>407.98435400123185</v>
      </c>
      <c r="C64" s="706">
        <v>415.22403500000007</v>
      </c>
      <c r="D64" s="1200">
        <f t="shared" si="5"/>
        <v>1</v>
      </c>
      <c r="E64" s="1199">
        <f t="shared" si="6"/>
        <v>407.98435400123185</v>
      </c>
      <c r="F64" s="706">
        <v>180.34826683804627</v>
      </c>
      <c r="G64" s="1199">
        <f t="shared" si="7"/>
        <v>233.851586</v>
      </c>
      <c r="H64" s="1199">
        <f t="shared" si="8"/>
        <v>174.13276800123185</v>
      </c>
      <c r="I64" s="706">
        <v>21.590799814069157</v>
      </c>
      <c r="J64" s="1199">
        <f t="shared" si="9"/>
        <v>152.54196818716269</v>
      </c>
    </row>
    <row r="65" spans="1:10" ht="14.4" x14ac:dyDescent="0.4">
      <c r="A65" s="529">
        <v>2018</v>
      </c>
      <c r="B65" s="1199">
        <f>'MSW Integration Calcs PDS2'!O174</f>
        <v>415.44977691844485</v>
      </c>
      <c r="C65" s="706">
        <v>408.843143</v>
      </c>
      <c r="D65" s="1200">
        <f t="shared" si="5"/>
        <v>0.98409763517638915</v>
      </c>
      <c r="E65" s="1199">
        <f t="shared" si="6"/>
        <v>408.843143</v>
      </c>
      <c r="F65" s="706">
        <v>177.11259463680977</v>
      </c>
      <c r="G65" s="1199">
        <f t="shared" si="7"/>
        <v>229.65599771239667</v>
      </c>
      <c r="H65" s="1199">
        <f t="shared" si="8"/>
        <v>179.18714528760333</v>
      </c>
      <c r="I65" s="706">
        <v>21.481008251234357</v>
      </c>
      <c r="J65" s="1199">
        <f t="shared" si="9"/>
        <v>157.70613703636897</v>
      </c>
    </row>
    <row r="66" spans="1:10" ht="14.4" x14ac:dyDescent="0.4">
      <c r="A66" s="529">
        <v>2019</v>
      </c>
      <c r="B66" s="1199">
        <f>'MSW Integration Calcs PDS2'!O175</f>
        <v>423.20764193175251</v>
      </c>
      <c r="C66" s="706">
        <v>407.37247715767188</v>
      </c>
      <c r="D66" s="1200">
        <f t="shared" si="5"/>
        <v>0.9625829895183361</v>
      </c>
      <c r="E66" s="1199">
        <f t="shared" si="6"/>
        <v>407.37247715767188</v>
      </c>
      <c r="F66" s="706">
        <v>198.38819189692467</v>
      </c>
      <c r="G66" s="1199">
        <f t="shared" si="7"/>
        <v>257.2433554930123</v>
      </c>
      <c r="H66" s="1199">
        <f t="shared" si="8"/>
        <v>150.12912166465958</v>
      </c>
      <c r="I66" s="706">
        <v>21.353586828499999</v>
      </c>
      <c r="J66" s="1199">
        <f t="shared" si="9"/>
        <v>128.77553483615958</v>
      </c>
    </row>
    <row r="67" spans="1:10" ht="14.4" x14ac:dyDescent="0.4">
      <c r="A67" s="529">
        <v>2020</v>
      </c>
      <c r="B67" s="1199">
        <f>'MSW Integration Calcs PDS2'!O176</f>
        <v>431.35895949500389</v>
      </c>
      <c r="C67" s="706">
        <v>415.88104035900426</v>
      </c>
      <c r="D67" s="1200">
        <f t="shared" si="5"/>
        <v>0.96411823889291703</v>
      </c>
      <c r="E67" s="1199">
        <f t="shared" si="6"/>
        <v>415.88104035900426</v>
      </c>
      <c r="F67" s="706">
        <v>205.71874736723038</v>
      </c>
      <c r="G67" s="1199">
        <f t="shared" si="7"/>
        <v>266.74864241950871</v>
      </c>
      <c r="H67" s="1199">
        <f t="shared" si="8"/>
        <v>149.13239793949555</v>
      </c>
      <c r="I67" s="706">
        <v>21.211686174012073</v>
      </c>
      <c r="J67" s="1199">
        <f t="shared" si="9"/>
        <v>127.92071176548347</v>
      </c>
    </row>
    <row r="68" spans="1:10" ht="14.4" x14ac:dyDescent="0.4">
      <c r="A68" s="529">
        <v>2021</v>
      </c>
      <c r="B68" s="1199">
        <f>'MSW Integration Calcs PDS2'!O177</f>
        <v>439.28218533793995</v>
      </c>
      <c r="C68" s="706">
        <v>424.60324438389813</v>
      </c>
      <c r="D68" s="1200">
        <f t="shared" si="5"/>
        <v>0.96658425621619659</v>
      </c>
      <c r="E68" s="1199">
        <f t="shared" si="6"/>
        <v>424.60324438389813</v>
      </c>
      <c r="F68" s="706">
        <v>213.88079712929371</v>
      </c>
      <c r="G68" s="1199">
        <f t="shared" si="7"/>
        <v>277.33210027765085</v>
      </c>
      <c r="H68" s="1199">
        <f t="shared" si="8"/>
        <v>147.27114410624728</v>
      </c>
      <c r="I68" s="706">
        <v>20.865617033883495</v>
      </c>
      <c r="J68" s="1199">
        <f t="shared" si="9"/>
        <v>126.40552707236378</v>
      </c>
    </row>
    <row r="69" spans="1:10" ht="14.4" x14ac:dyDescent="0.4">
      <c r="A69" s="529">
        <v>2022</v>
      </c>
      <c r="B69" s="1199">
        <f>'MSW Integration Calcs PDS2'!O178</f>
        <v>447.57194574128391</v>
      </c>
      <c r="C69" s="706">
        <v>432.60359210289306</v>
      </c>
      <c r="D69" s="1200">
        <f t="shared" si="5"/>
        <v>0.96655654184580364</v>
      </c>
      <c r="E69" s="1199">
        <f t="shared" si="6"/>
        <v>432.60359210289306</v>
      </c>
      <c r="F69" s="706">
        <v>222.56713006213093</v>
      </c>
      <c r="G69" s="1199">
        <f t="shared" si="7"/>
        <v>288.59537864722978</v>
      </c>
      <c r="H69" s="1199">
        <f t="shared" si="8"/>
        <v>144.00821345566328</v>
      </c>
      <c r="I69" s="706">
        <v>20.526417357201581</v>
      </c>
      <c r="J69" s="1199">
        <f t="shared" si="9"/>
        <v>123.4817960984617</v>
      </c>
    </row>
    <row r="70" spans="1:10" ht="14.4" x14ac:dyDescent="0.4">
      <c r="A70" s="529">
        <v>2023</v>
      </c>
      <c r="B70" s="1199">
        <f>'MSW Integration Calcs PDS2'!O179</f>
        <v>456.07158944859248</v>
      </c>
      <c r="C70" s="706">
        <v>440.60181815289531</v>
      </c>
      <c r="D70" s="1200">
        <f t="shared" si="5"/>
        <v>0.96608038813730823</v>
      </c>
      <c r="E70" s="1199">
        <f t="shared" si="6"/>
        <v>440.60181815289531</v>
      </c>
      <c r="F70" s="706">
        <v>231.89961845224667</v>
      </c>
      <c r="G70" s="1199">
        <f t="shared" si="7"/>
        <v>300.69650525974652</v>
      </c>
      <c r="H70" s="1199">
        <f t="shared" si="8"/>
        <v>139.90531289314879</v>
      </c>
      <c r="I70" s="706">
        <v>20.195657427249955</v>
      </c>
      <c r="J70" s="1199">
        <f t="shared" si="9"/>
        <v>119.70965546589883</v>
      </c>
    </row>
    <row r="71" spans="1:10" ht="14.4" x14ac:dyDescent="0.4">
      <c r="A71" s="529">
        <v>2024</v>
      </c>
      <c r="B71" s="1199">
        <f>'MSW Integration Calcs PDS2'!O180</f>
        <v>464.76380921850193</v>
      </c>
      <c r="C71" s="706">
        <v>448.56137513547901</v>
      </c>
      <c r="D71" s="1200">
        <f t="shared" si="5"/>
        <v>0.96513834820687261</v>
      </c>
      <c r="E71" s="1199">
        <f t="shared" si="6"/>
        <v>448.56137513547901</v>
      </c>
      <c r="F71" s="706">
        <v>241.85671669846457</v>
      </c>
      <c r="G71" s="1199">
        <f t="shared" si="7"/>
        <v>313.60754265234237</v>
      </c>
      <c r="H71" s="1199">
        <f t="shared" si="8"/>
        <v>134.95383248313664</v>
      </c>
      <c r="I71" s="706">
        <v>19.87625010055757</v>
      </c>
      <c r="J71" s="1199">
        <f t="shared" si="9"/>
        <v>115.07758238257907</v>
      </c>
    </row>
    <row r="72" spans="1:10" ht="14.4" x14ac:dyDescent="0.4">
      <c r="A72" s="529">
        <v>2025</v>
      </c>
      <c r="B72" s="1199">
        <f>'MSW Integration Calcs PDS2'!O181</f>
        <v>474.45456454294197</v>
      </c>
      <c r="C72" s="706">
        <v>456.97572824558705</v>
      </c>
      <c r="D72" s="1200">
        <f t="shared" si="5"/>
        <v>0.96316014724361887</v>
      </c>
      <c r="E72" s="1199">
        <f t="shared" si="6"/>
        <v>456.97572824558705</v>
      </c>
      <c r="F72" s="706">
        <v>253.2331577842215</v>
      </c>
      <c r="G72" s="1199">
        <f t="shared" si="7"/>
        <v>328.35899459354056</v>
      </c>
      <c r="H72" s="1199">
        <f t="shared" si="8"/>
        <v>128.61673365204649</v>
      </c>
      <c r="I72" s="706">
        <v>19.566727324782846</v>
      </c>
      <c r="J72" s="1199">
        <f t="shared" si="9"/>
        <v>109.05000632726365</v>
      </c>
    </row>
    <row r="73" spans="1:10" ht="14.4" x14ac:dyDescent="0.4">
      <c r="A73" s="529">
        <v>2026</v>
      </c>
      <c r="B73" s="1199">
        <f>'MSW Integration Calcs PDS2'!O182</f>
        <v>484.32983940790621</v>
      </c>
      <c r="C73" s="706">
        <v>465.61519856559846</v>
      </c>
      <c r="D73" s="1200">
        <f t="shared" si="5"/>
        <v>0.96135971951431609</v>
      </c>
      <c r="E73" s="1199">
        <f t="shared" si="6"/>
        <v>465.61519856559846</v>
      </c>
      <c r="F73" s="706">
        <v>263.62463524419655</v>
      </c>
      <c r="G73" s="1199">
        <f t="shared" si="7"/>
        <v>341.83327703330821</v>
      </c>
      <c r="H73" s="1199">
        <f t="shared" si="8"/>
        <v>123.78192153229026</v>
      </c>
      <c r="I73" s="706">
        <v>19.262519462537966</v>
      </c>
      <c r="J73" s="1199">
        <f t="shared" si="9"/>
        <v>104.51940206975229</v>
      </c>
    </row>
    <row r="74" spans="1:10" ht="14.4" x14ac:dyDescent="0.4">
      <c r="A74" s="529">
        <v>2027</v>
      </c>
      <c r="B74" s="1199">
        <f>'MSW Integration Calcs PDS2'!O183</f>
        <v>495.98162236023802</v>
      </c>
      <c r="C74" s="706">
        <v>474.49155267691356</v>
      </c>
      <c r="D74" s="1200">
        <f t="shared" si="5"/>
        <v>0.95667164121714987</v>
      </c>
      <c r="E74" s="1199">
        <f t="shared" si="6"/>
        <v>474.49155267691356</v>
      </c>
      <c r="F74" s="706">
        <v>275.44573673631595</v>
      </c>
      <c r="G74" s="1199">
        <f t="shared" si="7"/>
        <v>357.161305301423</v>
      </c>
      <c r="H74" s="1199">
        <f t="shared" si="8"/>
        <v>117.33024737549056</v>
      </c>
      <c r="I74" s="706">
        <v>18.962000019246375</v>
      </c>
      <c r="J74" s="1199">
        <f t="shared" si="9"/>
        <v>98.368247356244183</v>
      </c>
    </row>
    <row r="75" spans="1:10" ht="14.4" x14ac:dyDescent="0.4">
      <c r="A75" s="529">
        <v>2028</v>
      </c>
      <c r="B75" s="1199">
        <f>'MSW Integration Calcs PDS2'!O184</f>
        <v>507.81399693935202</v>
      </c>
      <c r="C75" s="706">
        <v>483.61672222152959</v>
      </c>
      <c r="D75" s="1200">
        <f t="shared" si="5"/>
        <v>0.95235012255734985</v>
      </c>
      <c r="E75" s="1199">
        <f t="shared" si="6"/>
        <v>483.61672222152959</v>
      </c>
      <c r="F75" s="706">
        <v>297.7550860898719</v>
      </c>
      <c r="G75" s="1199">
        <f t="shared" si="7"/>
        <v>386.08909496320052</v>
      </c>
      <c r="H75" s="1199">
        <f t="shared" si="8"/>
        <v>97.527627258329062</v>
      </c>
      <c r="I75" s="706">
        <v>18.66806861830139</v>
      </c>
      <c r="J75" s="1199">
        <f t="shared" si="9"/>
        <v>78.859558640027672</v>
      </c>
    </row>
    <row r="76" spans="1:10" ht="14.4" x14ac:dyDescent="0.4">
      <c r="A76" s="529">
        <v>2029</v>
      </c>
      <c r="B76" s="1199">
        <f>'MSW Integration Calcs PDS2'!O185</f>
        <v>519.82222543678768</v>
      </c>
      <c r="C76" s="706">
        <v>493.00280912842766</v>
      </c>
      <c r="D76" s="1200">
        <f t="shared" si="5"/>
        <v>0.94840656094335973</v>
      </c>
      <c r="E76" s="1199">
        <f t="shared" si="6"/>
        <v>493.00280912842766</v>
      </c>
      <c r="F76" s="706">
        <v>301.02058348418632</v>
      </c>
      <c r="G76" s="1199">
        <f t="shared" si="7"/>
        <v>390.32335658449489</v>
      </c>
      <c r="H76" s="1199">
        <f t="shared" si="8"/>
        <v>102.67945254393277</v>
      </c>
      <c r="I76" s="706">
        <v>18.380919972696233</v>
      </c>
      <c r="J76" s="1199">
        <f t="shared" si="9"/>
        <v>84.298532571236535</v>
      </c>
    </row>
    <row r="77" spans="1:10" ht="14.4" x14ac:dyDescent="0.4">
      <c r="A77" s="529">
        <v>2030</v>
      </c>
      <c r="B77" s="1199">
        <f>'MSW Integration Calcs PDS2'!O186</f>
        <v>532.61409006144595</v>
      </c>
      <c r="C77" s="706">
        <v>502.78462851976138</v>
      </c>
      <c r="D77" s="1200">
        <f t="shared" si="5"/>
        <v>0.94399423128621474</v>
      </c>
      <c r="E77" s="1199">
        <f t="shared" si="6"/>
        <v>502.78462851976144</v>
      </c>
      <c r="F77" s="706">
        <v>314.80455028844688</v>
      </c>
      <c r="G77" s="1199">
        <f t="shared" si="7"/>
        <v>408.19656687401942</v>
      </c>
      <c r="H77" s="1199">
        <f t="shared" si="8"/>
        <v>94.588061645742016</v>
      </c>
      <c r="I77" s="706">
        <v>18.100229441245119</v>
      </c>
      <c r="J77" s="1199">
        <f t="shared" si="9"/>
        <v>76.487832204496897</v>
      </c>
    </row>
    <row r="78" spans="1:10" ht="14.4" x14ac:dyDescent="0.4">
      <c r="A78" s="529">
        <v>2031</v>
      </c>
      <c r="B78" s="1199">
        <f>'MSW Integration Calcs PDS2'!O187</f>
        <v>544.34554260920549</v>
      </c>
      <c r="C78" s="706">
        <v>512.67575323813367</v>
      </c>
      <c r="D78" s="1200">
        <f t="shared" si="5"/>
        <v>0.94182043042132879</v>
      </c>
      <c r="E78" s="1199">
        <f t="shared" si="6"/>
        <v>512.67575323813367</v>
      </c>
      <c r="F78" s="706">
        <v>328.80734788451042</v>
      </c>
      <c r="G78" s="1199">
        <f t="shared" si="7"/>
        <v>426.35352775691518</v>
      </c>
      <c r="H78" s="1199">
        <f t="shared" si="8"/>
        <v>86.322225481218481</v>
      </c>
      <c r="I78" s="706">
        <v>17.825126693420884</v>
      </c>
      <c r="J78" s="1199">
        <f t="shared" si="9"/>
        <v>68.497098787797597</v>
      </c>
    </row>
    <row r="79" spans="1:10" ht="14.4" x14ac:dyDescent="0.4">
      <c r="A79" s="529">
        <v>2032</v>
      </c>
      <c r="B79" s="1199">
        <f>'MSW Integration Calcs PDS2'!O188</f>
        <v>556.65870601986512</v>
      </c>
      <c r="C79" s="706">
        <v>522.98673653161768</v>
      </c>
      <c r="D79" s="1200">
        <f t="shared" si="5"/>
        <v>0.93951056702408642</v>
      </c>
      <c r="E79" s="1199">
        <f t="shared" si="6"/>
        <v>522.98673653161768</v>
      </c>
      <c r="F79" s="706">
        <v>343.47657869481304</v>
      </c>
      <c r="G79" s="1199">
        <f t="shared" si="7"/>
        <v>445.37463037427426</v>
      </c>
      <c r="H79" s="1199">
        <f t="shared" si="8"/>
        <v>77.612106157343419</v>
      </c>
      <c r="I79" s="706">
        <v>17.555403411811994</v>
      </c>
      <c r="J79" s="1199">
        <f t="shared" si="9"/>
        <v>60.056702745531425</v>
      </c>
    </row>
    <row r="80" spans="1:10" ht="14.4" x14ac:dyDescent="0.4">
      <c r="A80" s="529">
        <v>2033</v>
      </c>
      <c r="B80" s="1199">
        <f>'MSW Integration Calcs PDS2'!O189</f>
        <v>569.13221579045967</v>
      </c>
      <c r="C80" s="706">
        <v>533.60763450929358</v>
      </c>
      <c r="D80" s="1200">
        <f t="shared" si="5"/>
        <v>0.93758114495095568</v>
      </c>
      <c r="E80" s="1199">
        <f t="shared" si="6"/>
        <v>533.60763450929358</v>
      </c>
      <c r="F80" s="706">
        <v>358.82888507586529</v>
      </c>
      <c r="G80" s="1199">
        <f t="shared" si="7"/>
        <v>465.28145431503862</v>
      </c>
      <c r="H80" s="1199">
        <f t="shared" si="8"/>
        <v>68.32618019425496</v>
      </c>
      <c r="I80" s="706">
        <v>17.291562472155988</v>
      </c>
      <c r="J80" s="1199">
        <f t="shared" si="9"/>
        <v>51.034617722098972</v>
      </c>
    </row>
    <row r="81" spans="1:10" ht="14.4" x14ac:dyDescent="0.4">
      <c r="A81" s="529">
        <v>2034</v>
      </c>
      <c r="B81" s="1199">
        <f>'MSW Integration Calcs PDS2'!O190</f>
        <v>581.77032351164041</v>
      </c>
      <c r="C81" s="706">
        <v>544.55122283257788</v>
      </c>
      <c r="D81" s="1200">
        <f t="shared" si="5"/>
        <v>0.93602440830188238</v>
      </c>
      <c r="E81" s="1199">
        <f t="shared" si="6"/>
        <v>544.55122283257788</v>
      </c>
      <c r="F81" s="706">
        <v>372.00799999999998</v>
      </c>
      <c r="G81" s="1199">
        <f t="shared" si="7"/>
        <v>482.3703733333333</v>
      </c>
      <c r="H81" s="1199">
        <f t="shared" si="8"/>
        <v>62.180849499244573</v>
      </c>
      <c r="I81" s="706">
        <v>17.03360078964613</v>
      </c>
      <c r="J81" s="1199">
        <f t="shared" si="9"/>
        <v>45.147248709598443</v>
      </c>
    </row>
    <row r="82" spans="1:10" ht="14.4" x14ac:dyDescent="0.4">
      <c r="A82" s="529">
        <v>2035</v>
      </c>
      <c r="B82" s="1199">
        <f>'MSW Integration Calcs PDS2'!O191</f>
        <v>594.60169845937185</v>
      </c>
      <c r="C82" s="706">
        <v>555.83046466092242</v>
      </c>
      <c r="D82" s="1200">
        <f t="shared" si="5"/>
        <v>0.93479461310166678</v>
      </c>
      <c r="E82" s="1199">
        <f t="shared" si="6"/>
        <v>555.83046466092242</v>
      </c>
      <c r="F82" s="706">
        <v>380.69499999999999</v>
      </c>
      <c r="G82" s="1199">
        <f t="shared" si="7"/>
        <v>493.63451666666663</v>
      </c>
      <c r="H82" s="1199">
        <f t="shared" si="8"/>
        <v>62.195947994255789</v>
      </c>
      <c r="I82" s="706">
        <v>16.781129349292314</v>
      </c>
      <c r="J82" s="1199">
        <f t="shared" si="9"/>
        <v>45.414818644963475</v>
      </c>
    </row>
    <row r="83" spans="1:10" ht="14.4" x14ac:dyDescent="0.4">
      <c r="A83" s="529">
        <v>2036</v>
      </c>
      <c r="B83" s="1199">
        <f>'MSW Integration Calcs PDS2'!O192</f>
        <v>607.54040466866991</v>
      </c>
      <c r="C83" s="706">
        <v>567.45851627429192</v>
      </c>
      <c r="D83" s="1200">
        <f t="shared" si="5"/>
        <v>0.93402597080561722</v>
      </c>
      <c r="E83" s="1199">
        <f t="shared" si="6"/>
        <v>567.45851627429192</v>
      </c>
      <c r="F83" s="706">
        <v>389.82</v>
      </c>
      <c r="G83" s="1199">
        <f t="shared" si="7"/>
        <v>505.46659999999997</v>
      </c>
      <c r="H83" s="1199">
        <f t="shared" si="8"/>
        <v>61.991916274291953</v>
      </c>
      <c r="I83" s="706">
        <v>12.688122217091916</v>
      </c>
      <c r="J83" s="1199">
        <f t="shared" si="9"/>
        <v>49.303794057200037</v>
      </c>
    </row>
    <row r="84" spans="1:10" ht="14.4" x14ac:dyDescent="0.4">
      <c r="A84" s="529">
        <v>2037</v>
      </c>
      <c r="B84" s="1199">
        <f>'MSW Integration Calcs PDS2'!O193</f>
        <v>620.67063187610006</v>
      </c>
      <c r="C84" s="706">
        <v>579.44873286961729</v>
      </c>
      <c r="D84" s="1200">
        <f t="shared" si="5"/>
        <v>0.93358490495694724</v>
      </c>
      <c r="E84" s="1199">
        <f t="shared" si="6"/>
        <v>579.44873286961729</v>
      </c>
      <c r="F84" s="706">
        <v>399.38299999999998</v>
      </c>
      <c r="G84" s="1199">
        <f t="shared" si="7"/>
        <v>517.86662333333334</v>
      </c>
      <c r="H84" s="1199">
        <f t="shared" si="8"/>
        <v>61.582109536283951</v>
      </c>
      <c r="I84" s="706">
        <v>6.2630600658332582</v>
      </c>
      <c r="J84" s="1199">
        <f t="shared" si="9"/>
        <v>55.319049470450693</v>
      </c>
    </row>
    <row r="85" spans="1:10" ht="14.4" x14ac:dyDescent="0.4">
      <c r="A85" s="529">
        <v>2038</v>
      </c>
      <c r="B85" s="1199">
        <f>'MSW Integration Calcs PDS2'!O194</f>
        <v>633.96296385951007</v>
      </c>
      <c r="C85" s="706">
        <v>591.81467453677203</v>
      </c>
      <c r="D85" s="1200">
        <f t="shared" si="5"/>
        <v>0.93351616462554377</v>
      </c>
      <c r="E85" s="1199">
        <f t="shared" si="6"/>
        <v>591.81467453677203</v>
      </c>
      <c r="F85" s="706">
        <v>409.38399999999996</v>
      </c>
      <c r="G85" s="1199">
        <f t="shared" si="7"/>
        <v>530.83458666666661</v>
      </c>
      <c r="H85" s="1199">
        <f t="shared" si="8"/>
        <v>60.980087870105422</v>
      </c>
      <c r="I85" s="706">
        <v>0</v>
      </c>
      <c r="J85" s="1199">
        <f t="shared" si="9"/>
        <v>60.980087870105422</v>
      </c>
    </row>
    <row r="86" spans="1:10" ht="14.4" x14ac:dyDescent="0.4">
      <c r="A86" s="529">
        <v>2039</v>
      </c>
      <c r="B86" s="1199">
        <f>'MSW Integration Calcs PDS2'!O195</f>
        <v>647.41200442224579</v>
      </c>
      <c r="C86" s="706">
        <v>604.57011241979001</v>
      </c>
      <c r="D86" s="1200">
        <f t="shared" si="5"/>
        <v>0.93382592273572662</v>
      </c>
      <c r="E86" s="1199">
        <f t="shared" si="6"/>
        <v>604.57011241979001</v>
      </c>
      <c r="F86" s="706">
        <v>419.82299999999998</v>
      </c>
      <c r="G86" s="1199">
        <f t="shared" si="7"/>
        <v>544.3704899999999</v>
      </c>
      <c r="H86" s="1199">
        <f t="shared" si="8"/>
        <v>60.199622419790103</v>
      </c>
      <c r="I86" s="706">
        <v>0</v>
      </c>
      <c r="J86" s="1199">
        <f t="shared" si="9"/>
        <v>60.199622419790103</v>
      </c>
    </row>
    <row r="87" spans="1:10" ht="14.4" x14ac:dyDescent="0.4">
      <c r="A87" s="529">
        <v>2040</v>
      </c>
      <c r="B87" s="1199">
        <f>'MSW Integration Calcs PDS2'!O196</f>
        <v>660.25436152424447</v>
      </c>
      <c r="C87" s="706">
        <v>617.72903506922728</v>
      </c>
      <c r="D87" s="1200">
        <f t="shared" si="5"/>
        <v>0.9355925095945683</v>
      </c>
      <c r="E87" s="1199">
        <f t="shared" si="6"/>
        <v>617.72903506922728</v>
      </c>
      <c r="F87" s="706">
        <v>430.7</v>
      </c>
      <c r="G87" s="1199">
        <f t="shared" si="7"/>
        <v>558.47433333333333</v>
      </c>
      <c r="H87" s="1199">
        <f t="shared" si="8"/>
        <v>59.254701735893946</v>
      </c>
      <c r="I87" s="706">
        <v>0</v>
      </c>
      <c r="J87" s="1199">
        <f t="shared" si="9"/>
        <v>59.254701735893946</v>
      </c>
    </row>
    <row r="88" spans="1:10" ht="14.4" x14ac:dyDescent="0.4">
      <c r="A88" s="529">
        <v>2041</v>
      </c>
      <c r="B88" s="1199">
        <f>'MSW Integration Calcs PDS2'!O197</f>
        <v>674.74062574692732</v>
      </c>
      <c r="C88" s="706">
        <v>631.30565499177396</v>
      </c>
      <c r="D88" s="1200">
        <f t="shared" si="5"/>
        <v>0.9356271593887332</v>
      </c>
      <c r="E88" s="1199">
        <f t="shared" si="6"/>
        <v>631.30565499177396</v>
      </c>
      <c r="F88" s="706">
        <v>442.01499999999999</v>
      </c>
      <c r="G88" s="1199">
        <f t="shared" si="7"/>
        <v>573.14611666666667</v>
      </c>
      <c r="H88" s="1199">
        <f t="shared" si="8"/>
        <v>58.159538325107292</v>
      </c>
      <c r="I88" s="706">
        <v>0</v>
      </c>
      <c r="J88" s="1199">
        <f t="shared" si="9"/>
        <v>58.159538325107292</v>
      </c>
    </row>
    <row r="89" spans="1:10" ht="14.4" x14ac:dyDescent="0.4">
      <c r="A89" s="529">
        <v>2042</v>
      </c>
      <c r="B89" s="1199">
        <f>'MSW Integration Calcs PDS2'!O198</f>
        <v>688.36579001756627</v>
      </c>
      <c r="C89" s="706">
        <v>645.31441540340791</v>
      </c>
      <c r="D89" s="1200">
        <f t="shared" si="5"/>
        <v>0.93745857908909191</v>
      </c>
      <c r="E89" s="1199">
        <f t="shared" si="6"/>
        <v>645.31441540340791</v>
      </c>
      <c r="F89" s="706">
        <v>453.76800000000003</v>
      </c>
      <c r="G89" s="1199">
        <f t="shared" si="7"/>
        <v>588.38584000000003</v>
      </c>
      <c r="H89" s="1199">
        <f t="shared" si="8"/>
        <v>56.928575403407876</v>
      </c>
      <c r="I89" s="706">
        <v>0</v>
      </c>
      <c r="J89" s="1199">
        <f t="shared" si="9"/>
        <v>56.928575403407876</v>
      </c>
    </row>
    <row r="90" spans="1:10" ht="14.4" x14ac:dyDescent="0.4">
      <c r="A90" s="529">
        <v>2043</v>
      </c>
      <c r="B90" s="1199">
        <f>'MSW Integration Calcs PDS2'!O199</f>
        <v>702.13968972548719</v>
      </c>
      <c r="C90" s="706">
        <v>659.76999719260346</v>
      </c>
      <c r="D90" s="1200">
        <f t="shared" si="5"/>
        <v>0.93965632031220336</v>
      </c>
      <c r="E90" s="1199">
        <f t="shared" si="6"/>
        <v>659.76999719260346</v>
      </c>
      <c r="F90" s="706">
        <v>465.95899999999995</v>
      </c>
      <c r="G90" s="1199">
        <f t="shared" si="7"/>
        <v>604.1935033333333</v>
      </c>
      <c r="H90" s="1199">
        <f t="shared" si="8"/>
        <v>55.576493859270158</v>
      </c>
      <c r="I90" s="706">
        <v>0</v>
      </c>
      <c r="J90" s="1199">
        <f t="shared" si="9"/>
        <v>55.576493859270158</v>
      </c>
    </row>
    <row r="91" spans="1:10" ht="14.4" x14ac:dyDescent="0.4">
      <c r="A91" s="529">
        <v>2044</v>
      </c>
      <c r="B91" s="1199">
        <f>'MSW Integration Calcs PDS2'!O200</f>
        <v>716.06293856875311</v>
      </c>
      <c r="C91" s="706">
        <v>674.68732610030827</v>
      </c>
      <c r="D91" s="1200">
        <f t="shared" si="5"/>
        <v>0.94221791096862895</v>
      </c>
      <c r="E91" s="1199">
        <f t="shared" si="6"/>
        <v>674.68732610030827</v>
      </c>
      <c r="F91" s="706">
        <v>478.58800000000002</v>
      </c>
      <c r="G91" s="1199">
        <f t="shared" si="7"/>
        <v>620.5691066666667</v>
      </c>
      <c r="H91" s="1199">
        <f t="shared" si="8"/>
        <v>54.118219433641571</v>
      </c>
      <c r="I91" s="706">
        <v>0</v>
      </c>
      <c r="J91" s="1199">
        <f t="shared" si="9"/>
        <v>54.118219433641571</v>
      </c>
    </row>
    <row r="92" spans="1:10" ht="14.4" x14ac:dyDescent="0.4">
      <c r="A92" s="529">
        <v>2045</v>
      </c>
      <c r="B92" s="1199">
        <f>'MSW Integration Calcs PDS2'!O201</f>
        <v>730.16014319301712</v>
      </c>
      <c r="C92" s="706">
        <v>690.0815801236256</v>
      </c>
      <c r="D92" s="1200">
        <f t="shared" si="5"/>
        <v>0.94510990028279751</v>
      </c>
      <c r="E92" s="1199">
        <f t="shared" si="6"/>
        <v>690.0815801236256</v>
      </c>
      <c r="F92" s="706">
        <v>491.65499999999997</v>
      </c>
      <c r="G92" s="1199">
        <f t="shared" si="7"/>
        <v>637.51264999999989</v>
      </c>
      <c r="H92" s="1199">
        <f t="shared" si="8"/>
        <v>52.568930123625705</v>
      </c>
      <c r="I92" s="706">
        <v>0</v>
      </c>
      <c r="J92" s="1199">
        <f t="shared" si="9"/>
        <v>52.568930123625705</v>
      </c>
    </row>
    <row r="93" spans="1:10" ht="14.4" x14ac:dyDescent="0.4">
      <c r="A93" s="529">
        <v>2046</v>
      </c>
      <c r="B93" s="1199">
        <f>'MSW Integration Calcs PDS2'!O202</f>
        <v>744.3358162926437</v>
      </c>
      <c r="C93" s="706">
        <v>705.96819715037543</v>
      </c>
      <c r="D93" s="1200">
        <f t="shared" si="5"/>
        <v>0.94845388559512278</v>
      </c>
      <c r="E93" s="1199">
        <f t="shared" si="6"/>
        <v>705.96819715037543</v>
      </c>
      <c r="F93" s="706">
        <v>505.15999999999997</v>
      </c>
      <c r="G93" s="1199">
        <f t="shared" si="7"/>
        <v>655.02413333333322</v>
      </c>
      <c r="H93" s="1199">
        <f t="shared" si="8"/>
        <v>50.944063817042206</v>
      </c>
      <c r="I93" s="706">
        <v>0</v>
      </c>
      <c r="J93" s="1199">
        <f t="shared" si="9"/>
        <v>50.944063817042206</v>
      </c>
    </row>
    <row r="94" spans="1:10" ht="14.4" x14ac:dyDescent="0.4">
      <c r="A94" s="529">
        <v>2047</v>
      </c>
      <c r="B94" s="1199">
        <f>'MSW Integration Calcs PDS2'!O203</f>
        <v>758.59459111571755</v>
      </c>
      <c r="C94" s="706">
        <v>722.36288283192539</v>
      </c>
      <c r="D94" s="1200">
        <f t="shared" si="5"/>
        <v>0.95223837777368847</v>
      </c>
      <c r="E94" s="1199">
        <f t="shared" si="6"/>
        <v>722.36288283192539</v>
      </c>
      <c r="F94" s="706">
        <v>519.10299999999995</v>
      </c>
      <c r="G94" s="1199">
        <f t="shared" si="7"/>
        <v>673.10355666666658</v>
      </c>
      <c r="H94" s="1199">
        <f t="shared" si="8"/>
        <v>49.259326165258813</v>
      </c>
      <c r="I94" s="706">
        <v>0</v>
      </c>
      <c r="J94" s="1199">
        <f t="shared" si="9"/>
        <v>49.259326165258813</v>
      </c>
    </row>
    <row r="95" spans="1:10" ht="14.4" x14ac:dyDescent="0.4">
      <c r="A95" s="529">
        <v>2048</v>
      </c>
      <c r="B95" s="1199">
        <f>'MSW Integration Calcs PDS2'!O204</f>
        <v>772.94968454845889</v>
      </c>
      <c r="C95" s="706">
        <v>739.28161870194594</v>
      </c>
      <c r="D95" s="1200">
        <f t="shared" si="5"/>
        <v>0.95644209898839516</v>
      </c>
      <c r="E95" s="1199">
        <f t="shared" si="6"/>
        <v>739.28161870194594</v>
      </c>
      <c r="F95" s="706">
        <v>533.48399999999992</v>
      </c>
      <c r="G95" s="1199">
        <f t="shared" si="7"/>
        <v>691.75091999999984</v>
      </c>
      <c r="H95" s="1199">
        <f t="shared" si="8"/>
        <v>47.530698701946108</v>
      </c>
      <c r="I95" s="706">
        <v>0</v>
      </c>
      <c r="J95" s="1199">
        <f t="shared" si="9"/>
        <v>47.530698701946108</v>
      </c>
    </row>
    <row r="96" spans="1:10" ht="14.4" x14ac:dyDescent="0.4">
      <c r="A96" s="529">
        <v>2049</v>
      </c>
      <c r="B96" s="1199">
        <f>'MSW Integration Calcs PDS2'!O205</f>
        <v>787.3972514728847</v>
      </c>
      <c r="C96" s="706">
        <v>756.74067054897671</v>
      </c>
      <c r="D96" s="1200">
        <f t="shared" si="5"/>
        <v>0.96106592845407757</v>
      </c>
      <c r="E96" s="1199">
        <f t="shared" si="6"/>
        <v>756.74067054897671</v>
      </c>
      <c r="F96" s="706">
        <v>548.303</v>
      </c>
      <c r="G96" s="1199">
        <f t="shared" si="7"/>
        <v>710.96622333333335</v>
      </c>
      <c r="H96" s="1199">
        <f t="shared" si="8"/>
        <v>45.774447215643363</v>
      </c>
      <c r="I96" s="706">
        <v>0</v>
      </c>
      <c r="J96" s="1199">
        <f t="shared" si="9"/>
        <v>45.774447215643363</v>
      </c>
    </row>
    <row r="97" spans="1:10" ht="14.4" x14ac:dyDescent="0.4">
      <c r="A97" s="529">
        <v>2050</v>
      </c>
      <c r="B97" s="1199">
        <f>'MSW Integration Calcs PDS2'!O206</f>
        <v>801.77660768089572</v>
      </c>
      <c r="C97" s="706">
        <v>774.70614042995862</v>
      </c>
      <c r="D97" s="1200">
        <f t="shared" si="5"/>
        <v>0.96623689567442328</v>
      </c>
      <c r="E97" s="1199">
        <f t="shared" si="6"/>
        <v>774.70614042995862</v>
      </c>
      <c r="F97" s="706">
        <v>563.55999999999995</v>
      </c>
      <c r="G97" s="1199">
        <f t="shared" si="7"/>
        <v>730.74946666666654</v>
      </c>
      <c r="H97" s="1199">
        <f t="shared" si="8"/>
        <v>43.956673763292088</v>
      </c>
      <c r="I97" s="706">
        <v>0</v>
      </c>
      <c r="J97" s="1199">
        <f t="shared" si="9"/>
        <v>43.956673763292088</v>
      </c>
    </row>
    <row r="98" spans="1:10" ht="14.4" x14ac:dyDescent="0.4">
      <c r="A98" s="529">
        <v>2051</v>
      </c>
      <c r="B98" s="1199">
        <f>'MSW Integration Calcs PDS2'!O207</f>
        <v>816.55585088147109</v>
      </c>
      <c r="C98" s="706">
        <v>793.28006740866385</v>
      </c>
      <c r="D98" s="1200">
        <f t="shared" si="5"/>
        <v>0.97149517274576991</v>
      </c>
      <c r="E98" s="1199">
        <f t="shared" si="6"/>
        <v>793.28006740866385</v>
      </c>
      <c r="F98" s="706">
        <v>579.255</v>
      </c>
      <c r="G98" s="1199">
        <f t="shared" si="7"/>
        <v>751.10064999999997</v>
      </c>
      <c r="H98" s="1199">
        <f t="shared" si="8"/>
        <v>42.17941740866388</v>
      </c>
      <c r="I98" s="706">
        <v>0</v>
      </c>
      <c r="J98" s="1199">
        <f t="shared" si="9"/>
        <v>42.17941740866388</v>
      </c>
    </row>
    <row r="99" spans="1:10" ht="14.4" x14ac:dyDescent="0.4">
      <c r="A99" s="529">
        <v>2052</v>
      </c>
      <c r="B99" s="1199">
        <f>'MSW Integration Calcs PDS2'!O208</f>
        <v>831.2610401516589</v>
      </c>
      <c r="C99" s="706">
        <v>811.75322952191584</v>
      </c>
      <c r="D99" s="1200">
        <f t="shared" si="5"/>
        <v>0.97653226882113475</v>
      </c>
      <c r="E99" s="1199">
        <f t="shared" si="6"/>
        <v>811.75322952191584</v>
      </c>
      <c r="F99" s="706">
        <v>595.38800000000003</v>
      </c>
      <c r="G99" s="1199">
        <f t="shared" si="7"/>
        <v>772.01977333333332</v>
      </c>
      <c r="H99" s="1199">
        <f t="shared" si="8"/>
        <v>39.733456188582522</v>
      </c>
      <c r="I99" s="706">
        <v>0</v>
      </c>
      <c r="J99" s="1199">
        <f t="shared" si="9"/>
        <v>39.733456188582522</v>
      </c>
    </row>
    <row r="100" spans="1:10" ht="14.4" x14ac:dyDescent="0.4">
      <c r="A100" s="529">
        <v>2053</v>
      </c>
      <c r="B100" s="1199">
        <f>'MSW Integration Calcs PDS2'!O209</f>
        <v>846.04614875968241</v>
      </c>
      <c r="C100" s="706">
        <v>830.63807809768787</v>
      </c>
      <c r="D100" s="1200">
        <f t="shared" si="5"/>
        <v>0.9817881439628523</v>
      </c>
      <c r="E100" s="1199">
        <f t="shared" si="6"/>
        <v>830.63807809768787</v>
      </c>
      <c r="F100" s="706">
        <v>611.95899999999995</v>
      </c>
      <c r="G100" s="1199">
        <f t="shared" si="7"/>
        <v>793.50683666666657</v>
      </c>
      <c r="H100" s="1199">
        <f t="shared" si="8"/>
        <v>37.131241431021294</v>
      </c>
      <c r="I100" s="706">
        <v>0</v>
      </c>
      <c r="J100" s="1199">
        <f t="shared" si="9"/>
        <v>37.131241431021294</v>
      </c>
    </row>
    <row r="101" spans="1:10" ht="14.4" x14ac:dyDescent="0.4">
      <c r="A101" s="529">
        <v>2054</v>
      </c>
      <c r="B101" s="1199">
        <f>'MSW Integration Calcs PDS2'!O210</f>
        <v>860.9082006365561</v>
      </c>
      <c r="C101" s="706">
        <v>849.93461313598027</v>
      </c>
      <c r="D101" s="1200">
        <f t="shared" si="5"/>
        <v>0.98725347546641795</v>
      </c>
      <c r="E101" s="1199">
        <f t="shared" si="6"/>
        <v>849.93461313598027</v>
      </c>
      <c r="F101" s="706">
        <v>628.96799999999996</v>
      </c>
      <c r="G101" s="1199">
        <f t="shared" si="7"/>
        <v>815.56183999999996</v>
      </c>
      <c r="H101" s="1199">
        <f t="shared" si="8"/>
        <v>34.37277313598031</v>
      </c>
      <c r="I101" s="706">
        <v>0</v>
      </c>
      <c r="J101" s="1199">
        <f t="shared" si="9"/>
        <v>34.37277313598031</v>
      </c>
    </row>
    <row r="102" spans="1:10" ht="14.4" x14ac:dyDescent="0.4">
      <c r="A102" s="529">
        <v>2055</v>
      </c>
      <c r="B102" s="1199">
        <f>'MSW Integration Calcs PDS2'!O211</f>
        <v>875.84459399766547</v>
      </c>
      <c r="C102" s="706">
        <v>869.64283463679283</v>
      </c>
      <c r="D102" s="1200">
        <f t="shared" si="5"/>
        <v>0.99291910984736964</v>
      </c>
      <c r="E102" s="1199">
        <f t="shared" si="6"/>
        <v>869.64283463679283</v>
      </c>
      <c r="F102" s="706">
        <v>646.41499999999996</v>
      </c>
      <c r="G102" s="1199">
        <f t="shared" si="7"/>
        <v>838.18478333333326</v>
      </c>
      <c r="H102" s="1199">
        <f t="shared" si="8"/>
        <v>31.45805130345957</v>
      </c>
      <c r="I102" s="706">
        <v>0</v>
      </c>
      <c r="J102" s="1199">
        <f t="shared" si="9"/>
        <v>31.45805130345957</v>
      </c>
    </row>
    <row r="103" spans="1:10" ht="14.4" x14ac:dyDescent="0.4">
      <c r="A103" s="529">
        <v>2056</v>
      </c>
      <c r="B103" s="1199">
        <f>'MSW Integration Calcs PDS2'!O212</f>
        <v>890.8530098780941</v>
      </c>
      <c r="C103" s="706">
        <v>889.76274260012553</v>
      </c>
      <c r="D103" s="1200">
        <f t="shared" si="5"/>
        <v>0.99877615356755911</v>
      </c>
      <c r="E103" s="1199">
        <f t="shared" si="6"/>
        <v>889.76274260012553</v>
      </c>
      <c r="F103" s="706">
        <v>664.3</v>
      </c>
      <c r="G103" s="1199">
        <f t="shared" si="7"/>
        <v>861.37566666666658</v>
      </c>
      <c r="H103" s="1199">
        <f t="shared" si="8"/>
        <v>28.387075933458959</v>
      </c>
      <c r="I103" s="706">
        <v>2.1735179095892363</v>
      </c>
      <c r="J103" s="1199">
        <f t="shared" si="9"/>
        <v>26.213558023869723</v>
      </c>
    </row>
    <row r="104" spans="1:10" ht="14.4" x14ac:dyDescent="0.4">
      <c r="A104" s="529">
        <v>2057</v>
      </c>
      <c r="B104" s="1199">
        <f>'MSW Integration Calcs PDS2'!O213</f>
        <v>905.93170268323081</v>
      </c>
      <c r="C104" s="706">
        <v>910.29433702597839</v>
      </c>
      <c r="D104" s="1200">
        <f t="shared" si="5"/>
        <v>1</v>
      </c>
      <c r="E104" s="1199">
        <f t="shared" si="6"/>
        <v>905.93170268323081</v>
      </c>
      <c r="F104" s="706">
        <v>682.62299999999993</v>
      </c>
      <c r="G104" s="1199">
        <f t="shared" si="7"/>
        <v>885.13448999999991</v>
      </c>
      <c r="H104" s="1199">
        <f t="shared" si="8"/>
        <v>20.797212683230896</v>
      </c>
      <c r="I104" s="706">
        <v>9.192682570560919</v>
      </c>
      <c r="J104" s="1199">
        <f t="shared" si="9"/>
        <v>11.604530112669977</v>
      </c>
    </row>
    <row r="105" spans="1:10" ht="14.4" x14ac:dyDescent="0.4">
      <c r="A105" s="529">
        <v>2058</v>
      </c>
      <c r="B105" s="1199">
        <f>'MSW Integration Calcs PDS2'!O214</f>
        <v>921.07959586446191</v>
      </c>
      <c r="C105" s="706">
        <v>931.23761791435163</v>
      </c>
      <c r="D105" s="1200">
        <f t="shared" si="5"/>
        <v>1</v>
      </c>
      <c r="E105" s="1199">
        <f t="shared" si="6"/>
        <v>921.07959586446191</v>
      </c>
      <c r="F105" s="706">
        <v>701.3839999999999</v>
      </c>
      <c r="G105" s="1199">
        <f t="shared" si="7"/>
        <v>909.46125333333316</v>
      </c>
      <c r="H105" s="1199">
        <f t="shared" si="8"/>
        <v>11.618342531128746</v>
      </c>
      <c r="I105" s="706">
        <v>11.864974658789833</v>
      </c>
      <c r="J105" s="1199">
        <f t="shared" si="9"/>
        <v>-0.246632127661087</v>
      </c>
    </row>
    <row r="106" spans="1:10" ht="14.4" x14ac:dyDescent="0.4">
      <c r="A106" s="529">
        <v>2059</v>
      </c>
      <c r="B106" s="1199">
        <f>'MSW Integration Calcs PDS2'!O215</f>
        <v>936.29613148582268</v>
      </c>
      <c r="C106" s="706">
        <v>952.59258526524491</v>
      </c>
      <c r="D106" s="1200">
        <f t="shared" si="5"/>
        <v>1</v>
      </c>
      <c r="E106" s="1199">
        <f t="shared" si="6"/>
        <v>936.29613148582268</v>
      </c>
      <c r="F106" s="706">
        <v>720.58299999999997</v>
      </c>
      <c r="G106" s="1199">
        <f t="shared" si="7"/>
        <v>934.35595666666666</v>
      </c>
      <c r="H106" s="1199">
        <f t="shared" si="8"/>
        <v>1.9401748191560273</v>
      </c>
      <c r="I106" s="706">
        <v>11.687581971733607</v>
      </c>
      <c r="J106" s="1199">
        <f t="shared" si="9"/>
        <v>-9.7474071525775798</v>
      </c>
    </row>
    <row r="107" spans="1:10" ht="14.4" x14ac:dyDescent="0.4">
      <c r="A107" s="529">
        <v>2060</v>
      </c>
      <c r="B107" s="1199">
        <f>'MSW Integration Calcs PDS2'!O216</f>
        <v>951.58079278820207</v>
      </c>
      <c r="C107" s="706">
        <v>974.35923907865845</v>
      </c>
      <c r="D107" s="1200">
        <f t="shared" si="5"/>
        <v>1</v>
      </c>
      <c r="E107" s="1199">
        <f t="shared" si="6"/>
        <v>951.58079278820207</v>
      </c>
      <c r="F107" s="706">
        <v>740.22</v>
      </c>
      <c r="G107" s="1199">
        <f t="shared" si="7"/>
        <v>959.81860000000006</v>
      </c>
      <c r="H107" s="1199">
        <f t="shared" si="8"/>
        <v>-8.2378072117979855</v>
      </c>
      <c r="I107" s="706">
        <v>11.516510953442321</v>
      </c>
      <c r="J107" s="1199">
        <f t="shared" si="9"/>
        <v>-19.754318165240306</v>
      </c>
    </row>
    <row r="112" spans="1:10" x14ac:dyDescent="0.4">
      <c r="B112" s="1288" t="s">
        <v>389</v>
      </c>
      <c r="C112" s="1288"/>
      <c r="D112" s="1288"/>
      <c r="E112" s="1288"/>
      <c r="F112" s="1288"/>
      <c r="G112" s="1288"/>
      <c r="H112" s="1288"/>
      <c r="I112" s="1288"/>
      <c r="J112" s="1288"/>
    </row>
    <row r="113" spans="1:10" ht="61.5" x14ac:dyDescent="0.4">
      <c r="B113" s="1254"/>
      <c r="C113" s="1192"/>
      <c r="D113" s="1192"/>
      <c r="E113" s="1192"/>
      <c r="F113" s="341" t="s">
        <v>1087</v>
      </c>
      <c r="G113" s="1195">
        <v>1.1154056516756992</v>
      </c>
      <c r="H113" s="1254"/>
      <c r="I113" s="1254"/>
      <c r="J113" s="1254"/>
    </row>
    <row r="114" spans="1:10" ht="86.4" x14ac:dyDescent="0.45">
      <c r="B114" s="1185" t="s">
        <v>1085</v>
      </c>
      <c r="C114" s="1186" t="s">
        <v>1092</v>
      </c>
      <c r="D114" s="1186"/>
      <c r="E114" s="1186"/>
      <c r="F114" s="1252" t="s">
        <v>1136</v>
      </c>
      <c r="I114" s="1196" t="s">
        <v>1073</v>
      </c>
    </row>
    <row r="115" spans="1:10" ht="76" customHeight="1" x14ac:dyDescent="0.4">
      <c r="B115" s="1193" t="s">
        <v>1084</v>
      </c>
      <c r="C115" s="1193" t="s">
        <v>1088</v>
      </c>
      <c r="D115" s="1193" t="s">
        <v>1104</v>
      </c>
      <c r="E115" s="1193" t="s">
        <v>1105</v>
      </c>
      <c r="F115" s="1193" t="s">
        <v>1139</v>
      </c>
      <c r="G115" s="1193" t="s">
        <v>1100</v>
      </c>
      <c r="H115" s="1193" t="s">
        <v>1089</v>
      </c>
      <c r="I115" s="1255" t="s">
        <v>1091</v>
      </c>
      <c r="J115" s="1253" t="s">
        <v>1090</v>
      </c>
    </row>
    <row r="116" spans="1:10" ht="14.4" x14ac:dyDescent="0.4">
      <c r="A116" s="529">
        <v>2014</v>
      </c>
      <c r="B116" s="1199">
        <f>'MSW Integration Calcs PDS3'!O170</f>
        <v>341.7860216816789</v>
      </c>
      <c r="C116" s="706">
        <v>404.08731600000004</v>
      </c>
      <c r="D116" s="1200">
        <f t="shared" ref="D116:D162" si="10">IF(C116/B116&gt;1, 1, C116/B116)</f>
        <v>1</v>
      </c>
      <c r="E116" s="1199">
        <f t="shared" ref="E116:E162" si="11">B116*D116</f>
        <v>341.7860216816789</v>
      </c>
      <c r="F116" s="706">
        <v>203.73054651337733</v>
      </c>
      <c r="G116" s="1199">
        <f t="shared" ref="G116:G162" si="12">F116*$G$113</f>
        <v>227.24220299999999</v>
      </c>
      <c r="H116" s="1199">
        <f>E116-G116</f>
        <v>114.54381868167891</v>
      </c>
      <c r="I116" s="706">
        <v>0</v>
      </c>
      <c r="J116" s="1199">
        <f t="shared" ref="J116:J162" si="13">H116-I116</f>
        <v>114.54381868167891</v>
      </c>
    </row>
    <row r="117" spans="1:10" ht="14.4" x14ac:dyDescent="0.4">
      <c r="A117" s="529">
        <v>2015</v>
      </c>
      <c r="B117" s="1199">
        <f>'MSW Integration Calcs PDS3'!O171</f>
        <v>363.88533774070322</v>
      </c>
      <c r="C117" s="706">
        <v>406.92588399999994</v>
      </c>
      <c r="D117" s="1200">
        <f t="shared" si="10"/>
        <v>1</v>
      </c>
      <c r="E117" s="1199">
        <f t="shared" si="11"/>
        <v>363.88533774070322</v>
      </c>
      <c r="F117" s="706">
        <v>204.48991419160959</v>
      </c>
      <c r="G117" s="1199">
        <f t="shared" si="12"/>
        <v>228.0892060000001</v>
      </c>
      <c r="H117" s="1199">
        <f t="shared" ref="H117:H162" si="14">E117-G117</f>
        <v>135.79613174070312</v>
      </c>
      <c r="I117" s="706">
        <v>72.683198787500999</v>
      </c>
      <c r="J117" s="1199">
        <f t="shared" si="13"/>
        <v>63.112932953202119</v>
      </c>
    </row>
    <row r="118" spans="1:10" ht="14.4" x14ac:dyDescent="0.4">
      <c r="A118" s="529">
        <v>2016</v>
      </c>
      <c r="B118" s="1199">
        <f>'MSW Integration Calcs PDS3'!O172</f>
        <v>381.89999999999986</v>
      </c>
      <c r="C118" s="706">
        <v>409.34131699999995</v>
      </c>
      <c r="D118" s="1200">
        <f t="shared" si="10"/>
        <v>1</v>
      </c>
      <c r="E118" s="1199">
        <f t="shared" si="11"/>
        <v>381.89999999999986</v>
      </c>
      <c r="F118" s="706">
        <v>206.46341145396693</v>
      </c>
      <c r="G118" s="1199">
        <f t="shared" si="12"/>
        <v>230.29045599999998</v>
      </c>
      <c r="H118" s="1199">
        <f t="shared" si="14"/>
        <v>151.60954399999989</v>
      </c>
      <c r="I118" s="706">
        <v>32.543413872778956</v>
      </c>
      <c r="J118" s="1199">
        <f t="shared" si="13"/>
        <v>119.06613012722093</v>
      </c>
    </row>
    <row r="119" spans="1:10" ht="14.4" x14ac:dyDescent="0.4">
      <c r="A119" s="529">
        <v>2017</v>
      </c>
      <c r="B119" s="1199">
        <f>'MSW Integration Calcs PDS3'!O173</f>
        <v>407.98435400123185</v>
      </c>
      <c r="C119" s="706">
        <v>415.22403500000007</v>
      </c>
      <c r="D119" s="1200">
        <f t="shared" si="10"/>
        <v>1</v>
      </c>
      <c r="E119" s="1199">
        <f t="shared" si="11"/>
        <v>407.98435400123185</v>
      </c>
      <c r="F119" s="706">
        <v>209.65608848106467</v>
      </c>
      <c r="G119" s="1199">
        <f t="shared" si="12"/>
        <v>233.851586</v>
      </c>
      <c r="H119" s="1199">
        <f t="shared" si="14"/>
        <v>174.13276800123185</v>
      </c>
      <c r="I119" s="706">
        <v>32.086302423670247</v>
      </c>
      <c r="J119" s="1199">
        <f t="shared" si="13"/>
        <v>142.04646557756161</v>
      </c>
    </row>
    <row r="120" spans="1:10" ht="14.4" x14ac:dyDescent="0.4">
      <c r="A120" s="529">
        <v>2018</v>
      </c>
      <c r="B120" s="1199">
        <f>'MSW Integration Calcs PDS3'!O174</f>
        <v>415.44977691844497</v>
      </c>
      <c r="C120" s="706">
        <v>408.843143</v>
      </c>
      <c r="D120" s="1200">
        <f t="shared" si="10"/>
        <v>0.98409763517638882</v>
      </c>
      <c r="E120" s="1199">
        <f t="shared" si="11"/>
        <v>408.843143</v>
      </c>
      <c r="F120" s="706">
        <v>205.89459751022355</v>
      </c>
      <c r="G120" s="1199">
        <f t="shared" si="12"/>
        <v>229.65599771239667</v>
      </c>
      <c r="H120" s="1199">
        <f t="shared" si="14"/>
        <v>179.18714528760333</v>
      </c>
      <c r="I120" s="706">
        <v>31.623827265838372</v>
      </c>
      <c r="J120" s="1199">
        <f t="shared" si="13"/>
        <v>147.56331802176496</v>
      </c>
    </row>
    <row r="121" spans="1:10" ht="14.4" x14ac:dyDescent="0.4">
      <c r="A121" s="529">
        <v>2019</v>
      </c>
      <c r="B121" s="1199">
        <f>'MSW Integration Calcs PDS3'!O175</f>
        <v>423.20764193175285</v>
      </c>
      <c r="C121" s="706">
        <v>407.37247715767188</v>
      </c>
      <c r="D121" s="1200">
        <f t="shared" si="10"/>
        <v>0.96258298951833543</v>
      </c>
      <c r="E121" s="1199">
        <f t="shared" si="11"/>
        <v>407.37247715767188</v>
      </c>
      <c r="F121" s="706">
        <v>230.62762422491744</v>
      </c>
      <c r="G121" s="1199">
        <f t="shared" si="12"/>
        <v>257.2433554930123</v>
      </c>
      <c r="H121" s="1199">
        <f t="shared" si="14"/>
        <v>150.12912166465958</v>
      </c>
      <c r="I121" s="706">
        <v>31.150788539061352</v>
      </c>
      <c r="J121" s="1199">
        <f t="shared" si="13"/>
        <v>118.97833312559823</v>
      </c>
    </row>
    <row r="122" spans="1:10" ht="14.4" x14ac:dyDescent="0.4">
      <c r="A122" s="529">
        <v>2020</v>
      </c>
      <c r="B122" s="1199">
        <f>'MSW Integration Calcs PDS3'!O176</f>
        <v>431.35895949500411</v>
      </c>
      <c r="C122" s="706">
        <v>415.88104035900426</v>
      </c>
      <c r="D122" s="1200">
        <f t="shared" si="10"/>
        <v>0.96411823889291648</v>
      </c>
      <c r="E122" s="1199">
        <f t="shared" si="11"/>
        <v>415.88104035900426</v>
      </c>
      <c r="F122" s="706">
        <v>239.14944488470735</v>
      </c>
      <c r="G122" s="1199">
        <f t="shared" si="12"/>
        <v>266.74864241950871</v>
      </c>
      <c r="H122" s="1199">
        <f t="shared" si="14"/>
        <v>149.13239793949555</v>
      </c>
      <c r="I122" s="706">
        <v>30.670628419755417</v>
      </c>
      <c r="J122" s="1199">
        <f t="shared" si="13"/>
        <v>118.46176951974013</v>
      </c>
    </row>
    <row r="123" spans="1:10" ht="14.4" x14ac:dyDescent="0.4">
      <c r="A123" s="529">
        <v>2021</v>
      </c>
      <c r="B123" s="1199">
        <f>'MSW Integration Calcs PDS3'!O177</f>
        <v>439.28218533793995</v>
      </c>
      <c r="C123" s="706">
        <v>424.60324438389813</v>
      </c>
      <c r="D123" s="1200">
        <f t="shared" si="10"/>
        <v>0.96658425621619659</v>
      </c>
      <c r="E123" s="1199">
        <f t="shared" si="11"/>
        <v>424.60324438389813</v>
      </c>
      <c r="F123" s="706">
        <v>248.63788332164944</v>
      </c>
      <c r="G123" s="1199">
        <f t="shared" si="12"/>
        <v>277.33210027765085</v>
      </c>
      <c r="H123" s="1199">
        <f t="shared" si="14"/>
        <v>147.27114410624728</v>
      </c>
      <c r="I123" s="706">
        <v>29.959476074754036</v>
      </c>
      <c r="J123" s="1199">
        <f t="shared" si="13"/>
        <v>117.31166803149324</v>
      </c>
    </row>
    <row r="124" spans="1:10" ht="14.4" x14ac:dyDescent="0.4">
      <c r="A124" s="529">
        <v>2022</v>
      </c>
      <c r="B124" s="1199">
        <f>'MSW Integration Calcs PDS3'!O178</f>
        <v>447.57194574128391</v>
      </c>
      <c r="C124" s="706">
        <v>432.60359210289306</v>
      </c>
      <c r="D124" s="1200">
        <f t="shared" si="10"/>
        <v>0.96655654184580364</v>
      </c>
      <c r="E124" s="1199">
        <f t="shared" si="11"/>
        <v>432.60359210289306</v>
      </c>
      <c r="F124" s="706">
        <v>258.73580451530472</v>
      </c>
      <c r="G124" s="1199">
        <f t="shared" si="12"/>
        <v>288.59537864722978</v>
      </c>
      <c r="H124" s="1199">
        <f t="shared" si="14"/>
        <v>144.00821345566328</v>
      </c>
      <c r="I124" s="706">
        <v>29.268182113106946</v>
      </c>
      <c r="J124" s="1199">
        <f t="shared" si="13"/>
        <v>114.74003134255634</v>
      </c>
    </row>
    <row r="125" spans="1:10" ht="14.4" x14ac:dyDescent="0.4">
      <c r="A125" s="529">
        <v>2023</v>
      </c>
      <c r="B125" s="1199">
        <f>'MSW Integration Calcs PDS3'!O179</f>
        <v>456.07158944859214</v>
      </c>
      <c r="C125" s="706">
        <v>440.60181815289531</v>
      </c>
      <c r="D125" s="1200">
        <f t="shared" si="10"/>
        <v>0.9660803881373089</v>
      </c>
      <c r="E125" s="1199">
        <f t="shared" si="11"/>
        <v>440.60181815289531</v>
      </c>
      <c r="F125" s="706">
        <v>269.58488582875958</v>
      </c>
      <c r="G125" s="1199">
        <f t="shared" si="12"/>
        <v>300.69650525974652</v>
      </c>
      <c r="H125" s="1199">
        <f t="shared" si="14"/>
        <v>139.90531289314879</v>
      </c>
      <c r="I125" s="706">
        <v>28.598191574614702</v>
      </c>
      <c r="J125" s="1199">
        <f t="shared" si="13"/>
        <v>111.30712131853409</v>
      </c>
    </row>
    <row r="126" spans="1:10" ht="14.4" x14ac:dyDescent="0.4">
      <c r="A126" s="529">
        <v>2024</v>
      </c>
      <c r="B126" s="1199">
        <f>'MSW Integration Calcs PDS3'!O180</f>
        <v>464.76380921850205</v>
      </c>
      <c r="C126" s="706">
        <v>448.56137513547901</v>
      </c>
      <c r="D126" s="1200">
        <f t="shared" si="10"/>
        <v>0.96513834820687239</v>
      </c>
      <c r="E126" s="1199">
        <f t="shared" si="11"/>
        <v>448.56137513547901</v>
      </c>
      <c r="F126" s="706">
        <v>281.16008035390769</v>
      </c>
      <c r="G126" s="1199">
        <f t="shared" si="12"/>
        <v>313.60754265234232</v>
      </c>
      <c r="H126" s="1199">
        <f t="shared" si="14"/>
        <v>134.95383248313669</v>
      </c>
      <c r="I126" s="706">
        <v>27.952545451421543</v>
      </c>
      <c r="J126" s="1199">
        <f t="shared" si="13"/>
        <v>107.00128703171515</v>
      </c>
    </row>
    <row r="127" spans="1:10" ht="14.4" x14ac:dyDescent="0.4">
      <c r="A127" s="529">
        <v>2025</v>
      </c>
      <c r="B127" s="1199">
        <f>'MSW Integration Calcs PDS3'!O181</f>
        <v>474.45456454294197</v>
      </c>
      <c r="C127" s="706">
        <v>456.97572824558705</v>
      </c>
      <c r="D127" s="1200">
        <f t="shared" si="10"/>
        <v>0.96316014724361887</v>
      </c>
      <c r="E127" s="1199">
        <f t="shared" si="11"/>
        <v>456.97572824558705</v>
      </c>
      <c r="F127" s="706">
        <v>294.38527059661158</v>
      </c>
      <c r="G127" s="1199">
        <f t="shared" si="12"/>
        <v>328.35899459354056</v>
      </c>
      <c r="H127" s="1199">
        <f t="shared" si="14"/>
        <v>128.61673365204649</v>
      </c>
      <c r="I127" s="706">
        <v>27.329133095626617</v>
      </c>
      <c r="J127" s="1199">
        <f t="shared" si="13"/>
        <v>101.28760055641987</v>
      </c>
    </row>
    <row r="128" spans="1:10" ht="14.4" x14ac:dyDescent="0.4">
      <c r="A128" s="529">
        <v>2026</v>
      </c>
      <c r="B128" s="1199">
        <f>'MSW Integration Calcs PDS3'!O182</f>
        <v>484.32983940790632</v>
      </c>
      <c r="C128" s="706">
        <v>465.61519856559846</v>
      </c>
      <c r="D128" s="1200">
        <f t="shared" si="10"/>
        <v>0.96135971951431587</v>
      </c>
      <c r="E128" s="1199">
        <f t="shared" si="11"/>
        <v>465.61519856559846</v>
      </c>
      <c r="F128" s="706">
        <v>306.46543391614011</v>
      </c>
      <c r="G128" s="1199">
        <f t="shared" si="12"/>
        <v>341.83327703330821</v>
      </c>
      <c r="H128" s="1199">
        <f t="shared" si="14"/>
        <v>123.78192153229026</v>
      </c>
      <c r="I128" s="706">
        <v>26.611407194363096</v>
      </c>
      <c r="J128" s="1199">
        <f t="shared" si="13"/>
        <v>97.170514337927159</v>
      </c>
    </row>
    <row r="129" spans="1:10" ht="14.4" x14ac:dyDescent="0.4">
      <c r="A129" s="529">
        <v>2027</v>
      </c>
      <c r="B129" s="1199">
        <f>'MSW Integration Calcs PDS3'!O183</f>
        <v>495.98162236023802</v>
      </c>
      <c r="C129" s="706">
        <v>474.49155267691356</v>
      </c>
      <c r="D129" s="1200">
        <f t="shared" si="10"/>
        <v>0.95667164121714987</v>
      </c>
      <c r="E129" s="1199">
        <f t="shared" si="11"/>
        <v>474.49155267691356</v>
      </c>
      <c r="F129" s="706">
        <v>320.20754490964924</v>
      </c>
      <c r="G129" s="1199">
        <f t="shared" si="12"/>
        <v>357.161305301423</v>
      </c>
      <c r="H129" s="1199">
        <f t="shared" si="14"/>
        <v>117.33024737549056</v>
      </c>
      <c r="I129" s="706">
        <v>19.772939173430586</v>
      </c>
      <c r="J129" s="1199">
        <f t="shared" si="13"/>
        <v>97.557308202059971</v>
      </c>
    </row>
    <row r="130" spans="1:10" ht="14.4" x14ac:dyDescent="0.4">
      <c r="A130" s="529">
        <v>2028</v>
      </c>
      <c r="B130" s="1199">
        <f>'MSW Integration Calcs PDS3'!O184</f>
        <v>507.81399693935202</v>
      </c>
      <c r="C130" s="706">
        <v>483.61672222152959</v>
      </c>
      <c r="D130" s="1200">
        <f t="shared" si="10"/>
        <v>0.95235012255734985</v>
      </c>
      <c r="E130" s="1199">
        <f t="shared" si="11"/>
        <v>483.61672222152959</v>
      </c>
      <c r="F130" s="706">
        <v>329.084</v>
      </c>
      <c r="G130" s="1199">
        <f t="shared" si="12"/>
        <v>367.06215347604581</v>
      </c>
      <c r="H130" s="1199">
        <f t="shared" si="14"/>
        <v>116.55456874548378</v>
      </c>
      <c r="I130" s="706">
        <v>9.3189159346392216</v>
      </c>
      <c r="J130" s="1199">
        <f t="shared" si="13"/>
        <v>107.23565281084456</v>
      </c>
    </row>
    <row r="131" spans="1:10" ht="14.4" x14ac:dyDescent="0.4">
      <c r="A131" s="529">
        <v>2029</v>
      </c>
      <c r="B131" s="1199">
        <f>'MSW Integration Calcs PDS3'!O185</f>
        <v>519.82222543678756</v>
      </c>
      <c r="C131" s="706">
        <v>493.00280912842766</v>
      </c>
      <c r="D131" s="1200">
        <f t="shared" si="10"/>
        <v>0.94840656094335996</v>
      </c>
      <c r="E131" s="1199">
        <f t="shared" si="11"/>
        <v>493.00280912842766</v>
      </c>
      <c r="F131" s="706">
        <v>335.14300000000003</v>
      </c>
      <c r="G131" s="1199">
        <f t="shared" si="12"/>
        <v>373.82039631954888</v>
      </c>
      <c r="H131" s="1199">
        <f t="shared" si="14"/>
        <v>119.18241280887878</v>
      </c>
      <c r="I131" s="706">
        <v>4.4534575311784579</v>
      </c>
      <c r="J131" s="1199">
        <f t="shared" si="13"/>
        <v>114.72895527770032</v>
      </c>
    </row>
    <row r="132" spans="1:10" ht="14.4" x14ac:dyDescent="0.4">
      <c r="A132" s="529">
        <v>2030</v>
      </c>
      <c r="B132" s="1199">
        <f>'MSW Integration Calcs PDS3'!O186</f>
        <v>532.61409006144595</v>
      </c>
      <c r="C132" s="706">
        <v>502.78462851976138</v>
      </c>
      <c r="D132" s="1200">
        <f t="shared" si="10"/>
        <v>0.94399423128621474</v>
      </c>
      <c r="E132" s="1199">
        <f t="shared" si="11"/>
        <v>502.78462851976144</v>
      </c>
      <c r="F132" s="706">
        <v>341.64</v>
      </c>
      <c r="G132" s="1199">
        <f t="shared" si="12"/>
        <v>381.06718683848584</v>
      </c>
      <c r="H132" s="1199">
        <f t="shared" si="14"/>
        <v>121.7174416812756</v>
      </c>
      <c r="I132" s="706">
        <v>0</v>
      </c>
      <c r="J132" s="1199">
        <f t="shared" si="13"/>
        <v>121.7174416812756</v>
      </c>
    </row>
    <row r="133" spans="1:10" ht="14.4" x14ac:dyDescent="0.4">
      <c r="A133" s="529">
        <v>2031</v>
      </c>
      <c r="B133" s="1199">
        <f>'MSW Integration Calcs PDS3'!O187</f>
        <v>544.34554260920549</v>
      </c>
      <c r="C133" s="706">
        <v>512.67575323813367</v>
      </c>
      <c r="D133" s="1200">
        <f t="shared" si="10"/>
        <v>0.94182043042132879</v>
      </c>
      <c r="E133" s="1199">
        <f t="shared" si="11"/>
        <v>512.67575323813367</v>
      </c>
      <c r="F133" s="706">
        <v>348.57499999999999</v>
      </c>
      <c r="G133" s="1199">
        <f t="shared" si="12"/>
        <v>388.80252503285681</v>
      </c>
      <c r="H133" s="1199">
        <f t="shared" si="14"/>
        <v>123.87322820527686</v>
      </c>
      <c r="I133" s="706">
        <v>0</v>
      </c>
      <c r="J133" s="1199">
        <f t="shared" si="13"/>
        <v>123.87322820527686</v>
      </c>
    </row>
    <row r="134" spans="1:10" ht="14.4" x14ac:dyDescent="0.4">
      <c r="A134" s="529">
        <v>2032</v>
      </c>
      <c r="B134" s="1199">
        <f>'MSW Integration Calcs PDS3'!O188</f>
        <v>556.65870601986512</v>
      </c>
      <c r="C134" s="706">
        <v>522.98673653161768</v>
      </c>
      <c r="D134" s="1200">
        <f t="shared" si="10"/>
        <v>0.93951056702408642</v>
      </c>
      <c r="E134" s="1199">
        <f t="shared" si="11"/>
        <v>522.98673653161768</v>
      </c>
      <c r="F134" s="706">
        <v>355.94800000000004</v>
      </c>
      <c r="G134" s="1199">
        <f t="shared" si="12"/>
        <v>397.02641090266178</v>
      </c>
      <c r="H134" s="1199">
        <f t="shared" si="14"/>
        <v>125.9603256289559</v>
      </c>
      <c r="I134" s="706">
        <v>0</v>
      </c>
      <c r="J134" s="1199">
        <f t="shared" si="13"/>
        <v>125.9603256289559</v>
      </c>
    </row>
    <row r="135" spans="1:10" ht="14.4" x14ac:dyDescent="0.4">
      <c r="A135" s="529">
        <v>2033</v>
      </c>
      <c r="B135" s="1199">
        <f>'MSW Integration Calcs PDS3'!O189</f>
        <v>569.13221579045978</v>
      </c>
      <c r="C135" s="706">
        <v>533.60763450929358</v>
      </c>
      <c r="D135" s="1200">
        <f t="shared" si="10"/>
        <v>0.93758114495095557</v>
      </c>
      <c r="E135" s="1199">
        <f t="shared" si="11"/>
        <v>533.60763450929358</v>
      </c>
      <c r="F135" s="706">
        <v>363.75900000000001</v>
      </c>
      <c r="G135" s="1199">
        <f t="shared" si="12"/>
        <v>405.73884444790065</v>
      </c>
      <c r="H135" s="1199">
        <f t="shared" si="14"/>
        <v>127.86879006139293</v>
      </c>
      <c r="I135" s="706">
        <v>0</v>
      </c>
      <c r="J135" s="1199">
        <f t="shared" si="13"/>
        <v>127.86879006139293</v>
      </c>
    </row>
    <row r="136" spans="1:10" ht="14.4" x14ac:dyDescent="0.4">
      <c r="A136" s="529">
        <v>2034</v>
      </c>
      <c r="B136" s="1199">
        <f>'MSW Integration Calcs PDS3'!O190</f>
        <v>581.77032351164064</v>
      </c>
      <c r="C136" s="706">
        <v>544.55122283257788</v>
      </c>
      <c r="D136" s="1200">
        <f t="shared" si="10"/>
        <v>0.93602440830188194</v>
      </c>
      <c r="E136" s="1199">
        <f t="shared" si="11"/>
        <v>544.55122283257788</v>
      </c>
      <c r="F136" s="706">
        <v>372.00799999999998</v>
      </c>
      <c r="G136" s="1199">
        <f t="shared" si="12"/>
        <v>414.93982566857346</v>
      </c>
      <c r="H136" s="1199">
        <f t="shared" si="14"/>
        <v>129.61139716400442</v>
      </c>
      <c r="I136" s="706">
        <v>0</v>
      </c>
      <c r="J136" s="1199">
        <f t="shared" si="13"/>
        <v>129.61139716400442</v>
      </c>
    </row>
    <row r="137" spans="1:10" ht="14.4" x14ac:dyDescent="0.4">
      <c r="A137" s="529">
        <v>2035</v>
      </c>
      <c r="B137" s="1199">
        <f>'MSW Integration Calcs PDS3'!O191</f>
        <v>594.60169845937162</v>
      </c>
      <c r="C137" s="706">
        <v>555.83046466092242</v>
      </c>
      <c r="D137" s="1200">
        <f t="shared" si="10"/>
        <v>0.93479461310166712</v>
      </c>
      <c r="E137" s="1199">
        <f t="shared" si="11"/>
        <v>555.83046466092242</v>
      </c>
      <c r="F137" s="706">
        <v>380.69499999999999</v>
      </c>
      <c r="G137" s="1199">
        <f t="shared" si="12"/>
        <v>424.62935456468028</v>
      </c>
      <c r="H137" s="1199">
        <f t="shared" si="14"/>
        <v>131.20111009624213</v>
      </c>
      <c r="I137" s="706">
        <v>0</v>
      </c>
      <c r="J137" s="1199">
        <f t="shared" si="13"/>
        <v>131.20111009624213</v>
      </c>
    </row>
    <row r="138" spans="1:10" ht="14.4" x14ac:dyDescent="0.4">
      <c r="A138" s="529">
        <v>2036</v>
      </c>
      <c r="B138" s="1199">
        <f>'MSW Integration Calcs PDS3'!O192</f>
        <v>607.54040466866979</v>
      </c>
      <c r="C138" s="706">
        <v>567.45851627429192</v>
      </c>
      <c r="D138" s="1200">
        <f t="shared" si="10"/>
        <v>0.93402597080561733</v>
      </c>
      <c r="E138" s="1199">
        <f t="shared" si="11"/>
        <v>567.45851627429192</v>
      </c>
      <c r="F138" s="706">
        <v>389.82</v>
      </c>
      <c r="G138" s="1199">
        <f t="shared" si="12"/>
        <v>434.80743113622106</v>
      </c>
      <c r="H138" s="1199">
        <f t="shared" si="14"/>
        <v>132.65108513807087</v>
      </c>
      <c r="I138" s="706">
        <v>0</v>
      </c>
      <c r="J138" s="1199">
        <f t="shared" si="13"/>
        <v>132.65108513807087</v>
      </c>
    </row>
    <row r="139" spans="1:10" ht="14.4" x14ac:dyDescent="0.4">
      <c r="A139" s="529">
        <v>2037</v>
      </c>
      <c r="B139" s="1199">
        <f>'MSW Integration Calcs PDS3'!O193</f>
        <v>620.67063187609983</v>
      </c>
      <c r="C139" s="706">
        <v>579.44873286961729</v>
      </c>
      <c r="D139" s="1200">
        <f t="shared" si="10"/>
        <v>0.93358490495694757</v>
      </c>
      <c r="E139" s="1199">
        <f t="shared" si="11"/>
        <v>579.44873286961729</v>
      </c>
      <c r="F139" s="706">
        <v>399.38299999999998</v>
      </c>
      <c r="G139" s="1199">
        <f t="shared" si="12"/>
        <v>445.47405538319572</v>
      </c>
      <c r="H139" s="1199">
        <f t="shared" si="14"/>
        <v>133.97467748642157</v>
      </c>
      <c r="I139" s="706">
        <v>0</v>
      </c>
      <c r="J139" s="1199">
        <f t="shared" si="13"/>
        <v>133.97467748642157</v>
      </c>
    </row>
    <row r="140" spans="1:10" ht="14.4" x14ac:dyDescent="0.4">
      <c r="A140" s="529">
        <v>2038</v>
      </c>
      <c r="B140" s="1199">
        <f>'MSW Integration Calcs PDS3'!O194</f>
        <v>633.96296385951007</v>
      </c>
      <c r="C140" s="706">
        <v>591.81467453677203</v>
      </c>
      <c r="D140" s="1200">
        <f t="shared" si="10"/>
        <v>0.93351616462554377</v>
      </c>
      <c r="E140" s="1199">
        <f t="shared" si="11"/>
        <v>591.81467453677203</v>
      </c>
      <c r="F140" s="706">
        <v>409.38399999999996</v>
      </c>
      <c r="G140" s="1199">
        <f t="shared" si="12"/>
        <v>456.62922730560439</v>
      </c>
      <c r="H140" s="1199">
        <f t="shared" si="14"/>
        <v>135.18544723116764</v>
      </c>
      <c r="I140" s="706">
        <v>0</v>
      </c>
      <c r="J140" s="1199">
        <f t="shared" si="13"/>
        <v>135.18544723116764</v>
      </c>
    </row>
    <row r="141" spans="1:10" ht="14.4" x14ac:dyDescent="0.4">
      <c r="A141" s="529">
        <v>2039</v>
      </c>
      <c r="B141" s="1199">
        <f>'MSW Integration Calcs PDS3'!O195</f>
        <v>647.41200442224579</v>
      </c>
      <c r="C141" s="706">
        <v>604.57011241979001</v>
      </c>
      <c r="D141" s="1200">
        <f t="shared" si="10"/>
        <v>0.93382592273572662</v>
      </c>
      <c r="E141" s="1199">
        <f t="shared" si="11"/>
        <v>604.57011241979001</v>
      </c>
      <c r="F141" s="706">
        <v>419.82299999999998</v>
      </c>
      <c r="G141" s="1199">
        <f t="shared" si="12"/>
        <v>468.27294690344701</v>
      </c>
      <c r="H141" s="1199">
        <f t="shared" si="14"/>
        <v>136.297165516343</v>
      </c>
      <c r="I141" s="706">
        <v>0</v>
      </c>
      <c r="J141" s="1199">
        <f t="shared" si="13"/>
        <v>136.297165516343</v>
      </c>
    </row>
    <row r="142" spans="1:10" ht="14.4" x14ac:dyDescent="0.4">
      <c r="A142" s="529">
        <v>2040</v>
      </c>
      <c r="B142" s="1199">
        <f>'MSW Integration Calcs PDS3'!O196</f>
        <v>660.25436152424447</v>
      </c>
      <c r="C142" s="706">
        <v>617.72903506922728</v>
      </c>
      <c r="D142" s="1200">
        <f t="shared" si="10"/>
        <v>0.9355925095945683</v>
      </c>
      <c r="E142" s="1199">
        <f t="shared" si="11"/>
        <v>617.72903506922728</v>
      </c>
      <c r="F142" s="706">
        <v>430.7</v>
      </c>
      <c r="G142" s="1199">
        <f t="shared" si="12"/>
        <v>480.40521417672363</v>
      </c>
      <c r="H142" s="1199">
        <f t="shared" si="14"/>
        <v>137.32382089250365</v>
      </c>
      <c r="I142" s="706">
        <v>0</v>
      </c>
      <c r="J142" s="1199">
        <f t="shared" si="13"/>
        <v>137.32382089250365</v>
      </c>
    </row>
    <row r="143" spans="1:10" ht="14.4" x14ac:dyDescent="0.4">
      <c r="A143" s="529">
        <v>2041</v>
      </c>
      <c r="B143" s="1199">
        <f>'MSW Integration Calcs PDS3'!O197</f>
        <v>674.74062574692744</v>
      </c>
      <c r="C143" s="706">
        <v>631.30565499177396</v>
      </c>
      <c r="D143" s="1200">
        <f t="shared" si="10"/>
        <v>0.93562715938873309</v>
      </c>
      <c r="E143" s="1199">
        <f t="shared" si="11"/>
        <v>631.30565499177396</v>
      </c>
      <c r="F143" s="706">
        <v>442.01499999999999</v>
      </c>
      <c r="G143" s="1199">
        <f t="shared" si="12"/>
        <v>493.02602912543415</v>
      </c>
      <c r="H143" s="1199">
        <f t="shared" si="14"/>
        <v>138.27962586633981</v>
      </c>
      <c r="I143" s="706">
        <v>0</v>
      </c>
      <c r="J143" s="1199">
        <f t="shared" si="13"/>
        <v>138.27962586633981</v>
      </c>
    </row>
    <row r="144" spans="1:10" ht="14.4" x14ac:dyDescent="0.4">
      <c r="A144" s="529">
        <v>2042</v>
      </c>
      <c r="B144" s="1199">
        <f>'MSW Integration Calcs PDS3'!O198</f>
        <v>688.36579001756627</v>
      </c>
      <c r="C144" s="706">
        <v>645.31441540340791</v>
      </c>
      <c r="D144" s="1200">
        <f t="shared" si="10"/>
        <v>0.93745857908909191</v>
      </c>
      <c r="E144" s="1199">
        <f t="shared" si="11"/>
        <v>645.31441540340791</v>
      </c>
      <c r="F144" s="706">
        <v>453.76800000000003</v>
      </c>
      <c r="G144" s="1199">
        <f t="shared" si="12"/>
        <v>506.13539174957867</v>
      </c>
      <c r="H144" s="1199">
        <f t="shared" si="14"/>
        <v>139.17902365382923</v>
      </c>
      <c r="I144" s="706">
        <v>0</v>
      </c>
      <c r="J144" s="1199">
        <f t="shared" si="13"/>
        <v>139.17902365382923</v>
      </c>
    </row>
    <row r="145" spans="1:10" ht="14.4" x14ac:dyDescent="0.4">
      <c r="A145" s="529">
        <v>2043</v>
      </c>
      <c r="B145" s="1199">
        <f>'MSW Integration Calcs PDS3'!O199</f>
        <v>702.13968972548719</v>
      </c>
      <c r="C145" s="706">
        <v>659.76999719260346</v>
      </c>
      <c r="D145" s="1200">
        <f t="shared" si="10"/>
        <v>0.93965632031220336</v>
      </c>
      <c r="E145" s="1199">
        <f t="shared" si="11"/>
        <v>659.76999719260346</v>
      </c>
      <c r="F145" s="706">
        <v>465.95899999999995</v>
      </c>
      <c r="G145" s="1199">
        <f t="shared" si="12"/>
        <v>519.73330204915703</v>
      </c>
      <c r="H145" s="1199">
        <f t="shared" si="14"/>
        <v>140.03669514344642</v>
      </c>
      <c r="I145" s="706">
        <v>0</v>
      </c>
      <c r="J145" s="1199">
        <f t="shared" si="13"/>
        <v>140.03669514344642</v>
      </c>
    </row>
    <row r="146" spans="1:10" ht="14.4" x14ac:dyDescent="0.4">
      <c r="A146" s="529">
        <v>2044</v>
      </c>
      <c r="B146" s="1199">
        <f>'MSW Integration Calcs PDS3'!O200</f>
        <v>716.062938568753</v>
      </c>
      <c r="C146" s="706">
        <v>674.68732610030827</v>
      </c>
      <c r="D146" s="1200">
        <f t="shared" si="10"/>
        <v>0.94221791096862917</v>
      </c>
      <c r="E146" s="1199">
        <f t="shared" si="11"/>
        <v>674.68732610030827</v>
      </c>
      <c r="F146" s="706">
        <v>478.58800000000002</v>
      </c>
      <c r="G146" s="1199">
        <f t="shared" si="12"/>
        <v>533.81976002416957</v>
      </c>
      <c r="H146" s="1199">
        <f t="shared" si="14"/>
        <v>140.8675660761387</v>
      </c>
      <c r="I146" s="706">
        <v>0</v>
      </c>
      <c r="J146" s="1199">
        <f t="shared" si="13"/>
        <v>140.8675660761387</v>
      </c>
    </row>
    <row r="147" spans="1:10" ht="14.4" x14ac:dyDescent="0.4">
      <c r="A147" s="529">
        <v>2045</v>
      </c>
      <c r="B147" s="1199">
        <f>'MSW Integration Calcs PDS3'!O201</f>
        <v>730.16014319301701</v>
      </c>
      <c r="C147" s="706">
        <v>690.0815801236256</v>
      </c>
      <c r="D147" s="1200">
        <f t="shared" si="10"/>
        <v>0.94510990028279773</v>
      </c>
      <c r="E147" s="1199">
        <f t="shared" si="11"/>
        <v>690.0815801236256</v>
      </c>
      <c r="F147" s="706">
        <v>491.65499999999997</v>
      </c>
      <c r="G147" s="1199">
        <f t="shared" si="12"/>
        <v>548.39476567461588</v>
      </c>
      <c r="H147" s="1199">
        <f t="shared" si="14"/>
        <v>141.68681444900972</v>
      </c>
      <c r="I147" s="706">
        <v>0</v>
      </c>
      <c r="J147" s="1199">
        <f t="shared" si="13"/>
        <v>141.68681444900972</v>
      </c>
    </row>
    <row r="148" spans="1:10" ht="14.4" x14ac:dyDescent="0.4">
      <c r="A148" s="529">
        <v>2046</v>
      </c>
      <c r="B148" s="1199">
        <f>'MSW Integration Calcs PDS3'!O202</f>
        <v>744.33581629264359</v>
      </c>
      <c r="C148" s="706">
        <v>705.96819715037543</v>
      </c>
      <c r="D148" s="1200">
        <f t="shared" si="10"/>
        <v>0.948453885595123</v>
      </c>
      <c r="E148" s="1199">
        <f t="shared" si="11"/>
        <v>705.96819715037543</v>
      </c>
      <c r="F148" s="706">
        <v>505.15999999999997</v>
      </c>
      <c r="G148" s="1199">
        <f t="shared" si="12"/>
        <v>563.4583190004962</v>
      </c>
      <c r="H148" s="1199">
        <f t="shared" si="14"/>
        <v>142.50987814987923</v>
      </c>
      <c r="I148" s="706">
        <v>0</v>
      </c>
      <c r="J148" s="1199">
        <f t="shared" si="13"/>
        <v>142.50987814987923</v>
      </c>
    </row>
    <row r="149" spans="1:10" ht="14.4" x14ac:dyDescent="0.4">
      <c r="A149" s="529">
        <v>2047</v>
      </c>
      <c r="B149" s="1199">
        <f>'MSW Integration Calcs PDS3'!O203</f>
        <v>758.59459111571744</v>
      </c>
      <c r="C149" s="706">
        <v>722.36288283192539</v>
      </c>
      <c r="D149" s="1200">
        <f t="shared" si="10"/>
        <v>0.95223837777368858</v>
      </c>
      <c r="E149" s="1199">
        <f t="shared" si="11"/>
        <v>722.36288283192539</v>
      </c>
      <c r="F149" s="706">
        <v>519.10299999999995</v>
      </c>
      <c r="G149" s="1199">
        <f t="shared" si="12"/>
        <v>579.01042000181042</v>
      </c>
      <c r="H149" s="1199">
        <f t="shared" si="14"/>
        <v>143.35246283011497</v>
      </c>
      <c r="I149" s="706">
        <v>0</v>
      </c>
      <c r="J149" s="1199">
        <f t="shared" si="13"/>
        <v>143.35246283011497</v>
      </c>
    </row>
    <row r="150" spans="1:10" ht="14.4" x14ac:dyDescent="0.4">
      <c r="A150" s="529">
        <v>2048</v>
      </c>
      <c r="B150" s="1199">
        <f>'MSW Integration Calcs PDS3'!O204</f>
        <v>772.94968454845889</v>
      </c>
      <c r="C150" s="706">
        <v>739.28161870194594</v>
      </c>
      <c r="D150" s="1200">
        <f t="shared" si="10"/>
        <v>0.95644209898839516</v>
      </c>
      <c r="E150" s="1199">
        <f t="shared" si="11"/>
        <v>739.28161870194594</v>
      </c>
      <c r="F150" s="706">
        <v>533.48399999999992</v>
      </c>
      <c r="G150" s="1199">
        <f t="shared" si="12"/>
        <v>595.05106867855864</v>
      </c>
      <c r="H150" s="1199">
        <f t="shared" si="14"/>
        <v>144.23055002338731</v>
      </c>
      <c r="I150" s="706">
        <v>0</v>
      </c>
      <c r="J150" s="1199">
        <f t="shared" si="13"/>
        <v>144.23055002338731</v>
      </c>
    </row>
    <row r="151" spans="1:10" ht="14.4" x14ac:dyDescent="0.4">
      <c r="A151" s="529">
        <v>2049</v>
      </c>
      <c r="B151" s="1199">
        <f>'MSW Integration Calcs PDS3'!O205</f>
        <v>787.39725147288448</v>
      </c>
      <c r="C151" s="706">
        <v>756.74067054897671</v>
      </c>
      <c r="D151" s="1200">
        <f t="shared" si="10"/>
        <v>0.96106592845407779</v>
      </c>
      <c r="E151" s="1199">
        <f t="shared" si="11"/>
        <v>756.74067054897671</v>
      </c>
      <c r="F151" s="706">
        <v>548.303</v>
      </c>
      <c r="G151" s="1199">
        <f t="shared" si="12"/>
        <v>611.58026503074086</v>
      </c>
      <c r="H151" s="1199">
        <f t="shared" si="14"/>
        <v>145.16040551823585</v>
      </c>
      <c r="I151" s="706">
        <v>0</v>
      </c>
      <c r="J151" s="1199">
        <f t="shared" si="13"/>
        <v>145.16040551823585</v>
      </c>
    </row>
    <row r="152" spans="1:10" ht="14.4" x14ac:dyDescent="0.4">
      <c r="A152" s="529">
        <v>2050</v>
      </c>
      <c r="B152" s="1199">
        <f>'MSW Integration Calcs PDS3'!O206</f>
        <v>801.77660768089561</v>
      </c>
      <c r="C152" s="706">
        <v>774.70614042995862</v>
      </c>
      <c r="D152" s="1200">
        <f t="shared" si="10"/>
        <v>0.96623689567442339</v>
      </c>
      <c r="E152" s="1199">
        <f t="shared" si="11"/>
        <v>774.70614042995862</v>
      </c>
      <c r="F152" s="706">
        <v>563.55999999999995</v>
      </c>
      <c r="G152" s="1199">
        <f t="shared" si="12"/>
        <v>628.59800905835698</v>
      </c>
      <c r="H152" s="1199">
        <f t="shared" si="14"/>
        <v>146.10813137160164</v>
      </c>
      <c r="I152" s="706">
        <v>0</v>
      </c>
      <c r="J152" s="1199">
        <f t="shared" si="13"/>
        <v>146.10813137160164</v>
      </c>
    </row>
    <row r="153" spans="1:10" ht="14.4" x14ac:dyDescent="0.4">
      <c r="A153" s="529">
        <v>2051</v>
      </c>
      <c r="B153" s="1199">
        <f>'MSW Integration Calcs PDS3'!O207</f>
        <v>816.5558508814712</v>
      </c>
      <c r="C153" s="706">
        <v>793.28006740866385</v>
      </c>
      <c r="D153" s="1200">
        <f t="shared" si="10"/>
        <v>0.97149517274576969</v>
      </c>
      <c r="E153" s="1199">
        <f t="shared" si="11"/>
        <v>793.28006740866385</v>
      </c>
      <c r="F153" s="706">
        <v>579.255</v>
      </c>
      <c r="G153" s="1199">
        <f t="shared" si="12"/>
        <v>646.1043007614071</v>
      </c>
      <c r="H153" s="1199">
        <f t="shared" si="14"/>
        <v>147.17576664725675</v>
      </c>
      <c r="I153" s="706">
        <v>0</v>
      </c>
      <c r="J153" s="1199">
        <f t="shared" si="13"/>
        <v>147.17576664725675</v>
      </c>
    </row>
    <row r="154" spans="1:10" ht="14.4" x14ac:dyDescent="0.4">
      <c r="A154" s="529">
        <v>2052</v>
      </c>
      <c r="B154" s="1199">
        <f>'MSW Integration Calcs PDS3'!O208</f>
        <v>831.26104015165879</v>
      </c>
      <c r="C154" s="706">
        <v>811.75322952191584</v>
      </c>
      <c r="D154" s="1200">
        <f t="shared" si="10"/>
        <v>0.97653226882113486</v>
      </c>
      <c r="E154" s="1199">
        <f t="shared" si="11"/>
        <v>811.75322952191584</v>
      </c>
      <c r="F154" s="706">
        <v>595.38800000000003</v>
      </c>
      <c r="G154" s="1199">
        <f t="shared" si="12"/>
        <v>664.09914013989123</v>
      </c>
      <c r="H154" s="1199">
        <f t="shared" si="14"/>
        <v>147.65408938202461</v>
      </c>
      <c r="I154" s="706">
        <v>0</v>
      </c>
      <c r="J154" s="1199">
        <f t="shared" si="13"/>
        <v>147.65408938202461</v>
      </c>
    </row>
    <row r="155" spans="1:10" ht="14.4" x14ac:dyDescent="0.4">
      <c r="A155" s="529">
        <v>2053</v>
      </c>
      <c r="B155" s="1199">
        <f>'MSW Integration Calcs PDS3'!O209</f>
        <v>846.0461487596823</v>
      </c>
      <c r="C155" s="706">
        <v>830.63807809768787</v>
      </c>
      <c r="D155" s="1200">
        <f t="shared" si="10"/>
        <v>0.98178814396285252</v>
      </c>
      <c r="E155" s="1199">
        <f t="shared" si="11"/>
        <v>830.63807809768787</v>
      </c>
      <c r="F155" s="706">
        <v>611.95899999999995</v>
      </c>
      <c r="G155" s="1199">
        <f t="shared" si="12"/>
        <v>682.58252719380914</v>
      </c>
      <c r="H155" s="1199">
        <f t="shared" si="14"/>
        <v>148.05555090387872</v>
      </c>
      <c r="I155" s="706">
        <v>0</v>
      </c>
      <c r="J155" s="1199">
        <f t="shared" si="13"/>
        <v>148.05555090387872</v>
      </c>
    </row>
    <row r="156" spans="1:10" ht="14.4" x14ac:dyDescent="0.4">
      <c r="A156" s="529">
        <v>2054</v>
      </c>
      <c r="B156" s="1199">
        <f>'MSW Integration Calcs PDS3'!O210</f>
        <v>860.90820063655599</v>
      </c>
      <c r="C156" s="706">
        <v>849.93461313598027</v>
      </c>
      <c r="D156" s="1200">
        <f t="shared" si="10"/>
        <v>0.98725347546641806</v>
      </c>
      <c r="E156" s="1199">
        <f t="shared" si="11"/>
        <v>849.93461313598027</v>
      </c>
      <c r="F156" s="706">
        <v>628.96799999999996</v>
      </c>
      <c r="G156" s="1199">
        <f t="shared" si="12"/>
        <v>701.55446192316106</v>
      </c>
      <c r="H156" s="1199">
        <f t="shared" si="14"/>
        <v>148.38015121281921</v>
      </c>
      <c r="I156" s="706">
        <v>0</v>
      </c>
      <c r="J156" s="1199">
        <f t="shared" si="13"/>
        <v>148.38015121281921</v>
      </c>
    </row>
    <row r="157" spans="1:10" ht="14.4" x14ac:dyDescent="0.4">
      <c r="A157" s="529">
        <v>2055</v>
      </c>
      <c r="B157" s="1199">
        <f>'MSW Integration Calcs PDS3'!O211</f>
        <v>875.84459399766547</v>
      </c>
      <c r="C157" s="706">
        <v>869.64283463679283</v>
      </c>
      <c r="D157" s="1200">
        <f t="shared" si="10"/>
        <v>0.99291910984736964</v>
      </c>
      <c r="E157" s="1199">
        <f t="shared" si="11"/>
        <v>869.64283463679283</v>
      </c>
      <c r="F157" s="706">
        <v>646.41499999999996</v>
      </c>
      <c r="G157" s="1199">
        <f t="shared" si="12"/>
        <v>721.01494432794698</v>
      </c>
      <c r="H157" s="1199">
        <f t="shared" si="14"/>
        <v>148.62789030884585</v>
      </c>
      <c r="I157" s="706">
        <v>0</v>
      </c>
      <c r="J157" s="1199">
        <f t="shared" si="13"/>
        <v>148.62789030884585</v>
      </c>
    </row>
    <row r="158" spans="1:10" ht="14.4" x14ac:dyDescent="0.4">
      <c r="A158" s="529">
        <v>2056</v>
      </c>
      <c r="B158" s="1199">
        <f>'MSW Integration Calcs PDS3'!O212</f>
        <v>890.85300987809399</v>
      </c>
      <c r="C158" s="706">
        <v>889.76274260012553</v>
      </c>
      <c r="D158" s="1200">
        <f t="shared" si="10"/>
        <v>0.99877615356755922</v>
      </c>
      <c r="E158" s="1199">
        <f t="shared" si="11"/>
        <v>889.76274260012553</v>
      </c>
      <c r="F158" s="706">
        <v>664.3</v>
      </c>
      <c r="G158" s="1199">
        <f t="shared" si="12"/>
        <v>740.96397440816691</v>
      </c>
      <c r="H158" s="1199">
        <f t="shared" si="14"/>
        <v>148.79876819195863</v>
      </c>
      <c r="I158" s="706">
        <v>0</v>
      </c>
      <c r="J158" s="1199">
        <f t="shared" si="13"/>
        <v>148.79876819195863</v>
      </c>
    </row>
    <row r="159" spans="1:10" ht="14.4" x14ac:dyDescent="0.4">
      <c r="A159" s="529">
        <v>2057</v>
      </c>
      <c r="B159" s="1199">
        <f>'MSW Integration Calcs PDS3'!O213</f>
        <v>905.93170268323092</v>
      </c>
      <c r="C159" s="706">
        <v>910.29433702597839</v>
      </c>
      <c r="D159" s="1200">
        <f t="shared" si="10"/>
        <v>1</v>
      </c>
      <c r="E159" s="1199">
        <f t="shared" si="11"/>
        <v>905.93170268323092</v>
      </c>
      <c r="F159" s="706">
        <v>682.62299999999993</v>
      </c>
      <c r="G159" s="1199">
        <f t="shared" si="12"/>
        <v>761.40155216382072</v>
      </c>
      <c r="H159" s="1199">
        <f t="shared" si="14"/>
        <v>144.5301505194102</v>
      </c>
      <c r="I159" s="706">
        <v>0</v>
      </c>
      <c r="J159" s="1199">
        <f t="shared" si="13"/>
        <v>144.5301505194102</v>
      </c>
    </row>
    <row r="160" spans="1:10" ht="14.4" x14ac:dyDescent="0.4">
      <c r="A160" s="529">
        <v>2058</v>
      </c>
      <c r="B160" s="1199">
        <f>'MSW Integration Calcs PDS3'!O214</f>
        <v>921.07959586446179</v>
      </c>
      <c r="C160" s="706">
        <v>931.23761791435163</v>
      </c>
      <c r="D160" s="1200">
        <f t="shared" si="10"/>
        <v>1</v>
      </c>
      <c r="E160" s="1199">
        <f t="shared" si="11"/>
        <v>921.07959586446179</v>
      </c>
      <c r="F160" s="706">
        <v>701.3839999999999</v>
      </c>
      <c r="G160" s="1199">
        <f t="shared" si="12"/>
        <v>782.32767759490844</v>
      </c>
      <c r="H160" s="1199">
        <f t="shared" si="14"/>
        <v>138.75191826955336</v>
      </c>
      <c r="I160" s="706">
        <v>2.9694561665902484</v>
      </c>
      <c r="J160" s="1199">
        <f t="shared" si="13"/>
        <v>135.78246210296311</v>
      </c>
    </row>
    <row r="161" spans="1:10" ht="14.4" x14ac:dyDescent="0.4">
      <c r="A161" s="529">
        <v>2059</v>
      </c>
      <c r="B161" s="1199">
        <f>'MSW Integration Calcs PDS3'!O215</f>
        <v>936.29613148582268</v>
      </c>
      <c r="C161" s="706">
        <v>952.59258526524491</v>
      </c>
      <c r="D161" s="1200">
        <f t="shared" si="10"/>
        <v>1</v>
      </c>
      <c r="E161" s="1199">
        <f t="shared" si="11"/>
        <v>936.29613148582268</v>
      </c>
      <c r="F161" s="706">
        <v>720.58299999999997</v>
      </c>
      <c r="G161" s="1199">
        <f t="shared" si="12"/>
        <v>803.74235070143027</v>
      </c>
      <c r="H161" s="1199">
        <f t="shared" si="14"/>
        <v>132.55378078439242</v>
      </c>
      <c r="I161" s="706">
        <v>6.5452468256041811</v>
      </c>
      <c r="J161" s="1199">
        <f t="shared" si="13"/>
        <v>126.00853395878823</v>
      </c>
    </row>
    <row r="162" spans="1:10" ht="14.4" x14ac:dyDescent="0.4">
      <c r="A162" s="529">
        <v>2060</v>
      </c>
      <c r="B162" s="1199">
        <f>'MSW Integration Calcs PDS3'!O216</f>
        <v>951.58079278820219</v>
      </c>
      <c r="C162" s="706">
        <v>974.35923907865845</v>
      </c>
      <c r="D162" s="1200">
        <f t="shared" si="10"/>
        <v>1</v>
      </c>
      <c r="E162" s="1199">
        <f t="shared" si="11"/>
        <v>951.58079278820219</v>
      </c>
      <c r="F162" s="706">
        <v>740.22</v>
      </c>
      <c r="G162" s="1199">
        <f t="shared" si="12"/>
        <v>825.64557148338611</v>
      </c>
      <c r="H162" s="1199">
        <f t="shared" si="14"/>
        <v>125.93522130481608</v>
      </c>
      <c r="I162" s="706">
        <v>6.4904764412476652</v>
      </c>
      <c r="J162" s="1199">
        <f t="shared" si="13"/>
        <v>119.44474486356842</v>
      </c>
    </row>
  </sheetData>
  <mergeCells count="3">
    <mergeCell ref="B2:J2"/>
    <mergeCell ref="B57:J57"/>
    <mergeCell ref="B112:J11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53"/>
  <sheetViews>
    <sheetView topLeftCell="A72" zoomScale="60" zoomScaleNormal="60" workbookViewId="0">
      <selection activeCell="O95" sqref="O95"/>
    </sheetView>
  </sheetViews>
  <sheetFormatPr defaultColWidth="10.6640625" defaultRowHeight="12.3" x14ac:dyDescent="0.4"/>
  <cols>
    <col min="2" max="2" width="20.5" customWidth="1"/>
    <col min="3" max="3" width="13.6640625" customWidth="1"/>
    <col min="4" max="4" width="18.33203125" customWidth="1"/>
    <col min="5" max="5" width="23" bestFit="1" customWidth="1"/>
    <col min="6" max="6" width="10.83203125" style="609"/>
  </cols>
  <sheetData>
    <row r="1" spans="1:11" x14ac:dyDescent="0.4">
      <c r="G1" s="1289" t="s">
        <v>1074</v>
      </c>
      <c r="H1" s="1289"/>
      <c r="I1" s="1096" t="s">
        <v>1042</v>
      </c>
      <c r="J1" s="1097"/>
    </row>
    <row r="2" spans="1:11" x14ac:dyDescent="0.4">
      <c r="A2" s="1" t="s">
        <v>1073</v>
      </c>
      <c r="G2" s="1289"/>
      <c r="H2" s="1289"/>
      <c r="I2" s="1096" t="s">
        <v>1141</v>
      </c>
      <c r="J2" s="1097"/>
    </row>
    <row r="3" spans="1:11" x14ac:dyDescent="0.4">
      <c r="A3" s="1" t="s">
        <v>348</v>
      </c>
      <c r="I3" s="1098" t="s">
        <v>114</v>
      </c>
      <c r="J3" s="1098" t="s">
        <v>115</v>
      </c>
    </row>
    <row r="4" spans="1:11" ht="15" x14ac:dyDescent="0.5">
      <c r="B4" t="s">
        <v>1070</v>
      </c>
      <c r="C4" t="s">
        <v>355</v>
      </c>
      <c r="D4" t="s">
        <v>354</v>
      </c>
      <c r="E4" t="s">
        <v>356</v>
      </c>
      <c r="I4" s="1098">
        <v>2012</v>
      </c>
      <c r="J4" s="1099">
        <v>44.831748694791997</v>
      </c>
      <c r="K4" s="1259"/>
    </row>
    <row r="5" spans="1:11" x14ac:dyDescent="0.4">
      <c r="A5">
        <v>2014</v>
      </c>
      <c r="B5" s="707">
        <v>110.54366841083268</v>
      </c>
      <c r="C5" s="335">
        <f>'MSW Integration Calcs PDS1 '!Y60</f>
        <v>804.79494831832108</v>
      </c>
      <c r="D5" s="335">
        <f t="shared" ref="D5:D51" si="0">IF(B5&gt;C5,B5-C5,0)</f>
        <v>0</v>
      </c>
      <c r="E5" s="335">
        <f>B5-D5</f>
        <v>110.54366841083268</v>
      </c>
      <c r="F5" s="1125"/>
      <c r="I5" s="1098">
        <v>2013</v>
      </c>
      <c r="J5" s="1099">
        <v>45.099481161525766</v>
      </c>
    </row>
    <row r="6" spans="1:11" x14ac:dyDescent="0.4">
      <c r="A6">
        <v>2015</v>
      </c>
      <c r="B6" s="707">
        <v>121.04208551354085</v>
      </c>
      <c r="C6" s="335">
        <f>'MSW Integration Calcs PDS1 '!Y61</f>
        <v>862.84071892596353</v>
      </c>
      <c r="D6" s="335">
        <f t="shared" si="0"/>
        <v>0</v>
      </c>
      <c r="E6" s="335">
        <f t="shared" ref="E6:E51" si="1">B6-D6</f>
        <v>121.04208551354085</v>
      </c>
      <c r="F6" s="1125"/>
      <c r="I6" s="1098">
        <v>2014</v>
      </c>
      <c r="J6" s="1099">
        <v>45.346352160807584</v>
      </c>
    </row>
    <row r="7" spans="1:11" x14ac:dyDescent="0.4">
      <c r="A7">
        <v>2016</v>
      </c>
      <c r="B7" s="707">
        <v>131.54050261624903</v>
      </c>
      <c r="C7" s="335">
        <f>'MSW Integration Calcs PDS1 '!Y62</f>
        <v>925.35644999999988</v>
      </c>
      <c r="D7" s="335">
        <f t="shared" si="0"/>
        <v>0</v>
      </c>
      <c r="E7" s="335">
        <f t="shared" si="1"/>
        <v>131.54050261624903</v>
      </c>
      <c r="F7" s="1125"/>
      <c r="I7" s="1098">
        <v>2015</v>
      </c>
      <c r="J7" s="1099">
        <v>45.573770692121414</v>
      </c>
    </row>
    <row r="8" spans="1:11" x14ac:dyDescent="0.4">
      <c r="A8">
        <v>2017</v>
      </c>
      <c r="B8" s="707">
        <v>142.0389197189572</v>
      </c>
      <c r="C8" s="335">
        <f>'MSW Integration Calcs PDS1 '!Y63</f>
        <v>977.08918943703122</v>
      </c>
      <c r="D8" s="335">
        <f t="shared" si="0"/>
        <v>0</v>
      </c>
      <c r="E8" s="335">
        <f t="shared" si="1"/>
        <v>142.0389197189572</v>
      </c>
      <c r="F8" s="1125"/>
      <c r="I8" s="1098">
        <v>2016</v>
      </c>
      <c r="J8" s="1099">
        <v>46</v>
      </c>
    </row>
    <row r="9" spans="1:11" x14ac:dyDescent="0.4">
      <c r="A9">
        <v>2018</v>
      </c>
      <c r="B9" s="707">
        <v>152.53733682166535</v>
      </c>
      <c r="C9" s="335">
        <f>'MSW Integration Calcs PDS1 '!Y64</f>
        <v>998.13023385837414</v>
      </c>
      <c r="D9" s="335">
        <f t="shared" si="0"/>
        <v>0</v>
      </c>
      <c r="E9" s="335">
        <f t="shared" si="1"/>
        <v>152.53733682166535</v>
      </c>
      <c r="F9" s="1125"/>
      <c r="I9" s="1098">
        <v>2017</v>
      </c>
      <c r="J9" s="1099">
        <v>45.975583670974615</v>
      </c>
    </row>
    <row r="10" spans="1:11" x14ac:dyDescent="0.4">
      <c r="A10">
        <v>2019</v>
      </c>
      <c r="B10" s="707">
        <v>159.84366853160702</v>
      </c>
      <c r="C10" s="335">
        <f>'MSW Integration Calcs PDS1 '!Y65</f>
        <v>983.35003370365541</v>
      </c>
      <c r="D10" s="335">
        <f t="shared" si="0"/>
        <v>0</v>
      </c>
      <c r="E10" s="335">
        <f t="shared" si="1"/>
        <v>159.84366853160702</v>
      </c>
      <c r="F10" s="1125"/>
      <c r="I10" s="1098">
        <v>2018</v>
      </c>
      <c r="J10" s="1099">
        <v>46.152483712727509</v>
      </c>
    </row>
    <row r="11" spans="1:11" x14ac:dyDescent="0.4">
      <c r="A11">
        <v>2020</v>
      </c>
      <c r="B11" s="707">
        <v>166.9303328480238</v>
      </c>
      <c r="C11" s="335">
        <f>'MSW Integration Calcs PDS1 '!Y66</f>
        <v>968.077896436728</v>
      </c>
      <c r="D11" s="335">
        <f t="shared" si="0"/>
        <v>0</v>
      </c>
      <c r="E11" s="335">
        <f t="shared" si="1"/>
        <v>166.9303328480238</v>
      </c>
      <c r="F11" s="1125"/>
      <c r="I11" s="1098">
        <v>2019</v>
      </c>
      <c r="J11" s="1099">
        <v>46.314939108212975</v>
      </c>
    </row>
    <row r="12" spans="1:11" x14ac:dyDescent="0.4">
      <c r="A12">
        <v>2021</v>
      </c>
      <c r="B12" s="707">
        <v>173.92674888400089</v>
      </c>
      <c r="C12" s="335">
        <f>'MSW Integration Calcs PDS1 '!Y67</f>
        <v>950.94716158780125</v>
      </c>
      <c r="D12" s="335">
        <f t="shared" si="0"/>
        <v>0</v>
      </c>
      <c r="E12" s="335">
        <f t="shared" si="1"/>
        <v>173.92674888400089</v>
      </c>
      <c r="F12" s="1125"/>
      <c r="I12" s="1098">
        <v>2020</v>
      </c>
      <c r="J12" s="1099">
        <v>46.464035917936862</v>
      </c>
    </row>
    <row r="13" spans="1:11" x14ac:dyDescent="0.4">
      <c r="A13">
        <v>2022</v>
      </c>
      <c r="B13" s="707">
        <v>181.06223349464767</v>
      </c>
      <c r="C13" s="335">
        <f>'MSW Integration Calcs PDS1 '!Y68</f>
        <v>933.42878292615273</v>
      </c>
      <c r="D13" s="335">
        <f t="shared" si="0"/>
        <v>0</v>
      </c>
      <c r="E13" s="335">
        <f t="shared" si="1"/>
        <v>181.06223349464767</v>
      </c>
      <c r="F13" s="1125"/>
      <c r="I13" s="1098">
        <v>2021</v>
      </c>
      <c r="J13" s="1099">
        <v>46.600793976839228</v>
      </c>
    </row>
    <row r="14" spans="1:11" x14ac:dyDescent="0.4">
      <c r="A14">
        <v>2023</v>
      </c>
      <c r="B14" s="707">
        <v>188.27708525069994</v>
      </c>
      <c r="C14" s="335">
        <f>'MSW Integration Calcs PDS1 '!Y69</f>
        <v>915.22006314589873</v>
      </c>
      <c r="D14" s="335">
        <f t="shared" si="0"/>
        <v>0</v>
      </c>
      <c r="E14" s="335">
        <f t="shared" si="1"/>
        <v>188.27708525069994</v>
      </c>
      <c r="F14" s="1125"/>
      <c r="I14" s="1098">
        <v>2022</v>
      </c>
      <c r="J14" s="1099">
        <v>46.726168277801904</v>
      </c>
    </row>
    <row r="15" spans="1:11" x14ac:dyDescent="0.4">
      <c r="A15">
        <v>2024</v>
      </c>
      <c r="B15" s="707">
        <v>195.56542141078231</v>
      </c>
      <c r="C15" s="335">
        <f>'MSW Integration Calcs PDS1 '!Y70</f>
        <v>896.78276123419914</v>
      </c>
      <c r="D15" s="335">
        <f t="shared" si="0"/>
        <v>0</v>
      </c>
      <c r="E15" s="335">
        <f t="shared" si="1"/>
        <v>195.56542141078231</v>
      </c>
      <c r="F15" s="1125"/>
      <c r="I15" s="1098">
        <v>2023</v>
      </c>
      <c r="J15" s="1099">
        <v>46.841050862092644</v>
      </c>
    </row>
    <row r="16" spans="1:11" x14ac:dyDescent="0.4">
      <c r="A16">
        <v>2025</v>
      </c>
      <c r="B16" s="707">
        <v>202.65080862506096</v>
      </c>
      <c r="C16" s="335">
        <f>'MSW Integration Calcs PDS1 '!Y71</f>
        <v>876.12599830530371</v>
      </c>
      <c r="D16" s="335">
        <f t="shared" si="0"/>
        <v>0</v>
      </c>
      <c r="E16" s="335">
        <f t="shared" si="1"/>
        <v>202.65080862506096</v>
      </c>
      <c r="F16" s="1125"/>
      <c r="I16" s="1098">
        <v>2024</v>
      </c>
      <c r="J16" s="1099">
        <v>46.946273093369243</v>
      </c>
    </row>
    <row r="17" spans="1:10" x14ac:dyDescent="0.4">
      <c r="A17">
        <v>2026</v>
      </c>
      <c r="B17" s="707">
        <v>211.06749222219909</v>
      </c>
      <c r="C17" s="335">
        <f>'MSW Integration Calcs PDS1 '!Y72</f>
        <v>861.94845329316661</v>
      </c>
      <c r="D17" s="335">
        <f t="shared" si="0"/>
        <v>0</v>
      </c>
      <c r="E17" s="335">
        <f t="shared" si="1"/>
        <v>211.06749222219909</v>
      </c>
      <c r="F17" s="1125"/>
      <c r="I17" s="1098">
        <v>2025</v>
      </c>
      <c r="J17" s="1099">
        <v>47</v>
      </c>
    </row>
    <row r="18" spans="1:10" x14ac:dyDescent="0.4">
      <c r="A18">
        <v>2027</v>
      </c>
      <c r="B18" s="707">
        <v>219.65228833518719</v>
      </c>
      <c r="C18" s="335">
        <f>'MSW Integration Calcs PDS1 '!Y73</f>
        <v>847.65199968577599</v>
      </c>
      <c r="D18" s="335">
        <f t="shared" si="0"/>
        <v>0</v>
      </c>
      <c r="E18" s="335">
        <f t="shared" si="1"/>
        <v>219.65228833518719</v>
      </c>
      <c r="F18" s="1125"/>
      <c r="I18" s="1098">
        <v>2026</v>
      </c>
      <c r="J18" s="1099">
        <v>47.130774068130876</v>
      </c>
    </row>
    <row r="19" spans="1:10" x14ac:dyDescent="0.4">
      <c r="A19">
        <v>2028</v>
      </c>
      <c r="B19" s="707">
        <v>228.34468948059947</v>
      </c>
      <c r="C19" s="335">
        <f>'MSW Integration Calcs PDS1 '!Y74</f>
        <v>832.94853321291043</v>
      </c>
      <c r="D19" s="335">
        <f t="shared" si="0"/>
        <v>0</v>
      </c>
      <c r="E19" s="335">
        <f t="shared" si="1"/>
        <v>228.34468948059947</v>
      </c>
      <c r="F19" s="1125"/>
      <c r="I19" s="1098">
        <v>2027</v>
      </c>
      <c r="J19" s="1099">
        <v>47.21143599908784</v>
      </c>
    </row>
    <row r="20" spans="1:10" x14ac:dyDescent="0.4">
      <c r="A20">
        <v>2029</v>
      </c>
      <c r="B20" s="707">
        <v>237.14295530314223</v>
      </c>
      <c r="C20" s="335">
        <f>'MSW Integration Calcs PDS1 '!Y75</f>
        <v>817.87634554980809</v>
      </c>
      <c r="D20" s="335">
        <f t="shared" si="0"/>
        <v>0</v>
      </c>
      <c r="E20" s="335">
        <f t="shared" si="1"/>
        <v>237.14295530314223</v>
      </c>
      <c r="F20" s="1125"/>
      <c r="I20" s="1098">
        <v>2028</v>
      </c>
      <c r="J20" s="1099">
        <v>47.28520972530719</v>
      </c>
    </row>
    <row r="21" spans="1:10" x14ac:dyDescent="0.4">
      <c r="A21">
        <v>2030</v>
      </c>
      <c r="B21" s="707">
        <v>246.32878267889808</v>
      </c>
      <c r="C21" s="335">
        <f>'MSW Integration Calcs PDS1 '!Y76</f>
        <v>803.9073023910413</v>
      </c>
      <c r="D21" s="335">
        <f t="shared" si="0"/>
        <v>0</v>
      </c>
      <c r="E21" s="335">
        <f t="shared" si="1"/>
        <v>246.32878267889808</v>
      </c>
      <c r="F21" s="1125"/>
      <c r="I21" s="1098">
        <v>2029</v>
      </c>
      <c r="J21" s="1099">
        <v>47.3526642811823</v>
      </c>
    </row>
    <row r="22" spans="1:10" x14ac:dyDescent="0.4">
      <c r="A22">
        <v>2031</v>
      </c>
      <c r="B22" s="707">
        <v>255.05002871114968</v>
      </c>
      <c r="C22" s="335">
        <f>'MSW Integration Calcs PDS1 '!Y77</f>
        <v>787.74126348116476</v>
      </c>
      <c r="D22" s="335">
        <f t="shared" si="0"/>
        <v>0</v>
      </c>
      <c r="E22" s="335">
        <f t="shared" si="1"/>
        <v>255.05002871114968</v>
      </c>
      <c r="F22" s="1125"/>
      <c r="I22" s="1098">
        <v>2030</v>
      </c>
      <c r="J22" s="1099">
        <v>47.414324902606275</v>
      </c>
    </row>
    <row r="23" spans="1:10" x14ac:dyDescent="0.4">
      <c r="A23">
        <v>2032</v>
      </c>
      <c r="B23" s="707">
        <v>264.06467111355244</v>
      </c>
      <c r="C23" s="335">
        <f>'MSW Integration Calcs PDS1 '!Y78</f>
        <v>772.43510046586948</v>
      </c>
      <c r="D23" s="335">
        <f t="shared" si="0"/>
        <v>0</v>
      </c>
      <c r="E23" s="335">
        <f t="shared" si="1"/>
        <v>264.06467111355244</v>
      </c>
      <c r="F23" s="1125"/>
      <c r="I23" s="1098">
        <v>2031</v>
      </c>
      <c r="J23" s="1099">
        <v>47.470675853783071</v>
      </c>
    </row>
    <row r="24" spans="1:10" x14ac:dyDescent="0.4">
      <c r="A24">
        <v>2033</v>
      </c>
      <c r="B24" s="707">
        <v>273.17888730075089</v>
      </c>
      <c r="C24" s="335">
        <f>'MSW Integration Calcs PDS1 '!Y79</f>
        <v>757.03719989484068</v>
      </c>
      <c r="D24" s="335">
        <f t="shared" si="0"/>
        <v>0</v>
      </c>
      <c r="E24" s="335">
        <f t="shared" si="1"/>
        <v>273.17888730075089</v>
      </c>
      <c r="F24" s="1125"/>
      <c r="I24" s="1098">
        <v>2032</v>
      </c>
      <c r="J24" s="1099">
        <v>47.522163168163338</v>
      </c>
    </row>
    <row r="25" spans="1:10" x14ac:dyDescent="0.4">
      <c r="A25">
        <v>2034</v>
      </c>
      <c r="B25" s="707">
        <v>282.39592529023861</v>
      </c>
      <c r="C25" s="335">
        <f>'MSW Integration Calcs PDS1 '!Y80</f>
        <v>741.58823786335154</v>
      </c>
      <c r="D25" s="335">
        <f t="shared" si="0"/>
        <v>0</v>
      </c>
      <c r="E25" s="335">
        <f t="shared" si="1"/>
        <v>282.39592529023861</v>
      </c>
      <c r="F25" s="1125"/>
      <c r="I25" s="1098">
        <v>2033</v>
      </c>
      <c r="J25" s="1099">
        <v>47.569197286292791</v>
      </c>
    </row>
    <row r="26" spans="1:10" x14ac:dyDescent="0.4">
      <c r="A26">
        <v>2035</v>
      </c>
      <c r="B26" s="707">
        <v>291.73120151655121</v>
      </c>
      <c r="C26" s="335">
        <f>'MSW Integration Calcs PDS1 '!Y81</f>
        <v>726.18356532945063</v>
      </c>
      <c r="D26" s="335">
        <f t="shared" si="0"/>
        <v>0</v>
      </c>
      <c r="E26" s="335">
        <f t="shared" si="1"/>
        <v>291.73120151655121</v>
      </c>
      <c r="F26" s="1125"/>
      <c r="I26" s="1098">
        <v>2034</v>
      </c>
      <c r="J26" s="1099">
        <v>47.612155578405442</v>
      </c>
    </row>
    <row r="27" spans="1:10" x14ac:dyDescent="0.4">
      <c r="A27">
        <v>2036</v>
      </c>
      <c r="B27" s="707">
        <v>301.14397191355829</v>
      </c>
      <c r="C27" s="335">
        <f>'MSW Integration Calcs PDS1 '!Y82</f>
        <v>710.65840570053047</v>
      </c>
      <c r="D27" s="335">
        <f t="shared" si="0"/>
        <v>0</v>
      </c>
      <c r="E27" s="335">
        <f t="shared" si="1"/>
        <v>301.14397191355829</v>
      </c>
      <c r="F27" s="1125"/>
      <c r="I27" s="1098">
        <v>2035</v>
      </c>
      <c r="J27" s="1099">
        <v>47.65138474374843</v>
      </c>
    </row>
    <row r="28" spans="1:10" x14ac:dyDescent="0.4">
      <c r="A28">
        <v>2037</v>
      </c>
      <c r="B28" s="707">
        <v>310.67699002273372</v>
      </c>
      <c r="C28" s="335">
        <f>'MSW Integration Calcs PDS1 '!Y83</f>
        <v>695.23811040779901</v>
      </c>
      <c r="D28" s="335">
        <f t="shared" si="0"/>
        <v>0</v>
      </c>
      <c r="E28" s="335">
        <f t="shared" si="1"/>
        <v>310.67699002273372</v>
      </c>
      <c r="F28" s="1125"/>
      <c r="I28" s="1098">
        <v>2036</v>
      </c>
      <c r="J28" s="1099">
        <v>47.687203082009646</v>
      </c>
    </row>
    <row r="29" spans="1:10" x14ac:dyDescent="0.4">
      <c r="A29">
        <v>2038</v>
      </c>
      <c r="B29" s="707">
        <v>320.31727823188743</v>
      </c>
      <c r="C29" s="335">
        <f>'MSW Integration Calcs PDS1 '!Y84</f>
        <v>679.89270053630992</v>
      </c>
      <c r="D29" s="335">
        <f t="shared" si="0"/>
        <v>0</v>
      </c>
      <c r="E29" s="335">
        <f t="shared" si="1"/>
        <v>320.31727823188743</v>
      </c>
      <c r="F29" s="1125"/>
      <c r="I29" s="1098">
        <v>2037</v>
      </c>
      <c r="J29" s="1099">
        <v>47.719902634944184</v>
      </c>
    </row>
    <row r="30" spans="1:10" x14ac:dyDescent="0.4">
      <c r="A30">
        <v>2039</v>
      </c>
      <c r="B30" s="707">
        <v>330.06355266360714</v>
      </c>
      <c r="C30" s="335">
        <f>'MSW Integration Calcs PDS1 '!Y85</f>
        <v>664.65023403054886</v>
      </c>
      <c r="D30" s="335">
        <f t="shared" si="0"/>
        <v>0</v>
      </c>
      <c r="E30" s="335">
        <f t="shared" si="1"/>
        <v>330.06355266360714</v>
      </c>
      <c r="F30" s="1125"/>
      <c r="I30" s="1098">
        <v>2038</v>
      </c>
      <c r="J30" s="1099">
        <v>47.749751198458576</v>
      </c>
    </row>
    <row r="31" spans="1:10" x14ac:dyDescent="0.4">
      <c r="A31">
        <v>2040</v>
      </c>
      <c r="B31" s="707">
        <v>339.52464589579961</v>
      </c>
      <c r="C31" s="335">
        <f>'MSW Integration Calcs PDS1 '!Y86</f>
        <v>647.87242290095264</v>
      </c>
      <c r="D31" s="335">
        <f t="shared" si="0"/>
        <v>0</v>
      </c>
      <c r="E31" s="335">
        <f t="shared" si="1"/>
        <v>339.52464589579961</v>
      </c>
      <c r="F31" s="1125"/>
      <c r="I31" s="1098">
        <v>2039</v>
      </c>
      <c r="J31" s="1099">
        <v>47.776994207101744</v>
      </c>
    </row>
    <row r="32" spans="1:10" x14ac:dyDescent="0.4">
      <c r="A32">
        <v>2041</v>
      </c>
      <c r="B32" s="707">
        <v>349.85910192109833</v>
      </c>
      <c r="C32" s="335">
        <f>'MSW Integration Calcs PDS1 '!Y87</f>
        <v>634.5372129340991</v>
      </c>
      <c r="D32" s="335">
        <f t="shared" si="0"/>
        <v>0</v>
      </c>
      <c r="E32" s="335">
        <f t="shared" si="1"/>
        <v>349.85910192109833</v>
      </c>
      <c r="F32" s="1125"/>
      <c r="I32" s="1098">
        <v>2040</v>
      </c>
      <c r="J32" s="1099">
        <v>47.801856494204991</v>
      </c>
    </row>
    <row r="33" spans="1:10" x14ac:dyDescent="0.4">
      <c r="A33">
        <v>2042</v>
      </c>
      <c r="B33" s="707">
        <v>359.77782771524176</v>
      </c>
      <c r="C33" s="335">
        <f>'MSW Integration Calcs PDS1 '!Y88</f>
        <v>619.18015208888482</v>
      </c>
      <c r="D33" s="335">
        <f t="shared" si="0"/>
        <v>0</v>
      </c>
      <c r="E33" s="335">
        <f t="shared" si="1"/>
        <v>359.77782771524176</v>
      </c>
      <c r="F33" s="1125"/>
      <c r="I33" s="1098">
        <v>2041</v>
      </c>
      <c r="J33" s="1099">
        <v>47.824543931877066</v>
      </c>
    </row>
    <row r="34" spans="1:10" x14ac:dyDescent="0.4">
      <c r="A34">
        <v>2043</v>
      </c>
      <c r="B34" s="707">
        <v>369.80146427029553</v>
      </c>
      <c r="C34" s="335">
        <f>'MSW Integration Calcs PDS1 '!Y89</f>
        <v>604.0544526662303</v>
      </c>
      <c r="D34" s="335">
        <f t="shared" si="0"/>
        <v>0</v>
      </c>
      <c r="E34" s="335">
        <f t="shared" si="1"/>
        <v>369.80146427029553</v>
      </c>
      <c r="F34" s="1125"/>
      <c r="I34" s="1098">
        <v>2042</v>
      </c>
      <c r="J34" s="1099">
        <v>47.845244955753166</v>
      </c>
    </row>
    <row r="35" spans="1:10" x14ac:dyDescent="0.4">
      <c r="A35">
        <v>2044</v>
      </c>
      <c r="B35" s="707">
        <v>379.93165197372355</v>
      </c>
      <c r="C35" s="335">
        <f>'MSW Integration Calcs PDS1 '!Y90</f>
        <v>589.19630452374986</v>
      </c>
      <c r="D35" s="335">
        <f t="shared" si="0"/>
        <v>0</v>
      </c>
      <c r="E35" s="335">
        <f t="shared" si="1"/>
        <v>379.93165197372355</v>
      </c>
      <c r="F35" s="1125"/>
      <c r="I35" s="1098">
        <v>2043</v>
      </c>
      <c r="J35" s="1099">
        <v>47.864131979867068</v>
      </c>
    </row>
    <row r="36" spans="1:10" x14ac:dyDescent="0.4">
      <c r="A36">
        <v>2045</v>
      </c>
      <c r="B36" s="707">
        <v>390.1828214111618</v>
      </c>
      <c r="C36" s="335">
        <f>'MSW Integration Calcs PDS1 '!Y91</f>
        <v>574.69150178669759</v>
      </c>
      <c r="D36" s="335">
        <f t="shared" si="0"/>
        <v>0</v>
      </c>
      <c r="E36" s="335">
        <f t="shared" si="1"/>
        <v>390.1828214111618</v>
      </c>
      <c r="F36" s="1125"/>
      <c r="I36" s="1098">
        <v>2044</v>
      </c>
      <c r="J36" s="1099">
        <v>47.88136270730736</v>
      </c>
    </row>
    <row r="37" spans="1:10" x14ac:dyDescent="0.4">
      <c r="A37">
        <v>2046</v>
      </c>
      <c r="B37" s="707">
        <v>400.50510275993332</v>
      </c>
      <c r="C37" s="335">
        <f>'MSW Integration Calcs PDS1 '!Y92</f>
        <v>560.36856471419708</v>
      </c>
      <c r="D37" s="335">
        <f t="shared" si="0"/>
        <v>0</v>
      </c>
      <c r="E37" s="335">
        <f t="shared" si="1"/>
        <v>400.50510275993332</v>
      </c>
      <c r="F37" s="1125"/>
      <c r="I37" s="1098">
        <v>2045</v>
      </c>
      <c r="J37" s="1099">
        <v>47.897081342465661</v>
      </c>
    </row>
    <row r="38" spans="1:10" x14ac:dyDescent="0.4">
      <c r="A38">
        <v>2047</v>
      </c>
      <c r="B38" s="707">
        <v>410.90142394952579</v>
      </c>
      <c r="C38" s="335">
        <f>'MSW Integration Calcs PDS1 '!Y93</f>
        <v>546.269631726444</v>
      </c>
      <c r="D38" s="335">
        <f t="shared" si="0"/>
        <v>0</v>
      </c>
      <c r="E38" s="335">
        <f t="shared" si="1"/>
        <v>410.90142394952579</v>
      </c>
      <c r="F38" s="1125"/>
      <c r="I38" s="1098">
        <v>2046</v>
      </c>
      <c r="J38" s="1099">
        <v>47.91141971071864</v>
      </c>
    </row>
    <row r="39" spans="1:10" x14ac:dyDescent="0.4">
      <c r="A39">
        <v>2048</v>
      </c>
      <c r="B39" s="707">
        <v>421.37944865100434</v>
      </c>
      <c r="C39" s="335">
        <f>'MSW Integration Calcs PDS1 '!Y94</f>
        <v>532.45544598976596</v>
      </c>
      <c r="D39" s="335">
        <f t="shared" si="0"/>
        <v>0</v>
      </c>
      <c r="E39" s="335">
        <f t="shared" si="1"/>
        <v>421.37944865100434</v>
      </c>
      <c r="F39" s="1125"/>
      <c r="I39" s="1098">
        <v>2047</v>
      </c>
      <c r="J39" s="1099">
        <v>47.924498291330458</v>
      </c>
    </row>
    <row r="40" spans="1:10" x14ac:dyDescent="0.4">
      <c r="A40">
        <v>2049</v>
      </c>
      <c r="B40" s="707">
        <v>431.93764557097978</v>
      </c>
      <c r="C40" s="335">
        <f>'MSW Integration Calcs PDS1 '!Y95</f>
        <v>518.95036693534348</v>
      </c>
      <c r="D40" s="335">
        <f t="shared" si="0"/>
        <v>0</v>
      </c>
      <c r="E40" s="335">
        <f t="shared" si="1"/>
        <v>431.93764557097978</v>
      </c>
      <c r="F40" s="1125"/>
      <c r="I40" s="1098">
        <v>2048</v>
      </c>
      <c r="J40" s="1099">
        <v>47.936427169239082</v>
      </c>
    </row>
    <row r="41" spans="1:10" x14ac:dyDescent="0.4">
      <c r="A41">
        <v>2050</v>
      </c>
      <c r="B41" s="707">
        <v>442.48784978199905</v>
      </c>
      <c r="C41" s="335">
        <f>'MSW Integration Calcs PDS1 '!Y96</f>
        <v>505.45724972932766</v>
      </c>
      <c r="D41" s="335">
        <f t="shared" si="0"/>
        <v>0</v>
      </c>
      <c r="E41" s="335">
        <f t="shared" si="1"/>
        <v>442.48784978199905</v>
      </c>
      <c r="F41" s="1125"/>
      <c r="I41" s="1098">
        <v>2049</v>
      </c>
      <c r="J41" s="1099">
        <v>47.947306911216131</v>
      </c>
    </row>
    <row r="42" spans="1:10" x14ac:dyDescent="0.4">
      <c r="A42">
        <v>2051</v>
      </c>
      <c r="B42" s="707">
        <v>453.28884032753376</v>
      </c>
      <c r="C42" s="335">
        <f>'MSW Integration Calcs PDS1 '!Y97</f>
        <v>520.3813948128286</v>
      </c>
      <c r="D42" s="335">
        <f t="shared" si="0"/>
        <v>0</v>
      </c>
      <c r="E42" s="335">
        <f t="shared" si="1"/>
        <v>453.28884032753376</v>
      </c>
      <c r="F42" s="1125"/>
      <c r="I42" s="1098">
        <v>2050</v>
      </c>
      <c r="J42" s="1099">
        <v>47.957229371678714</v>
      </c>
    </row>
    <row r="43" spans="1:10" x14ac:dyDescent="0.4">
      <c r="A43">
        <v>2052</v>
      </c>
      <c r="B43" s="707">
        <v>464.079437630717</v>
      </c>
      <c r="C43" s="335">
        <f>'MSW Integration Calcs PDS1 '!Y98</f>
        <v>535.31586393303985</v>
      </c>
      <c r="D43" s="335">
        <f t="shared" si="0"/>
        <v>0</v>
      </c>
      <c r="E43" s="335">
        <f t="shared" si="1"/>
        <v>464.079437630717</v>
      </c>
      <c r="F43" s="1125"/>
      <c r="I43" s="1098">
        <v>2051</v>
      </c>
      <c r="J43" s="1099">
        <v>47.966278433196145</v>
      </c>
    </row>
    <row r="44" spans="1:10" x14ac:dyDescent="0.4">
      <c r="A44">
        <v>2053</v>
      </c>
      <c r="B44" s="707">
        <v>474.9449356764768</v>
      </c>
      <c r="C44" s="335">
        <f>'MSW Integration Calcs PDS1 '!Y99</f>
        <v>550.40847690923863</v>
      </c>
      <c r="D44" s="335">
        <f t="shared" si="0"/>
        <v>0</v>
      </c>
      <c r="E44" s="335">
        <f t="shared" si="1"/>
        <v>474.9449356764768</v>
      </c>
      <c r="F44" s="1125"/>
      <c r="I44" s="1098">
        <v>2052</v>
      </c>
      <c r="J44" s="1099">
        <v>47.97453068648089</v>
      </c>
    </row>
    <row r="45" spans="1:10" x14ac:dyDescent="0.4">
      <c r="A45">
        <v>2054</v>
      </c>
      <c r="B45" s="707">
        <v>485.88394998302073</v>
      </c>
      <c r="C45" s="335">
        <f>'MSW Integration Calcs PDS1 '!Y100</f>
        <v>565.66008394188191</v>
      </c>
      <c r="D45" s="335">
        <f t="shared" si="0"/>
        <v>0</v>
      </c>
      <c r="E45" s="335">
        <f t="shared" si="1"/>
        <v>485.88394998302073</v>
      </c>
      <c r="F45" s="1125"/>
      <c r="I45" s="1098">
        <v>2053</v>
      </c>
      <c r="J45" s="1099">
        <v>47.982056054392388</v>
      </c>
    </row>
    <row r="46" spans="1:10" x14ac:dyDescent="0.4">
      <c r="A46">
        <v>2055</v>
      </c>
      <c r="B46" s="707">
        <v>496.89524938649873</v>
      </c>
      <c r="C46" s="335">
        <f>'MSW Integration Calcs PDS1 '!Y101</f>
        <v>581.07055200166417</v>
      </c>
      <c r="D46" s="335">
        <f t="shared" si="0"/>
        <v>0</v>
      </c>
      <c r="E46" s="335">
        <f t="shared" si="1"/>
        <v>496.89524938649873</v>
      </c>
      <c r="F46" s="1125"/>
      <c r="I46" s="1098">
        <v>2054</v>
      </c>
      <c r="J46" s="1099">
        <v>47.988918364217085</v>
      </c>
    </row>
    <row r="47" spans="1:10" x14ac:dyDescent="0.4">
      <c r="A47">
        <v>2056</v>
      </c>
      <c r="B47" s="707">
        <v>507.97771102160652</v>
      </c>
      <c r="C47" s="335">
        <f>'MSW Integration Calcs PDS1 '!Y102</f>
        <v>596.64003563400752</v>
      </c>
      <c r="D47" s="335">
        <f t="shared" si="0"/>
        <v>0</v>
      </c>
      <c r="E47" s="335">
        <f t="shared" si="1"/>
        <v>507.97771102160652</v>
      </c>
      <c r="F47" s="1125"/>
      <c r="I47" s="1098">
        <v>2055</v>
      </c>
      <c r="J47" s="1099">
        <v>47.995175872224657</v>
      </c>
    </row>
    <row r="48" spans="1:10" x14ac:dyDescent="0.4">
      <c r="A48">
        <v>2057</v>
      </c>
      <c r="B48" s="707">
        <v>519.13049243346063</v>
      </c>
      <c r="C48" s="335">
        <f>'MSW Integration Calcs PDS1 '!Y103</f>
        <v>612.36663972613724</v>
      </c>
      <c r="D48" s="335">
        <f t="shared" si="0"/>
        <v>0</v>
      </c>
      <c r="E48" s="335">
        <f t="shared" si="1"/>
        <v>519.13049243346063</v>
      </c>
      <c r="F48" s="1125"/>
      <c r="I48" s="1098">
        <v>2056</v>
      </c>
      <c r="J48" s="1099">
        <v>48.000881744241603</v>
      </c>
    </row>
    <row r="49" spans="1:10" x14ac:dyDescent="0.4">
      <c r="A49">
        <v>2058</v>
      </c>
      <c r="B49" s="707">
        <v>530.35309614534515</v>
      </c>
      <c r="C49" s="335">
        <f>'MSW Integration Calcs PDS1 '!Y104</f>
        <v>628.24500281312908</v>
      </c>
      <c r="D49" s="335">
        <f t="shared" si="0"/>
        <v>0</v>
      </c>
      <c r="E49" s="335">
        <f t="shared" si="1"/>
        <v>530.35309614534515</v>
      </c>
      <c r="F49" s="1125"/>
      <c r="I49" s="1098">
        <v>2057</v>
      </c>
      <c r="J49" s="1099">
        <v>48.00608449573194</v>
      </c>
    </row>
    <row r="50" spans="1:10" x14ac:dyDescent="0.4">
      <c r="A50">
        <v>2059</v>
      </c>
      <c r="B50" s="707">
        <v>541.64529299858157</v>
      </c>
      <c r="C50" s="335">
        <f>'MSW Integration Calcs PDS1 '!Y105</f>
        <v>644.26780410169852</v>
      </c>
      <c r="D50" s="335">
        <f t="shared" si="0"/>
        <v>0</v>
      </c>
      <c r="E50" s="335">
        <f t="shared" si="1"/>
        <v>541.64529299858157</v>
      </c>
      <c r="F50" s="1125"/>
      <c r="I50" s="1098">
        <v>2058</v>
      </c>
      <c r="J50" s="1099">
        <v>48.010828394632362</v>
      </c>
    </row>
    <row r="51" spans="1:10" x14ac:dyDescent="0.4">
      <c r="A51">
        <v>2060</v>
      </c>
      <c r="B51" s="707">
        <v>553.00685259893748</v>
      </c>
      <c r="C51" s="335">
        <f>'MSW Integration Calcs PDS1 '!Y106</f>
        <v>660.4283237427544</v>
      </c>
      <c r="D51" s="335">
        <f t="shared" si="0"/>
        <v>0</v>
      </c>
      <c r="E51" s="335">
        <f t="shared" si="1"/>
        <v>553.00685259893748</v>
      </c>
      <c r="F51" s="1125"/>
      <c r="I51" s="1098">
        <v>2059</v>
      </c>
      <c r="J51" s="1099">
        <v>48.015153829957434</v>
      </c>
    </row>
    <row r="52" spans="1:10" x14ac:dyDescent="0.4">
      <c r="I52" s="1098">
        <v>2060</v>
      </c>
      <c r="J52" s="1099">
        <v>48.019097648969989</v>
      </c>
    </row>
    <row r="53" spans="1:10" x14ac:dyDescent="0.4">
      <c r="A53" s="1" t="s">
        <v>1073</v>
      </c>
    </row>
    <row r="54" spans="1:10" x14ac:dyDescent="0.4">
      <c r="A54" s="1" t="s">
        <v>357</v>
      </c>
    </row>
    <row r="55" spans="1:10" x14ac:dyDescent="0.4">
      <c r="B55" t="s">
        <v>353</v>
      </c>
      <c r="C55" t="s">
        <v>355</v>
      </c>
      <c r="D55" t="s">
        <v>354</v>
      </c>
      <c r="E55" t="s">
        <v>356</v>
      </c>
    </row>
    <row r="56" spans="1:10" x14ac:dyDescent="0.4">
      <c r="A56">
        <v>2014</v>
      </c>
      <c r="B56" s="707">
        <v>110.54366841083268</v>
      </c>
      <c r="C56" s="335">
        <f>'MSW Integration Calcs PDS2'!Y60</f>
        <v>804.7949483183213</v>
      </c>
      <c r="D56" s="335">
        <f>IF(B56&gt;C56,B56-C56,0)</f>
        <v>0</v>
      </c>
      <c r="E56" s="335">
        <f>B56-D56</f>
        <v>110.54366841083268</v>
      </c>
      <c r="F56" s="1125"/>
    </row>
    <row r="57" spans="1:10" x14ac:dyDescent="0.4">
      <c r="A57">
        <v>2015</v>
      </c>
      <c r="B57" s="707">
        <v>121.04208551354085</v>
      </c>
      <c r="C57" s="335">
        <f>'MSW Integration Calcs PDS2'!Y61</f>
        <v>862.89164707897714</v>
      </c>
      <c r="D57" s="335">
        <f t="shared" ref="D57:D102" si="2">IF(B57&gt;C57,B57-C57,0)</f>
        <v>0</v>
      </c>
      <c r="E57" s="335">
        <f t="shared" ref="E57:E102" si="3">B57-D57</f>
        <v>121.04208551354085</v>
      </c>
      <c r="F57" s="1125"/>
    </row>
    <row r="58" spans="1:10" s="609" customFormat="1" x14ac:dyDescent="0.4">
      <c r="A58">
        <v>2016</v>
      </c>
      <c r="B58" s="707">
        <v>131.54050261624903</v>
      </c>
      <c r="C58" s="335">
        <f>'MSW Integration Calcs PDS2'!Y62</f>
        <v>925.35644999999988</v>
      </c>
      <c r="D58" s="335">
        <f t="shared" si="2"/>
        <v>0</v>
      </c>
      <c r="E58" s="335">
        <f t="shared" si="3"/>
        <v>131.54050261624903</v>
      </c>
      <c r="F58" s="1125"/>
    </row>
    <row r="59" spans="1:10" s="609" customFormat="1" x14ac:dyDescent="0.4">
      <c r="A59">
        <v>2017</v>
      </c>
      <c r="B59" s="707">
        <v>142.0389197189572</v>
      </c>
      <c r="C59" s="335">
        <f>'MSW Integration Calcs PDS2'!Y63</f>
        <v>977.089189437031</v>
      </c>
      <c r="D59" s="335">
        <f t="shared" si="2"/>
        <v>0</v>
      </c>
      <c r="E59" s="335">
        <f t="shared" si="3"/>
        <v>142.0389197189572</v>
      </c>
      <c r="F59" s="1125"/>
    </row>
    <row r="60" spans="1:10" x14ac:dyDescent="0.4">
      <c r="A60">
        <v>2018</v>
      </c>
      <c r="B60" s="707">
        <v>152.53733682166535</v>
      </c>
      <c r="C60" s="335">
        <f>'MSW Integration Calcs PDS2'!Y64</f>
        <v>998.13023385837414</v>
      </c>
      <c r="D60" s="335">
        <f t="shared" si="2"/>
        <v>0</v>
      </c>
      <c r="E60" s="335">
        <f t="shared" si="3"/>
        <v>152.53733682166535</v>
      </c>
      <c r="F60" s="1125"/>
    </row>
    <row r="61" spans="1:10" x14ac:dyDescent="0.4">
      <c r="A61">
        <v>2019</v>
      </c>
      <c r="B61" s="707">
        <v>168.45419494524072</v>
      </c>
      <c r="C61" s="335">
        <f>'MSW Integration Calcs PDS2'!Y65</f>
        <v>965.80126383298739</v>
      </c>
      <c r="D61" s="335">
        <f t="shared" si="2"/>
        <v>0</v>
      </c>
      <c r="E61" s="335">
        <f t="shared" si="3"/>
        <v>168.45419494524072</v>
      </c>
      <c r="F61" s="1125"/>
    </row>
    <row r="62" spans="1:10" x14ac:dyDescent="0.4">
      <c r="A62">
        <v>2020</v>
      </c>
      <c r="B62" s="707">
        <v>179.07781811226951</v>
      </c>
      <c r="C62" s="335">
        <f>'MSW Integration Calcs PDS2'!Y66</f>
        <v>933.18915887538776</v>
      </c>
      <c r="D62" s="335">
        <f t="shared" si="2"/>
        <v>0</v>
      </c>
      <c r="E62" s="335">
        <f t="shared" si="3"/>
        <v>179.07781811226951</v>
      </c>
      <c r="F62" s="1125"/>
    </row>
    <row r="63" spans="1:10" x14ac:dyDescent="0.4">
      <c r="A63">
        <v>2021</v>
      </c>
      <c r="B63" s="707">
        <v>189.72182074311098</v>
      </c>
      <c r="C63" s="335">
        <f>'MSW Integration Calcs PDS2'!Y67</f>
        <v>898.98723765974034</v>
      </c>
      <c r="D63" s="335">
        <f t="shared" si="2"/>
        <v>0</v>
      </c>
      <c r="E63" s="335">
        <f t="shared" si="3"/>
        <v>189.72182074311098</v>
      </c>
      <c r="F63" s="1125"/>
    </row>
    <row r="64" spans="1:10" x14ac:dyDescent="0.4">
      <c r="A64">
        <v>2022</v>
      </c>
      <c r="B64" s="707">
        <v>200.62773406524477</v>
      </c>
      <c r="C64" s="335">
        <f>'MSW Integration Calcs PDS2'!Y68</f>
        <v>864.66805650625145</v>
      </c>
      <c r="D64" s="335">
        <f t="shared" si="2"/>
        <v>0</v>
      </c>
      <c r="E64" s="335">
        <f t="shared" si="3"/>
        <v>200.62773406524477</v>
      </c>
      <c r="F64" s="1125"/>
    </row>
    <row r="65" spans="1:6" x14ac:dyDescent="0.4">
      <c r="A65">
        <v>2023</v>
      </c>
      <c r="B65" s="707">
        <v>211.72829404443874</v>
      </c>
      <c r="C65" s="335">
        <f>'MSW Integration Calcs PDS2'!Y69</f>
        <v>829.94195416967204</v>
      </c>
      <c r="D65" s="335">
        <f t="shared" si="2"/>
        <v>0</v>
      </c>
      <c r="E65" s="335">
        <f t="shared" si="3"/>
        <v>211.72829404443874</v>
      </c>
      <c r="F65" s="1125"/>
    </row>
    <row r="66" spans="1:6" x14ac:dyDescent="0.4">
      <c r="A66">
        <v>2024</v>
      </c>
      <c r="B66" s="707">
        <v>223.01384741942891</v>
      </c>
      <c r="C66" s="335">
        <f>'MSW Integration Calcs PDS2'!Y70</f>
        <v>796.73085905721769</v>
      </c>
      <c r="D66" s="335">
        <f t="shared" si="2"/>
        <v>0</v>
      </c>
      <c r="E66" s="335">
        <f t="shared" si="3"/>
        <v>223.01384741942891</v>
      </c>
      <c r="F66" s="1125"/>
    </row>
    <row r="67" spans="1:6" x14ac:dyDescent="0.4">
      <c r="A67">
        <v>2025</v>
      </c>
      <c r="B67" s="707">
        <v>234.1620096494986</v>
      </c>
      <c r="C67" s="335">
        <f>'MSW Integration Calcs PDS2'!Y71</f>
        <v>761.44132879560607</v>
      </c>
      <c r="D67" s="335">
        <f t="shared" si="2"/>
        <v>0</v>
      </c>
      <c r="E67" s="335">
        <f t="shared" si="3"/>
        <v>234.1620096494986</v>
      </c>
      <c r="F67" s="1125"/>
    </row>
    <row r="68" spans="1:6" x14ac:dyDescent="0.4">
      <c r="A68">
        <v>2026</v>
      </c>
      <c r="B68" s="707">
        <v>246.95310720809101</v>
      </c>
      <c r="C68" s="335">
        <f>'MSW Integration Calcs PDS2'!Y72</f>
        <v>733.31958833129875</v>
      </c>
      <c r="D68" s="335">
        <f t="shared" si="2"/>
        <v>0</v>
      </c>
      <c r="E68" s="335">
        <f t="shared" si="3"/>
        <v>246.95310720809101</v>
      </c>
      <c r="F68" s="1125"/>
    </row>
    <row r="69" spans="1:6" x14ac:dyDescent="0.4">
      <c r="A69">
        <v>2027</v>
      </c>
      <c r="B69" s="707">
        <v>260.06056510689001</v>
      </c>
      <c r="C69" s="335">
        <f>'MSW Integration Calcs PDS2'!Y73</f>
        <v>705.79550324464947</v>
      </c>
      <c r="D69" s="335">
        <f t="shared" si="2"/>
        <v>0</v>
      </c>
      <c r="E69" s="335">
        <f t="shared" si="3"/>
        <v>260.06056510689001</v>
      </c>
      <c r="F69" s="1125"/>
    </row>
    <row r="70" spans="1:6" x14ac:dyDescent="0.4">
      <c r="A70">
        <v>2028</v>
      </c>
      <c r="B70" s="707">
        <v>273.41181106170205</v>
      </c>
      <c r="C70" s="335">
        <f>'MSW Integration Calcs PDS2'!Y74</f>
        <v>678.60735853019071</v>
      </c>
      <c r="D70" s="335">
        <f t="shared" si="2"/>
        <v>0</v>
      </c>
      <c r="E70" s="335">
        <f t="shared" si="3"/>
        <v>273.41181106170205</v>
      </c>
      <c r="F70" s="1125"/>
    </row>
    <row r="71" spans="1:6" x14ac:dyDescent="0.4">
      <c r="A71">
        <v>2029</v>
      </c>
      <c r="B71" s="707">
        <v>287.0022865937637</v>
      </c>
      <c r="C71" s="335">
        <f>'MSW Integration Calcs PDS2'!Y75</f>
        <v>651.81864554761682</v>
      </c>
      <c r="D71" s="335">
        <f t="shared" si="2"/>
        <v>0</v>
      </c>
      <c r="E71" s="335">
        <f t="shared" si="3"/>
        <v>287.0022865937637</v>
      </c>
      <c r="F71" s="1125"/>
    </row>
    <row r="72" spans="1:6" x14ac:dyDescent="0.4">
      <c r="A72">
        <v>2030</v>
      </c>
      <c r="B72" s="707">
        <v>301.17407641967475</v>
      </c>
      <c r="C72" s="335">
        <f>'MSW Integration Calcs PDS2'!Y76</f>
        <v>626.925239495553</v>
      </c>
      <c r="D72" s="335">
        <f t="shared" si="2"/>
        <v>0</v>
      </c>
      <c r="E72" s="335">
        <f t="shared" si="3"/>
        <v>301.17407641967475</v>
      </c>
      <c r="F72" s="1125"/>
    </row>
    <row r="73" spans="1:6" x14ac:dyDescent="0.4">
      <c r="A73">
        <v>2031</v>
      </c>
      <c r="B73" s="707">
        <v>314.88306344366322</v>
      </c>
      <c r="C73" s="335">
        <f>'MSW Integration Calcs PDS2'!Y77</f>
        <v>601.01758927718834</v>
      </c>
      <c r="D73" s="335">
        <f t="shared" si="2"/>
        <v>0</v>
      </c>
      <c r="E73" s="335">
        <f t="shared" si="3"/>
        <v>314.88306344366322</v>
      </c>
      <c r="F73" s="1125"/>
    </row>
    <row r="74" spans="1:6" x14ac:dyDescent="0.4">
      <c r="A74">
        <v>2032</v>
      </c>
      <c r="B74" s="707">
        <v>329.05170036910079</v>
      </c>
      <c r="C74" s="335">
        <f>'MSW Integration Calcs PDS2'!Y78</f>
        <v>576.83722738366055</v>
      </c>
      <c r="D74" s="335">
        <f t="shared" si="2"/>
        <v>0</v>
      </c>
      <c r="E74" s="335">
        <f t="shared" si="3"/>
        <v>329.05170036910079</v>
      </c>
      <c r="F74" s="1125"/>
    </row>
    <row r="75" spans="1:6" x14ac:dyDescent="0.4">
      <c r="A75">
        <v>2033</v>
      </c>
      <c r="B75" s="707">
        <v>343.4410591847132</v>
      </c>
      <c r="C75" s="335">
        <f>'MSW Integration Calcs PDS2'!Y79</f>
        <v>553.44576327043251</v>
      </c>
      <c r="D75" s="335">
        <f t="shared" si="2"/>
        <v>0</v>
      </c>
      <c r="E75" s="335">
        <f t="shared" si="3"/>
        <v>343.4410591847132</v>
      </c>
      <c r="F75" s="1125"/>
    </row>
    <row r="76" spans="1:6" x14ac:dyDescent="0.4">
      <c r="A76">
        <v>2034</v>
      </c>
      <c r="B76" s="707">
        <v>358.05344411639214</v>
      </c>
      <c r="C76" s="335">
        <f>'MSW Integration Calcs PDS2'!Y80</f>
        <v>530.89526730107093</v>
      </c>
      <c r="D76" s="335">
        <f t="shared" si="2"/>
        <v>0</v>
      </c>
      <c r="E76" s="335">
        <f t="shared" si="3"/>
        <v>358.05344411639214</v>
      </c>
      <c r="F76" s="1125"/>
    </row>
    <row r="77" spans="1:6" x14ac:dyDescent="0.4">
      <c r="A77">
        <v>2035</v>
      </c>
      <c r="B77" s="707">
        <v>372.90697304325437</v>
      </c>
      <c r="C77" s="335">
        <f>'MSW Integration Calcs PDS2'!Y81</f>
        <v>509.29225532649298</v>
      </c>
      <c r="D77" s="335">
        <f t="shared" si="2"/>
        <v>0</v>
      </c>
      <c r="E77" s="335">
        <f t="shared" si="3"/>
        <v>372.90697304325437</v>
      </c>
      <c r="F77" s="1125"/>
    </row>
    <row r="78" spans="1:6" x14ac:dyDescent="0.4">
      <c r="A78">
        <v>2036</v>
      </c>
      <c r="B78" s="707">
        <v>387.94813895171484</v>
      </c>
      <c r="C78" s="335">
        <f>'MSW Integration Calcs PDS2'!Y82</f>
        <v>488.48333843691177</v>
      </c>
      <c r="D78" s="335">
        <f t="shared" si="2"/>
        <v>0</v>
      </c>
      <c r="E78" s="335">
        <f t="shared" si="3"/>
        <v>387.94813895171484</v>
      </c>
      <c r="F78" s="1125"/>
    </row>
    <row r="79" spans="1:6" x14ac:dyDescent="0.4">
      <c r="A79">
        <v>2037</v>
      </c>
      <c r="B79" s="707">
        <v>403.23030053741212</v>
      </c>
      <c r="C79" s="335">
        <f>'MSW Integration Calcs PDS2'!Y83</f>
        <v>468.7065286262274</v>
      </c>
      <c r="D79" s="335">
        <f t="shared" si="2"/>
        <v>0</v>
      </c>
      <c r="E79" s="335">
        <f t="shared" si="3"/>
        <v>403.23030053741212</v>
      </c>
      <c r="F79" s="1125"/>
    </row>
    <row r="80" spans="1:6" x14ac:dyDescent="0.4">
      <c r="A80">
        <v>2038</v>
      </c>
      <c r="B80" s="707">
        <v>418.73569938066373</v>
      </c>
      <c r="C80" s="335">
        <f>'MSW Integration Calcs PDS2'!Y84</f>
        <v>449.94548584180751</v>
      </c>
      <c r="D80" s="335">
        <f t="shared" si="2"/>
        <v>0</v>
      </c>
      <c r="E80" s="335">
        <f t="shared" si="3"/>
        <v>418.73569938066373</v>
      </c>
      <c r="F80" s="1125"/>
    </row>
    <row r="81" spans="1:6" x14ac:dyDescent="0.4">
      <c r="A81">
        <v>2039</v>
      </c>
      <c r="B81" s="707">
        <v>434.46155121414108</v>
      </c>
      <c r="C81" s="335">
        <f>'MSW Integration Calcs PDS2'!Y85</f>
        <v>432.24287716737376</v>
      </c>
      <c r="D81" s="335">
        <f t="shared" si="2"/>
        <v>2.2186740467673189</v>
      </c>
      <c r="E81" s="335">
        <f t="shared" si="3"/>
        <v>432.24287716737376</v>
      </c>
      <c r="F81" s="1125"/>
    </row>
    <row r="82" spans="1:6" x14ac:dyDescent="0.4">
      <c r="A82">
        <v>2040</v>
      </c>
      <c r="B82" s="707">
        <v>449.8884794983656</v>
      </c>
      <c r="C82" s="335">
        <f>'MSW Integration Calcs PDS2'!Y86</f>
        <v>413.97425133135948</v>
      </c>
      <c r="D82" s="335">
        <f t="shared" si="2"/>
        <v>35.914228167006115</v>
      </c>
      <c r="E82" s="335">
        <f t="shared" si="3"/>
        <v>413.97425133135948</v>
      </c>
      <c r="F82" s="1125"/>
    </row>
    <row r="83" spans="1:6" x14ac:dyDescent="0.4">
      <c r="A83">
        <v>2041</v>
      </c>
      <c r="B83" s="707">
        <v>466.55049817108755</v>
      </c>
      <c r="C83" s="335">
        <f>'MSW Integration Calcs PDS2'!Y87</f>
        <v>400.12895354468725</v>
      </c>
      <c r="D83" s="335">
        <f t="shared" si="2"/>
        <v>66.421544626400305</v>
      </c>
      <c r="E83" s="335">
        <f t="shared" si="3"/>
        <v>400.12895354468725</v>
      </c>
      <c r="F83" s="1125"/>
    </row>
    <row r="84" spans="1:6" x14ac:dyDescent="0.4">
      <c r="A84">
        <v>2042</v>
      </c>
      <c r="B84" s="707">
        <v>482.73625763619515</v>
      </c>
      <c r="C84" s="335">
        <f>'MSW Integration Calcs PDS2'!Y88</f>
        <v>385.25288249947664</v>
      </c>
      <c r="D84" s="335">
        <f t="shared" si="2"/>
        <v>97.483375136718507</v>
      </c>
      <c r="E84" s="335">
        <f t="shared" si="3"/>
        <v>385.25288249947664</v>
      </c>
      <c r="F84" s="1125"/>
    </row>
    <row r="85" spans="1:6" x14ac:dyDescent="0.4">
      <c r="A85">
        <v>2043</v>
      </c>
      <c r="B85" s="707">
        <v>499.13484384800779</v>
      </c>
      <c r="C85" s="335">
        <f>'MSW Integration Calcs PDS2'!Y89</f>
        <v>371.61086917726163</v>
      </c>
      <c r="D85" s="335">
        <f t="shared" si="2"/>
        <v>127.52397467074616</v>
      </c>
      <c r="E85" s="335">
        <f t="shared" si="3"/>
        <v>371.61086917726163</v>
      </c>
      <c r="F85" s="1125"/>
    </row>
    <row r="86" spans="1:6" x14ac:dyDescent="0.4">
      <c r="A86">
        <v>2044</v>
      </c>
      <c r="B86" s="707">
        <v>515.7477393827412</v>
      </c>
      <c r="C86" s="335">
        <f>'MSW Integration Calcs PDS2'!Y90</f>
        <v>359.25059701276848</v>
      </c>
      <c r="D86" s="335">
        <f t="shared" si="2"/>
        <v>156.49714236997272</v>
      </c>
      <c r="E86" s="335">
        <f t="shared" si="3"/>
        <v>359.25059701276848</v>
      </c>
      <c r="F86" s="1125"/>
    </row>
    <row r="87" spans="1:6" x14ac:dyDescent="0.4">
      <c r="A87">
        <v>2045</v>
      </c>
      <c r="B87" s="707">
        <v>532.59397831737328</v>
      </c>
      <c r="C87" s="335">
        <f>'MSW Integration Calcs PDS2'!Y91</f>
        <v>348.26868937379083</v>
      </c>
      <c r="D87" s="335">
        <f t="shared" si="2"/>
        <v>184.32528894358245</v>
      </c>
      <c r="E87" s="335">
        <f t="shared" si="3"/>
        <v>348.26868937379083</v>
      </c>
      <c r="F87" s="1125"/>
    </row>
    <row r="88" spans="1:6" x14ac:dyDescent="0.4">
      <c r="A88">
        <v>2046</v>
      </c>
      <c r="B88" s="707">
        <v>549.60481608924886</v>
      </c>
      <c r="C88" s="335">
        <f>'MSW Integration Calcs PDS2'!Y92</f>
        <v>338.50313646090456</v>
      </c>
      <c r="D88" s="335">
        <f t="shared" si="2"/>
        <v>211.1016796283443</v>
      </c>
      <c r="E88" s="335">
        <f t="shared" si="3"/>
        <v>338.50313646090456</v>
      </c>
      <c r="F88" s="1125"/>
    </row>
    <row r="89" spans="1:6" x14ac:dyDescent="0.4">
      <c r="A89">
        <v>2047</v>
      </c>
      <c r="B89" s="707">
        <v>566.7829398018838</v>
      </c>
      <c r="C89" s="335">
        <f>'MSW Integration Calcs PDS2'!Y93</f>
        <v>330.00488056714016</v>
      </c>
      <c r="D89" s="335">
        <f t="shared" si="2"/>
        <v>236.77805923474364</v>
      </c>
      <c r="E89" s="335">
        <f t="shared" si="3"/>
        <v>330.00488056714016</v>
      </c>
      <c r="F89" s="1125"/>
    </row>
    <row r="90" spans="1:6" x14ac:dyDescent="0.4">
      <c r="A90">
        <v>2048</v>
      </c>
      <c r="B90" s="707">
        <v>584.13775820721889</v>
      </c>
      <c r="C90" s="335">
        <f>'MSW Integration Calcs PDS2'!Y94</f>
        <v>322.84362476899452</v>
      </c>
      <c r="D90" s="335">
        <f t="shared" si="2"/>
        <v>261.29413343822438</v>
      </c>
      <c r="E90" s="335">
        <f t="shared" si="3"/>
        <v>322.84362476899452</v>
      </c>
      <c r="F90" s="1125"/>
    </row>
    <row r="91" spans="1:6" x14ac:dyDescent="0.4">
      <c r="A91">
        <v>2049</v>
      </c>
      <c r="B91" s="707">
        <v>601.66614465435487</v>
      </c>
      <c r="C91" s="335">
        <f>'MSW Integration Calcs PDS2'!Y95</f>
        <v>317.05227091352583</v>
      </c>
      <c r="D91" s="335">
        <f t="shared" si="2"/>
        <v>284.61387374082904</v>
      </c>
      <c r="E91" s="335">
        <f t="shared" si="3"/>
        <v>317.05227091352583</v>
      </c>
      <c r="F91" s="1125"/>
    </row>
    <row r="92" spans="1:6" x14ac:dyDescent="0.4">
      <c r="A92">
        <v>2050</v>
      </c>
      <c r="B92" s="707">
        <v>619.24374676963555</v>
      </c>
      <c r="C92" s="335">
        <f>'MSW Integration Calcs PDS2'!Y96</f>
        <v>312.34141199002676</v>
      </c>
      <c r="D92" s="335">
        <f t="shared" si="2"/>
        <v>306.90233477960879</v>
      </c>
      <c r="E92" s="335">
        <f t="shared" si="3"/>
        <v>312.34141199002676</v>
      </c>
      <c r="F92" s="1125"/>
    </row>
    <row r="93" spans="1:6" x14ac:dyDescent="0.4">
      <c r="A93">
        <v>2051</v>
      </c>
      <c r="B93" s="707">
        <v>637.23176229086823</v>
      </c>
      <c r="C93" s="335">
        <f>'MSW Integration Calcs PDS2'!Y97</f>
        <v>340.1161243734029</v>
      </c>
      <c r="D93" s="335">
        <f t="shared" si="2"/>
        <v>297.11563791746534</v>
      </c>
      <c r="E93" s="335">
        <f t="shared" si="3"/>
        <v>340.1161243734029</v>
      </c>
      <c r="F93" s="1125"/>
    </row>
    <row r="94" spans="1:6" x14ac:dyDescent="0.4">
      <c r="A94">
        <v>2052</v>
      </c>
      <c r="B94" s="707">
        <v>655.26374879696061</v>
      </c>
      <c r="C94" s="335">
        <f>'MSW Integration Calcs PDS2'!Y98</f>
        <v>369.05034421433606</v>
      </c>
      <c r="D94" s="335">
        <f t="shared" si="2"/>
        <v>286.21340458262455</v>
      </c>
      <c r="E94" s="335">
        <f t="shared" si="3"/>
        <v>369.05034421433606</v>
      </c>
      <c r="F94" s="1125"/>
    </row>
    <row r="95" spans="1:6" x14ac:dyDescent="0.4">
      <c r="A95">
        <v>2053</v>
      </c>
      <c r="B95" s="707">
        <v>673.45815587253662</v>
      </c>
      <c r="C95" s="335">
        <f>'MSW Integration Calcs PDS2'!Y99</f>
        <v>398.7868428264502</v>
      </c>
      <c r="D95" s="335">
        <f t="shared" si="2"/>
        <v>274.67131304608642</v>
      </c>
      <c r="E95" s="335">
        <f t="shared" si="3"/>
        <v>398.7868428264502</v>
      </c>
      <c r="F95" s="1125"/>
    </row>
    <row r="96" spans="1:6" x14ac:dyDescent="0.4">
      <c r="A96">
        <v>2054</v>
      </c>
      <c r="B96" s="707">
        <v>691.81214393787991</v>
      </c>
      <c r="C96" s="335">
        <f>'MSW Integration Calcs PDS2'!Y100</f>
        <v>429.32142848925355</v>
      </c>
      <c r="D96" s="335">
        <f t="shared" si="2"/>
        <v>262.49071544862636</v>
      </c>
      <c r="E96" s="335">
        <f t="shared" si="3"/>
        <v>429.32142848925355</v>
      </c>
      <c r="F96" s="1125"/>
    </row>
    <row r="97" spans="1:6" x14ac:dyDescent="0.4">
      <c r="A97">
        <v>2055</v>
      </c>
      <c r="B97" s="707">
        <v>710.32310552234719</v>
      </c>
      <c r="C97" s="335">
        <f>'MSW Integration Calcs PDS2'!Y101</f>
        <v>460.64760944687714</v>
      </c>
      <c r="D97" s="335">
        <f t="shared" si="2"/>
        <v>249.67549607547005</v>
      </c>
      <c r="E97" s="335">
        <f t="shared" si="3"/>
        <v>460.64760944687714</v>
      </c>
      <c r="F97" s="1125"/>
    </row>
    <row r="98" spans="1:6" x14ac:dyDescent="0.4">
      <c r="A98">
        <v>2056</v>
      </c>
      <c r="B98" s="707">
        <v>728.98860409852932</v>
      </c>
      <c r="C98" s="335">
        <f>'MSW Integration Calcs PDS2'!Y102</f>
        <v>492.75832948731659</v>
      </c>
      <c r="D98" s="335">
        <f t="shared" si="2"/>
        <v>236.23027461121274</v>
      </c>
      <c r="E98" s="335">
        <f t="shared" si="3"/>
        <v>492.75832948731659</v>
      </c>
      <c r="F98" s="1125"/>
    </row>
    <row r="99" spans="1:6" x14ac:dyDescent="0.4">
      <c r="A99">
        <v>2057</v>
      </c>
      <c r="B99" s="707">
        <v>747.80662397277342</v>
      </c>
      <c r="C99" s="335">
        <f>'MSW Integration Calcs PDS2'!Y103</f>
        <v>525.64270041345674</v>
      </c>
      <c r="D99" s="335">
        <f t="shared" si="2"/>
        <v>222.16392355931669</v>
      </c>
      <c r="E99" s="335">
        <f t="shared" si="3"/>
        <v>525.64270041345674</v>
      </c>
      <c r="F99" s="1125"/>
    </row>
    <row r="100" spans="1:6" x14ac:dyDescent="0.4">
      <c r="A100">
        <v>2058</v>
      </c>
      <c r="B100" s="707">
        <v>766.77567000276917</v>
      </c>
      <c r="C100" s="335">
        <f>'MSW Integration Calcs PDS2'!Y104</f>
        <v>559.28410666729178</v>
      </c>
      <c r="D100" s="335">
        <f t="shared" si="2"/>
        <v>207.49156333547739</v>
      </c>
      <c r="E100" s="335">
        <f t="shared" si="3"/>
        <v>559.28410666729178</v>
      </c>
      <c r="F100" s="1125"/>
    </row>
    <row r="101" spans="1:6" x14ac:dyDescent="0.4">
      <c r="A101">
        <v>2059</v>
      </c>
      <c r="B101" s="707">
        <v>785.89466393472901</v>
      </c>
      <c r="C101" s="335">
        <f>'MSW Integration Calcs PDS2'!Y105</f>
        <v>593.66229391369859</v>
      </c>
      <c r="D101" s="335">
        <f t="shared" si="2"/>
        <v>192.23237002103042</v>
      </c>
      <c r="E101" s="335">
        <f t="shared" si="3"/>
        <v>593.66229391369859</v>
      </c>
      <c r="F101" s="1125"/>
    </row>
    <row r="102" spans="1:6" x14ac:dyDescent="0.4">
      <c r="A102">
        <v>2060</v>
      </c>
      <c r="B102" s="707">
        <v>805.16255703299601</v>
      </c>
      <c r="C102" s="335">
        <f>'MSW Integration Calcs PDS2'!Y106</f>
        <v>628.75703600358372</v>
      </c>
      <c r="D102" s="335">
        <f t="shared" si="2"/>
        <v>176.40552102941228</v>
      </c>
      <c r="E102" s="335">
        <f t="shared" si="3"/>
        <v>628.75703600358372</v>
      </c>
      <c r="F102" s="1125"/>
    </row>
    <row r="104" spans="1:6" x14ac:dyDescent="0.4">
      <c r="A104" s="1" t="s">
        <v>1073</v>
      </c>
    </row>
    <row r="105" spans="1:6" x14ac:dyDescent="0.4">
      <c r="A105" s="1" t="s">
        <v>1071</v>
      </c>
    </row>
    <row r="106" spans="1:6" x14ac:dyDescent="0.4">
      <c r="B106" t="s">
        <v>353</v>
      </c>
      <c r="C106" t="s">
        <v>355</v>
      </c>
      <c r="D106" t="s">
        <v>354</v>
      </c>
      <c r="E106" t="s">
        <v>356</v>
      </c>
    </row>
    <row r="107" spans="1:6" x14ac:dyDescent="0.4">
      <c r="A107">
        <v>2014</v>
      </c>
      <c r="B107" s="707">
        <v>110.54366841083268</v>
      </c>
      <c r="C107" s="335">
        <f>'MSW Integration Calcs PDS3'!Y60</f>
        <v>804.7949483183213</v>
      </c>
      <c r="D107" s="335">
        <f t="shared" ref="D107" si="4">IF(B107&gt;C107,B107-C107,0)</f>
        <v>0</v>
      </c>
      <c r="E107" s="335">
        <f t="shared" ref="E107" si="5">B107-D107</f>
        <v>110.54366841083268</v>
      </c>
      <c r="F107" s="1125"/>
    </row>
    <row r="108" spans="1:6" x14ac:dyDescent="0.4">
      <c r="A108">
        <v>2015</v>
      </c>
      <c r="B108" s="707">
        <v>121.04208551354085</v>
      </c>
      <c r="C108" s="335">
        <f>'MSW Integration Calcs PDS3'!Y61</f>
        <v>862.84071892596353</v>
      </c>
      <c r="D108" s="335">
        <f t="shared" ref="D108:D153" si="6">IF(B108&gt;C108,B108-C108,0)</f>
        <v>0</v>
      </c>
      <c r="E108" s="335">
        <f t="shared" ref="E108:E153" si="7">B108-D108</f>
        <v>121.04208551354085</v>
      </c>
      <c r="F108" s="1125"/>
    </row>
    <row r="109" spans="1:6" x14ac:dyDescent="0.4">
      <c r="A109">
        <v>2016</v>
      </c>
      <c r="B109" s="707">
        <v>131.54050261624903</v>
      </c>
      <c r="C109" s="335">
        <f>'MSW Integration Calcs PDS3'!Y62</f>
        <v>925.35644999999988</v>
      </c>
      <c r="D109" s="335">
        <f t="shared" si="6"/>
        <v>0</v>
      </c>
      <c r="E109" s="335">
        <f t="shared" si="7"/>
        <v>131.54050261624903</v>
      </c>
      <c r="F109" s="1125"/>
    </row>
    <row r="110" spans="1:6" x14ac:dyDescent="0.4">
      <c r="A110">
        <v>2017</v>
      </c>
      <c r="B110" s="707">
        <v>142.0389197189572</v>
      </c>
      <c r="C110" s="335">
        <f>'MSW Integration Calcs PDS3'!Y63</f>
        <v>977.089189437031</v>
      </c>
      <c r="D110" s="335">
        <f t="shared" si="6"/>
        <v>0</v>
      </c>
      <c r="E110" s="335">
        <f t="shared" si="7"/>
        <v>142.0389197189572</v>
      </c>
      <c r="F110" s="1125"/>
    </row>
    <row r="111" spans="1:6" s="609" customFormat="1" x14ac:dyDescent="0.4">
      <c r="A111">
        <v>2018</v>
      </c>
      <c r="B111" s="707">
        <v>152.53733682166535</v>
      </c>
      <c r="C111" s="335">
        <f>'MSW Integration Calcs PDS3'!Y64</f>
        <v>998.13023385837425</v>
      </c>
      <c r="D111" s="335">
        <f t="shared" si="6"/>
        <v>0</v>
      </c>
      <c r="E111" s="335">
        <f t="shared" si="7"/>
        <v>152.53733682166535</v>
      </c>
      <c r="F111" s="1125"/>
    </row>
    <row r="112" spans="1:6" s="609" customFormat="1" x14ac:dyDescent="0.4">
      <c r="A112">
        <v>2019</v>
      </c>
      <c r="B112" s="707">
        <v>208.63641873603882</v>
      </c>
      <c r="C112" s="335">
        <f>'MSW Integration Calcs PDS3'!Y65</f>
        <v>952.17551922126415</v>
      </c>
      <c r="D112" s="335">
        <f t="shared" si="6"/>
        <v>0</v>
      </c>
      <c r="E112" s="335">
        <f t="shared" si="7"/>
        <v>208.63641873603882</v>
      </c>
      <c r="F112" s="1125"/>
    </row>
    <row r="113" spans="1:6" x14ac:dyDescent="0.4">
      <c r="A113">
        <v>2020</v>
      </c>
      <c r="B113" s="707">
        <v>237.77746593076361</v>
      </c>
      <c r="C113" s="335">
        <f>'MSW Integration Calcs PDS3'!Y66</f>
        <v>906.33849746103169</v>
      </c>
      <c r="D113" s="335">
        <f t="shared" si="6"/>
        <v>0</v>
      </c>
      <c r="E113" s="335">
        <f t="shared" si="7"/>
        <v>237.77746593076361</v>
      </c>
      <c r="F113" s="1125"/>
    </row>
    <row r="114" spans="1:6" x14ac:dyDescent="0.4">
      <c r="A114">
        <v>2021</v>
      </c>
      <c r="B114" s="707">
        <v>267.54146387924328</v>
      </c>
      <c r="C114" s="335">
        <f>'MSW Integration Calcs PDS3'!Y67</f>
        <v>859.3481056833491</v>
      </c>
      <c r="D114" s="335">
        <f t="shared" si="6"/>
        <v>0</v>
      </c>
      <c r="E114" s="335">
        <f t="shared" si="7"/>
        <v>267.54146387924328</v>
      </c>
      <c r="F114" s="1125"/>
    </row>
    <row r="115" spans="1:6" x14ac:dyDescent="0.4">
      <c r="A115">
        <v>2022</v>
      </c>
      <c r="B115" s="707">
        <v>298.22753525843081</v>
      </c>
      <c r="C115" s="335">
        <f>'MSW Integration Calcs PDS3'!Y68</f>
        <v>812.6669095748764</v>
      </c>
      <c r="D115" s="335">
        <f t="shared" si="6"/>
        <v>0</v>
      </c>
      <c r="E115" s="335">
        <f t="shared" si="7"/>
        <v>298.22753525843081</v>
      </c>
      <c r="F115" s="1125"/>
    </row>
    <row r="116" spans="1:6" x14ac:dyDescent="0.4">
      <c r="A116">
        <v>2023</v>
      </c>
      <c r="B116" s="707">
        <v>329.73100627172619</v>
      </c>
      <c r="C116" s="335">
        <f>'MSW Integration Calcs PDS3'!Y69</f>
        <v>766.01930749675637</v>
      </c>
      <c r="D116" s="335">
        <f t="shared" si="6"/>
        <v>0</v>
      </c>
      <c r="E116" s="335">
        <f t="shared" si="7"/>
        <v>329.73100627172619</v>
      </c>
      <c r="F116" s="1125"/>
    </row>
    <row r="117" spans="1:6" x14ac:dyDescent="0.4">
      <c r="A117">
        <v>2024</v>
      </c>
      <c r="B117" s="707">
        <v>362.02305206042257</v>
      </c>
      <c r="C117" s="335">
        <f>'MSW Integration Calcs PDS3'!Y70</f>
        <v>719.35819481864701</v>
      </c>
      <c r="D117" s="335">
        <f t="shared" si="6"/>
        <v>0</v>
      </c>
      <c r="E117" s="335">
        <f t="shared" si="7"/>
        <v>362.02305206042257</v>
      </c>
      <c r="F117" s="1125"/>
    </row>
    <row r="118" spans="1:6" x14ac:dyDescent="0.4">
      <c r="A118">
        <v>2025</v>
      </c>
      <c r="B118" s="707">
        <v>394.54737333532785</v>
      </c>
      <c r="C118" s="335">
        <f>'MSW Integration Calcs PDS3'!Y71</f>
        <v>671.27264874010677</v>
      </c>
      <c r="D118" s="335">
        <f t="shared" si="6"/>
        <v>0</v>
      </c>
      <c r="E118" s="335">
        <f t="shared" si="7"/>
        <v>394.54737333532785</v>
      </c>
      <c r="F118" s="1125"/>
    </row>
    <row r="119" spans="1:6" x14ac:dyDescent="0.4">
      <c r="A119">
        <v>2026</v>
      </c>
      <c r="B119" s="707">
        <v>430.33925383800135</v>
      </c>
      <c r="C119" s="335">
        <f>'MSW Integration Calcs PDS3'!Y72</f>
        <v>631.07418882248328</v>
      </c>
      <c r="D119" s="335">
        <f t="shared" si="6"/>
        <v>0</v>
      </c>
      <c r="E119" s="335">
        <f t="shared" si="7"/>
        <v>430.33925383800135</v>
      </c>
      <c r="F119" s="1125"/>
    </row>
    <row r="120" spans="1:6" x14ac:dyDescent="0.4">
      <c r="A120">
        <v>2027</v>
      </c>
      <c r="B120" s="707">
        <v>467.24543036622242</v>
      </c>
      <c r="C120" s="335">
        <f>'MSW Integration Calcs PDS3'!Y73</f>
        <v>591.65474482531874</v>
      </c>
      <c r="D120" s="335">
        <f t="shared" si="6"/>
        <v>0</v>
      </c>
      <c r="E120" s="335">
        <f t="shared" si="7"/>
        <v>467.24543036622242</v>
      </c>
      <c r="F120" s="1125"/>
    </row>
    <row r="121" spans="1:6" x14ac:dyDescent="0.4">
      <c r="A121">
        <v>2028</v>
      </c>
      <c r="B121" s="707">
        <v>505.13209447203724</v>
      </c>
      <c r="C121" s="335">
        <f>'MSW Integration Calcs PDS3'!Y74</f>
        <v>553.02315831703049</v>
      </c>
      <c r="D121" s="335">
        <f t="shared" si="6"/>
        <v>0</v>
      </c>
      <c r="E121" s="335">
        <f t="shared" si="7"/>
        <v>505.13209447203724</v>
      </c>
      <c r="F121" s="1125"/>
    </row>
    <row r="122" spans="1:6" x14ac:dyDescent="0.4">
      <c r="A122">
        <v>2029</v>
      </c>
      <c r="B122" s="707">
        <v>543.98051779511218</v>
      </c>
      <c r="C122" s="335">
        <f>'MSW Integration Calcs PDS3'!Y75</f>
        <v>515.34848165816334</v>
      </c>
      <c r="D122" s="335">
        <f>IF(B122&gt;C122,B122-C122,0)</f>
        <v>28.632036136948841</v>
      </c>
      <c r="E122" s="335">
        <f t="shared" si="7"/>
        <v>515.34848165816334</v>
      </c>
      <c r="F122" s="1125"/>
    </row>
    <row r="123" spans="1:6" x14ac:dyDescent="0.4">
      <c r="A123">
        <v>2030</v>
      </c>
      <c r="B123" s="707">
        <v>584.44506219677078</v>
      </c>
      <c r="C123" s="335">
        <f>'MSW Integration Calcs PDS3'!Y76</f>
        <v>480.23961332404809</v>
      </c>
      <c r="D123" s="335">
        <f t="shared" si="6"/>
        <v>104.20544887272268</v>
      </c>
      <c r="E123" s="335">
        <f t="shared" si="7"/>
        <v>480.23961332404809</v>
      </c>
      <c r="F123" s="1125"/>
    </row>
    <row r="124" spans="1:6" x14ac:dyDescent="0.4">
      <c r="A124">
        <v>2031</v>
      </c>
      <c r="B124" s="707">
        <v>624.4904538412095</v>
      </c>
      <c r="C124" s="335">
        <f>'MSW Integration Calcs PDS3'!Y77</f>
        <v>445.15242220784609</v>
      </c>
      <c r="D124" s="335">
        <f t="shared" si="6"/>
        <v>179.33803163336341</v>
      </c>
      <c r="E124" s="335">
        <f t="shared" si="7"/>
        <v>445.15242220784609</v>
      </c>
      <c r="F124" s="1125"/>
    </row>
    <row r="125" spans="1:6" x14ac:dyDescent="0.4">
      <c r="A125">
        <v>2032</v>
      </c>
      <c r="B125" s="707">
        <v>665.88860268853887</v>
      </c>
      <c r="C125" s="335">
        <f>'MSW Integration Calcs PDS3'!Y78</f>
        <v>412.72072158631033</v>
      </c>
      <c r="D125" s="335">
        <f t="shared" si="6"/>
        <v>253.16788110222853</v>
      </c>
      <c r="E125" s="335">
        <f t="shared" si="7"/>
        <v>412.72072158631033</v>
      </c>
      <c r="F125" s="1125"/>
    </row>
    <row r="126" spans="1:6" x14ac:dyDescent="0.4">
      <c r="A126">
        <v>2033</v>
      </c>
      <c r="B126" s="707">
        <v>708.16798447199494</v>
      </c>
      <c r="C126" s="335">
        <f>'MSW Integration Calcs PDS3'!Y79</f>
        <v>382.13210851993972</v>
      </c>
      <c r="D126" s="335">
        <f t="shared" si="6"/>
        <v>326.03587595205522</v>
      </c>
      <c r="E126" s="335">
        <f t="shared" si="7"/>
        <v>382.13210851993972</v>
      </c>
      <c r="F126" s="1125"/>
    </row>
    <row r="127" spans="1:6" x14ac:dyDescent="0.4">
      <c r="A127">
        <v>2034</v>
      </c>
      <c r="B127" s="707">
        <v>751.32643409441437</v>
      </c>
      <c r="C127" s="335">
        <f>'MSW Integration Calcs PDS3'!Y80</f>
        <v>353.5698871343094</v>
      </c>
      <c r="D127" s="335">
        <f t="shared" si="6"/>
        <v>397.75654696010497</v>
      </c>
      <c r="E127" s="335">
        <f t="shared" si="7"/>
        <v>353.5698871343094</v>
      </c>
      <c r="F127" s="1125"/>
    </row>
    <row r="128" spans="1:6" x14ac:dyDescent="0.4">
      <c r="A128">
        <v>2035</v>
      </c>
      <c r="B128" s="707">
        <v>795.39659666601085</v>
      </c>
      <c r="C128" s="335">
        <f>'MSW Integration Calcs PDS3'!Y81</f>
        <v>327.27778617548319</v>
      </c>
      <c r="D128" s="335">
        <f t="shared" si="6"/>
        <v>468.11881049052766</v>
      </c>
      <c r="E128" s="335">
        <f t="shared" si="7"/>
        <v>327.27778617548319</v>
      </c>
      <c r="F128" s="1125"/>
    </row>
    <row r="129" spans="1:6" x14ac:dyDescent="0.4">
      <c r="A129">
        <v>2036</v>
      </c>
      <c r="B129" s="707">
        <v>858.8202746392318</v>
      </c>
      <c r="C129" s="335">
        <f>'MSW Integration Calcs PDS3'!Y82</f>
        <v>303.24551960203638</v>
      </c>
      <c r="D129" s="335">
        <f t="shared" si="6"/>
        <v>555.57475503719547</v>
      </c>
      <c r="E129" s="335">
        <f t="shared" si="7"/>
        <v>303.24551960203632</v>
      </c>
      <c r="F129" s="1125"/>
    </row>
    <row r="130" spans="1:6" x14ac:dyDescent="0.4">
      <c r="A130">
        <v>2037</v>
      </c>
      <c r="B130" s="707">
        <v>895.19292468459844</v>
      </c>
      <c r="C130" s="335">
        <f>'MSW Integration Calcs PDS3'!Y83</f>
        <v>281.86040212859194</v>
      </c>
      <c r="D130" s="335">
        <f t="shared" si="6"/>
        <v>613.33252255600655</v>
      </c>
      <c r="E130" s="335">
        <f t="shared" si="7"/>
        <v>281.86040212859189</v>
      </c>
      <c r="F130" s="1125"/>
    </row>
    <row r="131" spans="1:6" x14ac:dyDescent="0.4">
      <c r="A131">
        <v>2038</v>
      </c>
      <c r="B131" s="707">
        <v>932.14377471528462</v>
      </c>
      <c r="C131" s="335">
        <f>'MSW Integration Calcs PDS3'!Y84</f>
        <v>263.26096684835181</v>
      </c>
      <c r="D131" s="335">
        <f t="shared" si="6"/>
        <v>668.88280786693281</v>
      </c>
      <c r="E131" s="335">
        <f t="shared" si="7"/>
        <v>263.26096684835181</v>
      </c>
      <c r="F131" s="1125"/>
    </row>
    <row r="132" spans="1:6" x14ac:dyDescent="0.4">
      <c r="A132">
        <v>2039</v>
      </c>
      <c r="B132" s="707">
        <v>969.66619838875192</v>
      </c>
      <c r="C132" s="335">
        <f>'MSW Integration Calcs PDS3'!Y85</f>
        <v>247.64994023604453</v>
      </c>
      <c r="D132" s="335">
        <f t="shared" si="6"/>
        <v>722.01625815270745</v>
      </c>
      <c r="E132" s="335">
        <f t="shared" si="7"/>
        <v>247.64994023604447</v>
      </c>
      <c r="F132" s="1125"/>
    </row>
    <row r="133" spans="1:6" x14ac:dyDescent="0.4">
      <c r="A133">
        <v>2040</v>
      </c>
      <c r="B133" s="707">
        <v>1001.8931570532803</v>
      </c>
      <c r="C133" s="335">
        <f>'MSW Integration Calcs PDS3'!Y86</f>
        <v>233.56658906298978</v>
      </c>
      <c r="D133" s="335">
        <f t="shared" si="6"/>
        <v>768.32656799029053</v>
      </c>
      <c r="E133" s="335">
        <f t="shared" si="7"/>
        <v>233.56658906298981</v>
      </c>
      <c r="F133" s="1125"/>
    </row>
    <row r="134" spans="1:6" x14ac:dyDescent="0.4">
      <c r="A134">
        <v>2041</v>
      </c>
      <c r="B134" s="707">
        <v>1027.7550369339874</v>
      </c>
      <c r="C134" s="335">
        <f>'MSW Integration Calcs PDS3'!Y87</f>
        <v>226.16622888438437</v>
      </c>
      <c r="D134" s="335">
        <f t="shared" si="6"/>
        <v>801.58880804960302</v>
      </c>
      <c r="E134" s="335">
        <f t="shared" si="7"/>
        <v>226.1662288843844</v>
      </c>
      <c r="F134" s="1125"/>
    </row>
    <row r="135" spans="1:6" x14ac:dyDescent="0.4">
      <c r="A135">
        <v>2042</v>
      </c>
      <c r="B135" s="707">
        <v>1052.2064675125634</v>
      </c>
      <c r="C135" s="335">
        <f>'MSW Integration Calcs PDS3'!Y88</f>
        <v>220.16366794479396</v>
      </c>
      <c r="D135" s="335">
        <f t="shared" si="6"/>
        <v>832.04279956776952</v>
      </c>
      <c r="E135" s="335">
        <f t="shared" si="7"/>
        <v>220.16366794479393</v>
      </c>
      <c r="F135" s="1125"/>
    </row>
    <row r="136" spans="1:6" x14ac:dyDescent="0.4">
      <c r="A136">
        <v>2043</v>
      </c>
      <c r="B136" s="707">
        <v>1075.9097581764404</v>
      </c>
      <c r="C136" s="335">
        <f>'MSW Integration Calcs PDS3'!Y89</f>
        <v>217.99683626743365</v>
      </c>
      <c r="D136" s="335">
        <f t="shared" si="6"/>
        <v>857.91292190900674</v>
      </c>
      <c r="E136" s="335">
        <f t="shared" si="7"/>
        <v>217.99683626743365</v>
      </c>
      <c r="F136" s="1125"/>
    </row>
    <row r="137" spans="1:6" x14ac:dyDescent="0.4">
      <c r="A137">
        <v>2044</v>
      </c>
      <c r="B137" s="707">
        <v>1099.7943265505373</v>
      </c>
      <c r="C137" s="335">
        <f>'MSW Integration Calcs PDS3'!Y90</f>
        <v>219.88949973483892</v>
      </c>
      <c r="D137" s="335">
        <f t="shared" si="6"/>
        <v>879.90482681569847</v>
      </c>
      <c r="E137" s="335">
        <f t="shared" si="7"/>
        <v>219.88949973483886</v>
      </c>
      <c r="F137" s="1125"/>
    </row>
    <row r="138" spans="1:6" x14ac:dyDescent="0.4">
      <c r="A138">
        <v>2045</v>
      </c>
      <c r="B138" s="707">
        <v>1123.9031928702072</v>
      </c>
      <c r="C138" s="335">
        <f>'MSW Integration Calcs PDS3'!Y91</f>
        <v>226.11673959355198</v>
      </c>
      <c r="D138" s="335">
        <f t="shared" si="6"/>
        <v>897.78645327665527</v>
      </c>
      <c r="E138" s="335">
        <f t="shared" si="7"/>
        <v>226.11673959355198</v>
      </c>
      <c r="F138" s="1125"/>
    </row>
    <row r="139" spans="1:6" x14ac:dyDescent="0.4">
      <c r="A139">
        <v>2046</v>
      </c>
      <c r="B139" s="707">
        <v>1142.258813967738</v>
      </c>
      <c r="C139" s="335">
        <f>'MSW Integration Calcs PDS3'!Y92</f>
        <v>236.69671679163326</v>
      </c>
      <c r="D139" s="335">
        <f t="shared" si="6"/>
        <v>905.56209717610477</v>
      </c>
      <c r="E139" s="335">
        <f t="shared" si="7"/>
        <v>236.69671679163321</v>
      </c>
      <c r="F139" s="1125"/>
    </row>
    <row r="140" spans="1:6" x14ac:dyDescent="0.4">
      <c r="A140">
        <v>2047</v>
      </c>
      <c r="B140" s="707">
        <v>1157.624428826545</v>
      </c>
      <c r="C140" s="335">
        <f>'MSW Integration Calcs PDS3'!Y93</f>
        <v>251.86249608926403</v>
      </c>
      <c r="D140" s="335">
        <f t="shared" si="6"/>
        <v>905.76193273728097</v>
      </c>
      <c r="E140" s="335">
        <f t="shared" si="7"/>
        <v>251.86249608926403</v>
      </c>
      <c r="F140" s="1125"/>
    </row>
    <row r="141" spans="1:6" x14ac:dyDescent="0.4">
      <c r="A141">
        <v>2048</v>
      </c>
      <c r="B141" s="707">
        <v>1170.7462755829295</v>
      </c>
      <c r="C141" s="335">
        <f>'MSW Integration Calcs PDS3'!Y94</f>
        <v>271.86816860327144</v>
      </c>
      <c r="D141" s="335">
        <f t="shared" si="6"/>
        <v>898.87810697965801</v>
      </c>
      <c r="E141" s="335">
        <f t="shared" si="7"/>
        <v>271.86816860327144</v>
      </c>
      <c r="F141" s="1125"/>
    </row>
    <row r="142" spans="1:6" x14ac:dyDescent="0.4">
      <c r="A142">
        <v>2049</v>
      </c>
      <c r="B142" s="707">
        <v>1183.7383550323311</v>
      </c>
      <c r="C142" s="335">
        <f>'MSW Integration Calcs PDS3'!Y95</f>
        <v>296.93272539878001</v>
      </c>
      <c r="D142" s="335">
        <f t="shared" si="6"/>
        <v>886.80562963355112</v>
      </c>
      <c r="E142" s="335">
        <f t="shared" si="7"/>
        <v>296.93272539878001</v>
      </c>
      <c r="F142" s="1125"/>
    </row>
    <row r="143" spans="1:6" x14ac:dyDescent="0.4">
      <c r="A143">
        <v>2050</v>
      </c>
      <c r="B143" s="707">
        <v>1196.3677775715403</v>
      </c>
      <c r="C143" s="335">
        <f>'MSW Integration Calcs PDS3'!Y96</f>
        <v>326.95413735407749</v>
      </c>
      <c r="D143" s="335">
        <f t="shared" si="6"/>
        <v>869.41364021746278</v>
      </c>
      <c r="E143" s="335">
        <f t="shared" si="7"/>
        <v>326.95413735407749</v>
      </c>
      <c r="F143" s="1125"/>
    </row>
    <row r="144" spans="1:6" x14ac:dyDescent="0.4">
      <c r="A144">
        <v>2051</v>
      </c>
      <c r="B144" s="707">
        <v>1209.3396051229849</v>
      </c>
      <c r="C144" s="335">
        <f>'MSW Integration Calcs PDS3'!Y97</f>
        <v>392.84757267794237</v>
      </c>
      <c r="D144" s="335">
        <f t="shared" si="6"/>
        <v>816.49203244504258</v>
      </c>
      <c r="E144" s="335">
        <f t="shared" si="7"/>
        <v>392.84757267794237</v>
      </c>
      <c r="F144" s="1125"/>
    </row>
    <row r="145" spans="1:6" x14ac:dyDescent="0.4">
      <c r="A145">
        <v>2052</v>
      </c>
      <c r="B145" s="707">
        <v>1221.9529541568288</v>
      </c>
      <c r="C145" s="335">
        <f>'MSW Integration Calcs PDS3'!Y98</f>
        <v>406.9974833644302</v>
      </c>
      <c r="D145" s="335">
        <f t="shared" si="6"/>
        <v>814.95547079239861</v>
      </c>
      <c r="E145" s="335">
        <f t="shared" si="7"/>
        <v>406.9974833644302</v>
      </c>
      <c r="F145" s="1125"/>
    </row>
    <row r="146" spans="1:6" x14ac:dyDescent="0.4">
      <c r="A146">
        <v>2053</v>
      </c>
      <c r="B146" s="707">
        <v>1234.4436196175971</v>
      </c>
      <c r="C146" s="335">
        <f>'MSW Integration Calcs PDS3'!Y99</f>
        <v>418.22938005354467</v>
      </c>
      <c r="D146" s="335">
        <f t="shared" si="6"/>
        <v>816.21423956405238</v>
      </c>
      <c r="E146" s="335">
        <f t="shared" si="7"/>
        <v>418.22938005354467</v>
      </c>
      <c r="F146" s="1125"/>
    </row>
    <row r="147" spans="1:6" x14ac:dyDescent="0.4">
      <c r="A147">
        <v>2054</v>
      </c>
      <c r="B147" s="707">
        <v>1246.8129629621117</v>
      </c>
      <c r="C147" s="335">
        <f>'MSW Integration Calcs PDS3'!Y100</f>
        <v>429.31485068301879</v>
      </c>
      <c r="D147" s="335">
        <f t="shared" si="6"/>
        <v>817.49811227909288</v>
      </c>
      <c r="E147" s="335">
        <f t="shared" si="7"/>
        <v>429.31485068301879</v>
      </c>
      <c r="F147" s="1125"/>
    </row>
    <row r="148" spans="1:6" x14ac:dyDescent="0.4">
      <c r="A148">
        <v>2055</v>
      </c>
      <c r="B148" s="707">
        <v>1259.0626608498085</v>
      </c>
      <c r="C148" s="335">
        <f>'MSW Integration Calcs PDS3'!Y101</f>
        <v>440.25514613626456</v>
      </c>
      <c r="D148" s="335">
        <f t="shared" si="6"/>
        <v>818.80751471354392</v>
      </c>
      <c r="E148" s="335">
        <f t="shared" si="7"/>
        <v>440.25514613626456</v>
      </c>
      <c r="F148" s="1125"/>
    </row>
    <row r="149" spans="1:6" x14ac:dyDescent="0.4">
      <c r="A149">
        <v>2056</v>
      </c>
      <c r="B149" s="707">
        <v>1271.1945730467071</v>
      </c>
      <c r="C149" s="335">
        <f>'MSW Integration Calcs PDS3'!Y102</f>
        <v>451.05226639574892</v>
      </c>
      <c r="D149" s="335">
        <f t="shared" si="6"/>
        <v>820.14230665095818</v>
      </c>
      <c r="E149" s="335">
        <f t="shared" si="7"/>
        <v>451.05226639574892</v>
      </c>
      <c r="F149" s="1125"/>
    </row>
    <row r="150" spans="1:6" x14ac:dyDescent="0.4">
      <c r="A150">
        <v>2057</v>
      </c>
      <c r="B150" s="707">
        <v>1283.2111567697834</v>
      </c>
      <c r="C150" s="335">
        <f>'MSW Integration Calcs PDS3'!Y103</f>
        <v>461.70512899866139</v>
      </c>
      <c r="D150" s="335">
        <f t="shared" si="6"/>
        <v>821.50602777112204</v>
      </c>
      <c r="E150" s="335">
        <f t="shared" si="7"/>
        <v>461.70512899866139</v>
      </c>
      <c r="F150" s="1125"/>
    </row>
    <row r="151" spans="1:6" x14ac:dyDescent="0.4">
      <c r="A151">
        <v>2058</v>
      </c>
      <c r="B151" s="707">
        <v>1295.1155883945864</v>
      </c>
      <c r="C151" s="335">
        <f>'MSW Integration Calcs PDS3'!Y104</f>
        <v>472.20740206597247</v>
      </c>
      <c r="D151" s="335">
        <f t="shared" si="6"/>
        <v>822.90818632861397</v>
      </c>
      <c r="E151" s="335">
        <f t="shared" si="7"/>
        <v>472.20740206597247</v>
      </c>
      <c r="F151" s="1125"/>
    </row>
    <row r="152" spans="1:6" x14ac:dyDescent="0.4">
      <c r="A152">
        <v>2059</v>
      </c>
      <c r="B152" s="707">
        <v>1306.9115357421058</v>
      </c>
      <c r="C152" s="335">
        <f>'MSW Integration Calcs PDS3'!Y105</f>
        <v>482.54994998160521</v>
      </c>
      <c r="D152" s="335">
        <f t="shared" si="6"/>
        <v>824.36158576050059</v>
      </c>
      <c r="E152" s="335">
        <f t="shared" si="7"/>
        <v>482.54994998160521</v>
      </c>
      <c r="F152" s="1125"/>
    </row>
    <row r="153" spans="1:6" x14ac:dyDescent="0.4">
      <c r="A153">
        <v>2060</v>
      </c>
      <c r="B153" s="707">
        <v>1318.6024865882362</v>
      </c>
      <c r="C153" s="335">
        <f>'MSW Integration Calcs PDS3'!Y106</f>
        <v>492.72517707880456</v>
      </c>
      <c r="D153" s="335">
        <f t="shared" si="6"/>
        <v>825.8773095094316</v>
      </c>
      <c r="E153" s="335">
        <f t="shared" si="7"/>
        <v>492.72517707880456</v>
      </c>
      <c r="F153" s="1125"/>
    </row>
  </sheetData>
  <mergeCells count="1">
    <mergeCell ref="G1:H2"/>
  </mergeCells>
  <pageMargins left="0.7" right="0.7" top="0.75" bottom="0.75" header="0.3" footer="0.3"/>
  <cellWatches>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Z174"/>
    <cellWatch r="AZ175"/>
    <cellWatch r="AZ176"/>
    <cellWatch r="AZ177"/>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Y183"/>
    <cellWatch r="AY184"/>
    <cellWatch r="AY185"/>
    <cellWatch r="AY186"/>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AZ242"/>
    <cellWatch r="AZ243"/>
    <cellWatch r="AZ244"/>
    <cellWatch r="AZ245"/>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BA172"/>
    <cellWatch r="BA173"/>
    <cellWatch r="BA174"/>
    <cellWatch r="BA175"/>
    <cellWatch r="AZ178"/>
    <cellWatch r="AZ179"/>
    <cellWatch r="AZ246"/>
    <cellWatch r="AZ247"/>
    <cellWatch r="AZ248"/>
    <cellWatch r="AZ249"/>
    <cellWatch r="AY143"/>
    <cellWatch r="AY144"/>
    <cellWatch r="AY145"/>
    <cellWatch r="AY146"/>
    <cellWatch r="AY147"/>
    <cellWatch r="AY148"/>
    <cellWatch r="AY149"/>
    <cellWatch r="AY150"/>
    <cellWatch r="AY151"/>
    <cellWatch r="AZ180"/>
    <cellWatch r="AZ181"/>
    <cellWatch r="AZ182"/>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322"/>
    <cellWatch r="AZ323"/>
    <cellWatch r="AZ324"/>
    <cellWatch r="AZ325"/>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BB172"/>
    <cellWatch r="BB173"/>
    <cellWatch r="BB174"/>
    <cellWatch r="BB175"/>
    <cellWatch r="AY139"/>
    <cellWatch r="AY140"/>
    <cellWatch r="AY141"/>
    <cellWatch r="AY142"/>
    <cellWatch r="AZ183"/>
    <cellWatch r="AZ184"/>
    <cellWatch r="AZ185"/>
    <cellWatch r="AZ186"/>
    <cellWatch r="BB176"/>
    <cellWatch r="AZ250"/>
    <cellWatch r="AY187"/>
    <cellWatch r="AY188"/>
    <cellWatch r="AY189"/>
    <cellWatch r="AY190"/>
    <cellWatch r="AY191"/>
    <cellWatch r="BA176"/>
    <cellWatch r="AZ326"/>
    <cellWatch r="BB177"/>
    <cellWatch r="AZ251"/>
    <cellWatch r="AY192"/>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Y250"/>
    <cellWatch r="AY251"/>
    <cellWatch r="AY252"/>
    <cellWatch r="AY253"/>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X191"/>
    <cellWatch r="AX192"/>
    <cellWatch r="AX193"/>
    <cellWatch r="AX194"/>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AY330"/>
    <cellWatch r="AY331"/>
    <cellWatch r="AY332"/>
    <cellWatch r="AY333"/>
    <cellWatch r="BA177"/>
    <cellWatch r="BA178"/>
    <cellWatch r="BA179"/>
    <cellWatch r="BA180"/>
    <cellWatch r="BA181"/>
    <cellWatch r="BA182"/>
    <cellWatch r="BA183"/>
    <cellWatch r="BA184"/>
    <cellWatch r="AY254"/>
    <cellWatch r="AY255"/>
    <cellWatch r="AY256"/>
    <cellWatch r="AY257"/>
    <cellWatch r="AY258"/>
    <cellWatch r="AX195"/>
    <cellWatch r="AX196"/>
    <cellWatch r="AX197"/>
    <cellWatch r="AX198"/>
    <cellWatch r="AX199"/>
    <cellWatch r="BA216"/>
    <cellWatch r="BA217"/>
    <cellWatch r="BA218"/>
    <cellWatch r="BA219"/>
    <cellWatch r="BA220"/>
    <cellWatch r="BA221"/>
    <cellWatch r="BA222"/>
    <cellWatch r="BA223"/>
    <cellWatch r="BA224"/>
    <cellWatch r="BA225"/>
    <cellWatch r="BA226"/>
    <cellWatch r="BA227"/>
    <cellWatch r="BA228"/>
    <cellWatch r="BA229"/>
    <cellWatch r="BA230"/>
    <cellWatch r="BA231"/>
    <cellWatch r="BA232"/>
    <cellWatch r="BA233"/>
    <cellWatch r="BA234"/>
    <cellWatch r="BA235"/>
    <cellWatch r="BA236"/>
    <cellWatch r="BA237"/>
    <cellWatch r="BA238"/>
    <cellWatch r="BA239"/>
    <cellWatch r="BA240"/>
    <cellWatch r="BA241"/>
    <cellWatch r="BA242"/>
    <cellWatch r="BA243"/>
    <cellWatch r="BA244"/>
    <cellWatch r="BA245"/>
    <cellWatch r="BC141"/>
    <cellWatch r="BC142"/>
    <cellWatch r="BC143"/>
    <cellWatch r="BC144"/>
    <cellWatch r="BC145"/>
    <cellWatch r="BC146"/>
    <cellWatch r="BC147"/>
    <cellWatch r="BC148"/>
    <cellWatch r="BC149"/>
    <cellWatch r="BC150"/>
    <cellWatch r="BC151"/>
    <cellWatch r="BC152"/>
    <cellWatch r="BC153"/>
    <cellWatch r="BC154"/>
    <cellWatch r="BC155"/>
    <cellWatch r="BC156"/>
    <cellWatch r="BC157"/>
    <cellWatch r="BC158"/>
    <cellWatch r="BC159"/>
    <cellWatch r="BC160"/>
    <cellWatch r="BC161"/>
    <cellWatch r="BC162"/>
    <cellWatch r="BC163"/>
    <cellWatch r="BC164"/>
    <cellWatch r="BC165"/>
    <cellWatch r="BC166"/>
    <cellWatch r="BC167"/>
    <cellWatch r="BC168"/>
    <cellWatch r="BC169"/>
    <cellWatch r="BC170"/>
    <cellWatch r="BC171"/>
    <cellWatch r="BC172"/>
    <cellWatch r="BC173"/>
    <cellWatch r="BC174"/>
    <cellWatch r="BC175"/>
    <cellWatch r="AZ187"/>
    <cellWatch r="AZ188"/>
    <cellWatch r="AZ189"/>
    <cellWatch r="AZ190"/>
    <cellWatch r="AZ191"/>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9CB3A-AD6C-428F-A47A-E55B37F5590D}">
  <dimension ref="A1:J153"/>
  <sheetViews>
    <sheetView topLeftCell="A28" zoomScale="60" zoomScaleNormal="60" workbookViewId="0">
      <selection activeCell="B153" sqref="B153"/>
    </sheetView>
  </sheetViews>
  <sheetFormatPr defaultColWidth="10.6640625" defaultRowHeight="12.3" x14ac:dyDescent="0.4"/>
  <cols>
    <col min="1" max="1" width="10.6640625" style="609"/>
    <col min="2" max="2" width="20.5" style="609" customWidth="1"/>
    <col min="3" max="3" width="13.6640625" style="609" customWidth="1"/>
    <col min="4" max="4" width="18.33203125" style="609" customWidth="1"/>
    <col min="5" max="5" width="23" style="609" bestFit="1" customWidth="1"/>
    <col min="6" max="16384" width="10.6640625" style="609"/>
  </cols>
  <sheetData>
    <row r="1" spans="1:10" x14ac:dyDescent="0.4">
      <c r="G1" s="1289" t="s">
        <v>1074</v>
      </c>
      <c r="H1" s="1289"/>
      <c r="I1" s="1096" t="s">
        <v>1042</v>
      </c>
      <c r="J1" s="1097"/>
    </row>
    <row r="2" spans="1:10" x14ac:dyDescent="0.4">
      <c r="A2" s="1" t="s">
        <v>1073</v>
      </c>
      <c r="G2" s="1289"/>
      <c r="H2" s="1289"/>
      <c r="I2" s="1096" t="s">
        <v>1141</v>
      </c>
      <c r="J2" s="1097"/>
    </row>
    <row r="3" spans="1:10" x14ac:dyDescent="0.4">
      <c r="A3" s="1" t="s">
        <v>348</v>
      </c>
      <c r="I3" s="1098" t="s">
        <v>114</v>
      </c>
      <c r="J3" s="1098" t="s">
        <v>115</v>
      </c>
    </row>
    <row r="4" spans="1:10" x14ac:dyDescent="0.4">
      <c r="B4" s="609" t="s">
        <v>1070</v>
      </c>
      <c r="C4" s="609" t="s">
        <v>355</v>
      </c>
      <c r="D4" s="609" t="s">
        <v>354</v>
      </c>
      <c r="E4" s="609" t="s">
        <v>356</v>
      </c>
      <c r="I4" s="1098">
        <v>2012</v>
      </c>
      <c r="J4" s="1099">
        <v>44.831748694792033</v>
      </c>
    </row>
    <row r="5" spans="1:10" x14ac:dyDescent="0.4">
      <c r="A5" s="609">
        <v>2014</v>
      </c>
      <c r="B5" s="707">
        <v>110.54366841083268</v>
      </c>
      <c r="C5" s="335">
        <f>'MSW Integration Calcs PDS1 '!Y60</f>
        <v>804.79494831832108</v>
      </c>
      <c r="D5" s="335">
        <f t="shared" ref="D5:D51" si="0">IF(B5&gt;C5,B5-C5,0)</f>
        <v>0</v>
      </c>
      <c r="E5" s="335">
        <f>B5-D5</f>
        <v>110.54366841083268</v>
      </c>
      <c r="F5" s="1125"/>
      <c r="I5" s="1098">
        <v>2013</v>
      </c>
      <c r="J5" s="1099">
        <v>45.099481161525766</v>
      </c>
    </row>
    <row r="6" spans="1:10" x14ac:dyDescent="0.4">
      <c r="A6" s="609">
        <v>2015</v>
      </c>
      <c r="B6" s="707">
        <v>121.04208551354085</v>
      </c>
      <c r="C6" s="335">
        <f>'MSW Integration Calcs PDS1 '!Y61</f>
        <v>862.84071892596353</v>
      </c>
      <c r="D6" s="335">
        <f t="shared" si="0"/>
        <v>0</v>
      </c>
      <c r="E6" s="335">
        <f t="shared" ref="E6:E51" si="1">B6-D6</f>
        <v>121.04208551354085</v>
      </c>
      <c r="F6" s="1125"/>
      <c r="I6" s="1098">
        <v>2014</v>
      </c>
      <c r="J6" s="1099">
        <v>45.346352160807584</v>
      </c>
    </row>
    <row r="7" spans="1:10" x14ac:dyDescent="0.4">
      <c r="A7" s="609">
        <v>2016</v>
      </c>
      <c r="B7" s="707">
        <v>131.54050261624903</v>
      </c>
      <c r="C7" s="335">
        <f>'MSW Integration Calcs PDS1 '!Y62</f>
        <v>925.35644999999988</v>
      </c>
      <c r="D7" s="335">
        <f t="shared" si="0"/>
        <v>0</v>
      </c>
      <c r="E7" s="335">
        <f t="shared" si="1"/>
        <v>131.54050261624903</v>
      </c>
      <c r="F7" s="1125"/>
      <c r="I7" s="1098">
        <v>2015</v>
      </c>
      <c r="J7" s="1099">
        <v>45.573770692121414</v>
      </c>
    </row>
    <row r="8" spans="1:10" x14ac:dyDescent="0.4">
      <c r="A8" s="609">
        <v>2017</v>
      </c>
      <c r="B8" s="707">
        <v>142.0389197189572</v>
      </c>
      <c r="C8" s="335">
        <f>'MSW Integration Calcs PDS1 '!Y63</f>
        <v>977.08918943703122</v>
      </c>
      <c r="D8" s="335">
        <f t="shared" si="0"/>
        <v>0</v>
      </c>
      <c r="E8" s="335">
        <f t="shared" si="1"/>
        <v>142.0389197189572</v>
      </c>
      <c r="F8" s="1125"/>
      <c r="I8" s="1098">
        <v>2016</v>
      </c>
      <c r="J8" s="1099">
        <v>46</v>
      </c>
    </row>
    <row r="9" spans="1:10" x14ac:dyDescent="0.4">
      <c r="A9" s="609">
        <v>2018</v>
      </c>
      <c r="B9" s="707">
        <v>152.53733682166535</v>
      </c>
      <c r="C9" s="335">
        <f>'MSW Integration Calcs PDS1 '!Y64</f>
        <v>998.13023385837414</v>
      </c>
      <c r="D9" s="335">
        <f t="shared" si="0"/>
        <v>0</v>
      </c>
      <c r="E9" s="335">
        <f t="shared" si="1"/>
        <v>152.53733682166535</v>
      </c>
      <c r="F9" s="1125"/>
      <c r="I9" s="1098">
        <v>2017</v>
      </c>
      <c r="J9" s="1099">
        <v>45.975583670974615</v>
      </c>
    </row>
    <row r="10" spans="1:10" x14ac:dyDescent="0.4">
      <c r="A10" s="609">
        <v>2019</v>
      </c>
      <c r="B10" s="707">
        <v>158.83481365121418</v>
      </c>
      <c r="C10" s="335">
        <f>'MSW Integration Calcs PDS1 '!Y65</f>
        <v>983.35003370365541</v>
      </c>
      <c r="D10" s="335">
        <f t="shared" si="0"/>
        <v>0</v>
      </c>
      <c r="E10" s="335">
        <f t="shared" si="1"/>
        <v>158.83481365121418</v>
      </c>
      <c r="F10" s="1125"/>
      <c r="I10" s="1098">
        <v>2018</v>
      </c>
      <c r="J10" s="1099">
        <v>46.152483712727509</v>
      </c>
    </row>
    <row r="11" spans="1:10" x14ac:dyDescent="0.4">
      <c r="A11" s="609">
        <v>2020</v>
      </c>
      <c r="B11" s="707">
        <v>165.81997856426602</v>
      </c>
      <c r="C11" s="335">
        <f>'MSW Integration Calcs PDS1 '!Y66</f>
        <v>968.077896436728</v>
      </c>
      <c r="D11" s="335">
        <f t="shared" si="0"/>
        <v>0</v>
      </c>
      <c r="E11" s="335">
        <f t="shared" si="1"/>
        <v>165.81997856426602</v>
      </c>
      <c r="F11" s="1125"/>
      <c r="I11" s="1098">
        <v>2019</v>
      </c>
      <c r="J11" s="1099">
        <v>46.314939108212975</v>
      </c>
    </row>
    <row r="12" spans="1:10" x14ac:dyDescent="0.4">
      <c r="A12" s="609">
        <v>2021</v>
      </c>
      <c r="B12" s="707">
        <v>172.83895521544881</v>
      </c>
      <c r="C12" s="335">
        <f>'MSW Integration Calcs PDS1 '!Y67</f>
        <v>950.94716158780125</v>
      </c>
      <c r="D12" s="335">
        <f t="shared" si="0"/>
        <v>0</v>
      </c>
      <c r="E12" s="335">
        <f t="shared" si="1"/>
        <v>172.83895521544881</v>
      </c>
      <c r="F12" s="1125"/>
      <c r="I12" s="1098">
        <v>2020</v>
      </c>
      <c r="J12" s="1099">
        <v>46.464035917936862</v>
      </c>
    </row>
    <row r="13" spans="1:10" x14ac:dyDescent="0.4">
      <c r="A13" s="609">
        <v>2022</v>
      </c>
      <c r="B13" s="707">
        <v>180.01288631302393</v>
      </c>
      <c r="C13" s="335">
        <f>'MSW Integration Calcs PDS1 '!Y68</f>
        <v>933.42878292615273</v>
      </c>
      <c r="D13" s="335">
        <f t="shared" si="0"/>
        <v>0</v>
      </c>
      <c r="E13" s="335">
        <f t="shared" si="1"/>
        <v>180.01288631302393</v>
      </c>
      <c r="F13" s="1125"/>
      <c r="I13" s="1098">
        <v>2021</v>
      </c>
      <c r="J13" s="1099">
        <v>46.600793976839228</v>
      </c>
    </row>
    <row r="14" spans="1:10" x14ac:dyDescent="0.4">
      <c r="A14" s="609">
        <v>2023</v>
      </c>
      <c r="B14" s="707">
        <v>187.28405355770209</v>
      </c>
      <c r="C14" s="335">
        <f>'MSW Integration Calcs PDS1 '!Y69</f>
        <v>915.22006314589873</v>
      </c>
      <c r="D14" s="335">
        <f t="shared" si="0"/>
        <v>0</v>
      </c>
      <c r="E14" s="335">
        <f t="shared" si="1"/>
        <v>187.28405355770209</v>
      </c>
      <c r="F14" s="1125"/>
      <c r="I14" s="1098">
        <v>2022</v>
      </c>
      <c r="J14" s="1099">
        <v>46.726168277801904</v>
      </c>
    </row>
    <row r="15" spans="1:10" x14ac:dyDescent="0.4">
      <c r="A15" s="609">
        <v>2024</v>
      </c>
      <c r="B15" s="707">
        <v>194.6509259741741</v>
      </c>
      <c r="C15" s="335">
        <f>'MSW Integration Calcs PDS1 '!Y70</f>
        <v>896.78276123419914</v>
      </c>
      <c r="D15" s="335">
        <f t="shared" si="0"/>
        <v>0</v>
      </c>
      <c r="E15" s="335">
        <f t="shared" si="1"/>
        <v>194.6509259741741</v>
      </c>
      <c r="F15" s="1125"/>
      <c r="I15" s="1098">
        <v>2023</v>
      </c>
      <c r="J15" s="1099">
        <v>46.841050862092644</v>
      </c>
    </row>
    <row r="16" spans="1:10" x14ac:dyDescent="0.4">
      <c r="A16" s="609">
        <v>2025</v>
      </c>
      <c r="B16" s="707">
        <v>201.84246045494618</v>
      </c>
      <c r="C16" s="335">
        <f>'MSW Integration Calcs PDS1 '!Y71</f>
        <v>876.12599830530371</v>
      </c>
      <c r="D16" s="335">
        <f t="shared" si="0"/>
        <v>0</v>
      </c>
      <c r="E16" s="335">
        <f t="shared" si="1"/>
        <v>201.84246045494618</v>
      </c>
      <c r="F16" s="1125"/>
      <c r="I16" s="1098">
        <v>2024</v>
      </c>
      <c r="J16" s="1099">
        <v>46.946273093369243</v>
      </c>
    </row>
    <row r="17" spans="1:10" x14ac:dyDescent="0.4">
      <c r="A17" s="609">
        <v>2026</v>
      </c>
      <c r="B17" s="707">
        <v>210.38893858863574</v>
      </c>
      <c r="C17" s="335">
        <f>'MSW Integration Calcs PDS1 '!Y72</f>
        <v>861.94845329316661</v>
      </c>
      <c r="D17" s="335">
        <f t="shared" si="0"/>
        <v>0</v>
      </c>
      <c r="E17" s="335">
        <f t="shared" si="1"/>
        <v>210.38893858863574</v>
      </c>
      <c r="F17" s="1125"/>
      <c r="I17" s="1098">
        <v>2025</v>
      </c>
      <c r="J17" s="1099">
        <v>47</v>
      </c>
    </row>
    <row r="18" spans="1:10" x14ac:dyDescent="0.4">
      <c r="A18" s="609">
        <v>2027</v>
      </c>
      <c r="B18" s="707">
        <v>219.12885031964359</v>
      </c>
      <c r="C18" s="335">
        <f>'MSW Integration Calcs PDS1 '!Y73</f>
        <v>847.65199968577599</v>
      </c>
      <c r="D18" s="335">
        <f t="shared" si="0"/>
        <v>0</v>
      </c>
      <c r="E18" s="335">
        <f t="shared" si="1"/>
        <v>219.12885031964359</v>
      </c>
      <c r="F18" s="1125"/>
      <c r="I18" s="1098">
        <v>2026</v>
      </c>
      <c r="J18" s="1099">
        <v>47.130774068130876</v>
      </c>
    </row>
    <row r="19" spans="1:10" x14ac:dyDescent="0.4">
      <c r="A19" s="609">
        <v>2028</v>
      </c>
      <c r="B19" s="707">
        <v>228.0044102585513</v>
      </c>
      <c r="C19" s="335">
        <f>'MSW Integration Calcs PDS1 '!Y74</f>
        <v>832.94853321291043</v>
      </c>
      <c r="D19" s="335">
        <f t="shared" si="0"/>
        <v>0</v>
      </c>
      <c r="E19" s="335">
        <f t="shared" si="1"/>
        <v>228.0044102585513</v>
      </c>
      <c r="F19" s="1125"/>
      <c r="I19" s="1098">
        <v>2027</v>
      </c>
      <c r="J19" s="1099">
        <v>47.21143599908784</v>
      </c>
    </row>
    <row r="20" spans="1:10" x14ac:dyDescent="0.4">
      <c r="A20" s="609">
        <v>2029</v>
      </c>
      <c r="B20" s="707">
        <v>237.01449598843161</v>
      </c>
      <c r="C20" s="335">
        <f>'MSW Integration Calcs PDS1 '!Y75</f>
        <v>817.87634554980809</v>
      </c>
      <c r="D20" s="335">
        <f t="shared" si="0"/>
        <v>0</v>
      </c>
      <c r="E20" s="335">
        <f t="shared" si="1"/>
        <v>237.01449598843161</v>
      </c>
      <c r="F20" s="1125"/>
      <c r="I20" s="1098">
        <v>2028</v>
      </c>
      <c r="J20" s="1099">
        <v>47.28520972530719</v>
      </c>
    </row>
    <row r="21" spans="1:10" x14ac:dyDescent="0.4">
      <c r="A21" s="609">
        <v>2030</v>
      </c>
      <c r="B21" s="707">
        <v>246.44202516987303</v>
      </c>
      <c r="C21" s="335">
        <f>'MSW Integration Calcs PDS1 '!Y76</f>
        <v>803.9073023910413</v>
      </c>
      <c r="D21" s="335">
        <f t="shared" si="0"/>
        <v>0</v>
      </c>
      <c r="E21" s="335">
        <f t="shared" si="1"/>
        <v>246.44202516987303</v>
      </c>
      <c r="F21" s="1125"/>
      <c r="I21" s="1098">
        <v>2029</v>
      </c>
      <c r="J21" s="1099">
        <v>47.3526642811823</v>
      </c>
    </row>
    <row r="22" spans="1:10" x14ac:dyDescent="0.4">
      <c r="A22" s="609">
        <v>2031</v>
      </c>
      <c r="B22" s="707">
        <v>255.43427977656302</v>
      </c>
      <c r="C22" s="335">
        <f>'MSW Integration Calcs PDS1 '!Y77</f>
        <v>787.74126348116476</v>
      </c>
      <c r="D22" s="335">
        <f t="shared" si="0"/>
        <v>0</v>
      </c>
      <c r="E22" s="335">
        <f t="shared" si="1"/>
        <v>255.43427977656302</v>
      </c>
      <c r="F22" s="1125"/>
      <c r="I22" s="1098">
        <v>2030</v>
      </c>
      <c r="J22" s="1099">
        <v>47.414324902606275</v>
      </c>
    </row>
    <row r="23" spans="1:10" x14ac:dyDescent="0.4">
      <c r="A23" s="609">
        <v>2032</v>
      </c>
      <c r="B23" s="707">
        <v>264.75131333235197</v>
      </c>
      <c r="C23" s="335">
        <f>'MSW Integration Calcs PDS1 '!Y78</f>
        <v>772.43510046586948</v>
      </c>
      <c r="D23" s="335">
        <f t="shared" si="0"/>
        <v>0</v>
      </c>
      <c r="E23" s="335">
        <f t="shared" si="1"/>
        <v>264.75131333235197</v>
      </c>
      <c r="F23" s="1125"/>
      <c r="I23" s="1098">
        <v>2031</v>
      </c>
      <c r="J23" s="1099">
        <v>47.470675853783071</v>
      </c>
    </row>
    <row r="24" spans="1:10" x14ac:dyDescent="0.4">
      <c r="A24" s="609">
        <v>2033</v>
      </c>
      <c r="B24" s="707">
        <v>274.19618642776294</v>
      </c>
      <c r="C24" s="335">
        <f>'MSW Integration Calcs PDS1 '!Y79</f>
        <v>757.03719989484068</v>
      </c>
      <c r="D24" s="335">
        <f t="shared" si="0"/>
        <v>0</v>
      </c>
      <c r="E24" s="335">
        <f t="shared" si="1"/>
        <v>274.19618642776294</v>
      </c>
      <c r="F24" s="1125"/>
      <c r="I24" s="1098">
        <v>2032</v>
      </c>
      <c r="J24" s="1099">
        <v>47.522163168163338</v>
      </c>
    </row>
    <row r="25" spans="1:10" x14ac:dyDescent="0.4">
      <c r="A25" s="609">
        <v>2034</v>
      </c>
      <c r="B25" s="707">
        <v>283.76909016763057</v>
      </c>
      <c r="C25" s="335">
        <f>'MSW Integration Calcs PDS1 '!Y80</f>
        <v>741.58823786335154</v>
      </c>
      <c r="D25" s="335">
        <f t="shared" si="0"/>
        <v>0</v>
      </c>
      <c r="E25" s="335">
        <f t="shared" si="1"/>
        <v>283.76909016763057</v>
      </c>
      <c r="F25" s="1125"/>
      <c r="I25" s="1098">
        <v>2033</v>
      </c>
      <c r="J25" s="1099">
        <v>47.569197286292791</v>
      </c>
    </row>
    <row r="26" spans="1:10" x14ac:dyDescent="0.4">
      <c r="A26" s="609">
        <v>2035</v>
      </c>
      <c r="B26" s="707">
        <v>293.48303571036553</v>
      </c>
      <c r="C26" s="335">
        <f>'MSW Integration Calcs PDS1 '!Y81</f>
        <v>726.18356532945063</v>
      </c>
      <c r="D26" s="335">
        <f t="shared" si="0"/>
        <v>0</v>
      </c>
      <c r="E26" s="335">
        <f t="shared" si="1"/>
        <v>293.48303571036553</v>
      </c>
      <c r="F26" s="1125"/>
      <c r="I26" s="1098">
        <v>2034</v>
      </c>
      <c r="J26" s="1099">
        <v>47.612155578405442</v>
      </c>
    </row>
    <row r="27" spans="1:10" x14ac:dyDescent="0.4">
      <c r="A27" s="609">
        <v>2036</v>
      </c>
      <c r="B27" s="707">
        <v>303.29626896723056</v>
      </c>
      <c r="C27" s="335">
        <f>'MSW Integration Calcs PDS1 '!Y82</f>
        <v>710.65840570053047</v>
      </c>
      <c r="D27" s="335">
        <f t="shared" si="0"/>
        <v>0</v>
      </c>
      <c r="E27" s="335">
        <f t="shared" si="1"/>
        <v>303.29626896723056</v>
      </c>
      <c r="F27" s="1125"/>
      <c r="I27" s="1098">
        <v>2035</v>
      </c>
      <c r="J27" s="1099">
        <v>47.65138474374843</v>
      </c>
    </row>
    <row r="28" spans="1:10" x14ac:dyDescent="0.4">
      <c r="A28" s="609">
        <v>2037</v>
      </c>
      <c r="B28" s="707">
        <v>313.2521680393549</v>
      </c>
      <c r="C28" s="335">
        <f>'MSW Integration Calcs PDS1 '!Y83</f>
        <v>695.23811040779901</v>
      </c>
      <c r="D28" s="335">
        <f t="shared" si="0"/>
        <v>0</v>
      </c>
      <c r="E28" s="335">
        <f t="shared" si="1"/>
        <v>313.2521680393549</v>
      </c>
      <c r="F28" s="1125"/>
      <c r="I28" s="1098">
        <v>2036</v>
      </c>
      <c r="J28" s="1099">
        <v>47.687203082009646</v>
      </c>
    </row>
    <row r="29" spans="1:10" x14ac:dyDescent="0.4">
      <c r="A29" s="609">
        <v>2038</v>
      </c>
      <c r="B29" s="707">
        <v>323.3395476985504</v>
      </c>
      <c r="C29" s="335">
        <f>'MSW Integration Calcs PDS1 '!Y84</f>
        <v>679.89270053630992</v>
      </c>
      <c r="D29" s="335">
        <f t="shared" si="0"/>
        <v>0</v>
      </c>
      <c r="E29" s="335">
        <f t="shared" si="1"/>
        <v>323.3395476985504</v>
      </c>
      <c r="F29" s="1125"/>
      <c r="I29" s="1098">
        <v>2037</v>
      </c>
      <c r="J29" s="1099">
        <v>47.719902634944184</v>
      </c>
    </row>
    <row r="30" spans="1:10" x14ac:dyDescent="0.4">
      <c r="A30" s="609">
        <v>2039</v>
      </c>
      <c r="B30" s="707">
        <v>333.56006961453255</v>
      </c>
      <c r="C30" s="335">
        <f>'MSW Integration Calcs PDS1 '!Y85</f>
        <v>664.65023403054886</v>
      </c>
      <c r="D30" s="335">
        <f t="shared" si="0"/>
        <v>0</v>
      </c>
      <c r="E30" s="335">
        <f t="shared" si="1"/>
        <v>333.56006961453255</v>
      </c>
      <c r="F30" s="1125"/>
      <c r="I30" s="1098">
        <v>2038</v>
      </c>
      <c r="J30" s="1099">
        <v>47.749751198458576</v>
      </c>
    </row>
    <row r="31" spans="1:10" x14ac:dyDescent="0.4">
      <c r="A31" s="609">
        <v>2040</v>
      </c>
      <c r="B31" s="707">
        <v>343.52487121053065</v>
      </c>
      <c r="C31" s="335">
        <f>'MSW Integration Calcs PDS1 '!Y86</f>
        <v>647.87242290095264</v>
      </c>
      <c r="D31" s="335">
        <f t="shared" si="0"/>
        <v>0</v>
      </c>
      <c r="E31" s="335">
        <f t="shared" si="1"/>
        <v>343.52487121053065</v>
      </c>
      <c r="F31" s="1125"/>
      <c r="I31" s="1098">
        <v>2039</v>
      </c>
      <c r="J31" s="1099">
        <v>47.776994207101744</v>
      </c>
    </row>
    <row r="32" spans="1:10" x14ac:dyDescent="0.4">
      <c r="A32" s="609">
        <v>2041</v>
      </c>
      <c r="B32" s="707">
        <v>354.39441165537028</v>
      </c>
      <c r="C32" s="335">
        <f>'MSW Integration Calcs PDS1 '!Y87</f>
        <v>634.5372129340991</v>
      </c>
      <c r="D32" s="335">
        <f t="shared" si="0"/>
        <v>0</v>
      </c>
      <c r="E32" s="335">
        <f t="shared" si="1"/>
        <v>354.39441165537028</v>
      </c>
      <c r="F32" s="1125"/>
      <c r="I32" s="1098">
        <v>2040</v>
      </c>
      <c r="J32" s="1099">
        <v>47.801856494204991</v>
      </c>
    </row>
    <row r="33" spans="1:10" x14ac:dyDescent="0.4">
      <c r="A33" s="609">
        <v>2042</v>
      </c>
      <c r="B33" s="707">
        <v>364.87886513243495</v>
      </c>
      <c r="C33" s="335">
        <f>'MSW Integration Calcs PDS1 '!Y88</f>
        <v>619.18015208888482</v>
      </c>
      <c r="D33" s="335">
        <f t="shared" si="0"/>
        <v>0</v>
      </c>
      <c r="E33" s="335">
        <f t="shared" si="1"/>
        <v>364.87886513243495</v>
      </c>
      <c r="F33" s="1125"/>
      <c r="I33" s="1098">
        <v>2041</v>
      </c>
      <c r="J33" s="1099">
        <v>47.824543931877066</v>
      </c>
    </row>
    <row r="34" spans="1:10" x14ac:dyDescent="0.4">
      <c r="A34" s="609">
        <v>2043</v>
      </c>
      <c r="B34" s="707">
        <v>375.50070621409168</v>
      </c>
      <c r="C34" s="335">
        <f>'MSW Integration Calcs PDS1 '!Y89</f>
        <v>604.0544526662303</v>
      </c>
      <c r="D34" s="335">
        <f t="shared" si="0"/>
        <v>0</v>
      </c>
      <c r="E34" s="335">
        <f t="shared" si="1"/>
        <v>375.50070621409168</v>
      </c>
      <c r="F34" s="1125"/>
      <c r="I34" s="1098">
        <v>2042</v>
      </c>
      <c r="J34" s="1099">
        <v>47.845244955753166</v>
      </c>
    </row>
    <row r="35" spans="1:10" x14ac:dyDescent="0.4">
      <c r="A35" s="609">
        <v>2044</v>
      </c>
      <c r="B35" s="707">
        <v>386.26299551961608</v>
      </c>
      <c r="C35" s="335">
        <f>'MSW Integration Calcs PDS1 '!Y90</f>
        <v>589.19630452374986</v>
      </c>
      <c r="D35" s="335">
        <f t="shared" si="0"/>
        <v>0</v>
      </c>
      <c r="E35" s="335">
        <f t="shared" si="1"/>
        <v>386.26299551961608</v>
      </c>
      <c r="F35" s="1125"/>
      <c r="I35" s="1098">
        <v>2043</v>
      </c>
      <c r="J35" s="1099">
        <v>47.864131979867068</v>
      </c>
    </row>
    <row r="36" spans="1:10" x14ac:dyDescent="0.4">
      <c r="A36" s="609">
        <v>2045</v>
      </c>
      <c r="B36" s="707">
        <v>397.18175503010457</v>
      </c>
      <c r="C36" s="335">
        <f>'MSW Integration Calcs PDS1 '!Y91</f>
        <v>574.69150178669759</v>
      </c>
      <c r="D36" s="335">
        <f t="shared" si="0"/>
        <v>0</v>
      </c>
      <c r="E36" s="335">
        <f t="shared" si="1"/>
        <v>397.18175503010457</v>
      </c>
      <c r="F36" s="1125"/>
      <c r="I36" s="1098">
        <v>2044</v>
      </c>
      <c r="J36" s="1099">
        <v>47.88136270730736</v>
      </c>
    </row>
    <row r="37" spans="1:10" x14ac:dyDescent="0.4">
      <c r="A37" s="609">
        <v>2046</v>
      </c>
      <c r="B37" s="707">
        <v>408.20804830366558</v>
      </c>
      <c r="C37" s="335">
        <f>'MSW Integration Calcs PDS1 '!Y92</f>
        <v>560.36856471419708</v>
      </c>
      <c r="D37" s="335">
        <f t="shared" si="0"/>
        <v>0</v>
      </c>
      <c r="E37" s="335">
        <f t="shared" si="1"/>
        <v>408.20804830366558</v>
      </c>
      <c r="F37" s="1125"/>
      <c r="I37" s="1098">
        <v>2045</v>
      </c>
      <c r="J37" s="1099">
        <v>47.897081342465661</v>
      </c>
    </row>
    <row r="38" spans="1:10" x14ac:dyDescent="0.4">
      <c r="A38" s="609">
        <v>2047</v>
      </c>
      <c r="B38" s="707">
        <v>419.34659236570911</v>
      </c>
      <c r="C38" s="335">
        <f>'MSW Integration Calcs PDS1 '!Y93</f>
        <v>546.269631726444</v>
      </c>
      <c r="D38" s="335">
        <f t="shared" si="0"/>
        <v>0</v>
      </c>
      <c r="E38" s="335">
        <f t="shared" si="1"/>
        <v>419.34659236570911</v>
      </c>
      <c r="F38" s="1125"/>
      <c r="I38" s="1098">
        <v>2046</v>
      </c>
      <c r="J38" s="1099">
        <v>47.91141971071864</v>
      </c>
    </row>
    <row r="39" spans="1:10" x14ac:dyDescent="0.4">
      <c r="A39" s="609">
        <v>2048</v>
      </c>
      <c r="B39" s="707">
        <v>430.60683834320429</v>
      </c>
      <c r="C39" s="335">
        <f>'MSW Integration Calcs PDS1 '!Y94</f>
        <v>532.45544598976596</v>
      </c>
      <c r="D39" s="335">
        <f t="shared" si="0"/>
        <v>0</v>
      </c>
      <c r="E39" s="335">
        <f t="shared" si="1"/>
        <v>430.60683834320429</v>
      </c>
      <c r="F39" s="1125"/>
      <c r="I39" s="1098">
        <v>2047</v>
      </c>
      <c r="J39" s="1099">
        <v>47.924498291330458</v>
      </c>
    </row>
    <row r="40" spans="1:10" x14ac:dyDescent="0.4">
      <c r="A40" s="609">
        <v>2049</v>
      </c>
      <c r="B40" s="707">
        <v>441.989091728581</v>
      </c>
      <c r="C40" s="335">
        <f>'MSW Integration Calcs PDS1 '!Y95</f>
        <v>518.95036693534348</v>
      </c>
      <c r="D40" s="335">
        <f t="shared" si="0"/>
        <v>0</v>
      </c>
      <c r="E40" s="335">
        <f t="shared" si="1"/>
        <v>441.989091728581</v>
      </c>
      <c r="F40" s="1125"/>
      <c r="I40" s="1098">
        <v>2048</v>
      </c>
      <c r="J40" s="1099">
        <v>47.936427169239082</v>
      </c>
    </row>
    <row r="41" spans="1:10" x14ac:dyDescent="0.4">
      <c r="A41" s="609">
        <v>2050</v>
      </c>
      <c r="B41" s="707">
        <v>453.40387583778931</v>
      </c>
      <c r="C41" s="335">
        <f>'MSW Integration Calcs PDS1 '!Y96</f>
        <v>505.45724972932766</v>
      </c>
      <c r="D41" s="335">
        <f t="shared" si="0"/>
        <v>0</v>
      </c>
      <c r="E41" s="335">
        <f t="shared" si="1"/>
        <v>453.40387583778931</v>
      </c>
      <c r="F41" s="1125"/>
      <c r="I41" s="1098">
        <v>2049</v>
      </c>
      <c r="J41" s="1099">
        <v>47.947306911216131</v>
      </c>
    </row>
    <row r="42" spans="1:10" x14ac:dyDescent="0.4">
      <c r="A42" s="609">
        <v>2051</v>
      </c>
      <c r="B42" s="707">
        <v>465.12107249424673</v>
      </c>
      <c r="C42" s="335">
        <f>'MSW Integration Calcs PDS1 '!Y97</f>
        <v>520.3813948128286</v>
      </c>
      <c r="D42" s="335">
        <f t="shared" si="0"/>
        <v>0</v>
      </c>
      <c r="E42" s="335">
        <f t="shared" si="1"/>
        <v>465.12107249424673</v>
      </c>
      <c r="F42" s="1125"/>
      <c r="I42" s="1098">
        <v>2050</v>
      </c>
      <c r="J42" s="1099">
        <v>47.957229371678714</v>
      </c>
    </row>
    <row r="43" spans="1:10" x14ac:dyDescent="0.4">
      <c r="A43" s="609">
        <v>2052</v>
      </c>
      <c r="B43" s="707">
        <v>476.87163871954436</v>
      </c>
      <c r="C43" s="335">
        <f>'MSW Integration Calcs PDS1 '!Y98</f>
        <v>535.31586393303985</v>
      </c>
      <c r="D43" s="335">
        <f t="shared" si="0"/>
        <v>0</v>
      </c>
      <c r="E43" s="335">
        <f t="shared" si="1"/>
        <v>476.87163871954436</v>
      </c>
      <c r="F43" s="1125"/>
      <c r="I43" s="1098">
        <v>2051</v>
      </c>
      <c r="J43" s="1099">
        <v>47.966278433196145</v>
      </c>
    </row>
    <row r="44" spans="1:10" x14ac:dyDescent="0.4">
      <c r="A44" s="609">
        <v>2053</v>
      </c>
      <c r="B44" s="707">
        <v>488.74588902706512</v>
      </c>
      <c r="C44" s="335">
        <f>'MSW Integration Calcs PDS1 '!Y99</f>
        <v>550.40847690923863</v>
      </c>
      <c r="D44" s="335">
        <f t="shared" si="0"/>
        <v>0</v>
      </c>
      <c r="E44" s="335">
        <f t="shared" si="1"/>
        <v>488.74588902706512</v>
      </c>
      <c r="F44" s="1125"/>
      <c r="I44" s="1098">
        <v>2052</v>
      </c>
      <c r="J44" s="1099">
        <v>47.97453068648089</v>
      </c>
    </row>
    <row r="45" spans="1:10" x14ac:dyDescent="0.4">
      <c r="A45" s="609">
        <v>2054</v>
      </c>
      <c r="B45" s="707">
        <v>500.74435369394052</v>
      </c>
      <c r="C45" s="335">
        <f>'MSW Integration Calcs PDS1 '!Y100</f>
        <v>565.66008394188191</v>
      </c>
      <c r="D45" s="335">
        <f t="shared" si="0"/>
        <v>0</v>
      </c>
      <c r="E45" s="335">
        <f t="shared" si="1"/>
        <v>500.74435369394052</v>
      </c>
      <c r="F45" s="1125"/>
      <c r="I45" s="1098">
        <v>2053</v>
      </c>
      <c r="J45" s="1099">
        <v>47.982056054392388</v>
      </c>
    </row>
    <row r="46" spans="1:10" x14ac:dyDescent="0.4">
      <c r="A46" s="609">
        <v>2055</v>
      </c>
      <c r="B46" s="707">
        <v>512.86760676554024</v>
      </c>
      <c r="C46" s="335">
        <f>'MSW Integration Calcs PDS1 '!Y101</f>
        <v>581.07055200166417</v>
      </c>
      <c r="D46" s="335">
        <f t="shared" si="0"/>
        <v>0</v>
      </c>
      <c r="E46" s="335">
        <f t="shared" si="1"/>
        <v>512.86760676554024</v>
      </c>
      <c r="F46" s="1125"/>
      <c r="I46" s="1098">
        <v>2054</v>
      </c>
      <c r="J46" s="1099">
        <v>47.988918364217085</v>
      </c>
    </row>
    <row r="47" spans="1:10" x14ac:dyDescent="0.4">
      <c r="A47" s="609">
        <v>2056</v>
      </c>
      <c r="B47" s="707">
        <v>525.11626585942906</v>
      </c>
      <c r="C47" s="335">
        <f>'MSW Integration Calcs PDS1 '!Y102</f>
        <v>596.64003563400752</v>
      </c>
      <c r="D47" s="335">
        <f t="shared" si="0"/>
        <v>0</v>
      </c>
      <c r="E47" s="335">
        <f t="shared" si="1"/>
        <v>525.11626585942906</v>
      </c>
      <c r="F47" s="1125"/>
      <c r="I47" s="1098">
        <v>2055</v>
      </c>
      <c r="J47" s="1099">
        <v>47.995175872224657</v>
      </c>
    </row>
    <row r="48" spans="1:10" x14ac:dyDescent="0.4">
      <c r="A48" s="609">
        <v>2057</v>
      </c>
      <c r="B48" s="707">
        <v>537.4909920331728</v>
      </c>
      <c r="C48" s="335">
        <f>'MSW Integration Calcs PDS1 '!Y103</f>
        <v>612.36663972613724</v>
      </c>
      <c r="D48" s="335">
        <f t="shared" si="0"/>
        <v>0</v>
      </c>
      <c r="E48" s="335">
        <f t="shared" si="1"/>
        <v>537.4909920331728</v>
      </c>
      <c r="F48" s="1125"/>
      <c r="I48" s="1098">
        <v>2056</v>
      </c>
      <c r="J48" s="1099">
        <v>48.000881744241603</v>
      </c>
    </row>
    <row r="49" spans="1:10" x14ac:dyDescent="0.4">
      <c r="A49" s="609">
        <v>2058</v>
      </c>
      <c r="B49" s="707">
        <v>549.99248970731605</v>
      </c>
      <c r="C49" s="335">
        <f>'MSW Integration Calcs PDS1 '!Y104</f>
        <v>628.24500281312908</v>
      </c>
      <c r="D49" s="335">
        <f t="shared" si="0"/>
        <v>0</v>
      </c>
      <c r="E49" s="335">
        <f t="shared" si="1"/>
        <v>549.99248970731605</v>
      </c>
      <c r="F49" s="1125"/>
      <c r="I49" s="1098">
        <v>2057</v>
      </c>
      <c r="J49" s="1099">
        <v>48.00608449573194</v>
      </c>
    </row>
    <row r="50" spans="1:10" x14ac:dyDescent="0.4">
      <c r="A50" s="609">
        <v>2059</v>
      </c>
      <c r="B50" s="707">
        <v>562.6215066352861</v>
      </c>
      <c r="C50" s="335">
        <f>'MSW Integration Calcs PDS1 '!Y105</f>
        <v>644.26780410169852</v>
      </c>
      <c r="D50" s="335">
        <f t="shared" si="0"/>
        <v>0</v>
      </c>
      <c r="E50" s="335">
        <f t="shared" si="1"/>
        <v>562.6215066352861</v>
      </c>
      <c r="F50" s="1125"/>
      <c r="I50" s="1098">
        <v>2058</v>
      </c>
      <c r="J50" s="1099">
        <v>48.010828394632362</v>
      </c>
    </row>
    <row r="51" spans="1:10" x14ac:dyDescent="0.4">
      <c r="A51" s="609">
        <v>2060</v>
      </c>
      <c r="B51" s="707">
        <v>575.37883391324249</v>
      </c>
      <c r="C51" s="335">
        <f>'MSW Integration Calcs PDS1 '!Y106</f>
        <v>660.4283237427544</v>
      </c>
      <c r="D51" s="335">
        <f t="shared" si="0"/>
        <v>0</v>
      </c>
      <c r="E51" s="335">
        <f t="shared" si="1"/>
        <v>575.37883391324249</v>
      </c>
      <c r="F51" s="1125"/>
      <c r="I51" s="1098">
        <v>2059</v>
      </c>
      <c r="J51" s="1099">
        <v>48.015153829957434</v>
      </c>
    </row>
    <row r="52" spans="1:10" x14ac:dyDescent="0.4">
      <c r="I52" s="1098">
        <v>2060</v>
      </c>
      <c r="J52" s="1099">
        <v>48.019097648969989</v>
      </c>
    </row>
    <row r="53" spans="1:10" x14ac:dyDescent="0.4">
      <c r="A53" s="1" t="s">
        <v>1073</v>
      </c>
    </row>
    <row r="54" spans="1:10" x14ac:dyDescent="0.4">
      <c r="A54" s="1" t="s">
        <v>357</v>
      </c>
    </row>
    <row r="55" spans="1:10" x14ac:dyDescent="0.4">
      <c r="B55" s="609" t="s">
        <v>353</v>
      </c>
      <c r="C55" s="609" t="s">
        <v>355</v>
      </c>
      <c r="D55" s="609" t="s">
        <v>354</v>
      </c>
      <c r="E55" s="609" t="s">
        <v>356</v>
      </c>
    </row>
    <row r="56" spans="1:10" x14ac:dyDescent="0.4">
      <c r="A56" s="609">
        <v>2014</v>
      </c>
      <c r="B56" s="707">
        <v>110.54366841083268</v>
      </c>
      <c r="C56" s="335">
        <f>'MSW Integration Calcs PDS2'!Y60</f>
        <v>804.7949483183213</v>
      </c>
      <c r="D56" s="335">
        <f>IF(B56&gt;C56,B56-C56,0)</f>
        <v>0</v>
      </c>
      <c r="E56" s="335">
        <f>B56-D56</f>
        <v>110.54366841083268</v>
      </c>
      <c r="F56" s="1125"/>
    </row>
    <row r="57" spans="1:10" x14ac:dyDescent="0.4">
      <c r="A57" s="609">
        <v>2015</v>
      </c>
      <c r="B57" s="707">
        <v>121.04208551354085</v>
      </c>
      <c r="C57" s="335">
        <f>'MSW Integration Calcs PDS2'!Y61</f>
        <v>862.89164707897714</v>
      </c>
      <c r="D57" s="335">
        <f t="shared" ref="D57:D102" si="2">IF(B57&gt;C57,B57-C57,0)</f>
        <v>0</v>
      </c>
      <c r="E57" s="335">
        <f t="shared" ref="E57:E102" si="3">B57-D57</f>
        <v>121.04208551354085</v>
      </c>
      <c r="F57" s="1125"/>
    </row>
    <row r="58" spans="1:10" x14ac:dyDescent="0.4">
      <c r="A58" s="609">
        <v>2016</v>
      </c>
      <c r="B58" s="707">
        <v>131.54050261624903</v>
      </c>
      <c r="C58" s="335">
        <f>'MSW Integration Calcs PDS2'!Y62</f>
        <v>925.35644999999988</v>
      </c>
      <c r="D58" s="335">
        <f t="shared" si="2"/>
        <v>0</v>
      </c>
      <c r="E58" s="335">
        <f t="shared" si="3"/>
        <v>131.54050261624903</v>
      </c>
      <c r="F58" s="1125"/>
    </row>
    <row r="59" spans="1:10" x14ac:dyDescent="0.4">
      <c r="A59" s="609">
        <v>2017</v>
      </c>
      <c r="B59" s="707">
        <v>142.0389197189572</v>
      </c>
      <c r="C59" s="335">
        <f>'MSW Integration Calcs PDS2'!Y63</f>
        <v>977.089189437031</v>
      </c>
      <c r="D59" s="335">
        <f t="shared" si="2"/>
        <v>0</v>
      </c>
      <c r="E59" s="335">
        <f t="shared" si="3"/>
        <v>142.0389197189572</v>
      </c>
      <c r="F59" s="1125"/>
    </row>
    <row r="60" spans="1:10" x14ac:dyDescent="0.4">
      <c r="A60" s="609">
        <v>2018</v>
      </c>
      <c r="B60" s="707">
        <v>152.53733682166535</v>
      </c>
      <c r="C60" s="335">
        <f>'MSW Integration Calcs PDS2'!Y64</f>
        <v>998.13023385837414</v>
      </c>
      <c r="D60" s="335">
        <f t="shared" si="2"/>
        <v>0</v>
      </c>
      <c r="E60" s="335">
        <f t="shared" si="3"/>
        <v>152.53733682166535</v>
      </c>
      <c r="F60" s="1125"/>
    </row>
    <row r="61" spans="1:10" x14ac:dyDescent="0.4">
      <c r="A61" s="609">
        <v>2019</v>
      </c>
      <c r="B61" s="707">
        <v>167.39099464300566</v>
      </c>
      <c r="C61" s="335">
        <f>'MSW Integration Calcs PDS2'!Y65</f>
        <v>965.80126383298739</v>
      </c>
      <c r="D61" s="335">
        <f t="shared" si="2"/>
        <v>0</v>
      </c>
      <c r="E61" s="335">
        <f t="shared" si="3"/>
        <v>167.39099464300566</v>
      </c>
      <c r="F61" s="1125"/>
    </row>
    <row r="62" spans="1:10" x14ac:dyDescent="0.4">
      <c r="A62" s="609">
        <v>2020</v>
      </c>
      <c r="B62" s="707">
        <v>177.88666358046862</v>
      </c>
      <c r="C62" s="335">
        <f>'MSW Integration Calcs PDS2'!Y66</f>
        <v>933.18915887538776</v>
      </c>
      <c r="D62" s="335">
        <f t="shared" si="2"/>
        <v>0</v>
      </c>
      <c r="E62" s="335">
        <f t="shared" si="3"/>
        <v>177.88666358046862</v>
      </c>
      <c r="F62" s="1125"/>
    </row>
    <row r="63" spans="1:10" x14ac:dyDescent="0.4">
      <c r="A63" s="609">
        <v>2021</v>
      </c>
      <c r="B63" s="707">
        <v>188.53523962942512</v>
      </c>
      <c r="C63" s="335">
        <f>'MSW Integration Calcs PDS2'!Y67</f>
        <v>898.98723765974034</v>
      </c>
      <c r="D63" s="335">
        <f t="shared" si="2"/>
        <v>0</v>
      </c>
      <c r="E63" s="335">
        <f t="shared" si="3"/>
        <v>188.53523962942512</v>
      </c>
      <c r="F63" s="1125"/>
    </row>
    <row r="64" spans="1:10" x14ac:dyDescent="0.4">
      <c r="A64" s="609">
        <v>2022</v>
      </c>
      <c r="B64" s="707">
        <v>199.46499491620435</v>
      </c>
      <c r="C64" s="335">
        <f>'MSW Integration Calcs PDS2'!Y68</f>
        <v>864.66805650625145</v>
      </c>
      <c r="D64" s="335">
        <f t="shared" si="2"/>
        <v>0</v>
      </c>
      <c r="E64" s="335">
        <f t="shared" si="3"/>
        <v>199.46499491620435</v>
      </c>
      <c r="F64" s="1125"/>
    </row>
    <row r="65" spans="1:6" x14ac:dyDescent="0.4">
      <c r="A65" s="609">
        <v>2023</v>
      </c>
      <c r="B65" s="707">
        <v>210.61157340894272</v>
      </c>
      <c r="C65" s="335">
        <f>'MSW Integration Calcs PDS2'!Y69</f>
        <v>829.94195416967204</v>
      </c>
      <c r="D65" s="335">
        <f t="shared" si="2"/>
        <v>0</v>
      </c>
      <c r="E65" s="335">
        <f t="shared" si="3"/>
        <v>210.61157340894272</v>
      </c>
      <c r="F65" s="1125"/>
    </row>
    <row r="66" spans="1:6" x14ac:dyDescent="0.4">
      <c r="A66" s="609">
        <v>2024</v>
      </c>
      <c r="B66" s="707">
        <v>221.97099871798531</v>
      </c>
      <c r="C66" s="335">
        <f>'MSW Integration Calcs PDS2'!Y70</f>
        <v>796.73085905721769</v>
      </c>
      <c r="D66" s="335">
        <f t="shared" si="2"/>
        <v>0</v>
      </c>
      <c r="E66" s="335">
        <f t="shared" si="3"/>
        <v>221.97099871798531</v>
      </c>
      <c r="F66" s="1125"/>
    </row>
    <row r="67" spans="1:6" x14ac:dyDescent="0.4">
      <c r="A67" s="609">
        <v>2025</v>
      </c>
      <c r="B67" s="707">
        <v>233.22796732667337</v>
      </c>
      <c r="C67" s="335">
        <f>'MSW Integration Calcs PDS2'!Y71</f>
        <v>761.44132879560607</v>
      </c>
      <c r="D67" s="335">
        <f t="shared" si="2"/>
        <v>0</v>
      </c>
      <c r="E67" s="335">
        <f t="shared" si="3"/>
        <v>233.22796732667337</v>
      </c>
      <c r="F67" s="1125"/>
    </row>
    <row r="68" spans="1:6" x14ac:dyDescent="0.4">
      <c r="A68" s="609">
        <v>2026</v>
      </c>
      <c r="B68" s="707">
        <v>246.15918614307267</v>
      </c>
      <c r="C68" s="335">
        <f>'MSW Integration Calcs PDS2'!Y72</f>
        <v>733.31958833129875</v>
      </c>
      <c r="D68" s="335">
        <f t="shared" si="2"/>
        <v>0</v>
      </c>
      <c r="E68" s="335">
        <f t="shared" si="3"/>
        <v>246.15918614307267</v>
      </c>
      <c r="F68" s="1125"/>
    </row>
    <row r="69" spans="1:6" x14ac:dyDescent="0.4">
      <c r="A69" s="609">
        <v>2027</v>
      </c>
      <c r="B69" s="707">
        <v>259.44083295134351</v>
      </c>
      <c r="C69" s="335">
        <f>'MSW Integration Calcs PDS2'!Y73</f>
        <v>705.79550324464947</v>
      </c>
      <c r="D69" s="335">
        <f t="shared" si="2"/>
        <v>0</v>
      </c>
      <c r="E69" s="335">
        <f t="shared" si="3"/>
        <v>259.44083295134351</v>
      </c>
      <c r="F69" s="1125"/>
    </row>
    <row r="70" spans="1:6" x14ac:dyDescent="0.4">
      <c r="A70" s="609">
        <v>2028</v>
      </c>
      <c r="B70" s="707">
        <v>273.00437282182668</v>
      </c>
      <c r="C70" s="335">
        <f>'MSW Integration Calcs PDS2'!Y74</f>
        <v>678.60735853019071</v>
      </c>
      <c r="D70" s="335">
        <f t="shared" si="2"/>
        <v>0</v>
      </c>
      <c r="E70" s="335">
        <f t="shared" si="3"/>
        <v>273.00437282182668</v>
      </c>
      <c r="F70" s="1125"/>
    </row>
    <row r="71" spans="1:6" x14ac:dyDescent="0.4">
      <c r="A71" s="609">
        <v>2029</v>
      </c>
      <c r="B71" s="707">
        <v>286.84681869462628</v>
      </c>
      <c r="C71" s="335">
        <f>'MSW Integration Calcs PDS2'!Y75</f>
        <v>651.81864554761682</v>
      </c>
      <c r="D71" s="335">
        <f t="shared" si="2"/>
        <v>0</v>
      </c>
      <c r="E71" s="335">
        <f t="shared" si="3"/>
        <v>286.84681869462628</v>
      </c>
      <c r="F71" s="1125"/>
    </row>
    <row r="72" spans="1:6" x14ac:dyDescent="0.4">
      <c r="A72" s="609">
        <v>2030</v>
      </c>
      <c r="B72" s="707">
        <v>301.31253243873977</v>
      </c>
      <c r="C72" s="335">
        <f>'MSW Integration Calcs PDS2'!Y76</f>
        <v>626.925239495553</v>
      </c>
      <c r="D72" s="335">
        <f t="shared" si="2"/>
        <v>0</v>
      </c>
      <c r="E72" s="335">
        <f t="shared" si="3"/>
        <v>301.31253243873977</v>
      </c>
      <c r="F72" s="1125"/>
    </row>
    <row r="73" spans="1:6" x14ac:dyDescent="0.4">
      <c r="A73" s="609">
        <v>2031</v>
      </c>
      <c r="B73" s="707">
        <v>315.35745724483343</v>
      </c>
      <c r="C73" s="335">
        <f>'MSW Integration Calcs PDS2'!Y77</f>
        <v>601.01758927718834</v>
      </c>
      <c r="D73" s="335">
        <f t="shared" si="2"/>
        <v>0</v>
      </c>
      <c r="E73" s="335">
        <f t="shared" si="3"/>
        <v>315.35745724483343</v>
      </c>
      <c r="F73" s="1125"/>
    </row>
    <row r="74" spans="1:6" x14ac:dyDescent="0.4">
      <c r="A74" s="609">
        <v>2032</v>
      </c>
      <c r="B74" s="707">
        <v>329.90732709375271</v>
      </c>
      <c r="C74" s="335">
        <f>'MSW Integration Calcs PDS2'!Y78</f>
        <v>576.83722738366055</v>
      </c>
      <c r="D74" s="335">
        <f t="shared" si="2"/>
        <v>0</v>
      </c>
      <c r="E74" s="335">
        <f t="shared" si="3"/>
        <v>329.90732709375271</v>
      </c>
      <c r="F74" s="1125"/>
    </row>
    <row r="75" spans="1:6" x14ac:dyDescent="0.4">
      <c r="A75" s="609">
        <v>2033</v>
      </c>
      <c r="B75" s="707">
        <v>344.720009740303</v>
      </c>
      <c r="C75" s="335">
        <f>'MSW Integration Calcs PDS2'!Y79</f>
        <v>553.44576327043251</v>
      </c>
      <c r="D75" s="335">
        <f t="shared" si="2"/>
        <v>0</v>
      </c>
      <c r="E75" s="335">
        <f t="shared" si="3"/>
        <v>344.720009740303</v>
      </c>
      <c r="F75" s="1125"/>
    </row>
    <row r="76" spans="1:6" x14ac:dyDescent="0.4">
      <c r="A76" s="609">
        <v>2034</v>
      </c>
      <c r="B76" s="707">
        <v>359.79449761489622</v>
      </c>
      <c r="C76" s="335">
        <f>'MSW Integration Calcs PDS2'!Y80</f>
        <v>530.89526730107093</v>
      </c>
      <c r="D76" s="335">
        <f t="shared" si="2"/>
        <v>0</v>
      </c>
      <c r="E76" s="335">
        <f t="shared" si="3"/>
        <v>359.79449761489622</v>
      </c>
      <c r="F76" s="1125"/>
    </row>
    <row r="77" spans="1:6" x14ac:dyDescent="0.4">
      <c r="A77" s="609">
        <v>2035</v>
      </c>
      <c r="B77" s="707">
        <v>375.14626449748681</v>
      </c>
      <c r="C77" s="335">
        <f>'MSW Integration Calcs PDS2'!Y81</f>
        <v>509.29225532649298</v>
      </c>
      <c r="D77" s="335">
        <f t="shared" si="2"/>
        <v>0</v>
      </c>
      <c r="E77" s="335">
        <f t="shared" si="3"/>
        <v>375.14626449748681</v>
      </c>
      <c r="F77" s="1125"/>
    </row>
    <row r="78" spans="1:6" x14ac:dyDescent="0.4">
      <c r="A78" s="609">
        <v>2036</v>
      </c>
      <c r="B78" s="707">
        <v>390.72083146532452</v>
      </c>
      <c r="C78" s="335">
        <f>'MSW Integration Calcs PDS2'!Y82</f>
        <v>488.48333843691177</v>
      </c>
      <c r="D78" s="335">
        <f t="shared" si="2"/>
        <v>0</v>
      </c>
      <c r="E78" s="335">
        <f t="shared" si="3"/>
        <v>390.72083146532452</v>
      </c>
      <c r="F78" s="1125"/>
    </row>
    <row r="79" spans="1:6" x14ac:dyDescent="0.4">
      <c r="A79" s="609">
        <v>2037</v>
      </c>
      <c r="B79" s="707">
        <v>406.57264592804916</v>
      </c>
      <c r="C79" s="335">
        <f>'MSW Integration Calcs PDS2'!Y83</f>
        <v>468.7065286262274</v>
      </c>
      <c r="D79" s="335">
        <f t="shared" si="2"/>
        <v>0</v>
      </c>
      <c r="E79" s="335">
        <f t="shared" si="3"/>
        <v>406.57264592804916</v>
      </c>
      <c r="F79" s="1125"/>
    </row>
    <row r="80" spans="1:6" x14ac:dyDescent="0.4">
      <c r="A80" s="609">
        <v>2038</v>
      </c>
      <c r="B80" s="707">
        <v>422.68656998566371</v>
      </c>
      <c r="C80" s="335">
        <f>'MSW Integration Calcs PDS2'!Y84</f>
        <v>449.94548584180751</v>
      </c>
      <c r="D80" s="335">
        <f t="shared" si="2"/>
        <v>0</v>
      </c>
      <c r="E80" s="335">
        <f t="shared" si="3"/>
        <v>422.68656998566371</v>
      </c>
      <c r="F80" s="1125"/>
    </row>
    <row r="81" spans="1:6" x14ac:dyDescent="0.4">
      <c r="A81" s="609">
        <v>2039</v>
      </c>
      <c r="B81" s="707">
        <v>439.06400479038865</v>
      </c>
      <c r="C81" s="335">
        <f>'MSW Integration Calcs PDS2'!Y85</f>
        <v>432.24287716737376</v>
      </c>
      <c r="D81" s="335">
        <f t="shared" si="2"/>
        <v>6.8211276230148883</v>
      </c>
      <c r="E81" s="335">
        <f t="shared" si="3"/>
        <v>432.24287716737376</v>
      </c>
      <c r="F81" s="1125"/>
    </row>
    <row r="82" spans="1:6" x14ac:dyDescent="0.4">
      <c r="A82" s="609">
        <v>2040</v>
      </c>
      <c r="B82" s="707">
        <v>455.18899392714007</v>
      </c>
      <c r="C82" s="335">
        <f>'MSW Integration Calcs PDS2'!Y86</f>
        <v>413.97425133135948</v>
      </c>
      <c r="D82" s="335">
        <f t="shared" si="2"/>
        <v>41.214742595780592</v>
      </c>
      <c r="E82" s="335">
        <f t="shared" si="3"/>
        <v>413.97425133135948</v>
      </c>
      <c r="F82" s="1125"/>
    </row>
    <row r="83" spans="1:6" x14ac:dyDescent="0.4">
      <c r="A83" s="609">
        <v>2041</v>
      </c>
      <c r="B83" s="707">
        <v>472.59850722463506</v>
      </c>
      <c r="C83" s="335">
        <f>'MSW Integration Calcs PDS2'!Y87</f>
        <v>400.12895354468725</v>
      </c>
      <c r="D83" s="335">
        <f t="shared" si="2"/>
        <v>72.469553679947808</v>
      </c>
      <c r="E83" s="335">
        <f t="shared" si="3"/>
        <v>400.12895354468725</v>
      </c>
      <c r="F83" s="1125"/>
    </row>
    <row r="84" spans="1:6" x14ac:dyDescent="0.4">
      <c r="A84" s="609">
        <v>2042</v>
      </c>
      <c r="B84" s="707">
        <v>489.58063636980364</v>
      </c>
      <c r="C84" s="335">
        <f>'MSW Integration Calcs PDS2'!Y88</f>
        <v>385.25288249947664</v>
      </c>
      <c r="D84" s="335">
        <f t="shared" si="2"/>
        <v>104.327753870327</v>
      </c>
      <c r="E84" s="335">
        <f t="shared" si="3"/>
        <v>385.25288249947664</v>
      </c>
      <c r="F84" s="1125"/>
    </row>
    <row r="85" spans="1:6" x14ac:dyDescent="0.4">
      <c r="A85" s="609">
        <v>2043</v>
      </c>
      <c r="B85" s="707">
        <v>506.82732349592345</v>
      </c>
      <c r="C85" s="335">
        <f>'MSW Integration Calcs PDS2'!Y89</f>
        <v>371.61086917726163</v>
      </c>
      <c r="D85" s="335">
        <f t="shared" si="2"/>
        <v>135.21645431866182</v>
      </c>
      <c r="E85" s="335">
        <f t="shared" si="3"/>
        <v>371.61086917726163</v>
      </c>
      <c r="F85" s="1125"/>
    </row>
    <row r="86" spans="1:6" x14ac:dyDescent="0.4">
      <c r="A86" s="609">
        <v>2044</v>
      </c>
      <c r="B86" s="707">
        <v>524.34238029798519</v>
      </c>
      <c r="C86" s="335">
        <f>'MSW Integration Calcs PDS2'!Y90</f>
        <v>359.25059701276848</v>
      </c>
      <c r="D86" s="335">
        <f t="shared" si="2"/>
        <v>165.09178328521671</v>
      </c>
      <c r="E86" s="335">
        <f t="shared" si="3"/>
        <v>359.25059701276848</v>
      </c>
      <c r="F86" s="1125"/>
    </row>
    <row r="87" spans="1:6" x14ac:dyDescent="0.4">
      <c r="A87" s="609">
        <v>2045</v>
      </c>
      <c r="B87" s="707">
        <v>542.14742274275943</v>
      </c>
      <c r="C87" s="335">
        <f>'MSW Integration Calcs PDS2'!Y91</f>
        <v>348.26868937379083</v>
      </c>
      <c r="D87" s="335">
        <f t="shared" si="2"/>
        <v>193.8787333689686</v>
      </c>
      <c r="E87" s="335">
        <f t="shared" si="3"/>
        <v>348.26868937379083</v>
      </c>
      <c r="F87" s="1125"/>
    </row>
    <row r="88" spans="1:6" x14ac:dyDescent="0.4">
      <c r="A88" s="609">
        <v>2046</v>
      </c>
      <c r="B88" s="707">
        <v>560.17540792374587</v>
      </c>
      <c r="C88" s="335">
        <f>'MSW Integration Calcs PDS2'!Y92</f>
        <v>338.50313646090456</v>
      </c>
      <c r="D88" s="335">
        <f t="shared" si="2"/>
        <v>221.67227146284131</v>
      </c>
      <c r="E88" s="335">
        <f t="shared" si="3"/>
        <v>338.50313646090456</v>
      </c>
      <c r="F88" s="1125"/>
    </row>
    <row r="89" spans="1:6" x14ac:dyDescent="0.4">
      <c r="A89" s="609">
        <v>2047</v>
      </c>
      <c r="B89" s="707">
        <v>578.43190742053673</v>
      </c>
      <c r="C89" s="335">
        <f>'MSW Integration Calcs PDS2'!Y93</f>
        <v>330.00488056714016</v>
      </c>
      <c r="D89" s="335">
        <f t="shared" si="2"/>
        <v>248.42702685339657</v>
      </c>
      <c r="E89" s="335">
        <f t="shared" si="3"/>
        <v>330.00488056714016</v>
      </c>
      <c r="F89" s="1125"/>
    </row>
    <row r="90" spans="1:6" x14ac:dyDescent="0.4">
      <c r="A90" s="609">
        <v>2048</v>
      </c>
      <c r="B90" s="707">
        <v>596.92923806263593</v>
      </c>
      <c r="C90" s="335">
        <f>'MSW Integration Calcs PDS2'!Y94</f>
        <v>322.84362476899452</v>
      </c>
      <c r="D90" s="335">
        <f t="shared" si="2"/>
        <v>274.08561329364142</v>
      </c>
      <c r="E90" s="335">
        <f t="shared" si="3"/>
        <v>322.84362476899452</v>
      </c>
      <c r="F90" s="1125"/>
    </row>
    <row r="91" spans="1:6" x14ac:dyDescent="0.4">
      <c r="A91" s="609">
        <v>2049</v>
      </c>
      <c r="B91" s="707">
        <v>615.66727402998595</v>
      </c>
      <c r="C91" s="335">
        <f>'MSW Integration Calcs PDS2'!Y95</f>
        <v>317.05227091352583</v>
      </c>
      <c r="D91" s="335">
        <f t="shared" si="2"/>
        <v>298.61500311646012</v>
      </c>
      <c r="E91" s="335">
        <f t="shared" si="3"/>
        <v>317.05227091352583</v>
      </c>
      <c r="F91" s="1125"/>
    </row>
    <row r="92" spans="1:6" x14ac:dyDescent="0.4">
      <c r="A92" s="609">
        <v>2050</v>
      </c>
      <c r="B92" s="707">
        <v>634.52028120544628</v>
      </c>
      <c r="C92" s="335">
        <f>'MSW Integration Calcs PDS2'!Y96</f>
        <v>312.34141199002676</v>
      </c>
      <c r="D92" s="335">
        <f t="shared" si="2"/>
        <v>322.17886921541952</v>
      </c>
      <c r="E92" s="335">
        <f t="shared" si="3"/>
        <v>312.34141199002676</v>
      </c>
      <c r="F92" s="1125"/>
    </row>
    <row r="93" spans="1:6" x14ac:dyDescent="0.4">
      <c r="A93" s="609">
        <v>2051</v>
      </c>
      <c r="B93" s="707">
        <v>653.8654701712145</v>
      </c>
      <c r="C93" s="335">
        <f>'MSW Integration Calcs PDS2'!Y97</f>
        <v>340.1161243734029</v>
      </c>
      <c r="D93" s="335">
        <f t="shared" si="2"/>
        <v>313.7493457978116</v>
      </c>
      <c r="E93" s="335">
        <f t="shared" si="3"/>
        <v>340.1161243734029</v>
      </c>
      <c r="F93" s="1125"/>
    </row>
    <row r="94" spans="1:6" x14ac:dyDescent="0.4">
      <c r="A94" s="609">
        <v>2052</v>
      </c>
      <c r="B94" s="707">
        <v>673.32588420124375</v>
      </c>
      <c r="C94" s="335">
        <f>'MSW Integration Calcs PDS2'!Y98</f>
        <v>369.05034421433606</v>
      </c>
      <c r="D94" s="335">
        <f t="shared" si="2"/>
        <v>304.27553998690769</v>
      </c>
      <c r="E94" s="335">
        <f t="shared" si="3"/>
        <v>369.05034421433606</v>
      </c>
      <c r="F94" s="1125"/>
    </row>
    <row r="95" spans="1:6" x14ac:dyDescent="0.4">
      <c r="A95" s="609">
        <v>2053</v>
      </c>
      <c r="B95" s="707">
        <v>693.02750780073836</v>
      </c>
      <c r="C95" s="335">
        <f>'MSW Integration Calcs PDS2'!Y99</f>
        <v>398.7868428264502</v>
      </c>
      <c r="D95" s="335">
        <f t="shared" si="2"/>
        <v>294.24066497428817</v>
      </c>
      <c r="E95" s="335">
        <f t="shared" si="3"/>
        <v>398.7868428264502</v>
      </c>
      <c r="F95" s="1125"/>
    </row>
    <row r="96" spans="1:6" x14ac:dyDescent="0.4">
      <c r="A96" s="609">
        <v>2054</v>
      </c>
      <c r="B96" s="707">
        <v>712.97071019921259</v>
      </c>
      <c r="C96" s="335">
        <f>'MSW Integration Calcs PDS2'!Y100</f>
        <v>429.32142848925355</v>
      </c>
      <c r="D96" s="335">
        <f t="shared" si="2"/>
        <v>283.64928170995904</v>
      </c>
      <c r="E96" s="335">
        <f t="shared" si="3"/>
        <v>429.32142848925355</v>
      </c>
      <c r="F96" s="1125"/>
    </row>
    <row r="97" spans="1:6" x14ac:dyDescent="0.4">
      <c r="A97" s="609">
        <v>2055</v>
      </c>
      <c r="B97" s="707">
        <v>733.15595512193886</v>
      </c>
      <c r="C97" s="335">
        <f>'MSW Integration Calcs PDS2'!Y101</f>
        <v>460.64760944687714</v>
      </c>
      <c r="D97" s="335">
        <f t="shared" si="2"/>
        <v>272.50834567506172</v>
      </c>
      <c r="E97" s="335">
        <f t="shared" si="3"/>
        <v>460.64760944687714</v>
      </c>
      <c r="F97" s="1125"/>
    </row>
    <row r="98" spans="1:6" x14ac:dyDescent="0.4">
      <c r="A98" s="609">
        <v>2056</v>
      </c>
      <c r="B98" s="707">
        <v>753.58379970733608</v>
      </c>
      <c r="C98" s="335">
        <f>'MSW Integration Calcs PDS2'!Y102</f>
        <v>492.75832948731659</v>
      </c>
      <c r="D98" s="335">
        <f t="shared" si="2"/>
        <v>260.8254702200195</v>
      </c>
      <c r="E98" s="335">
        <f t="shared" si="3"/>
        <v>492.75832948731659</v>
      </c>
      <c r="F98" s="1125"/>
    </row>
    <row r="99" spans="1:6" x14ac:dyDescent="0.4">
      <c r="A99" s="609">
        <v>2057</v>
      </c>
      <c r="B99" s="707">
        <v>774.25489357017932</v>
      </c>
      <c r="C99" s="335">
        <f>'MSW Integration Calcs PDS2'!Y103</f>
        <v>525.64270041345674</v>
      </c>
      <c r="D99" s="335">
        <f t="shared" si="2"/>
        <v>248.61219315672258</v>
      </c>
      <c r="E99" s="335">
        <f t="shared" si="3"/>
        <v>525.64270041345674</v>
      </c>
      <c r="F99" s="1125"/>
    </row>
    <row r="100" spans="1:6" x14ac:dyDescent="0.4">
      <c r="A100" s="609">
        <v>2058</v>
      </c>
      <c r="B100" s="707">
        <v>795.16997799564876</v>
      </c>
      <c r="C100" s="335">
        <f>'MSW Integration Calcs PDS2'!Y104</f>
        <v>559.28410666729178</v>
      </c>
      <c r="D100" s="335">
        <f t="shared" si="2"/>
        <v>235.88587132835698</v>
      </c>
      <c r="E100" s="335">
        <f t="shared" si="3"/>
        <v>559.28410666729178</v>
      </c>
      <c r="F100" s="1125"/>
    </row>
    <row r="101" spans="1:6" x14ac:dyDescent="0.4">
      <c r="A101" s="609">
        <v>2059</v>
      </c>
      <c r="B101" s="707">
        <v>816.32988524973143</v>
      </c>
      <c r="C101" s="335">
        <f>'MSW Integration Calcs PDS2'!Y105</f>
        <v>593.66229391369859</v>
      </c>
      <c r="D101" s="335">
        <f t="shared" si="2"/>
        <v>222.66759133603284</v>
      </c>
      <c r="E101" s="335">
        <f t="shared" si="3"/>
        <v>593.66229391369859</v>
      </c>
      <c r="F101" s="1125"/>
    </row>
    <row r="102" spans="1:6" x14ac:dyDescent="0.4">
      <c r="A102" s="609">
        <v>2060</v>
      </c>
      <c r="B102" s="707">
        <v>837.7355379938374</v>
      </c>
      <c r="C102" s="335">
        <f>'MSW Integration Calcs PDS2'!Y106</f>
        <v>628.75703600358372</v>
      </c>
      <c r="D102" s="335">
        <f t="shared" si="2"/>
        <v>208.97850199025368</v>
      </c>
      <c r="E102" s="335">
        <f t="shared" si="3"/>
        <v>628.75703600358372</v>
      </c>
      <c r="F102" s="1125"/>
    </row>
    <row r="104" spans="1:6" x14ac:dyDescent="0.4">
      <c r="A104" s="1" t="s">
        <v>1073</v>
      </c>
    </row>
    <row r="105" spans="1:6" x14ac:dyDescent="0.4">
      <c r="A105" s="1" t="s">
        <v>1071</v>
      </c>
    </row>
    <row r="106" spans="1:6" x14ac:dyDescent="0.4">
      <c r="B106" s="609" t="s">
        <v>353</v>
      </c>
      <c r="C106" s="609" t="s">
        <v>355</v>
      </c>
      <c r="D106" s="609" t="s">
        <v>354</v>
      </c>
      <c r="E106" s="609" t="s">
        <v>356</v>
      </c>
    </row>
    <row r="107" spans="1:6" x14ac:dyDescent="0.4">
      <c r="A107" s="609">
        <v>2014</v>
      </c>
      <c r="B107" s="707">
        <v>110.54366841083268</v>
      </c>
      <c r="C107" s="335">
        <f>'MSW Integration Calcs PDS3'!Y60</f>
        <v>804.7949483183213</v>
      </c>
      <c r="D107" s="335">
        <f t="shared" ref="D107:D153" si="4">IF(B107&gt;C107,B107-C107,0)</f>
        <v>0</v>
      </c>
      <c r="E107" s="335">
        <f t="shared" ref="E107:E153" si="5">B107-D107</f>
        <v>110.54366841083268</v>
      </c>
      <c r="F107" s="1125"/>
    </row>
    <row r="108" spans="1:6" x14ac:dyDescent="0.4">
      <c r="A108" s="609">
        <v>2015</v>
      </c>
      <c r="B108" s="707">
        <v>121.04208551354085</v>
      </c>
      <c r="C108" s="335">
        <f>'MSW Integration Calcs PDS3'!Y61</f>
        <v>862.84071892596353</v>
      </c>
      <c r="D108" s="335">
        <f t="shared" si="4"/>
        <v>0</v>
      </c>
      <c r="E108" s="335">
        <f t="shared" si="5"/>
        <v>121.04208551354085</v>
      </c>
      <c r="F108" s="1125"/>
    </row>
    <row r="109" spans="1:6" x14ac:dyDescent="0.4">
      <c r="A109" s="609">
        <v>2016</v>
      </c>
      <c r="B109" s="707">
        <v>131.54050261624903</v>
      </c>
      <c r="C109" s="335">
        <f>'MSW Integration Calcs PDS3'!Y62</f>
        <v>925.35644999999988</v>
      </c>
      <c r="D109" s="335">
        <f t="shared" si="4"/>
        <v>0</v>
      </c>
      <c r="E109" s="335">
        <f t="shared" si="5"/>
        <v>131.54050261624903</v>
      </c>
      <c r="F109" s="1125"/>
    </row>
    <row r="110" spans="1:6" x14ac:dyDescent="0.4">
      <c r="A110" s="609">
        <v>2017</v>
      </c>
      <c r="B110" s="707">
        <v>142.0389197189572</v>
      </c>
      <c r="C110" s="335">
        <f>'MSW Integration Calcs PDS3'!Y63</f>
        <v>977.089189437031</v>
      </c>
      <c r="D110" s="335">
        <f t="shared" si="4"/>
        <v>0</v>
      </c>
      <c r="E110" s="335">
        <f t="shared" si="5"/>
        <v>142.0389197189572</v>
      </c>
      <c r="F110" s="1125"/>
    </row>
    <row r="111" spans="1:6" x14ac:dyDescent="0.4">
      <c r="A111" s="609">
        <v>2018</v>
      </c>
      <c r="B111" s="707">
        <v>152.53733682166535</v>
      </c>
      <c r="C111" s="335">
        <f>'MSW Integration Calcs PDS3'!Y64</f>
        <v>998.13023385837425</v>
      </c>
      <c r="D111" s="335">
        <f t="shared" si="4"/>
        <v>0</v>
      </c>
      <c r="E111" s="335">
        <f t="shared" si="5"/>
        <v>152.53733682166535</v>
      </c>
      <c r="F111" s="1125"/>
    </row>
    <row r="112" spans="1:6" x14ac:dyDescent="0.4">
      <c r="A112" s="609">
        <v>2019</v>
      </c>
      <c r="B112" s="707">
        <v>207.77017763656224</v>
      </c>
      <c r="C112" s="335">
        <f>'MSW Integration Calcs PDS3'!Y65</f>
        <v>952.17551922126415</v>
      </c>
      <c r="D112" s="335">
        <f t="shared" si="4"/>
        <v>0</v>
      </c>
      <c r="E112" s="335">
        <f t="shared" si="5"/>
        <v>207.77017763656224</v>
      </c>
      <c r="F112" s="1125"/>
    </row>
    <row r="113" spans="1:6" x14ac:dyDescent="0.4">
      <c r="A113" s="609">
        <v>2020</v>
      </c>
      <c r="B113" s="707">
        <v>236.65545710635305</v>
      </c>
      <c r="C113" s="335">
        <f>'MSW Integration Calcs PDS3'!Y66</f>
        <v>906.33849746103169</v>
      </c>
      <c r="D113" s="335">
        <f t="shared" si="4"/>
        <v>0</v>
      </c>
      <c r="E113" s="335">
        <f t="shared" si="5"/>
        <v>236.65545710635305</v>
      </c>
      <c r="F113" s="1125"/>
    </row>
    <row r="114" spans="1:6" x14ac:dyDescent="0.4">
      <c r="A114" s="609">
        <v>2021</v>
      </c>
      <c r="B114" s="707">
        <v>266.33648117519579</v>
      </c>
      <c r="C114" s="335">
        <f>'MSW Integration Calcs PDS3'!Y67</f>
        <v>859.3481056833491</v>
      </c>
      <c r="D114" s="335">
        <f t="shared" si="4"/>
        <v>0</v>
      </c>
      <c r="E114" s="335">
        <f t="shared" si="5"/>
        <v>266.33648117519579</v>
      </c>
      <c r="F114" s="1125"/>
    </row>
    <row r="115" spans="1:6" x14ac:dyDescent="0.4">
      <c r="A115" s="609">
        <v>2022</v>
      </c>
      <c r="B115" s="707">
        <v>296.97621208030768</v>
      </c>
      <c r="C115" s="335">
        <f>'MSW Integration Calcs PDS3'!Y68</f>
        <v>812.6669095748764</v>
      </c>
      <c r="D115" s="335">
        <f t="shared" si="4"/>
        <v>0</v>
      </c>
      <c r="E115" s="335">
        <f t="shared" si="5"/>
        <v>296.97621208030768</v>
      </c>
      <c r="F115" s="1125"/>
    </row>
    <row r="116" spans="1:6" x14ac:dyDescent="0.4">
      <c r="A116" s="609">
        <v>2023</v>
      </c>
      <c r="B116" s="707">
        <v>328.47758988119193</v>
      </c>
      <c r="C116" s="335">
        <f>'MSW Integration Calcs PDS3'!Y69</f>
        <v>766.01930749675637</v>
      </c>
      <c r="D116" s="335">
        <f t="shared" si="4"/>
        <v>0</v>
      </c>
      <c r="E116" s="335">
        <f t="shared" si="5"/>
        <v>328.47758988119193</v>
      </c>
      <c r="F116" s="1125"/>
    </row>
    <row r="117" spans="1:6" x14ac:dyDescent="0.4">
      <c r="A117" s="609">
        <v>2024</v>
      </c>
      <c r="B117" s="707">
        <v>360.82437799032078</v>
      </c>
      <c r="C117" s="335">
        <f>'MSW Integration Calcs PDS3'!Y70</f>
        <v>719.35819481864701</v>
      </c>
      <c r="D117" s="335">
        <f t="shared" si="4"/>
        <v>0</v>
      </c>
      <c r="E117" s="335">
        <f t="shared" si="5"/>
        <v>360.82437799032078</v>
      </c>
      <c r="F117" s="1125"/>
    </row>
    <row r="118" spans="1:6" x14ac:dyDescent="0.4">
      <c r="A118" s="609">
        <v>2025</v>
      </c>
      <c r="B118" s="707">
        <v>393.47551461149618</v>
      </c>
      <c r="C118" s="335">
        <f>'MSW Integration Calcs PDS3'!Y71</f>
        <v>671.27264874010677</v>
      </c>
      <c r="D118" s="335">
        <f t="shared" si="4"/>
        <v>0</v>
      </c>
      <c r="E118" s="335">
        <f t="shared" si="5"/>
        <v>393.47551461149618</v>
      </c>
      <c r="F118" s="1125"/>
    </row>
    <row r="119" spans="1:6" x14ac:dyDescent="0.4">
      <c r="A119" s="609">
        <v>2026</v>
      </c>
      <c r="B119" s="707">
        <v>429.46844307820817</v>
      </c>
      <c r="C119" s="335">
        <f>'MSW Integration Calcs PDS3'!Y72</f>
        <v>631.07418882248328</v>
      </c>
      <c r="D119" s="335">
        <f t="shared" si="4"/>
        <v>0</v>
      </c>
      <c r="E119" s="335">
        <f t="shared" si="5"/>
        <v>429.46844307820817</v>
      </c>
      <c r="F119" s="1125"/>
    </row>
    <row r="120" spans="1:6" x14ac:dyDescent="0.4">
      <c r="A120" s="609">
        <v>2027</v>
      </c>
      <c r="B120" s="707">
        <v>466.65541855183142</v>
      </c>
      <c r="C120" s="335">
        <f>'MSW Integration Calcs PDS3'!Y73</f>
        <v>591.65474482531874</v>
      </c>
      <c r="D120" s="335">
        <f t="shared" si="4"/>
        <v>0</v>
      </c>
      <c r="E120" s="335">
        <f t="shared" si="5"/>
        <v>466.65541855183142</v>
      </c>
      <c r="F120" s="1125"/>
    </row>
    <row r="121" spans="1:6" x14ac:dyDescent="0.4">
      <c r="A121" s="609">
        <v>2028</v>
      </c>
      <c r="B121" s="707">
        <v>504.91347733657193</v>
      </c>
      <c r="C121" s="335">
        <f>'MSW Integration Calcs PDS3'!Y74</f>
        <v>553.02315831703049</v>
      </c>
      <c r="D121" s="335">
        <f t="shared" si="4"/>
        <v>0</v>
      </c>
      <c r="E121" s="335">
        <f t="shared" si="5"/>
        <v>504.91347733657193</v>
      </c>
      <c r="F121" s="1125"/>
    </row>
    <row r="122" spans="1:6" x14ac:dyDescent="0.4">
      <c r="A122" s="609">
        <v>2029</v>
      </c>
      <c r="B122" s="707">
        <v>544.23056863583213</v>
      </c>
      <c r="C122" s="335">
        <f>'MSW Integration Calcs PDS3'!Y75</f>
        <v>515.34848165816334</v>
      </c>
      <c r="D122" s="335">
        <f t="shared" si="4"/>
        <v>28.882086977668791</v>
      </c>
      <c r="E122" s="335">
        <f t="shared" si="5"/>
        <v>515.34848165816334</v>
      </c>
      <c r="F122" s="1125"/>
    </row>
    <row r="123" spans="1:6" x14ac:dyDescent="0.4">
      <c r="A123" s="609">
        <v>2030</v>
      </c>
      <c r="B123" s="707">
        <v>585.26961170441302</v>
      </c>
      <c r="C123" s="335">
        <f>'MSW Integration Calcs PDS3'!Y76</f>
        <v>480.23961332404809</v>
      </c>
      <c r="D123" s="335">
        <f t="shared" si="4"/>
        <v>105.02999838036493</v>
      </c>
      <c r="E123" s="335">
        <f t="shared" si="5"/>
        <v>480.23961332404809</v>
      </c>
      <c r="F123" s="1125"/>
    </row>
    <row r="124" spans="1:6" x14ac:dyDescent="0.4">
      <c r="A124" s="609">
        <v>2031</v>
      </c>
      <c r="B124" s="707">
        <v>625.99694110845746</v>
      </c>
      <c r="C124" s="335">
        <f>'MSW Integration Calcs PDS3'!Y77</f>
        <v>445.15242220784609</v>
      </c>
      <c r="D124" s="335">
        <f t="shared" si="4"/>
        <v>180.84451890061138</v>
      </c>
      <c r="E124" s="335">
        <f t="shared" si="5"/>
        <v>445.15242220784609</v>
      </c>
      <c r="F124" s="1125"/>
    </row>
    <row r="125" spans="1:6" x14ac:dyDescent="0.4">
      <c r="A125" s="609">
        <v>2032</v>
      </c>
      <c r="B125" s="707">
        <v>668.19588900079111</v>
      </c>
      <c r="C125" s="335">
        <f>'MSW Integration Calcs PDS3'!Y78</f>
        <v>412.72072158631033</v>
      </c>
      <c r="D125" s="335">
        <f t="shared" si="4"/>
        <v>255.47516741448078</v>
      </c>
      <c r="E125" s="335">
        <f t="shared" si="5"/>
        <v>412.72072158631033</v>
      </c>
      <c r="F125" s="1125"/>
    </row>
    <row r="126" spans="1:6" x14ac:dyDescent="0.4">
      <c r="A126" s="609">
        <v>2033</v>
      </c>
      <c r="B126" s="707">
        <v>711.3910049157588</v>
      </c>
      <c r="C126" s="335">
        <f>'MSW Integration Calcs PDS3'!Y79</f>
        <v>382.13210851993972</v>
      </c>
      <c r="D126" s="335">
        <f t="shared" si="4"/>
        <v>329.25889639581908</v>
      </c>
      <c r="E126" s="335">
        <f t="shared" si="5"/>
        <v>382.13210851993972</v>
      </c>
      <c r="F126" s="1125"/>
    </row>
    <row r="127" spans="1:6" x14ac:dyDescent="0.4">
      <c r="A127" s="609">
        <v>2034</v>
      </c>
      <c r="B127" s="707">
        <v>755.57563981162139</v>
      </c>
      <c r="C127" s="335">
        <f>'MSW Integration Calcs PDS3'!Y80</f>
        <v>353.5698871343094</v>
      </c>
      <c r="D127" s="335">
        <f t="shared" si="4"/>
        <v>402.00575267731199</v>
      </c>
      <c r="E127" s="335">
        <f t="shared" si="5"/>
        <v>353.5698871343094</v>
      </c>
      <c r="F127" s="1125"/>
    </row>
    <row r="128" spans="1:6" x14ac:dyDescent="0.4">
      <c r="A128" s="609">
        <v>2035</v>
      </c>
      <c r="B128" s="707">
        <v>800.77871019523707</v>
      </c>
      <c r="C128" s="335">
        <f>'MSW Integration Calcs PDS3'!Y81</f>
        <v>327.27778617548319</v>
      </c>
      <c r="D128" s="335">
        <f t="shared" si="4"/>
        <v>473.50092401975388</v>
      </c>
      <c r="E128" s="335">
        <f t="shared" si="5"/>
        <v>327.27778617548319</v>
      </c>
      <c r="F128" s="1125"/>
    </row>
    <row r="129" spans="1:6" x14ac:dyDescent="0.4">
      <c r="A129" s="609">
        <v>2036</v>
      </c>
      <c r="B129" s="707">
        <v>864.95832327754442</v>
      </c>
      <c r="C129" s="335">
        <f>'MSW Integration Calcs PDS3'!Y82</f>
        <v>303.24551960203638</v>
      </c>
      <c r="D129" s="335">
        <f t="shared" si="4"/>
        <v>561.71280367550798</v>
      </c>
      <c r="E129" s="335">
        <f t="shared" si="5"/>
        <v>303.24551960203644</v>
      </c>
      <c r="F129" s="1125"/>
    </row>
    <row r="130" spans="1:6" x14ac:dyDescent="0.4">
      <c r="A130" s="609">
        <v>2037</v>
      </c>
      <c r="B130" s="707">
        <v>902.61311096911822</v>
      </c>
      <c r="C130" s="335">
        <f>'MSW Integration Calcs PDS3'!Y83</f>
        <v>281.86040212859194</v>
      </c>
      <c r="D130" s="335">
        <f t="shared" si="4"/>
        <v>620.75270884052634</v>
      </c>
      <c r="E130" s="335">
        <f t="shared" si="5"/>
        <v>281.86040212859189</v>
      </c>
      <c r="F130" s="1125"/>
    </row>
    <row r="131" spans="1:6" x14ac:dyDescent="0.4">
      <c r="A131" s="609">
        <v>2038</v>
      </c>
      <c r="B131" s="707">
        <v>940.93877223902916</v>
      </c>
      <c r="C131" s="335">
        <f>'MSW Integration Calcs PDS3'!Y84</f>
        <v>263.26096684835181</v>
      </c>
      <c r="D131" s="335">
        <f t="shared" si="4"/>
        <v>677.67780539067735</v>
      </c>
      <c r="E131" s="335">
        <f t="shared" si="5"/>
        <v>263.26096684835181</v>
      </c>
      <c r="F131" s="1125"/>
    </row>
    <row r="132" spans="1:6" x14ac:dyDescent="0.4">
      <c r="A132" s="609">
        <v>2039</v>
      </c>
      <c r="B132" s="707">
        <v>979.93832408104583</v>
      </c>
      <c r="C132" s="335">
        <f>'MSW Integration Calcs PDS3'!Y85</f>
        <v>247.64994023604453</v>
      </c>
      <c r="D132" s="335">
        <f t="shared" si="4"/>
        <v>732.28838384500136</v>
      </c>
      <c r="E132" s="335">
        <f t="shared" si="5"/>
        <v>247.64994023604447</v>
      </c>
      <c r="F132" s="1125"/>
    </row>
    <row r="133" spans="1:6" x14ac:dyDescent="0.4">
      <c r="A133" s="609">
        <v>2040</v>
      </c>
      <c r="B133" s="707">
        <v>1013.6973026961575</v>
      </c>
      <c r="C133" s="335">
        <f>'MSW Integration Calcs PDS3'!Y86</f>
        <v>233.56658906298978</v>
      </c>
      <c r="D133" s="335">
        <f t="shared" si="4"/>
        <v>780.13071363316772</v>
      </c>
      <c r="E133" s="335">
        <f t="shared" si="5"/>
        <v>233.56658906298981</v>
      </c>
      <c r="F133" s="1125"/>
    </row>
    <row r="134" spans="1:6" x14ac:dyDescent="0.4">
      <c r="A134" s="609">
        <v>2041</v>
      </c>
      <c r="B134" s="707">
        <v>1041.0780786895368</v>
      </c>
      <c r="C134" s="335">
        <f>'MSW Integration Calcs PDS3'!Y87</f>
        <v>226.16622888438437</v>
      </c>
      <c r="D134" s="335">
        <f t="shared" si="4"/>
        <v>814.91184980515243</v>
      </c>
      <c r="E134" s="335">
        <f t="shared" si="5"/>
        <v>226.1662288843844</v>
      </c>
      <c r="F134" s="1125"/>
    </row>
    <row r="135" spans="1:6" x14ac:dyDescent="0.4">
      <c r="A135" s="609">
        <v>2042</v>
      </c>
      <c r="B135" s="707">
        <v>1067.1249648404269</v>
      </c>
      <c r="C135" s="335">
        <f>'MSW Integration Calcs PDS3'!Y88</f>
        <v>220.16366794479396</v>
      </c>
      <c r="D135" s="335">
        <f t="shared" si="4"/>
        <v>846.96129689563293</v>
      </c>
      <c r="E135" s="335">
        <f t="shared" si="5"/>
        <v>220.16366794479393</v>
      </c>
      <c r="F135" s="1125"/>
    </row>
    <row r="136" spans="1:6" x14ac:dyDescent="0.4">
      <c r="A136" s="609">
        <v>2043</v>
      </c>
      <c r="B136" s="707">
        <v>1092.49127721839</v>
      </c>
      <c r="C136" s="335">
        <f>'MSW Integration Calcs PDS3'!Y89</f>
        <v>217.99683626743365</v>
      </c>
      <c r="D136" s="335">
        <f t="shared" si="4"/>
        <v>874.49444095095635</v>
      </c>
      <c r="E136" s="335">
        <f t="shared" si="5"/>
        <v>217.99683626743365</v>
      </c>
      <c r="F136" s="1125"/>
    </row>
    <row r="137" spans="1:6" x14ac:dyDescent="0.4">
      <c r="A137" s="609">
        <v>2044</v>
      </c>
      <c r="B137" s="707">
        <v>1118.121769592047</v>
      </c>
      <c r="C137" s="335">
        <f>'MSW Integration Calcs PDS3'!Y90</f>
        <v>219.88949973483892</v>
      </c>
      <c r="D137" s="335">
        <f t="shared" si="4"/>
        <v>898.23226985720817</v>
      </c>
      <c r="E137" s="335">
        <f t="shared" si="5"/>
        <v>219.88949973483886</v>
      </c>
      <c r="F137" s="1125"/>
    </row>
    <row r="138" spans="1:6" x14ac:dyDescent="0.4">
      <c r="A138" s="609">
        <v>2045</v>
      </c>
      <c r="B138" s="707">
        <v>1144.0632906740193</v>
      </c>
      <c r="C138" s="335">
        <f>'MSW Integration Calcs PDS3'!Y91</f>
        <v>226.11673959355198</v>
      </c>
      <c r="D138" s="335">
        <f t="shared" si="4"/>
        <v>917.94655108046732</v>
      </c>
      <c r="E138" s="335">
        <f t="shared" si="5"/>
        <v>226.11673959355198</v>
      </c>
      <c r="F138" s="1125"/>
    </row>
    <row r="139" spans="1:6" x14ac:dyDescent="0.4">
      <c r="A139" s="609">
        <v>2046</v>
      </c>
      <c r="B139" s="707">
        <v>1164.2279658716918</v>
      </c>
      <c r="C139" s="335">
        <f>'MSW Integration Calcs PDS3'!Y92</f>
        <v>236.69671679163326</v>
      </c>
      <c r="D139" s="335">
        <f t="shared" si="4"/>
        <v>927.53124908005861</v>
      </c>
      <c r="E139" s="335">
        <f t="shared" si="5"/>
        <v>236.69671679163321</v>
      </c>
      <c r="F139" s="1125"/>
    </row>
    <row r="140" spans="1:6" x14ac:dyDescent="0.4">
      <c r="A140" s="609">
        <v>2047</v>
      </c>
      <c r="B140" s="707">
        <v>1181.4168342413509</v>
      </c>
      <c r="C140" s="335">
        <f>'MSW Integration Calcs PDS3'!Y93</f>
        <v>251.86249608926403</v>
      </c>
      <c r="D140" s="335">
        <f t="shared" si="4"/>
        <v>929.55433815208687</v>
      </c>
      <c r="E140" s="335">
        <f t="shared" si="5"/>
        <v>251.86249608926403</v>
      </c>
      <c r="F140" s="1125"/>
    </row>
    <row r="141" spans="1:6" x14ac:dyDescent="0.4">
      <c r="A141" s="609">
        <v>2048</v>
      </c>
      <c r="B141" s="707">
        <v>1196.3833401101142</v>
      </c>
      <c r="C141" s="335">
        <f>'MSW Integration Calcs PDS3'!Y94</f>
        <v>271.86816860327144</v>
      </c>
      <c r="D141" s="335">
        <f t="shared" si="4"/>
        <v>924.51517150684276</v>
      </c>
      <c r="E141" s="335">
        <f t="shared" si="5"/>
        <v>271.86816860327144</v>
      </c>
      <c r="F141" s="1125"/>
    </row>
    <row r="142" spans="1:6" x14ac:dyDescent="0.4">
      <c r="A142" s="609">
        <v>2049</v>
      </c>
      <c r="B142" s="707">
        <v>1211.2846512681374</v>
      </c>
      <c r="C142" s="335">
        <f>'MSW Integration Calcs PDS3'!Y95</f>
        <v>296.93272539878001</v>
      </c>
      <c r="D142" s="335">
        <f t="shared" si="4"/>
        <v>914.35192586935739</v>
      </c>
      <c r="E142" s="335">
        <f t="shared" si="5"/>
        <v>296.93272539878001</v>
      </c>
      <c r="F142" s="1125"/>
    </row>
    <row r="143" spans="1:6" x14ac:dyDescent="0.4">
      <c r="A143" s="609">
        <v>2050</v>
      </c>
      <c r="B143" s="707">
        <v>1225.88176725219</v>
      </c>
      <c r="C143" s="335">
        <f>'MSW Integration Calcs PDS3'!Y96</f>
        <v>326.95413735407749</v>
      </c>
      <c r="D143" s="335">
        <f t="shared" si="4"/>
        <v>898.92762989811251</v>
      </c>
      <c r="E143" s="335">
        <f t="shared" si="5"/>
        <v>326.95413735407749</v>
      </c>
      <c r="F143" s="1125"/>
    </row>
    <row r="144" spans="1:6" x14ac:dyDescent="0.4">
      <c r="A144" s="609">
        <v>2051</v>
      </c>
      <c r="B144" s="707">
        <v>1240.9070863913887</v>
      </c>
      <c r="C144" s="335">
        <f>'MSW Integration Calcs PDS3'!Y97</f>
        <v>392.84757267794237</v>
      </c>
      <c r="D144" s="335">
        <f t="shared" si="4"/>
        <v>848.05951371344634</v>
      </c>
      <c r="E144" s="335">
        <f t="shared" si="5"/>
        <v>392.84757267794237</v>
      </c>
      <c r="F144" s="1125"/>
    </row>
    <row r="145" spans="1:6" x14ac:dyDescent="0.4">
      <c r="A145" s="609">
        <v>2052</v>
      </c>
      <c r="B145" s="707">
        <v>1255.6356960392634</v>
      </c>
      <c r="C145" s="335">
        <f>'MSW Integration Calcs PDS3'!Y98</f>
        <v>406.9974833644302</v>
      </c>
      <c r="D145" s="335">
        <f t="shared" si="4"/>
        <v>848.6382126748332</v>
      </c>
      <c r="E145" s="335">
        <f t="shared" si="5"/>
        <v>406.9974833644302</v>
      </c>
      <c r="F145" s="1125"/>
    </row>
    <row r="146" spans="1:6" x14ac:dyDescent="0.4">
      <c r="A146" s="609">
        <v>2053</v>
      </c>
      <c r="B146" s="707">
        <v>1270.314091178702</v>
      </c>
      <c r="C146" s="335">
        <f>'MSW Integration Calcs PDS3'!Y99</f>
        <v>418.22938005354467</v>
      </c>
      <c r="D146" s="335">
        <f t="shared" si="4"/>
        <v>852.08471112515736</v>
      </c>
      <c r="E146" s="335">
        <f t="shared" si="5"/>
        <v>418.22938005354467</v>
      </c>
      <c r="F146" s="1125"/>
    </row>
    <row r="147" spans="1:6" x14ac:dyDescent="0.4">
      <c r="A147" s="609">
        <v>2054</v>
      </c>
      <c r="B147" s="707">
        <v>1284.9458216051528</v>
      </c>
      <c r="C147" s="335">
        <f>'MSW Integration Calcs PDS3'!Y100</f>
        <v>429.31485068301879</v>
      </c>
      <c r="D147" s="335">
        <f t="shared" si="4"/>
        <v>855.630970922134</v>
      </c>
      <c r="E147" s="335">
        <f t="shared" si="5"/>
        <v>429.31485068301879</v>
      </c>
      <c r="F147" s="1125"/>
    </row>
    <row r="148" spans="1:6" x14ac:dyDescent="0.4">
      <c r="A148" s="609">
        <v>2055</v>
      </c>
      <c r="B148" s="707">
        <v>1299.5343675254701</v>
      </c>
      <c r="C148" s="335">
        <f>'MSW Integration Calcs PDS3'!Y101</f>
        <v>440.25514613626456</v>
      </c>
      <c r="D148" s="335">
        <f t="shared" si="4"/>
        <v>859.27922138920553</v>
      </c>
      <c r="E148" s="335">
        <f t="shared" si="5"/>
        <v>440.25514613626456</v>
      </c>
      <c r="F148" s="1125"/>
    </row>
    <row r="149" spans="1:6" x14ac:dyDescent="0.4">
      <c r="A149" s="609">
        <v>2056</v>
      </c>
      <c r="B149" s="707">
        <v>1314.0831436020733</v>
      </c>
      <c r="C149" s="335">
        <f>'MSW Integration Calcs PDS3'!Y102</f>
        <v>451.05226639574892</v>
      </c>
      <c r="D149" s="335">
        <f t="shared" si="4"/>
        <v>863.03087720632436</v>
      </c>
      <c r="E149" s="335">
        <f t="shared" si="5"/>
        <v>451.05226639574892</v>
      </c>
      <c r="F149" s="1125"/>
    </row>
    <row r="150" spans="1:6" x14ac:dyDescent="0.4">
      <c r="A150" s="609">
        <v>2057</v>
      </c>
      <c r="B150" s="707">
        <v>1328.5955028515878</v>
      </c>
      <c r="C150" s="335">
        <f>'MSW Integration Calcs PDS3'!Y103</f>
        <v>461.70512899866139</v>
      </c>
      <c r="D150" s="335">
        <f t="shared" si="4"/>
        <v>866.89037385292636</v>
      </c>
      <c r="E150" s="335">
        <f t="shared" si="5"/>
        <v>461.70512899866139</v>
      </c>
      <c r="F150" s="1125"/>
    </row>
    <row r="151" spans="1:6" x14ac:dyDescent="0.4">
      <c r="A151" s="609">
        <v>2058</v>
      </c>
      <c r="B151" s="707">
        <v>1343.0747403889668</v>
      </c>
      <c r="C151" s="335">
        <f>'MSW Integration Calcs PDS3'!Y104</f>
        <v>472.20740206597247</v>
      </c>
      <c r="D151" s="335">
        <f t="shared" si="4"/>
        <v>870.86733832299433</v>
      </c>
      <c r="E151" s="335">
        <f t="shared" si="5"/>
        <v>472.20740206597247</v>
      </c>
      <c r="F151" s="1125"/>
    </row>
    <row r="152" spans="1:6" x14ac:dyDescent="0.4">
      <c r="A152" s="609">
        <v>2059</v>
      </c>
      <c r="B152" s="707">
        <v>1357.524097011187</v>
      </c>
      <c r="C152" s="335">
        <f>'MSW Integration Calcs PDS3'!Y105</f>
        <v>482.54994998160521</v>
      </c>
      <c r="D152" s="335">
        <f t="shared" si="4"/>
        <v>874.97414702958179</v>
      </c>
      <c r="E152" s="335">
        <f t="shared" si="5"/>
        <v>482.54994998160521</v>
      </c>
      <c r="F152" s="1125"/>
    </row>
    <row r="153" spans="1:6" x14ac:dyDescent="0.4">
      <c r="A153" s="609">
        <v>2060</v>
      </c>
      <c r="B153" s="707">
        <v>1371.9467626172031</v>
      </c>
      <c r="C153" s="335">
        <f>'MSW Integration Calcs PDS3'!Y106</f>
        <v>492.72517707880456</v>
      </c>
      <c r="D153" s="335">
        <f t="shared" si="4"/>
        <v>879.22158553839859</v>
      </c>
      <c r="E153" s="335">
        <f t="shared" si="5"/>
        <v>492.72517707880456</v>
      </c>
      <c r="F153" s="1125"/>
    </row>
  </sheetData>
  <mergeCells count="1">
    <mergeCell ref="G1:H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O378"/>
  <sheetViews>
    <sheetView topLeftCell="A113" zoomScale="60" zoomScaleNormal="60" workbookViewId="0">
      <selection activeCell="E107" sqref="E107:E153"/>
    </sheetView>
  </sheetViews>
  <sheetFormatPr defaultColWidth="10.6640625" defaultRowHeight="12.3" x14ac:dyDescent="0.4"/>
  <cols>
    <col min="2" max="2" width="20.83203125" customWidth="1"/>
    <col min="14" max="14" width="10.83203125" style="609"/>
  </cols>
  <sheetData>
    <row r="1" spans="1:15" ht="31.2" x14ac:dyDescent="0.6">
      <c r="J1" s="1289" t="s">
        <v>1075</v>
      </c>
      <c r="K1" s="1289"/>
      <c r="L1" s="341" t="s">
        <v>114</v>
      </c>
      <c r="M1" s="1126" t="s">
        <v>1056</v>
      </c>
      <c r="N1" s="1126"/>
    </row>
    <row r="2" spans="1:15" ht="15.6" x14ac:dyDescent="0.6">
      <c r="J2" s="1289"/>
      <c r="K2" s="1289"/>
      <c r="L2" s="609">
        <v>2012</v>
      </c>
      <c r="M2" s="1127">
        <f>M3+0.19</f>
        <v>35.759999999999991</v>
      </c>
      <c r="N2" s="1259"/>
    </row>
    <row r="3" spans="1:15" ht="15.6" x14ac:dyDescent="0.6">
      <c r="A3" t="s">
        <v>348</v>
      </c>
      <c r="L3" s="609">
        <v>2013</v>
      </c>
      <c r="M3" s="1127">
        <f>M4+0.19</f>
        <v>35.569999999999993</v>
      </c>
      <c r="N3" s="1127"/>
    </row>
    <row r="4" spans="1:15" ht="15.6" x14ac:dyDescent="0.6">
      <c r="B4" t="s">
        <v>353</v>
      </c>
      <c r="C4" t="s">
        <v>355</v>
      </c>
      <c r="D4" t="s">
        <v>358</v>
      </c>
      <c r="E4" t="s">
        <v>356</v>
      </c>
      <c r="J4" s="609"/>
      <c r="K4" s="609"/>
      <c r="L4" s="609">
        <v>2014</v>
      </c>
      <c r="M4" s="1127">
        <f t="shared" ref="M4" si="0">M5+0.19</f>
        <v>35.379999999999995</v>
      </c>
      <c r="N4" s="1127"/>
      <c r="O4" s="609"/>
    </row>
    <row r="5" spans="1:15" ht="15.6" x14ac:dyDescent="0.6">
      <c r="A5">
        <v>2014</v>
      </c>
      <c r="B5" s="707">
        <v>206.02941101227444</v>
      </c>
      <c r="C5" s="335">
        <f>'MSW Integration Calcs PDS1 '!AB60</f>
        <v>626.75236333333328</v>
      </c>
      <c r="D5" s="335">
        <f>IF(B5&gt;C5,B5-C5,0)</f>
        <v>0</v>
      </c>
      <c r="E5" s="335">
        <f>B5-D5</f>
        <v>206.02941101227444</v>
      </c>
      <c r="H5" s="1214"/>
      <c r="I5" s="1214"/>
      <c r="J5" s="609"/>
      <c r="K5" s="609"/>
      <c r="L5" s="609">
        <v>2015</v>
      </c>
      <c r="M5" s="1127">
        <f>M6+0.19</f>
        <v>35.19</v>
      </c>
      <c r="N5" s="1127"/>
      <c r="O5" s="609"/>
    </row>
    <row r="6" spans="1:15" ht="15.6" x14ac:dyDescent="0.6">
      <c r="A6">
        <v>2015</v>
      </c>
      <c r="B6" s="707">
        <v>235.52664728670166</v>
      </c>
      <c r="C6" s="335">
        <f>'MSW Integration Calcs PDS1 '!AB61</f>
        <v>664.94060999999999</v>
      </c>
      <c r="D6" s="335">
        <f t="shared" ref="D6:D51" si="1">IF(B6&gt;C6,B6-C6,0)</f>
        <v>0</v>
      </c>
      <c r="E6" s="335">
        <f t="shared" ref="E6:E51" si="2">B6-D6</f>
        <v>235.52664728670166</v>
      </c>
      <c r="H6" s="826"/>
      <c r="I6" s="826"/>
      <c r="J6" s="609"/>
      <c r="K6" s="609"/>
      <c r="L6" s="609">
        <v>2016</v>
      </c>
      <c r="M6" s="1127">
        <v>35</v>
      </c>
      <c r="N6" s="1127"/>
      <c r="O6" s="609"/>
    </row>
    <row r="7" spans="1:15" ht="15.6" x14ac:dyDescent="0.6">
      <c r="A7">
        <v>2016</v>
      </c>
      <c r="B7" s="707">
        <v>266.79999999999995</v>
      </c>
      <c r="C7" s="335">
        <f>'MSW Integration Calcs PDS1 '!AB62</f>
        <v>702.74354999999991</v>
      </c>
      <c r="D7" s="335">
        <f t="shared" si="1"/>
        <v>0</v>
      </c>
      <c r="E7" s="335">
        <f t="shared" si="2"/>
        <v>266.79999999999995</v>
      </c>
      <c r="H7" s="826"/>
      <c r="I7" s="1174"/>
      <c r="J7" s="609"/>
      <c r="K7" s="609"/>
      <c r="L7" s="609">
        <v>2017</v>
      </c>
      <c r="M7" s="1127">
        <f>M6-0.19</f>
        <v>34.81</v>
      </c>
      <c r="N7" s="1127"/>
      <c r="O7" s="609"/>
    </row>
    <row r="8" spans="1:15" ht="15.6" x14ac:dyDescent="0.6">
      <c r="A8">
        <v>2017</v>
      </c>
      <c r="B8" s="707">
        <v>283.94991370375845</v>
      </c>
      <c r="C8" s="335">
        <f>'MSW Integration Calcs PDS1 '!AB63</f>
        <v>738.25066800254558</v>
      </c>
      <c r="D8" s="335">
        <f t="shared" si="1"/>
        <v>0</v>
      </c>
      <c r="E8" s="335">
        <f t="shared" si="2"/>
        <v>283.94991370375845</v>
      </c>
      <c r="H8" s="826"/>
      <c r="I8" s="1174"/>
      <c r="J8" s="609"/>
      <c r="K8" s="609"/>
      <c r="L8" s="609">
        <v>2018</v>
      </c>
      <c r="M8" s="1127">
        <f t="shared" ref="M8:M50" si="3">M7-0.19</f>
        <v>34.620000000000005</v>
      </c>
      <c r="N8" s="1127"/>
      <c r="O8" s="609"/>
    </row>
    <row r="9" spans="1:15" ht="15.6" x14ac:dyDescent="0.6">
      <c r="A9">
        <v>2018</v>
      </c>
      <c r="B9" s="707">
        <v>292.60634965639559</v>
      </c>
      <c r="C9" s="335">
        <f>'MSW Integration Calcs PDS1 '!AB64</f>
        <v>747.12431895217935</v>
      </c>
      <c r="D9" s="335">
        <f t="shared" si="1"/>
        <v>0</v>
      </c>
      <c r="E9" s="335">
        <f t="shared" si="2"/>
        <v>292.60634965639559</v>
      </c>
      <c r="H9" s="826"/>
      <c r="I9" s="1174"/>
      <c r="J9" s="609"/>
      <c r="K9" s="609"/>
      <c r="L9" s="609">
        <v>2019</v>
      </c>
      <c r="M9" s="1127">
        <f t="shared" si="3"/>
        <v>34.430000000000007</v>
      </c>
      <c r="N9" s="1127"/>
      <c r="O9" s="609"/>
    </row>
    <row r="10" spans="1:15" ht="15.6" x14ac:dyDescent="0.6">
      <c r="A10">
        <v>2019</v>
      </c>
      <c r="B10" s="707">
        <v>301.23625591804961</v>
      </c>
      <c r="C10" s="335">
        <f>'MSW Integration Calcs PDS1 '!AB65</f>
        <v>755.77754621626957</v>
      </c>
      <c r="D10" s="335">
        <f t="shared" si="1"/>
        <v>0</v>
      </c>
      <c r="E10" s="335">
        <f t="shared" si="2"/>
        <v>301.23625591804961</v>
      </c>
      <c r="H10" s="826"/>
      <c r="I10" s="1174"/>
      <c r="J10" s="609"/>
      <c r="K10" s="609"/>
      <c r="L10" s="609">
        <v>2020</v>
      </c>
      <c r="M10" s="1127">
        <f t="shared" si="3"/>
        <v>34.240000000000009</v>
      </c>
      <c r="N10" s="1127"/>
      <c r="O10" s="609"/>
    </row>
    <row r="11" spans="1:15" ht="15.6" x14ac:dyDescent="0.6">
      <c r="A11">
        <v>2020</v>
      </c>
      <c r="B11" s="707">
        <v>310.0681332686745</v>
      </c>
      <c r="C11" s="335">
        <f>'MSW Integration Calcs PDS1 '!AB66</f>
        <v>764.39423175808997</v>
      </c>
      <c r="D11" s="335">
        <f t="shared" si="1"/>
        <v>0</v>
      </c>
      <c r="E11" s="335">
        <f t="shared" si="2"/>
        <v>310.0681332686745</v>
      </c>
      <c r="H11" s="826"/>
      <c r="I11" s="1174"/>
      <c r="J11" s="609"/>
      <c r="K11" s="609"/>
      <c r="L11" s="609">
        <v>2021</v>
      </c>
      <c r="M11" s="1127">
        <f t="shared" si="3"/>
        <v>34.050000000000011</v>
      </c>
      <c r="N11" s="1127"/>
      <c r="O11" s="609"/>
    </row>
    <row r="12" spans="1:15" ht="15.6" x14ac:dyDescent="0.6">
      <c r="A12">
        <v>2021</v>
      </c>
      <c r="B12" s="707">
        <v>318.56706004052148</v>
      </c>
      <c r="C12" s="335">
        <f>'MSW Integration Calcs PDS1 '!AB67</f>
        <v>771.91704962262827</v>
      </c>
      <c r="D12" s="335">
        <f t="shared" si="1"/>
        <v>0</v>
      </c>
      <c r="E12" s="335">
        <f t="shared" si="2"/>
        <v>318.56706004052148</v>
      </c>
      <c r="H12" s="826"/>
      <c r="I12" s="1174"/>
      <c r="J12" s="609"/>
      <c r="K12" s="609"/>
      <c r="L12" s="609">
        <v>2022</v>
      </c>
      <c r="M12" s="1127">
        <f t="shared" si="3"/>
        <v>33.860000000000014</v>
      </c>
      <c r="N12" s="1127"/>
      <c r="O12" s="609"/>
    </row>
    <row r="13" spans="1:15" ht="15.6" x14ac:dyDescent="0.6">
      <c r="A13">
        <v>2022</v>
      </c>
      <c r="B13" s="707">
        <v>327.16027319774361</v>
      </c>
      <c r="C13" s="335">
        <f>'MSW Integration Calcs PDS1 '!AB68</f>
        <v>779.42271505074962</v>
      </c>
      <c r="D13" s="335">
        <f t="shared" si="1"/>
        <v>0</v>
      </c>
      <c r="E13" s="335">
        <f t="shared" si="2"/>
        <v>327.16027319774361</v>
      </c>
      <c r="H13" s="826"/>
      <c r="I13" s="1174"/>
      <c r="J13" s="609"/>
      <c r="K13" s="609"/>
      <c r="L13" s="609">
        <v>2023</v>
      </c>
      <c r="M13" s="1127">
        <f t="shared" si="3"/>
        <v>33.670000000000016</v>
      </c>
      <c r="N13" s="1127"/>
      <c r="O13" s="609"/>
    </row>
    <row r="14" spans="1:15" ht="15.6" x14ac:dyDescent="0.6">
      <c r="A14">
        <v>2023</v>
      </c>
      <c r="B14" s="707">
        <v>335.73870719203529</v>
      </c>
      <c r="C14" s="335">
        <f>'MSW Integration Calcs PDS1 '!AB69</f>
        <v>786.64213969469324</v>
      </c>
      <c r="D14" s="335">
        <f t="shared" si="1"/>
        <v>0</v>
      </c>
      <c r="E14" s="335">
        <f t="shared" si="2"/>
        <v>335.73870719203529</v>
      </c>
      <c r="H14" s="826"/>
      <c r="I14" s="1174"/>
      <c r="J14" s="609"/>
      <c r="K14" s="609"/>
      <c r="L14" s="609">
        <v>2024</v>
      </c>
      <c r="M14" s="1127">
        <f t="shared" si="3"/>
        <v>33.480000000000018</v>
      </c>
      <c r="N14" s="1127"/>
      <c r="O14" s="609"/>
    </row>
    <row r="15" spans="1:15" ht="15.6" x14ac:dyDescent="0.6">
      <c r="A15">
        <v>2024</v>
      </c>
      <c r="B15" s="707">
        <v>344.29326204271939</v>
      </c>
      <c r="C15" s="335">
        <f>'MSW Integration Calcs PDS1 '!AB70</f>
        <v>793.12144844927138</v>
      </c>
      <c r="D15" s="335">
        <f t="shared" si="1"/>
        <v>0</v>
      </c>
      <c r="E15" s="335">
        <f t="shared" si="2"/>
        <v>344.29326204271939</v>
      </c>
      <c r="H15" s="826"/>
      <c r="I15" s="1174"/>
      <c r="J15" s="609"/>
      <c r="K15" s="609"/>
      <c r="L15" s="609">
        <v>2025</v>
      </c>
      <c r="M15" s="1127">
        <f t="shared" si="3"/>
        <v>33.29000000000002</v>
      </c>
      <c r="N15" s="1127"/>
      <c r="O15" s="609"/>
    </row>
    <row r="16" spans="1:15" ht="15.6" x14ac:dyDescent="0.6">
      <c r="A16">
        <v>2025</v>
      </c>
      <c r="B16" s="707">
        <v>352.66490326431153</v>
      </c>
      <c r="C16" s="335">
        <f>'MSW Integration Calcs PDS1 '!AB71</f>
        <v>799.00495936686229</v>
      </c>
      <c r="D16" s="335">
        <f t="shared" si="1"/>
        <v>0</v>
      </c>
      <c r="E16" s="335">
        <f t="shared" si="2"/>
        <v>352.66490326431153</v>
      </c>
      <c r="H16" s="826"/>
      <c r="I16" s="1174"/>
      <c r="J16" s="609"/>
      <c r="K16" s="609"/>
      <c r="L16" s="609">
        <v>2026</v>
      </c>
      <c r="M16" s="1127">
        <f t="shared" si="3"/>
        <v>33.100000000000023</v>
      </c>
      <c r="N16" s="1127"/>
      <c r="O16" s="609"/>
    </row>
    <row r="17" spans="1:15" ht="15.6" x14ac:dyDescent="0.6">
      <c r="A17">
        <v>2026</v>
      </c>
      <c r="B17" s="707">
        <v>362.54982004813644</v>
      </c>
      <c r="C17" s="335">
        <f>'MSW Integration Calcs PDS1 '!AB72</f>
        <v>807.94615096543134</v>
      </c>
      <c r="D17" s="335">
        <f t="shared" si="1"/>
        <v>0</v>
      </c>
      <c r="E17" s="335">
        <f t="shared" si="2"/>
        <v>362.54982004813644</v>
      </c>
      <c r="H17" s="826"/>
      <c r="I17" s="1174"/>
      <c r="J17" s="609"/>
      <c r="K17" s="609"/>
      <c r="L17" s="609">
        <v>2027</v>
      </c>
      <c r="M17" s="1127">
        <f t="shared" si="3"/>
        <v>32.910000000000025</v>
      </c>
      <c r="N17" s="1127"/>
      <c r="O17" s="609"/>
    </row>
    <row r="18" spans="1:15" ht="15.6" x14ac:dyDescent="0.6">
      <c r="A18">
        <v>2027</v>
      </c>
      <c r="B18" s="707">
        <v>372.84922348795908</v>
      </c>
      <c r="C18" s="335">
        <f>'MSW Integration Calcs PDS1 '!AB73</f>
        <v>817.3829922754976</v>
      </c>
      <c r="D18" s="335">
        <f t="shared" si="1"/>
        <v>0</v>
      </c>
      <c r="E18" s="335">
        <f t="shared" si="2"/>
        <v>372.84922348795908</v>
      </c>
      <c r="H18" s="826"/>
      <c r="I18" s="1174"/>
      <c r="J18" s="609"/>
      <c r="K18" s="609"/>
      <c r="L18" s="609">
        <v>2028</v>
      </c>
      <c r="M18" s="1127">
        <f t="shared" si="3"/>
        <v>32.720000000000027</v>
      </c>
      <c r="N18" s="1127"/>
      <c r="O18" s="609"/>
    </row>
    <row r="19" spans="1:15" ht="15.6" x14ac:dyDescent="0.6">
      <c r="A19">
        <v>2028</v>
      </c>
      <c r="B19" s="707">
        <v>383.14165086648291</v>
      </c>
      <c r="C19" s="335">
        <f>'MSW Integration Calcs PDS1 '!AB74</f>
        <v>826.35873017687391</v>
      </c>
      <c r="D19" s="335">
        <f t="shared" si="1"/>
        <v>0</v>
      </c>
      <c r="E19" s="335">
        <f t="shared" si="2"/>
        <v>383.14165086648291</v>
      </c>
      <c r="H19" s="826"/>
      <c r="I19" s="1174"/>
      <c r="J19" s="609"/>
      <c r="K19" s="609"/>
      <c r="L19" s="609">
        <v>2029</v>
      </c>
      <c r="M19" s="1127">
        <f t="shared" si="3"/>
        <v>32.53000000000003</v>
      </c>
      <c r="N19" s="1127"/>
      <c r="O19" s="609"/>
    </row>
    <row r="20" spans="1:15" ht="15.6" x14ac:dyDescent="0.6">
      <c r="A20">
        <v>2029</v>
      </c>
      <c r="B20" s="707">
        <v>393.42427370673022</v>
      </c>
      <c r="C20" s="335">
        <f>'MSW Integration Calcs PDS1 '!AB75</f>
        <v>834.87412005326223</v>
      </c>
      <c r="D20" s="335">
        <f t="shared" si="1"/>
        <v>0</v>
      </c>
      <c r="E20" s="335">
        <f t="shared" si="2"/>
        <v>393.42427370673022</v>
      </c>
      <c r="H20" s="826"/>
      <c r="I20" s="1174"/>
      <c r="J20" s="609"/>
      <c r="K20" s="609"/>
      <c r="L20" s="609">
        <v>2030</v>
      </c>
      <c r="M20" s="1127">
        <f t="shared" si="3"/>
        <v>32.340000000000032</v>
      </c>
      <c r="N20" s="1127"/>
      <c r="O20" s="609"/>
    </row>
    <row r="21" spans="1:15" ht="15.6" x14ac:dyDescent="0.6">
      <c r="A21">
        <v>2030</v>
      </c>
      <c r="B21" s="707">
        <v>404.15961257089981</v>
      </c>
      <c r="C21" s="335">
        <f>'MSW Integration Calcs PDS1 '!AB76</f>
        <v>843.90850264651783</v>
      </c>
      <c r="D21" s="335">
        <f t="shared" si="1"/>
        <v>0</v>
      </c>
      <c r="E21" s="335">
        <f t="shared" si="2"/>
        <v>404.15961257089981</v>
      </c>
      <c r="H21" s="826"/>
      <c r="I21" s="1174"/>
      <c r="J21" s="609"/>
      <c r="K21" s="609"/>
      <c r="L21" s="609">
        <v>2031</v>
      </c>
      <c r="M21" s="1127">
        <f t="shared" si="3"/>
        <v>32.150000000000034</v>
      </c>
      <c r="N21" s="1127"/>
      <c r="O21" s="609"/>
    </row>
    <row r="22" spans="1:15" ht="15.6" x14ac:dyDescent="0.6">
      <c r="A22">
        <v>2031</v>
      </c>
      <c r="B22" s="707">
        <v>413.94710550810652</v>
      </c>
      <c r="C22" s="335">
        <f>'MSW Integration Calcs PDS1 '!AB77</f>
        <v>850.52482065834647</v>
      </c>
      <c r="D22" s="335">
        <f t="shared" si="1"/>
        <v>0</v>
      </c>
      <c r="E22" s="335">
        <f t="shared" si="2"/>
        <v>413.94710550810652</v>
      </c>
      <c r="H22" s="826"/>
      <c r="I22" s="1174"/>
      <c r="J22" s="609"/>
      <c r="K22" s="609"/>
      <c r="L22" s="609">
        <v>2032</v>
      </c>
      <c r="M22" s="1127">
        <f t="shared" si="3"/>
        <v>31.960000000000033</v>
      </c>
      <c r="N22" s="1127"/>
      <c r="O22" s="609"/>
    </row>
    <row r="23" spans="1:15" ht="15.6" x14ac:dyDescent="0.6">
      <c r="A23">
        <v>2032</v>
      </c>
      <c r="B23" s="707">
        <v>424.03559082086588</v>
      </c>
      <c r="C23" s="335">
        <f>'MSW Integration Calcs PDS1 '!AB78</f>
        <v>857.36238982887983</v>
      </c>
      <c r="D23" s="335">
        <f t="shared" si="1"/>
        <v>0</v>
      </c>
      <c r="E23" s="335">
        <f t="shared" si="2"/>
        <v>424.03559082086588</v>
      </c>
      <c r="H23" s="826"/>
      <c r="I23" s="1174"/>
      <c r="J23" s="609"/>
      <c r="K23" s="609"/>
      <c r="L23" s="609">
        <v>2033</v>
      </c>
      <c r="M23" s="1127">
        <f t="shared" si="3"/>
        <v>31.770000000000032</v>
      </c>
      <c r="N23" s="1127"/>
      <c r="O23" s="609"/>
    </row>
    <row r="24" spans="1:15" ht="15.6" x14ac:dyDescent="0.6">
      <c r="A24">
        <v>2033</v>
      </c>
      <c r="B24" s="707">
        <v>434.1041790329362</v>
      </c>
      <c r="C24" s="335">
        <f>'MSW Integration Calcs PDS1 '!AB79</f>
        <v>863.75646377198757</v>
      </c>
      <c r="D24" s="335">
        <f t="shared" si="1"/>
        <v>0</v>
      </c>
      <c r="E24" s="335">
        <f t="shared" si="2"/>
        <v>434.1041790329362</v>
      </c>
      <c r="H24" s="826"/>
      <c r="I24" s="1174"/>
      <c r="J24" s="609"/>
      <c r="K24" s="609"/>
      <c r="L24" s="609">
        <v>2034</v>
      </c>
      <c r="M24" s="1127">
        <f t="shared" si="3"/>
        <v>31.58000000000003</v>
      </c>
      <c r="N24" s="1127"/>
      <c r="O24" s="609"/>
    </row>
    <row r="25" spans="1:15" ht="15.6" x14ac:dyDescent="0.6">
      <c r="A25">
        <v>2034</v>
      </c>
      <c r="B25" s="707">
        <v>444.15660503008326</v>
      </c>
      <c r="C25" s="335">
        <f>'MSW Integration Calcs PDS1 '!AB80</f>
        <v>869.72132080156518</v>
      </c>
      <c r="D25" s="335">
        <f t="shared" si="1"/>
        <v>0</v>
      </c>
      <c r="E25" s="335">
        <f t="shared" si="2"/>
        <v>444.15660503008326</v>
      </c>
      <c r="H25" s="826"/>
      <c r="I25" s="1174"/>
      <c r="J25" s="609"/>
      <c r="K25" s="609"/>
      <c r="L25" s="609">
        <v>2035</v>
      </c>
      <c r="M25" s="1127">
        <f t="shared" si="3"/>
        <v>31.390000000000029</v>
      </c>
      <c r="N25" s="1127"/>
      <c r="O25" s="609"/>
    </row>
    <row r="26" spans="1:15" ht="15.6" x14ac:dyDescent="0.6">
      <c r="A26">
        <v>2035</v>
      </c>
      <c r="B26" s="707">
        <v>454.21489862481195</v>
      </c>
      <c r="C26" s="335">
        <f>'MSW Integration Calcs PDS1 '!AB81</f>
        <v>875.30694282205138</v>
      </c>
      <c r="D26" s="335">
        <f t="shared" si="1"/>
        <v>0</v>
      </c>
      <c r="E26" s="335">
        <f t="shared" si="2"/>
        <v>454.21489862481195</v>
      </c>
      <c r="H26" s="826"/>
      <c r="I26" s="1174"/>
      <c r="J26" s="609"/>
      <c r="K26" s="609"/>
      <c r="L26" s="609">
        <v>2036</v>
      </c>
      <c r="M26" s="1127">
        <f t="shared" si="3"/>
        <v>31.200000000000028</v>
      </c>
      <c r="N26" s="1127"/>
      <c r="O26" s="609"/>
    </row>
    <row r="27" spans="1:15" ht="15.6" x14ac:dyDescent="0.6">
      <c r="A27">
        <v>2036</v>
      </c>
      <c r="B27" s="707">
        <v>464.21443744336341</v>
      </c>
      <c r="C27" s="335">
        <f>'MSW Integration Calcs PDS1 '!AB82</f>
        <v>880.39113047536785</v>
      </c>
      <c r="D27" s="335">
        <f t="shared" si="1"/>
        <v>0</v>
      </c>
      <c r="E27" s="335">
        <f t="shared" si="2"/>
        <v>464.21443744336341</v>
      </c>
      <c r="H27" s="826"/>
      <c r="I27" s="1174"/>
      <c r="J27" s="609"/>
      <c r="K27" s="609"/>
      <c r="L27" s="609">
        <v>2037</v>
      </c>
      <c r="M27" s="1127">
        <f t="shared" si="3"/>
        <v>31.010000000000026</v>
      </c>
      <c r="N27" s="1127"/>
      <c r="O27" s="609"/>
    </row>
    <row r="28" spans="1:15" ht="15.6" x14ac:dyDescent="0.6">
      <c r="A28">
        <v>2037</v>
      </c>
      <c r="B28" s="707">
        <v>474.21887583656201</v>
      </c>
      <c r="C28" s="335">
        <f>'MSW Integration Calcs PDS1 '!AB83</f>
        <v>885.10602301210679</v>
      </c>
      <c r="D28" s="335">
        <f t="shared" si="1"/>
        <v>0</v>
      </c>
      <c r="E28" s="335">
        <f t="shared" si="2"/>
        <v>474.21887583656201</v>
      </c>
      <c r="H28" s="826"/>
      <c r="I28" s="1174"/>
      <c r="J28" s="609"/>
      <c r="K28" s="609"/>
      <c r="L28" s="609">
        <v>2038</v>
      </c>
      <c r="M28" s="1127">
        <f t="shared" si="3"/>
        <v>30.820000000000025</v>
      </c>
      <c r="N28" s="1127"/>
      <c r="O28" s="609"/>
    </row>
    <row r="29" spans="1:15" ht="15.6" x14ac:dyDescent="0.6">
      <c r="A29">
        <v>2038</v>
      </c>
      <c r="B29" s="707">
        <v>484.20479862937236</v>
      </c>
      <c r="C29" s="335">
        <f>'MSW Integration Calcs PDS1 '!AB84</f>
        <v>889.41317140715762</v>
      </c>
      <c r="D29" s="335">
        <f t="shared" si="1"/>
        <v>0</v>
      </c>
      <c r="E29" s="335">
        <f t="shared" si="2"/>
        <v>484.20479862937236</v>
      </c>
      <c r="H29" s="826"/>
      <c r="I29" s="1174"/>
      <c r="J29" s="609"/>
      <c r="K29" s="609"/>
      <c r="L29" s="609">
        <v>2039</v>
      </c>
      <c r="M29" s="1127">
        <f t="shared" si="3"/>
        <v>30.630000000000024</v>
      </c>
      <c r="N29" s="1127"/>
      <c r="O29" s="609"/>
    </row>
    <row r="30" spans="1:15" ht="15.6" x14ac:dyDescent="0.6">
      <c r="A30">
        <v>2039</v>
      </c>
      <c r="B30" s="707">
        <v>494.16634904710713</v>
      </c>
      <c r="C30" s="335">
        <f>'MSW Integration Calcs PDS1 '!AB85</f>
        <v>893.31002564335085</v>
      </c>
      <c r="D30" s="335">
        <f t="shared" si="1"/>
        <v>0</v>
      </c>
      <c r="E30" s="335">
        <f t="shared" si="2"/>
        <v>494.16634904710713</v>
      </c>
      <c r="H30" s="826"/>
      <c r="I30" s="1174"/>
      <c r="J30" s="609"/>
      <c r="K30" s="609"/>
      <c r="L30" s="609">
        <v>2040</v>
      </c>
      <c r="M30" s="1127">
        <f t="shared" si="3"/>
        <v>30.440000000000023</v>
      </c>
      <c r="N30" s="1127"/>
      <c r="O30" s="609"/>
    </row>
    <row r="31" spans="1:15" ht="15.6" x14ac:dyDescent="0.6">
      <c r="A31">
        <v>2040</v>
      </c>
      <c r="B31" s="707">
        <v>503.52606273794868</v>
      </c>
      <c r="C31" s="335">
        <f>'MSW Integration Calcs PDS1 '!AB86</f>
        <v>895.73352568084204</v>
      </c>
      <c r="D31" s="335">
        <f t="shared" si="1"/>
        <v>0</v>
      </c>
      <c r="E31" s="335">
        <f t="shared" si="2"/>
        <v>503.52606273794868</v>
      </c>
      <c r="H31" s="826"/>
      <c r="I31" s="1174"/>
      <c r="J31" s="609"/>
      <c r="K31" s="609"/>
      <c r="L31" s="609">
        <v>2041</v>
      </c>
      <c r="M31" s="1127">
        <f t="shared" si="3"/>
        <v>30.250000000000021</v>
      </c>
      <c r="N31" s="1127"/>
      <c r="O31" s="609"/>
    </row>
    <row r="32" spans="1:15" ht="15.6" x14ac:dyDescent="0.6">
      <c r="A32">
        <v>2041</v>
      </c>
      <c r="B32" s="707">
        <v>513.98060290587523</v>
      </c>
      <c r="C32" s="335">
        <f>'MSW Integration Calcs PDS1 '!AB87</f>
        <v>899.83752532799792</v>
      </c>
      <c r="D32" s="335">
        <f t="shared" si="1"/>
        <v>0</v>
      </c>
      <c r="E32" s="335">
        <f t="shared" si="2"/>
        <v>513.98060290587523</v>
      </c>
      <c r="H32" s="826"/>
      <c r="I32" s="1174"/>
      <c r="J32" s="609"/>
      <c r="K32" s="609"/>
      <c r="L32" s="609">
        <v>2042</v>
      </c>
      <c r="M32" s="1127">
        <f t="shared" si="3"/>
        <v>30.06000000000002</v>
      </c>
      <c r="N32" s="1127"/>
      <c r="O32" s="609"/>
    </row>
    <row r="33" spans="1:15" ht="15.6" x14ac:dyDescent="0.6">
      <c r="A33">
        <v>2042</v>
      </c>
      <c r="B33" s="707">
        <v>523.64066397480224</v>
      </c>
      <c r="C33" s="335">
        <f>'MSW Integration Calcs PDS1 '!AB88</f>
        <v>902.13206663440258</v>
      </c>
      <c r="D33" s="335">
        <f t="shared" si="1"/>
        <v>0</v>
      </c>
      <c r="E33" s="335">
        <f t="shared" si="2"/>
        <v>523.64066397480224</v>
      </c>
      <c r="H33" s="826"/>
      <c r="I33" s="1174"/>
      <c r="J33" s="609"/>
      <c r="K33" s="609"/>
      <c r="L33" s="609">
        <v>2043</v>
      </c>
      <c r="M33" s="1127">
        <f t="shared" si="3"/>
        <v>29.870000000000019</v>
      </c>
      <c r="N33" s="1127"/>
      <c r="O33" s="609"/>
    </row>
    <row r="34" spans="1:15" ht="15.6" x14ac:dyDescent="0.6">
      <c r="A34">
        <v>2043</v>
      </c>
      <c r="B34" s="707">
        <v>533.26735857658002</v>
      </c>
      <c r="C34" s="335">
        <f>'MSW Integration Calcs PDS1 '!AB89</f>
        <v>904.03385404761116</v>
      </c>
      <c r="D34" s="335">
        <f t="shared" si="1"/>
        <v>0</v>
      </c>
      <c r="E34" s="335">
        <f t="shared" si="2"/>
        <v>533.26735857658002</v>
      </c>
      <c r="H34" s="826"/>
      <c r="I34" s="1174"/>
      <c r="J34" s="609"/>
      <c r="K34" s="609"/>
      <c r="L34" s="609">
        <v>2044</v>
      </c>
      <c r="M34" s="1127">
        <f t="shared" si="3"/>
        <v>29.680000000000017</v>
      </c>
      <c r="N34" s="1127"/>
      <c r="O34" s="609"/>
    </row>
    <row r="35" spans="1:15" ht="15.6" x14ac:dyDescent="0.6">
      <c r="A35">
        <v>2044</v>
      </c>
      <c r="B35" s="707">
        <v>542.86050262015374</v>
      </c>
      <c r="C35" s="335">
        <f>'MSW Integration Calcs PDS1 '!AB90</f>
        <v>905.54722413835236</v>
      </c>
      <c r="D35" s="335">
        <f t="shared" si="1"/>
        <v>0</v>
      </c>
      <c r="E35" s="335">
        <f t="shared" si="2"/>
        <v>542.86050262015374</v>
      </c>
      <c r="H35" s="826"/>
      <c r="I35" s="1174"/>
      <c r="J35" s="609"/>
      <c r="K35" s="609"/>
      <c r="L35" s="609">
        <v>2045</v>
      </c>
      <c r="M35" s="1127">
        <f t="shared" si="3"/>
        <v>29.490000000000016</v>
      </c>
      <c r="N35" s="1127"/>
      <c r="O35" s="609"/>
    </row>
    <row r="36" spans="1:15" ht="15.6" x14ac:dyDescent="0.6">
      <c r="A36">
        <v>2045</v>
      </c>
      <c r="B36" s="707">
        <v>552.43773813026735</v>
      </c>
      <c r="C36" s="335">
        <f>'MSW Integration Calcs PDS1 '!AB91</f>
        <v>906.70738375648853</v>
      </c>
      <c r="D36" s="335">
        <f t="shared" si="1"/>
        <v>0</v>
      </c>
      <c r="E36" s="335">
        <f t="shared" si="2"/>
        <v>552.43773813026735</v>
      </c>
      <c r="H36" s="826"/>
      <c r="I36" s="1174"/>
      <c r="J36" s="609"/>
      <c r="K36" s="609"/>
      <c r="L36" s="609">
        <v>2046</v>
      </c>
      <c r="M36" s="1127">
        <f t="shared" si="3"/>
        <v>29.300000000000015</v>
      </c>
      <c r="N36" s="1127"/>
      <c r="O36" s="609"/>
    </row>
    <row r="37" spans="1:15" ht="15.6" x14ac:dyDescent="0.6">
      <c r="A37">
        <v>2046</v>
      </c>
      <c r="B37" s="707">
        <v>561.9262414354929</v>
      </c>
      <c r="C37" s="335">
        <f>'MSW Integration Calcs PDS1 '!AB92</f>
        <v>907.3929770284484</v>
      </c>
      <c r="D37" s="335">
        <f t="shared" si="1"/>
        <v>0</v>
      </c>
      <c r="E37" s="335">
        <f t="shared" si="2"/>
        <v>561.9262414354929</v>
      </c>
      <c r="H37" s="826"/>
      <c r="I37" s="1174"/>
      <c r="J37" s="609"/>
      <c r="K37" s="609"/>
      <c r="L37" s="609">
        <v>2047</v>
      </c>
      <c r="M37" s="1127">
        <f t="shared" si="3"/>
        <v>29.110000000000014</v>
      </c>
      <c r="N37" s="1127"/>
      <c r="O37" s="609"/>
    </row>
    <row r="38" spans="1:15" ht="15.6" x14ac:dyDescent="0.6">
      <c r="A38">
        <v>2047</v>
      </c>
      <c r="B38" s="707">
        <v>571.32917577005298</v>
      </c>
      <c r="C38" s="335">
        <f>'MSW Integration Calcs PDS1 '!AB93</f>
        <v>907.61621476329447</v>
      </c>
      <c r="D38" s="335">
        <f t="shared" si="1"/>
        <v>0</v>
      </c>
      <c r="E38" s="335">
        <f t="shared" si="2"/>
        <v>571.32917577005298</v>
      </c>
      <c r="H38" s="826"/>
      <c r="I38" s="1174"/>
      <c r="J38" s="609"/>
      <c r="K38" s="609"/>
      <c r="L38" s="609">
        <v>2048</v>
      </c>
      <c r="M38" s="1127">
        <f t="shared" si="3"/>
        <v>28.920000000000012</v>
      </c>
      <c r="N38" s="1127"/>
      <c r="O38" s="609"/>
    </row>
    <row r="39" spans="1:15" ht="15.6" x14ac:dyDescent="0.6">
      <c r="A39">
        <v>2048</v>
      </c>
      <c r="B39" s="707">
        <v>580.65611741361636</v>
      </c>
      <c r="C39" s="335">
        <f>'MSW Integration Calcs PDS1 '!AB94</f>
        <v>907.39932056953705</v>
      </c>
      <c r="D39" s="335">
        <f t="shared" si="1"/>
        <v>0</v>
      </c>
      <c r="E39" s="335">
        <f t="shared" si="2"/>
        <v>580.65611741361636</v>
      </c>
      <c r="H39" s="826"/>
      <c r="I39" s="1174"/>
      <c r="J39" s="609"/>
      <c r="K39" s="609"/>
      <c r="L39" s="609">
        <v>2049</v>
      </c>
      <c r="M39" s="1127">
        <f t="shared" si="3"/>
        <v>28.730000000000011</v>
      </c>
      <c r="N39" s="1127"/>
      <c r="O39" s="609"/>
    </row>
    <row r="40" spans="1:15" ht="15.6" x14ac:dyDescent="0.6">
      <c r="A40">
        <v>2049</v>
      </c>
      <c r="B40" s="707">
        <v>589.90407926296848</v>
      </c>
      <c r="C40" s="335">
        <f>'MSW Integration Calcs PDS1 '!AB95</f>
        <v>906.74221135971356</v>
      </c>
      <c r="D40" s="335">
        <f t="shared" si="1"/>
        <v>0</v>
      </c>
      <c r="E40" s="335">
        <f t="shared" si="2"/>
        <v>589.90407926296848</v>
      </c>
      <c r="H40" s="826"/>
      <c r="I40" s="1174"/>
      <c r="J40" s="609"/>
      <c r="K40" s="609"/>
      <c r="L40" s="609">
        <v>2050</v>
      </c>
      <c r="M40" s="1127">
        <f t="shared" si="3"/>
        <v>28.54000000000001</v>
      </c>
      <c r="N40" s="1127"/>
      <c r="O40" s="609"/>
    </row>
    <row r="41" spans="1:15" ht="15.6" x14ac:dyDescent="0.6">
      <c r="A41">
        <v>2050</v>
      </c>
      <c r="B41" s="707">
        <v>598.95138243934446</v>
      </c>
      <c r="C41" s="335">
        <f>'MSW Integration Calcs PDS1 '!AB96</f>
        <v>905.45430967064749</v>
      </c>
      <c r="D41" s="335">
        <f t="shared" si="1"/>
        <v>0</v>
      </c>
      <c r="E41" s="335">
        <f t="shared" si="2"/>
        <v>598.95138243934446</v>
      </c>
      <c r="H41" s="826"/>
      <c r="I41" s="1174"/>
      <c r="J41" s="609"/>
      <c r="K41" s="609"/>
      <c r="L41" s="609">
        <v>2051</v>
      </c>
      <c r="M41" s="1127">
        <f t="shared" si="3"/>
        <v>28.350000000000009</v>
      </c>
      <c r="N41" s="1127"/>
      <c r="O41" s="609"/>
    </row>
    <row r="42" spans="1:15" ht="15.6" x14ac:dyDescent="0.6">
      <c r="A42">
        <v>2051</v>
      </c>
      <c r="B42" s="707">
        <v>601.24489577747249</v>
      </c>
      <c r="C42" s="335">
        <f>'MSW Integration Calcs PDS1 '!AB97</f>
        <v>904.36838894155039</v>
      </c>
      <c r="D42" s="335">
        <f t="shared" si="1"/>
        <v>0</v>
      </c>
      <c r="E42" s="335">
        <f t="shared" si="2"/>
        <v>601.24489577747249</v>
      </c>
      <c r="H42" s="826"/>
      <c r="I42" s="1174"/>
      <c r="J42" s="609"/>
      <c r="K42" s="609"/>
      <c r="L42" s="609">
        <v>2052</v>
      </c>
      <c r="M42" s="1127">
        <f t="shared" si="3"/>
        <v>28.160000000000007</v>
      </c>
      <c r="N42" s="1127"/>
      <c r="O42" s="609"/>
    </row>
    <row r="43" spans="1:15" ht="15.6" x14ac:dyDescent="0.6">
      <c r="A43">
        <v>2052</v>
      </c>
      <c r="B43" s="707">
        <v>603.28481885847646</v>
      </c>
      <c r="C43" s="335">
        <f>'MSW Integration Calcs PDS1 '!AB98</f>
        <v>902.49910007568315</v>
      </c>
      <c r="D43" s="335">
        <f t="shared" si="1"/>
        <v>0</v>
      </c>
      <c r="E43" s="335">
        <f t="shared" si="2"/>
        <v>603.28481885847646</v>
      </c>
      <c r="H43" s="826"/>
      <c r="I43" s="1174"/>
      <c r="J43" s="609"/>
      <c r="K43" s="609"/>
      <c r="L43" s="609">
        <v>2053</v>
      </c>
      <c r="M43" s="1127">
        <f t="shared" si="3"/>
        <v>27.970000000000006</v>
      </c>
      <c r="N43" s="1127"/>
      <c r="O43" s="609"/>
    </row>
    <row r="44" spans="1:15" ht="15.6" x14ac:dyDescent="0.6">
      <c r="A44">
        <v>2053</v>
      </c>
      <c r="B44" s="707">
        <v>605.19134361296699</v>
      </c>
      <c r="C44" s="335">
        <f>'MSW Integration Calcs PDS1 '!AB99</f>
        <v>900.21519145024854</v>
      </c>
      <c r="D44" s="335">
        <f t="shared" si="1"/>
        <v>0</v>
      </c>
      <c r="E44" s="335">
        <f t="shared" si="2"/>
        <v>605.19134361296699</v>
      </c>
      <c r="H44" s="826"/>
      <c r="I44" s="1174"/>
      <c r="J44" s="609"/>
      <c r="K44" s="609"/>
      <c r="L44" s="609">
        <v>2054</v>
      </c>
      <c r="M44" s="1127">
        <f t="shared" si="3"/>
        <v>27.780000000000005</v>
      </c>
      <c r="N44" s="1127"/>
      <c r="O44" s="609"/>
    </row>
    <row r="45" spans="1:15" ht="15.6" x14ac:dyDescent="0.6">
      <c r="A45">
        <v>2054</v>
      </c>
      <c r="B45" s="707">
        <v>606.96595884240969</v>
      </c>
      <c r="C45" s="335">
        <f>'MSW Integration Calcs PDS1 '!AB100</f>
        <v>897.52040707196522</v>
      </c>
      <c r="D45" s="335">
        <f t="shared" si="1"/>
        <v>0</v>
      </c>
      <c r="E45" s="335">
        <f t="shared" si="2"/>
        <v>606.96595884240969</v>
      </c>
      <c r="H45" s="826"/>
      <c r="I45" s="1174"/>
      <c r="J45" s="609"/>
      <c r="K45" s="609"/>
      <c r="L45" s="609">
        <v>2055</v>
      </c>
      <c r="M45" s="1127">
        <f t="shared" si="3"/>
        <v>27.590000000000003</v>
      </c>
      <c r="N45" s="1127"/>
      <c r="O45" s="609"/>
    </row>
    <row r="46" spans="1:15" ht="15.6" x14ac:dyDescent="0.6">
      <c r="A46">
        <v>2055</v>
      </c>
      <c r="B46" s="707">
        <v>608.6102537799743</v>
      </c>
      <c r="C46" s="335">
        <f>'MSW Integration Calcs PDS1 '!AB101</f>
        <v>894.41909986012581</v>
      </c>
      <c r="D46" s="335">
        <f t="shared" si="1"/>
        <v>0</v>
      </c>
      <c r="E46" s="335">
        <f t="shared" si="2"/>
        <v>608.6102537799743</v>
      </c>
      <c r="H46" s="826"/>
      <c r="I46" s="1174"/>
      <c r="J46" s="609"/>
      <c r="K46" s="609"/>
      <c r="L46" s="609">
        <v>2056</v>
      </c>
      <c r="M46" s="1127">
        <f t="shared" si="3"/>
        <v>27.400000000000002</v>
      </c>
      <c r="N46" s="1127"/>
      <c r="O46" s="609"/>
    </row>
    <row r="47" spans="1:15" ht="15.6" x14ac:dyDescent="0.6">
      <c r="A47">
        <v>2056</v>
      </c>
      <c r="B47" s="707">
        <v>610.1259682338075</v>
      </c>
      <c r="C47" s="335">
        <f>'MSW Integration Calcs PDS1 '!AB102</f>
        <v>890.91611502503565</v>
      </c>
      <c r="D47" s="335">
        <f t="shared" si="1"/>
        <v>0</v>
      </c>
      <c r="E47" s="335">
        <f t="shared" si="2"/>
        <v>610.1259682338075</v>
      </c>
      <c r="H47" s="826"/>
      <c r="I47" s="1174"/>
      <c r="J47" s="609"/>
      <c r="K47" s="609"/>
      <c r="L47" s="609">
        <v>2057</v>
      </c>
      <c r="M47" s="1127">
        <f t="shared" si="3"/>
        <v>27.21</v>
      </c>
      <c r="N47" s="1127"/>
      <c r="O47" s="609"/>
    </row>
    <row r="48" spans="1:15" ht="15.6" x14ac:dyDescent="0.6">
      <c r="A48">
        <v>2057</v>
      </c>
      <c r="B48" s="707">
        <v>611.5149806715466</v>
      </c>
      <c r="C48" s="335">
        <f>'MSW Integration Calcs PDS1 '!AB103</f>
        <v>887.01710167888655</v>
      </c>
      <c r="D48" s="335">
        <f t="shared" si="1"/>
        <v>0</v>
      </c>
      <c r="E48" s="335">
        <f t="shared" si="2"/>
        <v>611.5149806715466</v>
      </c>
      <c r="H48" s="826"/>
      <c r="I48" s="1174"/>
      <c r="J48" s="609"/>
      <c r="K48" s="609"/>
      <c r="L48" s="609">
        <v>2058</v>
      </c>
      <c r="M48" s="1127">
        <f t="shared" si="3"/>
        <v>27.02</v>
      </c>
      <c r="N48" s="1127"/>
      <c r="O48" s="609"/>
    </row>
    <row r="49" spans="1:15" ht="15.6" x14ac:dyDescent="0.6">
      <c r="A49">
        <v>2058</v>
      </c>
      <c r="B49" s="707">
        <v>612.77930575005428</v>
      </c>
      <c r="C49" s="335">
        <f>'MSW Integration Calcs PDS1 '!AB104</f>
        <v>882.7285858860588</v>
      </c>
      <c r="D49" s="335">
        <f t="shared" si="1"/>
        <v>0</v>
      </c>
      <c r="E49" s="335">
        <f t="shared" si="2"/>
        <v>612.77930575005428</v>
      </c>
      <c r="H49" s="826"/>
      <c r="I49" s="1174"/>
      <c r="J49" s="609"/>
      <c r="K49" s="609"/>
      <c r="L49" s="609">
        <v>2059</v>
      </c>
      <c r="M49" s="1127">
        <f t="shared" si="3"/>
        <v>26.83</v>
      </c>
      <c r="N49" s="1127"/>
      <c r="O49" s="609"/>
    </row>
    <row r="50" spans="1:15" ht="15.6" x14ac:dyDescent="0.6">
      <c r="A50">
        <v>2059</v>
      </c>
      <c r="B50" s="707">
        <v>613.92107833994635</v>
      </c>
      <c r="C50" s="335">
        <f>'MSW Integration Calcs PDS1 '!AB105</f>
        <v>878.05777304608557</v>
      </c>
      <c r="D50" s="335">
        <f t="shared" si="1"/>
        <v>0</v>
      </c>
      <c r="E50" s="335">
        <f t="shared" si="2"/>
        <v>613.92107833994635</v>
      </c>
      <c r="H50" s="826"/>
      <c r="I50" s="1174"/>
      <c r="J50" s="609"/>
      <c r="K50" s="609"/>
      <c r="L50" s="609">
        <v>2060</v>
      </c>
      <c r="M50" s="1127">
        <f t="shared" si="3"/>
        <v>26.639999999999997</v>
      </c>
      <c r="N50" s="1127"/>
      <c r="O50" s="609"/>
    </row>
    <row r="51" spans="1:15" x14ac:dyDescent="0.4">
      <c r="A51">
        <v>2060</v>
      </c>
      <c r="B51" s="707">
        <v>614.94242029233385</v>
      </c>
      <c r="C51" s="335">
        <f>'MSW Integration Calcs PDS1 '!AB106</f>
        <v>873.01202140798546</v>
      </c>
      <c r="D51" s="335">
        <f t="shared" si="1"/>
        <v>0</v>
      </c>
      <c r="E51" s="335">
        <f t="shared" si="2"/>
        <v>614.94242029233385</v>
      </c>
      <c r="H51" s="826"/>
      <c r="I51" s="1174"/>
      <c r="J51" s="609"/>
      <c r="K51" s="609"/>
      <c r="L51" s="609"/>
      <c r="M51" s="609"/>
      <c r="O51" s="609"/>
    </row>
    <row r="52" spans="1:15" x14ac:dyDescent="0.4">
      <c r="H52" s="826"/>
      <c r="I52" s="1174"/>
      <c r="J52" s="609"/>
      <c r="K52" s="609"/>
      <c r="L52" s="609"/>
      <c r="M52" s="609"/>
      <c r="O52" s="609"/>
    </row>
    <row r="53" spans="1:15" x14ac:dyDescent="0.4">
      <c r="H53" s="826"/>
      <c r="I53" s="1174"/>
    </row>
    <row r="54" spans="1:15" x14ac:dyDescent="0.4">
      <c r="A54" t="s">
        <v>347</v>
      </c>
      <c r="H54" s="826"/>
      <c r="I54" s="826"/>
    </row>
    <row r="55" spans="1:15" x14ac:dyDescent="0.4">
      <c r="B55" t="s">
        <v>353</v>
      </c>
      <c r="C55" t="s">
        <v>355</v>
      </c>
      <c r="D55" t="s">
        <v>358</v>
      </c>
      <c r="E55" t="s">
        <v>356</v>
      </c>
      <c r="H55" s="826"/>
      <c r="I55" s="826"/>
    </row>
    <row r="56" spans="1:15" s="609" customFormat="1" ht="12.6" x14ac:dyDescent="0.45">
      <c r="A56">
        <v>2014</v>
      </c>
      <c r="B56" s="707">
        <v>206.02941101227444</v>
      </c>
      <c r="C56" s="335">
        <f>'MSW Integration Calcs PDS2'!AB60</f>
        <v>626.75236333333328</v>
      </c>
      <c r="D56" s="335">
        <f>IF(B56&gt;C56,B56-C56,0)</f>
        <v>0</v>
      </c>
      <c r="E56" s="335">
        <f>B56-D56</f>
        <v>206.02941101227444</v>
      </c>
      <c r="H56" s="1214"/>
      <c r="I56" s="1214"/>
    </row>
    <row r="57" spans="1:15" s="609" customFormat="1" x14ac:dyDescent="0.4">
      <c r="A57">
        <v>2015</v>
      </c>
      <c r="B57" s="707">
        <v>235.52664728670166</v>
      </c>
      <c r="C57" s="335">
        <f>'MSW Integration Calcs PDS2'!AB61</f>
        <v>664.88968184698638</v>
      </c>
      <c r="D57" s="335">
        <f t="shared" ref="D57:D102" si="4">IF(B57&gt;C57,B57-C57,0)</f>
        <v>0</v>
      </c>
      <c r="E57" s="335">
        <f t="shared" ref="E57:E102" si="5">B57-D57</f>
        <v>235.52664728670166</v>
      </c>
      <c r="H57" s="826"/>
      <c r="I57" s="826"/>
    </row>
    <row r="58" spans="1:15" x14ac:dyDescent="0.4">
      <c r="A58">
        <v>2016</v>
      </c>
      <c r="B58" s="707">
        <v>266.79999999999995</v>
      </c>
      <c r="C58" s="335">
        <f>'MSW Integration Calcs PDS2'!AB62</f>
        <v>702.74354999999991</v>
      </c>
      <c r="D58" s="335">
        <f t="shared" si="4"/>
        <v>0</v>
      </c>
      <c r="E58" s="335">
        <f t="shared" si="5"/>
        <v>266.79999999999995</v>
      </c>
      <c r="H58" s="826"/>
      <c r="I58" s="1174"/>
    </row>
    <row r="59" spans="1:15" x14ac:dyDescent="0.4">
      <c r="A59">
        <v>2017</v>
      </c>
      <c r="B59" s="707">
        <v>283.94991370375845</v>
      </c>
      <c r="C59" s="335">
        <f>'MSW Integration Calcs PDS2'!AB63</f>
        <v>738.25066800254558</v>
      </c>
      <c r="D59" s="335">
        <f t="shared" si="4"/>
        <v>0</v>
      </c>
      <c r="E59" s="335">
        <f t="shared" si="5"/>
        <v>283.94991370375845</v>
      </c>
      <c r="H59" s="826"/>
      <c r="I59" s="1174"/>
    </row>
    <row r="60" spans="1:15" x14ac:dyDescent="0.4">
      <c r="A60">
        <v>2018</v>
      </c>
      <c r="B60" s="707">
        <v>292.60634965639559</v>
      </c>
      <c r="C60" s="335">
        <f>'MSW Integration Calcs PDS2'!AB64</f>
        <v>747.12431895217935</v>
      </c>
      <c r="D60" s="335">
        <f t="shared" si="4"/>
        <v>0</v>
      </c>
      <c r="E60" s="335">
        <f t="shared" si="5"/>
        <v>292.60634965639559</v>
      </c>
      <c r="H60" s="826"/>
      <c r="I60" s="1174"/>
    </row>
    <row r="61" spans="1:15" x14ac:dyDescent="0.4">
      <c r="A61">
        <v>2019</v>
      </c>
      <c r="B61" s="707">
        <v>303.19282365827195</v>
      </c>
      <c r="C61" s="335">
        <f>'MSW Integration Calcs PDS2'!AB65</f>
        <v>755.77719867596147</v>
      </c>
      <c r="D61" s="335">
        <f t="shared" si="4"/>
        <v>0</v>
      </c>
      <c r="E61" s="335">
        <f t="shared" si="5"/>
        <v>303.19282365827195</v>
      </c>
      <c r="H61" s="826"/>
      <c r="I61" s="1174"/>
    </row>
    <row r="62" spans="1:15" x14ac:dyDescent="0.4">
      <c r="A62">
        <v>2020</v>
      </c>
      <c r="B62" s="707">
        <v>312.70631564662119</v>
      </c>
      <c r="C62" s="335">
        <f>'MSW Integration Calcs PDS2'!AB66</f>
        <v>764.39351433493459</v>
      </c>
      <c r="D62" s="335">
        <f t="shared" si="4"/>
        <v>0</v>
      </c>
      <c r="E62" s="335">
        <f t="shared" si="5"/>
        <v>312.70631564662119</v>
      </c>
      <c r="H62" s="826"/>
      <c r="I62" s="1174"/>
    </row>
    <row r="63" spans="1:15" x14ac:dyDescent="0.4">
      <c r="A63">
        <v>2021</v>
      </c>
      <c r="B63" s="707">
        <v>321.89682261817683</v>
      </c>
      <c r="C63" s="335">
        <f>'MSW Integration Calcs PDS2'!AB67</f>
        <v>771.91594080154539</v>
      </c>
      <c r="D63" s="335">
        <f t="shared" si="4"/>
        <v>0</v>
      </c>
      <c r="E63" s="335">
        <f t="shared" si="5"/>
        <v>321.89682261817683</v>
      </c>
      <c r="H63" s="826"/>
      <c r="I63" s="1174"/>
    </row>
    <row r="64" spans="1:15" x14ac:dyDescent="0.4">
      <c r="A64">
        <v>2022</v>
      </c>
      <c r="B64" s="707">
        <v>331.19429062257535</v>
      </c>
      <c r="C64" s="335">
        <f>'MSW Integration Calcs PDS2'!AB68</f>
        <v>779.4211941168777</v>
      </c>
      <c r="D64" s="335">
        <f t="shared" si="4"/>
        <v>0</v>
      </c>
      <c r="E64" s="335">
        <f t="shared" si="5"/>
        <v>331.19429062257535</v>
      </c>
      <c r="H64" s="826"/>
      <c r="I64" s="1174"/>
    </row>
    <row r="65" spans="1:9" x14ac:dyDescent="0.4">
      <c r="A65">
        <v>2023</v>
      </c>
      <c r="B65" s="707">
        <v>340.4880497901313</v>
      </c>
      <c r="C65" s="335">
        <f>'MSW Integration Calcs PDS2'!AB69</f>
        <v>786.640170275733</v>
      </c>
      <c r="D65" s="335">
        <f t="shared" si="4"/>
        <v>0</v>
      </c>
      <c r="E65" s="335">
        <f t="shared" si="5"/>
        <v>340.4880497901313</v>
      </c>
      <c r="H65" s="826"/>
      <c r="I65" s="1174"/>
    </row>
    <row r="66" spans="1:9" x14ac:dyDescent="0.4">
      <c r="A66">
        <v>2024</v>
      </c>
      <c r="B66" s="707">
        <v>349.76822339077961</v>
      </c>
      <c r="C66" s="335">
        <f>'MSW Integration Calcs PDS2'!AB70</f>
        <v>791.66976969298264</v>
      </c>
      <c r="D66" s="335">
        <f t="shared" si="4"/>
        <v>0</v>
      </c>
      <c r="E66" s="335">
        <f t="shared" si="5"/>
        <v>349.76822339077961</v>
      </c>
      <c r="H66" s="826"/>
      <c r="I66" s="1174"/>
    </row>
    <row r="67" spans="1:9" x14ac:dyDescent="0.4">
      <c r="A67">
        <v>2025</v>
      </c>
      <c r="B67" s="707">
        <v>358.87233999154341</v>
      </c>
      <c r="C67" s="335">
        <f>'MSW Integration Calcs PDS2'!AB71</f>
        <v>796.26642474919606</v>
      </c>
      <c r="D67" s="335">
        <f t="shared" si="4"/>
        <v>0</v>
      </c>
      <c r="E67" s="335">
        <f t="shared" si="5"/>
        <v>358.87233999154341</v>
      </c>
      <c r="H67" s="826"/>
      <c r="I67" s="1174"/>
    </row>
    <row r="68" spans="1:9" x14ac:dyDescent="0.4">
      <c r="A68">
        <v>2026</v>
      </c>
      <c r="B68" s="707">
        <v>369.52785314509538</v>
      </c>
      <c r="C68" s="335">
        <f>'MSW Integration Calcs PDS2'!AB72</f>
        <v>803.54503258834427</v>
      </c>
      <c r="D68" s="335">
        <f t="shared" si="4"/>
        <v>0</v>
      </c>
      <c r="E68" s="335">
        <f t="shared" si="5"/>
        <v>369.52785314509538</v>
      </c>
      <c r="H68" s="826"/>
      <c r="I68" s="1174"/>
    </row>
    <row r="69" spans="1:9" x14ac:dyDescent="0.4">
      <c r="A69">
        <v>2027</v>
      </c>
      <c r="B69" s="707">
        <v>380.6198899393969</v>
      </c>
      <c r="C69" s="335">
        <f>'MSW Integration Calcs PDS2'!AB73</f>
        <v>810.92409801607425</v>
      </c>
      <c r="D69" s="335">
        <f t="shared" si="4"/>
        <v>0</v>
      </c>
      <c r="E69" s="335">
        <f t="shared" si="5"/>
        <v>380.6198899393969</v>
      </c>
      <c r="H69" s="826"/>
      <c r="I69" s="1174"/>
    </row>
    <row r="70" spans="1:9" x14ac:dyDescent="0.4">
      <c r="A70">
        <v>2028</v>
      </c>
      <c r="B70" s="707">
        <v>391.71885614745759</v>
      </c>
      <c r="C70" s="335">
        <f>'MSW Integration Calcs PDS2'!AB74</f>
        <v>817.42835691462676</v>
      </c>
      <c r="D70" s="335">
        <f t="shared" si="4"/>
        <v>0</v>
      </c>
      <c r="E70" s="335">
        <f t="shared" si="5"/>
        <v>391.71885614745759</v>
      </c>
      <c r="H70" s="826"/>
      <c r="I70" s="1174"/>
    </row>
    <row r="71" spans="1:9" x14ac:dyDescent="0.4">
      <c r="A71">
        <v>2029</v>
      </c>
      <c r="B71" s="707">
        <v>402.8211857878531</v>
      </c>
      <c r="C71" s="335">
        <f>'MSW Integration Calcs PDS2'!AB75</f>
        <v>823.04096750684107</v>
      </c>
      <c r="D71" s="335">
        <f t="shared" si="4"/>
        <v>0</v>
      </c>
      <c r="E71" s="335">
        <f t="shared" si="5"/>
        <v>402.8211857878531</v>
      </c>
      <c r="H71" s="826"/>
      <c r="I71" s="1174"/>
    </row>
    <row r="72" spans="1:9" x14ac:dyDescent="0.4">
      <c r="A72">
        <v>2030</v>
      </c>
      <c r="B72" s="707">
        <v>414.40047675454667</v>
      </c>
      <c r="C72" s="335">
        <f>'MSW Integration Calcs PDS2'!AB76</f>
        <v>828.7245492742727</v>
      </c>
      <c r="D72" s="335">
        <f t="shared" si="4"/>
        <v>0</v>
      </c>
      <c r="E72" s="335">
        <f t="shared" si="5"/>
        <v>414.40047675454667</v>
      </c>
      <c r="H72" s="826"/>
      <c r="I72" s="1174"/>
    </row>
    <row r="73" spans="1:9" x14ac:dyDescent="0.4">
      <c r="A73">
        <v>2031</v>
      </c>
      <c r="B73" s="707">
        <v>425.02005581551936</v>
      </c>
      <c r="C73" s="335">
        <f>'MSW Integration Calcs PDS2'!AB77</f>
        <v>831.52616302819274</v>
      </c>
      <c r="D73" s="335">
        <f t="shared" si="4"/>
        <v>0</v>
      </c>
      <c r="E73" s="335">
        <f t="shared" si="5"/>
        <v>425.02005581551936</v>
      </c>
      <c r="H73" s="826"/>
      <c r="I73" s="1174"/>
    </row>
    <row r="74" spans="1:9" x14ac:dyDescent="0.4">
      <c r="A74">
        <v>2032</v>
      </c>
      <c r="B74" s="707">
        <v>435.95939636409753</v>
      </c>
      <c r="C74" s="335">
        <f>'MSW Integration Calcs PDS2'!AB78</f>
        <v>834.07004681105195</v>
      </c>
      <c r="D74" s="335">
        <f t="shared" si="4"/>
        <v>0</v>
      </c>
      <c r="E74" s="335">
        <f t="shared" si="5"/>
        <v>435.95939636409753</v>
      </c>
      <c r="H74" s="826"/>
      <c r="I74" s="1174"/>
    </row>
    <row r="75" spans="1:9" x14ac:dyDescent="0.4">
      <c r="A75">
        <v>2033</v>
      </c>
      <c r="B75" s="707">
        <v>446.8889190704553</v>
      </c>
      <c r="C75" s="335">
        <f>'MSW Integration Calcs PDS2'!AB79</f>
        <v>835.67714686611112</v>
      </c>
      <c r="D75" s="335">
        <f t="shared" si="4"/>
        <v>0</v>
      </c>
      <c r="E75" s="335">
        <f t="shared" si="5"/>
        <v>446.8889190704553</v>
      </c>
      <c r="H75" s="826"/>
      <c r="I75" s="1174"/>
    </row>
    <row r="76" spans="1:9" x14ac:dyDescent="0.4">
      <c r="A76">
        <v>2034</v>
      </c>
      <c r="B76" s="707">
        <v>457.81194616724525</v>
      </c>
      <c r="C76" s="335">
        <f>'MSW Integration Calcs PDS2'!AB80</f>
        <v>836.34817186147086</v>
      </c>
      <c r="D76" s="335">
        <f t="shared" si="4"/>
        <v>0</v>
      </c>
      <c r="E76" s="335">
        <f t="shared" si="5"/>
        <v>457.81194616724525</v>
      </c>
      <c r="H76" s="826"/>
      <c r="I76" s="1174"/>
    </row>
    <row r="77" spans="1:9" x14ac:dyDescent="0.4">
      <c r="A77">
        <v>2035</v>
      </c>
      <c r="B77" s="707">
        <v>468.7507283590387</v>
      </c>
      <c r="C77" s="335">
        <f>'MSW Integration Calcs PDS2'!AB81</f>
        <v>836.12024039824814</v>
      </c>
      <c r="D77" s="335">
        <f t="shared" si="4"/>
        <v>0</v>
      </c>
      <c r="E77" s="335">
        <f t="shared" si="5"/>
        <v>468.7507283590387</v>
      </c>
      <c r="H77" s="826"/>
      <c r="I77" s="1174"/>
    </row>
    <row r="78" spans="1:9" x14ac:dyDescent="0.4">
      <c r="A78">
        <v>2036</v>
      </c>
      <c r="B78" s="707">
        <v>479.63811941172094</v>
      </c>
      <c r="C78" s="335">
        <f>'MSW Integration Calcs PDS2'!AB82</f>
        <v>834.85896595361055</v>
      </c>
      <c r="D78" s="335">
        <f t="shared" si="4"/>
        <v>0</v>
      </c>
      <c r="E78" s="335">
        <f t="shared" si="5"/>
        <v>479.63811941172094</v>
      </c>
      <c r="H78" s="826"/>
      <c r="I78" s="1174"/>
    </row>
    <row r="79" spans="1:9" x14ac:dyDescent="0.4">
      <c r="A79">
        <v>2037</v>
      </c>
      <c r="B79" s="707">
        <v>490.53937722223554</v>
      </c>
      <c r="C79" s="335">
        <f>'MSW Integration Calcs PDS2'!AB83</f>
        <v>832.68494768535106</v>
      </c>
      <c r="D79" s="335">
        <f t="shared" si="4"/>
        <v>0</v>
      </c>
      <c r="E79" s="335">
        <f t="shared" si="5"/>
        <v>490.53937722223554</v>
      </c>
      <c r="H79" s="826"/>
      <c r="I79" s="1174"/>
    </row>
    <row r="80" spans="1:9" x14ac:dyDescent="0.4">
      <c r="A80">
        <v>2038</v>
      </c>
      <c r="B80" s="707">
        <v>501.42991900940564</v>
      </c>
      <c r="C80" s="335">
        <f>'MSW Integration Calcs PDS2'!AB84</f>
        <v>829.5488155789991</v>
      </c>
      <c r="D80" s="335">
        <f t="shared" si="4"/>
        <v>0</v>
      </c>
      <c r="E80" s="335">
        <f t="shared" si="5"/>
        <v>501.42991900940564</v>
      </c>
      <c r="H80" s="826"/>
      <c r="I80" s="1174"/>
    </row>
    <row r="81" spans="1:9" x14ac:dyDescent="0.4">
      <c r="A81">
        <v>2039</v>
      </c>
      <c r="B81" s="707">
        <v>512.30327676836032</v>
      </c>
      <c r="C81" s="335">
        <f>'MSW Integration Calcs PDS2'!AB85</f>
        <v>825.43769082073902</v>
      </c>
      <c r="D81" s="335">
        <f t="shared" si="4"/>
        <v>0</v>
      </c>
      <c r="E81" s="335">
        <f t="shared" si="5"/>
        <v>512.30327676836032</v>
      </c>
      <c r="H81" s="826"/>
      <c r="I81" s="1174"/>
    </row>
    <row r="82" spans="1:9" x14ac:dyDescent="0.4">
      <c r="A82">
        <v>2040</v>
      </c>
      <c r="B82" s="707">
        <v>522.5597625091267</v>
      </c>
      <c r="C82" s="335">
        <f>'MSW Integration Calcs PDS2'!AB86</f>
        <v>819.27875088094936</v>
      </c>
      <c r="D82" s="335">
        <f t="shared" si="4"/>
        <v>0</v>
      </c>
      <c r="E82" s="335">
        <f t="shared" si="5"/>
        <v>522.5597625091267</v>
      </c>
      <c r="H82" s="826"/>
      <c r="I82" s="1174"/>
    </row>
    <row r="83" spans="1:9" x14ac:dyDescent="0.4">
      <c r="A83">
        <v>2041</v>
      </c>
      <c r="B83" s="707">
        <v>533.95976168059667</v>
      </c>
      <c r="C83" s="335">
        <f>'MSW Integration Calcs PDS2'!AB87</f>
        <v>814.21662848396056</v>
      </c>
      <c r="D83" s="335">
        <f t="shared" si="4"/>
        <v>0</v>
      </c>
      <c r="E83" s="335">
        <f t="shared" si="5"/>
        <v>533.95976168059667</v>
      </c>
      <c r="H83" s="826"/>
      <c r="I83" s="1174"/>
    </row>
    <row r="84" spans="1:9" x14ac:dyDescent="0.4">
      <c r="A84">
        <v>2042</v>
      </c>
      <c r="B84" s="707">
        <v>544.54175200640452</v>
      </c>
      <c r="C84" s="335">
        <f>'MSW Integration Calcs PDS2'!AB88</f>
        <v>806.7526620526296</v>
      </c>
      <c r="D84" s="335">
        <f t="shared" si="4"/>
        <v>0</v>
      </c>
      <c r="E84" s="335">
        <f t="shared" si="5"/>
        <v>544.54175200640452</v>
      </c>
      <c r="H84" s="826"/>
      <c r="I84" s="1174"/>
    </row>
    <row r="85" spans="1:9" x14ac:dyDescent="0.4">
      <c r="A85">
        <v>2043</v>
      </c>
      <c r="B85" s="707">
        <v>555.09526866201861</v>
      </c>
      <c r="C85" s="335">
        <f>'MSW Integration Calcs PDS2'!AB89</f>
        <v>798.29534683618294</v>
      </c>
      <c r="D85" s="335">
        <f t="shared" si="4"/>
        <v>0</v>
      </c>
      <c r="E85" s="335">
        <f t="shared" si="5"/>
        <v>555.09526866201861</v>
      </c>
      <c r="H85" s="826"/>
      <c r="I85" s="1174"/>
    </row>
    <row r="86" spans="1:9" x14ac:dyDescent="0.4">
      <c r="A86">
        <v>2044</v>
      </c>
      <c r="B86" s="707">
        <v>565.61978887730038</v>
      </c>
      <c r="C86" s="335">
        <f>'MSW Integration Calcs PDS2'!AB90</f>
        <v>788.84128249141429</v>
      </c>
      <c r="D86" s="335">
        <f t="shared" si="4"/>
        <v>0</v>
      </c>
      <c r="E86" s="335">
        <f t="shared" si="5"/>
        <v>565.61978887730038</v>
      </c>
      <c r="H86" s="826"/>
      <c r="I86" s="1174"/>
    </row>
    <row r="87" spans="1:9" x14ac:dyDescent="0.4">
      <c r="A87">
        <v>2045</v>
      </c>
      <c r="B87" s="707">
        <v>576.1333960315178</v>
      </c>
      <c r="C87" s="335">
        <f>'MSW Integration Calcs PDS2'!AB91</f>
        <v>778.41838995133685</v>
      </c>
      <c r="D87" s="335">
        <f t="shared" si="4"/>
        <v>0</v>
      </c>
      <c r="E87" s="335">
        <f t="shared" si="5"/>
        <v>576.1333960315178</v>
      </c>
      <c r="H87" s="826"/>
      <c r="I87" s="1174"/>
    </row>
    <row r="88" spans="1:9" x14ac:dyDescent="0.4">
      <c r="A88">
        <v>2046</v>
      </c>
      <c r="B88" s="707">
        <v>586.5598238585759</v>
      </c>
      <c r="C88" s="335">
        <f>'MSW Integration Calcs PDS2'!AB92</f>
        <v>766.89845795764597</v>
      </c>
      <c r="D88" s="335">
        <f t="shared" si="4"/>
        <v>0</v>
      </c>
      <c r="E88" s="335">
        <f t="shared" si="5"/>
        <v>586.5598238585759</v>
      </c>
      <c r="H88" s="826"/>
      <c r="I88" s="1174"/>
    </row>
    <row r="89" spans="1:9" x14ac:dyDescent="0.4">
      <c r="A89">
        <v>2047</v>
      </c>
      <c r="B89" s="707">
        <v>596.90193740437724</v>
      </c>
      <c r="C89" s="335">
        <f>'MSW Integration Calcs PDS2'!AB93</f>
        <v>754.28725280191566</v>
      </c>
      <c r="D89" s="335">
        <f t="shared" si="4"/>
        <v>0</v>
      </c>
      <c r="E89" s="335">
        <f t="shared" si="5"/>
        <v>596.90193740437724</v>
      </c>
      <c r="H89" s="826"/>
      <c r="I89" s="1174"/>
    </row>
    <row r="90" spans="1:9" x14ac:dyDescent="0.4">
      <c r="A90">
        <v>2048</v>
      </c>
      <c r="B90" s="707">
        <v>607.16933966205306</v>
      </c>
      <c r="C90" s="335">
        <f>'MSW Integration Calcs PDS2'!AB94</f>
        <v>740.60094553970725</v>
      </c>
      <c r="D90" s="335">
        <f t="shared" si="4"/>
        <v>0</v>
      </c>
      <c r="E90" s="335">
        <f t="shared" si="5"/>
        <v>607.16933966205306</v>
      </c>
      <c r="H90" s="826"/>
      <c r="I90" s="1174"/>
    </row>
    <row r="91" spans="1:9" x14ac:dyDescent="0.4">
      <c r="A91">
        <v>2049</v>
      </c>
      <c r="B91" s="707">
        <v>617.35853831596739</v>
      </c>
      <c r="C91" s="335">
        <f>'MSW Integration Calcs PDS2'!AB95</f>
        <v>725.83377433654152</v>
      </c>
      <c r="D91" s="335">
        <f t="shared" si="4"/>
        <v>0</v>
      </c>
      <c r="E91" s="335">
        <f t="shared" si="5"/>
        <v>617.35853831596739</v>
      </c>
      <c r="H91" s="826"/>
      <c r="I91" s="1174"/>
    </row>
    <row r="92" spans="1:9" x14ac:dyDescent="0.4">
      <c r="A92">
        <v>2050</v>
      </c>
      <c r="B92" s="707">
        <v>627.34172982917778</v>
      </c>
      <c r="C92" s="335">
        <f>'MSW Integration Calcs PDS2'!AB96</f>
        <v>709.78983934186363</v>
      </c>
      <c r="D92" s="335">
        <f t="shared" si="4"/>
        <v>0</v>
      </c>
      <c r="E92" s="335">
        <f t="shared" si="5"/>
        <v>627.34172982917778</v>
      </c>
      <c r="H92" s="826"/>
      <c r="I92" s="1174"/>
    </row>
    <row r="93" spans="1:9" x14ac:dyDescent="0.4">
      <c r="A93">
        <v>2051</v>
      </c>
      <c r="B93" s="707">
        <v>629.74395589812468</v>
      </c>
      <c r="C93" s="335">
        <f>'MSW Integration Calcs PDS2'!AB97</f>
        <v>694.0449075362219</v>
      </c>
      <c r="D93" s="335">
        <f t="shared" si="4"/>
        <v>0</v>
      </c>
      <c r="E93" s="335">
        <f t="shared" si="5"/>
        <v>629.74395589812468</v>
      </c>
      <c r="H93" s="826"/>
      <c r="I93" s="1174"/>
    </row>
    <row r="94" spans="1:9" x14ac:dyDescent="0.4">
      <c r="A94">
        <v>2052</v>
      </c>
      <c r="B94" s="707">
        <v>631.88057150980183</v>
      </c>
      <c r="C94" s="335">
        <f>'MSW Integration Calcs PDS2'!AB98</f>
        <v>676.41924770030175</v>
      </c>
      <c r="D94" s="335">
        <f t="shared" si="4"/>
        <v>0</v>
      </c>
      <c r="E94" s="335">
        <f t="shared" si="5"/>
        <v>631.88057150980183</v>
      </c>
      <c r="H94" s="826"/>
      <c r="I94" s="1174"/>
    </row>
    <row r="95" spans="1:9" x14ac:dyDescent="0.4">
      <c r="A95">
        <v>2053</v>
      </c>
      <c r="B95" s="707">
        <v>633.87746570273794</v>
      </c>
      <c r="C95" s="335">
        <f>'MSW Integration Calcs PDS2'!AB99</f>
        <v>657.7868738814434</v>
      </c>
      <c r="D95" s="335">
        <f t="shared" si="4"/>
        <v>0</v>
      </c>
      <c r="E95" s="335">
        <f t="shared" si="5"/>
        <v>633.87746570273794</v>
      </c>
      <c r="H95" s="826"/>
      <c r="I95" s="1174"/>
    </row>
    <row r="96" spans="1:9" x14ac:dyDescent="0.4">
      <c r="A96">
        <v>2054</v>
      </c>
      <c r="B96" s="707">
        <v>635.73619784771722</v>
      </c>
      <c r="C96" s="335">
        <f>'MSW Integration Calcs PDS2'!AB100</f>
        <v>638.15658728804897</v>
      </c>
      <c r="D96" s="335">
        <f t="shared" si="4"/>
        <v>0</v>
      </c>
      <c r="E96" s="335">
        <f t="shared" si="5"/>
        <v>635.73619784771722</v>
      </c>
      <c r="H96" s="826"/>
      <c r="I96" s="1174"/>
    </row>
    <row r="97" spans="1:9" x14ac:dyDescent="0.4">
      <c r="A97">
        <v>2055</v>
      </c>
      <c r="B97" s="707">
        <v>621.70028655415683</v>
      </c>
      <c r="C97" s="335">
        <f>'MSW Integration Calcs PDS2'!AB101</f>
        <v>617.53874698052414</v>
      </c>
      <c r="D97" s="335">
        <f t="shared" si="4"/>
        <v>4.1615395736326946</v>
      </c>
      <c r="E97" s="335">
        <f t="shared" si="5"/>
        <v>617.53874698052414</v>
      </c>
      <c r="H97" s="826"/>
      <c r="I97" s="1174"/>
    </row>
    <row r="98" spans="1:9" x14ac:dyDescent="0.4">
      <c r="A98">
        <v>2056</v>
      </c>
      <c r="B98" s="707">
        <v>601.64577709987327</v>
      </c>
      <c r="C98" s="335">
        <f>'MSW Integration Calcs PDS2'!AB102</f>
        <v>595.94515478489234</v>
      </c>
      <c r="D98" s="335">
        <f t="shared" si="4"/>
        <v>5.700622314980933</v>
      </c>
      <c r="E98" s="335">
        <f t="shared" si="5"/>
        <v>595.94515478489234</v>
      </c>
      <c r="H98" s="826"/>
      <c r="I98" s="1174"/>
    </row>
    <row r="99" spans="1:9" x14ac:dyDescent="0.4">
      <c r="A99">
        <v>2057</v>
      </c>
      <c r="B99" s="707">
        <v>580.75460549460729</v>
      </c>
      <c r="C99" s="335">
        <f>'MSW Integration Calcs PDS2'!AB103</f>
        <v>573.38936844034617</v>
      </c>
      <c r="D99" s="335">
        <f t="shared" si="4"/>
        <v>7.3652370542611152</v>
      </c>
      <c r="E99" s="335">
        <f t="shared" si="5"/>
        <v>573.38936844034617</v>
      </c>
      <c r="H99" s="826"/>
      <c r="I99" s="1174"/>
    </row>
    <row r="100" spans="1:9" x14ac:dyDescent="0.4">
      <c r="A100">
        <v>2058</v>
      </c>
      <c r="B100" s="707">
        <v>559.04629555847498</v>
      </c>
      <c r="C100" s="335">
        <f>'MSW Integration Calcs PDS2'!AB104</f>
        <v>549.88677618512247</v>
      </c>
      <c r="D100" s="335">
        <f t="shared" si="4"/>
        <v>9.1595193733525093</v>
      </c>
      <c r="E100" s="335">
        <f t="shared" si="5"/>
        <v>549.88677618512247</v>
      </c>
      <c r="H100" s="826"/>
      <c r="I100" s="1174"/>
    </row>
    <row r="101" spans="1:9" x14ac:dyDescent="0.4">
      <c r="A101">
        <v>2059</v>
      </c>
      <c r="B101" s="707">
        <v>536.54164477131269</v>
      </c>
      <c r="C101" s="335">
        <f>'MSW Integration Calcs PDS2'!AB105</f>
        <v>525.45440067512016</v>
      </c>
      <c r="D101" s="335">
        <f t="shared" si="4"/>
        <v>11.087244096192535</v>
      </c>
      <c r="E101" s="335">
        <f t="shared" si="5"/>
        <v>525.45440067512016</v>
      </c>
      <c r="H101" s="826"/>
      <c r="I101" s="1174"/>
    </row>
    <row r="102" spans="1:9" x14ac:dyDescent="0.4">
      <c r="A102">
        <v>2060</v>
      </c>
      <c r="B102" s="707">
        <v>513.26257046002502</v>
      </c>
      <c r="C102" s="335">
        <f>'MSW Integration Calcs PDS2'!AB106</f>
        <v>500.11037403510761</v>
      </c>
      <c r="D102" s="335">
        <f t="shared" si="4"/>
        <v>13.152196424917406</v>
      </c>
      <c r="E102" s="335">
        <f t="shared" si="5"/>
        <v>500.11037403510761</v>
      </c>
      <c r="F102" s="533"/>
      <c r="H102" s="826"/>
      <c r="I102" s="1174"/>
    </row>
    <row r="103" spans="1:9" x14ac:dyDescent="0.4">
      <c r="H103" s="826"/>
      <c r="I103" s="1174"/>
    </row>
    <row r="104" spans="1:9" x14ac:dyDescent="0.4">
      <c r="H104" s="826"/>
      <c r="I104" s="1174"/>
    </row>
    <row r="105" spans="1:9" x14ac:dyDescent="0.4">
      <c r="A105" t="s">
        <v>351</v>
      </c>
      <c r="H105" s="826"/>
      <c r="I105" s="826"/>
    </row>
    <row r="106" spans="1:9" x14ac:dyDescent="0.4">
      <c r="B106" t="s">
        <v>353</v>
      </c>
      <c r="C106" t="s">
        <v>355</v>
      </c>
      <c r="D106" t="s">
        <v>358</v>
      </c>
      <c r="E106" t="s">
        <v>356</v>
      </c>
      <c r="H106" s="826"/>
      <c r="I106" s="826"/>
    </row>
    <row r="107" spans="1:9" s="609" customFormat="1" ht="12.6" x14ac:dyDescent="0.45">
      <c r="A107">
        <v>2014</v>
      </c>
      <c r="B107" s="707">
        <v>206.02941101227444</v>
      </c>
      <c r="C107" s="335">
        <f>'MSW Integration Calcs PDS3'!AB60</f>
        <v>626.75236333333328</v>
      </c>
      <c r="D107" s="335">
        <f>IF(B107&gt;C107,B107-C107,0)</f>
        <v>0</v>
      </c>
      <c r="E107" s="335">
        <f>B107-D107</f>
        <v>206.02941101227444</v>
      </c>
      <c r="H107" s="1214"/>
      <c r="I107" s="1214"/>
    </row>
    <row r="108" spans="1:9" s="609" customFormat="1" x14ac:dyDescent="0.4">
      <c r="A108">
        <v>2015</v>
      </c>
      <c r="B108" s="707">
        <v>235.52664728670166</v>
      </c>
      <c r="C108" s="335">
        <f>'MSW Integration Calcs PDS3'!AB61</f>
        <v>664.94060999999999</v>
      </c>
      <c r="D108" s="335">
        <f t="shared" ref="D108:D153" si="6">IF(B108&gt;C108,B108-C108,0)</f>
        <v>0</v>
      </c>
      <c r="E108" s="335">
        <f t="shared" ref="E108:E153" si="7">B108-D108</f>
        <v>235.52664728670166</v>
      </c>
      <c r="H108" s="826"/>
      <c r="I108" s="826"/>
    </row>
    <row r="109" spans="1:9" x14ac:dyDescent="0.4">
      <c r="A109">
        <v>2016</v>
      </c>
      <c r="B109" s="707">
        <v>266.79999999999995</v>
      </c>
      <c r="C109" s="335">
        <f>'MSW Integration Calcs PDS3'!AB62</f>
        <v>702.74354999999991</v>
      </c>
      <c r="D109" s="335">
        <f t="shared" si="6"/>
        <v>0</v>
      </c>
      <c r="E109" s="335">
        <f t="shared" si="7"/>
        <v>266.79999999999995</v>
      </c>
      <c r="H109" s="826"/>
      <c r="I109" s="1174"/>
    </row>
    <row r="110" spans="1:9" x14ac:dyDescent="0.4">
      <c r="A110">
        <v>2017</v>
      </c>
      <c r="B110" s="707">
        <v>283.94991370375845</v>
      </c>
      <c r="C110" s="335">
        <f>'MSW Integration Calcs PDS3'!AB63</f>
        <v>738.25066800254558</v>
      </c>
      <c r="D110" s="335">
        <f t="shared" si="6"/>
        <v>0</v>
      </c>
      <c r="E110" s="335">
        <f t="shared" si="7"/>
        <v>283.94991370375845</v>
      </c>
      <c r="H110" s="826"/>
      <c r="I110" s="1174"/>
    </row>
    <row r="111" spans="1:9" x14ac:dyDescent="0.4">
      <c r="A111">
        <v>2018</v>
      </c>
      <c r="B111" s="707">
        <v>292.60634965639559</v>
      </c>
      <c r="C111" s="335">
        <f>'MSW Integration Calcs PDS3'!AB64</f>
        <v>747.12431895217924</v>
      </c>
      <c r="D111" s="335">
        <f t="shared" si="6"/>
        <v>0</v>
      </c>
      <c r="E111" s="335">
        <f t="shared" si="7"/>
        <v>292.60634965639559</v>
      </c>
      <c r="H111" s="826"/>
      <c r="I111" s="1174"/>
    </row>
    <row r="112" spans="1:9" x14ac:dyDescent="0.4">
      <c r="A112">
        <v>2019</v>
      </c>
      <c r="B112" s="707">
        <v>309.01715799725685</v>
      </c>
      <c r="C112" s="335">
        <f>'MSW Integration Calcs PDS3'!AB65</f>
        <v>755.47459036487442</v>
      </c>
      <c r="D112" s="335">
        <f t="shared" si="6"/>
        <v>0</v>
      </c>
      <c r="E112" s="335">
        <f t="shared" si="7"/>
        <v>309.01715799725685</v>
      </c>
      <c r="H112" s="826"/>
      <c r="I112" s="1174"/>
    </row>
    <row r="113" spans="1:9" x14ac:dyDescent="0.4">
      <c r="A113">
        <v>2020</v>
      </c>
      <c r="B113" s="707">
        <v>320.55968862241934</v>
      </c>
      <c r="C113" s="335">
        <f>'MSW Integration Calcs PDS3'!AB66</f>
        <v>763.76884374470399</v>
      </c>
      <c r="D113" s="335">
        <f t="shared" si="6"/>
        <v>0</v>
      </c>
      <c r="E113" s="335">
        <f t="shared" si="7"/>
        <v>320.55968862241934</v>
      </c>
      <c r="H113" s="826"/>
      <c r="I113" s="1174"/>
    </row>
    <row r="114" spans="1:9" x14ac:dyDescent="0.4">
      <c r="A114">
        <v>2021</v>
      </c>
      <c r="B114" s="707">
        <v>331.80889983534553</v>
      </c>
      <c r="C114" s="335">
        <f>'MSW Integration Calcs PDS3'!AB67</f>
        <v>770.95047444438876</v>
      </c>
      <c r="D114" s="335">
        <f t="shared" si="6"/>
        <v>0</v>
      </c>
      <c r="E114" s="335">
        <f t="shared" si="7"/>
        <v>331.80889983534553</v>
      </c>
      <c r="H114" s="826"/>
      <c r="I114" s="1174"/>
    </row>
    <row r="115" spans="1:9" x14ac:dyDescent="0.4">
      <c r="A115">
        <v>2022</v>
      </c>
      <c r="B115" s="707">
        <v>343.20280212386456</v>
      </c>
      <c r="C115" s="335">
        <f>'MSW Integration Calcs PDS3'!AB68</f>
        <v>778.09689526699151</v>
      </c>
      <c r="D115" s="335">
        <f t="shared" si="6"/>
        <v>0</v>
      </c>
      <c r="E115" s="335">
        <f t="shared" si="7"/>
        <v>343.20280212386456</v>
      </c>
      <c r="H115" s="826"/>
      <c r="I115" s="1174"/>
    </row>
    <row r="116" spans="1:9" x14ac:dyDescent="0.4">
      <c r="A116">
        <v>2023</v>
      </c>
      <c r="B116" s="707">
        <v>354.62594985514585</v>
      </c>
      <c r="C116" s="335">
        <f>'MSW Integration Calcs PDS3'!AB69</f>
        <v>784.92536905249142</v>
      </c>
      <c r="D116" s="335">
        <f t="shared" si="6"/>
        <v>0</v>
      </c>
      <c r="E116" s="335">
        <f t="shared" si="7"/>
        <v>354.62594985514585</v>
      </c>
      <c r="H116" s="826"/>
      <c r="I116" s="1174"/>
    </row>
    <row r="117" spans="1:9" x14ac:dyDescent="0.4">
      <c r="A117">
        <v>2024</v>
      </c>
      <c r="B117" s="707">
        <v>366.06615406222107</v>
      </c>
      <c r="C117" s="335">
        <f>'MSW Integration Calcs PDS3'!AB70</f>
        <v>791.50127618531224</v>
      </c>
      <c r="D117" s="335">
        <f t="shared" si="6"/>
        <v>0</v>
      </c>
      <c r="E117" s="335">
        <f t="shared" si="7"/>
        <v>366.06615406222107</v>
      </c>
      <c r="H117" s="826"/>
      <c r="I117" s="1174"/>
    </row>
    <row r="118" spans="1:9" x14ac:dyDescent="0.4">
      <c r="A118">
        <v>2025</v>
      </c>
      <c r="B118" s="707">
        <v>377.35071216555531</v>
      </c>
      <c r="C118" s="335">
        <f>'MSW Integration Calcs PDS3'!AB71</f>
        <v>797.3975041609034</v>
      </c>
      <c r="D118" s="335">
        <f t="shared" si="6"/>
        <v>0</v>
      </c>
      <c r="E118" s="335">
        <f t="shared" si="7"/>
        <v>377.35071216555531</v>
      </c>
      <c r="H118" s="826"/>
      <c r="I118" s="1174"/>
    </row>
    <row r="119" spans="1:9" x14ac:dyDescent="0.4">
      <c r="A119">
        <v>2026</v>
      </c>
      <c r="B119" s="707">
        <v>390.30014584403017</v>
      </c>
      <c r="C119" s="335">
        <f>'MSW Integration Calcs PDS3'!AB72</f>
        <v>805.66272231521293</v>
      </c>
      <c r="D119" s="335">
        <f t="shared" si="6"/>
        <v>0</v>
      </c>
      <c r="E119" s="335">
        <f t="shared" si="7"/>
        <v>390.30014584403017</v>
      </c>
      <c r="H119" s="826"/>
      <c r="I119" s="1174"/>
    </row>
    <row r="120" spans="1:9" x14ac:dyDescent="0.4">
      <c r="A120">
        <v>2027</v>
      </c>
      <c r="B120" s="707">
        <v>403.75170312403276</v>
      </c>
      <c r="C120" s="335">
        <f>'MSW Integration Calcs PDS3'!AB73</f>
        <v>814.2525935868515</v>
      </c>
      <c r="D120" s="335">
        <f t="shared" si="6"/>
        <v>0</v>
      </c>
      <c r="E120" s="335">
        <f t="shared" si="7"/>
        <v>403.75170312403276</v>
      </c>
      <c r="H120" s="826"/>
      <c r="I120" s="1174"/>
    </row>
    <row r="121" spans="1:9" x14ac:dyDescent="0.4">
      <c r="A121">
        <v>2028</v>
      </c>
      <c r="B121" s="707">
        <v>417.25158380289105</v>
      </c>
      <c r="C121" s="335">
        <f>'MSW Integration Calcs PDS3'!AB74</f>
        <v>821.92050192571298</v>
      </c>
      <c r="D121" s="335">
        <f t="shared" si="6"/>
        <v>0</v>
      </c>
      <c r="E121" s="335">
        <f t="shared" si="7"/>
        <v>417.25158380289105</v>
      </c>
      <c r="H121" s="826"/>
      <c r="I121" s="1174"/>
    </row>
    <row r="122" spans="1:9" x14ac:dyDescent="0.4">
      <c r="A122">
        <v>2029</v>
      </c>
      <c r="B122" s="707">
        <v>430.79402648709066</v>
      </c>
      <c r="C122" s="335">
        <f>'MSW Integration Calcs PDS3'!AB75</f>
        <v>828.54346613712062</v>
      </c>
      <c r="D122" s="335">
        <f t="shared" si="6"/>
        <v>0</v>
      </c>
      <c r="E122" s="335">
        <f t="shared" si="7"/>
        <v>430.79402648709066</v>
      </c>
      <c r="H122" s="826"/>
      <c r="I122" s="1174"/>
    </row>
    <row r="123" spans="1:9" x14ac:dyDescent="0.4">
      <c r="A123">
        <v>2030</v>
      </c>
      <c r="B123" s="707">
        <v>444.88560420478137</v>
      </c>
      <c r="C123" s="335">
        <f>'MSW Integration Calcs PDS3'!AB76</f>
        <v>834.97065569649794</v>
      </c>
      <c r="D123" s="335">
        <f t="shared" si="6"/>
        <v>0</v>
      </c>
      <c r="E123" s="335">
        <f t="shared" si="7"/>
        <v>444.88560420478137</v>
      </c>
      <c r="H123" s="826"/>
      <c r="I123" s="1174"/>
    </row>
    <row r="124" spans="1:9" x14ac:dyDescent="0.4">
      <c r="A124">
        <v>2031</v>
      </c>
      <c r="B124" s="707">
        <v>457.98214722872513</v>
      </c>
      <c r="C124" s="335">
        <f>'MSW Integration Calcs PDS3'!AB77</f>
        <v>838.12882921049095</v>
      </c>
      <c r="D124" s="335">
        <f t="shared" si="6"/>
        <v>0</v>
      </c>
      <c r="E124" s="335">
        <f t="shared" si="7"/>
        <v>457.98214722872513</v>
      </c>
      <c r="H124" s="826"/>
      <c r="I124" s="1174"/>
    </row>
    <row r="125" spans="1:9" x14ac:dyDescent="0.4">
      <c r="A125">
        <v>2032</v>
      </c>
      <c r="B125" s="707">
        <v>471.45432385836955</v>
      </c>
      <c r="C125" s="335">
        <f>'MSW Integration Calcs PDS3'!AB78</f>
        <v>840.51550712863877</v>
      </c>
      <c r="D125" s="335">
        <f t="shared" si="6"/>
        <v>0</v>
      </c>
      <c r="E125" s="335">
        <f t="shared" si="7"/>
        <v>471.45432385836955</v>
      </c>
      <c r="H125" s="826"/>
      <c r="I125" s="1174"/>
    </row>
    <row r="126" spans="1:9" x14ac:dyDescent="0.4">
      <c r="A126">
        <v>2033</v>
      </c>
      <c r="B126" s="707">
        <v>484.94668670341099</v>
      </c>
      <c r="C126" s="335">
        <f>'MSW Integration Calcs PDS3'!AB79</f>
        <v>841.31891673146072</v>
      </c>
      <c r="D126" s="335">
        <f t="shared" si="6"/>
        <v>0</v>
      </c>
      <c r="E126" s="335">
        <f t="shared" si="7"/>
        <v>484.94668670341099</v>
      </c>
      <c r="H126" s="826"/>
      <c r="I126" s="1174"/>
    </row>
    <row r="127" spans="1:9" x14ac:dyDescent="0.4">
      <c r="A127">
        <v>2034</v>
      </c>
      <c r="B127" s="707">
        <v>498.46132960576045</v>
      </c>
      <c r="C127" s="335">
        <f>'MSW Integration Calcs PDS3'!AB80</f>
        <v>840.4014396534252</v>
      </c>
      <c r="D127" s="335">
        <f t="shared" si="6"/>
        <v>0</v>
      </c>
      <c r="E127" s="335">
        <f t="shared" si="7"/>
        <v>498.46132960576045</v>
      </c>
      <c r="H127" s="826"/>
      <c r="I127" s="1174"/>
    </row>
    <row r="128" spans="1:9" x14ac:dyDescent="0.4">
      <c r="A128">
        <v>2035</v>
      </c>
      <c r="B128" s="707">
        <v>512.02116082414466</v>
      </c>
      <c r="C128" s="335">
        <f>'MSW Integration Calcs PDS3'!AB81</f>
        <v>837.65663309747788</v>
      </c>
      <c r="D128" s="335">
        <f t="shared" si="6"/>
        <v>0</v>
      </c>
      <c r="E128" s="335">
        <f t="shared" si="7"/>
        <v>512.02116082414466</v>
      </c>
      <c r="H128" s="826"/>
      <c r="I128" s="1174"/>
    </row>
    <row r="129" spans="1:9" x14ac:dyDescent="0.4">
      <c r="A129">
        <v>2036</v>
      </c>
      <c r="B129" s="707">
        <v>525.55152106664127</v>
      </c>
      <c r="C129" s="335">
        <f>'MSW Integration Calcs PDS3'!AB82</f>
        <v>832.80166894941215</v>
      </c>
      <c r="D129" s="335">
        <f t="shared" si="6"/>
        <v>0</v>
      </c>
      <c r="E129" s="335">
        <f t="shared" si="7"/>
        <v>525.55152106664127</v>
      </c>
      <c r="H129" s="826"/>
      <c r="I129" s="1174"/>
    </row>
    <row r="130" spans="1:9" x14ac:dyDescent="0.4">
      <c r="A130">
        <v>2037</v>
      </c>
      <c r="B130" s="707">
        <v>539.12244168553343</v>
      </c>
      <c r="C130" s="335">
        <f>'MSW Integration Calcs PDS3'!AB83</f>
        <v>825.80416050856138</v>
      </c>
      <c r="D130" s="335">
        <f t="shared" si="6"/>
        <v>0</v>
      </c>
      <c r="E130" s="335">
        <f t="shared" si="7"/>
        <v>539.12244168553343</v>
      </c>
      <c r="H130" s="826"/>
      <c r="I130" s="1174"/>
    </row>
    <row r="131" spans="1:9" x14ac:dyDescent="0.4">
      <c r="A131">
        <v>2038</v>
      </c>
      <c r="B131" s="707">
        <v>552.70586415566333</v>
      </c>
      <c r="C131" s="335">
        <f>'MSW Integration Calcs PDS3'!AB84</f>
        <v>816.45752640158355</v>
      </c>
      <c r="D131" s="335">
        <f t="shared" si="6"/>
        <v>0</v>
      </c>
      <c r="E131" s="335">
        <f t="shared" si="7"/>
        <v>552.70586415566333</v>
      </c>
      <c r="H131" s="826"/>
      <c r="I131" s="1174"/>
    </row>
    <row r="132" spans="1:9" x14ac:dyDescent="0.4">
      <c r="A132">
        <v>2039</v>
      </c>
      <c r="B132" s="707">
        <v>566.29350095481277</v>
      </c>
      <c r="C132" s="335">
        <f>'MSW Integration Calcs PDS3'!AB85</f>
        <v>804.58775278276755</v>
      </c>
      <c r="D132" s="335">
        <f t="shared" si="6"/>
        <v>0</v>
      </c>
      <c r="E132" s="335">
        <f t="shared" si="7"/>
        <v>566.29350095481277</v>
      </c>
      <c r="H132" s="826"/>
      <c r="I132" s="1174"/>
    </row>
    <row r="133" spans="1:9" x14ac:dyDescent="0.4">
      <c r="A133">
        <v>2040</v>
      </c>
      <c r="B133" s="707">
        <v>579.21950850013729</v>
      </c>
      <c r="C133" s="335">
        <f>'MSW Integration Calcs PDS3'!AB86</f>
        <v>788.95724441881418</v>
      </c>
      <c r="D133" s="335">
        <f t="shared" si="6"/>
        <v>0</v>
      </c>
      <c r="E133" s="335">
        <f t="shared" si="7"/>
        <v>579.21950850013729</v>
      </c>
      <c r="H133" s="826"/>
      <c r="I133" s="1174"/>
    </row>
    <row r="134" spans="1:9" x14ac:dyDescent="0.4">
      <c r="A134">
        <v>2041</v>
      </c>
      <c r="B134" s="707">
        <v>593.43396138421622</v>
      </c>
      <c r="C134" s="335">
        <f>'MSW Integration Calcs PDS3'!AB87</f>
        <v>772.54249428243588</v>
      </c>
      <c r="D134" s="335">
        <f t="shared" si="6"/>
        <v>0</v>
      </c>
      <c r="E134" s="335">
        <f t="shared" si="7"/>
        <v>593.43396138421622</v>
      </c>
      <c r="H134" s="826"/>
      <c r="I134" s="1174"/>
    </row>
    <row r="135" spans="1:9" x14ac:dyDescent="0.4">
      <c r="A135">
        <v>2042</v>
      </c>
      <c r="B135" s="707">
        <v>606.76036179027813</v>
      </c>
      <c r="C135" s="335">
        <f>'MSW Integration Calcs PDS3'!AB88</f>
        <v>751.67359011793519</v>
      </c>
      <c r="D135" s="335">
        <f t="shared" si="6"/>
        <v>0</v>
      </c>
      <c r="E135" s="335">
        <f t="shared" si="7"/>
        <v>606.76036179027813</v>
      </c>
      <c r="H135" s="826"/>
      <c r="I135" s="1174"/>
    </row>
    <row r="136" spans="1:9" x14ac:dyDescent="0.4">
      <c r="A136">
        <v>2043</v>
      </c>
      <c r="B136" s="707">
        <v>620.07285346286392</v>
      </c>
      <c r="C136" s="335">
        <f>'MSW Integration Calcs PDS3'!AB89</f>
        <v>727.58490862926146</v>
      </c>
      <c r="D136" s="335">
        <f t="shared" si="6"/>
        <v>0</v>
      </c>
      <c r="E136" s="335">
        <f t="shared" si="7"/>
        <v>620.07285346286392</v>
      </c>
      <c r="H136" s="826"/>
      <c r="I136" s="1174"/>
    </row>
    <row r="137" spans="1:9" x14ac:dyDescent="0.4">
      <c r="A137">
        <v>2044</v>
      </c>
      <c r="B137" s="707">
        <v>633.3699054478742</v>
      </c>
      <c r="C137" s="335">
        <f>'MSW Integration Calcs PDS3'!AB90</f>
        <v>700.09629089295686</v>
      </c>
      <c r="D137" s="335">
        <f t="shared" si="6"/>
        <v>0</v>
      </c>
      <c r="E137" s="335">
        <f t="shared" si="7"/>
        <v>633.3699054478742</v>
      </c>
      <c r="H137" s="826"/>
      <c r="I137" s="1174"/>
    </row>
    <row r="138" spans="1:9" x14ac:dyDescent="0.4">
      <c r="A138">
        <v>2045</v>
      </c>
      <c r="B138" s="707">
        <v>646.67091495402178</v>
      </c>
      <c r="C138" s="335">
        <f>'MSW Integration Calcs PDS3'!AB91</f>
        <v>669.05647676919978</v>
      </c>
      <c r="D138" s="335">
        <f t="shared" si="6"/>
        <v>0</v>
      </c>
      <c r="E138" s="335">
        <f t="shared" si="7"/>
        <v>646.67091495402178</v>
      </c>
      <c r="H138" s="826"/>
      <c r="I138" s="1174"/>
    </row>
    <row r="139" spans="1:9" x14ac:dyDescent="0.4">
      <c r="A139">
        <v>2046</v>
      </c>
      <c r="B139" s="707">
        <v>633.22989607655165</v>
      </c>
      <c r="C139" s="335">
        <f>'MSW Integration Calcs PDS3'!AB92</f>
        <v>634.15585534073671</v>
      </c>
      <c r="D139" s="335">
        <f t="shared" si="6"/>
        <v>0</v>
      </c>
      <c r="E139" s="335">
        <f t="shared" si="7"/>
        <v>633.22989607655165</v>
      </c>
      <c r="H139" s="826"/>
      <c r="I139" s="1174"/>
    </row>
    <row r="140" spans="1:9" x14ac:dyDescent="0.4">
      <c r="A140">
        <v>2047</v>
      </c>
      <c r="B140" s="707">
        <v>595.9242024539567</v>
      </c>
      <c r="C140" s="335">
        <f>'MSW Integration Calcs PDS3'!AB93</f>
        <v>595.21676766664029</v>
      </c>
      <c r="D140" s="335">
        <f t="shared" si="6"/>
        <v>0.70743478731640153</v>
      </c>
      <c r="E140" s="335">
        <f t="shared" si="7"/>
        <v>595.21676766664029</v>
      </c>
      <c r="H140" s="826"/>
      <c r="I140" s="1174"/>
    </row>
    <row r="141" spans="1:9" x14ac:dyDescent="0.4">
      <c r="A141">
        <v>2048</v>
      </c>
      <c r="B141" s="707">
        <v>554.66880568097679</v>
      </c>
      <c r="C141" s="335">
        <f>'MSW Integration Calcs PDS3'!AB94</f>
        <v>552.0701157972876</v>
      </c>
      <c r="D141" s="335">
        <f t="shared" si="6"/>
        <v>2.5986898836891896</v>
      </c>
      <c r="E141" s="335">
        <f t="shared" si="7"/>
        <v>552.0701157972876</v>
      </c>
      <c r="H141" s="826"/>
      <c r="I141" s="1174"/>
    </row>
    <row r="142" spans="1:9" x14ac:dyDescent="0.4">
      <c r="A142">
        <v>2049</v>
      </c>
      <c r="B142" s="707">
        <v>509.2981866139624</v>
      </c>
      <c r="C142" s="335">
        <f>'MSW Integration Calcs PDS3'!AB95</f>
        <v>504.52319667456447</v>
      </c>
      <c r="D142" s="335">
        <f t="shared" si="6"/>
        <v>4.7749899393979263</v>
      </c>
      <c r="E142" s="335">
        <f t="shared" si="7"/>
        <v>504.52319667456447</v>
      </c>
      <c r="H142" s="826"/>
      <c r="I142" s="1174"/>
    </row>
    <row r="143" spans="1:9" x14ac:dyDescent="0.4">
      <c r="A143">
        <v>2050</v>
      </c>
      <c r="B143" s="707">
        <v>459.45660819027637</v>
      </c>
      <c r="C143" s="335">
        <f>'MSW Integration Calcs PDS3'!AB96</f>
        <v>452.19165851611262</v>
      </c>
      <c r="D143" s="335">
        <f t="shared" si="6"/>
        <v>7.2649496741637449</v>
      </c>
      <c r="E143" s="335">
        <f t="shared" si="7"/>
        <v>452.19165851611262</v>
      </c>
      <c r="H143" s="826"/>
      <c r="I143" s="1174"/>
    </row>
    <row r="144" spans="1:9" x14ac:dyDescent="0.4">
      <c r="A144">
        <v>2051</v>
      </c>
      <c r="B144" s="707">
        <v>407.53870648881724</v>
      </c>
      <c r="C144" s="335">
        <f>'MSW Integration Calcs PDS3'!AB97</f>
        <v>397.51600749549596</v>
      </c>
      <c r="D144" s="335">
        <f t="shared" si="6"/>
        <v>10.022698993321285</v>
      </c>
      <c r="E144" s="335">
        <f t="shared" si="7"/>
        <v>397.51600749549596</v>
      </c>
      <c r="H144" s="826"/>
      <c r="I144" s="1174"/>
    </row>
    <row r="145" spans="1:9" x14ac:dyDescent="0.4">
      <c r="A145">
        <v>2052</v>
      </c>
      <c r="B145" s="707">
        <v>404.90699908932675</v>
      </c>
      <c r="C145" s="335">
        <f>'MSW Integration Calcs PDS3'!AB98</f>
        <v>393.89926677972358</v>
      </c>
      <c r="D145" s="335">
        <f t="shared" si="6"/>
        <v>11.007732309603171</v>
      </c>
      <c r="E145" s="335">
        <f t="shared" si="7"/>
        <v>393.89926677972358</v>
      </c>
      <c r="H145" s="826"/>
      <c r="I145" s="1174"/>
    </row>
    <row r="146" spans="1:9" x14ac:dyDescent="0.4">
      <c r="A146">
        <v>2053</v>
      </c>
      <c r="B146" s="707">
        <v>404.94734931215493</v>
      </c>
      <c r="C146" s="335">
        <f>'MSW Integration Calcs PDS3'!AB99</f>
        <v>393.03274829632926</v>
      </c>
      <c r="D146" s="335">
        <f t="shared" si="6"/>
        <v>11.914601015825667</v>
      </c>
      <c r="E146" s="335">
        <f t="shared" si="7"/>
        <v>393.03274829632926</v>
      </c>
      <c r="H146" s="826"/>
      <c r="I146" s="1174"/>
    </row>
    <row r="147" spans="1:9" x14ac:dyDescent="0.4">
      <c r="A147">
        <v>2054</v>
      </c>
      <c r="B147" s="707">
        <v>404.99420195681182</v>
      </c>
      <c r="C147" s="335">
        <f>'MSW Integration Calcs PDS3'!AB100</f>
        <v>392.14939397055889</v>
      </c>
      <c r="D147" s="335">
        <f t="shared" si="6"/>
        <v>12.844807986252931</v>
      </c>
      <c r="E147" s="335">
        <f t="shared" si="7"/>
        <v>392.14939397055889</v>
      </c>
      <c r="H147" s="826"/>
      <c r="I147" s="1174"/>
    </row>
    <row r="148" spans="1:9" x14ac:dyDescent="0.4">
      <c r="A148">
        <v>2055</v>
      </c>
      <c r="B148" s="707">
        <v>405.04968050264898</v>
      </c>
      <c r="C148" s="335">
        <f>'MSW Integration Calcs PDS3'!AB101</f>
        <v>391.25150759254598</v>
      </c>
      <c r="D148" s="335">
        <f t="shared" si="6"/>
        <v>13.798172910103006</v>
      </c>
      <c r="E148" s="335">
        <f t="shared" si="7"/>
        <v>391.25150759254598</v>
      </c>
      <c r="H148" s="826"/>
      <c r="I148" s="1174"/>
    </row>
    <row r="149" spans="1:9" x14ac:dyDescent="0.4">
      <c r="A149">
        <v>2056</v>
      </c>
      <c r="B149" s="707">
        <v>405.1159578796013</v>
      </c>
      <c r="C149" s="335">
        <f>'MSW Integration Calcs PDS3'!AB102</f>
        <v>390.3415733112746</v>
      </c>
      <c r="D149" s="335">
        <f t="shared" si="6"/>
        <v>14.774384568326695</v>
      </c>
      <c r="E149" s="335">
        <f t="shared" si="7"/>
        <v>390.3415733112746</v>
      </c>
      <c r="H149" s="826"/>
      <c r="I149" s="1174"/>
    </row>
    <row r="150" spans="1:9" x14ac:dyDescent="0.4">
      <c r="A150">
        <v>2057</v>
      </c>
      <c r="B150" s="707">
        <v>405.19524687438752</v>
      </c>
      <c r="C150" s="335">
        <f>'MSW Integration Calcs PDS3'!AB103</f>
        <v>389.42256674155192</v>
      </c>
      <c r="D150" s="335">
        <f t="shared" si="6"/>
        <v>15.772680132835603</v>
      </c>
      <c r="E150" s="335">
        <f t="shared" si="7"/>
        <v>389.42256674155192</v>
      </c>
      <c r="H150" s="826"/>
      <c r="I150" s="1174"/>
    </row>
    <row r="151" spans="1:9" x14ac:dyDescent="0.4">
      <c r="A151">
        <v>2058</v>
      </c>
      <c r="B151" s="707">
        <v>405.28979732460107</v>
      </c>
      <c r="C151" s="335">
        <f>'MSW Integration Calcs PDS3'!AB104</f>
        <v>388.49802751054438</v>
      </c>
      <c r="D151" s="335">
        <f t="shared" si="6"/>
        <v>16.791769814056693</v>
      </c>
      <c r="E151" s="335">
        <f t="shared" si="7"/>
        <v>388.49802751054438</v>
      </c>
      <c r="H151" s="826"/>
      <c r="I151" s="1174"/>
    </row>
    <row r="152" spans="1:9" x14ac:dyDescent="0.4">
      <c r="A152">
        <v>2059</v>
      </c>
      <c r="B152" s="707">
        <v>405.40188483179213</v>
      </c>
      <c r="C152" s="335">
        <f>'MSW Integration Calcs PDS3'!AB105</f>
        <v>387.57186113653086</v>
      </c>
      <c r="D152" s="335">
        <f t="shared" si="6"/>
        <v>17.830023695261275</v>
      </c>
      <c r="E152" s="335">
        <f t="shared" si="7"/>
        <v>387.57186113653086</v>
      </c>
      <c r="H152" s="826"/>
      <c r="I152" s="1174"/>
    </row>
    <row r="153" spans="1:9" x14ac:dyDescent="0.4">
      <c r="A153">
        <v>2060</v>
      </c>
      <c r="B153" s="707">
        <v>405.53372264580696</v>
      </c>
      <c r="C153" s="335">
        <f>'MSW Integration Calcs PDS3'!AB106</f>
        <v>386.64781203951475</v>
      </c>
      <c r="D153" s="335">
        <f t="shared" si="6"/>
        <v>18.885910606292214</v>
      </c>
      <c r="E153" s="335">
        <f t="shared" si="7"/>
        <v>386.64781203951475</v>
      </c>
      <c r="H153" s="826"/>
      <c r="I153" s="1174"/>
    </row>
    <row r="154" spans="1:9" x14ac:dyDescent="0.4">
      <c r="H154" s="826"/>
      <c r="I154" s="1174"/>
    </row>
    <row r="155" spans="1:9" x14ac:dyDescent="0.4">
      <c r="H155" s="826"/>
      <c r="I155" s="1174"/>
    </row>
    <row r="167" spans="5:6" x14ac:dyDescent="0.4">
      <c r="E167" s="826"/>
    </row>
    <row r="168" spans="5:6" x14ac:dyDescent="0.4">
      <c r="E168" s="826"/>
    </row>
    <row r="169" spans="5:6" x14ac:dyDescent="0.4">
      <c r="E169" s="826"/>
      <c r="F169" s="826"/>
    </row>
    <row r="170" spans="5:6" x14ac:dyDescent="0.4">
      <c r="E170" s="826"/>
      <c r="F170" s="1174"/>
    </row>
    <row r="171" spans="5:6" x14ac:dyDescent="0.4">
      <c r="E171" s="826"/>
      <c r="F171" s="1174"/>
    </row>
    <row r="172" spans="5:6" x14ac:dyDescent="0.4">
      <c r="E172" s="826"/>
      <c r="F172" s="1174"/>
    </row>
    <row r="173" spans="5:6" x14ac:dyDescent="0.4">
      <c r="E173" s="826"/>
      <c r="F173" s="1174"/>
    </row>
    <row r="174" spans="5:6" x14ac:dyDescent="0.4">
      <c r="E174" s="826"/>
      <c r="F174" s="1174"/>
    </row>
    <row r="175" spans="5:6" x14ac:dyDescent="0.4">
      <c r="E175" s="826"/>
      <c r="F175" s="1174"/>
    </row>
    <row r="176" spans="5:6" x14ac:dyDescent="0.4">
      <c r="E176" s="826"/>
      <c r="F176" s="1174"/>
    </row>
    <row r="177" spans="5:6" x14ac:dyDescent="0.4">
      <c r="E177" s="826"/>
      <c r="F177" s="1174"/>
    </row>
    <row r="178" spans="5:6" x14ac:dyDescent="0.4">
      <c r="E178" s="826"/>
      <c r="F178" s="1174"/>
    </row>
    <row r="179" spans="5:6" x14ac:dyDescent="0.4">
      <c r="E179" s="826"/>
      <c r="F179" s="1174"/>
    </row>
    <row r="180" spans="5:6" x14ac:dyDescent="0.4">
      <c r="E180" s="826"/>
      <c r="F180" s="1174"/>
    </row>
    <row r="181" spans="5:6" x14ac:dyDescent="0.4">
      <c r="E181" s="826"/>
      <c r="F181" s="1174"/>
    </row>
    <row r="182" spans="5:6" x14ac:dyDescent="0.4">
      <c r="E182" s="826"/>
      <c r="F182" s="1174"/>
    </row>
    <row r="183" spans="5:6" x14ac:dyDescent="0.4">
      <c r="E183" s="826"/>
      <c r="F183" s="1174"/>
    </row>
    <row r="184" spans="5:6" x14ac:dyDescent="0.4">
      <c r="E184" s="826"/>
      <c r="F184" s="1174"/>
    </row>
    <row r="185" spans="5:6" x14ac:dyDescent="0.4">
      <c r="E185" s="826"/>
      <c r="F185" s="1174"/>
    </row>
    <row r="186" spans="5:6" x14ac:dyDescent="0.4">
      <c r="E186" s="826"/>
      <c r="F186" s="1174"/>
    </row>
    <row r="187" spans="5:6" x14ac:dyDescent="0.4">
      <c r="E187" s="826"/>
      <c r="F187" s="1174"/>
    </row>
    <row r="188" spans="5:6" x14ac:dyDescent="0.4">
      <c r="E188" s="826"/>
      <c r="F188" s="1174"/>
    </row>
    <row r="189" spans="5:6" x14ac:dyDescent="0.4">
      <c r="E189" s="826"/>
      <c r="F189" s="1174"/>
    </row>
    <row r="190" spans="5:6" x14ac:dyDescent="0.4">
      <c r="E190" s="826"/>
      <c r="F190" s="1174"/>
    </row>
    <row r="191" spans="5:6" x14ac:dyDescent="0.4">
      <c r="E191" s="826"/>
      <c r="F191" s="1174"/>
    </row>
    <row r="192" spans="5:6" x14ac:dyDescent="0.4">
      <c r="E192" s="826"/>
      <c r="F192" s="1174"/>
    </row>
    <row r="193" spans="5:6" x14ac:dyDescent="0.4">
      <c r="E193" s="826"/>
      <c r="F193" s="1174"/>
    </row>
    <row r="194" spans="5:6" x14ac:dyDescent="0.4">
      <c r="E194" s="826"/>
      <c r="F194" s="1174"/>
    </row>
    <row r="195" spans="5:6" x14ac:dyDescent="0.4">
      <c r="E195" s="826"/>
      <c r="F195" s="1174"/>
    </row>
    <row r="196" spans="5:6" x14ac:dyDescent="0.4">
      <c r="E196" s="826"/>
      <c r="F196" s="1174"/>
    </row>
    <row r="197" spans="5:6" x14ac:dyDescent="0.4">
      <c r="E197" s="826"/>
      <c r="F197" s="1174"/>
    </row>
    <row r="198" spans="5:6" x14ac:dyDescent="0.4">
      <c r="E198" s="826"/>
      <c r="F198" s="1174"/>
    </row>
    <row r="199" spans="5:6" x14ac:dyDescent="0.4">
      <c r="E199" s="826"/>
      <c r="F199" s="1174"/>
    </row>
    <row r="200" spans="5:6" x14ac:dyDescent="0.4">
      <c r="E200" s="826"/>
      <c r="F200" s="1174"/>
    </row>
    <row r="201" spans="5:6" x14ac:dyDescent="0.4">
      <c r="E201" s="826"/>
      <c r="F201" s="1174"/>
    </row>
    <row r="202" spans="5:6" x14ac:dyDescent="0.4">
      <c r="E202" s="826"/>
      <c r="F202" s="1174"/>
    </row>
    <row r="203" spans="5:6" x14ac:dyDescent="0.4">
      <c r="E203" s="826"/>
      <c r="F203" s="1174"/>
    </row>
    <row r="204" spans="5:6" x14ac:dyDescent="0.4">
      <c r="E204" s="826"/>
      <c r="F204" s="1174"/>
    </row>
    <row r="205" spans="5:6" x14ac:dyDescent="0.4">
      <c r="E205" s="826"/>
      <c r="F205" s="1174"/>
    </row>
    <row r="206" spans="5:6" x14ac:dyDescent="0.4">
      <c r="E206" s="826"/>
      <c r="F206" s="1174"/>
    </row>
    <row r="207" spans="5:6" x14ac:dyDescent="0.4">
      <c r="E207" s="826"/>
      <c r="F207" s="1174"/>
    </row>
    <row r="208" spans="5:6" x14ac:dyDescent="0.4">
      <c r="E208" s="826"/>
      <c r="F208" s="1174"/>
    </row>
    <row r="209" spans="5:7" x14ac:dyDescent="0.4">
      <c r="E209" s="826"/>
      <c r="F209" s="1174"/>
    </row>
    <row r="210" spans="5:7" x14ac:dyDescent="0.4">
      <c r="E210" s="826"/>
      <c r="F210" s="1174"/>
    </row>
    <row r="211" spans="5:7" x14ac:dyDescent="0.4">
      <c r="E211" s="826"/>
      <c r="F211" s="1174"/>
    </row>
    <row r="212" spans="5:7" x14ac:dyDescent="0.4">
      <c r="E212" s="826"/>
      <c r="F212" s="1174"/>
    </row>
    <row r="213" spans="5:7" x14ac:dyDescent="0.4">
      <c r="E213" s="826"/>
      <c r="F213" s="1174"/>
    </row>
    <row r="214" spans="5:7" x14ac:dyDescent="0.4">
      <c r="E214" s="826"/>
      <c r="F214" s="1174"/>
    </row>
    <row r="215" spans="5:7" x14ac:dyDescent="0.4">
      <c r="E215" s="826"/>
      <c r="F215" s="1174"/>
    </row>
    <row r="216" spans="5:7" x14ac:dyDescent="0.4">
      <c r="E216" s="826"/>
      <c r="F216" s="1174"/>
    </row>
    <row r="217" spans="5:7" x14ac:dyDescent="0.4">
      <c r="E217" s="826"/>
      <c r="F217" s="826"/>
      <c r="G217" s="609"/>
    </row>
    <row r="218" spans="5:7" x14ac:dyDescent="0.4">
      <c r="E218" s="609"/>
      <c r="F218" s="826"/>
    </row>
    <row r="219" spans="5:7" x14ac:dyDescent="0.4">
      <c r="E219" s="609"/>
      <c r="F219" s="826"/>
    </row>
    <row r="220" spans="5:7" x14ac:dyDescent="0.4">
      <c r="E220" s="609"/>
      <c r="F220" s="609"/>
    </row>
    <row r="221" spans="5:7" x14ac:dyDescent="0.4">
      <c r="E221" s="609"/>
      <c r="F221" s="609"/>
    </row>
    <row r="222" spans="5:7" x14ac:dyDescent="0.4">
      <c r="E222" s="609"/>
      <c r="F222" s="609"/>
    </row>
    <row r="223" spans="5:7" x14ac:dyDescent="0.4">
      <c r="E223" s="609"/>
      <c r="F223" s="609"/>
    </row>
    <row r="224" spans="5:7" x14ac:dyDescent="0.4">
      <c r="E224" s="609"/>
      <c r="F224" s="609"/>
    </row>
    <row r="225" spans="5:6" x14ac:dyDescent="0.4">
      <c r="E225" s="609"/>
      <c r="F225" s="609"/>
    </row>
    <row r="226" spans="5:6" x14ac:dyDescent="0.4">
      <c r="E226" s="609"/>
      <c r="F226" s="609"/>
    </row>
    <row r="227" spans="5:6" x14ac:dyDescent="0.4">
      <c r="E227" s="609"/>
      <c r="F227" s="609"/>
    </row>
    <row r="228" spans="5:6" x14ac:dyDescent="0.4">
      <c r="E228" s="609"/>
      <c r="F228" s="609"/>
    </row>
    <row r="229" spans="5:6" x14ac:dyDescent="0.4">
      <c r="E229" s="609"/>
      <c r="F229" s="609"/>
    </row>
    <row r="230" spans="5:6" x14ac:dyDescent="0.4">
      <c r="E230" s="609"/>
      <c r="F230" s="609"/>
    </row>
    <row r="231" spans="5:6" x14ac:dyDescent="0.4">
      <c r="E231" s="609"/>
      <c r="F231" s="609"/>
    </row>
    <row r="232" spans="5:6" x14ac:dyDescent="0.4">
      <c r="E232" s="609"/>
      <c r="F232" s="609"/>
    </row>
    <row r="233" spans="5:6" x14ac:dyDescent="0.4">
      <c r="E233" s="609"/>
      <c r="F233" s="609"/>
    </row>
    <row r="234" spans="5:6" x14ac:dyDescent="0.4">
      <c r="E234" s="609"/>
      <c r="F234" s="609"/>
    </row>
    <row r="235" spans="5:6" x14ac:dyDescent="0.4">
      <c r="E235" s="609"/>
      <c r="F235" s="609"/>
    </row>
    <row r="236" spans="5:6" x14ac:dyDescent="0.4">
      <c r="E236" s="609"/>
      <c r="F236" s="609"/>
    </row>
    <row r="237" spans="5:6" x14ac:dyDescent="0.4">
      <c r="E237" s="609"/>
      <c r="F237" s="609"/>
    </row>
    <row r="238" spans="5:6" x14ac:dyDescent="0.4">
      <c r="E238" s="609"/>
      <c r="F238" s="609"/>
    </row>
    <row r="239" spans="5:6" x14ac:dyDescent="0.4">
      <c r="E239" s="609"/>
      <c r="F239" s="609"/>
    </row>
    <row r="240" spans="5:6" x14ac:dyDescent="0.4">
      <c r="E240" s="609"/>
      <c r="F240" s="609"/>
    </row>
    <row r="241" spans="5:6" x14ac:dyDescent="0.4">
      <c r="E241" s="609"/>
      <c r="F241" s="609"/>
    </row>
    <row r="242" spans="5:6" x14ac:dyDescent="0.4">
      <c r="E242" s="609"/>
      <c r="F242" s="609"/>
    </row>
    <row r="243" spans="5:6" x14ac:dyDescent="0.4">
      <c r="E243" s="609"/>
      <c r="F243" s="609"/>
    </row>
    <row r="244" spans="5:6" x14ac:dyDescent="0.4">
      <c r="E244" s="609"/>
      <c r="F244" s="609"/>
    </row>
    <row r="245" spans="5:6" x14ac:dyDescent="0.4">
      <c r="E245" s="609"/>
      <c r="F245" s="609"/>
    </row>
    <row r="246" spans="5:6" x14ac:dyDescent="0.4">
      <c r="E246" s="609"/>
      <c r="F246" s="609"/>
    </row>
    <row r="247" spans="5:6" x14ac:dyDescent="0.4">
      <c r="E247" s="609"/>
      <c r="F247" s="609"/>
    </row>
    <row r="248" spans="5:6" x14ac:dyDescent="0.4">
      <c r="E248" s="609"/>
      <c r="F248" s="609"/>
    </row>
    <row r="249" spans="5:6" x14ac:dyDescent="0.4">
      <c r="E249" s="609"/>
      <c r="F249" s="609"/>
    </row>
    <row r="250" spans="5:6" x14ac:dyDescent="0.4">
      <c r="E250" s="609"/>
      <c r="F250" s="609"/>
    </row>
    <row r="251" spans="5:6" x14ac:dyDescent="0.4">
      <c r="E251" s="609"/>
      <c r="F251" s="609"/>
    </row>
    <row r="252" spans="5:6" x14ac:dyDescent="0.4">
      <c r="E252" s="609"/>
      <c r="F252" s="609"/>
    </row>
    <row r="253" spans="5:6" x14ac:dyDescent="0.4">
      <c r="E253" s="609"/>
      <c r="F253" s="609"/>
    </row>
    <row r="254" spans="5:6" x14ac:dyDescent="0.4">
      <c r="E254" s="609"/>
      <c r="F254" s="609"/>
    </row>
    <row r="255" spans="5:6" x14ac:dyDescent="0.4">
      <c r="E255" s="609"/>
      <c r="F255" s="609"/>
    </row>
    <row r="256" spans="5:6" x14ac:dyDescent="0.4">
      <c r="E256" s="609"/>
      <c r="F256" s="609"/>
    </row>
    <row r="257" spans="5:6" x14ac:dyDescent="0.4">
      <c r="E257" s="609"/>
      <c r="F257" s="609"/>
    </row>
    <row r="258" spans="5:6" x14ac:dyDescent="0.4">
      <c r="E258" s="609"/>
      <c r="F258" s="609"/>
    </row>
    <row r="259" spans="5:6" x14ac:dyDescent="0.4">
      <c r="E259" s="609"/>
      <c r="F259" s="609"/>
    </row>
    <row r="260" spans="5:6" x14ac:dyDescent="0.4">
      <c r="E260" s="609"/>
      <c r="F260" s="609"/>
    </row>
    <row r="261" spans="5:6" x14ac:dyDescent="0.4">
      <c r="E261" s="609"/>
      <c r="F261" s="609"/>
    </row>
    <row r="262" spans="5:6" x14ac:dyDescent="0.4">
      <c r="E262" s="609"/>
      <c r="F262" s="609"/>
    </row>
    <row r="263" spans="5:6" x14ac:dyDescent="0.4">
      <c r="E263" s="609"/>
      <c r="F263" s="609"/>
    </row>
    <row r="264" spans="5:6" x14ac:dyDescent="0.4">
      <c r="E264" s="609"/>
      <c r="F264" s="609"/>
    </row>
    <row r="265" spans="5:6" x14ac:dyDescent="0.4">
      <c r="E265" s="609"/>
      <c r="F265" s="609"/>
    </row>
    <row r="266" spans="5:6" x14ac:dyDescent="0.4">
      <c r="E266" s="609"/>
      <c r="F266" s="609"/>
    </row>
    <row r="267" spans="5:6" x14ac:dyDescent="0.4">
      <c r="E267" s="609"/>
      <c r="F267" s="609"/>
    </row>
    <row r="268" spans="5:6" x14ac:dyDescent="0.4">
      <c r="E268" s="609"/>
      <c r="F268" s="609"/>
    </row>
    <row r="269" spans="5:6" x14ac:dyDescent="0.4">
      <c r="E269" s="609"/>
      <c r="F269" s="609"/>
    </row>
    <row r="270" spans="5:6" x14ac:dyDescent="0.4">
      <c r="E270" s="609"/>
      <c r="F270" s="609"/>
    </row>
    <row r="271" spans="5:6" x14ac:dyDescent="0.4">
      <c r="E271" s="609"/>
      <c r="F271" s="609"/>
    </row>
    <row r="272" spans="5:6" x14ac:dyDescent="0.4">
      <c r="E272" s="609"/>
      <c r="F272" s="609"/>
    </row>
    <row r="273" spans="5:6" x14ac:dyDescent="0.4">
      <c r="E273" s="609"/>
      <c r="F273" s="609"/>
    </row>
    <row r="274" spans="5:6" x14ac:dyDescent="0.4">
      <c r="E274" s="609"/>
      <c r="F274" s="609"/>
    </row>
    <row r="275" spans="5:6" x14ac:dyDescent="0.4">
      <c r="E275" s="609"/>
      <c r="F275" s="609"/>
    </row>
    <row r="276" spans="5:6" x14ac:dyDescent="0.4">
      <c r="E276" s="609"/>
      <c r="F276" s="609"/>
    </row>
    <row r="277" spans="5:6" x14ac:dyDescent="0.4">
      <c r="E277" s="609"/>
      <c r="F277" s="609"/>
    </row>
    <row r="278" spans="5:6" x14ac:dyDescent="0.4">
      <c r="E278" s="609"/>
      <c r="F278" s="609"/>
    </row>
    <row r="279" spans="5:6" x14ac:dyDescent="0.4">
      <c r="E279" s="609"/>
      <c r="F279" s="609"/>
    </row>
    <row r="280" spans="5:6" x14ac:dyDescent="0.4">
      <c r="E280" s="609"/>
      <c r="F280" s="609"/>
    </row>
    <row r="281" spans="5:6" x14ac:dyDescent="0.4">
      <c r="E281" s="609"/>
      <c r="F281" s="609"/>
    </row>
    <row r="282" spans="5:6" x14ac:dyDescent="0.4">
      <c r="E282" s="609"/>
      <c r="F282" s="609"/>
    </row>
    <row r="283" spans="5:6" x14ac:dyDescent="0.4">
      <c r="E283" s="609"/>
      <c r="F283" s="609"/>
    </row>
    <row r="284" spans="5:6" x14ac:dyDescent="0.4">
      <c r="E284" s="609"/>
      <c r="F284" s="609"/>
    </row>
    <row r="285" spans="5:6" x14ac:dyDescent="0.4">
      <c r="E285" s="609"/>
      <c r="F285" s="609"/>
    </row>
    <row r="286" spans="5:6" x14ac:dyDescent="0.4">
      <c r="E286" s="609"/>
      <c r="F286" s="609"/>
    </row>
    <row r="287" spans="5:6" x14ac:dyDescent="0.4">
      <c r="E287" s="609"/>
      <c r="F287" s="609"/>
    </row>
    <row r="288" spans="5:6" x14ac:dyDescent="0.4">
      <c r="E288" s="609"/>
      <c r="F288" s="609"/>
    </row>
    <row r="289" spans="5:6" x14ac:dyDescent="0.4">
      <c r="E289" s="609"/>
      <c r="F289" s="609"/>
    </row>
    <row r="290" spans="5:6" x14ac:dyDescent="0.4">
      <c r="E290" s="609"/>
      <c r="F290" s="609"/>
    </row>
    <row r="291" spans="5:6" x14ac:dyDescent="0.4">
      <c r="E291" s="609"/>
      <c r="F291" s="609"/>
    </row>
    <row r="292" spans="5:6" x14ac:dyDescent="0.4">
      <c r="E292" s="609"/>
      <c r="F292" s="609"/>
    </row>
    <row r="293" spans="5:6" x14ac:dyDescent="0.4">
      <c r="E293" s="609"/>
      <c r="F293" s="609"/>
    </row>
    <row r="294" spans="5:6" x14ac:dyDescent="0.4">
      <c r="E294" s="609"/>
      <c r="F294" s="609"/>
    </row>
    <row r="295" spans="5:6" x14ac:dyDescent="0.4">
      <c r="E295" s="609"/>
      <c r="F295" s="609"/>
    </row>
    <row r="296" spans="5:6" x14ac:dyDescent="0.4">
      <c r="E296" s="609"/>
      <c r="F296" s="609"/>
    </row>
    <row r="297" spans="5:6" x14ac:dyDescent="0.4">
      <c r="E297" s="609"/>
      <c r="F297" s="609"/>
    </row>
    <row r="298" spans="5:6" x14ac:dyDescent="0.4">
      <c r="E298" s="609"/>
      <c r="F298" s="609"/>
    </row>
    <row r="299" spans="5:6" x14ac:dyDescent="0.4">
      <c r="E299" s="609"/>
      <c r="F299" s="609"/>
    </row>
    <row r="300" spans="5:6" x14ac:dyDescent="0.4">
      <c r="E300" s="609"/>
      <c r="F300" s="609"/>
    </row>
    <row r="301" spans="5:6" x14ac:dyDescent="0.4">
      <c r="E301" s="609"/>
      <c r="F301" s="609"/>
    </row>
    <row r="302" spans="5:6" x14ac:dyDescent="0.4">
      <c r="E302" s="609"/>
      <c r="F302" s="609"/>
    </row>
    <row r="303" spans="5:6" x14ac:dyDescent="0.4">
      <c r="E303" s="609"/>
      <c r="F303" s="609"/>
    </row>
    <row r="304" spans="5:6" x14ac:dyDescent="0.4">
      <c r="E304" s="609"/>
      <c r="F304" s="609"/>
    </row>
    <row r="305" spans="5:6" x14ac:dyDescent="0.4">
      <c r="E305" s="609"/>
      <c r="F305" s="609"/>
    </row>
    <row r="306" spans="5:6" x14ac:dyDescent="0.4">
      <c r="E306" s="609"/>
      <c r="F306" s="609"/>
    </row>
    <row r="307" spans="5:6" x14ac:dyDescent="0.4">
      <c r="E307" s="609"/>
      <c r="F307" s="609"/>
    </row>
    <row r="308" spans="5:6" x14ac:dyDescent="0.4">
      <c r="E308" s="609"/>
      <c r="F308" s="609"/>
    </row>
    <row r="309" spans="5:6" x14ac:dyDescent="0.4">
      <c r="E309" s="609"/>
      <c r="F309" s="609"/>
    </row>
    <row r="310" spans="5:6" x14ac:dyDescent="0.4">
      <c r="E310" s="609"/>
      <c r="F310" s="609"/>
    </row>
    <row r="311" spans="5:6" x14ac:dyDescent="0.4">
      <c r="E311" s="609"/>
      <c r="F311" s="609"/>
    </row>
    <row r="312" spans="5:6" x14ac:dyDescent="0.4">
      <c r="E312" s="609"/>
      <c r="F312" s="609"/>
    </row>
    <row r="313" spans="5:6" x14ac:dyDescent="0.4">
      <c r="E313" s="609"/>
      <c r="F313" s="609"/>
    </row>
    <row r="314" spans="5:6" x14ac:dyDescent="0.4">
      <c r="E314" s="609"/>
      <c r="F314" s="609"/>
    </row>
    <row r="315" spans="5:6" x14ac:dyDescent="0.4">
      <c r="E315" s="609"/>
      <c r="F315" s="609"/>
    </row>
    <row r="316" spans="5:6" x14ac:dyDescent="0.4">
      <c r="E316" s="609"/>
      <c r="F316" s="609"/>
    </row>
    <row r="317" spans="5:6" x14ac:dyDescent="0.4">
      <c r="E317" s="609"/>
      <c r="F317" s="609"/>
    </row>
    <row r="318" spans="5:6" x14ac:dyDescent="0.4">
      <c r="E318" s="609"/>
      <c r="F318" s="609"/>
    </row>
    <row r="319" spans="5:6" x14ac:dyDescent="0.4">
      <c r="E319" s="609"/>
      <c r="F319" s="609"/>
    </row>
    <row r="320" spans="5:6" x14ac:dyDescent="0.4">
      <c r="E320" s="609"/>
      <c r="F320" s="609"/>
    </row>
    <row r="321" spans="5:6" x14ac:dyDescent="0.4">
      <c r="E321" s="609"/>
      <c r="F321" s="609"/>
    </row>
    <row r="322" spans="5:6" x14ac:dyDescent="0.4">
      <c r="E322" s="609"/>
      <c r="F322" s="609"/>
    </row>
    <row r="323" spans="5:6" x14ac:dyDescent="0.4">
      <c r="E323" s="609"/>
      <c r="F323" s="609"/>
    </row>
    <row r="324" spans="5:6" x14ac:dyDescent="0.4">
      <c r="E324" s="609"/>
      <c r="F324" s="609"/>
    </row>
    <row r="325" spans="5:6" x14ac:dyDescent="0.4">
      <c r="E325" s="609"/>
      <c r="F325" s="609"/>
    </row>
    <row r="326" spans="5:6" x14ac:dyDescent="0.4">
      <c r="E326" s="609"/>
      <c r="F326" s="609"/>
    </row>
    <row r="327" spans="5:6" x14ac:dyDescent="0.4">
      <c r="E327" s="609"/>
      <c r="F327" s="609"/>
    </row>
    <row r="328" spans="5:6" x14ac:dyDescent="0.4">
      <c r="E328" s="609"/>
      <c r="F328" s="609"/>
    </row>
    <row r="329" spans="5:6" x14ac:dyDescent="0.4">
      <c r="E329" s="609"/>
      <c r="F329" s="609"/>
    </row>
    <row r="330" spans="5:6" x14ac:dyDescent="0.4">
      <c r="E330" s="609"/>
      <c r="F330" s="609"/>
    </row>
    <row r="331" spans="5:6" x14ac:dyDescent="0.4">
      <c r="E331" s="609"/>
      <c r="F331" s="609"/>
    </row>
    <row r="332" spans="5:6" x14ac:dyDescent="0.4">
      <c r="E332" s="609"/>
      <c r="F332" s="609"/>
    </row>
    <row r="333" spans="5:6" x14ac:dyDescent="0.4">
      <c r="E333" s="609"/>
      <c r="F333" s="609"/>
    </row>
    <row r="334" spans="5:6" x14ac:dyDescent="0.4">
      <c r="E334" s="609"/>
      <c r="F334" s="609"/>
    </row>
    <row r="335" spans="5:6" x14ac:dyDescent="0.4">
      <c r="E335" s="609"/>
      <c r="F335" s="609"/>
    </row>
    <row r="336" spans="5:6" x14ac:dyDescent="0.4">
      <c r="E336" s="609"/>
      <c r="F336" s="609"/>
    </row>
    <row r="337" spans="5:6" x14ac:dyDescent="0.4">
      <c r="E337" s="609"/>
      <c r="F337" s="609"/>
    </row>
    <row r="338" spans="5:6" x14ac:dyDescent="0.4">
      <c r="E338" s="609"/>
      <c r="F338" s="609"/>
    </row>
    <row r="339" spans="5:6" x14ac:dyDescent="0.4">
      <c r="E339" s="609"/>
      <c r="F339" s="609"/>
    </row>
    <row r="340" spans="5:6" x14ac:dyDescent="0.4">
      <c r="E340" s="609"/>
      <c r="F340" s="609"/>
    </row>
    <row r="341" spans="5:6" x14ac:dyDescent="0.4">
      <c r="E341" s="609"/>
      <c r="F341" s="609"/>
    </row>
    <row r="342" spans="5:6" x14ac:dyDescent="0.4">
      <c r="E342" s="609"/>
      <c r="F342" s="609"/>
    </row>
    <row r="343" spans="5:6" x14ac:dyDescent="0.4">
      <c r="E343" s="609"/>
      <c r="F343" s="609"/>
    </row>
    <row r="344" spans="5:6" x14ac:dyDescent="0.4">
      <c r="E344" s="609"/>
      <c r="F344" s="609"/>
    </row>
    <row r="345" spans="5:6" x14ac:dyDescent="0.4">
      <c r="E345" s="609"/>
      <c r="F345" s="609"/>
    </row>
    <row r="346" spans="5:6" x14ac:dyDescent="0.4">
      <c r="E346" s="609"/>
      <c r="F346" s="609"/>
    </row>
    <row r="347" spans="5:6" x14ac:dyDescent="0.4">
      <c r="E347" s="609"/>
      <c r="F347" s="609"/>
    </row>
    <row r="348" spans="5:6" x14ac:dyDescent="0.4">
      <c r="E348" s="609"/>
      <c r="F348" s="609"/>
    </row>
    <row r="349" spans="5:6" x14ac:dyDescent="0.4">
      <c r="E349" s="609"/>
      <c r="F349" s="609"/>
    </row>
    <row r="350" spans="5:6" x14ac:dyDescent="0.4">
      <c r="E350" s="609"/>
      <c r="F350" s="609"/>
    </row>
    <row r="351" spans="5:6" x14ac:dyDescent="0.4">
      <c r="E351" s="609"/>
      <c r="F351" s="609"/>
    </row>
    <row r="352" spans="5:6" x14ac:dyDescent="0.4">
      <c r="E352" s="609"/>
      <c r="F352" s="609"/>
    </row>
    <row r="353" spans="5:6" x14ac:dyDescent="0.4">
      <c r="E353" s="609"/>
      <c r="F353" s="609"/>
    </row>
    <row r="354" spans="5:6" x14ac:dyDescent="0.4">
      <c r="E354" s="609"/>
      <c r="F354" s="609"/>
    </row>
    <row r="355" spans="5:6" x14ac:dyDescent="0.4">
      <c r="E355" s="609"/>
      <c r="F355" s="609"/>
    </row>
    <row r="356" spans="5:6" x14ac:dyDescent="0.4">
      <c r="E356" s="609"/>
      <c r="F356" s="609"/>
    </row>
    <row r="357" spans="5:6" x14ac:dyDescent="0.4">
      <c r="E357" s="609"/>
      <c r="F357" s="609"/>
    </row>
    <row r="358" spans="5:6" x14ac:dyDescent="0.4">
      <c r="E358" s="609"/>
      <c r="F358" s="609"/>
    </row>
    <row r="359" spans="5:6" x14ac:dyDescent="0.4">
      <c r="E359" s="609"/>
      <c r="F359" s="609"/>
    </row>
    <row r="360" spans="5:6" x14ac:dyDescent="0.4">
      <c r="E360" s="609"/>
      <c r="F360" s="609"/>
    </row>
    <row r="361" spans="5:6" x14ac:dyDescent="0.4">
      <c r="E361" s="609"/>
      <c r="F361" s="609"/>
    </row>
    <row r="362" spans="5:6" x14ac:dyDescent="0.4">
      <c r="E362" s="609"/>
      <c r="F362" s="609"/>
    </row>
    <row r="363" spans="5:6" x14ac:dyDescent="0.4">
      <c r="E363" s="609"/>
      <c r="F363" s="609"/>
    </row>
    <row r="364" spans="5:6" x14ac:dyDescent="0.4">
      <c r="E364" s="609"/>
      <c r="F364" s="609"/>
    </row>
    <row r="365" spans="5:6" x14ac:dyDescent="0.4">
      <c r="E365" s="609"/>
      <c r="F365" s="609"/>
    </row>
    <row r="366" spans="5:6" x14ac:dyDescent="0.4">
      <c r="E366" s="609"/>
      <c r="F366" s="609"/>
    </row>
    <row r="367" spans="5:6" x14ac:dyDescent="0.4">
      <c r="E367" s="609"/>
      <c r="F367" s="609"/>
    </row>
    <row r="368" spans="5:6" x14ac:dyDescent="0.4">
      <c r="E368" s="609"/>
      <c r="F368" s="609"/>
    </row>
    <row r="369" spans="5:6" x14ac:dyDescent="0.4">
      <c r="E369" s="609"/>
      <c r="F369" s="609"/>
    </row>
    <row r="370" spans="5:6" x14ac:dyDescent="0.4">
      <c r="E370" s="609"/>
      <c r="F370" s="609"/>
    </row>
    <row r="371" spans="5:6" x14ac:dyDescent="0.4">
      <c r="E371" s="609"/>
      <c r="F371" s="609"/>
    </row>
    <row r="372" spans="5:6" x14ac:dyDescent="0.4">
      <c r="E372" s="609"/>
      <c r="F372" s="609"/>
    </row>
    <row r="373" spans="5:6" x14ac:dyDescent="0.4">
      <c r="E373" s="609"/>
      <c r="F373" s="609"/>
    </row>
    <row r="374" spans="5:6" x14ac:dyDescent="0.4">
      <c r="E374" s="609"/>
      <c r="F374" s="609"/>
    </row>
    <row r="375" spans="5:6" x14ac:dyDescent="0.4">
      <c r="E375" s="609"/>
      <c r="F375" s="609"/>
    </row>
    <row r="376" spans="5:6" x14ac:dyDescent="0.4">
      <c r="E376" s="609"/>
      <c r="F376" s="609"/>
    </row>
    <row r="377" spans="5:6" x14ac:dyDescent="0.4">
      <c r="E377" s="609"/>
      <c r="F377" s="609"/>
    </row>
    <row r="378" spans="5:6" x14ac:dyDescent="0.4">
      <c r="E378" s="609"/>
      <c r="F378" s="609"/>
    </row>
  </sheetData>
  <mergeCells count="1">
    <mergeCell ref="J1:K2"/>
  </mergeCells>
  <pageMargins left="0.7" right="0.7" top="0.75" bottom="0.75" header="0.3" footer="0.3"/>
  <cellWatches>
    <cellWatch r="AW137"/>
    <cellWatch r="AW138"/>
    <cellWatch r="AW139"/>
    <cellWatch r="AW140"/>
    <cellWatch r="AW141"/>
    <cellWatch r="AW142"/>
    <cellWatch r="AW143"/>
    <cellWatch r="AW144"/>
    <cellWatch r="AW145"/>
    <cellWatch r="AW146"/>
    <cellWatch r="AW147"/>
    <cellWatch r="AW148"/>
    <cellWatch r="AW149"/>
    <cellWatch r="AW150"/>
    <cellWatch r="AW151"/>
    <cellWatch r="AW152"/>
    <cellWatch r="AW153"/>
    <cellWatch r="AW154"/>
    <cellWatch r="AW155"/>
    <cellWatch r="AW156"/>
    <cellWatch r="AW157"/>
    <cellWatch r="AW158"/>
    <cellWatch r="AW159"/>
    <cellWatch r="AW160"/>
    <cellWatch r="AW161"/>
    <cellWatch r="AW162"/>
    <cellWatch r="AW163"/>
    <cellWatch r="AW164"/>
    <cellWatch r="AW165"/>
    <cellWatch r="AW166"/>
    <cellWatch r="AW167"/>
    <cellWatch r="AW168"/>
    <cellWatch r="AW169"/>
    <cellWatch r="AW170"/>
    <cellWatch r="AW171"/>
    <cellWatch r="AW212"/>
    <cellWatch r="AW213"/>
    <cellWatch r="AW214"/>
    <cellWatch r="AW215"/>
    <cellWatch r="AW216"/>
    <cellWatch r="AW217"/>
    <cellWatch r="AW218"/>
    <cellWatch r="AW219"/>
    <cellWatch r="AW220"/>
    <cellWatch r="AW221"/>
    <cellWatch r="AW222"/>
    <cellWatch r="AW223"/>
    <cellWatch r="AW224"/>
    <cellWatch r="AW225"/>
    <cellWatch r="AW226"/>
    <cellWatch r="AW227"/>
    <cellWatch r="AW228"/>
    <cellWatch r="AW229"/>
    <cellWatch r="AW230"/>
    <cellWatch r="AW231"/>
    <cellWatch r="AW232"/>
    <cellWatch r="AW233"/>
    <cellWatch r="AW234"/>
    <cellWatch r="AW235"/>
    <cellWatch r="AW236"/>
    <cellWatch r="AW237"/>
    <cellWatch r="AW238"/>
    <cellWatch r="AW239"/>
    <cellWatch r="AW240"/>
    <cellWatch r="AW241"/>
    <cellWatch r="AW172"/>
    <cellWatch r="AW173"/>
    <cellWatch r="AV148"/>
    <cellWatch r="AV149"/>
    <cellWatch r="AV150"/>
    <cellWatch r="AV151"/>
    <cellWatch r="AV152"/>
    <cellWatch r="AV153"/>
    <cellWatch r="AV154"/>
    <cellWatch r="AV155"/>
    <cellWatch r="AV156"/>
    <cellWatch r="AV157"/>
    <cellWatch r="AV158"/>
    <cellWatch r="AV159"/>
    <cellWatch r="AV160"/>
    <cellWatch r="AV161"/>
    <cellWatch r="AV162"/>
    <cellWatch r="AV163"/>
    <cellWatch r="AV164"/>
    <cellWatch r="AV165"/>
    <cellWatch r="AV166"/>
    <cellWatch r="AV167"/>
    <cellWatch r="AV168"/>
    <cellWatch r="AV169"/>
    <cellWatch r="AV170"/>
    <cellWatch r="AV171"/>
    <cellWatch r="AV172"/>
    <cellWatch r="AV173"/>
    <cellWatch r="AV174"/>
    <cellWatch r="AV175"/>
    <cellWatch r="AV176"/>
    <cellWatch r="AV177"/>
    <cellWatch r="AV178"/>
    <cellWatch r="AV179"/>
    <cellWatch r="AV180"/>
    <cellWatch r="AV181"/>
    <cellWatch r="AV182"/>
    <cellWatch r="AY137"/>
    <cellWatch r="AY138"/>
    <cellWatch r="AY139"/>
    <cellWatch r="AY140"/>
    <cellWatch r="AY141"/>
    <cellWatch r="AY142"/>
    <cellWatch r="AY143"/>
    <cellWatch r="AY144"/>
    <cellWatch r="AY145"/>
    <cellWatch r="AY146"/>
    <cellWatch r="AY147"/>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W296"/>
    <cellWatch r="AW297"/>
    <cellWatch r="AW298"/>
    <cellWatch r="AW299"/>
    <cellWatch r="AW300"/>
    <cellWatch r="AW301"/>
    <cellWatch r="AW302"/>
    <cellWatch r="AW303"/>
    <cellWatch r="AW304"/>
    <cellWatch r="AW305"/>
    <cellWatch r="AW306"/>
    <cellWatch r="AW307"/>
    <cellWatch r="AW308"/>
    <cellWatch r="AW309"/>
    <cellWatch r="AW310"/>
    <cellWatch r="AW311"/>
    <cellWatch r="AW312"/>
    <cellWatch r="AW313"/>
    <cellWatch r="AW314"/>
    <cellWatch r="AW315"/>
    <cellWatch r="AW316"/>
    <cellWatch r="AW317"/>
    <cellWatch r="AW318"/>
    <cellWatch r="AW319"/>
    <cellWatch r="AW320"/>
    <cellWatch r="AW321"/>
    <cellWatch r="AW174"/>
    <cellWatch r="AW175"/>
    <cellWatch r="AW176"/>
    <cellWatch r="AW177"/>
    <cellWatch r="AW178"/>
    <cellWatch r="AW179"/>
    <cellWatch r="AW180"/>
    <cellWatch r="AW181"/>
    <cellWatch r="AW182"/>
    <cellWatch r="AW242"/>
    <cellWatch r="AX138"/>
    <cellWatch r="AX139"/>
    <cellWatch r="AX140"/>
    <cellWatch r="AX141"/>
    <cellWatch r="AX142"/>
    <cellWatch r="AX143"/>
    <cellWatch r="AX144"/>
    <cellWatch r="AX145"/>
    <cellWatch r="AX146"/>
    <cellWatch r="AX147"/>
    <cellWatch r="AX148"/>
    <cellWatch r="AX149"/>
    <cellWatch r="AX150"/>
    <cellWatch r="AX151"/>
    <cellWatch r="AX152"/>
    <cellWatch r="AX153"/>
    <cellWatch r="AX154"/>
    <cellWatch r="AX155"/>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V183"/>
    <cellWatch r="AW322"/>
    <cellWatch r="AY172"/>
    <cellWatch r="AY173"/>
    <cellWatch r="AW243"/>
    <cellWatch r="AW244"/>
    <cellWatch r="AW245"/>
    <cellWatch r="AW246"/>
    <cellWatch r="AW247"/>
    <cellWatch r="AV184"/>
    <cellWatch r="AV185"/>
    <cellWatch r="AV186"/>
    <cellWatch r="AV187"/>
    <cellWatch r="AV188"/>
    <cellWatch r="AV145"/>
    <cellWatch r="AV146"/>
    <cellWatch r="AV147"/>
    <cellWatch r="AV220"/>
    <cellWatch r="AV221"/>
    <cellWatch r="AV222"/>
    <cellWatch r="AV223"/>
    <cellWatch r="AV224"/>
    <cellWatch r="AV225"/>
    <cellWatch r="AV226"/>
    <cellWatch r="AV227"/>
    <cellWatch r="AV228"/>
    <cellWatch r="AV229"/>
    <cellWatch r="AV230"/>
    <cellWatch r="AV231"/>
    <cellWatch r="AV232"/>
    <cellWatch r="AV233"/>
    <cellWatch r="AV234"/>
    <cellWatch r="AV235"/>
    <cellWatch r="AV236"/>
    <cellWatch r="AV237"/>
    <cellWatch r="AV238"/>
    <cellWatch r="AV239"/>
    <cellWatch r="AV240"/>
    <cellWatch r="AV241"/>
    <cellWatch r="AV242"/>
    <cellWatch r="AV243"/>
    <cellWatch r="AV244"/>
    <cellWatch r="AV245"/>
    <cellWatch r="AV246"/>
    <cellWatch r="AV247"/>
    <cellWatch r="AV248"/>
    <cellWatch r="AV249"/>
    <cellWatch r="AU156"/>
    <cellWatch r="AU157"/>
    <cellWatch r="AU158"/>
    <cellWatch r="AU159"/>
    <cellWatch r="AU160"/>
    <cellWatch r="AU161"/>
    <cellWatch r="AU162"/>
    <cellWatch r="AU163"/>
    <cellWatch r="AU164"/>
    <cellWatch r="AU165"/>
    <cellWatch r="AU166"/>
    <cellWatch r="AU167"/>
    <cellWatch r="AU168"/>
    <cellWatch r="AU169"/>
    <cellWatch r="AU170"/>
    <cellWatch r="AU171"/>
    <cellWatch r="AU172"/>
    <cellWatch r="AU173"/>
    <cellWatch r="AU174"/>
    <cellWatch r="AU175"/>
    <cellWatch r="AU176"/>
    <cellWatch r="AU177"/>
    <cellWatch r="AU178"/>
    <cellWatch r="AU179"/>
    <cellWatch r="AU180"/>
    <cellWatch r="AU181"/>
    <cellWatch r="AU182"/>
    <cellWatch r="AU183"/>
    <cellWatch r="AU184"/>
    <cellWatch r="AU185"/>
    <cellWatch r="AU186"/>
    <cellWatch r="AU187"/>
    <cellWatch r="AU188"/>
    <cellWatch r="AU189"/>
    <cellWatch r="AU190"/>
    <cellWatch r="AV304"/>
    <cellWatch r="AV305"/>
    <cellWatch r="AV306"/>
    <cellWatch r="AV307"/>
    <cellWatch r="AV308"/>
    <cellWatch r="AV309"/>
    <cellWatch r="AV310"/>
    <cellWatch r="AV311"/>
    <cellWatch r="AV312"/>
    <cellWatch r="AV313"/>
    <cellWatch r="AV314"/>
    <cellWatch r="AV315"/>
    <cellWatch r="AV316"/>
    <cellWatch r="AV317"/>
    <cellWatch r="AV318"/>
    <cellWatch r="AV319"/>
    <cellWatch r="AV320"/>
    <cellWatch r="AV321"/>
    <cellWatch r="AV322"/>
    <cellWatch r="AV323"/>
    <cellWatch r="AV324"/>
    <cellWatch r="AV325"/>
    <cellWatch r="AV326"/>
    <cellWatch r="AV327"/>
    <cellWatch r="AV328"/>
    <cellWatch r="AV329"/>
    <cellWatch r="AX173"/>
    <cellWatch r="AX174"/>
    <cellWatch r="AX175"/>
    <cellWatch r="AX176"/>
    <cellWatch r="AX177"/>
    <cellWatch r="AX178"/>
    <cellWatch r="AX179"/>
    <cellWatch r="AX180"/>
    <cellWatch r="AV250"/>
    <cellWatch r="AV251"/>
    <cellWatch r="AV252"/>
    <cellWatch r="AV253"/>
    <cellWatch r="AV254"/>
    <cellWatch r="AU191"/>
    <cellWatch r="AU192"/>
    <cellWatch r="AU193"/>
    <cellWatch r="AU194"/>
    <cellWatch r="AU195"/>
    <cellWatch r="AX137"/>
    <cellWatch r="AV139"/>
    <cellWatch r="AV140"/>
    <cellWatch r="AV141"/>
    <cellWatch r="AV142"/>
    <cellWatch r="AV143"/>
    <cellWatch r="AV144"/>
    <cellWatch r="AV135"/>
    <cellWatch r="AV136"/>
    <cellWatch r="AV137"/>
    <cellWatch r="AV138"/>
    <cellWatch r="AT137"/>
    <cellWatch r="AT138"/>
    <cellWatch r="AT139"/>
    <cellWatch r="AT140"/>
    <cellWatch r="AT141"/>
    <cellWatch r="AT142"/>
    <cellWatch r="AT143"/>
    <cellWatch r="AT144"/>
    <cellWatch r="AT145"/>
    <cellWatch r="AT146"/>
    <cellWatch r="AT147"/>
    <cellWatch r="AT148"/>
    <cellWatch r="AT149"/>
    <cellWatch r="AT150"/>
    <cellWatch r="AT151"/>
    <cellWatch r="AT152"/>
    <cellWatch r="AT153"/>
    <cellWatch r="AT154"/>
    <cellWatch r="AT155"/>
    <cellWatch r="AT156"/>
    <cellWatch r="AT157"/>
    <cellWatch r="AT158"/>
    <cellWatch r="AT159"/>
    <cellWatch r="AT160"/>
    <cellWatch r="AT161"/>
    <cellWatch r="AT162"/>
    <cellWatch r="AT163"/>
    <cellWatch r="AT164"/>
    <cellWatch r="AT165"/>
    <cellWatch r="AT166"/>
    <cellWatch r="AT167"/>
    <cellWatch r="AT168"/>
    <cellWatch r="AT169"/>
    <cellWatch r="AT170"/>
    <cellWatch r="AT171"/>
    <cellWatch r="AT212"/>
    <cellWatch r="AT213"/>
    <cellWatch r="AT214"/>
    <cellWatch r="AT215"/>
    <cellWatch r="AT216"/>
    <cellWatch r="AT217"/>
    <cellWatch r="AT218"/>
    <cellWatch r="AT219"/>
    <cellWatch r="AT220"/>
    <cellWatch r="AT221"/>
    <cellWatch r="AT222"/>
    <cellWatch r="AT223"/>
    <cellWatch r="AT224"/>
    <cellWatch r="AT225"/>
    <cellWatch r="AT226"/>
    <cellWatch r="AT227"/>
    <cellWatch r="AT228"/>
    <cellWatch r="AT229"/>
    <cellWatch r="AT230"/>
    <cellWatch r="AT231"/>
    <cellWatch r="AT232"/>
    <cellWatch r="AT233"/>
    <cellWatch r="AT234"/>
    <cellWatch r="AT235"/>
    <cellWatch r="AT236"/>
    <cellWatch r="AT237"/>
    <cellWatch r="AT238"/>
    <cellWatch r="AT239"/>
    <cellWatch r="AT240"/>
    <cellWatch r="AT241"/>
    <cellWatch r="AT172"/>
    <cellWatch r="AT173"/>
    <cellWatch r="AS148"/>
    <cellWatch r="AS149"/>
    <cellWatch r="AS150"/>
    <cellWatch r="AS151"/>
    <cellWatch r="AS152"/>
    <cellWatch r="AS153"/>
    <cellWatch r="AS154"/>
    <cellWatch r="AS155"/>
    <cellWatch r="AS156"/>
    <cellWatch r="AS157"/>
    <cellWatch r="AS158"/>
    <cellWatch r="AS159"/>
    <cellWatch r="AS160"/>
    <cellWatch r="AS161"/>
    <cellWatch r="AS162"/>
    <cellWatch r="AS163"/>
    <cellWatch r="AS164"/>
    <cellWatch r="AS165"/>
    <cellWatch r="AS166"/>
    <cellWatch r="AS167"/>
    <cellWatch r="AS168"/>
    <cellWatch r="AS169"/>
    <cellWatch r="AS170"/>
    <cellWatch r="AS171"/>
    <cellWatch r="AS172"/>
    <cellWatch r="AS173"/>
    <cellWatch r="AS174"/>
    <cellWatch r="AS175"/>
    <cellWatch r="AS176"/>
    <cellWatch r="AS177"/>
    <cellWatch r="AS178"/>
    <cellWatch r="AS179"/>
    <cellWatch r="AS180"/>
    <cellWatch r="AS181"/>
    <cellWatch r="AS182"/>
    <cellWatch r="AT242"/>
    <cellWatch r="AT243"/>
    <cellWatch r="AT244"/>
    <cellWatch r="AT245"/>
    <cellWatch r="AT246"/>
    <cellWatch r="AT174"/>
    <cellWatch r="AT175"/>
    <cellWatch r="AT176"/>
    <cellWatch r="AU137"/>
    <cellWatch r="AU138"/>
    <cellWatch r="AU139"/>
    <cellWatch r="AU140"/>
    <cellWatch r="AU141"/>
    <cellWatch r="AU142"/>
    <cellWatch r="AU143"/>
    <cellWatch r="AU144"/>
    <cellWatch r="AU145"/>
    <cellWatch r="AU146"/>
    <cellWatch r="AU147"/>
    <cellWatch r="AU148"/>
    <cellWatch r="AU149"/>
    <cellWatch r="AU150"/>
    <cellWatch r="AU151"/>
    <cellWatch r="AU152"/>
    <cellWatch r="AU153"/>
    <cellWatch r="AU154"/>
    <cellWatch r="AU155"/>
    <cellWatch r="AT296"/>
    <cellWatch r="AT297"/>
    <cellWatch r="AT298"/>
    <cellWatch r="AT299"/>
    <cellWatch r="AT300"/>
    <cellWatch r="AT301"/>
    <cellWatch r="AT302"/>
    <cellWatch r="AT303"/>
    <cellWatch r="AT304"/>
    <cellWatch r="AT305"/>
    <cellWatch r="AT306"/>
    <cellWatch r="AT307"/>
    <cellWatch r="AT308"/>
    <cellWatch r="AT309"/>
    <cellWatch r="AT310"/>
    <cellWatch r="AT311"/>
    <cellWatch r="AT312"/>
    <cellWatch r="AT313"/>
    <cellWatch r="AT314"/>
    <cellWatch r="AT315"/>
    <cellWatch r="AT316"/>
    <cellWatch r="AT317"/>
    <cellWatch r="AT318"/>
    <cellWatch r="AT319"/>
    <cellWatch r="AT320"/>
    <cellWatch r="AT321"/>
    <cellWatch r="AT177"/>
    <cellWatch r="AT178"/>
    <cellWatch r="AS183"/>
    <cellWatch r="AS184"/>
    <cellWatch r="AS185"/>
    <cellWatch r="AS186"/>
    <cellWatch r="AS187"/>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145F5-CE7B-4D9F-90DC-A8DEE32ACD1D}">
  <dimension ref="A1:N219"/>
  <sheetViews>
    <sheetView topLeftCell="A37" zoomScale="80" zoomScaleNormal="80" workbookViewId="0">
      <selection activeCell="I107" sqref="I107"/>
    </sheetView>
  </sheetViews>
  <sheetFormatPr defaultColWidth="10.6640625" defaultRowHeight="12.3" x14ac:dyDescent="0.4"/>
  <cols>
    <col min="1" max="1" width="10.6640625" style="609"/>
    <col min="2" max="2" width="20.83203125" style="609" customWidth="1"/>
    <col min="3" max="16384" width="10.6640625" style="609"/>
  </cols>
  <sheetData>
    <row r="1" spans="1:14" ht="31.2" x14ac:dyDescent="0.6">
      <c r="J1" s="1289" t="s">
        <v>1075</v>
      </c>
      <c r="K1" s="1289"/>
      <c r="L1" s="341" t="s">
        <v>114</v>
      </c>
      <c r="M1" s="1126" t="s">
        <v>1056</v>
      </c>
      <c r="N1" s="1126"/>
    </row>
    <row r="2" spans="1:14" ht="15.6" x14ac:dyDescent="0.6">
      <c r="J2" s="1289"/>
      <c r="K2" s="1289"/>
      <c r="L2" s="609">
        <v>2012</v>
      </c>
      <c r="M2" s="1127">
        <f>M3+0.19</f>
        <v>35.759999999999991</v>
      </c>
      <c r="N2" s="1259"/>
    </row>
    <row r="3" spans="1:14" ht="15.6" x14ac:dyDescent="0.6">
      <c r="A3" s="609" t="s">
        <v>348</v>
      </c>
      <c r="L3" s="609">
        <v>2013</v>
      </c>
      <c r="M3" s="1127">
        <f>M4+0.19</f>
        <v>35.569999999999993</v>
      </c>
      <c r="N3" s="1127"/>
    </row>
    <row r="4" spans="1:14" ht="15.6" x14ac:dyDescent="0.6">
      <c r="B4" s="609" t="s">
        <v>353</v>
      </c>
      <c r="C4" s="609" t="s">
        <v>355</v>
      </c>
      <c r="D4" s="609" t="s">
        <v>358</v>
      </c>
      <c r="E4" s="609" t="s">
        <v>356</v>
      </c>
      <c r="L4" s="609">
        <v>2014</v>
      </c>
      <c r="M4" s="1127">
        <f t="shared" ref="M4" si="0">M5+0.19</f>
        <v>35.379999999999995</v>
      </c>
      <c r="N4" s="1127"/>
    </row>
    <row r="5" spans="1:14" ht="15.6" x14ac:dyDescent="0.6">
      <c r="A5" s="609">
        <v>2014</v>
      </c>
      <c r="B5" s="707">
        <v>206.02949233262407</v>
      </c>
      <c r="C5" s="335">
        <f>'MSW Integration Calcs PDS1 '!AB60</f>
        <v>626.75236333333328</v>
      </c>
      <c r="D5" s="335">
        <f>IF(B5&gt;C5,B5-C5,0)</f>
        <v>0</v>
      </c>
      <c r="E5" s="335">
        <f>B5-D5</f>
        <v>206.02949233262407</v>
      </c>
      <c r="H5" s="1214"/>
      <c r="I5" s="1214"/>
      <c r="L5" s="609">
        <v>2015</v>
      </c>
      <c r="M5" s="1127">
        <f>M6+0.19</f>
        <v>35.19</v>
      </c>
      <c r="N5" s="1127"/>
    </row>
    <row r="6" spans="1:14" ht="15.6" x14ac:dyDescent="0.6">
      <c r="A6" s="609">
        <v>2015</v>
      </c>
      <c r="B6" s="707">
        <v>235.52669042717577</v>
      </c>
      <c r="C6" s="335">
        <f>'MSW Integration Calcs PDS1 '!AB61</f>
        <v>664.94060999999999</v>
      </c>
      <c r="D6" s="335">
        <f t="shared" ref="D6:D51" si="1">IF(B6&gt;C6,B6-C6,0)</f>
        <v>0</v>
      </c>
      <c r="E6" s="335">
        <f t="shared" ref="E6:E51" si="2">B6-D6</f>
        <v>235.52669042717577</v>
      </c>
      <c r="H6" s="826"/>
      <c r="I6" s="826"/>
      <c r="L6" s="609">
        <v>2016</v>
      </c>
      <c r="M6" s="1127">
        <v>35</v>
      </c>
      <c r="N6" s="1127"/>
    </row>
    <row r="7" spans="1:14" ht="15.6" x14ac:dyDescent="0.6">
      <c r="A7" s="609">
        <v>2016</v>
      </c>
      <c r="B7" s="707">
        <v>266.79999999999995</v>
      </c>
      <c r="C7" s="335">
        <f>'MSW Integration Calcs PDS1 '!AB62</f>
        <v>702.74354999999991</v>
      </c>
      <c r="D7" s="335">
        <f t="shared" si="1"/>
        <v>0</v>
      </c>
      <c r="E7" s="335">
        <f t="shared" si="2"/>
        <v>266.79999999999995</v>
      </c>
      <c r="H7" s="826"/>
      <c r="I7" s="1174"/>
      <c r="L7" s="609">
        <v>2017</v>
      </c>
      <c r="M7" s="1127">
        <f>M6-0.19</f>
        <v>34.81</v>
      </c>
      <c r="N7" s="1127"/>
    </row>
    <row r="8" spans="1:14" ht="15.6" x14ac:dyDescent="0.6">
      <c r="A8" s="609">
        <v>2017</v>
      </c>
      <c r="B8" s="707">
        <v>283.94991061675432</v>
      </c>
      <c r="C8" s="335">
        <f>'MSW Integration Calcs PDS1 '!AB63</f>
        <v>738.25066800254558</v>
      </c>
      <c r="D8" s="335">
        <f t="shared" si="1"/>
        <v>0</v>
      </c>
      <c r="E8" s="335">
        <f t="shared" si="2"/>
        <v>283.94991061675432</v>
      </c>
      <c r="H8" s="826"/>
      <c r="I8" s="1174"/>
      <c r="L8" s="609">
        <v>2018</v>
      </c>
      <c r="M8" s="1127">
        <f t="shared" ref="M8:M50" si="3">M7-0.19</f>
        <v>34.620000000000005</v>
      </c>
      <c r="N8" s="1127"/>
    </row>
    <row r="9" spans="1:14" ht="15.6" x14ac:dyDescent="0.6">
      <c r="A9" s="609">
        <v>2018</v>
      </c>
      <c r="B9" s="707">
        <v>292.60634340971905</v>
      </c>
      <c r="C9" s="335">
        <f>'MSW Integration Calcs PDS1 '!AB64</f>
        <v>747.12431895217935</v>
      </c>
      <c r="D9" s="335">
        <f t="shared" si="1"/>
        <v>0</v>
      </c>
      <c r="E9" s="335">
        <f t="shared" si="2"/>
        <v>292.60634340971905</v>
      </c>
      <c r="H9" s="826"/>
      <c r="I9" s="1174"/>
      <c r="L9" s="609">
        <v>2019</v>
      </c>
      <c r="M9" s="1127">
        <f t="shared" si="3"/>
        <v>34.430000000000007</v>
      </c>
      <c r="N9" s="1127"/>
    </row>
    <row r="10" spans="1:14" ht="15.6" x14ac:dyDescent="0.6">
      <c r="A10" s="609">
        <v>2019</v>
      </c>
      <c r="B10" s="707">
        <v>301.30305889642432</v>
      </c>
      <c r="C10" s="335">
        <f>'MSW Integration Calcs PDS1 '!AB65</f>
        <v>755.77754621626957</v>
      </c>
      <c r="D10" s="335">
        <f t="shared" si="1"/>
        <v>0</v>
      </c>
      <c r="E10" s="335">
        <f t="shared" si="2"/>
        <v>301.30305889642432</v>
      </c>
      <c r="H10" s="826"/>
      <c r="I10" s="1174"/>
      <c r="L10" s="609">
        <v>2020</v>
      </c>
      <c r="M10" s="1127">
        <f t="shared" si="3"/>
        <v>34.240000000000009</v>
      </c>
      <c r="N10" s="1127"/>
    </row>
    <row r="11" spans="1:14" ht="15.6" x14ac:dyDescent="0.6">
      <c r="A11" s="609">
        <v>2020</v>
      </c>
      <c r="B11" s="707">
        <v>310.0944871287179</v>
      </c>
      <c r="C11" s="335">
        <f>'MSW Integration Calcs PDS1 '!AB66</f>
        <v>764.39423175808997</v>
      </c>
      <c r="D11" s="335">
        <f t="shared" si="1"/>
        <v>0</v>
      </c>
      <c r="E11" s="335">
        <f t="shared" si="2"/>
        <v>310.0944871287179</v>
      </c>
      <c r="H11" s="826"/>
      <c r="I11" s="1174"/>
      <c r="L11" s="609">
        <v>2021</v>
      </c>
      <c r="M11" s="1127">
        <f t="shared" si="3"/>
        <v>34.050000000000011</v>
      </c>
      <c r="N11" s="1127"/>
    </row>
    <row r="12" spans="1:14" ht="15.6" x14ac:dyDescent="0.6">
      <c r="A12" s="609">
        <v>2021</v>
      </c>
      <c r="B12" s="707">
        <v>318.78982702612365</v>
      </c>
      <c r="C12" s="335">
        <f>'MSW Integration Calcs PDS1 '!AB67</f>
        <v>771.91704962262827</v>
      </c>
      <c r="D12" s="335">
        <f t="shared" si="1"/>
        <v>0</v>
      </c>
      <c r="E12" s="335">
        <f t="shared" si="2"/>
        <v>318.78982702612365</v>
      </c>
      <c r="H12" s="826"/>
      <c r="I12" s="1174"/>
      <c r="L12" s="609">
        <v>2022</v>
      </c>
      <c r="M12" s="1127">
        <f t="shared" si="3"/>
        <v>33.860000000000014</v>
      </c>
      <c r="N12" s="1127"/>
    </row>
    <row r="13" spans="1:14" ht="15.6" x14ac:dyDescent="0.6">
      <c r="A13" s="609">
        <v>2022</v>
      </c>
      <c r="B13" s="707">
        <v>327.61392187628667</v>
      </c>
      <c r="C13" s="335">
        <f>'MSW Integration Calcs PDS1 '!AB68</f>
        <v>779.42271505074962</v>
      </c>
      <c r="D13" s="335">
        <f t="shared" si="1"/>
        <v>0</v>
      </c>
      <c r="E13" s="335">
        <f t="shared" si="2"/>
        <v>327.61392187628667</v>
      </c>
      <c r="H13" s="826"/>
      <c r="I13" s="1174"/>
      <c r="L13" s="609">
        <v>2023</v>
      </c>
      <c r="M13" s="1127">
        <f t="shared" si="3"/>
        <v>33.670000000000016</v>
      </c>
      <c r="N13" s="1127"/>
    </row>
    <row r="14" spans="1:14" ht="15.6" x14ac:dyDescent="0.6">
      <c r="A14" s="609">
        <v>2023</v>
      </c>
      <c r="B14" s="707">
        <v>336.45813473711172</v>
      </c>
      <c r="C14" s="335">
        <f>'MSW Integration Calcs PDS1 '!AB69</f>
        <v>786.64213969469324</v>
      </c>
      <c r="D14" s="335">
        <f t="shared" si="1"/>
        <v>0</v>
      </c>
      <c r="E14" s="335">
        <f t="shared" si="2"/>
        <v>336.45813473711172</v>
      </c>
      <c r="H14" s="826"/>
      <c r="I14" s="1174"/>
      <c r="L14" s="609">
        <v>2024</v>
      </c>
      <c r="M14" s="1127">
        <f t="shared" si="3"/>
        <v>33.480000000000018</v>
      </c>
      <c r="N14" s="1127"/>
    </row>
    <row r="15" spans="1:14" ht="15.6" x14ac:dyDescent="0.6">
      <c r="A15" s="609">
        <v>2024</v>
      </c>
      <c r="B15" s="707">
        <v>345.31871228695439</v>
      </c>
      <c r="C15" s="335">
        <f>'MSW Integration Calcs PDS1 '!AB70</f>
        <v>793.12144844927138</v>
      </c>
      <c r="D15" s="335">
        <f t="shared" si="1"/>
        <v>0</v>
      </c>
      <c r="E15" s="335">
        <f t="shared" si="2"/>
        <v>345.31871228695439</v>
      </c>
      <c r="H15" s="826"/>
      <c r="I15" s="1174"/>
      <c r="L15" s="609">
        <v>2025</v>
      </c>
      <c r="M15" s="1127">
        <f t="shared" si="3"/>
        <v>33.29000000000002</v>
      </c>
      <c r="N15" s="1127"/>
    </row>
    <row r="16" spans="1:14" ht="15.6" x14ac:dyDescent="0.6">
      <c r="A16" s="609">
        <v>2025</v>
      </c>
      <c r="B16" s="707">
        <v>354.04010688361768</v>
      </c>
      <c r="C16" s="335">
        <f>'MSW Integration Calcs PDS1 '!AB71</f>
        <v>799.00495936686229</v>
      </c>
      <c r="D16" s="335">
        <f t="shared" si="1"/>
        <v>0</v>
      </c>
      <c r="E16" s="335">
        <f t="shared" si="2"/>
        <v>354.04010688361768</v>
      </c>
      <c r="H16" s="826"/>
      <c r="I16" s="1174"/>
      <c r="L16" s="609">
        <v>2026</v>
      </c>
      <c r="M16" s="1127">
        <f t="shared" si="3"/>
        <v>33.100000000000023</v>
      </c>
      <c r="N16" s="1127"/>
    </row>
    <row r="17" spans="1:14" ht="15.6" x14ac:dyDescent="0.6">
      <c r="A17" s="609">
        <v>2026</v>
      </c>
      <c r="B17" s="707">
        <v>364.32569054573003</v>
      </c>
      <c r="C17" s="335">
        <f>'MSW Integration Calcs PDS1 '!AB72</f>
        <v>807.94615096543134</v>
      </c>
      <c r="D17" s="335">
        <f t="shared" si="1"/>
        <v>0</v>
      </c>
      <c r="E17" s="335">
        <f t="shared" si="2"/>
        <v>364.32569054573003</v>
      </c>
      <c r="H17" s="826"/>
      <c r="I17" s="1174"/>
      <c r="L17" s="609">
        <v>2027</v>
      </c>
      <c r="M17" s="1127">
        <f t="shared" si="3"/>
        <v>32.910000000000025</v>
      </c>
      <c r="N17" s="1127"/>
    </row>
    <row r="18" spans="1:14" ht="15.6" x14ac:dyDescent="0.6">
      <c r="A18" s="609">
        <v>2027</v>
      </c>
      <c r="B18" s="707">
        <v>375.07141217897413</v>
      </c>
      <c r="C18" s="335">
        <f>'MSW Integration Calcs PDS1 '!AB73</f>
        <v>817.3829922754976</v>
      </c>
      <c r="D18" s="335">
        <f t="shared" si="1"/>
        <v>0</v>
      </c>
      <c r="E18" s="335">
        <f t="shared" si="2"/>
        <v>375.07141217897413</v>
      </c>
      <c r="H18" s="826"/>
      <c r="I18" s="1174"/>
      <c r="L18" s="609">
        <v>2028</v>
      </c>
      <c r="M18" s="1127">
        <f t="shared" si="3"/>
        <v>32.720000000000027</v>
      </c>
      <c r="N18" s="1127"/>
    </row>
    <row r="19" spans="1:14" ht="15.6" x14ac:dyDescent="0.6">
      <c r="A19" s="609">
        <v>2028</v>
      </c>
      <c r="B19" s="707">
        <v>385.85333812234705</v>
      </c>
      <c r="C19" s="335">
        <f>'MSW Integration Calcs PDS1 '!AB74</f>
        <v>826.35873017687391</v>
      </c>
      <c r="D19" s="335">
        <f t="shared" si="1"/>
        <v>0</v>
      </c>
      <c r="E19" s="335">
        <f t="shared" si="2"/>
        <v>385.85333812234705</v>
      </c>
      <c r="H19" s="826"/>
      <c r="I19" s="1174"/>
      <c r="L19" s="609">
        <v>2029</v>
      </c>
      <c r="M19" s="1127">
        <f t="shared" si="3"/>
        <v>32.53000000000003</v>
      </c>
      <c r="N19" s="1127"/>
    </row>
    <row r="20" spans="1:14" ht="15.6" x14ac:dyDescent="0.6">
      <c r="A20" s="609">
        <v>2029</v>
      </c>
      <c r="B20" s="707">
        <v>396.66736866073143</v>
      </c>
      <c r="C20" s="335">
        <f>'MSW Integration Calcs PDS1 '!AB75</f>
        <v>834.87412005326223</v>
      </c>
      <c r="D20" s="335">
        <f t="shared" si="1"/>
        <v>0</v>
      </c>
      <c r="E20" s="335">
        <f t="shared" si="2"/>
        <v>396.66736866073143</v>
      </c>
      <c r="H20" s="826"/>
      <c r="I20" s="1174"/>
      <c r="L20" s="609">
        <v>2030</v>
      </c>
      <c r="M20" s="1127">
        <f t="shared" si="3"/>
        <v>32.340000000000032</v>
      </c>
      <c r="N20" s="1127"/>
    </row>
    <row r="21" spans="1:14" ht="15.6" x14ac:dyDescent="0.6">
      <c r="A21" s="609">
        <v>2030</v>
      </c>
      <c r="B21" s="707">
        <v>407.97951836342293</v>
      </c>
      <c r="C21" s="335">
        <f>'MSW Integration Calcs PDS1 '!AB76</f>
        <v>843.90850264651783</v>
      </c>
      <c r="D21" s="335">
        <f t="shared" si="1"/>
        <v>0</v>
      </c>
      <c r="E21" s="335">
        <f t="shared" si="2"/>
        <v>407.97951836342293</v>
      </c>
      <c r="H21" s="826"/>
      <c r="I21" s="1174"/>
      <c r="L21" s="609">
        <v>2031</v>
      </c>
      <c r="M21" s="1127">
        <f t="shared" si="3"/>
        <v>32.150000000000034</v>
      </c>
      <c r="N21" s="1127"/>
    </row>
    <row r="22" spans="1:14" ht="15.6" x14ac:dyDescent="0.6">
      <c r="A22" s="609">
        <v>2031</v>
      </c>
      <c r="B22" s="707">
        <v>418.37568525980402</v>
      </c>
      <c r="C22" s="335">
        <f>'MSW Integration Calcs PDS1 '!AB77</f>
        <v>850.52482065834647</v>
      </c>
      <c r="D22" s="335">
        <f t="shared" si="1"/>
        <v>0</v>
      </c>
      <c r="E22" s="335">
        <f t="shared" si="2"/>
        <v>418.37568525980402</v>
      </c>
      <c r="H22" s="826"/>
      <c r="I22" s="1174"/>
      <c r="L22" s="609">
        <v>2032</v>
      </c>
      <c r="M22" s="1127">
        <f t="shared" si="3"/>
        <v>31.960000000000033</v>
      </c>
      <c r="N22" s="1127"/>
    </row>
    <row r="23" spans="1:14" ht="15.6" x14ac:dyDescent="0.6">
      <c r="A23" s="609">
        <v>2032</v>
      </c>
      <c r="B23" s="707">
        <v>429.11474255493448</v>
      </c>
      <c r="C23" s="335">
        <f>'MSW Integration Calcs PDS1 '!AB78</f>
        <v>857.36238982887983</v>
      </c>
      <c r="D23" s="335">
        <f t="shared" si="1"/>
        <v>0</v>
      </c>
      <c r="E23" s="335">
        <f t="shared" si="2"/>
        <v>429.11474255493448</v>
      </c>
      <c r="H23" s="826"/>
      <c r="I23" s="1174"/>
      <c r="L23" s="609">
        <v>2033</v>
      </c>
      <c r="M23" s="1127">
        <f t="shared" si="3"/>
        <v>31.770000000000032</v>
      </c>
      <c r="N23" s="1127"/>
    </row>
    <row r="24" spans="1:14" ht="15.6" x14ac:dyDescent="0.6">
      <c r="A24" s="609">
        <v>2033</v>
      </c>
      <c r="B24" s="707">
        <v>439.86808950646576</v>
      </c>
      <c r="C24" s="335">
        <f>'MSW Integration Calcs PDS1 '!AB79</f>
        <v>863.75646377198757</v>
      </c>
      <c r="D24" s="335">
        <f t="shared" si="1"/>
        <v>0</v>
      </c>
      <c r="E24" s="335">
        <f t="shared" si="2"/>
        <v>439.86808950646576</v>
      </c>
      <c r="H24" s="826"/>
      <c r="I24" s="1174"/>
      <c r="L24" s="609">
        <v>2034</v>
      </c>
      <c r="M24" s="1127">
        <f t="shared" si="3"/>
        <v>31.58000000000003</v>
      </c>
      <c r="N24" s="1127"/>
    </row>
    <row r="25" spans="1:14" ht="15.6" x14ac:dyDescent="0.6">
      <c r="A25" s="609">
        <v>2034</v>
      </c>
      <c r="B25" s="707">
        <v>450.63335128983471</v>
      </c>
      <c r="C25" s="335">
        <f>'MSW Integration Calcs PDS1 '!AB80</f>
        <v>869.72132080156518</v>
      </c>
      <c r="D25" s="335">
        <f t="shared" si="1"/>
        <v>0</v>
      </c>
      <c r="E25" s="335">
        <f t="shared" si="2"/>
        <v>450.63335128983471</v>
      </c>
      <c r="H25" s="826"/>
      <c r="I25" s="1174"/>
      <c r="L25" s="609">
        <v>2035</v>
      </c>
      <c r="M25" s="1127">
        <f t="shared" si="3"/>
        <v>31.390000000000029</v>
      </c>
      <c r="N25" s="1127"/>
    </row>
    <row r="26" spans="1:14" ht="15.6" x14ac:dyDescent="0.6">
      <c r="A26" s="609">
        <v>2035</v>
      </c>
      <c r="B26" s="707">
        <v>461.42820751498851</v>
      </c>
      <c r="C26" s="335">
        <f>'MSW Integration Calcs PDS1 '!AB81</f>
        <v>875.30694282205138</v>
      </c>
      <c r="D26" s="335">
        <f t="shared" si="1"/>
        <v>0</v>
      </c>
      <c r="E26" s="335">
        <f t="shared" si="2"/>
        <v>461.42820751498851</v>
      </c>
      <c r="H26" s="826"/>
      <c r="I26" s="1174"/>
      <c r="L26" s="609">
        <v>2036</v>
      </c>
      <c r="M26" s="1127">
        <f t="shared" si="3"/>
        <v>31.200000000000028</v>
      </c>
      <c r="N26" s="1127"/>
    </row>
    <row r="27" spans="1:14" ht="15.6" x14ac:dyDescent="0.6">
      <c r="A27" s="609">
        <v>2036</v>
      </c>
      <c r="B27" s="707">
        <v>472.18420027195128</v>
      </c>
      <c r="C27" s="335">
        <f>'MSW Integration Calcs PDS1 '!AB82</f>
        <v>880.39113047536785</v>
      </c>
      <c r="D27" s="335">
        <f t="shared" si="1"/>
        <v>0</v>
      </c>
      <c r="E27" s="335">
        <f t="shared" si="2"/>
        <v>472.18420027195128</v>
      </c>
      <c r="H27" s="826"/>
      <c r="I27" s="1174"/>
      <c r="L27" s="609">
        <v>2037</v>
      </c>
      <c r="M27" s="1127">
        <f t="shared" si="3"/>
        <v>31.010000000000026</v>
      </c>
      <c r="N27" s="1127"/>
    </row>
    <row r="28" spans="1:14" ht="15.6" x14ac:dyDescent="0.6">
      <c r="A28" s="609">
        <v>2037</v>
      </c>
      <c r="B28" s="707">
        <v>482.96660686639899</v>
      </c>
      <c r="C28" s="335">
        <f>'MSW Integration Calcs PDS1 '!AB83</f>
        <v>885.10602301210679</v>
      </c>
      <c r="D28" s="335">
        <f t="shared" si="1"/>
        <v>0</v>
      </c>
      <c r="E28" s="335">
        <f t="shared" si="2"/>
        <v>482.96660686639899</v>
      </c>
      <c r="H28" s="826"/>
      <c r="I28" s="1174"/>
      <c r="L28" s="609">
        <v>2038</v>
      </c>
      <c r="M28" s="1127">
        <f t="shared" si="3"/>
        <v>30.820000000000025</v>
      </c>
      <c r="N28" s="1127"/>
    </row>
    <row r="29" spans="1:14" ht="15.6" x14ac:dyDescent="0.6">
      <c r="A29" s="609">
        <v>2038</v>
      </c>
      <c r="B29" s="707">
        <v>493.75471843297049</v>
      </c>
      <c r="C29" s="335">
        <f>'MSW Integration Calcs PDS1 '!AB84</f>
        <v>889.41317140715762</v>
      </c>
      <c r="D29" s="335">
        <f t="shared" si="1"/>
        <v>0</v>
      </c>
      <c r="E29" s="335">
        <f t="shared" si="2"/>
        <v>493.75471843297049</v>
      </c>
      <c r="H29" s="826"/>
      <c r="I29" s="1174"/>
      <c r="L29" s="609">
        <v>2039</v>
      </c>
      <c r="M29" s="1127">
        <f t="shared" si="3"/>
        <v>30.630000000000024</v>
      </c>
      <c r="N29" s="1127"/>
    </row>
    <row r="30" spans="1:14" ht="15.6" x14ac:dyDescent="0.6">
      <c r="A30" s="609">
        <v>2039</v>
      </c>
      <c r="B30" s="707">
        <v>504.54788995156798</v>
      </c>
      <c r="C30" s="335">
        <f>'MSW Integration Calcs PDS1 '!AB85</f>
        <v>893.31002564335085</v>
      </c>
      <c r="D30" s="335">
        <f t="shared" si="1"/>
        <v>0</v>
      </c>
      <c r="E30" s="335">
        <f t="shared" si="2"/>
        <v>504.54788995156798</v>
      </c>
      <c r="H30" s="826"/>
      <c r="I30" s="1174"/>
      <c r="L30" s="609">
        <v>2040</v>
      </c>
      <c r="M30" s="1127">
        <f t="shared" si="3"/>
        <v>30.440000000000023</v>
      </c>
      <c r="N30" s="1127"/>
    </row>
    <row r="31" spans="1:14" ht="15.6" x14ac:dyDescent="0.6">
      <c r="A31" s="609">
        <v>2040</v>
      </c>
      <c r="B31" s="707">
        <v>514.76016695718897</v>
      </c>
      <c r="C31" s="335">
        <f>'MSW Integration Calcs PDS1 '!AB86</f>
        <v>895.73352568084204</v>
      </c>
      <c r="D31" s="335">
        <f t="shared" si="1"/>
        <v>0</v>
      </c>
      <c r="E31" s="335">
        <f t="shared" si="2"/>
        <v>514.76016695718897</v>
      </c>
      <c r="H31" s="826"/>
      <c r="I31" s="1174"/>
      <c r="L31" s="609">
        <v>2041</v>
      </c>
      <c r="M31" s="1127">
        <f t="shared" si="3"/>
        <v>30.250000000000021</v>
      </c>
      <c r="N31" s="1127"/>
    </row>
    <row r="32" spans="1:14" ht="15.6" x14ac:dyDescent="0.6">
      <c r="A32" s="609">
        <v>2041</v>
      </c>
      <c r="B32" s="707">
        <v>526.12726583825292</v>
      </c>
      <c r="C32" s="335">
        <f>'MSW Integration Calcs PDS1 '!AB87</f>
        <v>899.83752532799792</v>
      </c>
      <c r="D32" s="335">
        <f t="shared" si="1"/>
        <v>0</v>
      </c>
      <c r="E32" s="335">
        <f t="shared" si="2"/>
        <v>526.12726583825292</v>
      </c>
      <c r="H32" s="826"/>
      <c r="I32" s="1174"/>
      <c r="L32" s="609">
        <v>2042</v>
      </c>
      <c r="M32" s="1127">
        <f t="shared" si="3"/>
        <v>30.06000000000002</v>
      </c>
      <c r="N32" s="1127"/>
    </row>
    <row r="33" spans="1:14" ht="15.6" x14ac:dyDescent="0.6">
      <c r="A33" s="609">
        <v>2042</v>
      </c>
      <c r="B33" s="707">
        <v>536.71677826596317</v>
      </c>
      <c r="C33" s="335">
        <f>'MSW Integration Calcs PDS1 '!AB88</f>
        <v>902.13206663440258</v>
      </c>
      <c r="D33" s="335">
        <f t="shared" si="1"/>
        <v>0</v>
      </c>
      <c r="E33" s="335">
        <f t="shared" si="2"/>
        <v>536.71677826596317</v>
      </c>
      <c r="H33" s="826"/>
      <c r="I33" s="1174"/>
      <c r="L33" s="609">
        <v>2043</v>
      </c>
      <c r="M33" s="1127">
        <f t="shared" si="3"/>
        <v>29.870000000000019</v>
      </c>
      <c r="N33" s="1127"/>
    </row>
    <row r="34" spans="1:14" ht="15.6" x14ac:dyDescent="0.6">
      <c r="A34" s="609">
        <v>2043</v>
      </c>
      <c r="B34" s="707">
        <v>547.30804271025215</v>
      </c>
      <c r="C34" s="335">
        <f>'MSW Integration Calcs PDS1 '!AB89</f>
        <v>904.03385404761116</v>
      </c>
      <c r="D34" s="335">
        <f t="shared" si="1"/>
        <v>0</v>
      </c>
      <c r="E34" s="335">
        <f t="shared" si="2"/>
        <v>547.30804271025215</v>
      </c>
      <c r="H34" s="826"/>
      <c r="I34" s="1174"/>
      <c r="L34" s="609">
        <v>2044</v>
      </c>
      <c r="M34" s="1127">
        <f t="shared" si="3"/>
        <v>29.680000000000017</v>
      </c>
      <c r="N34" s="1127"/>
    </row>
    <row r="35" spans="1:14" ht="15.6" x14ac:dyDescent="0.6">
      <c r="A35" s="609">
        <v>2044</v>
      </c>
      <c r="B35" s="707">
        <v>557.90191524157433</v>
      </c>
      <c r="C35" s="335">
        <f>'MSW Integration Calcs PDS1 '!AB90</f>
        <v>905.54722413835236</v>
      </c>
      <c r="D35" s="335">
        <f t="shared" si="1"/>
        <v>0</v>
      </c>
      <c r="E35" s="335">
        <f t="shared" si="2"/>
        <v>557.90191524157433</v>
      </c>
      <c r="H35" s="826"/>
      <c r="I35" s="1174"/>
      <c r="L35" s="609">
        <v>2045</v>
      </c>
      <c r="M35" s="1127">
        <f t="shared" si="3"/>
        <v>29.490000000000016</v>
      </c>
      <c r="N35" s="1127"/>
    </row>
    <row r="36" spans="1:14" ht="15.6" x14ac:dyDescent="0.6">
      <c r="A36" s="609">
        <v>2045</v>
      </c>
      <c r="B36" s="707">
        <v>568.51765441761336</v>
      </c>
      <c r="C36" s="335">
        <f>'MSW Integration Calcs PDS1 '!AB91</f>
        <v>906.70738375648853</v>
      </c>
      <c r="D36" s="335">
        <f t="shared" si="1"/>
        <v>0</v>
      </c>
      <c r="E36" s="335">
        <f t="shared" si="2"/>
        <v>568.51765441761336</v>
      </c>
      <c r="H36" s="826"/>
      <c r="I36" s="1174"/>
      <c r="L36" s="609">
        <v>2046</v>
      </c>
      <c r="M36" s="1127">
        <f t="shared" si="3"/>
        <v>29.300000000000015</v>
      </c>
      <c r="N36" s="1127"/>
    </row>
    <row r="37" spans="1:14" ht="15.6" x14ac:dyDescent="0.6">
      <c r="A37" s="609">
        <v>2046</v>
      </c>
      <c r="B37" s="707">
        <v>579.08156340692699</v>
      </c>
      <c r="C37" s="335">
        <f>'MSW Integration Calcs PDS1 '!AB92</f>
        <v>907.3929770284484</v>
      </c>
      <c r="D37" s="335">
        <f t="shared" si="1"/>
        <v>0</v>
      </c>
      <c r="E37" s="335">
        <f t="shared" si="2"/>
        <v>579.08156340692699</v>
      </c>
      <c r="H37" s="826"/>
      <c r="I37" s="1174"/>
      <c r="L37" s="609">
        <v>2047</v>
      </c>
      <c r="M37" s="1127">
        <f t="shared" si="3"/>
        <v>29.110000000000014</v>
      </c>
      <c r="N37" s="1127"/>
    </row>
    <row r="38" spans="1:14" ht="15.6" x14ac:dyDescent="0.6">
      <c r="A38" s="609">
        <v>2047</v>
      </c>
      <c r="B38" s="707">
        <v>589.59788037056126</v>
      </c>
      <c r="C38" s="335">
        <f>'MSW Integration Calcs PDS1 '!AB93</f>
        <v>907.61621476329447</v>
      </c>
      <c r="D38" s="335">
        <f t="shared" si="1"/>
        <v>0</v>
      </c>
      <c r="E38" s="335">
        <f t="shared" si="2"/>
        <v>589.59788037056126</v>
      </c>
      <c r="H38" s="826"/>
      <c r="I38" s="1174"/>
      <c r="L38" s="609">
        <v>2048</v>
      </c>
      <c r="M38" s="1127">
        <f t="shared" si="3"/>
        <v>28.920000000000012</v>
      </c>
      <c r="N38" s="1127"/>
    </row>
    <row r="39" spans="1:14" ht="15.6" x14ac:dyDescent="0.6">
      <c r="A39" s="609">
        <v>2048</v>
      </c>
      <c r="B39" s="707">
        <v>600.07718618582453</v>
      </c>
      <c r="C39" s="335">
        <f>'MSW Integration Calcs PDS1 '!AB94</f>
        <v>907.39932056953705</v>
      </c>
      <c r="D39" s="335">
        <f t="shared" si="1"/>
        <v>0</v>
      </c>
      <c r="E39" s="335">
        <f t="shared" si="2"/>
        <v>600.07718618582453</v>
      </c>
      <c r="H39" s="826"/>
      <c r="I39" s="1174"/>
      <c r="L39" s="609">
        <v>2049</v>
      </c>
      <c r="M39" s="1127">
        <f t="shared" si="3"/>
        <v>28.730000000000011</v>
      </c>
      <c r="N39" s="1127"/>
    </row>
    <row r="40" spans="1:14" ht="15.6" x14ac:dyDescent="0.6">
      <c r="A40" s="609">
        <v>2049</v>
      </c>
      <c r="B40" s="707">
        <v>610.51695316036034</v>
      </c>
      <c r="C40" s="335">
        <f>'MSW Integration Calcs PDS1 '!AB95</f>
        <v>906.74221135971356</v>
      </c>
      <c r="D40" s="335">
        <f t="shared" si="1"/>
        <v>0</v>
      </c>
      <c r="E40" s="335">
        <f t="shared" si="2"/>
        <v>610.51695316036034</v>
      </c>
      <c r="H40" s="826"/>
      <c r="I40" s="1174"/>
      <c r="L40" s="609">
        <v>2050</v>
      </c>
      <c r="M40" s="1127">
        <f t="shared" si="3"/>
        <v>28.54000000000001</v>
      </c>
      <c r="N40" s="1127"/>
    </row>
    <row r="41" spans="1:14" ht="15.6" x14ac:dyDescent="0.6">
      <c r="A41" s="609">
        <v>2050</v>
      </c>
      <c r="B41" s="707">
        <v>620.79171001394946</v>
      </c>
      <c r="C41" s="335">
        <f>'MSW Integration Calcs PDS1 '!AB96</f>
        <v>905.45430967064749</v>
      </c>
      <c r="D41" s="335">
        <f t="shared" si="1"/>
        <v>0</v>
      </c>
      <c r="E41" s="335">
        <f t="shared" si="2"/>
        <v>620.79171001394946</v>
      </c>
      <c r="H41" s="826"/>
      <c r="I41" s="1174"/>
      <c r="L41" s="609">
        <v>2051</v>
      </c>
      <c r="M41" s="1127">
        <f t="shared" si="3"/>
        <v>28.350000000000009</v>
      </c>
      <c r="N41" s="1127"/>
    </row>
    <row r="42" spans="1:14" ht="15.6" x14ac:dyDescent="0.6">
      <c r="A42" s="609">
        <v>2051</v>
      </c>
      <c r="B42" s="707">
        <v>624.09936791888435</v>
      </c>
      <c r="C42" s="335">
        <f>'MSW Integration Calcs PDS1 '!AB97</f>
        <v>904.36838894155039</v>
      </c>
      <c r="D42" s="335">
        <f t="shared" si="1"/>
        <v>0</v>
      </c>
      <c r="E42" s="335">
        <f t="shared" si="2"/>
        <v>624.09936791888435</v>
      </c>
      <c r="H42" s="826"/>
      <c r="I42" s="1174"/>
      <c r="L42" s="609">
        <v>2052</v>
      </c>
      <c r="M42" s="1127">
        <f t="shared" si="3"/>
        <v>28.160000000000007</v>
      </c>
      <c r="N42" s="1127"/>
    </row>
    <row r="43" spans="1:14" ht="15.6" x14ac:dyDescent="0.6">
      <c r="A43" s="609">
        <v>2052</v>
      </c>
      <c r="B43" s="707">
        <v>627.16672466104308</v>
      </c>
      <c r="C43" s="335">
        <f>'MSW Integration Calcs PDS1 '!AB98</f>
        <v>902.49910007568315</v>
      </c>
      <c r="D43" s="335">
        <f t="shared" si="1"/>
        <v>0</v>
      </c>
      <c r="E43" s="335">
        <f t="shared" si="2"/>
        <v>627.16672466104308</v>
      </c>
      <c r="H43" s="826"/>
      <c r="I43" s="1174"/>
      <c r="L43" s="609">
        <v>2053</v>
      </c>
      <c r="M43" s="1127">
        <f t="shared" si="3"/>
        <v>27.970000000000006</v>
      </c>
      <c r="N43" s="1127"/>
    </row>
    <row r="44" spans="1:14" ht="15.6" x14ac:dyDescent="0.6">
      <c r="A44" s="609">
        <v>2053</v>
      </c>
      <c r="B44" s="707">
        <v>630.11840808302509</v>
      </c>
      <c r="C44" s="335">
        <f>'MSW Integration Calcs PDS1 '!AB99</f>
        <v>900.21519145024854</v>
      </c>
      <c r="D44" s="335">
        <f t="shared" si="1"/>
        <v>0</v>
      </c>
      <c r="E44" s="335">
        <f t="shared" si="2"/>
        <v>630.11840808302509</v>
      </c>
      <c r="H44" s="826"/>
      <c r="I44" s="1174"/>
      <c r="L44" s="609">
        <v>2054</v>
      </c>
      <c r="M44" s="1127">
        <f t="shared" si="3"/>
        <v>27.780000000000005</v>
      </c>
      <c r="N44" s="1127"/>
    </row>
    <row r="45" spans="1:14" ht="15.6" x14ac:dyDescent="0.6">
      <c r="A45" s="609">
        <v>2054</v>
      </c>
      <c r="B45" s="707">
        <v>632.95602100847759</v>
      </c>
      <c r="C45" s="335">
        <f>'MSW Integration Calcs PDS1 '!AB100</f>
        <v>897.52040707196522</v>
      </c>
      <c r="D45" s="335">
        <f t="shared" si="1"/>
        <v>0</v>
      </c>
      <c r="E45" s="335">
        <f t="shared" si="2"/>
        <v>632.95602100847759</v>
      </c>
      <c r="H45" s="826"/>
      <c r="I45" s="1174"/>
      <c r="L45" s="609">
        <v>2055</v>
      </c>
      <c r="M45" s="1127">
        <f t="shared" si="3"/>
        <v>27.590000000000003</v>
      </c>
      <c r="N45" s="1127"/>
    </row>
    <row r="46" spans="1:14" ht="15.6" x14ac:dyDescent="0.6">
      <c r="A46" s="609">
        <v>2055</v>
      </c>
      <c r="B46" s="707">
        <v>635.68113235701082</v>
      </c>
      <c r="C46" s="335">
        <f>'MSW Integration Calcs PDS1 '!AB101</f>
        <v>894.41909986012581</v>
      </c>
      <c r="D46" s="335">
        <f t="shared" si="1"/>
        <v>0</v>
      </c>
      <c r="E46" s="335">
        <f t="shared" si="2"/>
        <v>635.68113235701082</v>
      </c>
      <c r="H46" s="826"/>
      <c r="I46" s="1174"/>
      <c r="L46" s="609">
        <v>2056</v>
      </c>
      <c r="M46" s="1127">
        <f t="shared" si="3"/>
        <v>27.400000000000002</v>
      </c>
      <c r="N46" s="1127"/>
    </row>
    <row r="47" spans="1:14" ht="15.6" x14ac:dyDescent="0.6">
      <c r="A47" s="609">
        <v>2056</v>
      </c>
      <c r="B47" s="707">
        <v>638.29527714419896</v>
      </c>
      <c r="C47" s="335">
        <f>'MSW Integration Calcs PDS1 '!AB102</f>
        <v>890.91611502503565</v>
      </c>
      <c r="D47" s="335">
        <f t="shared" si="1"/>
        <v>0</v>
      </c>
      <c r="E47" s="335">
        <f t="shared" si="2"/>
        <v>638.29527714419896</v>
      </c>
      <c r="H47" s="826"/>
      <c r="I47" s="1174"/>
      <c r="L47" s="609">
        <v>2057</v>
      </c>
      <c r="M47" s="1127">
        <f t="shared" si="3"/>
        <v>27.21</v>
      </c>
      <c r="N47" s="1127"/>
    </row>
    <row r="48" spans="1:14" ht="15.6" x14ac:dyDescent="0.6">
      <c r="A48" s="609">
        <v>2057</v>
      </c>
      <c r="B48" s="707">
        <v>640.79995648157887</v>
      </c>
      <c r="C48" s="335">
        <f>'MSW Integration Calcs PDS1 '!AB103</f>
        <v>887.01710167888655</v>
      </c>
      <c r="D48" s="335">
        <f t="shared" si="1"/>
        <v>0</v>
      </c>
      <c r="E48" s="335">
        <f t="shared" si="2"/>
        <v>640.79995648157887</v>
      </c>
      <c r="H48" s="826"/>
      <c r="I48" s="1174"/>
      <c r="L48" s="609">
        <v>2058</v>
      </c>
      <c r="M48" s="1127">
        <f t="shared" si="3"/>
        <v>27.02</v>
      </c>
      <c r="N48" s="1127"/>
    </row>
    <row r="49" spans="1:14" ht="15.6" x14ac:dyDescent="0.6">
      <c r="A49" s="609">
        <v>2058</v>
      </c>
      <c r="B49" s="707">
        <v>643.1966375766516</v>
      </c>
      <c r="C49" s="335">
        <f>'MSW Integration Calcs PDS1 '!AB104</f>
        <v>882.7285858860588</v>
      </c>
      <c r="D49" s="335">
        <f t="shared" si="1"/>
        <v>0</v>
      </c>
      <c r="E49" s="335">
        <f t="shared" si="2"/>
        <v>643.1966375766516</v>
      </c>
      <c r="H49" s="826"/>
      <c r="I49" s="1174"/>
      <c r="L49" s="609">
        <v>2059</v>
      </c>
      <c r="M49" s="1127">
        <f t="shared" si="3"/>
        <v>26.83</v>
      </c>
      <c r="N49" s="1127"/>
    </row>
    <row r="50" spans="1:14" ht="15.6" x14ac:dyDescent="0.6">
      <c r="A50" s="609">
        <v>2059</v>
      </c>
      <c r="B50" s="707">
        <v>645.48675373288108</v>
      </c>
      <c r="C50" s="335">
        <f>'MSW Integration Calcs PDS1 '!AB105</f>
        <v>878.05777304608557</v>
      </c>
      <c r="D50" s="335">
        <f t="shared" si="1"/>
        <v>0</v>
      </c>
      <c r="E50" s="335">
        <f t="shared" si="2"/>
        <v>645.48675373288108</v>
      </c>
      <c r="H50" s="826"/>
      <c r="I50" s="1174"/>
      <c r="L50" s="609">
        <v>2060</v>
      </c>
      <c r="M50" s="1127">
        <f t="shared" si="3"/>
        <v>26.639999999999997</v>
      </c>
      <c r="N50" s="1127"/>
    </row>
    <row r="51" spans="1:14" x14ac:dyDescent="0.4">
      <c r="A51" s="609">
        <v>2060</v>
      </c>
      <c r="B51" s="707">
        <v>647.67170434969455</v>
      </c>
      <c r="C51" s="335">
        <f>'MSW Integration Calcs PDS1 '!AB106</f>
        <v>873.01202140798546</v>
      </c>
      <c r="D51" s="335">
        <f t="shared" si="1"/>
        <v>0</v>
      </c>
      <c r="E51" s="335">
        <f t="shared" si="2"/>
        <v>647.67170434969455</v>
      </c>
      <c r="H51" s="826"/>
      <c r="I51" s="1174"/>
    </row>
    <row r="52" spans="1:14" x14ac:dyDescent="0.4">
      <c r="H52" s="826"/>
      <c r="I52" s="1174"/>
    </row>
    <row r="53" spans="1:14" x14ac:dyDescent="0.4">
      <c r="H53" s="826"/>
      <c r="I53" s="1174"/>
    </row>
    <row r="54" spans="1:14" x14ac:dyDescent="0.4">
      <c r="A54" s="609" t="s">
        <v>347</v>
      </c>
      <c r="H54" s="826"/>
      <c r="I54" s="826"/>
    </row>
    <row r="55" spans="1:14" x14ac:dyDescent="0.4">
      <c r="B55" s="609" t="s">
        <v>353</v>
      </c>
      <c r="C55" s="609" t="s">
        <v>355</v>
      </c>
      <c r="D55" s="609" t="s">
        <v>358</v>
      </c>
      <c r="E55" s="609" t="s">
        <v>356</v>
      </c>
      <c r="H55" s="826"/>
      <c r="I55" s="826"/>
    </row>
    <row r="56" spans="1:14" ht="12.6" x14ac:dyDescent="0.45">
      <c r="A56" s="609">
        <v>2014</v>
      </c>
      <c r="B56" s="707">
        <v>206.02949233262407</v>
      </c>
      <c r="C56" s="335">
        <f>'MSW Integration Calcs PDS2'!AB60</f>
        <v>626.75236333333328</v>
      </c>
      <c r="D56" s="335">
        <f>IF(B56&gt;C56,B56-C56,0)</f>
        <v>0</v>
      </c>
      <c r="E56" s="335">
        <f>B56-D56</f>
        <v>206.02949233262407</v>
      </c>
      <c r="H56" s="1214"/>
      <c r="I56" s="1214"/>
    </row>
    <row r="57" spans="1:14" x14ac:dyDescent="0.4">
      <c r="A57" s="609">
        <v>2015</v>
      </c>
      <c r="B57" s="707">
        <v>235.52669042717577</v>
      </c>
      <c r="C57" s="335">
        <f>'MSW Integration Calcs PDS2'!AB61</f>
        <v>664.88968184698638</v>
      </c>
      <c r="D57" s="335">
        <f t="shared" ref="D57:D102" si="4">IF(B57&gt;C57,B57-C57,0)</f>
        <v>0</v>
      </c>
      <c r="E57" s="335">
        <f t="shared" ref="E57:E102" si="5">B57-D57</f>
        <v>235.52669042717577</v>
      </c>
      <c r="H57" s="826"/>
      <c r="I57" s="826"/>
    </row>
    <row r="58" spans="1:14" x14ac:dyDescent="0.4">
      <c r="A58" s="609">
        <v>2016</v>
      </c>
      <c r="B58" s="707">
        <v>266.79999999999995</v>
      </c>
      <c r="C58" s="335">
        <f>'MSW Integration Calcs PDS2'!AB62</f>
        <v>702.74354999999991</v>
      </c>
      <c r="D58" s="335">
        <f t="shared" si="4"/>
        <v>0</v>
      </c>
      <c r="E58" s="335">
        <f t="shared" si="5"/>
        <v>266.79999999999995</v>
      </c>
      <c r="H58" s="826"/>
      <c r="I58" s="1174"/>
    </row>
    <row r="59" spans="1:14" x14ac:dyDescent="0.4">
      <c r="A59" s="609">
        <v>2017</v>
      </c>
      <c r="B59" s="707">
        <v>284.58744195672273</v>
      </c>
      <c r="C59" s="335">
        <f>'MSW Integration Calcs PDS2'!AB63</f>
        <v>738.25066800254558</v>
      </c>
      <c r="D59" s="335">
        <f t="shared" si="4"/>
        <v>0</v>
      </c>
      <c r="E59" s="335">
        <f t="shared" si="5"/>
        <v>284.58744195672273</v>
      </c>
      <c r="H59" s="826"/>
      <c r="I59" s="1174"/>
    </row>
    <row r="60" spans="1:14" x14ac:dyDescent="0.4">
      <c r="A60" s="609">
        <v>2018</v>
      </c>
      <c r="B60" s="707">
        <v>293.89641360557204</v>
      </c>
      <c r="C60" s="335">
        <f>'MSW Integration Calcs PDS2'!AB64</f>
        <v>747.12431895217935</v>
      </c>
      <c r="D60" s="335">
        <f t="shared" si="4"/>
        <v>0</v>
      </c>
      <c r="E60" s="335">
        <f t="shared" si="5"/>
        <v>293.89641360557204</v>
      </c>
      <c r="H60" s="826"/>
      <c r="I60" s="1174"/>
    </row>
    <row r="61" spans="1:14" x14ac:dyDescent="0.4">
      <c r="A61" s="609">
        <v>2019</v>
      </c>
      <c r="B61" s="707">
        <v>303.2601339988268</v>
      </c>
      <c r="C61" s="335">
        <f>'MSW Integration Calcs PDS2'!AB65</f>
        <v>755.77719867596147</v>
      </c>
      <c r="D61" s="335">
        <f t="shared" si="4"/>
        <v>0</v>
      </c>
      <c r="E61" s="335">
        <f t="shared" si="5"/>
        <v>303.2601339988268</v>
      </c>
      <c r="H61" s="826"/>
      <c r="I61" s="1174"/>
    </row>
    <row r="62" spans="1:14" x14ac:dyDescent="0.4">
      <c r="A62" s="609">
        <v>2020</v>
      </c>
      <c r="B62" s="707">
        <v>312.73299281062503</v>
      </c>
      <c r="C62" s="335">
        <f>'MSW Integration Calcs PDS2'!AB66</f>
        <v>764.39351433493459</v>
      </c>
      <c r="D62" s="335">
        <f t="shared" si="4"/>
        <v>0</v>
      </c>
      <c r="E62" s="335">
        <f t="shared" si="5"/>
        <v>312.73299281062503</v>
      </c>
      <c r="H62" s="826"/>
      <c r="I62" s="1174"/>
    </row>
    <row r="63" spans="1:14" x14ac:dyDescent="0.4">
      <c r="A63" s="609">
        <v>2021</v>
      </c>
      <c r="B63" s="707">
        <v>322.12204318882851</v>
      </c>
      <c r="C63" s="335">
        <f>'MSW Integration Calcs PDS2'!AB67</f>
        <v>771.91594080154539</v>
      </c>
      <c r="D63" s="335">
        <f t="shared" si="4"/>
        <v>0</v>
      </c>
      <c r="E63" s="335">
        <f t="shared" si="5"/>
        <v>322.12204318882851</v>
      </c>
      <c r="H63" s="826"/>
      <c r="I63" s="1174"/>
    </row>
    <row r="64" spans="1:14" x14ac:dyDescent="0.4">
      <c r="A64" s="609">
        <v>2022</v>
      </c>
      <c r="B64" s="707">
        <v>331.65368473765795</v>
      </c>
      <c r="C64" s="335">
        <f>'MSW Integration Calcs PDS2'!AB68</f>
        <v>779.4211941168777</v>
      </c>
      <c r="D64" s="335">
        <f t="shared" si="4"/>
        <v>0</v>
      </c>
      <c r="E64" s="335">
        <f t="shared" si="5"/>
        <v>331.65368473765795</v>
      </c>
      <c r="H64" s="826"/>
      <c r="I64" s="1174"/>
    </row>
    <row r="65" spans="1:9" x14ac:dyDescent="0.4">
      <c r="A65" s="609">
        <v>2023</v>
      </c>
      <c r="B65" s="707">
        <v>341.21783317530782</v>
      </c>
      <c r="C65" s="335">
        <f>'MSW Integration Calcs PDS2'!AB69</f>
        <v>786.640170275733</v>
      </c>
      <c r="D65" s="335">
        <f t="shared" si="4"/>
        <v>0</v>
      </c>
      <c r="E65" s="335">
        <f t="shared" si="5"/>
        <v>341.21783317530782</v>
      </c>
      <c r="H65" s="826"/>
      <c r="I65" s="1174"/>
    </row>
    <row r="66" spans="1:9" x14ac:dyDescent="0.4">
      <c r="A66" s="609">
        <v>2024</v>
      </c>
      <c r="B66" s="707">
        <v>350.81018677365961</v>
      </c>
      <c r="C66" s="335">
        <f>'MSW Integration Calcs PDS2'!AB70</f>
        <v>791.66976969298264</v>
      </c>
      <c r="D66" s="335">
        <f t="shared" si="4"/>
        <v>0</v>
      </c>
      <c r="E66" s="335">
        <f t="shared" si="5"/>
        <v>350.81018677365961</v>
      </c>
      <c r="H66" s="826"/>
      <c r="I66" s="1174"/>
    </row>
    <row r="67" spans="1:9" x14ac:dyDescent="0.4">
      <c r="A67" s="609">
        <v>2025</v>
      </c>
      <c r="B67" s="707">
        <v>360.2719835575399</v>
      </c>
      <c r="C67" s="335">
        <f>'MSW Integration Calcs PDS2'!AB71</f>
        <v>796.26642474919606</v>
      </c>
      <c r="D67" s="335">
        <f t="shared" si="4"/>
        <v>0</v>
      </c>
      <c r="E67" s="335">
        <f t="shared" si="5"/>
        <v>360.2719835575399</v>
      </c>
      <c r="H67" s="826"/>
      <c r="I67" s="1174"/>
    </row>
    <row r="68" spans="1:9" x14ac:dyDescent="0.4">
      <c r="A68" s="609">
        <v>2026</v>
      </c>
      <c r="B68" s="707">
        <v>371.33816768247419</v>
      </c>
      <c r="C68" s="335">
        <f>'MSW Integration Calcs PDS2'!AB72</f>
        <v>803.54503258834427</v>
      </c>
      <c r="D68" s="335">
        <f t="shared" si="4"/>
        <v>0</v>
      </c>
      <c r="E68" s="335">
        <f t="shared" si="5"/>
        <v>371.33816768247419</v>
      </c>
      <c r="H68" s="826"/>
      <c r="I68" s="1174"/>
    </row>
    <row r="69" spans="1:9" x14ac:dyDescent="0.4">
      <c r="A69" s="609">
        <v>2027</v>
      </c>
      <c r="B69" s="707">
        <v>382.88868595750216</v>
      </c>
      <c r="C69" s="335">
        <f>'MSW Integration Calcs PDS2'!AB73</f>
        <v>810.92409801607425</v>
      </c>
      <c r="D69" s="335">
        <f t="shared" si="4"/>
        <v>0</v>
      </c>
      <c r="E69" s="335">
        <f t="shared" si="5"/>
        <v>382.88868595750216</v>
      </c>
      <c r="H69" s="826"/>
      <c r="I69" s="1174"/>
    </row>
    <row r="70" spans="1:9" x14ac:dyDescent="0.4">
      <c r="A70" s="609">
        <v>2028</v>
      </c>
      <c r="B70" s="707">
        <v>394.49157356639637</v>
      </c>
      <c r="C70" s="335">
        <f>'MSW Integration Calcs PDS2'!AB74</f>
        <v>817.42835691462676</v>
      </c>
      <c r="D70" s="335">
        <f t="shared" si="4"/>
        <v>0</v>
      </c>
      <c r="E70" s="335">
        <f t="shared" si="5"/>
        <v>394.49157356639637</v>
      </c>
      <c r="H70" s="826"/>
      <c r="I70" s="1174"/>
    </row>
    <row r="71" spans="1:9" x14ac:dyDescent="0.4">
      <c r="A71" s="609">
        <v>2029</v>
      </c>
      <c r="B71" s="707">
        <v>406.14209832272252</v>
      </c>
      <c r="C71" s="335">
        <f>'MSW Integration Calcs PDS2'!AB75</f>
        <v>823.04096750684107</v>
      </c>
      <c r="D71" s="335">
        <f t="shared" si="4"/>
        <v>0</v>
      </c>
      <c r="E71" s="335">
        <f t="shared" si="5"/>
        <v>406.14209832272252</v>
      </c>
      <c r="H71" s="826"/>
      <c r="I71" s="1174"/>
    </row>
    <row r="72" spans="1:9" x14ac:dyDescent="0.4">
      <c r="A72" s="609">
        <v>2030</v>
      </c>
      <c r="B72" s="707">
        <v>418.31756288443614</v>
      </c>
      <c r="C72" s="335">
        <f>'MSW Integration Calcs PDS2'!AB76</f>
        <v>828.7245492742727</v>
      </c>
      <c r="D72" s="335">
        <f t="shared" si="4"/>
        <v>0</v>
      </c>
      <c r="E72" s="335">
        <f t="shared" si="5"/>
        <v>418.31756288443614</v>
      </c>
      <c r="H72" s="826"/>
      <c r="I72" s="1174"/>
    </row>
    <row r="73" spans="1:9" x14ac:dyDescent="0.4">
      <c r="A73" s="609">
        <v>2031</v>
      </c>
      <c r="B73" s="707">
        <v>429.56751987149494</v>
      </c>
      <c r="C73" s="335">
        <f>'MSW Integration Calcs PDS2'!AB77</f>
        <v>831.52616302819274</v>
      </c>
      <c r="D73" s="335">
        <f t="shared" si="4"/>
        <v>0</v>
      </c>
      <c r="E73" s="335">
        <f t="shared" si="5"/>
        <v>429.56751987149494</v>
      </c>
      <c r="H73" s="826"/>
      <c r="I73" s="1174"/>
    </row>
    <row r="74" spans="1:9" x14ac:dyDescent="0.4">
      <c r="A74" s="609">
        <v>2032</v>
      </c>
      <c r="B74" s="707">
        <v>441.18182720369259</v>
      </c>
      <c r="C74" s="335">
        <f>'MSW Integration Calcs PDS2'!AB78</f>
        <v>834.07004681105195</v>
      </c>
      <c r="D74" s="335">
        <f t="shared" si="4"/>
        <v>0</v>
      </c>
      <c r="E74" s="335">
        <f t="shared" si="5"/>
        <v>441.18182720369259</v>
      </c>
      <c r="H74" s="826"/>
      <c r="I74" s="1174"/>
    </row>
    <row r="75" spans="1:9" x14ac:dyDescent="0.4">
      <c r="A75" s="609">
        <v>2033</v>
      </c>
      <c r="B75" s="707">
        <v>452.82306941458222</v>
      </c>
      <c r="C75" s="335">
        <f>'MSW Integration Calcs PDS2'!AB79</f>
        <v>835.67714686611112</v>
      </c>
      <c r="D75" s="335">
        <f t="shared" si="4"/>
        <v>0</v>
      </c>
      <c r="E75" s="335">
        <f t="shared" si="5"/>
        <v>452.82306941458222</v>
      </c>
      <c r="H75" s="826"/>
      <c r="I75" s="1174"/>
    </row>
    <row r="76" spans="1:9" x14ac:dyDescent="0.4">
      <c r="A76" s="609">
        <v>2034</v>
      </c>
      <c r="B76" s="707">
        <v>464.48833803276665</v>
      </c>
      <c r="C76" s="335">
        <f>'MSW Integration Calcs PDS2'!AB80</f>
        <v>836.34817186147086</v>
      </c>
      <c r="D76" s="335">
        <f t="shared" si="4"/>
        <v>0</v>
      </c>
      <c r="E76" s="335">
        <f t="shared" si="5"/>
        <v>464.48833803276665</v>
      </c>
      <c r="H76" s="826"/>
      <c r="I76" s="1174"/>
    </row>
    <row r="77" spans="1:9" x14ac:dyDescent="0.4">
      <c r="A77" s="609">
        <v>2035</v>
      </c>
      <c r="B77" s="707">
        <v>476.19543445148111</v>
      </c>
      <c r="C77" s="335">
        <f>'MSW Integration Calcs PDS2'!AB81</f>
        <v>836.12024039824814</v>
      </c>
      <c r="D77" s="335">
        <f t="shared" si="4"/>
        <v>0</v>
      </c>
      <c r="E77" s="335">
        <f t="shared" si="5"/>
        <v>476.19543445148111</v>
      </c>
      <c r="H77" s="826"/>
      <c r="I77" s="1174"/>
    </row>
    <row r="78" spans="1:9" x14ac:dyDescent="0.4">
      <c r="A78" s="609">
        <v>2036</v>
      </c>
      <c r="B78" s="707">
        <v>487.87327130697901</v>
      </c>
      <c r="C78" s="335">
        <f>'MSW Integration Calcs PDS2'!AB82</f>
        <v>834.85896595361055</v>
      </c>
      <c r="D78" s="335">
        <f t="shared" si="4"/>
        <v>0</v>
      </c>
      <c r="E78" s="335">
        <f t="shared" si="5"/>
        <v>487.87327130697901</v>
      </c>
      <c r="H78" s="826"/>
      <c r="I78" s="1174"/>
    </row>
    <row r="79" spans="1:9" x14ac:dyDescent="0.4">
      <c r="A79" s="609">
        <v>2037</v>
      </c>
      <c r="B79" s="707">
        <v>499.58879243092372</v>
      </c>
      <c r="C79" s="335">
        <f>'MSW Integration Calcs PDS2'!AB83</f>
        <v>832.68494768535106</v>
      </c>
      <c r="D79" s="335">
        <f t="shared" si="4"/>
        <v>0</v>
      </c>
      <c r="E79" s="335">
        <f t="shared" si="5"/>
        <v>499.58879243092372</v>
      </c>
      <c r="H79" s="826"/>
      <c r="I79" s="1174"/>
    </row>
    <row r="80" spans="1:9" x14ac:dyDescent="0.4">
      <c r="A80" s="609">
        <v>2038</v>
      </c>
      <c r="B80" s="707">
        <v>511.32022991270145</v>
      </c>
      <c r="C80" s="335">
        <f>'MSW Integration Calcs PDS2'!AB84</f>
        <v>829.5488155789991</v>
      </c>
      <c r="D80" s="335">
        <f t="shared" si="4"/>
        <v>0</v>
      </c>
      <c r="E80" s="335">
        <f t="shared" si="5"/>
        <v>511.32022991270145</v>
      </c>
      <c r="H80" s="826"/>
      <c r="I80" s="1174"/>
    </row>
    <row r="81" spans="1:9" x14ac:dyDescent="0.4">
      <c r="A81" s="609">
        <v>2039</v>
      </c>
      <c r="B81" s="707">
        <v>523.0665396057318</v>
      </c>
      <c r="C81" s="335">
        <f>'MSW Integration Calcs PDS2'!AB85</f>
        <v>825.43769082073902</v>
      </c>
      <c r="D81" s="335">
        <f t="shared" si="4"/>
        <v>0</v>
      </c>
      <c r="E81" s="335">
        <f t="shared" si="5"/>
        <v>523.0665396057318</v>
      </c>
      <c r="H81" s="826"/>
      <c r="I81" s="1174"/>
    </row>
    <row r="82" spans="1:9" x14ac:dyDescent="0.4">
      <c r="A82" s="609">
        <v>2040</v>
      </c>
      <c r="B82" s="707">
        <v>534.21925855949212</v>
      </c>
      <c r="C82" s="335">
        <f>'MSW Integration Calcs PDS2'!AB86</f>
        <v>819.27875088094936</v>
      </c>
      <c r="D82" s="335">
        <f t="shared" si="4"/>
        <v>0</v>
      </c>
      <c r="E82" s="335">
        <f t="shared" si="5"/>
        <v>534.21925855949212</v>
      </c>
      <c r="H82" s="826"/>
      <c r="I82" s="1174"/>
    </row>
    <row r="83" spans="1:9" x14ac:dyDescent="0.4">
      <c r="A83" s="609">
        <v>2041</v>
      </c>
      <c r="B83" s="707">
        <v>546.57935369271138</v>
      </c>
      <c r="C83" s="335">
        <f>'MSW Integration Calcs PDS2'!AB87</f>
        <v>814.21662848396056</v>
      </c>
      <c r="D83" s="335">
        <f t="shared" si="4"/>
        <v>0</v>
      </c>
      <c r="E83" s="335">
        <f t="shared" si="5"/>
        <v>546.57935369271138</v>
      </c>
      <c r="H83" s="826"/>
      <c r="I83" s="1174"/>
    </row>
    <row r="84" spans="1:9" x14ac:dyDescent="0.4">
      <c r="A84" s="609">
        <v>2042</v>
      </c>
      <c r="B84" s="707">
        <v>558.14060638820763</v>
      </c>
      <c r="C84" s="335">
        <f>'MSW Integration Calcs PDS2'!AB88</f>
        <v>806.7526620526296</v>
      </c>
      <c r="D84" s="335">
        <f t="shared" si="4"/>
        <v>0</v>
      </c>
      <c r="E84" s="335">
        <f t="shared" si="5"/>
        <v>558.14060638820763</v>
      </c>
      <c r="H84" s="826"/>
      <c r="I84" s="1174"/>
    </row>
    <row r="85" spans="1:9" x14ac:dyDescent="0.4">
      <c r="A85" s="609">
        <v>2043</v>
      </c>
      <c r="B85" s="707">
        <v>569.71151638203719</v>
      </c>
      <c r="C85" s="335">
        <f>'MSW Integration Calcs PDS2'!AB89</f>
        <v>798.29534683618294</v>
      </c>
      <c r="D85" s="335">
        <f t="shared" si="4"/>
        <v>0</v>
      </c>
      <c r="E85" s="335">
        <f t="shared" si="5"/>
        <v>569.71151638203719</v>
      </c>
      <c r="H85" s="826"/>
      <c r="I85" s="1174"/>
    </row>
    <row r="86" spans="1:9" x14ac:dyDescent="0.4">
      <c r="A86" s="609">
        <v>2044</v>
      </c>
      <c r="B86" s="707">
        <v>581.2926909346113</v>
      </c>
      <c r="C86" s="335">
        <f>'MSW Integration Calcs PDS2'!AB90</f>
        <v>788.84128249141429</v>
      </c>
      <c r="D86" s="335">
        <f t="shared" si="4"/>
        <v>0</v>
      </c>
      <c r="E86" s="335">
        <f t="shared" si="5"/>
        <v>581.2926909346113</v>
      </c>
      <c r="H86" s="826"/>
      <c r="I86" s="1174"/>
    </row>
    <row r="87" spans="1:9" x14ac:dyDescent="0.4">
      <c r="A87" s="609">
        <v>2045</v>
      </c>
      <c r="B87" s="707">
        <v>592.90394635258599</v>
      </c>
      <c r="C87" s="335">
        <f>'MSW Integration Calcs PDS2'!AB91</f>
        <v>778.41838995133685</v>
      </c>
      <c r="D87" s="335">
        <f t="shared" si="4"/>
        <v>0</v>
      </c>
      <c r="E87" s="335">
        <f t="shared" si="5"/>
        <v>592.90394635258599</v>
      </c>
      <c r="H87" s="826"/>
      <c r="I87" s="1174"/>
    </row>
    <row r="88" spans="1:9" x14ac:dyDescent="0.4">
      <c r="A88" s="609">
        <v>2046</v>
      </c>
      <c r="B88" s="707">
        <v>604.4681541556572</v>
      </c>
      <c r="C88" s="335">
        <f>'MSW Integration Calcs PDS2'!AB92</f>
        <v>766.89845795764597</v>
      </c>
      <c r="D88" s="335">
        <f t="shared" si="4"/>
        <v>0</v>
      </c>
      <c r="E88" s="335">
        <f t="shared" si="5"/>
        <v>604.4681541556572</v>
      </c>
      <c r="H88" s="826"/>
      <c r="I88" s="1174"/>
    </row>
    <row r="89" spans="1:9" x14ac:dyDescent="0.4">
      <c r="A89" s="609">
        <v>2047</v>
      </c>
      <c r="B89" s="707">
        <v>615.98934701064672</v>
      </c>
      <c r="C89" s="335">
        <f>'MSW Integration Calcs PDS2'!AB93</f>
        <v>754.28725280191566</v>
      </c>
      <c r="D89" s="335">
        <f t="shared" si="4"/>
        <v>0</v>
      </c>
      <c r="E89" s="335">
        <f t="shared" si="5"/>
        <v>615.98934701064672</v>
      </c>
      <c r="H89" s="826"/>
      <c r="I89" s="1174"/>
    </row>
    <row r="90" spans="1:9" x14ac:dyDescent="0.4">
      <c r="A90" s="609">
        <v>2048</v>
      </c>
      <c r="B90" s="707">
        <v>627.47822377921557</v>
      </c>
      <c r="C90" s="335">
        <f>'MSW Integration Calcs PDS2'!AB94</f>
        <v>740.60094553970725</v>
      </c>
      <c r="D90" s="335">
        <f t="shared" si="4"/>
        <v>0</v>
      </c>
      <c r="E90" s="335">
        <f t="shared" si="5"/>
        <v>627.47822377921557</v>
      </c>
      <c r="H90" s="826"/>
      <c r="I90" s="1174"/>
    </row>
    <row r="91" spans="1:9" x14ac:dyDescent="0.4">
      <c r="A91" s="609">
        <v>2049</v>
      </c>
      <c r="B91" s="707">
        <v>638.93181885842148</v>
      </c>
      <c r="C91" s="335">
        <f>'MSW Integration Calcs PDS2'!AB95</f>
        <v>725.83377433654152</v>
      </c>
      <c r="D91" s="335">
        <f t="shared" si="4"/>
        <v>0</v>
      </c>
      <c r="E91" s="335">
        <f t="shared" si="5"/>
        <v>638.93181885842148</v>
      </c>
      <c r="H91" s="826"/>
      <c r="I91" s="1174"/>
    </row>
    <row r="92" spans="1:9" x14ac:dyDescent="0.4">
      <c r="A92" s="609">
        <v>2050</v>
      </c>
      <c r="B92" s="707">
        <v>650.21840132464945</v>
      </c>
      <c r="C92" s="335">
        <f>'MSW Integration Calcs PDS2'!AB96</f>
        <v>709.78983934186363</v>
      </c>
      <c r="D92" s="335">
        <f t="shared" si="4"/>
        <v>0</v>
      </c>
      <c r="E92" s="335">
        <f t="shared" si="5"/>
        <v>650.21840132464945</v>
      </c>
      <c r="H92" s="826"/>
      <c r="I92" s="1174"/>
    </row>
    <row r="93" spans="1:9" x14ac:dyDescent="0.4">
      <c r="A93" s="609">
        <v>2051</v>
      </c>
      <c r="B93" s="707">
        <v>653.68284841758395</v>
      </c>
      <c r="C93" s="335">
        <f>'MSW Integration Calcs PDS2'!AB97</f>
        <v>694.0449075362219</v>
      </c>
      <c r="D93" s="335">
        <f t="shared" si="4"/>
        <v>0</v>
      </c>
      <c r="E93" s="335">
        <f t="shared" si="5"/>
        <v>653.68284841758395</v>
      </c>
      <c r="H93" s="826"/>
      <c r="I93" s="1174"/>
    </row>
    <row r="94" spans="1:9" x14ac:dyDescent="0.4">
      <c r="A94" s="609">
        <v>2052</v>
      </c>
      <c r="B94" s="707">
        <v>656.89560362195675</v>
      </c>
      <c r="C94" s="335">
        <f>'MSW Integration Calcs PDS2'!AB98</f>
        <v>676.41924770030175</v>
      </c>
      <c r="D94" s="335">
        <f t="shared" si="4"/>
        <v>0</v>
      </c>
      <c r="E94" s="335">
        <f t="shared" si="5"/>
        <v>656.89560362195675</v>
      </c>
      <c r="H94" s="826"/>
      <c r="I94" s="1174"/>
    </row>
    <row r="95" spans="1:9" x14ac:dyDescent="0.4">
      <c r="A95" s="609">
        <v>2053</v>
      </c>
      <c r="B95" s="707">
        <v>659.98720237383839</v>
      </c>
      <c r="C95" s="335">
        <f>'MSW Integration Calcs PDS2'!AB99</f>
        <v>657.7868738814434</v>
      </c>
      <c r="D95" s="335">
        <f t="shared" si="4"/>
        <v>2.2003284923949877</v>
      </c>
      <c r="E95" s="335">
        <f t="shared" si="5"/>
        <v>657.7868738814434</v>
      </c>
      <c r="H95" s="826"/>
      <c r="I95" s="1174"/>
    </row>
    <row r="96" spans="1:9" x14ac:dyDescent="0.4">
      <c r="A96" s="609">
        <v>2054</v>
      </c>
      <c r="B96" s="707">
        <v>662.95932347372309</v>
      </c>
      <c r="C96" s="335">
        <f>'MSW Integration Calcs PDS2'!AB100</f>
        <v>638.15658728804897</v>
      </c>
      <c r="D96" s="335">
        <f t="shared" si="4"/>
        <v>24.802736185674121</v>
      </c>
      <c r="E96" s="335">
        <f t="shared" si="5"/>
        <v>638.15658728804897</v>
      </c>
      <c r="H96" s="826"/>
      <c r="I96" s="1174"/>
    </row>
    <row r="97" spans="1:9" x14ac:dyDescent="0.4">
      <c r="A97" s="609">
        <v>2055</v>
      </c>
      <c r="B97" s="707">
        <v>665.8136102109529</v>
      </c>
      <c r="C97" s="335">
        <f>'MSW Integration Calcs PDS2'!AB101</f>
        <v>617.53874698052414</v>
      </c>
      <c r="D97" s="335">
        <f t="shared" si="4"/>
        <v>48.274863230428764</v>
      </c>
      <c r="E97" s="335">
        <f t="shared" si="5"/>
        <v>617.53874698052414</v>
      </c>
      <c r="H97" s="826"/>
      <c r="I97" s="1174"/>
    </row>
    <row r="98" spans="1:9" x14ac:dyDescent="0.4">
      <c r="A98" s="609">
        <v>2056</v>
      </c>
      <c r="B98" s="707">
        <v>668.5516703637187</v>
      </c>
      <c r="C98" s="335">
        <f>'MSW Integration Calcs PDS2'!AB102</f>
        <v>595.94515478489234</v>
      </c>
      <c r="D98" s="335">
        <f t="shared" si="4"/>
        <v>72.606515578826361</v>
      </c>
      <c r="E98" s="335">
        <f t="shared" si="5"/>
        <v>595.94515478489234</v>
      </c>
      <c r="H98" s="826"/>
      <c r="I98" s="1174"/>
    </row>
    <row r="99" spans="1:9" x14ac:dyDescent="0.4">
      <c r="A99" s="609">
        <v>2057</v>
      </c>
      <c r="B99" s="707">
        <v>671.17507619905996</v>
      </c>
      <c r="C99" s="335">
        <f>'MSW Integration Calcs PDS2'!AB103</f>
        <v>573.38936844034617</v>
      </c>
      <c r="D99" s="335">
        <f t="shared" si="4"/>
        <v>97.785707758713784</v>
      </c>
      <c r="E99" s="335">
        <f t="shared" si="5"/>
        <v>573.38936844034617</v>
      </c>
      <c r="H99" s="826"/>
      <c r="I99" s="1174"/>
    </row>
    <row r="100" spans="1:9" x14ac:dyDescent="0.4">
      <c r="A100" s="609">
        <v>2058</v>
      </c>
      <c r="B100" s="707">
        <v>673.68536447286465</v>
      </c>
      <c r="C100" s="335">
        <f>'MSW Integration Calcs PDS2'!AB104</f>
        <v>549.88677618512247</v>
      </c>
      <c r="D100" s="335">
        <f t="shared" si="4"/>
        <v>123.79858828774218</v>
      </c>
      <c r="E100" s="335">
        <f t="shared" si="5"/>
        <v>549.88677618512247</v>
      </c>
      <c r="H100" s="826"/>
      <c r="I100" s="1174"/>
    </row>
    <row r="101" spans="1:9" x14ac:dyDescent="0.4">
      <c r="A101" s="609">
        <v>2059</v>
      </c>
      <c r="B101" s="707">
        <v>676.084036429869</v>
      </c>
      <c r="C101" s="335">
        <f>'MSW Integration Calcs PDS2'!AB105</f>
        <v>525.45440067512016</v>
      </c>
      <c r="D101" s="335">
        <f t="shared" si="4"/>
        <v>150.62963575474885</v>
      </c>
      <c r="E101" s="335">
        <f t="shared" si="5"/>
        <v>525.45440067512016</v>
      </c>
      <c r="H101" s="826"/>
      <c r="I101" s="1174"/>
    </row>
    <row r="102" spans="1:9" x14ac:dyDescent="0.4">
      <c r="A102" s="609">
        <v>2060</v>
      </c>
      <c r="B102" s="707">
        <v>678.37255780365797</v>
      </c>
      <c r="C102" s="335">
        <f>'MSW Integration Calcs PDS2'!AB106</f>
        <v>500.11037403510761</v>
      </c>
      <c r="D102" s="335">
        <f t="shared" si="4"/>
        <v>178.26218376855036</v>
      </c>
      <c r="E102" s="335">
        <f t="shared" si="5"/>
        <v>500.11037403510761</v>
      </c>
      <c r="F102" s="533"/>
      <c r="H102" s="826"/>
      <c r="I102" s="1174"/>
    </row>
    <row r="103" spans="1:9" x14ac:dyDescent="0.4">
      <c r="H103" s="826"/>
      <c r="I103" s="1174"/>
    </row>
    <row r="104" spans="1:9" x14ac:dyDescent="0.4">
      <c r="H104" s="826"/>
      <c r="I104" s="1174"/>
    </row>
    <row r="105" spans="1:9" x14ac:dyDescent="0.4">
      <c r="A105" s="609" t="s">
        <v>351</v>
      </c>
      <c r="H105" s="826"/>
      <c r="I105" s="826"/>
    </row>
    <row r="106" spans="1:9" x14ac:dyDescent="0.4">
      <c r="B106" s="609" t="s">
        <v>353</v>
      </c>
      <c r="C106" s="609" t="s">
        <v>355</v>
      </c>
      <c r="D106" s="609" t="s">
        <v>358</v>
      </c>
      <c r="E106" s="609" t="s">
        <v>356</v>
      </c>
      <c r="H106" s="826"/>
      <c r="I106" s="826"/>
    </row>
    <row r="107" spans="1:9" ht="12.6" x14ac:dyDescent="0.45">
      <c r="A107" s="609">
        <v>2014</v>
      </c>
      <c r="B107" s="707">
        <v>206.02949233262407</v>
      </c>
      <c r="C107" s="335">
        <f>'MSW Integration Calcs PDS3'!AB60</f>
        <v>626.75236333333328</v>
      </c>
      <c r="D107" s="335">
        <f>IF(B107&gt;C107,B107-C107,0)</f>
        <v>0</v>
      </c>
      <c r="E107" s="335">
        <f>B107-D107</f>
        <v>206.02949233262407</v>
      </c>
      <c r="H107" s="1214"/>
      <c r="I107" s="1214"/>
    </row>
    <row r="108" spans="1:9" x14ac:dyDescent="0.4">
      <c r="A108" s="609">
        <v>2015</v>
      </c>
      <c r="B108" s="707">
        <v>235.52669042717577</v>
      </c>
      <c r="C108" s="335">
        <f>'MSW Integration Calcs PDS3'!AB61</f>
        <v>664.94060999999999</v>
      </c>
      <c r="D108" s="335">
        <f t="shared" ref="D108:D153" si="6">IF(B108&gt;C108,B108-C108,0)</f>
        <v>0</v>
      </c>
      <c r="E108" s="335">
        <f t="shared" ref="E108:E153" si="7">B108-D108</f>
        <v>235.52669042717577</v>
      </c>
      <c r="H108" s="826"/>
      <c r="I108" s="826"/>
    </row>
    <row r="109" spans="1:9" x14ac:dyDescent="0.4">
      <c r="A109" s="609">
        <v>2016</v>
      </c>
      <c r="B109" s="707">
        <v>266.79999999999995</v>
      </c>
      <c r="C109" s="335">
        <f>'MSW Integration Calcs PDS3'!AB62</f>
        <v>702.74354999999991</v>
      </c>
      <c r="D109" s="335">
        <f t="shared" si="6"/>
        <v>0</v>
      </c>
      <c r="E109" s="335">
        <f t="shared" si="7"/>
        <v>266.79999999999995</v>
      </c>
      <c r="H109" s="826"/>
      <c r="I109" s="1174"/>
    </row>
    <row r="110" spans="1:9" x14ac:dyDescent="0.4">
      <c r="A110" s="609">
        <v>2017</v>
      </c>
      <c r="B110" s="707">
        <v>286.48515849372473</v>
      </c>
      <c r="C110" s="335">
        <f>'MSW Integration Calcs PDS3'!AB63</f>
        <v>738.25066800254558</v>
      </c>
      <c r="D110" s="335">
        <f t="shared" si="6"/>
        <v>0</v>
      </c>
      <c r="E110" s="335">
        <f t="shared" si="7"/>
        <v>286.48515849372473</v>
      </c>
      <c r="H110" s="826"/>
      <c r="I110" s="1174"/>
    </row>
    <row r="111" spans="1:9" x14ac:dyDescent="0.4">
      <c r="A111" s="609">
        <v>2018</v>
      </c>
      <c r="B111" s="707">
        <v>297.73651901071969</v>
      </c>
      <c r="C111" s="335">
        <f>'MSW Integration Calcs PDS3'!AB64</f>
        <v>747.12431895217924</v>
      </c>
      <c r="D111" s="335">
        <f t="shared" si="6"/>
        <v>0</v>
      </c>
      <c r="E111" s="335">
        <f t="shared" si="7"/>
        <v>297.73651901071969</v>
      </c>
      <c r="H111" s="826"/>
      <c r="I111" s="1174"/>
    </row>
    <row r="112" spans="1:9" x14ac:dyDescent="0.4">
      <c r="A112" s="609">
        <v>2019</v>
      </c>
      <c r="B112" s="707">
        <v>309.08568884318635</v>
      </c>
      <c r="C112" s="335">
        <f>'MSW Integration Calcs PDS3'!AB65</f>
        <v>755.47459036487442</v>
      </c>
      <c r="D112" s="335">
        <f t="shared" si="6"/>
        <v>0</v>
      </c>
      <c r="E112" s="335">
        <f t="shared" si="7"/>
        <v>309.08568884318635</v>
      </c>
      <c r="H112" s="826"/>
      <c r="I112" s="1174"/>
    </row>
    <row r="113" spans="1:9" x14ac:dyDescent="0.4">
      <c r="A113" s="609">
        <v>2020</v>
      </c>
      <c r="B113" s="707">
        <v>320.58693747439213</v>
      </c>
      <c r="C113" s="335">
        <f>'MSW Integration Calcs PDS3'!AB66</f>
        <v>763.76884374470399</v>
      </c>
      <c r="D113" s="335">
        <f t="shared" si="6"/>
        <v>0</v>
      </c>
      <c r="E113" s="335">
        <f t="shared" si="7"/>
        <v>320.58693747439213</v>
      </c>
      <c r="H113" s="826"/>
      <c r="I113" s="1174"/>
    </row>
    <row r="114" spans="1:9" x14ac:dyDescent="0.4">
      <c r="A114" s="609">
        <v>2021</v>
      </c>
      <c r="B114" s="707">
        <v>332.04093081111216</v>
      </c>
      <c r="C114" s="335">
        <f>'MSW Integration Calcs PDS3'!AB67</f>
        <v>770.95047444438876</v>
      </c>
      <c r="D114" s="335">
        <f t="shared" si="6"/>
        <v>0</v>
      </c>
      <c r="E114" s="335">
        <f t="shared" si="7"/>
        <v>332.04093081111216</v>
      </c>
      <c r="H114" s="826"/>
      <c r="I114" s="1174"/>
    </row>
    <row r="115" spans="1:9" x14ac:dyDescent="0.4">
      <c r="A115" s="609">
        <v>2022</v>
      </c>
      <c r="B115" s="707">
        <v>343.67870108896557</v>
      </c>
      <c r="C115" s="335">
        <f>'MSW Integration Calcs PDS3'!AB68</f>
        <v>778.09689526699151</v>
      </c>
      <c r="D115" s="335">
        <f t="shared" si="6"/>
        <v>0</v>
      </c>
      <c r="E115" s="335">
        <f t="shared" si="7"/>
        <v>343.67870108896557</v>
      </c>
      <c r="H115" s="826"/>
      <c r="I115" s="1174"/>
    </row>
    <row r="116" spans="1:9" x14ac:dyDescent="0.4">
      <c r="A116" s="609">
        <v>2023</v>
      </c>
      <c r="B116" s="707">
        <v>355.38585578225144</v>
      </c>
      <c r="C116" s="335">
        <f>'MSW Integration Calcs PDS3'!AB69</f>
        <v>784.92536905249142</v>
      </c>
      <c r="D116" s="335">
        <f t="shared" si="6"/>
        <v>0</v>
      </c>
      <c r="E116" s="335">
        <f t="shared" si="7"/>
        <v>355.38585578225144</v>
      </c>
      <c r="H116" s="826"/>
      <c r="I116" s="1174"/>
    </row>
    <row r="117" spans="1:9" x14ac:dyDescent="0.4">
      <c r="A117" s="609">
        <v>2024</v>
      </c>
      <c r="B117" s="707">
        <v>367.15646074108776</v>
      </c>
      <c r="C117" s="335">
        <f>'MSW Integration Calcs PDS3'!AB70</f>
        <v>791.50127618531224</v>
      </c>
      <c r="D117" s="335">
        <f t="shared" si="6"/>
        <v>0</v>
      </c>
      <c r="E117" s="335">
        <f t="shared" si="7"/>
        <v>367.15646074108776</v>
      </c>
      <c r="H117" s="826"/>
      <c r="I117" s="1174"/>
    </row>
    <row r="118" spans="1:9" x14ac:dyDescent="0.4">
      <c r="A118" s="609">
        <v>2025</v>
      </c>
      <c r="B118" s="707">
        <v>378.82218600130608</v>
      </c>
      <c r="C118" s="335">
        <f>'MSW Integration Calcs PDS3'!AB71</f>
        <v>797.3975041609034</v>
      </c>
      <c r="D118" s="335">
        <f t="shared" si="6"/>
        <v>0</v>
      </c>
      <c r="E118" s="335">
        <f t="shared" si="7"/>
        <v>378.82218600130608</v>
      </c>
      <c r="H118" s="826"/>
      <c r="I118" s="1174"/>
    </row>
    <row r="119" spans="1:9" x14ac:dyDescent="0.4">
      <c r="A119" s="609">
        <v>2026</v>
      </c>
      <c r="B119" s="707">
        <v>392.21195535918292</v>
      </c>
      <c r="C119" s="335">
        <f>'MSW Integration Calcs PDS3'!AB72</f>
        <v>805.66272231521293</v>
      </c>
      <c r="D119" s="335">
        <f t="shared" si="6"/>
        <v>0</v>
      </c>
      <c r="E119" s="335">
        <f t="shared" si="7"/>
        <v>392.21195535918292</v>
      </c>
      <c r="H119" s="826"/>
      <c r="I119" s="1174"/>
    </row>
    <row r="120" spans="1:9" x14ac:dyDescent="0.4">
      <c r="A120" s="609">
        <v>2027</v>
      </c>
      <c r="B120" s="707">
        <v>406.15808276005026</v>
      </c>
      <c r="C120" s="335">
        <f>'MSW Integration Calcs PDS3'!AB73</f>
        <v>814.2525935868515</v>
      </c>
      <c r="D120" s="335">
        <f t="shared" si="6"/>
        <v>0</v>
      </c>
      <c r="E120" s="335">
        <f t="shared" si="7"/>
        <v>406.15808276005026</v>
      </c>
      <c r="H120" s="826"/>
      <c r="I120" s="1174"/>
    </row>
    <row r="121" spans="1:9" x14ac:dyDescent="0.4">
      <c r="A121" s="609">
        <v>2028</v>
      </c>
      <c r="B121" s="707">
        <v>420.20469733769517</v>
      </c>
      <c r="C121" s="335">
        <f>'MSW Integration Calcs PDS3'!AB74</f>
        <v>821.92050192571298</v>
      </c>
      <c r="D121" s="335">
        <f t="shared" si="6"/>
        <v>0</v>
      </c>
      <c r="E121" s="335">
        <f t="shared" si="7"/>
        <v>420.20469733769517</v>
      </c>
      <c r="H121" s="826"/>
      <c r="I121" s="1174"/>
    </row>
    <row r="122" spans="1:9" x14ac:dyDescent="0.4">
      <c r="A122" s="609">
        <v>2029</v>
      </c>
      <c r="B122" s="707">
        <v>434.34518425113396</v>
      </c>
      <c r="C122" s="335">
        <f>'MSW Integration Calcs PDS3'!AB75</f>
        <v>828.54346613712062</v>
      </c>
      <c r="D122" s="335">
        <f t="shared" si="6"/>
        <v>0</v>
      </c>
      <c r="E122" s="335">
        <f t="shared" si="7"/>
        <v>434.34518425113396</v>
      </c>
      <c r="H122" s="826"/>
      <c r="I122" s="1174"/>
    </row>
    <row r="123" spans="1:9" x14ac:dyDescent="0.4">
      <c r="A123" s="609">
        <v>2030</v>
      </c>
      <c r="B123" s="707">
        <v>449.09044700455217</v>
      </c>
      <c r="C123" s="335">
        <f>'MSW Integration Calcs PDS3'!AB76</f>
        <v>834.97065569649794</v>
      </c>
      <c r="D123" s="335">
        <f t="shared" si="6"/>
        <v>0</v>
      </c>
      <c r="E123" s="335">
        <f t="shared" si="7"/>
        <v>449.09044700455217</v>
      </c>
      <c r="H123" s="826"/>
      <c r="I123" s="1174"/>
    </row>
    <row r="124" spans="1:9" x14ac:dyDescent="0.4">
      <c r="A124" s="609">
        <v>2031</v>
      </c>
      <c r="B124" s="707">
        <v>462.88185014904673</v>
      </c>
      <c r="C124" s="335">
        <f>'MSW Integration Calcs PDS3'!AB77</f>
        <v>838.12882921049095</v>
      </c>
      <c r="D124" s="335">
        <f t="shared" si="6"/>
        <v>0</v>
      </c>
      <c r="E124" s="335">
        <f t="shared" si="7"/>
        <v>462.88185014904673</v>
      </c>
      <c r="H124" s="826"/>
      <c r="I124" s="1174"/>
    </row>
    <row r="125" spans="1:9" x14ac:dyDescent="0.4">
      <c r="A125" s="609">
        <v>2032</v>
      </c>
      <c r="B125" s="707">
        <v>477.10148268680422</v>
      </c>
      <c r="C125" s="335">
        <f>'MSW Integration Calcs PDS3'!AB78</f>
        <v>840.51550712863877</v>
      </c>
      <c r="D125" s="335">
        <f t="shared" si="6"/>
        <v>0</v>
      </c>
      <c r="E125" s="335">
        <f t="shared" si="7"/>
        <v>477.10148268680422</v>
      </c>
      <c r="H125" s="826"/>
      <c r="I125" s="1174"/>
    </row>
    <row r="126" spans="1:9" x14ac:dyDescent="0.4">
      <c r="A126" s="609">
        <v>2033</v>
      </c>
      <c r="B126" s="707">
        <v>491.38569068019711</v>
      </c>
      <c r="C126" s="335">
        <f>'MSW Integration Calcs PDS3'!AB79</f>
        <v>841.31891673146072</v>
      </c>
      <c r="D126" s="335">
        <f t="shared" si="6"/>
        <v>0</v>
      </c>
      <c r="E126" s="335">
        <f t="shared" si="7"/>
        <v>491.38569068019711</v>
      </c>
      <c r="H126" s="826"/>
      <c r="I126" s="1174"/>
    </row>
    <row r="127" spans="1:9" x14ac:dyDescent="0.4">
      <c r="A127" s="609">
        <v>2034</v>
      </c>
      <c r="B127" s="707">
        <v>505.72997717055244</v>
      </c>
      <c r="C127" s="335">
        <f>'MSW Integration Calcs PDS3'!AB80</f>
        <v>840.4014396534252</v>
      </c>
      <c r="D127" s="335">
        <f t="shared" si="6"/>
        <v>0</v>
      </c>
      <c r="E127" s="335">
        <f t="shared" si="7"/>
        <v>505.72997717055244</v>
      </c>
      <c r="H127" s="826"/>
      <c r="I127" s="1174"/>
    </row>
    <row r="128" spans="1:9" x14ac:dyDescent="0.4">
      <c r="A128" s="609">
        <v>2035</v>
      </c>
      <c r="B128" s="707">
        <v>520.15250605902384</v>
      </c>
      <c r="C128" s="335">
        <f>'MSW Integration Calcs PDS3'!AB81</f>
        <v>837.65663309747788</v>
      </c>
      <c r="D128" s="335">
        <f t="shared" si="6"/>
        <v>0</v>
      </c>
      <c r="E128" s="335">
        <f t="shared" si="7"/>
        <v>520.15250605902384</v>
      </c>
      <c r="H128" s="826"/>
      <c r="I128" s="1174"/>
    </row>
    <row r="129" spans="1:9" x14ac:dyDescent="0.4">
      <c r="A129" s="609">
        <v>2036</v>
      </c>
      <c r="B129" s="707">
        <v>534.57436298169921</v>
      </c>
      <c r="C129" s="335">
        <f>'MSW Integration Calcs PDS3'!AB82</f>
        <v>832.80166894941215</v>
      </c>
      <c r="D129" s="335">
        <f t="shared" si="6"/>
        <v>0</v>
      </c>
      <c r="E129" s="335">
        <f t="shared" si="7"/>
        <v>534.57436298169921</v>
      </c>
      <c r="H129" s="826"/>
      <c r="I129" s="1174"/>
    </row>
    <row r="130" spans="1:9" x14ac:dyDescent="0.4">
      <c r="A130" s="609">
        <v>2037</v>
      </c>
      <c r="B130" s="707">
        <v>549.06745245801869</v>
      </c>
      <c r="C130" s="335">
        <f>'MSW Integration Calcs PDS3'!AB83</f>
        <v>825.80416050856138</v>
      </c>
      <c r="D130" s="335">
        <f t="shared" si="6"/>
        <v>0</v>
      </c>
      <c r="E130" s="335">
        <f t="shared" si="7"/>
        <v>549.06745245801869</v>
      </c>
      <c r="H130" s="826"/>
      <c r="I130" s="1174"/>
    </row>
    <row r="131" spans="1:9" x14ac:dyDescent="0.4">
      <c r="A131" s="609">
        <v>2038</v>
      </c>
      <c r="B131" s="707">
        <v>563.60685415557657</v>
      </c>
      <c r="C131" s="335">
        <f>'MSW Integration Calcs PDS3'!AB84</f>
        <v>816.45752640158355</v>
      </c>
      <c r="D131" s="335">
        <f t="shared" si="6"/>
        <v>0</v>
      </c>
      <c r="E131" s="335">
        <f t="shared" si="7"/>
        <v>563.60685415557657</v>
      </c>
      <c r="H131" s="826"/>
      <c r="I131" s="1174"/>
    </row>
    <row r="132" spans="1:9" x14ac:dyDescent="0.4">
      <c r="A132" s="609">
        <v>2039</v>
      </c>
      <c r="B132" s="707">
        <v>578.19033586239152</v>
      </c>
      <c r="C132" s="335">
        <f>'MSW Integration Calcs PDS3'!AB85</f>
        <v>804.58775278276755</v>
      </c>
      <c r="D132" s="335">
        <f t="shared" si="6"/>
        <v>0</v>
      </c>
      <c r="E132" s="335">
        <f t="shared" si="7"/>
        <v>578.19033586239152</v>
      </c>
      <c r="H132" s="826"/>
      <c r="I132" s="1174"/>
    </row>
    <row r="133" spans="1:9" x14ac:dyDescent="0.4">
      <c r="A133" s="609">
        <v>2040</v>
      </c>
      <c r="B133" s="707">
        <v>592.14243443121984</v>
      </c>
      <c r="C133" s="335">
        <f>'MSW Integration Calcs PDS3'!AB86</f>
        <v>788.95724441881418</v>
      </c>
      <c r="D133" s="335">
        <f t="shared" si="6"/>
        <v>0</v>
      </c>
      <c r="E133" s="335">
        <f t="shared" si="7"/>
        <v>592.14243443121984</v>
      </c>
      <c r="H133" s="826"/>
      <c r="I133" s="1174"/>
    </row>
    <row r="134" spans="1:9" x14ac:dyDescent="0.4">
      <c r="A134" s="609">
        <v>2041</v>
      </c>
      <c r="B134" s="707">
        <v>607.45834568006615</v>
      </c>
      <c r="C134" s="335">
        <f>'MSW Integration Calcs PDS3'!AB87</f>
        <v>772.54249428243588</v>
      </c>
      <c r="D134" s="335">
        <f t="shared" si="6"/>
        <v>0</v>
      </c>
      <c r="E134" s="335">
        <f t="shared" si="7"/>
        <v>607.45834568006615</v>
      </c>
      <c r="H134" s="826"/>
      <c r="I134" s="1174"/>
    </row>
    <row r="135" spans="1:9" x14ac:dyDescent="0.4">
      <c r="A135" s="609">
        <v>2042</v>
      </c>
      <c r="B135" s="707">
        <v>621.91214256945261</v>
      </c>
      <c r="C135" s="335">
        <f>'MSW Integration Calcs PDS3'!AB88</f>
        <v>751.67359011793519</v>
      </c>
      <c r="D135" s="335">
        <f t="shared" si="6"/>
        <v>0</v>
      </c>
      <c r="E135" s="335">
        <f t="shared" si="7"/>
        <v>621.91214256945261</v>
      </c>
      <c r="H135" s="826"/>
      <c r="I135" s="1174"/>
    </row>
    <row r="136" spans="1:9" x14ac:dyDescent="0.4">
      <c r="A136" s="609">
        <v>2043</v>
      </c>
      <c r="B136" s="707">
        <v>636.39912812414104</v>
      </c>
      <c r="C136" s="335">
        <f>'MSW Integration Calcs PDS3'!AB89</f>
        <v>727.58490862926146</v>
      </c>
      <c r="D136" s="335">
        <f t="shared" si="6"/>
        <v>0</v>
      </c>
      <c r="E136" s="335">
        <f t="shared" si="7"/>
        <v>636.39912812414104</v>
      </c>
      <c r="H136" s="826"/>
      <c r="I136" s="1174"/>
    </row>
    <row r="137" spans="1:9" x14ac:dyDescent="0.4">
      <c r="A137" s="609">
        <v>2044</v>
      </c>
      <c r="B137" s="707">
        <v>650.91916898066575</v>
      </c>
      <c r="C137" s="335">
        <f>'MSW Integration Calcs PDS3'!AB90</f>
        <v>700.09629089295686</v>
      </c>
      <c r="D137" s="335">
        <f t="shared" si="6"/>
        <v>0</v>
      </c>
      <c r="E137" s="335">
        <f t="shared" si="7"/>
        <v>650.91916898066575</v>
      </c>
      <c r="H137" s="826"/>
      <c r="I137" s="1174"/>
    </row>
    <row r="138" spans="1:9" x14ac:dyDescent="0.4">
      <c r="A138" s="609">
        <v>2045</v>
      </c>
      <c r="B138" s="707">
        <v>665.49374167692349</v>
      </c>
      <c r="C138" s="335">
        <f>'MSW Integration Calcs PDS3'!AB91</f>
        <v>669.05647676919978</v>
      </c>
      <c r="D138" s="335">
        <f t="shared" si="6"/>
        <v>0</v>
      </c>
      <c r="E138" s="335">
        <f t="shared" si="7"/>
        <v>665.49374167692349</v>
      </c>
      <c r="H138" s="826"/>
      <c r="I138" s="1174"/>
    </row>
    <row r="139" spans="1:9" x14ac:dyDescent="0.4">
      <c r="A139" s="609">
        <v>2046</v>
      </c>
      <c r="B139" s="707">
        <v>680.03550286726102</v>
      </c>
      <c r="C139" s="335">
        <f>'MSW Integration Calcs PDS3'!AB92</f>
        <v>634.15585534073671</v>
      </c>
      <c r="D139" s="335">
        <f t="shared" si="6"/>
        <v>45.879647526524309</v>
      </c>
      <c r="E139" s="335">
        <f t="shared" si="7"/>
        <v>634.15585534073671</v>
      </c>
      <c r="H139" s="826"/>
      <c r="I139" s="1174"/>
    </row>
    <row r="140" spans="1:9" x14ac:dyDescent="0.4">
      <c r="A140" s="609">
        <v>2047</v>
      </c>
      <c r="B140" s="707">
        <v>694.54787353125755</v>
      </c>
      <c r="C140" s="335">
        <f>'MSW Integration Calcs PDS3'!AB93</f>
        <v>595.21676766664029</v>
      </c>
      <c r="D140" s="335">
        <f t="shared" si="6"/>
        <v>99.331105864617257</v>
      </c>
      <c r="E140" s="335">
        <f t="shared" si="7"/>
        <v>595.21676766664029</v>
      </c>
      <c r="H140" s="826"/>
      <c r="I140" s="1174"/>
    </row>
    <row r="141" spans="1:9" x14ac:dyDescent="0.4">
      <c r="A141" s="609">
        <v>2048</v>
      </c>
      <c r="B141" s="707">
        <v>709.04190373033782</v>
      </c>
      <c r="C141" s="335">
        <f>'MSW Integration Calcs PDS3'!AB94</f>
        <v>552.0701157972876</v>
      </c>
      <c r="D141" s="335">
        <f t="shared" si="6"/>
        <v>156.97178793305022</v>
      </c>
      <c r="E141" s="335">
        <f t="shared" si="7"/>
        <v>552.0701157972876</v>
      </c>
      <c r="H141" s="826"/>
      <c r="I141" s="1174"/>
    </row>
    <row r="142" spans="1:9" x14ac:dyDescent="0.4">
      <c r="A142" s="609">
        <v>2049</v>
      </c>
      <c r="B142" s="707">
        <v>723.51332434892026</v>
      </c>
      <c r="C142" s="335">
        <f>'MSW Integration Calcs PDS3'!AB95</f>
        <v>504.52319667456447</v>
      </c>
      <c r="D142" s="335">
        <f t="shared" si="6"/>
        <v>218.99012767435579</v>
      </c>
      <c r="E142" s="335">
        <f t="shared" si="7"/>
        <v>504.52319667456447</v>
      </c>
      <c r="H142" s="826"/>
      <c r="I142" s="1174"/>
    </row>
    <row r="143" spans="1:9" x14ac:dyDescent="0.4">
      <c r="A143" s="609">
        <v>2050</v>
      </c>
      <c r="B143" s="707">
        <v>737.81177160874836</v>
      </c>
      <c r="C143" s="335">
        <f>'MSW Integration Calcs PDS3'!AB96</f>
        <v>452.19165851611262</v>
      </c>
      <c r="D143" s="335">
        <f t="shared" si="6"/>
        <v>285.62011309263573</v>
      </c>
      <c r="E143" s="335">
        <f t="shared" si="7"/>
        <v>452.19165851611262</v>
      </c>
      <c r="H143" s="826"/>
      <c r="I143" s="1174"/>
    </row>
    <row r="144" spans="1:9" x14ac:dyDescent="0.4">
      <c r="A144" s="609">
        <v>2051</v>
      </c>
      <c r="B144" s="707">
        <v>741.74292742051136</v>
      </c>
      <c r="C144" s="335">
        <f>'MSW Integration Calcs PDS3'!AB97</f>
        <v>397.51600749549596</v>
      </c>
      <c r="D144" s="335">
        <f t="shared" si="6"/>
        <v>344.22691992501541</v>
      </c>
      <c r="E144" s="335">
        <f t="shared" si="7"/>
        <v>397.51600749549596</v>
      </c>
      <c r="H144" s="826"/>
      <c r="I144" s="1174"/>
    </row>
    <row r="145" spans="1:9" x14ac:dyDescent="0.4">
      <c r="A145" s="609">
        <v>2052</v>
      </c>
      <c r="B145" s="707">
        <v>745.38848498125492</v>
      </c>
      <c r="C145" s="335">
        <f>'MSW Integration Calcs PDS3'!AB98</f>
        <v>393.89926677972358</v>
      </c>
      <c r="D145" s="335">
        <f t="shared" si="6"/>
        <v>351.48921820153134</v>
      </c>
      <c r="E145" s="335">
        <f t="shared" si="7"/>
        <v>393.89926677972358</v>
      </c>
      <c r="H145" s="826"/>
      <c r="I145" s="1174"/>
    </row>
    <row r="146" spans="1:9" x14ac:dyDescent="0.4">
      <c r="A146" s="609">
        <v>2053</v>
      </c>
      <c r="B146" s="707">
        <v>748.89656464738255</v>
      </c>
      <c r="C146" s="335">
        <f>'MSW Integration Calcs PDS3'!AB99</f>
        <v>393.03274829632926</v>
      </c>
      <c r="D146" s="335">
        <f t="shared" si="6"/>
        <v>355.86381635105329</v>
      </c>
      <c r="E146" s="335">
        <f t="shared" si="7"/>
        <v>393.03274829632926</v>
      </c>
      <c r="H146" s="826"/>
      <c r="I146" s="1174"/>
    </row>
    <row r="147" spans="1:9" x14ac:dyDescent="0.4">
      <c r="A147" s="609">
        <v>2054</v>
      </c>
      <c r="B147" s="707">
        <v>752.26907137692808</v>
      </c>
      <c r="C147" s="335">
        <f>'MSW Integration Calcs PDS3'!AB100</f>
        <v>392.14939397055889</v>
      </c>
      <c r="D147" s="335">
        <f t="shared" si="6"/>
        <v>360.11967740636919</v>
      </c>
      <c r="E147" s="335">
        <f t="shared" si="7"/>
        <v>392.14939397055889</v>
      </c>
      <c r="H147" s="826"/>
      <c r="I147" s="1174"/>
    </row>
    <row r="148" spans="1:9" x14ac:dyDescent="0.4">
      <c r="A148" s="609">
        <v>2055</v>
      </c>
      <c r="B148" s="707">
        <v>755.50786983293074</v>
      </c>
      <c r="C148" s="335">
        <f>'MSW Integration Calcs PDS3'!AB101</f>
        <v>391.25150759254598</v>
      </c>
      <c r="D148" s="335">
        <f t="shared" si="6"/>
        <v>364.25636224038476</v>
      </c>
      <c r="E148" s="335">
        <f t="shared" si="7"/>
        <v>391.25150759254598</v>
      </c>
      <c r="H148" s="826"/>
      <c r="I148" s="1174"/>
    </row>
    <row r="149" spans="1:9" x14ac:dyDescent="0.4">
      <c r="A149" s="609">
        <v>2056</v>
      </c>
      <c r="B149" s="707">
        <v>758.61478438343875</v>
      </c>
      <c r="C149" s="335">
        <f>'MSW Integration Calcs PDS3'!AB102</f>
        <v>390.3415733112746</v>
      </c>
      <c r="D149" s="335">
        <f t="shared" si="6"/>
        <v>368.27321107216414</v>
      </c>
      <c r="E149" s="335">
        <f t="shared" si="7"/>
        <v>390.3415733112746</v>
      </c>
      <c r="H149" s="826"/>
      <c r="I149" s="1174"/>
    </row>
    <row r="150" spans="1:9" x14ac:dyDescent="0.4">
      <c r="A150" s="609">
        <v>2057</v>
      </c>
      <c r="B150" s="707">
        <v>761.59159910150663</v>
      </c>
      <c r="C150" s="335">
        <f>'MSW Integration Calcs PDS3'!AB103</f>
        <v>389.42256674155192</v>
      </c>
      <c r="D150" s="335">
        <f t="shared" si="6"/>
        <v>372.16903235995471</v>
      </c>
      <c r="E150" s="335">
        <f t="shared" si="7"/>
        <v>389.42256674155192</v>
      </c>
      <c r="H150" s="826"/>
      <c r="I150" s="1174"/>
    </row>
    <row r="151" spans="1:9" x14ac:dyDescent="0.4">
      <c r="A151" s="609">
        <v>2058</v>
      </c>
      <c r="B151" s="707">
        <v>764.44005776519771</v>
      </c>
      <c r="C151" s="335">
        <f>'MSW Integration Calcs PDS3'!AB104</f>
        <v>388.49802751054438</v>
      </c>
      <c r="D151" s="335">
        <f t="shared" si="6"/>
        <v>375.94203025465333</v>
      </c>
      <c r="E151" s="335">
        <f t="shared" si="7"/>
        <v>388.49802751054438</v>
      </c>
      <c r="H151" s="826"/>
      <c r="I151" s="1174"/>
    </row>
    <row r="152" spans="1:9" x14ac:dyDescent="0.4">
      <c r="A152" s="609">
        <v>2059</v>
      </c>
      <c r="B152" s="707">
        <v>767.16186385758169</v>
      </c>
      <c r="C152" s="335">
        <f>'MSW Integration Calcs PDS3'!AB105</f>
        <v>387.57186113653086</v>
      </c>
      <c r="D152" s="335">
        <f t="shared" si="6"/>
        <v>379.59000272105084</v>
      </c>
      <c r="E152" s="335">
        <f t="shared" si="7"/>
        <v>387.57186113653086</v>
      </c>
      <c r="H152" s="826"/>
      <c r="I152" s="1174"/>
    </row>
    <row r="153" spans="1:9" x14ac:dyDescent="0.4">
      <c r="A153" s="609">
        <v>2060</v>
      </c>
      <c r="B153" s="707">
        <v>769.75868056673619</v>
      </c>
      <c r="C153" s="335">
        <f>'MSW Integration Calcs PDS3'!AB106</f>
        <v>386.64781203951475</v>
      </c>
      <c r="D153" s="335">
        <f t="shared" si="6"/>
        <v>383.11086852722144</v>
      </c>
      <c r="E153" s="335">
        <f t="shared" si="7"/>
        <v>386.64781203951475</v>
      </c>
      <c r="H153" s="826"/>
      <c r="I153" s="1174"/>
    </row>
    <row r="154" spans="1:9" x14ac:dyDescent="0.4">
      <c r="H154" s="826"/>
      <c r="I154" s="1174"/>
    </row>
    <row r="155" spans="1:9" x14ac:dyDescent="0.4">
      <c r="H155" s="826"/>
      <c r="I155" s="1174"/>
    </row>
    <row r="167" spans="5:6" x14ac:dyDescent="0.4">
      <c r="E167" s="826"/>
    </row>
    <row r="168" spans="5:6" x14ac:dyDescent="0.4">
      <c r="E168" s="826"/>
    </row>
    <row r="169" spans="5:6" x14ac:dyDescent="0.4">
      <c r="E169" s="826"/>
      <c r="F169" s="826"/>
    </row>
    <row r="170" spans="5:6" x14ac:dyDescent="0.4">
      <c r="E170" s="826"/>
      <c r="F170" s="1174"/>
    </row>
    <row r="171" spans="5:6" x14ac:dyDescent="0.4">
      <c r="E171" s="826"/>
      <c r="F171" s="1174"/>
    </row>
    <row r="172" spans="5:6" x14ac:dyDescent="0.4">
      <c r="E172" s="826"/>
      <c r="F172" s="1174"/>
    </row>
    <row r="173" spans="5:6" x14ac:dyDescent="0.4">
      <c r="E173" s="826"/>
      <c r="F173" s="1174"/>
    </row>
    <row r="174" spans="5:6" x14ac:dyDescent="0.4">
      <c r="E174" s="826"/>
      <c r="F174" s="1174"/>
    </row>
    <row r="175" spans="5:6" x14ac:dyDescent="0.4">
      <c r="E175" s="826"/>
      <c r="F175" s="1174"/>
    </row>
    <row r="176" spans="5:6" x14ac:dyDescent="0.4">
      <c r="E176" s="826"/>
      <c r="F176" s="1174"/>
    </row>
    <row r="177" spans="5:6" x14ac:dyDescent="0.4">
      <c r="E177" s="826"/>
      <c r="F177" s="1174"/>
    </row>
    <row r="178" spans="5:6" x14ac:dyDescent="0.4">
      <c r="E178" s="826"/>
      <c r="F178" s="1174"/>
    </row>
    <row r="179" spans="5:6" x14ac:dyDescent="0.4">
      <c r="E179" s="826"/>
      <c r="F179" s="1174"/>
    </row>
    <row r="180" spans="5:6" x14ac:dyDescent="0.4">
      <c r="E180" s="826"/>
      <c r="F180" s="1174"/>
    </row>
    <row r="181" spans="5:6" x14ac:dyDescent="0.4">
      <c r="E181" s="826"/>
      <c r="F181" s="1174"/>
    </row>
    <row r="182" spans="5:6" x14ac:dyDescent="0.4">
      <c r="E182" s="826"/>
      <c r="F182" s="1174"/>
    </row>
    <row r="183" spans="5:6" x14ac:dyDescent="0.4">
      <c r="E183" s="826"/>
      <c r="F183" s="1174"/>
    </row>
    <row r="184" spans="5:6" x14ac:dyDescent="0.4">
      <c r="E184" s="826"/>
      <c r="F184" s="1174"/>
    </row>
    <row r="185" spans="5:6" x14ac:dyDescent="0.4">
      <c r="E185" s="826"/>
      <c r="F185" s="1174"/>
    </row>
    <row r="186" spans="5:6" x14ac:dyDescent="0.4">
      <c r="E186" s="826"/>
      <c r="F186" s="1174"/>
    </row>
    <row r="187" spans="5:6" x14ac:dyDescent="0.4">
      <c r="E187" s="826"/>
      <c r="F187" s="1174"/>
    </row>
    <row r="188" spans="5:6" x14ac:dyDescent="0.4">
      <c r="E188" s="826"/>
      <c r="F188" s="1174"/>
    </row>
    <row r="189" spans="5:6" x14ac:dyDescent="0.4">
      <c r="E189" s="826"/>
      <c r="F189" s="1174"/>
    </row>
    <row r="190" spans="5:6" x14ac:dyDescent="0.4">
      <c r="E190" s="826"/>
      <c r="F190" s="1174"/>
    </row>
    <row r="191" spans="5:6" x14ac:dyDescent="0.4">
      <c r="E191" s="826"/>
      <c r="F191" s="1174"/>
    </row>
    <row r="192" spans="5:6" x14ac:dyDescent="0.4">
      <c r="E192" s="826"/>
      <c r="F192" s="1174"/>
    </row>
    <row r="193" spans="5:6" x14ac:dyDescent="0.4">
      <c r="E193" s="826"/>
      <c r="F193" s="1174"/>
    </row>
    <row r="194" spans="5:6" x14ac:dyDescent="0.4">
      <c r="E194" s="826"/>
      <c r="F194" s="1174"/>
    </row>
    <row r="195" spans="5:6" x14ac:dyDescent="0.4">
      <c r="E195" s="826"/>
      <c r="F195" s="1174"/>
    </row>
    <row r="196" spans="5:6" x14ac:dyDescent="0.4">
      <c r="E196" s="826"/>
      <c r="F196" s="1174"/>
    </row>
    <row r="197" spans="5:6" x14ac:dyDescent="0.4">
      <c r="E197" s="826"/>
      <c r="F197" s="1174"/>
    </row>
    <row r="198" spans="5:6" x14ac:dyDescent="0.4">
      <c r="E198" s="826"/>
      <c r="F198" s="1174"/>
    </row>
    <row r="199" spans="5:6" x14ac:dyDescent="0.4">
      <c r="E199" s="826"/>
      <c r="F199" s="1174"/>
    </row>
    <row r="200" spans="5:6" x14ac:dyDescent="0.4">
      <c r="E200" s="826"/>
      <c r="F200" s="1174"/>
    </row>
    <row r="201" spans="5:6" x14ac:dyDescent="0.4">
      <c r="E201" s="826"/>
      <c r="F201" s="1174"/>
    </row>
    <row r="202" spans="5:6" x14ac:dyDescent="0.4">
      <c r="E202" s="826"/>
      <c r="F202" s="1174"/>
    </row>
    <row r="203" spans="5:6" x14ac:dyDescent="0.4">
      <c r="E203" s="826"/>
      <c r="F203" s="1174"/>
    </row>
    <row r="204" spans="5:6" x14ac:dyDescent="0.4">
      <c r="E204" s="826"/>
      <c r="F204" s="1174"/>
    </row>
    <row r="205" spans="5:6" x14ac:dyDescent="0.4">
      <c r="E205" s="826"/>
      <c r="F205" s="1174"/>
    </row>
    <row r="206" spans="5:6" x14ac:dyDescent="0.4">
      <c r="E206" s="826"/>
      <c r="F206" s="1174"/>
    </row>
    <row r="207" spans="5:6" x14ac:dyDescent="0.4">
      <c r="E207" s="826"/>
      <c r="F207" s="1174"/>
    </row>
    <row r="208" spans="5:6" x14ac:dyDescent="0.4">
      <c r="E208" s="826"/>
      <c r="F208" s="1174"/>
    </row>
    <row r="209" spans="5:6" x14ac:dyDescent="0.4">
      <c r="E209" s="826"/>
      <c r="F209" s="1174"/>
    </row>
    <row r="210" spans="5:6" x14ac:dyDescent="0.4">
      <c r="E210" s="826"/>
      <c r="F210" s="1174"/>
    </row>
    <row r="211" spans="5:6" x14ac:dyDescent="0.4">
      <c r="E211" s="826"/>
      <c r="F211" s="1174"/>
    </row>
    <row r="212" spans="5:6" x14ac:dyDescent="0.4">
      <c r="E212" s="826"/>
      <c r="F212" s="1174"/>
    </row>
    <row r="213" spans="5:6" x14ac:dyDescent="0.4">
      <c r="E213" s="826"/>
      <c r="F213" s="1174"/>
    </row>
    <row r="214" spans="5:6" x14ac:dyDescent="0.4">
      <c r="E214" s="826"/>
      <c r="F214" s="1174"/>
    </row>
    <row r="215" spans="5:6" x14ac:dyDescent="0.4">
      <c r="E215" s="826"/>
      <c r="F215" s="1174"/>
    </row>
    <row r="216" spans="5:6" x14ac:dyDescent="0.4">
      <c r="E216" s="826"/>
      <c r="F216" s="1174"/>
    </row>
    <row r="217" spans="5:6" x14ac:dyDescent="0.4">
      <c r="E217" s="826"/>
      <c r="F217" s="826"/>
    </row>
    <row r="218" spans="5:6" x14ac:dyDescent="0.4">
      <c r="F218" s="826"/>
    </row>
    <row r="219" spans="5:6" x14ac:dyDescent="0.4">
      <c r="F219" s="826"/>
    </row>
  </sheetData>
  <mergeCells count="1">
    <mergeCell ref="J1:K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T240"/>
  <sheetViews>
    <sheetView topLeftCell="G1" zoomScale="40" zoomScaleNormal="40" workbookViewId="0">
      <selection activeCell="B156" sqref="B156"/>
    </sheetView>
  </sheetViews>
  <sheetFormatPr defaultColWidth="10.6640625" defaultRowHeight="12.3" x14ac:dyDescent="0.4"/>
  <cols>
    <col min="2" max="2" width="25" customWidth="1"/>
    <col min="3" max="3" width="18.6640625" customWidth="1"/>
    <col min="5" max="5" width="20.1640625" customWidth="1"/>
    <col min="6" max="6" width="20.1640625" style="609" customWidth="1"/>
    <col min="7" max="7" width="14.83203125" customWidth="1"/>
    <col min="9" max="9" width="12.83203125" customWidth="1"/>
    <col min="10" max="10" width="17.1640625" customWidth="1"/>
    <col min="14" max="14" width="21" customWidth="1"/>
  </cols>
  <sheetData>
    <row r="1" spans="1:72" x14ac:dyDescent="0.4">
      <c r="A1" s="703" t="s">
        <v>543</v>
      </c>
      <c r="AA1" t="s">
        <v>463</v>
      </c>
    </row>
    <row r="5" spans="1:72" x14ac:dyDescent="0.4">
      <c r="N5" s="703"/>
    </row>
    <row r="6" spans="1:72" ht="12.6" x14ac:dyDescent="0.45">
      <c r="D6" s="796" t="s">
        <v>1077</v>
      </c>
      <c r="AC6" s="1" t="s">
        <v>1035</v>
      </c>
    </row>
    <row r="7" spans="1:72" ht="12.6" x14ac:dyDescent="0.45">
      <c r="A7" s="1" t="s">
        <v>348</v>
      </c>
      <c r="D7" s="796" t="s">
        <v>1078</v>
      </c>
      <c r="N7" s="796" t="s">
        <v>1079</v>
      </c>
      <c r="AC7" s="703" t="s">
        <v>1033</v>
      </c>
    </row>
    <row r="8" spans="1:72" ht="12.6" x14ac:dyDescent="0.45">
      <c r="B8" s="1175" t="s">
        <v>1073</v>
      </c>
      <c r="E8" s="1175" t="s">
        <v>1073</v>
      </c>
      <c r="F8" s="1175"/>
      <c r="H8" s="796"/>
      <c r="J8" s="1175" t="s">
        <v>1073</v>
      </c>
      <c r="N8" s="1175" t="s">
        <v>1073</v>
      </c>
      <c r="AD8" t="s">
        <v>1034</v>
      </c>
      <c r="AW8" s="1" t="s">
        <v>305</v>
      </c>
    </row>
    <row r="9" spans="1:72" ht="100" customHeight="1" x14ac:dyDescent="0.4">
      <c r="A9" t="s">
        <v>114</v>
      </c>
      <c r="B9" s="899" t="s">
        <v>1076</v>
      </c>
      <c r="C9" s="735" t="s">
        <v>384</v>
      </c>
      <c r="D9" s="735" t="s">
        <v>386</v>
      </c>
      <c r="E9" s="1209" t="s">
        <v>1115</v>
      </c>
      <c r="F9" s="1204" t="s">
        <v>1116</v>
      </c>
      <c r="G9" s="735" t="s">
        <v>385</v>
      </c>
      <c r="H9" s="1204" t="s">
        <v>1081</v>
      </c>
      <c r="I9" s="735" t="s">
        <v>350</v>
      </c>
      <c r="J9" s="1210" t="s">
        <v>1118</v>
      </c>
      <c r="K9" s="735" t="s">
        <v>343</v>
      </c>
      <c r="L9" s="735" t="s">
        <v>344</v>
      </c>
      <c r="M9" s="735" t="s">
        <v>345</v>
      </c>
      <c r="N9" s="1204" t="s">
        <v>1117</v>
      </c>
      <c r="O9" s="735" t="s">
        <v>346</v>
      </c>
      <c r="P9" s="341"/>
      <c r="Q9" s="735" t="s">
        <v>352</v>
      </c>
      <c r="AC9" s="340" t="s">
        <v>1082</v>
      </c>
      <c r="AD9" t="s">
        <v>301</v>
      </c>
      <c r="AE9" t="s">
        <v>302</v>
      </c>
      <c r="AG9" t="s">
        <v>1069</v>
      </c>
      <c r="AK9" t="s">
        <v>304</v>
      </c>
    </row>
    <row r="10" spans="1:72" ht="15" customHeight="1" x14ac:dyDescent="0.6">
      <c r="A10">
        <v>2014</v>
      </c>
      <c r="B10" s="696">
        <v>1.67</v>
      </c>
      <c r="C10" s="697">
        <v>117.3</v>
      </c>
      <c r="D10" s="531">
        <f>IF((B10-C10)&lt;0,0,(B10-C10))</f>
        <v>0</v>
      </c>
      <c r="E10" s="699">
        <v>903.9</v>
      </c>
      <c r="F10" s="1202">
        <v>32.5</v>
      </c>
      <c r="G10" s="606">
        <f>D10/E10</f>
        <v>0</v>
      </c>
      <c r="H10" s="608">
        <f>G10*E10</f>
        <v>0</v>
      </c>
      <c r="I10" s="531">
        <f t="shared" ref="I10:I56" si="0">IF(H10&gt;D10,0,D10-H10)</f>
        <v>0</v>
      </c>
      <c r="J10" s="633">
        <v>0</v>
      </c>
      <c r="K10" s="531">
        <f t="shared" ref="K10:K56" si="1">J10*$BN$69</f>
        <v>0</v>
      </c>
      <c r="L10" s="531">
        <f>MIN(I10,K10)</f>
        <v>0</v>
      </c>
      <c r="M10" s="531">
        <f>I10-L10</f>
        <v>0</v>
      </c>
      <c r="N10" s="633">
        <v>90.1</v>
      </c>
      <c r="O10" s="531">
        <f>M10/$BN$31</f>
        <v>0</v>
      </c>
      <c r="Q10" s="536">
        <f t="shared" ref="Q10:Q56" si="2">B10/AC10</f>
        <v>5.7986111111111112E-3</v>
      </c>
      <c r="AB10" s="1164">
        <v>2012</v>
      </c>
      <c r="AC10" s="704">
        <v>288</v>
      </c>
      <c r="AD10" s="536" t="e">
        <f>AC10/'MSW Integration Calcs PDS1 '!#REF!</f>
        <v>#REF!</v>
      </c>
      <c r="AE10" s="536" t="e">
        <f>AC10/'MSW Integration Calcs PDS1 '!#REF!</f>
        <v>#REF!</v>
      </c>
      <c r="AG10" s="337">
        <v>0.12</v>
      </c>
      <c r="AK10" s="531">
        <f>$AI$12*AC10</f>
        <v>223.36205787781347</v>
      </c>
      <c r="AL10" s="536" t="e">
        <f>AK10/'MSW Integration Calcs PDS1 '!#REF!</f>
        <v>#REF!</v>
      </c>
      <c r="AW10" s="537" t="s">
        <v>306</v>
      </c>
      <c r="AX10" s="538" t="s">
        <v>307</v>
      </c>
      <c r="AY10" s="539" t="s">
        <v>308</v>
      </c>
      <c r="AZ10" s="540" t="s">
        <v>309</v>
      </c>
      <c r="BA10" s="540" t="s">
        <v>310</v>
      </c>
      <c r="BB10" s="539" t="s">
        <v>311</v>
      </c>
      <c r="BC10" s="539" t="s">
        <v>312</v>
      </c>
      <c r="BD10" s="540" t="s">
        <v>313</v>
      </c>
      <c r="BE10" s="540" t="s">
        <v>314</v>
      </c>
      <c r="BF10" s="541" t="s">
        <v>315</v>
      </c>
      <c r="BG10" s="542" t="s">
        <v>222</v>
      </c>
      <c r="BH10" s="543" t="s">
        <v>316</v>
      </c>
      <c r="BI10" s="544" t="s">
        <v>317</v>
      </c>
      <c r="BK10" s="544" t="s">
        <v>318</v>
      </c>
      <c r="BL10" s="545"/>
      <c r="BM10" s="546" t="s">
        <v>319</v>
      </c>
      <c r="BN10" s="547" t="s">
        <v>320</v>
      </c>
      <c r="BO10" s="548" t="s">
        <v>321</v>
      </c>
      <c r="BR10" s="545"/>
      <c r="BS10" s="545"/>
      <c r="BT10" s="549"/>
    </row>
    <row r="11" spans="1:72" ht="15" customHeight="1" x14ac:dyDescent="0.6">
      <c r="A11">
        <v>2015</v>
      </c>
      <c r="B11" s="696">
        <v>2.0299999999999998</v>
      </c>
      <c r="C11" s="697">
        <v>110.6</v>
      </c>
      <c r="D11" s="531">
        <f t="shared" ref="D11:D56" si="3">IF((B11-C11)&lt;0,0,(B11-C11))</f>
        <v>0</v>
      </c>
      <c r="E11" s="699">
        <v>903.9</v>
      </c>
      <c r="F11" s="1202">
        <v>32.5</v>
      </c>
      <c r="G11" s="606">
        <f>D11/E11</f>
        <v>0</v>
      </c>
      <c r="H11" s="608">
        <f t="shared" ref="H11:H56" si="4">G11*E11</f>
        <v>0</v>
      </c>
      <c r="I11" s="531">
        <f t="shared" si="0"/>
        <v>0</v>
      </c>
      <c r="J11" s="633">
        <v>0</v>
      </c>
      <c r="K11" s="531">
        <f t="shared" si="1"/>
        <v>0</v>
      </c>
      <c r="L11" s="531">
        <f t="shared" ref="L11:L56" si="5">MIN(I11,K11)</f>
        <v>0</v>
      </c>
      <c r="M11" s="531">
        <f t="shared" ref="M11:M56" si="6">I11-L11</f>
        <v>0</v>
      </c>
      <c r="N11" s="633">
        <v>90.8</v>
      </c>
      <c r="O11" s="531">
        <f t="shared" ref="O11:O56" si="7">M11/$BN$31</f>
        <v>0</v>
      </c>
      <c r="Q11" s="536">
        <f t="shared" si="2"/>
        <v>6.7892976588628754E-3</v>
      </c>
      <c r="AB11" s="1164">
        <v>2013</v>
      </c>
      <c r="AC11" s="704">
        <v>299</v>
      </c>
      <c r="AD11" s="536" t="e">
        <f>AC11/'MSW Integration Calcs PDS1 '!#REF!</f>
        <v>#REF!</v>
      </c>
      <c r="AE11" s="536" t="e">
        <f>AC11/'MSW Integration Calcs PDS1 '!#REF!</f>
        <v>#REF!</v>
      </c>
      <c r="AG11" t="s">
        <v>1068</v>
      </c>
      <c r="AI11" t="s">
        <v>303</v>
      </c>
      <c r="AK11" s="531">
        <f>$AI$12*AC11</f>
        <v>231.8932475884244</v>
      </c>
      <c r="AL11" s="536" t="e">
        <f>AK11/'MSW Integration Calcs PDS1 '!#REF!</f>
        <v>#REF!</v>
      </c>
      <c r="AW11" s="550">
        <v>1</v>
      </c>
      <c r="AX11" s="551"/>
      <c r="AY11" s="580" t="s">
        <v>349</v>
      </c>
      <c r="AZ11" s="581" t="s">
        <v>330</v>
      </c>
      <c r="BA11" s="552"/>
      <c r="BB11" s="552"/>
      <c r="BC11" s="553" t="s">
        <v>281</v>
      </c>
      <c r="BD11" s="554">
        <v>2018</v>
      </c>
      <c r="BE11" s="553"/>
      <c r="BF11" s="555">
        <v>0.5</v>
      </c>
      <c r="BG11" s="556"/>
      <c r="BH11" s="557"/>
      <c r="BI11" s="556" t="s">
        <v>329</v>
      </c>
      <c r="BK11" s="558"/>
      <c r="BL11" s="558"/>
      <c r="BM11" s="559"/>
      <c r="BN11" s="560">
        <f>IF(BM11="Y","",IF(AND(BH11="",BF11=""),"",IF(BH11="",BF11,BH11)))</f>
        <v>0.5</v>
      </c>
      <c r="BO11" s="561" t="str">
        <f t="shared" ref="BO11:BO30" si="8">IF(AND(BI11="",BG11=""),"",IF(BI11="",BG11,BI11))</f>
        <v>%</v>
      </c>
      <c r="BR11" s="562"/>
      <c r="BS11" s="562"/>
      <c r="BT11" s="549"/>
    </row>
    <row r="12" spans="1:72" ht="15" customHeight="1" x14ac:dyDescent="0.6">
      <c r="A12">
        <v>2016</v>
      </c>
      <c r="B12" s="696">
        <v>2.0499999999999998</v>
      </c>
      <c r="C12" s="697">
        <v>102</v>
      </c>
      <c r="D12" s="531">
        <f>IF((B12-C12)&lt;0,0,(B12-C12))</f>
        <v>0</v>
      </c>
      <c r="E12" s="699">
        <v>903.9</v>
      </c>
      <c r="F12" s="1202">
        <v>32.5</v>
      </c>
      <c r="G12" s="606">
        <f t="shared" ref="G12:G56" si="9">D12/E12</f>
        <v>0</v>
      </c>
      <c r="H12" s="608">
        <f>G12*E12</f>
        <v>0</v>
      </c>
      <c r="I12" s="531">
        <f t="shared" si="0"/>
        <v>0</v>
      </c>
      <c r="J12" s="633">
        <v>0</v>
      </c>
      <c r="K12" s="531">
        <f t="shared" si="1"/>
        <v>0</v>
      </c>
      <c r="L12" s="531">
        <f t="shared" si="5"/>
        <v>0</v>
      </c>
      <c r="M12" s="531">
        <f t="shared" si="6"/>
        <v>0</v>
      </c>
      <c r="N12" s="633">
        <v>92</v>
      </c>
      <c r="O12" s="531">
        <f t="shared" si="7"/>
        <v>0</v>
      </c>
      <c r="Q12" s="536">
        <f t="shared" si="2"/>
        <v>6.591639871382636E-3</v>
      </c>
      <c r="AB12" s="1164">
        <v>2014</v>
      </c>
      <c r="AC12" s="704">
        <v>311</v>
      </c>
      <c r="AD12" s="536">
        <f>AC12/'MSW Integration Calcs PDS1 '!C7</f>
        <v>0.17537593984962407</v>
      </c>
      <c r="AE12" s="536">
        <f>AC12/'MSW Integration Calcs PDS1 '!AB7</f>
        <v>0.49569231161567012</v>
      </c>
      <c r="AG12" s="1163">
        <f>AG10*'MSW Integration Calcs PDS1 '!C9</f>
        <v>241.19999999999996</v>
      </c>
      <c r="AI12" s="624">
        <f>AG12/AC12</f>
        <v>0.77556270096463009</v>
      </c>
      <c r="AK12" s="531">
        <f>$AI$12*AC12</f>
        <v>241.19999999999996</v>
      </c>
      <c r="AL12" s="536">
        <f>AK12/'MSW Integration Calcs PDS1 '!C7</f>
        <v>0.13601503759398495</v>
      </c>
      <c r="AW12" s="550">
        <v>2</v>
      </c>
      <c r="AX12" s="551"/>
      <c r="AY12" s="580" t="s">
        <v>332</v>
      </c>
      <c r="AZ12" s="552"/>
      <c r="BA12" s="552"/>
      <c r="BB12" s="552"/>
      <c r="BC12" s="553" t="s">
        <v>228</v>
      </c>
      <c r="BD12" s="554">
        <v>2014</v>
      </c>
      <c r="BE12" s="553"/>
      <c r="BF12" s="555">
        <f>1/5.05</f>
        <v>0.19801980198019803</v>
      </c>
      <c r="BG12" s="555"/>
      <c r="BH12" s="557"/>
      <c r="BI12" s="556" t="s">
        <v>329</v>
      </c>
      <c r="BK12" s="558" t="s">
        <v>331</v>
      </c>
      <c r="BL12" s="558"/>
      <c r="BM12" s="559"/>
      <c r="BN12" s="560">
        <f t="shared" ref="BN12:BN30" si="10">IF(BM12="Y","",IF(AND(BH12="",BF12=""),"",IF(BH12="",BF12,BH12)))</f>
        <v>0.19801980198019803</v>
      </c>
      <c r="BO12" s="561" t="str">
        <f t="shared" si="8"/>
        <v>%</v>
      </c>
      <c r="BR12" s="562"/>
      <c r="BS12" s="562"/>
      <c r="BT12" s="549"/>
    </row>
    <row r="13" spans="1:72" ht="15" customHeight="1" x14ac:dyDescent="0.6">
      <c r="A13">
        <v>2017</v>
      </c>
      <c r="B13" s="696">
        <v>2.27</v>
      </c>
      <c r="C13" s="697">
        <v>93.7</v>
      </c>
      <c r="D13" s="531">
        <f t="shared" si="3"/>
        <v>0</v>
      </c>
      <c r="E13" s="699">
        <v>903.9</v>
      </c>
      <c r="F13" s="1202">
        <v>32.5</v>
      </c>
      <c r="G13" s="606">
        <f>D13/E13</f>
        <v>0</v>
      </c>
      <c r="H13" s="608">
        <f t="shared" si="4"/>
        <v>0</v>
      </c>
      <c r="I13" s="531">
        <f t="shared" si="0"/>
        <v>0</v>
      </c>
      <c r="J13" s="633">
        <v>0</v>
      </c>
      <c r="K13" s="531">
        <f t="shared" si="1"/>
        <v>0</v>
      </c>
      <c r="L13" s="531">
        <f t="shared" si="5"/>
        <v>0</v>
      </c>
      <c r="M13" s="531">
        <f t="shared" si="6"/>
        <v>0</v>
      </c>
      <c r="N13" s="633">
        <v>92.5</v>
      </c>
      <c r="O13" s="531">
        <f t="shared" si="7"/>
        <v>0</v>
      </c>
      <c r="Q13" s="536">
        <f t="shared" si="2"/>
        <v>7.0496894409937888E-3</v>
      </c>
      <c r="AB13" s="1164">
        <v>2015</v>
      </c>
      <c r="AC13" s="704">
        <v>322</v>
      </c>
      <c r="AD13" s="536">
        <f>AC13/'MSW Integration Calcs PDS1 '!C8</f>
        <v>0.1702202643171806</v>
      </c>
      <c r="AE13" s="536">
        <f>AC13/'MSW Integration Calcs PDS1 '!AB8</f>
        <v>0.48371771616135439</v>
      </c>
      <c r="AI13" t="s">
        <v>1036</v>
      </c>
      <c r="AK13" s="531">
        <f t="shared" ref="AK13:AK56" si="11">$AI$12*AC13</f>
        <v>249.73118971061089</v>
      </c>
      <c r="AL13" s="536">
        <f>AK13/'MSW Integration Calcs PDS1 '!C8</f>
        <v>0.13201648795274584</v>
      </c>
      <c r="AW13" s="550">
        <v>3</v>
      </c>
      <c r="AX13" s="551"/>
      <c r="AY13" s="554" t="s">
        <v>335</v>
      </c>
      <c r="AZ13" s="554"/>
      <c r="BA13" s="554"/>
      <c r="BB13" s="554"/>
      <c r="BC13" s="553" t="s">
        <v>228</v>
      </c>
      <c r="BD13" s="554">
        <v>2015</v>
      </c>
      <c r="BE13" s="563"/>
      <c r="BF13" s="564">
        <v>0.81</v>
      </c>
      <c r="BG13" s="564"/>
      <c r="BH13" s="557"/>
      <c r="BI13" s="556" t="s">
        <v>329</v>
      </c>
      <c r="BK13" s="558" t="s">
        <v>333</v>
      </c>
      <c r="BL13" s="558"/>
      <c r="BM13" s="559"/>
      <c r="BN13" s="560">
        <f t="shared" si="10"/>
        <v>0.81</v>
      </c>
      <c r="BO13" s="561" t="str">
        <f t="shared" si="8"/>
        <v>%</v>
      </c>
      <c r="BR13" s="562"/>
      <c r="BS13" s="562"/>
      <c r="BT13" s="549"/>
    </row>
    <row r="14" spans="1:72" ht="15" customHeight="1" x14ac:dyDescent="0.6">
      <c r="A14">
        <v>2018</v>
      </c>
      <c r="B14" s="696">
        <v>2.1099999999999852</v>
      </c>
      <c r="C14" s="697">
        <v>85.6</v>
      </c>
      <c r="D14" s="531">
        <f>IF((B14-C14)&lt;0,0,(B14-C14))</f>
        <v>0</v>
      </c>
      <c r="E14" s="699">
        <v>903.9</v>
      </c>
      <c r="F14" s="1202">
        <v>32.5</v>
      </c>
      <c r="G14" s="606">
        <f>D14/E14</f>
        <v>0</v>
      </c>
      <c r="H14" s="608">
        <f>G14*E14</f>
        <v>0</v>
      </c>
      <c r="I14" s="531">
        <f t="shared" si="0"/>
        <v>0</v>
      </c>
      <c r="J14" s="633">
        <v>0</v>
      </c>
      <c r="K14" s="531">
        <f t="shared" si="1"/>
        <v>0</v>
      </c>
      <c r="L14" s="531">
        <f t="shared" si="5"/>
        <v>0</v>
      </c>
      <c r="M14" s="531">
        <f t="shared" si="6"/>
        <v>0</v>
      </c>
      <c r="N14" s="633">
        <v>94.1</v>
      </c>
      <c r="O14" s="531">
        <f t="shared" si="7"/>
        <v>0</v>
      </c>
      <c r="Q14" s="536">
        <f t="shared" si="2"/>
        <v>6.2985074626865228E-3</v>
      </c>
      <c r="AB14" s="1164">
        <v>2016</v>
      </c>
      <c r="AC14" s="704">
        <v>335</v>
      </c>
      <c r="AD14" s="536">
        <f>AC14/'MSW Integration Calcs PDS1 '!C9</f>
        <v>0.16666666666666669</v>
      </c>
      <c r="AE14" s="536">
        <f>AC14/'MSW Integration Calcs PDS1 '!AB9</f>
        <v>0.47619047619047628</v>
      </c>
      <c r="AK14" s="531">
        <f t="shared" si="11"/>
        <v>259.81350482315111</v>
      </c>
      <c r="AL14" s="536">
        <f>AK14/'MSW Integration Calcs PDS1 '!C9</f>
        <v>0.1292604501607717</v>
      </c>
      <c r="AW14" s="550">
        <v>4</v>
      </c>
      <c r="AX14" s="551"/>
      <c r="AY14" s="554" t="s">
        <v>335</v>
      </c>
      <c r="AZ14" s="554"/>
      <c r="BA14" s="554"/>
      <c r="BB14" s="554"/>
      <c r="BC14" s="553" t="s">
        <v>228</v>
      </c>
      <c r="BD14" s="554">
        <v>2015</v>
      </c>
      <c r="BE14" s="563"/>
      <c r="BF14" s="564">
        <v>0.54</v>
      </c>
      <c r="BG14" s="564"/>
      <c r="BH14" s="557"/>
      <c r="BI14" s="556" t="s">
        <v>329</v>
      </c>
      <c r="BK14" s="558" t="s">
        <v>334</v>
      </c>
      <c r="BL14" s="558"/>
      <c r="BM14" s="559"/>
      <c r="BN14" s="560">
        <f t="shared" si="10"/>
        <v>0.54</v>
      </c>
      <c r="BO14" s="561" t="str">
        <f t="shared" si="8"/>
        <v>%</v>
      </c>
      <c r="BR14" s="562"/>
      <c r="BS14" s="562"/>
      <c r="BT14" s="549"/>
    </row>
    <row r="15" spans="1:72" ht="15" customHeight="1" x14ac:dyDescent="0.6">
      <c r="A15">
        <v>2019</v>
      </c>
      <c r="B15" s="696">
        <v>2.211199999999991</v>
      </c>
      <c r="C15" s="697">
        <v>85</v>
      </c>
      <c r="D15" s="531">
        <f t="shared" si="3"/>
        <v>0</v>
      </c>
      <c r="E15" s="699">
        <v>936.7</v>
      </c>
      <c r="F15" s="1202">
        <v>33.6</v>
      </c>
      <c r="G15" s="606">
        <f t="shared" si="9"/>
        <v>0</v>
      </c>
      <c r="H15" s="608">
        <f t="shared" si="4"/>
        <v>0</v>
      </c>
      <c r="I15" s="531">
        <f t="shared" si="0"/>
        <v>0</v>
      </c>
      <c r="J15" s="633">
        <v>0</v>
      </c>
      <c r="K15" s="531">
        <f t="shared" si="1"/>
        <v>0</v>
      </c>
      <c r="L15" s="531">
        <f t="shared" si="5"/>
        <v>0</v>
      </c>
      <c r="M15" s="531">
        <f t="shared" si="6"/>
        <v>0</v>
      </c>
      <c r="N15" s="633">
        <v>108.8</v>
      </c>
      <c r="O15" s="531">
        <f t="shared" si="7"/>
        <v>0</v>
      </c>
      <c r="Q15" s="536">
        <f t="shared" si="2"/>
        <v>6.3540229885057208E-3</v>
      </c>
      <c r="AB15" s="1164">
        <v>2017</v>
      </c>
      <c r="AC15" s="704">
        <v>348</v>
      </c>
      <c r="AD15" s="536">
        <f>AC15/'MSW Integration Calcs PDS1 '!C10</f>
        <v>0.16389395370001461</v>
      </c>
      <c r="AE15" s="536">
        <f>AC15/'MSW Integration Calcs PDS1 '!AB10</f>
        <v>0.47082434271765189</v>
      </c>
      <c r="AK15" s="531">
        <f t="shared" si="11"/>
        <v>269.89581993569129</v>
      </c>
      <c r="AL15" s="536">
        <f>AK15/'MSW Integration Calcs PDS1 '!C10</f>
        <v>0.12711003740335539</v>
      </c>
      <c r="AW15" s="550">
        <v>5</v>
      </c>
      <c r="AX15" s="551"/>
      <c r="AY15" s="554" t="s">
        <v>336</v>
      </c>
      <c r="AZ15" s="582" t="s">
        <v>340</v>
      </c>
      <c r="BA15" s="554"/>
      <c r="BB15" s="554"/>
      <c r="BC15" s="553" t="s">
        <v>228</v>
      </c>
      <c r="BD15" s="554">
        <v>2015</v>
      </c>
      <c r="BE15" s="563"/>
      <c r="BF15" s="564">
        <v>0.7</v>
      </c>
      <c r="BG15" s="564"/>
      <c r="BH15" s="557"/>
      <c r="BI15" s="556" t="s">
        <v>329</v>
      </c>
      <c r="BK15" s="558" t="s">
        <v>337</v>
      </c>
      <c r="BL15" s="558"/>
      <c r="BM15" s="559"/>
      <c r="BN15" s="560">
        <f t="shared" si="10"/>
        <v>0.7</v>
      </c>
      <c r="BO15" s="561" t="str">
        <f t="shared" si="8"/>
        <v>%</v>
      </c>
      <c r="BR15" s="562"/>
      <c r="BS15" s="562"/>
      <c r="BT15" s="549"/>
    </row>
    <row r="16" spans="1:72" ht="15" customHeight="1" x14ac:dyDescent="0.6">
      <c r="A16">
        <v>2020</v>
      </c>
      <c r="B16" s="696">
        <v>2.3123999999999967</v>
      </c>
      <c r="C16" s="697">
        <v>88.4</v>
      </c>
      <c r="D16" s="531">
        <f t="shared" si="3"/>
        <v>0</v>
      </c>
      <c r="E16" s="700">
        <v>970.2</v>
      </c>
      <c r="F16" s="1202">
        <v>34.700000000000003</v>
      </c>
      <c r="G16" s="606">
        <f t="shared" si="9"/>
        <v>0</v>
      </c>
      <c r="H16" s="608">
        <f>G16*E16</f>
        <v>0</v>
      </c>
      <c r="I16" s="531">
        <f t="shared" si="0"/>
        <v>0</v>
      </c>
      <c r="J16" s="633">
        <v>0</v>
      </c>
      <c r="K16" s="531">
        <f t="shared" si="1"/>
        <v>0</v>
      </c>
      <c r="L16" s="531">
        <f>MIN(I16,K16)</f>
        <v>0</v>
      </c>
      <c r="M16" s="531">
        <f t="shared" si="6"/>
        <v>0</v>
      </c>
      <c r="N16" s="633">
        <v>121.3</v>
      </c>
      <c r="O16" s="531">
        <f t="shared" si="7"/>
        <v>0</v>
      </c>
      <c r="Q16" s="536">
        <f t="shared" si="2"/>
        <v>6.4412256267409379E-3</v>
      </c>
      <c r="AB16" s="1164">
        <v>2018</v>
      </c>
      <c r="AC16" s="704">
        <v>359</v>
      </c>
      <c r="AD16" s="536">
        <f>AC16/'MSW Integration Calcs PDS1 '!C11</f>
        <v>0.16614952590252216</v>
      </c>
      <c r="AE16" s="536">
        <f>AC16/'MSW Integration Calcs PDS1 '!AB11</f>
        <v>0.47992352947002348</v>
      </c>
      <c r="AK16" s="531">
        <f t="shared" si="11"/>
        <v>278.42700964630222</v>
      </c>
      <c r="AL16" s="536">
        <f>AK16/'MSW Integration Calcs PDS1 '!C11</f>
        <v>0.12885937507295286</v>
      </c>
      <c r="AW16" s="550">
        <v>6</v>
      </c>
      <c r="AX16" s="551"/>
      <c r="AY16" s="554" t="s">
        <v>338</v>
      </c>
      <c r="AZ16" s="582" t="s">
        <v>340</v>
      </c>
      <c r="BA16" s="554"/>
      <c r="BB16" s="554"/>
      <c r="BC16" s="553" t="s">
        <v>228</v>
      </c>
      <c r="BD16" s="554">
        <v>2013</v>
      </c>
      <c r="BE16" s="563"/>
      <c r="BF16" s="564">
        <v>0.89</v>
      </c>
      <c r="BG16" s="564"/>
      <c r="BH16" s="557"/>
      <c r="BI16" s="556" t="s">
        <v>329</v>
      </c>
      <c r="BK16" s="558" t="s">
        <v>339</v>
      </c>
      <c r="BL16" s="558"/>
      <c r="BM16" s="559"/>
      <c r="BN16" s="560">
        <f t="shared" si="10"/>
        <v>0.89</v>
      </c>
      <c r="BO16" s="561" t="str">
        <f t="shared" si="8"/>
        <v>%</v>
      </c>
      <c r="BR16" s="562"/>
      <c r="BS16" s="562"/>
      <c r="BT16" s="549"/>
    </row>
    <row r="17" spans="1:72" ht="15" customHeight="1" x14ac:dyDescent="0.6">
      <c r="A17">
        <v>2021</v>
      </c>
      <c r="B17" s="696">
        <v>2.413599999999974</v>
      </c>
      <c r="C17" s="697">
        <v>92</v>
      </c>
      <c r="D17" s="531">
        <f t="shared" si="3"/>
        <v>0</v>
      </c>
      <c r="E17" s="701">
        <v>1003</v>
      </c>
      <c r="F17" s="1203">
        <v>35.700000000000003</v>
      </c>
      <c r="G17" s="606">
        <f t="shared" si="9"/>
        <v>0</v>
      </c>
      <c r="H17" s="608">
        <f t="shared" si="4"/>
        <v>0</v>
      </c>
      <c r="I17" s="531">
        <f t="shared" si="0"/>
        <v>0</v>
      </c>
      <c r="J17" s="633">
        <v>0</v>
      </c>
      <c r="K17" s="531">
        <f t="shared" si="1"/>
        <v>0</v>
      </c>
      <c r="L17" s="531">
        <f t="shared" si="5"/>
        <v>0</v>
      </c>
      <c r="M17" s="531">
        <f t="shared" si="6"/>
        <v>0</v>
      </c>
      <c r="N17" s="633">
        <v>133.30000000000001</v>
      </c>
      <c r="O17" s="531">
        <f t="shared" si="7"/>
        <v>0</v>
      </c>
      <c r="Q17" s="536">
        <f t="shared" si="2"/>
        <v>7.022344350282545E-3</v>
      </c>
      <c r="AB17" s="1164">
        <v>2019</v>
      </c>
      <c r="AC17" s="704">
        <v>343.70288319781162</v>
      </c>
      <c r="AD17" s="536">
        <f>AC17/'MSW Integration Calcs PDS1 '!C12</f>
        <v>0.15637760968701647</v>
      </c>
      <c r="AE17" s="536">
        <f>AC17/'MSW Integration Calcs PDS1 '!AB12</f>
        <v>0.45418997875985029</v>
      </c>
      <c r="AK17" s="531">
        <f t="shared" si="11"/>
        <v>266.56313642222557</v>
      </c>
      <c r="AL17" s="536">
        <f>AK17/'MSW Integration Calcs PDS1 '!C12</f>
        <v>0.12128064133925522</v>
      </c>
      <c r="AW17" s="550">
        <v>7</v>
      </c>
      <c r="AX17" s="551"/>
      <c r="AY17" s="554"/>
      <c r="AZ17" s="554"/>
      <c r="BA17" s="554"/>
      <c r="BB17" s="554"/>
      <c r="BC17" s="563"/>
      <c r="BD17" s="554"/>
      <c r="BE17" s="563"/>
      <c r="BF17" s="564"/>
      <c r="BG17" s="564"/>
      <c r="BH17" s="557"/>
      <c r="BI17" s="555"/>
      <c r="BK17" s="558"/>
      <c r="BL17" s="558"/>
      <c r="BM17" s="559"/>
      <c r="BN17" s="560" t="str">
        <f t="shared" si="10"/>
        <v/>
      </c>
      <c r="BO17" s="561" t="str">
        <f t="shared" si="8"/>
        <v/>
      </c>
      <c r="BR17" s="562"/>
      <c r="BS17" s="562"/>
      <c r="BT17" s="549"/>
    </row>
    <row r="18" spans="1:72" ht="15" customHeight="1" x14ac:dyDescent="0.6">
      <c r="A18">
        <v>2022</v>
      </c>
      <c r="B18" s="696">
        <v>2.5147999999999797</v>
      </c>
      <c r="C18" s="697">
        <v>95.8</v>
      </c>
      <c r="D18" s="531">
        <f t="shared" si="3"/>
        <v>0</v>
      </c>
      <c r="E18" s="701">
        <v>1042.9000000000001</v>
      </c>
      <c r="F18" s="1203">
        <v>36.9</v>
      </c>
      <c r="G18" s="606">
        <f t="shared" si="9"/>
        <v>0</v>
      </c>
      <c r="H18" s="608">
        <f t="shared" si="4"/>
        <v>0</v>
      </c>
      <c r="I18" s="531">
        <f t="shared" si="0"/>
        <v>0</v>
      </c>
      <c r="J18" s="633">
        <v>0</v>
      </c>
      <c r="K18" s="531">
        <f t="shared" si="1"/>
        <v>0</v>
      </c>
      <c r="L18" s="531">
        <f t="shared" si="5"/>
        <v>0</v>
      </c>
      <c r="M18" s="531">
        <f t="shared" si="6"/>
        <v>0</v>
      </c>
      <c r="N18" s="633">
        <v>146.80000000000001</v>
      </c>
      <c r="O18" s="531">
        <f t="shared" si="7"/>
        <v>0</v>
      </c>
      <c r="Q18" s="536">
        <f t="shared" si="2"/>
        <v>7.0541680743027874E-3</v>
      </c>
      <c r="AB18" s="1164">
        <v>2020</v>
      </c>
      <c r="AC18" s="704">
        <v>356.49845219324959</v>
      </c>
      <c r="AD18" s="536">
        <f>AC18/'MSW Integration Calcs PDS1 '!C13</f>
        <v>0.15947231829577227</v>
      </c>
      <c r="AE18" s="536">
        <f>AC18/'MSW Integration Calcs PDS1 '!AB13</f>
        <v>0.46574859315354039</v>
      </c>
      <c r="AK18" s="531">
        <f t="shared" si="11"/>
        <v>276.48690247270673</v>
      </c>
      <c r="AL18" s="536">
        <f>AK18/'MSW Integration Calcs PDS1 '!C13</f>
        <v>0.12368078190656036</v>
      </c>
      <c r="AW18" s="550">
        <v>8</v>
      </c>
      <c r="AX18" s="551"/>
      <c r="AY18" s="554"/>
      <c r="AZ18" s="554"/>
      <c r="BA18" s="554"/>
      <c r="BB18" s="554"/>
      <c r="BC18" s="563"/>
      <c r="BD18" s="554"/>
      <c r="BE18" s="563"/>
      <c r="BF18" s="564"/>
      <c r="BG18" s="564"/>
      <c r="BH18" s="557"/>
      <c r="BI18" s="555"/>
      <c r="BK18" s="558"/>
      <c r="BL18" s="558"/>
      <c r="BM18" s="559"/>
      <c r="BN18" s="560" t="str">
        <f t="shared" si="10"/>
        <v/>
      </c>
      <c r="BO18" s="561" t="str">
        <f t="shared" si="8"/>
        <v/>
      </c>
      <c r="BR18" s="562"/>
      <c r="BS18" s="562"/>
      <c r="BT18" s="549"/>
    </row>
    <row r="19" spans="1:72" ht="15" customHeight="1" x14ac:dyDescent="0.6">
      <c r="A19">
        <v>2023</v>
      </c>
      <c r="B19" s="696">
        <v>2.6159999999999854</v>
      </c>
      <c r="C19" s="697">
        <v>99.9</v>
      </c>
      <c r="D19" s="531">
        <f t="shared" si="3"/>
        <v>0</v>
      </c>
      <c r="E19" s="701">
        <v>1076.5</v>
      </c>
      <c r="F19" s="1203">
        <v>38</v>
      </c>
      <c r="G19" s="606">
        <f t="shared" si="9"/>
        <v>0</v>
      </c>
      <c r="H19" s="608">
        <f t="shared" si="4"/>
        <v>0</v>
      </c>
      <c r="I19" s="531">
        <f t="shared" si="0"/>
        <v>0</v>
      </c>
      <c r="J19" s="633">
        <v>0</v>
      </c>
      <c r="K19" s="531">
        <f t="shared" si="1"/>
        <v>0</v>
      </c>
      <c r="L19" s="531">
        <f t="shared" si="5"/>
        <v>0</v>
      </c>
      <c r="M19" s="531">
        <f t="shared" si="6"/>
        <v>0</v>
      </c>
      <c r="N19" s="633">
        <v>158.4</v>
      </c>
      <c r="O19" s="531">
        <f t="shared" si="7"/>
        <v>0</v>
      </c>
      <c r="Q19" s="536">
        <f t="shared" si="2"/>
        <v>7.1435377603089011E-3</v>
      </c>
      <c r="AB19" s="1164">
        <v>2021</v>
      </c>
      <c r="AC19" s="704">
        <v>366.20510561798505</v>
      </c>
      <c r="AD19" s="536">
        <f>AC19/'MSW Integration Calcs PDS1 '!C14</f>
        <v>0.1613035600313418</v>
      </c>
      <c r="AE19" s="536">
        <f>AC19/'MSW Integration Calcs PDS1 '!AB14</f>
        <v>0.4737255801214148</v>
      </c>
      <c r="AK19" s="531">
        <f t="shared" si="11"/>
        <v>284.01502082012212</v>
      </c>
      <c r="AL19" s="536">
        <f>AK19/'MSW Integration Calcs PDS1 '!C14</f>
        <v>0.12510102469311779</v>
      </c>
      <c r="AW19" s="550">
        <v>9</v>
      </c>
      <c r="AX19" s="551" t="str">
        <f t="shared" ref="AX19:AX30" si="12">CONCATENATE(BA19,": ",AY19)</f>
        <v xml:space="preserve">: </v>
      </c>
      <c r="AY19" s="554"/>
      <c r="AZ19" s="554"/>
      <c r="BA19" s="554"/>
      <c r="BB19" s="554"/>
      <c r="BC19" s="563"/>
      <c r="BD19" s="554"/>
      <c r="BE19" s="563"/>
      <c r="BF19" s="564"/>
      <c r="BG19" s="564"/>
      <c r="BH19" s="557"/>
      <c r="BI19" s="555"/>
      <c r="BK19" s="558"/>
      <c r="BL19" s="558"/>
      <c r="BM19" s="559"/>
      <c r="BN19" s="560" t="str">
        <f t="shared" si="10"/>
        <v/>
      </c>
      <c r="BO19" s="561" t="str">
        <f t="shared" si="8"/>
        <v/>
      </c>
      <c r="BR19" s="562"/>
      <c r="BS19" s="562"/>
      <c r="BT19" s="549"/>
    </row>
    <row r="20" spans="1:72" ht="15" customHeight="1" x14ac:dyDescent="0.6">
      <c r="A20">
        <v>2024</v>
      </c>
      <c r="B20" s="696">
        <v>3.666790941497311</v>
      </c>
      <c r="C20" s="697">
        <v>104.4</v>
      </c>
      <c r="D20" s="531">
        <f t="shared" si="3"/>
        <v>0</v>
      </c>
      <c r="E20" s="701">
        <v>1109.3</v>
      </c>
      <c r="F20" s="1203">
        <v>39</v>
      </c>
      <c r="G20" s="606">
        <f t="shared" si="9"/>
        <v>0</v>
      </c>
      <c r="H20" s="608">
        <f t="shared" si="4"/>
        <v>0</v>
      </c>
      <c r="I20" s="531">
        <f t="shared" si="0"/>
        <v>0</v>
      </c>
      <c r="J20" s="633">
        <v>0</v>
      </c>
      <c r="K20" s="531">
        <f t="shared" si="1"/>
        <v>0</v>
      </c>
      <c r="L20" s="531">
        <f t="shared" si="5"/>
        <v>0</v>
      </c>
      <c r="M20" s="531">
        <f t="shared" si="6"/>
        <v>0</v>
      </c>
      <c r="N20" s="633">
        <v>171</v>
      </c>
      <c r="O20" s="531">
        <f t="shared" si="7"/>
        <v>0</v>
      </c>
      <c r="Q20" s="536">
        <f t="shared" si="2"/>
        <v>9.7544432031328419E-3</v>
      </c>
      <c r="AB20" s="1164">
        <v>2022</v>
      </c>
      <c r="AC20" s="704">
        <v>375.90981516194023</v>
      </c>
      <c r="AD20" s="536">
        <f>AC20/'MSW Integration Calcs PDS1 '!C15</f>
        <v>0.16305422991133958</v>
      </c>
      <c r="AE20" s="536">
        <f>AC20/'MSW Integration Calcs PDS1 '!AB15</f>
        <v>0.48155413441033529</v>
      </c>
      <c r="AK20" s="531">
        <f t="shared" si="11"/>
        <v>291.54163156610923</v>
      </c>
      <c r="AL20" s="536">
        <f>AK20/'MSW Integration Calcs PDS1 '!C15</f>
        <v>0.12645877895374633</v>
      </c>
      <c r="AW20" s="550">
        <v>10</v>
      </c>
      <c r="AX20" s="551" t="str">
        <f t="shared" si="12"/>
        <v xml:space="preserve">: </v>
      </c>
      <c r="AY20" s="554"/>
      <c r="AZ20" s="554"/>
      <c r="BA20" s="554"/>
      <c r="BB20" s="554"/>
      <c r="BC20" s="563"/>
      <c r="BD20" s="554"/>
      <c r="BE20" s="563"/>
      <c r="BF20" s="564"/>
      <c r="BG20" s="564"/>
      <c r="BH20" s="557"/>
      <c r="BI20" s="555"/>
      <c r="BK20" s="558"/>
      <c r="BL20" s="558"/>
      <c r="BM20" s="559"/>
      <c r="BN20" s="560" t="str">
        <f t="shared" si="10"/>
        <v/>
      </c>
      <c r="BO20" s="561" t="str">
        <f t="shared" si="8"/>
        <v/>
      </c>
      <c r="BR20" s="562"/>
      <c r="BS20" s="562"/>
      <c r="BT20" s="549"/>
    </row>
    <row r="21" spans="1:72" ht="15" customHeight="1" x14ac:dyDescent="0.6">
      <c r="A21">
        <v>2025</v>
      </c>
      <c r="B21" s="696">
        <v>4.5678132564062253</v>
      </c>
      <c r="C21" s="697">
        <v>109</v>
      </c>
      <c r="D21" s="531">
        <f t="shared" si="3"/>
        <v>0</v>
      </c>
      <c r="E21" s="701">
        <v>1142.0999999999999</v>
      </c>
      <c r="F21" s="1203">
        <v>40</v>
      </c>
      <c r="G21" s="606">
        <f t="shared" si="9"/>
        <v>0</v>
      </c>
      <c r="H21" s="608">
        <f t="shared" si="4"/>
        <v>0</v>
      </c>
      <c r="I21" s="531">
        <f t="shared" si="0"/>
        <v>0</v>
      </c>
      <c r="J21" s="633">
        <v>0</v>
      </c>
      <c r="K21" s="531">
        <f t="shared" si="1"/>
        <v>0</v>
      </c>
      <c r="L21" s="531">
        <f t="shared" si="5"/>
        <v>0</v>
      </c>
      <c r="M21" s="531">
        <f t="shared" si="6"/>
        <v>0</v>
      </c>
      <c r="N21" s="633">
        <v>183.4</v>
      </c>
      <c r="O21" s="531">
        <f t="shared" si="7"/>
        <v>0</v>
      </c>
      <c r="Q21" s="536">
        <f t="shared" si="2"/>
        <v>1.1845788771868128E-2</v>
      </c>
      <c r="AB21" s="1164">
        <v>2023</v>
      </c>
      <c r="AC21" s="704">
        <v>385.60650914644521</v>
      </c>
      <c r="AD21" s="536">
        <f>AC21/'MSW Integration Calcs PDS1 '!C16</f>
        <v>0.16477820188464432</v>
      </c>
      <c r="AE21" s="536">
        <f>AC21/'MSW Integration Calcs PDS1 '!AB16</f>
        <v>0.48939174898914239</v>
      </c>
      <c r="AK21" s="531">
        <f t="shared" si="11"/>
        <v>299.06202574315938</v>
      </c>
      <c r="AL21" s="536">
        <f>AK21/'MSW Integration Calcs PDS1 '!C16</f>
        <v>0.12779582731374983</v>
      </c>
      <c r="AW21" s="550">
        <v>11</v>
      </c>
      <c r="AX21" s="551" t="str">
        <f t="shared" si="12"/>
        <v xml:space="preserve">: </v>
      </c>
      <c r="AY21" s="554"/>
      <c r="AZ21" s="554"/>
      <c r="BA21" s="554"/>
      <c r="BB21" s="554"/>
      <c r="BC21" s="563"/>
      <c r="BD21" s="554"/>
      <c r="BE21" s="563"/>
      <c r="BF21" s="564"/>
      <c r="BG21" s="564"/>
      <c r="BH21" s="557"/>
      <c r="BI21" s="555"/>
      <c r="BK21" s="558"/>
      <c r="BL21" s="558"/>
      <c r="BM21" s="559"/>
      <c r="BN21" s="560" t="str">
        <f t="shared" si="10"/>
        <v/>
      </c>
      <c r="BO21" s="561" t="str">
        <f t="shared" si="8"/>
        <v/>
      </c>
      <c r="BR21" s="562"/>
      <c r="BS21" s="562"/>
      <c r="BT21" s="549"/>
    </row>
    <row r="22" spans="1:72" ht="15" customHeight="1" x14ac:dyDescent="0.6">
      <c r="A22">
        <v>2026</v>
      </c>
      <c r="B22" s="696">
        <v>5.6675428241724148</v>
      </c>
      <c r="C22" s="697">
        <v>113.7</v>
      </c>
      <c r="D22" s="531">
        <f t="shared" si="3"/>
        <v>0</v>
      </c>
      <c r="E22" s="701">
        <v>1174.9000000000001</v>
      </c>
      <c r="F22" s="1203">
        <v>41</v>
      </c>
      <c r="G22" s="606">
        <f t="shared" si="9"/>
        <v>0</v>
      </c>
      <c r="H22" s="608">
        <f t="shared" si="4"/>
        <v>0</v>
      </c>
      <c r="I22" s="531">
        <f t="shared" si="0"/>
        <v>0</v>
      </c>
      <c r="J22" s="633">
        <v>0</v>
      </c>
      <c r="K22" s="531">
        <f t="shared" si="1"/>
        <v>0</v>
      </c>
      <c r="L22" s="531">
        <f t="shared" si="5"/>
        <v>0</v>
      </c>
      <c r="M22" s="531">
        <f t="shared" si="6"/>
        <v>0</v>
      </c>
      <c r="N22" s="633">
        <v>195.8</v>
      </c>
      <c r="O22" s="531">
        <f t="shared" si="7"/>
        <v>0</v>
      </c>
      <c r="Q22" s="536">
        <f t="shared" si="2"/>
        <v>1.4271002288255306E-2</v>
      </c>
      <c r="AB22" s="1164">
        <v>2024</v>
      </c>
      <c r="AC22" s="704">
        <v>397.13698517424154</v>
      </c>
      <c r="AD22" s="536">
        <f>AC22/'MSW Integration Calcs PDS1 '!C17</f>
        <v>0.16725594244083419</v>
      </c>
      <c r="AE22" s="536">
        <f>AC22/'MSW Integration Calcs PDS1 '!AB17</f>
        <v>0.49956972055207316</v>
      </c>
      <c r="AK22" s="531">
        <f t="shared" si="11"/>
        <v>308.00463287468506</v>
      </c>
      <c r="AL22" s="536">
        <f>AK22/'MSW Integration Calcs PDS1 '!C17</f>
        <v>0.1297174704717981</v>
      </c>
      <c r="AW22" s="550">
        <v>12</v>
      </c>
      <c r="AX22" s="551" t="str">
        <f t="shared" si="12"/>
        <v xml:space="preserve">: </v>
      </c>
      <c r="AY22" s="554"/>
      <c r="AZ22" s="554"/>
      <c r="BA22" s="554"/>
      <c r="BB22" s="554"/>
      <c r="BC22" s="563"/>
      <c r="BD22" s="554"/>
      <c r="BE22" s="563"/>
      <c r="BF22" s="564"/>
      <c r="BG22" s="564"/>
      <c r="BH22" s="557"/>
      <c r="BI22" s="555"/>
      <c r="BK22" s="558"/>
      <c r="BL22" s="558"/>
      <c r="BM22" s="559"/>
      <c r="BN22" s="560" t="str">
        <f t="shared" si="10"/>
        <v/>
      </c>
      <c r="BO22" s="561" t="str">
        <f t="shared" si="8"/>
        <v/>
      </c>
      <c r="BR22" s="562"/>
      <c r="BS22" s="562"/>
      <c r="BT22" s="549"/>
    </row>
    <row r="23" spans="1:72" ht="15" customHeight="1" x14ac:dyDescent="0.6">
      <c r="A23">
        <v>2027</v>
      </c>
      <c r="B23" s="696">
        <v>6.9661754110711627</v>
      </c>
      <c r="C23" s="697">
        <v>118.5</v>
      </c>
      <c r="D23" s="531">
        <f t="shared" si="3"/>
        <v>0</v>
      </c>
      <c r="E23" s="701">
        <v>1208.5</v>
      </c>
      <c r="F23" s="1203">
        <v>42</v>
      </c>
      <c r="G23" s="606">
        <f t="shared" si="9"/>
        <v>0</v>
      </c>
      <c r="H23" s="608">
        <f t="shared" si="4"/>
        <v>0</v>
      </c>
      <c r="I23" s="531">
        <f t="shared" si="0"/>
        <v>0</v>
      </c>
      <c r="J23" s="633">
        <v>0</v>
      </c>
      <c r="K23" s="531">
        <f t="shared" si="1"/>
        <v>0</v>
      </c>
      <c r="L23" s="531">
        <f t="shared" si="5"/>
        <v>0</v>
      </c>
      <c r="M23" s="531">
        <f t="shared" si="6"/>
        <v>0</v>
      </c>
      <c r="N23" s="633">
        <v>207.7</v>
      </c>
      <c r="O23" s="531">
        <f t="shared" si="7"/>
        <v>0</v>
      </c>
      <c r="Q23" s="536">
        <f t="shared" si="2"/>
        <v>1.7036917444947577E-2</v>
      </c>
      <c r="AB23" s="1164">
        <v>2025</v>
      </c>
      <c r="AC23" s="704">
        <v>408.88707910814185</v>
      </c>
      <c r="AD23" s="536">
        <f>AC23/'MSW Integration Calcs PDS1 '!C18</f>
        <v>0.16986166709103392</v>
      </c>
      <c r="AE23" s="536">
        <f>AC23/'MSW Integration Calcs PDS1 '!AB18</f>
        <v>0.51024832409442422</v>
      </c>
      <c r="AK23" s="531">
        <f t="shared" si="11"/>
        <v>317.11756746264888</v>
      </c>
      <c r="AL23" s="536">
        <f>AK23/'MSW Integration Calcs PDS1 '!C18</f>
        <v>0.1317383733194771</v>
      </c>
      <c r="AW23" s="550">
        <v>13</v>
      </c>
      <c r="AX23" s="551" t="str">
        <f t="shared" si="12"/>
        <v xml:space="preserve">: </v>
      </c>
      <c r="AY23" s="554"/>
      <c r="AZ23" s="554"/>
      <c r="BA23" s="554"/>
      <c r="BB23" s="554"/>
      <c r="BC23" s="563"/>
      <c r="BD23" s="554"/>
      <c r="BE23" s="563"/>
      <c r="BF23" s="564"/>
      <c r="BG23" s="564"/>
      <c r="BH23" s="565"/>
      <c r="BI23" s="555"/>
      <c r="BK23" s="558"/>
      <c r="BL23" s="558"/>
      <c r="BM23" s="559"/>
      <c r="BN23" s="560" t="str">
        <f t="shared" si="10"/>
        <v/>
      </c>
      <c r="BO23" s="561" t="str">
        <f t="shared" si="8"/>
        <v/>
      </c>
      <c r="BR23" s="562"/>
      <c r="BS23" s="562"/>
      <c r="BT23" s="549"/>
    </row>
    <row r="24" spans="1:72" ht="15" customHeight="1" x14ac:dyDescent="0.6">
      <c r="A24">
        <v>2028</v>
      </c>
      <c r="B24" s="696">
        <v>8.4639067831449211</v>
      </c>
      <c r="C24" s="697">
        <v>123.6</v>
      </c>
      <c r="D24" s="531">
        <f t="shared" si="3"/>
        <v>0</v>
      </c>
      <c r="E24" s="701">
        <v>1241.3</v>
      </c>
      <c r="F24" s="1203">
        <v>43</v>
      </c>
      <c r="G24" s="606">
        <f t="shared" si="9"/>
        <v>0</v>
      </c>
      <c r="H24" s="608">
        <f t="shared" si="4"/>
        <v>0</v>
      </c>
      <c r="I24" s="531">
        <f t="shared" si="0"/>
        <v>0</v>
      </c>
      <c r="J24" s="633">
        <v>0</v>
      </c>
      <c r="K24" s="531">
        <f t="shared" si="1"/>
        <v>0</v>
      </c>
      <c r="L24" s="531">
        <f t="shared" si="5"/>
        <v>0</v>
      </c>
      <c r="M24" s="531">
        <f t="shared" si="6"/>
        <v>0</v>
      </c>
      <c r="N24" s="633">
        <v>220.7</v>
      </c>
      <c r="O24" s="531">
        <f t="shared" si="7"/>
        <v>0</v>
      </c>
      <c r="Q24" s="536">
        <f t="shared" si="2"/>
        <v>2.0110826079676663E-2</v>
      </c>
      <c r="AB24" s="1164">
        <v>2026</v>
      </c>
      <c r="AC24" s="704">
        <v>420.86320818508125</v>
      </c>
      <c r="AD24" s="536">
        <f>AC24/'MSW Integration Calcs PDS1 '!C19</f>
        <v>0.1717866456296295</v>
      </c>
      <c r="AE24" s="536">
        <f>AC24/'MSW Integration Calcs PDS1 '!AB19</f>
        <v>0.51899288709857816</v>
      </c>
      <c r="AK24" s="531">
        <f t="shared" si="11"/>
        <v>326.40580647666104</v>
      </c>
      <c r="AL24" s="536">
        <f>AK24/'MSW Integration Calcs PDS1 '!C19</f>
        <v>0.13323131487416923</v>
      </c>
      <c r="AW24" s="550">
        <v>14</v>
      </c>
      <c r="AX24" s="551" t="str">
        <f t="shared" si="12"/>
        <v xml:space="preserve">: </v>
      </c>
      <c r="AY24" s="554"/>
      <c r="AZ24" s="554"/>
      <c r="BA24" s="554"/>
      <c r="BB24" s="554"/>
      <c r="BC24" s="563"/>
      <c r="BD24" s="554"/>
      <c r="BE24" s="563"/>
      <c r="BF24" s="564"/>
      <c r="BG24" s="564"/>
      <c r="BH24" s="565"/>
      <c r="BI24" s="555"/>
      <c r="BK24" s="558"/>
      <c r="BL24" s="558"/>
      <c r="BM24" s="559"/>
      <c r="BN24" s="560" t="str">
        <f t="shared" si="10"/>
        <v/>
      </c>
      <c r="BO24" s="561" t="str">
        <f t="shared" si="8"/>
        <v/>
      </c>
      <c r="BR24" s="562"/>
      <c r="BS24" s="562"/>
      <c r="BT24" s="549"/>
    </row>
    <row r="25" spans="1:72" ht="15" customHeight="1" x14ac:dyDescent="0.6">
      <c r="A25">
        <v>2029</v>
      </c>
      <c r="B25" s="696">
        <v>10.160932706610765</v>
      </c>
      <c r="C25" s="697">
        <v>128.80000000000001</v>
      </c>
      <c r="D25" s="531">
        <f t="shared" si="3"/>
        <v>0</v>
      </c>
      <c r="E25" s="701">
        <v>1273.4000000000001</v>
      </c>
      <c r="F25" s="1203">
        <v>44</v>
      </c>
      <c r="G25" s="606">
        <f t="shared" si="9"/>
        <v>0</v>
      </c>
      <c r="H25" s="608">
        <f t="shared" si="4"/>
        <v>0</v>
      </c>
      <c r="I25" s="531">
        <f t="shared" si="0"/>
        <v>0</v>
      </c>
      <c r="J25" s="633">
        <v>0</v>
      </c>
      <c r="K25" s="531">
        <f t="shared" si="1"/>
        <v>0</v>
      </c>
      <c r="L25" s="531">
        <f t="shared" si="5"/>
        <v>0</v>
      </c>
      <c r="M25" s="531">
        <f t="shared" si="6"/>
        <v>0</v>
      </c>
      <c r="N25" s="633">
        <v>233.1</v>
      </c>
      <c r="O25" s="531">
        <f t="shared" si="7"/>
        <v>0</v>
      </c>
      <c r="Q25" s="536">
        <f t="shared" si="2"/>
        <v>2.3462474913327615E-2</v>
      </c>
      <c r="AB25" s="1164">
        <v>2027</v>
      </c>
      <c r="AC25" s="704">
        <v>433.07164926744161</v>
      </c>
      <c r="AD25" s="536">
        <f>AC25/'MSW Integration Calcs PDS1 '!C20</f>
        <v>0.17357180405145534</v>
      </c>
      <c r="AE25" s="536">
        <f>AC25/'MSW Integration Calcs PDS1 '!AB20</f>
        <v>0.52741356442253173</v>
      </c>
      <c r="AK25" s="531">
        <f t="shared" si="11"/>
        <v>335.87421801706398</v>
      </c>
      <c r="AL25" s="536">
        <f>AK25/'MSW Integration Calcs PDS1 '!C20</f>
        <v>0.13461581716145021</v>
      </c>
      <c r="AW25" s="550">
        <v>15</v>
      </c>
      <c r="AX25" s="551" t="str">
        <f t="shared" si="12"/>
        <v xml:space="preserve">: </v>
      </c>
      <c r="AY25" s="554"/>
      <c r="AZ25" s="554"/>
      <c r="BA25" s="554"/>
      <c r="BB25" s="554"/>
      <c r="BC25" s="563"/>
      <c r="BD25" s="554"/>
      <c r="BE25" s="563"/>
      <c r="BF25" s="564"/>
      <c r="BG25" s="564"/>
      <c r="BH25" s="565"/>
      <c r="BI25" s="555"/>
      <c r="BK25" s="558"/>
      <c r="BL25" s="558"/>
      <c r="BM25" s="559"/>
      <c r="BN25" s="560" t="str">
        <f t="shared" si="10"/>
        <v/>
      </c>
      <c r="BO25" s="561" t="str">
        <f t="shared" si="8"/>
        <v/>
      </c>
      <c r="BR25" s="562"/>
      <c r="BS25" s="562"/>
      <c r="BT25" s="549"/>
    </row>
    <row r="26" spans="1:72" ht="15" customHeight="1" x14ac:dyDescent="0.6">
      <c r="A26">
        <v>2030</v>
      </c>
      <c r="B26" s="696">
        <v>12.057448947627563</v>
      </c>
      <c r="C26" s="697">
        <v>134.19999999999999</v>
      </c>
      <c r="D26" s="531">
        <f t="shared" si="3"/>
        <v>0</v>
      </c>
      <c r="E26" s="701">
        <v>1306.9000000000001</v>
      </c>
      <c r="F26" s="1203">
        <v>45</v>
      </c>
      <c r="G26" s="606">
        <f t="shared" si="9"/>
        <v>0</v>
      </c>
      <c r="H26" s="608">
        <f t="shared" si="4"/>
        <v>0</v>
      </c>
      <c r="I26" s="531">
        <f t="shared" si="0"/>
        <v>0</v>
      </c>
      <c r="J26" s="633">
        <v>0</v>
      </c>
      <c r="K26" s="531">
        <f t="shared" si="1"/>
        <v>0</v>
      </c>
      <c r="L26" s="531">
        <f t="shared" si="5"/>
        <v>0</v>
      </c>
      <c r="M26" s="531">
        <f t="shared" si="6"/>
        <v>0</v>
      </c>
      <c r="N26" s="633">
        <v>246.5</v>
      </c>
      <c r="O26" s="531">
        <f t="shared" si="7"/>
        <v>0</v>
      </c>
      <c r="Q26" s="536">
        <f t="shared" si="2"/>
        <v>2.7063840347262332E-2</v>
      </c>
      <c r="AB26" s="1164">
        <v>2028</v>
      </c>
      <c r="AC26" s="704">
        <v>445.51877312737861</v>
      </c>
      <c r="AD26" s="536">
        <f>AC26/'MSW Integration Calcs PDS1 '!C21</f>
        <v>0.17541963171181066</v>
      </c>
      <c r="AE26" s="536">
        <f>AC26/'MSW Integration Calcs PDS1 '!AB21</f>
        <v>0.53612356880137679</v>
      </c>
      <c r="AK26" s="531">
        <f t="shared" si="11"/>
        <v>345.52774301711798</v>
      </c>
      <c r="AL26" s="536">
        <f>AK26/'MSW Integration Calcs PDS1 '!C21</f>
        <v>0.13604892337263255</v>
      </c>
      <c r="AW26" s="550">
        <v>16</v>
      </c>
      <c r="AX26" s="551" t="str">
        <f t="shared" si="12"/>
        <v xml:space="preserve">: </v>
      </c>
      <c r="AY26" s="554"/>
      <c r="AZ26" s="554"/>
      <c r="BA26" s="554"/>
      <c r="BB26" s="554"/>
      <c r="BC26" s="563"/>
      <c r="BD26" s="554"/>
      <c r="BE26" s="563"/>
      <c r="BF26" s="564"/>
      <c r="BG26" s="564"/>
      <c r="BH26" s="565"/>
      <c r="BI26" s="555"/>
      <c r="BK26" s="558"/>
      <c r="BL26" s="558"/>
      <c r="BM26" s="559"/>
      <c r="BN26" s="560" t="str">
        <f t="shared" si="10"/>
        <v/>
      </c>
      <c r="BO26" s="561" t="str">
        <f t="shared" si="8"/>
        <v/>
      </c>
      <c r="BR26" s="562"/>
      <c r="BS26" s="562"/>
      <c r="BT26" s="549"/>
    </row>
    <row r="27" spans="1:72" ht="15" customHeight="1" x14ac:dyDescent="0.6">
      <c r="A27">
        <v>2031</v>
      </c>
      <c r="B27" s="696">
        <v>14.153651272470597</v>
      </c>
      <c r="C27" s="697">
        <v>139.69999999999999</v>
      </c>
      <c r="D27" s="531">
        <f t="shared" si="3"/>
        <v>0</v>
      </c>
      <c r="E27" s="701">
        <v>1333.3</v>
      </c>
      <c r="F27" s="1203">
        <v>45.8</v>
      </c>
      <c r="G27" s="606">
        <f t="shared" si="9"/>
        <v>0</v>
      </c>
      <c r="H27" s="608">
        <f t="shared" si="4"/>
        <v>0</v>
      </c>
      <c r="I27" s="531">
        <f t="shared" si="0"/>
        <v>0</v>
      </c>
      <c r="J27" s="633">
        <v>0</v>
      </c>
      <c r="K27" s="531">
        <f t="shared" si="1"/>
        <v>0</v>
      </c>
      <c r="L27" s="531">
        <f t="shared" si="5"/>
        <v>0</v>
      </c>
      <c r="M27" s="531">
        <f t="shared" si="6"/>
        <v>0</v>
      </c>
      <c r="N27" s="633">
        <v>259.3</v>
      </c>
      <c r="O27" s="531">
        <f t="shared" si="7"/>
        <v>0</v>
      </c>
      <c r="Q27" s="536">
        <f t="shared" si="2"/>
        <v>3.0888973839063669E-2</v>
      </c>
      <c r="AB27" s="1164">
        <v>2029</v>
      </c>
      <c r="AC27" s="704">
        <v>458.21047167877151</v>
      </c>
      <c r="AD27" s="536">
        <f>AC27/'MSW Integration Calcs PDS1 '!C22</f>
        <v>0.17732935295127325</v>
      </c>
      <c r="AE27" s="536">
        <f>AC27/'MSW Integration Calcs PDS1 '!AB22</f>
        <v>0.54512558546348933</v>
      </c>
      <c r="AK27" s="531">
        <f t="shared" si="11"/>
        <v>355.37095102546516</v>
      </c>
      <c r="AL27" s="536">
        <f>AK27/'MSW Integration Calcs PDS1 '!C22</f>
        <v>0.13753003193519966</v>
      </c>
      <c r="AW27" s="550">
        <v>17</v>
      </c>
      <c r="AX27" s="551" t="str">
        <f t="shared" si="12"/>
        <v xml:space="preserve">: </v>
      </c>
      <c r="AY27" s="554"/>
      <c r="AZ27" s="554"/>
      <c r="BA27" s="554"/>
      <c r="BB27" s="554"/>
      <c r="BC27" s="563"/>
      <c r="BD27" s="554"/>
      <c r="BE27" s="563"/>
      <c r="BF27" s="564"/>
      <c r="BG27" s="564"/>
      <c r="BH27" s="565"/>
      <c r="BI27" s="555"/>
      <c r="BK27" s="558"/>
      <c r="BL27" s="558"/>
      <c r="BM27" s="559"/>
      <c r="BN27" s="560" t="str">
        <f t="shared" si="10"/>
        <v/>
      </c>
      <c r="BO27" s="561" t="str">
        <f t="shared" si="8"/>
        <v/>
      </c>
      <c r="BR27" s="562"/>
      <c r="BS27" s="562"/>
      <c r="BT27" s="549"/>
    </row>
    <row r="28" spans="1:72" ht="15" customHeight="1" x14ac:dyDescent="0.6">
      <c r="A28">
        <v>2032</v>
      </c>
      <c r="B28" s="696">
        <v>16.44973544718232</v>
      </c>
      <c r="C28" s="697">
        <v>145.19999999999999</v>
      </c>
      <c r="D28" s="531">
        <f t="shared" si="3"/>
        <v>0</v>
      </c>
      <c r="E28" s="701">
        <v>1359</v>
      </c>
      <c r="F28" s="1203">
        <v>46.6</v>
      </c>
      <c r="G28" s="606">
        <f t="shared" si="9"/>
        <v>0</v>
      </c>
      <c r="H28" s="608">
        <f t="shared" si="4"/>
        <v>0</v>
      </c>
      <c r="I28" s="531">
        <f t="shared" si="0"/>
        <v>0</v>
      </c>
      <c r="J28" s="633">
        <v>0</v>
      </c>
      <c r="K28" s="531">
        <f t="shared" si="1"/>
        <v>0</v>
      </c>
      <c r="L28" s="531">
        <f t="shared" si="5"/>
        <v>0</v>
      </c>
      <c r="M28" s="531">
        <f t="shared" si="6"/>
        <v>0</v>
      </c>
      <c r="N28" s="633">
        <v>271.7</v>
      </c>
      <c r="O28" s="531">
        <f t="shared" si="7"/>
        <v>0</v>
      </c>
      <c r="Q28" s="536">
        <f t="shared" si="2"/>
        <v>3.4913866112001972E-2</v>
      </c>
      <c r="AB28" s="1164">
        <v>2030</v>
      </c>
      <c r="AC28" s="704">
        <v>471.15193128175423</v>
      </c>
      <c r="AD28" s="536">
        <f>AC28/'MSW Integration Calcs PDS1 '!C23</f>
        <v>0.17909381483203898</v>
      </c>
      <c r="AE28" s="536">
        <f>AC28/'MSW Integration Calcs PDS1 '!AB23</f>
        <v>0.55378421407556844</v>
      </c>
      <c r="AK28" s="531">
        <f t="shared" si="11"/>
        <v>365.40786438957912</v>
      </c>
      <c r="AL28" s="536">
        <f>AK28/'MSW Integration Calcs PDS1 '!C23</f>
        <v>0.13889848275719549</v>
      </c>
      <c r="AW28" s="550">
        <v>18</v>
      </c>
      <c r="AX28" s="551" t="str">
        <f t="shared" si="12"/>
        <v xml:space="preserve">: </v>
      </c>
      <c r="AY28" s="554"/>
      <c r="AZ28" s="554"/>
      <c r="BA28" s="554"/>
      <c r="BB28" s="554"/>
      <c r="BC28" s="563"/>
      <c r="BD28" s="554"/>
      <c r="BE28" s="563"/>
      <c r="BF28" s="564"/>
      <c r="BG28" s="564"/>
      <c r="BH28" s="565"/>
      <c r="BI28" s="555"/>
      <c r="BK28" s="558"/>
      <c r="BL28" s="558"/>
      <c r="BM28" s="559"/>
      <c r="BN28" s="560" t="str">
        <f t="shared" si="10"/>
        <v/>
      </c>
      <c r="BO28" s="561" t="str">
        <f t="shared" si="8"/>
        <v/>
      </c>
      <c r="BR28" s="562"/>
      <c r="BS28" s="562"/>
      <c r="BT28" s="549"/>
    </row>
    <row r="29" spans="1:72" ht="15" customHeight="1" x14ac:dyDescent="0.6">
      <c r="A29">
        <v>2033</v>
      </c>
      <c r="B29" s="696">
        <v>18.945897238038015</v>
      </c>
      <c r="C29" s="697">
        <v>150.6</v>
      </c>
      <c r="D29" s="531">
        <f t="shared" si="3"/>
        <v>0</v>
      </c>
      <c r="E29" s="701">
        <v>1384.8</v>
      </c>
      <c r="F29" s="1203">
        <v>47.3</v>
      </c>
      <c r="G29" s="606">
        <f t="shared" si="9"/>
        <v>0</v>
      </c>
      <c r="H29" s="608">
        <f t="shared" si="4"/>
        <v>0</v>
      </c>
      <c r="I29" s="531">
        <f t="shared" si="0"/>
        <v>0</v>
      </c>
      <c r="J29" s="633">
        <v>0</v>
      </c>
      <c r="K29" s="531">
        <f t="shared" si="1"/>
        <v>0</v>
      </c>
      <c r="L29" s="531">
        <f t="shared" si="5"/>
        <v>0</v>
      </c>
      <c r="M29" s="531">
        <f t="shared" si="6"/>
        <v>0</v>
      </c>
      <c r="N29" s="633">
        <v>283.39999999999998</v>
      </c>
      <c r="O29" s="531">
        <f t="shared" si="7"/>
        <v>0</v>
      </c>
      <c r="Q29" s="536">
        <f t="shared" si="2"/>
        <v>3.9116336823569089E-2</v>
      </c>
      <c r="AB29" s="1164">
        <v>2031</v>
      </c>
      <c r="AC29" s="704">
        <v>484.34743067818113</v>
      </c>
      <c r="AD29" s="536">
        <f>AC29/'MSW Integration Calcs PDS1 '!C24</f>
        <v>0.18133102076789279</v>
      </c>
      <c r="AE29" s="536">
        <f>AC29/'MSW Integration Calcs PDS1 '!AB24</f>
        <v>0.56401561669639999</v>
      </c>
      <c r="AK29" s="531">
        <f t="shared" si="11"/>
        <v>375.64180154204911</v>
      </c>
      <c r="AL29" s="536">
        <f>AK29/'MSW Integration Calcs PDS1 '!C24</f>
        <v>0.14063357623542036</v>
      </c>
      <c r="AW29" s="550">
        <v>19</v>
      </c>
      <c r="AX29" s="551" t="str">
        <f t="shared" si="12"/>
        <v xml:space="preserve">: </v>
      </c>
      <c r="AY29" s="554"/>
      <c r="AZ29" s="554"/>
      <c r="BA29" s="554"/>
      <c r="BB29" s="554"/>
      <c r="BC29" s="563"/>
      <c r="BD29" s="554"/>
      <c r="BE29" s="563"/>
      <c r="BF29" s="564"/>
      <c r="BG29" s="564"/>
      <c r="BH29" s="565"/>
      <c r="BI29" s="555"/>
      <c r="BK29" s="558"/>
      <c r="BL29" s="558"/>
      <c r="BM29" s="559"/>
      <c r="BN29" s="560" t="str">
        <f t="shared" si="10"/>
        <v/>
      </c>
      <c r="BO29" s="561" t="str">
        <f t="shared" si="8"/>
        <v/>
      </c>
      <c r="BR29" s="562"/>
      <c r="BS29" s="562"/>
      <c r="BT29" s="549"/>
    </row>
    <row r="30" spans="1:72" ht="15" customHeight="1" x14ac:dyDescent="0.6">
      <c r="A30">
        <v>2034</v>
      </c>
      <c r="B30" s="696">
        <v>21.642332411254756</v>
      </c>
      <c r="C30" s="697">
        <v>155.9</v>
      </c>
      <c r="D30" s="531">
        <f t="shared" si="3"/>
        <v>0</v>
      </c>
      <c r="E30" s="701">
        <v>1411.9</v>
      </c>
      <c r="F30" s="1203">
        <v>48.2</v>
      </c>
      <c r="G30" s="606">
        <f t="shared" si="9"/>
        <v>0</v>
      </c>
      <c r="H30" s="608">
        <f t="shared" si="4"/>
        <v>0</v>
      </c>
      <c r="I30" s="531">
        <f t="shared" si="0"/>
        <v>0</v>
      </c>
      <c r="J30" s="633">
        <v>0</v>
      </c>
      <c r="K30" s="531">
        <f t="shared" si="1"/>
        <v>0</v>
      </c>
      <c r="L30" s="531">
        <f t="shared" si="5"/>
        <v>0</v>
      </c>
      <c r="M30" s="531">
        <f t="shared" si="6"/>
        <v>0</v>
      </c>
      <c r="N30" s="633">
        <v>295.8</v>
      </c>
      <c r="O30" s="531">
        <f t="shared" si="7"/>
        <v>0</v>
      </c>
      <c r="Q30" s="536">
        <f t="shared" si="2"/>
        <v>4.3475920857488935E-2</v>
      </c>
      <c r="AB30" s="1164">
        <v>2032</v>
      </c>
      <c r="AC30" s="704">
        <v>497.80043721665669</v>
      </c>
      <c r="AD30" s="536">
        <f>AC30/'MSW Integration Calcs PDS1 '!C25</f>
        <v>0.18348384809531393</v>
      </c>
      <c r="AE30" s="536">
        <f>AC30/'MSW Integration Calcs PDS1 '!AB25</f>
        <v>0.57410465611800288</v>
      </c>
      <c r="AK30" s="531">
        <f t="shared" si="11"/>
        <v>386.07545162912402</v>
      </c>
      <c r="AL30" s="536">
        <f>AK30/'MSW Integration Calcs PDS1 '!C25</f>
        <v>0.14230322881218557</v>
      </c>
      <c r="AW30" s="550">
        <v>20</v>
      </c>
      <c r="AX30" s="551" t="str">
        <f t="shared" si="12"/>
        <v xml:space="preserve">: </v>
      </c>
      <c r="AY30" s="554"/>
      <c r="AZ30" s="554"/>
      <c r="BA30" s="554"/>
      <c r="BB30" s="554"/>
      <c r="BC30" s="563"/>
      <c r="BD30" s="554"/>
      <c r="BE30" s="563"/>
      <c r="BF30" s="564"/>
      <c r="BG30" s="564"/>
      <c r="BH30" s="565"/>
      <c r="BI30" s="555"/>
      <c r="BK30" s="558"/>
      <c r="BL30" s="558"/>
      <c r="BM30" s="559"/>
      <c r="BN30" s="560" t="str">
        <f t="shared" si="10"/>
        <v/>
      </c>
      <c r="BO30" s="561" t="str">
        <f t="shared" si="8"/>
        <v/>
      </c>
      <c r="BR30" s="562"/>
      <c r="BS30" s="562"/>
      <c r="BT30" s="549"/>
    </row>
    <row r="31" spans="1:72" ht="15" customHeight="1" x14ac:dyDescent="0.6">
      <c r="A31">
        <v>2035</v>
      </c>
      <c r="B31" s="696">
        <v>24.539236732874997</v>
      </c>
      <c r="C31" s="697">
        <v>161</v>
      </c>
      <c r="D31" s="531">
        <f t="shared" si="3"/>
        <v>0</v>
      </c>
      <c r="E31" s="701">
        <v>1430.5</v>
      </c>
      <c r="F31" s="1203">
        <v>48.7</v>
      </c>
      <c r="G31" s="606">
        <f t="shared" si="9"/>
        <v>0</v>
      </c>
      <c r="H31" s="608">
        <f t="shared" si="4"/>
        <v>0</v>
      </c>
      <c r="I31" s="531">
        <f t="shared" si="0"/>
        <v>0</v>
      </c>
      <c r="J31" s="633">
        <v>0</v>
      </c>
      <c r="K31" s="531">
        <f t="shared" si="1"/>
        <v>0</v>
      </c>
      <c r="L31" s="531">
        <f t="shared" si="5"/>
        <v>0</v>
      </c>
      <c r="M31" s="531">
        <f t="shared" si="6"/>
        <v>0</v>
      </c>
      <c r="N31" s="633">
        <v>306.60000000000002</v>
      </c>
      <c r="O31" s="531">
        <f t="shared" si="7"/>
        <v>0</v>
      </c>
      <c r="Q31" s="536">
        <f t="shared" si="2"/>
        <v>4.7973761074872175E-2</v>
      </c>
      <c r="AB31" s="1164">
        <v>2033</v>
      </c>
      <c r="AC31" s="704">
        <v>511.51371464448772</v>
      </c>
      <c r="AD31" s="536">
        <f>AC31/'MSW Integration Calcs PDS1 '!C26</f>
        <v>0.18569119179006816</v>
      </c>
      <c r="AE31" s="536">
        <f>AC31/'MSW Integration Calcs PDS1 '!AB26</f>
        <v>0.58448596723345292</v>
      </c>
      <c r="AK31" s="531">
        <f t="shared" si="11"/>
        <v>396.71095811012998</v>
      </c>
      <c r="AL31" s="536">
        <f>AK31/'MSW Integration Calcs PDS1 '!C26</f>
        <v>0.14401516225004643</v>
      </c>
      <c r="AW31" s="550"/>
      <c r="AX31" s="550"/>
      <c r="AY31" s="537"/>
      <c r="AZ31" s="537"/>
      <c r="BA31" s="537"/>
      <c r="BB31" s="537"/>
      <c r="BC31" s="549"/>
      <c r="BD31" s="562"/>
      <c r="BE31" s="566"/>
      <c r="BF31" s="558"/>
      <c r="BG31" s="558"/>
      <c r="BH31" s="558" t="s">
        <v>322</v>
      </c>
      <c r="BI31" s="558"/>
      <c r="BK31" s="558"/>
      <c r="BL31" s="558"/>
      <c r="BM31" s="567" t="s">
        <v>323</v>
      </c>
      <c r="BN31" s="568">
        <f>AVERAGE(BN11:BN30)</f>
        <v>0.60633663366336632</v>
      </c>
      <c r="BQ31" s="562"/>
      <c r="BR31" s="562"/>
      <c r="BS31" s="562"/>
      <c r="BT31" s="549"/>
    </row>
    <row r="32" spans="1:72" ht="15" customHeight="1" x14ac:dyDescent="0.6">
      <c r="A32">
        <v>2036</v>
      </c>
      <c r="B32" s="696">
        <v>27.636805969232228</v>
      </c>
      <c r="C32" s="697">
        <v>166</v>
      </c>
      <c r="D32" s="531">
        <f t="shared" si="3"/>
        <v>0</v>
      </c>
      <c r="E32" s="701">
        <v>1456.2</v>
      </c>
      <c r="F32" s="1203">
        <v>49.5</v>
      </c>
      <c r="G32" s="606">
        <f t="shared" si="9"/>
        <v>0</v>
      </c>
      <c r="H32" s="608">
        <f>G32*E32</f>
        <v>0</v>
      </c>
      <c r="I32" s="531">
        <f t="shared" si="0"/>
        <v>0</v>
      </c>
      <c r="J32" s="633">
        <v>0</v>
      </c>
      <c r="K32" s="531">
        <f t="shared" si="1"/>
        <v>0</v>
      </c>
      <c r="L32" s="531">
        <f t="shared" si="5"/>
        <v>0</v>
      </c>
      <c r="M32" s="531">
        <f t="shared" si="6"/>
        <v>0</v>
      </c>
      <c r="N32" s="633">
        <v>319.60000000000002</v>
      </c>
      <c r="O32" s="531">
        <f t="shared" si="7"/>
        <v>0</v>
      </c>
      <c r="Q32" s="536">
        <f t="shared" si="2"/>
        <v>5.2592525646421889E-2</v>
      </c>
      <c r="AB32" s="1164">
        <v>2034</v>
      </c>
      <c r="AC32" s="704">
        <v>525.48923310954331</v>
      </c>
      <c r="AD32" s="536">
        <f>AC32/'MSW Integration Calcs PDS1 '!C27</f>
        <v>0.18794871044238851</v>
      </c>
      <c r="AE32" s="536">
        <f>AC32/'MSW Integration Calcs PDS1 '!AB27</f>
        <v>0.5951510780316287</v>
      </c>
      <c r="AK32" s="531">
        <f t="shared" si="11"/>
        <v>407.54984895826954</v>
      </c>
      <c r="AL32" s="536">
        <f>AK32/'MSW Integration Calcs PDS1 '!C27</f>
        <v>0.14576600951351801</v>
      </c>
      <c r="AW32" s="550"/>
      <c r="AX32" s="550"/>
      <c r="AY32" s="537" t="s">
        <v>324</v>
      </c>
      <c r="AZ32" s="646"/>
      <c r="BA32" s="647"/>
      <c r="BB32" s="647"/>
      <c r="BC32" s="647"/>
      <c r="BD32" s="647"/>
      <c r="BE32" s="647"/>
      <c r="BF32" s="648"/>
      <c r="BG32" s="558"/>
      <c r="BH32" s="558"/>
      <c r="BI32" s="558"/>
      <c r="BK32" s="558"/>
      <c r="BL32" s="558"/>
      <c r="BM32" s="569" t="s">
        <v>25</v>
      </c>
      <c r="BN32" s="570">
        <f>BN31+BQ32*BN35</f>
        <v>0.83479055390511414</v>
      </c>
      <c r="BQ32" s="562">
        <v>1</v>
      </c>
      <c r="BR32" s="562"/>
      <c r="BS32" s="562"/>
      <c r="BT32" s="549"/>
    </row>
    <row r="33" spans="1:72" ht="15" customHeight="1" x14ac:dyDescent="0.6">
      <c r="A33">
        <v>2037</v>
      </c>
      <c r="B33" s="696">
        <v>30.935235886368901</v>
      </c>
      <c r="C33" s="697">
        <v>171</v>
      </c>
      <c r="D33" s="531">
        <f t="shared" si="3"/>
        <v>0</v>
      </c>
      <c r="E33" s="701">
        <v>1483.4</v>
      </c>
      <c r="F33" s="1203">
        <v>50.3</v>
      </c>
      <c r="G33" s="606">
        <f t="shared" si="9"/>
        <v>0</v>
      </c>
      <c r="H33" s="608">
        <f t="shared" si="4"/>
        <v>0</v>
      </c>
      <c r="I33" s="531">
        <f t="shared" si="0"/>
        <v>0</v>
      </c>
      <c r="J33" s="633">
        <v>0</v>
      </c>
      <c r="K33" s="531">
        <f t="shared" si="1"/>
        <v>0</v>
      </c>
      <c r="L33" s="531">
        <f t="shared" si="5"/>
        <v>0</v>
      </c>
      <c r="M33" s="531">
        <f t="shared" si="6"/>
        <v>0</v>
      </c>
      <c r="N33" s="633">
        <v>331.5</v>
      </c>
      <c r="O33" s="531">
        <f t="shared" si="7"/>
        <v>0</v>
      </c>
      <c r="Q33" s="536">
        <f t="shared" si="2"/>
        <v>5.7316335401096118E-2</v>
      </c>
      <c r="AB33" s="1164">
        <v>2035</v>
      </c>
      <c r="AC33" s="704">
        <v>539.72808397267659</v>
      </c>
      <c r="AD33" s="536">
        <f>AC33/'MSW Integration Calcs PDS1 '!C28</f>
        <v>0.19024421363556002</v>
      </c>
      <c r="AE33" s="536">
        <f>AC33/'MSW Integration Calcs PDS1 '!AB28</f>
        <v>0.60606630658031169</v>
      </c>
      <c r="AK33" s="531">
        <f t="shared" si="11"/>
        <v>418.59297059231375</v>
      </c>
      <c r="AL33" s="536">
        <f>AK33/'MSW Integration Calcs PDS1 '!C28</f>
        <v>0.14754631617008704</v>
      </c>
      <c r="AW33" s="550"/>
      <c r="AX33" s="550"/>
      <c r="AY33" s="550"/>
      <c r="AZ33" s="649"/>
      <c r="BA33" s="650"/>
      <c r="BB33" s="650"/>
      <c r="BC33" s="650"/>
      <c r="BD33" s="650"/>
      <c r="BE33" s="650"/>
      <c r="BF33" s="651"/>
      <c r="BG33" s="562"/>
      <c r="BH33" s="562"/>
      <c r="BI33" s="558"/>
      <c r="BK33" s="558"/>
      <c r="BL33" s="558"/>
      <c r="BM33" s="569" t="s">
        <v>15</v>
      </c>
      <c r="BN33" s="570">
        <f>BN31-BQ32*BN35</f>
        <v>0.37788271342161855</v>
      </c>
      <c r="BQ33" s="562"/>
      <c r="BR33" s="562"/>
      <c r="BS33" s="562"/>
      <c r="BT33" s="549"/>
    </row>
    <row r="34" spans="1:72" ht="15" customHeight="1" x14ac:dyDescent="0.6">
      <c r="A34">
        <v>2038</v>
      </c>
      <c r="B34" s="696">
        <v>34.434722250560299</v>
      </c>
      <c r="C34" s="697">
        <v>176.1</v>
      </c>
      <c r="D34" s="531">
        <f t="shared" si="3"/>
        <v>0</v>
      </c>
      <c r="E34" s="701">
        <v>1509.8</v>
      </c>
      <c r="F34" s="1203">
        <v>51.1</v>
      </c>
      <c r="G34" s="606">
        <f t="shared" si="9"/>
        <v>0</v>
      </c>
      <c r="H34" s="608">
        <f t="shared" si="4"/>
        <v>0</v>
      </c>
      <c r="I34" s="531">
        <f t="shared" si="0"/>
        <v>0</v>
      </c>
      <c r="J34" s="633">
        <v>0</v>
      </c>
      <c r="K34" s="531">
        <f t="shared" si="1"/>
        <v>0</v>
      </c>
      <c r="L34" s="531">
        <f t="shared" si="5"/>
        <v>0</v>
      </c>
      <c r="M34" s="531">
        <f t="shared" si="6"/>
        <v>0</v>
      </c>
      <c r="N34" s="633">
        <v>344.2</v>
      </c>
      <c r="O34" s="531">
        <f t="shared" si="7"/>
        <v>0</v>
      </c>
      <c r="Q34" s="536">
        <f t="shared" si="2"/>
        <v>6.2130701289882413E-2</v>
      </c>
      <c r="AB34" s="1164">
        <v>2036</v>
      </c>
      <c r="AC34" s="704">
        <v>554.23038104621833</v>
      </c>
      <c r="AD34" s="536">
        <f>AC34/'MSW Integration Calcs PDS1 '!C29</f>
        <v>0.19260206219849169</v>
      </c>
      <c r="AE34" s="536">
        <f>AC34/'MSW Integration Calcs PDS1 '!AB29</f>
        <v>0.61731430191824199</v>
      </c>
      <c r="AK34" s="531">
        <f t="shared" si="11"/>
        <v>429.84041128086119</v>
      </c>
      <c r="AL34" s="536">
        <f>AK34/'MSW Integration Calcs PDS1 '!C29</f>
        <v>0.14937497557001989</v>
      </c>
      <c r="AW34" s="550"/>
      <c r="AX34" s="550"/>
      <c r="AY34" s="550"/>
      <c r="AZ34" s="649"/>
      <c r="BA34" s="650"/>
      <c r="BB34" s="650"/>
      <c r="BC34" s="650"/>
      <c r="BD34" s="650"/>
      <c r="BE34" s="650"/>
      <c r="BF34" s="651"/>
      <c r="BG34" s="558"/>
      <c r="BH34" s="558"/>
      <c r="BI34" s="558"/>
      <c r="BK34" s="558"/>
      <c r="BL34" s="558"/>
      <c r="BM34" s="569" t="s">
        <v>325</v>
      </c>
      <c r="BN34" s="570" t="str">
        <f>IF((0.67*BN35)&gt;BN31,"no","yes")</f>
        <v>yes</v>
      </c>
      <c r="BQ34" s="562"/>
      <c r="BR34" s="562"/>
      <c r="BS34" s="562"/>
      <c r="BT34" s="549"/>
    </row>
    <row r="35" spans="1:72" ht="15" customHeight="1" x14ac:dyDescent="0.6">
      <c r="A35">
        <v>2039</v>
      </c>
      <c r="B35" s="696">
        <v>38.135460827907082</v>
      </c>
      <c r="C35" s="697">
        <v>181.2</v>
      </c>
      <c r="D35" s="531">
        <f t="shared" si="3"/>
        <v>0</v>
      </c>
      <c r="E35" s="701">
        <v>1536.3</v>
      </c>
      <c r="F35" s="1203">
        <v>51.9</v>
      </c>
      <c r="G35" s="606">
        <f t="shared" si="9"/>
        <v>0</v>
      </c>
      <c r="H35" s="608">
        <f t="shared" si="4"/>
        <v>0</v>
      </c>
      <c r="I35" s="531">
        <f t="shared" si="0"/>
        <v>0</v>
      </c>
      <c r="J35" s="633">
        <v>0</v>
      </c>
      <c r="K35" s="531">
        <f t="shared" si="1"/>
        <v>0</v>
      </c>
      <c r="L35" s="531">
        <f t="shared" si="5"/>
        <v>0</v>
      </c>
      <c r="M35" s="531">
        <f t="shared" si="6"/>
        <v>0</v>
      </c>
      <c r="N35" s="633">
        <v>356.2</v>
      </c>
      <c r="O35" s="531">
        <f t="shared" si="7"/>
        <v>0</v>
      </c>
      <c r="Q35" s="536">
        <f t="shared" si="2"/>
        <v>6.7022428140240287E-2</v>
      </c>
      <c r="AB35" s="1164">
        <v>2037</v>
      </c>
      <c r="AC35" s="704">
        <v>568.99551219050113</v>
      </c>
      <c r="AD35" s="536">
        <f>AC35/'MSW Integration Calcs PDS1 '!C30</f>
        <v>0.19499214757413724</v>
      </c>
      <c r="AE35" s="536">
        <f>AC35/'MSW Integration Calcs PDS1 '!AB30</f>
        <v>0.62880408763023887</v>
      </c>
      <c r="AK35" s="531">
        <f t="shared" si="11"/>
        <v>441.29169627121814</v>
      </c>
      <c r="AL35" s="536">
        <f>AK35/'MSW Integration Calcs PDS1 '!C30</f>
        <v>0.15122863663949163</v>
      </c>
      <c r="AW35" s="550"/>
      <c r="AX35" s="571"/>
      <c r="AY35" s="550"/>
      <c r="AZ35" s="649"/>
      <c r="BA35" s="650"/>
      <c r="BB35" s="650"/>
      <c r="BC35" s="650"/>
      <c r="BD35" s="650"/>
      <c r="BE35" s="650"/>
      <c r="BF35" s="651"/>
      <c r="BG35" s="558"/>
      <c r="BH35" s="558"/>
      <c r="BI35" s="558"/>
      <c r="BJ35" s="558"/>
      <c r="BK35" s="558"/>
      <c r="BL35" s="558"/>
      <c r="BM35" s="569" t="s">
        <v>326</v>
      </c>
      <c r="BN35" s="570">
        <f>_xlfn.STDEV.P(BN11:BN30)</f>
        <v>0.22845392024174777</v>
      </c>
      <c r="BQ35" s="562"/>
      <c r="BR35" s="562"/>
      <c r="BS35" s="562"/>
      <c r="BT35" s="549"/>
    </row>
    <row r="36" spans="1:72" ht="15" customHeight="1" x14ac:dyDescent="0.6">
      <c r="A36">
        <v>2040</v>
      </c>
      <c r="B36" s="696">
        <v>42.037647384684533</v>
      </c>
      <c r="C36" s="697">
        <v>186.6</v>
      </c>
      <c r="D36" s="531">
        <f t="shared" si="3"/>
        <v>0</v>
      </c>
      <c r="E36" s="701">
        <v>1563.5</v>
      </c>
      <c r="F36" s="1203">
        <v>52.7</v>
      </c>
      <c r="G36" s="606">
        <f t="shared" si="9"/>
        <v>0</v>
      </c>
      <c r="H36" s="608">
        <f t="shared" si="4"/>
        <v>0</v>
      </c>
      <c r="I36" s="531">
        <f t="shared" si="0"/>
        <v>0</v>
      </c>
      <c r="J36" s="633">
        <v>0</v>
      </c>
      <c r="K36" s="531">
        <f t="shared" si="1"/>
        <v>0</v>
      </c>
      <c r="L36" s="531">
        <f t="shared" si="5"/>
        <v>0</v>
      </c>
      <c r="M36" s="531">
        <f t="shared" si="6"/>
        <v>0</v>
      </c>
      <c r="N36" s="633">
        <v>369</v>
      </c>
      <c r="O36" s="531">
        <f t="shared" si="7"/>
        <v>0</v>
      </c>
      <c r="Q36" s="536">
        <f t="shared" si="2"/>
        <v>7.1979513496751024E-2</v>
      </c>
      <c r="AB36" s="1164">
        <v>2038</v>
      </c>
      <c r="AC36" s="704">
        <v>584.0223883505688</v>
      </c>
      <c r="AD36" s="536">
        <f>AC36/'MSW Integration Calcs PDS1 '!C31</f>
        <v>0.19742076117236212</v>
      </c>
      <c r="AE36" s="536">
        <f>AC36/'MSW Integration Calcs PDS1 '!AB31</f>
        <v>0.640560548904484</v>
      </c>
      <c r="AK36" s="531">
        <f t="shared" si="11"/>
        <v>452.94598093298129</v>
      </c>
      <c r="AL36" s="536">
        <f>AK36/'MSW Integration Calcs PDS1 '!C31</f>
        <v>0.15311217876133035</v>
      </c>
      <c r="AW36" s="550"/>
      <c r="AX36" s="572"/>
      <c r="AY36" s="550"/>
      <c r="AZ36" s="649"/>
      <c r="BA36" s="650"/>
      <c r="BB36" s="650"/>
      <c r="BC36" s="650"/>
      <c r="BD36" s="650"/>
      <c r="BE36" s="650"/>
      <c r="BF36" s="651"/>
      <c r="BG36" s="558"/>
      <c r="BH36" s="558"/>
      <c r="BI36" s="558"/>
      <c r="BJ36" s="558"/>
      <c r="BK36" s="558"/>
      <c r="BL36" s="558"/>
      <c r="BM36" s="573" t="s">
        <v>327</v>
      </c>
      <c r="BN36" s="574">
        <f>COUNTIF(BN11:BN30,"&gt;0")</f>
        <v>6</v>
      </c>
      <c r="BQ36" s="562"/>
      <c r="BR36" s="562"/>
      <c r="BS36" s="562"/>
      <c r="BT36" s="549"/>
    </row>
    <row r="37" spans="1:72" ht="15" customHeight="1" x14ac:dyDescent="0.6">
      <c r="A37">
        <v>2041</v>
      </c>
      <c r="B37" s="696">
        <v>46.141477686935104</v>
      </c>
      <c r="C37" s="697">
        <v>192.1</v>
      </c>
      <c r="D37" s="531">
        <f t="shared" si="3"/>
        <v>0</v>
      </c>
      <c r="E37" s="701">
        <v>1589.9</v>
      </c>
      <c r="F37" s="1203">
        <v>53.5</v>
      </c>
      <c r="G37" s="606">
        <f t="shared" si="9"/>
        <v>0</v>
      </c>
      <c r="H37" s="608">
        <f t="shared" si="4"/>
        <v>0</v>
      </c>
      <c r="I37" s="531">
        <f t="shared" si="0"/>
        <v>0</v>
      </c>
      <c r="J37" s="633">
        <v>0</v>
      </c>
      <c r="K37" s="531">
        <f t="shared" si="1"/>
        <v>0</v>
      </c>
      <c r="L37" s="531">
        <f t="shared" si="5"/>
        <v>0</v>
      </c>
      <c r="M37" s="531">
        <f t="shared" si="6"/>
        <v>0</v>
      </c>
      <c r="N37" s="633">
        <v>381.2</v>
      </c>
      <c r="O37" s="531">
        <f t="shared" si="7"/>
        <v>0</v>
      </c>
      <c r="Q37" s="536">
        <f t="shared" si="2"/>
        <v>7.6991085929537975E-2</v>
      </c>
      <c r="AB37" s="1164">
        <v>2039</v>
      </c>
      <c r="AC37" s="704">
        <v>599.30935029496345</v>
      </c>
      <c r="AD37" s="536">
        <f>AC37/'MSW Integration Calcs PDS1 '!C32</f>
        <v>0.19988647390321015</v>
      </c>
      <c r="AE37" s="536">
        <f>AC37/'MSW Integration Calcs PDS1 '!AB32</f>
        <v>0.65258398270718254</v>
      </c>
      <c r="AK37" s="531">
        <f t="shared" si="11"/>
        <v>464.80197842811947</v>
      </c>
      <c r="AL37" s="536">
        <f>AK37/'MSW Integration Calcs PDS1 '!C32</f>
        <v>0.15502449358666973</v>
      </c>
      <c r="AW37" s="550"/>
      <c r="AX37" s="123"/>
      <c r="AY37" s="550"/>
      <c r="AZ37" s="649"/>
      <c r="BA37" s="650"/>
      <c r="BB37" s="650"/>
      <c r="BC37" s="650"/>
      <c r="BD37" s="650"/>
      <c r="BE37" s="650"/>
      <c r="BF37" s="651"/>
      <c r="BG37" s="558"/>
      <c r="BH37" s="558"/>
      <c r="BI37" s="558"/>
      <c r="BJ37" s="558"/>
      <c r="BK37" s="558"/>
      <c r="BL37" s="558"/>
      <c r="BM37" s="575"/>
      <c r="BN37" s="576"/>
      <c r="BQ37" s="562"/>
      <c r="BR37" s="562"/>
      <c r="BS37" s="562"/>
      <c r="BT37" s="549"/>
    </row>
    <row r="38" spans="1:72" ht="15" customHeight="1" x14ac:dyDescent="0.6">
      <c r="A38">
        <v>2042</v>
      </c>
      <c r="B38" s="696">
        <v>50.447147500992287</v>
      </c>
      <c r="C38" s="697">
        <v>197.9</v>
      </c>
      <c r="D38" s="531">
        <f t="shared" si="3"/>
        <v>0</v>
      </c>
      <c r="E38" s="701">
        <v>1616.3</v>
      </c>
      <c r="F38" s="1203">
        <v>54.2</v>
      </c>
      <c r="G38" s="606">
        <f t="shared" si="9"/>
        <v>0</v>
      </c>
      <c r="H38" s="608">
        <f t="shared" si="4"/>
        <v>0</v>
      </c>
      <c r="I38" s="531">
        <f t="shared" si="0"/>
        <v>0</v>
      </c>
      <c r="J38" s="633">
        <v>0</v>
      </c>
      <c r="K38" s="531">
        <f t="shared" si="1"/>
        <v>0</v>
      </c>
      <c r="L38" s="531">
        <f t="shared" si="5"/>
        <v>0</v>
      </c>
      <c r="M38" s="531">
        <f t="shared" si="6"/>
        <v>0</v>
      </c>
      <c r="N38" s="633">
        <v>393.6</v>
      </c>
      <c r="O38" s="531">
        <f t="shared" si="7"/>
        <v>0</v>
      </c>
      <c r="Q38" s="536">
        <f t="shared" si="2"/>
        <v>8.2047348244288346E-2</v>
      </c>
      <c r="AB38" s="1164">
        <v>2040</v>
      </c>
      <c r="AC38" s="704">
        <v>614.85408828559093</v>
      </c>
      <c r="AD38" s="536">
        <f>AC38/'MSW Integration Calcs PDS1 '!C33</f>
        <v>0.20262014562324684</v>
      </c>
      <c r="AE38" s="536">
        <f>AC38/'MSW Integration Calcs PDS1 '!AB33</f>
        <v>0.66563779771106002</v>
      </c>
      <c r="AK38" s="531">
        <f t="shared" si="11"/>
        <v>476.85789740991805</v>
      </c>
      <c r="AL38" s="536">
        <f>AK38/'MSW Integration Calcs PDS1 '!C33</f>
        <v>0.15714462740941199</v>
      </c>
      <c r="AW38" s="550"/>
      <c r="AX38" s="123"/>
      <c r="AY38" s="550"/>
      <c r="AZ38" s="649"/>
      <c r="BA38" s="650"/>
      <c r="BB38" s="650"/>
      <c r="BC38" s="650"/>
      <c r="BD38" s="650"/>
      <c r="BE38" s="650"/>
      <c r="BF38" s="651"/>
      <c r="BG38" s="558"/>
      <c r="BH38" s="558"/>
      <c r="BI38" s="558"/>
      <c r="BJ38" s="558"/>
      <c r="BK38" s="558"/>
      <c r="BL38" s="558"/>
      <c r="BM38" s="575"/>
      <c r="BN38" s="577" t="s">
        <v>328</v>
      </c>
      <c r="BQ38" s="562"/>
      <c r="BR38" s="562"/>
      <c r="BS38" s="562"/>
      <c r="BT38" s="549"/>
    </row>
    <row r="39" spans="1:72" ht="15" customHeight="1" x14ac:dyDescent="0.6">
      <c r="A39">
        <v>2043</v>
      </c>
      <c r="B39" s="696">
        <v>54.954852592898533</v>
      </c>
      <c r="C39" s="697">
        <v>203.7</v>
      </c>
      <c r="D39" s="531">
        <f t="shared" si="3"/>
        <v>0</v>
      </c>
      <c r="E39" s="701">
        <v>1642.8</v>
      </c>
      <c r="F39" s="1203">
        <v>55</v>
      </c>
      <c r="G39" s="606">
        <f t="shared" si="9"/>
        <v>0</v>
      </c>
      <c r="H39" s="608">
        <f t="shared" si="4"/>
        <v>0</v>
      </c>
      <c r="I39" s="531">
        <f t="shared" si="0"/>
        <v>0</v>
      </c>
      <c r="J39" s="633">
        <v>0</v>
      </c>
      <c r="K39" s="531">
        <f t="shared" si="1"/>
        <v>0</v>
      </c>
      <c r="L39" s="531">
        <f t="shared" si="5"/>
        <v>0</v>
      </c>
      <c r="M39" s="531">
        <f t="shared" si="6"/>
        <v>0</v>
      </c>
      <c r="N39" s="633">
        <v>405.2</v>
      </c>
      <c r="O39" s="531">
        <f t="shared" si="7"/>
        <v>0</v>
      </c>
      <c r="Q39" s="536">
        <f t="shared" si="2"/>
        <v>8.7139505452682217E-2</v>
      </c>
      <c r="AB39" s="1164">
        <v>2041</v>
      </c>
      <c r="AC39" s="704">
        <v>630.65371219876465</v>
      </c>
      <c r="AD39" s="536">
        <f>AC39/'MSW Integration Calcs PDS1 '!C34</f>
        <v>0.20492867530698869</v>
      </c>
      <c r="AE39" s="536">
        <f>AC39/'MSW Integration Calcs PDS1 '!AB34</f>
        <v>0.67745016630409438</v>
      </c>
      <c r="AK39" s="531">
        <f t="shared" si="11"/>
        <v>489.11149640624438</v>
      </c>
      <c r="AL39" s="536">
        <f>AK39/'MSW Integration Calcs PDS1 '!C34</f>
        <v>0.15893503692619185</v>
      </c>
      <c r="AW39" s="550"/>
      <c r="AX39" s="123"/>
      <c r="AY39" s="550"/>
      <c r="AZ39" s="649"/>
      <c r="BA39" s="650"/>
      <c r="BB39" s="650"/>
      <c r="BC39" s="650"/>
      <c r="BD39" s="650"/>
      <c r="BE39" s="650"/>
      <c r="BF39" s="651"/>
      <c r="BG39" s="558"/>
      <c r="BH39" s="558"/>
      <c r="BI39" s="558"/>
      <c r="BJ39" s="558"/>
      <c r="BK39" s="558"/>
      <c r="BL39" s="558"/>
      <c r="BM39" s="575"/>
      <c r="BN39" s="578" t="s">
        <v>20</v>
      </c>
      <c r="BQ39" s="562"/>
      <c r="BR39" s="562"/>
      <c r="BS39" s="562"/>
      <c r="BT39" s="549"/>
    </row>
    <row r="40" spans="1:72" ht="15" customHeight="1" x14ac:dyDescent="0.6">
      <c r="A40">
        <v>2044</v>
      </c>
      <c r="B40" s="696">
        <v>59.664788728929125</v>
      </c>
      <c r="C40" s="697">
        <v>209.8</v>
      </c>
      <c r="D40" s="531">
        <f t="shared" si="3"/>
        <v>0</v>
      </c>
      <c r="E40" s="701">
        <v>1669.9</v>
      </c>
      <c r="F40" s="1203">
        <v>55.8</v>
      </c>
      <c r="G40" s="606">
        <f t="shared" si="9"/>
        <v>0</v>
      </c>
      <c r="H40" s="608">
        <f t="shared" si="4"/>
        <v>0</v>
      </c>
      <c r="I40" s="531">
        <f t="shared" si="0"/>
        <v>0</v>
      </c>
      <c r="J40" s="633">
        <v>0</v>
      </c>
      <c r="K40" s="531">
        <f t="shared" si="1"/>
        <v>0</v>
      </c>
      <c r="L40" s="531">
        <f t="shared" si="5"/>
        <v>0</v>
      </c>
      <c r="M40" s="531">
        <f t="shared" si="6"/>
        <v>0</v>
      </c>
      <c r="N40" s="633">
        <v>417.8</v>
      </c>
      <c r="O40" s="531">
        <f t="shared" si="7"/>
        <v>0</v>
      </c>
      <c r="Q40" s="536">
        <f t="shared" si="2"/>
        <v>9.225971123617914E-2</v>
      </c>
      <c r="AB40" s="1164">
        <v>2042</v>
      </c>
      <c r="AC40" s="704">
        <v>646.704698394199</v>
      </c>
      <c r="AD40" s="536">
        <f>AC40/'MSW Integration Calcs PDS1 '!C35</f>
        <v>0.20757542144299043</v>
      </c>
      <c r="AE40" s="536">
        <f>AC40/'MSW Integration Calcs PDS1 '!AB35</f>
        <v>0.69053699748167097</v>
      </c>
      <c r="AK40" s="531">
        <f t="shared" si="11"/>
        <v>501.56004261312142</v>
      </c>
      <c r="AL40" s="536">
        <f>AK40/'MSW Integration Calcs PDS1 '!C35</f>
        <v>0.16098775450819705</v>
      </c>
      <c r="AW40" s="550"/>
      <c r="AX40" s="123"/>
      <c r="AY40" s="550"/>
      <c r="AZ40" s="649"/>
      <c r="BA40" s="650"/>
      <c r="BB40" s="650"/>
      <c r="BC40" s="650"/>
      <c r="BD40" s="650"/>
      <c r="BE40" s="650"/>
      <c r="BF40" s="651"/>
      <c r="BG40" s="558"/>
      <c r="BH40" s="558"/>
      <c r="BI40" s="558"/>
      <c r="BJ40" s="558"/>
      <c r="BK40" s="558"/>
      <c r="BL40" s="558"/>
      <c r="BM40" s="575"/>
      <c r="BN40" s="558"/>
      <c r="BQ40" s="562"/>
      <c r="BR40" s="562"/>
      <c r="BS40" s="562"/>
      <c r="BT40" s="549"/>
    </row>
    <row r="41" spans="1:72" ht="15" customHeight="1" x14ac:dyDescent="0.6">
      <c r="A41">
        <v>2045</v>
      </c>
      <c r="B41" s="696">
        <v>64.577151675184723</v>
      </c>
      <c r="C41" s="697">
        <v>216.1</v>
      </c>
      <c r="D41" s="531">
        <f t="shared" si="3"/>
        <v>0</v>
      </c>
      <c r="E41" s="701">
        <v>1688.5</v>
      </c>
      <c r="F41" s="1203">
        <v>56.4</v>
      </c>
      <c r="G41" s="606">
        <f t="shared" si="9"/>
        <v>0</v>
      </c>
      <c r="H41" s="608">
        <f t="shared" si="4"/>
        <v>0</v>
      </c>
      <c r="I41" s="531">
        <f t="shared" si="0"/>
        <v>0</v>
      </c>
      <c r="J41" s="633">
        <v>0</v>
      </c>
      <c r="K41" s="531">
        <f t="shared" si="1"/>
        <v>0</v>
      </c>
      <c r="L41" s="531">
        <f t="shared" si="5"/>
        <v>0</v>
      </c>
      <c r="M41" s="531">
        <f t="shared" si="6"/>
        <v>0</v>
      </c>
      <c r="N41" s="633">
        <v>429.3</v>
      </c>
      <c r="O41" s="531">
        <f t="shared" si="7"/>
        <v>0</v>
      </c>
      <c r="Q41" s="536">
        <f t="shared" si="2"/>
        <v>9.7400999737466937E-2</v>
      </c>
      <c r="AB41" s="1164">
        <v>2043</v>
      </c>
      <c r="AC41" s="704">
        <v>663.00296556754984</v>
      </c>
      <c r="AD41" s="536">
        <f>AC41/'MSW Integration Calcs PDS1 '!C36</f>
        <v>0.21024785728969925</v>
      </c>
      <c r="AE41" s="536">
        <f>AC41/'MSW Integration Calcs PDS1 '!AB36</f>
        <v>0.70387632169300018</v>
      </c>
      <c r="AK41" s="531">
        <f t="shared" si="11"/>
        <v>514.20037072312857</v>
      </c>
      <c r="AL41" s="536">
        <f>AK41/'MSW Integration Calcs PDS1 '!C36</f>
        <v>0.16306039607162523</v>
      </c>
      <c r="AW41" s="550"/>
      <c r="AX41" s="454"/>
      <c r="AY41" s="558"/>
      <c r="AZ41" s="652"/>
      <c r="BA41" s="653"/>
      <c r="BB41" s="653"/>
      <c r="BC41" s="653"/>
      <c r="BD41" s="653"/>
      <c r="BE41" s="653"/>
      <c r="BF41" s="654"/>
      <c r="BG41" s="549"/>
      <c r="BH41" s="549"/>
      <c r="BI41" s="549"/>
      <c r="BJ41" s="549"/>
      <c r="BK41" s="549"/>
      <c r="BL41" s="549"/>
      <c r="BM41" s="579"/>
      <c r="BN41" s="549"/>
      <c r="BQ41" s="562"/>
      <c r="BR41" s="562"/>
      <c r="BS41" s="562"/>
      <c r="BT41" s="549"/>
    </row>
    <row r="42" spans="1:72" ht="15" customHeight="1" x14ac:dyDescent="0.6">
      <c r="A42">
        <v>2046</v>
      </c>
      <c r="B42" s="696">
        <v>69.69213719794061</v>
      </c>
      <c r="C42" s="697">
        <v>222.5</v>
      </c>
      <c r="D42" s="531">
        <f t="shared" si="3"/>
        <v>0</v>
      </c>
      <c r="E42" s="701">
        <v>1715</v>
      </c>
      <c r="F42" s="1203">
        <v>57.1</v>
      </c>
      <c r="G42" s="607">
        <f t="shared" si="9"/>
        <v>0</v>
      </c>
      <c r="H42" s="608">
        <f t="shared" si="4"/>
        <v>0</v>
      </c>
      <c r="I42" s="531">
        <f t="shared" si="0"/>
        <v>0</v>
      </c>
      <c r="J42" s="633">
        <v>0</v>
      </c>
      <c r="K42" s="531">
        <f t="shared" si="1"/>
        <v>0</v>
      </c>
      <c r="L42" s="531">
        <f t="shared" si="5"/>
        <v>0</v>
      </c>
      <c r="M42" s="531">
        <f t="shared" si="6"/>
        <v>0</v>
      </c>
      <c r="N42" s="633">
        <v>442</v>
      </c>
      <c r="O42" s="531">
        <f t="shared" si="7"/>
        <v>0</v>
      </c>
      <c r="Q42" s="536">
        <f t="shared" si="2"/>
        <v>0.10255721530883413</v>
      </c>
      <c r="AB42" s="1164">
        <v>2044</v>
      </c>
      <c r="AC42" s="704">
        <v>679.54396955956963</v>
      </c>
      <c r="AD42" s="536">
        <f>AC42/'MSW Integration Calcs PDS1 '!C37</f>
        <v>0.21294274338315997</v>
      </c>
      <c r="AE42" s="536">
        <f>AC42/'MSW Integration Calcs PDS1 '!AB37</f>
        <v>0.71746207339339574</v>
      </c>
      <c r="AK42" s="531">
        <f t="shared" si="11"/>
        <v>527.02895645584624</v>
      </c>
      <c r="AL42" s="536">
        <f>AK42/'MSW Integration Calcs PDS1 '!C37</f>
        <v>0.16515044920906166</v>
      </c>
      <c r="AW42" s="550"/>
      <c r="BQ42" s="562"/>
      <c r="BR42" s="562"/>
      <c r="BS42" s="562"/>
      <c r="BT42" s="549"/>
    </row>
    <row r="43" spans="1:72" ht="15" customHeight="1" x14ac:dyDescent="0.6">
      <c r="A43">
        <v>2047</v>
      </c>
      <c r="B43" s="696">
        <v>75.009941063297447</v>
      </c>
      <c r="C43" s="697">
        <v>229.2</v>
      </c>
      <c r="D43" s="531">
        <f t="shared" si="3"/>
        <v>0</v>
      </c>
      <c r="E43" s="701">
        <v>1742.2</v>
      </c>
      <c r="F43" s="1203">
        <v>57.9</v>
      </c>
      <c r="G43" s="607">
        <f t="shared" si="9"/>
        <v>0</v>
      </c>
      <c r="H43" s="608">
        <f t="shared" si="4"/>
        <v>0</v>
      </c>
      <c r="I43" s="531">
        <f t="shared" si="0"/>
        <v>0</v>
      </c>
      <c r="J43" s="633">
        <v>0</v>
      </c>
      <c r="K43" s="531">
        <f t="shared" si="1"/>
        <v>0</v>
      </c>
      <c r="L43" s="531">
        <f t="shared" si="5"/>
        <v>0</v>
      </c>
      <c r="M43" s="531">
        <f t="shared" si="6"/>
        <v>0</v>
      </c>
      <c r="N43" s="633">
        <v>453.8</v>
      </c>
      <c r="O43" s="531">
        <f t="shared" si="7"/>
        <v>0</v>
      </c>
      <c r="Q43" s="536">
        <f t="shared" si="2"/>
        <v>0.10772292295473203</v>
      </c>
      <c r="AB43" s="1164">
        <v>2045</v>
      </c>
      <c r="AC43" s="704">
        <v>696.32292743131904</v>
      </c>
      <c r="AD43" s="536">
        <f>AC43/'MSW Integration Calcs PDS1 '!C38</f>
        <v>0.21564986618583734</v>
      </c>
      <c r="AE43" s="536">
        <f>AC43/'MSW Integration Calcs PDS1 '!AB38</f>
        <v>0.73126438177632158</v>
      </c>
      <c r="AK43" s="531">
        <f t="shared" si="11"/>
        <v>540.04209034223186</v>
      </c>
      <c r="AL43" s="536">
        <f>AK43/'MSW Integration Calcs PDS1 '!C38</f>
        <v>0.16724999268174903</v>
      </c>
      <c r="AW43" s="550"/>
    </row>
    <row r="44" spans="1:72" ht="15" customHeight="1" x14ac:dyDescent="0.6">
      <c r="A44">
        <v>2048</v>
      </c>
      <c r="B44" s="696">
        <v>80.530759037472308</v>
      </c>
      <c r="C44" s="697">
        <v>236.1</v>
      </c>
      <c r="D44" s="531">
        <f t="shared" si="3"/>
        <v>0</v>
      </c>
      <c r="E44" s="701">
        <v>1768.6</v>
      </c>
      <c r="F44" s="1203">
        <v>58.7</v>
      </c>
      <c r="G44" s="607">
        <f t="shared" si="9"/>
        <v>0</v>
      </c>
      <c r="H44" s="608">
        <f t="shared" si="4"/>
        <v>0</v>
      </c>
      <c r="I44" s="531">
        <f t="shared" si="0"/>
        <v>0</v>
      </c>
      <c r="J44" s="633">
        <v>0</v>
      </c>
      <c r="K44" s="531">
        <f t="shared" si="1"/>
        <v>0</v>
      </c>
      <c r="L44" s="531">
        <f t="shared" si="5"/>
        <v>0</v>
      </c>
      <c r="M44" s="531">
        <f t="shared" si="6"/>
        <v>0</v>
      </c>
      <c r="N44" s="633">
        <v>467.2</v>
      </c>
      <c r="O44" s="531">
        <f t="shared" si="7"/>
        <v>0</v>
      </c>
      <c r="Q44" s="536">
        <f t="shared" si="2"/>
        <v>0.11289332788952929</v>
      </c>
      <c r="AB44" s="1164">
        <v>2046</v>
      </c>
      <c r="AC44" s="704">
        <v>713.33497331458716</v>
      </c>
      <c r="AD44" s="536">
        <f>AC44/'MSW Integration Calcs PDS1 '!C39</f>
        <v>0.2183945869150633</v>
      </c>
      <c r="AE44" s="536">
        <f>AC44/'MSW Integration Calcs PDS1 '!AB39</f>
        <v>0.74537401677495962</v>
      </c>
      <c r="AK44" s="531">
        <f t="shared" si="11"/>
        <v>553.23599859639353</v>
      </c>
      <c r="AL44" s="536">
        <f>AK44/'MSW Integration Calcs PDS1 '!C39</f>
        <v>0.16937869570390116</v>
      </c>
      <c r="AW44" s="550"/>
    </row>
    <row r="45" spans="1:72" ht="15" customHeight="1" x14ac:dyDescent="0.6">
      <c r="A45">
        <v>2049</v>
      </c>
      <c r="B45" s="696">
        <v>86.254786886624061</v>
      </c>
      <c r="C45" s="697">
        <v>243.2</v>
      </c>
      <c r="D45" s="531">
        <f t="shared" si="3"/>
        <v>0</v>
      </c>
      <c r="E45" s="701">
        <v>1795</v>
      </c>
      <c r="F45" s="1203">
        <v>59.5</v>
      </c>
      <c r="G45" s="607">
        <f t="shared" si="9"/>
        <v>0</v>
      </c>
      <c r="H45" s="608">
        <f t="shared" si="4"/>
        <v>0</v>
      </c>
      <c r="I45" s="531">
        <f t="shared" si="0"/>
        <v>0</v>
      </c>
      <c r="J45" s="633">
        <v>0</v>
      </c>
      <c r="K45" s="531">
        <f t="shared" si="1"/>
        <v>0</v>
      </c>
      <c r="L45" s="531">
        <f t="shared" si="5"/>
        <v>0</v>
      </c>
      <c r="M45" s="531">
        <f t="shared" si="6"/>
        <v>0</v>
      </c>
      <c r="N45" s="633">
        <v>478.7</v>
      </c>
      <c r="O45" s="531">
        <f t="shared" si="7"/>
        <v>0</v>
      </c>
      <c r="Q45" s="536">
        <f t="shared" si="2"/>
        <v>0.11806423270501239</v>
      </c>
      <c r="AB45" s="1164">
        <v>2047</v>
      </c>
      <c r="AC45" s="704">
        <v>730.57508536166631</v>
      </c>
      <c r="AD45" s="536">
        <f>AC45/'MSW Integration Calcs PDS1 '!C40</f>
        <v>0.22117246244147529</v>
      </c>
      <c r="AE45" s="536">
        <f>AC45/'MSW Integration Calcs PDS1 '!AB40</f>
        <v>0.75978173288036821</v>
      </c>
      <c r="AK45" s="531">
        <f t="shared" si="11"/>
        <v>566.60678646055908</v>
      </c>
      <c r="AL45" s="536">
        <f>AK45/'MSW Integration Calcs PDS1 '!C40</f>
        <v>0.17153311235010876</v>
      </c>
      <c r="AW45" s="550"/>
    </row>
    <row r="46" spans="1:72" ht="15" customHeight="1" x14ac:dyDescent="0.6">
      <c r="A46">
        <v>2050</v>
      </c>
      <c r="B46" s="696">
        <v>92.182220376911573</v>
      </c>
      <c r="C46" s="697">
        <v>250.5</v>
      </c>
      <c r="D46" s="531">
        <f t="shared" si="3"/>
        <v>0</v>
      </c>
      <c r="E46" s="702">
        <v>1822.2</v>
      </c>
      <c r="F46" s="1203">
        <v>60.3</v>
      </c>
      <c r="G46" s="607">
        <f t="shared" si="9"/>
        <v>0</v>
      </c>
      <c r="H46" s="608">
        <f t="shared" si="4"/>
        <v>0</v>
      </c>
      <c r="I46" s="531">
        <f t="shared" si="0"/>
        <v>0</v>
      </c>
      <c r="J46" s="633">
        <v>0</v>
      </c>
      <c r="K46" s="531">
        <f t="shared" si="1"/>
        <v>0</v>
      </c>
      <c r="L46" s="531">
        <f t="shared" si="5"/>
        <v>0</v>
      </c>
      <c r="M46" s="531">
        <f t="shared" si="6"/>
        <v>0</v>
      </c>
      <c r="N46" s="633">
        <v>492.2</v>
      </c>
      <c r="O46" s="531">
        <f t="shared" si="7"/>
        <v>0</v>
      </c>
      <c r="Q46" s="536">
        <f t="shared" si="2"/>
        <v>0.12323201315776246</v>
      </c>
      <c r="AB46" s="1164">
        <v>2048</v>
      </c>
      <c r="AC46" s="704">
        <v>748.03793279672607</v>
      </c>
      <c r="AD46" s="536">
        <f>AC46/'MSW Integration Calcs PDS1 '!C41</f>
        <v>0.22397667951655004</v>
      </c>
      <c r="AE46" s="536">
        <f>AC46/'MSW Integration Calcs PDS1 '!AB41</f>
        <v>0.77446984618447423</v>
      </c>
      <c r="AK46" s="531">
        <f t="shared" si="11"/>
        <v>580.15031958382735</v>
      </c>
      <c r="AL46" s="536">
        <f>AK46/'MSW Integration Calcs PDS1 '!C41</f>
        <v>0.17370795851894488</v>
      </c>
      <c r="AW46" s="1" t="s">
        <v>341</v>
      </c>
    </row>
    <row r="47" spans="1:72" ht="15" customHeight="1" x14ac:dyDescent="0.6">
      <c r="A47">
        <v>2051</v>
      </c>
      <c r="B47" s="696">
        <v>98.313255274610128</v>
      </c>
      <c r="C47" s="697">
        <v>257.5</v>
      </c>
      <c r="D47" s="531">
        <f t="shared" si="3"/>
        <v>0</v>
      </c>
      <c r="E47" s="701">
        <v>1845.7</v>
      </c>
      <c r="F47" s="1203">
        <v>60.9</v>
      </c>
      <c r="G47" s="607">
        <f t="shared" si="9"/>
        <v>0</v>
      </c>
      <c r="H47" s="608">
        <f t="shared" si="4"/>
        <v>0</v>
      </c>
      <c r="I47" s="531">
        <f t="shared" si="0"/>
        <v>0</v>
      </c>
      <c r="J47" s="633">
        <v>0</v>
      </c>
      <c r="K47" s="531">
        <f t="shared" si="1"/>
        <v>0</v>
      </c>
      <c r="L47" s="531">
        <f t="shared" si="5"/>
        <v>0</v>
      </c>
      <c r="M47" s="531">
        <f t="shared" si="6"/>
        <v>0</v>
      </c>
      <c r="N47" s="633">
        <v>503.6</v>
      </c>
      <c r="O47" s="531">
        <f t="shared" si="7"/>
        <v>0</v>
      </c>
      <c r="Q47" s="536">
        <f t="shared" si="2"/>
        <v>0.12839355356967413</v>
      </c>
      <c r="AB47" s="1164">
        <v>2049</v>
      </c>
      <c r="AC47" s="704">
        <v>765.71800173175666</v>
      </c>
      <c r="AD47" s="536">
        <f>AC47/'MSW Integration Calcs PDS1 '!C42</f>
        <v>0.22680554083140106</v>
      </c>
      <c r="AE47" s="536">
        <f>AC47/'MSW Integration Calcs PDS1 '!AB42</f>
        <v>0.78943801194361629</v>
      </c>
      <c r="AK47" s="531">
        <f t="shared" si="11"/>
        <v>593.86232160032046</v>
      </c>
      <c r="AL47" s="536">
        <f>AK47/'MSW Integration Calcs PDS1 '!C42</f>
        <v>0.17590191784094508</v>
      </c>
    </row>
    <row r="48" spans="1:72" ht="15" customHeight="1" x14ac:dyDescent="0.6">
      <c r="A48">
        <v>2052</v>
      </c>
      <c r="B48" s="696">
        <v>104.64808734576218</v>
      </c>
      <c r="C48" s="697">
        <v>255.2</v>
      </c>
      <c r="D48" s="531">
        <f t="shared" si="3"/>
        <v>0</v>
      </c>
      <c r="E48" s="701">
        <v>1869.2</v>
      </c>
      <c r="F48" s="1203">
        <v>61.6</v>
      </c>
      <c r="G48" s="607">
        <f t="shared" si="9"/>
        <v>0</v>
      </c>
      <c r="H48" s="608">
        <f t="shared" si="4"/>
        <v>0</v>
      </c>
      <c r="I48" s="531">
        <f t="shared" si="0"/>
        <v>0</v>
      </c>
      <c r="J48" s="633">
        <v>0</v>
      </c>
      <c r="K48" s="531">
        <f t="shared" si="1"/>
        <v>0</v>
      </c>
      <c r="L48" s="531">
        <f t="shared" si="5"/>
        <v>0</v>
      </c>
      <c r="M48" s="531">
        <f t="shared" si="6"/>
        <v>0</v>
      </c>
      <c r="N48" s="633">
        <v>517.20000000000005</v>
      </c>
      <c r="O48" s="531">
        <f t="shared" si="7"/>
        <v>0</v>
      </c>
      <c r="Q48" s="536">
        <f t="shared" si="2"/>
        <v>0.13376924875008714</v>
      </c>
      <c r="AB48" s="1164">
        <v>2050</v>
      </c>
      <c r="AC48" s="704">
        <v>782.30302048918406</v>
      </c>
      <c r="AD48" s="536">
        <f>AC48/'MSW Integration Calcs PDS1 '!C43</f>
        <v>0.22931934252337138</v>
      </c>
      <c r="AE48" s="536">
        <f>AC48/'MSW Integration Calcs PDS1 '!AB43</f>
        <v>0.8035015505373907</v>
      </c>
      <c r="AK48" s="531">
        <f t="shared" si="11"/>
        <v>606.72504354337991</v>
      </c>
      <c r="AL48" s="536">
        <f>AK48/'MSW Integration Calcs PDS1 '!C43</f>
        <v>0.17785152867085907</v>
      </c>
      <c r="AW48" s="537" t="s">
        <v>306</v>
      </c>
      <c r="AX48" s="538" t="s">
        <v>307</v>
      </c>
      <c r="AY48" s="539" t="s">
        <v>308</v>
      </c>
      <c r="AZ48" s="540" t="s">
        <v>309</v>
      </c>
      <c r="BA48" s="540" t="s">
        <v>310</v>
      </c>
      <c r="BB48" s="539" t="s">
        <v>311</v>
      </c>
      <c r="BC48" s="539" t="s">
        <v>312</v>
      </c>
      <c r="BD48" s="540" t="s">
        <v>313</v>
      </c>
      <c r="BE48" s="540" t="s">
        <v>314</v>
      </c>
      <c r="BF48" s="541" t="s">
        <v>315</v>
      </c>
      <c r="BG48" s="542" t="s">
        <v>222</v>
      </c>
      <c r="BH48" s="543" t="s">
        <v>316</v>
      </c>
      <c r="BI48" s="544" t="s">
        <v>317</v>
      </c>
      <c r="BK48" s="544" t="s">
        <v>318</v>
      </c>
      <c r="BL48" s="545"/>
      <c r="BM48" s="546" t="s">
        <v>319</v>
      </c>
      <c r="BN48" s="547" t="s">
        <v>320</v>
      </c>
      <c r="BO48" s="548" t="s">
        <v>321</v>
      </c>
    </row>
    <row r="49" spans="1:67" ht="15" customHeight="1" x14ac:dyDescent="0.6">
      <c r="A49">
        <v>2053</v>
      </c>
      <c r="B49" s="696">
        <v>111.18691235664301</v>
      </c>
      <c r="C49" s="697">
        <v>252.9</v>
      </c>
      <c r="D49" s="531">
        <f t="shared" si="3"/>
        <v>0</v>
      </c>
      <c r="E49" s="701">
        <v>1893.5</v>
      </c>
      <c r="F49" s="1203">
        <v>62.2</v>
      </c>
      <c r="G49" s="607">
        <f t="shared" si="9"/>
        <v>0</v>
      </c>
      <c r="H49" s="608">
        <f t="shared" si="4"/>
        <v>0</v>
      </c>
      <c r="I49" s="531">
        <f t="shared" si="0"/>
        <v>0</v>
      </c>
      <c r="J49" s="633">
        <v>0</v>
      </c>
      <c r="K49" s="531">
        <f t="shared" si="1"/>
        <v>0</v>
      </c>
      <c r="L49" s="531">
        <f t="shared" si="5"/>
        <v>0</v>
      </c>
      <c r="M49" s="531">
        <f t="shared" si="6"/>
        <v>0</v>
      </c>
      <c r="N49" s="633">
        <v>528.70000000000005</v>
      </c>
      <c r="O49" s="531">
        <f t="shared" si="7"/>
        <v>0</v>
      </c>
      <c r="Q49" s="536">
        <f t="shared" si="2"/>
        <v>0.13868768469234558</v>
      </c>
      <c r="AB49" s="1164">
        <v>2051</v>
      </c>
      <c r="AC49" s="704">
        <v>801.70717827824274</v>
      </c>
      <c r="AD49" s="536">
        <f>AC49/'MSW Integration Calcs PDS1 '!C44</f>
        <v>0.23253044562662784</v>
      </c>
      <c r="AE49" s="536">
        <f>AC49/'MSW Integration Calcs PDS1 '!AB44</f>
        <v>0.82021321208687037</v>
      </c>
      <c r="AK49" s="531">
        <f t="shared" si="11"/>
        <v>621.77418456820612</v>
      </c>
      <c r="AL49" s="536">
        <f>AK49/'MSW Integration Calcs PDS1 '!C44</f>
        <v>0.18034194046669655</v>
      </c>
      <c r="AW49" s="550">
        <v>1</v>
      </c>
      <c r="AX49" s="551"/>
      <c r="AY49" s="580" t="s">
        <v>342</v>
      </c>
      <c r="AZ49" s="581"/>
      <c r="BA49" s="552"/>
      <c r="BB49" s="552"/>
      <c r="BC49" s="553" t="s">
        <v>228</v>
      </c>
      <c r="BD49" s="554">
        <v>2019</v>
      </c>
      <c r="BE49" s="553"/>
      <c r="BF49" s="555">
        <v>0.55000000000000004</v>
      </c>
      <c r="BG49" s="556"/>
      <c r="BH49" s="557"/>
      <c r="BI49" s="556" t="s">
        <v>329</v>
      </c>
      <c r="BK49" s="558"/>
      <c r="BL49" s="558"/>
      <c r="BM49" s="559"/>
      <c r="BN49" s="560">
        <f>IF(BM49="Y","",IF(AND(BH49="",BF49=""),"",IF(BH49="",BF49,BH49)))</f>
        <v>0.55000000000000004</v>
      </c>
      <c r="BO49" s="561" t="str">
        <f t="shared" ref="BO49:BO68" si="13">IF(AND(BI49="",BG49=""),"",IF(BI49="",BG49,BI49))</f>
        <v>%</v>
      </c>
    </row>
    <row r="50" spans="1:67" ht="15" customHeight="1" x14ac:dyDescent="0.6">
      <c r="A50">
        <v>2054</v>
      </c>
      <c r="B50" s="696">
        <v>117.92992607335327</v>
      </c>
      <c r="C50" s="697">
        <v>250.6</v>
      </c>
      <c r="D50" s="531">
        <f t="shared" si="3"/>
        <v>0</v>
      </c>
      <c r="E50" s="701">
        <v>1917.7</v>
      </c>
      <c r="F50" s="1203">
        <v>62.9</v>
      </c>
      <c r="G50" s="607">
        <f t="shared" si="9"/>
        <v>0</v>
      </c>
      <c r="H50" s="608">
        <f t="shared" si="4"/>
        <v>0</v>
      </c>
      <c r="I50" s="531">
        <f t="shared" si="0"/>
        <v>0</v>
      </c>
      <c r="J50" s="633">
        <v>0</v>
      </c>
      <c r="K50" s="531">
        <f t="shared" si="1"/>
        <v>0</v>
      </c>
      <c r="L50" s="531">
        <f t="shared" si="5"/>
        <v>0</v>
      </c>
      <c r="M50" s="531">
        <f t="shared" si="6"/>
        <v>0</v>
      </c>
      <c r="N50" s="633">
        <v>538</v>
      </c>
      <c r="O50" s="531">
        <f t="shared" si="7"/>
        <v>0</v>
      </c>
      <c r="Q50" s="536">
        <f t="shared" si="2"/>
        <v>0.143816142397175</v>
      </c>
      <c r="AB50" s="1164">
        <v>2052</v>
      </c>
      <c r="AC50" s="704">
        <v>820.00479297843958</v>
      </c>
      <c r="AD50" s="536">
        <f>AC50/'MSW Integration Calcs PDS1 '!C45</f>
        <v>0.23542302933137754</v>
      </c>
      <c r="AE50" s="536">
        <f>AC50/'MSW Integration Calcs PDS1 '!AB45</f>
        <v>0.83601928029608485</v>
      </c>
      <c r="AK50" s="531">
        <f t="shared" si="11"/>
        <v>635.96513204630094</v>
      </c>
      <c r="AL50" s="536">
        <f>AK50/'MSW Integration Calcs PDS1 '!C45</f>
        <v>0.18258532049751849</v>
      </c>
      <c r="AW50" s="550">
        <v>2</v>
      </c>
      <c r="AX50" s="551"/>
      <c r="AY50" s="580" t="s">
        <v>342</v>
      </c>
      <c r="AZ50" s="552"/>
      <c r="BA50" s="552"/>
      <c r="BB50" s="552"/>
      <c r="BC50" s="553" t="s">
        <v>228</v>
      </c>
      <c r="BD50" s="554">
        <v>2019</v>
      </c>
      <c r="BE50" s="553"/>
      <c r="BF50" s="555">
        <v>0.31</v>
      </c>
      <c r="BG50" s="555"/>
      <c r="BH50" s="557"/>
      <c r="BI50" s="556" t="s">
        <v>329</v>
      </c>
      <c r="BK50" s="558"/>
      <c r="BL50" s="558"/>
      <c r="BM50" s="559"/>
      <c r="BN50" s="560">
        <f t="shared" ref="BN50:BN68" si="14">IF(BM50="Y","",IF(AND(BH50="",BF50=""),"",IF(BH50="",BF50,BH50)))</f>
        <v>0.31</v>
      </c>
      <c r="BO50" s="561" t="str">
        <f t="shared" si="13"/>
        <v>%</v>
      </c>
    </row>
    <row r="51" spans="1:67" ht="15" customHeight="1" x14ac:dyDescent="0.6">
      <c r="A51">
        <v>2055</v>
      </c>
      <c r="B51" s="696">
        <v>124.87732426216826</v>
      </c>
      <c r="C51" s="697">
        <v>248.3</v>
      </c>
      <c r="D51" s="531">
        <f t="shared" si="3"/>
        <v>0</v>
      </c>
      <c r="E51" s="701">
        <v>1934.1</v>
      </c>
      <c r="F51" s="1203">
        <v>63.4</v>
      </c>
      <c r="G51" s="607">
        <f t="shared" si="9"/>
        <v>0</v>
      </c>
      <c r="H51" s="608">
        <f t="shared" si="4"/>
        <v>0</v>
      </c>
      <c r="I51" s="531">
        <f t="shared" si="0"/>
        <v>0</v>
      </c>
      <c r="J51" s="633">
        <v>0</v>
      </c>
      <c r="K51" s="531">
        <f t="shared" si="1"/>
        <v>0</v>
      </c>
      <c r="L51" s="531">
        <f t="shared" si="5"/>
        <v>0</v>
      </c>
      <c r="M51" s="531">
        <f t="shared" si="6"/>
        <v>0</v>
      </c>
      <c r="N51" s="633">
        <v>542</v>
      </c>
      <c r="O51" s="531">
        <f t="shared" si="7"/>
        <v>0</v>
      </c>
      <c r="Q51" s="536">
        <f t="shared" si="2"/>
        <v>0.14893013487058834</v>
      </c>
      <c r="AB51" s="1164">
        <v>2053</v>
      </c>
      <c r="AC51" s="704">
        <v>838.49601271548852</v>
      </c>
      <c r="AD51" s="536">
        <f>AC51/'MSW Integration Calcs PDS1 '!C46</f>
        <v>0.23833339519314006</v>
      </c>
      <c r="AE51" s="536">
        <f>AC51/'MSW Integration Calcs PDS1 '!AB46</f>
        <v>0.85210366533121207</v>
      </c>
      <c r="AK51" s="531">
        <f t="shared" si="11"/>
        <v>650.30623236969711</v>
      </c>
      <c r="AL51" s="536">
        <f>AK51/'MSW Integration Calcs PDS1 '!C46</f>
        <v>0.18484249170606229</v>
      </c>
      <c r="AW51" s="550">
        <v>3</v>
      </c>
      <c r="AX51" s="551"/>
      <c r="AY51" s="580" t="s">
        <v>342</v>
      </c>
      <c r="AZ51" s="554"/>
      <c r="BA51" s="554"/>
      <c r="BB51" s="554"/>
      <c r="BC51" s="553" t="s">
        <v>228</v>
      </c>
      <c r="BD51" s="554">
        <v>2019</v>
      </c>
      <c r="BE51" s="563"/>
      <c r="BF51" s="564">
        <v>0.1</v>
      </c>
      <c r="BG51" s="564"/>
      <c r="BH51" s="557"/>
      <c r="BI51" s="556" t="s">
        <v>329</v>
      </c>
      <c r="BK51" s="558"/>
      <c r="BL51" s="558"/>
      <c r="BM51" s="559"/>
      <c r="BN51" s="560">
        <f t="shared" si="14"/>
        <v>0.1</v>
      </c>
      <c r="BO51" s="561" t="str">
        <f t="shared" si="13"/>
        <v>%</v>
      </c>
    </row>
    <row r="52" spans="1:67" ht="15" customHeight="1" x14ac:dyDescent="0.6">
      <c r="A52">
        <v>2056</v>
      </c>
      <c r="B52" s="696">
        <v>132.02930268924683</v>
      </c>
      <c r="C52" s="697">
        <v>246.1</v>
      </c>
      <c r="D52" s="531">
        <f t="shared" si="3"/>
        <v>0</v>
      </c>
      <c r="E52" s="701">
        <v>1957.6</v>
      </c>
      <c r="F52" s="1203">
        <v>64</v>
      </c>
      <c r="G52" s="607">
        <f t="shared" si="9"/>
        <v>0</v>
      </c>
      <c r="H52" s="608">
        <f t="shared" si="4"/>
        <v>0</v>
      </c>
      <c r="I52" s="531">
        <f t="shared" si="0"/>
        <v>0</v>
      </c>
      <c r="J52" s="633">
        <v>0</v>
      </c>
      <c r="K52" s="531">
        <f t="shared" si="1"/>
        <v>0</v>
      </c>
      <c r="L52" s="531">
        <f t="shared" si="5"/>
        <v>0</v>
      </c>
      <c r="M52" s="531">
        <f t="shared" si="6"/>
        <v>0</v>
      </c>
      <c r="N52" s="633">
        <v>547.4</v>
      </c>
      <c r="O52" s="531">
        <f t="shared" si="7"/>
        <v>0</v>
      </c>
      <c r="Q52" s="536">
        <f t="shared" si="2"/>
        <v>0.15402856450700542</v>
      </c>
      <c r="AB52" s="1164">
        <v>2054</v>
      </c>
      <c r="AC52" s="704">
        <v>857.17414241851213</v>
      </c>
      <c r="AD52" s="536">
        <f>AC52/'MSW Integration Calcs PDS1 '!C47</f>
        <v>0.24125983009184529</v>
      </c>
      <c r="AE52" s="536">
        <f>AC52/'MSW Integration Calcs PDS1 '!AB47</f>
        <v>0.86846591105775828</v>
      </c>
      <c r="AK52" s="531">
        <f t="shared" si="11"/>
        <v>664.7922930911418</v>
      </c>
      <c r="AL52" s="536">
        <f>AK52/'MSW Integration Calcs PDS1 '!C47</f>
        <v>0.18711212546029929</v>
      </c>
      <c r="AW52" s="550">
        <v>4</v>
      </c>
      <c r="AX52" s="551"/>
      <c r="AY52" s="580" t="s">
        <v>342</v>
      </c>
      <c r="AZ52" s="554"/>
      <c r="BA52" s="554"/>
      <c r="BB52" s="554"/>
      <c r="BC52" s="553" t="s">
        <v>228</v>
      </c>
      <c r="BD52" s="554">
        <v>2019</v>
      </c>
      <c r="BE52" s="563"/>
      <c r="BF52" s="564">
        <v>0.16400000000000001</v>
      </c>
      <c r="BG52" s="564"/>
      <c r="BH52" s="557"/>
      <c r="BI52" s="556" t="s">
        <v>329</v>
      </c>
      <c r="BK52" s="558"/>
      <c r="BL52" s="558"/>
      <c r="BM52" s="559"/>
      <c r="BN52" s="560">
        <f t="shared" si="14"/>
        <v>0.16400000000000001</v>
      </c>
      <c r="BO52" s="561" t="str">
        <f t="shared" si="13"/>
        <v>%</v>
      </c>
    </row>
    <row r="53" spans="1:67" ht="15" customHeight="1" x14ac:dyDescent="0.6">
      <c r="A53">
        <v>2057</v>
      </c>
      <c r="B53" s="696">
        <v>139.38605712068966</v>
      </c>
      <c r="C53" s="697">
        <v>243.9</v>
      </c>
      <c r="D53" s="531">
        <f t="shared" si="3"/>
        <v>0</v>
      </c>
      <c r="E53" s="701">
        <v>1981.9</v>
      </c>
      <c r="F53" s="1203">
        <v>64.7</v>
      </c>
      <c r="G53" s="607">
        <f t="shared" si="9"/>
        <v>0</v>
      </c>
      <c r="H53" s="608">
        <f t="shared" si="4"/>
        <v>0</v>
      </c>
      <c r="I53" s="531">
        <f t="shared" si="0"/>
        <v>0</v>
      </c>
      <c r="J53" s="633">
        <v>0</v>
      </c>
      <c r="K53" s="531">
        <f t="shared" si="1"/>
        <v>0</v>
      </c>
      <c r="L53" s="531">
        <f t="shared" si="5"/>
        <v>0</v>
      </c>
      <c r="M53" s="531">
        <f t="shared" si="6"/>
        <v>0</v>
      </c>
      <c r="N53" s="633">
        <v>552.6</v>
      </c>
      <c r="O53" s="531">
        <f t="shared" si="7"/>
        <v>0</v>
      </c>
      <c r="Q53" s="536">
        <f t="shared" si="2"/>
        <v>0.159110566994979</v>
      </c>
      <c r="AB53" s="1164">
        <v>2055</v>
      </c>
      <c r="AC53" s="704">
        <v>876.03268439793965</v>
      </c>
      <c r="AD53" s="536">
        <f>AC53/'MSW Integration Calcs PDS1 '!C48</f>
        <v>0.24420067288576114</v>
      </c>
      <c r="AE53" s="536">
        <f>AC53/'MSW Integration Calcs PDS1 '!AB48</f>
        <v>0.88510573717202279</v>
      </c>
      <c r="AK53" s="531">
        <f t="shared" si="11"/>
        <v>679.41827484496139</v>
      </c>
      <c r="AL53" s="536">
        <f>AK53/'MSW Integration Calcs PDS1 '!C48</f>
        <v>0.18939293344066099</v>
      </c>
      <c r="AW53" s="550">
        <v>5</v>
      </c>
      <c r="AX53" s="551"/>
      <c r="AY53" s="580" t="s">
        <v>342</v>
      </c>
      <c r="AZ53" s="582"/>
      <c r="BA53" s="554"/>
      <c r="BB53" s="554"/>
      <c r="BC53" s="553" t="s">
        <v>228</v>
      </c>
      <c r="BD53" s="554">
        <v>2019</v>
      </c>
      <c r="BE53" s="563"/>
      <c r="BF53" s="564">
        <v>0.11</v>
      </c>
      <c r="BG53" s="564"/>
      <c r="BH53" s="557"/>
      <c r="BI53" s="556" t="s">
        <v>329</v>
      </c>
      <c r="BK53" s="558"/>
      <c r="BL53" s="558"/>
      <c r="BM53" s="559"/>
      <c r="BN53" s="560">
        <f t="shared" si="14"/>
        <v>0.11</v>
      </c>
      <c r="BO53" s="561" t="str">
        <f t="shared" si="13"/>
        <v>%</v>
      </c>
    </row>
    <row r="54" spans="1:67" ht="15" customHeight="1" x14ac:dyDescent="0.6">
      <c r="A54">
        <v>2058</v>
      </c>
      <c r="B54" s="696">
        <v>146.94778332277201</v>
      </c>
      <c r="C54" s="697">
        <v>241.7</v>
      </c>
      <c r="D54" s="531">
        <f t="shared" si="3"/>
        <v>0</v>
      </c>
      <c r="E54" s="701">
        <v>2005.4</v>
      </c>
      <c r="F54" s="1203">
        <v>65.3</v>
      </c>
      <c r="G54" s="607">
        <f t="shared" si="9"/>
        <v>0</v>
      </c>
      <c r="H54" s="608">
        <f t="shared" si="4"/>
        <v>0</v>
      </c>
      <c r="I54" s="531">
        <f t="shared" si="0"/>
        <v>0</v>
      </c>
      <c r="J54" s="633">
        <v>0</v>
      </c>
      <c r="K54" s="531">
        <f t="shared" si="1"/>
        <v>0</v>
      </c>
      <c r="L54" s="531">
        <f t="shared" si="5"/>
        <v>0</v>
      </c>
      <c r="M54" s="531">
        <f t="shared" si="6"/>
        <v>0</v>
      </c>
      <c r="N54" s="633">
        <v>556.70000000000005</v>
      </c>
      <c r="O54" s="531">
        <f t="shared" si="7"/>
        <v>0</v>
      </c>
      <c r="Q54" s="536">
        <f t="shared" si="2"/>
        <v>0.1641754464421446</v>
      </c>
      <c r="AB54" s="1164">
        <v>2056</v>
      </c>
      <c r="AC54" s="704">
        <v>895.06553207124296</v>
      </c>
      <c r="AD54" s="536">
        <f>AC54/'MSW Integration Calcs PDS1 '!C49</f>
        <v>0.24715438603150447</v>
      </c>
      <c r="AE54" s="536">
        <f>AC54/'MSW Integration Calcs PDS1 '!AB49</f>
        <v>0.90202330668432285</v>
      </c>
      <c r="AK54" s="531">
        <f t="shared" si="11"/>
        <v>694.17944159351691</v>
      </c>
      <c r="AL54" s="536">
        <f>AK54/'MSW Integration Calcs PDS1 '!C49</f>
        <v>0.19168372318584845</v>
      </c>
      <c r="AW54" s="550">
        <v>6</v>
      </c>
      <c r="AX54" s="551"/>
      <c r="AY54" s="580" t="s">
        <v>342</v>
      </c>
      <c r="AZ54" s="582"/>
      <c r="BA54" s="554"/>
      <c r="BB54" s="554"/>
      <c r="BC54" s="553" t="s">
        <v>228</v>
      </c>
      <c r="BD54" s="554">
        <v>2019</v>
      </c>
      <c r="BE54" s="563"/>
      <c r="BF54" s="564">
        <v>0.17150000000000001</v>
      </c>
      <c r="BG54" s="564"/>
      <c r="BH54" s="557"/>
      <c r="BI54" s="556" t="s">
        <v>329</v>
      </c>
      <c r="BK54" s="558"/>
      <c r="BL54" s="558"/>
      <c r="BM54" s="559"/>
      <c r="BN54" s="560">
        <f t="shared" si="14"/>
        <v>0.17150000000000001</v>
      </c>
      <c r="BO54" s="561" t="str">
        <f t="shared" si="13"/>
        <v>%</v>
      </c>
    </row>
    <row r="55" spans="1:67" ht="15" customHeight="1" x14ac:dyDescent="0.6">
      <c r="A55">
        <v>2059</v>
      </c>
      <c r="B55" s="696">
        <v>154.71467706159456</v>
      </c>
      <c r="C55" s="697">
        <v>239.7</v>
      </c>
      <c r="D55" s="531">
        <f t="shared" si="3"/>
        <v>0</v>
      </c>
      <c r="E55" s="701">
        <v>2030.4</v>
      </c>
      <c r="F55" s="1203">
        <v>66</v>
      </c>
      <c r="G55" s="607">
        <f t="shared" si="9"/>
        <v>0</v>
      </c>
      <c r="H55" s="608">
        <f t="shared" si="4"/>
        <v>0</v>
      </c>
      <c r="I55" s="531">
        <f t="shared" si="0"/>
        <v>0</v>
      </c>
      <c r="J55" s="633">
        <v>0</v>
      </c>
      <c r="K55" s="531">
        <f t="shared" si="1"/>
        <v>0</v>
      </c>
      <c r="L55" s="531">
        <f t="shared" si="5"/>
        <v>0</v>
      </c>
      <c r="M55" s="531">
        <f t="shared" si="6"/>
        <v>0</v>
      </c>
      <c r="N55" s="633">
        <v>561</v>
      </c>
      <c r="O55" s="531">
        <f t="shared" si="7"/>
        <v>0</v>
      </c>
      <c r="Q55" s="536">
        <f t="shared" si="2"/>
        <v>0.1692226603204241</v>
      </c>
      <c r="AB55" s="1164">
        <v>2057</v>
      </c>
      <c r="AC55" s="704">
        <v>914.26690000406222</v>
      </c>
      <c r="AD55" s="536">
        <f>AC55/'MSW Integration Calcs PDS1 '!C50</f>
        <v>0.25011944643218631</v>
      </c>
      <c r="AE55" s="536">
        <f>AC55/'MSW Integration Calcs PDS1 '!AB50</f>
        <v>0.91921884025059286</v>
      </c>
      <c r="AK55" s="531">
        <f t="shared" si="11"/>
        <v>709.07130636970987</v>
      </c>
      <c r="AL55" s="536">
        <f>AK55/'MSW Integration Calcs PDS1 '!C50</f>
        <v>0.19398331343872452</v>
      </c>
      <c r="AW55" s="550">
        <v>7</v>
      </c>
      <c r="AX55" s="551"/>
      <c r="AY55" s="580" t="s">
        <v>342</v>
      </c>
      <c r="AZ55" s="554"/>
      <c r="BA55" s="554"/>
      <c r="BB55" s="554"/>
      <c r="BC55" s="553" t="s">
        <v>228</v>
      </c>
      <c r="BD55" s="554">
        <v>2019</v>
      </c>
      <c r="BE55" s="563"/>
      <c r="BF55" s="564">
        <v>0.70199999999999996</v>
      </c>
      <c r="BG55" s="564"/>
      <c r="BH55" s="557"/>
      <c r="BI55" s="556" t="s">
        <v>329</v>
      </c>
      <c r="BK55" s="558"/>
      <c r="BL55" s="558"/>
      <c r="BM55" s="559"/>
      <c r="BN55" s="560">
        <f t="shared" si="14"/>
        <v>0.70199999999999996</v>
      </c>
      <c r="BO55" s="561" t="str">
        <f t="shared" si="13"/>
        <v>%</v>
      </c>
    </row>
    <row r="56" spans="1:67" ht="15" customHeight="1" x14ac:dyDescent="0.6">
      <c r="A56">
        <v>2060</v>
      </c>
      <c r="B56" s="696">
        <v>162.68693410337437</v>
      </c>
      <c r="C56" s="697">
        <v>237.6</v>
      </c>
      <c r="D56" s="531">
        <f t="shared" si="3"/>
        <v>0</v>
      </c>
      <c r="E56" s="701">
        <v>2053.9</v>
      </c>
      <c r="F56" s="1203">
        <v>66.7</v>
      </c>
      <c r="G56" s="607">
        <f t="shared" si="9"/>
        <v>0</v>
      </c>
      <c r="H56" s="608">
        <f t="shared" si="4"/>
        <v>0</v>
      </c>
      <c r="I56" s="531">
        <f t="shared" si="0"/>
        <v>0</v>
      </c>
      <c r="J56" s="633">
        <v>0</v>
      </c>
      <c r="K56" s="531">
        <f t="shared" si="1"/>
        <v>0</v>
      </c>
      <c r="L56" s="531">
        <f t="shared" si="5"/>
        <v>0</v>
      </c>
      <c r="M56" s="531">
        <f t="shared" si="6"/>
        <v>0</v>
      </c>
      <c r="N56" s="633">
        <v>565.29999999999995</v>
      </c>
      <c r="O56" s="531">
        <f t="shared" si="7"/>
        <v>0</v>
      </c>
      <c r="Q56" s="536">
        <f t="shared" si="2"/>
        <v>0.17425185345123387</v>
      </c>
      <c r="AB56" s="1164">
        <v>2058</v>
      </c>
      <c r="AC56" s="704">
        <v>933.6310109832142</v>
      </c>
      <c r="AD56" s="536">
        <f>AC56/'MSW Integration Calcs PDS1 '!C51</f>
        <v>0.25309422805586873</v>
      </c>
      <c r="AE56" s="536">
        <f>AC56/'MSW Integration Calcs PDS1 '!AB51</f>
        <v>0.93669218377449581</v>
      </c>
      <c r="AK56" s="531">
        <f t="shared" si="11"/>
        <v>724.08938858247984</v>
      </c>
      <c r="AL56" s="536">
        <f>AK56/'MSW Integration Calcs PDS1 '!C51</f>
        <v>0.19629044310956764</v>
      </c>
      <c r="AW56" s="550">
        <v>8</v>
      </c>
      <c r="AX56" s="551"/>
      <c r="AY56" s="580" t="s">
        <v>342</v>
      </c>
      <c r="AZ56" s="554"/>
      <c r="BA56" s="554"/>
      <c r="BB56" s="554"/>
      <c r="BC56" s="553" t="s">
        <v>228</v>
      </c>
      <c r="BD56" s="554">
        <v>2019</v>
      </c>
      <c r="BE56" s="563"/>
      <c r="BF56" s="564">
        <v>5.5E-2</v>
      </c>
      <c r="BG56" s="564"/>
      <c r="BH56" s="557"/>
      <c r="BI56" s="556" t="s">
        <v>329</v>
      </c>
      <c r="BK56" s="558"/>
      <c r="BL56" s="558"/>
      <c r="BM56" s="559"/>
      <c r="BN56" s="560">
        <f t="shared" si="14"/>
        <v>5.5E-2</v>
      </c>
      <c r="BO56" s="561" t="str">
        <f t="shared" si="13"/>
        <v>%</v>
      </c>
    </row>
    <row r="57" spans="1:67" ht="15" customHeight="1" x14ac:dyDescent="0.45">
      <c r="AB57" s="1164">
        <v>2059</v>
      </c>
      <c r="AC57" s="704">
        <v>953.15222357862706</v>
      </c>
      <c r="AD57" s="536">
        <f>AC57/'MSW Integration Calcs PDS1 '!C52</f>
        <v>0.25607707598562712</v>
      </c>
      <c r="AE57" s="536">
        <f>AC57/'MSW Integration Calcs PDS1 '!AB52</f>
        <v>0.9544430711353975</v>
      </c>
      <c r="AK57" s="531">
        <f t="shared" ref="AK57:AK58" si="15">$AI$12*AC57</f>
        <v>739.22931294908301</v>
      </c>
      <c r="AL57" s="536">
        <f>AK57/'MSW Integration Calcs PDS1 '!C52</f>
        <v>0.19860382870653781</v>
      </c>
      <c r="AW57" s="550">
        <v>9</v>
      </c>
      <c r="AX57" s="551" t="str">
        <f t="shared" ref="AX57:AX68" si="16">CONCATENATE(BA57,": ",AY57)</f>
        <v>: S.S. Costa, A.L. Miranda, M.G. de Morais, et al., Microalgae as source of polyhydroxyalkanoates (PHAs) — A review, International Journal of Biological Macromolecules</v>
      </c>
      <c r="AY57" s="580" t="s">
        <v>342</v>
      </c>
      <c r="AZ57" s="554"/>
      <c r="BA57" s="554"/>
      <c r="BB57" s="554"/>
      <c r="BC57" s="553" t="s">
        <v>228</v>
      </c>
      <c r="BD57" s="554">
        <v>2019</v>
      </c>
      <c r="BE57" s="563"/>
      <c r="BF57" s="564">
        <v>0.31</v>
      </c>
      <c r="BG57" s="564"/>
      <c r="BH57" s="557"/>
      <c r="BI57" s="556" t="s">
        <v>329</v>
      </c>
      <c r="BK57" s="558"/>
      <c r="BL57" s="558"/>
      <c r="BM57" s="559"/>
      <c r="BN57" s="560">
        <f t="shared" si="14"/>
        <v>0.31</v>
      </c>
      <c r="BO57" s="561" t="str">
        <f t="shared" si="13"/>
        <v>%</v>
      </c>
    </row>
    <row r="58" spans="1:67" ht="15" customHeight="1" x14ac:dyDescent="0.45">
      <c r="A58" s="1" t="s">
        <v>347</v>
      </c>
      <c r="AB58" s="1164">
        <v>2060</v>
      </c>
      <c r="AC58" s="704">
        <v>972.82486549819862</v>
      </c>
      <c r="AD58" s="536">
        <f>AC58/'MSW Integration Calcs PDS1 '!C53</f>
        <v>0.25906638835164814</v>
      </c>
      <c r="AE58" s="536">
        <f>AC58/'MSW Integration Calcs PDS1 '!AB53</f>
        <v>0.97247142774642703</v>
      </c>
      <c r="AK58" s="531">
        <f t="shared" si="15"/>
        <v>754.48668025133588</v>
      </c>
      <c r="AL58" s="536">
        <f>AK58/'MSW Integration Calcs PDS1 '!C53</f>
        <v>0.20092222787915598</v>
      </c>
      <c r="AW58" s="550">
        <v>10</v>
      </c>
      <c r="AX58" s="551" t="str">
        <f t="shared" si="16"/>
        <v>: S.S. Costa, A.L. Miranda, M.G. de Morais, et al., Microalgae as source of polyhydroxyalkanoates (PHAs) — A review, International Journal of Biological Macromolecules</v>
      </c>
      <c r="AY58" s="580" t="s">
        <v>342</v>
      </c>
      <c r="AZ58" s="554"/>
      <c r="BA58" s="554"/>
      <c r="BB58" s="554"/>
      <c r="BC58" s="553" t="s">
        <v>228</v>
      </c>
      <c r="BD58" s="554">
        <v>2019</v>
      </c>
      <c r="BE58" s="563"/>
      <c r="BF58" s="564">
        <v>7.4499999999999997E-2</v>
      </c>
      <c r="BG58" s="564"/>
      <c r="BH58" s="557"/>
      <c r="BI58" s="556" t="s">
        <v>329</v>
      </c>
      <c r="BK58" s="558"/>
      <c r="BL58" s="558"/>
      <c r="BM58" s="559"/>
      <c r="BN58" s="560">
        <f t="shared" si="14"/>
        <v>7.4499999999999997E-2</v>
      </c>
      <c r="BO58" s="561" t="str">
        <f t="shared" si="13"/>
        <v>%</v>
      </c>
    </row>
    <row r="59" spans="1:67" ht="100" customHeight="1" x14ac:dyDescent="0.45">
      <c r="B59" s="899" t="s">
        <v>1076</v>
      </c>
      <c r="C59" s="735" t="s">
        <v>384</v>
      </c>
      <c r="D59" s="735" t="s">
        <v>386</v>
      </c>
      <c r="E59" s="735" t="s">
        <v>1080</v>
      </c>
      <c r="F59" s="1204" t="s">
        <v>1116</v>
      </c>
      <c r="G59" s="735" t="s">
        <v>385</v>
      </c>
      <c r="H59" s="1204" t="s">
        <v>1081</v>
      </c>
      <c r="I59" s="735" t="s">
        <v>350</v>
      </c>
      <c r="J59" s="1210" t="s">
        <v>1118</v>
      </c>
      <c r="K59" s="735" t="s">
        <v>343</v>
      </c>
      <c r="L59" s="735" t="s">
        <v>344</v>
      </c>
      <c r="M59" s="735" t="s">
        <v>345</v>
      </c>
      <c r="N59" s="1204" t="s">
        <v>1117</v>
      </c>
      <c r="O59" s="735" t="s">
        <v>346</v>
      </c>
      <c r="Q59" s="735" t="s">
        <v>352</v>
      </c>
      <c r="AW59" s="550">
        <v>11</v>
      </c>
      <c r="AX59" s="551" t="str">
        <f t="shared" si="16"/>
        <v>: S.S. Costa, A.L. Miranda, M.G. de Morais, et al., Microalgae as source of polyhydroxyalkanoates (PHAs) — A review, International Journal of Biological Macromolecules</v>
      </c>
      <c r="AY59" s="580" t="s">
        <v>342</v>
      </c>
      <c r="AZ59" s="554"/>
      <c r="BA59" s="554"/>
      <c r="BB59" s="554"/>
      <c r="BC59" s="553" t="s">
        <v>228</v>
      </c>
      <c r="BD59" s="554">
        <v>2019</v>
      </c>
      <c r="BE59" s="563"/>
      <c r="BF59" s="564">
        <v>0.307</v>
      </c>
      <c r="BG59" s="564"/>
      <c r="BH59" s="557"/>
      <c r="BI59" s="556" t="s">
        <v>329</v>
      </c>
      <c r="BK59" s="558"/>
      <c r="BL59" s="558"/>
      <c r="BM59" s="559"/>
      <c r="BN59" s="560">
        <f t="shared" si="14"/>
        <v>0.307</v>
      </c>
      <c r="BO59" s="561" t="str">
        <f t="shared" si="13"/>
        <v>%</v>
      </c>
    </row>
    <row r="60" spans="1:67" ht="15" customHeight="1" x14ac:dyDescent="0.6">
      <c r="A60">
        <v>2014</v>
      </c>
      <c r="B60" s="696">
        <v>1.67</v>
      </c>
      <c r="C60" s="697">
        <v>117.2</v>
      </c>
      <c r="D60" s="531">
        <f>IF((B60-C60)&lt;0,0,(B60-C60))</f>
        <v>0</v>
      </c>
      <c r="E60" s="699">
        <v>903.9</v>
      </c>
      <c r="F60" s="1211">
        <v>32.5</v>
      </c>
      <c r="G60" s="606">
        <f>D60/E60</f>
        <v>0</v>
      </c>
      <c r="H60" s="608">
        <f>G60*E60</f>
        <v>0</v>
      </c>
      <c r="I60" s="531">
        <f t="shared" ref="I60:I106" si="17">IF(H60&gt;D60,0,D60-H60)</f>
        <v>0</v>
      </c>
      <c r="J60" s="633">
        <v>0</v>
      </c>
      <c r="K60" s="531">
        <f>J60*$BN$69</f>
        <v>0</v>
      </c>
      <c r="L60" s="531">
        <f>MIN(I60,K60)</f>
        <v>0</v>
      </c>
      <c r="M60" s="531">
        <f t="shared" ref="M60:M106" si="18">I60-L60</f>
        <v>0</v>
      </c>
      <c r="N60" s="633">
        <v>89.5</v>
      </c>
      <c r="O60" s="531">
        <f>M60/$BN$31</f>
        <v>0</v>
      </c>
      <c r="Q60" s="536">
        <f t="shared" ref="Q60:Q106" si="19">B60/AC10</f>
        <v>5.7986111111111112E-3</v>
      </c>
      <c r="AW60" s="550">
        <v>12</v>
      </c>
      <c r="AX60" s="551" t="str">
        <f t="shared" si="16"/>
        <v>: S.S. Costa, A.L. Miranda, M.G. de Morais, et al., Microalgae as source of polyhydroxyalkanoates (PHAs) — A review, International Journal of Biological Macromolecules</v>
      </c>
      <c r="AY60" s="580" t="s">
        <v>342</v>
      </c>
      <c r="AZ60" s="554"/>
      <c r="BA60" s="554"/>
      <c r="BB60" s="554"/>
      <c r="BC60" s="553" t="s">
        <v>228</v>
      </c>
      <c r="BD60" s="554">
        <v>2019</v>
      </c>
      <c r="BE60" s="563"/>
      <c r="BF60" s="564">
        <v>0.69</v>
      </c>
      <c r="BG60" s="564"/>
      <c r="BH60" s="557"/>
      <c r="BI60" s="556" t="s">
        <v>329</v>
      </c>
      <c r="BK60" s="558"/>
      <c r="BL60" s="558"/>
      <c r="BM60" s="559"/>
      <c r="BN60" s="560">
        <f t="shared" si="14"/>
        <v>0.69</v>
      </c>
      <c r="BO60" s="561" t="str">
        <f t="shared" si="13"/>
        <v>%</v>
      </c>
    </row>
    <row r="61" spans="1:67" ht="15" customHeight="1" x14ac:dyDescent="0.6">
      <c r="A61">
        <v>2015</v>
      </c>
      <c r="B61" s="696">
        <v>2.0299999999999998</v>
      </c>
      <c r="C61" s="697">
        <v>114.7</v>
      </c>
      <c r="D61" s="531">
        <f t="shared" ref="D61:D106" si="20">IF((B61-C61)&lt;0,0,(B61-C61))</f>
        <v>0</v>
      </c>
      <c r="E61" s="699">
        <v>903.9</v>
      </c>
      <c r="F61" s="1211">
        <v>32.5</v>
      </c>
      <c r="G61" s="606">
        <f t="shared" ref="G61:G106" si="21">D61/E61</f>
        <v>0</v>
      </c>
      <c r="H61" s="608">
        <f t="shared" ref="H61:H106" si="22">G61*E61</f>
        <v>0</v>
      </c>
      <c r="I61" s="531">
        <f t="shared" si="17"/>
        <v>0</v>
      </c>
      <c r="J61" s="633">
        <v>0</v>
      </c>
      <c r="K61" s="531">
        <f t="shared" ref="K61:K106" si="23">J61*$BN$69</f>
        <v>0</v>
      </c>
      <c r="L61" s="531">
        <f t="shared" ref="L61:L106" si="24">MIN(I61,K61)</f>
        <v>0</v>
      </c>
      <c r="M61" s="531">
        <f t="shared" si="18"/>
        <v>0</v>
      </c>
      <c r="N61" s="633">
        <v>90.3</v>
      </c>
      <c r="O61" s="531">
        <f t="shared" ref="O61:O106" si="25">M61/$BN$31</f>
        <v>0</v>
      </c>
      <c r="Q61" s="536">
        <f t="shared" si="19"/>
        <v>6.7892976588628754E-3</v>
      </c>
      <c r="AW61" s="550">
        <v>13</v>
      </c>
      <c r="AX61" s="551" t="str">
        <f t="shared" si="16"/>
        <v>: S.S. Costa, A.L. Miranda, M.G. de Morais, et al., Microalgae as source of polyhydroxyalkanoates (PHAs) — A review, International Journal of Biological Macromolecules</v>
      </c>
      <c r="AY61" s="580" t="s">
        <v>342</v>
      </c>
      <c r="AZ61" s="554"/>
      <c r="BA61" s="554"/>
      <c r="BB61" s="554"/>
      <c r="BC61" s="553" t="s">
        <v>228</v>
      </c>
      <c r="BD61" s="554">
        <v>2019</v>
      </c>
      <c r="BE61" s="563"/>
      <c r="BF61" s="564">
        <v>0.05</v>
      </c>
      <c r="BG61" s="564"/>
      <c r="BH61" s="565"/>
      <c r="BI61" s="556" t="s">
        <v>329</v>
      </c>
      <c r="BK61" s="558"/>
      <c r="BL61" s="558"/>
      <c r="BM61" s="559"/>
      <c r="BN61" s="560">
        <f t="shared" si="14"/>
        <v>0.05</v>
      </c>
      <c r="BO61" s="561" t="str">
        <f t="shared" si="13"/>
        <v>%</v>
      </c>
    </row>
    <row r="62" spans="1:67" ht="15" customHeight="1" x14ac:dyDescent="0.6">
      <c r="A62">
        <v>2016</v>
      </c>
      <c r="B62" s="696">
        <v>2.0499999999999998</v>
      </c>
      <c r="C62" s="697">
        <v>110.4</v>
      </c>
      <c r="D62" s="531">
        <f t="shared" si="20"/>
        <v>0</v>
      </c>
      <c r="E62" s="699">
        <v>903.9</v>
      </c>
      <c r="F62" s="1211">
        <v>32.5</v>
      </c>
      <c r="G62" s="606">
        <f t="shared" si="21"/>
        <v>0</v>
      </c>
      <c r="H62" s="608">
        <f t="shared" si="22"/>
        <v>0</v>
      </c>
      <c r="I62" s="531">
        <f t="shared" si="17"/>
        <v>0</v>
      </c>
      <c r="J62" s="633">
        <v>0</v>
      </c>
      <c r="K62" s="531">
        <f t="shared" si="23"/>
        <v>0</v>
      </c>
      <c r="L62" s="531">
        <f t="shared" si="24"/>
        <v>0</v>
      </c>
      <c r="M62" s="531">
        <f t="shared" si="18"/>
        <v>0</v>
      </c>
      <c r="N62" s="633">
        <v>91.7</v>
      </c>
      <c r="O62" s="531">
        <f t="shared" si="25"/>
        <v>0</v>
      </c>
      <c r="Q62" s="536">
        <f t="shared" si="19"/>
        <v>6.591639871382636E-3</v>
      </c>
      <c r="AW62" s="550">
        <v>14</v>
      </c>
      <c r="AX62" s="551" t="str">
        <f t="shared" si="16"/>
        <v>: S.S. Costa, A.L. Miranda, M.G. de Morais, et al., Microalgae as source of polyhydroxyalkanoates (PHAs) — A review, International Journal of Biological Macromolecules</v>
      </c>
      <c r="AY62" s="580" t="s">
        <v>342</v>
      </c>
      <c r="AZ62" s="554"/>
      <c r="BA62" s="554"/>
      <c r="BB62" s="554"/>
      <c r="BC62" s="553" t="s">
        <v>228</v>
      </c>
      <c r="BD62" s="554">
        <v>2019</v>
      </c>
      <c r="BE62" s="563"/>
      <c r="BF62" s="564">
        <v>0.43</v>
      </c>
      <c r="BG62" s="564"/>
      <c r="BH62" s="565"/>
      <c r="BI62" s="556" t="s">
        <v>329</v>
      </c>
      <c r="BK62" s="558"/>
      <c r="BL62" s="558"/>
      <c r="BM62" s="559"/>
      <c r="BN62" s="560">
        <f t="shared" si="14"/>
        <v>0.43</v>
      </c>
      <c r="BO62" s="561" t="str">
        <f t="shared" si="13"/>
        <v>%</v>
      </c>
    </row>
    <row r="63" spans="1:67" ht="15" customHeight="1" x14ac:dyDescent="0.6">
      <c r="A63">
        <v>2017</v>
      </c>
      <c r="B63" s="696">
        <v>2.27</v>
      </c>
      <c r="C63" s="697">
        <v>106.4</v>
      </c>
      <c r="D63" s="531">
        <f t="shared" si="20"/>
        <v>0</v>
      </c>
      <c r="E63" s="699">
        <v>903.9</v>
      </c>
      <c r="F63" s="1211">
        <v>32.5</v>
      </c>
      <c r="G63" s="606">
        <f t="shared" si="21"/>
        <v>0</v>
      </c>
      <c r="H63" s="608">
        <f t="shared" si="22"/>
        <v>0</v>
      </c>
      <c r="I63" s="531">
        <f t="shared" si="17"/>
        <v>0</v>
      </c>
      <c r="J63" s="633">
        <v>0</v>
      </c>
      <c r="K63" s="531">
        <f t="shared" si="23"/>
        <v>0</v>
      </c>
      <c r="L63" s="531">
        <f t="shared" si="24"/>
        <v>0</v>
      </c>
      <c r="M63" s="531">
        <f t="shared" si="18"/>
        <v>0</v>
      </c>
      <c r="N63" s="633">
        <v>92.3</v>
      </c>
      <c r="O63" s="531">
        <f t="shared" si="25"/>
        <v>0</v>
      </c>
      <c r="Q63" s="536">
        <f t="shared" si="19"/>
        <v>7.0496894409937888E-3</v>
      </c>
      <c r="AW63" s="550">
        <v>15</v>
      </c>
      <c r="AX63" s="551" t="str">
        <f t="shared" si="16"/>
        <v>: S.S. Costa, A.L. Miranda, M.G. de Morais, et al., Microalgae as source of polyhydroxyalkanoates (PHAs) — A review, International Journal of Biological Macromolecules</v>
      </c>
      <c r="AY63" s="580" t="s">
        <v>342</v>
      </c>
      <c r="AZ63" s="554"/>
      <c r="BA63" s="554"/>
      <c r="BB63" s="554"/>
      <c r="BC63" s="553" t="s">
        <v>228</v>
      </c>
      <c r="BD63" s="554">
        <v>2019</v>
      </c>
      <c r="BE63" s="563"/>
      <c r="BF63" s="564">
        <v>0.12</v>
      </c>
      <c r="BG63" s="564"/>
      <c r="BH63" s="565"/>
      <c r="BI63" s="556" t="s">
        <v>329</v>
      </c>
      <c r="BK63" s="558"/>
      <c r="BL63" s="558"/>
      <c r="BM63" s="559"/>
      <c r="BN63" s="560">
        <f t="shared" si="14"/>
        <v>0.12</v>
      </c>
      <c r="BO63" s="561" t="str">
        <f t="shared" si="13"/>
        <v>%</v>
      </c>
    </row>
    <row r="64" spans="1:67" ht="15" customHeight="1" x14ac:dyDescent="0.6">
      <c r="A64">
        <v>2018</v>
      </c>
      <c r="B64" s="696">
        <v>2.1100000000000136</v>
      </c>
      <c r="C64" s="697">
        <v>102.8</v>
      </c>
      <c r="D64" s="531">
        <f t="shared" si="20"/>
        <v>0</v>
      </c>
      <c r="E64" s="699">
        <v>903.9</v>
      </c>
      <c r="F64" s="1211">
        <v>32.5</v>
      </c>
      <c r="G64" s="606">
        <f t="shared" si="21"/>
        <v>0</v>
      </c>
      <c r="H64" s="608">
        <f t="shared" si="22"/>
        <v>0</v>
      </c>
      <c r="I64" s="531">
        <f t="shared" si="17"/>
        <v>0</v>
      </c>
      <c r="J64" s="633">
        <v>0</v>
      </c>
      <c r="K64" s="531">
        <f t="shared" si="23"/>
        <v>0</v>
      </c>
      <c r="L64" s="531">
        <f t="shared" si="24"/>
        <v>0</v>
      </c>
      <c r="M64" s="531">
        <f t="shared" si="18"/>
        <v>0</v>
      </c>
      <c r="N64" s="633">
        <v>98</v>
      </c>
      <c r="O64" s="531">
        <f t="shared" si="25"/>
        <v>0</v>
      </c>
      <c r="Q64" s="536">
        <f t="shared" si="19"/>
        <v>6.2985074626866078E-3</v>
      </c>
      <c r="AW64" s="550">
        <v>16</v>
      </c>
      <c r="AX64" s="551" t="str">
        <f t="shared" si="16"/>
        <v>: S.S. Costa, A.L. Miranda, M.G. de Morais, et al., Microalgae as source of polyhydroxyalkanoates (PHAs) — A review, International Journal of Biological Macromolecules</v>
      </c>
      <c r="AY64" s="580" t="s">
        <v>342</v>
      </c>
      <c r="AZ64" s="554"/>
      <c r="BA64" s="554"/>
      <c r="BB64" s="554"/>
      <c r="BC64" s="553" t="s">
        <v>228</v>
      </c>
      <c r="BD64" s="554">
        <v>2019</v>
      </c>
      <c r="BE64" s="563"/>
      <c r="BF64" s="564">
        <v>0.16</v>
      </c>
      <c r="BG64" s="564"/>
      <c r="BH64" s="565"/>
      <c r="BI64" s="556" t="s">
        <v>329</v>
      </c>
      <c r="BK64" s="558"/>
      <c r="BL64" s="558"/>
      <c r="BM64" s="559"/>
      <c r="BN64" s="560">
        <f t="shared" si="14"/>
        <v>0.16</v>
      </c>
      <c r="BO64" s="561" t="str">
        <f t="shared" si="13"/>
        <v>%</v>
      </c>
    </row>
    <row r="65" spans="1:69" ht="15" customHeight="1" x14ac:dyDescent="0.6">
      <c r="A65">
        <v>2019</v>
      </c>
      <c r="B65" s="696">
        <v>2.2120000000000175</v>
      </c>
      <c r="C65" s="697">
        <v>114</v>
      </c>
      <c r="D65" s="531">
        <f t="shared" si="20"/>
        <v>0</v>
      </c>
      <c r="E65" s="699">
        <v>960.9</v>
      </c>
      <c r="F65" s="1211">
        <v>34.4</v>
      </c>
      <c r="G65" s="606">
        <f t="shared" si="21"/>
        <v>0</v>
      </c>
      <c r="H65" s="608">
        <f t="shared" si="22"/>
        <v>0</v>
      </c>
      <c r="I65" s="531">
        <f t="shared" si="17"/>
        <v>0</v>
      </c>
      <c r="J65" s="633">
        <v>0</v>
      </c>
      <c r="K65" s="531">
        <f t="shared" si="23"/>
        <v>0</v>
      </c>
      <c r="L65" s="531">
        <f t="shared" si="24"/>
        <v>0</v>
      </c>
      <c r="M65" s="531">
        <f t="shared" si="18"/>
        <v>0</v>
      </c>
      <c r="N65" s="633">
        <v>137.30000000000001</v>
      </c>
      <c r="O65" s="531">
        <f t="shared" si="25"/>
        <v>0</v>
      </c>
      <c r="Q65" s="536">
        <f t="shared" si="19"/>
        <v>6.3563218390805098E-3</v>
      </c>
      <c r="AW65" s="550">
        <v>17</v>
      </c>
      <c r="AX65" s="551" t="str">
        <f t="shared" si="16"/>
        <v>: S.S. Costa, A.L. Miranda, M.G. de Morais, et al., Microalgae as source of polyhydroxyalkanoates (PHAs) — A review, International Journal of Biological Macromolecules</v>
      </c>
      <c r="AY65" s="580" t="s">
        <v>342</v>
      </c>
      <c r="AZ65" s="554"/>
      <c r="BA65" s="554"/>
      <c r="BB65" s="554"/>
      <c r="BC65" s="553" t="s">
        <v>228</v>
      </c>
      <c r="BD65" s="554">
        <v>2019</v>
      </c>
      <c r="BE65" s="563"/>
      <c r="BF65" s="564">
        <v>0.49</v>
      </c>
      <c r="BG65" s="564"/>
      <c r="BH65" s="565"/>
      <c r="BI65" s="556" t="s">
        <v>329</v>
      </c>
      <c r="BK65" s="558"/>
      <c r="BL65" s="558"/>
      <c r="BM65" s="559"/>
      <c r="BN65" s="560">
        <f t="shared" si="14"/>
        <v>0.49</v>
      </c>
      <c r="BO65" s="561" t="str">
        <f t="shared" si="13"/>
        <v>%</v>
      </c>
    </row>
    <row r="66" spans="1:69" ht="15" customHeight="1" x14ac:dyDescent="0.6">
      <c r="A66">
        <v>2020</v>
      </c>
      <c r="B66" s="696">
        <v>2.3140000000000214</v>
      </c>
      <c r="C66" s="697">
        <v>128.9</v>
      </c>
      <c r="D66" s="531">
        <f t="shared" si="20"/>
        <v>0</v>
      </c>
      <c r="E66" s="702">
        <v>1010.1</v>
      </c>
      <c r="F66" s="1201">
        <v>35.9</v>
      </c>
      <c r="G66" s="606">
        <f t="shared" si="21"/>
        <v>0</v>
      </c>
      <c r="H66" s="608">
        <f t="shared" si="22"/>
        <v>0</v>
      </c>
      <c r="I66" s="531">
        <f t="shared" si="17"/>
        <v>0</v>
      </c>
      <c r="J66" s="633">
        <v>0</v>
      </c>
      <c r="K66" s="531">
        <f t="shared" si="23"/>
        <v>0</v>
      </c>
      <c r="L66" s="531">
        <f t="shared" si="24"/>
        <v>0</v>
      </c>
      <c r="M66" s="531">
        <f t="shared" si="18"/>
        <v>0</v>
      </c>
      <c r="N66" s="633">
        <v>162.4</v>
      </c>
      <c r="O66" s="531">
        <f t="shared" si="25"/>
        <v>0</v>
      </c>
      <c r="Q66" s="536">
        <f t="shared" si="19"/>
        <v>6.4456824512535418E-3</v>
      </c>
      <c r="AW66" s="550">
        <v>18</v>
      </c>
      <c r="AX66" s="551" t="str">
        <f t="shared" si="16"/>
        <v xml:space="preserve">: </v>
      </c>
      <c r="AY66" s="580"/>
      <c r="AZ66" s="554"/>
      <c r="BA66" s="554"/>
      <c r="BB66" s="554"/>
      <c r="BC66" s="553"/>
      <c r="BD66" s="554"/>
      <c r="BE66" s="563"/>
      <c r="BF66" s="564"/>
      <c r="BG66" s="564"/>
      <c r="BH66" s="565"/>
      <c r="BI66" s="555"/>
      <c r="BK66" s="558"/>
      <c r="BL66" s="558"/>
      <c r="BM66" s="559"/>
      <c r="BN66" s="560" t="str">
        <f t="shared" si="14"/>
        <v/>
      </c>
      <c r="BO66" s="561" t="str">
        <f t="shared" si="13"/>
        <v/>
      </c>
    </row>
    <row r="67" spans="1:69" ht="15" customHeight="1" x14ac:dyDescent="0.6">
      <c r="A67">
        <v>2021</v>
      </c>
      <c r="B67" s="696">
        <v>2.4160000000000252</v>
      </c>
      <c r="C67" s="697">
        <v>144.6</v>
      </c>
      <c r="D67" s="531">
        <f t="shared" si="20"/>
        <v>0</v>
      </c>
      <c r="E67" s="701">
        <v>1067.2</v>
      </c>
      <c r="F67" s="1201">
        <v>37.700000000000003</v>
      </c>
      <c r="G67" s="606">
        <f t="shared" si="21"/>
        <v>0</v>
      </c>
      <c r="H67" s="608">
        <f t="shared" si="22"/>
        <v>0</v>
      </c>
      <c r="I67" s="531">
        <f t="shared" si="17"/>
        <v>0</v>
      </c>
      <c r="J67" s="633">
        <v>0</v>
      </c>
      <c r="K67" s="531">
        <f t="shared" si="23"/>
        <v>0</v>
      </c>
      <c r="L67" s="531">
        <f t="shared" si="24"/>
        <v>0</v>
      </c>
      <c r="M67" s="531">
        <f t="shared" si="18"/>
        <v>0</v>
      </c>
      <c r="N67" s="633">
        <v>188.6</v>
      </c>
      <c r="O67" s="531">
        <f t="shared" si="25"/>
        <v>0</v>
      </c>
      <c r="Q67" s="536">
        <f t="shared" si="19"/>
        <v>7.0293271255729983E-3</v>
      </c>
      <c r="AW67" s="550">
        <v>19</v>
      </c>
      <c r="AX67" s="551" t="str">
        <f t="shared" si="16"/>
        <v xml:space="preserve">: </v>
      </c>
      <c r="AY67" s="580"/>
      <c r="AZ67" s="554"/>
      <c r="BA67" s="554"/>
      <c r="BB67" s="554"/>
      <c r="BC67" s="553"/>
      <c r="BD67" s="554"/>
      <c r="BE67" s="563"/>
      <c r="BF67" s="564"/>
      <c r="BG67" s="564"/>
      <c r="BH67" s="565"/>
      <c r="BI67" s="555"/>
      <c r="BK67" s="558"/>
      <c r="BL67" s="558"/>
      <c r="BM67" s="559"/>
      <c r="BN67" s="560" t="str">
        <f t="shared" si="14"/>
        <v/>
      </c>
      <c r="BO67" s="561" t="str">
        <f t="shared" si="13"/>
        <v/>
      </c>
    </row>
    <row r="68" spans="1:69" ht="15" customHeight="1" x14ac:dyDescent="0.6">
      <c r="A68">
        <v>2022</v>
      </c>
      <c r="B68" s="696">
        <v>2.5180000000000291</v>
      </c>
      <c r="C68" s="697">
        <v>160.69999999999999</v>
      </c>
      <c r="D68" s="531">
        <f t="shared" si="20"/>
        <v>0</v>
      </c>
      <c r="E68" s="701">
        <v>1124.2</v>
      </c>
      <c r="F68" s="1201">
        <v>39.4</v>
      </c>
      <c r="G68" s="606">
        <f t="shared" si="21"/>
        <v>0</v>
      </c>
      <c r="H68" s="608">
        <f t="shared" si="22"/>
        <v>0</v>
      </c>
      <c r="I68" s="531">
        <f t="shared" si="17"/>
        <v>0</v>
      </c>
      <c r="J68" s="633">
        <v>0</v>
      </c>
      <c r="K68" s="531">
        <f t="shared" si="23"/>
        <v>0</v>
      </c>
      <c r="L68" s="531">
        <f t="shared" si="24"/>
        <v>0</v>
      </c>
      <c r="M68" s="531">
        <f t="shared" si="18"/>
        <v>0</v>
      </c>
      <c r="N68" s="633">
        <v>215.5</v>
      </c>
      <c r="O68" s="531">
        <f t="shared" si="25"/>
        <v>0</v>
      </c>
      <c r="Q68" s="536">
        <f t="shared" si="19"/>
        <v>7.0631442703573914E-3</v>
      </c>
      <c r="AW68" s="550">
        <v>20</v>
      </c>
      <c r="AX68" s="551" t="str">
        <f t="shared" si="16"/>
        <v xml:space="preserve">: </v>
      </c>
      <c r="AY68" s="554"/>
      <c r="AZ68" s="554"/>
      <c r="BA68" s="554"/>
      <c r="BB68" s="554"/>
      <c r="BC68" s="563"/>
      <c r="BD68" s="554"/>
      <c r="BE68" s="563"/>
      <c r="BF68" s="564"/>
      <c r="BG68" s="564"/>
      <c r="BH68" s="565"/>
      <c r="BI68" s="555"/>
      <c r="BK68" s="558"/>
      <c r="BL68" s="558"/>
      <c r="BM68" s="559"/>
      <c r="BN68" s="560" t="str">
        <f t="shared" si="14"/>
        <v/>
      </c>
      <c r="BO68" s="561" t="str">
        <f t="shared" si="13"/>
        <v/>
      </c>
    </row>
    <row r="69" spans="1:69" ht="15" customHeight="1" x14ac:dyDescent="0.6">
      <c r="A69">
        <v>2023</v>
      </c>
      <c r="B69" s="696">
        <v>2.6200000000000045</v>
      </c>
      <c r="C69" s="697">
        <v>177.1</v>
      </c>
      <c r="D69" s="531">
        <f t="shared" si="20"/>
        <v>0</v>
      </c>
      <c r="E69" s="701">
        <v>1173.5</v>
      </c>
      <c r="F69" s="1201">
        <v>40.9</v>
      </c>
      <c r="G69" s="606">
        <f t="shared" si="21"/>
        <v>0</v>
      </c>
      <c r="H69" s="608">
        <f t="shared" si="22"/>
        <v>0</v>
      </c>
      <c r="I69" s="531">
        <f t="shared" si="17"/>
        <v>0</v>
      </c>
      <c r="J69" s="633">
        <v>0</v>
      </c>
      <c r="K69" s="531">
        <f t="shared" si="23"/>
        <v>0</v>
      </c>
      <c r="L69" s="531">
        <f t="shared" si="24"/>
        <v>0</v>
      </c>
      <c r="M69" s="531">
        <f t="shared" si="18"/>
        <v>0</v>
      </c>
      <c r="N69" s="633">
        <v>241.4</v>
      </c>
      <c r="O69" s="531">
        <f t="shared" si="25"/>
        <v>0</v>
      </c>
      <c r="Q69" s="536">
        <f t="shared" si="19"/>
        <v>7.1544606009210461E-3</v>
      </c>
      <c r="AW69" s="550"/>
      <c r="AX69" s="550"/>
      <c r="AY69" s="537"/>
      <c r="AZ69" s="537"/>
      <c r="BA69" s="537"/>
      <c r="BB69" s="537"/>
      <c r="BC69" s="549"/>
      <c r="BD69" s="562"/>
      <c r="BE69" s="566"/>
      <c r="BF69" s="558"/>
      <c r="BG69" s="558"/>
      <c r="BH69" s="558" t="s">
        <v>322</v>
      </c>
      <c r="BI69" s="558"/>
      <c r="BK69" s="558"/>
      <c r="BL69" s="558"/>
      <c r="BM69" s="567" t="s">
        <v>323</v>
      </c>
      <c r="BN69" s="568">
        <f>AVERAGE(BN49:BN68)</f>
        <v>0.28200000000000003</v>
      </c>
      <c r="BQ69" s="562"/>
    </row>
    <row r="70" spans="1:69" ht="15" customHeight="1" x14ac:dyDescent="0.6">
      <c r="A70">
        <v>2024</v>
      </c>
      <c r="B70" s="696">
        <v>6.5650350579526275</v>
      </c>
      <c r="C70" s="697">
        <v>194.4</v>
      </c>
      <c r="D70" s="531">
        <f t="shared" si="20"/>
        <v>0</v>
      </c>
      <c r="E70" s="701">
        <v>1230.5</v>
      </c>
      <c r="F70" s="1201">
        <v>42.7</v>
      </c>
      <c r="G70" s="606">
        <f t="shared" si="21"/>
        <v>0</v>
      </c>
      <c r="H70" s="608">
        <f t="shared" si="22"/>
        <v>0</v>
      </c>
      <c r="I70" s="531">
        <f t="shared" si="17"/>
        <v>0</v>
      </c>
      <c r="J70" s="633">
        <v>0</v>
      </c>
      <c r="K70" s="531">
        <f t="shared" si="23"/>
        <v>0</v>
      </c>
      <c r="L70" s="531">
        <f t="shared" si="24"/>
        <v>0</v>
      </c>
      <c r="M70" s="531">
        <f t="shared" si="18"/>
        <v>0</v>
      </c>
      <c r="N70" s="633">
        <v>267.89999999999998</v>
      </c>
      <c r="O70" s="531">
        <f t="shared" si="25"/>
        <v>0</v>
      </c>
      <c r="Q70" s="536">
        <f t="shared" si="19"/>
        <v>1.7464388513304556E-2</v>
      </c>
      <c r="AW70" s="550"/>
      <c r="AX70" s="550"/>
      <c r="AY70" s="537" t="s">
        <v>324</v>
      </c>
      <c r="AZ70" s="646"/>
      <c r="BA70" s="647"/>
      <c r="BB70" s="647"/>
      <c r="BC70" s="647"/>
      <c r="BD70" s="647"/>
      <c r="BE70" s="647"/>
      <c r="BF70" s="648"/>
      <c r="BG70" s="558"/>
      <c r="BH70" s="558"/>
      <c r="BI70" s="558"/>
      <c r="BK70" s="558"/>
      <c r="BL70" s="558"/>
      <c r="BM70" s="569" t="s">
        <v>25</v>
      </c>
      <c r="BN70" s="570">
        <f>BN69+BQ70*BN73</f>
        <v>0.49349725349350082</v>
      </c>
      <c r="BQ70" s="562">
        <v>1</v>
      </c>
    </row>
    <row r="71" spans="1:69" ht="15" customHeight="1" x14ac:dyDescent="0.6">
      <c r="A71">
        <v>2025</v>
      </c>
      <c r="B71" s="696">
        <v>9.903950645821169</v>
      </c>
      <c r="C71" s="697">
        <v>211.8</v>
      </c>
      <c r="D71" s="531">
        <f t="shared" si="20"/>
        <v>0</v>
      </c>
      <c r="E71" s="701">
        <v>1286.8</v>
      </c>
      <c r="F71" s="1201">
        <v>44.4</v>
      </c>
      <c r="G71" s="606">
        <f t="shared" si="21"/>
        <v>0</v>
      </c>
      <c r="H71" s="608">
        <f t="shared" si="22"/>
        <v>0</v>
      </c>
      <c r="I71" s="531">
        <f t="shared" si="17"/>
        <v>0</v>
      </c>
      <c r="J71" s="633">
        <v>0</v>
      </c>
      <c r="K71" s="531">
        <f t="shared" si="23"/>
        <v>0</v>
      </c>
      <c r="L71" s="531">
        <f t="shared" si="24"/>
        <v>0</v>
      </c>
      <c r="M71" s="531">
        <f t="shared" si="18"/>
        <v>0</v>
      </c>
      <c r="N71" s="633">
        <v>288.8</v>
      </c>
      <c r="O71" s="531">
        <f t="shared" si="25"/>
        <v>0</v>
      </c>
      <c r="Q71" s="536">
        <f t="shared" si="19"/>
        <v>2.5684085747784559E-2</v>
      </c>
      <c r="AW71" s="550"/>
      <c r="AX71" s="550"/>
      <c r="AY71" s="550"/>
      <c r="AZ71" s="649"/>
      <c r="BA71" s="650"/>
      <c r="BB71" s="650"/>
      <c r="BC71" s="650"/>
      <c r="BD71" s="650"/>
      <c r="BE71" s="650"/>
      <c r="BF71" s="651"/>
      <c r="BG71" s="562"/>
      <c r="BH71" s="562"/>
      <c r="BI71" s="558"/>
      <c r="BK71" s="558"/>
      <c r="BL71" s="558"/>
      <c r="BM71" s="569" t="s">
        <v>15</v>
      </c>
      <c r="BN71" s="570">
        <f>BN69-BQ70*BN73</f>
        <v>7.0502746506499264E-2</v>
      </c>
      <c r="BQ71" s="562"/>
    </row>
    <row r="72" spans="1:69" ht="15" customHeight="1" x14ac:dyDescent="0.6">
      <c r="A72">
        <v>2026</v>
      </c>
      <c r="B72" s="696">
        <v>14.047043510247022</v>
      </c>
      <c r="C72" s="697">
        <v>229</v>
      </c>
      <c r="D72" s="531">
        <f t="shared" si="20"/>
        <v>0</v>
      </c>
      <c r="E72" s="701">
        <v>1336.8</v>
      </c>
      <c r="F72" s="1201">
        <v>45.9</v>
      </c>
      <c r="G72" s="606">
        <f t="shared" si="21"/>
        <v>0</v>
      </c>
      <c r="H72" s="608">
        <f t="shared" si="22"/>
        <v>0</v>
      </c>
      <c r="I72" s="531">
        <f t="shared" si="17"/>
        <v>0</v>
      </c>
      <c r="J72" s="633">
        <v>0</v>
      </c>
      <c r="K72" s="531">
        <f t="shared" si="23"/>
        <v>0</v>
      </c>
      <c r="L72" s="531">
        <f t="shared" si="24"/>
        <v>0</v>
      </c>
      <c r="M72" s="531">
        <f t="shared" si="18"/>
        <v>0</v>
      </c>
      <c r="N72" s="633">
        <v>315.8</v>
      </c>
      <c r="O72" s="531">
        <f t="shared" si="25"/>
        <v>0</v>
      </c>
      <c r="Q72" s="536">
        <f t="shared" si="19"/>
        <v>3.5370776418831809E-2</v>
      </c>
      <c r="AW72" s="550"/>
      <c r="AX72" s="550"/>
      <c r="AY72" s="550"/>
      <c r="AZ72" s="649"/>
      <c r="BA72" s="650"/>
      <c r="BB72" s="650"/>
      <c r="BC72" s="650"/>
      <c r="BD72" s="650"/>
      <c r="BE72" s="650"/>
      <c r="BF72" s="651"/>
      <c r="BG72" s="558"/>
      <c r="BH72" s="558"/>
      <c r="BI72" s="558"/>
      <c r="BK72" s="558"/>
      <c r="BL72" s="558"/>
      <c r="BM72" s="569" t="s">
        <v>325</v>
      </c>
      <c r="BN72" s="570" t="str">
        <f>IF((0.67*BN73)&gt;BN69,"no","yes")</f>
        <v>yes</v>
      </c>
      <c r="BQ72" s="562"/>
    </row>
    <row r="73" spans="1:69" ht="15" customHeight="1" x14ac:dyDescent="0.6">
      <c r="A73">
        <v>2027</v>
      </c>
      <c r="B73" s="696">
        <v>18.995106076123193</v>
      </c>
      <c r="C73" s="697">
        <v>246.6</v>
      </c>
      <c r="D73" s="531">
        <f t="shared" si="20"/>
        <v>0</v>
      </c>
      <c r="E73" s="701">
        <v>1393.8</v>
      </c>
      <c r="F73" s="1201">
        <v>47.5</v>
      </c>
      <c r="G73" s="606">
        <f t="shared" si="21"/>
        <v>0</v>
      </c>
      <c r="H73" s="608">
        <f t="shared" si="22"/>
        <v>0</v>
      </c>
      <c r="I73" s="531">
        <f t="shared" si="17"/>
        <v>0</v>
      </c>
      <c r="J73" s="633">
        <v>0</v>
      </c>
      <c r="K73" s="531">
        <f t="shared" si="23"/>
        <v>0</v>
      </c>
      <c r="L73" s="531">
        <f t="shared" si="24"/>
        <v>0</v>
      </c>
      <c r="M73" s="531">
        <f t="shared" si="18"/>
        <v>0</v>
      </c>
      <c r="N73" s="633">
        <v>336.7</v>
      </c>
      <c r="O73" s="531">
        <f t="shared" si="25"/>
        <v>0</v>
      </c>
      <c r="Q73" s="536">
        <f t="shared" si="19"/>
        <v>4.6455628085766427E-2</v>
      </c>
      <c r="AW73" s="550"/>
      <c r="AX73" s="571"/>
      <c r="AY73" s="550"/>
      <c r="AZ73" s="649"/>
      <c r="BA73" s="650"/>
      <c r="BB73" s="650"/>
      <c r="BC73" s="650"/>
      <c r="BD73" s="650"/>
      <c r="BE73" s="650"/>
      <c r="BF73" s="651"/>
      <c r="BG73" s="558"/>
      <c r="BH73" s="558"/>
      <c r="BI73" s="558"/>
      <c r="BJ73" s="558"/>
      <c r="BK73" s="558"/>
      <c r="BL73" s="558"/>
      <c r="BM73" s="569" t="s">
        <v>326</v>
      </c>
      <c r="BN73" s="570">
        <f>_xlfn.STDEV.P(BN49:BN68)</f>
        <v>0.21149725349350076</v>
      </c>
      <c r="BQ73" s="562"/>
    </row>
    <row r="74" spans="1:69" ht="15" customHeight="1" x14ac:dyDescent="0.6">
      <c r="A74">
        <v>2028</v>
      </c>
      <c r="B74" s="696">
        <v>24.748930767644197</v>
      </c>
      <c r="C74" s="697">
        <v>264.5</v>
      </c>
      <c r="D74" s="531">
        <f t="shared" si="20"/>
        <v>0</v>
      </c>
      <c r="E74" s="701">
        <v>1442.3</v>
      </c>
      <c r="F74" s="1201">
        <v>49</v>
      </c>
      <c r="G74" s="606">
        <f t="shared" si="21"/>
        <v>0</v>
      </c>
      <c r="H74" s="608">
        <f t="shared" si="22"/>
        <v>0</v>
      </c>
      <c r="I74" s="531">
        <f t="shared" si="17"/>
        <v>0</v>
      </c>
      <c r="J74" s="633">
        <v>0</v>
      </c>
      <c r="K74" s="531">
        <f t="shared" si="23"/>
        <v>0</v>
      </c>
      <c r="L74" s="531">
        <f t="shared" si="24"/>
        <v>0</v>
      </c>
      <c r="M74" s="531">
        <f t="shared" si="18"/>
        <v>0</v>
      </c>
      <c r="N74" s="633">
        <v>364.3</v>
      </c>
      <c r="O74" s="531">
        <f t="shared" si="25"/>
        <v>0</v>
      </c>
      <c r="Q74" s="536">
        <f t="shared" si="19"/>
        <v>5.8805165874134722E-2</v>
      </c>
      <c r="AW74" s="550"/>
      <c r="AX74" s="572"/>
      <c r="AY74" s="550"/>
      <c r="AZ74" s="649"/>
      <c r="BA74" s="650"/>
      <c r="BB74" s="650"/>
      <c r="BC74" s="650"/>
      <c r="BD74" s="650"/>
      <c r="BE74" s="650"/>
      <c r="BF74" s="651"/>
      <c r="BG74" s="558"/>
      <c r="BH74" s="558"/>
      <c r="BI74" s="558"/>
      <c r="BJ74" s="558"/>
      <c r="BK74" s="558"/>
      <c r="BL74" s="558"/>
      <c r="BM74" s="573" t="s">
        <v>327</v>
      </c>
      <c r="BN74" s="574">
        <f>COUNTIF(BN49:BN68,"&gt;0")</f>
        <v>17</v>
      </c>
      <c r="BQ74" s="562"/>
    </row>
    <row r="75" spans="1:69" ht="15" customHeight="1" x14ac:dyDescent="0.6">
      <c r="A75">
        <v>2029</v>
      </c>
      <c r="B75" s="696">
        <v>31.309310009470209</v>
      </c>
      <c r="C75" s="697">
        <v>282.7</v>
      </c>
      <c r="D75" s="531">
        <f t="shared" si="20"/>
        <v>0</v>
      </c>
      <c r="E75" s="701">
        <v>1500.1</v>
      </c>
      <c r="F75" s="1201">
        <v>50.7</v>
      </c>
      <c r="G75" s="606">
        <f t="shared" si="21"/>
        <v>0</v>
      </c>
      <c r="H75" s="608">
        <f t="shared" si="22"/>
        <v>0</v>
      </c>
      <c r="I75" s="531">
        <f t="shared" si="17"/>
        <v>0</v>
      </c>
      <c r="J75" s="633">
        <v>0</v>
      </c>
      <c r="K75" s="531">
        <f t="shared" si="23"/>
        <v>0</v>
      </c>
      <c r="L75" s="531">
        <f t="shared" si="24"/>
        <v>0</v>
      </c>
      <c r="M75" s="531">
        <f t="shared" si="18"/>
        <v>0</v>
      </c>
      <c r="N75" s="633">
        <v>390.8</v>
      </c>
      <c r="O75" s="531">
        <f t="shared" si="25"/>
        <v>0</v>
      </c>
      <c r="Q75" s="536">
        <f t="shared" si="19"/>
        <v>7.2295912379466976E-2</v>
      </c>
      <c r="AW75" s="550"/>
      <c r="AX75" s="123"/>
      <c r="AY75" s="550"/>
      <c r="AZ75" s="649"/>
      <c r="BA75" s="650"/>
      <c r="BB75" s="650"/>
      <c r="BC75" s="650"/>
      <c r="BD75" s="650"/>
      <c r="BE75" s="650"/>
      <c r="BF75" s="651"/>
      <c r="BG75" s="558"/>
      <c r="BH75" s="558"/>
      <c r="BI75" s="558"/>
      <c r="BJ75" s="558"/>
      <c r="BK75" s="558"/>
      <c r="BL75" s="558"/>
      <c r="BM75" s="575"/>
      <c r="BN75" s="576"/>
      <c r="BQ75" s="562"/>
    </row>
    <row r="76" spans="1:69" ht="15" customHeight="1" x14ac:dyDescent="0.6">
      <c r="A76">
        <v>2030</v>
      </c>
      <c r="B76" s="696">
        <v>38.677036226727068</v>
      </c>
      <c r="C76" s="697">
        <v>301</v>
      </c>
      <c r="D76" s="531">
        <f t="shared" si="20"/>
        <v>0</v>
      </c>
      <c r="E76" s="701">
        <v>1557.2</v>
      </c>
      <c r="F76" s="1201">
        <v>52.3</v>
      </c>
      <c r="G76" s="606">
        <f t="shared" si="21"/>
        <v>0</v>
      </c>
      <c r="H76" s="608">
        <f t="shared" si="22"/>
        <v>0</v>
      </c>
      <c r="I76" s="531">
        <f t="shared" si="17"/>
        <v>0</v>
      </c>
      <c r="J76" s="633">
        <v>0</v>
      </c>
      <c r="K76" s="531">
        <f t="shared" si="23"/>
        <v>0</v>
      </c>
      <c r="L76" s="531">
        <f t="shared" si="24"/>
        <v>0</v>
      </c>
      <c r="M76" s="531">
        <f t="shared" si="18"/>
        <v>0</v>
      </c>
      <c r="N76" s="633">
        <v>418.5</v>
      </c>
      <c r="O76" s="531">
        <f t="shared" si="25"/>
        <v>0</v>
      </c>
      <c r="Q76" s="536">
        <f t="shared" si="19"/>
        <v>8.6813482527859462E-2</v>
      </c>
      <c r="AW76" s="550"/>
      <c r="AX76" s="123"/>
      <c r="AY76" s="550"/>
      <c r="AZ76" s="649"/>
      <c r="BA76" s="650"/>
      <c r="BB76" s="650"/>
      <c r="BC76" s="650"/>
      <c r="BD76" s="650"/>
      <c r="BE76" s="650"/>
      <c r="BF76" s="651"/>
      <c r="BG76" s="558"/>
      <c r="BH76" s="558"/>
      <c r="BI76" s="558"/>
      <c r="BJ76" s="558"/>
      <c r="BK76" s="558"/>
      <c r="BL76" s="558"/>
      <c r="BM76" s="575"/>
      <c r="BN76" s="577" t="s">
        <v>328</v>
      </c>
      <c r="BQ76" s="562"/>
    </row>
    <row r="77" spans="1:69" ht="15" customHeight="1" x14ac:dyDescent="0.6">
      <c r="A77">
        <v>2031</v>
      </c>
      <c r="B77" s="696">
        <v>46.852901843376458</v>
      </c>
      <c r="C77" s="697">
        <v>317.3</v>
      </c>
      <c r="D77" s="531">
        <f t="shared" si="20"/>
        <v>0</v>
      </c>
      <c r="E77" s="701">
        <v>1599.3</v>
      </c>
      <c r="F77" s="1201">
        <v>53.5</v>
      </c>
      <c r="G77" s="606">
        <f t="shared" si="21"/>
        <v>0</v>
      </c>
      <c r="H77" s="608">
        <f t="shared" si="22"/>
        <v>0</v>
      </c>
      <c r="I77" s="531">
        <f t="shared" si="17"/>
        <v>0</v>
      </c>
      <c r="J77" s="633">
        <v>0</v>
      </c>
      <c r="K77" s="531">
        <f t="shared" si="23"/>
        <v>0</v>
      </c>
      <c r="L77" s="531">
        <f t="shared" si="24"/>
        <v>0</v>
      </c>
      <c r="M77" s="531">
        <f t="shared" si="18"/>
        <v>0</v>
      </c>
      <c r="N77" s="633">
        <v>433.6</v>
      </c>
      <c r="O77" s="531">
        <f t="shared" si="25"/>
        <v>0</v>
      </c>
      <c r="Q77" s="536">
        <f t="shared" si="19"/>
        <v>0.10225192294649846</v>
      </c>
      <c r="AW77" s="550"/>
      <c r="AX77" s="123"/>
      <c r="AY77" s="550"/>
      <c r="AZ77" s="649"/>
      <c r="BA77" s="650"/>
      <c r="BB77" s="650"/>
      <c r="BC77" s="650"/>
      <c r="BD77" s="650"/>
      <c r="BE77" s="650"/>
      <c r="BF77" s="651"/>
      <c r="BG77" s="558"/>
      <c r="BH77" s="558"/>
      <c r="BI77" s="558"/>
      <c r="BJ77" s="558"/>
      <c r="BK77" s="558"/>
      <c r="BL77" s="558"/>
      <c r="BM77" s="575"/>
      <c r="BN77" s="578" t="s">
        <v>20</v>
      </c>
      <c r="BQ77" s="562"/>
    </row>
    <row r="78" spans="1:69" ht="15" customHeight="1" x14ac:dyDescent="0.6">
      <c r="A78">
        <v>2032</v>
      </c>
      <c r="B78" s="696">
        <v>55.837699284311384</v>
      </c>
      <c r="C78" s="697">
        <v>333.8</v>
      </c>
      <c r="D78" s="531">
        <f t="shared" si="20"/>
        <v>0</v>
      </c>
      <c r="E78" s="701">
        <v>1642.8</v>
      </c>
      <c r="F78" s="1201">
        <v>54.8</v>
      </c>
      <c r="G78" s="606">
        <f t="shared" si="21"/>
        <v>0</v>
      </c>
      <c r="H78" s="608">
        <f t="shared" si="22"/>
        <v>0</v>
      </c>
      <c r="I78" s="531">
        <f t="shared" si="17"/>
        <v>0</v>
      </c>
      <c r="J78" s="633">
        <v>0</v>
      </c>
      <c r="K78" s="531">
        <f t="shared" si="23"/>
        <v>0</v>
      </c>
      <c r="L78" s="531">
        <f t="shared" si="24"/>
        <v>0</v>
      </c>
      <c r="M78" s="531">
        <f t="shared" si="18"/>
        <v>0</v>
      </c>
      <c r="N78" s="633">
        <v>443.7</v>
      </c>
      <c r="O78" s="531">
        <f t="shared" si="25"/>
        <v>0</v>
      </c>
      <c r="Q78" s="536">
        <f t="shared" si="19"/>
        <v>0.11851314953205573</v>
      </c>
      <c r="AW78" s="550"/>
      <c r="AX78" s="123"/>
      <c r="AY78" s="550"/>
      <c r="AZ78" s="649"/>
      <c r="BA78" s="650"/>
      <c r="BB78" s="650"/>
      <c r="BC78" s="650"/>
      <c r="BD78" s="650"/>
      <c r="BE78" s="650"/>
      <c r="BF78" s="651"/>
      <c r="BG78" s="558"/>
      <c r="BH78" s="558"/>
      <c r="BI78" s="558"/>
      <c r="BJ78" s="558"/>
      <c r="BK78" s="558"/>
      <c r="BL78" s="558"/>
      <c r="BM78" s="575"/>
      <c r="BN78" s="558"/>
      <c r="BQ78" s="562"/>
    </row>
    <row r="79" spans="1:69" ht="15" customHeight="1" x14ac:dyDescent="0.6">
      <c r="A79">
        <v>2033</v>
      </c>
      <c r="B79" s="696">
        <v>65.632220974424854</v>
      </c>
      <c r="C79" s="697">
        <v>350.6</v>
      </c>
      <c r="D79" s="531">
        <f t="shared" si="20"/>
        <v>0</v>
      </c>
      <c r="E79" s="701">
        <v>1692.8</v>
      </c>
      <c r="F79" s="1201">
        <v>56.2</v>
      </c>
      <c r="G79" s="606">
        <f t="shared" si="21"/>
        <v>0</v>
      </c>
      <c r="H79" s="608">
        <f t="shared" si="22"/>
        <v>0</v>
      </c>
      <c r="I79" s="531">
        <f t="shared" si="17"/>
        <v>0</v>
      </c>
      <c r="J79" s="633">
        <v>0</v>
      </c>
      <c r="K79" s="531">
        <f t="shared" si="23"/>
        <v>0</v>
      </c>
      <c r="L79" s="531">
        <f t="shared" si="24"/>
        <v>0</v>
      </c>
      <c r="M79" s="531">
        <f t="shared" si="18"/>
        <v>0</v>
      </c>
      <c r="N79" s="633">
        <v>459.8</v>
      </c>
      <c r="O79" s="531">
        <f t="shared" si="25"/>
        <v>0</v>
      </c>
      <c r="Q79" s="536">
        <f t="shared" si="19"/>
        <v>0.13550649145083088</v>
      </c>
      <c r="AW79" s="550"/>
      <c r="AX79" s="454"/>
      <c r="AY79" s="558"/>
      <c r="AZ79" s="652"/>
      <c r="BA79" s="653"/>
      <c r="BB79" s="653"/>
      <c r="BC79" s="653"/>
      <c r="BD79" s="653"/>
      <c r="BE79" s="653"/>
      <c r="BF79" s="654"/>
      <c r="BG79" s="549"/>
      <c r="BH79" s="549"/>
      <c r="BI79" s="549"/>
      <c r="BJ79" s="549"/>
      <c r="BK79" s="549"/>
      <c r="BL79" s="549"/>
      <c r="BM79" s="579"/>
      <c r="BN79" s="549"/>
      <c r="BQ79" s="562"/>
    </row>
    <row r="80" spans="1:69" ht="15" customHeight="1" x14ac:dyDescent="0.6">
      <c r="A80">
        <v>2034</v>
      </c>
      <c r="B80" s="696">
        <v>76.237259338144213</v>
      </c>
      <c r="C80" s="697">
        <v>367.6</v>
      </c>
      <c r="D80" s="531">
        <f t="shared" si="20"/>
        <v>0</v>
      </c>
      <c r="E80" s="701">
        <v>1735.6</v>
      </c>
      <c r="F80" s="1201">
        <v>57.5</v>
      </c>
      <c r="G80" s="606">
        <f t="shared" si="21"/>
        <v>0</v>
      </c>
      <c r="H80" s="608">
        <f t="shared" si="22"/>
        <v>0</v>
      </c>
      <c r="I80" s="531">
        <f t="shared" si="17"/>
        <v>0</v>
      </c>
      <c r="J80" s="633">
        <v>0</v>
      </c>
      <c r="K80" s="531">
        <f t="shared" si="23"/>
        <v>0</v>
      </c>
      <c r="L80" s="531">
        <f t="shared" si="24"/>
        <v>0</v>
      </c>
      <c r="M80" s="531">
        <f t="shared" si="18"/>
        <v>0</v>
      </c>
      <c r="N80" s="633">
        <v>476.5</v>
      </c>
      <c r="O80" s="531">
        <f t="shared" si="25"/>
        <v>0</v>
      </c>
      <c r="Q80" s="536">
        <f t="shared" si="19"/>
        <v>0.15314823700117328</v>
      </c>
    </row>
    <row r="81" spans="1:17" ht="15" customHeight="1" x14ac:dyDescent="0.6">
      <c r="A81">
        <v>2035</v>
      </c>
      <c r="B81" s="696">
        <v>87.653606799896806</v>
      </c>
      <c r="C81" s="697">
        <v>383.8</v>
      </c>
      <c r="D81" s="531">
        <f t="shared" si="20"/>
        <v>0</v>
      </c>
      <c r="E81" s="701">
        <v>1779.2</v>
      </c>
      <c r="F81" s="1201">
        <v>58.7</v>
      </c>
      <c r="G81" s="606">
        <f t="shared" si="21"/>
        <v>0</v>
      </c>
      <c r="H81" s="608">
        <f t="shared" si="22"/>
        <v>0</v>
      </c>
      <c r="I81" s="531">
        <f t="shared" si="17"/>
        <v>0</v>
      </c>
      <c r="J81" s="633">
        <v>0</v>
      </c>
      <c r="K81" s="531">
        <f t="shared" si="23"/>
        <v>0</v>
      </c>
      <c r="L81" s="531">
        <f t="shared" si="24"/>
        <v>0</v>
      </c>
      <c r="M81" s="531">
        <f t="shared" si="18"/>
        <v>0</v>
      </c>
      <c r="N81" s="633">
        <v>491.3</v>
      </c>
      <c r="O81" s="531">
        <f t="shared" si="25"/>
        <v>0</v>
      </c>
      <c r="Q81" s="536">
        <f t="shared" si="19"/>
        <v>0.1713612055559797</v>
      </c>
    </row>
    <row r="82" spans="1:17" ht="15" customHeight="1" x14ac:dyDescent="0.6">
      <c r="A82">
        <v>2036</v>
      </c>
      <c r="B82" s="696">
        <v>99.882055784575641</v>
      </c>
      <c r="C82" s="697">
        <v>400</v>
      </c>
      <c r="D82" s="531">
        <f t="shared" si="20"/>
        <v>0</v>
      </c>
      <c r="E82" s="701">
        <v>1829.2</v>
      </c>
      <c r="F82" s="1201">
        <v>60.1</v>
      </c>
      <c r="G82" s="606">
        <f t="shared" si="21"/>
        <v>0</v>
      </c>
      <c r="H82" s="608">
        <f t="shared" si="22"/>
        <v>0</v>
      </c>
      <c r="I82" s="531">
        <f t="shared" si="17"/>
        <v>0</v>
      </c>
      <c r="J82" s="633">
        <v>0</v>
      </c>
      <c r="K82" s="531">
        <f t="shared" si="23"/>
        <v>0</v>
      </c>
      <c r="L82" s="531">
        <f t="shared" si="24"/>
        <v>0</v>
      </c>
      <c r="M82" s="531">
        <f t="shared" si="18"/>
        <v>0</v>
      </c>
      <c r="N82" s="633">
        <v>508.2</v>
      </c>
      <c r="O82" s="531">
        <f t="shared" si="25"/>
        <v>0</v>
      </c>
      <c r="Q82" s="536">
        <f t="shared" si="19"/>
        <v>0.19007440969538239</v>
      </c>
    </row>
    <row r="83" spans="1:17" ht="15" customHeight="1" x14ac:dyDescent="0.6">
      <c r="A83">
        <v>2037</v>
      </c>
      <c r="B83" s="696">
        <v>112.92339871684089</v>
      </c>
      <c r="C83" s="697">
        <v>416.4</v>
      </c>
      <c r="D83" s="531">
        <f t="shared" si="20"/>
        <v>0</v>
      </c>
      <c r="E83" s="701">
        <v>1872</v>
      </c>
      <c r="F83" s="1201">
        <v>61.4</v>
      </c>
      <c r="G83" s="606">
        <f t="shared" si="21"/>
        <v>0</v>
      </c>
      <c r="H83" s="608">
        <f t="shared" si="22"/>
        <v>0</v>
      </c>
      <c r="I83" s="531">
        <f t="shared" si="17"/>
        <v>0</v>
      </c>
      <c r="J83" s="633">
        <v>0</v>
      </c>
      <c r="K83" s="531">
        <f t="shared" si="23"/>
        <v>0</v>
      </c>
      <c r="L83" s="531">
        <f t="shared" si="24"/>
        <v>0</v>
      </c>
      <c r="M83" s="531">
        <f t="shared" si="18"/>
        <v>0</v>
      </c>
      <c r="N83" s="633">
        <v>522</v>
      </c>
      <c r="O83" s="531">
        <f t="shared" si="25"/>
        <v>0</v>
      </c>
      <c r="Q83" s="536">
        <f t="shared" si="19"/>
        <v>0.20922275877450464</v>
      </c>
    </row>
    <row r="84" spans="1:17" ht="15" customHeight="1" x14ac:dyDescent="0.6">
      <c r="A84">
        <v>2038</v>
      </c>
      <c r="B84" s="696">
        <v>126.77842802088708</v>
      </c>
      <c r="C84" s="697">
        <v>432.9</v>
      </c>
      <c r="D84" s="531">
        <f t="shared" si="20"/>
        <v>0</v>
      </c>
      <c r="E84" s="701">
        <v>1923.4</v>
      </c>
      <c r="F84" s="1201">
        <v>62.8</v>
      </c>
      <c r="G84" s="606">
        <f t="shared" si="21"/>
        <v>0</v>
      </c>
      <c r="H84" s="608">
        <f t="shared" si="22"/>
        <v>0</v>
      </c>
      <c r="I84" s="531">
        <f t="shared" si="17"/>
        <v>0</v>
      </c>
      <c r="J84" s="633">
        <v>0</v>
      </c>
      <c r="K84" s="531">
        <f t="shared" si="23"/>
        <v>0</v>
      </c>
      <c r="L84" s="531">
        <f t="shared" si="24"/>
        <v>0</v>
      </c>
      <c r="M84" s="531">
        <f t="shared" si="18"/>
        <v>0</v>
      </c>
      <c r="N84" s="633">
        <v>539.20000000000005</v>
      </c>
      <c r="O84" s="531">
        <f t="shared" si="25"/>
        <v>0</v>
      </c>
      <c r="Q84" s="536">
        <f t="shared" si="19"/>
        <v>0.22874680341696169</v>
      </c>
    </row>
    <row r="85" spans="1:17" ht="15" customHeight="1" x14ac:dyDescent="0.6">
      <c r="A85">
        <v>2039</v>
      </c>
      <c r="B85" s="696">
        <v>141.44793612184003</v>
      </c>
      <c r="C85" s="697">
        <v>449.7</v>
      </c>
      <c r="D85" s="531">
        <f t="shared" si="20"/>
        <v>0</v>
      </c>
      <c r="E85" s="701">
        <v>1965.5</v>
      </c>
      <c r="F85" s="1201">
        <v>64</v>
      </c>
      <c r="G85" s="606">
        <f t="shared" si="21"/>
        <v>0</v>
      </c>
      <c r="H85" s="608">
        <f t="shared" si="22"/>
        <v>0</v>
      </c>
      <c r="I85" s="531">
        <f t="shared" si="17"/>
        <v>0</v>
      </c>
      <c r="J85" s="633">
        <v>0</v>
      </c>
      <c r="K85" s="531">
        <f t="shared" si="23"/>
        <v>0</v>
      </c>
      <c r="L85" s="531">
        <f t="shared" si="24"/>
        <v>0</v>
      </c>
      <c r="M85" s="531">
        <f t="shared" si="18"/>
        <v>0</v>
      </c>
      <c r="N85" s="633">
        <v>551.6</v>
      </c>
      <c r="O85" s="531">
        <f t="shared" si="25"/>
        <v>0</v>
      </c>
      <c r="Q85" s="536">
        <f t="shared" si="19"/>
        <v>0.24859235809663627</v>
      </c>
    </row>
    <row r="86" spans="1:17" ht="15" customHeight="1" x14ac:dyDescent="0.6">
      <c r="A86">
        <v>2040</v>
      </c>
      <c r="B86" s="696">
        <v>156.9327154441271</v>
      </c>
      <c r="C86" s="697">
        <v>467</v>
      </c>
      <c r="D86" s="531">
        <f t="shared" si="20"/>
        <v>0</v>
      </c>
      <c r="E86" s="701">
        <v>2017</v>
      </c>
      <c r="F86" s="1201">
        <v>65.400000000000006</v>
      </c>
      <c r="G86" s="606">
        <f t="shared" si="21"/>
        <v>0</v>
      </c>
      <c r="H86" s="608">
        <f t="shared" si="22"/>
        <v>0</v>
      </c>
      <c r="I86" s="531">
        <f t="shared" si="17"/>
        <v>0</v>
      </c>
      <c r="J86" s="633">
        <v>0</v>
      </c>
      <c r="K86" s="531">
        <f t="shared" si="23"/>
        <v>0</v>
      </c>
      <c r="L86" s="531">
        <f t="shared" si="24"/>
        <v>0</v>
      </c>
      <c r="M86" s="531">
        <f t="shared" si="18"/>
        <v>0</v>
      </c>
      <c r="N86" s="633">
        <v>564.20000000000005</v>
      </c>
      <c r="O86" s="531">
        <f t="shared" si="25"/>
        <v>0</v>
      </c>
      <c r="Q86" s="536">
        <f t="shared" si="19"/>
        <v>0.26871010182905131</v>
      </c>
    </row>
    <row r="87" spans="1:17" ht="15" customHeight="1" x14ac:dyDescent="0.6">
      <c r="A87">
        <v>2041</v>
      </c>
      <c r="B87" s="696">
        <v>173.23355841217563</v>
      </c>
      <c r="C87" s="697">
        <v>484.6</v>
      </c>
      <c r="D87" s="531">
        <f t="shared" si="20"/>
        <v>0</v>
      </c>
      <c r="E87" s="701">
        <v>2059.1</v>
      </c>
      <c r="F87" s="1201">
        <v>66.599999999999994</v>
      </c>
      <c r="G87" s="606">
        <f t="shared" si="21"/>
        <v>0</v>
      </c>
      <c r="H87" s="608">
        <f t="shared" si="22"/>
        <v>0</v>
      </c>
      <c r="I87" s="531">
        <f t="shared" si="17"/>
        <v>0</v>
      </c>
      <c r="J87" s="633">
        <v>0</v>
      </c>
      <c r="K87" s="531">
        <f t="shared" si="23"/>
        <v>0</v>
      </c>
      <c r="L87" s="531">
        <f t="shared" si="24"/>
        <v>0</v>
      </c>
      <c r="M87" s="531">
        <f t="shared" si="18"/>
        <v>0</v>
      </c>
      <c r="N87" s="633">
        <v>574.4</v>
      </c>
      <c r="O87" s="531">
        <f t="shared" si="25"/>
        <v>0</v>
      </c>
      <c r="Q87" s="536">
        <f t="shared" si="19"/>
        <v>0.28905532397736639</v>
      </c>
    </row>
    <row r="88" spans="1:17" ht="15" customHeight="1" x14ac:dyDescent="0.6">
      <c r="A88">
        <v>2042</v>
      </c>
      <c r="B88" s="696">
        <v>190.35125745111145</v>
      </c>
      <c r="C88" s="697">
        <v>502.6</v>
      </c>
      <c r="D88" s="531">
        <f t="shared" si="20"/>
        <v>0</v>
      </c>
      <c r="E88" s="701">
        <v>2109.6999999999998</v>
      </c>
      <c r="F88" s="1201">
        <v>68</v>
      </c>
      <c r="G88" s="606">
        <f t="shared" si="21"/>
        <v>0</v>
      </c>
      <c r="H88" s="608">
        <f t="shared" si="22"/>
        <v>0</v>
      </c>
      <c r="I88" s="531">
        <f t="shared" si="17"/>
        <v>0</v>
      </c>
      <c r="J88" s="633">
        <v>0</v>
      </c>
      <c r="K88" s="531">
        <f t="shared" si="23"/>
        <v>0</v>
      </c>
      <c r="L88" s="531">
        <f t="shared" si="24"/>
        <v>0</v>
      </c>
      <c r="M88" s="531">
        <f t="shared" si="18"/>
        <v>0</v>
      </c>
      <c r="N88" s="633">
        <v>585.9</v>
      </c>
      <c r="O88" s="531">
        <f t="shared" si="25"/>
        <v>0</v>
      </c>
      <c r="Q88" s="536">
        <f t="shared" si="19"/>
        <v>0.3095876909298455</v>
      </c>
    </row>
    <row r="89" spans="1:17" ht="15" customHeight="1" x14ac:dyDescent="0.6">
      <c r="A89">
        <v>2043</v>
      </c>
      <c r="B89" s="696">
        <v>208.28660498512909</v>
      </c>
      <c r="C89" s="697">
        <v>520.9</v>
      </c>
      <c r="D89" s="531">
        <f t="shared" si="20"/>
        <v>0</v>
      </c>
      <c r="E89" s="701">
        <v>2161.1999999999998</v>
      </c>
      <c r="F89" s="1201">
        <v>69.5</v>
      </c>
      <c r="G89" s="606">
        <f t="shared" si="21"/>
        <v>0</v>
      </c>
      <c r="H89" s="608">
        <f t="shared" si="22"/>
        <v>0</v>
      </c>
      <c r="I89" s="531">
        <f t="shared" si="17"/>
        <v>0</v>
      </c>
      <c r="J89" s="633">
        <v>0</v>
      </c>
      <c r="K89" s="531">
        <f t="shared" si="23"/>
        <v>0</v>
      </c>
      <c r="L89" s="531">
        <f t="shared" si="24"/>
        <v>0</v>
      </c>
      <c r="M89" s="531">
        <f t="shared" si="18"/>
        <v>0</v>
      </c>
      <c r="N89" s="633">
        <v>595.79999999999995</v>
      </c>
      <c r="O89" s="531">
        <f t="shared" si="25"/>
        <v>0</v>
      </c>
      <c r="Q89" s="536">
        <f t="shared" si="19"/>
        <v>0.33027095687574881</v>
      </c>
    </row>
    <row r="90" spans="1:17" ht="15" customHeight="1" x14ac:dyDescent="0.6">
      <c r="A90">
        <v>2044</v>
      </c>
      <c r="B90" s="696">
        <v>227.04039343912154</v>
      </c>
      <c r="C90" s="697">
        <v>539.5</v>
      </c>
      <c r="D90" s="531">
        <f t="shared" si="20"/>
        <v>0</v>
      </c>
      <c r="E90" s="701">
        <v>2203.3000000000002</v>
      </c>
      <c r="F90" s="1201">
        <v>70.599999999999994</v>
      </c>
      <c r="G90" s="606">
        <f t="shared" si="21"/>
        <v>0</v>
      </c>
      <c r="H90" s="608">
        <f t="shared" si="22"/>
        <v>0</v>
      </c>
      <c r="I90" s="531">
        <f t="shared" si="17"/>
        <v>0</v>
      </c>
      <c r="J90" s="633">
        <v>0</v>
      </c>
      <c r="K90" s="531">
        <f t="shared" si="23"/>
        <v>0</v>
      </c>
      <c r="L90" s="531">
        <f t="shared" si="24"/>
        <v>0</v>
      </c>
      <c r="M90" s="531">
        <f t="shared" si="18"/>
        <v>0</v>
      </c>
      <c r="N90" s="633">
        <v>606.9</v>
      </c>
      <c r="O90" s="531">
        <f t="shared" si="25"/>
        <v>0</v>
      </c>
      <c r="Q90" s="536">
        <f t="shared" si="19"/>
        <v>0.35107274464353594</v>
      </c>
    </row>
    <row r="91" spans="1:17" ht="15" customHeight="1" x14ac:dyDescent="0.6">
      <c r="A91">
        <v>2045</v>
      </c>
      <c r="B91" s="696">
        <v>246.6134152370505</v>
      </c>
      <c r="C91" s="697">
        <v>556.79999999999995</v>
      </c>
      <c r="D91" s="531">
        <f t="shared" si="20"/>
        <v>0</v>
      </c>
      <c r="E91" s="701">
        <v>2254</v>
      </c>
      <c r="F91" s="1201">
        <v>72</v>
      </c>
      <c r="G91" s="606">
        <f t="shared" si="21"/>
        <v>0</v>
      </c>
      <c r="H91" s="608">
        <f t="shared" si="22"/>
        <v>0</v>
      </c>
      <c r="I91" s="531">
        <f t="shared" si="17"/>
        <v>0</v>
      </c>
      <c r="J91" s="633">
        <v>0</v>
      </c>
      <c r="K91" s="531">
        <f t="shared" si="23"/>
        <v>0</v>
      </c>
      <c r="L91" s="531">
        <f t="shared" si="24"/>
        <v>0</v>
      </c>
      <c r="M91" s="531">
        <f t="shared" si="18"/>
        <v>0</v>
      </c>
      <c r="N91" s="633">
        <v>616.9</v>
      </c>
      <c r="O91" s="531">
        <f t="shared" si="25"/>
        <v>0</v>
      </c>
      <c r="Q91" s="536">
        <f t="shared" si="19"/>
        <v>0.37196427172228747</v>
      </c>
    </row>
    <row r="92" spans="1:17" ht="15" customHeight="1" x14ac:dyDescent="0.6">
      <c r="A92">
        <v>2046</v>
      </c>
      <c r="B92" s="696">
        <v>267.00646280474029</v>
      </c>
      <c r="C92" s="697">
        <v>574</v>
      </c>
      <c r="D92" s="531">
        <f t="shared" si="20"/>
        <v>0</v>
      </c>
      <c r="E92" s="701">
        <v>2297.5</v>
      </c>
      <c r="F92" s="1201">
        <v>73.2</v>
      </c>
      <c r="G92" s="607">
        <f t="shared" si="21"/>
        <v>0</v>
      </c>
      <c r="H92" s="608">
        <f t="shared" si="22"/>
        <v>0</v>
      </c>
      <c r="I92" s="531">
        <f t="shared" si="17"/>
        <v>0</v>
      </c>
      <c r="J92" s="633">
        <v>0</v>
      </c>
      <c r="K92" s="531">
        <f t="shared" si="23"/>
        <v>0</v>
      </c>
      <c r="L92" s="531">
        <f t="shared" si="24"/>
        <v>0</v>
      </c>
      <c r="M92" s="531">
        <f t="shared" si="18"/>
        <v>0</v>
      </c>
      <c r="N92" s="633">
        <v>627.6</v>
      </c>
      <c r="O92" s="531">
        <f t="shared" si="25"/>
        <v>0</v>
      </c>
      <c r="Q92" s="536">
        <f t="shared" si="19"/>
        <v>0.39292006811243463</v>
      </c>
    </row>
    <row r="93" spans="1:17" ht="15" customHeight="1" x14ac:dyDescent="0.6">
      <c r="A93">
        <v>2047</v>
      </c>
      <c r="B93" s="696">
        <v>288.22032856568694</v>
      </c>
      <c r="C93" s="697">
        <v>591.6</v>
      </c>
      <c r="D93" s="531">
        <f t="shared" si="20"/>
        <v>0</v>
      </c>
      <c r="E93" s="701">
        <v>2347.5</v>
      </c>
      <c r="F93" s="1201">
        <v>74.599999999999994</v>
      </c>
      <c r="G93" s="607">
        <f t="shared" si="21"/>
        <v>0</v>
      </c>
      <c r="H93" s="608">
        <f t="shared" si="22"/>
        <v>0</v>
      </c>
      <c r="I93" s="531">
        <f t="shared" si="17"/>
        <v>0</v>
      </c>
      <c r="J93" s="633">
        <v>0</v>
      </c>
      <c r="K93" s="531">
        <f t="shared" si="23"/>
        <v>0</v>
      </c>
      <c r="L93" s="531">
        <f t="shared" si="24"/>
        <v>0</v>
      </c>
      <c r="M93" s="531">
        <f t="shared" si="18"/>
        <v>0</v>
      </c>
      <c r="N93" s="633">
        <v>637.6</v>
      </c>
      <c r="O93" s="531">
        <f t="shared" si="25"/>
        <v>0</v>
      </c>
      <c r="Q93" s="536">
        <f t="shared" si="19"/>
        <v>0.41391761955750794</v>
      </c>
    </row>
    <row r="94" spans="1:17" ht="15" customHeight="1" x14ac:dyDescent="0.6">
      <c r="A94">
        <v>2048</v>
      </c>
      <c r="B94" s="696">
        <v>310.25580494501628</v>
      </c>
      <c r="C94" s="697">
        <v>609.4</v>
      </c>
      <c r="D94" s="531">
        <f t="shared" si="20"/>
        <v>0</v>
      </c>
      <c r="E94" s="701">
        <v>2398.1999999999998</v>
      </c>
      <c r="F94" s="1201">
        <v>76</v>
      </c>
      <c r="G94" s="607">
        <f t="shared" si="21"/>
        <v>0</v>
      </c>
      <c r="H94" s="608">
        <f t="shared" si="22"/>
        <v>0</v>
      </c>
      <c r="I94" s="531">
        <f t="shared" si="17"/>
        <v>0</v>
      </c>
      <c r="J94" s="633">
        <v>0</v>
      </c>
      <c r="K94" s="531">
        <f t="shared" si="23"/>
        <v>0</v>
      </c>
      <c r="L94" s="531">
        <f t="shared" si="24"/>
        <v>0</v>
      </c>
      <c r="M94" s="531">
        <f t="shared" si="18"/>
        <v>0</v>
      </c>
      <c r="N94" s="633">
        <v>649.4</v>
      </c>
      <c r="O94" s="531">
        <f t="shared" si="25"/>
        <v>0</v>
      </c>
      <c r="Q94" s="536">
        <f t="shared" si="19"/>
        <v>0.43493704437815456</v>
      </c>
    </row>
    <row r="95" spans="1:17" ht="15" customHeight="1" x14ac:dyDescent="0.6">
      <c r="A95">
        <v>2049</v>
      </c>
      <c r="B95" s="696">
        <v>333.11368436738849</v>
      </c>
      <c r="C95" s="697">
        <v>627.5</v>
      </c>
      <c r="D95" s="531">
        <f t="shared" si="20"/>
        <v>0</v>
      </c>
      <c r="E95" s="701">
        <v>2441</v>
      </c>
      <c r="F95" s="1201">
        <v>77.099999999999994</v>
      </c>
      <c r="G95" s="607">
        <f t="shared" si="21"/>
        <v>0</v>
      </c>
      <c r="H95" s="608">
        <f t="shared" si="22"/>
        <v>0</v>
      </c>
      <c r="I95" s="531">
        <f t="shared" si="17"/>
        <v>0</v>
      </c>
      <c r="J95" s="633">
        <v>0</v>
      </c>
      <c r="K95" s="531">
        <f t="shared" si="23"/>
        <v>0</v>
      </c>
      <c r="L95" s="531">
        <f t="shared" si="24"/>
        <v>0</v>
      </c>
      <c r="M95" s="531">
        <f t="shared" si="18"/>
        <v>0</v>
      </c>
      <c r="N95" s="633">
        <v>658.1</v>
      </c>
      <c r="O95" s="531">
        <f t="shared" si="25"/>
        <v>0</v>
      </c>
      <c r="Q95" s="536">
        <f t="shared" si="19"/>
        <v>0.45596091495849844</v>
      </c>
    </row>
    <row r="96" spans="1:17" ht="15" customHeight="1" x14ac:dyDescent="0.6">
      <c r="A96">
        <v>2050</v>
      </c>
      <c r="B96" s="696">
        <v>356.79475925723091</v>
      </c>
      <c r="C96" s="697">
        <v>645.70000000000005</v>
      </c>
      <c r="D96" s="531">
        <f t="shared" si="20"/>
        <v>0</v>
      </c>
      <c r="E96" s="702">
        <v>2491.6999999999998</v>
      </c>
      <c r="F96" s="1201">
        <v>78.5</v>
      </c>
      <c r="G96" s="607">
        <f t="shared" si="21"/>
        <v>0</v>
      </c>
      <c r="H96" s="608">
        <f t="shared" si="22"/>
        <v>0</v>
      </c>
      <c r="I96" s="531">
        <f t="shared" si="17"/>
        <v>0</v>
      </c>
      <c r="J96" s="633">
        <v>0</v>
      </c>
      <c r="K96" s="531">
        <f t="shared" si="23"/>
        <v>0</v>
      </c>
      <c r="L96" s="531">
        <f t="shared" si="24"/>
        <v>0</v>
      </c>
      <c r="M96" s="531">
        <f t="shared" si="18"/>
        <v>0</v>
      </c>
      <c r="N96" s="633">
        <v>670.2</v>
      </c>
      <c r="O96" s="531">
        <f t="shared" si="25"/>
        <v>0</v>
      </c>
      <c r="Q96" s="536">
        <f t="shared" si="19"/>
        <v>0.47697415279899624</v>
      </c>
    </row>
    <row r="97" spans="1:17" ht="15" customHeight="1" x14ac:dyDescent="0.6">
      <c r="A97">
        <v>2051</v>
      </c>
      <c r="B97" s="696">
        <v>381.29982203943655</v>
      </c>
      <c r="C97" s="697">
        <v>666.1</v>
      </c>
      <c r="D97" s="531">
        <f t="shared" si="20"/>
        <v>0</v>
      </c>
      <c r="E97" s="701">
        <v>2540.1999999999998</v>
      </c>
      <c r="F97" s="1201">
        <v>79.8</v>
      </c>
      <c r="G97" s="607">
        <f t="shared" si="21"/>
        <v>0</v>
      </c>
      <c r="H97" s="608">
        <f t="shared" si="22"/>
        <v>0</v>
      </c>
      <c r="I97" s="531">
        <f t="shared" si="17"/>
        <v>0</v>
      </c>
      <c r="J97" s="633">
        <v>0</v>
      </c>
      <c r="K97" s="531">
        <f t="shared" si="23"/>
        <v>0</v>
      </c>
      <c r="L97" s="531">
        <f t="shared" si="24"/>
        <v>0</v>
      </c>
      <c r="M97" s="531">
        <f t="shared" si="18"/>
        <v>0</v>
      </c>
      <c r="N97" s="633">
        <v>679.1</v>
      </c>
      <c r="O97" s="531">
        <f t="shared" si="25"/>
        <v>0</v>
      </c>
      <c r="Q97" s="536">
        <f t="shared" si="19"/>
        <v>0.49796376887716426</v>
      </c>
    </row>
    <row r="98" spans="1:17" ht="15" customHeight="1" x14ac:dyDescent="0.6">
      <c r="A98">
        <v>2052</v>
      </c>
      <c r="B98" s="696">
        <v>406.62966513843276</v>
      </c>
      <c r="C98" s="697">
        <v>667.8</v>
      </c>
      <c r="D98" s="531">
        <f t="shared" si="20"/>
        <v>0</v>
      </c>
      <c r="E98" s="701">
        <v>2580.8000000000002</v>
      </c>
      <c r="F98" s="1201">
        <v>80.900000000000006</v>
      </c>
      <c r="G98" s="607">
        <f t="shared" si="21"/>
        <v>0</v>
      </c>
      <c r="H98" s="608">
        <f t="shared" si="22"/>
        <v>0</v>
      </c>
      <c r="I98" s="531">
        <f t="shared" si="17"/>
        <v>0</v>
      </c>
      <c r="J98" s="633">
        <v>0</v>
      </c>
      <c r="K98" s="531">
        <f t="shared" si="23"/>
        <v>0</v>
      </c>
      <c r="L98" s="531">
        <f t="shared" si="24"/>
        <v>0</v>
      </c>
      <c r="M98" s="531">
        <f t="shared" si="18"/>
        <v>0</v>
      </c>
      <c r="N98" s="633">
        <v>689.4</v>
      </c>
      <c r="O98" s="531">
        <f t="shared" si="25"/>
        <v>0</v>
      </c>
      <c r="Q98" s="536">
        <f t="shared" si="19"/>
        <v>0.51978537023180871</v>
      </c>
    </row>
    <row r="99" spans="1:17" ht="15" customHeight="1" x14ac:dyDescent="0.6">
      <c r="A99">
        <v>2053</v>
      </c>
      <c r="B99" s="696">
        <v>432.78508097887971</v>
      </c>
      <c r="C99" s="697">
        <v>668</v>
      </c>
      <c r="D99" s="531">
        <f t="shared" si="20"/>
        <v>0</v>
      </c>
      <c r="E99" s="701">
        <v>2628.6</v>
      </c>
      <c r="F99" s="1201">
        <v>82.1</v>
      </c>
      <c r="G99" s="607">
        <f t="shared" si="21"/>
        <v>0</v>
      </c>
      <c r="H99" s="608">
        <f t="shared" si="22"/>
        <v>0</v>
      </c>
      <c r="I99" s="531">
        <f t="shared" si="17"/>
        <v>0</v>
      </c>
      <c r="J99" s="633">
        <v>0</v>
      </c>
      <c r="K99" s="531">
        <f t="shared" si="23"/>
        <v>0</v>
      </c>
      <c r="L99" s="531">
        <f t="shared" si="24"/>
        <v>0</v>
      </c>
      <c r="M99" s="531">
        <f t="shared" si="18"/>
        <v>0</v>
      </c>
      <c r="N99" s="633">
        <v>698.3</v>
      </c>
      <c r="O99" s="531">
        <f t="shared" si="25"/>
        <v>0</v>
      </c>
      <c r="Q99" s="536">
        <f t="shared" si="19"/>
        <v>0.53982937000556097</v>
      </c>
    </row>
    <row r="100" spans="1:17" ht="15" customHeight="1" x14ac:dyDescent="0.6">
      <c r="A100">
        <v>2054</v>
      </c>
      <c r="B100" s="696">
        <v>459.76686198543757</v>
      </c>
      <c r="C100" s="697">
        <v>668</v>
      </c>
      <c r="D100" s="531">
        <f t="shared" si="20"/>
        <v>0</v>
      </c>
      <c r="E100" s="701">
        <v>2676.3</v>
      </c>
      <c r="F100" s="1201">
        <v>83.4</v>
      </c>
      <c r="G100" s="607">
        <f t="shared" si="21"/>
        <v>0</v>
      </c>
      <c r="H100" s="608">
        <f t="shared" si="22"/>
        <v>0</v>
      </c>
      <c r="I100" s="531">
        <f t="shared" si="17"/>
        <v>0</v>
      </c>
      <c r="J100" s="633">
        <v>0</v>
      </c>
      <c r="K100" s="531">
        <f t="shared" si="23"/>
        <v>0</v>
      </c>
      <c r="L100" s="531">
        <f t="shared" si="24"/>
        <v>0</v>
      </c>
      <c r="M100" s="531">
        <f t="shared" si="18"/>
        <v>0</v>
      </c>
      <c r="N100" s="633">
        <v>709.5</v>
      </c>
      <c r="O100" s="531">
        <f t="shared" si="25"/>
        <v>0</v>
      </c>
      <c r="Q100" s="536">
        <f t="shared" si="19"/>
        <v>0.56068801782909361</v>
      </c>
    </row>
    <row r="101" spans="1:17" ht="15" customHeight="1" x14ac:dyDescent="0.6">
      <c r="A101">
        <v>2055</v>
      </c>
      <c r="B101" s="696">
        <v>487.5758005825337</v>
      </c>
      <c r="C101" s="697">
        <v>668</v>
      </c>
      <c r="D101" s="531">
        <f t="shared" si="20"/>
        <v>0</v>
      </c>
      <c r="E101" s="701">
        <v>2717</v>
      </c>
      <c r="F101" s="1201">
        <v>84.4</v>
      </c>
      <c r="G101" s="607">
        <f t="shared" si="21"/>
        <v>0</v>
      </c>
      <c r="H101" s="608">
        <f t="shared" si="22"/>
        <v>0</v>
      </c>
      <c r="I101" s="531">
        <f t="shared" si="17"/>
        <v>0</v>
      </c>
      <c r="J101" s="633">
        <v>0</v>
      </c>
      <c r="K101" s="531">
        <f t="shared" si="23"/>
        <v>0</v>
      </c>
      <c r="L101" s="531">
        <f t="shared" si="24"/>
        <v>0</v>
      </c>
      <c r="M101" s="531">
        <f t="shared" si="18"/>
        <v>0</v>
      </c>
      <c r="N101" s="633">
        <v>717.5</v>
      </c>
      <c r="O101" s="531">
        <f t="shared" si="25"/>
        <v>0</v>
      </c>
      <c r="Q101" s="536">
        <f t="shared" si="19"/>
        <v>0.58148851418327951</v>
      </c>
    </row>
    <row r="102" spans="1:17" ht="15" customHeight="1" x14ac:dyDescent="0.6">
      <c r="A102">
        <v>2056</v>
      </c>
      <c r="B102" s="696">
        <v>516.2126891950611</v>
      </c>
      <c r="C102" s="697">
        <v>668.2</v>
      </c>
      <c r="D102" s="531">
        <f t="shared" si="20"/>
        <v>0</v>
      </c>
      <c r="E102" s="701">
        <v>2765.5</v>
      </c>
      <c r="F102" s="1201">
        <v>85.7</v>
      </c>
      <c r="G102" s="607">
        <f t="shared" si="21"/>
        <v>0</v>
      </c>
      <c r="H102" s="608">
        <f t="shared" si="22"/>
        <v>0</v>
      </c>
      <c r="I102" s="531">
        <f t="shared" si="17"/>
        <v>0</v>
      </c>
      <c r="J102" s="633">
        <v>0</v>
      </c>
      <c r="K102" s="531">
        <f t="shared" si="23"/>
        <v>0</v>
      </c>
      <c r="L102" s="531">
        <f t="shared" si="24"/>
        <v>0</v>
      </c>
      <c r="M102" s="531">
        <f t="shared" si="18"/>
        <v>0</v>
      </c>
      <c r="N102" s="633">
        <v>726.2</v>
      </c>
      <c r="O102" s="531">
        <f t="shared" si="25"/>
        <v>0</v>
      </c>
      <c r="Q102" s="536">
        <f t="shared" si="19"/>
        <v>0.60222615644770827</v>
      </c>
    </row>
    <row r="103" spans="1:17" ht="15" customHeight="1" x14ac:dyDescent="0.6">
      <c r="A103">
        <v>2057</v>
      </c>
      <c r="B103" s="696">
        <v>545.67832024744712</v>
      </c>
      <c r="C103" s="697">
        <v>668.4</v>
      </c>
      <c r="D103" s="531">
        <f t="shared" si="20"/>
        <v>0</v>
      </c>
      <c r="E103" s="701">
        <v>2806.8</v>
      </c>
      <c r="F103" s="1201">
        <v>86.8</v>
      </c>
      <c r="G103" s="607">
        <f t="shared" si="21"/>
        <v>0</v>
      </c>
      <c r="H103" s="608">
        <f t="shared" si="22"/>
        <v>0</v>
      </c>
      <c r="I103" s="531">
        <f t="shared" si="17"/>
        <v>0</v>
      </c>
      <c r="J103" s="633">
        <v>0</v>
      </c>
      <c r="K103" s="531">
        <f t="shared" si="23"/>
        <v>0</v>
      </c>
      <c r="L103" s="531">
        <f t="shared" si="24"/>
        <v>0</v>
      </c>
      <c r="M103" s="531">
        <f t="shared" si="18"/>
        <v>0</v>
      </c>
      <c r="N103" s="633">
        <v>734.6</v>
      </c>
      <c r="O103" s="531">
        <f t="shared" si="25"/>
        <v>0</v>
      </c>
      <c r="Q103" s="536">
        <f t="shared" si="19"/>
        <v>0.62289721601251535</v>
      </c>
    </row>
    <row r="104" spans="1:17" ht="15" customHeight="1" x14ac:dyDescent="0.6">
      <c r="A104">
        <v>2058</v>
      </c>
      <c r="B104" s="696">
        <v>575.97348616435193</v>
      </c>
      <c r="C104" s="697">
        <v>668.9</v>
      </c>
      <c r="D104" s="531">
        <f t="shared" si="20"/>
        <v>0</v>
      </c>
      <c r="E104" s="701">
        <v>2855.3</v>
      </c>
      <c r="F104" s="1201">
        <v>88</v>
      </c>
      <c r="G104" s="607">
        <f t="shared" si="21"/>
        <v>0</v>
      </c>
      <c r="H104" s="608">
        <f t="shared" si="22"/>
        <v>0</v>
      </c>
      <c r="I104" s="531">
        <f t="shared" si="17"/>
        <v>0</v>
      </c>
      <c r="J104" s="633">
        <v>0</v>
      </c>
      <c r="K104" s="531">
        <f t="shared" si="23"/>
        <v>0</v>
      </c>
      <c r="L104" s="531">
        <f t="shared" si="24"/>
        <v>0</v>
      </c>
      <c r="M104" s="531">
        <f t="shared" si="18"/>
        <v>0</v>
      </c>
      <c r="N104" s="633">
        <v>741.5</v>
      </c>
      <c r="O104" s="531">
        <f t="shared" si="25"/>
        <v>0</v>
      </c>
      <c r="Q104" s="536">
        <f t="shared" si="19"/>
        <v>0.64349867750075218</v>
      </c>
    </row>
    <row r="105" spans="1:17" ht="15" customHeight="1" x14ac:dyDescent="0.6">
      <c r="A105">
        <v>2059</v>
      </c>
      <c r="B105" s="696">
        <v>607.09897937066853</v>
      </c>
      <c r="C105" s="697">
        <v>669.6</v>
      </c>
      <c r="D105" s="531">
        <f t="shared" si="20"/>
        <v>0</v>
      </c>
      <c r="E105" s="701">
        <v>2903.8</v>
      </c>
      <c r="F105" s="1201">
        <v>89.3</v>
      </c>
      <c r="G105" s="607">
        <f t="shared" si="21"/>
        <v>0</v>
      </c>
      <c r="H105" s="608">
        <f t="shared" si="22"/>
        <v>0</v>
      </c>
      <c r="I105" s="531">
        <f t="shared" si="17"/>
        <v>0</v>
      </c>
      <c r="J105" s="633">
        <v>0</v>
      </c>
      <c r="K105" s="531">
        <f t="shared" si="23"/>
        <v>0</v>
      </c>
      <c r="L105" s="531">
        <f t="shared" si="24"/>
        <v>0</v>
      </c>
      <c r="M105" s="531">
        <f t="shared" si="18"/>
        <v>0</v>
      </c>
      <c r="N105" s="633">
        <v>747.8</v>
      </c>
      <c r="O105" s="531">
        <f t="shared" si="25"/>
        <v>0</v>
      </c>
      <c r="Q105" s="536">
        <f t="shared" si="19"/>
        <v>0.66402817313846874</v>
      </c>
    </row>
    <row r="106" spans="1:17" ht="15" customHeight="1" x14ac:dyDescent="0.6">
      <c r="A106">
        <v>2060</v>
      </c>
      <c r="B106" s="696">
        <v>639.05559229059145</v>
      </c>
      <c r="C106" s="697">
        <v>670.3</v>
      </c>
      <c r="D106" s="531">
        <f t="shared" si="20"/>
        <v>0</v>
      </c>
      <c r="E106" s="701">
        <v>2943.7</v>
      </c>
      <c r="F106" s="1201">
        <v>90.3</v>
      </c>
      <c r="G106" s="607">
        <f t="shared" si="21"/>
        <v>0</v>
      </c>
      <c r="H106" s="608">
        <f t="shared" si="22"/>
        <v>0</v>
      </c>
      <c r="I106" s="531">
        <f t="shared" si="17"/>
        <v>0</v>
      </c>
      <c r="J106" s="633">
        <v>0</v>
      </c>
      <c r="K106" s="531">
        <f t="shared" si="23"/>
        <v>0</v>
      </c>
      <c r="L106" s="531">
        <f t="shared" si="24"/>
        <v>0</v>
      </c>
      <c r="M106" s="531">
        <f t="shared" si="18"/>
        <v>0</v>
      </c>
      <c r="N106" s="633">
        <v>753.4</v>
      </c>
      <c r="O106" s="531">
        <f t="shared" si="25"/>
        <v>0</v>
      </c>
      <c r="Q106" s="536">
        <f t="shared" si="19"/>
        <v>0.68448411071692761</v>
      </c>
    </row>
    <row r="107" spans="1:17" ht="15" customHeight="1" x14ac:dyDescent="0.4"/>
    <row r="108" spans="1:17" ht="15" customHeight="1" x14ac:dyDescent="0.4">
      <c r="A108" t="s">
        <v>351</v>
      </c>
    </row>
    <row r="109" spans="1:17" ht="100" customHeight="1" x14ac:dyDescent="0.4">
      <c r="B109" s="899" t="s">
        <v>1076</v>
      </c>
      <c r="C109" s="735" t="s">
        <v>384</v>
      </c>
      <c r="D109" s="735" t="s">
        <v>386</v>
      </c>
      <c r="E109" s="735" t="s">
        <v>1080</v>
      </c>
      <c r="F109" s="1204" t="s">
        <v>1116</v>
      </c>
      <c r="G109" s="735" t="s">
        <v>385</v>
      </c>
      <c r="H109" s="1204" t="s">
        <v>1081</v>
      </c>
      <c r="I109" s="735" t="s">
        <v>350</v>
      </c>
      <c r="J109" s="1210" t="s">
        <v>1118</v>
      </c>
      <c r="K109" s="735" t="s">
        <v>343</v>
      </c>
      <c r="L109" s="735" t="s">
        <v>344</v>
      </c>
      <c r="M109" s="735" t="s">
        <v>345</v>
      </c>
      <c r="N109" s="1204" t="s">
        <v>1117</v>
      </c>
      <c r="O109" s="735" t="s">
        <v>346</v>
      </c>
      <c r="P109" s="609"/>
      <c r="Q109" s="735" t="s">
        <v>352</v>
      </c>
    </row>
    <row r="110" spans="1:17" ht="15" customHeight="1" x14ac:dyDescent="0.6">
      <c r="A110">
        <v>2014</v>
      </c>
      <c r="B110" s="696">
        <v>1.67</v>
      </c>
      <c r="C110" s="697">
        <v>117.3</v>
      </c>
      <c r="D110" s="531">
        <f>IF((B110-C110)&lt;0,0,(B110-C110))</f>
        <v>0</v>
      </c>
      <c r="E110" s="699">
        <v>903.9</v>
      </c>
      <c r="F110" s="1202">
        <v>32.5</v>
      </c>
      <c r="G110" s="606">
        <f>D110/E110</f>
        <v>0</v>
      </c>
      <c r="H110" s="608">
        <f>G110*E110</f>
        <v>0</v>
      </c>
      <c r="I110" s="531">
        <f t="shared" ref="I110:I156" si="26">IF(H110&gt;D110,0,D110-H110)</f>
        <v>0</v>
      </c>
      <c r="J110" s="633">
        <v>0</v>
      </c>
      <c r="K110" s="531">
        <f>J110*$BN$69</f>
        <v>0</v>
      </c>
      <c r="L110" s="531">
        <f>MIN(I110,K110)</f>
        <v>0</v>
      </c>
      <c r="M110" s="531">
        <f t="shared" ref="M110:M156" si="27">I110-L110</f>
        <v>0</v>
      </c>
      <c r="N110" s="633">
        <v>89.5</v>
      </c>
      <c r="O110" s="531">
        <f>M110/$BN$31</f>
        <v>0</v>
      </c>
      <c r="Q110" s="536">
        <f t="shared" ref="Q110:Q156" si="28">B110/AC10</f>
        <v>5.7986111111111112E-3</v>
      </c>
    </row>
    <row r="111" spans="1:17" ht="15" customHeight="1" x14ac:dyDescent="0.6">
      <c r="A111">
        <v>2015</v>
      </c>
      <c r="B111" s="696">
        <v>2.0299999999999998</v>
      </c>
      <c r="C111" s="697">
        <v>118.1</v>
      </c>
      <c r="D111" s="531">
        <f t="shared" ref="D111:D156" si="29">IF((B111-C111)&lt;0,0,(B111-C111))</f>
        <v>0</v>
      </c>
      <c r="E111" s="699">
        <v>903.9</v>
      </c>
      <c r="F111" s="1202">
        <v>32.5</v>
      </c>
      <c r="G111" s="606">
        <f t="shared" ref="G111:G156" si="30">D111/E111</f>
        <v>0</v>
      </c>
      <c r="H111" s="608">
        <f t="shared" ref="H111:H156" si="31">G111*E111</f>
        <v>0</v>
      </c>
      <c r="I111" s="531">
        <f t="shared" si="26"/>
        <v>0</v>
      </c>
      <c r="J111" s="633">
        <v>0</v>
      </c>
      <c r="K111" s="531">
        <f t="shared" ref="K111:K156" si="32">J111*$BN$69</f>
        <v>0</v>
      </c>
      <c r="L111" s="531">
        <f t="shared" ref="L111:L156" si="33">MIN(I111,K111)</f>
        <v>0</v>
      </c>
      <c r="M111" s="531">
        <f t="shared" si="27"/>
        <v>0</v>
      </c>
      <c r="N111" s="633">
        <v>90.3</v>
      </c>
      <c r="O111" s="531">
        <f t="shared" ref="O111:O156" si="34">M111/$BN$31</f>
        <v>0</v>
      </c>
      <c r="Q111" s="536">
        <f t="shared" si="28"/>
        <v>6.7892976588628754E-3</v>
      </c>
    </row>
    <row r="112" spans="1:17" ht="15" customHeight="1" x14ac:dyDescent="0.6">
      <c r="A112">
        <v>2016</v>
      </c>
      <c r="B112" s="696">
        <v>2.0499999999999998</v>
      </c>
      <c r="C112" s="697">
        <v>117.1</v>
      </c>
      <c r="D112" s="531">
        <f t="shared" si="29"/>
        <v>0</v>
      </c>
      <c r="E112" s="699">
        <v>903.9</v>
      </c>
      <c r="F112" s="1202">
        <v>32.5</v>
      </c>
      <c r="G112" s="606">
        <f t="shared" si="30"/>
        <v>0</v>
      </c>
      <c r="H112" s="608">
        <f t="shared" si="31"/>
        <v>0</v>
      </c>
      <c r="I112" s="531">
        <f t="shared" si="26"/>
        <v>0</v>
      </c>
      <c r="J112" s="633">
        <v>0</v>
      </c>
      <c r="K112" s="531">
        <f t="shared" si="32"/>
        <v>0</v>
      </c>
      <c r="L112" s="531">
        <f t="shared" si="33"/>
        <v>0</v>
      </c>
      <c r="M112" s="531">
        <f t="shared" si="27"/>
        <v>0</v>
      </c>
      <c r="N112" s="633">
        <v>91.7</v>
      </c>
      <c r="O112" s="531">
        <f t="shared" si="34"/>
        <v>0</v>
      </c>
      <c r="Q112" s="536">
        <f t="shared" si="28"/>
        <v>6.591639871382636E-3</v>
      </c>
    </row>
    <row r="113" spans="1:17" ht="15" customHeight="1" x14ac:dyDescent="0.6">
      <c r="A113">
        <v>2017</v>
      </c>
      <c r="B113" s="696">
        <v>2.27</v>
      </c>
      <c r="C113" s="697">
        <v>116.6</v>
      </c>
      <c r="D113" s="531">
        <f t="shared" si="29"/>
        <v>0</v>
      </c>
      <c r="E113" s="699">
        <v>903.9</v>
      </c>
      <c r="F113" s="1202">
        <v>32.5</v>
      </c>
      <c r="G113" s="606">
        <f t="shared" si="30"/>
        <v>0</v>
      </c>
      <c r="H113" s="608">
        <f t="shared" si="31"/>
        <v>0</v>
      </c>
      <c r="I113" s="531">
        <f t="shared" si="26"/>
        <v>0</v>
      </c>
      <c r="J113" s="633">
        <v>0</v>
      </c>
      <c r="K113" s="531">
        <f t="shared" si="32"/>
        <v>0</v>
      </c>
      <c r="L113" s="531">
        <f t="shared" si="33"/>
        <v>0</v>
      </c>
      <c r="M113" s="531">
        <f t="shared" si="27"/>
        <v>0</v>
      </c>
      <c r="N113" s="633">
        <v>92.7</v>
      </c>
      <c r="O113" s="531">
        <f t="shared" si="34"/>
        <v>0</v>
      </c>
      <c r="Q113" s="536">
        <f t="shared" si="28"/>
        <v>7.0496894409937888E-3</v>
      </c>
    </row>
    <row r="114" spans="1:17" ht="15" customHeight="1" x14ac:dyDescent="0.6">
      <c r="A114">
        <v>2018</v>
      </c>
      <c r="B114" s="696">
        <v>2.1100000000001273</v>
      </c>
      <c r="C114" s="697">
        <v>116.5</v>
      </c>
      <c r="D114" s="531">
        <f t="shared" si="29"/>
        <v>0</v>
      </c>
      <c r="E114" s="699">
        <v>903.9</v>
      </c>
      <c r="F114" s="1202">
        <v>32.5</v>
      </c>
      <c r="G114" s="606">
        <f t="shared" si="30"/>
        <v>0</v>
      </c>
      <c r="H114" s="608">
        <f t="shared" si="31"/>
        <v>0</v>
      </c>
      <c r="I114" s="531">
        <f t="shared" si="26"/>
        <v>0</v>
      </c>
      <c r="J114" s="633">
        <v>0</v>
      </c>
      <c r="K114" s="531">
        <f t="shared" si="32"/>
        <v>0</v>
      </c>
      <c r="L114" s="531">
        <f t="shared" si="33"/>
        <v>0</v>
      </c>
      <c r="M114" s="531">
        <f t="shared" si="27"/>
        <v>0</v>
      </c>
      <c r="N114" s="633">
        <v>98.8</v>
      </c>
      <c r="O114" s="531">
        <f t="shared" si="34"/>
        <v>0</v>
      </c>
      <c r="Q114" s="536">
        <f t="shared" si="28"/>
        <v>6.298507462686947E-3</v>
      </c>
    </row>
    <row r="115" spans="1:17" ht="15" customHeight="1" x14ac:dyDescent="0.6">
      <c r="A115">
        <v>2019</v>
      </c>
      <c r="B115" s="696">
        <v>2.9085714285715767</v>
      </c>
      <c r="C115" s="697">
        <v>136.30000000000001</v>
      </c>
      <c r="D115" s="531">
        <f t="shared" si="29"/>
        <v>0</v>
      </c>
      <c r="E115" s="699">
        <v>976.6</v>
      </c>
      <c r="F115" s="1202">
        <v>34.799999999999997</v>
      </c>
      <c r="G115" s="606">
        <f t="shared" si="30"/>
        <v>0</v>
      </c>
      <c r="H115" s="608">
        <f t="shared" si="31"/>
        <v>0</v>
      </c>
      <c r="I115" s="531">
        <f t="shared" si="26"/>
        <v>0</v>
      </c>
      <c r="J115" s="633">
        <v>0</v>
      </c>
      <c r="K115" s="531">
        <f t="shared" si="32"/>
        <v>0</v>
      </c>
      <c r="L115" s="531">
        <f t="shared" si="33"/>
        <v>0</v>
      </c>
      <c r="M115" s="531">
        <f t="shared" si="27"/>
        <v>0</v>
      </c>
      <c r="N115" s="633">
        <v>152.9</v>
      </c>
      <c r="O115" s="531">
        <f t="shared" si="34"/>
        <v>0</v>
      </c>
      <c r="Q115" s="536">
        <f t="shared" si="28"/>
        <v>8.35796387520568E-3</v>
      </c>
    </row>
    <row r="116" spans="1:17" ht="15" customHeight="1" x14ac:dyDescent="0.6">
      <c r="A116">
        <v>2020</v>
      </c>
      <c r="B116" s="696">
        <v>3.707142857143026</v>
      </c>
      <c r="C116" s="697">
        <v>162.1</v>
      </c>
      <c r="D116" s="531">
        <f t="shared" si="29"/>
        <v>0</v>
      </c>
      <c r="E116" s="702">
        <v>1041.5</v>
      </c>
      <c r="F116" s="1203">
        <v>36.9</v>
      </c>
      <c r="G116" s="606">
        <f t="shared" si="30"/>
        <v>0</v>
      </c>
      <c r="H116" s="608">
        <f t="shared" si="31"/>
        <v>0</v>
      </c>
      <c r="I116" s="531">
        <f t="shared" si="26"/>
        <v>0</v>
      </c>
      <c r="J116" s="633">
        <v>0</v>
      </c>
      <c r="K116" s="531">
        <f t="shared" si="32"/>
        <v>0</v>
      </c>
      <c r="L116" s="531">
        <f t="shared" si="33"/>
        <v>0</v>
      </c>
      <c r="M116" s="531">
        <f t="shared" si="27"/>
        <v>0</v>
      </c>
      <c r="N116" s="633">
        <v>187.7</v>
      </c>
      <c r="O116" s="531">
        <f t="shared" si="34"/>
        <v>0</v>
      </c>
      <c r="Q116" s="536">
        <f t="shared" si="28"/>
        <v>1.0326303223239627E-2</v>
      </c>
    </row>
    <row r="117" spans="1:17" ht="15" customHeight="1" x14ac:dyDescent="0.6">
      <c r="A117">
        <v>2021</v>
      </c>
      <c r="B117" s="696">
        <v>4.505714285714248</v>
      </c>
      <c r="C117" s="697">
        <v>188.7</v>
      </c>
      <c r="D117" s="531">
        <f t="shared" si="29"/>
        <v>0</v>
      </c>
      <c r="E117" s="701">
        <v>1105.5999999999999</v>
      </c>
      <c r="F117" s="1203">
        <v>38.9</v>
      </c>
      <c r="G117" s="606">
        <f t="shared" si="30"/>
        <v>0</v>
      </c>
      <c r="H117" s="608">
        <f t="shared" si="31"/>
        <v>0</v>
      </c>
      <c r="I117" s="531">
        <f t="shared" si="26"/>
        <v>0</v>
      </c>
      <c r="J117" s="633">
        <v>0</v>
      </c>
      <c r="K117" s="531">
        <f t="shared" si="32"/>
        <v>0</v>
      </c>
      <c r="L117" s="531">
        <f t="shared" si="33"/>
        <v>0</v>
      </c>
      <c r="M117" s="531">
        <f t="shared" si="27"/>
        <v>0</v>
      </c>
      <c r="N117" s="633">
        <v>219.5</v>
      </c>
      <c r="O117" s="531">
        <f t="shared" si="34"/>
        <v>0</v>
      </c>
      <c r="Q117" s="536">
        <f t="shared" si="28"/>
        <v>1.3109329324773428E-2</v>
      </c>
    </row>
    <row r="118" spans="1:17" ht="15" customHeight="1" x14ac:dyDescent="0.6">
      <c r="A118">
        <v>2022</v>
      </c>
      <c r="B118" s="696">
        <v>5.3042857142856974</v>
      </c>
      <c r="C118" s="697">
        <v>215.8</v>
      </c>
      <c r="D118" s="531">
        <f t="shared" si="29"/>
        <v>0</v>
      </c>
      <c r="E118" s="701">
        <v>1170.5</v>
      </c>
      <c r="F118" s="1203">
        <v>40.799999999999997</v>
      </c>
      <c r="G118" s="606">
        <f t="shared" si="30"/>
        <v>0</v>
      </c>
      <c r="H118" s="608">
        <f t="shared" si="31"/>
        <v>0</v>
      </c>
      <c r="I118" s="531">
        <f t="shared" si="26"/>
        <v>0</v>
      </c>
      <c r="J118" s="633">
        <v>0</v>
      </c>
      <c r="K118" s="531">
        <f t="shared" si="32"/>
        <v>0</v>
      </c>
      <c r="L118" s="531">
        <f t="shared" si="33"/>
        <v>0</v>
      </c>
      <c r="M118" s="531">
        <f t="shared" si="27"/>
        <v>0</v>
      </c>
      <c r="N118" s="633">
        <v>251.6</v>
      </c>
      <c r="O118" s="531">
        <f t="shared" si="34"/>
        <v>0</v>
      </c>
      <c r="Q118" s="536">
        <f t="shared" si="28"/>
        <v>1.4878846406352324E-2</v>
      </c>
    </row>
    <row r="119" spans="1:17" ht="15" customHeight="1" x14ac:dyDescent="0.6">
      <c r="A119">
        <v>2023</v>
      </c>
      <c r="B119" s="696">
        <v>6.1028571428571468</v>
      </c>
      <c r="C119" s="697">
        <v>243.2</v>
      </c>
      <c r="D119" s="531">
        <f t="shared" si="29"/>
        <v>0</v>
      </c>
      <c r="E119" s="701">
        <v>1243.3</v>
      </c>
      <c r="F119" s="1203">
        <v>43</v>
      </c>
      <c r="G119" s="606">
        <f t="shared" si="30"/>
        <v>0</v>
      </c>
      <c r="H119" s="608">
        <f t="shared" si="31"/>
        <v>0</v>
      </c>
      <c r="I119" s="531">
        <f t="shared" si="26"/>
        <v>0</v>
      </c>
      <c r="J119" s="633">
        <v>0</v>
      </c>
      <c r="K119" s="531">
        <f t="shared" si="32"/>
        <v>0</v>
      </c>
      <c r="L119" s="531">
        <f t="shared" si="33"/>
        <v>0</v>
      </c>
      <c r="M119" s="531">
        <f t="shared" si="27"/>
        <v>0</v>
      </c>
      <c r="N119" s="633">
        <v>283.5</v>
      </c>
      <c r="O119" s="531">
        <f t="shared" si="34"/>
        <v>0</v>
      </c>
      <c r="Q119" s="536">
        <f t="shared" si="28"/>
        <v>1.666513396245075E-2</v>
      </c>
    </row>
    <row r="120" spans="1:17" ht="15" customHeight="1" x14ac:dyDescent="0.6">
      <c r="A120">
        <v>2024</v>
      </c>
      <c r="B120" s="696">
        <v>6.9014285714285961</v>
      </c>
      <c r="C120" s="697">
        <v>271.60000000000002</v>
      </c>
      <c r="D120" s="531">
        <f t="shared" si="29"/>
        <v>0</v>
      </c>
      <c r="E120" s="701">
        <v>1308.0999999999999</v>
      </c>
      <c r="F120" s="1203">
        <v>45</v>
      </c>
      <c r="G120" s="606">
        <f t="shared" si="30"/>
        <v>0</v>
      </c>
      <c r="H120" s="608">
        <f t="shared" si="31"/>
        <v>0</v>
      </c>
      <c r="I120" s="531">
        <f t="shared" si="26"/>
        <v>0</v>
      </c>
      <c r="J120" s="633">
        <v>0</v>
      </c>
      <c r="K120" s="531">
        <f t="shared" si="32"/>
        <v>0</v>
      </c>
      <c r="L120" s="531">
        <f t="shared" si="33"/>
        <v>0</v>
      </c>
      <c r="M120" s="531">
        <f t="shared" si="27"/>
        <v>0</v>
      </c>
      <c r="N120" s="633">
        <v>315.8</v>
      </c>
      <c r="O120" s="531">
        <f t="shared" si="34"/>
        <v>0</v>
      </c>
      <c r="Q120" s="536">
        <f t="shared" si="28"/>
        <v>1.8359266752466925E-2</v>
      </c>
    </row>
    <row r="121" spans="1:17" ht="15" customHeight="1" x14ac:dyDescent="0.6">
      <c r="A121">
        <v>2025</v>
      </c>
      <c r="B121" s="696">
        <v>7.7000000000000455</v>
      </c>
      <c r="C121" s="697">
        <v>300.3</v>
      </c>
      <c r="D121" s="531">
        <f t="shared" si="29"/>
        <v>0</v>
      </c>
      <c r="E121" s="701">
        <v>1373</v>
      </c>
      <c r="F121" s="1203">
        <v>46.9</v>
      </c>
      <c r="G121" s="606">
        <f t="shared" si="30"/>
        <v>0</v>
      </c>
      <c r="H121" s="608">
        <f t="shared" si="31"/>
        <v>0</v>
      </c>
      <c r="I121" s="531">
        <f t="shared" si="26"/>
        <v>0</v>
      </c>
      <c r="J121" s="633">
        <v>0</v>
      </c>
      <c r="K121" s="531">
        <f t="shared" si="32"/>
        <v>0</v>
      </c>
      <c r="L121" s="531">
        <f t="shared" si="33"/>
        <v>0</v>
      </c>
      <c r="M121" s="531">
        <f t="shared" si="27"/>
        <v>0</v>
      </c>
      <c r="N121" s="633">
        <v>341.8</v>
      </c>
      <c r="O121" s="531">
        <f t="shared" si="34"/>
        <v>0</v>
      </c>
      <c r="Q121" s="536">
        <f t="shared" si="28"/>
        <v>1.9968542587738704E-2</v>
      </c>
    </row>
    <row r="122" spans="1:17" ht="15" customHeight="1" x14ac:dyDescent="0.6">
      <c r="A122">
        <v>2026</v>
      </c>
      <c r="B122" s="696">
        <v>10.01507231593132</v>
      </c>
      <c r="C122" s="697">
        <v>328</v>
      </c>
      <c r="D122" s="531">
        <f t="shared" si="29"/>
        <v>0</v>
      </c>
      <c r="E122" s="701">
        <v>1437.2</v>
      </c>
      <c r="F122" s="1203">
        <v>48.8</v>
      </c>
      <c r="G122" s="606">
        <f t="shared" si="30"/>
        <v>0</v>
      </c>
      <c r="H122" s="608">
        <f t="shared" si="31"/>
        <v>0</v>
      </c>
      <c r="I122" s="531">
        <f t="shared" si="26"/>
        <v>0</v>
      </c>
      <c r="J122" s="633">
        <v>0</v>
      </c>
      <c r="K122" s="531">
        <f t="shared" si="32"/>
        <v>0</v>
      </c>
      <c r="L122" s="531">
        <f t="shared" si="33"/>
        <v>0</v>
      </c>
      <c r="M122" s="531">
        <f t="shared" si="27"/>
        <v>0</v>
      </c>
      <c r="N122" s="633">
        <v>373.9</v>
      </c>
      <c r="O122" s="531">
        <f t="shared" si="34"/>
        <v>0</v>
      </c>
      <c r="Q122" s="536">
        <f t="shared" si="28"/>
        <v>2.521818085398736E-2</v>
      </c>
    </row>
    <row r="123" spans="1:17" ht="15" customHeight="1" x14ac:dyDescent="0.6">
      <c r="A123">
        <v>2027</v>
      </c>
      <c r="B123" s="696">
        <v>12.796174675226212</v>
      </c>
      <c r="C123" s="697">
        <v>356</v>
      </c>
      <c r="D123" s="531">
        <f t="shared" si="29"/>
        <v>0</v>
      </c>
      <c r="E123" s="701">
        <v>1509.9</v>
      </c>
      <c r="F123" s="1203">
        <v>50.9</v>
      </c>
      <c r="G123" s="606">
        <f t="shared" si="30"/>
        <v>0</v>
      </c>
      <c r="H123" s="608">
        <f t="shared" si="31"/>
        <v>0</v>
      </c>
      <c r="I123" s="531">
        <f t="shared" si="26"/>
        <v>0</v>
      </c>
      <c r="J123" s="633">
        <v>0</v>
      </c>
      <c r="K123" s="531">
        <f t="shared" si="32"/>
        <v>0</v>
      </c>
      <c r="L123" s="531">
        <f t="shared" si="33"/>
        <v>0</v>
      </c>
      <c r="M123" s="531">
        <f t="shared" si="27"/>
        <v>0</v>
      </c>
      <c r="N123" s="633">
        <v>400.5</v>
      </c>
      <c r="O123" s="531">
        <f t="shared" si="34"/>
        <v>0</v>
      </c>
      <c r="Q123" s="536">
        <f t="shared" si="28"/>
        <v>3.1295130927436077E-2</v>
      </c>
    </row>
    <row r="124" spans="1:17" ht="15" customHeight="1" x14ac:dyDescent="0.6">
      <c r="A124">
        <v>2028</v>
      </c>
      <c r="B124" s="696">
        <v>16.557258695363998</v>
      </c>
      <c r="C124" s="697">
        <v>384.3</v>
      </c>
      <c r="D124" s="531">
        <f t="shared" si="29"/>
        <v>0</v>
      </c>
      <c r="E124" s="701">
        <v>1574.8</v>
      </c>
      <c r="F124" s="1203">
        <v>52.8</v>
      </c>
      <c r="G124" s="606">
        <f t="shared" si="30"/>
        <v>0</v>
      </c>
      <c r="H124" s="608">
        <f t="shared" si="31"/>
        <v>0</v>
      </c>
      <c r="I124" s="531">
        <f t="shared" si="26"/>
        <v>0</v>
      </c>
      <c r="J124" s="633">
        <v>0</v>
      </c>
      <c r="K124" s="531">
        <f t="shared" si="32"/>
        <v>0</v>
      </c>
      <c r="L124" s="531">
        <f t="shared" si="33"/>
        <v>0</v>
      </c>
      <c r="M124" s="531">
        <f t="shared" si="27"/>
        <v>0</v>
      </c>
      <c r="N124" s="633">
        <v>434.3</v>
      </c>
      <c r="O124" s="531">
        <f t="shared" si="34"/>
        <v>0</v>
      </c>
      <c r="Q124" s="536">
        <f t="shared" si="28"/>
        <v>3.9341188237301754E-2</v>
      </c>
    </row>
    <row r="125" spans="1:17" ht="15" customHeight="1" x14ac:dyDescent="0.6">
      <c r="A125">
        <v>2029</v>
      </c>
      <c r="B125" s="696">
        <v>21.475166767835617</v>
      </c>
      <c r="C125" s="697">
        <v>412.8</v>
      </c>
      <c r="D125" s="531">
        <f t="shared" si="29"/>
        <v>0</v>
      </c>
      <c r="E125" s="701">
        <v>1639.7</v>
      </c>
      <c r="F125" s="1203">
        <v>54.6</v>
      </c>
      <c r="G125" s="606">
        <f t="shared" si="30"/>
        <v>0</v>
      </c>
      <c r="H125" s="608">
        <f t="shared" si="31"/>
        <v>0</v>
      </c>
      <c r="I125" s="531">
        <f t="shared" si="26"/>
        <v>0</v>
      </c>
      <c r="J125" s="633">
        <v>0</v>
      </c>
      <c r="K125" s="531">
        <f t="shared" si="32"/>
        <v>0</v>
      </c>
      <c r="L125" s="531">
        <f t="shared" si="33"/>
        <v>0</v>
      </c>
      <c r="M125" s="531">
        <f t="shared" si="27"/>
        <v>0</v>
      </c>
      <c r="N125" s="633">
        <v>465.7</v>
      </c>
      <c r="O125" s="531">
        <f t="shared" si="34"/>
        <v>0</v>
      </c>
      <c r="Q125" s="536">
        <f t="shared" si="28"/>
        <v>4.9588022684379687E-2</v>
      </c>
    </row>
    <row r="126" spans="1:17" ht="15" customHeight="1" x14ac:dyDescent="0.6">
      <c r="A126">
        <v>2030</v>
      </c>
      <c r="B126" s="696">
        <v>27.726740807294846</v>
      </c>
      <c r="C126" s="697">
        <v>441.7</v>
      </c>
      <c r="D126" s="531">
        <f t="shared" si="29"/>
        <v>0</v>
      </c>
      <c r="E126" s="701">
        <v>1712.4</v>
      </c>
      <c r="F126" s="1203">
        <v>56.7</v>
      </c>
      <c r="G126" s="606">
        <f t="shared" si="30"/>
        <v>0</v>
      </c>
      <c r="H126" s="608">
        <f t="shared" si="31"/>
        <v>0</v>
      </c>
      <c r="I126" s="531">
        <f t="shared" si="26"/>
        <v>0</v>
      </c>
      <c r="J126" s="633">
        <v>0</v>
      </c>
      <c r="K126" s="531">
        <f t="shared" si="32"/>
        <v>0</v>
      </c>
      <c r="L126" s="531">
        <f t="shared" si="33"/>
        <v>0</v>
      </c>
      <c r="M126" s="531">
        <f t="shared" si="27"/>
        <v>0</v>
      </c>
      <c r="N126" s="633">
        <v>500.1</v>
      </c>
      <c r="O126" s="531">
        <f t="shared" si="34"/>
        <v>0</v>
      </c>
      <c r="Q126" s="536">
        <f t="shared" si="28"/>
        <v>6.2234730565141574E-2</v>
      </c>
    </row>
    <row r="127" spans="1:17" ht="15" customHeight="1" x14ac:dyDescent="0.6">
      <c r="A127">
        <v>2031</v>
      </c>
      <c r="B127" s="696">
        <v>35.488823384046555</v>
      </c>
      <c r="C127" s="697">
        <v>466.6</v>
      </c>
      <c r="D127" s="531">
        <f t="shared" si="29"/>
        <v>0</v>
      </c>
      <c r="E127" s="701">
        <v>1778.8</v>
      </c>
      <c r="F127" s="1203">
        <v>58.6</v>
      </c>
      <c r="G127" s="606">
        <f t="shared" si="30"/>
        <v>0</v>
      </c>
      <c r="H127" s="608">
        <f t="shared" si="31"/>
        <v>0</v>
      </c>
      <c r="I127" s="531">
        <f t="shared" si="26"/>
        <v>0</v>
      </c>
      <c r="J127" s="633">
        <v>0</v>
      </c>
      <c r="K127" s="531">
        <f t="shared" si="32"/>
        <v>0</v>
      </c>
      <c r="L127" s="531">
        <f t="shared" si="33"/>
        <v>0</v>
      </c>
      <c r="M127" s="531">
        <f t="shared" si="27"/>
        <v>0</v>
      </c>
      <c r="N127" s="633">
        <v>521.6</v>
      </c>
      <c r="O127" s="531">
        <f t="shared" si="34"/>
        <v>0</v>
      </c>
      <c r="Q127" s="536">
        <f t="shared" si="28"/>
        <v>7.7450921743503931E-2</v>
      </c>
    </row>
    <row r="128" spans="1:17" ht="15" customHeight="1" x14ac:dyDescent="0.6">
      <c r="A128">
        <v>2032</v>
      </c>
      <c r="B128" s="696">
        <v>44.938256591558456</v>
      </c>
      <c r="C128" s="697">
        <v>492</v>
      </c>
      <c r="D128" s="531">
        <f t="shared" si="29"/>
        <v>0</v>
      </c>
      <c r="E128" s="701">
        <v>1845.1</v>
      </c>
      <c r="F128" s="1203">
        <v>60.4</v>
      </c>
      <c r="G128" s="606">
        <f t="shared" si="30"/>
        <v>0</v>
      </c>
      <c r="H128" s="608">
        <f t="shared" si="31"/>
        <v>0</v>
      </c>
      <c r="I128" s="531">
        <f t="shared" si="26"/>
        <v>0</v>
      </c>
      <c r="J128" s="633">
        <v>0</v>
      </c>
      <c r="K128" s="531">
        <f t="shared" si="32"/>
        <v>0</v>
      </c>
      <c r="L128" s="531">
        <f t="shared" si="33"/>
        <v>0</v>
      </c>
      <c r="M128" s="531">
        <f t="shared" si="27"/>
        <v>0</v>
      </c>
      <c r="N128" s="633">
        <v>537.1</v>
      </c>
      <c r="O128" s="531">
        <f t="shared" si="34"/>
        <v>0</v>
      </c>
      <c r="Q128" s="536">
        <f t="shared" si="28"/>
        <v>9.5379544490681215E-2</v>
      </c>
    </row>
    <row r="129" spans="1:17" ht="15" customHeight="1" x14ac:dyDescent="0.6">
      <c r="A129">
        <v>2033</v>
      </c>
      <c r="B129" s="696">
        <v>56.251882582902908</v>
      </c>
      <c r="C129" s="697">
        <v>517.9</v>
      </c>
      <c r="D129" s="531">
        <f t="shared" si="29"/>
        <v>0</v>
      </c>
      <c r="E129" s="701">
        <v>1911.5</v>
      </c>
      <c r="F129" s="1203">
        <v>62.3</v>
      </c>
      <c r="G129" s="606">
        <f t="shared" si="30"/>
        <v>0</v>
      </c>
      <c r="H129" s="608">
        <f t="shared" si="31"/>
        <v>0</v>
      </c>
      <c r="I129" s="531">
        <f t="shared" si="26"/>
        <v>0</v>
      </c>
      <c r="J129" s="633">
        <v>0</v>
      </c>
      <c r="K129" s="531">
        <f t="shared" si="32"/>
        <v>0</v>
      </c>
      <c r="L129" s="531">
        <f t="shared" si="33"/>
        <v>0</v>
      </c>
      <c r="M129" s="531">
        <f t="shared" si="27"/>
        <v>0</v>
      </c>
      <c r="N129" s="633">
        <v>559.70000000000005</v>
      </c>
      <c r="O129" s="531">
        <f t="shared" si="34"/>
        <v>0</v>
      </c>
      <c r="Q129" s="536">
        <f t="shared" si="28"/>
        <v>0.11613952923036935</v>
      </c>
    </row>
    <row r="130" spans="1:17" ht="15" customHeight="1" x14ac:dyDescent="0.6">
      <c r="A130">
        <v>2034</v>
      </c>
      <c r="B130" s="696">
        <v>69.606543749570847</v>
      </c>
      <c r="C130" s="697">
        <v>544.1</v>
      </c>
      <c r="D130" s="531">
        <f t="shared" si="29"/>
        <v>0</v>
      </c>
      <c r="E130" s="701">
        <v>1985.7</v>
      </c>
      <c r="F130" s="1203">
        <v>64.3</v>
      </c>
      <c r="G130" s="606">
        <f t="shared" si="30"/>
        <v>0</v>
      </c>
      <c r="H130" s="608">
        <f t="shared" si="31"/>
        <v>0</v>
      </c>
      <c r="I130" s="531">
        <f t="shared" si="26"/>
        <v>0</v>
      </c>
      <c r="J130" s="633">
        <v>0</v>
      </c>
      <c r="K130" s="531">
        <f t="shared" si="32"/>
        <v>0</v>
      </c>
      <c r="L130" s="531">
        <f t="shared" si="33"/>
        <v>0</v>
      </c>
      <c r="M130" s="531">
        <f t="shared" si="27"/>
        <v>0</v>
      </c>
      <c r="N130" s="633">
        <v>584.29999999999995</v>
      </c>
      <c r="O130" s="531">
        <f t="shared" si="34"/>
        <v>0</v>
      </c>
      <c r="Q130" s="536">
        <f t="shared" si="28"/>
        <v>0.13982820934983656</v>
      </c>
    </row>
    <row r="131" spans="1:17" ht="15" customHeight="1" x14ac:dyDescent="0.6">
      <c r="A131">
        <v>2035</v>
      </c>
      <c r="B131" s="696">
        <v>85.179082244634628</v>
      </c>
      <c r="C131" s="697">
        <v>568.6</v>
      </c>
      <c r="D131" s="531">
        <f t="shared" si="29"/>
        <v>0</v>
      </c>
      <c r="E131" s="701">
        <v>2052</v>
      </c>
      <c r="F131" s="1203">
        <v>66.2</v>
      </c>
      <c r="G131" s="606">
        <f t="shared" si="30"/>
        <v>0</v>
      </c>
      <c r="H131" s="608">
        <f t="shared" si="31"/>
        <v>0</v>
      </c>
      <c r="I131" s="531">
        <f t="shared" si="26"/>
        <v>0</v>
      </c>
      <c r="J131" s="633">
        <v>0</v>
      </c>
      <c r="K131" s="531">
        <f t="shared" si="32"/>
        <v>0</v>
      </c>
      <c r="L131" s="531">
        <f t="shared" si="33"/>
        <v>0</v>
      </c>
      <c r="M131" s="531">
        <f t="shared" si="27"/>
        <v>0</v>
      </c>
      <c r="N131" s="633">
        <v>604.4</v>
      </c>
      <c r="O131" s="531">
        <f t="shared" si="34"/>
        <v>0</v>
      </c>
      <c r="Q131" s="536">
        <f t="shared" si="28"/>
        <v>0.16652355509927197</v>
      </c>
    </row>
    <row r="132" spans="1:17" ht="15" customHeight="1" x14ac:dyDescent="0.6">
      <c r="A132">
        <v>2036</v>
      </c>
      <c r="B132" s="696">
        <v>103.14634022116661</v>
      </c>
      <c r="C132" s="697">
        <v>592.29999999999995</v>
      </c>
      <c r="D132" s="531">
        <f t="shared" si="29"/>
        <v>0</v>
      </c>
      <c r="E132" s="701">
        <v>2118.4</v>
      </c>
      <c r="F132" s="1203">
        <v>68</v>
      </c>
      <c r="G132" s="606">
        <f t="shared" si="30"/>
        <v>0</v>
      </c>
      <c r="H132" s="608">
        <f t="shared" si="31"/>
        <v>0</v>
      </c>
      <c r="I132" s="531">
        <f t="shared" si="26"/>
        <v>0</v>
      </c>
      <c r="J132" s="633">
        <v>0</v>
      </c>
      <c r="K132" s="531">
        <f t="shared" si="32"/>
        <v>0</v>
      </c>
      <c r="L132" s="531">
        <f t="shared" si="33"/>
        <v>0</v>
      </c>
      <c r="M132" s="531">
        <f t="shared" si="27"/>
        <v>0</v>
      </c>
      <c r="N132" s="633">
        <v>621.29999999999995</v>
      </c>
      <c r="O132" s="531">
        <f t="shared" si="34"/>
        <v>0</v>
      </c>
      <c r="Q132" s="536">
        <f t="shared" si="28"/>
        <v>0.1962863056409469</v>
      </c>
    </row>
    <row r="133" spans="1:17" ht="15" customHeight="1" x14ac:dyDescent="0.6">
      <c r="A133">
        <v>2037</v>
      </c>
      <c r="B133" s="696">
        <v>123.68516001105309</v>
      </c>
      <c r="C133" s="697">
        <v>614.70000000000005</v>
      </c>
      <c r="D133" s="531">
        <f t="shared" si="29"/>
        <v>0</v>
      </c>
      <c r="E133" s="701">
        <v>2184.6999999999998</v>
      </c>
      <c r="F133" s="1203">
        <v>69.8</v>
      </c>
      <c r="G133" s="606">
        <f t="shared" si="30"/>
        <v>0</v>
      </c>
      <c r="H133" s="608">
        <f t="shared" si="31"/>
        <v>0</v>
      </c>
      <c r="I133" s="531">
        <f t="shared" si="26"/>
        <v>0</v>
      </c>
      <c r="J133" s="633">
        <v>0</v>
      </c>
      <c r="K133" s="531">
        <f t="shared" si="32"/>
        <v>0</v>
      </c>
      <c r="L133" s="531">
        <f t="shared" si="33"/>
        <v>0</v>
      </c>
      <c r="M133" s="531">
        <f t="shared" si="27"/>
        <v>0</v>
      </c>
      <c r="N133" s="633">
        <v>635.29999999999995</v>
      </c>
      <c r="O133" s="531">
        <f t="shared" si="34"/>
        <v>0</v>
      </c>
      <c r="Q133" s="536">
        <f t="shared" si="28"/>
        <v>0.22916198671869475</v>
      </c>
    </row>
    <row r="134" spans="1:17" ht="15" customHeight="1" x14ac:dyDescent="0.6">
      <c r="A134">
        <v>2038</v>
      </c>
      <c r="B134" s="696">
        <v>146.97238382697105</v>
      </c>
      <c r="C134" s="697">
        <v>637.5</v>
      </c>
      <c r="D134" s="531">
        <f t="shared" si="29"/>
        <v>0</v>
      </c>
      <c r="E134" s="701">
        <v>2258.9</v>
      </c>
      <c r="F134" s="1203">
        <v>71.8</v>
      </c>
      <c r="G134" s="606">
        <f t="shared" si="30"/>
        <v>0</v>
      </c>
      <c r="H134" s="608">
        <f t="shared" si="31"/>
        <v>0</v>
      </c>
      <c r="I134" s="531">
        <f t="shared" si="26"/>
        <v>0</v>
      </c>
      <c r="J134" s="633">
        <v>0</v>
      </c>
      <c r="K134" s="531">
        <f t="shared" si="32"/>
        <v>0</v>
      </c>
      <c r="L134" s="531">
        <f t="shared" si="33"/>
        <v>0</v>
      </c>
      <c r="M134" s="531">
        <f t="shared" si="27"/>
        <v>0</v>
      </c>
      <c r="N134" s="633">
        <v>651.70000000000005</v>
      </c>
      <c r="O134" s="531">
        <f t="shared" si="34"/>
        <v>0</v>
      </c>
      <c r="Q134" s="536">
        <f t="shared" si="28"/>
        <v>0.26518283524900227</v>
      </c>
    </row>
    <row r="135" spans="1:17" ht="15" customHeight="1" x14ac:dyDescent="0.6">
      <c r="A135">
        <v>2039</v>
      </c>
      <c r="B135" s="696">
        <v>173.18485388159752</v>
      </c>
      <c r="C135" s="697">
        <v>660.6</v>
      </c>
      <c r="D135" s="531">
        <f t="shared" si="29"/>
        <v>0</v>
      </c>
      <c r="E135" s="701">
        <v>2325.3000000000002</v>
      </c>
      <c r="F135" s="1203">
        <v>73.599999999999994</v>
      </c>
      <c r="G135" s="606">
        <f t="shared" si="30"/>
        <v>0</v>
      </c>
      <c r="H135" s="608">
        <f t="shared" si="31"/>
        <v>0</v>
      </c>
      <c r="I135" s="531">
        <f t="shared" si="26"/>
        <v>0</v>
      </c>
      <c r="J135" s="633">
        <v>0</v>
      </c>
      <c r="K135" s="531">
        <f t="shared" si="32"/>
        <v>0</v>
      </c>
      <c r="L135" s="531">
        <f t="shared" si="33"/>
        <v>0</v>
      </c>
      <c r="M135" s="531">
        <f t="shared" si="27"/>
        <v>0</v>
      </c>
      <c r="N135" s="633">
        <v>666.2</v>
      </c>
      <c r="O135" s="531">
        <f t="shared" si="34"/>
        <v>0</v>
      </c>
      <c r="Q135" s="536">
        <f t="shared" si="28"/>
        <v>0.30436945489231698</v>
      </c>
    </row>
    <row r="136" spans="1:17" ht="15" customHeight="1" x14ac:dyDescent="0.6">
      <c r="A136">
        <v>2040</v>
      </c>
      <c r="B136" s="696">
        <v>202.49941232800484</v>
      </c>
      <c r="C136" s="697">
        <v>684.1</v>
      </c>
      <c r="D136" s="531">
        <f t="shared" si="29"/>
        <v>0</v>
      </c>
      <c r="E136" s="701">
        <v>2390.9</v>
      </c>
      <c r="F136" s="1203">
        <v>75.400000000000006</v>
      </c>
      <c r="G136" s="606">
        <f t="shared" si="30"/>
        <v>0</v>
      </c>
      <c r="H136" s="608">
        <f t="shared" si="31"/>
        <v>0</v>
      </c>
      <c r="I136" s="531">
        <f t="shared" si="26"/>
        <v>0</v>
      </c>
      <c r="J136" s="633">
        <v>0</v>
      </c>
      <c r="K136" s="531">
        <f t="shared" si="32"/>
        <v>0</v>
      </c>
      <c r="L136" s="531">
        <f t="shared" si="33"/>
        <v>0</v>
      </c>
      <c r="M136" s="531">
        <f t="shared" si="27"/>
        <v>0</v>
      </c>
      <c r="N136" s="633">
        <v>682.7</v>
      </c>
      <c r="O136" s="531">
        <f t="shared" si="34"/>
        <v>0</v>
      </c>
      <c r="Q136" s="536">
        <f t="shared" si="28"/>
        <v>0.34673227665109874</v>
      </c>
    </row>
    <row r="137" spans="1:17" ht="15" customHeight="1" x14ac:dyDescent="0.6">
      <c r="A137">
        <v>2041</v>
      </c>
      <c r="B137" s="696">
        <v>235.09290143847466</v>
      </c>
      <c r="C137" s="697">
        <v>707.9</v>
      </c>
      <c r="D137" s="531">
        <f t="shared" si="29"/>
        <v>0</v>
      </c>
      <c r="E137" s="701">
        <v>2457.3000000000002</v>
      </c>
      <c r="F137" s="1203">
        <v>77.099999999999994</v>
      </c>
      <c r="G137" s="606">
        <f t="shared" si="30"/>
        <v>0</v>
      </c>
      <c r="H137" s="608">
        <f t="shared" si="31"/>
        <v>0</v>
      </c>
      <c r="I137" s="531">
        <f t="shared" si="26"/>
        <v>0</v>
      </c>
      <c r="J137" s="633">
        <v>0</v>
      </c>
      <c r="K137" s="531">
        <f t="shared" si="32"/>
        <v>0</v>
      </c>
      <c r="L137" s="531">
        <f t="shared" si="33"/>
        <v>0</v>
      </c>
      <c r="M137" s="531">
        <f t="shared" si="27"/>
        <v>0</v>
      </c>
      <c r="N137" s="633">
        <v>696.6</v>
      </c>
      <c r="O137" s="531">
        <f t="shared" si="34"/>
        <v>0</v>
      </c>
      <c r="Q137" s="536">
        <f t="shared" si="28"/>
        <v>0.39227304116441442</v>
      </c>
    </row>
    <row r="138" spans="1:17" ht="15" customHeight="1" x14ac:dyDescent="0.6">
      <c r="A138">
        <v>2042</v>
      </c>
      <c r="B138" s="696">
        <v>271.1421637237072</v>
      </c>
      <c r="C138" s="697">
        <v>732.1</v>
      </c>
      <c r="D138" s="531">
        <f t="shared" si="29"/>
        <v>0</v>
      </c>
      <c r="E138" s="701">
        <v>2531.5</v>
      </c>
      <c r="F138" s="1203">
        <v>79.099999999999994</v>
      </c>
      <c r="G138" s="606">
        <f t="shared" si="30"/>
        <v>0</v>
      </c>
      <c r="H138" s="608">
        <f t="shared" si="31"/>
        <v>0</v>
      </c>
      <c r="I138" s="531">
        <f t="shared" si="26"/>
        <v>0</v>
      </c>
      <c r="J138" s="633">
        <v>0</v>
      </c>
      <c r="K138" s="531">
        <f t="shared" si="32"/>
        <v>0</v>
      </c>
      <c r="L138" s="531">
        <f t="shared" si="33"/>
        <v>0</v>
      </c>
      <c r="M138" s="531">
        <f t="shared" si="27"/>
        <v>0</v>
      </c>
      <c r="N138" s="633">
        <v>711.8</v>
      </c>
      <c r="O138" s="531">
        <f t="shared" si="34"/>
        <v>0</v>
      </c>
      <c r="Q138" s="536">
        <f t="shared" si="28"/>
        <v>0.44098619313037007</v>
      </c>
    </row>
    <row r="139" spans="1:17" ht="15" customHeight="1" x14ac:dyDescent="0.6">
      <c r="A139">
        <v>2043</v>
      </c>
      <c r="B139" s="696">
        <v>310.82404085993767</v>
      </c>
      <c r="C139" s="697">
        <v>756.7</v>
      </c>
      <c r="D139" s="531">
        <f t="shared" si="29"/>
        <v>0</v>
      </c>
      <c r="E139" s="701">
        <v>2597.8000000000002</v>
      </c>
      <c r="F139" s="1203">
        <v>80.900000000000006</v>
      </c>
      <c r="G139" s="606">
        <f t="shared" si="30"/>
        <v>0</v>
      </c>
      <c r="H139" s="608">
        <f t="shared" si="31"/>
        <v>0</v>
      </c>
      <c r="I139" s="531">
        <f t="shared" si="26"/>
        <v>0</v>
      </c>
      <c r="J139" s="633">
        <v>0</v>
      </c>
      <c r="K139" s="531">
        <f t="shared" si="32"/>
        <v>0</v>
      </c>
      <c r="L139" s="531">
        <f t="shared" si="33"/>
        <v>0</v>
      </c>
      <c r="M139" s="531">
        <f t="shared" si="27"/>
        <v>0</v>
      </c>
      <c r="N139" s="633">
        <v>724.4</v>
      </c>
      <c r="O139" s="531">
        <f t="shared" si="34"/>
        <v>0</v>
      </c>
      <c r="Q139" s="536">
        <f t="shared" si="28"/>
        <v>0.4928600828753617</v>
      </c>
    </row>
    <row r="140" spans="1:17" ht="15" customHeight="1" x14ac:dyDescent="0.6">
      <c r="A140">
        <v>2044</v>
      </c>
      <c r="B140" s="696">
        <v>354.31537553668022</v>
      </c>
      <c r="C140" s="697">
        <v>781.5</v>
      </c>
      <c r="D140" s="531">
        <f t="shared" si="29"/>
        <v>0</v>
      </c>
      <c r="E140" s="701">
        <v>2663.4</v>
      </c>
      <c r="F140" s="1203">
        <v>82.6</v>
      </c>
      <c r="G140" s="606">
        <f t="shared" si="30"/>
        <v>0</v>
      </c>
      <c r="H140" s="608">
        <f t="shared" si="31"/>
        <v>0</v>
      </c>
      <c r="I140" s="531">
        <f t="shared" si="26"/>
        <v>0</v>
      </c>
      <c r="J140" s="633">
        <v>0</v>
      </c>
      <c r="K140" s="531">
        <f t="shared" si="32"/>
        <v>0</v>
      </c>
      <c r="L140" s="531">
        <f t="shared" si="33"/>
        <v>0</v>
      </c>
      <c r="M140" s="531">
        <f t="shared" si="27"/>
        <v>0</v>
      </c>
      <c r="N140" s="633">
        <v>738.6</v>
      </c>
      <c r="O140" s="531">
        <f t="shared" si="34"/>
        <v>0</v>
      </c>
      <c r="Q140" s="536">
        <f t="shared" si="28"/>
        <v>0.54787815275884577</v>
      </c>
    </row>
    <row r="141" spans="1:17" ht="15" customHeight="1" x14ac:dyDescent="0.6">
      <c r="A141">
        <v>2045</v>
      </c>
      <c r="B141" s="696">
        <v>401.79300984740257</v>
      </c>
      <c r="C141" s="697">
        <v>806.6</v>
      </c>
      <c r="D141" s="531">
        <f t="shared" si="29"/>
        <v>0</v>
      </c>
      <c r="E141" s="701">
        <v>2737.6</v>
      </c>
      <c r="F141" s="1203">
        <v>84.6</v>
      </c>
      <c r="G141" s="606">
        <f t="shared" si="30"/>
        <v>0</v>
      </c>
      <c r="H141" s="608">
        <f t="shared" si="31"/>
        <v>0</v>
      </c>
      <c r="I141" s="531">
        <f t="shared" si="26"/>
        <v>0</v>
      </c>
      <c r="J141" s="633">
        <v>0</v>
      </c>
      <c r="K141" s="531">
        <f t="shared" si="32"/>
        <v>0</v>
      </c>
      <c r="L141" s="531">
        <f t="shared" si="33"/>
        <v>0</v>
      </c>
      <c r="M141" s="531">
        <f t="shared" si="27"/>
        <v>0</v>
      </c>
      <c r="N141" s="633">
        <v>752</v>
      </c>
      <c r="O141" s="531">
        <f t="shared" si="34"/>
        <v>0</v>
      </c>
      <c r="Q141" s="536">
        <f t="shared" si="28"/>
        <v>0.60601992858879006</v>
      </c>
    </row>
    <row r="142" spans="1:17" ht="15" customHeight="1" x14ac:dyDescent="0.6">
      <c r="A142">
        <v>2046</v>
      </c>
      <c r="B142" s="696">
        <v>453.43378600478172</v>
      </c>
      <c r="C142" s="697">
        <v>832.4</v>
      </c>
      <c r="D142" s="531">
        <f t="shared" si="29"/>
        <v>0</v>
      </c>
      <c r="E142" s="701">
        <v>2804</v>
      </c>
      <c r="F142" s="1203">
        <v>86.3</v>
      </c>
      <c r="G142" s="607">
        <f t="shared" si="30"/>
        <v>0</v>
      </c>
      <c r="H142" s="608">
        <f t="shared" si="31"/>
        <v>0</v>
      </c>
      <c r="I142" s="531">
        <f t="shared" si="26"/>
        <v>0</v>
      </c>
      <c r="J142" s="633">
        <v>0</v>
      </c>
      <c r="K142" s="531">
        <f t="shared" si="32"/>
        <v>0</v>
      </c>
      <c r="L142" s="531">
        <f t="shared" si="33"/>
        <v>0</v>
      </c>
      <c r="M142" s="531">
        <f t="shared" si="27"/>
        <v>0</v>
      </c>
      <c r="N142" s="633">
        <v>766</v>
      </c>
      <c r="O142" s="531">
        <f t="shared" si="34"/>
        <v>0</v>
      </c>
      <c r="Q142" s="536">
        <f t="shared" si="28"/>
        <v>0.66726187901963741</v>
      </c>
    </row>
    <row r="143" spans="1:17" ht="15" customHeight="1" x14ac:dyDescent="0.6">
      <c r="A143">
        <v>2047</v>
      </c>
      <c r="B143" s="696">
        <v>509.41454616189003</v>
      </c>
      <c r="C143" s="697">
        <v>859.3</v>
      </c>
      <c r="D143" s="531">
        <f t="shared" si="29"/>
        <v>0</v>
      </c>
      <c r="E143" s="701">
        <v>2869.6</v>
      </c>
      <c r="F143" s="1203">
        <v>88</v>
      </c>
      <c r="G143" s="607">
        <f t="shared" si="30"/>
        <v>0</v>
      </c>
      <c r="H143" s="608">
        <f t="shared" si="31"/>
        <v>0</v>
      </c>
      <c r="I143" s="531">
        <f t="shared" si="26"/>
        <v>0</v>
      </c>
      <c r="J143" s="633">
        <v>0</v>
      </c>
      <c r="K143" s="531">
        <f t="shared" si="32"/>
        <v>0</v>
      </c>
      <c r="L143" s="531">
        <f t="shared" si="33"/>
        <v>0</v>
      </c>
      <c r="M143" s="531">
        <f t="shared" si="27"/>
        <v>0</v>
      </c>
      <c r="N143" s="633">
        <v>778</v>
      </c>
      <c r="O143" s="531">
        <f t="shared" si="34"/>
        <v>0</v>
      </c>
      <c r="Q143" s="536">
        <f t="shared" si="28"/>
        <v>0.73157801659796062</v>
      </c>
    </row>
    <row r="144" spans="1:17" ht="15" customHeight="1" x14ac:dyDescent="0.6">
      <c r="A144">
        <v>2048</v>
      </c>
      <c r="B144" s="696">
        <v>569.91213259100914</v>
      </c>
      <c r="C144" s="697">
        <v>886.4</v>
      </c>
      <c r="D144" s="531">
        <f t="shared" si="29"/>
        <v>0</v>
      </c>
      <c r="E144" s="701">
        <v>2936</v>
      </c>
      <c r="F144" s="1203">
        <v>89.7</v>
      </c>
      <c r="G144" s="607">
        <f t="shared" si="30"/>
        <v>0</v>
      </c>
      <c r="H144" s="608">
        <f t="shared" si="31"/>
        <v>0</v>
      </c>
      <c r="I144" s="531">
        <f t="shared" si="26"/>
        <v>0</v>
      </c>
      <c r="J144" s="633">
        <v>0</v>
      </c>
      <c r="K144" s="531">
        <f t="shared" si="32"/>
        <v>0</v>
      </c>
      <c r="L144" s="531">
        <f t="shared" si="33"/>
        <v>0</v>
      </c>
      <c r="M144" s="531">
        <f t="shared" si="27"/>
        <v>0</v>
      </c>
      <c r="N144" s="633">
        <v>792.4</v>
      </c>
      <c r="O144" s="531">
        <f t="shared" si="34"/>
        <v>0</v>
      </c>
      <c r="Q144" s="536">
        <f t="shared" si="28"/>
        <v>0.79894040515475018</v>
      </c>
    </row>
    <row r="145" spans="1:17" ht="15" customHeight="1" x14ac:dyDescent="0.6">
      <c r="A145">
        <v>2049</v>
      </c>
      <c r="B145" s="696">
        <v>635.1033875644207</v>
      </c>
      <c r="C145" s="697">
        <v>913.9</v>
      </c>
      <c r="D145" s="531">
        <f t="shared" si="29"/>
        <v>0</v>
      </c>
      <c r="E145" s="701">
        <v>3010.2</v>
      </c>
      <c r="F145" s="1203">
        <v>91.7</v>
      </c>
      <c r="G145" s="607">
        <f t="shared" si="30"/>
        <v>0</v>
      </c>
      <c r="H145" s="608">
        <f t="shared" si="31"/>
        <v>0</v>
      </c>
      <c r="I145" s="531">
        <f t="shared" si="26"/>
        <v>0</v>
      </c>
      <c r="J145" s="633">
        <v>0</v>
      </c>
      <c r="K145" s="531">
        <f t="shared" si="32"/>
        <v>0</v>
      </c>
      <c r="L145" s="531">
        <f t="shared" si="33"/>
        <v>0</v>
      </c>
      <c r="M145" s="531">
        <f t="shared" si="27"/>
        <v>0</v>
      </c>
      <c r="N145" s="633">
        <v>805.2</v>
      </c>
      <c r="O145" s="531">
        <f t="shared" si="34"/>
        <v>0</v>
      </c>
      <c r="Q145" s="536">
        <f t="shared" si="28"/>
        <v>0.86931980064720793</v>
      </c>
    </row>
    <row r="146" spans="1:17" ht="15" customHeight="1" x14ac:dyDescent="0.6">
      <c r="A146">
        <v>2050</v>
      </c>
      <c r="B146" s="696">
        <v>705.16515335440636</v>
      </c>
      <c r="C146" s="697">
        <v>941.7</v>
      </c>
      <c r="D146" s="531">
        <f t="shared" si="29"/>
        <v>0</v>
      </c>
      <c r="E146" s="702">
        <v>3075.8</v>
      </c>
      <c r="F146" s="1203">
        <v>93.3</v>
      </c>
      <c r="G146" s="607">
        <f t="shared" si="30"/>
        <v>0</v>
      </c>
      <c r="H146" s="608">
        <f t="shared" si="31"/>
        <v>0</v>
      </c>
      <c r="I146" s="531">
        <f t="shared" si="26"/>
        <v>0</v>
      </c>
      <c r="J146" s="633">
        <v>0</v>
      </c>
      <c r="K146" s="531">
        <f t="shared" si="32"/>
        <v>0</v>
      </c>
      <c r="L146" s="531">
        <f t="shared" si="33"/>
        <v>0</v>
      </c>
      <c r="M146" s="531">
        <f t="shared" si="27"/>
        <v>0</v>
      </c>
      <c r="N146" s="633">
        <v>819.1</v>
      </c>
      <c r="O146" s="531">
        <f t="shared" si="34"/>
        <v>0</v>
      </c>
      <c r="Q146" s="536">
        <f t="shared" si="28"/>
        <v>0.94268635644982712</v>
      </c>
    </row>
    <row r="147" spans="1:17" ht="15" customHeight="1" x14ac:dyDescent="0.6">
      <c r="A147">
        <v>2051</v>
      </c>
      <c r="B147" s="696">
        <v>780.2742722928524</v>
      </c>
      <c r="C147" s="698">
        <v>1064.0999999999999</v>
      </c>
      <c r="D147" s="531">
        <f t="shared" si="29"/>
        <v>0</v>
      </c>
      <c r="E147" s="701">
        <v>3075</v>
      </c>
      <c r="F147" s="1203">
        <v>93.3</v>
      </c>
      <c r="G147" s="607">
        <f t="shared" si="30"/>
        <v>0</v>
      </c>
      <c r="H147" s="608">
        <f t="shared" si="31"/>
        <v>0</v>
      </c>
      <c r="I147" s="531">
        <f t="shared" si="26"/>
        <v>0</v>
      </c>
      <c r="J147" s="633">
        <v>0</v>
      </c>
      <c r="K147" s="531">
        <f t="shared" si="32"/>
        <v>0</v>
      </c>
      <c r="L147" s="531">
        <f t="shared" si="33"/>
        <v>0</v>
      </c>
      <c r="M147" s="531">
        <f t="shared" si="27"/>
        <v>0</v>
      </c>
      <c r="N147" s="633">
        <v>824.2</v>
      </c>
      <c r="O147" s="531">
        <f t="shared" si="34"/>
        <v>0</v>
      </c>
      <c r="Q147" s="536">
        <f t="shared" si="28"/>
        <v>1.0190099625817535</v>
      </c>
    </row>
    <row r="148" spans="1:17" ht="15" customHeight="1" x14ac:dyDescent="0.6">
      <c r="A148">
        <v>2052</v>
      </c>
      <c r="B148" s="696">
        <v>784</v>
      </c>
      <c r="C148" s="698">
        <v>1064.0999999999999</v>
      </c>
      <c r="D148" s="531">
        <f t="shared" si="29"/>
        <v>0</v>
      </c>
      <c r="E148" s="701">
        <v>3073.6</v>
      </c>
      <c r="F148" s="1203">
        <v>93.2</v>
      </c>
      <c r="G148" s="607">
        <f t="shared" si="30"/>
        <v>0</v>
      </c>
      <c r="H148" s="608">
        <f t="shared" si="31"/>
        <v>0</v>
      </c>
      <c r="I148" s="531">
        <f t="shared" si="26"/>
        <v>0</v>
      </c>
      <c r="J148" s="633">
        <v>0</v>
      </c>
      <c r="K148" s="531">
        <f t="shared" si="32"/>
        <v>0</v>
      </c>
      <c r="L148" s="531">
        <f t="shared" si="33"/>
        <v>0</v>
      </c>
      <c r="M148" s="531">
        <f t="shared" si="27"/>
        <v>0</v>
      </c>
      <c r="N148" s="633">
        <v>831.8</v>
      </c>
      <c r="O148" s="531">
        <f t="shared" si="34"/>
        <v>0</v>
      </c>
      <c r="Q148" s="536">
        <f t="shared" si="28"/>
        <v>1.0021692099689898</v>
      </c>
    </row>
    <row r="149" spans="1:17" ht="15" customHeight="1" x14ac:dyDescent="0.6">
      <c r="A149">
        <v>2053</v>
      </c>
      <c r="B149" s="696">
        <v>784</v>
      </c>
      <c r="C149" s="698">
        <v>1063.7</v>
      </c>
      <c r="D149" s="531">
        <f t="shared" si="29"/>
        <v>0</v>
      </c>
      <c r="E149" s="701">
        <v>3072.8</v>
      </c>
      <c r="F149" s="1203">
        <v>93.2</v>
      </c>
      <c r="G149" s="607">
        <f t="shared" si="30"/>
        <v>0</v>
      </c>
      <c r="H149" s="608">
        <f t="shared" si="31"/>
        <v>0</v>
      </c>
      <c r="I149" s="531">
        <f t="shared" si="26"/>
        <v>0</v>
      </c>
      <c r="J149" s="633">
        <v>0</v>
      </c>
      <c r="K149" s="531">
        <f t="shared" si="32"/>
        <v>0</v>
      </c>
      <c r="L149" s="531">
        <f t="shared" si="33"/>
        <v>0</v>
      </c>
      <c r="M149" s="531">
        <f t="shared" si="27"/>
        <v>0</v>
      </c>
      <c r="N149" s="633">
        <v>836.3</v>
      </c>
      <c r="O149" s="531">
        <f t="shared" si="34"/>
        <v>0</v>
      </c>
      <c r="Q149" s="536">
        <f t="shared" si="28"/>
        <v>0.97791315986932925</v>
      </c>
    </row>
    <row r="150" spans="1:17" ht="15" customHeight="1" x14ac:dyDescent="0.6">
      <c r="A150">
        <v>2054</v>
      </c>
      <c r="B150" s="696">
        <v>784</v>
      </c>
      <c r="C150" s="698">
        <v>1062.9000000000001</v>
      </c>
      <c r="D150" s="531">
        <f t="shared" si="29"/>
        <v>0</v>
      </c>
      <c r="E150" s="701">
        <v>3071.4</v>
      </c>
      <c r="F150" s="1203">
        <v>93.2</v>
      </c>
      <c r="G150" s="607">
        <f t="shared" si="30"/>
        <v>0</v>
      </c>
      <c r="H150" s="608">
        <f t="shared" si="31"/>
        <v>0</v>
      </c>
      <c r="I150" s="531">
        <f t="shared" si="26"/>
        <v>0</v>
      </c>
      <c r="J150" s="633">
        <v>0</v>
      </c>
      <c r="K150" s="531">
        <f t="shared" si="32"/>
        <v>0</v>
      </c>
      <c r="L150" s="531">
        <f t="shared" si="33"/>
        <v>0</v>
      </c>
      <c r="M150" s="531">
        <f t="shared" si="27"/>
        <v>0</v>
      </c>
      <c r="N150" s="633">
        <v>844.1</v>
      </c>
      <c r="O150" s="531">
        <f t="shared" si="34"/>
        <v>0</v>
      </c>
      <c r="Q150" s="536">
        <f t="shared" si="28"/>
        <v>0.95609197252657252</v>
      </c>
    </row>
    <row r="151" spans="1:17" ht="15" customHeight="1" x14ac:dyDescent="0.6">
      <c r="A151">
        <v>2055</v>
      </c>
      <c r="B151" s="696">
        <v>784</v>
      </c>
      <c r="C151" s="698">
        <v>1062.2</v>
      </c>
      <c r="D151" s="531">
        <f t="shared" si="29"/>
        <v>0</v>
      </c>
      <c r="E151" s="701">
        <v>3070.7</v>
      </c>
      <c r="F151" s="1203">
        <v>93.1</v>
      </c>
      <c r="G151" s="607">
        <f t="shared" si="30"/>
        <v>0</v>
      </c>
      <c r="H151" s="608">
        <f t="shared" si="31"/>
        <v>0</v>
      </c>
      <c r="I151" s="531">
        <f t="shared" si="26"/>
        <v>0</v>
      </c>
      <c r="J151" s="633">
        <v>0</v>
      </c>
      <c r="K151" s="531">
        <f t="shared" si="32"/>
        <v>0</v>
      </c>
      <c r="L151" s="531">
        <f t="shared" si="33"/>
        <v>0</v>
      </c>
      <c r="M151" s="531">
        <f t="shared" si="27"/>
        <v>0</v>
      </c>
      <c r="N151" s="633">
        <v>848.8</v>
      </c>
      <c r="O151" s="531">
        <f t="shared" si="34"/>
        <v>0</v>
      </c>
      <c r="Q151" s="536">
        <f t="shared" si="28"/>
        <v>0.93500742771691669</v>
      </c>
    </row>
    <row r="152" spans="1:17" ht="15" customHeight="1" x14ac:dyDescent="0.6">
      <c r="A152">
        <v>2056</v>
      </c>
      <c r="B152" s="696">
        <v>784</v>
      </c>
      <c r="C152" s="698">
        <v>1061.5999999999999</v>
      </c>
      <c r="D152" s="531">
        <f t="shared" si="29"/>
        <v>0</v>
      </c>
      <c r="E152" s="701">
        <v>3069.2</v>
      </c>
      <c r="F152" s="1203">
        <v>93.1</v>
      </c>
      <c r="G152" s="607">
        <f t="shared" si="30"/>
        <v>0</v>
      </c>
      <c r="H152" s="608">
        <f t="shared" si="31"/>
        <v>0</v>
      </c>
      <c r="I152" s="531">
        <f t="shared" si="26"/>
        <v>0</v>
      </c>
      <c r="J152" s="633">
        <v>0</v>
      </c>
      <c r="K152" s="531">
        <f t="shared" si="32"/>
        <v>0</v>
      </c>
      <c r="L152" s="531">
        <f t="shared" si="33"/>
        <v>0</v>
      </c>
      <c r="M152" s="531">
        <f t="shared" si="27"/>
        <v>0</v>
      </c>
      <c r="N152" s="633">
        <v>854</v>
      </c>
      <c r="O152" s="531">
        <f t="shared" si="34"/>
        <v>0</v>
      </c>
      <c r="Q152" s="536">
        <f t="shared" si="28"/>
        <v>0.91463328301988711</v>
      </c>
    </row>
    <row r="153" spans="1:17" ht="15" customHeight="1" x14ac:dyDescent="0.6">
      <c r="A153">
        <v>2057</v>
      </c>
      <c r="B153" s="696">
        <v>784</v>
      </c>
      <c r="C153" s="698">
        <v>1061.2</v>
      </c>
      <c r="D153" s="531">
        <f t="shared" si="29"/>
        <v>0</v>
      </c>
      <c r="E153" s="701">
        <v>3068.5</v>
      </c>
      <c r="F153" s="1203">
        <v>93</v>
      </c>
      <c r="G153" s="607">
        <f t="shared" si="30"/>
        <v>0</v>
      </c>
      <c r="H153" s="608">
        <f t="shared" si="31"/>
        <v>0</v>
      </c>
      <c r="I153" s="531">
        <f t="shared" si="26"/>
        <v>0</v>
      </c>
      <c r="J153" s="633">
        <v>0</v>
      </c>
      <c r="K153" s="531">
        <f t="shared" si="32"/>
        <v>0</v>
      </c>
      <c r="L153" s="531">
        <f t="shared" si="33"/>
        <v>0</v>
      </c>
      <c r="M153" s="531">
        <f t="shared" si="27"/>
        <v>0</v>
      </c>
      <c r="N153" s="633">
        <v>859.3</v>
      </c>
      <c r="O153" s="531">
        <f t="shared" si="34"/>
        <v>0</v>
      </c>
      <c r="Q153" s="536">
        <f t="shared" si="28"/>
        <v>0.8949437777413638</v>
      </c>
    </row>
    <row r="154" spans="1:17" ht="15" customHeight="1" x14ac:dyDescent="0.6">
      <c r="A154">
        <v>2058</v>
      </c>
      <c r="B154" s="696">
        <v>784</v>
      </c>
      <c r="C154" s="698">
        <v>1060.8</v>
      </c>
      <c r="D154" s="531">
        <f t="shared" si="29"/>
        <v>0</v>
      </c>
      <c r="E154" s="701">
        <v>3067</v>
      </c>
      <c r="F154" s="1203">
        <v>93</v>
      </c>
      <c r="G154" s="607">
        <f t="shared" si="30"/>
        <v>0</v>
      </c>
      <c r="H154" s="608">
        <f t="shared" si="31"/>
        <v>0</v>
      </c>
      <c r="I154" s="531">
        <f t="shared" si="26"/>
        <v>0</v>
      </c>
      <c r="J154" s="633">
        <v>0</v>
      </c>
      <c r="K154" s="531">
        <f t="shared" si="32"/>
        <v>0</v>
      </c>
      <c r="L154" s="531">
        <f t="shared" si="33"/>
        <v>0</v>
      </c>
      <c r="M154" s="531">
        <f t="shared" si="27"/>
        <v>0</v>
      </c>
      <c r="N154" s="633">
        <v>861.1</v>
      </c>
      <c r="O154" s="531">
        <f t="shared" si="34"/>
        <v>0</v>
      </c>
      <c r="Q154" s="536">
        <f t="shared" si="28"/>
        <v>0.87591351907582715</v>
      </c>
    </row>
    <row r="155" spans="1:17" ht="15" customHeight="1" x14ac:dyDescent="0.6">
      <c r="A155">
        <v>2059</v>
      </c>
      <c r="B155" s="696">
        <v>784</v>
      </c>
      <c r="C155" s="698">
        <v>1060.5999999999999</v>
      </c>
      <c r="D155" s="531">
        <f t="shared" si="29"/>
        <v>0</v>
      </c>
      <c r="E155" s="701">
        <v>3066.3</v>
      </c>
      <c r="F155" s="1203">
        <v>92.9</v>
      </c>
      <c r="G155" s="607">
        <f t="shared" si="30"/>
        <v>0</v>
      </c>
      <c r="H155" s="608">
        <f t="shared" si="31"/>
        <v>0</v>
      </c>
      <c r="I155" s="531">
        <f t="shared" si="26"/>
        <v>0</v>
      </c>
      <c r="J155" s="633">
        <v>0</v>
      </c>
      <c r="K155" s="531">
        <f t="shared" si="32"/>
        <v>0</v>
      </c>
      <c r="L155" s="531">
        <f t="shared" si="33"/>
        <v>0</v>
      </c>
      <c r="M155" s="531">
        <f t="shared" si="27"/>
        <v>0</v>
      </c>
      <c r="N155" s="633">
        <v>862.5</v>
      </c>
      <c r="O155" s="531">
        <f t="shared" si="34"/>
        <v>0</v>
      </c>
      <c r="Q155" s="536">
        <f t="shared" si="28"/>
        <v>0.85751764610150116</v>
      </c>
    </row>
    <row r="156" spans="1:17" ht="15" customHeight="1" x14ac:dyDescent="0.6">
      <c r="A156">
        <v>2060</v>
      </c>
      <c r="B156" s="696">
        <v>784</v>
      </c>
      <c r="C156" s="698">
        <v>1060.5</v>
      </c>
      <c r="D156" s="531">
        <f t="shared" si="29"/>
        <v>0</v>
      </c>
      <c r="E156" s="701">
        <v>3064.8</v>
      </c>
      <c r="F156" s="1203">
        <v>92.9</v>
      </c>
      <c r="G156" s="607">
        <f t="shared" si="30"/>
        <v>0</v>
      </c>
      <c r="H156" s="608">
        <f t="shared" si="31"/>
        <v>0</v>
      </c>
      <c r="I156" s="531">
        <f t="shared" si="26"/>
        <v>0</v>
      </c>
      <c r="J156" s="633">
        <v>0</v>
      </c>
      <c r="K156" s="531">
        <f t="shared" si="32"/>
        <v>0</v>
      </c>
      <c r="L156" s="531">
        <f t="shared" si="33"/>
        <v>0</v>
      </c>
      <c r="M156" s="531">
        <f t="shared" si="27"/>
        <v>0</v>
      </c>
      <c r="N156" s="633">
        <v>863.6</v>
      </c>
      <c r="O156" s="531">
        <f t="shared" si="34"/>
        <v>0</v>
      </c>
      <c r="Q156" s="536">
        <f t="shared" si="28"/>
        <v>0.83973217553513291</v>
      </c>
    </row>
    <row r="157" spans="1:17" ht="15" customHeight="1" x14ac:dyDescent="0.4"/>
    <row r="158" spans="1:17" ht="15" customHeight="1" x14ac:dyDescent="0.4"/>
    <row r="159" spans="1:17" ht="15" customHeight="1" x14ac:dyDescent="0.4"/>
    <row r="160" spans="1:17" ht="15" customHeight="1" x14ac:dyDescent="0.4"/>
    <row r="161" spans="7:8" ht="15" customHeight="1" x14ac:dyDescent="0.4"/>
    <row r="162" spans="7:8" ht="15" customHeight="1" x14ac:dyDescent="0.4"/>
    <row r="163" spans="7:8" ht="15" customHeight="1" x14ac:dyDescent="0.4"/>
    <row r="164" spans="7:8" ht="15" customHeight="1" x14ac:dyDescent="0.4"/>
    <row r="165" spans="7:8" ht="15" customHeight="1" x14ac:dyDescent="0.4"/>
    <row r="166" spans="7:8" ht="15" customHeight="1" x14ac:dyDescent="0.4"/>
    <row r="167" spans="7:8" ht="15" customHeight="1" x14ac:dyDescent="0.4"/>
    <row r="168" spans="7:8" ht="15" customHeight="1" x14ac:dyDescent="0.4"/>
    <row r="169" spans="7:8" ht="15" customHeight="1" x14ac:dyDescent="0.4"/>
    <row r="170" spans="7:8" ht="15" customHeight="1" x14ac:dyDescent="0.4"/>
    <row r="171" spans="7:8" ht="15" customHeight="1" x14ac:dyDescent="0.4"/>
    <row r="172" spans="7:8" ht="15" customHeight="1" x14ac:dyDescent="0.4"/>
    <row r="173" spans="7:8" ht="15" customHeight="1" x14ac:dyDescent="0.4"/>
    <row r="174" spans="7:8" ht="15" customHeight="1" x14ac:dyDescent="0.4"/>
    <row r="175" spans="7:8" ht="15" customHeight="1" x14ac:dyDescent="0.4">
      <c r="G175" s="535"/>
      <c r="H175" s="535"/>
    </row>
    <row r="176" spans="7:8" ht="15" customHeight="1" x14ac:dyDescent="0.4">
      <c r="G176" s="535"/>
      <c r="H176" s="535"/>
    </row>
    <row r="177" spans="2:8" ht="15" customHeight="1" x14ac:dyDescent="0.4">
      <c r="G177" s="535"/>
      <c r="H177" s="535"/>
    </row>
    <row r="178" spans="2:8" ht="15" customHeight="1" x14ac:dyDescent="0.4">
      <c r="G178" s="535"/>
      <c r="H178" s="535"/>
    </row>
    <row r="179" spans="2:8" ht="15" customHeight="1" x14ac:dyDescent="0.4">
      <c r="G179" s="535"/>
      <c r="H179" s="535"/>
    </row>
    <row r="180" spans="2:8" ht="15" customHeight="1" x14ac:dyDescent="0.4">
      <c r="G180" s="535"/>
      <c r="H180" s="535"/>
    </row>
    <row r="181" spans="2:8" ht="15" customHeight="1" x14ac:dyDescent="0.4">
      <c r="G181" s="535"/>
      <c r="H181" s="535"/>
    </row>
    <row r="182" spans="2:8" x14ac:dyDescent="0.4">
      <c r="G182" s="535"/>
      <c r="H182" s="535"/>
    </row>
    <row r="183" spans="2:8" x14ac:dyDescent="0.4">
      <c r="G183" s="535"/>
      <c r="H183" s="535"/>
    </row>
    <row r="184" spans="2:8" x14ac:dyDescent="0.4">
      <c r="G184" s="535"/>
      <c r="H184" s="535"/>
    </row>
    <row r="185" spans="2:8" x14ac:dyDescent="0.4">
      <c r="G185" s="535"/>
      <c r="H185" s="535"/>
    </row>
    <row r="186" spans="2:8" x14ac:dyDescent="0.4">
      <c r="G186" s="535"/>
      <c r="H186" s="535"/>
    </row>
    <row r="187" spans="2:8" x14ac:dyDescent="0.4">
      <c r="G187" s="535"/>
      <c r="H187" s="535"/>
    </row>
    <row r="188" spans="2:8" x14ac:dyDescent="0.4">
      <c r="G188" s="535"/>
      <c r="H188" s="535"/>
    </row>
    <row r="189" spans="2:8" x14ac:dyDescent="0.4">
      <c r="G189" s="535"/>
      <c r="H189" s="535"/>
    </row>
    <row r="190" spans="2:8" x14ac:dyDescent="0.4">
      <c r="B190" s="826"/>
      <c r="C190" s="826"/>
      <c r="D190" s="826"/>
      <c r="E190" s="826"/>
      <c r="F190" s="826"/>
      <c r="G190" s="1176"/>
      <c r="H190" s="535"/>
    </row>
    <row r="191" spans="2:8" ht="14.4" x14ac:dyDescent="0.4">
      <c r="B191" s="1177"/>
      <c r="C191" s="1177"/>
      <c r="D191" s="1177"/>
      <c r="E191" s="1177"/>
      <c r="F191" s="1177"/>
      <c r="G191" s="1176"/>
      <c r="H191" s="535"/>
    </row>
    <row r="192" spans="2:8" ht="14.4" x14ac:dyDescent="0.4">
      <c r="B192" s="1177"/>
      <c r="C192" s="1177"/>
      <c r="D192" s="1177"/>
      <c r="E192" s="1178"/>
      <c r="F192" s="1178"/>
      <c r="G192" s="1176"/>
      <c r="H192" s="535"/>
    </row>
    <row r="193" spans="2:8" ht="14.4" x14ac:dyDescent="0.4">
      <c r="B193" s="1177"/>
      <c r="C193" s="1177"/>
      <c r="D193" s="1177"/>
      <c r="E193" s="1178"/>
      <c r="F193" s="1178"/>
      <c r="G193" s="1176"/>
      <c r="H193" s="535"/>
    </row>
    <row r="194" spans="2:8" ht="14.4" x14ac:dyDescent="0.4">
      <c r="B194" s="1177"/>
      <c r="C194" s="1177"/>
      <c r="D194" s="1177"/>
      <c r="E194" s="1178"/>
      <c r="F194" s="1178"/>
      <c r="G194" s="1176"/>
      <c r="H194" s="535"/>
    </row>
    <row r="195" spans="2:8" ht="14.4" x14ac:dyDescent="0.4">
      <c r="B195" s="1177"/>
      <c r="C195" s="1177"/>
      <c r="D195" s="1177"/>
      <c r="E195" s="1178"/>
      <c r="F195" s="1178"/>
      <c r="G195" s="1176"/>
      <c r="H195" s="535"/>
    </row>
    <row r="196" spans="2:8" ht="14.4" x14ac:dyDescent="0.4">
      <c r="B196" s="1177"/>
      <c r="C196" s="1177"/>
      <c r="D196" s="1177"/>
      <c r="E196" s="1178"/>
      <c r="F196" s="1178"/>
      <c r="G196" s="1176"/>
      <c r="H196" s="535"/>
    </row>
    <row r="197" spans="2:8" ht="14.4" x14ac:dyDescent="0.4">
      <c r="B197" s="1177"/>
      <c r="C197" s="1177"/>
      <c r="D197" s="1177"/>
      <c r="E197" s="1178"/>
      <c r="F197" s="1178"/>
      <c r="G197" s="1176"/>
      <c r="H197" s="535"/>
    </row>
    <row r="198" spans="2:8" ht="14.4" x14ac:dyDescent="0.4">
      <c r="B198" s="1177"/>
      <c r="C198" s="1177"/>
      <c r="D198" s="1177"/>
      <c r="E198" s="1178"/>
      <c r="F198" s="1178"/>
      <c r="G198" s="1176"/>
      <c r="H198" s="535"/>
    </row>
    <row r="199" spans="2:8" ht="14.4" x14ac:dyDescent="0.4">
      <c r="B199" s="1177"/>
      <c r="C199" s="1177"/>
      <c r="D199" s="1177"/>
      <c r="E199" s="1178"/>
      <c r="F199" s="1178"/>
      <c r="G199" s="1176"/>
      <c r="H199" s="535"/>
    </row>
    <row r="200" spans="2:8" ht="14.4" x14ac:dyDescent="0.4">
      <c r="B200" s="1177"/>
      <c r="C200" s="1177"/>
      <c r="D200" s="1177"/>
      <c r="E200" s="1178"/>
      <c r="F200" s="1178"/>
      <c r="G200" s="1176"/>
      <c r="H200" s="535"/>
    </row>
    <row r="201" spans="2:8" ht="14.4" x14ac:dyDescent="0.4">
      <c r="B201" s="1177"/>
      <c r="C201" s="1177"/>
      <c r="D201" s="1177"/>
      <c r="E201" s="1178"/>
      <c r="F201" s="1178"/>
      <c r="G201" s="1176"/>
      <c r="H201" s="535"/>
    </row>
    <row r="202" spans="2:8" ht="14.4" x14ac:dyDescent="0.4">
      <c r="B202" s="1177"/>
      <c r="C202" s="1177"/>
      <c r="D202" s="1177"/>
      <c r="E202" s="1178"/>
      <c r="F202" s="1178"/>
      <c r="G202" s="1176"/>
      <c r="H202" s="535"/>
    </row>
    <row r="203" spans="2:8" ht="14.4" x14ac:dyDescent="0.4">
      <c r="B203" s="1177"/>
      <c r="C203" s="1177"/>
      <c r="D203" s="1177"/>
      <c r="E203" s="1178"/>
      <c r="F203" s="1178"/>
      <c r="G203" s="1176"/>
      <c r="H203" s="535"/>
    </row>
    <row r="204" spans="2:8" ht="14.4" x14ac:dyDescent="0.4">
      <c r="B204" s="1177"/>
      <c r="C204" s="1177"/>
      <c r="D204" s="1177"/>
      <c r="E204" s="1178"/>
      <c r="F204" s="1178"/>
      <c r="G204" s="1176"/>
      <c r="H204" s="535"/>
    </row>
    <row r="205" spans="2:8" ht="14.4" x14ac:dyDescent="0.4">
      <c r="B205" s="1177"/>
      <c r="C205" s="1177"/>
      <c r="D205" s="1177"/>
      <c r="E205" s="1178"/>
      <c r="F205" s="1178"/>
      <c r="G205" s="1176"/>
      <c r="H205" s="535"/>
    </row>
    <row r="206" spans="2:8" ht="14.4" x14ac:dyDescent="0.4">
      <c r="B206" s="1177"/>
      <c r="C206" s="1177"/>
      <c r="D206" s="1177"/>
      <c r="E206" s="1178"/>
      <c r="F206" s="1178"/>
      <c r="G206" s="1176"/>
      <c r="H206" s="535"/>
    </row>
    <row r="207" spans="2:8" ht="14.4" x14ac:dyDescent="0.4">
      <c r="B207" s="1177"/>
      <c r="C207" s="1177"/>
      <c r="D207" s="1177"/>
      <c r="E207" s="1178"/>
      <c r="F207" s="1178"/>
      <c r="G207" s="1176"/>
      <c r="H207" s="535"/>
    </row>
    <row r="208" spans="2:8" ht="14.4" x14ac:dyDescent="0.4">
      <c r="B208" s="1177"/>
      <c r="C208" s="1177"/>
      <c r="D208" s="1177"/>
      <c r="E208" s="1178"/>
      <c r="F208" s="1178"/>
      <c r="G208" s="1176"/>
      <c r="H208" s="535"/>
    </row>
    <row r="209" spans="2:8" ht="14.4" x14ac:dyDescent="0.4">
      <c r="B209" s="1177"/>
      <c r="C209" s="1177"/>
      <c r="D209" s="1177"/>
      <c r="E209" s="1178"/>
      <c r="F209" s="1178"/>
      <c r="G209" s="1176"/>
      <c r="H209" s="535"/>
    </row>
    <row r="210" spans="2:8" ht="14.4" x14ac:dyDescent="0.4">
      <c r="B210" s="1177"/>
      <c r="C210" s="1177"/>
      <c r="D210" s="1177"/>
      <c r="E210" s="1178"/>
      <c r="F210" s="1178"/>
      <c r="G210" s="1176"/>
      <c r="H210" s="535"/>
    </row>
    <row r="211" spans="2:8" ht="14.4" x14ac:dyDescent="0.4">
      <c r="B211" s="1177"/>
      <c r="C211" s="1177"/>
      <c r="D211" s="1177"/>
      <c r="E211" s="1178"/>
      <c r="F211" s="1178"/>
      <c r="G211" s="1176"/>
      <c r="H211" s="535"/>
    </row>
    <row r="212" spans="2:8" ht="14.4" x14ac:dyDescent="0.4">
      <c r="B212" s="1177"/>
      <c r="C212" s="1177"/>
      <c r="D212" s="1177"/>
      <c r="E212" s="1178"/>
      <c r="F212" s="1178"/>
      <c r="G212" s="1176"/>
      <c r="H212" s="535"/>
    </row>
    <row r="213" spans="2:8" ht="14.4" x14ac:dyDescent="0.4">
      <c r="B213" s="1177"/>
      <c r="C213" s="1177"/>
      <c r="D213" s="1177"/>
      <c r="E213" s="1178"/>
      <c r="F213" s="1178"/>
      <c r="G213" s="1176"/>
      <c r="H213" s="535"/>
    </row>
    <row r="214" spans="2:8" ht="14.4" x14ac:dyDescent="0.4">
      <c r="B214" s="1177"/>
      <c r="C214" s="1177"/>
      <c r="D214" s="1177"/>
      <c r="E214" s="1178"/>
      <c r="F214" s="1178"/>
      <c r="G214" s="1176"/>
      <c r="H214" s="535"/>
    </row>
    <row r="215" spans="2:8" ht="14.4" x14ac:dyDescent="0.4">
      <c r="B215" s="1177"/>
      <c r="C215" s="1177"/>
      <c r="D215" s="1177"/>
      <c r="E215" s="1178"/>
      <c r="F215" s="1178"/>
      <c r="G215" s="1176"/>
      <c r="H215" s="535"/>
    </row>
    <row r="216" spans="2:8" ht="14.4" x14ac:dyDescent="0.4">
      <c r="B216" s="1177"/>
      <c r="C216" s="1177"/>
      <c r="D216" s="1177"/>
      <c r="E216" s="1178"/>
      <c r="F216" s="1178"/>
      <c r="G216" s="1176"/>
      <c r="H216" s="535"/>
    </row>
    <row r="217" spans="2:8" ht="14.4" x14ac:dyDescent="0.4">
      <c r="B217" s="1177"/>
      <c r="C217" s="1177"/>
      <c r="D217" s="1177"/>
      <c r="E217" s="1178"/>
      <c r="F217" s="1178"/>
      <c r="G217" s="1176"/>
      <c r="H217" s="535"/>
    </row>
    <row r="218" spans="2:8" ht="14.4" x14ac:dyDescent="0.4">
      <c r="B218" s="1177"/>
      <c r="C218" s="1177"/>
      <c r="D218" s="1177"/>
      <c r="E218" s="1178"/>
      <c r="F218" s="1178"/>
      <c r="G218" s="1176"/>
      <c r="H218" s="535"/>
    </row>
    <row r="219" spans="2:8" ht="14.4" x14ac:dyDescent="0.4">
      <c r="B219" s="1177"/>
      <c r="C219" s="1177"/>
      <c r="D219" s="1177"/>
      <c r="E219" s="1178"/>
      <c r="F219" s="1178"/>
      <c r="G219" s="1176"/>
      <c r="H219" s="535"/>
    </row>
    <row r="220" spans="2:8" ht="14.4" x14ac:dyDescent="0.4">
      <c r="B220" s="1177"/>
      <c r="C220" s="1177"/>
      <c r="D220" s="1177"/>
      <c r="E220" s="1178"/>
      <c r="F220" s="1178"/>
      <c r="G220" s="1176"/>
      <c r="H220" s="535"/>
    </row>
    <row r="221" spans="2:8" ht="14.4" x14ac:dyDescent="0.4">
      <c r="B221" s="1177"/>
      <c r="C221" s="1177"/>
      <c r="D221" s="1177"/>
      <c r="E221" s="1178"/>
      <c r="F221" s="1178"/>
      <c r="G221" s="1176"/>
      <c r="H221" s="535"/>
    </row>
    <row r="222" spans="2:8" ht="14.4" x14ac:dyDescent="0.4">
      <c r="B222" s="1177"/>
      <c r="C222" s="1177"/>
      <c r="D222" s="1177"/>
      <c r="E222" s="1178"/>
      <c r="F222" s="1178"/>
      <c r="G222" s="1176"/>
      <c r="H222" s="535"/>
    </row>
    <row r="223" spans="2:8" ht="14.4" x14ac:dyDescent="0.4">
      <c r="B223" s="1177"/>
      <c r="C223" s="1177"/>
      <c r="D223" s="1177"/>
      <c r="E223" s="1178"/>
      <c r="F223" s="1178"/>
      <c r="G223" s="826"/>
    </row>
    <row r="224" spans="2:8" ht="14.4" x14ac:dyDescent="0.4">
      <c r="B224" s="1177"/>
      <c r="C224" s="1177"/>
      <c r="D224" s="1177"/>
      <c r="E224" s="1178"/>
      <c r="F224" s="1178"/>
      <c r="G224" s="826"/>
    </row>
    <row r="225" spans="2:7" ht="14.4" x14ac:dyDescent="0.4">
      <c r="B225" s="1177"/>
      <c r="C225" s="1177"/>
      <c r="D225" s="1177"/>
      <c r="E225" s="1178"/>
      <c r="F225" s="1178"/>
      <c r="G225" s="826"/>
    </row>
    <row r="226" spans="2:7" ht="14.4" x14ac:dyDescent="0.4">
      <c r="B226" s="1177"/>
      <c r="C226" s="1177"/>
      <c r="D226" s="1177"/>
      <c r="E226" s="1178"/>
      <c r="F226" s="1178"/>
      <c r="G226" s="826"/>
    </row>
    <row r="227" spans="2:7" ht="14.4" x14ac:dyDescent="0.4">
      <c r="B227" s="1177"/>
      <c r="C227" s="1177"/>
      <c r="D227" s="1177"/>
      <c r="E227" s="1178"/>
      <c r="F227" s="1178"/>
      <c r="G227" s="826"/>
    </row>
    <row r="228" spans="2:7" ht="14.4" x14ac:dyDescent="0.4">
      <c r="B228" s="1177"/>
      <c r="C228" s="1177"/>
      <c r="D228" s="1177"/>
      <c r="E228" s="1178"/>
      <c r="F228" s="1178"/>
      <c r="G228" s="826"/>
    </row>
    <row r="229" spans="2:7" ht="14.4" x14ac:dyDescent="0.4">
      <c r="B229" s="1177"/>
      <c r="C229" s="1177"/>
      <c r="D229" s="1177"/>
      <c r="E229" s="1178"/>
      <c r="F229" s="1178"/>
      <c r="G229" s="826"/>
    </row>
    <row r="230" spans="2:7" ht="14.4" x14ac:dyDescent="0.4">
      <c r="B230" s="1177"/>
      <c r="C230" s="1177"/>
      <c r="D230" s="1177"/>
      <c r="E230" s="1178"/>
      <c r="F230" s="1178"/>
      <c r="G230" s="826"/>
    </row>
    <row r="231" spans="2:7" ht="14.4" x14ac:dyDescent="0.4">
      <c r="B231" s="1177"/>
      <c r="C231" s="1177"/>
      <c r="D231" s="1177"/>
      <c r="E231" s="1178"/>
      <c r="F231" s="1178"/>
      <c r="G231" s="826"/>
    </row>
    <row r="232" spans="2:7" ht="14.4" x14ac:dyDescent="0.4">
      <c r="B232" s="1177"/>
      <c r="C232" s="1177"/>
      <c r="D232" s="1177"/>
      <c r="E232" s="1178"/>
      <c r="F232" s="1178"/>
      <c r="G232" s="826"/>
    </row>
    <row r="233" spans="2:7" ht="14.4" x14ac:dyDescent="0.4">
      <c r="B233" s="1177"/>
      <c r="C233" s="1177"/>
      <c r="D233" s="1177"/>
      <c r="E233" s="1178"/>
      <c r="F233" s="1178"/>
      <c r="G233" s="826"/>
    </row>
    <row r="234" spans="2:7" ht="14.4" x14ac:dyDescent="0.4">
      <c r="B234" s="1177"/>
      <c r="C234" s="1177"/>
      <c r="D234" s="1177"/>
      <c r="E234" s="1178"/>
      <c r="F234" s="1178"/>
      <c r="G234" s="826"/>
    </row>
    <row r="235" spans="2:7" ht="14.4" x14ac:dyDescent="0.4">
      <c r="B235" s="1177"/>
      <c r="C235" s="1177"/>
      <c r="D235" s="1177"/>
      <c r="E235" s="1178"/>
      <c r="F235" s="1178"/>
      <c r="G235" s="826"/>
    </row>
    <row r="236" spans="2:7" ht="14.4" x14ac:dyDescent="0.4">
      <c r="B236" s="1177"/>
      <c r="C236" s="1177"/>
      <c r="D236" s="1177"/>
      <c r="E236" s="1178"/>
      <c r="F236" s="1178"/>
      <c r="G236" s="826"/>
    </row>
    <row r="237" spans="2:7" ht="14.4" x14ac:dyDescent="0.4">
      <c r="B237" s="1177"/>
      <c r="C237" s="1177"/>
      <c r="D237" s="1177"/>
      <c r="E237" s="1178"/>
      <c r="F237" s="1178"/>
      <c r="G237" s="826"/>
    </row>
    <row r="238" spans="2:7" ht="14.4" x14ac:dyDescent="0.4">
      <c r="B238" s="1177"/>
      <c r="C238" s="1177"/>
      <c r="D238" s="1177"/>
      <c r="E238" s="1178"/>
      <c r="F238" s="1178"/>
      <c r="G238" s="826"/>
    </row>
    <row r="239" spans="2:7" x14ac:dyDescent="0.4">
      <c r="B239" s="826"/>
      <c r="C239" s="826"/>
      <c r="D239" s="826"/>
      <c r="E239" s="826"/>
      <c r="F239" s="826"/>
      <c r="G239" s="826"/>
    </row>
    <row r="240" spans="2:7" x14ac:dyDescent="0.4">
      <c r="B240" s="826"/>
      <c r="C240" s="826"/>
      <c r="D240" s="826"/>
      <c r="E240" s="826"/>
      <c r="F240" s="826"/>
      <c r="G240" s="826"/>
    </row>
  </sheetData>
  <pageMargins left="0.7" right="0.7" top="0.75" bottom="0.75" header="0.3" footer="0.3"/>
  <cellWatches>
    <cellWatch r="AZ131"/>
    <cellWatch r="AZ132"/>
    <cellWatch r="AZ133"/>
    <cellWatch r="AZ134"/>
    <cellWatch r="AZ135"/>
    <cellWatch r="AZ136"/>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BB131"/>
    <cellWatch r="BB132"/>
    <cellWatch r="BB133"/>
    <cellWatch r="BB134"/>
    <cellWatch r="BB135"/>
    <cellWatch r="BB136"/>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AZ206"/>
    <cellWatch r="AZ207"/>
    <cellWatch r="AZ208"/>
    <cellWatch r="AZ209"/>
    <cellWatch r="AZ210"/>
    <cellWatch r="AZ21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166"/>
    <cellWatch r="AZ167"/>
    <cellWatch r="AZ168"/>
    <cellWatch r="AZ169"/>
    <cellWatch r="AZ170"/>
    <cellWatch r="AZ17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36"/>
    <cellWatch r="AZ237"/>
    <cellWatch r="AZ238"/>
    <cellWatch r="AZ239"/>
    <cellWatch r="AZ240"/>
    <cellWatch r="AZ241"/>
    <cellWatch r="BB166"/>
    <cellWatch r="BB167"/>
    <cellWatch r="BB168"/>
    <cellWatch r="BB169"/>
    <cellWatch r="BB170"/>
    <cellWatch r="BB171"/>
    <cellWatch r="AZ174"/>
    <cellWatch r="AZ175"/>
    <cellWatch r="AZ242"/>
    <cellWatch r="AZ243"/>
    <cellWatch r="AZ244"/>
    <cellWatch r="AZ245"/>
    <cellWatch r="AY139"/>
    <cellWatch r="AY140"/>
    <cellWatch r="AY141"/>
    <cellWatch r="AY142"/>
    <cellWatch r="AY143"/>
    <cellWatch r="AY144"/>
    <cellWatch r="AY145"/>
    <cellWatch r="AY146"/>
    <cellWatch r="AY147"/>
    <cellWatch r="AZ176"/>
    <cellWatch r="AZ177"/>
    <cellWatch r="AZ178"/>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246"/>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Y135"/>
    <cellWatch r="AY136"/>
    <cellWatch r="AY137"/>
    <cellWatch r="AY138"/>
    <cellWatch r="AZ179"/>
    <cellWatch r="AZ180"/>
    <cellWatch r="AZ181"/>
    <cellWatch r="AZ182"/>
    <cellWatch r="BB172"/>
    <cellWatch r="AY183"/>
    <cellWatch r="AY184"/>
    <cellWatch r="AY185"/>
    <cellWatch r="AY186"/>
    <cellWatch r="AY187"/>
    <cellWatch r="AU144"/>
    <cellWatch r="AU145"/>
    <cellWatch r="AU146"/>
    <cellWatch r="AU147"/>
    <cellWatch r="AU148"/>
    <cellWatch r="AU149"/>
    <cellWatch r="AU150"/>
    <cellWatch r="AU151"/>
    <cellWatch r="AU152"/>
    <cellWatch r="AU153"/>
    <cellWatch r="AU154"/>
    <cellWatch r="AU155"/>
    <cellWatch r="AU156"/>
    <cellWatch r="AU157"/>
    <cellWatch r="AU158"/>
    <cellWatch r="AU159"/>
    <cellWatch r="AU160"/>
    <cellWatch r="AU161"/>
    <cellWatch r="AU162"/>
    <cellWatch r="AU163"/>
    <cellWatch r="AU164"/>
    <cellWatch r="AU165"/>
    <cellWatch r="AU166"/>
    <cellWatch r="AU167"/>
    <cellWatch r="AU168"/>
    <cellWatch r="AU169"/>
    <cellWatch r="AU170"/>
    <cellWatch r="AU171"/>
    <cellWatch r="AU172"/>
    <cellWatch r="AU173"/>
    <cellWatch r="AU174"/>
    <cellWatch r="AU175"/>
    <cellWatch r="AU176"/>
    <cellWatch r="AU177"/>
    <cellWatch r="AU178"/>
    <cellWatch r="AU224"/>
    <cellWatch r="AU225"/>
    <cellWatch r="AU226"/>
    <cellWatch r="AU227"/>
    <cellWatch r="AU228"/>
    <cellWatch r="AU229"/>
    <cellWatch r="AU230"/>
    <cellWatch r="AU231"/>
    <cellWatch r="AU232"/>
    <cellWatch r="AU233"/>
    <cellWatch r="AU234"/>
    <cellWatch r="AU235"/>
    <cellWatch r="AU236"/>
    <cellWatch r="AU237"/>
    <cellWatch r="AU238"/>
    <cellWatch r="AU239"/>
    <cellWatch r="AU240"/>
    <cellWatch r="AU241"/>
    <cellWatch r="AU242"/>
    <cellWatch r="AU243"/>
    <cellWatch r="AU244"/>
    <cellWatch r="AU245"/>
    <cellWatch r="AU246"/>
    <cellWatch r="AU247"/>
    <cellWatch r="AU248"/>
    <cellWatch r="AU249"/>
    <cellWatch r="AU250"/>
    <cellWatch r="AU251"/>
    <cellWatch r="AU252"/>
    <cellWatch r="AU253"/>
    <cellWatch r="AU179"/>
    <cellWatch r="AU180"/>
    <cellWatch r="AU181"/>
    <cellWatch r="AU182"/>
    <cellWatch r="AU183"/>
    <cellWatch r="AU219"/>
    <cellWatch r="AU220"/>
    <cellWatch r="AU221"/>
    <cellWatch r="AU222"/>
    <cellWatch r="AU223"/>
    <cellWatch r="AV144"/>
    <cellWatch r="AV145"/>
    <cellWatch r="AV146"/>
    <cellWatch r="AV147"/>
    <cellWatch r="AV148"/>
    <cellWatch r="AV149"/>
    <cellWatch r="AV150"/>
    <cellWatch r="AV151"/>
    <cellWatch r="AV152"/>
    <cellWatch r="AV153"/>
    <cellWatch r="AV154"/>
    <cellWatch r="AV155"/>
    <cellWatch r="AV156"/>
    <cellWatch r="AV157"/>
    <cellWatch r="AV158"/>
    <cellWatch r="AV159"/>
    <cellWatch r="AV160"/>
    <cellWatch r="AV161"/>
    <cellWatch r="AV162"/>
    <cellWatch r="AV163"/>
    <cellWatch r="AV164"/>
    <cellWatch r="AV165"/>
    <cellWatch r="AV166"/>
    <cellWatch r="AV167"/>
    <cellWatch r="AV168"/>
    <cellWatch r="AV169"/>
    <cellWatch r="AV170"/>
    <cellWatch r="AV171"/>
    <cellWatch r="AV172"/>
    <cellWatch r="AV173"/>
    <cellWatch r="AV174"/>
    <cellWatch r="AV175"/>
    <cellWatch r="AV176"/>
    <cellWatch r="AV177"/>
    <cellWatch r="AV178"/>
    <cellWatch r="AT155"/>
    <cellWatch r="AT156"/>
    <cellWatch r="AT157"/>
    <cellWatch r="AT158"/>
    <cellWatch r="AT159"/>
    <cellWatch r="AT160"/>
    <cellWatch r="AT161"/>
    <cellWatch r="AT162"/>
    <cellWatch r="AT163"/>
    <cellWatch r="AT164"/>
    <cellWatch r="AT165"/>
    <cellWatch r="AT166"/>
    <cellWatch r="AT167"/>
    <cellWatch r="AT168"/>
    <cellWatch r="AT169"/>
    <cellWatch r="AT170"/>
    <cellWatch r="AT171"/>
    <cellWatch r="AT172"/>
    <cellWatch r="AT173"/>
    <cellWatch r="AT174"/>
    <cellWatch r="AT175"/>
    <cellWatch r="AT176"/>
    <cellWatch r="AT177"/>
    <cellWatch r="AT178"/>
    <cellWatch r="AT179"/>
    <cellWatch r="AT180"/>
    <cellWatch r="AT181"/>
    <cellWatch r="AT182"/>
    <cellWatch r="AT183"/>
    <cellWatch r="AT184"/>
    <cellWatch r="AT185"/>
    <cellWatch r="AT186"/>
    <cellWatch r="AT187"/>
    <cellWatch r="AT188"/>
    <cellWatch r="AT189"/>
    <cellWatch r="AU303"/>
    <cellWatch r="AU304"/>
    <cellWatch r="AU305"/>
    <cellWatch r="AU306"/>
    <cellWatch r="AU307"/>
    <cellWatch r="AU308"/>
    <cellWatch r="AU309"/>
    <cellWatch r="AU310"/>
    <cellWatch r="AU311"/>
    <cellWatch r="AU312"/>
    <cellWatch r="AU313"/>
    <cellWatch r="AU314"/>
    <cellWatch r="AU315"/>
    <cellWatch r="AU316"/>
    <cellWatch r="AU317"/>
    <cellWatch r="AU318"/>
    <cellWatch r="AU319"/>
    <cellWatch r="AU320"/>
    <cellWatch r="AU321"/>
    <cellWatch r="AU322"/>
    <cellWatch r="AU323"/>
    <cellWatch r="AU324"/>
    <cellWatch r="AU325"/>
    <cellWatch r="AU326"/>
    <cellWatch r="AU327"/>
    <cellWatch r="AU328"/>
    <cellWatch r="AW144"/>
    <cellWatch r="AW145"/>
    <cellWatch r="AW147"/>
    <cellWatch r="AW148"/>
    <cellWatch r="AW149"/>
    <cellWatch r="AW150"/>
    <cellWatch r="AW151"/>
    <cellWatch r="AW152"/>
    <cellWatch r="AW153"/>
    <cellWatch r="AW154"/>
    <cellWatch r="AW155"/>
    <cellWatch r="AW156"/>
    <cellWatch r="AW157"/>
    <cellWatch r="AW158"/>
    <cellWatch r="AW159"/>
    <cellWatch r="AW160"/>
    <cellWatch r="AW161"/>
    <cellWatch r="AW162"/>
    <cellWatch r="AW163"/>
    <cellWatch r="AW164"/>
    <cellWatch r="AW165"/>
    <cellWatch r="AW166"/>
    <cellWatch r="AW167"/>
    <cellWatch r="AW168"/>
    <cellWatch r="AW169"/>
    <cellWatch r="AW170"/>
    <cellWatch r="AW171"/>
    <cellWatch r="AW172"/>
    <cellWatch r="AW173"/>
    <cellWatch r="AW174"/>
    <cellWatch r="AW175"/>
    <cellWatch r="AW176"/>
    <cellWatch r="AW177"/>
    <cellWatch r="AW178"/>
    <cellWatch r="AW179"/>
    <cellWatch r="AU184"/>
    <cellWatch r="AU185"/>
    <cellWatch r="AT190"/>
    <cellWatch r="AT191"/>
    <cellWatch r="AT192"/>
    <cellWatch r="AT193"/>
    <cellWatch r="AT194"/>
    <cellWatch r="AU142"/>
    <cellWatch r="AU143"/>
    <cellWatch r="AT151"/>
    <cellWatch r="AT152"/>
    <cellWatch r="AT153"/>
    <cellWatch r="AT154"/>
    <cellWatch r="AU140"/>
    <cellWatch r="AU141"/>
    <cellWatch r="AU215"/>
    <cellWatch r="AU216"/>
    <cellWatch r="AU217"/>
    <cellWatch r="AU218"/>
    <cellWatch r="AV140"/>
    <cellWatch r="AV141"/>
    <cellWatch r="AV142"/>
    <cellWatch r="AV143"/>
    <cellWatch r="AT142"/>
    <cellWatch r="AT143"/>
    <cellWatch r="AT144"/>
    <cellWatch r="AT145"/>
    <cellWatch r="AT146"/>
    <cellWatch r="AT147"/>
    <cellWatch r="AT148"/>
    <cellWatch r="AT149"/>
    <cellWatch r="AT150"/>
    <cellWatch r="AU299"/>
    <cellWatch r="AU300"/>
    <cellWatch r="AU301"/>
    <cellWatch r="AU302"/>
    <cellWatch r="AW140"/>
    <cellWatch r="AW141"/>
    <cellWatch r="AW142"/>
    <cellWatch r="AW143"/>
    <cellWatch r="AW146"/>
    <cellWatch r="AT138"/>
    <cellWatch r="AT139"/>
    <cellWatch r="AT140"/>
    <cellWatch r="AT141"/>
  </cellWatch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89922-EF48-4759-A9B6-2868FEE2C718}">
  <dimension ref="A1:BT240"/>
  <sheetViews>
    <sheetView zoomScale="40" zoomScaleNormal="40" workbookViewId="0">
      <selection activeCell="W34" sqref="W34"/>
    </sheetView>
  </sheetViews>
  <sheetFormatPr defaultColWidth="10.6640625" defaultRowHeight="12.3" x14ac:dyDescent="0.4"/>
  <cols>
    <col min="1" max="1" width="10.6640625" style="609"/>
    <col min="2" max="2" width="25" style="609" customWidth="1"/>
    <col min="3" max="3" width="18.6640625" style="609" customWidth="1"/>
    <col min="4" max="4" width="10.6640625" style="609"/>
    <col min="5" max="6" width="20.1640625" style="609" customWidth="1"/>
    <col min="7" max="7" width="14.83203125" style="609" customWidth="1"/>
    <col min="8" max="8" width="10.6640625" style="609"/>
    <col min="9" max="9" width="12.83203125" style="609" customWidth="1"/>
    <col min="10" max="10" width="17.1640625" style="609" customWidth="1"/>
    <col min="11" max="13" width="10.6640625" style="609"/>
    <col min="14" max="14" width="21" style="609" customWidth="1"/>
    <col min="15" max="16384" width="10.6640625" style="609"/>
  </cols>
  <sheetData>
    <row r="1" spans="1:72" x14ac:dyDescent="0.4">
      <c r="A1" s="703" t="s">
        <v>543</v>
      </c>
      <c r="AA1" s="609" t="s">
        <v>463</v>
      </c>
    </row>
    <row r="5" spans="1:72" x14ac:dyDescent="0.4">
      <c r="N5" s="703"/>
    </row>
    <row r="6" spans="1:72" ht="12.6" x14ac:dyDescent="0.45">
      <c r="D6" s="796" t="s">
        <v>1077</v>
      </c>
      <c r="AC6" s="1" t="s">
        <v>1035</v>
      </c>
    </row>
    <row r="7" spans="1:72" ht="12.6" x14ac:dyDescent="0.45">
      <c r="A7" s="1" t="s">
        <v>348</v>
      </c>
      <c r="D7" s="796" t="s">
        <v>1078</v>
      </c>
      <c r="N7" s="796" t="s">
        <v>1079</v>
      </c>
      <c r="AC7" s="703" t="s">
        <v>1033</v>
      </c>
    </row>
    <row r="8" spans="1:72" ht="12.6" x14ac:dyDescent="0.45">
      <c r="B8" s="1175" t="s">
        <v>1073</v>
      </c>
      <c r="E8" s="1175" t="s">
        <v>1073</v>
      </c>
      <c r="F8" s="1175"/>
      <c r="H8" s="796"/>
      <c r="J8" s="1175" t="s">
        <v>1073</v>
      </c>
      <c r="N8" s="1175" t="s">
        <v>1073</v>
      </c>
      <c r="AD8" s="609" t="s">
        <v>1034</v>
      </c>
      <c r="AW8" s="1" t="s">
        <v>305</v>
      </c>
    </row>
    <row r="9" spans="1:72" ht="100" customHeight="1" x14ac:dyDescent="0.4">
      <c r="A9" s="609" t="s">
        <v>114</v>
      </c>
      <c r="B9" s="899" t="s">
        <v>1076</v>
      </c>
      <c r="C9" s="735" t="s">
        <v>384</v>
      </c>
      <c r="D9" s="735" t="s">
        <v>386</v>
      </c>
      <c r="E9" s="1209" t="s">
        <v>1115</v>
      </c>
      <c r="F9" s="1204" t="s">
        <v>1116</v>
      </c>
      <c r="G9" s="735" t="s">
        <v>385</v>
      </c>
      <c r="H9" s="1204" t="s">
        <v>1081</v>
      </c>
      <c r="I9" s="735" t="s">
        <v>350</v>
      </c>
      <c r="J9" s="1210" t="s">
        <v>1118</v>
      </c>
      <c r="K9" s="735" t="s">
        <v>343</v>
      </c>
      <c r="L9" s="735" t="s">
        <v>344</v>
      </c>
      <c r="M9" s="735" t="s">
        <v>345</v>
      </c>
      <c r="N9" s="1204" t="s">
        <v>1117</v>
      </c>
      <c r="O9" s="735" t="s">
        <v>346</v>
      </c>
      <c r="P9" s="341"/>
      <c r="Q9" s="735" t="s">
        <v>352</v>
      </c>
      <c r="AC9" s="340" t="s">
        <v>1082</v>
      </c>
      <c r="AD9" s="609" t="s">
        <v>301</v>
      </c>
      <c r="AE9" s="609" t="s">
        <v>302</v>
      </c>
      <c r="AG9" s="609" t="s">
        <v>1069</v>
      </c>
      <c r="AK9" s="609" t="s">
        <v>304</v>
      </c>
    </row>
    <row r="10" spans="1:72" ht="15" customHeight="1" thickBot="1" x14ac:dyDescent="0.65">
      <c r="A10" s="609">
        <v>2014</v>
      </c>
      <c r="B10" s="696">
        <v>1.67</v>
      </c>
      <c r="C10" s="697">
        <v>117.3</v>
      </c>
      <c r="D10" s="531">
        <f>IF((B10-C10)&lt;0,0,(B10-C10))</f>
        <v>0</v>
      </c>
      <c r="E10" s="699">
        <v>903.9</v>
      </c>
      <c r="F10" s="1202">
        <v>32.5</v>
      </c>
      <c r="G10" s="606">
        <f>D10/E10</f>
        <v>0</v>
      </c>
      <c r="H10" s="608">
        <f>G10*E10</f>
        <v>0</v>
      </c>
      <c r="I10" s="531">
        <f t="shared" ref="I10:I56" si="0">IF(H10&gt;D10,0,D10-H10)</f>
        <v>0</v>
      </c>
      <c r="J10" s="633">
        <v>0</v>
      </c>
      <c r="K10" s="531">
        <f t="shared" ref="K10:K56" si="1">J10*$BN$69</f>
        <v>0</v>
      </c>
      <c r="L10" s="531">
        <f>MIN(I10,K10)</f>
        <v>0</v>
      </c>
      <c r="M10" s="531">
        <f>I10-L10</f>
        <v>0</v>
      </c>
      <c r="N10" s="633">
        <v>90.1</v>
      </c>
      <c r="O10" s="531">
        <f>M10/$BN$31</f>
        <v>0</v>
      </c>
      <c r="Q10" s="536">
        <f t="shared" ref="Q10:Q56" si="2">B10/AC10</f>
        <v>5.7986111111111112E-3</v>
      </c>
      <c r="AB10" s="1164">
        <v>2012</v>
      </c>
      <c r="AC10" s="704">
        <v>288</v>
      </c>
      <c r="AD10" s="536" t="e">
        <f>AC10/'MSW Integration Calcs PDS1 '!#REF!</f>
        <v>#REF!</v>
      </c>
      <c r="AE10" s="536" t="e">
        <f>AC10/'MSW Integration Calcs PDS1 '!#REF!</f>
        <v>#REF!</v>
      </c>
      <c r="AG10" s="337">
        <v>0.12</v>
      </c>
      <c r="AK10" s="531">
        <f>$AI$12*AC10</f>
        <v>223.36205787781347</v>
      </c>
      <c r="AL10" s="536" t="e">
        <f>AK10/'MSW Integration Calcs PDS1 '!#REF!</f>
        <v>#REF!</v>
      </c>
      <c r="AW10" s="537" t="s">
        <v>306</v>
      </c>
      <c r="AX10" s="538" t="s">
        <v>307</v>
      </c>
      <c r="AY10" s="539" t="s">
        <v>308</v>
      </c>
      <c r="AZ10" s="540" t="s">
        <v>309</v>
      </c>
      <c r="BA10" s="540" t="s">
        <v>310</v>
      </c>
      <c r="BB10" s="539" t="s">
        <v>311</v>
      </c>
      <c r="BC10" s="539" t="s">
        <v>312</v>
      </c>
      <c r="BD10" s="540" t="s">
        <v>313</v>
      </c>
      <c r="BE10" s="540" t="s">
        <v>314</v>
      </c>
      <c r="BF10" s="541" t="s">
        <v>315</v>
      </c>
      <c r="BG10" s="542" t="s">
        <v>222</v>
      </c>
      <c r="BH10" s="543" t="s">
        <v>316</v>
      </c>
      <c r="BI10" s="544" t="s">
        <v>317</v>
      </c>
      <c r="BK10" s="544" t="s">
        <v>318</v>
      </c>
      <c r="BL10" s="545"/>
      <c r="BM10" s="546" t="s">
        <v>319</v>
      </c>
      <c r="BN10" s="547" t="s">
        <v>320</v>
      </c>
      <c r="BO10" s="548" t="s">
        <v>321</v>
      </c>
      <c r="BR10" s="545"/>
      <c r="BS10" s="545"/>
      <c r="BT10" s="549"/>
    </row>
    <row r="11" spans="1:72" ht="15" customHeight="1" x14ac:dyDescent="0.6">
      <c r="A11" s="609">
        <v>2015</v>
      </c>
      <c r="B11" s="696">
        <v>2.0299999999999998</v>
      </c>
      <c r="C11" s="697">
        <v>110.6</v>
      </c>
      <c r="D11" s="531">
        <f t="shared" ref="D11:D56" si="3">IF((B11-C11)&lt;0,0,(B11-C11))</f>
        <v>0</v>
      </c>
      <c r="E11" s="699">
        <v>903.9</v>
      </c>
      <c r="F11" s="1202">
        <v>32.5</v>
      </c>
      <c r="G11" s="606">
        <f>D11/E11</f>
        <v>0</v>
      </c>
      <c r="H11" s="608">
        <f t="shared" ref="H11:H56" si="4">G11*E11</f>
        <v>0</v>
      </c>
      <c r="I11" s="531">
        <f t="shared" si="0"/>
        <v>0</v>
      </c>
      <c r="J11" s="633">
        <v>0</v>
      </c>
      <c r="K11" s="531">
        <f t="shared" si="1"/>
        <v>0</v>
      </c>
      <c r="L11" s="531">
        <f t="shared" ref="L11:L56" si="5">MIN(I11,K11)</f>
        <v>0</v>
      </c>
      <c r="M11" s="531">
        <f t="shared" ref="M11:M56" si="6">I11-L11</f>
        <v>0</v>
      </c>
      <c r="N11" s="633">
        <v>90.8</v>
      </c>
      <c r="O11" s="531">
        <f t="shared" ref="O11:O56" si="7">M11/$BN$31</f>
        <v>0</v>
      </c>
      <c r="Q11" s="536">
        <f t="shared" si="2"/>
        <v>6.7892976588628754E-3</v>
      </c>
      <c r="AB11" s="1164">
        <v>2013</v>
      </c>
      <c r="AC11" s="704">
        <v>299</v>
      </c>
      <c r="AD11" s="536" t="e">
        <f>AC11/'MSW Integration Calcs PDS1 '!#REF!</f>
        <v>#REF!</v>
      </c>
      <c r="AE11" s="536" t="e">
        <f>AC11/'MSW Integration Calcs PDS1 '!#REF!</f>
        <v>#REF!</v>
      </c>
      <c r="AG11" s="609" t="s">
        <v>1068</v>
      </c>
      <c r="AI11" s="609" t="s">
        <v>303</v>
      </c>
      <c r="AK11" s="531">
        <f>$AI$12*AC11</f>
        <v>231.8932475884244</v>
      </c>
      <c r="AL11" s="536" t="e">
        <f>AK11/'MSW Integration Calcs PDS1 '!#REF!</f>
        <v>#REF!</v>
      </c>
      <c r="AW11" s="550">
        <v>1</v>
      </c>
      <c r="AX11" s="551"/>
      <c r="AY11" s="580" t="s">
        <v>349</v>
      </c>
      <c r="AZ11" s="581" t="s">
        <v>330</v>
      </c>
      <c r="BA11" s="552"/>
      <c r="BB11" s="552"/>
      <c r="BC11" s="553" t="s">
        <v>281</v>
      </c>
      <c r="BD11" s="554">
        <v>2018</v>
      </c>
      <c r="BE11" s="553"/>
      <c r="BF11" s="555">
        <v>0.5</v>
      </c>
      <c r="BG11" s="556"/>
      <c r="BH11" s="557"/>
      <c r="BI11" s="556" t="s">
        <v>329</v>
      </c>
      <c r="BK11" s="558"/>
      <c r="BL11" s="558"/>
      <c r="BM11" s="559"/>
      <c r="BN11" s="560">
        <f>IF(BM11="Y","",IF(AND(BH11="",BF11=""),"",IF(BH11="",BF11,BH11)))</f>
        <v>0.5</v>
      </c>
      <c r="BO11" s="561" t="str">
        <f t="shared" ref="BO11:BO30" si="8">IF(AND(BI11="",BG11=""),"",IF(BI11="",BG11,BI11))</f>
        <v>%</v>
      </c>
      <c r="BR11" s="562"/>
      <c r="BS11" s="562"/>
      <c r="BT11" s="549"/>
    </row>
    <row r="12" spans="1:72" ht="15" customHeight="1" x14ac:dyDescent="0.6">
      <c r="A12" s="609">
        <v>2016</v>
      </c>
      <c r="B12" s="696">
        <v>2.0499999999999998</v>
      </c>
      <c r="C12" s="697">
        <v>102</v>
      </c>
      <c r="D12" s="531">
        <f>IF((B12-C12)&lt;0,0,(B12-C12))</f>
        <v>0</v>
      </c>
      <c r="E12" s="699">
        <v>903.9</v>
      </c>
      <c r="F12" s="1202">
        <v>32.5</v>
      </c>
      <c r="G12" s="606">
        <f t="shared" ref="G12:G56" si="9">D12/E12</f>
        <v>0</v>
      </c>
      <c r="H12" s="608">
        <f>G12*E12</f>
        <v>0</v>
      </c>
      <c r="I12" s="531">
        <f t="shared" si="0"/>
        <v>0</v>
      </c>
      <c r="J12" s="633">
        <v>0</v>
      </c>
      <c r="K12" s="531">
        <f t="shared" si="1"/>
        <v>0</v>
      </c>
      <c r="L12" s="531">
        <f t="shared" si="5"/>
        <v>0</v>
      </c>
      <c r="M12" s="531">
        <f t="shared" si="6"/>
        <v>0</v>
      </c>
      <c r="N12" s="633">
        <v>92</v>
      </c>
      <c r="O12" s="531">
        <f t="shared" si="7"/>
        <v>0</v>
      </c>
      <c r="Q12" s="536">
        <f t="shared" si="2"/>
        <v>6.591639871382636E-3</v>
      </c>
      <c r="AB12" s="1164">
        <v>2014</v>
      </c>
      <c r="AC12" s="704">
        <v>311</v>
      </c>
      <c r="AD12" s="536">
        <f>AC12/'MSW Integration Calcs PDS1 '!C7</f>
        <v>0.17537593984962407</v>
      </c>
      <c r="AE12" s="536">
        <f>AC12/'MSW Integration Calcs PDS1 '!AB7</f>
        <v>0.49569231161567012</v>
      </c>
      <c r="AG12" s="1163">
        <f>AG10*'MSW Integration Calcs PDS1 '!C9</f>
        <v>241.19999999999996</v>
      </c>
      <c r="AI12" s="624">
        <f>AG12/AC12</f>
        <v>0.77556270096463009</v>
      </c>
      <c r="AK12" s="531">
        <f>$AI$12*AC12</f>
        <v>241.19999999999996</v>
      </c>
      <c r="AL12" s="536">
        <f>AK12/'MSW Integration Calcs PDS1 '!C7</f>
        <v>0.13601503759398495</v>
      </c>
      <c r="AW12" s="550">
        <v>2</v>
      </c>
      <c r="AX12" s="551"/>
      <c r="AY12" s="580" t="s">
        <v>332</v>
      </c>
      <c r="AZ12" s="552"/>
      <c r="BA12" s="552"/>
      <c r="BB12" s="552"/>
      <c r="BC12" s="553" t="s">
        <v>228</v>
      </c>
      <c r="BD12" s="554">
        <v>2014</v>
      </c>
      <c r="BE12" s="553"/>
      <c r="BF12" s="555">
        <f>1/5.05</f>
        <v>0.19801980198019803</v>
      </c>
      <c r="BG12" s="555"/>
      <c r="BH12" s="557"/>
      <c r="BI12" s="556" t="s">
        <v>329</v>
      </c>
      <c r="BK12" s="558" t="s">
        <v>331</v>
      </c>
      <c r="BL12" s="558"/>
      <c r="BM12" s="559"/>
      <c r="BN12" s="560">
        <f t="shared" ref="BN12:BN30" si="10">IF(BM12="Y","",IF(AND(BH12="",BF12=""),"",IF(BH12="",BF12,BH12)))</f>
        <v>0.19801980198019803</v>
      </c>
      <c r="BO12" s="561" t="str">
        <f t="shared" si="8"/>
        <v>%</v>
      </c>
      <c r="BR12" s="562"/>
      <c r="BS12" s="562"/>
      <c r="BT12" s="549"/>
    </row>
    <row r="13" spans="1:72" ht="15" customHeight="1" x14ac:dyDescent="0.6">
      <c r="A13" s="609">
        <v>2017</v>
      </c>
      <c r="B13" s="696">
        <v>2.27</v>
      </c>
      <c r="C13" s="697">
        <v>93.7</v>
      </c>
      <c r="D13" s="531">
        <f t="shared" si="3"/>
        <v>0</v>
      </c>
      <c r="E13" s="699">
        <v>903.9</v>
      </c>
      <c r="F13" s="1202">
        <v>32.5</v>
      </c>
      <c r="G13" s="606">
        <f>D13/E13</f>
        <v>0</v>
      </c>
      <c r="H13" s="608">
        <f t="shared" si="4"/>
        <v>0</v>
      </c>
      <c r="I13" s="531">
        <f t="shared" si="0"/>
        <v>0</v>
      </c>
      <c r="J13" s="633">
        <v>0</v>
      </c>
      <c r="K13" s="531">
        <f t="shared" si="1"/>
        <v>0</v>
      </c>
      <c r="L13" s="531">
        <f t="shared" si="5"/>
        <v>0</v>
      </c>
      <c r="M13" s="531">
        <f t="shared" si="6"/>
        <v>0</v>
      </c>
      <c r="N13" s="633">
        <v>92.5</v>
      </c>
      <c r="O13" s="531">
        <f t="shared" si="7"/>
        <v>0</v>
      </c>
      <c r="Q13" s="536">
        <f t="shared" si="2"/>
        <v>7.0496894409937888E-3</v>
      </c>
      <c r="AB13" s="1164">
        <v>2015</v>
      </c>
      <c r="AC13" s="704">
        <v>322</v>
      </c>
      <c r="AD13" s="536">
        <f>AC13/'MSW Integration Calcs PDS1 '!C8</f>
        <v>0.1702202643171806</v>
      </c>
      <c r="AE13" s="536">
        <f>AC13/'MSW Integration Calcs PDS1 '!AB8</f>
        <v>0.48371771616135439</v>
      </c>
      <c r="AI13" s="609" t="s">
        <v>1036</v>
      </c>
      <c r="AK13" s="531">
        <f t="shared" ref="AK13:AK58" si="11">$AI$12*AC13</f>
        <v>249.73118971061089</v>
      </c>
      <c r="AL13" s="536">
        <f>AK13/'MSW Integration Calcs PDS1 '!C8</f>
        <v>0.13201648795274584</v>
      </c>
      <c r="AW13" s="550">
        <v>3</v>
      </c>
      <c r="AX13" s="551"/>
      <c r="AY13" s="554" t="s">
        <v>335</v>
      </c>
      <c r="AZ13" s="554"/>
      <c r="BA13" s="554"/>
      <c r="BB13" s="554"/>
      <c r="BC13" s="553" t="s">
        <v>228</v>
      </c>
      <c r="BD13" s="554">
        <v>2015</v>
      </c>
      <c r="BE13" s="563"/>
      <c r="BF13" s="564">
        <v>0.81</v>
      </c>
      <c r="BG13" s="564"/>
      <c r="BH13" s="557"/>
      <c r="BI13" s="556" t="s">
        <v>329</v>
      </c>
      <c r="BK13" s="558" t="s">
        <v>333</v>
      </c>
      <c r="BL13" s="558"/>
      <c r="BM13" s="559"/>
      <c r="BN13" s="560">
        <f t="shared" si="10"/>
        <v>0.81</v>
      </c>
      <c r="BO13" s="561" t="str">
        <f t="shared" si="8"/>
        <v>%</v>
      </c>
      <c r="BR13" s="562"/>
      <c r="BS13" s="562"/>
      <c r="BT13" s="549"/>
    </row>
    <row r="14" spans="1:72" ht="15" customHeight="1" x14ac:dyDescent="0.6">
      <c r="A14" s="609">
        <v>2018</v>
      </c>
      <c r="B14" s="696">
        <v>2.1099999999999852</v>
      </c>
      <c r="C14" s="697">
        <v>85.6</v>
      </c>
      <c r="D14" s="531">
        <f>IF((B14-C14)&lt;0,0,(B14-C14))</f>
        <v>0</v>
      </c>
      <c r="E14" s="699">
        <v>903.9</v>
      </c>
      <c r="F14" s="1202">
        <v>32.5</v>
      </c>
      <c r="G14" s="606">
        <f>D14/E14</f>
        <v>0</v>
      </c>
      <c r="H14" s="608">
        <f>G14*E14</f>
        <v>0</v>
      </c>
      <c r="I14" s="531">
        <f t="shared" si="0"/>
        <v>0</v>
      </c>
      <c r="J14" s="633">
        <v>0</v>
      </c>
      <c r="K14" s="531">
        <f t="shared" si="1"/>
        <v>0</v>
      </c>
      <c r="L14" s="531">
        <f t="shared" si="5"/>
        <v>0</v>
      </c>
      <c r="M14" s="531">
        <f t="shared" si="6"/>
        <v>0</v>
      </c>
      <c r="N14" s="633">
        <v>94.1</v>
      </c>
      <c r="O14" s="531">
        <f t="shared" si="7"/>
        <v>0</v>
      </c>
      <c r="Q14" s="536">
        <f t="shared" si="2"/>
        <v>6.2985074626865228E-3</v>
      </c>
      <c r="AB14" s="1164">
        <v>2016</v>
      </c>
      <c r="AC14" s="704">
        <v>335</v>
      </c>
      <c r="AD14" s="536">
        <f>AC14/'MSW Integration Calcs PDS1 '!C9</f>
        <v>0.16666666666666669</v>
      </c>
      <c r="AE14" s="536">
        <f>AC14/'MSW Integration Calcs PDS1 '!AB9</f>
        <v>0.47619047619047628</v>
      </c>
      <c r="AK14" s="531">
        <f t="shared" si="11"/>
        <v>259.81350482315111</v>
      </c>
      <c r="AL14" s="536">
        <f>AK14/'MSW Integration Calcs PDS1 '!C9</f>
        <v>0.1292604501607717</v>
      </c>
      <c r="AW14" s="550">
        <v>4</v>
      </c>
      <c r="AX14" s="551"/>
      <c r="AY14" s="554" t="s">
        <v>335</v>
      </c>
      <c r="AZ14" s="554"/>
      <c r="BA14" s="554"/>
      <c r="BB14" s="554"/>
      <c r="BC14" s="553" t="s">
        <v>228</v>
      </c>
      <c r="BD14" s="554">
        <v>2015</v>
      </c>
      <c r="BE14" s="563"/>
      <c r="BF14" s="564">
        <v>0.54</v>
      </c>
      <c r="BG14" s="564"/>
      <c r="BH14" s="557"/>
      <c r="BI14" s="556" t="s">
        <v>329</v>
      </c>
      <c r="BK14" s="558" t="s">
        <v>334</v>
      </c>
      <c r="BL14" s="558"/>
      <c r="BM14" s="559"/>
      <c r="BN14" s="560">
        <f t="shared" si="10"/>
        <v>0.54</v>
      </c>
      <c r="BO14" s="561" t="str">
        <f t="shared" si="8"/>
        <v>%</v>
      </c>
      <c r="BR14" s="562"/>
      <c r="BS14" s="562"/>
      <c r="BT14" s="549"/>
    </row>
    <row r="15" spans="1:72" ht="15" customHeight="1" x14ac:dyDescent="0.6">
      <c r="A15" s="609">
        <v>2019</v>
      </c>
      <c r="B15" s="696">
        <v>2.211199999999991</v>
      </c>
      <c r="C15" s="697">
        <v>85</v>
      </c>
      <c r="D15" s="531">
        <f t="shared" si="3"/>
        <v>0</v>
      </c>
      <c r="E15" s="699">
        <v>936.7</v>
      </c>
      <c r="F15" s="1202">
        <v>33.6</v>
      </c>
      <c r="G15" s="606">
        <f t="shared" si="9"/>
        <v>0</v>
      </c>
      <c r="H15" s="608">
        <f t="shared" si="4"/>
        <v>0</v>
      </c>
      <c r="I15" s="531">
        <f t="shared" si="0"/>
        <v>0</v>
      </c>
      <c r="J15" s="633">
        <v>0</v>
      </c>
      <c r="K15" s="531">
        <f t="shared" si="1"/>
        <v>0</v>
      </c>
      <c r="L15" s="531">
        <f t="shared" si="5"/>
        <v>0</v>
      </c>
      <c r="M15" s="531">
        <f t="shared" si="6"/>
        <v>0</v>
      </c>
      <c r="N15" s="633">
        <v>108.8</v>
      </c>
      <c r="O15" s="531">
        <f t="shared" si="7"/>
        <v>0</v>
      </c>
      <c r="Q15" s="536">
        <f t="shared" si="2"/>
        <v>6.3540229885057208E-3</v>
      </c>
      <c r="AB15" s="1164">
        <v>2017</v>
      </c>
      <c r="AC15" s="704">
        <v>348</v>
      </c>
      <c r="AD15" s="536">
        <f>AC15/'MSW Integration Calcs PDS1 '!C10</f>
        <v>0.16389395370001461</v>
      </c>
      <c r="AE15" s="536">
        <f>AC15/'MSW Integration Calcs PDS1 '!AB10</f>
        <v>0.47082434271765189</v>
      </c>
      <c r="AK15" s="531">
        <f t="shared" si="11"/>
        <v>269.89581993569129</v>
      </c>
      <c r="AL15" s="536">
        <f>AK15/'MSW Integration Calcs PDS1 '!C10</f>
        <v>0.12711003740335539</v>
      </c>
      <c r="AW15" s="550">
        <v>5</v>
      </c>
      <c r="AX15" s="551"/>
      <c r="AY15" s="554" t="s">
        <v>336</v>
      </c>
      <c r="AZ15" s="582" t="s">
        <v>340</v>
      </c>
      <c r="BA15" s="554"/>
      <c r="BB15" s="554"/>
      <c r="BC15" s="553" t="s">
        <v>228</v>
      </c>
      <c r="BD15" s="554">
        <v>2015</v>
      </c>
      <c r="BE15" s="563"/>
      <c r="BF15" s="564">
        <v>0.7</v>
      </c>
      <c r="BG15" s="564"/>
      <c r="BH15" s="557"/>
      <c r="BI15" s="556" t="s">
        <v>329</v>
      </c>
      <c r="BK15" s="558" t="s">
        <v>337</v>
      </c>
      <c r="BL15" s="558"/>
      <c r="BM15" s="559"/>
      <c r="BN15" s="560">
        <f t="shared" si="10"/>
        <v>0.7</v>
      </c>
      <c r="BO15" s="561" t="str">
        <f t="shared" si="8"/>
        <v>%</v>
      </c>
      <c r="BR15" s="562"/>
      <c r="BS15" s="562"/>
      <c r="BT15" s="549"/>
    </row>
    <row r="16" spans="1:72" ht="15" customHeight="1" x14ac:dyDescent="0.6">
      <c r="A16" s="609">
        <v>2020</v>
      </c>
      <c r="B16" s="696">
        <v>2.3123999999999967</v>
      </c>
      <c r="C16" s="697">
        <v>88.4</v>
      </c>
      <c r="D16" s="531">
        <f t="shared" si="3"/>
        <v>0</v>
      </c>
      <c r="E16" s="700">
        <v>970.2</v>
      </c>
      <c r="F16" s="1202">
        <v>34.700000000000003</v>
      </c>
      <c r="G16" s="606">
        <f t="shared" si="9"/>
        <v>0</v>
      </c>
      <c r="H16" s="608">
        <f>G16*E16</f>
        <v>0</v>
      </c>
      <c r="I16" s="531">
        <f t="shared" si="0"/>
        <v>0</v>
      </c>
      <c r="J16" s="633">
        <v>0</v>
      </c>
      <c r="K16" s="531">
        <f t="shared" si="1"/>
        <v>0</v>
      </c>
      <c r="L16" s="531">
        <f>MIN(I16,K16)</f>
        <v>0</v>
      </c>
      <c r="M16" s="531">
        <f t="shared" si="6"/>
        <v>0</v>
      </c>
      <c r="N16" s="633">
        <v>121.3</v>
      </c>
      <c r="O16" s="531">
        <f t="shared" si="7"/>
        <v>0</v>
      </c>
      <c r="Q16" s="536">
        <f t="shared" si="2"/>
        <v>6.4412256267409379E-3</v>
      </c>
      <c r="AB16" s="1164">
        <v>2018</v>
      </c>
      <c r="AC16" s="704">
        <v>359</v>
      </c>
      <c r="AD16" s="536">
        <f>AC16/'MSW Integration Calcs PDS1 '!C11</f>
        <v>0.16614952590252216</v>
      </c>
      <c r="AE16" s="536">
        <f>AC16/'MSW Integration Calcs PDS1 '!AB11</f>
        <v>0.47992352947002348</v>
      </c>
      <c r="AK16" s="531">
        <f t="shared" si="11"/>
        <v>278.42700964630222</v>
      </c>
      <c r="AL16" s="536">
        <f>AK16/'MSW Integration Calcs PDS1 '!C11</f>
        <v>0.12885937507295286</v>
      </c>
      <c r="AW16" s="550">
        <v>6</v>
      </c>
      <c r="AX16" s="551"/>
      <c r="AY16" s="554" t="s">
        <v>338</v>
      </c>
      <c r="AZ16" s="582" t="s">
        <v>340</v>
      </c>
      <c r="BA16" s="554"/>
      <c r="BB16" s="554"/>
      <c r="BC16" s="553" t="s">
        <v>228</v>
      </c>
      <c r="BD16" s="554">
        <v>2013</v>
      </c>
      <c r="BE16" s="563"/>
      <c r="BF16" s="564">
        <v>0.89</v>
      </c>
      <c r="BG16" s="564"/>
      <c r="BH16" s="557"/>
      <c r="BI16" s="556" t="s">
        <v>329</v>
      </c>
      <c r="BK16" s="558" t="s">
        <v>339</v>
      </c>
      <c r="BL16" s="558"/>
      <c r="BM16" s="559"/>
      <c r="BN16" s="560">
        <f t="shared" si="10"/>
        <v>0.89</v>
      </c>
      <c r="BO16" s="561" t="str">
        <f t="shared" si="8"/>
        <v>%</v>
      </c>
      <c r="BR16" s="562"/>
      <c r="BS16" s="562"/>
      <c r="BT16" s="549"/>
    </row>
    <row r="17" spans="1:72" ht="15" customHeight="1" x14ac:dyDescent="0.6">
      <c r="A17" s="609">
        <v>2021</v>
      </c>
      <c r="B17" s="696">
        <v>2.413599999999974</v>
      </c>
      <c r="C17" s="697">
        <v>92</v>
      </c>
      <c r="D17" s="531">
        <f t="shared" si="3"/>
        <v>0</v>
      </c>
      <c r="E17" s="701">
        <v>1003</v>
      </c>
      <c r="F17" s="1203">
        <v>35.700000000000003</v>
      </c>
      <c r="G17" s="606">
        <f t="shared" si="9"/>
        <v>0</v>
      </c>
      <c r="H17" s="608">
        <f t="shared" si="4"/>
        <v>0</v>
      </c>
      <c r="I17" s="531">
        <f t="shared" si="0"/>
        <v>0</v>
      </c>
      <c r="J17" s="633">
        <v>0</v>
      </c>
      <c r="K17" s="531">
        <f t="shared" si="1"/>
        <v>0</v>
      </c>
      <c r="L17" s="531">
        <f t="shared" si="5"/>
        <v>0</v>
      </c>
      <c r="M17" s="531">
        <f t="shared" si="6"/>
        <v>0</v>
      </c>
      <c r="N17" s="633">
        <v>133.30000000000001</v>
      </c>
      <c r="O17" s="531">
        <f t="shared" si="7"/>
        <v>0</v>
      </c>
      <c r="Q17" s="536">
        <f t="shared" si="2"/>
        <v>7.022344350282545E-3</v>
      </c>
      <c r="AB17" s="1164">
        <v>2019</v>
      </c>
      <c r="AC17" s="704">
        <v>343.70288319781162</v>
      </c>
      <c r="AD17" s="536">
        <f>AC17/'MSW Integration Calcs PDS1 '!C12</f>
        <v>0.15637760968701647</v>
      </c>
      <c r="AE17" s="536">
        <f>AC17/'MSW Integration Calcs PDS1 '!AB12</f>
        <v>0.45418997875985029</v>
      </c>
      <c r="AK17" s="531">
        <f t="shared" si="11"/>
        <v>266.56313642222557</v>
      </c>
      <c r="AL17" s="536">
        <f>AK17/'MSW Integration Calcs PDS1 '!C12</f>
        <v>0.12128064133925522</v>
      </c>
      <c r="AW17" s="550">
        <v>7</v>
      </c>
      <c r="AX17" s="551"/>
      <c r="AY17" s="554"/>
      <c r="AZ17" s="554"/>
      <c r="BA17" s="554"/>
      <c r="BB17" s="554"/>
      <c r="BC17" s="563"/>
      <c r="BD17" s="554"/>
      <c r="BE17" s="563"/>
      <c r="BF17" s="564"/>
      <c r="BG17" s="564"/>
      <c r="BH17" s="557"/>
      <c r="BI17" s="555"/>
      <c r="BK17" s="558"/>
      <c r="BL17" s="558"/>
      <c r="BM17" s="559"/>
      <c r="BN17" s="560" t="str">
        <f t="shared" si="10"/>
        <v/>
      </c>
      <c r="BO17" s="561" t="str">
        <f t="shared" si="8"/>
        <v/>
      </c>
      <c r="BR17" s="562"/>
      <c r="BS17" s="562"/>
      <c r="BT17" s="549"/>
    </row>
    <row r="18" spans="1:72" ht="15" customHeight="1" x14ac:dyDescent="0.6">
      <c r="A18" s="609">
        <v>2022</v>
      </c>
      <c r="B18" s="696">
        <v>2.5147999999999797</v>
      </c>
      <c r="C18" s="697">
        <v>95.8</v>
      </c>
      <c r="D18" s="531">
        <f t="shared" si="3"/>
        <v>0</v>
      </c>
      <c r="E18" s="701">
        <v>1042.9000000000001</v>
      </c>
      <c r="F18" s="1203">
        <v>36.9</v>
      </c>
      <c r="G18" s="606">
        <f t="shared" si="9"/>
        <v>0</v>
      </c>
      <c r="H18" s="608">
        <f t="shared" si="4"/>
        <v>0</v>
      </c>
      <c r="I18" s="531">
        <f t="shared" si="0"/>
        <v>0</v>
      </c>
      <c r="J18" s="633">
        <v>0</v>
      </c>
      <c r="K18" s="531">
        <f t="shared" si="1"/>
        <v>0</v>
      </c>
      <c r="L18" s="531">
        <f t="shared" si="5"/>
        <v>0</v>
      </c>
      <c r="M18" s="531">
        <f t="shared" si="6"/>
        <v>0</v>
      </c>
      <c r="N18" s="633">
        <v>146.80000000000001</v>
      </c>
      <c r="O18" s="531">
        <f t="shared" si="7"/>
        <v>0</v>
      </c>
      <c r="Q18" s="536">
        <f t="shared" si="2"/>
        <v>7.0541680743027874E-3</v>
      </c>
      <c r="AB18" s="1164">
        <v>2020</v>
      </c>
      <c r="AC18" s="704">
        <v>356.49845219324959</v>
      </c>
      <c r="AD18" s="536">
        <f>AC18/'MSW Integration Calcs PDS1 '!C13</f>
        <v>0.15947231829577227</v>
      </c>
      <c r="AE18" s="536">
        <f>AC18/'MSW Integration Calcs PDS1 '!AB13</f>
        <v>0.46574859315354039</v>
      </c>
      <c r="AK18" s="531">
        <f t="shared" si="11"/>
        <v>276.48690247270673</v>
      </c>
      <c r="AL18" s="536">
        <f>AK18/'MSW Integration Calcs PDS1 '!C13</f>
        <v>0.12368078190656036</v>
      </c>
      <c r="AW18" s="550">
        <v>8</v>
      </c>
      <c r="AX18" s="551"/>
      <c r="AY18" s="554"/>
      <c r="AZ18" s="554"/>
      <c r="BA18" s="554"/>
      <c r="BB18" s="554"/>
      <c r="BC18" s="563"/>
      <c r="BD18" s="554"/>
      <c r="BE18" s="563"/>
      <c r="BF18" s="564"/>
      <c r="BG18" s="564"/>
      <c r="BH18" s="557"/>
      <c r="BI18" s="555"/>
      <c r="BK18" s="558"/>
      <c r="BL18" s="558"/>
      <c r="BM18" s="559"/>
      <c r="BN18" s="560" t="str">
        <f t="shared" si="10"/>
        <v/>
      </c>
      <c r="BO18" s="561" t="str">
        <f t="shared" si="8"/>
        <v/>
      </c>
      <c r="BR18" s="562"/>
      <c r="BS18" s="562"/>
      <c r="BT18" s="549"/>
    </row>
    <row r="19" spans="1:72" ht="15" customHeight="1" x14ac:dyDescent="0.6">
      <c r="A19" s="609">
        <v>2023</v>
      </c>
      <c r="B19" s="696">
        <v>2.6159999999999854</v>
      </c>
      <c r="C19" s="697">
        <v>99.9</v>
      </c>
      <c r="D19" s="531">
        <f t="shared" si="3"/>
        <v>0</v>
      </c>
      <c r="E19" s="701">
        <v>1076.5</v>
      </c>
      <c r="F19" s="1203">
        <v>38</v>
      </c>
      <c r="G19" s="606">
        <f t="shared" si="9"/>
        <v>0</v>
      </c>
      <c r="H19" s="608">
        <f t="shared" si="4"/>
        <v>0</v>
      </c>
      <c r="I19" s="531">
        <f t="shared" si="0"/>
        <v>0</v>
      </c>
      <c r="J19" s="633">
        <v>0</v>
      </c>
      <c r="K19" s="531">
        <f t="shared" si="1"/>
        <v>0</v>
      </c>
      <c r="L19" s="531">
        <f t="shared" si="5"/>
        <v>0</v>
      </c>
      <c r="M19" s="531">
        <f t="shared" si="6"/>
        <v>0</v>
      </c>
      <c r="N19" s="633">
        <v>158.4</v>
      </c>
      <c r="O19" s="531">
        <f t="shared" si="7"/>
        <v>0</v>
      </c>
      <c r="Q19" s="536">
        <f t="shared" si="2"/>
        <v>7.1435377603089011E-3</v>
      </c>
      <c r="AB19" s="1164">
        <v>2021</v>
      </c>
      <c r="AC19" s="704">
        <v>366.20510561798505</v>
      </c>
      <c r="AD19" s="536">
        <f>AC19/'MSW Integration Calcs PDS1 '!C14</f>
        <v>0.1613035600313418</v>
      </c>
      <c r="AE19" s="536">
        <f>AC19/'MSW Integration Calcs PDS1 '!AB14</f>
        <v>0.4737255801214148</v>
      </c>
      <c r="AK19" s="531">
        <f t="shared" si="11"/>
        <v>284.01502082012212</v>
      </c>
      <c r="AL19" s="536">
        <f>AK19/'MSW Integration Calcs PDS1 '!C14</f>
        <v>0.12510102469311779</v>
      </c>
      <c r="AW19" s="550">
        <v>9</v>
      </c>
      <c r="AX19" s="551" t="str">
        <f t="shared" ref="AX19:AX30" si="12">CONCATENATE(BA19,": ",AY19)</f>
        <v xml:space="preserve">: </v>
      </c>
      <c r="AY19" s="554"/>
      <c r="AZ19" s="554"/>
      <c r="BA19" s="554"/>
      <c r="BB19" s="554"/>
      <c r="BC19" s="563"/>
      <c r="BD19" s="554"/>
      <c r="BE19" s="563"/>
      <c r="BF19" s="564"/>
      <c r="BG19" s="564"/>
      <c r="BH19" s="557"/>
      <c r="BI19" s="555"/>
      <c r="BK19" s="558"/>
      <c r="BL19" s="558"/>
      <c r="BM19" s="559"/>
      <c r="BN19" s="560" t="str">
        <f t="shared" si="10"/>
        <v/>
      </c>
      <c r="BO19" s="561" t="str">
        <f t="shared" si="8"/>
        <v/>
      </c>
      <c r="BR19" s="562"/>
      <c r="BS19" s="562"/>
      <c r="BT19" s="549"/>
    </row>
    <row r="20" spans="1:72" ht="15" customHeight="1" x14ac:dyDescent="0.6">
      <c r="A20" s="609">
        <v>2024</v>
      </c>
      <c r="B20" s="696">
        <v>3.666790941497311</v>
      </c>
      <c r="C20" s="697">
        <v>104.4</v>
      </c>
      <c r="D20" s="531">
        <f t="shared" si="3"/>
        <v>0</v>
      </c>
      <c r="E20" s="701">
        <v>1109.3</v>
      </c>
      <c r="F20" s="1203">
        <v>39</v>
      </c>
      <c r="G20" s="606">
        <f t="shared" si="9"/>
        <v>0</v>
      </c>
      <c r="H20" s="608">
        <f t="shared" si="4"/>
        <v>0</v>
      </c>
      <c r="I20" s="531">
        <f t="shared" si="0"/>
        <v>0</v>
      </c>
      <c r="J20" s="633">
        <v>0</v>
      </c>
      <c r="K20" s="531">
        <f t="shared" si="1"/>
        <v>0</v>
      </c>
      <c r="L20" s="531">
        <f t="shared" si="5"/>
        <v>0</v>
      </c>
      <c r="M20" s="531">
        <f t="shared" si="6"/>
        <v>0</v>
      </c>
      <c r="N20" s="633">
        <v>171</v>
      </c>
      <c r="O20" s="531">
        <f t="shared" si="7"/>
        <v>0</v>
      </c>
      <c r="Q20" s="536">
        <f t="shared" si="2"/>
        <v>9.7544432031328419E-3</v>
      </c>
      <c r="AB20" s="1164">
        <v>2022</v>
      </c>
      <c r="AC20" s="704">
        <v>375.90981516194023</v>
      </c>
      <c r="AD20" s="536">
        <f>AC20/'MSW Integration Calcs PDS1 '!C15</f>
        <v>0.16305422991133958</v>
      </c>
      <c r="AE20" s="536">
        <f>AC20/'MSW Integration Calcs PDS1 '!AB15</f>
        <v>0.48155413441033529</v>
      </c>
      <c r="AK20" s="531">
        <f t="shared" si="11"/>
        <v>291.54163156610923</v>
      </c>
      <c r="AL20" s="536">
        <f>AK20/'MSW Integration Calcs PDS1 '!C15</f>
        <v>0.12645877895374633</v>
      </c>
      <c r="AW20" s="550">
        <v>10</v>
      </c>
      <c r="AX20" s="551" t="str">
        <f t="shared" si="12"/>
        <v xml:space="preserve">: </v>
      </c>
      <c r="AY20" s="554"/>
      <c r="AZ20" s="554"/>
      <c r="BA20" s="554"/>
      <c r="BB20" s="554"/>
      <c r="BC20" s="563"/>
      <c r="BD20" s="554"/>
      <c r="BE20" s="563"/>
      <c r="BF20" s="564"/>
      <c r="BG20" s="564"/>
      <c r="BH20" s="557"/>
      <c r="BI20" s="555"/>
      <c r="BK20" s="558"/>
      <c r="BL20" s="558"/>
      <c r="BM20" s="559"/>
      <c r="BN20" s="560" t="str">
        <f t="shared" si="10"/>
        <v/>
      </c>
      <c r="BO20" s="561" t="str">
        <f t="shared" si="8"/>
        <v/>
      </c>
      <c r="BR20" s="562"/>
      <c r="BS20" s="562"/>
      <c r="BT20" s="549"/>
    </row>
    <row r="21" spans="1:72" ht="15" customHeight="1" x14ac:dyDescent="0.6">
      <c r="A21" s="609">
        <v>2025</v>
      </c>
      <c r="B21" s="696">
        <v>4.5678132564062253</v>
      </c>
      <c r="C21" s="697">
        <v>109</v>
      </c>
      <c r="D21" s="531">
        <f t="shared" si="3"/>
        <v>0</v>
      </c>
      <c r="E21" s="701">
        <v>1142.0999999999999</v>
      </c>
      <c r="F21" s="1203">
        <v>40</v>
      </c>
      <c r="G21" s="606">
        <f t="shared" si="9"/>
        <v>0</v>
      </c>
      <c r="H21" s="608">
        <f t="shared" si="4"/>
        <v>0</v>
      </c>
      <c r="I21" s="531">
        <f t="shared" si="0"/>
        <v>0</v>
      </c>
      <c r="J21" s="633">
        <v>0</v>
      </c>
      <c r="K21" s="531">
        <f t="shared" si="1"/>
        <v>0</v>
      </c>
      <c r="L21" s="531">
        <f t="shared" si="5"/>
        <v>0</v>
      </c>
      <c r="M21" s="531">
        <f t="shared" si="6"/>
        <v>0</v>
      </c>
      <c r="N21" s="633">
        <v>183.4</v>
      </c>
      <c r="O21" s="531">
        <f t="shared" si="7"/>
        <v>0</v>
      </c>
      <c r="Q21" s="536">
        <f t="shared" si="2"/>
        <v>1.1845788771868128E-2</v>
      </c>
      <c r="AB21" s="1164">
        <v>2023</v>
      </c>
      <c r="AC21" s="704">
        <v>385.60650914644521</v>
      </c>
      <c r="AD21" s="536">
        <f>AC21/'MSW Integration Calcs PDS1 '!C16</f>
        <v>0.16477820188464432</v>
      </c>
      <c r="AE21" s="536">
        <f>AC21/'MSW Integration Calcs PDS1 '!AB16</f>
        <v>0.48939174898914239</v>
      </c>
      <c r="AK21" s="531">
        <f t="shared" si="11"/>
        <v>299.06202574315938</v>
      </c>
      <c r="AL21" s="536">
        <f>AK21/'MSW Integration Calcs PDS1 '!C16</f>
        <v>0.12779582731374983</v>
      </c>
      <c r="AW21" s="550">
        <v>11</v>
      </c>
      <c r="AX21" s="551" t="str">
        <f t="shared" si="12"/>
        <v xml:space="preserve">: </v>
      </c>
      <c r="AY21" s="554"/>
      <c r="AZ21" s="554"/>
      <c r="BA21" s="554"/>
      <c r="BB21" s="554"/>
      <c r="BC21" s="563"/>
      <c r="BD21" s="554"/>
      <c r="BE21" s="563"/>
      <c r="BF21" s="564"/>
      <c r="BG21" s="564"/>
      <c r="BH21" s="557"/>
      <c r="BI21" s="555"/>
      <c r="BK21" s="558"/>
      <c r="BL21" s="558"/>
      <c r="BM21" s="559"/>
      <c r="BN21" s="560" t="str">
        <f t="shared" si="10"/>
        <v/>
      </c>
      <c r="BO21" s="561" t="str">
        <f t="shared" si="8"/>
        <v/>
      </c>
      <c r="BR21" s="562"/>
      <c r="BS21" s="562"/>
      <c r="BT21" s="549"/>
    </row>
    <row r="22" spans="1:72" ht="15" customHeight="1" x14ac:dyDescent="0.6">
      <c r="A22" s="609">
        <v>2026</v>
      </c>
      <c r="B22" s="696">
        <v>5.6675428241724148</v>
      </c>
      <c r="C22" s="697">
        <v>113.7</v>
      </c>
      <c r="D22" s="531">
        <f t="shared" si="3"/>
        <v>0</v>
      </c>
      <c r="E22" s="701">
        <v>1174.9000000000001</v>
      </c>
      <c r="F22" s="1203">
        <v>41</v>
      </c>
      <c r="G22" s="606">
        <f t="shared" si="9"/>
        <v>0</v>
      </c>
      <c r="H22" s="608">
        <f t="shared" si="4"/>
        <v>0</v>
      </c>
      <c r="I22" s="531">
        <f t="shared" si="0"/>
        <v>0</v>
      </c>
      <c r="J22" s="633">
        <v>0</v>
      </c>
      <c r="K22" s="531">
        <f t="shared" si="1"/>
        <v>0</v>
      </c>
      <c r="L22" s="531">
        <f t="shared" si="5"/>
        <v>0</v>
      </c>
      <c r="M22" s="531">
        <f t="shared" si="6"/>
        <v>0</v>
      </c>
      <c r="N22" s="633">
        <v>195.8</v>
      </c>
      <c r="O22" s="531">
        <f t="shared" si="7"/>
        <v>0</v>
      </c>
      <c r="Q22" s="536">
        <f t="shared" si="2"/>
        <v>1.4271002288255306E-2</v>
      </c>
      <c r="AB22" s="1164">
        <v>2024</v>
      </c>
      <c r="AC22" s="704">
        <v>397.13698517424154</v>
      </c>
      <c r="AD22" s="536">
        <f>AC22/'MSW Integration Calcs PDS1 '!C17</f>
        <v>0.16725594244083419</v>
      </c>
      <c r="AE22" s="536">
        <f>AC22/'MSW Integration Calcs PDS1 '!AB17</f>
        <v>0.49956972055207316</v>
      </c>
      <c r="AK22" s="531">
        <f t="shared" si="11"/>
        <v>308.00463287468506</v>
      </c>
      <c r="AL22" s="536">
        <f>AK22/'MSW Integration Calcs PDS1 '!C17</f>
        <v>0.1297174704717981</v>
      </c>
      <c r="AW22" s="550">
        <v>12</v>
      </c>
      <c r="AX22" s="551" t="str">
        <f t="shared" si="12"/>
        <v xml:space="preserve">: </v>
      </c>
      <c r="AY22" s="554"/>
      <c r="AZ22" s="554"/>
      <c r="BA22" s="554"/>
      <c r="BB22" s="554"/>
      <c r="BC22" s="563"/>
      <c r="BD22" s="554"/>
      <c r="BE22" s="563"/>
      <c r="BF22" s="564"/>
      <c r="BG22" s="564"/>
      <c r="BH22" s="557"/>
      <c r="BI22" s="555"/>
      <c r="BK22" s="558"/>
      <c r="BL22" s="558"/>
      <c r="BM22" s="559"/>
      <c r="BN22" s="560" t="str">
        <f t="shared" si="10"/>
        <v/>
      </c>
      <c r="BO22" s="561" t="str">
        <f t="shared" si="8"/>
        <v/>
      </c>
      <c r="BR22" s="562"/>
      <c r="BS22" s="562"/>
      <c r="BT22" s="549"/>
    </row>
    <row r="23" spans="1:72" ht="15" customHeight="1" x14ac:dyDescent="0.6">
      <c r="A23" s="609">
        <v>2027</v>
      </c>
      <c r="B23" s="696">
        <v>6.9661754110711627</v>
      </c>
      <c r="C23" s="697">
        <v>118.5</v>
      </c>
      <c r="D23" s="531">
        <f t="shared" si="3"/>
        <v>0</v>
      </c>
      <c r="E23" s="701">
        <v>1208.5</v>
      </c>
      <c r="F23" s="1203">
        <v>42</v>
      </c>
      <c r="G23" s="606">
        <f t="shared" si="9"/>
        <v>0</v>
      </c>
      <c r="H23" s="608">
        <f t="shared" si="4"/>
        <v>0</v>
      </c>
      <c r="I23" s="531">
        <f t="shared" si="0"/>
        <v>0</v>
      </c>
      <c r="J23" s="633">
        <v>0</v>
      </c>
      <c r="K23" s="531">
        <f t="shared" si="1"/>
        <v>0</v>
      </c>
      <c r="L23" s="531">
        <f t="shared" si="5"/>
        <v>0</v>
      </c>
      <c r="M23" s="531">
        <f t="shared" si="6"/>
        <v>0</v>
      </c>
      <c r="N23" s="633">
        <v>207.7</v>
      </c>
      <c r="O23" s="531">
        <f t="shared" si="7"/>
        <v>0</v>
      </c>
      <c r="Q23" s="536">
        <f t="shared" si="2"/>
        <v>1.7036917444947577E-2</v>
      </c>
      <c r="AB23" s="1164">
        <v>2025</v>
      </c>
      <c r="AC23" s="704">
        <v>408.88707910814185</v>
      </c>
      <c r="AD23" s="536">
        <f>AC23/'MSW Integration Calcs PDS1 '!C18</f>
        <v>0.16986166709103392</v>
      </c>
      <c r="AE23" s="536">
        <f>AC23/'MSW Integration Calcs PDS1 '!AB18</f>
        <v>0.51024832409442422</v>
      </c>
      <c r="AK23" s="531">
        <f t="shared" si="11"/>
        <v>317.11756746264888</v>
      </c>
      <c r="AL23" s="536">
        <f>AK23/'MSW Integration Calcs PDS1 '!C18</f>
        <v>0.1317383733194771</v>
      </c>
      <c r="AW23" s="550">
        <v>13</v>
      </c>
      <c r="AX23" s="551" t="str">
        <f t="shared" si="12"/>
        <v xml:space="preserve">: </v>
      </c>
      <c r="AY23" s="554"/>
      <c r="AZ23" s="554"/>
      <c r="BA23" s="554"/>
      <c r="BB23" s="554"/>
      <c r="BC23" s="563"/>
      <c r="BD23" s="554"/>
      <c r="BE23" s="563"/>
      <c r="BF23" s="564"/>
      <c r="BG23" s="564"/>
      <c r="BH23" s="565"/>
      <c r="BI23" s="555"/>
      <c r="BK23" s="558"/>
      <c r="BL23" s="558"/>
      <c r="BM23" s="559"/>
      <c r="BN23" s="560" t="str">
        <f t="shared" si="10"/>
        <v/>
      </c>
      <c r="BO23" s="561" t="str">
        <f t="shared" si="8"/>
        <v/>
      </c>
      <c r="BR23" s="562"/>
      <c r="BS23" s="562"/>
      <c r="BT23" s="549"/>
    </row>
    <row r="24" spans="1:72" ht="15" customHeight="1" x14ac:dyDescent="0.6">
      <c r="A24" s="609">
        <v>2028</v>
      </c>
      <c r="B24" s="696">
        <v>8.4639067831449211</v>
      </c>
      <c r="C24" s="697">
        <v>123.6</v>
      </c>
      <c r="D24" s="531">
        <f t="shared" si="3"/>
        <v>0</v>
      </c>
      <c r="E24" s="701">
        <v>1241.3</v>
      </c>
      <c r="F24" s="1203">
        <v>43</v>
      </c>
      <c r="G24" s="606">
        <f t="shared" si="9"/>
        <v>0</v>
      </c>
      <c r="H24" s="608">
        <f t="shared" si="4"/>
        <v>0</v>
      </c>
      <c r="I24" s="531">
        <f t="shared" si="0"/>
        <v>0</v>
      </c>
      <c r="J24" s="633">
        <v>0</v>
      </c>
      <c r="K24" s="531">
        <f t="shared" si="1"/>
        <v>0</v>
      </c>
      <c r="L24" s="531">
        <f t="shared" si="5"/>
        <v>0</v>
      </c>
      <c r="M24" s="531">
        <f t="shared" si="6"/>
        <v>0</v>
      </c>
      <c r="N24" s="633">
        <v>220.7</v>
      </c>
      <c r="O24" s="531">
        <f t="shared" si="7"/>
        <v>0</v>
      </c>
      <c r="Q24" s="536">
        <f t="shared" si="2"/>
        <v>2.0110826079676663E-2</v>
      </c>
      <c r="AB24" s="1164">
        <v>2026</v>
      </c>
      <c r="AC24" s="704">
        <v>420.86320818508125</v>
      </c>
      <c r="AD24" s="536">
        <f>AC24/'MSW Integration Calcs PDS1 '!C19</f>
        <v>0.1717866456296295</v>
      </c>
      <c r="AE24" s="536">
        <f>AC24/'MSW Integration Calcs PDS1 '!AB19</f>
        <v>0.51899288709857816</v>
      </c>
      <c r="AK24" s="531">
        <f t="shared" si="11"/>
        <v>326.40580647666104</v>
      </c>
      <c r="AL24" s="536">
        <f>AK24/'MSW Integration Calcs PDS1 '!C19</f>
        <v>0.13323131487416923</v>
      </c>
      <c r="AW24" s="550">
        <v>14</v>
      </c>
      <c r="AX24" s="551" t="str">
        <f t="shared" si="12"/>
        <v xml:space="preserve">: </v>
      </c>
      <c r="AY24" s="554"/>
      <c r="AZ24" s="554"/>
      <c r="BA24" s="554"/>
      <c r="BB24" s="554"/>
      <c r="BC24" s="563"/>
      <c r="BD24" s="554"/>
      <c r="BE24" s="563"/>
      <c r="BF24" s="564"/>
      <c r="BG24" s="564"/>
      <c r="BH24" s="565"/>
      <c r="BI24" s="555"/>
      <c r="BK24" s="558"/>
      <c r="BL24" s="558"/>
      <c r="BM24" s="559"/>
      <c r="BN24" s="560" t="str">
        <f t="shared" si="10"/>
        <v/>
      </c>
      <c r="BO24" s="561" t="str">
        <f t="shared" si="8"/>
        <v/>
      </c>
      <c r="BR24" s="562"/>
      <c r="BS24" s="562"/>
      <c r="BT24" s="549"/>
    </row>
    <row r="25" spans="1:72" ht="15" customHeight="1" x14ac:dyDescent="0.6">
      <c r="A25" s="609">
        <v>2029</v>
      </c>
      <c r="B25" s="696">
        <v>10.160932706610765</v>
      </c>
      <c r="C25" s="697">
        <v>128.80000000000001</v>
      </c>
      <c r="D25" s="531">
        <f t="shared" si="3"/>
        <v>0</v>
      </c>
      <c r="E25" s="701">
        <v>1273.4000000000001</v>
      </c>
      <c r="F25" s="1203">
        <v>44</v>
      </c>
      <c r="G25" s="606">
        <f t="shared" si="9"/>
        <v>0</v>
      </c>
      <c r="H25" s="608">
        <f t="shared" si="4"/>
        <v>0</v>
      </c>
      <c r="I25" s="531">
        <f t="shared" si="0"/>
        <v>0</v>
      </c>
      <c r="J25" s="633">
        <v>0</v>
      </c>
      <c r="K25" s="531">
        <f t="shared" si="1"/>
        <v>0</v>
      </c>
      <c r="L25" s="531">
        <f t="shared" si="5"/>
        <v>0</v>
      </c>
      <c r="M25" s="531">
        <f t="shared" si="6"/>
        <v>0</v>
      </c>
      <c r="N25" s="633">
        <v>233.1</v>
      </c>
      <c r="O25" s="531">
        <f t="shared" si="7"/>
        <v>0</v>
      </c>
      <c r="Q25" s="536">
        <f t="shared" si="2"/>
        <v>2.3462474913327615E-2</v>
      </c>
      <c r="AB25" s="1164">
        <v>2027</v>
      </c>
      <c r="AC25" s="704">
        <v>433.07164926744161</v>
      </c>
      <c r="AD25" s="536">
        <f>AC25/'MSW Integration Calcs PDS1 '!C20</f>
        <v>0.17357180405145534</v>
      </c>
      <c r="AE25" s="536">
        <f>AC25/'MSW Integration Calcs PDS1 '!AB20</f>
        <v>0.52741356442253173</v>
      </c>
      <c r="AK25" s="531">
        <f t="shared" si="11"/>
        <v>335.87421801706398</v>
      </c>
      <c r="AL25" s="536">
        <f>AK25/'MSW Integration Calcs PDS1 '!C20</f>
        <v>0.13461581716145021</v>
      </c>
      <c r="AW25" s="550">
        <v>15</v>
      </c>
      <c r="AX25" s="551" t="str">
        <f t="shared" si="12"/>
        <v xml:space="preserve">: </v>
      </c>
      <c r="AY25" s="554"/>
      <c r="AZ25" s="554"/>
      <c r="BA25" s="554"/>
      <c r="BB25" s="554"/>
      <c r="BC25" s="563"/>
      <c r="BD25" s="554"/>
      <c r="BE25" s="563"/>
      <c r="BF25" s="564"/>
      <c r="BG25" s="564"/>
      <c r="BH25" s="565"/>
      <c r="BI25" s="555"/>
      <c r="BK25" s="558"/>
      <c r="BL25" s="558"/>
      <c r="BM25" s="559"/>
      <c r="BN25" s="560" t="str">
        <f t="shared" si="10"/>
        <v/>
      </c>
      <c r="BO25" s="561" t="str">
        <f t="shared" si="8"/>
        <v/>
      </c>
      <c r="BR25" s="562"/>
      <c r="BS25" s="562"/>
      <c r="BT25" s="549"/>
    </row>
    <row r="26" spans="1:72" ht="15" customHeight="1" x14ac:dyDescent="0.6">
      <c r="A26" s="609">
        <v>2030</v>
      </c>
      <c r="B26" s="696">
        <v>12.057448947627563</v>
      </c>
      <c r="C26" s="697">
        <v>134.19999999999999</v>
      </c>
      <c r="D26" s="531">
        <f t="shared" si="3"/>
        <v>0</v>
      </c>
      <c r="E26" s="701">
        <v>1306.9000000000001</v>
      </c>
      <c r="F26" s="1203">
        <v>45</v>
      </c>
      <c r="G26" s="606">
        <f t="shared" si="9"/>
        <v>0</v>
      </c>
      <c r="H26" s="608">
        <f t="shared" si="4"/>
        <v>0</v>
      </c>
      <c r="I26" s="531">
        <f t="shared" si="0"/>
        <v>0</v>
      </c>
      <c r="J26" s="633">
        <v>0</v>
      </c>
      <c r="K26" s="531">
        <f t="shared" si="1"/>
        <v>0</v>
      </c>
      <c r="L26" s="531">
        <f t="shared" si="5"/>
        <v>0</v>
      </c>
      <c r="M26" s="531">
        <f t="shared" si="6"/>
        <v>0</v>
      </c>
      <c r="N26" s="633">
        <v>246.5</v>
      </c>
      <c r="O26" s="531">
        <f t="shared" si="7"/>
        <v>0</v>
      </c>
      <c r="Q26" s="536">
        <f t="shared" si="2"/>
        <v>2.7063840347262332E-2</v>
      </c>
      <c r="AB26" s="1164">
        <v>2028</v>
      </c>
      <c r="AC26" s="704">
        <v>445.51877312737861</v>
      </c>
      <c r="AD26" s="536">
        <f>AC26/'MSW Integration Calcs PDS1 '!C21</f>
        <v>0.17541963171181066</v>
      </c>
      <c r="AE26" s="536">
        <f>AC26/'MSW Integration Calcs PDS1 '!AB21</f>
        <v>0.53612356880137679</v>
      </c>
      <c r="AK26" s="531">
        <f t="shared" si="11"/>
        <v>345.52774301711798</v>
      </c>
      <c r="AL26" s="536">
        <f>AK26/'MSW Integration Calcs PDS1 '!C21</f>
        <v>0.13604892337263255</v>
      </c>
      <c r="AW26" s="550">
        <v>16</v>
      </c>
      <c r="AX26" s="551" t="str">
        <f t="shared" si="12"/>
        <v xml:space="preserve">: </v>
      </c>
      <c r="AY26" s="554"/>
      <c r="AZ26" s="554"/>
      <c r="BA26" s="554"/>
      <c r="BB26" s="554"/>
      <c r="BC26" s="563"/>
      <c r="BD26" s="554"/>
      <c r="BE26" s="563"/>
      <c r="BF26" s="564"/>
      <c r="BG26" s="564"/>
      <c r="BH26" s="565"/>
      <c r="BI26" s="555"/>
      <c r="BK26" s="558"/>
      <c r="BL26" s="558"/>
      <c r="BM26" s="559"/>
      <c r="BN26" s="560" t="str">
        <f t="shared" si="10"/>
        <v/>
      </c>
      <c r="BO26" s="561" t="str">
        <f t="shared" si="8"/>
        <v/>
      </c>
      <c r="BR26" s="562"/>
      <c r="BS26" s="562"/>
      <c r="BT26" s="549"/>
    </row>
    <row r="27" spans="1:72" ht="15" customHeight="1" x14ac:dyDescent="0.6">
      <c r="A27" s="609">
        <v>2031</v>
      </c>
      <c r="B27" s="696">
        <v>14.153651272470597</v>
      </c>
      <c r="C27" s="697">
        <v>139.69999999999999</v>
      </c>
      <c r="D27" s="531">
        <f t="shared" si="3"/>
        <v>0</v>
      </c>
      <c r="E27" s="701">
        <v>1333.3</v>
      </c>
      <c r="F27" s="1203">
        <v>45.8</v>
      </c>
      <c r="G27" s="606">
        <f t="shared" si="9"/>
        <v>0</v>
      </c>
      <c r="H27" s="608">
        <f t="shared" si="4"/>
        <v>0</v>
      </c>
      <c r="I27" s="531">
        <f t="shared" si="0"/>
        <v>0</v>
      </c>
      <c r="J27" s="633">
        <v>0</v>
      </c>
      <c r="K27" s="531">
        <f t="shared" si="1"/>
        <v>0</v>
      </c>
      <c r="L27" s="531">
        <f t="shared" si="5"/>
        <v>0</v>
      </c>
      <c r="M27" s="531">
        <f t="shared" si="6"/>
        <v>0</v>
      </c>
      <c r="N27" s="633">
        <v>259.3</v>
      </c>
      <c r="O27" s="531">
        <f t="shared" si="7"/>
        <v>0</v>
      </c>
      <c r="Q27" s="536">
        <f t="shared" si="2"/>
        <v>3.0888973839063669E-2</v>
      </c>
      <c r="AB27" s="1164">
        <v>2029</v>
      </c>
      <c r="AC27" s="704">
        <v>458.21047167877151</v>
      </c>
      <c r="AD27" s="536">
        <f>AC27/'MSW Integration Calcs PDS1 '!C22</f>
        <v>0.17732935295127325</v>
      </c>
      <c r="AE27" s="536">
        <f>AC27/'MSW Integration Calcs PDS1 '!AB22</f>
        <v>0.54512558546348933</v>
      </c>
      <c r="AK27" s="531">
        <f t="shared" si="11"/>
        <v>355.37095102546516</v>
      </c>
      <c r="AL27" s="536">
        <f>AK27/'MSW Integration Calcs PDS1 '!C22</f>
        <v>0.13753003193519966</v>
      </c>
      <c r="AW27" s="550">
        <v>17</v>
      </c>
      <c r="AX27" s="551" t="str">
        <f t="shared" si="12"/>
        <v xml:space="preserve">: </v>
      </c>
      <c r="AY27" s="554"/>
      <c r="AZ27" s="554"/>
      <c r="BA27" s="554"/>
      <c r="BB27" s="554"/>
      <c r="BC27" s="563"/>
      <c r="BD27" s="554"/>
      <c r="BE27" s="563"/>
      <c r="BF27" s="564"/>
      <c r="BG27" s="564"/>
      <c r="BH27" s="565"/>
      <c r="BI27" s="555"/>
      <c r="BK27" s="558"/>
      <c r="BL27" s="558"/>
      <c r="BM27" s="559"/>
      <c r="BN27" s="560" t="str">
        <f t="shared" si="10"/>
        <v/>
      </c>
      <c r="BO27" s="561" t="str">
        <f t="shared" si="8"/>
        <v/>
      </c>
      <c r="BR27" s="562"/>
      <c r="BS27" s="562"/>
      <c r="BT27" s="549"/>
    </row>
    <row r="28" spans="1:72" ht="15" customHeight="1" x14ac:dyDescent="0.6">
      <c r="A28" s="609">
        <v>2032</v>
      </c>
      <c r="B28" s="696">
        <v>16.44973544718232</v>
      </c>
      <c r="C28" s="697">
        <v>145.19999999999999</v>
      </c>
      <c r="D28" s="531">
        <f t="shared" si="3"/>
        <v>0</v>
      </c>
      <c r="E28" s="701">
        <v>1359</v>
      </c>
      <c r="F28" s="1203">
        <v>46.6</v>
      </c>
      <c r="G28" s="606">
        <f t="shared" si="9"/>
        <v>0</v>
      </c>
      <c r="H28" s="608">
        <f t="shared" si="4"/>
        <v>0</v>
      </c>
      <c r="I28" s="531">
        <f t="shared" si="0"/>
        <v>0</v>
      </c>
      <c r="J28" s="633">
        <v>0</v>
      </c>
      <c r="K28" s="531">
        <f t="shared" si="1"/>
        <v>0</v>
      </c>
      <c r="L28" s="531">
        <f t="shared" si="5"/>
        <v>0</v>
      </c>
      <c r="M28" s="531">
        <f t="shared" si="6"/>
        <v>0</v>
      </c>
      <c r="N28" s="633">
        <v>271.7</v>
      </c>
      <c r="O28" s="531">
        <f t="shared" si="7"/>
        <v>0</v>
      </c>
      <c r="Q28" s="536">
        <f t="shared" si="2"/>
        <v>3.4913866112001972E-2</v>
      </c>
      <c r="AB28" s="1164">
        <v>2030</v>
      </c>
      <c r="AC28" s="704">
        <v>471.15193128175423</v>
      </c>
      <c r="AD28" s="536">
        <f>AC28/'MSW Integration Calcs PDS1 '!C23</f>
        <v>0.17909381483203898</v>
      </c>
      <c r="AE28" s="536">
        <f>AC28/'MSW Integration Calcs PDS1 '!AB23</f>
        <v>0.55378421407556844</v>
      </c>
      <c r="AK28" s="531">
        <f t="shared" si="11"/>
        <v>365.40786438957912</v>
      </c>
      <c r="AL28" s="536">
        <f>AK28/'MSW Integration Calcs PDS1 '!C23</f>
        <v>0.13889848275719549</v>
      </c>
      <c r="AW28" s="550">
        <v>18</v>
      </c>
      <c r="AX28" s="551" t="str">
        <f t="shared" si="12"/>
        <v xml:space="preserve">: </v>
      </c>
      <c r="AY28" s="554"/>
      <c r="AZ28" s="554"/>
      <c r="BA28" s="554"/>
      <c r="BB28" s="554"/>
      <c r="BC28" s="563"/>
      <c r="BD28" s="554"/>
      <c r="BE28" s="563"/>
      <c r="BF28" s="564"/>
      <c r="BG28" s="564"/>
      <c r="BH28" s="565"/>
      <c r="BI28" s="555"/>
      <c r="BK28" s="558"/>
      <c r="BL28" s="558"/>
      <c r="BM28" s="559"/>
      <c r="BN28" s="560" t="str">
        <f t="shared" si="10"/>
        <v/>
      </c>
      <c r="BO28" s="561" t="str">
        <f t="shared" si="8"/>
        <v/>
      </c>
      <c r="BR28" s="562"/>
      <c r="BS28" s="562"/>
      <c r="BT28" s="549"/>
    </row>
    <row r="29" spans="1:72" ht="15" customHeight="1" x14ac:dyDescent="0.6">
      <c r="A29" s="609">
        <v>2033</v>
      </c>
      <c r="B29" s="696">
        <v>18.945897238038015</v>
      </c>
      <c r="C29" s="697">
        <v>150.6</v>
      </c>
      <c r="D29" s="531">
        <f t="shared" si="3"/>
        <v>0</v>
      </c>
      <c r="E29" s="701">
        <v>1384.8</v>
      </c>
      <c r="F29" s="1203">
        <v>47.3</v>
      </c>
      <c r="G29" s="606">
        <f t="shared" si="9"/>
        <v>0</v>
      </c>
      <c r="H29" s="608">
        <f t="shared" si="4"/>
        <v>0</v>
      </c>
      <c r="I29" s="531">
        <f t="shared" si="0"/>
        <v>0</v>
      </c>
      <c r="J29" s="633">
        <v>0</v>
      </c>
      <c r="K29" s="531">
        <f t="shared" si="1"/>
        <v>0</v>
      </c>
      <c r="L29" s="531">
        <f t="shared" si="5"/>
        <v>0</v>
      </c>
      <c r="M29" s="531">
        <f t="shared" si="6"/>
        <v>0</v>
      </c>
      <c r="N29" s="633">
        <v>283.39999999999998</v>
      </c>
      <c r="O29" s="531">
        <f t="shared" si="7"/>
        <v>0</v>
      </c>
      <c r="Q29" s="536">
        <f t="shared" si="2"/>
        <v>3.9116336823569089E-2</v>
      </c>
      <c r="AB29" s="1164">
        <v>2031</v>
      </c>
      <c r="AC29" s="704">
        <v>484.34743067818113</v>
      </c>
      <c r="AD29" s="536">
        <f>AC29/'MSW Integration Calcs PDS1 '!C24</f>
        <v>0.18133102076789279</v>
      </c>
      <c r="AE29" s="536">
        <f>AC29/'MSW Integration Calcs PDS1 '!AB24</f>
        <v>0.56401561669639999</v>
      </c>
      <c r="AK29" s="531">
        <f t="shared" si="11"/>
        <v>375.64180154204911</v>
      </c>
      <c r="AL29" s="536">
        <f>AK29/'MSW Integration Calcs PDS1 '!C24</f>
        <v>0.14063357623542036</v>
      </c>
      <c r="AW29" s="550">
        <v>19</v>
      </c>
      <c r="AX29" s="551" t="str">
        <f t="shared" si="12"/>
        <v xml:space="preserve">: </v>
      </c>
      <c r="AY29" s="554"/>
      <c r="AZ29" s="554"/>
      <c r="BA29" s="554"/>
      <c r="BB29" s="554"/>
      <c r="BC29" s="563"/>
      <c r="BD29" s="554"/>
      <c r="BE29" s="563"/>
      <c r="BF29" s="564"/>
      <c r="BG29" s="564"/>
      <c r="BH29" s="565"/>
      <c r="BI29" s="555"/>
      <c r="BK29" s="558"/>
      <c r="BL29" s="558"/>
      <c r="BM29" s="559"/>
      <c r="BN29" s="560" t="str">
        <f t="shared" si="10"/>
        <v/>
      </c>
      <c r="BO29" s="561" t="str">
        <f t="shared" si="8"/>
        <v/>
      </c>
      <c r="BR29" s="562"/>
      <c r="BS29" s="562"/>
      <c r="BT29" s="549"/>
    </row>
    <row r="30" spans="1:72" ht="15" customHeight="1" x14ac:dyDescent="0.6">
      <c r="A30" s="609">
        <v>2034</v>
      </c>
      <c r="B30" s="696">
        <v>21.642332411254756</v>
      </c>
      <c r="C30" s="697">
        <v>155.9</v>
      </c>
      <c r="D30" s="531">
        <f t="shared" si="3"/>
        <v>0</v>
      </c>
      <c r="E30" s="701">
        <v>1411.9</v>
      </c>
      <c r="F30" s="1203">
        <v>48.2</v>
      </c>
      <c r="G30" s="606">
        <f t="shared" si="9"/>
        <v>0</v>
      </c>
      <c r="H30" s="608">
        <f t="shared" si="4"/>
        <v>0</v>
      </c>
      <c r="I30" s="531">
        <f t="shared" si="0"/>
        <v>0</v>
      </c>
      <c r="J30" s="633">
        <v>0</v>
      </c>
      <c r="K30" s="531">
        <f t="shared" si="1"/>
        <v>0</v>
      </c>
      <c r="L30" s="531">
        <f t="shared" si="5"/>
        <v>0</v>
      </c>
      <c r="M30" s="531">
        <f t="shared" si="6"/>
        <v>0</v>
      </c>
      <c r="N30" s="633">
        <v>295.8</v>
      </c>
      <c r="O30" s="531">
        <f t="shared" si="7"/>
        <v>0</v>
      </c>
      <c r="Q30" s="536">
        <f t="shared" si="2"/>
        <v>4.3475920857488935E-2</v>
      </c>
      <c r="AB30" s="1164">
        <v>2032</v>
      </c>
      <c r="AC30" s="704">
        <v>497.80043721665669</v>
      </c>
      <c r="AD30" s="536">
        <f>AC30/'MSW Integration Calcs PDS1 '!C25</f>
        <v>0.18348384809531393</v>
      </c>
      <c r="AE30" s="536">
        <f>AC30/'MSW Integration Calcs PDS1 '!AB25</f>
        <v>0.57410465611800288</v>
      </c>
      <c r="AK30" s="531">
        <f t="shared" si="11"/>
        <v>386.07545162912402</v>
      </c>
      <c r="AL30" s="536">
        <f>AK30/'MSW Integration Calcs PDS1 '!C25</f>
        <v>0.14230322881218557</v>
      </c>
      <c r="AW30" s="550">
        <v>20</v>
      </c>
      <c r="AX30" s="551" t="str">
        <f t="shared" si="12"/>
        <v xml:space="preserve">: </v>
      </c>
      <c r="AY30" s="554"/>
      <c r="AZ30" s="554"/>
      <c r="BA30" s="554"/>
      <c r="BB30" s="554"/>
      <c r="BC30" s="563"/>
      <c r="BD30" s="554"/>
      <c r="BE30" s="563"/>
      <c r="BF30" s="564"/>
      <c r="BG30" s="564"/>
      <c r="BH30" s="565"/>
      <c r="BI30" s="555"/>
      <c r="BK30" s="558"/>
      <c r="BL30" s="558"/>
      <c r="BM30" s="559"/>
      <c r="BN30" s="560" t="str">
        <f t="shared" si="10"/>
        <v/>
      </c>
      <c r="BO30" s="561" t="str">
        <f t="shared" si="8"/>
        <v/>
      </c>
      <c r="BR30" s="562"/>
      <c r="BS30" s="562"/>
      <c r="BT30" s="549"/>
    </row>
    <row r="31" spans="1:72" ht="15" customHeight="1" x14ac:dyDescent="0.6">
      <c r="A31" s="609">
        <v>2035</v>
      </c>
      <c r="B31" s="696">
        <v>24.539236732874997</v>
      </c>
      <c r="C31" s="697">
        <v>161</v>
      </c>
      <c r="D31" s="531">
        <f t="shared" si="3"/>
        <v>0</v>
      </c>
      <c r="E31" s="701">
        <v>1430.5</v>
      </c>
      <c r="F31" s="1203">
        <v>48.7</v>
      </c>
      <c r="G31" s="606">
        <f t="shared" si="9"/>
        <v>0</v>
      </c>
      <c r="H31" s="608">
        <f t="shared" si="4"/>
        <v>0</v>
      </c>
      <c r="I31" s="531">
        <f t="shared" si="0"/>
        <v>0</v>
      </c>
      <c r="J31" s="633">
        <v>0</v>
      </c>
      <c r="K31" s="531">
        <f t="shared" si="1"/>
        <v>0</v>
      </c>
      <c r="L31" s="531">
        <f t="shared" si="5"/>
        <v>0</v>
      </c>
      <c r="M31" s="531">
        <f t="shared" si="6"/>
        <v>0</v>
      </c>
      <c r="N31" s="633">
        <v>306.60000000000002</v>
      </c>
      <c r="O31" s="531">
        <f t="shared" si="7"/>
        <v>0</v>
      </c>
      <c r="Q31" s="536">
        <f t="shared" si="2"/>
        <v>4.7973761074872175E-2</v>
      </c>
      <c r="AB31" s="1164">
        <v>2033</v>
      </c>
      <c r="AC31" s="704">
        <v>511.51371464448772</v>
      </c>
      <c r="AD31" s="536">
        <f>AC31/'MSW Integration Calcs PDS1 '!C26</f>
        <v>0.18569119179006816</v>
      </c>
      <c r="AE31" s="536">
        <f>AC31/'MSW Integration Calcs PDS1 '!AB26</f>
        <v>0.58448596723345292</v>
      </c>
      <c r="AK31" s="531">
        <f t="shared" si="11"/>
        <v>396.71095811012998</v>
      </c>
      <c r="AL31" s="536">
        <f>AK31/'MSW Integration Calcs PDS1 '!C26</f>
        <v>0.14401516225004643</v>
      </c>
      <c r="AW31" s="550"/>
      <c r="AX31" s="550"/>
      <c r="AY31" s="537"/>
      <c r="AZ31" s="537"/>
      <c r="BA31" s="537"/>
      <c r="BB31" s="537"/>
      <c r="BC31" s="549"/>
      <c r="BD31" s="562"/>
      <c r="BE31" s="566"/>
      <c r="BF31" s="558"/>
      <c r="BG31" s="558"/>
      <c r="BH31" s="558" t="s">
        <v>322</v>
      </c>
      <c r="BI31" s="558"/>
      <c r="BK31" s="558"/>
      <c r="BL31" s="558"/>
      <c r="BM31" s="567" t="s">
        <v>323</v>
      </c>
      <c r="BN31" s="568">
        <f>AVERAGE(BN11:BN30)</f>
        <v>0.60633663366336632</v>
      </c>
      <c r="BQ31" s="562"/>
      <c r="BR31" s="562"/>
      <c r="BS31" s="562"/>
      <c r="BT31" s="549"/>
    </row>
    <row r="32" spans="1:72" ht="15" customHeight="1" x14ac:dyDescent="0.6">
      <c r="A32" s="609">
        <v>2036</v>
      </c>
      <c r="B32" s="696">
        <v>27.636805969232228</v>
      </c>
      <c r="C32" s="697">
        <v>166</v>
      </c>
      <c r="D32" s="531">
        <f t="shared" si="3"/>
        <v>0</v>
      </c>
      <c r="E32" s="701">
        <v>1456.2</v>
      </c>
      <c r="F32" s="1203">
        <v>49.5</v>
      </c>
      <c r="G32" s="606">
        <f t="shared" si="9"/>
        <v>0</v>
      </c>
      <c r="H32" s="608">
        <f>G32*E32</f>
        <v>0</v>
      </c>
      <c r="I32" s="531">
        <f t="shared" si="0"/>
        <v>0</v>
      </c>
      <c r="J32" s="633">
        <v>0</v>
      </c>
      <c r="K32" s="531">
        <f t="shared" si="1"/>
        <v>0</v>
      </c>
      <c r="L32" s="531">
        <f t="shared" si="5"/>
        <v>0</v>
      </c>
      <c r="M32" s="531">
        <f t="shared" si="6"/>
        <v>0</v>
      </c>
      <c r="N32" s="633">
        <v>319.60000000000002</v>
      </c>
      <c r="O32" s="531">
        <f t="shared" si="7"/>
        <v>0</v>
      </c>
      <c r="Q32" s="536">
        <f t="shared" si="2"/>
        <v>5.2592525646421889E-2</v>
      </c>
      <c r="AB32" s="1164">
        <v>2034</v>
      </c>
      <c r="AC32" s="704">
        <v>525.48923310954331</v>
      </c>
      <c r="AD32" s="536">
        <f>AC32/'MSW Integration Calcs PDS1 '!C27</f>
        <v>0.18794871044238851</v>
      </c>
      <c r="AE32" s="536">
        <f>AC32/'MSW Integration Calcs PDS1 '!AB27</f>
        <v>0.5951510780316287</v>
      </c>
      <c r="AK32" s="531">
        <f t="shared" si="11"/>
        <v>407.54984895826954</v>
      </c>
      <c r="AL32" s="536">
        <f>AK32/'MSW Integration Calcs PDS1 '!C27</f>
        <v>0.14576600951351801</v>
      </c>
      <c r="AW32" s="550"/>
      <c r="AX32" s="550"/>
      <c r="AY32" s="537" t="s">
        <v>324</v>
      </c>
      <c r="AZ32" s="646"/>
      <c r="BA32" s="647"/>
      <c r="BB32" s="647"/>
      <c r="BC32" s="647"/>
      <c r="BD32" s="647"/>
      <c r="BE32" s="647"/>
      <c r="BF32" s="648"/>
      <c r="BG32" s="558"/>
      <c r="BH32" s="558"/>
      <c r="BI32" s="558"/>
      <c r="BK32" s="558"/>
      <c r="BL32" s="558"/>
      <c r="BM32" s="569" t="s">
        <v>25</v>
      </c>
      <c r="BN32" s="570">
        <f>BN31+BQ32*BN35</f>
        <v>0.83479055390511414</v>
      </c>
      <c r="BQ32" s="562">
        <v>1</v>
      </c>
      <c r="BR32" s="562"/>
      <c r="BS32" s="562"/>
      <c r="BT32" s="549"/>
    </row>
    <row r="33" spans="1:72" ht="15" customHeight="1" x14ac:dyDescent="0.6">
      <c r="A33" s="609">
        <v>2037</v>
      </c>
      <c r="B33" s="696">
        <v>30.935235886368901</v>
      </c>
      <c r="C33" s="697">
        <v>171</v>
      </c>
      <c r="D33" s="531">
        <f t="shared" si="3"/>
        <v>0</v>
      </c>
      <c r="E33" s="701">
        <v>1483.4</v>
      </c>
      <c r="F33" s="1203">
        <v>50.3</v>
      </c>
      <c r="G33" s="606">
        <f t="shared" si="9"/>
        <v>0</v>
      </c>
      <c r="H33" s="608">
        <f t="shared" si="4"/>
        <v>0</v>
      </c>
      <c r="I33" s="531">
        <f t="shared" si="0"/>
        <v>0</v>
      </c>
      <c r="J33" s="633">
        <v>0</v>
      </c>
      <c r="K33" s="531">
        <f t="shared" si="1"/>
        <v>0</v>
      </c>
      <c r="L33" s="531">
        <f t="shared" si="5"/>
        <v>0</v>
      </c>
      <c r="M33" s="531">
        <f t="shared" si="6"/>
        <v>0</v>
      </c>
      <c r="N33" s="633">
        <v>331.5</v>
      </c>
      <c r="O33" s="531">
        <f t="shared" si="7"/>
        <v>0</v>
      </c>
      <c r="Q33" s="536">
        <f t="shared" si="2"/>
        <v>5.7316335401096118E-2</v>
      </c>
      <c r="AB33" s="1164">
        <v>2035</v>
      </c>
      <c r="AC33" s="704">
        <v>539.72808397267659</v>
      </c>
      <c r="AD33" s="536">
        <f>AC33/'MSW Integration Calcs PDS1 '!C28</f>
        <v>0.19024421363556002</v>
      </c>
      <c r="AE33" s="536">
        <f>AC33/'MSW Integration Calcs PDS1 '!AB28</f>
        <v>0.60606630658031169</v>
      </c>
      <c r="AK33" s="531">
        <f t="shared" si="11"/>
        <v>418.59297059231375</v>
      </c>
      <c r="AL33" s="536">
        <f>AK33/'MSW Integration Calcs PDS1 '!C28</f>
        <v>0.14754631617008704</v>
      </c>
      <c r="AW33" s="550"/>
      <c r="AX33" s="550"/>
      <c r="AY33" s="550"/>
      <c r="AZ33" s="649"/>
      <c r="BA33" s="650"/>
      <c r="BB33" s="650"/>
      <c r="BC33" s="650"/>
      <c r="BD33" s="650"/>
      <c r="BE33" s="650"/>
      <c r="BF33" s="651"/>
      <c r="BG33" s="562"/>
      <c r="BH33" s="562"/>
      <c r="BI33" s="558"/>
      <c r="BK33" s="558"/>
      <c r="BL33" s="558"/>
      <c r="BM33" s="569" t="s">
        <v>15</v>
      </c>
      <c r="BN33" s="570">
        <f>BN31-BQ32*BN35</f>
        <v>0.37788271342161855</v>
      </c>
      <c r="BQ33" s="562"/>
      <c r="BR33" s="562"/>
      <c r="BS33" s="562"/>
      <c r="BT33" s="549"/>
    </row>
    <row r="34" spans="1:72" ht="15" customHeight="1" x14ac:dyDescent="0.6">
      <c r="A34" s="609">
        <v>2038</v>
      </c>
      <c r="B34" s="696">
        <v>34.434722250560299</v>
      </c>
      <c r="C34" s="697">
        <v>176.1</v>
      </c>
      <c r="D34" s="531">
        <f t="shared" si="3"/>
        <v>0</v>
      </c>
      <c r="E34" s="701">
        <v>1509.8</v>
      </c>
      <c r="F34" s="1203">
        <v>51.1</v>
      </c>
      <c r="G34" s="606">
        <f t="shared" si="9"/>
        <v>0</v>
      </c>
      <c r="H34" s="608">
        <f t="shared" si="4"/>
        <v>0</v>
      </c>
      <c r="I34" s="531">
        <f t="shared" si="0"/>
        <v>0</v>
      </c>
      <c r="J34" s="633">
        <v>0</v>
      </c>
      <c r="K34" s="531">
        <f t="shared" si="1"/>
        <v>0</v>
      </c>
      <c r="L34" s="531">
        <f t="shared" si="5"/>
        <v>0</v>
      </c>
      <c r="M34" s="531">
        <f t="shared" si="6"/>
        <v>0</v>
      </c>
      <c r="N34" s="633">
        <v>344.2</v>
      </c>
      <c r="O34" s="531">
        <f t="shared" si="7"/>
        <v>0</v>
      </c>
      <c r="Q34" s="536">
        <f t="shared" si="2"/>
        <v>6.2130701289882413E-2</v>
      </c>
      <c r="AB34" s="1164">
        <v>2036</v>
      </c>
      <c r="AC34" s="704">
        <v>554.23038104621833</v>
      </c>
      <c r="AD34" s="536">
        <f>AC34/'MSW Integration Calcs PDS1 '!C29</f>
        <v>0.19260206219849169</v>
      </c>
      <c r="AE34" s="536">
        <f>AC34/'MSW Integration Calcs PDS1 '!AB29</f>
        <v>0.61731430191824199</v>
      </c>
      <c r="AK34" s="531">
        <f t="shared" si="11"/>
        <v>429.84041128086119</v>
      </c>
      <c r="AL34" s="536">
        <f>AK34/'MSW Integration Calcs PDS1 '!C29</f>
        <v>0.14937497557001989</v>
      </c>
      <c r="AW34" s="550"/>
      <c r="AX34" s="550"/>
      <c r="AY34" s="550"/>
      <c r="AZ34" s="649"/>
      <c r="BA34" s="650"/>
      <c r="BB34" s="650"/>
      <c r="BC34" s="650"/>
      <c r="BD34" s="650"/>
      <c r="BE34" s="650"/>
      <c r="BF34" s="651"/>
      <c r="BG34" s="558"/>
      <c r="BH34" s="558"/>
      <c r="BI34" s="558"/>
      <c r="BK34" s="558"/>
      <c r="BL34" s="558"/>
      <c r="BM34" s="569" t="s">
        <v>325</v>
      </c>
      <c r="BN34" s="570" t="str">
        <f>IF((0.67*BN35)&gt;BN31,"no","yes")</f>
        <v>yes</v>
      </c>
      <c r="BQ34" s="562"/>
      <c r="BR34" s="562"/>
      <c r="BS34" s="562"/>
      <c r="BT34" s="549"/>
    </row>
    <row r="35" spans="1:72" ht="15" customHeight="1" x14ac:dyDescent="0.6">
      <c r="A35" s="609">
        <v>2039</v>
      </c>
      <c r="B35" s="696">
        <v>38.135460827907082</v>
      </c>
      <c r="C35" s="697">
        <v>181.2</v>
      </c>
      <c r="D35" s="531">
        <f t="shared" si="3"/>
        <v>0</v>
      </c>
      <c r="E35" s="701">
        <v>1536.3</v>
      </c>
      <c r="F35" s="1203">
        <v>51.9</v>
      </c>
      <c r="G35" s="606">
        <f t="shared" si="9"/>
        <v>0</v>
      </c>
      <c r="H35" s="608">
        <f t="shared" si="4"/>
        <v>0</v>
      </c>
      <c r="I35" s="531">
        <f t="shared" si="0"/>
        <v>0</v>
      </c>
      <c r="J35" s="633">
        <v>0</v>
      </c>
      <c r="K35" s="531">
        <f t="shared" si="1"/>
        <v>0</v>
      </c>
      <c r="L35" s="531">
        <f t="shared" si="5"/>
        <v>0</v>
      </c>
      <c r="M35" s="531">
        <f t="shared" si="6"/>
        <v>0</v>
      </c>
      <c r="N35" s="633">
        <v>356.2</v>
      </c>
      <c r="O35" s="531">
        <f t="shared" si="7"/>
        <v>0</v>
      </c>
      <c r="Q35" s="536">
        <f t="shared" si="2"/>
        <v>6.7022428140240287E-2</v>
      </c>
      <c r="AB35" s="1164">
        <v>2037</v>
      </c>
      <c r="AC35" s="704">
        <v>568.99551219050113</v>
      </c>
      <c r="AD35" s="536">
        <f>AC35/'MSW Integration Calcs PDS1 '!C30</f>
        <v>0.19499214757413724</v>
      </c>
      <c r="AE35" s="536">
        <f>AC35/'MSW Integration Calcs PDS1 '!AB30</f>
        <v>0.62880408763023887</v>
      </c>
      <c r="AK35" s="531">
        <f t="shared" si="11"/>
        <v>441.29169627121814</v>
      </c>
      <c r="AL35" s="536">
        <f>AK35/'MSW Integration Calcs PDS1 '!C30</f>
        <v>0.15122863663949163</v>
      </c>
      <c r="AW35" s="550"/>
      <c r="AX35" s="571"/>
      <c r="AY35" s="550"/>
      <c r="AZ35" s="649"/>
      <c r="BA35" s="650"/>
      <c r="BB35" s="650"/>
      <c r="BC35" s="650"/>
      <c r="BD35" s="650"/>
      <c r="BE35" s="650"/>
      <c r="BF35" s="651"/>
      <c r="BG35" s="558"/>
      <c r="BH35" s="558"/>
      <c r="BI35" s="558"/>
      <c r="BJ35" s="558"/>
      <c r="BK35" s="558"/>
      <c r="BL35" s="558"/>
      <c r="BM35" s="569" t="s">
        <v>326</v>
      </c>
      <c r="BN35" s="570">
        <f>_xlfn.STDEV.P(BN11:BN30)</f>
        <v>0.22845392024174777</v>
      </c>
      <c r="BQ35" s="562"/>
      <c r="BR35" s="562"/>
      <c r="BS35" s="562"/>
      <c r="BT35" s="549"/>
    </row>
    <row r="36" spans="1:72" ht="15" customHeight="1" x14ac:dyDescent="0.6">
      <c r="A36" s="609">
        <v>2040</v>
      </c>
      <c r="B36" s="696">
        <v>42.037647384684533</v>
      </c>
      <c r="C36" s="697">
        <v>186.6</v>
      </c>
      <c r="D36" s="531">
        <f t="shared" si="3"/>
        <v>0</v>
      </c>
      <c r="E36" s="701">
        <v>1563.5</v>
      </c>
      <c r="F36" s="1203">
        <v>52.7</v>
      </c>
      <c r="G36" s="606">
        <f t="shared" si="9"/>
        <v>0</v>
      </c>
      <c r="H36" s="608">
        <f t="shared" si="4"/>
        <v>0</v>
      </c>
      <c r="I36" s="531">
        <f t="shared" si="0"/>
        <v>0</v>
      </c>
      <c r="J36" s="633">
        <v>0</v>
      </c>
      <c r="K36" s="531">
        <f t="shared" si="1"/>
        <v>0</v>
      </c>
      <c r="L36" s="531">
        <f t="shared" si="5"/>
        <v>0</v>
      </c>
      <c r="M36" s="531">
        <f t="shared" si="6"/>
        <v>0</v>
      </c>
      <c r="N36" s="633">
        <v>369</v>
      </c>
      <c r="O36" s="531">
        <f t="shared" si="7"/>
        <v>0</v>
      </c>
      <c r="Q36" s="536">
        <f t="shared" si="2"/>
        <v>7.1979513496751024E-2</v>
      </c>
      <c r="AB36" s="1164">
        <v>2038</v>
      </c>
      <c r="AC36" s="704">
        <v>584.0223883505688</v>
      </c>
      <c r="AD36" s="536">
        <f>AC36/'MSW Integration Calcs PDS1 '!C31</f>
        <v>0.19742076117236212</v>
      </c>
      <c r="AE36" s="536">
        <f>AC36/'MSW Integration Calcs PDS1 '!AB31</f>
        <v>0.640560548904484</v>
      </c>
      <c r="AK36" s="531">
        <f t="shared" si="11"/>
        <v>452.94598093298129</v>
      </c>
      <c r="AL36" s="536">
        <f>AK36/'MSW Integration Calcs PDS1 '!C31</f>
        <v>0.15311217876133035</v>
      </c>
      <c r="AW36" s="550"/>
      <c r="AX36" s="572"/>
      <c r="AY36" s="550"/>
      <c r="AZ36" s="649"/>
      <c r="BA36" s="650"/>
      <c r="BB36" s="650"/>
      <c r="BC36" s="650"/>
      <c r="BD36" s="650"/>
      <c r="BE36" s="650"/>
      <c r="BF36" s="651"/>
      <c r="BG36" s="558"/>
      <c r="BH36" s="558"/>
      <c r="BI36" s="558"/>
      <c r="BJ36" s="558"/>
      <c r="BK36" s="558"/>
      <c r="BL36" s="558"/>
      <c r="BM36" s="573" t="s">
        <v>327</v>
      </c>
      <c r="BN36" s="574">
        <f>COUNTIF(BN11:BN30,"&gt;0")</f>
        <v>6</v>
      </c>
      <c r="BQ36" s="562"/>
      <c r="BR36" s="562"/>
      <c r="BS36" s="562"/>
      <c r="BT36" s="549"/>
    </row>
    <row r="37" spans="1:72" ht="15" customHeight="1" x14ac:dyDescent="0.6">
      <c r="A37" s="609">
        <v>2041</v>
      </c>
      <c r="B37" s="696">
        <v>46.141477686935104</v>
      </c>
      <c r="C37" s="697">
        <v>192.1</v>
      </c>
      <c r="D37" s="531">
        <f t="shared" si="3"/>
        <v>0</v>
      </c>
      <c r="E37" s="701">
        <v>1589.9</v>
      </c>
      <c r="F37" s="1203">
        <v>53.5</v>
      </c>
      <c r="G37" s="606">
        <f t="shared" si="9"/>
        <v>0</v>
      </c>
      <c r="H37" s="608">
        <f t="shared" si="4"/>
        <v>0</v>
      </c>
      <c r="I37" s="531">
        <f t="shared" si="0"/>
        <v>0</v>
      </c>
      <c r="J37" s="633">
        <v>0</v>
      </c>
      <c r="K37" s="531">
        <f t="shared" si="1"/>
        <v>0</v>
      </c>
      <c r="L37" s="531">
        <f t="shared" si="5"/>
        <v>0</v>
      </c>
      <c r="M37" s="531">
        <f t="shared" si="6"/>
        <v>0</v>
      </c>
      <c r="N37" s="633">
        <v>381.2</v>
      </c>
      <c r="O37" s="531">
        <f t="shared" si="7"/>
        <v>0</v>
      </c>
      <c r="Q37" s="536">
        <f t="shared" si="2"/>
        <v>7.6991085929537975E-2</v>
      </c>
      <c r="AB37" s="1164">
        <v>2039</v>
      </c>
      <c r="AC37" s="704">
        <v>599.30935029496345</v>
      </c>
      <c r="AD37" s="536">
        <f>AC37/'MSW Integration Calcs PDS1 '!C32</f>
        <v>0.19988647390321015</v>
      </c>
      <c r="AE37" s="536">
        <f>AC37/'MSW Integration Calcs PDS1 '!AB32</f>
        <v>0.65258398270718254</v>
      </c>
      <c r="AK37" s="531">
        <f t="shared" si="11"/>
        <v>464.80197842811947</v>
      </c>
      <c r="AL37" s="536">
        <f>AK37/'MSW Integration Calcs PDS1 '!C32</f>
        <v>0.15502449358666973</v>
      </c>
      <c r="AW37" s="550"/>
      <c r="AX37" s="123"/>
      <c r="AY37" s="550"/>
      <c r="AZ37" s="649"/>
      <c r="BA37" s="650"/>
      <c r="BB37" s="650"/>
      <c r="BC37" s="650"/>
      <c r="BD37" s="650"/>
      <c r="BE37" s="650"/>
      <c r="BF37" s="651"/>
      <c r="BG37" s="558"/>
      <c r="BH37" s="558"/>
      <c r="BI37" s="558"/>
      <c r="BJ37" s="558"/>
      <c r="BK37" s="558"/>
      <c r="BL37" s="558"/>
      <c r="BM37" s="575"/>
      <c r="BN37" s="576"/>
      <c r="BQ37" s="562"/>
      <c r="BR37" s="562"/>
      <c r="BS37" s="562"/>
      <c r="BT37" s="549"/>
    </row>
    <row r="38" spans="1:72" ht="15" customHeight="1" x14ac:dyDescent="0.6">
      <c r="A38" s="609">
        <v>2042</v>
      </c>
      <c r="B38" s="696">
        <v>50.447147500992287</v>
      </c>
      <c r="C38" s="697">
        <v>197.9</v>
      </c>
      <c r="D38" s="531">
        <f t="shared" si="3"/>
        <v>0</v>
      </c>
      <c r="E38" s="701">
        <v>1616.3</v>
      </c>
      <c r="F38" s="1203">
        <v>54.2</v>
      </c>
      <c r="G38" s="606">
        <f t="shared" si="9"/>
        <v>0</v>
      </c>
      <c r="H38" s="608">
        <f t="shared" si="4"/>
        <v>0</v>
      </c>
      <c r="I38" s="531">
        <f t="shared" si="0"/>
        <v>0</v>
      </c>
      <c r="J38" s="633">
        <v>0</v>
      </c>
      <c r="K38" s="531">
        <f t="shared" si="1"/>
        <v>0</v>
      </c>
      <c r="L38" s="531">
        <f t="shared" si="5"/>
        <v>0</v>
      </c>
      <c r="M38" s="531">
        <f t="shared" si="6"/>
        <v>0</v>
      </c>
      <c r="N38" s="633">
        <v>393.6</v>
      </c>
      <c r="O38" s="531">
        <f t="shared" si="7"/>
        <v>0</v>
      </c>
      <c r="Q38" s="536">
        <f t="shared" si="2"/>
        <v>8.2047348244288346E-2</v>
      </c>
      <c r="AB38" s="1164">
        <v>2040</v>
      </c>
      <c r="AC38" s="704">
        <v>614.85408828559093</v>
      </c>
      <c r="AD38" s="536">
        <f>AC38/'MSW Integration Calcs PDS1 '!C33</f>
        <v>0.20262014562324684</v>
      </c>
      <c r="AE38" s="536">
        <f>AC38/'MSW Integration Calcs PDS1 '!AB33</f>
        <v>0.66563779771106002</v>
      </c>
      <c r="AK38" s="531">
        <f t="shared" si="11"/>
        <v>476.85789740991805</v>
      </c>
      <c r="AL38" s="536">
        <f>AK38/'MSW Integration Calcs PDS1 '!C33</f>
        <v>0.15714462740941199</v>
      </c>
      <c r="AW38" s="550"/>
      <c r="AX38" s="123"/>
      <c r="AY38" s="550"/>
      <c r="AZ38" s="649"/>
      <c r="BA38" s="650"/>
      <c r="BB38" s="650"/>
      <c r="BC38" s="650"/>
      <c r="BD38" s="650"/>
      <c r="BE38" s="650"/>
      <c r="BF38" s="651"/>
      <c r="BG38" s="558"/>
      <c r="BH38" s="558"/>
      <c r="BI38" s="558"/>
      <c r="BJ38" s="558"/>
      <c r="BK38" s="558"/>
      <c r="BL38" s="558"/>
      <c r="BM38" s="575"/>
      <c r="BN38" s="577" t="s">
        <v>328</v>
      </c>
      <c r="BQ38" s="562"/>
      <c r="BR38" s="562"/>
      <c r="BS38" s="562"/>
      <c r="BT38" s="549"/>
    </row>
    <row r="39" spans="1:72" ht="15" customHeight="1" x14ac:dyDescent="0.6">
      <c r="A39" s="609">
        <v>2043</v>
      </c>
      <c r="B39" s="696">
        <v>54.954852592898533</v>
      </c>
      <c r="C39" s="697">
        <v>203.7</v>
      </c>
      <c r="D39" s="531">
        <f t="shared" si="3"/>
        <v>0</v>
      </c>
      <c r="E39" s="701">
        <v>1642.8</v>
      </c>
      <c r="F39" s="1203">
        <v>55</v>
      </c>
      <c r="G39" s="606">
        <f t="shared" si="9"/>
        <v>0</v>
      </c>
      <c r="H39" s="608">
        <f t="shared" si="4"/>
        <v>0</v>
      </c>
      <c r="I39" s="531">
        <f t="shared" si="0"/>
        <v>0</v>
      </c>
      <c r="J39" s="633">
        <v>0</v>
      </c>
      <c r="K39" s="531">
        <f t="shared" si="1"/>
        <v>0</v>
      </c>
      <c r="L39" s="531">
        <f t="shared" si="5"/>
        <v>0</v>
      </c>
      <c r="M39" s="531">
        <f t="shared" si="6"/>
        <v>0</v>
      </c>
      <c r="N39" s="633">
        <v>405.2</v>
      </c>
      <c r="O39" s="531">
        <f t="shared" si="7"/>
        <v>0</v>
      </c>
      <c r="Q39" s="536">
        <f t="shared" si="2"/>
        <v>8.7139505452682217E-2</v>
      </c>
      <c r="AB39" s="1164">
        <v>2041</v>
      </c>
      <c r="AC39" s="704">
        <v>630.65371219876465</v>
      </c>
      <c r="AD39" s="536">
        <f>AC39/'MSW Integration Calcs PDS1 '!C34</f>
        <v>0.20492867530698869</v>
      </c>
      <c r="AE39" s="536">
        <f>AC39/'MSW Integration Calcs PDS1 '!AB34</f>
        <v>0.67745016630409438</v>
      </c>
      <c r="AK39" s="531">
        <f t="shared" si="11"/>
        <v>489.11149640624438</v>
      </c>
      <c r="AL39" s="536">
        <f>AK39/'MSW Integration Calcs PDS1 '!C34</f>
        <v>0.15893503692619185</v>
      </c>
      <c r="AW39" s="550"/>
      <c r="AX39" s="123"/>
      <c r="AY39" s="550"/>
      <c r="AZ39" s="649"/>
      <c r="BA39" s="650"/>
      <c r="BB39" s="650"/>
      <c r="BC39" s="650"/>
      <c r="BD39" s="650"/>
      <c r="BE39" s="650"/>
      <c r="BF39" s="651"/>
      <c r="BG39" s="558"/>
      <c r="BH39" s="558"/>
      <c r="BI39" s="558"/>
      <c r="BJ39" s="558"/>
      <c r="BK39" s="558"/>
      <c r="BL39" s="558"/>
      <c r="BM39" s="575"/>
      <c r="BN39" s="578" t="s">
        <v>20</v>
      </c>
      <c r="BQ39" s="562"/>
      <c r="BR39" s="562"/>
      <c r="BS39" s="562"/>
      <c r="BT39" s="549"/>
    </row>
    <row r="40" spans="1:72" ht="15" customHeight="1" x14ac:dyDescent="0.6">
      <c r="A40" s="609">
        <v>2044</v>
      </c>
      <c r="B40" s="696">
        <v>59.664788728929125</v>
      </c>
      <c r="C40" s="697">
        <v>209.8</v>
      </c>
      <c r="D40" s="531">
        <f t="shared" si="3"/>
        <v>0</v>
      </c>
      <c r="E40" s="701">
        <v>1669.9</v>
      </c>
      <c r="F40" s="1203">
        <v>55.8</v>
      </c>
      <c r="G40" s="606">
        <f t="shared" si="9"/>
        <v>0</v>
      </c>
      <c r="H40" s="608">
        <f t="shared" si="4"/>
        <v>0</v>
      </c>
      <c r="I40" s="531">
        <f t="shared" si="0"/>
        <v>0</v>
      </c>
      <c r="J40" s="633">
        <v>0</v>
      </c>
      <c r="K40" s="531">
        <f t="shared" si="1"/>
        <v>0</v>
      </c>
      <c r="L40" s="531">
        <f t="shared" si="5"/>
        <v>0</v>
      </c>
      <c r="M40" s="531">
        <f t="shared" si="6"/>
        <v>0</v>
      </c>
      <c r="N40" s="633">
        <v>417.8</v>
      </c>
      <c r="O40" s="531">
        <f t="shared" si="7"/>
        <v>0</v>
      </c>
      <c r="Q40" s="536">
        <f t="shared" si="2"/>
        <v>9.225971123617914E-2</v>
      </c>
      <c r="AB40" s="1164">
        <v>2042</v>
      </c>
      <c r="AC40" s="704">
        <v>646.704698394199</v>
      </c>
      <c r="AD40" s="536">
        <f>AC40/'MSW Integration Calcs PDS1 '!C35</f>
        <v>0.20757542144299043</v>
      </c>
      <c r="AE40" s="536">
        <f>AC40/'MSW Integration Calcs PDS1 '!AB35</f>
        <v>0.69053699748167097</v>
      </c>
      <c r="AK40" s="531">
        <f t="shared" si="11"/>
        <v>501.56004261312142</v>
      </c>
      <c r="AL40" s="536">
        <f>AK40/'MSW Integration Calcs PDS1 '!C35</f>
        <v>0.16098775450819705</v>
      </c>
      <c r="AW40" s="550"/>
      <c r="AX40" s="123"/>
      <c r="AY40" s="550"/>
      <c r="AZ40" s="649"/>
      <c r="BA40" s="650"/>
      <c r="BB40" s="650"/>
      <c r="BC40" s="650"/>
      <c r="BD40" s="650"/>
      <c r="BE40" s="650"/>
      <c r="BF40" s="651"/>
      <c r="BG40" s="558"/>
      <c r="BH40" s="558"/>
      <c r="BI40" s="558"/>
      <c r="BJ40" s="558"/>
      <c r="BK40" s="558"/>
      <c r="BL40" s="558"/>
      <c r="BM40" s="575"/>
      <c r="BN40" s="558"/>
      <c r="BQ40" s="562"/>
      <c r="BR40" s="562"/>
      <c r="BS40" s="562"/>
      <c r="BT40" s="549"/>
    </row>
    <row r="41" spans="1:72" ht="15" customHeight="1" x14ac:dyDescent="0.6">
      <c r="A41" s="609">
        <v>2045</v>
      </c>
      <c r="B41" s="696">
        <v>64.577151675184723</v>
      </c>
      <c r="C41" s="697">
        <v>216.1</v>
      </c>
      <c r="D41" s="531">
        <f t="shared" si="3"/>
        <v>0</v>
      </c>
      <c r="E41" s="701">
        <v>1688.5</v>
      </c>
      <c r="F41" s="1203">
        <v>56.4</v>
      </c>
      <c r="G41" s="606">
        <f t="shared" si="9"/>
        <v>0</v>
      </c>
      <c r="H41" s="608">
        <f t="shared" si="4"/>
        <v>0</v>
      </c>
      <c r="I41" s="531">
        <f t="shared" si="0"/>
        <v>0</v>
      </c>
      <c r="J41" s="633">
        <v>0</v>
      </c>
      <c r="K41" s="531">
        <f t="shared" si="1"/>
        <v>0</v>
      </c>
      <c r="L41" s="531">
        <f t="shared" si="5"/>
        <v>0</v>
      </c>
      <c r="M41" s="531">
        <f t="shared" si="6"/>
        <v>0</v>
      </c>
      <c r="N41" s="633">
        <v>429.3</v>
      </c>
      <c r="O41" s="531">
        <f t="shared" si="7"/>
        <v>0</v>
      </c>
      <c r="Q41" s="536">
        <f t="shared" si="2"/>
        <v>9.7400999737466937E-2</v>
      </c>
      <c r="AB41" s="1164">
        <v>2043</v>
      </c>
      <c r="AC41" s="704">
        <v>663.00296556754984</v>
      </c>
      <c r="AD41" s="536">
        <f>AC41/'MSW Integration Calcs PDS1 '!C36</f>
        <v>0.21024785728969925</v>
      </c>
      <c r="AE41" s="536">
        <f>AC41/'MSW Integration Calcs PDS1 '!AB36</f>
        <v>0.70387632169300018</v>
      </c>
      <c r="AK41" s="531">
        <f t="shared" si="11"/>
        <v>514.20037072312857</v>
      </c>
      <c r="AL41" s="536">
        <f>AK41/'MSW Integration Calcs PDS1 '!C36</f>
        <v>0.16306039607162523</v>
      </c>
      <c r="AW41" s="550"/>
      <c r="AX41" s="454"/>
      <c r="AY41" s="558"/>
      <c r="AZ41" s="652"/>
      <c r="BA41" s="653"/>
      <c r="BB41" s="653"/>
      <c r="BC41" s="653"/>
      <c r="BD41" s="653"/>
      <c r="BE41" s="653"/>
      <c r="BF41" s="654"/>
      <c r="BG41" s="549"/>
      <c r="BH41" s="549"/>
      <c r="BI41" s="549"/>
      <c r="BJ41" s="549"/>
      <c r="BK41" s="549"/>
      <c r="BL41" s="549"/>
      <c r="BM41" s="579"/>
      <c r="BN41" s="549"/>
      <c r="BQ41" s="562"/>
      <c r="BR41" s="562"/>
      <c r="BS41" s="562"/>
      <c r="BT41" s="549"/>
    </row>
    <row r="42" spans="1:72" ht="15" customHeight="1" x14ac:dyDescent="0.6">
      <c r="A42" s="609">
        <v>2046</v>
      </c>
      <c r="B42" s="696">
        <v>69.69213719794061</v>
      </c>
      <c r="C42" s="697">
        <v>222.5</v>
      </c>
      <c r="D42" s="531">
        <f t="shared" si="3"/>
        <v>0</v>
      </c>
      <c r="E42" s="701">
        <v>1715</v>
      </c>
      <c r="F42" s="1203">
        <v>57.1</v>
      </c>
      <c r="G42" s="607">
        <f t="shared" si="9"/>
        <v>0</v>
      </c>
      <c r="H42" s="608">
        <f t="shared" si="4"/>
        <v>0</v>
      </c>
      <c r="I42" s="531">
        <f t="shared" si="0"/>
        <v>0</v>
      </c>
      <c r="J42" s="633">
        <v>0</v>
      </c>
      <c r="K42" s="531">
        <f t="shared" si="1"/>
        <v>0</v>
      </c>
      <c r="L42" s="531">
        <f t="shared" si="5"/>
        <v>0</v>
      </c>
      <c r="M42" s="531">
        <f t="shared" si="6"/>
        <v>0</v>
      </c>
      <c r="N42" s="633">
        <v>442</v>
      </c>
      <c r="O42" s="531">
        <f t="shared" si="7"/>
        <v>0</v>
      </c>
      <c r="Q42" s="536">
        <f t="shared" si="2"/>
        <v>0.10255721530883413</v>
      </c>
      <c r="AB42" s="1164">
        <v>2044</v>
      </c>
      <c r="AC42" s="704">
        <v>679.54396955956963</v>
      </c>
      <c r="AD42" s="536">
        <f>AC42/'MSW Integration Calcs PDS1 '!C37</f>
        <v>0.21294274338315997</v>
      </c>
      <c r="AE42" s="536">
        <f>AC42/'MSW Integration Calcs PDS1 '!AB37</f>
        <v>0.71746207339339574</v>
      </c>
      <c r="AK42" s="531">
        <f t="shared" si="11"/>
        <v>527.02895645584624</v>
      </c>
      <c r="AL42" s="536">
        <f>AK42/'MSW Integration Calcs PDS1 '!C37</f>
        <v>0.16515044920906166</v>
      </c>
      <c r="AW42" s="550"/>
      <c r="BQ42" s="562"/>
      <c r="BR42" s="562"/>
      <c r="BS42" s="562"/>
      <c r="BT42" s="549"/>
    </row>
    <row r="43" spans="1:72" ht="15" customHeight="1" x14ac:dyDescent="0.6">
      <c r="A43" s="609">
        <v>2047</v>
      </c>
      <c r="B43" s="696">
        <v>75.009941063297447</v>
      </c>
      <c r="C43" s="697">
        <v>229.2</v>
      </c>
      <c r="D43" s="531">
        <f t="shared" si="3"/>
        <v>0</v>
      </c>
      <c r="E43" s="701">
        <v>1742.2</v>
      </c>
      <c r="F43" s="1203">
        <v>57.9</v>
      </c>
      <c r="G43" s="607">
        <f t="shared" si="9"/>
        <v>0</v>
      </c>
      <c r="H43" s="608">
        <f t="shared" si="4"/>
        <v>0</v>
      </c>
      <c r="I43" s="531">
        <f t="shared" si="0"/>
        <v>0</v>
      </c>
      <c r="J43" s="633">
        <v>0</v>
      </c>
      <c r="K43" s="531">
        <f t="shared" si="1"/>
        <v>0</v>
      </c>
      <c r="L43" s="531">
        <f t="shared" si="5"/>
        <v>0</v>
      </c>
      <c r="M43" s="531">
        <f t="shared" si="6"/>
        <v>0</v>
      </c>
      <c r="N43" s="633">
        <v>453.8</v>
      </c>
      <c r="O43" s="531">
        <f t="shared" si="7"/>
        <v>0</v>
      </c>
      <c r="Q43" s="536">
        <f t="shared" si="2"/>
        <v>0.10772292295473203</v>
      </c>
      <c r="AB43" s="1164">
        <v>2045</v>
      </c>
      <c r="AC43" s="704">
        <v>696.32292743131904</v>
      </c>
      <c r="AD43" s="536">
        <f>AC43/'MSW Integration Calcs PDS1 '!C38</f>
        <v>0.21564986618583734</v>
      </c>
      <c r="AE43" s="536">
        <f>AC43/'MSW Integration Calcs PDS1 '!AB38</f>
        <v>0.73126438177632158</v>
      </c>
      <c r="AK43" s="531">
        <f t="shared" si="11"/>
        <v>540.04209034223186</v>
      </c>
      <c r="AL43" s="536">
        <f>AK43/'MSW Integration Calcs PDS1 '!C38</f>
        <v>0.16724999268174903</v>
      </c>
      <c r="AW43" s="550"/>
    </row>
    <row r="44" spans="1:72" ht="15" customHeight="1" x14ac:dyDescent="0.6">
      <c r="A44" s="609">
        <v>2048</v>
      </c>
      <c r="B44" s="696">
        <v>80.530759037472308</v>
      </c>
      <c r="C44" s="697">
        <v>236.1</v>
      </c>
      <c r="D44" s="531">
        <f t="shared" si="3"/>
        <v>0</v>
      </c>
      <c r="E44" s="701">
        <v>1768.6</v>
      </c>
      <c r="F44" s="1203">
        <v>58.7</v>
      </c>
      <c r="G44" s="607">
        <f t="shared" si="9"/>
        <v>0</v>
      </c>
      <c r="H44" s="608">
        <f t="shared" si="4"/>
        <v>0</v>
      </c>
      <c r="I44" s="531">
        <f t="shared" si="0"/>
        <v>0</v>
      </c>
      <c r="J44" s="633">
        <v>0</v>
      </c>
      <c r="K44" s="531">
        <f t="shared" si="1"/>
        <v>0</v>
      </c>
      <c r="L44" s="531">
        <f t="shared" si="5"/>
        <v>0</v>
      </c>
      <c r="M44" s="531">
        <f t="shared" si="6"/>
        <v>0</v>
      </c>
      <c r="N44" s="633">
        <v>467.2</v>
      </c>
      <c r="O44" s="531">
        <f t="shared" si="7"/>
        <v>0</v>
      </c>
      <c r="Q44" s="536">
        <f t="shared" si="2"/>
        <v>0.11289332788952929</v>
      </c>
      <c r="AB44" s="1164">
        <v>2046</v>
      </c>
      <c r="AC44" s="704">
        <v>713.33497331458716</v>
      </c>
      <c r="AD44" s="536">
        <f>AC44/'MSW Integration Calcs PDS1 '!C39</f>
        <v>0.2183945869150633</v>
      </c>
      <c r="AE44" s="536">
        <f>AC44/'MSW Integration Calcs PDS1 '!AB39</f>
        <v>0.74537401677495962</v>
      </c>
      <c r="AK44" s="531">
        <f t="shared" si="11"/>
        <v>553.23599859639353</v>
      </c>
      <c r="AL44" s="536">
        <f>AK44/'MSW Integration Calcs PDS1 '!C39</f>
        <v>0.16937869570390116</v>
      </c>
      <c r="AW44" s="550"/>
    </row>
    <row r="45" spans="1:72" ht="15" customHeight="1" x14ac:dyDescent="0.6">
      <c r="A45" s="609">
        <v>2049</v>
      </c>
      <c r="B45" s="696">
        <v>86.254786886624061</v>
      </c>
      <c r="C45" s="697">
        <v>243.2</v>
      </c>
      <c r="D45" s="531">
        <f t="shared" si="3"/>
        <v>0</v>
      </c>
      <c r="E45" s="701">
        <v>1795</v>
      </c>
      <c r="F45" s="1203">
        <v>59.5</v>
      </c>
      <c r="G45" s="607">
        <f t="shared" si="9"/>
        <v>0</v>
      </c>
      <c r="H45" s="608">
        <f t="shared" si="4"/>
        <v>0</v>
      </c>
      <c r="I45" s="531">
        <f t="shared" si="0"/>
        <v>0</v>
      </c>
      <c r="J45" s="633">
        <v>0</v>
      </c>
      <c r="K45" s="531">
        <f t="shared" si="1"/>
        <v>0</v>
      </c>
      <c r="L45" s="531">
        <f t="shared" si="5"/>
        <v>0</v>
      </c>
      <c r="M45" s="531">
        <f t="shared" si="6"/>
        <v>0</v>
      </c>
      <c r="N45" s="633">
        <v>478.7</v>
      </c>
      <c r="O45" s="531">
        <f t="shared" si="7"/>
        <v>0</v>
      </c>
      <c r="Q45" s="536">
        <f t="shared" si="2"/>
        <v>0.11806423270501239</v>
      </c>
      <c r="AB45" s="1164">
        <v>2047</v>
      </c>
      <c r="AC45" s="704">
        <v>730.57508536166631</v>
      </c>
      <c r="AD45" s="536">
        <f>AC45/'MSW Integration Calcs PDS1 '!C40</f>
        <v>0.22117246244147529</v>
      </c>
      <c r="AE45" s="536">
        <f>AC45/'MSW Integration Calcs PDS1 '!AB40</f>
        <v>0.75978173288036821</v>
      </c>
      <c r="AK45" s="531">
        <f t="shared" si="11"/>
        <v>566.60678646055908</v>
      </c>
      <c r="AL45" s="536">
        <f>AK45/'MSW Integration Calcs PDS1 '!C40</f>
        <v>0.17153311235010876</v>
      </c>
      <c r="AW45" s="550"/>
    </row>
    <row r="46" spans="1:72" ht="15" customHeight="1" x14ac:dyDescent="0.6">
      <c r="A46" s="609">
        <v>2050</v>
      </c>
      <c r="B46" s="696">
        <v>92.182220376911573</v>
      </c>
      <c r="C46" s="697">
        <v>250.5</v>
      </c>
      <c r="D46" s="531">
        <f t="shared" si="3"/>
        <v>0</v>
      </c>
      <c r="E46" s="702">
        <v>1822.2</v>
      </c>
      <c r="F46" s="1203">
        <v>60.3</v>
      </c>
      <c r="G46" s="607">
        <f t="shared" si="9"/>
        <v>0</v>
      </c>
      <c r="H46" s="608">
        <f t="shared" si="4"/>
        <v>0</v>
      </c>
      <c r="I46" s="531">
        <f t="shared" si="0"/>
        <v>0</v>
      </c>
      <c r="J46" s="633">
        <v>0</v>
      </c>
      <c r="K46" s="531">
        <f t="shared" si="1"/>
        <v>0</v>
      </c>
      <c r="L46" s="531">
        <f t="shared" si="5"/>
        <v>0</v>
      </c>
      <c r="M46" s="531">
        <f t="shared" si="6"/>
        <v>0</v>
      </c>
      <c r="N46" s="633">
        <v>492.2</v>
      </c>
      <c r="O46" s="531">
        <f t="shared" si="7"/>
        <v>0</v>
      </c>
      <c r="Q46" s="536">
        <f t="shared" si="2"/>
        <v>0.12323201315776246</v>
      </c>
      <c r="AB46" s="1164">
        <v>2048</v>
      </c>
      <c r="AC46" s="704">
        <v>748.03793279672607</v>
      </c>
      <c r="AD46" s="536">
        <f>AC46/'MSW Integration Calcs PDS1 '!C41</f>
        <v>0.22397667951655004</v>
      </c>
      <c r="AE46" s="536">
        <f>AC46/'MSW Integration Calcs PDS1 '!AB41</f>
        <v>0.77446984618447423</v>
      </c>
      <c r="AK46" s="531">
        <f t="shared" si="11"/>
        <v>580.15031958382735</v>
      </c>
      <c r="AL46" s="536">
        <f>AK46/'MSW Integration Calcs PDS1 '!C41</f>
        <v>0.17370795851894488</v>
      </c>
      <c r="AW46" s="1" t="s">
        <v>341</v>
      </c>
    </row>
    <row r="47" spans="1:72" ht="15" customHeight="1" x14ac:dyDescent="0.6">
      <c r="A47" s="609">
        <v>2051</v>
      </c>
      <c r="B47" s="696">
        <v>98.313255274610128</v>
      </c>
      <c r="C47" s="697">
        <v>257.5</v>
      </c>
      <c r="D47" s="531">
        <f t="shared" si="3"/>
        <v>0</v>
      </c>
      <c r="E47" s="701">
        <v>1845.7</v>
      </c>
      <c r="F47" s="1203">
        <v>60.9</v>
      </c>
      <c r="G47" s="607">
        <f t="shared" si="9"/>
        <v>0</v>
      </c>
      <c r="H47" s="608">
        <f t="shared" si="4"/>
        <v>0</v>
      </c>
      <c r="I47" s="531">
        <f t="shared" si="0"/>
        <v>0</v>
      </c>
      <c r="J47" s="633">
        <v>0</v>
      </c>
      <c r="K47" s="531">
        <f t="shared" si="1"/>
        <v>0</v>
      </c>
      <c r="L47" s="531">
        <f t="shared" si="5"/>
        <v>0</v>
      </c>
      <c r="M47" s="531">
        <f t="shared" si="6"/>
        <v>0</v>
      </c>
      <c r="N47" s="633">
        <v>503.6</v>
      </c>
      <c r="O47" s="531">
        <f t="shared" si="7"/>
        <v>0</v>
      </c>
      <c r="Q47" s="536">
        <f t="shared" si="2"/>
        <v>0.12839355356967413</v>
      </c>
      <c r="AB47" s="1164">
        <v>2049</v>
      </c>
      <c r="AC47" s="704">
        <v>765.71800173175666</v>
      </c>
      <c r="AD47" s="536">
        <f>AC47/'MSW Integration Calcs PDS1 '!C42</f>
        <v>0.22680554083140106</v>
      </c>
      <c r="AE47" s="536">
        <f>AC47/'MSW Integration Calcs PDS1 '!AB42</f>
        <v>0.78943801194361629</v>
      </c>
      <c r="AK47" s="531">
        <f t="shared" si="11"/>
        <v>593.86232160032046</v>
      </c>
      <c r="AL47" s="536">
        <f>AK47/'MSW Integration Calcs PDS1 '!C42</f>
        <v>0.17590191784094508</v>
      </c>
    </row>
    <row r="48" spans="1:72" ht="15" customHeight="1" thickBot="1" x14ac:dyDescent="0.65">
      <c r="A48" s="609">
        <v>2052</v>
      </c>
      <c r="B48" s="696">
        <v>104.64808734576218</v>
      </c>
      <c r="C48" s="697">
        <v>255.2</v>
      </c>
      <c r="D48" s="531">
        <f t="shared" si="3"/>
        <v>0</v>
      </c>
      <c r="E48" s="701">
        <v>1869.2</v>
      </c>
      <c r="F48" s="1203">
        <v>61.6</v>
      </c>
      <c r="G48" s="607">
        <f t="shared" si="9"/>
        <v>0</v>
      </c>
      <c r="H48" s="608">
        <f t="shared" si="4"/>
        <v>0</v>
      </c>
      <c r="I48" s="531">
        <f t="shared" si="0"/>
        <v>0</v>
      </c>
      <c r="J48" s="633">
        <v>0</v>
      </c>
      <c r="K48" s="531">
        <f t="shared" si="1"/>
        <v>0</v>
      </c>
      <c r="L48" s="531">
        <f t="shared" si="5"/>
        <v>0</v>
      </c>
      <c r="M48" s="531">
        <f t="shared" si="6"/>
        <v>0</v>
      </c>
      <c r="N48" s="633">
        <v>517.20000000000005</v>
      </c>
      <c r="O48" s="531">
        <f t="shared" si="7"/>
        <v>0</v>
      </c>
      <c r="Q48" s="536">
        <f t="shared" si="2"/>
        <v>0.13376924875008714</v>
      </c>
      <c r="AB48" s="1164">
        <v>2050</v>
      </c>
      <c r="AC48" s="704">
        <v>782.30302048918406</v>
      </c>
      <c r="AD48" s="536">
        <f>AC48/'MSW Integration Calcs PDS1 '!C43</f>
        <v>0.22931934252337138</v>
      </c>
      <c r="AE48" s="536">
        <f>AC48/'MSW Integration Calcs PDS1 '!AB43</f>
        <v>0.8035015505373907</v>
      </c>
      <c r="AK48" s="531">
        <f t="shared" si="11"/>
        <v>606.72504354337991</v>
      </c>
      <c r="AL48" s="536">
        <f>AK48/'MSW Integration Calcs PDS1 '!C43</f>
        <v>0.17785152867085907</v>
      </c>
      <c r="AW48" s="537" t="s">
        <v>306</v>
      </c>
      <c r="AX48" s="538" t="s">
        <v>307</v>
      </c>
      <c r="AY48" s="539" t="s">
        <v>308</v>
      </c>
      <c r="AZ48" s="540" t="s">
        <v>309</v>
      </c>
      <c r="BA48" s="540" t="s">
        <v>310</v>
      </c>
      <c r="BB48" s="539" t="s">
        <v>311</v>
      </c>
      <c r="BC48" s="539" t="s">
        <v>312</v>
      </c>
      <c r="BD48" s="540" t="s">
        <v>313</v>
      </c>
      <c r="BE48" s="540" t="s">
        <v>314</v>
      </c>
      <c r="BF48" s="541" t="s">
        <v>315</v>
      </c>
      <c r="BG48" s="542" t="s">
        <v>222</v>
      </c>
      <c r="BH48" s="543" t="s">
        <v>316</v>
      </c>
      <c r="BI48" s="544" t="s">
        <v>317</v>
      </c>
      <c r="BK48" s="544" t="s">
        <v>318</v>
      </c>
      <c r="BL48" s="545"/>
      <c r="BM48" s="546" t="s">
        <v>319</v>
      </c>
      <c r="BN48" s="547" t="s">
        <v>320</v>
      </c>
      <c r="BO48" s="548" t="s">
        <v>321</v>
      </c>
    </row>
    <row r="49" spans="1:67" ht="15" customHeight="1" x14ac:dyDescent="0.6">
      <c r="A49" s="609">
        <v>2053</v>
      </c>
      <c r="B49" s="696">
        <v>111.18691235664301</v>
      </c>
      <c r="C49" s="697">
        <v>252.9</v>
      </c>
      <c r="D49" s="531">
        <f t="shared" si="3"/>
        <v>0</v>
      </c>
      <c r="E49" s="701">
        <v>1893.5</v>
      </c>
      <c r="F49" s="1203">
        <v>62.2</v>
      </c>
      <c r="G49" s="607">
        <f t="shared" si="9"/>
        <v>0</v>
      </c>
      <c r="H49" s="608">
        <f t="shared" si="4"/>
        <v>0</v>
      </c>
      <c r="I49" s="531">
        <f t="shared" si="0"/>
        <v>0</v>
      </c>
      <c r="J49" s="633">
        <v>0</v>
      </c>
      <c r="K49" s="531">
        <f t="shared" si="1"/>
        <v>0</v>
      </c>
      <c r="L49" s="531">
        <f t="shared" si="5"/>
        <v>0</v>
      </c>
      <c r="M49" s="531">
        <f t="shared" si="6"/>
        <v>0</v>
      </c>
      <c r="N49" s="633">
        <v>528.70000000000005</v>
      </c>
      <c r="O49" s="531">
        <f t="shared" si="7"/>
        <v>0</v>
      </c>
      <c r="Q49" s="536">
        <f t="shared" si="2"/>
        <v>0.13868768469234558</v>
      </c>
      <c r="AB49" s="1164">
        <v>2051</v>
      </c>
      <c r="AC49" s="704">
        <v>801.70717827824274</v>
      </c>
      <c r="AD49" s="536">
        <f>AC49/'MSW Integration Calcs PDS1 '!C44</f>
        <v>0.23253044562662784</v>
      </c>
      <c r="AE49" s="536">
        <f>AC49/'MSW Integration Calcs PDS1 '!AB44</f>
        <v>0.82021321208687037</v>
      </c>
      <c r="AK49" s="531">
        <f t="shared" si="11"/>
        <v>621.77418456820612</v>
      </c>
      <c r="AL49" s="536">
        <f>AK49/'MSW Integration Calcs PDS1 '!C44</f>
        <v>0.18034194046669655</v>
      </c>
      <c r="AW49" s="550">
        <v>1</v>
      </c>
      <c r="AX49" s="551"/>
      <c r="AY49" s="580" t="s">
        <v>342</v>
      </c>
      <c r="AZ49" s="581"/>
      <c r="BA49" s="552"/>
      <c r="BB49" s="552"/>
      <c r="BC49" s="553" t="s">
        <v>228</v>
      </c>
      <c r="BD49" s="554">
        <v>2019</v>
      </c>
      <c r="BE49" s="553"/>
      <c r="BF49" s="555">
        <v>0.55000000000000004</v>
      </c>
      <c r="BG49" s="556"/>
      <c r="BH49" s="557"/>
      <c r="BI49" s="556" t="s">
        <v>329</v>
      </c>
      <c r="BK49" s="558"/>
      <c r="BL49" s="558"/>
      <c r="BM49" s="559"/>
      <c r="BN49" s="560">
        <f>IF(BM49="Y","",IF(AND(BH49="",BF49=""),"",IF(BH49="",BF49,BH49)))</f>
        <v>0.55000000000000004</v>
      </c>
      <c r="BO49" s="561" t="str">
        <f t="shared" ref="BO49:BO68" si="13">IF(AND(BI49="",BG49=""),"",IF(BI49="",BG49,BI49))</f>
        <v>%</v>
      </c>
    </row>
    <row r="50" spans="1:67" ht="15" customHeight="1" x14ac:dyDescent="0.6">
      <c r="A50" s="609">
        <v>2054</v>
      </c>
      <c r="B50" s="696">
        <v>117.92992607335327</v>
      </c>
      <c r="C50" s="697">
        <v>250.6</v>
      </c>
      <c r="D50" s="531">
        <f t="shared" si="3"/>
        <v>0</v>
      </c>
      <c r="E50" s="701">
        <v>1917.7</v>
      </c>
      <c r="F50" s="1203">
        <v>62.9</v>
      </c>
      <c r="G50" s="607">
        <f t="shared" si="9"/>
        <v>0</v>
      </c>
      <c r="H50" s="608">
        <f t="shared" si="4"/>
        <v>0</v>
      </c>
      <c r="I50" s="531">
        <f t="shared" si="0"/>
        <v>0</v>
      </c>
      <c r="J50" s="633">
        <v>0</v>
      </c>
      <c r="K50" s="531">
        <f t="shared" si="1"/>
        <v>0</v>
      </c>
      <c r="L50" s="531">
        <f t="shared" si="5"/>
        <v>0</v>
      </c>
      <c r="M50" s="531">
        <f t="shared" si="6"/>
        <v>0</v>
      </c>
      <c r="N50" s="633">
        <v>538</v>
      </c>
      <c r="O50" s="531">
        <f t="shared" si="7"/>
        <v>0</v>
      </c>
      <c r="Q50" s="536">
        <f t="shared" si="2"/>
        <v>0.143816142397175</v>
      </c>
      <c r="AB50" s="1164">
        <v>2052</v>
      </c>
      <c r="AC50" s="704">
        <v>820.00479297843958</v>
      </c>
      <c r="AD50" s="536">
        <f>AC50/'MSW Integration Calcs PDS1 '!C45</f>
        <v>0.23542302933137754</v>
      </c>
      <c r="AE50" s="536">
        <f>AC50/'MSW Integration Calcs PDS1 '!AB45</f>
        <v>0.83601928029608485</v>
      </c>
      <c r="AK50" s="531">
        <f t="shared" si="11"/>
        <v>635.96513204630094</v>
      </c>
      <c r="AL50" s="536">
        <f>AK50/'MSW Integration Calcs PDS1 '!C45</f>
        <v>0.18258532049751849</v>
      </c>
      <c r="AW50" s="550">
        <v>2</v>
      </c>
      <c r="AX50" s="551"/>
      <c r="AY50" s="580" t="s">
        <v>342</v>
      </c>
      <c r="AZ50" s="552"/>
      <c r="BA50" s="552"/>
      <c r="BB50" s="552"/>
      <c r="BC50" s="553" t="s">
        <v>228</v>
      </c>
      <c r="BD50" s="554">
        <v>2019</v>
      </c>
      <c r="BE50" s="553"/>
      <c r="BF50" s="555">
        <v>0.31</v>
      </c>
      <c r="BG50" s="555"/>
      <c r="BH50" s="557"/>
      <c r="BI50" s="556" t="s">
        <v>329</v>
      </c>
      <c r="BK50" s="558"/>
      <c r="BL50" s="558"/>
      <c r="BM50" s="559"/>
      <c r="BN50" s="560">
        <f t="shared" ref="BN50:BN68" si="14">IF(BM50="Y","",IF(AND(BH50="",BF50=""),"",IF(BH50="",BF50,BH50)))</f>
        <v>0.31</v>
      </c>
      <c r="BO50" s="561" t="str">
        <f t="shared" si="13"/>
        <v>%</v>
      </c>
    </row>
    <row r="51" spans="1:67" ht="15" customHeight="1" x14ac:dyDescent="0.6">
      <c r="A51" s="609">
        <v>2055</v>
      </c>
      <c r="B51" s="696">
        <v>124.87732426216826</v>
      </c>
      <c r="C51" s="697">
        <v>248.3</v>
      </c>
      <c r="D51" s="531">
        <f t="shared" si="3"/>
        <v>0</v>
      </c>
      <c r="E51" s="701">
        <v>1934.1</v>
      </c>
      <c r="F51" s="1203">
        <v>63.4</v>
      </c>
      <c r="G51" s="607">
        <f t="shared" si="9"/>
        <v>0</v>
      </c>
      <c r="H51" s="608">
        <f t="shared" si="4"/>
        <v>0</v>
      </c>
      <c r="I51" s="531">
        <f t="shared" si="0"/>
        <v>0</v>
      </c>
      <c r="J51" s="633">
        <v>0</v>
      </c>
      <c r="K51" s="531">
        <f t="shared" si="1"/>
        <v>0</v>
      </c>
      <c r="L51" s="531">
        <f t="shared" si="5"/>
        <v>0</v>
      </c>
      <c r="M51" s="531">
        <f t="shared" si="6"/>
        <v>0</v>
      </c>
      <c r="N51" s="633">
        <v>542</v>
      </c>
      <c r="O51" s="531">
        <f t="shared" si="7"/>
        <v>0</v>
      </c>
      <c r="Q51" s="536">
        <f t="shared" si="2"/>
        <v>0.14893013487058834</v>
      </c>
      <c r="AB51" s="1164">
        <v>2053</v>
      </c>
      <c r="AC51" s="704">
        <v>838.49601271548852</v>
      </c>
      <c r="AD51" s="536">
        <f>AC51/'MSW Integration Calcs PDS1 '!C46</f>
        <v>0.23833339519314006</v>
      </c>
      <c r="AE51" s="536">
        <f>AC51/'MSW Integration Calcs PDS1 '!AB46</f>
        <v>0.85210366533121207</v>
      </c>
      <c r="AK51" s="531">
        <f t="shared" si="11"/>
        <v>650.30623236969711</v>
      </c>
      <c r="AL51" s="536">
        <f>AK51/'MSW Integration Calcs PDS1 '!C46</f>
        <v>0.18484249170606229</v>
      </c>
      <c r="AW51" s="550">
        <v>3</v>
      </c>
      <c r="AX51" s="551"/>
      <c r="AY51" s="580" t="s">
        <v>342</v>
      </c>
      <c r="AZ51" s="554"/>
      <c r="BA51" s="554"/>
      <c r="BB51" s="554"/>
      <c r="BC51" s="553" t="s">
        <v>228</v>
      </c>
      <c r="BD51" s="554">
        <v>2019</v>
      </c>
      <c r="BE51" s="563"/>
      <c r="BF51" s="564">
        <v>0.1</v>
      </c>
      <c r="BG51" s="564"/>
      <c r="BH51" s="557"/>
      <c r="BI51" s="556" t="s">
        <v>329</v>
      </c>
      <c r="BK51" s="558"/>
      <c r="BL51" s="558"/>
      <c r="BM51" s="559"/>
      <c r="BN51" s="560">
        <f t="shared" si="14"/>
        <v>0.1</v>
      </c>
      <c r="BO51" s="561" t="str">
        <f t="shared" si="13"/>
        <v>%</v>
      </c>
    </row>
    <row r="52" spans="1:67" ht="15" customHeight="1" x14ac:dyDescent="0.6">
      <c r="A52" s="609">
        <v>2056</v>
      </c>
      <c r="B52" s="696">
        <v>132.02930268924683</v>
      </c>
      <c r="C52" s="697">
        <v>246.1</v>
      </c>
      <c r="D52" s="531">
        <f t="shared" si="3"/>
        <v>0</v>
      </c>
      <c r="E52" s="701">
        <v>1957.6</v>
      </c>
      <c r="F52" s="1203">
        <v>64</v>
      </c>
      <c r="G52" s="607">
        <f t="shared" si="9"/>
        <v>0</v>
      </c>
      <c r="H52" s="608">
        <f t="shared" si="4"/>
        <v>0</v>
      </c>
      <c r="I52" s="531">
        <f t="shared" si="0"/>
        <v>0</v>
      </c>
      <c r="J52" s="633">
        <v>0</v>
      </c>
      <c r="K52" s="531">
        <f t="shared" si="1"/>
        <v>0</v>
      </c>
      <c r="L52" s="531">
        <f t="shared" si="5"/>
        <v>0</v>
      </c>
      <c r="M52" s="531">
        <f t="shared" si="6"/>
        <v>0</v>
      </c>
      <c r="N52" s="633">
        <v>547.4</v>
      </c>
      <c r="O52" s="531">
        <f t="shared" si="7"/>
        <v>0</v>
      </c>
      <c r="Q52" s="536">
        <f t="shared" si="2"/>
        <v>0.15402856450700542</v>
      </c>
      <c r="AB52" s="1164">
        <v>2054</v>
      </c>
      <c r="AC52" s="704">
        <v>857.17414241851213</v>
      </c>
      <c r="AD52" s="536">
        <f>AC52/'MSW Integration Calcs PDS1 '!C47</f>
        <v>0.24125983009184529</v>
      </c>
      <c r="AE52" s="536">
        <f>AC52/'MSW Integration Calcs PDS1 '!AB47</f>
        <v>0.86846591105775828</v>
      </c>
      <c r="AK52" s="531">
        <f t="shared" si="11"/>
        <v>664.7922930911418</v>
      </c>
      <c r="AL52" s="536">
        <f>AK52/'MSW Integration Calcs PDS1 '!C47</f>
        <v>0.18711212546029929</v>
      </c>
      <c r="AW52" s="550">
        <v>4</v>
      </c>
      <c r="AX52" s="551"/>
      <c r="AY52" s="580" t="s">
        <v>342</v>
      </c>
      <c r="AZ52" s="554"/>
      <c r="BA52" s="554"/>
      <c r="BB52" s="554"/>
      <c r="BC52" s="553" t="s">
        <v>228</v>
      </c>
      <c r="BD52" s="554">
        <v>2019</v>
      </c>
      <c r="BE52" s="563"/>
      <c r="BF52" s="564">
        <v>0.16400000000000001</v>
      </c>
      <c r="BG52" s="564"/>
      <c r="BH52" s="557"/>
      <c r="BI52" s="556" t="s">
        <v>329</v>
      </c>
      <c r="BK52" s="558"/>
      <c r="BL52" s="558"/>
      <c r="BM52" s="559"/>
      <c r="BN52" s="560">
        <f t="shared" si="14"/>
        <v>0.16400000000000001</v>
      </c>
      <c r="BO52" s="561" t="str">
        <f t="shared" si="13"/>
        <v>%</v>
      </c>
    </row>
    <row r="53" spans="1:67" ht="15" customHeight="1" x14ac:dyDescent="0.6">
      <c r="A53" s="609">
        <v>2057</v>
      </c>
      <c r="B53" s="696">
        <v>139.38605712068966</v>
      </c>
      <c r="C53" s="697">
        <v>243.9</v>
      </c>
      <c r="D53" s="531">
        <f t="shared" si="3"/>
        <v>0</v>
      </c>
      <c r="E53" s="701">
        <v>1981.9</v>
      </c>
      <c r="F53" s="1203">
        <v>64.7</v>
      </c>
      <c r="G53" s="607">
        <f t="shared" si="9"/>
        <v>0</v>
      </c>
      <c r="H53" s="608">
        <f t="shared" si="4"/>
        <v>0</v>
      </c>
      <c r="I53" s="531">
        <f t="shared" si="0"/>
        <v>0</v>
      </c>
      <c r="J53" s="633">
        <v>0</v>
      </c>
      <c r="K53" s="531">
        <f t="shared" si="1"/>
        <v>0</v>
      </c>
      <c r="L53" s="531">
        <f t="shared" si="5"/>
        <v>0</v>
      </c>
      <c r="M53" s="531">
        <f t="shared" si="6"/>
        <v>0</v>
      </c>
      <c r="N53" s="633">
        <v>552.6</v>
      </c>
      <c r="O53" s="531">
        <f t="shared" si="7"/>
        <v>0</v>
      </c>
      <c r="Q53" s="536">
        <f t="shared" si="2"/>
        <v>0.159110566994979</v>
      </c>
      <c r="AB53" s="1164">
        <v>2055</v>
      </c>
      <c r="AC53" s="704">
        <v>876.03268439793965</v>
      </c>
      <c r="AD53" s="536">
        <f>AC53/'MSW Integration Calcs PDS1 '!C48</f>
        <v>0.24420067288576114</v>
      </c>
      <c r="AE53" s="536">
        <f>AC53/'MSW Integration Calcs PDS1 '!AB48</f>
        <v>0.88510573717202279</v>
      </c>
      <c r="AK53" s="531">
        <f t="shared" si="11"/>
        <v>679.41827484496139</v>
      </c>
      <c r="AL53" s="536">
        <f>AK53/'MSW Integration Calcs PDS1 '!C48</f>
        <v>0.18939293344066099</v>
      </c>
      <c r="AW53" s="550">
        <v>5</v>
      </c>
      <c r="AX53" s="551"/>
      <c r="AY53" s="580" t="s">
        <v>342</v>
      </c>
      <c r="AZ53" s="582"/>
      <c r="BA53" s="554"/>
      <c r="BB53" s="554"/>
      <c r="BC53" s="553" t="s">
        <v>228</v>
      </c>
      <c r="BD53" s="554">
        <v>2019</v>
      </c>
      <c r="BE53" s="563"/>
      <c r="BF53" s="564">
        <v>0.11</v>
      </c>
      <c r="BG53" s="564"/>
      <c r="BH53" s="557"/>
      <c r="BI53" s="556" t="s">
        <v>329</v>
      </c>
      <c r="BK53" s="558"/>
      <c r="BL53" s="558"/>
      <c r="BM53" s="559"/>
      <c r="BN53" s="560">
        <f t="shared" si="14"/>
        <v>0.11</v>
      </c>
      <c r="BO53" s="561" t="str">
        <f t="shared" si="13"/>
        <v>%</v>
      </c>
    </row>
    <row r="54" spans="1:67" ht="15" customHeight="1" x14ac:dyDescent="0.6">
      <c r="A54" s="609">
        <v>2058</v>
      </c>
      <c r="B54" s="696">
        <v>146.94778332277201</v>
      </c>
      <c r="C54" s="697">
        <v>241.7</v>
      </c>
      <c r="D54" s="531">
        <f t="shared" si="3"/>
        <v>0</v>
      </c>
      <c r="E54" s="701">
        <v>2005.4</v>
      </c>
      <c r="F54" s="1203">
        <v>65.3</v>
      </c>
      <c r="G54" s="607">
        <f t="shared" si="9"/>
        <v>0</v>
      </c>
      <c r="H54" s="608">
        <f t="shared" si="4"/>
        <v>0</v>
      </c>
      <c r="I54" s="531">
        <f t="shared" si="0"/>
        <v>0</v>
      </c>
      <c r="J54" s="633">
        <v>0</v>
      </c>
      <c r="K54" s="531">
        <f t="shared" si="1"/>
        <v>0</v>
      </c>
      <c r="L54" s="531">
        <f t="shared" si="5"/>
        <v>0</v>
      </c>
      <c r="M54" s="531">
        <f t="shared" si="6"/>
        <v>0</v>
      </c>
      <c r="N54" s="633">
        <v>556.70000000000005</v>
      </c>
      <c r="O54" s="531">
        <f t="shared" si="7"/>
        <v>0</v>
      </c>
      <c r="Q54" s="536">
        <f t="shared" si="2"/>
        <v>0.1641754464421446</v>
      </c>
      <c r="AB54" s="1164">
        <v>2056</v>
      </c>
      <c r="AC54" s="704">
        <v>895.06553207124296</v>
      </c>
      <c r="AD54" s="536">
        <f>AC54/'MSW Integration Calcs PDS1 '!C49</f>
        <v>0.24715438603150447</v>
      </c>
      <c r="AE54" s="536">
        <f>AC54/'MSW Integration Calcs PDS1 '!AB49</f>
        <v>0.90202330668432285</v>
      </c>
      <c r="AK54" s="531">
        <f t="shared" si="11"/>
        <v>694.17944159351691</v>
      </c>
      <c r="AL54" s="536">
        <f>AK54/'MSW Integration Calcs PDS1 '!C49</f>
        <v>0.19168372318584845</v>
      </c>
      <c r="AW54" s="550">
        <v>6</v>
      </c>
      <c r="AX54" s="551"/>
      <c r="AY54" s="580" t="s">
        <v>342</v>
      </c>
      <c r="AZ54" s="582"/>
      <c r="BA54" s="554"/>
      <c r="BB54" s="554"/>
      <c r="BC54" s="553" t="s">
        <v>228</v>
      </c>
      <c r="BD54" s="554">
        <v>2019</v>
      </c>
      <c r="BE54" s="563"/>
      <c r="BF54" s="564">
        <v>0.17150000000000001</v>
      </c>
      <c r="BG54" s="564"/>
      <c r="BH54" s="557"/>
      <c r="BI54" s="556" t="s">
        <v>329</v>
      </c>
      <c r="BK54" s="558"/>
      <c r="BL54" s="558"/>
      <c r="BM54" s="559"/>
      <c r="BN54" s="560">
        <f t="shared" si="14"/>
        <v>0.17150000000000001</v>
      </c>
      <c r="BO54" s="561" t="str">
        <f t="shared" si="13"/>
        <v>%</v>
      </c>
    </row>
    <row r="55" spans="1:67" ht="15" customHeight="1" x14ac:dyDescent="0.6">
      <c r="A55" s="609">
        <v>2059</v>
      </c>
      <c r="B55" s="696">
        <v>154.71467706159456</v>
      </c>
      <c r="C55" s="697">
        <v>239.7</v>
      </c>
      <c r="D55" s="531">
        <f t="shared" si="3"/>
        <v>0</v>
      </c>
      <c r="E55" s="701">
        <v>2030.4</v>
      </c>
      <c r="F55" s="1203">
        <v>66</v>
      </c>
      <c r="G55" s="607">
        <f t="shared" si="9"/>
        <v>0</v>
      </c>
      <c r="H55" s="608">
        <f t="shared" si="4"/>
        <v>0</v>
      </c>
      <c r="I55" s="531">
        <f t="shared" si="0"/>
        <v>0</v>
      </c>
      <c r="J55" s="633">
        <v>0</v>
      </c>
      <c r="K55" s="531">
        <f t="shared" si="1"/>
        <v>0</v>
      </c>
      <c r="L55" s="531">
        <f t="shared" si="5"/>
        <v>0</v>
      </c>
      <c r="M55" s="531">
        <f t="shared" si="6"/>
        <v>0</v>
      </c>
      <c r="N55" s="633">
        <v>561</v>
      </c>
      <c r="O55" s="531">
        <f t="shared" si="7"/>
        <v>0</v>
      </c>
      <c r="Q55" s="536">
        <f t="shared" si="2"/>
        <v>0.1692226603204241</v>
      </c>
      <c r="AB55" s="1164">
        <v>2057</v>
      </c>
      <c r="AC55" s="704">
        <v>914.26690000406222</v>
      </c>
      <c r="AD55" s="536">
        <f>AC55/'MSW Integration Calcs PDS1 '!C50</f>
        <v>0.25011944643218631</v>
      </c>
      <c r="AE55" s="536">
        <f>AC55/'MSW Integration Calcs PDS1 '!AB50</f>
        <v>0.91921884025059286</v>
      </c>
      <c r="AK55" s="531">
        <f t="shared" si="11"/>
        <v>709.07130636970987</v>
      </c>
      <c r="AL55" s="536">
        <f>AK55/'MSW Integration Calcs PDS1 '!C50</f>
        <v>0.19398331343872452</v>
      </c>
      <c r="AW55" s="550">
        <v>7</v>
      </c>
      <c r="AX55" s="551"/>
      <c r="AY55" s="580" t="s">
        <v>342</v>
      </c>
      <c r="AZ55" s="554"/>
      <c r="BA55" s="554"/>
      <c r="BB55" s="554"/>
      <c r="BC55" s="553" t="s">
        <v>228</v>
      </c>
      <c r="BD55" s="554">
        <v>2019</v>
      </c>
      <c r="BE55" s="563"/>
      <c r="BF55" s="564">
        <v>0.70199999999999996</v>
      </c>
      <c r="BG55" s="564"/>
      <c r="BH55" s="557"/>
      <c r="BI55" s="556" t="s">
        <v>329</v>
      </c>
      <c r="BK55" s="558"/>
      <c r="BL55" s="558"/>
      <c r="BM55" s="559"/>
      <c r="BN55" s="560">
        <f t="shared" si="14"/>
        <v>0.70199999999999996</v>
      </c>
      <c r="BO55" s="561" t="str">
        <f t="shared" si="13"/>
        <v>%</v>
      </c>
    </row>
    <row r="56" spans="1:67" ht="15" customHeight="1" x14ac:dyDescent="0.6">
      <c r="A56" s="609">
        <v>2060</v>
      </c>
      <c r="B56" s="696">
        <v>162.68693410337437</v>
      </c>
      <c r="C56" s="697">
        <v>237.6</v>
      </c>
      <c r="D56" s="531">
        <f t="shared" si="3"/>
        <v>0</v>
      </c>
      <c r="E56" s="701">
        <v>2053.9</v>
      </c>
      <c r="F56" s="1203">
        <v>66.7</v>
      </c>
      <c r="G56" s="607">
        <f t="shared" si="9"/>
        <v>0</v>
      </c>
      <c r="H56" s="608">
        <f t="shared" si="4"/>
        <v>0</v>
      </c>
      <c r="I56" s="531">
        <f t="shared" si="0"/>
        <v>0</v>
      </c>
      <c r="J56" s="633">
        <v>0</v>
      </c>
      <c r="K56" s="531">
        <f t="shared" si="1"/>
        <v>0</v>
      </c>
      <c r="L56" s="531">
        <f t="shared" si="5"/>
        <v>0</v>
      </c>
      <c r="M56" s="531">
        <f t="shared" si="6"/>
        <v>0</v>
      </c>
      <c r="N56" s="633">
        <v>565.29999999999995</v>
      </c>
      <c r="O56" s="531">
        <f t="shared" si="7"/>
        <v>0</v>
      </c>
      <c r="Q56" s="536">
        <f t="shared" si="2"/>
        <v>0.17425185345123387</v>
      </c>
      <c r="AB56" s="1164">
        <v>2058</v>
      </c>
      <c r="AC56" s="704">
        <v>933.6310109832142</v>
      </c>
      <c r="AD56" s="536">
        <f>AC56/'MSW Integration Calcs PDS1 '!C51</f>
        <v>0.25309422805586873</v>
      </c>
      <c r="AE56" s="536">
        <f>AC56/'MSW Integration Calcs PDS1 '!AB51</f>
        <v>0.93669218377449581</v>
      </c>
      <c r="AK56" s="531">
        <f t="shared" si="11"/>
        <v>724.08938858247984</v>
      </c>
      <c r="AL56" s="536">
        <f>AK56/'MSW Integration Calcs PDS1 '!C51</f>
        <v>0.19629044310956764</v>
      </c>
      <c r="AW56" s="550">
        <v>8</v>
      </c>
      <c r="AX56" s="551"/>
      <c r="AY56" s="580" t="s">
        <v>342</v>
      </c>
      <c r="AZ56" s="554"/>
      <c r="BA56" s="554"/>
      <c r="BB56" s="554"/>
      <c r="BC56" s="553" t="s">
        <v>228</v>
      </c>
      <c r="BD56" s="554">
        <v>2019</v>
      </c>
      <c r="BE56" s="563"/>
      <c r="BF56" s="564">
        <v>5.5E-2</v>
      </c>
      <c r="BG56" s="564"/>
      <c r="BH56" s="557"/>
      <c r="BI56" s="556" t="s">
        <v>329</v>
      </c>
      <c r="BK56" s="558"/>
      <c r="BL56" s="558"/>
      <c r="BM56" s="559"/>
      <c r="BN56" s="560">
        <f t="shared" si="14"/>
        <v>5.5E-2</v>
      </c>
      <c r="BO56" s="561" t="str">
        <f t="shared" si="13"/>
        <v>%</v>
      </c>
    </row>
    <row r="57" spans="1:67" ht="15" customHeight="1" x14ac:dyDescent="0.45">
      <c r="AB57" s="1164">
        <v>2059</v>
      </c>
      <c r="AC57" s="704">
        <v>953.15222357862706</v>
      </c>
      <c r="AD57" s="536">
        <f>AC57/'MSW Integration Calcs PDS1 '!C52</f>
        <v>0.25607707598562712</v>
      </c>
      <c r="AE57" s="536">
        <f>AC57/'MSW Integration Calcs PDS1 '!AB52</f>
        <v>0.9544430711353975</v>
      </c>
      <c r="AK57" s="531">
        <f t="shared" si="11"/>
        <v>739.22931294908301</v>
      </c>
      <c r="AL57" s="536">
        <f>AK57/'MSW Integration Calcs PDS1 '!C52</f>
        <v>0.19860382870653781</v>
      </c>
      <c r="AW57" s="550">
        <v>9</v>
      </c>
      <c r="AX57" s="551" t="str">
        <f t="shared" ref="AX57:AX68" si="15">CONCATENATE(BA57,": ",AY57)</f>
        <v>: S.S. Costa, A.L. Miranda, M.G. de Morais, et al., Microalgae as source of polyhydroxyalkanoates (PHAs) — A review, International Journal of Biological Macromolecules</v>
      </c>
      <c r="AY57" s="580" t="s">
        <v>342</v>
      </c>
      <c r="AZ57" s="554"/>
      <c r="BA57" s="554"/>
      <c r="BB57" s="554"/>
      <c r="BC57" s="553" t="s">
        <v>228</v>
      </c>
      <c r="BD57" s="554">
        <v>2019</v>
      </c>
      <c r="BE57" s="563"/>
      <c r="BF57" s="564">
        <v>0.31</v>
      </c>
      <c r="BG57" s="564"/>
      <c r="BH57" s="557"/>
      <c r="BI57" s="556" t="s">
        <v>329</v>
      </c>
      <c r="BK57" s="558"/>
      <c r="BL57" s="558"/>
      <c r="BM57" s="559"/>
      <c r="BN57" s="560">
        <f t="shared" si="14"/>
        <v>0.31</v>
      </c>
      <c r="BO57" s="561" t="str">
        <f t="shared" si="13"/>
        <v>%</v>
      </c>
    </row>
    <row r="58" spans="1:67" ht="15" customHeight="1" x14ac:dyDescent="0.45">
      <c r="A58" s="1" t="s">
        <v>347</v>
      </c>
      <c r="AB58" s="1164">
        <v>2060</v>
      </c>
      <c r="AC58" s="704">
        <v>972.82486549819862</v>
      </c>
      <c r="AD58" s="536">
        <f>AC58/'MSW Integration Calcs PDS1 '!C53</f>
        <v>0.25906638835164814</v>
      </c>
      <c r="AE58" s="536">
        <f>AC58/'MSW Integration Calcs PDS1 '!AB53</f>
        <v>0.97247142774642703</v>
      </c>
      <c r="AK58" s="531">
        <f t="shared" si="11"/>
        <v>754.48668025133588</v>
      </c>
      <c r="AL58" s="536">
        <f>AK58/'MSW Integration Calcs PDS1 '!C53</f>
        <v>0.20092222787915598</v>
      </c>
      <c r="AW58" s="550">
        <v>10</v>
      </c>
      <c r="AX58" s="551" t="str">
        <f t="shared" si="15"/>
        <v>: S.S. Costa, A.L. Miranda, M.G. de Morais, et al., Microalgae as source of polyhydroxyalkanoates (PHAs) — A review, International Journal of Biological Macromolecules</v>
      </c>
      <c r="AY58" s="580" t="s">
        <v>342</v>
      </c>
      <c r="AZ58" s="554"/>
      <c r="BA58" s="554"/>
      <c r="BB58" s="554"/>
      <c r="BC58" s="553" t="s">
        <v>228</v>
      </c>
      <c r="BD58" s="554">
        <v>2019</v>
      </c>
      <c r="BE58" s="563"/>
      <c r="BF58" s="564">
        <v>7.4499999999999997E-2</v>
      </c>
      <c r="BG58" s="564"/>
      <c r="BH58" s="557"/>
      <c r="BI58" s="556" t="s">
        <v>329</v>
      </c>
      <c r="BK58" s="558"/>
      <c r="BL58" s="558"/>
      <c r="BM58" s="559"/>
      <c r="BN58" s="560">
        <f t="shared" si="14"/>
        <v>7.4499999999999997E-2</v>
      </c>
      <c r="BO58" s="561" t="str">
        <f t="shared" si="13"/>
        <v>%</v>
      </c>
    </row>
    <row r="59" spans="1:67" ht="100" customHeight="1" x14ac:dyDescent="0.45">
      <c r="B59" s="899" t="s">
        <v>1076</v>
      </c>
      <c r="C59" s="735" t="s">
        <v>384</v>
      </c>
      <c r="D59" s="735" t="s">
        <v>386</v>
      </c>
      <c r="E59" s="735" t="s">
        <v>1080</v>
      </c>
      <c r="F59" s="1204" t="s">
        <v>1116</v>
      </c>
      <c r="G59" s="735" t="s">
        <v>385</v>
      </c>
      <c r="H59" s="1204" t="s">
        <v>1081</v>
      </c>
      <c r="I59" s="735" t="s">
        <v>350</v>
      </c>
      <c r="J59" s="1210" t="s">
        <v>1118</v>
      </c>
      <c r="K59" s="735" t="s">
        <v>343</v>
      </c>
      <c r="L59" s="735" t="s">
        <v>344</v>
      </c>
      <c r="M59" s="735" t="s">
        <v>345</v>
      </c>
      <c r="N59" s="1204" t="s">
        <v>1117</v>
      </c>
      <c r="O59" s="735" t="s">
        <v>346</v>
      </c>
      <c r="Q59" s="735" t="s">
        <v>352</v>
      </c>
      <c r="AW59" s="550">
        <v>11</v>
      </c>
      <c r="AX59" s="551" t="str">
        <f t="shared" si="15"/>
        <v>: S.S. Costa, A.L. Miranda, M.G. de Morais, et al., Microalgae as source of polyhydroxyalkanoates (PHAs) — A review, International Journal of Biological Macromolecules</v>
      </c>
      <c r="AY59" s="580" t="s">
        <v>342</v>
      </c>
      <c r="AZ59" s="554"/>
      <c r="BA59" s="554"/>
      <c r="BB59" s="554"/>
      <c r="BC59" s="553" t="s">
        <v>228</v>
      </c>
      <c r="BD59" s="554">
        <v>2019</v>
      </c>
      <c r="BE59" s="563"/>
      <c r="BF59" s="564">
        <v>0.307</v>
      </c>
      <c r="BG59" s="564"/>
      <c r="BH59" s="557"/>
      <c r="BI59" s="556" t="s">
        <v>329</v>
      </c>
      <c r="BK59" s="558"/>
      <c r="BL59" s="558"/>
      <c r="BM59" s="559"/>
      <c r="BN59" s="560">
        <f t="shared" si="14"/>
        <v>0.307</v>
      </c>
      <c r="BO59" s="561" t="str">
        <f t="shared" si="13"/>
        <v>%</v>
      </c>
    </row>
    <row r="60" spans="1:67" ht="15" customHeight="1" x14ac:dyDescent="0.6">
      <c r="A60" s="609">
        <v>2014</v>
      </c>
      <c r="B60" s="696">
        <v>1.67</v>
      </c>
      <c r="C60" s="697">
        <v>117.2</v>
      </c>
      <c r="D60" s="531">
        <f>IF((B60-C60)&lt;0,0,(B60-C60))</f>
        <v>0</v>
      </c>
      <c r="E60" s="699">
        <v>903.9</v>
      </c>
      <c r="F60" s="1211">
        <v>32.5</v>
      </c>
      <c r="G60" s="606">
        <f>D60/E60</f>
        <v>0</v>
      </c>
      <c r="H60" s="608">
        <f>G60*E60</f>
        <v>0</v>
      </c>
      <c r="I60" s="531">
        <f t="shared" ref="I60:I106" si="16">IF(H60&gt;D60,0,D60-H60)</f>
        <v>0</v>
      </c>
      <c r="J60" s="633">
        <v>0</v>
      </c>
      <c r="K60" s="531">
        <f>J60*$BN$69</f>
        <v>0</v>
      </c>
      <c r="L60" s="531">
        <f>MIN(I60,K60)</f>
        <v>0</v>
      </c>
      <c r="M60" s="531">
        <f t="shared" ref="M60:M106" si="17">I60-L60</f>
        <v>0</v>
      </c>
      <c r="N60" s="633">
        <v>89.5</v>
      </c>
      <c r="O60" s="531">
        <f>M60/$BN$31</f>
        <v>0</v>
      </c>
      <c r="Q60" s="536">
        <f t="shared" ref="Q60:Q106" si="18">B60/AC10</f>
        <v>5.7986111111111112E-3</v>
      </c>
      <c r="AW60" s="550">
        <v>12</v>
      </c>
      <c r="AX60" s="551" t="str">
        <f t="shared" si="15"/>
        <v>: S.S. Costa, A.L. Miranda, M.G. de Morais, et al., Microalgae as source of polyhydroxyalkanoates (PHAs) — A review, International Journal of Biological Macromolecules</v>
      </c>
      <c r="AY60" s="580" t="s">
        <v>342</v>
      </c>
      <c r="AZ60" s="554"/>
      <c r="BA60" s="554"/>
      <c r="BB60" s="554"/>
      <c r="BC60" s="553" t="s">
        <v>228</v>
      </c>
      <c r="BD60" s="554">
        <v>2019</v>
      </c>
      <c r="BE60" s="563"/>
      <c r="BF60" s="564">
        <v>0.69</v>
      </c>
      <c r="BG60" s="564"/>
      <c r="BH60" s="557"/>
      <c r="BI60" s="556" t="s">
        <v>329</v>
      </c>
      <c r="BK60" s="558"/>
      <c r="BL60" s="558"/>
      <c r="BM60" s="559"/>
      <c r="BN60" s="560">
        <f t="shared" si="14"/>
        <v>0.69</v>
      </c>
      <c r="BO60" s="561" t="str">
        <f t="shared" si="13"/>
        <v>%</v>
      </c>
    </row>
    <row r="61" spans="1:67" ht="15" customHeight="1" x14ac:dyDescent="0.6">
      <c r="A61" s="609">
        <v>2015</v>
      </c>
      <c r="B61" s="696">
        <v>2.0299999999999998</v>
      </c>
      <c r="C61" s="697">
        <v>114.7</v>
      </c>
      <c r="D61" s="531">
        <f t="shared" ref="D61:D106" si="19">IF((B61-C61)&lt;0,0,(B61-C61))</f>
        <v>0</v>
      </c>
      <c r="E61" s="699">
        <v>903.9</v>
      </c>
      <c r="F61" s="1211">
        <v>32.5</v>
      </c>
      <c r="G61" s="606">
        <f t="shared" ref="G61:G106" si="20">D61/E61</f>
        <v>0</v>
      </c>
      <c r="H61" s="608">
        <f t="shared" ref="H61:H106" si="21">G61*E61</f>
        <v>0</v>
      </c>
      <c r="I61" s="531">
        <f t="shared" si="16"/>
        <v>0</v>
      </c>
      <c r="J61" s="633">
        <v>0</v>
      </c>
      <c r="K61" s="531">
        <f t="shared" ref="K61:K106" si="22">J61*$BN$69</f>
        <v>0</v>
      </c>
      <c r="L61" s="531">
        <f t="shared" ref="L61:L106" si="23">MIN(I61,K61)</f>
        <v>0</v>
      </c>
      <c r="M61" s="531">
        <f t="shared" si="17"/>
        <v>0</v>
      </c>
      <c r="N61" s="633">
        <v>90.3</v>
      </c>
      <c r="O61" s="531">
        <f t="shared" ref="O61:O106" si="24">M61/$BN$31</f>
        <v>0</v>
      </c>
      <c r="Q61" s="536">
        <f t="shared" si="18"/>
        <v>6.7892976588628754E-3</v>
      </c>
      <c r="AW61" s="550">
        <v>13</v>
      </c>
      <c r="AX61" s="551" t="str">
        <f t="shared" si="15"/>
        <v>: S.S. Costa, A.L. Miranda, M.G. de Morais, et al., Microalgae as source of polyhydroxyalkanoates (PHAs) — A review, International Journal of Biological Macromolecules</v>
      </c>
      <c r="AY61" s="580" t="s">
        <v>342</v>
      </c>
      <c r="AZ61" s="554"/>
      <c r="BA61" s="554"/>
      <c r="BB61" s="554"/>
      <c r="BC61" s="553" t="s">
        <v>228</v>
      </c>
      <c r="BD61" s="554">
        <v>2019</v>
      </c>
      <c r="BE61" s="563"/>
      <c r="BF61" s="564">
        <v>0.05</v>
      </c>
      <c r="BG61" s="564"/>
      <c r="BH61" s="565"/>
      <c r="BI61" s="556" t="s">
        <v>329</v>
      </c>
      <c r="BK61" s="558"/>
      <c r="BL61" s="558"/>
      <c r="BM61" s="559"/>
      <c r="BN61" s="560">
        <f t="shared" si="14"/>
        <v>0.05</v>
      </c>
      <c r="BO61" s="561" t="str">
        <f t="shared" si="13"/>
        <v>%</v>
      </c>
    </row>
    <row r="62" spans="1:67" ht="15" customHeight="1" x14ac:dyDescent="0.6">
      <c r="A62" s="609">
        <v>2016</v>
      </c>
      <c r="B62" s="696">
        <v>2.0499999999999998</v>
      </c>
      <c r="C62" s="697">
        <v>110.4</v>
      </c>
      <c r="D62" s="531">
        <f t="shared" si="19"/>
        <v>0</v>
      </c>
      <c r="E62" s="699">
        <v>903.9</v>
      </c>
      <c r="F62" s="1211">
        <v>32.5</v>
      </c>
      <c r="G62" s="606">
        <f t="shared" si="20"/>
        <v>0</v>
      </c>
      <c r="H62" s="608">
        <f t="shared" si="21"/>
        <v>0</v>
      </c>
      <c r="I62" s="531">
        <f t="shared" si="16"/>
        <v>0</v>
      </c>
      <c r="J62" s="633">
        <v>0</v>
      </c>
      <c r="K62" s="531">
        <f t="shared" si="22"/>
        <v>0</v>
      </c>
      <c r="L62" s="531">
        <f t="shared" si="23"/>
        <v>0</v>
      </c>
      <c r="M62" s="531">
        <f t="shared" si="17"/>
        <v>0</v>
      </c>
      <c r="N62" s="633">
        <v>91.7</v>
      </c>
      <c r="O62" s="531">
        <f t="shared" si="24"/>
        <v>0</v>
      </c>
      <c r="Q62" s="536">
        <f t="shared" si="18"/>
        <v>6.591639871382636E-3</v>
      </c>
      <c r="AW62" s="550">
        <v>14</v>
      </c>
      <c r="AX62" s="551" t="str">
        <f t="shared" si="15"/>
        <v>: S.S. Costa, A.L. Miranda, M.G. de Morais, et al., Microalgae as source of polyhydroxyalkanoates (PHAs) — A review, International Journal of Biological Macromolecules</v>
      </c>
      <c r="AY62" s="580" t="s">
        <v>342</v>
      </c>
      <c r="AZ62" s="554"/>
      <c r="BA62" s="554"/>
      <c r="BB62" s="554"/>
      <c r="BC62" s="553" t="s">
        <v>228</v>
      </c>
      <c r="BD62" s="554">
        <v>2019</v>
      </c>
      <c r="BE62" s="563"/>
      <c r="BF62" s="564">
        <v>0.43</v>
      </c>
      <c r="BG62" s="564"/>
      <c r="BH62" s="565"/>
      <c r="BI62" s="556" t="s">
        <v>329</v>
      </c>
      <c r="BK62" s="558"/>
      <c r="BL62" s="558"/>
      <c r="BM62" s="559"/>
      <c r="BN62" s="560">
        <f t="shared" si="14"/>
        <v>0.43</v>
      </c>
      <c r="BO62" s="561" t="str">
        <f t="shared" si="13"/>
        <v>%</v>
      </c>
    </row>
    <row r="63" spans="1:67" ht="15" customHeight="1" x14ac:dyDescent="0.6">
      <c r="A63" s="609">
        <v>2017</v>
      </c>
      <c r="B63" s="696">
        <v>2.27</v>
      </c>
      <c r="C63" s="697">
        <v>106.4</v>
      </c>
      <c r="D63" s="531">
        <f t="shared" si="19"/>
        <v>0</v>
      </c>
      <c r="E63" s="699">
        <v>903.9</v>
      </c>
      <c r="F63" s="1211">
        <v>32.5</v>
      </c>
      <c r="G63" s="606">
        <f t="shared" si="20"/>
        <v>0</v>
      </c>
      <c r="H63" s="608">
        <f t="shared" si="21"/>
        <v>0</v>
      </c>
      <c r="I63" s="531">
        <f t="shared" si="16"/>
        <v>0</v>
      </c>
      <c r="J63" s="633">
        <v>0</v>
      </c>
      <c r="K63" s="531">
        <f t="shared" si="22"/>
        <v>0</v>
      </c>
      <c r="L63" s="531">
        <f t="shared" si="23"/>
        <v>0</v>
      </c>
      <c r="M63" s="531">
        <f t="shared" si="17"/>
        <v>0</v>
      </c>
      <c r="N63" s="633">
        <v>92.3</v>
      </c>
      <c r="O63" s="531">
        <f t="shared" si="24"/>
        <v>0</v>
      </c>
      <c r="Q63" s="536">
        <f t="shared" si="18"/>
        <v>7.0496894409937888E-3</v>
      </c>
      <c r="AW63" s="550">
        <v>15</v>
      </c>
      <c r="AX63" s="551" t="str">
        <f t="shared" si="15"/>
        <v>: S.S. Costa, A.L. Miranda, M.G. de Morais, et al., Microalgae as source of polyhydroxyalkanoates (PHAs) — A review, International Journal of Biological Macromolecules</v>
      </c>
      <c r="AY63" s="580" t="s">
        <v>342</v>
      </c>
      <c r="AZ63" s="554"/>
      <c r="BA63" s="554"/>
      <c r="BB63" s="554"/>
      <c r="BC63" s="553" t="s">
        <v>228</v>
      </c>
      <c r="BD63" s="554">
        <v>2019</v>
      </c>
      <c r="BE63" s="563"/>
      <c r="BF63" s="564">
        <v>0.12</v>
      </c>
      <c r="BG63" s="564"/>
      <c r="BH63" s="565"/>
      <c r="BI63" s="556" t="s">
        <v>329</v>
      </c>
      <c r="BK63" s="558"/>
      <c r="BL63" s="558"/>
      <c r="BM63" s="559"/>
      <c r="BN63" s="560">
        <f t="shared" si="14"/>
        <v>0.12</v>
      </c>
      <c r="BO63" s="561" t="str">
        <f t="shared" si="13"/>
        <v>%</v>
      </c>
    </row>
    <row r="64" spans="1:67" ht="15" customHeight="1" x14ac:dyDescent="0.6">
      <c r="A64" s="609">
        <v>2018</v>
      </c>
      <c r="B64" s="696">
        <v>2.1100000000000136</v>
      </c>
      <c r="C64" s="697">
        <v>102.8</v>
      </c>
      <c r="D64" s="531">
        <f t="shared" si="19"/>
        <v>0</v>
      </c>
      <c r="E64" s="699">
        <v>903.9</v>
      </c>
      <c r="F64" s="1211">
        <v>32.5</v>
      </c>
      <c r="G64" s="606">
        <f t="shared" si="20"/>
        <v>0</v>
      </c>
      <c r="H64" s="608">
        <f t="shared" si="21"/>
        <v>0</v>
      </c>
      <c r="I64" s="531">
        <f t="shared" si="16"/>
        <v>0</v>
      </c>
      <c r="J64" s="633">
        <v>0</v>
      </c>
      <c r="K64" s="531">
        <f t="shared" si="22"/>
        <v>0</v>
      </c>
      <c r="L64" s="531">
        <f t="shared" si="23"/>
        <v>0</v>
      </c>
      <c r="M64" s="531">
        <f t="shared" si="17"/>
        <v>0</v>
      </c>
      <c r="N64" s="633">
        <v>98</v>
      </c>
      <c r="O64" s="531">
        <f t="shared" si="24"/>
        <v>0</v>
      </c>
      <c r="Q64" s="536">
        <f t="shared" si="18"/>
        <v>6.2985074626866078E-3</v>
      </c>
      <c r="AW64" s="550">
        <v>16</v>
      </c>
      <c r="AX64" s="551" t="str">
        <f t="shared" si="15"/>
        <v>: S.S. Costa, A.L. Miranda, M.G. de Morais, et al., Microalgae as source of polyhydroxyalkanoates (PHAs) — A review, International Journal of Biological Macromolecules</v>
      </c>
      <c r="AY64" s="580" t="s">
        <v>342</v>
      </c>
      <c r="AZ64" s="554"/>
      <c r="BA64" s="554"/>
      <c r="BB64" s="554"/>
      <c r="BC64" s="553" t="s">
        <v>228</v>
      </c>
      <c r="BD64" s="554">
        <v>2019</v>
      </c>
      <c r="BE64" s="563"/>
      <c r="BF64" s="564">
        <v>0.16</v>
      </c>
      <c r="BG64" s="564"/>
      <c r="BH64" s="565"/>
      <c r="BI64" s="556" t="s">
        <v>329</v>
      </c>
      <c r="BK64" s="558"/>
      <c r="BL64" s="558"/>
      <c r="BM64" s="559"/>
      <c r="BN64" s="560">
        <f t="shared" si="14"/>
        <v>0.16</v>
      </c>
      <c r="BO64" s="561" t="str">
        <f t="shared" si="13"/>
        <v>%</v>
      </c>
    </row>
    <row r="65" spans="1:69" ht="15" customHeight="1" x14ac:dyDescent="0.6">
      <c r="A65" s="609">
        <v>2019</v>
      </c>
      <c r="B65" s="696">
        <v>2.2120000000000175</v>
      </c>
      <c r="C65" s="697">
        <v>114</v>
      </c>
      <c r="D65" s="531">
        <f t="shared" si="19"/>
        <v>0</v>
      </c>
      <c r="E65" s="699">
        <v>960.9</v>
      </c>
      <c r="F65" s="1211">
        <v>34.4</v>
      </c>
      <c r="G65" s="606">
        <f t="shared" si="20"/>
        <v>0</v>
      </c>
      <c r="H65" s="608">
        <f t="shared" si="21"/>
        <v>0</v>
      </c>
      <c r="I65" s="531">
        <f t="shared" si="16"/>
        <v>0</v>
      </c>
      <c r="J65" s="633">
        <v>0</v>
      </c>
      <c r="K65" s="531">
        <f t="shared" si="22"/>
        <v>0</v>
      </c>
      <c r="L65" s="531">
        <f t="shared" si="23"/>
        <v>0</v>
      </c>
      <c r="M65" s="531">
        <f t="shared" si="17"/>
        <v>0</v>
      </c>
      <c r="N65" s="633">
        <v>137.30000000000001</v>
      </c>
      <c r="O65" s="531">
        <f t="shared" si="24"/>
        <v>0</v>
      </c>
      <c r="Q65" s="536">
        <f t="shared" si="18"/>
        <v>6.3563218390805098E-3</v>
      </c>
      <c r="AW65" s="550">
        <v>17</v>
      </c>
      <c r="AX65" s="551" t="str">
        <f t="shared" si="15"/>
        <v>: S.S. Costa, A.L. Miranda, M.G. de Morais, et al., Microalgae as source of polyhydroxyalkanoates (PHAs) — A review, International Journal of Biological Macromolecules</v>
      </c>
      <c r="AY65" s="580" t="s">
        <v>342</v>
      </c>
      <c r="AZ65" s="554"/>
      <c r="BA65" s="554"/>
      <c r="BB65" s="554"/>
      <c r="BC65" s="553" t="s">
        <v>228</v>
      </c>
      <c r="BD65" s="554">
        <v>2019</v>
      </c>
      <c r="BE65" s="563"/>
      <c r="BF65" s="564">
        <v>0.49</v>
      </c>
      <c r="BG65" s="564"/>
      <c r="BH65" s="565"/>
      <c r="BI65" s="556" t="s">
        <v>329</v>
      </c>
      <c r="BK65" s="558"/>
      <c r="BL65" s="558"/>
      <c r="BM65" s="559"/>
      <c r="BN65" s="560">
        <f t="shared" si="14"/>
        <v>0.49</v>
      </c>
      <c r="BO65" s="561" t="str">
        <f t="shared" si="13"/>
        <v>%</v>
      </c>
    </row>
    <row r="66" spans="1:69" ht="15" customHeight="1" x14ac:dyDescent="0.6">
      <c r="A66" s="609">
        <v>2020</v>
      </c>
      <c r="B66" s="696">
        <v>2.3140000000000214</v>
      </c>
      <c r="C66" s="697">
        <v>128.9</v>
      </c>
      <c r="D66" s="531">
        <f t="shared" si="19"/>
        <v>0</v>
      </c>
      <c r="E66" s="702">
        <v>1010.1</v>
      </c>
      <c r="F66" s="1201">
        <v>35.9</v>
      </c>
      <c r="G66" s="606">
        <f t="shared" si="20"/>
        <v>0</v>
      </c>
      <c r="H66" s="608">
        <f t="shared" si="21"/>
        <v>0</v>
      </c>
      <c r="I66" s="531">
        <f t="shared" si="16"/>
        <v>0</v>
      </c>
      <c r="J66" s="633">
        <v>0</v>
      </c>
      <c r="K66" s="531">
        <f t="shared" si="22"/>
        <v>0</v>
      </c>
      <c r="L66" s="531">
        <f t="shared" si="23"/>
        <v>0</v>
      </c>
      <c r="M66" s="531">
        <f t="shared" si="17"/>
        <v>0</v>
      </c>
      <c r="N66" s="633">
        <v>162.4</v>
      </c>
      <c r="O66" s="531">
        <f t="shared" si="24"/>
        <v>0</v>
      </c>
      <c r="Q66" s="536">
        <f t="shared" si="18"/>
        <v>6.4456824512535418E-3</v>
      </c>
      <c r="AW66" s="550">
        <v>18</v>
      </c>
      <c r="AX66" s="551" t="str">
        <f t="shared" si="15"/>
        <v xml:space="preserve">: </v>
      </c>
      <c r="AY66" s="580"/>
      <c r="AZ66" s="554"/>
      <c r="BA66" s="554"/>
      <c r="BB66" s="554"/>
      <c r="BC66" s="553"/>
      <c r="BD66" s="554"/>
      <c r="BE66" s="563"/>
      <c r="BF66" s="564"/>
      <c r="BG66" s="564"/>
      <c r="BH66" s="565"/>
      <c r="BI66" s="555"/>
      <c r="BK66" s="558"/>
      <c r="BL66" s="558"/>
      <c r="BM66" s="559"/>
      <c r="BN66" s="560" t="str">
        <f t="shared" si="14"/>
        <v/>
      </c>
      <c r="BO66" s="561" t="str">
        <f t="shared" si="13"/>
        <v/>
      </c>
    </row>
    <row r="67" spans="1:69" ht="15" customHeight="1" x14ac:dyDescent="0.6">
      <c r="A67" s="609">
        <v>2021</v>
      </c>
      <c r="B67" s="696">
        <v>2.4160000000000252</v>
      </c>
      <c r="C67" s="697">
        <v>144.6</v>
      </c>
      <c r="D67" s="531">
        <f t="shared" si="19"/>
        <v>0</v>
      </c>
      <c r="E67" s="701">
        <v>1067.2</v>
      </c>
      <c r="F67" s="1201">
        <v>37.700000000000003</v>
      </c>
      <c r="G67" s="606">
        <f t="shared" si="20"/>
        <v>0</v>
      </c>
      <c r="H67" s="608">
        <f t="shared" si="21"/>
        <v>0</v>
      </c>
      <c r="I67" s="531">
        <f t="shared" si="16"/>
        <v>0</v>
      </c>
      <c r="J67" s="633">
        <v>0</v>
      </c>
      <c r="K67" s="531">
        <f t="shared" si="22"/>
        <v>0</v>
      </c>
      <c r="L67" s="531">
        <f t="shared" si="23"/>
        <v>0</v>
      </c>
      <c r="M67" s="531">
        <f t="shared" si="17"/>
        <v>0</v>
      </c>
      <c r="N67" s="633">
        <v>188.6</v>
      </c>
      <c r="O67" s="531">
        <f t="shared" si="24"/>
        <v>0</v>
      </c>
      <c r="Q67" s="536">
        <f t="shared" si="18"/>
        <v>7.0293271255729983E-3</v>
      </c>
      <c r="AW67" s="550">
        <v>19</v>
      </c>
      <c r="AX67" s="551" t="str">
        <f t="shared" si="15"/>
        <v xml:space="preserve">: </v>
      </c>
      <c r="AY67" s="580"/>
      <c r="AZ67" s="554"/>
      <c r="BA67" s="554"/>
      <c r="BB67" s="554"/>
      <c r="BC67" s="553"/>
      <c r="BD67" s="554"/>
      <c r="BE67" s="563"/>
      <c r="BF67" s="564"/>
      <c r="BG67" s="564"/>
      <c r="BH67" s="565"/>
      <c r="BI67" s="555"/>
      <c r="BK67" s="558"/>
      <c r="BL67" s="558"/>
      <c r="BM67" s="559"/>
      <c r="BN67" s="560" t="str">
        <f t="shared" si="14"/>
        <v/>
      </c>
      <c r="BO67" s="561" t="str">
        <f t="shared" si="13"/>
        <v/>
      </c>
    </row>
    <row r="68" spans="1:69" ht="15" customHeight="1" x14ac:dyDescent="0.6">
      <c r="A68" s="609">
        <v>2022</v>
      </c>
      <c r="B68" s="696">
        <v>2.5180000000000291</v>
      </c>
      <c r="C68" s="697">
        <v>160.69999999999999</v>
      </c>
      <c r="D68" s="531">
        <f t="shared" si="19"/>
        <v>0</v>
      </c>
      <c r="E68" s="701">
        <v>1124.2</v>
      </c>
      <c r="F68" s="1201">
        <v>39.4</v>
      </c>
      <c r="G68" s="606">
        <f t="shared" si="20"/>
        <v>0</v>
      </c>
      <c r="H68" s="608">
        <f t="shared" si="21"/>
        <v>0</v>
      </c>
      <c r="I68" s="531">
        <f t="shared" si="16"/>
        <v>0</v>
      </c>
      <c r="J68" s="633">
        <v>0</v>
      </c>
      <c r="K68" s="531">
        <f t="shared" si="22"/>
        <v>0</v>
      </c>
      <c r="L68" s="531">
        <f t="shared" si="23"/>
        <v>0</v>
      </c>
      <c r="M68" s="531">
        <f t="shared" si="17"/>
        <v>0</v>
      </c>
      <c r="N68" s="633">
        <v>215.5</v>
      </c>
      <c r="O68" s="531">
        <f t="shared" si="24"/>
        <v>0</v>
      </c>
      <c r="Q68" s="536">
        <f t="shared" si="18"/>
        <v>7.0631442703573914E-3</v>
      </c>
      <c r="AW68" s="550">
        <v>20</v>
      </c>
      <c r="AX68" s="551" t="str">
        <f t="shared" si="15"/>
        <v xml:space="preserve">: </v>
      </c>
      <c r="AY68" s="554"/>
      <c r="AZ68" s="554"/>
      <c r="BA68" s="554"/>
      <c r="BB68" s="554"/>
      <c r="BC68" s="563"/>
      <c r="BD68" s="554"/>
      <c r="BE68" s="563"/>
      <c r="BF68" s="564"/>
      <c r="BG68" s="564"/>
      <c r="BH68" s="565"/>
      <c r="BI68" s="555"/>
      <c r="BK68" s="558"/>
      <c r="BL68" s="558"/>
      <c r="BM68" s="559"/>
      <c r="BN68" s="560" t="str">
        <f t="shared" si="14"/>
        <v/>
      </c>
      <c r="BO68" s="561" t="str">
        <f t="shared" si="13"/>
        <v/>
      </c>
    </row>
    <row r="69" spans="1:69" ht="15" customHeight="1" x14ac:dyDescent="0.6">
      <c r="A69" s="609">
        <v>2023</v>
      </c>
      <c r="B69" s="696">
        <v>2.6200000000000045</v>
      </c>
      <c r="C69" s="697">
        <v>177.1</v>
      </c>
      <c r="D69" s="531">
        <f t="shared" si="19"/>
        <v>0</v>
      </c>
      <c r="E69" s="701">
        <v>1173.5</v>
      </c>
      <c r="F69" s="1201">
        <v>40.9</v>
      </c>
      <c r="G69" s="606">
        <f t="shared" si="20"/>
        <v>0</v>
      </c>
      <c r="H69" s="608">
        <f t="shared" si="21"/>
        <v>0</v>
      </c>
      <c r="I69" s="531">
        <f t="shared" si="16"/>
        <v>0</v>
      </c>
      <c r="J69" s="633">
        <v>0</v>
      </c>
      <c r="K69" s="531">
        <f t="shared" si="22"/>
        <v>0</v>
      </c>
      <c r="L69" s="531">
        <f t="shared" si="23"/>
        <v>0</v>
      </c>
      <c r="M69" s="531">
        <f t="shared" si="17"/>
        <v>0</v>
      </c>
      <c r="N69" s="633">
        <v>241.4</v>
      </c>
      <c r="O69" s="531">
        <f t="shared" si="24"/>
        <v>0</v>
      </c>
      <c r="Q69" s="536">
        <f t="shared" si="18"/>
        <v>7.1544606009210461E-3</v>
      </c>
      <c r="AW69" s="550"/>
      <c r="AX69" s="550"/>
      <c r="AY69" s="537"/>
      <c r="AZ69" s="537"/>
      <c r="BA69" s="537"/>
      <c r="BB69" s="537"/>
      <c r="BC69" s="549"/>
      <c r="BD69" s="562"/>
      <c r="BE69" s="566"/>
      <c r="BF69" s="558"/>
      <c r="BG69" s="558"/>
      <c r="BH69" s="558" t="s">
        <v>322</v>
      </c>
      <c r="BI69" s="558"/>
      <c r="BK69" s="558"/>
      <c r="BL69" s="558"/>
      <c r="BM69" s="567" t="s">
        <v>323</v>
      </c>
      <c r="BN69" s="568">
        <f>AVERAGE(BN49:BN68)</f>
        <v>0.28200000000000003</v>
      </c>
      <c r="BQ69" s="562"/>
    </row>
    <row r="70" spans="1:69" ht="15" customHeight="1" x14ac:dyDescent="0.6">
      <c r="A70" s="609">
        <v>2024</v>
      </c>
      <c r="B70" s="696">
        <v>6.5650350579526275</v>
      </c>
      <c r="C70" s="697">
        <v>194.4</v>
      </c>
      <c r="D70" s="531">
        <f t="shared" si="19"/>
        <v>0</v>
      </c>
      <c r="E70" s="701">
        <v>1230.5</v>
      </c>
      <c r="F70" s="1201">
        <v>42.7</v>
      </c>
      <c r="G70" s="606">
        <f t="shared" si="20"/>
        <v>0</v>
      </c>
      <c r="H70" s="608">
        <f t="shared" si="21"/>
        <v>0</v>
      </c>
      <c r="I70" s="531">
        <f t="shared" si="16"/>
        <v>0</v>
      </c>
      <c r="J70" s="633">
        <v>0</v>
      </c>
      <c r="K70" s="531">
        <f t="shared" si="22"/>
        <v>0</v>
      </c>
      <c r="L70" s="531">
        <f t="shared" si="23"/>
        <v>0</v>
      </c>
      <c r="M70" s="531">
        <f t="shared" si="17"/>
        <v>0</v>
      </c>
      <c r="N70" s="633">
        <v>267.89999999999998</v>
      </c>
      <c r="O70" s="531">
        <f t="shared" si="24"/>
        <v>0</v>
      </c>
      <c r="Q70" s="536">
        <f t="shared" si="18"/>
        <v>1.7464388513304556E-2</v>
      </c>
      <c r="AW70" s="550"/>
      <c r="AX70" s="550"/>
      <c r="AY70" s="537" t="s">
        <v>324</v>
      </c>
      <c r="AZ70" s="646"/>
      <c r="BA70" s="647"/>
      <c r="BB70" s="647"/>
      <c r="BC70" s="647"/>
      <c r="BD70" s="647"/>
      <c r="BE70" s="647"/>
      <c r="BF70" s="648"/>
      <c r="BG70" s="558"/>
      <c r="BH70" s="558"/>
      <c r="BI70" s="558"/>
      <c r="BK70" s="558"/>
      <c r="BL70" s="558"/>
      <c r="BM70" s="569" t="s">
        <v>25</v>
      </c>
      <c r="BN70" s="570">
        <f>BN69+BQ70*BN73</f>
        <v>0.49349725349350082</v>
      </c>
      <c r="BQ70" s="562">
        <v>1</v>
      </c>
    </row>
    <row r="71" spans="1:69" ht="15" customHeight="1" x14ac:dyDescent="0.6">
      <c r="A71" s="609">
        <v>2025</v>
      </c>
      <c r="B71" s="696">
        <v>9.903950645821169</v>
      </c>
      <c r="C71" s="697">
        <v>211.8</v>
      </c>
      <c r="D71" s="531">
        <f t="shared" si="19"/>
        <v>0</v>
      </c>
      <c r="E71" s="701">
        <v>1286.8</v>
      </c>
      <c r="F71" s="1201">
        <v>44.4</v>
      </c>
      <c r="G71" s="606">
        <f t="shared" si="20"/>
        <v>0</v>
      </c>
      <c r="H71" s="608">
        <f t="shared" si="21"/>
        <v>0</v>
      </c>
      <c r="I71" s="531">
        <f t="shared" si="16"/>
        <v>0</v>
      </c>
      <c r="J71" s="633">
        <v>0</v>
      </c>
      <c r="K71" s="531">
        <f t="shared" si="22"/>
        <v>0</v>
      </c>
      <c r="L71" s="531">
        <f t="shared" si="23"/>
        <v>0</v>
      </c>
      <c r="M71" s="531">
        <f t="shared" si="17"/>
        <v>0</v>
      </c>
      <c r="N71" s="633">
        <v>288.8</v>
      </c>
      <c r="O71" s="531">
        <f t="shared" si="24"/>
        <v>0</v>
      </c>
      <c r="Q71" s="536">
        <f t="shared" si="18"/>
        <v>2.5684085747784559E-2</v>
      </c>
      <c r="AW71" s="550"/>
      <c r="AX71" s="550"/>
      <c r="AY71" s="550"/>
      <c r="AZ71" s="649"/>
      <c r="BA71" s="650"/>
      <c r="BB71" s="650"/>
      <c r="BC71" s="650"/>
      <c r="BD71" s="650"/>
      <c r="BE71" s="650"/>
      <c r="BF71" s="651"/>
      <c r="BG71" s="562"/>
      <c r="BH71" s="562"/>
      <c r="BI71" s="558"/>
      <c r="BK71" s="558"/>
      <c r="BL71" s="558"/>
      <c r="BM71" s="569" t="s">
        <v>15</v>
      </c>
      <c r="BN71" s="570">
        <f>BN69-BQ70*BN73</f>
        <v>7.0502746506499264E-2</v>
      </c>
      <c r="BQ71" s="562"/>
    </row>
    <row r="72" spans="1:69" ht="15" customHeight="1" x14ac:dyDescent="0.6">
      <c r="A72" s="609">
        <v>2026</v>
      </c>
      <c r="B72" s="696">
        <v>14.047043510247022</v>
      </c>
      <c r="C72" s="697">
        <v>229</v>
      </c>
      <c r="D72" s="531">
        <f t="shared" si="19"/>
        <v>0</v>
      </c>
      <c r="E72" s="701">
        <v>1336.8</v>
      </c>
      <c r="F72" s="1201">
        <v>45.9</v>
      </c>
      <c r="G72" s="606">
        <f t="shared" si="20"/>
        <v>0</v>
      </c>
      <c r="H72" s="608">
        <f t="shared" si="21"/>
        <v>0</v>
      </c>
      <c r="I72" s="531">
        <f t="shared" si="16"/>
        <v>0</v>
      </c>
      <c r="J72" s="633">
        <v>0</v>
      </c>
      <c r="K72" s="531">
        <f t="shared" si="22"/>
        <v>0</v>
      </c>
      <c r="L72" s="531">
        <f t="shared" si="23"/>
        <v>0</v>
      </c>
      <c r="M72" s="531">
        <f t="shared" si="17"/>
        <v>0</v>
      </c>
      <c r="N72" s="633">
        <v>315.8</v>
      </c>
      <c r="O72" s="531">
        <f t="shared" si="24"/>
        <v>0</v>
      </c>
      <c r="Q72" s="536">
        <f t="shared" si="18"/>
        <v>3.5370776418831809E-2</v>
      </c>
      <c r="AW72" s="550"/>
      <c r="AX72" s="550"/>
      <c r="AY72" s="550"/>
      <c r="AZ72" s="649"/>
      <c r="BA72" s="650"/>
      <c r="BB72" s="650"/>
      <c r="BC72" s="650"/>
      <c r="BD72" s="650"/>
      <c r="BE72" s="650"/>
      <c r="BF72" s="651"/>
      <c r="BG72" s="558"/>
      <c r="BH72" s="558"/>
      <c r="BI72" s="558"/>
      <c r="BK72" s="558"/>
      <c r="BL72" s="558"/>
      <c r="BM72" s="569" t="s">
        <v>325</v>
      </c>
      <c r="BN72" s="570" t="str">
        <f>IF((0.67*BN73)&gt;BN69,"no","yes")</f>
        <v>yes</v>
      </c>
      <c r="BQ72" s="562"/>
    </row>
    <row r="73" spans="1:69" ht="15" customHeight="1" x14ac:dyDescent="0.6">
      <c r="A73" s="609">
        <v>2027</v>
      </c>
      <c r="B73" s="696">
        <v>18.995106076123193</v>
      </c>
      <c r="C73" s="697">
        <v>246.6</v>
      </c>
      <c r="D73" s="531">
        <f t="shared" si="19"/>
        <v>0</v>
      </c>
      <c r="E73" s="701">
        <v>1393.8</v>
      </c>
      <c r="F73" s="1201">
        <v>47.5</v>
      </c>
      <c r="G73" s="606">
        <f t="shared" si="20"/>
        <v>0</v>
      </c>
      <c r="H73" s="608">
        <f t="shared" si="21"/>
        <v>0</v>
      </c>
      <c r="I73" s="531">
        <f t="shared" si="16"/>
        <v>0</v>
      </c>
      <c r="J73" s="633">
        <v>0</v>
      </c>
      <c r="K73" s="531">
        <f t="shared" si="22"/>
        <v>0</v>
      </c>
      <c r="L73" s="531">
        <f t="shared" si="23"/>
        <v>0</v>
      </c>
      <c r="M73" s="531">
        <f t="shared" si="17"/>
        <v>0</v>
      </c>
      <c r="N73" s="633">
        <v>336.7</v>
      </c>
      <c r="O73" s="531">
        <f t="shared" si="24"/>
        <v>0</v>
      </c>
      <c r="Q73" s="536">
        <f t="shared" si="18"/>
        <v>4.6455628085766427E-2</v>
      </c>
      <c r="AW73" s="550"/>
      <c r="AX73" s="571"/>
      <c r="AY73" s="550"/>
      <c r="AZ73" s="649"/>
      <c r="BA73" s="650"/>
      <c r="BB73" s="650"/>
      <c r="BC73" s="650"/>
      <c r="BD73" s="650"/>
      <c r="BE73" s="650"/>
      <c r="BF73" s="651"/>
      <c r="BG73" s="558"/>
      <c r="BH73" s="558"/>
      <c r="BI73" s="558"/>
      <c r="BJ73" s="558"/>
      <c r="BK73" s="558"/>
      <c r="BL73" s="558"/>
      <c r="BM73" s="569" t="s">
        <v>326</v>
      </c>
      <c r="BN73" s="570">
        <f>_xlfn.STDEV.P(BN49:BN68)</f>
        <v>0.21149725349350076</v>
      </c>
      <c r="BQ73" s="562"/>
    </row>
    <row r="74" spans="1:69" ht="15" customHeight="1" x14ac:dyDescent="0.6">
      <c r="A74" s="609">
        <v>2028</v>
      </c>
      <c r="B74" s="696">
        <v>24.748930767644197</v>
      </c>
      <c r="C74" s="697">
        <v>264.5</v>
      </c>
      <c r="D74" s="531">
        <f t="shared" si="19"/>
        <v>0</v>
      </c>
      <c r="E74" s="701">
        <v>1442.3</v>
      </c>
      <c r="F74" s="1201">
        <v>49</v>
      </c>
      <c r="G74" s="606">
        <f t="shared" si="20"/>
        <v>0</v>
      </c>
      <c r="H74" s="608">
        <f t="shared" si="21"/>
        <v>0</v>
      </c>
      <c r="I74" s="531">
        <f t="shared" si="16"/>
        <v>0</v>
      </c>
      <c r="J74" s="633">
        <v>0</v>
      </c>
      <c r="K74" s="531">
        <f t="shared" si="22"/>
        <v>0</v>
      </c>
      <c r="L74" s="531">
        <f t="shared" si="23"/>
        <v>0</v>
      </c>
      <c r="M74" s="531">
        <f t="shared" si="17"/>
        <v>0</v>
      </c>
      <c r="N74" s="633">
        <v>364.3</v>
      </c>
      <c r="O74" s="531">
        <f t="shared" si="24"/>
        <v>0</v>
      </c>
      <c r="Q74" s="536">
        <f t="shared" si="18"/>
        <v>5.8805165874134722E-2</v>
      </c>
      <c r="AW74" s="550"/>
      <c r="AX74" s="572"/>
      <c r="AY74" s="550"/>
      <c r="AZ74" s="649"/>
      <c r="BA74" s="650"/>
      <c r="BB74" s="650"/>
      <c r="BC74" s="650"/>
      <c r="BD74" s="650"/>
      <c r="BE74" s="650"/>
      <c r="BF74" s="651"/>
      <c r="BG74" s="558"/>
      <c r="BH74" s="558"/>
      <c r="BI74" s="558"/>
      <c r="BJ74" s="558"/>
      <c r="BK74" s="558"/>
      <c r="BL74" s="558"/>
      <c r="BM74" s="573" t="s">
        <v>327</v>
      </c>
      <c r="BN74" s="574">
        <f>COUNTIF(BN49:BN68,"&gt;0")</f>
        <v>17</v>
      </c>
      <c r="BQ74" s="562"/>
    </row>
    <row r="75" spans="1:69" ht="15" customHeight="1" x14ac:dyDescent="0.6">
      <c r="A75" s="609">
        <v>2029</v>
      </c>
      <c r="B75" s="696">
        <v>31.309310009470209</v>
      </c>
      <c r="C75" s="697">
        <v>282.7</v>
      </c>
      <c r="D75" s="531">
        <f t="shared" si="19"/>
        <v>0</v>
      </c>
      <c r="E75" s="701">
        <v>1500.1</v>
      </c>
      <c r="F75" s="1201">
        <v>50.7</v>
      </c>
      <c r="G75" s="606">
        <f t="shared" si="20"/>
        <v>0</v>
      </c>
      <c r="H75" s="608">
        <f t="shared" si="21"/>
        <v>0</v>
      </c>
      <c r="I75" s="531">
        <f t="shared" si="16"/>
        <v>0</v>
      </c>
      <c r="J75" s="633">
        <v>0</v>
      </c>
      <c r="K75" s="531">
        <f t="shared" si="22"/>
        <v>0</v>
      </c>
      <c r="L75" s="531">
        <f t="shared" si="23"/>
        <v>0</v>
      </c>
      <c r="M75" s="531">
        <f t="shared" si="17"/>
        <v>0</v>
      </c>
      <c r="N75" s="633">
        <v>390.8</v>
      </c>
      <c r="O75" s="531">
        <f t="shared" si="24"/>
        <v>0</v>
      </c>
      <c r="Q75" s="536">
        <f t="shared" si="18"/>
        <v>7.2295912379466976E-2</v>
      </c>
      <c r="AW75" s="550"/>
      <c r="AX75" s="123"/>
      <c r="AY75" s="550"/>
      <c r="AZ75" s="649"/>
      <c r="BA75" s="650"/>
      <c r="BB75" s="650"/>
      <c r="BC75" s="650"/>
      <c r="BD75" s="650"/>
      <c r="BE75" s="650"/>
      <c r="BF75" s="651"/>
      <c r="BG75" s="558"/>
      <c r="BH75" s="558"/>
      <c r="BI75" s="558"/>
      <c r="BJ75" s="558"/>
      <c r="BK75" s="558"/>
      <c r="BL75" s="558"/>
      <c r="BM75" s="575"/>
      <c r="BN75" s="576"/>
      <c r="BQ75" s="562"/>
    </row>
    <row r="76" spans="1:69" ht="15" customHeight="1" x14ac:dyDescent="0.6">
      <c r="A76" s="609">
        <v>2030</v>
      </c>
      <c r="B76" s="696">
        <v>38.677036226727068</v>
      </c>
      <c r="C76" s="697">
        <v>301</v>
      </c>
      <c r="D76" s="531">
        <f t="shared" si="19"/>
        <v>0</v>
      </c>
      <c r="E76" s="701">
        <v>1557.2</v>
      </c>
      <c r="F76" s="1201">
        <v>52.3</v>
      </c>
      <c r="G76" s="606">
        <f t="shared" si="20"/>
        <v>0</v>
      </c>
      <c r="H76" s="608">
        <f t="shared" si="21"/>
        <v>0</v>
      </c>
      <c r="I76" s="531">
        <f t="shared" si="16"/>
        <v>0</v>
      </c>
      <c r="J76" s="633">
        <v>0</v>
      </c>
      <c r="K76" s="531">
        <f t="shared" si="22"/>
        <v>0</v>
      </c>
      <c r="L76" s="531">
        <f t="shared" si="23"/>
        <v>0</v>
      </c>
      <c r="M76" s="531">
        <f t="shared" si="17"/>
        <v>0</v>
      </c>
      <c r="N76" s="633">
        <v>418.5</v>
      </c>
      <c r="O76" s="531">
        <f t="shared" si="24"/>
        <v>0</v>
      </c>
      <c r="Q76" s="536">
        <f t="shared" si="18"/>
        <v>8.6813482527859462E-2</v>
      </c>
      <c r="AW76" s="550"/>
      <c r="AX76" s="123"/>
      <c r="AY76" s="550"/>
      <c r="AZ76" s="649"/>
      <c r="BA76" s="650"/>
      <c r="BB76" s="650"/>
      <c r="BC76" s="650"/>
      <c r="BD76" s="650"/>
      <c r="BE76" s="650"/>
      <c r="BF76" s="651"/>
      <c r="BG76" s="558"/>
      <c r="BH76" s="558"/>
      <c r="BI76" s="558"/>
      <c r="BJ76" s="558"/>
      <c r="BK76" s="558"/>
      <c r="BL76" s="558"/>
      <c r="BM76" s="575"/>
      <c r="BN76" s="577" t="s">
        <v>328</v>
      </c>
      <c r="BQ76" s="562"/>
    </row>
    <row r="77" spans="1:69" ht="15" customHeight="1" x14ac:dyDescent="0.6">
      <c r="A77" s="609">
        <v>2031</v>
      </c>
      <c r="B77" s="696">
        <v>46.852901843376458</v>
      </c>
      <c r="C77" s="697">
        <v>317.3</v>
      </c>
      <c r="D77" s="531">
        <f t="shared" si="19"/>
        <v>0</v>
      </c>
      <c r="E77" s="701">
        <v>1599.3</v>
      </c>
      <c r="F77" s="1201">
        <v>53.5</v>
      </c>
      <c r="G77" s="606">
        <f t="shared" si="20"/>
        <v>0</v>
      </c>
      <c r="H77" s="608">
        <f t="shared" si="21"/>
        <v>0</v>
      </c>
      <c r="I77" s="531">
        <f t="shared" si="16"/>
        <v>0</v>
      </c>
      <c r="J77" s="633">
        <v>0</v>
      </c>
      <c r="K77" s="531">
        <f t="shared" si="22"/>
        <v>0</v>
      </c>
      <c r="L77" s="531">
        <f t="shared" si="23"/>
        <v>0</v>
      </c>
      <c r="M77" s="531">
        <f t="shared" si="17"/>
        <v>0</v>
      </c>
      <c r="N77" s="633">
        <v>433.6</v>
      </c>
      <c r="O77" s="531">
        <f t="shared" si="24"/>
        <v>0</v>
      </c>
      <c r="Q77" s="536">
        <f t="shared" si="18"/>
        <v>0.10225192294649846</v>
      </c>
      <c r="AW77" s="550"/>
      <c r="AX77" s="123"/>
      <c r="AY77" s="550"/>
      <c r="AZ77" s="649"/>
      <c r="BA77" s="650"/>
      <c r="BB77" s="650"/>
      <c r="BC77" s="650"/>
      <c r="BD77" s="650"/>
      <c r="BE77" s="650"/>
      <c r="BF77" s="651"/>
      <c r="BG77" s="558"/>
      <c r="BH77" s="558"/>
      <c r="BI77" s="558"/>
      <c r="BJ77" s="558"/>
      <c r="BK77" s="558"/>
      <c r="BL77" s="558"/>
      <c r="BM77" s="575"/>
      <c r="BN77" s="578" t="s">
        <v>20</v>
      </c>
      <c r="BQ77" s="562"/>
    </row>
    <row r="78" spans="1:69" ht="15" customHeight="1" x14ac:dyDescent="0.6">
      <c r="A78" s="609">
        <v>2032</v>
      </c>
      <c r="B78" s="696">
        <v>55.837699284311384</v>
      </c>
      <c r="C78" s="697">
        <v>333.8</v>
      </c>
      <c r="D78" s="531">
        <f t="shared" si="19"/>
        <v>0</v>
      </c>
      <c r="E78" s="701">
        <v>1642.8</v>
      </c>
      <c r="F78" s="1201">
        <v>54.8</v>
      </c>
      <c r="G78" s="606">
        <f t="shared" si="20"/>
        <v>0</v>
      </c>
      <c r="H78" s="608">
        <f t="shared" si="21"/>
        <v>0</v>
      </c>
      <c r="I78" s="531">
        <f t="shared" si="16"/>
        <v>0</v>
      </c>
      <c r="J78" s="633">
        <v>0</v>
      </c>
      <c r="K78" s="531">
        <f t="shared" si="22"/>
        <v>0</v>
      </c>
      <c r="L78" s="531">
        <f t="shared" si="23"/>
        <v>0</v>
      </c>
      <c r="M78" s="531">
        <f t="shared" si="17"/>
        <v>0</v>
      </c>
      <c r="N78" s="633">
        <v>443.7</v>
      </c>
      <c r="O78" s="531">
        <f t="shared" si="24"/>
        <v>0</v>
      </c>
      <c r="Q78" s="536">
        <f t="shared" si="18"/>
        <v>0.11851314953205573</v>
      </c>
      <c r="AW78" s="550"/>
      <c r="AX78" s="123"/>
      <c r="AY78" s="550"/>
      <c r="AZ78" s="649"/>
      <c r="BA78" s="650"/>
      <c r="BB78" s="650"/>
      <c r="BC78" s="650"/>
      <c r="BD78" s="650"/>
      <c r="BE78" s="650"/>
      <c r="BF78" s="651"/>
      <c r="BG78" s="558"/>
      <c r="BH78" s="558"/>
      <c r="BI78" s="558"/>
      <c r="BJ78" s="558"/>
      <c r="BK78" s="558"/>
      <c r="BL78" s="558"/>
      <c r="BM78" s="575"/>
      <c r="BN78" s="558"/>
      <c r="BQ78" s="562"/>
    </row>
    <row r="79" spans="1:69" ht="15" customHeight="1" x14ac:dyDescent="0.6">
      <c r="A79" s="609">
        <v>2033</v>
      </c>
      <c r="B79" s="696">
        <v>65.632220974424854</v>
      </c>
      <c r="C79" s="697">
        <v>350.6</v>
      </c>
      <c r="D79" s="531">
        <f t="shared" si="19"/>
        <v>0</v>
      </c>
      <c r="E79" s="701">
        <v>1692.8</v>
      </c>
      <c r="F79" s="1201">
        <v>56.2</v>
      </c>
      <c r="G79" s="606">
        <f t="shared" si="20"/>
        <v>0</v>
      </c>
      <c r="H79" s="608">
        <f t="shared" si="21"/>
        <v>0</v>
      </c>
      <c r="I79" s="531">
        <f t="shared" si="16"/>
        <v>0</v>
      </c>
      <c r="J79" s="633">
        <v>0</v>
      </c>
      <c r="K79" s="531">
        <f t="shared" si="22"/>
        <v>0</v>
      </c>
      <c r="L79" s="531">
        <f t="shared" si="23"/>
        <v>0</v>
      </c>
      <c r="M79" s="531">
        <f t="shared" si="17"/>
        <v>0</v>
      </c>
      <c r="N79" s="633">
        <v>459.8</v>
      </c>
      <c r="O79" s="531">
        <f t="shared" si="24"/>
        <v>0</v>
      </c>
      <c r="Q79" s="536">
        <f t="shared" si="18"/>
        <v>0.13550649145083088</v>
      </c>
      <c r="AW79" s="550"/>
      <c r="AX79" s="454"/>
      <c r="AY79" s="558"/>
      <c r="AZ79" s="652"/>
      <c r="BA79" s="653"/>
      <c r="BB79" s="653"/>
      <c r="BC79" s="653"/>
      <c r="BD79" s="653"/>
      <c r="BE79" s="653"/>
      <c r="BF79" s="654"/>
      <c r="BG79" s="549"/>
      <c r="BH79" s="549"/>
      <c r="BI79" s="549"/>
      <c r="BJ79" s="549"/>
      <c r="BK79" s="549"/>
      <c r="BL79" s="549"/>
      <c r="BM79" s="579"/>
      <c r="BN79" s="549"/>
      <c r="BQ79" s="562"/>
    </row>
    <row r="80" spans="1:69" ht="15" customHeight="1" x14ac:dyDescent="0.6">
      <c r="A80" s="609">
        <v>2034</v>
      </c>
      <c r="B80" s="696">
        <v>76.237259338144213</v>
      </c>
      <c r="C80" s="697">
        <v>367.6</v>
      </c>
      <c r="D80" s="531">
        <f t="shared" si="19"/>
        <v>0</v>
      </c>
      <c r="E80" s="701">
        <v>1735.6</v>
      </c>
      <c r="F80" s="1201">
        <v>57.5</v>
      </c>
      <c r="G80" s="606">
        <f t="shared" si="20"/>
        <v>0</v>
      </c>
      <c r="H80" s="608">
        <f t="shared" si="21"/>
        <v>0</v>
      </c>
      <c r="I80" s="531">
        <f t="shared" si="16"/>
        <v>0</v>
      </c>
      <c r="J80" s="633">
        <v>0</v>
      </c>
      <c r="K80" s="531">
        <f t="shared" si="22"/>
        <v>0</v>
      </c>
      <c r="L80" s="531">
        <f t="shared" si="23"/>
        <v>0</v>
      </c>
      <c r="M80" s="531">
        <f t="shared" si="17"/>
        <v>0</v>
      </c>
      <c r="N80" s="633">
        <v>476.5</v>
      </c>
      <c r="O80" s="531">
        <f t="shared" si="24"/>
        <v>0</v>
      </c>
      <c r="Q80" s="536">
        <f t="shared" si="18"/>
        <v>0.15314823700117328</v>
      </c>
    </row>
    <row r="81" spans="1:17" ht="15" customHeight="1" x14ac:dyDescent="0.6">
      <c r="A81" s="609">
        <v>2035</v>
      </c>
      <c r="B81" s="696">
        <v>87.653606799896806</v>
      </c>
      <c r="C81" s="697">
        <v>383.8</v>
      </c>
      <c r="D81" s="531">
        <f t="shared" si="19"/>
        <v>0</v>
      </c>
      <c r="E81" s="701">
        <v>1779.2</v>
      </c>
      <c r="F81" s="1201">
        <v>58.7</v>
      </c>
      <c r="G81" s="606">
        <f t="shared" si="20"/>
        <v>0</v>
      </c>
      <c r="H81" s="608">
        <f t="shared" si="21"/>
        <v>0</v>
      </c>
      <c r="I81" s="531">
        <f t="shared" si="16"/>
        <v>0</v>
      </c>
      <c r="J81" s="633">
        <v>0</v>
      </c>
      <c r="K81" s="531">
        <f t="shared" si="22"/>
        <v>0</v>
      </c>
      <c r="L81" s="531">
        <f t="shared" si="23"/>
        <v>0</v>
      </c>
      <c r="M81" s="531">
        <f t="shared" si="17"/>
        <v>0</v>
      </c>
      <c r="N81" s="633">
        <v>491.3</v>
      </c>
      <c r="O81" s="531">
        <f t="shared" si="24"/>
        <v>0</v>
      </c>
      <c r="Q81" s="536">
        <f t="shared" si="18"/>
        <v>0.1713612055559797</v>
      </c>
    </row>
    <row r="82" spans="1:17" ht="15" customHeight="1" x14ac:dyDescent="0.6">
      <c r="A82" s="609">
        <v>2036</v>
      </c>
      <c r="B82" s="696">
        <v>99.882055784575641</v>
      </c>
      <c r="C82" s="697">
        <v>400</v>
      </c>
      <c r="D82" s="531">
        <f t="shared" si="19"/>
        <v>0</v>
      </c>
      <c r="E82" s="701">
        <v>1829.2</v>
      </c>
      <c r="F82" s="1201">
        <v>60.1</v>
      </c>
      <c r="G82" s="606">
        <f t="shared" si="20"/>
        <v>0</v>
      </c>
      <c r="H82" s="608">
        <f t="shared" si="21"/>
        <v>0</v>
      </c>
      <c r="I82" s="531">
        <f t="shared" si="16"/>
        <v>0</v>
      </c>
      <c r="J82" s="633">
        <v>0</v>
      </c>
      <c r="K82" s="531">
        <f t="shared" si="22"/>
        <v>0</v>
      </c>
      <c r="L82" s="531">
        <f t="shared" si="23"/>
        <v>0</v>
      </c>
      <c r="M82" s="531">
        <f t="shared" si="17"/>
        <v>0</v>
      </c>
      <c r="N82" s="633">
        <v>508.2</v>
      </c>
      <c r="O82" s="531">
        <f t="shared" si="24"/>
        <v>0</v>
      </c>
      <c r="Q82" s="536">
        <f t="shared" si="18"/>
        <v>0.19007440969538239</v>
      </c>
    </row>
    <row r="83" spans="1:17" ht="15" customHeight="1" x14ac:dyDescent="0.6">
      <c r="A83" s="609">
        <v>2037</v>
      </c>
      <c r="B83" s="696">
        <v>112.92339871684089</v>
      </c>
      <c r="C83" s="697">
        <v>416.4</v>
      </c>
      <c r="D83" s="531">
        <f t="shared" si="19"/>
        <v>0</v>
      </c>
      <c r="E83" s="701">
        <v>1872</v>
      </c>
      <c r="F83" s="1201">
        <v>61.4</v>
      </c>
      <c r="G83" s="606">
        <f t="shared" si="20"/>
        <v>0</v>
      </c>
      <c r="H83" s="608">
        <f t="shared" si="21"/>
        <v>0</v>
      </c>
      <c r="I83" s="531">
        <f t="shared" si="16"/>
        <v>0</v>
      </c>
      <c r="J83" s="633">
        <v>0</v>
      </c>
      <c r="K83" s="531">
        <f t="shared" si="22"/>
        <v>0</v>
      </c>
      <c r="L83" s="531">
        <f t="shared" si="23"/>
        <v>0</v>
      </c>
      <c r="M83" s="531">
        <f t="shared" si="17"/>
        <v>0</v>
      </c>
      <c r="N83" s="633">
        <v>522</v>
      </c>
      <c r="O83" s="531">
        <f t="shared" si="24"/>
        <v>0</v>
      </c>
      <c r="Q83" s="536">
        <f t="shared" si="18"/>
        <v>0.20922275877450464</v>
      </c>
    </row>
    <row r="84" spans="1:17" ht="15" customHeight="1" x14ac:dyDescent="0.6">
      <c r="A84" s="609">
        <v>2038</v>
      </c>
      <c r="B84" s="696">
        <v>126.77842802088708</v>
      </c>
      <c r="C84" s="697">
        <v>432.9</v>
      </c>
      <c r="D84" s="531">
        <f t="shared" si="19"/>
        <v>0</v>
      </c>
      <c r="E84" s="701">
        <v>1923.4</v>
      </c>
      <c r="F84" s="1201">
        <v>62.8</v>
      </c>
      <c r="G84" s="606">
        <f t="shared" si="20"/>
        <v>0</v>
      </c>
      <c r="H84" s="608">
        <f t="shared" si="21"/>
        <v>0</v>
      </c>
      <c r="I84" s="531">
        <f t="shared" si="16"/>
        <v>0</v>
      </c>
      <c r="J84" s="633">
        <v>0</v>
      </c>
      <c r="K84" s="531">
        <f t="shared" si="22"/>
        <v>0</v>
      </c>
      <c r="L84" s="531">
        <f t="shared" si="23"/>
        <v>0</v>
      </c>
      <c r="M84" s="531">
        <f t="shared" si="17"/>
        <v>0</v>
      </c>
      <c r="N84" s="633">
        <v>539.20000000000005</v>
      </c>
      <c r="O84" s="531">
        <f t="shared" si="24"/>
        <v>0</v>
      </c>
      <c r="Q84" s="536">
        <f t="shared" si="18"/>
        <v>0.22874680341696169</v>
      </c>
    </row>
    <row r="85" spans="1:17" ht="15" customHeight="1" x14ac:dyDescent="0.6">
      <c r="A85" s="609">
        <v>2039</v>
      </c>
      <c r="B85" s="696">
        <v>141.44793612184003</v>
      </c>
      <c r="C85" s="697">
        <v>449.7</v>
      </c>
      <c r="D85" s="531">
        <f t="shared" si="19"/>
        <v>0</v>
      </c>
      <c r="E85" s="701">
        <v>1965.5</v>
      </c>
      <c r="F85" s="1201">
        <v>64</v>
      </c>
      <c r="G85" s="606">
        <f t="shared" si="20"/>
        <v>0</v>
      </c>
      <c r="H85" s="608">
        <f t="shared" si="21"/>
        <v>0</v>
      </c>
      <c r="I85" s="531">
        <f t="shared" si="16"/>
        <v>0</v>
      </c>
      <c r="J85" s="633">
        <v>0</v>
      </c>
      <c r="K85" s="531">
        <f t="shared" si="22"/>
        <v>0</v>
      </c>
      <c r="L85" s="531">
        <f t="shared" si="23"/>
        <v>0</v>
      </c>
      <c r="M85" s="531">
        <f t="shared" si="17"/>
        <v>0</v>
      </c>
      <c r="N85" s="633">
        <v>551.6</v>
      </c>
      <c r="O85" s="531">
        <f t="shared" si="24"/>
        <v>0</v>
      </c>
      <c r="Q85" s="536">
        <f t="shared" si="18"/>
        <v>0.24859235809663627</v>
      </c>
    </row>
    <row r="86" spans="1:17" ht="15" customHeight="1" x14ac:dyDescent="0.6">
      <c r="A86" s="609">
        <v>2040</v>
      </c>
      <c r="B86" s="696">
        <v>156.9327154441271</v>
      </c>
      <c r="C86" s="697">
        <v>467</v>
      </c>
      <c r="D86" s="531">
        <f t="shared" si="19"/>
        <v>0</v>
      </c>
      <c r="E86" s="701">
        <v>2017</v>
      </c>
      <c r="F86" s="1201">
        <v>65.400000000000006</v>
      </c>
      <c r="G86" s="606">
        <f t="shared" si="20"/>
        <v>0</v>
      </c>
      <c r="H86" s="608">
        <f t="shared" si="21"/>
        <v>0</v>
      </c>
      <c r="I86" s="531">
        <f t="shared" si="16"/>
        <v>0</v>
      </c>
      <c r="J86" s="633">
        <v>0</v>
      </c>
      <c r="K86" s="531">
        <f t="shared" si="22"/>
        <v>0</v>
      </c>
      <c r="L86" s="531">
        <f t="shared" si="23"/>
        <v>0</v>
      </c>
      <c r="M86" s="531">
        <f t="shared" si="17"/>
        <v>0</v>
      </c>
      <c r="N86" s="633">
        <v>564.20000000000005</v>
      </c>
      <c r="O86" s="531">
        <f t="shared" si="24"/>
        <v>0</v>
      </c>
      <c r="Q86" s="536">
        <f t="shared" si="18"/>
        <v>0.26871010182905131</v>
      </c>
    </row>
    <row r="87" spans="1:17" ht="15" customHeight="1" x14ac:dyDescent="0.6">
      <c r="A87" s="609">
        <v>2041</v>
      </c>
      <c r="B87" s="696">
        <v>173.23355841217563</v>
      </c>
      <c r="C87" s="697">
        <v>484.6</v>
      </c>
      <c r="D87" s="531">
        <f t="shared" si="19"/>
        <v>0</v>
      </c>
      <c r="E87" s="701">
        <v>2059.1</v>
      </c>
      <c r="F87" s="1201">
        <v>66.599999999999994</v>
      </c>
      <c r="G87" s="606">
        <f t="shared" si="20"/>
        <v>0</v>
      </c>
      <c r="H87" s="608">
        <f t="shared" si="21"/>
        <v>0</v>
      </c>
      <c r="I87" s="531">
        <f t="shared" si="16"/>
        <v>0</v>
      </c>
      <c r="J87" s="633">
        <v>0</v>
      </c>
      <c r="K87" s="531">
        <f t="shared" si="22"/>
        <v>0</v>
      </c>
      <c r="L87" s="531">
        <f t="shared" si="23"/>
        <v>0</v>
      </c>
      <c r="M87" s="531">
        <f t="shared" si="17"/>
        <v>0</v>
      </c>
      <c r="N87" s="633">
        <v>574.4</v>
      </c>
      <c r="O87" s="531">
        <f t="shared" si="24"/>
        <v>0</v>
      </c>
      <c r="Q87" s="536">
        <f t="shared" si="18"/>
        <v>0.28905532397736639</v>
      </c>
    </row>
    <row r="88" spans="1:17" ht="15" customHeight="1" x14ac:dyDescent="0.6">
      <c r="A88" s="609">
        <v>2042</v>
      </c>
      <c r="B88" s="696">
        <v>190.35125745111145</v>
      </c>
      <c r="C88" s="697">
        <v>502.6</v>
      </c>
      <c r="D88" s="531">
        <f t="shared" si="19"/>
        <v>0</v>
      </c>
      <c r="E88" s="701">
        <v>2109.6999999999998</v>
      </c>
      <c r="F88" s="1201">
        <v>68</v>
      </c>
      <c r="G88" s="606">
        <f t="shared" si="20"/>
        <v>0</v>
      </c>
      <c r="H88" s="608">
        <f t="shared" si="21"/>
        <v>0</v>
      </c>
      <c r="I88" s="531">
        <f t="shared" si="16"/>
        <v>0</v>
      </c>
      <c r="J88" s="633">
        <v>0</v>
      </c>
      <c r="K88" s="531">
        <f t="shared" si="22"/>
        <v>0</v>
      </c>
      <c r="L88" s="531">
        <f t="shared" si="23"/>
        <v>0</v>
      </c>
      <c r="M88" s="531">
        <f t="shared" si="17"/>
        <v>0</v>
      </c>
      <c r="N88" s="633">
        <v>585.9</v>
      </c>
      <c r="O88" s="531">
        <f t="shared" si="24"/>
        <v>0</v>
      </c>
      <c r="Q88" s="536">
        <f t="shared" si="18"/>
        <v>0.3095876909298455</v>
      </c>
    </row>
    <row r="89" spans="1:17" ht="15" customHeight="1" x14ac:dyDescent="0.6">
      <c r="A89" s="609">
        <v>2043</v>
      </c>
      <c r="B89" s="696">
        <v>208.28660498512909</v>
      </c>
      <c r="C89" s="697">
        <v>520.9</v>
      </c>
      <c r="D89" s="531">
        <f t="shared" si="19"/>
        <v>0</v>
      </c>
      <c r="E89" s="701">
        <v>2161.1999999999998</v>
      </c>
      <c r="F89" s="1201">
        <v>69.5</v>
      </c>
      <c r="G89" s="606">
        <f t="shared" si="20"/>
        <v>0</v>
      </c>
      <c r="H89" s="608">
        <f t="shared" si="21"/>
        <v>0</v>
      </c>
      <c r="I89" s="531">
        <f t="shared" si="16"/>
        <v>0</v>
      </c>
      <c r="J89" s="633">
        <v>0</v>
      </c>
      <c r="K89" s="531">
        <f t="shared" si="22"/>
        <v>0</v>
      </c>
      <c r="L89" s="531">
        <f t="shared" si="23"/>
        <v>0</v>
      </c>
      <c r="M89" s="531">
        <f t="shared" si="17"/>
        <v>0</v>
      </c>
      <c r="N89" s="633">
        <v>595.79999999999995</v>
      </c>
      <c r="O89" s="531">
        <f t="shared" si="24"/>
        <v>0</v>
      </c>
      <c r="Q89" s="536">
        <f t="shared" si="18"/>
        <v>0.33027095687574881</v>
      </c>
    </row>
    <row r="90" spans="1:17" ht="15" customHeight="1" x14ac:dyDescent="0.6">
      <c r="A90" s="609">
        <v>2044</v>
      </c>
      <c r="B90" s="696">
        <v>227.04039343912154</v>
      </c>
      <c r="C90" s="697">
        <v>539.5</v>
      </c>
      <c r="D90" s="531">
        <f t="shared" si="19"/>
        <v>0</v>
      </c>
      <c r="E90" s="701">
        <v>2203.3000000000002</v>
      </c>
      <c r="F90" s="1201">
        <v>70.599999999999994</v>
      </c>
      <c r="G90" s="606">
        <f t="shared" si="20"/>
        <v>0</v>
      </c>
      <c r="H90" s="608">
        <f t="shared" si="21"/>
        <v>0</v>
      </c>
      <c r="I90" s="531">
        <f t="shared" si="16"/>
        <v>0</v>
      </c>
      <c r="J90" s="633">
        <v>0</v>
      </c>
      <c r="K90" s="531">
        <f t="shared" si="22"/>
        <v>0</v>
      </c>
      <c r="L90" s="531">
        <f t="shared" si="23"/>
        <v>0</v>
      </c>
      <c r="M90" s="531">
        <f t="shared" si="17"/>
        <v>0</v>
      </c>
      <c r="N90" s="633">
        <v>606.9</v>
      </c>
      <c r="O90" s="531">
        <f t="shared" si="24"/>
        <v>0</v>
      </c>
      <c r="Q90" s="536">
        <f t="shared" si="18"/>
        <v>0.35107274464353594</v>
      </c>
    </row>
    <row r="91" spans="1:17" ht="15" customHeight="1" x14ac:dyDescent="0.6">
      <c r="A91" s="609">
        <v>2045</v>
      </c>
      <c r="B91" s="696">
        <v>246.6134152370505</v>
      </c>
      <c r="C91" s="697">
        <v>556.79999999999995</v>
      </c>
      <c r="D91" s="531">
        <f t="shared" si="19"/>
        <v>0</v>
      </c>
      <c r="E91" s="701">
        <v>2254</v>
      </c>
      <c r="F91" s="1201">
        <v>72</v>
      </c>
      <c r="G91" s="606">
        <f t="shared" si="20"/>
        <v>0</v>
      </c>
      <c r="H91" s="608">
        <f t="shared" si="21"/>
        <v>0</v>
      </c>
      <c r="I91" s="531">
        <f t="shared" si="16"/>
        <v>0</v>
      </c>
      <c r="J91" s="633">
        <v>0</v>
      </c>
      <c r="K91" s="531">
        <f t="shared" si="22"/>
        <v>0</v>
      </c>
      <c r="L91" s="531">
        <f t="shared" si="23"/>
        <v>0</v>
      </c>
      <c r="M91" s="531">
        <f t="shared" si="17"/>
        <v>0</v>
      </c>
      <c r="N91" s="633">
        <v>616.9</v>
      </c>
      <c r="O91" s="531">
        <f t="shared" si="24"/>
        <v>0</v>
      </c>
      <c r="Q91" s="536">
        <f t="shared" si="18"/>
        <v>0.37196427172228747</v>
      </c>
    </row>
    <row r="92" spans="1:17" ht="15" customHeight="1" x14ac:dyDescent="0.6">
      <c r="A92" s="609">
        <v>2046</v>
      </c>
      <c r="B92" s="696">
        <v>267.00646280474029</v>
      </c>
      <c r="C92" s="697">
        <v>574</v>
      </c>
      <c r="D92" s="531">
        <f t="shared" si="19"/>
        <v>0</v>
      </c>
      <c r="E92" s="701">
        <v>2297.5</v>
      </c>
      <c r="F92" s="1201">
        <v>73.2</v>
      </c>
      <c r="G92" s="607">
        <f t="shared" si="20"/>
        <v>0</v>
      </c>
      <c r="H92" s="608">
        <f t="shared" si="21"/>
        <v>0</v>
      </c>
      <c r="I92" s="531">
        <f t="shared" si="16"/>
        <v>0</v>
      </c>
      <c r="J92" s="633">
        <v>0</v>
      </c>
      <c r="K92" s="531">
        <f t="shared" si="22"/>
        <v>0</v>
      </c>
      <c r="L92" s="531">
        <f t="shared" si="23"/>
        <v>0</v>
      </c>
      <c r="M92" s="531">
        <f t="shared" si="17"/>
        <v>0</v>
      </c>
      <c r="N92" s="633">
        <v>627.6</v>
      </c>
      <c r="O92" s="531">
        <f t="shared" si="24"/>
        <v>0</v>
      </c>
      <c r="Q92" s="536">
        <f t="shared" si="18"/>
        <v>0.39292006811243463</v>
      </c>
    </row>
    <row r="93" spans="1:17" ht="15" customHeight="1" x14ac:dyDescent="0.6">
      <c r="A93" s="609">
        <v>2047</v>
      </c>
      <c r="B93" s="696">
        <v>288.22032856568694</v>
      </c>
      <c r="C93" s="697">
        <v>591.6</v>
      </c>
      <c r="D93" s="531">
        <f t="shared" si="19"/>
        <v>0</v>
      </c>
      <c r="E93" s="701">
        <v>2347.5</v>
      </c>
      <c r="F93" s="1201">
        <v>74.599999999999994</v>
      </c>
      <c r="G93" s="607">
        <f t="shared" si="20"/>
        <v>0</v>
      </c>
      <c r="H93" s="608">
        <f t="shared" si="21"/>
        <v>0</v>
      </c>
      <c r="I93" s="531">
        <f t="shared" si="16"/>
        <v>0</v>
      </c>
      <c r="J93" s="633">
        <v>0</v>
      </c>
      <c r="K93" s="531">
        <f t="shared" si="22"/>
        <v>0</v>
      </c>
      <c r="L93" s="531">
        <f t="shared" si="23"/>
        <v>0</v>
      </c>
      <c r="M93" s="531">
        <f t="shared" si="17"/>
        <v>0</v>
      </c>
      <c r="N93" s="633">
        <v>637.6</v>
      </c>
      <c r="O93" s="531">
        <f t="shared" si="24"/>
        <v>0</v>
      </c>
      <c r="Q93" s="536">
        <f t="shared" si="18"/>
        <v>0.41391761955750794</v>
      </c>
    </row>
    <row r="94" spans="1:17" ht="15" customHeight="1" x14ac:dyDescent="0.6">
      <c r="A94" s="609">
        <v>2048</v>
      </c>
      <c r="B94" s="696">
        <v>310.25580494501628</v>
      </c>
      <c r="C94" s="697">
        <v>609.4</v>
      </c>
      <c r="D94" s="531">
        <f t="shared" si="19"/>
        <v>0</v>
      </c>
      <c r="E94" s="701">
        <v>2398.1999999999998</v>
      </c>
      <c r="F94" s="1201">
        <v>76</v>
      </c>
      <c r="G94" s="607">
        <f t="shared" si="20"/>
        <v>0</v>
      </c>
      <c r="H94" s="608">
        <f t="shared" si="21"/>
        <v>0</v>
      </c>
      <c r="I94" s="531">
        <f t="shared" si="16"/>
        <v>0</v>
      </c>
      <c r="J94" s="633">
        <v>0</v>
      </c>
      <c r="K94" s="531">
        <f t="shared" si="22"/>
        <v>0</v>
      </c>
      <c r="L94" s="531">
        <f t="shared" si="23"/>
        <v>0</v>
      </c>
      <c r="M94" s="531">
        <f t="shared" si="17"/>
        <v>0</v>
      </c>
      <c r="N94" s="633">
        <v>649.4</v>
      </c>
      <c r="O94" s="531">
        <f t="shared" si="24"/>
        <v>0</v>
      </c>
      <c r="Q94" s="536">
        <f t="shared" si="18"/>
        <v>0.43493704437815456</v>
      </c>
    </row>
    <row r="95" spans="1:17" ht="15" customHeight="1" x14ac:dyDescent="0.6">
      <c r="A95" s="609">
        <v>2049</v>
      </c>
      <c r="B95" s="696">
        <v>333.11368436738849</v>
      </c>
      <c r="C95" s="697">
        <v>627.5</v>
      </c>
      <c r="D95" s="531">
        <f t="shared" si="19"/>
        <v>0</v>
      </c>
      <c r="E95" s="701">
        <v>2441</v>
      </c>
      <c r="F95" s="1201">
        <v>77.099999999999994</v>
      </c>
      <c r="G95" s="607">
        <f t="shared" si="20"/>
        <v>0</v>
      </c>
      <c r="H95" s="608">
        <f t="shared" si="21"/>
        <v>0</v>
      </c>
      <c r="I95" s="531">
        <f t="shared" si="16"/>
        <v>0</v>
      </c>
      <c r="J95" s="633">
        <v>0</v>
      </c>
      <c r="K95" s="531">
        <f t="shared" si="22"/>
        <v>0</v>
      </c>
      <c r="L95" s="531">
        <f t="shared" si="23"/>
        <v>0</v>
      </c>
      <c r="M95" s="531">
        <f t="shared" si="17"/>
        <v>0</v>
      </c>
      <c r="N95" s="633">
        <v>658.1</v>
      </c>
      <c r="O95" s="531">
        <f t="shared" si="24"/>
        <v>0</v>
      </c>
      <c r="Q95" s="536">
        <f t="shared" si="18"/>
        <v>0.45596091495849844</v>
      </c>
    </row>
    <row r="96" spans="1:17" ht="15" customHeight="1" x14ac:dyDescent="0.6">
      <c r="A96" s="609">
        <v>2050</v>
      </c>
      <c r="B96" s="696">
        <v>356.79475925723091</v>
      </c>
      <c r="C96" s="697">
        <v>645.70000000000005</v>
      </c>
      <c r="D96" s="531">
        <f t="shared" si="19"/>
        <v>0</v>
      </c>
      <c r="E96" s="702">
        <v>2491.6999999999998</v>
      </c>
      <c r="F96" s="1201">
        <v>78.5</v>
      </c>
      <c r="G96" s="607">
        <f t="shared" si="20"/>
        <v>0</v>
      </c>
      <c r="H96" s="608">
        <f t="shared" si="21"/>
        <v>0</v>
      </c>
      <c r="I96" s="531">
        <f t="shared" si="16"/>
        <v>0</v>
      </c>
      <c r="J96" s="633">
        <v>0</v>
      </c>
      <c r="K96" s="531">
        <f t="shared" si="22"/>
        <v>0</v>
      </c>
      <c r="L96" s="531">
        <f t="shared" si="23"/>
        <v>0</v>
      </c>
      <c r="M96" s="531">
        <f t="shared" si="17"/>
        <v>0</v>
      </c>
      <c r="N96" s="633">
        <v>670.2</v>
      </c>
      <c r="O96" s="531">
        <f t="shared" si="24"/>
        <v>0</v>
      </c>
      <c r="Q96" s="536">
        <f t="shared" si="18"/>
        <v>0.47697415279899624</v>
      </c>
    </row>
    <row r="97" spans="1:17" ht="15" customHeight="1" x14ac:dyDescent="0.6">
      <c r="A97" s="609">
        <v>2051</v>
      </c>
      <c r="B97" s="696">
        <v>381.29982203943655</v>
      </c>
      <c r="C97" s="697">
        <v>666.1</v>
      </c>
      <c r="D97" s="531">
        <f t="shared" si="19"/>
        <v>0</v>
      </c>
      <c r="E97" s="701">
        <v>2540.1999999999998</v>
      </c>
      <c r="F97" s="1201">
        <v>79.8</v>
      </c>
      <c r="G97" s="607">
        <f t="shared" si="20"/>
        <v>0</v>
      </c>
      <c r="H97" s="608">
        <f t="shared" si="21"/>
        <v>0</v>
      </c>
      <c r="I97" s="531">
        <f t="shared" si="16"/>
        <v>0</v>
      </c>
      <c r="J97" s="633">
        <v>0</v>
      </c>
      <c r="K97" s="531">
        <f t="shared" si="22"/>
        <v>0</v>
      </c>
      <c r="L97" s="531">
        <f t="shared" si="23"/>
        <v>0</v>
      </c>
      <c r="M97" s="531">
        <f t="shared" si="17"/>
        <v>0</v>
      </c>
      <c r="N97" s="633">
        <v>679.1</v>
      </c>
      <c r="O97" s="531">
        <f t="shared" si="24"/>
        <v>0</v>
      </c>
      <c r="Q97" s="536">
        <f t="shared" si="18"/>
        <v>0.49796376887716426</v>
      </c>
    </row>
    <row r="98" spans="1:17" ht="15" customHeight="1" x14ac:dyDescent="0.6">
      <c r="A98" s="609">
        <v>2052</v>
      </c>
      <c r="B98" s="696">
        <v>406.62966513843276</v>
      </c>
      <c r="C98" s="697">
        <v>667.8</v>
      </c>
      <c r="D98" s="531">
        <f t="shared" si="19"/>
        <v>0</v>
      </c>
      <c r="E98" s="701">
        <v>2580.8000000000002</v>
      </c>
      <c r="F98" s="1201">
        <v>80.900000000000006</v>
      </c>
      <c r="G98" s="607">
        <f t="shared" si="20"/>
        <v>0</v>
      </c>
      <c r="H98" s="608">
        <f t="shared" si="21"/>
        <v>0</v>
      </c>
      <c r="I98" s="531">
        <f t="shared" si="16"/>
        <v>0</v>
      </c>
      <c r="J98" s="633">
        <v>0</v>
      </c>
      <c r="K98" s="531">
        <f t="shared" si="22"/>
        <v>0</v>
      </c>
      <c r="L98" s="531">
        <f t="shared" si="23"/>
        <v>0</v>
      </c>
      <c r="M98" s="531">
        <f t="shared" si="17"/>
        <v>0</v>
      </c>
      <c r="N98" s="633">
        <v>689.4</v>
      </c>
      <c r="O98" s="531">
        <f t="shared" si="24"/>
        <v>0</v>
      </c>
      <c r="Q98" s="536">
        <f t="shared" si="18"/>
        <v>0.51978537023180871</v>
      </c>
    </row>
    <row r="99" spans="1:17" ht="15" customHeight="1" x14ac:dyDescent="0.6">
      <c r="A99" s="609">
        <v>2053</v>
      </c>
      <c r="B99" s="696">
        <v>432.78508097887971</v>
      </c>
      <c r="C99" s="697">
        <v>668</v>
      </c>
      <c r="D99" s="531">
        <f t="shared" si="19"/>
        <v>0</v>
      </c>
      <c r="E99" s="701">
        <v>2628.6</v>
      </c>
      <c r="F99" s="1201">
        <v>82.1</v>
      </c>
      <c r="G99" s="607">
        <f t="shared" si="20"/>
        <v>0</v>
      </c>
      <c r="H99" s="608">
        <f t="shared" si="21"/>
        <v>0</v>
      </c>
      <c r="I99" s="531">
        <f t="shared" si="16"/>
        <v>0</v>
      </c>
      <c r="J99" s="633">
        <v>0</v>
      </c>
      <c r="K99" s="531">
        <f t="shared" si="22"/>
        <v>0</v>
      </c>
      <c r="L99" s="531">
        <f t="shared" si="23"/>
        <v>0</v>
      </c>
      <c r="M99" s="531">
        <f t="shared" si="17"/>
        <v>0</v>
      </c>
      <c r="N99" s="633">
        <v>698.3</v>
      </c>
      <c r="O99" s="531">
        <f t="shared" si="24"/>
        <v>0</v>
      </c>
      <c r="Q99" s="536">
        <f t="shared" si="18"/>
        <v>0.53982937000556097</v>
      </c>
    </row>
    <row r="100" spans="1:17" ht="15" customHeight="1" x14ac:dyDescent="0.6">
      <c r="A100" s="609">
        <v>2054</v>
      </c>
      <c r="B100" s="696">
        <v>459.76686198543757</v>
      </c>
      <c r="C100" s="697">
        <v>668</v>
      </c>
      <c r="D100" s="531">
        <f t="shared" si="19"/>
        <v>0</v>
      </c>
      <c r="E100" s="701">
        <v>2676.3</v>
      </c>
      <c r="F100" s="1201">
        <v>83.4</v>
      </c>
      <c r="G100" s="607">
        <f t="shared" si="20"/>
        <v>0</v>
      </c>
      <c r="H100" s="608">
        <f t="shared" si="21"/>
        <v>0</v>
      </c>
      <c r="I100" s="531">
        <f t="shared" si="16"/>
        <v>0</v>
      </c>
      <c r="J100" s="633">
        <v>0</v>
      </c>
      <c r="K100" s="531">
        <f t="shared" si="22"/>
        <v>0</v>
      </c>
      <c r="L100" s="531">
        <f t="shared" si="23"/>
        <v>0</v>
      </c>
      <c r="M100" s="531">
        <f t="shared" si="17"/>
        <v>0</v>
      </c>
      <c r="N100" s="633">
        <v>709.5</v>
      </c>
      <c r="O100" s="531">
        <f t="shared" si="24"/>
        <v>0</v>
      </c>
      <c r="Q100" s="536">
        <f t="shared" si="18"/>
        <v>0.56068801782909361</v>
      </c>
    </row>
    <row r="101" spans="1:17" ht="15" customHeight="1" x14ac:dyDescent="0.6">
      <c r="A101" s="609">
        <v>2055</v>
      </c>
      <c r="B101" s="696">
        <v>487.5758005825337</v>
      </c>
      <c r="C101" s="697">
        <v>668</v>
      </c>
      <c r="D101" s="531">
        <f t="shared" si="19"/>
        <v>0</v>
      </c>
      <c r="E101" s="701">
        <v>2717</v>
      </c>
      <c r="F101" s="1201">
        <v>84.4</v>
      </c>
      <c r="G101" s="607">
        <f t="shared" si="20"/>
        <v>0</v>
      </c>
      <c r="H101" s="608">
        <f t="shared" si="21"/>
        <v>0</v>
      </c>
      <c r="I101" s="531">
        <f t="shared" si="16"/>
        <v>0</v>
      </c>
      <c r="J101" s="633">
        <v>0</v>
      </c>
      <c r="K101" s="531">
        <f t="shared" si="22"/>
        <v>0</v>
      </c>
      <c r="L101" s="531">
        <f t="shared" si="23"/>
        <v>0</v>
      </c>
      <c r="M101" s="531">
        <f t="shared" si="17"/>
        <v>0</v>
      </c>
      <c r="N101" s="633">
        <v>717.5</v>
      </c>
      <c r="O101" s="531">
        <f t="shared" si="24"/>
        <v>0</v>
      </c>
      <c r="Q101" s="536">
        <f t="shared" si="18"/>
        <v>0.58148851418327951</v>
      </c>
    </row>
    <row r="102" spans="1:17" ht="15" customHeight="1" x14ac:dyDescent="0.6">
      <c r="A102" s="609">
        <v>2056</v>
      </c>
      <c r="B102" s="696">
        <v>516.2126891950611</v>
      </c>
      <c r="C102" s="697">
        <v>668.2</v>
      </c>
      <c r="D102" s="531">
        <f t="shared" si="19"/>
        <v>0</v>
      </c>
      <c r="E102" s="701">
        <v>2765.5</v>
      </c>
      <c r="F102" s="1201">
        <v>85.7</v>
      </c>
      <c r="G102" s="607">
        <f t="shared" si="20"/>
        <v>0</v>
      </c>
      <c r="H102" s="608">
        <f t="shared" si="21"/>
        <v>0</v>
      </c>
      <c r="I102" s="531">
        <f t="shared" si="16"/>
        <v>0</v>
      </c>
      <c r="J102" s="633">
        <v>0</v>
      </c>
      <c r="K102" s="531">
        <f t="shared" si="22"/>
        <v>0</v>
      </c>
      <c r="L102" s="531">
        <f t="shared" si="23"/>
        <v>0</v>
      </c>
      <c r="M102" s="531">
        <f t="shared" si="17"/>
        <v>0</v>
      </c>
      <c r="N102" s="633">
        <v>726.2</v>
      </c>
      <c r="O102" s="531">
        <f t="shared" si="24"/>
        <v>0</v>
      </c>
      <c r="Q102" s="536">
        <f t="shared" si="18"/>
        <v>0.60222615644770827</v>
      </c>
    </row>
    <row r="103" spans="1:17" ht="15" customHeight="1" x14ac:dyDescent="0.6">
      <c r="A103" s="609">
        <v>2057</v>
      </c>
      <c r="B103" s="696">
        <v>545.67832024744712</v>
      </c>
      <c r="C103" s="697">
        <v>668.4</v>
      </c>
      <c r="D103" s="531">
        <f t="shared" si="19"/>
        <v>0</v>
      </c>
      <c r="E103" s="701">
        <v>2806.8</v>
      </c>
      <c r="F103" s="1201">
        <v>86.8</v>
      </c>
      <c r="G103" s="607">
        <f t="shared" si="20"/>
        <v>0</v>
      </c>
      <c r="H103" s="608">
        <f t="shared" si="21"/>
        <v>0</v>
      </c>
      <c r="I103" s="531">
        <f t="shared" si="16"/>
        <v>0</v>
      </c>
      <c r="J103" s="633">
        <v>0</v>
      </c>
      <c r="K103" s="531">
        <f t="shared" si="22"/>
        <v>0</v>
      </c>
      <c r="L103" s="531">
        <f t="shared" si="23"/>
        <v>0</v>
      </c>
      <c r="M103" s="531">
        <f t="shared" si="17"/>
        <v>0</v>
      </c>
      <c r="N103" s="633">
        <v>734.6</v>
      </c>
      <c r="O103" s="531">
        <f t="shared" si="24"/>
        <v>0</v>
      </c>
      <c r="Q103" s="536">
        <f t="shared" si="18"/>
        <v>0.62289721601251535</v>
      </c>
    </row>
    <row r="104" spans="1:17" ht="15" customHeight="1" x14ac:dyDescent="0.6">
      <c r="A104" s="609">
        <v>2058</v>
      </c>
      <c r="B104" s="696">
        <v>575.97348616435193</v>
      </c>
      <c r="C104" s="697">
        <v>668.9</v>
      </c>
      <c r="D104" s="531">
        <f t="shared" si="19"/>
        <v>0</v>
      </c>
      <c r="E104" s="701">
        <v>2855.3</v>
      </c>
      <c r="F104" s="1201">
        <v>88</v>
      </c>
      <c r="G104" s="607">
        <f t="shared" si="20"/>
        <v>0</v>
      </c>
      <c r="H104" s="608">
        <f t="shared" si="21"/>
        <v>0</v>
      </c>
      <c r="I104" s="531">
        <f t="shared" si="16"/>
        <v>0</v>
      </c>
      <c r="J104" s="633">
        <v>0</v>
      </c>
      <c r="K104" s="531">
        <f t="shared" si="22"/>
        <v>0</v>
      </c>
      <c r="L104" s="531">
        <f t="shared" si="23"/>
        <v>0</v>
      </c>
      <c r="M104" s="531">
        <f t="shared" si="17"/>
        <v>0</v>
      </c>
      <c r="N104" s="633">
        <v>741.5</v>
      </c>
      <c r="O104" s="531">
        <f t="shared" si="24"/>
        <v>0</v>
      </c>
      <c r="Q104" s="536">
        <f t="shared" si="18"/>
        <v>0.64349867750075218</v>
      </c>
    </row>
    <row r="105" spans="1:17" ht="15" customHeight="1" x14ac:dyDescent="0.6">
      <c r="A105" s="609">
        <v>2059</v>
      </c>
      <c r="B105" s="696">
        <v>607.09897937066853</v>
      </c>
      <c r="C105" s="697">
        <v>669.6</v>
      </c>
      <c r="D105" s="531">
        <f t="shared" si="19"/>
        <v>0</v>
      </c>
      <c r="E105" s="701">
        <v>2903.8</v>
      </c>
      <c r="F105" s="1201">
        <v>89.3</v>
      </c>
      <c r="G105" s="607">
        <f t="shared" si="20"/>
        <v>0</v>
      </c>
      <c r="H105" s="608">
        <f t="shared" si="21"/>
        <v>0</v>
      </c>
      <c r="I105" s="531">
        <f t="shared" si="16"/>
        <v>0</v>
      </c>
      <c r="J105" s="633">
        <v>0</v>
      </c>
      <c r="K105" s="531">
        <f t="shared" si="22"/>
        <v>0</v>
      </c>
      <c r="L105" s="531">
        <f t="shared" si="23"/>
        <v>0</v>
      </c>
      <c r="M105" s="531">
        <f t="shared" si="17"/>
        <v>0</v>
      </c>
      <c r="N105" s="633">
        <v>747.8</v>
      </c>
      <c r="O105" s="531">
        <f t="shared" si="24"/>
        <v>0</v>
      </c>
      <c r="Q105" s="536">
        <f t="shared" si="18"/>
        <v>0.66402817313846874</v>
      </c>
    </row>
    <row r="106" spans="1:17" ht="15" customHeight="1" x14ac:dyDescent="0.6">
      <c r="A106" s="609">
        <v>2060</v>
      </c>
      <c r="B106" s="696">
        <v>639.05559229059145</v>
      </c>
      <c r="C106" s="697">
        <v>670.3</v>
      </c>
      <c r="D106" s="531">
        <f t="shared" si="19"/>
        <v>0</v>
      </c>
      <c r="E106" s="701">
        <v>2943.7</v>
      </c>
      <c r="F106" s="1201">
        <v>90.3</v>
      </c>
      <c r="G106" s="607">
        <f t="shared" si="20"/>
        <v>0</v>
      </c>
      <c r="H106" s="608">
        <f t="shared" si="21"/>
        <v>0</v>
      </c>
      <c r="I106" s="531">
        <f t="shared" si="16"/>
        <v>0</v>
      </c>
      <c r="J106" s="633">
        <v>0</v>
      </c>
      <c r="K106" s="531">
        <f t="shared" si="22"/>
        <v>0</v>
      </c>
      <c r="L106" s="531">
        <f t="shared" si="23"/>
        <v>0</v>
      </c>
      <c r="M106" s="531">
        <f t="shared" si="17"/>
        <v>0</v>
      </c>
      <c r="N106" s="633">
        <v>753.4</v>
      </c>
      <c r="O106" s="531">
        <f t="shared" si="24"/>
        <v>0</v>
      </c>
      <c r="Q106" s="536">
        <f t="shared" si="18"/>
        <v>0.68448411071692761</v>
      </c>
    </row>
    <row r="107" spans="1:17" ht="15" customHeight="1" x14ac:dyDescent="0.4"/>
    <row r="108" spans="1:17" ht="15" customHeight="1" x14ac:dyDescent="0.4">
      <c r="A108" s="609" t="s">
        <v>351</v>
      </c>
    </row>
    <row r="109" spans="1:17" ht="100" customHeight="1" x14ac:dyDescent="0.4">
      <c r="B109" s="899" t="s">
        <v>1076</v>
      </c>
      <c r="C109" s="735" t="s">
        <v>384</v>
      </c>
      <c r="D109" s="735" t="s">
        <v>386</v>
      </c>
      <c r="E109" s="735" t="s">
        <v>1080</v>
      </c>
      <c r="F109" s="1204" t="s">
        <v>1116</v>
      </c>
      <c r="G109" s="735" t="s">
        <v>385</v>
      </c>
      <c r="H109" s="1204" t="s">
        <v>1081</v>
      </c>
      <c r="I109" s="735" t="s">
        <v>350</v>
      </c>
      <c r="J109" s="1210" t="s">
        <v>1118</v>
      </c>
      <c r="K109" s="735" t="s">
        <v>343</v>
      </c>
      <c r="L109" s="735" t="s">
        <v>344</v>
      </c>
      <c r="M109" s="735" t="s">
        <v>345</v>
      </c>
      <c r="N109" s="1204" t="s">
        <v>1117</v>
      </c>
      <c r="O109" s="735" t="s">
        <v>346</v>
      </c>
      <c r="Q109" s="735" t="s">
        <v>352</v>
      </c>
    </row>
    <row r="110" spans="1:17" ht="15" customHeight="1" x14ac:dyDescent="0.6">
      <c r="A110" s="609">
        <v>2014</v>
      </c>
      <c r="B110" s="696">
        <v>1.67</v>
      </c>
      <c r="C110" s="697">
        <v>117.3</v>
      </c>
      <c r="D110" s="531">
        <f>IF((B110-C110)&lt;0,0,(B110-C110))</f>
        <v>0</v>
      </c>
      <c r="E110" s="699">
        <v>903.9</v>
      </c>
      <c r="F110" s="1202">
        <v>32.5</v>
      </c>
      <c r="G110" s="606">
        <f>D110/E110</f>
        <v>0</v>
      </c>
      <c r="H110" s="608">
        <f>G110*E110</f>
        <v>0</v>
      </c>
      <c r="I110" s="531">
        <f t="shared" ref="I110:I156" si="25">IF(H110&gt;D110,0,D110-H110)</f>
        <v>0</v>
      </c>
      <c r="J110" s="633">
        <v>0</v>
      </c>
      <c r="K110" s="531">
        <f>J110*$BN$69</f>
        <v>0</v>
      </c>
      <c r="L110" s="531">
        <f>MIN(I110,K110)</f>
        <v>0</v>
      </c>
      <c r="M110" s="531">
        <f t="shared" ref="M110:M156" si="26">I110-L110</f>
        <v>0</v>
      </c>
      <c r="N110" s="633">
        <v>89.5</v>
      </c>
      <c r="O110" s="531">
        <f>M110/$BN$31</f>
        <v>0</v>
      </c>
      <c r="Q110" s="536">
        <f t="shared" ref="Q110:Q156" si="27">B110/AC10</f>
        <v>5.7986111111111112E-3</v>
      </c>
    </row>
    <row r="111" spans="1:17" ht="15" customHeight="1" x14ac:dyDescent="0.6">
      <c r="A111" s="609">
        <v>2015</v>
      </c>
      <c r="B111" s="696">
        <v>2.0299999999999998</v>
      </c>
      <c r="C111" s="697">
        <v>118.1</v>
      </c>
      <c r="D111" s="531">
        <f t="shared" ref="D111:D156" si="28">IF((B111-C111)&lt;0,0,(B111-C111))</f>
        <v>0</v>
      </c>
      <c r="E111" s="699">
        <v>903.9</v>
      </c>
      <c r="F111" s="1202">
        <v>32.5</v>
      </c>
      <c r="G111" s="606">
        <f t="shared" ref="G111:G156" si="29">D111/E111</f>
        <v>0</v>
      </c>
      <c r="H111" s="608">
        <f t="shared" ref="H111:H156" si="30">G111*E111</f>
        <v>0</v>
      </c>
      <c r="I111" s="531">
        <f t="shared" si="25"/>
        <v>0</v>
      </c>
      <c r="J111" s="633">
        <v>0</v>
      </c>
      <c r="K111" s="531">
        <f t="shared" ref="K111:K156" si="31">J111*$BN$69</f>
        <v>0</v>
      </c>
      <c r="L111" s="531">
        <f t="shared" ref="L111:L156" si="32">MIN(I111,K111)</f>
        <v>0</v>
      </c>
      <c r="M111" s="531">
        <f t="shared" si="26"/>
        <v>0</v>
      </c>
      <c r="N111" s="633">
        <v>90.3</v>
      </c>
      <c r="O111" s="531">
        <f t="shared" ref="O111:O156" si="33">M111/$BN$31</f>
        <v>0</v>
      </c>
      <c r="Q111" s="536">
        <f t="shared" si="27"/>
        <v>6.7892976588628754E-3</v>
      </c>
    </row>
    <row r="112" spans="1:17" ht="15" customHeight="1" x14ac:dyDescent="0.6">
      <c r="A112" s="609">
        <v>2016</v>
      </c>
      <c r="B112" s="696">
        <v>2.0499999999999998</v>
      </c>
      <c r="C112" s="697">
        <v>117.1</v>
      </c>
      <c r="D112" s="531">
        <f t="shared" si="28"/>
        <v>0</v>
      </c>
      <c r="E112" s="699">
        <v>903.9</v>
      </c>
      <c r="F112" s="1202">
        <v>32.5</v>
      </c>
      <c r="G112" s="606">
        <f t="shared" si="29"/>
        <v>0</v>
      </c>
      <c r="H112" s="608">
        <f t="shared" si="30"/>
        <v>0</v>
      </c>
      <c r="I112" s="531">
        <f t="shared" si="25"/>
        <v>0</v>
      </c>
      <c r="J112" s="633">
        <v>0</v>
      </c>
      <c r="K112" s="531">
        <f t="shared" si="31"/>
        <v>0</v>
      </c>
      <c r="L112" s="531">
        <f t="shared" si="32"/>
        <v>0</v>
      </c>
      <c r="M112" s="531">
        <f t="shared" si="26"/>
        <v>0</v>
      </c>
      <c r="N112" s="633">
        <v>91.7</v>
      </c>
      <c r="O112" s="531">
        <f t="shared" si="33"/>
        <v>0</v>
      </c>
      <c r="Q112" s="536">
        <f t="shared" si="27"/>
        <v>6.591639871382636E-3</v>
      </c>
    </row>
    <row r="113" spans="1:17" ht="15" customHeight="1" x14ac:dyDescent="0.6">
      <c r="A113" s="609">
        <v>2017</v>
      </c>
      <c r="B113" s="696">
        <v>2.27</v>
      </c>
      <c r="C113" s="697">
        <v>116.6</v>
      </c>
      <c r="D113" s="531">
        <f t="shared" si="28"/>
        <v>0</v>
      </c>
      <c r="E113" s="699">
        <v>903.9</v>
      </c>
      <c r="F113" s="1202">
        <v>32.5</v>
      </c>
      <c r="G113" s="606">
        <f t="shared" si="29"/>
        <v>0</v>
      </c>
      <c r="H113" s="608">
        <f t="shared" si="30"/>
        <v>0</v>
      </c>
      <c r="I113" s="531">
        <f t="shared" si="25"/>
        <v>0</v>
      </c>
      <c r="J113" s="633">
        <v>0</v>
      </c>
      <c r="K113" s="531">
        <f t="shared" si="31"/>
        <v>0</v>
      </c>
      <c r="L113" s="531">
        <f t="shared" si="32"/>
        <v>0</v>
      </c>
      <c r="M113" s="531">
        <f t="shared" si="26"/>
        <v>0</v>
      </c>
      <c r="N113" s="633">
        <v>92.7</v>
      </c>
      <c r="O113" s="531">
        <f t="shared" si="33"/>
        <v>0</v>
      </c>
      <c r="Q113" s="536">
        <f t="shared" si="27"/>
        <v>7.0496894409937888E-3</v>
      </c>
    </row>
    <row r="114" spans="1:17" ht="15" customHeight="1" x14ac:dyDescent="0.6">
      <c r="A114" s="609">
        <v>2018</v>
      </c>
      <c r="B114" s="696">
        <v>2.1100000000001273</v>
      </c>
      <c r="C114" s="697">
        <v>116.5</v>
      </c>
      <c r="D114" s="531">
        <f t="shared" si="28"/>
        <v>0</v>
      </c>
      <c r="E114" s="699">
        <v>903.9</v>
      </c>
      <c r="F114" s="1202">
        <v>32.5</v>
      </c>
      <c r="G114" s="606">
        <f t="shared" si="29"/>
        <v>0</v>
      </c>
      <c r="H114" s="608">
        <f t="shared" si="30"/>
        <v>0</v>
      </c>
      <c r="I114" s="531">
        <f t="shared" si="25"/>
        <v>0</v>
      </c>
      <c r="J114" s="633">
        <v>0</v>
      </c>
      <c r="K114" s="531">
        <f t="shared" si="31"/>
        <v>0</v>
      </c>
      <c r="L114" s="531">
        <f t="shared" si="32"/>
        <v>0</v>
      </c>
      <c r="M114" s="531">
        <f t="shared" si="26"/>
        <v>0</v>
      </c>
      <c r="N114" s="633">
        <v>98.8</v>
      </c>
      <c r="O114" s="531">
        <f t="shared" si="33"/>
        <v>0</v>
      </c>
      <c r="Q114" s="536">
        <f t="shared" si="27"/>
        <v>6.298507462686947E-3</v>
      </c>
    </row>
    <row r="115" spans="1:17" ht="15" customHeight="1" x14ac:dyDescent="0.6">
      <c r="A115" s="609">
        <v>2019</v>
      </c>
      <c r="B115" s="696">
        <v>2.9085714285715767</v>
      </c>
      <c r="C115" s="697">
        <v>136.30000000000001</v>
      </c>
      <c r="D115" s="531">
        <f t="shared" si="28"/>
        <v>0</v>
      </c>
      <c r="E115" s="699">
        <v>976.6</v>
      </c>
      <c r="F115" s="1202">
        <v>34.799999999999997</v>
      </c>
      <c r="G115" s="606">
        <f t="shared" si="29"/>
        <v>0</v>
      </c>
      <c r="H115" s="608">
        <f t="shared" si="30"/>
        <v>0</v>
      </c>
      <c r="I115" s="531">
        <f t="shared" si="25"/>
        <v>0</v>
      </c>
      <c r="J115" s="633">
        <v>0</v>
      </c>
      <c r="K115" s="531">
        <f t="shared" si="31"/>
        <v>0</v>
      </c>
      <c r="L115" s="531">
        <f t="shared" si="32"/>
        <v>0</v>
      </c>
      <c r="M115" s="531">
        <f t="shared" si="26"/>
        <v>0</v>
      </c>
      <c r="N115" s="633">
        <v>152.9</v>
      </c>
      <c r="O115" s="531">
        <f t="shared" si="33"/>
        <v>0</v>
      </c>
      <c r="Q115" s="536">
        <f t="shared" si="27"/>
        <v>8.35796387520568E-3</v>
      </c>
    </row>
    <row r="116" spans="1:17" ht="15" customHeight="1" x14ac:dyDescent="0.6">
      <c r="A116" s="609">
        <v>2020</v>
      </c>
      <c r="B116" s="696">
        <v>3.707142857143026</v>
      </c>
      <c r="C116" s="697">
        <v>162.1</v>
      </c>
      <c r="D116" s="531">
        <f t="shared" si="28"/>
        <v>0</v>
      </c>
      <c r="E116" s="702">
        <v>1041.5</v>
      </c>
      <c r="F116" s="1203">
        <v>36.9</v>
      </c>
      <c r="G116" s="606">
        <f t="shared" si="29"/>
        <v>0</v>
      </c>
      <c r="H116" s="608">
        <f t="shared" si="30"/>
        <v>0</v>
      </c>
      <c r="I116" s="531">
        <f t="shared" si="25"/>
        <v>0</v>
      </c>
      <c r="J116" s="633">
        <v>0</v>
      </c>
      <c r="K116" s="531">
        <f t="shared" si="31"/>
        <v>0</v>
      </c>
      <c r="L116" s="531">
        <f t="shared" si="32"/>
        <v>0</v>
      </c>
      <c r="M116" s="531">
        <f t="shared" si="26"/>
        <v>0</v>
      </c>
      <c r="N116" s="633">
        <v>187.7</v>
      </c>
      <c r="O116" s="531">
        <f t="shared" si="33"/>
        <v>0</v>
      </c>
      <c r="Q116" s="536">
        <f t="shared" si="27"/>
        <v>1.0326303223239627E-2</v>
      </c>
    </row>
    <row r="117" spans="1:17" ht="15" customHeight="1" x14ac:dyDescent="0.6">
      <c r="A117" s="609">
        <v>2021</v>
      </c>
      <c r="B117" s="696">
        <v>4.505714285714248</v>
      </c>
      <c r="C117" s="697">
        <v>188.7</v>
      </c>
      <c r="D117" s="531">
        <f t="shared" si="28"/>
        <v>0</v>
      </c>
      <c r="E117" s="701">
        <v>1105.5999999999999</v>
      </c>
      <c r="F117" s="1203">
        <v>38.9</v>
      </c>
      <c r="G117" s="606">
        <f t="shared" si="29"/>
        <v>0</v>
      </c>
      <c r="H117" s="608">
        <f t="shared" si="30"/>
        <v>0</v>
      </c>
      <c r="I117" s="531">
        <f t="shared" si="25"/>
        <v>0</v>
      </c>
      <c r="J117" s="633">
        <v>0</v>
      </c>
      <c r="K117" s="531">
        <f t="shared" si="31"/>
        <v>0</v>
      </c>
      <c r="L117" s="531">
        <f t="shared" si="32"/>
        <v>0</v>
      </c>
      <c r="M117" s="531">
        <f t="shared" si="26"/>
        <v>0</v>
      </c>
      <c r="N117" s="633">
        <v>219.5</v>
      </c>
      <c r="O117" s="531">
        <f t="shared" si="33"/>
        <v>0</v>
      </c>
      <c r="Q117" s="536">
        <f t="shared" si="27"/>
        <v>1.3109329324773428E-2</v>
      </c>
    </row>
    <row r="118" spans="1:17" ht="15" customHeight="1" x14ac:dyDescent="0.6">
      <c r="A118" s="609">
        <v>2022</v>
      </c>
      <c r="B118" s="696">
        <v>5.3042857142856974</v>
      </c>
      <c r="C118" s="697">
        <v>215.8</v>
      </c>
      <c r="D118" s="531">
        <f t="shared" si="28"/>
        <v>0</v>
      </c>
      <c r="E118" s="701">
        <v>1170.5</v>
      </c>
      <c r="F118" s="1203">
        <v>40.799999999999997</v>
      </c>
      <c r="G118" s="606">
        <f t="shared" si="29"/>
        <v>0</v>
      </c>
      <c r="H118" s="608">
        <f t="shared" si="30"/>
        <v>0</v>
      </c>
      <c r="I118" s="531">
        <f t="shared" si="25"/>
        <v>0</v>
      </c>
      <c r="J118" s="633">
        <v>0</v>
      </c>
      <c r="K118" s="531">
        <f t="shared" si="31"/>
        <v>0</v>
      </c>
      <c r="L118" s="531">
        <f t="shared" si="32"/>
        <v>0</v>
      </c>
      <c r="M118" s="531">
        <f t="shared" si="26"/>
        <v>0</v>
      </c>
      <c r="N118" s="633">
        <v>251.6</v>
      </c>
      <c r="O118" s="531">
        <f t="shared" si="33"/>
        <v>0</v>
      </c>
      <c r="Q118" s="536">
        <f t="shared" si="27"/>
        <v>1.4878846406352324E-2</v>
      </c>
    </row>
    <row r="119" spans="1:17" ht="15" customHeight="1" x14ac:dyDescent="0.6">
      <c r="A119" s="609">
        <v>2023</v>
      </c>
      <c r="B119" s="696">
        <v>6.1028571428571468</v>
      </c>
      <c r="C119" s="697">
        <v>243.2</v>
      </c>
      <c r="D119" s="531">
        <f t="shared" si="28"/>
        <v>0</v>
      </c>
      <c r="E119" s="701">
        <v>1243.3</v>
      </c>
      <c r="F119" s="1203">
        <v>43</v>
      </c>
      <c r="G119" s="606">
        <f t="shared" si="29"/>
        <v>0</v>
      </c>
      <c r="H119" s="608">
        <f t="shared" si="30"/>
        <v>0</v>
      </c>
      <c r="I119" s="531">
        <f t="shared" si="25"/>
        <v>0</v>
      </c>
      <c r="J119" s="633">
        <v>0</v>
      </c>
      <c r="K119" s="531">
        <f t="shared" si="31"/>
        <v>0</v>
      </c>
      <c r="L119" s="531">
        <f t="shared" si="32"/>
        <v>0</v>
      </c>
      <c r="M119" s="531">
        <f t="shared" si="26"/>
        <v>0</v>
      </c>
      <c r="N119" s="633">
        <v>283.5</v>
      </c>
      <c r="O119" s="531">
        <f t="shared" si="33"/>
        <v>0</v>
      </c>
      <c r="Q119" s="536">
        <f t="shared" si="27"/>
        <v>1.666513396245075E-2</v>
      </c>
    </row>
    <row r="120" spans="1:17" ht="15" customHeight="1" x14ac:dyDescent="0.6">
      <c r="A120" s="609">
        <v>2024</v>
      </c>
      <c r="B120" s="696">
        <v>6.9014285714285961</v>
      </c>
      <c r="C120" s="697">
        <v>271.60000000000002</v>
      </c>
      <c r="D120" s="531">
        <f t="shared" si="28"/>
        <v>0</v>
      </c>
      <c r="E120" s="701">
        <v>1308.0999999999999</v>
      </c>
      <c r="F120" s="1203">
        <v>45</v>
      </c>
      <c r="G120" s="606">
        <f t="shared" si="29"/>
        <v>0</v>
      </c>
      <c r="H120" s="608">
        <f t="shared" si="30"/>
        <v>0</v>
      </c>
      <c r="I120" s="531">
        <f t="shared" si="25"/>
        <v>0</v>
      </c>
      <c r="J120" s="633">
        <v>0</v>
      </c>
      <c r="K120" s="531">
        <f t="shared" si="31"/>
        <v>0</v>
      </c>
      <c r="L120" s="531">
        <f t="shared" si="32"/>
        <v>0</v>
      </c>
      <c r="M120" s="531">
        <f t="shared" si="26"/>
        <v>0</v>
      </c>
      <c r="N120" s="633">
        <v>315.8</v>
      </c>
      <c r="O120" s="531">
        <f t="shared" si="33"/>
        <v>0</v>
      </c>
      <c r="Q120" s="536">
        <f t="shared" si="27"/>
        <v>1.8359266752466925E-2</v>
      </c>
    </row>
    <row r="121" spans="1:17" ht="15" customHeight="1" x14ac:dyDescent="0.6">
      <c r="A121" s="609">
        <v>2025</v>
      </c>
      <c r="B121" s="696">
        <v>7.7000000000000455</v>
      </c>
      <c r="C121" s="697">
        <v>300.3</v>
      </c>
      <c r="D121" s="531">
        <f t="shared" si="28"/>
        <v>0</v>
      </c>
      <c r="E121" s="701">
        <v>1373</v>
      </c>
      <c r="F121" s="1203">
        <v>46.9</v>
      </c>
      <c r="G121" s="606">
        <f t="shared" si="29"/>
        <v>0</v>
      </c>
      <c r="H121" s="608">
        <f t="shared" si="30"/>
        <v>0</v>
      </c>
      <c r="I121" s="531">
        <f t="shared" si="25"/>
        <v>0</v>
      </c>
      <c r="J121" s="633">
        <v>0</v>
      </c>
      <c r="K121" s="531">
        <f t="shared" si="31"/>
        <v>0</v>
      </c>
      <c r="L121" s="531">
        <f t="shared" si="32"/>
        <v>0</v>
      </c>
      <c r="M121" s="531">
        <f t="shared" si="26"/>
        <v>0</v>
      </c>
      <c r="N121" s="633">
        <v>341.8</v>
      </c>
      <c r="O121" s="531">
        <f t="shared" si="33"/>
        <v>0</v>
      </c>
      <c r="Q121" s="536">
        <f t="shared" si="27"/>
        <v>1.9968542587738704E-2</v>
      </c>
    </row>
    <row r="122" spans="1:17" ht="15" customHeight="1" x14ac:dyDescent="0.6">
      <c r="A122" s="609">
        <v>2026</v>
      </c>
      <c r="B122" s="696">
        <v>10.01507231593132</v>
      </c>
      <c r="C122" s="697">
        <v>328</v>
      </c>
      <c r="D122" s="531">
        <f t="shared" si="28"/>
        <v>0</v>
      </c>
      <c r="E122" s="701">
        <v>1437.2</v>
      </c>
      <c r="F122" s="1203">
        <v>48.8</v>
      </c>
      <c r="G122" s="606">
        <f t="shared" si="29"/>
        <v>0</v>
      </c>
      <c r="H122" s="608">
        <f t="shared" si="30"/>
        <v>0</v>
      </c>
      <c r="I122" s="531">
        <f t="shared" si="25"/>
        <v>0</v>
      </c>
      <c r="J122" s="633">
        <v>0</v>
      </c>
      <c r="K122" s="531">
        <f t="shared" si="31"/>
        <v>0</v>
      </c>
      <c r="L122" s="531">
        <f t="shared" si="32"/>
        <v>0</v>
      </c>
      <c r="M122" s="531">
        <f t="shared" si="26"/>
        <v>0</v>
      </c>
      <c r="N122" s="633">
        <v>373.9</v>
      </c>
      <c r="O122" s="531">
        <f t="shared" si="33"/>
        <v>0</v>
      </c>
      <c r="Q122" s="536">
        <f t="shared" si="27"/>
        <v>2.521818085398736E-2</v>
      </c>
    </row>
    <row r="123" spans="1:17" ht="15" customHeight="1" x14ac:dyDescent="0.6">
      <c r="A123" s="609">
        <v>2027</v>
      </c>
      <c r="B123" s="696">
        <v>12.796174675226212</v>
      </c>
      <c r="C123" s="697">
        <v>356</v>
      </c>
      <c r="D123" s="531">
        <f t="shared" si="28"/>
        <v>0</v>
      </c>
      <c r="E123" s="701">
        <v>1509.9</v>
      </c>
      <c r="F123" s="1203">
        <v>50.9</v>
      </c>
      <c r="G123" s="606">
        <f t="shared" si="29"/>
        <v>0</v>
      </c>
      <c r="H123" s="608">
        <f t="shared" si="30"/>
        <v>0</v>
      </c>
      <c r="I123" s="531">
        <f t="shared" si="25"/>
        <v>0</v>
      </c>
      <c r="J123" s="633">
        <v>0</v>
      </c>
      <c r="K123" s="531">
        <f t="shared" si="31"/>
        <v>0</v>
      </c>
      <c r="L123" s="531">
        <f t="shared" si="32"/>
        <v>0</v>
      </c>
      <c r="M123" s="531">
        <f t="shared" si="26"/>
        <v>0</v>
      </c>
      <c r="N123" s="633">
        <v>400.5</v>
      </c>
      <c r="O123" s="531">
        <f t="shared" si="33"/>
        <v>0</v>
      </c>
      <c r="Q123" s="536">
        <f t="shared" si="27"/>
        <v>3.1295130927436077E-2</v>
      </c>
    </row>
    <row r="124" spans="1:17" ht="15" customHeight="1" x14ac:dyDescent="0.6">
      <c r="A124" s="609">
        <v>2028</v>
      </c>
      <c r="B124" s="696">
        <v>16.557258695363998</v>
      </c>
      <c r="C124" s="697">
        <v>384.3</v>
      </c>
      <c r="D124" s="531">
        <f t="shared" si="28"/>
        <v>0</v>
      </c>
      <c r="E124" s="701">
        <v>1574.8</v>
      </c>
      <c r="F124" s="1203">
        <v>52.8</v>
      </c>
      <c r="G124" s="606">
        <f t="shared" si="29"/>
        <v>0</v>
      </c>
      <c r="H124" s="608">
        <f t="shared" si="30"/>
        <v>0</v>
      </c>
      <c r="I124" s="531">
        <f t="shared" si="25"/>
        <v>0</v>
      </c>
      <c r="J124" s="633">
        <v>0</v>
      </c>
      <c r="K124" s="531">
        <f t="shared" si="31"/>
        <v>0</v>
      </c>
      <c r="L124" s="531">
        <f t="shared" si="32"/>
        <v>0</v>
      </c>
      <c r="M124" s="531">
        <f t="shared" si="26"/>
        <v>0</v>
      </c>
      <c r="N124" s="633">
        <v>434.3</v>
      </c>
      <c r="O124" s="531">
        <f t="shared" si="33"/>
        <v>0</v>
      </c>
      <c r="Q124" s="536">
        <f t="shared" si="27"/>
        <v>3.9341188237301754E-2</v>
      </c>
    </row>
    <row r="125" spans="1:17" ht="15" customHeight="1" x14ac:dyDescent="0.6">
      <c r="A125" s="609">
        <v>2029</v>
      </c>
      <c r="B125" s="696">
        <v>21.475166767835617</v>
      </c>
      <c r="C125" s="697">
        <v>412.8</v>
      </c>
      <c r="D125" s="531">
        <f t="shared" si="28"/>
        <v>0</v>
      </c>
      <c r="E125" s="701">
        <v>1639.7</v>
      </c>
      <c r="F125" s="1203">
        <v>54.6</v>
      </c>
      <c r="G125" s="606">
        <f t="shared" si="29"/>
        <v>0</v>
      </c>
      <c r="H125" s="608">
        <f t="shared" si="30"/>
        <v>0</v>
      </c>
      <c r="I125" s="531">
        <f t="shared" si="25"/>
        <v>0</v>
      </c>
      <c r="J125" s="633">
        <v>0</v>
      </c>
      <c r="K125" s="531">
        <f t="shared" si="31"/>
        <v>0</v>
      </c>
      <c r="L125" s="531">
        <f t="shared" si="32"/>
        <v>0</v>
      </c>
      <c r="M125" s="531">
        <f t="shared" si="26"/>
        <v>0</v>
      </c>
      <c r="N125" s="633">
        <v>465.7</v>
      </c>
      <c r="O125" s="531">
        <f t="shared" si="33"/>
        <v>0</v>
      </c>
      <c r="Q125" s="536">
        <f t="shared" si="27"/>
        <v>4.9588022684379687E-2</v>
      </c>
    </row>
    <row r="126" spans="1:17" ht="15" customHeight="1" x14ac:dyDescent="0.6">
      <c r="A126" s="609">
        <v>2030</v>
      </c>
      <c r="B126" s="696">
        <v>27.726740807294846</v>
      </c>
      <c r="C126" s="697">
        <v>441.7</v>
      </c>
      <c r="D126" s="531">
        <f t="shared" si="28"/>
        <v>0</v>
      </c>
      <c r="E126" s="701">
        <v>1712.4</v>
      </c>
      <c r="F126" s="1203">
        <v>56.7</v>
      </c>
      <c r="G126" s="606">
        <f t="shared" si="29"/>
        <v>0</v>
      </c>
      <c r="H126" s="608">
        <f t="shared" si="30"/>
        <v>0</v>
      </c>
      <c r="I126" s="531">
        <f t="shared" si="25"/>
        <v>0</v>
      </c>
      <c r="J126" s="633">
        <v>0</v>
      </c>
      <c r="K126" s="531">
        <f t="shared" si="31"/>
        <v>0</v>
      </c>
      <c r="L126" s="531">
        <f t="shared" si="32"/>
        <v>0</v>
      </c>
      <c r="M126" s="531">
        <f t="shared" si="26"/>
        <v>0</v>
      </c>
      <c r="N126" s="633">
        <v>500.1</v>
      </c>
      <c r="O126" s="531">
        <f t="shared" si="33"/>
        <v>0</v>
      </c>
      <c r="Q126" s="536">
        <f t="shared" si="27"/>
        <v>6.2234730565141574E-2</v>
      </c>
    </row>
    <row r="127" spans="1:17" ht="15" customHeight="1" x14ac:dyDescent="0.6">
      <c r="A127" s="609">
        <v>2031</v>
      </c>
      <c r="B127" s="696">
        <v>35.488823384046555</v>
      </c>
      <c r="C127" s="697">
        <v>466.6</v>
      </c>
      <c r="D127" s="531">
        <f t="shared" si="28"/>
        <v>0</v>
      </c>
      <c r="E127" s="701">
        <v>1778.8</v>
      </c>
      <c r="F127" s="1203">
        <v>58.6</v>
      </c>
      <c r="G127" s="606">
        <f t="shared" si="29"/>
        <v>0</v>
      </c>
      <c r="H127" s="608">
        <f t="shared" si="30"/>
        <v>0</v>
      </c>
      <c r="I127" s="531">
        <f t="shared" si="25"/>
        <v>0</v>
      </c>
      <c r="J127" s="633">
        <v>0</v>
      </c>
      <c r="K127" s="531">
        <f t="shared" si="31"/>
        <v>0</v>
      </c>
      <c r="L127" s="531">
        <f t="shared" si="32"/>
        <v>0</v>
      </c>
      <c r="M127" s="531">
        <f t="shared" si="26"/>
        <v>0</v>
      </c>
      <c r="N127" s="633">
        <v>521.6</v>
      </c>
      <c r="O127" s="531">
        <f t="shared" si="33"/>
        <v>0</v>
      </c>
      <c r="Q127" s="536">
        <f t="shared" si="27"/>
        <v>7.7450921743503931E-2</v>
      </c>
    </row>
    <row r="128" spans="1:17" ht="15" customHeight="1" x14ac:dyDescent="0.6">
      <c r="A128" s="609">
        <v>2032</v>
      </c>
      <c r="B128" s="696">
        <v>44.938256591558456</v>
      </c>
      <c r="C128" s="697">
        <v>492</v>
      </c>
      <c r="D128" s="531">
        <f t="shared" si="28"/>
        <v>0</v>
      </c>
      <c r="E128" s="701">
        <v>1845.1</v>
      </c>
      <c r="F128" s="1203">
        <v>60.4</v>
      </c>
      <c r="G128" s="606">
        <f t="shared" si="29"/>
        <v>0</v>
      </c>
      <c r="H128" s="608">
        <f t="shared" si="30"/>
        <v>0</v>
      </c>
      <c r="I128" s="531">
        <f t="shared" si="25"/>
        <v>0</v>
      </c>
      <c r="J128" s="633">
        <v>0</v>
      </c>
      <c r="K128" s="531">
        <f t="shared" si="31"/>
        <v>0</v>
      </c>
      <c r="L128" s="531">
        <f t="shared" si="32"/>
        <v>0</v>
      </c>
      <c r="M128" s="531">
        <f t="shared" si="26"/>
        <v>0</v>
      </c>
      <c r="N128" s="633">
        <v>537.1</v>
      </c>
      <c r="O128" s="531">
        <f t="shared" si="33"/>
        <v>0</v>
      </c>
      <c r="Q128" s="536">
        <f t="shared" si="27"/>
        <v>9.5379544490681215E-2</v>
      </c>
    </row>
    <row r="129" spans="1:17" ht="15" customHeight="1" x14ac:dyDescent="0.6">
      <c r="A129" s="609">
        <v>2033</v>
      </c>
      <c r="B129" s="696">
        <v>56.251882582902908</v>
      </c>
      <c r="C129" s="697">
        <v>517.9</v>
      </c>
      <c r="D129" s="531">
        <f t="shared" si="28"/>
        <v>0</v>
      </c>
      <c r="E129" s="701">
        <v>1911.5</v>
      </c>
      <c r="F129" s="1203">
        <v>62.3</v>
      </c>
      <c r="G129" s="606">
        <f t="shared" si="29"/>
        <v>0</v>
      </c>
      <c r="H129" s="608">
        <f t="shared" si="30"/>
        <v>0</v>
      </c>
      <c r="I129" s="531">
        <f t="shared" si="25"/>
        <v>0</v>
      </c>
      <c r="J129" s="633">
        <v>0</v>
      </c>
      <c r="K129" s="531">
        <f t="shared" si="31"/>
        <v>0</v>
      </c>
      <c r="L129" s="531">
        <f t="shared" si="32"/>
        <v>0</v>
      </c>
      <c r="M129" s="531">
        <f t="shared" si="26"/>
        <v>0</v>
      </c>
      <c r="N129" s="633">
        <v>559.70000000000005</v>
      </c>
      <c r="O129" s="531">
        <f t="shared" si="33"/>
        <v>0</v>
      </c>
      <c r="Q129" s="536">
        <f t="shared" si="27"/>
        <v>0.11613952923036935</v>
      </c>
    </row>
    <row r="130" spans="1:17" ht="15" customHeight="1" x14ac:dyDescent="0.6">
      <c r="A130" s="609">
        <v>2034</v>
      </c>
      <c r="B130" s="696">
        <v>69.606543749570847</v>
      </c>
      <c r="C130" s="697">
        <v>544.1</v>
      </c>
      <c r="D130" s="531">
        <f t="shared" si="28"/>
        <v>0</v>
      </c>
      <c r="E130" s="701">
        <v>1985.7</v>
      </c>
      <c r="F130" s="1203">
        <v>64.3</v>
      </c>
      <c r="G130" s="606">
        <f t="shared" si="29"/>
        <v>0</v>
      </c>
      <c r="H130" s="608">
        <f t="shared" si="30"/>
        <v>0</v>
      </c>
      <c r="I130" s="531">
        <f t="shared" si="25"/>
        <v>0</v>
      </c>
      <c r="J130" s="633">
        <v>0</v>
      </c>
      <c r="K130" s="531">
        <f t="shared" si="31"/>
        <v>0</v>
      </c>
      <c r="L130" s="531">
        <f t="shared" si="32"/>
        <v>0</v>
      </c>
      <c r="M130" s="531">
        <f t="shared" si="26"/>
        <v>0</v>
      </c>
      <c r="N130" s="633">
        <v>584.29999999999995</v>
      </c>
      <c r="O130" s="531">
        <f t="shared" si="33"/>
        <v>0</v>
      </c>
      <c r="Q130" s="536">
        <f t="shared" si="27"/>
        <v>0.13982820934983656</v>
      </c>
    </row>
    <row r="131" spans="1:17" ht="15" customHeight="1" x14ac:dyDescent="0.6">
      <c r="A131" s="609">
        <v>2035</v>
      </c>
      <c r="B131" s="696">
        <v>85.179082244634628</v>
      </c>
      <c r="C131" s="697">
        <v>568.6</v>
      </c>
      <c r="D131" s="531">
        <f t="shared" si="28"/>
        <v>0</v>
      </c>
      <c r="E131" s="701">
        <v>2052</v>
      </c>
      <c r="F131" s="1203">
        <v>66.2</v>
      </c>
      <c r="G131" s="606">
        <f t="shared" si="29"/>
        <v>0</v>
      </c>
      <c r="H131" s="608">
        <f t="shared" si="30"/>
        <v>0</v>
      </c>
      <c r="I131" s="531">
        <f t="shared" si="25"/>
        <v>0</v>
      </c>
      <c r="J131" s="633">
        <v>0</v>
      </c>
      <c r="K131" s="531">
        <f t="shared" si="31"/>
        <v>0</v>
      </c>
      <c r="L131" s="531">
        <f t="shared" si="32"/>
        <v>0</v>
      </c>
      <c r="M131" s="531">
        <f t="shared" si="26"/>
        <v>0</v>
      </c>
      <c r="N131" s="633">
        <v>604.4</v>
      </c>
      <c r="O131" s="531">
        <f t="shared" si="33"/>
        <v>0</v>
      </c>
      <c r="Q131" s="536">
        <f t="shared" si="27"/>
        <v>0.16652355509927197</v>
      </c>
    </row>
    <row r="132" spans="1:17" ht="15" customHeight="1" x14ac:dyDescent="0.6">
      <c r="A132" s="609">
        <v>2036</v>
      </c>
      <c r="B132" s="696">
        <v>103.14634022116661</v>
      </c>
      <c r="C132" s="697">
        <v>592.29999999999995</v>
      </c>
      <c r="D132" s="531">
        <f t="shared" si="28"/>
        <v>0</v>
      </c>
      <c r="E132" s="701">
        <v>2118.4</v>
      </c>
      <c r="F132" s="1203">
        <v>68</v>
      </c>
      <c r="G132" s="606">
        <f t="shared" si="29"/>
        <v>0</v>
      </c>
      <c r="H132" s="608">
        <f t="shared" si="30"/>
        <v>0</v>
      </c>
      <c r="I132" s="531">
        <f t="shared" si="25"/>
        <v>0</v>
      </c>
      <c r="J132" s="633">
        <v>0</v>
      </c>
      <c r="K132" s="531">
        <f t="shared" si="31"/>
        <v>0</v>
      </c>
      <c r="L132" s="531">
        <f t="shared" si="32"/>
        <v>0</v>
      </c>
      <c r="M132" s="531">
        <f t="shared" si="26"/>
        <v>0</v>
      </c>
      <c r="N132" s="633">
        <v>621.29999999999995</v>
      </c>
      <c r="O132" s="531">
        <f t="shared" si="33"/>
        <v>0</v>
      </c>
      <c r="Q132" s="536">
        <f t="shared" si="27"/>
        <v>0.1962863056409469</v>
      </c>
    </row>
    <row r="133" spans="1:17" ht="15" customHeight="1" x14ac:dyDescent="0.6">
      <c r="A133" s="609">
        <v>2037</v>
      </c>
      <c r="B133" s="696">
        <v>123.68516001105309</v>
      </c>
      <c r="C133" s="697">
        <v>614.70000000000005</v>
      </c>
      <c r="D133" s="531">
        <f t="shared" si="28"/>
        <v>0</v>
      </c>
      <c r="E133" s="701">
        <v>2184.6999999999998</v>
      </c>
      <c r="F133" s="1203">
        <v>69.8</v>
      </c>
      <c r="G133" s="606">
        <f t="shared" si="29"/>
        <v>0</v>
      </c>
      <c r="H133" s="608">
        <f t="shared" si="30"/>
        <v>0</v>
      </c>
      <c r="I133" s="531">
        <f t="shared" si="25"/>
        <v>0</v>
      </c>
      <c r="J133" s="633">
        <v>0</v>
      </c>
      <c r="K133" s="531">
        <f t="shared" si="31"/>
        <v>0</v>
      </c>
      <c r="L133" s="531">
        <f t="shared" si="32"/>
        <v>0</v>
      </c>
      <c r="M133" s="531">
        <f t="shared" si="26"/>
        <v>0</v>
      </c>
      <c r="N133" s="633">
        <v>635.29999999999995</v>
      </c>
      <c r="O133" s="531">
        <f t="shared" si="33"/>
        <v>0</v>
      </c>
      <c r="Q133" s="536">
        <f t="shared" si="27"/>
        <v>0.22916198671869475</v>
      </c>
    </row>
    <row r="134" spans="1:17" ht="15" customHeight="1" x14ac:dyDescent="0.6">
      <c r="A134" s="609">
        <v>2038</v>
      </c>
      <c r="B134" s="696">
        <v>146.97238382697105</v>
      </c>
      <c r="C134" s="697">
        <v>637.5</v>
      </c>
      <c r="D134" s="531">
        <f t="shared" si="28"/>
        <v>0</v>
      </c>
      <c r="E134" s="701">
        <v>2258.9</v>
      </c>
      <c r="F134" s="1203">
        <v>71.8</v>
      </c>
      <c r="G134" s="606">
        <f t="shared" si="29"/>
        <v>0</v>
      </c>
      <c r="H134" s="608">
        <f t="shared" si="30"/>
        <v>0</v>
      </c>
      <c r="I134" s="531">
        <f t="shared" si="25"/>
        <v>0</v>
      </c>
      <c r="J134" s="633">
        <v>0</v>
      </c>
      <c r="K134" s="531">
        <f t="shared" si="31"/>
        <v>0</v>
      </c>
      <c r="L134" s="531">
        <f t="shared" si="32"/>
        <v>0</v>
      </c>
      <c r="M134" s="531">
        <f t="shared" si="26"/>
        <v>0</v>
      </c>
      <c r="N134" s="633">
        <v>651.70000000000005</v>
      </c>
      <c r="O134" s="531">
        <f t="shared" si="33"/>
        <v>0</v>
      </c>
      <c r="Q134" s="536">
        <f t="shared" si="27"/>
        <v>0.26518283524900227</v>
      </c>
    </row>
    <row r="135" spans="1:17" ht="15" customHeight="1" x14ac:dyDescent="0.6">
      <c r="A135" s="609">
        <v>2039</v>
      </c>
      <c r="B135" s="696">
        <v>173.18485388159752</v>
      </c>
      <c r="C135" s="697">
        <v>660.6</v>
      </c>
      <c r="D135" s="531">
        <f t="shared" si="28"/>
        <v>0</v>
      </c>
      <c r="E135" s="701">
        <v>2325.3000000000002</v>
      </c>
      <c r="F135" s="1203">
        <v>73.599999999999994</v>
      </c>
      <c r="G135" s="606">
        <f t="shared" si="29"/>
        <v>0</v>
      </c>
      <c r="H135" s="608">
        <f t="shared" si="30"/>
        <v>0</v>
      </c>
      <c r="I135" s="531">
        <f t="shared" si="25"/>
        <v>0</v>
      </c>
      <c r="J135" s="633">
        <v>0</v>
      </c>
      <c r="K135" s="531">
        <f t="shared" si="31"/>
        <v>0</v>
      </c>
      <c r="L135" s="531">
        <f t="shared" si="32"/>
        <v>0</v>
      </c>
      <c r="M135" s="531">
        <f t="shared" si="26"/>
        <v>0</v>
      </c>
      <c r="N135" s="633">
        <v>666.2</v>
      </c>
      <c r="O135" s="531">
        <f t="shared" si="33"/>
        <v>0</v>
      </c>
      <c r="Q135" s="536">
        <f t="shared" si="27"/>
        <v>0.30436945489231698</v>
      </c>
    </row>
    <row r="136" spans="1:17" ht="15" customHeight="1" x14ac:dyDescent="0.6">
      <c r="A136" s="609">
        <v>2040</v>
      </c>
      <c r="B136" s="696">
        <v>202.49941232800484</v>
      </c>
      <c r="C136" s="697">
        <v>684.1</v>
      </c>
      <c r="D136" s="531">
        <f t="shared" si="28"/>
        <v>0</v>
      </c>
      <c r="E136" s="701">
        <v>2390.9</v>
      </c>
      <c r="F136" s="1203">
        <v>75.400000000000006</v>
      </c>
      <c r="G136" s="606">
        <f t="shared" si="29"/>
        <v>0</v>
      </c>
      <c r="H136" s="608">
        <f t="shared" si="30"/>
        <v>0</v>
      </c>
      <c r="I136" s="531">
        <f t="shared" si="25"/>
        <v>0</v>
      </c>
      <c r="J136" s="633">
        <v>0</v>
      </c>
      <c r="K136" s="531">
        <f t="shared" si="31"/>
        <v>0</v>
      </c>
      <c r="L136" s="531">
        <f t="shared" si="32"/>
        <v>0</v>
      </c>
      <c r="M136" s="531">
        <f t="shared" si="26"/>
        <v>0</v>
      </c>
      <c r="N136" s="633">
        <v>682.7</v>
      </c>
      <c r="O136" s="531">
        <f t="shared" si="33"/>
        <v>0</v>
      </c>
      <c r="Q136" s="536">
        <f t="shared" si="27"/>
        <v>0.34673227665109874</v>
      </c>
    </row>
    <row r="137" spans="1:17" ht="15" customHeight="1" x14ac:dyDescent="0.6">
      <c r="A137" s="609">
        <v>2041</v>
      </c>
      <c r="B137" s="696">
        <v>235.09290143847466</v>
      </c>
      <c r="C137" s="697">
        <v>707.9</v>
      </c>
      <c r="D137" s="531">
        <f t="shared" si="28"/>
        <v>0</v>
      </c>
      <c r="E137" s="701">
        <v>2457.3000000000002</v>
      </c>
      <c r="F137" s="1203">
        <v>77.099999999999994</v>
      </c>
      <c r="G137" s="606">
        <f t="shared" si="29"/>
        <v>0</v>
      </c>
      <c r="H137" s="608">
        <f t="shared" si="30"/>
        <v>0</v>
      </c>
      <c r="I137" s="531">
        <f t="shared" si="25"/>
        <v>0</v>
      </c>
      <c r="J137" s="633">
        <v>0</v>
      </c>
      <c r="K137" s="531">
        <f t="shared" si="31"/>
        <v>0</v>
      </c>
      <c r="L137" s="531">
        <f t="shared" si="32"/>
        <v>0</v>
      </c>
      <c r="M137" s="531">
        <f t="shared" si="26"/>
        <v>0</v>
      </c>
      <c r="N137" s="633">
        <v>696.6</v>
      </c>
      <c r="O137" s="531">
        <f t="shared" si="33"/>
        <v>0</v>
      </c>
      <c r="Q137" s="536">
        <f t="shared" si="27"/>
        <v>0.39227304116441442</v>
      </c>
    </row>
    <row r="138" spans="1:17" ht="15" customHeight="1" x14ac:dyDescent="0.6">
      <c r="A138" s="609">
        <v>2042</v>
      </c>
      <c r="B138" s="696">
        <v>271.1421637237072</v>
      </c>
      <c r="C138" s="697">
        <v>732.1</v>
      </c>
      <c r="D138" s="531">
        <f t="shared" si="28"/>
        <v>0</v>
      </c>
      <c r="E138" s="701">
        <v>2531.5</v>
      </c>
      <c r="F138" s="1203">
        <v>79.099999999999994</v>
      </c>
      <c r="G138" s="606">
        <f t="shared" si="29"/>
        <v>0</v>
      </c>
      <c r="H138" s="608">
        <f t="shared" si="30"/>
        <v>0</v>
      </c>
      <c r="I138" s="531">
        <f t="shared" si="25"/>
        <v>0</v>
      </c>
      <c r="J138" s="633">
        <v>0</v>
      </c>
      <c r="K138" s="531">
        <f t="shared" si="31"/>
        <v>0</v>
      </c>
      <c r="L138" s="531">
        <f t="shared" si="32"/>
        <v>0</v>
      </c>
      <c r="M138" s="531">
        <f t="shared" si="26"/>
        <v>0</v>
      </c>
      <c r="N138" s="633">
        <v>711.8</v>
      </c>
      <c r="O138" s="531">
        <f t="shared" si="33"/>
        <v>0</v>
      </c>
      <c r="Q138" s="536">
        <f t="shared" si="27"/>
        <v>0.44098619313037007</v>
      </c>
    </row>
    <row r="139" spans="1:17" ht="15" customHeight="1" x14ac:dyDescent="0.6">
      <c r="A139" s="609">
        <v>2043</v>
      </c>
      <c r="B139" s="696">
        <v>310.82404085993767</v>
      </c>
      <c r="C139" s="697">
        <v>756.7</v>
      </c>
      <c r="D139" s="531">
        <f t="shared" si="28"/>
        <v>0</v>
      </c>
      <c r="E139" s="701">
        <v>2597.8000000000002</v>
      </c>
      <c r="F139" s="1203">
        <v>80.900000000000006</v>
      </c>
      <c r="G139" s="606">
        <f t="shared" si="29"/>
        <v>0</v>
      </c>
      <c r="H139" s="608">
        <f t="shared" si="30"/>
        <v>0</v>
      </c>
      <c r="I139" s="531">
        <f t="shared" si="25"/>
        <v>0</v>
      </c>
      <c r="J139" s="633">
        <v>0</v>
      </c>
      <c r="K139" s="531">
        <f t="shared" si="31"/>
        <v>0</v>
      </c>
      <c r="L139" s="531">
        <f t="shared" si="32"/>
        <v>0</v>
      </c>
      <c r="M139" s="531">
        <f t="shared" si="26"/>
        <v>0</v>
      </c>
      <c r="N139" s="633">
        <v>724.4</v>
      </c>
      <c r="O139" s="531">
        <f t="shared" si="33"/>
        <v>0</v>
      </c>
      <c r="Q139" s="536">
        <f t="shared" si="27"/>
        <v>0.4928600828753617</v>
      </c>
    </row>
    <row r="140" spans="1:17" ht="15" customHeight="1" x14ac:dyDescent="0.6">
      <c r="A140" s="609">
        <v>2044</v>
      </c>
      <c r="B140" s="696">
        <v>354.31537553668022</v>
      </c>
      <c r="C140" s="697">
        <v>781.5</v>
      </c>
      <c r="D140" s="531">
        <f t="shared" si="28"/>
        <v>0</v>
      </c>
      <c r="E140" s="701">
        <v>2663.4</v>
      </c>
      <c r="F140" s="1203">
        <v>82.6</v>
      </c>
      <c r="G140" s="606">
        <f t="shared" si="29"/>
        <v>0</v>
      </c>
      <c r="H140" s="608">
        <f t="shared" si="30"/>
        <v>0</v>
      </c>
      <c r="I140" s="531">
        <f t="shared" si="25"/>
        <v>0</v>
      </c>
      <c r="J140" s="633">
        <v>0</v>
      </c>
      <c r="K140" s="531">
        <f t="shared" si="31"/>
        <v>0</v>
      </c>
      <c r="L140" s="531">
        <f t="shared" si="32"/>
        <v>0</v>
      </c>
      <c r="M140" s="531">
        <f t="shared" si="26"/>
        <v>0</v>
      </c>
      <c r="N140" s="633">
        <v>738.6</v>
      </c>
      <c r="O140" s="531">
        <f t="shared" si="33"/>
        <v>0</v>
      </c>
      <c r="Q140" s="536">
        <f t="shared" si="27"/>
        <v>0.54787815275884577</v>
      </c>
    </row>
    <row r="141" spans="1:17" ht="15" customHeight="1" x14ac:dyDescent="0.6">
      <c r="A141" s="609">
        <v>2045</v>
      </c>
      <c r="B141" s="696">
        <v>401.79300984740257</v>
      </c>
      <c r="C141" s="697">
        <v>806.6</v>
      </c>
      <c r="D141" s="531">
        <f t="shared" si="28"/>
        <v>0</v>
      </c>
      <c r="E141" s="701">
        <v>2737.6</v>
      </c>
      <c r="F141" s="1203">
        <v>84.6</v>
      </c>
      <c r="G141" s="606">
        <f t="shared" si="29"/>
        <v>0</v>
      </c>
      <c r="H141" s="608">
        <f t="shared" si="30"/>
        <v>0</v>
      </c>
      <c r="I141" s="531">
        <f t="shared" si="25"/>
        <v>0</v>
      </c>
      <c r="J141" s="633">
        <v>0</v>
      </c>
      <c r="K141" s="531">
        <f t="shared" si="31"/>
        <v>0</v>
      </c>
      <c r="L141" s="531">
        <f t="shared" si="32"/>
        <v>0</v>
      </c>
      <c r="M141" s="531">
        <f t="shared" si="26"/>
        <v>0</v>
      </c>
      <c r="N141" s="633">
        <v>752</v>
      </c>
      <c r="O141" s="531">
        <f t="shared" si="33"/>
        <v>0</v>
      </c>
      <c r="Q141" s="536">
        <f t="shared" si="27"/>
        <v>0.60601992858879006</v>
      </c>
    </row>
    <row r="142" spans="1:17" ht="15" customHeight="1" x14ac:dyDescent="0.6">
      <c r="A142" s="609">
        <v>2046</v>
      </c>
      <c r="B142" s="696">
        <v>453.43378600478172</v>
      </c>
      <c r="C142" s="697">
        <v>832.4</v>
      </c>
      <c r="D142" s="531">
        <f t="shared" si="28"/>
        <v>0</v>
      </c>
      <c r="E142" s="701">
        <v>2804</v>
      </c>
      <c r="F142" s="1203">
        <v>86.3</v>
      </c>
      <c r="G142" s="607">
        <f t="shared" si="29"/>
        <v>0</v>
      </c>
      <c r="H142" s="608">
        <f t="shared" si="30"/>
        <v>0</v>
      </c>
      <c r="I142" s="531">
        <f t="shared" si="25"/>
        <v>0</v>
      </c>
      <c r="J142" s="633">
        <v>0</v>
      </c>
      <c r="K142" s="531">
        <f t="shared" si="31"/>
        <v>0</v>
      </c>
      <c r="L142" s="531">
        <f t="shared" si="32"/>
        <v>0</v>
      </c>
      <c r="M142" s="531">
        <f t="shared" si="26"/>
        <v>0</v>
      </c>
      <c r="N142" s="633">
        <v>766</v>
      </c>
      <c r="O142" s="531">
        <f t="shared" si="33"/>
        <v>0</v>
      </c>
      <c r="Q142" s="536">
        <f t="shared" si="27"/>
        <v>0.66726187901963741</v>
      </c>
    </row>
    <row r="143" spans="1:17" ht="15" customHeight="1" x14ac:dyDescent="0.6">
      <c r="A143" s="609">
        <v>2047</v>
      </c>
      <c r="B143" s="696">
        <v>509.41454616189003</v>
      </c>
      <c r="C143" s="697">
        <v>859.3</v>
      </c>
      <c r="D143" s="531">
        <f t="shared" si="28"/>
        <v>0</v>
      </c>
      <c r="E143" s="701">
        <v>2869.6</v>
      </c>
      <c r="F143" s="1203">
        <v>88</v>
      </c>
      <c r="G143" s="607">
        <f t="shared" si="29"/>
        <v>0</v>
      </c>
      <c r="H143" s="608">
        <f t="shared" si="30"/>
        <v>0</v>
      </c>
      <c r="I143" s="531">
        <f t="shared" si="25"/>
        <v>0</v>
      </c>
      <c r="J143" s="633">
        <v>0</v>
      </c>
      <c r="K143" s="531">
        <f t="shared" si="31"/>
        <v>0</v>
      </c>
      <c r="L143" s="531">
        <f t="shared" si="32"/>
        <v>0</v>
      </c>
      <c r="M143" s="531">
        <f t="shared" si="26"/>
        <v>0</v>
      </c>
      <c r="N143" s="633">
        <v>778</v>
      </c>
      <c r="O143" s="531">
        <f t="shared" si="33"/>
        <v>0</v>
      </c>
      <c r="Q143" s="536">
        <f t="shared" si="27"/>
        <v>0.73157801659796062</v>
      </c>
    </row>
    <row r="144" spans="1:17" ht="15" customHeight="1" x14ac:dyDescent="0.6">
      <c r="A144" s="609">
        <v>2048</v>
      </c>
      <c r="B144" s="696">
        <v>569.91213259100914</v>
      </c>
      <c r="C144" s="697">
        <v>886.4</v>
      </c>
      <c r="D144" s="531">
        <f t="shared" si="28"/>
        <v>0</v>
      </c>
      <c r="E144" s="701">
        <v>2936</v>
      </c>
      <c r="F144" s="1203">
        <v>89.7</v>
      </c>
      <c r="G144" s="607">
        <f t="shared" si="29"/>
        <v>0</v>
      </c>
      <c r="H144" s="608">
        <f t="shared" si="30"/>
        <v>0</v>
      </c>
      <c r="I144" s="531">
        <f t="shared" si="25"/>
        <v>0</v>
      </c>
      <c r="J144" s="633">
        <v>0</v>
      </c>
      <c r="K144" s="531">
        <f t="shared" si="31"/>
        <v>0</v>
      </c>
      <c r="L144" s="531">
        <f t="shared" si="32"/>
        <v>0</v>
      </c>
      <c r="M144" s="531">
        <f t="shared" si="26"/>
        <v>0</v>
      </c>
      <c r="N144" s="633">
        <v>792.4</v>
      </c>
      <c r="O144" s="531">
        <f t="shared" si="33"/>
        <v>0</v>
      </c>
      <c r="Q144" s="536">
        <f t="shared" si="27"/>
        <v>0.79894040515475018</v>
      </c>
    </row>
    <row r="145" spans="1:17" ht="15" customHeight="1" x14ac:dyDescent="0.6">
      <c r="A145" s="609">
        <v>2049</v>
      </c>
      <c r="B145" s="696">
        <v>635.1033875644207</v>
      </c>
      <c r="C145" s="697">
        <v>913.9</v>
      </c>
      <c r="D145" s="531">
        <f t="shared" si="28"/>
        <v>0</v>
      </c>
      <c r="E145" s="701">
        <v>3010.2</v>
      </c>
      <c r="F145" s="1203">
        <v>91.7</v>
      </c>
      <c r="G145" s="607">
        <f t="shared" si="29"/>
        <v>0</v>
      </c>
      <c r="H145" s="608">
        <f t="shared" si="30"/>
        <v>0</v>
      </c>
      <c r="I145" s="531">
        <f t="shared" si="25"/>
        <v>0</v>
      </c>
      <c r="J145" s="633">
        <v>0</v>
      </c>
      <c r="K145" s="531">
        <f t="shared" si="31"/>
        <v>0</v>
      </c>
      <c r="L145" s="531">
        <f t="shared" si="32"/>
        <v>0</v>
      </c>
      <c r="M145" s="531">
        <f t="shared" si="26"/>
        <v>0</v>
      </c>
      <c r="N145" s="633">
        <v>805.2</v>
      </c>
      <c r="O145" s="531">
        <f t="shared" si="33"/>
        <v>0</v>
      </c>
      <c r="Q145" s="536">
        <f t="shared" si="27"/>
        <v>0.86931980064720793</v>
      </c>
    </row>
    <row r="146" spans="1:17" ht="15" customHeight="1" x14ac:dyDescent="0.6">
      <c r="A146" s="609">
        <v>2050</v>
      </c>
      <c r="B146" s="696">
        <v>705.16515335440636</v>
      </c>
      <c r="C146" s="697">
        <v>941.7</v>
      </c>
      <c r="D146" s="531">
        <f t="shared" si="28"/>
        <v>0</v>
      </c>
      <c r="E146" s="702">
        <v>3075.8</v>
      </c>
      <c r="F146" s="1203">
        <v>93.3</v>
      </c>
      <c r="G146" s="607">
        <f t="shared" si="29"/>
        <v>0</v>
      </c>
      <c r="H146" s="608">
        <f t="shared" si="30"/>
        <v>0</v>
      </c>
      <c r="I146" s="531">
        <f t="shared" si="25"/>
        <v>0</v>
      </c>
      <c r="J146" s="633">
        <v>0</v>
      </c>
      <c r="K146" s="531">
        <f t="shared" si="31"/>
        <v>0</v>
      </c>
      <c r="L146" s="531">
        <f t="shared" si="32"/>
        <v>0</v>
      </c>
      <c r="M146" s="531">
        <f t="shared" si="26"/>
        <v>0</v>
      </c>
      <c r="N146" s="633">
        <v>819.1</v>
      </c>
      <c r="O146" s="531">
        <f t="shared" si="33"/>
        <v>0</v>
      </c>
      <c r="Q146" s="536">
        <f t="shared" si="27"/>
        <v>0.94268635644982712</v>
      </c>
    </row>
    <row r="147" spans="1:17" ht="15" customHeight="1" x14ac:dyDescent="0.6">
      <c r="A147" s="609">
        <v>2051</v>
      </c>
      <c r="B147" s="696">
        <v>780.2742722928524</v>
      </c>
      <c r="C147" s="698">
        <v>1064.0999999999999</v>
      </c>
      <c r="D147" s="531">
        <f t="shared" si="28"/>
        <v>0</v>
      </c>
      <c r="E147" s="701">
        <v>3075</v>
      </c>
      <c r="F147" s="1203">
        <v>93.3</v>
      </c>
      <c r="G147" s="607">
        <f t="shared" si="29"/>
        <v>0</v>
      </c>
      <c r="H147" s="608">
        <f t="shared" si="30"/>
        <v>0</v>
      </c>
      <c r="I147" s="531">
        <f t="shared" si="25"/>
        <v>0</v>
      </c>
      <c r="J147" s="633">
        <v>0</v>
      </c>
      <c r="K147" s="531">
        <f t="shared" si="31"/>
        <v>0</v>
      </c>
      <c r="L147" s="531">
        <f t="shared" si="32"/>
        <v>0</v>
      </c>
      <c r="M147" s="531">
        <f t="shared" si="26"/>
        <v>0</v>
      </c>
      <c r="N147" s="633">
        <v>824.2</v>
      </c>
      <c r="O147" s="531">
        <f t="shared" si="33"/>
        <v>0</v>
      </c>
      <c r="Q147" s="536">
        <f t="shared" si="27"/>
        <v>1.0190099625817535</v>
      </c>
    </row>
    <row r="148" spans="1:17" ht="15" customHeight="1" x14ac:dyDescent="0.6">
      <c r="A148" s="609">
        <v>2052</v>
      </c>
      <c r="B148" s="696">
        <v>784</v>
      </c>
      <c r="C148" s="698">
        <v>1064.0999999999999</v>
      </c>
      <c r="D148" s="531">
        <f t="shared" si="28"/>
        <v>0</v>
      </c>
      <c r="E148" s="701">
        <v>3073.6</v>
      </c>
      <c r="F148" s="1203">
        <v>93.2</v>
      </c>
      <c r="G148" s="607">
        <f t="shared" si="29"/>
        <v>0</v>
      </c>
      <c r="H148" s="608">
        <f t="shared" si="30"/>
        <v>0</v>
      </c>
      <c r="I148" s="531">
        <f t="shared" si="25"/>
        <v>0</v>
      </c>
      <c r="J148" s="633">
        <v>0</v>
      </c>
      <c r="K148" s="531">
        <f t="shared" si="31"/>
        <v>0</v>
      </c>
      <c r="L148" s="531">
        <f t="shared" si="32"/>
        <v>0</v>
      </c>
      <c r="M148" s="531">
        <f t="shared" si="26"/>
        <v>0</v>
      </c>
      <c r="N148" s="633">
        <v>831.8</v>
      </c>
      <c r="O148" s="531">
        <f t="shared" si="33"/>
        <v>0</v>
      </c>
      <c r="Q148" s="536">
        <f t="shared" si="27"/>
        <v>1.0021692099689898</v>
      </c>
    </row>
    <row r="149" spans="1:17" ht="15" customHeight="1" x14ac:dyDescent="0.6">
      <c r="A149" s="609">
        <v>2053</v>
      </c>
      <c r="B149" s="696">
        <v>784</v>
      </c>
      <c r="C149" s="698">
        <v>1063.7</v>
      </c>
      <c r="D149" s="531">
        <f t="shared" si="28"/>
        <v>0</v>
      </c>
      <c r="E149" s="701">
        <v>3072.8</v>
      </c>
      <c r="F149" s="1203">
        <v>93.2</v>
      </c>
      <c r="G149" s="607">
        <f t="shared" si="29"/>
        <v>0</v>
      </c>
      <c r="H149" s="608">
        <f t="shared" si="30"/>
        <v>0</v>
      </c>
      <c r="I149" s="531">
        <f t="shared" si="25"/>
        <v>0</v>
      </c>
      <c r="J149" s="633">
        <v>0</v>
      </c>
      <c r="K149" s="531">
        <f t="shared" si="31"/>
        <v>0</v>
      </c>
      <c r="L149" s="531">
        <f t="shared" si="32"/>
        <v>0</v>
      </c>
      <c r="M149" s="531">
        <f t="shared" si="26"/>
        <v>0</v>
      </c>
      <c r="N149" s="633">
        <v>836.3</v>
      </c>
      <c r="O149" s="531">
        <f t="shared" si="33"/>
        <v>0</v>
      </c>
      <c r="Q149" s="536">
        <f t="shared" si="27"/>
        <v>0.97791315986932925</v>
      </c>
    </row>
    <row r="150" spans="1:17" ht="15" customHeight="1" x14ac:dyDescent="0.6">
      <c r="A150" s="609">
        <v>2054</v>
      </c>
      <c r="B150" s="696">
        <v>784</v>
      </c>
      <c r="C150" s="698">
        <v>1062.9000000000001</v>
      </c>
      <c r="D150" s="531">
        <f t="shared" si="28"/>
        <v>0</v>
      </c>
      <c r="E150" s="701">
        <v>3071.4</v>
      </c>
      <c r="F150" s="1203">
        <v>93.2</v>
      </c>
      <c r="G150" s="607">
        <f t="shared" si="29"/>
        <v>0</v>
      </c>
      <c r="H150" s="608">
        <f t="shared" si="30"/>
        <v>0</v>
      </c>
      <c r="I150" s="531">
        <f t="shared" si="25"/>
        <v>0</v>
      </c>
      <c r="J150" s="633">
        <v>0</v>
      </c>
      <c r="K150" s="531">
        <f t="shared" si="31"/>
        <v>0</v>
      </c>
      <c r="L150" s="531">
        <f t="shared" si="32"/>
        <v>0</v>
      </c>
      <c r="M150" s="531">
        <f t="shared" si="26"/>
        <v>0</v>
      </c>
      <c r="N150" s="633">
        <v>844.1</v>
      </c>
      <c r="O150" s="531">
        <f t="shared" si="33"/>
        <v>0</v>
      </c>
      <c r="Q150" s="536">
        <f t="shared" si="27"/>
        <v>0.95609197252657252</v>
      </c>
    </row>
    <row r="151" spans="1:17" ht="15" customHeight="1" x14ac:dyDescent="0.6">
      <c r="A151" s="609">
        <v>2055</v>
      </c>
      <c r="B151" s="696">
        <v>784</v>
      </c>
      <c r="C151" s="698">
        <v>1062.2</v>
      </c>
      <c r="D151" s="531">
        <f t="shared" si="28"/>
        <v>0</v>
      </c>
      <c r="E151" s="701">
        <v>3070.7</v>
      </c>
      <c r="F151" s="1203">
        <v>93.1</v>
      </c>
      <c r="G151" s="607">
        <f t="shared" si="29"/>
        <v>0</v>
      </c>
      <c r="H151" s="608">
        <f t="shared" si="30"/>
        <v>0</v>
      </c>
      <c r="I151" s="531">
        <f t="shared" si="25"/>
        <v>0</v>
      </c>
      <c r="J151" s="633">
        <v>0</v>
      </c>
      <c r="K151" s="531">
        <f t="shared" si="31"/>
        <v>0</v>
      </c>
      <c r="L151" s="531">
        <f t="shared" si="32"/>
        <v>0</v>
      </c>
      <c r="M151" s="531">
        <f t="shared" si="26"/>
        <v>0</v>
      </c>
      <c r="N151" s="633">
        <v>848.8</v>
      </c>
      <c r="O151" s="531">
        <f t="shared" si="33"/>
        <v>0</v>
      </c>
      <c r="Q151" s="536">
        <f t="shared" si="27"/>
        <v>0.93500742771691669</v>
      </c>
    </row>
    <row r="152" spans="1:17" ht="15" customHeight="1" x14ac:dyDescent="0.6">
      <c r="A152" s="609">
        <v>2056</v>
      </c>
      <c r="B152" s="696">
        <v>784</v>
      </c>
      <c r="C152" s="698">
        <v>1061.5999999999999</v>
      </c>
      <c r="D152" s="531">
        <f t="shared" si="28"/>
        <v>0</v>
      </c>
      <c r="E152" s="701">
        <v>3069.2</v>
      </c>
      <c r="F152" s="1203">
        <v>93.1</v>
      </c>
      <c r="G152" s="607">
        <f t="shared" si="29"/>
        <v>0</v>
      </c>
      <c r="H152" s="608">
        <f t="shared" si="30"/>
        <v>0</v>
      </c>
      <c r="I152" s="531">
        <f t="shared" si="25"/>
        <v>0</v>
      </c>
      <c r="J152" s="633">
        <v>0</v>
      </c>
      <c r="K152" s="531">
        <f t="shared" si="31"/>
        <v>0</v>
      </c>
      <c r="L152" s="531">
        <f t="shared" si="32"/>
        <v>0</v>
      </c>
      <c r="M152" s="531">
        <f t="shared" si="26"/>
        <v>0</v>
      </c>
      <c r="N152" s="633">
        <v>854</v>
      </c>
      <c r="O152" s="531">
        <f t="shared" si="33"/>
        <v>0</v>
      </c>
      <c r="Q152" s="536">
        <f t="shared" si="27"/>
        <v>0.91463328301988711</v>
      </c>
    </row>
    <row r="153" spans="1:17" ht="15" customHeight="1" x14ac:dyDescent="0.6">
      <c r="A153" s="609">
        <v>2057</v>
      </c>
      <c r="B153" s="696">
        <v>784</v>
      </c>
      <c r="C153" s="698">
        <v>1061.2</v>
      </c>
      <c r="D153" s="531">
        <f t="shared" si="28"/>
        <v>0</v>
      </c>
      <c r="E153" s="701">
        <v>3068.5</v>
      </c>
      <c r="F153" s="1203">
        <v>93</v>
      </c>
      <c r="G153" s="607">
        <f t="shared" si="29"/>
        <v>0</v>
      </c>
      <c r="H153" s="608">
        <f t="shared" si="30"/>
        <v>0</v>
      </c>
      <c r="I153" s="531">
        <f t="shared" si="25"/>
        <v>0</v>
      </c>
      <c r="J153" s="633">
        <v>0</v>
      </c>
      <c r="K153" s="531">
        <f t="shared" si="31"/>
        <v>0</v>
      </c>
      <c r="L153" s="531">
        <f t="shared" si="32"/>
        <v>0</v>
      </c>
      <c r="M153" s="531">
        <f t="shared" si="26"/>
        <v>0</v>
      </c>
      <c r="N153" s="633">
        <v>859.3</v>
      </c>
      <c r="O153" s="531">
        <f t="shared" si="33"/>
        <v>0</v>
      </c>
      <c r="Q153" s="536">
        <f t="shared" si="27"/>
        <v>0.8949437777413638</v>
      </c>
    </row>
    <row r="154" spans="1:17" ht="15" customHeight="1" x14ac:dyDescent="0.6">
      <c r="A154" s="609">
        <v>2058</v>
      </c>
      <c r="B154" s="696">
        <v>784</v>
      </c>
      <c r="C154" s="698">
        <v>1060.8</v>
      </c>
      <c r="D154" s="531">
        <f t="shared" si="28"/>
        <v>0</v>
      </c>
      <c r="E154" s="701">
        <v>3067</v>
      </c>
      <c r="F154" s="1203">
        <v>93</v>
      </c>
      <c r="G154" s="607">
        <f t="shared" si="29"/>
        <v>0</v>
      </c>
      <c r="H154" s="608">
        <f t="shared" si="30"/>
        <v>0</v>
      </c>
      <c r="I154" s="531">
        <f t="shared" si="25"/>
        <v>0</v>
      </c>
      <c r="J154" s="633">
        <v>0</v>
      </c>
      <c r="K154" s="531">
        <f t="shared" si="31"/>
        <v>0</v>
      </c>
      <c r="L154" s="531">
        <f t="shared" si="32"/>
        <v>0</v>
      </c>
      <c r="M154" s="531">
        <f t="shared" si="26"/>
        <v>0</v>
      </c>
      <c r="N154" s="633">
        <v>861.1</v>
      </c>
      <c r="O154" s="531">
        <f t="shared" si="33"/>
        <v>0</v>
      </c>
      <c r="Q154" s="536">
        <f t="shared" si="27"/>
        <v>0.87591351907582715</v>
      </c>
    </row>
    <row r="155" spans="1:17" ht="15" customHeight="1" x14ac:dyDescent="0.6">
      <c r="A155" s="609">
        <v>2059</v>
      </c>
      <c r="B155" s="696">
        <v>784</v>
      </c>
      <c r="C155" s="698">
        <v>1060.5999999999999</v>
      </c>
      <c r="D155" s="531">
        <f t="shared" si="28"/>
        <v>0</v>
      </c>
      <c r="E155" s="701">
        <v>3066.3</v>
      </c>
      <c r="F155" s="1203">
        <v>92.9</v>
      </c>
      <c r="G155" s="607">
        <f t="shared" si="29"/>
        <v>0</v>
      </c>
      <c r="H155" s="608">
        <f t="shared" si="30"/>
        <v>0</v>
      </c>
      <c r="I155" s="531">
        <f t="shared" si="25"/>
        <v>0</v>
      </c>
      <c r="J155" s="633">
        <v>0</v>
      </c>
      <c r="K155" s="531">
        <f t="shared" si="31"/>
        <v>0</v>
      </c>
      <c r="L155" s="531">
        <f t="shared" si="32"/>
        <v>0</v>
      </c>
      <c r="M155" s="531">
        <f t="shared" si="26"/>
        <v>0</v>
      </c>
      <c r="N155" s="633">
        <v>862.5</v>
      </c>
      <c r="O155" s="531">
        <f t="shared" si="33"/>
        <v>0</v>
      </c>
      <c r="Q155" s="536">
        <f t="shared" si="27"/>
        <v>0.85751764610150116</v>
      </c>
    </row>
    <row r="156" spans="1:17" ht="15" customHeight="1" x14ac:dyDescent="0.6">
      <c r="A156" s="609">
        <v>2060</v>
      </c>
      <c r="B156" s="696">
        <v>784</v>
      </c>
      <c r="C156" s="698">
        <v>1060.5</v>
      </c>
      <c r="D156" s="531">
        <f t="shared" si="28"/>
        <v>0</v>
      </c>
      <c r="E156" s="701">
        <v>3064.8</v>
      </c>
      <c r="F156" s="1203">
        <v>92.9</v>
      </c>
      <c r="G156" s="607">
        <f t="shared" si="29"/>
        <v>0</v>
      </c>
      <c r="H156" s="608">
        <f t="shared" si="30"/>
        <v>0</v>
      </c>
      <c r="I156" s="531">
        <f t="shared" si="25"/>
        <v>0</v>
      </c>
      <c r="J156" s="633">
        <v>0</v>
      </c>
      <c r="K156" s="531">
        <f t="shared" si="31"/>
        <v>0</v>
      </c>
      <c r="L156" s="531">
        <f t="shared" si="32"/>
        <v>0</v>
      </c>
      <c r="M156" s="531">
        <f t="shared" si="26"/>
        <v>0</v>
      </c>
      <c r="N156" s="633">
        <v>863.6</v>
      </c>
      <c r="O156" s="531">
        <f t="shared" si="33"/>
        <v>0</v>
      </c>
      <c r="Q156" s="536">
        <f t="shared" si="27"/>
        <v>0.83973217553513291</v>
      </c>
    </row>
    <row r="157" spans="1:17" ht="15" customHeight="1" x14ac:dyDescent="0.4"/>
    <row r="158" spans="1:17" ht="15" customHeight="1" x14ac:dyDescent="0.4"/>
    <row r="159" spans="1:17" ht="15" customHeight="1" x14ac:dyDescent="0.4"/>
    <row r="160" spans="1:17" ht="15" customHeight="1" x14ac:dyDescent="0.4"/>
    <row r="161" spans="7:8" ht="15" customHeight="1" x14ac:dyDescent="0.4"/>
    <row r="162" spans="7:8" ht="15" customHeight="1" x14ac:dyDescent="0.4"/>
    <row r="163" spans="7:8" ht="15" customHeight="1" x14ac:dyDescent="0.4"/>
    <row r="164" spans="7:8" ht="15" customHeight="1" x14ac:dyDescent="0.4"/>
    <row r="165" spans="7:8" ht="15" customHeight="1" x14ac:dyDescent="0.4"/>
    <row r="166" spans="7:8" ht="15" customHeight="1" x14ac:dyDescent="0.4"/>
    <row r="167" spans="7:8" ht="15" customHeight="1" x14ac:dyDescent="0.4"/>
    <row r="168" spans="7:8" ht="15" customHeight="1" x14ac:dyDescent="0.4"/>
    <row r="169" spans="7:8" ht="15" customHeight="1" x14ac:dyDescent="0.4"/>
    <row r="170" spans="7:8" ht="15" customHeight="1" x14ac:dyDescent="0.4"/>
    <row r="171" spans="7:8" ht="15" customHeight="1" x14ac:dyDescent="0.4"/>
    <row r="172" spans="7:8" ht="15" customHeight="1" x14ac:dyDescent="0.4"/>
    <row r="173" spans="7:8" ht="15" customHeight="1" x14ac:dyDescent="0.4"/>
    <row r="174" spans="7:8" ht="15" customHeight="1" x14ac:dyDescent="0.4"/>
    <row r="175" spans="7:8" ht="15" customHeight="1" x14ac:dyDescent="0.4">
      <c r="G175" s="535"/>
      <c r="H175" s="535"/>
    </row>
    <row r="176" spans="7:8" ht="15" customHeight="1" x14ac:dyDescent="0.4">
      <c r="G176" s="535"/>
      <c r="H176" s="535"/>
    </row>
    <row r="177" spans="2:8" ht="15" customHeight="1" x14ac:dyDescent="0.4">
      <c r="G177" s="535"/>
      <c r="H177" s="535"/>
    </row>
    <row r="178" spans="2:8" ht="15" customHeight="1" x14ac:dyDescent="0.4">
      <c r="G178" s="535"/>
      <c r="H178" s="535"/>
    </row>
    <row r="179" spans="2:8" ht="15" customHeight="1" x14ac:dyDescent="0.4">
      <c r="G179" s="535"/>
      <c r="H179" s="535"/>
    </row>
    <row r="180" spans="2:8" ht="15" customHeight="1" x14ac:dyDescent="0.4">
      <c r="G180" s="535"/>
      <c r="H180" s="535"/>
    </row>
    <row r="181" spans="2:8" ht="15" customHeight="1" x14ac:dyDescent="0.4">
      <c r="G181" s="535"/>
      <c r="H181" s="535"/>
    </row>
    <row r="182" spans="2:8" x14ac:dyDescent="0.4">
      <c r="G182" s="535"/>
      <c r="H182" s="535"/>
    </row>
    <row r="183" spans="2:8" x14ac:dyDescent="0.4">
      <c r="G183" s="535"/>
      <c r="H183" s="535"/>
    </row>
    <row r="184" spans="2:8" x14ac:dyDescent="0.4">
      <c r="G184" s="535"/>
      <c r="H184" s="535"/>
    </row>
    <row r="185" spans="2:8" x14ac:dyDescent="0.4">
      <c r="G185" s="535"/>
      <c r="H185" s="535"/>
    </row>
    <row r="186" spans="2:8" x14ac:dyDescent="0.4">
      <c r="G186" s="535"/>
      <c r="H186" s="535"/>
    </row>
    <row r="187" spans="2:8" x14ac:dyDescent="0.4">
      <c r="G187" s="535"/>
      <c r="H187" s="535"/>
    </row>
    <row r="188" spans="2:8" x14ac:dyDescent="0.4">
      <c r="G188" s="535"/>
      <c r="H188" s="535"/>
    </row>
    <row r="189" spans="2:8" x14ac:dyDescent="0.4">
      <c r="G189" s="535"/>
      <c r="H189" s="535"/>
    </row>
    <row r="190" spans="2:8" x14ac:dyDescent="0.4">
      <c r="B190" s="826"/>
      <c r="C190" s="826"/>
      <c r="D190" s="826"/>
      <c r="E190" s="826"/>
      <c r="F190" s="826"/>
      <c r="G190" s="1176"/>
      <c r="H190" s="535"/>
    </row>
    <row r="191" spans="2:8" ht="14.4" x14ac:dyDescent="0.4">
      <c r="B191" s="1177"/>
      <c r="C191" s="1177"/>
      <c r="D191" s="1177"/>
      <c r="E191" s="1177"/>
      <c r="F191" s="1177"/>
      <c r="G191" s="1176"/>
      <c r="H191" s="535"/>
    </row>
    <row r="192" spans="2:8" ht="14.4" x14ac:dyDescent="0.4">
      <c r="B192" s="1177"/>
      <c r="C192" s="1177"/>
      <c r="D192" s="1177"/>
      <c r="E192" s="1178"/>
      <c r="F192" s="1178"/>
      <c r="G192" s="1176"/>
      <c r="H192" s="535"/>
    </row>
    <row r="193" spans="2:8" ht="14.4" x14ac:dyDescent="0.4">
      <c r="B193" s="1177"/>
      <c r="C193" s="1177"/>
      <c r="D193" s="1177"/>
      <c r="E193" s="1178"/>
      <c r="F193" s="1178"/>
      <c r="G193" s="1176"/>
      <c r="H193" s="535"/>
    </row>
    <row r="194" spans="2:8" ht="14.4" x14ac:dyDescent="0.4">
      <c r="B194" s="1177"/>
      <c r="C194" s="1177"/>
      <c r="D194" s="1177"/>
      <c r="E194" s="1178"/>
      <c r="F194" s="1178"/>
      <c r="G194" s="1176"/>
      <c r="H194" s="535"/>
    </row>
    <row r="195" spans="2:8" ht="14.4" x14ac:dyDescent="0.4">
      <c r="B195" s="1177"/>
      <c r="C195" s="1177"/>
      <c r="D195" s="1177"/>
      <c r="E195" s="1178"/>
      <c r="F195" s="1178"/>
      <c r="G195" s="1176"/>
      <c r="H195" s="535"/>
    </row>
    <row r="196" spans="2:8" ht="14.4" x14ac:dyDescent="0.4">
      <c r="B196" s="1177"/>
      <c r="C196" s="1177"/>
      <c r="D196" s="1177"/>
      <c r="E196" s="1178"/>
      <c r="F196" s="1178"/>
      <c r="G196" s="1176"/>
      <c r="H196" s="535"/>
    </row>
    <row r="197" spans="2:8" ht="14.4" x14ac:dyDescent="0.4">
      <c r="B197" s="1177"/>
      <c r="C197" s="1177"/>
      <c r="D197" s="1177"/>
      <c r="E197" s="1178"/>
      <c r="F197" s="1178"/>
      <c r="G197" s="1176"/>
      <c r="H197" s="535"/>
    </row>
    <row r="198" spans="2:8" ht="14.4" x14ac:dyDescent="0.4">
      <c r="B198" s="1177"/>
      <c r="C198" s="1177"/>
      <c r="D198" s="1177"/>
      <c r="E198" s="1178"/>
      <c r="F198" s="1178"/>
      <c r="G198" s="1176"/>
      <c r="H198" s="535"/>
    </row>
    <row r="199" spans="2:8" ht="14.4" x14ac:dyDescent="0.4">
      <c r="B199" s="1177"/>
      <c r="C199" s="1177"/>
      <c r="D199" s="1177"/>
      <c r="E199" s="1178"/>
      <c r="F199" s="1178"/>
      <c r="G199" s="1176"/>
      <c r="H199" s="535"/>
    </row>
    <row r="200" spans="2:8" ht="14.4" x14ac:dyDescent="0.4">
      <c r="B200" s="1177"/>
      <c r="C200" s="1177"/>
      <c r="D200" s="1177"/>
      <c r="E200" s="1178"/>
      <c r="F200" s="1178"/>
      <c r="G200" s="1176"/>
      <c r="H200" s="535"/>
    </row>
    <row r="201" spans="2:8" ht="14.4" x14ac:dyDescent="0.4">
      <c r="B201" s="1177"/>
      <c r="C201" s="1177"/>
      <c r="D201" s="1177"/>
      <c r="E201" s="1178"/>
      <c r="F201" s="1178"/>
      <c r="G201" s="1176"/>
      <c r="H201" s="535"/>
    </row>
    <row r="202" spans="2:8" ht="14.4" x14ac:dyDescent="0.4">
      <c r="B202" s="1177"/>
      <c r="C202" s="1177"/>
      <c r="D202" s="1177"/>
      <c r="E202" s="1178"/>
      <c r="F202" s="1178"/>
      <c r="G202" s="1176"/>
      <c r="H202" s="535"/>
    </row>
    <row r="203" spans="2:8" ht="14.4" x14ac:dyDescent="0.4">
      <c r="B203" s="1177"/>
      <c r="C203" s="1177"/>
      <c r="D203" s="1177"/>
      <c r="E203" s="1178"/>
      <c r="F203" s="1178"/>
      <c r="G203" s="1176"/>
      <c r="H203" s="535"/>
    </row>
    <row r="204" spans="2:8" ht="14.4" x14ac:dyDescent="0.4">
      <c r="B204" s="1177"/>
      <c r="C204" s="1177"/>
      <c r="D204" s="1177"/>
      <c r="E204" s="1178"/>
      <c r="F204" s="1178"/>
      <c r="G204" s="1176"/>
      <c r="H204" s="535"/>
    </row>
    <row r="205" spans="2:8" ht="14.4" x14ac:dyDescent="0.4">
      <c r="B205" s="1177"/>
      <c r="C205" s="1177"/>
      <c r="D205" s="1177"/>
      <c r="E205" s="1178"/>
      <c r="F205" s="1178"/>
      <c r="G205" s="1176"/>
      <c r="H205" s="535"/>
    </row>
    <row r="206" spans="2:8" ht="14.4" x14ac:dyDescent="0.4">
      <c r="B206" s="1177"/>
      <c r="C206" s="1177"/>
      <c r="D206" s="1177"/>
      <c r="E206" s="1178"/>
      <c r="F206" s="1178"/>
      <c r="G206" s="1176"/>
      <c r="H206" s="535"/>
    </row>
    <row r="207" spans="2:8" ht="14.4" x14ac:dyDescent="0.4">
      <c r="B207" s="1177"/>
      <c r="C207" s="1177"/>
      <c r="D207" s="1177"/>
      <c r="E207" s="1178"/>
      <c r="F207" s="1178"/>
      <c r="G207" s="1176"/>
      <c r="H207" s="535"/>
    </row>
    <row r="208" spans="2:8" ht="14.4" x14ac:dyDescent="0.4">
      <c r="B208" s="1177"/>
      <c r="C208" s="1177"/>
      <c r="D208" s="1177"/>
      <c r="E208" s="1178"/>
      <c r="F208" s="1178"/>
      <c r="G208" s="1176"/>
      <c r="H208" s="535"/>
    </row>
    <row r="209" spans="2:8" ht="14.4" x14ac:dyDescent="0.4">
      <c r="B209" s="1177"/>
      <c r="C209" s="1177"/>
      <c r="D209" s="1177"/>
      <c r="E209" s="1178"/>
      <c r="F209" s="1178"/>
      <c r="G209" s="1176"/>
      <c r="H209" s="535"/>
    </row>
    <row r="210" spans="2:8" ht="14.4" x14ac:dyDescent="0.4">
      <c r="B210" s="1177"/>
      <c r="C210" s="1177"/>
      <c r="D210" s="1177"/>
      <c r="E210" s="1178"/>
      <c r="F210" s="1178"/>
      <c r="G210" s="1176"/>
      <c r="H210" s="535"/>
    </row>
    <row r="211" spans="2:8" ht="14.4" x14ac:dyDescent="0.4">
      <c r="B211" s="1177"/>
      <c r="C211" s="1177"/>
      <c r="D211" s="1177"/>
      <c r="E211" s="1178"/>
      <c r="F211" s="1178"/>
      <c r="G211" s="1176"/>
      <c r="H211" s="535"/>
    </row>
    <row r="212" spans="2:8" ht="14.4" x14ac:dyDescent="0.4">
      <c r="B212" s="1177"/>
      <c r="C212" s="1177"/>
      <c r="D212" s="1177"/>
      <c r="E212" s="1178"/>
      <c r="F212" s="1178"/>
      <c r="G212" s="1176"/>
      <c r="H212" s="535"/>
    </row>
    <row r="213" spans="2:8" ht="14.4" x14ac:dyDescent="0.4">
      <c r="B213" s="1177"/>
      <c r="C213" s="1177"/>
      <c r="D213" s="1177"/>
      <c r="E213" s="1178"/>
      <c r="F213" s="1178"/>
      <c r="G213" s="1176"/>
      <c r="H213" s="535"/>
    </row>
    <row r="214" spans="2:8" ht="14.4" x14ac:dyDescent="0.4">
      <c r="B214" s="1177"/>
      <c r="C214" s="1177"/>
      <c r="D214" s="1177"/>
      <c r="E214" s="1178"/>
      <c r="F214" s="1178"/>
      <c r="G214" s="1176"/>
      <c r="H214" s="535"/>
    </row>
    <row r="215" spans="2:8" ht="14.4" x14ac:dyDescent="0.4">
      <c r="B215" s="1177"/>
      <c r="C215" s="1177"/>
      <c r="D215" s="1177"/>
      <c r="E215" s="1178"/>
      <c r="F215" s="1178"/>
      <c r="G215" s="1176"/>
      <c r="H215" s="535"/>
    </row>
    <row r="216" spans="2:8" ht="14.4" x14ac:dyDescent="0.4">
      <c r="B216" s="1177"/>
      <c r="C216" s="1177"/>
      <c r="D216" s="1177"/>
      <c r="E216" s="1178"/>
      <c r="F216" s="1178"/>
      <c r="G216" s="1176"/>
      <c r="H216" s="535"/>
    </row>
    <row r="217" spans="2:8" ht="14.4" x14ac:dyDescent="0.4">
      <c r="B217" s="1177"/>
      <c r="C217" s="1177"/>
      <c r="D217" s="1177"/>
      <c r="E217" s="1178"/>
      <c r="F217" s="1178"/>
      <c r="G217" s="1176"/>
      <c r="H217" s="535"/>
    </row>
    <row r="218" spans="2:8" ht="14.4" x14ac:dyDescent="0.4">
      <c r="B218" s="1177"/>
      <c r="C218" s="1177"/>
      <c r="D218" s="1177"/>
      <c r="E218" s="1178"/>
      <c r="F218" s="1178"/>
      <c r="G218" s="1176"/>
      <c r="H218" s="535"/>
    </row>
    <row r="219" spans="2:8" ht="14.4" x14ac:dyDescent="0.4">
      <c r="B219" s="1177"/>
      <c r="C219" s="1177"/>
      <c r="D219" s="1177"/>
      <c r="E219" s="1178"/>
      <c r="F219" s="1178"/>
      <c r="G219" s="1176"/>
      <c r="H219" s="535"/>
    </row>
    <row r="220" spans="2:8" ht="14.4" x14ac:dyDescent="0.4">
      <c r="B220" s="1177"/>
      <c r="C220" s="1177"/>
      <c r="D220" s="1177"/>
      <c r="E220" s="1178"/>
      <c r="F220" s="1178"/>
      <c r="G220" s="1176"/>
      <c r="H220" s="535"/>
    </row>
    <row r="221" spans="2:8" ht="14.4" x14ac:dyDescent="0.4">
      <c r="B221" s="1177"/>
      <c r="C221" s="1177"/>
      <c r="D221" s="1177"/>
      <c r="E221" s="1178"/>
      <c r="F221" s="1178"/>
      <c r="G221" s="1176"/>
      <c r="H221" s="535"/>
    </row>
    <row r="222" spans="2:8" ht="14.4" x14ac:dyDescent="0.4">
      <c r="B222" s="1177"/>
      <c r="C222" s="1177"/>
      <c r="D222" s="1177"/>
      <c r="E222" s="1178"/>
      <c r="F222" s="1178"/>
      <c r="G222" s="1176"/>
      <c r="H222" s="535"/>
    </row>
    <row r="223" spans="2:8" ht="14.4" x14ac:dyDescent="0.4">
      <c r="B223" s="1177"/>
      <c r="C223" s="1177"/>
      <c r="D223" s="1177"/>
      <c r="E223" s="1178"/>
      <c r="F223" s="1178"/>
      <c r="G223" s="826"/>
    </row>
    <row r="224" spans="2:8" ht="14.4" x14ac:dyDescent="0.4">
      <c r="B224" s="1177"/>
      <c r="C224" s="1177"/>
      <c r="D224" s="1177"/>
      <c r="E224" s="1178"/>
      <c r="F224" s="1178"/>
      <c r="G224" s="826"/>
    </row>
    <row r="225" spans="2:7" ht="14.4" x14ac:dyDescent="0.4">
      <c r="B225" s="1177"/>
      <c r="C225" s="1177"/>
      <c r="D225" s="1177"/>
      <c r="E225" s="1178"/>
      <c r="F225" s="1178"/>
      <c r="G225" s="826"/>
    </row>
    <row r="226" spans="2:7" ht="14.4" x14ac:dyDescent="0.4">
      <c r="B226" s="1177"/>
      <c r="C226" s="1177"/>
      <c r="D226" s="1177"/>
      <c r="E226" s="1178"/>
      <c r="F226" s="1178"/>
      <c r="G226" s="826"/>
    </row>
    <row r="227" spans="2:7" ht="14.4" x14ac:dyDescent="0.4">
      <c r="B227" s="1177"/>
      <c r="C227" s="1177"/>
      <c r="D227" s="1177"/>
      <c r="E227" s="1178"/>
      <c r="F227" s="1178"/>
      <c r="G227" s="826"/>
    </row>
    <row r="228" spans="2:7" ht="14.4" x14ac:dyDescent="0.4">
      <c r="B228" s="1177"/>
      <c r="C228" s="1177"/>
      <c r="D228" s="1177"/>
      <c r="E228" s="1178"/>
      <c r="F228" s="1178"/>
      <c r="G228" s="826"/>
    </row>
    <row r="229" spans="2:7" ht="14.4" x14ac:dyDescent="0.4">
      <c r="B229" s="1177"/>
      <c r="C229" s="1177"/>
      <c r="D229" s="1177"/>
      <c r="E229" s="1178"/>
      <c r="F229" s="1178"/>
      <c r="G229" s="826"/>
    </row>
    <row r="230" spans="2:7" ht="14.4" x14ac:dyDescent="0.4">
      <c r="B230" s="1177"/>
      <c r="C230" s="1177"/>
      <c r="D230" s="1177"/>
      <c r="E230" s="1178"/>
      <c r="F230" s="1178"/>
      <c r="G230" s="826"/>
    </row>
    <row r="231" spans="2:7" ht="14.4" x14ac:dyDescent="0.4">
      <c r="B231" s="1177"/>
      <c r="C231" s="1177"/>
      <c r="D231" s="1177"/>
      <c r="E231" s="1178"/>
      <c r="F231" s="1178"/>
      <c r="G231" s="826"/>
    </row>
    <row r="232" spans="2:7" ht="14.4" x14ac:dyDescent="0.4">
      <c r="B232" s="1177"/>
      <c r="C232" s="1177"/>
      <c r="D232" s="1177"/>
      <c r="E232" s="1178"/>
      <c r="F232" s="1178"/>
      <c r="G232" s="826"/>
    </row>
    <row r="233" spans="2:7" ht="14.4" x14ac:dyDescent="0.4">
      <c r="B233" s="1177"/>
      <c r="C233" s="1177"/>
      <c r="D233" s="1177"/>
      <c r="E233" s="1178"/>
      <c r="F233" s="1178"/>
      <c r="G233" s="826"/>
    </row>
    <row r="234" spans="2:7" ht="14.4" x14ac:dyDescent="0.4">
      <c r="B234" s="1177"/>
      <c r="C234" s="1177"/>
      <c r="D234" s="1177"/>
      <c r="E234" s="1178"/>
      <c r="F234" s="1178"/>
      <c r="G234" s="826"/>
    </row>
    <row r="235" spans="2:7" ht="14.4" x14ac:dyDescent="0.4">
      <c r="B235" s="1177"/>
      <c r="C235" s="1177"/>
      <c r="D235" s="1177"/>
      <c r="E235" s="1178"/>
      <c r="F235" s="1178"/>
      <c r="G235" s="826"/>
    </row>
    <row r="236" spans="2:7" ht="14.4" x14ac:dyDescent="0.4">
      <c r="B236" s="1177"/>
      <c r="C236" s="1177"/>
      <c r="D236" s="1177"/>
      <c r="E236" s="1178"/>
      <c r="F236" s="1178"/>
      <c r="G236" s="826"/>
    </row>
    <row r="237" spans="2:7" ht="14.4" x14ac:dyDescent="0.4">
      <c r="B237" s="1177"/>
      <c r="C237" s="1177"/>
      <c r="D237" s="1177"/>
      <c r="E237" s="1178"/>
      <c r="F237" s="1178"/>
      <c r="G237" s="826"/>
    </row>
    <row r="238" spans="2:7" ht="14.4" x14ac:dyDescent="0.4">
      <c r="B238" s="1177"/>
      <c r="C238" s="1177"/>
      <c r="D238" s="1177"/>
      <c r="E238" s="1178"/>
      <c r="F238" s="1178"/>
      <c r="G238" s="826"/>
    </row>
    <row r="239" spans="2:7" x14ac:dyDescent="0.4">
      <c r="B239" s="826"/>
      <c r="C239" s="826"/>
      <c r="D239" s="826"/>
      <c r="E239" s="826"/>
      <c r="F239" s="826"/>
      <c r="G239" s="826"/>
    </row>
    <row r="240" spans="2:7" x14ac:dyDescent="0.4">
      <c r="B240" s="826"/>
      <c r="C240" s="826"/>
      <c r="D240" s="826"/>
      <c r="E240" s="826"/>
      <c r="F240" s="826"/>
      <c r="G240" s="826"/>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7:S158"/>
  <sheetViews>
    <sheetView topLeftCell="A94" workbookViewId="0">
      <selection activeCell="B15" sqref="B15"/>
    </sheetView>
  </sheetViews>
  <sheetFormatPr defaultColWidth="10.6640625" defaultRowHeight="12.3" x14ac:dyDescent="0.4"/>
  <cols>
    <col min="2" max="2" width="13.83203125" customWidth="1"/>
    <col min="3" max="3" width="12.83203125" customWidth="1"/>
  </cols>
  <sheetData>
    <row r="7" spans="1:19" x14ac:dyDescent="0.4">
      <c r="A7" s="1" t="s">
        <v>404</v>
      </c>
      <c r="B7" s="535">
        <f>B8/$D$8</f>
        <v>0.42980501597146609</v>
      </c>
      <c r="C7" s="535">
        <f>C8/$D$8</f>
        <v>0.57019498402853386</v>
      </c>
    </row>
    <row r="8" spans="1:19" x14ac:dyDescent="0.4">
      <c r="A8" t="s">
        <v>542</v>
      </c>
      <c r="B8" s="533">
        <f>SUM(B15:B45)/1000</f>
        <v>43.530082987754049</v>
      </c>
      <c r="C8" s="533">
        <f>SUM(C15:C45)/1000</f>
        <v>57.748593086710201</v>
      </c>
      <c r="D8" s="533">
        <f>SUM(D15:D45)/1000</f>
        <v>101.27867607446426</v>
      </c>
    </row>
    <row r="9" spans="1:19" ht="61.5" x14ac:dyDescent="0.4">
      <c r="B9" s="341" t="s">
        <v>505</v>
      </c>
      <c r="C9" s="341" t="s">
        <v>445</v>
      </c>
      <c r="D9" s="341" t="s">
        <v>506</v>
      </c>
      <c r="H9" s="656"/>
      <c r="I9" s="657"/>
      <c r="J9" s="658" t="s">
        <v>510</v>
      </c>
      <c r="K9" s="659"/>
      <c r="L9" s="659"/>
      <c r="M9" s="659"/>
      <c r="N9" s="660"/>
      <c r="O9" s="661" t="s">
        <v>511</v>
      </c>
      <c r="P9" s="662"/>
      <c r="Q9" s="662"/>
      <c r="R9" s="662"/>
      <c r="S9" s="663"/>
    </row>
    <row r="10" spans="1:19" ht="86.1" x14ac:dyDescent="0.4">
      <c r="A10">
        <v>2015</v>
      </c>
      <c r="B10" s="710">
        <v>5.3022945137006197</v>
      </c>
      <c r="C10" s="710">
        <v>83.801505494115361</v>
      </c>
      <c r="D10" s="616">
        <f>SUM(B10:C10)</f>
        <v>89.103800007815977</v>
      </c>
      <c r="H10" s="626" t="s">
        <v>512</v>
      </c>
      <c r="I10" s="626" t="s">
        <v>513</v>
      </c>
      <c r="J10" s="627" t="s">
        <v>514</v>
      </c>
      <c r="K10" s="628" t="s">
        <v>515</v>
      </c>
      <c r="L10" s="627" t="s">
        <v>516</v>
      </c>
      <c r="M10" s="627" t="s">
        <v>517</v>
      </c>
      <c r="N10" s="627" t="s">
        <v>518</v>
      </c>
      <c r="O10" s="629" t="s">
        <v>519</v>
      </c>
      <c r="P10" s="629" t="s">
        <v>520</v>
      </c>
      <c r="Q10" s="629" t="s">
        <v>521</v>
      </c>
      <c r="R10" s="629" t="s">
        <v>74</v>
      </c>
      <c r="S10" s="629" t="s">
        <v>522</v>
      </c>
    </row>
    <row r="11" spans="1:19" x14ac:dyDescent="0.4">
      <c r="A11">
        <v>2016</v>
      </c>
      <c r="B11" s="710">
        <v>11.486170261143945</v>
      </c>
      <c r="C11" s="710">
        <v>149.12317620717076</v>
      </c>
      <c r="D11" s="616">
        <f t="shared" ref="D11:D55" si="0">SUM(B11:C11)</f>
        <v>160.6093464683147</v>
      </c>
    </row>
    <row r="12" spans="1:19" x14ac:dyDescent="0.4">
      <c r="A12" s="609">
        <v>2017</v>
      </c>
      <c r="B12" s="710">
        <v>18.609900883373165</v>
      </c>
      <c r="C12" s="710">
        <v>228.32264341652208</v>
      </c>
      <c r="D12" s="616">
        <f t="shared" si="0"/>
        <v>246.93254429989526</v>
      </c>
      <c r="F12" s="609" t="s">
        <v>505</v>
      </c>
      <c r="G12" s="609" t="s">
        <v>404</v>
      </c>
      <c r="H12" s="609">
        <v>3.751632600830817</v>
      </c>
      <c r="I12" s="609">
        <v>0.25475176845674241</v>
      </c>
      <c r="J12" s="609" t="s">
        <v>507</v>
      </c>
      <c r="K12" s="609" t="s">
        <v>507</v>
      </c>
      <c r="L12" s="609" t="s">
        <v>507</v>
      </c>
      <c r="M12" s="609" t="s">
        <v>507</v>
      </c>
      <c r="N12" s="609" t="s">
        <v>507</v>
      </c>
      <c r="O12" s="609" t="s">
        <v>507</v>
      </c>
      <c r="P12" s="609" t="s">
        <v>508</v>
      </c>
      <c r="Q12" s="609">
        <v>1453.4853000000001</v>
      </c>
      <c r="R12" s="609" t="s">
        <v>509</v>
      </c>
      <c r="S12" s="609">
        <v>0.66998986336385591</v>
      </c>
    </row>
    <row r="13" spans="1:19" x14ac:dyDescent="0.4">
      <c r="A13" s="609">
        <v>2018</v>
      </c>
      <c r="B13" s="710">
        <v>26.714167978852096</v>
      </c>
      <c r="C13" s="710">
        <v>320.07719036619733</v>
      </c>
      <c r="D13" s="616">
        <f t="shared" si="0"/>
        <v>346.79135834504945</v>
      </c>
      <c r="F13" s="609" t="s">
        <v>445</v>
      </c>
      <c r="G13" t="s">
        <v>404</v>
      </c>
      <c r="H13">
        <v>4.5958957255610358</v>
      </c>
      <c r="I13">
        <v>9.0899570276064878E-2</v>
      </c>
      <c r="J13">
        <v>0</v>
      </c>
      <c r="K13">
        <v>0</v>
      </c>
      <c r="L13">
        <v>-610.67297022152775</v>
      </c>
      <c r="M13">
        <v>-629.24922861702225</v>
      </c>
      <c r="N13">
        <v>-178.5721329348367</v>
      </c>
      <c r="O13">
        <v>742.02181634779629</v>
      </c>
      <c r="P13" t="s">
        <v>523</v>
      </c>
      <c r="Q13">
        <v>742.02181634779629</v>
      </c>
      <c r="R13" t="s">
        <v>524</v>
      </c>
      <c r="S13">
        <v>1</v>
      </c>
    </row>
    <row r="14" spans="1:19" x14ac:dyDescent="0.4">
      <c r="A14" s="609">
        <v>2019</v>
      </c>
      <c r="B14" s="710">
        <v>75.308939975875987</v>
      </c>
      <c r="C14" s="710">
        <v>423.06410139532284</v>
      </c>
      <c r="D14" s="616">
        <f t="shared" si="0"/>
        <v>498.37304137119884</v>
      </c>
    </row>
    <row r="15" spans="1:19" x14ac:dyDescent="0.4">
      <c r="A15" s="609">
        <v>2020</v>
      </c>
      <c r="B15" s="710">
        <v>118.49525838250233</v>
      </c>
      <c r="C15" s="710">
        <v>535.95950293022963</v>
      </c>
      <c r="D15" s="616">
        <f t="shared" si="0"/>
        <v>654.45476131273199</v>
      </c>
      <c r="F15" t="s">
        <v>506</v>
      </c>
      <c r="H15">
        <f>SUM(H12:H13)</f>
        <v>8.3475283263918527</v>
      </c>
      <c r="I15" s="609">
        <f t="shared" ref="I15:Q15" si="1">SUM(I12:I13)</f>
        <v>0.34565133873280729</v>
      </c>
      <c r="J15" s="609">
        <f t="shared" si="1"/>
        <v>0</v>
      </c>
      <c r="K15" s="609">
        <f t="shared" si="1"/>
        <v>0</v>
      </c>
      <c r="L15" s="609">
        <f t="shared" si="1"/>
        <v>-610.67297022152775</v>
      </c>
      <c r="M15" s="609">
        <f t="shared" si="1"/>
        <v>-629.24922861702225</v>
      </c>
      <c r="N15" s="609">
        <f t="shared" si="1"/>
        <v>-178.5721329348367</v>
      </c>
      <c r="O15" s="609">
        <f t="shared" si="1"/>
        <v>742.02181634779629</v>
      </c>
      <c r="P15" s="609" t="s">
        <v>525</v>
      </c>
      <c r="Q15" s="609">
        <f t="shared" si="1"/>
        <v>2195.5071163477965</v>
      </c>
      <c r="R15" s="609" t="s">
        <v>526</v>
      </c>
      <c r="S15" s="609">
        <f>AVERAGE(S12:S13)</f>
        <v>0.83499493168192795</v>
      </c>
    </row>
    <row r="16" spans="1:19" x14ac:dyDescent="0.4">
      <c r="A16" s="609">
        <v>2021</v>
      </c>
      <c r="B16" s="710">
        <v>154.75932793480359</v>
      </c>
      <c r="C16" s="710">
        <v>657.44414889784525</v>
      </c>
      <c r="D16" s="616">
        <f t="shared" si="0"/>
        <v>812.2034768326489</v>
      </c>
    </row>
    <row r="17" spans="1:4" x14ac:dyDescent="0.4">
      <c r="A17" s="609">
        <v>2022</v>
      </c>
      <c r="B17" s="710">
        <v>187.51818300322864</v>
      </c>
      <c r="C17" s="710">
        <v>786.19184641945174</v>
      </c>
      <c r="D17" s="616">
        <f t="shared" si="0"/>
        <v>973.71002942268035</v>
      </c>
    </row>
    <row r="18" spans="1:4" x14ac:dyDescent="0.4">
      <c r="A18" s="609">
        <v>2023</v>
      </c>
      <c r="B18" s="710">
        <v>217.83306355635867</v>
      </c>
      <c r="C18" s="710">
        <v>920.8810283136005</v>
      </c>
      <c r="D18" s="616">
        <f t="shared" si="0"/>
        <v>1138.7140918699592</v>
      </c>
    </row>
    <row r="19" spans="1:4" x14ac:dyDescent="0.4">
      <c r="A19" s="609">
        <v>2024</v>
      </c>
      <c r="B19" s="710">
        <v>284.07265426017261</v>
      </c>
      <c r="C19" s="710">
        <v>1060.1889658963137</v>
      </c>
      <c r="D19" s="616">
        <f t="shared" si="0"/>
        <v>1344.2616201564863</v>
      </c>
    </row>
    <row r="20" spans="1:4" x14ac:dyDescent="0.4">
      <c r="A20" s="609">
        <v>2025</v>
      </c>
      <c r="B20" s="710">
        <v>349.22087862248844</v>
      </c>
      <c r="C20" s="710">
        <v>1202.7930911881472</v>
      </c>
      <c r="D20" s="616">
        <f t="shared" si="0"/>
        <v>1552.0139698106357</v>
      </c>
    </row>
    <row r="21" spans="1:4" x14ac:dyDescent="0.4">
      <c r="A21" s="609">
        <v>2026</v>
      </c>
      <c r="B21" s="710">
        <v>406.08698923911851</v>
      </c>
      <c r="C21" s="710">
        <v>1347.3701703712272</v>
      </c>
      <c r="D21" s="616">
        <f t="shared" si="0"/>
        <v>1753.4571596103458</v>
      </c>
    </row>
    <row r="22" spans="1:4" x14ac:dyDescent="0.4">
      <c r="A22" s="609">
        <v>2027</v>
      </c>
      <c r="B22" s="710">
        <v>458.92012409450086</v>
      </c>
      <c r="C22" s="710">
        <v>1492.5979561983745</v>
      </c>
      <c r="D22" s="616">
        <f t="shared" si="0"/>
        <v>1951.5180802928753</v>
      </c>
    </row>
    <row r="23" spans="1:4" x14ac:dyDescent="0.4">
      <c r="A23" s="609">
        <v>2028</v>
      </c>
      <c r="B23" s="710">
        <v>509.41307748580442</v>
      </c>
      <c r="C23" s="710">
        <v>1637.1535352445528</v>
      </c>
      <c r="D23" s="616">
        <f t="shared" si="0"/>
        <v>2146.5666127303571</v>
      </c>
    </row>
    <row r="24" spans="1:4" x14ac:dyDescent="0.4">
      <c r="A24" s="609">
        <v>2029</v>
      </c>
      <c r="B24" s="710">
        <v>620.16647322899246</v>
      </c>
      <c r="C24" s="710">
        <v>1779.7141542062961</v>
      </c>
      <c r="D24" s="616">
        <f t="shared" si="0"/>
        <v>2399.8806274352887</v>
      </c>
    </row>
    <row r="25" spans="1:4" x14ac:dyDescent="0.4">
      <c r="A25" s="609">
        <v>2030</v>
      </c>
      <c r="B25" s="710">
        <v>745.58305636235298</v>
      </c>
      <c r="C25" s="710">
        <v>1918.9585525997743</v>
      </c>
      <c r="D25" s="616">
        <f t="shared" si="0"/>
        <v>2664.5416089621272</v>
      </c>
    </row>
    <row r="26" spans="1:4" x14ac:dyDescent="0.4">
      <c r="A26" s="609">
        <v>2031</v>
      </c>
      <c r="B26" s="710">
        <v>853.65542481649322</v>
      </c>
      <c r="C26" s="710">
        <v>2053.5594733584103</v>
      </c>
      <c r="D26" s="616">
        <f t="shared" si="0"/>
        <v>2907.2148981749033</v>
      </c>
    </row>
    <row r="27" spans="1:4" x14ac:dyDescent="0.4">
      <c r="A27" s="609">
        <v>2032</v>
      </c>
      <c r="B27" s="710">
        <v>955.37200818735414</v>
      </c>
      <c r="C27" s="710">
        <v>2182.1986419595655</v>
      </c>
      <c r="D27" s="616">
        <f t="shared" si="0"/>
        <v>3137.5706501469194</v>
      </c>
    </row>
    <row r="28" spans="1:4" x14ac:dyDescent="0.4">
      <c r="A28" s="609">
        <v>2033</v>
      </c>
      <c r="B28" s="710">
        <v>1050.9164234193543</v>
      </c>
      <c r="C28" s="710">
        <v>2303.5517875837922</v>
      </c>
      <c r="D28" s="616">
        <f t="shared" si="0"/>
        <v>3354.4682110031463</v>
      </c>
    </row>
    <row r="29" spans="1:4" x14ac:dyDescent="0.4">
      <c r="A29" s="609">
        <v>2034</v>
      </c>
      <c r="B29" s="710">
        <v>1154.549879729735</v>
      </c>
      <c r="C29" s="710">
        <v>2416.2961327949115</v>
      </c>
      <c r="D29" s="616">
        <f t="shared" si="0"/>
        <v>3570.8460125246465</v>
      </c>
    </row>
    <row r="30" spans="1:4" x14ac:dyDescent="0.4">
      <c r="A30" s="609">
        <v>2035</v>
      </c>
      <c r="B30" s="710">
        <v>1296.1616972613713</v>
      </c>
      <c r="C30" s="710">
        <v>2519.1090469162277</v>
      </c>
      <c r="D30" s="616">
        <f t="shared" si="0"/>
        <v>3815.2707441775992</v>
      </c>
    </row>
    <row r="31" spans="1:4" x14ac:dyDescent="0.4">
      <c r="A31" s="609">
        <v>2036</v>
      </c>
      <c r="B31" s="710">
        <v>1424.1438599043554</v>
      </c>
      <c r="C31" s="710">
        <v>2610.6672906938743</v>
      </c>
      <c r="D31" s="616">
        <f t="shared" si="0"/>
        <v>4034.8111505982297</v>
      </c>
    </row>
    <row r="32" spans="1:4" x14ac:dyDescent="0.4">
      <c r="A32" s="609">
        <v>2037</v>
      </c>
      <c r="B32" s="710">
        <v>1541.8874537663301</v>
      </c>
      <c r="C32" s="710">
        <v>2657.5073047496894</v>
      </c>
      <c r="D32" s="616">
        <f t="shared" si="0"/>
        <v>4199.3947585160195</v>
      </c>
    </row>
    <row r="33" spans="1:4" x14ac:dyDescent="0.4">
      <c r="A33" s="609">
        <v>2038</v>
      </c>
      <c r="B33" s="710">
        <v>1651.329142834717</v>
      </c>
      <c r="C33" s="710">
        <v>2589.2193489647079</v>
      </c>
      <c r="D33" s="616">
        <f t="shared" si="0"/>
        <v>4240.5484917994254</v>
      </c>
    </row>
    <row r="34" spans="1:4" x14ac:dyDescent="0.4">
      <c r="A34" s="609">
        <v>2039</v>
      </c>
      <c r="B34" s="710">
        <v>1753.7335750704187</v>
      </c>
      <c r="C34" s="710">
        <v>2517.5573150697833</v>
      </c>
      <c r="D34" s="616">
        <f t="shared" si="0"/>
        <v>4271.2908901402025</v>
      </c>
    </row>
    <row r="35" spans="1:4" x14ac:dyDescent="0.4">
      <c r="A35" s="609">
        <v>2040</v>
      </c>
      <c r="B35" s="710">
        <v>1900.4514829606258</v>
      </c>
      <c r="C35" s="710">
        <v>2443.0841980054524</v>
      </c>
      <c r="D35" s="616">
        <f t="shared" si="0"/>
        <v>4343.535680966078</v>
      </c>
    </row>
    <row r="36" spans="1:4" x14ac:dyDescent="0.4">
      <c r="A36" s="609">
        <v>2041</v>
      </c>
      <c r="B36" s="710">
        <v>2026.1414024555584</v>
      </c>
      <c r="C36" s="710">
        <v>2366.3536496989691</v>
      </c>
      <c r="D36" s="616">
        <f t="shared" si="0"/>
        <v>4392.495052154527</v>
      </c>
    </row>
    <row r="37" spans="1:4" x14ac:dyDescent="0.4">
      <c r="A37" s="609">
        <v>2042</v>
      </c>
      <c r="B37" s="710">
        <v>2142.8279344590637</v>
      </c>
      <c r="C37" s="710">
        <v>2287.9333421198421</v>
      </c>
      <c r="D37" s="616">
        <f t="shared" si="0"/>
        <v>4430.7612765789054</v>
      </c>
    </row>
    <row r="38" spans="1:4" x14ac:dyDescent="0.4">
      <c r="A38" s="609">
        <v>2043</v>
      </c>
      <c r="B38" s="710">
        <v>2251.159565640713</v>
      </c>
      <c r="C38" s="710">
        <v>2208.3816040792117</v>
      </c>
      <c r="D38" s="616">
        <f t="shared" si="0"/>
        <v>4459.5411697199252</v>
      </c>
    </row>
    <row r="39" spans="1:4" x14ac:dyDescent="0.4">
      <c r="A39" s="609">
        <v>2044</v>
      </c>
      <c r="B39" s="710">
        <v>2352.8389858216256</v>
      </c>
      <c r="C39" s="710">
        <v>2128.2591027012763</v>
      </c>
      <c r="D39" s="616">
        <f t="shared" si="0"/>
        <v>4481.0980885229019</v>
      </c>
    </row>
    <row r="40" spans="1:4" x14ac:dyDescent="0.4">
      <c r="A40" s="609">
        <v>2045</v>
      </c>
      <c r="B40" s="710">
        <v>2521.341120037474</v>
      </c>
      <c r="C40" s="710">
        <v>2048.1267915818958</v>
      </c>
      <c r="D40" s="616">
        <f t="shared" si="0"/>
        <v>4569.4679116193693</v>
      </c>
    </row>
    <row r="41" spans="1:4" x14ac:dyDescent="0.4">
      <c r="A41" s="609">
        <v>2046</v>
      </c>
      <c r="B41" s="710">
        <v>2661.0677303062325</v>
      </c>
      <c r="C41" s="710">
        <v>1968.5444878912256</v>
      </c>
      <c r="D41" s="616">
        <f t="shared" si="0"/>
        <v>4629.6122181974579</v>
      </c>
    </row>
    <row r="42" spans="1:4" x14ac:dyDescent="0.4">
      <c r="A42" s="609">
        <v>2047</v>
      </c>
      <c r="B42" s="710">
        <v>2800.7756490297511</v>
      </c>
      <c r="C42" s="710">
        <v>1890.0737178351721</v>
      </c>
      <c r="D42" s="616">
        <f t="shared" si="0"/>
        <v>4690.8493668649235</v>
      </c>
    </row>
    <row r="43" spans="1:4" x14ac:dyDescent="0.4">
      <c r="A43" s="609">
        <v>2048</v>
      </c>
      <c r="B43" s="710">
        <v>2929.3159192235557</v>
      </c>
      <c r="C43" s="710">
        <v>1813.274870929102</v>
      </c>
      <c r="D43" s="616">
        <f t="shared" si="0"/>
        <v>4742.590790152658</v>
      </c>
    </row>
    <row r="44" spans="1:4" x14ac:dyDescent="0.4">
      <c r="A44" s="609">
        <v>2049</v>
      </c>
      <c r="B44" s="710">
        <v>3049.0480735985598</v>
      </c>
      <c r="C44" s="710">
        <v>1738.7086226620138</v>
      </c>
      <c r="D44" s="616">
        <f t="shared" si="0"/>
        <v>4787.7566962605733</v>
      </c>
    </row>
    <row r="45" spans="1:4" x14ac:dyDescent="0.4">
      <c r="A45" s="609">
        <v>2050</v>
      </c>
      <c r="B45" s="710">
        <v>3161.2965730604346</v>
      </c>
      <c r="C45" s="710">
        <v>1666.9334048492622</v>
      </c>
      <c r="D45" s="616">
        <f t="shared" si="0"/>
        <v>4828.2299779096966</v>
      </c>
    </row>
    <row r="46" spans="1:4" x14ac:dyDescent="0.4">
      <c r="A46" s="609">
        <v>2051</v>
      </c>
      <c r="B46" s="710">
        <v>3312.2736653610968</v>
      </c>
      <c r="C46" s="710">
        <v>1598.5166301917855</v>
      </c>
      <c r="D46" s="616">
        <f t="shared" si="0"/>
        <v>4910.7902955528825</v>
      </c>
    </row>
    <row r="47" spans="1:4" x14ac:dyDescent="0.4">
      <c r="A47" s="609">
        <v>2052</v>
      </c>
      <c r="B47" s="710">
        <v>3441.4629142235385</v>
      </c>
      <c r="C47" s="710">
        <v>1465.6029133877166</v>
      </c>
      <c r="D47" s="616">
        <f t="shared" si="0"/>
        <v>4907.0658276112554</v>
      </c>
    </row>
    <row r="48" spans="1:4" x14ac:dyDescent="0.4">
      <c r="A48" s="609">
        <v>2053</v>
      </c>
      <c r="B48" s="710">
        <v>3569.3311531094459</v>
      </c>
      <c r="C48" s="710">
        <v>1163.4483366797044</v>
      </c>
      <c r="D48" s="616">
        <f t="shared" si="0"/>
        <v>4732.7794897891508</v>
      </c>
    </row>
    <row r="49" spans="1:19" x14ac:dyDescent="0.4">
      <c r="A49" s="609">
        <v>2054</v>
      </c>
      <c r="B49" s="710">
        <v>3695.6163331349699</v>
      </c>
      <c r="C49" s="710">
        <v>826.22892695155849</v>
      </c>
      <c r="D49" s="616">
        <f t="shared" si="0"/>
        <v>4521.8452600865285</v>
      </c>
    </row>
    <row r="50" spans="1:19" x14ac:dyDescent="0.4">
      <c r="A50" s="609">
        <v>2055</v>
      </c>
      <c r="B50" s="710">
        <v>3820.0564054162569</v>
      </c>
      <c r="C50" s="710">
        <v>452.62189304452011</v>
      </c>
      <c r="D50" s="616">
        <f t="shared" si="0"/>
        <v>4272.6782984607771</v>
      </c>
    </row>
    <row r="51" spans="1:19" x14ac:dyDescent="0.4">
      <c r="A51" s="609">
        <v>2056</v>
      </c>
      <c r="B51" s="710">
        <v>3942.3893210694605</v>
      </c>
      <c r="C51" s="710">
        <v>41.304449638348665</v>
      </c>
      <c r="D51" s="616">
        <f t="shared" si="0"/>
        <v>3983.6937707078091</v>
      </c>
    </row>
    <row r="52" spans="1:19" x14ac:dyDescent="0.4">
      <c r="A52" s="609">
        <v>2057</v>
      </c>
      <c r="B52" s="710">
        <v>4062.3530312107305</v>
      </c>
      <c r="C52" s="710">
        <v>0</v>
      </c>
      <c r="D52" s="616">
        <f t="shared" si="0"/>
        <v>4062.3530312107305</v>
      </c>
    </row>
    <row r="53" spans="1:19" x14ac:dyDescent="0.4">
      <c r="A53" s="609">
        <v>2058</v>
      </c>
      <c r="B53" s="710">
        <v>4179.6854869562176</v>
      </c>
      <c r="C53" s="710">
        <v>0</v>
      </c>
      <c r="D53" s="616">
        <f t="shared" si="0"/>
        <v>4179.6854869562176</v>
      </c>
    </row>
    <row r="54" spans="1:19" x14ac:dyDescent="0.4">
      <c r="A54" s="609">
        <v>2059</v>
      </c>
      <c r="B54" s="710">
        <v>4294.1246394220707</v>
      </c>
      <c r="C54" s="710">
        <v>0</v>
      </c>
      <c r="D54" s="616">
        <f t="shared" si="0"/>
        <v>4294.1246394220707</v>
      </c>
    </row>
    <row r="55" spans="1:19" x14ac:dyDescent="0.4">
      <c r="A55" s="609">
        <v>2060</v>
      </c>
      <c r="B55" s="710">
        <v>4405.4084397244405</v>
      </c>
      <c r="C55" s="710">
        <v>0</v>
      </c>
      <c r="D55" s="616">
        <f t="shared" si="0"/>
        <v>4405.4084397244405</v>
      </c>
    </row>
    <row r="58" spans="1:19" x14ac:dyDescent="0.4">
      <c r="A58" s="1" t="s">
        <v>407</v>
      </c>
      <c r="B58" s="535">
        <f>B59/$D59</f>
        <v>0.466675365772169</v>
      </c>
      <c r="C58" s="535">
        <f>C59/$D59</f>
        <v>0.53332463422783094</v>
      </c>
      <c r="D58" s="609"/>
    </row>
    <row r="59" spans="1:19" ht="61.5" x14ac:dyDescent="0.4">
      <c r="A59" s="609" t="s">
        <v>542</v>
      </c>
      <c r="B59" s="533">
        <f>SUM(B66:B96)/1000</f>
        <v>50.531785092934463</v>
      </c>
      <c r="C59" s="533">
        <f>SUM(C66:C96)/1000</f>
        <v>57.748593086710201</v>
      </c>
      <c r="D59" s="533">
        <f>SUM(D66:D96)/1000</f>
        <v>108.28037817964467</v>
      </c>
      <c r="F59" s="609"/>
      <c r="G59" s="609"/>
      <c r="H59" s="656"/>
      <c r="I59" s="657"/>
      <c r="J59" s="658" t="s">
        <v>510</v>
      </c>
      <c r="K59" s="659"/>
      <c r="L59" s="659"/>
      <c r="M59" s="659"/>
      <c r="N59" s="660"/>
      <c r="O59" s="661" t="s">
        <v>511</v>
      </c>
      <c r="P59" s="662"/>
      <c r="Q59" s="662"/>
      <c r="R59" s="662"/>
      <c r="S59" s="663"/>
    </row>
    <row r="60" spans="1:19" ht="86.1" x14ac:dyDescent="0.4">
      <c r="A60" s="609"/>
      <c r="B60" s="609" t="s">
        <v>505</v>
      </c>
      <c r="C60" s="609" t="s">
        <v>445</v>
      </c>
      <c r="D60" s="609" t="s">
        <v>506</v>
      </c>
      <c r="F60" s="609"/>
      <c r="G60" s="609"/>
      <c r="H60" s="626" t="s">
        <v>512</v>
      </c>
      <c r="I60" s="626" t="s">
        <v>513</v>
      </c>
      <c r="J60" s="627" t="s">
        <v>514</v>
      </c>
      <c r="K60" s="628" t="s">
        <v>515</v>
      </c>
      <c r="L60" s="627" t="s">
        <v>516</v>
      </c>
      <c r="M60" s="627" t="s">
        <v>517</v>
      </c>
      <c r="N60" s="627" t="s">
        <v>518</v>
      </c>
      <c r="O60" s="629" t="s">
        <v>519</v>
      </c>
      <c r="P60" s="629" t="s">
        <v>520</v>
      </c>
      <c r="Q60" s="629" t="s">
        <v>521</v>
      </c>
      <c r="R60" s="629" t="s">
        <v>74</v>
      </c>
      <c r="S60" s="629" t="s">
        <v>522</v>
      </c>
    </row>
    <row r="61" spans="1:19" x14ac:dyDescent="0.4">
      <c r="A61" s="609">
        <v>2015</v>
      </c>
      <c r="B61" s="710">
        <v>5.2572149045917964</v>
      </c>
      <c r="C61" s="710">
        <v>83.801505494115361</v>
      </c>
      <c r="D61" s="616">
        <f>SUM(B61:C61)</f>
        <v>89.058720398707152</v>
      </c>
      <c r="F61" s="609"/>
      <c r="G61" s="609"/>
      <c r="H61" s="609"/>
      <c r="I61" s="609"/>
      <c r="J61" s="609"/>
      <c r="K61" s="609"/>
      <c r="L61" s="609"/>
      <c r="M61" s="609"/>
      <c r="N61" s="609"/>
      <c r="O61" s="609"/>
      <c r="P61" s="609"/>
      <c r="Q61" s="609"/>
      <c r="R61" s="609"/>
      <c r="S61" s="609"/>
    </row>
    <row r="62" spans="1:19" x14ac:dyDescent="0.4">
      <c r="A62" s="609">
        <v>2016</v>
      </c>
      <c r="B62" s="710">
        <v>11.453734932638818</v>
      </c>
      <c r="C62" s="710">
        <v>149.12317620717076</v>
      </c>
      <c r="D62" s="616">
        <f t="shared" ref="D62:D106" si="2">SUM(B62:C62)</f>
        <v>160.57691113980957</v>
      </c>
      <c r="F62" s="609" t="s">
        <v>505</v>
      </c>
      <c r="G62" s="609" t="s">
        <v>407</v>
      </c>
      <c r="H62" s="630">
        <v>4.3810000280190025</v>
      </c>
      <c r="I62" s="630">
        <v>0.31628124439652083</v>
      </c>
      <c r="J62" s="630" t="s">
        <v>507</v>
      </c>
      <c r="K62" s="630" t="s">
        <v>507</v>
      </c>
      <c r="L62" s="630" t="s">
        <v>507</v>
      </c>
      <c r="M62" s="630" t="s">
        <v>507</v>
      </c>
      <c r="N62" s="630" t="s">
        <v>507</v>
      </c>
      <c r="O62" s="630" t="s">
        <v>507</v>
      </c>
      <c r="P62" s="630" t="s">
        <v>508</v>
      </c>
      <c r="Q62" s="630">
        <v>1778.4099000000001</v>
      </c>
      <c r="R62" s="630" t="s">
        <v>509</v>
      </c>
      <c r="S62" s="631">
        <v>0.81976515751891577</v>
      </c>
    </row>
    <row r="63" spans="1:19" x14ac:dyDescent="0.4">
      <c r="A63" s="609">
        <v>2017</v>
      </c>
      <c r="B63" s="710">
        <v>18.629252130210119</v>
      </c>
      <c r="C63" s="710">
        <v>228.32264341652208</v>
      </c>
      <c r="D63" s="616">
        <f t="shared" si="2"/>
        <v>246.9518955467322</v>
      </c>
      <c r="F63" s="609" t="s">
        <v>445</v>
      </c>
      <c r="G63" s="609" t="s">
        <v>407</v>
      </c>
      <c r="H63" s="609">
        <v>4.5958957255610358</v>
      </c>
      <c r="I63" s="609">
        <v>9.0899570276064878E-2</v>
      </c>
      <c r="J63" s="609">
        <v>0</v>
      </c>
      <c r="K63" s="609">
        <v>0</v>
      </c>
      <c r="L63" s="609">
        <v>-610.67297022152775</v>
      </c>
      <c r="M63" s="609">
        <v>-629.24922861702225</v>
      </c>
      <c r="N63" s="609">
        <v>-178.5721329348367</v>
      </c>
      <c r="O63" s="609">
        <v>742.02181634779629</v>
      </c>
      <c r="P63" s="609" t="s">
        <v>523</v>
      </c>
      <c r="Q63" s="609">
        <v>742.02181634779629</v>
      </c>
      <c r="R63" s="609" t="s">
        <v>524</v>
      </c>
      <c r="S63" s="609">
        <v>1</v>
      </c>
    </row>
    <row r="64" spans="1:19" x14ac:dyDescent="0.4">
      <c r="A64" s="609">
        <v>2018</v>
      </c>
      <c r="B64" s="710">
        <v>26.827746603753106</v>
      </c>
      <c r="C64" s="710">
        <v>320.07719036619733</v>
      </c>
      <c r="D64" s="616">
        <f t="shared" si="2"/>
        <v>346.90493696995043</v>
      </c>
      <c r="F64" s="609"/>
      <c r="G64" s="609"/>
      <c r="H64" s="609"/>
      <c r="I64" s="609"/>
      <c r="J64" s="609"/>
      <c r="K64" s="609"/>
      <c r="L64" s="609"/>
      <c r="M64" s="609"/>
      <c r="N64" s="609"/>
      <c r="O64" s="609"/>
      <c r="P64" s="609"/>
      <c r="Q64" s="609"/>
      <c r="R64" s="609"/>
      <c r="S64" s="609"/>
    </row>
    <row r="65" spans="1:19" x14ac:dyDescent="0.4">
      <c r="A65" s="609">
        <v>2019</v>
      </c>
      <c r="B65" s="710">
        <v>77.432079614635427</v>
      </c>
      <c r="C65" s="710">
        <v>423.06410139532284</v>
      </c>
      <c r="D65" s="616">
        <f t="shared" si="2"/>
        <v>500.49618100995826</v>
      </c>
      <c r="F65" s="609" t="s">
        <v>506</v>
      </c>
      <c r="G65" s="609"/>
      <c r="H65" s="609">
        <f>SUM(H62:H63)</f>
        <v>8.9768957535800382</v>
      </c>
      <c r="I65" s="609">
        <f t="shared" ref="I65:O65" si="3">SUM(I62:I63)</f>
        <v>0.40718081467258571</v>
      </c>
      <c r="J65" s="609">
        <f t="shared" si="3"/>
        <v>0</v>
      </c>
      <c r="K65" s="609">
        <f t="shared" si="3"/>
        <v>0</v>
      </c>
      <c r="L65" s="609">
        <f t="shared" si="3"/>
        <v>-610.67297022152775</v>
      </c>
      <c r="M65" s="609">
        <f t="shared" si="3"/>
        <v>-629.24922861702225</v>
      </c>
      <c r="N65" s="609">
        <f t="shared" si="3"/>
        <v>-178.5721329348367</v>
      </c>
      <c r="O65" s="609">
        <f t="shared" si="3"/>
        <v>742.02181634779629</v>
      </c>
      <c r="P65" s="609" t="s">
        <v>525</v>
      </c>
      <c r="Q65" s="609">
        <f>SUM(Q62:Q63)</f>
        <v>2520.4317163477963</v>
      </c>
      <c r="R65" s="609" t="s">
        <v>526</v>
      </c>
      <c r="S65" s="609">
        <f>AVERAGE(S62:S63)</f>
        <v>0.90988257875945788</v>
      </c>
    </row>
    <row r="66" spans="1:19" x14ac:dyDescent="0.4">
      <c r="A66" s="609">
        <v>2020</v>
      </c>
      <c r="B66" s="710">
        <v>122.33219281925987</v>
      </c>
      <c r="C66" s="710">
        <v>535.95950293022963</v>
      </c>
      <c r="D66" s="616">
        <f t="shared" si="2"/>
        <v>658.29169574948946</v>
      </c>
    </row>
    <row r="67" spans="1:19" x14ac:dyDescent="0.4">
      <c r="A67" s="609">
        <v>2021</v>
      </c>
      <c r="B67" s="710">
        <v>160.64947364106885</v>
      </c>
      <c r="C67" s="710">
        <v>657.44414889784525</v>
      </c>
      <c r="D67" s="616">
        <f t="shared" si="2"/>
        <v>818.09362253891413</v>
      </c>
    </row>
    <row r="68" spans="1:19" x14ac:dyDescent="0.4">
      <c r="A68" s="609">
        <v>2022</v>
      </c>
      <c r="B68" s="710">
        <v>195.43317281034285</v>
      </c>
      <c r="C68" s="710">
        <v>786.19184641945174</v>
      </c>
      <c r="D68" s="616">
        <f t="shared" si="2"/>
        <v>981.62501922979459</v>
      </c>
    </row>
    <row r="69" spans="1:19" x14ac:dyDescent="0.4">
      <c r="A69" s="609">
        <v>2023</v>
      </c>
      <c r="B69" s="710">
        <v>227.72045118738308</v>
      </c>
      <c r="C69" s="710">
        <v>920.8810283136005</v>
      </c>
      <c r="D69" s="616">
        <f t="shared" si="2"/>
        <v>1148.6014795009835</v>
      </c>
    </row>
    <row r="70" spans="1:19" x14ac:dyDescent="0.4">
      <c r="A70" s="609">
        <v>2024</v>
      </c>
      <c r="B70" s="710">
        <v>296.14046561860442</v>
      </c>
      <c r="C70" s="710">
        <v>1060.1889658963137</v>
      </c>
      <c r="D70" s="616">
        <f t="shared" si="2"/>
        <v>1356.329431514918</v>
      </c>
    </row>
    <row r="71" spans="1:19" x14ac:dyDescent="0.4">
      <c r="A71" s="609">
        <v>2025</v>
      </c>
      <c r="B71" s="710">
        <v>362.83481062308681</v>
      </c>
      <c r="C71" s="710">
        <v>1202.7930911881472</v>
      </c>
      <c r="D71" s="616">
        <f t="shared" si="2"/>
        <v>1565.6279018112341</v>
      </c>
    </row>
    <row r="72" spans="1:19" x14ac:dyDescent="0.4">
      <c r="A72" s="609">
        <v>2026</v>
      </c>
      <c r="B72" s="710">
        <v>423.05627351087293</v>
      </c>
      <c r="C72" s="710">
        <v>1347.3701703712272</v>
      </c>
      <c r="D72" s="616">
        <f t="shared" si="2"/>
        <v>1770.4264438821001</v>
      </c>
    </row>
    <row r="73" spans="1:19" x14ac:dyDescent="0.4">
      <c r="A73" s="609">
        <v>2027</v>
      </c>
      <c r="B73" s="710">
        <v>480.64442752510701</v>
      </c>
      <c r="C73" s="710">
        <v>1492.5979561983745</v>
      </c>
      <c r="D73" s="616">
        <f t="shared" si="2"/>
        <v>1973.2423837234815</v>
      </c>
    </row>
    <row r="74" spans="1:19" x14ac:dyDescent="0.4">
      <c r="A74" s="609">
        <v>2028</v>
      </c>
      <c r="B74" s="710">
        <v>537.65237398503064</v>
      </c>
      <c r="C74" s="710">
        <v>1637.1535352445528</v>
      </c>
      <c r="D74" s="616">
        <f t="shared" si="2"/>
        <v>2174.8059092295834</v>
      </c>
    </row>
    <row r="75" spans="1:19" x14ac:dyDescent="0.4">
      <c r="A75" s="609">
        <v>2029</v>
      </c>
      <c r="B75" s="710">
        <v>658.73955543968646</v>
      </c>
      <c r="C75" s="710">
        <v>1779.7141542062961</v>
      </c>
      <c r="D75" s="616">
        <f t="shared" si="2"/>
        <v>2438.4537096459826</v>
      </c>
    </row>
    <row r="76" spans="1:19" x14ac:dyDescent="0.4">
      <c r="A76" s="609">
        <v>2030</v>
      </c>
      <c r="B76" s="710">
        <v>796.97710925439458</v>
      </c>
      <c r="C76" s="710">
        <v>1918.9585525997743</v>
      </c>
      <c r="D76" s="616">
        <f t="shared" si="2"/>
        <v>2715.9356618541688</v>
      </c>
    </row>
    <row r="77" spans="1:19" x14ac:dyDescent="0.4">
      <c r="A77" s="609">
        <v>2031</v>
      </c>
      <c r="B77" s="710">
        <v>918.87946198205725</v>
      </c>
      <c r="C77" s="710">
        <v>2053.5594733584103</v>
      </c>
      <c r="D77" s="616">
        <f t="shared" si="2"/>
        <v>2972.4389353404677</v>
      </c>
    </row>
    <row r="78" spans="1:19" x14ac:dyDescent="0.4">
      <c r="A78" s="609">
        <v>2032</v>
      </c>
      <c r="B78" s="710">
        <v>1036.3221219656641</v>
      </c>
      <c r="C78" s="710">
        <v>2182.1986419595655</v>
      </c>
      <c r="D78" s="616">
        <f t="shared" si="2"/>
        <v>3218.5207639252294</v>
      </c>
    </row>
    <row r="79" spans="1:19" x14ac:dyDescent="0.4">
      <c r="A79" s="609">
        <v>2033</v>
      </c>
      <c r="B79" s="710">
        <v>1149.7017897653723</v>
      </c>
      <c r="C79" s="710">
        <v>2303.5517875837922</v>
      </c>
      <c r="D79" s="616">
        <f t="shared" si="2"/>
        <v>3453.2535773491645</v>
      </c>
    </row>
    <row r="80" spans="1:19" x14ac:dyDescent="0.4">
      <c r="A80" s="609">
        <v>2034</v>
      </c>
      <c r="B80" s="710">
        <v>1273.4590034824644</v>
      </c>
      <c r="C80" s="710">
        <v>2416.2961327949115</v>
      </c>
      <c r="D80" s="616">
        <f t="shared" si="2"/>
        <v>3689.7551362773756</v>
      </c>
    </row>
    <row r="81" spans="1:4" x14ac:dyDescent="0.4">
      <c r="A81" s="609">
        <v>2035</v>
      </c>
      <c r="B81" s="710">
        <v>1443.1551975883649</v>
      </c>
      <c r="C81" s="710">
        <v>2519.1090469162277</v>
      </c>
      <c r="D81" s="616">
        <f t="shared" si="2"/>
        <v>3962.2642445045926</v>
      </c>
    </row>
    <row r="82" spans="1:4" x14ac:dyDescent="0.4">
      <c r="A82" s="609">
        <v>2036</v>
      </c>
      <c r="B82" s="710">
        <v>1597.8980455518054</v>
      </c>
      <c r="C82" s="710">
        <v>2610.6672906938743</v>
      </c>
      <c r="D82" s="616">
        <f t="shared" si="2"/>
        <v>4208.5653362456796</v>
      </c>
    </row>
    <row r="83" spans="1:4" x14ac:dyDescent="0.4">
      <c r="A83" s="609">
        <v>2037</v>
      </c>
      <c r="B83" s="710">
        <v>1742.7703282749374</v>
      </c>
      <c r="C83" s="710">
        <v>2657.5073047496894</v>
      </c>
      <c r="D83" s="616">
        <f t="shared" si="2"/>
        <v>4400.277633024627</v>
      </c>
    </row>
    <row r="84" spans="1:4" x14ac:dyDescent="0.4">
      <c r="A84" s="609">
        <v>2038</v>
      </c>
      <c r="B84" s="710">
        <v>1879.9553281920876</v>
      </c>
      <c r="C84" s="710">
        <v>2589.2193489647079</v>
      </c>
      <c r="D84" s="616">
        <f t="shared" si="2"/>
        <v>4469.174677156796</v>
      </c>
    </row>
    <row r="85" spans="1:4" x14ac:dyDescent="0.4">
      <c r="A85" s="609">
        <v>2039</v>
      </c>
      <c r="B85" s="710">
        <v>2011.6348983841233</v>
      </c>
      <c r="C85" s="710">
        <v>2517.5573150697833</v>
      </c>
      <c r="D85" s="616">
        <f t="shared" si="2"/>
        <v>4529.1922134539063</v>
      </c>
    </row>
    <row r="86" spans="1:4" x14ac:dyDescent="0.4">
      <c r="A86" s="609">
        <v>2040</v>
      </c>
      <c r="B86" s="710">
        <v>2195.4776235797044</v>
      </c>
      <c r="C86" s="710">
        <v>2443.0841980054524</v>
      </c>
      <c r="D86" s="616">
        <f t="shared" si="2"/>
        <v>4638.5618215851573</v>
      </c>
    </row>
    <row r="87" spans="1:4" x14ac:dyDescent="0.4">
      <c r="A87" s="609">
        <v>2041</v>
      </c>
      <c r="B87" s="710">
        <v>2355.7575669449006</v>
      </c>
      <c r="C87" s="710">
        <v>2366.3536496989691</v>
      </c>
      <c r="D87" s="616">
        <f t="shared" si="2"/>
        <v>4722.1112166438697</v>
      </c>
    </row>
    <row r="88" spans="1:4" x14ac:dyDescent="0.4">
      <c r="A88" s="609">
        <v>2042</v>
      </c>
      <c r="B88" s="710">
        <v>2507.3601253577135</v>
      </c>
      <c r="C88" s="710">
        <v>2287.9333421198421</v>
      </c>
      <c r="D88" s="616">
        <f t="shared" si="2"/>
        <v>4795.2934674775552</v>
      </c>
    </row>
    <row r="89" spans="1:4" x14ac:dyDescent="0.4">
      <c r="A89" s="609">
        <v>2043</v>
      </c>
      <c r="B89" s="710">
        <v>2651.8375766752129</v>
      </c>
      <c r="C89" s="710">
        <v>2208.3816040792117</v>
      </c>
      <c r="D89" s="616">
        <f t="shared" si="2"/>
        <v>4860.2191807544241</v>
      </c>
    </row>
    <row r="90" spans="1:4" x14ac:dyDescent="0.4">
      <c r="A90" s="609">
        <v>2044</v>
      </c>
      <c r="B90" s="710">
        <v>2791.3114112821627</v>
      </c>
      <c r="C90" s="710">
        <v>2128.2591027012763</v>
      </c>
      <c r="D90" s="616">
        <f t="shared" si="2"/>
        <v>4919.570513983439</v>
      </c>
    </row>
    <row r="91" spans="1:4" x14ac:dyDescent="0.4">
      <c r="A91" s="609">
        <v>2045</v>
      </c>
      <c r="B91" s="710">
        <v>3007.5145888516458</v>
      </c>
      <c r="C91" s="710">
        <v>2048.1267915818958</v>
      </c>
      <c r="D91" s="616">
        <f t="shared" si="2"/>
        <v>5055.6413804335416</v>
      </c>
    </row>
    <row r="92" spans="1:4" x14ac:dyDescent="0.4">
      <c r="A92" s="609">
        <v>2046</v>
      </c>
      <c r="B92" s="710">
        <v>3191.2861762250468</v>
      </c>
      <c r="C92" s="710">
        <v>1968.5444878912256</v>
      </c>
      <c r="D92" s="616">
        <f t="shared" si="2"/>
        <v>5159.8306641162726</v>
      </c>
    </row>
    <row r="93" spans="1:4" x14ac:dyDescent="0.4">
      <c r="A93" s="609">
        <v>2047</v>
      </c>
      <c r="B93" s="710">
        <v>3375.2578730827845</v>
      </c>
      <c r="C93" s="710">
        <v>1890.0737178351721</v>
      </c>
      <c r="D93" s="616">
        <f t="shared" si="2"/>
        <v>5265.3315909179564</v>
      </c>
    </row>
    <row r="94" spans="1:4" x14ac:dyDescent="0.4">
      <c r="A94" s="609">
        <v>2048</v>
      </c>
      <c r="B94" s="710">
        <v>3548.9533981685017</v>
      </c>
      <c r="C94" s="710">
        <v>1813.274870929102</v>
      </c>
      <c r="D94" s="616">
        <f t="shared" si="2"/>
        <v>5362.2282690976035</v>
      </c>
    </row>
    <row r="95" spans="1:4" x14ac:dyDescent="0.4">
      <c r="A95" s="609">
        <v>2049</v>
      </c>
      <c r="B95" s="710">
        <v>3715.2647733319263</v>
      </c>
      <c r="C95" s="710">
        <v>1738.7086226620138</v>
      </c>
      <c r="D95" s="616">
        <f t="shared" si="2"/>
        <v>5453.9733959939404</v>
      </c>
    </row>
    <row r="96" spans="1:4" x14ac:dyDescent="0.4">
      <c r="A96" s="609">
        <v>2050</v>
      </c>
      <c r="B96" s="710">
        <v>3875.8074978331483</v>
      </c>
      <c r="C96" s="710">
        <v>1666.9334048492622</v>
      </c>
      <c r="D96" s="616">
        <f t="shared" si="2"/>
        <v>5542.7409026824107</v>
      </c>
    </row>
    <row r="97" spans="1:19" x14ac:dyDescent="0.4">
      <c r="A97" s="609">
        <v>2051</v>
      </c>
      <c r="B97" s="710">
        <v>3926.6661703560499</v>
      </c>
      <c r="C97" s="710">
        <v>1598.5166301917855</v>
      </c>
      <c r="D97" s="616">
        <f t="shared" si="2"/>
        <v>5525.1828005478355</v>
      </c>
    </row>
    <row r="98" spans="1:19" x14ac:dyDescent="0.4">
      <c r="A98" s="609">
        <v>2052</v>
      </c>
      <c r="B98" s="710">
        <v>3997.85825944813</v>
      </c>
      <c r="C98" s="710">
        <v>1465.6029133877166</v>
      </c>
      <c r="D98" s="616">
        <f t="shared" si="2"/>
        <v>5463.4611728358468</v>
      </c>
    </row>
    <row r="99" spans="1:19" x14ac:dyDescent="0.4">
      <c r="A99" s="609">
        <v>2053</v>
      </c>
      <c r="B99" s="710">
        <v>4066.4730443752383</v>
      </c>
      <c r="C99" s="710">
        <v>1163.4483366797044</v>
      </c>
      <c r="D99" s="616">
        <f t="shared" si="2"/>
        <v>5229.9213810549427</v>
      </c>
    </row>
    <row r="100" spans="1:19" x14ac:dyDescent="0.4">
      <c r="A100" s="609">
        <v>2054</v>
      </c>
      <c r="B100" s="710">
        <v>4132.8992186809592</v>
      </c>
      <c r="C100" s="710">
        <v>826.22892695155849</v>
      </c>
      <c r="D100" s="616">
        <f t="shared" si="2"/>
        <v>4959.1281456325178</v>
      </c>
    </row>
    <row r="101" spans="1:19" x14ac:dyDescent="0.4">
      <c r="A101" s="609">
        <v>2055</v>
      </c>
      <c r="B101" s="710">
        <v>4197.3871249169497</v>
      </c>
      <c r="C101" s="710">
        <v>452.62189304452011</v>
      </c>
      <c r="D101" s="616">
        <f t="shared" si="2"/>
        <v>4650.0090179614699</v>
      </c>
    </row>
    <row r="102" spans="1:19" x14ac:dyDescent="0.4">
      <c r="A102" s="609">
        <v>2056</v>
      </c>
      <c r="B102" s="710">
        <v>4260.0843486013691</v>
      </c>
      <c r="C102" s="710">
        <v>41.304449638348665</v>
      </c>
      <c r="D102" s="616">
        <f t="shared" si="2"/>
        <v>4301.3887982397182</v>
      </c>
    </row>
    <row r="103" spans="1:19" x14ac:dyDescent="0.4">
      <c r="A103" s="609">
        <v>2057</v>
      </c>
      <c r="B103" s="710">
        <v>4321.0627581741883</v>
      </c>
      <c r="C103" s="710">
        <v>0</v>
      </c>
      <c r="D103" s="616">
        <f t="shared" si="2"/>
        <v>4321.0627581741883</v>
      </c>
    </row>
    <row r="104" spans="1:19" x14ac:dyDescent="0.4">
      <c r="A104" s="609">
        <v>2058</v>
      </c>
      <c r="B104" s="710">
        <v>4380.3387437022229</v>
      </c>
      <c r="C104" s="710">
        <v>0</v>
      </c>
      <c r="D104" s="616">
        <f t="shared" si="2"/>
        <v>4380.3387437022229</v>
      </c>
    </row>
    <row r="105" spans="1:19" x14ac:dyDescent="0.4">
      <c r="A105" s="609">
        <v>2059</v>
      </c>
      <c r="B105" s="710">
        <v>4437.8882096094285</v>
      </c>
      <c r="C105" s="710">
        <v>0</v>
      </c>
      <c r="D105" s="616">
        <f t="shared" si="2"/>
        <v>4437.8882096094285</v>
      </c>
    </row>
    <row r="106" spans="1:19" x14ac:dyDescent="0.4">
      <c r="A106" s="609">
        <v>2060</v>
      </c>
      <c r="B106" s="710">
        <v>4493.6576010418767</v>
      </c>
      <c r="C106" s="710">
        <v>0</v>
      </c>
      <c r="D106" s="616">
        <f t="shared" si="2"/>
        <v>4493.6576010418767</v>
      </c>
    </row>
    <row r="110" spans="1:19" x14ac:dyDescent="0.4">
      <c r="A110" s="1" t="s">
        <v>408</v>
      </c>
      <c r="B110" s="535">
        <f>B111/$D111</f>
        <v>0.49906704542430258</v>
      </c>
      <c r="C110" s="535">
        <f>C111/$D111</f>
        <v>0.50093295457569764</v>
      </c>
      <c r="D110" s="609"/>
    </row>
    <row r="111" spans="1:19" ht="61.5" x14ac:dyDescent="0.4">
      <c r="A111" s="609" t="s">
        <v>542</v>
      </c>
      <c r="B111" s="533">
        <f>SUM(B118:B148)/1000</f>
        <v>57.533487198114891</v>
      </c>
      <c r="C111" s="533">
        <f>SUM(C118:C148)/1000</f>
        <v>57.748593086710201</v>
      </c>
      <c r="D111" s="533">
        <f>SUM(D118:D148)/1000</f>
        <v>115.28208028482507</v>
      </c>
      <c r="F111" s="609"/>
      <c r="G111" s="609"/>
      <c r="H111" s="656"/>
      <c r="I111" s="657"/>
      <c r="J111" s="658" t="s">
        <v>510</v>
      </c>
      <c r="K111" s="659"/>
      <c r="L111" s="659"/>
      <c r="M111" s="659"/>
      <c r="N111" s="660"/>
      <c r="O111" s="661" t="s">
        <v>511</v>
      </c>
      <c r="P111" s="662"/>
      <c r="Q111" s="662"/>
      <c r="R111" s="662"/>
      <c r="S111" s="663"/>
    </row>
    <row r="112" spans="1:19" ht="86.1" x14ac:dyDescent="0.4">
      <c r="A112" s="609"/>
      <c r="B112" s="609" t="s">
        <v>505</v>
      </c>
      <c r="C112" s="609" t="s">
        <v>445</v>
      </c>
      <c r="D112" s="609" t="s">
        <v>506</v>
      </c>
      <c r="F112" s="609"/>
      <c r="G112" s="609"/>
      <c r="H112" s="626" t="s">
        <v>512</v>
      </c>
      <c r="I112" s="626" t="s">
        <v>513</v>
      </c>
      <c r="J112" s="627" t="s">
        <v>514</v>
      </c>
      <c r="K112" s="628" t="s">
        <v>515</v>
      </c>
      <c r="L112" s="627" t="s">
        <v>516</v>
      </c>
      <c r="M112" s="627" t="s">
        <v>517</v>
      </c>
      <c r="N112" s="627" t="s">
        <v>518</v>
      </c>
      <c r="O112" s="629" t="s">
        <v>519</v>
      </c>
      <c r="P112" s="629" t="s">
        <v>520</v>
      </c>
      <c r="Q112" s="629" t="s">
        <v>521</v>
      </c>
      <c r="R112" s="629" t="s">
        <v>74</v>
      </c>
      <c r="S112" s="629" t="s">
        <v>522</v>
      </c>
    </row>
    <row r="113" spans="1:19" x14ac:dyDescent="0.4">
      <c r="A113" s="609">
        <v>2015</v>
      </c>
      <c r="B113" s="710">
        <v>5.2121352954829723</v>
      </c>
      <c r="C113" s="710">
        <v>83.801505494115361</v>
      </c>
      <c r="D113" s="616">
        <f>SUM(B113:C113)</f>
        <v>89.013640789598327</v>
      </c>
      <c r="F113" s="609"/>
      <c r="G113" s="609"/>
      <c r="H113" s="609"/>
      <c r="I113" s="609"/>
      <c r="J113" s="609"/>
      <c r="K113" s="609"/>
      <c r="L113" s="609"/>
      <c r="M113" s="609"/>
      <c r="N113" s="609"/>
      <c r="O113" s="609"/>
      <c r="P113" s="609"/>
      <c r="Q113" s="609"/>
      <c r="R113" s="609"/>
      <c r="S113" s="609"/>
    </row>
    <row r="114" spans="1:19" x14ac:dyDescent="0.4">
      <c r="A114" s="609">
        <v>2016</v>
      </c>
      <c r="B114" s="710">
        <v>11.421299604133692</v>
      </c>
      <c r="C114" s="710">
        <v>149.12317620717076</v>
      </c>
      <c r="D114" s="616">
        <f t="shared" ref="D114:D158" si="4">SUM(B114:C114)</f>
        <v>160.54447581130444</v>
      </c>
      <c r="F114" s="609" t="s">
        <v>505</v>
      </c>
      <c r="G114" s="609" t="s">
        <v>408</v>
      </c>
      <c r="H114" s="609">
        <v>5.0103674552073016</v>
      </c>
      <c r="I114" s="609">
        <v>0.37781072033652663</v>
      </c>
      <c r="J114" s="609" t="s">
        <v>507</v>
      </c>
      <c r="K114" s="609" t="s">
        <v>507</v>
      </c>
      <c r="L114" s="609" t="s">
        <v>507</v>
      </c>
      <c r="M114" s="609" t="s">
        <v>507</v>
      </c>
      <c r="N114" s="609" t="s">
        <v>507</v>
      </c>
      <c r="O114" s="609" t="s">
        <v>507</v>
      </c>
      <c r="P114" s="609" t="s">
        <v>508</v>
      </c>
      <c r="Q114" s="609">
        <v>2103.3344999999999</v>
      </c>
      <c r="R114" s="609" t="s">
        <v>509</v>
      </c>
      <c r="S114" s="609">
        <v>0.96954045167397562</v>
      </c>
    </row>
    <row r="115" spans="1:19" x14ac:dyDescent="0.4">
      <c r="A115" s="609">
        <v>2017</v>
      </c>
      <c r="B115" s="710">
        <v>18.648603377047081</v>
      </c>
      <c r="C115" s="710">
        <v>228.32264341652208</v>
      </c>
      <c r="D115" s="616">
        <f t="shared" si="4"/>
        <v>246.97124679356915</v>
      </c>
      <c r="F115" s="609" t="s">
        <v>445</v>
      </c>
      <c r="G115" s="609" t="s">
        <v>408</v>
      </c>
      <c r="H115" s="609">
        <v>4.5958957255610358</v>
      </c>
      <c r="I115" s="609">
        <v>9.0899570276064878E-2</v>
      </c>
      <c r="J115" s="609">
        <v>0</v>
      </c>
      <c r="K115" s="609">
        <v>0</v>
      </c>
      <c r="L115" s="609">
        <v>-610.67297022152775</v>
      </c>
      <c r="M115" s="609">
        <v>-629.24922861702225</v>
      </c>
      <c r="N115" s="609">
        <v>-178.5721329348367</v>
      </c>
      <c r="O115" s="609">
        <v>742.02181634779629</v>
      </c>
      <c r="P115" s="609" t="s">
        <v>523</v>
      </c>
      <c r="Q115" s="609">
        <v>742.02181634779629</v>
      </c>
      <c r="R115" s="609" t="s">
        <v>524</v>
      </c>
      <c r="S115" s="609">
        <v>1</v>
      </c>
    </row>
    <row r="116" spans="1:19" x14ac:dyDescent="0.4">
      <c r="A116" s="609">
        <v>2018</v>
      </c>
      <c r="B116" s="710">
        <v>26.941325228654108</v>
      </c>
      <c r="C116" s="710">
        <v>320.07719036619733</v>
      </c>
      <c r="D116" s="616">
        <f t="shared" si="4"/>
        <v>347.01851559485146</v>
      </c>
      <c r="F116" s="609"/>
      <c r="G116" s="609"/>
      <c r="H116" s="609"/>
      <c r="I116" s="609"/>
      <c r="J116" s="609"/>
      <c r="K116" s="609"/>
      <c r="L116" s="609"/>
      <c r="M116" s="609"/>
      <c r="N116" s="609"/>
      <c r="O116" s="609"/>
      <c r="P116" s="609"/>
      <c r="Q116" s="609"/>
      <c r="R116" s="609"/>
      <c r="S116" s="609"/>
    </row>
    <row r="117" spans="1:19" x14ac:dyDescent="0.4">
      <c r="A117" s="609">
        <v>2019</v>
      </c>
      <c r="B117" s="710">
        <v>79.555219253394853</v>
      </c>
      <c r="C117" s="710">
        <v>423.06410139532284</v>
      </c>
      <c r="D117" s="616">
        <f t="shared" si="4"/>
        <v>502.61932064871769</v>
      </c>
      <c r="F117" s="609" t="s">
        <v>506</v>
      </c>
      <c r="G117" s="609"/>
      <c r="H117" s="609">
        <f>SUM(H114:H115)</f>
        <v>9.6062631807683374</v>
      </c>
      <c r="I117" s="609">
        <f t="shared" ref="I117:O117" si="5">SUM(I114:I115)</f>
        <v>0.46871029061259151</v>
      </c>
      <c r="J117" s="609">
        <f t="shared" si="5"/>
        <v>0</v>
      </c>
      <c r="K117" s="609">
        <f t="shared" si="5"/>
        <v>0</v>
      </c>
      <c r="L117" s="609">
        <f t="shared" si="5"/>
        <v>-610.67297022152775</v>
      </c>
      <c r="M117" s="609">
        <f t="shared" si="5"/>
        <v>-629.24922861702225</v>
      </c>
      <c r="N117" s="609">
        <f t="shared" si="5"/>
        <v>-178.5721329348367</v>
      </c>
      <c r="O117" s="609">
        <f t="shared" si="5"/>
        <v>742.02181634779629</v>
      </c>
      <c r="P117" s="609" t="s">
        <v>525</v>
      </c>
      <c r="Q117" s="609">
        <f>SUM(Q114:Q115)</f>
        <v>2845.3563163477961</v>
      </c>
      <c r="R117" s="609" t="s">
        <v>526</v>
      </c>
      <c r="S117" s="609">
        <f>AVERAGE(S114:S115)</f>
        <v>0.98477022583698781</v>
      </c>
    </row>
    <row r="118" spans="1:19" x14ac:dyDescent="0.4">
      <c r="A118" s="609">
        <v>2020</v>
      </c>
      <c r="B118" s="710">
        <v>126.16912725601742</v>
      </c>
      <c r="C118" s="710">
        <v>535.95950293022963</v>
      </c>
      <c r="D118" s="616">
        <f t="shared" si="4"/>
        <v>662.12863018624705</v>
      </c>
    </row>
    <row r="119" spans="1:19" x14ac:dyDescent="0.4">
      <c r="A119" s="609">
        <v>2021</v>
      </c>
      <c r="B119" s="710">
        <v>166.53961934733408</v>
      </c>
      <c r="C119" s="710">
        <v>657.44414889784525</v>
      </c>
      <c r="D119" s="616">
        <f t="shared" si="4"/>
        <v>823.98376824517936</v>
      </c>
    </row>
    <row r="120" spans="1:19" x14ac:dyDescent="0.4">
      <c r="A120" s="609">
        <v>2022</v>
      </c>
      <c r="B120" s="710">
        <v>203.34816261745709</v>
      </c>
      <c r="C120" s="710">
        <v>786.19184641945174</v>
      </c>
      <c r="D120" s="616">
        <f t="shared" si="4"/>
        <v>989.54000903690883</v>
      </c>
    </row>
    <row r="121" spans="1:19" x14ac:dyDescent="0.4">
      <c r="A121" s="609">
        <v>2023</v>
      </c>
      <c r="B121" s="710">
        <v>237.60783881840752</v>
      </c>
      <c r="C121" s="710">
        <v>920.8810283136005</v>
      </c>
      <c r="D121" s="616">
        <f t="shared" si="4"/>
        <v>1158.488867132008</v>
      </c>
    </row>
    <row r="122" spans="1:19" x14ac:dyDescent="0.4">
      <c r="A122" s="609">
        <v>2024</v>
      </c>
      <c r="B122" s="710">
        <v>308.20827697703635</v>
      </c>
      <c r="C122" s="710">
        <v>1060.1889658963137</v>
      </c>
      <c r="D122" s="616">
        <f t="shared" si="4"/>
        <v>1368.39724287335</v>
      </c>
    </row>
    <row r="123" spans="1:19" x14ac:dyDescent="0.4">
      <c r="A123" s="609">
        <v>2025</v>
      </c>
      <c r="B123" s="710">
        <v>376.44874262368523</v>
      </c>
      <c r="C123" s="710">
        <v>1202.7930911881472</v>
      </c>
      <c r="D123" s="616">
        <f t="shared" si="4"/>
        <v>1579.2418338118323</v>
      </c>
    </row>
    <row r="124" spans="1:19" x14ac:dyDescent="0.4">
      <c r="A124" s="609">
        <v>2026</v>
      </c>
      <c r="B124" s="710">
        <v>440.02555778262729</v>
      </c>
      <c r="C124" s="710">
        <v>1347.3701703712272</v>
      </c>
      <c r="D124" s="616">
        <f t="shared" si="4"/>
        <v>1787.3957281538546</v>
      </c>
    </row>
    <row r="125" spans="1:19" x14ac:dyDescent="0.4">
      <c r="A125" s="609">
        <v>2027</v>
      </c>
      <c r="B125" s="710">
        <v>502.3687309557132</v>
      </c>
      <c r="C125" s="710">
        <v>1492.5979561983745</v>
      </c>
      <c r="D125" s="616">
        <f t="shared" si="4"/>
        <v>1994.9666871540876</v>
      </c>
    </row>
    <row r="126" spans="1:19" x14ac:dyDescent="0.4">
      <c r="A126" s="609">
        <v>2028</v>
      </c>
      <c r="B126" s="710">
        <v>565.89167048425679</v>
      </c>
      <c r="C126" s="710">
        <v>1637.1535352445528</v>
      </c>
      <c r="D126" s="616">
        <f t="shared" si="4"/>
        <v>2203.0452057288094</v>
      </c>
    </row>
    <row r="127" spans="1:19" x14ac:dyDescent="0.4">
      <c r="A127" s="609">
        <v>2029</v>
      </c>
      <c r="B127" s="710">
        <v>697.31263765038057</v>
      </c>
      <c r="C127" s="710">
        <v>1779.7141542062961</v>
      </c>
      <c r="D127" s="616">
        <f t="shared" si="4"/>
        <v>2477.0267918566769</v>
      </c>
    </row>
    <row r="128" spans="1:19" x14ac:dyDescent="0.4">
      <c r="A128" s="609">
        <v>2030</v>
      </c>
      <c r="B128" s="710">
        <v>848.37116214643618</v>
      </c>
      <c r="C128" s="710">
        <v>1918.9585525997743</v>
      </c>
      <c r="D128" s="616">
        <f t="shared" si="4"/>
        <v>2767.3297147462104</v>
      </c>
    </row>
    <row r="129" spans="1:4" x14ac:dyDescent="0.4">
      <c r="A129" s="609">
        <v>2031</v>
      </c>
      <c r="B129" s="710">
        <v>984.10349914762128</v>
      </c>
      <c r="C129" s="710">
        <v>2053.5594733584103</v>
      </c>
      <c r="D129" s="616">
        <f t="shared" si="4"/>
        <v>3037.6629725060316</v>
      </c>
    </row>
    <row r="130" spans="1:4" x14ac:dyDescent="0.4">
      <c r="A130" s="609">
        <v>2032</v>
      </c>
      <c r="B130" s="710">
        <v>1117.2722357439741</v>
      </c>
      <c r="C130" s="710">
        <v>2182.1986419595655</v>
      </c>
      <c r="D130" s="616">
        <f t="shared" si="4"/>
        <v>3299.4708777035394</v>
      </c>
    </row>
    <row r="131" spans="1:4" x14ac:dyDescent="0.4">
      <c r="A131" s="609">
        <v>2033</v>
      </c>
      <c r="B131" s="710">
        <v>1248.4871561113905</v>
      </c>
      <c r="C131" s="710">
        <v>2303.5517875837922</v>
      </c>
      <c r="D131" s="616">
        <f t="shared" si="4"/>
        <v>3552.0389436951828</v>
      </c>
    </row>
    <row r="132" spans="1:4" x14ac:dyDescent="0.4">
      <c r="A132" s="609">
        <v>2034</v>
      </c>
      <c r="B132" s="710">
        <v>1392.368127235193</v>
      </c>
      <c r="C132" s="710">
        <v>2416.2961327949115</v>
      </c>
      <c r="D132" s="616">
        <f t="shared" si="4"/>
        <v>3808.6642600301047</v>
      </c>
    </row>
    <row r="133" spans="1:4" x14ac:dyDescent="0.4">
      <c r="A133" s="609">
        <v>2035</v>
      </c>
      <c r="B133" s="710">
        <v>1590.1486979153583</v>
      </c>
      <c r="C133" s="710">
        <v>2519.1090469162277</v>
      </c>
      <c r="D133" s="616">
        <f t="shared" si="4"/>
        <v>4109.257744831586</v>
      </c>
    </row>
    <row r="134" spans="1:4" x14ac:dyDescent="0.4">
      <c r="A134" s="609">
        <v>2036</v>
      </c>
      <c r="B134" s="710">
        <v>1771.6522311992555</v>
      </c>
      <c r="C134" s="710">
        <v>2610.6672906938743</v>
      </c>
      <c r="D134" s="616">
        <f t="shared" si="4"/>
        <v>4382.3195218931296</v>
      </c>
    </row>
    <row r="135" spans="1:4" x14ac:dyDescent="0.4">
      <c r="A135" s="609">
        <v>2037</v>
      </c>
      <c r="B135" s="710">
        <v>1943.6532027835451</v>
      </c>
      <c r="C135" s="710">
        <v>2657.5073047496894</v>
      </c>
      <c r="D135" s="616">
        <f t="shared" si="4"/>
        <v>4601.1605075332345</v>
      </c>
    </row>
    <row r="136" spans="1:4" x14ac:dyDescent="0.4">
      <c r="A136" s="609">
        <v>2038</v>
      </c>
      <c r="B136" s="710">
        <v>2108.5815135494581</v>
      </c>
      <c r="C136" s="710">
        <v>2589.2193489647079</v>
      </c>
      <c r="D136" s="616">
        <f t="shared" si="4"/>
        <v>4697.8008625141665</v>
      </c>
    </row>
    <row r="137" spans="1:4" x14ac:dyDescent="0.4">
      <c r="A137" s="609">
        <v>2039</v>
      </c>
      <c r="B137" s="710">
        <v>2269.5362216978283</v>
      </c>
      <c r="C137" s="710">
        <v>2517.5573150697833</v>
      </c>
      <c r="D137" s="616">
        <f t="shared" si="4"/>
        <v>4787.093536767612</v>
      </c>
    </row>
    <row r="138" spans="1:4" x14ac:dyDescent="0.4">
      <c r="A138" s="609">
        <v>2040</v>
      </c>
      <c r="B138" s="710">
        <v>2490.5037641987824</v>
      </c>
      <c r="C138" s="710">
        <v>2443.0841980054524</v>
      </c>
      <c r="D138" s="616">
        <f t="shared" si="4"/>
        <v>4933.5879622042348</v>
      </c>
    </row>
    <row r="139" spans="1:4" x14ac:dyDescent="0.4">
      <c r="A139" s="609">
        <v>2041</v>
      </c>
      <c r="B139" s="710">
        <v>2685.3737314342438</v>
      </c>
      <c r="C139" s="710">
        <v>2366.3536496989691</v>
      </c>
      <c r="D139" s="616">
        <f t="shared" si="4"/>
        <v>5051.7273811332125</v>
      </c>
    </row>
    <row r="140" spans="1:4" x14ac:dyDescent="0.4">
      <c r="A140" s="609">
        <v>2042</v>
      </c>
      <c r="B140" s="710">
        <v>2871.8923162563638</v>
      </c>
      <c r="C140" s="710">
        <v>2287.9333421198421</v>
      </c>
      <c r="D140" s="616">
        <f t="shared" si="4"/>
        <v>5159.8256583762059</v>
      </c>
    </row>
    <row r="141" spans="1:4" x14ac:dyDescent="0.4">
      <c r="A141" s="609">
        <v>2043</v>
      </c>
      <c r="B141" s="710">
        <v>3052.5155877097113</v>
      </c>
      <c r="C141" s="710">
        <v>2208.3816040792117</v>
      </c>
      <c r="D141" s="616">
        <f t="shared" si="4"/>
        <v>5260.897191788923</v>
      </c>
    </row>
    <row r="142" spans="1:4" x14ac:dyDescent="0.4">
      <c r="A142" s="609">
        <v>2044</v>
      </c>
      <c r="B142" s="710">
        <v>3229.7838367427012</v>
      </c>
      <c r="C142" s="710">
        <v>2128.2591027012763</v>
      </c>
      <c r="D142" s="616">
        <f t="shared" si="4"/>
        <v>5358.042939443978</v>
      </c>
    </row>
    <row r="143" spans="1:4" x14ac:dyDescent="0.4">
      <c r="A143" s="609">
        <v>2045</v>
      </c>
      <c r="B143" s="710">
        <v>3493.6880576658177</v>
      </c>
      <c r="C143" s="710">
        <v>2048.1267915818958</v>
      </c>
      <c r="D143" s="616">
        <f t="shared" si="4"/>
        <v>5541.8148492477139</v>
      </c>
    </row>
    <row r="144" spans="1:4" x14ac:dyDescent="0.4">
      <c r="A144" s="609">
        <v>2046</v>
      </c>
      <c r="B144" s="710">
        <v>3721.5046221438606</v>
      </c>
      <c r="C144" s="710">
        <v>1968.5444878912256</v>
      </c>
      <c r="D144" s="616">
        <f t="shared" si="4"/>
        <v>5690.0491100350864</v>
      </c>
    </row>
    <row r="145" spans="1:4" x14ac:dyDescent="0.4">
      <c r="A145" s="609">
        <v>2047</v>
      </c>
      <c r="B145" s="710">
        <v>3949.7400971358184</v>
      </c>
      <c r="C145" s="710">
        <v>1890.0737178351721</v>
      </c>
      <c r="D145" s="616">
        <f t="shared" si="4"/>
        <v>5839.8138149709903</v>
      </c>
    </row>
    <row r="146" spans="1:4" x14ac:dyDescent="0.4">
      <c r="A146" s="609">
        <v>2048</v>
      </c>
      <c r="B146" s="710">
        <v>4168.5908771134482</v>
      </c>
      <c r="C146" s="710">
        <v>1813.274870929102</v>
      </c>
      <c r="D146" s="616">
        <f t="shared" si="4"/>
        <v>5981.86574804255</v>
      </c>
    </row>
    <row r="147" spans="1:4" x14ac:dyDescent="0.4">
      <c r="A147" s="609">
        <v>2049</v>
      </c>
      <c r="B147" s="710">
        <v>4381.4814730652934</v>
      </c>
      <c r="C147" s="710">
        <v>1738.7086226620138</v>
      </c>
      <c r="D147" s="616">
        <f t="shared" si="4"/>
        <v>6120.1900957273074</v>
      </c>
    </row>
    <row r="148" spans="1:4" x14ac:dyDescent="0.4">
      <c r="A148" s="609">
        <v>2050</v>
      </c>
      <c r="B148" s="710">
        <v>4590.318422605862</v>
      </c>
      <c r="C148" s="710">
        <v>1666.9334048492622</v>
      </c>
      <c r="D148" s="616">
        <f t="shared" si="4"/>
        <v>6257.2518274551239</v>
      </c>
    </row>
    <row r="149" spans="1:4" x14ac:dyDescent="0.4">
      <c r="A149" s="609">
        <v>2051</v>
      </c>
      <c r="B149" s="710">
        <v>4541.0586753510033</v>
      </c>
      <c r="C149" s="710">
        <v>1598.5166301917855</v>
      </c>
      <c r="D149" s="616">
        <f t="shared" si="4"/>
        <v>6139.5753055427886</v>
      </c>
    </row>
    <row r="150" spans="1:4" x14ac:dyDescent="0.4">
      <c r="A150" s="609">
        <v>2052</v>
      </c>
      <c r="B150" s="710">
        <v>4554.2536046727218</v>
      </c>
      <c r="C150" s="710">
        <v>1465.6029133877166</v>
      </c>
      <c r="D150" s="616">
        <f t="shared" si="4"/>
        <v>6019.8565180604382</v>
      </c>
    </row>
    <row r="151" spans="1:4" x14ac:dyDescent="0.4">
      <c r="A151" s="609">
        <v>2053</v>
      </c>
      <c r="B151" s="710">
        <v>4563.6149356410306</v>
      </c>
      <c r="C151" s="710">
        <v>1163.4483366797044</v>
      </c>
      <c r="D151" s="616">
        <f t="shared" si="4"/>
        <v>5727.0632723207345</v>
      </c>
    </row>
    <row r="152" spans="1:4" x14ac:dyDescent="0.4">
      <c r="A152" s="609">
        <v>2054</v>
      </c>
      <c r="B152" s="710">
        <v>4570.1821042269476</v>
      </c>
      <c r="C152" s="710">
        <v>826.22892695155849</v>
      </c>
      <c r="D152" s="616">
        <f t="shared" si="4"/>
        <v>5396.4110311785062</v>
      </c>
    </row>
    <row r="153" spans="1:4" x14ac:dyDescent="0.4">
      <c r="A153" s="609">
        <v>2055</v>
      </c>
      <c r="B153" s="710">
        <v>4574.7178444176416</v>
      </c>
      <c r="C153" s="710">
        <v>452.62189304452011</v>
      </c>
      <c r="D153" s="616">
        <f t="shared" si="4"/>
        <v>5027.3397374621618</v>
      </c>
    </row>
    <row r="154" spans="1:4" x14ac:dyDescent="0.4">
      <c r="A154" s="609">
        <v>2056</v>
      </c>
      <c r="B154" s="710">
        <v>4577.7793761332787</v>
      </c>
      <c r="C154" s="710">
        <v>41.304449638348665</v>
      </c>
      <c r="D154" s="616">
        <f t="shared" si="4"/>
        <v>4619.0838257716277</v>
      </c>
    </row>
    <row r="155" spans="1:4" x14ac:dyDescent="0.4">
      <c r="A155" s="609">
        <v>2057</v>
      </c>
      <c r="B155" s="710">
        <v>4579.7724851376479</v>
      </c>
      <c r="C155" s="710">
        <v>0</v>
      </c>
      <c r="D155" s="616">
        <f t="shared" si="4"/>
        <v>4579.7724851376479</v>
      </c>
    </row>
    <row r="156" spans="1:4" x14ac:dyDescent="0.4">
      <c r="A156" s="609">
        <v>2058</v>
      </c>
      <c r="B156" s="710">
        <v>4580.9920004482283</v>
      </c>
      <c r="C156" s="710">
        <v>0</v>
      </c>
      <c r="D156" s="616">
        <f t="shared" si="4"/>
        <v>4580.9920004482283</v>
      </c>
    </row>
    <row r="157" spans="1:4" x14ac:dyDescent="0.4">
      <c r="A157" s="609">
        <v>2059</v>
      </c>
      <c r="B157" s="710">
        <v>4581.6517797967872</v>
      </c>
      <c r="C157" s="710">
        <v>0</v>
      </c>
      <c r="D157" s="616">
        <f t="shared" si="4"/>
        <v>4581.6517797967872</v>
      </c>
    </row>
    <row r="158" spans="1:4" x14ac:dyDescent="0.4">
      <c r="A158" s="609">
        <v>2060</v>
      </c>
      <c r="B158" s="710">
        <v>4581.9067623593137</v>
      </c>
      <c r="C158" s="710">
        <v>0</v>
      </c>
      <c r="D158" s="616">
        <f t="shared" si="4"/>
        <v>4581.9067623593137</v>
      </c>
    </row>
  </sheetData>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174"/>
    <cellWatch r="AZ175"/>
    <cellWatch r="AZ242"/>
    <cellWatch r="AZ243"/>
    <cellWatch r="AZ244"/>
    <cellWatch r="AZ245"/>
    <cellWatch r="AY139"/>
    <cellWatch r="AY140"/>
    <cellWatch r="AY141"/>
    <cellWatch r="AY142"/>
    <cellWatch r="AY143"/>
    <cellWatch r="AY144"/>
    <cellWatch r="AY145"/>
    <cellWatch r="AY146"/>
    <cellWatch r="AY147"/>
    <cellWatch r="AZ176"/>
    <cellWatch r="AZ177"/>
    <cellWatch r="AZ178"/>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Y135"/>
    <cellWatch r="AY136"/>
    <cellWatch r="AY137"/>
    <cellWatch r="AY138"/>
    <cellWatch r="AZ179"/>
    <cellWatch r="AZ180"/>
    <cellWatch r="AZ181"/>
    <cellWatch r="AZ182"/>
    <cellWatch r="BB172"/>
    <cellWatch r="AZ246"/>
    <cellWatch r="AY183"/>
    <cellWatch r="AY184"/>
    <cellWatch r="AY185"/>
    <cellWatch r="AY186"/>
    <cellWatch r="AY187"/>
    <cellWatch r="BA172"/>
    <cellWatch r="AZ322"/>
    <cellWatch r="BB173"/>
    <cellWatch r="AZ247"/>
    <cellWatch r="AY188"/>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BA212"/>
    <cellWatch r="BA213"/>
    <cellWatch r="BA214"/>
    <cellWatch r="BA215"/>
    <cellWatch r="BA216"/>
    <cellWatch r="BA217"/>
    <cellWatch r="BA218"/>
    <cellWatch r="BA219"/>
    <cellWatch r="BA220"/>
    <cellWatch r="BA221"/>
    <cellWatch r="BA222"/>
    <cellWatch r="BA223"/>
    <cellWatch r="BA224"/>
    <cellWatch r="BA225"/>
    <cellWatch r="BA226"/>
    <cellWatch r="BA227"/>
    <cellWatch r="BA228"/>
    <cellWatch r="BA229"/>
    <cellWatch r="BA230"/>
    <cellWatch r="BA231"/>
    <cellWatch r="BA232"/>
    <cellWatch r="BA233"/>
    <cellWatch r="BA234"/>
    <cellWatch r="BA235"/>
    <cellWatch r="BA236"/>
    <cellWatch r="BA237"/>
    <cellWatch r="BA238"/>
    <cellWatch r="BA239"/>
    <cellWatch r="BA240"/>
    <cellWatch r="BA241"/>
    <cellWatch r="BC137"/>
    <cellWatch r="BC138"/>
    <cellWatch r="BC139"/>
    <cellWatch r="BC140"/>
    <cellWatch r="BC141"/>
    <cellWatch r="BC142"/>
    <cellWatch r="BC143"/>
    <cellWatch r="BC144"/>
    <cellWatch r="BC145"/>
    <cellWatch r="BC146"/>
    <cellWatch r="BC147"/>
    <cellWatch r="BC148"/>
    <cellWatch r="BC149"/>
    <cellWatch r="BC150"/>
    <cellWatch r="BC151"/>
    <cellWatch r="BC152"/>
    <cellWatch r="BC153"/>
    <cellWatch r="BC154"/>
    <cellWatch r="BC155"/>
    <cellWatch r="BC156"/>
    <cellWatch r="BC157"/>
    <cellWatch r="BC158"/>
    <cellWatch r="BC159"/>
    <cellWatch r="BC160"/>
    <cellWatch r="BC161"/>
    <cellWatch r="BC162"/>
    <cellWatch r="BC163"/>
    <cellWatch r="BC164"/>
    <cellWatch r="BC165"/>
    <cellWatch r="BC166"/>
    <cellWatch r="BC167"/>
    <cellWatch r="BC168"/>
    <cellWatch r="BC169"/>
    <cellWatch r="BC170"/>
    <cellWatch r="BC171"/>
    <cellWatch r="AZ183"/>
    <cellWatch r="AZ184"/>
    <cellWatch r="AZ185"/>
    <cellWatch r="AZ186"/>
    <cellWatch r="AZ187"/>
    <cellWatch r="BB174"/>
    <cellWatch r="BB175"/>
    <cellWatch r="AZ323"/>
    <cellWatch r="AZ324"/>
    <cellWatch r="AZ325"/>
    <cellWatch r="AY189"/>
    <cellWatch r="AY190"/>
    <cellWatch r="AY191"/>
  </cellWatch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D5A7A-2184-084B-B4EC-E105477A448C}">
  <dimension ref="A2:AY57"/>
  <sheetViews>
    <sheetView zoomScale="70" zoomScaleNormal="70" workbookViewId="0">
      <selection activeCell="AD19" sqref="AD19"/>
    </sheetView>
  </sheetViews>
  <sheetFormatPr defaultColWidth="10.83203125" defaultRowHeight="12.3" x14ac:dyDescent="0.4"/>
  <cols>
    <col min="1" max="3" width="10.83203125" style="609"/>
    <col min="4" max="4" width="11" style="609" bestFit="1" customWidth="1"/>
    <col min="5" max="5" width="11.6640625" style="609" bestFit="1" customWidth="1"/>
    <col min="6" max="11" width="11" style="609" bestFit="1" customWidth="1"/>
    <col min="12" max="28" width="10.83203125" style="609"/>
    <col min="29" max="29" width="11" style="609" bestFit="1" customWidth="1"/>
    <col min="30" max="30" width="11.6640625" style="609" bestFit="1" customWidth="1"/>
    <col min="31" max="36" width="11" style="609" bestFit="1" customWidth="1"/>
    <col min="37" max="16384" width="10.83203125" style="609"/>
  </cols>
  <sheetData>
    <row r="2" spans="1:49" x14ac:dyDescent="0.4">
      <c r="C2" s="609">
        <f>C9/$B$9</f>
        <v>0.28362024017862536</v>
      </c>
      <c r="D2" s="609">
        <f>D9/$B$9</f>
        <v>9.4220264317180627E-2</v>
      </c>
      <c r="E2" s="609">
        <f>E9/$B$9</f>
        <v>0.40368324180797788</v>
      </c>
      <c r="F2" s="609">
        <f>F9/$B$9</f>
        <v>0.14233594834349161</v>
      </c>
      <c r="G2" s="609">
        <f>G9/$B$9</f>
        <v>0.12032375837306139</v>
      </c>
      <c r="AO2" s="609">
        <f>AO9/$AN$9</f>
        <v>0.30327270027652214</v>
      </c>
      <c r="AP2" s="609">
        <f>AP9/$AN$9</f>
        <v>3.9461183925257888E-2</v>
      </c>
      <c r="AQ2" s="609">
        <f>AQ9/$AN$9</f>
        <v>0.38085712432638819</v>
      </c>
      <c r="AR2" s="609">
        <f>AR9/$AN$9</f>
        <v>0.14847097090257774</v>
      </c>
      <c r="AS2" s="609">
        <f>AS9/$AN$9</f>
        <v>0.12752480804789515</v>
      </c>
    </row>
    <row r="3" spans="1:49" x14ac:dyDescent="0.4">
      <c r="A3" s="1" t="s">
        <v>1027</v>
      </c>
      <c r="N3" s="963" t="s">
        <v>3</v>
      </c>
      <c r="V3" s="1" t="s">
        <v>1029</v>
      </c>
      <c r="Z3" s="1" t="s">
        <v>112</v>
      </c>
      <c r="AF3" s="929"/>
      <c r="AM3" s="1" t="s">
        <v>1028</v>
      </c>
    </row>
    <row r="4" spans="1:49" x14ac:dyDescent="0.4">
      <c r="A4" s="1" t="s">
        <v>118</v>
      </c>
      <c r="N4" s="1" t="s">
        <v>5</v>
      </c>
      <c r="V4" s="1" t="s">
        <v>113</v>
      </c>
      <c r="Z4" s="1" t="s">
        <v>113</v>
      </c>
      <c r="AM4" s="1" t="s">
        <v>113</v>
      </c>
    </row>
    <row r="5" spans="1:49" ht="12.6" thickBot="1" x14ac:dyDescent="0.45">
      <c r="A5" s="2" t="s">
        <v>114</v>
      </c>
      <c r="B5" s="2" t="s">
        <v>115</v>
      </c>
      <c r="C5" s="2" t="s">
        <v>36</v>
      </c>
      <c r="D5" s="2" t="s">
        <v>44</v>
      </c>
      <c r="E5" s="2" t="s">
        <v>46</v>
      </c>
      <c r="F5" s="2" t="s">
        <v>49</v>
      </c>
      <c r="G5" s="2" t="s">
        <v>52</v>
      </c>
      <c r="H5" s="2" t="s">
        <v>55</v>
      </c>
      <c r="I5" s="2" t="s">
        <v>58</v>
      </c>
      <c r="J5" s="2" t="s">
        <v>60</v>
      </c>
      <c r="K5" s="2" t="s">
        <v>61</v>
      </c>
      <c r="N5" s="2" t="s">
        <v>114</v>
      </c>
      <c r="O5" s="2" t="s">
        <v>115</v>
      </c>
      <c r="P5" s="2" t="s">
        <v>36</v>
      </c>
      <c r="Q5" s="1122" t="s">
        <v>44</v>
      </c>
      <c r="R5" s="2" t="s">
        <v>46</v>
      </c>
      <c r="S5" s="2" t="s">
        <v>49</v>
      </c>
      <c r="T5" s="2" t="s">
        <v>52</v>
      </c>
      <c r="V5" s="2" t="s">
        <v>114</v>
      </c>
      <c r="W5" s="2" t="s">
        <v>115</v>
      </c>
      <c r="X5" s="826"/>
      <c r="Z5" s="2" t="s">
        <v>114</v>
      </c>
      <c r="AA5" s="2" t="s">
        <v>115</v>
      </c>
      <c r="AB5" s="2" t="s">
        <v>36</v>
      </c>
      <c r="AC5" s="2" t="s">
        <v>44</v>
      </c>
      <c r="AD5" s="2" t="s">
        <v>46</v>
      </c>
      <c r="AE5" s="2" t="s">
        <v>49</v>
      </c>
      <c r="AF5" s="2" t="s">
        <v>52</v>
      </c>
      <c r="AG5" s="2" t="s">
        <v>55</v>
      </c>
      <c r="AH5" s="2" t="s">
        <v>58</v>
      </c>
      <c r="AI5" s="2" t="s">
        <v>60</v>
      </c>
      <c r="AJ5" s="2" t="s">
        <v>61</v>
      </c>
      <c r="AM5" s="2" t="s">
        <v>114</v>
      </c>
      <c r="AN5" s="2" t="s">
        <v>115</v>
      </c>
      <c r="AO5" s="2" t="s">
        <v>36</v>
      </c>
      <c r="AP5" s="2" t="s">
        <v>44</v>
      </c>
      <c r="AQ5" s="2" t="s">
        <v>46</v>
      </c>
      <c r="AR5" s="2" t="s">
        <v>49</v>
      </c>
      <c r="AS5" s="2" t="s">
        <v>52</v>
      </c>
      <c r="AT5" s="2" t="s">
        <v>55</v>
      </c>
      <c r="AU5" s="2" t="s">
        <v>58</v>
      </c>
      <c r="AV5" s="2" t="s">
        <v>60</v>
      </c>
      <c r="AW5" s="2" t="s">
        <v>61</v>
      </c>
    </row>
    <row r="6" spans="1:49" x14ac:dyDescent="0.4">
      <c r="A6" s="962">
        <v>2012</v>
      </c>
      <c r="B6" s="977">
        <v>1536.6666666666667</v>
      </c>
      <c r="C6" s="1121">
        <v>520.99406392694073</v>
      </c>
      <c r="D6" s="1121">
        <v>174.33333333333334</v>
      </c>
      <c r="E6" s="1121">
        <v>714.8872146118722</v>
      </c>
      <c r="F6" s="1121">
        <v>227.43196347031954</v>
      </c>
      <c r="G6" s="1121">
        <v>215.46757990867582</v>
      </c>
      <c r="H6" s="977">
        <v>164.68996850409536</v>
      </c>
      <c r="I6" s="977">
        <v>116.30328783871184</v>
      </c>
      <c r="J6" s="977">
        <v>239.73886319020514</v>
      </c>
      <c r="K6" s="977">
        <v>228.87370365000001</v>
      </c>
      <c r="L6" s="929"/>
      <c r="M6" s="929"/>
      <c r="N6" s="962">
        <v>2012</v>
      </c>
      <c r="O6" s="977">
        <v>1536.6666666666667</v>
      </c>
      <c r="P6" s="1121">
        <v>520.99406392694073</v>
      </c>
      <c r="Q6" s="1121">
        <v>174.33333333333334</v>
      </c>
      <c r="R6" s="1121">
        <v>714.8872146118722</v>
      </c>
      <c r="S6" s="1121">
        <v>227.43196347031954</v>
      </c>
      <c r="T6" s="1121">
        <v>215.46757990867582</v>
      </c>
      <c r="U6" s="929"/>
      <c r="V6" s="962">
        <v>2012</v>
      </c>
      <c r="W6" s="977">
        <v>1536.6666666666667</v>
      </c>
      <c r="X6" s="983"/>
      <c r="Z6" s="962">
        <v>2012</v>
      </c>
      <c r="AA6" s="977">
        <v>1536.6666666666667</v>
      </c>
      <c r="AB6" s="998">
        <v>520.99406392694073</v>
      </c>
      <c r="AC6" s="1030">
        <v>174.33333333333334</v>
      </c>
      <c r="AD6" s="1058">
        <v>714.8872146118722</v>
      </c>
      <c r="AE6" s="1065">
        <v>227.43196347031954</v>
      </c>
      <c r="AF6" s="1065">
        <v>215.46757990867582</v>
      </c>
      <c r="AG6" s="977">
        <v>170.809</v>
      </c>
      <c r="AH6" s="977">
        <v>51.5</v>
      </c>
      <c r="AI6" s="977">
        <v>243.54928044499999</v>
      </c>
      <c r="AJ6" s="977">
        <v>228.87370365000001</v>
      </c>
      <c r="AM6" s="962">
        <v>2012</v>
      </c>
      <c r="AN6" s="964">
        <v>2275.3829349999996</v>
      </c>
      <c r="AO6" s="964">
        <v>701.45660000000021</v>
      </c>
      <c r="AP6" s="964">
        <v>96.036799999999985</v>
      </c>
      <c r="AQ6" s="964">
        <v>863.25710000000004</v>
      </c>
      <c r="AR6" s="964">
        <v>323.59610000000009</v>
      </c>
      <c r="AS6" s="964">
        <v>290.05934999999999</v>
      </c>
      <c r="AT6" s="977">
        <v>170.809</v>
      </c>
      <c r="AU6" s="977">
        <v>51.5</v>
      </c>
      <c r="AV6" s="977">
        <v>243.54928044499999</v>
      </c>
      <c r="AW6" s="977">
        <v>228.87370365000001</v>
      </c>
    </row>
    <row r="7" spans="1:49" x14ac:dyDescent="0.4">
      <c r="A7" s="962">
        <v>2013</v>
      </c>
      <c r="B7" s="977">
        <v>1655</v>
      </c>
      <c r="C7" s="1121">
        <v>526.167694063927</v>
      </c>
      <c r="D7" s="1121">
        <v>175.63333333333333</v>
      </c>
      <c r="E7" s="1121">
        <v>731.13618721461194</v>
      </c>
      <c r="F7" s="1121">
        <v>241.37203196347025</v>
      </c>
      <c r="G7" s="1121">
        <v>219.51586757990867</v>
      </c>
      <c r="H7" s="977">
        <v>176.01747637807151</v>
      </c>
      <c r="I7" s="977">
        <v>129.32746587903389</v>
      </c>
      <c r="J7" s="977">
        <v>240.02663764265384</v>
      </c>
      <c r="K7" s="977">
        <v>231.39567795000002</v>
      </c>
      <c r="L7" s="929"/>
      <c r="M7" s="929"/>
      <c r="N7" s="962">
        <v>2013</v>
      </c>
      <c r="O7" s="977">
        <v>1655</v>
      </c>
      <c r="P7" s="1121">
        <v>526.167694063927</v>
      </c>
      <c r="Q7" s="1121">
        <v>175.63333333333333</v>
      </c>
      <c r="R7" s="1121">
        <v>731.13618721461194</v>
      </c>
      <c r="S7" s="1121">
        <v>241.37203196347025</v>
      </c>
      <c r="T7" s="1121">
        <v>219.51586757990867</v>
      </c>
      <c r="U7" s="929"/>
      <c r="V7" s="962">
        <v>2013</v>
      </c>
      <c r="W7" s="977">
        <v>1655</v>
      </c>
      <c r="X7" s="983"/>
      <c r="Z7" s="962">
        <v>2013</v>
      </c>
      <c r="AA7" s="977">
        <v>1655</v>
      </c>
      <c r="AB7" s="1001">
        <v>526.167694063927</v>
      </c>
      <c r="AC7" s="1031">
        <v>175.63333333333333</v>
      </c>
      <c r="AD7" s="1045">
        <v>731.13618721461194</v>
      </c>
      <c r="AE7" s="1067">
        <v>241.37203196347025</v>
      </c>
      <c r="AF7" s="1067">
        <v>219.51586757990867</v>
      </c>
      <c r="AG7" s="977">
        <v>172.386</v>
      </c>
      <c r="AH7" s="977">
        <v>55</v>
      </c>
      <c r="AI7" s="977">
        <v>237.75723170200001</v>
      </c>
      <c r="AJ7" s="977">
        <v>231.39567795000002</v>
      </c>
      <c r="AM7" s="962">
        <v>2013</v>
      </c>
      <c r="AN7" s="964">
        <v>2335.7385599999998</v>
      </c>
      <c r="AO7" s="964">
        <v>715.78160000000025</v>
      </c>
      <c r="AP7" s="964">
        <v>96.29679999999999</v>
      </c>
      <c r="AQ7" s="964">
        <v>887.68960000000004</v>
      </c>
      <c r="AR7" s="964">
        <v>337.05360000000007</v>
      </c>
      <c r="AS7" s="964">
        <v>297.92560000000003</v>
      </c>
      <c r="AT7" s="977">
        <v>172.386</v>
      </c>
      <c r="AU7" s="977">
        <v>55</v>
      </c>
      <c r="AV7" s="977">
        <v>237.75723170200001</v>
      </c>
      <c r="AW7" s="977">
        <v>231.39567795000002</v>
      </c>
    </row>
    <row r="8" spans="1:49" x14ac:dyDescent="0.4">
      <c r="A8" s="962">
        <v>2014</v>
      </c>
      <c r="B8" s="977">
        <v>1773.3333333333333</v>
      </c>
      <c r="C8" s="1121">
        <v>531.34132420091328</v>
      </c>
      <c r="D8" s="1121">
        <v>176.93333333333334</v>
      </c>
      <c r="E8" s="1121">
        <v>747.38515981735168</v>
      </c>
      <c r="F8" s="1121">
        <v>255.31210045662093</v>
      </c>
      <c r="G8" s="1121">
        <v>223.56415525114156</v>
      </c>
      <c r="H8" s="977">
        <v>187.34498425204768</v>
      </c>
      <c r="I8" s="977">
        <v>142.35164391935592</v>
      </c>
      <c r="J8" s="977">
        <v>240.31441209510257</v>
      </c>
      <c r="K8" s="977">
        <v>234.41660400000001</v>
      </c>
      <c r="L8" s="929"/>
      <c r="M8" s="929"/>
      <c r="N8" s="962">
        <v>2014</v>
      </c>
      <c r="O8" s="977">
        <v>1773.3333333333333</v>
      </c>
      <c r="P8" s="1121">
        <v>531.34132420091328</v>
      </c>
      <c r="Q8" s="1121">
        <v>176.93333333333334</v>
      </c>
      <c r="R8" s="1121">
        <v>747.38515981735168</v>
      </c>
      <c r="S8" s="1121">
        <v>255.31210045662093</v>
      </c>
      <c r="T8" s="1121">
        <v>223.56415525114156</v>
      </c>
      <c r="U8" s="929"/>
      <c r="V8" s="962">
        <v>2014</v>
      </c>
      <c r="W8" s="977">
        <v>1773.3333333333333</v>
      </c>
      <c r="X8" s="983"/>
      <c r="Z8" s="962">
        <v>2014</v>
      </c>
      <c r="AA8" s="977">
        <v>1773.3333333333333</v>
      </c>
      <c r="AB8" s="1001">
        <v>531.34132420091328</v>
      </c>
      <c r="AC8" s="1032">
        <v>176.93333333333334</v>
      </c>
      <c r="AD8" s="1046">
        <v>747.38515981735168</v>
      </c>
      <c r="AE8" s="1067">
        <v>255.31210045662093</v>
      </c>
      <c r="AF8" s="1067">
        <v>223.56415525114156</v>
      </c>
      <c r="AG8" s="977">
        <v>178.602</v>
      </c>
      <c r="AH8" s="977">
        <v>58.5</v>
      </c>
      <c r="AI8" s="977">
        <v>241.15149754399999</v>
      </c>
      <c r="AJ8" s="977">
        <v>234.41660400000001</v>
      </c>
      <c r="AM8" s="962">
        <v>2014</v>
      </c>
      <c r="AN8" s="964">
        <v>2394.4519149999996</v>
      </c>
      <c r="AO8" s="964">
        <v>729.78940000000023</v>
      </c>
      <c r="AP8" s="964">
        <v>96.531199999999984</v>
      </c>
      <c r="AQ8" s="964">
        <v>911.16390000000001</v>
      </c>
      <c r="AR8" s="964">
        <v>350.51490000000007</v>
      </c>
      <c r="AS8" s="964">
        <v>305.44915000000003</v>
      </c>
      <c r="AT8" s="977">
        <v>178.602</v>
      </c>
      <c r="AU8" s="977">
        <v>58.5</v>
      </c>
      <c r="AV8" s="977">
        <v>241.15149754399999</v>
      </c>
      <c r="AW8" s="977">
        <v>234.41660400000001</v>
      </c>
    </row>
    <row r="9" spans="1:49" ht="14.4" x14ac:dyDescent="0.55000000000000004">
      <c r="A9" s="3">
        <v>2015</v>
      </c>
      <c r="B9" s="977">
        <v>1891.6666666666665</v>
      </c>
      <c r="C9" s="1121">
        <v>536.51495433789955</v>
      </c>
      <c r="D9" s="1121">
        <v>178.23333333333335</v>
      </c>
      <c r="E9" s="1121">
        <v>763.63413242009142</v>
      </c>
      <c r="F9" s="1121">
        <v>269.2521689497716</v>
      </c>
      <c r="G9" s="1121">
        <v>227.61244292237444</v>
      </c>
      <c r="H9" s="977">
        <v>198.67249212602385</v>
      </c>
      <c r="I9" s="977">
        <v>155.37582195967795</v>
      </c>
      <c r="J9" s="977">
        <v>240.6021865475513</v>
      </c>
      <c r="K9" s="977">
        <v>237.78226035</v>
      </c>
      <c r="N9" s="3">
        <v>2015</v>
      </c>
      <c r="O9" s="977">
        <v>1891.6666666666665</v>
      </c>
      <c r="P9" s="1121">
        <v>536.51495433789955</v>
      </c>
      <c r="Q9" s="1121">
        <v>178.23333333333335</v>
      </c>
      <c r="R9" s="1121">
        <v>763.63413242009142</v>
      </c>
      <c r="S9" s="1121">
        <v>269.2521689497716</v>
      </c>
      <c r="T9" s="1121">
        <v>227.61244292237444</v>
      </c>
      <c r="V9" s="3">
        <v>2015</v>
      </c>
      <c r="W9" s="977">
        <v>1891.6666666666665</v>
      </c>
      <c r="X9" s="983"/>
      <c r="Z9" s="3">
        <v>2015</v>
      </c>
      <c r="AA9" s="977">
        <v>1891.6666666666665</v>
      </c>
      <c r="AB9" s="1001">
        <v>536.51495433789955</v>
      </c>
      <c r="AC9" s="1030">
        <v>178.23333333333335</v>
      </c>
      <c r="AD9" s="1044">
        <v>763.63413242009142</v>
      </c>
      <c r="AE9" s="1067">
        <v>269.2521689497716</v>
      </c>
      <c r="AF9" s="1067">
        <v>227.61244292237444</v>
      </c>
      <c r="AG9" s="977">
        <v>191.41900000000001</v>
      </c>
      <c r="AH9" s="977">
        <v>62</v>
      </c>
      <c r="AI9" s="977">
        <v>240.38559090399997</v>
      </c>
      <c r="AJ9" s="977">
        <v>237.78226035</v>
      </c>
      <c r="AM9" s="3">
        <v>2015</v>
      </c>
      <c r="AN9" s="964">
        <v>2451.5229999999997</v>
      </c>
      <c r="AO9" s="964">
        <v>743.48000000000025</v>
      </c>
      <c r="AP9" s="964">
        <v>96.739999999999981</v>
      </c>
      <c r="AQ9" s="964">
        <v>933.68000000000006</v>
      </c>
      <c r="AR9" s="964">
        <v>363.98000000000008</v>
      </c>
      <c r="AS9" s="964">
        <v>312.63</v>
      </c>
      <c r="AT9" s="977">
        <v>191.41900000000001</v>
      </c>
      <c r="AU9" s="977">
        <v>62</v>
      </c>
      <c r="AV9" s="977">
        <v>240.38559090399997</v>
      </c>
      <c r="AW9" s="977">
        <v>237.78226035</v>
      </c>
    </row>
    <row r="10" spans="1:49" ht="14.4" x14ac:dyDescent="0.55000000000000004">
      <c r="A10" s="3">
        <v>2016</v>
      </c>
      <c r="B10" s="977">
        <v>2009.9999999999998</v>
      </c>
      <c r="C10" s="1121">
        <v>535.70000000000005</v>
      </c>
      <c r="D10" s="1121">
        <v>178.2</v>
      </c>
      <c r="E10" s="1121">
        <v>769.1</v>
      </c>
      <c r="F10" s="1121">
        <v>302.39999999999998</v>
      </c>
      <c r="G10" s="1121">
        <v>230.8</v>
      </c>
      <c r="H10" s="977">
        <v>210</v>
      </c>
      <c r="I10" s="1121">
        <v>168.4</v>
      </c>
      <c r="J10" s="977">
        <v>240.889961</v>
      </c>
      <c r="K10" s="977">
        <v>242.05510170000002</v>
      </c>
      <c r="N10" s="3">
        <v>2016</v>
      </c>
      <c r="O10" s="977">
        <v>2009.9999999999998</v>
      </c>
      <c r="P10" s="1121">
        <v>535.70000000000005</v>
      </c>
      <c r="Q10" s="1121">
        <v>178.2</v>
      </c>
      <c r="R10" s="1121">
        <v>769.1</v>
      </c>
      <c r="S10" s="1121">
        <v>302.39999999999998</v>
      </c>
      <c r="T10" s="1121">
        <v>230.8</v>
      </c>
      <c r="V10" s="3">
        <v>2016</v>
      </c>
      <c r="W10" s="977">
        <v>2009.9999999999998</v>
      </c>
      <c r="X10" s="983"/>
      <c r="Z10" s="3">
        <v>2016</v>
      </c>
      <c r="AA10" s="977">
        <v>2009.9999999999998</v>
      </c>
      <c r="AB10" s="1001">
        <v>535.70000000000005</v>
      </c>
      <c r="AC10" s="1030">
        <v>178.2</v>
      </c>
      <c r="AD10" s="1044">
        <v>769.1</v>
      </c>
      <c r="AE10" s="1067">
        <v>302.39999999999998</v>
      </c>
      <c r="AF10" s="1067">
        <v>230.8</v>
      </c>
      <c r="AG10" s="977">
        <v>203.62</v>
      </c>
      <c r="AH10" s="965">
        <v>129.24324324324323</v>
      </c>
      <c r="AI10" s="977">
        <v>247.05343355800002</v>
      </c>
      <c r="AJ10" s="977">
        <v>242.05510170000002</v>
      </c>
      <c r="AM10" s="3">
        <v>2016</v>
      </c>
      <c r="AN10" s="964">
        <v>2506.9518149999999</v>
      </c>
      <c r="AO10" s="964">
        <v>756.85340000000031</v>
      </c>
      <c r="AP10" s="964">
        <v>96.92319999999998</v>
      </c>
      <c r="AQ10" s="964">
        <v>955.23790000000008</v>
      </c>
      <c r="AR10" s="964">
        <v>377.44890000000009</v>
      </c>
      <c r="AS10" s="964">
        <v>319.46815000000004</v>
      </c>
      <c r="AT10" s="977">
        <v>203.62</v>
      </c>
      <c r="AU10" s="965">
        <v>308.82584092361014</v>
      </c>
      <c r="AV10" s="977">
        <v>247.05343355800002</v>
      </c>
      <c r="AW10" s="977">
        <v>242.05510170000002</v>
      </c>
    </row>
    <row r="11" spans="1:49" ht="14.4" x14ac:dyDescent="0.55000000000000004">
      <c r="A11" s="3">
        <v>2017</v>
      </c>
      <c r="B11" s="964">
        <v>2053.8242009132418</v>
      </c>
      <c r="C11" s="964">
        <v>546.86221461187222</v>
      </c>
      <c r="D11" s="964">
        <v>180.83333333333334</v>
      </c>
      <c r="E11" s="964">
        <v>796.1320776255709</v>
      </c>
      <c r="F11" s="964">
        <v>306.73618721461185</v>
      </c>
      <c r="G11" s="964">
        <v>235.70901826484018</v>
      </c>
      <c r="H11" s="965">
        <v>221.32750787397617</v>
      </c>
      <c r="I11" s="965">
        <v>181.42417804032203</v>
      </c>
      <c r="J11" s="965">
        <v>241.17773545244873</v>
      </c>
      <c r="K11" s="965">
        <v>242.93507115</v>
      </c>
      <c r="N11" s="3">
        <v>2017</v>
      </c>
      <c r="O11" s="964">
        <v>2257.7852102784937</v>
      </c>
      <c r="P11" s="964">
        <v>678.02825394397598</v>
      </c>
      <c r="Q11" s="964">
        <v>115.10929669972121</v>
      </c>
      <c r="R11" s="964">
        <v>944.87466977884446</v>
      </c>
      <c r="S11" s="964">
        <v>244.94271401559939</v>
      </c>
      <c r="T11" s="964">
        <v>274.83027584035256</v>
      </c>
      <c r="V11" s="3">
        <v>2017</v>
      </c>
      <c r="W11" s="964">
        <v>1729.0875899394905</v>
      </c>
      <c r="X11" s="983"/>
      <c r="Z11" s="3">
        <v>2017</v>
      </c>
      <c r="AA11" s="964">
        <v>1467.7837837837842</v>
      </c>
      <c r="AB11" s="931">
        <v>536.94705882352957</v>
      </c>
      <c r="AC11" s="931">
        <v>176.76764705882357</v>
      </c>
      <c r="AD11" s="931">
        <v>776.32352941176475</v>
      </c>
      <c r="AE11" s="931">
        <v>309.65882352941179</v>
      </c>
      <c r="AF11" s="931">
        <v>237.00588235294117</v>
      </c>
      <c r="AG11" s="977">
        <v>215.209</v>
      </c>
      <c r="AH11" s="965">
        <v>136.32432432432432</v>
      </c>
      <c r="AI11" s="977">
        <v>247.66635821599999</v>
      </c>
      <c r="AJ11" s="977">
        <v>242.93507115</v>
      </c>
      <c r="AM11" s="3">
        <v>2017</v>
      </c>
      <c r="AN11" s="964">
        <v>2560.7383599999998</v>
      </c>
      <c r="AO11" s="964">
        <v>769.9096000000003</v>
      </c>
      <c r="AP11" s="964">
        <v>97.080799999999982</v>
      </c>
      <c r="AQ11" s="964">
        <v>975.83760000000007</v>
      </c>
      <c r="AR11" s="964">
        <v>390.92160000000013</v>
      </c>
      <c r="AS11" s="964">
        <v>325.96360000000004</v>
      </c>
      <c r="AT11" s="977">
        <v>215.209</v>
      </c>
      <c r="AU11" s="965">
        <v>318.70317664633887</v>
      </c>
      <c r="AV11" s="977">
        <v>247.66635821599999</v>
      </c>
      <c r="AW11" s="977">
        <v>242.93507115</v>
      </c>
    </row>
    <row r="12" spans="1:49" ht="14.4" x14ac:dyDescent="0.55000000000000004">
      <c r="A12" s="3">
        <v>2018</v>
      </c>
      <c r="B12" s="964">
        <v>2094.6803652968038</v>
      </c>
      <c r="C12" s="964">
        <v>552.03584474885849</v>
      </c>
      <c r="D12" s="964">
        <v>182.13333333333333</v>
      </c>
      <c r="E12" s="964">
        <v>812.38105022831064</v>
      </c>
      <c r="F12" s="964">
        <v>311.07237442922366</v>
      </c>
      <c r="G12" s="964">
        <v>239.75730593607307</v>
      </c>
      <c r="H12" s="965">
        <v>232.65501574795235</v>
      </c>
      <c r="I12" s="965">
        <v>194.44835608064409</v>
      </c>
      <c r="J12" s="965">
        <v>241.46550990489743</v>
      </c>
      <c r="K12" s="965">
        <v>251.43288457142859</v>
      </c>
      <c r="N12" s="3">
        <v>2018</v>
      </c>
      <c r="O12" s="964">
        <v>2314.9722954908048</v>
      </c>
      <c r="P12" s="964">
        <v>681.27354569498641</v>
      </c>
      <c r="Q12" s="964">
        <v>117.77601295843974</v>
      </c>
      <c r="R12" s="964">
        <v>975.85965828389897</v>
      </c>
      <c r="S12" s="964">
        <v>258.04535055145624</v>
      </c>
      <c r="T12" s="964">
        <v>282.01772800202298</v>
      </c>
      <c r="V12" s="3">
        <v>2018</v>
      </c>
      <c r="W12" s="964">
        <v>1782.7707004450785</v>
      </c>
      <c r="X12" s="983"/>
      <c r="Z12" s="3">
        <v>2018</v>
      </c>
      <c r="AA12" s="964">
        <v>1505.7297297297303</v>
      </c>
      <c r="AB12" s="894">
        <v>538.19411764705899</v>
      </c>
      <c r="AC12" s="954">
        <v>175.53529411764708</v>
      </c>
      <c r="AD12" s="894">
        <v>783.54705882352948</v>
      </c>
      <c r="AE12" s="894">
        <v>316.91764705882355</v>
      </c>
      <c r="AF12" s="894">
        <v>243.21176470588233</v>
      </c>
      <c r="AG12" s="965">
        <v>301.2972972972974</v>
      </c>
      <c r="AH12" s="965">
        <v>143.40540540540542</v>
      </c>
      <c r="AI12" s="977">
        <v>239.976</v>
      </c>
      <c r="AJ12" s="965">
        <v>138.05405405405403</v>
      </c>
      <c r="AM12" s="3">
        <v>2018</v>
      </c>
      <c r="AN12" s="964">
        <v>2612.8826349999999</v>
      </c>
      <c r="AO12" s="964">
        <v>782.64860000000033</v>
      </c>
      <c r="AP12" s="964">
        <v>97.212799999999987</v>
      </c>
      <c r="AQ12" s="964">
        <v>995.47910000000002</v>
      </c>
      <c r="AR12" s="964">
        <v>404.39810000000011</v>
      </c>
      <c r="AS12" s="964">
        <v>332.11635000000001</v>
      </c>
      <c r="AT12" s="965">
        <v>367.94439999999997</v>
      </c>
      <c r="AU12" s="965">
        <v>328.40186370724206</v>
      </c>
      <c r="AV12" s="977">
        <v>239.976</v>
      </c>
      <c r="AW12" s="965">
        <v>248.72616157222163</v>
      </c>
    </row>
    <row r="13" spans="1:49" ht="14.4" x14ac:dyDescent="0.55000000000000004">
      <c r="A13" s="3">
        <v>2019</v>
      </c>
      <c r="B13" s="964">
        <v>2135.5365296803652</v>
      </c>
      <c r="C13" s="964">
        <v>557.20947488584477</v>
      </c>
      <c r="D13" s="964">
        <v>183.43333333333334</v>
      </c>
      <c r="E13" s="964">
        <v>828.63002283105027</v>
      </c>
      <c r="F13" s="964">
        <v>325.01244292237436</v>
      </c>
      <c r="G13" s="964">
        <v>243.80559360730595</v>
      </c>
      <c r="H13" s="965">
        <v>243.98252362192852</v>
      </c>
      <c r="I13" s="965">
        <v>207.47253412096612</v>
      </c>
      <c r="J13" s="965">
        <v>241.75328435734616</v>
      </c>
      <c r="K13" s="965">
        <v>256.12181085714286</v>
      </c>
      <c r="N13" s="3">
        <v>2019</v>
      </c>
      <c r="O13" s="964">
        <v>2371.5574644498547</v>
      </c>
      <c r="P13" s="964">
        <v>684.52447551892806</v>
      </c>
      <c r="Q13" s="964">
        <v>120.26486955345442</v>
      </c>
      <c r="R13" s="964">
        <v>1006.3913738723721</v>
      </c>
      <c r="S13" s="964">
        <v>271.34594996939586</v>
      </c>
      <c r="T13" s="964">
        <v>289.03079553570433</v>
      </c>
      <c r="V13" s="3">
        <v>2019</v>
      </c>
      <c r="W13" s="964">
        <v>1819.8852980491815</v>
      </c>
      <c r="X13" s="983"/>
      <c r="Z13" s="3">
        <v>2019</v>
      </c>
      <c r="AA13" s="964">
        <v>1543.6756756756763</v>
      </c>
      <c r="AB13" s="952">
        <v>539.4411764705884</v>
      </c>
      <c r="AC13" s="954">
        <v>174.30294117647063</v>
      </c>
      <c r="AD13" s="894">
        <v>790.77058823529421</v>
      </c>
      <c r="AE13" s="894">
        <v>324.1764705882353</v>
      </c>
      <c r="AF13" s="894">
        <v>249.41764705882352</v>
      </c>
      <c r="AG13" s="965">
        <v>308.75675675675689</v>
      </c>
      <c r="AH13" s="965">
        <v>150.48648648648651</v>
      </c>
      <c r="AI13" s="965">
        <v>179.10810810810813</v>
      </c>
      <c r="AJ13" s="965">
        <v>139.86486486486484</v>
      </c>
      <c r="AM13" s="3">
        <v>2019</v>
      </c>
      <c r="AN13" s="964">
        <v>2663.3846399999998</v>
      </c>
      <c r="AO13" s="964">
        <v>795.07040000000029</v>
      </c>
      <c r="AP13" s="964">
        <v>97.319199999999981</v>
      </c>
      <c r="AQ13" s="964">
        <v>1014.1624</v>
      </c>
      <c r="AR13" s="964">
        <v>417.87840000000006</v>
      </c>
      <c r="AS13" s="964">
        <v>337.92640000000006</v>
      </c>
      <c r="AT13" s="965">
        <v>370.85235</v>
      </c>
      <c r="AU13" s="965">
        <v>337.92190210631969</v>
      </c>
      <c r="AV13" s="965">
        <v>224.6760000000001</v>
      </c>
      <c r="AW13" s="965">
        <v>253.57331811787793</v>
      </c>
    </row>
    <row r="14" spans="1:49" ht="14.4" x14ac:dyDescent="0.55000000000000004">
      <c r="A14" s="3">
        <v>2020</v>
      </c>
      <c r="B14" s="964">
        <v>2176.3926940639267</v>
      </c>
      <c r="C14" s="964">
        <v>562.38310502283105</v>
      </c>
      <c r="D14" s="964">
        <v>184.73333333333335</v>
      </c>
      <c r="E14" s="964">
        <v>844.87899543379001</v>
      </c>
      <c r="F14" s="964">
        <v>338.95251141552501</v>
      </c>
      <c r="G14" s="964">
        <v>247.85388127853881</v>
      </c>
      <c r="H14" s="965">
        <v>255.31003149590467</v>
      </c>
      <c r="I14" s="965">
        <v>220.49671216128814</v>
      </c>
      <c r="J14" s="965">
        <v>242.04105880979486</v>
      </c>
      <c r="K14" s="965">
        <v>260.81073714285714</v>
      </c>
      <c r="N14" s="3">
        <v>2020</v>
      </c>
      <c r="O14" s="964">
        <v>2428.7958724065325</v>
      </c>
      <c r="P14" s="964">
        <v>687.97064120712525</v>
      </c>
      <c r="Q14" s="964">
        <v>123.3847427102001</v>
      </c>
      <c r="R14" s="964">
        <v>1036.0067641822277</v>
      </c>
      <c r="S14" s="964">
        <v>284.94385065104797</v>
      </c>
      <c r="T14" s="964">
        <v>296.48987365593172</v>
      </c>
      <c r="V14" s="3">
        <v>2020</v>
      </c>
      <c r="W14" s="964">
        <v>1867.1208420218791</v>
      </c>
      <c r="X14" s="983"/>
      <c r="Z14" s="3">
        <v>2020</v>
      </c>
      <c r="AA14" s="964">
        <v>1581.6216216216224</v>
      </c>
      <c r="AB14" s="931">
        <v>540.68823529411782</v>
      </c>
      <c r="AC14" s="931">
        <v>173.07058823529414</v>
      </c>
      <c r="AD14" s="931">
        <v>797.99411764705894</v>
      </c>
      <c r="AE14" s="931">
        <v>331.43529411764706</v>
      </c>
      <c r="AF14" s="931">
        <v>255.62352941176471</v>
      </c>
      <c r="AG14" s="965">
        <v>316.21621621621637</v>
      </c>
      <c r="AH14" s="965">
        <v>157.56756756756761</v>
      </c>
      <c r="AI14" s="965">
        <v>180.45945945945948</v>
      </c>
      <c r="AJ14" s="965">
        <v>141.67567567567565</v>
      </c>
      <c r="AM14" s="3">
        <v>2020</v>
      </c>
      <c r="AN14" s="964">
        <v>2712.2443749999998</v>
      </c>
      <c r="AO14" s="964">
        <v>807.1750000000003</v>
      </c>
      <c r="AP14" s="964">
        <v>97.399999999999991</v>
      </c>
      <c r="AQ14" s="964">
        <v>1031.8875</v>
      </c>
      <c r="AR14" s="964">
        <v>431.36250000000007</v>
      </c>
      <c r="AS14" s="964">
        <v>343.39375000000001</v>
      </c>
      <c r="AT14" s="965">
        <v>373.40999999999997</v>
      </c>
      <c r="AU14" s="965">
        <v>347.26329184357178</v>
      </c>
      <c r="AV14" s="965">
        <v>228.5187500000001</v>
      </c>
      <c r="AW14" s="965">
        <v>258.90836984901847</v>
      </c>
    </row>
    <row r="15" spans="1:49" ht="14.4" x14ac:dyDescent="0.55000000000000004">
      <c r="A15" s="3">
        <v>2021</v>
      </c>
      <c r="B15" s="964">
        <v>2217.2488584474886</v>
      </c>
      <c r="C15" s="964">
        <v>567.55673515981732</v>
      </c>
      <c r="D15" s="964">
        <v>186.03333333333333</v>
      </c>
      <c r="E15" s="964">
        <v>861.12796803652975</v>
      </c>
      <c r="F15" s="964">
        <v>352.89257990867571</v>
      </c>
      <c r="G15" s="964">
        <v>251.90216894977169</v>
      </c>
      <c r="H15" s="965">
        <v>266.63753936988087</v>
      </c>
      <c r="I15" s="965">
        <v>233.5208902016102</v>
      </c>
      <c r="J15" s="965">
        <v>242.32883326224359</v>
      </c>
      <c r="K15" s="965">
        <v>265.49966342857141</v>
      </c>
      <c r="N15" s="3">
        <v>2021</v>
      </c>
      <c r="O15" s="964">
        <v>2482.6765131546908</v>
      </c>
      <c r="P15" s="964">
        <v>691.0496768795706</v>
      </c>
      <c r="Q15" s="964">
        <v>124.72268580355063</v>
      </c>
      <c r="R15" s="964">
        <v>1065.8616275521215</v>
      </c>
      <c r="S15" s="964">
        <v>298.51995158261752</v>
      </c>
      <c r="T15" s="964">
        <v>302.52257133683094</v>
      </c>
      <c r="V15" s="3">
        <v>2021</v>
      </c>
      <c r="W15" s="964">
        <v>1914.3563859945768</v>
      </c>
      <c r="X15" s="983"/>
      <c r="Z15" s="3">
        <v>2021</v>
      </c>
      <c r="AA15" s="964">
        <v>1619.5675675675684</v>
      </c>
      <c r="AB15" s="894">
        <v>541.93529411764723</v>
      </c>
      <c r="AC15" s="954">
        <v>171.83823529411768</v>
      </c>
      <c r="AD15" s="894">
        <v>805.21764705882367</v>
      </c>
      <c r="AE15" s="894">
        <v>338.69411764705882</v>
      </c>
      <c r="AF15" s="894">
        <v>261.82941176470587</v>
      </c>
      <c r="AG15" s="965">
        <v>323.67567567567585</v>
      </c>
      <c r="AH15" s="965">
        <v>164.6486486486487</v>
      </c>
      <c r="AI15" s="965">
        <v>181.81081081081084</v>
      </c>
      <c r="AJ15" s="965">
        <v>143.48648648648646</v>
      </c>
      <c r="AM15" s="3">
        <v>2021</v>
      </c>
      <c r="AN15" s="964">
        <v>2759.4618399999999</v>
      </c>
      <c r="AO15" s="964">
        <v>818.96240000000034</v>
      </c>
      <c r="AP15" s="964">
        <v>97.455199999999991</v>
      </c>
      <c r="AQ15" s="964">
        <v>1048.6544000000001</v>
      </c>
      <c r="AR15" s="964">
        <v>444.85040000000009</v>
      </c>
      <c r="AS15" s="964">
        <v>348.51840000000004</v>
      </c>
      <c r="AT15" s="965">
        <v>375.61734999999999</v>
      </c>
      <c r="AU15" s="965">
        <v>356.42603291899832</v>
      </c>
      <c r="AV15" s="965">
        <v>232.5560000000001</v>
      </c>
      <c r="AW15" s="965">
        <v>264.73131676564321</v>
      </c>
    </row>
    <row r="16" spans="1:49" ht="14.4" x14ac:dyDescent="0.55000000000000004">
      <c r="A16" s="3">
        <v>2022</v>
      </c>
      <c r="B16" s="964">
        <v>2258.1050228310501</v>
      </c>
      <c r="C16" s="964">
        <v>572.73036529680371</v>
      </c>
      <c r="D16" s="964">
        <v>187.33333333333334</v>
      </c>
      <c r="E16" s="964">
        <v>877.37694063926949</v>
      </c>
      <c r="F16" s="964">
        <v>366.83264840182642</v>
      </c>
      <c r="G16" s="964">
        <v>255.95045662100458</v>
      </c>
      <c r="H16" s="965">
        <v>277.96504724385699</v>
      </c>
      <c r="I16" s="965">
        <v>246.54506824193223</v>
      </c>
      <c r="J16" s="965">
        <v>242.61660771469232</v>
      </c>
      <c r="K16" s="965">
        <v>270.18858971428574</v>
      </c>
      <c r="N16" s="3">
        <v>2022</v>
      </c>
      <c r="O16" s="964">
        <v>2538.0961270540024</v>
      </c>
      <c r="P16" s="964">
        <v>694.17101526405872</v>
      </c>
      <c r="Q16" s="964">
        <v>127.04715707798537</v>
      </c>
      <c r="R16" s="964">
        <v>1095.3827631791894</v>
      </c>
      <c r="S16" s="964">
        <v>312.69116981501389</v>
      </c>
      <c r="T16" s="964">
        <v>308.80402171775478</v>
      </c>
      <c r="V16" s="3">
        <v>2022</v>
      </c>
      <c r="W16" s="964">
        <v>1961.5919299672744</v>
      </c>
      <c r="X16" s="983"/>
      <c r="Z16" s="3">
        <v>2022</v>
      </c>
      <c r="AA16" s="964">
        <v>1657.5135135135145</v>
      </c>
      <c r="AB16" s="950">
        <v>543.18235294117665</v>
      </c>
      <c r="AC16" s="950">
        <v>170.60588235294119</v>
      </c>
      <c r="AD16" s="950">
        <v>812.44117647058829</v>
      </c>
      <c r="AE16" s="950">
        <v>345.95294117647063</v>
      </c>
      <c r="AF16" s="950">
        <v>268.03529411764703</v>
      </c>
      <c r="AG16" s="965">
        <v>331.13513513513533</v>
      </c>
      <c r="AH16" s="965">
        <v>171.7297297297298</v>
      </c>
      <c r="AI16" s="965">
        <v>183.16216216216219</v>
      </c>
      <c r="AJ16" s="965">
        <v>145.29729729729726</v>
      </c>
      <c r="AM16" s="3">
        <v>2022</v>
      </c>
      <c r="AN16" s="964">
        <v>2805.0370349999998</v>
      </c>
      <c r="AO16" s="964">
        <v>830.43260000000032</v>
      </c>
      <c r="AP16" s="964">
        <v>97.484799999999979</v>
      </c>
      <c r="AQ16" s="964">
        <v>1064.4630999999999</v>
      </c>
      <c r="AR16" s="964">
        <v>458.34210000000013</v>
      </c>
      <c r="AS16" s="964">
        <v>353.30035000000004</v>
      </c>
      <c r="AT16" s="965">
        <v>377.4744</v>
      </c>
      <c r="AU16" s="965">
        <v>365.41012533259925</v>
      </c>
      <c r="AV16" s="965">
        <v>236.78775000000007</v>
      </c>
      <c r="AW16" s="965">
        <v>271.04215886775211</v>
      </c>
    </row>
    <row r="17" spans="1:49" ht="14.4" x14ac:dyDescent="0.55000000000000004">
      <c r="A17" s="3">
        <v>2023</v>
      </c>
      <c r="B17" s="964">
        <v>2298.961187214612</v>
      </c>
      <c r="C17" s="964">
        <v>577.90399543378999</v>
      </c>
      <c r="D17" s="964">
        <v>188.63333333333335</v>
      </c>
      <c r="E17" s="964">
        <v>893.62591324200923</v>
      </c>
      <c r="F17" s="964">
        <v>380.77271689497712</v>
      </c>
      <c r="G17" s="964">
        <v>259.99874429223746</v>
      </c>
      <c r="H17" s="965">
        <v>289.29255511783316</v>
      </c>
      <c r="I17" s="965">
        <v>259.56924628225426</v>
      </c>
      <c r="J17" s="965">
        <v>242.90438216714102</v>
      </c>
      <c r="K17" s="965">
        <v>274.87751600000001</v>
      </c>
      <c r="N17" s="3">
        <v>2023</v>
      </c>
      <c r="O17" s="964">
        <v>2592.808605567217</v>
      </c>
      <c r="P17" s="964">
        <v>697.30509873480696</v>
      </c>
      <c r="Q17" s="964">
        <v>129.21347776167846</v>
      </c>
      <c r="R17" s="964">
        <v>1124.3334672495189</v>
      </c>
      <c r="S17" s="964">
        <v>327.06350010066643</v>
      </c>
      <c r="T17" s="964">
        <v>314.89306172054654</v>
      </c>
      <c r="V17" s="3">
        <v>2023</v>
      </c>
      <c r="W17" s="964">
        <v>2008.8274739399722</v>
      </c>
      <c r="X17" s="983"/>
      <c r="Z17" s="3">
        <v>2023</v>
      </c>
      <c r="AA17" s="964">
        <v>1695.4594594594605</v>
      </c>
      <c r="AB17" s="950">
        <v>544.42941176470606</v>
      </c>
      <c r="AC17" s="950">
        <v>169.37352941176474</v>
      </c>
      <c r="AD17" s="950">
        <v>819.66470588235302</v>
      </c>
      <c r="AE17" s="950">
        <v>353.21176470588239</v>
      </c>
      <c r="AF17" s="950">
        <v>274.24117647058824</v>
      </c>
      <c r="AG17" s="965">
        <v>338.59459459459481</v>
      </c>
      <c r="AH17" s="965">
        <v>178.81081081081089</v>
      </c>
      <c r="AI17" s="965">
        <v>184.51351351351354</v>
      </c>
      <c r="AJ17" s="965">
        <v>147.10810810810807</v>
      </c>
      <c r="AM17" s="3">
        <v>2023</v>
      </c>
      <c r="AN17" s="964">
        <v>2848.9699599999999</v>
      </c>
      <c r="AO17" s="964">
        <v>841.58560000000034</v>
      </c>
      <c r="AP17" s="964">
        <v>97.488799999999983</v>
      </c>
      <c r="AQ17" s="964">
        <v>1079.3136</v>
      </c>
      <c r="AR17" s="964">
        <v>471.83760000000007</v>
      </c>
      <c r="AS17" s="964">
        <v>357.7396</v>
      </c>
      <c r="AT17" s="965">
        <v>378.98115000000001</v>
      </c>
      <c r="AU17" s="965">
        <v>374.21556908437469</v>
      </c>
      <c r="AV17" s="965">
        <v>241.21400000000008</v>
      </c>
      <c r="AW17" s="965">
        <v>277.84089615534521</v>
      </c>
    </row>
    <row r="18" spans="1:49" ht="14.4" x14ac:dyDescent="0.55000000000000004">
      <c r="A18" s="3">
        <v>2024</v>
      </c>
      <c r="B18" s="964">
        <v>2339.8173515981734</v>
      </c>
      <c r="C18" s="964">
        <v>583.07762557077626</v>
      </c>
      <c r="D18" s="964">
        <v>189.93333333333334</v>
      </c>
      <c r="E18" s="964">
        <v>909.87488584474897</v>
      </c>
      <c r="F18" s="964">
        <v>394.71278538812783</v>
      </c>
      <c r="G18" s="964">
        <v>264.04703196347032</v>
      </c>
      <c r="H18" s="965">
        <v>300.62006299180933</v>
      </c>
      <c r="I18" s="965">
        <v>272.59342432257631</v>
      </c>
      <c r="J18" s="965">
        <v>243.19215661958975</v>
      </c>
      <c r="K18" s="965">
        <v>279.56644228571429</v>
      </c>
      <c r="N18" s="3">
        <v>2024</v>
      </c>
      <c r="O18" s="964">
        <v>2646.8199823467448</v>
      </c>
      <c r="P18" s="964">
        <v>700.45844587228885</v>
      </c>
      <c r="Q18" s="964">
        <v>131.22623812618059</v>
      </c>
      <c r="R18" s="964">
        <v>1152.7170947974053</v>
      </c>
      <c r="S18" s="964">
        <v>341.63084175461802</v>
      </c>
      <c r="T18" s="964">
        <v>320.78736179625207</v>
      </c>
      <c r="V18" s="3">
        <v>2024</v>
      </c>
      <c r="W18" s="964">
        <v>2056.0630179126697</v>
      </c>
      <c r="X18" s="983"/>
      <c r="Z18" s="3">
        <v>2024</v>
      </c>
      <c r="AA18" s="964">
        <v>1733.4054054054066</v>
      </c>
      <c r="AB18" s="940">
        <v>545.67647058823547</v>
      </c>
      <c r="AC18" s="941">
        <v>168.14117647058828</v>
      </c>
      <c r="AD18" s="941">
        <v>826.88823529411775</v>
      </c>
      <c r="AE18" s="941">
        <v>360.47058823529414</v>
      </c>
      <c r="AF18" s="941">
        <v>280.4470588235294</v>
      </c>
      <c r="AG18" s="965">
        <v>346.05405405405429</v>
      </c>
      <c r="AH18" s="965">
        <v>185.89189189189199</v>
      </c>
      <c r="AI18" s="965">
        <v>185.8648648648649</v>
      </c>
      <c r="AJ18" s="965">
        <v>148.91891891891888</v>
      </c>
      <c r="AM18" s="3">
        <v>2024</v>
      </c>
      <c r="AN18" s="964">
        <v>2891.2606149999997</v>
      </c>
      <c r="AO18" s="964">
        <v>852.42140000000029</v>
      </c>
      <c r="AP18" s="964">
        <v>97.467199999999991</v>
      </c>
      <c r="AQ18" s="964">
        <v>1093.2059000000002</v>
      </c>
      <c r="AR18" s="964">
        <v>485.33690000000013</v>
      </c>
      <c r="AS18" s="964">
        <v>361.83615000000003</v>
      </c>
      <c r="AT18" s="965">
        <v>380.13760000000002</v>
      </c>
      <c r="AU18" s="965">
        <v>382.84236417432453</v>
      </c>
      <c r="AV18" s="965">
        <v>245.8347500000001</v>
      </c>
      <c r="AW18" s="965">
        <v>285.12752862842251</v>
      </c>
    </row>
    <row r="19" spans="1:49" ht="14.4" x14ac:dyDescent="0.55000000000000004">
      <c r="A19" s="3">
        <v>2025</v>
      </c>
      <c r="B19" s="964">
        <v>2380.6735159817354</v>
      </c>
      <c r="C19" s="964">
        <v>588.25125570776254</v>
      </c>
      <c r="D19" s="964">
        <v>191.23333333333335</v>
      </c>
      <c r="E19" s="964">
        <v>926.1238584474886</v>
      </c>
      <c r="F19" s="964">
        <v>408.65285388127847</v>
      </c>
      <c r="G19" s="964">
        <v>268.09531963470317</v>
      </c>
      <c r="H19" s="965">
        <v>311.94757086578551</v>
      </c>
      <c r="I19" s="965">
        <v>285.61760236289831</v>
      </c>
      <c r="J19" s="965">
        <v>243.47993107203845</v>
      </c>
      <c r="K19" s="965">
        <v>284.25536857142856</v>
      </c>
      <c r="N19" s="3">
        <v>2025</v>
      </c>
      <c r="O19" s="964">
        <v>2697.0513841095999</v>
      </c>
      <c r="P19" s="964">
        <v>702.42397358964251</v>
      </c>
      <c r="Q19" s="964">
        <v>133.89572889365175</v>
      </c>
      <c r="R19" s="964">
        <v>1183.4101993170696</v>
      </c>
      <c r="S19" s="964">
        <v>350.06852622482461</v>
      </c>
      <c r="T19" s="964">
        <v>327.25295608441138</v>
      </c>
      <c r="V19" s="3">
        <v>2025</v>
      </c>
      <c r="W19" s="964">
        <v>2103.2985618853672</v>
      </c>
      <c r="X19" s="983"/>
      <c r="Z19" s="3">
        <v>2025</v>
      </c>
      <c r="AA19" s="964">
        <v>1771.3513513513526</v>
      </c>
      <c r="AB19" s="940">
        <v>546.92352941176489</v>
      </c>
      <c r="AC19" s="941">
        <v>166.90882352941179</v>
      </c>
      <c r="AD19" s="941">
        <v>834.11176470588248</v>
      </c>
      <c r="AE19" s="941">
        <v>367.7294117647059</v>
      </c>
      <c r="AF19" s="941">
        <v>286.65294117647056</v>
      </c>
      <c r="AG19" s="965">
        <v>353.51351351351377</v>
      </c>
      <c r="AH19" s="965">
        <v>192.97297297297308</v>
      </c>
      <c r="AI19" s="965">
        <v>187.21621621621625</v>
      </c>
      <c r="AJ19" s="965">
        <v>150.72972972972968</v>
      </c>
      <c r="AM19" s="3">
        <v>2025</v>
      </c>
      <c r="AN19" s="964">
        <v>2931.9089999999997</v>
      </c>
      <c r="AO19" s="964">
        <v>862.94000000000028</v>
      </c>
      <c r="AP19" s="964">
        <v>97.419999999999987</v>
      </c>
      <c r="AQ19" s="964">
        <v>1106.1400000000001</v>
      </c>
      <c r="AR19" s="964">
        <v>498.84000000000015</v>
      </c>
      <c r="AS19" s="964">
        <v>365.59000000000003</v>
      </c>
      <c r="AT19" s="965">
        <v>380.94375000000002</v>
      </c>
      <c r="AU19" s="965">
        <v>391.29051060244888</v>
      </c>
      <c r="AV19" s="965">
        <v>250.65000000000009</v>
      </c>
      <c r="AW19" s="965">
        <v>292.90205628698402</v>
      </c>
    </row>
    <row r="20" spans="1:49" ht="14.4" x14ac:dyDescent="0.55000000000000004">
      <c r="A20" s="3">
        <v>2026</v>
      </c>
      <c r="B20" s="964">
        <v>2421.5296803652968</v>
      </c>
      <c r="C20" s="964">
        <v>593.42488584474881</v>
      </c>
      <c r="D20" s="964">
        <v>192.53333333333336</v>
      </c>
      <c r="E20" s="964">
        <v>942.37283105022834</v>
      </c>
      <c r="F20" s="964">
        <v>422.59292237442912</v>
      </c>
      <c r="G20" s="964">
        <v>272.14360730593609</v>
      </c>
      <c r="H20" s="965">
        <v>323.27507873976163</v>
      </c>
      <c r="I20" s="965">
        <v>298.64178040322037</v>
      </c>
      <c r="J20" s="965">
        <v>243.76770552448718</v>
      </c>
      <c r="K20" s="965">
        <v>288.94429485714284</v>
      </c>
      <c r="N20" s="3">
        <v>2026</v>
      </c>
      <c r="O20" s="964">
        <v>2740.6560723706311</v>
      </c>
      <c r="P20" s="964">
        <v>706.83336532360624</v>
      </c>
      <c r="Q20" s="964">
        <v>134.81074299762668</v>
      </c>
      <c r="R20" s="964">
        <v>1205.3033878408166</v>
      </c>
      <c r="S20" s="964">
        <v>361.72068673545971</v>
      </c>
      <c r="T20" s="964">
        <v>331.98788947312192</v>
      </c>
      <c r="V20" s="3">
        <v>2026</v>
      </c>
      <c r="W20" s="964">
        <v>2150.5341058580652</v>
      </c>
      <c r="X20" s="983"/>
      <c r="Z20" s="3">
        <v>2026</v>
      </c>
      <c r="AA20" s="964">
        <v>1809.2972972972987</v>
      </c>
      <c r="AB20" s="940">
        <v>548.1705882352943</v>
      </c>
      <c r="AC20" s="941">
        <v>165.67647058823533</v>
      </c>
      <c r="AD20" s="941">
        <v>841.33529411764721</v>
      </c>
      <c r="AE20" s="941">
        <v>374.98823529411766</v>
      </c>
      <c r="AF20" s="941">
        <v>292.85882352941178</v>
      </c>
      <c r="AG20" s="965">
        <v>360.97297297297325</v>
      </c>
      <c r="AH20" s="965">
        <v>200.05405405405418</v>
      </c>
      <c r="AI20" s="965">
        <v>188.56756756756761</v>
      </c>
      <c r="AJ20" s="965">
        <v>152.54054054054049</v>
      </c>
      <c r="AM20" s="3">
        <v>2026</v>
      </c>
      <c r="AN20" s="964">
        <v>2970.9151149999998</v>
      </c>
      <c r="AO20" s="964">
        <v>873.14140000000032</v>
      </c>
      <c r="AP20" s="964">
        <v>97.347199999999987</v>
      </c>
      <c r="AQ20" s="964">
        <v>1118.1159000000002</v>
      </c>
      <c r="AR20" s="964">
        <v>512.34690000000012</v>
      </c>
      <c r="AS20" s="964">
        <v>369.00115000000005</v>
      </c>
      <c r="AT20" s="965">
        <v>381.39960000000002</v>
      </c>
      <c r="AU20" s="965">
        <v>399.56000836874773</v>
      </c>
      <c r="AV20" s="965">
        <v>255.65975000000009</v>
      </c>
      <c r="AW20" s="965">
        <v>301.16447913102974</v>
      </c>
    </row>
    <row r="21" spans="1:49" ht="14.4" x14ac:dyDescent="0.55000000000000004">
      <c r="A21" s="3">
        <v>2027</v>
      </c>
      <c r="B21" s="964">
        <v>2462.3858447488583</v>
      </c>
      <c r="C21" s="964">
        <v>598.5985159817352</v>
      </c>
      <c r="D21" s="964">
        <v>193.83333333333334</v>
      </c>
      <c r="E21" s="964">
        <v>958.62180365296808</v>
      </c>
      <c r="F21" s="964">
        <v>436.53299086757988</v>
      </c>
      <c r="G21" s="964">
        <v>276.19189497716894</v>
      </c>
      <c r="H21" s="965">
        <v>334.6025866137378</v>
      </c>
      <c r="I21" s="965">
        <v>311.66595844354242</v>
      </c>
      <c r="J21" s="965">
        <v>244.05547997693589</v>
      </c>
      <c r="K21" s="965">
        <v>293.63322114285711</v>
      </c>
      <c r="N21" s="3">
        <v>2027</v>
      </c>
      <c r="O21" s="964">
        <v>2792.0695704303453</v>
      </c>
      <c r="P21" s="964">
        <v>710.04983459013715</v>
      </c>
      <c r="Q21" s="964">
        <v>136.3920779035532</v>
      </c>
      <c r="R21" s="964">
        <v>1231.8039985565115</v>
      </c>
      <c r="S21" s="964">
        <v>376.52806261852828</v>
      </c>
      <c r="T21" s="964">
        <v>337.29559676161529</v>
      </c>
      <c r="V21" s="3">
        <v>2027</v>
      </c>
      <c r="W21" s="964">
        <v>2197.7696498307628</v>
      </c>
      <c r="X21" s="983"/>
      <c r="Z21" s="3">
        <v>2027</v>
      </c>
      <c r="AA21" s="964">
        <v>1847.2432432432447</v>
      </c>
      <c r="AB21" s="940">
        <v>549.41764705882372</v>
      </c>
      <c r="AC21" s="941">
        <v>164.44411764705885</v>
      </c>
      <c r="AD21" s="941">
        <v>848.55882352941182</v>
      </c>
      <c r="AE21" s="941">
        <v>382.24705882352941</v>
      </c>
      <c r="AF21" s="941">
        <v>299.06470588235294</v>
      </c>
      <c r="AG21" s="965">
        <v>368.43243243243273</v>
      </c>
      <c r="AH21" s="965">
        <v>207.13513513513527</v>
      </c>
      <c r="AI21" s="965">
        <v>189.91891891891896</v>
      </c>
      <c r="AJ21" s="965">
        <v>154.3513513513513</v>
      </c>
      <c r="AM21" s="3">
        <v>2027</v>
      </c>
      <c r="AN21" s="964">
        <v>3008.2789599999996</v>
      </c>
      <c r="AO21" s="964">
        <v>883.02560000000028</v>
      </c>
      <c r="AP21" s="964">
        <v>97.248799999999989</v>
      </c>
      <c r="AQ21" s="964">
        <v>1129.1336000000001</v>
      </c>
      <c r="AR21" s="964">
        <v>525.85760000000005</v>
      </c>
      <c r="AS21" s="964">
        <v>372.06960000000004</v>
      </c>
      <c r="AT21" s="965">
        <v>381.50515000000001</v>
      </c>
      <c r="AU21" s="965">
        <v>407.65085747322087</v>
      </c>
      <c r="AV21" s="965">
        <v>260.86400000000009</v>
      </c>
      <c r="AW21" s="965">
        <v>309.91479716055966</v>
      </c>
    </row>
    <row r="22" spans="1:49" ht="14.4" x14ac:dyDescent="0.55000000000000004">
      <c r="A22" s="3">
        <v>2028</v>
      </c>
      <c r="B22" s="964">
        <v>2503.2420091324202</v>
      </c>
      <c r="C22" s="964">
        <v>603.77214611872148</v>
      </c>
      <c r="D22" s="964">
        <v>195.13333333333335</v>
      </c>
      <c r="E22" s="964">
        <v>974.87077625570782</v>
      </c>
      <c r="F22" s="964">
        <v>450.47305936073053</v>
      </c>
      <c r="G22" s="964">
        <v>280.24018264840186</v>
      </c>
      <c r="H22" s="965">
        <v>345.93009448771397</v>
      </c>
      <c r="I22" s="965">
        <v>324.69013648386442</v>
      </c>
      <c r="J22" s="965">
        <v>244.34325442938461</v>
      </c>
      <c r="K22" s="965">
        <v>298.32214742857138</v>
      </c>
      <c r="N22" s="3">
        <v>2028</v>
      </c>
      <c r="O22" s="964">
        <v>2842.7785177919823</v>
      </c>
      <c r="P22" s="964">
        <v>713.27296296209602</v>
      </c>
      <c r="Q22" s="964">
        <v>137.84157410179878</v>
      </c>
      <c r="R22" s="964">
        <v>1257.7244277350524</v>
      </c>
      <c r="S22" s="964">
        <v>391.52814598449805</v>
      </c>
      <c r="T22" s="964">
        <v>342.41140700853708</v>
      </c>
      <c r="V22" s="3">
        <v>2028</v>
      </c>
      <c r="W22" s="964">
        <v>2245.0051938034603</v>
      </c>
      <c r="X22" s="983"/>
      <c r="Z22" s="3">
        <v>2028</v>
      </c>
      <c r="AA22" s="964">
        <v>1885.1891891891908</v>
      </c>
      <c r="AB22" s="940">
        <v>550.66470588235313</v>
      </c>
      <c r="AC22" s="941">
        <v>163.21176470588239</v>
      </c>
      <c r="AD22" s="941">
        <v>855.78235294117655</v>
      </c>
      <c r="AE22" s="941">
        <v>389.50588235294117</v>
      </c>
      <c r="AF22" s="941">
        <v>305.2705882352941</v>
      </c>
      <c r="AG22" s="965">
        <v>375.89189189189221</v>
      </c>
      <c r="AH22" s="965">
        <v>214.21621621621637</v>
      </c>
      <c r="AI22" s="965">
        <v>191.27027027027032</v>
      </c>
      <c r="AJ22" s="965">
        <v>156.1621621621621</v>
      </c>
      <c r="AM22" s="3">
        <v>2028</v>
      </c>
      <c r="AN22" s="964">
        <v>3044.0005350000001</v>
      </c>
      <c r="AO22" s="964">
        <v>892.59260000000029</v>
      </c>
      <c r="AP22" s="964">
        <v>97.124799999999979</v>
      </c>
      <c r="AQ22" s="964">
        <v>1139.1931</v>
      </c>
      <c r="AR22" s="964">
        <v>539.37210000000005</v>
      </c>
      <c r="AS22" s="964">
        <v>374.79535000000004</v>
      </c>
      <c r="AT22" s="965">
        <v>381.2604</v>
      </c>
      <c r="AU22" s="965">
        <v>415.56305791586863</v>
      </c>
      <c r="AV22" s="965">
        <v>266.2627500000001</v>
      </c>
      <c r="AW22" s="965">
        <v>319.15301037557367</v>
      </c>
    </row>
    <row r="23" spans="1:49" ht="14.4" x14ac:dyDescent="0.55000000000000004">
      <c r="A23" s="3">
        <v>2029</v>
      </c>
      <c r="B23" s="964">
        <v>2544.0981735159817</v>
      </c>
      <c r="C23" s="964">
        <v>608.94577625570776</v>
      </c>
      <c r="D23" s="964">
        <v>196.43333333333334</v>
      </c>
      <c r="E23" s="964">
        <v>991.11974885844756</v>
      </c>
      <c r="F23" s="964">
        <v>464.41312785388124</v>
      </c>
      <c r="G23" s="964">
        <v>284.28847031963471</v>
      </c>
      <c r="H23" s="965">
        <v>357.25760236169015</v>
      </c>
      <c r="I23" s="965">
        <v>337.71431452418653</v>
      </c>
      <c r="J23" s="965">
        <v>244.63102888183334</v>
      </c>
      <c r="K23" s="965">
        <v>303.01107371428571</v>
      </c>
      <c r="N23" s="3">
        <v>2029</v>
      </c>
      <c r="O23" s="964">
        <v>2892.7975883199579</v>
      </c>
      <c r="P23" s="964">
        <v>716.48811315974376</v>
      </c>
      <c r="Q23" s="964">
        <v>139.16732599467858</v>
      </c>
      <c r="R23" s="964">
        <v>1283.074314579834</v>
      </c>
      <c r="S23" s="964">
        <v>406.72874626205515</v>
      </c>
      <c r="T23" s="964">
        <v>347.33908832364591</v>
      </c>
      <c r="V23" s="3">
        <v>2029</v>
      </c>
      <c r="W23" s="964">
        <v>2292.2407377761583</v>
      </c>
      <c r="X23" s="983"/>
      <c r="Z23" s="3">
        <v>2029</v>
      </c>
      <c r="AA23" s="964">
        <v>1923.1351351351368</v>
      </c>
      <c r="AB23" s="940">
        <v>551.91176470588255</v>
      </c>
      <c r="AC23" s="941">
        <v>161.9794117647059</v>
      </c>
      <c r="AD23" s="941">
        <v>863.00588235294128</v>
      </c>
      <c r="AE23" s="941">
        <v>396.76470588235298</v>
      </c>
      <c r="AF23" s="941">
        <v>311.47647058823532</v>
      </c>
      <c r="AG23" s="965">
        <v>383.3513513513517</v>
      </c>
      <c r="AH23" s="965">
        <v>221.29729729729746</v>
      </c>
      <c r="AI23" s="965">
        <v>192.62162162162167</v>
      </c>
      <c r="AJ23" s="965">
        <v>157.97297297297291</v>
      </c>
      <c r="AM23" s="3">
        <v>2029</v>
      </c>
      <c r="AN23" s="964">
        <v>3078.0798399999999</v>
      </c>
      <c r="AO23" s="964">
        <v>901.84240000000023</v>
      </c>
      <c r="AP23" s="964">
        <v>96.975199999999987</v>
      </c>
      <c r="AQ23" s="964">
        <v>1148.2944</v>
      </c>
      <c r="AR23" s="964">
        <v>552.89040000000011</v>
      </c>
      <c r="AS23" s="964">
        <v>377.17840000000001</v>
      </c>
      <c r="AT23" s="965">
        <v>380.66534999999999</v>
      </c>
      <c r="AU23" s="965">
        <v>423.29660969669067</v>
      </c>
      <c r="AV23" s="965">
        <v>271.85600000000011</v>
      </c>
      <c r="AW23" s="965">
        <v>328.87911877607195</v>
      </c>
    </row>
    <row r="24" spans="1:49" ht="14.4" x14ac:dyDescent="0.55000000000000004">
      <c r="A24" s="3">
        <v>2030</v>
      </c>
      <c r="B24" s="964">
        <v>2590</v>
      </c>
      <c r="C24" s="964">
        <v>624.29999999999995</v>
      </c>
      <c r="D24" s="964">
        <v>200</v>
      </c>
      <c r="E24" s="964">
        <v>1007.3687214611873</v>
      </c>
      <c r="F24" s="964">
        <v>478.35319634703194</v>
      </c>
      <c r="G24" s="964">
        <v>289.8</v>
      </c>
      <c r="H24" s="965">
        <v>368.58511023566632</v>
      </c>
      <c r="I24" s="965">
        <v>350.73849256450853</v>
      </c>
      <c r="J24" s="965">
        <v>244.91880333428205</v>
      </c>
      <c r="K24" s="965">
        <v>307.7</v>
      </c>
      <c r="N24" s="3">
        <v>2030</v>
      </c>
      <c r="O24" s="964">
        <v>2946.1929449831373</v>
      </c>
      <c r="P24" s="964">
        <v>717.85718351238677</v>
      </c>
      <c r="Q24" s="964">
        <v>140.78352471183331</v>
      </c>
      <c r="R24" s="964">
        <v>1311.7946664500628</v>
      </c>
      <c r="S24" s="964">
        <v>423.37901223527342</v>
      </c>
      <c r="T24" s="964">
        <v>352.37855807358102</v>
      </c>
      <c r="V24" s="3">
        <v>2030</v>
      </c>
      <c r="W24" s="964">
        <v>2339.4762817488559</v>
      </c>
      <c r="X24" s="983"/>
      <c r="Z24" s="3">
        <v>2030</v>
      </c>
      <c r="AA24" s="964">
        <v>1961.0810810810829</v>
      </c>
      <c r="AB24" s="940">
        <v>553.15882352941196</v>
      </c>
      <c r="AC24" s="941">
        <v>160.74705882352944</v>
      </c>
      <c r="AD24" s="941">
        <v>870.22941176470601</v>
      </c>
      <c r="AE24" s="941">
        <v>404.02352941176474</v>
      </c>
      <c r="AF24" s="941">
        <v>317.68235294117648</v>
      </c>
      <c r="AG24" s="965">
        <v>390.81081081081118</v>
      </c>
      <c r="AH24" s="965">
        <v>228.37837837837856</v>
      </c>
      <c r="AI24" s="965">
        <v>193.97297297297303</v>
      </c>
      <c r="AJ24" s="965">
        <v>159.78378378378372</v>
      </c>
      <c r="AM24" s="3">
        <v>2030</v>
      </c>
      <c r="AN24" s="964">
        <v>3110.5168749999998</v>
      </c>
      <c r="AO24" s="964">
        <v>910.77500000000032</v>
      </c>
      <c r="AP24" s="964">
        <v>96.799999999999983</v>
      </c>
      <c r="AQ24" s="964">
        <v>1156.4375</v>
      </c>
      <c r="AR24" s="964">
        <v>566.41250000000014</v>
      </c>
      <c r="AS24" s="964">
        <v>379.21875</v>
      </c>
      <c r="AT24" s="965">
        <v>379.72</v>
      </c>
      <c r="AU24" s="965">
        <v>430.85151281568733</v>
      </c>
      <c r="AV24" s="965">
        <v>277.64375000000007</v>
      </c>
      <c r="AW24" s="965">
        <v>339.09312236205449</v>
      </c>
    </row>
    <row r="25" spans="1:49" ht="14.4" x14ac:dyDescent="0.55000000000000004">
      <c r="A25" s="3">
        <v>2031</v>
      </c>
      <c r="B25" s="964">
        <v>2625.8105022831051</v>
      </c>
      <c r="C25" s="964">
        <v>624.38333333333333</v>
      </c>
      <c r="D25" s="964">
        <v>199.03333333333336</v>
      </c>
      <c r="E25" s="964">
        <v>1023.617694063927</v>
      </c>
      <c r="F25" s="964">
        <v>492.29326484018259</v>
      </c>
      <c r="G25" s="964">
        <v>292.38504566210042</v>
      </c>
      <c r="H25" s="965">
        <v>372.01380893553295</v>
      </c>
      <c r="I25" s="965">
        <v>358.07690523082601</v>
      </c>
      <c r="J25" s="965">
        <v>246.31332228823152</v>
      </c>
      <c r="K25" s="965">
        <v>310.13</v>
      </c>
      <c r="N25" s="3">
        <v>2031</v>
      </c>
      <c r="O25" s="964">
        <v>2990.8450283776297</v>
      </c>
      <c r="P25" s="964">
        <v>722.85122811076747</v>
      </c>
      <c r="Q25" s="964">
        <v>141.47962117139656</v>
      </c>
      <c r="R25" s="964">
        <v>1332.1089934814472</v>
      </c>
      <c r="S25" s="964">
        <v>437.75883556632976</v>
      </c>
      <c r="T25" s="964">
        <v>356.64635004768826</v>
      </c>
      <c r="V25" s="3">
        <v>2031</v>
      </c>
      <c r="W25" s="964">
        <v>2386.7118257215534</v>
      </c>
      <c r="X25" s="983"/>
      <c r="Z25" s="3">
        <v>2031</v>
      </c>
      <c r="AA25" s="964">
        <v>1999.0270270270289</v>
      </c>
      <c r="AB25" s="940">
        <v>554.40588235294126</v>
      </c>
      <c r="AC25" s="941">
        <v>159.51470588235296</v>
      </c>
      <c r="AD25" s="941">
        <v>877.45294117647063</v>
      </c>
      <c r="AE25" s="941">
        <v>411.2823529411765</v>
      </c>
      <c r="AF25" s="941">
        <v>323.88823529411764</v>
      </c>
      <c r="AG25" s="965">
        <v>398.27027027027066</v>
      </c>
      <c r="AH25" s="965">
        <v>235.45945945945965</v>
      </c>
      <c r="AI25" s="965">
        <v>195.32432432432438</v>
      </c>
      <c r="AJ25" s="965">
        <v>161.59459459459453</v>
      </c>
      <c r="AM25" s="3">
        <v>2031</v>
      </c>
      <c r="AN25" s="964">
        <v>3141.3116399999999</v>
      </c>
      <c r="AO25" s="964">
        <v>919.39040000000023</v>
      </c>
      <c r="AP25" s="964">
        <v>96.599199999999982</v>
      </c>
      <c r="AQ25" s="964">
        <v>1163.6224000000002</v>
      </c>
      <c r="AR25" s="964">
        <v>579.93840000000012</v>
      </c>
      <c r="AS25" s="964">
        <v>380.91640000000001</v>
      </c>
      <c r="AT25" s="965">
        <v>378.42435</v>
      </c>
      <c r="AU25" s="965">
        <v>438.22776727285827</v>
      </c>
      <c r="AV25" s="965">
        <v>283.62600000000009</v>
      </c>
      <c r="AW25" s="965">
        <v>349.79502113352117</v>
      </c>
    </row>
    <row r="26" spans="1:49" ht="14.4" x14ac:dyDescent="0.55000000000000004">
      <c r="A26" s="3">
        <v>2032</v>
      </c>
      <c r="B26" s="964">
        <v>2666.6666666666665</v>
      </c>
      <c r="C26" s="964">
        <v>624.4666666666667</v>
      </c>
      <c r="D26" s="964">
        <v>200.33333333333334</v>
      </c>
      <c r="E26" s="964">
        <v>1039.8666666666668</v>
      </c>
      <c r="F26" s="964">
        <v>506.23333333333329</v>
      </c>
      <c r="G26" s="964">
        <v>296.43333333333334</v>
      </c>
      <c r="H26" s="965">
        <v>375.44250763539964</v>
      </c>
      <c r="I26" s="965">
        <v>365.4153178971435</v>
      </c>
      <c r="J26" s="965">
        <v>247.70784124218105</v>
      </c>
      <c r="K26" s="965">
        <v>312.56</v>
      </c>
      <c r="N26" s="3">
        <v>2032</v>
      </c>
      <c r="O26" s="964">
        <v>3036.1005730355682</v>
      </c>
      <c r="P26" s="964">
        <v>725.60266672672617</v>
      </c>
      <c r="Q26" s="964">
        <v>142.44818369868574</v>
      </c>
      <c r="R26" s="964">
        <v>1353.9417659518137</v>
      </c>
      <c r="S26" s="964">
        <v>453.25438920222382</v>
      </c>
      <c r="T26" s="964">
        <v>360.85356745611898</v>
      </c>
      <c r="V26" s="3">
        <v>2032</v>
      </c>
      <c r="W26" s="964">
        <v>2433.9473696942509</v>
      </c>
      <c r="X26" s="983"/>
      <c r="Z26" s="3">
        <v>2032</v>
      </c>
      <c r="AA26" s="964">
        <v>2036.972972972975</v>
      </c>
      <c r="AB26" s="940">
        <v>555.65294117647068</v>
      </c>
      <c r="AC26" s="941">
        <v>158.2823529411765</v>
      </c>
      <c r="AD26" s="941">
        <v>884.67647058823536</v>
      </c>
      <c r="AE26" s="941">
        <v>418.54117647058831</v>
      </c>
      <c r="AF26" s="941">
        <v>330.09411764705879</v>
      </c>
      <c r="AG26" s="965">
        <v>405.72972972973014</v>
      </c>
      <c r="AH26" s="965">
        <v>242.54054054054075</v>
      </c>
      <c r="AI26" s="965">
        <v>196.67567567567573</v>
      </c>
      <c r="AJ26" s="965">
        <v>163.40540540540533</v>
      </c>
      <c r="AM26" s="3">
        <v>2032</v>
      </c>
      <c r="AN26" s="964">
        <v>3170.4641349999997</v>
      </c>
      <c r="AO26" s="964">
        <v>927.68860000000029</v>
      </c>
      <c r="AP26" s="964">
        <v>96.372799999999984</v>
      </c>
      <c r="AQ26" s="964">
        <v>1169.8491000000001</v>
      </c>
      <c r="AR26" s="964">
        <v>593.46810000000005</v>
      </c>
      <c r="AS26" s="964">
        <v>382.27135000000004</v>
      </c>
      <c r="AT26" s="965">
        <v>376.77840000000003</v>
      </c>
      <c r="AU26" s="965">
        <v>445.42537306820378</v>
      </c>
      <c r="AV26" s="965">
        <v>289.80275000000006</v>
      </c>
      <c r="AW26" s="965">
        <v>360.98481509047201</v>
      </c>
    </row>
    <row r="27" spans="1:49" ht="14.4" x14ac:dyDescent="0.55000000000000004">
      <c r="A27" s="3">
        <v>2033</v>
      </c>
      <c r="B27" s="964">
        <v>2707.5228310502284</v>
      </c>
      <c r="C27" s="964">
        <v>629.64029680365297</v>
      </c>
      <c r="D27" s="964">
        <v>201.63333333333335</v>
      </c>
      <c r="E27" s="964">
        <v>1056.1156392694065</v>
      </c>
      <c r="F27" s="964">
        <v>520.173401826484</v>
      </c>
      <c r="G27" s="964">
        <v>300.48162100456619</v>
      </c>
      <c r="H27" s="965">
        <v>378.87120633526627</v>
      </c>
      <c r="I27" s="965">
        <v>372.75373056346103</v>
      </c>
      <c r="J27" s="965">
        <v>249.10236019613055</v>
      </c>
      <c r="K27" s="965">
        <v>314.99</v>
      </c>
      <c r="N27" s="3">
        <v>2033</v>
      </c>
      <c r="O27" s="964">
        <v>3080.7329995652221</v>
      </c>
      <c r="P27" s="964">
        <v>728.31685300324853</v>
      </c>
      <c r="Q27" s="964">
        <v>143.32671985253569</v>
      </c>
      <c r="R27" s="964">
        <v>1375.2414581338576</v>
      </c>
      <c r="S27" s="964">
        <v>468.96155737285454</v>
      </c>
      <c r="T27" s="964">
        <v>364.88641120272581</v>
      </c>
      <c r="V27" s="3">
        <v>2033</v>
      </c>
      <c r="W27" s="964">
        <v>2481.1829136669485</v>
      </c>
      <c r="X27" s="983"/>
      <c r="Z27" s="3">
        <v>2033</v>
      </c>
      <c r="AA27" s="964">
        <v>2074.918918918921</v>
      </c>
      <c r="AB27" s="940">
        <v>556.90000000000009</v>
      </c>
      <c r="AC27" s="941">
        <v>157.05000000000001</v>
      </c>
      <c r="AD27" s="941">
        <v>891.90000000000009</v>
      </c>
      <c r="AE27" s="941">
        <v>425.80000000000007</v>
      </c>
      <c r="AF27" s="941">
        <v>336.3</v>
      </c>
      <c r="AG27" s="965">
        <v>413.18918918918962</v>
      </c>
      <c r="AH27" s="965">
        <v>249.62162162162184</v>
      </c>
      <c r="AI27" s="965">
        <v>198.02702702702709</v>
      </c>
      <c r="AJ27" s="965">
        <v>165.21621621621614</v>
      </c>
      <c r="AM27" s="3">
        <v>2033</v>
      </c>
      <c r="AN27" s="964">
        <v>3197.9743600000002</v>
      </c>
      <c r="AO27" s="964">
        <v>935.6696000000004</v>
      </c>
      <c r="AP27" s="964">
        <v>96.120799999999988</v>
      </c>
      <c r="AQ27" s="964">
        <v>1175.1176</v>
      </c>
      <c r="AR27" s="964">
        <v>607.00160000000005</v>
      </c>
      <c r="AS27" s="964">
        <v>383.28360000000004</v>
      </c>
      <c r="AT27" s="965">
        <v>374.78215</v>
      </c>
      <c r="AU27" s="965">
        <v>452.44433020172369</v>
      </c>
      <c r="AV27" s="965">
        <v>296.17400000000009</v>
      </c>
      <c r="AW27" s="965">
        <v>372.66250423290711</v>
      </c>
    </row>
    <row r="28" spans="1:49" ht="14.4" x14ac:dyDescent="0.55000000000000004">
      <c r="A28" s="3">
        <v>2034</v>
      </c>
      <c r="B28" s="964">
        <v>2748.3789954337899</v>
      </c>
      <c r="C28" s="964">
        <v>634.81392694063925</v>
      </c>
      <c r="D28" s="964">
        <v>202.93333333333334</v>
      </c>
      <c r="E28" s="964">
        <v>1072.3646118721463</v>
      </c>
      <c r="F28" s="964">
        <v>534.11347031963464</v>
      </c>
      <c r="G28" s="964">
        <v>304.52990867579911</v>
      </c>
      <c r="H28" s="965">
        <v>382.29990503513295</v>
      </c>
      <c r="I28" s="965">
        <v>380.09214322977857</v>
      </c>
      <c r="J28" s="965">
        <v>250.49687915008005</v>
      </c>
      <c r="K28" s="965">
        <v>317.42</v>
      </c>
      <c r="N28" s="3">
        <v>2034</v>
      </c>
      <c r="O28" s="964">
        <v>3124.7817048359166</v>
      </c>
      <c r="P28" s="964">
        <v>730.98681600425755</v>
      </c>
      <c r="Q28" s="964">
        <v>144.12699148794184</v>
      </c>
      <c r="R28" s="964">
        <v>1396.0262710549221</v>
      </c>
      <c r="S28" s="964">
        <v>484.89128202128057</v>
      </c>
      <c r="T28" s="964">
        <v>368.75034426751472</v>
      </c>
      <c r="V28" s="3">
        <v>2034</v>
      </c>
      <c r="W28" s="964">
        <v>2528.4184576396465</v>
      </c>
      <c r="X28" s="983"/>
      <c r="Z28" s="3">
        <v>2034</v>
      </c>
      <c r="AA28" s="964">
        <v>2112.8648648648668</v>
      </c>
      <c r="AB28" s="940">
        <v>558.14705882352951</v>
      </c>
      <c r="AC28" s="941">
        <v>155.81764705882355</v>
      </c>
      <c r="AD28" s="941">
        <v>899.12352941176482</v>
      </c>
      <c r="AE28" s="941">
        <v>433.05882352941182</v>
      </c>
      <c r="AF28" s="941">
        <v>342.50588235294117</v>
      </c>
      <c r="AG28" s="965">
        <v>420.6486486486491</v>
      </c>
      <c r="AH28" s="965">
        <v>256.70270270270294</v>
      </c>
      <c r="AI28" s="965">
        <v>199.37837837837844</v>
      </c>
      <c r="AJ28" s="965">
        <v>167.02702702702695</v>
      </c>
      <c r="AM28" s="3">
        <v>2034</v>
      </c>
      <c r="AN28" s="964">
        <v>3223.8423149999999</v>
      </c>
      <c r="AO28" s="964">
        <v>943.33340000000032</v>
      </c>
      <c r="AP28" s="964">
        <v>95.843199999999982</v>
      </c>
      <c r="AQ28" s="964">
        <v>1179.4279000000001</v>
      </c>
      <c r="AR28" s="964">
        <v>620.53890000000001</v>
      </c>
      <c r="AS28" s="964">
        <v>383.95314999999999</v>
      </c>
      <c r="AT28" s="965">
        <v>372.43560000000002</v>
      </c>
      <c r="AU28" s="965">
        <v>459.2846386734181</v>
      </c>
      <c r="AV28" s="965">
        <v>302.73975000000007</v>
      </c>
      <c r="AW28" s="965">
        <v>384.82808856082636</v>
      </c>
    </row>
    <row r="29" spans="1:49" ht="14.4" x14ac:dyDescent="0.55000000000000004">
      <c r="A29" s="3">
        <v>2035</v>
      </c>
      <c r="B29" s="964">
        <v>2789.2351598173518</v>
      </c>
      <c r="C29" s="964">
        <v>639.98755707762552</v>
      </c>
      <c r="D29" s="964">
        <v>204.23333333333335</v>
      </c>
      <c r="E29" s="964">
        <v>1088.613584474886</v>
      </c>
      <c r="F29" s="964">
        <v>548.05353881278529</v>
      </c>
      <c r="G29" s="964">
        <v>308.57819634703196</v>
      </c>
      <c r="H29" s="965">
        <v>385.72860373499964</v>
      </c>
      <c r="I29" s="965">
        <v>387.43055589609605</v>
      </c>
      <c r="J29" s="965">
        <v>251.89139810402955</v>
      </c>
      <c r="K29" s="965">
        <v>319.85000000000002</v>
      </c>
      <c r="N29" s="3">
        <v>2035</v>
      </c>
      <c r="O29" s="964">
        <v>3168.6563383823504</v>
      </c>
      <c r="P29" s="964">
        <v>734.91327434340235</v>
      </c>
      <c r="Q29" s="964">
        <v>144.57191689354096</v>
      </c>
      <c r="R29" s="964">
        <v>1416.8446882860253</v>
      </c>
      <c r="S29" s="964">
        <v>499.92791160981898</v>
      </c>
      <c r="T29" s="964">
        <v>372.39854724956302</v>
      </c>
      <c r="V29" s="3">
        <v>2035</v>
      </c>
      <c r="W29" s="964">
        <v>2575.654001612344</v>
      </c>
      <c r="X29" s="983"/>
      <c r="Z29" s="3">
        <v>2035</v>
      </c>
      <c r="AA29" s="964">
        <v>2150.8108108108127</v>
      </c>
      <c r="AB29" s="940">
        <v>559.39411764705892</v>
      </c>
      <c r="AC29" s="941">
        <v>154.58529411764709</v>
      </c>
      <c r="AD29" s="941">
        <v>906.34705882352955</v>
      </c>
      <c r="AE29" s="941">
        <v>440.31764705882358</v>
      </c>
      <c r="AF29" s="941">
        <v>348.71176470588233</v>
      </c>
      <c r="AG29" s="965">
        <v>428.10810810810858</v>
      </c>
      <c r="AH29" s="965">
        <v>263.78378378378403</v>
      </c>
      <c r="AI29" s="965">
        <v>200.7297297297298</v>
      </c>
      <c r="AJ29" s="965">
        <v>168.83783783783775</v>
      </c>
      <c r="AM29" s="3">
        <v>2035</v>
      </c>
      <c r="AN29" s="964">
        <v>3248.0679999999998</v>
      </c>
      <c r="AO29" s="964">
        <v>950.68000000000029</v>
      </c>
      <c r="AP29" s="964">
        <v>95.539999999999978</v>
      </c>
      <c r="AQ29" s="964">
        <v>1182.7800000000002</v>
      </c>
      <c r="AR29" s="964">
        <v>634.08000000000015</v>
      </c>
      <c r="AS29" s="964">
        <v>384.28000000000003</v>
      </c>
      <c r="AT29" s="965">
        <v>369.73874999999998</v>
      </c>
      <c r="AU29" s="965">
        <v>465.94629848328691</v>
      </c>
      <c r="AV29" s="965">
        <v>309.50000000000011</v>
      </c>
      <c r="AW29" s="965">
        <v>397.48156807422981</v>
      </c>
    </row>
    <row r="30" spans="1:49" ht="14.4" x14ac:dyDescent="0.55000000000000004">
      <c r="A30" s="3">
        <v>2036</v>
      </c>
      <c r="B30" s="964">
        <v>2830.0913242009133</v>
      </c>
      <c r="C30" s="964">
        <v>645.1611872146118</v>
      </c>
      <c r="D30" s="964">
        <v>205.53333333333336</v>
      </c>
      <c r="E30" s="964">
        <v>1104.8625570776258</v>
      </c>
      <c r="F30" s="964">
        <v>561.99360730593605</v>
      </c>
      <c r="G30" s="964">
        <v>312.62648401826482</v>
      </c>
      <c r="H30" s="965">
        <v>389.15730243486627</v>
      </c>
      <c r="I30" s="965">
        <v>394.76896856241353</v>
      </c>
      <c r="J30" s="965">
        <v>253.28591705797905</v>
      </c>
      <c r="K30" s="965">
        <v>322.28000000000003</v>
      </c>
      <c r="N30" s="3">
        <v>2036</v>
      </c>
      <c r="O30" s="964">
        <v>3211.3073020777806</v>
      </c>
      <c r="P30" s="964">
        <v>736.16871544381502</v>
      </c>
      <c r="Q30" s="964">
        <v>145.53402610057523</v>
      </c>
      <c r="R30" s="964">
        <v>1436.1464290922665</v>
      </c>
      <c r="S30" s="964">
        <v>517.46143804552003</v>
      </c>
      <c r="T30" s="964">
        <v>375.99669339560387</v>
      </c>
      <c r="V30" s="3">
        <v>2036</v>
      </c>
      <c r="W30" s="964">
        <v>2622.8895455850416</v>
      </c>
      <c r="X30" s="983"/>
      <c r="Z30" s="3">
        <v>2036</v>
      </c>
      <c r="AA30" s="964">
        <v>2188.7567567567585</v>
      </c>
      <c r="AB30" s="940">
        <v>560.64117647058833</v>
      </c>
      <c r="AC30" s="941">
        <v>153.35294117647061</v>
      </c>
      <c r="AD30" s="941">
        <v>913.57058823529428</v>
      </c>
      <c r="AE30" s="941">
        <v>447.57647058823534</v>
      </c>
      <c r="AF30" s="941">
        <v>354.91764705882349</v>
      </c>
      <c r="AG30" s="965">
        <v>435.56756756756806</v>
      </c>
      <c r="AH30" s="965">
        <v>270.86486486486513</v>
      </c>
      <c r="AI30" s="965">
        <v>202.08108108108115</v>
      </c>
      <c r="AJ30" s="965">
        <v>170.64864864864856</v>
      </c>
      <c r="AM30" s="3">
        <v>2036</v>
      </c>
      <c r="AN30" s="964">
        <v>3270.6514149999998</v>
      </c>
      <c r="AO30" s="964">
        <v>957.7094000000003</v>
      </c>
      <c r="AP30" s="964">
        <v>95.211199999999991</v>
      </c>
      <c r="AQ30" s="964">
        <v>1185.1739000000002</v>
      </c>
      <c r="AR30" s="964">
        <v>647.62490000000003</v>
      </c>
      <c r="AS30" s="964">
        <v>384.26415000000003</v>
      </c>
      <c r="AT30" s="965">
        <v>366.69159999999999</v>
      </c>
      <c r="AU30" s="965">
        <v>472.42930963133017</v>
      </c>
      <c r="AV30" s="965">
        <v>316.4547500000001</v>
      </c>
      <c r="AW30" s="965">
        <v>410.62294277311742</v>
      </c>
    </row>
    <row r="31" spans="1:49" ht="14.4" x14ac:dyDescent="0.55000000000000004">
      <c r="A31" s="3">
        <v>2037</v>
      </c>
      <c r="B31" s="964">
        <v>2870.9474885844747</v>
      </c>
      <c r="C31" s="964">
        <v>650.33481735159819</v>
      </c>
      <c r="D31" s="964">
        <v>206.83333333333334</v>
      </c>
      <c r="E31" s="964">
        <v>1121.1115296803655</v>
      </c>
      <c r="F31" s="964">
        <v>575.9336757990867</v>
      </c>
      <c r="G31" s="964">
        <v>316.67477168949773</v>
      </c>
      <c r="H31" s="965">
        <v>392.58600113473295</v>
      </c>
      <c r="I31" s="965">
        <v>402.10738122873101</v>
      </c>
      <c r="J31" s="965">
        <v>254.68043601192858</v>
      </c>
      <c r="K31" s="965">
        <v>324.71000000000004</v>
      </c>
      <c r="N31" s="3">
        <v>2037</v>
      </c>
      <c r="O31" s="964">
        <v>3253.8844575884582</v>
      </c>
      <c r="P31" s="964">
        <v>738.66954786819213</v>
      </c>
      <c r="Q31" s="964">
        <v>146.1568727069662</v>
      </c>
      <c r="R31" s="964">
        <v>1455.5427105359022</v>
      </c>
      <c r="S31" s="964">
        <v>534.1217751233828</v>
      </c>
      <c r="T31" s="964">
        <v>379.39355135401496</v>
      </c>
      <c r="V31" s="3">
        <v>2037</v>
      </c>
      <c r="W31" s="964">
        <v>2670.1250895577396</v>
      </c>
      <c r="X31" s="983"/>
      <c r="Z31" s="3">
        <v>2037</v>
      </c>
      <c r="AA31" s="964">
        <v>2226.7027027027043</v>
      </c>
      <c r="AB31" s="940">
        <v>561.88823529411775</v>
      </c>
      <c r="AC31" s="941">
        <v>152.12058823529415</v>
      </c>
      <c r="AD31" s="941">
        <v>920.7941176470589</v>
      </c>
      <c r="AE31" s="941">
        <v>454.83529411764709</v>
      </c>
      <c r="AF31" s="941">
        <v>361.12352941176471</v>
      </c>
      <c r="AG31" s="965">
        <v>443.02702702702754</v>
      </c>
      <c r="AH31" s="965">
        <v>277.94594594594622</v>
      </c>
      <c r="AI31" s="965">
        <v>203.43243243243251</v>
      </c>
      <c r="AJ31" s="965">
        <v>172.45945945945937</v>
      </c>
      <c r="AM31" s="3">
        <v>2037</v>
      </c>
      <c r="AN31" s="964">
        <v>3291.59256</v>
      </c>
      <c r="AO31" s="964">
        <v>964.42160000000035</v>
      </c>
      <c r="AP31" s="964">
        <v>94.856799999999978</v>
      </c>
      <c r="AQ31" s="964">
        <v>1186.6096000000002</v>
      </c>
      <c r="AR31" s="964">
        <v>661.17360000000008</v>
      </c>
      <c r="AS31" s="964">
        <v>383.90559999999999</v>
      </c>
      <c r="AT31" s="965">
        <v>363.29415000000006</v>
      </c>
      <c r="AU31" s="965">
        <v>478.73367211754788</v>
      </c>
      <c r="AV31" s="965">
        <v>323.60400000000004</v>
      </c>
      <c r="AW31" s="965">
        <v>424.25221265748928</v>
      </c>
    </row>
    <row r="32" spans="1:49" ht="14.4" x14ac:dyDescent="0.55000000000000004">
      <c r="A32" s="3">
        <v>2038</v>
      </c>
      <c r="B32" s="964">
        <v>2911.8036529680367</v>
      </c>
      <c r="C32" s="964">
        <v>655.50844748858447</v>
      </c>
      <c r="D32" s="964">
        <v>208.13333333333335</v>
      </c>
      <c r="E32" s="964">
        <v>1137.3605022831052</v>
      </c>
      <c r="F32" s="964">
        <v>589.87374429223735</v>
      </c>
      <c r="G32" s="964">
        <v>320.72305936073059</v>
      </c>
      <c r="H32" s="965">
        <v>396.01469983459958</v>
      </c>
      <c r="I32" s="965">
        <v>409.44579389504855</v>
      </c>
      <c r="J32" s="965">
        <v>256.07495496587808</v>
      </c>
      <c r="K32" s="965">
        <v>327.14</v>
      </c>
      <c r="N32" s="3">
        <v>2038</v>
      </c>
      <c r="O32" s="964">
        <v>3296.0788634214973</v>
      </c>
      <c r="P32" s="964">
        <v>741.10538222765774</v>
      </c>
      <c r="Q32" s="964">
        <v>146.73652617575218</v>
      </c>
      <c r="R32" s="964">
        <v>1474.5435141803939</v>
      </c>
      <c r="S32" s="964">
        <v>551.04293966971829</v>
      </c>
      <c r="T32" s="964">
        <v>382.65050116797516</v>
      </c>
      <c r="V32" s="3">
        <v>2038</v>
      </c>
      <c r="W32" s="964">
        <v>2717.3606335304371</v>
      </c>
      <c r="X32" s="983"/>
      <c r="Z32" s="3">
        <v>2038</v>
      </c>
      <c r="AA32" s="964">
        <v>2264.6486486486501</v>
      </c>
      <c r="AB32" s="940">
        <v>563.13529411764716</v>
      </c>
      <c r="AC32" s="941">
        <v>150.88823529411766</v>
      </c>
      <c r="AD32" s="941">
        <v>928.01764705882363</v>
      </c>
      <c r="AE32" s="941">
        <v>462.09411764705885</v>
      </c>
      <c r="AF32" s="941">
        <v>367.32941176470587</v>
      </c>
      <c r="AG32" s="965">
        <v>450.48648648648702</v>
      </c>
      <c r="AH32" s="965">
        <v>285.02702702702732</v>
      </c>
      <c r="AI32" s="965">
        <v>204.78378378378386</v>
      </c>
      <c r="AJ32" s="965">
        <v>174.27027027027017</v>
      </c>
      <c r="AM32" s="3">
        <v>2038</v>
      </c>
      <c r="AN32" s="964">
        <v>3310.8914349999995</v>
      </c>
      <c r="AO32" s="964">
        <v>970.81660000000034</v>
      </c>
      <c r="AP32" s="964">
        <v>94.476799999999983</v>
      </c>
      <c r="AQ32" s="964">
        <v>1187.0871000000002</v>
      </c>
      <c r="AR32" s="964">
        <v>674.72610000000009</v>
      </c>
      <c r="AS32" s="964">
        <v>383.20434999999998</v>
      </c>
      <c r="AT32" s="965">
        <v>359.54640000000006</v>
      </c>
      <c r="AU32" s="965">
        <v>484.8593859419401</v>
      </c>
      <c r="AV32" s="965">
        <v>330.94775000000004</v>
      </c>
      <c r="AW32" s="965">
        <v>438.3693777273453</v>
      </c>
    </row>
    <row r="33" spans="1:51" ht="14.4" x14ac:dyDescent="0.55000000000000004">
      <c r="A33" s="3">
        <v>2039</v>
      </c>
      <c r="B33" s="964">
        <v>2952.6598173515981</v>
      </c>
      <c r="C33" s="964">
        <v>660.68207762557074</v>
      </c>
      <c r="D33" s="964">
        <v>209.43333333333334</v>
      </c>
      <c r="E33" s="964">
        <v>1153.609474885845</v>
      </c>
      <c r="F33" s="964">
        <v>603.81381278538811</v>
      </c>
      <c r="G33" s="964">
        <v>324.7713470319635</v>
      </c>
      <c r="H33" s="965">
        <v>399.44339853446627</v>
      </c>
      <c r="I33" s="965">
        <v>416.78420656136609</v>
      </c>
      <c r="J33" s="965">
        <v>257.46947391982758</v>
      </c>
      <c r="K33" s="965">
        <v>329.57000000000005</v>
      </c>
      <c r="N33" s="3">
        <v>2039</v>
      </c>
      <c r="O33" s="964">
        <v>3337.9516624658163</v>
      </c>
      <c r="P33" s="964">
        <v>743.47391388667688</v>
      </c>
      <c r="Q33" s="964">
        <v>147.28068913401398</v>
      </c>
      <c r="R33" s="964">
        <v>1493.1886063550071</v>
      </c>
      <c r="S33" s="964">
        <v>568.23182318433999</v>
      </c>
      <c r="T33" s="964">
        <v>385.77662990577835</v>
      </c>
      <c r="V33" s="3">
        <v>2039</v>
      </c>
      <c r="W33" s="964">
        <v>2764.5961775031346</v>
      </c>
      <c r="X33" s="983"/>
      <c r="Z33" s="3">
        <v>2039</v>
      </c>
      <c r="AA33" s="964">
        <v>2302.5945945945959</v>
      </c>
      <c r="AB33" s="940">
        <v>564.38235294117658</v>
      </c>
      <c r="AC33" s="941">
        <v>149.65588235294121</v>
      </c>
      <c r="AD33" s="941">
        <v>935.24117647058836</v>
      </c>
      <c r="AE33" s="941">
        <v>469.35294117647061</v>
      </c>
      <c r="AF33" s="941">
        <v>373.53529411764703</v>
      </c>
      <c r="AG33" s="965">
        <v>457.94594594594651</v>
      </c>
      <c r="AH33" s="965">
        <v>292.10810810810841</v>
      </c>
      <c r="AI33" s="965">
        <v>206.13513513513522</v>
      </c>
      <c r="AJ33" s="965">
        <v>176.08108108108098</v>
      </c>
      <c r="AM33" s="3">
        <v>2039</v>
      </c>
      <c r="AN33" s="964">
        <v>3328.5480399999997</v>
      </c>
      <c r="AO33" s="964">
        <v>976.89440000000025</v>
      </c>
      <c r="AP33" s="964">
        <v>94.071199999999976</v>
      </c>
      <c r="AQ33" s="964">
        <v>1186.6064000000001</v>
      </c>
      <c r="AR33" s="964">
        <v>688.28240000000005</v>
      </c>
      <c r="AS33" s="964">
        <v>382.16040000000004</v>
      </c>
      <c r="AT33" s="965">
        <v>355.44835</v>
      </c>
      <c r="AU33" s="965">
        <v>490.80645110450666</v>
      </c>
      <c r="AV33" s="965">
        <v>338.4860000000001</v>
      </c>
      <c r="AW33" s="965">
        <v>452.97443798268557</v>
      </c>
    </row>
    <row r="34" spans="1:51" ht="14.4" x14ac:dyDescent="0.55000000000000004">
      <c r="A34" s="3">
        <v>2040</v>
      </c>
      <c r="B34" s="964">
        <v>2993.5159817351596</v>
      </c>
      <c r="C34" s="964">
        <v>665.85570776255702</v>
      </c>
      <c r="D34" s="964">
        <v>210.73333333333335</v>
      </c>
      <c r="E34" s="964">
        <v>1169.8584474885847</v>
      </c>
      <c r="F34" s="964">
        <v>617.75388127853876</v>
      </c>
      <c r="G34" s="964">
        <v>328.81963470319636</v>
      </c>
      <c r="H34" s="965">
        <v>402.87209723433295</v>
      </c>
      <c r="I34" s="965">
        <v>424.12261922768357</v>
      </c>
      <c r="J34" s="965">
        <v>258.86399287377708</v>
      </c>
      <c r="K34" s="965">
        <v>332</v>
      </c>
      <c r="N34" s="3">
        <v>2040</v>
      </c>
      <c r="O34" s="964">
        <v>3369.0887879842435</v>
      </c>
      <c r="P34" s="964">
        <v>745.51159458121913</v>
      </c>
      <c r="Q34" s="964">
        <v>147.27581308147904</v>
      </c>
      <c r="R34" s="964">
        <v>1505.9921505358254</v>
      </c>
      <c r="S34" s="964">
        <v>582.41942709911052</v>
      </c>
      <c r="T34" s="964">
        <v>387.88980268660896</v>
      </c>
      <c r="V34" s="3">
        <v>2040</v>
      </c>
      <c r="W34" s="964">
        <v>2811.8317214758326</v>
      </c>
      <c r="X34" s="983"/>
      <c r="Z34" s="3">
        <v>2040</v>
      </c>
      <c r="AA34" s="964">
        <v>2340.5405405405418</v>
      </c>
      <c r="AB34" s="940">
        <v>565.62941176470599</v>
      </c>
      <c r="AC34" s="941">
        <v>148.42352941176472</v>
      </c>
      <c r="AD34" s="941">
        <v>942.46470588235309</v>
      </c>
      <c r="AE34" s="941">
        <v>476.61176470588242</v>
      </c>
      <c r="AF34" s="941">
        <v>379.74117647058824</v>
      </c>
      <c r="AG34" s="965">
        <v>465.40540540540599</v>
      </c>
      <c r="AH34" s="965">
        <v>299.18918918918951</v>
      </c>
      <c r="AI34" s="965">
        <v>207.48648648648657</v>
      </c>
      <c r="AJ34" s="965">
        <v>177.89189189189179</v>
      </c>
      <c r="AM34" s="3">
        <v>2040</v>
      </c>
      <c r="AN34" s="964">
        <v>3344.5623749999995</v>
      </c>
      <c r="AO34" s="964">
        <v>982.6550000000002</v>
      </c>
      <c r="AP34" s="964">
        <v>93.639999999999986</v>
      </c>
      <c r="AQ34" s="964">
        <v>1185.1675</v>
      </c>
      <c r="AR34" s="964">
        <v>701.84249999999997</v>
      </c>
      <c r="AS34" s="964">
        <v>380.77375000000001</v>
      </c>
      <c r="AT34" s="965">
        <v>351</v>
      </c>
      <c r="AU34" s="965">
        <v>496.57486760524773</v>
      </c>
      <c r="AV34" s="965">
        <v>346.21875000000006</v>
      </c>
      <c r="AW34" s="965">
        <v>468.06739342351</v>
      </c>
    </row>
    <row r="35" spans="1:51" ht="14.4" x14ac:dyDescent="0.55000000000000004">
      <c r="A35" s="3">
        <v>2041</v>
      </c>
      <c r="B35" s="964">
        <v>3034.3721461187215</v>
      </c>
      <c r="C35" s="964">
        <v>671.02933789954341</v>
      </c>
      <c r="D35" s="964">
        <v>212.03333333333336</v>
      </c>
      <c r="E35" s="964">
        <v>1186.1074200913242</v>
      </c>
      <c r="F35" s="964">
        <v>631.69394977168952</v>
      </c>
      <c r="G35" s="964">
        <v>332.86792237442921</v>
      </c>
      <c r="H35" s="965">
        <v>406.30079593419958</v>
      </c>
      <c r="I35" s="965">
        <v>431.46103189400105</v>
      </c>
      <c r="J35" s="965">
        <v>260.25851182772658</v>
      </c>
      <c r="K35" s="965">
        <v>334.43</v>
      </c>
      <c r="N35" s="3">
        <v>2041</v>
      </c>
      <c r="O35" s="964">
        <v>3420.9991778965214</v>
      </c>
      <c r="P35" s="964">
        <v>747.99540328884825</v>
      </c>
      <c r="Q35" s="964">
        <v>148.29200140159796</v>
      </c>
      <c r="R35" s="964">
        <v>1529.5826486353606</v>
      </c>
      <c r="S35" s="964">
        <v>603.45523641603427</v>
      </c>
      <c r="T35" s="964">
        <v>391.67388815467962</v>
      </c>
      <c r="V35" s="3">
        <v>2041</v>
      </c>
      <c r="W35" s="964">
        <v>2859.0672654485297</v>
      </c>
      <c r="X35" s="983"/>
      <c r="Z35" s="3">
        <v>2041</v>
      </c>
      <c r="AA35" s="964">
        <v>2378.4864864864876</v>
      </c>
      <c r="AB35" s="940">
        <v>566.87647058823541</v>
      </c>
      <c r="AC35" s="941">
        <v>147.19117647058826</v>
      </c>
      <c r="AD35" s="941">
        <v>949.6882352941177</v>
      </c>
      <c r="AE35" s="941">
        <v>483.87058823529418</v>
      </c>
      <c r="AF35" s="941">
        <v>385.9470588235294</v>
      </c>
      <c r="AG35" s="965">
        <v>472.86486486486547</v>
      </c>
      <c r="AH35" s="965">
        <v>306.2702702702706</v>
      </c>
      <c r="AI35" s="965">
        <v>208.83783783783792</v>
      </c>
      <c r="AJ35" s="965">
        <v>179.7027027027026</v>
      </c>
      <c r="AM35" s="3">
        <v>2041</v>
      </c>
      <c r="AN35" s="964">
        <v>3358.9344399999995</v>
      </c>
      <c r="AO35" s="964">
        <v>988.0984000000002</v>
      </c>
      <c r="AP35" s="964">
        <v>93.183199999999985</v>
      </c>
      <c r="AQ35" s="964">
        <v>1182.7704000000001</v>
      </c>
      <c r="AR35" s="964">
        <v>715.40640000000008</v>
      </c>
      <c r="AS35" s="964">
        <v>379.0444</v>
      </c>
      <c r="AT35" s="965">
        <v>346.20135000000005</v>
      </c>
      <c r="AU35" s="965">
        <v>502.16463544416331</v>
      </c>
      <c r="AV35" s="965">
        <v>354.14600000000007</v>
      </c>
      <c r="AW35" s="965">
        <v>483.64824404981869</v>
      </c>
    </row>
    <row r="36" spans="1:51" ht="14.4" x14ac:dyDescent="0.55000000000000004">
      <c r="A36" s="3">
        <v>2042</v>
      </c>
      <c r="B36" s="964">
        <v>3075.2283105022834</v>
      </c>
      <c r="C36" s="964">
        <v>676.20296803652968</v>
      </c>
      <c r="D36" s="964">
        <v>213.33333333333337</v>
      </c>
      <c r="E36" s="964">
        <v>1202.356392694064</v>
      </c>
      <c r="F36" s="964">
        <v>645.63401826484017</v>
      </c>
      <c r="G36" s="964">
        <v>336.91621004566207</v>
      </c>
      <c r="H36" s="965">
        <v>409.72949463406627</v>
      </c>
      <c r="I36" s="965">
        <v>438.79944456031853</v>
      </c>
      <c r="J36" s="965">
        <v>261.65303078167608</v>
      </c>
      <c r="K36" s="965">
        <v>336.86</v>
      </c>
      <c r="N36" s="3">
        <v>2042</v>
      </c>
      <c r="O36" s="964">
        <v>3458.8400597978816</v>
      </c>
      <c r="P36" s="964">
        <v>749.79368295356608</v>
      </c>
      <c r="Q36" s="964">
        <v>148.6626810381845</v>
      </c>
      <c r="R36" s="964">
        <v>1545.1012088385505</v>
      </c>
      <c r="S36" s="964">
        <v>620.9922677625807</v>
      </c>
      <c r="T36" s="964">
        <v>394.29021920499969</v>
      </c>
      <c r="V36" s="3">
        <v>2042</v>
      </c>
      <c r="W36" s="964">
        <v>2906.3028094212277</v>
      </c>
      <c r="X36" s="983"/>
      <c r="Z36" s="3">
        <v>2042</v>
      </c>
      <c r="AA36" s="964">
        <v>2416.4324324324334</v>
      </c>
      <c r="AB36" s="940">
        <v>568.12352941176482</v>
      </c>
      <c r="AC36" s="941">
        <v>145.9588235294118</v>
      </c>
      <c r="AD36" s="941">
        <v>956.91176470588243</v>
      </c>
      <c r="AE36" s="941">
        <v>491.12941176470594</v>
      </c>
      <c r="AF36" s="941">
        <v>392.15294117647056</v>
      </c>
      <c r="AG36" s="965">
        <v>480.32432432432495</v>
      </c>
      <c r="AH36" s="965">
        <v>313.3513513513517</v>
      </c>
      <c r="AI36" s="965">
        <v>210.18918918918928</v>
      </c>
      <c r="AJ36" s="965">
        <v>181.5135135135134</v>
      </c>
      <c r="AM36" s="3">
        <v>2042</v>
      </c>
      <c r="AN36" s="964">
        <v>3371.6642349999997</v>
      </c>
      <c r="AO36" s="964">
        <v>993.22460000000024</v>
      </c>
      <c r="AP36" s="964">
        <v>92.700799999999987</v>
      </c>
      <c r="AQ36" s="964">
        <v>1179.4151000000002</v>
      </c>
      <c r="AR36" s="964">
        <v>728.97410000000013</v>
      </c>
      <c r="AS36" s="964">
        <v>376.97235000000001</v>
      </c>
      <c r="AT36" s="965">
        <v>341.05240000000003</v>
      </c>
      <c r="AU36" s="965">
        <v>507.57575462125328</v>
      </c>
      <c r="AV36" s="965">
        <v>362.26775000000009</v>
      </c>
      <c r="AW36" s="965">
        <v>499.71698986161147</v>
      </c>
    </row>
    <row r="37" spans="1:51" ht="14.4" x14ac:dyDescent="0.55000000000000004">
      <c r="A37" s="3">
        <v>2043</v>
      </c>
      <c r="B37" s="964">
        <v>3116.0844748858449</v>
      </c>
      <c r="C37" s="964">
        <v>681.37659817351596</v>
      </c>
      <c r="D37" s="964">
        <v>214.63333333333335</v>
      </c>
      <c r="E37" s="964">
        <v>1218.6053652968037</v>
      </c>
      <c r="F37" s="964">
        <v>659.57408675799081</v>
      </c>
      <c r="G37" s="964">
        <v>340.96449771689498</v>
      </c>
      <c r="H37" s="965">
        <v>413.1581933339329</v>
      </c>
      <c r="I37" s="965">
        <v>446.13785722663607</v>
      </c>
      <c r="J37" s="965">
        <v>263.04754973562558</v>
      </c>
      <c r="K37" s="965">
        <v>339.29</v>
      </c>
      <c r="N37" s="3">
        <v>2043</v>
      </c>
      <c r="O37" s="964">
        <v>3496.6194084398057</v>
      </c>
      <c r="P37" s="964">
        <v>751.50921173644122</v>
      </c>
      <c r="Q37" s="964">
        <v>149.02438250815572</v>
      </c>
      <c r="R37" s="964">
        <v>1560.4398843255683</v>
      </c>
      <c r="S37" s="964">
        <v>638.83367903698525</v>
      </c>
      <c r="T37" s="964">
        <v>396.81225083265497</v>
      </c>
      <c r="V37" s="3">
        <v>2043</v>
      </c>
      <c r="W37" s="964">
        <v>2953.5383533939253</v>
      </c>
      <c r="X37" s="983"/>
      <c r="Z37" s="3">
        <v>2043</v>
      </c>
      <c r="AA37" s="964">
        <v>2454.3783783783792</v>
      </c>
      <c r="AB37" s="940">
        <v>569.37058823529424</v>
      </c>
      <c r="AC37" s="941">
        <v>144.72647058823532</v>
      </c>
      <c r="AD37" s="941">
        <v>964.13529411764716</v>
      </c>
      <c r="AE37" s="941">
        <v>498.38823529411775</v>
      </c>
      <c r="AF37" s="941">
        <v>398.35882352941178</v>
      </c>
      <c r="AG37" s="965">
        <v>487.78378378378443</v>
      </c>
      <c r="AH37" s="965">
        <v>320.43243243243279</v>
      </c>
      <c r="AI37" s="965">
        <v>211.54054054054063</v>
      </c>
      <c r="AJ37" s="965">
        <v>183.32432432432421</v>
      </c>
      <c r="AM37" s="3">
        <v>2043</v>
      </c>
      <c r="AN37" s="964">
        <v>3382.7517599999996</v>
      </c>
      <c r="AO37" s="964">
        <v>998.03360000000021</v>
      </c>
      <c r="AP37" s="964">
        <v>92.192799999999977</v>
      </c>
      <c r="AQ37" s="964">
        <v>1175.1016</v>
      </c>
      <c r="AR37" s="964">
        <v>742.54560000000004</v>
      </c>
      <c r="AS37" s="964">
        <v>374.55759999999998</v>
      </c>
      <c r="AT37" s="965">
        <v>335.55315000000007</v>
      </c>
      <c r="AU37" s="965">
        <v>512.80822513651765</v>
      </c>
      <c r="AV37" s="965">
        <v>370.58400000000006</v>
      </c>
      <c r="AW37" s="965">
        <v>516.27363085888851</v>
      </c>
    </row>
    <row r="38" spans="1:51" ht="14.4" x14ac:dyDescent="0.55000000000000004">
      <c r="A38" s="3">
        <v>2044</v>
      </c>
      <c r="B38" s="964">
        <v>3156.9406392694063</v>
      </c>
      <c r="C38" s="964">
        <v>686.55022831050223</v>
      </c>
      <c r="D38" s="964">
        <v>215.93333333333337</v>
      </c>
      <c r="E38" s="964">
        <v>1234.8543378995435</v>
      </c>
      <c r="F38" s="964">
        <v>673.51415525114157</v>
      </c>
      <c r="G38" s="964">
        <v>345.01278538812784</v>
      </c>
      <c r="H38" s="965">
        <v>416.58689203379959</v>
      </c>
      <c r="I38" s="965">
        <v>453.47626989295361</v>
      </c>
      <c r="J38" s="965">
        <v>264.44206868957508</v>
      </c>
      <c r="K38" s="965">
        <v>341.72</v>
      </c>
      <c r="N38" s="3">
        <v>2044</v>
      </c>
      <c r="O38" s="964">
        <v>3534.4134931625713</v>
      </c>
      <c r="P38" s="964">
        <v>753.14003148147185</v>
      </c>
      <c r="Q38" s="964">
        <v>149.38074341907657</v>
      </c>
      <c r="R38" s="964">
        <v>1575.6459817712016</v>
      </c>
      <c r="S38" s="964">
        <v>656.99658767717381</v>
      </c>
      <c r="T38" s="964">
        <v>399.25014881364723</v>
      </c>
      <c r="V38" s="3">
        <v>2044</v>
      </c>
      <c r="W38" s="964">
        <v>3000.7738973666228</v>
      </c>
      <c r="X38" s="983"/>
      <c r="Z38" s="3">
        <v>2044</v>
      </c>
      <c r="AA38" s="964">
        <v>2492.3243243243251</v>
      </c>
      <c r="AB38" s="940">
        <v>570.61764705882365</v>
      </c>
      <c r="AC38" s="941">
        <v>143.49411764705886</v>
      </c>
      <c r="AD38" s="941">
        <v>971.35882352941189</v>
      </c>
      <c r="AE38" s="941">
        <v>505.64705882352951</v>
      </c>
      <c r="AF38" s="941">
        <v>404.56470588235294</v>
      </c>
      <c r="AG38" s="965">
        <v>495.24324324324391</v>
      </c>
      <c r="AH38" s="965">
        <v>327.51351351351389</v>
      </c>
      <c r="AI38" s="965">
        <v>212.89189189189199</v>
      </c>
      <c r="AJ38" s="965">
        <v>185.13513513513502</v>
      </c>
      <c r="AM38" s="3">
        <v>2044</v>
      </c>
      <c r="AN38" s="964">
        <v>3392.1970149999993</v>
      </c>
      <c r="AO38" s="964">
        <v>1002.5254000000002</v>
      </c>
      <c r="AP38" s="964">
        <v>91.659199999999984</v>
      </c>
      <c r="AQ38" s="964">
        <v>1169.8299000000002</v>
      </c>
      <c r="AR38" s="964">
        <v>756.12090000000001</v>
      </c>
      <c r="AS38" s="964">
        <v>371.80015000000003</v>
      </c>
      <c r="AT38" s="965">
        <v>329.70360000000005</v>
      </c>
      <c r="AU38" s="965">
        <v>517.86204698995653</v>
      </c>
      <c r="AV38" s="965">
        <v>379.09475000000009</v>
      </c>
      <c r="AW38" s="965">
        <v>533.31816704164976</v>
      </c>
    </row>
    <row r="39" spans="1:51" ht="14.05" customHeight="1" x14ac:dyDescent="0.55000000000000004">
      <c r="A39" s="3">
        <v>2045</v>
      </c>
      <c r="B39" s="964">
        <v>3197.7968036529683</v>
      </c>
      <c r="C39" s="964">
        <v>691.72385844748851</v>
      </c>
      <c r="D39" s="964">
        <v>217.23333333333335</v>
      </c>
      <c r="E39" s="964">
        <v>1251.1033105022832</v>
      </c>
      <c r="F39" s="964">
        <v>687.45422374429222</v>
      </c>
      <c r="G39" s="964">
        <v>349.06107305936075</v>
      </c>
      <c r="H39" s="965">
        <v>420.01559073366627</v>
      </c>
      <c r="I39" s="965">
        <v>460.81468255927109</v>
      </c>
      <c r="J39" s="965">
        <v>265.83658764352458</v>
      </c>
      <c r="K39" s="965">
        <v>344.15000000000003</v>
      </c>
      <c r="N39" s="3">
        <v>2045</v>
      </c>
      <c r="O39" s="964">
        <v>3572.6159297953818</v>
      </c>
      <c r="P39" s="964">
        <v>756.24247649470078</v>
      </c>
      <c r="Q39" s="964">
        <v>149.58005204806545</v>
      </c>
      <c r="R39" s="964">
        <v>1587.9680125296024</v>
      </c>
      <c r="S39" s="964">
        <v>677.0561467614674</v>
      </c>
      <c r="T39" s="964">
        <v>401.76924196154545</v>
      </c>
      <c r="V39" s="3">
        <v>2045</v>
      </c>
      <c r="W39" s="964">
        <v>3048.0094413393208</v>
      </c>
      <c r="X39" s="983"/>
      <c r="Z39" s="3">
        <v>2045</v>
      </c>
      <c r="AA39" s="964">
        <v>2530.2702702702709</v>
      </c>
      <c r="AB39" s="940">
        <v>571.86470588235306</v>
      </c>
      <c r="AC39" s="941">
        <v>142.26176470588237</v>
      </c>
      <c r="AD39" s="941">
        <v>978.58235294117662</v>
      </c>
      <c r="AE39" s="941">
        <v>512.90588235294126</v>
      </c>
      <c r="AF39" s="941">
        <v>410.7705882352941</v>
      </c>
      <c r="AG39" s="965">
        <v>502.70270270270339</v>
      </c>
      <c r="AH39" s="965">
        <v>334.59459459459498</v>
      </c>
      <c r="AI39" s="965">
        <v>214.24324324324334</v>
      </c>
      <c r="AJ39" s="965">
        <v>186.94594594594582</v>
      </c>
      <c r="AM39" s="3">
        <v>2045</v>
      </c>
      <c r="AN39" s="964">
        <v>3399.9999999999995</v>
      </c>
      <c r="AO39" s="964">
        <v>1006.7000000000002</v>
      </c>
      <c r="AP39" s="964">
        <v>91.09999999999998</v>
      </c>
      <c r="AQ39" s="964">
        <v>1163.6000000000001</v>
      </c>
      <c r="AR39" s="964">
        <v>769.7</v>
      </c>
      <c r="AS39" s="964">
        <v>368.7</v>
      </c>
      <c r="AT39" s="965">
        <v>323.50375000000003</v>
      </c>
      <c r="AU39" s="965">
        <v>522.7372201815698</v>
      </c>
      <c r="AV39" s="965">
        <v>387.80000000000007</v>
      </c>
      <c r="AW39" s="965">
        <v>550.85059840989516</v>
      </c>
    </row>
    <row r="40" spans="1:51" ht="14.05" customHeight="1" x14ac:dyDescent="0.55000000000000004">
      <c r="A40" s="3">
        <v>2046</v>
      </c>
      <c r="B40" s="964">
        <v>3238.6529680365297</v>
      </c>
      <c r="C40" s="964">
        <v>696.89748858447479</v>
      </c>
      <c r="D40" s="964">
        <v>218.53333333333336</v>
      </c>
      <c r="E40" s="964">
        <v>1267.3522831050229</v>
      </c>
      <c r="F40" s="964">
        <v>701.39429223744287</v>
      </c>
      <c r="G40" s="964">
        <v>353.10936073059361</v>
      </c>
      <c r="H40" s="965">
        <v>423.4442894335329</v>
      </c>
      <c r="I40" s="965">
        <v>468.15309522558857</v>
      </c>
      <c r="J40" s="965">
        <v>267.23110659747408</v>
      </c>
      <c r="K40" s="965">
        <v>346.58000000000004</v>
      </c>
      <c r="N40" s="3">
        <v>2046</v>
      </c>
      <c r="O40" s="964">
        <v>3610.4483029434805</v>
      </c>
      <c r="P40" s="964">
        <v>756.45221324839724</v>
      </c>
      <c r="Q40" s="964">
        <v>150.12672261878765</v>
      </c>
      <c r="R40" s="964">
        <v>1602.611520094345</v>
      </c>
      <c r="S40" s="964">
        <v>697.35714895346632</v>
      </c>
      <c r="T40" s="964">
        <v>403.9006980284841</v>
      </c>
      <c r="V40" s="3">
        <v>2046</v>
      </c>
      <c r="W40" s="964">
        <v>3095.2449853120183</v>
      </c>
      <c r="X40" s="983"/>
      <c r="Z40" s="3">
        <v>2046</v>
      </c>
      <c r="AA40" s="964">
        <v>2568.2162162162167</v>
      </c>
      <c r="AB40" s="940">
        <v>573.11176470588248</v>
      </c>
      <c r="AC40" s="941">
        <v>141.02941176470591</v>
      </c>
      <c r="AD40" s="941">
        <v>985.80588235294135</v>
      </c>
      <c r="AE40" s="941">
        <v>520.16470588235302</v>
      </c>
      <c r="AF40" s="941">
        <v>416.97647058823532</v>
      </c>
      <c r="AG40" s="965">
        <v>510.16216216216287</v>
      </c>
      <c r="AH40" s="965">
        <v>341.67567567567608</v>
      </c>
      <c r="AI40" s="965">
        <v>215.5945945945947</v>
      </c>
      <c r="AJ40" s="965">
        <v>188.75675675675663</v>
      </c>
      <c r="AM40" s="3">
        <v>2046</v>
      </c>
      <c r="AN40" s="964">
        <v>3406.1607149999995</v>
      </c>
      <c r="AO40" s="964">
        <v>1010.5574000000001</v>
      </c>
      <c r="AP40" s="964">
        <v>90.515199999999979</v>
      </c>
      <c r="AQ40" s="964">
        <v>1156.4119000000001</v>
      </c>
      <c r="AR40" s="964">
        <v>783.28290000000004</v>
      </c>
      <c r="AS40" s="964">
        <v>365.25714999999997</v>
      </c>
      <c r="AT40" s="965">
        <v>316.95359999999999</v>
      </c>
      <c r="AU40" s="965">
        <v>527.43374471135758</v>
      </c>
      <c r="AV40" s="965">
        <v>396.69975000000005</v>
      </c>
      <c r="AW40" s="965">
        <v>568.8709249636247</v>
      </c>
    </row>
    <row r="41" spans="1:51" ht="14.05" customHeight="1" x14ac:dyDescent="0.55000000000000004">
      <c r="A41" s="3">
        <v>2047</v>
      </c>
      <c r="B41" s="964">
        <v>3279.5091324200912</v>
      </c>
      <c r="C41" s="964">
        <v>702.07111872146118</v>
      </c>
      <c r="D41" s="964">
        <v>219.83333333333337</v>
      </c>
      <c r="E41" s="964">
        <v>1283.6012557077627</v>
      </c>
      <c r="F41" s="964">
        <v>715.33436073059363</v>
      </c>
      <c r="G41" s="964">
        <v>357.15764840182646</v>
      </c>
      <c r="H41" s="965">
        <v>426.87298813339959</v>
      </c>
      <c r="I41" s="965">
        <v>475.49150789190611</v>
      </c>
      <c r="J41" s="965">
        <v>268.62562555142358</v>
      </c>
      <c r="K41" s="965">
        <v>349.01000000000005</v>
      </c>
      <c r="N41" s="3">
        <v>2047</v>
      </c>
      <c r="O41" s="964">
        <v>3647.6159264809107</v>
      </c>
      <c r="P41" s="964">
        <v>757.63079744378297</v>
      </c>
      <c r="Q41" s="964">
        <v>150.53613173883952</v>
      </c>
      <c r="R41" s="964">
        <v>1615.7541130417849</v>
      </c>
      <c r="S41" s="964">
        <v>717.62999986076443</v>
      </c>
      <c r="T41" s="964">
        <v>406.06488439573889</v>
      </c>
      <c r="V41" s="3">
        <v>2047</v>
      </c>
      <c r="W41" s="964">
        <v>3142.4805292847159</v>
      </c>
      <c r="X41" s="983"/>
      <c r="Z41" s="3">
        <v>2047</v>
      </c>
      <c r="AA41" s="964">
        <v>2606.1621621621625</v>
      </c>
      <c r="AB41" s="940">
        <v>574.35882352941189</v>
      </c>
      <c r="AC41" s="941">
        <v>139.79705882352943</v>
      </c>
      <c r="AD41" s="941">
        <v>993.02941176470597</v>
      </c>
      <c r="AE41" s="941">
        <v>527.42352941176478</v>
      </c>
      <c r="AF41" s="941">
        <v>423.18235294117648</v>
      </c>
      <c r="AG41" s="965">
        <v>517.62162162162235</v>
      </c>
      <c r="AH41" s="965">
        <v>348.75675675675717</v>
      </c>
      <c r="AI41" s="965">
        <v>216.94594594594605</v>
      </c>
      <c r="AJ41" s="965">
        <v>190.56756756756744</v>
      </c>
      <c r="AM41" s="3">
        <v>2047</v>
      </c>
      <c r="AN41" s="964">
        <v>3410.6791599999992</v>
      </c>
      <c r="AO41" s="964">
        <v>1014.0976000000001</v>
      </c>
      <c r="AP41" s="964">
        <v>89.90479999999998</v>
      </c>
      <c r="AQ41" s="964">
        <v>1148.2656000000002</v>
      </c>
      <c r="AR41" s="964">
        <v>796.86959999999999</v>
      </c>
      <c r="AS41" s="964">
        <v>361.47159999999997</v>
      </c>
      <c r="AT41" s="965">
        <v>310.05315000000002</v>
      </c>
      <c r="AU41" s="965">
        <v>531.95162057931987</v>
      </c>
      <c r="AV41" s="965">
        <v>405.7940000000001</v>
      </c>
      <c r="AW41" s="965">
        <v>587.37914670283851</v>
      </c>
    </row>
    <row r="42" spans="1:51" ht="14.05" customHeight="1" x14ac:dyDescent="0.55000000000000004">
      <c r="A42" s="3">
        <v>2048</v>
      </c>
      <c r="B42" s="964">
        <v>3320.3652968036531</v>
      </c>
      <c r="C42" s="964">
        <v>707.24474885844745</v>
      </c>
      <c r="D42" s="964">
        <v>221.13333333333335</v>
      </c>
      <c r="E42" s="964">
        <v>1299.8502283105024</v>
      </c>
      <c r="F42" s="964">
        <v>729.27442922374428</v>
      </c>
      <c r="G42" s="964">
        <v>361.20593607305932</v>
      </c>
      <c r="H42" s="965">
        <v>430.30168683326622</v>
      </c>
      <c r="I42" s="965">
        <v>482.82992055822365</v>
      </c>
      <c r="J42" s="965">
        <v>270.02014450537308</v>
      </c>
      <c r="K42" s="965">
        <v>351.44000000000005</v>
      </c>
      <c r="N42" s="3">
        <v>2048</v>
      </c>
      <c r="O42" s="964">
        <v>3684.3685264062169</v>
      </c>
      <c r="P42" s="964">
        <v>758.62569133650595</v>
      </c>
      <c r="Q42" s="964">
        <v>150.96456412863046</v>
      </c>
      <c r="R42" s="964">
        <v>1628.2879977280845</v>
      </c>
      <c r="S42" s="964">
        <v>738.35162591726362</v>
      </c>
      <c r="T42" s="964">
        <v>408.13864729573169</v>
      </c>
      <c r="V42" s="3">
        <v>2048</v>
      </c>
      <c r="W42" s="964">
        <v>3189.7160732574139</v>
      </c>
      <c r="X42" s="983"/>
      <c r="Z42" s="3">
        <v>2048</v>
      </c>
      <c r="AA42" s="964">
        <v>2644.1081081081084</v>
      </c>
      <c r="AB42" s="940">
        <v>575.60588235294131</v>
      </c>
      <c r="AC42" s="941">
        <v>138.56470588235297</v>
      </c>
      <c r="AD42" s="941">
        <v>1000.2529411764707</v>
      </c>
      <c r="AE42" s="941">
        <v>534.68235294117653</v>
      </c>
      <c r="AF42" s="941">
        <v>429.38823529411764</v>
      </c>
      <c r="AG42" s="965">
        <v>525.08108108108183</v>
      </c>
      <c r="AH42" s="965">
        <v>355.83783783783826</v>
      </c>
      <c r="AI42" s="965">
        <v>218.2972972972974</v>
      </c>
      <c r="AJ42" s="965">
        <v>192.37837837837824</v>
      </c>
      <c r="AM42" s="3">
        <v>2048</v>
      </c>
      <c r="AN42" s="964">
        <v>3413.5553349999996</v>
      </c>
      <c r="AO42" s="964">
        <v>1017.3206000000001</v>
      </c>
      <c r="AP42" s="964">
        <v>89.268799999999985</v>
      </c>
      <c r="AQ42" s="964">
        <v>1139.1611</v>
      </c>
      <c r="AR42" s="964">
        <v>810.46010000000001</v>
      </c>
      <c r="AS42" s="964">
        <v>357.34334999999993</v>
      </c>
      <c r="AT42" s="965">
        <v>302.80240000000003</v>
      </c>
      <c r="AU42" s="965">
        <v>536.29084778545644</v>
      </c>
      <c r="AV42" s="965">
        <v>415.08275000000003</v>
      </c>
      <c r="AW42" s="965">
        <v>606.37526362753658</v>
      </c>
    </row>
    <row r="43" spans="1:51" ht="14.05" customHeight="1" x14ac:dyDescent="0.55000000000000004">
      <c r="A43" s="3">
        <v>2049</v>
      </c>
      <c r="B43" s="964">
        <v>3361.2214611872146</v>
      </c>
      <c r="C43" s="964">
        <v>712.41837899543373</v>
      </c>
      <c r="D43" s="964">
        <v>222.43333333333337</v>
      </c>
      <c r="E43" s="964">
        <v>1316.0992009132422</v>
      </c>
      <c r="F43" s="964">
        <v>743.21449771689493</v>
      </c>
      <c r="G43" s="964">
        <v>365.25422374429223</v>
      </c>
      <c r="H43" s="965">
        <v>433.7303855331329</v>
      </c>
      <c r="I43" s="965">
        <v>490.16833322454113</v>
      </c>
      <c r="J43" s="965">
        <v>271.41466345932264</v>
      </c>
      <c r="K43" s="965">
        <v>353.87</v>
      </c>
      <c r="N43" s="3">
        <v>2049</v>
      </c>
      <c r="O43" s="964">
        <v>3720.7276099914202</v>
      </c>
      <c r="P43" s="964">
        <v>759.42883984894922</v>
      </c>
      <c r="Q43" s="964">
        <v>151.41913553382125</v>
      </c>
      <c r="R43" s="964">
        <v>1640.2162129783549</v>
      </c>
      <c r="S43" s="964">
        <v>759.53536509095056</v>
      </c>
      <c r="T43" s="964">
        <v>410.12805653934413</v>
      </c>
      <c r="V43" s="3">
        <v>2049</v>
      </c>
      <c r="W43" s="964">
        <v>3236.9516172301114</v>
      </c>
      <c r="X43" s="983"/>
      <c r="Z43" s="3">
        <v>2049</v>
      </c>
      <c r="AA43" s="964">
        <v>2682.0540540540542</v>
      </c>
      <c r="AB43" s="940">
        <v>576.85294117647072</v>
      </c>
      <c r="AC43" s="941">
        <v>137.33235294117651</v>
      </c>
      <c r="AD43" s="941">
        <v>1007.4764705882354</v>
      </c>
      <c r="AE43" s="941">
        <v>541.94117647058829</v>
      </c>
      <c r="AF43" s="941">
        <v>435.59411764705885</v>
      </c>
      <c r="AG43" s="965">
        <v>532.54054054054131</v>
      </c>
      <c r="AH43" s="965">
        <v>362.91891891891936</v>
      </c>
      <c r="AI43" s="965">
        <v>219.64864864864876</v>
      </c>
      <c r="AJ43" s="965">
        <v>194.18918918918905</v>
      </c>
      <c r="AM43" s="3">
        <v>2049</v>
      </c>
      <c r="AN43" s="964">
        <v>3414.7892399999992</v>
      </c>
      <c r="AO43" s="964">
        <v>1020.2264</v>
      </c>
      <c r="AP43" s="964">
        <v>88.607199999999978</v>
      </c>
      <c r="AQ43" s="964">
        <v>1129.0983999999999</v>
      </c>
      <c r="AR43" s="964">
        <v>824.05439999999999</v>
      </c>
      <c r="AS43" s="964">
        <v>352.87239999999997</v>
      </c>
      <c r="AT43" s="965">
        <v>295.20135000000005</v>
      </c>
      <c r="AU43" s="965">
        <v>540.45142632976763</v>
      </c>
      <c r="AV43" s="965">
        <v>424.56600000000003</v>
      </c>
      <c r="AW43" s="965">
        <v>625.8592757377188</v>
      </c>
    </row>
    <row r="44" spans="1:51" ht="14.05" customHeight="1" x14ac:dyDescent="0.55000000000000004">
      <c r="A44" s="3">
        <v>2050</v>
      </c>
      <c r="B44" s="964">
        <v>3400</v>
      </c>
      <c r="C44" s="964">
        <v>713.4</v>
      </c>
      <c r="D44" s="964">
        <v>222.8</v>
      </c>
      <c r="E44" s="964">
        <v>1324.8</v>
      </c>
      <c r="F44" s="964">
        <v>770.6</v>
      </c>
      <c r="G44" s="964">
        <v>368.7</v>
      </c>
      <c r="H44" s="965">
        <v>437.15908423299959</v>
      </c>
      <c r="I44" s="965">
        <v>497.50674589085867</v>
      </c>
      <c r="J44" s="965">
        <v>272.80918241327214</v>
      </c>
      <c r="K44" s="965">
        <v>356.3</v>
      </c>
      <c r="N44" s="3">
        <v>2050</v>
      </c>
      <c r="O44" s="964">
        <v>3756.7146845085417</v>
      </c>
      <c r="P44" s="964">
        <v>760.0321879034957</v>
      </c>
      <c r="Q44" s="964">
        <v>151.90696170007254</v>
      </c>
      <c r="R44" s="964">
        <v>1651.5417976177046</v>
      </c>
      <c r="S44" s="964">
        <v>781.19455534981103</v>
      </c>
      <c r="T44" s="964">
        <v>412.03918193745801</v>
      </c>
      <c r="V44" s="3">
        <v>2050</v>
      </c>
      <c r="W44" s="964">
        <v>3284.187161202809</v>
      </c>
      <c r="X44" s="983"/>
      <c r="Z44" s="3">
        <v>2050</v>
      </c>
      <c r="AA44" s="964">
        <v>2720</v>
      </c>
      <c r="AB44" s="940">
        <v>578.1</v>
      </c>
      <c r="AC44" s="941">
        <v>136.1</v>
      </c>
      <c r="AD44" s="941">
        <v>1014.7</v>
      </c>
      <c r="AE44" s="941">
        <v>549.20000000000005</v>
      </c>
      <c r="AF44" s="941">
        <v>441.8</v>
      </c>
      <c r="AG44" s="965">
        <v>540</v>
      </c>
      <c r="AH44" s="965">
        <v>370</v>
      </c>
      <c r="AI44" s="965">
        <v>221</v>
      </c>
      <c r="AJ44" s="965">
        <v>196</v>
      </c>
      <c r="AM44" s="3">
        <v>2050</v>
      </c>
      <c r="AN44" s="964">
        <v>3414.3808749999989</v>
      </c>
      <c r="AO44" s="964">
        <v>1022.8150000000001</v>
      </c>
      <c r="AP44" s="964">
        <v>87.919999999999987</v>
      </c>
      <c r="AQ44" s="964">
        <v>1118.0774999999999</v>
      </c>
      <c r="AR44" s="964">
        <v>837.65249999999992</v>
      </c>
      <c r="AS44" s="964">
        <v>348.05874999999997</v>
      </c>
      <c r="AT44" s="965">
        <v>287.25000000000006</v>
      </c>
      <c r="AU44" s="965">
        <v>544.4333562122531</v>
      </c>
      <c r="AV44" s="965">
        <v>434.24375000000009</v>
      </c>
      <c r="AW44" s="965">
        <v>645.83118303338506</v>
      </c>
      <c r="AY44" s="533">
        <f>AVERAGE(AN44, W44, O44, B44)</f>
        <v>3463.8206801778374</v>
      </c>
    </row>
    <row r="45" spans="1:51" ht="14.05" customHeight="1" x14ac:dyDescent="0.55000000000000004">
      <c r="A45" s="3">
        <v>2051</v>
      </c>
      <c r="B45" s="964">
        <v>3442.933789954338</v>
      </c>
      <c r="C45" s="964">
        <v>722.76563926940639</v>
      </c>
      <c r="D45" s="964">
        <v>225.03333333333336</v>
      </c>
      <c r="E45" s="964">
        <v>1348.5971461187214</v>
      </c>
      <c r="F45" s="964">
        <v>777.81735159817345</v>
      </c>
      <c r="G45" s="964">
        <v>373.350799086758</v>
      </c>
      <c r="H45" s="965">
        <v>440.58778293286622</v>
      </c>
      <c r="I45" s="965">
        <v>504.84515855717609</v>
      </c>
      <c r="J45" s="965">
        <v>274.20370136722164</v>
      </c>
      <c r="K45" s="965">
        <v>358.73</v>
      </c>
      <c r="N45" s="3">
        <v>2051</v>
      </c>
      <c r="O45" s="964">
        <v>3792.3512572296022</v>
      </c>
      <c r="P45" s="964">
        <v>760.42768042252806</v>
      </c>
      <c r="Q45" s="964">
        <v>152.43515837304511</v>
      </c>
      <c r="R45" s="964">
        <v>1662.2677904712432</v>
      </c>
      <c r="S45" s="964">
        <v>803.34253466183145</v>
      </c>
      <c r="T45" s="964">
        <v>413.87809330095513</v>
      </c>
      <c r="V45" s="3">
        <v>2051</v>
      </c>
      <c r="W45" s="964">
        <v>3331.422705175507</v>
      </c>
      <c r="X45" s="983"/>
      <c r="Z45" s="3">
        <v>2051</v>
      </c>
      <c r="AA45" s="964">
        <v>2757.9459459459458</v>
      </c>
      <c r="AB45" s="940">
        <v>579.34705882352955</v>
      </c>
      <c r="AC45" s="941">
        <v>134.86764705882354</v>
      </c>
      <c r="AD45" s="941">
        <v>1021.9235294117648</v>
      </c>
      <c r="AE45" s="941">
        <v>556.4588235294118</v>
      </c>
      <c r="AF45" s="941">
        <v>448.00588235294117</v>
      </c>
      <c r="AG45" s="965">
        <v>547.45945945945948</v>
      </c>
      <c r="AH45" s="965">
        <v>377.08108108108109</v>
      </c>
      <c r="AI45" s="965">
        <v>222.35135135135135</v>
      </c>
      <c r="AJ45" s="965">
        <v>197.81081081081081</v>
      </c>
      <c r="AM45" s="3">
        <v>2051</v>
      </c>
      <c r="AN45" s="964">
        <v>3412.3302399999993</v>
      </c>
      <c r="AO45" s="964">
        <v>1025.0864000000001</v>
      </c>
      <c r="AP45" s="964">
        <v>87.207199999999986</v>
      </c>
      <c r="AQ45" s="964">
        <v>1106.0983999999999</v>
      </c>
      <c r="AR45" s="964">
        <v>851.25440000000003</v>
      </c>
      <c r="AS45" s="964">
        <v>342.90239999999994</v>
      </c>
      <c r="AT45" s="965">
        <v>232.18560000000005</v>
      </c>
      <c r="AU45" s="965">
        <v>548.2366374329132</v>
      </c>
      <c r="AV45" s="965">
        <v>444.11600000000004</v>
      </c>
      <c r="AW45" s="965">
        <v>666.29098551453569</v>
      </c>
    </row>
    <row r="46" spans="1:51" ht="14.05" customHeight="1" x14ac:dyDescent="0.55000000000000004">
      <c r="A46" s="3">
        <v>2052</v>
      </c>
      <c r="B46" s="964">
        <v>3483.7899543378999</v>
      </c>
      <c r="C46" s="964">
        <v>727.93926940639267</v>
      </c>
      <c r="D46" s="964">
        <v>226.33333333333337</v>
      </c>
      <c r="E46" s="964">
        <v>1364.8461187214612</v>
      </c>
      <c r="F46" s="964">
        <v>785.03470319634698</v>
      </c>
      <c r="G46" s="964">
        <v>377.39908675799086</v>
      </c>
      <c r="H46" s="965">
        <v>444.0164816327329</v>
      </c>
      <c r="I46" s="965">
        <v>512.18357122349369</v>
      </c>
      <c r="J46" s="965">
        <v>275.59822032117114</v>
      </c>
      <c r="K46" s="965">
        <v>361.16</v>
      </c>
      <c r="N46" s="3">
        <v>2052</v>
      </c>
      <c r="O46" s="964">
        <v>3827.6588354266241</v>
      </c>
      <c r="P46" s="964">
        <v>760.60726232842944</v>
      </c>
      <c r="Q46" s="964">
        <v>153.0108412983997</v>
      </c>
      <c r="R46" s="964">
        <v>1672.3972303640801</v>
      </c>
      <c r="S46" s="964">
        <v>825.99264099499828</v>
      </c>
      <c r="T46" s="964">
        <v>415.65086044071717</v>
      </c>
      <c r="V46" s="3">
        <v>2052</v>
      </c>
      <c r="W46" s="964">
        <v>3378.658249148204</v>
      </c>
      <c r="X46" s="983"/>
      <c r="Z46" s="3">
        <v>2052</v>
      </c>
      <c r="AA46" s="964">
        <v>2795.8918918918916</v>
      </c>
      <c r="AB46" s="940">
        <v>580.59411764705897</v>
      </c>
      <c r="AC46" s="941">
        <v>133.63529411764708</v>
      </c>
      <c r="AD46" s="941">
        <v>1029.1470588235295</v>
      </c>
      <c r="AE46" s="941">
        <v>563.71764705882356</v>
      </c>
      <c r="AF46" s="941">
        <v>454.21176470588239</v>
      </c>
      <c r="AG46" s="965">
        <v>554.91891891891896</v>
      </c>
      <c r="AH46" s="965">
        <v>384.16216216216219</v>
      </c>
      <c r="AI46" s="965">
        <v>223.70270270270271</v>
      </c>
      <c r="AJ46" s="965">
        <v>199.62162162162161</v>
      </c>
      <c r="AM46" s="3">
        <v>2052</v>
      </c>
      <c r="AN46" s="964">
        <v>3408.6373349999994</v>
      </c>
      <c r="AO46" s="964">
        <v>1027.0406</v>
      </c>
      <c r="AP46" s="964">
        <v>86.468799999999987</v>
      </c>
      <c r="AQ46" s="964">
        <v>1093.1611</v>
      </c>
      <c r="AR46" s="964">
        <v>864.86009999999987</v>
      </c>
      <c r="AS46" s="964">
        <v>337.40334999999993</v>
      </c>
      <c r="AT46" s="965">
        <v>221.78215</v>
      </c>
      <c r="AU46" s="965">
        <v>551.86126999174769</v>
      </c>
      <c r="AV46" s="965">
        <v>454.18275000000006</v>
      </c>
      <c r="AW46" s="965">
        <v>687.23868318117059</v>
      </c>
    </row>
    <row r="47" spans="1:51" ht="14.05" customHeight="1" x14ac:dyDescent="0.55000000000000004">
      <c r="A47" s="3">
        <v>2053</v>
      </c>
      <c r="B47" s="964">
        <v>3524.6461187214613</v>
      </c>
      <c r="C47" s="964">
        <v>733.11289954337894</v>
      </c>
      <c r="D47" s="964">
        <v>227.63333333333338</v>
      </c>
      <c r="E47" s="964">
        <v>1381.0950913242009</v>
      </c>
      <c r="F47" s="964">
        <v>798.97477168949763</v>
      </c>
      <c r="G47" s="964">
        <v>381.44737442922371</v>
      </c>
      <c r="H47" s="965">
        <v>447.44518033259953</v>
      </c>
      <c r="I47" s="965">
        <v>519.52198388981117</v>
      </c>
      <c r="J47" s="965">
        <v>276.99273927512064</v>
      </c>
      <c r="K47" s="965">
        <v>363.59000000000003</v>
      </c>
      <c r="N47" s="3">
        <v>2053</v>
      </c>
      <c r="O47" s="964">
        <v>3862.6589263716269</v>
      </c>
      <c r="P47" s="964">
        <v>760.56287854358277</v>
      </c>
      <c r="Q47" s="964">
        <v>153.64112622179692</v>
      </c>
      <c r="R47" s="964">
        <v>1681.9331561213253</v>
      </c>
      <c r="S47" s="964">
        <v>849.15821231729706</v>
      </c>
      <c r="T47" s="964">
        <v>417.36355316762581</v>
      </c>
      <c r="V47" s="3">
        <v>2053</v>
      </c>
      <c r="W47" s="964">
        <v>3425.893793120902</v>
      </c>
      <c r="X47" s="983"/>
      <c r="Z47" s="3">
        <v>2053</v>
      </c>
      <c r="AA47" s="964">
        <v>2833.8378378378375</v>
      </c>
      <c r="AB47" s="940">
        <v>581.84117647058838</v>
      </c>
      <c r="AC47" s="941">
        <v>132.40294117647062</v>
      </c>
      <c r="AD47" s="941">
        <v>1036.3705882352942</v>
      </c>
      <c r="AE47" s="941">
        <v>570.97647058823532</v>
      </c>
      <c r="AF47" s="941">
        <v>460.41764705882349</v>
      </c>
      <c r="AG47" s="965">
        <v>562.37837837837844</v>
      </c>
      <c r="AH47" s="965">
        <v>391.24324324324328</v>
      </c>
      <c r="AI47" s="965">
        <v>225.05405405405406</v>
      </c>
      <c r="AJ47" s="965">
        <v>201.43243243243242</v>
      </c>
      <c r="AM47" s="3">
        <v>2053</v>
      </c>
      <c r="AN47" s="964">
        <v>3403.3021599999993</v>
      </c>
      <c r="AO47" s="964">
        <v>1028.6776</v>
      </c>
      <c r="AP47" s="964">
        <v>85.704799999999977</v>
      </c>
      <c r="AQ47" s="964">
        <v>1079.2656000000002</v>
      </c>
      <c r="AR47" s="964">
        <v>878.4695999999999</v>
      </c>
      <c r="AS47" s="964">
        <v>331.56159999999994</v>
      </c>
      <c r="AT47" s="965">
        <v>211.02840000000003</v>
      </c>
      <c r="AU47" s="965">
        <v>555.30725388875658</v>
      </c>
      <c r="AV47" s="965">
        <v>464.44400000000002</v>
      </c>
      <c r="AW47" s="965">
        <v>708.6742760332894</v>
      </c>
    </row>
    <row r="48" spans="1:51" ht="14.05" customHeight="1" x14ac:dyDescent="0.55000000000000004">
      <c r="A48" s="3">
        <v>2054</v>
      </c>
      <c r="B48" s="964">
        <v>3565.5022831050228</v>
      </c>
      <c r="C48" s="964">
        <v>738.28652968036522</v>
      </c>
      <c r="D48" s="964">
        <v>228.93333333333337</v>
      </c>
      <c r="E48" s="964">
        <v>1397.3440639269406</v>
      </c>
      <c r="F48" s="964">
        <v>812.91484018264839</v>
      </c>
      <c r="G48" s="964">
        <v>385.49566210045663</v>
      </c>
      <c r="H48" s="965">
        <v>450.87387903246622</v>
      </c>
      <c r="I48" s="965">
        <v>526.86039655612865</v>
      </c>
      <c r="J48" s="965">
        <v>278.38725822907014</v>
      </c>
      <c r="K48" s="965">
        <v>366.02000000000004</v>
      </c>
      <c r="N48" s="3">
        <v>2054</v>
      </c>
      <c r="O48" s="964">
        <v>3897.3730373366325</v>
      </c>
      <c r="P48" s="964">
        <v>760.28647399037084</v>
      </c>
      <c r="Q48" s="964">
        <v>154.33312888889765</v>
      </c>
      <c r="R48" s="964">
        <v>1690.878606568087</v>
      </c>
      <c r="S48" s="964">
        <v>872.85258659671467</v>
      </c>
      <c r="T48" s="964">
        <v>419.02224129256285</v>
      </c>
      <c r="V48" s="3">
        <v>2054</v>
      </c>
      <c r="W48" s="964">
        <v>3473.1293370935996</v>
      </c>
      <c r="X48" s="983"/>
      <c r="Z48" s="3">
        <v>2054</v>
      </c>
      <c r="AA48" s="964">
        <v>2871.7837837837833</v>
      </c>
      <c r="AB48" s="940">
        <v>583.08823529411779</v>
      </c>
      <c r="AC48" s="941">
        <v>131.17058823529413</v>
      </c>
      <c r="AD48" s="941">
        <v>1043.594117647059</v>
      </c>
      <c r="AE48" s="941">
        <v>578.23529411764719</v>
      </c>
      <c r="AF48" s="941">
        <v>466.62352941176471</v>
      </c>
      <c r="AG48" s="965">
        <v>569.83783783783792</v>
      </c>
      <c r="AH48" s="965">
        <v>398.32432432432438</v>
      </c>
      <c r="AI48" s="965">
        <v>226.40540540540542</v>
      </c>
      <c r="AJ48" s="965">
        <v>203.24324324324323</v>
      </c>
      <c r="AM48" s="3">
        <v>2054</v>
      </c>
      <c r="AN48" s="964">
        <v>3396.3247149999988</v>
      </c>
      <c r="AO48" s="964">
        <v>1029.9974</v>
      </c>
      <c r="AP48" s="964">
        <v>84.915199999999984</v>
      </c>
      <c r="AQ48" s="964">
        <v>1064.4119000000001</v>
      </c>
      <c r="AR48" s="964">
        <v>892.08289999999988</v>
      </c>
      <c r="AS48" s="964">
        <v>325.37714999999992</v>
      </c>
      <c r="AT48" s="965">
        <v>199.92435000000003</v>
      </c>
      <c r="AU48" s="965">
        <v>558.57458912393986</v>
      </c>
      <c r="AV48" s="965">
        <v>474.89975000000004</v>
      </c>
      <c r="AW48" s="965">
        <v>730.59776407089259</v>
      </c>
    </row>
    <row r="49" spans="1:49" ht="14.05" customHeight="1" x14ac:dyDescent="0.55000000000000004">
      <c r="A49" s="3">
        <v>2055</v>
      </c>
      <c r="B49" s="964">
        <v>3606.3584474885847</v>
      </c>
      <c r="C49" s="964">
        <v>743.4601598173515</v>
      </c>
      <c r="D49" s="964">
        <v>230.23333333333335</v>
      </c>
      <c r="E49" s="964">
        <v>1413.5930365296804</v>
      </c>
      <c r="F49" s="964">
        <v>826.85490867579904</v>
      </c>
      <c r="G49" s="964">
        <v>389.54394977168948</v>
      </c>
      <c r="H49" s="965">
        <v>454.30257773233291</v>
      </c>
      <c r="I49" s="965">
        <v>534.19880922244613</v>
      </c>
      <c r="J49" s="965">
        <v>279.78177718301964</v>
      </c>
      <c r="K49" s="965">
        <v>368.45000000000005</v>
      </c>
      <c r="N49" s="3">
        <v>2055</v>
      </c>
      <c r="O49" s="964">
        <v>3931.8226755936612</v>
      </c>
      <c r="P49" s="964">
        <v>759.76999359117656</v>
      </c>
      <c r="Q49" s="964">
        <v>155.09396504536244</v>
      </c>
      <c r="R49" s="964">
        <v>1699.2366205294761</v>
      </c>
      <c r="S49" s="964">
        <v>897.08910180123689</v>
      </c>
      <c r="T49" s="964">
        <v>420.6329946264101</v>
      </c>
      <c r="V49" s="3">
        <v>2055</v>
      </c>
      <c r="W49" s="964">
        <v>3520.3648810662971</v>
      </c>
      <c r="X49" s="983"/>
      <c r="Z49" s="3">
        <v>2055</v>
      </c>
      <c r="AA49" s="964">
        <v>2909.7297297297291</v>
      </c>
      <c r="AB49" s="940">
        <v>584.33529411764721</v>
      </c>
      <c r="AC49" s="941">
        <v>129.93823529411767</v>
      </c>
      <c r="AD49" s="941">
        <v>1050.8176470588237</v>
      </c>
      <c r="AE49" s="941">
        <v>585.49411764705894</v>
      </c>
      <c r="AF49" s="941">
        <v>472.82941176470587</v>
      </c>
      <c r="AG49" s="965">
        <v>577.2972972972974</v>
      </c>
      <c r="AH49" s="965">
        <v>405.40540540540547</v>
      </c>
      <c r="AI49" s="965">
        <v>227.75675675675677</v>
      </c>
      <c r="AJ49" s="965">
        <v>205.05405405405403</v>
      </c>
      <c r="AM49" s="3">
        <v>2055</v>
      </c>
      <c r="AN49" s="964">
        <v>3387.704999999999</v>
      </c>
      <c r="AO49" s="964">
        <v>1031</v>
      </c>
      <c r="AP49" s="964">
        <v>84.09999999999998</v>
      </c>
      <c r="AQ49" s="964">
        <v>1048.5999999999999</v>
      </c>
      <c r="AR49" s="964">
        <v>905.7</v>
      </c>
      <c r="AS49" s="964">
        <v>318.84999999999997</v>
      </c>
      <c r="AT49" s="965">
        <v>188.47</v>
      </c>
      <c r="AU49" s="965">
        <v>561.66327569729776</v>
      </c>
      <c r="AV49" s="965">
        <v>485.55</v>
      </c>
      <c r="AW49" s="965">
        <v>753.00914729398005</v>
      </c>
    </row>
    <row r="50" spans="1:49" ht="14.05" customHeight="1" x14ac:dyDescent="0.55000000000000004">
      <c r="A50" s="3">
        <v>2056</v>
      </c>
      <c r="B50" s="964">
        <v>3647.2146118721462</v>
      </c>
      <c r="C50" s="964">
        <v>748.63378995433777</v>
      </c>
      <c r="D50" s="964">
        <v>231.53333333333336</v>
      </c>
      <c r="E50" s="964">
        <v>1429.8420091324201</v>
      </c>
      <c r="F50" s="964">
        <v>840.79497716894969</v>
      </c>
      <c r="G50" s="964">
        <v>393.5922374429224</v>
      </c>
      <c r="H50" s="965">
        <v>457.73127643219959</v>
      </c>
      <c r="I50" s="965">
        <v>541.53722188876361</v>
      </c>
      <c r="J50" s="965">
        <v>281.17629613696914</v>
      </c>
      <c r="K50" s="965">
        <v>370.88000000000005</v>
      </c>
      <c r="N50" s="3">
        <v>2056</v>
      </c>
      <c r="O50" s="964">
        <v>3966.0293484147342</v>
      </c>
      <c r="P50" s="964">
        <v>759.00538226838296</v>
      </c>
      <c r="Q50" s="964">
        <v>155.93075043685212</v>
      </c>
      <c r="R50" s="964">
        <v>1707.0102368306013</v>
      </c>
      <c r="S50" s="964">
        <v>921.88109589885016</v>
      </c>
      <c r="T50" s="964">
        <v>422.20188298004911</v>
      </c>
      <c r="V50" s="3">
        <v>2056</v>
      </c>
      <c r="W50" s="964">
        <v>3567.6004250389951</v>
      </c>
      <c r="X50" s="983"/>
      <c r="Z50" s="3">
        <v>2056</v>
      </c>
      <c r="AA50" s="964">
        <v>2947.6756756756749</v>
      </c>
      <c r="AB50" s="940">
        <v>585.58235294117662</v>
      </c>
      <c r="AC50" s="941">
        <v>128.70588235294119</v>
      </c>
      <c r="AD50" s="941">
        <v>1058.0411764705884</v>
      </c>
      <c r="AE50" s="941">
        <v>592.7529411764707</v>
      </c>
      <c r="AF50" s="941">
        <v>479.03529411764703</v>
      </c>
      <c r="AG50" s="965">
        <v>584.75675675675689</v>
      </c>
      <c r="AH50" s="965">
        <v>412.48648648648657</v>
      </c>
      <c r="AI50" s="965">
        <v>229.10810810810813</v>
      </c>
      <c r="AJ50" s="965">
        <v>206.86486486486484</v>
      </c>
      <c r="AM50" s="3">
        <v>2056</v>
      </c>
      <c r="AN50" s="964">
        <v>3377.4430149999989</v>
      </c>
      <c r="AO50" s="964">
        <v>1031.6854000000001</v>
      </c>
      <c r="AP50" s="964">
        <v>83.259199999999993</v>
      </c>
      <c r="AQ50" s="964">
        <v>1031.8298999999997</v>
      </c>
      <c r="AR50" s="964">
        <v>919.32090000000017</v>
      </c>
      <c r="AS50" s="964">
        <v>311.98015000000004</v>
      </c>
      <c r="AT50" s="965"/>
      <c r="AU50" s="965">
        <v>576.44377323910805</v>
      </c>
      <c r="AV50" s="965">
        <v>553.53600000000006</v>
      </c>
      <c r="AW50" s="965">
        <v>775.90842570255143</v>
      </c>
    </row>
    <row r="51" spans="1:49" ht="14.4" x14ac:dyDescent="0.55000000000000004">
      <c r="A51" s="3">
        <v>2057</v>
      </c>
      <c r="B51" s="964">
        <v>3688.0707762557076</v>
      </c>
      <c r="C51" s="964">
        <v>753.80742009132416</v>
      </c>
      <c r="D51" s="964">
        <v>232.83333333333337</v>
      </c>
      <c r="E51" s="964">
        <v>1446.0909817351599</v>
      </c>
      <c r="F51" s="964">
        <v>854.73504566210045</v>
      </c>
      <c r="G51" s="964">
        <v>397.64052511415525</v>
      </c>
      <c r="H51" s="965">
        <v>461.15997513206622</v>
      </c>
      <c r="I51" s="965">
        <v>548.87563455508121</v>
      </c>
      <c r="J51" s="965">
        <v>282.57081509091864</v>
      </c>
      <c r="K51" s="965">
        <v>373.31000000000006</v>
      </c>
      <c r="N51" s="3">
        <v>2057</v>
      </c>
      <c r="O51" s="964">
        <v>4000.014563071873</v>
      </c>
      <c r="P51" s="964">
        <v>757.98458494437295</v>
      </c>
      <c r="Q51" s="964">
        <v>156.85060080902738</v>
      </c>
      <c r="R51" s="964">
        <v>1714.202494296572</v>
      </c>
      <c r="S51" s="964">
        <v>947.24190685754047</v>
      </c>
      <c r="T51" s="964">
        <v>423.7349761643618</v>
      </c>
      <c r="V51" s="3">
        <v>2057</v>
      </c>
      <c r="W51" s="964">
        <v>3614.8359690116927</v>
      </c>
      <c r="X51" s="983"/>
      <c r="Z51" s="3">
        <v>2057</v>
      </c>
      <c r="AA51" s="964">
        <v>2985.6216216216208</v>
      </c>
      <c r="AB51" s="941">
        <v>586.82941176470604</v>
      </c>
      <c r="AC51" s="941">
        <v>127.47352941176473</v>
      </c>
      <c r="AD51" s="941">
        <v>1065.2647058823532</v>
      </c>
      <c r="AE51" s="941">
        <v>600.01176470588246</v>
      </c>
      <c r="AF51" s="941">
        <v>485.24117647058824</v>
      </c>
      <c r="AG51" s="965">
        <v>592.21621621621637</v>
      </c>
      <c r="AH51" s="965">
        <v>419.56756756756766</v>
      </c>
      <c r="AI51" s="965">
        <v>230.45945945945948</v>
      </c>
      <c r="AJ51" s="965">
        <v>208.67567567567565</v>
      </c>
      <c r="AM51" s="3">
        <v>2057</v>
      </c>
      <c r="AN51" s="964">
        <v>3365.5387599999985</v>
      </c>
      <c r="AO51" s="964">
        <v>1032.0536</v>
      </c>
      <c r="AP51" s="964">
        <v>82.392799999999994</v>
      </c>
      <c r="AQ51" s="964">
        <v>1014.1015999999998</v>
      </c>
      <c r="AR51" s="964">
        <v>932.94560000000024</v>
      </c>
      <c r="AS51" s="964">
        <v>304.76760000000002</v>
      </c>
      <c r="AT51" s="965"/>
      <c r="AU51" s="965">
        <v>578.28191917968707</v>
      </c>
      <c r="AV51" s="965">
        <v>565.54774999999995</v>
      </c>
      <c r="AW51" s="965">
        <v>799.29559929660729</v>
      </c>
    </row>
    <row r="52" spans="1:49" ht="14.4" x14ac:dyDescent="0.55000000000000004">
      <c r="A52" s="3">
        <v>2058</v>
      </c>
      <c r="B52" s="964">
        <v>3728.9269406392696</v>
      </c>
      <c r="C52" s="964">
        <v>758.98105022831044</v>
      </c>
      <c r="D52" s="964">
        <v>234.13333333333338</v>
      </c>
      <c r="E52" s="964">
        <v>1462.3399543378996</v>
      </c>
      <c r="F52" s="964">
        <v>868.67511415525109</v>
      </c>
      <c r="G52" s="964">
        <v>401.68881278538811</v>
      </c>
      <c r="H52" s="965">
        <v>464.58867383193285</v>
      </c>
      <c r="I52" s="965">
        <v>556.21404722139869</v>
      </c>
      <c r="J52" s="965">
        <v>283.96533404486814</v>
      </c>
      <c r="K52" s="965">
        <v>375.74</v>
      </c>
      <c r="N52" s="3">
        <v>2058</v>
      </c>
      <c r="O52" s="964">
        <v>4033.799826837098</v>
      </c>
      <c r="P52" s="964">
        <v>756.69954654152923</v>
      </c>
      <c r="Q52" s="964">
        <v>157.86063190754896</v>
      </c>
      <c r="R52" s="964">
        <v>1720.8164317524979</v>
      </c>
      <c r="S52" s="964">
        <v>973.18487264529404</v>
      </c>
      <c r="T52" s="964">
        <v>425.23834399022974</v>
      </c>
      <c r="V52" s="3">
        <v>2058</v>
      </c>
      <c r="W52" s="964">
        <v>3662.0715129843902</v>
      </c>
      <c r="X52" s="983"/>
      <c r="Z52" s="3">
        <v>2058</v>
      </c>
      <c r="AA52" s="964">
        <v>3023.5675675675666</v>
      </c>
      <c r="AB52" s="941">
        <v>588.07647058823545</v>
      </c>
      <c r="AC52" s="941">
        <v>126.24117647058826</v>
      </c>
      <c r="AD52" s="941">
        <v>1072.4882352941177</v>
      </c>
      <c r="AE52" s="941">
        <v>607.27058823529421</v>
      </c>
      <c r="AF52" s="941">
        <v>491.4470588235294</v>
      </c>
      <c r="AG52" s="965">
        <v>599.67567567567585</v>
      </c>
      <c r="AH52" s="965">
        <v>426.64864864864876</v>
      </c>
      <c r="AI52" s="965">
        <v>231.81081081081084</v>
      </c>
      <c r="AJ52" s="965">
        <v>210.48648648648646</v>
      </c>
      <c r="AM52" s="3">
        <v>2058</v>
      </c>
      <c r="AN52" s="964">
        <v>3351.9922349999988</v>
      </c>
      <c r="AO52" s="964">
        <v>1032.1046000000001</v>
      </c>
      <c r="AP52" s="964">
        <v>81.500799999999984</v>
      </c>
      <c r="AQ52" s="964">
        <v>995.41509999999982</v>
      </c>
      <c r="AR52" s="964">
        <v>946.57410000000027</v>
      </c>
      <c r="AS52" s="964">
        <v>297.21235000000007</v>
      </c>
      <c r="AT52" s="965"/>
      <c r="AU52" s="965">
        <v>579.94141645844047</v>
      </c>
      <c r="AV52" s="965">
        <v>577.75399999999991</v>
      </c>
      <c r="AW52" s="965">
        <v>823.17066807614719</v>
      </c>
    </row>
    <row r="53" spans="1:49" ht="14.4" x14ac:dyDescent="0.55000000000000004">
      <c r="A53" s="3">
        <v>2059</v>
      </c>
      <c r="B53" s="964">
        <v>3769.7831050228315</v>
      </c>
      <c r="C53" s="964">
        <v>764.15468036529671</v>
      </c>
      <c r="D53" s="964">
        <v>235.43333333333337</v>
      </c>
      <c r="E53" s="964">
        <v>1478.5889269406393</v>
      </c>
      <c r="F53" s="964">
        <v>882.61518264840174</v>
      </c>
      <c r="G53" s="964">
        <v>405.73710045662096</v>
      </c>
      <c r="H53" s="965">
        <v>468.01737253179954</v>
      </c>
      <c r="I53" s="965">
        <v>563.55245988771617</v>
      </c>
      <c r="J53" s="965">
        <v>285.35985299881764</v>
      </c>
      <c r="K53" s="965">
        <v>378.17000000000007</v>
      </c>
      <c r="N53" s="3">
        <v>2059</v>
      </c>
      <c r="O53" s="964">
        <v>4067.4066469824311</v>
      </c>
      <c r="P53" s="964">
        <v>755.14221198223493</v>
      </c>
      <c r="Q53" s="964">
        <v>158.96795947807752</v>
      </c>
      <c r="R53" s="964">
        <v>1726.8550880234889</v>
      </c>
      <c r="S53" s="964">
        <v>999.72333123009753</v>
      </c>
      <c r="T53" s="964">
        <v>426.71805626853484</v>
      </c>
      <c r="V53" s="3">
        <v>2059</v>
      </c>
      <c r="W53" s="964">
        <v>3709.3070569570882</v>
      </c>
      <c r="X53" s="983"/>
      <c r="Z53" s="3">
        <v>2059</v>
      </c>
      <c r="AA53" s="964">
        <v>3061.5135135135124</v>
      </c>
      <c r="AB53" s="941">
        <v>589.32352941176487</v>
      </c>
      <c r="AC53" s="941">
        <v>125.00882352941179</v>
      </c>
      <c r="AD53" s="941">
        <v>1079.7117647058826</v>
      </c>
      <c r="AE53" s="941">
        <v>614.52941176470597</v>
      </c>
      <c r="AF53" s="941">
        <v>497.65294117647056</v>
      </c>
      <c r="AG53" s="965">
        <v>607.13513513513533</v>
      </c>
      <c r="AH53" s="965">
        <v>433.72972972972985</v>
      </c>
      <c r="AI53" s="965">
        <v>233.16216216216219</v>
      </c>
      <c r="AJ53" s="965">
        <v>212.29729729729726</v>
      </c>
      <c r="AM53" s="3">
        <v>2059</v>
      </c>
      <c r="AN53" s="964">
        <v>3336.8034399999988</v>
      </c>
      <c r="AO53" s="964">
        <v>1031.8384000000001</v>
      </c>
      <c r="AP53" s="964">
        <v>80.583199999999991</v>
      </c>
      <c r="AQ53" s="964">
        <v>975.77039999999977</v>
      </c>
      <c r="AR53" s="964">
        <v>960.20640000000026</v>
      </c>
      <c r="AS53" s="964">
        <v>289.31440000000003</v>
      </c>
      <c r="AT53" s="965"/>
      <c r="AU53" s="965">
        <v>581.42226507536827</v>
      </c>
      <c r="AV53" s="965">
        <v>590.15474999999992</v>
      </c>
      <c r="AW53" s="965">
        <v>847.53363204117136</v>
      </c>
    </row>
    <row r="54" spans="1:49" ht="14.7" thickBot="1" x14ac:dyDescent="0.6">
      <c r="A54" s="3">
        <v>2060</v>
      </c>
      <c r="B54" s="964">
        <v>3810.6392694063925</v>
      </c>
      <c r="C54" s="964">
        <v>769.32831050228299</v>
      </c>
      <c r="D54" s="964">
        <v>236.73333333333338</v>
      </c>
      <c r="E54" s="964">
        <v>1494.8378995433791</v>
      </c>
      <c r="F54" s="964">
        <v>896.5552511415525</v>
      </c>
      <c r="G54" s="964">
        <v>409.78538812785388</v>
      </c>
      <c r="H54" s="965">
        <v>471.44607123166622</v>
      </c>
      <c r="I54" s="965">
        <v>570.89087255403365</v>
      </c>
      <c r="J54" s="965">
        <v>286.7543719527672</v>
      </c>
      <c r="K54" s="965">
        <v>380.6</v>
      </c>
      <c r="N54" s="3">
        <v>2060</v>
      </c>
      <c r="O54" s="964">
        <v>4100.8565307798926</v>
      </c>
      <c r="P54" s="964">
        <v>753.30452618887296</v>
      </c>
      <c r="Q54" s="964">
        <v>160.17969926627384</v>
      </c>
      <c r="R54" s="964">
        <v>1732.321501934653</v>
      </c>
      <c r="S54" s="964">
        <v>1026.8706205799365</v>
      </c>
      <c r="T54" s="964">
        <v>428.18018281015867</v>
      </c>
      <c r="V54" s="3">
        <v>2060</v>
      </c>
      <c r="W54" s="964">
        <v>3756.5426009297853</v>
      </c>
      <c r="X54" s="983"/>
      <c r="Z54" s="3">
        <v>2060</v>
      </c>
      <c r="AA54" s="964">
        <v>3099.4594594594582</v>
      </c>
      <c r="AB54" s="942">
        <v>590.57058823529428</v>
      </c>
      <c r="AC54" s="942">
        <v>123.77647058823531</v>
      </c>
      <c r="AD54" s="942">
        <v>1086.9352941176471</v>
      </c>
      <c r="AE54" s="942">
        <v>621.78823529411784</v>
      </c>
      <c r="AF54" s="942">
        <v>503.85882352941178</v>
      </c>
      <c r="AG54" s="965">
        <v>614.59459459459481</v>
      </c>
      <c r="AH54" s="965">
        <v>440.81081081081095</v>
      </c>
      <c r="AI54" s="965">
        <v>234.51351351351354</v>
      </c>
      <c r="AJ54" s="965">
        <v>214.10810810810807</v>
      </c>
      <c r="AM54" s="3">
        <v>2060</v>
      </c>
      <c r="AN54" s="964">
        <v>3319.9723749999985</v>
      </c>
      <c r="AO54" s="964">
        <v>1031.2550000000001</v>
      </c>
      <c r="AP54" s="964">
        <v>79.639999999999986</v>
      </c>
      <c r="AQ54" s="964">
        <v>955.16749999999979</v>
      </c>
      <c r="AR54" s="964">
        <v>973.8425000000002</v>
      </c>
      <c r="AS54" s="964">
        <v>281.07375000000002</v>
      </c>
      <c r="AT54" s="965"/>
      <c r="AU54" s="965">
        <v>582.72446503047058</v>
      </c>
      <c r="AV54" s="965">
        <v>602.75</v>
      </c>
      <c r="AW54" s="965">
        <v>872.38449119167979</v>
      </c>
    </row>
    <row r="55" spans="1:49" ht="94" customHeight="1" x14ac:dyDescent="0.4">
      <c r="A55" s="1290" t="s">
        <v>1062</v>
      </c>
      <c r="B55" s="1290"/>
      <c r="C55" s="1290"/>
      <c r="D55" s="1290"/>
      <c r="E55" s="1290"/>
      <c r="F55" s="1290"/>
      <c r="G55" s="1290"/>
      <c r="H55" s="1290"/>
      <c r="I55" s="1290"/>
      <c r="J55" s="1290"/>
      <c r="K55" s="1290"/>
      <c r="N55" s="1291" t="s">
        <v>1026</v>
      </c>
      <c r="O55" s="1291"/>
      <c r="P55" s="1291"/>
      <c r="Q55" s="1291"/>
      <c r="R55" s="1291"/>
      <c r="S55" s="1291"/>
      <c r="T55" s="1291"/>
      <c r="V55" s="1292" t="s">
        <v>1030</v>
      </c>
      <c r="W55" s="1292"/>
      <c r="X55" s="984"/>
      <c r="Z55" s="1290" t="s">
        <v>9</v>
      </c>
      <c r="AA55" s="1290"/>
      <c r="AB55" s="1290"/>
      <c r="AC55" s="1290"/>
      <c r="AD55" s="1290"/>
      <c r="AE55" s="1290"/>
      <c r="AF55" s="1290"/>
      <c r="AG55" s="1290"/>
      <c r="AH55" s="1290"/>
      <c r="AI55" s="1290"/>
      <c r="AJ55" s="1290"/>
      <c r="AM55" s="1290" t="s">
        <v>1041</v>
      </c>
      <c r="AN55" s="1290"/>
      <c r="AO55" s="1290"/>
      <c r="AP55" s="1290"/>
      <c r="AQ55" s="1290"/>
      <c r="AR55" s="1290"/>
      <c r="AS55" s="1290"/>
      <c r="AT55" s="1290"/>
      <c r="AU55" s="1290"/>
      <c r="AV55" s="1290"/>
      <c r="AW55" s="1290"/>
    </row>
    <row r="56" spans="1:49" x14ac:dyDescent="0.4">
      <c r="A56" s="961"/>
      <c r="B56" s="961"/>
      <c r="C56" s="961"/>
      <c r="D56" s="961"/>
      <c r="E56" s="961"/>
      <c r="F56" s="961"/>
      <c r="G56" s="961"/>
      <c r="H56" s="961"/>
      <c r="I56" s="961"/>
      <c r="J56" s="961"/>
      <c r="K56" s="961"/>
      <c r="V56" s="1293"/>
      <c r="W56" s="1293"/>
      <c r="X56" s="984"/>
      <c r="Z56" s="961"/>
      <c r="AA56" s="961"/>
      <c r="AB56" s="961"/>
      <c r="AC56" s="961"/>
      <c r="AD56" s="961"/>
      <c r="AE56" s="961"/>
      <c r="AF56" s="961"/>
      <c r="AG56" s="961"/>
      <c r="AH56" s="961"/>
      <c r="AI56" s="961"/>
      <c r="AJ56" s="961"/>
    </row>
    <row r="57" spans="1:49" x14ac:dyDescent="0.4">
      <c r="A57" s="961"/>
      <c r="B57" s="961"/>
      <c r="C57" s="961"/>
      <c r="D57" s="961"/>
      <c r="E57" s="961"/>
      <c r="F57" s="961"/>
      <c r="G57" s="961"/>
      <c r="H57" s="961"/>
      <c r="I57" s="961"/>
      <c r="J57" s="961"/>
      <c r="K57" s="961"/>
      <c r="V57" s="1293"/>
      <c r="W57" s="1293"/>
      <c r="X57" s="984"/>
      <c r="Z57" s="961"/>
      <c r="AA57" s="961"/>
      <c r="AB57" s="961"/>
      <c r="AC57" s="961"/>
      <c r="AD57" s="961"/>
      <c r="AE57" s="961"/>
      <c r="AF57" s="961"/>
      <c r="AG57" s="961"/>
      <c r="AH57" s="961"/>
      <c r="AI57" s="961"/>
      <c r="AJ57" s="961"/>
    </row>
  </sheetData>
  <mergeCells count="5">
    <mergeCell ref="AM55:AW55"/>
    <mergeCell ref="Z55:AJ55"/>
    <mergeCell ref="N55:T55"/>
    <mergeCell ref="A55:K55"/>
    <mergeCell ref="V55:W57"/>
  </mergeCell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174"/>
    <cellWatch r="AZ175"/>
    <cellWatch r="AZ242"/>
    <cellWatch r="AZ243"/>
    <cellWatch r="AZ244"/>
    <cellWatch r="AZ245"/>
    <cellWatch r="AY139"/>
    <cellWatch r="AY140"/>
    <cellWatch r="AY141"/>
    <cellWatch r="AY142"/>
    <cellWatch r="AY143"/>
    <cellWatch r="AY144"/>
    <cellWatch r="AY145"/>
    <cellWatch r="AY146"/>
    <cellWatch r="AY147"/>
    <cellWatch r="AZ176"/>
    <cellWatch r="AZ177"/>
    <cellWatch r="AZ178"/>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Y135"/>
    <cellWatch r="AY136"/>
    <cellWatch r="AY137"/>
    <cellWatch r="AY138"/>
    <cellWatch r="AZ179"/>
    <cellWatch r="AZ180"/>
    <cellWatch r="AZ181"/>
    <cellWatch r="AZ182"/>
    <cellWatch r="BB172"/>
    <cellWatch r="AZ246"/>
    <cellWatch r="AY183"/>
    <cellWatch r="AY184"/>
    <cellWatch r="AY185"/>
    <cellWatch r="AY186"/>
    <cellWatch r="AY187"/>
    <cellWatch r="BA172"/>
    <cellWatch r="AZ322"/>
    <cellWatch r="BB173"/>
    <cellWatch r="AZ247"/>
    <cellWatch r="AY188"/>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BA212"/>
    <cellWatch r="BA213"/>
    <cellWatch r="BA214"/>
    <cellWatch r="BA215"/>
    <cellWatch r="BA216"/>
    <cellWatch r="BA217"/>
    <cellWatch r="BA218"/>
    <cellWatch r="BA219"/>
    <cellWatch r="BA220"/>
    <cellWatch r="BA221"/>
    <cellWatch r="BA222"/>
    <cellWatch r="BA223"/>
    <cellWatch r="BA224"/>
    <cellWatch r="BA225"/>
    <cellWatch r="BA226"/>
    <cellWatch r="BA227"/>
    <cellWatch r="BA228"/>
    <cellWatch r="BA229"/>
    <cellWatch r="BA230"/>
    <cellWatch r="BA231"/>
    <cellWatch r="BA232"/>
    <cellWatch r="BA233"/>
    <cellWatch r="BA234"/>
    <cellWatch r="BA235"/>
    <cellWatch r="BA236"/>
    <cellWatch r="BA237"/>
    <cellWatch r="BA238"/>
    <cellWatch r="BA239"/>
    <cellWatch r="BA240"/>
    <cellWatch r="BA241"/>
    <cellWatch r="BC137"/>
    <cellWatch r="BC138"/>
    <cellWatch r="BC139"/>
    <cellWatch r="BC140"/>
    <cellWatch r="BC141"/>
    <cellWatch r="BC142"/>
    <cellWatch r="BC143"/>
    <cellWatch r="BC144"/>
    <cellWatch r="BC145"/>
    <cellWatch r="BC146"/>
    <cellWatch r="BC147"/>
    <cellWatch r="BC148"/>
    <cellWatch r="BC149"/>
    <cellWatch r="BC150"/>
    <cellWatch r="BC151"/>
    <cellWatch r="BC152"/>
    <cellWatch r="BC153"/>
    <cellWatch r="BC154"/>
    <cellWatch r="BC155"/>
    <cellWatch r="BC156"/>
    <cellWatch r="BC157"/>
    <cellWatch r="BC158"/>
    <cellWatch r="BC159"/>
    <cellWatch r="BC160"/>
    <cellWatch r="BC161"/>
    <cellWatch r="BC162"/>
    <cellWatch r="BC163"/>
    <cellWatch r="BC164"/>
    <cellWatch r="BC165"/>
    <cellWatch r="BC166"/>
    <cellWatch r="BC167"/>
    <cellWatch r="BC168"/>
    <cellWatch r="BC169"/>
    <cellWatch r="BC170"/>
    <cellWatch r="BC171"/>
    <cellWatch r="AZ183"/>
    <cellWatch r="AZ184"/>
    <cellWatch r="AZ185"/>
    <cellWatch r="AZ186"/>
    <cellWatch r="AZ187"/>
  </cellWatch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1DC0C-3E44-4291-A382-AC39507654B1}">
  <dimension ref="A1:EV707"/>
  <sheetViews>
    <sheetView topLeftCell="A45" zoomScale="50" zoomScaleNormal="50" workbookViewId="0">
      <selection activeCell="I90" sqref="I90"/>
    </sheetView>
  </sheetViews>
  <sheetFormatPr defaultColWidth="10.83203125" defaultRowHeight="12.3" x14ac:dyDescent="0.4"/>
  <cols>
    <col min="1" max="1" width="27" style="609" customWidth="1"/>
    <col min="2" max="2" width="22.1640625" style="609" customWidth="1"/>
    <col min="3" max="3" width="24.33203125" style="609" customWidth="1"/>
    <col min="4" max="4" width="11.6640625" style="609" bestFit="1" customWidth="1"/>
    <col min="5" max="5" width="10.83203125" style="609"/>
    <col min="6" max="6" width="10.83203125" style="371"/>
    <col min="7" max="16384" width="10.83203125" style="609"/>
  </cols>
  <sheetData>
    <row r="1" spans="1:135" ht="20.100000000000001" x14ac:dyDescent="0.7">
      <c r="A1" s="4" t="str">
        <f ca="1">MID(CELL("filename",A1),FIND("]",CELL("filename",A1))+1,256)</f>
        <v>Total MSW TAM Data_2021 Archive</v>
      </c>
      <c r="B1" s="4"/>
      <c r="C1" s="670" t="s">
        <v>280</v>
      </c>
      <c r="D1" s="670"/>
      <c r="E1" s="670"/>
      <c r="F1" s="670"/>
      <c r="G1" s="670"/>
      <c r="H1" s="670"/>
      <c r="I1" s="670"/>
      <c r="J1" s="670"/>
      <c r="K1" s="670"/>
      <c r="L1" s="670"/>
      <c r="M1" s="670"/>
      <c r="N1" s="5"/>
      <c r="O1" s="5"/>
      <c r="P1" s="5"/>
      <c r="Q1" s="6"/>
      <c r="S1" s="4"/>
      <c r="T1" s="4"/>
      <c r="U1" s="6"/>
      <c r="V1" s="7"/>
      <c r="W1" s="7"/>
      <c r="X1" s="8"/>
      <c r="Y1" s="8"/>
      <c r="Z1" s="8"/>
      <c r="AA1" s="8"/>
      <c r="AB1" s="8"/>
      <c r="AC1" s="8"/>
      <c r="AD1" s="8"/>
      <c r="AE1" s="8"/>
      <c r="AF1" s="9"/>
      <c r="AG1" s="671" t="s">
        <v>11</v>
      </c>
      <c r="AH1" s="671"/>
      <c r="AI1" s="671"/>
      <c r="AJ1" s="671"/>
      <c r="AK1" s="671"/>
      <c r="DW1" s="10"/>
      <c r="EA1" s="11"/>
      <c r="EB1" s="11"/>
      <c r="EC1" s="11"/>
      <c r="ED1" s="11"/>
      <c r="EE1" s="11"/>
    </row>
    <row r="2" spans="1:135" ht="17.7" x14ac:dyDescent="0.5">
      <c r="A2" s="12" t="s">
        <v>12</v>
      </c>
      <c r="B2" s="13"/>
      <c r="C2" s="14"/>
      <c r="D2" s="15"/>
      <c r="E2" s="15"/>
      <c r="F2" s="15"/>
      <c r="G2" s="15"/>
      <c r="H2" s="15"/>
      <c r="I2" s="15"/>
      <c r="J2" s="15"/>
      <c r="K2" s="15"/>
      <c r="L2" s="15"/>
      <c r="M2" s="15"/>
      <c r="N2" s="16"/>
      <c r="O2" s="16"/>
      <c r="P2" s="16"/>
      <c r="Q2" s="16"/>
      <c r="R2" s="16"/>
      <c r="S2" s="16"/>
      <c r="T2" s="16"/>
      <c r="U2" s="17"/>
      <c r="V2" s="18"/>
      <c r="W2" s="17"/>
      <c r="X2" s="17"/>
      <c r="Y2" s="17"/>
      <c r="Z2" s="17"/>
      <c r="AA2" s="17"/>
      <c r="AB2" s="17"/>
      <c r="AC2" s="17"/>
      <c r="AD2" s="17"/>
      <c r="AE2" s="17"/>
      <c r="AF2" s="17"/>
      <c r="AG2" s="19" t="s">
        <v>13</v>
      </c>
      <c r="AH2" s="19"/>
      <c r="AI2" s="19" t="s">
        <v>14</v>
      </c>
      <c r="AJ2" s="19" t="s">
        <v>15</v>
      </c>
      <c r="AK2" s="19" t="s">
        <v>16</v>
      </c>
      <c r="DW2" s="21"/>
      <c r="EA2" s="22"/>
      <c r="EB2" s="22"/>
      <c r="EC2" s="22"/>
      <c r="ED2" s="22"/>
      <c r="EE2" s="22"/>
    </row>
    <row r="3" spans="1:135" ht="17.7" x14ac:dyDescent="0.5">
      <c r="A3" s="23" t="str">
        <f ca="1">HYPERLINK("#"&amp;"'"&amp;A$1&amp;"'!TAMInputGlobalData","Input Global Data")</f>
        <v>Input Global Data</v>
      </c>
      <c r="B3" s="24"/>
      <c r="C3" s="14"/>
      <c r="G3" s="26"/>
      <c r="H3" s="27"/>
      <c r="I3" s="28"/>
      <c r="U3" s="17"/>
      <c r="V3" s="30" t="s">
        <v>17</v>
      </c>
      <c r="W3" s="19"/>
      <c r="X3" s="19"/>
      <c r="Y3" s="19"/>
      <c r="Z3" s="19"/>
      <c r="AA3" s="19"/>
      <c r="AB3" s="31" t="s">
        <v>18</v>
      </c>
      <c r="AC3" s="19" t="s">
        <v>14</v>
      </c>
      <c r="AD3" s="19"/>
      <c r="AE3" s="19"/>
      <c r="AF3" s="32"/>
      <c r="AG3" s="32" t="s">
        <v>19</v>
      </c>
      <c r="AH3" s="32"/>
      <c r="AI3" s="32" t="s">
        <v>20</v>
      </c>
      <c r="AJ3" s="32" t="s">
        <v>21</v>
      </c>
      <c r="AK3" s="32" t="s">
        <v>22</v>
      </c>
    </row>
    <row r="4" spans="1:135" ht="15" x14ac:dyDescent="0.5">
      <c r="A4" s="34" t="str">
        <f ca="1">HYPERLINK("#"&amp;"'"&amp;A$1&amp;"'!TAMInputOECD90","Input OECD90 Data")</f>
        <v>Input OECD90 Data</v>
      </c>
      <c r="B4" s="24"/>
      <c r="C4" s="14"/>
      <c r="D4" s="35"/>
      <c r="O4" s="36"/>
      <c r="P4" s="36"/>
      <c r="Q4" s="36"/>
      <c r="R4" s="36"/>
      <c r="U4" s="19" t="s">
        <v>23</v>
      </c>
      <c r="V4" s="19" t="str">
        <f>$B$19</f>
        <v>3rd Poly</v>
      </c>
      <c r="W4" s="19"/>
      <c r="X4" s="19"/>
      <c r="Y4" s="19"/>
      <c r="Z4" s="19"/>
      <c r="AA4" s="19"/>
      <c r="AB4" s="19" t="s">
        <v>23</v>
      </c>
      <c r="AC4" s="19"/>
      <c r="AD4" s="19"/>
      <c r="AE4" s="19"/>
      <c r="AF4" s="32"/>
      <c r="AG4" s="32" t="s">
        <v>24</v>
      </c>
      <c r="AH4" s="32"/>
      <c r="AI4" s="32"/>
      <c r="AJ4" s="32" t="s">
        <v>25</v>
      </c>
      <c r="AK4" s="32" t="s">
        <v>26</v>
      </c>
    </row>
    <row r="5" spans="1:135" ht="15" x14ac:dyDescent="0.5">
      <c r="A5" s="34" t="str">
        <f ca="1">HYPERLINK("#"&amp;"'"&amp;A$1&amp;"'!TAMInputEasternEurope","Input Eastern Europe Data")</f>
        <v>Input Eastern Europe Data</v>
      </c>
      <c r="B5" s="24"/>
      <c r="C5" s="37"/>
      <c r="D5" s="35"/>
      <c r="O5" s="36"/>
      <c r="P5" s="36"/>
      <c r="Q5" s="36"/>
      <c r="R5" s="36"/>
      <c r="U5" s="19" t="s">
        <v>27</v>
      </c>
      <c r="V5" s="19" t="str">
        <f>$C$19</f>
        <v>Medium</v>
      </c>
      <c r="W5" s="19"/>
      <c r="X5" s="19"/>
      <c r="Y5" s="19"/>
      <c r="Z5" s="19"/>
      <c r="AA5" s="19"/>
      <c r="AB5" s="19" t="s">
        <v>27</v>
      </c>
      <c r="AC5" s="19"/>
      <c r="AD5" s="19"/>
      <c r="AE5" s="19"/>
      <c r="AF5" s="32"/>
      <c r="AG5" s="32"/>
      <c r="AH5" s="32"/>
      <c r="AI5" s="32"/>
      <c r="AJ5" s="32"/>
      <c r="AK5" s="32" t="s">
        <v>28</v>
      </c>
    </row>
    <row r="6" spans="1:135" ht="15" x14ac:dyDescent="0.5">
      <c r="A6" s="34" t="str">
        <f ca="1">HYPERLINK("#"&amp;"'"&amp;A$1&amp;"'!TAMInputAsia","Input Asia (sans Japan) Data")</f>
        <v>Input Asia (sans Japan) Data</v>
      </c>
      <c r="B6" s="24"/>
      <c r="C6" s="37"/>
      <c r="U6" s="19"/>
      <c r="V6" s="19"/>
      <c r="W6" s="19"/>
      <c r="X6" s="19"/>
      <c r="Y6" s="19"/>
      <c r="Z6" s="19"/>
      <c r="AA6" s="19"/>
      <c r="AB6" s="19"/>
      <c r="AC6" s="19"/>
      <c r="AD6" s="19"/>
      <c r="AE6" s="19"/>
      <c r="AF6" s="32"/>
      <c r="AG6" s="32" t="s">
        <v>29</v>
      </c>
      <c r="AH6" s="32"/>
      <c r="AI6" s="32"/>
      <c r="AJ6" s="32"/>
      <c r="AK6" s="32"/>
    </row>
    <row r="7" spans="1:135" ht="15" x14ac:dyDescent="0.5">
      <c r="A7" s="34" t="str">
        <f ca="1">HYPERLINK("#"&amp;"'"&amp;A$1&amp;"'!TAMInputMiddleEastAfrica","Input Middle East &amp; Africa Data")</f>
        <v>Input Middle East &amp; Africa Data</v>
      </c>
      <c r="B7" s="24"/>
      <c r="C7" s="38"/>
      <c r="D7" s="35"/>
      <c r="U7" s="19"/>
      <c r="V7" s="19"/>
      <c r="W7" s="19"/>
      <c r="X7" s="39"/>
      <c r="Y7" s="19"/>
      <c r="Z7" s="19"/>
      <c r="AA7" s="32"/>
      <c r="AB7" s="31" t="s">
        <v>30</v>
      </c>
      <c r="AC7" s="19" t="s">
        <v>281</v>
      </c>
      <c r="AD7" s="19"/>
      <c r="AE7" s="19"/>
      <c r="AF7" s="32"/>
      <c r="AG7" s="32" t="s">
        <v>31</v>
      </c>
      <c r="AH7" s="32"/>
      <c r="AI7" s="32"/>
      <c r="AJ7" s="32"/>
      <c r="AK7" s="32"/>
    </row>
    <row r="8" spans="1:135" ht="15" x14ac:dyDescent="0.5">
      <c r="A8" s="34" t="str">
        <f ca="1">HYPERLINK("#"&amp;"'"&amp;A$1&amp;"'!TAMInputLatinAmerica","Input Latin America Data")</f>
        <v>Input Latin America Data</v>
      </c>
      <c r="B8" s="24"/>
      <c r="C8" s="37"/>
      <c r="U8" s="19"/>
      <c r="V8" s="19"/>
      <c r="W8" s="32"/>
      <c r="X8" s="32"/>
      <c r="Y8" s="19"/>
      <c r="Z8" s="19"/>
      <c r="AA8" s="19"/>
      <c r="AB8" s="19"/>
      <c r="AC8" s="19"/>
      <c r="AD8" s="19"/>
      <c r="AE8" s="19"/>
      <c r="AF8" s="32"/>
      <c r="AG8" s="32"/>
      <c r="AH8" s="32"/>
      <c r="AI8" s="32"/>
      <c r="AJ8" s="32"/>
      <c r="AK8" s="32"/>
    </row>
    <row r="9" spans="1:135" ht="15" x14ac:dyDescent="0.5">
      <c r="A9" s="34" t="str">
        <f ca="1">HYPERLINK("#"&amp;"'"&amp;A$1&amp;"'!TAMInputChina","Input China Data")</f>
        <v>Input China Data</v>
      </c>
      <c r="B9" s="24"/>
      <c r="C9" s="37"/>
      <c r="U9" s="32"/>
      <c r="V9" s="32"/>
      <c r="W9" s="32"/>
      <c r="X9" s="32"/>
      <c r="Y9" s="40"/>
      <c r="Z9" s="41"/>
      <c r="AA9" s="41"/>
      <c r="AB9" s="41"/>
      <c r="AC9" s="19"/>
      <c r="AD9" s="19"/>
      <c r="AE9" s="19"/>
      <c r="AF9" s="32"/>
      <c r="AG9" s="32"/>
      <c r="AH9" s="32"/>
      <c r="AI9" s="32"/>
      <c r="AJ9" s="32"/>
      <c r="AK9" s="32"/>
    </row>
    <row r="10" spans="1:135" ht="15" x14ac:dyDescent="0.5">
      <c r="A10" s="34" t="str">
        <f ca="1">HYPERLINK("#"&amp;"'"&amp;A$1&amp;"'!TAMInputIndia","Input India Data")</f>
        <v>Input India Data</v>
      </c>
      <c r="U10" s="32"/>
      <c r="V10" s="32"/>
      <c r="W10" s="32"/>
      <c r="X10" s="32"/>
      <c r="Y10" s="32"/>
      <c r="Z10" s="32"/>
      <c r="AA10" s="32"/>
      <c r="AB10" s="32"/>
      <c r="AC10" s="32"/>
      <c r="AD10" s="32"/>
      <c r="AE10" s="32"/>
      <c r="AF10" s="32"/>
      <c r="AG10" s="32"/>
      <c r="AH10" s="32"/>
      <c r="AI10" s="32"/>
      <c r="AJ10" s="32"/>
      <c r="AK10" s="32"/>
    </row>
    <row r="11" spans="1:135" ht="15" x14ac:dyDescent="0.5">
      <c r="A11" s="34" t="str">
        <f ca="1">HYPERLINK("#"&amp;"'"&amp;A$1&amp;"'!TAMInputEU","Input EU Data")</f>
        <v>Input EU Data</v>
      </c>
      <c r="U11" s="32"/>
      <c r="V11" s="32"/>
      <c r="W11" s="32"/>
      <c r="X11" s="32"/>
      <c r="Y11" s="32"/>
      <c r="Z11" s="32"/>
      <c r="AA11" s="32"/>
      <c r="AB11" s="32"/>
      <c r="AC11" s="32"/>
      <c r="AD11" s="32"/>
      <c r="AE11" s="32"/>
      <c r="AF11" s="19"/>
      <c r="AG11" s="32"/>
      <c r="AH11" s="32"/>
      <c r="AI11" s="32"/>
      <c r="AJ11" s="32"/>
      <c r="AK11" s="32"/>
    </row>
    <row r="12" spans="1:135" ht="15" x14ac:dyDescent="0.5">
      <c r="A12" s="34" t="str">
        <f ca="1">HYPERLINK("#"&amp;"'"&amp;A$1&amp;"'!TAMInputUSA","Input USA Data")</f>
        <v>Input USA Data</v>
      </c>
      <c r="U12" s="32"/>
      <c r="V12" s="32"/>
      <c r="W12" s="32"/>
      <c r="X12" s="32"/>
      <c r="Y12" s="32"/>
      <c r="Z12" s="32"/>
      <c r="AA12" s="32"/>
      <c r="AB12" s="32"/>
      <c r="AC12" s="32"/>
      <c r="AD12" s="32"/>
      <c r="AE12" s="32"/>
      <c r="AF12" s="19"/>
      <c r="AG12" s="32"/>
      <c r="AH12" s="32"/>
      <c r="AI12" s="32"/>
      <c r="AJ12" s="32"/>
      <c r="AK12" s="32"/>
    </row>
    <row r="13" spans="1:135" ht="15" x14ac:dyDescent="0.5">
      <c r="A13" s="34" t="str">
        <f ca="1">HYPERLINK("#"&amp;"'"&amp;A$1&amp;"'!TAMFactoring","TAM Calculations/Factoring")</f>
        <v>TAM Calculations/Factoring</v>
      </c>
      <c r="U13" s="32"/>
      <c r="V13" s="32"/>
      <c r="W13" s="32"/>
      <c r="X13" s="32"/>
      <c r="Y13" s="32"/>
      <c r="Z13" s="32"/>
      <c r="AA13" s="32"/>
      <c r="AB13" s="32"/>
      <c r="AC13" s="32"/>
      <c r="AD13" s="32"/>
      <c r="AE13" s="32"/>
      <c r="AF13" s="19"/>
      <c r="AG13" s="32"/>
      <c r="AH13" s="32"/>
      <c r="AI13" s="32"/>
      <c r="AJ13" s="32"/>
      <c r="AK13" s="32"/>
    </row>
    <row r="14" spans="1:135" ht="17.7" x14ac:dyDescent="0.4">
      <c r="A14" s="672" t="s">
        <v>32</v>
      </c>
      <c r="B14" s="672"/>
      <c r="C14" s="672"/>
      <c r="D14" s="672"/>
      <c r="E14" s="672"/>
      <c r="F14" s="42"/>
      <c r="G14" s="672" t="s">
        <v>33</v>
      </c>
      <c r="H14" s="672"/>
      <c r="I14" s="672"/>
      <c r="J14" s="672"/>
      <c r="K14" s="672"/>
      <c r="L14" s="672"/>
      <c r="M14" s="672"/>
      <c r="N14" s="672"/>
      <c r="O14" s="672"/>
      <c r="P14" s="672"/>
      <c r="Q14" s="672"/>
      <c r="R14" s="672"/>
      <c r="S14" s="672"/>
      <c r="T14" s="672"/>
      <c r="U14" s="43"/>
      <c r="V14" s="44"/>
      <c r="W14" s="45"/>
      <c r="X14" s="32"/>
      <c r="Y14" s="32"/>
      <c r="Z14" s="32"/>
      <c r="AA14" s="32"/>
      <c r="AB14" s="32"/>
      <c r="AC14" s="32"/>
      <c r="AD14" s="32"/>
      <c r="AE14" s="32"/>
      <c r="AF14" s="19"/>
      <c r="AG14" s="32"/>
      <c r="AH14" s="32"/>
      <c r="AI14" s="32"/>
      <c r="AJ14" s="32"/>
      <c r="AK14" s="32"/>
      <c r="DW14" s="47"/>
      <c r="EA14" s="48"/>
      <c r="EB14" s="48"/>
      <c r="EC14" s="48"/>
      <c r="ED14" s="48"/>
      <c r="EE14" s="48"/>
    </row>
    <row r="15" spans="1:135" ht="60" x14ac:dyDescent="0.5">
      <c r="C15" s="50"/>
      <c r="D15" s="50"/>
      <c r="E15" s="50"/>
      <c r="F15" s="42"/>
      <c r="G15" s="50"/>
      <c r="H15" s="673" t="s">
        <v>34</v>
      </c>
      <c r="I15" s="673"/>
      <c r="J15" s="673"/>
      <c r="K15" s="673"/>
      <c r="L15" s="673"/>
      <c r="M15" s="673"/>
      <c r="N15" s="51"/>
      <c r="O15" s="52"/>
      <c r="Q15" s="53" t="s">
        <v>35</v>
      </c>
      <c r="U15" s="46"/>
      <c r="DW15" s="54"/>
      <c r="EA15" s="55"/>
      <c r="EB15" s="55"/>
      <c r="EC15" s="55"/>
      <c r="ED15" s="55"/>
      <c r="EE15" s="55"/>
    </row>
    <row r="16" spans="1:135" ht="15" x14ac:dyDescent="0.5">
      <c r="F16" s="42"/>
      <c r="H16" s="664" t="s">
        <v>36</v>
      </c>
      <c r="I16" s="665"/>
      <c r="J16" s="56" t="s">
        <v>37</v>
      </c>
      <c r="K16" s="57"/>
      <c r="L16" s="56" t="s">
        <v>23</v>
      </c>
      <c r="M16" s="58" t="s">
        <v>38</v>
      </c>
      <c r="N16" s="59" t="s">
        <v>39</v>
      </c>
      <c r="O16" s="60"/>
      <c r="P16" s="61" t="s">
        <v>40</v>
      </c>
      <c r="Q16" s="62">
        <v>1</v>
      </c>
      <c r="R16" s="63" t="s">
        <v>41</v>
      </c>
      <c r="S16" s="64" t="s">
        <v>39</v>
      </c>
      <c r="U16" s="46"/>
      <c r="AH16" s="65"/>
    </row>
    <row r="17" spans="1:34" ht="15" x14ac:dyDescent="0.5">
      <c r="A17" s="668" t="s">
        <v>34</v>
      </c>
      <c r="B17" s="668"/>
      <c r="D17" s="669" t="str">
        <f>IF(C19="Medium","","**Adjust global sensitivity analysis below as necessary**")</f>
        <v/>
      </c>
      <c r="E17" s="66"/>
      <c r="F17" s="42"/>
      <c r="H17" s="666"/>
      <c r="I17" s="667"/>
      <c r="J17" s="67" t="s">
        <v>14</v>
      </c>
      <c r="K17" s="68"/>
      <c r="L17" s="67" t="s">
        <v>26</v>
      </c>
      <c r="M17" s="67" t="s">
        <v>21</v>
      </c>
      <c r="N17" s="59" t="s">
        <v>39</v>
      </c>
      <c r="O17" s="69"/>
      <c r="P17" s="70" t="s">
        <v>42</v>
      </c>
      <c r="Q17" s="62">
        <v>1</v>
      </c>
      <c r="R17" s="71" t="s">
        <v>41</v>
      </c>
      <c r="S17" s="64" t="s">
        <v>39</v>
      </c>
      <c r="U17" s="46"/>
      <c r="AH17" s="65"/>
    </row>
    <row r="18" spans="1:34" ht="15" x14ac:dyDescent="0.5">
      <c r="B18" s="72" t="s">
        <v>23</v>
      </c>
      <c r="C18" s="73" t="s">
        <v>38</v>
      </c>
      <c r="D18" s="669"/>
      <c r="E18" s="66"/>
      <c r="F18" s="74"/>
      <c r="H18" s="75"/>
      <c r="I18" s="76"/>
      <c r="J18" s="77"/>
      <c r="K18" s="77"/>
      <c r="L18" s="78"/>
      <c r="M18" s="78"/>
      <c r="N18" s="79"/>
      <c r="O18" s="51"/>
      <c r="P18" s="80"/>
      <c r="Q18" s="81"/>
      <c r="R18" s="82"/>
      <c r="S18" s="83"/>
      <c r="U18" s="46"/>
      <c r="AH18" s="65"/>
    </row>
    <row r="19" spans="1:34" ht="30" x14ac:dyDescent="0.5">
      <c r="A19" s="84" t="s">
        <v>43</v>
      </c>
      <c r="B19" s="85" t="s">
        <v>26</v>
      </c>
      <c r="C19" s="86" t="s">
        <v>21</v>
      </c>
      <c r="D19" s="669"/>
      <c r="E19" s="66"/>
      <c r="F19" s="74"/>
      <c r="H19" s="664" t="s">
        <v>44</v>
      </c>
      <c r="I19" s="665"/>
      <c r="J19" s="56" t="s">
        <v>37</v>
      </c>
      <c r="K19" s="57"/>
      <c r="L19" s="56" t="s">
        <v>23</v>
      </c>
      <c r="M19" s="58" t="s">
        <v>38</v>
      </c>
      <c r="N19" s="59" t="s">
        <v>39</v>
      </c>
      <c r="O19" s="60"/>
      <c r="P19" s="61" t="s">
        <v>40</v>
      </c>
      <c r="Q19" s="62">
        <v>1</v>
      </c>
      <c r="R19" s="63" t="s">
        <v>41</v>
      </c>
      <c r="S19" s="64" t="s">
        <v>39</v>
      </c>
      <c r="U19" s="46"/>
      <c r="AH19" s="65"/>
    </row>
    <row r="20" spans="1:34" ht="15" x14ac:dyDescent="0.5">
      <c r="D20" s="669"/>
      <c r="E20" s="66"/>
      <c r="F20" s="87"/>
      <c r="H20" s="666"/>
      <c r="I20" s="667"/>
      <c r="J20" s="67" t="s">
        <v>14</v>
      </c>
      <c r="K20" s="68"/>
      <c r="L20" s="67" t="s">
        <v>26</v>
      </c>
      <c r="M20" s="67" t="s">
        <v>21</v>
      </c>
      <c r="N20" s="59" t="s">
        <v>39</v>
      </c>
      <c r="O20" s="69"/>
      <c r="P20" s="70" t="s">
        <v>42</v>
      </c>
      <c r="Q20" s="62">
        <v>1</v>
      </c>
      <c r="R20" s="71" t="s">
        <v>41</v>
      </c>
      <c r="S20" s="64" t="s">
        <v>39</v>
      </c>
      <c r="U20" s="46"/>
      <c r="AH20" s="65"/>
    </row>
    <row r="21" spans="1:34" ht="15" x14ac:dyDescent="0.5">
      <c r="A21" s="668" t="s">
        <v>45</v>
      </c>
      <c r="B21" s="668"/>
      <c r="F21" s="74"/>
      <c r="H21" s="75"/>
      <c r="I21" s="76"/>
      <c r="J21" s="77"/>
      <c r="K21" s="77"/>
      <c r="L21" s="78"/>
      <c r="M21" s="78"/>
      <c r="N21" s="79"/>
      <c r="O21" s="88"/>
      <c r="P21" s="80"/>
      <c r="Q21" s="81"/>
      <c r="R21" s="82"/>
      <c r="S21" s="83"/>
      <c r="U21" s="46"/>
      <c r="AB21" s="89"/>
      <c r="AC21" s="89"/>
      <c r="AD21" s="89"/>
      <c r="AE21" s="89"/>
      <c r="AF21" s="89"/>
      <c r="AG21" s="65"/>
      <c r="AH21" s="65"/>
    </row>
    <row r="22" spans="1:34" ht="45" x14ac:dyDescent="0.5">
      <c r="F22" s="74"/>
      <c r="H22" s="664" t="s">
        <v>46</v>
      </c>
      <c r="I22" s="665"/>
      <c r="J22" s="56" t="s">
        <v>37</v>
      </c>
      <c r="K22" s="57"/>
      <c r="L22" s="56" t="s">
        <v>23</v>
      </c>
      <c r="M22" s="58" t="s">
        <v>38</v>
      </c>
      <c r="N22" s="59" t="s">
        <v>39</v>
      </c>
      <c r="O22" s="60"/>
      <c r="P22" s="61" t="s">
        <v>40</v>
      </c>
      <c r="Q22" s="62">
        <v>1</v>
      </c>
      <c r="R22" s="63" t="s">
        <v>41</v>
      </c>
      <c r="S22" s="64" t="s">
        <v>39</v>
      </c>
      <c r="U22" s="46"/>
      <c r="AB22" s="90"/>
      <c r="AC22" s="89"/>
      <c r="AD22" s="89"/>
      <c r="AE22" s="89"/>
      <c r="AF22" s="89"/>
      <c r="AG22" s="65"/>
      <c r="AH22" s="65"/>
    </row>
    <row r="23" spans="1:34" ht="90" x14ac:dyDescent="0.5">
      <c r="A23" s="91" t="s">
        <v>47</v>
      </c>
      <c r="B23" s="676" t="s">
        <v>48</v>
      </c>
      <c r="C23" s="676"/>
      <c r="F23" s="74"/>
      <c r="H23" s="666"/>
      <c r="I23" s="667"/>
      <c r="J23" s="67" t="s">
        <v>14</v>
      </c>
      <c r="K23" s="68"/>
      <c r="L23" s="67" t="s">
        <v>26</v>
      </c>
      <c r="M23" s="67" t="s">
        <v>21</v>
      </c>
      <c r="N23" s="59" t="s">
        <v>39</v>
      </c>
      <c r="O23" s="69"/>
      <c r="P23" s="70" t="s">
        <v>42</v>
      </c>
      <c r="Q23" s="62">
        <v>1</v>
      </c>
      <c r="R23" s="71" t="s">
        <v>41</v>
      </c>
      <c r="S23" s="64" t="s">
        <v>39</v>
      </c>
      <c r="U23" s="46"/>
      <c r="AB23" s="89"/>
      <c r="AC23" s="92"/>
      <c r="AD23" s="89"/>
      <c r="AE23" s="89"/>
      <c r="AF23" s="89"/>
    </row>
    <row r="24" spans="1:34" ht="15" x14ac:dyDescent="0.5">
      <c r="A24" s="93" t="s">
        <v>40</v>
      </c>
      <c r="B24" s="62">
        <v>1</v>
      </c>
      <c r="C24" s="94" t="s">
        <v>41</v>
      </c>
      <c r="D24" s="59" t="s">
        <v>39</v>
      </c>
      <c r="F24" s="74"/>
      <c r="H24" s="75"/>
      <c r="I24" s="76"/>
      <c r="J24" s="77"/>
      <c r="K24" s="77"/>
      <c r="L24" s="78"/>
      <c r="M24" s="78"/>
      <c r="N24" s="79"/>
      <c r="O24" s="51"/>
      <c r="P24" s="80"/>
      <c r="Q24" s="81"/>
      <c r="R24" s="82"/>
      <c r="S24" s="83"/>
      <c r="U24" s="46"/>
      <c r="AB24" s="89"/>
      <c r="AC24" s="89"/>
      <c r="AD24" s="89"/>
      <c r="AE24" s="89"/>
      <c r="AF24" s="89"/>
    </row>
    <row r="25" spans="1:34" ht="45" x14ac:dyDescent="0.5">
      <c r="A25" s="93" t="s">
        <v>42</v>
      </c>
      <c r="B25" s="62">
        <v>1</v>
      </c>
      <c r="C25" s="94" t="s">
        <v>41</v>
      </c>
      <c r="D25" s="59" t="s">
        <v>39</v>
      </c>
      <c r="F25" s="74"/>
      <c r="H25" s="664" t="s">
        <v>49</v>
      </c>
      <c r="I25" s="665"/>
      <c r="J25" s="56" t="s">
        <v>37</v>
      </c>
      <c r="K25" s="57"/>
      <c r="L25" s="56" t="s">
        <v>23</v>
      </c>
      <c r="M25" s="58" t="s">
        <v>38</v>
      </c>
      <c r="N25" s="59" t="s">
        <v>39</v>
      </c>
      <c r="O25" s="60"/>
      <c r="P25" s="61" t="s">
        <v>40</v>
      </c>
      <c r="Q25" s="62">
        <v>1</v>
      </c>
      <c r="R25" s="63" t="s">
        <v>41</v>
      </c>
      <c r="S25" s="64" t="s">
        <v>39</v>
      </c>
      <c r="U25" s="46"/>
      <c r="AB25" s="90"/>
      <c r="AC25" s="89"/>
      <c r="AD25" s="89"/>
      <c r="AE25" s="89"/>
      <c r="AF25" s="89"/>
    </row>
    <row r="26" spans="1:34" ht="15" x14ac:dyDescent="0.5">
      <c r="F26" s="74"/>
      <c r="H26" s="666"/>
      <c r="I26" s="667"/>
      <c r="J26" s="67" t="s">
        <v>14</v>
      </c>
      <c r="K26" s="68"/>
      <c r="L26" s="67" t="s">
        <v>26</v>
      </c>
      <c r="M26" s="67" t="s">
        <v>21</v>
      </c>
      <c r="N26" s="59" t="s">
        <v>39</v>
      </c>
      <c r="O26" s="69"/>
      <c r="P26" s="70" t="s">
        <v>42</v>
      </c>
      <c r="Q26" s="62">
        <v>1</v>
      </c>
      <c r="R26" s="71" t="s">
        <v>41</v>
      </c>
      <c r="S26" s="64" t="s">
        <v>39</v>
      </c>
      <c r="U26" s="46"/>
      <c r="AB26" s="89"/>
      <c r="AC26" s="92"/>
      <c r="AD26" s="89"/>
      <c r="AE26" s="89"/>
      <c r="AF26" s="89"/>
    </row>
    <row r="27" spans="1:34" ht="15" x14ac:dyDescent="0.5">
      <c r="A27" s="668" t="s">
        <v>50</v>
      </c>
      <c r="B27" s="668"/>
      <c r="F27" s="74"/>
      <c r="H27" s="75"/>
      <c r="I27" s="76"/>
      <c r="J27" s="77"/>
      <c r="K27" s="77"/>
      <c r="L27" s="78"/>
      <c r="M27" s="78"/>
      <c r="N27" s="79"/>
      <c r="O27" s="51"/>
      <c r="P27" s="80"/>
      <c r="Q27" s="81"/>
      <c r="R27" s="82"/>
      <c r="S27" s="83"/>
      <c r="U27" s="46"/>
      <c r="AB27" s="89"/>
      <c r="AC27" s="89"/>
      <c r="AD27" s="89"/>
      <c r="AE27" s="89"/>
      <c r="AF27" s="89"/>
      <c r="AG27" s="49"/>
      <c r="AH27" s="49"/>
    </row>
    <row r="28" spans="1:34" ht="30" x14ac:dyDescent="0.5">
      <c r="B28" s="676" t="s">
        <v>51</v>
      </c>
      <c r="F28" s="74"/>
      <c r="H28" s="664" t="s">
        <v>52</v>
      </c>
      <c r="I28" s="665"/>
      <c r="J28" s="56" t="s">
        <v>37</v>
      </c>
      <c r="K28" s="57"/>
      <c r="L28" s="56" t="s">
        <v>23</v>
      </c>
      <c r="M28" s="58" t="s">
        <v>38</v>
      </c>
      <c r="N28" s="59" t="s">
        <v>39</v>
      </c>
      <c r="O28" s="60"/>
      <c r="P28" s="61" t="s">
        <v>40</v>
      </c>
      <c r="Q28" s="62">
        <v>1</v>
      </c>
      <c r="R28" s="63" t="s">
        <v>41</v>
      </c>
      <c r="S28" s="64" t="s">
        <v>39</v>
      </c>
      <c r="U28" s="46"/>
      <c r="AB28" s="89"/>
      <c r="AC28" s="89"/>
      <c r="AD28" s="89"/>
      <c r="AE28" s="89"/>
      <c r="AF28" s="89"/>
    </row>
    <row r="29" spans="1:34" ht="15" x14ac:dyDescent="0.5">
      <c r="A29" s="96" t="s">
        <v>53</v>
      </c>
      <c r="B29" s="97" t="s">
        <v>14</v>
      </c>
      <c r="F29" s="74"/>
      <c r="H29" s="666"/>
      <c r="I29" s="667"/>
      <c r="J29" s="67" t="s">
        <v>14</v>
      </c>
      <c r="K29" s="68"/>
      <c r="L29" s="98" t="s">
        <v>26</v>
      </c>
      <c r="M29" s="98" t="s">
        <v>21</v>
      </c>
      <c r="N29" s="59" t="s">
        <v>39</v>
      </c>
      <c r="O29" s="69"/>
      <c r="P29" s="70" t="s">
        <v>42</v>
      </c>
      <c r="Q29" s="62">
        <v>1</v>
      </c>
      <c r="R29" s="71" t="s">
        <v>41</v>
      </c>
      <c r="S29" s="64" t="s">
        <v>39</v>
      </c>
      <c r="U29" s="46"/>
      <c r="AB29" s="90"/>
      <c r="AC29" s="92"/>
      <c r="AD29" s="89"/>
      <c r="AE29" s="89"/>
      <c r="AF29" s="89"/>
    </row>
    <row r="30" spans="1:34" ht="15" x14ac:dyDescent="0.5">
      <c r="A30" s="99" t="s">
        <v>54</v>
      </c>
      <c r="B30" s="97" t="s">
        <v>20</v>
      </c>
      <c r="F30" s="74"/>
      <c r="H30" s="75"/>
      <c r="I30" s="76"/>
      <c r="J30" s="77"/>
      <c r="K30" s="77"/>
      <c r="L30" s="78"/>
      <c r="M30" s="78"/>
      <c r="N30" s="79"/>
      <c r="O30" s="51"/>
      <c r="P30" s="80"/>
      <c r="Q30" s="81"/>
      <c r="R30" s="82"/>
      <c r="S30" s="83"/>
      <c r="U30" s="46"/>
      <c r="AB30" s="89"/>
      <c r="AC30" s="89"/>
      <c r="AD30" s="89"/>
      <c r="AE30" s="89"/>
      <c r="AF30" s="89"/>
    </row>
    <row r="31" spans="1:34" ht="15" x14ac:dyDescent="0.5">
      <c r="F31" s="74"/>
      <c r="H31" s="664" t="s">
        <v>55</v>
      </c>
      <c r="I31" s="665"/>
      <c r="J31" s="56" t="s">
        <v>37</v>
      </c>
      <c r="K31" s="57"/>
      <c r="L31" s="56" t="s">
        <v>23</v>
      </c>
      <c r="M31" s="58" t="s">
        <v>38</v>
      </c>
      <c r="N31" s="59" t="s">
        <v>39</v>
      </c>
      <c r="O31" s="60"/>
      <c r="P31" s="61" t="s">
        <v>40</v>
      </c>
      <c r="Q31" s="62">
        <v>1</v>
      </c>
      <c r="R31" s="63" t="s">
        <v>41</v>
      </c>
      <c r="S31" s="64" t="s">
        <v>39</v>
      </c>
      <c r="U31" s="46"/>
      <c r="AB31" s="90"/>
      <c r="AC31" s="89"/>
      <c r="AD31" s="89"/>
      <c r="AE31" s="89"/>
      <c r="AF31" s="89"/>
    </row>
    <row r="32" spans="1:34" ht="15" x14ac:dyDescent="0.5">
      <c r="A32" s="674" t="s">
        <v>56</v>
      </c>
      <c r="B32" s="674"/>
      <c r="C32" s="100"/>
      <c r="D32" s="100"/>
      <c r="E32" s="100"/>
      <c r="F32" s="101"/>
      <c r="H32" s="666"/>
      <c r="I32" s="667"/>
      <c r="J32" s="67" t="s">
        <v>14</v>
      </c>
      <c r="K32" s="68"/>
      <c r="L32" s="67" t="s">
        <v>26</v>
      </c>
      <c r="M32" s="67" t="s">
        <v>21</v>
      </c>
      <c r="N32" s="59" t="s">
        <v>39</v>
      </c>
      <c r="O32" s="69"/>
      <c r="P32" s="70" t="s">
        <v>42</v>
      </c>
      <c r="Q32" s="62">
        <v>1</v>
      </c>
      <c r="R32" s="71" t="s">
        <v>41</v>
      </c>
      <c r="S32" s="64" t="s">
        <v>39</v>
      </c>
      <c r="U32" s="46"/>
      <c r="AB32" s="89"/>
      <c r="AC32" s="92"/>
      <c r="AD32" s="89"/>
      <c r="AE32" s="89"/>
      <c r="AF32" s="89"/>
    </row>
    <row r="33" spans="1:152" ht="15" x14ac:dyDescent="0.5">
      <c r="A33" s="102"/>
      <c r="B33" s="102"/>
      <c r="C33" s="100"/>
      <c r="D33" s="103"/>
      <c r="E33" s="103"/>
      <c r="F33" s="101"/>
      <c r="H33" s="75"/>
      <c r="I33" s="76"/>
      <c r="J33" s="77"/>
      <c r="K33" s="77"/>
      <c r="L33" s="78"/>
      <c r="M33" s="78"/>
      <c r="N33" s="79"/>
      <c r="O33" s="51"/>
      <c r="P33" s="80"/>
      <c r="Q33" s="81"/>
      <c r="R33" s="82"/>
      <c r="S33" s="83"/>
      <c r="U33" s="46"/>
      <c r="AB33" s="89"/>
      <c r="AC33" s="89"/>
      <c r="AD33" s="89"/>
      <c r="AE33" s="89"/>
      <c r="AF33" s="89"/>
    </row>
    <row r="34" spans="1:152" ht="15" x14ac:dyDescent="0.5">
      <c r="A34" s="104" t="s">
        <v>57</v>
      </c>
      <c r="B34" s="677" t="s">
        <v>73</v>
      </c>
      <c r="C34" s="677"/>
      <c r="D34" s="677"/>
      <c r="E34" s="677"/>
      <c r="F34" s="101"/>
      <c r="H34" s="664" t="s">
        <v>58</v>
      </c>
      <c r="I34" s="665"/>
      <c r="J34" s="56" t="s">
        <v>37</v>
      </c>
      <c r="K34" s="57"/>
      <c r="L34" s="56" t="s">
        <v>23</v>
      </c>
      <c r="M34" s="58" t="s">
        <v>38</v>
      </c>
      <c r="N34" s="59" t="s">
        <v>39</v>
      </c>
      <c r="O34" s="60"/>
      <c r="P34" s="61" t="s">
        <v>40</v>
      </c>
      <c r="Q34" s="62">
        <v>1</v>
      </c>
      <c r="R34" s="63" t="s">
        <v>41</v>
      </c>
      <c r="S34" s="64" t="s">
        <v>39</v>
      </c>
      <c r="U34" s="46"/>
      <c r="AB34" s="90"/>
      <c r="AC34" s="89"/>
      <c r="AD34" s="89"/>
      <c r="AE34" s="89"/>
      <c r="AF34" s="89"/>
    </row>
    <row r="35" spans="1:152" ht="15" x14ac:dyDescent="0.5">
      <c r="A35" s="105"/>
      <c r="B35" s="105"/>
      <c r="C35" s="103"/>
      <c r="D35" s="103"/>
      <c r="E35" s="103"/>
      <c r="F35" s="101"/>
      <c r="H35" s="666"/>
      <c r="I35" s="667"/>
      <c r="J35" s="67" t="s">
        <v>14</v>
      </c>
      <c r="K35" s="68"/>
      <c r="L35" s="67" t="s">
        <v>26</v>
      </c>
      <c r="M35" s="67" t="s">
        <v>21</v>
      </c>
      <c r="N35" s="59" t="s">
        <v>39</v>
      </c>
      <c r="O35" s="69"/>
      <c r="P35" s="70" t="s">
        <v>42</v>
      </c>
      <c r="Q35" s="62">
        <v>1</v>
      </c>
      <c r="R35" s="71" t="s">
        <v>41</v>
      </c>
      <c r="S35" s="64" t="s">
        <v>39</v>
      </c>
      <c r="U35" s="46"/>
      <c r="AB35" s="89"/>
      <c r="AC35" s="92"/>
      <c r="AD35" s="89"/>
      <c r="AE35" s="89"/>
      <c r="AF35" s="89"/>
    </row>
    <row r="36" spans="1:152" ht="15" x14ac:dyDescent="0.5">
      <c r="A36" s="104" t="s">
        <v>59</v>
      </c>
      <c r="B36" s="678" t="s">
        <v>73</v>
      </c>
      <c r="C36" s="678"/>
      <c r="D36" s="678"/>
      <c r="E36" s="678"/>
      <c r="F36" s="101"/>
      <c r="H36" s="75"/>
      <c r="I36" s="76"/>
      <c r="J36" s="77"/>
      <c r="K36" s="77"/>
      <c r="L36" s="78"/>
      <c r="M36" s="78"/>
      <c r="N36" s="79"/>
      <c r="O36" s="51"/>
      <c r="P36" s="80"/>
      <c r="Q36" s="81"/>
      <c r="R36" s="82"/>
      <c r="S36" s="83"/>
      <c r="U36" s="46"/>
      <c r="AB36" s="89"/>
      <c r="AC36" s="89"/>
      <c r="AD36" s="89"/>
      <c r="AE36" s="89"/>
      <c r="AF36" s="89"/>
    </row>
    <row r="37" spans="1:152" ht="15" x14ac:dyDescent="0.5">
      <c r="A37" s="674"/>
      <c r="B37" s="674"/>
      <c r="C37" s="103"/>
      <c r="D37" s="103"/>
      <c r="E37" s="103"/>
      <c r="F37" s="101"/>
      <c r="H37" s="664" t="s">
        <v>60</v>
      </c>
      <c r="I37" s="665"/>
      <c r="J37" s="56" t="s">
        <v>37</v>
      </c>
      <c r="K37" s="57"/>
      <c r="L37" s="56" t="s">
        <v>23</v>
      </c>
      <c r="M37" s="58" t="s">
        <v>38</v>
      </c>
      <c r="N37" s="59" t="s">
        <v>39</v>
      </c>
      <c r="O37" s="60"/>
      <c r="P37" s="61" t="s">
        <v>40</v>
      </c>
      <c r="Q37" s="62">
        <v>1</v>
      </c>
      <c r="R37" s="63" t="s">
        <v>41</v>
      </c>
      <c r="S37" s="64" t="s">
        <v>39</v>
      </c>
      <c r="U37" s="46"/>
      <c r="AB37" s="90"/>
      <c r="AC37" s="89"/>
      <c r="AD37" s="89"/>
      <c r="AE37" s="89"/>
      <c r="AF37" s="89"/>
    </row>
    <row r="38" spans="1:152" ht="75" x14ac:dyDescent="0.5">
      <c r="A38" s="675" t="str">
        <f>IF(OR(B36="ALL SOURCES",B34="ALL SOURCES"),"* If you chose 'ALL SOURCES', an average of all source prognositcations is used.","")</f>
        <v>* If you chose 'ALL SOURCES', an average of all source prognositcations is used.</v>
      </c>
      <c r="B38" s="675"/>
      <c r="C38" s="675"/>
      <c r="D38" s="675"/>
      <c r="E38" s="103"/>
      <c r="F38" s="101"/>
      <c r="H38" s="666"/>
      <c r="I38" s="667"/>
      <c r="J38" s="67" t="s">
        <v>14</v>
      </c>
      <c r="K38" s="68"/>
      <c r="L38" s="67" t="s">
        <v>26</v>
      </c>
      <c r="M38" s="67" t="s">
        <v>21</v>
      </c>
      <c r="N38" s="59" t="s">
        <v>39</v>
      </c>
      <c r="O38" s="69"/>
      <c r="P38" s="70" t="s">
        <v>42</v>
      </c>
      <c r="Q38" s="62">
        <v>1</v>
      </c>
      <c r="R38" s="71" t="s">
        <v>41</v>
      </c>
      <c r="S38" s="64" t="s">
        <v>39</v>
      </c>
      <c r="U38" s="46"/>
      <c r="AB38" s="89"/>
      <c r="AC38" s="92"/>
      <c r="AD38" s="89"/>
      <c r="AE38" s="89"/>
      <c r="AF38" s="89"/>
    </row>
    <row r="39" spans="1:152" ht="15" x14ac:dyDescent="0.5">
      <c r="A39" s="102"/>
      <c r="B39" s="102"/>
      <c r="C39" s="103"/>
      <c r="D39" s="103"/>
      <c r="E39" s="103"/>
      <c r="F39" s="101"/>
      <c r="H39" s="75"/>
      <c r="I39" s="76"/>
      <c r="J39" s="77"/>
      <c r="K39" s="77"/>
      <c r="L39" s="78"/>
      <c r="M39" s="78"/>
      <c r="N39" s="79"/>
      <c r="O39" s="51"/>
      <c r="P39" s="80"/>
      <c r="Q39" s="81"/>
      <c r="R39" s="82"/>
      <c r="S39" s="83"/>
      <c r="U39" s="46"/>
      <c r="AB39" s="49"/>
      <c r="AC39" s="49"/>
      <c r="AD39" s="49"/>
      <c r="AE39" s="89"/>
      <c r="AF39" s="89"/>
    </row>
    <row r="40" spans="1:152" ht="15" x14ac:dyDescent="0.5">
      <c r="A40" s="105"/>
      <c r="B40" s="105"/>
      <c r="C40" s="103"/>
      <c r="D40" s="103"/>
      <c r="E40" s="103"/>
      <c r="F40" s="101"/>
      <c r="H40" s="664" t="s">
        <v>61</v>
      </c>
      <c r="I40" s="665"/>
      <c r="J40" s="56" t="s">
        <v>37</v>
      </c>
      <c r="K40" s="57"/>
      <c r="L40" s="56" t="s">
        <v>23</v>
      </c>
      <c r="M40" s="58" t="s">
        <v>38</v>
      </c>
      <c r="N40" s="59" t="s">
        <v>39</v>
      </c>
      <c r="O40" s="60"/>
      <c r="P40" s="61" t="s">
        <v>40</v>
      </c>
      <c r="Q40" s="62">
        <v>1</v>
      </c>
      <c r="R40" s="63" t="s">
        <v>41</v>
      </c>
      <c r="S40" s="64" t="s">
        <v>39</v>
      </c>
      <c r="U40" s="46"/>
      <c r="AB40" s="90"/>
      <c r="AC40" s="92"/>
      <c r="AD40" s="89"/>
      <c r="AE40" s="89"/>
      <c r="AF40" s="89"/>
    </row>
    <row r="41" spans="1:152" ht="15" x14ac:dyDescent="0.5">
      <c r="A41" s="102"/>
      <c r="B41" s="102"/>
      <c r="C41" s="103"/>
      <c r="D41" s="103"/>
      <c r="E41" s="103"/>
      <c r="F41" s="101"/>
      <c r="G41" s="106"/>
      <c r="H41" s="666"/>
      <c r="I41" s="667"/>
      <c r="J41" s="67" t="s">
        <v>14</v>
      </c>
      <c r="K41" s="68"/>
      <c r="L41" s="67" t="s">
        <v>26</v>
      </c>
      <c r="M41" s="67" t="s">
        <v>21</v>
      </c>
      <c r="N41" s="59" t="s">
        <v>39</v>
      </c>
      <c r="O41" s="69"/>
      <c r="P41" s="70" t="s">
        <v>42</v>
      </c>
      <c r="Q41" s="62">
        <v>1</v>
      </c>
      <c r="R41" s="71" t="s">
        <v>41</v>
      </c>
      <c r="S41" s="64" t="s">
        <v>39</v>
      </c>
      <c r="U41" s="46"/>
      <c r="X41" s="49"/>
      <c r="Y41" s="107"/>
      <c r="Z41" s="108"/>
      <c r="AA41" s="89"/>
      <c r="AB41" s="89"/>
      <c r="AC41" s="89"/>
      <c r="AD41" s="89"/>
      <c r="AE41" s="89"/>
      <c r="AF41" s="89"/>
      <c r="AG41" s="49"/>
      <c r="AH41" s="49"/>
    </row>
    <row r="42" spans="1:152" ht="15" x14ac:dyDescent="0.4">
      <c r="A42" s="109" t="s">
        <v>62</v>
      </c>
      <c r="C42" s="110"/>
      <c r="D42" s="110"/>
      <c r="E42" s="110"/>
      <c r="F42" s="110"/>
      <c r="G42" s="110"/>
      <c r="H42" s="110"/>
      <c r="I42" s="110"/>
      <c r="J42" s="110"/>
      <c r="K42" s="110"/>
      <c r="L42" s="110"/>
      <c r="M42" s="110"/>
      <c r="AE42" s="111"/>
      <c r="AF42" s="111"/>
      <c r="DW42" s="47"/>
      <c r="EA42" s="48"/>
      <c r="EB42" s="48"/>
      <c r="EC42" s="48"/>
      <c r="ED42" s="48"/>
      <c r="EE42" s="48"/>
    </row>
    <row r="43" spans="1:152" ht="17.7" thickBot="1" x14ac:dyDescent="0.6">
      <c r="A43" s="112" t="s">
        <v>63</v>
      </c>
      <c r="B43" s="679"/>
      <c r="C43" s="679"/>
      <c r="D43" s="113"/>
      <c r="E43" s="113"/>
      <c r="F43" s="113"/>
      <c r="G43" s="25"/>
      <c r="H43" s="25"/>
      <c r="I43" s="25"/>
      <c r="J43" s="25"/>
      <c r="K43" s="25"/>
      <c r="L43" s="25"/>
      <c r="M43" s="25"/>
      <c r="N43" s="29"/>
      <c r="O43" s="29"/>
      <c r="P43" s="29"/>
      <c r="Q43" s="29"/>
      <c r="R43" s="29"/>
      <c r="S43" s="29"/>
      <c r="T43" s="29"/>
      <c r="U43" s="29"/>
      <c r="V43" s="29"/>
      <c r="W43" s="29"/>
      <c r="X43" s="89"/>
      <c r="Y43" s="89"/>
      <c r="Z43" s="89"/>
      <c r="AA43" s="89"/>
      <c r="AB43" s="89"/>
      <c r="AC43" s="89"/>
      <c r="AD43" s="89"/>
      <c r="AE43" s="89"/>
      <c r="AF43" s="89"/>
      <c r="AG43" s="49"/>
      <c r="AH43" s="49"/>
      <c r="AI43" s="114"/>
      <c r="AJ43" s="114"/>
      <c r="AK43" s="114"/>
      <c r="AL43" s="114"/>
      <c r="AM43" s="114"/>
      <c r="AN43" s="115" t="s">
        <v>64</v>
      </c>
      <c r="AZ43" s="115" t="s">
        <v>64</v>
      </c>
      <c r="BJ43" s="115" t="s">
        <v>64</v>
      </c>
      <c r="BR43" s="115" t="s">
        <v>64</v>
      </c>
      <c r="BY43" s="115" t="s">
        <v>64</v>
      </c>
      <c r="CG43" s="115" t="s">
        <v>64</v>
      </c>
      <c r="CP43" s="115" t="s">
        <v>64</v>
      </c>
      <c r="CZ43" s="116"/>
      <c r="DA43" s="116"/>
      <c r="DB43" s="116"/>
      <c r="DC43" s="116"/>
      <c r="DD43" s="116"/>
      <c r="DE43" s="116"/>
      <c r="DF43" s="116"/>
      <c r="DG43" s="116"/>
      <c r="DH43" s="116"/>
      <c r="DI43" s="117" t="str">
        <f>"DJ"&amp;MIN(DK46:DK94)</f>
        <v>DJ46</v>
      </c>
      <c r="DJ43" s="118" t="str">
        <f>"DJ"&amp;MAX(DK46:DK94)</f>
        <v>DJ94</v>
      </c>
      <c r="DK43" s="116"/>
      <c r="DL43" s="117" t="str">
        <f>"DM"&amp;MIN(DN46:DN94)</f>
        <v>DM46</v>
      </c>
      <c r="DM43" s="118" t="str">
        <f>"DM"&amp;MAX(DN46:DN94)</f>
        <v>DM94</v>
      </c>
      <c r="DN43" s="116"/>
      <c r="DO43" s="117" t="str">
        <f>"DP"&amp;MIN(DQ46:DQ94)</f>
        <v>DP46</v>
      </c>
      <c r="DP43" s="118" t="str">
        <f>"DP"&amp;MAX(DQ46:DQ94)</f>
        <v>DP94</v>
      </c>
      <c r="DQ43" s="116"/>
      <c r="DV43" s="115" t="s">
        <v>64</v>
      </c>
      <c r="DW43" s="119"/>
      <c r="EA43" s="33"/>
      <c r="EB43" s="33"/>
      <c r="EC43" s="33"/>
      <c r="ED43" s="33"/>
      <c r="EE43" s="33"/>
      <c r="EF43" s="115"/>
      <c r="EU43" s="115"/>
    </row>
    <row r="44" spans="1:152" ht="24.9" thickBot="1" x14ac:dyDescent="0.5">
      <c r="A44" s="676" t="s">
        <v>65</v>
      </c>
      <c r="C44" s="680" t="str">
        <f>A62</f>
        <v>Base Cases</v>
      </c>
      <c r="D44" s="681"/>
      <c r="E44" s="682"/>
      <c r="F44" s="683" t="str">
        <f>A63</f>
        <v>Conservative Cases</v>
      </c>
      <c r="G44" s="684"/>
      <c r="H44" s="685"/>
      <c r="I44" s="686" t="str">
        <f>A64</f>
        <v>Ambitious Cases</v>
      </c>
      <c r="J44" s="687"/>
      <c r="K44" s="688"/>
      <c r="L44" s="692" t="str">
        <f>A65</f>
        <v>Maximum Cases</v>
      </c>
      <c r="M44" s="693"/>
      <c r="Q44" s="65"/>
      <c r="W44" s="689" t="s">
        <v>66</v>
      </c>
      <c r="X44" s="689"/>
      <c r="Y44" s="689"/>
      <c r="Z44" s="120"/>
      <c r="AA44" s="1274" t="s">
        <v>1061</v>
      </c>
      <c r="AB44" s="1274"/>
      <c r="AC44" s="1274"/>
      <c r="AD44" s="120"/>
      <c r="AE44" s="120"/>
      <c r="AF44" s="120"/>
      <c r="AG44" s="120"/>
      <c r="AH44" s="120"/>
      <c r="AI44" s="120"/>
      <c r="AJ44" s="120"/>
      <c r="AK44" s="120"/>
      <c r="AL44" s="120"/>
      <c r="AM44" s="120"/>
      <c r="AN44" s="120"/>
      <c r="BR44" s="121" t="s">
        <v>67</v>
      </c>
      <c r="BS44" s="121"/>
      <c r="BT44" s="121"/>
      <c r="BU44" s="121"/>
      <c r="BV44" s="121"/>
      <c r="BW44" s="122"/>
      <c r="BY44" s="121" t="s">
        <v>68</v>
      </c>
      <c r="BZ44" s="121"/>
      <c r="CA44" s="121"/>
      <c r="CB44" s="121"/>
      <c r="CC44" s="121"/>
      <c r="CD44" s="121"/>
      <c r="CG44" s="121" t="s">
        <v>69</v>
      </c>
      <c r="CH44" s="121"/>
      <c r="CI44" s="121"/>
      <c r="CJ44" s="121"/>
      <c r="CK44" s="121"/>
      <c r="CL44" s="121"/>
      <c r="CM44" s="121"/>
      <c r="CP44" s="121" t="s">
        <v>70</v>
      </c>
      <c r="CQ44" s="121"/>
      <c r="CR44" s="121"/>
      <c r="CS44" s="121"/>
      <c r="CT44" s="121"/>
      <c r="CU44" s="121"/>
      <c r="CZ44" s="123"/>
      <c r="DA44" s="123"/>
      <c r="DB44" s="123"/>
      <c r="DC44" s="123"/>
      <c r="DD44" s="123"/>
      <c r="DE44" s="123"/>
      <c r="DF44" s="123"/>
      <c r="DG44" s="123"/>
      <c r="DH44" s="123"/>
      <c r="DI44" s="124" t="str">
        <f>"DI"&amp;MIN(DK46:DK94)</f>
        <v>DI46</v>
      </c>
      <c r="DJ44" s="125" t="str">
        <f>"DI"&amp;MAX(DK46:DK94)</f>
        <v>DI94</v>
      </c>
      <c r="DK44" s="123"/>
      <c r="DL44" s="124" t="str">
        <f>"DL"&amp;MIN(DN46:DN94)</f>
        <v>DL46</v>
      </c>
      <c r="DM44" s="125" t="str">
        <f>"DL"&amp;MAX(DN46:DN94)</f>
        <v>DL94</v>
      </c>
      <c r="DN44" s="123"/>
      <c r="DO44" s="124" t="str">
        <f>"DO"&amp;MIN(DQ46:DQ94)</f>
        <v>DO46</v>
      </c>
      <c r="DP44" s="125" t="str">
        <f>"DO"&amp;MAX(DQ46:DQ94)</f>
        <v>DO94</v>
      </c>
      <c r="DQ44" s="123"/>
      <c r="DV44" s="126" t="s">
        <v>71</v>
      </c>
      <c r="DZ44" s="127" t="s">
        <v>72</v>
      </c>
      <c r="EA44" s="33" t="str">
        <f>$V$4</f>
        <v>3rd Poly</v>
      </c>
      <c r="EU44" s="126"/>
    </row>
    <row r="45" spans="1:152" ht="86.4" thickBot="1" x14ac:dyDescent="0.5">
      <c r="A45" s="676" t="s">
        <v>73</v>
      </c>
      <c r="B45" s="128"/>
      <c r="C45" s="129" t="str">
        <f>A46</f>
        <v>Based on World Bank, What a Waste 2.0</v>
      </c>
      <c r="D45" s="130" t="str">
        <f>A47</f>
        <v>Based on Hoornweg et al (2014)</v>
      </c>
      <c r="E45" s="131" t="str">
        <f>A48</f>
        <v>[Source 3]</v>
      </c>
      <c r="F45" s="988" t="str">
        <f>A49</f>
        <v>[Source 1]</v>
      </c>
      <c r="G45" s="996" t="str">
        <f>A50</f>
        <v>Based on UNEP Global Waste Management (Urban Population)</v>
      </c>
      <c r="H45" s="997" t="str">
        <f>A51</f>
        <v>[Source 3]</v>
      </c>
      <c r="I45" s="1250" t="str">
        <f>A52</f>
        <v>Based on  IEA Annex I – Municipal solid waste potential in cities; Table I.1</v>
      </c>
      <c r="J45" s="130" t="str">
        <f>A53</f>
        <v>[Source 2]</v>
      </c>
      <c r="K45" s="131" t="str">
        <f>A54</f>
        <v>[Source 3]</v>
      </c>
      <c r="L45" s="129" t="str">
        <f>A55</f>
        <v>[Source 1]</v>
      </c>
      <c r="M45" s="131" t="str">
        <f>A56</f>
        <v>[Source 2]</v>
      </c>
      <c r="N45" s="132" t="s">
        <v>74</v>
      </c>
      <c r="P45" s="133"/>
      <c r="Q45" s="134" t="s">
        <v>75</v>
      </c>
      <c r="R45" s="135" t="s">
        <v>76</v>
      </c>
      <c r="S45" s="134" t="s">
        <v>77</v>
      </c>
      <c r="T45" s="134" t="s">
        <v>78</v>
      </c>
      <c r="U45" s="136" t="s">
        <v>79</v>
      </c>
      <c r="V45" s="691"/>
      <c r="W45" s="136" t="s">
        <v>15</v>
      </c>
      <c r="X45" s="134" t="s">
        <v>21</v>
      </c>
      <c r="Y45" s="136" t="s">
        <v>25</v>
      </c>
      <c r="AA45" s="136" t="s">
        <v>15</v>
      </c>
      <c r="AB45" s="134" t="s">
        <v>21</v>
      </c>
      <c r="AC45" s="136" t="s">
        <v>25</v>
      </c>
      <c r="AD45" s="138"/>
      <c r="AE45" s="138"/>
      <c r="AF45" s="138"/>
      <c r="AG45" s="138"/>
      <c r="AH45" s="138"/>
      <c r="AI45" s="138"/>
      <c r="AJ45" s="138"/>
      <c r="AK45" s="138"/>
      <c r="AL45" s="138"/>
      <c r="AM45" s="138"/>
      <c r="AN45" s="138"/>
      <c r="BR45" s="139"/>
      <c r="BS45" s="139"/>
      <c r="BT45" s="139"/>
      <c r="BU45" s="139"/>
      <c r="BV45" s="139"/>
      <c r="BW45" s="122"/>
      <c r="BZ45" s="139"/>
      <c r="CA45" s="139"/>
      <c r="CB45" s="139"/>
      <c r="CC45" s="139"/>
      <c r="CD45" s="139"/>
      <c r="CH45" s="139"/>
      <c r="CI45" s="139"/>
      <c r="CJ45" s="139"/>
      <c r="CK45" s="139"/>
      <c r="CL45" s="139"/>
      <c r="CM45" s="139"/>
      <c r="CQ45" s="139"/>
      <c r="CR45" s="139"/>
      <c r="CS45" s="139"/>
      <c r="CT45" s="139"/>
      <c r="CU45" s="139"/>
      <c r="CZ45" s="140"/>
      <c r="DA45" s="140"/>
      <c r="DB45" s="140"/>
      <c r="DC45" s="140"/>
      <c r="DD45" s="141"/>
      <c r="DE45" s="141"/>
      <c r="DF45" s="141"/>
      <c r="DG45" s="141"/>
      <c r="DH45" s="140"/>
      <c r="DI45" s="142"/>
      <c r="DJ45" s="143"/>
      <c r="DK45" s="144"/>
      <c r="DL45" s="142"/>
      <c r="DM45" s="143"/>
      <c r="DN45" s="140"/>
      <c r="DO45" s="142"/>
      <c r="DP45" s="143"/>
      <c r="DQ45" s="140"/>
      <c r="DV45" s="145">
        <v>2014</v>
      </c>
      <c r="DW45" s="146">
        <f ca="1">IF($B$34=$A$46,IF(C55="",IF($B$19="Linear",BV50,IF($B$19="2nd Poly",CD50,IF($B$19="3rd Poly",CM50,IF($B$19="Exp",CT50)))),C55),IF($B$34=$A$47,IF(D55="",IF($B$19="Linear",BV50,IF($B$19="2nd Poly",CD50,IF($B$19="3rd Poly",CM50,IF($B$19="Exp",CT50)))),D55),IF($B$34=$A$48,IF(E55="",IF($B$19="Linear",BV50,IF($B$19="2nd Poly",CD50,IF($B$19="3rd Poly",CM50,IF($B$19="Exp",CT50)))),E55),IF($B$34=$A$49,IF(F55="",IF($B$19="Linear",BV50,IF($B$19="2nd Poly",CD50,IF($B$19="3rd Poly",CM50,IF($B$19="Exp",CT50)))),F55),IF($B$34=$A$50,IF(G55="",IF($B$19="Linear",BV50,IF($B$19="2nd Poly",CD50,IF($B$19="3rd Poly",CM50,IF($B$19="Exp",CT50)))),G55),IF($B$34=$A$51,IF(H55="",IF($B$19="Linear",BV50,IF($B$19="2nd Poly",CD50,IF($B$19="3rd Poly",CM50,IF($B$19="Exp",CT50)))),H55),IF($B$34=$A$52,IF('Total MSW TAM Data_2021 Archive'!I55="",IF($B$19="Linear",BV50,IF($B$19="2nd Poly",CD50,IF($B$19="3rd Poly",CM50,IF($B$19="Exp",CT50)))),'Total MSW TAM Data_2021 Archive'!I55),IF($B$34=$A$53,IF(J55="",IF($B$19="Linear",BV50,IF($B$19="2nd Poly",CD50,IF($B$19="3rd Poly",CM50,IF($B$19="Exp",CT50)))),J55),IF($B$34=$A$54,IF(K55="",IF($B$19="Linear",BV50,IF($B$19="2nd Poly",CD50,IF($B$19="3rd Poly",CM50,IF($B$19="Exp",CT50)))),K55),IF($B$34=$A$55,IF(L55="",IF($B$19="Linear",BV50,IF($B$19="2nd Poly",CD50,IF($B$19="3rd Poly",CM50,IF($B$19="Exp",CT50)))),L55),IF($B$34=$A$56,IF(M55="",IF($B$19="Linear",BV50,IF($B$19="2nd Poly",CD50,IF($B$19="3rd Poly",CM50,IF($B$19="Exp",CT50)))),M55),IF($B$19="Linear",BV50,IF($B$19="2nd Poly",CD50,IF($B$19="3rd Poly",CM50,IF($B$19="Exp",CT50)))))))))))))))</f>
        <v>1804.7780154472089</v>
      </c>
      <c r="EA45" s="33" t="str">
        <f>IF($B$36="ALL SOURCES",$V$5,"Medium")</f>
        <v>Medium</v>
      </c>
      <c r="EB45" s="33"/>
      <c r="EC45" s="33"/>
      <c r="ED45" s="33"/>
      <c r="EE45" s="33"/>
      <c r="EV45" s="147"/>
    </row>
    <row r="46" spans="1:152" ht="14.1" thickBot="1" x14ac:dyDescent="0.5">
      <c r="A46" s="948" t="s">
        <v>1032</v>
      </c>
      <c r="B46" s="128">
        <v>2012</v>
      </c>
      <c r="C46" s="998">
        <v>1536.6666666666667</v>
      </c>
      <c r="D46" s="1013">
        <v>1536.6666666666667</v>
      </c>
      <c r="E46" s="1014"/>
      <c r="F46" s="1091"/>
      <c r="G46" s="1084">
        <v>1536.6666666666667</v>
      </c>
      <c r="H46" s="1079"/>
      <c r="I46" s="1136"/>
      <c r="J46" s="970"/>
      <c r="K46" s="971"/>
      <c r="L46" s="972"/>
      <c r="M46" s="971"/>
      <c r="N46" s="29" t="s">
        <v>758</v>
      </c>
      <c r="P46" s="153"/>
      <c r="Q46" s="153"/>
      <c r="R46" s="29">
        <v>-2</v>
      </c>
      <c r="S46" s="154">
        <f t="shared" ref="S46:S94" si="0">IF(MIN(C46:Q46)=0,"",MIN(C46:Q46))</f>
        <v>1536.6666666666667</v>
      </c>
      <c r="T46" s="154">
        <f t="shared" ref="T46:T94" si="1">IF(MAX(C46:Q46)=0,"",MAX(C46:Q46))</f>
        <v>1536.6666666666667</v>
      </c>
      <c r="U46" s="154">
        <f t="shared" ref="U46:U94" si="2">IF(T46="","",IF($B$36=$A$45,_xlfn.STDEV.P(C46:Q46),IF($B$36=$A$62,_xlfn.STDEV.P(C46:E46),IF($B$36=$A$63,_xlfn.STDEV.P(F46:H46),IF($B$36=$A$64,_xlfn.STDEV.P(J46:K46),IF($B$36=$A$65,_xlfn.STDEV.P(L46:M46)))))))</f>
        <v>0</v>
      </c>
      <c r="V46" s="29"/>
      <c r="W46" s="154">
        <f>IF(U46="",#N/A,X46-(U46*$B$25))</f>
        <v>1536.6666666666667</v>
      </c>
      <c r="X46" s="154">
        <f>IF(U46="",#N/A,IF($B$36=$A$62,(SUM(C46:E46)/COUNTIF(C46:E46,"&gt;0")),IF($B$36=$A$63,(SUM(F46:H46)/COUNTIF(F46:H46,"&gt;0")),IF($B$36=$A$64,(SUM(J46:K46)/COUNTIF(J46:K46,"&gt;0")),IF($B$36=$A$65,(SUM(L46:M46)/COUNTIF(L46:M46,"&gt;0")),(IF($B$36=$A$46,IF(C46="",#N/A,C46),IF($B$36=$A$47,IF(D46="",#N/A,D46),IF($B$36=$A$48,IF(E46="",#N/A,E46),IF($B$36=$A$49,IF(F46="",#N/A,F46),IF($B$36=$A$50,IF(G46="",#N/A,G46),IF($B$36=$A$51,IF(H46="",#N/A,H46),IF($B$36=$A$52,IF('Total MSW TAM Data_2021 Archive'!I46="",#N/A,'Total MSW TAM Data_2021 Archive'!I46),IF($B$36=$A$53,IF(J46="",#N/A,J46),IF($B$36=$A$54,IF(K46="",#N/A,K46),IF($B$36=$A$55,IF(L46="",#N/A,L46),IF($B$36=$A$56,IF(M46="",#N/A,M46),IF(U46="",#N/A,(SUM(C46:Q46)/COUNTIFS(C46:Q46,"&gt;0"))))))))))))))))))))</f>
        <v>1536.6666666666667</v>
      </c>
      <c r="Y46" s="154">
        <f t="shared" ref="Y46:Y94" si="3">IF(U46="",#N/A,X46+(U46*$B$24))</f>
        <v>1536.6666666666667</v>
      </c>
      <c r="AA46" s="1133">
        <v>1536.6666666666667</v>
      </c>
      <c r="AB46" s="1133">
        <v>1536.6666666666667</v>
      </c>
      <c r="AC46" s="1133">
        <v>1536.6666666666667</v>
      </c>
      <c r="AD46" s="138"/>
      <c r="AE46" s="138"/>
      <c r="AF46" s="138"/>
      <c r="AG46" s="138"/>
      <c r="AH46" s="138"/>
      <c r="AI46" s="138"/>
      <c r="AJ46" s="138"/>
      <c r="AK46" s="138"/>
      <c r="AL46" s="138"/>
      <c r="AM46" s="138"/>
      <c r="AN46" s="138"/>
      <c r="BR46" s="691" t="s">
        <v>81</v>
      </c>
      <c r="BS46" s="65" t="str">
        <f>IF($AC$3="N",$V$5,$C$19)</f>
        <v>Medium</v>
      </c>
      <c r="BT46" s="691" t="s">
        <v>82</v>
      </c>
      <c r="BU46" s="691" t="s">
        <v>83</v>
      </c>
      <c r="BW46" s="133"/>
      <c r="BY46" s="691" t="s">
        <v>81</v>
      </c>
      <c r="BZ46" s="65" t="str">
        <f>IF($AC$3="N",$V$5,$C$19)</f>
        <v>Medium</v>
      </c>
      <c r="CA46" s="691" t="s">
        <v>84</v>
      </c>
      <c r="CB46" s="691" t="s">
        <v>82</v>
      </c>
      <c r="CC46" s="691" t="s">
        <v>83</v>
      </c>
      <c r="CG46" s="691" t="s">
        <v>81</v>
      </c>
      <c r="CH46" s="65" t="str">
        <f>IF($AC$3="N",$V$5,$C$19)</f>
        <v>Medium</v>
      </c>
      <c r="CI46" s="691" t="s">
        <v>85</v>
      </c>
      <c r="CJ46" s="691" t="s">
        <v>84</v>
      </c>
      <c r="CK46" s="691" t="s">
        <v>82</v>
      </c>
      <c r="CL46" s="691" t="s">
        <v>83</v>
      </c>
      <c r="CP46" s="691" t="s">
        <v>81</v>
      </c>
      <c r="CQ46" s="65" t="str">
        <f>IF($AC$3="N",$V$5,$C$19)</f>
        <v>Medium</v>
      </c>
      <c r="CR46" s="691" t="s">
        <v>86</v>
      </c>
      <c r="CS46" s="691" t="s">
        <v>87</v>
      </c>
      <c r="CZ46" s="155" t="b">
        <f t="shared" ref="CZ46:DB85" si="4">ISNUMBER(W46)</f>
        <v>1</v>
      </c>
      <c r="DA46" s="156" t="b">
        <f t="shared" si="4"/>
        <v>1</v>
      </c>
      <c r="DB46" s="157" t="b">
        <f t="shared" si="4"/>
        <v>1</v>
      </c>
      <c r="DC46" s="155">
        <f>IF(CZ46=TRUE,$R46,"")</f>
        <v>-2</v>
      </c>
      <c r="DD46" s="157">
        <f t="shared" ref="DD46:DD94" si="5">IF(CZ46=TRUE,W46,"")</f>
        <v>1536.6666666666667</v>
      </c>
      <c r="DE46" s="155">
        <f t="shared" ref="DE46:DE94" si="6">IF(DA46=TRUE,$R46,"")</f>
        <v>-2</v>
      </c>
      <c r="DF46" s="157">
        <f t="shared" ref="DF46:DF94" si="7">IF(DA46=TRUE,X46,"")</f>
        <v>1536.6666666666667</v>
      </c>
      <c r="DG46" s="155">
        <f t="shared" ref="DG46:DG94" si="8">IF(DB46=TRUE,$R46,"")</f>
        <v>-2</v>
      </c>
      <c r="DH46" s="157">
        <f t="shared" ref="DH46:DH94" si="9">IF(DB46=TRUE,Y46,"")</f>
        <v>1536.6666666666667</v>
      </c>
      <c r="DI46" s="155">
        <f>IFERROR(INDEX(DC$46:DC$94,_xlfn.AGGREGATE(15,6,(ROW(DC$46:DC$94)-ROW(DC$46)+1)/(DC$46:DC$94&lt;&gt;""),ROWS(DI$1:DI1))),"")</f>
        <v>-2</v>
      </c>
      <c r="DJ46" s="156">
        <f>IFERROR(INDEX(DD$46:DD$94,_xlfn.AGGREGATE(15,6,(ROW(DD$46:DD$94)-ROW(DD$46)+1)/(DD$46:DD$94&lt;&gt;""),ROWS(DJ$1:DJ1))),"")</f>
        <v>1536.6666666666667</v>
      </c>
      <c r="DK46" s="157">
        <f t="shared" ref="DK46:DK94" si="10">IF(ISNUMBER(DI46),ROW(DI46),"")</f>
        <v>46</v>
      </c>
      <c r="DL46" s="155">
        <f>IFERROR(INDEX(DE$46:DE$94,_xlfn.AGGREGATE(15,6,(ROW(DE$46:DE$94)-ROW(DE$46)+1)/(DE$46:DE$94&lt;&gt;""),ROWS(DL$1:DL1))),"")</f>
        <v>-2</v>
      </c>
      <c r="DM46" s="156">
        <f>IFERROR(INDEX(DF$46:DF$94,_xlfn.AGGREGATE(15,6,(ROW(DF$46:DF$94)-ROW(DF$46)+1)/(DF$46:DF$94&lt;&gt;""),ROWS(DM$1:DM1))),"")</f>
        <v>1536.6666666666667</v>
      </c>
      <c r="DN46" s="157">
        <f t="shared" ref="DN46:DN94" si="11">IF(ISNUMBER(DI46),ROW(DI46),"")</f>
        <v>46</v>
      </c>
      <c r="DO46" s="155">
        <f>IFERROR(INDEX(DG$46:DG$94,_xlfn.AGGREGATE(15,6,(ROW(DG$46:DG$94)-ROW(DG$46)+1)/(DG$46:DG$94&lt;&gt;""),ROWS(DO$1:DO1))),"")</f>
        <v>-2</v>
      </c>
      <c r="DP46" s="156">
        <f>IFERROR(INDEX(DH$46:DH$94,_xlfn.AGGREGATE(15,6,(ROW(DH$46:DH$94)-ROW(DH$46)+1)/(DH$46:DH$94&lt;&gt;""),ROWS(DP$1:DP1))),"")</f>
        <v>1536.6666666666667</v>
      </c>
      <c r="DQ46" s="157">
        <f t="shared" ref="DQ46:DQ94" si="12">IF(ISNUMBER(DL46),ROW(DL46),"")</f>
        <v>46</v>
      </c>
      <c r="DV46" s="145">
        <v>2015</v>
      </c>
      <c r="DW46" s="146">
        <f t="shared" ref="DW46:DW91" ca="1" si="13">IF($AC$3="N",IF($V$4="Linear",BV51,IF($V$4="2nd Poly",CD51,IF($V$4="3rd Poly",CM51,IF($V$4="Exp",CT51)))),IF($B$19="Linear",BV51,IF($B$19="2nd Poly",CD51,IF($B$19="3rd Poly",CM51,IF($B$19="Exp",CT51)))))</f>
        <v>1869.5331705360431</v>
      </c>
      <c r="EA46" s="33"/>
      <c r="EB46" s="33"/>
      <c r="EC46" s="33"/>
      <c r="ED46" s="33"/>
      <c r="EE46" s="33"/>
      <c r="EV46" s="147"/>
    </row>
    <row r="47" spans="1:152" ht="13.8" x14ac:dyDescent="0.45">
      <c r="A47" s="948" t="s">
        <v>1037</v>
      </c>
      <c r="B47" s="128">
        <v>2013</v>
      </c>
      <c r="C47" s="1001">
        <v>1655</v>
      </c>
      <c r="D47" s="989">
        <v>1655</v>
      </c>
      <c r="E47" s="1015"/>
      <c r="F47" s="1092"/>
      <c r="G47" s="1083">
        <v>1655</v>
      </c>
      <c r="H47" s="1080"/>
      <c r="I47" s="1136"/>
      <c r="J47" s="973"/>
      <c r="K47" s="971"/>
      <c r="L47" s="972"/>
      <c r="M47" s="971"/>
      <c r="N47" s="29" t="s">
        <v>758</v>
      </c>
      <c r="P47" s="153"/>
      <c r="Q47" s="153"/>
      <c r="R47" s="29">
        <v>-1</v>
      </c>
      <c r="S47" s="154">
        <f t="shared" si="0"/>
        <v>1655</v>
      </c>
      <c r="T47" s="154">
        <f t="shared" si="1"/>
        <v>1655</v>
      </c>
      <c r="U47" s="154">
        <f t="shared" si="2"/>
        <v>0</v>
      </c>
      <c r="V47" s="29"/>
      <c r="W47" s="154">
        <f t="shared" ref="W47:W94" si="14">IF(U47="",#N/A,X47-(U47*$B$25))</f>
        <v>1655</v>
      </c>
      <c r="X47" s="154">
        <f>IF(U47="",#N/A,IF($B$36=$A$62,(SUM(C47:E47)/COUNTIF(C47:E47,"&gt;0")),IF($B$36=$A$63,(SUM(F47:H47)/COUNTIF(F47:H47,"&gt;0")),IF($B$36=$A$64,(SUM(J47:K47)/COUNTIF(J47:K47,"&gt;0")),IF($B$36=$A$65,(SUM(L47:M47)/COUNTIF(L47:M47,"&gt;0")),(IF($B$36=$A$46,IF(C47="",#N/A,C47),IF($B$36=$A$47,IF(D47="",#N/A,D47),IF($B$36=$A$48,IF(E47="",#N/A,E47),IF($B$36=$A$49,IF(F47="",#N/A,F47),IF($B$36=$A$50,IF(G47="",#N/A,G47),IF($B$36=$A$51,IF(H47="",#N/A,H47),IF($B$36=$A$52,IF('Total MSW TAM Data_2021 Archive'!I47="",#N/A,'Total MSW TAM Data_2021 Archive'!I47),IF($B$36=$A$53,IF(J47="",#N/A,J47),IF($B$36=$A$54,IF(K47="",#N/A,K47),IF($B$36=$A$55,IF(L47="",#N/A,L47),IF($B$36=$A$56,IF(M47="",#N/A,M47),IF(U47="",#N/A,(SUM(C47:Q47)/COUNTIFS(C47:Q47,"&gt;0"))))))))))))))))))))</f>
        <v>1655</v>
      </c>
      <c r="Y47" s="154">
        <f t="shared" si="3"/>
        <v>1655</v>
      </c>
      <c r="AA47" s="1133">
        <v>1655</v>
      </c>
      <c r="AB47" s="1133">
        <v>1655</v>
      </c>
      <c r="AC47" s="1133">
        <v>1655</v>
      </c>
      <c r="AD47" s="138"/>
      <c r="AE47" s="138"/>
      <c r="AF47" s="138"/>
      <c r="AG47" s="138"/>
      <c r="AH47" s="138"/>
      <c r="AI47" s="138"/>
      <c r="AJ47" s="138"/>
      <c r="AK47" s="138"/>
      <c r="AL47" s="138"/>
      <c r="AM47" s="138"/>
      <c r="AN47" s="138"/>
      <c r="BS47" s="160" t="s">
        <v>25</v>
      </c>
      <c r="BT47" s="161">
        <f>SLOPE((DH46:DH94),($B$46:$B$94))</f>
        <v>46.525310513191641</v>
      </c>
      <c r="BU47" s="162">
        <f>INTERCEPT(DP46:DP94,DO46:DO94)</f>
        <v>2029.723464214062</v>
      </c>
      <c r="BW47" s="133"/>
      <c r="BZ47" s="160" t="s">
        <v>25</v>
      </c>
      <c r="CA47" s="161">
        <f ca="1">INDEX(LINEST((INDIRECT(DO43):INDIRECT(DP43)),(INDIRECT(DO44):INDIRECT(DP44))^{1,2}),1)</f>
        <v>-0.51794507521885025</v>
      </c>
      <c r="CB47" s="163">
        <f ca="1">INDEX(LINEST((INDIRECT(DO43):INDIRECT(DP43)),(INDIRECT(DO44):INDIRECT(DP44))^{1,2}),1,2)</f>
        <v>69.314893822821048</v>
      </c>
      <c r="CC47" s="162">
        <f ca="1">INDEX(LINEST((INDIRECT(DO43):INDIRECT(DP43)),(INDIRECT(DO44):INDIRECT(DP44))^{1,2}),1,3)</f>
        <v>1882.6270628519085</v>
      </c>
      <c r="CH47" s="160" t="s">
        <v>25</v>
      </c>
      <c r="CI47" s="161">
        <f ca="1">INDEX(LINEST((INDIRECT(DO43):INDIRECT(DP43)),(INDIRECT(DO44):INDIRECT(DP44))^{1,2,3}),1)</f>
        <v>2.2072764593848718E-2</v>
      </c>
      <c r="CJ47" s="163">
        <f ca="1">INDEX(LINEST((INDIRECT(DO43):INDIRECT(DP43)),(INDIRECT(DO44):INDIRECT(DP44))^{1,2,3}),1,2)</f>
        <v>-1.9747475384128659</v>
      </c>
      <c r="CK47" s="163">
        <f ca="1">INDEX(LINEST((INDIRECT(DO43):INDIRECT(DP43)),(INDIRECT(DO44):INDIRECT(DP44))^{1,2,3}),1,3)</f>
        <v>93.422767312222632</v>
      </c>
      <c r="CL47" s="162">
        <f ca="1">INDEX(LINEST((INDIRECT(DO43):INDIRECT(DP43)),(INDIRECT(DO44):INDIRECT(DP44))^{1,2,3}),1,4)</f>
        <v>1822.3154408756759</v>
      </c>
      <c r="CQ47" s="160" t="s">
        <v>25</v>
      </c>
      <c r="CR47" s="161">
        <f ca="1">EXP(INDEX(LINEST(LN(INDIRECT(DO43):INDIRECT(DP43)),(INDIRECT(DO44):INDIRECT(DP44))),1,2))</f>
        <v>2073.7632589737082</v>
      </c>
      <c r="CS47" s="162">
        <f ca="1">INDEX(LINEST(LN(INDIRECT(DO43):INDIRECT(DP43)),(INDIRECT(DO44):INDIRECT(DP44))),1)</f>
        <v>1.634609244596268E-2</v>
      </c>
      <c r="CZ47" s="164" t="b">
        <f t="shared" si="4"/>
        <v>1</v>
      </c>
      <c r="DA47" s="165" t="b">
        <f t="shared" si="4"/>
        <v>1</v>
      </c>
      <c r="DB47" s="166" t="b">
        <f t="shared" si="4"/>
        <v>1</v>
      </c>
      <c r="DC47" s="164">
        <f t="shared" ref="DC47:DC94" si="15">IF(CZ47=TRUE,R47,"")</f>
        <v>-1</v>
      </c>
      <c r="DD47" s="166">
        <f t="shared" si="5"/>
        <v>1655</v>
      </c>
      <c r="DE47" s="164">
        <f t="shared" si="6"/>
        <v>-1</v>
      </c>
      <c r="DF47" s="166">
        <f t="shared" si="7"/>
        <v>1655</v>
      </c>
      <c r="DG47" s="164">
        <f t="shared" si="8"/>
        <v>-1</v>
      </c>
      <c r="DH47" s="166">
        <f t="shared" si="9"/>
        <v>1655</v>
      </c>
      <c r="DI47" s="164">
        <f>IFERROR(INDEX(DC$46:DC$94,_xlfn.AGGREGATE(15,6,(ROW(DC$46:DC$94)-ROW(DC$46)+1)/(DC$46:DC$94&lt;&gt;""),ROWS(DI$1:DI2))),"")</f>
        <v>-1</v>
      </c>
      <c r="DJ47" s="165">
        <f>IFERROR(INDEX(DD$46:DD$94,_xlfn.AGGREGATE(15,6,(ROW(DD$46:DD$94)-ROW(DD$46)+1)/(DD$46:DD$94&lt;&gt;""),ROWS(DJ$1:DJ2))),"")</f>
        <v>1655</v>
      </c>
      <c r="DK47" s="166">
        <f t="shared" si="10"/>
        <v>47</v>
      </c>
      <c r="DL47" s="164">
        <f>IFERROR(INDEX(DE$46:DE$94,_xlfn.AGGREGATE(15,6,(ROW(DE$46:DE$94)-ROW(DE$46)+1)/(DE$46:DE$94&lt;&gt;""),ROWS(DL$1:DL2))),"")</f>
        <v>-1</v>
      </c>
      <c r="DM47" s="165">
        <f>IFERROR(INDEX(DF$46:DF$94,_xlfn.AGGREGATE(15,6,(ROW(DF$46:DF$94)-ROW(DF$46)+1)/(DF$46:DF$94&lt;&gt;""),ROWS(DM$1:DM2))),"")</f>
        <v>1655</v>
      </c>
      <c r="DN47" s="166">
        <f t="shared" si="11"/>
        <v>47</v>
      </c>
      <c r="DO47" s="164">
        <f>IFERROR(INDEX(DG$46:DG$94,_xlfn.AGGREGATE(15,6,(ROW(DG$46:DG$94)-ROW(DG$46)+1)/(DG$46:DG$94&lt;&gt;""),ROWS(DO$1:DO2))),"")</f>
        <v>-1</v>
      </c>
      <c r="DP47" s="165">
        <f>IFERROR(INDEX(DH$46:DH$94,_xlfn.AGGREGATE(15,6,(ROW(DH$46:DH$94)-ROW(DH$46)+1)/(DH$46:DH$94&lt;&gt;""),ROWS(DP$1:DP2))),"")</f>
        <v>1655</v>
      </c>
      <c r="DQ47" s="166">
        <f t="shared" si="12"/>
        <v>47</v>
      </c>
      <c r="DV47" s="145">
        <v>2016</v>
      </c>
      <c r="DW47" s="146">
        <f t="shared" ca="1" si="13"/>
        <v>1932.4592699920254</v>
      </c>
      <c r="DZ47" s="65" t="s">
        <v>89</v>
      </c>
      <c r="EA47" s="33"/>
      <c r="EB47" s="33"/>
      <c r="EC47" s="33"/>
      <c r="ED47" s="33"/>
      <c r="EE47" s="33"/>
      <c r="EV47" s="147"/>
    </row>
    <row r="48" spans="1:152" ht="13.8" x14ac:dyDescent="0.45">
      <c r="A48" s="948" t="s">
        <v>90</v>
      </c>
      <c r="B48" s="128">
        <v>2014</v>
      </c>
      <c r="C48" s="1001">
        <v>1773.3333333333333</v>
      </c>
      <c r="D48" s="989">
        <v>1773.3333333333333</v>
      </c>
      <c r="E48" s="969"/>
      <c r="F48" s="1092"/>
      <c r="G48" s="1083">
        <v>1773.3333333333333</v>
      </c>
      <c r="H48" s="1081"/>
      <c r="I48" s="1135"/>
      <c r="J48" s="974"/>
      <c r="K48" s="975"/>
      <c r="L48" s="976"/>
      <c r="M48" s="975"/>
      <c r="N48" s="29" t="s">
        <v>758</v>
      </c>
      <c r="P48" s="153"/>
      <c r="Q48" s="171" t="str">
        <f>(IF($B$29="N","",IF($B$30="N","",SUM(DW105,DW169,DW232,DW295,DW358))))</f>
        <v/>
      </c>
      <c r="R48" s="29">
        <v>0</v>
      </c>
      <c r="S48" s="154">
        <f t="shared" si="0"/>
        <v>1773.3333333333333</v>
      </c>
      <c r="T48" s="154">
        <f t="shared" si="1"/>
        <v>1773.3333333333333</v>
      </c>
      <c r="U48" s="154">
        <f t="shared" si="2"/>
        <v>0</v>
      </c>
      <c r="V48" s="29"/>
      <c r="W48" s="154">
        <f>IF(U48="",#N/A,X48-(U48*$B$25))</f>
        <v>1773.3333333333333</v>
      </c>
      <c r="X48" s="154">
        <f>IF(U48="",#N/A,IF($B$36=$A$62,(SUM(C48:E48)/COUNTIF(C48:E48,"&gt;0")),IF($B$36=$A$63,(SUM(F48:H48)/COUNTIF(F48:H48,"&gt;0")),IF($B$36=$A$64,(SUM(J48:K48)/COUNTIF(J48:K48,"&gt;0")),IF($B$36=$A$65,(SUM(L48:M48)/COUNTIF(L48:M48,"&gt;0")),(IF($B$36=$A$46,IF(C48="",#N/A,C48),IF($B$36=$A$47,IF(D48="",#N/A,D48),IF($B$36=$A$48,IF(E48="",#N/A,E48),IF($B$36=$A$49,IF(F48="",#N/A,F48),IF($B$36=$A$50,IF(G48="",#N/A,G48),IF($B$36=$A$51,IF(H48="",#N/A,H48),IF($B$36=$A$52,IF('Total MSW TAM Data_2021 Archive'!I48="",#N/A,'Total MSW TAM Data_2021 Archive'!I48),IF($B$36=$A$53,IF(J48="",#N/A,J48),IF($B$36=$A$54,IF(K48="",#N/A,K48),IF($B$36=$A$55,IF(L48="",#N/A,L48),IF($B$36=$A$56,IF(M48="",#N/A,M48),IF(U48="",#N/A,(SUM(C48:Q48)/COUNTIFS(C48:Q48,"&gt;0"))))))))))))))))))))</f>
        <v>1773.3333333333333</v>
      </c>
      <c r="Y48" s="154">
        <f>IF(U48="",#N/A,X48+(U48*$B$24))</f>
        <v>1773.3333333333333</v>
      </c>
      <c r="AA48" s="1133">
        <v>1773.3333333333333</v>
      </c>
      <c r="AB48" s="1133">
        <v>1773.3333333333333</v>
      </c>
      <c r="AC48" s="1133">
        <v>1773.3333333333333</v>
      </c>
      <c r="AD48" s="138"/>
      <c r="AE48" s="138"/>
      <c r="AF48" s="138"/>
      <c r="AG48" s="138"/>
      <c r="AH48" s="138"/>
      <c r="AI48" s="138"/>
      <c r="AJ48" s="138"/>
      <c r="AK48" s="138"/>
      <c r="AL48" s="138"/>
      <c r="AM48" s="138"/>
      <c r="AN48" s="138"/>
      <c r="BS48" s="160" t="s">
        <v>91</v>
      </c>
      <c r="BT48" s="172">
        <f>SLOPE((DF46:DF94),($B$46:$B$94))</f>
        <v>44.802110538063552</v>
      </c>
      <c r="BU48" s="173">
        <f>INTERCEPT(DM46:DM94,DL46:DL94)</f>
        <v>1889.8895206627167</v>
      </c>
      <c r="BZ48" s="160" t="s">
        <v>91</v>
      </c>
      <c r="CA48" s="172">
        <f ca="1">INDEX(LINEST((INDIRECT(DL43):INDIRECT(DM43)),(INDIRECT(DL44):INDIRECT(DM44))^{1,2}),1)</f>
        <v>-0.18886837535121767</v>
      </c>
      <c r="CB48" s="174">
        <f ca="1">INDEX(LINEST((INDIRECT(DL43):INDIRECT(DM43)),(INDIRECT(DL44):INDIRECT(DM44))^{1,2}),1,2)</f>
        <v>53.112319053517119</v>
      </c>
      <c r="CC48" s="173">
        <f ca="1">INDEX(LINEST((INDIRECT(DL43):INDIRECT(DM43)),(INDIRECT(DL44):INDIRECT(DM44))^{1,2}),1,3)</f>
        <v>1836.2509020629714</v>
      </c>
      <c r="CH48" s="160" t="s">
        <v>91</v>
      </c>
      <c r="CI48" s="172">
        <f ca="1">INDEX(LINEST((INDIRECT(DL43):INDIRECT(DM43)),(INDIRECT(DL44):INDIRECT(DM44))^{1,2,3}),1)</f>
        <v>1.1518403826585333E-2</v>
      </c>
      <c r="CJ48" s="174">
        <f ca="1">INDEX(LINEST((INDIRECT(DL43):INDIRECT(DM43)),(INDIRECT(DL44):INDIRECT(DM44))^{1,2,3}),1,2)</f>
        <v>-0.94908302790584997</v>
      </c>
      <c r="CK48" s="174">
        <f ca="1">INDEX(LINEST((INDIRECT(DL43):INDIRECT(DM43)),(INDIRECT(DL44):INDIRECT(DM44))^{1,2,3}),1,3)</f>
        <v>65.692719712913643</v>
      </c>
      <c r="CL48" s="173">
        <f ca="1">INDEX(LINEST((INDIRECT(DL43):INDIRECT(DM43)),(INDIRECT(DL44):INDIRECT(DM44))^{1,2,3}),1,4)</f>
        <v>1804.7780154472089</v>
      </c>
      <c r="CQ48" s="160" t="s">
        <v>91</v>
      </c>
      <c r="CR48" s="172">
        <f ca="1">EXP(INDEX(LINEST(LN(INDIRECT(DL43):INDIRECT(DM43)),(INDIRECT(DL44):INDIRECT(DM44))),1,2))</f>
        <v>1954.5573208474043</v>
      </c>
      <c r="CS48" s="173">
        <f ca="1">INDEX(LINEST(LN(INDIRECT(DL43):INDIRECT(DM43)),(INDIRECT(DL44):INDIRECT(DM44))),1)</f>
        <v>1.6339951602883814E-2</v>
      </c>
      <c r="CZ48" s="164" t="b">
        <f t="shared" si="4"/>
        <v>1</v>
      </c>
      <c r="DA48" s="165" t="b">
        <f t="shared" si="4"/>
        <v>1</v>
      </c>
      <c r="DB48" s="166" t="b">
        <f t="shared" si="4"/>
        <v>1</v>
      </c>
      <c r="DC48" s="164">
        <f t="shared" si="15"/>
        <v>0</v>
      </c>
      <c r="DD48" s="166">
        <f t="shared" si="5"/>
        <v>1773.3333333333333</v>
      </c>
      <c r="DE48" s="164">
        <f t="shared" si="6"/>
        <v>0</v>
      </c>
      <c r="DF48" s="166">
        <f t="shared" si="7"/>
        <v>1773.3333333333333</v>
      </c>
      <c r="DG48" s="164">
        <f t="shared" si="8"/>
        <v>0</v>
      </c>
      <c r="DH48" s="166">
        <f t="shared" si="9"/>
        <v>1773.3333333333333</v>
      </c>
      <c r="DI48" s="164">
        <f>IFERROR(INDEX(DC$46:DC$94,_xlfn.AGGREGATE(15,6,(ROW(DC$46:DC$94)-ROW(DC$46)+1)/(DC$46:DC$94&lt;&gt;""),ROWS(DI$1:DI3))),"")</f>
        <v>0</v>
      </c>
      <c r="DJ48" s="165">
        <f>IFERROR(INDEX(DD$46:DD$94,_xlfn.AGGREGATE(15,6,(ROW(DD$46:DD$94)-ROW(DD$46)+1)/(DD$46:DD$94&lt;&gt;""),ROWS(DJ$1:DJ3))),"")</f>
        <v>1773.3333333333333</v>
      </c>
      <c r="DK48" s="166">
        <f t="shared" si="10"/>
        <v>48</v>
      </c>
      <c r="DL48" s="164">
        <f>IFERROR(INDEX(DE$46:DE$94,_xlfn.AGGREGATE(15,6,(ROW(DE$46:DE$94)-ROW(DE$46)+1)/(DE$46:DE$94&lt;&gt;""),ROWS(DL$1:DL3))),"")</f>
        <v>0</v>
      </c>
      <c r="DM48" s="165">
        <f>IFERROR(INDEX(DF$46:DF$94,_xlfn.AGGREGATE(15,6,(ROW(DF$46:DF$94)-ROW(DF$46)+1)/(DF$46:DF$94&lt;&gt;""),ROWS(DM$1:DM3))),"")</f>
        <v>1773.3333333333333</v>
      </c>
      <c r="DN48" s="166">
        <f t="shared" si="11"/>
        <v>48</v>
      </c>
      <c r="DO48" s="164">
        <f>IFERROR(INDEX(DG$46:DG$94,_xlfn.AGGREGATE(15,6,(ROW(DG$46:DG$94)-ROW(DG$46)+1)/(DG$46:DG$94&lt;&gt;""),ROWS(DO$1:DO3))),"")</f>
        <v>0</v>
      </c>
      <c r="DP48" s="165">
        <f>IFERROR(INDEX(DH$46:DH$94,_xlfn.AGGREGATE(15,6,(ROW(DH$46:DH$94)-ROW(DH$46)+1)/(DH$46:DH$94&lt;&gt;""),ROWS(DP$1:DP3))),"")</f>
        <v>1773.3333333333333</v>
      </c>
      <c r="DQ48" s="166">
        <f t="shared" si="12"/>
        <v>48</v>
      </c>
      <c r="DV48" s="145">
        <v>2017</v>
      </c>
      <c r="DW48" s="146">
        <f t="shared" ca="1" si="13"/>
        <v>1993.6254242381149</v>
      </c>
      <c r="EA48" s="33" t="s">
        <v>85</v>
      </c>
      <c r="EB48" s="33" t="s">
        <v>84</v>
      </c>
      <c r="EC48" s="33" t="s">
        <v>82</v>
      </c>
      <c r="ED48" s="33" t="s">
        <v>83</v>
      </c>
      <c r="EE48" s="33"/>
      <c r="EV48" s="147"/>
    </row>
    <row r="49" spans="1:152" ht="14.1" thickBot="1" x14ac:dyDescent="0.5">
      <c r="A49" s="184" t="s">
        <v>80</v>
      </c>
      <c r="B49" s="128">
        <v>2015</v>
      </c>
      <c r="C49" s="1001">
        <v>1891.6666666666665</v>
      </c>
      <c r="D49" s="989">
        <v>1891.6666666666665</v>
      </c>
      <c r="E49" s="1015"/>
      <c r="F49" s="1092"/>
      <c r="G49" s="1083">
        <v>1891.6666666666665</v>
      </c>
      <c r="H49" s="1082"/>
      <c r="I49" s="1134"/>
      <c r="J49" s="973"/>
      <c r="K49" s="971"/>
      <c r="L49" s="972"/>
      <c r="M49" s="971"/>
      <c r="N49" s="29" t="s">
        <v>758</v>
      </c>
      <c r="P49" s="153"/>
      <c r="Q49" s="176" t="str">
        <f t="shared" ref="Q49:Q94" si="16">(IF($B$29="N","",IF($B$30="N","",SUM(DW106,DW170,DW233,DW296,DW359))))</f>
        <v/>
      </c>
      <c r="R49" s="29">
        <v>1</v>
      </c>
      <c r="S49" s="154">
        <f t="shared" si="0"/>
        <v>1891.6666666666665</v>
      </c>
      <c r="T49" s="154">
        <f t="shared" si="1"/>
        <v>1891.6666666666665</v>
      </c>
      <c r="U49" s="154">
        <f t="shared" si="2"/>
        <v>2.2737367544323206E-13</v>
      </c>
      <c r="V49" s="29"/>
      <c r="W49" s="154">
        <f t="shared" si="14"/>
        <v>1891.6666666666665</v>
      </c>
      <c r="X49" s="154">
        <f>IF(U49="",#N/A,IF($B$36=$A$62,(SUM(C49:E49)/COUNTIF(C49:E49,"&gt;0")),IF($B$36=$A$63,(SUM(F49:H49)/COUNTIF(F49:H49,"&gt;0")),IF($B$36=$A$64,(SUM(J49:K49)/COUNTIF(J49:K49,"&gt;0")),IF($B$36=$A$65,(SUM(L49:M49)/COUNTIF(L49:M49,"&gt;0")),(IF($B$36=$A$46,IF(C49="",#N/A,C49),IF($B$36=$A$47,IF(D49="",#N/A,D49),IF($B$36=$A$48,IF(E49="",#N/A,E49),IF($B$36=$A$49,IF(F49="",#N/A,F49),IF($B$36=$A$50,IF(G49="",#N/A,G49),IF($B$36=$A$51,IF(H49="",#N/A,H49),IF($B$36=$A$52,IF('Total MSW TAM Data_2021 Archive'!I49="",#N/A,'Total MSW TAM Data_2021 Archive'!I49),IF($B$36=$A$53,IF(J49="",#N/A,J49),IF($B$36=$A$54,IF(K49="",#N/A,K49),IF($B$36=$A$55,IF(L49="",#N/A,L49),IF($B$36=$A$56,IF(M49="",#N/A,M49),IF(U49="",#N/A,(SUM(C49:Q49)/COUNTIFS(C49:Q49,"&gt;0"))))))))))))))))))))</f>
        <v>1891.6666666666667</v>
      </c>
      <c r="Y49" s="154">
        <f t="shared" si="3"/>
        <v>1891.666666666667</v>
      </c>
      <c r="AA49" s="1133">
        <v>1891.6666666666665</v>
      </c>
      <c r="AB49" s="1133">
        <v>1891.6666666666667</v>
      </c>
      <c r="AC49" s="1133">
        <v>1891.666666666667</v>
      </c>
      <c r="AD49" s="138"/>
      <c r="AE49" s="138"/>
      <c r="AF49" s="138"/>
      <c r="AG49" s="138"/>
      <c r="AH49" s="138"/>
      <c r="AI49" s="138"/>
      <c r="AJ49" s="138"/>
      <c r="AK49" s="138"/>
      <c r="AL49" s="138"/>
      <c r="AM49" s="138"/>
      <c r="AN49" s="138"/>
      <c r="BR49" s="29"/>
      <c r="BS49" s="160" t="s">
        <v>15</v>
      </c>
      <c r="BT49" s="177">
        <f>SLOPE((DD46:DD94),($B$46:$B$94))</f>
        <v>43.078910562935469</v>
      </c>
      <c r="BU49" s="178">
        <f>INTERCEPT(DJ46:DJ94,DI46:DI94)</f>
        <v>1750.0555771113743</v>
      </c>
      <c r="BV49" s="691" t="s">
        <v>71</v>
      </c>
      <c r="BY49" s="29"/>
      <c r="BZ49" s="160" t="s">
        <v>15</v>
      </c>
      <c r="CA49" s="177">
        <f ca="1">INDEX(LINEST((INDIRECT(DI43):INDIRECT(DJ43)),(INDIRECT(DI44):INDIRECT(DJ44))^{1,2}),1)</f>
        <v>0.1402083245164156</v>
      </c>
      <c r="CB49" s="179">
        <f ca="1">INDEX(LINEST((INDIRECT(DI43):INDIRECT(DJ43)),(INDIRECT(DI44):INDIRECT(DJ44))^{1,2}),1,2)</f>
        <v>36.909744284213161</v>
      </c>
      <c r="CC49" s="178">
        <f ca="1">INDEX(LINEST((INDIRECT(DI43):INDIRECT(DJ43)),(INDIRECT(DI44):INDIRECT(DJ44))^{1,2}),1,3)</f>
        <v>1789.8747412740368</v>
      </c>
      <c r="CD49" s="691" t="s">
        <v>71</v>
      </c>
      <c r="CG49" s="29"/>
      <c r="CH49" s="160" t="s">
        <v>15</v>
      </c>
      <c r="CI49" s="177">
        <f ca="1">INDEX(LINEST((INDIRECT(DI43):INDIRECT(DJ43)),(INDIRECT(DI44):INDIRECT(DJ44))^{1,2,3}),1)</f>
        <v>9.6404305932193423E-4</v>
      </c>
      <c r="CJ49" s="179">
        <f ca="1">INDEX(LINEST((INDIRECT(DI43):INDIRECT(DJ43)),(INDIRECT(DI44):INDIRECT(DJ44))^{1,2,3}),1,2)</f>
        <v>7.6581482601167386E-2</v>
      </c>
      <c r="CK49" s="179">
        <f ca="1">INDEX(LINEST((INDIRECT(DI43):INDIRECT(DJ43)),(INDIRECT(DI44):INDIRECT(DJ44))^{1,2,3}),1,3)</f>
        <v>37.962672113604633</v>
      </c>
      <c r="CL49" s="178">
        <f ca="1">INDEX(LINEST((INDIRECT(DI43):INDIRECT(DJ43)),(INDIRECT(DI44):INDIRECT(DJ44))^{1,2,3}),1,4)</f>
        <v>1787.2405900187446</v>
      </c>
      <c r="CM49" s="691" t="s">
        <v>71</v>
      </c>
      <c r="CP49" s="29"/>
      <c r="CQ49" s="160" t="s">
        <v>15</v>
      </c>
      <c r="CR49" s="177">
        <f ca="1">EXP(INDEX(LINEST(LN(INDIRECT(DI43):INDIRECT(DJ43)),(INDIRECT(DI44):INDIRECT(DJ44))),1,2))</f>
        <v>1831.9615461954177</v>
      </c>
      <c r="CS49" s="178">
        <f ca="1">INDEX(LINEST(LN(INDIRECT(DI43):INDIRECT(DJ43)),(INDIRECT(DI44):INDIRECT(DJ44))),1)</f>
        <v>1.638088224796393E-2</v>
      </c>
      <c r="CT49" s="691" t="s">
        <v>71</v>
      </c>
      <c r="CZ49" s="164" t="b">
        <f t="shared" si="4"/>
        <v>1</v>
      </c>
      <c r="DA49" s="165" t="b">
        <f t="shared" si="4"/>
        <v>1</v>
      </c>
      <c r="DB49" s="166" t="b">
        <f t="shared" si="4"/>
        <v>1</v>
      </c>
      <c r="DC49" s="164">
        <f t="shared" si="15"/>
        <v>1</v>
      </c>
      <c r="DD49" s="166">
        <f t="shared" si="5"/>
        <v>1891.6666666666665</v>
      </c>
      <c r="DE49" s="164">
        <f t="shared" si="6"/>
        <v>1</v>
      </c>
      <c r="DF49" s="166">
        <f t="shared" si="7"/>
        <v>1891.6666666666667</v>
      </c>
      <c r="DG49" s="164">
        <f t="shared" si="8"/>
        <v>1</v>
      </c>
      <c r="DH49" s="166">
        <f t="shared" si="9"/>
        <v>1891.666666666667</v>
      </c>
      <c r="DI49" s="164">
        <f>IFERROR(INDEX(DC$46:DC$94,_xlfn.AGGREGATE(15,6,(ROW(DC$46:DC$94)-ROW(DC$46)+1)/(DC$46:DC$94&lt;&gt;""),ROWS(DI$1:DI4))),"")</f>
        <v>1</v>
      </c>
      <c r="DJ49" s="165">
        <f>IFERROR(INDEX(DD$46:DD$94,_xlfn.AGGREGATE(15,6,(ROW(DD$46:DD$94)-ROW(DD$46)+1)/(DD$46:DD$94&lt;&gt;""),ROWS(DJ$1:DJ4))),"")</f>
        <v>1891.6666666666665</v>
      </c>
      <c r="DK49" s="166">
        <f t="shared" si="10"/>
        <v>49</v>
      </c>
      <c r="DL49" s="164">
        <f>IFERROR(INDEX(DE$46:DE$94,_xlfn.AGGREGATE(15,6,(ROW(DE$46:DE$94)-ROW(DE$46)+1)/(DE$46:DE$94&lt;&gt;""),ROWS(DL$1:DL4))),"")</f>
        <v>1</v>
      </c>
      <c r="DM49" s="165">
        <f>IFERROR(INDEX(DF$46:DF$94,_xlfn.AGGREGATE(15,6,(ROW(DF$46:DF$94)-ROW(DF$46)+1)/(DF$46:DF$94&lt;&gt;""),ROWS(DM$1:DM4))),"")</f>
        <v>1891.6666666666667</v>
      </c>
      <c r="DN49" s="166">
        <f t="shared" si="11"/>
        <v>49</v>
      </c>
      <c r="DO49" s="164">
        <f>IFERROR(INDEX(DG$46:DG$94,_xlfn.AGGREGATE(15,6,(ROW(DG$46:DG$94)-ROW(DG$46)+1)/(DG$46:DG$94&lt;&gt;""),ROWS(DO$1:DO4))),"")</f>
        <v>1</v>
      </c>
      <c r="DP49" s="165">
        <f>IFERROR(INDEX(DH$46:DH$94,_xlfn.AGGREGATE(15,6,(ROW(DH$46:DH$94)-ROW(DH$46)+1)/(DH$46:DH$94&lt;&gt;""),ROWS(DP$1:DP4))),"")</f>
        <v>1891.666666666667</v>
      </c>
      <c r="DQ49" s="166">
        <f t="shared" si="12"/>
        <v>49</v>
      </c>
      <c r="DV49" s="145">
        <v>2018</v>
      </c>
      <c r="DW49" s="146">
        <f t="shared" ca="1" si="13"/>
        <v>2053.1007436972714</v>
      </c>
      <c r="DZ49" s="135" t="s">
        <v>92</v>
      </c>
      <c r="EA49" s="33">
        <f ca="1">IF($V$4="Linear",0,IF($V$4="2nd Poly",0,IF($V$4="3rd Poly",CI47,IF($V$4="Exp",0))))</f>
        <v>2.2072764593848718E-2</v>
      </c>
      <c r="EB49" s="33">
        <f ca="1">IF($V$4="Linear",0,IF($V$4="2nd Poly",CA47,IF($V$4="3rd Poly",CJ47,IF($V$4="Exp",0))))</f>
        <v>-1.9747475384128659</v>
      </c>
      <c r="EC49" s="33">
        <f t="shared" ref="EC49:ED51" ca="1" si="17">IF($V$4="Linear",BT47,IF($V$4="2nd Poly",CB47,IF($V$4="3rd Poly",CK47,IF($V$4="Exp",0))))</f>
        <v>93.422767312222632</v>
      </c>
      <c r="ED49" s="33">
        <f t="shared" ca="1" si="17"/>
        <v>1822.3154408756759</v>
      </c>
      <c r="EE49" s="33" t="str">
        <f>IF($EA$44="Linear","High",IF($EA$44="2nd Poly","High",IF($EA$44="3rd Poly","High","N/A")))</f>
        <v>High</v>
      </c>
      <c r="EV49" s="147"/>
    </row>
    <row r="50" spans="1:152" ht="13.8" x14ac:dyDescent="0.45">
      <c r="A50" s="948" t="s">
        <v>1038</v>
      </c>
      <c r="B50" s="128">
        <v>2016</v>
      </c>
      <c r="C50" s="1001">
        <v>2009.9999999999998</v>
      </c>
      <c r="D50" s="989">
        <v>2009.9999999999998</v>
      </c>
      <c r="E50" s="1015"/>
      <c r="F50" s="1092"/>
      <c r="G50" s="1083">
        <v>2009.9999999999998</v>
      </c>
      <c r="H50" s="1082"/>
      <c r="I50" s="1134"/>
      <c r="J50" s="973"/>
      <c r="K50" s="971"/>
      <c r="L50" s="972"/>
      <c r="M50" s="971"/>
      <c r="N50" s="29" t="s">
        <v>758</v>
      </c>
      <c r="P50" s="153"/>
      <c r="Q50" s="176" t="str">
        <f t="shared" si="16"/>
        <v/>
      </c>
      <c r="R50" s="29">
        <v>2</v>
      </c>
      <c r="S50" s="154">
        <f t="shared" si="0"/>
        <v>2009.9999999999998</v>
      </c>
      <c r="T50" s="154">
        <f t="shared" si="1"/>
        <v>2009.9999999999998</v>
      </c>
      <c r="U50" s="154">
        <f t="shared" si="2"/>
        <v>0</v>
      </c>
      <c r="V50" s="29"/>
      <c r="W50" s="154">
        <f t="shared" si="14"/>
        <v>2009.9999999999998</v>
      </c>
      <c r="X50" s="154">
        <f>IF(U50="",#N/A,IF($B$36=$A$62,(SUM(C50:E50)/COUNTIF(C50:E50,"&gt;0")),IF($B$36=$A$63,(SUM(F50:H50)/COUNTIF(F50:H50,"&gt;0")),IF($B$36=$A$64,(SUM(J50:K50)/COUNTIF(J50:K50,"&gt;0")),IF($B$36=$A$65,(SUM(L50:M50)/COUNTIF(L50:M50,"&gt;0")),(IF($B$36=$A$46,IF(C50="",#N/A,C50),IF($B$36=$A$47,IF(D50="",#N/A,D50),IF($B$36=$A$48,IF(E50="",#N/A,E50),IF($B$36=$A$49,IF(F50="",#N/A,F50),IF($B$36=$A$50,IF(G50="",#N/A,G50),IF($B$36=$A$51,IF(H50="",#N/A,H50),IF($B$36=$A$52,IF('Total MSW TAM Data_2021 Archive'!I50="",#N/A,'Total MSW TAM Data_2021 Archive'!I50),IF($B$36=$A$53,IF(J50="",#N/A,J50),IF($B$36=$A$54,IF(K50="",#N/A,K50),IF($B$36=$A$55,IF(L50="",#N/A,L50),IF($B$36=$A$56,IF(M50="",#N/A,M50),IF(U50="",#N/A,(SUM(C50:Q50)/COUNTIFS(C50:Q50,"&gt;0"))))))))))))))))))))</f>
        <v>2009.9999999999998</v>
      </c>
      <c r="Y50" s="154">
        <f t="shared" si="3"/>
        <v>2009.9999999999998</v>
      </c>
      <c r="AA50" s="1133">
        <v>2009.9999999999998</v>
      </c>
      <c r="AB50" s="1133">
        <v>2009.9999999999998</v>
      </c>
      <c r="AC50" s="1133">
        <v>2009.9999999999998</v>
      </c>
      <c r="AD50" s="138"/>
      <c r="AE50" s="138"/>
      <c r="AF50" s="138"/>
      <c r="AG50" s="138"/>
      <c r="AH50" s="138"/>
      <c r="AI50" s="138"/>
      <c r="AJ50" s="138"/>
      <c r="AK50" s="138"/>
      <c r="AL50" s="138"/>
      <c r="AM50" s="138"/>
      <c r="AN50" s="138"/>
      <c r="BR50" s="180">
        <v>2014</v>
      </c>
      <c r="BS50" s="22">
        <v>0</v>
      </c>
      <c r="BT50" s="181">
        <f t="shared" ref="BT50:BT95" si="18">IF($BS$46="High",BS50*$BT$47,IF($BS$46="Medium",$BT$48*BS50,IF($BS$46="Low",$BT$49*BS50)))</f>
        <v>0</v>
      </c>
      <c r="BU50" s="182">
        <f t="shared" ref="BU50:BU96" si="19">IF($BS$46="High",$BU$47,IF($BS$46="Medium",$BU$48,IF($BS$46="Low",BU49)))</f>
        <v>1889.8895206627167</v>
      </c>
      <c r="BV50" s="183">
        <f t="shared" ref="BV50:BV96" si="20">BT50+BU50</f>
        <v>1889.8895206627167</v>
      </c>
      <c r="BY50" s="180">
        <v>2014</v>
      </c>
      <c r="BZ50" s="22">
        <v>0</v>
      </c>
      <c r="CA50" s="181">
        <f t="shared" ref="CA50:CA96" ca="1" si="21">IF($BZ$46="High",BZ50^2*$CA$47,IF($BZ$46="Medium",BZ50^2*$CA$48,IF($BZ$46="Low",BZ50^2*$CA$49)))</f>
        <v>0</v>
      </c>
      <c r="CB50" s="181">
        <f t="shared" ref="CB50:CB96" ca="1" si="22">IF($BZ$46="High",BZ50*$CB$47,IF($BZ$46="Medium",BZ50*$CB$48,IF($BZ$46="Low",BZ50*$CB$49)))</f>
        <v>0</v>
      </c>
      <c r="CC50" s="182">
        <f ca="1">IF($BZ$46="High",$CC$47,IF($BZ$46="Medium",$CC$48,IF($BZ$46="Low",$CC$49)))</f>
        <v>1836.2509020629714</v>
      </c>
      <c r="CD50" s="183">
        <f t="shared" ref="CD50:CD96" ca="1" si="23">CA50+CB50+CC50</f>
        <v>1836.2509020629714</v>
      </c>
      <c r="CG50" s="180">
        <v>2014</v>
      </c>
      <c r="CH50" s="22">
        <v>0</v>
      </c>
      <c r="CI50" s="181">
        <f t="shared" ref="CI50:CI96" ca="1" si="24">IF($CH$46="High",CH50^3*$CI$47,IF($CH$46="Medium",CH50^3*$CI$48,IF($CH$46="Low",CH50^3*$CI$49)))</f>
        <v>0</v>
      </c>
      <c r="CJ50" s="181">
        <f t="shared" ref="CJ50:CJ96" ca="1" si="25">IF($CH$46="High",CH50^2*$CJ$47,IF($CH$46="Medium",CH50^2*$CJ$48,IF($CH$46="Low",CH50^2*$CJ$49)))</f>
        <v>0</v>
      </c>
      <c r="CK50" s="181">
        <f t="shared" ref="CK50:CK96" ca="1" si="26">IF($CH$46="High",CH50*$CK$47,IF($CH$46="Medium",CH50*$CK$48,IF($CH$46="Low",CH50*$CK$49)))</f>
        <v>0</v>
      </c>
      <c r="CL50" s="182">
        <f t="shared" ref="CL50:CL96" ca="1" si="27">IF($CH$46="High",$CL$47,IF($CH$46="Medium",$CL$48,IF($CH$46="Low",$CL$49)))</f>
        <v>1804.7780154472089</v>
      </c>
      <c r="CM50" s="183">
        <f t="shared" ref="CM50:CM96" ca="1" si="28">CI50+CJ50+CK50+CL50</f>
        <v>1804.7780154472089</v>
      </c>
      <c r="CP50" s="180">
        <v>2014</v>
      </c>
      <c r="CQ50" s="22">
        <v>0</v>
      </c>
      <c r="CR50" s="181">
        <f t="shared" ref="CR50:CR96" ca="1" si="29">IF($CQ$46="High",$CR$47,IF($CQ$46="Medium",$CR$48,IF($CQ$46="Low",$CR$49)))</f>
        <v>1954.5573208474043</v>
      </c>
      <c r="CS50" s="182">
        <f t="shared" ref="CS50:CS96" ca="1" si="30">IF($CQ$46="High",EXP(1)^($CS$47*CQ50),IF($CQ$46="Medium",EXP(1)^($CS$48*CQ50),IF($CQ$46="Low",EXP(1)^($CS$49*CQ50))))</f>
        <v>1</v>
      </c>
      <c r="CT50" s="183">
        <f t="shared" ref="CT50:CT96" ca="1" si="31">(CR50*CS50)</f>
        <v>1954.5573208474043</v>
      </c>
      <c r="CZ50" s="164" t="b">
        <f t="shared" si="4"/>
        <v>1</v>
      </c>
      <c r="DA50" s="165" t="b">
        <f t="shared" si="4"/>
        <v>1</v>
      </c>
      <c r="DB50" s="166" t="b">
        <f t="shared" si="4"/>
        <v>1</v>
      </c>
      <c r="DC50" s="164">
        <f t="shared" si="15"/>
        <v>2</v>
      </c>
      <c r="DD50" s="166">
        <f t="shared" si="5"/>
        <v>2009.9999999999998</v>
      </c>
      <c r="DE50" s="164">
        <f t="shared" si="6"/>
        <v>2</v>
      </c>
      <c r="DF50" s="166">
        <f t="shared" si="7"/>
        <v>2009.9999999999998</v>
      </c>
      <c r="DG50" s="164">
        <f t="shared" si="8"/>
        <v>2</v>
      </c>
      <c r="DH50" s="166">
        <f t="shared" si="9"/>
        <v>2009.9999999999998</v>
      </c>
      <c r="DI50" s="164">
        <f>IFERROR(INDEX(DC$46:DC$94,_xlfn.AGGREGATE(15,6,(ROW(DC$46:DC$94)-ROW(DC$46)+1)/(DC$46:DC$94&lt;&gt;""),ROWS(DI$1:DI5))),"")</f>
        <v>2</v>
      </c>
      <c r="DJ50" s="165">
        <f>IFERROR(INDEX(DD$46:DD$94,_xlfn.AGGREGATE(15,6,(ROW(DD$46:DD$94)-ROW(DD$46)+1)/(DD$46:DD$94&lt;&gt;""),ROWS(DJ$1:DJ5))),"")</f>
        <v>2009.9999999999998</v>
      </c>
      <c r="DK50" s="166">
        <f t="shared" si="10"/>
        <v>50</v>
      </c>
      <c r="DL50" s="164">
        <f>IFERROR(INDEX(DE$46:DE$94,_xlfn.AGGREGATE(15,6,(ROW(DE$46:DE$94)-ROW(DE$46)+1)/(DE$46:DE$94&lt;&gt;""),ROWS(DL$1:DL5))),"")</f>
        <v>2</v>
      </c>
      <c r="DM50" s="165">
        <f>IFERROR(INDEX(DF$46:DF$94,_xlfn.AGGREGATE(15,6,(ROW(DF$46:DF$94)-ROW(DF$46)+1)/(DF$46:DF$94&lt;&gt;""),ROWS(DM$1:DM5))),"")</f>
        <v>2009.9999999999998</v>
      </c>
      <c r="DN50" s="166">
        <f t="shared" si="11"/>
        <v>50</v>
      </c>
      <c r="DO50" s="164">
        <f>IFERROR(INDEX(DG$46:DG$94,_xlfn.AGGREGATE(15,6,(ROW(DG$46:DG$94)-ROW(DG$46)+1)/(DG$46:DG$94&lt;&gt;""),ROWS(DO$1:DO5))),"")</f>
        <v>2</v>
      </c>
      <c r="DP50" s="165">
        <f>IFERROR(INDEX(DH$46:DH$94,_xlfn.AGGREGATE(15,6,(ROW(DH$46:DH$94)-ROW(DH$46)+1)/(DH$46:DH$94&lt;&gt;""),ROWS(DP$1:DP5))),"")</f>
        <v>2009.9999999999998</v>
      </c>
      <c r="DQ50" s="166">
        <f t="shared" si="12"/>
        <v>50</v>
      </c>
      <c r="DV50" s="145">
        <v>2019</v>
      </c>
      <c r="DW50" s="146">
        <f t="shared" ca="1" si="13"/>
        <v>2110.9543387924541</v>
      </c>
      <c r="DZ50" s="135" t="s">
        <v>92</v>
      </c>
      <c r="EA50" s="33">
        <f ca="1">IF($V$4="Linear",0,IF($V$4="2nd Poly",0,IF($V$4="3rd Poly",CI48,IF($V$4="Exp",0))))</f>
        <v>1.1518403826585333E-2</v>
      </c>
      <c r="EB50" s="33">
        <f ca="1">IF($V$4="Linear",0,IF($V$4="2nd Poly",CA48,IF($V$4="3rd Poly",CJ48,IF($V$4="Exp",0))))</f>
        <v>-0.94908302790584997</v>
      </c>
      <c r="EC50" s="33">
        <f t="shared" ca="1" si="17"/>
        <v>65.692719712913643</v>
      </c>
      <c r="ED50" s="33">
        <f t="shared" ca="1" si="17"/>
        <v>1804.7780154472089</v>
      </c>
      <c r="EE50" s="33" t="str">
        <f>IF($EA$44="Linear","Medium",IF($EA$44="2nd Poly","Medium",IF($EA$44="3rd Poly","Medium","N/A")))</f>
        <v>Medium</v>
      </c>
      <c r="EV50" s="147"/>
    </row>
    <row r="51" spans="1:152" ht="13.8" x14ac:dyDescent="0.45">
      <c r="A51" s="184" t="s">
        <v>90</v>
      </c>
      <c r="B51" s="128">
        <v>2017</v>
      </c>
      <c r="C51" s="1016">
        <v>2053.8242009132418</v>
      </c>
      <c r="D51" s="982">
        <v>2257.7852102784937</v>
      </c>
      <c r="E51" s="1017"/>
      <c r="F51" s="1077"/>
      <c r="G51" s="1106">
        <v>2021.6666666666667</v>
      </c>
      <c r="H51" s="1107"/>
      <c r="I51" s="1108"/>
      <c r="J51" s="168"/>
      <c r="K51" s="169"/>
      <c r="L51" s="170"/>
      <c r="M51" s="169"/>
      <c r="N51" s="29" t="s">
        <v>758</v>
      </c>
      <c r="P51" s="153"/>
      <c r="Q51" s="176" t="str">
        <f t="shared" si="16"/>
        <v/>
      </c>
      <c r="R51" s="29">
        <v>3</v>
      </c>
      <c r="S51" s="154">
        <f t="shared" si="0"/>
        <v>2021.6666666666667</v>
      </c>
      <c r="T51" s="154">
        <f t="shared" si="1"/>
        <v>2257.7852102784937</v>
      </c>
      <c r="U51" s="154">
        <f t="shared" si="2"/>
        <v>104.55523101185548</v>
      </c>
      <c r="V51" s="29"/>
      <c r="W51" s="154">
        <f t="shared" si="14"/>
        <v>2006.5367949409451</v>
      </c>
      <c r="X51" s="154">
        <f>IF(U51="",#N/A,IF($B$36=$A$62,(SUM(C51:E51)/COUNTIF(C51:E51,"&gt;0")),IF($B$36=$A$63,(SUM(F51:H51)/COUNTIF(F51:H51,"&gt;0")),IF($B$36=$A$64,(SUM(J51:K51)/COUNTIF(J51:K51,"&gt;0")),IF($B$36=$A$65,(SUM(L51:M51)/COUNTIF(L51:M51,"&gt;0")),(IF($B$36=$A$46,IF(C51="",#N/A,C51),IF($B$36=$A$47,IF(D51="",#N/A,D51),IF($B$36=$A$48,IF(E51="",#N/A,E51),IF($B$36=$A$49,IF(F51="",#N/A,F51),IF($B$36=$A$50,IF(G51="",#N/A,G51),IF($B$36=$A$51,IF(H51="",#N/A,H51),IF($B$36=$A$52,IF('Total MSW TAM Data_2021 Archive'!I51="",#N/A,'Total MSW TAM Data_2021 Archive'!I51),IF($B$36=$A$53,IF(J51="",#N/A,J51),IF($B$36=$A$54,IF(K51="",#N/A,K51),IF($B$36=$A$55,IF(L51="",#N/A,L51),IF($B$36=$A$56,IF(M51="",#N/A,M51),IF(U51="",#N/A,(SUM(C51:Q51)/COUNTIFS(C51:Q51,"&gt;0"))))))))))))))))))))</f>
        <v>2111.0920259528007</v>
      </c>
      <c r="Y51" s="154">
        <f t="shared" si="3"/>
        <v>2215.6472569646562</v>
      </c>
      <c r="AA51" s="1133">
        <v>2006.5367949409451</v>
      </c>
      <c r="AB51" s="1133">
        <v>2111.0920259528007</v>
      </c>
      <c r="AC51" s="1133">
        <v>2215.6472569646562</v>
      </c>
      <c r="AD51" s="138"/>
      <c r="AE51" s="138"/>
      <c r="AF51" s="138"/>
      <c r="AG51" s="138"/>
      <c r="AH51" s="138"/>
      <c r="AI51" s="138"/>
      <c r="AJ51" s="138"/>
      <c r="AK51" s="138"/>
      <c r="AL51" s="138"/>
      <c r="AM51" s="138"/>
      <c r="AN51" s="138"/>
      <c r="BR51" s="180">
        <v>2015</v>
      </c>
      <c r="BS51" s="22">
        <v>1</v>
      </c>
      <c r="BT51" s="181">
        <f t="shared" si="18"/>
        <v>44.802110538063552</v>
      </c>
      <c r="BU51" s="182">
        <f t="shared" si="19"/>
        <v>1889.8895206627167</v>
      </c>
      <c r="BV51" s="183">
        <f t="shared" si="20"/>
        <v>1934.6916312007802</v>
      </c>
      <c r="BY51" s="180">
        <v>2015</v>
      </c>
      <c r="BZ51" s="22">
        <v>1</v>
      </c>
      <c r="CA51" s="185">
        <f t="shared" ca="1" si="21"/>
        <v>-0.18886837535121767</v>
      </c>
      <c r="CB51" s="185">
        <f t="shared" ca="1" si="22"/>
        <v>53.112319053517119</v>
      </c>
      <c r="CC51" s="186">
        <f t="shared" ref="CC51:CC96" ca="1" si="32">CC50</f>
        <v>1836.2509020629714</v>
      </c>
      <c r="CD51" s="183">
        <f t="shared" ca="1" si="23"/>
        <v>1889.1743527411372</v>
      </c>
      <c r="CG51" s="180">
        <v>2015</v>
      </c>
      <c r="CH51" s="22">
        <v>1</v>
      </c>
      <c r="CI51" s="185">
        <f t="shared" ca="1" si="24"/>
        <v>1.1518403826585333E-2</v>
      </c>
      <c r="CJ51" s="185">
        <f t="shared" ca="1" si="25"/>
        <v>-0.94908302790584997</v>
      </c>
      <c r="CK51" s="185">
        <f t="shared" ca="1" si="26"/>
        <v>65.692719712913643</v>
      </c>
      <c r="CL51" s="186">
        <f t="shared" ca="1" si="27"/>
        <v>1804.7780154472089</v>
      </c>
      <c r="CM51" s="183">
        <f t="shared" ca="1" si="28"/>
        <v>1869.5331705360431</v>
      </c>
      <c r="CP51" s="180">
        <v>2015</v>
      </c>
      <c r="CQ51" s="22">
        <v>1</v>
      </c>
      <c r="CR51" s="181">
        <f t="shared" ca="1" si="29"/>
        <v>1954.5573208474043</v>
      </c>
      <c r="CS51" s="182">
        <f t="shared" ca="1" si="30"/>
        <v>1.0164741787036078</v>
      </c>
      <c r="CT51" s="183">
        <f t="shared" ca="1" si="31"/>
        <v>1986.7570474374893</v>
      </c>
      <c r="CZ51" s="164" t="b">
        <f t="shared" si="4"/>
        <v>1</v>
      </c>
      <c r="DA51" s="165" t="b">
        <f t="shared" si="4"/>
        <v>1</v>
      </c>
      <c r="DB51" s="166" t="b">
        <f t="shared" si="4"/>
        <v>1</v>
      </c>
      <c r="DC51" s="164">
        <f t="shared" si="15"/>
        <v>3</v>
      </c>
      <c r="DD51" s="166">
        <f t="shared" si="5"/>
        <v>2006.5367949409451</v>
      </c>
      <c r="DE51" s="164">
        <f t="shared" si="6"/>
        <v>3</v>
      </c>
      <c r="DF51" s="166">
        <f t="shared" si="7"/>
        <v>2111.0920259528007</v>
      </c>
      <c r="DG51" s="164">
        <f t="shared" si="8"/>
        <v>3</v>
      </c>
      <c r="DH51" s="166">
        <f t="shared" si="9"/>
        <v>2215.6472569646562</v>
      </c>
      <c r="DI51" s="164">
        <f>IFERROR(INDEX(DC$46:DC$94,_xlfn.AGGREGATE(15,6,(ROW(DC$46:DC$94)-ROW(DC$46)+1)/(DC$46:DC$94&lt;&gt;""),ROWS(DI$1:DI6))),"")</f>
        <v>3</v>
      </c>
      <c r="DJ51" s="165">
        <f>IFERROR(INDEX(DD$46:DD$94,_xlfn.AGGREGATE(15,6,(ROW(DD$46:DD$94)-ROW(DD$46)+1)/(DD$46:DD$94&lt;&gt;""),ROWS(DJ$1:DJ6))),"")</f>
        <v>2006.5367949409451</v>
      </c>
      <c r="DK51" s="166">
        <f t="shared" si="10"/>
        <v>51</v>
      </c>
      <c r="DL51" s="164">
        <f>IFERROR(INDEX(DE$46:DE$94,_xlfn.AGGREGATE(15,6,(ROW(DE$46:DE$94)-ROW(DE$46)+1)/(DE$46:DE$94&lt;&gt;""),ROWS(DL$1:DL6))),"")</f>
        <v>3</v>
      </c>
      <c r="DM51" s="165">
        <f>IFERROR(INDEX(DF$46:DF$94,_xlfn.AGGREGATE(15,6,(ROW(DF$46:DF$94)-ROW(DF$46)+1)/(DF$46:DF$94&lt;&gt;""),ROWS(DM$1:DM6))),"")</f>
        <v>2111.0920259528007</v>
      </c>
      <c r="DN51" s="166">
        <f t="shared" si="11"/>
        <v>51</v>
      </c>
      <c r="DO51" s="164">
        <f>IFERROR(INDEX(DG$46:DG$94,_xlfn.AGGREGATE(15,6,(ROW(DG$46:DG$94)-ROW(DG$46)+1)/(DG$46:DG$94&lt;&gt;""),ROWS(DO$1:DO6))),"")</f>
        <v>3</v>
      </c>
      <c r="DP51" s="165">
        <f>IFERROR(INDEX(DH$46:DH$94,_xlfn.AGGREGATE(15,6,(ROW(DH$46:DH$94)-ROW(DH$46)+1)/(DH$46:DH$94&lt;&gt;""),ROWS(DP$1:DP6))),"")</f>
        <v>2215.6472569646562</v>
      </c>
      <c r="DQ51" s="166">
        <f t="shared" si="12"/>
        <v>51</v>
      </c>
      <c r="DV51" s="145">
        <v>2020</v>
      </c>
      <c r="DW51" s="146">
        <f t="shared" ca="1" si="13"/>
        <v>2167.2553199466224</v>
      </c>
      <c r="DZ51" s="135" t="s">
        <v>92</v>
      </c>
      <c r="EA51" s="33">
        <f ca="1">IF($V$4="Linear",0,IF($V$4="2nd Poly",0,IF($V$4="3rd Poly",CI49,IF($V$4="Exp",0))))</f>
        <v>9.6404305932193423E-4</v>
      </c>
      <c r="EB51" s="33">
        <f ca="1">IF($V$4="Linear",0,IF($V$4="2nd Poly",CA49,IF($V$4="3rd Poly",CJ49,IF($V$4="Exp",0))))</f>
        <v>7.6581482601167386E-2</v>
      </c>
      <c r="EC51" s="33">
        <f t="shared" ca="1" si="17"/>
        <v>37.962672113604633</v>
      </c>
      <c r="ED51" s="33">
        <f t="shared" ca="1" si="17"/>
        <v>1787.2405900187446</v>
      </c>
      <c r="EE51" s="33" t="str">
        <f>IF($EA$44="Linear","Low",IF($EA$44="2nd Poly","Low",IF($EA$44="3rd Poly","Low","N/A")))</f>
        <v>Low</v>
      </c>
      <c r="EV51" s="147"/>
    </row>
    <row r="52" spans="1:152" ht="13.8" x14ac:dyDescent="0.45">
      <c r="A52" s="948" t="s">
        <v>1039</v>
      </c>
      <c r="B52" s="128">
        <v>2018</v>
      </c>
      <c r="C52" s="1016">
        <v>2094.6803652968038</v>
      </c>
      <c r="D52" s="982">
        <v>2314.9722954908048</v>
      </c>
      <c r="E52" s="1017"/>
      <c r="F52" s="1077"/>
      <c r="G52" s="1109">
        <v>2033.3333333333335</v>
      </c>
      <c r="H52" s="1107"/>
      <c r="I52" s="1110"/>
      <c r="J52" s="159"/>
      <c r="K52" s="151"/>
      <c r="L52" s="152"/>
      <c r="M52" s="151"/>
      <c r="N52" s="29" t="s">
        <v>758</v>
      </c>
      <c r="P52" s="153"/>
      <c r="Q52" s="176" t="str">
        <f t="shared" si="16"/>
        <v/>
      </c>
      <c r="R52" s="29">
        <v>4</v>
      </c>
      <c r="S52" s="154">
        <f t="shared" si="0"/>
        <v>2033.3333333333335</v>
      </c>
      <c r="T52" s="154">
        <f t="shared" si="1"/>
        <v>2314.9722954908048</v>
      </c>
      <c r="U52" s="154">
        <f t="shared" si="2"/>
        <v>120.92812274904055</v>
      </c>
      <c r="V52" s="20"/>
      <c r="W52" s="154">
        <f t="shared" si="14"/>
        <v>2026.7338752912733</v>
      </c>
      <c r="X52" s="154">
        <f>IF(U52="",#N/A,IF($B$36=$A$62,(SUM(C52:E52)/COUNTIF(C52:E52,"&gt;0")),IF($B$36=$A$63,(SUM(F52:H52)/COUNTIF(F52:H52,"&gt;0")),IF($B$36=$A$64,(SUM(J52:K52)/COUNTIF(J52:K52,"&gt;0")),IF($B$36=$A$65,(SUM(L52:M52)/COUNTIF(L52:M52,"&gt;0")),(IF($B$36=$A$46,IF(C52="",#N/A,C52),IF($B$36=$A$47,IF(D52="",#N/A,D52),IF($B$36=$A$48,IF(E52="",#N/A,E52),IF($B$36=$A$49,IF(F52="",#N/A,F52),IF($B$36=$A$50,IF(G52="",#N/A,G52),IF($B$36=$A$51,IF(H52="",#N/A,H52),IF($B$36=$A$52,IF('Total MSW TAM Data_2021 Archive'!I52="",#N/A,'Total MSW TAM Data_2021 Archive'!I52),IF($B$36=$A$53,IF(J52="",#N/A,J52),IF($B$36=$A$54,IF(K52="",#N/A,K52),IF($B$36=$A$55,IF(L52="",#N/A,L52),IF($B$36=$A$56,IF(M52="",#N/A,M52),IF(U52="",#N/A,(SUM(C52:Q52)/COUNTIFS(C52:Q52,"&gt;0"))))))))))))))))))))</f>
        <v>2147.6619980403138</v>
      </c>
      <c r="Y52" s="154">
        <f t="shared" si="3"/>
        <v>2268.5901207893544</v>
      </c>
      <c r="AA52" s="1133">
        <v>2026.7338752912733</v>
      </c>
      <c r="AB52" s="1133">
        <v>2147.6619980403138</v>
      </c>
      <c r="AC52" s="1133">
        <v>2268.5901207893544</v>
      </c>
      <c r="AD52" s="138"/>
      <c r="AE52" s="138"/>
      <c r="AF52" s="138"/>
      <c r="AG52" s="138"/>
      <c r="AH52" s="138"/>
      <c r="AI52" s="138"/>
      <c r="AJ52" s="138"/>
      <c r="AK52" s="138"/>
      <c r="AL52" s="138"/>
      <c r="AM52" s="138"/>
      <c r="AN52" s="138"/>
      <c r="BR52" s="180">
        <v>2016</v>
      </c>
      <c r="BS52" s="22">
        <v>2</v>
      </c>
      <c r="BT52" s="181">
        <f t="shared" si="18"/>
        <v>89.604221076127104</v>
      </c>
      <c r="BU52" s="182">
        <f t="shared" si="19"/>
        <v>1889.8895206627167</v>
      </c>
      <c r="BV52" s="183">
        <f t="shared" si="20"/>
        <v>1979.4937417388437</v>
      </c>
      <c r="BY52" s="180">
        <v>2016</v>
      </c>
      <c r="BZ52" s="22">
        <v>2</v>
      </c>
      <c r="CA52" s="185">
        <f t="shared" ca="1" si="21"/>
        <v>-0.75547350140487068</v>
      </c>
      <c r="CB52" s="185">
        <f t="shared" ca="1" si="22"/>
        <v>106.22463810703424</v>
      </c>
      <c r="CC52" s="186">
        <f t="shared" ca="1" si="32"/>
        <v>1836.2509020629714</v>
      </c>
      <c r="CD52" s="183">
        <f t="shared" ca="1" si="23"/>
        <v>1941.7200666686008</v>
      </c>
      <c r="CG52" s="180">
        <v>2016</v>
      </c>
      <c r="CH52" s="22">
        <v>2</v>
      </c>
      <c r="CI52" s="185">
        <f t="shared" ca="1" si="24"/>
        <v>9.2147230612682665E-2</v>
      </c>
      <c r="CJ52" s="185">
        <f t="shared" ca="1" si="25"/>
        <v>-3.7963321116233999</v>
      </c>
      <c r="CK52" s="185">
        <f t="shared" ca="1" si="26"/>
        <v>131.38543942582729</v>
      </c>
      <c r="CL52" s="186">
        <f t="shared" ca="1" si="27"/>
        <v>1804.7780154472089</v>
      </c>
      <c r="CM52" s="183">
        <f t="shared" ca="1" si="28"/>
        <v>1932.4592699920254</v>
      </c>
      <c r="CP52" s="180">
        <v>2016</v>
      </c>
      <c r="CQ52" s="22">
        <v>2</v>
      </c>
      <c r="CR52" s="181">
        <f t="shared" ca="1" si="29"/>
        <v>1954.5573208474043</v>
      </c>
      <c r="CS52" s="182">
        <f t="shared" ca="1" si="30"/>
        <v>1.0332197559711738</v>
      </c>
      <c r="CT52" s="183">
        <f t="shared" ca="1" si="31"/>
        <v>2019.4872380776262</v>
      </c>
      <c r="CZ52" s="164" t="b">
        <f t="shared" si="4"/>
        <v>1</v>
      </c>
      <c r="DA52" s="165" t="b">
        <f t="shared" si="4"/>
        <v>1</v>
      </c>
      <c r="DB52" s="166" t="b">
        <f t="shared" si="4"/>
        <v>1</v>
      </c>
      <c r="DC52" s="164">
        <f t="shared" si="15"/>
        <v>4</v>
      </c>
      <c r="DD52" s="166">
        <f t="shared" si="5"/>
        <v>2026.7338752912733</v>
      </c>
      <c r="DE52" s="164">
        <f t="shared" si="6"/>
        <v>4</v>
      </c>
      <c r="DF52" s="166">
        <f t="shared" si="7"/>
        <v>2147.6619980403138</v>
      </c>
      <c r="DG52" s="164">
        <f t="shared" si="8"/>
        <v>4</v>
      </c>
      <c r="DH52" s="166">
        <f t="shared" si="9"/>
        <v>2268.5901207893544</v>
      </c>
      <c r="DI52" s="164">
        <f>IFERROR(INDEX(DC$46:DC$94,_xlfn.AGGREGATE(15,6,(ROW(DC$46:DC$94)-ROW(DC$46)+1)/(DC$46:DC$94&lt;&gt;""),ROWS(DI$1:DI7))),"")</f>
        <v>4</v>
      </c>
      <c r="DJ52" s="165">
        <f>IFERROR(INDEX(DD$46:DD$94,_xlfn.AGGREGATE(15,6,(ROW(DD$46:DD$94)-ROW(DD$46)+1)/(DD$46:DD$94&lt;&gt;""),ROWS(DJ$1:DJ7))),"")</f>
        <v>2026.7338752912733</v>
      </c>
      <c r="DK52" s="166">
        <f t="shared" si="10"/>
        <v>52</v>
      </c>
      <c r="DL52" s="164">
        <f>IFERROR(INDEX(DE$46:DE$94,_xlfn.AGGREGATE(15,6,(ROW(DE$46:DE$94)-ROW(DE$46)+1)/(DE$46:DE$94&lt;&gt;""),ROWS(DL$1:DL7))),"")</f>
        <v>4</v>
      </c>
      <c r="DM52" s="165">
        <f>IFERROR(INDEX(DF$46:DF$94,_xlfn.AGGREGATE(15,6,(ROW(DF$46:DF$94)-ROW(DF$46)+1)/(DF$46:DF$94&lt;&gt;""),ROWS(DM$1:DM7))),"")</f>
        <v>2147.6619980403138</v>
      </c>
      <c r="DN52" s="166">
        <f t="shared" si="11"/>
        <v>52</v>
      </c>
      <c r="DO52" s="164">
        <f>IFERROR(INDEX(DG$46:DG$94,_xlfn.AGGREGATE(15,6,(ROW(DG$46:DG$94)-ROW(DG$46)+1)/(DG$46:DG$94&lt;&gt;""),ROWS(DO$1:DO7))),"")</f>
        <v>4</v>
      </c>
      <c r="DP52" s="165">
        <f>IFERROR(INDEX(DH$46:DH$94,_xlfn.AGGREGATE(15,6,(ROW(DH$46:DH$94)-ROW(DH$46)+1)/(DH$46:DH$94&lt;&gt;""),ROWS(DP$1:DP7))),"")</f>
        <v>2268.5901207893544</v>
      </c>
      <c r="DQ52" s="166">
        <f t="shared" si="12"/>
        <v>52</v>
      </c>
      <c r="DV52" s="145">
        <v>2021</v>
      </c>
      <c r="DW52" s="146">
        <f t="shared" ca="1" si="13"/>
        <v>2222.0727975827367</v>
      </c>
      <c r="DZ52" s="135"/>
      <c r="EA52" s="33"/>
      <c r="EB52" s="33"/>
      <c r="EC52" s="33"/>
      <c r="ED52" s="33"/>
      <c r="EE52" s="33"/>
      <c r="EV52" s="147"/>
    </row>
    <row r="53" spans="1:152" ht="13.8" x14ac:dyDescent="0.45">
      <c r="A53" s="184" t="s">
        <v>88</v>
      </c>
      <c r="B53" s="128">
        <v>2019</v>
      </c>
      <c r="C53" s="1016">
        <v>2135.5365296803652</v>
      </c>
      <c r="D53" s="982">
        <v>2371.5574644498547</v>
      </c>
      <c r="E53" s="1017"/>
      <c r="F53" s="1077"/>
      <c r="G53" s="1109">
        <v>2045</v>
      </c>
      <c r="H53" s="1107"/>
      <c r="I53" s="1110"/>
      <c r="J53" s="188"/>
      <c r="K53" s="189"/>
      <c r="L53" s="190"/>
      <c r="M53" s="189"/>
      <c r="N53" s="29" t="s">
        <v>758</v>
      </c>
      <c r="P53" s="153"/>
      <c r="Q53" s="176" t="str">
        <f t="shared" si="16"/>
        <v/>
      </c>
      <c r="R53" s="29">
        <v>5</v>
      </c>
      <c r="S53" s="191">
        <f t="shared" si="0"/>
        <v>2045</v>
      </c>
      <c r="T53" s="191">
        <f t="shared" si="1"/>
        <v>2371.5574644498547</v>
      </c>
      <c r="U53" s="191">
        <f t="shared" si="2"/>
        <v>137.65598120110283</v>
      </c>
      <c r="V53" s="20"/>
      <c r="W53" s="191">
        <f t="shared" si="14"/>
        <v>2046.3753501756373</v>
      </c>
      <c r="X53" s="191">
        <f>IF(U53="",#N/A,IF($B$36=$A$62,(SUM(C53:E53)/COUNTIF(C53:E53,"&gt;0")),IF($B$36=$A$63,(SUM(F53:H53)/COUNTIF(F53:H53,"&gt;0")),IF($B$36=$A$64,(SUM(J53:K53)/COUNTIF(J53:K53,"&gt;0")),IF($B$36=$A$65,(SUM(L53:M53)/COUNTIF(L53:M53,"&gt;0")),(IF($B$36=$A$46,IF(C53="",#N/A,C53),IF($B$36=$A$47,IF(D53="",#N/A,D53),IF($B$36=$A$48,IF(E53="",#N/A,E53),IF($B$36=$A$49,IF(F53="",#N/A,F53),IF($B$36=$A$50,IF(G53="",#N/A,G53),IF($B$36=$A$51,IF(H53="",#N/A,H53),IF($B$36=$A$52,IF('Total MSW TAM Data_2021 Archive'!I53="",#N/A,'Total MSW TAM Data_2021 Archive'!I53),IF($B$36=$A$53,IF(J53="",#N/A,J53),IF($B$36=$A$54,IF(K53="",#N/A,K53),IF($B$36=$A$55,IF(L53="",#N/A,L53),IF($B$36=$A$56,IF(M53="",#N/A,M53),IF(U53="",#N/A,(SUM(C53:Q53)/COUNTIFS(C53:Q53,"&gt;0"))))))))))))))))))))</f>
        <v>2184.0313313767401</v>
      </c>
      <c r="Y53" s="191">
        <f t="shared" si="3"/>
        <v>2321.6873125778429</v>
      </c>
      <c r="AA53" s="1133">
        <v>2046.3753501756373</v>
      </c>
      <c r="AB53" s="1133">
        <v>2184.0313313767401</v>
      </c>
      <c r="AC53" s="1133">
        <v>2321.6873125778429</v>
      </c>
      <c r="AD53" s="138"/>
      <c r="AE53" s="138"/>
      <c r="AF53" s="138"/>
      <c r="AG53" s="138"/>
      <c r="AH53" s="138"/>
      <c r="AI53" s="138"/>
      <c r="AJ53" s="138"/>
      <c r="AK53" s="138"/>
      <c r="AL53" s="138"/>
      <c r="AM53" s="138"/>
      <c r="AN53" s="138"/>
      <c r="BR53" s="180">
        <v>2017</v>
      </c>
      <c r="BS53" s="22">
        <v>3</v>
      </c>
      <c r="BT53" s="181">
        <f t="shared" si="18"/>
        <v>134.40633161419066</v>
      </c>
      <c r="BU53" s="182">
        <f t="shared" si="19"/>
        <v>1889.8895206627167</v>
      </c>
      <c r="BV53" s="192">
        <f t="shared" si="20"/>
        <v>2024.2958522769072</v>
      </c>
      <c r="BY53" s="180">
        <v>2017</v>
      </c>
      <c r="BZ53" s="22">
        <v>3</v>
      </c>
      <c r="CA53" s="193">
        <f t="shared" ca="1" si="21"/>
        <v>-1.6998153781609591</v>
      </c>
      <c r="CB53" s="193">
        <f t="shared" ca="1" si="22"/>
        <v>159.33695716055135</v>
      </c>
      <c r="CC53" s="186">
        <f t="shared" ca="1" si="32"/>
        <v>1836.2509020629714</v>
      </c>
      <c r="CD53" s="192">
        <f t="shared" ca="1" si="23"/>
        <v>1993.8880438453618</v>
      </c>
      <c r="CG53" s="180">
        <v>2017</v>
      </c>
      <c r="CH53" s="22">
        <v>3</v>
      </c>
      <c r="CI53" s="193">
        <f t="shared" ca="1" si="24"/>
        <v>0.310996903317804</v>
      </c>
      <c r="CJ53" s="193">
        <f t="shared" ca="1" si="25"/>
        <v>-8.5417472511526498</v>
      </c>
      <c r="CK53" s="193">
        <f t="shared" ca="1" si="26"/>
        <v>197.07815913874094</v>
      </c>
      <c r="CL53" s="186">
        <f t="shared" ca="1" si="27"/>
        <v>1804.7780154472089</v>
      </c>
      <c r="CM53" s="192">
        <f t="shared" ca="1" si="28"/>
        <v>1993.6254242381149</v>
      </c>
      <c r="CP53" s="180">
        <v>2017</v>
      </c>
      <c r="CQ53" s="22">
        <v>3</v>
      </c>
      <c r="CR53" s="181">
        <f t="shared" ca="1" si="29"/>
        <v>1954.5573208474043</v>
      </c>
      <c r="CS53" s="182">
        <f t="shared" ca="1" si="30"/>
        <v>1.0502412028711408</v>
      </c>
      <c r="CT53" s="192">
        <f t="shared" ca="1" si="31"/>
        <v>2052.7566317273722</v>
      </c>
      <c r="CZ53" s="164" t="b">
        <f t="shared" si="4"/>
        <v>1</v>
      </c>
      <c r="DA53" s="165" t="b">
        <f t="shared" si="4"/>
        <v>1</v>
      </c>
      <c r="DB53" s="166" t="b">
        <f t="shared" si="4"/>
        <v>1</v>
      </c>
      <c r="DC53" s="164">
        <f t="shared" si="15"/>
        <v>5</v>
      </c>
      <c r="DD53" s="166">
        <f t="shared" si="5"/>
        <v>2046.3753501756373</v>
      </c>
      <c r="DE53" s="164">
        <f t="shared" si="6"/>
        <v>5</v>
      </c>
      <c r="DF53" s="166">
        <f t="shared" si="7"/>
        <v>2184.0313313767401</v>
      </c>
      <c r="DG53" s="164">
        <f t="shared" si="8"/>
        <v>5</v>
      </c>
      <c r="DH53" s="166">
        <f t="shared" si="9"/>
        <v>2321.6873125778429</v>
      </c>
      <c r="DI53" s="164">
        <f>IFERROR(INDEX(DC$46:DC$94,_xlfn.AGGREGATE(15,6,(ROW(DC$46:DC$94)-ROW(DC$46)+1)/(DC$46:DC$94&lt;&gt;""),ROWS(DI$1:DI8))),"")</f>
        <v>5</v>
      </c>
      <c r="DJ53" s="165">
        <f>IFERROR(INDEX(DD$46:DD$94,_xlfn.AGGREGATE(15,6,(ROW(DD$46:DD$94)-ROW(DD$46)+1)/(DD$46:DD$94&lt;&gt;""),ROWS(DJ$1:DJ8))),"")</f>
        <v>2046.3753501756373</v>
      </c>
      <c r="DK53" s="166">
        <f t="shared" si="10"/>
        <v>53</v>
      </c>
      <c r="DL53" s="164">
        <f>IFERROR(INDEX(DE$46:DE$94,_xlfn.AGGREGATE(15,6,(ROW(DE$46:DE$94)-ROW(DE$46)+1)/(DE$46:DE$94&lt;&gt;""),ROWS(DL$1:DL8))),"")</f>
        <v>5</v>
      </c>
      <c r="DM53" s="165">
        <f>IFERROR(INDEX(DF$46:DF$94,_xlfn.AGGREGATE(15,6,(ROW(DF$46:DF$94)-ROW(DF$46)+1)/(DF$46:DF$94&lt;&gt;""),ROWS(DM$1:DM8))),"")</f>
        <v>2184.0313313767401</v>
      </c>
      <c r="DN53" s="166">
        <f t="shared" si="11"/>
        <v>53</v>
      </c>
      <c r="DO53" s="164">
        <f>IFERROR(INDEX(DG$46:DG$94,_xlfn.AGGREGATE(15,6,(ROW(DG$46:DG$94)-ROW(DG$46)+1)/(DG$46:DG$94&lt;&gt;""),ROWS(DO$1:DO8))),"")</f>
        <v>5</v>
      </c>
      <c r="DP53" s="165">
        <f>IFERROR(INDEX(DH$46:DH$94,_xlfn.AGGREGATE(15,6,(ROW(DH$46:DH$94)-ROW(DH$46)+1)/(DH$46:DH$94&lt;&gt;""),ROWS(DP$1:DP8))),"")</f>
        <v>2321.6873125778429</v>
      </c>
      <c r="DQ53" s="166">
        <f t="shared" si="12"/>
        <v>53</v>
      </c>
      <c r="DV53" s="145">
        <v>2022</v>
      </c>
      <c r="DW53" s="146">
        <f t="shared" ca="1" si="13"/>
        <v>2275.4758821237551</v>
      </c>
      <c r="DZ53" s="135"/>
      <c r="EA53" s="33" t="s">
        <v>86</v>
      </c>
      <c r="EB53" s="33" t="s">
        <v>87</v>
      </c>
      <c r="EC53" s="33"/>
      <c r="ED53" s="33"/>
      <c r="EE53" s="33"/>
      <c r="EV53" s="147"/>
    </row>
    <row r="54" spans="1:152" ht="13.8" x14ac:dyDescent="0.45">
      <c r="A54" s="194" t="s">
        <v>90</v>
      </c>
      <c r="B54" s="128">
        <v>2020</v>
      </c>
      <c r="C54" s="1016">
        <v>2176.3926940639267</v>
      </c>
      <c r="D54" s="982">
        <v>2428.7958724065325</v>
      </c>
      <c r="E54" s="1017"/>
      <c r="F54" s="1077"/>
      <c r="G54" s="1109">
        <v>2056.666666666667</v>
      </c>
      <c r="H54" s="1107"/>
      <c r="I54" s="931"/>
      <c r="J54" s="168"/>
      <c r="K54" s="169"/>
      <c r="L54" s="170"/>
      <c r="M54" s="169"/>
      <c r="N54" s="29" t="s">
        <v>758</v>
      </c>
      <c r="P54" s="153"/>
      <c r="Q54" s="176" t="str">
        <f t="shared" si="16"/>
        <v/>
      </c>
      <c r="R54" s="29">
        <v>6</v>
      </c>
      <c r="S54" s="195">
        <f t="shared" si="0"/>
        <v>2056.666666666667</v>
      </c>
      <c r="T54" s="195">
        <f t="shared" si="1"/>
        <v>2428.7958724065325</v>
      </c>
      <c r="U54" s="154">
        <f t="shared" si="2"/>
        <v>155.10635485167438</v>
      </c>
      <c r="V54" s="20"/>
      <c r="W54" s="154">
        <f t="shared" si="14"/>
        <v>2065.5120561940339</v>
      </c>
      <c r="X54" s="154">
        <f>IF(U54="",#N/A,IF($B$36=$A$62,(SUM(C54:E54)/COUNTIF(C54:E54,"&gt;0")),IF($B$36=$A$63,(SUM(F54:H54)/COUNTIF(F54:H54,"&gt;0")),IF($B$36=$A$64,(SUM(J54:K54)/COUNTIF(J54:K54,"&gt;0")),IF($B$36=$A$65,(SUM(L54:M54)/COUNTIF(L54:M54,"&gt;0")),(IF($B$36=$A$46,IF(C54="",#N/A,C54),IF($B$36=$A$47,IF(D54="",#N/A,D54),IF($B$36=$A$48,IF(E54="",#N/A,E54),IF($B$36=$A$49,IF(F54="",#N/A,F54),IF($B$36=$A$50,IF(G54="",#N/A,G54),IF($B$36=$A$51,IF(H54="",#N/A,H54),IF($B$36=$A$52,IF('Total MSW TAM Data_2021 Archive'!I54="",#N/A,'Total MSW TAM Data_2021 Archive'!I54),IF($B$36=$A$53,IF(J54="",#N/A,J54),IF($B$36=$A$54,IF(K54="",#N/A,K54),IF($B$36=$A$55,IF(L54="",#N/A,L54),IF($B$36=$A$56,IF(M54="",#N/A,M54),IF(U54="",#N/A,(SUM(C54:Q54)/COUNTIFS(C54:Q54,"&gt;0"))))))))))))))))))))</f>
        <v>2220.6184110457084</v>
      </c>
      <c r="Y54" s="154">
        <f t="shared" si="3"/>
        <v>2375.7247658973829</v>
      </c>
      <c r="AA54" s="1133">
        <v>2065.5120561940339</v>
      </c>
      <c r="AB54" s="1133">
        <v>2220.6184110457084</v>
      </c>
      <c r="AC54" s="1133">
        <v>2375.7247658973829</v>
      </c>
      <c r="AD54" s="138"/>
      <c r="AE54" s="138"/>
      <c r="AF54" s="138"/>
      <c r="AG54" s="138"/>
      <c r="AH54" s="138"/>
      <c r="AI54" s="138"/>
      <c r="AJ54" s="138"/>
      <c r="AK54" s="138"/>
      <c r="AL54" s="138"/>
      <c r="AM54" s="138"/>
      <c r="AN54" s="138"/>
      <c r="BR54" s="180">
        <v>2018</v>
      </c>
      <c r="BS54" s="22">
        <v>4</v>
      </c>
      <c r="BT54" s="181">
        <f t="shared" si="18"/>
        <v>179.20844215225421</v>
      </c>
      <c r="BU54" s="182">
        <f t="shared" si="19"/>
        <v>1889.8895206627167</v>
      </c>
      <c r="BV54" s="183">
        <f t="shared" si="20"/>
        <v>2069.0979628149707</v>
      </c>
      <c r="BY54" s="180">
        <v>2018</v>
      </c>
      <c r="BZ54" s="22">
        <v>4</v>
      </c>
      <c r="CA54" s="185">
        <f t="shared" ca="1" si="21"/>
        <v>-3.0218940056194827</v>
      </c>
      <c r="CB54" s="185">
        <f t="shared" ca="1" si="22"/>
        <v>212.44927621406848</v>
      </c>
      <c r="CC54" s="186">
        <f t="shared" ca="1" si="32"/>
        <v>1836.2509020629714</v>
      </c>
      <c r="CD54" s="183">
        <f t="shared" ca="1" si="23"/>
        <v>2045.6782842714204</v>
      </c>
      <c r="CG54" s="180">
        <v>2018</v>
      </c>
      <c r="CH54" s="22">
        <v>4</v>
      </c>
      <c r="CI54" s="185">
        <f t="shared" ca="1" si="24"/>
        <v>0.73717784490146132</v>
      </c>
      <c r="CJ54" s="185">
        <f t="shared" ca="1" si="25"/>
        <v>-15.1853284464936</v>
      </c>
      <c r="CK54" s="185">
        <f t="shared" ca="1" si="26"/>
        <v>262.77087885165457</v>
      </c>
      <c r="CL54" s="186">
        <f t="shared" ca="1" si="27"/>
        <v>1804.7780154472089</v>
      </c>
      <c r="CM54" s="183">
        <f t="shared" ca="1" si="28"/>
        <v>2053.1007436972714</v>
      </c>
      <c r="CP54" s="180">
        <v>2018</v>
      </c>
      <c r="CQ54" s="22">
        <v>4</v>
      </c>
      <c r="CR54" s="181">
        <f t="shared" ca="1" si="29"/>
        <v>1954.5573208474043</v>
      </c>
      <c r="CS54" s="182">
        <f t="shared" ca="1" si="30"/>
        <v>1.0675430641291319</v>
      </c>
      <c r="CT54" s="183">
        <f t="shared" ca="1" si="31"/>
        <v>2086.574111313465</v>
      </c>
      <c r="CZ54" s="164" t="b">
        <f t="shared" si="4"/>
        <v>1</v>
      </c>
      <c r="DA54" s="165" t="b">
        <f t="shared" si="4"/>
        <v>1</v>
      </c>
      <c r="DB54" s="166" t="b">
        <f t="shared" si="4"/>
        <v>1</v>
      </c>
      <c r="DC54" s="164">
        <f t="shared" si="15"/>
        <v>6</v>
      </c>
      <c r="DD54" s="166">
        <f t="shared" si="5"/>
        <v>2065.5120561940339</v>
      </c>
      <c r="DE54" s="164">
        <f t="shared" si="6"/>
        <v>6</v>
      </c>
      <c r="DF54" s="166">
        <f t="shared" si="7"/>
        <v>2220.6184110457084</v>
      </c>
      <c r="DG54" s="164">
        <f t="shared" si="8"/>
        <v>6</v>
      </c>
      <c r="DH54" s="166">
        <f t="shared" si="9"/>
        <v>2375.7247658973829</v>
      </c>
      <c r="DI54" s="164">
        <f>IFERROR(INDEX(DC$46:DC$94,_xlfn.AGGREGATE(15,6,(ROW(DC$46:DC$94)-ROW(DC$46)+1)/(DC$46:DC$94&lt;&gt;""),ROWS(DI$1:DI9))),"")</f>
        <v>6</v>
      </c>
      <c r="DJ54" s="165">
        <f>IFERROR(INDEX(DD$46:DD$94,_xlfn.AGGREGATE(15,6,(ROW(DD$46:DD$94)-ROW(DD$46)+1)/(DD$46:DD$94&lt;&gt;""),ROWS(DJ$1:DJ9))),"")</f>
        <v>2065.5120561940339</v>
      </c>
      <c r="DK54" s="166">
        <f t="shared" si="10"/>
        <v>54</v>
      </c>
      <c r="DL54" s="164">
        <f>IFERROR(INDEX(DE$46:DE$94,_xlfn.AGGREGATE(15,6,(ROW(DE$46:DE$94)-ROW(DE$46)+1)/(DE$46:DE$94&lt;&gt;""),ROWS(DL$1:DL9))),"")</f>
        <v>6</v>
      </c>
      <c r="DM54" s="165">
        <f>IFERROR(INDEX(DF$46:DF$94,_xlfn.AGGREGATE(15,6,(ROW(DF$46:DF$94)-ROW(DF$46)+1)/(DF$46:DF$94&lt;&gt;""),ROWS(DM$1:DM9))),"")</f>
        <v>2220.6184110457084</v>
      </c>
      <c r="DN54" s="166">
        <f t="shared" si="11"/>
        <v>54</v>
      </c>
      <c r="DO54" s="164">
        <f>IFERROR(INDEX(DG$46:DG$94,_xlfn.AGGREGATE(15,6,(ROW(DG$46:DG$94)-ROW(DG$46)+1)/(DG$46:DG$94&lt;&gt;""),ROWS(DO$1:DO9))),"")</f>
        <v>6</v>
      </c>
      <c r="DP54" s="165">
        <f>IFERROR(INDEX(DH$46:DH$94,_xlfn.AGGREGATE(15,6,(ROW(DH$46:DH$94)-ROW(DH$46)+1)/(DH$46:DH$94&lt;&gt;""),ROWS(DP$1:DP9))),"")</f>
        <v>2375.7247658973829</v>
      </c>
      <c r="DQ54" s="166">
        <f t="shared" si="12"/>
        <v>54</v>
      </c>
      <c r="DV54" s="145">
        <v>2023</v>
      </c>
      <c r="DW54" s="146">
        <f t="shared" ca="1" si="13"/>
        <v>2327.5336839926385</v>
      </c>
      <c r="DZ54" s="135" t="s">
        <v>92</v>
      </c>
      <c r="EA54" s="33">
        <f>IF($V$4="Linear",0,IF($V$4="2nd Poly",0,IF($V$4="3rd Poly",0,IF($V$4="Exp",CR47))))</f>
        <v>0</v>
      </c>
      <c r="EB54" s="33">
        <f>IF($V$4="Linear",0,IF($V$4="2nd Poly",CA52,IF($V$4="3rd Poly",0,IF($V$4="Exp",CS47))))</f>
        <v>0</v>
      </c>
      <c r="EC54" s="33" t="str">
        <f>IF($EA$44="Linear","N/A",IF($EA$44="2nd Poly","N/A",IF($EA$44="3rd Poly","N/A","High")))</f>
        <v>N/A</v>
      </c>
      <c r="ED54" s="33"/>
      <c r="EE54" s="33"/>
      <c r="EV54" s="147"/>
    </row>
    <row r="55" spans="1:152" ht="14.1" thickBot="1" x14ac:dyDescent="0.5">
      <c r="A55" s="184" t="s">
        <v>80</v>
      </c>
      <c r="B55" s="128">
        <v>2021</v>
      </c>
      <c r="C55" s="1016">
        <v>2217.2488584474886</v>
      </c>
      <c r="D55" s="982">
        <v>2482.6765131546908</v>
      </c>
      <c r="E55" s="1017"/>
      <c r="F55" s="1077"/>
      <c r="G55" s="1109">
        <v>2068.3333333333335</v>
      </c>
      <c r="H55" s="1107"/>
      <c r="I55" s="1110"/>
      <c r="J55" s="159"/>
      <c r="K55" s="151"/>
      <c r="L55" s="152"/>
      <c r="M55" s="151"/>
      <c r="N55" s="29" t="s">
        <v>758</v>
      </c>
      <c r="P55" s="153"/>
      <c r="Q55" s="176" t="str">
        <f t="shared" si="16"/>
        <v/>
      </c>
      <c r="R55" s="29">
        <v>7</v>
      </c>
      <c r="S55" s="196">
        <f t="shared" si="0"/>
        <v>2068.3333333333335</v>
      </c>
      <c r="T55" s="196">
        <f t="shared" si="1"/>
        <v>2482.6765131546908</v>
      </c>
      <c r="U55" s="154">
        <f t="shared" si="2"/>
        <v>171.36962785740329</v>
      </c>
      <c r="V55" s="20"/>
      <c r="W55" s="154">
        <f t="shared" si="14"/>
        <v>2084.7166071211009</v>
      </c>
      <c r="X55" s="154">
        <f>IF(U55="",#N/A,IF($B$36=$A$62,(SUM(C55:E55)/COUNTIF(C55:E55,"&gt;0")),IF($B$36=$A$63,(SUM(F55:H55)/COUNTIF(F55:H55,"&gt;0")),IF($B$36=$A$64,(SUM(J55:K55)/COUNTIF(J55:K55,"&gt;0")),IF($B$36=$A$65,(SUM(L55:M55)/COUNTIF(L55:M55,"&gt;0")),(IF($B$36=$A$46,IF(C55="",#N/A,C55),IF($B$36=$A$47,IF(D55="",#N/A,D55),IF($B$36=$A$48,IF(E55="",#N/A,E55),IF($B$36=$A$49,IF(F55="",#N/A,F55),IF($B$36=$A$50,IF(G55="",#N/A,G55),IF($B$36=$A$51,IF(H55="",#N/A,H55),IF($B$36=$A$52,IF('Total MSW TAM Data_2021 Archive'!I55="",#N/A,'Total MSW TAM Data_2021 Archive'!I55),IF($B$36=$A$53,IF(J55="",#N/A,J55),IF($B$36=$A$54,IF(K55="",#N/A,K55),IF($B$36=$A$55,IF(L55="",#N/A,L55),IF($B$36=$A$56,IF(M55="",#N/A,M55),IF(U55="",#N/A,(SUM(C55:Q55)/COUNTIFS(C55:Q55,"&gt;0"))))))))))))))))))))</f>
        <v>2256.0862349785043</v>
      </c>
      <c r="Y55" s="154">
        <f t="shared" si="3"/>
        <v>2427.4558628359077</v>
      </c>
      <c r="AA55" s="1133">
        <v>2084.7166071211009</v>
      </c>
      <c r="AB55" s="1133">
        <v>2256.0862349785043</v>
      </c>
      <c r="AC55" s="1133">
        <v>2427.4558628359077</v>
      </c>
      <c r="AD55" s="138"/>
      <c r="AE55" s="138"/>
      <c r="AF55" s="138"/>
      <c r="AG55" s="138"/>
      <c r="AH55" s="138"/>
      <c r="AI55" s="138"/>
      <c r="AJ55" s="138"/>
      <c r="AK55" s="138"/>
      <c r="AL55" s="138"/>
      <c r="AM55" s="138"/>
      <c r="AN55" s="138"/>
      <c r="BR55" s="180">
        <v>2019</v>
      </c>
      <c r="BS55" s="22">
        <v>5</v>
      </c>
      <c r="BT55" s="181">
        <f t="shared" si="18"/>
        <v>224.01055269031775</v>
      </c>
      <c r="BU55" s="182">
        <f t="shared" si="19"/>
        <v>1889.8895206627167</v>
      </c>
      <c r="BV55" s="197">
        <f t="shared" si="20"/>
        <v>2113.9000733530343</v>
      </c>
      <c r="BY55" s="180">
        <v>2019</v>
      </c>
      <c r="BZ55" s="22">
        <v>5</v>
      </c>
      <c r="CA55" s="198">
        <f t="shared" ca="1" si="21"/>
        <v>-4.7217093837804418</v>
      </c>
      <c r="CB55" s="198">
        <f t="shared" ca="1" si="22"/>
        <v>265.56159526758557</v>
      </c>
      <c r="CC55" s="186">
        <f t="shared" ca="1" si="32"/>
        <v>1836.2509020629714</v>
      </c>
      <c r="CD55" s="197">
        <f t="shared" ca="1" si="23"/>
        <v>2097.0907879467763</v>
      </c>
      <c r="CG55" s="180">
        <v>2019</v>
      </c>
      <c r="CH55" s="22">
        <v>5</v>
      </c>
      <c r="CI55" s="198">
        <f t="shared" ca="1" si="24"/>
        <v>1.4398004783231666</v>
      </c>
      <c r="CJ55" s="198">
        <f t="shared" ca="1" si="25"/>
        <v>-23.727075697646249</v>
      </c>
      <c r="CK55" s="198">
        <f t="shared" ca="1" si="26"/>
        <v>328.4635985645682</v>
      </c>
      <c r="CL55" s="186">
        <f t="shared" ca="1" si="27"/>
        <v>1804.7780154472089</v>
      </c>
      <c r="CM55" s="197">
        <f t="shared" ca="1" si="28"/>
        <v>2110.9543387924541</v>
      </c>
      <c r="CP55" s="180">
        <v>2019</v>
      </c>
      <c r="CQ55" s="22">
        <v>5</v>
      </c>
      <c r="CR55" s="181">
        <f t="shared" ca="1" si="29"/>
        <v>1954.5573208474043</v>
      </c>
      <c r="CS55" s="182">
        <f t="shared" ca="1" si="30"/>
        <v>1.0851299593413921</v>
      </c>
      <c r="CT55" s="197">
        <f t="shared" ca="1" si="31"/>
        <v>2120.9487061015643</v>
      </c>
      <c r="CZ55" s="164" t="b">
        <f t="shared" si="4"/>
        <v>1</v>
      </c>
      <c r="DA55" s="165" t="b">
        <f t="shared" si="4"/>
        <v>1</v>
      </c>
      <c r="DB55" s="166" t="b">
        <f t="shared" si="4"/>
        <v>1</v>
      </c>
      <c r="DC55" s="164">
        <f t="shared" si="15"/>
        <v>7</v>
      </c>
      <c r="DD55" s="166">
        <f t="shared" si="5"/>
        <v>2084.7166071211009</v>
      </c>
      <c r="DE55" s="164">
        <f t="shared" si="6"/>
        <v>7</v>
      </c>
      <c r="DF55" s="166">
        <f t="shared" si="7"/>
        <v>2256.0862349785043</v>
      </c>
      <c r="DG55" s="164">
        <f t="shared" si="8"/>
        <v>7</v>
      </c>
      <c r="DH55" s="166">
        <f t="shared" si="9"/>
        <v>2427.4558628359077</v>
      </c>
      <c r="DI55" s="164">
        <f>IFERROR(INDEX(DC$46:DC$94,_xlfn.AGGREGATE(15,6,(ROW(DC$46:DC$94)-ROW(DC$46)+1)/(DC$46:DC$94&lt;&gt;""),ROWS(DI$1:DI10))),"")</f>
        <v>7</v>
      </c>
      <c r="DJ55" s="165">
        <f>IFERROR(INDEX(DD$46:DD$94,_xlfn.AGGREGATE(15,6,(ROW(DD$46:DD$94)-ROW(DD$46)+1)/(DD$46:DD$94&lt;&gt;""),ROWS(DJ$1:DJ10))),"")</f>
        <v>2084.7166071211009</v>
      </c>
      <c r="DK55" s="166">
        <f t="shared" si="10"/>
        <v>55</v>
      </c>
      <c r="DL55" s="164">
        <f>IFERROR(INDEX(DE$46:DE$94,_xlfn.AGGREGATE(15,6,(ROW(DE$46:DE$94)-ROW(DE$46)+1)/(DE$46:DE$94&lt;&gt;""),ROWS(DL$1:DL10))),"")</f>
        <v>7</v>
      </c>
      <c r="DM55" s="165">
        <f>IFERROR(INDEX(DF$46:DF$94,_xlfn.AGGREGATE(15,6,(ROW(DF$46:DF$94)-ROW(DF$46)+1)/(DF$46:DF$94&lt;&gt;""),ROWS(DM$1:DM10))),"")</f>
        <v>2256.0862349785043</v>
      </c>
      <c r="DN55" s="166">
        <f t="shared" si="11"/>
        <v>55</v>
      </c>
      <c r="DO55" s="164">
        <f>IFERROR(INDEX(DG$46:DG$94,_xlfn.AGGREGATE(15,6,(ROW(DG$46:DG$94)-ROW(DG$46)+1)/(DG$46:DG$94&lt;&gt;""),ROWS(DO$1:DO10))),"")</f>
        <v>7</v>
      </c>
      <c r="DP55" s="165">
        <f>IFERROR(INDEX(DH$46:DH$94,_xlfn.AGGREGATE(15,6,(ROW(DH$46:DH$94)-ROW(DH$46)+1)/(DH$46:DH$94&lt;&gt;""),ROWS(DP$1:DP10))),"")</f>
        <v>2427.4558628359077</v>
      </c>
      <c r="DQ55" s="166">
        <f t="shared" si="12"/>
        <v>55</v>
      </c>
      <c r="DV55" s="145">
        <v>2024</v>
      </c>
      <c r="DW55" s="146">
        <f t="shared" ca="1" si="13"/>
        <v>2378.3153136123456</v>
      </c>
      <c r="DZ55" s="135" t="s">
        <v>92</v>
      </c>
      <c r="EA55" s="33">
        <f>IF($V$4="Linear",0,IF($V$4="2nd Poly",0,IF($V$4="3rd Poly",0,IF($V$4="Exp",CR48))))</f>
        <v>0</v>
      </c>
      <c r="EB55" s="33">
        <f>IF($V$4="Linear",0,IF($V$4="2nd Poly",CA53,IF($V$4="3rd Poly",0,IF($V$4="Exp",CS48))))</f>
        <v>0</v>
      </c>
      <c r="EC55" s="33" t="str">
        <f>IF($EA$44="Linear","N/A",IF($EA$44="2nd Poly","N/A",IF($EA$44="3rd Poly","N/A","Medium")))</f>
        <v>N/A</v>
      </c>
      <c r="ED55" s="33"/>
      <c r="EE55" s="33"/>
      <c r="EV55" s="147"/>
    </row>
    <row r="56" spans="1:152" ht="13.8" x14ac:dyDescent="0.45">
      <c r="A56" s="148" t="s">
        <v>88</v>
      </c>
      <c r="B56" s="128">
        <v>2022</v>
      </c>
      <c r="C56" s="1016">
        <v>2258.1050228310501</v>
      </c>
      <c r="D56" s="982">
        <v>2538.0961270540024</v>
      </c>
      <c r="E56" s="1017"/>
      <c r="F56" s="1077"/>
      <c r="G56" s="1109">
        <v>2080</v>
      </c>
      <c r="H56" s="1107"/>
      <c r="I56" s="1111"/>
      <c r="J56" s="199"/>
      <c r="K56" s="200"/>
      <c r="L56" s="201"/>
      <c r="M56" s="200"/>
      <c r="N56" s="29" t="s">
        <v>758</v>
      </c>
      <c r="P56" s="153"/>
      <c r="Q56" s="176" t="str">
        <f t="shared" si="16"/>
        <v/>
      </c>
      <c r="R56" s="29">
        <v>8</v>
      </c>
      <c r="S56" s="202">
        <f t="shared" si="0"/>
        <v>2080</v>
      </c>
      <c r="T56" s="202">
        <f t="shared" si="1"/>
        <v>2538.0961270540024</v>
      </c>
      <c r="U56" s="154">
        <f t="shared" si="2"/>
        <v>188.55252118987187</v>
      </c>
      <c r="V56" s="20"/>
      <c r="W56" s="154">
        <f t="shared" si="14"/>
        <v>2103.5145287718124</v>
      </c>
      <c r="X56" s="154">
        <f>IF(U56="",#N/A,IF($B$36=$A$62,(SUM(C56:E56)/COUNTIF(C56:E56,"&gt;0")),IF($B$36=$A$63,(SUM(F56:H56)/COUNTIF(F56:H56,"&gt;0")),IF($B$36=$A$64,(SUM(J56:K56)/COUNTIF(J56:K56,"&gt;0")),IF($B$36=$A$65,(SUM(L56:M56)/COUNTIF(L56:M56,"&gt;0")),(IF($B$36=$A$46,IF(C56="",#N/A,C56),IF($B$36=$A$47,IF(D56="",#N/A,D56),IF($B$36=$A$48,IF(E56="",#N/A,E56),IF($B$36=$A$49,IF(F56="",#N/A,F56),IF($B$36=$A$50,IF(G56="",#N/A,G56),IF($B$36=$A$51,IF(H56="",#N/A,H56),IF($B$36=$A$52,IF('Total MSW TAM Data_2021 Archive'!I56="",#N/A,'Total MSW TAM Data_2021 Archive'!I56),IF($B$36=$A$53,IF(J56="",#N/A,J56),IF($B$36=$A$54,IF(K56="",#N/A,K56),IF($B$36=$A$55,IF(L56="",#N/A,L56),IF($B$36=$A$56,IF(M56="",#N/A,M56),IF(U56="",#N/A,(SUM(C56:Q56)/COUNTIFS(C56:Q56,"&gt;0"))))))))))))))))))))</f>
        <v>2292.067049961684</v>
      </c>
      <c r="Y56" s="154">
        <f t="shared" si="3"/>
        <v>2480.6195711515556</v>
      </c>
      <c r="AA56" s="1133">
        <v>2103.5145287718124</v>
      </c>
      <c r="AB56" s="1133">
        <v>2292.067049961684</v>
      </c>
      <c r="AC56" s="1133">
        <v>2480.6195711515556</v>
      </c>
      <c r="AD56" s="120"/>
      <c r="AE56" s="120"/>
      <c r="AF56" s="120"/>
      <c r="AG56" s="120"/>
      <c r="AH56" s="120"/>
      <c r="AI56" s="120"/>
      <c r="AJ56" s="120"/>
      <c r="AK56" s="120"/>
      <c r="AL56" s="120"/>
      <c r="AM56" s="120"/>
      <c r="AN56" s="120"/>
      <c r="BR56" s="180">
        <v>2020</v>
      </c>
      <c r="BS56" s="22">
        <v>6</v>
      </c>
      <c r="BT56" s="181">
        <f t="shared" si="18"/>
        <v>268.81266322838133</v>
      </c>
      <c r="BU56" s="182">
        <f t="shared" si="19"/>
        <v>1889.8895206627167</v>
      </c>
      <c r="BV56" s="203">
        <f t="shared" si="20"/>
        <v>2158.7021838910978</v>
      </c>
      <c r="BY56" s="180">
        <v>2020</v>
      </c>
      <c r="BZ56" s="22">
        <v>6</v>
      </c>
      <c r="CA56" s="198">
        <f t="shared" ca="1" si="21"/>
        <v>-6.7992615126438363</v>
      </c>
      <c r="CB56" s="198">
        <f t="shared" ca="1" si="22"/>
        <v>318.6739143211027</v>
      </c>
      <c r="CC56" s="186">
        <f t="shared" ca="1" si="32"/>
        <v>1836.2509020629714</v>
      </c>
      <c r="CD56" s="203">
        <f t="shared" ca="1" si="23"/>
        <v>2148.1255548714303</v>
      </c>
      <c r="CG56" s="180">
        <v>2020</v>
      </c>
      <c r="CH56" s="22">
        <v>6</v>
      </c>
      <c r="CI56" s="198">
        <f t="shared" ca="1" si="24"/>
        <v>2.487975226542432</v>
      </c>
      <c r="CJ56" s="198">
        <f t="shared" ca="1" si="25"/>
        <v>-34.166989004610599</v>
      </c>
      <c r="CK56" s="198">
        <f t="shared" ca="1" si="26"/>
        <v>394.15631827748189</v>
      </c>
      <c r="CL56" s="186">
        <f t="shared" ca="1" si="27"/>
        <v>1804.7780154472089</v>
      </c>
      <c r="CM56" s="203">
        <f t="shared" ca="1" si="28"/>
        <v>2167.2553199466224</v>
      </c>
      <c r="CP56" s="180">
        <v>2020</v>
      </c>
      <c r="CQ56" s="22">
        <v>6</v>
      </c>
      <c r="CR56" s="181">
        <f t="shared" ca="1" si="29"/>
        <v>1954.5573208474043</v>
      </c>
      <c r="CS56" s="182">
        <f t="shared" ca="1" si="30"/>
        <v>1.1030065842082206</v>
      </c>
      <c r="CT56" s="203">
        <f t="shared" ca="1" si="31"/>
        <v>2155.8895941070664</v>
      </c>
      <c r="CZ56" s="164" t="b">
        <f t="shared" si="4"/>
        <v>1</v>
      </c>
      <c r="DA56" s="165" t="b">
        <f t="shared" si="4"/>
        <v>1</v>
      </c>
      <c r="DB56" s="166" t="b">
        <f t="shared" si="4"/>
        <v>1</v>
      </c>
      <c r="DC56" s="164">
        <f t="shared" si="15"/>
        <v>8</v>
      </c>
      <c r="DD56" s="166">
        <f t="shared" si="5"/>
        <v>2103.5145287718124</v>
      </c>
      <c r="DE56" s="164">
        <f t="shared" si="6"/>
        <v>8</v>
      </c>
      <c r="DF56" s="166">
        <f t="shared" si="7"/>
        <v>2292.067049961684</v>
      </c>
      <c r="DG56" s="164">
        <f t="shared" si="8"/>
        <v>8</v>
      </c>
      <c r="DH56" s="166">
        <f t="shared" si="9"/>
        <v>2480.6195711515556</v>
      </c>
      <c r="DI56" s="164">
        <f>IFERROR(INDEX(DC$46:DC$94,_xlfn.AGGREGATE(15,6,(ROW(DC$46:DC$94)-ROW(DC$46)+1)/(DC$46:DC$94&lt;&gt;""),ROWS(DI$1:DI11))),"")</f>
        <v>8</v>
      </c>
      <c r="DJ56" s="165">
        <f>IFERROR(INDEX(DD$46:DD$94,_xlfn.AGGREGATE(15,6,(ROW(DD$46:DD$94)-ROW(DD$46)+1)/(DD$46:DD$94&lt;&gt;""),ROWS(DJ$1:DJ11))),"")</f>
        <v>2103.5145287718124</v>
      </c>
      <c r="DK56" s="166">
        <f t="shared" si="10"/>
        <v>56</v>
      </c>
      <c r="DL56" s="164">
        <f>IFERROR(INDEX(DE$46:DE$94,_xlfn.AGGREGATE(15,6,(ROW(DE$46:DE$94)-ROW(DE$46)+1)/(DE$46:DE$94&lt;&gt;""),ROWS(DL$1:DL11))),"")</f>
        <v>8</v>
      </c>
      <c r="DM56" s="165">
        <f>IFERROR(INDEX(DF$46:DF$94,_xlfn.AGGREGATE(15,6,(ROW(DF$46:DF$94)-ROW(DF$46)+1)/(DF$46:DF$94&lt;&gt;""),ROWS(DM$1:DM11))),"")</f>
        <v>2292.067049961684</v>
      </c>
      <c r="DN56" s="166">
        <f t="shared" si="11"/>
        <v>56</v>
      </c>
      <c r="DO56" s="164">
        <f>IFERROR(INDEX(DG$46:DG$94,_xlfn.AGGREGATE(15,6,(ROW(DG$46:DG$94)-ROW(DG$46)+1)/(DG$46:DG$94&lt;&gt;""),ROWS(DO$1:DO11))),"")</f>
        <v>8</v>
      </c>
      <c r="DP56" s="165">
        <f>IFERROR(INDEX(DH$46:DH$94,_xlfn.AGGREGATE(15,6,(ROW(DH$46:DH$94)-ROW(DH$46)+1)/(DH$46:DH$94&lt;&gt;""),ROWS(DP$1:DP11))),"")</f>
        <v>2480.6195711515556</v>
      </c>
      <c r="DQ56" s="166">
        <f t="shared" si="12"/>
        <v>56</v>
      </c>
      <c r="DV56" s="145">
        <v>2025</v>
      </c>
      <c r="DW56" s="146">
        <f t="shared" ca="1" si="13"/>
        <v>2427.8898814058361</v>
      </c>
      <c r="DZ56" s="135" t="s">
        <v>92</v>
      </c>
      <c r="EA56" s="33">
        <f>IF($V$4="Linear",0,IF($V$4="2nd Poly",0,IF($V$4="3rd Poly",0,IF($V$4="Exp",CR49))))</f>
        <v>0</v>
      </c>
      <c r="EB56" s="33">
        <f>IF($V$4="Linear",0,IF($V$4="2nd Poly",CA54,IF($V$4="3rd Poly",0,IF($V$4="Exp",CS49))))</f>
        <v>0</v>
      </c>
      <c r="EC56" s="33" t="str">
        <f>IF($EA$44="Linear","N/A",IF($EA$44="2nd Poly","N/A",IF($EA$44="3rd Poly","N/A","Low")))</f>
        <v>N/A</v>
      </c>
      <c r="EU56" s="65"/>
      <c r="EV56" s="147"/>
    </row>
    <row r="57" spans="1:152" ht="13.8" x14ac:dyDescent="0.45">
      <c r="B57" s="128">
        <v>2023</v>
      </c>
      <c r="C57" s="1016">
        <v>2298.961187214612</v>
      </c>
      <c r="D57" s="982">
        <v>2592.808605567217</v>
      </c>
      <c r="E57" s="1017"/>
      <c r="F57" s="1077"/>
      <c r="G57" s="1109">
        <v>2091.666666666667</v>
      </c>
      <c r="H57" s="1107"/>
      <c r="I57" s="1111"/>
      <c r="J57" s="199"/>
      <c r="K57" s="200"/>
      <c r="L57" s="201"/>
      <c r="M57" s="200"/>
      <c r="N57" s="29" t="s">
        <v>758</v>
      </c>
      <c r="P57" s="153"/>
      <c r="Q57" s="176" t="str">
        <f t="shared" si="16"/>
        <v/>
      </c>
      <c r="R57" s="29">
        <v>9</v>
      </c>
      <c r="S57" s="202">
        <f t="shared" si="0"/>
        <v>2091.666666666667</v>
      </c>
      <c r="T57" s="202">
        <f t="shared" si="1"/>
        <v>2592.808605567217</v>
      </c>
      <c r="U57" s="154">
        <f t="shared" si="2"/>
        <v>205.60495196335887</v>
      </c>
      <c r="V57" s="20"/>
      <c r="W57" s="154">
        <f t="shared" si="14"/>
        <v>2122.2072011861396</v>
      </c>
      <c r="X57" s="154">
        <f>IF(U57="",#N/A,IF($B$36=$A$62,(SUM(C57:E57)/COUNTIF(C57:E57,"&gt;0")),IF($B$36=$A$63,(SUM(F57:H57)/COUNTIF(F57:H57,"&gt;0")),IF($B$36=$A$64,(SUM(J57:K57)/COUNTIF(J57:K57,"&gt;0")),IF($B$36=$A$65,(SUM(L57:M57)/COUNTIF(L57:M57,"&gt;0")),(IF($B$36=$A$46,IF(C57="",#N/A,C57),IF($B$36=$A$47,IF(D57="",#N/A,D57),IF($B$36=$A$48,IF(E57="",#N/A,E57),IF($B$36=$A$49,IF(F57="",#N/A,F57),IF($B$36=$A$50,IF(G57="",#N/A,G57),IF($B$36=$A$51,IF(H57="",#N/A,H57),IF($B$36=$A$52,IF('Total MSW TAM Data_2021 Archive'!I57="",#N/A,'Total MSW TAM Data_2021 Archive'!I57),IF($B$36=$A$53,IF(J57="",#N/A,J57),IF($B$36=$A$54,IF(K57="",#N/A,K57),IF($B$36=$A$55,IF(L57="",#N/A,L57),IF($B$36=$A$56,IF(M57="",#N/A,M57),IF(U57="",#N/A,(SUM(C57:Q57)/COUNTIFS(C57:Q57,"&gt;0"))))))))))))))))))))</f>
        <v>2327.8121531494985</v>
      </c>
      <c r="Y57" s="154">
        <f t="shared" si="3"/>
        <v>2533.4171051128574</v>
      </c>
      <c r="AA57" s="1133">
        <v>2122.2072011861396</v>
      </c>
      <c r="AB57" s="1133">
        <v>2327.8121531494985</v>
      </c>
      <c r="AC57" s="1133">
        <v>2533.4171051128574</v>
      </c>
      <c r="AD57" s="120"/>
      <c r="AE57" s="120"/>
      <c r="AF57" s="120"/>
      <c r="AG57" s="120"/>
      <c r="AH57" s="120"/>
      <c r="AI57" s="120"/>
      <c r="AJ57" s="120"/>
      <c r="AK57" s="120"/>
      <c r="AL57" s="120"/>
      <c r="AM57" s="120"/>
      <c r="AN57" s="120"/>
      <c r="BR57" s="180">
        <v>2021</v>
      </c>
      <c r="BS57" s="22">
        <v>7</v>
      </c>
      <c r="BT57" s="181">
        <f t="shared" si="18"/>
        <v>313.61477376644484</v>
      </c>
      <c r="BU57" s="182">
        <f t="shared" si="19"/>
        <v>1889.8895206627167</v>
      </c>
      <c r="BV57" s="205">
        <f t="shared" si="20"/>
        <v>2203.5042944291617</v>
      </c>
      <c r="BY57" s="180">
        <v>2021</v>
      </c>
      <c r="BZ57" s="22">
        <v>7</v>
      </c>
      <c r="CA57" s="198">
        <f t="shared" ca="1" si="21"/>
        <v>-9.2545503922096657</v>
      </c>
      <c r="CB57" s="198">
        <f t="shared" ca="1" si="22"/>
        <v>371.78623337461983</v>
      </c>
      <c r="CC57" s="186">
        <f t="shared" ca="1" si="32"/>
        <v>1836.2509020629714</v>
      </c>
      <c r="CD57" s="205">
        <f t="shared" ca="1" si="23"/>
        <v>2198.7825850453814</v>
      </c>
      <c r="CG57" s="180">
        <v>2021</v>
      </c>
      <c r="CH57" s="22">
        <v>7</v>
      </c>
      <c r="CI57" s="198">
        <f t="shared" ca="1" si="24"/>
        <v>3.9508125125187692</v>
      </c>
      <c r="CJ57" s="198">
        <f t="shared" ca="1" si="25"/>
        <v>-46.505068367386649</v>
      </c>
      <c r="CK57" s="198">
        <f t="shared" ca="1" si="26"/>
        <v>459.84903799039552</v>
      </c>
      <c r="CL57" s="186">
        <f t="shared" ca="1" si="27"/>
        <v>1804.7780154472089</v>
      </c>
      <c r="CM57" s="205">
        <f t="shared" ca="1" si="28"/>
        <v>2222.0727975827367</v>
      </c>
      <c r="CP57" s="180">
        <v>2021</v>
      </c>
      <c r="CQ57" s="22">
        <v>7</v>
      </c>
      <c r="CR57" s="181">
        <f t="shared" ca="1" si="29"/>
        <v>1954.5573208474043</v>
      </c>
      <c r="CS57" s="182">
        <f t="shared" ca="1" si="30"/>
        <v>1.1211777117877229</v>
      </c>
      <c r="CT57" s="205">
        <f t="shared" ca="1" si="31"/>
        <v>2191.4061045456347</v>
      </c>
      <c r="CZ57" s="164" t="b">
        <f t="shared" si="4"/>
        <v>1</v>
      </c>
      <c r="DA57" s="165" t="b">
        <f t="shared" si="4"/>
        <v>1</v>
      </c>
      <c r="DB57" s="166" t="b">
        <f t="shared" si="4"/>
        <v>1</v>
      </c>
      <c r="DC57" s="164">
        <f t="shared" si="15"/>
        <v>9</v>
      </c>
      <c r="DD57" s="166">
        <f t="shared" si="5"/>
        <v>2122.2072011861396</v>
      </c>
      <c r="DE57" s="164">
        <f t="shared" si="6"/>
        <v>9</v>
      </c>
      <c r="DF57" s="166">
        <f t="shared" si="7"/>
        <v>2327.8121531494985</v>
      </c>
      <c r="DG57" s="164">
        <f t="shared" si="8"/>
        <v>9</v>
      </c>
      <c r="DH57" s="166">
        <f t="shared" si="9"/>
        <v>2533.4171051128574</v>
      </c>
      <c r="DI57" s="164">
        <f>IFERROR(INDEX(DC$46:DC$94,_xlfn.AGGREGATE(15,6,(ROW(DC$46:DC$94)-ROW(DC$46)+1)/(DC$46:DC$94&lt;&gt;""),ROWS(DI$1:DI12))),"")</f>
        <v>9</v>
      </c>
      <c r="DJ57" s="165">
        <f>IFERROR(INDEX(DD$46:DD$94,_xlfn.AGGREGATE(15,6,(ROW(DD$46:DD$94)-ROW(DD$46)+1)/(DD$46:DD$94&lt;&gt;""),ROWS(DJ$1:DJ12))),"")</f>
        <v>2122.2072011861396</v>
      </c>
      <c r="DK57" s="166">
        <f t="shared" si="10"/>
        <v>57</v>
      </c>
      <c r="DL57" s="164">
        <f>IFERROR(INDEX(DE$46:DE$94,_xlfn.AGGREGATE(15,6,(ROW(DE$46:DE$94)-ROW(DE$46)+1)/(DE$46:DE$94&lt;&gt;""),ROWS(DL$1:DL12))),"")</f>
        <v>9</v>
      </c>
      <c r="DM57" s="165">
        <f>IFERROR(INDEX(DF$46:DF$94,_xlfn.AGGREGATE(15,6,(ROW(DF$46:DF$94)-ROW(DF$46)+1)/(DF$46:DF$94&lt;&gt;""),ROWS(DM$1:DM12))),"")</f>
        <v>2327.8121531494985</v>
      </c>
      <c r="DN57" s="166">
        <f t="shared" si="11"/>
        <v>57</v>
      </c>
      <c r="DO57" s="164">
        <f>IFERROR(INDEX(DG$46:DG$94,_xlfn.AGGREGATE(15,6,(ROW(DG$46:DG$94)-ROW(DG$46)+1)/(DG$46:DG$94&lt;&gt;""),ROWS(DO$1:DO12))),"")</f>
        <v>9</v>
      </c>
      <c r="DP57" s="165">
        <f>IFERROR(INDEX(DH$46:DH$94,_xlfn.AGGREGATE(15,6,(ROW(DH$46:DH$94)-ROW(DH$46)+1)/(DH$46:DH$94&lt;&gt;""),ROWS(DP$1:DP12))),"")</f>
        <v>2533.4171051128574</v>
      </c>
      <c r="DQ57" s="166">
        <f t="shared" si="12"/>
        <v>57</v>
      </c>
      <c r="DV57" s="145">
        <v>2026</v>
      </c>
      <c r="DW57" s="146">
        <f t="shared" ca="1" si="13"/>
        <v>2476.3264977960698</v>
      </c>
      <c r="EU57" s="65"/>
      <c r="EV57" s="147"/>
    </row>
    <row r="58" spans="1:152" ht="13.8" x14ac:dyDescent="0.45">
      <c r="B58" s="128">
        <v>2024</v>
      </c>
      <c r="C58" s="1016">
        <v>2339.8173515981734</v>
      </c>
      <c r="D58" s="982">
        <v>2646.8199823467448</v>
      </c>
      <c r="E58" s="1017"/>
      <c r="F58" s="1077"/>
      <c r="G58" s="1109">
        <v>2103.3333333333335</v>
      </c>
      <c r="H58" s="1107"/>
      <c r="I58" s="1112"/>
      <c r="J58" s="207"/>
      <c r="K58" s="204"/>
      <c r="L58" s="206"/>
      <c r="M58" s="204"/>
      <c r="N58" s="29" t="s">
        <v>758</v>
      </c>
      <c r="P58" s="128"/>
      <c r="Q58" s="176" t="str">
        <f t="shared" si="16"/>
        <v/>
      </c>
      <c r="R58" s="29">
        <v>10</v>
      </c>
      <c r="S58" s="154">
        <f t="shared" si="0"/>
        <v>2103.3333333333335</v>
      </c>
      <c r="T58" s="154">
        <f t="shared" si="1"/>
        <v>2646.8199823467448</v>
      </c>
      <c r="U58" s="154">
        <f t="shared" si="2"/>
        <v>222.49919945849885</v>
      </c>
      <c r="V58" s="20"/>
      <c r="W58" s="154">
        <f t="shared" si="14"/>
        <v>2140.8243563009187</v>
      </c>
      <c r="X58" s="154">
        <f>IF(U58="",#N/A,IF($B$36=$A$62,(SUM(C58:E58)/COUNTIF(C58:E58,"&gt;0")),IF($B$36=$A$63,(SUM(F58:H58)/COUNTIF(F58:H58,"&gt;0")),IF($B$36=$A$64,(SUM(J58:K58)/COUNTIF(J58:K58,"&gt;0")),IF($B$36=$A$65,(SUM(L58:M58)/COUNTIF(L58:M58,"&gt;0")),(IF($B$36=$A$46,IF(C58="",#N/A,C58),IF($B$36=$A$47,IF(D58="",#N/A,D58),IF($B$36=$A$48,IF(E58="",#N/A,E58),IF($B$36=$A$49,IF(F58="",#N/A,F58),IF($B$36=$A$50,IF(G58="",#N/A,G58),IF($B$36=$A$51,IF(H58="",#N/A,H58),IF($B$36=$A$52,IF('Total MSW TAM Data_2021 Archive'!I58="",#N/A,'Total MSW TAM Data_2021 Archive'!I58),IF($B$36=$A$53,IF(J58="",#N/A,J58),IF($B$36=$A$54,IF(K58="",#N/A,K58),IF($B$36=$A$55,IF(L58="",#N/A,L58),IF($B$36=$A$56,IF(M58="",#N/A,M58),IF(U58="",#N/A,(SUM(C58:Q58)/COUNTIFS(C58:Q58,"&gt;0"))))))))))))))))))))</f>
        <v>2363.3235557594176</v>
      </c>
      <c r="Y58" s="154">
        <f t="shared" si="3"/>
        <v>2585.8227552179164</v>
      </c>
      <c r="AA58" s="1133">
        <v>2140.8243563009187</v>
      </c>
      <c r="AB58" s="1133">
        <v>2363.3235557594176</v>
      </c>
      <c r="AC58" s="1133">
        <v>2585.8227552179164</v>
      </c>
      <c r="AD58" s="120"/>
      <c r="AE58" s="120"/>
      <c r="AF58" s="120"/>
      <c r="AG58" s="120"/>
      <c r="AH58" s="120"/>
      <c r="AI58" s="120"/>
      <c r="AJ58" s="120"/>
      <c r="AK58" s="120"/>
      <c r="AL58" s="120"/>
      <c r="AM58" s="120"/>
      <c r="AN58" s="120"/>
      <c r="BR58" s="180">
        <v>2022</v>
      </c>
      <c r="BS58" s="22">
        <v>8</v>
      </c>
      <c r="BT58" s="181">
        <f t="shared" si="18"/>
        <v>358.41688430450841</v>
      </c>
      <c r="BU58" s="182">
        <f t="shared" si="19"/>
        <v>1889.8895206627167</v>
      </c>
      <c r="BV58" s="205">
        <f t="shared" si="20"/>
        <v>2248.3064049672253</v>
      </c>
      <c r="BY58" s="180">
        <v>2022</v>
      </c>
      <c r="BZ58" s="22">
        <v>8</v>
      </c>
      <c r="CA58" s="198">
        <f t="shared" ca="1" si="21"/>
        <v>-12.087576022477931</v>
      </c>
      <c r="CB58" s="198">
        <f t="shared" ca="1" si="22"/>
        <v>424.89855242813695</v>
      </c>
      <c r="CC58" s="186">
        <f t="shared" ca="1" si="32"/>
        <v>1836.2509020629714</v>
      </c>
      <c r="CD58" s="205">
        <f t="shared" ca="1" si="23"/>
        <v>2249.0618784686303</v>
      </c>
      <c r="CG58" s="180">
        <v>2022</v>
      </c>
      <c r="CH58" s="22">
        <v>8</v>
      </c>
      <c r="CI58" s="198">
        <f t="shared" ca="1" si="24"/>
        <v>5.8974227592116906</v>
      </c>
      <c r="CJ58" s="198">
        <f t="shared" ca="1" si="25"/>
        <v>-60.741313785974398</v>
      </c>
      <c r="CK58" s="198">
        <f t="shared" ca="1" si="26"/>
        <v>525.54175770330914</v>
      </c>
      <c r="CL58" s="186">
        <f t="shared" ca="1" si="27"/>
        <v>1804.7780154472089</v>
      </c>
      <c r="CM58" s="205">
        <f t="shared" ca="1" si="28"/>
        <v>2275.4758821237551</v>
      </c>
      <c r="CP58" s="180">
        <v>2022</v>
      </c>
      <c r="CQ58" s="22">
        <v>8</v>
      </c>
      <c r="CR58" s="181">
        <f t="shared" ca="1" si="29"/>
        <v>1954.5573208474043</v>
      </c>
      <c r="CS58" s="182">
        <f t="shared" ca="1" si="30"/>
        <v>1.1396481937702156</v>
      </c>
      <c r="CT58" s="205">
        <f t="shared" ca="1" si="31"/>
        <v>2227.5077203240962</v>
      </c>
      <c r="CZ58" s="164" t="b">
        <f t="shared" si="4"/>
        <v>1</v>
      </c>
      <c r="DA58" s="165" t="b">
        <f t="shared" si="4"/>
        <v>1</v>
      </c>
      <c r="DB58" s="166" t="b">
        <f t="shared" si="4"/>
        <v>1</v>
      </c>
      <c r="DC58" s="164">
        <f t="shared" si="15"/>
        <v>10</v>
      </c>
      <c r="DD58" s="166">
        <f t="shared" si="5"/>
        <v>2140.8243563009187</v>
      </c>
      <c r="DE58" s="164">
        <f t="shared" si="6"/>
        <v>10</v>
      </c>
      <c r="DF58" s="166">
        <f t="shared" si="7"/>
        <v>2363.3235557594176</v>
      </c>
      <c r="DG58" s="164">
        <f t="shared" si="8"/>
        <v>10</v>
      </c>
      <c r="DH58" s="166">
        <f t="shared" si="9"/>
        <v>2585.8227552179164</v>
      </c>
      <c r="DI58" s="164">
        <f>IFERROR(INDEX(DC$46:DC$94,_xlfn.AGGREGATE(15,6,(ROW(DC$46:DC$94)-ROW(DC$46)+1)/(DC$46:DC$94&lt;&gt;""),ROWS(DI$1:DI13))),"")</f>
        <v>10</v>
      </c>
      <c r="DJ58" s="165">
        <f>IFERROR(INDEX(DD$46:DD$94,_xlfn.AGGREGATE(15,6,(ROW(DD$46:DD$94)-ROW(DD$46)+1)/(DD$46:DD$94&lt;&gt;""),ROWS(DJ$1:DJ13))),"")</f>
        <v>2140.8243563009187</v>
      </c>
      <c r="DK58" s="166">
        <f t="shared" si="10"/>
        <v>58</v>
      </c>
      <c r="DL58" s="164">
        <f>IFERROR(INDEX(DE$46:DE$94,_xlfn.AGGREGATE(15,6,(ROW(DE$46:DE$94)-ROW(DE$46)+1)/(DE$46:DE$94&lt;&gt;""),ROWS(DL$1:DL13))),"")</f>
        <v>10</v>
      </c>
      <c r="DM58" s="165">
        <f>IFERROR(INDEX(DF$46:DF$94,_xlfn.AGGREGATE(15,6,(ROW(DF$46:DF$94)-ROW(DF$46)+1)/(DF$46:DF$94&lt;&gt;""),ROWS(DM$1:DM13))),"")</f>
        <v>2363.3235557594176</v>
      </c>
      <c r="DN58" s="166">
        <f t="shared" si="11"/>
        <v>58</v>
      </c>
      <c r="DO58" s="164">
        <f>IFERROR(INDEX(DG$46:DG$94,_xlfn.AGGREGATE(15,6,(ROW(DG$46:DG$94)-ROW(DG$46)+1)/(DG$46:DG$94&lt;&gt;""),ROWS(DO$1:DO13))),"")</f>
        <v>10</v>
      </c>
      <c r="DP58" s="165">
        <f>IFERROR(INDEX(DH$46:DH$94,_xlfn.AGGREGATE(15,6,(ROW(DH$46:DH$94)-ROW(DH$46)+1)/(DH$46:DH$94&lt;&gt;""),ROWS(DP$1:DP13))),"")</f>
        <v>2585.8227552179164</v>
      </c>
      <c r="DQ58" s="166">
        <f t="shared" si="12"/>
        <v>58</v>
      </c>
      <c r="DV58" s="145">
        <v>2027</v>
      </c>
      <c r="DW58" s="146">
        <f t="shared" ca="1" si="13"/>
        <v>2523.6942732060056</v>
      </c>
      <c r="EU58" s="65"/>
      <c r="EV58" s="147"/>
    </row>
    <row r="59" spans="1:152" ht="13.8" x14ac:dyDescent="0.45">
      <c r="B59" s="128">
        <v>2025</v>
      </c>
      <c r="C59" s="1016">
        <v>2380.6735159817354</v>
      </c>
      <c r="D59" s="982">
        <v>2697.0513841095999</v>
      </c>
      <c r="E59" s="1017"/>
      <c r="F59" s="1077"/>
      <c r="G59" s="1109">
        <v>2115</v>
      </c>
      <c r="H59" s="1107"/>
      <c r="I59" s="1112"/>
      <c r="J59" s="207"/>
      <c r="K59" s="204"/>
      <c r="L59" s="206"/>
      <c r="M59" s="204"/>
      <c r="N59" s="29" t="s">
        <v>758</v>
      </c>
      <c r="P59" s="128"/>
      <c r="Q59" s="176" t="str">
        <f t="shared" si="16"/>
        <v/>
      </c>
      <c r="R59" s="29">
        <v>11</v>
      </c>
      <c r="S59" s="154">
        <f t="shared" si="0"/>
        <v>2115</v>
      </c>
      <c r="T59" s="154">
        <f t="shared" si="1"/>
        <v>2697.0513841095999</v>
      </c>
      <c r="U59" s="154">
        <f t="shared" si="2"/>
        <v>237.9218327002778</v>
      </c>
      <c r="W59" s="154">
        <f t="shared" si="14"/>
        <v>2159.6531339968342</v>
      </c>
      <c r="X59" s="154">
        <f>IF(U59="",#N/A,IF($B$36=$A$62,(SUM(C59:E59)/COUNTIF(C59:E59,"&gt;0")),IF($B$36=$A$63,(SUM(F59:H59)/COUNTIF(F59:H59,"&gt;0")),IF($B$36=$A$64,(SUM(J59:K59)/COUNTIF(J59:K59,"&gt;0")),IF($B$36=$A$65,(SUM(L59:M59)/COUNTIF(L59:M59,"&gt;0")),(IF($B$36=$A$46,IF(C59="",#N/A,C59),IF($B$36=$A$47,IF(D59="",#N/A,D59),IF($B$36=$A$48,IF(E59="",#N/A,E59),IF($B$36=$A$49,IF(F59="",#N/A,F59),IF($B$36=$A$50,IF(G59="",#N/A,G59),IF($B$36=$A$51,IF(H59="",#N/A,H59),IF($B$36=$A$52,IF('Total MSW TAM Data_2021 Archive'!I59="",#N/A,'Total MSW TAM Data_2021 Archive'!I59),IF($B$36=$A$53,IF(J59="",#N/A,J59),IF($B$36=$A$54,IF(K59="",#N/A,K59),IF($B$36=$A$55,IF(L59="",#N/A,L59),IF($B$36=$A$56,IF(M59="",#N/A,M59),IF(U59="",#N/A,(SUM(C59:Q59)/COUNTIFS(C59:Q59,"&gt;0"))))))))))))))))))))</f>
        <v>2397.5749666971119</v>
      </c>
      <c r="Y59" s="154">
        <f t="shared" si="3"/>
        <v>2635.4967993973896</v>
      </c>
      <c r="AA59" s="1133">
        <v>2159.6531339968342</v>
      </c>
      <c r="AB59" s="1133">
        <v>2397.5749666971119</v>
      </c>
      <c r="AC59" s="1133">
        <v>2635.4967993973896</v>
      </c>
      <c r="AD59" s="120"/>
      <c r="AE59" s="120"/>
      <c r="AF59" s="120"/>
      <c r="AG59" s="120"/>
      <c r="AH59" s="120"/>
      <c r="AI59" s="120"/>
      <c r="AJ59" s="120"/>
      <c r="AK59" s="120"/>
      <c r="AL59" s="120"/>
      <c r="AM59" s="120"/>
      <c r="AN59" s="120"/>
      <c r="BR59" s="180">
        <v>2023</v>
      </c>
      <c r="BS59" s="22">
        <v>9</v>
      </c>
      <c r="BT59" s="181">
        <f t="shared" si="18"/>
        <v>403.21899484257199</v>
      </c>
      <c r="BU59" s="182">
        <f t="shared" si="19"/>
        <v>1889.8895206627167</v>
      </c>
      <c r="BV59" s="205">
        <f t="shared" si="20"/>
        <v>2293.1085155052888</v>
      </c>
      <c r="BY59" s="180">
        <v>2023</v>
      </c>
      <c r="BZ59" s="22">
        <v>9</v>
      </c>
      <c r="CA59" s="198">
        <f t="shared" ca="1" si="21"/>
        <v>-15.298338403448632</v>
      </c>
      <c r="CB59" s="198">
        <f t="shared" ca="1" si="22"/>
        <v>478.01087148165408</v>
      </c>
      <c r="CC59" s="186">
        <f t="shared" ca="1" si="32"/>
        <v>1836.2509020629714</v>
      </c>
      <c r="CD59" s="205">
        <f t="shared" ca="1" si="23"/>
        <v>2298.9634351411769</v>
      </c>
      <c r="CG59" s="180">
        <v>2023</v>
      </c>
      <c r="CH59" s="22">
        <v>9</v>
      </c>
      <c r="CI59" s="198">
        <f t="shared" ca="1" si="24"/>
        <v>8.3969163895807082</v>
      </c>
      <c r="CJ59" s="198">
        <f t="shared" ca="1" si="25"/>
        <v>-76.875725260373855</v>
      </c>
      <c r="CK59" s="198">
        <f t="shared" ca="1" si="26"/>
        <v>591.23447741622283</v>
      </c>
      <c r="CL59" s="186">
        <f t="shared" ca="1" si="27"/>
        <v>1804.7780154472089</v>
      </c>
      <c r="CM59" s="205">
        <f t="shared" ca="1" si="28"/>
        <v>2327.5336839926385</v>
      </c>
      <c r="CP59" s="180">
        <v>2023</v>
      </c>
      <c r="CQ59" s="22">
        <v>9</v>
      </c>
      <c r="CR59" s="181">
        <f t="shared" ca="1" si="29"/>
        <v>1954.5573208474043</v>
      </c>
      <c r="CS59" s="182">
        <f t="shared" ca="1" si="30"/>
        <v>1.1584229617736299</v>
      </c>
      <c r="CT59" s="205">
        <f t="shared" ca="1" si="31"/>
        <v>2264.2040805723809</v>
      </c>
      <c r="CZ59" s="164" t="b">
        <f t="shared" si="4"/>
        <v>1</v>
      </c>
      <c r="DA59" s="165" t="b">
        <f t="shared" si="4"/>
        <v>1</v>
      </c>
      <c r="DB59" s="166" t="b">
        <f t="shared" si="4"/>
        <v>1</v>
      </c>
      <c r="DC59" s="164">
        <f t="shared" si="15"/>
        <v>11</v>
      </c>
      <c r="DD59" s="166">
        <f t="shared" si="5"/>
        <v>2159.6531339968342</v>
      </c>
      <c r="DE59" s="164">
        <f t="shared" si="6"/>
        <v>11</v>
      </c>
      <c r="DF59" s="166">
        <f t="shared" si="7"/>
        <v>2397.5749666971119</v>
      </c>
      <c r="DG59" s="164">
        <f t="shared" si="8"/>
        <v>11</v>
      </c>
      <c r="DH59" s="166">
        <f t="shared" si="9"/>
        <v>2635.4967993973896</v>
      </c>
      <c r="DI59" s="164">
        <f>IFERROR(INDEX(DC$46:DC$94,_xlfn.AGGREGATE(15,6,(ROW(DC$46:DC$94)-ROW(DC$46)+1)/(DC$46:DC$94&lt;&gt;""),ROWS(DI$1:DI14))),"")</f>
        <v>11</v>
      </c>
      <c r="DJ59" s="165">
        <f>IFERROR(INDEX(DD$46:DD$94,_xlfn.AGGREGATE(15,6,(ROW(DD$46:DD$94)-ROW(DD$46)+1)/(DD$46:DD$94&lt;&gt;""),ROWS(DJ$1:DJ14))),"")</f>
        <v>2159.6531339968342</v>
      </c>
      <c r="DK59" s="166">
        <f t="shared" si="10"/>
        <v>59</v>
      </c>
      <c r="DL59" s="164">
        <f>IFERROR(INDEX(DE$46:DE$94,_xlfn.AGGREGATE(15,6,(ROW(DE$46:DE$94)-ROW(DE$46)+1)/(DE$46:DE$94&lt;&gt;""),ROWS(DL$1:DL14))),"")</f>
        <v>11</v>
      </c>
      <c r="DM59" s="165">
        <f>IFERROR(INDEX(DF$46:DF$94,_xlfn.AGGREGATE(15,6,(ROW(DF$46:DF$94)-ROW(DF$46)+1)/(DF$46:DF$94&lt;&gt;""),ROWS(DM$1:DM14))),"")</f>
        <v>2397.5749666971119</v>
      </c>
      <c r="DN59" s="166">
        <f t="shared" si="11"/>
        <v>59</v>
      </c>
      <c r="DO59" s="164">
        <f>IFERROR(INDEX(DG$46:DG$94,_xlfn.AGGREGATE(15,6,(ROW(DG$46:DG$94)-ROW(DG$46)+1)/(DG$46:DG$94&lt;&gt;""),ROWS(DO$1:DO14))),"")</f>
        <v>11</v>
      </c>
      <c r="DP59" s="165">
        <f>IFERROR(INDEX(DH$46:DH$94,_xlfn.AGGREGATE(15,6,(ROW(DH$46:DH$94)-ROW(DH$46)+1)/(DH$46:DH$94&lt;&gt;""),ROWS(DP$1:DP14))),"")</f>
        <v>2635.4967993973896</v>
      </c>
      <c r="DQ59" s="166">
        <f t="shared" si="12"/>
        <v>59</v>
      </c>
      <c r="DV59" s="145">
        <v>2028</v>
      </c>
      <c r="DW59" s="146">
        <f t="shared" ca="1" si="13"/>
        <v>2570.0623180586035</v>
      </c>
      <c r="EU59" s="65"/>
      <c r="EV59" s="147"/>
    </row>
    <row r="60" spans="1:152" ht="13.8" x14ac:dyDescent="0.45">
      <c r="B60" s="128">
        <v>2026</v>
      </c>
      <c r="C60" s="1016">
        <v>2421.5296803652968</v>
      </c>
      <c r="D60" s="982">
        <v>2740.6560723706311</v>
      </c>
      <c r="E60" s="1017"/>
      <c r="F60" s="1077"/>
      <c r="G60" s="1109">
        <v>2163.9399999999996</v>
      </c>
      <c r="H60" s="1107"/>
      <c r="I60" s="1112"/>
      <c r="J60" s="207"/>
      <c r="K60" s="204"/>
      <c r="L60" s="206"/>
      <c r="M60" s="204"/>
      <c r="N60" s="29" t="s">
        <v>758</v>
      </c>
      <c r="P60" s="128"/>
      <c r="Q60" s="176" t="str">
        <f t="shared" si="16"/>
        <v/>
      </c>
      <c r="R60" s="29">
        <v>12</v>
      </c>
      <c r="S60" s="154">
        <f t="shared" si="0"/>
        <v>2163.9399999999996</v>
      </c>
      <c r="T60" s="154">
        <f t="shared" si="1"/>
        <v>2740.6560723706311</v>
      </c>
      <c r="U60" s="154">
        <f t="shared" si="2"/>
        <v>235.88969306192575</v>
      </c>
      <c r="W60" s="154">
        <f t="shared" si="14"/>
        <v>2206.1522245167166</v>
      </c>
      <c r="X60" s="154">
        <f>IF(U60="",#N/A,IF($B$36=$A$62,(SUM(C60:E60)/COUNTIF(C60:E60,"&gt;0")),IF($B$36=$A$63,(SUM(F60:H60)/COUNTIF(F60:H60,"&gt;0")),IF($B$36=$A$64,(SUM(J60:K60)/COUNTIF(J60:K60,"&gt;0")),IF($B$36=$A$65,(SUM(L60:M60)/COUNTIF(L60:M60,"&gt;0")),(IF($B$36=$A$46,IF(C60="",#N/A,C60),IF($B$36=$A$47,IF(D60="",#N/A,D60),IF($B$36=$A$48,IF(E60="",#N/A,E60),IF($B$36=$A$49,IF(F60="",#N/A,F60),IF($B$36=$A$50,IF(G60="",#N/A,G60),IF($B$36=$A$51,IF(H60="",#N/A,H60),IF($B$36=$A$52,IF('Total MSW TAM Data_2021 Archive'!I60="",#N/A,'Total MSW TAM Data_2021 Archive'!I60),IF($B$36=$A$53,IF(J60="",#N/A,J60),IF($B$36=$A$54,IF(K60="",#N/A,K60),IF($B$36=$A$55,IF(L60="",#N/A,L60),IF($B$36=$A$56,IF(M60="",#N/A,M60),IF(U60="",#N/A,(SUM(C60:Q60)/COUNTIFS(C60:Q60,"&gt;0"))))))))))))))))))))</f>
        <v>2442.0419175786424</v>
      </c>
      <c r="Y60" s="154">
        <f t="shared" si="3"/>
        <v>2677.9316106405681</v>
      </c>
      <c r="AA60" s="1133">
        <v>2206.1522245167166</v>
      </c>
      <c r="AB60" s="1133">
        <v>2442.0419175786424</v>
      </c>
      <c r="AC60" s="1133">
        <v>2677.9316106405681</v>
      </c>
      <c r="AD60" s="120"/>
      <c r="AE60" s="120"/>
      <c r="AF60" s="120"/>
      <c r="AG60" s="120"/>
      <c r="AH60" s="120"/>
      <c r="AI60" s="120"/>
      <c r="AJ60" s="120"/>
      <c r="AK60" s="120"/>
      <c r="AL60" s="120"/>
      <c r="AM60" s="120"/>
      <c r="AN60" s="120"/>
      <c r="BR60" s="180">
        <v>2024</v>
      </c>
      <c r="BS60" s="22">
        <v>10</v>
      </c>
      <c r="BT60" s="181">
        <f t="shared" si="18"/>
        <v>448.0211053806355</v>
      </c>
      <c r="BU60" s="182">
        <f t="shared" si="19"/>
        <v>1889.8895206627167</v>
      </c>
      <c r="BV60" s="205">
        <f t="shared" si="20"/>
        <v>2337.9106260433523</v>
      </c>
      <c r="BY60" s="180">
        <v>2024</v>
      </c>
      <c r="BZ60" s="22">
        <v>10</v>
      </c>
      <c r="CA60" s="198">
        <f t="shared" ca="1" si="21"/>
        <v>-18.886837535121767</v>
      </c>
      <c r="CB60" s="198">
        <f t="shared" ca="1" si="22"/>
        <v>531.12319053517115</v>
      </c>
      <c r="CC60" s="186">
        <f t="shared" ca="1" si="32"/>
        <v>1836.2509020629714</v>
      </c>
      <c r="CD60" s="205">
        <f t="shared" ca="1" si="23"/>
        <v>2348.4872550630207</v>
      </c>
      <c r="CG60" s="180">
        <v>2024</v>
      </c>
      <c r="CH60" s="22">
        <v>10</v>
      </c>
      <c r="CI60" s="198">
        <f t="shared" ca="1" si="24"/>
        <v>11.518403826585333</v>
      </c>
      <c r="CJ60" s="198">
        <f t="shared" ca="1" si="25"/>
        <v>-94.908302790584997</v>
      </c>
      <c r="CK60" s="198">
        <f t="shared" ca="1" si="26"/>
        <v>656.9271971291364</v>
      </c>
      <c r="CL60" s="186">
        <f t="shared" ca="1" si="27"/>
        <v>1804.7780154472089</v>
      </c>
      <c r="CM60" s="205">
        <f t="shared" ca="1" si="28"/>
        <v>2378.3153136123456</v>
      </c>
      <c r="CP60" s="180">
        <v>2024</v>
      </c>
      <c r="CQ60" s="22">
        <v>10</v>
      </c>
      <c r="CR60" s="181">
        <f t="shared" ca="1" si="29"/>
        <v>1954.5573208474043</v>
      </c>
      <c r="CS60" s="182">
        <f t="shared" ca="1" si="30"/>
        <v>1.1775070286602511</v>
      </c>
      <c r="CT60" s="205">
        <f t="shared" ca="1" si="31"/>
        <v>2301.504983217168</v>
      </c>
      <c r="CZ60" s="164" t="b">
        <f t="shared" si="4"/>
        <v>1</v>
      </c>
      <c r="DA60" s="165" t="b">
        <f t="shared" si="4"/>
        <v>1</v>
      </c>
      <c r="DB60" s="166" t="b">
        <f t="shared" si="4"/>
        <v>1</v>
      </c>
      <c r="DC60" s="164">
        <f t="shared" si="15"/>
        <v>12</v>
      </c>
      <c r="DD60" s="166">
        <f t="shared" si="5"/>
        <v>2206.1522245167166</v>
      </c>
      <c r="DE60" s="164">
        <f t="shared" si="6"/>
        <v>12</v>
      </c>
      <c r="DF60" s="166">
        <f t="shared" si="7"/>
        <v>2442.0419175786424</v>
      </c>
      <c r="DG60" s="164">
        <f t="shared" si="8"/>
        <v>12</v>
      </c>
      <c r="DH60" s="166">
        <f t="shared" si="9"/>
        <v>2677.9316106405681</v>
      </c>
      <c r="DI60" s="164">
        <f>IFERROR(INDEX(DC$46:DC$94,_xlfn.AGGREGATE(15,6,(ROW(DC$46:DC$94)-ROW(DC$46)+1)/(DC$46:DC$94&lt;&gt;""),ROWS(DI$1:DI15))),"")</f>
        <v>12</v>
      </c>
      <c r="DJ60" s="165">
        <f>IFERROR(INDEX(DD$46:DD$94,_xlfn.AGGREGATE(15,6,(ROW(DD$46:DD$94)-ROW(DD$46)+1)/(DD$46:DD$94&lt;&gt;""),ROWS(DJ$1:DJ15))),"")</f>
        <v>2206.1522245167166</v>
      </c>
      <c r="DK60" s="166">
        <f t="shared" si="10"/>
        <v>60</v>
      </c>
      <c r="DL60" s="164">
        <f>IFERROR(INDEX(DE$46:DE$94,_xlfn.AGGREGATE(15,6,(ROW(DE$46:DE$94)-ROW(DE$46)+1)/(DE$46:DE$94&lt;&gt;""),ROWS(DL$1:DL15))),"")</f>
        <v>12</v>
      </c>
      <c r="DM60" s="165">
        <f>IFERROR(INDEX(DF$46:DF$94,_xlfn.AGGREGATE(15,6,(ROW(DF$46:DF$94)-ROW(DF$46)+1)/(DF$46:DF$94&lt;&gt;""),ROWS(DM$1:DM15))),"")</f>
        <v>2442.0419175786424</v>
      </c>
      <c r="DN60" s="166">
        <f t="shared" si="11"/>
        <v>60</v>
      </c>
      <c r="DO60" s="164">
        <f>IFERROR(INDEX(DG$46:DG$94,_xlfn.AGGREGATE(15,6,(ROW(DG$46:DG$94)-ROW(DG$46)+1)/(DG$46:DG$94&lt;&gt;""),ROWS(DO$1:DO15))),"")</f>
        <v>12</v>
      </c>
      <c r="DP60" s="165">
        <f>IFERROR(INDEX(DH$46:DH$94,_xlfn.AGGREGATE(15,6,(ROW(DH$46:DH$94)-ROW(DH$46)+1)/(DH$46:DH$94&lt;&gt;""),ROWS(DP$1:DP15))),"")</f>
        <v>2677.9316106405681</v>
      </c>
      <c r="DQ60" s="166">
        <f t="shared" si="12"/>
        <v>60</v>
      </c>
      <c r="DV60" s="145">
        <v>2029</v>
      </c>
      <c r="DW60" s="146">
        <f t="shared" ca="1" si="13"/>
        <v>2615.4997427768226</v>
      </c>
      <c r="EA60" s="55"/>
      <c r="EB60" s="55"/>
      <c r="EC60" s="55"/>
      <c r="ED60" s="55"/>
      <c r="EE60" s="55"/>
      <c r="EU60" s="65"/>
      <c r="EV60" s="147"/>
    </row>
    <row r="61" spans="1:152" ht="13.8" x14ac:dyDescent="0.45">
      <c r="B61" s="128">
        <v>2027</v>
      </c>
      <c r="C61" s="1016">
        <v>2462.3858447488583</v>
      </c>
      <c r="D61" s="982">
        <v>2792.0695704303453</v>
      </c>
      <c r="E61" s="1017"/>
      <c r="F61" s="1077"/>
      <c r="G61" s="1109">
        <v>2212.8799999999997</v>
      </c>
      <c r="H61" s="1107"/>
      <c r="I61" s="1112"/>
      <c r="J61" s="207"/>
      <c r="K61" s="204"/>
      <c r="L61" s="206"/>
      <c r="M61" s="204"/>
      <c r="N61" s="29" t="s">
        <v>758</v>
      </c>
      <c r="P61" s="128"/>
      <c r="Q61" s="176" t="str">
        <f t="shared" si="16"/>
        <v/>
      </c>
      <c r="R61" s="29">
        <v>13</v>
      </c>
      <c r="S61" s="154">
        <f t="shared" si="0"/>
        <v>2212.8799999999997</v>
      </c>
      <c r="T61" s="154">
        <f t="shared" si="1"/>
        <v>2792.0695704303453</v>
      </c>
      <c r="U61" s="154">
        <f t="shared" si="2"/>
        <v>237.20714904871082</v>
      </c>
      <c r="W61" s="154">
        <f t="shared" si="14"/>
        <v>2251.9046560110232</v>
      </c>
      <c r="X61" s="154">
        <f>IF(U61="",#N/A,IF($B$36=$A$62,(SUM(C61:E61)/COUNTIF(C61:E61,"&gt;0")),IF($B$36=$A$63,(SUM(F61:H61)/COUNTIF(F61:H61,"&gt;0")),IF($B$36=$A$64,(SUM(J61:K61)/COUNTIF(J61:K61,"&gt;0")),IF($B$36=$A$65,(SUM(L61:M61)/COUNTIF(L61:M61,"&gt;0")),(IF($B$36=$A$46,IF(C61="",#N/A,C61),IF($B$36=$A$47,IF(D61="",#N/A,D61),IF($B$36=$A$48,IF(E61="",#N/A,E61),IF($B$36=$A$49,IF(F61="",#N/A,F61),IF($B$36=$A$50,IF(G61="",#N/A,G61),IF($B$36=$A$51,IF(H61="",#N/A,H61),IF($B$36=$A$52,IF('Total MSW TAM Data_2021 Archive'!I61="",#N/A,'Total MSW TAM Data_2021 Archive'!I61),IF($B$36=$A$53,IF(J61="",#N/A,J61),IF($B$36=$A$54,IF(K61="",#N/A,K61),IF($B$36=$A$55,IF(L61="",#N/A,L61),IF($B$36=$A$56,IF(M61="",#N/A,M61),IF(U61="",#N/A,(SUM(C61:Q61)/COUNTIFS(C61:Q61,"&gt;0"))))))))))))))))))))</f>
        <v>2489.1118050597343</v>
      </c>
      <c r="Y61" s="154">
        <f t="shared" si="3"/>
        <v>2726.3189541084453</v>
      </c>
      <c r="AA61" s="1133">
        <v>2251.9046560110232</v>
      </c>
      <c r="AB61" s="1133">
        <v>2489.1118050597343</v>
      </c>
      <c r="AC61" s="1133">
        <v>2726.3189541084453</v>
      </c>
      <c r="AD61" s="89"/>
      <c r="AE61" s="89"/>
      <c r="AF61" s="89"/>
      <c r="AG61" s="89"/>
      <c r="AH61" s="89"/>
      <c r="AI61" s="89"/>
      <c r="AJ61" s="89"/>
      <c r="AK61" s="89"/>
      <c r="AL61" s="89"/>
      <c r="AM61" s="89"/>
      <c r="AN61" s="89"/>
      <c r="BR61" s="180">
        <v>2025</v>
      </c>
      <c r="BS61" s="22">
        <v>11</v>
      </c>
      <c r="BT61" s="181">
        <f t="shared" si="18"/>
        <v>492.82321591869908</v>
      </c>
      <c r="BU61" s="182">
        <f t="shared" si="19"/>
        <v>1889.8895206627167</v>
      </c>
      <c r="BV61" s="205">
        <f t="shared" si="20"/>
        <v>2382.7127365814158</v>
      </c>
      <c r="BY61" s="180">
        <v>2025</v>
      </c>
      <c r="BZ61" s="22">
        <v>11</v>
      </c>
      <c r="CA61" s="198">
        <f t="shared" ca="1" si="21"/>
        <v>-22.853073417497338</v>
      </c>
      <c r="CB61" s="198">
        <f t="shared" ca="1" si="22"/>
        <v>584.23550958868827</v>
      </c>
      <c r="CC61" s="186">
        <f t="shared" ca="1" si="32"/>
        <v>1836.2509020629714</v>
      </c>
      <c r="CD61" s="205">
        <f t="shared" ca="1" si="23"/>
        <v>2397.6333382341622</v>
      </c>
      <c r="CG61" s="180">
        <v>2025</v>
      </c>
      <c r="CH61" s="22">
        <v>11</v>
      </c>
      <c r="CI61" s="198">
        <f t="shared" ca="1" si="24"/>
        <v>15.330995493185078</v>
      </c>
      <c r="CJ61" s="198">
        <f t="shared" ca="1" si="25"/>
        <v>-114.83904637660785</v>
      </c>
      <c r="CK61" s="198">
        <f t="shared" ca="1" si="26"/>
        <v>722.61991684205009</v>
      </c>
      <c r="CL61" s="186">
        <f t="shared" ca="1" si="27"/>
        <v>1804.7780154472089</v>
      </c>
      <c r="CM61" s="205">
        <f t="shared" ca="1" si="28"/>
        <v>2427.8898814058361</v>
      </c>
      <c r="CP61" s="180">
        <v>2025</v>
      </c>
      <c r="CQ61" s="22">
        <v>11</v>
      </c>
      <c r="CR61" s="181">
        <f t="shared" ca="1" si="29"/>
        <v>1954.5573208474043</v>
      </c>
      <c r="CS61" s="182">
        <f t="shared" ca="1" si="30"/>
        <v>1.1969054898751543</v>
      </c>
      <c r="CT61" s="205">
        <f t="shared" ca="1" si="31"/>
        <v>2339.4203875979315</v>
      </c>
      <c r="CZ61" s="164" t="b">
        <f t="shared" si="4"/>
        <v>1</v>
      </c>
      <c r="DA61" s="165" t="b">
        <f t="shared" si="4"/>
        <v>1</v>
      </c>
      <c r="DB61" s="166" t="b">
        <f t="shared" si="4"/>
        <v>1</v>
      </c>
      <c r="DC61" s="164">
        <f t="shared" si="15"/>
        <v>13</v>
      </c>
      <c r="DD61" s="166">
        <f t="shared" si="5"/>
        <v>2251.9046560110232</v>
      </c>
      <c r="DE61" s="164">
        <f t="shared" si="6"/>
        <v>13</v>
      </c>
      <c r="DF61" s="166">
        <f t="shared" si="7"/>
        <v>2489.1118050597343</v>
      </c>
      <c r="DG61" s="164">
        <f t="shared" si="8"/>
        <v>13</v>
      </c>
      <c r="DH61" s="166">
        <f t="shared" si="9"/>
        <v>2726.3189541084453</v>
      </c>
      <c r="DI61" s="164">
        <f>IFERROR(INDEX(DC$46:DC$94,_xlfn.AGGREGATE(15,6,(ROW(DC$46:DC$94)-ROW(DC$46)+1)/(DC$46:DC$94&lt;&gt;""),ROWS(DI$1:DI16))),"")</f>
        <v>13</v>
      </c>
      <c r="DJ61" s="165">
        <f>IFERROR(INDEX(DD$46:DD$94,_xlfn.AGGREGATE(15,6,(ROW(DD$46:DD$94)-ROW(DD$46)+1)/(DD$46:DD$94&lt;&gt;""),ROWS(DJ$1:DJ16))),"")</f>
        <v>2251.9046560110232</v>
      </c>
      <c r="DK61" s="166">
        <f t="shared" si="10"/>
        <v>61</v>
      </c>
      <c r="DL61" s="164">
        <f>IFERROR(INDEX(DE$46:DE$94,_xlfn.AGGREGATE(15,6,(ROW(DE$46:DE$94)-ROW(DE$46)+1)/(DE$46:DE$94&lt;&gt;""),ROWS(DL$1:DL16))),"")</f>
        <v>13</v>
      </c>
      <c r="DM61" s="165">
        <f>IFERROR(INDEX(DF$46:DF$94,_xlfn.AGGREGATE(15,6,(ROW(DF$46:DF$94)-ROW(DF$46)+1)/(DF$46:DF$94&lt;&gt;""),ROWS(DM$1:DM16))),"")</f>
        <v>2489.1118050597343</v>
      </c>
      <c r="DN61" s="166">
        <f t="shared" si="11"/>
        <v>61</v>
      </c>
      <c r="DO61" s="164">
        <f>IFERROR(INDEX(DG$46:DG$94,_xlfn.AGGREGATE(15,6,(ROW(DG$46:DG$94)-ROW(DG$46)+1)/(DG$46:DG$94&lt;&gt;""),ROWS(DO$1:DO16))),"")</f>
        <v>13</v>
      </c>
      <c r="DP61" s="165">
        <f>IFERROR(INDEX(DH$46:DH$94,_xlfn.AGGREGATE(15,6,(ROW(DH$46:DH$94)-ROW(DH$46)+1)/(DH$46:DH$94&lt;&gt;""),ROWS(DP$1:DP16))),"")</f>
        <v>2726.3189541084453</v>
      </c>
      <c r="DQ61" s="166">
        <f t="shared" si="12"/>
        <v>61</v>
      </c>
      <c r="DV61" s="145">
        <v>2030</v>
      </c>
      <c r="DW61" s="146">
        <f t="shared" ca="1" si="13"/>
        <v>2660.0756577836232</v>
      </c>
      <c r="EU61" s="65"/>
      <c r="EV61" s="147"/>
    </row>
    <row r="62" spans="1:152" ht="13.8" x14ac:dyDescent="0.45">
      <c r="A62" s="208" t="s">
        <v>93</v>
      </c>
      <c r="B62" s="128">
        <v>2028</v>
      </c>
      <c r="C62" s="1016">
        <v>2503.2420091324202</v>
      </c>
      <c r="D62" s="982">
        <v>2842.7785177919823</v>
      </c>
      <c r="E62" s="1017"/>
      <c r="F62" s="1077"/>
      <c r="G62" s="1109">
        <v>2261.8199999999997</v>
      </c>
      <c r="H62" s="1107"/>
      <c r="I62" s="1112"/>
      <c r="J62" s="207"/>
      <c r="K62" s="204"/>
      <c r="L62" s="206"/>
      <c r="M62" s="204"/>
      <c r="N62" s="29" t="s">
        <v>758</v>
      </c>
      <c r="P62" s="128"/>
      <c r="Q62" s="176" t="str">
        <f t="shared" si="16"/>
        <v/>
      </c>
      <c r="R62" s="29">
        <v>14</v>
      </c>
      <c r="S62" s="154">
        <f t="shared" si="0"/>
        <v>2261.8199999999997</v>
      </c>
      <c r="T62" s="154">
        <f t="shared" si="1"/>
        <v>2842.7785177919823</v>
      </c>
      <c r="U62" s="154">
        <f t="shared" si="2"/>
        <v>238.30009712342795</v>
      </c>
      <c r="W62" s="154">
        <f t="shared" si="14"/>
        <v>2297.6467451847061</v>
      </c>
      <c r="X62" s="154">
        <f>IF(U62="",#N/A,IF($B$36=$A$62,(SUM(C62:E62)/COUNTIF(C62:E62,"&gt;0")),IF($B$36=$A$63,(SUM(F62:H62)/COUNTIF(F62:H62,"&gt;0")),IF($B$36=$A$64,(SUM(J62:K62)/COUNTIF(J62:K62,"&gt;0")),IF($B$36=$A$65,(SUM(L62:M62)/COUNTIF(L62:M62,"&gt;0")),(IF($B$36=$A$46,IF(C62="",#N/A,C62),IF($B$36=$A$47,IF(D62="",#N/A,D62),IF($B$36=$A$48,IF(E62="",#N/A,E62),IF($B$36=$A$49,IF(F62="",#N/A,F62),IF($B$36=$A$50,IF(G62="",#N/A,G62),IF($B$36=$A$51,IF(H62="",#N/A,H62),IF($B$36=$A$52,IF('Total MSW TAM Data_2021 Archive'!I62="",#N/A,'Total MSW TAM Data_2021 Archive'!I62),IF($B$36=$A$53,IF(J62="",#N/A,J62),IF($B$36=$A$54,IF(K62="",#N/A,K62),IF($B$36=$A$55,IF(L62="",#N/A,L62),IF($B$36=$A$56,IF(M62="",#N/A,M62),IF(U62="",#N/A,(SUM(C62:Q62)/COUNTIFS(C62:Q62,"&gt;0"))))))))))))))))))))</f>
        <v>2535.9468423081339</v>
      </c>
      <c r="Y62" s="154">
        <f t="shared" si="3"/>
        <v>2774.2469394315617</v>
      </c>
      <c r="AA62" s="1133">
        <v>2297.6467451847061</v>
      </c>
      <c r="AB62" s="1133">
        <v>2535.9468423081339</v>
      </c>
      <c r="AC62" s="1133">
        <v>2774.2469394315617</v>
      </c>
      <c r="AD62" s="114"/>
      <c r="AE62" s="114"/>
      <c r="AF62" s="114"/>
      <c r="AG62" s="114"/>
      <c r="AH62" s="114"/>
      <c r="AI62" s="114"/>
      <c r="AJ62" s="114"/>
      <c r="AK62" s="114"/>
      <c r="AL62" s="114"/>
      <c r="AM62" s="114"/>
      <c r="AN62" s="114"/>
      <c r="BR62" s="180">
        <v>2026</v>
      </c>
      <c r="BS62" s="22">
        <v>12</v>
      </c>
      <c r="BT62" s="181">
        <f t="shared" si="18"/>
        <v>537.62532645676265</v>
      </c>
      <c r="BU62" s="182">
        <f t="shared" si="19"/>
        <v>1889.8895206627167</v>
      </c>
      <c r="BV62" s="205">
        <f t="shared" si="20"/>
        <v>2427.5148471194793</v>
      </c>
      <c r="BY62" s="180">
        <v>2026</v>
      </c>
      <c r="BZ62" s="22">
        <v>12</v>
      </c>
      <c r="CA62" s="198">
        <f t="shared" ca="1" si="21"/>
        <v>-27.197046050575345</v>
      </c>
      <c r="CB62" s="198">
        <f t="shared" ca="1" si="22"/>
        <v>637.3478286422054</v>
      </c>
      <c r="CC62" s="186">
        <f t="shared" ca="1" si="32"/>
        <v>1836.2509020629714</v>
      </c>
      <c r="CD62" s="205">
        <f t="shared" ca="1" si="23"/>
        <v>2446.4016846546015</v>
      </c>
      <c r="CG62" s="180">
        <v>2026</v>
      </c>
      <c r="CH62" s="22">
        <v>12</v>
      </c>
      <c r="CI62" s="198">
        <f t="shared" ca="1" si="24"/>
        <v>19.903801812339456</v>
      </c>
      <c r="CJ62" s="198">
        <f t="shared" ca="1" si="25"/>
        <v>-136.6679560184424</v>
      </c>
      <c r="CK62" s="198">
        <f t="shared" ca="1" si="26"/>
        <v>788.31263655496377</v>
      </c>
      <c r="CL62" s="186">
        <f t="shared" ca="1" si="27"/>
        <v>1804.7780154472089</v>
      </c>
      <c r="CM62" s="205">
        <f t="shared" ca="1" si="28"/>
        <v>2476.3264977960698</v>
      </c>
      <c r="CP62" s="180">
        <v>2026</v>
      </c>
      <c r="CQ62" s="22">
        <v>12</v>
      </c>
      <c r="CR62" s="181">
        <f t="shared" ca="1" si="29"/>
        <v>1954.5573208474043</v>
      </c>
      <c r="CS62" s="182">
        <f t="shared" ca="1" si="30"/>
        <v>1.2166235248066868</v>
      </c>
      <c r="CT62" s="205">
        <f t="shared" ca="1" si="31"/>
        <v>2377.960417126083</v>
      </c>
      <c r="CZ62" s="164" t="b">
        <f t="shared" si="4"/>
        <v>1</v>
      </c>
      <c r="DA62" s="165" t="b">
        <f t="shared" si="4"/>
        <v>1</v>
      </c>
      <c r="DB62" s="166" t="b">
        <f t="shared" si="4"/>
        <v>1</v>
      </c>
      <c r="DC62" s="164">
        <f t="shared" si="15"/>
        <v>14</v>
      </c>
      <c r="DD62" s="166">
        <f t="shared" si="5"/>
        <v>2297.6467451847061</v>
      </c>
      <c r="DE62" s="164">
        <f t="shared" si="6"/>
        <v>14</v>
      </c>
      <c r="DF62" s="166">
        <f t="shared" si="7"/>
        <v>2535.9468423081339</v>
      </c>
      <c r="DG62" s="164">
        <f t="shared" si="8"/>
        <v>14</v>
      </c>
      <c r="DH62" s="166">
        <f t="shared" si="9"/>
        <v>2774.2469394315617</v>
      </c>
      <c r="DI62" s="164">
        <f>IFERROR(INDEX(DC$46:DC$94,_xlfn.AGGREGATE(15,6,(ROW(DC$46:DC$94)-ROW(DC$46)+1)/(DC$46:DC$94&lt;&gt;""),ROWS(DI$1:DI17))),"")</f>
        <v>14</v>
      </c>
      <c r="DJ62" s="165">
        <f>IFERROR(INDEX(DD$46:DD$94,_xlfn.AGGREGATE(15,6,(ROW(DD$46:DD$94)-ROW(DD$46)+1)/(DD$46:DD$94&lt;&gt;""),ROWS(DJ$1:DJ17))),"")</f>
        <v>2297.6467451847061</v>
      </c>
      <c r="DK62" s="166">
        <f t="shared" si="10"/>
        <v>62</v>
      </c>
      <c r="DL62" s="164">
        <f>IFERROR(INDEX(DE$46:DE$94,_xlfn.AGGREGATE(15,6,(ROW(DE$46:DE$94)-ROW(DE$46)+1)/(DE$46:DE$94&lt;&gt;""),ROWS(DL$1:DL17))),"")</f>
        <v>14</v>
      </c>
      <c r="DM62" s="165">
        <f>IFERROR(INDEX(DF$46:DF$94,_xlfn.AGGREGATE(15,6,(ROW(DF$46:DF$94)-ROW(DF$46)+1)/(DF$46:DF$94&lt;&gt;""),ROWS(DM$1:DM17))),"")</f>
        <v>2535.9468423081339</v>
      </c>
      <c r="DN62" s="166">
        <f t="shared" si="11"/>
        <v>62</v>
      </c>
      <c r="DO62" s="164">
        <f>IFERROR(INDEX(DG$46:DG$94,_xlfn.AGGREGATE(15,6,(ROW(DG$46:DG$94)-ROW(DG$46)+1)/(DG$46:DG$94&lt;&gt;""),ROWS(DO$1:DO17))),"")</f>
        <v>14</v>
      </c>
      <c r="DP62" s="165">
        <f>IFERROR(INDEX(DH$46:DH$94,_xlfn.AGGREGATE(15,6,(ROW(DH$46:DH$94)-ROW(DH$46)+1)/(DH$46:DH$94&lt;&gt;""),ROWS(DP$1:DP17))),"")</f>
        <v>2774.2469394315617</v>
      </c>
      <c r="DQ62" s="166">
        <f t="shared" si="12"/>
        <v>62</v>
      </c>
      <c r="DV62" s="145">
        <v>2031</v>
      </c>
      <c r="DW62" s="146">
        <f t="shared" ca="1" si="13"/>
        <v>2703.8591735019641</v>
      </c>
      <c r="EU62" s="65"/>
      <c r="EV62" s="147"/>
    </row>
    <row r="63" spans="1:152" ht="13.8" x14ac:dyDescent="0.45">
      <c r="A63" s="209" t="s">
        <v>94</v>
      </c>
      <c r="B63" s="128">
        <v>2029</v>
      </c>
      <c r="C63" s="1016">
        <v>2544.0981735159817</v>
      </c>
      <c r="D63" s="982">
        <v>2892.7975883199579</v>
      </c>
      <c r="E63" s="1017"/>
      <c r="F63" s="1077"/>
      <c r="G63" s="1109">
        <v>2310.7599999999998</v>
      </c>
      <c r="H63" s="1107"/>
      <c r="I63" s="1112"/>
      <c r="J63" s="207"/>
      <c r="K63" s="204"/>
      <c r="L63" s="206"/>
      <c r="M63" s="204"/>
      <c r="N63" s="29" t="s">
        <v>758</v>
      </c>
      <c r="P63" s="128"/>
      <c r="Q63" s="176" t="str">
        <f t="shared" si="16"/>
        <v/>
      </c>
      <c r="R63" s="29">
        <v>15</v>
      </c>
      <c r="S63" s="154">
        <f t="shared" si="0"/>
        <v>2310.7599999999998</v>
      </c>
      <c r="T63" s="154">
        <f t="shared" si="1"/>
        <v>2892.7975883199579</v>
      </c>
      <c r="U63" s="154">
        <f t="shared" si="2"/>
        <v>239.16654804218265</v>
      </c>
      <c r="W63" s="154">
        <f t="shared" si="14"/>
        <v>2343.3853725697977</v>
      </c>
      <c r="X63" s="154">
        <f>IF(U63="",#N/A,IF($B$36=$A$62,(SUM(C63:E63)/COUNTIF(C63:E63,"&gt;0")),IF($B$36=$A$63,(SUM(F63:H63)/COUNTIF(F63:H63,"&gt;0")),IF($B$36=$A$64,(SUM(J63:K63)/COUNTIF(J63:K63,"&gt;0")),IF($B$36=$A$65,(SUM(L63:M63)/COUNTIF(L63:M63,"&gt;0")),(IF($B$36=$A$46,IF(C63="",#N/A,C63),IF($B$36=$A$47,IF(D63="",#N/A,D63),IF($B$36=$A$48,IF(E63="",#N/A,E63),IF($B$36=$A$49,IF(F63="",#N/A,F63),IF($B$36=$A$50,IF(G63="",#N/A,G63),IF($B$36=$A$51,IF(H63="",#N/A,H63),IF($B$36=$A$52,IF('Total MSW TAM Data_2021 Archive'!I63="",#N/A,'Total MSW TAM Data_2021 Archive'!I63),IF($B$36=$A$53,IF(J63="",#N/A,J63),IF($B$36=$A$54,IF(K63="",#N/A,K63),IF($B$36=$A$55,IF(L63="",#N/A,L63),IF($B$36=$A$56,IF(M63="",#N/A,M63),IF(U63="",#N/A,(SUM(C63:Q63)/COUNTIFS(C63:Q63,"&gt;0"))))))))))))))))))))</f>
        <v>2582.5519206119802</v>
      </c>
      <c r="Y63" s="154">
        <f t="shared" si="3"/>
        <v>2821.7184686541627</v>
      </c>
      <c r="AA63" s="1133">
        <v>2343.3853725697977</v>
      </c>
      <c r="AB63" s="1133">
        <v>2582.5519206119802</v>
      </c>
      <c r="AC63" s="1133">
        <v>2821.7184686541627</v>
      </c>
      <c r="AD63" s="89"/>
      <c r="AE63" s="89"/>
      <c r="AF63" s="89"/>
      <c r="AG63" s="89"/>
      <c r="AH63" s="89"/>
      <c r="AI63" s="89"/>
      <c r="AJ63" s="89"/>
      <c r="AK63" s="89"/>
      <c r="AL63" s="89"/>
      <c r="AM63" s="89"/>
      <c r="AN63" s="89"/>
      <c r="BR63" s="180">
        <v>2027</v>
      </c>
      <c r="BS63" s="22">
        <v>13</v>
      </c>
      <c r="BT63" s="181">
        <f t="shared" si="18"/>
        <v>582.42743699482617</v>
      </c>
      <c r="BU63" s="182">
        <f t="shared" si="19"/>
        <v>1889.8895206627167</v>
      </c>
      <c r="BV63" s="205">
        <f t="shared" si="20"/>
        <v>2472.3169576575428</v>
      </c>
      <c r="BY63" s="180">
        <v>2027</v>
      </c>
      <c r="BZ63" s="22">
        <v>13</v>
      </c>
      <c r="CA63" s="198">
        <f t="shared" ca="1" si="21"/>
        <v>-31.918755434355788</v>
      </c>
      <c r="CB63" s="198">
        <f t="shared" ca="1" si="22"/>
        <v>690.46014769572253</v>
      </c>
      <c r="CC63" s="186">
        <f t="shared" ca="1" si="32"/>
        <v>1836.2509020629714</v>
      </c>
      <c r="CD63" s="205">
        <f t="shared" ca="1" si="23"/>
        <v>2494.7922943243379</v>
      </c>
      <c r="CG63" s="180">
        <v>2027</v>
      </c>
      <c r="CH63" s="22">
        <v>13</v>
      </c>
      <c r="CI63" s="198">
        <f t="shared" ca="1" si="24"/>
        <v>25.305933207007978</v>
      </c>
      <c r="CJ63" s="198">
        <f t="shared" ca="1" si="25"/>
        <v>-160.39503171608865</v>
      </c>
      <c r="CK63" s="198">
        <f t="shared" ca="1" si="26"/>
        <v>854.00535626787735</v>
      </c>
      <c r="CL63" s="186">
        <f t="shared" ca="1" si="27"/>
        <v>1804.7780154472089</v>
      </c>
      <c r="CM63" s="205">
        <f t="shared" ca="1" si="28"/>
        <v>2523.6942732060056</v>
      </c>
      <c r="CP63" s="180">
        <v>2027</v>
      </c>
      <c r="CQ63" s="22">
        <v>13</v>
      </c>
      <c r="CR63" s="181">
        <f t="shared" ca="1" si="29"/>
        <v>1954.5573208474043</v>
      </c>
      <c r="CS63" s="182">
        <f t="shared" ca="1" si="30"/>
        <v>1.2366663981693651</v>
      </c>
      <c r="CT63" s="205">
        <f t="shared" ca="1" si="31"/>
        <v>2417.1353619879237</v>
      </c>
      <c r="CZ63" s="164" t="b">
        <f t="shared" si="4"/>
        <v>1</v>
      </c>
      <c r="DA63" s="165" t="b">
        <f t="shared" si="4"/>
        <v>1</v>
      </c>
      <c r="DB63" s="166" t="b">
        <f t="shared" si="4"/>
        <v>1</v>
      </c>
      <c r="DC63" s="164">
        <f t="shared" si="15"/>
        <v>15</v>
      </c>
      <c r="DD63" s="166">
        <f t="shared" si="5"/>
        <v>2343.3853725697977</v>
      </c>
      <c r="DE63" s="164">
        <f t="shared" si="6"/>
        <v>15</v>
      </c>
      <c r="DF63" s="166">
        <f t="shared" si="7"/>
        <v>2582.5519206119802</v>
      </c>
      <c r="DG63" s="164">
        <f t="shared" si="8"/>
        <v>15</v>
      </c>
      <c r="DH63" s="166">
        <f t="shared" si="9"/>
        <v>2821.7184686541627</v>
      </c>
      <c r="DI63" s="164">
        <f>IFERROR(INDEX(DC$46:DC$94,_xlfn.AGGREGATE(15,6,(ROW(DC$46:DC$94)-ROW(DC$46)+1)/(DC$46:DC$94&lt;&gt;""),ROWS(DI$1:DI18))),"")</f>
        <v>15</v>
      </c>
      <c r="DJ63" s="165">
        <f>IFERROR(INDEX(DD$46:DD$94,_xlfn.AGGREGATE(15,6,(ROW(DD$46:DD$94)-ROW(DD$46)+1)/(DD$46:DD$94&lt;&gt;""),ROWS(DJ$1:DJ18))),"")</f>
        <v>2343.3853725697977</v>
      </c>
      <c r="DK63" s="166">
        <f t="shared" si="10"/>
        <v>63</v>
      </c>
      <c r="DL63" s="164">
        <f>IFERROR(INDEX(DE$46:DE$94,_xlfn.AGGREGATE(15,6,(ROW(DE$46:DE$94)-ROW(DE$46)+1)/(DE$46:DE$94&lt;&gt;""),ROWS(DL$1:DL18))),"")</f>
        <v>15</v>
      </c>
      <c r="DM63" s="165">
        <f>IFERROR(INDEX(DF$46:DF$94,_xlfn.AGGREGATE(15,6,(ROW(DF$46:DF$94)-ROW(DF$46)+1)/(DF$46:DF$94&lt;&gt;""),ROWS(DM$1:DM18))),"")</f>
        <v>2582.5519206119802</v>
      </c>
      <c r="DN63" s="166">
        <f t="shared" si="11"/>
        <v>63</v>
      </c>
      <c r="DO63" s="164">
        <f>IFERROR(INDEX(DG$46:DG$94,_xlfn.AGGREGATE(15,6,(ROW(DG$46:DG$94)-ROW(DG$46)+1)/(DG$46:DG$94&lt;&gt;""),ROWS(DO$1:DO18))),"")</f>
        <v>15</v>
      </c>
      <c r="DP63" s="165">
        <f>IFERROR(INDEX(DH$46:DH$94,_xlfn.AGGREGATE(15,6,(ROW(DH$46:DH$94)-ROW(DH$46)+1)/(DH$46:DH$94&lt;&gt;""),ROWS(DP$1:DP18))),"")</f>
        <v>2821.7184686541627</v>
      </c>
      <c r="DQ63" s="166">
        <f t="shared" si="12"/>
        <v>63</v>
      </c>
      <c r="DV63" s="145">
        <v>2032</v>
      </c>
      <c r="DW63" s="146">
        <f t="shared" ca="1" si="13"/>
        <v>2746.9194003548046</v>
      </c>
      <c r="EU63" s="65"/>
      <c r="EV63" s="147"/>
    </row>
    <row r="64" spans="1:152" ht="13.8" x14ac:dyDescent="0.45">
      <c r="A64" s="210" t="s">
        <v>95</v>
      </c>
      <c r="B64" s="128">
        <v>2030</v>
      </c>
      <c r="C64" s="1016">
        <v>2590</v>
      </c>
      <c r="D64" s="982">
        <v>2946.1929449831373</v>
      </c>
      <c r="E64" s="1017"/>
      <c r="F64" s="1077"/>
      <c r="G64" s="1109">
        <v>2359.6999999999998</v>
      </c>
      <c r="H64" s="1107"/>
      <c r="I64" s="1112"/>
      <c r="J64" s="207"/>
      <c r="K64" s="204"/>
      <c r="L64" s="206"/>
      <c r="M64" s="204"/>
      <c r="N64" s="29" t="s">
        <v>758</v>
      </c>
      <c r="P64" s="128"/>
      <c r="Q64" s="176" t="str">
        <f t="shared" si="16"/>
        <v/>
      </c>
      <c r="R64" s="29">
        <v>16</v>
      </c>
      <c r="S64" s="154">
        <f t="shared" si="0"/>
        <v>2359.6999999999998</v>
      </c>
      <c r="T64" s="154">
        <f t="shared" si="1"/>
        <v>2946.1929449831373</v>
      </c>
      <c r="U64" s="154">
        <f t="shared" si="2"/>
        <v>241.26644528191784</v>
      </c>
      <c r="W64" s="154">
        <f t="shared" si="14"/>
        <v>2390.6978697124614</v>
      </c>
      <c r="X64" s="154">
        <f>IF(U64="",#N/A,IF($B$36=$A$62,(SUM(C64:E64)/COUNTIF(C64:E64,"&gt;0")),IF($B$36=$A$63,(SUM(F64:H64)/COUNTIF(F64:H64,"&gt;0")),IF($B$36=$A$64,(SUM(J64:K64)/COUNTIF(J64:K64,"&gt;0")),IF($B$36=$A$65,(SUM(L64:M64)/COUNTIF(L64:M64,"&gt;0")),(IF($B$36=$A$46,IF(C64="",#N/A,C64),IF($B$36=$A$47,IF(D64="",#N/A,D64),IF($B$36=$A$48,IF(E64="",#N/A,E64),IF($B$36=$A$49,IF(F64="",#N/A,F64),IF($B$36=$A$50,IF(G64="",#N/A,G64),IF($B$36=$A$51,IF(H64="",#N/A,H64),IF($B$36=$A$52,IF('Total MSW TAM Data_2021 Archive'!I64="",#N/A,'Total MSW TAM Data_2021 Archive'!I64),IF($B$36=$A$53,IF(J64="",#N/A,J64),IF($B$36=$A$54,IF(K64="",#N/A,K64),IF($B$36=$A$55,IF(L64="",#N/A,L64),IF($B$36=$A$56,IF(M64="",#N/A,M64),IF(U64="",#N/A,(SUM(C64:Q64)/COUNTIFS(C64:Q64,"&gt;0"))))))))))))))))))))</f>
        <v>2631.964314994379</v>
      </c>
      <c r="Y64" s="154">
        <f t="shared" si="3"/>
        <v>2873.2307602762967</v>
      </c>
      <c r="AA64" s="1133">
        <v>2390.6978697124614</v>
      </c>
      <c r="AB64" s="1133">
        <v>2631.964314994379</v>
      </c>
      <c r="AC64" s="1133">
        <v>2873.2307602762967</v>
      </c>
      <c r="AD64" s="89"/>
      <c r="AE64" s="89"/>
      <c r="AF64" s="89"/>
      <c r="AG64" s="89"/>
      <c r="AH64" s="89"/>
      <c r="AI64" s="89"/>
      <c r="AJ64" s="89"/>
      <c r="AK64" s="89"/>
      <c r="AL64" s="89"/>
      <c r="AM64" s="89"/>
      <c r="AN64" s="89"/>
      <c r="BR64" s="180">
        <v>2028</v>
      </c>
      <c r="BS64" s="22">
        <v>14</v>
      </c>
      <c r="BT64" s="181">
        <f t="shared" si="18"/>
        <v>627.22954753288968</v>
      </c>
      <c r="BU64" s="182">
        <f t="shared" si="19"/>
        <v>1889.8895206627167</v>
      </c>
      <c r="BV64" s="205">
        <f t="shared" si="20"/>
        <v>2517.1190681956064</v>
      </c>
      <c r="BY64" s="180">
        <v>2028</v>
      </c>
      <c r="BZ64" s="22">
        <v>14</v>
      </c>
      <c r="CA64" s="198">
        <f t="shared" ca="1" si="21"/>
        <v>-37.018201568838663</v>
      </c>
      <c r="CB64" s="198">
        <f t="shared" ca="1" si="22"/>
        <v>743.57246674923965</v>
      </c>
      <c r="CC64" s="186">
        <f t="shared" ca="1" si="32"/>
        <v>1836.2509020629714</v>
      </c>
      <c r="CD64" s="205">
        <f t="shared" ca="1" si="23"/>
        <v>2542.8051672433721</v>
      </c>
      <c r="CG64" s="180">
        <v>2028</v>
      </c>
      <c r="CH64" s="22">
        <v>14</v>
      </c>
      <c r="CI64" s="198">
        <f t="shared" ca="1" si="24"/>
        <v>31.606500100150154</v>
      </c>
      <c r="CJ64" s="198">
        <f t="shared" ca="1" si="25"/>
        <v>-186.02027346954659</v>
      </c>
      <c r="CK64" s="198">
        <f t="shared" ca="1" si="26"/>
        <v>919.69807598079103</v>
      </c>
      <c r="CL64" s="186">
        <f t="shared" ca="1" si="27"/>
        <v>1804.7780154472089</v>
      </c>
      <c r="CM64" s="205">
        <f t="shared" ca="1" si="28"/>
        <v>2570.0623180586035</v>
      </c>
      <c r="CP64" s="180">
        <v>2028</v>
      </c>
      <c r="CQ64" s="22">
        <v>14</v>
      </c>
      <c r="CR64" s="181">
        <f t="shared" ca="1" si="29"/>
        <v>1954.5573208474043</v>
      </c>
      <c r="CS64" s="182">
        <f t="shared" ca="1" si="30"/>
        <v>1.2570394614095541</v>
      </c>
      <c r="CT64" s="205">
        <f t="shared" ca="1" si="31"/>
        <v>2456.9556818921224</v>
      </c>
      <c r="CZ64" s="164" t="b">
        <f t="shared" si="4"/>
        <v>1</v>
      </c>
      <c r="DA64" s="165" t="b">
        <f t="shared" si="4"/>
        <v>1</v>
      </c>
      <c r="DB64" s="166" t="b">
        <f t="shared" si="4"/>
        <v>1</v>
      </c>
      <c r="DC64" s="164">
        <f t="shared" si="15"/>
        <v>16</v>
      </c>
      <c r="DD64" s="166">
        <f t="shared" si="5"/>
        <v>2390.6978697124614</v>
      </c>
      <c r="DE64" s="164">
        <f t="shared" si="6"/>
        <v>16</v>
      </c>
      <c r="DF64" s="166">
        <f t="shared" si="7"/>
        <v>2631.964314994379</v>
      </c>
      <c r="DG64" s="164">
        <f t="shared" si="8"/>
        <v>16</v>
      </c>
      <c r="DH64" s="166">
        <f t="shared" si="9"/>
        <v>2873.2307602762967</v>
      </c>
      <c r="DI64" s="164">
        <f>IFERROR(INDEX(DC$46:DC$94,_xlfn.AGGREGATE(15,6,(ROW(DC$46:DC$94)-ROW(DC$46)+1)/(DC$46:DC$94&lt;&gt;""),ROWS(DI$1:DI19))),"")</f>
        <v>16</v>
      </c>
      <c r="DJ64" s="165">
        <f>IFERROR(INDEX(DD$46:DD$94,_xlfn.AGGREGATE(15,6,(ROW(DD$46:DD$94)-ROW(DD$46)+1)/(DD$46:DD$94&lt;&gt;""),ROWS(DJ$1:DJ19))),"")</f>
        <v>2390.6978697124614</v>
      </c>
      <c r="DK64" s="166">
        <f t="shared" si="10"/>
        <v>64</v>
      </c>
      <c r="DL64" s="164">
        <f>IFERROR(INDEX(DE$46:DE$94,_xlfn.AGGREGATE(15,6,(ROW(DE$46:DE$94)-ROW(DE$46)+1)/(DE$46:DE$94&lt;&gt;""),ROWS(DL$1:DL19))),"")</f>
        <v>16</v>
      </c>
      <c r="DM64" s="165">
        <f>IFERROR(INDEX(DF$46:DF$94,_xlfn.AGGREGATE(15,6,(ROW(DF$46:DF$94)-ROW(DF$46)+1)/(DF$46:DF$94&lt;&gt;""),ROWS(DM$1:DM19))),"")</f>
        <v>2631.964314994379</v>
      </c>
      <c r="DN64" s="166">
        <f t="shared" si="11"/>
        <v>64</v>
      </c>
      <c r="DO64" s="164">
        <f>IFERROR(INDEX(DG$46:DG$94,_xlfn.AGGREGATE(15,6,(ROW(DG$46:DG$94)-ROW(DG$46)+1)/(DG$46:DG$94&lt;&gt;""),ROWS(DO$1:DO19))),"")</f>
        <v>16</v>
      </c>
      <c r="DP64" s="165">
        <f>IFERROR(INDEX(DH$46:DH$94,_xlfn.AGGREGATE(15,6,(ROW(DH$46:DH$94)-ROW(DH$46)+1)/(DH$46:DH$94&lt;&gt;""),ROWS(DP$1:DP19))),"")</f>
        <v>2873.2307602762967</v>
      </c>
      <c r="DQ64" s="166">
        <f t="shared" si="12"/>
        <v>64</v>
      </c>
      <c r="DV64" s="145">
        <v>2033</v>
      </c>
      <c r="DW64" s="146">
        <f t="shared" ca="1" si="13"/>
        <v>2789.3254487651047</v>
      </c>
      <c r="EU64" s="65"/>
      <c r="EV64" s="147"/>
    </row>
    <row r="65" spans="1:152" ht="13.8" x14ac:dyDescent="0.45">
      <c r="A65" s="211" t="s">
        <v>96</v>
      </c>
      <c r="B65" s="128">
        <v>2031</v>
      </c>
      <c r="C65" s="1016">
        <v>2625.8105022831051</v>
      </c>
      <c r="D65" s="982">
        <v>2990.8450283776297</v>
      </c>
      <c r="E65" s="1017"/>
      <c r="F65" s="1077"/>
      <c r="G65" s="1109">
        <v>2408.62</v>
      </c>
      <c r="H65" s="1107"/>
      <c r="I65" s="1112"/>
      <c r="J65" s="207"/>
      <c r="K65" s="204"/>
      <c r="L65" s="206"/>
      <c r="M65" s="204"/>
      <c r="N65" s="29" t="s">
        <v>758</v>
      </c>
      <c r="P65" s="128"/>
      <c r="Q65" s="176" t="str">
        <f t="shared" si="16"/>
        <v/>
      </c>
      <c r="R65" s="29">
        <v>17</v>
      </c>
      <c r="S65" s="154">
        <f t="shared" si="0"/>
        <v>2408.62</v>
      </c>
      <c r="T65" s="154">
        <f t="shared" si="1"/>
        <v>2990.8450283776297</v>
      </c>
      <c r="U65" s="154">
        <f t="shared" si="2"/>
        <v>240.23319763012989</v>
      </c>
      <c r="W65" s="154">
        <f t="shared" si="14"/>
        <v>2434.8586459234484</v>
      </c>
      <c r="X65" s="154">
        <f>IF(U65="",#N/A,IF($B$36=$A$62,(SUM(C65:E65)/COUNTIF(C65:E65,"&gt;0")),IF($B$36=$A$63,(SUM(F65:H65)/COUNTIF(F65:H65,"&gt;0")),IF($B$36=$A$64,(SUM(J65:K65)/COUNTIF(J65:K65,"&gt;0")),IF($B$36=$A$65,(SUM(L65:M65)/COUNTIF(L65:M65,"&gt;0")),(IF($B$36=$A$46,IF(C65="",#N/A,C65),IF($B$36=$A$47,IF(D65="",#N/A,D65),IF($B$36=$A$48,IF(E65="",#N/A,E65),IF($B$36=$A$49,IF(F65="",#N/A,F65),IF($B$36=$A$50,IF(G65="",#N/A,G65),IF($B$36=$A$51,IF(H65="",#N/A,H65),IF($B$36=$A$52,IF('Total MSW TAM Data_2021 Archive'!I65="",#N/A,'Total MSW TAM Data_2021 Archive'!I65),IF($B$36=$A$53,IF(J65="",#N/A,J65),IF($B$36=$A$54,IF(K65="",#N/A,K65),IF($B$36=$A$55,IF(L65="",#N/A,L65),IF($B$36=$A$56,IF(M65="",#N/A,M65),IF(U65="",#N/A,(SUM(C65:Q65)/COUNTIFS(C65:Q65,"&gt;0"))))))))))))))))))))</f>
        <v>2675.0918435535782</v>
      </c>
      <c r="Y65" s="154">
        <f t="shared" si="3"/>
        <v>2915.325041183708</v>
      </c>
      <c r="AA65" s="1133">
        <v>2434.8586459234484</v>
      </c>
      <c r="AB65" s="1133">
        <v>2675.0918435535782</v>
      </c>
      <c r="AC65" s="1133">
        <v>2915.325041183708</v>
      </c>
      <c r="AD65" s="89"/>
      <c r="AE65" s="89"/>
      <c r="AF65" s="89"/>
      <c r="AG65" s="89"/>
      <c r="AH65" s="89"/>
      <c r="AI65" s="89"/>
      <c r="AJ65" s="89"/>
      <c r="AK65" s="89"/>
      <c r="AL65" s="89"/>
      <c r="AM65" s="89"/>
      <c r="AN65" s="89"/>
      <c r="BR65" s="180">
        <v>2029</v>
      </c>
      <c r="BS65" s="22">
        <v>15</v>
      </c>
      <c r="BT65" s="181">
        <f t="shared" si="18"/>
        <v>672.03165807095331</v>
      </c>
      <c r="BU65" s="182">
        <f t="shared" si="19"/>
        <v>1889.8895206627167</v>
      </c>
      <c r="BV65" s="205">
        <f t="shared" si="20"/>
        <v>2561.9211787336699</v>
      </c>
      <c r="BY65" s="180">
        <v>2029</v>
      </c>
      <c r="BZ65" s="22">
        <v>15</v>
      </c>
      <c r="CA65" s="198">
        <f t="shared" ca="1" si="21"/>
        <v>-42.495384454023977</v>
      </c>
      <c r="CB65" s="198">
        <f t="shared" ca="1" si="22"/>
        <v>796.68478580275678</v>
      </c>
      <c r="CC65" s="186">
        <f t="shared" ca="1" si="32"/>
        <v>1836.2509020629714</v>
      </c>
      <c r="CD65" s="205">
        <f t="shared" ca="1" si="23"/>
        <v>2590.440303411704</v>
      </c>
      <c r="CG65" s="180">
        <v>2029</v>
      </c>
      <c r="CH65" s="22">
        <v>15</v>
      </c>
      <c r="CI65" s="198">
        <f t="shared" ca="1" si="24"/>
        <v>38.874612914725496</v>
      </c>
      <c r="CJ65" s="198">
        <f t="shared" ca="1" si="25"/>
        <v>-213.54368127881625</v>
      </c>
      <c r="CK65" s="198">
        <f t="shared" ca="1" si="26"/>
        <v>985.3907956937046</v>
      </c>
      <c r="CL65" s="186">
        <f t="shared" ca="1" si="27"/>
        <v>1804.7780154472089</v>
      </c>
      <c r="CM65" s="205">
        <f t="shared" ca="1" si="28"/>
        <v>2615.4997427768226</v>
      </c>
      <c r="CP65" s="180">
        <v>2029</v>
      </c>
      <c r="CQ65" s="22">
        <v>15</v>
      </c>
      <c r="CR65" s="181">
        <f t="shared" ca="1" si="29"/>
        <v>1954.5573208474043</v>
      </c>
      <c r="CS65" s="182">
        <f t="shared" ca="1" si="30"/>
        <v>1.2777481541343019</v>
      </c>
      <c r="CT65" s="205">
        <f t="shared" ca="1" si="31"/>
        <v>2497.4320088624572</v>
      </c>
      <c r="CZ65" s="164" t="b">
        <f t="shared" si="4"/>
        <v>1</v>
      </c>
      <c r="DA65" s="165" t="b">
        <f t="shared" si="4"/>
        <v>1</v>
      </c>
      <c r="DB65" s="166" t="b">
        <f t="shared" si="4"/>
        <v>1</v>
      </c>
      <c r="DC65" s="164">
        <f t="shared" si="15"/>
        <v>17</v>
      </c>
      <c r="DD65" s="166">
        <f t="shared" si="5"/>
        <v>2434.8586459234484</v>
      </c>
      <c r="DE65" s="164">
        <f t="shared" si="6"/>
        <v>17</v>
      </c>
      <c r="DF65" s="166">
        <f t="shared" si="7"/>
        <v>2675.0918435535782</v>
      </c>
      <c r="DG65" s="164">
        <f t="shared" si="8"/>
        <v>17</v>
      </c>
      <c r="DH65" s="166">
        <f t="shared" si="9"/>
        <v>2915.325041183708</v>
      </c>
      <c r="DI65" s="164">
        <f>IFERROR(INDEX(DC$46:DC$94,_xlfn.AGGREGATE(15,6,(ROW(DC$46:DC$94)-ROW(DC$46)+1)/(DC$46:DC$94&lt;&gt;""),ROWS(DI$1:DI20))),"")</f>
        <v>17</v>
      </c>
      <c r="DJ65" s="165">
        <f>IFERROR(INDEX(DD$46:DD$94,_xlfn.AGGREGATE(15,6,(ROW(DD$46:DD$94)-ROW(DD$46)+1)/(DD$46:DD$94&lt;&gt;""),ROWS(DJ$1:DJ20))),"")</f>
        <v>2434.8586459234484</v>
      </c>
      <c r="DK65" s="166">
        <f t="shared" si="10"/>
        <v>65</v>
      </c>
      <c r="DL65" s="164">
        <f>IFERROR(INDEX(DE$46:DE$94,_xlfn.AGGREGATE(15,6,(ROW(DE$46:DE$94)-ROW(DE$46)+1)/(DE$46:DE$94&lt;&gt;""),ROWS(DL$1:DL20))),"")</f>
        <v>17</v>
      </c>
      <c r="DM65" s="165">
        <f>IFERROR(INDEX(DF$46:DF$94,_xlfn.AGGREGATE(15,6,(ROW(DF$46:DF$94)-ROW(DF$46)+1)/(DF$46:DF$94&lt;&gt;""),ROWS(DM$1:DM20))),"")</f>
        <v>2675.0918435535782</v>
      </c>
      <c r="DN65" s="166">
        <f t="shared" si="11"/>
        <v>65</v>
      </c>
      <c r="DO65" s="164">
        <f>IFERROR(INDEX(DG$46:DG$94,_xlfn.AGGREGATE(15,6,(ROW(DG$46:DG$94)-ROW(DG$46)+1)/(DG$46:DG$94&lt;&gt;""),ROWS(DO$1:DO20))),"")</f>
        <v>17</v>
      </c>
      <c r="DP65" s="165">
        <f>IFERROR(INDEX(DH$46:DH$94,_xlfn.AGGREGATE(15,6,(ROW(DH$46:DH$94)-ROW(DH$46)+1)/(DH$46:DH$94&lt;&gt;""),ROWS(DP$1:DP20))),"")</f>
        <v>2915.325041183708</v>
      </c>
      <c r="DQ65" s="166">
        <f t="shared" si="12"/>
        <v>65</v>
      </c>
      <c r="DV65" s="145">
        <v>2034</v>
      </c>
      <c r="DW65" s="146">
        <f t="shared" ca="1" si="13"/>
        <v>2831.1464291558241</v>
      </c>
      <c r="EU65" s="65"/>
      <c r="EV65" s="147"/>
    </row>
    <row r="66" spans="1:152" ht="13.8" x14ac:dyDescent="0.45">
      <c r="B66" s="128">
        <v>2032</v>
      </c>
      <c r="C66" s="1016">
        <v>2666.6666666666665</v>
      </c>
      <c r="D66" s="982">
        <v>3036.1005730355682</v>
      </c>
      <c r="E66" s="1017"/>
      <c r="F66" s="1077"/>
      <c r="G66" s="1109">
        <v>2457.54</v>
      </c>
      <c r="H66" s="1107"/>
      <c r="I66" s="1112"/>
      <c r="J66" s="207"/>
      <c r="K66" s="204"/>
      <c r="L66" s="206"/>
      <c r="M66" s="204"/>
      <c r="N66" s="29" t="s">
        <v>758</v>
      </c>
      <c r="P66" s="128"/>
      <c r="Q66" s="176" t="str">
        <f t="shared" si="16"/>
        <v/>
      </c>
      <c r="R66" s="29">
        <v>18</v>
      </c>
      <c r="S66" s="154">
        <f t="shared" si="0"/>
        <v>2457.54</v>
      </c>
      <c r="T66" s="154">
        <f t="shared" si="1"/>
        <v>3036.1005730355682</v>
      </c>
      <c r="U66" s="154">
        <f t="shared" si="2"/>
        <v>239.19952400485494</v>
      </c>
      <c r="W66" s="154">
        <f t="shared" si="14"/>
        <v>2480.9028892292231</v>
      </c>
      <c r="X66" s="154">
        <f>IF(U66="",#N/A,IF($B$36=$A$62,(SUM(C66:E66)/COUNTIF(C66:E66,"&gt;0")),IF($B$36=$A$63,(SUM(F66:H66)/COUNTIF(F66:H66,"&gt;0")),IF($B$36=$A$64,(SUM(J66:K66)/COUNTIF(J66:K66,"&gt;0")),IF($B$36=$A$65,(SUM(L66:M66)/COUNTIF(L66:M66,"&gt;0")),(IF($B$36=$A$46,IF(C66="",#N/A,C66),IF($B$36=$A$47,IF(D66="",#N/A,D66),IF($B$36=$A$48,IF(E66="",#N/A,E66),IF($B$36=$A$49,IF(F66="",#N/A,F66),IF($B$36=$A$50,IF(G66="",#N/A,G66),IF($B$36=$A$51,IF(H66="",#N/A,H66),IF($B$36=$A$52,IF('Total MSW TAM Data_2021 Archive'!I66="",#N/A,'Total MSW TAM Data_2021 Archive'!I66),IF($B$36=$A$53,IF(J66="",#N/A,J66),IF($B$36=$A$54,IF(K66="",#N/A,K66),IF($B$36=$A$55,IF(L66="",#N/A,L66),IF($B$36=$A$56,IF(M66="",#N/A,M66),IF(U66="",#N/A,(SUM(C66:Q66)/COUNTIFS(C66:Q66,"&gt;0"))))))))))))))))))))</f>
        <v>2720.1024132340781</v>
      </c>
      <c r="Y66" s="154">
        <f t="shared" si="3"/>
        <v>2959.3019372389331</v>
      </c>
      <c r="AA66" s="1133">
        <v>2480.9028892292231</v>
      </c>
      <c r="AB66" s="1133">
        <v>2720.1024132340781</v>
      </c>
      <c r="AC66" s="1133">
        <v>2959.3019372389331</v>
      </c>
      <c r="AD66" s="89"/>
      <c r="AE66" s="89"/>
      <c r="AF66" s="89"/>
      <c r="AG66" s="89"/>
      <c r="AH66" s="89"/>
      <c r="AI66" s="89"/>
      <c r="AJ66" s="89"/>
      <c r="AK66" s="89"/>
      <c r="AL66" s="89"/>
      <c r="AM66" s="89"/>
      <c r="AN66" s="89"/>
      <c r="BR66" s="180">
        <v>2030</v>
      </c>
      <c r="BS66" s="22">
        <v>16</v>
      </c>
      <c r="BT66" s="181">
        <f t="shared" si="18"/>
        <v>716.83376860901683</v>
      </c>
      <c r="BU66" s="182">
        <f t="shared" si="19"/>
        <v>1889.8895206627167</v>
      </c>
      <c r="BV66" s="205">
        <f t="shared" si="20"/>
        <v>2606.7232892717334</v>
      </c>
      <c r="BY66" s="180">
        <v>2030</v>
      </c>
      <c r="BZ66" s="22">
        <v>16</v>
      </c>
      <c r="CA66" s="198">
        <f t="shared" ca="1" si="21"/>
        <v>-48.350304089911724</v>
      </c>
      <c r="CB66" s="198">
        <f t="shared" ca="1" si="22"/>
        <v>849.7971048562739</v>
      </c>
      <c r="CC66" s="186">
        <f t="shared" ca="1" si="32"/>
        <v>1836.2509020629714</v>
      </c>
      <c r="CD66" s="205">
        <f t="shared" ca="1" si="23"/>
        <v>2637.6977028293336</v>
      </c>
      <c r="CG66" s="180">
        <v>2030</v>
      </c>
      <c r="CH66" s="22">
        <v>16</v>
      </c>
      <c r="CI66" s="198">
        <f t="shared" ca="1" si="24"/>
        <v>47.179382073693525</v>
      </c>
      <c r="CJ66" s="198">
        <f t="shared" ca="1" si="25"/>
        <v>-242.96525514389759</v>
      </c>
      <c r="CK66" s="198">
        <f t="shared" ca="1" si="26"/>
        <v>1051.0835154066183</v>
      </c>
      <c r="CL66" s="186">
        <f t="shared" ca="1" si="27"/>
        <v>1804.7780154472089</v>
      </c>
      <c r="CM66" s="205">
        <f t="shared" ca="1" si="28"/>
        <v>2660.0756577836232</v>
      </c>
      <c r="CP66" s="180">
        <v>2030</v>
      </c>
      <c r="CQ66" s="22">
        <v>16</v>
      </c>
      <c r="CR66" s="181">
        <f t="shared" ca="1" si="29"/>
        <v>1954.5573208474043</v>
      </c>
      <c r="CS66" s="182">
        <f t="shared" ca="1" si="30"/>
        <v>1.2987980055637152</v>
      </c>
      <c r="CT66" s="205">
        <f t="shared" ca="1" si="31"/>
        <v>2538.5751500765673</v>
      </c>
      <c r="CZ66" s="164" t="b">
        <f t="shared" si="4"/>
        <v>1</v>
      </c>
      <c r="DA66" s="165" t="b">
        <f t="shared" si="4"/>
        <v>1</v>
      </c>
      <c r="DB66" s="166" t="b">
        <f t="shared" si="4"/>
        <v>1</v>
      </c>
      <c r="DC66" s="164">
        <f t="shared" si="15"/>
        <v>18</v>
      </c>
      <c r="DD66" s="166">
        <f t="shared" si="5"/>
        <v>2480.9028892292231</v>
      </c>
      <c r="DE66" s="164">
        <f t="shared" si="6"/>
        <v>18</v>
      </c>
      <c r="DF66" s="166">
        <f t="shared" si="7"/>
        <v>2720.1024132340781</v>
      </c>
      <c r="DG66" s="164">
        <f t="shared" si="8"/>
        <v>18</v>
      </c>
      <c r="DH66" s="166">
        <f t="shared" si="9"/>
        <v>2959.3019372389331</v>
      </c>
      <c r="DI66" s="164">
        <f>IFERROR(INDEX(DC$46:DC$94,_xlfn.AGGREGATE(15,6,(ROW(DC$46:DC$94)-ROW(DC$46)+1)/(DC$46:DC$94&lt;&gt;""),ROWS(DI$1:DI21))),"")</f>
        <v>18</v>
      </c>
      <c r="DJ66" s="165">
        <f>IFERROR(INDEX(DD$46:DD$94,_xlfn.AGGREGATE(15,6,(ROW(DD$46:DD$94)-ROW(DD$46)+1)/(DD$46:DD$94&lt;&gt;""),ROWS(DJ$1:DJ21))),"")</f>
        <v>2480.9028892292231</v>
      </c>
      <c r="DK66" s="166">
        <f t="shared" si="10"/>
        <v>66</v>
      </c>
      <c r="DL66" s="164">
        <f>IFERROR(INDEX(DE$46:DE$94,_xlfn.AGGREGATE(15,6,(ROW(DE$46:DE$94)-ROW(DE$46)+1)/(DE$46:DE$94&lt;&gt;""),ROWS(DL$1:DL21))),"")</f>
        <v>18</v>
      </c>
      <c r="DM66" s="165">
        <f>IFERROR(INDEX(DF$46:DF$94,_xlfn.AGGREGATE(15,6,(ROW(DF$46:DF$94)-ROW(DF$46)+1)/(DF$46:DF$94&lt;&gt;""),ROWS(DM$1:DM21))),"")</f>
        <v>2720.1024132340781</v>
      </c>
      <c r="DN66" s="166">
        <f t="shared" si="11"/>
        <v>66</v>
      </c>
      <c r="DO66" s="164">
        <f>IFERROR(INDEX(DG$46:DG$94,_xlfn.AGGREGATE(15,6,(ROW(DG$46:DG$94)-ROW(DG$46)+1)/(DG$46:DG$94&lt;&gt;""),ROWS(DO$1:DO21))),"")</f>
        <v>18</v>
      </c>
      <c r="DP66" s="165">
        <f>IFERROR(INDEX(DH$46:DH$94,_xlfn.AGGREGATE(15,6,(ROW(DH$46:DH$94)-ROW(DH$46)+1)/(DH$46:DH$94&lt;&gt;""),ROWS(DP$1:DP21))),"")</f>
        <v>2959.3019372389331</v>
      </c>
      <c r="DQ66" s="166">
        <f t="shared" si="12"/>
        <v>66</v>
      </c>
      <c r="DV66" s="145">
        <v>2035</v>
      </c>
      <c r="DW66" s="146">
        <f t="shared" ca="1" si="13"/>
        <v>2872.4514519499226</v>
      </c>
      <c r="EU66" s="65"/>
      <c r="EV66" s="147"/>
    </row>
    <row r="67" spans="1:152" ht="13.8" x14ac:dyDescent="0.45">
      <c r="B67" s="128">
        <v>2033</v>
      </c>
      <c r="C67" s="1016">
        <v>2707.5228310502284</v>
      </c>
      <c r="D67" s="982">
        <v>3080.7329995652221</v>
      </c>
      <c r="E67" s="1017"/>
      <c r="F67" s="1077"/>
      <c r="G67" s="1109">
        <v>2506.46</v>
      </c>
      <c r="H67" s="1107"/>
      <c r="I67" s="1112"/>
      <c r="J67" s="207"/>
      <c r="K67" s="204"/>
      <c r="L67" s="206"/>
      <c r="M67" s="204"/>
      <c r="N67" s="29" t="s">
        <v>758</v>
      </c>
      <c r="P67" s="128"/>
      <c r="Q67" s="176" t="str">
        <f t="shared" si="16"/>
        <v/>
      </c>
      <c r="R67" s="29">
        <v>19</v>
      </c>
      <c r="S67" s="154">
        <f t="shared" si="0"/>
        <v>2506.46</v>
      </c>
      <c r="T67" s="154">
        <f t="shared" si="1"/>
        <v>3080.7329995652221</v>
      </c>
      <c r="U67" s="154">
        <f t="shared" si="2"/>
        <v>237.93126223591</v>
      </c>
      <c r="W67" s="154">
        <f t="shared" si="14"/>
        <v>2526.9740146359072</v>
      </c>
      <c r="X67" s="154">
        <f>IF(U67="",#N/A,IF($B$36=$A$62,(SUM(C67:E67)/COUNTIF(C67:E67,"&gt;0")),IF($B$36=$A$63,(SUM(F67:H67)/COUNTIF(F67:H67,"&gt;0")),IF($B$36=$A$64,(SUM(J67:K67)/COUNTIF(J67:K67,"&gt;0")),IF($B$36=$A$65,(SUM(L67:M67)/COUNTIF(L67:M67,"&gt;0")),(IF($B$36=$A$46,IF(C67="",#N/A,C67),IF($B$36=$A$47,IF(D67="",#N/A,D67),IF($B$36=$A$48,IF(E67="",#N/A,E67),IF($B$36=$A$49,IF(F67="",#N/A,F67),IF($B$36=$A$50,IF(G67="",#N/A,G67),IF($B$36=$A$51,IF(H67="",#N/A,H67),IF($B$36=$A$52,IF('Total MSW TAM Data_2021 Archive'!I67="",#N/A,'Total MSW TAM Data_2021 Archive'!I67),IF($B$36=$A$53,IF(J67="",#N/A,J67),IF($B$36=$A$54,IF(K67="",#N/A,K67),IF($B$36=$A$55,IF(L67="",#N/A,L67),IF($B$36=$A$56,IF(M67="",#N/A,M67),IF(U67="",#N/A,(SUM(C67:Q67)/COUNTIFS(C67:Q67,"&gt;0"))))))))))))))))))))</f>
        <v>2764.905276871817</v>
      </c>
      <c r="Y67" s="154">
        <f t="shared" si="3"/>
        <v>3002.8365391077268</v>
      </c>
      <c r="AA67" s="1133">
        <v>2526.9740146359072</v>
      </c>
      <c r="AB67" s="1133">
        <v>2764.905276871817</v>
      </c>
      <c r="AC67" s="1133">
        <v>3002.8365391077268</v>
      </c>
      <c r="AD67" s="89"/>
      <c r="AE67" s="89"/>
      <c r="AF67" s="89"/>
      <c r="AG67" s="89"/>
      <c r="AH67" s="89"/>
      <c r="AI67" s="89"/>
      <c r="AJ67" s="89"/>
      <c r="AK67" s="89"/>
      <c r="AL67" s="89"/>
      <c r="AM67" s="89"/>
      <c r="AN67" s="89"/>
      <c r="BR67" s="180">
        <v>2031</v>
      </c>
      <c r="BS67" s="22">
        <v>17</v>
      </c>
      <c r="BT67" s="181">
        <f t="shared" si="18"/>
        <v>761.63587914708035</v>
      </c>
      <c r="BU67" s="182">
        <f t="shared" si="19"/>
        <v>1889.8895206627167</v>
      </c>
      <c r="BV67" s="205">
        <f t="shared" si="20"/>
        <v>2651.5253998097969</v>
      </c>
      <c r="BY67" s="180">
        <v>2031</v>
      </c>
      <c r="BZ67" s="22">
        <v>17</v>
      </c>
      <c r="CA67" s="198">
        <f t="shared" ca="1" si="21"/>
        <v>-54.58296047650191</v>
      </c>
      <c r="CB67" s="198">
        <f t="shared" ca="1" si="22"/>
        <v>902.90942390979103</v>
      </c>
      <c r="CC67" s="186">
        <f t="shared" ca="1" si="32"/>
        <v>1836.2509020629714</v>
      </c>
      <c r="CD67" s="205">
        <f t="shared" ca="1" si="23"/>
        <v>2684.5773654962604</v>
      </c>
      <c r="CG67" s="180">
        <v>2031</v>
      </c>
      <c r="CH67" s="22">
        <v>17</v>
      </c>
      <c r="CI67" s="198">
        <f t="shared" ca="1" si="24"/>
        <v>56.589918000013739</v>
      </c>
      <c r="CJ67" s="198">
        <f t="shared" ca="1" si="25"/>
        <v>-274.28499506479062</v>
      </c>
      <c r="CK67" s="198">
        <f t="shared" ca="1" si="26"/>
        <v>1116.776235119532</v>
      </c>
      <c r="CL67" s="186">
        <f t="shared" ca="1" si="27"/>
        <v>1804.7780154472089</v>
      </c>
      <c r="CM67" s="205">
        <f t="shared" ca="1" si="28"/>
        <v>2703.8591735019641</v>
      </c>
      <c r="CP67" s="180">
        <v>2031</v>
      </c>
      <c r="CQ67" s="22">
        <v>17</v>
      </c>
      <c r="CR67" s="181">
        <f t="shared" ca="1" si="29"/>
        <v>1954.5573208474043</v>
      </c>
      <c r="CS67" s="182">
        <f t="shared" ca="1" si="30"/>
        <v>1.3201946360072612</v>
      </c>
      <c r="CT67" s="205">
        <f t="shared" ca="1" si="31"/>
        <v>2580.3960907514665</v>
      </c>
      <c r="CZ67" s="164" t="b">
        <f t="shared" si="4"/>
        <v>1</v>
      </c>
      <c r="DA67" s="165" t="b">
        <f t="shared" si="4"/>
        <v>1</v>
      </c>
      <c r="DB67" s="166" t="b">
        <f t="shared" si="4"/>
        <v>1</v>
      </c>
      <c r="DC67" s="164">
        <f t="shared" si="15"/>
        <v>19</v>
      </c>
      <c r="DD67" s="166">
        <f t="shared" si="5"/>
        <v>2526.9740146359072</v>
      </c>
      <c r="DE67" s="164">
        <f t="shared" si="6"/>
        <v>19</v>
      </c>
      <c r="DF67" s="166">
        <f t="shared" si="7"/>
        <v>2764.905276871817</v>
      </c>
      <c r="DG67" s="164">
        <f t="shared" si="8"/>
        <v>19</v>
      </c>
      <c r="DH67" s="166">
        <f t="shared" si="9"/>
        <v>3002.8365391077268</v>
      </c>
      <c r="DI67" s="164">
        <f>IFERROR(INDEX(DC$46:DC$94,_xlfn.AGGREGATE(15,6,(ROW(DC$46:DC$94)-ROW(DC$46)+1)/(DC$46:DC$94&lt;&gt;""),ROWS(DI$1:DI22))),"")</f>
        <v>19</v>
      </c>
      <c r="DJ67" s="165">
        <f>IFERROR(INDEX(DD$46:DD$94,_xlfn.AGGREGATE(15,6,(ROW(DD$46:DD$94)-ROW(DD$46)+1)/(DD$46:DD$94&lt;&gt;""),ROWS(DJ$1:DJ22))),"")</f>
        <v>2526.9740146359072</v>
      </c>
      <c r="DK67" s="166">
        <f t="shared" si="10"/>
        <v>67</v>
      </c>
      <c r="DL67" s="164">
        <f>IFERROR(INDEX(DE$46:DE$94,_xlfn.AGGREGATE(15,6,(ROW(DE$46:DE$94)-ROW(DE$46)+1)/(DE$46:DE$94&lt;&gt;""),ROWS(DL$1:DL22))),"")</f>
        <v>19</v>
      </c>
      <c r="DM67" s="165">
        <f>IFERROR(INDEX(DF$46:DF$94,_xlfn.AGGREGATE(15,6,(ROW(DF$46:DF$94)-ROW(DF$46)+1)/(DF$46:DF$94&lt;&gt;""),ROWS(DM$1:DM22))),"")</f>
        <v>2764.905276871817</v>
      </c>
      <c r="DN67" s="166">
        <f t="shared" si="11"/>
        <v>67</v>
      </c>
      <c r="DO67" s="164">
        <f>IFERROR(INDEX(DG$46:DG$94,_xlfn.AGGREGATE(15,6,(ROW(DG$46:DG$94)-ROW(DG$46)+1)/(DG$46:DG$94&lt;&gt;""),ROWS(DO$1:DO22))),"")</f>
        <v>19</v>
      </c>
      <c r="DP67" s="165">
        <f>IFERROR(INDEX(DH$46:DH$94,_xlfn.AGGREGATE(15,6,(ROW(DH$46:DH$94)-ROW(DH$46)+1)/(DH$46:DH$94&lt;&gt;""),ROWS(DP$1:DP22))),"")</f>
        <v>3002.8365391077268</v>
      </c>
      <c r="DQ67" s="166">
        <f t="shared" si="12"/>
        <v>67</v>
      </c>
      <c r="DV67" s="145">
        <v>2036</v>
      </c>
      <c r="DW67" s="146">
        <f t="shared" ca="1" si="13"/>
        <v>2913.3096275703583</v>
      </c>
      <c r="EU67" s="65"/>
      <c r="EV67" s="147"/>
    </row>
    <row r="68" spans="1:152" ht="13.8" x14ac:dyDescent="0.45">
      <c r="B68" s="128">
        <v>2034</v>
      </c>
      <c r="C68" s="1016">
        <v>2748.3789954337899</v>
      </c>
      <c r="D68" s="982">
        <v>3124.7817048359166</v>
      </c>
      <c r="E68" s="1017"/>
      <c r="F68" s="1077"/>
      <c r="G68" s="1109">
        <v>2555.38</v>
      </c>
      <c r="H68" s="1107"/>
      <c r="I68" s="1112"/>
      <c r="J68" s="207"/>
      <c r="K68" s="204"/>
      <c r="L68" s="206"/>
      <c r="M68" s="204"/>
      <c r="N68" s="29" t="s">
        <v>758</v>
      </c>
      <c r="P68" s="128"/>
      <c r="Q68" s="176" t="str">
        <f t="shared" si="16"/>
        <v/>
      </c>
      <c r="R68" s="29">
        <v>20</v>
      </c>
      <c r="S68" s="154">
        <f t="shared" si="0"/>
        <v>2555.38</v>
      </c>
      <c r="T68" s="154">
        <f t="shared" si="1"/>
        <v>3124.7817048359166</v>
      </c>
      <c r="U68" s="154">
        <f t="shared" si="2"/>
        <v>236.44259659323512</v>
      </c>
      <c r="W68" s="154">
        <f t="shared" si="14"/>
        <v>2573.0709701633336</v>
      </c>
      <c r="X68" s="154">
        <f>IF(U68="",#N/A,IF($B$36=$A$62,(SUM(C68:E68)/COUNTIF(C68:E68,"&gt;0")),IF($B$36=$A$63,(SUM(F68:H68)/COUNTIF(F68:H68,"&gt;0")),IF($B$36=$A$64,(SUM(J68:K68)/COUNTIF(J68:K68,"&gt;0")),IF($B$36=$A$65,(SUM(L68:M68)/COUNTIF(L68:M68,"&gt;0")),(IF($B$36=$A$46,IF(C68="",#N/A,C68),IF($B$36=$A$47,IF(D68="",#N/A,D68),IF($B$36=$A$48,IF(E68="",#N/A,E68),IF($B$36=$A$49,IF(F68="",#N/A,F68),IF($B$36=$A$50,IF(G68="",#N/A,G68),IF($B$36=$A$51,IF(H68="",#N/A,H68),IF($B$36=$A$52,IF('Total MSW TAM Data_2021 Archive'!I68="",#N/A,'Total MSW TAM Data_2021 Archive'!I68),IF($B$36=$A$53,IF(J68="",#N/A,J68),IF($B$36=$A$54,IF(K68="",#N/A,K68),IF($B$36=$A$55,IF(L68="",#N/A,L68),IF($B$36=$A$56,IF(M68="",#N/A,M68),IF(U68="",#N/A,(SUM(C68:Q68)/COUNTIFS(C68:Q68,"&gt;0"))))))))))))))))))))</f>
        <v>2809.5135667565687</v>
      </c>
      <c r="Y68" s="154">
        <f t="shared" si="3"/>
        <v>3045.9561633498038</v>
      </c>
      <c r="AA68" s="1133">
        <v>2573.0709701633336</v>
      </c>
      <c r="AB68" s="1133">
        <v>2809.5135667565687</v>
      </c>
      <c r="AC68" s="1133">
        <v>3045.9561633498038</v>
      </c>
      <c r="AD68" s="89"/>
      <c r="AE68" s="89"/>
      <c r="AF68" s="89"/>
      <c r="AG68" s="89"/>
      <c r="AH68" s="89"/>
      <c r="AI68" s="89"/>
      <c r="AJ68" s="89"/>
      <c r="AK68" s="89"/>
      <c r="AL68" s="89"/>
      <c r="AM68" s="89"/>
      <c r="AN68" s="89"/>
      <c r="BR68" s="180">
        <v>2032</v>
      </c>
      <c r="BS68" s="22">
        <v>18</v>
      </c>
      <c r="BT68" s="181">
        <f t="shared" si="18"/>
        <v>806.43798968514398</v>
      </c>
      <c r="BU68" s="182">
        <f t="shared" si="19"/>
        <v>1889.8895206627167</v>
      </c>
      <c r="BV68" s="205">
        <f t="shared" si="20"/>
        <v>2696.3275103478609</v>
      </c>
      <c r="BY68" s="180">
        <v>2032</v>
      </c>
      <c r="BZ68" s="22">
        <v>18</v>
      </c>
      <c r="CA68" s="198">
        <f t="shared" ca="1" si="21"/>
        <v>-61.193353613794528</v>
      </c>
      <c r="CB68" s="198">
        <f t="shared" ca="1" si="22"/>
        <v>956.02174296330816</v>
      </c>
      <c r="CC68" s="186">
        <f t="shared" ca="1" si="32"/>
        <v>1836.2509020629714</v>
      </c>
      <c r="CD68" s="205">
        <f t="shared" ca="1" si="23"/>
        <v>2731.079291412485</v>
      </c>
      <c r="CG68" s="180">
        <v>2032</v>
      </c>
      <c r="CH68" s="22">
        <v>18</v>
      </c>
      <c r="CI68" s="198">
        <f t="shared" ca="1" si="24"/>
        <v>67.175331116645665</v>
      </c>
      <c r="CJ68" s="198">
        <f t="shared" ca="1" si="25"/>
        <v>-307.50290104149542</v>
      </c>
      <c r="CK68" s="198">
        <f t="shared" ca="1" si="26"/>
        <v>1182.4689548324457</v>
      </c>
      <c r="CL68" s="186">
        <f t="shared" ca="1" si="27"/>
        <v>1804.7780154472089</v>
      </c>
      <c r="CM68" s="205">
        <f t="shared" ca="1" si="28"/>
        <v>2746.9194003548046</v>
      </c>
      <c r="CP68" s="180">
        <v>2032</v>
      </c>
      <c r="CQ68" s="22">
        <v>18</v>
      </c>
      <c r="CR68" s="181">
        <f t="shared" ca="1" si="29"/>
        <v>1954.5573208474043</v>
      </c>
      <c r="CS68" s="182">
        <f t="shared" ca="1" si="30"/>
        <v>1.3419437583643889</v>
      </c>
      <c r="CT68" s="205">
        <f t="shared" ca="1" si="31"/>
        <v>2622.9059970765966</v>
      </c>
      <c r="CZ68" s="164" t="b">
        <f t="shared" si="4"/>
        <v>1</v>
      </c>
      <c r="DA68" s="165" t="b">
        <f t="shared" si="4"/>
        <v>1</v>
      </c>
      <c r="DB68" s="166" t="b">
        <f t="shared" si="4"/>
        <v>1</v>
      </c>
      <c r="DC68" s="164">
        <f t="shared" si="15"/>
        <v>20</v>
      </c>
      <c r="DD68" s="166">
        <f t="shared" si="5"/>
        <v>2573.0709701633336</v>
      </c>
      <c r="DE68" s="164">
        <f t="shared" si="6"/>
        <v>20</v>
      </c>
      <c r="DF68" s="166">
        <f t="shared" si="7"/>
        <v>2809.5135667565687</v>
      </c>
      <c r="DG68" s="164">
        <f t="shared" si="8"/>
        <v>20</v>
      </c>
      <c r="DH68" s="166">
        <f t="shared" si="9"/>
        <v>3045.9561633498038</v>
      </c>
      <c r="DI68" s="164">
        <f>IFERROR(INDEX(DC$46:DC$94,_xlfn.AGGREGATE(15,6,(ROW(DC$46:DC$94)-ROW(DC$46)+1)/(DC$46:DC$94&lt;&gt;""),ROWS(DI$1:DI23))),"")</f>
        <v>20</v>
      </c>
      <c r="DJ68" s="165">
        <f>IFERROR(INDEX(DD$46:DD$94,_xlfn.AGGREGATE(15,6,(ROW(DD$46:DD$94)-ROW(DD$46)+1)/(DD$46:DD$94&lt;&gt;""),ROWS(DJ$1:DJ23))),"")</f>
        <v>2573.0709701633336</v>
      </c>
      <c r="DK68" s="166">
        <f t="shared" si="10"/>
        <v>68</v>
      </c>
      <c r="DL68" s="164">
        <f>IFERROR(INDEX(DE$46:DE$94,_xlfn.AGGREGATE(15,6,(ROW(DE$46:DE$94)-ROW(DE$46)+1)/(DE$46:DE$94&lt;&gt;""),ROWS(DL$1:DL23))),"")</f>
        <v>20</v>
      </c>
      <c r="DM68" s="165">
        <f>IFERROR(INDEX(DF$46:DF$94,_xlfn.AGGREGATE(15,6,(ROW(DF$46:DF$94)-ROW(DF$46)+1)/(DF$46:DF$94&lt;&gt;""),ROWS(DM$1:DM23))),"")</f>
        <v>2809.5135667565687</v>
      </c>
      <c r="DN68" s="166">
        <f t="shared" si="11"/>
        <v>68</v>
      </c>
      <c r="DO68" s="164">
        <f>IFERROR(INDEX(DG$46:DG$94,_xlfn.AGGREGATE(15,6,(ROW(DG$46:DG$94)-ROW(DG$46)+1)/(DG$46:DG$94&lt;&gt;""),ROWS(DO$1:DO23))),"")</f>
        <v>20</v>
      </c>
      <c r="DP68" s="165">
        <f>IFERROR(INDEX(DH$46:DH$94,_xlfn.AGGREGATE(15,6,(ROW(DH$46:DH$94)-ROW(DH$46)+1)/(DH$46:DH$94&lt;&gt;""),ROWS(DP$1:DP23))),"")</f>
        <v>3045.9561633498038</v>
      </c>
      <c r="DQ68" s="166">
        <f t="shared" si="12"/>
        <v>68</v>
      </c>
      <c r="DV68" s="145">
        <v>2037</v>
      </c>
      <c r="DW68" s="146">
        <f t="shared" ca="1" si="13"/>
        <v>2953.7900664400918</v>
      </c>
      <c r="EU68" s="65"/>
      <c r="EV68" s="147"/>
    </row>
    <row r="69" spans="1:152" ht="13.8" x14ac:dyDescent="0.45">
      <c r="B69" s="128">
        <v>2035</v>
      </c>
      <c r="C69" s="1016">
        <v>2789.2351598173518</v>
      </c>
      <c r="D69" s="982">
        <v>3168.6563383823504</v>
      </c>
      <c r="E69" s="1017"/>
      <c r="F69" s="1077"/>
      <c r="G69" s="1109">
        <v>2604.3000000000002</v>
      </c>
      <c r="H69" s="1107"/>
      <c r="I69" s="1112"/>
      <c r="J69" s="207"/>
      <c r="K69" s="204"/>
      <c r="L69" s="206"/>
      <c r="M69" s="204"/>
      <c r="N69" s="29" t="s">
        <v>758</v>
      </c>
      <c r="P69" s="128"/>
      <c r="Q69" s="176" t="str">
        <f t="shared" si="16"/>
        <v/>
      </c>
      <c r="R69" s="29">
        <v>21</v>
      </c>
      <c r="S69" s="154">
        <f t="shared" si="0"/>
        <v>2604.3000000000002</v>
      </c>
      <c r="T69" s="154">
        <f t="shared" si="1"/>
        <v>3168.6563383823504</v>
      </c>
      <c r="U69" s="154">
        <f t="shared" si="2"/>
        <v>234.91358239731377</v>
      </c>
      <c r="W69" s="154">
        <f t="shared" si="14"/>
        <v>2619.1502503359206</v>
      </c>
      <c r="X69" s="154">
        <f>IF(U69="",#N/A,IF($B$36=$A$62,(SUM(C69:E69)/COUNTIF(C69:E69,"&gt;0")),IF($B$36=$A$63,(SUM(F69:H69)/COUNTIF(F69:H69,"&gt;0")),IF($B$36=$A$64,(SUM(J69:K69)/COUNTIF(J69:K69,"&gt;0")),IF($B$36=$A$65,(SUM(L69:M69)/COUNTIF(L69:M69,"&gt;0")),(IF($B$36=$A$46,IF(C69="",#N/A,C69),IF($B$36=$A$47,IF(D69="",#N/A,D69),IF($B$36=$A$48,IF(E69="",#N/A,E69),IF($B$36=$A$49,IF(F69="",#N/A,F69),IF($B$36=$A$50,IF(G69="",#N/A,G69),IF($B$36=$A$51,IF(H69="",#N/A,H69),IF($B$36=$A$52,IF('Total MSW TAM Data_2021 Archive'!I69="",#N/A,'Total MSW TAM Data_2021 Archive'!I69),IF($B$36=$A$53,IF(J69="",#N/A,J69),IF($B$36=$A$54,IF(K69="",#N/A,K69),IF($B$36=$A$55,IF(L69="",#N/A,L69),IF($B$36=$A$56,IF(M69="",#N/A,M69),IF(U69="",#N/A,(SUM(C69:Q69)/COUNTIFS(C69:Q69,"&gt;0"))))))))))))))))))))</f>
        <v>2854.0638327332344</v>
      </c>
      <c r="Y69" s="154">
        <f t="shared" si="3"/>
        <v>3088.9774151305483</v>
      </c>
      <c r="AA69" s="1133">
        <v>2619.1502503359206</v>
      </c>
      <c r="AB69" s="1133">
        <v>2854.0638327332344</v>
      </c>
      <c r="AC69" s="1133">
        <v>3088.9774151305483</v>
      </c>
      <c r="AD69" s="89"/>
      <c r="AE69" s="89"/>
      <c r="AF69" s="89"/>
      <c r="AG69" s="89"/>
      <c r="AH69" s="89"/>
      <c r="AI69" s="89"/>
      <c r="AJ69" s="89"/>
      <c r="AK69" s="89"/>
      <c r="AL69" s="89"/>
      <c r="AM69" s="89"/>
      <c r="AN69" s="89"/>
      <c r="BR69" s="180">
        <v>2033</v>
      </c>
      <c r="BS69" s="22">
        <v>19</v>
      </c>
      <c r="BT69" s="181">
        <f t="shared" si="18"/>
        <v>851.24010022320749</v>
      </c>
      <c r="BU69" s="182">
        <f t="shared" si="19"/>
        <v>1889.8895206627167</v>
      </c>
      <c r="BV69" s="205">
        <f t="shared" si="20"/>
        <v>2741.1296208859239</v>
      </c>
      <c r="BY69" s="180">
        <v>2033</v>
      </c>
      <c r="BZ69" s="22">
        <v>19</v>
      </c>
      <c r="CA69" s="198">
        <f t="shared" ca="1" si="21"/>
        <v>-68.181483501789586</v>
      </c>
      <c r="CB69" s="198">
        <f t="shared" ca="1" si="22"/>
        <v>1009.1340620168253</v>
      </c>
      <c r="CC69" s="186">
        <f t="shared" ca="1" si="32"/>
        <v>1836.2509020629714</v>
      </c>
      <c r="CD69" s="205">
        <f t="shared" ca="1" si="23"/>
        <v>2777.2034805780072</v>
      </c>
      <c r="CG69" s="180">
        <v>2033</v>
      </c>
      <c r="CH69" s="22">
        <v>19</v>
      </c>
      <c r="CI69" s="198">
        <f t="shared" ca="1" si="24"/>
        <v>79.004731846548793</v>
      </c>
      <c r="CJ69" s="198">
        <f t="shared" ca="1" si="25"/>
        <v>-342.61897307401182</v>
      </c>
      <c r="CK69" s="198">
        <f t="shared" ca="1" si="26"/>
        <v>1248.1616745453591</v>
      </c>
      <c r="CL69" s="186">
        <f t="shared" ca="1" si="27"/>
        <v>1804.7780154472089</v>
      </c>
      <c r="CM69" s="205">
        <f t="shared" ca="1" si="28"/>
        <v>2789.3254487651047</v>
      </c>
      <c r="CP69" s="180">
        <v>2033</v>
      </c>
      <c r="CQ69" s="22">
        <v>19</v>
      </c>
      <c r="CR69" s="181">
        <f t="shared" ca="1" si="29"/>
        <v>1954.5573208474043</v>
      </c>
      <c r="CS69" s="182">
        <f t="shared" ca="1" si="30"/>
        <v>1.3640511796498749</v>
      </c>
      <c r="CT69" s="205">
        <f t="shared" ca="1" si="31"/>
        <v>2666.1162191952008</v>
      </c>
      <c r="CZ69" s="164" t="b">
        <f t="shared" si="4"/>
        <v>1</v>
      </c>
      <c r="DA69" s="165" t="b">
        <f t="shared" si="4"/>
        <v>1</v>
      </c>
      <c r="DB69" s="166" t="b">
        <f t="shared" si="4"/>
        <v>1</v>
      </c>
      <c r="DC69" s="164">
        <f t="shared" si="15"/>
        <v>21</v>
      </c>
      <c r="DD69" s="166">
        <f t="shared" si="5"/>
        <v>2619.1502503359206</v>
      </c>
      <c r="DE69" s="164">
        <f t="shared" si="6"/>
        <v>21</v>
      </c>
      <c r="DF69" s="166">
        <f t="shared" si="7"/>
        <v>2854.0638327332344</v>
      </c>
      <c r="DG69" s="164">
        <f t="shared" si="8"/>
        <v>21</v>
      </c>
      <c r="DH69" s="166">
        <f t="shared" si="9"/>
        <v>3088.9774151305483</v>
      </c>
      <c r="DI69" s="164">
        <f>IFERROR(INDEX(DC$46:DC$94,_xlfn.AGGREGATE(15,6,(ROW(DC$46:DC$94)-ROW(DC$46)+1)/(DC$46:DC$94&lt;&gt;""),ROWS(DI$1:DI24))),"")</f>
        <v>21</v>
      </c>
      <c r="DJ69" s="165">
        <f>IFERROR(INDEX(DD$46:DD$94,_xlfn.AGGREGATE(15,6,(ROW(DD$46:DD$94)-ROW(DD$46)+1)/(DD$46:DD$94&lt;&gt;""),ROWS(DJ$1:DJ24))),"")</f>
        <v>2619.1502503359206</v>
      </c>
      <c r="DK69" s="166">
        <f t="shared" si="10"/>
        <v>69</v>
      </c>
      <c r="DL69" s="164">
        <f>IFERROR(INDEX(DE$46:DE$94,_xlfn.AGGREGATE(15,6,(ROW(DE$46:DE$94)-ROW(DE$46)+1)/(DE$46:DE$94&lt;&gt;""),ROWS(DL$1:DL24))),"")</f>
        <v>21</v>
      </c>
      <c r="DM69" s="165">
        <f>IFERROR(INDEX(DF$46:DF$94,_xlfn.AGGREGATE(15,6,(ROW(DF$46:DF$94)-ROW(DF$46)+1)/(DF$46:DF$94&lt;&gt;""),ROWS(DM$1:DM24))),"")</f>
        <v>2854.0638327332344</v>
      </c>
      <c r="DN69" s="166">
        <f t="shared" si="11"/>
        <v>69</v>
      </c>
      <c r="DO69" s="164">
        <f>IFERROR(INDEX(DG$46:DG$94,_xlfn.AGGREGATE(15,6,(ROW(DG$46:DG$94)-ROW(DG$46)+1)/(DG$46:DG$94&lt;&gt;""),ROWS(DO$1:DO24))),"")</f>
        <v>21</v>
      </c>
      <c r="DP69" s="165">
        <f>IFERROR(INDEX(DH$46:DH$94,_xlfn.AGGREGATE(15,6,(ROW(DH$46:DH$94)-ROW(DH$46)+1)/(DH$46:DH$94&lt;&gt;""),ROWS(DP$1:DP24))),"")</f>
        <v>3088.9774151305483</v>
      </c>
      <c r="DQ69" s="166">
        <f t="shared" si="12"/>
        <v>69</v>
      </c>
      <c r="DV69" s="145">
        <v>2038</v>
      </c>
      <c r="DW69" s="146">
        <f t="shared" ca="1" si="13"/>
        <v>2993.9618789820825</v>
      </c>
      <c r="EU69" s="65"/>
      <c r="EV69" s="147"/>
    </row>
    <row r="70" spans="1:152" ht="13.8" x14ac:dyDescent="0.45">
      <c r="B70" s="128">
        <v>2036</v>
      </c>
      <c r="C70" s="1016">
        <v>2830.0913242009133</v>
      </c>
      <c r="D70" s="982">
        <v>3211.3073020777806</v>
      </c>
      <c r="E70" s="1017"/>
      <c r="F70" s="1077"/>
      <c r="G70" s="1109">
        <v>2653.08</v>
      </c>
      <c r="H70" s="1107"/>
      <c r="I70" s="1112"/>
      <c r="J70" s="207"/>
      <c r="K70" s="204"/>
      <c r="L70" s="206"/>
      <c r="M70" s="204"/>
      <c r="N70" s="29" t="s">
        <v>758</v>
      </c>
      <c r="P70" s="128"/>
      <c r="Q70" s="176" t="str">
        <f t="shared" si="16"/>
        <v/>
      </c>
      <c r="R70" s="29">
        <v>22</v>
      </c>
      <c r="S70" s="154">
        <f t="shared" si="0"/>
        <v>2653.08</v>
      </c>
      <c r="T70" s="154">
        <f t="shared" si="1"/>
        <v>3211.3073020777806</v>
      </c>
      <c r="U70" s="154">
        <f t="shared" si="2"/>
        <v>232.92257928548202</v>
      </c>
      <c r="W70" s="154">
        <f t="shared" si="14"/>
        <v>2665.2369628074166</v>
      </c>
      <c r="X70" s="154">
        <f>IF(U70="",#N/A,IF($B$36=$A$62,(SUM(C70:E70)/COUNTIF(C70:E70,"&gt;0")),IF($B$36=$A$63,(SUM(F70:H70)/COUNTIF(F70:H70,"&gt;0")),IF($B$36=$A$64,(SUM(J70:K70)/COUNTIF(J70:K70,"&gt;0")),IF($B$36=$A$65,(SUM(L70:M70)/COUNTIF(L70:M70,"&gt;0")),(IF($B$36=$A$46,IF(C70="",#N/A,C70),IF($B$36=$A$47,IF(D70="",#N/A,D70),IF($B$36=$A$48,IF(E70="",#N/A,E70),IF($B$36=$A$49,IF(F70="",#N/A,F70),IF($B$36=$A$50,IF(G70="",#N/A,G70),IF($B$36=$A$51,IF(H70="",#N/A,H70),IF($B$36=$A$52,IF('Total MSW TAM Data_2021 Archive'!I70="",#N/A,'Total MSW TAM Data_2021 Archive'!I70),IF($B$36=$A$53,IF(J70="",#N/A,J70),IF($B$36=$A$54,IF(K70="",#N/A,K70),IF($B$36=$A$55,IF(L70="",#N/A,L70),IF($B$36=$A$56,IF(M70="",#N/A,M70),IF(U70="",#N/A,(SUM(C70:Q70)/COUNTIFS(C70:Q70,"&gt;0"))))))))))))))))))))</f>
        <v>2898.1595420928984</v>
      </c>
      <c r="Y70" s="154">
        <f t="shared" si="3"/>
        <v>3131.0821213783802</v>
      </c>
      <c r="AA70" s="1133">
        <v>2665.2369628074166</v>
      </c>
      <c r="AB70" s="1133">
        <v>2898.1595420928984</v>
      </c>
      <c r="AC70" s="1133">
        <v>3131.0821213783802</v>
      </c>
      <c r="AD70" s="89"/>
      <c r="AE70" s="89"/>
      <c r="AF70" s="89"/>
      <c r="AG70" s="89"/>
      <c r="AH70" s="89"/>
      <c r="AI70" s="89"/>
      <c r="AJ70" s="89"/>
      <c r="AK70" s="89"/>
      <c r="AL70" s="89"/>
      <c r="AM70" s="89"/>
      <c r="AN70" s="89"/>
      <c r="BR70" s="180">
        <v>2034</v>
      </c>
      <c r="BS70" s="22">
        <v>20</v>
      </c>
      <c r="BT70" s="181">
        <f t="shared" si="18"/>
        <v>896.04221076127101</v>
      </c>
      <c r="BU70" s="182">
        <f t="shared" si="19"/>
        <v>1889.8895206627167</v>
      </c>
      <c r="BV70" s="205">
        <f t="shared" si="20"/>
        <v>2785.9317314239879</v>
      </c>
      <c r="BY70" s="180">
        <v>2034</v>
      </c>
      <c r="BZ70" s="22">
        <v>20</v>
      </c>
      <c r="CA70" s="198">
        <f t="shared" ca="1" si="21"/>
        <v>-75.547350140487069</v>
      </c>
      <c r="CB70" s="198">
        <f t="shared" ca="1" si="22"/>
        <v>1062.2463810703423</v>
      </c>
      <c r="CC70" s="186">
        <f t="shared" ca="1" si="32"/>
        <v>1836.2509020629714</v>
      </c>
      <c r="CD70" s="205">
        <f t="shared" ca="1" si="23"/>
        <v>2822.9499329928267</v>
      </c>
      <c r="CG70" s="180">
        <v>2034</v>
      </c>
      <c r="CH70" s="22">
        <v>20</v>
      </c>
      <c r="CI70" s="198">
        <f t="shared" ca="1" si="24"/>
        <v>92.147230612682662</v>
      </c>
      <c r="CJ70" s="198">
        <f t="shared" ca="1" si="25"/>
        <v>-379.63321116233999</v>
      </c>
      <c r="CK70" s="198">
        <f t="shared" ca="1" si="26"/>
        <v>1313.8543942582728</v>
      </c>
      <c r="CL70" s="186">
        <f t="shared" ca="1" si="27"/>
        <v>1804.7780154472089</v>
      </c>
      <c r="CM70" s="205">
        <f t="shared" ca="1" si="28"/>
        <v>2831.1464291558241</v>
      </c>
      <c r="CP70" s="180">
        <v>2034</v>
      </c>
      <c r="CQ70" s="22">
        <v>20</v>
      </c>
      <c r="CR70" s="181">
        <f t="shared" ca="1" si="29"/>
        <v>1954.5573208474043</v>
      </c>
      <c r="CS70" s="182">
        <f t="shared" ca="1" si="30"/>
        <v>1.3865228025442937</v>
      </c>
      <c r="CT70" s="205">
        <f t="shared" ca="1" si="31"/>
        <v>2710.0382942348092</v>
      </c>
      <c r="CZ70" s="164" t="b">
        <f t="shared" si="4"/>
        <v>1</v>
      </c>
      <c r="DA70" s="165" t="b">
        <f t="shared" si="4"/>
        <v>1</v>
      </c>
      <c r="DB70" s="166" t="b">
        <f t="shared" si="4"/>
        <v>1</v>
      </c>
      <c r="DC70" s="164">
        <f t="shared" si="15"/>
        <v>22</v>
      </c>
      <c r="DD70" s="166">
        <f t="shared" si="5"/>
        <v>2665.2369628074166</v>
      </c>
      <c r="DE70" s="164">
        <f t="shared" si="6"/>
        <v>22</v>
      </c>
      <c r="DF70" s="166">
        <f t="shared" si="7"/>
        <v>2898.1595420928984</v>
      </c>
      <c r="DG70" s="164">
        <f t="shared" si="8"/>
        <v>22</v>
      </c>
      <c r="DH70" s="166">
        <f t="shared" si="9"/>
        <v>3131.0821213783802</v>
      </c>
      <c r="DI70" s="164">
        <f>IFERROR(INDEX(DC$46:DC$94,_xlfn.AGGREGATE(15,6,(ROW(DC$46:DC$94)-ROW(DC$46)+1)/(DC$46:DC$94&lt;&gt;""),ROWS(DI$1:DI25))),"")</f>
        <v>22</v>
      </c>
      <c r="DJ70" s="165">
        <f>IFERROR(INDEX(DD$46:DD$94,_xlfn.AGGREGATE(15,6,(ROW(DD$46:DD$94)-ROW(DD$46)+1)/(DD$46:DD$94&lt;&gt;""),ROWS(DJ$1:DJ25))),"")</f>
        <v>2665.2369628074166</v>
      </c>
      <c r="DK70" s="166">
        <f t="shared" si="10"/>
        <v>70</v>
      </c>
      <c r="DL70" s="164">
        <f>IFERROR(INDEX(DE$46:DE$94,_xlfn.AGGREGATE(15,6,(ROW(DE$46:DE$94)-ROW(DE$46)+1)/(DE$46:DE$94&lt;&gt;""),ROWS(DL$1:DL25))),"")</f>
        <v>22</v>
      </c>
      <c r="DM70" s="165">
        <f>IFERROR(INDEX(DF$46:DF$94,_xlfn.AGGREGATE(15,6,(ROW(DF$46:DF$94)-ROW(DF$46)+1)/(DF$46:DF$94&lt;&gt;""),ROWS(DM$1:DM25))),"")</f>
        <v>2898.1595420928984</v>
      </c>
      <c r="DN70" s="166">
        <f t="shared" si="11"/>
        <v>70</v>
      </c>
      <c r="DO70" s="164">
        <f>IFERROR(INDEX(DG$46:DG$94,_xlfn.AGGREGATE(15,6,(ROW(DG$46:DG$94)-ROW(DG$46)+1)/(DG$46:DG$94&lt;&gt;""),ROWS(DO$1:DO25))),"")</f>
        <v>22</v>
      </c>
      <c r="DP70" s="165">
        <f>IFERROR(INDEX(DH$46:DH$94,_xlfn.AGGREGATE(15,6,(ROW(DH$46:DH$94)-ROW(DH$46)+1)/(DH$46:DH$94&lt;&gt;""),ROWS(DP$1:DP25))),"")</f>
        <v>3131.0821213783802</v>
      </c>
      <c r="DQ70" s="166">
        <f t="shared" si="12"/>
        <v>70</v>
      </c>
      <c r="DV70" s="145">
        <v>2039</v>
      </c>
      <c r="DW70" s="146">
        <f t="shared" ca="1" si="13"/>
        <v>3033.8941756192894</v>
      </c>
      <c r="EU70" s="65"/>
      <c r="EV70" s="147"/>
    </row>
    <row r="71" spans="1:152" ht="13.8" x14ac:dyDescent="0.45">
      <c r="B71" s="128">
        <v>2037</v>
      </c>
      <c r="C71" s="1016">
        <v>2870.9474885844747</v>
      </c>
      <c r="D71" s="982">
        <v>3253.8844575884582</v>
      </c>
      <c r="E71" s="1017"/>
      <c r="F71" s="1077"/>
      <c r="G71" s="1109">
        <v>2701.86</v>
      </c>
      <c r="H71" s="1107"/>
      <c r="I71" s="1112"/>
      <c r="J71" s="207"/>
      <c r="K71" s="204"/>
      <c r="L71" s="206"/>
      <c r="M71" s="204"/>
      <c r="N71" s="29" t="s">
        <v>758</v>
      </c>
      <c r="P71" s="128"/>
      <c r="Q71" s="176" t="str">
        <f t="shared" si="16"/>
        <v/>
      </c>
      <c r="R71" s="29">
        <v>23</v>
      </c>
      <c r="S71" s="154">
        <f t="shared" si="0"/>
        <v>2701.86</v>
      </c>
      <c r="T71" s="154">
        <f t="shared" si="1"/>
        <v>3253.8844575884582</v>
      </c>
      <c r="U71" s="154">
        <f t="shared" si="2"/>
        <v>230.93103896127226</v>
      </c>
      <c r="W71" s="154">
        <f t="shared" si="14"/>
        <v>2711.2996097630389</v>
      </c>
      <c r="X71" s="154">
        <f>IF(U71="",#N/A,IF($B$36=$A$62,(SUM(C71:E71)/COUNTIF(C71:E71,"&gt;0")),IF($B$36=$A$63,(SUM(F71:H71)/COUNTIF(F71:H71,"&gt;0")),IF($B$36=$A$64,(SUM(J71:K71)/COUNTIF(J71:K71,"&gt;0")),IF($B$36=$A$65,(SUM(L71:M71)/COUNTIF(L71:M71,"&gt;0")),(IF($B$36=$A$46,IF(C71="",#N/A,C71),IF($B$36=$A$47,IF(D71="",#N/A,D71),IF($B$36=$A$48,IF(E71="",#N/A,E71),IF($B$36=$A$49,IF(F71="",#N/A,F71),IF($B$36=$A$50,IF(G71="",#N/A,G71),IF($B$36=$A$51,IF(H71="",#N/A,H71),IF($B$36=$A$52,IF('Total MSW TAM Data_2021 Archive'!I71="",#N/A,'Total MSW TAM Data_2021 Archive'!I71),IF($B$36=$A$53,IF(J71="",#N/A,J71),IF($B$36=$A$54,IF(K71="",#N/A,K71),IF($B$36=$A$55,IF(L71="",#N/A,L71),IF($B$36=$A$56,IF(M71="",#N/A,M71),IF(U71="",#N/A,(SUM(C71:Q71)/COUNTIFS(C71:Q71,"&gt;0"))))))))))))))))))))</f>
        <v>2942.2306487243113</v>
      </c>
      <c r="Y71" s="154">
        <f t="shared" si="3"/>
        <v>3173.1616876855837</v>
      </c>
      <c r="AA71" s="1133">
        <v>2711.2996097630389</v>
      </c>
      <c r="AB71" s="1133">
        <v>2942.2306487243113</v>
      </c>
      <c r="AC71" s="1133">
        <v>3173.1616876855837</v>
      </c>
      <c r="AD71" s="89"/>
      <c r="AE71" s="89"/>
      <c r="AF71" s="89"/>
      <c r="AG71" s="89"/>
      <c r="AH71" s="89"/>
      <c r="AI71" s="89"/>
      <c r="AJ71" s="89"/>
      <c r="AK71" s="89"/>
      <c r="AL71" s="89"/>
      <c r="AM71" s="89"/>
      <c r="AN71" s="89"/>
      <c r="BR71" s="180">
        <v>2035</v>
      </c>
      <c r="BS71" s="22">
        <v>21</v>
      </c>
      <c r="BT71" s="181">
        <f t="shared" si="18"/>
        <v>940.84432129933464</v>
      </c>
      <c r="BU71" s="182">
        <f t="shared" si="19"/>
        <v>1889.8895206627167</v>
      </c>
      <c r="BV71" s="205">
        <f t="shared" si="20"/>
        <v>2830.7338419620514</v>
      </c>
      <c r="BY71" s="180">
        <v>2035</v>
      </c>
      <c r="BZ71" s="22">
        <v>21</v>
      </c>
      <c r="CA71" s="198">
        <f t="shared" ca="1" si="21"/>
        <v>-83.290953529886991</v>
      </c>
      <c r="CB71" s="198">
        <f t="shared" ca="1" si="22"/>
        <v>1115.3587001238595</v>
      </c>
      <c r="CC71" s="186">
        <f t="shared" ca="1" si="32"/>
        <v>1836.2509020629714</v>
      </c>
      <c r="CD71" s="205">
        <f t="shared" ca="1" si="23"/>
        <v>2868.3186486569439</v>
      </c>
      <c r="CG71" s="180">
        <v>2035</v>
      </c>
      <c r="CH71" s="22">
        <v>21</v>
      </c>
      <c r="CI71" s="198">
        <f t="shared" ca="1" si="24"/>
        <v>106.67193783800677</v>
      </c>
      <c r="CJ71" s="198">
        <f t="shared" ca="1" si="25"/>
        <v>-418.54561530647982</v>
      </c>
      <c r="CK71" s="198">
        <f t="shared" ca="1" si="26"/>
        <v>1379.5471139711865</v>
      </c>
      <c r="CL71" s="186">
        <f t="shared" ca="1" si="27"/>
        <v>1804.7780154472089</v>
      </c>
      <c r="CM71" s="205">
        <f t="shared" ca="1" si="28"/>
        <v>2872.4514519499226</v>
      </c>
      <c r="CP71" s="180">
        <v>2035</v>
      </c>
      <c r="CQ71" s="22">
        <v>21</v>
      </c>
      <c r="CR71" s="181">
        <f t="shared" ca="1" si="29"/>
        <v>1954.5573208474043</v>
      </c>
      <c r="CS71" s="182">
        <f t="shared" ca="1" si="30"/>
        <v>1.4093646269700355</v>
      </c>
      <c r="CT71" s="205">
        <f t="shared" ca="1" si="31"/>
        <v>2754.6839493876541</v>
      </c>
      <c r="CZ71" s="164" t="b">
        <f t="shared" si="4"/>
        <v>1</v>
      </c>
      <c r="DA71" s="165" t="b">
        <f t="shared" si="4"/>
        <v>1</v>
      </c>
      <c r="DB71" s="166" t="b">
        <f t="shared" si="4"/>
        <v>1</v>
      </c>
      <c r="DC71" s="164">
        <f t="shared" si="15"/>
        <v>23</v>
      </c>
      <c r="DD71" s="166">
        <f t="shared" si="5"/>
        <v>2711.2996097630389</v>
      </c>
      <c r="DE71" s="164">
        <f t="shared" si="6"/>
        <v>23</v>
      </c>
      <c r="DF71" s="166">
        <f t="shared" si="7"/>
        <v>2942.2306487243113</v>
      </c>
      <c r="DG71" s="164">
        <f t="shared" si="8"/>
        <v>23</v>
      </c>
      <c r="DH71" s="166">
        <f t="shared" si="9"/>
        <v>3173.1616876855837</v>
      </c>
      <c r="DI71" s="164">
        <f>IFERROR(INDEX(DC$46:DC$94,_xlfn.AGGREGATE(15,6,(ROW(DC$46:DC$94)-ROW(DC$46)+1)/(DC$46:DC$94&lt;&gt;""),ROWS(DI$1:DI26))),"")</f>
        <v>23</v>
      </c>
      <c r="DJ71" s="165">
        <f>IFERROR(INDEX(DD$46:DD$94,_xlfn.AGGREGATE(15,6,(ROW(DD$46:DD$94)-ROW(DD$46)+1)/(DD$46:DD$94&lt;&gt;""),ROWS(DJ$1:DJ26))),"")</f>
        <v>2711.2996097630389</v>
      </c>
      <c r="DK71" s="166">
        <f t="shared" si="10"/>
        <v>71</v>
      </c>
      <c r="DL71" s="164">
        <f>IFERROR(INDEX(DE$46:DE$94,_xlfn.AGGREGATE(15,6,(ROW(DE$46:DE$94)-ROW(DE$46)+1)/(DE$46:DE$94&lt;&gt;""),ROWS(DL$1:DL26))),"")</f>
        <v>23</v>
      </c>
      <c r="DM71" s="165">
        <f>IFERROR(INDEX(DF$46:DF$94,_xlfn.AGGREGATE(15,6,(ROW(DF$46:DF$94)-ROW(DF$46)+1)/(DF$46:DF$94&lt;&gt;""),ROWS(DM$1:DM26))),"")</f>
        <v>2942.2306487243113</v>
      </c>
      <c r="DN71" s="166">
        <f t="shared" si="11"/>
        <v>71</v>
      </c>
      <c r="DO71" s="164">
        <f>IFERROR(INDEX(DG$46:DG$94,_xlfn.AGGREGATE(15,6,(ROW(DG$46:DG$94)-ROW(DG$46)+1)/(DG$46:DG$94&lt;&gt;""),ROWS(DO$1:DO26))),"")</f>
        <v>23</v>
      </c>
      <c r="DP71" s="165">
        <f>IFERROR(INDEX(DH$46:DH$94,_xlfn.AGGREGATE(15,6,(ROW(DH$46:DH$94)-ROW(DH$46)+1)/(DH$46:DH$94&lt;&gt;""),ROWS(DP$1:DP26))),"")</f>
        <v>3173.1616876855837</v>
      </c>
      <c r="DQ71" s="166">
        <f t="shared" si="12"/>
        <v>71</v>
      </c>
      <c r="DV71" s="145">
        <v>2040</v>
      </c>
      <c r="DW71" s="146">
        <f t="shared" ca="1" si="13"/>
        <v>3073.6560667746726</v>
      </c>
      <c r="EU71" s="65"/>
      <c r="EV71" s="147"/>
    </row>
    <row r="72" spans="1:152" ht="13.8" x14ac:dyDescent="0.45">
      <c r="B72" s="128">
        <v>2038</v>
      </c>
      <c r="C72" s="1016">
        <v>2911.8036529680367</v>
      </c>
      <c r="D72" s="982">
        <v>3296.0788634214973</v>
      </c>
      <c r="E72" s="1017"/>
      <c r="F72" s="1077"/>
      <c r="G72" s="1109">
        <v>2750.6400000000003</v>
      </c>
      <c r="H72" s="1107"/>
      <c r="I72" s="1112"/>
      <c r="J72" s="207"/>
      <c r="K72" s="204"/>
      <c r="L72" s="206"/>
      <c r="M72" s="204"/>
      <c r="N72" s="29" t="s">
        <v>758</v>
      </c>
      <c r="P72" s="128"/>
      <c r="Q72" s="176" t="str">
        <f t="shared" si="16"/>
        <v/>
      </c>
      <c r="R72" s="29">
        <v>24</v>
      </c>
      <c r="S72" s="154">
        <f t="shared" si="0"/>
        <v>2750.6400000000003</v>
      </c>
      <c r="T72" s="154">
        <f t="shared" si="1"/>
        <v>3296.0788634214973</v>
      </c>
      <c r="U72" s="154">
        <f t="shared" si="2"/>
        <v>228.79994030146551</v>
      </c>
      <c r="W72" s="154">
        <f t="shared" si="14"/>
        <v>2757.3742318283789</v>
      </c>
      <c r="X72" s="154">
        <f>IF(U72="",#N/A,IF($B$36=$A$62,(SUM(C72:E72)/COUNTIF(C72:E72,"&gt;0")),IF($B$36=$A$63,(SUM(F72:H72)/COUNTIF(F72:H72,"&gt;0")),IF($B$36=$A$64,(SUM(J72:K72)/COUNTIF(J72:K72,"&gt;0")),IF($B$36=$A$65,(SUM(L72:M72)/COUNTIF(L72:M72,"&gt;0")),(IF($B$36=$A$46,IF(C72="",#N/A,C72),IF($B$36=$A$47,IF(D72="",#N/A,D72),IF($B$36=$A$48,IF(E72="",#N/A,E72),IF($B$36=$A$49,IF(F72="",#N/A,F72),IF($B$36=$A$50,IF(G72="",#N/A,G72),IF($B$36=$A$51,IF(H72="",#N/A,H72),IF($B$36=$A$52,IF('Total MSW TAM Data_2021 Archive'!I72="",#N/A,'Total MSW TAM Data_2021 Archive'!I72),IF($B$36=$A$53,IF(J72="",#N/A,J72),IF($B$36=$A$54,IF(K72="",#N/A,K72),IF($B$36=$A$55,IF(L72="",#N/A,L72),IF($B$36=$A$56,IF(M72="",#N/A,M72),IF(U72="",#N/A,(SUM(C72:Q72)/COUNTIFS(C72:Q72,"&gt;0"))))))))))))))))))))</f>
        <v>2986.1741721298445</v>
      </c>
      <c r="Y72" s="154">
        <f t="shared" si="3"/>
        <v>3214.97411243131</v>
      </c>
      <c r="AA72" s="1133">
        <v>2757.3742318283789</v>
      </c>
      <c r="AB72" s="1133">
        <v>2986.1741721298445</v>
      </c>
      <c r="AC72" s="1133">
        <v>3214.97411243131</v>
      </c>
      <c r="AD72" s="89"/>
      <c r="AE72" s="89"/>
      <c r="AF72" s="89"/>
      <c r="AG72" s="89"/>
      <c r="AH72" s="89"/>
      <c r="AI72" s="89"/>
      <c r="AJ72" s="89"/>
      <c r="AK72" s="89"/>
      <c r="AL72" s="89"/>
      <c r="AM72" s="89"/>
      <c r="AN72" s="89"/>
      <c r="BR72" s="180">
        <v>2036</v>
      </c>
      <c r="BS72" s="22">
        <v>22</v>
      </c>
      <c r="BT72" s="181">
        <f t="shared" si="18"/>
        <v>985.64643183739815</v>
      </c>
      <c r="BU72" s="182">
        <f t="shared" si="19"/>
        <v>1889.8895206627167</v>
      </c>
      <c r="BV72" s="205">
        <f t="shared" si="20"/>
        <v>2875.5359525001149</v>
      </c>
      <c r="BY72" s="180">
        <v>2036</v>
      </c>
      <c r="BZ72" s="22">
        <v>22</v>
      </c>
      <c r="CA72" s="198">
        <f t="shared" ca="1" si="21"/>
        <v>-91.412293669989353</v>
      </c>
      <c r="CB72" s="198">
        <f t="shared" ca="1" si="22"/>
        <v>1168.4710191773765</v>
      </c>
      <c r="CC72" s="186">
        <f t="shared" ca="1" si="32"/>
        <v>1836.2509020629714</v>
      </c>
      <c r="CD72" s="205">
        <f t="shared" ca="1" si="23"/>
        <v>2913.3096275703583</v>
      </c>
      <c r="CG72" s="180">
        <v>2036</v>
      </c>
      <c r="CH72" s="22">
        <v>22</v>
      </c>
      <c r="CI72" s="198">
        <f t="shared" ca="1" si="24"/>
        <v>122.64796394548063</v>
      </c>
      <c r="CJ72" s="198">
        <f t="shared" ca="1" si="25"/>
        <v>-459.35618550643142</v>
      </c>
      <c r="CK72" s="198">
        <f t="shared" ca="1" si="26"/>
        <v>1445.2398336841002</v>
      </c>
      <c r="CL72" s="186">
        <f t="shared" ca="1" si="27"/>
        <v>1804.7780154472089</v>
      </c>
      <c r="CM72" s="205">
        <f t="shared" ca="1" si="28"/>
        <v>2913.3096275703583</v>
      </c>
      <c r="CP72" s="180">
        <v>2036</v>
      </c>
      <c r="CQ72" s="22">
        <v>22</v>
      </c>
      <c r="CR72" s="181">
        <f t="shared" ca="1" si="29"/>
        <v>1954.5573208474043</v>
      </c>
      <c r="CS72" s="182">
        <f t="shared" ca="1" si="30"/>
        <v>1.4325827516932832</v>
      </c>
      <c r="CT72" s="205">
        <f t="shared" ca="1" si="31"/>
        <v>2800.065105041826</v>
      </c>
      <c r="CZ72" s="164" t="b">
        <f t="shared" si="4"/>
        <v>1</v>
      </c>
      <c r="DA72" s="165" t="b">
        <f t="shared" si="4"/>
        <v>1</v>
      </c>
      <c r="DB72" s="166" t="b">
        <f t="shared" si="4"/>
        <v>1</v>
      </c>
      <c r="DC72" s="164">
        <f t="shared" si="15"/>
        <v>24</v>
      </c>
      <c r="DD72" s="166">
        <f t="shared" si="5"/>
        <v>2757.3742318283789</v>
      </c>
      <c r="DE72" s="164">
        <f t="shared" si="6"/>
        <v>24</v>
      </c>
      <c r="DF72" s="166">
        <f t="shared" si="7"/>
        <v>2986.1741721298445</v>
      </c>
      <c r="DG72" s="164">
        <f t="shared" si="8"/>
        <v>24</v>
      </c>
      <c r="DH72" s="166">
        <f t="shared" si="9"/>
        <v>3214.97411243131</v>
      </c>
      <c r="DI72" s="164">
        <f>IFERROR(INDEX(DC$46:DC$94,_xlfn.AGGREGATE(15,6,(ROW(DC$46:DC$94)-ROW(DC$46)+1)/(DC$46:DC$94&lt;&gt;""),ROWS(DI$1:DI27))),"")</f>
        <v>24</v>
      </c>
      <c r="DJ72" s="165">
        <f>IFERROR(INDEX(DD$46:DD$94,_xlfn.AGGREGATE(15,6,(ROW(DD$46:DD$94)-ROW(DD$46)+1)/(DD$46:DD$94&lt;&gt;""),ROWS(DJ$1:DJ27))),"")</f>
        <v>2757.3742318283789</v>
      </c>
      <c r="DK72" s="166">
        <f t="shared" si="10"/>
        <v>72</v>
      </c>
      <c r="DL72" s="164">
        <f>IFERROR(INDEX(DE$46:DE$94,_xlfn.AGGREGATE(15,6,(ROW(DE$46:DE$94)-ROW(DE$46)+1)/(DE$46:DE$94&lt;&gt;""),ROWS(DL$1:DL27))),"")</f>
        <v>24</v>
      </c>
      <c r="DM72" s="165">
        <f>IFERROR(INDEX(DF$46:DF$94,_xlfn.AGGREGATE(15,6,(ROW(DF$46:DF$94)-ROW(DF$46)+1)/(DF$46:DF$94&lt;&gt;""),ROWS(DM$1:DM27))),"")</f>
        <v>2986.1741721298445</v>
      </c>
      <c r="DN72" s="166">
        <f t="shared" si="11"/>
        <v>72</v>
      </c>
      <c r="DO72" s="164">
        <f>IFERROR(INDEX(DG$46:DG$94,_xlfn.AGGREGATE(15,6,(ROW(DG$46:DG$94)-ROW(DG$46)+1)/(DG$46:DG$94&lt;&gt;""),ROWS(DO$1:DO27))),"")</f>
        <v>24</v>
      </c>
      <c r="DP72" s="165">
        <f>IFERROR(INDEX(DH$46:DH$94,_xlfn.AGGREGATE(15,6,(ROW(DH$46:DH$94)-ROW(DH$46)+1)/(DH$46:DH$94&lt;&gt;""),ROWS(DP$1:DP27))),"")</f>
        <v>3214.97411243131</v>
      </c>
      <c r="DQ72" s="166">
        <f t="shared" si="12"/>
        <v>72</v>
      </c>
      <c r="DV72" s="145">
        <v>2041</v>
      </c>
      <c r="DW72" s="146">
        <f t="shared" ca="1" si="13"/>
        <v>3113.3166628711915</v>
      </c>
      <c r="EU72" s="65"/>
      <c r="EV72" s="147"/>
    </row>
    <row r="73" spans="1:152" ht="13.8" x14ac:dyDescent="0.45">
      <c r="B73" s="128">
        <v>2039</v>
      </c>
      <c r="C73" s="1016">
        <v>2952.6598173515981</v>
      </c>
      <c r="D73" s="982">
        <v>3337.9516624658163</v>
      </c>
      <c r="E73" s="1017"/>
      <c r="F73" s="1077"/>
      <c r="G73" s="1109">
        <v>2799.42</v>
      </c>
      <c r="H73" s="1107"/>
      <c r="I73" s="1112"/>
      <c r="J73" s="207"/>
      <c r="K73" s="204"/>
      <c r="L73" s="206"/>
      <c r="M73" s="204"/>
      <c r="N73" s="29" t="s">
        <v>758</v>
      </c>
      <c r="P73" s="128"/>
      <c r="Q73" s="176" t="str">
        <f t="shared" si="16"/>
        <v/>
      </c>
      <c r="R73" s="29">
        <v>25</v>
      </c>
      <c r="S73" s="154">
        <f t="shared" si="0"/>
        <v>2799.42</v>
      </c>
      <c r="T73" s="154">
        <f t="shared" si="1"/>
        <v>3337.9516624658163</v>
      </c>
      <c r="U73" s="154">
        <f t="shared" si="2"/>
        <v>226.5560021548917</v>
      </c>
      <c r="W73" s="154">
        <f t="shared" si="14"/>
        <v>2803.4544911175799</v>
      </c>
      <c r="X73" s="154">
        <f>IF(U73="",#N/A,IF($B$36=$A$62,(SUM(C73:E73)/COUNTIF(C73:E73,"&gt;0")),IF($B$36=$A$63,(SUM(F73:H73)/COUNTIF(F73:H73,"&gt;0")),IF($B$36=$A$64,(SUM(J73:K73)/COUNTIF(J73:K73,"&gt;0")),IF($B$36=$A$65,(SUM(L73:M73)/COUNTIF(L73:M73,"&gt;0")),(IF($B$36=$A$46,IF(C73="",#N/A,C73),IF($B$36=$A$47,IF(D73="",#N/A,D73),IF($B$36=$A$48,IF(E73="",#N/A,E73),IF($B$36=$A$49,IF(F73="",#N/A,F73),IF($B$36=$A$50,IF(G73="",#N/A,G73),IF($B$36=$A$51,IF(H73="",#N/A,H73),IF($B$36=$A$52,IF('Total MSW TAM Data_2021 Archive'!I73="",#N/A,'Total MSW TAM Data_2021 Archive'!I73),IF($B$36=$A$53,IF(J73="",#N/A,J73),IF($B$36=$A$54,IF(K73="",#N/A,K73),IF($B$36=$A$55,IF(L73="",#N/A,L73),IF($B$36=$A$56,IF(M73="",#N/A,M73),IF(U73="",#N/A,(SUM(C73:Q73)/COUNTIFS(C73:Q73,"&gt;0"))))))))))))))))))))</f>
        <v>3030.0104932724716</v>
      </c>
      <c r="Y73" s="154">
        <f t="shared" si="3"/>
        <v>3256.5664954273634</v>
      </c>
      <c r="AA73" s="1133">
        <v>2803.4544911175799</v>
      </c>
      <c r="AB73" s="1133">
        <v>3030.0104932724716</v>
      </c>
      <c r="AC73" s="1133">
        <v>3256.5664954273634</v>
      </c>
      <c r="AD73" s="89"/>
      <c r="AE73" s="89"/>
      <c r="AF73" s="89"/>
      <c r="AG73" s="89"/>
      <c r="AH73" s="89"/>
      <c r="AI73" s="89"/>
      <c r="AJ73" s="89"/>
      <c r="AK73" s="89"/>
      <c r="AL73" s="89"/>
      <c r="AM73" s="89"/>
      <c r="AN73" s="89"/>
      <c r="BR73" s="180">
        <v>2037</v>
      </c>
      <c r="BS73" s="22">
        <v>23</v>
      </c>
      <c r="BT73" s="181">
        <f t="shared" si="18"/>
        <v>1030.4485423754618</v>
      </c>
      <c r="BU73" s="182">
        <f t="shared" si="19"/>
        <v>1889.8895206627167</v>
      </c>
      <c r="BV73" s="205">
        <f t="shared" si="20"/>
        <v>2920.3380630381785</v>
      </c>
      <c r="BY73" s="180">
        <v>2037</v>
      </c>
      <c r="BZ73" s="22">
        <v>23</v>
      </c>
      <c r="CA73" s="198">
        <f t="shared" ca="1" si="21"/>
        <v>-99.911370560794154</v>
      </c>
      <c r="CB73" s="198">
        <f t="shared" ca="1" si="22"/>
        <v>1221.5833382308938</v>
      </c>
      <c r="CC73" s="186">
        <f t="shared" ca="1" si="32"/>
        <v>1836.2509020629714</v>
      </c>
      <c r="CD73" s="205">
        <f t="shared" ca="1" si="23"/>
        <v>2957.9228697330709</v>
      </c>
      <c r="CG73" s="180">
        <v>2037</v>
      </c>
      <c r="CH73" s="22">
        <v>23</v>
      </c>
      <c r="CI73" s="198">
        <f t="shared" ca="1" si="24"/>
        <v>140.14441935806374</v>
      </c>
      <c r="CJ73" s="198">
        <f t="shared" ca="1" si="25"/>
        <v>-502.06492176219461</v>
      </c>
      <c r="CK73" s="198">
        <f t="shared" ca="1" si="26"/>
        <v>1510.9325533970139</v>
      </c>
      <c r="CL73" s="186">
        <f t="shared" ca="1" si="27"/>
        <v>1804.7780154472089</v>
      </c>
      <c r="CM73" s="205">
        <f t="shared" ca="1" si="28"/>
        <v>2953.7900664400918</v>
      </c>
      <c r="CP73" s="180">
        <v>2037</v>
      </c>
      <c r="CQ73" s="22">
        <v>23</v>
      </c>
      <c r="CR73" s="181">
        <f t="shared" ca="1" si="29"/>
        <v>1954.5573208474043</v>
      </c>
      <c r="CS73" s="182">
        <f t="shared" ca="1" si="30"/>
        <v>1.4561833759523843</v>
      </c>
      <c r="CT73" s="205">
        <f t="shared" ca="1" si="31"/>
        <v>2846.1938779640209</v>
      </c>
      <c r="CZ73" s="164" t="b">
        <f t="shared" si="4"/>
        <v>1</v>
      </c>
      <c r="DA73" s="165" t="b">
        <f t="shared" si="4"/>
        <v>1</v>
      </c>
      <c r="DB73" s="166" t="b">
        <f t="shared" si="4"/>
        <v>1</v>
      </c>
      <c r="DC73" s="164">
        <f t="shared" si="15"/>
        <v>25</v>
      </c>
      <c r="DD73" s="166">
        <f t="shared" si="5"/>
        <v>2803.4544911175799</v>
      </c>
      <c r="DE73" s="164">
        <f t="shared" si="6"/>
        <v>25</v>
      </c>
      <c r="DF73" s="166">
        <f t="shared" si="7"/>
        <v>3030.0104932724716</v>
      </c>
      <c r="DG73" s="164">
        <f t="shared" si="8"/>
        <v>25</v>
      </c>
      <c r="DH73" s="166">
        <f t="shared" si="9"/>
        <v>3256.5664954273634</v>
      </c>
      <c r="DI73" s="164">
        <f>IFERROR(INDEX(DC$46:DC$94,_xlfn.AGGREGATE(15,6,(ROW(DC$46:DC$94)-ROW(DC$46)+1)/(DC$46:DC$94&lt;&gt;""),ROWS(DI$1:DI28))),"")</f>
        <v>25</v>
      </c>
      <c r="DJ73" s="165">
        <f>IFERROR(INDEX(DD$46:DD$94,_xlfn.AGGREGATE(15,6,(ROW(DD$46:DD$94)-ROW(DD$46)+1)/(DD$46:DD$94&lt;&gt;""),ROWS(DJ$1:DJ28))),"")</f>
        <v>2803.4544911175799</v>
      </c>
      <c r="DK73" s="166">
        <f t="shared" si="10"/>
        <v>73</v>
      </c>
      <c r="DL73" s="164">
        <f>IFERROR(INDEX(DE$46:DE$94,_xlfn.AGGREGATE(15,6,(ROW(DE$46:DE$94)-ROW(DE$46)+1)/(DE$46:DE$94&lt;&gt;""),ROWS(DL$1:DL28))),"")</f>
        <v>25</v>
      </c>
      <c r="DM73" s="165">
        <f>IFERROR(INDEX(DF$46:DF$94,_xlfn.AGGREGATE(15,6,(ROW(DF$46:DF$94)-ROW(DF$46)+1)/(DF$46:DF$94&lt;&gt;""),ROWS(DM$1:DM28))),"")</f>
        <v>3030.0104932724716</v>
      </c>
      <c r="DN73" s="166">
        <f t="shared" si="11"/>
        <v>73</v>
      </c>
      <c r="DO73" s="164">
        <f>IFERROR(INDEX(DG$46:DG$94,_xlfn.AGGREGATE(15,6,(ROW(DG$46:DG$94)-ROW(DG$46)+1)/(DG$46:DG$94&lt;&gt;""),ROWS(DO$1:DO28))),"")</f>
        <v>25</v>
      </c>
      <c r="DP73" s="165">
        <f>IFERROR(INDEX(DH$46:DH$94,_xlfn.AGGREGATE(15,6,(ROW(DH$46:DH$94)-ROW(DH$46)+1)/(DH$46:DH$94&lt;&gt;""),ROWS(DP$1:DP28))),"")</f>
        <v>3256.5664954273634</v>
      </c>
      <c r="DQ73" s="166">
        <f t="shared" si="12"/>
        <v>73</v>
      </c>
      <c r="DV73" s="145">
        <v>2042</v>
      </c>
      <c r="DW73" s="146">
        <f t="shared" ca="1" si="13"/>
        <v>3152.9450743318057</v>
      </c>
      <c r="EU73" s="65"/>
      <c r="EV73" s="147"/>
    </row>
    <row r="74" spans="1:152" ht="13.8" x14ac:dyDescent="0.45">
      <c r="B74" s="128">
        <v>2040</v>
      </c>
      <c r="C74" s="1016">
        <v>2993.5159817351596</v>
      </c>
      <c r="D74" s="982">
        <v>3369.0887879842435</v>
      </c>
      <c r="E74" s="1017"/>
      <c r="F74" s="1077"/>
      <c r="G74" s="1109">
        <v>2848.2</v>
      </c>
      <c r="H74" s="1107"/>
      <c r="I74" s="1112"/>
      <c r="J74" s="207"/>
      <c r="K74" s="204"/>
      <c r="L74" s="206"/>
      <c r="M74" s="204"/>
      <c r="N74" s="29" t="s">
        <v>758</v>
      </c>
      <c r="P74" s="128"/>
      <c r="Q74" s="176" t="str">
        <f t="shared" si="16"/>
        <v/>
      </c>
      <c r="R74" s="29">
        <v>26</v>
      </c>
      <c r="S74" s="154">
        <f t="shared" si="0"/>
        <v>2848.2</v>
      </c>
      <c r="T74" s="154">
        <f t="shared" si="1"/>
        <v>3369.0887879842435</v>
      </c>
      <c r="U74" s="154">
        <f t="shared" si="2"/>
        <v>219.46824543507668</v>
      </c>
      <c r="W74" s="154">
        <f t="shared" si="14"/>
        <v>2850.800011138057</v>
      </c>
      <c r="X74" s="154">
        <f>IF(U74="",#N/A,IF($B$36=$A$62,(SUM(C74:E74)/COUNTIF(C74:E74,"&gt;0")),IF($B$36=$A$63,(SUM(F74:H74)/COUNTIF(F74:H74,"&gt;0")),IF($B$36=$A$64,(SUM(J74:K74)/COUNTIF(J74:K74,"&gt;0")),IF($B$36=$A$65,(SUM(L74:M74)/COUNTIF(L74:M74,"&gt;0")),(IF($B$36=$A$46,IF(C74="",#N/A,C74),IF($B$36=$A$47,IF(D74="",#N/A,D74),IF($B$36=$A$48,IF(E74="",#N/A,E74),IF($B$36=$A$49,IF(F74="",#N/A,F74),IF($B$36=$A$50,IF(G74="",#N/A,G74),IF($B$36=$A$51,IF(H74="",#N/A,H74),IF($B$36=$A$52,IF('Total MSW TAM Data_2021 Archive'!I74="",#N/A,'Total MSW TAM Data_2021 Archive'!I74),IF($B$36=$A$53,IF(J74="",#N/A,J74),IF($B$36=$A$54,IF(K74="",#N/A,K74),IF($B$36=$A$55,IF(L74="",#N/A,L74),IF($B$36=$A$56,IF(M74="",#N/A,M74),IF(U74="",#N/A,(SUM(C74:Q74)/COUNTIFS(C74:Q74,"&gt;0"))))))))))))))))))))</f>
        <v>3070.2682565731338</v>
      </c>
      <c r="Y74" s="154">
        <f t="shared" si="3"/>
        <v>3289.7365020082107</v>
      </c>
      <c r="AA74" s="1133">
        <v>2850.800011138057</v>
      </c>
      <c r="AB74" s="1133">
        <v>3070.2682565731338</v>
      </c>
      <c r="AC74" s="1133">
        <v>3289.7365020082107</v>
      </c>
      <c r="AD74" s="89"/>
      <c r="AE74" s="89"/>
      <c r="AF74" s="89"/>
      <c r="AG74" s="89"/>
      <c r="AH74" s="89"/>
      <c r="AI74" s="89"/>
      <c r="AJ74" s="89"/>
      <c r="AK74" s="89"/>
      <c r="AL74" s="89"/>
      <c r="AM74" s="89"/>
      <c r="AN74" s="89"/>
      <c r="BR74" s="180">
        <v>2038</v>
      </c>
      <c r="BS74" s="22">
        <v>24</v>
      </c>
      <c r="BT74" s="181">
        <f t="shared" si="18"/>
        <v>1075.2506529135253</v>
      </c>
      <c r="BU74" s="182">
        <f t="shared" si="19"/>
        <v>1889.8895206627167</v>
      </c>
      <c r="BV74" s="205">
        <f t="shared" si="20"/>
        <v>2965.140173576242</v>
      </c>
      <c r="BY74" s="180">
        <v>2038</v>
      </c>
      <c r="BZ74" s="22">
        <v>24</v>
      </c>
      <c r="CA74" s="198">
        <f t="shared" ca="1" si="21"/>
        <v>-108.78818420230138</v>
      </c>
      <c r="CB74" s="198">
        <f t="shared" ca="1" si="22"/>
        <v>1274.6956572844108</v>
      </c>
      <c r="CC74" s="186">
        <f t="shared" ca="1" si="32"/>
        <v>1836.2509020629714</v>
      </c>
      <c r="CD74" s="205">
        <f t="shared" ca="1" si="23"/>
        <v>3002.1583751450808</v>
      </c>
      <c r="CG74" s="180">
        <v>2038</v>
      </c>
      <c r="CH74" s="22">
        <v>24</v>
      </c>
      <c r="CI74" s="198">
        <f t="shared" ca="1" si="24"/>
        <v>159.23041449871565</v>
      </c>
      <c r="CJ74" s="198">
        <f t="shared" ca="1" si="25"/>
        <v>-546.67182407376959</v>
      </c>
      <c r="CK74" s="198">
        <f t="shared" ca="1" si="26"/>
        <v>1576.6252731099275</v>
      </c>
      <c r="CL74" s="186">
        <f t="shared" ca="1" si="27"/>
        <v>1804.7780154472089</v>
      </c>
      <c r="CM74" s="205">
        <f t="shared" ca="1" si="28"/>
        <v>2993.9618789820825</v>
      </c>
      <c r="CP74" s="180">
        <v>2038</v>
      </c>
      <c r="CQ74" s="22">
        <v>24</v>
      </c>
      <c r="CR74" s="181">
        <f t="shared" ca="1" si="29"/>
        <v>1954.5573208474043</v>
      </c>
      <c r="CS74" s="182">
        <f t="shared" ca="1" si="30"/>
        <v>1.4801728011130466</v>
      </c>
      <c r="CT74" s="205">
        <f t="shared" ca="1" si="31"/>
        <v>2893.082584534714</v>
      </c>
      <c r="CZ74" s="164" t="b">
        <f t="shared" si="4"/>
        <v>1</v>
      </c>
      <c r="DA74" s="165" t="b">
        <f t="shared" si="4"/>
        <v>1</v>
      </c>
      <c r="DB74" s="166" t="b">
        <f t="shared" si="4"/>
        <v>1</v>
      </c>
      <c r="DC74" s="164">
        <f t="shared" si="15"/>
        <v>26</v>
      </c>
      <c r="DD74" s="166">
        <f t="shared" si="5"/>
        <v>2850.800011138057</v>
      </c>
      <c r="DE74" s="164">
        <f t="shared" si="6"/>
        <v>26</v>
      </c>
      <c r="DF74" s="166">
        <f t="shared" si="7"/>
        <v>3070.2682565731338</v>
      </c>
      <c r="DG74" s="164">
        <f t="shared" si="8"/>
        <v>26</v>
      </c>
      <c r="DH74" s="166">
        <f t="shared" si="9"/>
        <v>3289.7365020082107</v>
      </c>
      <c r="DI74" s="164">
        <f>IFERROR(INDEX(DC$46:DC$94,_xlfn.AGGREGATE(15,6,(ROW(DC$46:DC$94)-ROW(DC$46)+1)/(DC$46:DC$94&lt;&gt;""),ROWS(DI$1:DI29))),"")</f>
        <v>26</v>
      </c>
      <c r="DJ74" s="165">
        <f>IFERROR(INDEX(DD$46:DD$94,_xlfn.AGGREGATE(15,6,(ROW(DD$46:DD$94)-ROW(DD$46)+1)/(DD$46:DD$94&lt;&gt;""),ROWS(DJ$1:DJ29))),"")</f>
        <v>2850.800011138057</v>
      </c>
      <c r="DK74" s="166">
        <f t="shared" si="10"/>
        <v>74</v>
      </c>
      <c r="DL74" s="164">
        <f>IFERROR(INDEX(DE$46:DE$94,_xlfn.AGGREGATE(15,6,(ROW(DE$46:DE$94)-ROW(DE$46)+1)/(DE$46:DE$94&lt;&gt;""),ROWS(DL$1:DL29))),"")</f>
        <v>26</v>
      </c>
      <c r="DM74" s="165">
        <f>IFERROR(INDEX(DF$46:DF$94,_xlfn.AGGREGATE(15,6,(ROW(DF$46:DF$94)-ROW(DF$46)+1)/(DF$46:DF$94&lt;&gt;""),ROWS(DM$1:DM29))),"")</f>
        <v>3070.2682565731338</v>
      </c>
      <c r="DN74" s="166">
        <f t="shared" si="11"/>
        <v>74</v>
      </c>
      <c r="DO74" s="164">
        <f>IFERROR(INDEX(DG$46:DG$94,_xlfn.AGGREGATE(15,6,(ROW(DG$46:DG$94)-ROW(DG$46)+1)/(DG$46:DG$94&lt;&gt;""),ROWS(DO$1:DO29))),"")</f>
        <v>26</v>
      </c>
      <c r="DP74" s="165">
        <f>IFERROR(INDEX(DH$46:DH$94,_xlfn.AGGREGATE(15,6,(ROW(DH$46:DH$94)-ROW(DH$46)+1)/(DH$46:DH$94&lt;&gt;""),ROWS(DP$1:DP29))),"")</f>
        <v>3289.7365020082107</v>
      </c>
      <c r="DQ74" s="166">
        <f t="shared" si="12"/>
        <v>74</v>
      </c>
      <c r="DV74" s="145">
        <v>2043</v>
      </c>
      <c r="DW74" s="146">
        <f t="shared" ca="1" si="13"/>
        <v>3192.6104115794742</v>
      </c>
      <c r="EA74" s="55"/>
      <c r="EB74" s="55"/>
      <c r="EC74" s="55"/>
      <c r="ED74" s="55"/>
      <c r="EE74" s="55"/>
      <c r="EU74" s="65"/>
      <c r="EV74" s="147"/>
    </row>
    <row r="75" spans="1:152" ht="13.8" x14ac:dyDescent="0.45">
      <c r="B75" s="128">
        <v>2041</v>
      </c>
      <c r="C75" s="1016">
        <v>3034.3721461187215</v>
      </c>
      <c r="D75" s="982">
        <v>3420.9991778965214</v>
      </c>
      <c r="E75" s="1017"/>
      <c r="F75" s="1077"/>
      <c r="G75" s="1109">
        <v>2896.6</v>
      </c>
      <c r="H75" s="1107"/>
      <c r="I75" s="1112"/>
      <c r="J75" s="207"/>
      <c r="K75" s="204"/>
      <c r="L75" s="206"/>
      <c r="M75" s="204"/>
      <c r="N75" s="29" t="s">
        <v>758</v>
      </c>
      <c r="P75" s="128"/>
      <c r="Q75" s="176" t="str">
        <f t="shared" si="16"/>
        <v/>
      </c>
      <c r="R75" s="29">
        <v>27</v>
      </c>
      <c r="S75" s="154">
        <f t="shared" si="0"/>
        <v>2896.6</v>
      </c>
      <c r="T75" s="154">
        <f t="shared" si="1"/>
        <v>3420.9991778965214</v>
      </c>
      <c r="U75" s="154">
        <f t="shared" si="2"/>
        <v>221.97500453029434</v>
      </c>
      <c r="W75" s="154">
        <f t="shared" si="14"/>
        <v>2895.3487701414533</v>
      </c>
      <c r="X75" s="154">
        <f>IF(U75="",#N/A,IF($B$36=$A$62,(SUM(C75:E75)/COUNTIF(C75:E75,"&gt;0")),IF($B$36=$A$63,(SUM(F75:H75)/COUNTIF(F75:H75,"&gt;0")),IF($B$36=$A$64,(SUM(J75:K75)/COUNTIF(J75:K75,"&gt;0")),IF($B$36=$A$65,(SUM(L75:M75)/COUNTIF(L75:M75,"&gt;0")),(IF($B$36=$A$46,IF(C75="",#N/A,C75),IF($B$36=$A$47,IF(D75="",#N/A,D75),IF($B$36=$A$48,IF(E75="",#N/A,E75),IF($B$36=$A$49,IF(F75="",#N/A,F75),IF($B$36=$A$50,IF(G75="",#N/A,G75),IF($B$36=$A$51,IF(H75="",#N/A,H75),IF($B$36=$A$52,IF('Total MSW TAM Data_2021 Archive'!I75="",#N/A,'Total MSW TAM Data_2021 Archive'!I75),IF($B$36=$A$53,IF(J75="",#N/A,J75),IF($B$36=$A$54,IF(K75="",#N/A,K75),IF($B$36=$A$55,IF(L75="",#N/A,L75),IF($B$36=$A$56,IF(M75="",#N/A,M75),IF(U75="",#N/A,(SUM(C75:Q75)/COUNTIFS(C75:Q75,"&gt;0"))))))))))))))))))))</f>
        <v>3117.3237746717477</v>
      </c>
      <c r="Y75" s="154">
        <f t="shared" si="3"/>
        <v>3339.2987792020422</v>
      </c>
      <c r="AA75" s="1133">
        <v>2895.3487701414533</v>
      </c>
      <c r="AB75" s="1133">
        <v>3117.3237746717477</v>
      </c>
      <c r="AC75" s="1133">
        <v>3339.2987792020422</v>
      </c>
      <c r="AD75" s="89"/>
      <c r="AE75" s="89"/>
      <c r="AF75" s="89"/>
      <c r="AG75" s="89"/>
      <c r="AH75" s="89"/>
      <c r="AI75" s="89"/>
      <c r="AJ75" s="89"/>
      <c r="AK75" s="89"/>
      <c r="AL75" s="89"/>
      <c r="AM75" s="89"/>
      <c r="AN75" s="89"/>
      <c r="BR75" s="180">
        <v>2039</v>
      </c>
      <c r="BS75" s="22">
        <v>25</v>
      </c>
      <c r="BT75" s="181">
        <f t="shared" si="18"/>
        <v>1120.0527634515888</v>
      </c>
      <c r="BU75" s="182">
        <f t="shared" si="19"/>
        <v>1889.8895206627167</v>
      </c>
      <c r="BV75" s="205">
        <f t="shared" si="20"/>
        <v>3009.9422841143055</v>
      </c>
      <c r="BY75" s="180">
        <v>2039</v>
      </c>
      <c r="BZ75" s="22">
        <v>25</v>
      </c>
      <c r="CA75" s="198">
        <f t="shared" ca="1" si="21"/>
        <v>-118.04273459451105</v>
      </c>
      <c r="CB75" s="198">
        <f t="shared" ca="1" si="22"/>
        <v>1327.807976337928</v>
      </c>
      <c r="CC75" s="186">
        <f t="shared" ca="1" si="32"/>
        <v>1836.2509020629714</v>
      </c>
      <c r="CD75" s="205">
        <f t="shared" ca="1" si="23"/>
        <v>3046.0161438063883</v>
      </c>
      <c r="CG75" s="180">
        <v>2039</v>
      </c>
      <c r="CH75" s="22">
        <v>25</v>
      </c>
      <c r="CI75" s="198">
        <f t="shared" ca="1" si="24"/>
        <v>179.97505979039582</v>
      </c>
      <c r="CJ75" s="198">
        <f t="shared" ca="1" si="25"/>
        <v>-593.17689244115627</v>
      </c>
      <c r="CK75" s="198">
        <f t="shared" ca="1" si="26"/>
        <v>1642.317992822841</v>
      </c>
      <c r="CL75" s="186">
        <f t="shared" ca="1" si="27"/>
        <v>1804.7780154472089</v>
      </c>
      <c r="CM75" s="205">
        <f t="shared" ca="1" si="28"/>
        <v>3033.8941756192894</v>
      </c>
      <c r="CP75" s="180">
        <v>2039</v>
      </c>
      <c r="CQ75" s="22">
        <v>25</v>
      </c>
      <c r="CR75" s="181">
        <f t="shared" ca="1" si="29"/>
        <v>1954.5573208474043</v>
      </c>
      <c r="CS75" s="182">
        <f t="shared" ca="1" si="30"/>
        <v>1.5045574323508024</v>
      </c>
      <c r="CT75" s="205">
        <f t="shared" ca="1" si="31"/>
        <v>2940.7437440366343</v>
      </c>
      <c r="CZ75" s="164" t="b">
        <f t="shared" si="4"/>
        <v>1</v>
      </c>
      <c r="DA75" s="165" t="b">
        <f t="shared" si="4"/>
        <v>1</v>
      </c>
      <c r="DB75" s="166" t="b">
        <f t="shared" si="4"/>
        <v>1</v>
      </c>
      <c r="DC75" s="164">
        <f t="shared" si="15"/>
        <v>27</v>
      </c>
      <c r="DD75" s="166">
        <f t="shared" si="5"/>
        <v>2895.3487701414533</v>
      </c>
      <c r="DE75" s="164">
        <f t="shared" si="6"/>
        <v>27</v>
      </c>
      <c r="DF75" s="166">
        <f t="shared" si="7"/>
        <v>3117.3237746717477</v>
      </c>
      <c r="DG75" s="164">
        <f t="shared" si="8"/>
        <v>27</v>
      </c>
      <c r="DH75" s="166">
        <f t="shared" si="9"/>
        <v>3339.2987792020422</v>
      </c>
      <c r="DI75" s="164">
        <f>IFERROR(INDEX(DC$46:DC$94,_xlfn.AGGREGATE(15,6,(ROW(DC$46:DC$94)-ROW(DC$46)+1)/(DC$46:DC$94&lt;&gt;""),ROWS(DI$1:DI30))),"")</f>
        <v>27</v>
      </c>
      <c r="DJ75" s="165">
        <f>IFERROR(INDEX(DD$46:DD$94,_xlfn.AGGREGATE(15,6,(ROW(DD$46:DD$94)-ROW(DD$46)+1)/(DD$46:DD$94&lt;&gt;""),ROWS(DJ$1:DJ30))),"")</f>
        <v>2895.3487701414533</v>
      </c>
      <c r="DK75" s="166">
        <f t="shared" si="10"/>
        <v>75</v>
      </c>
      <c r="DL75" s="164">
        <f>IFERROR(INDEX(DE$46:DE$94,_xlfn.AGGREGATE(15,6,(ROW(DE$46:DE$94)-ROW(DE$46)+1)/(DE$46:DE$94&lt;&gt;""),ROWS(DL$1:DL30))),"")</f>
        <v>27</v>
      </c>
      <c r="DM75" s="165">
        <f>IFERROR(INDEX(DF$46:DF$94,_xlfn.AGGREGATE(15,6,(ROW(DF$46:DF$94)-ROW(DF$46)+1)/(DF$46:DF$94&lt;&gt;""),ROWS(DM$1:DM30))),"")</f>
        <v>3117.3237746717477</v>
      </c>
      <c r="DN75" s="166">
        <f t="shared" si="11"/>
        <v>75</v>
      </c>
      <c r="DO75" s="164">
        <f>IFERROR(INDEX(DG$46:DG$94,_xlfn.AGGREGATE(15,6,(ROW(DG$46:DG$94)-ROW(DG$46)+1)/(DG$46:DG$94&lt;&gt;""),ROWS(DO$1:DO30))),"")</f>
        <v>27</v>
      </c>
      <c r="DP75" s="165">
        <f>IFERROR(INDEX(DH$46:DH$94,_xlfn.AGGREGATE(15,6,(ROW(DH$46:DH$94)-ROW(DH$46)+1)/(DH$46:DH$94&lt;&gt;""),ROWS(DP$1:DP30))),"")</f>
        <v>3339.2987792020422</v>
      </c>
      <c r="DQ75" s="166">
        <f t="shared" si="12"/>
        <v>75</v>
      </c>
      <c r="DV75" s="145">
        <v>2044</v>
      </c>
      <c r="DW75" s="146">
        <f t="shared" ca="1" si="13"/>
        <v>3232.381785037157</v>
      </c>
      <c r="EA75" s="55"/>
      <c r="EB75" s="55"/>
      <c r="EC75" s="55"/>
      <c r="ED75" s="55"/>
      <c r="EE75" s="55"/>
      <c r="EU75" s="65"/>
      <c r="EV75" s="147"/>
    </row>
    <row r="76" spans="1:152" ht="13.8" x14ac:dyDescent="0.45">
      <c r="B76" s="128">
        <v>2042</v>
      </c>
      <c r="C76" s="1016">
        <v>3075.2283105022834</v>
      </c>
      <c r="D76" s="982">
        <v>3458.8400597978816</v>
      </c>
      <c r="E76" s="1017"/>
      <c r="F76" s="1077"/>
      <c r="G76" s="1109">
        <v>2945</v>
      </c>
      <c r="H76" s="1107"/>
      <c r="I76" s="1112"/>
      <c r="J76" s="207"/>
      <c r="K76" s="204"/>
      <c r="L76" s="206"/>
      <c r="M76" s="204"/>
      <c r="N76" s="29" t="s">
        <v>758</v>
      </c>
      <c r="P76" s="128"/>
      <c r="Q76" s="176" t="str">
        <f t="shared" si="16"/>
        <v/>
      </c>
      <c r="R76" s="29">
        <v>28</v>
      </c>
      <c r="S76" s="154">
        <f t="shared" si="0"/>
        <v>2945</v>
      </c>
      <c r="T76" s="154">
        <f t="shared" si="1"/>
        <v>3458.8400597978816</v>
      </c>
      <c r="U76" s="154">
        <f t="shared" si="2"/>
        <v>218.11031717076838</v>
      </c>
      <c r="W76" s="154">
        <f t="shared" si="14"/>
        <v>2941.5791395959536</v>
      </c>
      <c r="X76" s="154">
        <f>IF(U76="",#N/A,IF($B$36=$A$62,(SUM(C76:E76)/COUNTIF(C76:E76,"&gt;0")),IF($B$36=$A$63,(SUM(F76:H76)/COUNTIF(F76:H76,"&gt;0")),IF($B$36=$A$64,(SUM(J76:K76)/COUNTIF(J76:K76,"&gt;0")),IF($B$36=$A$65,(SUM(L76:M76)/COUNTIF(L76:M76,"&gt;0")),(IF($B$36=$A$46,IF(C76="",#N/A,C76),IF($B$36=$A$47,IF(D76="",#N/A,D76),IF($B$36=$A$48,IF(E76="",#N/A,E76),IF($B$36=$A$49,IF(F76="",#N/A,F76),IF($B$36=$A$50,IF(G76="",#N/A,G76),IF($B$36=$A$51,IF(H76="",#N/A,H76),IF($B$36=$A$52,IF('Total MSW TAM Data_2021 Archive'!I76="",#N/A,'Total MSW TAM Data_2021 Archive'!I76),IF($B$36=$A$53,IF(J76="",#N/A,J76),IF($B$36=$A$54,IF(K76="",#N/A,K76),IF($B$36=$A$55,IF(L76="",#N/A,L76),IF($B$36=$A$56,IF(M76="",#N/A,M76),IF(U76="",#N/A,(SUM(C76:Q76)/COUNTIFS(C76:Q76,"&gt;0"))))))))))))))))))))</f>
        <v>3159.6894567667218</v>
      </c>
      <c r="Y76" s="154">
        <f t="shared" si="3"/>
        <v>3377.79977393749</v>
      </c>
      <c r="AA76" s="1133">
        <v>2941.5791395959536</v>
      </c>
      <c r="AB76" s="1133">
        <v>3159.6894567667218</v>
      </c>
      <c r="AC76" s="1133">
        <v>3377.79977393749</v>
      </c>
      <c r="AD76" s="89"/>
      <c r="AE76" s="89"/>
      <c r="AF76" s="89"/>
      <c r="AG76" s="89"/>
      <c r="AH76" s="89"/>
      <c r="AI76" s="89"/>
      <c r="AJ76" s="89"/>
      <c r="AK76" s="89"/>
      <c r="AL76" s="89"/>
      <c r="AM76" s="89"/>
      <c r="AN76" s="89"/>
      <c r="BR76" s="180">
        <v>2040</v>
      </c>
      <c r="BS76" s="22">
        <v>26</v>
      </c>
      <c r="BT76" s="181">
        <f t="shared" si="18"/>
        <v>1164.8548739896523</v>
      </c>
      <c r="BU76" s="182">
        <f t="shared" si="19"/>
        <v>1889.8895206627167</v>
      </c>
      <c r="BV76" s="205">
        <f t="shared" si="20"/>
        <v>3054.744394652369</v>
      </c>
      <c r="BY76" s="180">
        <v>2040</v>
      </c>
      <c r="BZ76" s="22">
        <v>26</v>
      </c>
      <c r="CA76" s="198">
        <f t="shared" ca="1" si="21"/>
        <v>-127.67502173742315</v>
      </c>
      <c r="CB76" s="198">
        <f t="shared" ca="1" si="22"/>
        <v>1380.9202953914451</v>
      </c>
      <c r="CC76" s="186">
        <f t="shared" ca="1" si="32"/>
        <v>1836.2509020629714</v>
      </c>
      <c r="CD76" s="205">
        <f t="shared" ca="1" si="23"/>
        <v>3089.4961757169931</v>
      </c>
      <c r="CG76" s="180">
        <v>2040</v>
      </c>
      <c r="CH76" s="22">
        <v>26</v>
      </c>
      <c r="CI76" s="198">
        <f t="shared" ca="1" si="24"/>
        <v>202.44746565606383</v>
      </c>
      <c r="CJ76" s="198">
        <f t="shared" ca="1" si="25"/>
        <v>-641.58012686435461</v>
      </c>
      <c r="CK76" s="198">
        <f t="shared" ca="1" si="26"/>
        <v>1708.0107125357547</v>
      </c>
      <c r="CL76" s="186">
        <f t="shared" ca="1" si="27"/>
        <v>1804.7780154472089</v>
      </c>
      <c r="CM76" s="205">
        <f t="shared" ca="1" si="28"/>
        <v>3073.6560667746726</v>
      </c>
      <c r="CP76" s="180">
        <v>2040</v>
      </c>
      <c r="CQ76" s="22">
        <v>26</v>
      </c>
      <c r="CR76" s="181">
        <f t="shared" ca="1" si="29"/>
        <v>1954.5573208474043</v>
      </c>
      <c r="CS76" s="182">
        <f t="shared" ca="1" si="30"/>
        <v>1.5293437803611907</v>
      </c>
      <c r="CT76" s="205">
        <f t="shared" ca="1" si="31"/>
        <v>2989.1900819974098</v>
      </c>
      <c r="CZ76" s="164" t="b">
        <f t="shared" si="4"/>
        <v>1</v>
      </c>
      <c r="DA76" s="165" t="b">
        <f t="shared" si="4"/>
        <v>1</v>
      </c>
      <c r="DB76" s="166" t="b">
        <f t="shared" si="4"/>
        <v>1</v>
      </c>
      <c r="DC76" s="164">
        <f t="shared" si="15"/>
        <v>28</v>
      </c>
      <c r="DD76" s="166">
        <f t="shared" si="5"/>
        <v>2941.5791395959536</v>
      </c>
      <c r="DE76" s="164">
        <f t="shared" si="6"/>
        <v>28</v>
      </c>
      <c r="DF76" s="166">
        <f t="shared" si="7"/>
        <v>3159.6894567667218</v>
      </c>
      <c r="DG76" s="164">
        <f t="shared" si="8"/>
        <v>28</v>
      </c>
      <c r="DH76" s="166">
        <f t="shared" si="9"/>
        <v>3377.79977393749</v>
      </c>
      <c r="DI76" s="164">
        <f>IFERROR(INDEX(DC$46:DC$94,_xlfn.AGGREGATE(15,6,(ROW(DC$46:DC$94)-ROW(DC$46)+1)/(DC$46:DC$94&lt;&gt;""),ROWS(DI$1:DI31))),"")</f>
        <v>28</v>
      </c>
      <c r="DJ76" s="165">
        <f>IFERROR(INDEX(DD$46:DD$94,_xlfn.AGGREGATE(15,6,(ROW(DD$46:DD$94)-ROW(DD$46)+1)/(DD$46:DD$94&lt;&gt;""),ROWS(DJ$1:DJ31))),"")</f>
        <v>2941.5791395959536</v>
      </c>
      <c r="DK76" s="166">
        <f t="shared" si="10"/>
        <v>76</v>
      </c>
      <c r="DL76" s="164">
        <f>IFERROR(INDEX(DE$46:DE$94,_xlfn.AGGREGATE(15,6,(ROW(DE$46:DE$94)-ROW(DE$46)+1)/(DE$46:DE$94&lt;&gt;""),ROWS(DL$1:DL31))),"")</f>
        <v>28</v>
      </c>
      <c r="DM76" s="165">
        <f>IFERROR(INDEX(DF$46:DF$94,_xlfn.AGGREGATE(15,6,(ROW(DF$46:DF$94)-ROW(DF$46)+1)/(DF$46:DF$94&lt;&gt;""),ROWS(DM$1:DM31))),"")</f>
        <v>3159.6894567667218</v>
      </c>
      <c r="DN76" s="166">
        <f t="shared" si="11"/>
        <v>76</v>
      </c>
      <c r="DO76" s="164">
        <f>IFERROR(INDEX(DG$46:DG$94,_xlfn.AGGREGATE(15,6,(ROW(DG$46:DG$94)-ROW(DG$46)+1)/(DG$46:DG$94&lt;&gt;""),ROWS(DO$1:DO31))),"")</f>
        <v>28</v>
      </c>
      <c r="DP76" s="165">
        <f>IFERROR(INDEX(DH$46:DH$94,_xlfn.AGGREGATE(15,6,(ROW(DH$46:DH$94)-ROW(DH$46)+1)/(DH$46:DH$94&lt;&gt;""),ROWS(DP$1:DP31))),"")</f>
        <v>3377.79977393749</v>
      </c>
      <c r="DQ76" s="166">
        <f t="shared" si="12"/>
        <v>76</v>
      </c>
      <c r="DV76" s="145">
        <v>2045</v>
      </c>
      <c r="DW76" s="146">
        <f t="shared" ca="1" si="13"/>
        <v>3272.3283051278136</v>
      </c>
      <c r="EA76" s="55"/>
      <c r="EB76" s="55"/>
      <c r="EC76" s="55"/>
      <c r="ED76" s="55"/>
      <c r="EE76" s="55"/>
      <c r="EU76" s="65"/>
      <c r="EV76" s="147"/>
    </row>
    <row r="77" spans="1:152" ht="13.8" x14ac:dyDescent="0.45">
      <c r="B77" s="128">
        <v>2043</v>
      </c>
      <c r="C77" s="1016">
        <v>3116.0844748858449</v>
      </c>
      <c r="D77" s="982">
        <v>3496.6194084398057</v>
      </c>
      <c r="E77" s="1017"/>
      <c r="F77" s="1077"/>
      <c r="G77" s="1109">
        <v>2993.3999999999996</v>
      </c>
      <c r="H77" s="1107"/>
      <c r="I77" s="1112"/>
      <c r="J77" s="207"/>
      <c r="K77" s="204"/>
      <c r="L77" s="206"/>
      <c r="M77" s="204"/>
      <c r="N77" s="29" t="s">
        <v>758</v>
      </c>
      <c r="P77" s="128"/>
      <c r="Q77" s="176" t="str">
        <f t="shared" si="16"/>
        <v/>
      </c>
      <c r="R77" s="29">
        <v>29</v>
      </c>
      <c r="S77" s="154">
        <f t="shared" si="0"/>
        <v>2993.3999999999996</v>
      </c>
      <c r="T77" s="154">
        <f t="shared" si="1"/>
        <v>3496.6194084398057</v>
      </c>
      <c r="U77" s="154">
        <f t="shared" si="2"/>
        <v>214.23976419564275</v>
      </c>
      <c r="W77" s="154">
        <f t="shared" si="14"/>
        <v>2987.7948635795738</v>
      </c>
      <c r="X77" s="154">
        <f>IF(U77="",#N/A,IF($B$36=$A$62,(SUM(C77:E77)/COUNTIF(C77:E77,"&gt;0")),IF($B$36=$A$63,(SUM(F77:H77)/COUNTIF(F77:H77,"&gt;0")),IF($B$36=$A$64,(SUM(J77:K77)/COUNTIF(J77:K77,"&gt;0")),IF($B$36=$A$65,(SUM(L77:M77)/COUNTIF(L77:M77,"&gt;0")),(IF($B$36=$A$46,IF(C77="",#N/A,C77),IF($B$36=$A$47,IF(D77="",#N/A,D77),IF($B$36=$A$48,IF(E77="",#N/A,E77),IF($B$36=$A$49,IF(F77="",#N/A,F77),IF($B$36=$A$50,IF(G77="",#N/A,G77),IF($B$36=$A$51,IF(H77="",#N/A,H77),IF($B$36=$A$52,IF('Total MSW TAM Data_2021 Archive'!I77="",#N/A,'Total MSW TAM Data_2021 Archive'!I77),IF($B$36=$A$53,IF(J77="",#N/A,J77),IF($B$36=$A$54,IF(K77="",#N/A,K77),IF($B$36=$A$55,IF(L77="",#N/A,L77),IF($B$36=$A$56,IF(M77="",#N/A,M77),IF(U77="",#N/A,(SUM(C77:Q77)/COUNTIFS(C77:Q77,"&gt;0"))))))))))))))))))))</f>
        <v>3202.0346277752164</v>
      </c>
      <c r="Y77" s="154">
        <f t="shared" si="3"/>
        <v>3416.2743919708591</v>
      </c>
      <c r="AA77" s="1133">
        <v>2987.7948635795738</v>
      </c>
      <c r="AB77" s="1133">
        <v>3202.0346277752164</v>
      </c>
      <c r="AC77" s="1133">
        <v>3416.2743919708591</v>
      </c>
      <c r="AD77" s="89"/>
      <c r="AE77" s="89"/>
      <c r="AF77" s="89"/>
      <c r="AG77" s="89"/>
      <c r="AH77" s="89"/>
      <c r="AI77" s="89"/>
      <c r="AJ77" s="89"/>
      <c r="AK77" s="89"/>
      <c r="AL77" s="89"/>
      <c r="AM77" s="89"/>
      <c r="AN77" s="89"/>
      <c r="BR77" s="180">
        <v>2041</v>
      </c>
      <c r="BS77" s="22">
        <v>27</v>
      </c>
      <c r="BT77" s="181">
        <f t="shared" si="18"/>
        <v>1209.6569845277158</v>
      </c>
      <c r="BU77" s="182">
        <f t="shared" si="19"/>
        <v>1889.8895206627167</v>
      </c>
      <c r="BV77" s="205">
        <f t="shared" si="20"/>
        <v>3099.5465051904325</v>
      </c>
      <c r="BY77" s="180">
        <v>2041</v>
      </c>
      <c r="BZ77" s="22">
        <v>27</v>
      </c>
      <c r="CA77" s="198">
        <f t="shared" ca="1" si="21"/>
        <v>-137.6850456310377</v>
      </c>
      <c r="CB77" s="198">
        <f t="shared" ca="1" si="22"/>
        <v>1434.0326144449623</v>
      </c>
      <c r="CC77" s="186">
        <f t="shared" ca="1" si="32"/>
        <v>1836.2509020629714</v>
      </c>
      <c r="CD77" s="205">
        <f t="shared" ca="1" si="23"/>
        <v>3132.598470876896</v>
      </c>
      <c r="CG77" s="180">
        <v>2041</v>
      </c>
      <c r="CH77" s="22">
        <v>27</v>
      </c>
      <c r="CI77" s="198">
        <f t="shared" ca="1" si="24"/>
        <v>226.71674251867913</v>
      </c>
      <c r="CJ77" s="198">
        <f t="shared" ca="1" si="25"/>
        <v>-691.88152734336461</v>
      </c>
      <c r="CK77" s="198">
        <f t="shared" ca="1" si="26"/>
        <v>1773.7034322486684</v>
      </c>
      <c r="CL77" s="186">
        <f t="shared" ca="1" si="27"/>
        <v>1804.7780154472089</v>
      </c>
      <c r="CM77" s="205">
        <f t="shared" ca="1" si="28"/>
        <v>3113.3166628711915</v>
      </c>
      <c r="CP77" s="180">
        <v>2041</v>
      </c>
      <c r="CQ77" s="22">
        <v>27</v>
      </c>
      <c r="CR77" s="181">
        <f t="shared" ca="1" si="29"/>
        <v>1954.5573208474043</v>
      </c>
      <c r="CS77" s="182">
        <f t="shared" ca="1" si="30"/>
        <v>1.5545384630981118</v>
      </c>
      <c r="CT77" s="205">
        <f t="shared" ca="1" si="31"/>
        <v>3038.4345335872868</v>
      </c>
      <c r="CZ77" s="164" t="b">
        <f t="shared" si="4"/>
        <v>1</v>
      </c>
      <c r="DA77" s="165" t="b">
        <f t="shared" si="4"/>
        <v>1</v>
      </c>
      <c r="DB77" s="166" t="b">
        <f t="shared" si="4"/>
        <v>1</v>
      </c>
      <c r="DC77" s="164">
        <f t="shared" si="15"/>
        <v>29</v>
      </c>
      <c r="DD77" s="166">
        <f t="shared" si="5"/>
        <v>2987.7948635795738</v>
      </c>
      <c r="DE77" s="164">
        <f t="shared" si="6"/>
        <v>29</v>
      </c>
      <c r="DF77" s="166">
        <f t="shared" si="7"/>
        <v>3202.0346277752164</v>
      </c>
      <c r="DG77" s="164">
        <f t="shared" si="8"/>
        <v>29</v>
      </c>
      <c r="DH77" s="166">
        <f t="shared" si="9"/>
        <v>3416.2743919708591</v>
      </c>
      <c r="DI77" s="164">
        <f>IFERROR(INDEX(DC$46:DC$94,_xlfn.AGGREGATE(15,6,(ROW(DC$46:DC$94)-ROW(DC$46)+1)/(DC$46:DC$94&lt;&gt;""),ROWS(DI$1:DI32))),"")</f>
        <v>29</v>
      </c>
      <c r="DJ77" s="165">
        <f>IFERROR(INDEX(DD$46:DD$94,_xlfn.AGGREGATE(15,6,(ROW(DD$46:DD$94)-ROW(DD$46)+1)/(DD$46:DD$94&lt;&gt;""),ROWS(DJ$1:DJ32))),"")</f>
        <v>2987.7948635795738</v>
      </c>
      <c r="DK77" s="166">
        <f t="shared" si="10"/>
        <v>77</v>
      </c>
      <c r="DL77" s="164">
        <f>IFERROR(INDEX(DE$46:DE$94,_xlfn.AGGREGATE(15,6,(ROW(DE$46:DE$94)-ROW(DE$46)+1)/(DE$46:DE$94&lt;&gt;""),ROWS(DL$1:DL32))),"")</f>
        <v>29</v>
      </c>
      <c r="DM77" s="165">
        <f>IFERROR(INDEX(DF$46:DF$94,_xlfn.AGGREGATE(15,6,(ROW(DF$46:DF$94)-ROW(DF$46)+1)/(DF$46:DF$94&lt;&gt;""),ROWS(DM$1:DM32))),"")</f>
        <v>3202.0346277752164</v>
      </c>
      <c r="DN77" s="166">
        <f t="shared" si="11"/>
        <v>77</v>
      </c>
      <c r="DO77" s="164">
        <f>IFERROR(INDEX(DG$46:DG$94,_xlfn.AGGREGATE(15,6,(ROW(DG$46:DG$94)-ROW(DG$46)+1)/(DG$46:DG$94&lt;&gt;""),ROWS(DO$1:DO32))),"")</f>
        <v>29</v>
      </c>
      <c r="DP77" s="165">
        <f>IFERROR(INDEX(DH$46:DH$94,_xlfn.AGGREGATE(15,6,(ROW(DH$46:DH$94)-ROW(DH$46)+1)/(DH$46:DH$94&lt;&gt;""),ROWS(DP$1:DP32))),"")</f>
        <v>3416.2743919708591</v>
      </c>
      <c r="DQ77" s="166">
        <f t="shared" si="12"/>
        <v>77</v>
      </c>
      <c r="DV77" s="145">
        <v>2046</v>
      </c>
      <c r="DW77" s="146">
        <f t="shared" ca="1" si="13"/>
        <v>3312.5190822744034</v>
      </c>
      <c r="EA77" s="55"/>
      <c r="EB77" s="55"/>
      <c r="EC77" s="55"/>
      <c r="ED77" s="55"/>
      <c r="EE77" s="55"/>
      <c r="EU77" s="65"/>
      <c r="EV77" s="147"/>
    </row>
    <row r="78" spans="1:152" ht="13.8" x14ac:dyDescent="0.45">
      <c r="B78" s="128">
        <v>2044</v>
      </c>
      <c r="C78" s="1016">
        <v>3156.9406392694063</v>
      </c>
      <c r="D78" s="982">
        <v>3534.4134931625713</v>
      </c>
      <c r="E78" s="1017"/>
      <c r="F78" s="1077"/>
      <c r="G78" s="1109">
        <v>3041.8</v>
      </c>
      <c r="H78" s="1107"/>
      <c r="I78" s="1112"/>
      <c r="J78" s="207"/>
      <c r="K78" s="204"/>
      <c r="L78" s="206"/>
      <c r="M78" s="204"/>
      <c r="N78" s="29" t="s">
        <v>758</v>
      </c>
      <c r="P78" s="128"/>
      <c r="Q78" s="176" t="str">
        <f t="shared" si="16"/>
        <v/>
      </c>
      <c r="R78" s="29">
        <v>30</v>
      </c>
      <c r="S78" s="154">
        <f t="shared" si="0"/>
        <v>3041.8</v>
      </c>
      <c r="T78" s="154">
        <f t="shared" si="1"/>
        <v>3534.4134931625713</v>
      </c>
      <c r="U78" s="154">
        <f t="shared" si="2"/>
        <v>210.39940216524926</v>
      </c>
      <c r="W78" s="154">
        <f t="shared" si="14"/>
        <v>3033.9853086454095</v>
      </c>
      <c r="X78" s="154">
        <f>IF(U78="",#N/A,IF($B$36=$A$62,(SUM(C78:E78)/COUNTIF(C78:E78,"&gt;0")),IF($B$36=$A$63,(SUM(F78:H78)/COUNTIF(F78:H78,"&gt;0")),IF($B$36=$A$64,(SUM(J78:K78)/COUNTIF(J78:K78,"&gt;0")),IF($B$36=$A$65,(SUM(L78:M78)/COUNTIF(L78:M78,"&gt;0")),(IF($B$36=$A$46,IF(C78="",#N/A,C78),IF($B$36=$A$47,IF(D78="",#N/A,D78),IF($B$36=$A$48,IF(E78="",#N/A,E78),IF($B$36=$A$49,IF(F78="",#N/A,F78),IF($B$36=$A$50,IF(G78="",#N/A,G78),IF($B$36=$A$51,IF(H78="",#N/A,H78),IF($B$36=$A$52,IF('Total MSW TAM Data_2021 Archive'!I78="",#N/A,'Total MSW TAM Data_2021 Archive'!I78),IF($B$36=$A$53,IF(J78="",#N/A,J78),IF($B$36=$A$54,IF(K78="",#N/A,K78),IF($B$36=$A$55,IF(L78="",#N/A,L78),IF($B$36=$A$56,IF(M78="",#N/A,M78),IF(U78="",#N/A,(SUM(C78:Q78)/COUNTIFS(C78:Q78,"&gt;0"))))))))))))))))))))</f>
        <v>3244.3847108106588</v>
      </c>
      <c r="Y78" s="154">
        <f t="shared" si="3"/>
        <v>3454.7841129759081</v>
      </c>
      <c r="AA78" s="1133">
        <v>3033.9853086454095</v>
      </c>
      <c r="AB78" s="1133">
        <v>3244.3847108106588</v>
      </c>
      <c r="AC78" s="1133">
        <v>3454.7841129759081</v>
      </c>
      <c r="AD78" s="89"/>
      <c r="AE78" s="89"/>
      <c r="AF78" s="89"/>
      <c r="AG78" s="89"/>
      <c r="AH78" s="89"/>
      <c r="AI78" s="89"/>
      <c r="AJ78" s="89"/>
      <c r="AK78" s="89"/>
      <c r="AL78" s="89"/>
      <c r="AM78" s="89"/>
      <c r="AN78" s="89"/>
      <c r="BR78" s="180">
        <v>2042</v>
      </c>
      <c r="BS78" s="22">
        <v>28</v>
      </c>
      <c r="BT78" s="181">
        <f t="shared" si="18"/>
        <v>1254.4590950657794</v>
      </c>
      <c r="BU78" s="182">
        <f t="shared" si="19"/>
        <v>1889.8895206627167</v>
      </c>
      <c r="BV78" s="205">
        <f t="shared" si="20"/>
        <v>3144.348615728496</v>
      </c>
      <c r="BY78" s="180">
        <v>2042</v>
      </c>
      <c r="BZ78" s="22">
        <v>28</v>
      </c>
      <c r="CA78" s="198">
        <f t="shared" ca="1" si="21"/>
        <v>-148.07280627535465</v>
      </c>
      <c r="CB78" s="198">
        <f t="shared" ca="1" si="22"/>
        <v>1487.1449334984793</v>
      </c>
      <c r="CC78" s="186">
        <f t="shared" ca="1" si="32"/>
        <v>1836.2509020629714</v>
      </c>
      <c r="CD78" s="205">
        <f t="shared" ca="1" si="23"/>
        <v>3175.3230292860962</v>
      </c>
      <c r="CG78" s="180">
        <v>2042</v>
      </c>
      <c r="CH78" s="22">
        <v>28</v>
      </c>
      <c r="CI78" s="198">
        <f t="shared" ca="1" si="24"/>
        <v>252.85200080120123</v>
      </c>
      <c r="CJ78" s="198">
        <f t="shared" ca="1" si="25"/>
        <v>-744.08109387818638</v>
      </c>
      <c r="CK78" s="198">
        <f t="shared" ca="1" si="26"/>
        <v>1839.3961519615821</v>
      </c>
      <c r="CL78" s="186">
        <f t="shared" ca="1" si="27"/>
        <v>1804.7780154472089</v>
      </c>
      <c r="CM78" s="205">
        <f t="shared" ca="1" si="28"/>
        <v>3152.9450743318057</v>
      </c>
      <c r="CP78" s="180">
        <v>2042</v>
      </c>
      <c r="CQ78" s="22">
        <v>28</v>
      </c>
      <c r="CR78" s="181">
        <f t="shared" ca="1" si="29"/>
        <v>1954.5573208474043</v>
      </c>
      <c r="CS78" s="182">
        <f t="shared" ca="1" si="30"/>
        <v>1.5801482075408217</v>
      </c>
      <c r="CT78" s="205">
        <f t="shared" ca="1" si="31"/>
        <v>3088.4902470728166</v>
      </c>
      <c r="CZ78" s="164" t="b">
        <f t="shared" si="4"/>
        <v>1</v>
      </c>
      <c r="DA78" s="165" t="b">
        <f t="shared" si="4"/>
        <v>1</v>
      </c>
      <c r="DB78" s="166" t="b">
        <f t="shared" si="4"/>
        <v>1</v>
      </c>
      <c r="DC78" s="164">
        <f t="shared" si="15"/>
        <v>30</v>
      </c>
      <c r="DD78" s="166">
        <f t="shared" si="5"/>
        <v>3033.9853086454095</v>
      </c>
      <c r="DE78" s="164">
        <f t="shared" si="6"/>
        <v>30</v>
      </c>
      <c r="DF78" s="166">
        <f t="shared" si="7"/>
        <v>3244.3847108106588</v>
      </c>
      <c r="DG78" s="164">
        <f t="shared" si="8"/>
        <v>30</v>
      </c>
      <c r="DH78" s="166">
        <f t="shared" si="9"/>
        <v>3454.7841129759081</v>
      </c>
      <c r="DI78" s="164">
        <f>IFERROR(INDEX(DC$46:DC$94,_xlfn.AGGREGATE(15,6,(ROW(DC$46:DC$94)-ROW(DC$46)+1)/(DC$46:DC$94&lt;&gt;""),ROWS(DI$1:DI33))),"")</f>
        <v>30</v>
      </c>
      <c r="DJ78" s="165">
        <f>IFERROR(INDEX(DD$46:DD$94,_xlfn.AGGREGATE(15,6,(ROW(DD$46:DD$94)-ROW(DD$46)+1)/(DD$46:DD$94&lt;&gt;""),ROWS(DJ$1:DJ33))),"")</f>
        <v>3033.9853086454095</v>
      </c>
      <c r="DK78" s="166">
        <f t="shared" si="10"/>
        <v>78</v>
      </c>
      <c r="DL78" s="164">
        <f>IFERROR(INDEX(DE$46:DE$94,_xlfn.AGGREGATE(15,6,(ROW(DE$46:DE$94)-ROW(DE$46)+1)/(DE$46:DE$94&lt;&gt;""),ROWS(DL$1:DL33))),"")</f>
        <v>30</v>
      </c>
      <c r="DM78" s="165">
        <f>IFERROR(INDEX(DF$46:DF$94,_xlfn.AGGREGATE(15,6,(ROW(DF$46:DF$94)-ROW(DF$46)+1)/(DF$46:DF$94&lt;&gt;""),ROWS(DM$1:DM33))),"")</f>
        <v>3244.3847108106588</v>
      </c>
      <c r="DN78" s="166">
        <f t="shared" si="11"/>
        <v>78</v>
      </c>
      <c r="DO78" s="164">
        <f>IFERROR(INDEX(DG$46:DG$94,_xlfn.AGGREGATE(15,6,(ROW(DG$46:DG$94)-ROW(DG$46)+1)/(DG$46:DG$94&lt;&gt;""),ROWS(DO$1:DO33))),"")</f>
        <v>30</v>
      </c>
      <c r="DP78" s="165">
        <f>IFERROR(INDEX(DH$46:DH$94,_xlfn.AGGREGATE(15,6,(ROW(DH$46:DH$94)-ROW(DH$46)+1)/(DH$46:DH$94&lt;&gt;""),ROWS(DP$1:DP33))),"")</f>
        <v>3454.7841129759081</v>
      </c>
      <c r="DQ78" s="166">
        <f t="shared" si="12"/>
        <v>78</v>
      </c>
      <c r="DV78" s="145">
        <v>2047</v>
      </c>
      <c r="DW78" s="146">
        <f t="shared" ca="1" si="13"/>
        <v>3353.0232268998852</v>
      </c>
      <c r="EA78" s="55"/>
      <c r="EB78" s="55"/>
      <c r="EC78" s="55"/>
      <c r="ED78" s="55"/>
      <c r="EE78" s="55"/>
      <c r="EU78" s="65"/>
      <c r="EV78" s="147"/>
    </row>
    <row r="79" spans="1:152" ht="13.8" x14ac:dyDescent="0.45">
      <c r="B79" s="128">
        <v>2045</v>
      </c>
      <c r="C79" s="1016">
        <v>3197.7968036529683</v>
      </c>
      <c r="D79" s="982">
        <v>3572.6159297953818</v>
      </c>
      <c r="E79" s="1017"/>
      <c r="F79" s="1077"/>
      <c r="G79" s="1109">
        <v>3090.2</v>
      </c>
      <c r="H79" s="1107"/>
      <c r="I79" s="1112"/>
      <c r="J79" s="207"/>
      <c r="K79" s="204"/>
      <c r="L79" s="206"/>
      <c r="M79" s="204"/>
      <c r="N79" s="29" t="s">
        <v>758</v>
      </c>
      <c r="P79" s="128"/>
      <c r="Q79" s="176" t="str">
        <f t="shared" si="16"/>
        <v/>
      </c>
      <c r="R79" s="29">
        <v>31</v>
      </c>
      <c r="S79" s="154">
        <f t="shared" si="0"/>
        <v>3090.2</v>
      </c>
      <c r="T79" s="154">
        <f t="shared" si="1"/>
        <v>3572.6159297953818</v>
      </c>
      <c r="U79" s="154">
        <f t="shared" si="2"/>
        <v>206.77190299104441</v>
      </c>
      <c r="W79" s="154">
        <f t="shared" si="14"/>
        <v>3080.0990081584055</v>
      </c>
      <c r="X79" s="154">
        <f>IF(U79="",#N/A,IF($B$36=$A$62,(SUM(C79:E79)/COUNTIF(C79:E79,"&gt;0")),IF($B$36=$A$63,(SUM(F79:H79)/COUNTIF(F79:H79,"&gt;0")),IF($B$36=$A$64,(SUM(J79:K79)/COUNTIF(J79:K79,"&gt;0")),IF($B$36=$A$65,(SUM(L79:M79)/COUNTIF(L79:M79,"&gt;0")),(IF($B$36=$A$46,IF(C79="",#N/A,C79),IF($B$36=$A$47,IF(D79="",#N/A,D79),IF($B$36=$A$48,IF(E79="",#N/A,E79),IF($B$36=$A$49,IF(F79="",#N/A,F79),IF($B$36=$A$50,IF(G79="",#N/A,G79),IF($B$36=$A$51,IF(H79="",#N/A,H79),IF($B$36=$A$52,IF('Total MSW TAM Data_2021 Archive'!I79="",#N/A,'Total MSW TAM Data_2021 Archive'!I79),IF($B$36=$A$53,IF(J79="",#N/A,J79),IF($B$36=$A$54,IF(K79="",#N/A,K79),IF($B$36=$A$55,IF(L79="",#N/A,L79),IF($B$36=$A$56,IF(M79="",#N/A,M79),IF(U79="",#N/A,(SUM(C79:Q79)/COUNTIFS(C79:Q79,"&gt;0"))))))))))))))))))))</f>
        <v>3286.87091114945</v>
      </c>
      <c r="Y79" s="154">
        <f t="shared" si="3"/>
        <v>3493.6428141404945</v>
      </c>
      <c r="AA79" s="1133">
        <v>3080.0990081584055</v>
      </c>
      <c r="AB79" s="1133">
        <v>3286.87091114945</v>
      </c>
      <c r="AC79" s="1133">
        <v>3493.6428141404945</v>
      </c>
      <c r="AD79" s="89"/>
      <c r="AE79" s="89"/>
      <c r="AF79" s="89"/>
      <c r="AG79" s="89"/>
      <c r="AH79" s="89"/>
      <c r="AI79" s="89"/>
      <c r="AJ79" s="89"/>
      <c r="AK79" s="89"/>
      <c r="AL79" s="89"/>
      <c r="AM79" s="89"/>
      <c r="AN79" s="89"/>
      <c r="BR79" s="180">
        <v>2043</v>
      </c>
      <c r="BS79" s="22">
        <v>29</v>
      </c>
      <c r="BT79" s="181">
        <f t="shared" si="18"/>
        <v>1299.2612056038431</v>
      </c>
      <c r="BU79" s="182">
        <f t="shared" si="19"/>
        <v>1889.8895206627167</v>
      </c>
      <c r="BV79" s="205">
        <f t="shared" si="20"/>
        <v>3189.15072626656</v>
      </c>
      <c r="BY79" s="180">
        <v>2043</v>
      </c>
      <c r="BZ79" s="22">
        <v>29</v>
      </c>
      <c r="CA79" s="198">
        <f t="shared" ca="1" si="21"/>
        <v>-158.83830367037407</v>
      </c>
      <c r="CB79" s="198">
        <f t="shared" ca="1" si="22"/>
        <v>1540.2572525519965</v>
      </c>
      <c r="CC79" s="186">
        <f t="shared" ca="1" si="32"/>
        <v>1836.2509020629714</v>
      </c>
      <c r="CD79" s="205">
        <f t="shared" ca="1" si="23"/>
        <v>3217.6698509445941</v>
      </c>
      <c r="CG79" s="180">
        <v>2043</v>
      </c>
      <c r="CH79" s="22">
        <v>29</v>
      </c>
      <c r="CI79" s="198">
        <f t="shared" ca="1" si="24"/>
        <v>280.92235092658967</v>
      </c>
      <c r="CJ79" s="198">
        <f t="shared" ca="1" si="25"/>
        <v>-798.17882646881981</v>
      </c>
      <c r="CK79" s="198">
        <f t="shared" ca="1" si="26"/>
        <v>1905.0888716744957</v>
      </c>
      <c r="CL79" s="186">
        <f t="shared" ca="1" si="27"/>
        <v>1804.7780154472089</v>
      </c>
      <c r="CM79" s="205">
        <f t="shared" ca="1" si="28"/>
        <v>3192.6104115794742</v>
      </c>
      <c r="CP79" s="180">
        <v>2043</v>
      </c>
      <c r="CQ79" s="22">
        <v>29</v>
      </c>
      <c r="CR79" s="181">
        <f t="shared" ca="1" si="29"/>
        <v>1954.5573208474043</v>
      </c>
      <c r="CS79" s="182">
        <f t="shared" ca="1" si="30"/>
        <v>1.6061798514900347</v>
      </c>
      <c r="CT79" s="205">
        <f t="shared" ca="1" si="31"/>
        <v>3139.3705873274439</v>
      </c>
      <c r="CZ79" s="164" t="b">
        <f t="shared" si="4"/>
        <v>1</v>
      </c>
      <c r="DA79" s="165" t="b">
        <f t="shared" si="4"/>
        <v>1</v>
      </c>
      <c r="DB79" s="166" t="b">
        <f t="shared" si="4"/>
        <v>1</v>
      </c>
      <c r="DC79" s="164">
        <f t="shared" si="15"/>
        <v>31</v>
      </c>
      <c r="DD79" s="166">
        <f t="shared" si="5"/>
        <v>3080.0990081584055</v>
      </c>
      <c r="DE79" s="164">
        <f t="shared" si="6"/>
        <v>31</v>
      </c>
      <c r="DF79" s="166">
        <f t="shared" si="7"/>
        <v>3286.87091114945</v>
      </c>
      <c r="DG79" s="164">
        <f t="shared" si="8"/>
        <v>31</v>
      </c>
      <c r="DH79" s="166">
        <f t="shared" si="9"/>
        <v>3493.6428141404945</v>
      </c>
      <c r="DI79" s="164">
        <f>IFERROR(INDEX(DC$46:DC$94,_xlfn.AGGREGATE(15,6,(ROW(DC$46:DC$94)-ROW(DC$46)+1)/(DC$46:DC$94&lt;&gt;""),ROWS(DI$1:DI34))),"")</f>
        <v>31</v>
      </c>
      <c r="DJ79" s="165">
        <f>IFERROR(INDEX(DD$46:DD$94,_xlfn.AGGREGATE(15,6,(ROW(DD$46:DD$94)-ROW(DD$46)+1)/(DD$46:DD$94&lt;&gt;""),ROWS(DJ$1:DJ34))),"")</f>
        <v>3080.0990081584055</v>
      </c>
      <c r="DK79" s="166">
        <f t="shared" si="10"/>
        <v>79</v>
      </c>
      <c r="DL79" s="164">
        <f>IFERROR(INDEX(DE$46:DE$94,_xlfn.AGGREGATE(15,6,(ROW(DE$46:DE$94)-ROW(DE$46)+1)/(DE$46:DE$94&lt;&gt;""),ROWS(DL$1:DL34))),"")</f>
        <v>31</v>
      </c>
      <c r="DM79" s="165">
        <f>IFERROR(INDEX(DF$46:DF$94,_xlfn.AGGREGATE(15,6,(ROW(DF$46:DF$94)-ROW(DF$46)+1)/(DF$46:DF$94&lt;&gt;""),ROWS(DM$1:DM34))),"")</f>
        <v>3286.87091114945</v>
      </c>
      <c r="DN79" s="166">
        <f t="shared" si="11"/>
        <v>79</v>
      </c>
      <c r="DO79" s="164">
        <f>IFERROR(INDEX(DG$46:DG$94,_xlfn.AGGREGATE(15,6,(ROW(DG$46:DG$94)-ROW(DG$46)+1)/(DG$46:DG$94&lt;&gt;""),ROWS(DO$1:DO34))),"")</f>
        <v>31</v>
      </c>
      <c r="DP79" s="165">
        <f>IFERROR(INDEX(DH$46:DH$94,_xlfn.AGGREGATE(15,6,(ROW(DH$46:DH$94)-ROW(DH$46)+1)/(DH$46:DH$94&lt;&gt;""),ROWS(DP$1:DP34))),"")</f>
        <v>3493.6428141404945</v>
      </c>
      <c r="DQ79" s="166">
        <f t="shared" si="12"/>
        <v>79</v>
      </c>
      <c r="DV79" s="145">
        <v>2048</v>
      </c>
      <c r="DW79" s="146">
        <f t="shared" ca="1" si="13"/>
        <v>3393.9098494272203</v>
      </c>
      <c r="EA79" s="55"/>
      <c r="EB79" s="55"/>
      <c r="EC79" s="55"/>
      <c r="ED79" s="55"/>
      <c r="EE79" s="55"/>
      <c r="EU79" s="65"/>
      <c r="EV79" s="147"/>
    </row>
    <row r="80" spans="1:152" ht="13.8" x14ac:dyDescent="0.45">
      <c r="B80" s="128">
        <v>2046</v>
      </c>
      <c r="C80" s="1016">
        <v>3238.6529680365297</v>
      </c>
      <c r="D80" s="982">
        <v>3610.4483029434805</v>
      </c>
      <c r="E80" s="1017"/>
      <c r="F80" s="1077"/>
      <c r="G80" s="1109">
        <v>3138.16</v>
      </c>
      <c r="H80" s="1107"/>
      <c r="I80" s="1112"/>
      <c r="J80" s="207"/>
      <c r="K80" s="204"/>
      <c r="L80" s="206"/>
      <c r="M80" s="204"/>
      <c r="N80" s="29" t="s">
        <v>758</v>
      </c>
      <c r="P80" s="128"/>
      <c r="Q80" s="176" t="str">
        <f t="shared" si="16"/>
        <v/>
      </c>
      <c r="R80" s="29">
        <v>32</v>
      </c>
      <c r="S80" s="154">
        <f t="shared" si="0"/>
        <v>3138.16</v>
      </c>
      <c r="T80" s="154">
        <f t="shared" si="1"/>
        <v>3610.4483029434805</v>
      </c>
      <c r="U80" s="154">
        <f t="shared" si="2"/>
        <v>203.1383898234555</v>
      </c>
      <c r="W80" s="154">
        <f t="shared" si="14"/>
        <v>3125.9487005032147</v>
      </c>
      <c r="X80" s="154">
        <f>IF(U80="",#N/A,IF($B$36=$A$62,(SUM(C80:E80)/COUNTIF(C80:E80,"&gt;0")),IF($B$36=$A$63,(SUM(F80:H80)/COUNTIF(F80:H80,"&gt;0")),IF($B$36=$A$64,(SUM(J80:K80)/COUNTIF(J80:K80,"&gt;0")),IF($B$36=$A$65,(SUM(L80:M80)/COUNTIF(L80:M80,"&gt;0")),(IF($B$36=$A$46,IF(C80="",#N/A,C80),IF($B$36=$A$47,IF(D80="",#N/A,D80),IF($B$36=$A$48,IF(E80="",#N/A,E80),IF($B$36=$A$49,IF(F80="",#N/A,F80),IF($B$36=$A$50,IF(G80="",#N/A,G80),IF($B$36=$A$51,IF(H80="",#N/A,H80),IF($B$36=$A$52,IF('Total MSW TAM Data_2021 Archive'!I80="",#N/A,'Total MSW TAM Data_2021 Archive'!I80),IF($B$36=$A$53,IF(J80="",#N/A,J80),IF($B$36=$A$54,IF(K80="",#N/A,K80),IF($B$36=$A$55,IF(L80="",#N/A,L80),IF($B$36=$A$56,IF(M80="",#N/A,M80),IF(U80="",#N/A,(SUM(C80:Q80)/COUNTIFS(C80:Q80,"&gt;0"))))))))))))))))))))</f>
        <v>3329.08709032667</v>
      </c>
      <c r="Y80" s="154">
        <f t="shared" si="3"/>
        <v>3532.2254801501253</v>
      </c>
      <c r="AA80" s="1133">
        <v>3125.9487005032147</v>
      </c>
      <c r="AB80" s="1133">
        <v>3329.08709032667</v>
      </c>
      <c r="AC80" s="1133">
        <v>3532.2254801501253</v>
      </c>
      <c r="AD80" s="89"/>
      <c r="AE80" s="89"/>
      <c r="AF80" s="89"/>
      <c r="AG80" s="89"/>
      <c r="AH80" s="89"/>
      <c r="AI80" s="89"/>
      <c r="AJ80" s="89"/>
      <c r="AK80" s="89"/>
      <c r="AL80" s="89"/>
      <c r="AM80" s="89"/>
      <c r="AN80" s="89"/>
      <c r="BR80" s="180">
        <v>2044</v>
      </c>
      <c r="BS80" s="22">
        <v>30</v>
      </c>
      <c r="BT80" s="181">
        <f t="shared" si="18"/>
        <v>1344.0633161419066</v>
      </c>
      <c r="BU80" s="182">
        <f t="shared" si="19"/>
        <v>1889.8895206627167</v>
      </c>
      <c r="BV80" s="205">
        <f t="shared" si="20"/>
        <v>3233.9528368046231</v>
      </c>
      <c r="BY80" s="180">
        <v>2044</v>
      </c>
      <c r="BZ80" s="22">
        <v>30</v>
      </c>
      <c r="CA80" s="198">
        <f t="shared" ca="1" si="21"/>
        <v>-169.98153781609591</v>
      </c>
      <c r="CB80" s="198">
        <f t="shared" ca="1" si="22"/>
        <v>1593.3695716055136</v>
      </c>
      <c r="CC80" s="186">
        <f t="shared" ca="1" si="32"/>
        <v>1836.2509020629714</v>
      </c>
      <c r="CD80" s="205">
        <f t="shared" ca="1" si="23"/>
        <v>3259.6389358523893</v>
      </c>
      <c r="CG80" s="180">
        <v>2044</v>
      </c>
      <c r="CH80" s="22">
        <v>30</v>
      </c>
      <c r="CI80" s="198">
        <f t="shared" ca="1" si="24"/>
        <v>310.99690331780397</v>
      </c>
      <c r="CJ80" s="198">
        <f t="shared" ca="1" si="25"/>
        <v>-854.17472511526501</v>
      </c>
      <c r="CK80" s="198">
        <f t="shared" ca="1" si="26"/>
        <v>1970.7815913874092</v>
      </c>
      <c r="CL80" s="186">
        <f t="shared" ca="1" si="27"/>
        <v>1804.7780154472089</v>
      </c>
      <c r="CM80" s="205">
        <f t="shared" ca="1" si="28"/>
        <v>3232.381785037157</v>
      </c>
      <c r="CP80" s="180">
        <v>2044</v>
      </c>
      <c r="CQ80" s="22">
        <v>30</v>
      </c>
      <c r="CR80" s="181">
        <f t="shared" ca="1" si="29"/>
        <v>1954.5573208474043</v>
      </c>
      <c r="CS80" s="182">
        <f t="shared" ca="1" si="30"/>
        <v>1.6326403453936156</v>
      </c>
      <c r="CT80" s="205">
        <f t="shared" ca="1" si="31"/>
        <v>3191.0891393999259</v>
      </c>
      <c r="CZ80" s="164" t="b">
        <f t="shared" si="4"/>
        <v>1</v>
      </c>
      <c r="DA80" s="165" t="b">
        <f t="shared" si="4"/>
        <v>1</v>
      </c>
      <c r="DB80" s="166" t="b">
        <f t="shared" si="4"/>
        <v>1</v>
      </c>
      <c r="DC80" s="164">
        <f t="shared" si="15"/>
        <v>32</v>
      </c>
      <c r="DD80" s="166">
        <f t="shared" si="5"/>
        <v>3125.9487005032147</v>
      </c>
      <c r="DE80" s="164">
        <f t="shared" si="6"/>
        <v>32</v>
      </c>
      <c r="DF80" s="166">
        <f t="shared" si="7"/>
        <v>3329.08709032667</v>
      </c>
      <c r="DG80" s="164">
        <f t="shared" si="8"/>
        <v>32</v>
      </c>
      <c r="DH80" s="166">
        <f t="shared" si="9"/>
        <v>3532.2254801501253</v>
      </c>
      <c r="DI80" s="164">
        <f>IFERROR(INDEX(DC$46:DC$94,_xlfn.AGGREGATE(15,6,(ROW(DC$46:DC$94)-ROW(DC$46)+1)/(DC$46:DC$94&lt;&gt;""),ROWS(DI$1:DI35))),"")</f>
        <v>32</v>
      </c>
      <c r="DJ80" s="165">
        <f>IFERROR(INDEX(DD$46:DD$94,_xlfn.AGGREGATE(15,6,(ROW(DD$46:DD$94)-ROW(DD$46)+1)/(DD$46:DD$94&lt;&gt;""),ROWS(DJ$1:DJ35))),"")</f>
        <v>3125.9487005032147</v>
      </c>
      <c r="DK80" s="166">
        <f t="shared" si="10"/>
        <v>80</v>
      </c>
      <c r="DL80" s="164">
        <f>IFERROR(INDEX(DE$46:DE$94,_xlfn.AGGREGATE(15,6,(ROW(DE$46:DE$94)-ROW(DE$46)+1)/(DE$46:DE$94&lt;&gt;""),ROWS(DL$1:DL35))),"")</f>
        <v>32</v>
      </c>
      <c r="DM80" s="165">
        <f>IFERROR(INDEX(DF$46:DF$94,_xlfn.AGGREGATE(15,6,(ROW(DF$46:DF$94)-ROW(DF$46)+1)/(DF$46:DF$94&lt;&gt;""),ROWS(DM$1:DM35))),"")</f>
        <v>3329.08709032667</v>
      </c>
      <c r="DN80" s="166">
        <f t="shared" si="11"/>
        <v>80</v>
      </c>
      <c r="DO80" s="164">
        <f>IFERROR(INDEX(DG$46:DG$94,_xlfn.AGGREGATE(15,6,(ROW(DG$46:DG$94)-ROW(DG$46)+1)/(DG$46:DG$94&lt;&gt;""),ROWS(DO$1:DO35))),"")</f>
        <v>32</v>
      </c>
      <c r="DP80" s="165">
        <f>IFERROR(INDEX(DH$46:DH$94,_xlfn.AGGREGATE(15,6,(ROW(DH$46:DH$94)-ROW(DH$46)+1)/(DH$46:DH$94&lt;&gt;""),ROWS(DP$1:DP35))),"")</f>
        <v>3532.2254801501253</v>
      </c>
      <c r="DQ80" s="166">
        <f t="shared" si="12"/>
        <v>80</v>
      </c>
      <c r="DV80" s="145">
        <v>2049</v>
      </c>
      <c r="DW80" s="146">
        <f t="shared" ca="1" si="13"/>
        <v>3435.2480602793662</v>
      </c>
      <c r="EA80" s="55"/>
      <c r="EB80" s="55"/>
      <c r="EC80" s="55"/>
      <c r="ED80" s="55"/>
      <c r="EE80" s="55"/>
      <c r="EU80" s="65"/>
      <c r="EV80" s="147"/>
    </row>
    <row r="81" spans="1:152" ht="13.8" x14ac:dyDescent="0.45">
      <c r="B81" s="128">
        <v>2047</v>
      </c>
      <c r="C81" s="1016">
        <v>3279.5091324200912</v>
      </c>
      <c r="D81" s="982">
        <v>3647.6159264809107</v>
      </c>
      <c r="E81" s="1017"/>
      <c r="F81" s="1077"/>
      <c r="G81" s="1109">
        <v>3186.12</v>
      </c>
      <c r="H81" s="1107"/>
      <c r="I81" s="1112"/>
      <c r="J81" s="207"/>
      <c r="K81" s="204"/>
      <c r="L81" s="206"/>
      <c r="M81" s="204"/>
      <c r="N81" s="29" t="s">
        <v>758</v>
      </c>
      <c r="P81" s="128"/>
      <c r="Q81" s="176" t="str">
        <f t="shared" si="16"/>
        <v/>
      </c>
      <c r="R81" s="29">
        <v>33</v>
      </c>
      <c r="S81" s="154">
        <f t="shared" si="0"/>
        <v>3186.12</v>
      </c>
      <c r="T81" s="154">
        <f t="shared" si="1"/>
        <v>3647.6159264809107</v>
      </c>
      <c r="U81" s="154">
        <f t="shared" si="2"/>
        <v>199.22143794905045</v>
      </c>
      <c r="W81" s="154">
        <f t="shared" si="14"/>
        <v>3171.8602483512827</v>
      </c>
      <c r="X81" s="154">
        <f>IF(U81="",#N/A,IF($B$36=$A$62,(SUM(C81:E81)/COUNTIF(C81:E81,"&gt;0")),IF($B$36=$A$63,(SUM(F81:H81)/COUNTIF(F81:H81,"&gt;0")),IF($B$36=$A$64,(SUM(J81:K81)/COUNTIF(J81:K81,"&gt;0")),IF($B$36=$A$65,(SUM(L81:M81)/COUNTIF(L81:M81,"&gt;0")),(IF($B$36=$A$46,IF(C81="",#N/A,C81),IF($B$36=$A$47,IF(D81="",#N/A,D81),IF($B$36=$A$48,IF(E81="",#N/A,E81),IF($B$36=$A$49,IF(F81="",#N/A,F81),IF($B$36=$A$50,IF(G81="",#N/A,G81),IF($B$36=$A$51,IF(H81="",#N/A,H81),IF($B$36=$A$52,IF('Total MSW TAM Data_2021 Archive'!I81="",#N/A,'Total MSW TAM Data_2021 Archive'!I81),IF($B$36=$A$53,IF(J81="",#N/A,J81),IF($B$36=$A$54,IF(K81="",#N/A,K81),IF($B$36=$A$55,IF(L81="",#N/A,L81),IF($B$36=$A$56,IF(M81="",#N/A,M81),IF(U81="",#N/A,(SUM(C81:Q81)/COUNTIFS(C81:Q81,"&gt;0"))))))))))))))))))))</f>
        <v>3371.0816863003333</v>
      </c>
      <c r="Y81" s="154">
        <f t="shared" si="3"/>
        <v>3570.3031242493839</v>
      </c>
      <c r="AA81" s="1133">
        <v>3171.8602483512827</v>
      </c>
      <c r="AB81" s="1133">
        <v>3371.0816863003333</v>
      </c>
      <c r="AC81" s="1133">
        <v>3570.3031242493839</v>
      </c>
      <c r="AD81" s="89"/>
      <c r="AE81" s="89"/>
      <c r="AF81" s="89"/>
      <c r="AG81" s="89"/>
      <c r="AH81" s="89"/>
      <c r="AI81" s="89"/>
      <c r="AJ81" s="89"/>
      <c r="AK81" s="89"/>
      <c r="AL81" s="89"/>
      <c r="AM81" s="89"/>
      <c r="AN81" s="89"/>
      <c r="BR81" s="180">
        <v>2045</v>
      </c>
      <c r="BS81" s="22">
        <v>31</v>
      </c>
      <c r="BT81" s="181">
        <f t="shared" si="18"/>
        <v>1388.8654266799701</v>
      </c>
      <c r="BU81" s="182">
        <f t="shared" si="19"/>
        <v>1889.8895206627167</v>
      </c>
      <c r="BV81" s="205">
        <f t="shared" si="20"/>
        <v>3278.754947342687</v>
      </c>
      <c r="BY81" s="180">
        <v>2045</v>
      </c>
      <c r="BZ81" s="22">
        <v>31</v>
      </c>
      <c r="CA81" s="198">
        <f t="shared" ca="1" si="21"/>
        <v>-181.50250871252018</v>
      </c>
      <c r="CB81" s="198">
        <f t="shared" ca="1" si="22"/>
        <v>1646.4818906590308</v>
      </c>
      <c r="CC81" s="198">
        <f t="shared" ca="1" si="32"/>
        <v>1836.2509020629714</v>
      </c>
      <c r="CD81" s="205">
        <f t="shared" ca="1" si="23"/>
        <v>3301.2302840094817</v>
      </c>
      <c r="CG81" s="180">
        <v>2045</v>
      </c>
      <c r="CH81" s="22">
        <v>31</v>
      </c>
      <c r="CI81" s="198">
        <f t="shared" ca="1" si="24"/>
        <v>343.14476839780366</v>
      </c>
      <c r="CJ81" s="198">
        <f t="shared" ca="1" si="25"/>
        <v>-912.06878981752186</v>
      </c>
      <c r="CK81" s="198">
        <f t="shared" ca="1" si="26"/>
        <v>2036.4743111003229</v>
      </c>
      <c r="CL81" s="198">
        <f t="shared" ca="1" si="27"/>
        <v>1804.7780154472089</v>
      </c>
      <c r="CM81" s="205">
        <f t="shared" ca="1" si="28"/>
        <v>3272.3283051278136</v>
      </c>
      <c r="CP81" s="180">
        <v>2045</v>
      </c>
      <c r="CQ81" s="22">
        <v>31</v>
      </c>
      <c r="CR81" s="181">
        <f t="shared" ca="1" si="29"/>
        <v>1954.5573208474043</v>
      </c>
      <c r="CS81" s="182">
        <f t="shared" ca="1" si="30"/>
        <v>1.6595367542023498</v>
      </c>
      <c r="CT81" s="205">
        <f t="shared" ca="1" si="31"/>
        <v>3243.6597121415421</v>
      </c>
      <c r="CZ81" s="164" t="b">
        <f t="shared" si="4"/>
        <v>1</v>
      </c>
      <c r="DA81" s="165" t="b">
        <f t="shared" si="4"/>
        <v>1</v>
      </c>
      <c r="DB81" s="166" t="b">
        <f t="shared" si="4"/>
        <v>1</v>
      </c>
      <c r="DC81" s="164">
        <f t="shared" si="15"/>
        <v>33</v>
      </c>
      <c r="DD81" s="166">
        <f t="shared" si="5"/>
        <v>3171.8602483512827</v>
      </c>
      <c r="DE81" s="164">
        <f t="shared" si="6"/>
        <v>33</v>
      </c>
      <c r="DF81" s="166">
        <f t="shared" si="7"/>
        <v>3371.0816863003333</v>
      </c>
      <c r="DG81" s="164">
        <f t="shared" si="8"/>
        <v>33</v>
      </c>
      <c r="DH81" s="166">
        <f t="shared" si="9"/>
        <v>3570.3031242493839</v>
      </c>
      <c r="DI81" s="164">
        <f>IFERROR(INDEX(DC$46:DC$94,_xlfn.AGGREGATE(15,6,(ROW(DC$46:DC$94)-ROW(DC$46)+1)/(DC$46:DC$94&lt;&gt;""),ROWS(DI$1:DI36))),"")</f>
        <v>33</v>
      </c>
      <c r="DJ81" s="165">
        <f>IFERROR(INDEX(DD$46:DD$94,_xlfn.AGGREGATE(15,6,(ROW(DD$46:DD$94)-ROW(DD$46)+1)/(DD$46:DD$94&lt;&gt;""),ROWS(DJ$1:DJ36))),"")</f>
        <v>3171.8602483512827</v>
      </c>
      <c r="DK81" s="166">
        <f t="shared" si="10"/>
        <v>81</v>
      </c>
      <c r="DL81" s="164">
        <f>IFERROR(INDEX(DE$46:DE$94,_xlfn.AGGREGATE(15,6,(ROW(DE$46:DE$94)-ROW(DE$46)+1)/(DE$46:DE$94&lt;&gt;""),ROWS(DL$1:DL36))),"")</f>
        <v>33</v>
      </c>
      <c r="DM81" s="165">
        <f>IFERROR(INDEX(DF$46:DF$94,_xlfn.AGGREGATE(15,6,(ROW(DF$46:DF$94)-ROW(DF$46)+1)/(DF$46:DF$94&lt;&gt;""),ROWS(DM$1:DM36))),"")</f>
        <v>3371.0816863003333</v>
      </c>
      <c r="DN81" s="166">
        <f t="shared" si="11"/>
        <v>81</v>
      </c>
      <c r="DO81" s="164">
        <f>IFERROR(INDEX(DG$46:DG$94,_xlfn.AGGREGATE(15,6,(ROW(DG$46:DG$94)-ROW(DG$46)+1)/(DG$46:DG$94&lt;&gt;""),ROWS(DO$1:DO36))),"")</f>
        <v>33</v>
      </c>
      <c r="DP81" s="165">
        <f>IFERROR(INDEX(DH$46:DH$94,_xlfn.AGGREGATE(15,6,(ROW(DH$46:DH$94)-ROW(DH$46)+1)/(DH$46:DH$94&lt;&gt;""),ROWS(DP$1:DP36))),"")</f>
        <v>3570.3031242493839</v>
      </c>
      <c r="DQ81" s="166">
        <f t="shared" si="12"/>
        <v>81</v>
      </c>
      <c r="DV81" s="145">
        <v>2050</v>
      </c>
      <c r="DW81" s="146">
        <f t="shared" ca="1" si="13"/>
        <v>3477.106969879284</v>
      </c>
      <c r="EA81" s="55"/>
      <c r="EB81" s="55"/>
      <c r="EC81" s="55"/>
      <c r="ED81" s="55"/>
      <c r="EE81" s="55"/>
      <c r="EU81" s="65"/>
      <c r="EV81" s="147"/>
    </row>
    <row r="82" spans="1:152" ht="13.8" x14ac:dyDescent="0.45">
      <c r="B82" s="128">
        <v>2048</v>
      </c>
      <c r="C82" s="1016">
        <v>3320.3652968036531</v>
      </c>
      <c r="D82" s="982">
        <v>3684.3685264062169</v>
      </c>
      <c r="E82" s="1017"/>
      <c r="F82" s="1077"/>
      <c r="G82" s="1109">
        <v>3234.08</v>
      </c>
      <c r="H82" s="1107"/>
      <c r="I82" s="1112"/>
      <c r="J82" s="207"/>
      <c r="K82" s="204"/>
      <c r="L82" s="206"/>
      <c r="M82" s="204"/>
      <c r="N82" s="29" t="s">
        <v>758</v>
      </c>
      <c r="P82" s="128"/>
      <c r="Q82" s="176" t="str">
        <f t="shared" si="16"/>
        <v/>
      </c>
      <c r="R82" s="29">
        <v>34</v>
      </c>
      <c r="S82" s="154">
        <f t="shared" si="0"/>
        <v>3234.08</v>
      </c>
      <c r="T82" s="154">
        <f t="shared" si="1"/>
        <v>3684.3685264062169</v>
      </c>
      <c r="U82" s="154">
        <f t="shared" si="2"/>
        <v>195.13620901498911</v>
      </c>
      <c r="W82" s="154">
        <f t="shared" si="14"/>
        <v>3217.8017320549675</v>
      </c>
      <c r="X82" s="154">
        <f>IF(U82="",#N/A,IF($B$36=$A$62,(SUM(C82:E82)/COUNTIF(C82:E82,"&gt;0")),IF($B$36=$A$63,(SUM(F82:H82)/COUNTIF(F82:H82,"&gt;0")),IF($B$36=$A$64,(SUM(J82:K82)/COUNTIF(J82:K82,"&gt;0")),IF($B$36=$A$65,(SUM(L82:M82)/COUNTIF(L82:M82,"&gt;0")),(IF($B$36=$A$46,IF(C82="",#N/A,C82),IF($B$36=$A$47,IF(D82="",#N/A,D82),IF($B$36=$A$48,IF(E82="",#N/A,E82),IF($B$36=$A$49,IF(F82="",#N/A,F82),IF($B$36=$A$50,IF(G82="",#N/A,G82),IF($B$36=$A$51,IF(H82="",#N/A,H82),IF($B$36=$A$52,IF('Total MSW TAM Data_2021 Archive'!I82="",#N/A,'Total MSW TAM Data_2021 Archive'!I82),IF($B$36=$A$53,IF(J82="",#N/A,J82),IF($B$36=$A$54,IF(K82="",#N/A,K82),IF($B$36=$A$55,IF(L82="",#N/A,L82),IF($B$36=$A$56,IF(M82="",#N/A,M82),IF(U82="",#N/A,(SUM(C82:Q82)/COUNTIFS(C82:Q82,"&gt;0"))))))))))))))))))))</f>
        <v>3412.9379410699567</v>
      </c>
      <c r="Y82" s="154">
        <f t="shared" si="3"/>
        <v>3608.0741500849458</v>
      </c>
      <c r="AA82" s="1133">
        <v>3217.8017320549675</v>
      </c>
      <c r="AB82" s="1133">
        <v>3412.9379410699567</v>
      </c>
      <c r="AC82" s="1133">
        <v>3608.0741500849458</v>
      </c>
      <c r="AD82" s="89"/>
      <c r="AE82" s="89"/>
      <c r="AF82" s="89"/>
      <c r="AG82" s="89"/>
      <c r="AH82" s="89"/>
      <c r="AI82" s="89"/>
      <c r="AJ82" s="89"/>
      <c r="AK82" s="89"/>
      <c r="AL82" s="89"/>
      <c r="AM82" s="89"/>
      <c r="AN82" s="89"/>
      <c r="BR82" s="180">
        <v>2046</v>
      </c>
      <c r="BS82" s="22">
        <v>32</v>
      </c>
      <c r="BT82" s="181">
        <f t="shared" si="18"/>
        <v>1433.6675372180337</v>
      </c>
      <c r="BU82" s="182">
        <f t="shared" si="19"/>
        <v>1889.8895206627167</v>
      </c>
      <c r="BV82" s="205">
        <f t="shared" si="20"/>
        <v>3323.5570578807501</v>
      </c>
      <c r="BY82" s="180">
        <v>2046</v>
      </c>
      <c r="BZ82" s="22">
        <v>32</v>
      </c>
      <c r="CA82" s="198">
        <f t="shared" ca="1" si="21"/>
        <v>-193.4012163596469</v>
      </c>
      <c r="CB82" s="198">
        <f t="shared" ca="1" si="22"/>
        <v>1699.5942097125478</v>
      </c>
      <c r="CC82" s="198">
        <f t="shared" ca="1" si="32"/>
        <v>1836.2509020629714</v>
      </c>
      <c r="CD82" s="205">
        <f t="shared" ca="1" si="23"/>
        <v>3342.4438954158722</v>
      </c>
      <c r="CG82" s="180">
        <v>2046</v>
      </c>
      <c r="CH82" s="22">
        <v>32</v>
      </c>
      <c r="CI82" s="198">
        <f t="shared" ca="1" si="24"/>
        <v>377.4350565895482</v>
      </c>
      <c r="CJ82" s="198">
        <f t="shared" ca="1" si="25"/>
        <v>-971.86102057559037</v>
      </c>
      <c r="CK82" s="198">
        <f t="shared" ca="1" si="26"/>
        <v>2102.1670308132366</v>
      </c>
      <c r="CL82" s="198">
        <f t="shared" ca="1" si="27"/>
        <v>1804.7780154472089</v>
      </c>
      <c r="CM82" s="205">
        <f t="shared" ca="1" si="28"/>
        <v>3312.5190822744034</v>
      </c>
      <c r="CP82" s="180">
        <v>2046</v>
      </c>
      <c r="CQ82" s="22">
        <v>32</v>
      </c>
      <c r="CR82" s="181">
        <f t="shared" ca="1" si="29"/>
        <v>1954.5573208474043</v>
      </c>
      <c r="CS82" s="182">
        <f t="shared" ca="1" si="30"/>
        <v>1.6868762592562843</v>
      </c>
      <c r="CT82" s="205">
        <f t="shared" ca="1" si="31"/>
        <v>3297.0963418930542</v>
      </c>
      <c r="CZ82" s="164" t="b">
        <f t="shared" si="4"/>
        <v>1</v>
      </c>
      <c r="DA82" s="165" t="b">
        <f t="shared" si="4"/>
        <v>1</v>
      </c>
      <c r="DB82" s="166" t="b">
        <f t="shared" si="4"/>
        <v>1</v>
      </c>
      <c r="DC82" s="164">
        <f t="shared" si="15"/>
        <v>34</v>
      </c>
      <c r="DD82" s="166">
        <f t="shared" si="5"/>
        <v>3217.8017320549675</v>
      </c>
      <c r="DE82" s="164">
        <f t="shared" si="6"/>
        <v>34</v>
      </c>
      <c r="DF82" s="166">
        <f t="shared" si="7"/>
        <v>3412.9379410699567</v>
      </c>
      <c r="DG82" s="164">
        <f t="shared" si="8"/>
        <v>34</v>
      </c>
      <c r="DH82" s="166">
        <f t="shared" si="9"/>
        <v>3608.0741500849458</v>
      </c>
      <c r="DI82" s="164">
        <f>IFERROR(INDEX(DC$46:DC$94,_xlfn.AGGREGATE(15,6,(ROW(DC$46:DC$94)-ROW(DC$46)+1)/(DC$46:DC$94&lt;&gt;""),ROWS(DI$1:DI37))),"")</f>
        <v>34</v>
      </c>
      <c r="DJ82" s="165">
        <f>IFERROR(INDEX(DD$46:DD$94,_xlfn.AGGREGATE(15,6,(ROW(DD$46:DD$94)-ROW(DD$46)+1)/(DD$46:DD$94&lt;&gt;""),ROWS(DJ$1:DJ37))),"")</f>
        <v>3217.8017320549675</v>
      </c>
      <c r="DK82" s="166">
        <f t="shared" si="10"/>
        <v>82</v>
      </c>
      <c r="DL82" s="164">
        <f>IFERROR(INDEX(DE$46:DE$94,_xlfn.AGGREGATE(15,6,(ROW(DE$46:DE$94)-ROW(DE$46)+1)/(DE$46:DE$94&lt;&gt;""),ROWS(DL$1:DL37))),"")</f>
        <v>34</v>
      </c>
      <c r="DM82" s="165">
        <f>IFERROR(INDEX(DF$46:DF$94,_xlfn.AGGREGATE(15,6,(ROW(DF$46:DF$94)-ROW(DF$46)+1)/(DF$46:DF$94&lt;&gt;""),ROWS(DM$1:DM37))),"")</f>
        <v>3412.9379410699567</v>
      </c>
      <c r="DN82" s="166">
        <f t="shared" si="11"/>
        <v>82</v>
      </c>
      <c r="DO82" s="164">
        <f>IFERROR(INDEX(DG$46:DG$94,_xlfn.AGGREGATE(15,6,(ROW(DG$46:DG$94)-ROW(DG$46)+1)/(DG$46:DG$94&lt;&gt;""),ROWS(DO$1:DO37))),"")</f>
        <v>34</v>
      </c>
      <c r="DP82" s="165">
        <f>IFERROR(INDEX(DH$46:DH$94,_xlfn.AGGREGATE(15,6,(ROW(DH$46:DH$94)-ROW(DH$46)+1)/(DH$46:DH$94&lt;&gt;""),ROWS(DP$1:DP37))),"")</f>
        <v>3608.0741500849458</v>
      </c>
      <c r="DQ82" s="166">
        <f t="shared" si="12"/>
        <v>82</v>
      </c>
      <c r="DV82" s="145">
        <v>2051</v>
      </c>
      <c r="DW82" s="146">
        <f t="shared" ca="1" si="13"/>
        <v>3519.5556886499317</v>
      </c>
      <c r="EA82" s="55"/>
      <c r="EB82" s="55"/>
      <c r="EC82" s="55"/>
      <c r="ED82" s="55"/>
      <c r="EE82" s="55"/>
      <c r="EU82" s="65"/>
      <c r="EV82" s="147"/>
    </row>
    <row r="83" spans="1:152" ht="13.8" x14ac:dyDescent="0.45">
      <c r="B83" s="128">
        <v>2049</v>
      </c>
      <c r="C83" s="1016">
        <v>3361.2214611872146</v>
      </c>
      <c r="D83" s="982">
        <v>3720.7276099914202</v>
      </c>
      <c r="E83" s="1017"/>
      <c r="F83" s="1077"/>
      <c r="G83" s="1109">
        <v>3282.04</v>
      </c>
      <c r="H83" s="1107"/>
      <c r="I83" s="1112"/>
      <c r="J83" s="207"/>
      <c r="K83" s="204"/>
      <c r="L83" s="206"/>
      <c r="M83" s="204"/>
      <c r="N83" s="29" t="s">
        <v>758</v>
      </c>
      <c r="P83" s="128"/>
      <c r="Q83" s="176" t="str">
        <f t="shared" si="16"/>
        <v/>
      </c>
      <c r="R83" s="29">
        <v>35</v>
      </c>
      <c r="S83" s="154">
        <f t="shared" si="0"/>
        <v>3282.04</v>
      </c>
      <c r="T83" s="154">
        <f t="shared" si="1"/>
        <v>3720.7276099914202</v>
      </c>
      <c r="U83" s="154">
        <f t="shared" si="2"/>
        <v>190.89298746905831</v>
      </c>
      <c r="W83" s="154">
        <f t="shared" si="14"/>
        <v>3263.7700362571536</v>
      </c>
      <c r="X83" s="154">
        <f>IF(U83="",#N/A,IF($B$36=$A$62,(SUM(C83:E83)/COUNTIF(C83:E83,"&gt;0")),IF($B$36=$A$63,(SUM(F83:H83)/COUNTIF(F83:H83,"&gt;0")),IF($B$36=$A$64,(SUM(J83:K83)/COUNTIF(J83:K83,"&gt;0")),IF($B$36=$A$65,(SUM(L83:M83)/COUNTIF(L83:M83,"&gt;0")),(IF($B$36=$A$46,IF(C83="",#N/A,C83),IF($B$36=$A$47,IF(D83="",#N/A,D83),IF($B$36=$A$48,IF(E83="",#N/A,E83),IF($B$36=$A$49,IF(F83="",#N/A,F83),IF($B$36=$A$50,IF(G83="",#N/A,G83),IF($B$36=$A$51,IF(H83="",#N/A,H83),IF($B$36=$A$52,IF('Total MSW TAM Data_2021 Archive'!I83="",#N/A,'Total MSW TAM Data_2021 Archive'!I83),IF($B$36=$A$53,IF(J83="",#N/A,J83),IF($B$36=$A$54,IF(K83="",#N/A,K83),IF($B$36=$A$55,IF(L83="",#N/A,L83),IF($B$36=$A$56,IF(M83="",#N/A,M83),IF(U83="",#N/A,(SUM(C83:Q83)/COUNTIFS(C83:Q83,"&gt;0"))))))))))))))))))))</f>
        <v>3454.663023726212</v>
      </c>
      <c r="Y83" s="154">
        <f t="shared" si="3"/>
        <v>3645.5560111952705</v>
      </c>
      <c r="AA83" s="1133">
        <v>3263.7700362571536</v>
      </c>
      <c r="AB83" s="1133">
        <v>3454.663023726212</v>
      </c>
      <c r="AC83" s="1133">
        <v>3645.5560111952705</v>
      </c>
      <c r="AD83" s="89"/>
      <c r="AE83" s="89"/>
      <c r="AF83" s="89"/>
      <c r="AG83" s="89"/>
      <c r="AH83" s="89"/>
      <c r="AI83" s="89"/>
      <c r="AJ83" s="89"/>
      <c r="AK83" s="89"/>
      <c r="AL83" s="89"/>
      <c r="AM83" s="89"/>
      <c r="AN83" s="89"/>
      <c r="BR83" s="180">
        <v>2047</v>
      </c>
      <c r="BS83" s="22">
        <v>33</v>
      </c>
      <c r="BT83" s="181">
        <f t="shared" si="18"/>
        <v>1478.4696477560972</v>
      </c>
      <c r="BU83" s="182">
        <f t="shared" si="19"/>
        <v>1889.8895206627167</v>
      </c>
      <c r="BV83" s="205">
        <f t="shared" si="20"/>
        <v>3368.3591684188141</v>
      </c>
      <c r="BY83" s="180">
        <v>2047</v>
      </c>
      <c r="BZ83" s="22">
        <v>33</v>
      </c>
      <c r="CA83" s="198">
        <f t="shared" ca="1" si="21"/>
        <v>-205.67766075747605</v>
      </c>
      <c r="CB83" s="198">
        <f t="shared" ca="1" si="22"/>
        <v>1752.7065287660648</v>
      </c>
      <c r="CC83" s="198">
        <f t="shared" ca="1" si="32"/>
        <v>1836.2509020629714</v>
      </c>
      <c r="CD83" s="205">
        <f t="shared" ca="1" si="23"/>
        <v>3383.2797700715601</v>
      </c>
      <c r="CG83" s="180">
        <v>2047</v>
      </c>
      <c r="CH83" s="22">
        <v>33</v>
      </c>
      <c r="CI83" s="198">
        <f t="shared" ca="1" si="24"/>
        <v>413.93687831599709</v>
      </c>
      <c r="CJ83" s="198">
        <f t="shared" ca="1" si="25"/>
        <v>-1033.5514173894705</v>
      </c>
      <c r="CK83" s="198">
        <f t="shared" ca="1" si="26"/>
        <v>2167.85975052615</v>
      </c>
      <c r="CL83" s="198">
        <f t="shared" ca="1" si="27"/>
        <v>1804.7780154472089</v>
      </c>
      <c r="CM83" s="205">
        <f t="shared" ca="1" si="28"/>
        <v>3353.0232268998852</v>
      </c>
      <c r="CP83" s="180">
        <v>2047</v>
      </c>
      <c r="CQ83" s="22">
        <v>33</v>
      </c>
      <c r="CR83" s="181">
        <f t="shared" ca="1" si="29"/>
        <v>1954.5573208474043</v>
      </c>
      <c r="CS83" s="182">
        <f t="shared" ca="1" si="30"/>
        <v>1.7146661602021456</v>
      </c>
      <c r="CT83" s="205">
        <f t="shared" ca="1" si="31"/>
        <v>3351.413296232412</v>
      </c>
      <c r="CZ83" s="164" t="b">
        <f t="shared" si="4"/>
        <v>1</v>
      </c>
      <c r="DA83" s="165" t="b">
        <f t="shared" si="4"/>
        <v>1</v>
      </c>
      <c r="DB83" s="166" t="b">
        <f t="shared" si="4"/>
        <v>1</v>
      </c>
      <c r="DC83" s="164">
        <f t="shared" si="15"/>
        <v>35</v>
      </c>
      <c r="DD83" s="166">
        <f t="shared" si="5"/>
        <v>3263.7700362571536</v>
      </c>
      <c r="DE83" s="164">
        <f t="shared" si="6"/>
        <v>35</v>
      </c>
      <c r="DF83" s="166">
        <f t="shared" si="7"/>
        <v>3454.663023726212</v>
      </c>
      <c r="DG83" s="164">
        <f t="shared" si="8"/>
        <v>35</v>
      </c>
      <c r="DH83" s="166">
        <f t="shared" si="9"/>
        <v>3645.5560111952705</v>
      </c>
      <c r="DI83" s="164">
        <f>IFERROR(INDEX(DC$46:DC$94,_xlfn.AGGREGATE(15,6,(ROW(DC$46:DC$94)-ROW(DC$46)+1)/(DC$46:DC$94&lt;&gt;""),ROWS(DI$1:DI38))),"")</f>
        <v>35</v>
      </c>
      <c r="DJ83" s="165">
        <f>IFERROR(INDEX(DD$46:DD$94,_xlfn.AGGREGATE(15,6,(ROW(DD$46:DD$94)-ROW(DD$46)+1)/(DD$46:DD$94&lt;&gt;""),ROWS(DJ$1:DJ38))),"")</f>
        <v>3263.7700362571536</v>
      </c>
      <c r="DK83" s="166">
        <f t="shared" si="10"/>
        <v>83</v>
      </c>
      <c r="DL83" s="164">
        <f>IFERROR(INDEX(DE$46:DE$94,_xlfn.AGGREGATE(15,6,(ROW(DE$46:DE$94)-ROW(DE$46)+1)/(DE$46:DE$94&lt;&gt;""),ROWS(DL$1:DL38))),"")</f>
        <v>35</v>
      </c>
      <c r="DM83" s="165">
        <f>IFERROR(INDEX(DF$46:DF$94,_xlfn.AGGREGATE(15,6,(ROW(DF$46:DF$94)-ROW(DF$46)+1)/(DF$46:DF$94&lt;&gt;""),ROWS(DM$1:DM38))),"")</f>
        <v>3454.663023726212</v>
      </c>
      <c r="DN83" s="166">
        <f t="shared" si="11"/>
        <v>83</v>
      </c>
      <c r="DO83" s="164">
        <f>IFERROR(INDEX(DG$46:DG$94,_xlfn.AGGREGATE(15,6,(ROW(DG$46:DG$94)-ROW(DG$46)+1)/(DG$46:DG$94&lt;&gt;""),ROWS(DO$1:DO38))),"")</f>
        <v>35</v>
      </c>
      <c r="DP83" s="165">
        <f>IFERROR(INDEX(DH$46:DH$94,_xlfn.AGGREGATE(15,6,(ROW(DH$46:DH$94)-ROW(DH$46)+1)/(DH$46:DH$94&lt;&gt;""),ROWS(DP$1:DP38))),"")</f>
        <v>3645.5560111952705</v>
      </c>
      <c r="DQ83" s="166">
        <f t="shared" si="12"/>
        <v>83</v>
      </c>
      <c r="DV83" s="145">
        <v>2052</v>
      </c>
      <c r="DW83" s="146">
        <f t="shared" ca="1" si="13"/>
        <v>3562.6633270142702</v>
      </c>
      <c r="EA83" s="55"/>
      <c r="EB83" s="55"/>
      <c r="EC83" s="55"/>
      <c r="ED83" s="55"/>
      <c r="EE83" s="55"/>
      <c r="EU83" s="65"/>
      <c r="EV83" s="147"/>
    </row>
    <row r="84" spans="1:152" ht="13.8" x14ac:dyDescent="0.45">
      <c r="B84" s="128">
        <v>2050</v>
      </c>
      <c r="C84" s="1016">
        <v>3400</v>
      </c>
      <c r="D84" s="982">
        <v>3756.7146845085417</v>
      </c>
      <c r="E84" s="1017"/>
      <c r="F84" s="1077"/>
      <c r="G84" s="1109">
        <v>3330</v>
      </c>
      <c r="H84" s="1107"/>
      <c r="I84" s="1112"/>
      <c r="J84" s="207"/>
      <c r="K84" s="204"/>
      <c r="L84" s="206"/>
      <c r="M84" s="204"/>
      <c r="N84" s="29" t="s">
        <v>758</v>
      </c>
      <c r="P84" s="128"/>
      <c r="Q84" s="176" t="str">
        <f t="shared" si="16"/>
        <v/>
      </c>
      <c r="R84" s="29">
        <v>36</v>
      </c>
      <c r="S84" s="154">
        <f t="shared" si="0"/>
        <v>3330</v>
      </c>
      <c r="T84" s="154">
        <f t="shared" si="1"/>
        <v>3756.7146845085417</v>
      </c>
      <c r="U84" s="154">
        <f t="shared" si="2"/>
        <v>186.85430691651266</v>
      </c>
      <c r="W84" s="154">
        <f t="shared" si="14"/>
        <v>3308.7172545863345</v>
      </c>
      <c r="X84" s="154">
        <f>IF(U84="",#N/A,IF($B$36=$A$62,(SUM(C84:E84)/COUNTIF(C84:E84,"&gt;0")),IF($B$36=$A$63,(SUM(F84:H84)/COUNTIF(F84:H84,"&gt;0")),IF($B$36=$A$64,(SUM(J84:K84)/COUNTIF(J84:K84,"&gt;0")),IF($B$36=$A$65,(SUM(L84:M84)/COUNTIF(L84:M84,"&gt;0")),(IF($B$36=$A$46,IF(C84="",#N/A,C84),IF($B$36=$A$47,IF(D84="",#N/A,D84),IF($B$36=$A$48,IF(E84="",#N/A,E84),IF($B$36=$A$49,IF(F84="",#N/A,F84),IF($B$36=$A$50,IF(G84="",#N/A,G84),IF($B$36=$A$51,IF(H84="",#N/A,H84),IF($B$36=$A$52,IF('Total MSW TAM Data_2021 Archive'!I84="",#N/A,'Total MSW TAM Data_2021 Archive'!I84),IF($B$36=$A$53,IF(J84="",#N/A,J84),IF($B$36=$A$54,IF(K84="",#N/A,K84),IF($B$36=$A$55,IF(L84="",#N/A,L84),IF($B$36=$A$56,IF(M84="",#N/A,M84),IF(U84="",#N/A,(SUM(C84:Q84)/COUNTIFS(C84:Q84,"&gt;0"))))))))))))))))))))</f>
        <v>3495.5715615028471</v>
      </c>
      <c r="Y84" s="154">
        <f t="shared" si="3"/>
        <v>3682.4258684193596</v>
      </c>
      <c r="AA84" s="1133">
        <v>3308.7172545863345</v>
      </c>
      <c r="AB84" s="1133">
        <v>3495.5715615028471</v>
      </c>
      <c r="AC84" s="1133">
        <v>3682.4258684193596</v>
      </c>
      <c r="AD84" s="89"/>
      <c r="AE84" s="89"/>
      <c r="AF84" s="89"/>
      <c r="AG84" s="89"/>
      <c r="AH84" s="89"/>
      <c r="AI84" s="89"/>
      <c r="AJ84" s="89"/>
      <c r="AK84" s="89"/>
      <c r="AL84" s="89"/>
      <c r="AM84" s="89"/>
      <c r="AN84" s="89"/>
      <c r="BR84" s="180">
        <v>2048</v>
      </c>
      <c r="BS84" s="22">
        <v>34</v>
      </c>
      <c r="BT84" s="181">
        <f t="shared" si="18"/>
        <v>1523.2717582941607</v>
      </c>
      <c r="BU84" s="182">
        <f t="shared" si="19"/>
        <v>1889.8895206627167</v>
      </c>
      <c r="BV84" s="205">
        <f t="shared" si="20"/>
        <v>3413.1612789568771</v>
      </c>
      <c r="BY84" s="180">
        <v>2048</v>
      </c>
      <c r="BZ84" s="22">
        <v>34</v>
      </c>
      <c r="CA84" s="198">
        <f t="shared" ca="1" si="21"/>
        <v>-218.33184190600764</v>
      </c>
      <c r="CB84" s="198">
        <f t="shared" ca="1" si="22"/>
        <v>1805.8188478195821</v>
      </c>
      <c r="CC84" s="198">
        <f t="shared" ca="1" si="32"/>
        <v>1836.2509020629714</v>
      </c>
      <c r="CD84" s="205">
        <f t="shared" ca="1" si="23"/>
        <v>3423.737907976546</v>
      </c>
      <c r="CG84" s="180">
        <v>2048</v>
      </c>
      <c r="CH84" s="22">
        <v>34</v>
      </c>
      <c r="CI84" s="198">
        <f t="shared" ca="1" si="24"/>
        <v>452.71934400010991</v>
      </c>
      <c r="CJ84" s="198">
        <f t="shared" ca="1" si="25"/>
        <v>-1097.1399802591625</v>
      </c>
      <c r="CK84" s="198">
        <f t="shared" ca="1" si="26"/>
        <v>2233.552470239064</v>
      </c>
      <c r="CL84" s="198">
        <f t="shared" ca="1" si="27"/>
        <v>1804.7780154472089</v>
      </c>
      <c r="CM84" s="205">
        <f t="shared" ca="1" si="28"/>
        <v>3393.9098494272203</v>
      </c>
      <c r="CP84" s="180">
        <v>2048</v>
      </c>
      <c r="CQ84" s="22">
        <v>34</v>
      </c>
      <c r="CR84" s="181">
        <f t="shared" ca="1" si="29"/>
        <v>1954.5573208474043</v>
      </c>
      <c r="CS84" s="182">
        <f t="shared" ca="1" si="30"/>
        <v>1.7429138769423445</v>
      </c>
      <c r="CT84" s="205">
        <f t="shared" ca="1" si="31"/>
        <v>3406.6250777841915</v>
      </c>
      <c r="CZ84" s="164" t="b">
        <f t="shared" si="4"/>
        <v>1</v>
      </c>
      <c r="DA84" s="165" t="b">
        <f t="shared" si="4"/>
        <v>1</v>
      </c>
      <c r="DB84" s="166" t="b">
        <f t="shared" si="4"/>
        <v>1</v>
      </c>
      <c r="DC84" s="164">
        <f t="shared" si="15"/>
        <v>36</v>
      </c>
      <c r="DD84" s="166">
        <f t="shared" si="5"/>
        <v>3308.7172545863345</v>
      </c>
      <c r="DE84" s="164">
        <f t="shared" si="6"/>
        <v>36</v>
      </c>
      <c r="DF84" s="166">
        <f t="shared" si="7"/>
        <v>3495.5715615028471</v>
      </c>
      <c r="DG84" s="164">
        <f t="shared" si="8"/>
        <v>36</v>
      </c>
      <c r="DH84" s="166">
        <f t="shared" si="9"/>
        <v>3682.4258684193596</v>
      </c>
      <c r="DI84" s="164">
        <f>IFERROR(INDEX(DC$46:DC$94,_xlfn.AGGREGATE(15,6,(ROW(DC$46:DC$94)-ROW(DC$46)+1)/(DC$46:DC$94&lt;&gt;""),ROWS(DI$1:DI39))),"")</f>
        <v>36</v>
      </c>
      <c r="DJ84" s="165">
        <f>IFERROR(INDEX(DD$46:DD$94,_xlfn.AGGREGATE(15,6,(ROW(DD$46:DD$94)-ROW(DD$46)+1)/(DD$46:DD$94&lt;&gt;""),ROWS(DJ$1:DJ39))),"")</f>
        <v>3308.7172545863345</v>
      </c>
      <c r="DK84" s="166">
        <f t="shared" si="10"/>
        <v>84</v>
      </c>
      <c r="DL84" s="164">
        <f>IFERROR(INDEX(DE$46:DE$94,_xlfn.AGGREGATE(15,6,(ROW(DE$46:DE$94)-ROW(DE$46)+1)/(DE$46:DE$94&lt;&gt;""),ROWS(DL$1:DL39))),"")</f>
        <v>36</v>
      </c>
      <c r="DM84" s="165">
        <f>IFERROR(INDEX(DF$46:DF$94,_xlfn.AGGREGATE(15,6,(ROW(DF$46:DF$94)-ROW(DF$46)+1)/(DF$46:DF$94&lt;&gt;""),ROWS(DM$1:DM39))),"")</f>
        <v>3495.5715615028471</v>
      </c>
      <c r="DN84" s="166">
        <f t="shared" si="11"/>
        <v>84</v>
      </c>
      <c r="DO84" s="164">
        <f>IFERROR(INDEX(DG$46:DG$94,_xlfn.AGGREGATE(15,6,(ROW(DG$46:DG$94)-ROW(DG$46)+1)/(DG$46:DG$94&lt;&gt;""),ROWS(DO$1:DO39))),"")</f>
        <v>36</v>
      </c>
      <c r="DP84" s="165">
        <f>IFERROR(INDEX(DH$46:DH$94,_xlfn.AGGREGATE(15,6,(ROW(DH$46:DH$94)-ROW(DH$46)+1)/(DH$46:DH$94&lt;&gt;""),ROWS(DP$1:DP39))),"")</f>
        <v>3682.4258684193596</v>
      </c>
      <c r="DQ84" s="166">
        <f t="shared" si="12"/>
        <v>84</v>
      </c>
      <c r="DV84" s="145">
        <v>2053</v>
      </c>
      <c r="DW84" s="146">
        <f t="shared" ca="1" si="13"/>
        <v>3606.4989953952586</v>
      </c>
      <c r="EA84" s="55"/>
      <c r="EB84" s="55"/>
      <c r="EC84" s="55"/>
      <c r="ED84" s="55"/>
      <c r="EE84" s="55"/>
      <c r="EU84" s="65"/>
      <c r="EV84" s="147"/>
    </row>
    <row r="85" spans="1:152" ht="13.8" x14ac:dyDescent="0.45">
      <c r="B85" s="128">
        <v>2051</v>
      </c>
      <c r="C85" s="1016">
        <v>3442.933789954338</v>
      </c>
      <c r="D85" s="982">
        <v>3792.3512572296022</v>
      </c>
      <c r="E85" s="1017"/>
      <c r="F85" s="1077"/>
      <c r="G85" s="1109">
        <v>3377.96</v>
      </c>
      <c r="H85" s="1107"/>
      <c r="I85" s="1112"/>
      <c r="J85" s="207"/>
      <c r="K85" s="204"/>
      <c r="L85" s="206"/>
      <c r="M85" s="204"/>
      <c r="N85" s="29" t="s">
        <v>758</v>
      </c>
      <c r="P85" s="128"/>
      <c r="Q85" s="176" t="str">
        <f t="shared" si="16"/>
        <v/>
      </c>
      <c r="R85" s="29">
        <v>37</v>
      </c>
      <c r="S85" s="154">
        <f t="shared" si="0"/>
        <v>3377.96</v>
      </c>
      <c r="T85" s="154">
        <f t="shared" si="1"/>
        <v>3792.3512572296022</v>
      </c>
      <c r="U85" s="154">
        <f t="shared" si="2"/>
        <v>181.97505136889907</v>
      </c>
      <c r="W85" s="154">
        <f t="shared" si="14"/>
        <v>3355.7732976924144</v>
      </c>
      <c r="X85" s="154">
        <f>IF(U85="",#N/A,IF($B$36=$A$62,(SUM(C85:E85)/COUNTIF(C85:E85,"&gt;0")),IF($B$36=$A$63,(SUM(F85:H85)/COUNTIF(F85:H85,"&gt;0")),IF($B$36=$A$64,(SUM(J85:K85)/COUNTIF(J85:K85,"&gt;0")),IF($B$36=$A$65,(SUM(L85:M85)/COUNTIF(L85:M85,"&gt;0")),(IF($B$36=$A$46,IF(C85="",#N/A,C85),IF($B$36=$A$47,IF(D85="",#N/A,D85),IF($B$36=$A$48,IF(E85="",#N/A,E85),IF($B$36=$A$49,IF(F85="",#N/A,F85),IF($B$36=$A$50,IF(G85="",#N/A,G85),IF($B$36=$A$51,IF(H85="",#N/A,H85),IF($B$36=$A$52,IF('Total MSW TAM Data_2021 Archive'!I85="",#N/A,'Total MSW TAM Data_2021 Archive'!I85),IF($B$36=$A$53,IF(J85="",#N/A,J85),IF($B$36=$A$54,IF(K85="",#N/A,K85),IF($B$36=$A$55,IF(L85="",#N/A,L85),IF($B$36=$A$56,IF(M85="",#N/A,M85),IF(U85="",#N/A,(SUM(C85:Q85)/COUNTIFS(C85:Q85,"&gt;0"))))))))))))))))))))</f>
        <v>3537.7483490613135</v>
      </c>
      <c r="Y85" s="154">
        <f t="shared" si="3"/>
        <v>3719.7234004302127</v>
      </c>
      <c r="AA85" s="1133">
        <v>3355.7732976924144</v>
      </c>
      <c r="AB85" s="1133">
        <v>3537.7483490613135</v>
      </c>
      <c r="AC85" s="1133">
        <v>3719.7234004302127</v>
      </c>
      <c r="AD85" s="89"/>
      <c r="AE85" s="89"/>
      <c r="AF85" s="89"/>
      <c r="AG85" s="89"/>
      <c r="AH85" s="89"/>
      <c r="AI85" s="89"/>
      <c r="AJ85" s="89"/>
      <c r="AK85" s="89"/>
      <c r="AL85" s="89"/>
      <c r="AM85" s="89"/>
      <c r="AN85" s="89"/>
      <c r="BR85" s="180">
        <v>2049</v>
      </c>
      <c r="BS85" s="22">
        <v>35</v>
      </c>
      <c r="BT85" s="181">
        <f t="shared" si="18"/>
        <v>1568.0738688322242</v>
      </c>
      <c r="BU85" s="182">
        <f t="shared" si="19"/>
        <v>1889.8895206627167</v>
      </c>
      <c r="BV85" s="205">
        <f t="shared" si="20"/>
        <v>3457.9633894949411</v>
      </c>
      <c r="BY85" s="180">
        <v>2049</v>
      </c>
      <c r="BZ85" s="22">
        <v>35</v>
      </c>
      <c r="CA85" s="198">
        <f t="shared" ca="1" si="21"/>
        <v>-231.36375980524164</v>
      </c>
      <c r="CB85" s="198">
        <f t="shared" ca="1" si="22"/>
        <v>1858.9311668730991</v>
      </c>
      <c r="CC85" s="198">
        <f t="shared" ca="1" si="32"/>
        <v>1836.2509020629714</v>
      </c>
      <c r="CD85" s="205">
        <f t="shared" ca="1" si="23"/>
        <v>3463.8183091308288</v>
      </c>
      <c r="CG85" s="180">
        <v>2049</v>
      </c>
      <c r="CH85" s="22">
        <v>35</v>
      </c>
      <c r="CI85" s="198">
        <f t="shared" ca="1" si="24"/>
        <v>493.85156406484617</v>
      </c>
      <c r="CJ85" s="198">
        <f t="shared" ca="1" si="25"/>
        <v>-1162.6267091846662</v>
      </c>
      <c r="CK85" s="198">
        <f t="shared" ca="1" si="26"/>
        <v>2299.2451899519774</v>
      </c>
      <c r="CL85" s="198">
        <f t="shared" ca="1" si="27"/>
        <v>1804.7780154472089</v>
      </c>
      <c r="CM85" s="205">
        <f t="shared" ca="1" si="28"/>
        <v>3435.2480602793662</v>
      </c>
      <c r="CP85" s="180">
        <v>2049</v>
      </c>
      <c r="CQ85" s="22">
        <v>35</v>
      </c>
      <c r="CR85" s="181">
        <f t="shared" ca="1" si="29"/>
        <v>1954.5573208474043</v>
      </c>
      <c r="CS85" s="182">
        <f t="shared" ca="1" si="30"/>
        <v>1.7716269516160903</v>
      </c>
      <c r="CT85" s="205">
        <f t="shared" ca="1" si="31"/>
        <v>3462.7464280917993</v>
      </c>
      <c r="CZ85" s="164" t="b">
        <f t="shared" si="4"/>
        <v>1</v>
      </c>
      <c r="DA85" s="165" t="b">
        <f t="shared" si="4"/>
        <v>1</v>
      </c>
      <c r="DB85" s="166" t="b">
        <f t="shared" si="4"/>
        <v>1</v>
      </c>
      <c r="DC85" s="164">
        <f t="shared" si="15"/>
        <v>37</v>
      </c>
      <c r="DD85" s="166">
        <f t="shared" si="5"/>
        <v>3355.7732976924144</v>
      </c>
      <c r="DE85" s="164">
        <f t="shared" si="6"/>
        <v>37</v>
      </c>
      <c r="DF85" s="166">
        <f t="shared" si="7"/>
        <v>3537.7483490613135</v>
      </c>
      <c r="DG85" s="164">
        <f t="shared" si="8"/>
        <v>37</v>
      </c>
      <c r="DH85" s="166">
        <f t="shared" si="9"/>
        <v>3719.7234004302127</v>
      </c>
      <c r="DI85" s="164">
        <f>IFERROR(INDEX(DC$46:DC$94,_xlfn.AGGREGATE(15,6,(ROW(DC$46:DC$94)-ROW(DC$46)+1)/(DC$46:DC$94&lt;&gt;""),ROWS(DI$1:DI40))),"")</f>
        <v>37</v>
      </c>
      <c r="DJ85" s="165">
        <f>IFERROR(INDEX(DD$46:DD$94,_xlfn.AGGREGATE(15,6,(ROW(DD$46:DD$94)-ROW(DD$46)+1)/(DD$46:DD$94&lt;&gt;""),ROWS(DJ$1:DJ40))),"")</f>
        <v>3355.7732976924144</v>
      </c>
      <c r="DK85" s="166">
        <f t="shared" si="10"/>
        <v>85</v>
      </c>
      <c r="DL85" s="164">
        <f>IFERROR(INDEX(DE$46:DE$94,_xlfn.AGGREGATE(15,6,(ROW(DE$46:DE$94)-ROW(DE$46)+1)/(DE$46:DE$94&lt;&gt;""),ROWS(DL$1:DL40))),"")</f>
        <v>37</v>
      </c>
      <c r="DM85" s="165">
        <f>IFERROR(INDEX(DF$46:DF$94,_xlfn.AGGREGATE(15,6,(ROW(DF$46:DF$94)-ROW(DF$46)+1)/(DF$46:DF$94&lt;&gt;""),ROWS(DM$1:DM40))),"")</f>
        <v>3537.7483490613135</v>
      </c>
      <c r="DN85" s="166">
        <f t="shared" si="11"/>
        <v>85</v>
      </c>
      <c r="DO85" s="164">
        <f>IFERROR(INDEX(DG$46:DG$94,_xlfn.AGGREGATE(15,6,(ROW(DG$46:DG$94)-ROW(DG$46)+1)/(DG$46:DG$94&lt;&gt;""),ROWS(DO$1:DO40))),"")</f>
        <v>37</v>
      </c>
      <c r="DP85" s="165">
        <f>IFERROR(INDEX(DH$46:DH$94,_xlfn.AGGREGATE(15,6,(ROW(DH$46:DH$94)-ROW(DH$46)+1)/(DH$46:DH$94&lt;&gt;""),ROWS(DP$1:DP40))),"")</f>
        <v>3719.7234004302127</v>
      </c>
      <c r="DQ85" s="166">
        <f t="shared" si="12"/>
        <v>85</v>
      </c>
      <c r="DV85" s="145">
        <v>2054</v>
      </c>
      <c r="DW85" s="146">
        <f t="shared" ca="1" si="13"/>
        <v>3651.1318042158559</v>
      </c>
      <c r="EA85" s="55"/>
      <c r="EB85" s="55"/>
      <c r="EC85" s="55"/>
      <c r="ED85" s="55"/>
      <c r="EE85" s="55"/>
      <c r="EU85" s="65"/>
      <c r="EV85" s="147"/>
    </row>
    <row r="86" spans="1:152" ht="14.1" thickBot="1" x14ac:dyDescent="0.5">
      <c r="B86" s="128">
        <v>2052</v>
      </c>
      <c r="C86" s="1016">
        <v>3483.7899543378999</v>
      </c>
      <c r="D86" s="982">
        <v>3827.6588354266241</v>
      </c>
      <c r="E86" s="1017"/>
      <c r="F86" s="1077"/>
      <c r="G86" s="1109">
        <v>3425.92</v>
      </c>
      <c r="H86" s="1107"/>
      <c r="I86" s="1112"/>
      <c r="J86" s="207"/>
      <c r="K86" s="204"/>
      <c r="L86" s="206"/>
      <c r="M86" s="204"/>
      <c r="N86" s="29" t="s">
        <v>758</v>
      </c>
      <c r="P86" s="128"/>
      <c r="Q86" s="176" t="str">
        <f t="shared" si="16"/>
        <v/>
      </c>
      <c r="R86" s="29">
        <v>38</v>
      </c>
      <c r="S86" s="154">
        <f t="shared" si="0"/>
        <v>3425.92</v>
      </c>
      <c r="T86" s="154">
        <f t="shared" si="1"/>
        <v>3827.6588354266241</v>
      </c>
      <c r="U86" s="154">
        <f t="shared" si="2"/>
        <v>177.32231509824825</v>
      </c>
      <c r="W86" s="154">
        <f t="shared" si="14"/>
        <v>3401.8006148232603</v>
      </c>
      <c r="X86" s="154">
        <f>IF(U86="",#N/A,IF($B$36=$A$62,(SUM(C86:E86)/COUNTIF(C86:E86,"&gt;0")),IF($B$36=$A$63,(SUM(F86:H86)/COUNTIF(F86:H86,"&gt;0")),IF($B$36=$A$64,(SUM(J86:K86)/COUNTIF(J86:K86,"&gt;0")),IF($B$36=$A$65,(SUM(L86:M86)/COUNTIF(L86:M86,"&gt;0")),(IF($B$36=$A$46,IF(C86="",#N/A,C86),IF($B$36=$A$47,IF(D86="",#N/A,D86),IF($B$36=$A$48,IF(E86="",#N/A,E86),IF($B$36=$A$49,IF(F86="",#N/A,F86),IF($B$36=$A$50,IF(G86="",#N/A,G86),IF($B$36=$A$51,IF(H86="",#N/A,H86),IF($B$36=$A$52,IF('Total MSW TAM Data_2021 Archive'!I86="",#N/A,'Total MSW TAM Data_2021 Archive'!I86),IF($B$36=$A$53,IF(J86="",#N/A,J86),IF($B$36=$A$54,IF(K86="",#N/A,K86),IF($B$36=$A$55,IF(L86="",#N/A,L86),IF($B$36=$A$56,IF(M86="",#N/A,M86),IF(U86="",#N/A,(SUM(C86:Q86)/COUNTIFS(C86:Q86,"&gt;0"))))))))))))))))))))</f>
        <v>3579.1229299215083</v>
      </c>
      <c r="Y86" s="154">
        <f t="shared" si="3"/>
        <v>3756.4452450197564</v>
      </c>
      <c r="AA86" s="1133">
        <v>3401.8006148232603</v>
      </c>
      <c r="AB86" s="1133">
        <v>3579.1229299215083</v>
      </c>
      <c r="AC86" s="1133">
        <v>3756.4452450197564</v>
      </c>
      <c r="AD86" s="89"/>
      <c r="AE86" s="89"/>
      <c r="AF86" s="89"/>
      <c r="AG86" s="89"/>
      <c r="AH86" s="89"/>
      <c r="AI86" s="89"/>
      <c r="AJ86" s="89"/>
      <c r="AK86" s="89"/>
      <c r="AL86" s="89"/>
      <c r="AM86" s="89"/>
      <c r="AN86" s="89"/>
      <c r="BR86" s="180">
        <v>2050</v>
      </c>
      <c r="BS86" s="22">
        <v>36</v>
      </c>
      <c r="BT86" s="181">
        <f t="shared" si="18"/>
        <v>1612.875979370288</v>
      </c>
      <c r="BU86" s="182">
        <f t="shared" si="19"/>
        <v>1889.8895206627167</v>
      </c>
      <c r="BV86" s="212">
        <f t="shared" si="20"/>
        <v>3502.7655000330046</v>
      </c>
      <c r="BY86" s="180">
        <v>2050</v>
      </c>
      <c r="BZ86" s="22">
        <v>36</v>
      </c>
      <c r="CA86" s="198">
        <f t="shared" ca="1" si="21"/>
        <v>-244.77341445517811</v>
      </c>
      <c r="CB86" s="198">
        <f t="shared" ca="1" si="22"/>
        <v>1912.0434859266163</v>
      </c>
      <c r="CC86" s="198">
        <f t="shared" ca="1" si="32"/>
        <v>1836.2509020629714</v>
      </c>
      <c r="CD86" s="212">
        <f t="shared" ca="1" si="23"/>
        <v>3503.5209735344097</v>
      </c>
      <c r="CG86" s="180">
        <v>2050</v>
      </c>
      <c r="CH86" s="22">
        <v>36</v>
      </c>
      <c r="CI86" s="198">
        <f t="shared" ca="1" si="24"/>
        <v>537.40264893316532</v>
      </c>
      <c r="CJ86" s="198">
        <f t="shared" ca="1" si="25"/>
        <v>-1230.0116041659817</v>
      </c>
      <c r="CK86" s="198">
        <f t="shared" ca="1" si="26"/>
        <v>2364.9379096648913</v>
      </c>
      <c r="CL86" s="198">
        <f t="shared" ca="1" si="27"/>
        <v>1804.7780154472089</v>
      </c>
      <c r="CM86" s="212">
        <f t="shared" ca="1" si="28"/>
        <v>3477.106969879284</v>
      </c>
      <c r="CP86" s="180">
        <v>2050</v>
      </c>
      <c r="CQ86" s="22">
        <v>36</v>
      </c>
      <c r="CR86" s="181">
        <f t="shared" ca="1" si="29"/>
        <v>1954.5573208474043</v>
      </c>
      <c r="CS86" s="182">
        <f t="shared" ca="1" si="30"/>
        <v>1.8008130506131417</v>
      </c>
      <c r="CT86" s="212">
        <f t="shared" ca="1" si="31"/>
        <v>3519.7923315534631</v>
      </c>
      <c r="CZ86" s="164" t="b">
        <f t="shared" ref="CZ86:DB94" si="33">ISNUMBER(W86)</f>
        <v>1</v>
      </c>
      <c r="DA86" s="165" t="b">
        <f t="shared" si="33"/>
        <v>1</v>
      </c>
      <c r="DB86" s="166" t="b">
        <f t="shared" si="33"/>
        <v>1</v>
      </c>
      <c r="DC86" s="164">
        <f t="shared" si="15"/>
        <v>38</v>
      </c>
      <c r="DD86" s="166">
        <f t="shared" si="5"/>
        <v>3401.8006148232603</v>
      </c>
      <c r="DE86" s="164">
        <f t="shared" si="6"/>
        <v>38</v>
      </c>
      <c r="DF86" s="166">
        <f t="shared" si="7"/>
        <v>3579.1229299215083</v>
      </c>
      <c r="DG86" s="164">
        <f t="shared" si="8"/>
        <v>38</v>
      </c>
      <c r="DH86" s="166">
        <f t="shared" si="9"/>
        <v>3756.4452450197564</v>
      </c>
      <c r="DI86" s="164">
        <f>IFERROR(INDEX(DC$46:DC$94,_xlfn.AGGREGATE(15,6,(ROW(DC$46:DC$94)-ROW(DC$46)+1)/(DC$46:DC$94&lt;&gt;""),ROWS(DI$1:DI41))),"")</f>
        <v>38</v>
      </c>
      <c r="DJ86" s="165">
        <f>IFERROR(INDEX(DD$46:DD$94,_xlfn.AGGREGATE(15,6,(ROW(DD$46:DD$94)-ROW(DD$46)+1)/(DD$46:DD$94&lt;&gt;""),ROWS(DJ$1:DJ41))),"")</f>
        <v>3401.8006148232603</v>
      </c>
      <c r="DK86" s="166">
        <f t="shared" si="10"/>
        <v>86</v>
      </c>
      <c r="DL86" s="164">
        <f>IFERROR(INDEX(DE$46:DE$94,_xlfn.AGGREGATE(15,6,(ROW(DE$46:DE$94)-ROW(DE$46)+1)/(DE$46:DE$94&lt;&gt;""),ROWS(DL$1:DL41))),"")</f>
        <v>38</v>
      </c>
      <c r="DM86" s="165">
        <f>IFERROR(INDEX(DF$46:DF$94,_xlfn.AGGREGATE(15,6,(ROW(DF$46:DF$94)-ROW(DF$46)+1)/(DF$46:DF$94&lt;&gt;""),ROWS(DM$1:DM41))),"")</f>
        <v>3579.1229299215083</v>
      </c>
      <c r="DN86" s="166">
        <f t="shared" si="11"/>
        <v>86</v>
      </c>
      <c r="DO86" s="164">
        <f>IFERROR(INDEX(DG$46:DG$94,_xlfn.AGGREGATE(15,6,(ROW(DG$46:DG$94)-ROW(DG$46)+1)/(DG$46:DG$94&lt;&gt;""),ROWS(DO$1:DO41))),"")</f>
        <v>38</v>
      </c>
      <c r="DP86" s="165">
        <f>IFERROR(INDEX(DH$46:DH$94,_xlfn.AGGREGATE(15,6,(ROW(DH$46:DH$94)-ROW(DH$46)+1)/(DH$46:DH$94&lt;&gt;""),ROWS(DP$1:DP41))),"")</f>
        <v>3756.4452450197564</v>
      </c>
      <c r="DQ86" s="166">
        <f t="shared" si="12"/>
        <v>86</v>
      </c>
      <c r="DV86" s="145">
        <v>2055</v>
      </c>
      <c r="DW86" s="146">
        <f t="shared" ca="1" si="13"/>
        <v>3696.6308638990222</v>
      </c>
      <c r="EA86" s="55"/>
      <c r="EB86" s="55"/>
      <c r="EC86" s="55"/>
      <c r="ED86" s="55"/>
      <c r="EE86" s="55"/>
    </row>
    <row r="87" spans="1:152" ht="13.8" x14ac:dyDescent="0.45">
      <c r="B87" s="128">
        <v>2053</v>
      </c>
      <c r="C87" s="1016">
        <v>3524.6461187214613</v>
      </c>
      <c r="D87" s="982">
        <v>3862.6589263716269</v>
      </c>
      <c r="E87" s="1017"/>
      <c r="F87" s="1077"/>
      <c r="G87" s="1109">
        <v>3473.88</v>
      </c>
      <c r="H87" s="1107"/>
      <c r="I87" s="1112"/>
      <c r="J87" s="207"/>
      <c r="K87" s="204"/>
      <c r="L87" s="206"/>
      <c r="M87" s="204"/>
      <c r="N87" s="29" t="s">
        <v>758</v>
      </c>
      <c r="P87" s="128"/>
      <c r="Q87" s="176" t="str">
        <f t="shared" si="16"/>
        <v/>
      </c>
      <c r="R87" s="29">
        <v>39</v>
      </c>
      <c r="S87" s="154">
        <f t="shared" si="0"/>
        <v>3473.88</v>
      </c>
      <c r="T87" s="154">
        <f t="shared" si="1"/>
        <v>3862.6589263716269</v>
      </c>
      <c r="U87" s="154">
        <f t="shared" si="2"/>
        <v>172.55559829814084</v>
      </c>
      <c r="W87" s="154">
        <f t="shared" si="14"/>
        <v>3447.8394167328879</v>
      </c>
      <c r="X87" s="154">
        <f>IF(U87="",#N/A,IF($B$36=$A$62,(SUM(C87:E87)/COUNTIF(C87:E87,"&gt;0")),IF($B$36=$A$63,(SUM(F87:H87)/COUNTIF(F87:H87,"&gt;0")),IF($B$36=$A$64,(SUM(J87:K87)/COUNTIF(J87:K87,"&gt;0")),IF($B$36=$A$65,(SUM(L87:M87)/COUNTIF(L87:M87,"&gt;0")),(IF($B$36=$A$46,IF(C87="",#N/A,C87),IF($B$36=$A$47,IF(D87="",#N/A,D87),IF($B$36=$A$48,IF(E87="",#N/A,E87),IF($B$36=$A$49,IF(F87="",#N/A,F87),IF($B$36=$A$50,IF(G87="",#N/A,G87),IF($B$36=$A$51,IF(H87="",#N/A,H87),IF($B$36=$A$52,IF('Total MSW TAM Data_2021 Archive'!I87="",#N/A,'Total MSW TAM Data_2021 Archive'!I87),IF($B$36=$A$53,IF(J87="",#N/A,J87),IF($B$36=$A$54,IF(K87="",#N/A,K87),IF($B$36=$A$55,IF(L87="",#N/A,L87),IF($B$36=$A$56,IF(M87="",#N/A,M87),IF(U87="",#N/A,(SUM(C87:Q87)/COUNTIFS(C87:Q87,"&gt;0"))))))))))))))))))))</f>
        <v>3620.3950150310288</v>
      </c>
      <c r="Y87" s="154">
        <f t="shared" si="3"/>
        <v>3792.9506133291698</v>
      </c>
      <c r="AA87" s="1133">
        <v>3447.8394167328879</v>
      </c>
      <c r="AB87" s="1133">
        <v>3620.3950150310288</v>
      </c>
      <c r="AC87" s="1133">
        <v>3792.9506133291698</v>
      </c>
      <c r="AD87" s="89"/>
      <c r="AE87" s="89"/>
      <c r="AF87" s="89"/>
      <c r="AG87" s="89"/>
      <c r="AH87" s="89"/>
      <c r="AI87" s="89"/>
      <c r="AJ87" s="89"/>
      <c r="AK87" s="89"/>
      <c r="AL87" s="89"/>
      <c r="AM87" s="89"/>
      <c r="AN87" s="89"/>
      <c r="BR87" s="180">
        <v>2051</v>
      </c>
      <c r="BS87" s="22">
        <v>37</v>
      </c>
      <c r="BT87" s="181">
        <f t="shared" si="18"/>
        <v>1657.6780899083515</v>
      </c>
      <c r="BU87" s="182">
        <f t="shared" si="19"/>
        <v>1889.8895206627167</v>
      </c>
      <c r="BV87" s="213">
        <f t="shared" si="20"/>
        <v>3547.5676105710681</v>
      </c>
      <c r="BY87" s="180">
        <v>2051</v>
      </c>
      <c r="BZ87" s="22">
        <v>37</v>
      </c>
      <c r="CA87" s="198">
        <f t="shared" ca="1" si="21"/>
        <v>-258.56080585581697</v>
      </c>
      <c r="CB87" s="198">
        <f t="shared" ca="1" si="22"/>
        <v>1965.1558049801333</v>
      </c>
      <c r="CC87" s="198">
        <f t="shared" ca="1" si="32"/>
        <v>1836.2509020629714</v>
      </c>
      <c r="CD87" s="213">
        <f t="shared" ca="1" si="23"/>
        <v>3542.8459011872878</v>
      </c>
      <c r="CG87" s="180">
        <v>2051</v>
      </c>
      <c r="CH87" s="22">
        <v>37</v>
      </c>
      <c r="CI87" s="198">
        <f t="shared" ca="1" si="24"/>
        <v>583.44170902802693</v>
      </c>
      <c r="CJ87" s="198">
        <f t="shared" ca="1" si="25"/>
        <v>-1299.2946652031087</v>
      </c>
      <c r="CK87" s="198">
        <f t="shared" ca="1" si="26"/>
        <v>2430.6306293778048</v>
      </c>
      <c r="CL87" s="198">
        <f t="shared" ca="1" si="27"/>
        <v>1804.7780154472089</v>
      </c>
      <c r="CM87" s="213">
        <f t="shared" ca="1" si="28"/>
        <v>3519.5556886499317</v>
      </c>
      <c r="CP87" s="180">
        <v>2051</v>
      </c>
      <c r="CQ87" s="22">
        <v>37</v>
      </c>
      <c r="CR87" s="181">
        <f t="shared" ca="1" si="29"/>
        <v>1954.5573208474043</v>
      </c>
      <c r="CS87" s="182">
        <f t="shared" ca="1" si="30"/>
        <v>1.8304799666207314</v>
      </c>
      <c r="CT87" s="213">
        <f t="shared" ca="1" si="31"/>
        <v>3577.7780194230627</v>
      </c>
      <c r="CZ87" s="164" t="b">
        <f t="shared" si="33"/>
        <v>1</v>
      </c>
      <c r="DA87" s="165" t="b">
        <f t="shared" si="33"/>
        <v>1</v>
      </c>
      <c r="DB87" s="166" t="b">
        <f t="shared" si="33"/>
        <v>1</v>
      </c>
      <c r="DC87" s="164">
        <f t="shared" si="15"/>
        <v>39</v>
      </c>
      <c r="DD87" s="166">
        <f t="shared" si="5"/>
        <v>3447.8394167328879</v>
      </c>
      <c r="DE87" s="164">
        <f t="shared" si="6"/>
        <v>39</v>
      </c>
      <c r="DF87" s="166">
        <f t="shared" si="7"/>
        <v>3620.3950150310288</v>
      </c>
      <c r="DG87" s="164">
        <f t="shared" si="8"/>
        <v>39</v>
      </c>
      <c r="DH87" s="166">
        <f t="shared" si="9"/>
        <v>3792.9506133291698</v>
      </c>
      <c r="DI87" s="164">
        <f>IFERROR(INDEX(DC$46:DC$94,_xlfn.AGGREGATE(15,6,(ROW(DC$46:DC$94)-ROW(DC$46)+1)/(DC$46:DC$94&lt;&gt;""),ROWS(DI$1:DI42))),"")</f>
        <v>39</v>
      </c>
      <c r="DJ87" s="165">
        <f>IFERROR(INDEX(DD$46:DD$94,_xlfn.AGGREGATE(15,6,(ROW(DD$46:DD$94)-ROW(DD$46)+1)/(DD$46:DD$94&lt;&gt;""),ROWS(DJ$1:DJ42))),"")</f>
        <v>3447.8394167328879</v>
      </c>
      <c r="DK87" s="166">
        <f t="shared" si="10"/>
        <v>87</v>
      </c>
      <c r="DL87" s="164">
        <f>IFERROR(INDEX(DE$46:DE$94,_xlfn.AGGREGATE(15,6,(ROW(DE$46:DE$94)-ROW(DE$46)+1)/(DE$46:DE$94&lt;&gt;""),ROWS(DL$1:DL42))),"")</f>
        <v>39</v>
      </c>
      <c r="DM87" s="165">
        <f>IFERROR(INDEX(DF$46:DF$94,_xlfn.AGGREGATE(15,6,(ROW(DF$46:DF$94)-ROW(DF$46)+1)/(DF$46:DF$94&lt;&gt;""),ROWS(DM$1:DM42))),"")</f>
        <v>3620.3950150310288</v>
      </c>
      <c r="DN87" s="166">
        <f t="shared" si="11"/>
        <v>87</v>
      </c>
      <c r="DO87" s="164">
        <f>IFERROR(INDEX(DG$46:DG$94,_xlfn.AGGREGATE(15,6,(ROW(DG$46:DG$94)-ROW(DG$46)+1)/(DG$46:DG$94&lt;&gt;""),ROWS(DO$1:DO42))),"")</f>
        <v>39</v>
      </c>
      <c r="DP87" s="165">
        <f>IFERROR(INDEX(DH$46:DH$94,_xlfn.AGGREGATE(15,6,(ROW(DH$46:DH$94)-ROW(DH$46)+1)/(DH$46:DH$94&lt;&gt;""),ROWS(DP$1:DP42))),"")</f>
        <v>3792.9506133291698</v>
      </c>
      <c r="DQ87" s="166">
        <f t="shared" si="12"/>
        <v>87</v>
      </c>
      <c r="DV87" s="145">
        <v>2056</v>
      </c>
      <c r="DW87" s="146">
        <f t="shared" ca="1" si="13"/>
        <v>3743.0652848677169</v>
      </c>
      <c r="EA87" s="55"/>
      <c r="EB87" s="55"/>
      <c r="EC87" s="55"/>
      <c r="ED87" s="55"/>
      <c r="EE87" s="55"/>
    </row>
    <row r="88" spans="1:152" ht="13.8" x14ac:dyDescent="0.45">
      <c r="B88" s="128">
        <v>2054</v>
      </c>
      <c r="C88" s="1016">
        <v>3565.5022831050228</v>
      </c>
      <c r="D88" s="982">
        <v>3897.3730373366325</v>
      </c>
      <c r="E88" s="1017"/>
      <c r="F88" s="1077"/>
      <c r="G88" s="1109">
        <v>3521.84</v>
      </c>
      <c r="H88" s="1107"/>
      <c r="I88" s="1112"/>
      <c r="J88" s="207"/>
      <c r="K88" s="204"/>
      <c r="L88" s="206"/>
      <c r="M88" s="204"/>
      <c r="N88" s="29" t="s">
        <v>758</v>
      </c>
      <c r="P88" s="128"/>
      <c r="Q88" s="176" t="str">
        <f t="shared" si="16"/>
        <v/>
      </c>
      <c r="R88" s="29">
        <v>40</v>
      </c>
      <c r="S88" s="154">
        <f t="shared" si="0"/>
        <v>3521.84</v>
      </c>
      <c r="T88" s="154">
        <f t="shared" si="1"/>
        <v>3897.3730373366325</v>
      </c>
      <c r="U88" s="154">
        <f t="shared" si="2"/>
        <v>167.68676308041236</v>
      </c>
      <c r="W88" s="154">
        <f t="shared" si="14"/>
        <v>3493.8850104001394</v>
      </c>
      <c r="X88" s="154">
        <f>IF(U88="",#N/A,IF($B$36=$A$62,(SUM(C88:E88)/COUNTIF(C88:E88,"&gt;0")),IF($B$36=$A$63,(SUM(F88:H88)/COUNTIF(F88:H88,"&gt;0")),IF($B$36=$A$64,(SUM(J88:K88)/COUNTIF(J88:K88,"&gt;0")),IF($B$36=$A$65,(SUM(L88:M88)/COUNTIF(L88:M88,"&gt;0")),(IF($B$36=$A$46,IF(C88="",#N/A,C88),IF($B$36=$A$47,IF(D88="",#N/A,D88),IF($B$36=$A$48,IF(E88="",#N/A,E88),IF($B$36=$A$49,IF(F88="",#N/A,F88),IF($B$36=$A$50,IF(G88="",#N/A,G88),IF($B$36=$A$51,IF(H88="",#N/A,H88),IF($B$36=$A$52,IF('Total MSW TAM Data_2021 Archive'!I88="",#N/A,'Total MSW TAM Data_2021 Archive'!I88),IF($B$36=$A$53,IF(J88="",#N/A,J88),IF($B$36=$A$54,IF(K88="",#N/A,K88),IF($B$36=$A$55,IF(L88="",#N/A,L88),IF($B$36=$A$56,IF(M88="",#N/A,M88),IF(U88="",#N/A,(SUM(C88:Q88)/COUNTIFS(C88:Q88,"&gt;0"))))))))))))))))))))</f>
        <v>3661.5717734805517</v>
      </c>
      <c r="Y88" s="154">
        <f t="shared" si="3"/>
        <v>3829.2585365609639</v>
      </c>
      <c r="AA88" s="1133">
        <v>3493.8850104001394</v>
      </c>
      <c r="AB88" s="1133">
        <v>3661.5717734805517</v>
      </c>
      <c r="AC88" s="1133">
        <v>3829.2585365609639</v>
      </c>
      <c r="AD88" s="89"/>
      <c r="AE88" s="89"/>
      <c r="AF88" s="89"/>
      <c r="AG88" s="89"/>
      <c r="AH88" s="89"/>
      <c r="AI88" s="89"/>
      <c r="AJ88" s="89"/>
      <c r="AK88" s="89"/>
      <c r="AL88" s="89"/>
      <c r="AM88" s="89"/>
      <c r="AN88" s="89"/>
      <c r="BR88" s="180">
        <v>2052</v>
      </c>
      <c r="BS88" s="22">
        <v>38</v>
      </c>
      <c r="BT88" s="181">
        <f t="shared" si="18"/>
        <v>1702.480200446415</v>
      </c>
      <c r="BU88" s="182">
        <f t="shared" si="19"/>
        <v>1889.8895206627167</v>
      </c>
      <c r="BV88" s="183">
        <f t="shared" si="20"/>
        <v>3592.3697211091317</v>
      </c>
      <c r="BY88" s="180">
        <v>2052</v>
      </c>
      <c r="BZ88" s="22">
        <v>38</v>
      </c>
      <c r="CA88" s="185">
        <f t="shared" ca="1" si="21"/>
        <v>-272.72593400715834</v>
      </c>
      <c r="CB88" s="185">
        <f t="shared" ca="1" si="22"/>
        <v>2018.2681240336506</v>
      </c>
      <c r="CC88" s="185">
        <f t="shared" ca="1" si="32"/>
        <v>1836.2509020629714</v>
      </c>
      <c r="CD88" s="183">
        <f t="shared" ca="1" si="23"/>
        <v>3581.7930920894637</v>
      </c>
      <c r="CG88" s="180">
        <v>2052</v>
      </c>
      <c r="CH88" s="22">
        <v>38</v>
      </c>
      <c r="CI88" s="185">
        <f t="shared" ca="1" si="24"/>
        <v>632.03785477239035</v>
      </c>
      <c r="CJ88" s="185">
        <f t="shared" ca="1" si="25"/>
        <v>-1370.4758922960473</v>
      </c>
      <c r="CK88" s="185">
        <f t="shared" ca="1" si="26"/>
        <v>2496.3233490907182</v>
      </c>
      <c r="CL88" s="185">
        <f t="shared" ca="1" si="27"/>
        <v>1804.7780154472089</v>
      </c>
      <c r="CM88" s="183">
        <f t="shared" ca="1" si="28"/>
        <v>3562.6633270142702</v>
      </c>
      <c r="CP88" s="180">
        <v>2052</v>
      </c>
      <c r="CQ88" s="22">
        <v>38</v>
      </c>
      <c r="CR88" s="181">
        <f t="shared" ca="1" si="29"/>
        <v>1954.5573208474043</v>
      </c>
      <c r="CS88" s="182">
        <f t="shared" ca="1" si="30"/>
        <v>1.8606356207042152</v>
      </c>
      <c r="CT88" s="183">
        <f t="shared" ca="1" si="31"/>
        <v>3636.718973876878</v>
      </c>
      <c r="CZ88" s="164" t="b">
        <f t="shared" si="33"/>
        <v>1</v>
      </c>
      <c r="DA88" s="165" t="b">
        <f t="shared" si="33"/>
        <v>1</v>
      </c>
      <c r="DB88" s="166" t="b">
        <f t="shared" si="33"/>
        <v>1</v>
      </c>
      <c r="DC88" s="164">
        <f t="shared" si="15"/>
        <v>40</v>
      </c>
      <c r="DD88" s="166">
        <f t="shared" si="5"/>
        <v>3493.8850104001394</v>
      </c>
      <c r="DE88" s="164">
        <f t="shared" si="6"/>
        <v>40</v>
      </c>
      <c r="DF88" s="166">
        <f t="shared" si="7"/>
        <v>3661.5717734805517</v>
      </c>
      <c r="DG88" s="164">
        <f t="shared" si="8"/>
        <v>40</v>
      </c>
      <c r="DH88" s="166">
        <f t="shared" si="9"/>
        <v>3829.2585365609639</v>
      </c>
      <c r="DI88" s="164">
        <f>IFERROR(INDEX(DC$46:DC$94,_xlfn.AGGREGATE(15,6,(ROW(DC$46:DC$94)-ROW(DC$46)+1)/(DC$46:DC$94&lt;&gt;""),ROWS(DI$1:DI43))),"")</f>
        <v>40</v>
      </c>
      <c r="DJ88" s="165">
        <f>IFERROR(INDEX(DD$46:DD$94,_xlfn.AGGREGATE(15,6,(ROW(DD$46:DD$94)-ROW(DD$46)+1)/(DD$46:DD$94&lt;&gt;""),ROWS(DJ$1:DJ43))),"")</f>
        <v>3493.8850104001394</v>
      </c>
      <c r="DK88" s="166">
        <f t="shared" si="10"/>
        <v>88</v>
      </c>
      <c r="DL88" s="164">
        <f>IFERROR(INDEX(DE$46:DE$94,_xlfn.AGGREGATE(15,6,(ROW(DE$46:DE$94)-ROW(DE$46)+1)/(DE$46:DE$94&lt;&gt;""),ROWS(DL$1:DL43))),"")</f>
        <v>40</v>
      </c>
      <c r="DM88" s="165">
        <f>IFERROR(INDEX(DF$46:DF$94,_xlfn.AGGREGATE(15,6,(ROW(DF$46:DF$94)-ROW(DF$46)+1)/(DF$46:DF$94&lt;&gt;""),ROWS(DM$1:DM43))),"")</f>
        <v>3661.5717734805517</v>
      </c>
      <c r="DN88" s="166">
        <f t="shared" si="11"/>
        <v>88</v>
      </c>
      <c r="DO88" s="164">
        <f>IFERROR(INDEX(DG$46:DG$94,_xlfn.AGGREGATE(15,6,(ROW(DG$46:DG$94)-ROW(DG$46)+1)/(DG$46:DG$94&lt;&gt;""),ROWS(DO$1:DO43))),"")</f>
        <v>40</v>
      </c>
      <c r="DP88" s="165">
        <f>IFERROR(INDEX(DH$46:DH$94,_xlfn.AGGREGATE(15,6,(ROW(DH$46:DH$94)-ROW(DH$46)+1)/(DH$46:DH$94&lt;&gt;""),ROWS(DP$1:DP43))),"")</f>
        <v>3829.2585365609639</v>
      </c>
      <c r="DQ88" s="166">
        <f t="shared" si="12"/>
        <v>88</v>
      </c>
      <c r="DV88" s="145">
        <v>2057</v>
      </c>
      <c r="DW88" s="146">
        <f t="shared" ca="1" si="13"/>
        <v>3790.5041775448985</v>
      </c>
      <c r="EA88" s="55"/>
      <c r="EB88" s="55"/>
      <c r="EC88" s="55"/>
      <c r="ED88" s="55"/>
      <c r="EE88" s="55"/>
    </row>
    <row r="89" spans="1:152" ht="13.8" x14ac:dyDescent="0.45">
      <c r="B89" s="128">
        <v>2055</v>
      </c>
      <c r="C89" s="1016">
        <v>3606.3584474885847</v>
      </c>
      <c r="D89" s="982">
        <v>3931.8226755936612</v>
      </c>
      <c r="E89" s="1017"/>
      <c r="F89" s="1077"/>
      <c r="G89" s="1109">
        <v>3569.8</v>
      </c>
      <c r="H89" s="1107"/>
      <c r="I89" s="1112"/>
      <c r="J89" s="207"/>
      <c r="K89" s="204"/>
      <c r="L89" s="206"/>
      <c r="M89" s="204"/>
      <c r="N89" s="29" t="s">
        <v>758</v>
      </c>
      <c r="P89" s="128"/>
      <c r="Q89" s="176" t="str">
        <f t="shared" si="16"/>
        <v/>
      </c>
      <c r="R89" s="29">
        <v>41</v>
      </c>
      <c r="S89" s="154">
        <f t="shared" si="0"/>
        <v>3569.8</v>
      </c>
      <c r="T89" s="154">
        <f t="shared" si="1"/>
        <v>3931.8226755936612</v>
      </c>
      <c r="U89" s="154">
        <f t="shared" si="2"/>
        <v>162.72809683736648</v>
      </c>
      <c r="W89" s="154">
        <f t="shared" si="14"/>
        <v>3539.9322775233818</v>
      </c>
      <c r="X89" s="154">
        <f>IF(U89="",#N/A,IF($B$36=$A$62,(SUM(C89:E89)/COUNTIF(C89:E89,"&gt;0")),IF($B$36=$A$63,(SUM(F89:H89)/COUNTIF(F89:H89,"&gt;0")),IF($B$36=$A$64,(SUM(J89:K89)/COUNTIF(J89:K89,"&gt;0")),IF($B$36=$A$65,(SUM(L89:M89)/COUNTIF(L89:M89,"&gt;0")),(IF($B$36=$A$46,IF(C89="",#N/A,C89),IF($B$36=$A$47,IF(D89="",#N/A,D89),IF($B$36=$A$48,IF(E89="",#N/A,E89),IF($B$36=$A$49,IF(F89="",#N/A,F89),IF($B$36=$A$50,IF(G89="",#N/A,G89),IF($B$36=$A$51,IF(H89="",#N/A,H89),IF($B$36=$A$52,IF('Total MSW TAM Data_2021 Archive'!I89="",#N/A,'Total MSW TAM Data_2021 Archive'!I89),IF($B$36=$A$53,IF(J89="",#N/A,J89),IF($B$36=$A$54,IF(K89="",#N/A,K89),IF($B$36=$A$55,IF(L89="",#N/A,L89),IF($B$36=$A$56,IF(M89="",#N/A,M89),IF(U89="",#N/A,(SUM(C89:Q89)/COUNTIFS(C89:Q89,"&gt;0"))))))))))))))))))))</f>
        <v>3702.6603743607484</v>
      </c>
      <c r="Y89" s="154">
        <f t="shared" si="3"/>
        <v>3865.388471198115</v>
      </c>
      <c r="AA89" s="1133">
        <v>3539.9322775233818</v>
      </c>
      <c r="AB89" s="1133">
        <v>3702.6603743607484</v>
      </c>
      <c r="AC89" s="1133">
        <v>3865.388471198115</v>
      </c>
      <c r="AD89" s="89"/>
      <c r="AE89" s="89"/>
      <c r="AF89" s="89"/>
      <c r="AG89" s="89"/>
      <c r="AH89" s="89"/>
      <c r="AI89" s="89"/>
      <c r="AJ89" s="89"/>
      <c r="AK89" s="89"/>
      <c r="AL89" s="89"/>
      <c r="AM89" s="89"/>
      <c r="AN89" s="89"/>
      <c r="BR89" s="180">
        <v>2053</v>
      </c>
      <c r="BS89" s="22">
        <v>39</v>
      </c>
      <c r="BT89" s="181">
        <f t="shared" si="18"/>
        <v>1747.2823109844785</v>
      </c>
      <c r="BU89" s="182">
        <f t="shared" si="19"/>
        <v>1889.8895206627167</v>
      </c>
      <c r="BV89" s="183">
        <f t="shared" si="20"/>
        <v>3637.1718316471952</v>
      </c>
      <c r="BY89" s="180">
        <v>2053</v>
      </c>
      <c r="BZ89" s="22">
        <v>39</v>
      </c>
      <c r="CA89" s="185">
        <f t="shared" ca="1" si="21"/>
        <v>-287.26879890920208</v>
      </c>
      <c r="CB89" s="185">
        <f t="shared" ca="1" si="22"/>
        <v>2071.3804430871678</v>
      </c>
      <c r="CC89" s="185">
        <f t="shared" ca="1" si="32"/>
        <v>1836.2509020629714</v>
      </c>
      <c r="CD89" s="183">
        <f t="shared" ca="1" si="23"/>
        <v>3620.3625462409373</v>
      </c>
      <c r="CG89" s="180">
        <v>2053</v>
      </c>
      <c r="CH89" s="22">
        <v>39</v>
      </c>
      <c r="CI89" s="185">
        <f t="shared" ca="1" si="24"/>
        <v>683.26019658921541</v>
      </c>
      <c r="CJ89" s="185">
        <f t="shared" ca="1" si="25"/>
        <v>-1443.5552854447978</v>
      </c>
      <c r="CK89" s="185">
        <f t="shared" ca="1" si="26"/>
        <v>2562.0160688036322</v>
      </c>
      <c r="CL89" s="185">
        <f t="shared" ca="1" si="27"/>
        <v>1804.7780154472089</v>
      </c>
      <c r="CM89" s="183">
        <f t="shared" ca="1" si="28"/>
        <v>3606.4989953952586</v>
      </c>
      <c r="CP89" s="180">
        <v>2053</v>
      </c>
      <c r="CQ89" s="22">
        <v>39</v>
      </c>
      <c r="CR89" s="181">
        <f t="shared" ca="1" si="29"/>
        <v>1954.5573208474043</v>
      </c>
      <c r="CS89" s="182">
        <f t="shared" ca="1" si="30"/>
        <v>1.8912880644219945</v>
      </c>
      <c r="CT89" s="183">
        <f t="shared" ca="1" si="31"/>
        <v>3696.6309321473263</v>
      </c>
      <c r="CZ89" s="164" t="b">
        <f t="shared" si="33"/>
        <v>1</v>
      </c>
      <c r="DA89" s="165" t="b">
        <f t="shared" si="33"/>
        <v>1</v>
      </c>
      <c r="DB89" s="166" t="b">
        <f t="shared" si="33"/>
        <v>1</v>
      </c>
      <c r="DC89" s="164">
        <f t="shared" si="15"/>
        <v>41</v>
      </c>
      <c r="DD89" s="166">
        <f t="shared" si="5"/>
        <v>3539.9322775233818</v>
      </c>
      <c r="DE89" s="164">
        <f t="shared" si="6"/>
        <v>41</v>
      </c>
      <c r="DF89" s="166">
        <f t="shared" si="7"/>
        <v>3702.6603743607484</v>
      </c>
      <c r="DG89" s="164">
        <f t="shared" si="8"/>
        <v>41</v>
      </c>
      <c r="DH89" s="166">
        <f t="shared" si="9"/>
        <v>3865.388471198115</v>
      </c>
      <c r="DI89" s="164">
        <f>IFERROR(INDEX(DC$46:DC$94,_xlfn.AGGREGATE(15,6,(ROW(DC$46:DC$94)-ROW(DC$46)+1)/(DC$46:DC$94&lt;&gt;""),ROWS(DI$1:DI44))),"")</f>
        <v>41</v>
      </c>
      <c r="DJ89" s="165">
        <f>IFERROR(INDEX(DD$46:DD$94,_xlfn.AGGREGATE(15,6,(ROW(DD$46:DD$94)-ROW(DD$46)+1)/(DD$46:DD$94&lt;&gt;""),ROWS(DJ$1:DJ44))),"")</f>
        <v>3539.9322775233818</v>
      </c>
      <c r="DK89" s="166">
        <f t="shared" si="10"/>
        <v>89</v>
      </c>
      <c r="DL89" s="164">
        <f>IFERROR(INDEX(DE$46:DE$94,_xlfn.AGGREGATE(15,6,(ROW(DE$46:DE$94)-ROW(DE$46)+1)/(DE$46:DE$94&lt;&gt;""),ROWS(DL$1:DL44))),"")</f>
        <v>41</v>
      </c>
      <c r="DM89" s="165">
        <f>IFERROR(INDEX(DF$46:DF$94,_xlfn.AGGREGATE(15,6,(ROW(DF$46:DF$94)-ROW(DF$46)+1)/(DF$46:DF$94&lt;&gt;""),ROWS(DM$1:DM44))),"")</f>
        <v>3702.6603743607484</v>
      </c>
      <c r="DN89" s="166">
        <f t="shared" si="11"/>
        <v>89</v>
      </c>
      <c r="DO89" s="164">
        <f>IFERROR(INDEX(DG$46:DG$94,_xlfn.AGGREGATE(15,6,(ROW(DG$46:DG$94)-ROW(DG$46)+1)/(DG$46:DG$94&lt;&gt;""),ROWS(DO$1:DO44))),"")</f>
        <v>41</v>
      </c>
      <c r="DP89" s="165">
        <f>IFERROR(INDEX(DH$46:DH$94,_xlfn.AGGREGATE(15,6,(ROW(DH$46:DH$94)-ROW(DH$46)+1)/(DH$46:DH$94&lt;&gt;""),ROWS(DP$1:DP44))),"")</f>
        <v>3865.388471198115</v>
      </c>
      <c r="DQ89" s="166">
        <f t="shared" si="12"/>
        <v>89</v>
      </c>
      <c r="DV89" s="145">
        <v>2058</v>
      </c>
      <c r="DW89" s="146">
        <f t="shared" ca="1" si="13"/>
        <v>3839.0166523535286</v>
      </c>
      <c r="EA89" s="55"/>
      <c r="EB89" s="55"/>
      <c r="EC89" s="55"/>
      <c r="ED89" s="55"/>
      <c r="EE89" s="55"/>
    </row>
    <row r="90" spans="1:152" ht="13.8" x14ac:dyDescent="0.45">
      <c r="B90" s="128">
        <v>2056</v>
      </c>
      <c r="C90" s="1016">
        <v>3647.2146118721462</v>
      </c>
      <c r="D90" s="982">
        <v>3966.0293484147342</v>
      </c>
      <c r="E90" s="1017"/>
      <c r="F90" s="1077"/>
      <c r="G90" s="1109">
        <v>3617.76</v>
      </c>
      <c r="H90" s="1107"/>
      <c r="I90" s="1112"/>
      <c r="J90" s="207"/>
      <c r="K90" s="204"/>
      <c r="L90" s="206"/>
      <c r="M90" s="204"/>
      <c r="N90" s="29" t="s">
        <v>758</v>
      </c>
      <c r="P90" s="128"/>
      <c r="Q90" s="176" t="str">
        <f t="shared" si="16"/>
        <v/>
      </c>
      <c r="R90" s="29">
        <v>42</v>
      </c>
      <c r="S90" s="154">
        <f t="shared" si="0"/>
        <v>3617.76</v>
      </c>
      <c r="T90" s="154">
        <f t="shared" si="1"/>
        <v>3966.0293484147342</v>
      </c>
      <c r="U90" s="154">
        <f t="shared" si="2"/>
        <v>157.69236909688075</v>
      </c>
      <c r="W90" s="154">
        <f t="shared" si="14"/>
        <v>3585.9756176654128</v>
      </c>
      <c r="X90" s="154">
        <f>IF(U90="",#N/A,IF($B$36=$A$62,(SUM(C90:E90)/COUNTIF(C90:E90,"&gt;0")),IF($B$36=$A$63,(SUM(F90:H90)/COUNTIF(F90:H90,"&gt;0")),IF($B$36=$A$64,(SUM(J90:K90)/COUNTIF(J90:K90,"&gt;0")),IF($B$36=$A$65,(SUM(L90:M90)/COUNTIF(L90:M90,"&gt;0")),(IF($B$36=$A$46,IF(C90="",#N/A,C90),IF($B$36=$A$47,IF(D90="",#N/A,D90),IF($B$36=$A$48,IF(E90="",#N/A,E90),IF($B$36=$A$49,IF(F90="",#N/A,F90),IF($B$36=$A$50,IF(G90="",#N/A,G90),IF($B$36=$A$51,IF(H90="",#N/A,H90),IF($B$36=$A$52,IF('Total MSW TAM Data_2021 Archive'!I90="",#N/A,'Total MSW TAM Data_2021 Archive'!I90),IF($B$36=$A$53,IF(J90="",#N/A,J90),IF($B$36=$A$54,IF(K90="",#N/A,K90),IF($B$36=$A$55,IF(L90="",#N/A,L90),IF($B$36=$A$56,IF(M90="",#N/A,M90),IF(U90="",#N/A,(SUM(C90:Q90)/COUNTIFS(C90:Q90,"&gt;0"))))))))))))))))))))</f>
        <v>3743.6679867622934</v>
      </c>
      <c r="Y90" s="154">
        <f t="shared" si="3"/>
        <v>3901.360355859174</v>
      </c>
      <c r="AA90" s="1133">
        <v>3585.9756176654128</v>
      </c>
      <c r="AB90" s="1133">
        <v>3743.6679867622934</v>
      </c>
      <c r="AC90" s="1133">
        <v>3901.360355859174</v>
      </c>
      <c r="AD90" s="89"/>
      <c r="AE90" s="89"/>
      <c r="AF90" s="89"/>
      <c r="AG90" s="89"/>
      <c r="AH90" s="89"/>
      <c r="AI90" s="89"/>
      <c r="AJ90" s="89"/>
      <c r="AK90" s="89"/>
      <c r="AL90" s="89"/>
      <c r="AM90" s="89"/>
      <c r="AN90" s="89"/>
      <c r="BR90" s="180">
        <v>2054</v>
      </c>
      <c r="BS90" s="22">
        <v>40</v>
      </c>
      <c r="BT90" s="181">
        <f t="shared" si="18"/>
        <v>1792.084421522542</v>
      </c>
      <c r="BU90" s="182">
        <f t="shared" si="19"/>
        <v>1889.8895206627167</v>
      </c>
      <c r="BV90" s="183">
        <f t="shared" si="20"/>
        <v>3681.9739421852587</v>
      </c>
      <c r="BY90" s="180">
        <v>2054</v>
      </c>
      <c r="BZ90" s="22">
        <v>40</v>
      </c>
      <c r="CA90" s="185">
        <f t="shared" ca="1" si="21"/>
        <v>-302.18940056194828</v>
      </c>
      <c r="CB90" s="185">
        <f t="shared" ca="1" si="22"/>
        <v>2124.4927621406846</v>
      </c>
      <c r="CC90" s="185">
        <f t="shared" ca="1" si="32"/>
        <v>1836.2509020629714</v>
      </c>
      <c r="CD90" s="183">
        <f t="shared" ca="1" si="23"/>
        <v>3658.5542636417076</v>
      </c>
      <c r="CG90" s="180">
        <v>2054</v>
      </c>
      <c r="CH90" s="22">
        <v>40</v>
      </c>
      <c r="CI90" s="185">
        <f t="shared" ca="1" si="24"/>
        <v>737.1778449014613</v>
      </c>
      <c r="CJ90" s="185">
        <f t="shared" ca="1" si="25"/>
        <v>-1518.53284464936</v>
      </c>
      <c r="CK90" s="185">
        <f t="shared" ca="1" si="26"/>
        <v>2627.7087885165456</v>
      </c>
      <c r="CL90" s="185">
        <f t="shared" ca="1" si="27"/>
        <v>1804.7780154472089</v>
      </c>
      <c r="CM90" s="183">
        <f t="shared" ca="1" si="28"/>
        <v>3651.1318042158559</v>
      </c>
      <c r="CP90" s="180">
        <v>2054</v>
      </c>
      <c r="CQ90" s="22">
        <v>40</v>
      </c>
      <c r="CR90" s="181">
        <f t="shared" ca="1" si="29"/>
        <v>1954.5573208474043</v>
      </c>
      <c r="CS90" s="182">
        <f t="shared" ca="1" si="30"/>
        <v>1.9224454819752825</v>
      </c>
      <c r="CT90" s="183">
        <f t="shared" ca="1" si="31"/>
        <v>3757.5298907248052</v>
      </c>
      <c r="CZ90" s="164" t="b">
        <f t="shared" si="33"/>
        <v>1</v>
      </c>
      <c r="DA90" s="165" t="b">
        <f t="shared" si="33"/>
        <v>1</v>
      </c>
      <c r="DB90" s="166" t="b">
        <f t="shared" si="33"/>
        <v>1</v>
      </c>
      <c r="DC90" s="164">
        <f t="shared" si="15"/>
        <v>42</v>
      </c>
      <c r="DD90" s="166">
        <f t="shared" si="5"/>
        <v>3585.9756176654128</v>
      </c>
      <c r="DE90" s="164">
        <f t="shared" si="6"/>
        <v>42</v>
      </c>
      <c r="DF90" s="166">
        <f t="shared" si="7"/>
        <v>3743.6679867622934</v>
      </c>
      <c r="DG90" s="164">
        <f t="shared" si="8"/>
        <v>42</v>
      </c>
      <c r="DH90" s="166">
        <f t="shared" si="9"/>
        <v>3901.360355859174</v>
      </c>
      <c r="DI90" s="164">
        <f>IFERROR(INDEX(DC$46:DC$94,_xlfn.AGGREGATE(15,6,(ROW(DC$46:DC$94)-ROW(DC$46)+1)/(DC$46:DC$94&lt;&gt;""),ROWS(DI$1:DI45))),"")</f>
        <v>42</v>
      </c>
      <c r="DJ90" s="165">
        <f>IFERROR(INDEX(DD$46:DD$94,_xlfn.AGGREGATE(15,6,(ROW(DD$46:DD$94)-ROW(DD$46)+1)/(DD$46:DD$94&lt;&gt;""),ROWS(DJ$1:DJ45))),"")</f>
        <v>3585.9756176654128</v>
      </c>
      <c r="DK90" s="166">
        <f t="shared" si="10"/>
        <v>90</v>
      </c>
      <c r="DL90" s="164">
        <f>IFERROR(INDEX(DE$46:DE$94,_xlfn.AGGREGATE(15,6,(ROW(DE$46:DE$94)-ROW(DE$46)+1)/(DE$46:DE$94&lt;&gt;""),ROWS(DL$1:DL45))),"")</f>
        <v>42</v>
      </c>
      <c r="DM90" s="165">
        <f>IFERROR(INDEX(DF$46:DF$94,_xlfn.AGGREGATE(15,6,(ROW(DF$46:DF$94)-ROW(DF$46)+1)/(DF$46:DF$94&lt;&gt;""),ROWS(DM$1:DM45))),"")</f>
        <v>3743.6679867622934</v>
      </c>
      <c r="DN90" s="166">
        <f t="shared" si="11"/>
        <v>90</v>
      </c>
      <c r="DO90" s="164">
        <f>IFERROR(INDEX(DG$46:DG$94,_xlfn.AGGREGATE(15,6,(ROW(DG$46:DG$94)-ROW(DG$46)+1)/(DG$46:DG$94&lt;&gt;""),ROWS(DO$1:DO45))),"")</f>
        <v>42</v>
      </c>
      <c r="DP90" s="165">
        <f>IFERROR(INDEX(DH$46:DH$94,_xlfn.AGGREGATE(15,6,(ROW(DH$46:DH$94)-ROW(DH$46)+1)/(DH$46:DH$94&lt;&gt;""),ROWS(DP$1:DP45))),"")</f>
        <v>3901.360355859174</v>
      </c>
      <c r="DQ90" s="166">
        <f t="shared" si="12"/>
        <v>90</v>
      </c>
      <c r="DV90" s="145">
        <v>2059</v>
      </c>
      <c r="DW90" s="146">
        <f t="shared" ca="1" si="13"/>
        <v>3888.6718197165651</v>
      </c>
      <c r="EA90" s="55"/>
      <c r="EB90" s="55"/>
      <c r="EC90" s="55"/>
      <c r="ED90" s="55"/>
      <c r="EE90" s="55"/>
    </row>
    <row r="91" spans="1:152" ht="13.8" x14ac:dyDescent="0.45">
      <c r="B91" s="128">
        <v>2057</v>
      </c>
      <c r="C91" s="1016">
        <v>3688.0707762557076</v>
      </c>
      <c r="D91" s="982">
        <v>4000.014563071873</v>
      </c>
      <c r="E91" s="1017"/>
      <c r="F91" s="1077"/>
      <c r="G91" s="1109">
        <v>3665.7200000000003</v>
      </c>
      <c r="H91" s="1107"/>
      <c r="I91" s="1112"/>
      <c r="J91" s="207"/>
      <c r="K91" s="204"/>
      <c r="L91" s="206"/>
      <c r="M91" s="204"/>
      <c r="N91" s="29" t="s">
        <v>758</v>
      </c>
      <c r="P91" s="128"/>
      <c r="Q91" s="176" t="str">
        <f t="shared" si="16"/>
        <v/>
      </c>
      <c r="R91" s="29">
        <v>43</v>
      </c>
      <c r="S91" s="154">
        <f t="shared" si="0"/>
        <v>3665.7200000000003</v>
      </c>
      <c r="T91" s="154">
        <f t="shared" si="1"/>
        <v>4000.014563071873</v>
      </c>
      <c r="U91" s="154">
        <f t="shared" si="2"/>
        <v>152.59290002117697</v>
      </c>
      <c r="W91" s="154">
        <f t="shared" si="14"/>
        <v>3632.0088797546832</v>
      </c>
      <c r="X91" s="154">
        <f>IF(U91="",#N/A,IF($B$36=$A$62,(SUM(C91:E91)/COUNTIF(C91:E91,"&gt;0")),IF($B$36=$A$63,(SUM(F91:H91)/COUNTIF(F91:H91,"&gt;0")),IF($B$36=$A$64,(SUM(J91:K91)/COUNTIF(J91:K91,"&gt;0")),IF($B$36=$A$65,(SUM(L91:M91)/COUNTIF(L91:M91,"&gt;0")),(IF($B$36=$A$46,IF(C91="",#N/A,C91),IF($B$36=$A$47,IF(D91="",#N/A,D91),IF($B$36=$A$48,IF(E91="",#N/A,E91),IF($B$36=$A$49,IF(F91="",#N/A,F91),IF($B$36=$A$50,IF(G91="",#N/A,G91),IF($B$36=$A$51,IF(H91="",#N/A,H91),IF($B$36=$A$52,IF('Total MSW TAM Data_2021 Archive'!I91="",#N/A,'Total MSW TAM Data_2021 Archive'!I91),IF($B$36=$A$53,IF(J91="",#N/A,J91),IF($B$36=$A$54,IF(K91="",#N/A,K91),IF($B$36=$A$55,IF(L91="",#N/A,L91),IF($B$36=$A$56,IF(M91="",#N/A,M91),IF(U91="",#N/A,(SUM(C91:Q91)/COUNTIFS(C91:Q91,"&gt;0"))))))))))))))))))))</f>
        <v>3784.60177977586</v>
      </c>
      <c r="Y91" s="154">
        <f t="shared" si="3"/>
        <v>3937.1946797970368</v>
      </c>
      <c r="AA91" s="1133">
        <v>3632.0088797546832</v>
      </c>
      <c r="AB91" s="1133">
        <v>3784.60177977586</v>
      </c>
      <c r="AC91" s="1133">
        <v>3937.1946797970368</v>
      </c>
      <c r="AD91" s="89"/>
      <c r="AE91" s="89"/>
      <c r="AF91" s="89"/>
      <c r="AG91" s="89"/>
      <c r="AH91" s="89"/>
      <c r="AI91" s="89"/>
      <c r="AJ91" s="89"/>
      <c r="AK91" s="89"/>
      <c r="AL91" s="89"/>
      <c r="AM91" s="89"/>
      <c r="AN91" s="89"/>
      <c r="BR91" s="180">
        <v>2055</v>
      </c>
      <c r="BS91" s="22">
        <v>41</v>
      </c>
      <c r="BT91" s="181">
        <f t="shared" si="18"/>
        <v>1836.8865320606055</v>
      </c>
      <c r="BU91" s="182">
        <f t="shared" si="19"/>
        <v>1889.8895206627167</v>
      </c>
      <c r="BV91" s="183">
        <f t="shared" si="20"/>
        <v>3726.7760527233222</v>
      </c>
      <c r="BX91" s="29"/>
      <c r="BY91" s="180">
        <v>2055</v>
      </c>
      <c r="BZ91" s="22">
        <v>41</v>
      </c>
      <c r="CA91" s="185">
        <f t="shared" ca="1" si="21"/>
        <v>-317.48773896539689</v>
      </c>
      <c r="CB91" s="185">
        <f t="shared" ca="1" si="22"/>
        <v>2177.6050811942018</v>
      </c>
      <c r="CC91" s="185">
        <f t="shared" ca="1" si="32"/>
        <v>1836.2509020629714</v>
      </c>
      <c r="CD91" s="183">
        <f t="shared" ca="1" si="23"/>
        <v>3696.3682442917761</v>
      </c>
      <c r="CG91" s="180">
        <v>2055</v>
      </c>
      <c r="CH91" s="22">
        <v>41</v>
      </c>
      <c r="CI91" s="185">
        <f t="shared" ca="1" si="24"/>
        <v>793.85991013208775</v>
      </c>
      <c r="CJ91" s="185">
        <f t="shared" ca="1" si="25"/>
        <v>-1595.4085699097338</v>
      </c>
      <c r="CK91" s="185">
        <f t="shared" ca="1" si="26"/>
        <v>2693.4015082294595</v>
      </c>
      <c r="CL91" s="185">
        <f t="shared" ca="1" si="27"/>
        <v>1804.7780154472089</v>
      </c>
      <c r="CM91" s="183">
        <f t="shared" ca="1" si="28"/>
        <v>3696.6308638990222</v>
      </c>
      <c r="CP91" s="180">
        <v>2055</v>
      </c>
      <c r="CQ91" s="22">
        <v>41</v>
      </c>
      <c r="CR91" s="181">
        <f t="shared" ca="1" si="29"/>
        <v>1954.5573208474043</v>
      </c>
      <c r="CS91" s="182">
        <f t="shared" ca="1" si="30"/>
        <v>1.9541161923932866</v>
      </c>
      <c r="CT91" s="183">
        <f t="shared" ca="1" si="31"/>
        <v>3819.4321096287531</v>
      </c>
      <c r="CZ91" s="164" t="b">
        <f t="shared" si="33"/>
        <v>1</v>
      </c>
      <c r="DA91" s="165" t="b">
        <f t="shared" si="33"/>
        <v>1</v>
      </c>
      <c r="DB91" s="166" t="b">
        <f t="shared" si="33"/>
        <v>1</v>
      </c>
      <c r="DC91" s="164">
        <f t="shared" si="15"/>
        <v>43</v>
      </c>
      <c r="DD91" s="166">
        <f t="shared" si="5"/>
        <v>3632.0088797546832</v>
      </c>
      <c r="DE91" s="164">
        <f t="shared" si="6"/>
        <v>43</v>
      </c>
      <c r="DF91" s="166">
        <f t="shared" si="7"/>
        <v>3784.60177977586</v>
      </c>
      <c r="DG91" s="164">
        <f t="shared" si="8"/>
        <v>43</v>
      </c>
      <c r="DH91" s="166">
        <f t="shared" si="9"/>
        <v>3937.1946797970368</v>
      </c>
      <c r="DI91" s="164">
        <f>IFERROR(INDEX(DC$46:DC$94,_xlfn.AGGREGATE(15,6,(ROW(DC$46:DC$94)-ROW(DC$46)+1)/(DC$46:DC$94&lt;&gt;""),ROWS(DI$1:DI46))),"")</f>
        <v>43</v>
      </c>
      <c r="DJ91" s="165">
        <f>IFERROR(INDEX(DD$46:DD$94,_xlfn.AGGREGATE(15,6,(ROW(DD$46:DD$94)-ROW(DD$46)+1)/(DD$46:DD$94&lt;&gt;""),ROWS(DJ$1:DJ46))),"")</f>
        <v>3632.0088797546832</v>
      </c>
      <c r="DK91" s="166">
        <f t="shared" si="10"/>
        <v>91</v>
      </c>
      <c r="DL91" s="164">
        <f>IFERROR(INDEX(DE$46:DE$94,_xlfn.AGGREGATE(15,6,(ROW(DE$46:DE$94)-ROW(DE$46)+1)/(DE$46:DE$94&lt;&gt;""),ROWS(DL$1:DL46))),"")</f>
        <v>43</v>
      </c>
      <c r="DM91" s="165">
        <f>IFERROR(INDEX(DF$46:DF$94,_xlfn.AGGREGATE(15,6,(ROW(DF$46:DF$94)-ROW(DF$46)+1)/(DF$46:DF$94&lt;&gt;""),ROWS(DM$1:DM46))),"")</f>
        <v>3784.60177977586</v>
      </c>
      <c r="DN91" s="166">
        <f t="shared" si="11"/>
        <v>91</v>
      </c>
      <c r="DO91" s="164">
        <f>IFERROR(INDEX(DG$46:DG$94,_xlfn.AGGREGATE(15,6,(ROW(DG$46:DG$94)-ROW(DG$46)+1)/(DG$46:DG$94&lt;&gt;""),ROWS(DO$1:DO46))),"")</f>
        <v>43</v>
      </c>
      <c r="DP91" s="165">
        <f>IFERROR(INDEX(DH$46:DH$94,_xlfn.AGGREGATE(15,6,(ROW(DH$46:DH$94)-ROW(DH$46)+1)/(DH$46:DH$94&lt;&gt;""),ROWS(DP$1:DP46))),"")</f>
        <v>3937.1946797970368</v>
      </c>
      <c r="DQ91" s="166">
        <f t="shared" si="12"/>
        <v>91</v>
      </c>
      <c r="DV91" s="145">
        <v>2060</v>
      </c>
      <c r="DW91" s="146">
        <f t="shared" ca="1" si="13"/>
        <v>3939.5387900569681</v>
      </c>
      <c r="EA91" s="55"/>
      <c r="EB91" s="55"/>
      <c r="EC91" s="55"/>
      <c r="ED91" s="55"/>
      <c r="EE91" s="55"/>
    </row>
    <row r="92" spans="1:152" ht="13.8" x14ac:dyDescent="0.45">
      <c r="A92" s="214"/>
      <c r="B92" s="128">
        <v>2058</v>
      </c>
      <c r="C92" s="1016">
        <v>3728.9269406392696</v>
      </c>
      <c r="D92" s="982">
        <v>4033.799826837098</v>
      </c>
      <c r="E92" s="1017"/>
      <c r="F92" s="1077"/>
      <c r="G92" s="1109">
        <v>3713.6800000000003</v>
      </c>
      <c r="H92" s="1107"/>
      <c r="I92" s="1112"/>
      <c r="J92" s="207"/>
      <c r="K92" s="204"/>
      <c r="L92" s="206"/>
      <c r="M92" s="204"/>
      <c r="N92" s="29" t="s">
        <v>758</v>
      </c>
      <c r="Q92" s="176" t="str">
        <f t="shared" si="16"/>
        <v/>
      </c>
      <c r="R92" s="29">
        <v>44</v>
      </c>
      <c r="S92" s="154">
        <f t="shared" si="0"/>
        <v>3713.6800000000003</v>
      </c>
      <c r="T92" s="154">
        <f t="shared" si="1"/>
        <v>4033.799826837098</v>
      </c>
      <c r="U92" s="154">
        <f t="shared" si="2"/>
        <v>147.44364251833264</v>
      </c>
      <c r="W92" s="154">
        <f t="shared" si="14"/>
        <v>3678.02527997379</v>
      </c>
      <c r="X92" s="154">
        <f>IF(U92="",#N/A,IF($B$36=$A$62,(SUM(C92:E92)/COUNTIF(C92:E92,"&gt;0")),IF($B$36=$A$63,(SUM(F92:H92)/COUNTIF(F92:H92,"&gt;0")),IF($B$36=$A$64,(SUM(J92:K92)/COUNTIF(J92:K92,"&gt;0")),IF($B$36=$A$65,(SUM(L92:M92)/COUNTIF(L92:M92,"&gt;0")),(IF($B$36=$A$46,IF(C92="",#N/A,C92),IF($B$36=$A$47,IF(D92="",#N/A,D92),IF($B$36=$A$48,IF(E92="",#N/A,E92),IF($B$36=$A$49,IF(F92="",#N/A,F92),IF($B$36=$A$50,IF(G92="",#N/A,G92),IF($B$36=$A$51,IF(H92="",#N/A,H92),IF($B$36=$A$52,IF('Total MSW TAM Data_2021 Archive'!I92="",#N/A,'Total MSW TAM Data_2021 Archive'!I92),IF($B$36=$A$53,IF(J92="",#N/A,J92),IF($B$36=$A$54,IF(K92="",#N/A,K92),IF($B$36=$A$55,IF(L92="",#N/A,L92),IF($B$36=$A$56,IF(M92="",#N/A,M92),IF(U92="",#N/A,(SUM(C92:Q92)/COUNTIFS(C92:Q92,"&gt;0"))))))))))))))))))))</f>
        <v>3825.4689224921226</v>
      </c>
      <c r="Y92" s="154">
        <f t="shared" si="3"/>
        <v>3972.9125650104552</v>
      </c>
      <c r="AA92" s="1133">
        <v>3678.02527997379</v>
      </c>
      <c r="AB92" s="1133">
        <v>3825.4689224921226</v>
      </c>
      <c r="AC92" s="1133">
        <v>3972.9125650104552</v>
      </c>
      <c r="AD92" s="89"/>
      <c r="AE92" s="89"/>
      <c r="AF92" s="89"/>
      <c r="AG92" s="89"/>
      <c r="AH92" s="89"/>
      <c r="AI92" s="89"/>
      <c r="AJ92" s="89"/>
      <c r="AK92" s="89"/>
      <c r="AL92" s="89"/>
      <c r="AM92" s="89"/>
      <c r="AN92" s="89"/>
      <c r="BR92" s="180">
        <v>2056</v>
      </c>
      <c r="BS92" s="22">
        <v>42</v>
      </c>
      <c r="BT92" s="181">
        <f t="shared" si="18"/>
        <v>1881.6886425986693</v>
      </c>
      <c r="BU92" s="182">
        <f t="shared" si="19"/>
        <v>1889.8895206627167</v>
      </c>
      <c r="BV92" s="183">
        <f t="shared" si="20"/>
        <v>3771.5781632613862</v>
      </c>
      <c r="BY92" s="180">
        <v>2056</v>
      </c>
      <c r="BZ92" s="22">
        <v>42</v>
      </c>
      <c r="CA92" s="185">
        <f t="shared" ca="1" si="21"/>
        <v>-333.16381411954796</v>
      </c>
      <c r="CB92" s="185">
        <f t="shared" ca="1" si="22"/>
        <v>2230.7174002477191</v>
      </c>
      <c r="CC92" s="185">
        <f t="shared" ca="1" si="32"/>
        <v>1836.2509020629714</v>
      </c>
      <c r="CD92" s="183">
        <f t="shared" ca="1" si="23"/>
        <v>3733.8044881911424</v>
      </c>
      <c r="CG92" s="180">
        <v>2056</v>
      </c>
      <c r="CH92" s="22">
        <v>42</v>
      </c>
      <c r="CI92" s="185">
        <f t="shared" ca="1" si="24"/>
        <v>853.37550270405416</v>
      </c>
      <c r="CJ92" s="185">
        <f t="shared" ca="1" si="25"/>
        <v>-1674.1824612259193</v>
      </c>
      <c r="CK92" s="185">
        <f t="shared" ca="1" si="26"/>
        <v>2759.094227942373</v>
      </c>
      <c r="CL92" s="185">
        <f t="shared" ca="1" si="27"/>
        <v>1804.7780154472089</v>
      </c>
      <c r="CM92" s="183">
        <f t="shared" ca="1" si="28"/>
        <v>3743.0652848677169</v>
      </c>
      <c r="CP92" s="180">
        <v>2056</v>
      </c>
      <c r="CQ92" s="22">
        <v>42</v>
      </c>
      <c r="CR92" s="181">
        <f t="shared" ca="1" si="29"/>
        <v>1954.5573208474043</v>
      </c>
      <c r="CS92" s="182">
        <f t="shared" ca="1" si="30"/>
        <v>1.9863086517543871</v>
      </c>
      <c r="CT92" s="183">
        <f t="shared" ca="1" si="31"/>
        <v>3882.3541167490748</v>
      </c>
      <c r="CZ92" s="164" t="b">
        <f t="shared" si="33"/>
        <v>1</v>
      </c>
      <c r="DA92" s="165" t="b">
        <f t="shared" si="33"/>
        <v>1</v>
      </c>
      <c r="DB92" s="166" t="b">
        <f t="shared" si="33"/>
        <v>1</v>
      </c>
      <c r="DC92" s="164">
        <f t="shared" si="15"/>
        <v>44</v>
      </c>
      <c r="DD92" s="166">
        <f t="shared" si="5"/>
        <v>3678.02527997379</v>
      </c>
      <c r="DE92" s="164">
        <f t="shared" si="6"/>
        <v>44</v>
      </c>
      <c r="DF92" s="166">
        <f t="shared" si="7"/>
        <v>3825.4689224921226</v>
      </c>
      <c r="DG92" s="164">
        <f t="shared" si="8"/>
        <v>44</v>
      </c>
      <c r="DH92" s="166">
        <f t="shared" si="9"/>
        <v>3972.9125650104552</v>
      </c>
      <c r="DI92" s="164">
        <f>IFERROR(INDEX(DC$46:DC$94,_xlfn.AGGREGATE(15,6,(ROW(DC$46:DC$94)-ROW(DC$46)+1)/(DC$46:DC$94&lt;&gt;""),ROWS(DI$1:DI47))),"")</f>
        <v>44</v>
      </c>
      <c r="DJ92" s="165">
        <f>IFERROR(INDEX(DD$46:DD$94,_xlfn.AGGREGATE(15,6,(ROW(DD$46:DD$94)-ROW(DD$46)+1)/(DD$46:DD$94&lt;&gt;""),ROWS(DJ$1:DJ47))),"")</f>
        <v>3678.02527997379</v>
      </c>
      <c r="DK92" s="166">
        <f t="shared" si="10"/>
        <v>92</v>
      </c>
      <c r="DL92" s="164">
        <f>IFERROR(INDEX(DE$46:DE$94,_xlfn.AGGREGATE(15,6,(ROW(DE$46:DE$94)-ROW(DE$46)+1)/(DE$46:DE$94&lt;&gt;""),ROWS(DL$1:DL47))),"")</f>
        <v>44</v>
      </c>
      <c r="DM92" s="165">
        <f>IFERROR(INDEX(DF$46:DF$94,_xlfn.AGGREGATE(15,6,(ROW(DF$46:DF$94)-ROW(DF$46)+1)/(DF$46:DF$94&lt;&gt;""),ROWS(DM$1:DM47))),"")</f>
        <v>3825.4689224921226</v>
      </c>
      <c r="DN92" s="166">
        <f t="shared" si="11"/>
        <v>92</v>
      </c>
      <c r="DO92" s="164">
        <f>IFERROR(INDEX(DG$46:DG$94,_xlfn.AGGREGATE(15,6,(ROW(DG$46:DG$94)-ROW(DG$46)+1)/(DG$46:DG$94&lt;&gt;""),ROWS(DO$1:DO47))),"")</f>
        <v>44</v>
      </c>
      <c r="DP92" s="165">
        <f>IFERROR(INDEX(DH$46:DH$94,_xlfn.AGGREGATE(15,6,(ROW(DH$46:DH$94)-ROW(DH$46)+1)/(DH$46:DH$94&lt;&gt;""),ROWS(DP$1:DP47))),"")</f>
        <v>3972.9125650104552</v>
      </c>
      <c r="DQ92" s="166">
        <f t="shared" si="12"/>
        <v>92</v>
      </c>
      <c r="DW92" s="54"/>
      <c r="EA92" s="55"/>
      <c r="EB92" s="55"/>
      <c r="EC92" s="55"/>
      <c r="ED92" s="55"/>
      <c r="EE92" s="55"/>
    </row>
    <row r="93" spans="1:152" ht="13.8" x14ac:dyDescent="0.45">
      <c r="A93" s="214"/>
      <c r="B93" s="128">
        <v>2059</v>
      </c>
      <c r="C93" s="1016">
        <v>3769.7831050228315</v>
      </c>
      <c r="D93" s="982">
        <v>4067.4066469824311</v>
      </c>
      <c r="E93" s="1017"/>
      <c r="F93" s="1077"/>
      <c r="G93" s="1109">
        <v>3761.6400000000003</v>
      </c>
      <c r="H93" s="1107"/>
      <c r="I93" s="1112"/>
      <c r="J93" s="207"/>
      <c r="K93" s="204"/>
      <c r="L93" s="206"/>
      <c r="M93" s="204"/>
      <c r="N93" s="29" t="s">
        <v>758</v>
      </c>
      <c r="Q93" s="176" t="str">
        <f t="shared" si="16"/>
        <v/>
      </c>
      <c r="R93" s="29">
        <v>45</v>
      </c>
      <c r="S93" s="154">
        <f t="shared" si="0"/>
        <v>3761.6400000000003</v>
      </c>
      <c r="T93" s="154">
        <f t="shared" si="1"/>
        <v>4067.4066469824311</v>
      </c>
      <c r="U93" s="154">
        <f t="shared" si="2"/>
        <v>142.25928022642665</v>
      </c>
      <c r="W93" s="154">
        <f t="shared" si="14"/>
        <v>3724.0173037753275</v>
      </c>
      <c r="X93" s="154">
        <f>IF(U93="",#N/A,IF($B$36=$A$62,(SUM(C93:E93)/COUNTIF(C93:E93,"&gt;0")),IF($B$36=$A$63,(SUM(F93:H93)/COUNTIF(F93:H93,"&gt;0")),IF($B$36=$A$64,(SUM(J93:K93)/COUNTIF(J93:K93,"&gt;0")),IF($B$36=$A$65,(SUM(L93:M93)/COUNTIF(L93:M93,"&gt;0")),(IF($B$36=$A$46,IF(C93="",#N/A,C93),IF($B$36=$A$47,IF(D93="",#N/A,D93),IF($B$36=$A$48,IF(E93="",#N/A,E93),IF($B$36=$A$49,IF(F93="",#N/A,F93),IF($B$36=$A$50,IF(G93="",#N/A,G93),IF($B$36=$A$51,IF(H93="",#N/A,H93),IF($B$36=$A$52,IF('Total MSW TAM Data_2021 Archive'!I93="",#N/A,'Total MSW TAM Data_2021 Archive'!I93),IF($B$36=$A$53,IF(J93="",#N/A,J93),IF($B$36=$A$54,IF(K93="",#N/A,K93),IF($B$36=$A$55,IF(L93="",#N/A,L93),IF($B$36=$A$56,IF(M93="",#N/A,M93),IF(U93="",#N/A,(SUM(C93:Q93)/COUNTIFS(C93:Q93,"&gt;0"))))))))))))))))))))</f>
        <v>3866.2765840017541</v>
      </c>
      <c r="Y93" s="154">
        <f t="shared" si="3"/>
        <v>4008.5358642281808</v>
      </c>
      <c r="AA93" s="1133">
        <v>3724.0173037753275</v>
      </c>
      <c r="AB93" s="1133">
        <v>3866.2765840017541</v>
      </c>
      <c r="AC93" s="1133">
        <v>4008.5358642281808</v>
      </c>
      <c r="AD93" s="89"/>
      <c r="AE93" s="89"/>
      <c r="AF93" s="89"/>
      <c r="AG93" s="89"/>
      <c r="AH93" s="89"/>
      <c r="AI93" s="89"/>
      <c r="AJ93" s="89"/>
      <c r="AK93" s="89"/>
      <c r="AL93" s="89"/>
      <c r="AM93" s="89"/>
      <c r="AN93" s="89"/>
      <c r="BR93" s="180">
        <v>2057</v>
      </c>
      <c r="BS93" s="22">
        <v>43</v>
      </c>
      <c r="BT93" s="181">
        <f t="shared" si="18"/>
        <v>1926.4907531367328</v>
      </c>
      <c r="BU93" s="182">
        <f t="shared" si="19"/>
        <v>1889.8895206627167</v>
      </c>
      <c r="BV93" s="183">
        <f t="shared" si="20"/>
        <v>3816.3802737994492</v>
      </c>
      <c r="BY93" s="180">
        <v>2057</v>
      </c>
      <c r="BZ93" s="22">
        <v>43</v>
      </c>
      <c r="CA93" s="185">
        <f t="shared" ca="1" si="21"/>
        <v>-349.21762602440145</v>
      </c>
      <c r="CB93" s="185">
        <f t="shared" ca="1" si="22"/>
        <v>2283.8297193012363</v>
      </c>
      <c r="CC93" s="185">
        <f t="shared" ca="1" si="32"/>
        <v>1836.2509020629714</v>
      </c>
      <c r="CD93" s="183">
        <f t="shared" ca="1" si="23"/>
        <v>3770.8629953398063</v>
      </c>
      <c r="CG93" s="180">
        <v>2057</v>
      </c>
      <c r="CH93" s="22">
        <v>43</v>
      </c>
      <c r="CI93" s="185">
        <f t="shared" ca="1" si="24"/>
        <v>915.79373304032003</v>
      </c>
      <c r="CJ93" s="185">
        <f t="shared" ca="1" si="25"/>
        <v>-1754.8545185979167</v>
      </c>
      <c r="CK93" s="185">
        <f t="shared" ca="1" si="26"/>
        <v>2824.7869476552864</v>
      </c>
      <c r="CL93" s="185">
        <f t="shared" ca="1" si="27"/>
        <v>1804.7780154472089</v>
      </c>
      <c r="CM93" s="183">
        <f t="shared" ca="1" si="28"/>
        <v>3790.5041775448985</v>
      </c>
      <c r="CP93" s="180">
        <v>2057</v>
      </c>
      <c r="CQ93" s="22">
        <v>43</v>
      </c>
      <c r="CR93" s="181">
        <f t="shared" ca="1" si="29"/>
        <v>1954.5573208474043</v>
      </c>
      <c r="CS93" s="182">
        <f t="shared" ca="1" si="30"/>
        <v>2.019031455443911</v>
      </c>
      <c r="CT93" s="183">
        <f t="shared" ca="1" si="31"/>
        <v>3946.3127122590863</v>
      </c>
      <c r="CZ93" s="164" t="b">
        <f t="shared" si="33"/>
        <v>1</v>
      </c>
      <c r="DA93" s="165" t="b">
        <f t="shared" si="33"/>
        <v>1</v>
      </c>
      <c r="DB93" s="166" t="b">
        <f t="shared" si="33"/>
        <v>1</v>
      </c>
      <c r="DC93" s="164">
        <f t="shared" si="15"/>
        <v>45</v>
      </c>
      <c r="DD93" s="166">
        <f t="shared" si="5"/>
        <v>3724.0173037753275</v>
      </c>
      <c r="DE93" s="164">
        <f t="shared" si="6"/>
        <v>45</v>
      </c>
      <c r="DF93" s="166">
        <f t="shared" si="7"/>
        <v>3866.2765840017541</v>
      </c>
      <c r="DG93" s="164">
        <f t="shared" si="8"/>
        <v>45</v>
      </c>
      <c r="DH93" s="166">
        <f t="shared" si="9"/>
        <v>4008.5358642281808</v>
      </c>
      <c r="DI93" s="164">
        <f>IFERROR(INDEX(DC$46:DC$94,_xlfn.AGGREGATE(15,6,(ROW(DC$46:DC$94)-ROW(DC$46)+1)/(DC$46:DC$94&lt;&gt;""),ROWS(DI$1:DI48))),"")</f>
        <v>45</v>
      </c>
      <c r="DJ93" s="165">
        <f>IFERROR(INDEX(DD$46:DD$94,_xlfn.AGGREGATE(15,6,(ROW(DD$46:DD$94)-ROW(DD$46)+1)/(DD$46:DD$94&lt;&gt;""),ROWS(DJ$1:DJ48))),"")</f>
        <v>3724.0173037753275</v>
      </c>
      <c r="DK93" s="166">
        <f t="shared" si="10"/>
        <v>93</v>
      </c>
      <c r="DL93" s="164">
        <f>IFERROR(INDEX(DE$46:DE$94,_xlfn.AGGREGATE(15,6,(ROW(DE$46:DE$94)-ROW(DE$46)+1)/(DE$46:DE$94&lt;&gt;""),ROWS(DL$1:DL48))),"")</f>
        <v>45</v>
      </c>
      <c r="DM93" s="165">
        <f>IFERROR(INDEX(DF$46:DF$94,_xlfn.AGGREGATE(15,6,(ROW(DF$46:DF$94)-ROW(DF$46)+1)/(DF$46:DF$94&lt;&gt;""),ROWS(DM$1:DM48))),"")</f>
        <v>3866.2765840017541</v>
      </c>
      <c r="DN93" s="166">
        <f t="shared" si="11"/>
        <v>93</v>
      </c>
      <c r="DO93" s="164">
        <f>IFERROR(INDEX(DG$46:DG$94,_xlfn.AGGREGATE(15,6,(ROW(DG$46:DG$94)-ROW(DG$46)+1)/(DG$46:DG$94&lt;&gt;""),ROWS(DO$1:DO48))),"")</f>
        <v>45</v>
      </c>
      <c r="DP93" s="165">
        <f>IFERROR(INDEX(DH$46:DH$94,_xlfn.AGGREGATE(15,6,(ROW(DH$46:DH$94)-ROW(DH$46)+1)/(DH$46:DH$94&lt;&gt;""),ROWS(DP$1:DP48))),"")</f>
        <v>4008.5358642281808</v>
      </c>
      <c r="DQ93" s="166">
        <f t="shared" si="12"/>
        <v>93</v>
      </c>
      <c r="DW93" s="54"/>
      <c r="EA93" s="55"/>
      <c r="EB93" s="55"/>
      <c r="EC93" s="55"/>
      <c r="ED93" s="55"/>
      <c r="EE93" s="55"/>
    </row>
    <row r="94" spans="1:152" ht="14.1" thickBot="1" x14ac:dyDescent="0.5">
      <c r="A94" s="214"/>
      <c r="B94" s="128">
        <v>2060</v>
      </c>
      <c r="C94" s="1018">
        <v>3810.6392694063925</v>
      </c>
      <c r="D94" s="1019">
        <v>4100.8565307798926</v>
      </c>
      <c r="E94" s="1020"/>
      <c r="F94" s="1078"/>
      <c r="G94" s="1113">
        <v>3809.6000000000004</v>
      </c>
      <c r="H94" s="1114"/>
      <c r="I94" s="1115"/>
      <c r="J94" s="218"/>
      <c r="K94" s="216"/>
      <c r="L94" s="217"/>
      <c r="M94" s="216"/>
      <c r="N94" s="29" t="s">
        <v>758</v>
      </c>
      <c r="O94" s="219"/>
      <c r="P94" s="120"/>
      <c r="Q94" s="176" t="str">
        <f t="shared" si="16"/>
        <v/>
      </c>
      <c r="R94" s="29">
        <v>46</v>
      </c>
      <c r="S94" s="154">
        <f t="shared" si="0"/>
        <v>3809.6000000000004</v>
      </c>
      <c r="T94" s="154">
        <f t="shared" si="1"/>
        <v>4100.8565307798926</v>
      </c>
      <c r="U94" s="154">
        <f t="shared" si="2"/>
        <v>137.05534389110113</v>
      </c>
      <c r="W94" s="154">
        <f t="shared" si="14"/>
        <v>3769.9765895043274</v>
      </c>
      <c r="X94" s="154">
        <f>IF(U94="",#N/A,IF($B$36=$A$62,(SUM(C94:E94)/COUNTIF(C94:E94,"&gt;0")),IF($B$36=$A$63,(SUM(F94:H94)/COUNTIF(F94:H94,"&gt;0")),IF($B$36=$A$64,(SUM(J94:K94)/COUNTIF(J94:K94,"&gt;0")),IF($B$36=$A$65,(SUM(L94:M94)/COUNTIF(L94:M94,"&gt;0")),(IF($B$36=$A$46,IF(C94="",#N/A,C94),IF($B$36=$A$47,IF(D94="",#N/A,D94),IF($B$36=$A$48,IF(E94="",#N/A,E94),IF($B$36=$A$49,IF(F94="",#N/A,F94),IF($B$36=$A$50,IF(G94="",#N/A,G94),IF($B$36=$A$51,IF(H94="",#N/A,H94),IF($B$36=$A$52,IF('Total MSW TAM Data_2021 Archive'!I94="",#N/A,'Total MSW TAM Data_2021 Archive'!I94),IF($B$36=$A$53,IF(J94="",#N/A,J94),IF($B$36=$A$54,IF(K94="",#N/A,K94),IF($B$36=$A$55,IF(L94="",#N/A,L94),IF($B$36=$A$56,IF(M94="",#N/A,M94),IF(U94="",#N/A,(SUM(C94:Q94)/COUNTIFS(C94:Q94,"&gt;0"))))))))))))))))))))</f>
        <v>3907.0319333954285</v>
      </c>
      <c r="Y94" s="154">
        <f t="shared" si="3"/>
        <v>4044.0872772865296</v>
      </c>
      <c r="AA94" s="1133">
        <v>3769.9765895043274</v>
      </c>
      <c r="AB94" s="1133">
        <v>3907.0319333954285</v>
      </c>
      <c r="AC94" s="1133">
        <v>4044.0872772865296</v>
      </c>
      <c r="AD94" s="89"/>
      <c r="AE94" s="89"/>
      <c r="AF94" s="89"/>
      <c r="AG94" s="89"/>
      <c r="AH94" s="89"/>
      <c r="AI94" s="89"/>
      <c r="AJ94" s="89"/>
      <c r="AK94" s="89"/>
      <c r="AL94" s="89"/>
      <c r="AM94" s="89"/>
      <c r="AN94" s="89"/>
      <c r="BR94" s="180">
        <v>2058</v>
      </c>
      <c r="BS94" s="22">
        <v>44</v>
      </c>
      <c r="BT94" s="181">
        <f t="shared" si="18"/>
        <v>1971.2928636747963</v>
      </c>
      <c r="BU94" s="182">
        <f t="shared" si="19"/>
        <v>1889.8895206627167</v>
      </c>
      <c r="BV94" s="183">
        <f t="shared" si="20"/>
        <v>3861.1823843375132</v>
      </c>
      <c r="BY94" s="180">
        <v>2058</v>
      </c>
      <c r="BZ94" s="22">
        <v>44</v>
      </c>
      <c r="CA94" s="185">
        <f t="shared" ca="1" si="21"/>
        <v>-365.64917467995741</v>
      </c>
      <c r="CB94" s="185">
        <f t="shared" ca="1" si="22"/>
        <v>2336.9420383547531</v>
      </c>
      <c r="CC94" s="185">
        <f t="shared" ca="1" si="32"/>
        <v>1836.2509020629714</v>
      </c>
      <c r="CD94" s="183">
        <f t="shared" ca="1" si="23"/>
        <v>3807.543765737767</v>
      </c>
      <c r="CG94" s="180">
        <v>2058</v>
      </c>
      <c r="CH94" s="22">
        <v>44</v>
      </c>
      <c r="CI94" s="185">
        <f t="shared" ca="1" si="24"/>
        <v>981.18371156384501</v>
      </c>
      <c r="CJ94" s="185">
        <f t="shared" ca="1" si="25"/>
        <v>-1837.4247420257257</v>
      </c>
      <c r="CK94" s="185">
        <f t="shared" ca="1" si="26"/>
        <v>2890.4796673682004</v>
      </c>
      <c r="CL94" s="185">
        <f t="shared" ca="1" si="27"/>
        <v>1804.7780154472089</v>
      </c>
      <c r="CM94" s="183">
        <f t="shared" ca="1" si="28"/>
        <v>3839.0166523535286</v>
      </c>
      <c r="CP94" s="180">
        <v>2058</v>
      </c>
      <c r="CQ94" s="22">
        <v>44</v>
      </c>
      <c r="CR94" s="181">
        <f t="shared" ca="1" si="29"/>
        <v>1954.5573208474043</v>
      </c>
      <c r="CS94" s="182">
        <f t="shared" ca="1" si="30"/>
        <v>2.0522933404490988</v>
      </c>
      <c r="CT94" s="183">
        <f t="shared" ca="1" si="31"/>
        <v>4011.3249731011606</v>
      </c>
      <c r="CZ94" s="164" t="b">
        <f t="shared" si="33"/>
        <v>1</v>
      </c>
      <c r="DA94" s="165" t="b">
        <f t="shared" si="33"/>
        <v>1</v>
      </c>
      <c r="DB94" s="166" t="b">
        <f t="shared" si="33"/>
        <v>1</v>
      </c>
      <c r="DC94" s="164">
        <f t="shared" si="15"/>
        <v>46</v>
      </c>
      <c r="DD94" s="166">
        <f t="shared" si="5"/>
        <v>3769.9765895043274</v>
      </c>
      <c r="DE94" s="164">
        <f t="shared" si="6"/>
        <v>46</v>
      </c>
      <c r="DF94" s="166">
        <f t="shared" si="7"/>
        <v>3907.0319333954285</v>
      </c>
      <c r="DG94" s="164">
        <f t="shared" si="8"/>
        <v>46</v>
      </c>
      <c r="DH94" s="166">
        <f t="shared" si="9"/>
        <v>4044.0872772865296</v>
      </c>
      <c r="DI94" s="164">
        <f>IFERROR(INDEX(DC$46:DC$94,_xlfn.AGGREGATE(15,6,(ROW(DC$46:DC$94)-ROW(DC$46)+1)/(DC$46:DC$94&lt;&gt;""),ROWS(DI$1:DI49))),"")</f>
        <v>46</v>
      </c>
      <c r="DJ94" s="165">
        <f>IFERROR(INDEX(DD$46:DD$94,_xlfn.AGGREGATE(15,6,(ROW(DD$46:DD$94)-ROW(DD$46)+1)/(DD$46:DD$94&lt;&gt;""),ROWS(DJ$1:DJ49))),"")</f>
        <v>3769.9765895043274</v>
      </c>
      <c r="DK94" s="166">
        <f t="shared" si="10"/>
        <v>94</v>
      </c>
      <c r="DL94" s="164">
        <f>IFERROR(INDEX(DE$46:DE$94,_xlfn.AGGREGATE(15,6,(ROW(DE$46:DE$94)-ROW(DE$46)+1)/(DE$46:DE$94&lt;&gt;""),ROWS(DL$1:DL49))),"")</f>
        <v>46</v>
      </c>
      <c r="DM94" s="165">
        <f>IFERROR(INDEX(DF$46:DF$94,_xlfn.AGGREGATE(15,6,(ROW(DF$46:DF$94)-ROW(DF$46)+1)/(DF$46:DF$94&lt;&gt;""),ROWS(DM$1:DM49))),"")</f>
        <v>3907.0319333954285</v>
      </c>
      <c r="DN94" s="166">
        <f t="shared" si="11"/>
        <v>94</v>
      </c>
      <c r="DO94" s="164">
        <f>IFERROR(INDEX(DG$46:DG$94,_xlfn.AGGREGATE(15,6,(ROW(DG$46:DG$94)-ROW(DG$46)+1)/(DG$46:DG$94&lt;&gt;""),ROWS(DO$1:DO49))),"")</f>
        <v>46</v>
      </c>
      <c r="DP94" s="165">
        <f>IFERROR(INDEX(DH$46:DH$94,_xlfn.AGGREGATE(15,6,(ROW(DH$46:DH$94)-ROW(DH$46)+1)/(DH$46:DH$94&lt;&gt;""),ROWS(DP$1:DP49))),"")</f>
        <v>4044.0872772865296</v>
      </c>
      <c r="DQ94" s="166">
        <f t="shared" si="12"/>
        <v>94</v>
      </c>
      <c r="DW94" s="54"/>
      <c r="EA94" s="55"/>
      <c r="EB94" s="55"/>
      <c r="EC94" s="55"/>
      <c r="ED94" s="55"/>
      <c r="EE94" s="55"/>
    </row>
    <row r="95" spans="1:152" ht="13.8" x14ac:dyDescent="0.45">
      <c r="A95" s="214"/>
      <c r="B95" s="89"/>
      <c r="C95" s="14"/>
      <c r="D95" s="14"/>
      <c r="E95" s="14"/>
      <c r="F95" s="14"/>
      <c r="G95" s="14"/>
      <c r="H95" s="14"/>
      <c r="I95" s="14"/>
      <c r="J95" s="14"/>
      <c r="K95" s="14"/>
      <c r="L95" s="14"/>
      <c r="M95" s="50"/>
      <c r="N95" s="29"/>
      <c r="O95" s="220"/>
      <c r="P95" s="120"/>
      <c r="Q95" s="120"/>
      <c r="R95" s="120"/>
      <c r="S95" s="120"/>
      <c r="T95" s="120"/>
      <c r="U95" s="120"/>
      <c r="V95" s="120"/>
      <c r="W95" s="120"/>
      <c r="X95" s="120"/>
      <c r="Y95" s="120"/>
      <c r="AA95" s="89"/>
      <c r="AB95" s="89"/>
      <c r="AC95" s="89"/>
      <c r="AD95" s="89"/>
      <c r="AE95" s="89"/>
      <c r="AF95" s="89"/>
      <c r="AG95" s="89"/>
      <c r="AH95" s="89"/>
      <c r="AI95" s="89"/>
      <c r="AJ95" s="89"/>
      <c r="AK95" s="89"/>
      <c r="AL95" s="89"/>
      <c r="AM95" s="89"/>
      <c r="AN95" s="89"/>
      <c r="BR95" s="180">
        <v>2059</v>
      </c>
      <c r="BS95" s="22">
        <v>45</v>
      </c>
      <c r="BT95" s="181">
        <f t="shared" si="18"/>
        <v>2016.0949742128598</v>
      </c>
      <c r="BU95" s="182">
        <f t="shared" si="19"/>
        <v>1889.8895206627167</v>
      </c>
      <c r="BV95" s="183">
        <f t="shared" si="20"/>
        <v>3905.9844948755763</v>
      </c>
      <c r="BX95" s="29"/>
      <c r="BY95" s="180">
        <v>2059</v>
      </c>
      <c r="BZ95" s="22">
        <v>45</v>
      </c>
      <c r="CA95" s="185">
        <f t="shared" ca="1" si="21"/>
        <v>-382.45846008621578</v>
      </c>
      <c r="CB95" s="185">
        <f t="shared" ca="1" si="22"/>
        <v>2390.0543574082703</v>
      </c>
      <c r="CC95" s="185">
        <f t="shared" ca="1" si="32"/>
        <v>1836.2509020629714</v>
      </c>
      <c r="CD95" s="183">
        <f t="shared" ca="1" si="23"/>
        <v>3843.8467993850259</v>
      </c>
      <c r="CG95" s="180">
        <v>2059</v>
      </c>
      <c r="CH95" s="22">
        <v>45</v>
      </c>
      <c r="CI95" s="185">
        <f t="shared" ca="1" si="24"/>
        <v>1049.6145486975886</v>
      </c>
      <c r="CJ95" s="185">
        <f t="shared" ca="1" si="25"/>
        <v>-1921.8931315093462</v>
      </c>
      <c r="CK95" s="185">
        <f t="shared" ca="1" si="26"/>
        <v>2956.1723870811138</v>
      </c>
      <c r="CL95" s="185">
        <f t="shared" ca="1" si="27"/>
        <v>1804.7780154472089</v>
      </c>
      <c r="CM95" s="183">
        <f t="shared" ca="1" si="28"/>
        <v>3888.6718197165651</v>
      </c>
      <c r="CP95" s="180">
        <v>2059</v>
      </c>
      <c r="CQ95" s="22">
        <v>45</v>
      </c>
      <c r="CR95" s="181">
        <f t="shared" ca="1" si="29"/>
        <v>1954.5573208474043</v>
      </c>
      <c r="CS95" s="182">
        <f t="shared" ca="1" si="30"/>
        <v>2.0861031876918812</v>
      </c>
      <c r="CT95" s="183">
        <f t="shared" ca="1" si="31"/>
        <v>4077.408257546273</v>
      </c>
      <c r="CZ95" s="156"/>
      <c r="DA95" s="156"/>
      <c r="DB95" s="156"/>
      <c r="DC95" s="156"/>
      <c r="DD95" s="156"/>
      <c r="DE95" s="156"/>
      <c r="DF95" s="156"/>
      <c r="DG95" s="156"/>
      <c r="DH95" s="156"/>
      <c r="DI95" s="156"/>
      <c r="DJ95" s="156"/>
      <c r="DK95" s="156"/>
      <c r="DL95" s="156"/>
      <c r="DM95" s="156"/>
      <c r="DN95" s="156"/>
      <c r="DO95" s="156"/>
      <c r="DP95" s="156"/>
      <c r="DQ95" s="156"/>
      <c r="DU95" s="65"/>
      <c r="DW95" s="54"/>
      <c r="EA95" s="55"/>
      <c r="EB95" s="55"/>
      <c r="EC95" s="55"/>
      <c r="ED95" s="55"/>
      <c r="EE95" s="55"/>
    </row>
    <row r="96" spans="1:152" ht="13.8" x14ac:dyDescent="0.45">
      <c r="A96" s="214"/>
      <c r="B96" s="89"/>
      <c r="C96" s="14"/>
      <c r="D96" s="14"/>
      <c r="E96" s="14"/>
      <c r="F96" s="14"/>
      <c r="G96" s="14"/>
      <c r="H96" s="14"/>
      <c r="I96" s="14"/>
      <c r="J96" s="14"/>
      <c r="K96" s="14"/>
      <c r="L96" s="14"/>
      <c r="M96" s="50"/>
      <c r="N96" s="29"/>
      <c r="O96" s="220"/>
      <c r="P96" s="120"/>
      <c r="Q96" s="120"/>
      <c r="R96" s="120"/>
      <c r="S96" s="120"/>
      <c r="T96" s="120"/>
      <c r="U96" s="120"/>
      <c r="V96" s="120"/>
      <c r="W96" s="120"/>
      <c r="X96" s="120"/>
      <c r="Y96" s="120"/>
      <c r="AA96" s="89"/>
      <c r="AB96" s="89"/>
      <c r="AC96" s="89"/>
      <c r="AD96" s="89"/>
      <c r="AE96" s="89"/>
      <c r="AF96" s="89"/>
      <c r="AG96" s="89"/>
      <c r="AH96" s="89"/>
      <c r="AI96" s="89"/>
      <c r="AJ96" s="89"/>
      <c r="AK96" s="89"/>
      <c r="AL96" s="89"/>
      <c r="AM96" s="89"/>
      <c r="AN96" s="89"/>
      <c r="BR96" s="180">
        <v>2060</v>
      </c>
      <c r="BS96" s="22">
        <v>46</v>
      </c>
      <c r="BT96" s="181">
        <f>IF($BS$46="High",BS96*$BT$47,IF($BS$46="Medium",$BT$48*BS96,IF($BS$46="Low",$BT$49*BS96)))</f>
        <v>2060.8970847509236</v>
      </c>
      <c r="BU96" s="182">
        <f t="shared" si="19"/>
        <v>1889.8895206627167</v>
      </c>
      <c r="BV96" s="183">
        <f t="shared" si="20"/>
        <v>3950.7866054136402</v>
      </c>
      <c r="BY96" s="180">
        <v>2060</v>
      </c>
      <c r="BZ96" s="22">
        <v>46</v>
      </c>
      <c r="CA96" s="185">
        <f t="shared" ca="1" si="21"/>
        <v>-399.64548224317662</v>
      </c>
      <c r="CB96" s="185">
        <f t="shared" ca="1" si="22"/>
        <v>2443.1666764617876</v>
      </c>
      <c r="CC96" s="185">
        <f t="shared" ca="1" si="32"/>
        <v>1836.2509020629714</v>
      </c>
      <c r="CD96" s="183">
        <f t="shared" ca="1" si="23"/>
        <v>3879.7720962815824</v>
      </c>
      <c r="CG96" s="180">
        <v>2060</v>
      </c>
      <c r="CH96" s="22">
        <v>46</v>
      </c>
      <c r="CI96" s="185">
        <f t="shared" ca="1" si="24"/>
        <v>1121.1553548645099</v>
      </c>
      <c r="CJ96" s="185">
        <f t="shared" ca="1" si="25"/>
        <v>-2008.2596870487785</v>
      </c>
      <c r="CK96" s="185">
        <f t="shared" ca="1" si="26"/>
        <v>3021.8651067940277</v>
      </c>
      <c r="CL96" s="185">
        <f t="shared" ca="1" si="27"/>
        <v>1804.7780154472089</v>
      </c>
      <c r="CM96" s="183">
        <f t="shared" ca="1" si="28"/>
        <v>3939.5387900569681</v>
      </c>
      <c r="CP96" s="180">
        <v>2060</v>
      </c>
      <c r="CQ96" s="22">
        <v>46</v>
      </c>
      <c r="CR96" s="181">
        <f t="shared" ca="1" si="29"/>
        <v>1954.5573208474043</v>
      </c>
      <c r="CS96" s="182">
        <f t="shared" ca="1" si="30"/>
        <v>2.1204700244000829</v>
      </c>
      <c r="CT96" s="183">
        <f t="shared" ca="1" si="31"/>
        <v>4144.5802098286558</v>
      </c>
      <c r="CZ96" s="165"/>
      <c r="DA96" s="165"/>
      <c r="DB96" s="165"/>
      <c r="DC96" s="165"/>
      <c r="DD96" s="165"/>
      <c r="DE96" s="165"/>
      <c r="DF96" s="165"/>
      <c r="DG96" s="165"/>
      <c r="DH96" s="165"/>
      <c r="DI96" s="165"/>
      <c r="DJ96" s="165"/>
      <c r="DK96" s="165"/>
      <c r="DL96" s="165"/>
      <c r="DM96" s="165"/>
      <c r="DN96" s="165"/>
      <c r="DO96" s="165"/>
      <c r="DP96" s="165"/>
      <c r="DQ96" s="165"/>
      <c r="DW96" s="54"/>
      <c r="EA96" s="55"/>
      <c r="EB96" s="55"/>
      <c r="EC96" s="55"/>
      <c r="ED96" s="55"/>
      <c r="EE96" s="55"/>
    </row>
    <row r="97" spans="1:135" x14ac:dyDescent="0.4">
      <c r="A97" s="221" t="str">
        <f ca="1">HYPERLINK("#"&amp;"'"&amp;A$1&amp;"'!a1","Back to top")</f>
        <v>Back to top</v>
      </c>
      <c r="C97" s="50"/>
      <c r="D97" s="14"/>
      <c r="E97" s="14"/>
      <c r="F97" s="14"/>
      <c r="G97" s="14"/>
      <c r="H97" s="14"/>
      <c r="I97" s="14"/>
      <c r="J97" s="14"/>
      <c r="K97" s="14"/>
      <c r="L97" s="14"/>
      <c r="M97" s="14"/>
      <c r="N97" s="29"/>
      <c r="O97" s="222"/>
      <c r="P97" s="223"/>
      <c r="Q97" s="223"/>
      <c r="R97" s="223"/>
      <c r="S97" s="223"/>
      <c r="T97" s="223"/>
      <c r="U97" s="223"/>
      <c r="V97" s="223"/>
      <c r="W97" s="223"/>
      <c r="X97" s="223"/>
      <c r="Y97" s="223"/>
      <c r="Z97" s="89"/>
      <c r="AA97" s="89"/>
      <c r="AB97" s="89"/>
      <c r="AC97" s="89"/>
      <c r="AD97" s="89"/>
      <c r="AE97" s="89"/>
      <c r="AF97" s="89"/>
      <c r="AG97" s="89"/>
      <c r="AH97" s="89"/>
      <c r="AI97" s="89"/>
      <c r="AJ97" s="89"/>
      <c r="AK97" s="89"/>
      <c r="AL97" s="89"/>
      <c r="AM97" s="89"/>
      <c r="AN97" s="89"/>
      <c r="CZ97" s="89"/>
      <c r="DA97" s="89"/>
      <c r="DB97" s="89"/>
      <c r="DC97" s="89"/>
      <c r="DD97" s="89"/>
      <c r="DE97" s="89"/>
      <c r="DF97" s="89"/>
      <c r="DG97" s="89"/>
      <c r="DH97" s="89"/>
      <c r="DI97" s="89"/>
      <c r="DJ97" s="89"/>
      <c r="DK97" s="89"/>
      <c r="DL97" s="89"/>
      <c r="DM97" s="89"/>
      <c r="DN97" s="89"/>
      <c r="DO97" s="89"/>
      <c r="DP97" s="89"/>
      <c r="DQ97" s="89"/>
      <c r="DW97" s="54"/>
      <c r="EA97" s="55"/>
      <c r="EB97" s="55"/>
      <c r="EC97" s="55"/>
      <c r="ED97" s="55"/>
      <c r="EE97" s="55"/>
    </row>
    <row r="98" spans="1:135" x14ac:dyDescent="0.4">
      <c r="A98" s="221"/>
      <c r="C98" s="50"/>
      <c r="D98" s="14"/>
      <c r="E98" s="14"/>
      <c r="F98" s="14"/>
      <c r="G98" s="14"/>
      <c r="H98" s="14"/>
      <c r="I98" s="14"/>
      <c r="J98" s="14"/>
      <c r="K98" s="14"/>
      <c r="L98" s="14"/>
      <c r="M98" s="14"/>
      <c r="N98" s="29"/>
      <c r="O98" s="224"/>
      <c r="P98" s="89"/>
      <c r="Q98" s="89"/>
      <c r="R98" s="89"/>
      <c r="S98" s="89"/>
      <c r="T98" s="89"/>
      <c r="U98" s="89"/>
      <c r="V98" s="89"/>
      <c r="W98" s="89"/>
      <c r="X98" s="89"/>
      <c r="Y98" s="89"/>
      <c r="Z98" s="89"/>
      <c r="AA98" s="89"/>
      <c r="AB98" s="89"/>
      <c r="AC98" s="89"/>
      <c r="AD98" s="89"/>
      <c r="AE98" s="89"/>
      <c r="AF98" s="89"/>
      <c r="AG98" s="89"/>
      <c r="AH98" s="89"/>
      <c r="AI98" s="89"/>
      <c r="AJ98" s="89"/>
      <c r="AK98" s="89"/>
      <c r="AL98" s="89"/>
      <c r="AM98" s="89"/>
      <c r="AN98" s="89"/>
      <c r="DW98" s="54"/>
      <c r="EA98" s="55"/>
      <c r="EB98" s="55"/>
      <c r="EC98" s="55"/>
      <c r="ED98" s="55"/>
      <c r="EE98" s="55"/>
    </row>
    <row r="99" spans="1:135" x14ac:dyDescent="0.4">
      <c r="A99" s="221"/>
      <c r="C99" s="50"/>
      <c r="D99" s="14"/>
      <c r="E99" s="14"/>
      <c r="F99" s="14"/>
      <c r="G99" s="14"/>
      <c r="H99" s="14"/>
      <c r="I99" s="14"/>
      <c r="J99" s="14"/>
      <c r="K99" s="14"/>
      <c r="L99" s="14"/>
      <c r="M99" s="14"/>
      <c r="Z99" s="89"/>
      <c r="AA99" s="89"/>
      <c r="AB99" s="89"/>
      <c r="AC99" s="89"/>
      <c r="AD99" s="89"/>
      <c r="AE99" s="89"/>
      <c r="AF99" s="89"/>
      <c r="AG99" s="89"/>
      <c r="AH99" s="89"/>
      <c r="AI99" s="89"/>
      <c r="AJ99" s="89"/>
      <c r="AK99" s="89"/>
      <c r="AL99" s="89"/>
      <c r="AM99" s="89"/>
      <c r="AN99" s="89"/>
      <c r="DW99" s="54"/>
      <c r="EA99" s="55"/>
      <c r="EB99" s="55"/>
      <c r="EC99" s="55"/>
      <c r="ED99" s="55"/>
      <c r="EE99" s="55"/>
    </row>
    <row r="100" spans="1:135" x14ac:dyDescent="0.4">
      <c r="A100" s="225" t="s">
        <v>97</v>
      </c>
      <c r="B100" s="226"/>
      <c r="C100" s="226"/>
      <c r="D100" s="227"/>
      <c r="E100" s="227"/>
      <c r="F100" s="227"/>
      <c r="G100" s="227"/>
      <c r="H100" s="227"/>
      <c r="I100" s="227"/>
      <c r="J100" s="227"/>
      <c r="K100" s="227"/>
      <c r="L100" s="227"/>
      <c r="M100" s="227"/>
      <c r="N100" s="228"/>
      <c r="O100" s="228"/>
      <c r="P100" s="228"/>
      <c r="Q100" s="228"/>
      <c r="R100" s="228"/>
      <c r="S100" s="228"/>
      <c r="T100" s="228"/>
      <c r="U100" s="228"/>
      <c r="V100" s="228"/>
      <c r="W100" s="228"/>
      <c r="X100" s="228"/>
      <c r="Y100" s="228"/>
      <c r="Z100" s="228"/>
      <c r="AA100" s="228"/>
      <c r="AB100" s="228"/>
      <c r="AC100" s="228"/>
      <c r="AD100" s="228"/>
      <c r="AE100" s="228"/>
      <c r="AF100" s="228"/>
      <c r="AG100" s="228"/>
      <c r="AH100" s="228"/>
      <c r="AI100" s="228"/>
      <c r="AJ100" s="228"/>
      <c r="AK100" s="228"/>
      <c r="AL100" s="228"/>
      <c r="AM100" s="228"/>
      <c r="AN100" s="228"/>
      <c r="DW100" s="229"/>
      <c r="EA100" s="230"/>
      <c r="EB100" s="230"/>
      <c r="EC100" s="230"/>
      <c r="ED100" s="230"/>
      <c r="EE100" s="230"/>
    </row>
    <row r="101" spans="1:135" x14ac:dyDescent="0.4">
      <c r="C101" s="50"/>
      <c r="D101" s="14"/>
      <c r="E101" s="14"/>
      <c r="F101" s="14"/>
      <c r="G101" s="14"/>
      <c r="H101" s="14"/>
      <c r="I101" s="14"/>
      <c r="J101" s="14"/>
      <c r="K101" s="14"/>
      <c r="L101" s="14"/>
      <c r="M101" s="14"/>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DW101" s="54"/>
      <c r="EA101" s="55"/>
      <c r="EB101" s="55"/>
      <c r="EC101" s="55"/>
      <c r="ED101" s="55"/>
      <c r="EE101" s="55"/>
    </row>
    <row r="102" spans="1:135" x14ac:dyDescent="0.4">
      <c r="A102" s="231" t="s">
        <v>98</v>
      </c>
      <c r="B102" s="690"/>
      <c r="C102" s="690"/>
      <c r="D102" s="690"/>
      <c r="E102" s="690"/>
      <c r="F102" s="690"/>
      <c r="G102" s="690"/>
      <c r="H102" s="690"/>
      <c r="I102" s="690"/>
      <c r="J102" s="690"/>
      <c r="K102" s="690"/>
      <c r="L102" s="690"/>
      <c r="M102" s="25"/>
      <c r="N102" s="29"/>
      <c r="O102" s="29"/>
      <c r="P102" s="29"/>
      <c r="Q102" s="29"/>
      <c r="R102" s="29"/>
      <c r="S102" s="29"/>
      <c r="T102" s="29"/>
      <c r="U102" s="29"/>
      <c r="V102" s="29"/>
      <c r="W102" s="691"/>
      <c r="X102" s="691"/>
      <c r="Y102" s="691"/>
      <c r="Z102" s="89"/>
      <c r="AA102" s="89"/>
      <c r="AB102" s="232" t="s">
        <v>98</v>
      </c>
      <c r="AC102" s="89"/>
      <c r="AD102" s="89"/>
      <c r="AE102" s="89"/>
      <c r="AF102" s="89"/>
      <c r="AG102" s="89"/>
      <c r="AH102" s="89"/>
      <c r="AI102" s="89"/>
      <c r="AJ102" s="89"/>
      <c r="AK102" s="89"/>
      <c r="AL102" s="89"/>
      <c r="AM102" s="231" t="s">
        <v>98</v>
      </c>
      <c r="AN102" s="89"/>
      <c r="AZ102" s="231" t="s">
        <v>98</v>
      </c>
      <c r="BJ102" s="231" t="s">
        <v>98</v>
      </c>
      <c r="BR102" s="231" t="s">
        <v>98</v>
      </c>
      <c r="BY102" s="231" t="s">
        <v>98</v>
      </c>
      <c r="CG102" s="231" t="s">
        <v>98</v>
      </c>
      <c r="CP102" s="231" t="s">
        <v>98</v>
      </c>
      <c r="DV102" s="231" t="s">
        <v>98</v>
      </c>
      <c r="DW102" s="54"/>
      <c r="EA102" s="55"/>
      <c r="EB102" s="55"/>
      <c r="EC102" s="55"/>
      <c r="ED102" s="55"/>
      <c r="EE102" s="55"/>
    </row>
    <row r="103" spans="1:135" ht="12.6" thickBot="1" x14ac:dyDescent="0.45">
      <c r="A103" s="233"/>
      <c r="B103" s="679"/>
      <c r="C103" s="679"/>
      <c r="D103" s="113"/>
      <c r="E103" s="113"/>
      <c r="F103" s="113"/>
      <c r="G103" s="113"/>
      <c r="H103" s="113"/>
      <c r="I103" s="113"/>
      <c r="J103" s="113"/>
      <c r="K103" s="113"/>
      <c r="L103" s="113"/>
      <c r="M103" s="113"/>
      <c r="N103" s="114"/>
      <c r="O103" s="114"/>
      <c r="P103" s="114"/>
      <c r="Q103" s="114"/>
      <c r="R103" s="114"/>
      <c r="S103" s="114"/>
      <c r="T103" s="114"/>
      <c r="U103" s="114"/>
      <c r="V103" s="114"/>
      <c r="W103" s="114"/>
      <c r="X103" s="114"/>
      <c r="Y103" s="114"/>
      <c r="Z103" s="114"/>
      <c r="AA103" s="114"/>
      <c r="AB103" s="114"/>
      <c r="AC103" s="114"/>
      <c r="AD103" s="114"/>
      <c r="AE103" s="114"/>
      <c r="AF103" s="114"/>
      <c r="AG103" s="114"/>
      <c r="AH103" s="114"/>
      <c r="AI103" s="114"/>
      <c r="AJ103" s="114"/>
      <c r="AK103" s="114"/>
      <c r="AL103" s="114"/>
      <c r="AM103" s="114"/>
      <c r="CZ103" s="116"/>
      <c r="DA103" s="116"/>
      <c r="DB103" s="116"/>
      <c r="DC103" s="116"/>
      <c r="DD103" s="116"/>
      <c r="DE103" s="116"/>
      <c r="DF103" s="116"/>
      <c r="DG103" s="116"/>
      <c r="DH103" s="116"/>
      <c r="DI103" s="117" t="str">
        <f>"DJ"&amp;MIN(DK106:DK154)</f>
        <v>DJ106</v>
      </c>
      <c r="DJ103" s="118" t="str">
        <f>"DJ"&amp;MAX(DK106:DK154)</f>
        <v>DJ154</v>
      </c>
      <c r="DK103" s="116"/>
      <c r="DL103" s="117" t="str">
        <f>"DM"&amp;MIN(DN106:DN154)</f>
        <v>DM106</v>
      </c>
      <c r="DM103" s="118" t="str">
        <f>"DM"&amp;MAX(DN106:DN154)</f>
        <v>DM154</v>
      </c>
      <c r="DN103" s="116"/>
      <c r="DO103" s="117" t="str">
        <f>"DP"&amp;MIN(DQ106:DQ154)</f>
        <v>DP106</v>
      </c>
      <c r="DP103" s="118" t="str">
        <f>"DP"&amp;MAX(DQ106:DQ154)</f>
        <v>DP154</v>
      </c>
      <c r="DQ103" s="116"/>
      <c r="DW103" s="119"/>
      <c r="EA103" s="33"/>
      <c r="EB103" s="33"/>
      <c r="EC103" s="33"/>
      <c r="ED103" s="33"/>
      <c r="EE103" s="33"/>
    </row>
    <row r="104" spans="1:135" ht="24.9" thickBot="1" x14ac:dyDescent="0.5">
      <c r="A104" s="676" t="s">
        <v>65</v>
      </c>
      <c r="C104" s="680" t="str">
        <f>A122</f>
        <v>Base Cases</v>
      </c>
      <c r="D104" s="681"/>
      <c r="E104" s="682"/>
      <c r="F104" s="683" t="str">
        <f>A123</f>
        <v>Conservative Cases</v>
      </c>
      <c r="G104" s="684"/>
      <c r="H104" s="685"/>
      <c r="I104" s="686" t="str">
        <f>A124</f>
        <v>Ambitious Cases</v>
      </c>
      <c r="J104" s="687"/>
      <c r="K104" s="688"/>
      <c r="L104" s="692" t="str">
        <f>A125</f>
        <v>Maximum Cases</v>
      </c>
      <c r="M104" s="693"/>
      <c r="O104" s="122"/>
      <c r="P104" s="122"/>
      <c r="Q104" s="122"/>
      <c r="W104" s="691" t="s">
        <v>66</v>
      </c>
      <c r="X104" s="691"/>
      <c r="Y104" s="691"/>
      <c r="Z104" s="120"/>
      <c r="AA104" s="1274" t="s">
        <v>1061</v>
      </c>
      <c r="AB104" s="1274"/>
      <c r="AC104" s="1274"/>
      <c r="AD104" s="120"/>
      <c r="AE104" s="120"/>
      <c r="AF104" s="120"/>
      <c r="AG104" s="120"/>
      <c r="AH104" s="120"/>
      <c r="AI104" s="120"/>
      <c r="AJ104" s="120"/>
      <c r="AK104" s="120"/>
      <c r="AL104" s="120"/>
      <c r="AM104" s="120"/>
      <c r="AN104" s="120"/>
      <c r="BR104" s="121" t="s">
        <v>67</v>
      </c>
      <c r="BS104" s="121"/>
      <c r="BT104" s="121"/>
      <c r="BU104" s="121"/>
      <c r="BV104" s="121"/>
      <c r="BW104" s="122"/>
      <c r="BY104" s="121" t="s">
        <v>68</v>
      </c>
      <c r="BZ104" s="121"/>
      <c r="CA104" s="121"/>
      <c r="CB104" s="121"/>
      <c r="CC104" s="121"/>
      <c r="CD104" s="121"/>
      <c r="CG104" s="121" t="s">
        <v>69</v>
      </c>
      <c r="CH104" s="121"/>
      <c r="CI104" s="121"/>
      <c r="CJ104" s="121"/>
      <c r="CK104" s="121"/>
      <c r="CL104" s="121"/>
      <c r="CM104" s="121"/>
      <c r="CP104" s="121" t="s">
        <v>70</v>
      </c>
      <c r="CQ104" s="121"/>
      <c r="CR104" s="121"/>
      <c r="CS104" s="121"/>
      <c r="CT104" s="121"/>
      <c r="CU104" s="121"/>
      <c r="CZ104" s="123"/>
      <c r="DA104" s="123"/>
      <c r="DB104" s="123"/>
      <c r="DC104" s="123"/>
      <c r="DD104" s="123"/>
      <c r="DE104" s="123"/>
      <c r="DF104" s="123"/>
      <c r="DG104" s="123"/>
      <c r="DH104" s="123"/>
      <c r="DI104" s="124" t="str">
        <f>"DI"&amp;MIN(DK106:DK154)</f>
        <v>DI106</v>
      </c>
      <c r="DJ104" s="125" t="str">
        <f>"DI"&amp;MAX(DK106:DK154)</f>
        <v>DI154</v>
      </c>
      <c r="DK104" s="123"/>
      <c r="DL104" s="124" t="str">
        <f>"DL"&amp;MIN(DN106:DN154)</f>
        <v>DL106</v>
      </c>
      <c r="DM104" s="125" t="str">
        <f>"DL"&amp;MAX(DN106:DN154)</f>
        <v>DL154</v>
      </c>
      <c r="DN104" s="123"/>
      <c r="DO104" s="124" t="str">
        <f>"DO"&amp;MIN(DQ106:DQ154)</f>
        <v>DO106</v>
      </c>
      <c r="DP104" s="125" t="str">
        <f>"DO"&amp;MAX(DQ106:DQ154)</f>
        <v>DO154</v>
      </c>
      <c r="DQ104" s="123"/>
      <c r="DV104" s="126" t="s">
        <v>71</v>
      </c>
      <c r="DZ104" s="127" t="s">
        <v>72</v>
      </c>
      <c r="EA104" s="33" t="str">
        <f>$L$17</f>
        <v>3rd Poly</v>
      </c>
    </row>
    <row r="105" spans="1:135" ht="86.4" thickBot="1" x14ac:dyDescent="0.5">
      <c r="A105" s="676" t="s">
        <v>73</v>
      </c>
      <c r="B105" s="128"/>
      <c r="C105" s="988" t="str">
        <f>A106</f>
        <v>Based on World Bank, What a Waste 2.0</v>
      </c>
      <c r="D105" s="1118" t="str">
        <f>A107</f>
        <v>Based on Hoornweg et al (2014)</v>
      </c>
      <c r="E105" s="997" t="str">
        <f>A108</f>
        <v>[Source 3]</v>
      </c>
      <c r="F105" s="129" t="str">
        <f>A109</f>
        <v>[Source 1]</v>
      </c>
      <c r="G105" s="130" t="str">
        <f>A110</f>
        <v>[Source 2]</v>
      </c>
      <c r="H105" s="131" t="str">
        <f>A111</f>
        <v>[Source 3]</v>
      </c>
      <c r="I105" s="1119" t="str">
        <f>A112</f>
        <v>Based on  IEA Annex I – Municipal solid waste potential in cities; Table I.1</v>
      </c>
      <c r="J105" s="130" t="str">
        <f>A113</f>
        <v>[Source 2]</v>
      </c>
      <c r="K105" s="131" t="str">
        <f>A114</f>
        <v>[Source 3]</v>
      </c>
      <c r="L105" s="129" t="str">
        <f>A115</f>
        <v>[Source 1]</v>
      </c>
      <c r="M105" s="131" t="str">
        <f>A116</f>
        <v>[Source 2]</v>
      </c>
      <c r="N105" s="234" t="s">
        <v>74</v>
      </c>
      <c r="O105" s="133"/>
      <c r="P105" s="133"/>
      <c r="Q105" s="133"/>
      <c r="R105" s="135" t="s">
        <v>76</v>
      </c>
      <c r="S105" s="134" t="s">
        <v>77</v>
      </c>
      <c r="T105" s="134" t="s">
        <v>78</v>
      </c>
      <c r="U105" s="136" t="s">
        <v>79</v>
      </c>
      <c r="V105" s="691"/>
      <c r="W105" s="136" t="s">
        <v>15</v>
      </c>
      <c r="X105" s="134" t="s">
        <v>21</v>
      </c>
      <c r="Y105" s="136" t="s">
        <v>25</v>
      </c>
      <c r="AA105" s="136" t="s">
        <v>15</v>
      </c>
      <c r="AB105" s="134" t="s">
        <v>21</v>
      </c>
      <c r="AC105" s="136" t="s">
        <v>25</v>
      </c>
      <c r="AD105" s="138"/>
      <c r="AE105" s="138"/>
      <c r="AF105" s="138"/>
      <c r="AG105" s="138"/>
      <c r="AH105" s="138"/>
      <c r="AI105" s="138"/>
      <c r="AJ105" s="138"/>
      <c r="AK105" s="138"/>
      <c r="AL105" s="138"/>
      <c r="AM105" s="138"/>
      <c r="AN105" s="138"/>
      <c r="BR105" s="139"/>
      <c r="BS105" s="139"/>
      <c r="BT105" s="139"/>
      <c r="BU105" s="139"/>
      <c r="BV105" s="139"/>
      <c r="BW105" s="122"/>
      <c r="BZ105" s="139"/>
      <c r="CA105" s="139"/>
      <c r="CB105" s="139"/>
      <c r="CC105" s="139"/>
      <c r="CD105" s="139"/>
      <c r="CH105" s="139"/>
      <c r="CI105" s="139"/>
      <c r="CJ105" s="139"/>
      <c r="CK105" s="139"/>
      <c r="CL105" s="139"/>
      <c r="CM105" s="139"/>
      <c r="CQ105" s="139"/>
      <c r="CR105" s="139"/>
      <c r="CS105" s="139"/>
      <c r="CT105" s="139"/>
      <c r="CU105" s="139"/>
      <c r="CZ105" s="140"/>
      <c r="DA105" s="140"/>
      <c r="DB105" s="140"/>
      <c r="DC105" s="140"/>
      <c r="DD105" s="141"/>
      <c r="DE105" s="141"/>
      <c r="DF105" s="141"/>
      <c r="DG105" s="141"/>
      <c r="DH105" s="140"/>
      <c r="DI105" s="142"/>
      <c r="DJ105" s="143"/>
      <c r="DK105" s="144"/>
      <c r="DL105" s="142"/>
      <c r="DM105" s="143"/>
      <c r="DN105" s="140"/>
      <c r="DO105" s="142"/>
      <c r="DP105" s="143"/>
      <c r="DQ105" s="140"/>
      <c r="DV105" s="145">
        <v>2014</v>
      </c>
      <c r="DW105" s="235">
        <f t="shared" ref="DW105:DW151" ca="1" si="34">IF($J$17="N","",IF($L$17="Linear",BV110,IF($L$17="2nd Poly",CD110,IF($L$17="3rd Poly",CM110,IF($L$17="Exp",CT110)))))</f>
        <v>540.77295150894497</v>
      </c>
      <c r="EA105" s="33" t="str">
        <f>$M$17</f>
        <v>Medium</v>
      </c>
      <c r="EB105" s="33"/>
      <c r="EC105" s="33"/>
      <c r="ED105" s="33"/>
      <c r="EE105" s="33"/>
    </row>
    <row r="106" spans="1:135" ht="14.1" thickBot="1" x14ac:dyDescent="0.5">
      <c r="A106" s="948" t="s">
        <v>1032</v>
      </c>
      <c r="B106" s="128">
        <v>2012</v>
      </c>
      <c r="C106" s="998">
        <v>520.99406392694073</v>
      </c>
      <c r="D106" s="998">
        <v>520.99406392694073</v>
      </c>
      <c r="E106" s="1022"/>
      <c r="F106" s="939"/>
      <c r="G106" s="237"/>
      <c r="H106" s="236"/>
      <c r="I106" s="1137">
        <v>520.99406392694073</v>
      </c>
      <c r="J106" s="237"/>
      <c r="K106" s="236"/>
      <c r="L106" s="190"/>
      <c r="M106" s="236"/>
      <c r="N106" s="29" t="s">
        <v>119</v>
      </c>
      <c r="O106" s="120"/>
      <c r="P106" s="120"/>
      <c r="Q106" s="120"/>
      <c r="R106" s="29">
        <v>-2</v>
      </c>
      <c r="S106" s="238">
        <f t="shared" ref="S106:S154" si="35">IF(MIN(C106:Q106)=0,"",MIN(C106:Q106))</f>
        <v>520.99406392694073</v>
      </c>
      <c r="T106" s="238">
        <f t="shared" ref="T106:T154" si="36">IF(MAX(C106:Q106)=0,"",MAX(C106:Q106))</f>
        <v>520.99406392694073</v>
      </c>
      <c r="U106" s="238">
        <f t="shared" ref="U106:U154" si="37">IF(T106="","",_xlfn.STDEV.P(C106:Q106))</f>
        <v>0</v>
      </c>
      <c r="V106" s="29"/>
      <c r="W106" s="238">
        <f t="shared" ref="W106:W154" si="38">IF(U106="",#N/A,X106-(U106*$Q$17))</f>
        <v>520.99406392694073</v>
      </c>
      <c r="X106" s="238">
        <f t="shared" ref="X106:X137" si="39">IF(U106="",#N/A,(SUM(C106:Q106)/COUNTIFS(C106:Q106,"&gt;0")))</f>
        <v>520.99406392694073</v>
      </c>
      <c r="Y106" s="238">
        <f t="shared" ref="Y106:Y154" si="40">IF(U106="",#N/A,X106+(U106*$Q$16))</f>
        <v>520.99406392694073</v>
      </c>
      <c r="AA106" s="1133">
        <v>520.99406392694073</v>
      </c>
      <c r="AB106" s="1133">
        <v>520.99406392694073</v>
      </c>
      <c r="AC106" s="1133">
        <v>520.99406392694073</v>
      </c>
      <c r="AD106" s="138"/>
      <c r="AE106" s="138"/>
      <c r="AF106" s="138"/>
      <c r="AG106" s="138"/>
      <c r="AH106" s="138"/>
      <c r="AI106" s="138"/>
      <c r="AJ106" s="138"/>
      <c r="AK106" s="138"/>
      <c r="AL106" s="138"/>
      <c r="AM106" s="138"/>
      <c r="AN106" s="138"/>
      <c r="BR106" s="691"/>
      <c r="BS106" s="65" t="str">
        <f>M17</f>
        <v>Medium</v>
      </c>
      <c r="BT106" s="691" t="s">
        <v>82</v>
      </c>
      <c r="BU106" s="691" t="s">
        <v>83</v>
      </c>
      <c r="BW106" s="133"/>
      <c r="BY106" s="691"/>
      <c r="BZ106" s="65" t="str">
        <f>$M$17</f>
        <v>Medium</v>
      </c>
      <c r="CA106" s="691" t="s">
        <v>84</v>
      </c>
      <c r="CB106" s="691" t="s">
        <v>82</v>
      </c>
      <c r="CC106" s="691" t="s">
        <v>83</v>
      </c>
      <c r="CG106" s="691"/>
      <c r="CH106" s="65" t="str">
        <f>$M$17</f>
        <v>Medium</v>
      </c>
      <c r="CI106" s="691" t="s">
        <v>85</v>
      </c>
      <c r="CJ106" s="691" t="s">
        <v>84</v>
      </c>
      <c r="CK106" s="691" t="s">
        <v>82</v>
      </c>
      <c r="CL106" s="691" t="s">
        <v>83</v>
      </c>
      <c r="CP106" s="691"/>
      <c r="CQ106" s="65" t="str">
        <f>$M$17</f>
        <v>Medium</v>
      </c>
      <c r="CR106" s="691" t="s">
        <v>86</v>
      </c>
      <c r="CS106" s="691" t="s">
        <v>87</v>
      </c>
      <c r="CZ106" s="155" t="b">
        <f t="shared" ref="CZ106:DB145" si="41">ISNUMBER(W106)</f>
        <v>1</v>
      </c>
      <c r="DA106" s="156" t="b">
        <f t="shared" si="41"/>
        <v>1</v>
      </c>
      <c r="DB106" s="157" t="b">
        <f t="shared" si="41"/>
        <v>1</v>
      </c>
      <c r="DC106" s="155">
        <f>IF(CZ106=TRUE,$R106,"")</f>
        <v>-2</v>
      </c>
      <c r="DD106" s="157">
        <f t="shared" ref="DD106:DD154" si="42">IF(CZ106=TRUE,W106,"")</f>
        <v>520.99406392694073</v>
      </c>
      <c r="DE106" s="155">
        <f t="shared" ref="DE106:DE154" si="43">IF(DA106=TRUE,$R106,"")</f>
        <v>-2</v>
      </c>
      <c r="DF106" s="157">
        <f t="shared" ref="DF106:DF154" si="44">IF(DA106=TRUE,X106,"")</f>
        <v>520.99406392694073</v>
      </c>
      <c r="DG106" s="155">
        <f t="shared" ref="DG106:DG154" si="45">IF(DB106=TRUE,$R106,"")</f>
        <v>-2</v>
      </c>
      <c r="DH106" s="157">
        <f t="shared" ref="DH106:DH154" si="46">IF(DB106=TRUE,Y106,"")</f>
        <v>520.99406392694073</v>
      </c>
      <c r="DI106" s="155">
        <f>IFERROR(INDEX(DC$106:DC$154,_xlfn.AGGREGATE(15,6,(ROW(DC$106:DC$154)-ROW(DC$106)+1)/(DC$106:DC$154&lt;&gt;""),ROWS(DI$1:DI1))),"")</f>
        <v>-2</v>
      </c>
      <c r="DJ106" s="156">
        <f>IFERROR(INDEX(DD$106:DD$154,_xlfn.AGGREGATE(15,6,(ROW(DD$106:DD$154)-ROW(DD$106)+1)/(DD$106:DD$154&lt;&gt;""),ROWS(DJ$1:DJ1))),"")</f>
        <v>520.99406392694073</v>
      </c>
      <c r="DK106" s="157">
        <f t="shared" ref="DK106:DK154" si="47">IF(ISNUMBER(DI106),ROW(DI106),"")</f>
        <v>106</v>
      </c>
      <c r="DL106" s="155">
        <f>IFERROR(INDEX(DE$106:DE$154,_xlfn.AGGREGATE(15,6,(ROW(DE$106:DE$154)-ROW(DE$106)+1)/(DE$106:DE$154&lt;&gt;""),ROWS(DL$1:DL1))),"")</f>
        <v>-2</v>
      </c>
      <c r="DM106" s="156">
        <f>IFERROR(INDEX(DF$106:DF$154,_xlfn.AGGREGATE(15,6,(ROW(DF$106:DF$154)-ROW(DF$106)+1)/(DF$106:DF$154&lt;&gt;""),ROWS(DM$1:DM1))),"")</f>
        <v>520.99406392694073</v>
      </c>
      <c r="DN106" s="157">
        <f t="shared" ref="DN106:DN154" si="48">IF(ISNUMBER(DI106),ROW(DI106),"")</f>
        <v>106</v>
      </c>
      <c r="DO106" s="155">
        <f>IFERROR(INDEX(DG$106:DG$154,_xlfn.AGGREGATE(15,6,(ROW(DG$106:DG$154)-ROW(DG$106)+1)/(DG$106:DG$154&lt;&gt;""),ROWS(DO$1:DO1))),"")</f>
        <v>-2</v>
      </c>
      <c r="DP106" s="156">
        <f>IFERROR(INDEX(DH$106:DH$154,_xlfn.AGGREGATE(15,6,(ROW(DH$106:DH$154)-ROW(DH$106)+1)/(DH$106:DH$154&lt;&gt;""),ROWS(DP$1:DP1))),"")</f>
        <v>520.99406392694073</v>
      </c>
      <c r="DQ106" s="157">
        <f t="shared" ref="DQ106:DQ154" si="49">IF(ISNUMBER(DL106),ROW(DL106),"")</f>
        <v>106</v>
      </c>
      <c r="DV106" s="145">
        <v>2015</v>
      </c>
      <c r="DW106" s="235">
        <f t="shared" ca="1" si="34"/>
        <v>549.34355683369608</v>
      </c>
      <c r="EA106" s="33"/>
      <c r="EB106" s="33"/>
      <c r="EC106" s="33"/>
      <c r="ED106" s="33"/>
      <c r="EE106" s="33"/>
    </row>
    <row r="107" spans="1:135" ht="13.8" x14ac:dyDescent="0.45">
      <c r="A107" s="948" t="s">
        <v>1037</v>
      </c>
      <c r="B107" s="128">
        <v>2013</v>
      </c>
      <c r="C107" s="1001">
        <v>526.167694063927</v>
      </c>
      <c r="D107" s="1001">
        <v>526.167694063927</v>
      </c>
      <c r="E107" s="1017"/>
      <c r="F107" s="939"/>
      <c r="G107" s="188"/>
      <c r="H107" s="236"/>
      <c r="I107" s="1001">
        <v>526.167694063927</v>
      </c>
      <c r="J107" s="188"/>
      <c r="K107" s="236"/>
      <c r="L107" s="240"/>
      <c r="M107" s="236"/>
      <c r="N107" s="29" t="s">
        <v>119</v>
      </c>
      <c r="O107" s="120"/>
      <c r="P107" s="120"/>
      <c r="Q107" s="120"/>
      <c r="R107" s="29">
        <v>-1</v>
      </c>
      <c r="S107" s="238">
        <f t="shared" si="35"/>
        <v>526.167694063927</v>
      </c>
      <c r="T107" s="238">
        <f t="shared" si="36"/>
        <v>526.167694063927</v>
      </c>
      <c r="U107" s="238">
        <f t="shared" si="37"/>
        <v>0</v>
      </c>
      <c r="V107" s="29"/>
      <c r="W107" s="238">
        <f t="shared" si="38"/>
        <v>526.167694063927</v>
      </c>
      <c r="X107" s="238">
        <f t="shared" si="39"/>
        <v>526.167694063927</v>
      </c>
      <c r="Y107" s="238">
        <f t="shared" si="40"/>
        <v>526.167694063927</v>
      </c>
      <c r="AA107" s="1133">
        <v>526.167694063927</v>
      </c>
      <c r="AB107" s="1133">
        <v>526.167694063927</v>
      </c>
      <c r="AC107" s="1133">
        <v>526.167694063927</v>
      </c>
      <c r="AD107" s="138"/>
      <c r="AE107" s="138"/>
      <c r="AF107" s="138"/>
      <c r="AG107" s="138"/>
      <c r="AH107" s="138"/>
      <c r="AI107" s="138"/>
      <c r="AJ107" s="138"/>
      <c r="AK107" s="138"/>
      <c r="AL107" s="138"/>
      <c r="AM107" s="138"/>
      <c r="AN107" s="138"/>
      <c r="BS107" s="160" t="s">
        <v>25</v>
      </c>
      <c r="BT107" s="161">
        <f>SLOPE((DH106:DH154),($B$46:$B$94))</f>
        <v>4.5065133311282013</v>
      </c>
      <c r="BU107" s="162">
        <f>INTERCEPT(DP106:DP154,DO106:DO154)</f>
        <v>605.37495170757347</v>
      </c>
      <c r="BW107" s="133"/>
      <c r="BZ107" s="160" t="s">
        <v>25</v>
      </c>
      <c r="CA107" s="161">
        <f ca="1">INDEX(LINEST((INDIRECT(DO103):INDIRECT(DP103)),(INDIRECT(DO104):INDIRECT(DP104))^{1,2}),1)</f>
        <v>-0.118127820976271</v>
      </c>
      <c r="CB107" s="163">
        <f ca="1">INDEX(LINEST((INDIRECT(DO103):INDIRECT(DP103)),(INDIRECT(DO104):INDIRECT(DP104))^{1,2}),1,2)</f>
        <v>9.7041374540841243</v>
      </c>
      <c r="CC107" s="162">
        <f ca="1">INDEX(LINEST((INDIRECT(DO103):INDIRECT(DP103)),(INDIRECT(DO104):INDIRECT(DP104))^{1,2}),1,3)</f>
        <v>571.82665055031248</v>
      </c>
      <c r="CH107" s="160" t="s">
        <v>25</v>
      </c>
      <c r="CI107" s="161">
        <f ca="1">INDEX(LINEST((INDIRECT(DO103):INDIRECT(DP103)),(INDIRECT(DO104):INDIRECT(DP104))^{1,2,3}),1)</f>
        <v>6.0342134625513142E-3</v>
      </c>
      <c r="CJ107" s="163">
        <f ca="1">INDEX(LINEST((INDIRECT(DO103):INDIRECT(DP103)),(INDIRECT(DO104):INDIRECT(DP104))^{1,2,3}),1,2)</f>
        <v>-0.51638590950465768</v>
      </c>
      <c r="CK107" s="163">
        <f ca="1">INDEX(LINEST((INDIRECT(DO103):INDIRECT(DP103)),(INDIRECT(DO104):INDIRECT(DP104))^{1,2,3}),1,3)</f>
        <v>16.294705397882673</v>
      </c>
      <c r="CL107" s="162">
        <f ca="1">INDEX(LINEST((INDIRECT(DO103):INDIRECT(DP103)),(INDIRECT(DO104):INDIRECT(DP104))^{1,2,3}),1,4)</f>
        <v>555.33876568523715</v>
      </c>
      <c r="CQ107" s="160" t="s">
        <v>25</v>
      </c>
      <c r="CR107" s="161">
        <f ca="1">EXP(INDEX(LINEST(LN(INDIRECT(DO103):INDIRECT(DP103)),(INDIRECT(DO104):INDIRECT(DP104))),1,2))</f>
        <v>604.3500783039467</v>
      </c>
      <c r="CS107" s="162">
        <f ca="1">INDEX(LINEST(LN(INDIRECT(DO103):INDIRECT(DP103)),(INDIRECT(DO104):INDIRECT(DP104))),1)</f>
        <v>6.7182261036337412E-3</v>
      </c>
      <c r="CZ107" s="164" t="b">
        <f t="shared" si="41"/>
        <v>1</v>
      </c>
      <c r="DA107" s="165" t="b">
        <f t="shared" si="41"/>
        <v>1</v>
      </c>
      <c r="DB107" s="166" t="b">
        <f t="shared" si="41"/>
        <v>1</v>
      </c>
      <c r="DC107" s="164">
        <f t="shared" ref="DC107:DC154" si="50">IF(CZ107=TRUE,R107,"")</f>
        <v>-1</v>
      </c>
      <c r="DD107" s="166">
        <f t="shared" si="42"/>
        <v>526.167694063927</v>
      </c>
      <c r="DE107" s="164">
        <f t="shared" si="43"/>
        <v>-1</v>
      </c>
      <c r="DF107" s="166">
        <f t="shared" si="44"/>
        <v>526.167694063927</v>
      </c>
      <c r="DG107" s="164">
        <f t="shared" si="45"/>
        <v>-1</v>
      </c>
      <c r="DH107" s="166">
        <f t="shared" si="46"/>
        <v>526.167694063927</v>
      </c>
      <c r="DI107" s="164">
        <f>IFERROR(INDEX(DC$106:DC$154,_xlfn.AGGREGATE(15,6,(ROW(DC$106:DC$154)-ROW(DC$106)+1)/(DC$106:DC$154&lt;&gt;""),ROWS(DI$1:DI2))),"")</f>
        <v>-1</v>
      </c>
      <c r="DJ107" s="165">
        <f>IFERROR(INDEX(DD$106:DD$154,_xlfn.AGGREGATE(15,6,(ROW(DD$106:DD$154)-ROW(DD$106)+1)/(DD$106:DD$154&lt;&gt;""),ROWS(DJ$1:DJ2))),"")</f>
        <v>526.167694063927</v>
      </c>
      <c r="DK107" s="166">
        <f t="shared" si="47"/>
        <v>107</v>
      </c>
      <c r="DL107" s="164">
        <f>IFERROR(INDEX(DE$106:DE$154,_xlfn.AGGREGATE(15,6,(ROW(DE$106:DE$154)-ROW(DE$106)+1)/(DE$106:DE$154&lt;&gt;""),ROWS(DL$1:DL2))),"")</f>
        <v>-1</v>
      </c>
      <c r="DM107" s="165">
        <f>IFERROR(INDEX(DF$106:DF$154,_xlfn.AGGREGATE(15,6,(ROW(DF$106:DF$154)-ROW(DF$106)+1)/(DF$106:DF$154&lt;&gt;""),ROWS(DM$1:DM2))),"")</f>
        <v>526.167694063927</v>
      </c>
      <c r="DN107" s="166">
        <f t="shared" si="48"/>
        <v>107</v>
      </c>
      <c r="DO107" s="164">
        <f>IFERROR(INDEX(DG$106:DG$154,_xlfn.AGGREGATE(15,6,(ROW(DG$106:DG$154)-ROW(DG$106)+1)/(DG$106:DG$154&lt;&gt;""),ROWS(DO$1:DO2))),"")</f>
        <v>-1</v>
      </c>
      <c r="DP107" s="165">
        <f>IFERROR(INDEX(DH$106:DH$154,_xlfn.AGGREGATE(15,6,(ROW(DH$106:DH$154)-ROW(DH$106)+1)/(DH$106:DH$154&lt;&gt;""),ROWS(DP$1:DP2))),"")</f>
        <v>526.167694063927</v>
      </c>
      <c r="DQ107" s="166">
        <f t="shared" si="49"/>
        <v>107</v>
      </c>
      <c r="DV107" s="145">
        <v>2016</v>
      </c>
      <c r="DW107" s="235">
        <f t="shared" ca="1" si="34"/>
        <v>557.47682560342025</v>
      </c>
      <c r="EA107" s="33"/>
      <c r="EB107" s="33"/>
      <c r="EC107" s="33"/>
      <c r="ED107" s="33"/>
      <c r="EE107" s="33"/>
    </row>
    <row r="108" spans="1:135" ht="13.8" x14ac:dyDescent="0.45">
      <c r="A108" s="948" t="s">
        <v>90</v>
      </c>
      <c r="B108" s="128">
        <v>2014</v>
      </c>
      <c r="C108" s="1001">
        <v>531.34132420091328</v>
      </c>
      <c r="D108" s="1001">
        <v>531.34132420091328</v>
      </c>
      <c r="E108" s="930"/>
      <c r="F108" s="931"/>
      <c r="G108" s="168"/>
      <c r="H108" s="169"/>
      <c r="I108" s="1001">
        <v>531.34132420091328</v>
      </c>
      <c r="J108" s="168"/>
      <c r="K108" s="169"/>
      <c r="L108" s="170"/>
      <c r="M108" s="169"/>
      <c r="N108" s="29" t="s">
        <v>119</v>
      </c>
      <c r="O108" s="120"/>
      <c r="P108" s="120"/>
      <c r="Q108" s="120"/>
      <c r="R108" s="29">
        <v>0</v>
      </c>
      <c r="S108" s="154">
        <f t="shared" si="35"/>
        <v>531.34132420091328</v>
      </c>
      <c r="T108" s="154">
        <f t="shared" si="36"/>
        <v>531.34132420091328</v>
      </c>
      <c r="U108" s="154">
        <f t="shared" si="37"/>
        <v>0</v>
      </c>
      <c r="V108" s="29"/>
      <c r="W108" s="154">
        <f t="shared" si="38"/>
        <v>531.34132420091328</v>
      </c>
      <c r="X108" s="154">
        <f t="shared" si="39"/>
        <v>531.34132420091328</v>
      </c>
      <c r="Y108" s="154">
        <f t="shared" si="40"/>
        <v>531.34132420091328</v>
      </c>
      <c r="AA108" s="1133">
        <v>531.34132420091328</v>
      </c>
      <c r="AB108" s="1133">
        <v>531.34132420091328</v>
      </c>
      <c r="AC108" s="1133">
        <v>531.34132420091328</v>
      </c>
      <c r="AD108" s="138"/>
      <c r="AE108" s="138"/>
      <c r="AF108" s="138"/>
      <c r="AG108" s="138"/>
      <c r="AH108" s="138"/>
      <c r="AI108" s="138"/>
      <c r="AJ108" s="138"/>
      <c r="AK108" s="138"/>
      <c r="AL108" s="138"/>
      <c r="AM108" s="138"/>
      <c r="AN108" s="138"/>
      <c r="BS108" s="160" t="s">
        <v>91</v>
      </c>
      <c r="BT108" s="172">
        <f>SLOPE((DF106:DF154),($B$46:$B$94))</f>
        <v>3.3886524913630636</v>
      </c>
      <c r="BU108" s="173">
        <f>INTERCEPT(DM106:DM154,DL106:DL154)</f>
        <v>564.82896786797232</v>
      </c>
      <c r="BZ108" s="160" t="s">
        <v>91</v>
      </c>
      <c r="CA108" s="172">
        <f ca="1">INDEX(LINEST((INDIRECT(DL103):INDIRECT(DM103)),(INDIRECT(DL104):INDIRECT(DM104))^{1,2}),1)</f>
        <v>-6.0558314806518056E-2</v>
      </c>
      <c r="CB108" s="174">
        <f ca="1">INDEX(LINEST((INDIRECT(DL103):INDIRECT(DM103)),(INDIRECT(DL104):INDIRECT(DM104))^{1,2}),1,2)</f>
        <v>6.053218342849858</v>
      </c>
      <c r="CC108" s="173">
        <f ca="1">INDEX(LINEST((INDIRECT(DL103):INDIRECT(DM103)),(INDIRECT(DL104):INDIRECT(DM104))^{1,2}),1,3)</f>
        <v>547.6304064629212</v>
      </c>
      <c r="CH108" s="160" t="s">
        <v>91</v>
      </c>
      <c r="CI108" s="172">
        <f ca="1">INDEX(LINEST((INDIRECT(DL103):INDIRECT(DM103)),(INDIRECT(DL104):INDIRECT(DM104))^{1,2,3}),1)</f>
        <v>2.509681947729533E-3</v>
      </c>
      <c r="CJ108" s="174">
        <f ca="1">INDEX(LINEST((INDIRECT(DL103):INDIRECT(DM103)),(INDIRECT(DL104):INDIRECT(DM104))^{1,2,3}),1,2)</f>
        <v>-0.22619732335666731</v>
      </c>
      <c r="CK108" s="174">
        <f ca="1">INDEX(LINEST((INDIRECT(DL103):INDIRECT(DM103)),(INDIRECT(DL104):INDIRECT(DM104))^{1,2,3}),1,3)</f>
        <v>8.7942929661600573</v>
      </c>
      <c r="CL108" s="173">
        <f ca="1">INDEX(LINEST((INDIRECT(DL103):INDIRECT(DM103)),(INDIRECT(DL104):INDIRECT(DM104))^{1,2,3}),1,4)</f>
        <v>540.77295150894497</v>
      </c>
      <c r="CQ108" s="160" t="s">
        <v>91</v>
      </c>
      <c r="CR108" s="172">
        <f ca="1">EXP(INDEX(LINEST(LN(INDIRECT(DL103):INDIRECT(DM103)),(INDIRECT(DL104):INDIRECT(DM104))),1,2))</f>
        <v>565.62380568274648</v>
      </c>
      <c r="CS108" s="173">
        <f ca="1">INDEX(LINEST(LN(INDIRECT(DL103):INDIRECT(DM103)),(INDIRECT(DL104):INDIRECT(DM104))),1)</f>
        <v>5.4255861694611383E-3</v>
      </c>
      <c r="CZ108" s="164" t="b">
        <f t="shared" si="41"/>
        <v>1</v>
      </c>
      <c r="DA108" s="165" t="b">
        <f t="shared" si="41"/>
        <v>1</v>
      </c>
      <c r="DB108" s="166" t="b">
        <f t="shared" si="41"/>
        <v>1</v>
      </c>
      <c r="DC108" s="164">
        <f t="shared" si="50"/>
        <v>0</v>
      </c>
      <c r="DD108" s="166">
        <f t="shared" si="42"/>
        <v>531.34132420091328</v>
      </c>
      <c r="DE108" s="164">
        <f t="shared" si="43"/>
        <v>0</v>
      </c>
      <c r="DF108" s="166">
        <f t="shared" si="44"/>
        <v>531.34132420091328</v>
      </c>
      <c r="DG108" s="164">
        <f t="shared" si="45"/>
        <v>0</v>
      </c>
      <c r="DH108" s="166">
        <f t="shared" si="46"/>
        <v>531.34132420091328</v>
      </c>
      <c r="DI108" s="164">
        <f>IFERROR(INDEX(DC$106:DC$154,_xlfn.AGGREGATE(15,6,(ROW(DC$106:DC$154)-ROW(DC$106)+1)/(DC$106:DC$154&lt;&gt;""),ROWS(DI$1:DI3))),"")</f>
        <v>0</v>
      </c>
      <c r="DJ108" s="165">
        <f>IFERROR(INDEX(DD$106:DD$154,_xlfn.AGGREGATE(15,6,(ROW(DD$106:DD$154)-ROW(DD$106)+1)/(DD$106:DD$154&lt;&gt;""),ROWS(DJ$1:DJ3))),"")</f>
        <v>531.34132420091328</v>
      </c>
      <c r="DK108" s="166">
        <f t="shared" si="47"/>
        <v>108</v>
      </c>
      <c r="DL108" s="164">
        <f>IFERROR(INDEX(DE$106:DE$154,_xlfn.AGGREGATE(15,6,(ROW(DE$106:DE$154)-ROW(DE$106)+1)/(DE$106:DE$154&lt;&gt;""),ROWS(DL$1:DL3))),"")</f>
        <v>0</v>
      </c>
      <c r="DM108" s="165">
        <f>IFERROR(INDEX(DF$106:DF$154,_xlfn.AGGREGATE(15,6,(ROW(DF$106:DF$154)-ROW(DF$106)+1)/(DF$106:DF$154&lt;&gt;""),ROWS(DM$1:DM3))),"")</f>
        <v>531.34132420091328</v>
      </c>
      <c r="DN108" s="166">
        <f t="shared" si="48"/>
        <v>108</v>
      </c>
      <c r="DO108" s="164">
        <f>IFERROR(INDEX(DG$106:DG$154,_xlfn.AGGREGATE(15,6,(ROW(DG$106:DG$154)-ROW(DG$106)+1)/(DG$106:DG$154&lt;&gt;""),ROWS(DO$1:DO3))),"")</f>
        <v>0</v>
      </c>
      <c r="DP108" s="165">
        <f>IFERROR(INDEX(DH$106:DH$154,_xlfn.AGGREGATE(15,6,(ROW(DH$106:DH$154)-ROW(DH$106)+1)/(DH$106:DH$154&lt;&gt;""),ROWS(DP$1:DP3))),"")</f>
        <v>531.34132420091328</v>
      </c>
      <c r="DQ108" s="166">
        <f t="shared" si="49"/>
        <v>108</v>
      </c>
      <c r="DV108" s="145">
        <v>2017</v>
      </c>
      <c r="DW108" s="235">
        <f t="shared" ca="1" si="34"/>
        <v>565.18781590980382</v>
      </c>
      <c r="DZ108" s="65" t="s">
        <v>89</v>
      </c>
      <c r="EA108" s="33"/>
      <c r="EB108" s="33"/>
      <c r="EC108" s="33"/>
      <c r="ED108" s="33"/>
      <c r="EE108" s="33"/>
    </row>
    <row r="109" spans="1:135" ht="14.1" thickBot="1" x14ac:dyDescent="0.5">
      <c r="A109" s="184" t="s">
        <v>80</v>
      </c>
      <c r="B109" s="128">
        <v>2015</v>
      </c>
      <c r="C109" s="1001">
        <v>536.51495433789955</v>
      </c>
      <c r="D109" s="1001">
        <v>536.51495433789955</v>
      </c>
      <c r="E109" s="1017"/>
      <c r="F109" s="894"/>
      <c r="G109" s="159"/>
      <c r="H109" s="151"/>
      <c r="I109" s="1001">
        <v>536.51495433789955</v>
      </c>
      <c r="J109" s="159"/>
      <c r="K109" s="151"/>
      <c r="L109" s="152"/>
      <c r="M109" s="151"/>
      <c r="N109" s="29" t="s">
        <v>119</v>
      </c>
      <c r="O109" s="120"/>
      <c r="P109" s="120"/>
      <c r="Q109" s="120"/>
      <c r="R109" s="29">
        <v>1</v>
      </c>
      <c r="S109" s="154">
        <f t="shared" si="35"/>
        <v>536.51495433789955</v>
      </c>
      <c r="T109" s="154">
        <f t="shared" si="36"/>
        <v>536.51495433789955</v>
      </c>
      <c r="U109" s="154">
        <f t="shared" si="37"/>
        <v>0</v>
      </c>
      <c r="V109" s="29"/>
      <c r="W109" s="154">
        <f t="shared" si="38"/>
        <v>536.51495433789955</v>
      </c>
      <c r="X109" s="154">
        <f t="shared" si="39"/>
        <v>536.51495433789955</v>
      </c>
      <c r="Y109" s="154">
        <f t="shared" si="40"/>
        <v>536.51495433789955</v>
      </c>
      <c r="AA109" s="1133">
        <v>536.51495433789955</v>
      </c>
      <c r="AB109" s="1133">
        <v>536.51495433789955</v>
      </c>
      <c r="AC109" s="1133">
        <v>536.51495433789955</v>
      </c>
      <c r="AD109" s="138"/>
      <c r="AE109" s="138"/>
      <c r="AF109" s="138"/>
      <c r="AG109" s="138"/>
      <c r="AH109" s="138"/>
      <c r="AI109" s="138"/>
      <c r="AJ109" s="138"/>
      <c r="AK109" s="138"/>
      <c r="AL109" s="138"/>
      <c r="AM109" s="138"/>
      <c r="AN109" s="138"/>
      <c r="BR109" s="29"/>
      <c r="BS109" s="160" t="s">
        <v>15</v>
      </c>
      <c r="BT109" s="177">
        <f>SLOPE((DD106:DD154),($B$46:$B$94))</f>
        <v>2.270791651597925</v>
      </c>
      <c r="BU109" s="178">
        <f>INTERCEPT(DJ106:DJ154,DI106:DI154)</f>
        <v>524.28298402837129</v>
      </c>
      <c r="BV109" s="691" t="s">
        <v>71</v>
      </c>
      <c r="BY109" s="29"/>
      <c r="BZ109" s="160" t="s">
        <v>15</v>
      </c>
      <c r="CA109" s="177">
        <f ca="1">INDEX(LINEST((INDIRECT(DI103):INDIRECT(DJ103)),(INDIRECT(DI104):INDIRECT(DJ104))^{1,2}),1)</f>
        <v>-2.9888086367650902E-3</v>
      </c>
      <c r="CB109" s="179">
        <f ca="1">INDEX(LINEST((INDIRECT(DI103):INDIRECT(DJ103)),(INDIRECT(DI104):INDIRECT(DJ104))^{1,2}),1,2)</f>
        <v>2.4022992316155887</v>
      </c>
      <c r="CC109" s="178">
        <f ca="1">INDEX(LINEST((INDIRECT(DI103):INDIRECT(DJ103)),(INDIRECT(DI104):INDIRECT(DJ104))^{1,2}),1,3)</f>
        <v>523.43416237553004</v>
      </c>
      <c r="CD109" s="691" t="s">
        <v>71</v>
      </c>
      <c r="CG109" s="29"/>
      <c r="CH109" s="160" t="s">
        <v>15</v>
      </c>
      <c r="CI109" s="177">
        <f ca="1">INDEX(LINEST((INDIRECT(DI103):INDIRECT(DJ103)),(INDIRECT(DI104):INDIRECT(DJ104))^{1,2,3}),1)</f>
        <v>-1.0148495670922477E-3</v>
      </c>
      <c r="CJ109" s="179">
        <f ca="1">INDEX(LINEST((INDIRECT(DI103):INDIRECT(DJ103)),(INDIRECT(DI104):INDIRECT(DJ104))^{1,2,3}),1,2)</f>
        <v>6.3991262791323208E-2</v>
      </c>
      <c r="CK109" s="179">
        <f ca="1">INDEX(LINEST((INDIRECT(DI103):INDIRECT(DJ103)),(INDIRECT(DI104):INDIRECT(DJ104))^{1,2,3}),1,3)</f>
        <v>1.2938805344374389</v>
      </c>
      <c r="CL109" s="178">
        <f ca="1">INDEX(LINEST((INDIRECT(DI103):INDIRECT(DJ103)),(INDIRECT(DI104):INDIRECT(DJ104))^{1,2,3}),1,4)</f>
        <v>526.20713733265279</v>
      </c>
      <c r="CM109" s="691" t="s">
        <v>71</v>
      </c>
      <c r="CP109" s="29"/>
      <c r="CQ109" s="160" t="s">
        <v>15</v>
      </c>
      <c r="CR109" s="177">
        <f ca="1">EXP(INDEX(LINEST(LN(INDIRECT(DI103):INDIRECT(DJ103)),(INDIRECT(DI104):INDIRECT(DJ104))),1,2))</f>
        <v>525.42412028004708</v>
      </c>
      <c r="CS109" s="178">
        <f ca="1">INDEX(LINEST(LN(INDIRECT(DI103):INDIRECT(DJ103)),(INDIRECT(DI104):INDIRECT(DJ104))),1)</f>
        <v>3.9659256870334999E-3</v>
      </c>
      <c r="CT109" s="691" t="s">
        <v>71</v>
      </c>
      <c r="CZ109" s="164" t="b">
        <f t="shared" si="41"/>
        <v>1</v>
      </c>
      <c r="DA109" s="165" t="b">
        <f t="shared" si="41"/>
        <v>1</v>
      </c>
      <c r="DB109" s="166" t="b">
        <f t="shared" si="41"/>
        <v>1</v>
      </c>
      <c r="DC109" s="164">
        <f t="shared" si="50"/>
        <v>1</v>
      </c>
      <c r="DD109" s="166">
        <f t="shared" si="42"/>
        <v>536.51495433789955</v>
      </c>
      <c r="DE109" s="164">
        <f t="shared" si="43"/>
        <v>1</v>
      </c>
      <c r="DF109" s="166">
        <f t="shared" si="44"/>
        <v>536.51495433789955</v>
      </c>
      <c r="DG109" s="164">
        <f t="shared" si="45"/>
        <v>1</v>
      </c>
      <c r="DH109" s="166">
        <f t="shared" si="46"/>
        <v>536.51495433789955</v>
      </c>
      <c r="DI109" s="164">
        <f>IFERROR(INDEX(DC$106:DC$154,_xlfn.AGGREGATE(15,6,(ROW(DC$106:DC$154)-ROW(DC$106)+1)/(DC$106:DC$154&lt;&gt;""),ROWS(DI$1:DI4))),"")</f>
        <v>1</v>
      </c>
      <c r="DJ109" s="165">
        <f>IFERROR(INDEX(DD$106:DD$154,_xlfn.AGGREGATE(15,6,(ROW(DD$106:DD$154)-ROW(DD$106)+1)/(DD$106:DD$154&lt;&gt;""),ROWS(DJ$1:DJ4))),"")</f>
        <v>536.51495433789955</v>
      </c>
      <c r="DK109" s="166">
        <f t="shared" si="47"/>
        <v>109</v>
      </c>
      <c r="DL109" s="164">
        <f>IFERROR(INDEX(DE$106:DE$154,_xlfn.AGGREGATE(15,6,(ROW(DE$106:DE$154)-ROW(DE$106)+1)/(DE$106:DE$154&lt;&gt;""),ROWS(DL$1:DL4))),"")</f>
        <v>1</v>
      </c>
      <c r="DM109" s="165">
        <f>IFERROR(INDEX(DF$106:DF$154,_xlfn.AGGREGATE(15,6,(ROW(DF$106:DF$154)-ROW(DF$106)+1)/(DF$106:DF$154&lt;&gt;""),ROWS(DM$1:DM4))),"")</f>
        <v>536.51495433789955</v>
      </c>
      <c r="DN109" s="166">
        <f t="shared" si="48"/>
        <v>109</v>
      </c>
      <c r="DO109" s="164">
        <f>IFERROR(INDEX(DG$106:DG$154,_xlfn.AGGREGATE(15,6,(ROW(DG$106:DG$154)-ROW(DG$106)+1)/(DG$106:DG$154&lt;&gt;""),ROWS(DO$1:DO4))),"")</f>
        <v>1</v>
      </c>
      <c r="DP109" s="165">
        <f>IFERROR(INDEX(DH$106:DH$154,_xlfn.AGGREGATE(15,6,(ROW(DH$106:DH$154)-ROW(DH$106)+1)/(DH$106:DH$154&lt;&gt;""),ROWS(DP$1:DP4))),"")</f>
        <v>536.51495433789955</v>
      </c>
      <c r="DQ109" s="166">
        <f t="shared" si="49"/>
        <v>109</v>
      </c>
      <c r="DV109" s="145">
        <v>2018</v>
      </c>
      <c r="DW109" s="235">
        <f t="shared" ca="1" si="34"/>
        <v>572.49158584453323</v>
      </c>
      <c r="EA109" s="33" t="s">
        <v>85</v>
      </c>
      <c r="EB109" s="33" t="s">
        <v>84</v>
      </c>
      <c r="EC109" s="33" t="s">
        <v>82</v>
      </c>
      <c r="ED109" s="33" t="s">
        <v>83</v>
      </c>
      <c r="EE109" s="33"/>
    </row>
    <row r="110" spans="1:135" ht="13.8" x14ac:dyDescent="0.45">
      <c r="A110" s="184" t="s">
        <v>88</v>
      </c>
      <c r="B110" s="128">
        <v>2016</v>
      </c>
      <c r="C110" s="1001">
        <v>535.70000000000005</v>
      </c>
      <c r="D110" s="1001">
        <v>535.70000000000005</v>
      </c>
      <c r="E110" s="1017"/>
      <c r="F110" s="894"/>
      <c r="G110" s="159"/>
      <c r="H110" s="151"/>
      <c r="I110" s="1001">
        <v>535.70000000000005</v>
      </c>
      <c r="J110" s="159"/>
      <c r="K110" s="151"/>
      <c r="L110" s="152"/>
      <c r="M110" s="151"/>
      <c r="N110" s="29" t="s">
        <v>119</v>
      </c>
      <c r="O110" s="120"/>
      <c r="P110" s="120"/>
      <c r="Q110" s="120"/>
      <c r="R110" s="29">
        <v>2</v>
      </c>
      <c r="S110" s="154">
        <f t="shared" si="35"/>
        <v>535.70000000000005</v>
      </c>
      <c r="T110" s="154">
        <f t="shared" si="36"/>
        <v>535.70000000000005</v>
      </c>
      <c r="U110" s="154">
        <f t="shared" si="37"/>
        <v>0</v>
      </c>
      <c r="V110" s="29"/>
      <c r="W110" s="154">
        <f t="shared" si="38"/>
        <v>535.70000000000005</v>
      </c>
      <c r="X110" s="154">
        <f t="shared" si="39"/>
        <v>535.70000000000005</v>
      </c>
      <c r="Y110" s="154">
        <f t="shared" si="40"/>
        <v>535.70000000000005</v>
      </c>
      <c r="AA110" s="1133">
        <v>535.70000000000005</v>
      </c>
      <c r="AB110" s="1133">
        <v>535.70000000000005</v>
      </c>
      <c r="AC110" s="1133">
        <v>535.70000000000005</v>
      </c>
      <c r="AD110" s="138"/>
      <c r="AE110" s="138"/>
      <c r="AF110" s="138"/>
      <c r="AG110" s="138"/>
      <c r="AH110" s="138"/>
      <c r="AI110" s="138"/>
      <c r="AJ110" s="138"/>
      <c r="AK110" s="138"/>
      <c r="AL110" s="138"/>
      <c r="AM110" s="138"/>
      <c r="AN110" s="138"/>
      <c r="BR110" s="180">
        <v>2014</v>
      </c>
      <c r="BS110" s="22">
        <v>0</v>
      </c>
      <c r="BT110" s="181">
        <f t="shared" ref="BT110:BT156" si="51">IF($BS$106="High",BS110*$BT$107,IF($BS$106="Medium",$BT$108*BS110,IF($BS$106="Low",$BT$109*BS110)))</f>
        <v>0</v>
      </c>
      <c r="BU110" s="182">
        <f t="shared" ref="BU110:BU156" si="52">IF($BS$106="High",$BU$107,IF($BS$106="Medium",$BU$108,IF($BS$106="Low",BU109)))</f>
        <v>564.82896786797232</v>
      </c>
      <c r="BV110" s="241">
        <f t="shared" ref="BV110:BV156" si="53">BT110+BU110</f>
        <v>564.82896786797232</v>
      </c>
      <c r="BY110" s="180">
        <v>2014</v>
      </c>
      <c r="BZ110" s="22">
        <v>0</v>
      </c>
      <c r="CA110" s="181">
        <f t="shared" ref="CA110:CA156" ca="1" si="54">IF($BZ$106="High",BZ110^2*$CA$107,IF($BZ$106="Medium",BZ110^2*$CA$108,IF($BZ$106="Low",BZ110^2*$CA$109)))</f>
        <v>0</v>
      </c>
      <c r="CB110" s="181">
        <f t="shared" ref="CB110:CB156" ca="1" si="55">IF($BZ$106="High",BZ110*$CB$107,IF($BZ$106="Medium",BZ110*$CB$108,IF($BZ$106="Low",BZ110*$CB$109)))</f>
        <v>0</v>
      </c>
      <c r="CC110" s="182">
        <f ca="1">IF($BZ$106="High",$CC$107,IF($BZ$106="Medium",$CC$108,IF($BZ$106="Low",$CC$109)))</f>
        <v>547.6304064629212</v>
      </c>
      <c r="CD110" s="241">
        <f t="shared" ref="CD110:CD156" ca="1" si="56">CA110+CB110+CC110</f>
        <v>547.6304064629212</v>
      </c>
      <c r="CG110" s="180">
        <v>2014</v>
      </c>
      <c r="CH110" s="22">
        <v>0</v>
      </c>
      <c r="CI110" s="181">
        <f t="shared" ref="CI110:CI156" ca="1" si="57">IF($CH$106="High",CH110^3*$CI$107,IF($CH$106="Medium",CH110^3*$CI$108,IF($CH$106="Low",CH110^3*$CI$109)))</f>
        <v>0</v>
      </c>
      <c r="CJ110" s="181">
        <f t="shared" ref="CJ110:CJ156" ca="1" si="58">IF($CH$106="High",CH110^2*$CJ$107,IF($CH$106="Medium",CH110^2*$CJ$108,IF($CH$106="Low",CH110^2*$CJ$109)))</f>
        <v>0</v>
      </c>
      <c r="CK110" s="181">
        <f t="shared" ref="CK110:CK156" ca="1" si="59">IF($CH$106="High",CH110*$CK$107,IF($CH$106="Medium",CH110*$CK$108,IF($CH$106="Low",CH110*$CK$109)))</f>
        <v>0</v>
      </c>
      <c r="CL110" s="182">
        <f t="shared" ref="CL110:CL156" ca="1" si="60">IF($CH$106="High",$CL$107,IF($CH$106="Medium",$CL$108,IF($CH$106="Low",$CL$109)))</f>
        <v>540.77295150894497</v>
      </c>
      <c r="CM110" s="241">
        <f t="shared" ref="CM110:CM156" ca="1" si="61">CI110+CJ110+CK110+CL110</f>
        <v>540.77295150894497</v>
      </c>
      <c r="CP110" s="180">
        <v>2014</v>
      </c>
      <c r="CQ110" s="22">
        <v>0</v>
      </c>
      <c r="CR110" s="181">
        <f t="shared" ref="CR110:CR156" ca="1" si="62">IF($CQ$106="High",$CR$107,IF($CQ$106="Medium",$CR$108,IF($CQ$106="Low",$CR$109)))</f>
        <v>565.62380568274648</v>
      </c>
      <c r="CS110" s="182">
        <f t="shared" ref="CS110:CS156" ca="1" si="63">IF($CQ$106="High",EXP(1)^($CS$107*CQ110),IF($CQ$106="Medium",EXP(1)^($CS$108*CQ110),IF($CQ$106="Low",EXP(1)^($CS$109*CQ110))))</f>
        <v>1</v>
      </c>
      <c r="CT110" s="241">
        <f t="shared" ref="CT110:CT156" ca="1" si="64">(CR110*CS110)</f>
        <v>565.62380568274648</v>
      </c>
      <c r="CZ110" s="164" t="b">
        <f t="shared" si="41"/>
        <v>1</v>
      </c>
      <c r="DA110" s="165" t="b">
        <f t="shared" si="41"/>
        <v>1</v>
      </c>
      <c r="DB110" s="166" t="b">
        <f t="shared" si="41"/>
        <v>1</v>
      </c>
      <c r="DC110" s="164">
        <f t="shared" si="50"/>
        <v>2</v>
      </c>
      <c r="DD110" s="166">
        <f t="shared" si="42"/>
        <v>535.70000000000005</v>
      </c>
      <c r="DE110" s="164">
        <f t="shared" si="43"/>
        <v>2</v>
      </c>
      <c r="DF110" s="166">
        <f t="shared" si="44"/>
        <v>535.70000000000005</v>
      </c>
      <c r="DG110" s="164">
        <f t="shared" si="45"/>
        <v>2</v>
      </c>
      <c r="DH110" s="166">
        <f t="shared" si="46"/>
        <v>535.70000000000005</v>
      </c>
      <c r="DI110" s="164">
        <f>IFERROR(INDEX(DC$106:DC$154,_xlfn.AGGREGATE(15,6,(ROW(DC$106:DC$154)-ROW(DC$106)+1)/(DC$106:DC$154&lt;&gt;""),ROWS(DI$1:DI5))),"")</f>
        <v>2</v>
      </c>
      <c r="DJ110" s="165">
        <f>IFERROR(INDEX(DD$106:DD$154,_xlfn.AGGREGATE(15,6,(ROW(DD$106:DD$154)-ROW(DD$106)+1)/(DD$106:DD$154&lt;&gt;""),ROWS(DJ$1:DJ5))),"")</f>
        <v>535.70000000000005</v>
      </c>
      <c r="DK110" s="166">
        <f t="shared" si="47"/>
        <v>110</v>
      </c>
      <c r="DL110" s="164">
        <f>IFERROR(INDEX(DE$106:DE$154,_xlfn.AGGREGATE(15,6,(ROW(DE$106:DE$154)-ROW(DE$106)+1)/(DE$106:DE$154&lt;&gt;""),ROWS(DL$1:DL5))),"")</f>
        <v>2</v>
      </c>
      <c r="DM110" s="165">
        <f>IFERROR(INDEX(DF$106:DF$154,_xlfn.AGGREGATE(15,6,(ROW(DF$106:DF$154)-ROW(DF$106)+1)/(DF$106:DF$154&lt;&gt;""),ROWS(DM$1:DM5))),"")</f>
        <v>535.70000000000005</v>
      </c>
      <c r="DN110" s="166">
        <f t="shared" si="48"/>
        <v>110</v>
      </c>
      <c r="DO110" s="164">
        <f>IFERROR(INDEX(DG$106:DG$154,_xlfn.AGGREGATE(15,6,(ROW(DG$106:DG$154)-ROW(DG$106)+1)/(DG$106:DG$154&lt;&gt;""),ROWS(DO$1:DO5))),"")</f>
        <v>2</v>
      </c>
      <c r="DP110" s="165">
        <f>IFERROR(INDEX(DH$106:DH$154,_xlfn.AGGREGATE(15,6,(ROW(DH$106:DH$154)-ROW(DH$106)+1)/(DH$106:DH$154&lt;&gt;""),ROWS(DP$1:DP5))),"")</f>
        <v>535.70000000000005</v>
      </c>
      <c r="DQ110" s="166">
        <f t="shared" si="49"/>
        <v>110</v>
      </c>
      <c r="DV110" s="145">
        <v>2019</v>
      </c>
      <c r="DW110" s="235">
        <f t="shared" ca="1" si="34"/>
        <v>579.40319349929473</v>
      </c>
      <c r="DZ110" s="135" t="s">
        <v>92</v>
      </c>
      <c r="EA110" s="33">
        <f ca="1">IF($EA$104="Linear",0,IF($EA$104="2nd Poly",0,IF($EA$104="3rd Poly",CI107,IF($EA$104="Exp",0))))</f>
        <v>6.0342134625513142E-3</v>
      </c>
      <c r="EB110" s="33">
        <f ca="1">IF($EA$104="Linear",0,IF($EA$104="2nd Poly",CA107,IF($EA$104="3rd Poly",CJ107,IF($EA$104="Exp",0))))</f>
        <v>-0.51638590950465768</v>
      </c>
      <c r="EC110" s="33">
        <f t="shared" ref="EC110:ED112" ca="1" si="65">IF($EA$104="Linear",BT107,IF($EA$104="2nd Poly",CB107,IF($EA$104="3rd Poly",CK107,IF($EA$104="Exp",0))))</f>
        <v>16.294705397882673</v>
      </c>
      <c r="ED110" s="33">
        <f t="shared" ca="1" si="65"/>
        <v>555.33876568523715</v>
      </c>
      <c r="EE110" s="33" t="str">
        <f>IF($EA$104="Linear","High",IF($EA$104="2nd Poly","High",IF($EA$104="3rd Poly","High","N/A")))</f>
        <v>High</v>
      </c>
    </row>
    <row r="111" spans="1:135" ht="13.8" x14ac:dyDescent="0.45">
      <c r="A111" s="184" t="s">
        <v>90</v>
      </c>
      <c r="B111" s="128">
        <v>2017</v>
      </c>
      <c r="C111" s="1021">
        <v>546.86221461187222</v>
      </c>
      <c r="D111" s="982">
        <v>678.02825394397598</v>
      </c>
      <c r="E111" s="1017"/>
      <c r="F111" s="894"/>
      <c r="G111" s="159"/>
      <c r="H111" s="169"/>
      <c r="I111" s="931">
        <v>536.94705882352957</v>
      </c>
      <c r="J111" s="168"/>
      <c r="K111" s="169"/>
      <c r="L111" s="170"/>
      <c r="M111" s="169"/>
      <c r="N111" s="29" t="s">
        <v>119</v>
      </c>
      <c r="O111" s="120"/>
      <c r="P111" s="120"/>
      <c r="Q111" s="120"/>
      <c r="R111" s="29">
        <v>3</v>
      </c>
      <c r="S111" s="154">
        <f t="shared" si="35"/>
        <v>536.94705882352957</v>
      </c>
      <c r="T111" s="154">
        <f t="shared" si="36"/>
        <v>678.02825394397598</v>
      </c>
      <c r="U111" s="154">
        <f t="shared" si="37"/>
        <v>64.296832309213571</v>
      </c>
      <c r="V111" s="29"/>
      <c r="W111" s="154">
        <f t="shared" si="38"/>
        <v>522.98234348391236</v>
      </c>
      <c r="X111" s="154">
        <f t="shared" si="39"/>
        <v>587.27917579312589</v>
      </c>
      <c r="Y111" s="154">
        <f t="shared" si="40"/>
        <v>651.57600810233942</v>
      </c>
      <c r="AA111" s="1133">
        <v>546.86221461187222</v>
      </c>
      <c r="AB111" s="1133">
        <v>612.4452342779241</v>
      </c>
      <c r="AC111" s="1133">
        <v>678.02825394397598</v>
      </c>
      <c r="AD111" s="138"/>
      <c r="AE111" s="138"/>
      <c r="AF111" s="138"/>
      <c r="AG111" s="138"/>
      <c r="AH111" s="138"/>
      <c r="AI111" s="138"/>
      <c r="AJ111" s="138"/>
      <c r="AK111" s="138"/>
      <c r="AL111" s="138"/>
      <c r="AM111" s="138"/>
      <c r="AN111" s="138"/>
      <c r="BR111" s="180">
        <v>2015</v>
      </c>
      <c r="BS111" s="22">
        <v>1</v>
      </c>
      <c r="BT111" s="181">
        <f t="shared" si="51"/>
        <v>3.3886524913630636</v>
      </c>
      <c r="BU111" s="182">
        <f t="shared" si="52"/>
        <v>564.82896786797232</v>
      </c>
      <c r="BV111" s="183">
        <f t="shared" si="53"/>
        <v>568.21762035933534</v>
      </c>
      <c r="BY111" s="180">
        <v>2015</v>
      </c>
      <c r="BZ111" s="22">
        <v>1</v>
      </c>
      <c r="CA111" s="185">
        <f t="shared" ca="1" si="54"/>
        <v>-6.0558314806518056E-2</v>
      </c>
      <c r="CB111" s="185">
        <f t="shared" ca="1" si="55"/>
        <v>6.053218342849858</v>
      </c>
      <c r="CC111" s="186">
        <f t="shared" ref="CC111:CC156" ca="1" si="66">CC110</f>
        <v>547.6304064629212</v>
      </c>
      <c r="CD111" s="183">
        <f t="shared" ca="1" si="56"/>
        <v>553.62306649096456</v>
      </c>
      <c r="CG111" s="180">
        <v>2015</v>
      </c>
      <c r="CH111" s="22">
        <v>1</v>
      </c>
      <c r="CI111" s="185">
        <f t="shared" ca="1" si="57"/>
        <v>2.509681947729533E-3</v>
      </c>
      <c r="CJ111" s="185">
        <f t="shared" ca="1" si="58"/>
        <v>-0.22619732335666731</v>
      </c>
      <c r="CK111" s="185">
        <f t="shared" ca="1" si="59"/>
        <v>8.7942929661600573</v>
      </c>
      <c r="CL111" s="186">
        <f t="shared" ca="1" si="60"/>
        <v>540.77295150894497</v>
      </c>
      <c r="CM111" s="183">
        <f t="shared" ca="1" si="61"/>
        <v>549.34355683369608</v>
      </c>
      <c r="CP111" s="180">
        <v>2015</v>
      </c>
      <c r="CQ111" s="22">
        <v>1</v>
      </c>
      <c r="CR111" s="185">
        <f t="shared" ca="1" si="62"/>
        <v>565.62380568274648</v>
      </c>
      <c r="CS111" s="186">
        <f t="shared" ca="1" si="63"/>
        <v>1.0054403313170639</v>
      </c>
      <c r="CT111" s="183">
        <f t="shared" ca="1" si="64"/>
        <v>568.70098658647919</v>
      </c>
      <c r="CZ111" s="164" t="b">
        <f t="shared" si="41"/>
        <v>1</v>
      </c>
      <c r="DA111" s="165" t="b">
        <f t="shared" si="41"/>
        <v>1</v>
      </c>
      <c r="DB111" s="166" t="b">
        <f t="shared" si="41"/>
        <v>1</v>
      </c>
      <c r="DC111" s="164">
        <f t="shared" si="50"/>
        <v>3</v>
      </c>
      <c r="DD111" s="166">
        <f t="shared" si="42"/>
        <v>522.98234348391236</v>
      </c>
      <c r="DE111" s="164">
        <f t="shared" si="43"/>
        <v>3</v>
      </c>
      <c r="DF111" s="166">
        <f t="shared" si="44"/>
        <v>587.27917579312589</v>
      </c>
      <c r="DG111" s="164">
        <f t="shared" si="45"/>
        <v>3</v>
      </c>
      <c r="DH111" s="166">
        <f t="shared" si="46"/>
        <v>651.57600810233942</v>
      </c>
      <c r="DI111" s="164">
        <f>IFERROR(INDEX(DC$106:DC$154,_xlfn.AGGREGATE(15,6,(ROW(DC$106:DC$154)-ROW(DC$106)+1)/(DC$106:DC$154&lt;&gt;""),ROWS(DI$1:DI6))),"")</f>
        <v>3</v>
      </c>
      <c r="DJ111" s="165">
        <f>IFERROR(INDEX(DD$106:DD$154,_xlfn.AGGREGATE(15,6,(ROW(DD$106:DD$154)-ROW(DD$106)+1)/(DD$106:DD$154&lt;&gt;""),ROWS(DJ$1:DJ6))),"")</f>
        <v>522.98234348391236</v>
      </c>
      <c r="DK111" s="166">
        <f t="shared" si="47"/>
        <v>111</v>
      </c>
      <c r="DL111" s="164">
        <f>IFERROR(INDEX(DE$106:DE$154,_xlfn.AGGREGATE(15,6,(ROW(DE$106:DE$154)-ROW(DE$106)+1)/(DE$106:DE$154&lt;&gt;""),ROWS(DL$1:DL6))),"")</f>
        <v>3</v>
      </c>
      <c r="DM111" s="165">
        <f>IFERROR(INDEX(DF$106:DF$154,_xlfn.AGGREGATE(15,6,(ROW(DF$106:DF$154)-ROW(DF$106)+1)/(DF$106:DF$154&lt;&gt;""),ROWS(DM$1:DM6))),"")</f>
        <v>587.27917579312589</v>
      </c>
      <c r="DN111" s="166">
        <f t="shared" si="48"/>
        <v>111</v>
      </c>
      <c r="DO111" s="164">
        <f>IFERROR(INDEX(DG$106:DG$154,_xlfn.AGGREGATE(15,6,(ROW(DG$106:DG$154)-ROW(DG$106)+1)/(DG$106:DG$154&lt;&gt;""),ROWS(DO$1:DO6))),"")</f>
        <v>3</v>
      </c>
      <c r="DP111" s="165">
        <f>IFERROR(INDEX(DH$106:DH$154,_xlfn.AGGREGATE(15,6,(ROW(DH$106:DH$154)-ROW(DH$106)+1)/(DH$106:DH$154&lt;&gt;""),ROWS(DP$1:DP6))),"")</f>
        <v>651.57600810233942</v>
      </c>
      <c r="DQ111" s="166">
        <f t="shared" si="49"/>
        <v>111</v>
      </c>
      <c r="DV111" s="145">
        <v>2020</v>
      </c>
      <c r="DW111" s="235">
        <f t="shared" ca="1" si="34"/>
        <v>585.93769696577488</v>
      </c>
      <c r="DZ111" s="135" t="s">
        <v>92</v>
      </c>
      <c r="EA111" s="33">
        <f ca="1">IF($EA$104="Linear",0,IF($EA$104="2nd Poly",0,IF($EA$104="3rd Poly",CI108,IF($EA$104="Exp",0))))</f>
        <v>2.509681947729533E-3</v>
      </c>
      <c r="EB111" s="33">
        <f ca="1">IF($EA$104="Linear",0,IF($EA$104="2nd Poly",CA108,IF($EA$104="3rd Poly",CJ108,IF($EA$104="Exp",0))))</f>
        <v>-0.22619732335666731</v>
      </c>
      <c r="EC111" s="33">
        <f t="shared" ca="1" si="65"/>
        <v>8.7942929661600573</v>
      </c>
      <c r="ED111" s="33">
        <f t="shared" ca="1" si="65"/>
        <v>540.77295150894497</v>
      </c>
      <c r="EE111" s="33" t="str">
        <f>IF($EA$104="Linear","Medium",IF($EA$104="2nd Poly","Medium",IF($EA$104="3rd Poly","Medium","N/A")))</f>
        <v>Medium</v>
      </c>
    </row>
    <row r="112" spans="1:135" ht="13.8" x14ac:dyDescent="0.45">
      <c r="A112" s="948" t="s">
        <v>1039</v>
      </c>
      <c r="B112" s="128">
        <v>2018</v>
      </c>
      <c r="C112" s="1023">
        <v>552.03584474885849</v>
      </c>
      <c r="D112" s="1024">
        <v>681.27354569498641</v>
      </c>
      <c r="E112" s="1025"/>
      <c r="F112" s="894"/>
      <c r="G112" s="159"/>
      <c r="H112" s="151"/>
      <c r="I112" s="1016">
        <v>538.19411764705899</v>
      </c>
      <c r="J112" s="159"/>
      <c r="K112" s="151"/>
      <c r="L112" s="152"/>
      <c r="M112" s="151"/>
      <c r="N112" s="29" t="s">
        <v>119</v>
      </c>
      <c r="O112" s="120"/>
      <c r="P112" s="120"/>
      <c r="Q112" s="120"/>
      <c r="R112" s="29">
        <v>4</v>
      </c>
      <c r="S112" s="154">
        <f t="shared" si="35"/>
        <v>538.19411764705899</v>
      </c>
      <c r="T112" s="154">
        <f t="shared" si="36"/>
        <v>681.27354569498641</v>
      </c>
      <c r="U112" s="154">
        <f t="shared" si="37"/>
        <v>64.434031282237427</v>
      </c>
      <c r="V112" s="20"/>
      <c r="W112" s="154">
        <f t="shared" si="38"/>
        <v>526.06713808139716</v>
      </c>
      <c r="X112" s="154">
        <f t="shared" si="39"/>
        <v>590.50116936363463</v>
      </c>
      <c r="Y112" s="154">
        <f t="shared" si="40"/>
        <v>654.9352006458721</v>
      </c>
      <c r="AA112" s="1133">
        <v>552.03584474885861</v>
      </c>
      <c r="AB112" s="1133">
        <v>616.65469522192245</v>
      </c>
      <c r="AC112" s="1133">
        <v>681.2735456949863</v>
      </c>
      <c r="AD112" s="138"/>
      <c r="AE112" s="138"/>
      <c r="AF112" s="138"/>
      <c r="AG112" s="138"/>
      <c r="AH112" s="138"/>
      <c r="AI112" s="138"/>
      <c r="AJ112" s="138"/>
      <c r="AK112" s="138"/>
      <c r="AL112" s="138"/>
      <c r="AM112" s="138"/>
      <c r="AN112" s="138"/>
      <c r="BR112" s="180">
        <v>2016</v>
      </c>
      <c r="BS112" s="22">
        <v>2</v>
      </c>
      <c r="BT112" s="181">
        <f t="shared" si="51"/>
        <v>6.7773049827261271</v>
      </c>
      <c r="BU112" s="182">
        <f t="shared" si="52"/>
        <v>564.82896786797232</v>
      </c>
      <c r="BV112" s="183">
        <f t="shared" si="53"/>
        <v>571.60627285069847</v>
      </c>
      <c r="BY112" s="180">
        <v>2016</v>
      </c>
      <c r="BZ112" s="22">
        <v>2</v>
      </c>
      <c r="CA112" s="185">
        <f t="shared" ca="1" si="54"/>
        <v>-0.24223325922607222</v>
      </c>
      <c r="CB112" s="185">
        <f t="shared" ca="1" si="55"/>
        <v>12.106436685699716</v>
      </c>
      <c r="CC112" s="186">
        <f t="shared" ca="1" si="66"/>
        <v>547.6304064629212</v>
      </c>
      <c r="CD112" s="183">
        <f t="shared" ca="1" si="56"/>
        <v>559.49460988939484</v>
      </c>
      <c r="CG112" s="180">
        <v>2016</v>
      </c>
      <c r="CH112" s="22">
        <v>2</v>
      </c>
      <c r="CI112" s="185">
        <f t="shared" ca="1" si="57"/>
        <v>2.0077455581836264E-2</v>
      </c>
      <c r="CJ112" s="185">
        <f t="shared" ca="1" si="58"/>
        <v>-0.90478929342666925</v>
      </c>
      <c r="CK112" s="185">
        <f t="shared" ca="1" si="59"/>
        <v>17.588585932320115</v>
      </c>
      <c r="CL112" s="186">
        <f t="shared" ca="1" si="60"/>
        <v>540.77295150894497</v>
      </c>
      <c r="CM112" s="183">
        <f t="shared" ca="1" si="61"/>
        <v>557.47682560342025</v>
      </c>
      <c r="CP112" s="180">
        <v>2016</v>
      </c>
      <c r="CQ112" s="22">
        <v>2</v>
      </c>
      <c r="CR112" s="185">
        <f t="shared" ca="1" si="62"/>
        <v>565.62380568274648</v>
      </c>
      <c r="CS112" s="186">
        <f t="shared" ca="1" si="63"/>
        <v>1.0109102598389672</v>
      </c>
      <c r="CT112" s="183">
        <f t="shared" ca="1" si="64"/>
        <v>571.79490837385072</v>
      </c>
      <c r="CZ112" s="164" t="b">
        <f t="shared" si="41"/>
        <v>1</v>
      </c>
      <c r="DA112" s="165" t="b">
        <f t="shared" si="41"/>
        <v>1</v>
      </c>
      <c r="DB112" s="166" t="b">
        <f t="shared" si="41"/>
        <v>1</v>
      </c>
      <c r="DC112" s="164">
        <f t="shared" si="50"/>
        <v>4</v>
      </c>
      <c r="DD112" s="166">
        <f t="shared" si="42"/>
        <v>526.06713808139716</v>
      </c>
      <c r="DE112" s="164">
        <f t="shared" si="43"/>
        <v>4</v>
      </c>
      <c r="DF112" s="166">
        <f t="shared" si="44"/>
        <v>590.50116936363463</v>
      </c>
      <c r="DG112" s="164">
        <f t="shared" si="45"/>
        <v>4</v>
      </c>
      <c r="DH112" s="166">
        <f t="shared" si="46"/>
        <v>654.9352006458721</v>
      </c>
      <c r="DI112" s="164">
        <f>IFERROR(INDEX(DC$106:DC$154,_xlfn.AGGREGATE(15,6,(ROW(DC$106:DC$154)-ROW(DC$106)+1)/(DC$106:DC$154&lt;&gt;""),ROWS(DI$1:DI7))),"")</f>
        <v>4</v>
      </c>
      <c r="DJ112" s="165">
        <f>IFERROR(INDEX(DD$106:DD$154,_xlfn.AGGREGATE(15,6,(ROW(DD$106:DD$154)-ROW(DD$106)+1)/(DD$106:DD$154&lt;&gt;""),ROWS(DJ$1:DJ7))),"")</f>
        <v>526.06713808139716</v>
      </c>
      <c r="DK112" s="166">
        <f t="shared" si="47"/>
        <v>112</v>
      </c>
      <c r="DL112" s="164">
        <f>IFERROR(INDEX(DE$106:DE$154,_xlfn.AGGREGATE(15,6,(ROW(DE$106:DE$154)-ROW(DE$106)+1)/(DE$106:DE$154&lt;&gt;""),ROWS(DL$1:DL7))),"")</f>
        <v>4</v>
      </c>
      <c r="DM112" s="165">
        <f>IFERROR(INDEX(DF$106:DF$154,_xlfn.AGGREGATE(15,6,(ROW(DF$106:DF$154)-ROW(DF$106)+1)/(DF$106:DF$154&lt;&gt;""),ROWS(DM$1:DM7))),"")</f>
        <v>590.50116936363463</v>
      </c>
      <c r="DN112" s="166">
        <f t="shared" si="48"/>
        <v>112</v>
      </c>
      <c r="DO112" s="164">
        <f>IFERROR(INDEX(DG$106:DG$154,_xlfn.AGGREGATE(15,6,(ROW(DG$106:DG$154)-ROW(DG$106)+1)/(DG$106:DG$154&lt;&gt;""),ROWS(DO$1:DO7))),"")</f>
        <v>4</v>
      </c>
      <c r="DP112" s="165">
        <f>IFERROR(INDEX(DH$106:DH$154,_xlfn.AGGREGATE(15,6,(ROW(DH$106:DH$154)-ROW(DH$106)+1)/(DH$106:DH$154&lt;&gt;""),ROWS(DP$1:DP7))),"")</f>
        <v>654.9352006458721</v>
      </c>
      <c r="DQ112" s="166">
        <f t="shared" si="49"/>
        <v>112</v>
      </c>
      <c r="DV112" s="145">
        <v>2021</v>
      </c>
      <c r="DW112" s="235">
        <f t="shared" ca="1" si="34"/>
        <v>592.1101543356599</v>
      </c>
      <c r="DZ112" s="135" t="s">
        <v>92</v>
      </c>
      <c r="EA112" s="33">
        <f ca="1">IF($EA$104="Linear",0,IF($EA$104="2nd Poly",0,IF($EA$104="3rd Poly",CI109,IF($EA$104="Exp",0))))</f>
        <v>-1.0148495670922477E-3</v>
      </c>
      <c r="EB112" s="33">
        <f ca="1">IF($EA$104="Linear",0,IF($EA$104="2nd Poly",CA109,IF($EA$104="3rd Poly",CJ109,IF($EA$104="Exp",0))))</f>
        <v>6.3991262791323208E-2</v>
      </c>
      <c r="EC112" s="33">
        <f t="shared" ca="1" si="65"/>
        <v>1.2938805344374389</v>
      </c>
      <c r="ED112" s="33">
        <f t="shared" ca="1" si="65"/>
        <v>526.20713733265279</v>
      </c>
      <c r="EE112" s="33" t="str">
        <f>IF($EA$104="Linear","Low",IF($EA$104="2nd Poly","Low",IF($EA$104="3rd Poly","Low","N/A")))</f>
        <v>Low</v>
      </c>
    </row>
    <row r="113" spans="1:135" ht="13.8" x14ac:dyDescent="0.45">
      <c r="A113" s="184" t="s">
        <v>88</v>
      </c>
      <c r="B113" s="128">
        <v>2019</v>
      </c>
      <c r="C113" s="1023">
        <v>557.20947488584477</v>
      </c>
      <c r="D113" s="1024">
        <v>684.52447551892806</v>
      </c>
      <c r="E113" s="1025"/>
      <c r="F113" s="894"/>
      <c r="G113" s="159"/>
      <c r="H113" s="236"/>
      <c r="I113" s="1016">
        <v>539.4411764705884</v>
      </c>
      <c r="J113" s="188"/>
      <c r="K113" s="236"/>
      <c r="L113" s="240"/>
      <c r="M113" s="236"/>
      <c r="N113" s="29" t="s">
        <v>119</v>
      </c>
      <c r="O113" s="120"/>
      <c r="P113" s="120"/>
      <c r="Q113" s="120"/>
      <c r="R113" s="29">
        <v>5</v>
      </c>
      <c r="S113" s="154">
        <f t="shared" si="35"/>
        <v>539.4411764705884</v>
      </c>
      <c r="T113" s="154">
        <f t="shared" si="36"/>
        <v>684.52447551892806</v>
      </c>
      <c r="U113" s="154">
        <f t="shared" si="37"/>
        <v>64.613367620645562</v>
      </c>
      <c r="V113" s="20"/>
      <c r="W113" s="154">
        <f t="shared" si="38"/>
        <v>529.11167467114137</v>
      </c>
      <c r="X113" s="154">
        <f t="shared" si="39"/>
        <v>593.72504229178696</v>
      </c>
      <c r="Y113" s="154">
        <f t="shared" si="40"/>
        <v>658.33840991243255</v>
      </c>
      <c r="AA113" s="1133">
        <v>557.20947488584432</v>
      </c>
      <c r="AB113" s="1133">
        <v>620.86697520238636</v>
      </c>
      <c r="AC113" s="1133">
        <v>684.5244755189284</v>
      </c>
      <c r="AD113" s="138"/>
      <c r="AE113" s="138"/>
      <c r="AF113" s="138"/>
      <c r="AG113" s="138"/>
      <c r="AH113" s="138"/>
      <c r="AI113" s="138"/>
      <c r="AJ113" s="138"/>
      <c r="AK113" s="138"/>
      <c r="AL113" s="138"/>
      <c r="AM113" s="138"/>
      <c r="AN113" s="138"/>
      <c r="BR113" s="180">
        <v>2017</v>
      </c>
      <c r="BS113" s="22">
        <v>3</v>
      </c>
      <c r="BT113" s="181">
        <f t="shared" si="51"/>
        <v>10.16595747408919</v>
      </c>
      <c r="BU113" s="182">
        <f t="shared" si="52"/>
        <v>564.82896786797232</v>
      </c>
      <c r="BV113" s="183">
        <f t="shared" si="53"/>
        <v>574.99492534206149</v>
      </c>
      <c r="BY113" s="180">
        <v>2017</v>
      </c>
      <c r="BZ113" s="22">
        <v>3</v>
      </c>
      <c r="CA113" s="185">
        <f t="shared" ca="1" si="54"/>
        <v>-0.54502483325866247</v>
      </c>
      <c r="CB113" s="185">
        <f t="shared" ca="1" si="55"/>
        <v>18.159655028549572</v>
      </c>
      <c r="CC113" s="186">
        <f t="shared" ca="1" si="66"/>
        <v>547.6304064629212</v>
      </c>
      <c r="CD113" s="183">
        <f t="shared" ca="1" si="56"/>
        <v>565.24503665821214</v>
      </c>
      <c r="CG113" s="180">
        <v>2017</v>
      </c>
      <c r="CH113" s="22">
        <v>3</v>
      </c>
      <c r="CI113" s="185">
        <f t="shared" ca="1" si="57"/>
        <v>6.7761412588697389E-2</v>
      </c>
      <c r="CJ113" s="185">
        <f t="shared" ca="1" si="58"/>
        <v>-2.0357759102100057</v>
      </c>
      <c r="CK113" s="185">
        <f t="shared" ca="1" si="59"/>
        <v>26.382878898480172</v>
      </c>
      <c r="CL113" s="186">
        <f t="shared" ca="1" si="60"/>
        <v>540.77295150894497</v>
      </c>
      <c r="CM113" s="183">
        <f t="shared" ca="1" si="61"/>
        <v>565.18781590980382</v>
      </c>
      <c r="CP113" s="180">
        <v>2017</v>
      </c>
      <c r="CQ113" s="22">
        <v>3</v>
      </c>
      <c r="CR113" s="185">
        <f t="shared" ca="1" si="62"/>
        <v>565.62380568274648</v>
      </c>
      <c r="CS113" s="186">
        <f t="shared" ca="1" si="63"/>
        <v>1.0164099465843102</v>
      </c>
      <c r="CT113" s="183">
        <f t="shared" ca="1" si="64"/>
        <v>574.90566212081455</v>
      </c>
      <c r="CZ113" s="164" t="b">
        <f t="shared" si="41"/>
        <v>1</v>
      </c>
      <c r="DA113" s="165" t="b">
        <f t="shared" si="41"/>
        <v>1</v>
      </c>
      <c r="DB113" s="166" t="b">
        <f t="shared" si="41"/>
        <v>1</v>
      </c>
      <c r="DC113" s="164">
        <f t="shared" si="50"/>
        <v>5</v>
      </c>
      <c r="DD113" s="166">
        <f t="shared" si="42"/>
        <v>529.11167467114137</v>
      </c>
      <c r="DE113" s="164">
        <f t="shared" si="43"/>
        <v>5</v>
      </c>
      <c r="DF113" s="166">
        <f t="shared" si="44"/>
        <v>593.72504229178696</v>
      </c>
      <c r="DG113" s="164">
        <f t="shared" si="45"/>
        <v>5</v>
      </c>
      <c r="DH113" s="166">
        <f t="shared" si="46"/>
        <v>658.33840991243255</v>
      </c>
      <c r="DI113" s="164">
        <f>IFERROR(INDEX(DC$106:DC$154,_xlfn.AGGREGATE(15,6,(ROW(DC$106:DC$154)-ROW(DC$106)+1)/(DC$106:DC$154&lt;&gt;""),ROWS(DI$1:DI8))),"")</f>
        <v>5</v>
      </c>
      <c r="DJ113" s="165">
        <f>IFERROR(INDEX(DD$106:DD$154,_xlfn.AGGREGATE(15,6,(ROW(DD$106:DD$154)-ROW(DD$106)+1)/(DD$106:DD$154&lt;&gt;""),ROWS(DJ$1:DJ8))),"")</f>
        <v>529.11167467114137</v>
      </c>
      <c r="DK113" s="166">
        <f t="shared" si="47"/>
        <v>113</v>
      </c>
      <c r="DL113" s="164">
        <f>IFERROR(INDEX(DE$106:DE$154,_xlfn.AGGREGATE(15,6,(ROW(DE$106:DE$154)-ROW(DE$106)+1)/(DE$106:DE$154&lt;&gt;""),ROWS(DL$1:DL8))),"")</f>
        <v>5</v>
      </c>
      <c r="DM113" s="165">
        <f>IFERROR(INDEX(DF$106:DF$154,_xlfn.AGGREGATE(15,6,(ROW(DF$106:DF$154)-ROW(DF$106)+1)/(DF$106:DF$154&lt;&gt;""),ROWS(DM$1:DM8))),"")</f>
        <v>593.72504229178696</v>
      </c>
      <c r="DN113" s="166">
        <f t="shared" si="48"/>
        <v>113</v>
      </c>
      <c r="DO113" s="164">
        <f>IFERROR(INDEX(DG$106:DG$154,_xlfn.AGGREGATE(15,6,(ROW(DG$106:DG$154)-ROW(DG$106)+1)/(DG$106:DG$154&lt;&gt;""),ROWS(DO$1:DO8))),"")</f>
        <v>5</v>
      </c>
      <c r="DP113" s="165">
        <f>IFERROR(INDEX(DH$106:DH$154,_xlfn.AGGREGATE(15,6,(ROW(DH$106:DH$154)-ROW(DH$106)+1)/(DH$106:DH$154&lt;&gt;""),ROWS(DP$1:DP8))),"")</f>
        <v>658.33840991243255</v>
      </c>
      <c r="DQ113" s="166">
        <f t="shared" si="49"/>
        <v>113</v>
      </c>
      <c r="DV113" s="145">
        <v>2022</v>
      </c>
      <c r="DW113" s="235">
        <f t="shared" ca="1" si="34"/>
        <v>597.93562370063626</v>
      </c>
      <c r="DZ113" s="135"/>
      <c r="EA113" s="33"/>
      <c r="EB113" s="33"/>
      <c r="EC113" s="33"/>
      <c r="ED113" s="33"/>
      <c r="EE113" s="33"/>
    </row>
    <row r="114" spans="1:135" ht="13.8" x14ac:dyDescent="0.45">
      <c r="A114" s="194" t="s">
        <v>90</v>
      </c>
      <c r="B114" s="128">
        <v>2020</v>
      </c>
      <c r="C114" s="1023">
        <v>562.38310502283105</v>
      </c>
      <c r="D114" s="1024">
        <v>687.97064120712525</v>
      </c>
      <c r="E114" s="1025"/>
      <c r="F114" s="894"/>
      <c r="G114" s="159"/>
      <c r="H114" s="169"/>
      <c r="I114" s="931">
        <v>540.68823529411782</v>
      </c>
      <c r="J114" s="168"/>
      <c r="K114" s="169"/>
      <c r="L114" s="170"/>
      <c r="M114" s="169"/>
      <c r="N114" s="29" t="s">
        <v>119</v>
      </c>
      <c r="O114" s="120"/>
      <c r="P114" s="120"/>
      <c r="Q114" s="120"/>
      <c r="R114" s="29">
        <v>6</v>
      </c>
      <c r="S114" s="195">
        <f t="shared" si="35"/>
        <v>540.68823529411782</v>
      </c>
      <c r="T114" s="195">
        <f t="shared" si="36"/>
        <v>687.97064120712525</v>
      </c>
      <c r="U114" s="195">
        <f t="shared" si="37"/>
        <v>64.923034526284923</v>
      </c>
      <c r="V114" s="20"/>
      <c r="W114" s="154">
        <f t="shared" si="38"/>
        <v>532.09095931507318</v>
      </c>
      <c r="X114" s="154">
        <f t="shared" si="39"/>
        <v>597.01399384135811</v>
      </c>
      <c r="Y114" s="154">
        <f t="shared" si="40"/>
        <v>661.93702836764305</v>
      </c>
      <c r="AA114" s="1133">
        <v>562.38310502283116</v>
      </c>
      <c r="AB114" s="1133">
        <v>625.17687311497821</v>
      </c>
      <c r="AC114" s="1133">
        <v>687.97064120712525</v>
      </c>
      <c r="AD114" s="138"/>
      <c r="AE114" s="138"/>
      <c r="AF114" s="138"/>
      <c r="AG114" s="138"/>
      <c r="AH114" s="138"/>
      <c r="AI114" s="138"/>
      <c r="AJ114" s="138"/>
      <c r="AK114" s="138"/>
      <c r="AL114" s="138"/>
      <c r="AM114" s="138"/>
      <c r="AN114" s="138"/>
      <c r="BR114" s="180">
        <v>2018</v>
      </c>
      <c r="BS114" s="22">
        <v>4</v>
      </c>
      <c r="BT114" s="181">
        <f t="shared" si="51"/>
        <v>13.554609965452254</v>
      </c>
      <c r="BU114" s="182">
        <f t="shared" si="52"/>
        <v>564.82896786797232</v>
      </c>
      <c r="BV114" s="183">
        <f t="shared" si="53"/>
        <v>578.38357783342462</v>
      </c>
      <c r="BY114" s="180">
        <v>2018</v>
      </c>
      <c r="BZ114" s="22">
        <v>4</v>
      </c>
      <c r="CA114" s="185">
        <f t="shared" ca="1" si="54"/>
        <v>-0.96893303690428889</v>
      </c>
      <c r="CB114" s="185">
        <f t="shared" ca="1" si="55"/>
        <v>24.212873371399432</v>
      </c>
      <c r="CC114" s="186">
        <f t="shared" ca="1" si="66"/>
        <v>547.6304064629212</v>
      </c>
      <c r="CD114" s="183">
        <f t="shared" ca="1" si="56"/>
        <v>570.87434679741637</v>
      </c>
      <c r="CG114" s="180">
        <v>2018</v>
      </c>
      <c r="CH114" s="22">
        <v>4</v>
      </c>
      <c r="CI114" s="185">
        <f t="shared" ca="1" si="57"/>
        <v>0.16061964465469011</v>
      </c>
      <c r="CJ114" s="185">
        <f t="shared" ca="1" si="58"/>
        <v>-3.619157173706677</v>
      </c>
      <c r="CK114" s="185">
        <f t="shared" ca="1" si="59"/>
        <v>35.177171864640229</v>
      </c>
      <c r="CL114" s="186">
        <f t="shared" ca="1" si="60"/>
        <v>540.77295150894497</v>
      </c>
      <c r="CM114" s="183">
        <f t="shared" ca="1" si="61"/>
        <v>572.49158584453323</v>
      </c>
      <c r="CP114" s="180">
        <v>2018</v>
      </c>
      <c r="CQ114" s="22">
        <v>4</v>
      </c>
      <c r="CR114" s="185">
        <f t="shared" ca="1" si="62"/>
        <v>565.62380568274648</v>
      </c>
      <c r="CS114" s="186">
        <f t="shared" ca="1" si="63"/>
        <v>1.0219395534476881</v>
      </c>
      <c r="CT114" s="183">
        <f t="shared" ca="1" si="64"/>
        <v>578.03333939880781</v>
      </c>
      <c r="CZ114" s="164" t="b">
        <f t="shared" si="41"/>
        <v>1</v>
      </c>
      <c r="DA114" s="165" t="b">
        <f t="shared" si="41"/>
        <v>1</v>
      </c>
      <c r="DB114" s="166" t="b">
        <f t="shared" si="41"/>
        <v>1</v>
      </c>
      <c r="DC114" s="164">
        <f t="shared" si="50"/>
        <v>6</v>
      </c>
      <c r="DD114" s="166">
        <f t="shared" si="42"/>
        <v>532.09095931507318</v>
      </c>
      <c r="DE114" s="164">
        <f t="shared" si="43"/>
        <v>6</v>
      </c>
      <c r="DF114" s="166">
        <f t="shared" si="44"/>
        <v>597.01399384135811</v>
      </c>
      <c r="DG114" s="164">
        <f t="shared" si="45"/>
        <v>6</v>
      </c>
      <c r="DH114" s="166">
        <f t="shared" si="46"/>
        <v>661.93702836764305</v>
      </c>
      <c r="DI114" s="164">
        <f>IFERROR(INDEX(DC$106:DC$154,_xlfn.AGGREGATE(15,6,(ROW(DC$106:DC$154)-ROW(DC$106)+1)/(DC$106:DC$154&lt;&gt;""),ROWS(DI$1:DI9))),"")</f>
        <v>6</v>
      </c>
      <c r="DJ114" s="165">
        <f>IFERROR(INDEX(DD$106:DD$154,_xlfn.AGGREGATE(15,6,(ROW(DD$106:DD$154)-ROW(DD$106)+1)/(DD$106:DD$154&lt;&gt;""),ROWS(DJ$1:DJ9))),"")</f>
        <v>532.09095931507318</v>
      </c>
      <c r="DK114" s="166">
        <f t="shared" si="47"/>
        <v>114</v>
      </c>
      <c r="DL114" s="164">
        <f>IFERROR(INDEX(DE$106:DE$154,_xlfn.AGGREGATE(15,6,(ROW(DE$106:DE$154)-ROW(DE$106)+1)/(DE$106:DE$154&lt;&gt;""),ROWS(DL$1:DL9))),"")</f>
        <v>6</v>
      </c>
      <c r="DM114" s="165">
        <f>IFERROR(INDEX(DF$106:DF$154,_xlfn.AGGREGATE(15,6,(ROW(DF$106:DF$154)-ROW(DF$106)+1)/(DF$106:DF$154&lt;&gt;""),ROWS(DM$1:DM9))),"")</f>
        <v>597.01399384135811</v>
      </c>
      <c r="DN114" s="166">
        <f t="shared" si="48"/>
        <v>114</v>
      </c>
      <c r="DO114" s="164">
        <f>IFERROR(INDEX(DG$106:DG$154,_xlfn.AGGREGATE(15,6,(ROW(DG$106:DG$154)-ROW(DG$106)+1)/(DG$106:DG$154&lt;&gt;""),ROWS(DO$1:DO9))),"")</f>
        <v>6</v>
      </c>
      <c r="DP114" s="165">
        <f>IFERROR(INDEX(DH$106:DH$154,_xlfn.AGGREGATE(15,6,(ROW(DH$106:DH$154)-ROW(DH$106)+1)/(DH$106:DH$154&lt;&gt;""),ROWS(DP$1:DP9))),"")</f>
        <v>661.93702836764305</v>
      </c>
      <c r="DQ114" s="166">
        <f t="shared" si="49"/>
        <v>114</v>
      </c>
      <c r="DV114" s="145">
        <v>2023</v>
      </c>
      <c r="DW114" s="235">
        <f t="shared" ca="1" si="34"/>
        <v>603.42916315239029</v>
      </c>
      <c r="DZ114" s="135"/>
      <c r="EA114" s="33" t="s">
        <v>86</v>
      </c>
      <c r="EB114" s="33" t="s">
        <v>87</v>
      </c>
      <c r="EC114" s="33"/>
      <c r="ED114" s="33"/>
      <c r="EE114" s="33"/>
    </row>
    <row r="115" spans="1:135" ht="14.1" thickBot="1" x14ac:dyDescent="0.5">
      <c r="A115" s="184" t="s">
        <v>80</v>
      </c>
      <c r="B115" s="128">
        <v>2021</v>
      </c>
      <c r="C115" s="1023">
        <v>567.55673515981732</v>
      </c>
      <c r="D115" s="1024">
        <v>691.0496768795706</v>
      </c>
      <c r="E115" s="1025"/>
      <c r="F115" s="894"/>
      <c r="G115" s="159"/>
      <c r="H115" s="151"/>
      <c r="I115" s="1016">
        <v>541.93529411764723</v>
      </c>
      <c r="J115" s="159"/>
      <c r="K115" s="151"/>
      <c r="L115" s="152"/>
      <c r="M115" s="151"/>
      <c r="N115" s="29" t="s">
        <v>119</v>
      </c>
      <c r="O115" s="120"/>
      <c r="P115" s="120"/>
      <c r="Q115" s="120"/>
      <c r="R115" s="29">
        <v>7</v>
      </c>
      <c r="S115" s="196">
        <f t="shared" si="35"/>
        <v>541.93529411764723</v>
      </c>
      <c r="T115" s="196">
        <f t="shared" si="36"/>
        <v>691.0496768795706</v>
      </c>
      <c r="U115" s="196">
        <f t="shared" si="37"/>
        <v>65.099977847875493</v>
      </c>
      <c r="V115" s="20"/>
      <c r="W115" s="154">
        <f t="shared" si="38"/>
        <v>535.08059087113622</v>
      </c>
      <c r="X115" s="154">
        <f t="shared" si="39"/>
        <v>600.18056871901172</v>
      </c>
      <c r="Y115" s="154">
        <f t="shared" si="40"/>
        <v>665.28054656688721</v>
      </c>
      <c r="AA115" s="1133">
        <v>567.55673515981744</v>
      </c>
      <c r="AB115" s="1133">
        <v>629.30320601969402</v>
      </c>
      <c r="AC115" s="1133">
        <v>691.0496768795706</v>
      </c>
      <c r="AD115" s="138"/>
      <c r="AE115" s="138"/>
      <c r="AF115" s="138"/>
      <c r="AG115" s="138"/>
      <c r="AH115" s="138"/>
      <c r="AI115" s="138"/>
      <c r="AJ115" s="138"/>
      <c r="AK115" s="138"/>
      <c r="AL115" s="138"/>
      <c r="AM115" s="138"/>
      <c r="AN115" s="138"/>
      <c r="BR115" s="180">
        <v>2019</v>
      </c>
      <c r="BS115" s="22">
        <v>5</v>
      </c>
      <c r="BT115" s="181">
        <f t="shared" si="51"/>
        <v>16.943262456815319</v>
      </c>
      <c r="BU115" s="182">
        <f t="shared" si="52"/>
        <v>564.82896786797232</v>
      </c>
      <c r="BV115" s="197">
        <f t="shared" si="53"/>
        <v>581.77223032478764</v>
      </c>
      <c r="BY115" s="180">
        <v>2019</v>
      </c>
      <c r="BZ115" s="22">
        <v>5</v>
      </c>
      <c r="CA115" s="198">
        <f t="shared" ca="1" si="54"/>
        <v>-1.5139578701629515</v>
      </c>
      <c r="CB115" s="198">
        <f t="shared" ca="1" si="55"/>
        <v>30.266091714249292</v>
      </c>
      <c r="CC115" s="186">
        <f t="shared" ca="1" si="66"/>
        <v>547.6304064629212</v>
      </c>
      <c r="CD115" s="197">
        <f t="shared" ca="1" si="56"/>
        <v>576.3825403070075</v>
      </c>
      <c r="CG115" s="180">
        <v>2019</v>
      </c>
      <c r="CH115" s="22">
        <v>5</v>
      </c>
      <c r="CI115" s="198">
        <f t="shared" ca="1" si="57"/>
        <v>0.31371024346619164</v>
      </c>
      <c r="CJ115" s="198">
        <f t="shared" ca="1" si="58"/>
        <v>-5.6549330839166831</v>
      </c>
      <c r="CK115" s="198">
        <f t="shared" ca="1" si="59"/>
        <v>43.971464830800286</v>
      </c>
      <c r="CL115" s="186">
        <f t="shared" ca="1" si="60"/>
        <v>540.77295150894497</v>
      </c>
      <c r="CM115" s="197">
        <f t="shared" ca="1" si="61"/>
        <v>579.40319349929473</v>
      </c>
      <c r="CP115" s="180">
        <v>2019</v>
      </c>
      <c r="CQ115" s="22">
        <v>5</v>
      </c>
      <c r="CR115" s="198">
        <f t="shared" ca="1" si="62"/>
        <v>565.62380568274648</v>
      </c>
      <c r="CS115" s="186">
        <f t="shared" ca="1" si="63"/>
        <v>1.0274992432044558</v>
      </c>
      <c r="CT115" s="197">
        <f t="shared" ca="1" si="64"/>
        <v>581.17803227744616</v>
      </c>
      <c r="CZ115" s="164" t="b">
        <f t="shared" si="41"/>
        <v>1</v>
      </c>
      <c r="DA115" s="165" t="b">
        <f t="shared" si="41"/>
        <v>1</v>
      </c>
      <c r="DB115" s="166" t="b">
        <f t="shared" si="41"/>
        <v>1</v>
      </c>
      <c r="DC115" s="164">
        <f t="shared" si="50"/>
        <v>7</v>
      </c>
      <c r="DD115" s="166">
        <f t="shared" si="42"/>
        <v>535.08059087113622</v>
      </c>
      <c r="DE115" s="164">
        <f t="shared" si="43"/>
        <v>7</v>
      </c>
      <c r="DF115" s="166">
        <f t="shared" si="44"/>
        <v>600.18056871901172</v>
      </c>
      <c r="DG115" s="164">
        <f t="shared" si="45"/>
        <v>7</v>
      </c>
      <c r="DH115" s="166">
        <f t="shared" si="46"/>
        <v>665.28054656688721</v>
      </c>
      <c r="DI115" s="164">
        <f>IFERROR(INDEX(DC$106:DC$154,_xlfn.AGGREGATE(15,6,(ROW(DC$106:DC$154)-ROW(DC$106)+1)/(DC$106:DC$154&lt;&gt;""),ROWS(DI$1:DI10))),"")</f>
        <v>7</v>
      </c>
      <c r="DJ115" s="165">
        <f>IFERROR(INDEX(DD$106:DD$154,_xlfn.AGGREGATE(15,6,(ROW(DD$106:DD$154)-ROW(DD$106)+1)/(DD$106:DD$154&lt;&gt;""),ROWS(DJ$1:DJ10))),"")</f>
        <v>535.08059087113622</v>
      </c>
      <c r="DK115" s="166">
        <f t="shared" si="47"/>
        <v>115</v>
      </c>
      <c r="DL115" s="164">
        <f>IFERROR(INDEX(DE$106:DE$154,_xlfn.AGGREGATE(15,6,(ROW(DE$106:DE$154)-ROW(DE$106)+1)/(DE$106:DE$154&lt;&gt;""),ROWS(DL$1:DL10))),"")</f>
        <v>7</v>
      </c>
      <c r="DM115" s="165">
        <f>IFERROR(INDEX(DF$106:DF$154,_xlfn.AGGREGATE(15,6,(ROW(DF$106:DF$154)-ROW(DF$106)+1)/(DF$106:DF$154&lt;&gt;""),ROWS(DM$1:DM10))),"")</f>
        <v>600.18056871901172</v>
      </c>
      <c r="DN115" s="166">
        <f t="shared" si="48"/>
        <v>115</v>
      </c>
      <c r="DO115" s="164">
        <f>IFERROR(INDEX(DG$106:DG$154,_xlfn.AGGREGATE(15,6,(ROW(DG$106:DG$154)-ROW(DG$106)+1)/(DG$106:DG$154&lt;&gt;""),ROWS(DO$1:DO10))),"")</f>
        <v>7</v>
      </c>
      <c r="DP115" s="165">
        <f>IFERROR(INDEX(DH$106:DH$154,_xlfn.AGGREGATE(15,6,(ROW(DH$106:DH$154)-ROW(DH$106)+1)/(DH$106:DH$154&lt;&gt;""),ROWS(DP$1:DP10))),"")</f>
        <v>665.28054656688721</v>
      </c>
      <c r="DQ115" s="166">
        <f t="shared" si="49"/>
        <v>115</v>
      </c>
      <c r="DV115" s="145">
        <v>2024</v>
      </c>
      <c r="DW115" s="235">
        <f t="shared" ca="1" si="34"/>
        <v>608.60583078260834</v>
      </c>
      <c r="DZ115" s="135" t="s">
        <v>92</v>
      </c>
      <c r="EA115" s="33">
        <f t="shared" ref="EA115:EB117" si="67">IF($EA$104="Linear",0,IF($EA$104="2nd Poly",0,IF($EA$104="3rd Poly",0,IF($EA$104="Exp",CR107))))</f>
        <v>0</v>
      </c>
      <c r="EB115" s="33">
        <f t="shared" si="67"/>
        <v>0</v>
      </c>
      <c r="EC115" s="33" t="str">
        <f>IF($EA$104="Linear","N/A",IF($EA$104="2nd Poly","N/A",IF($EA$104="3rd Poly","N/A","High")))</f>
        <v>N/A</v>
      </c>
      <c r="ED115" s="33"/>
      <c r="EE115" s="33"/>
    </row>
    <row r="116" spans="1:135" ht="13.8" x14ac:dyDescent="0.45">
      <c r="A116" s="148" t="s">
        <v>88</v>
      </c>
      <c r="B116" s="128">
        <v>2022</v>
      </c>
      <c r="C116" s="1023">
        <v>572.73036529680371</v>
      </c>
      <c r="D116" s="1024">
        <v>694.17101526405872</v>
      </c>
      <c r="E116" s="1025"/>
      <c r="F116" s="894"/>
      <c r="G116" s="159"/>
      <c r="H116" s="200"/>
      <c r="I116" s="1111">
        <v>543.18235294117665</v>
      </c>
      <c r="J116" s="199"/>
      <c r="K116" s="200"/>
      <c r="L116" s="201"/>
      <c r="M116" s="200"/>
      <c r="N116" s="29" t="s">
        <v>119</v>
      </c>
      <c r="O116" s="120"/>
      <c r="P116" s="120"/>
      <c r="Q116" s="120"/>
      <c r="R116" s="29">
        <v>8</v>
      </c>
      <c r="S116" s="202">
        <f t="shared" si="35"/>
        <v>543.18235294117665</v>
      </c>
      <c r="T116" s="202">
        <f t="shared" si="36"/>
        <v>694.17101526405872</v>
      </c>
      <c r="U116" s="202">
        <f t="shared" si="37"/>
        <v>65.335452898178119</v>
      </c>
      <c r="V116" s="20"/>
      <c r="W116" s="154">
        <f t="shared" si="38"/>
        <v>538.02579160250161</v>
      </c>
      <c r="X116" s="154">
        <f t="shared" si="39"/>
        <v>603.36124450067973</v>
      </c>
      <c r="Y116" s="154">
        <f t="shared" si="40"/>
        <v>668.69669739885785</v>
      </c>
      <c r="AA116" s="1133">
        <v>572.73036529680371</v>
      </c>
      <c r="AB116" s="1133">
        <v>633.45069028043122</v>
      </c>
      <c r="AC116" s="1133">
        <v>694.17101526405872</v>
      </c>
      <c r="AD116" s="120"/>
      <c r="AE116" s="120"/>
      <c r="AF116" s="120"/>
      <c r="AG116" s="120"/>
      <c r="AH116" s="120"/>
      <c r="AI116" s="120"/>
      <c r="AJ116" s="120"/>
      <c r="AK116" s="120"/>
      <c r="AL116" s="120"/>
      <c r="AM116" s="120"/>
      <c r="AN116" s="120"/>
      <c r="BR116" s="180">
        <v>2020</v>
      </c>
      <c r="BS116" s="22">
        <v>6</v>
      </c>
      <c r="BT116" s="181">
        <f t="shared" si="51"/>
        <v>20.33191494817838</v>
      </c>
      <c r="BU116" s="182">
        <f t="shared" si="52"/>
        <v>564.82896786797232</v>
      </c>
      <c r="BV116" s="203">
        <f t="shared" si="53"/>
        <v>585.16088281615066</v>
      </c>
      <c r="BY116" s="180">
        <v>2020</v>
      </c>
      <c r="BZ116" s="22">
        <v>6</v>
      </c>
      <c r="CA116" s="198">
        <f t="shared" ca="1" si="54"/>
        <v>-2.1800993330346499</v>
      </c>
      <c r="CB116" s="198">
        <f t="shared" ca="1" si="55"/>
        <v>36.319310057099145</v>
      </c>
      <c r="CC116" s="186">
        <f t="shared" ca="1" si="66"/>
        <v>547.6304064629212</v>
      </c>
      <c r="CD116" s="203">
        <f t="shared" ca="1" si="56"/>
        <v>581.76961718698567</v>
      </c>
      <c r="CG116" s="180">
        <v>2020</v>
      </c>
      <c r="CH116" s="22">
        <v>6</v>
      </c>
      <c r="CI116" s="198">
        <f t="shared" ca="1" si="57"/>
        <v>0.54209130070957912</v>
      </c>
      <c r="CJ116" s="198">
        <f t="shared" ca="1" si="58"/>
        <v>-8.1431036408400228</v>
      </c>
      <c r="CK116" s="198">
        <f t="shared" ca="1" si="59"/>
        <v>52.765757796960344</v>
      </c>
      <c r="CL116" s="186">
        <f t="shared" ca="1" si="60"/>
        <v>540.77295150894497</v>
      </c>
      <c r="CM116" s="203">
        <f t="shared" ca="1" si="61"/>
        <v>585.93769696577488</v>
      </c>
      <c r="CP116" s="180">
        <v>2020</v>
      </c>
      <c r="CQ116" s="22">
        <v>6</v>
      </c>
      <c r="CR116" s="198">
        <f t="shared" ca="1" si="62"/>
        <v>565.62380568274648</v>
      </c>
      <c r="CS116" s="186">
        <f t="shared" ca="1" si="63"/>
        <v>1.0330891795155204</v>
      </c>
      <c r="CT116" s="203">
        <f t="shared" ca="1" si="64"/>
        <v>584.33983332723471</v>
      </c>
      <c r="CZ116" s="164" t="b">
        <f t="shared" si="41"/>
        <v>1</v>
      </c>
      <c r="DA116" s="165" t="b">
        <f t="shared" si="41"/>
        <v>1</v>
      </c>
      <c r="DB116" s="166" t="b">
        <f t="shared" si="41"/>
        <v>1</v>
      </c>
      <c r="DC116" s="164">
        <f t="shared" si="50"/>
        <v>8</v>
      </c>
      <c r="DD116" s="166">
        <f t="shared" si="42"/>
        <v>538.02579160250161</v>
      </c>
      <c r="DE116" s="164">
        <f t="shared" si="43"/>
        <v>8</v>
      </c>
      <c r="DF116" s="166">
        <f t="shared" si="44"/>
        <v>603.36124450067973</v>
      </c>
      <c r="DG116" s="164">
        <f t="shared" si="45"/>
        <v>8</v>
      </c>
      <c r="DH116" s="166">
        <f t="shared" si="46"/>
        <v>668.69669739885785</v>
      </c>
      <c r="DI116" s="164">
        <f>IFERROR(INDEX(DC$106:DC$154,_xlfn.AGGREGATE(15,6,(ROW(DC$106:DC$154)-ROW(DC$106)+1)/(DC$106:DC$154&lt;&gt;""),ROWS(DI$1:DI11))),"")</f>
        <v>8</v>
      </c>
      <c r="DJ116" s="165">
        <f>IFERROR(INDEX(DD$106:DD$154,_xlfn.AGGREGATE(15,6,(ROW(DD$106:DD$154)-ROW(DD$106)+1)/(DD$106:DD$154&lt;&gt;""),ROWS(DJ$1:DJ11))),"")</f>
        <v>538.02579160250161</v>
      </c>
      <c r="DK116" s="166">
        <f t="shared" si="47"/>
        <v>116</v>
      </c>
      <c r="DL116" s="164">
        <f>IFERROR(INDEX(DE$106:DE$154,_xlfn.AGGREGATE(15,6,(ROW(DE$106:DE$154)-ROW(DE$106)+1)/(DE$106:DE$154&lt;&gt;""),ROWS(DL$1:DL11))),"")</f>
        <v>8</v>
      </c>
      <c r="DM116" s="165">
        <f>IFERROR(INDEX(DF$106:DF$154,_xlfn.AGGREGATE(15,6,(ROW(DF$106:DF$154)-ROW(DF$106)+1)/(DF$106:DF$154&lt;&gt;""),ROWS(DM$1:DM11))),"")</f>
        <v>603.36124450067973</v>
      </c>
      <c r="DN116" s="166">
        <f t="shared" si="48"/>
        <v>116</v>
      </c>
      <c r="DO116" s="164">
        <f>IFERROR(INDEX(DG$106:DG$154,_xlfn.AGGREGATE(15,6,(ROW(DG$106:DG$154)-ROW(DG$106)+1)/(DG$106:DG$154&lt;&gt;""),ROWS(DO$1:DO11))),"")</f>
        <v>8</v>
      </c>
      <c r="DP116" s="165">
        <f>IFERROR(INDEX(DH$106:DH$154,_xlfn.AGGREGATE(15,6,(ROW(DH$106:DH$154)-ROW(DH$106)+1)/(DH$106:DH$154&lt;&gt;""),ROWS(DP$1:DP11))),"")</f>
        <v>668.69669739885785</v>
      </c>
      <c r="DQ116" s="166">
        <f t="shared" si="49"/>
        <v>116</v>
      </c>
      <c r="DV116" s="145">
        <v>2025</v>
      </c>
      <c r="DW116" s="235">
        <f t="shared" ca="1" si="34"/>
        <v>613.48068468297686</v>
      </c>
      <c r="DZ116" s="135" t="s">
        <v>92</v>
      </c>
      <c r="EA116" s="33">
        <f t="shared" si="67"/>
        <v>0</v>
      </c>
      <c r="EB116" s="33">
        <f t="shared" si="67"/>
        <v>0</v>
      </c>
      <c r="EC116" s="33" t="str">
        <f>IF($EA$104="Linear","N/A",IF($EA$104="2nd Poly","N/A",IF($EA$104="3rd Poly","N/A","Medium")))</f>
        <v>N/A</v>
      </c>
    </row>
    <row r="117" spans="1:135" ht="13.8" x14ac:dyDescent="0.45">
      <c r="B117" s="128">
        <v>2023</v>
      </c>
      <c r="C117" s="1023">
        <v>577.90399543378999</v>
      </c>
      <c r="D117" s="1024">
        <v>697.30509873480696</v>
      </c>
      <c r="E117" s="1025"/>
      <c r="F117" s="894"/>
      <c r="G117" s="159"/>
      <c r="H117" s="200"/>
      <c r="I117" s="1111">
        <v>544.42941176470606</v>
      </c>
      <c r="J117" s="199"/>
      <c r="K117" s="200"/>
      <c r="L117" s="201"/>
      <c r="M117" s="200"/>
      <c r="N117" s="29" t="s">
        <v>119</v>
      </c>
      <c r="O117" s="120"/>
      <c r="P117" s="120"/>
      <c r="Q117" s="120"/>
      <c r="R117" s="29">
        <v>9</v>
      </c>
      <c r="S117" s="202">
        <f t="shared" si="35"/>
        <v>544.42941176470606</v>
      </c>
      <c r="T117" s="202">
        <f t="shared" si="36"/>
        <v>697.30509873480696</v>
      </c>
      <c r="U117" s="202">
        <f t="shared" si="37"/>
        <v>65.615163294859229</v>
      </c>
      <c r="V117" s="20"/>
      <c r="W117" s="154">
        <f t="shared" si="38"/>
        <v>540.931005349575</v>
      </c>
      <c r="X117" s="154">
        <f t="shared" si="39"/>
        <v>606.54616864443426</v>
      </c>
      <c r="Y117" s="154">
        <f t="shared" si="40"/>
        <v>672.16133193929352</v>
      </c>
      <c r="AA117" s="1133">
        <v>577.90399543378999</v>
      </c>
      <c r="AB117" s="1133">
        <v>637.60454708429847</v>
      </c>
      <c r="AC117" s="1133">
        <v>697.30509873480696</v>
      </c>
      <c r="AD117" s="120"/>
      <c r="AE117" s="120"/>
      <c r="AF117" s="120"/>
      <c r="AG117" s="120"/>
      <c r="AH117" s="120"/>
      <c r="AI117" s="120"/>
      <c r="AJ117" s="120"/>
      <c r="AK117" s="120"/>
      <c r="AL117" s="120"/>
      <c r="AM117" s="120"/>
      <c r="AN117" s="120"/>
      <c r="BR117" s="180">
        <v>2021</v>
      </c>
      <c r="BS117" s="22">
        <v>7</v>
      </c>
      <c r="BT117" s="181">
        <f t="shared" si="51"/>
        <v>23.720567439541444</v>
      </c>
      <c r="BU117" s="182">
        <f t="shared" si="52"/>
        <v>564.82896786797232</v>
      </c>
      <c r="BV117" s="205">
        <f t="shared" si="53"/>
        <v>588.54953530751379</v>
      </c>
      <c r="BY117" s="180">
        <v>2021</v>
      </c>
      <c r="BZ117" s="22">
        <v>7</v>
      </c>
      <c r="CA117" s="198">
        <f t="shared" ca="1" si="54"/>
        <v>-2.9673574255193849</v>
      </c>
      <c r="CB117" s="198">
        <f t="shared" ca="1" si="55"/>
        <v>42.372528399949005</v>
      </c>
      <c r="CC117" s="186">
        <f t="shared" ca="1" si="66"/>
        <v>547.6304064629212</v>
      </c>
      <c r="CD117" s="205">
        <f t="shared" ca="1" si="56"/>
        <v>587.03557743735087</v>
      </c>
      <c r="CG117" s="180">
        <v>2021</v>
      </c>
      <c r="CH117" s="22">
        <v>7</v>
      </c>
      <c r="CI117" s="198">
        <f t="shared" ca="1" si="57"/>
        <v>0.8608209080712298</v>
      </c>
      <c r="CJ117" s="198">
        <f t="shared" ca="1" si="58"/>
        <v>-11.083668844476698</v>
      </c>
      <c r="CK117" s="198">
        <f t="shared" ca="1" si="59"/>
        <v>61.560050763120401</v>
      </c>
      <c r="CL117" s="186">
        <f t="shared" ca="1" si="60"/>
        <v>540.77295150894497</v>
      </c>
      <c r="CM117" s="205">
        <f t="shared" ca="1" si="61"/>
        <v>592.1101543356599</v>
      </c>
      <c r="CP117" s="180">
        <v>2021</v>
      </c>
      <c r="CQ117" s="22">
        <v>7</v>
      </c>
      <c r="CR117" s="198">
        <f t="shared" ca="1" si="62"/>
        <v>565.62380568274648</v>
      </c>
      <c r="CS117" s="186">
        <f t="shared" ca="1" si="63"/>
        <v>1.0387095269321585</v>
      </c>
      <c r="CT117" s="205">
        <f t="shared" ca="1" si="64"/>
        <v>587.51883562229273</v>
      </c>
      <c r="CZ117" s="164" t="b">
        <f t="shared" si="41"/>
        <v>1</v>
      </c>
      <c r="DA117" s="165" t="b">
        <f t="shared" si="41"/>
        <v>1</v>
      </c>
      <c r="DB117" s="166" t="b">
        <f t="shared" si="41"/>
        <v>1</v>
      </c>
      <c r="DC117" s="164">
        <f t="shared" si="50"/>
        <v>9</v>
      </c>
      <c r="DD117" s="166">
        <f t="shared" si="42"/>
        <v>540.931005349575</v>
      </c>
      <c r="DE117" s="164">
        <f t="shared" si="43"/>
        <v>9</v>
      </c>
      <c r="DF117" s="166">
        <f t="shared" si="44"/>
        <v>606.54616864443426</v>
      </c>
      <c r="DG117" s="164">
        <f t="shared" si="45"/>
        <v>9</v>
      </c>
      <c r="DH117" s="166">
        <f t="shared" si="46"/>
        <v>672.16133193929352</v>
      </c>
      <c r="DI117" s="164">
        <f>IFERROR(INDEX(DC$106:DC$154,_xlfn.AGGREGATE(15,6,(ROW(DC$106:DC$154)-ROW(DC$106)+1)/(DC$106:DC$154&lt;&gt;""),ROWS(DI$1:DI12))),"")</f>
        <v>9</v>
      </c>
      <c r="DJ117" s="165">
        <f>IFERROR(INDEX(DD$106:DD$154,_xlfn.AGGREGATE(15,6,(ROW(DD$106:DD$154)-ROW(DD$106)+1)/(DD$106:DD$154&lt;&gt;""),ROWS(DJ$1:DJ12))),"")</f>
        <v>540.931005349575</v>
      </c>
      <c r="DK117" s="166">
        <f t="shared" si="47"/>
        <v>117</v>
      </c>
      <c r="DL117" s="164">
        <f>IFERROR(INDEX(DE$106:DE$154,_xlfn.AGGREGATE(15,6,(ROW(DE$106:DE$154)-ROW(DE$106)+1)/(DE$106:DE$154&lt;&gt;""),ROWS(DL$1:DL12))),"")</f>
        <v>9</v>
      </c>
      <c r="DM117" s="165">
        <f>IFERROR(INDEX(DF$106:DF$154,_xlfn.AGGREGATE(15,6,(ROW(DF$106:DF$154)-ROW(DF$106)+1)/(DF$106:DF$154&lt;&gt;""),ROWS(DM$1:DM12))),"")</f>
        <v>606.54616864443426</v>
      </c>
      <c r="DN117" s="166">
        <f t="shared" si="48"/>
        <v>117</v>
      </c>
      <c r="DO117" s="164">
        <f>IFERROR(INDEX(DG$106:DG$154,_xlfn.AGGREGATE(15,6,(ROW(DG$106:DG$154)-ROW(DG$106)+1)/(DG$106:DG$154&lt;&gt;""),ROWS(DO$1:DO12))),"")</f>
        <v>9</v>
      </c>
      <c r="DP117" s="165">
        <f>IFERROR(INDEX(DH$106:DH$154,_xlfn.AGGREGATE(15,6,(ROW(DH$106:DH$154)-ROW(DH$106)+1)/(DH$106:DH$154&lt;&gt;""),ROWS(DP$1:DP12))),"")</f>
        <v>672.16133193929352</v>
      </c>
      <c r="DQ117" s="166">
        <f t="shared" si="49"/>
        <v>117</v>
      </c>
      <c r="DV117" s="145">
        <v>2026</v>
      </c>
      <c r="DW117" s="235">
        <f t="shared" ca="1" si="34"/>
        <v>618.06878294518219</v>
      </c>
      <c r="DZ117" s="135" t="s">
        <v>92</v>
      </c>
      <c r="EA117" s="33">
        <f t="shared" si="67"/>
        <v>0</v>
      </c>
      <c r="EB117" s="33">
        <f t="shared" si="67"/>
        <v>0</v>
      </c>
      <c r="EC117" s="33" t="str">
        <f>IF($EA$104="Linear","N/A",IF($EA$104="2nd Poly","N/A",IF($EA$104="3rd Poly","N/A","Low")))</f>
        <v>N/A</v>
      </c>
    </row>
    <row r="118" spans="1:135" ht="13.8" x14ac:dyDescent="0.45">
      <c r="B118" s="128">
        <v>2024</v>
      </c>
      <c r="C118" s="1023">
        <v>583.07762557077626</v>
      </c>
      <c r="D118" s="1024">
        <v>700.45844587228885</v>
      </c>
      <c r="E118" s="1025"/>
      <c r="F118" s="894"/>
      <c r="G118" s="159"/>
      <c r="H118" s="204"/>
      <c r="I118" s="1112">
        <v>545.67647058823547</v>
      </c>
      <c r="J118" s="207"/>
      <c r="K118" s="204"/>
      <c r="L118" s="206"/>
      <c r="M118" s="204"/>
      <c r="N118" s="29" t="s">
        <v>119</v>
      </c>
      <c r="O118" s="120"/>
      <c r="P118" s="120"/>
      <c r="Q118" s="120"/>
      <c r="R118" s="29">
        <v>10</v>
      </c>
      <c r="S118" s="154">
        <f t="shared" si="35"/>
        <v>545.67647058823547</v>
      </c>
      <c r="T118" s="154">
        <f t="shared" si="36"/>
        <v>700.45844587228885</v>
      </c>
      <c r="U118" s="154">
        <f t="shared" si="37"/>
        <v>65.941525646690351</v>
      </c>
      <c r="V118" s="20"/>
      <c r="W118" s="154">
        <f t="shared" si="38"/>
        <v>543.79598836374316</v>
      </c>
      <c r="X118" s="154">
        <f t="shared" si="39"/>
        <v>609.73751401043353</v>
      </c>
      <c r="Y118" s="154">
        <f t="shared" si="40"/>
        <v>675.67903965712389</v>
      </c>
      <c r="AA118" s="1133">
        <v>583.07762557077626</v>
      </c>
      <c r="AB118" s="1133">
        <v>641.76803572153256</v>
      </c>
      <c r="AC118" s="1133">
        <v>700.45844587228885</v>
      </c>
      <c r="AD118" s="120"/>
      <c r="AE118" s="120"/>
      <c r="AF118" s="120"/>
      <c r="AG118" s="120"/>
      <c r="AH118" s="120"/>
      <c r="AI118" s="120"/>
      <c r="AJ118" s="120"/>
      <c r="AK118" s="120"/>
      <c r="AL118" s="120"/>
      <c r="AM118" s="120"/>
      <c r="AN118" s="120"/>
      <c r="BR118" s="180">
        <v>2022</v>
      </c>
      <c r="BS118" s="22">
        <v>8</v>
      </c>
      <c r="BT118" s="181">
        <f t="shared" si="51"/>
        <v>27.109219930904509</v>
      </c>
      <c r="BU118" s="182">
        <f t="shared" si="52"/>
        <v>564.82896786797232</v>
      </c>
      <c r="BV118" s="205">
        <f t="shared" si="53"/>
        <v>591.93818779887681</v>
      </c>
      <c r="BY118" s="180">
        <v>2022</v>
      </c>
      <c r="BZ118" s="22">
        <v>8</v>
      </c>
      <c r="CA118" s="198">
        <f t="shared" ca="1" si="54"/>
        <v>-3.8757321476171556</v>
      </c>
      <c r="CB118" s="198">
        <f t="shared" ca="1" si="55"/>
        <v>48.425746742798864</v>
      </c>
      <c r="CC118" s="186">
        <f t="shared" ca="1" si="66"/>
        <v>547.6304064629212</v>
      </c>
      <c r="CD118" s="205">
        <f t="shared" ca="1" si="56"/>
        <v>592.18042105810287</v>
      </c>
      <c r="CG118" s="180">
        <v>2022</v>
      </c>
      <c r="CH118" s="22">
        <v>8</v>
      </c>
      <c r="CI118" s="198">
        <f t="shared" ca="1" si="57"/>
        <v>1.2849571572375209</v>
      </c>
      <c r="CJ118" s="198">
        <f t="shared" ca="1" si="58"/>
        <v>-14.476628694826708</v>
      </c>
      <c r="CK118" s="198">
        <f t="shared" ca="1" si="59"/>
        <v>70.354343729280458</v>
      </c>
      <c r="CL118" s="186">
        <f t="shared" ca="1" si="60"/>
        <v>540.77295150894497</v>
      </c>
      <c r="CM118" s="205">
        <f t="shared" ca="1" si="61"/>
        <v>597.93562370063626</v>
      </c>
      <c r="CP118" s="180">
        <v>2022</v>
      </c>
      <c r="CQ118" s="22">
        <v>8</v>
      </c>
      <c r="CR118" s="198">
        <f t="shared" ca="1" si="62"/>
        <v>565.62380568274648</v>
      </c>
      <c r="CS118" s="186">
        <f t="shared" ca="1" si="63"/>
        <v>1.0443604509008599</v>
      </c>
      <c r="CT118" s="205">
        <f t="shared" ca="1" si="64"/>
        <v>590.71513274309348</v>
      </c>
      <c r="CZ118" s="164" t="b">
        <f t="shared" si="41"/>
        <v>1</v>
      </c>
      <c r="DA118" s="165" t="b">
        <f t="shared" si="41"/>
        <v>1</v>
      </c>
      <c r="DB118" s="166" t="b">
        <f t="shared" si="41"/>
        <v>1</v>
      </c>
      <c r="DC118" s="164">
        <f t="shared" si="50"/>
        <v>10</v>
      </c>
      <c r="DD118" s="166">
        <f t="shared" si="42"/>
        <v>543.79598836374316</v>
      </c>
      <c r="DE118" s="164">
        <f t="shared" si="43"/>
        <v>10</v>
      </c>
      <c r="DF118" s="166">
        <f t="shared" si="44"/>
        <v>609.73751401043353</v>
      </c>
      <c r="DG118" s="164">
        <f t="shared" si="45"/>
        <v>10</v>
      </c>
      <c r="DH118" s="166">
        <f t="shared" si="46"/>
        <v>675.67903965712389</v>
      </c>
      <c r="DI118" s="164">
        <f>IFERROR(INDEX(DC$106:DC$154,_xlfn.AGGREGATE(15,6,(ROW(DC$106:DC$154)-ROW(DC$106)+1)/(DC$106:DC$154&lt;&gt;""),ROWS(DI$1:DI13))),"")</f>
        <v>10</v>
      </c>
      <c r="DJ118" s="165">
        <f>IFERROR(INDEX(DD$106:DD$154,_xlfn.AGGREGATE(15,6,(ROW(DD$106:DD$154)-ROW(DD$106)+1)/(DD$106:DD$154&lt;&gt;""),ROWS(DJ$1:DJ13))),"")</f>
        <v>543.79598836374316</v>
      </c>
      <c r="DK118" s="166">
        <f t="shared" si="47"/>
        <v>118</v>
      </c>
      <c r="DL118" s="164">
        <f>IFERROR(INDEX(DE$106:DE$154,_xlfn.AGGREGATE(15,6,(ROW(DE$106:DE$154)-ROW(DE$106)+1)/(DE$106:DE$154&lt;&gt;""),ROWS(DL$1:DL13))),"")</f>
        <v>10</v>
      </c>
      <c r="DM118" s="165">
        <f>IFERROR(INDEX(DF$106:DF$154,_xlfn.AGGREGATE(15,6,(ROW(DF$106:DF$154)-ROW(DF$106)+1)/(DF$106:DF$154&lt;&gt;""),ROWS(DM$1:DM13))),"")</f>
        <v>609.73751401043353</v>
      </c>
      <c r="DN118" s="166">
        <f t="shared" si="48"/>
        <v>118</v>
      </c>
      <c r="DO118" s="164">
        <f>IFERROR(INDEX(DG$106:DG$154,_xlfn.AGGREGATE(15,6,(ROW(DG$106:DG$154)-ROW(DG$106)+1)/(DG$106:DG$154&lt;&gt;""),ROWS(DO$1:DO13))),"")</f>
        <v>10</v>
      </c>
      <c r="DP118" s="165">
        <f>IFERROR(INDEX(DH$106:DH$154,_xlfn.AGGREGATE(15,6,(ROW(DH$106:DH$154)-ROW(DH$106)+1)/(DH$106:DH$154&lt;&gt;""),ROWS(DP$1:DP13))),"")</f>
        <v>675.67903965712389</v>
      </c>
      <c r="DQ118" s="166">
        <f t="shared" si="49"/>
        <v>118</v>
      </c>
      <c r="DV118" s="145">
        <v>2027</v>
      </c>
      <c r="DW118" s="235">
        <f t="shared" ca="1" si="34"/>
        <v>622.38518366091068</v>
      </c>
    </row>
    <row r="119" spans="1:135" ht="13.8" x14ac:dyDescent="0.45">
      <c r="B119" s="128">
        <v>2025</v>
      </c>
      <c r="C119" s="1023">
        <v>588.25125570776254</v>
      </c>
      <c r="D119" s="1024">
        <v>702.42397358964251</v>
      </c>
      <c r="E119" s="1025"/>
      <c r="F119" s="894"/>
      <c r="G119" s="159"/>
      <c r="H119" s="204"/>
      <c r="I119" s="1112">
        <v>546.92352941176489</v>
      </c>
      <c r="J119" s="207"/>
      <c r="K119" s="204"/>
      <c r="L119" s="206"/>
      <c r="M119" s="204"/>
      <c r="N119" s="29" t="s">
        <v>119</v>
      </c>
      <c r="O119" s="120"/>
      <c r="P119" s="120"/>
      <c r="Q119" s="120"/>
      <c r="R119" s="29">
        <v>11</v>
      </c>
      <c r="S119" s="154">
        <f t="shared" si="35"/>
        <v>546.92352941176489</v>
      </c>
      <c r="T119" s="154">
        <f t="shared" si="36"/>
        <v>702.42397358964251</v>
      </c>
      <c r="U119" s="154">
        <f t="shared" si="37"/>
        <v>65.763700396740091</v>
      </c>
      <c r="W119" s="154">
        <f t="shared" si="38"/>
        <v>546.76921917298318</v>
      </c>
      <c r="X119" s="154">
        <f t="shared" si="39"/>
        <v>612.53291956972328</v>
      </c>
      <c r="Y119" s="154">
        <f t="shared" si="40"/>
        <v>678.29661996646337</v>
      </c>
      <c r="AA119" s="1133">
        <v>588.25125570776254</v>
      </c>
      <c r="AB119" s="1133">
        <v>645.33761464870258</v>
      </c>
      <c r="AC119" s="1133">
        <v>702.42397358964263</v>
      </c>
      <c r="AD119" s="120"/>
      <c r="AE119" s="120"/>
      <c r="AF119" s="120"/>
      <c r="AG119" s="120"/>
      <c r="AH119" s="120"/>
      <c r="AI119" s="120"/>
      <c r="AJ119" s="120"/>
      <c r="AK119" s="120"/>
      <c r="AL119" s="120"/>
      <c r="AM119" s="120"/>
      <c r="AN119" s="120"/>
      <c r="BR119" s="180">
        <v>2023</v>
      </c>
      <c r="BS119" s="22">
        <v>9</v>
      </c>
      <c r="BT119" s="181">
        <f t="shared" si="51"/>
        <v>30.497872422267573</v>
      </c>
      <c r="BU119" s="182">
        <f t="shared" si="52"/>
        <v>564.82896786797232</v>
      </c>
      <c r="BV119" s="205">
        <f t="shared" si="53"/>
        <v>595.32684029023994</v>
      </c>
      <c r="BY119" s="180">
        <v>2023</v>
      </c>
      <c r="BZ119" s="22">
        <v>9</v>
      </c>
      <c r="CA119" s="198">
        <f t="shared" ca="1" si="54"/>
        <v>-4.9052234993279624</v>
      </c>
      <c r="CB119" s="198">
        <f t="shared" ca="1" si="55"/>
        <v>54.478965085648724</v>
      </c>
      <c r="CC119" s="186">
        <f t="shared" ca="1" si="66"/>
        <v>547.6304064629212</v>
      </c>
      <c r="CD119" s="205">
        <f t="shared" ca="1" si="56"/>
        <v>597.20414804924201</v>
      </c>
      <c r="CG119" s="180">
        <v>2023</v>
      </c>
      <c r="CH119" s="22">
        <v>9</v>
      </c>
      <c r="CI119" s="198">
        <f t="shared" ca="1" si="57"/>
        <v>1.8295581398948295</v>
      </c>
      <c r="CJ119" s="198">
        <f t="shared" ca="1" si="58"/>
        <v>-18.321983191890052</v>
      </c>
      <c r="CK119" s="198">
        <f t="shared" ca="1" si="59"/>
        <v>79.148636695440516</v>
      </c>
      <c r="CL119" s="186">
        <f t="shared" ca="1" si="60"/>
        <v>540.77295150894497</v>
      </c>
      <c r="CM119" s="205">
        <f t="shared" ca="1" si="61"/>
        <v>603.42916315239029</v>
      </c>
      <c r="CP119" s="180">
        <v>2023</v>
      </c>
      <c r="CQ119" s="22">
        <v>9</v>
      </c>
      <c r="CR119" s="198">
        <f t="shared" ca="1" si="62"/>
        <v>565.62380568274648</v>
      </c>
      <c r="CS119" s="186">
        <f t="shared" ca="1" si="63"/>
        <v>1.0500421177681989</v>
      </c>
      <c r="CT119" s="205">
        <f t="shared" ca="1" si="64"/>
        <v>593.92881877921934</v>
      </c>
      <c r="CZ119" s="164" t="b">
        <f t="shared" si="41"/>
        <v>1</v>
      </c>
      <c r="DA119" s="165" t="b">
        <f t="shared" si="41"/>
        <v>1</v>
      </c>
      <c r="DB119" s="166" t="b">
        <f t="shared" si="41"/>
        <v>1</v>
      </c>
      <c r="DC119" s="164">
        <f t="shared" si="50"/>
        <v>11</v>
      </c>
      <c r="DD119" s="166">
        <f t="shared" si="42"/>
        <v>546.76921917298318</v>
      </c>
      <c r="DE119" s="164">
        <f t="shared" si="43"/>
        <v>11</v>
      </c>
      <c r="DF119" s="166">
        <f t="shared" si="44"/>
        <v>612.53291956972328</v>
      </c>
      <c r="DG119" s="164">
        <f t="shared" si="45"/>
        <v>11</v>
      </c>
      <c r="DH119" s="166">
        <f t="shared" si="46"/>
        <v>678.29661996646337</v>
      </c>
      <c r="DI119" s="164">
        <f>IFERROR(INDEX(DC$106:DC$154,_xlfn.AGGREGATE(15,6,(ROW(DC$106:DC$154)-ROW(DC$106)+1)/(DC$106:DC$154&lt;&gt;""),ROWS(DI$1:DI14))),"")</f>
        <v>11</v>
      </c>
      <c r="DJ119" s="165">
        <f>IFERROR(INDEX(DD$106:DD$154,_xlfn.AGGREGATE(15,6,(ROW(DD$106:DD$154)-ROW(DD$106)+1)/(DD$106:DD$154&lt;&gt;""),ROWS(DJ$1:DJ14))),"")</f>
        <v>546.76921917298318</v>
      </c>
      <c r="DK119" s="166">
        <f t="shared" si="47"/>
        <v>119</v>
      </c>
      <c r="DL119" s="164">
        <f>IFERROR(INDEX(DE$106:DE$154,_xlfn.AGGREGATE(15,6,(ROW(DE$106:DE$154)-ROW(DE$106)+1)/(DE$106:DE$154&lt;&gt;""),ROWS(DL$1:DL14))),"")</f>
        <v>11</v>
      </c>
      <c r="DM119" s="165">
        <f>IFERROR(INDEX(DF$106:DF$154,_xlfn.AGGREGATE(15,6,(ROW(DF$106:DF$154)-ROW(DF$106)+1)/(DF$106:DF$154&lt;&gt;""),ROWS(DM$1:DM14))),"")</f>
        <v>612.53291956972328</v>
      </c>
      <c r="DN119" s="166">
        <f t="shared" si="48"/>
        <v>119</v>
      </c>
      <c r="DO119" s="164">
        <f>IFERROR(INDEX(DG$106:DG$154,_xlfn.AGGREGATE(15,6,(ROW(DG$106:DG$154)-ROW(DG$106)+1)/(DG$106:DG$154&lt;&gt;""),ROWS(DO$1:DO14))),"")</f>
        <v>11</v>
      </c>
      <c r="DP119" s="165">
        <f>IFERROR(INDEX(DH$106:DH$154,_xlfn.AGGREGATE(15,6,(ROW(DH$106:DH$154)-ROW(DH$106)+1)/(DH$106:DH$154&lt;&gt;""),ROWS(DP$1:DP14))),"")</f>
        <v>678.29661996646337</v>
      </c>
      <c r="DQ119" s="166">
        <f t="shared" si="49"/>
        <v>119</v>
      </c>
      <c r="DV119" s="145">
        <v>2028</v>
      </c>
      <c r="DW119" s="235">
        <f t="shared" ca="1" si="34"/>
        <v>626.44494492184879</v>
      </c>
    </row>
    <row r="120" spans="1:135" ht="13.8" x14ac:dyDescent="0.45">
      <c r="B120" s="128">
        <v>2026</v>
      </c>
      <c r="C120" s="1023">
        <v>593.42488584474881</v>
      </c>
      <c r="D120" s="1024">
        <v>706.83336532360624</v>
      </c>
      <c r="E120" s="1025"/>
      <c r="F120" s="894"/>
      <c r="G120" s="159"/>
      <c r="H120" s="204"/>
      <c r="I120" s="1112">
        <v>548.1705882352943</v>
      </c>
      <c r="J120" s="207"/>
      <c r="K120" s="204"/>
      <c r="L120" s="206"/>
      <c r="M120" s="204"/>
      <c r="N120" s="29" t="s">
        <v>119</v>
      </c>
      <c r="O120" s="120"/>
      <c r="P120" s="120"/>
      <c r="Q120" s="120"/>
      <c r="R120" s="29">
        <v>12</v>
      </c>
      <c r="S120" s="154">
        <f t="shared" si="35"/>
        <v>548.1705882352943</v>
      </c>
      <c r="T120" s="154">
        <f t="shared" si="36"/>
        <v>706.83336532360624</v>
      </c>
      <c r="U120" s="154">
        <f t="shared" si="37"/>
        <v>66.73605680690271</v>
      </c>
      <c r="W120" s="154">
        <f t="shared" si="38"/>
        <v>549.40688966098037</v>
      </c>
      <c r="X120" s="154">
        <f t="shared" si="39"/>
        <v>616.14294646788312</v>
      </c>
      <c r="Y120" s="154">
        <f t="shared" si="40"/>
        <v>682.87900327478587</v>
      </c>
      <c r="AA120" s="1133">
        <v>593.42488584474881</v>
      </c>
      <c r="AB120" s="1133">
        <v>650.12912558417747</v>
      </c>
      <c r="AC120" s="1133">
        <v>706.83336532360613</v>
      </c>
      <c r="AD120" s="120"/>
      <c r="AE120" s="120"/>
      <c r="AF120" s="120"/>
      <c r="AG120" s="120"/>
      <c r="AH120" s="120"/>
      <c r="AI120" s="120"/>
      <c r="AJ120" s="120"/>
      <c r="AK120" s="120"/>
      <c r="AL120" s="120"/>
      <c r="AM120" s="120"/>
      <c r="AN120" s="120"/>
      <c r="BR120" s="180">
        <v>2024</v>
      </c>
      <c r="BS120" s="22">
        <v>10</v>
      </c>
      <c r="BT120" s="181">
        <f t="shared" si="51"/>
        <v>33.886524913630637</v>
      </c>
      <c r="BU120" s="182">
        <f t="shared" si="52"/>
        <v>564.82896786797232</v>
      </c>
      <c r="BV120" s="205">
        <f t="shared" si="53"/>
        <v>598.71549278160296</v>
      </c>
      <c r="BY120" s="180">
        <v>2024</v>
      </c>
      <c r="BZ120" s="22">
        <v>10</v>
      </c>
      <c r="CA120" s="198">
        <f t="shared" ca="1" si="54"/>
        <v>-6.0558314806518059</v>
      </c>
      <c r="CB120" s="198">
        <f t="shared" ca="1" si="55"/>
        <v>60.532183428498584</v>
      </c>
      <c r="CC120" s="186">
        <f t="shared" ca="1" si="66"/>
        <v>547.6304064629212</v>
      </c>
      <c r="CD120" s="205">
        <f t="shared" ca="1" si="56"/>
        <v>602.10675841076795</v>
      </c>
      <c r="CG120" s="180">
        <v>2024</v>
      </c>
      <c r="CH120" s="22">
        <v>10</v>
      </c>
      <c r="CI120" s="198">
        <f t="shared" ca="1" si="57"/>
        <v>2.5096819477295331</v>
      </c>
      <c r="CJ120" s="198">
        <f t="shared" ca="1" si="58"/>
        <v>-22.619732335666733</v>
      </c>
      <c r="CK120" s="198">
        <f t="shared" ca="1" si="59"/>
        <v>87.942929661600573</v>
      </c>
      <c r="CL120" s="186">
        <f t="shared" ca="1" si="60"/>
        <v>540.77295150894497</v>
      </c>
      <c r="CM120" s="205">
        <f t="shared" ca="1" si="61"/>
        <v>608.60583078260834</v>
      </c>
      <c r="CP120" s="180">
        <v>2024</v>
      </c>
      <c r="CQ120" s="22">
        <v>10</v>
      </c>
      <c r="CR120" s="198">
        <f t="shared" ca="1" si="62"/>
        <v>565.62380568274648</v>
      </c>
      <c r="CS120" s="186">
        <f t="shared" ca="1" si="63"/>
        <v>1.0557546947857293</v>
      </c>
      <c r="CT120" s="205">
        <f t="shared" ca="1" si="64"/>
        <v>597.15998833213064</v>
      </c>
      <c r="CZ120" s="164" t="b">
        <f t="shared" si="41"/>
        <v>1</v>
      </c>
      <c r="DA120" s="165" t="b">
        <f t="shared" si="41"/>
        <v>1</v>
      </c>
      <c r="DB120" s="166" t="b">
        <f t="shared" si="41"/>
        <v>1</v>
      </c>
      <c r="DC120" s="164">
        <f t="shared" si="50"/>
        <v>12</v>
      </c>
      <c r="DD120" s="166">
        <f t="shared" si="42"/>
        <v>549.40688966098037</v>
      </c>
      <c r="DE120" s="164">
        <f t="shared" si="43"/>
        <v>12</v>
      </c>
      <c r="DF120" s="166">
        <f t="shared" si="44"/>
        <v>616.14294646788312</v>
      </c>
      <c r="DG120" s="164">
        <f t="shared" si="45"/>
        <v>12</v>
      </c>
      <c r="DH120" s="166">
        <f t="shared" si="46"/>
        <v>682.87900327478587</v>
      </c>
      <c r="DI120" s="164">
        <f>IFERROR(INDEX(DC$106:DC$154,_xlfn.AGGREGATE(15,6,(ROW(DC$106:DC$154)-ROW(DC$106)+1)/(DC$106:DC$154&lt;&gt;""),ROWS(DI$1:DI15))),"")</f>
        <v>12</v>
      </c>
      <c r="DJ120" s="165">
        <f>IFERROR(INDEX(DD$106:DD$154,_xlfn.AGGREGATE(15,6,(ROW(DD$106:DD$154)-ROW(DD$106)+1)/(DD$106:DD$154&lt;&gt;""),ROWS(DJ$1:DJ15))),"")</f>
        <v>549.40688966098037</v>
      </c>
      <c r="DK120" s="166">
        <f t="shared" si="47"/>
        <v>120</v>
      </c>
      <c r="DL120" s="164">
        <f>IFERROR(INDEX(DE$106:DE$154,_xlfn.AGGREGATE(15,6,(ROW(DE$106:DE$154)-ROW(DE$106)+1)/(DE$106:DE$154&lt;&gt;""),ROWS(DL$1:DL15))),"")</f>
        <v>12</v>
      </c>
      <c r="DM120" s="165">
        <f>IFERROR(INDEX(DF$106:DF$154,_xlfn.AGGREGATE(15,6,(ROW(DF$106:DF$154)-ROW(DF$106)+1)/(DF$106:DF$154&lt;&gt;""),ROWS(DM$1:DM15))),"")</f>
        <v>616.14294646788312</v>
      </c>
      <c r="DN120" s="166">
        <f t="shared" si="48"/>
        <v>120</v>
      </c>
      <c r="DO120" s="164">
        <f>IFERROR(INDEX(DG$106:DG$154,_xlfn.AGGREGATE(15,6,(ROW(DG$106:DG$154)-ROW(DG$106)+1)/(DG$106:DG$154&lt;&gt;""),ROWS(DO$1:DO15))),"")</f>
        <v>12</v>
      </c>
      <c r="DP120" s="165">
        <f>IFERROR(INDEX(DH$106:DH$154,_xlfn.AGGREGATE(15,6,(ROW(DH$106:DH$154)-ROW(DH$106)+1)/(DH$106:DH$154&lt;&gt;""),ROWS(DP$1:DP15))),"")</f>
        <v>682.87900327478587</v>
      </c>
      <c r="DQ120" s="166">
        <f t="shared" si="49"/>
        <v>120</v>
      </c>
      <c r="DV120" s="145">
        <v>2029</v>
      </c>
      <c r="DW120" s="235">
        <f t="shared" ca="1" si="34"/>
        <v>630.26312481968284</v>
      </c>
      <c r="EA120" s="55"/>
      <c r="EB120" s="55"/>
      <c r="EC120" s="55"/>
      <c r="ED120" s="55"/>
      <c r="EE120" s="55"/>
    </row>
    <row r="121" spans="1:135" ht="13.8" x14ac:dyDescent="0.45">
      <c r="B121" s="128">
        <v>2027</v>
      </c>
      <c r="C121" s="1023">
        <v>598.5985159817352</v>
      </c>
      <c r="D121" s="1024">
        <v>710.04983459013715</v>
      </c>
      <c r="E121" s="1025"/>
      <c r="F121" s="894"/>
      <c r="G121" s="159"/>
      <c r="H121" s="204"/>
      <c r="I121" s="1112">
        <v>549.41764705882372</v>
      </c>
      <c r="J121" s="207"/>
      <c r="K121" s="204"/>
      <c r="L121" s="206"/>
      <c r="M121" s="204"/>
      <c r="N121" s="29" t="s">
        <v>119</v>
      </c>
      <c r="O121" s="120"/>
      <c r="P121" s="120"/>
      <c r="Q121" s="120"/>
      <c r="R121" s="29">
        <v>13</v>
      </c>
      <c r="S121" s="154">
        <f t="shared" si="35"/>
        <v>549.41764705882372</v>
      </c>
      <c r="T121" s="154">
        <f t="shared" si="36"/>
        <v>710.04983459013715</v>
      </c>
      <c r="U121" s="154">
        <f t="shared" si="37"/>
        <v>67.200243020938984</v>
      </c>
      <c r="W121" s="154">
        <f t="shared" si="38"/>
        <v>552.15508952262644</v>
      </c>
      <c r="X121" s="154">
        <f t="shared" si="39"/>
        <v>619.3553325435654</v>
      </c>
      <c r="Y121" s="154">
        <f t="shared" si="40"/>
        <v>686.55557556450435</v>
      </c>
      <c r="AA121" s="1133">
        <v>598.59851598173532</v>
      </c>
      <c r="AB121" s="1133">
        <v>654.32417528593624</v>
      </c>
      <c r="AC121" s="1133">
        <v>710.04983459013715</v>
      </c>
      <c r="AD121" s="89"/>
      <c r="AE121" s="89"/>
      <c r="AF121" s="89"/>
      <c r="AG121" s="89"/>
      <c r="AH121" s="89"/>
      <c r="AI121" s="89"/>
      <c r="AJ121" s="89"/>
      <c r="AK121" s="89"/>
      <c r="AL121" s="89"/>
      <c r="AM121" s="89"/>
      <c r="AN121" s="89"/>
      <c r="BR121" s="180">
        <v>2025</v>
      </c>
      <c r="BS121" s="22">
        <v>11</v>
      </c>
      <c r="BT121" s="181">
        <f t="shared" si="51"/>
        <v>37.275177404993698</v>
      </c>
      <c r="BU121" s="182">
        <f t="shared" si="52"/>
        <v>564.82896786797232</v>
      </c>
      <c r="BV121" s="205">
        <f t="shared" si="53"/>
        <v>602.10414527296598</v>
      </c>
      <c r="BY121" s="180">
        <v>2025</v>
      </c>
      <c r="BZ121" s="22">
        <v>11</v>
      </c>
      <c r="CA121" s="198">
        <f t="shared" ca="1" si="54"/>
        <v>-7.3275560915886846</v>
      </c>
      <c r="CB121" s="198">
        <f t="shared" ca="1" si="55"/>
        <v>66.585401771348444</v>
      </c>
      <c r="CC121" s="186">
        <f t="shared" ca="1" si="66"/>
        <v>547.6304064629212</v>
      </c>
      <c r="CD121" s="205">
        <f t="shared" ca="1" si="56"/>
        <v>606.88825214268093</v>
      </c>
      <c r="CG121" s="180">
        <v>2025</v>
      </c>
      <c r="CH121" s="22">
        <v>11</v>
      </c>
      <c r="CI121" s="198">
        <f t="shared" ca="1" si="57"/>
        <v>3.3403866724280085</v>
      </c>
      <c r="CJ121" s="198">
        <f t="shared" ca="1" si="58"/>
        <v>-27.369876126156743</v>
      </c>
      <c r="CK121" s="198">
        <f t="shared" ca="1" si="59"/>
        <v>96.73722262776063</v>
      </c>
      <c r="CL121" s="186">
        <f t="shared" ca="1" si="60"/>
        <v>540.77295150894497</v>
      </c>
      <c r="CM121" s="205">
        <f t="shared" ca="1" si="61"/>
        <v>613.48068468297686</v>
      </c>
      <c r="CP121" s="180">
        <v>2025</v>
      </c>
      <c r="CQ121" s="22">
        <v>11</v>
      </c>
      <c r="CR121" s="198">
        <f t="shared" ca="1" si="62"/>
        <v>565.62380568274648</v>
      </c>
      <c r="CS121" s="186">
        <f t="shared" ca="1" si="63"/>
        <v>1.0614983501149093</v>
      </c>
      <c r="CT121" s="205">
        <f t="shared" ca="1" si="64"/>
        <v>600.40873651795152</v>
      </c>
      <c r="CZ121" s="164" t="b">
        <f t="shared" si="41"/>
        <v>1</v>
      </c>
      <c r="DA121" s="165" t="b">
        <f t="shared" si="41"/>
        <v>1</v>
      </c>
      <c r="DB121" s="166" t="b">
        <f t="shared" si="41"/>
        <v>1</v>
      </c>
      <c r="DC121" s="164">
        <f t="shared" si="50"/>
        <v>13</v>
      </c>
      <c r="DD121" s="166">
        <f t="shared" si="42"/>
        <v>552.15508952262644</v>
      </c>
      <c r="DE121" s="164">
        <f t="shared" si="43"/>
        <v>13</v>
      </c>
      <c r="DF121" s="166">
        <f t="shared" si="44"/>
        <v>619.3553325435654</v>
      </c>
      <c r="DG121" s="164">
        <f t="shared" si="45"/>
        <v>13</v>
      </c>
      <c r="DH121" s="166">
        <f t="shared" si="46"/>
        <v>686.55557556450435</v>
      </c>
      <c r="DI121" s="164">
        <f>IFERROR(INDEX(DC$106:DC$154,_xlfn.AGGREGATE(15,6,(ROW(DC$106:DC$154)-ROW(DC$106)+1)/(DC$106:DC$154&lt;&gt;""),ROWS(DI$1:DI16))),"")</f>
        <v>13</v>
      </c>
      <c r="DJ121" s="165">
        <f>IFERROR(INDEX(DD$106:DD$154,_xlfn.AGGREGATE(15,6,(ROW(DD$106:DD$154)-ROW(DD$106)+1)/(DD$106:DD$154&lt;&gt;""),ROWS(DJ$1:DJ16))),"")</f>
        <v>552.15508952262644</v>
      </c>
      <c r="DK121" s="166">
        <f t="shared" si="47"/>
        <v>121</v>
      </c>
      <c r="DL121" s="164">
        <f>IFERROR(INDEX(DE$106:DE$154,_xlfn.AGGREGATE(15,6,(ROW(DE$106:DE$154)-ROW(DE$106)+1)/(DE$106:DE$154&lt;&gt;""),ROWS(DL$1:DL16))),"")</f>
        <v>13</v>
      </c>
      <c r="DM121" s="165">
        <f>IFERROR(INDEX(DF$106:DF$154,_xlfn.AGGREGATE(15,6,(ROW(DF$106:DF$154)-ROW(DF$106)+1)/(DF$106:DF$154&lt;&gt;""),ROWS(DM$1:DM16))),"")</f>
        <v>619.3553325435654</v>
      </c>
      <c r="DN121" s="166">
        <f t="shared" si="48"/>
        <v>121</v>
      </c>
      <c r="DO121" s="164">
        <f>IFERROR(INDEX(DG$106:DG$154,_xlfn.AGGREGATE(15,6,(ROW(DG$106:DG$154)-ROW(DG$106)+1)/(DG$106:DG$154&lt;&gt;""),ROWS(DO$1:DO16))),"")</f>
        <v>13</v>
      </c>
      <c r="DP121" s="165">
        <f>IFERROR(INDEX(DH$106:DH$154,_xlfn.AGGREGATE(15,6,(ROW(DH$106:DH$154)-ROW(DH$106)+1)/(DH$106:DH$154&lt;&gt;""),ROWS(DP$1:DP16))),"")</f>
        <v>686.55557556450435</v>
      </c>
      <c r="DQ121" s="166">
        <f t="shared" si="49"/>
        <v>121</v>
      </c>
      <c r="DV121" s="145">
        <v>2030</v>
      </c>
      <c r="DW121" s="235">
        <f t="shared" ca="1" si="34"/>
        <v>633.8547814460992</v>
      </c>
    </row>
    <row r="122" spans="1:135" ht="13.8" x14ac:dyDescent="0.45">
      <c r="A122" s="208" t="str">
        <f>$A$62</f>
        <v>Base Cases</v>
      </c>
      <c r="B122" s="128">
        <v>2028</v>
      </c>
      <c r="C122" s="1023">
        <v>603.77214611872148</v>
      </c>
      <c r="D122" s="1024">
        <v>713.27296296209602</v>
      </c>
      <c r="E122" s="1025"/>
      <c r="F122" s="894"/>
      <c r="G122" s="159"/>
      <c r="H122" s="204"/>
      <c r="I122" s="1112">
        <v>550.66470588235313</v>
      </c>
      <c r="J122" s="207"/>
      <c r="K122" s="204"/>
      <c r="L122" s="206"/>
      <c r="M122" s="204"/>
      <c r="N122" s="29" t="s">
        <v>119</v>
      </c>
      <c r="O122" s="120"/>
      <c r="P122" s="120"/>
      <c r="Q122" s="120"/>
      <c r="R122" s="29">
        <v>14</v>
      </c>
      <c r="S122" s="154">
        <f t="shared" si="35"/>
        <v>550.66470588235313</v>
      </c>
      <c r="T122" s="154">
        <f t="shared" si="36"/>
        <v>713.27296296209602</v>
      </c>
      <c r="U122" s="154">
        <f t="shared" si="37"/>
        <v>67.70218638217213</v>
      </c>
      <c r="W122" s="154">
        <f t="shared" si="38"/>
        <v>554.86775193888468</v>
      </c>
      <c r="X122" s="154">
        <f t="shared" si="39"/>
        <v>622.56993832105684</v>
      </c>
      <c r="Y122" s="154">
        <f t="shared" si="40"/>
        <v>690.272124703229</v>
      </c>
      <c r="AA122" s="1133">
        <v>603.77214611872137</v>
      </c>
      <c r="AB122" s="1133">
        <v>658.52255454040869</v>
      </c>
      <c r="AC122" s="1133">
        <v>713.27296296209602</v>
      </c>
      <c r="AD122" s="114"/>
      <c r="AE122" s="114"/>
      <c r="AF122" s="114"/>
      <c r="AG122" s="114"/>
      <c r="AH122" s="114"/>
      <c r="AI122" s="114"/>
      <c r="AJ122" s="114"/>
      <c r="AK122" s="114"/>
      <c r="AL122" s="114"/>
      <c r="AM122" s="114"/>
      <c r="AN122" s="114"/>
      <c r="BR122" s="180">
        <v>2026</v>
      </c>
      <c r="BS122" s="22">
        <v>12</v>
      </c>
      <c r="BT122" s="181">
        <f t="shared" si="51"/>
        <v>40.663829896356759</v>
      </c>
      <c r="BU122" s="182">
        <f t="shared" si="52"/>
        <v>564.82896786797232</v>
      </c>
      <c r="BV122" s="205">
        <f t="shared" si="53"/>
        <v>605.49279776432911</v>
      </c>
      <c r="BY122" s="180">
        <v>2026</v>
      </c>
      <c r="BZ122" s="22">
        <v>12</v>
      </c>
      <c r="CA122" s="198">
        <f t="shared" ca="1" si="54"/>
        <v>-8.7203973321385995</v>
      </c>
      <c r="CB122" s="198">
        <f t="shared" ca="1" si="55"/>
        <v>72.638620114198289</v>
      </c>
      <c r="CC122" s="186">
        <f t="shared" ca="1" si="66"/>
        <v>547.6304064629212</v>
      </c>
      <c r="CD122" s="205">
        <f t="shared" ca="1" si="56"/>
        <v>611.54862924498093</v>
      </c>
      <c r="CG122" s="180">
        <v>2026</v>
      </c>
      <c r="CH122" s="22">
        <v>12</v>
      </c>
      <c r="CI122" s="198">
        <f t="shared" ca="1" si="57"/>
        <v>4.3367304056766329</v>
      </c>
      <c r="CJ122" s="198">
        <f t="shared" ca="1" si="58"/>
        <v>-32.572414563360091</v>
      </c>
      <c r="CK122" s="198">
        <f t="shared" ca="1" si="59"/>
        <v>105.53151559392069</v>
      </c>
      <c r="CL122" s="186">
        <f t="shared" ca="1" si="60"/>
        <v>540.77295150894497</v>
      </c>
      <c r="CM122" s="205">
        <f t="shared" ca="1" si="61"/>
        <v>618.06878294518219</v>
      </c>
      <c r="CP122" s="180">
        <v>2026</v>
      </c>
      <c r="CQ122" s="22">
        <v>12</v>
      </c>
      <c r="CR122" s="198">
        <f t="shared" ca="1" si="62"/>
        <v>565.62380568274648</v>
      </c>
      <c r="CS122" s="186">
        <f t="shared" ca="1" si="63"/>
        <v>1.067273252832051</v>
      </c>
      <c r="CT122" s="205">
        <f t="shared" ca="1" si="64"/>
        <v>603.67515897026874</v>
      </c>
      <c r="CZ122" s="164" t="b">
        <f t="shared" si="41"/>
        <v>1</v>
      </c>
      <c r="DA122" s="165" t="b">
        <f t="shared" si="41"/>
        <v>1</v>
      </c>
      <c r="DB122" s="166" t="b">
        <f t="shared" si="41"/>
        <v>1</v>
      </c>
      <c r="DC122" s="164">
        <f t="shared" si="50"/>
        <v>14</v>
      </c>
      <c r="DD122" s="166">
        <f t="shared" si="42"/>
        <v>554.86775193888468</v>
      </c>
      <c r="DE122" s="164">
        <f t="shared" si="43"/>
        <v>14</v>
      </c>
      <c r="DF122" s="166">
        <f t="shared" si="44"/>
        <v>622.56993832105684</v>
      </c>
      <c r="DG122" s="164">
        <f t="shared" si="45"/>
        <v>14</v>
      </c>
      <c r="DH122" s="166">
        <f t="shared" si="46"/>
        <v>690.272124703229</v>
      </c>
      <c r="DI122" s="164">
        <f>IFERROR(INDEX(DC$106:DC$154,_xlfn.AGGREGATE(15,6,(ROW(DC$106:DC$154)-ROW(DC$106)+1)/(DC$106:DC$154&lt;&gt;""),ROWS(DI$1:DI17))),"")</f>
        <v>14</v>
      </c>
      <c r="DJ122" s="165">
        <f>IFERROR(INDEX(DD$106:DD$154,_xlfn.AGGREGATE(15,6,(ROW(DD$106:DD$154)-ROW(DD$106)+1)/(DD$106:DD$154&lt;&gt;""),ROWS(DJ$1:DJ17))),"")</f>
        <v>554.86775193888468</v>
      </c>
      <c r="DK122" s="166">
        <f t="shared" si="47"/>
        <v>122</v>
      </c>
      <c r="DL122" s="164">
        <f>IFERROR(INDEX(DE$106:DE$154,_xlfn.AGGREGATE(15,6,(ROW(DE$106:DE$154)-ROW(DE$106)+1)/(DE$106:DE$154&lt;&gt;""),ROWS(DL$1:DL17))),"")</f>
        <v>14</v>
      </c>
      <c r="DM122" s="165">
        <f>IFERROR(INDEX(DF$106:DF$154,_xlfn.AGGREGATE(15,6,(ROW(DF$106:DF$154)-ROW(DF$106)+1)/(DF$106:DF$154&lt;&gt;""),ROWS(DM$1:DM17))),"")</f>
        <v>622.56993832105684</v>
      </c>
      <c r="DN122" s="166">
        <f t="shared" si="48"/>
        <v>122</v>
      </c>
      <c r="DO122" s="164">
        <f>IFERROR(INDEX(DG$106:DG$154,_xlfn.AGGREGATE(15,6,(ROW(DG$106:DG$154)-ROW(DG$106)+1)/(DG$106:DG$154&lt;&gt;""),ROWS(DO$1:DO17))),"")</f>
        <v>14</v>
      </c>
      <c r="DP122" s="165">
        <f>IFERROR(INDEX(DH$106:DH$154,_xlfn.AGGREGATE(15,6,(ROW(DH$106:DH$154)-ROW(DH$106)+1)/(DH$106:DH$154&lt;&gt;""),ROWS(DP$1:DP17))),"")</f>
        <v>690.272124703229</v>
      </c>
      <c r="DQ122" s="166">
        <f t="shared" si="49"/>
        <v>122</v>
      </c>
      <c r="DV122" s="145">
        <v>2031</v>
      </c>
      <c r="DW122" s="235">
        <f t="shared" ca="1" si="34"/>
        <v>637.2349728927843</v>
      </c>
    </row>
    <row r="123" spans="1:135" ht="13.8" x14ac:dyDescent="0.45">
      <c r="A123" s="209" t="str">
        <f>$A$63</f>
        <v>Conservative Cases</v>
      </c>
      <c r="B123" s="128">
        <v>2029</v>
      </c>
      <c r="C123" s="1023">
        <v>608.94577625570776</v>
      </c>
      <c r="D123" s="1024">
        <v>716.48811315974376</v>
      </c>
      <c r="E123" s="1025"/>
      <c r="F123" s="894"/>
      <c r="G123" s="159"/>
      <c r="H123" s="204"/>
      <c r="I123" s="1112">
        <v>551.91176470588255</v>
      </c>
      <c r="J123" s="207"/>
      <c r="K123" s="204"/>
      <c r="L123" s="206"/>
      <c r="M123" s="204"/>
      <c r="N123" s="29" t="s">
        <v>119</v>
      </c>
      <c r="O123" s="120"/>
      <c r="P123" s="120"/>
      <c r="Q123" s="120"/>
      <c r="R123" s="29">
        <v>15</v>
      </c>
      <c r="S123" s="154">
        <f t="shared" si="35"/>
        <v>551.91176470588255</v>
      </c>
      <c r="T123" s="154">
        <f t="shared" si="36"/>
        <v>716.48811315974376</v>
      </c>
      <c r="U123" s="154">
        <f t="shared" si="37"/>
        <v>68.234568601954507</v>
      </c>
      <c r="W123" s="154">
        <f t="shared" si="38"/>
        <v>557.54731610515682</v>
      </c>
      <c r="X123" s="154">
        <f t="shared" si="39"/>
        <v>625.78188470711132</v>
      </c>
      <c r="Y123" s="154">
        <f t="shared" si="40"/>
        <v>694.01645330906581</v>
      </c>
      <c r="AA123" s="1133">
        <v>608.94577625570776</v>
      </c>
      <c r="AB123" s="1133">
        <v>662.71694470772582</v>
      </c>
      <c r="AC123" s="1133">
        <v>716.48811315974388</v>
      </c>
      <c r="AD123" s="89"/>
      <c r="AE123" s="89"/>
      <c r="AF123" s="89"/>
      <c r="AG123" s="89"/>
      <c r="AH123" s="89"/>
      <c r="AI123" s="89"/>
      <c r="AJ123" s="89"/>
      <c r="AK123" s="89"/>
      <c r="AL123" s="89"/>
      <c r="AM123" s="89"/>
      <c r="AN123" s="89"/>
      <c r="BR123" s="180">
        <v>2027</v>
      </c>
      <c r="BS123" s="22">
        <v>13</v>
      </c>
      <c r="BT123" s="181">
        <f t="shared" si="51"/>
        <v>44.052482387719827</v>
      </c>
      <c r="BU123" s="182">
        <f t="shared" si="52"/>
        <v>564.82896786797232</v>
      </c>
      <c r="BV123" s="205">
        <f t="shared" si="53"/>
        <v>608.88145025569213</v>
      </c>
      <c r="BY123" s="180">
        <v>2027</v>
      </c>
      <c r="BZ123" s="22">
        <v>13</v>
      </c>
      <c r="CA123" s="198">
        <f t="shared" ca="1" si="54"/>
        <v>-10.234355202301552</v>
      </c>
      <c r="CB123" s="198">
        <f t="shared" ca="1" si="55"/>
        <v>78.691838457048149</v>
      </c>
      <c r="CC123" s="186">
        <f t="shared" ca="1" si="66"/>
        <v>547.6304064629212</v>
      </c>
      <c r="CD123" s="205">
        <f t="shared" ca="1" si="56"/>
        <v>616.08788971766785</v>
      </c>
      <c r="CG123" s="180">
        <v>2027</v>
      </c>
      <c r="CH123" s="22">
        <v>13</v>
      </c>
      <c r="CI123" s="198">
        <f t="shared" ca="1" si="57"/>
        <v>5.5137712391617839</v>
      </c>
      <c r="CJ123" s="198">
        <f t="shared" ca="1" si="58"/>
        <v>-38.227347647276773</v>
      </c>
      <c r="CK123" s="198">
        <f t="shared" ca="1" si="59"/>
        <v>114.32580856008074</v>
      </c>
      <c r="CL123" s="186">
        <f t="shared" ca="1" si="60"/>
        <v>540.77295150894497</v>
      </c>
      <c r="CM123" s="205">
        <f t="shared" ca="1" si="61"/>
        <v>622.38518366091068</v>
      </c>
      <c r="CP123" s="180">
        <v>2027</v>
      </c>
      <c r="CQ123" s="22">
        <v>13</v>
      </c>
      <c r="CR123" s="198">
        <f t="shared" ca="1" si="62"/>
        <v>565.62380568274648</v>
      </c>
      <c r="CS123" s="186">
        <f t="shared" ca="1" si="63"/>
        <v>1.0730795729332978</v>
      </c>
      <c r="CT123" s="205">
        <f t="shared" ca="1" si="64"/>
        <v>606.95935184294819</v>
      </c>
      <c r="CZ123" s="164" t="b">
        <f t="shared" si="41"/>
        <v>1</v>
      </c>
      <c r="DA123" s="165" t="b">
        <f t="shared" si="41"/>
        <v>1</v>
      </c>
      <c r="DB123" s="166" t="b">
        <f t="shared" si="41"/>
        <v>1</v>
      </c>
      <c r="DC123" s="164">
        <f t="shared" si="50"/>
        <v>15</v>
      </c>
      <c r="DD123" s="166">
        <f t="shared" si="42"/>
        <v>557.54731610515682</v>
      </c>
      <c r="DE123" s="164">
        <f t="shared" si="43"/>
        <v>15</v>
      </c>
      <c r="DF123" s="166">
        <f t="shared" si="44"/>
        <v>625.78188470711132</v>
      </c>
      <c r="DG123" s="164">
        <f t="shared" si="45"/>
        <v>15</v>
      </c>
      <c r="DH123" s="166">
        <f t="shared" si="46"/>
        <v>694.01645330906581</v>
      </c>
      <c r="DI123" s="164">
        <f>IFERROR(INDEX(DC$106:DC$154,_xlfn.AGGREGATE(15,6,(ROW(DC$106:DC$154)-ROW(DC$106)+1)/(DC$106:DC$154&lt;&gt;""),ROWS(DI$1:DI18))),"")</f>
        <v>15</v>
      </c>
      <c r="DJ123" s="165">
        <f>IFERROR(INDEX(DD$106:DD$154,_xlfn.AGGREGATE(15,6,(ROW(DD$106:DD$154)-ROW(DD$106)+1)/(DD$106:DD$154&lt;&gt;""),ROWS(DJ$1:DJ18))),"")</f>
        <v>557.54731610515682</v>
      </c>
      <c r="DK123" s="166">
        <f t="shared" si="47"/>
        <v>123</v>
      </c>
      <c r="DL123" s="164">
        <f>IFERROR(INDEX(DE$106:DE$154,_xlfn.AGGREGATE(15,6,(ROW(DE$106:DE$154)-ROW(DE$106)+1)/(DE$106:DE$154&lt;&gt;""),ROWS(DL$1:DL18))),"")</f>
        <v>15</v>
      </c>
      <c r="DM123" s="165">
        <f>IFERROR(INDEX(DF$106:DF$154,_xlfn.AGGREGATE(15,6,(ROW(DF$106:DF$154)-ROW(DF$106)+1)/(DF$106:DF$154&lt;&gt;""),ROWS(DM$1:DM18))),"")</f>
        <v>625.78188470711132</v>
      </c>
      <c r="DN123" s="166">
        <f t="shared" si="48"/>
        <v>123</v>
      </c>
      <c r="DO123" s="164">
        <f>IFERROR(INDEX(DG$106:DG$154,_xlfn.AGGREGATE(15,6,(ROW(DG$106:DG$154)-ROW(DG$106)+1)/(DG$106:DG$154&lt;&gt;""),ROWS(DO$1:DO18))),"")</f>
        <v>15</v>
      </c>
      <c r="DP123" s="165">
        <f>IFERROR(INDEX(DH$106:DH$154,_xlfn.AGGREGATE(15,6,(ROW(DH$106:DH$154)-ROW(DH$106)+1)/(DH$106:DH$154&lt;&gt;""),ROWS(DP$1:DP18))),"")</f>
        <v>694.01645330906581</v>
      </c>
      <c r="DQ123" s="166">
        <f t="shared" si="49"/>
        <v>123</v>
      </c>
      <c r="DV123" s="145">
        <v>2032</v>
      </c>
      <c r="DW123" s="235">
        <f t="shared" ca="1" si="34"/>
        <v>640.41875725142449</v>
      </c>
    </row>
    <row r="124" spans="1:135" ht="13.8" x14ac:dyDescent="0.45">
      <c r="A124" s="210" t="str">
        <f>$A$64</f>
        <v>Ambitious Cases</v>
      </c>
      <c r="B124" s="128">
        <v>2030</v>
      </c>
      <c r="C124" s="1023">
        <v>624.29999999999995</v>
      </c>
      <c r="D124" s="1024">
        <v>717.85718351238677</v>
      </c>
      <c r="E124" s="1025"/>
      <c r="F124" s="894"/>
      <c r="G124" s="159"/>
      <c r="H124" s="204"/>
      <c r="I124" s="1112">
        <v>553.15882352941196</v>
      </c>
      <c r="J124" s="207"/>
      <c r="K124" s="204"/>
      <c r="L124" s="206"/>
      <c r="M124" s="204"/>
      <c r="N124" s="29" t="s">
        <v>119</v>
      </c>
      <c r="O124" s="120"/>
      <c r="P124" s="120"/>
      <c r="Q124" s="120"/>
      <c r="R124" s="29">
        <v>16</v>
      </c>
      <c r="S124" s="154">
        <f t="shared" si="35"/>
        <v>553.15882352941196</v>
      </c>
      <c r="T124" s="154">
        <f t="shared" si="36"/>
        <v>717.85718351238677</v>
      </c>
      <c r="U124" s="154">
        <f t="shared" si="37"/>
        <v>67.44509154158132</v>
      </c>
      <c r="W124" s="154">
        <f t="shared" si="38"/>
        <v>564.32691080568497</v>
      </c>
      <c r="X124" s="154">
        <f t="shared" si="39"/>
        <v>631.77200234726627</v>
      </c>
      <c r="Y124" s="154">
        <f t="shared" si="40"/>
        <v>699.21709388884756</v>
      </c>
      <c r="AA124" s="1133">
        <v>624.29999999999995</v>
      </c>
      <c r="AB124" s="1133">
        <v>671.07859175619342</v>
      </c>
      <c r="AC124" s="1133">
        <v>717.85718351238688</v>
      </c>
      <c r="AD124" s="89"/>
      <c r="AE124" s="89"/>
      <c r="AF124" s="89"/>
      <c r="AG124" s="89"/>
      <c r="AH124" s="89"/>
      <c r="AI124" s="89"/>
      <c r="AJ124" s="89"/>
      <c r="AK124" s="89"/>
      <c r="AL124" s="89"/>
      <c r="AM124" s="89"/>
      <c r="AN124" s="89"/>
      <c r="BR124" s="180">
        <v>2028</v>
      </c>
      <c r="BS124" s="22">
        <v>14</v>
      </c>
      <c r="BT124" s="181">
        <f t="shared" si="51"/>
        <v>47.441134879082888</v>
      </c>
      <c r="BU124" s="182">
        <f t="shared" si="52"/>
        <v>564.82896786797232</v>
      </c>
      <c r="BV124" s="205">
        <f t="shared" si="53"/>
        <v>612.27010274705526</v>
      </c>
      <c r="BY124" s="180">
        <v>2028</v>
      </c>
      <c r="BZ124" s="22">
        <v>14</v>
      </c>
      <c r="CA124" s="198">
        <f t="shared" ca="1" si="54"/>
        <v>-11.869429702077539</v>
      </c>
      <c r="CB124" s="198">
        <f t="shared" ca="1" si="55"/>
        <v>84.745056799898009</v>
      </c>
      <c r="CC124" s="186">
        <f t="shared" ca="1" si="66"/>
        <v>547.6304064629212</v>
      </c>
      <c r="CD124" s="205">
        <f t="shared" ca="1" si="56"/>
        <v>620.50603356074168</v>
      </c>
      <c r="CG124" s="180">
        <v>2028</v>
      </c>
      <c r="CH124" s="22">
        <v>14</v>
      </c>
      <c r="CI124" s="198">
        <f t="shared" ca="1" si="57"/>
        <v>6.8865672645698384</v>
      </c>
      <c r="CJ124" s="198">
        <f t="shared" ca="1" si="58"/>
        <v>-44.334675377906791</v>
      </c>
      <c r="CK124" s="198">
        <f t="shared" ca="1" si="59"/>
        <v>123.1201015262408</v>
      </c>
      <c r="CL124" s="186">
        <f t="shared" ca="1" si="60"/>
        <v>540.77295150894497</v>
      </c>
      <c r="CM124" s="205">
        <f t="shared" ca="1" si="61"/>
        <v>626.44494492184879</v>
      </c>
      <c r="CP124" s="180">
        <v>2028</v>
      </c>
      <c r="CQ124" s="22">
        <v>14</v>
      </c>
      <c r="CR124" s="198">
        <f t="shared" ca="1" si="62"/>
        <v>565.62380568274648</v>
      </c>
      <c r="CS124" s="186">
        <f t="shared" ca="1" si="63"/>
        <v>1.0789174813396283</v>
      </c>
      <c r="CT124" s="205">
        <f t="shared" ca="1" si="64"/>
        <v>610.26141181296418</v>
      </c>
      <c r="CZ124" s="164" t="b">
        <f t="shared" si="41"/>
        <v>1</v>
      </c>
      <c r="DA124" s="165" t="b">
        <f t="shared" si="41"/>
        <v>1</v>
      </c>
      <c r="DB124" s="166" t="b">
        <f t="shared" si="41"/>
        <v>1</v>
      </c>
      <c r="DC124" s="164">
        <f t="shared" si="50"/>
        <v>16</v>
      </c>
      <c r="DD124" s="166">
        <f t="shared" si="42"/>
        <v>564.32691080568497</v>
      </c>
      <c r="DE124" s="164">
        <f t="shared" si="43"/>
        <v>16</v>
      </c>
      <c r="DF124" s="166">
        <f t="shared" si="44"/>
        <v>631.77200234726627</v>
      </c>
      <c r="DG124" s="164">
        <f t="shared" si="45"/>
        <v>16</v>
      </c>
      <c r="DH124" s="166">
        <f t="shared" si="46"/>
        <v>699.21709388884756</v>
      </c>
      <c r="DI124" s="164">
        <f>IFERROR(INDEX(DC$106:DC$154,_xlfn.AGGREGATE(15,6,(ROW(DC$106:DC$154)-ROW(DC$106)+1)/(DC$106:DC$154&lt;&gt;""),ROWS(DI$1:DI19))),"")</f>
        <v>16</v>
      </c>
      <c r="DJ124" s="165">
        <f>IFERROR(INDEX(DD$106:DD$154,_xlfn.AGGREGATE(15,6,(ROW(DD$106:DD$154)-ROW(DD$106)+1)/(DD$106:DD$154&lt;&gt;""),ROWS(DJ$1:DJ19))),"")</f>
        <v>564.32691080568497</v>
      </c>
      <c r="DK124" s="166">
        <f t="shared" si="47"/>
        <v>124</v>
      </c>
      <c r="DL124" s="164">
        <f>IFERROR(INDEX(DE$106:DE$154,_xlfn.AGGREGATE(15,6,(ROW(DE$106:DE$154)-ROW(DE$106)+1)/(DE$106:DE$154&lt;&gt;""),ROWS(DL$1:DL19))),"")</f>
        <v>16</v>
      </c>
      <c r="DM124" s="165">
        <f>IFERROR(INDEX(DF$106:DF$154,_xlfn.AGGREGATE(15,6,(ROW(DF$106:DF$154)-ROW(DF$106)+1)/(DF$106:DF$154&lt;&gt;""),ROWS(DM$1:DM19))),"")</f>
        <v>631.77200234726627</v>
      </c>
      <c r="DN124" s="166">
        <f t="shared" si="48"/>
        <v>124</v>
      </c>
      <c r="DO124" s="164">
        <f>IFERROR(INDEX(DG$106:DG$154,_xlfn.AGGREGATE(15,6,(ROW(DG$106:DG$154)-ROW(DG$106)+1)/(DG$106:DG$154&lt;&gt;""),ROWS(DO$1:DO19))),"")</f>
        <v>16</v>
      </c>
      <c r="DP124" s="165">
        <f>IFERROR(INDEX(DH$106:DH$154,_xlfn.AGGREGATE(15,6,(ROW(DH$106:DH$154)-ROW(DH$106)+1)/(DH$106:DH$154&lt;&gt;""),ROWS(DP$1:DP19))),"")</f>
        <v>699.21709388884756</v>
      </c>
      <c r="DQ124" s="166">
        <f t="shared" si="49"/>
        <v>124</v>
      </c>
      <c r="DV124" s="145">
        <v>2033</v>
      </c>
      <c r="DW124" s="235">
        <f t="shared" ca="1" si="34"/>
        <v>643.42119261370601</v>
      </c>
    </row>
    <row r="125" spans="1:135" ht="13.8" x14ac:dyDescent="0.45">
      <c r="A125" s="211" t="str">
        <f>$A$65</f>
        <v>Maximum Cases</v>
      </c>
      <c r="B125" s="128">
        <v>2031</v>
      </c>
      <c r="C125" s="1023">
        <v>624.38333333333333</v>
      </c>
      <c r="D125" s="1024">
        <v>722.85122811076747</v>
      </c>
      <c r="E125" s="1025"/>
      <c r="F125" s="894"/>
      <c r="G125" s="159"/>
      <c r="H125" s="204"/>
      <c r="I125" s="1112">
        <v>554.40588235294126</v>
      </c>
      <c r="J125" s="207"/>
      <c r="K125" s="204"/>
      <c r="L125" s="206"/>
      <c r="M125" s="204"/>
      <c r="N125" s="29" t="s">
        <v>119</v>
      </c>
      <c r="O125" s="120"/>
      <c r="P125" s="120"/>
      <c r="Q125" s="120"/>
      <c r="R125" s="29">
        <v>17</v>
      </c>
      <c r="S125" s="154">
        <f t="shared" si="35"/>
        <v>554.40588235294126</v>
      </c>
      <c r="T125" s="154">
        <f t="shared" si="36"/>
        <v>722.85122811076747</v>
      </c>
      <c r="U125" s="154">
        <f t="shared" si="37"/>
        <v>69.094624694517776</v>
      </c>
      <c r="W125" s="154">
        <f t="shared" si="38"/>
        <v>564.78552323782958</v>
      </c>
      <c r="X125" s="154">
        <f t="shared" si="39"/>
        <v>633.88014793234731</v>
      </c>
      <c r="Y125" s="154">
        <f t="shared" si="40"/>
        <v>702.97477262686505</v>
      </c>
      <c r="AA125" s="1133">
        <v>624.38333333333333</v>
      </c>
      <c r="AB125" s="1133">
        <v>673.6172807220504</v>
      </c>
      <c r="AC125" s="1133">
        <v>722.85122811076747</v>
      </c>
      <c r="AD125" s="89"/>
      <c r="AE125" s="89"/>
      <c r="AF125" s="89"/>
      <c r="AG125" s="89"/>
      <c r="AH125" s="89"/>
      <c r="AI125" s="89"/>
      <c r="AJ125" s="89"/>
      <c r="AK125" s="89"/>
      <c r="AL125" s="89"/>
      <c r="AM125" s="89"/>
      <c r="AN125" s="89"/>
      <c r="BR125" s="180">
        <v>2029</v>
      </c>
      <c r="BS125" s="22">
        <v>15</v>
      </c>
      <c r="BT125" s="181">
        <f t="shared" si="51"/>
        <v>50.829787370445956</v>
      </c>
      <c r="BU125" s="182">
        <f t="shared" si="52"/>
        <v>564.82896786797232</v>
      </c>
      <c r="BV125" s="205">
        <f t="shared" si="53"/>
        <v>615.65875523841828</v>
      </c>
      <c r="BY125" s="180">
        <v>2029</v>
      </c>
      <c r="BZ125" s="22">
        <v>15</v>
      </c>
      <c r="CA125" s="198">
        <f t="shared" ca="1" si="54"/>
        <v>-13.625620831466563</v>
      </c>
      <c r="CB125" s="198">
        <f t="shared" ca="1" si="55"/>
        <v>90.798275142747869</v>
      </c>
      <c r="CC125" s="186">
        <f t="shared" ca="1" si="66"/>
        <v>547.6304064629212</v>
      </c>
      <c r="CD125" s="205">
        <f t="shared" ca="1" si="56"/>
        <v>624.80306077420255</v>
      </c>
      <c r="CG125" s="180">
        <v>2029</v>
      </c>
      <c r="CH125" s="22">
        <v>15</v>
      </c>
      <c r="CI125" s="198">
        <f t="shared" ca="1" si="57"/>
        <v>8.4701765735871746</v>
      </c>
      <c r="CJ125" s="198">
        <f t="shared" ca="1" si="58"/>
        <v>-50.894397755250147</v>
      </c>
      <c r="CK125" s="198">
        <f t="shared" ca="1" si="59"/>
        <v>131.91439449240085</v>
      </c>
      <c r="CL125" s="186">
        <f t="shared" ca="1" si="60"/>
        <v>540.77295150894497</v>
      </c>
      <c r="CM125" s="205">
        <f t="shared" ca="1" si="61"/>
        <v>630.26312481968284</v>
      </c>
      <c r="CP125" s="180">
        <v>2029</v>
      </c>
      <c r="CQ125" s="22">
        <v>15</v>
      </c>
      <c r="CR125" s="198">
        <f t="shared" ca="1" si="62"/>
        <v>565.62380568274648</v>
      </c>
      <c r="CS125" s="186">
        <f t="shared" ca="1" si="63"/>
        <v>1.084787149901888</v>
      </c>
      <c r="CT125" s="205">
        <f t="shared" ca="1" si="64"/>
        <v>613.58143608324588</v>
      </c>
      <c r="CZ125" s="164" t="b">
        <f t="shared" si="41"/>
        <v>1</v>
      </c>
      <c r="DA125" s="165" t="b">
        <f t="shared" si="41"/>
        <v>1</v>
      </c>
      <c r="DB125" s="166" t="b">
        <f t="shared" si="41"/>
        <v>1</v>
      </c>
      <c r="DC125" s="164">
        <f t="shared" si="50"/>
        <v>17</v>
      </c>
      <c r="DD125" s="166">
        <f t="shared" si="42"/>
        <v>564.78552323782958</v>
      </c>
      <c r="DE125" s="164">
        <f t="shared" si="43"/>
        <v>17</v>
      </c>
      <c r="DF125" s="166">
        <f t="shared" si="44"/>
        <v>633.88014793234731</v>
      </c>
      <c r="DG125" s="164">
        <f t="shared" si="45"/>
        <v>17</v>
      </c>
      <c r="DH125" s="166">
        <f t="shared" si="46"/>
        <v>702.97477262686505</v>
      </c>
      <c r="DI125" s="164">
        <f>IFERROR(INDEX(DC$106:DC$154,_xlfn.AGGREGATE(15,6,(ROW(DC$106:DC$154)-ROW(DC$106)+1)/(DC$106:DC$154&lt;&gt;""),ROWS(DI$1:DI20))),"")</f>
        <v>17</v>
      </c>
      <c r="DJ125" s="165">
        <f>IFERROR(INDEX(DD$106:DD$154,_xlfn.AGGREGATE(15,6,(ROW(DD$106:DD$154)-ROW(DD$106)+1)/(DD$106:DD$154&lt;&gt;""),ROWS(DJ$1:DJ20))),"")</f>
        <v>564.78552323782958</v>
      </c>
      <c r="DK125" s="166">
        <f t="shared" si="47"/>
        <v>125</v>
      </c>
      <c r="DL125" s="164">
        <f>IFERROR(INDEX(DE$106:DE$154,_xlfn.AGGREGATE(15,6,(ROW(DE$106:DE$154)-ROW(DE$106)+1)/(DE$106:DE$154&lt;&gt;""),ROWS(DL$1:DL20))),"")</f>
        <v>17</v>
      </c>
      <c r="DM125" s="165">
        <f>IFERROR(INDEX(DF$106:DF$154,_xlfn.AGGREGATE(15,6,(ROW(DF$106:DF$154)-ROW(DF$106)+1)/(DF$106:DF$154&lt;&gt;""),ROWS(DM$1:DM20))),"")</f>
        <v>633.88014793234731</v>
      </c>
      <c r="DN125" s="166">
        <f t="shared" si="48"/>
        <v>125</v>
      </c>
      <c r="DO125" s="164">
        <f>IFERROR(INDEX(DG$106:DG$154,_xlfn.AGGREGATE(15,6,(ROW(DG$106:DG$154)-ROW(DG$106)+1)/(DG$106:DG$154&lt;&gt;""),ROWS(DO$1:DO20))),"")</f>
        <v>17</v>
      </c>
      <c r="DP125" s="165">
        <f>IFERROR(INDEX(DH$106:DH$154,_xlfn.AGGREGATE(15,6,(ROW(DH$106:DH$154)-ROW(DH$106)+1)/(DH$106:DH$154&lt;&gt;""),ROWS(DP$1:DP20))),"")</f>
        <v>702.97477262686505</v>
      </c>
      <c r="DQ125" s="166">
        <f t="shared" si="49"/>
        <v>125</v>
      </c>
      <c r="DV125" s="145">
        <v>2034</v>
      </c>
      <c r="DW125" s="235">
        <f t="shared" ca="1" si="34"/>
        <v>646.25733707131542</v>
      </c>
    </row>
    <row r="126" spans="1:135" ht="13.8" x14ac:dyDescent="0.45">
      <c r="B126" s="128">
        <v>2032</v>
      </c>
      <c r="C126" s="1023">
        <v>624.4666666666667</v>
      </c>
      <c r="D126" s="1024">
        <v>725.60266672672617</v>
      </c>
      <c r="E126" s="1025"/>
      <c r="F126" s="894"/>
      <c r="G126" s="159"/>
      <c r="H126" s="204"/>
      <c r="I126" s="1112">
        <v>555.65294117647068</v>
      </c>
      <c r="J126" s="207"/>
      <c r="K126" s="204"/>
      <c r="L126" s="206"/>
      <c r="M126" s="204"/>
      <c r="N126" s="29" t="s">
        <v>119</v>
      </c>
      <c r="O126" s="120"/>
      <c r="P126" s="120"/>
      <c r="Q126" s="120"/>
      <c r="R126" s="29">
        <v>18</v>
      </c>
      <c r="S126" s="154">
        <f t="shared" si="35"/>
        <v>555.65294117647068</v>
      </c>
      <c r="T126" s="154">
        <f t="shared" si="36"/>
        <v>725.60266672672617</v>
      </c>
      <c r="U126" s="154">
        <f t="shared" si="37"/>
        <v>69.79870146722449</v>
      </c>
      <c r="W126" s="154">
        <f t="shared" si="38"/>
        <v>565.44205672272994</v>
      </c>
      <c r="X126" s="154">
        <f t="shared" si="39"/>
        <v>635.24075818995448</v>
      </c>
      <c r="Y126" s="154">
        <f t="shared" si="40"/>
        <v>705.03945965717901</v>
      </c>
      <c r="AA126" s="1133">
        <v>624.4666666666667</v>
      </c>
      <c r="AB126" s="1133">
        <v>675.03466669669638</v>
      </c>
      <c r="AC126" s="1133">
        <v>725.60266672672606</v>
      </c>
      <c r="AD126" s="89"/>
      <c r="AE126" s="89"/>
      <c r="AF126" s="89"/>
      <c r="AG126" s="89"/>
      <c r="AH126" s="89"/>
      <c r="AI126" s="89"/>
      <c r="AJ126" s="89"/>
      <c r="AK126" s="89"/>
      <c r="AL126" s="89"/>
      <c r="AM126" s="89"/>
      <c r="AN126" s="89"/>
      <c r="BR126" s="180">
        <v>2030</v>
      </c>
      <c r="BS126" s="22">
        <v>16</v>
      </c>
      <c r="BT126" s="181">
        <f t="shared" si="51"/>
        <v>54.218439861809017</v>
      </c>
      <c r="BU126" s="182">
        <f t="shared" si="52"/>
        <v>564.82896786797232</v>
      </c>
      <c r="BV126" s="205">
        <f t="shared" si="53"/>
        <v>619.0474077297813</v>
      </c>
      <c r="BY126" s="180">
        <v>2030</v>
      </c>
      <c r="BZ126" s="22">
        <v>16</v>
      </c>
      <c r="CA126" s="198">
        <f t="shared" ca="1" si="54"/>
        <v>-15.502928590468622</v>
      </c>
      <c r="CB126" s="198">
        <f t="shared" ca="1" si="55"/>
        <v>96.851493485597729</v>
      </c>
      <c r="CC126" s="186">
        <f t="shared" ca="1" si="66"/>
        <v>547.6304064629212</v>
      </c>
      <c r="CD126" s="205">
        <f t="shared" ca="1" si="56"/>
        <v>628.97897135805033</v>
      </c>
      <c r="CG126" s="180">
        <v>2030</v>
      </c>
      <c r="CH126" s="22">
        <v>16</v>
      </c>
      <c r="CI126" s="198">
        <f t="shared" ca="1" si="57"/>
        <v>10.279657257900167</v>
      </c>
      <c r="CJ126" s="198">
        <f t="shared" ca="1" si="58"/>
        <v>-57.906514779306832</v>
      </c>
      <c r="CK126" s="198">
        <f t="shared" ca="1" si="59"/>
        <v>140.70868745856092</v>
      </c>
      <c r="CL126" s="186">
        <f t="shared" ca="1" si="60"/>
        <v>540.77295150894497</v>
      </c>
      <c r="CM126" s="205">
        <f t="shared" ca="1" si="61"/>
        <v>633.8547814460992</v>
      </c>
      <c r="CP126" s="180">
        <v>2030</v>
      </c>
      <c r="CQ126" s="22">
        <v>16</v>
      </c>
      <c r="CR126" s="198">
        <f t="shared" ca="1" si="62"/>
        <v>565.62380568274648</v>
      </c>
      <c r="CS126" s="186">
        <f t="shared" ca="1" si="63"/>
        <v>1.0906887514058476</v>
      </c>
      <c r="CT126" s="205">
        <f t="shared" ca="1" si="64"/>
        <v>616.91952238553858</v>
      </c>
      <c r="CZ126" s="164" t="b">
        <f t="shared" si="41"/>
        <v>1</v>
      </c>
      <c r="DA126" s="165" t="b">
        <f t="shared" si="41"/>
        <v>1</v>
      </c>
      <c r="DB126" s="166" t="b">
        <f t="shared" si="41"/>
        <v>1</v>
      </c>
      <c r="DC126" s="164">
        <f t="shared" si="50"/>
        <v>18</v>
      </c>
      <c r="DD126" s="166">
        <f t="shared" si="42"/>
        <v>565.44205672272994</v>
      </c>
      <c r="DE126" s="164">
        <f t="shared" si="43"/>
        <v>18</v>
      </c>
      <c r="DF126" s="166">
        <f t="shared" si="44"/>
        <v>635.24075818995448</v>
      </c>
      <c r="DG126" s="164">
        <f t="shared" si="45"/>
        <v>18</v>
      </c>
      <c r="DH126" s="166">
        <f t="shared" si="46"/>
        <v>705.03945965717901</v>
      </c>
      <c r="DI126" s="164">
        <f>IFERROR(INDEX(DC$106:DC$154,_xlfn.AGGREGATE(15,6,(ROW(DC$106:DC$154)-ROW(DC$106)+1)/(DC$106:DC$154&lt;&gt;""),ROWS(DI$1:DI21))),"")</f>
        <v>18</v>
      </c>
      <c r="DJ126" s="165">
        <f>IFERROR(INDEX(DD$106:DD$154,_xlfn.AGGREGATE(15,6,(ROW(DD$106:DD$154)-ROW(DD$106)+1)/(DD$106:DD$154&lt;&gt;""),ROWS(DJ$1:DJ21))),"")</f>
        <v>565.44205672272994</v>
      </c>
      <c r="DK126" s="166">
        <f t="shared" si="47"/>
        <v>126</v>
      </c>
      <c r="DL126" s="164">
        <f>IFERROR(INDEX(DE$106:DE$154,_xlfn.AGGREGATE(15,6,(ROW(DE$106:DE$154)-ROW(DE$106)+1)/(DE$106:DE$154&lt;&gt;""),ROWS(DL$1:DL21))),"")</f>
        <v>18</v>
      </c>
      <c r="DM126" s="165">
        <f>IFERROR(INDEX(DF$106:DF$154,_xlfn.AGGREGATE(15,6,(ROW(DF$106:DF$154)-ROW(DF$106)+1)/(DF$106:DF$154&lt;&gt;""),ROWS(DM$1:DM21))),"")</f>
        <v>635.24075818995448</v>
      </c>
      <c r="DN126" s="166">
        <f t="shared" si="48"/>
        <v>126</v>
      </c>
      <c r="DO126" s="164">
        <f>IFERROR(INDEX(DG$106:DG$154,_xlfn.AGGREGATE(15,6,(ROW(DG$106:DG$154)-ROW(DG$106)+1)/(DG$106:DG$154&lt;&gt;""),ROWS(DO$1:DO21))),"")</f>
        <v>18</v>
      </c>
      <c r="DP126" s="165">
        <f>IFERROR(INDEX(DH$106:DH$154,_xlfn.AGGREGATE(15,6,(ROW(DH$106:DH$154)-ROW(DH$106)+1)/(DH$106:DH$154&lt;&gt;""),ROWS(DP$1:DP21))),"")</f>
        <v>705.03945965717901</v>
      </c>
      <c r="DQ126" s="166">
        <f t="shared" si="49"/>
        <v>126</v>
      </c>
      <c r="DV126" s="145">
        <v>2035</v>
      </c>
      <c r="DW126" s="235">
        <f t="shared" ca="1" si="34"/>
        <v>648.94224871593906</v>
      </c>
    </row>
    <row r="127" spans="1:135" ht="13.8" x14ac:dyDescent="0.45">
      <c r="B127" s="128">
        <v>2033</v>
      </c>
      <c r="C127" s="1023">
        <v>629.64029680365297</v>
      </c>
      <c r="D127" s="1024">
        <v>728.31685300324853</v>
      </c>
      <c r="E127" s="1025"/>
      <c r="F127" s="894"/>
      <c r="G127" s="159"/>
      <c r="H127" s="204"/>
      <c r="I127" s="1112">
        <v>556.90000000000009</v>
      </c>
      <c r="J127" s="207"/>
      <c r="K127" s="204"/>
      <c r="L127" s="206"/>
      <c r="M127" s="204"/>
      <c r="N127" s="29" t="s">
        <v>119</v>
      </c>
      <c r="O127" s="120"/>
      <c r="P127" s="120"/>
      <c r="Q127" s="120"/>
      <c r="R127" s="29">
        <v>19</v>
      </c>
      <c r="S127" s="154">
        <f t="shared" si="35"/>
        <v>556.90000000000009</v>
      </c>
      <c r="T127" s="154">
        <f t="shared" si="36"/>
        <v>728.31685300324853</v>
      </c>
      <c r="U127" s="154">
        <f t="shared" si="37"/>
        <v>70.247143885026176</v>
      </c>
      <c r="W127" s="154">
        <f t="shared" si="38"/>
        <v>568.03857271727441</v>
      </c>
      <c r="X127" s="154">
        <f t="shared" si="39"/>
        <v>638.28571660230057</v>
      </c>
      <c r="Y127" s="154">
        <f t="shared" si="40"/>
        <v>708.53286048732673</v>
      </c>
      <c r="AA127" s="1133">
        <v>629.64029680365297</v>
      </c>
      <c r="AB127" s="1133">
        <v>678.97857490345075</v>
      </c>
      <c r="AC127" s="1133">
        <v>728.31685300324853</v>
      </c>
      <c r="AD127" s="89"/>
      <c r="AE127" s="89"/>
      <c r="AF127" s="89"/>
      <c r="AG127" s="89"/>
      <c r="AH127" s="89"/>
      <c r="AI127" s="89"/>
      <c r="AJ127" s="89"/>
      <c r="AK127" s="89"/>
      <c r="AL127" s="89"/>
      <c r="AM127" s="89"/>
      <c r="AN127" s="89"/>
      <c r="BR127" s="180">
        <v>2031</v>
      </c>
      <c r="BS127" s="22">
        <v>17</v>
      </c>
      <c r="BT127" s="181">
        <f t="shared" si="51"/>
        <v>57.607092353172078</v>
      </c>
      <c r="BU127" s="182">
        <f t="shared" si="52"/>
        <v>564.82896786797232</v>
      </c>
      <c r="BV127" s="205">
        <f t="shared" si="53"/>
        <v>622.43606022114443</v>
      </c>
      <c r="BY127" s="180">
        <v>2031</v>
      </c>
      <c r="BZ127" s="22">
        <v>17</v>
      </c>
      <c r="CA127" s="198">
        <f t="shared" ca="1" si="54"/>
        <v>-17.50135297908372</v>
      </c>
      <c r="CB127" s="198">
        <f t="shared" ca="1" si="55"/>
        <v>102.90471182844759</v>
      </c>
      <c r="CC127" s="186">
        <f t="shared" ca="1" si="66"/>
        <v>547.6304064629212</v>
      </c>
      <c r="CD127" s="205">
        <f t="shared" ca="1" si="56"/>
        <v>633.03376531228503</v>
      </c>
      <c r="CG127" s="180">
        <v>2031</v>
      </c>
      <c r="CH127" s="22">
        <v>17</v>
      </c>
      <c r="CI127" s="198">
        <f t="shared" ca="1" si="57"/>
        <v>12.330067409195197</v>
      </c>
      <c r="CJ127" s="198">
        <f t="shared" ca="1" si="58"/>
        <v>-65.371026450076855</v>
      </c>
      <c r="CK127" s="198">
        <f t="shared" ca="1" si="59"/>
        <v>149.50298042472099</v>
      </c>
      <c r="CL127" s="186">
        <f t="shared" ca="1" si="60"/>
        <v>540.77295150894497</v>
      </c>
      <c r="CM127" s="205">
        <f t="shared" ca="1" si="61"/>
        <v>637.2349728927843</v>
      </c>
      <c r="CP127" s="180">
        <v>2031</v>
      </c>
      <c r="CQ127" s="22">
        <v>17</v>
      </c>
      <c r="CR127" s="198">
        <f t="shared" ca="1" si="62"/>
        <v>565.62380568274648</v>
      </c>
      <c r="CS127" s="186">
        <f t="shared" ca="1" si="63"/>
        <v>1.0966224595772902</v>
      </c>
      <c r="CT127" s="205">
        <f t="shared" ca="1" si="64"/>
        <v>620.27576898328073</v>
      </c>
      <c r="CZ127" s="164" t="b">
        <f t="shared" si="41"/>
        <v>1</v>
      </c>
      <c r="DA127" s="165" t="b">
        <f t="shared" si="41"/>
        <v>1</v>
      </c>
      <c r="DB127" s="166" t="b">
        <f t="shared" si="41"/>
        <v>1</v>
      </c>
      <c r="DC127" s="164">
        <f t="shared" si="50"/>
        <v>19</v>
      </c>
      <c r="DD127" s="166">
        <f t="shared" si="42"/>
        <v>568.03857271727441</v>
      </c>
      <c r="DE127" s="164">
        <f t="shared" si="43"/>
        <v>19</v>
      </c>
      <c r="DF127" s="166">
        <f t="shared" si="44"/>
        <v>638.28571660230057</v>
      </c>
      <c r="DG127" s="164">
        <f t="shared" si="45"/>
        <v>19</v>
      </c>
      <c r="DH127" s="166">
        <f t="shared" si="46"/>
        <v>708.53286048732673</v>
      </c>
      <c r="DI127" s="164">
        <f>IFERROR(INDEX(DC$106:DC$154,_xlfn.AGGREGATE(15,6,(ROW(DC$106:DC$154)-ROW(DC$106)+1)/(DC$106:DC$154&lt;&gt;""),ROWS(DI$1:DI22))),"")</f>
        <v>19</v>
      </c>
      <c r="DJ127" s="165">
        <f>IFERROR(INDEX(DD$106:DD$154,_xlfn.AGGREGATE(15,6,(ROW(DD$106:DD$154)-ROW(DD$106)+1)/(DD$106:DD$154&lt;&gt;""),ROWS(DJ$1:DJ22))),"")</f>
        <v>568.03857271727441</v>
      </c>
      <c r="DK127" s="166">
        <f t="shared" si="47"/>
        <v>127</v>
      </c>
      <c r="DL127" s="164">
        <f>IFERROR(INDEX(DE$106:DE$154,_xlfn.AGGREGATE(15,6,(ROW(DE$106:DE$154)-ROW(DE$106)+1)/(DE$106:DE$154&lt;&gt;""),ROWS(DL$1:DL22))),"")</f>
        <v>19</v>
      </c>
      <c r="DM127" s="165">
        <f>IFERROR(INDEX(DF$106:DF$154,_xlfn.AGGREGATE(15,6,(ROW(DF$106:DF$154)-ROW(DF$106)+1)/(DF$106:DF$154&lt;&gt;""),ROWS(DM$1:DM22))),"")</f>
        <v>638.28571660230057</v>
      </c>
      <c r="DN127" s="166">
        <f t="shared" si="48"/>
        <v>127</v>
      </c>
      <c r="DO127" s="164">
        <f>IFERROR(INDEX(DG$106:DG$154,_xlfn.AGGREGATE(15,6,(ROW(DG$106:DG$154)-ROW(DG$106)+1)/(DG$106:DG$154&lt;&gt;""),ROWS(DO$1:DO22))),"")</f>
        <v>19</v>
      </c>
      <c r="DP127" s="165">
        <f>IFERROR(INDEX(DH$106:DH$154,_xlfn.AGGREGATE(15,6,(ROW(DH$106:DH$154)-ROW(DH$106)+1)/(DH$106:DH$154&lt;&gt;""),ROWS(DP$1:DP22))),"")</f>
        <v>708.53286048732673</v>
      </c>
      <c r="DQ127" s="166">
        <f t="shared" si="49"/>
        <v>127</v>
      </c>
      <c r="DV127" s="145">
        <v>2036</v>
      </c>
      <c r="DW127" s="235">
        <f t="shared" ca="1" si="34"/>
        <v>651.49098563926327</v>
      </c>
    </row>
    <row r="128" spans="1:135" ht="13.8" x14ac:dyDescent="0.45">
      <c r="B128" s="128">
        <v>2034</v>
      </c>
      <c r="C128" s="1023">
        <v>634.81392694063925</v>
      </c>
      <c r="D128" s="1024">
        <v>730.98681600425755</v>
      </c>
      <c r="E128" s="1025"/>
      <c r="F128" s="894"/>
      <c r="G128" s="159"/>
      <c r="H128" s="204"/>
      <c r="I128" s="1112">
        <v>558.14705882352951</v>
      </c>
      <c r="J128" s="207"/>
      <c r="K128" s="204"/>
      <c r="L128" s="206"/>
      <c r="M128" s="204"/>
      <c r="N128" s="29" t="s">
        <v>119</v>
      </c>
      <c r="O128" s="120"/>
      <c r="P128" s="120"/>
      <c r="Q128" s="120"/>
      <c r="R128" s="29">
        <v>20</v>
      </c>
      <c r="S128" s="154">
        <f t="shared" si="35"/>
        <v>558.14705882352951</v>
      </c>
      <c r="T128" s="154">
        <f t="shared" si="36"/>
        <v>730.98681600425755</v>
      </c>
      <c r="U128" s="154">
        <f t="shared" si="37"/>
        <v>70.711161243801797</v>
      </c>
      <c r="W128" s="154">
        <f t="shared" si="38"/>
        <v>570.60477267900694</v>
      </c>
      <c r="X128" s="154">
        <f t="shared" si="39"/>
        <v>641.31593392280877</v>
      </c>
      <c r="Y128" s="154">
        <f t="shared" si="40"/>
        <v>712.02709516661059</v>
      </c>
      <c r="AA128" s="1133">
        <v>634.81392694063925</v>
      </c>
      <c r="AB128" s="1133">
        <v>682.90037147244834</v>
      </c>
      <c r="AC128" s="1133">
        <v>730.98681600425743</v>
      </c>
      <c r="AD128" s="89"/>
      <c r="AE128" s="89"/>
      <c r="AF128" s="89"/>
      <c r="AG128" s="89"/>
      <c r="AH128" s="89"/>
      <c r="AI128" s="89"/>
      <c r="AJ128" s="89"/>
      <c r="AK128" s="89"/>
      <c r="AL128" s="89"/>
      <c r="AM128" s="89"/>
      <c r="AN128" s="89"/>
      <c r="BR128" s="180">
        <v>2032</v>
      </c>
      <c r="BS128" s="22">
        <v>18</v>
      </c>
      <c r="BT128" s="181">
        <f t="shared" si="51"/>
        <v>60.995744844535146</v>
      </c>
      <c r="BU128" s="182">
        <f t="shared" si="52"/>
        <v>564.82896786797232</v>
      </c>
      <c r="BV128" s="205">
        <f t="shared" si="53"/>
        <v>625.82471271250745</v>
      </c>
      <c r="BY128" s="180">
        <v>2032</v>
      </c>
      <c r="BZ128" s="22">
        <v>18</v>
      </c>
      <c r="CA128" s="198">
        <f t="shared" ca="1" si="54"/>
        <v>-19.62089399731185</v>
      </c>
      <c r="CB128" s="198">
        <f t="shared" ca="1" si="55"/>
        <v>108.95793017129745</v>
      </c>
      <c r="CC128" s="186">
        <f t="shared" ca="1" si="66"/>
        <v>547.6304064629212</v>
      </c>
      <c r="CD128" s="205">
        <f t="shared" ca="1" si="56"/>
        <v>636.96744263690675</v>
      </c>
      <c r="CG128" s="180">
        <v>2032</v>
      </c>
      <c r="CH128" s="22">
        <v>18</v>
      </c>
      <c r="CI128" s="198">
        <f t="shared" ca="1" si="57"/>
        <v>14.636465119158636</v>
      </c>
      <c r="CJ128" s="198">
        <f t="shared" ca="1" si="58"/>
        <v>-73.287932767560207</v>
      </c>
      <c r="CK128" s="198">
        <f t="shared" ca="1" si="59"/>
        <v>158.29727339088103</v>
      </c>
      <c r="CL128" s="186">
        <f t="shared" ca="1" si="60"/>
        <v>540.77295150894497</v>
      </c>
      <c r="CM128" s="205">
        <f t="shared" ca="1" si="61"/>
        <v>640.41875725142449</v>
      </c>
      <c r="CP128" s="180">
        <v>2032</v>
      </c>
      <c r="CQ128" s="22">
        <v>18</v>
      </c>
      <c r="CR128" s="198">
        <f t="shared" ca="1" si="62"/>
        <v>565.62380568274648</v>
      </c>
      <c r="CS128" s="186">
        <f t="shared" ca="1" si="63"/>
        <v>1.1025884490871241</v>
      </c>
      <c r="CT128" s="205">
        <f t="shared" ca="1" si="64"/>
        <v>623.65027467449625</v>
      </c>
      <c r="CZ128" s="164" t="b">
        <f t="shared" si="41"/>
        <v>1</v>
      </c>
      <c r="DA128" s="165" t="b">
        <f t="shared" si="41"/>
        <v>1</v>
      </c>
      <c r="DB128" s="166" t="b">
        <f t="shared" si="41"/>
        <v>1</v>
      </c>
      <c r="DC128" s="164">
        <f t="shared" si="50"/>
        <v>20</v>
      </c>
      <c r="DD128" s="166">
        <f t="shared" si="42"/>
        <v>570.60477267900694</v>
      </c>
      <c r="DE128" s="164">
        <f t="shared" si="43"/>
        <v>20</v>
      </c>
      <c r="DF128" s="166">
        <f t="shared" si="44"/>
        <v>641.31593392280877</v>
      </c>
      <c r="DG128" s="164">
        <f t="shared" si="45"/>
        <v>20</v>
      </c>
      <c r="DH128" s="166">
        <f t="shared" si="46"/>
        <v>712.02709516661059</v>
      </c>
      <c r="DI128" s="164">
        <f>IFERROR(INDEX(DC$106:DC$154,_xlfn.AGGREGATE(15,6,(ROW(DC$106:DC$154)-ROW(DC$106)+1)/(DC$106:DC$154&lt;&gt;""),ROWS(DI$1:DI23))),"")</f>
        <v>20</v>
      </c>
      <c r="DJ128" s="165">
        <f>IFERROR(INDEX(DD$106:DD$154,_xlfn.AGGREGATE(15,6,(ROW(DD$106:DD$154)-ROW(DD$106)+1)/(DD$106:DD$154&lt;&gt;""),ROWS(DJ$1:DJ23))),"")</f>
        <v>570.60477267900694</v>
      </c>
      <c r="DK128" s="166">
        <f t="shared" si="47"/>
        <v>128</v>
      </c>
      <c r="DL128" s="164">
        <f>IFERROR(INDEX(DE$106:DE$154,_xlfn.AGGREGATE(15,6,(ROW(DE$106:DE$154)-ROW(DE$106)+1)/(DE$106:DE$154&lt;&gt;""),ROWS(DL$1:DL23))),"")</f>
        <v>20</v>
      </c>
      <c r="DM128" s="165">
        <f>IFERROR(INDEX(DF$106:DF$154,_xlfn.AGGREGATE(15,6,(ROW(DF$106:DF$154)-ROW(DF$106)+1)/(DF$106:DF$154&lt;&gt;""),ROWS(DM$1:DM23))),"")</f>
        <v>641.31593392280877</v>
      </c>
      <c r="DN128" s="166">
        <f t="shared" si="48"/>
        <v>128</v>
      </c>
      <c r="DO128" s="164">
        <f>IFERROR(INDEX(DG$106:DG$154,_xlfn.AGGREGATE(15,6,(ROW(DG$106:DG$154)-ROW(DG$106)+1)/(DG$106:DG$154&lt;&gt;""),ROWS(DO$1:DO23))),"")</f>
        <v>20</v>
      </c>
      <c r="DP128" s="165">
        <f>IFERROR(INDEX(DH$106:DH$154,_xlfn.AGGREGATE(15,6,(ROW(DH$106:DH$154)-ROW(DH$106)+1)/(DH$106:DH$154&lt;&gt;""),ROWS(DP$1:DP23))),"")</f>
        <v>712.02709516661059</v>
      </c>
      <c r="DQ128" s="166">
        <f t="shared" si="49"/>
        <v>128</v>
      </c>
      <c r="DV128" s="145">
        <v>2037</v>
      </c>
      <c r="DW128" s="235">
        <f t="shared" ca="1" si="34"/>
        <v>653.91860593297451</v>
      </c>
    </row>
    <row r="129" spans="2:135" ht="13.8" x14ac:dyDescent="0.45">
      <c r="B129" s="128">
        <v>2035</v>
      </c>
      <c r="C129" s="1023">
        <v>639.98755707762552</v>
      </c>
      <c r="D129" s="1024">
        <v>734.91327434340235</v>
      </c>
      <c r="E129" s="1025"/>
      <c r="F129" s="894"/>
      <c r="G129" s="159"/>
      <c r="H129" s="204"/>
      <c r="I129" s="1112">
        <v>559.39411764705892</v>
      </c>
      <c r="J129" s="207"/>
      <c r="K129" s="204"/>
      <c r="L129" s="206"/>
      <c r="M129" s="204"/>
      <c r="N129" s="29" t="s">
        <v>119</v>
      </c>
      <c r="O129" s="120"/>
      <c r="P129" s="120"/>
      <c r="Q129" s="120"/>
      <c r="R129" s="29">
        <v>21</v>
      </c>
      <c r="S129" s="154">
        <f t="shared" si="35"/>
        <v>559.39411764705892</v>
      </c>
      <c r="T129" s="154">
        <f t="shared" si="36"/>
        <v>734.91327434340235</v>
      </c>
      <c r="U129" s="154">
        <f t="shared" si="37"/>
        <v>71.73498189328329</v>
      </c>
      <c r="W129" s="154">
        <f t="shared" si="38"/>
        <v>573.03000112941231</v>
      </c>
      <c r="X129" s="154">
        <f t="shared" si="39"/>
        <v>644.76498302269556</v>
      </c>
      <c r="Y129" s="154">
        <f t="shared" si="40"/>
        <v>716.49996491597881</v>
      </c>
      <c r="AA129" s="1133">
        <v>639.98755707762552</v>
      </c>
      <c r="AB129" s="1133">
        <v>687.45041571051388</v>
      </c>
      <c r="AC129" s="1133">
        <v>734.91327434340224</v>
      </c>
      <c r="AD129" s="89"/>
      <c r="AE129" s="89"/>
      <c r="AF129" s="89"/>
      <c r="AG129" s="89"/>
      <c r="AH129" s="89"/>
      <c r="AI129" s="89"/>
      <c r="AJ129" s="89"/>
      <c r="AK129" s="89"/>
      <c r="AL129" s="89"/>
      <c r="AM129" s="89"/>
      <c r="AN129" s="89"/>
      <c r="BR129" s="180">
        <v>2033</v>
      </c>
      <c r="BS129" s="22">
        <v>19</v>
      </c>
      <c r="BT129" s="181">
        <f t="shared" si="51"/>
        <v>64.384397335898214</v>
      </c>
      <c r="BU129" s="182">
        <f t="shared" si="52"/>
        <v>564.82896786797232</v>
      </c>
      <c r="BV129" s="205">
        <f t="shared" si="53"/>
        <v>629.21336520387058</v>
      </c>
      <c r="BY129" s="180">
        <v>2033</v>
      </c>
      <c r="BZ129" s="22">
        <v>19</v>
      </c>
      <c r="CA129" s="198">
        <f t="shared" ca="1" si="54"/>
        <v>-21.861551645153018</v>
      </c>
      <c r="CB129" s="198">
        <f t="shared" ca="1" si="55"/>
        <v>115.01114851414731</v>
      </c>
      <c r="CC129" s="186">
        <f t="shared" ca="1" si="66"/>
        <v>547.6304064629212</v>
      </c>
      <c r="CD129" s="205">
        <f t="shared" ca="1" si="56"/>
        <v>640.78000333191551</v>
      </c>
      <c r="CG129" s="180">
        <v>2033</v>
      </c>
      <c r="CH129" s="22">
        <v>19</v>
      </c>
      <c r="CI129" s="198">
        <f t="shared" ca="1" si="57"/>
        <v>17.213908479476867</v>
      </c>
      <c r="CJ129" s="198">
        <f t="shared" ca="1" si="58"/>
        <v>-81.657233731756904</v>
      </c>
      <c r="CK129" s="198">
        <f t="shared" ca="1" si="59"/>
        <v>167.09156635704107</v>
      </c>
      <c r="CL129" s="186">
        <f t="shared" ca="1" si="60"/>
        <v>540.77295150894497</v>
      </c>
      <c r="CM129" s="205">
        <f t="shared" ca="1" si="61"/>
        <v>643.42119261370601</v>
      </c>
      <c r="CP129" s="180">
        <v>2033</v>
      </c>
      <c r="CQ129" s="22">
        <v>19</v>
      </c>
      <c r="CR129" s="198">
        <f t="shared" ca="1" si="62"/>
        <v>565.62380568274648</v>
      </c>
      <c r="CS129" s="186">
        <f t="shared" ca="1" si="63"/>
        <v>1.1085868955565257</v>
      </c>
      <c r="CT129" s="205">
        <f t="shared" ca="1" si="64"/>
        <v>627.0431387947034</v>
      </c>
      <c r="CZ129" s="164" t="b">
        <f t="shared" si="41"/>
        <v>1</v>
      </c>
      <c r="DA129" s="165" t="b">
        <f t="shared" si="41"/>
        <v>1</v>
      </c>
      <c r="DB129" s="166" t="b">
        <f t="shared" si="41"/>
        <v>1</v>
      </c>
      <c r="DC129" s="164">
        <f t="shared" si="50"/>
        <v>21</v>
      </c>
      <c r="DD129" s="166">
        <f t="shared" si="42"/>
        <v>573.03000112941231</v>
      </c>
      <c r="DE129" s="164">
        <f t="shared" si="43"/>
        <v>21</v>
      </c>
      <c r="DF129" s="166">
        <f t="shared" si="44"/>
        <v>644.76498302269556</v>
      </c>
      <c r="DG129" s="164">
        <f t="shared" si="45"/>
        <v>21</v>
      </c>
      <c r="DH129" s="166">
        <f t="shared" si="46"/>
        <v>716.49996491597881</v>
      </c>
      <c r="DI129" s="164">
        <f>IFERROR(INDEX(DC$106:DC$154,_xlfn.AGGREGATE(15,6,(ROW(DC$106:DC$154)-ROW(DC$106)+1)/(DC$106:DC$154&lt;&gt;""),ROWS(DI$1:DI24))),"")</f>
        <v>21</v>
      </c>
      <c r="DJ129" s="165">
        <f>IFERROR(INDEX(DD$106:DD$154,_xlfn.AGGREGATE(15,6,(ROW(DD$106:DD$154)-ROW(DD$106)+1)/(DD$106:DD$154&lt;&gt;""),ROWS(DJ$1:DJ24))),"")</f>
        <v>573.03000112941231</v>
      </c>
      <c r="DK129" s="166">
        <f t="shared" si="47"/>
        <v>129</v>
      </c>
      <c r="DL129" s="164">
        <f>IFERROR(INDEX(DE$106:DE$154,_xlfn.AGGREGATE(15,6,(ROW(DE$106:DE$154)-ROW(DE$106)+1)/(DE$106:DE$154&lt;&gt;""),ROWS(DL$1:DL24))),"")</f>
        <v>21</v>
      </c>
      <c r="DM129" s="165">
        <f>IFERROR(INDEX(DF$106:DF$154,_xlfn.AGGREGATE(15,6,(ROW(DF$106:DF$154)-ROW(DF$106)+1)/(DF$106:DF$154&lt;&gt;""),ROWS(DM$1:DM24))),"")</f>
        <v>644.76498302269556</v>
      </c>
      <c r="DN129" s="166">
        <f t="shared" si="48"/>
        <v>129</v>
      </c>
      <c r="DO129" s="164">
        <f>IFERROR(INDEX(DG$106:DG$154,_xlfn.AGGREGATE(15,6,(ROW(DG$106:DG$154)-ROW(DG$106)+1)/(DG$106:DG$154&lt;&gt;""),ROWS(DO$1:DO24))),"")</f>
        <v>21</v>
      </c>
      <c r="DP129" s="165">
        <f>IFERROR(INDEX(DH$106:DH$154,_xlfn.AGGREGATE(15,6,(ROW(DH$106:DH$154)-ROW(DH$106)+1)/(DH$106:DH$154&lt;&gt;""),ROWS(DP$1:DP24))),"")</f>
        <v>716.49996491597881</v>
      </c>
      <c r="DQ129" s="166">
        <f t="shared" si="49"/>
        <v>129</v>
      </c>
      <c r="DV129" s="145">
        <v>2038</v>
      </c>
      <c r="DW129" s="235">
        <f t="shared" ca="1" si="34"/>
        <v>656.24016768875902</v>
      </c>
    </row>
    <row r="130" spans="2:135" ht="13.8" x14ac:dyDescent="0.45">
      <c r="B130" s="128">
        <v>2036</v>
      </c>
      <c r="C130" s="1023">
        <v>645.1611872146118</v>
      </c>
      <c r="D130" s="1024">
        <v>736.16871544381502</v>
      </c>
      <c r="E130" s="1025"/>
      <c r="F130" s="894"/>
      <c r="G130" s="159"/>
      <c r="H130" s="204"/>
      <c r="I130" s="1112">
        <v>560.64117647058833</v>
      </c>
      <c r="J130" s="207"/>
      <c r="K130" s="204"/>
      <c r="L130" s="206"/>
      <c r="M130" s="204"/>
      <c r="N130" s="29" t="s">
        <v>119</v>
      </c>
      <c r="O130" s="120"/>
      <c r="P130" s="120"/>
      <c r="Q130" s="120"/>
      <c r="R130" s="29">
        <v>22</v>
      </c>
      <c r="S130" s="154">
        <f t="shared" si="35"/>
        <v>560.64117647058833</v>
      </c>
      <c r="T130" s="154">
        <f t="shared" si="36"/>
        <v>736.16871544381502</v>
      </c>
      <c r="U130" s="154">
        <f t="shared" si="37"/>
        <v>71.675130778128604</v>
      </c>
      <c r="W130" s="154">
        <f t="shared" si="38"/>
        <v>575.64856226487643</v>
      </c>
      <c r="X130" s="154">
        <f t="shared" si="39"/>
        <v>647.32369304300505</v>
      </c>
      <c r="Y130" s="154">
        <f t="shared" si="40"/>
        <v>718.99882382113367</v>
      </c>
      <c r="AA130" s="1133">
        <v>645.1611872146118</v>
      </c>
      <c r="AB130" s="1133">
        <v>690.66495132921341</v>
      </c>
      <c r="AC130" s="1133">
        <v>736.16871544381502</v>
      </c>
      <c r="AD130" s="89"/>
      <c r="AE130" s="89"/>
      <c r="AF130" s="89"/>
      <c r="AG130" s="89"/>
      <c r="AH130" s="89"/>
      <c r="AI130" s="89"/>
      <c r="AJ130" s="89"/>
      <c r="AK130" s="89"/>
      <c r="AL130" s="89"/>
      <c r="AM130" s="89"/>
      <c r="AN130" s="89"/>
      <c r="BR130" s="180">
        <v>2034</v>
      </c>
      <c r="BS130" s="22">
        <v>20</v>
      </c>
      <c r="BT130" s="181">
        <f t="shared" si="51"/>
        <v>67.773049827261275</v>
      </c>
      <c r="BU130" s="182">
        <f t="shared" si="52"/>
        <v>564.82896786797232</v>
      </c>
      <c r="BV130" s="205">
        <f t="shared" si="53"/>
        <v>632.6020176952336</v>
      </c>
      <c r="BY130" s="180">
        <v>2034</v>
      </c>
      <c r="BZ130" s="22">
        <v>20</v>
      </c>
      <c r="CA130" s="198">
        <f t="shared" ca="1" si="54"/>
        <v>-24.223325922607224</v>
      </c>
      <c r="CB130" s="198">
        <f t="shared" ca="1" si="55"/>
        <v>121.06436685699717</v>
      </c>
      <c r="CC130" s="186">
        <f t="shared" ca="1" si="66"/>
        <v>547.6304064629212</v>
      </c>
      <c r="CD130" s="205">
        <f t="shared" ca="1" si="56"/>
        <v>644.47144739731118</v>
      </c>
      <c r="CG130" s="180">
        <v>2034</v>
      </c>
      <c r="CH130" s="22">
        <v>20</v>
      </c>
      <c r="CI130" s="198">
        <f t="shared" ca="1" si="57"/>
        <v>20.077455581836265</v>
      </c>
      <c r="CJ130" s="198">
        <f t="shared" ca="1" si="58"/>
        <v>-90.47892934266693</v>
      </c>
      <c r="CK130" s="198">
        <f t="shared" ca="1" si="59"/>
        <v>175.88585932320115</v>
      </c>
      <c r="CL130" s="186">
        <f t="shared" ca="1" si="60"/>
        <v>540.77295150894497</v>
      </c>
      <c r="CM130" s="205">
        <f t="shared" ca="1" si="61"/>
        <v>646.25733707131542</v>
      </c>
      <c r="CP130" s="180">
        <v>2034</v>
      </c>
      <c r="CQ130" s="22">
        <v>20</v>
      </c>
      <c r="CR130" s="198">
        <f t="shared" ca="1" si="62"/>
        <v>565.62380568274648</v>
      </c>
      <c r="CS130" s="186">
        <f t="shared" ca="1" si="63"/>
        <v>1.1146179755621084</v>
      </c>
      <c r="CT130" s="205">
        <f t="shared" ca="1" si="64"/>
        <v>630.45446121983821</v>
      </c>
      <c r="CZ130" s="164" t="b">
        <f t="shared" si="41"/>
        <v>1</v>
      </c>
      <c r="DA130" s="165" t="b">
        <f t="shared" si="41"/>
        <v>1</v>
      </c>
      <c r="DB130" s="166" t="b">
        <f t="shared" si="41"/>
        <v>1</v>
      </c>
      <c r="DC130" s="164">
        <f t="shared" si="50"/>
        <v>22</v>
      </c>
      <c r="DD130" s="166">
        <f t="shared" si="42"/>
        <v>575.64856226487643</v>
      </c>
      <c r="DE130" s="164">
        <f t="shared" si="43"/>
        <v>22</v>
      </c>
      <c r="DF130" s="166">
        <f t="shared" si="44"/>
        <v>647.32369304300505</v>
      </c>
      <c r="DG130" s="164">
        <f t="shared" si="45"/>
        <v>22</v>
      </c>
      <c r="DH130" s="166">
        <f t="shared" si="46"/>
        <v>718.99882382113367</v>
      </c>
      <c r="DI130" s="164">
        <f>IFERROR(INDEX(DC$106:DC$154,_xlfn.AGGREGATE(15,6,(ROW(DC$106:DC$154)-ROW(DC$106)+1)/(DC$106:DC$154&lt;&gt;""),ROWS(DI$1:DI25))),"")</f>
        <v>22</v>
      </c>
      <c r="DJ130" s="165">
        <f>IFERROR(INDEX(DD$106:DD$154,_xlfn.AGGREGATE(15,6,(ROW(DD$106:DD$154)-ROW(DD$106)+1)/(DD$106:DD$154&lt;&gt;""),ROWS(DJ$1:DJ25))),"")</f>
        <v>575.64856226487643</v>
      </c>
      <c r="DK130" s="166">
        <f t="shared" si="47"/>
        <v>130</v>
      </c>
      <c r="DL130" s="164">
        <f>IFERROR(INDEX(DE$106:DE$154,_xlfn.AGGREGATE(15,6,(ROW(DE$106:DE$154)-ROW(DE$106)+1)/(DE$106:DE$154&lt;&gt;""),ROWS(DL$1:DL25))),"")</f>
        <v>22</v>
      </c>
      <c r="DM130" s="165">
        <f>IFERROR(INDEX(DF$106:DF$154,_xlfn.AGGREGATE(15,6,(ROW(DF$106:DF$154)-ROW(DF$106)+1)/(DF$106:DF$154&lt;&gt;""),ROWS(DM$1:DM25))),"")</f>
        <v>647.32369304300505</v>
      </c>
      <c r="DN130" s="166">
        <f t="shared" si="48"/>
        <v>130</v>
      </c>
      <c r="DO130" s="164">
        <f>IFERROR(INDEX(DG$106:DG$154,_xlfn.AGGREGATE(15,6,(ROW(DG$106:DG$154)-ROW(DG$106)+1)/(DG$106:DG$154&lt;&gt;""),ROWS(DO$1:DO25))),"")</f>
        <v>22</v>
      </c>
      <c r="DP130" s="165">
        <f>IFERROR(INDEX(DH$106:DH$154,_xlfn.AGGREGATE(15,6,(ROW(DH$106:DH$154)-ROW(DH$106)+1)/(DH$106:DH$154&lt;&gt;""),ROWS(DP$1:DP25))),"")</f>
        <v>718.99882382113367</v>
      </c>
      <c r="DQ130" s="166">
        <f t="shared" si="49"/>
        <v>130</v>
      </c>
      <c r="DV130" s="145">
        <v>2039</v>
      </c>
      <c r="DW130" s="235">
        <f t="shared" ca="1" si="34"/>
        <v>658.47072899830334</v>
      </c>
    </row>
    <row r="131" spans="2:135" ht="13.8" x14ac:dyDescent="0.45">
      <c r="B131" s="128">
        <v>2037</v>
      </c>
      <c r="C131" s="1023">
        <v>650.33481735159819</v>
      </c>
      <c r="D131" s="1024">
        <v>738.66954786819213</v>
      </c>
      <c r="E131" s="1025"/>
      <c r="F131" s="894"/>
      <c r="G131" s="159"/>
      <c r="H131" s="204"/>
      <c r="I131" s="1112">
        <v>561.88823529411775</v>
      </c>
      <c r="J131" s="207"/>
      <c r="K131" s="204"/>
      <c r="L131" s="206"/>
      <c r="M131" s="204"/>
      <c r="N131" s="29" t="s">
        <v>119</v>
      </c>
      <c r="O131" s="120"/>
      <c r="P131" s="120"/>
      <c r="Q131" s="120"/>
      <c r="R131" s="29">
        <v>23</v>
      </c>
      <c r="S131" s="154">
        <f t="shared" si="35"/>
        <v>561.88823529411775</v>
      </c>
      <c r="T131" s="154">
        <f t="shared" si="36"/>
        <v>738.66954786819213</v>
      </c>
      <c r="U131" s="154">
        <f t="shared" si="37"/>
        <v>72.170673459593772</v>
      </c>
      <c r="W131" s="154">
        <f t="shared" si="38"/>
        <v>578.12686004504224</v>
      </c>
      <c r="X131" s="154">
        <f t="shared" si="39"/>
        <v>650.29753350463602</v>
      </c>
      <c r="Y131" s="154">
        <f t="shared" si="40"/>
        <v>722.46820696422981</v>
      </c>
      <c r="AA131" s="1133">
        <v>650.33481735159819</v>
      </c>
      <c r="AB131" s="1133">
        <v>694.50218260989516</v>
      </c>
      <c r="AC131" s="1133">
        <v>738.66954786819213</v>
      </c>
      <c r="AD131" s="89"/>
      <c r="AE131" s="89"/>
      <c r="AF131" s="89"/>
      <c r="AG131" s="89"/>
      <c r="AH131" s="89"/>
      <c r="AI131" s="89"/>
      <c r="AJ131" s="89"/>
      <c r="AK131" s="89"/>
      <c r="AL131" s="89"/>
      <c r="AM131" s="89"/>
      <c r="AN131" s="89"/>
      <c r="BR131" s="180">
        <v>2035</v>
      </c>
      <c r="BS131" s="22">
        <v>21</v>
      </c>
      <c r="BT131" s="181">
        <f t="shared" si="51"/>
        <v>71.161702318624336</v>
      </c>
      <c r="BU131" s="182">
        <f t="shared" si="52"/>
        <v>564.82896786797232</v>
      </c>
      <c r="BV131" s="205">
        <f t="shared" si="53"/>
        <v>635.99067018659662</v>
      </c>
      <c r="BY131" s="180">
        <v>2035</v>
      </c>
      <c r="BZ131" s="22">
        <v>21</v>
      </c>
      <c r="CA131" s="198">
        <f t="shared" ca="1" si="54"/>
        <v>-26.706216829674464</v>
      </c>
      <c r="CB131" s="198">
        <f t="shared" ca="1" si="55"/>
        <v>127.11758519984701</v>
      </c>
      <c r="CC131" s="186">
        <f t="shared" ca="1" si="66"/>
        <v>547.6304064629212</v>
      </c>
      <c r="CD131" s="205">
        <f t="shared" ca="1" si="56"/>
        <v>648.04177483309377</v>
      </c>
      <c r="CG131" s="180">
        <v>2035</v>
      </c>
      <c r="CH131" s="22">
        <v>21</v>
      </c>
      <c r="CI131" s="198">
        <f t="shared" ca="1" si="57"/>
        <v>23.242164517923204</v>
      </c>
      <c r="CJ131" s="198">
        <f t="shared" ca="1" si="58"/>
        <v>-99.753019600290287</v>
      </c>
      <c r="CK131" s="198">
        <f t="shared" ca="1" si="59"/>
        <v>184.68015228936122</v>
      </c>
      <c r="CL131" s="186">
        <f t="shared" ca="1" si="60"/>
        <v>540.77295150894497</v>
      </c>
      <c r="CM131" s="205">
        <f t="shared" ca="1" si="61"/>
        <v>648.94224871593906</v>
      </c>
      <c r="CP131" s="180">
        <v>2035</v>
      </c>
      <c r="CQ131" s="22">
        <v>21</v>
      </c>
      <c r="CR131" s="198">
        <f t="shared" ca="1" si="62"/>
        <v>565.62380568274648</v>
      </c>
      <c r="CS131" s="186">
        <f t="shared" ca="1" si="63"/>
        <v>1.1206818666411211</v>
      </c>
      <c r="CT131" s="205">
        <f t="shared" ca="1" si="64"/>
        <v>633.88434236919511</v>
      </c>
      <c r="CZ131" s="164" t="b">
        <f t="shared" si="41"/>
        <v>1</v>
      </c>
      <c r="DA131" s="165" t="b">
        <f t="shared" si="41"/>
        <v>1</v>
      </c>
      <c r="DB131" s="166" t="b">
        <f t="shared" si="41"/>
        <v>1</v>
      </c>
      <c r="DC131" s="164">
        <f t="shared" si="50"/>
        <v>23</v>
      </c>
      <c r="DD131" s="166">
        <f t="shared" si="42"/>
        <v>578.12686004504224</v>
      </c>
      <c r="DE131" s="164">
        <f t="shared" si="43"/>
        <v>23</v>
      </c>
      <c r="DF131" s="166">
        <f t="shared" si="44"/>
        <v>650.29753350463602</v>
      </c>
      <c r="DG131" s="164">
        <f t="shared" si="45"/>
        <v>23</v>
      </c>
      <c r="DH131" s="166">
        <f t="shared" si="46"/>
        <v>722.46820696422981</v>
      </c>
      <c r="DI131" s="164">
        <f>IFERROR(INDEX(DC$106:DC$154,_xlfn.AGGREGATE(15,6,(ROW(DC$106:DC$154)-ROW(DC$106)+1)/(DC$106:DC$154&lt;&gt;""),ROWS(DI$1:DI26))),"")</f>
        <v>23</v>
      </c>
      <c r="DJ131" s="165">
        <f>IFERROR(INDEX(DD$106:DD$154,_xlfn.AGGREGATE(15,6,(ROW(DD$106:DD$154)-ROW(DD$106)+1)/(DD$106:DD$154&lt;&gt;""),ROWS(DJ$1:DJ26))),"")</f>
        <v>578.12686004504224</v>
      </c>
      <c r="DK131" s="166">
        <f t="shared" si="47"/>
        <v>131</v>
      </c>
      <c r="DL131" s="164">
        <f>IFERROR(INDEX(DE$106:DE$154,_xlfn.AGGREGATE(15,6,(ROW(DE$106:DE$154)-ROW(DE$106)+1)/(DE$106:DE$154&lt;&gt;""),ROWS(DL$1:DL26))),"")</f>
        <v>23</v>
      </c>
      <c r="DM131" s="165">
        <f>IFERROR(INDEX(DF$106:DF$154,_xlfn.AGGREGATE(15,6,(ROW(DF$106:DF$154)-ROW(DF$106)+1)/(DF$106:DF$154&lt;&gt;""),ROWS(DM$1:DM26))),"")</f>
        <v>650.29753350463602</v>
      </c>
      <c r="DN131" s="166">
        <f t="shared" si="48"/>
        <v>131</v>
      </c>
      <c r="DO131" s="164">
        <f>IFERROR(INDEX(DG$106:DG$154,_xlfn.AGGREGATE(15,6,(ROW(DG$106:DG$154)-ROW(DG$106)+1)/(DG$106:DG$154&lt;&gt;""),ROWS(DO$1:DO26))),"")</f>
        <v>23</v>
      </c>
      <c r="DP131" s="165">
        <f>IFERROR(INDEX(DH$106:DH$154,_xlfn.AGGREGATE(15,6,(ROW(DH$106:DH$154)-ROW(DH$106)+1)/(DH$106:DH$154&lt;&gt;""),ROWS(DP$1:DP26))),"")</f>
        <v>722.46820696422981</v>
      </c>
      <c r="DQ131" s="166">
        <f t="shared" si="49"/>
        <v>131</v>
      </c>
      <c r="DV131" s="145">
        <v>2040</v>
      </c>
      <c r="DW131" s="235">
        <f t="shared" ca="1" si="34"/>
        <v>660.62534795329361</v>
      </c>
    </row>
    <row r="132" spans="2:135" ht="13.8" x14ac:dyDescent="0.45">
      <c r="B132" s="128">
        <v>2038</v>
      </c>
      <c r="C132" s="1023">
        <v>655.50844748858447</v>
      </c>
      <c r="D132" s="1024">
        <v>741.10538222765774</v>
      </c>
      <c r="E132" s="1025"/>
      <c r="F132" s="894"/>
      <c r="G132" s="159"/>
      <c r="H132" s="204"/>
      <c r="I132" s="1112">
        <v>563.13529411764716</v>
      </c>
      <c r="J132" s="207"/>
      <c r="K132" s="204"/>
      <c r="L132" s="206"/>
      <c r="M132" s="204"/>
      <c r="N132" s="29" t="s">
        <v>119</v>
      </c>
      <c r="O132" s="120"/>
      <c r="P132" s="120"/>
      <c r="Q132" s="120"/>
      <c r="R132" s="29">
        <v>24</v>
      </c>
      <c r="S132" s="154">
        <f t="shared" si="35"/>
        <v>563.13529411764716</v>
      </c>
      <c r="T132" s="154">
        <f t="shared" si="36"/>
        <v>741.10538222765774</v>
      </c>
      <c r="U132" s="154">
        <f t="shared" si="37"/>
        <v>72.673537108160929</v>
      </c>
      <c r="W132" s="154">
        <f t="shared" si="38"/>
        <v>580.57617083646892</v>
      </c>
      <c r="X132" s="154">
        <f t="shared" si="39"/>
        <v>653.24970794462979</v>
      </c>
      <c r="Y132" s="154">
        <f t="shared" si="40"/>
        <v>725.92324505279066</v>
      </c>
      <c r="AA132" s="1133">
        <v>655.50844748858447</v>
      </c>
      <c r="AB132" s="1133">
        <v>698.3069148581211</v>
      </c>
      <c r="AC132" s="1133">
        <v>741.10538222765774</v>
      </c>
      <c r="AD132" s="89"/>
      <c r="AE132" s="89"/>
      <c r="AF132" s="89"/>
      <c r="AG132" s="89"/>
      <c r="AH132" s="89"/>
      <c r="AI132" s="89"/>
      <c r="AJ132" s="89"/>
      <c r="AK132" s="89"/>
      <c r="AL132" s="89"/>
      <c r="AM132" s="89"/>
      <c r="AN132" s="89"/>
      <c r="BR132" s="180">
        <v>2036</v>
      </c>
      <c r="BS132" s="22">
        <v>22</v>
      </c>
      <c r="BT132" s="181">
        <f t="shared" si="51"/>
        <v>74.550354809987397</v>
      </c>
      <c r="BU132" s="182">
        <f t="shared" si="52"/>
        <v>564.82896786797232</v>
      </c>
      <c r="BV132" s="205">
        <f t="shared" si="53"/>
        <v>639.37932267795975</v>
      </c>
      <c r="BY132" s="180">
        <v>2036</v>
      </c>
      <c r="BZ132" s="22">
        <v>22</v>
      </c>
      <c r="CA132" s="198">
        <f t="shared" ca="1" si="54"/>
        <v>-29.310224366354738</v>
      </c>
      <c r="CB132" s="198">
        <f t="shared" ca="1" si="55"/>
        <v>133.17080354269689</v>
      </c>
      <c r="CC132" s="186">
        <f t="shared" ca="1" si="66"/>
        <v>547.6304064629212</v>
      </c>
      <c r="CD132" s="205">
        <f t="shared" ca="1" si="56"/>
        <v>651.49098563926339</v>
      </c>
      <c r="CG132" s="180">
        <v>2036</v>
      </c>
      <c r="CH132" s="22">
        <v>22</v>
      </c>
      <c r="CI132" s="198">
        <f t="shared" ca="1" si="57"/>
        <v>26.723093379424068</v>
      </c>
      <c r="CJ132" s="198">
        <f t="shared" ca="1" si="58"/>
        <v>-109.47950450462697</v>
      </c>
      <c r="CK132" s="198">
        <f t="shared" ca="1" si="59"/>
        <v>193.47444525552126</v>
      </c>
      <c r="CL132" s="186">
        <f t="shared" ca="1" si="60"/>
        <v>540.77295150894497</v>
      </c>
      <c r="CM132" s="205">
        <f t="shared" ca="1" si="61"/>
        <v>651.49098563926327</v>
      </c>
      <c r="CP132" s="180">
        <v>2036</v>
      </c>
      <c r="CQ132" s="22">
        <v>22</v>
      </c>
      <c r="CR132" s="198">
        <f t="shared" ca="1" si="62"/>
        <v>565.62380568274648</v>
      </c>
      <c r="CS132" s="186">
        <f t="shared" ca="1" si="63"/>
        <v>1.1267787472966746</v>
      </c>
      <c r="CT132" s="205">
        <f t="shared" ca="1" si="64"/>
        <v>637.33288320838278</v>
      </c>
      <c r="CZ132" s="164" t="b">
        <f t="shared" si="41"/>
        <v>1</v>
      </c>
      <c r="DA132" s="165" t="b">
        <f t="shared" si="41"/>
        <v>1</v>
      </c>
      <c r="DB132" s="166" t="b">
        <f t="shared" si="41"/>
        <v>1</v>
      </c>
      <c r="DC132" s="164">
        <f t="shared" si="50"/>
        <v>24</v>
      </c>
      <c r="DD132" s="166">
        <f t="shared" si="42"/>
        <v>580.57617083646892</v>
      </c>
      <c r="DE132" s="164">
        <f t="shared" si="43"/>
        <v>24</v>
      </c>
      <c r="DF132" s="166">
        <f t="shared" si="44"/>
        <v>653.24970794462979</v>
      </c>
      <c r="DG132" s="164">
        <f t="shared" si="45"/>
        <v>24</v>
      </c>
      <c r="DH132" s="166">
        <f t="shared" si="46"/>
        <v>725.92324505279066</v>
      </c>
      <c r="DI132" s="164">
        <f>IFERROR(INDEX(DC$106:DC$154,_xlfn.AGGREGATE(15,6,(ROW(DC$106:DC$154)-ROW(DC$106)+1)/(DC$106:DC$154&lt;&gt;""),ROWS(DI$1:DI27))),"")</f>
        <v>24</v>
      </c>
      <c r="DJ132" s="165">
        <f>IFERROR(INDEX(DD$106:DD$154,_xlfn.AGGREGATE(15,6,(ROW(DD$106:DD$154)-ROW(DD$106)+1)/(DD$106:DD$154&lt;&gt;""),ROWS(DJ$1:DJ27))),"")</f>
        <v>580.57617083646892</v>
      </c>
      <c r="DK132" s="166">
        <f t="shared" si="47"/>
        <v>132</v>
      </c>
      <c r="DL132" s="164">
        <f>IFERROR(INDEX(DE$106:DE$154,_xlfn.AGGREGATE(15,6,(ROW(DE$106:DE$154)-ROW(DE$106)+1)/(DE$106:DE$154&lt;&gt;""),ROWS(DL$1:DL27))),"")</f>
        <v>24</v>
      </c>
      <c r="DM132" s="165">
        <f>IFERROR(INDEX(DF$106:DF$154,_xlfn.AGGREGATE(15,6,(ROW(DF$106:DF$154)-ROW(DF$106)+1)/(DF$106:DF$154&lt;&gt;""),ROWS(DM$1:DM27))),"")</f>
        <v>653.24970794462979</v>
      </c>
      <c r="DN132" s="166">
        <f t="shared" si="48"/>
        <v>132</v>
      </c>
      <c r="DO132" s="164">
        <f>IFERROR(INDEX(DG$106:DG$154,_xlfn.AGGREGATE(15,6,(ROW(DG$106:DG$154)-ROW(DG$106)+1)/(DG$106:DG$154&lt;&gt;""),ROWS(DO$1:DO27))),"")</f>
        <v>24</v>
      </c>
      <c r="DP132" s="165">
        <f>IFERROR(INDEX(DH$106:DH$154,_xlfn.AGGREGATE(15,6,(ROW(DH$106:DH$154)-ROW(DH$106)+1)/(DH$106:DH$154&lt;&gt;""),ROWS(DP$1:DP27))),"")</f>
        <v>725.92324505279066</v>
      </c>
      <c r="DQ132" s="166">
        <f t="shared" si="49"/>
        <v>132</v>
      </c>
      <c r="DV132" s="145">
        <v>2041</v>
      </c>
      <c r="DW132" s="235">
        <f t="shared" ca="1" si="34"/>
        <v>662.71908264541639</v>
      </c>
    </row>
    <row r="133" spans="2:135" ht="13.8" x14ac:dyDescent="0.45">
      <c r="B133" s="128">
        <v>2039</v>
      </c>
      <c r="C133" s="1023">
        <v>660.68207762557074</v>
      </c>
      <c r="D133" s="1024">
        <v>743.47391388667688</v>
      </c>
      <c r="E133" s="1025"/>
      <c r="F133" s="894"/>
      <c r="G133" s="159"/>
      <c r="H133" s="204"/>
      <c r="I133" s="1112">
        <v>564.38235294117658</v>
      </c>
      <c r="J133" s="207"/>
      <c r="K133" s="204"/>
      <c r="L133" s="206"/>
      <c r="M133" s="204"/>
      <c r="N133" s="29" t="s">
        <v>119</v>
      </c>
      <c r="O133" s="120"/>
      <c r="P133" s="120"/>
      <c r="Q133" s="120"/>
      <c r="R133" s="29">
        <v>25</v>
      </c>
      <c r="S133" s="154">
        <f t="shared" si="35"/>
        <v>564.38235294117658</v>
      </c>
      <c r="T133" s="154">
        <f t="shared" si="36"/>
        <v>743.47391388667688</v>
      </c>
      <c r="U133" s="154">
        <f t="shared" si="37"/>
        <v>73.183113054911701</v>
      </c>
      <c r="W133" s="154">
        <f t="shared" si="38"/>
        <v>582.9963350962297</v>
      </c>
      <c r="X133" s="154">
        <f t="shared" si="39"/>
        <v>656.1794481511414</v>
      </c>
      <c r="Y133" s="154">
        <f t="shared" si="40"/>
        <v>729.3625612060531</v>
      </c>
      <c r="AA133" s="1133">
        <v>660.68207762557063</v>
      </c>
      <c r="AB133" s="1133">
        <v>702.07799575612376</v>
      </c>
      <c r="AC133" s="1133">
        <v>743.47391388667688</v>
      </c>
      <c r="AD133" s="89"/>
      <c r="AE133" s="89"/>
      <c r="AF133" s="89"/>
      <c r="AG133" s="89"/>
      <c r="AH133" s="89"/>
      <c r="AI133" s="89"/>
      <c r="AJ133" s="89"/>
      <c r="AK133" s="89"/>
      <c r="AL133" s="89"/>
      <c r="AM133" s="89"/>
      <c r="AN133" s="89"/>
      <c r="BR133" s="180">
        <v>2037</v>
      </c>
      <c r="BS133" s="22">
        <v>23</v>
      </c>
      <c r="BT133" s="181">
        <f t="shared" si="51"/>
        <v>77.939007301350458</v>
      </c>
      <c r="BU133" s="182">
        <f t="shared" si="52"/>
        <v>564.82896786797232</v>
      </c>
      <c r="BV133" s="205">
        <f t="shared" si="53"/>
        <v>642.76797516932277</v>
      </c>
      <c r="BY133" s="180">
        <v>2037</v>
      </c>
      <c r="BZ133" s="22">
        <v>23</v>
      </c>
      <c r="CA133" s="198">
        <f t="shared" ca="1" si="54"/>
        <v>-32.035348532648051</v>
      </c>
      <c r="CB133" s="198">
        <f t="shared" ca="1" si="55"/>
        <v>139.22402188554673</v>
      </c>
      <c r="CC133" s="186">
        <f t="shared" ca="1" si="66"/>
        <v>547.6304064629212</v>
      </c>
      <c r="CD133" s="205">
        <f t="shared" ca="1" si="56"/>
        <v>654.81907981581992</v>
      </c>
      <c r="CG133" s="180">
        <v>2037</v>
      </c>
      <c r="CH133" s="22">
        <v>23</v>
      </c>
      <c r="CI133" s="198">
        <f t="shared" ca="1" si="57"/>
        <v>30.535300258025227</v>
      </c>
      <c r="CJ133" s="198">
        <f t="shared" ca="1" si="58"/>
        <v>-119.658384055677</v>
      </c>
      <c r="CK133" s="198">
        <f t="shared" ca="1" si="59"/>
        <v>202.2687382216813</v>
      </c>
      <c r="CL133" s="186">
        <f t="shared" ca="1" si="60"/>
        <v>540.77295150894497</v>
      </c>
      <c r="CM133" s="205">
        <f t="shared" ca="1" si="61"/>
        <v>653.91860593297451</v>
      </c>
      <c r="CP133" s="180">
        <v>2037</v>
      </c>
      <c r="CQ133" s="22">
        <v>23</v>
      </c>
      <c r="CR133" s="198">
        <f t="shared" ca="1" si="62"/>
        <v>565.62380568274648</v>
      </c>
      <c r="CS133" s="186">
        <f t="shared" ca="1" si="63"/>
        <v>1.1329087970029945</v>
      </c>
      <c r="CT133" s="205">
        <f t="shared" ca="1" si="64"/>
        <v>640.80018525229582</v>
      </c>
      <c r="CZ133" s="164" t="b">
        <f t="shared" si="41"/>
        <v>1</v>
      </c>
      <c r="DA133" s="165" t="b">
        <f t="shared" si="41"/>
        <v>1</v>
      </c>
      <c r="DB133" s="166" t="b">
        <f t="shared" si="41"/>
        <v>1</v>
      </c>
      <c r="DC133" s="164">
        <f t="shared" si="50"/>
        <v>25</v>
      </c>
      <c r="DD133" s="166">
        <f t="shared" si="42"/>
        <v>582.9963350962297</v>
      </c>
      <c r="DE133" s="164">
        <f t="shared" si="43"/>
        <v>25</v>
      </c>
      <c r="DF133" s="166">
        <f t="shared" si="44"/>
        <v>656.1794481511414</v>
      </c>
      <c r="DG133" s="164">
        <f t="shared" si="45"/>
        <v>25</v>
      </c>
      <c r="DH133" s="166">
        <f t="shared" si="46"/>
        <v>729.3625612060531</v>
      </c>
      <c r="DI133" s="164">
        <f>IFERROR(INDEX(DC$106:DC$154,_xlfn.AGGREGATE(15,6,(ROW(DC$106:DC$154)-ROW(DC$106)+1)/(DC$106:DC$154&lt;&gt;""),ROWS(DI$1:DI28))),"")</f>
        <v>25</v>
      </c>
      <c r="DJ133" s="165">
        <f>IFERROR(INDEX(DD$106:DD$154,_xlfn.AGGREGATE(15,6,(ROW(DD$106:DD$154)-ROW(DD$106)+1)/(DD$106:DD$154&lt;&gt;""),ROWS(DJ$1:DJ28))),"")</f>
        <v>582.9963350962297</v>
      </c>
      <c r="DK133" s="166">
        <f t="shared" si="47"/>
        <v>133</v>
      </c>
      <c r="DL133" s="164">
        <f>IFERROR(INDEX(DE$106:DE$154,_xlfn.AGGREGATE(15,6,(ROW(DE$106:DE$154)-ROW(DE$106)+1)/(DE$106:DE$154&lt;&gt;""),ROWS(DL$1:DL28))),"")</f>
        <v>25</v>
      </c>
      <c r="DM133" s="165">
        <f>IFERROR(INDEX(DF$106:DF$154,_xlfn.AGGREGATE(15,6,(ROW(DF$106:DF$154)-ROW(DF$106)+1)/(DF$106:DF$154&lt;&gt;""),ROWS(DM$1:DM28))),"")</f>
        <v>656.1794481511414</v>
      </c>
      <c r="DN133" s="166">
        <f t="shared" si="48"/>
        <v>133</v>
      </c>
      <c r="DO133" s="164">
        <f>IFERROR(INDEX(DG$106:DG$154,_xlfn.AGGREGATE(15,6,(ROW(DG$106:DG$154)-ROW(DG$106)+1)/(DG$106:DG$154&lt;&gt;""),ROWS(DO$1:DO28))),"")</f>
        <v>25</v>
      </c>
      <c r="DP133" s="165">
        <f>IFERROR(INDEX(DH$106:DH$154,_xlfn.AGGREGATE(15,6,(ROW(DH$106:DH$154)-ROW(DH$106)+1)/(DH$106:DH$154&lt;&gt;""),ROWS(DP$1:DP28))),"")</f>
        <v>729.3625612060531</v>
      </c>
      <c r="DQ133" s="166">
        <f t="shared" si="49"/>
        <v>133</v>
      </c>
      <c r="DV133" s="145">
        <v>2042</v>
      </c>
      <c r="DW133" s="235">
        <f t="shared" ca="1" si="34"/>
        <v>664.76699116635814</v>
      </c>
    </row>
    <row r="134" spans="2:135" ht="13.8" x14ac:dyDescent="0.45">
      <c r="B134" s="128">
        <v>2040</v>
      </c>
      <c r="C134" s="1023">
        <v>665.85570776255702</v>
      </c>
      <c r="D134" s="1024">
        <v>745.51159458121913</v>
      </c>
      <c r="E134" s="1025"/>
      <c r="F134" s="894"/>
      <c r="G134" s="159"/>
      <c r="H134" s="204"/>
      <c r="I134" s="1112">
        <v>565.62941176470599</v>
      </c>
      <c r="J134" s="207"/>
      <c r="K134" s="204"/>
      <c r="L134" s="206"/>
      <c r="M134" s="204"/>
      <c r="N134" s="29" t="s">
        <v>119</v>
      </c>
      <c r="O134" s="120"/>
      <c r="P134" s="120"/>
      <c r="Q134" s="120"/>
      <c r="R134" s="29">
        <v>26</v>
      </c>
      <c r="S134" s="154">
        <f t="shared" si="35"/>
        <v>565.62941176470599</v>
      </c>
      <c r="T134" s="154">
        <f t="shared" si="36"/>
        <v>745.51159458121913</v>
      </c>
      <c r="U134" s="154">
        <f t="shared" si="37"/>
        <v>73.596475164046709</v>
      </c>
      <c r="W134" s="154">
        <f t="shared" si="38"/>
        <v>585.40242953878067</v>
      </c>
      <c r="X134" s="154">
        <f t="shared" si="39"/>
        <v>658.99890470282742</v>
      </c>
      <c r="Y134" s="154">
        <f t="shared" si="40"/>
        <v>732.59537986687417</v>
      </c>
      <c r="AA134" s="1133">
        <v>665.85570776255702</v>
      </c>
      <c r="AB134" s="1133">
        <v>705.68365117188807</v>
      </c>
      <c r="AC134" s="1133">
        <v>745.51159458121913</v>
      </c>
      <c r="AD134" s="89"/>
      <c r="AE134" s="89"/>
      <c r="AF134" s="89"/>
      <c r="AG134" s="89"/>
      <c r="AH134" s="89"/>
      <c r="AI134" s="89"/>
      <c r="AJ134" s="89"/>
      <c r="AK134" s="89"/>
      <c r="AL134" s="89"/>
      <c r="AM134" s="89"/>
      <c r="AN134" s="89"/>
      <c r="BR134" s="180">
        <v>2038</v>
      </c>
      <c r="BS134" s="22">
        <v>24</v>
      </c>
      <c r="BT134" s="181">
        <f t="shared" si="51"/>
        <v>81.327659792713519</v>
      </c>
      <c r="BU134" s="182">
        <f t="shared" si="52"/>
        <v>564.82896786797232</v>
      </c>
      <c r="BV134" s="205">
        <f t="shared" si="53"/>
        <v>646.1566276606859</v>
      </c>
      <c r="BY134" s="180">
        <v>2038</v>
      </c>
      <c r="BZ134" s="22">
        <v>24</v>
      </c>
      <c r="CA134" s="198">
        <f t="shared" ca="1" si="54"/>
        <v>-34.881589328554398</v>
      </c>
      <c r="CB134" s="198">
        <f t="shared" ca="1" si="55"/>
        <v>145.27724022839658</v>
      </c>
      <c r="CC134" s="186">
        <f t="shared" ca="1" si="66"/>
        <v>547.6304064629212</v>
      </c>
      <c r="CD134" s="205">
        <f t="shared" ca="1" si="56"/>
        <v>658.02605736276337</v>
      </c>
      <c r="CG134" s="180">
        <v>2038</v>
      </c>
      <c r="CH134" s="22">
        <v>24</v>
      </c>
      <c r="CI134" s="198">
        <f t="shared" ca="1" si="57"/>
        <v>34.693843245413063</v>
      </c>
      <c r="CJ134" s="198">
        <f t="shared" ca="1" si="58"/>
        <v>-130.28965825344036</v>
      </c>
      <c r="CK134" s="198">
        <f t="shared" ca="1" si="59"/>
        <v>211.06303118784137</v>
      </c>
      <c r="CL134" s="186">
        <f t="shared" ca="1" si="60"/>
        <v>540.77295150894497</v>
      </c>
      <c r="CM134" s="205">
        <f t="shared" ca="1" si="61"/>
        <v>656.24016768875902</v>
      </c>
      <c r="CP134" s="180">
        <v>2038</v>
      </c>
      <c r="CQ134" s="22">
        <v>24</v>
      </c>
      <c r="CR134" s="198">
        <f t="shared" ca="1" si="62"/>
        <v>565.62380568274648</v>
      </c>
      <c r="CS134" s="186">
        <f t="shared" ca="1" si="63"/>
        <v>1.1390721962107071</v>
      </c>
      <c r="CT134" s="205">
        <f t="shared" ca="1" si="64"/>
        <v>644.28635056810424</v>
      </c>
      <c r="CZ134" s="164" t="b">
        <f t="shared" si="41"/>
        <v>1</v>
      </c>
      <c r="DA134" s="165" t="b">
        <f t="shared" si="41"/>
        <v>1</v>
      </c>
      <c r="DB134" s="166" t="b">
        <f t="shared" si="41"/>
        <v>1</v>
      </c>
      <c r="DC134" s="164">
        <f t="shared" si="50"/>
        <v>26</v>
      </c>
      <c r="DD134" s="166">
        <f t="shared" si="42"/>
        <v>585.40242953878067</v>
      </c>
      <c r="DE134" s="164">
        <f t="shared" si="43"/>
        <v>26</v>
      </c>
      <c r="DF134" s="166">
        <f t="shared" si="44"/>
        <v>658.99890470282742</v>
      </c>
      <c r="DG134" s="164">
        <f t="shared" si="45"/>
        <v>26</v>
      </c>
      <c r="DH134" s="166">
        <f t="shared" si="46"/>
        <v>732.59537986687417</v>
      </c>
      <c r="DI134" s="164">
        <f>IFERROR(INDEX(DC$106:DC$154,_xlfn.AGGREGATE(15,6,(ROW(DC$106:DC$154)-ROW(DC$106)+1)/(DC$106:DC$154&lt;&gt;""),ROWS(DI$1:DI29))),"")</f>
        <v>26</v>
      </c>
      <c r="DJ134" s="165">
        <f>IFERROR(INDEX(DD$106:DD$154,_xlfn.AGGREGATE(15,6,(ROW(DD$106:DD$154)-ROW(DD$106)+1)/(DD$106:DD$154&lt;&gt;""),ROWS(DJ$1:DJ29))),"")</f>
        <v>585.40242953878067</v>
      </c>
      <c r="DK134" s="166">
        <f t="shared" si="47"/>
        <v>134</v>
      </c>
      <c r="DL134" s="164">
        <f>IFERROR(INDEX(DE$106:DE$154,_xlfn.AGGREGATE(15,6,(ROW(DE$106:DE$154)-ROW(DE$106)+1)/(DE$106:DE$154&lt;&gt;""),ROWS(DL$1:DL29))),"")</f>
        <v>26</v>
      </c>
      <c r="DM134" s="165">
        <f>IFERROR(INDEX(DF$106:DF$154,_xlfn.AGGREGATE(15,6,(ROW(DF$106:DF$154)-ROW(DF$106)+1)/(DF$106:DF$154&lt;&gt;""),ROWS(DM$1:DM29))),"")</f>
        <v>658.99890470282742</v>
      </c>
      <c r="DN134" s="166">
        <f t="shared" si="48"/>
        <v>134</v>
      </c>
      <c r="DO134" s="164">
        <f>IFERROR(INDEX(DG$106:DG$154,_xlfn.AGGREGATE(15,6,(ROW(DG$106:DG$154)-ROW(DG$106)+1)/(DG$106:DG$154&lt;&gt;""),ROWS(DO$1:DO29))),"")</f>
        <v>26</v>
      </c>
      <c r="DP134" s="165">
        <f>IFERROR(INDEX(DH$106:DH$154,_xlfn.AGGREGATE(15,6,(ROW(DH$106:DH$154)-ROW(DH$106)+1)/(DH$106:DH$154&lt;&gt;""),ROWS(DP$1:DP29))),"")</f>
        <v>732.59537986687417</v>
      </c>
      <c r="DQ134" s="166">
        <f t="shared" si="49"/>
        <v>134</v>
      </c>
      <c r="DV134" s="145">
        <v>2043</v>
      </c>
      <c r="DW134" s="235">
        <f t="shared" ca="1" si="34"/>
        <v>666.78413160780497</v>
      </c>
      <c r="EA134" s="55"/>
      <c r="EB134" s="55"/>
      <c r="EC134" s="55"/>
      <c r="ED134" s="55"/>
      <c r="EE134" s="55"/>
    </row>
    <row r="135" spans="2:135" ht="13.8" x14ac:dyDescent="0.45">
      <c r="B135" s="128">
        <v>2041</v>
      </c>
      <c r="C135" s="1023">
        <v>671.02933789954341</v>
      </c>
      <c r="D135" s="1024">
        <v>747.99540328884825</v>
      </c>
      <c r="E135" s="1025"/>
      <c r="F135" s="894"/>
      <c r="G135" s="159"/>
      <c r="H135" s="204"/>
      <c r="I135" s="1112">
        <v>566.87647058823541</v>
      </c>
      <c r="J135" s="207"/>
      <c r="K135" s="204"/>
      <c r="L135" s="206"/>
      <c r="M135" s="204"/>
      <c r="N135" s="29" t="s">
        <v>119</v>
      </c>
      <c r="O135" s="120"/>
      <c r="P135" s="120"/>
      <c r="Q135" s="120"/>
      <c r="R135" s="29">
        <v>27</v>
      </c>
      <c r="S135" s="154">
        <f t="shared" si="35"/>
        <v>566.87647058823541</v>
      </c>
      <c r="T135" s="154">
        <f t="shared" si="36"/>
        <v>747.99540328884825</v>
      </c>
      <c r="U135" s="154">
        <f t="shared" si="37"/>
        <v>74.218643040745889</v>
      </c>
      <c r="W135" s="154">
        <f t="shared" si="38"/>
        <v>587.74842755146312</v>
      </c>
      <c r="X135" s="154">
        <f t="shared" si="39"/>
        <v>661.96707059220898</v>
      </c>
      <c r="Y135" s="154">
        <f t="shared" si="40"/>
        <v>736.18571363295484</v>
      </c>
      <c r="AA135" s="1133">
        <v>671.02933789954341</v>
      </c>
      <c r="AB135" s="1133">
        <v>709.51237059419577</v>
      </c>
      <c r="AC135" s="1133">
        <v>747.99540328884814</v>
      </c>
      <c r="AD135" s="89"/>
      <c r="AE135" s="89"/>
      <c r="AF135" s="89"/>
      <c r="AG135" s="89"/>
      <c r="AH135" s="89"/>
      <c r="AI135" s="89"/>
      <c r="AJ135" s="89"/>
      <c r="AK135" s="89"/>
      <c r="AL135" s="89"/>
      <c r="AM135" s="89"/>
      <c r="AN135" s="89"/>
      <c r="BR135" s="180">
        <v>2039</v>
      </c>
      <c r="BS135" s="22">
        <v>25</v>
      </c>
      <c r="BT135" s="181">
        <f t="shared" si="51"/>
        <v>84.716312284076594</v>
      </c>
      <c r="BU135" s="182">
        <f t="shared" si="52"/>
        <v>564.82896786797232</v>
      </c>
      <c r="BV135" s="205">
        <f t="shared" si="53"/>
        <v>649.54528015204892</v>
      </c>
      <c r="BY135" s="180">
        <v>2039</v>
      </c>
      <c r="BZ135" s="22">
        <v>25</v>
      </c>
      <c r="CA135" s="198">
        <f t="shared" ca="1" si="54"/>
        <v>-37.848946754073786</v>
      </c>
      <c r="CB135" s="198">
        <f t="shared" ca="1" si="55"/>
        <v>151.33045857124645</v>
      </c>
      <c r="CC135" s="186">
        <f t="shared" ca="1" si="66"/>
        <v>547.6304064629212</v>
      </c>
      <c r="CD135" s="205">
        <f t="shared" ca="1" si="56"/>
        <v>661.11191828009385</v>
      </c>
      <c r="CG135" s="180">
        <v>2039</v>
      </c>
      <c r="CH135" s="22">
        <v>25</v>
      </c>
      <c r="CI135" s="198">
        <f t="shared" ca="1" si="57"/>
        <v>39.213780433273953</v>
      </c>
      <c r="CJ135" s="198">
        <f t="shared" ca="1" si="58"/>
        <v>-141.37332709791707</v>
      </c>
      <c r="CK135" s="198">
        <f t="shared" ca="1" si="59"/>
        <v>219.85732415400145</v>
      </c>
      <c r="CL135" s="186">
        <f t="shared" ca="1" si="60"/>
        <v>540.77295150894497</v>
      </c>
      <c r="CM135" s="205">
        <f t="shared" ca="1" si="61"/>
        <v>658.47072899830334</v>
      </c>
      <c r="CP135" s="180">
        <v>2039</v>
      </c>
      <c r="CQ135" s="22">
        <v>25</v>
      </c>
      <c r="CR135" s="198">
        <f t="shared" ca="1" si="62"/>
        <v>565.62380568274648</v>
      </c>
      <c r="CS135" s="186">
        <f t="shared" ca="1" si="63"/>
        <v>1.1452691263521488</v>
      </c>
      <c r="CT135" s="205">
        <f t="shared" ca="1" si="64"/>
        <v>647.79148177825664</v>
      </c>
      <c r="CZ135" s="164" t="b">
        <f t="shared" si="41"/>
        <v>1</v>
      </c>
      <c r="DA135" s="165" t="b">
        <f t="shared" si="41"/>
        <v>1</v>
      </c>
      <c r="DB135" s="166" t="b">
        <f t="shared" si="41"/>
        <v>1</v>
      </c>
      <c r="DC135" s="164">
        <f t="shared" si="50"/>
        <v>27</v>
      </c>
      <c r="DD135" s="166">
        <f t="shared" si="42"/>
        <v>587.74842755146312</v>
      </c>
      <c r="DE135" s="164">
        <f t="shared" si="43"/>
        <v>27</v>
      </c>
      <c r="DF135" s="166">
        <f t="shared" si="44"/>
        <v>661.96707059220898</v>
      </c>
      <c r="DG135" s="164">
        <f t="shared" si="45"/>
        <v>27</v>
      </c>
      <c r="DH135" s="166">
        <f t="shared" si="46"/>
        <v>736.18571363295484</v>
      </c>
      <c r="DI135" s="164">
        <f>IFERROR(INDEX(DC$106:DC$154,_xlfn.AGGREGATE(15,6,(ROW(DC$106:DC$154)-ROW(DC$106)+1)/(DC$106:DC$154&lt;&gt;""),ROWS(DI$1:DI30))),"")</f>
        <v>27</v>
      </c>
      <c r="DJ135" s="165">
        <f>IFERROR(INDEX(DD$106:DD$154,_xlfn.AGGREGATE(15,6,(ROW(DD$106:DD$154)-ROW(DD$106)+1)/(DD$106:DD$154&lt;&gt;""),ROWS(DJ$1:DJ30))),"")</f>
        <v>587.74842755146312</v>
      </c>
      <c r="DK135" s="166">
        <f t="shared" si="47"/>
        <v>135</v>
      </c>
      <c r="DL135" s="164">
        <f>IFERROR(INDEX(DE$106:DE$154,_xlfn.AGGREGATE(15,6,(ROW(DE$106:DE$154)-ROW(DE$106)+1)/(DE$106:DE$154&lt;&gt;""),ROWS(DL$1:DL30))),"")</f>
        <v>27</v>
      </c>
      <c r="DM135" s="165">
        <f>IFERROR(INDEX(DF$106:DF$154,_xlfn.AGGREGATE(15,6,(ROW(DF$106:DF$154)-ROW(DF$106)+1)/(DF$106:DF$154&lt;&gt;""),ROWS(DM$1:DM30))),"")</f>
        <v>661.96707059220898</v>
      </c>
      <c r="DN135" s="166">
        <f t="shared" si="48"/>
        <v>135</v>
      </c>
      <c r="DO135" s="164">
        <f>IFERROR(INDEX(DG$106:DG$154,_xlfn.AGGREGATE(15,6,(ROW(DG$106:DG$154)-ROW(DG$106)+1)/(DG$106:DG$154&lt;&gt;""),ROWS(DO$1:DO30))),"")</f>
        <v>27</v>
      </c>
      <c r="DP135" s="165">
        <f>IFERROR(INDEX(DH$106:DH$154,_xlfn.AGGREGATE(15,6,(ROW(DH$106:DH$154)-ROW(DH$106)+1)/(DH$106:DH$154&lt;&gt;""),ROWS(DP$1:DP30))),"")</f>
        <v>736.18571363295484</v>
      </c>
      <c r="DQ135" s="166">
        <f t="shared" si="49"/>
        <v>135</v>
      </c>
      <c r="DV135" s="145">
        <v>2044</v>
      </c>
      <c r="DW135" s="235">
        <f t="shared" ca="1" si="34"/>
        <v>668.78556206144344</v>
      </c>
      <c r="EA135" s="55"/>
      <c r="EB135" s="55"/>
      <c r="EC135" s="55"/>
      <c r="ED135" s="55"/>
      <c r="EE135" s="55"/>
    </row>
    <row r="136" spans="2:135" ht="13.8" x14ac:dyDescent="0.45">
      <c r="B136" s="128">
        <v>2042</v>
      </c>
      <c r="C136" s="1023">
        <v>676.20296803652968</v>
      </c>
      <c r="D136" s="1024">
        <v>749.79368295356608</v>
      </c>
      <c r="E136" s="1025"/>
      <c r="F136" s="894"/>
      <c r="G136" s="159"/>
      <c r="H136" s="204"/>
      <c r="I136" s="1112">
        <v>568.12352941176482</v>
      </c>
      <c r="J136" s="207"/>
      <c r="K136" s="204"/>
      <c r="L136" s="206"/>
      <c r="M136" s="204"/>
      <c r="N136" s="29" t="s">
        <v>119</v>
      </c>
      <c r="O136" s="120"/>
      <c r="P136" s="120"/>
      <c r="Q136" s="120"/>
      <c r="R136" s="29">
        <v>28</v>
      </c>
      <c r="S136" s="154">
        <f t="shared" si="35"/>
        <v>568.12352941176482</v>
      </c>
      <c r="T136" s="154">
        <f t="shared" si="36"/>
        <v>749.79368295356608</v>
      </c>
      <c r="U136" s="154">
        <f t="shared" si="37"/>
        <v>74.610695586674041</v>
      </c>
      <c r="W136" s="154">
        <f t="shared" si="38"/>
        <v>590.09603121394616</v>
      </c>
      <c r="X136" s="154">
        <f t="shared" si="39"/>
        <v>664.70672680062023</v>
      </c>
      <c r="Y136" s="154">
        <f t="shared" si="40"/>
        <v>739.3174223872943</v>
      </c>
      <c r="AA136" s="1133">
        <v>676.20296803652968</v>
      </c>
      <c r="AB136" s="1133">
        <v>712.99832549504788</v>
      </c>
      <c r="AC136" s="1133">
        <v>749.79368295356608</v>
      </c>
      <c r="AD136" s="89"/>
      <c r="AE136" s="89"/>
      <c r="AF136" s="89"/>
      <c r="AG136" s="89"/>
      <c r="AH136" s="89"/>
      <c r="AI136" s="89"/>
      <c r="AJ136" s="89"/>
      <c r="AK136" s="89"/>
      <c r="AL136" s="89"/>
      <c r="AM136" s="89"/>
      <c r="AN136" s="89"/>
      <c r="BR136" s="180">
        <v>2040</v>
      </c>
      <c r="BS136" s="22">
        <v>26</v>
      </c>
      <c r="BT136" s="181">
        <f t="shared" si="51"/>
        <v>88.104964775439655</v>
      </c>
      <c r="BU136" s="182">
        <f t="shared" si="52"/>
        <v>564.82896786797232</v>
      </c>
      <c r="BV136" s="205">
        <f t="shared" si="53"/>
        <v>652.93393264341194</v>
      </c>
      <c r="BY136" s="180">
        <v>2040</v>
      </c>
      <c r="BZ136" s="22">
        <v>26</v>
      </c>
      <c r="CA136" s="198">
        <f t="shared" ca="1" si="54"/>
        <v>-40.937420809206209</v>
      </c>
      <c r="CB136" s="198">
        <f t="shared" ca="1" si="55"/>
        <v>157.3836769140963</v>
      </c>
      <c r="CC136" s="186">
        <f t="shared" ca="1" si="66"/>
        <v>547.6304064629212</v>
      </c>
      <c r="CD136" s="205">
        <f t="shared" ca="1" si="56"/>
        <v>664.07666256781135</v>
      </c>
      <c r="CG136" s="180">
        <v>2040</v>
      </c>
      <c r="CH136" s="22">
        <v>26</v>
      </c>
      <c r="CI136" s="198">
        <f t="shared" ca="1" si="57"/>
        <v>44.110169913294271</v>
      </c>
      <c r="CJ136" s="198">
        <f t="shared" ca="1" si="58"/>
        <v>-152.90939058910709</v>
      </c>
      <c r="CK136" s="198">
        <f t="shared" ca="1" si="59"/>
        <v>228.65161712016149</v>
      </c>
      <c r="CL136" s="186">
        <f t="shared" ca="1" si="60"/>
        <v>540.77295150894497</v>
      </c>
      <c r="CM136" s="205">
        <f t="shared" ca="1" si="61"/>
        <v>660.62534795329361</v>
      </c>
      <c r="CP136" s="180">
        <v>2040</v>
      </c>
      <c r="CQ136" s="22">
        <v>26</v>
      </c>
      <c r="CR136" s="198">
        <f t="shared" ca="1" si="62"/>
        <v>565.62380568274648</v>
      </c>
      <c r="CS136" s="186">
        <f t="shared" ca="1" si="63"/>
        <v>1.1514997698467089</v>
      </c>
      <c r="CT136" s="205">
        <f t="shared" ca="1" si="64"/>
        <v>651.31568206350221</v>
      </c>
      <c r="CZ136" s="164" t="b">
        <f t="shared" si="41"/>
        <v>1</v>
      </c>
      <c r="DA136" s="165" t="b">
        <f t="shared" si="41"/>
        <v>1</v>
      </c>
      <c r="DB136" s="166" t="b">
        <f t="shared" si="41"/>
        <v>1</v>
      </c>
      <c r="DC136" s="164">
        <f t="shared" si="50"/>
        <v>28</v>
      </c>
      <c r="DD136" s="166">
        <f t="shared" si="42"/>
        <v>590.09603121394616</v>
      </c>
      <c r="DE136" s="164">
        <f t="shared" si="43"/>
        <v>28</v>
      </c>
      <c r="DF136" s="166">
        <f t="shared" si="44"/>
        <v>664.70672680062023</v>
      </c>
      <c r="DG136" s="164">
        <f t="shared" si="45"/>
        <v>28</v>
      </c>
      <c r="DH136" s="166">
        <f t="shared" si="46"/>
        <v>739.3174223872943</v>
      </c>
      <c r="DI136" s="164">
        <f>IFERROR(INDEX(DC$106:DC$154,_xlfn.AGGREGATE(15,6,(ROW(DC$106:DC$154)-ROW(DC$106)+1)/(DC$106:DC$154&lt;&gt;""),ROWS(DI$1:DI31))),"")</f>
        <v>28</v>
      </c>
      <c r="DJ136" s="165">
        <f>IFERROR(INDEX(DD$106:DD$154,_xlfn.AGGREGATE(15,6,(ROW(DD$106:DD$154)-ROW(DD$106)+1)/(DD$106:DD$154&lt;&gt;""),ROWS(DJ$1:DJ31))),"")</f>
        <v>590.09603121394616</v>
      </c>
      <c r="DK136" s="166">
        <f t="shared" si="47"/>
        <v>136</v>
      </c>
      <c r="DL136" s="164">
        <f>IFERROR(INDEX(DE$106:DE$154,_xlfn.AGGREGATE(15,6,(ROW(DE$106:DE$154)-ROW(DE$106)+1)/(DE$106:DE$154&lt;&gt;""),ROWS(DL$1:DL31))),"")</f>
        <v>28</v>
      </c>
      <c r="DM136" s="165">
        <f>IFERROR(INDEX(DF$106:DF$154,_xlfn.AGGREGATE(15,6,(ROW(DF$106:DF$154)-ROW(DF$106)+1)/(DF$106:DF$154&lt;&gt;""),ROWS(DM$1:DM31))),"")</f>
        <v>664.70672680062023</v>
      </c>
      <c r="DN136" s="166">
        <f t="shared" si="48"/>
        <v>136</v>
      </c>
      <c r="DO136" s="164">
        <f>IFERROR(INDEX(DG$106:DG$154,_xlfn.AGGREGATE(15,6,(ROW(DG$106:DG$154)-ROW(DG$106)+1)/(DG$106:DG$154&lt;&gt;""),ROWS(DO$1:DO31))),"")</f>
        <v>28</v>
      </c>
      <c r="DP136" s="165">
        <f>IFERROR(INDEX(DH$106:DH$154,_xlfn.AGGREGATE(15,6,(ROW(DH$106:DH$154)-ROW(DH$106)+1)/(DH$106:DH$154&lt;&gt;""),ROWS(DP$1:DP31))),"")</f>
        <v>739.3174223872943</v>
      </c>
      <c r="DQ136" s="166">
        <f t="shared" si="49"/>
        <v>136</v>
      </c>
      <c r="DV136" s="145">
        <v>2045</v>
      </c>
      <c r="DW136" s="235">
        <f t="shared" ca="1" si="34"/>
        <v>670.78634061895991</v>
      </c>
      <c r="EA136" s="55"/>
      <c r="EB136" s="55"/>
      <c r="EC136" s="55"/>
      <c r="ED136" s="55"/>
      <c r="EE136" s="55"/>
    </row>
    <row r="137" spans="2:135" ht="13.8" x14ac:dyDescent="0.45">
      <c r="B137" s="128">
        <v>2043</v>
      </c>
      <c r="C137" s="1023">
        <v>681.37659817351596</v>
      </c>
      <c r="D137" s="1024">
        <v>751.50921173644122</v>
      </c>
      <c r="E137" s="1025"/>
      <c r="F137" s="894"/>
      <c r="G137" s="159"/>
      <c r="H137" s="204"/>
      <c r="I137" s="1112">
        <v>569.37058823529424</v>
      </c>
      <c r="J137" s="207"/>
      <c r="K137" s="204"/>
      <c r="L137" s="206"/>
      <c r="M137" s="204"/>
      <c r="N137" s="29" t="s">
        <v>119</v>
      </c>
      <c r="O137" s="120"/>
      <c r="P137" s="120"/>
      <c r="Q137" s="120"/>
      <c r="R137" s="29">
        <v>29</v>
      </c>
      <c r="S137" s="154">
        <f t="shared" si="35"/>
        <v>569.37058823529424</v>
      </c>
      <c r="T137" s="154">
        <f t="shared" si="36"/>
        <v>751.50921173644122</v>
      </c>
      <c r="U137" s="154">
        <f t="shared" si="37"/>
        <v>75.009931133847218</v>
      </c>
      <c r="W137" s="154">
        <f t="shared" si="38"/>
        <v>592.40886824790323</v>
      </c>
      <c r="X137" s="154">
        <f t="shared" si="39"/>
        <v>667.41879938175043</v>
      </c>
      <c r="Y137" s="154">
        <f t="shared" si="40"/>
        <v>742.42873051559764</v>
      </c>
      <c r="AA137" s="1133">
        <v>681.37659817351596</v>
      </c>
      <c r="AB137" s="1133">
        <v>716.44290495497853</v>
      </c>
      <c r="AC137" s="1133">
        <v>751.5092117364411</v>
      </c>
      <c r="AD137" s="89"/>
      <c r="AE137" s="89"/>
      <c r="AF137" s="89"/>
      <c r="AG137" s="89"/>
      <c r="AH137" s="89"/>
      <c r="AI137" s="89"/>
      <c r="AJ137" s="89"/>
      <c r="AK137" s="89"/>
      <c r="AL137" s="89"/>
      <c r="AM137" s="89"/>
      <c r="AN137" s="89"/>
      <c r="BR137" s="180">
        <v>2041</v>
      </c>
      <c r="BS137" s="22">
        <v>27</v>
      </c>
      <c r="BT137" s="181">
        <f t="shared" si="51"/>
        <v>91.493617266802715</v>
      </c>
      <c r="BU137" s="182">
        <f t="shared" si="52"/>
        <v>564.82896786797232</v>
      </c>
      <c r="BV137" s="205">
        <f t="shared" si="53"/>
        <v>656.32258513477507</v>
      </c>
      <c r="BY137" s="180">
        <v>2041</v>
      </c>
      <c r="BZ137" s="22">
        <v>27</v>
      </c>
      <c r="CA137" s="198">
        <f t="shared" ca="1" si="54"/>
        <v>-44.147011493951659</v>
      </c>
      <c r="CB137" s="198">
        <f t="shared" ca="1" si="55"/>
        <v>163.43689525694617</v>
      </c>
      <c r="CC137" s="186">
        <f t="shared" ca="1" si="66"/>
        <v>547.6304064629212</v>
      </c>
      <c r="CD137" s="205">
        <f t="shared" ca="1" si="56"/>
        <v>666.92029022591578</v>
      </c>
      <c r="CG137" s="180">
        <v>2041</v>
      </c>
      <c r="CH137" s="22">
        <v>27</v>
      </c>
      <c r="CI137" s="198">
        <f t="shared" ca="1" si="57"/>
        <v>49.398069777160401</v>
      </c>
      <c r="CJ137" s="198">
        <f t="shared" ca="1" si="58"/>
        <v>-164.89784872701048</v>
      </c>
      <c r="CK137" s="198">
        <f t="shared" ca="1" si="59"/>
        <v>237.44591008632153</v>
      </c>
      <c r="CL137" s="186">
        <f t="shared" ca="1" si="60"/>
        <v>540.77295150894497</v>
      </c>
      <c r="CM137" s="205">
        <f t="shared" ca="1" si="61"/>
        <v>662.71908264541639</v>
      </c>
      <c r="CP137" s="180">
        <v>2041</v>
      </c>
      <c r="CQ137" s="22">
        <v>27</v>
      </c>
      <c r="CR137" s="198">
        <f t="shared" ca="1" si="62"/>
        <v>565.62380568274648</v>
      </c>
      <c r="CS137" s="186">
        <f t="shared" ca="1" si="63"/>
        <v>1.1577643101061976</v>
      </c>
      <c r="CT137" s="205">
        <f t="shared" ca="1" si="64"/>
        <v>654.85905516592697</v>
      </c>
      <c r="CZ137" s="164" t="b">
        <f t="shared" si="41"/>
        <v>1</v>
      </c>
      <c r="DA137" s="165" t="b">
        <f t="shared" si="41"/>
        <v>1</v>
      </c>
      <c r="DB137" s="166" t="b">
        <f t="shared" si="41"/>
        <v>1</v>
      </c>
      <c r="DC137" s="164">
        <f t="shared" si="50"/>
        <v>29</v>
      </c>
      <c r="DD137" s="166">
        <f t="shared" si="42"/>
        <v>592.40886824790323</v>
      </c>
      <c r="DE137" s="164">
        <f t="shared" si="43"/>
        <v>29</v>
      </c>
      <c r="DF137" s="166">
        <f t="shared" si="44"/>
        <v>667.41879938175043</v>
      </c>
      <c r="DG137" s="164">
        <f t="shared" si="45"/>
        <v>29</v>
      </c>
      <c r="DH137" s="166">
        <f t="shared" si="46"/>
        <v>742.42873051559764</v>
      </c>
      <c r="DI137" s="164">
        <f>IFERROR(INDEX(DC$106:DC$154,_xlfn.AGGREGATE(15,6,(ROW(DC$106:DC$154)-ROW(DC$106)+1)/(DC$106:DC$154&lt;&gt;""),ROWS(DI$1:DI32))),"")</f>
        <v>29</v>
      </c>
      <c r="DJ137" s="165">
        <f>IFERROR(INDEX(DD$106:DD$154,_xlfn.AGGREGATE(15,6,(ROW(DD$106:DD$154)-ROW(DD$106)+1)/(DD$106:DD$154&lt;&gt;""),ROWS(DJ$1:DJ32))),"")</f>
        <v>592.40886824790323</v>
      </c>
      <c r="DK137" s="166">
        <f t="shared" si="47"/>
        <v>137</v>
      </c>
      <c r="DL137" s="164">
        <f>IFERROR(INDEX(DE$106:DE$154,_xlfn.AGGREGATE(15,6,(ROW(DE$106:DE$154)-ROW(DE$106)+1)/(DE$106:DE$154&lt;&gt;""),ROWS(DL$1:DL32))),"")</f>
        <v>29</v>
      </c>
      <c r="DM137" s="165">
        <f>IFERROR(INDEX(DF$106:DF$154,_xlfn.AGGREGATE(15,6,(ROW(DF$106:DF$154)-ROW(DF$106)+1)/(DF$106:DF$154&lt;&gt;""),ROWS(DM$1:DM32))),"")</f>
        <v>667.41879938175043</v>
      </c>
      <c r="DN137" s="166">
        <f t="shared" si="48"/>
        <v>137</v>
      </c>
      <c r="DO137" s="164">
        <f>IFERROR(INDEX(DG$106:DG$154,_xlfn.AGGREGATE(15,6,(ROW(DG$106:DG$154)-ROW(DG$106)+1)/(DG$106:DG$154&lt;&gt;""),ROWS(DO$1:DO32))),"")</f>
        <v>29</v>
      </c>
      <c r="DP137" s="165">
        <f>IFERROR(INDEX(DH$106:DH$154,_xlfn.AGGREGATE(15,6,(ROW(DH$106:DH$154)-ROW(DH$106)+1)/(DH$106:DH$154&lt;&gt;""),ROWS(DP$1:DP32))),"")</f>
        <v>742.42873051559764</v>
      </c>
      <c r="DQ137" s="166">
        <f t="shared" si="49"/>
        <v>137</v>
      </c>
      <c r="DV137" s="145">
        <v>2046</v>
      </c>
      <c r="DW137" s="235">
        <f t="shared" ca="1" si="34"/>
        <v>672.80152537204083</v>
      </c>
      <c r="EA137" s="55"/>
      <c r="EB137" s="55"/>
      <c r="EC137" s="55"/>
      <c r="ED137" s="55"/>
      <c r="EE137" s="55"/>
    </row>
    <row r="138" spans="2:135" ht="13.8" x14ac:dyDescent="0.45">
      <c r="B138" s="128">
        <v>2044</v>
      </c>
      <c r="C138" s="1023">
        <v>686.55022831050223</v>
      </c>
      <c r="D138" s="1024">
        <v>753.14003148147185</v>
      </c>
      <c r="E138" s="1025"/>
      <c r="F138" s="894"/>
      <c r="G138" s="159"/>
      <c r="H138" s="204"/>
      <c r="I138" s="1112">
        <v>570.61764705882365</v>
      </c>
      <c r="J138" s="207"/>
      <c r="K138" s="204"/>
      <c r="L138" s="206"/>
      <c r="M138" s="204"/>
      <c r="N138" s="29" t="s">
        <v>119</v>
      </c>
      <c r="O138" s="120"/>
      <c r="P138" s="120"/>
      <c r="Q138" s="120"/>
      <c r="R138" s="29">
        <v>30</v>
      </c>
      <c r="S138" s="154">
        <f t="shared" si="35"/>
        <v>570.61764705882365</v>
      </c>
      <c r="T138" s="154">
        <f t="shared" si="36"/>
        <v>753.14003148147185</v>
      </c>
      <c r="U138" s="154">
        <f t="shared" si="37"/>
        <v>75.416610384770834</v>
      </c>
      <c r="W138" s="154">
        <f t="shared" si="38"/>
        <v>594.6860252321618</v>
      </c>
      <c r="X138" s="154">
        <f t="shared" ref="X138:X154" si="68">IF(U138="",#N/A,(SUM(C138:Q138)/COUNTIFS(C138:Q138,"&gt;0")))</f>
        <v>670.10263561693262</v>
      </c>
      <c r="Y138" s="154">
        <f t="shared" si="40"/>
        <v>745.51924600170344</v>
      </c>
      <c r="AA138" s="1133">
        <v>686.55022831050223</v>
      </c>
      <c r="AB138" s="1133">
        <v>719.84512989598704</v>
      </c>
      <c r="AC138" s="1133">
        <v>753.14003148147185</v>
      </c>
      <c r="AD138" s="89"/>
      <c r="AE138" s="89"/>
      <c r="AF138" s="89"/>
      <c r="AG138" s="89"/>
      <c r="AH138" s="89"/>
      <c r="AI138" s="89"/>
      <c r="AJ138" s="89"/>
      <c r="AK138" s="89"/>
      <c r="AL138" s="89"/>
      <c r="AM138" s="89"/>
      <c r="AN138" s="89"/>
      <c r="BR138" s="180">
        <v>2042</v>
      </c>
      <c r="BS138" s="22">
        <v>28</v>
      </c>
      <c r="BT138" s="181">
        <f t="shared" si="51"/>
        <v>94.882269758165776</v>
      </c>
      <c r="BU138" s="182">
        <f t="shared" si="52"/>
        <v>564.82896786797232</v>
      </c>
      <c r="BV138" s="205">
        <f t="shared" si="53"/>
        <v>659.71123762613809</v>
      </c>
      <c r="BY138" s="180">
        <v>2042</v>
      </c>
      <c r="BZ138" s="22">
        <v>28</v>
      </c>
      <c r="CA138" s="198">
        <f t="shared" ca="1" si="54"/>
        <v>-47.477718808310158</v>
      </c>
      <c r="CB138" s="198">
        <f t="shared" ca="1" si="55"/>
        <v>169.49011359979602</v>
      </c>
      <c r="CC138" s="186">
        <f t="shared" ca="1" si="66"/>
        <v>547.6304064629212</v>
      </c>
      <c r="CD138" s="205">
        <f t="shared" ca="1" si="56"/>
        <v>669.642801254407</v>
      </c>
      <c r="CG138" s="180">
        <v>2042</v>
      </c>
      <c r="CH138" s="22">
        <v>28</v>
      </c>
      <c r="CI138" s="198">
        <f t="shared" ca="1" si="57"/>
        <v>55.092538116558707</v>
      </c>
      <c r="CJ138" s="198">
        <f t="shared" ca="1" si="58"/>
        <v>-177.33870151162716</v>
      </c>
      <c r="CK138" s="198">
        <f t="shared" ca="1" si="59"/>
        <v>246.2402030524816</v>
      </c>
      <c r="CL138" s="186">
        <f t="shared" ca="1" si="60"/>
        <v>540.77295150894497</v>
      </c>
      <c r="CM138" s="205">
        <f t="shared" ca="1" si="61"/>
        <v>664.76699116635814</v>
      </c>
      <c r="CP138" s="180">
        <v>2042</v>
      </c>
      <c r="CQ138" s="22">
        <v>28</v>
      </c>
      <c r="CR138" s="198">
        <f t="shared" ca="1" si="62"/>
        <v>565.62380568274648</v>
      </c>
      <c r="CS138" s="186">
        <f t="shared" ca="1" si="63"/>
        <v>1.1640629315402473</v>
      </c>
      <c r="CT138" s="205">
        <f t="shared" ca="1" si="64"/>
        <v>658.42170539200902</v>
      </c>
      <c r="CZ138" s="164" t="b">
        <f t="shared" si="41"/>
        <v>1</v>
      </c>
      <c r="DA138" s="165" t="b">
        <f t="shared" si="41"/>
        <v>1</v>
      </c>
      <c r="DB138" s="166" t="b">
        <f t="shared" si="41"/>
        <v>1</v>
      </c>
      <c r="DC138" s="164">
        <f t="shared" si="50"/>
        <v>30</v>
      </c>
      <c r="DD138" s="166">
        <f t="shared" si="42"/>
        <v>594.6860252321618</v>
      </c>
      <c r="DE138" s="164">
        <f t="shared" si="43"/>
        <v>30</v>
      </c>
      <c r="DF138" s="166">
        <f t="shared" si="44"/>
        <v>670.10263561693262</v>
      </c>
      <c r="DG138" s="164">
        <f t="shared" si="45"/>
        <v>30</v>
      </c>
      <c r="DH138" s="166">
        <f t="shared" si="46"/>
        <v>745.51924600170344</v>
      </c>
      <c r="DI138" s="164">
        <f>IFERROR(INDEX(DC$106:DC$154,_xlfn.AGGREGATE(15,6,(ROW(DC$106:DC$154)-ROW(DC$106)+1)/(DC$106:DC$154&lt;&gt;""),ROWS(DI$1:DI33))),"")</f>
        <v>30</v>
      </c>
      <c r="DJ138" s="165">
        <f>IFERROR(INDEX(DD$106:DD$154,_xlfn.AGGREGATE(15,6,(ROW(DD$106:DD$154)-ROW(DD$106)+1)/(DD$106:DD$154&lt;&gt;""),ROWS(DJ$1:DJ33))),"")</f>
        <v>594.6860252321618</v>
      </c>
      <c r="DK138" s="166">
        <f t="shared" si="47"/>
        <v>138</v>
      </c>
      <c r="DL138" s="164">
        <f>IFERROR(INDEX(DE$106:DE$154,_xlfn.AGGREGATE(15,6,(ROW(DE$106:DE$154)-ROW(DE$106)+1)/(DE$106:DE$154&lt;&gt;""),ROWS(DL$1:DL33))),"")</f>
        <v>30</v>
      </c>
      <c r="DM138" s="165">
        <f>IFERROR(INDEX(DF$106:DF$154,_xlfn.AGGREGATE(15,6,(ROW(DF$106:DF$154)-ROW(DF$106)+1)/(DF$106:DF$154&lt;&gt;""),ROWS(DM$1:DM33))),"")</f>
        <v>670.10263561693262</v>
      </c>
      <c r="DN138" s="166">
        <f t="shared" si="48"/>
        <v>138</v>
      </c>
      <c r="DO138" s="164">
        <f>IFERROR(INDEX(DG$106:DG$154,_xlfn.AGGREGATE(15,6,(ROW(DG$106:DG$154)-ROW(DG$106)+1)/(DG$106:DG$154&lt;&gt;""),ROWS(DO$1:DO33))),"")</f>
        <v>30</v>
      </c>
      <c r="DP138" s="165">
        <f>IFERROR(INDEX(DH$106:DH$154,_xlfn.AGGREGATE(15,6,(ROW(DH$106:DH$154)-ROW(DH$106)+1)/(DH$106:DH$154&lt;&gt;""),ROWS(DP$1:DP33))),"")</f>
        <v>745.51924600170344</v>
      </c>
      <c r="DQ138" s="166">
        <f t="shared" si="49"/>
        <v>138</v>
      </c>
      <c r="DV138" s="145">
        <v>2047</v>
      </c>
      <c r="DW138" s="235">
        <f t="shared" ca="1" si="34"/>
        <v>674.84617441237242</v>
      </c>
      <c r="EA138" s="55"/>
      <c r="EB138" s="55"/>
      <c r="EC138" s="55"/>
      <c r="ED138" s="55"/>
      <c r="EE138" s="55"/>
    </row>
    <row r="139" spans="2:135" ht="13.8" x14ac:dyDescent="0.45">
      <c r="B139" s="128">
        <v>2045</v>
      </c>
      <c r="C139" s="1023">
        <v>691.72385844748851</v>
      </c>
      <c r="D139" s="1024">
        <v>756.24247649470078</v>
      </c>
      <c r="E139" s="1025"/>
      <c r="F139" s="894"/>
      <c r="G139" s="159"/>
      <c r="H139" s="204"/>
      <c r="I139" s="1112">
        <v>571.86470588235306</v>
      </c>
      <c r="J139" s="207"/>
      <c r="K139" s="204"/>
      <c r="L139" s="206"/>
      <c r="M139" s="204"/>
      <c r="N139" s="29" t="s">
        <v>119</v>
      </c>
      <c r="O139" s="120"/>
      <c r="P139" s="120"/>
      <c r="Q139" s="120"/>
      <c r="R139" s="29">
        <v>31</v>
      </c>
      <c r="S139" s="154">
        <f t="shared" si="35"/>
        <v>571.86470588235306</v>
      </c>
      <c r="T139" s="154">
        <f t="shared" si="36"/>
        <v>756.24247649470078</v>
      </c>
      <c r="U139" s="154">
        <f t="shared" si="37"/>
        <v>76.393739435414062</v>
      </c>
      <c r="W139" s="154">
        <f t="shared" si="38"/>
        <v>596.88327417276673</v>
      </c>
      <c r="X139" s="154">
        <f t="shared" si="68"/>
        <v>673.27701360818082</v>
      </c>
      <c r="Y139" s="154">
        <f t="shared" si="40"/>
        <v>749.67075304359491</v>
      </c>
      <c r="AA139" s="1133">
        <v>691.72385844748851</v>
      </c>
      <c r="AB139" s="1133">
        <v>723.9831674710947</v>
      </c>
      <c r="AC139" s="1133">
        <v>756.2424764947009</v>
      </c>
      <c r="AD139" s="89"/>
      <c r="AE139" s="89"/>
      <c r="AF139" s="89"/>
      <c r="AG139" s="89"/>
      <c r="AH139" s="89"/>
      <c r="AI139" s="89"/>
      <c r="AJ139" s="89"/>
      <c r="AK139" s="89"/>
      <c r="AL139" s="89"/>
      <c r="AM139" s="89"/>
      <c r="AN139" s="89"/>
      <c r="BR139" s="180">
        <v>2043</v>
      </c>
      <c r="BS139" s="22">
        <v>29</v>
      </c>
      <c r="BT139" s="181">
        <f t="shared" si="51"/>
        <v>98.270922249528837</v>
      </c>
      <c r="BU139" s="182">
        <f t="shared" si="52"/>
        <v>564.82896786797232</v>
      </c>
      <c r="BV139" s="205">
        <f t="shared" si="53"/>
        <v>663.09989011750122</v>
      </c>
      <c r="BY139" s="180">
        <v>2043</v>
      </c>
      <c r="BZ139" s="22">
        <v>29</v>
      </c>
      <c r="CA139" s="198">
        <f t="shared" ca="1" si="54"/>
        <v>-50.929542752281684</v>
      </c>
      <c r="CB139" s="198">
        <f t="shared" ca="1" si="55"/>
        <v>175.54333194264589</v>
      </c>
      <c r="CC139" s="186">
        <f t="shared" ca="1" si="66"/>
        <v>547.6304064629212</v>
      </c>
      <c r="CD139" s="205">
        <f t="shared" ca="1" si="56"/>
        <v>672.24419565328537</v>
      </c>
      <c r="CG139" s="180">
        <v>2043</v>
      </c>
      <c r="CH139" s="22">
        <v>29</v>
      </c>
      <c r="CI139" s="198">
        <f t="shared" ca="1" si="57"/>
        <v>61.20863302317558</v>
      </c>
      <c r="CJ139" s="198">
        <f t="shared" ca="1" si="58"/>
        <v>-190.23194894295722</v>
      </c>
      <c r="CK139" s="198">
        <f t="shared" ca="1" si="59"/>
        <v>255.03449601864168</v>
      </c>
      <c r="CL139" s="186">
        <f t="shared" ca="1" si="60"/>
        <v>540.77295150894497</v>
      </c>
      <c r="CM139" s="205">
        <f t="shared" ca="1" si="61"/>
        <v>666.78413160780497</v>
      </c>
      <c r="CP139" s="180">
        <v>2043</v>
      </c>
      <c r="CQ139" s="22">
        <v>29</v>
      </c>
      <c r="CR139" s="198">
        <f t="shared" ca="1" si="62"/>
        <v>565.62380568274648</v>
      </c>
      <c r="CS139" s="186">
        <f t="shared" ca="1" si="63"/>
        <v>1.1703958195617388</v>
      </c>
      <c r="CT139" s="205">
        <f t="shared" ca="1" si="64"/>
        <v>662.00373761568778</v>
      </c>
      <c r="CZ139" s="164" t="b">
        <f t="shared" si="41"/>
        <v>1</v>
      </c>
      <c r="DA139" s="165" t="b">
        <f t="shared" si="41"/>
        <v>1</v>
      </c>
      <c r="DB139" s="166" t="b">
        <f t="shared" si="41"/>
        <v>1</v>
      </c>
      <c r="DC139" s="164">
        <f t="shared" si="50"/>
        <v>31</v>
      </c>
      <c r="DD139" s="166">
        <f t="shared" si="42"/>
        <v>596.88327417276673</v>
      </c>
      <c r="DE139" s="164">
        <f t="shared" si="43"/>
        <v>31</v>
      </c>
      <c r="DF139" s="166">
        <f t="shared" si="44"/>
        <v>673.27701360818082</v>
      </c>
      <c r="DG139" s="164">
        <f t="shared" si="45"/>
        <v>31</v>
      </c>
      <c r="DH139" s="166">
        <f t="shared" si="46"/>
        <v>749.67075304359491</v>
      </c>
      <c r="DI139" s="164">
        <f>IFERROR(INDEX(DC$106:DC$154,_xlfn.AGGREGATE(15,6,(ROW(DC$106:DC$154)-ROW(DC$106)+1)/(DC$106:DC$154&lt;&gt;""),ROWS(DI$1:DI34))),"")</f>
        <v>31</v>
      </c>
      <c r="DJ139" s="165">
        <f>IFERROR(INDEX(DD$106:DD$154,_xlfn.AGGREGATE(15,6,(ROW(DD$106:DD$154)-ROW(DD$106)+1)/(DD$106:DD$154&lt;&gt;""),ROWS(DJ$1:DJ34))),"")</f>
        <v>596.88327417276673</v>
      </c>
      <c r="DK139" s="166">
        <f t="shared" si="47"/>
        <v>139</v>
      </c>
      <c r="DL139" s="164">
        <f>IFERROR(INDEX(DE$106:DE$154,_xlfn.AGGREGATE(15,6,(ROW(DE$106:DE$154)-ROW(DE$106)+1)/(DE$106:DE$154&lt;&gt;""),ROWS(DL$1:DL34))),"")</f>
        <v>31</v>
      </c>
      <c r="DM139" s="165">
        <f>IFERROR(INDEX(DF$106:DF$154,_xlfn.AGGREGATE(15,6,(ROW(DF$106:DF$154)-ROW(DF$106)+1)/(DF$106:DF$154&lt;&gt;""),ROWS(DM$1:DM34))),"")</f>
        <v>673.27701360818082</v>
      </c>
      <c r="DN139" s="166">
        <f t="shared" si="48"/>
        <v>139</v>
      </c>
      <c r="DO139" s="164">
        <f>IFERROR(INDEX(DG$106:DG$154,_xlfn.AGGREGATE(15,6,(ROW(DG$106:DG$154)-ROW(DG$106)+1)/(DG$106:DG$154&lt;&gt;""),ROWS(DO$1:DO34))),"")</f>
        <v>31</v>
      </c>
      <c r="DP139" s="165">
        <f>IFERROR(INDEX(DH$106:DH$154,_xlfn.AGGREGATE(15,6,(ROW(DH$106:DH$154)-ROW(DH$106)+1)/(DH$106:DH$154&lt;&gt;""),ROWS(DP$1:DP34))),"")</f>
        <v>749.67075304359491</v>
      </c>
      <c r="DQ139" s="166">
        <f t="shared" si="49"/>
        <v>139</v>
      </c>
      <c r="DV139" s="145">
        <v>2048</v>
      </c>
      <c r="DW139" s="235">
        <f t="shared" ca="1" si="34"/>
        <v>676.93534583164114</v>
      </c>
      <c r="EA139" s="55"/>
      <c r="EB139" s="55"/>
      <c r="EC139" s="55"/>
      <c r="ED139" s="55"/>
      <c r="EE139" s="55"/>
    </row>
    <row r="140" spans="2:135" ht="13.8" x14ac:dyDescent="0.45">
      <c r="B140" s="128">
        <v>2046</v>
      </c>
      <c r="C140" s="1023">
        <v>696.89748858447479</v>
      </c>
      <c r="D140" s="1026">
        <v>756.45221324839724</v>
      </c>
      <c r="E140" s="1027"/>
      <c r="F140" s="940"/>
      <c r="G140" s="207"/>
      <c r="H140" s="204"/>
      <c r="I140" s="1112">
        <v>573.11176470588248</v>
      </c>
      <c r="J140" s="207"/>
      <c r="K140" s="204"/>
      <c r="L140" s="206"/>
      <c r="M140" s="204"/>
      <c r="N140" s="29" t="s">
        <v>119</v>
      </c>
      <c r="O140" s="120"/>
      <c r="P140" s="120"/>
      <c r="Q140" s="120"/>
      <c r="R140" s="29">
        <v>32</v>
      </c>
      <c r="S140" s="154">
        <f t="shared" si="35"/>
        <v>573.11176470588248</v>
      </c>
      <c r="T140" s="154">
        <f t="shared" si="36"/>
        <v>756.45221324839724</v>
      </c>
      <c r="U140" s="154">
        <f t="shared" si="37"/>
        <v>76.364179166319985</v>
      </c>
      <c r="W140" s="154">
        <f t="shared" si="38"/>
        <v>599.12297634659819</v>
      </c>
      <c r="X140" s="154">
        <f t="shared" si="68"/>
        <v>675.48715551291821</v>
      </c>
      <c r="Y140" s="154">
        <f t="shared" si="40"/>
        <v>751.85133467923822</v>
      </c>
      <c r="AA140" s="1133">
        <v>696.89748858447479</v>
      </c>
      <c r="AB140" s="1133">
        <v>726.67485091643607</v>
      </c>
      <c r="AC140" s="1133">
        <v>756.45221324839736</v>
      </c>
      <c r="AD140" s="89"/>
      <c r="AE140" s="89"/>
      <c r="AF140" s="89"/>
      <c r="AG140" s="89"/>
      <c r="AH140" s="89"/>
      <c r="AI140" s="89"/>
      <c r="AJ140" s="89"/>
      <c r="AK140" s="89"/>
      <c r="AL140" s="89"/>
      <c r="AM140" s="89"/>
      <c r="AN140" s="89"/>
      <c r="BR140" s="180">
        <v>2044</v>
      </c>
      <c r="BS140" s="22">
        <v>30</v>
      </c>
      <c r="BT140" s="181">
        <f t="shared" si="51"/>
        <v>101.65957474089191</v>
      </c>
      <c r="BU140" s="182">
        <f t="shared" si="52"/>
        <v>564.82896786797232</v>
      </c>
      <c r="BV140" s="205">
        <f t="shared" si="53"/>
        <v>666.48854260886424</v>
      </c>
      <c r="BY140" s="180">
        <v>2044</v>
      </c>
      <c r="BZ140" s="22">
        <v>30</v>
      </c>
      <c r="CA140" s="198">
        <f t="shared" ca="1" si="54"/>
        <v>-54.502483325866251</v>
      </c>
      <c r="CB140" s="198">
        <f t="shared" ca="1" si="55"/>
        <v>181.59655028549574</v>
      </c>
      <c r="CC140" s="186">
        <f t="shared" ca="1" si="66"/>
        <v>547.6304064629212</v>
      </c>
      <c r="CD140" s="205">
        <f t="shared" ca="1" si="56"/>
        <v>674.72447342255066</v>
      </c>
      <c r="CG140" s="180">
        <v>2044</v>
      </c>
      <c r="CH140" s="22">
        <v>30</v>
      </c>
      <c r="CI140" s="198">
        <f t="shared" ca="1" si="57"/>
        <v>67.761412588697397</v>
      </c>
      <c r="CJ140" s="198">
        <f t="shared" ca="1" si="58"/>
        <v>-203.57759102100059</v>
      </c>
      <c r="CK140" s="198">
        <f t="shared" ca="1" si="59"/>
        <v>263.82878898480169</v>
      </c>
      <c r="CL140" s="186">
        <f t="shared" ca="1" si="60"/>
        <v>540.77295150894497</v>
      </c>
      <c r="CM140" s="205">
        <f t="shared" ca="1" si="61"/>
        <v>668.78556206144344</v>
      </c>
      <c r="CP140" s="180">
        <v>2044</v>
      </c>
      <c r="CQ140" s="22">
        <v>30</v>
      </c>
      <c r="CR140" s="198">
        <f t="shared" ca="1" si="62"/>
        <v>565.62380568274648</v>
      </c>
      <c r="CS140" s="186">
        <f t="shared" ca="1" si="63"/>
        <v>1.1767631605922613</v>
      </c>
      <c r="CT140" s="205">
        <f t="shared" ca="1" si="64"/>
        <v>665.60525728145183</v>
      </c>
      <c r="CZ140" s="164" t="b">
        <f t="shared" si="41"/>
        <v>1</v>
      </c>
      <c r="DA140" s="165" t="b">
        <f t="shared" si="41"/>
        <v>1</v>
      </c>
      <c r="DB140" s="166" t="b">
        <f t="shared" si="41"/>
        <v>1</v>
      </c>
      <c r="DC140" s="164">
        <f t="shared" si="50"/>
        <v>32</v>
      </c>
      <c r="DD140" s="166">
        <f t="shared" si="42"/>
        <v>599.12297634659819</v>
      </c>
      <c r="DE140" s="164">
        <f t="shared" si="43"/>
        <v>32</v>
      </c>
      <c r="DF140" s="166">
        <f t="shared" si="44"/>
        <v>675.48715551291821</v>
      </c>
      <c r="DG140" s="164">
        <f t="shared" si="45"/>
        <v>32</v>
      </c>
      <c r="DH140" s="166">
        <f t="shared" si="46"/>
        <v>751.85133467923822</v>
      </c>
      <c r="DI140" s="164">
        <f>IFERROR(INDEX(DC$106:DC$154,_xlfn.AGGREGATE(15,6,(ROW(DC$106:DC$154)-ROW(DC$106)+1)/(DC$106:DC$154&lt;&gt;""),ROWS(DI$1:DI35))),"")</f>
        <v>32</v>
      </c>
      <c r="DJ140" s="165">
        <f>IFERROR(INDEX(DD$106:DD$154,_xlfn.AGGREGATE(15,6,(ROW(DD$106:DD$154)-ROW(DD$106)+1)/(DD$106:DD$154&lt;&gt;""),ROWS(DJ$1:DJ35))),"")</f>
        <v>599.12297634659819</v>
      </c>
      <c r="DK140" s="166">
        <f t="shared" si="47"/>
        <v>140</v>
      </c>
      <c r="DL140" s="164">
        <f>IFERROR(INDEX(DE$106:DE$154,_xlfn.AGGREGATE(15,6,(ROW(DE$106:DE$154)-ROW(DE$106)+1)/(DE$106:DE$154&lt;&gt;""),ROWS(DL$1:DL35))),"")</f>
        <v>32</v>
      </c>
      <c r="DM140" s="165">
        <f>IFERROR(INDEX(DF$106:DF$154,_xlfn.AGGREGATE(15,6,(ROW(DF$106:DF$154)-ROW(DF$106)+1)/(DF$106:DF$154&lt;&gt;""),ROWS(DM$1:DM35))),"")</f>
        <v>675.48715551291821</v>
      </c>
      <c r="DN140" s="166">
        <f t="shared" si="48"/>
        <v>140</v>
      </c>
      <c r="DO140" s="164">
        <f>IFERROR(INDEX(DG$106:DG$154,_xlfn.AGGREGATE(15,6,(ROW(DG$106:DG$154)-ROW(DG$106)+1)/(DG$106:DG$154&lt;&gt;""),ROWS(DO$1:DO35))),"")</f>
        <v>32</v>
      </c>
      <c r="DP140" s="165">
        <f>IFERROR(INDEX(DH$106:DH$154,_xlfn.AGGREGATE(15,6,(ROW(DH$106:DH$154)-ROW(DH$106)+1)/(DH$106:DH$154&lt;&gt;""),ROWS(DP$1:DP35))),"")</f>
        <v>751.85133467923822</v>
      </c>
      <c r="DQ140" s="166">
        <f t="shared" si="49"/>
        <v>140</v>
      </c>
      <c r="DV140" s="145">
        <v>2049</v>
      </c>
      <c r="DW140" s="235">
        <f t="shared" ca="1" si="34"/>
        <v>679.08409772153323</v>
      </c>
      <c r="EA140" s="55"/>
      <c r="EB140" s="55"/>
      <c r="EC140" s="55"/>
      <c r="ED140" s="55"/>
      <c r="EE140" s="55"/>
    </row>
    <row r="141" spans="2:135" ht="13.8" x14ac:dyDescent="0.45">
      <c r="B141" s="128">
        <v>2047</v>
      </c>
      <c r="C141" s="1023">
        <v>702.07111872146118</v>
      </c>
      <c r="D141" s="1026">
        <v>757.63079744378297</v>
      </c>
      <c r="E141" s="1027"/>
      <c r="F141" s="940"/>
      <c r="G141" s="207"/>
      <c r="H141" s="204"/>
      <c r="I141" s="1112">
        <v>574.35882352941189</v>
      </c>
      <c r="J141" s="207"/>
      <c r="K141" s="204"/>
      <c r="L141" s="206"/>
      <c r="M141" s="204"/>
      <c r="N141" s="29" t="s">
        <v>119</v>
      </c>
      <c r="O141" s="120"/>
      <c r="P141" s="120"/>
      <c r="Q141" s="120"/>
      <c r="R141" s="29">
        <v>33</v>
      </c>
      <c r="S141" s="154">
        <f t="shared" si="35"/>
        <v>574.35882352941189</v>
      </c>
      <c r="T141" s="154">
        <f t="shared" si="36"/>
        <v>757.63079744378297</v>
      </c>
      <c r="U141" s="154">
        <f t="shared" si="37"/>
        <v>76.728905653764357</v>
      </c>
      <c r="W141" s="154">
        <f t="shared" si="38"/>
        <v>601.29134091112098</v>
      </c>
      <c r="X141" s="154">
        <f t="shared" si="68"/>
        <v>678.02024656488538</v>
      </c>
      <c r="Y141" s="154">
        <f t="shared" si="40"/>
        <v>754.74915221864978</v>
      </c>
      <c r="AA141" s="1133">
        <v>702.07111872146129</v>
      </c>
      <c r="AB141" s="1133">
        <v>729.85095808262213</v>
      </c>
      <c r="AC141" s="1133">
        <v>757.63079744378297</v>
      </c>
      <c r="AD141" s="89"/>
      <c r="AE141" s="89"/>
      <c r="AF141" s="89"/>
      <c r="AG141" s="89"/>
      <c r="AH141" s="89"/>
      <c r="AI141" s="89"/>
      <c r="AJ141" s="89"/>
      <c r="AK141" s="89"/>
      <c r="AL141" s="89"/>
      <c r="AM141" s="89"/>
      <c r="AN141" s="89"/>
      <c r="BR141" s="180">
        <v>2045</v>
      </c>
      <c r="BS141" s="22">
        <v>31</v>
      </c>
      <c r="BT141" s="181">
        <f t="shared" si="51"/>
        <v>105.04822723225497</v>
      </c>
      <c r="BU141" s="182">
        <f t="shared" si="52"/>
        <v>564.82896786797232</v>
      </c>
      <c r="BV141" s="205">
        <f t="shared" si="53"/>
        <v>669.87719510022725</v>
      </c>
      <c r="BY141" s="180">
        <v>2045</v>
      </c>
      <c r="BZ141" s="22">
        <v>31</v>
      </c>
      <c r="CA141" s="198">
        <f t="shared" ca="1" si="54"/>
        <v>-58.196540529063853</v>
      </c>
      <c r="CB141" s="198">
        <f t="shared" ca="1" si="55"/>
        <v>187.64976862834561</v>
      </c>
      <c r="CC141" s="198">
        <f t="shared" ca="1" si="66"/>
        <v>547.6304064629212</v>
      </c>
      <c r="CD141" s="205">
        <f t="shared" ca="1" si="56"/>
        <v>677.08363456220297</v>
      </c>
      <c r="CG141" s="180">
        <v>2045</v>
      </c>
      <c r="CH141" s="22">
        <v>31</v>
      </c>
      <c r="CI141" s="198">
        <f t="shared" ca="1" si="57"/>
        <v>74.765934904810521</v>
      </c>
      <c r="CJ141" s="198">
        <f t="shared" ca="1" si="58"/>
        <v>-217.3756277457573</v>
      </c>
      <c r="CK141" s="198">
        <f t="shared" ca="1" si="59"/>
        <v>272.62308195096176</v>
      </c>
      <c r="CL141" s="198">
        <f t="shared" ca="1" si="60"/>
        <v>540.77295150894497</v>
      </c>
      <c r="CM141" s="205">
        <f t="shared" ca="1" si="61"/>
        <v>670.78634061895991</v>
      </c>
      <c r="CP141" s="180">
        <v>2045</v>
      </c>
      <c r="CQ141" s="22">
        <v>31</v>
      </c>
      <c r="CR141" s="198">
        <f t="shared" ca="1" si="62"/>
        <v>565.62380568274648</v>
      </c>
      <c r="CS141" s="198">
        <f t="shared" ca="1" si="63"/>
        <v>1.1831651420675984</v>
      </c>
      <c r="CT141" s="205">
        <f t="shared" ca="1" si="64"/>
        <v>669.22637040744235</v>
      </c>
      <c r="CZ141" s="164" t="b">
        <f t="shared" si="41"/>
        <v>1</v>
      </c>
      <c r="DA141" s="165" t="b">
        <f t="shared" si="41"/>
        <v>1</v>
      </c>
      <c r="DB141" s="166" t="b">
        <f t="shared" si="41"/>
        <v>1</v>
      </c>
      <c r="DC141" s="164">
        <f t="shared" si="50"/>
        <v>33</v>
      </c>
      <c r="DD141" s="166">
        <f t="shared" si="42"/>
        <v>601.29134091112098</v>
      </c>
      <c r="DE141" s="164">
        <f t="shared" si="43"/>
        <v>33</v>
      </c>
      <c r="DF141" s="166">
        <f t="shared" si="44"/>
        <v>678.02024656488538</v>
      </c>
      <c r="DG141" s="164">
        <f t="shared" si="45"/>
        <v>33</v>
      </c>
      <c r="DH141" s="166">
        <f t="shared" si="46"/>
        <v>754.74915221864978</v>
      </c>
      <c r="DI141" s="164">
        <f>IFERROR(INDEX(DC$106:DC$154,_xlfn.AGGREGATE(15,6,(ROW(DC$106:DC$154)-ROW(DC$106)+1)/(DC$106:DC$154&lt;&gt;""),ROWS(DI$1:DI36))),"")</f>
        <v>33</v>
      </c>
      <c r="DJ141" s="165">
        <f>IFERROR(INDEX(DD$106:DD$154,_xlfn.AGGREGATE(15,6,(ROW(DD$106:DD$154)-ROW(DD$106)+1)/(DD$106:DD$154&lt;&gt;""),ROWS(DJ$1:DJ36))),"")</f>
        <v>601.29134091112098</v>
      </c>
      <c r="DK141" s="166">
        <f t="shared" si="47"/>
        <v>141</v>
      </c>
      <c r="DL141" s="164">
        <f>IFERROR(INDEX(DE$106:DE$154,_xlfn.AGGREGATE(15,6,(ROW(DE$106:DE$154)-ROW(DE$106)+1)/(DE$106:DE$154&lt;&gt;""),ROWS(DL$1:DL36))),"")</f>
        <v>33</v>
      </c>
      <c r="DM141" s="165">
        <f>IFERROR(INDEX(DF$106:DF$154,_xlfn.AGGREGATE(15,6,(ROW(DF$106:DF$154)-ROW(DF$106)+1)/(DF$106:DF$154&lt;&gt;""),ROWS(DM$1:DM36))),"")</f>
        <v>678.02024656488538</v>
      </c>
      <c r="DN141" s="166">
        <f t="shared" si="48"/>
        <v>141</v>
      </c>
      <c r="DO141" s="164">
        <f>IFERROR(INDEX(DG$106:DG$154,_xlfn.AGGREGATE(15,6,(ROW(DG$106:DG$154)-ROW(DG$106)+1)/(DG$106:DG$154&lt;&gt;""),ROWS(DO$1:DO36))),"")</f>
        <v>33</v>
      </c>
      <c r="DP141" s="165">
        <f>IFERROR(INDEX(DH$106:DH$154,_xlfn.AGGREGATE(15,6,(ROW(DH$106:DH$154)-ROW(DH$106)+1)/(DH$106:DH$154&lt;&gt;""),ROWS(DP$1:DP36))),"")</f>
        <v>754.74915221864978</v>
      </c>
      <c r="DQ141" s="166">
        <f t="shared" si="49"/>
        <v>141</v>
      </c>
      <c r="DV141" s="145">
        <v>2050</v>
      </c>
      <c r="DW141" s="235">
        <f t="shared" ca="1" si="34"/>
        <v>681.30748817373524</v>
      </c>
      <c r="EA141" s="55"/>
      <c r="EB141" s="55"/>
      <c r="EC141" s="55"/>
      <c r="ED141" s="55"/>
      <c r="EE141" s="55"/>
    </row>
    <row r="142" spans="2:135" ht="13.8" x14ac:dyDescent="0.45">
      <c r="B142" s="128">
        <v>2048</v>
      </c>
      <c r="C142" s="1023">
        <v>707.24474885844745</v>
      </c>
      <c r="D142" s="1026">
        <v>758.62569133650595</v>
      </c>
      <c r="E142" s="1027"/>
      <c r="F142" s="940"/>
      <c r="G142" s="207"/>
      <c r="H142" s="204"/>
      <c r="I142" s="1112">
        <v>575.60588235294131</v>
      </c>
      <c r="J142" s="207"/>
      <c r="K142" s="204"/>
      <c r="L142" s="206"/>
      <c r="M142" s="204"/>
      <c r="N142" s="29" t="s">
        <v>119</v>
      </c>
      <c r="O142" s="120"/>
      <c r="P142" s="120"/>
      <c r="Q142" s="120"/>
      <c r="R142" s="29">
        <v>34</v>
      </c>
      <c r="S142" s="154">
        <f t="shared" si="35"/>
        <v>575.60588235294131</v>
      </c>
      <c r="T142" s="154">
        <f t="shared" si="36"/>
        <v>758.62569133650595</v>
      </c>
      <c r="U142" s="154">
        <f t="shared" si="37"/>
        <v>77.07503047548154</v>
      </c>
      <c r="W142" s="154">
        <f t="shared" si="38"/>
        <v>603.41707704048338</v>
      </c>
      <c r="X142" s="154">
        <f t="shared" si="68"/>
        <v>680.4921075159649</v>
      </c>
      <c r="Y142" s="154">
        <f t="shared" si="40"/>
        <v>757.56713799144643</v>
      </c>
      <c r="AA142" s="1133">
        <v>707.24474885844756</v>
      </c>
      <c r="AB142" s="1133">
        <v>732.93522009747676</v>
      </c>
      <c r="AC142" s="1133">
        <v>758.62569133650595</v>
      </c>
      <c r="AD142" s="89"/>
      <c r="AE142" s="89"/>
      <c r="AF142" s="89"/>
      <c r="AG142" s="89"/>
      <c r="AH142" s="89"/>
      <c r="AI142" s="89"/>
      <c r="AJ142" s="89"/>
      <c r="AK142" s="89"/>
      <c r="AL142" s="89"/>
      <c r="AM142" s="89"/>
      <c r="AN142" s="89"/>
      <c r="BR142" s="180">
        <v>2046</v>
      </c>
      <c r="BS142" s="22">
        <v>32</v>
      </c>
      <c r="BT142" s="181">
        <f t="shared" si="51"/>
        <v>108.43687972361803</v>
      </c>
      <c r="BU142" s="182">
        <f t="shared" si="52"/>
        <v>564.82896786797232</v>
      </c>
      <c r="BV142" s="205">
        <f t="shared" si="53"/>
        <v>673.26584759159039</v>
      </c>
      <c r="BY142" s="180">
        <v>2046</v>
      </c>
      <c r="BZ142" s="22">
        <v>32</v>
      </c>
      <c r="CA142" s="198">
        <f t="shared" ca="1" si="54"/>
        <v>-62.011714361874489</v>
      </c>
      <c r="CB142" s="198">
        <f t="shared" ca="1" si="55"/>
        <v>193.70298697119546</v>
      </c>
      <c r="CC142" s="198">
        <f t="shared" ca="1" si="66"/>
        <v>547.6304064629212</v>
      </c>
      <c r="CD142" s="205">
        <f t="shared" ca="1" si="56"/>
        <v>679.3216790722422</v>
      </c>
      <c r="CG142" s="180">
        <v>2046</v>
      </c>
      <c r="CH142" s="22">
        <v>32</v>
      </c>
      <c r="CI142" s="198">
        <f t="shared" ca="1" si="57"/>
        <v>82.237258063201338</v>
      </c>
      <c r="CJ142" s="198">
        <f t="shared" ca="1" si="58"/>
        <v>-231.62605911722733</v>
      </c>
      <c r="CK142" s="198">
        <f t="shared" ca="1" si="59"/>
        <v>281.41737491712183</v>
      </c>
      <c r="CL142" s="198">
        <f t="shared" ca="1" si="60"/>
        <v>540.77295150894497</v>
      </c>
      <c r="CM142" s="205">
        <f t="shared" ca="1" si="61"/>
        <v>672.80152537204083</v>
      </c>
      <c r="CP142" s="180">
        <v>2046</v>
      </c>
      <c r="CQ142" s="22">
        <v>32</v>
      </c>
      <c r="CR142" s="198">
        <f t="shared" ca="1" si="62"/>
        <v>565.62380568274648</v>
      </c>
      <c r="CS142" s="198">
        <f t="shared" ca="1" si="63"/>
        <v>1.1896019524432471</v>
      </c>
      <c r="CT142" s="205">
        <f t="shared" ca="1" si="64"/>
        <v>672.86718358857502</v>
      </c>
      <c r="CZ142" s="164" t="b">
        <f t="shared" si="41"/>
        <v>1</v>
      </c>
      <c r="DA142" s="165" t="b">
        <f t="shared" si="41"/>
        <v>1</v>
      </c>
      <c r="DB142" s="166" t="b">
        <f t="shared" si="41"/>
        <v>1</v>
      </c>
      <c r="DC142" s="164">
        <f t="shared" si="50"/>
        <v>34</v>
      </c>
      <c r="DD142" s="166">
        <f t="shared" si="42"/>
        <v>603.41707704048338</v>
      </c>
      <c r="DE142" s="164">
        <f t="shared" si="43"/>
        <v>34</v>
      </c>
      <c r="DF142" s="166">
        <f t="shared" si="44"/>
        <v>680.4921075159649</v>
      </c>
      <c r="DG142" s="164">
        <f t="shared" si="45"/>
        <v>34</v>
      </c>
      <c r="DH142" s="166">
        <f t="shared" si="46"/>
        <v>757.56713799144643</v>
      </c>
      <c r="DI142" s="164">
        <f>IFERROR(INDEX(DC$106:DC$154,_xlfn.AGGREGATE(15,6,(ROW(DC$106:DC$154)-ROW(DC$106)+1)/(DC$106:DC$154&lt;&gt;""),ROWS(DI$1:DI37))),"")</f>
        <v>34</v>
      </c>
      <c r="DJ142" s="165">
        <f>IFERROR(INDEX(DD$106:DD$154,_xlfn.AGGREGATE(15,6,(ROW(DD$106:DD$154)-ROW(DD$106)+1)/(DD$106:DD$154&lt;&gt;""),ROWS(DJ$1:DJ37))),"")</f>
        <v>603.41707704048338</v>
      </c>
      <c r="DK142" s="166">
        <f t="shared" si="47"/>
        <v>142</v>
      </c>
      <c r="DL142" s="164">
        <f>IFERROR(INDEX(DE$106:DE$154,_xlfn.AGGREGATE(15,6,(ROW(DE$106:DE$154)-ROW(DE$106)+1)/(DE$106:DE$154&lt;&gt;""),ROWS(DL$1:DL37))),"")</f>
        <v>34</v>
      </c>
      <c r="DM142" s="165">
        <f>IFERROR(INDEX(DF$106:DF$154,_xlfn.AGGREGATE(15,6,(ROW(DF$106:DF$154)-ROW(DF$106)+1)/(DF$106:DF$154&lt;&gt;""),ROWS(DM$1:DM37))),"")</f>
        <v>680.4921075159649</v>
      </c>
      <c r="DN142" s="166">
        <f t="shared" si="48"/>
        <v>142</v>
      </c>
      <c r="DO142" s="164">
        <f>IFERROR(INDEX(DG$106:DG$154,_xlfn.AGGREGATE(15,6,(ROW(DG$106:DG$154)-ROW(DG$106)+1)/(DG$106:DG$154&lt;&gt;""),ROWS(DO$1:DO37))),"")</f>
        <v>34</v>
      </c>
      <c r="DP142" s="165">
        <f>IFERROR(INDEX(DH$106:DH$154,_xlfn.AGGREGATE(15,6,(ROW(DH$106:DH$154)-ROW(DH$106)+1)/(DH$106:DH$154&lt;&gt;""),ROWS(DP$1:DP37))),"")</f>
        <v>757.56713799144643</v>
      </c>
      <c r="DQ142" s="166">
        <f t="shared" si="49"/>
        <v>142</v>
      </c>
      <c r="DV142" s="145">
        <v>2051</v>
      </c>
      <c r="DW142" s="235">
        <f t="shared" ca="1" si="34"/>
        <v>683.62057527993352</v>
      </c>
      <c r="EA142" s="55"/>
      <c r="EB142" s="55"/>
      <c r="EC142" s="55"/>
      <c r="ED142" s="55"/>
      <c r="EE142" s="55"/>
    </row>
    <row r="143" spans="2:135" ht="13.8" x14ac:dyDescent="0.45">
      <c r="B143" s="128">
        <v>2049</v>
      </c>
      <c r="C143" s="1023">
        <v>712.41837899543373</v>
      </c>
      <c r="D143" s="1026">
        <v>759.42883984894922</v>
      </c>
      <c r="E143" s="1027"/>
      <c r="F143" s="940"/>
      <c r="G143" s="207"/>
      <c r="H143" s="204"/>
      <c r="I143" s="1112">
        <v>576.85294117647072</v>
      </c>
      <c r="J143" s="207"/>
      <c r="K143" s="204"/>
      <c r="L143" s="206"/>
      <c r="M143" s="204"/>
      <c r="N143" s="29" t="s">
        <v>119</v>
      </c>
      <c r="O143" s="120"/>
      <c r="P143" s="120"/>
      <c r="Q143" s="120"/>
      <c r="R143" s="29">
        <v>35</v>
      </c>
      <c r="S143" s="154">
        <f t="shared" si="35"/>
        <v>576.85294117647072</v>
      </c>
      <c r="T143" s="154">
        <f t="shared" si="36"/>
        <v>759.42883984894922</v>
      </c>
      <c r="U143" s="154">
        <f t="shared" si="37"/>
        <v>77.403653471604443</v>
      </c>
      <c r="W143" s="154">
        <f t="shared" si="38"/>
        <v>605.4963998686801</v>
      </c>
      <c r="X143" s="154">
        <f t="shared" si="68"/>
        <v>682.90005334028456</v>
      </c>
      <c r="Y143" s="154">
        <f t="shared" si="40"/>
        <v>760.30370681188901</v>
      </c>
      <c r="AA143" s="1133">
        <v>712.41837899543373</v>
      </c>
      <c r="AB143" s="1133">
        <v>735.92360942219148</v>
      </c>
      <c r="AC143" s="1133">
        <v>759.42883984894922</v>
      </c>
      <c r="AD143" s="89"/>
      <c r="AE143" s="89"/>
      <c r="AF143" s="89"/>
      <c r="AG143" s="89"/>
      <c r="AH143" s="89"/>
      <c r="AI143" s="89"/>
      <c r="AJ143" s="89"/>
      <c r="AK143" s="89"/>
      <c r="AL143" s="89"/>
      <c r="AM143" s="89"/>
      <c r="AN143" s="89"/>
      <c r="BR143" s="180">
        <v>2047</v>
      </c>
      <c r="BS143" s="22">
        <v>33</v>
      </c>
      <c r="BT143" s="181">
        <f t="shared" si="51"/>
        <v>111.8255322149811</v>
      </c>
      <c r="BU143" s="182">
        <f t="shared" si="52"/>
        <v>564.82896786797232</v>
      </c>
      <c r="BV143" s="205">
        <f t="shared" si="53"/>
        <v>676.6545000829534</v>
      </c>
      <c r="BY143" s="180">
        <v>2047</v>
      </c>
      <c r="BZ143" s="22">
        <v>33</v>
      </c>
      <c r="CA143" s="198">
        <f t="shared" ca="1" si="54"/>
        <v>-65.948004824298167</v>
      </c>
      <c r="CB143" s="198">
        <f t="shared" ca="1" si="55"/>
        <v>199.7562053140453</v>
      </c>
      <c r="CC143" s="198">
        <f t="shared" ca="1" si="66"/>
        <v>547.6304064629212</v>
      </c>
      <c r="CD143" s="205">
        <f t="shared" ca="1" si="56"/>
        <v>681.43860695266835</v>
      </c>
      <c r="CG143" s="180">
        <v>2047</v>
      </c>
      <c r="CH143" s="22">
        <v>33</v>
      </c>
      <c r="CI143" s="198">
        <f t="shared" ca="1" si="57"/>
        <v>90.190440155556232</v>
      </c>
      <c r="CJ143" s="198">
        <f t="shared" ca="1" si="58"/>
        <v>-246.3288851354107</v>
      </c>
      <c r="CK143" s="198">
        <f t="shared" ca="1" si="59"/>
        <v>290.2116678832819</v>
      </c>
      <c r="CL143" s="198">
        <f t="shared" ca="1" si="60"/>
        <v>540.77295150894497</v>
      </c>
      <c r="CM143" s="205">
        <f t="shared" ca="1" si="61"/>
        <v>674.84617441237242</v>
      </c>
      <c r="CP143" s="180">
        <v>2047</v>
      </c>
      <c r="CQ143" s="22">
        <v>33</v>
      </c>
      <c r="CR143" s="198">
        <f t="shared" ca="1" si="62"/>
        <v>565.62380568274648</v>
      </c>
      <c r="CS143" s="198">
        <f t="shared" ca="1" si="63"/>
        <v>1.1960737811999642</v>
      </c>
      <c r="CT143" s="205">
        <f t="shared" ca="1" si="64"/>
        <v>676.52780399967639</v>
      </c>
      <c r="CZ143" s="164" t="b">
        <f t="shared" si="41"/>
        <v>1</v>
      </c>
      <c r="DA143" s="165" t="b">
        <f t="shared" si="41"/>
        <v>1</v>
      </c>
      <c r="DB143" s="166" t="b">
        <f t="shared" si="41"/>
        <v>1</v>
      </c>
      <c r="DC143" s="164">
        <f t="shared" si="50"/>
        <v>35</v>
      </c>
      <c r="DD143" s="166">
        <f t="shared" si="42"/>
        <v>605.4963998686801</v>
      </c>
      <c r="DE143" s="164">
        <f t="shared" si="43"/>
        <v>35</v>
      </c>
      <c r="DF143" s="166">
        <f t="shared" si="44"/>
        <v>682.90005334028456</v>
      </c>
      <c r="DG143" s="164">
        <f t="shared" si="45"/>
        <v>35</v>
      </c>
      <c r="DH143" s="166">
        <f t="shared" si="46"/>
        <v>760.30370681188901</v>
      </c>
      <c r="DI143" s="164">
        <f>IFERROR(INDEX(DC$106:DC$154,_xlfn.AGGREGATE(15,6,(ROW(DC$106:DC$154)-ROW(DC$106)+1)/(DC$106:DC$154&lt;&gt;""),ROWS(DI$1:DI38))),"")</f>
        <v>35</v>
      </c>
      <c r="DJ143" s="165">
        <f>IFERROR(INDEX(DD$106:DD$154,_xlfn.AGGREGATE(15,6,(ROW(DD$106:DD$154)-ROW(DD$106)+1)/(DD$106:DD$154&lt;&gt;""),ROWS(DJ$1:DJ38))),"")</f>
        <v>605.4963998686801</v>
      </c>
      <c r="DK143" s="166">
        <f t="shared" si="47"/>
        <v>143</v>
      </c>
      <c r="DL143" s="164">
        <f>IFERROR(INDEX(DE$106:DE$154,_xlfn.AGGREGATE(15,6,(ROW(DE$106:DE$154)-ROW(DE$106)+1)/(DE$106:DE$154&lt;&gt;""),ROWS(DL$1:DL38))),"")</f>
        <v>35</v>
      </c>
      <c r="DM143" s="165">
        <f>IFERROR(INDEX(DF$106:DF$154,_xlfn.AGGREGATE(15,6,(ROW(DF$106:DF$154)-ROW(DF$106)+1)/(DF$106:DF$154&lt;&gt;""),ROWS(DM$1:DM38))),"")</f>
        <v>682.90005334028456</v>
      </c>
      <c r="DN143" s="166">
        <f t="shared" si="48"/>
        <v>143</v>
      </c>
      <c r="DO143" s="164">
        <f>IFERROR(INDEX(DG$106:DG$154,_xlfn.AGGREGATE(15,6,(ROW(DG$106:DG$154)-ROW(DG$106)+1)/(DG$106:DG$154&lt;&gt;""),ROWS(DO$1:DO38))),"")</f>
        <v>35</v>
      </c>
      <c r="DP143" s="165">
        <f>IFERROR(INDEX(DH$106:DH$154,_xlfn.AGGREGATE(15,6,(ROW(DH$106:DH$154)-ROW(DH$106)+1)/(DH$106:DH$154&lt;&gt;""),ROWS(DP$1:DP38))),"")</f>
        <v>760.30370681188901</v>
      </c>
      <c r="DQ143" s="166">
        <f t="shared" si="49"/>
        <v>143</v>
      </c>
      <c r="DV143" s="145">
        <v>2052</v>
      </c>
      <c r="DW143" s="235">
        <f t="shared" ca="1" si="34"/>
        <v>686.03841713181441</v>
      </c>
      <c r="EA143" s="55"/>
      <c r="EB143" s="55"/>
      <c r="EC143" s="55"/>
      <c r="ED143" s="55"/>
      <c r="EE143" s="55"/>
    </row>
    <row r="144" spans="2:135" ht="13.8" x14ac:dyDescent="0.45">
      <c r="B144" s="128">
        <v>2050</v>
      </c>
      <c r="C144" s="1023">
        <v>713.4</v>
      </c>
      <c r="D144" s="1026">
        <v>760.0321879034957</v>
      </c>
      <c r="E144" s="1027"/>
      <c r="F144" s="940"/>
      <c r="G144" s="207"/>
      <c r="H144" s="204"/>
      <c r="I144" s="1112">
        <v>578.1</v>
      </c>
      <c r="J144" s="207"/>
      <c r="K144" s="204"/>
      <c r="L144" s="206"/>
      <c r="M144" s="204"/>
      <c r="N144" s="29" t="s">
        <v>119</v>
      </c>
      <c r="O144" s="120"/>
      <c r="P144" s="120"/>
      <c r="Q144" s="120"/>
      <c r="R144" s="29">
        <v>36</v>
      </c>
      <c r="S144" s="154">
        <f t="shared" si="35"/>
        <v>578.1</v>
      </c>
      <c r="T144" s="154">
        <f t="shared" si="36"/>
        <v>760.0321879034957</v>
      </c>
      <c r="U144" s="154">
        <f t="shared" si="37"/>
        <v>77.157826667177687</v>
      </c>
      <c r="W144" s="154">
        <f t="shared" si="38"/>
        <v>606.68623596732084</v>
      </c>
      <c r="X144" s="154">
        <f t="shared" si="68"/>
        <v>683.84406263449853</v>
      </c>
      <c r="Y144" s="154">
        <f t="shared" si="40"/>
        <v>761.00188930167621</v>
      </c>
      <c r="AA144" s="1133">
        <v>713.39999999999986</v>
      </c>
      <c r="AB144" s="1133">
        <v>736.71609395174778</v>
      </c>
      <c r="AC144" s="1133">
        <v>760.0321879034957</v>
      </c>
      <c r="AD144" s="89"/>
      <c r="AE144" s="89"/>
      <c r="AF144" s="89"/>
      <c r="AG144" s="89"/>
      <c r="AH144" s="89"/>
      <c r="AI144" s="89"/>
      <c r="AJ144" s="89"/>
      <c r="AK144" s="89"/>
      <c r="AL144" s="89"/>
      <c r="AM144" s="89"/>
      <c r="AN144" s="89"/>
      <c r="BR144" s="180">
        <v>2048</v>
      </c>
      <c r="BS144" s="22">
        <v>34</v>
      </c>
      <c r="BT144" s="181">
        <f t="shared" si="51"/>
        <v>115.21418470634416</v>
      </c>
      <c r="BU144" s="182">
        <f t="shared" si="52"/>
        <v>564.82896786797232</v>
      </c>
      <c r="BV144" s="205">
        <f t="shared" si="53"/>
        <v>680.04315257431654</v>
      </c>
      <c r="BY144" s="180">
        <v>2048</v>
      </c>
      <c r="BZ144" s="22">
        <v>34</v>
      </c>
      <c r="CA144" s="198">
        <f t="shared" ca="1" si="54"/>
        <v>-70.005411916334879</v>
      </c>
      <c r="CB144" s="198">
        <f t="shared" ca="1" si="55"/>
        <v>205.80942365689518</v>
      </c>
      <c r="CC144" s="198">
        <f t="shared" ca="1" si="66"/>
        <v>547.6304064629212</v>
      </c>
      <c r="CD144" s="205">
        <f t="shared" ca="1" si="56"/>
        <v>683.43441820348153</v>
      </c>
      <c r="CG144" s="180">
        <v>2048</v>
      </c>
      <c r="CH144" s="22">
        <v>34</v>
      </c>
      <c r="CI144" s="198">
        <f t="shared" ca="1" si="57"/>
        <v>98.640539273561572</v>
      </c>
      <c r="CJ144" s="198">
        <f t="shared" ca="1" si="58"/>
        <v>-261.48410580030742</v>
      </c>
      <c r="CK144" s="198">
        <f t="shared" ca="1" si="59"/>
        <v>299.00596084944198</v>
      </c>
      <c r="CL144" s="198">
        <f t="shared" ca="1" si="60"/>
        <v>540.77295150894497</v>
      </c>
      <c r="CM144" s="205">
        <f t="shared" ca="1" si="61"/>
        <v>676.93534583164114</v>
      </c>
      <c r="CP144" s="180">
        <v>2048</v>
      </c>
      <c r="CQ144" s="22">
        <v>34</v>
      </c>
      <c r="CR144" s="198">
        <f t="shared" ca="1" si="62"/>
        <v>565.62380568274648</v>
      </c>
      <c r="CS144" s="198">
        <f t="shared" ca="1" si="63"/>
        <v>1.2025808188493454</v>
      </c>
      <c r="CT144" s="205">
        <f t="shared" ca="1" si="64"/>
        <v>680.20833939864031</v>
      </c>
      <c r="CZ144" s="164" t="b">
        <f t="shared" si="41"/>
        <v>1</v>
      </c>
      <c r="DA144" s="165" t="b">
        <f t="shared" si="41"/>
        <v>1</v>
      </c>
      <c r="DB144" s="166" t="b">
        <f t="shared" si="41"/>
        <v>1</v>
      </c>
      <c r="DC144" s="164">
        <f t="shared" si="50"/>
        <v>36</v>
      </c>
      <c r="DD144" s="166">
        <f t="shared" si="42"/>
        <v>606.68623596732084</v>
      </c>
      <c r="DE144" s="164">
        <f t="shared" si="43"/>
        <v>36</v>
      </c>
      <c r="DF144" s="166">
        <f t="shared" si="44"/>
        <v>683.84406263449853</v>
      </c>
      <c r="DG144" s="164">
        <f t="shared" si="45"/>
        <v>36</v>
      </c>
      <c r="DH144" s="166">
        <f t="shared" si="46"/>
        <v>761.00188930167621</v>
      </c>
      <c r="DI144" s="164">
        <f>IFERROR(INDEX(DC$106:DC$154,_xlfn.AGGREGATE(15,6,(ROW(DC$106:DC$154)-ROW(DC$106)+1)/(DC$106:DC$154&lt;&gt;""),ROWS(DI$1:DI39))),"")</f>
        <v>36</v>
      </c>
      <c r="DJ144" s="165">
        <f>IFERROR(INDEX(DD$106:DD$154,_xlfn.AGGREGATE(15,6,(ROW(DD$106:DD$154)-ROW(DD$106)+1)/(DD$106:DD$154&lt;&gt;""),ROWS(DJ$1:DJ39))),"")</f>
        <v>606.68623596732084</v>
      </c>
      <c r="DK144" s="166">
        <f t="shared" si="47"/>
        <v>144</v>
      </c>
      <c r="DL144" s="164">
        <f>IFERROR(INDEX(DE$106:DE$154,_xlfn.AGGREGATE(15,6,(ROW(DE$106:DE$154)-ROW(DE$106)+1)/(DE$106:DE$154&lt;&gt;""),ROWS(DL$1:DL39))),"")</f>
        <v>36</v>
      </c>
      <c r="DM144" s="165">
        <f>IFERROR(INDEX(DF$106:DF$154,_xlfn.AGGREGATE(15,6,(ROW(DF$106:DF$154)-ROW(DF$106)+1)/(DF$106:DF$154&lt;&gt;""),ROWS(DM$1:DM39))),"")</f>
        <v>683.84406263449853</v>
      </c>
      <c r="DN144" s="166">
        <f t="shared" si="48"/>
        <v>144</v>
      </c>
      <c r="DO144" s="164">
        <f>IFERROR(INDEX(DG$106:DG$154,_xlfn.AGGREGATE(15,6,(ROW(DG$106:DG$154)-ROW(DG$106)+1)/(DG$106:DG$154&lt;&gt;""),ROWS(DO$1:DO39))),"")</f>
        <v>36</v>
      </c>
      <c r="DP144" s="165">
        <f>IFERROR(INDEX(DH$106:DH$154,_xlfn.AGGREGATE(15,6,(ROW(DH$106:DH$154)-ROW(DH$106)+1)/(DH$106:DH$154&lt;&gt;""),ROWS(DP$1:DP39))),"")</f>
        <v>761.00188930167621</v>
      </c>
      <c r="DQ144" s="166">
        <f t="shared" si="49"/>
        <v>144</v>
      </c>
      <c r="DV144" s="145">
        <v>2053</v>
      </c>
      <c r="DW144" s="235">
        <f t="shared" ca="1" si="34"/>
        <v>688.57607182106437</v>
      </c>
      <c r="EA144" s="55"/>
      <c r="EB144" s="55"/>
      <c r="EC144" s="55"/>
      <c r="ED144" s="55"/>
      <c r="EE144" s="55"/>
    </row>
    <row r="145" spans="1:135" ht="13.8" x14ac:dyDescent="0.45">
      <c r="B145" s="128">
        <v>2051</v>
      </c>
      <c r="C145" s="1023">
        <v>722.76563926940639</v>
      </c>
      <c r="D145" s="1026">
        <v>760.42768042252806</v>
      </c>
      <c r="E145" s="1027"/>
      <c r="F145" s="940"/>
      <c r="G145" s="207"/>
      <c r="H145" s="204"/>
      <c r="I145" s="1112">
        <v>579.34705882352955</v>
      </c>
      <c r="J145" s="207"/>
      <c r="K145" s="204"/>
      <c r="L145" s="206"/>
      <c r="M145" s="204"/>
      <c r="N145" s="29" t="s">
        <v>119</v>
      </c>
      <c r="O145" s="120"/>
      <c r="P145" s="120"/>
      <c r="Q145" s="120"/>
      <c r="R145" s="29">
        <v>37</v>
      </c>
      <c r="S145" s="154">
        <f t="shared" si="35"/>
        <v>579.34705882352955</v>
      </c>
      <c r="T145" s="154">
        <f t="shared" si="36"/>
        <v>760.42768042252806</v>
      </c>
      <c r="U145" s="154">
        <f t="shared" si="37"/>
        <v>78.01531906520394</v>
      </c>
      <c r="W145" s="154">
        <f t="shared" si="38"/>
        <v>609.4981404399507</v>
      </c>
      <c r="X145" s="154">
        <f t="shared" si="68"/>
        <v>687.51345950515463</v>
      </c>
      <c r="Y145" s="154">
        <f t="shared" si="40"/>
        <v>765.52877857035855</v>
      </c>
      <c r="AA145" s="1133">
        <v>722.76563926940639</v>
      </c>
      <c r="AB145" s="1133">
        <v>741.59665984596722</v>
      </c>
      <c r="AC145" s="1133">
        <v>760.42768042252806</v>
      </c>
      <c r="AD145" s="89"/>
      <c r="AE145" s="89"/>
      <c r="AF145" s="89"/>
      <c r="AG145" s="89"/>
      <c r="AH145" s="89"/>
      <c r="AI145" s="89"/>
      <c r="AJ145" s="89"/>
      <c r="AK145" s="89"/>
      <c r="AL145" s="89"/>
      <c r="AM145" s="89"/>
      <c r="AN145" s="89"/>
      <c r="BR145" s="180">
        <v>2049</v>
      </c>
      <c r="BS145" s="22">
        <v>35</v>
      </c>
      <c r="BT145" s="181">
        <f t="shared" si="51"/>
        <v>118.60283719770723</v>
      </c>
      <c r="BU145" s="182">
        <f t="shared" si="52"/>
        <v>564.82896786797232</v>
      </c>
      <c r="BV145" s="205">
        <f t="shared" si="53"/>
        <v>683.43180506567955</v>
      </c>
      <c r="BY145" s="180">
        <v>2049</v>
      </c>
      <c r="BZ145" s="22">
        <v>35</v>
      </c>
      <c r="CA145" s="198">
        <f t="shared" ca="1" si="54"/>
        <v>-74.183935637984618</v>
      </c>
      <c r="CB145" s="198">
        <f t="shared" ca="1" si="55"/>
        <v>211.86264199974502</v>
      </c>
      <c r="CC145" s="198">
        <f t="shared" ca="1" si="66"/>
        <v>547.6304064629212</v>
      </c>
      <c r="CD145" s="205">
        <f t="shared" ca="1" si="56"/>
        <v>685.30911282468162</v>
      </c>
      <c r="CG145" s="180">
        <v>2049</v>
      </c>
      <c r="CH145" s="22">
        <v>35</v>
      </c>
      <c r="CI145" s="198">
        <f t="shared" ca="1" si="57"/>
        <v>107.60261350890373</v>
      </c>
      <c r="CJ145" s="198">
        <f t="shared" ca="1" si="58"/>
        <v>-277.09172111191748</v>
      </c>
      <c r="CK145" s="198">
        <f t="shared" ca="1" si="59"/>
        <v>307.80025381560199</v>
      </c>
      <c r="CL145" s="198">
        <f t="shared" ca="1" si="60"/>
        <v>540.77295150894497</v>
      </c>
      <c r="CM145" s="205">
        <f t="shared" ca="1" si="61"/>
        <v>679.08409772153323</v>
      </c>
      <c r="CP145" s="180">
        <v>2049</v>
      </c>
      <c r="CQ145" s="22">
        <v>35</v>
      </c>
      <c r="CR145" s="198">
        <f t="shared" ca="1" si="62"/>
        <v>565.62380568274648</v>
      </c>
      <c r="CS145" s="198">
        <f t="shared" ca="1" si="63"/>
        <v>1.2091232569394319</v>
      </c>
      <c r="CT145" s="205">
        <f t="shared" ca="1" si="64"/>
        <v>683.90889812959881</v>
      </c>
      <c r="CZ145" s="164" t="b">
        <f t="shared" si="41"/>
        <v>1</v>
      </c>
      <c r="DA145" s="165" t="b">
        <f t="shared" si="41"/>
        <v>1</v>
      </c>
      <c r="DB145" s="166" t="b">
        <f t="shared" si="41"/>
        <v>1</v>
      </c>
      <c r="DC145" s="164">
        <f t="shared" si="50"/>
        <v>37</v>
      </c>
      <c r="DD145" s="166">
        <f t="shared" si="42"/>
        <v>609.4981404399507</v>
      </c>
      <c r="DE145" s="164">
        <f t="shared" si="43"/>
        <v>37</v>
      </c>
      <c r="DF145" s="166">
        <f t="shared" si="44"/>
        <v>687.51345950515463</v>
      </c>
      <c r="DG145" s="164">
        <f t="shared" si="45"/>
        <v>37</v>
      </c>
      <c r="DH145" s="166">
        <f t="shared" si="46"/>
        <v>765.52877857035855</v>
      </c>
      <c r="DI145" s="164">
        <f>IFERROR(INDEX(DC$106:DC$154,_xlfn.AGGREGATE(15,6,(ROW(DC$106:DC$154)-ROW(DC$106)+1)/(DC$106:DC$154&lt;&gt;""),ROWS(DI$1:DI40))),"")</f>
        <v>37</v>
      </c>
      <c r="DJ145" s="165">
        <f>IFERROR(INDEX(DD$106:DD$154,_xlfn.AGGREGATE(15,6,(ROW(DD$106:DD$154)-ROW(DD$106)+1)/(DD$106:DD$154&lt;&gt;""),ROWS(DJ$1:DJ40))),"")</f>
        <v>609.4981404399507</v>
      </c>
      <c r="DK145" s="166">
        <f t="shared" si="47"/>
        <v>145</v>
      </c>
      <c r="DL145" s="164">
        <f>IFERROR(INDEX(DE$106:DE$154,_xlfn.AGGREGATE(15,6,(ROW(DE$106:DE$154)-ROW(DE$106)+1)/(DE$106:DE$154&lt;&gt;""),ROWS(DL$1:DL40))),"")</f>
        <v>37</v>
      </c>
      <c r="DM145" s="165">
        <f>IFERROR(INDEX(DF$106:DF$154,_xlfn.AGGREGATE(15,6,(ROW(DF$106:DF$154)-ROW(DF$106)+1)/(DF$106:DF$154&lt;&gt;""),ROWS(DM$1:DM40))),"")</f>
        <v>687.51345950515463</v>
      </c>
      <c r="DN145" s="166">
        <f t="shared" si="48"/>
        <v>145</v>
      </c>
      <c r="DO145" s="164">
        <f>IFERROR(INDEX(DG$106:DG$154,_xlfn.AGGREGATE(15,6,(ROW(DG$106:DG$154)-ROW(DG$106)+1)/(DG$106:DG$154&lt;&gt;""),ROWS(DO$1:DO40))),"")</f>
        <v>37</v>
      </c>
      <c r="DP145" s="165">
        <f>IFERROR(INDEX(DH$106:DH$154,_xlfn.AGGREGATE(15,6,(ROW(DH$106:DH$154)-ROW(DH$106)+1)/(DH$106:DH$154&lt;&gt;""),ROWS(DP$1:DP40))),"")</f>
        <v>765.52877857035855</v>
      </c>
      <c r="DQ145" s="166">
        <f t="shared" si="49"/>
        <v>145</v>
      </c>
      <c r="DV145" s="145">
        <v>2054</v>
      </c>
      <c r="DW145" s="235">
        <f t="shared" ca="1" si="34"/>
        <v>691.24859743936963</v>
      </c>
      <c r="EA145" s="55"/>
      <c r="EB145" s="55"/>
      <c r="EC145" s="55"/>
      <c r="ED145" s="55"/>
      <c r="EE145" s="55"/>
    </row>
    <row r="146" spans="1:135" ht="14.1" thickBot="1" x14ac:dyDescent="0.5">
      <c r="B146" s="128">
        <v>2052</v>
      </c>
      <c r="C146" s="1023">
        <v>727.93926940639267</v>
      </c>
      <c r="D146" s="1026">
        <v>760.60726232842944</v>
      </c>
      <c r="E146" s="1027"/>
      <c r="F146" s="940"/>
      <c r="G146" s="207"/>
      <c r="H146" s="204"/>
      <c r="I146" s="1112">
        <v>580.59411764705897</v>
      </c>
      <c r="J146" s="207"/>
      <c r="K146" s="204"/>
      <c r="L146" s="206"/>
      <c r="M146" s="204"/>
      <c r="N146" s="29" t="s">
        <v>119</v>
      </c>
      <c r="O146" s="120"/>
      <c r="P146" s="120"/>
      <c r="Q146" s="120"/>
      <c r="R146" s="29">
        <v>38</v>
      </c>
      <c r="S146" s="154">
        <f t="shared" si="35"/>
        <v>580.59411764705897</v>
      </c>
      <c r="T146" s="154">
        <f t="shared" si="36"/>
        <v>760.60726232842944</v>
      </c>
      <c r="U146" s="154">
        <f t="shared" si="37"/>
        <v>78.303202550236847</v>
      </c>
      <c r="W146" s="154">
        <f t="shared" si="38"/>
        <v>611.41034724372355</v>
      </c>
      <c r="X146" s="154">
        <f t="shared" si="68"/>
        <v>689.7135497939604</v>
      </c>
      <c r="Y146" s="154">
        <f t="shared" si="40"/>
        <v>768.01675234419724</v>
      </c>
      <c r="AA146" s="1133">
        <v>727.93926940639267</v>
      </c>
      <c r="AB146" s="1133">
        <v>744.27326586741106</v>
      </c>
      <c r="AC146" s="1133">
        <v>760.60726232842944</v>
      </c>
      <c r="AD146" s="89"/>
      <c r="AE146" s="89"/>
      <c r="AF146" s="89"/>
      <c r="AG146" s="89"/>
      <c r="AH146" s="89"/>
      <c r="AI146" s="89"/>
      <c r="AJ146" s="89"/>
      <c r="AK146" s="89"/>
      <c r="AL146" s="89"/>
      <c r="AM146" s="89"/>
      <c r="AN146" s="89"/>
      <c r="BR146" s="180">
        <v>2050</v>
      </c>
      <c r="BS146" s="22">
        <v>36</v>
      </c>
      <c r="BT146" s="181">
        <f t="shared" si="51"/>
        <v>121.99148968907029</v>
      </c>
      <c r="BU146" s="182">
        <f t="shared" si="52"/>
        <v>564.82896786797232</v>
      </c>
      <c r="BV146" s="212">
        <f t="shared" si="53"/>
        <v>686.82045755704257</v>
      </c>
      <c r="BY146" s="180">
        <v>2050</v>
      </c>
      <c r="BZ146" s="22">
        <v>36</v>
      </c>
      <c r="CA146" s="198">
        <f t="shared" ca="1" si="54"/>
        <v>-78.483575989247399</v>
      </c>
      <c r="CB146" s="198">
        <f t="shared" ca="1" si="55"/>
        <v>217.9158603425949</v>
      </c>
      <c r="CC146" s="198">
        <f t="shared" ca="1" si="66"/>
        <v>547.6304064629212</v>
      </c>
      <c r="CD146" s="212">
        <f t="shared" ca="1" si="56"/>
        <v>687.06269081626874</v>
      </c>
      <c r="CG146" s="180">
        <v>2050</v>
      </c>
      <c r="CH146" s="22">
        <v>36</v>
      </c>
      <c r="CI146" s="198">
        <f t="shared" ca="1" si="57"/>
        <v>117.09172095326909</v>
      </c>
      <c r="CJ146" s="198">
        <f t="shared" ca="1" si="58"/>
        <v>-293.15173107024083</v>
      </c>
      <c r="CK146" s="198">
        <f t="shared" ca="1" si="59"/>
        <v>316.59454678176206</v>
      </c>
      <c r="CL146" s="198">
        <f t="shared" ca="1" si="60"/>
        <v>540.77295150894497</v>
      </c>
      <c r="CM146" s="212">
        <f t="shared" ca="1" si="61"/>
        <v>681.30748817373524</v>
      </c>
      <c r="CP146" s="180">
        <v>2050</v>
      </c>
      <c r="CQ146" s="22">
        <v>36</v>
      </c>
      <c r="CR146" s="198">
        <f t="shared" ca="1" si="62"/>
        <v>565.62380568274648</v>
      </c>
      <c r="CS146" s="198">
        <f t="shared" ca="1" si="63"/>
        <v>1.2157012880603495</v>
      </c>
      <c r="CT146" s="212">
        <f t="shared" ca="1" si="64"/>
        <v>687.62958912611168</v>
      </c>
      <c r="CZ146" s="164" t="b">
        <f t="shared" ref="CZ146:DB154" si="69">ISNUMBER(W146)</f>
        <v>1</v>
      </c>
      <c r="DA146" s="165" t="b">
        <f t="shared" si="69"/>
        <v>1</v>
      </c>
      <c r="DB146" s="166" t="b">
        <f t="shared" si="69"/>
        <v>1</v>
      </c>
      <c r="DC146" s="164">
        <f t="shared" si="50"/>
        <v>38</v>
      </c>
      <c r="DD146" s="166">
        <f t="shared" si="42"/>
        <v>611.41034724372355</v>
      </c>
      <c r="DE146" s="164">
        <f t="shared" si="43"/>
        <v>38</v>
      </c>
      <c r="DF146" s="166">
        <f t="shared" si="44"/>
        <v>689.7135497939604</v>
      </c>
      <c r="DG146" s="164">
        <f t="shared" si="45"/>
        <v>38</v>
      </c>
      <c r="DH146" s="166">
        <f t="shared" si="46"/>
        <v>768.01675234419724</v>
      </c>
      <c r="DI146" s="164">
        <f>IFERROR(INDEX(DC$106:DC$154,_xlfn.AGGREGATE(15,6,(ROW(DC$106:DC$154)-ROW(DC$106)+1)/(DC$106:DC$154&lt;&gt;""),ROWS(DI$1:DI41))),"")</f>
        <v>38</v>
      </c>
      <c r="DJ146" s="165">
        <f>IFERROR(INDEX(DD$106:DD$154,_xlfn.AGGREGATE(15,6,(ROW(DD$106:DD$154)-ROW(DD$106)+1)/(DD$106:DD$154&lt;&gt;""),ROWS(DJ$1:DJ41))),"")</f>
        <v>611.41034724372355</v>
      </c>
      <c r="DK146" s="166">
        <f t="shared" si="47"/>
        <v>146</v>
      </c>
      <c r="DL146" s="164">
        <f>IFERROR(INDEX(DE$106:DE$154,_xlfn.AGGREGATE(15,6,(ROW(DE$106:DE$154)-ROW(DE$106)+1)/(DE$106:DE$154&lt;&gt;""),ROWS(DL$1:DL41))),"")</f>
        <v>38</v>
      </c>
      <c r="DM146" s="165">
        <f>IFERROR(INDEX(DF$106:DF$154,_xlfn.AGGREGATE(15,6,(ROW(DF$106:DF$154)-ROW(DF$106)+1)/(DF$106:DF$154&lt;&gt;""),ROWS(DM$1:DM41))),"")</f>
        <v>689.7135497939604</v>
      </c>
      <c r="DN146" s="166">
        <f t="shared" si="48"/>
        <v>146</v>
      </c>
      <c r="DO146" s="164">
        <f>IFERROR(INDEX(DG$106:DG$154,_xlfn.AGGREGATE(15,6,(ROW(DG$106:DG$154)-ROW(DG$106)+1)/(DG$106:DG$154&lt;&gt;""),ROWS(DO$1:DO41))),"")</f>
        <v>38</v>
      </c>
      <c r="DP146" s="165">
        <f>IFERROR(INDEX(DH$106:DH$154,_xlfn.AGGREGATE(15,6,(ROW(DH$106:DH$154)-ROW(DH$106)+1)/(DH$106:DH$154&lt;&gt;""),ROWS(DP$1:DP41))),"")</f>
        <v>768.01675234419724</v>
      </c>
      <c r="DQ146" s="166">
        <f t="shared" si="49"/>
        <v>146</v>
      </c>
      <c r="DV146" s="145">
        <v>2055</v>
      </c>
      <c r="DW146" s="235">
        <f t="shared" ca="1" si="34"/>
        <v>694.07105207841676</v>
      </c>
      <c r="EA146" s="55"/>
      <c r="EB146" s="55"/>
      <c r="EC146" s="55"/>
      <c r="ED146" s="55"/>
      <c r="EE146" s="55"/>
    </row>
    <row r="147" spans="1:135" ht="13.8" x14ac:dyDescent="0.45">
      <c r="B147" s="128">
        <v>2053</v>
      </c>
      <c r="C147" s="1023">
        <v>733.11289954337894</v>
      </c>
      <c r="D147" s="1026">
        <v>760.56287854358277</v>
      </c>
      <c r="E147" s="1027"/>
      <c r="F147" s="940"/>
      <c r="G147" s="207"/>
      <c r="H147" s="204"/>
      <c r="I147" s="1112">
        <v>581.84117647058838</v>
      </c>
      <c r="J147" s="207"/>
      <c r="K147" s="204"/>
      <c r="L147" s="206"/>
      <c r="M147" s="204"/>
      <c r="N147" s="29" t="s">
        <v>119</v>
      </c>
      <c r="O147" s="120"/>
      <c r="P147" s="120"/>
      <c r="Q147" s="120"/>
      <c r="R147" s="29">
        <v>39</v>
      </c>
      <c r="S147" s="154">
        <f t="shared" si="35"/>
        <v>581.84117647058838</v>
      </c>
      <c r="T147" s="154">
        <f t="shared" si="36"/>
        <v>760.56287854358277</v>
      </c>
      <c r="U147" s="154">
        <f t="shared" si="37"/>
        <v>78.583347359765753</v>
      </c>
      <c r="W147" s="154">
        <f t="shared" si="38"/>
        <v>613.25563749275091</v>
      </c>
      <c r="X147" s="154">
        <f t="shared" si="68"/>
        <v>691.83898485251666</v>
      </c>
      <c r="Y147" s="154">
        <f t="shared" si="40"/>
        <v>770.42233221228241</v>
      </c>
      <c r="AA147" s="1133">
        <v>733.11289954337894</v>
      </c>
      <c r="AB147" s="1133">
        <v>746.8378890434808</v>
      </c>
      <c r="AC147" s="1133">
        <v>760.56287854358266</v>
      </c>
      <c r="AD147" s="89"/>
      <c r="AE147" s="89"/>
      <c r="AF147" s="89"/>
      <c r="AG147" s="89"/>
      <c r="AH147" s="89"/>
      <c r="AI147" s="89"/>
      <c r="AJ147" s="89"/>
      <c r="AK147" s="89"/>
      <c r="AL147" s="89"/>
      <c r="AM147" s="89"/>
      <c r="AN147" s="89"/>
      <c r="BR147" s="180">
        <v>2051</v>
      </c>
      <c r="BS147" s="22">
        <v>37</v>
      </c>
      <c r="BT147" s="181">
        <f t="shared" si="51"/>
        <v>125.38014218043335</v>
      </c>
      <c r="BU147" s="182">
        <f t="shared" si="52"/>
        <v>564.82896786797232</v>
      </c>
      <c r="BV147" s="213">
        <f t="shared" si="53"/>
        <v>690.20911004840571</v>
      </c>
      <c r="BY147" s="180">
        <v>2051</v>
      </c>
      <c r="BZ147" s="22">
        <v>37</v>
      </c>
      <c r="CA147" s="198">
        <f t="shared" ca="1" si="54"/>
        <v>-82.904332970123221</v>
      </c>
      <c r="CB147" s="198">
        <f t="shared" ca="1" si="55"/>
        <v>223.96907868544474</v>
      </c>
      <c r="CC147" s="198">
        <f t="shared" ca="1" si="66"/>
        <v>547.6304064629212</v>
      </c>
      <c r="CD147" s="213">
        <f t="shared" ca="1" si="56"/>
        <v>688.69515217824278</v>
      </c>
      <c r="CG147" s="180">
        <v>2051</v>
      </c>
      <c r="CH147" s="22">
        <v>37</v>
      </c>
      <c r="CI147" s="198">
        <f t="shared" ca="1" si="57"/>
        <v>127.12291969834403</v>
      </c>
      <c r="CJ147" s="198">
        <f t="shared" ca="1" si="58"/>
        <v>-309.66413567527758</v>
      </c>
      <c r="CK147" s="198">
        <f t="shared" ca="1" si="59"/>
        <v>325.38883974792213</v>
      </c>
      <c r="CL147" s="198">
        <f t="shared" ca="1" si="60"/>
        <v>540.77295150894497</v>
      </c>
      <c r="CM147" s="213">
        <f t="shared" ca="1" si="61"/>
        <v>683.62057527993352</v>
      </c>
      <c r="CP147" s="180">
        <v>2051</v>
      </c>
      <c r="CQ147" s="22">
        <v>37</v>
      </c>
      <c r="CR147" s="198">
        <f t="shared" ca="1" si="62"/>
        <v>565.62380568274648</v>
      </c>
      <c r="CS147" s="198">
        <f t="shared" ca="1" si="63"/>
        <v>1.2223151058499793</v>
      </c>
      <c r="CT147" s="213">
        <f t="shared" ca="1" si="64"/>
        <v>691.37052191437442</v>
      </c>
      <c r="CZ147" s="164" t="b">
        <f t="shared" si="69"/>
        <v>1</v>
      </c>
      <c r="DA147" s="165" t="b">
        <f t="shared" si="69"/>
        <v>1</v>
      </c>
      <c r="DB147" s="166" t="b">
        <f t="shared" si="69"/>
        <v>1</v>
      </c>
      <c r="DC147" s="164">
        <f t="shared" si="50"/>
        <v>39</v>
      </c>
      <c r="DD147" s="166">
        <f t="shared" si="42"/>
        <v>613.25563749275091</v>
      </c>
      <c r="DE147" s="164">
        <f t="shared" si="43"/>
        <v>39</v>
      </c>
      <c r="DF147" s="166">
        <f t="shared" si="44"/>
        <v>691.83898485251666</v>
      </c>
      <c r="DG147" s="164">
        <f t="shared" si="45"/>
        <v>39</v>
      </c>
      <c r="DH147" s="166">
        <f t="shared" si="46"/>
        <v>770.42233221228241</v>
      </c>
      <c r="DI147" s="164">
        <f>IFERROR(INDEX(DC$106:DC$154,_xlfn.AGGREGATE(15,6,(ROW(DC$106:DC$154)-ROW(DC$106)+1)/(DC$106:DC$154&lt;&gt;""),ROWS(DI$1:DI42))),"")</f>
        <v>39</v>
      </c>
      <c r="DJ147" s="165">
        <f>IFERROR(INDEX(DD$106:DD$154,_xlfn.AGGREGATE(15,6,(ROW(DD$106:DD$154)-ROW(DD$106)+1)/(DD$106:DD$154&lt;&gt;""),ROWS(DJ$1:DJ42))),"")</f>
        <v>613.25563749275091</v>
      </c>
      <c r="DK147" s="166">
        <f t="shared" si="47"/>
        <v>147</v>
      </c>
      <c r="DL147" s="164">
        <f>IFERROR(INDEX(DE$106:DE$154,_xlfn.AGGREGATE(15,6,(ROW(DE$106:DE$154)-ROW(DE$106)+1)/(DE$106:DE$154&lt;&gt;""),ROWS(DL$1:DL42))),"")</f>
        <v>39</v>
      </c>
      <c r="DM147" s="165">
        <f>IFERROR(INDEX(DF$106:DF$154,_xlfn.AGGREGATE(15,6,(ROW(DF$106:DF$154)-ROW(DF$106)+1)/(DF$106:DF$154&lt;&gt;""),ROWS(DM$1:DM42))),"")</f>
        <v>691.83898485251666</v>
      </c>
      <c r="DN147" s="166">
        <f t="shared" si="48"/>
        <v>147</v>
      </c>
      <c r="DO147" s="164">
        <f>IFERROR(INDEX(DG$106:DG$154,_xlfn.AGGREGATE(15,6,(ROW(DG$106:DG$154)-ROW(DG$106)+1)/(DG$106:DG$154&lt;&gt;""),ROWS(DO$1:DO42))),"")</f>
        <v>39</v>
      </c>
      <c r="DP147" s="165">
        <f>IFERROR(INDEX(DH$106:DH$154,_xlfn.AGGREGATE(15,6,(ROW(DH$106:DH$154)-ROW(DH$106)+1)/(DH$106:DH$154&lt;&gt;""),ROWS(DP$1:DP42))),"")</f>
        <v>770.42233221228241</v>
      </c>
      <c r="DQ147" s="166">
        <f t="shared" si="49"/>
        <v>147</v>
      </c>
      <c r="DV147" s="145">
        <v>2056</v>
      </c>
      <c r="DW147" s="235">
        <f t="shared" ca="1" si="34"/>
        <v>697.05849382989186</v>
      </c>
      <c r="EA147" s="55"/>
      <c r="EB147" s="55"/>
      <c r="EC147" s="55"/>
      <c r="ED147" s="55"/>
      <c r="EE147" s="55"/>
    </row>
    <row r="148" spans="1:135" ht="13.8" x14ac:dyDescent="0.45">
      <c r="B148" s="128">
        <v>2054</v>
      </c>
      <c r="C148" s="1023">
        <v>738.28652968036522</v>
      </c>
      <c r="D148" s="1026">
        <v>760.28647399037084</v>
      </c>
      <c r="E148" s="1027"/>
      <c r="F148" s="940"/>
      <c r="G148" s="207"/>
      <c r="H148" s="204"/>
      <c r="I148" s="1112">
        <v>583.08823529411779</v>
      </c>
      <c r="J148" s="207"/>
      <c r="K148" s="204"/>
      <c r="L148" s="206"/>
      <c r="M148" s="204"/>
      <c r="N148" s="29" t="s">
        <v>119</v>
      </c>
      <c r="O148" s="120"/>
      <c r="P148" s="120"/>
      <c r="Q148" s="120"/>
      <c r="R148" s="29">
        <v>40</v>
      </c>
      <c r="S148" s="154">
        <f t="shared" si="35"/>
        <v>583.08823529411779</v>
      </c>
      <c r="T148" s="154">
        <f t="shared" si="36"/>
        <v>760.28647399037084</v>
      </c>
      <c r="U148" s="154">
        <f t="shared" si="37"/>
        <v>78.859737598613265</v>
      </c>
      <c r="W148" s="154">
        <f t="shared" si="38"/>
        <v>615.02734205633794</v>
      </c>
      <c r="X148" s="154">
        <f t="shared" si="68"/>
        <v>693.88707965495121</v>
      </c>
      <c r="Y148" s="154">
        <f t="shared" si="40"/>
        <v>772.74681725356447</v>
      </c>
      <c r="AA148" s="1133">
        <v>738.28652968036522</v>
      </c>
      <c r="AB148" s="1133">
        <v>749.28650183536797</v>
      </c>
      <c r="AC148" s="1133">
        <v>760.28647399037072</v>
      </c>
      <c r="AD148" s="89"/>
      <c r="AE148" s="89"/>
      <c r="AF148" s="89"/>
      <c r="AG148" s="89"/>
      <c r="AH148" s="89"/>
      <c r="AI148" s="89"/>
      <c r="AJ148" s="89"/>
      <c r="AK148" s="89"/>
      <c r="AL148" s="89"/>
      <c r="AM148" s="89"/>
      <c r="AN148" s="89"/>
      <c r="BR148" s="180">
        <v>2052</v>
      </c>
      <c r="BS148" s="22">
        <v>38</v>
      </c>
      <c r="BT148" s="181">
        <f t="shared" si="51"/>
        <v>128.76879467179643</v>
      </c>
      <c r="BU148" s="182">
        <f t="shared" si="52"/>
        <v>564.82896786797232</v>
      </c>
      <c r="BV148" s="241">
        <f t="shared" si="53"/>
        <v>693.59776253976872</v>
      </c>
      <c r="BY148" s="180">
        <v>2052</v>
      </c>
      <c r="BZ148" s="22">
        <v>38</v>
      </c>
      <c r="CA148" s="198">
        <f t="shared" ca="1" si="54"/>
        <v>-87.446206580612071</v>
      </c>
      <c r="CB148" s="198">
        <f t="shared" ca="1" si="55"/>
        <v>230.02229702829462</v>
      </c>
      <c r="CC148" s="198">
        <f t="shared" ca="1" si="66"/>
        <v>547.6304064629212</v>
      </c>
      <c r="CD148" s="241">
        <f t="shared" ca="1" si="56"/>
        <v>690.20649691060373</v>
      </c>
      <c r="CG148" s="180">
        <v>2052</v>
      </c>
      <c r="CH148" s="22">
        <v>38</v>
      </c>
      <c r="CI148" s="198">
        <f t="shared" ca="1" si="57"/>
        <v>137.71126783581494</v>
      </c>
      <c r="CJ148" s="198">
        <f t="shared" ca="1" si="58"/>
        <v>-326.62893492702761</v>
      </c>
      <c r="CK148" s="198">
        <f t="shared" ca="1" si="59"/>
        <v>334.18313271408215</v>
      </c>
      <c r="CL148" s="198">
        <f t="shared" ca="1" si="60"/>
        <v>540.77295150894497</v>
      </c>
      <c r="CM148" s="241">
        <f t="shared" ca="1" si="61"/>
        <v>686.03841713181441</v>
      </c>
      <c r="CP148" s="180">
        <v>2052</v>
      </c>
      <c r="CQ148" s="22">
        <v>38</v>
      </c>
      <c r="CR148" s="198">
        <f t="shared" ca="1" si="62"/>
        <v>565.62380568274648</v>
      </c>
      <c r="CS148" s="198">
        <f t="shared" ca="1" si="63"/>
        <v>1.2289649049996552</v>
      </c>
      <c r="CT148" s="241">
        <f t="shared" ca="1" si="64"/>
        <v>695.13180661643992</v>
      </c>
      <c r="CZ148" s="164" t="b">
        <f t="shared" si="69"/>
        <v>1</v>
      </c>
      <c r="DA148" s="165" t="b">
        <f t="shared" si="69"/>
        <v>1</v>
      </c>
      <c r="DB148" s="166" t="b">
        <f t="shared" si="69"/>
        <v>1</v>
      </c>
      <c r="DC148" s="164">
        <f t="shared" si="50"/>
        <v>40</v>
      </c>
      <c r="DD148" s="166">
        <f t="shared" si="42"/>
        <v>615.02734205633794</v>
      </c>
      <c r="DE148" s="164">
        <f t="shared" si="43"/>
        <v>40</v>
      </c>
      <c r="DF148" s="166">
        <f t="shared" si="44"/>
        <v>693.88707965495121</v>
      </c>
      <c r="DG148" s="164">
        <f t="shared" si="45"/>
        <v>40</v>
      </c>
      <c r="DH148" s="166">
        <f t="shared" si="46"/>
        <v>772.74681725356447</v>
      </c>
      <c r="DI148" s="164">
        <f>IFERROR(INDEX(DC$106:DC$154,_xlfn.AGGREGATE(15,6,(ROW(DC$106:DC$154)-ROW(DC$106)+1)/(DC$106:DC$154&lt;&gt;""),ROWS(DI$1:DI43))),"")</f>
        <v>40</v>
      </c>
      <c r="DJ148" s="165">
        <f>IFERROR(INDEX(DD$106:DD$154,_xlfn.AGGREGATE(15,6,(ROW(DD$106:DD$154)-ROW(DD$106)+1)/(DD$106:DD$154&lt;&gt;""),ROWS(DJ$1:DJ43))),"")</f>
        <v>615.02734205633794</v>
      </c>
      <c r="DK148" s="166">
        <f t="shared" si="47"/>
        <v>148</v>
      </c>
      <c r="DL148" s="164">
        <f>IFERROR(INDEX(DE$106:DE$154,_xlfn.AGGREGATE(15,6,(ROW(DE$106:DE$154)-ROW(DE$106)+1)/(DE$106:DE$154&lt;&gt;""),ROWS(DL$1:DL43))),"")</f>
        <v>40</v>
      </c>
      <c r="DM148" s="165">
        <f>IFERROR(INDEX(DF$106:DF$154,_xlfn.AGGREGATE(15,6,(ROW(DF$106:DF$154)-ROW(DF$106)+1)/(DF$106:DF$154&lt;&gt;""),ROWS(DM$1:DM43))),"")</f>
        <v>693.88707965495121</v>
      </c>
      <c r="DN148" s="166">
        <f t="shared" si="48"/>
        <v>148</v>
      </c>
      <c r="DO148" s="164">
        <f>IFERROR(INDEX(DG$106:DG$154,_xlfn.AGGREGATE(15,6,(ROW(DG$106:DG$154)-ROW(DG$106)+1)/(DG$106:DG$154&lt;&gt;""),ROWS(DO$1:DO43))),"")</f>
        <v>40</v>
      </c>
      <c r="DP148" s="165">
        <f>IFERROR(INDEX(DH$106:DH$154,_xlfn.AGGREGATE(15,6,(ROW(DH$106:DH$154)-ROW(DH$106)+1)/(DH$106:DH$154&lt;&gt;""),ROWS(DP$1:DP43))),"")</f>
        <v>772.74681725356447</v>
      </c>
      <c r="DQ148" s="166">
        <f t="shared" si="49"/>
        <v>148</v>
      </c>
      <c r="DV148" s="145">
        <v>2057</v>
      </c>
      <c r="DW148" s="235">
        <f t="shared" ca="1" si="34"/>
        <v>700.22598078548151</v>
      </c>
      <c r="EA148" s="55"/>
      <c r="EB148" s="55"/>
      <c r="EC148" s="55"/>
      <c r="ED148" s="55"/>
      <c r="EE148" s="55"/>
    </row>
    <row r="149" spans="1:135" ht="13.8" x14ac:dyDescent="0.45">
      <c r="B149" s="128">
        <v>2055</v>
      </c>
      <c r="C149" s="1023">
        <v>743.4601598173515</v>
      </c>
      <c r="D149" s="1026">
        <v>759.76999359117656</v>
      </c>
      <c r="E149" s="1027"/>
      <c r="F149" s="940"/>
      <c r="G149" s="207"/>
      <c r="H149" s="204"/>
      <c r="I149" s="1112">
        <v>584.33529411764721</v>
      </c>
      <c r="J149" s="207"/>
      <c r="K149" s="204"/>
      <c r="L149" s="206"/>
      <c r="M149" s="204"/>
      <c r="N149" s="29" t="s">
        <v>119</v>
      </c>
      <c r="O149" s="120"/>
      <c r="P149" s="120"/>
      <c r="Q149" s="120"/>
      <c r="R149" s="29">
        <v>41</v>
      </c>
      <c r="S149" s="154">
        <f t="shared" si="35"/>
        <v>584.33529411764721</v>
      </c>
      <c r="T149" s="154">
        <f t="shared" si="36"/>
        <v>759.76999359117656</v>
      </c>
      <c r="U149" s="154">
        <f t="shared" si="37"/>
        <v>79.137059264324179</v>
      </c>
      <c r="W149" s="154">
        <f t="shared" si="38"/>
        <v>616.71808991106764</v>
      </c>
      <c r="X149" s="154">
        <f t="shared" si="68"/>
        <v>695.85514917539183</v>
      </c>
      <c r="Y149" s="154">
        <f t="shared" si="40"/>
        <v>774.99220843971602</v>
      </c>
      <c r="AA149" s="1133">
        <v>743.4601598173515</v>
      </c>
      <c r="AB149" s="1133">
        <v>751.61507670426408</v>
      </c>
      <c r="AC149" s="1133">
        <v>759.76999359117667</v>
      </c>
      <c r="AD149" s="89"/>
      <c r="AE149" s="89"/>
      <c r="AF149" s="89"/>
      <c r="AG149" s="89"/>
      <c r="AH149" s="89"/>
      <c r="AI149" s="89"/>
      <c r="AJ149" s="89"/>
      <c r="AK149" s="89"/>
      <c r="AL149" s="89"/>
      <c r="AM149" s="89"/>
      <c r="AN149" s="89"/>
      <c r="BR149" s="180">
        <v>2053</v>
      </c>
      <c r="BS149" s="22">
        <v>39</v>
      </c>
      <c r="BT149" s="181">
        <f t="shared" si="51"/>
        <v>132.15744716315947</v>
      </c>
      <c r="BU149" s="182">
        <f t="shared" si="52"/>
        <v>564.82896786797232</v>
      </c>
      <c r="BV149" s="241">
        <f t="shared" si="53"/>
        <v>696.98641503113186</v>
      </c>
      <c r="BY149" s="180">
        <v>2053</v>
      </c>
      <c r="BZ149" s="22">
        <v>39</v>
      </c>
      <c r="CA149" s="198">
        <f t="shared" ca="1" si="54"/>
        <v>-92.109196820713962</v>
      </c>
      <c r="CB149" s="198">
        <f t="shared" ca="1" si="55"/>
        <v>236.07551537114446</v>
      </c>
      <c r="CC149" s="198">
        <f t="shared" ca="1" si="66"/>
        <v>547.6304064629212</v>
      </c>
      <c r="CD149" s="241">
        <f t="shared" ca="1" si="56"/>
        <v>691.59672501335172</v>
      </c>
      <c r="CG149" s="180">
        <v>2053</v>
      </c>
      <c r="CH149" s="22">
        <v>39</v>
      </c>
      <c r="CI149" s="198">
        <f t="shared" ca="1" si="57"/>
        <v>148.87182345736818</v>
      </c>
      <c r="CJ149" s="198">
        <f t="shared" ca="1" si="58"/>
        <v>-344.046128825491</v>
      </c>
      <c r="CK149" s="198">
        <f t="shared" ca="1" si="59"/>
        <v>342.97742568024222</v>
      </c>
      <c r="CL149" s="198">
        <f t="shared" ca="1" si="60"/>
        <v>540.77295150894497</v>
      </c>
      <c r="CM149" s="241">
        <f t="shared" ca="1" si="61"/>
        <v>688.57607182106437</v>
      </c>
      <c r="CP149" s="180">
        <v>2053</v>
      </c>
      <c r="CQ149" s="22">
        <v>39</v>
      </c>
      <c r="CR149" s="198">
        <f t="shared" ca="1" si="62"/>
        <v>565.62380568274648</v>
      </c>
      <c r="CS149" s="198">
        <f t="shared" ca="1" si="63"/>
        <v>1.235650881259897</v>
      </c>
      <c r="CT149" s="241">
        <f t="shared" ca="1" si="64"/>
        <v>698.91355395346238</v>
      </c>
      <c r="CZ149" s="164" t="b">
        <f t="shared" si="69"/>
        <v>1</v>
      </c>
      <c r="DA149" s="165" t="b">
        <f t="shared" si="69"/>
        <v>1</v>
      </c>
      <c r="DB149" s="166" t="b">
        <f t="shared" si="69"/>
        <v>1</v>
      </c>
      <c r="DC149" s="164">
        <f t="shared" si="50"/>
        <v>41</v>
      </c>
      <c r="DD149" s="166">
        <f t="shared" si="42"/>
        <v>616.71808991106764</v>
      </c>
      <c r="DE149" s="164">
        <f t="shared" si="43"/>
        <v>41</v>
      </c>
      <c r="DF149" s="166">
        <f t="shared" si="44"/>
        <v>695.85514917539183</v>
      </c>
      <c r="DG149" s="164">
        <f t="shared" si="45"/>
        <v>41</v>
      </c>
      <c r="DH149" s="166">
        <f t="shared" si="46"/>
        <v>774.99220843971602</v>
      </c>
      <c r="DI149" s="164">
        <f>IFERROR(INDEX(DC$106:DC$154,_xlfn.AGGREGATE(15,6,(ROW(DC$106:DC$154)-ROW(DC$106)+1)/(DC$106:DC$154&lt;&gt;""),ROWS(DI$1:DI44))),"")</f>
        <v>41</v>
      </c>
      <c r="DJ149" s="165">
        <f>IFERROR(INDEX(DD$106:DD$154,_xlfn.AGGREGATE(15,6,(ROW(DD$106:DD$154)-ROW(DD$106)+1)/(DD$106:DD$154&lt;&gt;""),ROWS(DJ$1:DJ44))),"")</f>
        <v>616.71808991106764</v>
      </c>
      <c r="DK149" s="166">
        <f t="shared" si="47"/>
        <v>149</v>
      </c>
      <c r="DL149" s="164">
        <f>IFERROR(INDEX(DE$106:DE$154,_xlfn.AGGREGATE(15,6,(ROW(DE$106:DE$154)-ROW(DE$106)+1)/(DE$106:DE$154&lt;&gt;""),ROWS(DL$1:DL44))),"")</f>
        <v>41</v>
      </c>
      <c r="DM149" s="165">
        <f>IFERROR(INDEX(DF$106:DF$154,_xlfn.AGGREGATE(15,6,(ROW(DF$106:DF$154)-ROW(DF$106)+1)/(DF$106:DF$154&lt;&gt;""),ROWS(DM$1:DM44))),"")</f>
        <v>695.85514917539183</v>
      </c>
      <c r="DN149" s="166">
        <f t="shared" si="48"/>
        <v>149</v>
      </c>
      <c r="DO149" s="164">
        <f>IFERROR(INDEX(DG$106:DG$154,_xlfn.AGGREGATE(15,6,(ROW(DG$106:DG$154)-ROW(DG$106)+1)/(DG$106:DG$154&lt;&gt;""),ROWS(DO$1:DO44))),"")</f>
        <v>41</v>
      </c>
      <c r="DP149" s="165">
        <f>IFERROR(INDEX(DH$106:DH$154,_xlfn.AGGREGATE(15,6,(ROW(DH$106:DH$154)-ROW(DH$106)+1)/(DH$106:DH$154&lt;&gt;""),ROWS(DP$1:DP44))),"")</f>
        <v>774.99220843971602</v>
      </c>
      <c r="DQ149" s="166">
        <f t="shared" si="49"/>
        <v>149</v>
      </c>
      <c r="DV149" s="145">
        <v>2058</v>
      </c>
      <c r="DW149" s="235">
        <f t="shared" ca="1" si="34"/>
        <v>703.58857103687217</v>
      </c>
      <c r="EA149" s="55"/>
      <c r="EB149" s="55"/>
      <c r="EC149" s="55"/>
      <c r="ED149" s="55"/>
      <c r="EE149" s="55"/>
    </row>
    <row r="150" spans="1:135" ht="13.8" x14ac:dyDescent="0.45">
      <c r="B150" s="128">
        <v>2056</v>
      </c>
      <c r="C150" s="1023">
        <v>748.63378995433777</v>
      </c>
      <c r="D150" s="1026">
        <v>759.00538226838296</v>
      </c>
      <c r="E150" s="1027"/>
      <c r="F150" s="940"/>
      <c r="G150" s="207"/>
      <c r="H150" s="204"/>
      <c r="I150" s="1112">
        <v>585.58235294117662</v>
      </c>
      <c r="J150" s="207"/>
      <c r="K150" s="204"/>
      <c r="L150" s="206"/>
      <c r="M150" s="204"/>
      <c r="N150" s="29" t="s">
        <v>119</v>
      </c>
      <c r="O150" s="120"/>
      <c r="P150" s="120"/>
      <c r="Q150" s="120"/>
      <c r="R150" s="29">
        <v>42</v>
      </c>
      <c r="S150" s="154">
        <f t="shared" si="35"/>
        <v>585.58235294117662</v>
      </c>
      <c r="T150" s="154">
        <f t="shared" si="36"/>
        <v>759.00538226838296</v>
      </c>
      <c r="U150" s="154">
        <f t="shared" si="37"/>
        <v>79.42074186131299</v>
      </c>
      <c r="W150" s="154">
        <f t="shared" si="38"/>
        <v>618.31976652665276</v>
      </c>
      <c r="X150" s="154">
        <f t="shared" si="68"/>
        <v>697.74050838796575</v>
      </c>
      <c r="Y150" s="154">
        <f t="shared" si="40"/>
        <v>777.16125024927874</v>
      </c>
      <c r="AA150" s="1133">
        <v>748.63378995433777</v>
      </c>
      <c r="AB150" s="1133">
        <v>753.81958611136042</v>
      </c>
      <c r="AC150" s="1133">
        <v>759.00538226838307</v>
      </c>
      <c r="AD150" s="89"/>
      <c r="AE150" s="89"/>
      <c r="AF150" s="89"/>
      <c r="AG150" s="89"/>
      <c r="AH150" s="89"/>
      <c r="AI150" s="89"/>
      <c r="AJ150" s="89"/>
      <c r="AK150" s="89"/>
      <c r="AL150" s="89"/>
      <c r="AM150" s="89"/>
      <c r="AN150" s="89"/>
      <c r="BR150" s="180">
        <v>2054</v>
      </c>
      <c r="BS150" s="22">
        <v>40</v>
      </c>
      <c r="BT150" s="181">
        <f t="shared" si="51"/>
        <v>135.54609965452255</v>
      </c>
      <c r="BU150" s="182">
        <f t="shared" si="52"/>
        <v>564.82896786797232</v>
      </c>
      <c r="BV150" s="242">
        <f t="shared" si="53"/>
        <v>700.37506752249487</v>
      </c>
      <c r="BY150" s="180">
        <v>2054</v>
      </c>
      <c r="BZ150" s="22">
        <v>40</v>
      </c>
      <c r="CA150" s="243">
        <f t="shared" ca="1" si="54"/>
        <v>-96.893303690428894</v>
      </c>
      <c r="CB150" s="243">
        <f t="shared" ca="1" si="55"/>
        <v>242.12873371399434</v>
      </c>
      <c r="CC150" s="243">
        <f t="shared" ca="1" si="66"/>
        <v>547.6304064629212</v>
      </c>
      <c r="CD150" s="242">
        <f t="shared" ca="1" si="56"/>
        <v>692.86583648648661</v>
      </c>
      <c r="CG150" s="180">
        <v>2054</v>
      </c>
      <c r="CH150" s="22">
        <v>40</v>
      </c>
      <c r="CI150" s="243">
        <f t="shared" ca="1" si="57"/>
        <v>160.61964465469012</v>
      </c>
      <c r="CJ150" s="243">
        <f t="shared" ca="1" si="58"/>
        <v>-361.91571737066772</v>
      </c>
      <c r="CK150" s="243">
        <f t="shared" ca="1" si="59"/>
        <v>351.77171864640229</v>
      </c>
      <c r="CL150" s="243">
        <f t="shared" ca="1" si="60"/>
        <v>540.77295150894497</v>
      </c>
      <c r="CM150" s="242">
        <f t="shared" ca="1" si="61"/>
        <v>691.24859743936963</v>
      </c>
      <c r="CP150" s="180">
        <v>2054</v>
      </c>
      <c r="CQ150" s="22">
        <v>40</v>
      </c>
      <c r="CR150" s="243">
        <f t="shared" ca="1" si="62"/>
        <v>565.62380568274648</v>
      </c>
      <c r="CS150" s="243">
        <f t="shared" ca="1" si="63"/>
        <v>1.2423732314461728</v>
      </c>
      <c r="CT150" s="242">
        <f t="shared" ca="1" si="64"/>
        <v>702.71587524895585</v>
      </c>
      <c r="CZ150" s="164" t="b">
        <f t="shared" si="69"/>
        <v>1</v>
      </c>
      <c r="DA150" s="165" t="b">
        <f t="shared" si="69"/>
        <v>1</v>
      </c>
      <c r="DB150" s="166" t="b">
        <f t="shared" si="69"/>
        <v>1</v>
      </c>
      <c r="DC150" s="164">
        <f t="shared" si="50"/>
        <v>42</v>
      </c>
      <c r="DD150" s="166">
        <f t="shared" si="42"/>
        <v>618.31976652665276</v>
      </c>
      <c r="DE150" s="164">
        <f t="shared" si="43"/>
        <v>42</v>
      </c>
      <c r="DF150" s="166">
        <f t="shared" si="44"/>
        <v>697.74050838796575</v>
      </c>
      <c r="DG150" s="164">
        <f t="shared" si="45"/>
        <v>42</v>
      </c>
      <c r="DH150" s="166">
        <f t="shared" si="46"/>
        <v>777.16125024927874</v>
      </c>
      <c r="DI150" s="164">
        <f>IFERROR(INDEX(DC$106:DC$154,_xlfn.AGGREGATE(15,6,(ROW(DC$106:DC$154)-ROW(DC$106)+1)/(DC$106:DC$154&lt;&gt;""),ROWS(DI$1:DI45))),"")</f>
        <v>42</v>
      </c>
      <c r="DJ150" s="165">
        <f>IFERROR(INDEX(DD$106:DD$154,_xlfn.AGGREGATE(15,6,(ROW(DD$106:DD$154)-ROW(DD$106)+1)/(DD$106:DD$154&lt;&gt;""),ROWS(DJ$1:DJ45))),"")</f>
        <v>618.31976652665276</v>
      </c>
      <c r="DK150" s="166">
        <f t="shared" si="47"/>
        <v>150</v>
      </c>
      <c r="DL150" s="164">
        <f>IFERROR(INDEX(DE$106:DE$154,_xlfn.AGGREGATE(15,6,(ROW(DE$106:DE$154)-ROW(DE$106)+1)/(DE$106:DE$154&lt;&gt;""),ROWS(DL$1:DL45))),"")</f>
        <v>42</v>
      </c>
      <c r="DM150" s="165">
        <f>IFERROR(INDEX(DF$106:DF$154,_xlfn.AGGREGATE(15,6,(ROW(DF$106:DF$154)-ROW(DF$106)+1)/(DF$106:DF$154&lt;&gt;""),ROWS(DM$1:DM45))),"")</f>
        <v>697.74050838796575</v>
      </c>
      <c r="DN150" s="166">
        <f t="shared" si="48"/>
        <v>150</v>
      </c>
      <c r="DO150" s="164">
        <f>IFERROR(INDEX(DG$106:DG$154,_xlfn.AGGREGATE(15,6,(ROW(DG$106:DG$154)-ROW(DG$106)+1)/(DG$106:DG$154&lt;&gt;""),ROWS(DO$1:DO45))),"")</f>
        <v>42</v>
      </c>
      <c r="DP150" s="165">
        <f>IFERROR(INDEX(DH$106:DH$154,_xlfn.AGGREGATE(15,6,(ROW(DH$106:DH$154)-ROW(DH$106)+1)/(DH$106:DH$154&lt;&gt;""),ROWS(DP$1:DP45))),"")</f>
        <v>777.16125024927874</v>
      </c>
      <c r="DQ150" s="166">
        <f t="shared" si="49"/>
        <v>150</v>
      </c>
      <c r="DV150" s="145">
        <v>2059</v>
      </c>
      <c r="DW150" s="235">
        <f t="shared" ca="1" si="34"/>
        <v>707.16132267574994</v>
      </c>
      <c r="EA150" s="55"/>
      <c r="EB150" s="55"/>
      <c r="EC150" s="55"/>
      <c r="ED150" s="55"/>
      <c r="EE150" s="55"/>
    </row>
    <row r="151" spans="1:135" ht="13.8" x14ac:dyDescent="0.45">
      <c r="B151" s="128">
        <v>2057</v>
      </c>
      <c r="C151" s="1023">
        <v>753.80742009132416</v>
      </c>
      <c r="D151" s="1026">
        <v>757.98458494437295</v>
      </c>
      <c r="E151" s="1027"/>
      <c r="F151" s="941"/>
      <c r="G151" s="247"/>
      <c r="H151" s="245"/>
      <c r="I151" s="1112">
        <v>586.82941176470604</v>
      </c>
      <c r="J151" s="247"/>
      <c r="K151" s="245"/>
      <c r="L151" s="246"/>
      <c r="M151" s="245"/>
      <c r="N151" s="29" t="s">
        <v>119</v>
      </c>
      <c r="O151" s="120"/>
      <c r="P151" s="120"/>
      <c r="Q151" s="120"/>
      <c r="R151" s="29">
        <v>43</v>
      </c>
      <c r="S151" s="238">
        <f t="shared" si="35"/>
        <v>586.82941176470604</v>
      </c>
      <c r="T151" s="238">
        <f t="shared" si="36"/>
        <v>757.98458494437295</v>
      </c>
      <c r="U151" s="238">
        <f t="shared" si="37"/>
        <v>79.716997544156285</v>
      </c>
      <c r="W151" s="238">
        <f t="shared" si="38"/>
        <v>619.82347472264473</v>
      </c>
      <c r="X151" s="238">
        <f t="shared" si="68"/>
        <v>699.54047226680098</v>
      </c>
      <c r="Y151" s="238">
        <f t="shared" si="40"/>
        <v>779.25746981095722</v>
      </c>
      <c r="AA151" s="1133">
        <v>753.80742009132405</v>
      </c>
      <c r="AB151" s="1133">
        <v>755.8960025178485</v>
      </c>
      <c r="AC151" s="1133">
        <v>757.98458494437295</v>
      </c>
      <c r="AD151" s="89"/>
      <c r="AE151" s="89"/>
      <c r="AF151" s="89"/>
      <c r="AG151" s="89"/>
      <c r="AH151" s="89"/>
      <c r="AI151" s="89"/>
      <c r="AJ151" s="89"/>
      <c r="AK151" s="89"/>
      <c r="AL151" s="89"/>
      <c r="AM151" s="89"/>
      <c r="AN151" s="89"/>
      <c r="BR151" s="180">
        <v>2055</v>
      </c>
      <c r="BS151" s="22">
        <v>41</v>
      </c>
      <c r="BT151" s="181">
        <f t="shared" si="51"/>
        <v>138.9347521458856</v>
      </c>
      <c r="BU151" s="182">
        <f t="shared" si="52"/>
        <v>564.82896786797232</v>
      </c>
      <c r="BV151" s="242">
        <f t="shared" si="53"/>
        <v>703.76372001385789</v>
      </c>
      <c r="BX151" s="29"/>
      <c r="BY151" s="180">
        <v>2055</v>
      </c>
      <c r="BZ151" s="22">
        <v>41</v>
      </c>
      <c r="CA151" s="243">
        <f t="shared" ca="1" si="54"/>
        <v>-101.79852718975685</v>
      </c>
      <c r="CB151" s="243">
        <f t="shared" ca="1" si="55"/>
        <v>248.18195205684418</v>
      </c>
      <c r="CC151" s="243">
        <f t="shared" ca="1" si="66"/>
        <v>547.6304064629212</v>
      </c>
      <c r="CD151" s="242">
        <f t="shared" ca="1" si="56"/>
        <v>694.01383133000854</v>
      </c>
      <c r="CG151" s="180">
        <v>2055</v>
      </c>
      <c r="CH151" s="22">
        <v>41</v>
      </c>
      <c r="CI151" s="243">
        <f t="shared" ca="1" si="57"/>
        <v>172.96978951946716</v>
      </c>
      <c r="CJ151" s="243">
        <f t="shared" ca="1" si="58"/>
        <v>-380.23770056255773</v>
      </c>
      <c r="CK151" s="243">
        <f t="shared" ca="1" si="59"/>
        <v>360.56601161256236</v>
      </c>
      <c r="CL151" s="243">
        <f t="shared" ca="1" si="60"/>
        <v>540.77295150894497</v>
      </c>
      <c r="CM151" s="242">
        <f t="shared" ca="1" si="61"/>
        <v>694.07105207841676</v>
      </c>
      <c r="CP151" s="180">
        <v>2055</v>
      </c>
      <c r="CQ151" s="22">
        <v>41</v>
      </c>
      <c r="CR151" s="243">
        <f t="shared" ca="1" si="62"/>
        <v>565.62380568274648</v>
      </c>
      <c r="CS151" s="243">
        <f t="shared" ca="1" si="63"/>
        <v>1.2491321534446913</v>
      </c>
      <c r="CT151" s="242">
        <f t="shared" ca="1" si="64"/>
        <v>706.53888243207075</v>
      </c>
      <c r="CZ151" s="164" t="b">
        <f t="shared" si="69"/>
        <v>1</v>
      </c>
      <c r="DA151" s="165" t="b">
        <f t="shared" si="69"/>
        <v>1</v>
      </c>
      <c r="DB151" s="166" t="b">
        <f t="shared" si="69"/>
        <v>1</v>
      </c>
      <c r="DC151" s="164">
        <f t="shared" si="50"/>
        <v>43</v>
      </c>
      <c r="DD151" s="166">
        <f t="shared" si="42"/>
        <v>619.82347472264473</v>
      </c>
      <c r="DE151" s="164">
        <f t="shared" si="43"/>
        <v>43</v>
      </c>
      <c r="DF151" s="166">
        <f t="shared" si="44"/>
        <v>699.54047226680098</v>
      </c>
      <c r="DG151" s="164">
        <f t="shared" si="45"/>
        <v>43</v>
      </c>
      <c r="DH151" s="166">
        <f t="shared" si="46"/>
        <v>779.25746981095722</v>
      </c>
      <c r="DI151" s="164">
        <f>IFERROR(INDEX(DC$106:DC$154,_xlfn.AGGREGATE(15,6,(ROW(DC$106:DC$154)-ROW(DC$106)+1)/(DC$106:DC$154&lt;&gt;""),ROWS(DI$1:DI46))),"")</f>
        <v>43</v>
      </c>
      <c r="DJ151" s="165">
        <f>IFERROR(INDEX(DD$106:DD$154,_xlfn.AGGREGATE(15,6,(ROW(DD$106:DD$154)-ROW(DD$106)+1)/(DD$106:DD$154&lt;&gt;""),ROWS(DJ$1:DJ46))),"")</f>
        <v>619.82347472264473</v>
      </c>
      <c r="DK151" s="166">
        <f t="shared" si="47"/>
        <v>151</v>
      </c>
      <c r="DL151" s="164">
        <f>IFERROR(INDEX(DE$106:DE$154,_xlfn.AGGREGATE(15,6,(ROW(DE$106:DE$154)-ROW(DE$106)+1)/(DE$106:DE$154&lt;&gt;""),ROWS(DL$1:DL46))),"")</f>
        <v>43</v>
      </c>
      <c r="DM151" s="165">
        <f>IFERROR(INDEX(DF$106:DF$154,_xlfn.AGGREGATE(15,6,(ROW(DF$106:DF$154)-ROW(DF$106)+1)/(DF$106:DF$154&lt;&gt;""),ROWS(DM$1:DM46))),"")</f>
        <v>699.54047226680098</v>
      </c>
      <c r="DN151" s="166">
        <f t="shared" si="48"/>
        <v>151</v>
      </c>
      <c r="DO151" s="164">
        <f>IFERROR(INDEX(DG$106:DG$154,_xlfn.AGGREGATE(15,6,(ROW(DG$106:DG$154)-ROW(DG$106)+1)/(DG$106:DG$154&lt;&gt;""),ROWS(DO$1:DO46))),"")</f>
        <v>43</v>
      </c>
      <c r="DP151" s="165">
        <f>IFERROR(INDEX(DH$106:DH$154,_xlfn.AGGREGATE(15,6,(ROW(DH$106:DH$154)-ROW(DH$106)+1)/(DH$106:DH$154&lt;&gt;""),ROWS(DP$1:DP46))),"")</f>
        <v>779.25746981095722</v>
      </c>
      <c r="DQ151" s="166">
        <f t="shared" si="49"/>
        <v>151</v>
      </c>
      <c r="DV151" s="145">
        <v>2060</v>
      </c>
      <c r="DW151" s="235">
        <f t="shared" ca="1" si="34"/>
        <v>710.95929379380141</v>
      </c>
      <c r="EA151" s="55"/>
      <c r="EB151" s="55"/>
      <c r="EC151" s="55"/>
      <c r="ED151" s="55"/>
      <c r="EE151" s="55"/>
    </row>
    <row r="152" spans="1:135" ht="13.8" x14ac:dyDescent="0.45">
      <c r="A152" s="214"/>
      <c r="B152" s="128">
        <v>2058</v>
      </c>
      <c r="C152" s="1023">
        <v>758.98105022831044</v>
      </c>
      <c r="D152" s="1026">
        <v>756.69954654152923</v>
      </c>
      <c r="E152" s="1027"/>
      <c r="F152" s="941"/>
      <c r="G152" s="247"/>
      <c r="H152" s="245"/>
      <c r="I152" s="1112">
        <v>588.07647058823545</v>
      </c>
      <c r="J152" s="247"/>
      <c r="K152" s="245"/>
      <c r="L152" s="246"/>
      <c r="M152" s="245"/>
      <c r="N152" s="29" t="s">
        <v>119</v>
      </c>
      <c r="R152" s="29">
        <v>44</v>
      </c>
      <c r="S152" s="238">
        <f t="shared" si="35"/>
        <v>588.07647058823545</v>
      </c>
      <c r="T152" s="238">
        <f t="shared" si="36"/>
        <v>758.98105022831044</v>
      </c>
      <c r="U152" s="238">
        <f t="shared" si="37"/>
        <v>80.032855992589148</v>
      </c>
      <c r="W152" s="238">
        <f t="shared" si="38"/>
        <v>621.21949979343583</v>
      </c>
      <c r="X152" s="238">
        <f t="shared" si="68"/>
        <v>701.25235578602496</v>
      </c>
      <c r="Y152" s="238">
        <f t="shared" si="40"/>
        <v>781.2852117786141</v>
      </c>
      <c r="AA152" s="1133">
        <v>756.69954654152923</v>
      </c>
      <c r="AB152" s="1133">
        <v>757.84029838491983</v>
      </c>
      <c r="AC152" s="1133">
        <v>758.98105022831044</v>
      </c>
      <c r="AD152" s="89"/>
      <c r="AE152" s="89"/>
      <c r="AF152" s="89"/>
      <c r="AG152" s="89"/>
      <c r="AH152" s="89"/>
      <c r="AI152" s="89"/>
      <c r="AJ152" s="89"/>
      <c r="AK152" s="89"/>
      <c r="AL152" s="89"/>
      <c r="AM152" s="89"/>
      <c r="AN152" s="89"/>
      <c r="BR152" s="180">
        <v>2056</v>
      </c>
      <c r="BS152" s="22">
        <v>42</v>
      </c>
      <c r="BT152" s="181">
        <f t="shared" si="51"/>
        <v>142.32340463724867</v>
      </c>
      <c r="BU152" s="182">
        <f t="shared" si="52"/>
        <v>564.82896786797232</v>
      </c>
      <c r="BV152" s="242">
        <f t="shared" si="53"/>
        <v>707.15237250522102</v>
      </c>
      <c r="BY152" s="180">
        <v>2056</v>
      </c>
      <c r="BZ152" s="22">
        <v>42</v>
      </c>
      <c r="CA152" s="243">
        <f t="shared" ca="1" si="54"/>
        <v>-106.82486731869786</v>
      </c>
      <c r="CB152" s="243">
        <f t="shared" ca="1" si="55"/>
        <v>254.23517039969403</v>
      </c>
      <c r="CC152" s="243">
        <f t="shared" ca="1" si="66"/>
        <v>547.6304064629212</v>
      </c>
      <c r="CD152" s="242">
        <f t="shared" ca="1" si="56"/>
        <v>695.04070954391739</v>
      </c>
      <c r="CG152" s="180">
        <v>2056</v>
      </c>
      <c r="CH152" s="22">
        <v>42</v>
      </c>
      <c r="CI152" s="243">
        <f t="shared" ca="1" si="57"/>
        <v>185.93731614338563</v>
      </c>
      <c r="CJ152" s="243">
        <f t="shared" ca="1" si="58"/>
        <v>-399.01207840116115</v>
      </c>
      <c r="CK152" s="243">
        <f t="shared" ca="1" si="59"/>
        <v>369.36030457872243</v>
      </c>
      <c r="CL152" s="243">
        <f t="shared" ca="1" si="60"/>
        <v>540.77295150894497</v>
      </c>
      <c r="CM152" s="242">
        <f t="shared" ca="1" si="61"/>
        <v>697.05849382989186</v>
      </c>
      <c r="CP152" s="180">
        <v>2056</v>
      </c>
      <c r="CQ152" s="22">
        <v>42</v>
      </c>
      <c r="CR152" s="243">
        <f t="shared" ca="1" si="62"/>
        <v>565.62380568274648</v>
      </c>
      <c r="CS152" s="243">
        <f t="shared" ca="1" si="63"/>
        <v>1.2559278462182277</v>
      </c>
      <c r="CT152" s="242">
        <f t="shared" ca="1" si="64"/>
        <v>710.38268804088909</v>
      </c>
      <c r="CZ152" s="164" t="b">
        <f t="shared" si="69"/>
        <v>1</v>
      </c>
      <c r="DA152" s="165" t="b">
        <f t="shared" si="69"/>
        <v>1</v>
      </c>
      <c r="DB152" s="166" t="b">
        <f t="shared" si="69"/>
        <v>1</v>
      </c>
      <c r="DC152" s="164">
        <f t="shared" si="50"/>
        <v>44</v>
      </c>
      <c r="DD152" s="166">
        <f t="shared" si="42"/>
        <v>621.21949979343583</v>
      </c>
      <c r="DE152" s="164">
        <f t="shared" si="43"/>
        <v>44</v>
      </c>
      <c r="DF152" s="166">
        <f t="shared" si="44"/>
        <v>701.25235578602496</v>
      </c>
      <c r="DG152" s="164">
        <f t="shared" si="45"/>
        <v>44</v>
      </c>
      <c r="DH152" s="166">
        <f t="shared" si="46"/>
        <v>781.2852117786141</v>
      </c>
      <c r="DI152" s="164">
        <f>IFERROR(INDEX(DC$106:DC$154,_xlfn.AGGREGATE(15,6,(ROW(DC$106:DC$154)-ROW(DC$106)+1)/(DC$106:DC$154&lt;&gt;""),ROWS(DI$1:DI47))),"")</f>
        <v>44</v>
      </c>
      <c r="DJ152" s="165">
        <f>IFERROR(INDEX(DD$106:DD$154,_xlfn.AGGREGATE(15,6,(ROW(DD$106:DD$154)-ROW(DD$106)+1)/(DD$106:DD$154&lt;&gt;""),ROWS(DJ$1:DJ47))),"")</f>
        <v>621.21949979343583</v>
      </c>
      <c r="DK152" s="166">
        <f t="shared" si="47"/>
        <v>152</v>
      </c>
      <c r="DL152" s="164">
        <f>IFERROR(INDEX(DE$106:DE$154,_xlfn.AGGREGATE(15,6,(ROW(DE$106:DE$154)-ROW(DE$106)+1)/(DE$106:DE$154&lt;&gt;""),ROWS(DL$1:DL47))),"")</f>
        <v>44</v>
      </c>
      <c r="DM152" s="165">
        <f>IFERROR(INDEX(DF$106:DF$154,_xlfn.AGGREGATE(15,6,(ROW(DF$106:DF$154)-ROW(DF$106)+1)/(DF$106:DF$154&lt;&gt;""),ROWS(DM$1:DM47))),"")</f>
        <v>701.25235578602496</v>
      </c>
      <c r="DN152" s="166">
        <f t="shared" si="48"/>
        <v>152</v>
      </c>
      <c r="DO152" s="164">
        <f>IFERROR(INDEX(DG$106:DG$154,_xlfn.AGGREGATE(15,6,(ROW(DG$106:DG$154)-ROW(DG$106)+1)/(DG$106:DG$154&lt;&gt;""),ROWS(DO$1:DO47))),"")</f>
        <v>44</v>
      </c>
      <c r="DP152" s="165">
        <f>IFERROR(INDEX(DH$106:DH$154,_xlfn.AGGREGATE(15,6,(ROW(DH$106:DH$154)-ROW(DH$106)+1)/(DH$106:DH$154&lt;&gt;""),ROWS(DP$1:DP47))),"")</f>
        <v>781.2852117786141</v>
      </c>
      <c r="DQ152" s="166">
        <f t="shared" si="49"/>
        <v>152</v>
      </c>
      <c r="DW152" s="54"/>
      <c r="EA152" s="55"/>
      <c r="EB152" s="55"/>
      <c r="EC152" s="55"/>
      <c r="ED152" s="55"/>
      <c r="EE152" s="55"/>
    </row>
    <row r="153" spans="1:135" ht="13.8" x14ac:dyDescent="0.45">
      <c r="A153" s="214"/>
      <c r="B153" s="128">
        <v>2059</v>
      </c>
      <c r="C153" s="1023">
        <v>764.15468036529671</v>
      </c>
      <c r="D153" s="1026">
        <v>755.14221198223493</v>
      </c>
      <c r="E153" s="1027"/>
      <c r="F153" s="941"/>
      <c r="G153" s="247"/>
      <c r="H153" s="245"/>
      <c r="I153" s="1112">
        <v>589.32352941176487</v>
      </c>
      <c r="J153" s="247"/>
      <c r="K153" s="245"/>
      <c r="L153" s="246"/>
      <c r="M153" s="245"/>
      <c r="N153" s="29" t="s">
        <v>119</v>
      </c>
      <c r="R153" s="29">
        <v>45</v>
      </c>
      <c r="S153" s="238">
        <f t="shared" si="35"/>
        <v>589.32352941176487</v>
      </c>
      <c r="T153" s="238">
        <f t="shared" si="36"/>
        <v>764.15468036529671</v>
      </c>
      <c r="U153" s="238">
        <f t="shared" si="37"/>
        <v>80.376192867939494</v>
      </c>
      <c r="W153" s="238">
        <f t="shared" si="38"/>
        <v>622.49728105182612</v>
      </c>
      <c r="X153" s="238">
        <f t="shared" si="68"/>
        <v>702.87347391976562</v>
      </c>
      <c r="Y153" s="238">
        <f t="shared" si="40"/>
        <v>783.24966678770511</v>
      </c>
      <c r="AA153" s="1133">
        <v>755.14221198223493</v>
      </c>
      <c r="AB153" s="1133">
        <v>759.64844617376582</v>
      </c>
      <c r="AC153" s="1133">
        <v>764.15468036529671</v>
      </c>
      <c r="AD153" s="89"/>
      <c r="AE153" s="89"/>
      <c r="AF153" s="89"/>
      <c r="AG153" s="89"/>
      <c r="AH153" s="89"/>
      <c r="AI153" s="89"/>
      <c r="AJ153" s="89"/>
      <c r="AK153" s="89"/>
      <c r="AL153" s="89"/>
      <c r="AM153" s="89"/>
      <c r="AN153" s="89"/>
      <c r="BR153" s="180">
        <v>2057</v>
      </c>
      <c r="BS153" s="22">
        <v>43</v>
      </c>
      <c r="BT153" s="181">
        <f t="shared" si="51"/>
        <v>145.71205712861175</v>
      </c>
      <c r="BU153" s="182">
        <f t="shared" si="52"/>
        <v>564.82896786797232</v>
      </c>
      <c r="BV153" s="242">
        <f t="shared" si="53"/>
        <v>710.54102499658404</v>
      </c>
      <c r="BY153" s="180">
        <v>2057</v>
      </c>
      <c r="BZ153" s="22">
        <v>43</v>
      </c>
      <c r="CA153" s="243">
        <f t="shared" ca="1" si="54"/>
        <v>-111.97232407725188</v>
      </c>
      <c r="CB153" s="243">
        <f t="shared" ca="1" si="55"/>
        <v>260.28838874254387</v>
      </c>
      <c r="CC153" s="243">
        <f t="shared" ca="1" si="66"/>
        <v>547.6304064629212</v>
      </c>
      <c r="CD153" s="242">
        <f t="shared" ca="1" si="56"/>
        <v>695.94647112821326</v>
      </c>
      <c r="CG153" s="180">
        <v>2057</v>
      </c>
      <c r="CH153" s="22">
        <v>43</v>
      </c>
      <c r="CI153" s="243">
        <f t="shared" ca="1" si="57"/>
        <v>199.53728261813197</v>
      </c>
      <c r="CJ153" s="243">
        <f t="shared" ca="1" si="58"/>
        <v>-418.23885088647785</v>
      </c>
      <c r="CK153" s="243">
        <f t="shared" ca="1" si="59"/>
        <v>378.15459754488245</v>
      </c>
      <c r="CL153" s="243">
        <f t="shared" ca="1" si="60"/>
        <v>540.77295150894497</v>
      </c>
      <c r="CM153" s="242">
        <f t="shared" ca="1" si="61"/>
        <v>700.22598078548151</v>
      </c>
      <c r="CP153" s="180">
        <v>2057</v>
      </c>
      <c r="CQ153" s="22">
        <v>43</v>
      </c>
      <c r="CR153" s="243">
        <f t="shared" ca="1" si="62"/>
        <v>565.62380568274648</v>
      </c>
      <c r="CS153" s="243">
        <f t="shared" ca="1" si="63"/>
        <v>1.2627605098119814</v>
      </c>
      <c r="CT153" s="242">
        <f t="shared" ca="1" si="64"/>
        <v>714.24740522573802</v>
      </c>
      <c r="CZ153" s="164" t="b">
        <f t="shared" si="69"/>
        <v>1</v>
      </c>
      <c r="DA153" s="165" t="b">
        <f t="shared" si="69"/>
        <v>1</v>
      </c>
      <c r="DB153" s="166" t="b">
        <f t="shared" si="69"/>
        <v>1</v>
      </c>
      <c r="DC153" s="164">
        <f t="shared" si="50"/>
        <v>45</v>
      </c>
      <c r="DD153" s="166">
        <f t="shared" si="42"/>
        <v>622.49728105182612</v>
      </c>
      <c r="DE153" s="164">
        <f t="shared" si="43"/>
        <v>45</v>
      </c>
      <c r="DF153" s="166">
        <f t="shared" si="44"/>
        <v>702.87347391976562</v>
      </c>
      <c r="DG153" s="164">
        <f t="shared" si="45"/>
        <v>45</v>
      </c>
      <c r="DH153" s="166">
        <f t="shared" si="46"/>
        <v>783.24966678770511</v>
      </c>
      <c r="DI153" s="164">
        <f>IFERROR(INDEX(DC$106:DC$154,_xlfn.AGGREGATE(15,6,(ROW(DC$106:DC$154)-ROW(DC$106)+1)/(DC$106:DC$154&lt;&gt;""),ROWS(DI$1:DI48))),"")</f>
        <v>45</v>
      </c>
      <c r="DJ153" s="165">
        <f>IFERROR(INDEX(DD$106:DD$154,_xlfn.AGGREGATE(15,6,(ROW(DD$106:DD$154)-ROW(DD$106)+1)/(DD$106:DD$154&lt;&gt;""),ROWS(DJ$1:DJ48))),"")</f>
        <v>622.49728105182612</v>
      </c>
      <c r="DK153" s="166">
        <f t="shared" si="47"/>
        <v>153</v>
      </c>
      <c r="DL153" s="164">
        <f>IFERROR(INDEX(DE$106:DE$154,_xlfn.AGGREGATE(15,6,(ROW(DE$106:DE$154)-ROW(DE$106)+1)/(DE$106:DE$154&lt;&gt;""),ROWS(DL$1:DL48))),"")</f>
        <v>45</v>
      </c>
      <c r="DM153" s="165">
        <f>IFERROR(INDEX(DF$106:DF$154,_xlfn.AGGREGATE(15,6,(ROW(DF$106:DF$154)-ROW(DF$106)+1)/(DF$106:DF$154&lt;&gt;""),ROWS(DM$1:DM48))),"")</f>
        <v>702.87347391976562</v>
      </c>
      <c r="DN153" s="166">
        <f t="shared" si="48"/>
        <v>153</v>
      </c>
      <c r="DO153" s="164">
        <f>IFERROR(INDEX(DG$106:DG$154,_xlfn.AGGREGATE(15,6,(ROW(DG$106:DG$154)-ROW(DG$106)+1)/(DG$106:DG$154&lt;&gt;""),ROWS(DO$1:DO48))),"")</f>
        <v>45</v>
      </c>
      <c r="DP153" s="165">
        <f>IFERROR(INDEX(DH$106:DH$154,_xlfn.AGGREGATE(15,6,(ROW(DH$106:DH$154)-ROW(DH$106)+1)/(DH$106:DH$154&lt;&gt;""),ROWS(DP$1:DP48))),"")</f>
        <v>783.24966678770511</v>
      </c>
      <c r="DQ153" s="166">
        <f t="shared" si="49"/>
        <v>153</v>
      </c>
      <c r="DW153" s="54"/>
      <c r="EA153" s="55"/>
      <c r="EB153" s="55"/>
      <c r="EC153" s="55"/>
      <c r="ED153" s="55"/>
      <c r="EE153" s="55"/>
    </row>
    <row r="154" spans="1:135" ht="14.1" thickBot="1" x14ac:dyDescent="0.5">
      <c r="A154" s="214"/>
      <c r="B154" s="128">
        <v>2060</v>
      </c>
      <c r="C154" s="1028">
        <v>769.32831050228299</v>
      </c>
      <c r="D154" s="921">
        <v>753.30452618887296</v>
      </c>
      <c r="E154" s="1029"/>
      <c r="F154" s="942"/>
      <c r="G154" s="251"/>
      <c r="H154" s="249"/>
      <c r="I154" s="1115">
        <v>590.57058823529428</v>
      </c>
      <c r="J154" s="251"/>
      <c r="K154" s="249"/>
      <c r="L154" s="250"/>
      <c r="M154" s="249"/>
      <c r="N154" s="29" t="s">
        <v>119</v>
      </c>
      <c r="R154" s="29">
        <v>46</v>
      </c>
      <c r="S154" s="238">
        <f t="shared" si="35"/>
        <v>590.57058823529428</v>
      </c>
      <c r="T154" s="238">
        <f t="shared" si="36"/>
        <v>769.32831050228299</v>
      </c>
      <c r="U154" s="238">
        <f t="shared" si="37"/>
        <v>80.75574936235752</v>
      </c>
      <c r="W154" s="238">
        <f t="shared" si="38"/>
        <v>623.64539227979253</v>
      </c>
      <c r="X154" s="238">
        <f t="shared" si="68"/>
        <v>704.40114164215004</v>
      </c>
      <c r="Y154" s="238">
        <f t="shared" si="40"/>
        <v>785.15689100450754</v>
      </c>
      <c r="AA154" s="1133">
        <v>753.30452618887296</v>
      </c>
      <c r="AB154" s="1133">
        <v>761.31641834557797</v>
      </c>
      <c r="AC154" s="1133">
        <v>769.32831050228299</v>
      </c>
      <c r="AD154" s="89"/>
      <c r="AE154" s="89"/>
      <c r="AF154" s="89"/>
      <c r="AG154" s="89"/>
      <c r="AH154" s="89"/>
      <c r="AI154" s="89"/>
      <c r="AJ154" s="89"/>
      <c r="AK154" s="89"/>
      <c r="AL154" s="89"/>
      <c r="AM154" s="89"/>
      <c r="AN154" s="89"/>
      <c r="BR154" s="180">
        <v>2058</v>
      </c>
      <c r="BS154" s="22">
        <v>44</v>
      </c>
      <c r="BT154" s="181">
        <f t="shared" si="51"/>
        <v>149.10070961997479</v>
      </c>
      <c r="BU154" s="182">
        <f t="shared" si="52"/>
        <v>564.82896786797232</v>
      </c>
      <c r="BV154" s="242">
        <f t="shared" si="53"/>
        <v>713.92967748794717</v>
      </c>
      <c r="BY154" s="180">
        <v>2058</v>
      </c>
      <c r="BZ154" s="22">
        <v>44</v>
      </c>
      <c r="CA154" s="243">
        <f t="shared" ca="1" si="54"/>
        <v>-117.24089746541895</v>
      </c>
      <c r="CB154" s="243">
        <f t="shared" ca="1" si="55"/>
        <v>266.34160708539378</v>
      </c>
      <c r="CC154" s="243">
        <f t="shared" ca="1" si="66"/>
        <v>547.6304064629212</v>
      </c>
      <c r="CD154" s="242">
        <f t="shared" ca="1" si="56"/>
        <v>696.73111608289605</v>
      </c>
      <c r="CG154" s="180">
        <v>2058</v>
      </c>
      <c r="CH154" s="22">
        <v>44</v>
      </c>
      <c r="CI154" s="243">
        <f t="shared" ca="1" si="57"/>
        <v>213.78474703539254</v>
      </c>
      <c r="CJ154" s="243">
        <f t="shared" ca="1" si="58"/>
        <v>-437.91801801850789</v>
      </c>
      <c r="CK154" s="243">
        <f t="shared" ca="1" si="59"/>
        <v>386.94889051104252</v>
      </c>
      <c r="CL154" s="243">
        <f t="shared" ca="1" si="60"/>
        <v>540.77295150894497</v>
      </c>
      <c r="CM154" s="242">
        <f t="shared" ca="1" si="61"/>
        <v>703.58857103687217</v>
      </c>
      <c r="CP154" s="180">
        <v>2058</v>
      </c>
      <c r="CQ154" s="22">
        <v>44</v>
      </c>
      <c r="CR154" s="243">
        <f t="shared" ca="1" si="62"/>
        <v>565.62380568274648</v>
      </c>
      <c r="CS154" s="243">
        <f t="shared" ca="1" si="63"/>
        <v>1.2696303453594631</v>
      </c>
      <c r="CT154" s="242">
        <f t="shared" ca="1" si="64"/>
        <v>718.13314775251922</v>
      </c>
      <c r="CZ154" s="164" t="b">
        <f t="shared" si="69"/>
        <v>1</v>
      </c>
      <c r="DA154" s="165" t="b">
        <f t="shared" si="69"/>
        <v>1</v>
      </c>
      <c r="DB154" s="166" t="b">
        <f t="shared" si="69"/>
        <v>1</v>
      </c>
      <c r="DC154" s="164">
        <f t="shared" si="50"/>
        <v>46</v>
      </c>
      <c r="DD154" s="166">
        <f t="shared" si="42"/>
        <v>623.64539227979253</v>
      </c>
      <c r="DE154" s="164">
        <f t="shared" si="43"/>
        <v>46</v>
      </c>
      <c r="DF154" s="166">
        <f t="shared" si="44"/>
        <v>704.40114164215004</v>
      </c>
      <c r="DG154" s="164">
        <f t="shared" si="45"/>
        <v>46</v>
      </c>
      <c r="DH154" s="166">
        <f t="shared" si="46"/>
        <v>785.15689100450754</v>
      </c>
      <c r="DI154" s="164">
        <f>IFERROR(INDEX(DC$106:DC$154,_xlfn.AGGREGATE(15,6,(ROW(DC$106:DC$154)-ROW(DC$106)+1)/(DC$106:DC$154&lt;&gt;""),ROWS(DI$1:DI49))),"")</f>
        <v>46</v>
      </c>
      <c r="DJ154" s="165">
        <f>IFERROR(INDEX(DD$106:DD$154,_xlfn.AGGREGATE(15,6,(ROW(DD$106:DD$154)-ROW(DD$106)+1)/(DD$106:DD$154&lt;&gt;""),ROWS(DJ$1:DJ49))),"")</f>
        <v>623.64539227979253</v>
      </c>
      <c r="DK154" s="166">
        <f t="shared" si="47"/>
        <v>154</v>
      </c>
      <c r="DL154" s="164">
        <f>IFERROR(INDEX(DE$106:DE$154,_xlfn.AGGREGATE(15,6,(ROW(DE$106:DE$154)-ROW(DE$106)+1)/(DE$106:DE$154&lt;&gt;""),ROWS(DL$1:DL49))),"")</f>
        <v>46</v>
      </c>
      <c r="DM154" s="165">
        <f>IFERROR(INDEX(DF$106:DF$154,_xlfn.AGGREGATE(15,6,(ROW(DF$106:DF$154)-ROW(DF$106)+1)/(DF$106:DF$154&lt;&gt;""),ROWS(DM$1:DM49))),"")</f>
        <v>704.40114164215004</v>
      </c>
      <c r="DN154" s="166">
        <f t="shared" si="48"/>
        <v>154</v>
      </c>
      <c r="DO154" s="164">
        <f>IFERROR(INDEX(DG$106:DG$154,_xlfn.AGGREGATE(15,6,(ROW(DG$106:DG$154)-ROW(DG$106)+1)/(DG$106:DG$154&lt;&gt;""),ROWS(DO$1:DO49))),"")</f>
        <v>46</v>
      </c>
      <c r="DP154" s="165">
        <f>IFERROR(INDEX(DH$106:DH$154,_xlfn.AGGREGATE(15,6,(ROW(DH$106:DH$154)-ROW(DH$106)+1)/(DH$106:DH$154&lt;&gt;""),ROWS(DP$1:DP49))),"")</f>
        <v>785.15689100450754</v>
      </c>
      <c r="DQ154" s="166">
        <f t="shared" si="49"/>
        <v>154</v>
      </c>
      <c r="DW154" s="54"/>
      <c r="EA154" s="55"/>
      <c r="EB154" s="55"/>
      <c r="EC154" s="55"/>
      <c r="ED154" s="55"/>
      <c r="EE154" s="55"/>
    </row>
    <row r="155" spans="1:135" x14ac:dyDescent="0.4">
      <c r="A155" s="214"/>
      <c r="B155" s="89"/>
      <c r="C155" s="14"/>
      <c r="D155" s="14"/>
      <c r="E155" s="14"/>
      <c r="F155" s="14"/>
      <c r="G155" s="14"/>
      <c r="H155" s="14"/>
      <c r="I155" s="14"/>
      <c r="J155" s="14"/>
      <c r="K155" s="14"/>
      <c r="L155" s="14"/>
      <c r="M155" s="50"/>
      <c r="S155" s="120"/>
      <c r="T155" s="120"/>
      <c r="U155" s="120"/>
      <c r="W155" s="120"/>
      <c r="X155" s="120"/>
      <c r="Y155" s="120"/>
      <c r="AA155" s="89"/>
      <c r="AB155" s="89"/>
      <c r="AC155" s="89"/>
      <c r="AD155" s="89"/>
      <c r="AE155" s="89"/>
      <c r="AF155" s="89"/>
      <c r="AG155" s="89"/>
      <c r="AH155" s="89"/>
      <c r="AI155" s="89"/>
      <c r="AJ155" s="89"/>
      <c r="AK155" s="89"/>
      <c r="AL155" s="89"/>
      <c r="AM155" s="89"/>
      <c r="AN155" s="89"/>
      <c r="BR155" s="180">
        <v>2059</v>
      </c>
      <c r="BS155" s="22">
        <v>45</v>
      </c>
      <c r="BT155" s="181">
        <f t="shared" si="51"/>
        <v>152.48936211133787</v>
      </c>
      <c r="BU155" s="182">
        <f t="shared" si="52"/>
        <v>564.82896786797232</v>
      </c>
      <c r="BV155" s="242">
        <f t="shared" si="53"/>
        <v>717.31832997931019</v>
      </c>
      <c r="BY155" s="180">
        <v>2059</v>
      </c>
      <c r="BZ155" s="22">
        <v>45</v>
      </c>
      <c r="CA155" s="243">
        <f t="shared" ca="1" si="54"/>
        <v>-122.63058748319906</v>
      </c>
      <c r="CB155" s="243">
        <f t="shared" ca="1" si="55"/>
        <v>272.39482542824362</v>
      </c>
      <c r="CC155" s="243">
        <f t="shared" ca="1" si="66"/>
        <v>547.6304064629212</v>
      </c>
      <c r="CD155" s="242">
        <f t="shared" ca="1" si="56"/>
        <v>697.39464440796576</v>
      </c>
      <c r="CG155" s="180">
        <v>2059</v>
      </c>
      <c r="CH155" s="22">
        <v>45</v>
      </c>
      <c r="CI155" s="243">
        <f t="shared" ca="1" si="57"/>
        <v>228.69476748685369</v>
      </c>
      <c r="CJ155" s="243">
        <f t="shared" ca="1" si="58"/>
        <v>-458.04957979725128</v>
      </c>
      <c r="CK155" s="243">
        <f t="shared" ca="1" si="59"/>
        <v>395.74318347720259</v>
      </c>
      <c r="CL155" s="243">
        <f t="shared" ca="1" si="60"/>
        <v>540.77295150894497</v>
      </c>
      <c r="CM155" s="242">
        <f t="shared" ca="1" si="61"/>
        <v>707.16132267574994</v>
      </c>
      <c r="CP155" s="180">
        <v>2059</v>
      </c>
      <c r="CQ155" s="22">
        <v>45</v>
      </c>
      <c r="CR155" s="243">
        <f t="shared" ca="1" si="62"/>
        <v>565.62380568274648</v>
      </c>
      <c r="CS155" s="243">
        <f t="shared" ca="1" si="63"/>
        <v>1.2765375550884168</v>
      </c>
      <c r="CT155" s="242">
        <f t="shared" ca="1" si="64"/>
        <v>722.04003000605894</v>
      </c>
      <c r="CZ155" s="252"/>
      <c r="DA155" s="252"/>
      <c r="DB155" s="252"/>
      <c r="DC155" s="252"/>
      <c r="DD155" s="252"/>
      <c r="DE155" s="252"/>
      <c r="DF155" s="252"/>
      <c r="DG155" s="252"/>
      <c r="DH155" s="252"/>
      <c r="DI155" s="252"/>
      <c r="DJ155" s="252"/>
      <c r="DK155" s="252"/>
      <c r="DL155" s="252"/>
      <c r="DM155" s="252"/>
      <c r="DN155" s="252"/>
      <c r="DO155" s="252"/>
      <c r="DP155" s="252"/>
      <c r="DQ155" s="252"/>
      <c r="DU155" s="65"/>
      <c r="DW155" s="54"/>
      <c r="EA155" s="55"/>
      <c r="EB155" s="55"/>
      <c r="EC155" s="55"/>
      <c r="ED155" s="55"/>
      <c r="EE155" s="55"/>
    </row>
    <row r="156" spans="1:135" x14ac:dyDescent="0.4">
      <c r="A156" s="214"/>
      <c r="B156" s="89"/>
      <c r="C156" s="14"/>
      <c r="D156" s="14"/>
      <c r="E156" s="14"/>
      <c r="F156" s="14"/>
      <c r="G156" s="14"/>
      <c r="H156" s="14"/>
      <c r="I156" s="14"/>
      <c r="J156" s="14"/>
      <c r="K156" s="14"/>
      <c r="L156" s="14"/>
      <c r="M156" s="50"/>
      <c r="S156" s="120"/>
      <c r="T156" s="120"/>
      <c r="U156" s="120"/>
      <c r="W156" s="120"/>
      <c r="X156" s="120"/>
      <c r="Y156" s="120"/>
      <c r="AA156" s="89"/>
      <c r="AB156" s="89"/>
      <c r="AC156" s="89"/>
      <c r="AD156" s="89"/>
      <c r="AE156" s="89"/>
      <c r="AF156" s="89"/>
      <c r="AG156" s="89"/>
      <c r="AH156" s="89"/>
      <c r="AI156" s="89"/>
      <c r="AJ156" s="89"/>
      <c r="AK156" s="89"/>
      <c r="AL156" s="89"/>
      <c r="AM156" s="89"/>
      <c r="AN156" s="89"/>
      <c r="BR156" s="180">
        <v>2060</v>
      </c>
      <c r="BS156" s="22">
        <v>46</v>
      </c>
      <c r="BT156" s="181">
        <f t="shared" si="51"/>
        <v>155.87801460270092</v>
      </c>
      <c r="BU156" s="182">
        <f t="shared" si="52"/>
        <v>564.82896786797232</v>
      </c>
      <c r="BV156" s="242">
        <f t="shared" si="53"/>
        <v>720.70698247067321</v>
      </c>
      <c r="BX156" s="29"/>
      <c r="BY156" s="180">
        <v>2060</v>
      </c>
      <c r="BZ156" s="22">
        <v>46</v>
      </c>
      <c r="CA156" s="243">
        <f t="shared" ca="1" si="54"/>
        <v>-128.1413941305922</v>
      </c>
      <c r="CB156" s="243">
        <f t="shared" ca="1" si="55"/>
        <v>278.44804377109347</v>
      </c>
      <c r="CC156" s="243">
        <f t="shared" ca="1" si="66"/>
        <v>547.6304064629212</v>
      </c>
      <c r="CD156" s="242">
        <f t="shared" ca="1" si="56"/>
        <v>697.93705610342249</v>
      </c>
      <c r="CG156" s="180">
        <v>2060</v>
      </c>
      <c r="CH156" s="22">
        <v>46</v>
      </c>
      <c r="CI156" s="243">
        <f t="shared" ca="1" si="57"/>
        <v>244.28240206420182</v>
      </c>
      <c r="CJ156" s="243">
        <f t="shared" ca="1" si="58"/>
        <v>-478.63353622270802</v>
      </c>
      <c r="CK156" s="243">
        <f t="shared" ca="1" si="59"/>
        <v>404.53747644336261</v>
      </c>
      <c r="CL156" s="243">
        <f t="shared" ca="1" si="60"/>
        <v>540.77295150894497</v>
      </c>
      <c r="CM156" s="242">
        <f t="shared" ca="1" si="61"/>
        <v>710.95929379380141</v>
      </c>
      <c r="CP156" s="180">
        <v>2060</v>
      </c>
      <c r="CQ156" s="22">
        <v>46</v>
      </c>
      <c r="CR156" s="243">
        <f t="shared" ca="1" si="62"/>
        <v>565.62380568274648</v>
      </c>
      <c r="CS156" s="243">
        <f t="shared" ca="1" si="63"/>
        <v>1.2834823423267723</v>
      </c>
      <c r="CT156" s="242">
        <f t="shared" ca="1" si="64"/>
        <v>725.96816699347448</v>
      </c>
      <c r="DW156" s="54"/>
      <c r="EA156" s="55"/>
      <c r="EB156" s="55"/>
      <c r="EC156" s="55"/>
      <c r="ED156" s="55"/>
      <c r="EE156" s="55"/>
    </row>
    <row r="157" spans="1:135" x14ac:dyDescent="0.4">
      <c r="A157" s="221" t="str">
        <f ca="1">HYPERLINK("#"&amp;"'"&amp;A$1&amp;"'!a1","Back to top")</f>
        <v>Back to top</v>
      </c>
      <c r="C157" s="50"/>
      <c r="D157" s="14"/>
      <c r="E157" s="14"/>
      <c r="F157" s="14"/>
      <c r="G157" s="14"/>
      <c r="H157" s="14"/>
      <c r="I157" s="14"/>
      <c r="J157" s="14"/>
      <c r="K157" s="14"/>
      <c r="L157" s="14"/>
      <c r="M157" s="14"/>
      <c r="N157" s="89"/>
      <c r="O157" s="89"/>
      <c r="P157" s="89"/>
      <c r="Q157" s="89"/>
      <c r="R157" s="89"/>
      <c r="S157" s="89"/>
      <c r="T157" s="89"/>
      <c r="U157" s="89"/>
      <c r="V157" s="89"/>
      <c r="W157" s="89"/>
      <c r="X157" s="89"/>
      <c r="Y157" s="89"/>
      <c r="Z157" s="89"/>
      <c r="AA157" s="89"/>
      <c r="AB157" s="89"/>
      <c r="AC157" s="89"/>
      <c r="AD157" s="89"/>
      <c r="AE157" s="89"/>
      <c r="AF157" s="89"/>
      <c r="AG157" s="89"/>
      <c r="AH157" s="89"/>
      <c r="AI157" s="89"/>
      <c r="AJ157" s="89"/>
      <c r="AK157" s="89"/>
      <c r="AL157" s="89"/>
      <c r="AM157" s="89"/>
      <c r="AN157" s="89"/>
      <c r="DW157" s="54"/>
      <c r="EA157" s="55"/>
      <c r="EB157" s="55"/>
      <c r="EC157" s="55"/>
      <c r="ED157" s="55"/>
      <c r="EE157" s="55"/>
    </row>
    <row r="158" spans="1:135" x14ac:dyDescent="0.4">
      <c r="A158" s="221"/>
      <c r="C158" s="50"/>
      <c r="D158" s="14"/>
      <c r="E158" s="14"/>
      <c r="F158" s="14"/>
      <c r="G158" s="14"/>
      <c r="H158" s="14"/>
      <c r="I158" s="14"/>
      <c r="J158" s="14"/>
      <c r="K158" s="14"/>
      <c r="L158" s="14"/>
      <c r="M158" s="14"/>
      <c r="N158" s="89"/>
      <c r="O158" s="89"/>
      <c r="P158" s="89"/>
      <c r="Q158" s="89"/>
      <c r="R158" s="89"/>
      <c r="S158" s="89"/>
      <c r="T158" s="89"/>
      <c r="U158" s="89"/>
      <c r="V158" s="89"/>
      <c r="W158" s="89"/>
      <c r="X158" s="89"/>
      <c r="Y158" s="89"/>
      <c r="Z158" s="89"/>
      <c r="AA158" s="89"/>
      <c r="AB158" s="89"/>
      <c r="AC158" s="89"/>
      <c r="AD158" s="89"/>
      <c r="AE158" s="89"/>
      <c r="AF158" s="89"/>
      <c r="AG158" s="89"/>
      <c r="AH158" s="89"/>
      <c r="AI158" s="89"/>
      <c r="AJ158" s="89"/>
      <c r="AK158" s="89"/>
      <c r="AL158" s="89"/>
      <c r="AM158" s="89"/>
      <c r="AN158" s="89"/>
      <c r="DW158" s="54"/>
      <c r="EA158" s="55"/>
      <c r="EB158" s="55"/>
      <c r="EC158" s="55"/>
      <c r="ED158" s="55"/>
      <c r="EE158" s="55"/>
    </row>
    <row r="159" spans="1:135" x14ac:dyDescent="0.4">
      <c r="A159" s="214"/>
      <c r="B159" s="89"/>
      <c r="C159" s="14"/>
      <c r="D159" s="14"/>
      <c r="E159" s="14"/>
      <c r="F159" s="14"/>
      <c r="G159" s="14"/>
      <c r="H159" s="14"/>
      <c r="I159" s="14"/>
      <c r="J159" s="14"/>
      <c r="K159" s="14"/>
      <c r="L159" s="14"/>
      <c r="M159" s="50"/>
      <c r="N159" s="49"/>
      <c r="O159" s="49"/>
      <c r="P159" s="49"/>
      <c r="Q159" s="49"/>
      <c r="R159" s="49"/>
      <c r="S159" s="120"/>
      <c r="T159" s="120"/>
      <c r="U159" s="120"/>
      <c r="V159" s="49"/>
      <c r="W159" s="120"/>
      <c r="X159" s="120"/>
      <c r="Y159" s="120"/>
      <c r="Z159" s="89"/>
      <c r="AA159" s="89"/>
      <c r="AB159" s="89"/>
      <c r="AC159" s="89"/>
      <c r="AD159" s="89"/>
      <c r="AE159" s="89"/>
      <c r="AF159" s="89"/>
      <c r="AG159" s="89"/>
      <c r="AH159" s="89"/>
      <c r="AI159" s="89"/>
      <c r="AJ159" s="89"/>
      <c r="AK159" s="89"/>
      <c r="AL159" s="89"/>
      <c r="AM159" s="89"/>
      <c r="AN159" s="8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row>
    <row r="160" spans="1:135" x14ac:dyDescent="0.4">
      <c r="A160" s="253"/>
      <c r="B160" s="254"/>
      <c r="C160" s="255"/>
      <c r="D160" s="255"/>
      <c r="E160" s="255"/>
      <c r="F160" s="255"/>
      <c r="G160" s="255"/>
      <c r="H160" s="255"/>
      <c r="I160" s="255"/>
      <c r="J160" s="255"/>
      <c r="K160" s="255"/>
      <c r="L160" s="255"/>
      <c r="M160" s="256"/>
      <c r="S160" s="257"/>
      <c r="T160" s="257"/>
      <c r="U160" s="257"/>
      <c r="W160" s="257"/>
      <c r="X160" s="257"/>
      <c r="Y160" s="257"/>
      <c r="Z160" s="254"/>
      <c r="AA160" s="254"/>
      <c r="AB160" s="254"/>
      <c r="AC160" s="254"/>
      <c r="AD160" s="254"/>
      <c r="AE160" s="254"/>
      <c r="AF160" s="254"/>
      <c r="AG160" s="254"/>
      <c r="AH160" s="254"/>
      <c r="AI160" s="254"/>
      <c r="AJ160" s="254"/>
      <c r="AK160" s="254"/>
      <c r="AL160" s="254"/>
      <c r="AM160" s="254"/>
      <c r="AN160" s="254"/>
      <c r="DW160" s="258"/>
      <c r="EA160" s="259"/>
      <c r="EB160" s="259"/>
      <c r="EC160" s="259"/>
      <c r="ED160" s="259"/>
      <c r="EE160" s="259"/>
    </row>
    <row r="161" spans="1:135" x14ac:dyDescent="0.4">
      <c r="A161" s="253"/>
      <c r="B161" s="254"/>
      <c r="C161" s="255"/>
      <c r="D161" s="255"/>
      <c r="E161" s="255"/>
      <c r="F161" s="255"/>
      <c r="G161" s="255"/>
      <c r="H161" s="255"/>
      <c r="I161" s="255"/>
      <c r="J161" s="255"/>
      <c r="K161" s="255"/>
      <c r="L161" s="255"/>
      <c r="M161" s="256"/>
      <c r="S161" s="257"/>
      <c r="T161" s="257"/>
      <c r="U161" s="257"/>
      <c r="W161" s="257"/>
      <c r="X161" s="257"/>
      <c r="Y161" s="257"/>
      <c r="Z161" s="254"/>
      <c r="AA161" s="254"/>
      <c r="AB161" s="254"/>
      <c r="AC161" s="254"/>
      <c r="AD161" s="254"/>
      <c r="AE161" s="254"/>
      <c r="AF161" s="254"/>
      <c r="AG161" s="254"/>
      <c r="AH161" s="254"/>
      <c r="AI161" s="254"/>
      <c r="AJ161" s="254"/>
      <c r="AK161" s="254"/>
      <c r="AL161" s="254"/>
      <c r="AM161" s="254"/>
      <c r="AN161" s="254"/>
      <c r="DW161" s="258"/>
      <c r="EA161" s="259"/>
      <c r="EB161" s="259"/>
      <c r="EC161" s="259"/>
      <c r="ED161" s="259"/>
      <c r="EE161" s="259"/>
    </row>
    <row r="162" spans="1:135" x14ac:dyDescent="0.4">
      <c r="A162" s="214"/>
      <c r="B162" s="89"/>
      <c r="C162" s="14"/>
      <c r="D162" s="14"/>
      <c r="E162" s="14"/>
      <c r="F162" s="14"/>
      <c r="G162" s="14"/>
      <c r="H162" s="14"/>
      <c r="I162" s="14"/>
      <c r="J162" s="14"/>
      <c r="K162" s="14"/>
      <c r="L162" s="14"/>
      <c r="M162" s="50"/>
      <c r="N162" s="49"/>
      <c r="O162" s="49"/>
      <c r="P162" s="49"/>
      <c r="Q162" s="49"/>
      <c r="R162" s="49"/>
      <c r="S162" s="120"/>
      <c r="T162" s="120"/>
      <c r="U162" s="120"/>
      <c r="V162" s="49"/>
      <c r="W162" s="120"/>
      <c r="X162" s="120"/>
      <c r="Y162" s="120"/>
      <c r="Z162" s="89"/>
      <c r="AA162" s="89"/>
      <c r="AB162" s="89"/>
      <c r="AC162" s="89"/>
      <c r="AD162" s="89"/>
      <c r="AE162" s="89"/>
      <c r="AF162" s="89"/>
      <c r="AG162" s="89"/>
      <c r="AH162" s="89"/>
      <c r="AI162" s="89"/>
      <c r="AJ162" s="89"/>
      <c r="AK162" s="89"/>
      <c r="AL162" s="89"/>
      <c r="AM162" s="89"/>
      <c r="AN162" s="8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row>
    <row r="163" spans="1:135" x14ac:dyDescent="0.4">
      <c r="A163" s="214"/>
      <c r="B163" s="89"/>
      <c r="C163" s="14"/>
      <c r="D163" s="14"/>
      <c r="E163" s="14"/>
      <c r="F163" s="14"/>
      <c r="G163" s="14"/>
      <c r="H163" s="14"/>
      <c r="I163" s="14"/>
      <c r="J163" s="14"/>
      <c r="K163" s="14"/>
      <c r="L163" s="14"/>
      <c r="M163" s="50"/>
      <c r="N163" s="49"/>
      <c r="O163" s="49"/>
      <c r="P163" s="49"/>
      <c r="Q163" s="49"/>
      <c r="R163" s="49"/>
      <c r="S163" s="120"/>
      <c r="T163" s="120"/>
      <c r="U163" s="120"/>
      <c r="V163" s="49"/>
      <c r="W163" s="120"/>
      <c r="X163" s="120"/>
      <c r="Y163" s="120"/>
      <c r="Z163" s="89"/>
      <c r="AA163" s="89"/>
      <c r="AB163" s="89"/>
      <c r="AC163" s="89"/>
      <c r="AD163" s="89"/>
      <c r="AE163" s="89"/>
      <c r="AF163" s="89"/>
      <c r="AG163" s="89"/>
      <c r="AH163" s="89"/>
      <c r="AI163" s="89"/>
      <c r="AJ163" s="89"/>
      <c r="AK163" s="89"/>
      <c r="AL163" s="89"/>
      <c r="AM163" s="89"/>
      <c r="AN163" s="89"/>
      <c r="AO163" s="89"/>
    </row>
    <row r="164" spans="1:135" x14ac:dyDescent="0.4">
      <c r="A164" s="221"/>
      <c r="B164" s="49"/>
      <c r="C164" s="50"/>
      <c r="D164" s="14"/>
      <c r="E164" s="14"/>
      <c r="F164" s="14"/>
      <c r="G164" s="14"/>
      <c r="H164" s="14"/>
      <c r="I164" s="14"/>
      <c r="J164" s="14"/>
      <c r="K164" s="14"/>
      <c r="L164" s="14"/>
      <c r="M164" s="14"/>
      <c r="N164" s="89"/>
      <c r="O164" s="89"/>
      <c r="P164" s="89"/>
      <c r="Q164" s="89"/>
      <c r="R164" s="89"/>
      <c r="S164" s="89"/>
      <c r="T164" s="89"/>
      <c r="U164" s="89"/>
      <c r="V164" s="89"/>
      <c r="W164" s="89"/>
      <c r="X164" s="89"/>
      <c r="Y164" s="89"/>
      <c r="Z164" s="89"/>
      <c r="AA164" s="89"/>
      <c r="AB164" s="89"/>
      <c r="AC164" s="89"/>
      <c r="AD164" s="89"/>
      <c r="AE164" s="89"/>
      <c r="AF164" s="89"/>
      <c r="AG164" s="89"/>
      <c r="AH164" s="89"/>
      <c r="AI164" s="89"/>
      <c r="AJ164" s="89"/>
      <c r="AK164" s="89"/>
      <c r="AL164" s="89"/>
      <c r="AM164" s="89"/>
      <c r="AN164" s="89"/>
      <c r="AO164" s="89"/>
    </row>
    <row r="165" spans="1:135" x14ac:dyDescent="0.4">
      <c r="A165" s="260" t="s">
        <v>99</v>
      </c>
      <c r="B165" s="89"/>
      <c r="C165" s="14"/>
      <c r="D165" s="14"/>
      <c r="E165" s="14"/>
      <c r="F165" s="14"/>
      <c r="G165" s="14"/>
      <c r="H165" s="14"/>
      <c r="I165" s="14"/>
      <c r="J165" s="14"/>
      <c r="K165" s="14"/>
      <c r="L165" s="14"/>
      <c r="M165" s="14"/>
      <c r="N165" s="89"/>
      <c r="O165" s="89"/>
      <c r="P165" s="89"/>
      <c r="Q165" s="89"/>
      <c r="R165" s="89"/>
      <c r="S165" s="89"/>
      <c r="T165" s="89"/>
      <c r="U165" s="89"/>
      <c r="V165" s="89"/>
      <c r="W165" s="89"/>
      <c r="X165" s="89"/>
      <c r="Y165" s="89"/>
      <c r="Z165" s="89"/>
      <c r="AA165" s="261" t="s">
        <v>99</v>
      </c>
      <c r="AB165" s="89"/>
      <c r="AC165" s="89"/>
      <c r="AD165" s="89"/>
      <c r="AE165" s="89"/>
      <c r="AF165" s="89"/>
      <c r="AG165" s="89"/>
      <c r="AH165" s="89"/>
      <c r="AI165" s="89"/>
      <c r="AJ165" s="89"/>
      <c r="AK165" s="89"/>
      <c r="AL165" s="89"/>
      <c r="AM165" s="261" t="s">
        <v>99</v>
      </c>
      <c r="AN165" s="89"/>
      <c r="AO165" s="89"/>
      <c r="AZ165" s="261" t="s">
        <v>99</v>
      </c>
      <c r="BJ165" s="261" t="s">
        <v>99</v>
      </c>
      <c r="BR165" s="261" t="s">
        <v>99</v>
      </c>
      <c r="BY165" s="261" t="s">
        <v>99</v>
      </c>
      <c r="CG165" s="261" t="s">
        <v>99</v>
      </c>
      <c r="CP165" s="261" t="s">
        <v>99</v>
      </c>
      <c r="DV165" s="261" t="s">
        <v>99</v>
      </c>
    </row>
    <row r="166" spans="1:135" x14ac:dyDescent="0.4">
      <c r="B166" s="694"/>
      <c r="C166" s="694"/>
      <c r="D166" s="113"/>
      <c r="E166" s="113"/>
      <c r="F166" s="113"/>
      <c r="G166" s="113"/>
      <c r="H166" s="113"/>
      <c r="I166" s="113"/>
      <c r="J166" s="113"/>
      <c r="K166" s="113"/>
      <c r="L166" s="113"/>
      <c r="M166" s="113"/>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89"/>
      <c r="DW166" s="54"/>
      <c r="EA166" s="55"/>
      <c r="EB166" s="55"/>
      <c r="EC166" s="55"/>
      <c r="ED166" s="55"/>
      <c r="EE166" s="55"/>
    </row>
    <row r="167" spans="1:135" ht="12.6" thickBot="1" x14ac:dyDescent="0.45">
      <c r="A167" s="233"/>
      <c r="B167" s="679"/>
      <c r="C167" s="679"/>
      <c r="D167" s="113"/>
      <c r="E167" s="113"/>
      <c r="F167" s="113"/>
      <c r="G167" s="113"/>
      <c r="H167" s="113"/>
      <c r="I167" s="113"/>
      <c r="J167" s="113"/>
      <c r="K167" s="113"/>
      <c r="L167" s="113"/>
      <c r="M167" s="113"/>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CZ167" s="116"/>
      <c r="DA167" s="116"/>
      <c r="DB167" s="116"/>
      <c r="DC167" s="116"/>
      <c r="DD167" s="116"/>
      <c r="DE167" s="116"/>
      <c r="DF167" s="116"/>
      <c r="DG167" s="116"/>
      <c r="DH167" s="116"/>
      <c r="DI167" s="117" t="str">
        <f>"DJ"&amp;MIN(DK170:DK215)</f>
        <v>DJ170</v>
      </c>
      <c r="DJ167" s="118" t="str">
        <f>"DJ"&amp;MAX(DK170:DK215)</f>
        <v>DJ215</v>
      </c>
      <c r="DK167" s="116"/>
      <c r="DL167" s="117" t="str">
        <f>"DM"&amp;MIN(DN170:DN215)</f>
        <v>DM170</v>
      </c>
      <c r="DM167" s="118" t="str">
        <f>"DM"&amp;MAX(DN170:DN215)</f>
        <v>DM215</v>
      </c>
      <c r="DN167" s="116"/>
      <c r="DO167" s="117" t="str">
        <f>"DP"&amp;MIN(DQ170:DQ215)</f>
        <v>DP170</v>
      </c>
      <c r="DP167" s="118" t="str">
        <f>"DP"&amp;MAX(DQ170:DQ215)</f>
        <v>DP215</v>
      </c>
      <c r="DQ167" s="116"/>
      <c r="DW167" s="119"/>
      <c r="EA167" s="33"/>
      <c r="EB167" s="33"/>
      <c r="EC167" s="33"/>
      <c r="ED167" s="33"/>
      <c r="EE167" s="33"/>
    </row>
    <row r="168" spans="1:135" ht="24.9" thickBot="1" x14ac:dyDescent="0.5">
      <c r="A168" s="676" t="s">
        <v>65</v>
      </c>
      <c r="C168" s="680" t="str">
        <f>A186</f>
        <v>Base Cases</v>
      </c>
      <c r="D168" s="681"/>
      <c r="E168" s="682"/>
      <c r="F168" s="683" t="str">
        <f>A187</f>
        <v>Conservative Cases</v>
      </c>
      <c r="G168" s="684"/>
      <c r="H168" s="685"/>
      <c r="I168" s="686" t="str">
        <f>A188</f>
        <v>Ambitious Cases</v>
      </c>
      <c r="J168" s="687"/>
      <c r="K168" s="688"/>
      <c r="L168" s="692" t="str">
        <f>A189</f>
        <v>Maximum Cases</v>
      </c>
      <c r="M168" s="693"/>
      <c r="O168" s="122"/>
      <c r="P168" s="122"/>
      <c r="Q168" s="122"/>
      <c r="W168" s="691" t="s">
        <v>66</v>
      </c>
      <c r="X168" s="691"/>
      <c r="Y168" s="691"/>
      <c r="Z168" s="120"/>
      <c r="AA168" s="1274" t="s">
        <v>1061</v>
      </c>
      <c r="AB168" s="1274"/>
      <c r="AC168" s="1274"/>
      <c r="AD168" s="120"/>
      <c r="AE168" s="120"/>
      <c r="AF168" s="120"/>
      <c r="AG168" s="120"/>
      <c r="AH168" s="120"/>
      <c r="AI168" s="120"/>
      <c r="AJ168" s="120"/>
      <c r="AK168" s="120"/>
      <c r="AL168" s="120"/>
      <c r="AM168" s="120"/>
      <c r="AN168" s="120"/>
      <c r="BR168" s="121" t="s">
        <v>67</v>
      </c>
      <c r="BS168" s="121"/>
      <c r="BT168" s="121"/>
      <c r="BU168" s="121"/>
      <c r="BV168" s="121"/>
      <c r="BW168" s="122"/>
      <c r="BY168" s="121" t="s">
        <v>68</v>
      </c>
      <c r="BZ168" s="121"/>
      <c r="CA168" s="121"/>
      <c r="CB168" s="121"/>
      <c r="CC168" s="121"/>
      <c r="CD168" s="121"/>
      <c r="CG168" s="121" t="s">
        <v>69</v>
      </c>
      <c r="CH168" s="121"/>
      <c r="CI168" s="121"/>
      <c r="CJ168" s="121"/>
      <c r="CK168" s="121"/>
      <c r="CL168" s="121"/>
      <c r="CM168" s="121"/>
      <c r="CP168" s="121" t="s">
        <v>70</v>
      </c>
      <c r="CQ168" s="121"/>
      <c r="CR168" s="121"/>
      <c r="CS168" s="121"/>
      <c r="CT168" s="121"/>
      <c r="CU168" s="121"/>
      <c r="CZ168" s="123"/>
      <c r="DA168" s="123"/>
      <c r="DB168" s="123"/>
      <c r="DC168" s="123"/>
      <c r="DD168" s="123"/>
      <c r="DE168" s="123"/>
      <c r="DF168" s="123"/>
      <c r="DG168" s="123"/>
      <c r="DH168" s="123"/>
      <c r="DI168" s="124" t="str">
        <f>"DI"&amp;MIN(DK170:DK215)</f>
        <v>DI170</v>
      </c>
      <c r="DJ168" s="125" t="str">
        <f>"DI"&amp;MAX(DK170:DK215)</f>
        <v>DI215</v>
      </c>
      <c r="DK168" s="123"/>
      <c r="DL168" s="124" t="str">
        <f>"DL"&amp;MIN(DN170:DN215)</f>
        <v>DL170</v>
      </c>
      <c r="DM168" s="125" t="str">
        <f>"DL"&amp;MAX(DN170:DN215)</f>
        <v>DL215</v>
      </c>
      <c r="DN168" s="123"/>
      <c r="DO168" s="124" t="str">
        <f>"DO"&amp;MIN(DQ170:DQ215)</f>
        <v>DO170</v>
      </c>
      <c r="DP168" s="125" t="str">
        <f>"DO"&amp;MAX(DQ170:DQ215)</f>
        <v>DO215</v>
      </c>
      <c r="DQ168" s="123"/>
      <c r="DV168" s="126" t="s">
        <v>71</v>
      </c>
      <c r="DZ168" s="127" t="s">
        <v>72</v>
      </c>
      <c r="EA168" s="33" t="str">
        <f>$L$20</f>
        <v>3rd Poly</v>
      </c>
    </row>
    <row r="169" spans="1:135" ht="86.4" thickBot="1" x14ac:dyDescent="0.5">
      <c r="A169" s="676" t="s">
        <v>73</v>
      </c>
      <c r="B169" s="128"/>
      <c r="C169" s="129" t="str">
        <f>A170</f>
        <v>Based on World Bank, What a Waste 2.0</v>
      </c>
      <c r="D169" s="1120" t="str">
        <f>A171</f>
        <v>Based on Hoornweg et al (2014)</v>
      </c>
      <c r="E169" s="131" t="str">
        <f>A172</f>
        <v>[Source 3]</v>
      </c>
      <c r="F169" s="129" t="str">
        <f>A173</f>
        <v>[Source 1]</v>
      </c>
      <c r="G169" s="130" t="str">
        <f>A174</f>
        <v>[Source 2]</v>
      </c>
      <c r="H169" s="131" t="str">
        <f>A175</f>
        <v>[Source 3]</v>
      </c>
      <c r="I169" s="1100" t="str">
        <f>A176</f>
        <v>Based on  IEA Annex I – Municipal solid waste potential in cities; Table I.1</v>
      </c>
      <c r="J169" s="130" t="str">
        <f>A177</f>
        <v>[Source 2]</v>
      </c>
      <c r="K169" s="131" t="str">
        <f>A178</f>
        <v>[Source 3]</v>
      </c>
      <c r="L169" s="129" t="str">
        <f>A179</f>
        <v>[Source 1]</v>
      </c>
      <c r="M169" s="131" t="str">
        <f>A180</f>
        <v>[Source 2]</v>
      </c>
      <c r="N169" s="234" t="s">
        <v>74</v>
      </c>
      <c r="O169" s="133"/>
      <c r="P169" s="133"/>
      <c r="Q169" s="133"/>
      <c r="R169" s="135" t="s">
        <v>76</v>
      </c>
      <c r="S169" s="134" t="s">
        <v>77</v>
      </c>
      <c r="T169" s="134" t="s">
        <v>78</v>
      </c>
      <c r="U169" s="136" t="s">
        <v>79</v>
      </c>
      <c r="V169" s="691"/>
      <c r="W169" s="136" t="s">
        <v>15</v>
      </c>
      <c r="X169" s="134" t="s">
        <v>21</v>
      </c>
      <c r="Y169" s="136" t="s">
        <v>25</v>
      </c>
      <c r="AA169" s="136" t="s">
        <v>15</v>
      </c>
      <c r="AB169" s="134" t="s">
        <v>21</v>
      </c>
      <c r="AC169" s="136" t="s">
        <v>25</v>
      </c>
      <c r="AD169" s="138"/>
      <c r="AE169" s="138"/>
      <c r="AF169" s="138"/>
      <c r="AG169" s="138"/>
      <c r="AH169" s="138"/>
      <c r="AI169" s="138"/>
      <c r="AJ169" s="138"/>
      <c r="AK169" s="138"/>
      <c r="AL169" s="138"/>
      <c r="AM169" s="138"/>
      <c r="AN169" s="138"/>
      <c r="BR169" s="139"/>
      <c r="BS169" s="139"/>
      <c r="BT169" s="139"/>
      <c r="BU169" s="139"/>
      <c r="BV169" s="139"/>
      <c r="BW169" s="122"/>
      <c r="BZ169" s="139"/>
      <c r="CA169" s="139"/>
      <c r="CB169" s="139"/>
      <c r="CC169" s="139"/>
      <c r="CD169" s="139"/>
      <c r="CH169" s="139"/>
      <c r="CI169" s="139"/>
      <c r="CJ169" s="139"/>
      <c r="CK169" s="139"/>
      <c r="CL169" s="139"/>
      <c r="CM169" s="139"/>
      <c r="CQ169" s="139"/>
      <c r="CR169" s="139"/>
      <c r="CS169" s="139"/>
      <c r="CT169" s="139"/>
      <c r="CU169" s="139"/>
      <c r="CZ169" s="140"/>
      <c r="DA169" s="140"/>
      <c r="DB169" s="140"/>
      <c r="DC169" s="140"/>
      <c r="DD169" s="141"/>
      <c r="DE169" s="141"/>
      <c r="DF169" s="141"/>
      <c r="DG169" s="141"/>
      <c r="DH169" s="140"/>
      <c r="DI169" s="142"/>
      <c r="DJ169" s="143"/>
      <c r="DK169" s="144"/>
      <c r="DL169" s="142"/>
      <c r="DM169" s="143"/>
      <c r="DN169" s="140"/>
      <c r="DO169" s="142"/>
      <c r="DP169" s="143"/>
      <c r="DQ169" s="140"/>
      <c r="DV169" s="145">
        <v>2014</v>
      </c>
      <c r="DW169" s="235">
        <f t="shared" ref="DW169:DW215" ca="1" si="70">IF($J$20="N","",IF($L$20="Linear",BV174,IF($L$20="2nd Poly",CD174,IF($L$20="3rd Poly",CM174,IF($L$20="Exp",CT174)))))</f>
        <v>171.86794742064839</v>
      </c>
      <c r="EA169" s="33" t="str">
        <f>$M$20</f>
        <v>Medium</v>
      </c>
      <c r="EB169" s="33"/>
      <c r="EC169" s="33"/>
      <c r="ED169" s="33"/>
      <c r="EE169" s="33"/>
    </row>
    <row r="170" spans="1:135" ht="14.1" thickBot="1" x14ac:dyDescent="0.5">
      <c r="A170" s="948" t="s">
        <v>1032</v>
      </c>
      <c r="B170" s="128">
        <v>2012</v>
      </c>
      <c r="C170" s="1030">
        <v>174.33333333333334</v>
      </c>
      <c r="D170" s="1030">
        <v>174.33333333333334</v>
      </c>
      <c r="E170" s="938"/>
      <c r="F170" s="1037"/>
      <c r="G170" s="1038"/>
      <c r="H170" s="1000"/>
      <c r="I170" s="1138">
        <v>174.33333333333334</v>
      </c>
      <c r="J170" s="264"/>
      <c r="K170" s="239"/>
      <c r="L170" s="190"/>
      <c r="M170" s="239"/>
      <c r="N170" s="29" t="s">
        <v>119</v>
      </c>
      <c r="O170" s="120"/>
      <c r="P170" s="120"/>
      <c r="Q170" s="120"/>
      <c r="R170" s="29">
        <v>-2</v>
      </c>
      <c r="S170" s="265">
        <f t="shared" ref="S170:S218" si="71">IF(MIN(C170:Q170)=0,"",MIN(C170:Q170))</f>
        <v>174.33333333333334</v>
      </c>
      <c r="T170" s="265">
        <f t="shared" ref="T170:T218" si="72">IF(MAX(C170:Q170)=0,"",MAX(C170:Q170))</f>
        <v>174.33333333333334</v>
      </c>
      <c r="U170" s="265">
        <f t="shared" ref="U170:U218" si="73">IF(T170="","",_xlfn.STDEV.P(C170:Q170))</f>
        <v>0</v>
      </c>
      <c r="V170" s="29"/>
      <c r="W170" s="265">
        <f t="shared" ref="W170:W218" si="74">IF(U170="",#N/A,X170-(U170*$Q$20))</f>
        <v>174.33333333333334</v>
      </c>
      <c r="X170" s="265">
        <f t="shared" ref="X170:X201" si="75">IF(U170="",#N/A,(SUM(C170:Q170)/COUNTIFS(C170:Q170,"&gt;0")))</f>
        <v>174.33333333333334</v>
      </c>
      <c r="Y170" s="265">
        <f t="shared" ref="Y170:Y218" si="76">IF(U170="",#N/A,X170+(U170*$Q$19))</f>
        <v>174.33333333333334</v>
      </c>
      <c r="AA170" s="1133">
        <v>174.33333333333334</v>
      </c>
      <c r="AB170" s="1133">
        <v>174.33333333333334</v>
      </c>
      <c r="AC170" s="1133">
        <v>174.33333333333334</v>
      </c>
      <c r="AD170" s="138"/>
      <c r="AE170" s="138"/>
      <c r="AF170" s="138"/>
      <c r="AG170" s="138"/>
      <c r="AH170" s="138"/>
      <c r="AI170" s="138"/>
      <c r="AJ170" s="138"/>
      <c r="AK170" s="138"/>
      <c r="AL170" s="138"/>
      <c r="AM170" s="138"/>
      <c r="AN170" s="138"/>
      <c r="BR170" s="691"/>
      <c r="BS170" s="65" t="str">
        <f>$M$20</f>
        <v>Medium</v>
      </c>
      <c r="BT170" s="691" t="s">
        <v>82</v>
      </c>
      <c r="BU170" s="691" t="s">
        <v>83</v>
      </c>
      <c r="BW170" s="133"/>
      <c r="BY170" s="691"/>
      <c r="BZ170" s="65" t="str">
        <f>$M$20</f>
        <v>Medium</v>
      </c>
      <c r="CA170" s="691" t="s">
        <v>84</v>
      </c>
      <c r="CB170" s="691" t="s">
        <v>82</v>
      </c>
      <c r="CC170" s="691" t="s">
        <v>83</v>
      </c>
      <c r="CG170" s="691"/>
      <c r="CH170" s="65" t="str">
        <f>$M$20</f>
        <v>Medium</v>
      </c>
      <c r="CI170" s="691" t="s">
        <v>85</v>
      </c>
      <c r="CJ170" s="691" t="s">
        <v>84</v>
      </c>
      <c r="CK170" s="691" t="s">
        <v>82</v>
      </c>
      <c r="CL170" s="691" t="s">
        <v>83</v>
      </c>
      <c r="CP170" s="691"/>
      <c r="CQ170" s="65" t="str">
        <f>$M$20</f>
        <v>Medium</v>
      </c>
      <c r="CR170" s="691" t="s">
        <v>86</v>
      </c>
      <c r="CS170" s="691" t="s">
        <v>87</v>
      </c>
      <c r="CZ170" s="155" t="b">
        <f t="shared" ref="CZ170:DB209" si="77">ISNUMBER(W170)</f>
        <v>1</v>
      </c>
      <c r="DA170" s="156" t="b">
        <f t="shared" si="77"/>
        <v>1</v>
      </c>
      <c r="DB170" s="157" t="b">
        <f t="shared" si="77"/>
        <v>1</v>
      </c>
      <c r="DC170" s="155">
        <f t="shared" ref="DC170:DC218" si="78">IF(CZ170=TRUE,$R170,"")</f>
        <v>-2</v>
      </c>
      <c r="DD170" s="157">
        <f t="shared" ref="DD170:DD218" si="79">IF(CZ170=TRUE,W170,"")</f>
        <v>174.33333333333334</v>
      </c>
      <c r="DE170" s="155">
        <f t="shared" ref="DE170:DE218" si="80">IF(DA170=TRUE,$R170,"")</f>
        <v>-2</v>
      </c>
      <c r="DF170" s="157">
        <f t="shared" ref="DF170:DF218" si="81">IF(DA170=TRUE,X170,"")</f>
        <v>174.33333333333334</v>
      </c>
      <c r="DG170" s="155">
        <f t="shared" ref="DG170:DG218" si="82">IF(DB170=TRUE,$R170,"")</f>
        <v>-2</v>
      </c>
      <c r="DH170" s="157">
        <f t="shared" ref="DH170:DH218" si="83">IF(DB170=TRUE,Y170,"")</f>
        <v>174.33333333333334</v>
      </c>
      <c r="DI170" s="155">
        <f>IFERROR(INDEX(DC$170:DC$218,_xlfn.AGGREGATE(15,6,(ROW(DC$170:DC$218)-ROW(DC$170)+1)/(DC$170:DC$218&lt;&gt;""),ROWS(DI$1:DI1))),"")</f>
        <v>-2</v>
      </c>
      <c r="DJ170" s="156">
        <f>IFERROR(INDEX(DD$170:DD$218,_xlfn.AGGREGATE(15,6,(ROW(DD$170:DD$218)-ROW(DD$170)+1)/(DD$170:DD$218&lt;&gt;""),ROWS(DJ$1:DJ1))),"")</f>
        <v>174.33333333333334</v>
      </c>
      <c r="DK170" s="157">
        <f t="shared" ref="DK170:DK218" si="84">IF(ISNUMBER(DI170),ROW(DI170),"")</f>
        <v>170</v>
      </c>
      <c r="DL170" s="155">
        <f>IFERROR(INDEX(DE$170:DE$218,_xlfn.AGGREGATE(15,6,(ROW(DE$170:DE$218)-ROW(DE$170)+1)/(DE$170:DE$218&lt;&gt;""),ROWS(DL$1:DL1))),"")</f>
        <v>-2</v>
      </c>
      <c r="DM170" s="156">
        <f>IFERROR(INDEX(DF$170:DF$218,_xlfn.AGGREGATE(15,6,(ROW(DF$170:DF$218)-ROW(DF$170)+1)/(DF$170:DF$218&lt;&gt;""),ROWS(DM$1:DM1))),"")</f>
        <v>174.33333333333334</v>
      </c>
      <c r="DN170" s="157">
        <f t="shared" ref="DN170:DN218" si="85">IF(ISNUMBER(DI170),ROW(DI170),"")</f>
        <v>170</v>
      </c>
      <c r="DO170" s="155">
        <f>IFERROR(INDEX(DG$170:DG$218,_xlfn.AGGREGATE(15,6,(ROW(DG$170:DG$218)-ROW(DG$170)+1)/(DG$170:DG$218&lt;&gt;""),ROWS(DO$1:DO1))),"")</f>
        <v>-2</v>
      </c>
      <c r="DP170" s="156">
        <f>IFERROR(INDEX(DH$170:DH$218,_xlfn.AGGREGATE(15,6,(ROW(DH$170:DH$218)-ROW(DH$170)+1)/(DH$170:DH$218&lt;&gt;""),ROWS(DP$1:DP1))),"")</f>
        <v>174.33333333333334</v>
      </c>
      <c r="DQ170" s="157">
        <f t="shared" ref="DQ170:DQ218" si="86">IF(ISNUMBER(DL170),ROW(DL170),"")</f>
        <v>170</v>
      </c>
      <c r="DV170" s="145">
        <v>2015</v>
      </c>
      <c r="DW170" s="235">
        <f t="shared" ca="1" si="70"/>
        <v>170.34501835830258</v>
      </c>
      <c r="EA170" s="33"/>
      <c r="EB170" s="33"/>
      <c r="EC170" s="33"/>
      <c r="ED170" s="33"/>
      <c r="EE170" s="33"/>
    </row>
    <row r="171" spans="1:135" ht="13.8" x14ac:dyDescent="0.45">
      <c r="A171" s="948" t="s">
        <v>1037</v>
      </c>
      <c r="B171" s="128">
        <v>2013</v>
      </c>
      <c r="C171" s="1031">
        <v>175.63333333333333</v>
      </c>
      <c r="D171" s="1031">
        <v>175.63333333333333</v>
      </c>
      <c r="E171" s="938"/>
      <c r="F171" s="1016"/>
      <c r="G171" s="981"/>
      <c r="H171" s="1002"/>
      <c r="I171" s="1140">
        <v>175.63333333333333</v>
      </c>
      <c r="J171" s="267"/>
      <c r="K171" s="239"/>
      <c r="L171" s="190"/>
      <c r="M171" s="239"/>
      <c r="N171" s="29" t="s">
        <v>119</v>
      </c>
      <c r="O171" s="120"/>
      <c r="P171" s="120"/>
      <c r="Q171" s="120"/>
      <c r="R171" s="29">
        <v>-1</v>
      </c>
      <c r="S171" s="265">
        <f t="shared" si="71"/>
        <v>175.63333333333333</v>
      </c>
      <c r="T171" s="265">
        <f t="shared" si="72"/>
        <v>175.63333333333333</v>
      </c>
      <c r="U171" s="265">
        <f t="shared" si="73"/>
        <v>0</v>
      </c>
      <c r="V171" s="29"/>
      <c r="W171" s="265">
        <f t="shared" si="74"/>
        <v>175.63333333333333</v>
      </c>
      <c r="X171" s="265">
        <f t="shared" si="75"/>
        <v>175.63333333333333</v>
      </c>
      <c r="Y171" s="265">
        <f t="shared" si="76"/>
        <v>175.63333333333333</v>
      </c>
      <c r="AA171" s="1133">
        <v>175.63333333333333</v>
      </c>
      <c r="AB171" s="1133">
        <v>175.63333333333333</v>
      </c>
      <c r="AC171" s="1133">
        <v>175.63333333333333</v>
      </c>
      <c r="AD171" s="138"/>
      <c r="AE171" s="138"/>
      <c r="AF171" s="138"/>
      <c r="AG171" s="138"/>
      <c r="AH171" s="138"/>
      <c r="AI171" s="138"/>
      <c r="AJ171" s="138"/>
      <c r="AK171" s="138"/>
      <c r="AL171" s="138"/>
      <c r="AM171" s="138"/>
      <c r="AN171" s="138"/>
      <c r="BS171" s="160" t="s">
        <v>25</v>
      </c>
      <c r="BT171" s="161">
        <f>SLOPE((DH170:DH218),($B$46:$B$94))</f>
        <v>0.8496391596563504</v>
      </c>
      <c r="BU171" s="162">
        <f>INTERCEPT(DP170:DP218,DO170:DO218)</f>
        <v>178.23630282795654</v>
      </c>
      <c r="BW171" s="133"/>
      <c r="BZ171" s="160" t="s">
        <v>25</v>
      </c>
      <c r="CA171" s="161">
        <f ca="1">INDEX(LINEST((INDIRECT(DO167):INDIRECT(DP167)),(INDIRECT(DO168):INDIRECT(DP168))^{1,2}),1)</f>
        <v>5.555385182618877E-3</v>
      </c>
      <c r="CB171" s="163">
        <f ca="1">INDEX(LINEST((INDIRECT(DO167):INDIRECT(DP167)),(INDIRECT(DO168):INDIRECT(DP168))^{1,2}),1,2)</f>
        <v>0.59583617803890376</v>
      </c>
      <c r="CC171" s="162">
        <f ca="1">INDEX(LINEST((INDIRECT(DO167):INDIRECT(DP167)),(INDIRECT(DO168):INDIRECT(DP168))^{1,2}),1,3)</f>
        <v>179.93900958014532</v>
      </c>
      <c r="CH171" s="160" t="s">
        <v>25</v>
      </c>
      <c r="CI171" s="161">
        <f ca="1">INDEX(LINEST((INDIRECT(DO167):INDIRECT(DP167)),(INDIRECT(DO168):INDIRECT(DP168))^{1,2,3}),1)</f>
        <v>5.520993867920937E-4</v>
      </c>
      <c r="CJ171" s="163">
        <f ca="1">INDEX(LINEST((INDIRECT(DO167):INDIRECT(DP167)),(INDIRECT(DO168):INDIRECT(DP168))^{1,2,3}),1,2)</f>
        <v>-2.8398727105094883E-2</v>
      </c>
      <c r="CK171" s="163">
        <f ca="1">INDEX(LINEST((INDIRECT(DO167):INDIRECT(DP167)),(INDIRECT(DO168):INDIRECT(DP168))^{1,2,3}),1,3)</f>
        <v>1.1168523693546024</v>
      </c>
      <c r="CL171" s="162">
        <f ca="1">INDEX(LINEST((INDIRECT(DO167):INDIRECT(DP167)),(INDIRECT(DO168):INDIRECT(DP168))^{1,2,3}),1,4)</f>
        <v>178.77098811744798</v>
      </c>
      <c r="CQ171" s="160" t="s">
        <v>25</v>
      </c>
      <c r="CR171" s="161">
        <f ca="1">EXP(INDEX(LINEST(LN(INDIRECT(DO167):INDIRECT(DP167)),(INDIRECT(DO168):INDIRECT(DP168))),1,2))</f>
        <v>179.01819513346473</v>
      </c>
      <c r="CS171" s="162">
        <f ca="1">INDEX(LINEST(LN(INDIRECT(DO167):INDIRECT(DP167)),(INDIRECT(DO168):INDIRECT(DP168))),1)</f>
        <v>4.2090597478627425E-3</v>
      </c>
      <c r="CZ171" s="164" t="b">
        <f t="shared" si="77"/>
        <v>1</v>
      </c>
      <c r="DA171" s="165" t="b">
        <f t="shared" si="77"/>
        <v>1</v>
      </c>
      <c r="DB171" s="166" t="b">
        <f t="shared" si="77"/>
        <v>1</v>
      </c>
      <c r="DC171" s="164">
        <f t="shared" si="78"/>
        <v>-1</v>
      </c>
      <c r="DD171" s="166">
        <f t="shared" si="79"/>
        <v>175.63333333333333</v>
      </c>
      <c r="DE171" s="164">
        <f t="shared" si="80"/>
        <v>-1</v>
      </c>
      <c r="DF171" s="166">
        <f t="shared" si="81"/>
        <v>175.63333333333333</v>
      </c>
      <c r="DG171" s="164">
        <f t="shared" si="82"/>
        <v>-1</v>
      </c>
      <c r="DH171" s="166">
        <f t="shared" si="83"/>
        <v>175.63333333333333</v>
      </c>
      <c r="DI171" s="164">
        <f>IFERROR(INDEX(DC$170:DC$218,_xlfn.AGGREGATE(15,6,(ROW(DC$170:DC$218)-ROW(DC$170)+1)/(DC$170:DC$218&lt;&gt;""),ROWS(DI$1:DI2))),"")</f>
        <v>-1</v>
      </c>
      <c r="DJ171" s="165">
        <f>IFERROR(INDEX(DD$170:DD$218,_xlfn.AGGREGATE(15,6,(ROW(DD$170:DD$218)-ROW(DD$170)+1)/(DD$170:DD$218&lt;&gt;""),ROWS(DJ$1:DJ2))),"")</f>
        <v>175.63333333333333</v>
      </c>
      <c r="DK171" s="166">
        <f t="shared" si="84"/>
        <v>171</v>
      </c>
      <c r="DL171" s="164">
        <f>IFERROR(INDEX(DE$170:DE$218,_xlfn.AGGREGATE(15,6,(ROW(DE$170:DE$218)-ROW(DE$170)+1)/(DE$170:DE$218&lt;&gt;""),ROWS(DL$1:DL2))),"")</f>
        <v>-1</v>
      </c>
      <c r="DM171" s="165">
        <f>IFERROR(INDEX(DF$170:DF$218,_xlfn.AGGREGATE(15,6,(ROW(DF$170:DF$218)-ROW(DF$170)+1)/(DF$170:DF$218&lt;&gt;""),ROWS(DM$1:DM2))),"")</f>
        <v>175.63333333333333</v>
      </c>
      <c r="DN171" s="166">
        <f t="shared" si="85"/>
        <v>171</v>
      </c>
      <c r="DO171" s="164">
        <f>IFERROR(INDEX(DG$170:DG$218,_xlfn.AGGREGATE(15,6,(ROW(DG$170:DG$218)-ROW(DG$170)+1)/(DG$170:DG$218&lt;&gt;""),ROWS(DO$1:DO2))),"")</f>
        <v>-1</v>
      </c>
      <c r="DP171" s="165">
        <f>IFERROR(INDEX(DH$170:DH$218,_xlfn.AGGREGATE(15,6,(ROW(DH$170:DH$218)-ROW(DH$170)+1)/(DH$170:DH$218&lt;&gt;""),ROWS(DP$1:DP2))),"")</f>
        <v>175.63333333333333</v>
      </c>
      <c r="DQ171" s="166">
        <f t="shared" si="86"/>
        <v>171</v>
      </c>
      <c r="DV171" s="145">
        <v>2016</v>
      </c>
      <c r="DW171" s="235">
        <f t="shared" ca="1" si="70"/>
        <v>168.99511704859586</v>
      </c>
      <c r="EA171" s="33"/>
      <c r="EB171" s="33"/>
      <c r="EC171" s="33"/>
      <c r="ED171" s="33"/>
      <c r="EE171" s="33"/>
    </row>
    <row r="172" spans="1:135" ht="13.8" x14ac:dyDescent="0.45">
      <c r="A172" s="948" t="s">
        <v>90</v>
      </c>
      <c r="B172" s="128">
        <v>2014</v>
      </c>
      <c r="C172" s="1032">
        <v>176.93333333333334</v>
      </c>
      <c r="D172" s="1032">
        <v>176.93333333333334</v>
      </c>
      <c r="E172" s="930"/>
      <c r="F172" s="931"/>
      <c r="G172" s="168"/>
      <c r="H172" s="169"/>
      <c r="I172" s="1139">
        <v>176.93333333333334</v>
      </c>
      <c r="J172" s="168"/>
      <c r="K172" s="169"/>
      <c r="L172" s="170"/>
      <c r="M172" s="169"/>
      <c r="N172" s="29" t="s">
        <v>119</v>
      </c>
      <c r="O172" s="120"/>
      <c r="P172" s="120"/>
      <c r="Q172" s="120"/>
      <c r="R172" s="29">
        <v>0</v>
      </c>
      <c r="S172" s="265">
        <f t="shared" si="71"/>
        <v>176.93333333333334</v>
      </c>
      <c r="T172" s="265">
        <f t="shared" si="72"/>
        <v>176.93333333333334</v>
      </c>
      <c r="U172" s="265">
        <f t="shared" si="73"/>
        <v>2.8421709430404007E-14</v>
      </c>
      <c r="V172" s="29"/>
      <c r="W172" s="265">
        <f t="shared" si="74"/>
        <v>176.93333333333328</v>
      </c>
      <c r="X172" s="265">
        <f t="shared" si="75"/>
        <v>176.93333333333331</v>
      </c>
      <c r="Y172" s="265">
        <f t="shared" si="76"/>
        <v>176.93333333333334</v>
      </c>
      <c r="AA172" s="1133">
        <v>176.93333333333334</v>
      </c>
      <c r="AB172" s="1133">
        <v>176.93333333333334</v>
      </c>
      <c r="AC172" s="1133">
        <v>176.93333333333334</v>
      </c>
      <c r="AD172" s="138"/>
      <c r="AE172" s="138"/>
      <c r="AF172" s="138"/>
      <c r="AG172" s="138"/>
      <c r="AH172" s="138"/>
      <c r="AI172" s="138"/>
      <c r="AJ172" s="138"/>
      <c r="AK172" s="138"/>
      <c r="AL172" s="138"/>
      <c r="AM172" s="138"/>
      <c r="AN172" s="138"/>
      <c r="BS172" s="160" t="s">
        <v>91</v>
      </c>
      <c r="BT172" s="268">
        <f>SLOPE((DF170:DF218),($B$46:$B$94))</f>
        <v>0.12075851387902005</v>
      </c>
      <c r="BU172" s="269">
        <f>INTERCEPT(DM170:DM218,DL170:DL218)</f>
        <v>165.83678644767548</v>
      </c>
      <c r="BZ172" s="160" t="s">
        <v>91</v>
      </c>
      <c r="CA172" s="268">
        <f ca="1">INDEX(LINEST((INDIRECT(DL167):INDIRECT(DM167)),(INDIRECT(DL168):INDIRECT(DM168))^{1,2}),1)</f>
        <v>1.2868512713233428E-2</v>
      </c>
      <c r="CB172" s="270">
        <f ca="1">INDEX(LINEST((INDIRECT(DL167):INDIRECT(DM167)),(INDIRECT(DL168):INDIRECT(DM168))^{1,2}),1,2)</f>
        <v>-0.42394141886933334</v>
      </c>
      <c r="CC172" s="269">
        <f ca="1">INDEX(LINEST((INDIRECT(DL167):INDIRECT(DM167)),(INDIRECT(DL168):INDIRECT(DM168))^{1,2}),1,3)</f>
        <v>169.20462893781897</v>
      </c>
      <c r="CH172" s="160" t="s">
        <v>91</v>
      </c>
      <c r="CI172" s="268">
        <f ca="1">INDEX(LINEST((INDIRECT(DL167):INDIRECT(DM167)),(INDIRECT(DL168):INDIRECT(DM168))^{1,2,3}),1)</f>
        <v>-1.2588951043814708E-3</v>
      </c>
      <c r="CJ172" s="270">
        <f ca="1">INDEX(LINEST((INDIRECT(DL167):INDIRECT(DM167)),(INDIRECT(DL168):INDIRECT(DM168))^{1,2,3}),1,2)</f>
        <v>9.0290561632693875E-2</v>
      </c>
      <c r="CK172" s="270">
        <f ca="1">INDEX(LINEST((INDIRECT(DL167):INDIRECT(DM167)),(INDIRECT(DL168):INDIRECT(DM168))^{1,2,3}),1,3)</f>
        <v>-1.6119607288741267</v>
      </c>
      <c r="CL172" s="269">
        <f ca="1">INDEX(LINEST((INDIRECT(DL167):INDIRECT(DM167)),(INDIRECT(DL168):INDIRECT(DM168))^{1,2,3}),1,4)</f>
        <v>171.86794742064839</v>
      </c>
      <c r="CQ172" s="160" t="s">
        <v>91</v>
      </c>
      <c r="CR172" s="268">
        <f ca="1">EXP(INDEX(LINEST(LN(INDIRECT(DL167):INDIRECT(DM167)),(INDIRECT(DL168):INDIRECT(DM168))),1,2))</f>
        <v>165.91081760415338</v>
      </c>
      <c r="CS172" s="269">
        <f ca="1">INDEX(LINEST(LN(INDIRECT(DL167):INDIRECT(DM167)),(INDIRECT(DL168):INDIRECT(DM168))),1)</f>
        <v>6.4588428925261144E-4</v>
      </c>
      <c r="CZ172" s="164" t="b">
        <f t="shared" si="77"/>
        <v>1</v>
      </c>
      <c r="DA172" s="165" t="b">
        <f t="shared" si="77"/>
        <v>1</v>
      </c>
      <c r="DB172" s="166" t="b">
        <f t="shared" si="77"/>
        <v>1</v>
      </c>
      <c r="DC172" s="164">
        <f t="shared" si="78"/>
        <v>0</v>
      </c>
      <c r="DD172" s="166">
        <f t="shared" si="79"/>
        <v>176.93333333333328</v>
      </c>
      <c r="DE172" s="164">
        <f t="shared" si="80"/>
        <v>0</v>
      </c>
      <c r="DF172" s="166">
        <f t="shared" si="81"/>
        <v>176.93333333333331</v>
      </c>
      <c r="DG172" s="164">
        <f t="shared" si="82"/>
        <v>0</v>
      </c>
      <c r="DH172" s="166">
        <f t="shared" si="83"/>
        <v>176.93333333333334</v>
      </c>
      <c r="DI172" s="164">
        <f>IFERROR(INDEX(DC$170:DC$218,_xlfn.AGGREGATE(15,6,(ROW(DC$170:DC$218)-ROW(DC$170)+1)/(DC$170:DC$218&lt;&gt;""),ROWS(DI$1:DI3))),"")</f>
        <v>0</v>
      </c>
      <c r="DJ172" s="165">
        <f>IFERROR(INDEX(DD$170:DD$218,_xlfn.AGGREGATE(15,6,(ROW(DD$170:DD$218)-ROW(DD$170)+1)/(DD$170:DD$218&lt;&gt;""),ROWS(DJ$1:DJ3))),"")</f>
        <v>176.93333333333328</v>
      </c>
      <c r="DK172" s="166">
        <f t="shared" si="84"/>
        <v>172</v>
      </c>
      <c r="DL172" s="164">
        <f>IFERROR(INDEX(DE$170:DE$218,_xlfn.AGGREGATE(15,6,(ROW(DE$170:DE$218)-ROW(DE$170)+1)/(DE$170:DE$218&lt;&gt;""),ROWS(DL$1:DL3))),"")</f>
        <v>0</v>
      </c>
      <c r="DM172" s="165">
        <f>IFERROR(INDEX(DF$170:DF$218,_xlfn.AGGREGATE(15,6,(ROW(DF$170:DF$218)-ROW(DF$170)+1)/(DF$170:DF$218&lt;&gt;""),ROWS(DM$1:DM3))),"")</f>
        <v>176.93333333333331</v>
      </c>
      <c r="DN172" s="166">
        <f t="shared" si="85"/>
        <v>172</v>
      </c>
      <c r="DO172" s="164">
        <f>IFERROR(INDEX(DG$170:DG$218,_xlfn.AGGREGATE(15,6,(ROW(DG$170:DG$218)-ROW(DG$170)+1)/(DG$170:DG$218&lt;&gt;""),ROWS(DO$1:DO3))),"")</f>
        <v>0</v>
      </c>
      <c r="DP172" s="165">
        <f>IFERROR(INDEX(DH$170:DH$218,_xlfn.AGGREGATE(15,6,(ROW(DH$170:DH$218)-ROW(DH$170)+1)/(DH$170:DH$218&lt;&gt;""),ROWS(DP$1:DP3))),"")</f>
        <v>176.93333333333334</v>
      </c>
      <c r="DQ172" s="166">
        <f t="shared" si="86"/>
        <v>172</v>
      </c>
      <c r="DV172" s="145">
        <v>2017</v>
      </c>
      <c r="DW172" s="235">
        <f t="shared" ca="1" si="70"/>
        <v>167.81069012090197</v>
      </c>
      <c r="DZ172" s="65" t="s">
        <v>89</v>
      </c>
      <c r="EA172" s="33"/>
      <c r="EB172" s="33"/>
      <c r="EC172" s="33"/>
      <c r="ED172" s="33"/>
      <c r="EE172" s="33"/>
    </row>
    <row r="173" spans="1:135" ht="14.1" thickBot="1" x14ac:dyDescent="0.5">
      <c r="A173" s="184" t="s">
        <v>80</v>
      </c>
      <c r="B173" s="128">
        <v>2015</v>
      </c>
      <c r="C173" s="1030">
        <v>178.23333333333335</v>
      </c>
      <c r="D173" s="1030">
        <v>178.23333333333335</v>
      </c>
      <c r="E173" s="945"/>
      <c r="F173" s="1039"/>
      <c r="G173" s="981"/>
      <c r="H173" s="1033"/>
      <c r="I173" s="1138">
        <v>178.23333333333335</v>
      </c>
      <c r="J173" s="267"/>
      <c r="K173" s="271"/>
      <c r="L173" s="272"/>
      <c r="M173" s="271"/>
      <c r="N173" s="29" t="s">
        <v>119</v>
      </c>
      <c r="O173" s="120"/>
      <c r="P173" s="120"/>
      <c r="Q173" s="120"/>
      <c r="R173" s="29">
        <v>1</v>
      </c>
      <c r="S173" s="265">
        <f t="shared" si="71"/>
        <v>178.23333333333335</v>
      </c>
      <c r="T173" s="265">
        <f t="shared" si="72"/>
        <v>178.23333333333335</v>
      </c>
      <c r="U173" s="265">
        <f t="shared" si="73"/>
        <v>0</v>
      </c>
      <c r="V173" s="29"/>
      <c r="W173" s="265">
        <f t="shared" si="74"/>
        <v>178.23333333333335</v>
      </c>
      <c r="X173" s="265">
        <f t="shared" si="75"/>
        <v>178.23333333333335</v>
      </c>
      <c r="Y173" s="265">
        <f t="shared" si="76"/>
        <v>178.23333333333335</v>
      </c>
      <c r="AA173" s="1133">
        <v>178.23333333333335</v>
      </c>
      <c r="AB173" s="1133">
        <v>178.23333333333335</v>
      </c>
      <c r="AC173" s="1133">
        <v>178.23333333333335</v>
      </c>
      <c r="AD173" s="138"/>
      <c r="AE173" s="138"/>
      <c r="AF173" s="138"/>
      <c r="AG173" s="138"/>
      <c r="AH173" s="138"/>
      <c r="AI173" s="138"/>
      <c r="AJ173" s="138"/>
      <c r="AK173" s="138"/>
      <c r="AL173" s="138"/>
      <c r="AM173" s="138"/>
      <c r="AN173" s="138"/>
      <c r="BR173" s="29"/>
      <c r="BS173" s="160" t="s">
        <v>15</v>
      </c>
      <c r="BT173" s="273">
        <f>SLOPE((DD170:DD218),($B$46:$B$94))</f>
        <v>-0.60812213189831055</v>
      </c>
      <c r="BU173" s="274">
        <f>INTERCEPT(DJ170:DJ218,DI170:DI218)</f>
        <v>153.43727006739454</v>
      </c>
      <c r="BV173" s="691" t="s">
        <v>71</v>
      </c>
      <c r="BY173" s="29"/>
      <c r="BZ173" s="160" t="s">
        <v>15</v>
      </c>
      <c r="CA173" s="273">
        <f ca="1">INDEX(LINEST((INDIRECT(DI167):INDIRECT(DJ167)),(INDIRECT(DI168):INDIRECT(DJ168))^{1,2}),1)</f>
        <v>2.0181640243848005E-2</v>
      </c>
      <c r="CB173" s="275">
        <f ca="1">INDEX(LINEST((INDIRECT(DI167):INDIRECT(DJ167)),(INDIRECT(DI168):INDIRECT(DJ168))^{1,2}),1,2)</f>
        <v>-1.4437190157775719</v>
      </c>
      <c r="CC173" s="274">
        <f ca="1">INDEX(LINEST((INDIRECT(DI167):INDIRECT(DJ167)),(INDIRECT(DI168):INDIRECT(DJ168))^{1,2}),1,3)</f>
        <v>158.47024829549269</v>
      </c>
      <c r="CD173" s="691" t="s">
        <v>71</v>
      </c>
      <c r="CG173" s="29"/>
      <c r="CH173" s="160" t="s">
        <v>15</v>
      </c>
      <c r="CI173" s="273">
        <f ca="1">INDEX(LINEST((INDIRECT(DI167):INDIRECT(DJ167)),(INDIRECT(DI168):INDIRECT(DJ168))^{1,2,3}),1)</f>
        <v>-3.0698895955550329E-3</v>
      </c>
      <c r="CJ173" s="275">
        <f ca="1">INDEX(LINEST((INDIRECT(DI167):INDIRECT(DJ167)),(INDIRECT(DI168):INDIRECT(DJ168))^{1,2,3}),1,2)</f>
        <v>0.2089798503704825</v>
      </c>
      <c r="CK173" s="275">
        <f ca="1">INDEX(LINEST((INDIRECT(DI167):INDIRECT(DJ167)),(INDIRECT(DI168):INDIRECT(DJ168))^{1,2,3}),1,3)</f>
        <v>-4.3407738271028542</v>
      </c>
      <c r="CL173" s="274">
        <f ca="1">INDEX(LINEST((INDIRECT(DI167):INDIRECT(DJ167)),(INDIRECT(DI168):INDIRECT(DJ168))^{1,2,3}),1,4)</f>
        <v>164.96490672384891</v>
      </c>
      <c r="CM173" s="691" t="s">
        <v>71</v>
      </c>
      <c r="CP173" s="29"/>
      <c r="CQ173" s="160" t="s">
        <v>15</v>
      </c>
      <c r="CR173" s="273">
        <f ca="1">EXP(INDEX(LINEST(LN(INDIRECT(DI167):INDIRECT(DJ167)),(INDIRECT(DI168):INDIRECT(DJ168))),1,2))</f>
        <v>152.55778906035417</v>
      </c>
      <c r="CS173" s="274">
        <f ca="1">INDEX(LINEST(LN(INDIRECT(DI167):INDIRECT(DJ167)),(INDIRECT(DI168):INDIRECT(DJ168))),1)</f>
        <v>-4.0686865668822939E-3</v>
      </c>
      <c r="CT173" s="691" t="s">
        <v>71</v>
      </c>
      <c r="CZ173" s="164" t="b">
        <f t="shared" si="77"/>
        <v>1</v>
      </c>
      <c r="DA173" s="165" t="b">
        <f t="shared" si="77"/>
        <v>1</v>
      </c>
      <c r="DB173" s="166" t="b">
        <f t="shared" si="77"/>
        <v>1</v>
      </c>
      <c r="DC173" s="164">
        <f t="shared" si="78"/>
        <v>1</v>
      </c>
      <c r="DD173" s="166">
        <f t="shared" si="79"/>
        <v>178.23333333333335</v>
      </c>
      <c r="DE173" s="164">
        <f t="shared" si="80"/>
        <v>1</v>
      </c>
      <c r="DF173" s="166">
        <f t="shared" si="81"/>
        <v>178.23333333333335</v>
      </c>
      <c r="DG173" s="164">
        <f t="shared" si="82"/>
        <v>1</v>
      </c>
      <c r="DH173" s="166">
        <f t="shared" si="83"/>
        <v>178.23333333333335</v>
      </c>
      <c r="DI173" s="164">
        <f>IFERROR(INDEX(DC$170:DC$218,_xlfn.AGGREGATE(15,6,(ROW(DC$170:DC$218)-ROW(DC$170)+1)/(DC$170:DC$218&lt;&gt;""),ROWS(DI$1:DI4))),"")</f>
        <v>1</v>
      </c>
      <c r="DJ173" s="165">
        <f>IFERROR(INDEX(DD$170:DD$218,_xlfn.AGGREGATE(15,6,(ROW(DD$170:DD$218)-ROW(DD$170)+1)/(DD$170:DD$218&lt;&gt;""),ROWS(DJ$1:DJ4))),"")</f>
        <v>178.23333333333335</v>
      </c>
      <c r="DK173" s="166">
        <f t="shared" si="84"/>
        <v>173</v>
      </c>
      <c r="DL173" s="164">
        <f>IFERROR(INDEX(DE$170:DE$218,_xlfn.AGGREGATE(15,6,(ROW(DE$170:DE$218)-ROW(DE$170)+1)/(DE$170:DE$218&lt;&gt;""),ROWS(DL$1:DL4))),"")</f>
        <v>1</v>
      </c>
      <c r="DM173" s="165">
        <f>IFERROR(INDEX(DF$170:DF$218,_xlfn.AGGREGATE(15,6,(ROW(DF$170:DF$218)-ROW(DF$170)+1)/(DF$170:DF$218&lt;&gt;""),ROWS(DM$1:DM4))),"")</f>
        <v>178.23333333333335</v>
      </c>
      <c r="DN173" s="166">
        <f t="shared" si="85"/>
        <v>173</v>
      </c>
      <c r="DO173" s="164">
        <f>IFERROR(INDEX(DG$170:DG$218,_xlfn.AGGREGATE(15,6,(ROW(DG$170:DG$218)-ROW(DG$170)+1)/(DG$170:DG$218&lt;&gt;""),ROWS(DO$1:DO4))),"")</f>
        <v>1</v>
      </c>
      <c r="DP173" s="165">
        <f>IFERROR(INDEX(DH$170:DH$218,_xlfn.AGGREGATE(15,6,(ROW(DH$170:DH$218)-ROW(DH$170)+1)/(DH$170:DH$218&lt;&gt;""),ROWS(DP$1:DP4))),"")</f>
        <v>178.23333333333335</v>
      </c>
      <c r="DQ173" s="166">
        <f t="shared" si="86"/>
        <v>173</v>
      </c>
      <c r="DV173" s="145">
        <v>2018</v>
      </c>
      <c r="DW173" s="235">
        <f t="shared" ca="1" si="70"/>
        <v>166.78418420459457</v>
      </c>
      <c r="EA173" s="33" t="s">
        <v>85</v>
      </c>
      <c r="EB173" s="33" t="s">
        <v>84</v>
      </c>
      <c r="EC173" s="33" t="s">
        <v>82</v>
      </c>
      <c r="ED173" s="33" t="s">
        <v>83</v>
      </c>
      <c r="EE173" s="33"/>
    </row>
    <row r="174" spans="1:135" ht="13.8" x14ac:dyDescent="0.45">
      <c r="A174" s="184" t="s">
        <v>88</v>
      </c>
      <c r="B174" s="128">
        <v>2016</v>
      </c>
      <c r="C174" s="1030">
        <v>178.2</v>
      </c>
      <c r="D174" s="1030">
        <v>178.2</v>
      </c>
      <c r="E174" s="945"/>
      <c r="F174" s="1039"/>
      <c r="G174" s="981"/>
      <c r="H174" s="1033"/>
      <c r="I174" s="1138">
        <v>178.2</v>
      </c>
      <c r="J174" s="267"/>
      <c r="K174" s="271"/>
      <c r="L174" s="272"/>
      <c r="M174" s="271"/>
      <c r="N174" s="29" t="s">
        <v>119</v>
      </c>
      <c r="O174" s="120"/>
      <c r="P174" s="120"/>
      <c r="Q174" s="120"/>
      <c r="R174" s="29">
        <v>2</v>
      </c>
      <c r="S174" s="265">
        <f t="shared" si="71"/>
        <v>178.2</v>
      </c>
      <c r="T174" s="265">
        <f t="shared" si="72"/>
        <v>178.2</v>
      </c>
      <c r="U174" s="265">
        <f t="shared" si="73"/>
        <v>2.8421709430404007E-14</v>
      </c>
      <c r="V174" s="29"/>
      <c r="W174" s="265">
        <f t="shared" si="74"/>
        <v>178.19999999999993</v>
      </c>
      <c r="X174" s="265">
        <f t="shared" si="75"/>
        <v>178.19999999999996</v>
      </c>
      <c r="Y174" s="265">
        <f t="shared" si="76"/>
        <v>178.2</v>
      </c>
      <c r="AA174" s="1133">
        <v>178.2</v>
      </c>
      <c r="AB174" s="1133">
        <v>178.2</v>
      </c>
      <c r="AC174" s="1133">
        <v>178.2</v>
      </c>
      <c r="AD174" s="138"/>
      <c r="AE174" s="138"/>
      <c r="AF174" s="138"/>
      <c r="AG174" s="138"/>
      <c r="AH174" s="138"/>
      <c r="AI174" s="138"/>
      <c r="AJ174" s="138"/>
      <c r="AK174" s="138"/>
      <c r="AL174" s="138"/>
      <c r="AM174" s="138"/>
      <c r="AN174" s="138"/>
      <c r="BR174" s="180">
        <v>2014</v>
      </c>
      <c r="BS174" s="22">
        <v>0</v>
      </c>
      <c r="BT174" s="181">
        <f t="shared" ref="BT174:BT220" si="87">IF($BS$170="High",BS174*$BT$171,IF($BS$170="Medium",$BT$172*BS174,IF($BS$170="Low",$BT$173*BS174)))</f>
        <v>0</v>
      </c>
      <c r="BU174" s="182">
        <f t="shared" ref="BU174:BU220" si="88">IF($BS$170="High",$BU$171,IF($BS$170="Medium",$BU$172,IF($BS$170="Low",BU173)))</f>
        <v>165.83678644767548</v>
      </c>
      <c r="BV174" s="242">
        <f t="shared" ref="BV174:BV220" si="89">BT174+BU174</f>
        <v>165.83678644767548</v>
      </c>
      <c r="BY174" s="180">
        <v>2014</v>
      </c>
      <c r="BZ174" s="22">
        <v>0</v>
      </c>
      <c r="CA174" s="181">
        <f t="shared" ref="CA174:CA220" ca="1" si="90">IF($BZ$170="High",BZ174^2*$CA$171,IF($BZ$170="Medium",BZ174^2*$CA$172,IF($BZ$170="Low",BZ174^2*$CA$173)))</f>
        <v>0</v>
      </c>
      <c r="CB174" s="181">
        <f t="shared" ref="CB174:CB220" ca="1" si="91">IF($BZ$170="High",BZ174*$CB$171,IF($BZ$170="Medium",BZ174*$CB$172,IF($BZ$170="Low",BZ174*$CB$173)))</f>
        <v>0</v>
      </c>
      <c r="CC174" s="182">
        <f ca="1">IF($BZ$170="High",$CC$171,IF($BZ$170="Medium",$CC$172,IF($BZ$170="Low",$CC$173)))</f>
        <v>169.20462893781897</v>
      </c>
      <c r="CD174" s="242">
        <f t="shared" ref="CD174:CD220" ca="1" si="92">CA174+CB174+CC174</f>
        <v>169.20462893781897</v>
      </c>
      <c r="CG174" s="180">
        <v>2014</v>
      </c>
      <c r="CH174" s="22">
        <v>0</v>
      </c>
      <c r="CI174" s="181">
        <f t="shared" ref="CI174:CI220" ca="1" si="93">IF($CH$170="High",CH174^3*$CI$171,IF($CH$170="Medium",CH174^3*$CI$172,IF($CH$170="Low",CH174^3*$CI$173)))</f>
        <v>0</v>
      </c>
      <c r="CJ174" s="181">
        <f t="shared" ref="CJ174:CJ220" ca="1" si="94">IF($CH$170="High",CH174^2*$CJ$171,IF($CH$170="Medium",CH174^2*$CJ$172,IF($CH$170="Low",CH174^2*$CJ$173)))</f>
        <v>0</v>
      </c>
      <c r="CK174" s="181">
        <f t="shared" ref="CK174:CK220" ca="1" si="95">IF($CH$170="High",CH174*$CK$171,IF($CH$170="Medium",CH174*$CK$172,IF($CH$170="Low",CH174*$CK$173)))</f>
        <v>0</v>
      </c>
      <c r="CL174" s="182">
        <f t="shared" ref="CL174:CL220" ca="1" si="96">IF($CH$170="High",$CL$171,IF($CH$170="Medium",$CL$172,IF($CH$170="Low",$CL$173)))</f>
        <v>171.86794742064839</v>
      </c>
      <c r="CM174" s="242">
        <f t="shared" ref="CM174:CM220" ca="1" si="97">CI174+CJ174+CK174+CL174</f>
        <v>171.86794742064839</v>
      </c>
      <c r="CP174" s="180">
        <v>2014</v>
      </c>
      <c r="CQ174" s="22">
        <v>0</v>
      </c>
      <c r="CR174" s="181">
        <f t="shared" ref="CR174:CR220" ca="1" si="98">IF($CQ$170="High",$CR$171,IF($CQ$170="Medium",$CR$172,IF($CQ$170="Low",$CR$173)))</f>
        <v>165.91081760415338</v>
      </c>
      <c r="CS174" s="182">
        <f t="shared" ref="CS174:CS220" ca="1" si="99">IF($CQ$170="High",EXP(1)^($CS$171*CQ174),IF($CQ$170="Medium",EXP(1)^($CS$172*CQ174),IF($CQ$170="Low",EXP(1)^($CS$173*CQ174))))</f>
        <v>1</v>
      </c>
      <c r="CT174" s="242">
        <f t="shared" ref="CT174:CT220" ca="1" si="100">(CR174*CS174)</f>
        <v>165.91081760415338</v>
      </c>
      <c r="CZ174" s="164" t="b">
        <f t="shared" si="77"/>
        <v>1</v>
      </c>
      <c r="DA174" s="165" t="b">
        <f t="shared" si="77"/>
        <v>1</v>
      </c>
      <c r="DB174" s="166" t="b">
        <f t="shared" si="77"/>
        <v>1</v>
      </c>
      <c r="DC174" s="164">
        <f t="shared" si="78"/>
        <v>2</v>
      </c>
      <c r="DD174" s="166">
        <f t="shared" si="79"/>
        <v>178.19999999999993</v>
      </c>
      <c r="DE174" s="164">
        <f t="shared" si="80"/>
        <v>2</v>
      </c>
      <c r="DF174" s="166">
        <f t="shared" si="81"/>
        <v>178.19999999999996</v>
      </c>
      <c r="DG174" s="164">
        <f t="shared" si="82"/>
        <v>2</v>
      </c>
      <c r="DH174" s="166">
        <f t="shared" si="83"/>
        <v>178.2</v>
      </c>
      <c r="DI174" s="164">
        <f>IFERROR(INDEX(DC$170:DC$218,_xlfn.AGGREGATE(15,6,(ROW(DC$170:DC$218)-ROW(DC$170)+1)/(DC$170:DC$218&lt;&gt;""),ROWS(DI$1:DI5))),"")</f>
        <v>2</v>
      </c>
      <c r="DJ174" s="165">
        <f>IFERROR(INDEX(DD$170:DD$218,_xlfn.AGGREGATE(15,6,(ROW(DD$170:DD$218)-ROW(DD$170)+1)/(DD$170:DD$218&lt;&gt;""),ROWS(DJ$1:DJ5))),"")</f>
        <v>178.19999999999993</v>
      </c>
      <c r="DK174" s="166">
        <f t="shared" si="84"/>
        <v>174</v>
      </c>
      <c r="DL174" s="164">
        <f>IFERROR(INDEX(DE$170:DE$218,_xlfn.AGGREGATE(15,6,(ROW(DE$170:DE$218)-ROW(DE$170)+1)/(DE$170:DE$218&lt;&gt;""),ROWS(DL$1:DL5))),"")</f>
        <v>2</v>
      </c>
      <c r="DM174" s="165">
        <f>IFERROR(INDEX(DF$170:DF$218,_xlfn.AGGREGATE(15,6,(ROW(DF$170:DF$218)-ROW(DF$170)+1)/(DF$170:DF$218&lt;&gt;""),ROWS(DM$1:DM5))),"")</f>
        <v>178.19999999999996</v>
      </c>
      <c r="DN174" s="166">
        <f t="shared" si="85"/>
        <v>174</v>
      </c>
      <c r="DO174" s="164">
        <f>IFERROR(INDEX(DG$170:DG$218,_xlfn.AGGREGATE(15,6,(ROW(DG$170:DG$218)-ROW(DG$170)+1)/(DG$170:DG$218&lt;&gt;""),ROWS(DO$1:DO5))),"")</f>
        <v>2</v>
      </c>
      <c r="DP174" s="165">
        <f>IFERROR(INDEX(DH$170:DH$218,_xlfn.AGGREGATE(15,6,(ROW(DH$170:DH$218)-ROW(DH$170)+1)/(DH$170:DH$218&lt;&gt;""),ROWS(DP$1:DP5))),"")</f>
        <v>178.2</v>
      </c>
      <c r="DQ174" s="166">
        <f t="shared" si="86"/>
        <v>174</v>
      </c>
      <c r="DV174" s="145">
        <v>2019</v>
      </c>
      <c r="DW174" s="235">
        <f t="shared" ca="1" si="70"/>
        <v>165.90804592904743</v>
      </c>
      <c r="DZ174" s="135" t="s">
        <v>92</v>
      </c>
      <c r="EA174" s="33">
        <f ca="1">IF($EA$168="Linear",0,IF($EA$168="2nd Poly",0,IF($EA$168="3rd Poly",CI171,IF($EA$168="Exp",0))))</f>
        <v>5.520993867920937E-4</v>
      </c>
      <c r="EB174" s="33">
        <f ca="1">IF($EA$168="Linear",0,IF($EA$168="2nd Poly",CA171,IF($EA$168="3rd Poly",CJ171,IF($EA$168="Exp",0))))</f>
        <v>-2.8398727105094883E-2</v>
      </c>
      <c r="EC174" s="33">
        <f t="shared" ref="EC174:ED176" ca="1" si="101">IF($EA$168="Linear",BT171,IF($EA$168="2nd Poly",CB171,IF($EA$168="3rd Poly",CK171,IF($EA$168="Exp",0))))</f>
        <v>1.1168523693546024</v>
      </c>
      <c r="ED174" s="33">
        <f t="shared" ca="1" si="101"/>
        <v>178.77098811744798</v>
      </c>
      <c r="EE174" s="33" t="str">
        <f>IF($EA$168="Linear","High",IF($EA$168="2nd Poly","High",IF($EA$168="3rd Poly","High","N/A")))</f>
        <v>High</v>
      </c>
    </row>
    <row r="175" spans="1:135" ht="13.8" x14ac:dyDescent="0.45">
      <c r="A175" s="184" t="s">
        <v>90</v>
      </c>
      <c r="B175" s="128">
        <v>2017</v>
      </c>
      <c r="C175" s="953">
        <v>180.83333333333334</v>
      </c>
      <c r="D175" s="944">
        <v>115.10929669972121</v>
      </c>
      <c r="E175" s="945"/>
      <c r="F175" s="1039"/>
      <c r="G175" s="981"/>
      <c r="H175" s="1034"/>
      <c r="I175" s="931">
        <v>176.76764705882357</v>
      </c>
      <c r="J175" s="168"/>
      <c r="K175" s="169"/>
      <c r="L175" s="170"/>
      <c r="M175" s="169"/>
      <c r="N175" s="29" t="s">
        <v>119</v>
      </c>
      <c r="O175" s="120"/>
      <c r="P175" s="120"/>
      <c r="Q175" s="120"/>
      <c r="R175" s="29">
        <v>3</v>
      </c>
      <c r="S175" s="265">
        <f t="shared" si="71"/>
        <v>115.10929669972121</v>
      </c>
      <c r="T175" s="265">
        <f t="shared" si="72"/>
        <v>180.83333333333334</v>
      </c>
      <c r="U175" s="265">
        <f t="shared" si="73"/>
        <v>30.070160486777432</v>
      </c>
      <c r="V175" s="29"/>
      <c r="W175" s="265">
        <f t="shared" si="74"/>
        <v>127.49993187718195</v>
      </c>
      <c r="X175" s="265">
        <f t="shared" si="75"/>
        <v>157.57009236395939</v>
      </c>
      <c r="Y175" s="265">
        <f t="shared" si="76"/>
        <v>187.64025285073683</v>
      </c>
      <c r="AA175" s="1133">
        <v>115.10929669972124</v>
      </c>
      <c r="AB175" s="1133">
        <v>147.97131501652729</v>
      </c>
      <c r="AC175" s="1133">
        <v>180.83333333333331</v>
      </c>
      <c r="AD175" s="138"/>
      <c r="AE175" s="138"/>
      <c r="AF175" s="138"/>
      <c r="AG175" s="138"/>
      <c r="AH175" s="138"/>
      <c r="AI175" s="138"/>
      <c r="AJ175" s="138"/>
      <c r="AK175" s="138"/>
      <c r="AL175" s="138"/>
      <c r="AM175" s="138"/>
      <c r="AN175" s="138"/>
      <c r="BR175" s="180">
        <v>2015</v>
      </c>
      <c r="BS175" s="22">
        <v>1</v>
      </c>
      <c r="BT175" s="181">
        <f t="shared" si="87"/>
        <v>0.12075851387902005</v>
      </c>
      <c r="BU175" s="182">
        <f t="shared" si="88"/>
        <v>165.83678644767548</v>
      </c>
      <c r="BV175" s="242">
        <f t="shared" si="89"/>
        <v>165.9575449615545</v>
      </c>
      <c r="BY175" s="180">
        <v>2015</v>
      </c>
      <c r="BZ175" s="22">
        <v>1</v>
      </c>
      <c r="CA175" s="243">
        <f t="shared" ca="1" si="90"/>
        <v>1.2868512713233428E-2</v>
      </c>
      <c r="CB175" s="243">
        <f t="shared" ca="1" si="91"/>
        <v>-0.42394141886933334</v>
      </c>
      <c r="CC175" s="276">
        <f t="shared" ref="CC175:CC220" ca="1" si="102">CC174</f>
        <v>169.20462893781897</v>
      </c>
      <c r="CD175" s="242">
        <f t="shared" ca="1" si="92"/>
        <v>168.79355603166286</v>
      </c>
      <c r="CG175" s="180">
        <v>2015</v>
      </c>
      <c r="CH175" s="22">
        <v>1</v>
      </c>
      <c r="CI175" s="243">
        <f t="shared" ca="1" si="93"/>
        <v>-1.2588951043814708E-3</v>
      </c>
      <c r="CJ175" s="243">
        <f t="shared" ca="1" si="94"/>
        <v>9.0290561632693875E-2</v>
      </c>
      <c r="CK175" s="243">
        <f t="shared" ca="1" si="95"/>
        <v>-1.6119607288741267</v>
      </c>
      <c r="CL175" s="276">
        <f t="shared" ca="1" si="96"/>
        <v>171.86794742064839</v>
      </c>
      <c r="CM175" s="242">
        <f t="shared" ca="1" si="97"/>
        <v>170.34501835830258</v>
      </c>
      <c r="CP175" s="180">
        <v>2015</v>
      </c>
      <c r="CQ175" s="22">
        <v>1</v>
      </c>
      <c r="CR175" s="243">
        <f t="shared" ca="1" si="98"/>
        <v>165.91081760415338</v>
      </c>
      <c r="CS175" s="276">
        <f t="shared" ca="1" si="99"/>
        <v>1.0006460929174243</v>
      </c>
      <c r="CT175" s="242">
        <f t="shared" ca="1" si="100"/>
        <v>166.01801140833152</v>
      </c>
      <c r="CZ175" s="164" t="b">
        <f t="shared" si="77"/>
        <v>1</v>
      </c>
      <c r="DA175" s="165" t="b">
        <f t="shared" si="77"/>
        <v>1</v>
      </c>
      <c r="DB175" s="166" t="b">
        <f t="shared" si="77"/>
        <v>1</v>
      </c>
      <c r="DC175" s="164">
        <f t="shared" si="78"/>
        <v>3</v>
      </c>
      <c r="DD175" s="166">
        <f t="shared" si="79"/>
        <v>127.49993187718195</v>
      </c>
      <c r="DE175" s="164">
        <f t="shared" si="80"/>
        <v>3</v>
      </c>
      <c r="DF175" s="166">
        <f t="shared" si="81"/>
        <v>157.57009236395939</v>
      </c>
      <c r="DG175" s="164">
        <f t="shared" si="82"/>
        <v>3</v>
      </c>
      <c r="DH175" s="166">
        <f t="shared" si="83"/>
        <v>187.64025285073683</v>
      </c>
      <c r="DI175" s="164">
        <f>IFERROR(INDEX(DC$170:DC$218,_xlfn.AGGREGATE(15,6,(ROW(DC$170:DC$218)-ROW(DC$170)+1)/(DC$170:DC$218&lt;&gt;""),ROWS(DI$1:DI6))),"")</f>
        <v>3</v>
      </c>
      <c r="DJ175" s="165">
        <f>IFERROR(INDEX(DD$170:DD$218,_xlfn.AGGREGATE(15,6,(ROW(DD$170:DD$218)-ROW(DD$170)+1)/(DD$170:DD$218&lt;&gt;""),ROWS(DJ$1:DJ6))),"")</f>
        <v>127.49993187718195</v>
      </c>
      <c r="DK175" s="166">
        <f t="shared" si="84"/>
        <v>175</v>
      </c>
      <c r="DL175" s="164">
        <f>IFERROR(INDEX(DE$170:DE$218,_xlfn.AGGREGATE(15,6,(ROW(DE$170:DE$218)-ROW(DE$170)+1)/(DE$170:DE$218&lt;&gt;""),ROWS(DL$1:DL6))),"")</f>
        <v>3</v>
      </c>
      <c r="DM175" s="165">
        <f>IFERROR(INDEX(DF$170:DF$218,_xlfn.AGGREGATE(15,6,(ROW(DF$170:DF$218)-ROW(DF$170)+1)/(DF$170:DF$218&lt;&gt;""),ROWS(DM$1:DM6))),"")</f>
        <v>157.57009236395939</v>
      </c>
      <c r="DN175" s="166">
        <f t="shared" si="85"/>
        <v>175</v>
      </c>
      <c r="DO175" s="164">
        <f>IFERROR(INDEX(DG$170:DG$218,_xlfn.AGGREGATE(15,6,(ROW(DG$170:DG$218)-ROW(DG$170)+1)/(DG$170:DG$218&lt;&gt;""),ROWS(DO$1:DO6))),"")</f>
        <v>3</v>
      </c>
      <c r="DP175" s="165">
        <f>IFERROR(INDEX(DH$170:DH$218,_xlfn.AGGREGATE(15,6,(ROW(DH$170:DH$218)-ROW(DH$170)+1)/(DH$170:DH$218&lt;&gt;""),ROWS(DP$1:DP6))),"")</f>
        <v>187.64025285073683</v>
      </c>
      <c r="DQ175" s="166">
        <f t="shared" si="86"/>
        <v>175</v>
      </c>
      <c r="DV175" s="145">
        <v>2020</v>
      </c>
      <c r="DW175" s="235">
        <f t="shared" ca="1" si="70"/>
        <v>165.17472192363422</v>
      </c>
      <c r="DZ175" s="135" t="s">
        <v>92</v>
      </c>
      <c r="EA175" s="33">
        <f ca="1">IF($EA$168="Linear",0,IF($EA$168="2nd Poly",0,IF($EA$168="3rd Poly",CI172,IF($EA$168="Exp",0))))</f>
        <v>-1.2588951043814708E-3</v>
      </c>
      <c r="EB175" s="33">
        <f ca="1">IF($EA$168="Linear",0,IF($EA$168="2nd Poly",CA172,IF($EA$168="3rd Poly",CJ172,IF($EA$168="Exp",0))))</f>
        <v>9.0290561632693875E-2</v>
      </c>
      <c r="EC175" s="33">
        <f t="shared" ca="1" si="101"/>
        <v>-1.6119607288741267</v>
      </c>
      <c r="ED175" s="33">
        <f t="shared" ca="1" si="101"/>
        <v>171.86794742064839</v>
      </c>
      <c r="EE175" s="33" t="str">
        <f>IF($EA$168="Linear","Medium",IF($EA$168="2nd Poly","Medium",IF($EA$168="3rd Poly","Medium","N/A")))</f>
        <v>Medium</v>
      </c>
    </row>
    <row r="176" spans="1:135" ht="13.8" x14ac:dyDescent="0.45">
      <c r="A176" s="948" t="s">
        <v>1039</v>
      </c>
      <c r="B176" s="128">
        <v>2018</v>
      </c>
      <c r="C176" s="953">
        <v>182.13333333333333</v>
      </c>
      <c r="D176" s="944">
        <v>117.77601295843974</v>
      </c>
      <c r="E176" s="945"/>
      <c r="F176" s="1039"/>
      <c r="G176" s="981"/>
      <c r="H176" s="1033"/>
      <c r="I176" s="1110">
        <v>175.53529411764708</v>
      </c>
      <c r="J176" s="267"/>
      <c r="K176" s="271"/>
      <c r="L176" s="272"/>
      <c r="M176" s="271"/>
      <c r="N176" s="29" t="s">
        <v>119</v>
      </c>
      <c r="O176" s="120"/>
      <c r="P176" s="120"/>
      <c r="Q176" s="120"/>
      <c r="R176" s="29">
        <v>4</v>
      </c>
      <c r="S176" s="265">
        <f t="shared" si="71"/>
        <v>117.77601295843974</v>
      </c>
      <c r="T176" s="265">
        <f t="shared" si="72"/>
        <v>182.13333333333333</v>
      </c>
      <c r="U176" s="265">
        <f t="shared" si="73"/>
        <v>28.908924741441162</v>
      </c>
      <c r="V176" s="20"/>
      <c r="W176" s="265">
        <f t="shared" si="74"/>
        <v>129.57262206169889</v>
      </c>
      <c r="X176" s="265">
        <f t="shared" si="75"/>
        <v>158.48154680314005</v>
      </c>
      <c r="Y176" s="265">
        <f t="shared" si="76"/>
        <v>187.3904715445812</v>
      </c>
      <c r="AA176" s="1133">
        <v>117.77601295843979</v>
      </c>
      <c r="AB176" s="1133">
        <v>149.95467314588655</v>
      </c>
      <c r="AC176" s="1133">
        <v>182.1333333333333</v>
      </c>
      <c r="AD176" s="138"/>
      <c r="AE176" s="138"/>
      <c r="AF176" s="138"/>
      <c r="AG176" s="138"/>
      <c r="AH176" s="138"/>
      <c r="AI176" s="138"/>
      <c r="AJ176" s="138"/>
      <c r="AK176" s="138"/>
      <c r="AL176" s="138"/>
      <c r="AM176" s="138"/>
      <c r="AN176" s="138"/>
      <c r="BR176" s="180">
        <v>2016</v>
      </c>
      <c r="BS176" s="22">
        <v>2</v>
      </c>
      <c r="BT176" s="181">
        <f t="shared" si="87"/>
        <v>0.2415170277580401</v>
      </c>
      <c r="BU176" s="182">
        <f t="shared" si="88"/>
        <v>165.83678644767548</v>
      </c>
      <c r="BV176" s="277">
        <f t="shared" si="89"/>
        <v>166.07830347543353</v>
      </c>
      <c r="BY176" s="180">
        <v>2016</v>
      </c>
      <c r="BZ176" s="22">
        <v>2</v>
      </c>
      <c r="CA176" s="278">
        <f t="shared" ca="1" si="90"/>
        <v>5.147405085293371E-2</v>
      </c>
      <c r="CB176" s="278">
        <f t="shared" ca="1" si="91"/>
        <v>-0.84788283773866668</v>
      </c>
      <c r="CC176" s="276">
        <f t="shared" ca="1" si="102"/>
        <v>169.20462893781897</v>
      </c>
      <c r="CD176" s="277">
        <f t="shared" ca="1" si="92"/>
        <v>168.40822015093323</v>
      </c>
      <c r="CG176" s="180">
        <v>2016</v>
      </c>
      <c r="CH176" s="22">
        <v>2</v>
      </c>
      <c r="CI176" s="278">
        <f t="shared" ca="1" si="93"/>
        <v>-1.0071160835051766E-2</v>
      </c>
      <c r="CJ176" s="278">
        <f t="shared" ca="1" si="94"/>
        <v>0.3611622465307755</v>
      </c>
      <c r="CK176" s="278">
        <f t="shared" ca="1" si="95"/>
        <v>-3.2239214577482533</v>
      </c>
      <c r="CL176" s="276">
        <f t="shared" ca="1" si="96"/>
        <v>171.86794742064839</v>
      </c>
      <c r="CM176" s="277">
        <f t="shared" ca="1" si="97"/>
        <v>168.99511704859586</v>
      </c>
      <c r="CP176" s="180">
        <v>2016</v>
      </c>
      <c r="CQ176" s="22">
        <v>2</v>
      </c>
      <c r="CR176" s="278">
        <f t="shared" ca="1" si="98"/>
        <v>165.91081760415338</v>
      </c>
      <c r="CS176" s="276">
        <f t="shared" ca="1" si="99"/>
        <v>1.0012926032709066</v>
      </c>
      <c r="CT176" s="277">
        <f t="shared" ca="1" si="100"/>
        <v>166.12527446966729</v>
      </c>
      <c r="CZ176" s="164" t="b">
        <f t="shared" si="77"/>
        <v>1</v>
      </c>
      <c r="DA176" s="165" t="b">
        <f t="shared" si="77"/>
        <v>1</v>
      </c>
      <c r="DB176" s="166" t="b">
        <f t="shared" si="77"/>
        <v>1</v>
      </c>
      <c r="DC176" s="164">
        <f t="shared" si="78"/>
        <v>4</v>
      </c>
      <c r="DD176" s="166">
        <f t="shared" si="79"/>
        <v>129.57262206169889</v>
      </c>
      <c r="DE176" s="164">
        <f t="shared" si="80"/>
        <v>4</v>
      </c>
      <c r="DF176" s="166">
        <f t="shared" si="81"/>
        <v>158.48154680314005</v>
      </c>
      <c r="DG176" s="164">
        <f t="shared" si="82"/>
        <v>4</v>
      </c>
      <c r="DH176" s="166">
        <f t="shared" si="83"/>
        <v>187.3904715445812</v>
      </c>
      <c r="DI176" s="164">
        <f>IFERROR(INDEX(DC$170:DC$218,_xlfn.AGGREGATE(15,6,(ROW(DC$170:DC$218)-ROW(DC$170)+1)/(DC$170:DC$218&lt;&gt;""),ROWS(DI$1:DI7))),"")</f>
        <v>4</v>
      </c>
      <c r="DJ176" s="165">
        <f>IFERROR(INDEX(DD$170:DD$218,_xlfn.AGGREGATE(15,6,(ROW(DD$170:DD$218)-ROW(DD$170)+1)/(DD$170:DD$218&lt;&gt;""),ROWS(DJ$1:DJ7))),"")</f>
        <v>129.57262206169889</v>
      </c>
      <c r="DK176" s="166">
        <f t="shared" si="84"/>
        <v>176</v>
      </c>
      <c r="DL176" s="164">
        <f>IFERROR(INDEX(DE$170:DE$218,_xlfn.AGGREGATE(15,6,(ROW(DE$170:DE$218)-ROW(DE$170)+1)/(DE$170:DE$218&lt;&gt;""),ROWS(DL$1:DL7))),"")</f>
        <v>4</v>
      </c>
      <c r="DM176" s="165">
        <f>IFERROR(INDEX(DF$170:DF$218,_xlfn.AGGREGATE(15,6,(ROW(DF$170:DF$218)-ROW(DF$170)+1)/(DF$170:DF$218&lt;&gt;""),ROWS(DM$1:DM7))),"")</f>
        <v>158.48154680314005</v>
      </c>
      <c r="DN176" s="166">
        <f t="shared" si="85"/>
        <v>176</v>
      </c>
      <c r="DO176" s="164">
        <f>IFERROR(INDEX(DG$170:DG$218,_xlfn.AGGREGATE(15,6,(ROW(DG$170:DG$218)-ROW(DG$170)+1)/(DG$170:DG$218&lt;&gt;""),ROWS(DO$1:DO7))),"")</f>
        <v>4</v>
      </c>
      <c r="DP176" s="165">
        <f>IFERROR(INDEX(DH$170:DH$218,_xlfn.AGGREGATE(15,6,(ROW(DH$170:DH$218)-ROW(DH$170)+1)/(DH$170:DH$218&lt;&gt;""),ROWS(DP$1:DP7))),"")</f>
        <v>187.3904715445812</v>
      </c>
      <c r="DQ176" s="166">
        <f t="shared" si="86"/>
        <v>176</v>
      </c>
      <c r="DV176" s="145">
        <v>2021</v>
      </c>
      <c r="DW176" s="235">
        <f t="shared" ca="1" si="70"/>
        <v>164.57665881772866</v>
      </c>
      <c r="DZ176" s="135" t="s">
        <v>92</v>
      </c>
      <c r="EA176" s="33">
        <f ca="1">IF($EA$168="Linear",0,IF($EA$168="2nd Poly",0,IF($EA$168="3rd Poly",CI173,IF($EA$168="Exp",0))))</f>
        <v>-3.0698895955550329E-3</v>
      </c>
      <c r="EB176" s="33">
        <f ca="1">IF($EA$168="Linear",0,IF($EA$168="2nd Poly",CA173,IF($EA$168="3rd Poly",CJ173,IF($EA$168="Exp",0))))</f>
        <v>0.2089798503704825</v>
      </c>
      <c r="EC176" s="33">
        <f t="shared" ca="1" si="101"/>
        <v>-4.3407738271028542</v>
      </c>
      <c r="ED176" s="33">
        <f t="shared" ca="1" si="101"/>
        <v>164.96490672384891</v>
      </c>
      <c r="EE176" s="33" t="str">
        <f>IF($EA$168="Linear","Low",IF($EA$168="2nd Poly","Low",IF($EA$168="3rd Poly","Low","N/A")))</f>
        <v>Low</v>
      </c>
    </row>
    <row r="177" spans="1:135" ht="13.8" x14ac:dyDescent="0.45">
      <c r="A177" s="184" t="s">
        <v>88</v>
      </c>
      <c r="B177" s="128">
        <v>2019</v>
      </c>
      <c r="C177" s="953">
        <v>183.43333333333334</v>
      </c>
      <c r="D177" s="944">
        <v>120.26486955345442</v>
      </c>
      <c r="E177" s="945"/>
      <c r="F177" s="1039"/>
      <c r="G177" s="981"/>
      <c r="H177" s="1033"/>
      <c r="I177" s="1110">
        <v>174.30294117647063</v>
      </c>
      <c r="J177" s="267"/>
      <c r="K177" s="271"/>
      <c r="L177" s="272"/>
      <c r="M177" s="271"/>
      <c r="N177" s="29" t="s">
        <v>119</v>
      </c>
      <c r="O177" s="120"/>
      <c r="P177" s="120"/>
      <c r="Q177" s="120"/>
      <c r="R177" s="29">
        <v>5</v>
      </c>
      <c r="S177" s="265">
        <f t="shared" si="71"/>
        <v>120.26486955345442</v>
      </c>
      <c r="T177" s="265">
        <f t="shared" si="72"/>
        <v>183.43333333333334</v>
      </c>
      <c r="U177" s="265">
        <f t="shared" si="73"/>
        <v>27.876178723423386</v>
      </c>
      <c r="V177" s="20"/>
      <c r="W177" s="265">
        <f t="shared" si="74"/>
        <v>131.45753596432942</v>
      </c>
      <c r="X177" s="265">
        <f t="shared" si="75"/>
        <v>159.3337146877528</v>
      </c>
      <c r="Y177" s="265">
        <f t="shared" si="76"/>
        <v>187.20989341117618</v>
      </c>
      <c r="AA177" s="1133">
        <v>120.26486955345436</v>
      </c>
      <c r="AB177" s="1133">
        <v>151.84910144339386</v>
      </c>
      <c r="AC177" s="1133">
        <v>183.43333333333337</v>
      </c>
      <c r="AD177" s="138"/>
      <c r="AE177" s="138"/>
      <c r="AF177" s="138"/>
      <c r="AG177" s="138"/>
      <c r="AH177" s="138"/>
      <c r="AI177" s="138"/>
      <c r="AJ177" s="138"/>
      <c r="AK177" s="138"/>
      <c r="AL177" s="138"/>
      <c r="AM177" s="138"/>
      <c r="AN177" s="138"/>
      <c r="BR177" s="180">
        <v>2017</v>
      </c>
      <c r="BS177" s="22">
        <v>3</v>
      </c>
      <c r="BT177" s="181">
        <f t="shared" si="87"/>
        <v>0.36227554163706016</v>
      </c>
      <c r="BU177" s="182">
        <f t="shared" si="88"/>
        <v>165.83678644767548</v>
      </c>
      <c r="BV177" s="277">
        <f t="shared" si="89"/>
        <v>166.19906198931253</v>
      </c>
      <c r="BY177" s="180">
        <v>2017</v>
      </c>
      <c r="BZ177" s="22">
        <v>3</v>
      </c>
      <c r="CA177" s="278">
        <f t="shared" ca="1" si="90"/>
        <v>0.11581661441910085</v>
      </c>
      <c r="CB177" s="278">
        <f t="shared" ca="1" si="91"/>
        <v>-1.271824256608</v>
      </c>
      <c r="CC177" s="276">
        <f t="shared" ca="1" si="102"/>
        <v>169.20462893781897</v>
      </c>
      <c r="CD177" s="277">
        <f t="shared" ca="1" si="92"/>
        <v>168.04862129563006</v>
      </c>
      <c r="CG177" s="180">
        <v>2017</v>
      </c>
      <c r="CH177" s="22">
        <v>3</v>
      </c>
      <c r="CI177" s="278">
        <f t="shared" ca="1" si="93"/>
        <v>-3.3990167818299714E-2</v>
      </c>
      <c r="CJ177" s="278">
        <f t="shared" ca="1" si="94"/>
        <v>0.81261505469424489</v>
      </c>
      <c r="CK177" s="278">
        <f t="shared" ca="1" si="95"/>
        <v>-4.8358821866223796</v>
      </c>
      <c r="CL177" s="276">
        <f t="shared" ca="1" si="96"/>
        <v>171.86794742064839</v>
      </c>
      <c r="CM177" s="277">
        <f t="shared" ca="1" si="97"/>
        <v>167.81069012090197</v>
      </c>
      <c r="CP177" s="180">
        <v>2017</v>
      </c>
      <c r="CQ177" s="22">
        <v>3</v>
      </c>
      <c r="CR177" s="278">
        <f t="shared" ca="1" si="98"/>
        <v>165.91081760415338</v>
      </c>
      <c r="CS177" s="276">
        <f t="shared" ca="1" si="99"/>
        <v>1.0019395313301491</v>
      </c>
      <c r="CT177" s="277">
        <f t="shared" ca="1" si="100"/>
        <v>166.23260683290729</v>
      </c>
      <c r="CZ177" s="164" t="b">
        <f t="shared" si="77"/>
        <v>1</v>
      </c>
      <c r="DA177" s="165" t="b">
        <f t="shared" si="77"/>
        <v>1</v>
      </c>
      <c r="DB177" s="166" t="b">
        <f t="shared" si="77"/>
        <v>1</v>
      </c>
      <c r="DC177" s="164">
        <f t="shared" si="78"/>
        <v>5</v>
      </c>
      <c r="DD177" s="166">
        <f t="shared" si="79"/>
        <v>131.45753596432942</v>
      </c>
      <c r="DE177" s="164">
        <f t="shared" si="80"/>
        <v>5</v>
      </c>
      <c r="DF177" s="166">
        <f t="shared" si="81"/>
        <v>159.3337146877528</v>
      </c>
      <c r="DG177" s="164">
        <f t="shared" si="82"/>
        <v>5</v>
      </c>
      <c r="DH177" s="166">
        <f t="shared" si="83"/>
        <v>187.20989341117618</v>
      </c>
      <c r="DI177" s="164">
        <f>IFERROR(INDEX(DC$170:DC$218,_xlfn.AGGREGATE(15,6,(ROW(DC$170:DC$218)-ROW(DC$170)+1)/(DC$170:DC$218&lt;&gt;""),ROWS(DI$1:DI8))),"")</f>
        <v>5</v>
      </c>
      <c r="DJ177" s="165">
        <f>IFERROR(INDEX(DD$170:DD$218,_xlfn.AGGREGATE(15,6,(ROW(DD$170:DD$218)-ROW(DD$170)+1)/(DD$170:DD$218&lt;&gt;""),ROWS(DJ$1:DJ8))),"")</f>
        <v>131.45753596432942</v>
      </c>
      <c r="DK177" s="166">
        <f t="shared" si="84"/>
        <v>177</v>
      </c>
      <c r="DL177" s="164">
        <f>IFERROR(INDEX(DE$170:DE$218,_xlfn.AGGREGATE(15,6,(ROW(DE$170:DE$218)-ROW(DE$170)+1)/(DE$170:DE$218&lt;&gt;""),ROWS(DL$1:DL8))),"")</f>
        <v>5</v>
      </c>
      <c r="DM177" s="165">
        <f>IFERROR(INDEX(DF$170:DF$218,_xlfn.AGGREGATE(15,6,(ROW(DF$170:DF$218)-ROW(DF$170)+1)/(DF$170:DF$218&lt;&gt;""),ROWS(DM$1:DM8))),"")</f>
        <v>159.3337146877528</v>
      </c>
      <c r="DN177" s="166">
        <f t="shared" si="85"/>
        <v>177</v>
      </c>
      <c r="DO177" s="164">
        <f>IFERROR(INDEX(DG$170:DG$218,_xlfn.AGGREGATE(15,6,(ROW(DG$170:DG$218)-ROW(DG$170)+1)/(DG$170:DG$218&lt;&gt;""),ROWS(DO$1:DO8))),"")</f>
        <v>5</v>
      </c>
      <c r="DP177" s="165">
        <f>IFERROR(INDEX(DH$170:DH$218,_xlfn.AGGREGATE(15,6,(ROW(DH$170:DH$218)-ROW(DH$170)+1)/(DH$170:DH$218&lt;&gt;""),ROWS(DP$1:DP8))),"")</f>
        <v>187.20989341117618</v>
      </c>
      <c r="DQ177" s="166">
        <f t="shared" si="86"/>
        <v>177</v>
      </c>
      <c r="DV177" s="145">
        <v>2022</v>
      </c>
      <c r="DW177" s="235">
        <f t="shared" ca="1" si="70"/>
        <v>164.10630324070448</v>
      </c>
      <c r="DZ177" s="135"/>
      <c r="EA177" s="33"/>
      <c r="EB177" s="33"/>
      <c r="EC177" s="33"/>
      <c r="ED177" s="33"/>
      <c r="EE177" s="33"/>
    </row>
    <row r="178" spans="1:135" ht="13.8" x14ac:dyDescent="0.45">
      <c r="A178" s="194" t="s">
        <v>90</v>
      </c>
      <c r="B178" s="128">
        <v>2020</v>
      </c>
      <c r="C178" s="953">
        <v>184.73333333333335</v>
      </c>
      <c r="D178" s="944">
        <v>123.3847427102001</v>
      </c>
      <c r="E178" s="945"/>
      <c r="F178" s="1039"/>
      <c r="G178" s="981"/>
      <c r="H178" s="1034"/>
      <c r="I178" s="931">
        <v>173.07058823529414</v>
      </c>
      <c r="J178" s="168"/>
      <c r="K178" s="169"/>
      <c r="L178" s="170"/>
      <c r="M178" s="169"/>
      <c r="N178" s="29" t="s">
        <v>119</v>
      </c>
      <c r="O178" s="120"/>
      <c r="P178" s="120"/>
      <c r="Q178" s="120"/>
      <c r="R178" s="29">
        <v>6</v>
      </c>
      <c r="S178" s="279">
        <f t="shared" si="71"/>
        <v>123.3847427102001</v>
      </c>
      <c r="T178" s="279">
        <f t="shared" si="72"/>
        <v>184.73333333333335</v>
      </c>
      <c r="U178" s="279">
        <f t="shared" si="73"/>
        <v>26.600652540471732</v>
      </c>
      <c r="V178" s="20"/>
      <c r="W178" s="265">
        <f t="shared" si="74"/>
        <v>133.7955688858041</v>
      </c>
      <c r="X178" s="265">
        <f t="shared" si="75"/>
        <v>160.39622142627584</v>
      </c>
      <c r="Y178" s="265">
        <f t="shared" si="76"/>
        <v>186.99687396674759</v>
      </c>
      <c r="AA178" s="1133">
        <v>123.38474271020009</v>
      </c>
      <c r="AB178" s="1133">
        <v>154.05903802176672</v>
      </c>
      <c r="AC178" s="1133">
        <v>184.73333333333335</v>
      </c>
      <c r="AD178" s="138"/>
      <c r="AE178" s="138"/>
      <c r="AF178" s="138"/>
      <c r="AG178" s="138"/>
      <c r="AH178" s="138"/>
      <c r="AI178" s="138"/>
      <c r="AJ178" s="138"/>
      <c r="AK178" s="138"/>
      <c r="AL178" s="138"/>
      <c r="AM178" s="138"/>
      <c r="AN178" s="138"/>
      <c r="BR178" s="180">
        <v>2018</v>
      </c>
      <c r="BS178" s="22">
        <v>4</v>
      </c>
      <c r="BT178" s="181">
        <f t="shared" si="87"/>
        <v>0.4830340555160802</v>
      </c>
      <c r="BU178" s="182">
        <f t="shared" si="88"/>
        <v>165.83678644767548</v>
      </c>
      <c r="BV178" s="242">
        <f t="shared" si="89"/>
        <v>166.31982050319155</v>
      </c>
      <c r="BY178" s="180">
        <v>2018</v>
      </c>
      <c r="BZ178" s="22">
        <v>4</v>
      </c>
      <c r="CA178" s="243">
        <f t="shared" ca="1" si="90"/>
        <v>0.20589620341173484</v>
      </c>
      <c r="CB178" s="243">
        <f t="shared" ca="1" si="91"/>
        <v>-1.6957656754773334</v>
      </c>
      <c r="CC178" s="276">
        <f t="shared" ca="1" si="102"/>
        <v>169.20462893781897</v>
      </c>
      <c r="CD178" s="242">
        <f t="shared" ca="1" si="92"/>
        <v>167.71475946575336</v>
      </c>
      <c r="CG178" s="180">
        <v>2018</v>
      </c>
      <c r="CH178" s="22">
        <v>4</v>
      </c>
      <c r="CI178" s="243">
        <f t="shared" ca="1" si="93"/>
        <v>-8.0569286680414132E-2</v>
      </c>
      <c r="CJ178" s="243">
        <f t="shared" ca="1" si="94"/>
        <v>1.444648986123102</v>
      </c>
      <c r="CK178" s="243">
        <f t="shared" ca="1" si="95"/>
        <v>-6.4478429154965067</v>
      </c>
      <c r="CL178" s="276">
        <f t="shared" ca="1" si="96"/>
        <v>171.86794742064839</v>
      </c>
      <c r="CM178" s="242">
        <f t="shared" ca="1" si="97"/>
        <v>166.78418420459457</v>
      </c>
      <c r="CP178" s="180">
        <v>2018</v>
      </c>
      <c r="CQ178" s="22">
        <v>4</v>
      </c>
      <c r="CR178" s="243">
        <f t="shared" ca="1" si="98"/>
        <v>165.91081760415338</v>
      </c>
      <c r="CS178" s="276">
        <f t="shared" ca="1" si="99"/>
        <v>1.002586877365029</v>
      </c>
      <c r="CT178" s="242">
        <f t="shared" ca="1" si="100"/>
        <v>166.34000854282704</v>
      </c>
      <c r="CZ178" s="164" t="b">
        <f t="shared" si="77"/>
        <v>1</v>
      </c>
      <c r="DA178" s="165" t="b">
        <f t="shared" si="77"/>
        <v>1</v>
      </c>
      <c r="DB178" s="166" t="b">
        <f t="shared" si="77"/>
        <v>1</v>
      </c>
      <c r="DC178" s="164">
        <f t="shared" si="78"/>
        <v>6</v>
      </c>
      <c r="DD178" s="166">
        <f t="shared" si="79"/>
        <v>133.7955688858041</v>
      </c>
      <c r="DE178" s="164">
        <f t="shared" si="80"/>
        <v>6</v>
      </c>
      <c r="DF178" s="166">
        <f t="shared" si="81"/>
        <v>160.39622142627584</v>
      </c>
      <c r="DG178" s="164">
        <f t="shared" si="82"/>
        <v>6</v>
      </c>
      <c r="DH178" s="166">
        <f t="shared" si="83"/>
        <v>186.99687396674759</v>
      </c>
      <c r="DI178" s="164">
        <f>IFERROR(INDEX(DC$170:DC$218,_xlfn.AGGREGATE(15,6,(ROW(DC$170:DC$218)-ROW(DC$170)+1)/(DC$170:DC$218&lt;&gt;""),ROWS(DI$1:DI9))),"")</f>
        <v>6</v>
      </c>
      <c r="DJ178" s="165">
        <f>IFERROR(INDEX(DD$170:DD$218,_xlfn.AGGREGATE(15,6,(ROW(DD$170:DD$218)-ROW(DD$170)+1)/(DD$170:DD$218&lt;&gt;""),ROWS(DJ$1:DJ9))),"")</f>
        <v>133.7955688858041</v>
      </c>
      <c r="DK178" s="166">
        <f t="shared" si="84"/>
        <v>178</v>
      </c>
      <c r="DL178" s="164">
        <f>IFERROR(INDEX(DE$170:DE$218,_xlfn.AGGREGATE(15,6,(ROW(DE$170:DE$218)-ROW(DE$170)+1)/(DE$170:DE$218&lt;&gt;""),ROWS(DL$1:DL9))),"")</f>
        <v>6</v>
      </c>
      <c r="DM178" s="165">
        <f>IFERROR(INDEX(DF$170:DF$218,_xlfn.AGGREGATE(15,6,(ROW(DF$170:DF$218)-ROW(DF$170)+1)/(DF$170:DF$218&lt;&gt;""),ROWS(DM$1:DM9))),"")</f>
        <v>160.39622142627584</v>
      </c>
      <c r="DN178" s="166">
        <f t="shared" si="85"/>
        <v>178</v>
      </c>
      <c r="DO178" s="164">
        <f>IFERROR(INDEX(DG$170:DG$218,_xlfn.AGGREGATE(15,6,(ROW(DG$170:DG$218)-ROW(DG$170)+1)/(DG$170:DG$218&lt;&gt;""),ROWS(DO$1:DO9))),"")</f>
        <v>6</v>
      </c>
      <c r="DP178" s="165">
        <f>IFERROR(INDEX(DH$170:DH$218,_xlfn.AGGREGATE(15,6,(ROW(DH$170:DH$218)-ROW(DH$170)+1)/(DH$170:DH$218&lt;&gt;""),ROWS(DP$1:DP9))),"")</f>
        <v>186.99687396674759</v>
      </c>
      <c r="DQ178" s="166">
        <f t="shared" si="86"/>
        <v>178</v>
      </c>
      <c r="DV178" s="145">
        <v>2023</v>
      </c>
      <c r="DW178" s="235">
        <f t="shared" ca="1" si="70"/>
        <v>163.75610182193537</v>
      </c>
      <c r="DZ178" s="135"/>
      <c r="EA178" s="33" t="s">
        <v>86</v>
      </c>
      <c r="EB178" s="33" t="s">
        <v>87</v>
      </c>
      <c r="EC178" s="33"/>
      <c r="ED178" s="33"/>
      <c r="EE178" s="33"/>
    </row>
    <row r="179" spans="1:135" ht="14.1" thickBot="1" x14ac:dyDescent="0.5">
      <c r="A179" s="184" t="s">
        <v>80</v>
      </c>
      <c r="B179" s="128">
        <v>2021</v>
      </c>
      <c r="C179" s="953">
        <v>186.03333333333333</v>
      </c>
      <c r="D179" s="944">
        <v>124.72268580355063</v>
      </c>
      <c r="E179" s="945"/>
      <c r="F179" s="1039"/>
      <c r="G179" s="981"/>
      <c r="H179" s="1033"/>
      <c r="I179" s="1110">
        <v>171.83823529411768</v>
      </c>
      <c r="J179" s="267"/>
      <c r="K179" s="271"/>
      <c r="L179" s="272"/>
      <c r="M179" s="271"/>
      <c r="N179" s="29" t="s">
        <v>119</v>
      </c>
      <c r="O179" s="120"/>
      <c r="P179" s="120"/>
      <c r="Q179" s="120"/>
      <c r="R179" s="29">
        <v>7</v>
      </c>
      <c r="S179" s="280">
        <f t="shared" si="71"/>
        <v>124.72268580355063</v>
      </c>
      <c r="T179" s="280">
        <f t="shared" si="72"/>
        <v>186.03333333333333</v>
      </c>
      <c r="U179" s="280">
        <f t="shared" si="73"/>
        <v>26.205112547538064</v>
      </c>
      <c r="V179" s="20"/>
      <c r="W179" s="265">
        <f t="shared" si="74"/>
        <v>134.65963892946252</v>
      </c>
      <c r="X179" s="265">
        <f t="shared" si="75"/>
        <v>160.86475147700057</v>
      </c>
      <c r="Y179" s="265">
        <f t="shared" si="76"/>
        <v>187.06986402453862</v>
      </c>
      <c r="AA179" s="1133">
        <v>124.72268580355069</v>
      </c>
      <c r="AB179" s="1133">
        <v>155.378009568442</v>
      </c>
      <c r="AC179" s="1133">
        <v>186.0333333333333</v>
      </c>
      <c r="AD179" s="138"/>
      <c r="AE179" s="138"/>
      <c r="AF179" s="138"/>
      <c r="AG179" s="138"/>
      <c r="AH179" s="138"/>
      <c r="AI179" s="138"/>
      <c r="AJ179" s="138"/>
      <c r="AK179" s="138"/>
      <c r="AL179" s="138"/>
      <c r="AM179" s="138"/>
      <c r="AN179" s="138"/>
      <c r="BR179" s="180">
        <v>2019</v>
      </c>
      <c r="BS179" s="22">
        <v>5</v>
      </c>
      <c r="BT179" s="181">
        <f t="shared" si="87"/>
        <v>0.60379256939510029</v>
      </c>
      <c r="BU179" s="182">
        <f t="shared" si="88"/>
        <v>165.83678644767548</v>
      </c>
      <c r="BV179" s="197">
        <f t="shared" si="89"/>
        <v>166.44057901707058</v>
      </c>
      <c r="BY179" s="180">
        <v>2019</v>
      </c>
      <c r="BZ179" s="22">
        <v>5</v>
      </c>
      <c r="CA179" s="243">
        <f t="shared" ca="1" si="90"/>
        <v>0.32171281783083566</v>
      </c>
      <c r="CB179" s="243">
        <f t="shared" ca="1" si="91"/>
        <v>-2.1197070943466665</v>
      </c>
      <c r="CC179" s="186">
        <f t="shared" ca="1" si="102"/>
        <v>169.20462893781897</v>
      </c>
      <c r="CD179" s="197">
        <f t="shared" ca="1" si="92"/>
        <v>167.40663466130314</v>
      </c>
      <c r="CG179" s="180">
        <v>2019</v>
      </c>
      <c r="CH179" s="22">
        <v>5</v>
      </c>
      <c r="CI179" s="243">
        <f t="shared" ca="1" si="93"/>
        <v>-0.15736188804768386</v>
      </c>
      <c r="CJ179" s="243">
        <f t="shared" ca="1" si="94"/>
        <v>2.257264040817347</v>
      </c>
      <c r="CK179" s="243">
        <f t="shared" ca="1" si="95"/>
        <v>-8.0598036443706338</v>
      </c>
      <c r="CL179" s="186">
        <f t="shared" ca="1" si="96"/>
        <v>171.86794742064839</v>
      </c>
      <c r="CM179" s="197">
        <f t="shared" ca="1" si="97"/>
        <v>165.90804592904743</v>
      </c>
      <c r="CP179" s="180">
        <v>2019</v>
      </c>
      <c r="CQ179" s="22">
        <v>5</v>
      </c>
      <c r="CR179" s="243">
        <f t="shared" ca="1" si="98"/>
        <v>165.91081760415338</v>
      </c>
      <c r="CS179" s="186">
        <f t="shared" ca="1" si="99"/>
        <v>1.0032346416455971</v>
      </c>
      <c r="CT179" s="197">
        <f t="shared" ca="1" si="100"/>
        <v>166.44747964423084</v>
      </c>
      <c r="CZ179" s="164" t="b">
        <f t="shared" si="77"/>
        <v>1</v>
      </c>
      <c r="DA179" s="165" t="b">
        <f t="shared" si="77"/>
        <v>1</v>
      </c>
      <c r="DB179" s="166" t="b">
        <f t="shared" si="77"/>
        <v>1</v>
      </c>
      <c r="DC179" s="164">
        <f t="shared" si="78"/>
        <v>7</v>
      </c>
      <c r="DD179" s="166">
        <f t="shared" si="79"/>
        <v>134.65963892946252</v>
      </c>
      <c r="DE179" s="164">
        <f t="shared" si="80"/>
        <v>7</v>
      </c>
      <c r="DF179" s="166">
        <f t="shared" si="81"/>
        <v>160.86475147700057</v>
      </c>
      <c r="DG179" s="164">
        <f t="shared" si="82"/>
        <v>7</v>
      </c>
      <c r="DH179" s="166">
        <f t="shared" si="83"/>
        <v>187.06986402453862</v>
      </c>
      <c r="DI179" s="164">
        <f>IFERROR(INDEX(DC$170:DC$218,_xlfn.AGGREGATE(15,6,(ROW(DC$170:DC$218)-ROW(DC$170)+1)/(DC$170:DC$218&lt;&gt;""),ROWS(DI$1:DI10))),"")</f>
        <v>7</v>
      </c>
      <c r="DJ179" s="165">
        <f>IFERROR(INDEX(DD$170:DD$218,_xlfn.AGGREGATE(15,6,(ROW(DD$170:DD$218)-ROW(DD$170)+1)/(DD$170:DD$218&lt;&gt;""),ROWS(DJ$1:DJ10))),"")</f>
        <v>134.65963892946252</v>
      </c>
      <c r="DK179" s="166">
        <f t="shared" si="84"/>
        <v>179</v>
      </c>
      <c r="DL179" s="164">
        <f>IFERROR(INDEX(DE$170:DE$218,_xlfn.AGGREGATE(15,6,(ROW(DE$170:DE$218)-ROW(DE$170)+1)/(DE$170:DE$218&lt;&gt;""),ROWS(DL$1:DL10))),"")</f>
        <v>7</v>
      </c>
      <c r="DM179" s="165">
        <f>IFERROR(INDEX(DF$170:DF$218,_xlfn.AGGREGATE(15,6,(ROW(DF$170:DF$218)-ROW(DF$170)+1)/(DF$170:DF$218&lt;&gt;""),ROWS(DM$1:DM10))),"")</f>
        <v>160.86475147700057</v>
      </c>
      <c r="DN179" s="166">
        <f t="shared" si="85"/>
        <v>179</v>
      </c>
      <c r="DO179" s="164">
        <f>IFERROR(INDEX(DG$170:DG$218,_xlfn.AGGREGATE(15,6,(ROW(DG$170:DG$218)-ROW(DG$170)+1)/(DG$170:DG$218&lt;&gt;""),ROWS(DO$1:DO10))),"")</f>
        <v>7</v>
      </c>
      <c r="DP179" s="165">
        <f>IFERROR(INDEX(DH$170:DH$218,_xlfn.AGGREGATE(15,6,(ROW(DH$170:DH$218)-ROW(DH$170)+1)/(DH$170:DH$218&lt;&gt;""),ROWS(DP$1:DP10))),"")</f>
        <v>187.06986402453862</v>
      </c>
      <c r="DQ179" s="166">
        <f t="shared" si="86"/>
        <v>179</v>
      </c>
      <c r="DV179" s="145">
        <v>2024</v>
      </c>
      <c r="DW179" s="235">
        <f t="shared" ca="1" si="70"/>
        <v>163.51850119079504</v>
      </c>
      <c r="DZ179" s="135" t="s">
        <v>92</v>
      </c>
      <c r="EA179" s="33">
        <f t="shared" ref="EA179:EB181" si="103">IF($EA$168="Linear",0,IF($EA$168="2nd Poly",0,IF($EA$168="3rd Poly",0,IF($EA$168="Exp",CR171))))</f>
        <v>0</v>
      </c>
      <c r="EB179" s="33">
        <f t="shared" si="103"/>
        <v>0</v>
      </c>
      <c r="EC179" s="33" t="str">
        <f>IF($EA$168="Linear","N/A",IF($EA$168="2nd Poly","N/A",IF($EA$168="3rd Poly","N/A","High")))</f>
        <v>N/A</v>
      </c>
      <c r="ED179" s="33"/>
      <c r="EE179" s="33"/>
    </row>
    <row r="180" spans="1:135" ht="13.8" x14ac:dyDescent="0.45">
      <c r="A180" s="148" t="s">
        <v>88</v>
      </c>
      <c r="B180" s="128">
        <v>2022</v>
      </c>
      <c r="C180" s="953">
        <v>187.33333333333334</v>
      </c>
      <c r="D180" s="944">
        <v>127.04715707798537</v>
      </c>
      <c r="E180" s="945"/>
      <c r="F180" s="1039"/>
      <c r="G180" s="981"/>
      <c r="H180" s="1035"/>
      <c r="I180" s="1111">
        <v>170.60588235294119</v>
      </c>
      <c r="J180" s="199"/>
      <c r="K180" s="200"/>
      <c r="L180" s="201"/>
      <c r="M180" s="200"/>
      <c r="N180" s="29" t="s">
        <v>119</v>
      </c>
      <c r="O180" s="120"/>
      <c r="P180" s="120"/>
      <c r="Q180" s="120"/>
      <c r="R180" s="29">
        <v>8</v>
      </c>
      <c r="S180" s="202">
        <f t="shared" si="71"/>
        <v>127.04715707798537</v>
      </c>
      <c r="T180" s="202">
        <f t="shared" si="72"/>
        <v>187.33333333333334</v>
      </c>
      <c r="U180" s="202">
        <f t="shared" si="73"/>
        <v>25.411268741274267</v>
      </c>
      <c r="V180" s="20"/>
      <c r="W180" s="265">
        <f t="shared" si="74"/>
        <v>136.25085551347905</v>
      </c>
      <c r="X180" s="265">
        <f t="shared" si="75"/>
        <v>161.66212425475331</v>
      </c>
      <c r="Y180" s="265">
        <f t="shared" si="76"/>
        <v>187.07339299602756</v>
      </c>
      <c r="AA180" s="1133">
        <v>127.04715707798536</v>
      </c>
      <c r="AB180" s="1133">
        <v>157.19024520565935</v>
      </c>
      <c r="AC180" s="1133">
        <v>187.33333333333334</v>
      </c>
      <c r="AD180" s="120"/>
      <c r="AE180" s="120"/>
      <c r="AF180" s="120"/>
      <c r="AG180" s="120"/>
      <c r="AH180" s="120"/>
      <c r="AI180" s="120"/>
      <c r="AJ180" s="120"/>
      <c r="AK180" s="120"/>
      <c r="AL180" s="120"/>
      <c r="AM180" s="120"/>
      <c r="AN180" s="120"/>
      <c r="BR180" s="180">
        <v>2020</v>
      </c>
      <c r="BS180" s="22">
        <v>6</v>
      </c>
      <c r="BT180" s="181">
        <f t="shared" si="87"/>
        <v>0.72455108327412032</v>
      </c>
      <c r="BU180" s="182">
        <f t="shared" si="88"/>
        <v>165.83678644767548</v>
      </c>
      <c r="BV180" s="203">
        <f t="shared" si="89"/>
        <v>166.5613375309496</v>
      </c>
      <c r="BY180" s="180">
        <v>2020</v>
      </c>
      <c r="BZ180" s="22">
        <v>6</v>
      </c>
      <c r="CA180" s="278">
        <f t="shared" ca="1" si="90"/>
        <v>0.4632664576764034</v>
      </c>
      <c r="CB180" s="278">
        <f t="shared" ca="1" si="91"/>
        <v>-2.5436485132160001</v>
      </c>
      <c r="CC180" s="276">
        <f t="shared" ca="1" si="102"/>
        <v>169.20462893781897</v>
      </c>
      <c r="CD180" s="203">
        <f t="shared" ca="1" si="92"/>
        <v>167.12424688227938</v>
      </c>
      <c r="CG180" s="180">
        <v>2020</v>
      </c>
      <c r="CH180" s="22">
        <v>6</v>
      </c>
      <c r="CI180" s="278">
        <f t="shared" ca="1" si="93"/>
        <v>-0.27192134254639772</v>
      </c>
      <c r="CJ180" s="278">
        <f t="shared" ca="1" si="94"/>
        <v>3.2504602187769795</v>
      </c>
      <c r="CK180" s="278">
        <f t="shared" ca="1" si="95"/>
        <v>-9.6717643732447591</v>
      </c>
      <c r="CL180" s="276">
        <f t="shared" ca="1" si="96"/>
        <v>171.86794742064839</v>
      </c>
      <c r="CM180" s="203">
        <f t="shared" ca="1" si="97"/>
        <v>165.17472192363422</v>
      </c>
      <c r="CP180" s="180">
        <v>2020</v>
      </c>
      <c r="CQ180" s="22">
        <v>6</v>
      </c>
      <c r="CR180" s="278">
        <f t="shared" ca="1" si="98"/>
        <v>165.91081760415338</v>
      </c>
      <c r="CS180" s="276">
        <f t="shared" ca="1" si="99"/>
        <v>1.003882824442079</v>
      </c>
      <c r="CT180" s="203">
        <f t="shared" ca="1" si="100"/>
        <v>166.5550201819521</v>
      </c>
      <c r="CZ180" s="164" t="b">
        <f t="shared" si="77"/>
        <v>1</v>
      </c>
      <c r="DA180" s="165" t="b">
        <f t="shared" si="77"/>
        <v>1</v>
      </c>
      <c r="DB180" s="166" t="b">
        <f t="shared" si="77"/>
        <v>1</v>
      </c>
      <c r="DC180" s="164">
        <f t="shared" si="78"/>
        <v>8</v>
      </c>
      <c r="DD180" s="166">
        <f t="shared" si="79"/>
        <v>136.25085551347905</v>
      </c>
      <c r="DE180" s="164">
        <f t="shared" si="80"/>
        <v>8</v>
      </c>
      <c r="DF180" s="166">
        <f t="shared" si="81"/>
        <v>161.66212425475331</v>
      </c>
      <c r="DG180" s="164">
        <f t="shared" si="82"/>
        <v>8</v>
      </c>
      <c r="DH180" s="166">
        <f t="shared" si="83"/>
        <v>187.07339299602756</v>
      </c>
      <c r="DI180" s="164">
        <f>IFERROR(INDEX(DC$170:DC$218,_xlfn.AGGREGATE(15,6,(ROW(DC$170:DC$218)-ROW(DC$170)+1)/(DC$170:DC$218&lt;&gt;""),ROWS(DI$1:DI11))),"")</f>
        <v>8</v>
      </c>
      <c r="DJ180" s="165">
        <f>IFERROR(INDEX(DD$170:DD$218,_xlfn.AGGREGATE(15,6,(ROW(DD$170:DD$218)-ROW(DD$170)+1)/(DD$170:DD$218&lt;&gt;""),ROWS(DJ$1:DJ11))),"")</f>
        <v>136.25085551347905</v>
      </c>
      <c r="DK180" s="166">
        <f t="shared" si="84"/>
        <v>180</v>
      </c>
      <c r="DL180" s="164">
        <f>IFERROR(INDEX(DE$170:DE$218,_xlfn.AGGREGATE(15,6,(ROW(DE$170:DE$218)-ROW(DE$170)+1)/(DE$170:DE$218&lt;&gt;""),ROWS(DL$1:DL11))),"")</f>
        <v>8</v>
      </c>
      <c r="DM180" s="165">
        <f>IFERROR(INDEX(DF$170:DF$218,_xlfn.AGGREGATE(15,6,(ROW(DF$170:DF$218)-ROW(DF$170)+1)/(DF$170:DF$218&lt;&gt;""),ROWS(DM$1:DM11))),"")</f>
        <v>161.66212425475331</v>
      </c>
      <c r="DN180" s="166">
        <f t="shared" si="85"/>
        <v>180</v>
      </c>
      <c r="DO180" s="164">
        <f>IFERROR(INDEX(DG$170:DG$218,_xlfn.AGGREGATE(15,6,(ROW(DG$170:DG$218)-ROW(DG$170)+1)/(DG$170:DG$218&lt;&gt;""),ROWS(DO$1:DO11))),"")</f>
        <v>8</v>
      </c>
      <c r="DP180" s="165">
        <f>IFERROR(INDEX(DH$170:DH$218,_xlfn.AGGREGATE(15,6,(ROW(DH$170:DH$218)-ROW(DH$170)+1)/(DH$170:DH$218&lt;&gt;""),ROWS(DP$1:DP11))),"")</f>
        <v>187.07339299602756</v>
      </c>
      <c r="DQ180" s="166">
        <f t="shared" si="86"/>
        <v>180</v>
      </c>
      <c r="DV180" s="145">
        <v>2025</v>
      </c>
      <c r="DW180" s="235">
        <f t="shared" ca="1" si="70"/>
        <v>163.38594797665721</v>
      </c>
      <c r="DZ180" s="135" t="s">
        <v>92</v>
      </c>
      <c r="EA180" s="33">
        <f t="shared" si="103"/>
        <v>0</v>
      </c>
      <c r="EB180" s="33">
        <f t="shared" si="103"/>
        <v>0</v>
      </c>
      <c r="EC180" s="33" t="str">
        <f>IF($EA$168="Linear","N/A",IF($EA$168="2nd Poly","N/A",IF($EA$168="3rd Poly","N/A","Medium")))</f>
        <v>N/A</v>
      </c>
    </row>
    <row r="181" spans="1:135" ht="13.8" x14ac:dyDescent="0.45">
      <c r="B181" s="128">
        <v>2023</v>
      </c>
      <c r="C181" s="953">
        <v>188.63333333333335</v>
      </c>
      <c r="D181" s="944">
        <v>129.21347776167846</v>
      </c>
      <c r="E181" s="945"/>
      <c r="F181" s="1039"/>
      <c r="G181" s="981"/>
      <c r="H181" s="1035"/>
      <c r="I181" s="1111">
        <v>169.37352941176474</v>
      </c>
      <c r="J181" s="199"/>
      <c r="K181" s="200"/>
      <c r="L181" s="201"/>
      <c r="M181" s="200"/>
      <c r="N181" s="29" t="s">
        <v>119</v>
      </c>
      <c r="O181" s="120"/>
      <c r="P181" s="120"/>
      <c r="Q181" s="120"/>
      <c r="R181" s="29">
        <v>9</v>
      </c>
      <c r="S181" s="202">
        <f t="shared" si="71"/>
        <v>129.21347776167846</v>
      </c>
      <c r="T181" s="202">
        <f t="shared" si="72"/>
        <v>188.63333333333335</v>
      </c>
      <c r="U181" s="202">
        <f t="shared" si="73"/>
        <v>24.753201884450252</v>
      </c>
      <c r="V181" s="20"/>
      <c r="W181" s="238">
        <f t="shared" si="74"/>
        <v>137.65357828447526</v>
      </c>
      <c r="X181" s="238">
        <f t="shared" si="75"/>
        <v>162.40678016892551</v>
      </c>
      <c r="Y181" s="238">
        <f t="shared" si="76"/>
        <v>187.15998205337576</v>
      </c>
      <c r="AA181" s="1133">
        <v>129.21347776167863</v>
      </c>
      <c r="AB181" s="1133">
        <v>158.92340554750592</v>
      </c>
      <c r="AC181" s="1133">
        <v>188.63333333333321</v>
      </c>
      <c r="AD181" s="120"/>
      <c r="AE181" s="120"/>
      <c r="AF181" s="120"/>
      <c r="AG181" s="120"/>
      <c r="AH181" s="120"/>
      <c r="AI181" s="120"/>
      <c r="AJ181" s="120"/>
      <c r="AK181" s="120"/>
      <c r="AL181" s="120"/>
      <c r="AM181" s="120"/>
      <c r="AN181" s="120"/>
      <c r="BR181" s="180">
        <v>2021</v>
      </c>
      <c r="BS181" s="22">
        <v>7</v>
      </c>
      <c r="BT181" s="181">
        <f t="shared" si="87"/>
        <v>0.84530959715314036</v>
      </c>
      <c r="BU181" s="182">
        <f t="shared" si="88"/>
        <v>165.83678644767548</v>
      </c>
      <c r="BV181" s="205">
        <f t="shared" si="89"/>
        <v>166.68209604482863</v>
      </c>
      <c r="BY181" s="180">
        <v>2021</v>
      </c>
      <c r="BZ181" s="22">
        <v>7</v>
      </c>
      <c r="CA181" s="198">
        <f t="shared" ca="1" si="90"/>
        <v>0.63055712294843791</v>
      </c>
      <c r="CB181" s="198">
        <f t="shared" ca="1" si="91"/>
        <v>-2.9675899320853336</v>
      </c>
      <c r="CC181" s="186">
        <f t="shared" ca="1" si="102"/>
        <v>169.20462893781897</v>
      </c>
      <c r="CD181" s="205">
        <f t="shared" ca="1" si="92"/>
        <v>166.86759612868207</v>
      </c>
      <c r="CG181" s="180">
        <v>2021</v>
      </c>
      <c r="CH181" s="22">
        <v>7</v>
      </c>
      <c r="CI181" s="198">
        <f t="shared" ca="1" si="93"/>
        <v>-0.43180102080284449</v>
      </c>
      <c r="CJ181" s="198">
        <f t="shared" ca="1" si="94"/>
        <v>4.4242375200019994</v>
      </c>
      <c r="CK181" s="198">
        <f t="shared" ca="1" si="95"/>
        <v>-11.283725102118886</v>
      </c>
      <c r="CL181" s="186">
        <f t="shared" ca="1" si="96"/>
        <v>171.86794742064839</v>
      </c>
      <c r="CM181" s="205">
        <f t="shared" ca="1" si="97"/>
        <v>164.57665881772866</v>
      </c>
      <c r="CP181" s="180">
        <v>2021</v>
      </c>
      <c r="CQ181" s="22">
        <v>7</v>
      </c>
      <c r="CR181" s="198">
        <f t="shared" ca="1" si="98"/>
        <v>165.91081760415338</v>
      </c>
      <c r="CS181" s="186">
        <f t="shared" ca="1" si="99"/>
        <v>1.004531426024875</v>
      </c>
      <c r="CT181" s="205">
        <f t="shared" ca="1" si="100"/>
        <v>166.66263020085313</v>
      </c>
      <c r="CZ181" s="164" t="b">
        <f t="shared" si="77"/>
        <v>1</v>
      </c>
      <c r="DA181" s="165" t="b">
        <f t="shared" si="77"/>
        <v>1</v>
      </c>
      <c r="DB181" s="166" t="b">
        <f t="shared" si="77"/>
        <v>1</v>
      </c>
      <c r="DC181" s="164">
        <f t="shared" si="78"/>
        <v>9</v>
      </c>
      <c r="DD181" s="166">
        <f t="shared" si="79"/>
        <v>137.65357828447526</v>
      </c>
      <c r="DE181" s="164">
        <f t="shared" si="80"/>
        <v>9</v>
      </c>
      <c r="DF181" s="166">
        <f t="shared" si="81"/>
        <v>162.40678016892551</v>
      </c>
      <c r="DG181" s="164">
        <f t="shared" si="82"/>
        <v>9</v>
      </c>
      <c r="DH181" s="166">
        <f t="shared" si="83"/>
        <v>187.15998205337576</v>
      </c>
      <c r="DI181" s="164">
        <f>IFERROR(INDEX(DC$170:DC$218,_xlfn.AGGREGATE(15,6,(ROW(DC$170:DC$218)-ROW(DC$170)+1)/(DC$170:DC$218&lt;&gt;""),ROWS(DI$1:DI12))),"")</f>
        <v>9</v>
      </c>
      <c r="DJ181" s="165">
        <f>IFERROR(INDEX(DD$170:DD$218,_xlfn.AGGREGATE(15,6,(ROW(DD$170:DD$218)-ROW(DD$170)+1)/(DD$170:DD$218&lt;&gt;""),ROWS(DJ$1:DJ12))),"")</f>
        <v>137.65357828447526</v>
      </c>
      <c r="DK181" s="166">
        <f t="shared" si="84"/>
        <v>181</v>
      </c>
      <c r="DL181" s="164">
        <f>IFERROR(INDEX(DE$170:DE$218,_xlfn.AGGREGATE(15,6,(ROW(DE$170:DE$218)-ROW(DE$170)+1)/(DE$170:DE$218&lt;&gt;""),ROWS(DL$1:DL12))),"")</f>
        <v>9</v>
      </c>
      <c r="DM181" s="165">
        <f>IFERROR(INDEX(DF$170:DF$218,_xlfn.AGGREGATE(15,6,(ROW(DF$170:DF$218)-ROW(DF$170)+1)/(DF$170:DF$218&lt;&gt;""),ROWS(DM$1:DM12))),"")</f>
        <v>162.40678016892551</v>
      </c>
      <c r="DN181" s="166">
        <f t="shared" si="85"/>
        <v>181</v>
      </c>
      <c r="DO181" s="164">
        <f>IFERROR(INDEX(DG$170:DG$218,_xlfn.AGGREGATE(15,6,(ROW(DG$170:DG$218)-ROW(DG$170)+1)/(DG$170:DG$218&lt;&gt;""),ROWS(DO$1:DO12))),"")</f>
        <v>9</v>
      </c>
      <c r="DP181" s="165">
        <f>IFERROR(INDEX(DH$170:DH$218,_xlfn.AGGREGATE(15,6,(ROW(DH$170:DH$218)-ROW(DH$170)+1)/(DH$170:DH$218&lt;&gt;""),ROWS(DP$1:DP12))),"")</f>
        <v>187.15998205337576</v>
      </c>
      <c r="DQ181" s="166">
        <f t="shared" si="86"/>
        <v>181</v>
      </c>
      <c r="DV181" s="145">
        <v>2026</v>
      </c>
      <c r="DW181" s="235">
        <f t="shared" ca="1" si="70"/>
        <v>163.3508888088956</v>
      </c>
      <c r="DZ181" s="135" t="s">
        <v>92</v>
      </c>
      <c r="EA181" s="33">
        <f t="shared" si="103"/>
        <v>0</v>
      </c>
      <c r="EB181" s="33">
        <f t="shared" si="103"/>
        <v>0</v>
      </c>
      <c r="EC181" s="33" t="str">
        <f>IF($EA$168="Linear","N/A",IF($EA$168="2nd Poly","N/A",IF($EA$168="3rd Poly","N/A","Low")))</f>
        <v>N/A</v>
      </c>
    </row>
    <row r="182" spans="1:135" ht="13.8" x14ac:dyDescent="0.45">
      <c r="B182" s="128">
        <v>2024</v>
      </c>
      <c r="C182" s="953">
        <v>189.93333333333334</v>
      </c>
      <c r="D182" s="944">
        <v>131.22623812618059</v>
      </c>
      <c r="E182" s="945"/>
      <c r="F182" s="1039"/>
      <c r="G182" s="981"/>
      <c r="H182" s="1040"/>
      <c r="I182" s="1112">
        <v>168.14117647058828</v>
      </c>
      <c r="J182" s="247"/>
      <c r="K182" s="245"/>
      <c r="L182" s="246"/>
      <c r="M182" s="245"/>
      <c r="N182" s="29" t="s">
        <v>119</v>
      </c>
      <c r="O182" s="120"/>
      <c r="P182" s="120"/>
      <c r="Q182" s="120"/>
      <c r="R182" s="29">
        <v>10</v>
      </c>
      <c r="S182" s="238">
        <f t="shared" si="71"/>
        <v>131.22623812618059</v>
      </c>
      <c r="T182" s="238">
        <f t="shared" si="72"/>
        <v>189.93333333333334</v>
      </c>
      <c r="U182" s="238">
        <f t="shared" si="73"/>
        <v>24.23068257250079</v>
      </c>
      <c r="V182" s="20"/>
      <c r="W182" s="238">
        <f t="shared" si="74"/>
        <v>138.86956673753326</v>
      </c>
      <c r="X182" s="238">
        <f t="shared" si="75"/>
        <v>163.10024931003406</v>
      </c>
      <c r="Y182" s="238">
        <f t="shared" si="76"/>
        <v>187.33093188253486</v>
      </c>
      <c r="AA182" s="1133">
        <v>131.22623812618053</v>
      </c>
      <c r="AB182" s="1133">
        <v>160.57978572975696</v>
      </c>
      <c r="AC182" s="1133">
        <v>189.93333333333339</v>
      </c>
      <c r="AD182" s="120"/>
      <c r="AE182" s="120"/>
      <c r="AF182" s="120"/>
      <c r="AG182" s="120"/>
      <c r="AH182" s="120"/>
      <c r="AI182" s="120"/>
      <c r="AJ182" s="120"/>
      <c r="AK182" s="120"/>
      <c r="AL182" s="120"/>
      <c r="AM182" s="120"/>
      <c r="AN182" s="120"/>
      <c r="BR182" s="180">
        <v>2022</v>
      </c>
      <c r="BS182" s="22">
        <v>8</v>
      </c>
      <c r="BT182" s="181">
        <f t="shared" si="87"/>
        <v>0.96606811103216039</v>
      </c>
      <c r="BU182" s="182">
        <f t="shared" si="88"/>
        <v>165.83678644767548</v>
      </c>
      <c r="BV182" s="205">
        <f t="shared" si="89"/>
        <v>166.80285455870765</v>
      </c>
      <c r="BY182" s="180">
        <v>2022</v>
      </c>
      <c r="BZ182" s="22">
        <v>8</v>
      </c>
      <c r="CA182" s="198">
        <f t="shared" ca="1" si="90"/>
        <v>0.82358481364693936</v>
      </c>
      <c r="CB182" s="198">
        <f t="shared" ca="1" si="91"/>
        <v>-3.3915313509546667</v>
      </c>
      <c r="CC182" s="186">
        <f t="shared" ca="1" si="102"/>
        <v>169.20462893781897</v>
      </c>
      <c r="CD182" s="205">
        <f t="shared" ca="1" si="92"/>
        <v>166.63668240051123</v>
      </c>
      <c r="CG182" s="180">
        <v>2022</v>
      </c>
      <c r="CH182" s="22">
        <v>8</v>
      </c>
      <c r="CI182" s="198">
        <f t="shared" ca="1" si="93"/>
        <v>-0.64455429344331305</v>
      </c>
      <c r="CJ182" s="198">
        <f t="shared" ca="1" si="94"/>
        <v>5.778595944492408</v>
      </c>
      <c r="CK182" s="198">
        <f t="shared" ca="1" si="95"/>
        <v>-12.895685830993013</v>
      </c>
      <c r="CL182" s="186">
        <f t="shared" ca="1" si="96"/>
        <v>171.86794742064839</v>
      </c>
      <c r="CM182" s="205">
        <f t="shared" ca="1" si="97"/>
        <v>164.10630324070448</v>
      </c>
      <c r="CP182" s="180">
        <v>2022</v>
      </c>
      <c r="CQ182" s="22">
        <v>8</v>
      </c>
      <c r="CR182" s="198">
        <f t="shared" ca="1" si="98"/>
        <v>165.91081760415338</v>
      </c>
      <c r="CS182" s="186">
        <f t="shared" ca="1" si="99"/>
        <v>1.0051804466645597</v>
      </c>
      <c r="CT182" s="205">
        <f t="shared" ca="1" si="100"/>
        <v>166.77030974582519</v>
      </c>
      <c r="CZ182" s="164" t="b">
        <f t="shared" si="77"/>
        <v>1</v>
      </c>
      <c r="DA182" s="165" t="b">
        <f t="shared" si="77"/>
        <v>1</v>
      </c>
      <c r="DB182" s="166" t="b">
        <f t="shared" si="77"/>
        <v>1</v>
      </c>
      <c r="DC182" s="164">
        <f t="shared" si="78"/>
        <v>10</v>
      </c>
      <c r="DD182" s="166">
        <f t="shared" si="79"/>
        <v>138.86956673753326</v>
      </c>
      <c r="DE182" s="164">
        <f t="shared" si="80"/>
        <v>10</v>
      </c>
      <c r="DF182" s="166">
        <f t="shared" si="81"/>
        <v>163.10024931003406</v>
      </c>
      <c r="DG182" s="164">
        <f t="shared" si="82"/>
        <v>10</v>
      </c>
      <c r="DH182" s="166">
        <f t="shared" si="83"/>
        <v>187.33093188253486</v>
      </c>
      <c r="DI182" s="164">
        <f>IFERROR(INDEX(DC$170:DC$218,_xlfn.AGGREGATE(15,6,(ROW(DC$170:DC$218)-ROW(DC$170)+1)/(DC$170:DC$218&lt;&gt;""),ROWS(DI$1:DI13))),"")</f>
        <v>10</v>
      </c>
      <c r="DJ182" s="165">
        <f>IFERROR(INDEX(DD$170:DD$218,_xlfn.AGGREGATE(15,6,(ROW(DD$170:DD$218)-ROW(DD$170)+1)/(DD$170:DD$218&lt;&gt;""),ROWS(DJ$1:DJ13))),"")</f>
        <v>138.86956673753326</v>
      </c>
      <c r="DK182" s="166">
        <f t="shared" si="84"/>
        <v>182</v>
      </c>
      <c r="DL182" s="164">
        <f>IFERROR(INDEX(DE$170:DE$218,_xlfn.AGGREGATE(15,6,(ROW(DE$170:DE$218)-ROW(DE$170)+1)/(DE$170:DE$218&lt;&gt;""),ROWS(DL$1:DL13))),"")</f>
        <v>10</v>
      </c>
      <c r="DM182" s="165">
        <f>IFERROR(INDEX(DF$170:DF$218,_xlfn.AGGREGATE(15,6,(ROW(DF$170:DF$218)-ROW(DF$170)+1)/(DF$170:DF$218&lt;&gt;""),ROWS(DM$1:DM13))),"")</f>
        <v>163.10024931003406</v>
      </c>
      <c r="DN182" s="166">
        <f t="shared" si="85"/>
        <v>182</v>
      </c>
      <c r="DO182" s="164">
        <f>IFERROR(INDEX(DG$170:DG$218,_xlfn.AGGREGATE(15,6,(ROW(DG$170:DG$218)-ROW(DG$170)+1)/(DG$170:DG$218&lt;&gt;""),ROWS(DO$1:DO13))),"")</f>
        <v>10</v>
      </c>
      <c r="DP182" s="165">
        <f>IFERROR(INDEX(DH$170:DH$218,_xlfn.AGGREGATE(15,6,(ROW(DH$170:DH$218)-ROW(DH$170)+1)/(DH$170:DH$218&lt;&gt;""),ROWS(DP$1:DP13))),"")</f>
        <v>187.33093188253486</v>
      </c>
      <c r="DQ182" s="166">
        <f t="shared" si="86"/>
        <v>182</v>
      </c>
      <c r="DV182" s="145">
        <v>2027</v>
      </c>
      <c r="DW182" s="235">
        <f t="shared" ca="1" si="70"/>
        <v>163.40577031688392</v>
      </c>
    </row>
    <row r="183" spans="1:135" ht="13.8" x14ac:dyDescent="0.45">
      <c r="B183" s="128">
        <v>2025</v>
      </c>
      <c r="C183" s="953">
        <v>191.23333333333335</v>
      </c>
      <c r="D183" s="944">
        <v>133.89572889365175</v>
      </c>
      <c r="E183" s="945"/>
      <c r="F183" s="1039"/>
      <c r="G183" s="981"/>
      <c r="H183" s="1040"/>
      <c r="I183" s="1112">
        <v>166.90882352941179</v>
      </c>
      <c r="J183" s="247"/>
      <c r="K183" s="245"/>
      <c r="L183" s="246"/>
      <c r="M183" s="245"/>
      <c r="N183" s="29" t="s">
        <v>119</v>
      </c>
      <c r="O183" s="120"/>
      <c r="P183" s="120"/>
      <c r="Q183" s="120"/>
      <c r="R183" s="29">
        <v>11</v>
      </c>
      <c r="S183" s="238">
        <f t="shared" si="71"/>
        <v>133.89572889365175</v>
      </c>
      <c r="T183" s="238">
        <f t="shared" si="72"/>
        <v>191.23333333333335</v>
      </c>
      <c r="U183" s="238">
        <f t="shared" si="73"/>
        <v>23.497392473568311</v>
      </c>
      <c r="W183" s="238">
        <f t="shared" si="74"/>
        <v>140.51523611189731</v>
      </c>
      <c r="X183" s="238">
        <f t="shared" si="75"/>
        <v>164.01262858546562</v>
      </c>
      <c r="Y183" s="238">
        <f t="shared" si="76"/>
        <v>187.51002105903393</v>
      </c>
      <c r="AA183" s="1133">
        <v>133.89572889365166</v>
      </c>
      <c r="AB183" s="1133">
        <v>162.56453111349254</v>
      </c>
      <c r="AC183" s="1133">
        <v>191.23333333333341</v>
      </c>
      <c r="AD183" s="120"/>
      <c r="AE183" s="120"/>
      <c r="AF183" s="120"/>
      <c r="AG183" s="120"/>
      <c r="AH183" s="120"/>
      <c r="AI183" s="120"/>
      <c r="AJ183" s="120"/>
      <c r="AK183" s="120"/>
      <c r="AL183" s="120"/>
      <c r="AM183" s="120"/>
      <c r="AN183" s="120"/>
      <c r="BR183" s="180">
        <v>2023</v>
      </c>
      <c r="BS183" s="22">
        <v>9</v>
      </c>
      <c r="BT183" s="181">
        <f t="shared" si="87"/>
        <v>1.0868266249111804</v>
      </c>
      <c r="BU183" s="182">
        <f t="shared" si="88"/>
        <v>165.83678644767548</v>
      </c>
      <c r="BV183" s="205">
        <f t="shared" si="89"/>
        <v>166.92361307258665</v>
      </c>
      <c r="BY183" s="180">
        <v>2023</v>
      </c>
      <c r="BZ183" s="22">
        <v>9</v>
      </c>
      <c r="CA183" s="198">
        <f t="shared" ca="1" si="90"/>
        <v>1.0423495297719076</v>
      </c>
      <c r="CB183" s="198">
        <f t="shared" ca="1" si="91"/>
        <v>-3.8154727698239999</v>
      </c>
      <c r="CC183" s="186">
        <f t="shared" ca="1" si="102"/>
        <v>169.20462893781897</v>
      </c>
      <c r="CD183" s="205">
        <f t="shared" ca="1" si="92"/>
        <v>166.43150569776688</v>
      </c>
      <c r="CG183" s="180">
        <v>2023</v>
      </c>
      <c r="CH183" s="22">
        <v>9</v>
      </c>
      <c r="CI183" s="198">
        <f t="shared" ca="1" si="93"/>
        <v>-0.9177345310940922</v>
      </c>
      <c r="CJ183" s="198">
        <f t="shared" ca="1" si="94"/>
        <v>7.3135354922482039</v>
      </c>
      <c r="CK183" s="198">
        <f t="shared" ca="1" si="95"/>
        <v>-14.50764655986714</v>
      </c>
      <c r="CL183" s="186">
        <f t="shared" ca="1" si="96"/>
        <v>171.86794742064839</v>
      </c>
      <c r="CM183" s="205">
        <f t="shared" ca="1" si="97"/>
        <v>163.75610182193537</v>
      </c>
      <c r="CP183" s="180">
        <v>2023</v>
      </c>
      <c r="CQ183" s="22">
        <v>9</v>
      </c>
      <c r="CR183" s="198">
        <f t="shared" ca="1" si="98"/>
        <v>165.91081760415338</v>
      </c>
      <c r="CS183" s="186">
        <f t="shared" ca="1" si="99"/>
        <v>1.0058298866318831</v>
      </c>
      <c r="CT183" s="205">
        <f t="shared" ca="1" si="100"/>
        <v>166.87805886178862</v>
      </c>
      <c r="CZ183" s="164" t="b">
        <f t="shared" si="77"/>
        <v>1</v>
      </c>
      <c r="DA183" s="165" t="b">
        <f t="shared" si="77"/>
        <v>1</v>
      </c>
      <c r="DB183" s="166" t="b">
        <f t="shared" si="77"/>
        <v>1</v>
      </c>
      <c r="DC183" s="164">
        <f t="shared" si="78"/>
        <v>11</v>
      </c>
      <c r="DD183" s="166">
        <f t="shared" si="79"/>
        <v>140.51523611189731</v>
      </c>
      <c r="DE183" s="164">
        <f t="shared" si="80"/>
        <v>11</v>
      </c>
      <c r="DF183" s="166">
        <f t="shared" si="81"/>
        <v>164.01262858546562</v>
      </c>
      <c r="DG183" s="164">
        <f t="shared" si="82"/>
        <v>11</v>
      </c>
      <c r="DH183" s="166">
        <f t="shared" si="83"/>
        <v>187.51002105903393</v>
      </c>
      <c r="DI183" s="164">
        <f>IFERROR(INDEX(DC$170:DC$218,_xlfn.AGGREGATE(15,6,(ROW(DC$170:DC$218)-ROW(DC$170)+1)/(DC$170:DC$218&lt;&gt;""),ROWS(DI$1:DI14))),"")</f>
        <v>11</v>
      </c>
      <c r="DJ183" s="165">
        <f>IFERROR(INDEX(DD$170:DD$218,_xlfn.AGGREGATE(15,6,(ROW(DD$170:DD$218)-ROW(DD$170)+1)/(DD$170:DD$218&lt;&gt;""),ROWS(DJ$1:DJ14))),"")</f>
        <v>140.51523611189731</v>
      </c>
      <c r="DK183" s="166">
        <f t="shared" si="84"/>
        <v>183</v>
      </c>
      <c r="DL183" s="164">
        <f>IFERROR(INDEX(DE$170:DE$218,_xlfn.AGGREGATE(15,6,(ROW(DE$170:DE$218)-ROW(DE$170)+1)/(DE$170:DE$218&lt;&gt;""),ROWS(DL$1:DL14))),"")</f>
        <v>11</v>
      </c>
      <c r="DM183" s="165">
        <f>IFERROR(INDEX(DF$170:DF$218,_xlfn.AGGREGATE(15,6,(ROW(DF$170:DF$218)-ROW(DF$170)+1)/(DF$170:DF$218&lt;&gt;""),ROWS(DM$1:DM14))),"")</f>
        <v>164.01262858546562</v>
      </c>
      <c r="DN183" s="166">
        <f t="shared" si="85"/>
        <v>183</v>
      </c>
      <c r="DO183" s="164">
        <f>IFERROR(INDEX(DG$170:DG$218,_xlfn.AGGREGATE(15,6,(ROW(DG$170:DG$218)-ROW(DG$170)+1)/(DG$170:DG$218&lt;&gt;""),ROWS(DO$1:DO14))),"")</f>
        <v>11</v>
      </c>
      <c r="DP183" s="165">
        <f>IFERROR(INDEX(DH$170:DH$218,_xlfn.AGGREGATE(15,6,(ROW(DH$170:DH$218)-ROW(DH$170)+1)/(DH$170:DH$218&lt;&gt;""),ROWS(DP$1:DP14))),"")</f>
        <v>187.51002105903393</v>
      </c>
      <c r="DQ183" s="166">
        <f t="shared" si="86"/>
        <v>183</v>
      </c>
      <c r="DV183" s="145">
        <v>2028</v>
      </c>
      <c r="DW183" s="235">
        <f t="shared" ca="1" si="70"/>
        <v>163.54303912999586</v>
      </c>
    </row>
    <row r="184" spans="1:135" ht="13.8" x14ac:dyDescent="0.45">
      <c r="B184" s="128">
        <v>2026</v>
      </c>
      <c r="C184" s="953">
        <v>192.53333333333336</v>
      </c>
      <c r="D184" s="944">
        <v>134.81074299762668</v>
      </c>
      <c r="E184" s="945"/>
      <c r="F184" s="1039"/>
      <c r="G184" s="981"/>
      <c r="H184" s="1040"/>
      <c r="I184" s="1112">
        <v>165.67647058823533</v>
      </c>
      <c r="J184" s="247"/>
      <c r="K184" s="245"/>
      <c r="L184" s="246"/>
      <c r="M184" s="245"/>
      <c r="N184" s="29" t="s">
        <v>119</v>
      </c>
      <c r="O184" s="120"/>
      <c r="P184" s="120"/>
      <c r="Q184" s="120"/>
      <c r="R184" s="29">
        <v>12</v>
      </c>
      <c r="S184" s="238">
        <f t="shared" si="71"/>
        <v>134.81074299762668</v>
      </c>
      <c r="T184" s="238">
        <f t="shared" si="72"/>
        <v>192.53333333333336</v>
      </c>
      <c r="U184" s="238">
        <f t="shared" si="73"/>
        <v>23.584085150019881</v>
      </c>
      <c r="W184" s="238">
        <f t="shared" si="74"/>
        <v>140.75609715637856</v>
      </c>
      <c r="X184" s="238">
        <f t="shared" si="75"/>
        <v>164.34018230639845</v>
      </c>
      <c r="Y184" s="238">
        <f t="shared" si="76"/>
        <v>187.92426745641833</v>
      </c>
      <c r="AA184" s="1133">
        <v>134.81074299762676</v>
      </c>
      <c r="AB184" s="1133">
        <v>163.67203816548002</v>
      </c>
      <c r="AC184" s="1133">
        <v>192.53333333333327</v>
      </c>
      <c r="AD184" s="120"/>
      <c r="AE184" s="120"/>
      <c r="AF184" s="120"/>
      <c r="AG184" s="120"/>
      <c r="AH184" s="120"/>
      <c r="AI184" s="120"/>
      <c r="AJ184" s="120"/>
      <c r="AK184" s="120"/>
      <c r="AL184" s="120"/>
      <c r="AM184" s="120"/>
      <c r="AN184" s="120"/>
      <c r="BR184" s="180">
        <v>2024</v>
      </c>
      <c r="BS184" s="22">
        <v>10</v>
      </c>
      <c r="BT184" s="181">
        <f t="shared" si="87"/>
        <v>1.2075851387902006</v>
      </c>
      <c r="BU184" s="182">
        <f t="shared" si="88"/>
        <v>165.83678644767548</v>
      </c>
      <c r="BV184" s="205">
        <f t="shared" si="89"/>
        <v>167.04437158646567</v>
      </c>
      <c r="BY184" s="180">
        <v>2024</v>
      </c>
      <c r="BZ184" s="22">
        <v>10</v>
      </c>
      <c r="CA184" s="198">
        <f t="shared" ca="1" si="90"/>
        <v>1.2868512713233426</v>
      </c>
      <c r="CB184" s="198">
        <f t="shared" ca="1" si="91"/>
        <v>-4.239414188693333</v>
      </c>
      <c r="CC184" s="186">
        <f t="shared" ca="1" si="102"/>
        <v>169.20462893781897</v>
      </c>
      <c r="CD184" s="205">
        <f t="shared" ca="1" si="92"/>
        <v>166.25206602044898</v>
      </c>
      <c r="CG184" s="180">
        <v>2024</v>
      </c>
      <c r="CH184" s="22">
        <v>10</v>
      </c>
      <c r="CI184" s="198">
        <f t="shared" ca="1" si="93"/>
        <v>-1.2588951043814709</v>
      </c>
      <c r="CJ184" s="198">
        <f t="shared" ca="1" si="94"/>
        <v>9.029056163269388</v>
      </c>
      <c r="CK184" s="198">
        <f t="shared" ca="1" si="95"/>
        <v>-16.119607288741268</v>
      </c>
      <c r="CL184" s="186">
        <f t="shared" ca="1" si="96"/>
        <v>171.86794742064839</v>
      </c>
      <c r="CM184" s="205">
        <f t="shared" ca="1" si="97"/>
        <v>163.51850119079504</v>
      </c>
      <c r="CP184" s="180">
        <v>2024</v>
      </c>
      <c r="CQ184" s="22">
        <v>10</v>
      </c>
      <c r="CR184" s="198">
        <f t="shared" ca="1" si="98"/>
        <v>165.91081760415338</v>
      </c>
      <c r="CS184" s="186">
        <f t="shared" ca="1" si="99"/>
        <v>1.0064797461977697</v>
      </c>
      <c r="CT184" s="205">
        <f t="shared" ca="1" si="100"/>
        <v>166.98587759369275</v>
      </c>
      <c r="CZ184" s="164" t="b">
        <f t="shared" si="77"/>
        <v>1</v>
      </c>
      <c r="DA184" s="165" t="b">
        <f t="shared" si="77"/>
        <v>1</v>
      </c>
      <c r="DB184" s="166" t="b">
        <f t="shared" si="77"/>
        <v>1</v>
      </c>
      <c r="DC184" s="164">
        <f t="shared" si="78"/>
        <v>12</v>
      </c>
      <c r="DD184" s="166">
        <f t="shared" si="79"/>
        <v>140.75609715637856</v>
      </c>
      <c r="DE184" s="164">
        <f t="shared" si="80"/>
        <v>12</v>
      </c>
      <c r="DF184" s="166">
        <f t="shared" si="81"/>
        <v>164.34018230639845</v>
      </c>
      <c r="DG184" s="164">
        <f t="shared" si="82"/>
        <v>12</v>
      </c>
      <c r="DH184" s="166">
        <f t="shared" si="83"/>
        <v>187.92426745641833</v>
      </c>
      <c r="DI184" s="164">
        <f>IFERROR(INDEX(DC$170:DC$218,_xlfn.AGGREGATE(15,6,(ROW(DC$170:DC$218)-ROW(DC$170)+1)/(DC$170:DC$218&lt;&gt;""),ROWS(DI$1:DI15))),"")</f>
        <v>12</v>
      </c>
      <c r="DJ184" s="165">
        <f>IFERROR(INDEX(DD$170:DD$218,_xlfn.AGGREGATE(15,6,(ROW(DD$170:DD$218)-ROW(DD$170)+1)/(DD$170:DD$218&lt;&gt;""),ROWS(DJ$1:DJ15))),"")</f>
        <v>140.75609715637856</v>
      </c>
      <c r="DK184" s="166">
        <f t="shared" si="84"/>
        <v>184</v>
      </c>
      <c r="DL184" s="164">
        <f>IFERROR(INDEX(DE$170:DE$218,_xlfn.AGGREGATE(15,6,(ROW(DE$170:DE$218)-ROW(DE$170)+1)/(DE$170:DE$218&lt;&gt;""),ROWS(DL$1:DL15))),"")</f>
        <v>12</v>
      </c>
      <c r="DM184" s="165">
        <f>IFERROR(INDEX(DF$170:DF$218,_xlfn.AGGREGATE(15,6,(ROW(DF$170:DF$218)-ROW(DF$170)+1)/(DF$170:DF$218&lt;&gt;""),ROWS(DM$1:DM15))),"")</f>
        <v>164.34018230639845</v>
      </c>
      <c r="DN184" s="166">
        <f t="shared" si="85"/>
        <v>184</v>
      </c>
      <c r="DO184" s="164">
        <f>IFERROR(INDEX(DG$170:DG$218,_xlfn.AGGREGATE(15,6,(ROW(DG$170:DG$218)-ROW(DG$170)+1)/(DG$170:DG$218&lt;&gt;""),ROWS(DO$1:DO15))),"")</f>
        <v>12</v>
      </c>
      <c r="DP184" s="165">
        <f>IFERROR(INDEX(DH$170:DH$218,_xlfn.AGGREGATE(15,6,(ROW(DH$170:DH$218)-ROW(DH$170)+1)/(DH$170:DH$218&lt;&gt;""),ROWS(DP$1:DP15))),"")</f>
        <v>187.92426745641833</v>
      </c>
      <c r="DQ184" s="166">
        <f t="shared" si="86"/>
        <v>184</v>
      </c>
      <c r="DV184" s="145">
        <v>2029</v>
      </c>
      <c r="DW184" s="235">
        <f t="shared" ca="1" si="70"/>
        <v>163.75514187760515</v>
      </c>
      <c r="EA184" s="55"/>
      <c r="EB184" s="55"/>
      <c r="EC184" s="55"/>
      <c r="ED184" s="55"/>
      <c r="EE184" s="55"/>
    </row>
    <row r="185" spans="1:135" ht="13.8" x14ac:dyDescent="0.45">
      <c r="B185" s="128">
        <v>2027</v>
      </c>
      <c r="C185" s="953">
        <v>193.83333333333334</v>
      </c>
      <c r="D185" s="944">
        <v>136.3920779035532</v>
      </c>
      <c r="E185" s="945"/>
      <c r="F185" s="1039"/>
      <c r="G185" s="981"/>
      <c r="H185" s="1040"/>
      <c r="I185" s="1112">
        <v>164.44411764705885</v>
      </c>
      <c r="J185" s="247"/>
      <c r="K185" s="245"/>
      <c r="L185" s="246"/>
      <c r="M185" s="245"/>
      <c r="N185" s="29" t="s">
        <v>119</v>
      </c>
      <c r="O185" s="120"/>
      <c r="P185" s="120"/>
      <c r="Q185" s="120"/>
      <c r="R185" s="29">
        <v>13</v>
      </c>
      <c r="S185" s="238">
        <f t="shared" si="71"/>
        <v>136.3920779035532</v>
      </c>
      <c r="T185" s="238">
        <f t="shared" si="72"/>
        <v>193.83333333333334</v>
      </c>
      <c r="U185" s="238">
        <f t="shared" si="73"/>
        <v>23.452412237395844</v>
      </c>
      <c r="W185" s="238">
        <f t="shared" si="74"/>
        <v>141.43743072391931</v>
      </c>
      <c r="X185" s="238">
        <f t="shared" si="75"/>
        <v>164.88984296131514</v>
      </c>
      <c r="Y185" s="238">
        <f t="shared" si="76"/>
        <v>188.34225519871097</v>
      </c>
      <c r="AA185" s="1133">
        <v>136.3920779035532</v>
      </c>
      <c r="AB185" s="1133">
        <v>165.11270561844327</v>
      </c>
      <c r="AC185" s="1133">
        <v>193.83333333333334</v>
      </c>
      <c r="AD185" s="89"/>
      <c r="AE185" s="89"/>
      <c r="AF185" s="89"/>
      <c r="AG185" s="89"/>
      <c r="AH185" s="89"/>
      <c r="AI185" s="89"/>
      <c r="AJ185" s="89"/>
      <c r="AK185" s="89"/>
      <c r="AL185" s="89"/>
      <c r="AM185" s="89"/>
      <c r="AN185" s="89"/>
      <c r="BR185" s="180">
        <v>2025</v>
      </c>
      <c r="BS185" s="22">
        <v>11</v>
      </c>
      <c r="BT185" s="181">
        <f t="shared" si="87"/>
        <v>1.3283436526692205</v>
      </c>
      <c r="BU185" s="182">
        <f t="shared" si="88"/>
        <v>165.83678644767548</v>
      </c>
      <c r="BV185" s="205">
        <f t="shared" si="89"/>
        <v>167.1651301003447</v>
      </c>
      <c r="BY185" s="180">
        <v>2025</v>
      </c>
      <c r="BZ185" s="22">
        <v>11</v>
      </c>
      <c r="CA185" s="198">
        <f t="shared" ca="1" si="90"/>
        <v>1.5570900383012447</v>
      </c>
      <c r="CB185" s="198">
        <f t="shared" ca="1" si="91"/>
        <v>-4.663355607562667</v>
      </c>
      <c r="CC185" s="186">
        <f t="shared" ca="1" si="102"/>
        <v>169.20462893781897</v>
      </c>
      <c r="CD185" s="205">
        <f t="shared" ca="1" si="92"/>
        <v>166.09836336855756</v>
      </c>
      <c r="CG185" s="180">
        <v>2025</v>
      </c>
      <c r="CH185" s="22">
        <v>11</v>
      </c>
      <c r="CI185" s="198">
        <f t="shared" ca="1" si="93"/>
        <v>-1.6755893839317377</v>
      </c>
      <c r="CJ185" s="198">
        <f t="shared" ca="1" si="94"/>
        <v>10.925157957555959</v>
      </c>
      <c r="CK185" s="198">
        <f t="shared" ca="1" si="95"/>
        <v>-17.731568017615395</v>
      </c>
      <c r="CL185" s="186">
        <f t="shared" ca="1" si="96"/>
        <v>171.86794742064839</v>
      </c>
      <c r="CM185" s="205">
        <f t="shared" ca="1" si="97"/>
        <v>163.38594797665721</v>
      </c>
      <c r="CP185" s="180">
        <v>2025</v>
      </c>
      <c r="CQ185" s="22">
        <v>11</v>
      </c>
      <c r="CR185" s="198">
        <f t="shared" ca="1" si="98"/>
        <v>165.91081760415338</v>
      </c>
      <c r="CS185" s="186">
        <f t="shared" ca="1" si="99"/>
        <v>1.0071300256333191</v>
      </c>
      <c r="CT185" s="205">
        <f t="shared" ca="1" si="100"/>
        <v>167.09376598651593</v>
      </c>
      <c r="CZ185" s="164" t="b">
        <f t="shared" si="77"/>
        <v>1</v>
      </c>
      <c r="DA185" s="165" t="b">
        <f t="shared" si="77"/>
        <v>1</v>
      </c>
      <c r="DB185" s="166" t="b">
        <f t="shared" si="77"/>
        <v>1</v>
      </c>
      <c r="DC185" s="164">
        <f t="shared" si="78"/>
        <v>13</v>
      </c>
      <c r="DD185" s="166">
        <f t="shared" si="79"/>
        <v>141.43743072391931</v>
      </c>
      <c r="DE185" s="164">
        <f t="shared" si="80"/>
        <v>13</v>
      </c>
      <c r="DF185" s="166">
        <f t="shared" si="81"/>
        <v>164.88984296131514</v>
      </c>
      <c r="DG185" s="164">
        <f t="shared" si="82"/>
        <v>13</v>
      </c>
      <c r="DH185" s="166">
        <f t="shared" si="83"/>
        <v>188.34225519871097</v>
      </c>
      <c r="DI185" s="164">
        <f>IFERROR(INDEX(DC$170:DC$218,_xlfn.AGGREGATE(15,6,(ROW(DC$170:DC$218)-ROW(DC$170)+1)/(DC$170:DC$218&lt;&gt;""),ROWS(DI$1:DI16))),"")</f>
        <v>13</v>
      </c>
      <c r="DJ185" s="165">
        <f>IFERROR(INDEX(DD$170:DD$218,_xlfn.AGGREGATE(15,6,(ROW(DD$170:DD$218)-ROW(DD$170)+1)/(DD$170:DD$218&lt;&gt;""),ROWS(DJ$1:DJ16))),"")</f>
        <v>141.43743072391931</v>
      </c>
      <c r="DK185" s="166">
        <f t="shared" si="84"/>
        <v>185</v>
      </c>
      <c r="DL185" s="164">
        <f>IFERROR(INDEX(DE$170:DE$218,_xlfn.AGGREGATE(15,6,(ROW(DE$170:DE$218)-ROW(DE$170)+1)/(DE$170:DE$218&lt;&gt;""),ROWS(DL$1:DL16))),"")</f>
        <v>13</v>
      </c>
      <c r="DM185" s="165">
        <f>IFERROR(INDEX(DF$170:DF$218,_xlfn.AGGREGATE(15,6,(ROW(DF$170:DF$218)-ROW(DF$170)+1)/(DF$170:DF$218&lt;&gt;""),ROWS(DM$1:DM16))),"")</f>
        <v>164.88984296131514</v>
      </c>
      <c r="DN185" s="166">
        <f t="shared" si="85"/>
        <v>185</v>
      </c>
      <c r="DO185" s="164">
        <f>IFERROR(INDEX(DG$170:DG$218,_xlfn.AGGREGATE(15,6,(ROW(DG$170:DG$218)-ROW(DG$170)+1)/(DG$170:DG$218&lt;&gt;""),ROWS(DO$1:DO16))),"")</f>
        <v>13</v>
      </c>
      <c r="DP185" s="165">
        <f>IFERROR(INDEX(DH$170:DH$218,_xlfn.AGGREGATE(15,6,(ROW(DH$170:DH$218)-ROW(DH$170)+1)/(DH$170:DH$218&lt;&gt;""),ROWS(DP$1:DP16))),"")</f>
        <v>188.34225519871097</v>
      </c>
      <c r="DQ185" s="166">
        <f t="shared" si="86"/>
        <v>185</v>
      </c>
      <c r="DV185" s="145">
        <v>2030</v>
      </c>
      <c r="DW185" s="235">
        <f t="shared" ca="1" si="70"/>
        <v>164.03452518908549</v>
      </c>
    </row>
    <row r="186" spans="1:135" ht="13.8" x14ac:dyDescent="0.45">
      <c r="A186" s="208" t="str">
        <f>$A$62</f>
        <v>Base Cases</v>
      </c>
      <c r="B186" s="128">
        <v>2028</v>
      </c>
      <c r="C186" s="953">
        <v>195.13333333333335</v>
      </c>
      <c r="D186" s="944">
        <v>137.84157410179878</v>
      </c>
      <c r="E186" s="945"/>
      <c r="F186" s="1039"/>
      <c r="G186" s="981"/>
      <c r="H186" s="1040"/>
      <c r="I186" s="1112">
        <v>163.21176470588239</v>
      </c>
      <c r="J186" s="247"/>
      <c r="K186" s="245"/>
      <c r="L186" s="246"/>
      <c r="M186" s="245"/>
      <c r="N186" s="29" t="s">
        <v>119</v>
      </c>
      <c r="O186" s="120"/>
      <c r="P186" s="120"/>
      <c r="Q186" s="120"/>
      <c r="R186" s="29">
        <v>14</v>
      </c>
      <c r="S186" s="238">
        <f t="shared" si="71"/>
        <v>137.84157410179878</v>
      </c>
      <c r="T186" s="238">
        <f t="shared" si="72"/>
        <v>195.13333333333335</v>
      </c>
      <c r="U186" s="238">
        <f t="shared" si="73"/>
        <v>23.440181054403006</v>
      </c>
      <c r="W186" s="238">
        <f t="shared" si="74"/>
        <v>141.95537632593516</v>
      </c>
      <c r="X186" s="238">
        <f t="shared" si="75"/>
        <v>165.39555738033818</v>
      </c>
      <c r="Y186" s="238">
        <f t="shared" si="76"/>
        <v>188.83573843474119</v>
      </c>
      <c r="AA186" s="1133">
        <v>137.84157410179876</v>
      </c>
      <c r="AB186" s="1133">
        <v>166.48745371756607</v>
      </c>
      <c r="AC186" s="1133">
        <v>195.13333333333338</v>
      </c>
      <c r="AD186" s="114"/>
      <c r="AE186" s="114"/>
      <c r="AF186" s="114"/>
      <c r="AG186" s="114"/>
      <c r="AH186" s="114"/>
      <c r="AI186" s="114"/>
      <c r="AJ186" s="114"/>
      <c r="AK186" s="114"/>
      <c r="AL186" s="114"/>
      <c r="AM186" s="114"/>
      <c r="AN186" s="114"/>
      <c r="BR186" s="180">
        <v>2026</v>
      </c>
      <c r="BS186" s="22">
        <v>12</v>
      </c>
      <c r="BT186" s="181">
        <f t="shared" si="87"/>
        <v>1.4491021665482406</v>
      </c>
      <c r="BU186" s="182">
        <f t="shared" si="88"/>
        <v>165.83678644767548</v>
      </c>
      <c r="BV186" s="205">
        <f t="shared" si="89"/>
        <v>167.28588861422372</v>
      </c>
      <c r="BY186" s="180">
        <v>2026</v>
      </c>
      <c r="BZ186" s="22">
        <v>12</v>
      </c>
      <c r="CA186" s="198">
        <f t="shared" ca="1" si="90"/>
        <v>1.8530658307056136</v>
      </c>
      <c r="CB186" s="198">
        <f t="shared" ca="1" si="91"/>
        <v>-5.0872970264320001</v>
      </c>
      <c r="CC186" s="186">
        <f t="shared" ca="1" si="102"/>
        <v>169.20462893781897</v>
      </c>
      <c r="CD186" s="205">
        <f t="shared" ca="1" si="92"/>
        <v>165.97039774209259</v>
      </c>
      <c r="CG186" s="180">
        <v>2026</v>
      </c>
      <c r="CH186" s="22">
        <v>12</v>
      </c>
      <c r="CI186" s="198">
        <f t="shared" ca="1" si="93"/>
        <v>-2.1753707403711817</v>
      </c>
      <c r="CJ186" s="198">
        <f t="shared" ca="1" si="94"/>
        <v>13.001840875107918</v>
      </c>
      <c r="CK186" s="198">
        <f t="shared" ca="1" si="95"/>
        <v>-19.343528746489518</v>
      </c>
      <c r="CL186" s="186">
        <f t="shared" ca="1" si="96"/>
        <v>171.86794742064839</v>
      </c>
      <c r="CM186" s="205">
        <f t="shared" ca="1" si="97"/>
        <v>163.3508888088956</v>
      </c>
      <c r="CP186" s="180">
        <v>2026</v>
      </c>
      <c r="CQ186" s="22">
        <v>12</v>
      </c>
      <c r="CR186" s="198">
        <f t="shared" ca="1" si="98"/>
        <v>165.91081760415338</v>
      </c>
      <c r="CS186" s="186">
        <f t="shared" ca="1" si="99"/>
        <v>1.0077807252098061</v>
      </c>
      <c r="CT186" s="205">
        <f t="shared" ca="1" si="100"/>
        <v>167.20172408526557</v>
      </c>
      <c r="CZ186" s="164" t="b">
        <f t="shared" si="77"/>
        <v>1</v>
      </c>
      <c r="DA186" s="165" t="b">
        <f t="shared" si="77"/>
        <v>1</v>
      </c>
      <c r="DB186" s="166" t="b">
        <f t="shared" si="77"/>
        <v>1</v>
      </c>
      <c r="DC186" s="164">
        <f t="shared" si="78"/>
        <v>14</v>
      </c>
      <c r="DD186" s="166">
        <f t="shared" si="79"/>
        <v>141.95537632593516</v>
      </c>
      <c r="DE186" s="164">
        <f t="shared" si="80"/>
        <v>14</v>
      </c>
      <c r="DF186" s="166">
        <f t="shared" si="81"/>
        <v>165.39555738033818</v>
      </c>
      <c r="DG186" s="164">
        <f t="shared" si="82"/>
        <v>14</v>
      </c>
      <c r="DH186" s="166">
        <f t="shared" si="83"/>
        <v>188.83573843474119</v>
      </c>
      <c r="DI186" s="164">
        <f>IFERROR(INDEX(DC$170:DC$218,_xlfn.AGGREGATE(15,6,(ROW(DC$170:DC$218)-ROW(DC$170)+1)/(DC$170:DC$218&lt;&gt;""),ROWS(DI$1:DI17))),"")</f>
        <v>14</v>
      </c>
      <c r="DJ186" s="165">
        <f>IFERROR(INDEX(DD$170:DD$218,_xlfn.AGGREGATE(15,6,(ROW(DD$170:DD$218)-ROW(DD$170)+1)/(DD$170:DD$218&lt;&gt;""),ROWS(DJ$1:DJ17))),"")</f>
        <v>141.95537632593516</v>
      </c>
      <c r="DK186" s="166">
        <f t="shared" si="84"/>
        <v>186</v>
      </c>
      <c r="DL186" s="164">
        <f>IFERROR(INDEX(DE$170:DE$218,_xlfn.AGGREGATE(15,6,(ROW(DE$170:DE$218)-ROW(DE$170)+1)/(DE$170:DE$218&lt;&gt;""),ROWS(DL$1:DL17))),"")</f>
        <v>14</v>
      </c>
      <c r="DM186" s="165">
        <f>IFERROR(INDEX(DF$170:DF$218,_xlfn.AGGREGATE(15,6,(ROW(DF$170:DF$218)-ROW(DF$170)+1)/(DF$170:DF$218&lt;&gt;""),ROWS(DM$1:DM17))),"")</f>
        <v>165.39555738033818</v>
      </c>
      <c r="DN186" s="166">
        <f t="shared" si="85"/>
        <v>186</v>
      </c>
      <c r="DO186" s="164">
        <f>IFERROR(INDEX(DG$170:DG$218,_xlfn.AGGREGATE(15,6,(ROW(DG$170:DG$218)-ROW(DG$170)+1)/(DG$170:DG$218&lt;&gt;""),ROWS(DO$1:DO17))),"")</f>
        <v>14</v>
      </c>
      <c r="DP186" s="165">
        <f>IFERROR(INDEX(DH$170:DH$218,_xlfn.AGGREGATE(15,6,(ROW(DH$170:DH$218)-ROW(DH$170)+1)/(DH$170:DH$218&lt;&gt;""),ROWS(DP$1:DP17))),"")</f>
        <v>188.83573843474119</v>
      </c>
      <c r="DQ186" s="166">
        <f t="shared" si="86"/>
        <v>186</v>
      </c>
      <c r="DV186" s="145">
        <v>2031</v>
      </c>
      <c r="DW186" s="235">
        <f t="shared" ca="1" si="70"/>
        <v>164.3736356938106</v>
      </c>
    </row>
    <row r="187" spans="1:135" ht="13.8" x14ac:dyDescent="0.45">
      <c r="A187" s="209" t="str">
        <f>$A$63</f>
        <v>Conservative Cases</v>
      </c>
      <c r="B187" s="128">
        <v>2029</v>
      </c>
      <c r="C187" s="953">
        <v>196.43333333333334</v>
      </c>
      <c r="D187" s="944">
        <v>139.16732599467858</v>
      </c>
      <c r="E187" s="945"/>
      <c r="F187" s="1039"/>
      <c r="G187" s="981"/>
      <c r="H187" s="1040"/>
      <c r="I187" s="1112">
        <v>161.9794117647059</v>
      </c>
      <c r="J187" s="247"/>
      <c r="K187" s="245"/>
      <c r="L187" s="246"/>
      <c r="M187" s="245"/>
      <c r="N187" s="29" t="s">
        <v>119</v>
      </c>
      <c r="O187" s="120"/>
      <c r="P187" s="120"/>
      <c r="Q187" s="120"/>
      <c r="R187" s="29">
        <v>15</v>
      </c>
      <c r="S187" s="238">
        <f t="shared" si="71"/>
        <v>139.16732599467858</v>
      </c>
      <c r="T187" s="238">
        <f t="shared" si="72"/>
        <v>196.43333333333334</v>
      </c>
      <c r="U187" s="238">
        <f t="shared" si="73"/>
        <v>23.539233361317404</v>
      </c>
      <c r="W187" s="238">
        <f t="shared" si="74"/>
        <v>142.32079033625521</v>
      </c>
      <c r="X187" s="238">
        <f t="shared" si="75"/>
        <v>165.86002369757261</v>
      </c>
      <c r="Y187" s="238">
        <f t="shared" si="76"/>
        <v>189.39925705889002</v>
      </c>
      <c r="AA187" s="1133">
        <v>139.16732599467872</v>
      </c>
      <c r="AB187" s="1133">
        <v>167.80032966400597</v>
      </c>
      <c r="AC187" s="1133">
        <v>196.43333333333322</v>
      </c>
      <c r="AD187" s="89"/>
      <c r="AE187" s="89"/>
      <c r="AF187" s="89"/>
      <c r="AG187" s="89"/>
      <c r="AH187" s="89"/>
      <c r="AI187" s="89"/>
      <c r="AJ187" s="89"/>
      <c r="AK187" s="89"/>
      <c r="AL187" s="89"/>
      <c r="AM187" s="89"/>
      <c r="AN187" s="89"/>
      <c r="BR187" s="180">
        <v>2027</v>
      </c>
      <c r="BS187" s="22">
        <v>13</v>
      </c>
      <c r="BT187" s="181">
        <f t="shared" si="87"/>
        <v>1.5698606804272606</v>
      </c>
      <c r="BU187" s="182">
        <f t="shared" si="88"/>
        <v>165.83678644767548</v>
      </c>
      <c r="BV187" s="205">
        <f t="shared" si="89"/>
        <v>167.40664712810275</v>
      </c>
      <c r="BY187" s="180">
        <v>2027</v>
      </c>
      <c r="BZ187" s="22">
        <v>13</v>
      </c>
      <c r="CA187" s="198">
        <f t="shared" ca="1" si="90"/>
        <v>2.1747786485364493</v>
      </c>
      <c r="CB187" s="198">
        <f t="shared" ca="1" si="91"/>
        <v>-5.5112384453013332</v>
      </c>
      <c r="CC187" s="186">
        <f t="shared" ca="1" si="102"/>
        <v>169.20462893781897</v>
      </c>
      <c r="CD187" s="205">
        <f t="shared" ca="1" si="92"/>
        <v>165.8681691410541</v>
      </c>
      <c r="CG187" s="180">
        <v>2027</v>
      </c>
      <c r="CH187" s="22">
        <v>13</v>
      </c>
      <c r="CI187" s="198">
        <f t="shared" ca="1" si="93"/>
        <v>-2.7657925443260916</v>
      </c>
      <c r="CJ187" s="198">
        <f t="shared" ca="1" si="94"/>
        <v>15.259104915925265</v>
      </c>
      <c r="CK187" s="198">
        <f t="shared" ca="1" si="95"/>
        <v>-20.955489475363645</v>
      </c>
      <c r="CL187" s="186">
        <f t="shared" ca="1" si="96"/>
        <v>171.86794742064839</v>
      </c>
      <c r="CM187" s="205">
        <f t="shared" ca="1" si="97"/>
        <v>163.40577031688392</v>
      </c>
      <c r="CP187" s="180">
        <v>2027</v>
      </c>
      <c r="CQ187" s="22">
        <v>13</v>
      </c>
      <c r="CR187" s="198">
        <f t="shared" ca="1" si="98"/>
        <v>165.91081760415338</v>
      </c>
      <c r="CS187" s="186">
        <f t="shared" ca="1" si="99"/>
        <v>1.0084318451986809</v>
      </c>
      <c r="CT187" s="205">
        <f t="shared" ca="1" si="100"/>
        <v>167.30975193497818</v>
      </c>
      <c r="CZ187" s="164" t="b">
        <f t="shared" si="77"/>
        <v>1</v>
      </c>
      <c r="DA187" s="165" t="b">
        <f t="shared" si="77"/>
        <v>1</v>
      </c>
      <c r="DB187" s="166" t="b">
        <f t="shared" si="77"/>
        <v>1</v>
      </c>
      <c r="DC187" s="164">
        <f t="shared" si="78"/>
        <v>15</v>
      </c>
      <c r="DD187" s="166">
        <f t="shared" si="79"/>
        <v>142.32079033625521</v>
      </c>
      <c r="DE187" s="164">
        <f t="shared" si="80"/>
        <v>15</v>
      </c>
      <c r="DF187" s="166">
        <f t="shared" si="81"/>
        <v>165.86002369757261</v>
      </c>
      <c r="DG187" s="164">
        <f t="shared" si="82"/>
        <v>15</v>
      </c>
      <c r="DH187" s="166">
        <f t="shared" si="83"/>
        <v>189.39925705889002</v>
      </c>
      <c r="DI187" s="164">
        <f>IFERROR(INDEX(DC$170:DC$218,_xlfn.AGGREGATE(15,6,(ROW(DC$170:DC$218)-ROW(DC$170)+1)/(DC$170:DC$218&lt;&gt;""),ROWS(DI$1:DI18))),"")</f>
        <v>15</v>
      </c>
      <c r="DJ187" s="165">
        <f>IFERROR(INDEX(DD$170:DD$218,_xlfn.AGGREGATE(15,6,(ROW(DD$170:DD$218)-ROW(DD$170)+1)/(DD$170:DD$218&lt;&gt;""),ROWS(DJ$1:DJ18))),"")</f>
        <v>142.32079033625521</v>
      </c>
      <c r="DK187" s="166">
        <f t="shared" si="84"/>
        <v>187</v>
      </c>
      <c r="DL187" s="164">
        <f>IFERROR(INDEX(DE$170:DE$218,_xlfn.AGGREGATE(15,6,(ROW(DE$170:DE$218)-ROW(DE$170)+1)/(DE$170:DE$218&lt;&gt;""),ROWS(DL$1:DL18))),"")</f>
        <v>15</v>
      </c>
      <c r="DM187" s="165">
        <f>IFERROR(INDEX(DF$170:DF$218,_xlfn.AGGREGATE(15,6,(ROW(DF$170:DF$218)-ROW(DF$170)+1)/(DF$170:DF$218&lt;&gt;""),ROWS(DM$1:DM18))),"")</f>
        <v>165.86002369757261</v>
      </c>
      <c r="DN187" s="166">
        <f t="shared" si="85"/>
        <v>187</v>
      </c>
      <c r="DO187" s="164">
        <f>IFERROR(INDEX(DG$170:DG$218,_xlfn.AGGREGATE(15,6,(ROW(DG$170:DG$218)-ROW(DG$170)+1)/(DG$170:DG$218&lt;&gt;""),ROWS(DO$1:DO18))),"")</f>
        <v>15</v>
      </c>
      <c r="DP187" s="165">
        <f>IFERROR(INDEX(DH$170:DH$218,_xlfn.AGGREGATE(15,6,(ROW(DH$170:DH$218)-ROW(DH$170)+1)/(DH$170:DH$218&lt;&gt;""),ROWS(DP$1:DP18))),"")</f>
        <v>189.39925705889002</v>
      </c>
      <c r="DQ187" s="166">
        <f t="shared" si="86"/>
        <v>187</v>
      </c>
      <c r="DV187" s="145">
        <v>2032</v>
      </c>
      <c r="DW187" s="235">
        <f t="shared" ca="1" si="70"/>
        <v>164.76492002115418</v>
      </c>
    </row>
    <row r="188" spans="1:135" ht="13.8" x14ac:dyDescent="0.45">
      <c r="A188" s="210" t="str">
        <f>$A$64</f>
        <v>Ambitious Cases</v>
      </c>
      <c r="B188" s="128">
        <v>2030</v>
      </c>
      <c r="C188" s="953">
        <v>200</v>
      </c>
      <c r="D188" s="944">
        <v>140.78352471183331</v>
      </c>
      <c r="E188" s="945"/>
      <c r="F188" s="1039"/>
      <c r="G188" s="981"/>
      <c r="H188" s="1040"/>
      <c r="I188" s="1112">
        <v>160.74705882352944</v>
      </c>
      <c r="J188" s="247"/>
      <c r="K188" s="245"/>
      <c r="L188" s="246"/>
      <c r="M188" s="245"/>
      <c r="N188" s="29" t="s">
        <v>119</v>
      </c>
      <c r="O188" s="120"/>
      <c r="P188" s="120"/>
      <c r="Q188" s="120"/>
      <c r="R188" s="29">
        <v>16</v>
      </c>
      <c r="S188" s="238">
        <f t="shared" si="71"/>
        <v>140.78352471183331</v>
      </c>
      <c r="T188" s="238">
        <f t="shared" si="72"/>
        <v>200</v>
      </c>
      <c r="U188" s="238">
        <f t="shared" si="73"/>
        <v>24.598841505662524</v>
      </c>
      <c r="W188" s="238">
        <f t="shared" si="74"/>
        <v>142.57801967279173</v>
      </c>
      <c r="X188" s="238">
        <f t="shared" si="75"/>
        <v>167.17686117845426</v>
      </c>
      <c r="Y188" s="238">
        <f t="shared" si="76"/>
        <v>191.77570268411679</v>
      </c>
      <c r="AA188" s="1133">
        <v>140.78352471183331</v>
      </c>
      <c r="AB188" s="1133">
        <v>170.39176235591665</v>
      </c>
      <c r="AC188" s="1133">
        <v>200</v>
      </c>
      <c r="AD188" s="89"/>
      <c r="AE188" s="89"/>
      <c r="AF188" s="89"/>
      <c r="AG188" s="89"/>
      <c r="AH188" s="89"/>
      <c r="AI188" s="89"/>
      <c r="AJ188" s="89"/>
      <c r="AK188" s="89"/>
      <c r="AL188" s="89"/>
      <c r="AM188" s="89"/>
      <c r="AN188" s="89"/>
      <c r="BR188" s="180">
        <v>2028</v>
      </c>
      <c r="BS188" s="22">
        <v>14</v>
      </c>
      <c r="BT188" s="181">
        <f t="shared" si="87"/>
        <v>1.6906191943062807</v>
      </c>
      <c r="BU188" s="182">
        <f t="shared" si="88"/>
        <v>165.83678644767548</v>
      </c>
      <c r="BV188" s="205">
        <f t="shared" si="89"/>
        <v>167.52740564198177</v>
      </c>
      <c r="BY188" s="180">
        <v>2028</v>
      </c>
      <c r="BZ188" s="22">
        <v>14</v>
      </c>
      <c r="CA188" s="198">
        <f t="shared" ca="1" si="90"/>
        <v>2.5222284917937516</v>
      </c>
      <c r="CB188" s="198">
        <f t="shared" ca="1" si="91"/>
        <v>-5.9351798641706672</v>
      </c>
      <c r="CC188" s="186">
        <f t="shared" ca="1" si="102"/>
        <v>169.20462893781897</v>
      </c>
      <c r="CD188" s="205">
        <f t="shared" ca="1" si="92"/>
        <v>165.79167756544206</v>
      </c>
      <c r="CG188" s="180">
        <v>2028</v>
      </c>
      <c r="CH188" s="22">
        <v>14</v>
      </c>
      <c r="CI188" s="198">
        <f t="shared" ca="1" si="93"/>
        <v>-3.4544081664227559</v>
      </c>
      <c r="CJ188" s="198">
        <f t="shared" ca="1" si="94"/>
        <v>17.696950080007998</v>
      </c>
      <c r="CK188" s="198">
        <f t="shared" ca="1" si="95"/>
        <v>-22.567450204237772</v>
      </c>
      <c r="CL188" s="186">
        <f t="shared" ca="1" si="96"/>
        <v>171.86794742064839</v>
      </c>
      <c r="CM188" s="205">
        <f t="shared" ca="1" si="97"/>
        <v>163.54303912999586</v>
      </c>
      <c r="CP188" s="180">
        <v>2028</v>
      </c>
      <c r="CQ188" s="22">
        <v>14</v>
      </c>
      <c r="CR188" s="198">
        <f t="shared" ca="1" si="98"/>
        <v>165.91081760415338</v>
      </c>
      <c r="CS188" s="186">
        <f t="shared" ca="1" si="99"/>
        <v>1.0090833858715689</v>
      </c>
      <c r="CT188" s="205">
        <f t="shared" ca="1" si="100"/>
        <v>167.41784958071938</v>
      </c>
      <c r="CZ188" s="164" t="b">
        <f t="shared" si="77"/>
        <v>1</v>
      </c>
      <c r="DA188" s="165" t="b">
        <f t="shared" si="77"/>
        <v>1</v>
      </c>
      <c r="DB188" s="166" t="b">
        <f t="shared" si="77"/>
        <v>1</v>
      </c>
      <c r="DC188" s="164">
        <f t="shared" si="78"/>
        <v>16</v>
      </c>
      <c r="DD188" s="166">
        <f t="shared" si="79"/>
        <v>142.57801967279173</v>
      </c>
      <c r="DE188" s="164">
        <f t="shared" si="80"/>
        <v>16</v>
      </c>
      <c r="DF188" s="166">
        <f t="shared" si="81"/>
        <v>167.17686117845426</v>
      </c>
      <c r="DG188" s="164">
        <f t="shared" si="82"/>
        <v>16</v>
      </c>
      <c r="DH188" s="166">
        <f t="shared" si="83"/>
        <v>191.77570268411679</v>
      </c>
      <c r="DI188" s="164">
        <f>IFERROR(INDEX(DC$170:DC$218,_xlfn.AGGREGATE(15,6,(ROW(DC$170:DC$218)-ROW(DC$170)+1)/(DC$170:DC$218&lt;&gt;""),ROWS(DI$1:DI19))),"")</f>
        <v>16</v>
      </c>
      <c r="DJ188" s="165">
        <f>IFERROR(INDEX(DD$170:DD$218,_xlfn.AGGREGATE(15,6,(ROW(DD$170:DD$218)-ROW(DD$170)+1)/(DD$170:DD$218&lt;&gt;""),ROWS(DJ$1:DJ19))),"")</f>
        <v>142.57801967279173</v>
      </c>
      <c r="DK188" s="166">
        <f t="shared" si="84"/>
        <v>188</v>
      </c>
      <c r="DL188" s="164">
        <f>IFERROR(INDEX(DE$170:DE$218,_xlfn.AGGREGATE(15,6,(ROW(DE$170:DE$218)-ROW(DE$170)+1)/(DE$170:DE$218&lt;&gt;""),ROWS(DL$1:DL19))),"")</f>
        <v>16</v>
      </c>
      <c r="DM188" s="165">
        <f>IFERROR(INDEX(DF$170:DF$218,_xlfn.AGGREGATE(15,6,(ROW(DF$170:DF$218)-ROW(DF$170)+1)/(DF$170:DF$218&lt;&gt;""),ROWS(DM$1:DM19))),"")</f>
        <v>167.17686117845426</v>
      </c>
      <c r="DN188" s="166">
        <f t="shared" si="85"/>
        <v>188</v>
      </c>
      <c r="DO188" s="164">
        <f>IFERROR(INDEX(DG$170:DG$218,_xlfn.AGGREGATE(15,6,(ROW(DG$170:DG$218)-ROW(DG$170)+1)/(DG$170:DG$218&lt;&gt;""),ROWS(DO$1:DO19))),"")</f>
        <v>16</v>
      </c>
      <c r="DP188" s="165">
        <f>IFERROR(INDEX(DH$170:DH$218,_xlfn.AGGREGATE(15,6,(ROW(DH$170:DH$218)-ROW(DH$170)+1)/(DH$170:DH$218&lt;&gt;""),ROWS(DP$1:DP19))),"")</f>
        <v>191.77570268411679</v>
      </c>
      <c r="DQ188" s="166">
        <f t="shared" si="86"/>
        <v>188</v>
      </c>
      <c r="DV188" s="145">
        <v>2033</v>
      </c>
      <c r="DW188" s="235">
        <f t="shared" ca="1" si="70"/>
        <v>165.20082480048995</v>
      </c>
    </row>
    <row r="189" spans="1:135" ht="13.8" x14ac:dyDescent="0.45">
      <c r="A189" s="211" t="str">
        <f>$A$65</f>
        <v>Maximum Cases</v>
      </c>
      <c r="B189" s="128">
        <v>2031</v>
      </c>
      <c r="C189" s="953">
        <v>199.03333333333336</v>
      </c>
      <c r="D189" s="944">
        <v>141.47962117139656</v>
      </c>
      <c r="E189" s="945"/>
      <c r="F189" s="1039"/>
      <c r="G189" s="981"/>
      <c r="H189" s="1040"/>
      <c r="I189" s="1112">
        <v>159.51470588235296</v>
      </c>
      <c r="J189" s="247"/>
      <c r="K189" s="245"/>
      <c r="L189" s="246"/>
      <c r="M189" s="245"/>
      <c r="N189" s="29" t="s">
        <v>119</v>
      </c>
      <c r="O189" s="120"/>
      <c r="P189" s="120"/>
      <c r="Q189" s="120"/>
      <c r="R189" s="29">
        <v>17</v>
      </c>
      <c r="S189" s="238">
        <f t="shared" si="71"/>
        <v>141.47962117139656</v>
      </c>
      <c r="T189" s="238">
        <f t="shared" si="72"/>
        <v>199.03333333333336</v>
      </c>
      <c r="U189" s="238">
        <f t="shared" si="73"/>
        <v>24.035658647933637</v>
      </c>
      <c r="W189" s="238">
        <f t="shared" si="74"/>
        <v>142.64022814776064</v>
      </c>
      <c r="X189" s="238">
        <f t="shared" si="75"/>
        <v>166.67588679569428</v>
      </c>
      <c r="Y189" s="238">
        <f t="shared" si="76"/>
        <v>190.71154544362793</v>
      </c>
      <c r="AA189" s="1133">
        <v>141.47962117139659</v>
      </c>
      <c r="AB189" s="1133">
        <v>170.25647725236496</v>
      </c>
      <c r="AC189" s="1133">
        <v>199.03333333333333</v>
      </c>
      <c r="AD189" s="89"/>
      <c r="AE189" s="89"/>
      <c r="AF189" s="89"/>
      <c r="AG189" s="89"/>
      <c r="AH189" s="89"/>
      <c r="AI189" s="89"/>
      <c r="AJ189" s="89"/>
      <c r="AK189" s="89"/>
      <c r="AL189" s="89"/>
      <c r="AM189" s="89"/>
      <c r="AN189" s="89"/>
      <c r="BR189" s="180">
        <v>2029</v>
      </c>
      <c r="BS189" s="22">
        <v>15</v>
      </c>
      <c r="BT189" s="181">
        <f t="shared" si="87"/>
        <v>1.8113777081853006</v>
      </c>
      <c r="BU189" s="182">
        <f t="shared" si="88"/>
        <v>165.83678644767548</v>
      </c>
      <c r="BV189" s="205">
        <f t="shared" si="89"/>
        <v>167.64816415586077</v>
      </c>
      <c r="BY189" s="180">
        <v>2029</v>
      </c>
      <c r="BZ189" s="22">
        <v>15</v>
      </c>
      <c r="CA189" s="198">
        <f t="shared" ca="1" si="90"/>
        <v>2.895415360477521</v>
      </c>
      <c r="CB189" s="198">
        <f t="shared" ca="1" si="91"/>
        <v>-6.3591212830400003</v>
      </c>
      <c r="CC189" s="186">
        <f t="shared" ca="1" si="102"/>
        <v>169.20462893781897</v>
      </c>
      <c r="CD189" s="205">
        <f t="shared" ca="1" si="92"/>
        <v>165.7409230152565</v>
      </c>
      <c r="CG189" s="180">
        <v>2029</v>
      </c>
      <c r="CH189" s="22">
        <v>15</v>
      </c>
      <c r="CI189" s="198">
        <f t="shared" ca="1" si="93"/>
        <v>-4.2487709772874638</v>
      </c>
      <c r="CJ189" s="198">
        <f t="shared" ca="1" si="94"/>
        <v>20.315376367356123</v>
      </c>
      <c r="CK189" s="198">
        <f t="shared" ca="1" si="95"/>
        <v>-24.1794109331119</v>
      </c>
      <c r="CL189" s="186">
        <f t="shared" ca="1" si="96"/>
        <v>171.86794742064839</v>
      </c>
      <c r="CM189" s="205">
        <f t="shared" ca="1" si="97"/>
        <v>163.75514187760515</v>
      </c>
      <c r="CP189" s="180">
        <v>2029</v>
      </c>
      <c r="CQ189" s="22">
        <v>15</v>
      </c>
      <c r="CR189" s="198">
        <f t="shared" ca="1" si="98"/>
        <v>165.91081760415338</v>
      </c>
      <c r="CS189" s="186">
        <f t="shared" ca="1" si="99"/>
        <v>1.0097353475002711</v>
      </c>
      <c r="CT189" s="205">
        <f t="shared" ca="1" si="100"/>
        <v>167.52601706758389</v>
      </c>
      <c r="CZ189" s="164" t="b">
        <f t="shared" si="77"/>
        <v>1</v>
      </c>
      <c r="DA189" s="165" t="b">
        <f t="shared" si="77"/>
        <v>1</v>
      </c>
      <c r="DB189" s="166" t="b">
        <f t="shared" si="77"/>
        <v>1</v>
      </c>
      <c r="DC189" s="164">
        <f t="shared" si="78"/>
        <v>17</v>
      </c>
      <c r="DD189" s="166">
        <f t="shared" si="79"/>
        <v>142.64022814776064</v>
      </c>
      <c r="DE189" s="164">
        <f t="shared" si="80"/>
        <v>17</v>
      </c>
      <c r="DF189" s="166">
        <f t="shared" si="81"/>
        <v>166.67588679569428</v>
      </c>
      <c r="DG189" s="164">
        <f t="shared" si="82"/>
        <v>17</v>
      </c>
      <c r="DH189" s="166">
        <f t="shared" si="83"/>
        <v>190.71154544362793</v>
      </c>
      <c r="DI189" s="164">
        <f>IFERROR(INDEX(DC$170:DC$218,_xlfn.AGGREGATE(15,6,(ROW(DC$170:DC$218)-ROW(DC$170)+1)/(DC$170:DC$218&lt;&gt;""),ROWS(DI$1:DI20))),"")</f>
        <v>17</v>
      </c>
      <c r="DJ189" s="165">
        <f>IFERROR(INDEX(DD$170:DD$218,_xlfn.AGGREGATE(15,6,(ROW(DD$170:DD$218)-ROW(DD$170)+1)/(DD$170:DD$218&lt;&gt;""),ROWS(DJ$1:DJ20))),"")</f>
        <v>142.64022814776064</v>
      </c>
      <c r="DK189" s="166">
        <f t="shared" si="84"/>
        <v>189</v>
      </c>
      <c r="DL189" s="164">
        <f>IFERROR(INDEX(DE$170:DE$218,_xlfn.AGGREGATE(15,6,(ROW(DE$170:DE$218)-ROW(DE$170)+1)/(DE$170:DE$218&lt;&gt;""),ROWS(DL$1:DL20))),"")</f>
        <v>17</v>
      </c>
      <c r="DM189" s="165">
        <f>IFERROR(INDEX(DF$170:DF$218,_xlfn.AGGREGATE(15,6,(ROW(DF$170:DF$218)-ROW(DF$170)+1)/(DF$170:DF$218&lt;&gt;""),ROWS(DM$1:DM20))),"")</f>
        <v>166.67588679569428</v>
      </c>
      <c r="DN189" s="166">
        <f t="shared" si="85"/>
        <v>189</v>
      </c>
      <c r="DO189" s="164">
        <f>IFERROR(INDEX(DG$170:DG$218,_xlfn.AGGREGATE(15,6,(ROW(DG$170:DG$218)-ROW(DG$170)+1)/(DG$170:DG$218&lt;&gt;""),ROWS(DO$1:DO20))),"")</f>
        <v>17</v>
      </c>
      <c r="DP189" s="165">
        <f>IFERROR(INDEX(DH$170:DH$218,_xlfn.AGGREGATE(15,6,(ROW(DH$170:DH$218)-ROW(DH$170)+1)/(DH$170:DH$218&lt;&gt;""),ROWS(DP$1:DP20))),"")</f>
        <v>190.71154544362793</v>
      </c>
      <c r="DQ189" s="166">
        <f t="shared" si="86"/>
        <v>189</v>
      </c>
      <c r="DV189" s="145">
        <v>2034</v>
      </c>
      <c r="DW189" s="235">
        <f t="shared" ca="1" si="70"/>
        <v>165.67379666119163</v>
      </c>
    </row>
    <row r="190" spans="1:135" ht="13.8" x14ac:dyDescent="0.45">
      <c r="B190" s="128">
        <v>2032</v>
      </c>
      <c r="C190" s="953">
        <v>200.33333333333334</v>
      </c>
      <c r="D190" s="944">
        <v>142.44818369868574</v>
      </c>
      <c r="E190" s="945"/>
      <c r="F190" s="1039"/>
      <c r="G190" s="981"/>
      <c r="H190" s="1040"/>
      <c r="I190" s="1112">
        <v>158.2823529411765</v>
      </c>
      <c r="J190" s="247"/>
      <c r="K190" s="245"/>
      <c r="L190" s="246"/>
      <c r="M190" s="245"/>
      <c r="N190" s="29" t="s">
        <v>119</v>
      </c>
      <c r="O190" s="120"/>
      <c r="P190" s="120"/>
      <c r="Q190" s="120"/>
      <c r="R190" s="29">
        <v>18</v>
      </c>
      <c r="S190" s="238">
        <f t="shared" si="71"/>
        <v>142.44818369868574</v>
      </c>
      <c r="T190" s="238">
        <f t="shared" si="72"/>
        <v>200.33333333333334</v>
      </c>
      <c r="U190" s="238">
        <f t="shared" si="73"/>
        <v>24.426070807340484</v>
      </c>
      <c r="W190" s="238">
        <f t="shared" si="74"/>
        <v>142.59521918372471</v>
      </c>
      <c r="X190" s="238">
        <f t="shared" si="75"/>
        <v>167.0212899910652</v>
      </c>
      <c r="Y190" s="238">
        <f t="shared" si="76"/>
        <v>191.4473607984057</v>
      </c>
      <c r="AA190" s="1133">
        <v>142.44818369868585</v>
      </c>
      <c r="AB190" s="1133">
        <v>171.39075851600956</v>
      </c>
      <c r="AC190" s="1133">
        <v>200.33333333333326</v>
      </c>
      <c r="AD190" s="89"/>
      <c r="AE190" s="89"/>
      <c r="AF190" s="89"/>
      <c r="AG190" s="89"/>
      <c r="AH190" s="89"/>
      <c r="AI190" s="89"/>
      <c r="AJ190" s="89"/>
      <c r="AK190" s="89"/>
      <c r="AL190" s="89"/>
      <c r="AM190" s="89"/>
      <c r="AN190" s="89"/>
      <c r="BR190" s="180">
        <v>2030</v>
      </c>
      <c r="BS190" s="22">
        <v>16</v>
      </c>
      <c r="BT190" s="181">
        <f t="shared" si="87"/>
        <v>1.9321362220643208</v>
      </c>
      <c r="BU190" s="182">
        <f t="shared" si="88"/>
        <v>165.83678644767548</v>
      </c>
      <c r="BV190" s="205">
        <f t="shared" si="89"/>
        <v>167.76892266973979</v>
      </c>
      <c r="BY190" s="180">
        <v>2030</v>
      </c>
      <c r="BZ190" s="22">
        <v>16</v>
      </c>
      <c r="CA190" s="198">
        <f t="shared" ca="1" si="90"/>
        <v>3.2943392545877574</v>
      </c>
      <c r="CB190" s="198">
        <f t="shared" ca="1" si="91"/>
        <v>-6.7830627019093335</v>
      </c>
      <c r="CC190" s="186">
        <f t="shared" ca="1" si="102"/>
        <v>169.20462893781897</v>
      </c>
      <c r="CD190" s="205">
        <f t="shared" ca="1" si="92"/>
        <v>165.71590549049739</v>
      </c>
      <c r="CG190" s="180">
        <v>2030</v>
      </c>
      <c r="CH190" s="22">
        <v>16</v>
      </c>
      <c r="CI190" s="198">
        <f t="shared" ca="1" si="93"/>
        <v>-5.1564343475465044</v>
      </c>
      <c r="CJ190" s="198">
        <f t="shared" ca="1" si="94"/>
        <v>23.114383777969632</v>
      </c>
      <c r="CK190" s="198">
        <f t="shared" ca="1" si="95"/>
        <v>-25.791371661986027</v>
      </c>
      <c r="CL190" s="186">
        <f t="shared" ca="1" si="96"/>
        <v>171.86794742064839</v>
      </c>
      <c r="CM190" s="205">
        <f t="shared" ca="1" si="97"/>
        <v>164.03452518908549</v>
      </c>
      <c r="CP190" s="180">
        <v>2030</v>
      </c>
      <c r="CQ190" s="22">
        <v>16</v>
      </c>
      <c r="CR190" s="198">
        <f t="shared" ca="1" si="98"/>
        <v>165.91081760415338</v>
      </c>
      <c r="CS190" s="186">
        <f t="shared" ca="1" si="99"/>
        <v>1.0103877303567639</v>
      </c>
      <c r="CT190" s="205">
        <f t="shared" ca="1" si="100"/>
        <v>167.63425444069557</v>
      </c>
      <c r="CZ190" s="164" t="b">
        <f t="shared" si="77"/>
        <v>1</v>
      </c>
      <c r="DA190" s="165" t="b">
        <f t="shared" si="77"/>
        <v>1</v>
      </c>
      <c r="DB190" s="166" t="b">
        <f t="shared" si="77"/>
        <v>1</v>
      </c>
      <c r="DC190" s="164">
        <f t="shared" si="78"/>
        <v>18</v>
      </c>
      <c r="DD190" s="166">
        <f t="shared" si="79"/>
        <v>142.59521918372471</v>
      </c>
      <c r="DE190" s="164">
        <f t="shared" si="80"/>
        <v>18</v>
      </c>
      <c r="DF190" s="166">
        <f t="shared" si="81"/>
        <v>167.0212899910652</v>
      </c>
      <c r="DG190" s="164">
        <f t="shared" si="82"/>
        <v>18</v>
      </c>
      <c r="DH190" s="166">
        <f t="shared" si="83"/>
        <v>191.4473607984057</v>
      </c>
      <c r="DI190" s="164">
        <f>IFERROR(INDEX(DC$170:DC$218,_xlfn.AGGREGATE(15,6,(ROW(DC$170:DC$218)-ROW(DC$170)+1)/(DC$170:DC$218&lt;&gt;""),ROWS(DI$1:DI21))),"")</f>
        <v>18</v>
      </c>
      <c r="DJ190" s="165">
        <f>IFERROR(INDEX(DD$170:DD$218,_xlfn.AGGREGATE(15,6,(ROW(DD$170:DD$218)-ROW(DD$170)+1)/(DD$170:DD$218&lt;&gt;""),ROWS(DJ$1:DJ21))),"")</f>
        <v>142.59521918372471</v>
      </c>
      <c r="DK190" s="166">
        <f t="shared" si="84"/>
        <v>190</v>
      </c>
      <c r="DL190" s="164">
        <f>IFERROR(INDEX(DE$170:DE$218,_xlfn.AGGREGATE(15,6,(ROW(DE$170:DE$218)-ROW(DE$170)+1)/(DE$170:DE$218&lt;&gt;""),ROWS(DL$1:DL21))),"")</f>
        <v>18</v>
      </c>
      <c r="DM190" s="165">
        <f>IFERROR(INDEX(DF$170:DF$218,_xlfn.AGGREGATE(15,6,(ROW(DF$170:DF$218)-ROW(DF$170)+1)/(DF$170:DF$218&lt;&gt;""),ROWS(DM$1:DM21))),"")</f>
        <v>167.0212899910652</v>
      </c>
      <c r="DN190" s="166">
        <f t="shared" si="85"/>
        <v>190</v>
      </c>
      <c r="DO190" s="164">
        <f>IFERROR(INDEX(DG$170:DG$218,_xlfn.AGGREGATE(15,6,(ROW(DG$170:DG$218)-ROW(DG$170)+1)/(DG$170:DG$218&lt;&gt;""),ROWS(DO$1:DO21))),"")</f>
        <v>18</v>
      </c>
      <c r="DP190" s="165">
        <f>IFERROR(INDEX(DH$170:DH$218,_xlfn.AGGREGATE(15,6,(ROW(DH$170:DH$218)-ROW(DH$170)+1)/(DH$170:DH$218&lt;&gt;""),ROWS(DP$1:DP21))),"")</f>
        <v>191.4473607984057</v>
      </c>
      <c r="DQ190" s="166">
        <f t="shared" si="86"/>
        <v>190</v>
      </c>
      <c r="DV190" s="145">
        <v>2035</v>
      </c>
      <c r="DW190" s="235">
        <f t="shared" ca="1" si="70"/>
        <v>166.17628223263293</v>
      </c>
    </row>
    <row r="191" spans="1:135" ht="13.8" x14ac:dyDescent="0.45">
      <c r="B191" s="128">
        <v>2033</v>
      </c>
      <c r="C191" s="953">
        <v>201.63333333333335</v>
      </c>
      <c r="D191" s="944">
        <v>143.32671985253569</v>
      </c>
      <c r="E191" s="945"/>
      <c r="F191" s="1039"/>
      <c r="G191" s="981"/>
      <c r="H191" s="1040"/>
      <c r="I191" s="1112">
        <v>157.05000000000001</v>
      </c>
      <c r="J191" s="247"/>
      <c r="K191" s="245"/>
      <c r="L191" s="246"/>
      <c r="M191" s="245"/>
      <c r="N191" s="29" t="s">
        <v>119</v>
      </c>
      <c r="O191" s="120"/>
      <c r="P191" s="120"/>
      <c r="Q191" s="120"/>
      <c r="R191" s="29">
        <v>19</v>
      </c>
      <c r="S191" s="238">
        <f t="shared" si="71"/>
        <v>143.32671985253569</v>
      </c>
      <c r="T191" s="238">
        <f t="shared" si="72"/>
        <v>201.63333333333335</v>
      </c>
      <c r="U191" s="238">
        <f t="shared" si="73"/>
        <v>24.890121210177664</v>
      </c>
      <c r="W191" s="238">
        <f t="shared" si="74"/>
        <v>142.44656318511201</v>
      </c>
      <c r="X191" s="238">
        <f t="shared" si="75"/>
        <v>167.33668439528967</v>
      </c>
      <c r="Y191" s="238">
        <f t="shared" si="76"/>
        <v>192.22680560546732</v>
      </c>
      <c r="AA191" s="1133">
        <v>143.32671985253563</v>
      </c>
      <c r="AB191" s="1133">
        <v>172.48002659293451</v>
      </c>
      <c r="AC191" s="1133">
        <v>201.63333333333338</v>
      </c>
      <c r="AD191" s="89"/>
      <c r="AE191" s="89"/>
      <c r="AF191" s="89"/>
      <c r="AG191" s="89"/>
      <c r="AH191" s="89"/>
      <c r="AI191" s="89"/>
      <c r="AJ191" s="89"/>
      <c r="AK191" s="89"/>
      <c r="AL191" s="89"/>
      <c r="AM191" s="89"/>
      <c r="AN191" s="89"/>
      <c r="BR191" s="180">
        <v>2031</v>
      </c>
      <c r="BS191" s="22">
        <v>17</v>
      </c>
      <c r="BT191" s="181">
        <f t="shared" si="87"/>
        <v>2.0528947359433407</v>
      </c>
      <c r="BU191" s="182">
        <f t="shared" si="88"/>
        <v>165.83678644767548</v>
      </c>
      <c r="BV191" s="205">
        <f t="shared" si="89"/>
        <v>167.88968118361882</v>
      </c>
      <c r="BY191" s="180">
        <v>2031</v>
      </c>
      <c r="BZ191" s="22">
        <v>17</v>
      </c>
      <c r="CA191" s="198">
        <f t="shared" ca="1" si="90"/>
        <v>3.7190001741244605</v>
      </c>
      <c r="CB191" s="198">
        <f t="shared" ca="1" si="91"/>
        <v>-7.2070041207786666</v>
      </c>
      <c r="CC191" s="186">
        <f t="shared" ca="1" si="102"/>
        <v>169.20462893781897</v>
      </c>
      <c r="CD191" s="205">
        <f t="shared" ca="1" si="92"/>
        <v>165.71662499116476</v>
      </c>
      <c r="CG191" s="180">
        <v>2031</v>
      </c>
      <c r="CH191" s="22">
        <v>17</v>
      </c>
      <c r="CI191" s="198">
        <f t="shared" ca="1" si="93"/>
        <v>-6.1849516478261659</v>
      </c>
      <c r="CJ191" s="198">
        <f t="shared" ca="1" si="94"/>
        <v>26.093972311848528</v>
      </c>
      <c r="CK191" s="198">
        <f t="shared" ca="1" si="95"/>
        <v>-27.403332390860154</v>
      </c>
      <c r="CL191" s="186">
        <f t="shared" ca="1" si="96"/>
        <v>171.86794742064839</v>
      </c>
      <c r="CM191" s="205">
        <f t="shared" ca="1" si="97"/>
        <v>164.3736356938106</v>
      </c>
      <c r="CP191" s="180">
        <v>2031</v>
      </c>
      <c r="CQ191" s="22">
        <v>17</v>
      </c>
      <c r="CR191" s="198">
        <f t="shared" ca="1" si="98"/>
        <v>165.91081760415338</v>
      </c>
      <c r="CS191" s="186">
        <f t="shared" ca="1" si="99"/>
        <v>1.0110405347131999</v>
      </c>
      <c r="CT191" s="205">
        <f t="shared" ca="1" si="100"/>
        <v>167.74256174520741</v>
      </c>
      <c r="CZ191" s="164" t="b">
        <f t="shared" si="77"/>
        <v>1</v>
      </c>
      <c r="DA191" s="165" t="b">
        <f t="shared" si="77"/>
        <v>1</v>
      </c>
      <c r="DB191" s="166" t="b">
        <f t="shared" si="77"/>
        <v>1</v>
      </c>
      <c r="DC191" s="164">
        <f t="shared" si="78"/>
        <v>19</v>
      </c>
      <c r="DD191" s="166">
        <f t="shared" si="79"/>
        <v>142.44656318511201</v>
      </c>
      <c r="DE191" s="164">
        <f t="shared" si="80"/>
        <v>19</v>
      </c>
      <c r="DF191" s="166">
        <f t="shared" si="81"/>
        <v>167.33668439528967</v>
      </c>
      <c r="DG191" s="164">
        <f t="shared" si="82"/>
        <v>19</v>
      </c>
      <c r="DH191" s="166">
        <f t="shared" si="83"/>
        <v>192.22680560546732</v>
      </c>
      <c r="DI191" s="164">
        <f>IFERROR(INDEX(DC$170:DC$218,_xlfn.AGGREGATE(15,6,(ROW(DC$170:DC$218)-ROW(DC$170)+1)/(DC$170:DC$218&lt;&gt;""),ROWS(DI$1:DI22))),"")</f>
        <v>19</v>
      </c>
      <c r="DJ191" s="165">
        <f>IFERROR(INDEX(DD$170:DD$218,_xlfn.AGGREGATE(15,6,(ROW(DD$170:DD$218)-ROW(DD$170)+1)/(DD$170:DD$218&lt;&gt;""),ROWS(DJ$1:DJ22))),"")</f>
        <v>142.44656318511201</v>
      </c>
      <c r="DK191" s="166">
        <f t="shared" si="84"/>
        <v>191</v>
      </c>
      <c r="DL191" s="164">
        <f>IFERROR(INDEX(DE$170:DE$218,_xlfn.AGGREGATE(15,6,(ROW(DE$170:DE$218)-ROW(DE$170)+1)/(DE$170:DE$218&lt;&gt;""),ROWS(DL$1:DL22))),"")</f>
        <v>19</v>
      </c>
      <c r="DM191" s="165">
        <f>IFERROR(INDEX(DF$170:DF$218,_xlfn.AGGREGATE(15,6,(ROW(DF$170:DF$218)-ROW(DF$170)+1)/(DF$170:DF$218&lt;&gt;""),ROWS(DM$1:DM22))),"")</f>
        <v>167.33668439528967</v>
      </c>
      <c r="DN191" s="166">
        <f t="shared" si="85"/>
        <v>191</v>
      </c>
      <c r="DO191" s="164">
        <f>IFERROR(INDEX(DG$170:DG$218,_xlfn.AGGREGATE(15,6,(ROW(DG$170:DG$218)-ROW(DG$170)+1)/(DG$170:DG$218&lt;&gt;""),ROWS(DO$1:DO22))),"")</f>
        <v>19</v>
      </c>
      <c r="DP191" s="165">
        <f>IFERROR(INDEX(DH$170:DH$218,_xlfn.AGGREGATE(15,6,(ROW(DH$170:DH$218)-ROW(DH$170)+1)/(DH$170:DH$218&lt;&gt;""),ROWS(DP$1:DP22))),"")</f>
        <v>192.22680560546732</v>
      </c>
      <c r="DQ191" s="166">
        <f t="shared" si="86"/>
        <v>191</v>
      </c>
      <c r="DV191" s="145">
        <v>2036</v>
      </c>
      <c r="DW191" s="235">
        <f t="shared" ca="1" si="70"/>
        <v>166.70072814418754</v>
      </c>
    </row>
    <row r="192" spans="1:135" ht="13.8" x14ac:dyDescent="0.45">
      <c r="B192" s="128">
        <v>2034</v>
      </c>
      <c r="C192" s="953">
        <v>202.93333333333334</v>
      </c>
      <c r="D192" s="944">
        <v>144.12699148794184</v>
      </c>
      <c r="E192" s="945"/>
      <c r="F192" s="1039"/>
      <c r="G192" s="981"/>
      <c r="H192" s="1040"/>
      <c r="I192" s="1112">
        <v>155.81764705882355</v>
      </c>
      <c r="J192" s="247"/>
      <c r="K192" s="245"/>
      <c r="L192" s="246"/>
      <c r="M192" s="245"/>
      <c r="N192" s="29" t="s">
        <v>119</v>
      </c>
      <c r="O192" s="120"/>
      <c r="P192" s="120"/>
      <c r="Q192" s="120"/>
      <c r="R192" s="29">
        <v>20</v>
      </c>
      <c r="S192" s="238">
        <f t="shared" si="71"/>
        <v>144.12699148794184</v>
      </c>
      <c r="T192" s="238">
        <f t="shared" si="72"/>
        <v>202.93333333333334</v>
      </c>
      <c r="U192" s="238">
        <f t="shared" si="73"/>
        <v>25.418158780315803</v>
      </c>
      <c r="W192" s="238">
        <f t="shared" si="74"/>
        <v>142.20783184638378</v>
      </c>
      <c r="X192" s="238">
        <f t="shared" si="75"/>
        <v>167.62599062669958</v>
      </c>
      <c r="Y192" s="238">
        <f t="shared" si="76"/>
        <v>193.04414940701537</v>
      </c>
      <c r="AA192" s="1133">
        <v>144.12699148794186</v>
      </c>
      <c r="AB192" s="1133">
        <v>173.53016241063759</v>
      </c>
      <c r="AC192" s="1133">
        <v>202.93333333333331</v>
      </c>
      <c r="AD192" s="89"/>
      <c r="AE192" s="89"/>
      <c r="AF192" s="89"/>
      <c r="AG192" s="89"/>
      <c r="AH192" s="89"/>
      <c r="AI192" s="89"/>
      <c r="AJ192" s="89"/>
      <c r="AK192" s="89"/>
      <c r="AL192" s="89"/>
      <c r="AM192" s="89"/>
      <c r="AN192" s="89"/>
      <c r="BR192" s="180">
        <v>2032</v>
      </c>
      <c r="BS192" s="22">
        <v>18</v>
      </c>
      <c r="BT192" s="181">
        <f t="shared" si="87"/>
        <v>2.1736532498223609</v>
      </c>
      <c r="BU192" s="182">
        <f t="shared" si="88"/>
        <v>165.83678644767548</v>
      </c>
      <c r="BV192" s="205">
        <f t="shared" si="89"/>
        <v>168.01043969749784</v>
      </c>
      <c r="BY192" s="180">
        <v>2032</v>
      </c>
      <c r="BZ192" s="22">
        <v>18</v>
      </c>
      <c r="CA192" s="198">
        <f t="shared" ca="1" si="90"/>
        <v>4.1693981190876306</v>
      </c>
      <c r="CB192" s="198">
        <f t="shared" ca="1" si="91"/>
        <v>-7.6309455396479997</v>
      </c>
      <c r="CC192" s="186">
        <f t="shared" ca="1" si="102"/>
        <v>169.20462893781897</v>
      </c>
      <c r="CD192" s="205">
        <f t="shared" ca="1" si="92"/>
        <v>165.74308151725859</v>
      </c>
      <c r="CG192" s="180">
        <v>2032</v>
      </c>
      <c r="CH192" s="22">
        <v>18</v>
      </c>
      <c r="CI192" s="198">
        <f t="shared" ca="1" si="93"/>
        <v>-7.3418762487527376</v>
      </c>
      <c r="CJ192" s="198">
        <f t="shared" ca="1" si="94"/>
        <v>29.254141968992815</v>
      </c>
      <c r="CK192" s="198">
        <f t="shared" ca="1" si="95"/>
        <v>-29.015293119734281</v>
      </c>
      <c r="CL192" s="186">
        <f t="shared" ca="1" si="96"/>
        <v>171.86794742064839</v>
      </c>
      <c r="CM192" s="205">
        <f t="shared" ca="1" si="97"/>
        <v>164.76492002115418</v>
      </c>
      <c r="CP192" s="180">
        <v>2032</v>
      </c>
      <c r="CQ192" s="22">
        <v>18</v>
      </c>
      <c r="CR192" s="198">
        <f t="shared" ca="1" si="98"/>
        <v>165.91081760415338</v>
      </c>
      <c r="CS192" s="186">
        <f t="shared" ca="1" si="99"/>
        <v>1.011693760841907</v>
      </c>
      <c r="CT192" s="205">
        <f t="shared" ca="1" si="100"/>
        <v>167.8509390263016</v>
      </c>
      <c r="CZ192" s="164" t="b">
        <f t="shared" si="77"/>
        <v>1</v>
      </c>
      <c r="DA192" s="165" t="b">
        <f t="shared" si="77"/>
        <v>1</v>
      </c>
      <c r="DB192" s="166" t="b">
        <f t="shared" si="77"/>
        <v>1</v>
      </c>
      <c r="DC192" s="164">
        <f t="shared" si="78"/>
        <v>20</v>
      </c>
      <c r="DD192" s="166">
        <f t="shared" si="79"/>
        <v>142.20783184638378</v>
      </c>
      <c r="DE192" s="164">
        <f t="shared" si="80"/>
        <v>20</v>
      </c>
      <c r="DF192" s="166">
        <f t="shared" si="81"/>
        <v>167.62599062669958</v>
      </c>
      <c r="DG192" s="164">
        <f t="shared" si="82"/>
        <v>20</v>
      </c>
      <c r="DH192" s="166">
        <f t="shared" si="83"/>
        <v>193.04414940701537</v>
      </c>
      <c r="DI192" s="164">
        <f>IFERROR(INDEX(DC$170:DC$218,_xlfn.AGGREGATE(15,6,(ROW(DC$170:DC$218)-ROW(DC$170)+1)/(DC$170:DC$218&lt;&gt;""),ROWS(DI$1:DI23))),"")</f>
        <v>20</v>
      </c>
      <c r="DJ192" s="165">
        <f>IFERROR(INDEX(DD$170:DD$218,_xlfn.AGGREGATE(15,6,(ROW(DD$170:DD$218)-ROW(DD$170)+1)/(DD$170:DD$218&lt;&gt;""),ROWS(DJ$1:DJ23))),"")</f>
        <v>142.20783184638378</v>
      </c>
      <c r="DK192" s="166">
        <f t="shared" si="84"/>
        <v>192</v>
      </c>
      <c r="DL192" s="164">
        <f>IFERROR(INDEX(DE$170:DE$218,_xlfn.AGGREGATE(15,6,(ROW(DE$170:DE$218)-ROW(DE$170)+1)/(DE$170:DE$218&lt;&gt;""),ROWS(DL$1:DL23))),"")</f>
        <v>20</v>
      </c>
      <c r="DM192" s="165">
        <f>IFERROR(INDEX(DF$170:DF$218,_xlfn.AGGREGATE(15,6,(ROW(DF$170:DF$218)-ROW(DF$170)+1)/(DF$170:DF$218&lt;&gt;""),ROWS(DM$1:DM23))),"")</f>
        <v>167.62599062669958</v>
      </c>
      <c r="DN192" s="166">
        <f t="shared" si="85"/>
        <v>192</v>
      </c>
      <c r="DO192" s="164">
        <f>IFERROR(INDEX(DG$170:DG$218,_xlfn.AGGREGATE(15,6,(ROW(DG$170:DG$218)-ROW(DG$170)+1)/(DG$170:DG$218&lt;&gt;""),ROWS(DO$1:DO23))),"")</f>
        <v>20</v>
      </c>
      <c r="DP192" s="165">
        <f>IFERROR(INDEX(DH$170:DH$218,_xlfn.AGGREGATE(15,6,(ROW(DH$170:DH$218)-ROW(DH$170)+1)/(DH$170:DH$218&lt;&gt;""),ROWS(DP$1:DP23))),"")</f>
        <v>193.04414940701537</v>
      </c>
      <c r="DQ192" s="166">
        <f t="shared" si="86"/>
        <v>192</v>
      </c>
      <c r="DV192" s="145">
        <v>2037</v>
      </c>
      <c r="DW192" s="235">
        <f t="shared" ca="1" si="70"/>
        <v>167.2395810252292</v>
      </c>
    </row>
    <row r="193" spans="2:135" ht="13.8" x14ac:dyDescent="0.45">
      <c r="B193" s="128">
        <v>2035</v>
      </c>
      <c r="C193" s="953">
        <v>204.23333333333335</v>
      </c>
      <c r="D193" s="944">
        <v>144.57191689354096</v>
      </c>
      <c r="E193" s="945"/>
      <c r="F193" s="1039"/>
      <c r="G193" s="981"/>
      <c r="H193" s="1040"/>
      <c r="I193" s="1112">
        <v>154.58529411764709</v>
      </c>
      <c r="J193" s="247"/>
      <c r="K193" s="245"/>
      <c r="L193" s="246"/>
      <c r="M193" s="245"/>
      <c r="N193" s="29" t="s">
        <v>119</v>
      </c>
      <c r="O193" s="120"/>
      <c r="P193" s="120"/>
      <c r="Q193" s="120"/>
      <c r="R193" s="29">
        <v>21</v>
      </c>
      <c r="S193" s="238">
        <f t="shared" si="71"/>
        <v>144.57191689354096</v>
      </c>
      <c r="T193" s="238">
        <f t="shared" si="72"/>
        <v>204.23333333333335</v>
      </c>
      <c r="U193" s="238">
        <f t="shared" si="73"/>
        <v>26.086778543496578</v>
      </c>
      <c r="W193" s="238">
        <f t="shared" si="74"/>
        <v>141.71006957134387</v>
      </c>
      <c r="X193" s="238">
        <f t="shared" si="75"/>
        <v>167.79684811484046</v>
      </c>
      <c r="Y193" s="238">
        <f t="shared" si="76"/>
        <v>193.88362665833705</v>
      </c>
      <c r="AA193" s="1133">
        <v>144.57191689354099</v>
      </c>
      <c r="AB193" s="1133">
        <v>174.40262511343715</v>
      </c>
      <c r="AC193" s="1133">
        <v>204.23333333333332</v>
      </c>
      <c r="AD193" s="89"/>
      <c r="AE193" s="89"/>
      <c r="AF193" s="89"/>
      <c r="AG193" s="89"/>
      <c r="AH193" s="89"/>
      <c r="AI193" s="89"/>
      <c r="AJ193" s="89"/>
      <c r="AK193" s="89"/>
      <c r="AL193" s="89"/>
      <c r="AM193" s="89"/>
      <c r="AN193" s="89"/>
      <c r="BR193" s="180">
        <v>2033</v>
      </c>
      <c r="BS193" s="22">
        <v>19</v>
      </c>
      <c r="BT193" s="181">
        <f t="shared" si="87"/>
        <v>2.294411763701381</v>
      </c>
      <c r="BU193" s="182">
        <f t="shared" si="88"/>
        <v>165.83678644767548</v>
      </c>
      <c r="BV193" s="205">
        <f t="shared" si="89"/>
        <v>168.13119821137687</v>
      </c>
      <c r="BY193" s="180">
        <v>2033</v>
      </c>
      <c r="BZ193" s="22">
        <v>19</v>
      </c>
      <c r="CA193" s="198">
        <f t="shared" ca="1" si="90"/>
        <v>4.6455330894772677</v>
      </c>
      <c r="CB193" s="198">
        <f t="shared" ca="1" si="91"/>
        <v>-8.0548869585173328</v>
      </c>
      <c r="CC193" s="186">
        <f t="shared" ca="1" si="102"/>
        <v>169.20462893781897</v>
      </c>
      <c r="CD193" s="205">
        <f t="shared" ca="1" si="92"/>
        <v>165.79527506877889</v>
      </c>
      <c r="CG193" s="180">
        <v>2033</v>
      </c>
      <c r="CH193" s="22">
        <v>19</v>
      </c>
      <c r="CI193" s="198">
        <f t="shared" ca="1" si="93"/>
        <v>-8.6347615209525088</v>
      </c>
      <c r="CJ193" s="198">
        <f t="shared" ca="1" si="94"/>
        <v>32.59489274940249</v>
      </c>
      <c r="CK193" s="198">
        <f t="shared" ca="1" si="95"/>
        <v>-30.627253848608408</v>
      </c>
      <c r="CL193" s="186">
        <f t="shared" ca="1" si="96"/>
        <v>171.86794742064839</v>
      </c>
      <c r="CM193" s="205">
        <f t="shared" ca="1" si="97"/>
        <v>165.20082480048995</v>
      </c>
      <c r="CP193" s="180">
        <v>2033</v>
      </c>
      <c r="CQ193" s="22">
        <v>19</v>
      </c>
      <c r="CR193" s="198">
        <f t="shared" ca="1" si="98"/>
        <v>165.91081760415338</v>
      </c>
      <c r="CS193" s="186">
        <f t="shared" ca="1" si="99"/>
        <v>1.0123474090153892</v>
      </c>
      <c r="CT193" s="205">
        <f t="shared" ca="1" si="100"/>
        <v>167.9593863291895</v>
      </c>
      <c r="CZ193" s="164" t="b">
        <f t="shared" si="77"/>
        <v>1</v>
      </c>
      <c r="DA193" s="165" t="b">
        <f t="shared" si="77"/>
        <v>1</v>
      </c>
      <c r="DB193" s="166" t="b">
        <f t="shared" si="77"/>
        <v>1</v>
      </c>
      <c r="DC193" s="164">
        <f t="shared" si="78"/>
        <v>21</v>
      </c>
      <c r="DD193" s="166">
        <f t="shared" si="79"/>
        <v>141.71006957134387</v>
      </c>
      <c r="DE193" s="164">
        <f t="shared" si="80"/>
        <v>21</v>
      </c>
      <c r="DF193" s="166">
        <f t="shared" si="81"/>
        <v>167.79684811484046</v>
      </c>
      <c r="DG193" s="164">
        <f t="shared" si="82"/>
        <v>21</v>
      </c>
      <c r="DH193" s="166">
        <f t="shared" si="83"/>
        <v>193.88362665833705</v>
      </c>
      <c r="DI193" s="164">
        <f>IFERROR(INDEX(DC$170:DC$218,_xlfn.AGGREGATE(15,6,(ROW(DC$170:DC$218)-ROW(DC$170)+1)/(DC$170:DC$218&lt;&gt;""),ROWS(DI$1:DI24))),"")</f>
        <v>21</v>
      </c>
      <c r="DJ193" s="165">
        <f>IFERROR(INDEX(DD$170:DD$218,_xlfn.AGGREGATE(15,6,(ROW(DD$170:DD$218)-ROW(DD$170)+1)/(DD$170:DD$218&lt;&gt;""),ROWS(DJ$1:DJ24))),"")</f>
        <v>141.71006957134387</v>
      </c>
      <c r="DK193" s="166">
        <f t="shared" si="84"/>
        <v>193</v>
      </c>
      <c r="DL193" s="164">
        <f>IFERROR(INDEX(DE$170:DE$218,_xlfn.AGGREGATE(15,6,(ROW(DE$170:DE$218)-ROW(DE$170)+1)/(DE$170:DE$218&lt;&gt;""),ROWS(DL$1:DL24))),"")</f>
        <v>21</v>
      </c>
      <c r="DM193" s="165">
        <f>IFERROR(INDEX(DF$170:DF$218,_xlfn.AGGREGATE(15,6,(ROW(DF$170:DF$218)-ROW(DF$170)+1)/(DF$170:DF$218&lt;&gt;""),ROWS(DM$1:DM24))),"")</f>
        <v>167.79684811484046</v>
      </c>
      <c r="DN193" s="166">
        <f t="shared" si="85"/>
        <v>193</v>
      </c>
      <c r="DO193" s="164">
        <f>IFERROR(INDEX(DG$170:DG$218,_xlfn.AGGREGATE(15,6,(ROW(DG$170:DG$218)-ROW(DG$170)+1)/(DG$170:DG$218&lt;&gt;""),ROWS(DO$1:DO24))),"")</f>
        <v>21</v>
      </c>
      <c r="DP193" s="165">
        <f>IFERROR(INDEX(DH$170:DH$218,_xlfn.AGGREGATE(15,6,(ROW(DH$170:DH$218)-ROW(DH$170)+1)/(DH$170:DH$218&lt;&gt;""),ROWS(DP$1:DP24))),"")</f>
        <v>193.88362665833705</v>
      </c>
      <c r="DQ193" s="166">
        <f t="shared" si="86"/>
        <v>193</v>
      </c>
      <c r="DV193" s="145">
        <v>2038</v>
      </c>
      <c r="DW193" s="235">
        <f t="shared" ca="1" si="70"/>
        <v>167.78528750513158</v>
      </c>
    </row>
    <row r="194" spans="2:135" ht="13.8" x14ac:dyDescent="0.45">
      <c r="B194" s="128">
        <v>2036</v>
      </c>
      <c r="C194" s="953">
        <v>205.53333333333336</v>
      </c>
      <c r="D194" s="944">
        <v>145.53402610057523</v>
      </c>
      <c r="E194" s="945"/>
      <c r="F194" s="1039"/>
      <c r="G194" s="981"/>
      <c r="H194" s="1040"/>
      <c r="I194" s="1112">
        <v>153.35294117647061</v>
      </c>
      <c r="J194" s="247"/>
      <c r="K194" s="245"/>
      <c r="L194" s="246"/>
      <c r="M194" s="245"/>
      <c r="N194" s="29" t="s">
        <v>119</v>
      </c>
      <c r="O194" s="120"/>
      <c r="P194" s="120"/>
      <c r="Q194" s="120"/>
      <c r="R194" s="29">
        <v>22</v>
      </c>
      <c r="S194" s="238">
        <f t="shared" si="71"/>
        <v>145.53402610057523</v>
      </c>
      <c r="T194" s="238">
        <f t="shared" si="72"/>
        <v>205.53333333333336</v>
      </c>
      <c r="U194" s="238">
        <f t="shared" si="73"/>
        <v>26.632990458825432</v>
      </c>
      <c r="W194" s="238">
        <f t="shared" si="74"/>
        <v>141.50710974463431</v>
      </c>
      <c r="X194" s="238">
        <f t="shared" si="75"/>
        <v>168.14010020345972</v>
      </c>
      <c r="Y194" s="238">
        <f t="shared" si="76"/>
        <v>194.77309066228514</v>
      </c>
      <c r="AA194" s="1133">
        <v>145.53402610057515</v>
      </c>
      <c r="AB194" s="1133">
        <v>175.53367971695428</v>
      </c>
      <c r="AC194" s="1133">
        <v>205.53333333333342</v>
      </c>
      <c r="AD194" s="89"/>
      <c r="AE194" s="89"/>
      <c r="AF194" s="89"/>
      <c r="AG194" s="89"/>
      <c r="AH194" s="89"/>
      <c r="AI194" s="89"/>
      <c r="AJ194" s="89"/>
      <c r="AK194" s="89"/>
      <c r="AL194" s="89"/>
      <c r="AM194" s="89"/>
      <c r="AN194" s="89"/>
      <c r="BR194" s="180">
        <v>2034</v>
      </c>
      <c r="BS194" s="22">
        <v>20</v>
      </c>
      <c r="BT194" s="181">
        <f t="shared" si="87"/>
        <v>2.4151702775804011</v>
      </c>
      <c r="BU194" s="182">
        <f t="shared" si="88"/>
        <v>165.83678644767548</v>
      </c>
      <c r="BV194" s="205">
        <f t="shared" si="89"/>
        <v>168.25195672525587</v>
      </c>
      <c r="BY194" s="180">
        <v>2034</v>
      </c>
      <c r="BZ194" s="22">
        <v>20</v>
      </c>
      <c r="CA194" s="198">
        <f t="shared" ca="1" si="90"/>
        <v>5.1474050852933706</v>
      </c>
      <c r="CB194" s="198">
        <f t="shared" ca="1" si="91"/>
        <v>-8.4788283773866659</v>
      </c>
      <c r="CC194" s="186">
        <f t="shared" ca="1" si="102"/>
        <v>169.20462893781897</v>
      </c>
      <c r="CD194" s="205">
        <f t="shared" ca="1" si="92"/>
        <v>165.87320564572568</v>
      </c>
      <c r="CG194" s="180">
        <v>2034</v>
      </c>
      <c r="CH194" s="22">
        <v>20</v>
      </c>
      <c r="CI194" s="198">
        <f t="shared" ca="1" si="93"/>
        <v>-10.071160835051767</v>
      </c>
      <c r="CJ194" s="198">
        <f t="shared" ca="1" si="94"/>
        <v>36.116224653077552</v>
      </c>
      <c r="CK194" s="198">
        <f t="shared" ca="1" si="95"/>
        <v>-32.239214577482535</v>
      </c>
      <c r="CL194" s="186">
        <f t="shared" ca="1" si="96"/>
        <v>171.86794742064839</v>
      </c>
      <c r="CM194" s="205">
        <f t="shared" ca="1" si="97"/>
        <v>165.67379666119163</v>
      </c>
      <c r="CP194" s="180">
        <v>2034</v>
      </c>
      <c r="CQ194" s="22">
        <v>20</v>
      </c>
      <c r="CR194" s="198">
        <f t="shared" ca="1" si="98"/>
        <v>165.91081760415338</v>
      </c>
      <c r="CS194" s="186">
        <f t="shared" ca="1" si="99"/>
        <v>1.0130014795063269</v>
      </c>
      <c r="CT194" s="205">
        <f t="shared" ca="1" si="100"/>
        <v>168.06790369911172</v>
      </c>
      <c r="CZ194" s="164" t="b">
        <f t="shared" si="77"/>
        <v>1</v>
      </c>
      <c r="DA194" s="165" t="b">
        <f t="shared" si="77"/>
        <v>1</v>
      </c>
      <c r="DB194" s="166" t="b">
        <f t="shared" si="77"/>
        <v>1</v>
      </c>
      <c r="DC194" s="164">
        <f t="shared" si="78"/>
        <v>22</v>
      </c>
      <c r="DD194" s="166">
        <f t="shared" si="79"/>
        <v>141.50710974463431</v>
      </c>
      <c r="DE194" s="164">
        <f t="shared" si="80"/>
        <v>22</v>
      </c>
      <c r="DF194" s="166">
        <f t="shared" si="81"/>
        <v>168.14010020345972</v>
      </c>
      <c r="DG194" s="164">
        <f t="shared" si="82"/>
        <v>22</v>
      </c>
      <c r="DH194" s="166">
        <f t="shared" si="83"/>
        <v>194.77309066228514</v>
      </c>
      <c r="DI194" s="164">
        <f>IFERROR(INDEX(DC$170:DC$218,_xlfn.AGGREGATE(15,6,(ROW(DC$170:DC$218)-ROW(DC$170)+1)/(DC$170:DC$218&lt;&gt;""),ROWS(DI$1:DI25))),"")</f>
        <v>22</v>
      </c>
      <c r="DJ194" s="165">
        <f>IFERROR(INDEX(DD$170:DD$218,_xlfn.AGGREGATE(15,6,(ROW(DD$170:DD$218)-ROW(DD$170)+1)/(DD$170:DD$218&lt;&gt;""),ROWS(DJ$1:DJ25))),"")</f>
        <v>141.50710974463431</v>
      </c>
      <c r="DK194" s="166">
        <f t="shared" si="84"/>
        <v>194</v>
      </c>
      <c r="DL194" s="164">
        <f>IFERROR(INDEX(DE$170:DE$218,_xlfn.AGGREGATE(15,6,(ROW(DE$170:DE$218)-ROW(DE$170)+1)/(DE$170:DE$218&lt;&gt;""),ROWS(DL$1:DL25))),"")</f>
        <v>22</v>
      </c>
      <c r="DM194" s="165">
        <f>IFERROR(INDEX(DF$170:DF$218,_xlfn.AGGREGATE(15,6,(ROW(DF$170:DF$218)-ROW(DF$170)+1)/(DF$170:DF$218&lt;&gt;""),ROWS(DM$1:DM25))),"")</f>
        <v>168.14010020345972</v>
      </c>
      <c r="DN194" s="166">
        <f t="shared" si="85"/>
        <v>194</v>
      </c>
      <c r="DO194" s="164">
        <f>IFERROR(INDEX(DG$170:DG$218,_xlfn.AGGREGATE(15,6,(ROW(DG$170:DG$218)-ROW(DG$170)+1)/(DG$170:DG$218&lt;&gt;""),ROWS(DO$1:DO25))),"")</f>
        <v>22</v>
      </c>
      <c r="DP194" s="165">
        <f>IFERROR(INDEX(DH$170:DH$218,_xlfn.AGGREGATE(15,6,(ROW(DH$170:DH$218)-ROW(DH$170)+1)/(DH$170:DH$218&lt;&gt;""),ROWS(DP$1:DP25))),"")</f>
        <v>194.77309066228514</v>
      </c>
      <c r="DQ194" s="166">
        <f t="shared" si="86"/>
        <v>194</v>
      </c>
      <c r="DV194" s="145">
        <v>2039</v>
      </c>
      <c r="DW194" s="235">
        <f t="shared" ca="1" si="70"/>
        <v>168.33029421326842</v>
      </c>
    </row>
    <row r="195" spans="2:135" ht="13.8" x14ac:dyDescent="0.45">
      <c r="B195" s="128">
        <v>2037</v>
      </c>
      <c r="C195" s="953">
        <v>206.83333333333334</v>
      </c>
      <c r="D195" s="944">
        <v>146.1568727069662</v>
      </c>
      <c r="E195" s="945"/>
      <c r="F195" s="1039"/>
      <c r="G195" s="981"/>
      <c r="H195" s="1040"/>
      <c r="I195" s="1112">
        <v>152.12058823529415</v>
      </c>
      <c r="J195" s="247"/>
      <c r="K195" s="245"/>
      <c r="L195" s="246"/>
      <c r="M195" s="245"/>
      <c r="N195" s="29" t="s">
        <v>119</v>
      </c>
      <c r="O195" s="120"/>
      <c r="P195" s="120"/>
      <c r="Q195" s="120"/>
      <c r="R195" s="29">
        <v>23</v>
      </c>
      <c r="S195" s="238">
        <f t="shared" si="71"/>
        <v>146.1568727069662</v>
      </c>
      <c r="T195" s="238">
        <f t="shared" si="72"/>
        <v>206.83333333333334</v>
      </c>
      <c r="U195" s="238">
        <f t="shared" si="73"/>
        <v>27.306253360334335</v>
      </c>
      <c r="W195" s="238">
        <f t="shared" si="74"/>
        <v>141.0640113981969</v>
      </c>
      <c r="X195" s="238">
        <f t="shared" si="75"/>
        <v>168.37026475853122</v>
      </c>
      <c r="Y195" s="238">
        <f t="shared" si="76"/>
        <v>195.67651811886554</v>
      </c>
      <c r="AA195" s="1133">
        <v>146.15687270696623</v>
      </c>
      <c r="AB195" s="1133">
        <v>176.49510302014977</v>
      </c>
      <c r="AC195" s="1133">
        <v>206.83333333333331</v>
      </c>
      <c r="AD195" s="89"/>
      <c r="AE195" s="89"/>
      <c r="AF195" s="89"/>
      <c r="AG195" s="89"/>
      <c r="AH195" s="89"/>
      <c r="AI195" s="89"/>
      <c r="AJ195" s="89"/>
      <c r="AK195" s="89"/>
      <c r="AL195" s="89"/>
      <c r="AM195" s="89"/>
      <c r="AN195" s="89"/>
      <c r="BR195" s="180">
        <v>2035</v>
      </c>
      <c r="BS195" s="22">
        <v>21</v>
      </c>
      <c r="BT195" s="181">
        <f t="shared" si="87"/>
        <v>2.5359287914594209</v>
      </c>
      <c r="BU195" s="182">
        <f t="shared" si="88"/>
        <v>165.83678644767548</v>
      </c>
      <c r="BV195" s="205">
        <f t="shared" si="89"/>
        <v>168.37271523913489</v>
      </c>
      <c r="BY195" s="180">
        <v>2035</v>
      </c>
      <c r="BZ195" s="22">
        <v>21</v>
      </c>
      <c r="CA195" s="198">
        <f t="shared" ca="1" si="90"/>
        <v>5.6750141065359418</v>
      </c>
      <c r="CB195" s="198">
        <f t="shared" ca="1" si="91"/>
        <v>-8.9027697962560008</v>
      </c>
      <c r="CC195" s="186">
        <f t="shared" ca="1" si="102"/>
        <v>169.20462893781897</v>
      </c>
      <c r="CD195" s="205">
        <f t="shared" ca="1" si="92"/>
        <v>165.97687324809891</v>
      </c>
      <c r="CG195" s="180">
        <v>2035</v>
      </c>
      <c r="CH195" s="22">
        <v>21</v>
      </c>
      <c r="CI195" s="198">
        <f t="shared" ca="1" si="93"/>
        <v>-11.658627561676802</v>
      </c>
      <c r="CJ195" s="198">
        <f t="shared" ca="1" si="94"/>
        <v>39.818137680017998</v>
      </c>
      <c r="CK195" s="198">
        <f t="shared" ca="1" si="95"/>
        <v>-33.851175306356659</v>
      </c>
      <c r="CL195" s="186">
        <f t="shared" ca="1" si="96"/>
        <v>171.86794742064839</v>
      </c>
      <c r="CM195" s="205">
        <f t="shared" ca="1" si="97"/>
        <v>166.17628223263293</v>
      </c>
      <c r="CP195" s="180">
        <v>2035</v>
      </c>
      <c r="CQ195" s="22">
        <v>21</v>
      </c>
      <c r="CR195" s="198">
        <f t="shared" ca="1" si="98"/>
        <v>165.91081760415338</v>
      </c>
      <c r="CS195" s="186">
        <f t="shared" ca="1" si="99"/>
        <v>1.0136559725875762</v>
      </c>
      <c r="CT195" s="205">
        <f t="shared" ca="1" si="100"/>
        <v>168.17649118133806</v>
      </c>
      <c r="CZ195" s="164" t="b">
        <f t="shared" si="77"/>
        <v>1</v>
      </c>
      <c r="DA195" s="165" t="b">
        <f t="shared" si="77"/>
        <v>1</v>
      </c>
      <c r="DB195" s="166" t="b">
        <f t="shared" si="77"/>
        <v>1</v>
      </c>
      <c r="DC195" s="164">
        <f t="shared" si="78"/>
        <v>23</v>
      </c>
      <c r="DD195" s="166">
        <f t="shared" si="79"/>
        <v>141.0640113981969</v>
      </c>
      <c r="DE195" s="164">
        <f t="shared" si="80"/>
        <v>23</v>
      </c>
      <c r="DF195" s="166">
        <f t="shared" si="81"/>
        <v>168.37026475853122</v>
      </c>
      <c r="DG195" s="164">
        <f t="shared" si="82"/>
        <v>23</v>
      </c>
      <c r="DH195" s="166">
        <f t="shared" si="83"/>
        <v>195.67651811886554</v>
      </c>
      <c r="DI195" s="164">
        <f>IFERROR(INDEX(DC$170:DC$218,_xlfn.AGGREGATE(15,6,(ROW(DC$170:DC$218)-ROW(DC$170)+1)/(DC$170:DC$218&lt;&gt;""),ROWS(DI$1:DI26))),"")</f>
        <v>23</v>
      </c>
      <c r="DJ195" s="165">
        <f>IFERROR(INDEX(DD$170:DD$218,_xlfn.AGGREGATE(15,6,(ROW(DD$170:DD$218)-ROW(DD$170)+1)/(DD$170:DD$218&lt;&gt;""),ROWS(DJ$1:DJ26))),"")</f>
        <v>141.0640113981969</v>
      </c>
      <c r="DK195" s="166">
        <f t="shared" si="84"/>
        <v>195</v>
      </c>
      <c r="DL195" s="164">
        <f>IFERROR(INDEX(DE$170:DE$218,_xlfn.AGGREGATE(15,6,(ROW(DE$170:DE$218)-ROW(DE$170)+1)/(DE$170:DE$218&lt;&gt;""),ROWS(DL$1:DL26))),"")</f>
        <v>23</v>
      </c>
      <c r="DM195" s="165">
        <f>IFERROR(INDEX(DF$170:DF$218,_xlfn.AGGREGATE(15,6,(ROW(DF$170:DF$218)-ROW(DF$170)+1)/(DF$170:DF$218&lt;&gt;""),ROWS(DM$1:DM26))),"")</f>
        <v>168.37026475853122</v>
      </c>
      <c r="DN195" s="166">
        <f t="shared" si="85"/>
        <v>195</v>
      </c>
      <c r="DO195" s="164">
        <f>IFERROR(INDEX(DG$170:DG$218,_xlfn.AGGREGATE(15,6,(ROW(DG$170:DG$218)-ROW(DG$170)+1)/(DG$170:DG$218&lt;&gt;""),ROWS(DO$1:DO26))),"")</f>
        <v>23</v>
      </c>
      <c r="DP195" s="165">
        <f>IFERROR(INDEX(DH$170:DH$218,_xlfn.AGGREGATE(15,6,(ROW(DH$170:DH$218)-ROW(DH$170)+1)/(DH$170:DH$218&lt;&gt;""),ROWS(DP$1:DP26))),"")</f>
        <v>195.67651811886554</v>
      </c>
      <c r="DQ195" s="166">
        <f t="shared" si="86"/>
        <v>195</v>
      </c>
      <c r="DV195" s="145">
        <v>2040</v>
      </c>
      <c r="DW195" s="235">
        <f t="shared" ca="1" si="70"/>
        <v>168.86704777901343</v>
      </c>
    </row>
    <row r="196" spans="2:135" ht="13.8" x14ac:dyDescent="0.45">
      <c r="B196" s="128">
        <v>2038</v>
      </c>
      <c r="C196" s="953">
        <v>208.13333333333335</v>
      </c>
      <c r="D196" s="944">
        <v>146.73652617575218</v>
      </c>
      <c r="E196" s="945"/>
      <c r="F196" s="1039"/>
      <c r="G196" s="981"/>
      <c r="H196" s="1040"/>
      <c r="I196" s="1112">
        <v>150.88823529411766</v>
      </c>
      <c r="J196" s="247"/>
      <c r="K196" s="245"/>
      <c r="L196" s="246"/>
      <c r="M196" s="245"/>
      <c r="N196" s="29" t="s">
        <v>119</v>
      </c>
      <c r="O196" s="120"/>
      <c r="P196" s="120"/>
      <c r="Q196" s="120"/>
      <c r="R196" s="29">
        <v>24</v>
      </c>
      <c r="S196" s="238">
        <f t="shared" si="71"/>
        <v>146.73652617575218</v>
      </c>
      <c r="T196" s="238">
        <f t="shared" si="72"/>
        <v>208.13333333333335</v>
      </c>
      <c r="U196" s="238">
        <f t="shared" si="73"/>
        <v>28.015483550803598</v>
      </c>
      <c r="W196" s="238">
        <f t="shared" si="74"/>
        <v>140.57054805026414</v>
      </c>
      <c r="X196" s="238">
        <f t="shared" si="75"/>
        <v>168.58603160106773</v>
      </c>
      <c r="Y196" s="238">
        <f t="shared" si="76"/>
        <v>196.60151515187133</v>
      </c>
      <c r="AA196" s="1133">
        <v>146.73652617575212</v>
      </c>
      <c r="AB196" s="1133">
        <v>177.43492975454276</v>
      </c>
      <c r="AC196" s="1133">
        <v>208.13333333333341</v>
      </c>
      <c r="AD196" s="89"/>
      <c r="AE196" s="89"/>
      <c r="AF196" s="89"/>
      <c r="AG196" s="89"/>
      <c r="AH196" s="89"/>
      <c r="AI196" s="89"/>
      <c r="AJ196" s="89"/>
      <c r="AK196" s="89"/>
      <c r="AL196" s="89"/>
      <c r="AM196" s="89"/>
      <c r="AN196" s="89"/>
      <c r="BR196" s="180">
        <v>2036</v>
      </c>
      <c r="BS196" s="22">
        <v>22</v>
      </c>
      <c r="BT196" s="181">
        <f t="shared" si="87"/>
        <v>2.656687305338441</v>
      </c>
      <c r="BU196" s="182">
        <f t="shared" si="88"/>
        <v>165.83678644767548</v>
      </c>
      <c r="BV196" s="205">
        <f t="shared" si="89"/>
        <v>168.49347375301392</v>
      </c>
      <c r="BY196" s="180">
        <v>2036</v>
      </c>
      <c r="BZ196" s="22">
        <v>22</v>
      </c>
      <c r="CA196" s="198">
        <f t="shared" ca="1" si="90"/>
        <v>6.2283601532049788</v>
      </c>
      <c r="CB196" s="198">
        <f t="shared" ca="1" si="91"/>
        <v>-9.326711215125334</v>
      </c>
      <c r="CC196" s="186">
        <f t="shared" ca="1" si="102"/>
        <v>169.20462893781897</v>
      </c>
      <c r="CD196" s="205">
        <f t="shared" ca="1" si="92"/>
        <v>166.1062778758986</v>
      </c>
      <c r="CG196" s="180">
        <v>2036</v>
      </c>
      <c r="CH196" s="22">
        <v>22</v>
      </c>
      <c r="CI196" s="198">
        <f t="shared" ca="1" si="93"/>
        <v>-13.404715071453902</v>
      </c>
      <c r="CJ196" s="198">
        <f t="shared" ca="1" si="94"/>
        <v>43.700631830223834</v>
      </c>
      <c r="CK196" s="198">
        <f t="shared" ca="1" si="95"/>
        <v>-35.463136035230789</v>
      </c>
      <c r="CL196" s="186">
        <f t="shared" ca="1" si="96"/>
        <v>171.86794742064839</v>
      </c>
      <c r="CM196" s="205">
        <f t="shared" ca="1" si="97"/>
        <v>166.70072814418754</v>
      </c>
      <c r="CP196" s="180">
        <v>2036</v>
      </c>
      <c r="CQ196" s="22">
        <v>22</v>
      </c>
      <c r="CR196" s="198">
        <f t="shared" ca="1" si="98"/>
        <v>165.91081760415338</v>
      </c>
      <c r="CS196" s="186">
        <f t="shared" ca="1" si="99"/>
        <v>1.0143108885321699</v>
      </c>
      <c r="CT196" s="205">
        <f t="shared" ca="1" si="100"/>
        <v>168.28514882116758</v>
      </c>
      <c r="CZ196" s="164" t="b">
        <f t="shared" si="77"/>
        <v>1</v>
      </c>
      <c r="DA196" s="165" t="b">
        <f t="shared" si="77"/>
        <v>1</v>
      </c>
      <c r="DB196" s="166" t="b">
        <f t="shared" si="77"/>
        <v>1</v>
      </c>
      <c r="DC196" s="164">
        <f t="shared" si="78"/>
        <v>24</v>
      </c>
      <c r="DD196" s="166">
        <f t="shared" si="79"/>
        <v>140.57054805026414</v>
      </c>
      <c r="DE196" s="164">
        <f t="shared" si="80"/>
        <v>24</v>
      </c>
      <c r="DF196" s="166">
        <f t="shared" si="81"/>
        <v>168.58603160106773</v>
      </c>
      <c r="DG196" s="164">
        <f t="shared" si="82"/>
        <v>24</v>
      </c>
      <c r="DH196" s="166">
        <f t="shared" si="83"/>
        <v>196.60151515187133</v>
      </c>
      <c r="DI196" s="164">
        <f>IFERROR(INDEX(DC$170:DC$218,_xlfn.AGGREGATE(15,6,(ROW(DC$170:DC$218)-ROW(DC$170)+1)/(DC$170:DC$218&lt;&gt;""),ROWS(DI$1:DI27))),"")</f>
        <v>24</v>
      </c>
      <c r="DJ196" s="165">
        <f>IFERROR(INDEX(DD$170:DD$218,_xlfn.AGGREGATE(15,6,(ROW(DD$170:DD$218)-ROW(DD$170)+1)/(DD$170:DD$218&lt;&gt;""),ROWS(DJ$1:DJ27))),"")</f>
        <v>140.57054805026414</v>
      </c>
      <c r="DK196" s="166">
        <f t="shared" si="84"/>
        <v>196</v>
      </c>
      <c r="DL196" s="164">
        <f>IFERROR(INDEX(DE$170:DE$218,_xlfn.AGGREGATE(15,6,(ROW(DE$170:DE$218)-ROW(DE$170)+1)/(DE$170:DE$218&lt;&gt;""),ROWS(DL$1:DL27))),"")</f>
        <v>24</v>
      </c>
      <c r="DM196" s="165">
        <f>IFERROR(INDEX(DF$170:DF$218,_xlfn.AGGREGATE(15,6,(ROW(DF$170:DF$218)-ROW(DF$170)+1)/(DF$170:DF$218&lt;&gt;""),ROWS(DM$1:DM27))),"")</f>
        <v>168.58603160106773</v>
      </c>
      <c r="DN196" s="166">
        <f t="shared" si="85"/>
        <v>196</v>
      </c>
      <c r="DO196" s="164">
        <f>IFERROR(INDEX(DG$170:DG$218,_xlfn.AGGREGATE(15,6,(ROW(DG$170:DG$218)-ROW(DG$170)+1)/(DG$170:DG$218&lt;&gt;""),ROWS(DO$1:DO27))),"")</f>
        <v>24</v>
      </c>
      <c r="DP196" s="165">
        <f>IFERROR(INDEX(DH$170:DH$218,_xlfn.AGGREGATE(15,6,(ROW(DH$170:DH$218)-ROW(DH$170)+1)/(DH$170:DH$218&lt;&gt;""),ROWS(DP$1:DP27))),"")</f>
        <v>196.60151515187133</v>
      </c>
      <c r="DQ196" s="166">
        <f t="shared" si="86"/>
        <v>196</v>
      </c>
      <c r="DV196" s="145">
        <v>2041</v>
      </c>
      <c r="DW196" s="235">
        <f t="shared" ca="1" si="70"/>
        <v>169.38799483174031</v>
      </c>
    </row>
    <row r="197" spans="2:135" ht="13.8" x14ac:dyDescent="0.45">
      <c r="B197" s="128">
        <v>2039</v>
      </c>
      <c r="C197" s="953">
        <v>209.43333333333334</v>
      </c>
      <c r="D197" s="944">
        <v>147.28068913401398</v>
      </c>
      <c r="E197" s="945"/>
      <c r="F197" s="1039"/>
      <c r="G197" s="981"/>
      <c r="H197" s="1040"/>
      <c r="I197" s="1112">
        <v>149.65588235294121</v>
      </c>
      <c r="J197" s="247"/>
      <c r="K197" s="245"/>
      <c r="L197" s="246"/>
      <c r="M197" s="245"/>
      <c r="N197" s="29" t="s">
        <v>119</v>
      </c>
      <c r="O197" s="120"/>
      <c r="P197" s="120"/>
      <c r="Q197" s="120"/>
      <c r="R197" s="29">
        <v>25</v>
      </c>
      <c r="S197" s="238">
        <f t="shared" si="71"/>
        <v>147.28068913401398</v>
      </c>
      <c r="T197" s="238">
        <f t="shared" si="72"/>
        <v>209.43333333333334</v>
      </c>
      <c r="U197" s="238">
        <f t="shared" si="73"/>
        <v>28.755552834786041</v>
      </c>
      <c r="W197" s="238">
        <f t="shared" si="74"/>
        <v>140.03441543864346</v>
      </c>
      <c r="X197" s="238">
        <f t="shared" si="75"/>
        <v>168.78996827342951</v>
      </c>
      <c r="Y197" s="238">
        <f t="shared" si="76"/>
        <v>197.54552110821555</v>
      </c>
      <c r="AA197" s="1133">
        <v>147.28068913401398</v>
      </c>
      <c r="AB197" s="1133">
        <v>178.35701123367366</v>
      </c>
      <c r="AC197" s="1133">
        <v>209.43333333333334</v>
      </c>
      <c r="AD197" s="89"/>
      <c r="AE197" s="89"/>
      <c r="AF197" s="89"/>
      <c r="AG197" s="89"/>
      <c r="AH197" s="89"/>
      <c r="AI197" s="89"/>
      <c r="AJ197" s="89"/>
      <c r="AK197" s="89"/>
      <c r="AL197" s="89"/>
      <c r="AM197" s="89"/>
      <c r="AN197" s="89"/>
      <c r="BR197" s="180">
        <v>2037</v>
      </c>
      <c r="BS197" s="22">
        <v>23</v>
      </c>
      <c r="BT197" s="181">
        <f t="shared" si="87"/>
        <v>2.7774458192174611</v>
      </c>
      <c r="BU197" s="182">
        <f t="shared" si="88"/>
        <v>165.83678644767548</v>
      </c>
      <c r="BV197" s="205">
        <f t="shared" si="89"/>
        <v>168.61423226689294</v>
      </c>
      <c r="BY197" s="180">
        <v>2037</v>
      </c>
      <c r="BZ197" s="22">
        <v>23</v>
      </c>
      <c r="CA197" s="198">
        <f t="shared" ca="1" si="90"/>
        <v>6.8074432253004833</v>
      </c>
      <c r="CB197" s="198">
        <f t="shared" ca="1" si="91"/>
        <v>-9.7506526339946671</v>
      </c>
      <c r="CC197" s="186">
        <f t="shared" ca="1" si="102"/>
        <v>169.20462893781897</v>
      </c>
      <c r="CD197" s="205">
        <f t="shared" ca="1" si="92"/>
        <v>166.26141952912479</v>
      </c>
      <c r="CG197" s="180">
        <v>2037</v>
      </c>
      <c r="CH197" s="22">
        <v>23</v>
      </c>
      <c r="CI197" s="198">
        <f t="shared" ca="1" si="93"/>
        <v>-15.316976735009355</v>
      </c>
      <c r="CJ197" s="198">
        <f t="shared" ca="1" si="94"/>
        <v>47.763707103695062</v>
      </c>
      <c r="CK197" s="198">
        <f t="shared" ca="1" si="95"/>
        <v>-37.075096764104913</v>
      </c>
      <c r="CL197" s="186">
        <f t="shared" ca="1" si="96"/>
        <v>171.86794742064839</v>
      </c>
      <c r="CM197" s="205">
        <f t="shared" ca="1" si="97"/>
        <v>167.2395810252292</v>
      </c>
      <c r="CP197" s="180">
        <v>2037</v>
      </c>
      <c r="CQ197" s="22">
        <v>23</v>
      </c>
      <c r="CR197" s="198">
        <f t="shared" ca="1" si="98"/>
        <v>165.91081760415338</v>
      </c>
      <c r="CS197" s="186">
        <f t="shared" ca="1" si="99"/>
        <v>1.0149662276133169</v>
      </c>
      <c r="CT197" s="205">
        <f t="shared" ca="1" si="100"/>
        <v>168.39387666392864</v>
      </c>
      <c r="CZ197" s="164" t="b">
        <f t="shared" si="77"/>
        <v>1</v>
      </c>
      <c r="DA197" s="165" t="b">
        <f t="shared" si="77"/>
        <v>1</v>
      </c>
      <c r="DB197" s="166" t="b">
        <f t="shared" si="77"/>
        <v>1</v>
      </c>
      <c r="DC197" s="164">
        <f t="shared" si="78"/>
        <v>25</v>
      </c>
      <c r="DD197" s="166">
        <f t="shared" si="79"/>
        <v>140.03441543864346</v>
      </c>
      <c r="DE197" s="164">
        <f t="shared" si="80"/>
        <v>25</v>
      </c>
      <c r="DF197" s="166">
        <f t="shared" si="81"/>
        <v>168.78996827342951</v>
      </c>
      <c r="DG197" s="164">
        <f t="shared" si="82"/>
        <v>25</v>
      </c>
      <c r="DH197" s="166">
        <f t="shared" si="83"/>
        <v>197.54552110821555</v>
      </c>
      <c r="DI197" s="164">
        <f>IFERROR(INDEX(DC$170:DC$218,_xlfn.AGGREGATE(15,6,(ROW(DC$170:DC$218)-ROW(DC$170)+1)/(DC$170:DC$218&lt;&gt;""),ROWS(DI$1:DI28))),"")</f>
        <v>25</v>
      </c>
      <c r="DJ197" s="165">
        <f>IFERROR(INDEX(DD$170:DD$218,_xlfn.AGGREGATE(15,6,(ROW(DD$170:DD$218)-ROW(DD$170)+1)/(DD$170:DD$218&lt;&gt;""),ROWS(DJ$1:DJ28))),"")</f>
        <v>140.03441543864346</v>
      </c>
      <c r="DK197" s="166">
        <f t="shared" si="84"/>
        <v>197</v>
      </c>
      <c r="DL197" s="164">
        <f>IFERROR(INDEX(DE$170:DE$218,_xlfn.AGGREGATE(15,6,(ROW(DE$170:DE$218)-ROW(DE$170)+1)/(DE$170:DE$218&lt;&gt;""),ROWS(DL$1:DL28))),"")</f>
        <v>25</v>
      </c>
      <c r="DM197" s="165">
        <f>IFERROR(INDEX(DF$170:DF$218,_xlfn.AGGREGATE(15,6,(ROW(DF$170:DF$218)-ROW(DF$170)+1)/(DF$170:DF$218&lt;&gt;""),ROWS(DM$1:DM28))),"")</f>
        <v>168.78996827342951</v>
      </c>
      <c r="DN197" s="166">
        <f t="shared" si="85"/>
        <v>197</v>
      </c>
      <c r="DO197" s="164">
        <f>IFERROR(INDEX(DG$170:DG$218,_xlfn.AGGREGATE(15,6,(ROW(DG$170:DG$218)-ROW(DG$170)+1)/(DG$170:DG$218&lt;&gt;""),ROWS(DO$1:DO28))),"")</f>
        <v>25</v>
      </c>
      <c r="DP197" s="165">
        <f>IFERROR(INDEX(DH$170:DH$218,_xlfn.AGGREGATE(15,6,(ROW(DH$170:DH$218)-ROW(DH$170)+1)/(DH$170:DH$218&lt;&gt;""),ROWS(DP$1:DP28))),"")</f>
        <v>197.54552110821555</v>
      </c>
      <c r="DQ197" s="166">
        <f t="shared" si="86"/>
        <v>197</v>
      </c>
      <c r="DV197" s="145">
        <v>2042</v>
      </c>
      <c r="DW197" s="235">
        <f t="shared" ca="1" si="70"/>
        <v>169.88558200082281</v>
      </c>
    </row>
    <row r="198" spans="2:135" ht="13.8" x14ac:dyDescent="0.45">
      <c r="B198" s="128">
        <v>2040</v>
      </c>
      <c r="C198" s="953">
        <v>210.73333333333335</v>
      </c>
      <c r="D198" s="944">
        <v>147.27581308147904</v>
      </c>
      <c r="E198" s="945"/>
      <c r="F198" s="1039"/>
      <c r="G198" s="981"/>
      <c r="H198" s="1040"/>
      <c r="I198" s="1112">
        <v>148.42352941176472</v>
      </c>
      <c r="J198" s="247"/>
      <c r="K198" s="245"/>
      <c r="L198" s="246"/>
      <c r="M198" s="245"/>
      <c r="N198" s="29" t="s">
        <v>119</v>
      </c>
      <c r="O198" s="120"/>
      <c r="P198" s="120"/>
      <c r="Q198" s="120"/>
      <c r="R198" s="29">
        <v>26</v>
      </c>
      <c r="S198" s="238">
        <f t="shared" si="71"/>
        <v>147.27581308147904</v>
      </c>
      <c r="T198" s="238">
        <f t="shared" si="72"/>
        <v>210.73333333333335</v>
      </c>
      <c r="U198" s="238">
        <f t="shared" si="73"/>
        <v>29.647345382444602</v>
      </c>
      <c r="W198" s="238">
        <f t="shared" si="74"/>
        <v>139.16354655974777</v>
      </c>
      <c r="X198" s="238">
        <f t="shared" si="75"/>
        <v>168.81089194219237</v>
      </c>
      <c r="Y198" s="238">
        <f t="shared" si="76"/>
        <v>198.45823732463697</v>
      </c>
      <c r="AA198" s="1133">
        <v>147.27581308147904</v>
      </c>
      <c r="AB198" s="1133">
        <v>179.0045732074062</v>
      </c>
      <c r="AC198" s="1133">
        <v>210.73333333333335</v>
      </c>
      <c r="AD198" s="89"/>
      <c r="AE198" s="89"/>
      <c r="AF198" s="89"/>
      <c r="AG198" s="89"/>
      <c r="AH198" s="89"/>
      <c r="AI198" s="89"/>
      <c r="AJ198" s="89"/>
      <c r="AK198" s="89"/>
      <c r="AL198" s="89"/>
      <c r="AM198" s="89"/>
      <c r="AN198" s="89"/>
      <c r="BR198" s="180">
        <v>2038</v>
      </c>
      <c r="BS198" s="22">
        <v>24</v>
      </c>
      <c r="BT198" s="181">
        <f t="shared" si="87"/>
        <v>2.8982043330964813</v>
      </c>
      <c r="BU198" s="182">
        <f t="shared" si="88"/>
        <v>165.83678644767548</v>
      </c>
      <c r="BV198" s="205">
        <f t="shared" si="89"/>
        <v>168.73499078077197</v>
      </c>
      <c r="BY198" s="180">
        <v>2038</v>
      </c>
      <c r="BZ198" s="22">
        <v>24</v>
      </c>
      <c r="CA198" s="198">
        <f t="shared" ca="1" si="90"/>
        <v>7.4122633228224544</v>
      </c>
      <c r="CB198" s="198">
        <f t="shared" ca="1" si="91"/>
        <v>-10.174594052864</v>
      </c>
      <c r="CC198" s="186">
        <f t="shared" ca="1" si="102"/>
        <v>169.20462893781897</v>
      </c>
      <c r="CD198" s="205">
        <f t="shared" ca="1" si="92"/>
        <v>166.44229820777741</v>
      </c>
      <c r="CG198" s="180">
        <v>2038</v>
      </c>
      <c r="CH198" s="22">
        <v>24</v>
      </c>
      <c r="CI198" s="198">
        <f t="shared" ca="1" si="93"/>
        <v>-17.402965922969454</v>
      </c>
      <c r="CJ198" s="198">
        <f t="shared" ca="1" si="94"/>
        <v>52.007363500431673</v>
      </c>
      <c r="CK198" s="198">
        <f t="shared" ca="1" si="95"/>
        <v>-38.687057492979037</v>
      </c>
      <c r="CL198" s="186">
        <f t="shared" ca="1" si="96"/>
        <v>171.86794742064839</v>
      </c>
      <c r="CM198" s="205">
        <f t="shared" ca="1" si="97"/>
        <v>167.78528750513158</v>
      </c>
      <c r="CP198" s="180">
        <v>2038</v>
      </c>
      <c r="CQ198" s="22">
        <v>24</v>
      </c>
      <c r="CR198" s="198">
        <f t="shared" ca="1" si="98"/>
        <v>165.91081760415338</v>
      </c>
      <c r="CS198" s="186">
        <f t="shared" ca="1" si="99"/>
        <v>1.0156219901044028</v>
      </c>
      <c r="CT198" s="205">
        <f t="shared" ca="1" si="100"/>
        <v>168.50267475497884</v>
      </c>
      <c r="CZ198" s="164" t="b">
        <f t="shared" si="77"/>
        <v>1</v>
      </c>
      <c r="DA198" s="165" t="b">
        <f t="shared" si="77"/>
        <v>1</v>
      </c>
      <c r="DB198" s="166" t="b">
        <f t="shared" si="77"/>
        <v>1</v>
      </c>
      <c r="DC198" s="164">
        <f t="shared" si="78"/>
        <v>26</v>
      </c>
      <c r="DD198" s="166">
        <f t="shared" si="79"/>
        <v>139.16354655974777</v>
      </c>
      <c r="DE198" s="164">
        <f t="shared" si="80"/>
        <v>26</v>
      </c>
      <c r="DF198" s="166">
        <f t="shared" si="81"/>
        <v>168.81089194219237</v>
      </c>
      <c r="DG198" s="164">
        <f t="shared" si="82"/>
        <v>26</v>
      </c>
      <c r="DH198" s="166">
        <f t="shared" si="83"/>
        <v>198.45823732463697</v>
      </c>
      <c r="DI198" s="164">
        <f>IFERROR(INDEX(DC$170:DC$218,_xlfn.AGGREGATE(15,6,(ROW(DC$170:DC$218)-ROW(DC$170)+1)/(DC$170:DC$218&lt;&gt;""),ROWS(DI$1:DI29))),"")</f>
        <v>26</v>
      </c>
      <c r="DJ198" s="165">
        <f>IFERROR(INDEX(DD$170:DD$218,_xlfn.AGGREGATE(15,6,(ROW(DD$170:DD$218)-ROW(DD$170)+1)/(DD$170:DD$218&lt;&gt;""),ROWS(DJ$1:DJ29))),"")</f>
        <v>139.16354655974777</v>
      </c>
      <c r="DK198" s="166">
        <f t="shared" si="84"/>
        <v>198</v>
      </c>
      <c r="DL198" s="164">
        <f>IFERROR(INDEX(DE$170:DE$218,_xlfn.AGGREGATE(15,6,(ROW(DE$170:DE$218)-ROW(DE$170)+1)/(DE$170:DE$218&lt;&gt;""),ROWS(DL$1:DL29))),"")</f>
        <v>26</v>
      </c>
      <c r="DM198" s="165">
        <f>IFERROR(INDEX(DF$170:DF$218,_xlfn.AGGREGATE(15,6,(ROW(DF$170:DF$218)-ROW(DF$170)+1)/(DF$170:DF$218&lt;&gt;""),ROWS(DM$1:DM29))),"")</f>
        <v>168.81089194219237</v>
      </c>
      <c r="DN198" s="166">
        <f t="shared" si="85"/>
        <v>198</v>
      </c>
      <c r="DO198" s="164">
        <f>IFERROR(INDEX(DG$170:DG$218,_xlfn.AGGREGATE(15,6,(ROW(DG$170:DG$218)-ROW(DG$170)+1)/(DG$170:DG$218&lt;&gt;""),ROWS(DO$1:DO29))),"")</f>
        <v>26</v>
      </c>
      <c r="DP198" s="165">
        <f>IFERROR(INDEX(DH$170:DH$218,_xlfn.AGGREGATE(15,6,(ROW(DH$170:DH$218)-ROW(DH$170)+1)/(DH$170:DH$218&lt;&gt;""),ROWS(DP$1:DP29))),"")</f>
        <v>198.45823732463697</v>
      </c>
      <c r="DQ198" s="166">
        <f t="shared" si="86"/>
        <v>198</v>
      </c>
      <c r="DV198" s="145">
        <v>2043</v>
      </c>
      <c r="DW198" s="235">
        <f t="shared" ca="1" si="70"/>
        <v>170.35225591563457</v>
      </c>
      <c r="EA198" s="55"/>
      <c r="EB198" s="55"/>
      <c r="EC198" s="55"/>
      <c r="ED198" s="55"/>
      <c r="EE198" s="55"/>
    </row>
    <row r="199" spans="2:135" ht="13.8" x14ac:dyDescent="0.45">
      <c r="B199" s="128">
        <v>2041</v>
      </c>
      <c r="C199" s="953">
        <v>212.03333333333336</v>
      </c>
      <c r="D199" s="944">
        <v>148.29200140159796</v>
      </c>
      <c r="E199" s="945"/>
      <c r="F199" s="1039"/>
      <c r="G199" s="981"/>
      <c r="H199" s="1040"/>
      <c r="I199" s="1112">
        <v>147.19117647058826</v>
      </c>
      <c r="J199" s="247"/>
      <c r="K199" s="245"/>
      <c r="L199" s="246"/>
      <c r="M199" s="245"/>
      <c r="N199" s="29" t="s">
        <v>119</v>
      </c>
      <c r="O199" s="120"/>
      <c r="P199" s="120"/>
      <c r="Q199" s="120"/>
      <c r="R199" s="29">
        <v>27</v>
      </c>
      <c r="S199" s="238">
        <f t="shared" si="71"/>
        <v>147.19117647058826</v>
      </c>
      <c r="T199" s="238">
        <f t="shared" si="72"/>
        <v>212.03333333333336</v>
      </c>
      <c r="U199" s="238">
        <f t="shared" si="73"/>
        <v>30.310750785402938</v>
      </c>
      <c r="W199" s="238">
        <f t="shared" si="74"/>
        <v>138.8614196164369</v>
      </c>
      <c r="X199" s="238">
        <f t="shared" si="75"/>
        <v>169.17217040183985</v>
      </c>
      <c r="Y199" s="238">
        <f t="shared" si="76"/>
        <v>199.48292118724279</v>
      </c>
      <c r="AA199" s="1133">
        <v>148.29200140159784</v>
      </c>
      <c r="AB199" s="1133">
        <v>180.16266736746564</v>
      </c>
      <c r="AC199" s="1133">
        <v>212.03333333333345</v>
      </c>
      <c r="AD199" s="89"/>
      <c r="AE199" s="89"/>
      <c r="AF199" s="89"/>
      <c r="AG199" s="89"/>
      <c r="AH199" s="89"/>
      <c r="AI199" s="89"/>
      <c r="AJ199" s="89"/>
      <c r="AK199" s="89"/>
      <c r="AL199" s="89"/>
      <c r="AM199" s="89"/>
      <c r="AN199" s="89"/>
      <c r="BR199" s="180">
        <v>2039</v>
      </c>
      <c r="BS199" s="22">
        <v>25</v>
      </c>
      <c r="BT199" s="181">
        <f t="shared" si="87"/>
        <v>3.0189628469755014</v>
      </c>
      <c r="BU199" s="182">
        <f t="shared" si="88"/>
        <v>165.83678644767548</v>
      </c>
      <c r="BV199" s="205">
        <f t="shared" si="89"/>
        <v>168.85574929465099</v>
      </c>
      <c r="BY199" s="180">
        <v>2039</v>
      </c>
      <c r="BZ199" s="22">
        <v>25</v>
      </c>
      <c r="CA199" s="198">
        <f t="shared" ca="1" si="90"/>
        <v>8.0428204457708929</v>
      </c>
      <c r="CB199" s="198">
        <f t="shared" ca="1" si="91"/>
        <v>-10.598535471733333</v>
      </c>
      <c r="CC199" s="186">
        <f t="shared" ca="1" si="102"/>
        <v>169.20462893781897</v>
      </c>
      <c r="CD199" s="205">
        <f t="shared" ca="1" si="92"/>
        <v>166.64891391185654</v>
      </c>
      <c r="CG199" s="180">
        <v>2039</v>
      </c>
      <c r="CH199" s="22">
        <v>25</v>
      </c>
      <c r="CI199" s="198">
        <f t="shared" ca="1" si="93"/>
        <v>-19.670236005960483</v>
      </c>
      <c r="CJ199" s="198">
        <f t="shared" ca="1" si="94"/>
        <v>56.431601020433675</v>
      </c>
      <c r="CK199" s="198">
        <f t="shared" ca="1" si="95"/>
        <v>-40.299018221853167</v>
      </c>
      <c r="CL199" s="186">
        <f t="shared" ca="1" si="96"/>
        <v>171.86794742064839</v>
      </c>
      <c r="CM199" s="205">
        <f t="shared" ca="1" si="97"/>
        <v>168.33029421326842</v>
      </c>
      <c r="CP199" s="180">
        <v>2039</v>
      </c>
      <c r="CQ199" s="22">
        <v>25</v>
      </c>
      <c r="CR199" s="198">
        <f t="shared" ca="1" si="98"/>
        <v>165.91081760415338</v>
      </c>
      <c r="CS199" s="186">
        <f t="shared" ca="1" si="99"/>
        <v>1.0162781762789896</v>
      </c>
      <c r="CT199" s="205">
        <f t="shared" ca="1" si="100"/>
        <v>168.61154313970508</v>
      </c>
      <c r="CZ199" s="164" t="b">
        <f t="shared" si="77"/>
        <v>1</v>
      </c>
      <c r="DA199" s="165" t="b">
        <f t="shared" si="77"/>
        <v>1</v>
      </c>
      <c r="DB199" s="166" t="b">
        <f t="shared" si="77"/>
        <v>1</v>
      </c>
      <c r="DC199" s="164">
        <f t="shared" si="78"/>
        <v>27</v>
      </c>
      <c r="DD199" s="166">
        <f t="shared" si="79"/>
        <v>138.8614196164369</v>
      </c>
      <c r="DE199" s="164">
        <f t="shared" si="80"/>
        <v>27</v>
      </c>
      <c r="DF199" s="166">
        <f t="shared" si="81"/>
        <v>169.17217040183985</v>
      </c>
      <c r="DG199" s="164">
        <f t="shared" si="82"/>
        <v>27</v>
      </c>
      <c r="DH199" s="166">
        <f t="shared" si="83"/>
        <v>199.48292118724279</v>
      </c>
      <c r="DI199" s="164">
        <f>IFERROR(INDEX(DC$170:DC$218,_xlfn.AGGREGATE(15,6,(ROW(DC$170:DC$218)-ROW(DC$170)+1)/(DC$170:DC$218&lt;&gt;""),ROWS(DI$1:DI30))),"")</f>
        <v>27</v>
      </c>
      <c r="DJ199" s="165">
        <f>IFERROR(INDEX(DD$170:DD$218,_xlfn.AGGREGATE(15,6,(ROW(DD$170:DD$218)-ROW(DD$170)+1)/(DD$170:DD$218&lt;&gt;""),ROWS(DJ$1:DJ30))),"")</f>
        <v>138.8614196164369</v>
      </c>
      <c r="DK199" s="166">
        <f t="shared" si="84"/>
        <v>199</v>
      </c>
      <c r="DL199" s="164">
        <f>IFERROR(INDEX(DE$170:DE$218,_xlfn.AGGREGATE(15,6,(ROW(DE$170:DE$218)-ROW(DE$170)+1)/(DE$170:DE$218&lt;&gt;""),ROWS(DL$1:DL30))),"")</f>
        <v>27</v>
      </c>
      <c r="DM199" s="165">
        <f>IFERROR(INDEX(DF$170:DF$218,_xlfn.AGGREGATE(15,6,(ROW(DF$170:DF$218)-ROW(DF$170)+1)/(DF$170:DF$218&lt;&gt;""),ROWS(DM$1:DM30))),"")</f>
        <v>169.17217040183985</v>
      </c>
      <c r="DN199" s="166">
        <f t="shared" si="85"/>
        <v>199</v>
      </c>
      <c r="DO199" s="164">
        <f>IFERROR(INDEX(DG$170:DG$218,_xlfn.AGGREGATE(15,6,(ROW(DG$170:DG$218)-ROW(DG$170)+1)/(DG$170:DG$218&lt;&gt;""),ROWS(DO$1:DO30))),"")</f>
        <v>27</v>
      </c>
      <c r="DP199" s="165">
        <f>IFERROR(INDEX(DH$170:DH$218,_xlfn.AGGREGATE(15,6,(ROW(DH$170:DH$218)-ROW(DH$170)+1)/(DH$170:DH$218&lt;&gt;""),ROWS(DP$1:DP30))),"")</f>
        <v>199.48292118724279</v>
      </c>
      <c r="DQ199" s="166">
        <f t="shared" si="86"/>
        <v>199</v>
      </c>
      <c r="DV199" s="145">
        <v>2044</v>
      </c>
      <c r="DW199" s="235">
        <f t="shared" ca="1" si="70"/>
        <v>170.78046320554938</v>
      </c>
      <c r="EA199" s="55"/>
      <c r="EB199" s="55"/>
      <c r="EC199" s="55"/>
      <c r="ED199" s="55"/>
      <c r="EE199" s="55"/>
    </row>
    <row r="200" spans="2:135" ht="13.8" x14ac:dyDescent="0.45">
      <c r="B200" s="128">
        <v>2042</v>
      </c>
      <c r="C200" s="953">
        <v>213.33333333333337</v>
      </c>
      <c r="D200" s="944">
        <v>148.6626810381845</v>
      </c>
      <c r="E200" s="945"/>
      <c r="F200" s="1039"/>
      <c r="G200" s="981"/>
      <c r="H200" s="1040"/>
      <c r="I200" s="1112">
        <v>145.9588235294118</v>
      </c>
      <c r="J200" s="247"/>
      <c r="K200" s="245"/>
      <c r="L200" s="246"/>
      <c r="M200" s="245"/>
      <c r="N200" s="29" t="s">
        <v>119</v>
      </c>
      <c r="O200" s="120"/>
      <c r="P200" s="120"/>
      <c r="Q200" s="120"/>
      <c r="R200" s="29">
        <v>28</v>
      </c>
      <c r="S200" s="238">
        <f t="shared" si="71"/>
        <v>145.9588235294118</v>
      </c>
      <c r="T200" s="238">
        <f t="shared" si="72"/>
        <v>213.33333333333337</v>
      </c>
      <c r="U200" s="238">
        <f t="shared" si="73"/>
        <v>31.142911954455194</v>
      </c>
      <c r="W200" s="238">
        <f t="shared" si="74"/>
        <v>138.17536734585468</v>
      </c>
      <c r="X200" s="238">
        <f t="shared" si="75"/>
        <v>169.31827930030988</v>
      </c>
      <c r="Y200" s="238">
        <f t="shared" si="76"/>
        <v>200.46119125476508</v>
      </c>
      <c r="AA200" s="1133">
        <v>148.66268103818447</v>
      </c>
      <c r="AB200" s="1133">
        <v>180.99800718575892</v>
      </c>
      <c r="AC200" s="1133">
        <v>213.33333333333337</v>
      </c>
      <c r="AD200" s="89"/>
      <c r="AE200" s="89"/>
      <c r="AF200" s="89"/>
      <c r="AG200" s="89"/>
      <c r="AH200" s="89"/>
      <c r="AI200" s="89"/>
      <c r="AJ200" s="89"/>
      <c r="AK200" s="89"/>
      <c r="AL200" s="89"/>
      <c r="AM200" s="89"/>
      <c r="AN200" s="89"/>
      <c r="BR200" s="180">
        <v>2040</v>
      </c>
      <c r="BS200" s="22">
        <v>26</v>
      </c>
      <c r="BT200" s="181">
        <f t="shared" si="87"/>
        <v>3.1397213608545211</v>
      </c>
      <c r="BU200" s="182">
        <f t="shared" si="88"/>
        <v>165.83678644767548</v>
      </c>
      <c r="BV200" s="205">
        <f t="shared" si="89"/>
        <v>168.97650780852999</v>
      </c>
      <c r="BY200" s="180">
        <v>2040</v>
      </c>
      <c r="BZ200" s="22">
        <v>26</v>
      </c>
      <c r="CA200" s="198">
        <f t="shared" ca="1" si="90"/>
        <v>8.6991145941457972</v>
      </c>
      <c r="CB200" s="198">
        <f t="shared" ca="1" si="91"/>
        <v>-11.022476890602666</v>
      </c>
      <c r="CC200" s="186">
        <f t="shared" ca="1" si="102"/>
        <v>169.20462893781897</v>
      </c>
      <c r="CD200" s="205">
        <f t="shared" ca="1" si="92"/>
        <v>166.88126664136209</v>
      </c>
      <c r="CG200" s="180">
        <v>2040</v>
      </c>
      <c r="CH200" s="22">
        <v>26</v>
      </c>
      <c r="CI200" s="198">
        <f t="shared" ca="1" si="93"/>
        <v>-22.126340354608732</v>
      </c>
      <c r="CJ200" s="198">
        <f t="shared" ca="1" si="94"/>
        <v>61.036419663701061</v>
      </c>
      <c r="CK200" s="198">
        <f t="shared" ca="1" si="95"/>
        <v>-41.910978950727291</v>
      </c>
      <c r="CL200" s="186">
        <f t="shared" ca="1" si="96"/>
        <v>171.86794742064839</v>
      </c>
      <c r="CM200" s="205">
        <f t="shared" ca="1" si="97"/>
        <v>168.86704777901343</v>
      </c>
      <c r="CP200" s="180">
        <v>2040</v>
      </c>
      <c r="CQ200" s="22">
        <v>26</v>
      </c>
      <c r="CR200" s="198">
        <f t="shared" ca="1" si="98"/>
        <v>165.91081760415338</v>
      </c>
      <c r="CS200" s="186">
        <f t="shared" ca="1" si="99"/>
        <v>1.0169347864108162</v>
      </c>
      <c r="CT200" s="205">
        <f t="shared" ca="1" si="100"/>
        <v>168.72048186352362</v>
      </c>
      <c r="CZ200" s="164" t="b">
        <f t="shared" si="77"/>
        <v>1</v>
      </c>
      <c r="DA200" s="165" t="b">
        <f t="shared" si="77"/>
        <v>1</v>
      </c>
      <c r="DB200" s="166" t="b">
        <f t="shared" si="77"/>
        <v>1</v>
      </c>
      <c r="DC200" s="164">
        <f t="shared" si="78"/>
        <v>28</v>
      </c>
      <c r="DD200" s="166">
        <f t="shared" si="79"/>
        <v>138.17536734585468</v>
      </c>
      <c r="DE200" s="164">
        <f t="shared" si="80"/>
        <v>28</v>
      </c>
      <c r="DF200" s="166">
        <f t="shared" si="81"/>
        <v>169.31827930030988</v>
      </c>
      <c r="DG200" s="164">
        <f t="shared" si="82"/>
        <v>28</v>
      </c>
      <c r="DH200" s="166">
        <f t="shared" si="83"/>
        <v>200.46119125476508</v>
      </c>
      <c r="DI200" s="164">
        <f>IFERROR(INDEX(DC$170:DC$218,_xlfn.AGGREGATE(15,6,(ROW(DC$170:DC$218)-ROW(DC$170)+1)/(DC$170:DC$218&lt;&gt;""),ROWS(DI$1:DI31))),"")</f>
        <v>28</v>
      </c>
      <c r="DJ200" s="165">
        <f>IFERROR(INDEX(DD$170:DD$218,_xlfn.AGGREGATE(15,6,(ROW(DD$170:DD$218)-ROW(DD$170)+1)/(DD$170:DD$218&lt;&gt;""),ROWS(DJ$1:DJ31))),"")</f>
        <v>138.17536734585468</v>
      </c>
      <c r="DK200" s="166">
        <f t="shared" si="84"/>
        <v>200</v>
      </c>
      <c r="DL200" s="164">
        <f>IFERROR(INDEX(DE$170:DE$218,_xlfn.AGGREGATE(15,6,(ROW(DE$170:DE$218)-ROW(DE$170)+1)/(DE$170:DE$218&lt;&gt;""),ROWS(DL$1:DL31))),"")</f>
        <v>28</v>
      </c>
      <c r="DM200" s="165">
        <f>IFERROR(INDEX(DF$170:DF$218,_xlfn.AGGREGATE(15,6,(ROW(DF$170:DF$218)-ROW(DF$170)+1)/(DF$170:DF$218&lt;&gt;""),ROWS(DM$1:DM31))),"")</f>
        <v>169.31827930030988</v>
      </c>
      <c r="DN200" s="166">
        <f t="shared" si="85"/>
        <v>200</v>
      </c>
      <c r="DO200" s="164">
        <f>IFERROR(INDEX(DG$170:DG$218,_xlfn.AGGREGATE(15,6,(ROW(DG$170:DG$218)-ROW(DG$170)+1)/(DG$170:DG$218&lt;&gt;""),ROWS(DO$1:DO31))),"")</f>
        <v>28</v>
      </c>
      <c r="DP200" s="165">
        <f>IFERROR(INDEX(DH$170:DH$218,_xlfn.AGGREGATE(15,6,(ROW(DH$170:DH$218)-ROW(DH$170)+1)/(DH$170:DH$218&lt;&gt;""),ROWS(DP$1:DP31))),"")</f>
        <v>200.46119125476508</v>
      </c>
      <c r="DQ200" s="166">
        <f t="shared" si="86"/>
        <v>200</v>
      </c>
      <c r="DV200" s="145">
        <v>2045</v>
      </c>
      <c r="DW200" s="235">
        <f t="shared" ca="1" si="70"/>
        <v>171.16265049994087</v>
      </c>
      <c r="EA200" s="55"/>
      <c r="EB200" s="55"/>
      <c r="EC200" s="55"/>
      <c r="ED200" s="55"/>
      <c r="EE200" s="55"/>
    </row>
    <row r="201" spans="2:135" ht="13.8" x14ac:dyDescent="0.45">
      <c r="B201" s="128">
        <v>2043</v>
      </c>
      <c r="C201" s="953">
        <v>214.63333333333335</v>
      </c>
      <c r="D201" s="944">
        <v>149.02438250815572</v>
      </c>
      <c r="E201" s="945"/>
      <c r="F201" s="1039"/>
      <c r="G201" s="981"/>
      <c r="H201" s="1040"/>
      <c r="I201" s="1112">
        <v>144.72647058823532</v>
      </c>
      <c r="J201" s="247"/>
      <c r="K201" s="245"/>
      <c r="L201" s="246"/>
      <c r="M201" s="245"/>
      <c r="N201" s="29" t="s">
        <v>119</v>
      </c>
      <c r="O201" s="120"/>
      <c r="P201" s="120"/>
      <c r="Q201" s="120"/>
      <c r="R201" s="29">
        <v>29</v>
      </c>
      <c r="S201" s="238">
        <f t="shared" si="71"/>
        <v>144.72647058823532</v>
      </c>
      <c r="T201" s="238">
        <f t="shared" si="72"/>
        <v>214.63333333333335</v>
      </c>
      <c r="U201" s="238">
        <f t="shared" si="73"/>
        <v>31.989539842673398</v>
      </c>
      <c r="W201" s="238">
        <f t="shared" si="74"/>
        <v>137.47185563390141</v>
      </c>
      <c r="X201" s="238">
        <f t="shared" si="75"/>
        <v>169.46139547657481</v>
      </c>
      <c r="Y201" s="238">
        <f t="shared" si="76"/>
        <v>201.4509353192482</v>
      </c>
      <c r="AA201" s="1133">
        <v>149.02438250815575</v>
      </c>
      <c r="AB201" s="1133">
        <v>181.82885792074455</v>
      </c>
      <c r="AC201" s="1133">
        <v>214.63333333333335</v>
      </c>
      <c r="AD201" s="89"/>
      <c r="AE201" s="89"/>
      <c r="AF201" s="89"/>
      <c r="AG201" s="89"/>
      <c r="AH201" s="89"/>
      <c r="AI201" s="89"/>
      <c r="AJ201" s="89"/>
      <c r="AK201" s="89"/>
      <c r="AL201" s="89"/>
      <c r="AM201" s="89"/>
      <c r="AN201" s="89"/>
      <c r="BR201" s="180">
        <v>2041</v>
      </c>
      <c r="BS201" s="22">
        <v>27</v>
      </c>
      <c r="BT201" s="181">
        <f t="shared" si="87"/>
        <v>3.2604798747335413</v>
      </c>
      <c r="BU201" s="182">
        <f t="shared" si="88"/>
        <v>165.83678644767548</v>
      </c>
      <c r="BV201" s="205">
        <f t="shared" si="89"/>
        <v>169.09726632240901</v>
      </c>
      <c r="BY201" s="180">
        <v>2041</v>
      </c>
      <c r="BZ201" s="22">
        <v>27</v>
      </c>
      <c r="CA201" s="198">
        <f t="shared" ca="1" si="90"/>
        <v>9.381145767947169</v>
      </c>
      <c r="CB201" s="198">
        <f t="shared" ca="1" si="91"/>
        <v>-11.446418309472</v>
      </c>
      <c r="CC201" s="186">
        <f t="shared" ca="1" si="102"/>
        <v>169.20462893781897</v>
      </c>
      <c r="CD201" s="205">
        <f t="shared" ca="1" si="92"/>
        <v>167.13935639629415</v>
      </c>
      <c r="CG201" s="180">
        <v>2041</v>
      </c>
      <c r="CH201" s="22">
        <v>27</v>
      </c>
      <c r="CI201" s="198">
        <f t="shared" ca="1" si="93"/>
        <v>-24.778832339540489</v>
      </c>
      <c r="CJ201" s="198">
        <f t="shared" ca="1" si="94"/>
        <v>65.82181943023383</v>
      </c>
      <c r="CK201" s="198">
        <f t="shared" ca="1" si="95"/>
        <v>-43.522939679601421</v>
      </c>
      <c r="CL201" s="186">
        <f t="shared" ca="1" si="96"/>
        <v>171.86794742064839</v>
      </c>
      <c r="CM201" s="205">
        <f t="shared" ca="1" si="97"/>
        <v>169.38799483174031</v>
      </c>
      <c r="CP201" s="180">
        <v>2041</v>
      </c>
      <c r="CQ201" s="22">
        <v>27</v>
      </c>
      <c r="CR201" s="198">
        <f t="shared" ca="1" si="98"/>
        <v>165.91081760415338</v>
      </c>
      <c r="CS201" s="186">
        <f t="shared" ca="1" si="99"/>
        <v>1.0175918207737988</v>
      </c>
      <c r="CT201" s="205">
        <f t="shared" ca="1" si="100"/>
        <v>168.82949097188006</v>
      </c>
      <c r="CZ201" s="164" t="b">
        <f t="shared" si="77"/>
        <v>1</v>
      </c>
      <c r="DA201" s="165" t="b">
        <f t="shared" si="77"/>
        <v>1</v>
      </c>
      <c r="DB201" s="166" t="b">
        <f t="shared" si="77"/>
        <v>1</v>
      </c>
      <c r="DC201" s="164">
        <f t="shared" si="78"/>
        <v>29</v>
      </c>
      <c r="DD201" s="166">
        <f t="shared" si="79"/>
        <v>137.47185563390141</v>
      </c>
      <c r="DE201" s="164">
        <f t="shared" si="80"/>
        <v>29</v>
      </c>
      <c r="DF201" s="166">
        <f t="shared" si="81"/>
        <v>169.46139547657481</v>
      </c>
      <c r="DG201" s="164">
        <f t="shared" si="82"/>
        <v>29</v>
      </c>
      <c r="DH201" s="166">
        <f t="shared" si="83"/>
        <v>201.4509353192482</v>
      </c>
      <c r="DI201" s="164">
        <f>IFERROR(INDEX(DC$170:DC$218,_xlfn.AGGREGATE(15,6,(ROW(DC$170:DC$218)-ROW(DC$170)+1)/(DC$170:DC$218&lt;&gt;""),ROWS(DI$1:DI32))),"")</f>
        <v>29</v>
      </c>
      <c r="DJ201" s="165">
        <f>IFERROR(INDEX(DD$170:DD$218,_xlfn.AGGREGATE(15,6,(ROW(DD$170:DD$218)-ROW(DD$170)+1)/(DD$170:DD$218&lt;&gt;""),ROWS(DJ$1:DJ32))),"")</f>
        <v>137.47185563390141</v>
      </c>
      <c r="DK201" s="166">
        <f t="shared" si="84"/>
        <v>201</v>
      </c>
      <c r="DL201" s="164">
        <f>IFERROR(INDEX(DE$170:DE$218,_xlfn.AGGREGATE(15,6,(ROW(DE$170:DE$218)-ROW(DE$170)+1)/(DE$170:DE$218&lt;&gt;""),ROWS(DL$1:DL32))),"")</f>
        <v>29</v>
      </c>
      <c r="DM201" s="165">
        <f>IFERROR(INDEX(DF$170:DF$218,_xlfn.AGGREGATE(15,6,(ROW(DF$170:DF$218)-ROW(DF$170)+1)/(DF$170:DF$218&lt;&gt;""),ROWS(DM$1:DM32))),"")</f>
        <v>169.46139547657481</v>
      </c>
      <c r="DN201" s="166">
        <f t="shared" si="85"/>
        <v>201</v>
      </c>
      <c r="DO201" s="164">
        <f>IFERROR(INDEX(DG$170:DG$218,_xlfn.AGGREGATE(15,6,(ROW(DG$170:DG$218)-ROW(DG$170)+1)/(DG$170:DG$218&lt;&gt;""),ROWS(DO$1:DO32))),"")</f>
        <v>29</v>
      </c>
      <c r="DP201" s="165">
        <f>IFERROR(INDEX(DH$170:DH$218,_xlfn.AGGREGATE(15,6,(ROW(DH$170:DH$218)-ROW(DH$170)+1)/(DH$170:DH$218&lt;&gt;""),ROWS(DP$1:DP32))),"")</f>
        <v>201.4509353192482</v>
      </c>
      <c r="DQ201" s="166">
        <f t="shared" si="86"/>
        <v>201</v>
      </c>
      <c r="DV201" s="145">
        <v>2046</v>
      </c>
      <c r="DW201" s="235">
        <f t="shared" ca="1" si="70"/>
        <v>171.49126442818283</v>
      </c>
      <c r="EA201" s="55"/>
      <c r="EB201" s="55"/>
      <c r="EC201" s="55"/>
      <c r="ED201" s="55"/>
      <c r="EE201" s="55"/>
    </row>
    <row r="202" spans="2:135" ht="13.8" x14ac:dyDescent="0.45">
      <c r="B202" s="128">
        <v>2044</v>
      </c>
      <c r="C202" s="953">
        <v>215.93333333333337</v>
      </c>
      <c r="D202" s="944">
        <v>149.38074341907657</v>
      </c>
      <c r="E202" s="945"/>
      <c r="F202" s="1039"/>
      <c r="G202" s="981"/>
      <c r="H202" s="1040"/>
      <c r="I202" s="1112">
        <v>143.49411764705886</v>
      </c>
      <c r="J202" s="247"/>
      <c r="K202" s="245"/>
      <c r="L202" s="246"/>
      <c r="M202" s="245"/>
      <c r="N202" s="29" t="s">
        <v>119</v>
      </c>
      <c r="O202" s="120"/>
      <c r="P202" s="120"/>
      <c r="Q202" s="120"/>
      <c r="R202" s="29">
        <v>30</v>
      </c>
      <c r="S202" s="238">
        <f t="shared" si="71"/>
        <v>143.49411764705886</v>
      </c>
      <c r="T202" s="238">
        <f t="shared" si="72"/>
        <v>215.93333333333337</v>
      </c>
      <c r="U202" s="238">
        <f t="shared" si="73"/>
        <v>32.848709693105945</v>
      </c>
      <c r="W202" s="238">
        <f t="shared" si="74"/>
        <v>136.75402177338364</v>
      </c>
      <c r="X202" s="238">
        <f t="shared" ref="X202:X218" si="104">IF(U202="",#N/A,(SUM(C202:Q202)/COUNTIFS(C202:Q202,"&gt;0")))</f>
        <v>169.60273146648959</v>
      </c>
      <c r="Y202" s="238">
        <f t="shared" si="76"/>
        <v>202.45144115959553</v>
      </c>
      <c r="AA202" s="1133">
        <v>149.38074341907662</v>
      </c>
      <c r="AB202" s="1133">
        <v>182.65703837620498</v>
      </c>
      <c r="AC202" s="1133">
        <v>215.93333333333334</v>
      </c>
      <c r="AD202" s="89"/>
      <c r="AE202" s="89"/>
      <c r="AF202" s="89"/>
      <c r="AG202" s="89"/>
      <c r="AH202" s="89"/>
      <c r="AI202" s="89"/>
      <c r="AJ202" s="89"/>
      <c r="AK202" s="89"/>
      <c r="AL202" s="89"/>
      <c r="AM202" s="89"/>
      <c r="AN202" s="89"/>
      <c r="BR202" s="180">
        <v>2042</v>
      </c>
      <c r="BS202" s="22">
        <v>28</v>
      </c>
      <c r="BT202" s="181">
        <f t="shared" si="87"/>
        <v>3.3812383886125614</v>
      </c>
      <c r="BU202" s="182">
        <f t="shared" si="88"/>
        <v>165.83678644767548</v>
      </c>
      <c r="BV202" s="205">
        <f t="shared" si="89"/>
        <v>169.21802483628804</v>
      </c>
      <c r="BY202" s="180">
        <v>2042</v>
      </c>
      <c r="BZ202" s="22">
        <v>28</v>
      </c>
      <c r="CA202" s="198">
        <f t="shared" ca="1" si="90"/>
        <v>10.088913967175007</v>
      </c>
      <c r="CB202" s="198">
        <f t="shared" ca="1" si="91"/>
        <v>-11.870359728341334</v>
      </c>
      <c r="CC202" s="186">
        <f t="shared" ca="1" si="102"/>
        <v>169.20462893781897</v>
      </c>
      <c r="CD202" s="205">
        <f t="shared" ca="1" si="92"/>
        <v>167.42318317665263</v>
      </c>
      <c r="CG202" s="180">
        <v>2042</v>
      </c>
      <c r="CH202" s="22">
        <v>28</v>
      </c>
      <c r="CI202" s="198">
        <f t="shared" ca="1" si="93"/>
        <v>-27.635265331382048</v>
      </c>
      <c r="CJ202" s="198">
        <f t="shared" ca="1" si="94"/>
        <v>70.787800320031991</v>
      </c>
      <c r="CK202" s="198">
        <f t="shared" ca="1" si="95"/>
        <v>-45.134900408475545</v>
      </c>
      <c r="CL202" s="186">
        <f t="shared" ca="1" si="96"/>
        <v>171.86794742064839</v>
      </c>
      <c r="CM202" s="205">
        <f t="shared" ca="1" si="97"/>
        <v>169.88558200082281</v>
      </c>
      <c r="CP202" s="180">
        <v>2042</v>
      </c>
      <c r="CQ202" s="22">
        <v>28</v>
      </c>
      <c r="CR202" s="198">
        <f t="shared" ca="1" si="98"/>
        <v>165.91081760415338</v>
      </c>
      <c r="CS202" s="186">
        <f t="shared" ca="1" si="99"/>
        <v>1.0182492796420295</v>
      </c>
      <c r="CT202" s="205">
        <f t="shared" ca="1" si="100"/>
        <v>168.93857051024932</v>
      </c>
      <c r="CZ202" s="164" t="b">
        <f t="shared" si="77"/>
        <v>1</v>
      </c>
      <c r="DA202" s="165" t="b">
        <f t="shared" si="77"/>
        <v>1</v>
      </c>
      <c r="DB202" s="166" t="b">
        <f t="shared" si="77"/>
        <v>1</v>
      </c>
      <c r="DC202" s="164">
        <f t="shared" si="78"/>
        <v>30</v>
      </c>
      <c r="DD202" s="166">
        <f t="shared" si="79"/>
        <v>136.75402177338364</v>
      </c>
      <c r="DE202" s="164">
        <f t="shared" si="80"/>
        <v>30</v>
      </c>
      <c r="DF202" s="166">
        <f t="shared" si="81"/>
        <v>169.60273146648959</v>
      </c>
      <c r="DG202" s="164">
        <f t="shared" si="82"/>
        <v>30</v>
      </c>
      <c r="DH202" s="166">
        <f t="shared" si="83"/>
        <v>202.45144115959553</v>
      </c>
      <c r="DI202" s="164">
        <f>IFERROR(INDEX(DC$170:DC$218,_xlfn.AGGREGATE(15,6,(ROW(DC$170:DC$218)-ROW(DC$170)+1)/(DC$170:DC$218&lt;&gt;""),ROWS(DI$1:DI33))),"")</f>
        <v>30</v>
      </c>
      <c r="DJ202" s="165">
        <f>IFERROR(INDEX(DD$170:DD$218,_xlfn.AGGREGATE(15,6,(ROW(DD$170:DD$218)-ROW(DD$170)+1)/(DD$170:DD$218&lt;&gt;""),ROWS(DJ$1:DJ33))),"")</f>
        <v>136.75402177338364</v>
      </c>
      <c r="DK202" s="166">
        <f t="shared" si="84"/>
        <v>202</v>
      </c>
      <c r="DL202" s="164">
        <f>IFERROR(INDEX(DE$170:DE$218,_xlfn.AGGREGATE(15,6,(ROW(DE$170:DE$218)-ROW(DE$170)+1)/(DE$170:DE$218&lt;&gt;""),ROWS(DL$1:DL33))),"")</f>
        <v>30</v>
      </c>
      <c r="DM202" s="165">
        <f>IFERROR(INDEX(DF$170:DF$218,_xlfn.AGGREGATE(15,6,(ROW(DF$170:DF$218)-ROW(DF$170)+1)/(DF$170:DF$218&lt;&gt;""),ROWS(DM$1:DM33))),"")</f>
        <v>169.60273146648959</v>
      </c>
      <c r="DN202" s="166">
        <f t="shared" si="85"/>
        <v>202</v>
      </c>
      <c r="DO202" s="164">
        <f>IFERROR(INDEX(DG$170:DG$218,_xlfn.AGGREGATE(15,6,(ROW(DG$170:DG$218)-ROW(DG$170)+1)/(DG$170:DG$218&lt;&gt;""),ROWS(DO$1:DO33))),"")</f>
        <v>30</v>
      </c>
      <c r="DP202" s="165">
        <f>IFERROR(INDEX(DH$170:DH$218,_xlfn.AGGREGATE(15,6,(ROW(DH$170:DH$218)-ROW(DH$170)+1)/(DH$170:DH$218&lt;&gt;""),ROWS(DP$1:DP33))),"")</f>
        <v>202.45144115959553</v>
      </c>
      <c r="DQ202" s="166">
        <f t="shared" si="86"/>
        <v>202</v>
      </c>
      <c r="DV202" s="145">
        <v>2047</v>
      </c>
      <c r="DW202" s="235">
        <f t="shared" ca="1" si="70"/>
        <v>171.75875161964893</v>
      </c>
      <c r="EA202" s="55"/>
      <c r="EB202" s="55"/>
      <c r="EC202" s="55"/>
      <c r="ED202" s="55"/>
      <c r="EE202" s="55"/>
    </row>
    <row r="203" spans="2:135" ht="13.8" x14ac:dyDescent="0.45">
      <c r="B203" s="128">
        <v>2045</v>
      </c>
      <c r="C203" s="953">
        <v>217.23333333333335</v>
      </c>
      <c r="D203" s="944">
        <v>149.58005204806545</v>
      </c>
      <c r="E203" s="945"/>
      <c r="F203" s="1039"/>
      <c r="G203" s="981"/>
      <c r="H203" s="1040"/>
      <c r="I203" s="1112">
        <v>142.26176470588237</v>
      </c>
      <c r="J203" s="247"/>
      <c r="K203" s="245"/>
      <c r="L203" s="246"/>
      <c r="M203" s="245"/>
      <c r="N203" s="29" t="s">
        <v>119</v>
      </c>
      <c r="O203" s="120"/>
      <c r="P203" s="120"/>
      <c r="Q203" s="120"/>
      <c r="R203" s="29">
        <v>31</v>
      </c>
      <c r="S203" s="238">
        <f t="shared" si="71"/>
        <v>142.26176470588237</v>
      </c>
      <c r="T203" s="238">
        <f t="shared" si="72"/>
        <v>217.23333333333335</v>
      </c>
      <c r="U203" s="238">
        <f t="shared" si="73"/>
        <v>33.749501890557873</v>
      </c>
      <c r="W203" s="238">
        <f t="shared" si="74"/>
        <v>135.94221480520252</v>
      </c>
      <c r="X203" s="238">
        <f t="shared" si="104"/>
        <v>169.69171669576039</v>
      </c>
      <c r="Y203" s="238">
        <f t="shared" si="76"/>
        <v>203.44121858631826</v>
      </c>
      <c r="AA203" s="1133">
        <v>149.58005204806551</v>
      </c>
      <c r="AB203" s="1133">
        <v>183.4066926906994</v>
      </c>
      <c r="AC203" s="1133">
        <v>217.23333333333329</v>
      </c>
      <c r="AD203" s="89"/>
      <c r="AE203" s="89"/>
      <c r="AF203" s="89"/>
      <c r="AG203" s="89"/>
      <c r="AH203" s="89"/>
      <c r="AI203" s="89"/>
      <c r="AJ203" s="89"/>
      <c r="AK203" s="89"/>
      <c r="AL203" s="89"/>
      <c r="AM203" s="89"/>
      <c r="AN203" s="89"/>
      <c r="BR203" s="180">
        <v>2043</v>
      </c>
      <c r="BS203" s="22">
        <v>29</v>
      </c>
      <c r="BT203" s="181">
        <f t="shared" si="87"/>
        <v>3.5019969024915816</v>
      </c>
      <c r="BU203" s="182">
        <f t="shared" si="88"/>
        <v>165.83678644767548</v>
      </c>
      <c r="BV203" s="205">
        <f t="shared" si="89"/>
        <v>169.33878335016706</v>
      </c>
      <c r="BY203" s="180">
        <v>2043</v>
      </c>
      <c r="BZ203" s="22">
        <v>29</v>
      </c>
      <c r="CA203" s="198">
        <f t="shared" ca="1" si="90"/>
        <v>10.822419191829313</v>
      </c>
      <c r="CB203" s="198">
        <f t="shared" ca="1" si="91"/>
        <v>-12.294301147210668</v>
      </c>
      <c r="CC203" s="186">
        <f t="shared" ca="1" si="102"/>
        <v>169.20462893781897</v>
      </c>
      <c r="CD203" s="205">
        <f t="shared" ca="1" si="92"/>
        <v>167.73274698243762</v>
      </c>
      <c r="CG203" s="180">
        <v>2043</v>
      </c>
      <c r="CH203" s="22">
        <v>29</v>
      </c>
      <c r="CI203" s="198">
        <f t="shared" ca="1" si="93"/>
        <v>-30.70319270075969</v>
      </c>
      <c r="CJ203" s="198">
        <f t="shared" ca="1" si="94"/>
        <v>75.93436233309555</v>
      </c>
      <c r="CK203" s="198">
        <f t="shared" ca="1" si="95"/>
        <v>-46.746861137349676</v>
      </c>
      <c r="CL203" s="186">
        <f t="shared" ca="1" si="96"/>
        <v>171.86794742064839</v>
      </c>
      <c r="CM203" s="205">
        <f t="shared" ca="1" si="97"/>
        <v>170.35225591563457</v>
      </c>
      <c r="CP203" s="180">
        <v>2043</v>
      </c>
      <c r="CQ203" s="22">
        <v>29</v>
      </c>
      <c r="CR203" s="198">
        <f t="shared" ca="1" si="98"/>
        <v>165.91081760415338</v>
      </c>
      <c r="CS203" s="186">
        <f t="shared" ca="1" si="99"/>
        <v>1.0189071632897786</v>
      </c>
      <c r="CT203" s="205">
        <f t="shared" ca="1" si="100"/>
        <v>169.04772052413577</v>
      </c>
      <c r="CZ203" s="164" t="b">
        <f t="shared" si="77"/>
        <v>1</v>
      </c>
      <c r="DA203" s="165" t="b">
        <f t="shared" si="77"/>
        <v>1</v>
      </c>
      <c r="DB203" s="166" t="b">
        <f t="shared" si="77"/>
        <v>1</v>
      </c>
      <c r="DC203" s="164">
        <f t="shared" si="78"/>
        <v>31</v>
      </c>
      <c r="DD203" s="166">
        <f t="shared" si="79"/>
        <v>135.94221480520252</v>
      </c>
      <c r="DE203" s="164">
        <f t="shared" si="80"/>
        <v>31</v>
      </c>
      <c r="DF203" s="166">
        <f t="shared" si="81"/>
        <v>169.69171669576039</v>
      </c>
      <c r="DG203" s="164">
        <f t="shared" si="82"/>
        <v>31</v>
      </c>
      <c r="DH203" s="166">
        <f t="shared" si="83"/>
        <v>203.44121858631826</v>
      </c>
      <c r="DI203" s="164">
        <f>IFERROR(INDEX(DC$170:DC$218,_xlfn.AGGREGATE(15,6,(ROW(DC$170:DC$218)-ROW(DC$170)+1)/(DC$170:DC$218&lt;&gt;""),ROWS(DI$1:DI34))),"")</f>
        <v>31</v>
      </c>
      <c r="DJ203" s="165">
        <f>IFERROR(INDEX(DD$170:DD$218,_xlfn.AGGREGATE(15,6,(ROW(DD$170:DD$218)-ROW(DD$170)+1)/(DD$170:DD$218&lt;&gt;""),ROWS(DJ$1:DJ34))),"")</f>
        <v>135.94221480520252</v>
      </c>
      <c r="DK203" s="166">
        <f t="shared" si="84"/>
        <v>203</v>
      </c>
      <c r="DL203" s="164">
        <f>IFERROR(INDEX(DE$170:DE$218,_xlfn.AGGREGATE(15,6,(ROW(DE$170:DE$218)-ROW(DE$170)+1)/(DE$170:DE$218&lt;&gt;""),ROWS(DL$1:DL34))),"")</f>
        <v>31</v>
      </c>
      <c r="DM203" s="165">
        <f>IFERROR(INDEX(DF$170:DF$218,_xlfn.AGGREGATE(15,6,(ROW(DF$170:DF$218)-ROW(DF$170)+1)/(DF$170:DF$218&lt;&gt;""),ROWS(DM$1:DM34))),"")</f>
        <v>169.69171669576039</v>
      </c>
      <c r="DN203" s="166">
        <f t="shared" si="85"/>
        <v>203</v>
      </c>
      <c r="DO203" s="164">
        <f>IFERROR(INDEX(DG$170:DG$218,_xlfn.AGGREGATE(15,6,(ROW(DG$170:DG$218)-ROW(DG$170)+1)/(DG$170:DG$218&lt;&gt;""),ROWS(DO$1:DO34))),"")</f>
        <v>31</v>
      </c>
      <c r="DP203" s="165">
        <f>IFERROR(INDEX(DH$170:DH$218,_xlfn.AGGREGATE(15,6,(ROW(DH$170:DH$218)-ROW(DH$170)+1)/(DH$170:DH$218&lt;&gt;""),ROWS(DP$1:DP34))),"")</f>
        <v>203.44121858631826</v>
      </c>
      <c r="DQ203" s="166">
        <f t="shared" si="86"/>
        <v>203</v>
      </c>
      <c r="DV203" s="145">
        <v>2048</v>
      </c>
      <c r="DW203" s="235">
        <f t="shared" ca="1" si="70"/>
        <v>171.95755870371286</v>
      </c>
      <c r="EA203" s="55"/>
      <c r="EB203" s="55"/>
      <c r="EC203" s="55"/>
      <c r="ED203" s="55"/>
      <c r="EE203" s="55"/>
    </row>
    <row r="204" spans="2:135" ht="13.8" x14ac:dyDescent="0.45">
      <c r="B204" s="128">
        <v>2046</v>
      </c>
      <c r="C204" s="953">
        <v>218.53333333333336</v>
      </c>
      <c r="D204" s="944">
        <v>150.12672261878765</v>
      </c>
      <c r="E204" s="945"/>
      <c r="F204" s="1039"/>
      <c r="G204" s="981"/>
      <c r="H204" s="1040"/>
      <c r="I204" s="1112">
        <v>141.02941176470591</v>
      </c>
      <c r="J204" s="247"/>
      <c r="K204" s="245"/>
      <c r="L204" s="246"/>
      <c r="M204" s="245"/>
      <c r="N204" s="29" t="s">
        <v>119</v>
      </c>
      <c r="O204" s="120"/>
      <c r="P204" s="120"/>
      <c r="Q204" s="120"/>
      <c r="R204" s="29">
        <v>32</v>
      </c>
      <c r="S204" s="238">
        <f t="shared" si="71"/>
        <v>141.02941176470591</v>
      </c>
      <c r="T204" s="238">
        <f t="shared" si="72"/>
        <v>218.53333333333336</v>
      </c>
      <c r="U204" s="238">
        <f t="shared" si="73"/>
        <v>34.59139795566265</v>
      </c>
      <c r="W204" s="238">
        <f t="shared" si="74"/>
        <v>135.30509128327967</v>
      </c>
      <c r="X204" s="238">
        <f t="shared" si="104"/>
        <v>169.89648923894231</v>
      </c>
      <c r="Y204" s="238">
        <f t="shared" si="76"/>
        <v>204.48788719460495</v>
      </c>
      <c r="AA204" s="1133">
        <v>150.12672261878765</v>
      </c>
      <c r="AB204" s="1133">
        <v>184.33002797606051</v>
      </c>
      <c r="AC204" s="1133">
        <v>218.53333333333336</v>
      </c>
      <c r="AD204" s="89"/>
      <c r="AE204" s="89"/>
      <c r="AF204" s="89"/>
      <c r="AG204" s="89"/>
      <c r="AH204" s="89"/>
      <c r="AI204" s="89"/>
      <c r="AJ204" s="89"/>
      <c r="AK204" s="89"/>
      <c r="AL204" s="89"/>
      <c r="AM204" s="89"/>
      <c r="AN204" s="89"/>
      <c r="BR204" s="180">
        <v>2044</v>
      </c>
      <c r="BS204" s="22">
        <v>30</v>
      </c>
      <c r="BT204" s="181">
        <f t="shared" si="87"/>
        <v>3.6227554163706013</v>
      </c>
      <c r="BU204" s="182">
        <f t="shared" si="88"/>
        <v>165.83678644767548</v>
      </c>
      <c r="BV204" s="205">
        <f t="shared" si="89"/>
        <v>169.45954186404609</v>
      </c>
      <c r="BY204" s="180">
        <v>2044</v>
      </c>
      <c r="BZ204" s="22">
        <v>30</v>
      </c>
      <c r="CA204" s="198">
        <f t="shared" ca="1" si="90"/>
        <v>11.581661441910084</v>
      </c>
      <c r="CB204" s="198">
        <f t="shared" ca="1" si="91"/>
        <v>-12.718242566080001</v>
      </c>
      <c r="CC204" s="186">
        <f t="shared" ca="1" si="102"/>
        <v>169.20462893781897</v>
      </c>
      <c r="CD204" s="205">
        <f t="shared" ca="1" si="92"/>
        <v>168.06804781364906</v>
      </c>
      <c r="CG204" s="180">
        <v>2044</v>
      </c>
      <c r="CH204" s="22">
        <v>30</v>
      </c>
      <c r="CI204" s="198">
        <f t="shared" ca="1" si="93"/>
        <v>-33.99016781829971</v>
      </c>
      <c r="CJ204" s="198">
        <f t="shared" ca="1" si="94"/>
        <v>81.261505469424492</v>
      </c>
      <c r="CK204" s="198">
        <f t="shared" ca="1" si="95"/>
        <v>-48.358821866223799</v>
      </c>
      <c r="CL204" s="186">
        <f t="shared" ca="1" si="96"/>
        <v>171.86794742064839</v>
      </c>
      <c r="CM204" s="205">
        <f t="shared" ca="1" si="97"/>
        <v>170.78046320554938</v>
      </c>
      <c r="CP204" s="180">
        <v>2044</v>
      </c>
      <c r="CQ204" s="22">
        <v>30</v>
      </c>
      <c r="CR204" s="198">
        <f t="shared" ca="1" si="98"/>
        <v>165.91081760415338</v>
      </c>
      <c r="CS204" s="186">
        <f t="shared" ca="1" si="99"/>
        <v>1.0195654719914931</v>
      </c>
      <c r="CT204" s="205">
        <f t="shared" ca="1" si="100"/>
        <v>169.15694105907315</v>
      </c>
      <c r="CZ204" s="164" t="b">
        <f t="shared" si="77"/>
        <v>1</v>
      </c>
      <c r="DA204" s="165" t="b">
        <f t="shared" si="77"/>
        <v>1</v>
      </c>
      <c r="DB204" s="166" t="b">
        <f t="shared" si="77"/>
        <v>1</v>
      </c>
      <c r="DC204" s="164">
        <f t="shared" si="78"/>
        <v>32</v>
      </c>
      <c r="DD204" s="166">
        <f t="shared" si="79"/>
        <v>135.30509128327967</v>
      </c>
      <c r="DE204" s="164">
        <f t="shared" si="80"/>
        <v>32</v>
      </c>
      <c r="DF204" s="166">
        <f t="shared" si="81"/>
        <v>169.89648923894231</v>
      </c>
      <c r="DG204" s="164">
        <f t="shared" si="82"/>
        <v>32</v>
      </c>
      <c r="DH204" s="166">
        <f t="shared" si="83"/>
        <v>204.48788719460495</v>
      </c>
      <c r="DI204" s="164">
        <f>IFERROR(INDEX(DC$170:DC$218,_xlfn.AGGREGATE(15,6,(ROW(DC$170:DC$218)-ROW(DC$170)+1)/(DC$170:DC$218&lt;&gt;""),ROWS(DI$1:DI35))),"")</f>
        <v>32</v>
      </c>
      <c r="DJ204" s="165">
        <f>IFERROR(INDEX(DD$170:DD$218,_xlfn.AGGREGATE(15,6,(ROW(DD$170:DD$218)-ROW(DD$170)+1)/(DD$170:DD$218&lt;&gt;""),ROWS(DJ$1:DJ35))),"")</f>
        <v>135.30509128327967</v>
      </c>
      <c r="DK204" s="166">
        <f t="shared" si="84"/>
        <v>204</v>
      </c>
      <c r="DL204" s="164">
        <f>IFERROR(INDEX(DE$170:DE$218,_xlfn.AGGREGATE(15,6,(ROW(DE$170:DE$218)-ROW(DE$170)+1)/(DE$170:DE$218&lt;&gt;""),ROWS(DL$1:DL35))),"")</f>
        <v>32</v>
      </c>
      <c r="DM204" s="165">
        <f>IFERROR(INDEX(DF$170:DF$218,_xlfn.AGGREGATE(15,6,(ROW(DF$170:DF$218)-ROW(DF$170)+1)/(DF$170:DF$218&lt;&gt;""),ROWS(DM$1:DM35))),"")</f>
        <v>169.89648923894231</v>
      </c>
      <c r="DN204" s="166">
        <f t="shared" si="85"/>
        <v>204</v>
      </c>
      <c r="DO204" s="164">
        <f>IFERROR(INDEX(DG$170:DG$218,_xlfn.AGGREGATE(15,6,(ROW(DG$170:DG$218)-ROW(DG$170)+1)/(DG$170:DG$218&lt;&gt;""),ROWS(DO$1:DO35))),"")</f>
        <v>32</v>
      </c>
      <c r="DP204" s="165">
        <f>IFERROR(INDEX(DH$170:DH$218,_xlfn.AGGREGATE(15,6,(ROW(DH$170:DH$218)-ROW(DH$170)+1)/(DH$170:DH$218&lt;&gt;""),ROWS(DP$1:DP35))),"")</f>
        <v>204.48788719460495</v>
      </c>
      <c r="DQ204" s="166">
        <f t="shared" si="86"/>
        <v>204</v>
      </c>
      <c r="DV204" s="145">
        <v>2049</v>
      </c>
      <c r="DW204" s="235">
        <f t="shared" ca="1" si="70"/>
        <v>172.08013230974839</v>
      </c>
      <c r="EA204" s="55"/>
      <c r="EB204" s="55"/>
      <c r="EC204" s="55"/>
      <c r="ED204" s="55"/>
      <c r="EE204" s="55"/>
    </row>
    <row r="205" spans="2:135" ht="13.8" x14ac:dyDescent="0.45">
      <c r="B205" s="128">
        <v>2047</v>
      </c>
      <c r="C205" s="953">
        <v>219.83333333333337</v>
      </c>
      <c r="D205" s="944">
        <v>150.53613173883952</v>
      </c>
      <c r="E205" s="945"/>
      <c r="F205" s="1039"/>
      <c r="G205" s="981"/>
      <c r="H205" s="1040"/>
      <c r="I205" s="1112">
        <v>139.79705882352943</v>
      </c>
      <c r="J205" s="247"/>
      <c r="K205" s="245"/>
      <c r="L205" s="246"/>
      <c r="M205" s="245"/>
      <c r="N205" s="29" t="s">
        <v>119</v>
      </c>
      <c r="O205" s="120"/>
      <c r="P205" s="120"/>
      <c r="Q205" s="120"/>
      <c r="R205" s="29">
        <v>33</v>
      </c>
      <c r="S205" s="238">
        <f t="shared" si="71"/>
        <v>139.79705882352943</v>
      </c>
      <c r="T205" s="238">
        <f t="shared" si="72"/>
        <v>219.83333333333337</v>
      </c>
      <c r="U205" s="238">
        <f t="shared" si="73"/>
        <v>35.470230198978804</v>
      </c>
      <c r="W205" s="238">
        <f t="shared" si="74"/>
        <v>134.5852777662553</v>
      </c>
      <c r="X205" s="238">
        <f t="shared" si="104"/>
        <v>170.05550796523411</v>
      </c>
      <c r="Y205" s="238">
        <f t="shared" si="76"/>
        <v>205.52573816421292</v>
      </c>
      <c r="AA205" s="1133">
        <v>150.53613173883952</v>
      </c>
      <c r="AB205" s="1133">
        <v>185.18473253608644</v>
      </c>
      <c r="AC205" s="1133">
        <v>219.83333333333337</v>
      </c>
      <c r="AD205" s="89"/>
      <c r="AE205" s="89"/>
      <c r="AF205" s="89"/>
      <c r="AG205" s="89"/>
      <c r="AH205" s="89"/>
      <c r="AI205" s="89"/>
      <c r="AJ205" s="89"/>
      <c r="AK205" s="89"/>
      <c r="AL205" s="89"/>
      <c r="AM205" s="89"/>
      <c r="AN205" s="89"/>
      <c r="BR205" s="180">
        <v>2045</v>
      </c>
      <c r="BS205" s="22">
        <v>31</v>
      </c>
      <c r="BT205" s="181">
        <f t="shared" si="87"/>
        <v>3.7435139302496214</v>
      </c>
      <c r="BU205" s="182">
        <f t="shared" si="88"/>
        <v>165.83678644767548</v>
      </c>
      <c r="BV205" s="205">
        <f t="shared" si="89"/>
        <v>169.58030037792511</v>
      </c>
      <c r="BY205" s="180">
        <v>2045</v>
      </c>
      <c r="BZ205" s="22">
        <v>31</v>
      </c>
      <c r="CA205" s="198">
        <f t="shared" ca="1" si="90"/>
        <v>12.366640717417324</v>
      </c>
      <c r="CB205" s="198">
        <f t="shared" ca="1" si="91"/>
        <v>-13.142183984949334</v>
      </c>
      <c r="CC205" s="198">
        <f t="shared" ca="1" si="102"/>
        <v>169.20462893781897</v>
      </c>
      <c r="CD205" s="205">
        <f t="shared" ca="1" si="92"/>
        <v>168.42908567028695</v>
      </c>
      <c r="CG205" s="180">
        <v>2045</v>
      </c>
      <c r="CH205" s="22">
        <v>31</v>
      </c>
      <c r="CI205" s="198">
        <f t="shared" ca="1" si="93"/>
        <v>-37.503744054628399</v>
      </c>
      <c r="CJ205" s="198">
        <f t="shared" ca="1" si="94"/>
        <v>86.769229729018818</v>
      </c>
      <c r="CK205" s="198">
        <f t="shared" ca="1" si="95"/>
        <v>-49.97078259509793</v>
      </c>
      <c r="CL205" s="198">
        <f t="shared" ca="1" si="96"/>
        <v>171.86794742064839</v>
      </c>
      <c r="CM205" s="205">
        <f t="shared" ca="1" si="97"/>
        <v>171.16265049994087</v>
      </c>
      <c r="CP205" s="180">
        <v>2045</v>
      </c>
      <c r="CQ205" s="22">
        <v>31</v>
      </c>
      <c r="CR205" s="198">
        <f t="shared" ca="1" si="98"/>
        <v>165.91081760415338</v>
      </c>
      <c r="CS205" s="198">
        <f t="shared" ca="1" si="99"/>
        <v>1.0202242060217972</v>
      </c>
      <c r="CT205" s="205">
        <f t="shared" ca="1" si="100"/>
        <v>169.26623216062458</v>
      </c>
      <c r="CZ205" s="164" t="b">
        <f t="shared" si="77"/>
        <v>1</v>
      </c>
      <c r="DA205" s="165" t="b">
        <f t="shared" si="77"/>
        <v>1</v>
      </c>
      <c r="DB205" s="166" t="b">
        <f t="shared" si="77"/>
        <v>1</v>
      </c>
      <c r="DC205" s="164">
        <f t="shared" si="78"/>
        <v>33</v>
      </c>
      <c r="DD205" s="166">
        <f t="shared" si="79"/>
        <v>134.5852777662553</v>
      </c>
      <c r="DE205" s="164">
        <f t="shared" si="80"/>
        <v>33</v>
      </c>
      <c r="DF205" s="166">
        <f t="shared" si="81"/>
        <v>170.05550796523411</v>
      </c>
      <c r="DG205" s="164">
        <f t="shared" si="82"/>
        <v>33</v>
      </c>
      <c r="DH205" s="166">
        <f t="shared" si="83"/>
        <v>205.52573816421292</v>
      </c>
      <c r="DI205" s="164">
        <f>IFERROR(INDEX(DC$170:DC$218,_xlfn.AGGREGATE(15,6,(ROW(DC$170:DC$218)-ROW(DC$170)+1)/(DC$170:DC$218&lt;&gt;""),ROWS(DI$1:DI36))),"")</f>
        <v>33</v>
      </c>
      <c r="DJ205" s="165">
        <f>IFERROR(INDEX(DD$170:DD$218,_xlfn.AGGREGATE(15,6,(ROW(DD$170:DD$218)-ROW(DD$170)+1)/(DD$170:DD$218&lt;&gt;""),ROWS(DJ$1:DJ36))),"")</f>
        <v>134.5852777662553</v>
      </c>
      <c r="DK205" s="166">
        <f t="shared" si="84"/>
        <v>205</v>
      </c>
      <c r="DL205" s="164">
        <f>IFERROR(INDEX(DE$170:DE$218,_xlfn.AGGREGATE(15,6,(ROW(DE$170:DE$218)-ROW(DE$170)+1)/(DE$170:DE$218&lt;&gt;""),ROWS(DL$1:DL36))),"")</f>
        <v>33</v>
      </c>
      <c r="DM205" s="165">
        <f>IFERROR(INDEX(DF$170:DF$218,_xlfn.AGGREGATE(15,6,(ROW(DF$170:DF$218)-ROW(DF$170)+1)/(DF$170:DF$218&lt;&gt;""),ROWS(DM$1:DM36))),"")</f>
        <v>170.05550796523411</v>
      </c>
      <c r="DN205" s="166">
        <f t="shared" si="85"/>
        <v>205</v>
      </c>
      <c r="DO205" s="164">
        <f>IFERROR(INDEX(DG$170:DG$218,_xlfn.AGGREGATE(15,6,(ROW(DG$170:DG$218)-ROW(DG$170)+1)/(DG$170:DG$218&lt;&gt;""),ROWS(DO$1:DO36))),"")</f>
        <v>33</v>
      </c>
      <c r="DP205" s="165">
        <f>IFERROR(INDEX(DH$170:DH$218,_xlfn.AGGREGATE(15,6,(ROW(DH$170:DH$218)-ROW(DH$170)+1)/(DH$170:DH$218&lt;&gt;""),ROWS(DP$1:DP36))),"")</f>
        <v>205.52573816421292</v>
      </c>
      <c r="DQ205" s="166">
        <f t="shared" si="86"/>
        <v>205</v>
      </c>
      <c r="DV205" s="145">
        <v>2050</v>
      </c>
      <c r="DW205" s="235">
        <f t="shared" ca="1" si="70"/>
        <v>172.11891906712918</v>
      </c>
      <c r="EA205" s="55"/>
      <c r="EB205" s="55"/>
      <c r="EC205" s="55"/>
      <c r="ED205" s="55"/>
      <c r="EE205" s="55"/>
    </row>
    <row r="206" spans="2:135" ht="13.8" x14ac:dyDescent="0.45">
      <c r="B206" s="128">
        <v>2048</v>
      </c>
      <c r="C206" s="953">
        <v>221.13333333333335</v>
      </c>
      <c r="D206" s="944">
        <v>150.96456412863046</v>
      </c>
      <c r="E206" s="945"/>
      <c r="F206" s="1039"/>
      <c r="G206" s="981"/>
      <c r="H206" s="1040"/>
      <c r="I206" s="1112">
        <v>138.56470588235297</v>
      </c>
      <c r="J206" s="247"/>
      <c r="K206" s="245"/>
      <c r="L206" s="246"/>
      <c r="M206" s="245"/>
      <c r="N206" s="29" t="s">
        <v>119</v>
      </c>
      <c r="O206" s="120"/>
      <c r="P206" s="120"/>
      <c r="Q206" s="120"/>
      <c r="R206" s="29">
        <v>34</v>
      </c>
      <c r="S206" s="238">
        <f t="shared" si="71"/>
        <v>138.56470588235297</v>
      </c>
      <c r="T206" s="238">
        <f t="shared" si="72"/>
        <v>221.13333333333335</v>
      </c>
      <c r="U206" s="238">
        <f t="shared" si="73"/>
        <v>36.354719845448436</v>
      </c>
      <c r="W206" s="238">
        <f t="shared" si="74"/>
        <v>133.86614793599051</v>
      </c>
      <c r="X206" s="238">
        <f t="shared" si="104"/>
        <v>170.22086778143895</v>
      </c>
      <c r="Y206" s="238">
        <f t="shared" si="76"/>
        <v>206.5755876268874</v>
      </c>
      <c r="AA206" s="1133">
        <v>150.96456412863057</v>
      </c>
      <c r="AB206" s="1133">
        <v>186.04894873098192</v>
      </c>
      <c r="AC206" s="1133">
        <v>221.13333333333327</v>
      </c>
      <c r="AD206" s="89"/>
      <c r="AE206" s="89"/>
      <c r="AF206" s="89"/>
      <c r="AG206" s="89"/>
      <c r="AH206" s="89"/>
      <c r="AI206" s="89"/>
      <c r="AJ206" s="89"/>
      <c r="AK206" s="89"/>
      <c r="AL206" s="89"/>
      <c r="AM206" s="89"/>
      <c r="AN206" s="89"/>
      <c r="BR206" s="180">
        <v>2046</v>
      </c>
      <c r="BS206" s="22">
        <v>32</v>
      </c>
      <c r="BT206" s="181">
        <f t="shared" si="87"/>
        <v>3.8642724441286416</v>
      </c>
      <c r="BU206" s="182">
        <f t="shared" si="88"/>
        <v>165.83678644767548</v>
      </c>
      <c r="BV206" s="205">
        <f t="shared" si="89"/>
        <v>169.70105889180411</v>
      </c>
      <c r="BY206" s="180">
        <v>2046</v>
      </c>
      <c r="BZ206" s="22">
        <v>32</v>
      </c>
      <c r="CA206" s="198">
        <f t="shared" ca="1" si="90"/>
        <v>13.17735701835103</v>
      </c>
      <c r="CB206" s="198">
        <f t="shared" ca="1" si="91"/>
        <v>-13.566125403818667</v>
      </c>
      <c r="CC206" s="198">
        <f t="shared" ca="1" si="102"/>
        <v>169.20462893781897</v>
      </c>
      <c r="CD206" s="205">
        <f t="shared" ca="1" si="92"/>
        <v>168.81586055235132</v>
      </c>
      <c r="CG206" s="180">
        <v>2046</v>
      </c>
      <c r="CH206" s="22">
        <v>32</v>
      </c>
      <c r="CI206" s="198">
        <f t="shared" ca="1" si="93"/>
        <v>-41.251474780372035</v>
      </c>
      <c r="CJ206" s="198">
        <f t="shared" ca="1" si="94"/>
        <v>92.457535111878528</v>
      </c>
      <c r="CK206" s="198">
        <f t="shared" ca="1" si="95"/>
        <v>-51.582743323972053</v>
      </c>
      <c r="CL206" s="198">
        <f t="shared" ca="1" si="96"/>
        <v>171.86794742064839</v>
      </c>
      <c r="CM206" s="205">
        <f t="shared" ca="1" si="97"/>
        <v>171.49126442818283</v>
      </c>
      <c r="CP206" s="180">
        <v>2046</v>
      </c>
      <c r="CQ206" s="22">
        <v>32</v>
      </c>
      <c r="CR206" s="198">
        <f t="shared" ca="1" si="98"/>
        <v>165.91081760415338</v>
      </c>
      <c r="CS206" s="198">
        <f t="shared" ca="1" si="99"/>
        <v>1.0208833656554928</v>
      </c>
      <c r="CT206" s="205">
        <f t="shared" ca="1" si="100"/>
        <v>169.37559387438267</v>
      </c>
      <c r="CZ206" s="164" t="b">
        <f t="shared" si="77"/>
        <v>1</v>
      </c>
      <c r="DA206" s="165" t="b">
        <f t="shared" si="77"/>
        <v>1</v>
      </c>
      <c r="DB206" s="166" t="b">
        <f t="shared" si="77"/>
        <v>1</v>
      </c>
      <c r="DC206" s="164">
        <f t="shared" si="78"/>
        <v>34</v>
      </c>
      <c r="DD206" s="166">
        <f t="shared" si="79"/>
        <v>133.86614793599051</v>
      </c>
      <c r="DE206" s="164">
        <f t="shared" si="80"/>
        <v>34</v>
      </c>
      <c r="DF206" s="166">
        <f t="shared" si="81"/>
        <v>170.22086778143895</v>
      </c>
      <c r="DG206" s="164">
        <f t="shared" si="82"/>
        <v>34</v>
      </c>
      <c r="DH206" s="166">
        <f t="shared" si="83"/>
        <v>206.5755876268874</v>
      </c>
      <c r="DI206" s="164">
        <f>IFERROR(INDEX(DC$170:DC$218,_xlfn.AGGREGATE(15,6,(ROW(DC$170:DC$218)-ROW(DC$170)+1)/(DC$170:DC$218&lt;&gt;""),ROWS(DI$1:DI37))),"")</f>
        <v>34</v>
      </c>
      <c r="DJ206" s="165">
        <f>IFERROR(INDEX(DD$170:DD$218,_xlfn.AGGREGATE(15,6,(ROW(DD$170:DD$218)-ROW(DD$170)+1)/(DD$170:DD$218&lt;&gt;""),ROWS(DJ$1:DJ37))),"")</f>
        <v>133.86614793599051</v>
      </c>
      <c r="DK206" s="166">
        <f t="shared" si="84"/>
        <v>206</v>
      </c>
      <c r="DL206" s="164">
        <f>IFERROR(INDEX(DE$170:DE$218,_xlfn.AGGREGATE(15,6,(ROW(DE$170:DE$218)-ROW(DE$170)+1)/(DE$170:DE$218&lt;&gt;""),ROWS(DL$1:DL37))),"")</f>
        <v>34</v>
      </c>
      <c r="DM206" s="165">
        <f>IFERROR(INDEX(DF$170:DF$218,_xlfn.AGGREGATE(15,6,(ROW(DF$170:DF$218)-ROW(DF$170)+1)/(DF$170:DF$218&lt;&gt;""),ROWS(DM$1:DM37))),"")</f>
        <v>170.22086778143895</v>
      </c>
      <c r="DN206" s="166">
        <f t="shared" si="85"/>
        <v>206</v>
      </c>
      <c r="DO206" s="164">
        <f>IFERROR(INDEX(DG$170:DG$218,_xlfn.AGGREGATE(15,6,(ROW(DG$170:DG$218)-ROW(DG$170)+1)/(DG$170:DG$218&lt;&gt;""),ROWS(DO$1:DO37))),"")</f>
        <v>34</v>
      </c>
      <c r="DP206" s="165">
        <f>IFERROR(INDEX(DH$170:DH$218,_xlfn.AGGREGATE(15,6,(ROW(DH$170:DH$218)-ROW(DH$170)+1)/(DH$170:DH$218&lt;&gt;""),ROWS(DP$1:DP37))),"")</f>
        <v>206.5755876268874</v>
      </c>
      <c r="DQ206" s="166">
        <f t="shared" si="86"/>
        <v>206</v>
      </c>
      <c r="DV206" s="145">
        <v>2051</v>
      </c>
      <c r="DW206" s="235">
        <f t="shared" ca="1" si="70"/>
        <v>172.06636560522898</v>
      </c>
      <c r="EA206" s="55"/>
      <c r="EB206" s="55"/>
      <c r="EC206" s="55"/>
      <c r="ED206" s="55"/>
      <c r="EE206" s="55"/>
    </row>
    <row r="207" spans="2:135" ht="13.8" x14ac:dyDescent="0.45">
      <c r="B207" s="128">
        <v>2049</v>
      </c>
      <c r="C207" s="953">
        <v>222.43333333333337</v>
      </c>
      <c r="D207" s="944">
        <v>151.41913553382125</v>
      </c>
      <c r="E207" s="945"/>
      <c r="F207" s="1039"/>
      <c r="G207" s="981"/>
      <c r="H207" s="1040"/>
      <c r="I207" s="1112">
        <v>137.33235294117651</v>
      </c>
      <c r="J207" s="247"/>
      <c r="K207" s="245"/>
      <c r="L207" s="246"/>
      <c r="M207" s="245"/>
      <c r="N207" s="29" t="s">
        <v>119</v>
      </c>
      <c r="O207" s="120"/>
      <c r="P207" s="120"/>
      <c r="Q207" s="120"/>
      <c r="R207" s="29">
        <v>35</v>
      </c>
      <c r="S207" s="238">
        <f t="shared" si="71"/>
        <v>137.33235294117651</v>
      </c>
      <c r="T207" s="238">
        <f t="shared" si="72"/>
        <v>222.43333333333337</v>
      </c>
      <c r="U207" s="238">
        <f t="shared" si="73"/>
        <v>37.243389565020586</v>
      </c>
      <c r="W207" s="238">
        <f t="shared" si="74"/>
        <v>133.15155103775646</v>
      </c>
      <c r="X207" s="238">
        <f t="shared" si="104"/>
        <v>170.39494060277704</v>
      </c>
      <c r="Y207" s="238">
        <f t="shared" si="76"/>
        <v>207.63833016779762</v>
      </c>
      <c r="AA207" s="1133">
        <v>151.41913553382113</v>
      </c>
      <c r="AB207" s="1133">
        <v>186.92623443357729</v>
      </c>
      <c r="AC207" s="1133">
        <v>222.43333333333345</v>
      </c>
      <c r="AD207" s="89"/>
      <c r="AE207" s="89"/>
      <c r="AF207" s="89"/>
      <c r="AG207" s="89"/>
      <c r="AH207" s="89"/>
      <c r="AI207" s="89"/>
      <c r="AJ207" s="89"/>
      <c r="AK207" s="89"/>
      <c r="AL207" s="89"/>
      <c r="AM207" s="89"/>
      <c r="AN207" s="89"/>
      <c r="BR207" s="180">
        <v>2047</v>
      </c>
      <c r="BS207" s="22">
        <v>33</v>
      </c>
      <c r="BT207" s="181">
        <f t="shared" si="87"/>
        <v>3.9850309580076617</v>
      </c>
      <c r="BU207" s="182">
        <f t="shared" si="88"/>
        <v>165.83678644767548</v>
      </c>
      <c r="BV207" s="205">
        <f t="shared" si="89"/>
        <v>169.82181740568313</v>
      </c>
      <c r="BY207" s="180">
        <v>2047</v>
      </c>
      <c r="BZ207" s="22">
        <v>33</v>
      </c>
      <c r="CA207" s="198">
        <f t="shared" ca="1" si="90"/>
        <v>14.013810344711203</v>
      </c>
      <c r="CB207" s="198">
        <f t="shared" ca="1" si="91"/>
        <v>-13.990066822688</v>
      </c>
      <c r="CC207" s="198">
        <f t="shared" ca="1" si="102"/>
        <v>169.20462893781897</v>
      </c>
      <c r="CD207" s="205">
        <f t="shared" ca="1" si="92"/>
        <v>169.22837245984218</v>
      </c>
      <c r="CG207" s="180">
        <v>2047</v>
      </c>
      <c r="CH207" s="22">
        <v>33</v>
      </c>
      <c r="CI207" s="198">
        <f t="shared" ca="1" si="93"/>
        <v>-45.240913366156917</v>
      </c>
      <c r="CJ207" s="198">
        <f t="shared" ca="1" si="94"/>
        <v>98.326421618003636</v>
      </c>
      <c r="CK207" s="198">
        <f t="shared" ca="1" si="95"/>
        <v>-53.194704052846177</v>
      </c>
      <c r="CL207" s="198">
        <f t="shared" ca="1" si="96"/>
        <v>171.86794742064839</v>
      </c>
      <c r="CM207" s="205">
        <f t="shared" ca="1" si="97"/>
        <v>171.75875161964893</v>
      </c>
      <c r="CP207" s="180">
        <v>2047</v>
      </c>
      <c r="CQ207" s="22">
        <v>33</v>
      </c>
      <c r="CR207" s="198">
        <f t="shared" ca="1" si="98"/>
        <v>165.91081760415338</v>
      </c>
      <c r="CS207" s="198">
        <f t="shared" ca="1" si="99"/>
        <v>1.0215429511675589</v>
      </c>
      <c r="CT207" s="205">
        <f t="shared" ca="1" si="100"/>
        <v>169.48502624596944</v>
      </c>
      <c r="CZ207" s="164" t="b">
        <f t="shared" si="77"/>
        <v>1</v>
      </c>
      <c r="DA207" s="165" t="b">
        <f t="shared" si="77"/>
        <v>1</v>
      </c>
      <c r="DB207" s="166" t="b">
        <f t="shared" si="77"/>
        <v>1</v>
      </c>
      <c r="DC207" s="164">
        <f t="shared" si="78"/>
        <v>35</v>
      </c>
      <c r="DD207" s="166">
        <f t="shared" si="79"/>
        <v>133.15155103775646</v>
      </c>
      <c r="DE207" s="164">
        <f t="shared" si="80"/>
        <v>35</v>
      </c>
      <c r="DF207" s="166">
        <f t="shared" si="81"/>
        <v>170.39494060277704</v>
      </c>
      <c r="DG207" s="164">
        <f t="shared" si="82"/>
        <v>35</v>
      </c>
      <c r="DH207" s="166">
        <f t="shared" si="83"/>
        <v>207.63833016779762</v>
      </c>
      <c r="DI207" s="164">
        <f>IFERROR(INDEX(DC$170:DC$218,_xlfn.AGGREGATE(15,6,(ROW(DC$170:DC$218)-ROW(DC$170)+1)/(DC$170:DC$218&lt;&gt;""),ROWS(DI$1:DI38))),"")</f>
        <v>35</v>
      </c>
      <c r="DJ207" s="165">
        <f>IFERROR(INDEX(DD$170:DD$218,_xlfn.AGGREGATE(15,6,(ROW(DD$170:DD$218)-ROW(DD$170)+1)/(DD$170:DD$218&lt;&gt;""),ROWS(DJ$1:DJ38))),"")</f>
        <v>133.15155103775646</v>
      </c>
      <c r="DK207" s="166">
        <f t="shared" si="84"/>
        <v>207</v>
      </c>
      <c r="DL207" s="164">
        <f>IFERROR(INDEX(DE$170:DE$218,_xlfn.AGGREGATE(15,6,(ROW(DE$170:DE$218)-ROW(DE$170)+1)/(DE$170:DE$218&lt;&gt;""),ROWS(DL$1:DL38))),"")</f>
        <v>35</v>
      </c>
      <c r="DM207" s="165">
        <f>IFERROR(INDEX(DF$170:DF$218,_xlfn.AGGREGATE(15,6,(ROW(DF$170:DF$218)-ROW(DF$170)+1)/(DF$170:DF$218&lt;&gt;""),ROWS(DM$1:DM38))),"")</f>
        <v>170.39494060277704</v>
      </c>
      <c r="DN207" s="166">
        <f t="shared" si="85"/>
        <v>207</v>
      </c>
      <c r="DO207" s="164">
        <f>IFERROR(INDEX(DG$170:DG$218,_xlfn.AGGREGATE(15,6,(ROW(DG$170:DG$218)-ROW(DG$170)+1)/(DG$170:DG$218&lt;&gt;""),ROWS(DO$1:DO38))),"")</f>
        <v>35</v>
      </c>
      <c r="DP207" s="165">
        <f>IFERROR(INDEX(DH$170:DH$218,_xlfn.AGGREGATE(15,6,(ROW(DH$170:DH$218)-ROW(DH$170)+1)/(DH$170:DH$218&lt;&gt;""),ROWS(DP$1:DP38))),"")</f>
        <v>207.63833016779762</v>
      </c>
      <c r="DQ207" s="166">
        <f t="shared" si="86"/>
        <v>207</v>
      </c>
      <c r="DV207" s="145">
        <v>2052</v>
      </c>
      <c r="DW207" s="235">
        <f t="shared" ca="1" si="70"/>
        <v>171.91491855342147</v>
      </c>
      <c r="EA207" s="55"/>
      <c r="EB207" s="55"/>
      <c r="EC207" s="55"/>
      <c r="ED207" s="55"/>
      <c r="EE207" s="55"/>
    </row>
    <row r="208" spans="2:135" ht="13.8" x14ac:dyDescent="0.45">
      <c r="B208" s="128">
        <v>2050</v>
      </c>
      <c r="C208" s="953">
        <v>222.8</v>
      </c>
      <c r="D208" s="944">
        <v>151.90696170007254</v>
      </c>
      <c r="E208" s="945"/>
      <c r="F208" s="1039"/>
      <c r="G208" s="981"/>
      <c r="H208" s="1040"/>
      <c r="I208" s="1112">
        <v>136.1</v>
      </c>
      <c r="J208" s="247"/>
      <c r="K208" s="245"/>
      <c r="L208" s="246"/>
      <c r="M208" s="245"/>
      <c r="N208" s="29" t="s">
        <v>119</v>
      </c>
      <c r="O208" s="120"/>
      <c r="P208" s="120"/>
      <c r="Q208" s="120"/>
      <c r="R208" s="29">
        <v>36</v>
      </c>
      <c r="S208" s="238">
        <f t="shared" si="71"/>
        <v>136.1</v>
      </c>
      <c r="T208" s="238">
        <f t="shared" si="72"/>
        <v>222.8</v>
      </c>
      <c r="U208" s="238">
        <f t="shared" si="73"/>
        <v>37.701418949987932</v>
      </c>
      <c r="W208" s="238">
        <f t="shared" si="74"/>
        <v>132.56756828336958</v>
      </c>
      <c r="X208" s="238">
        <f t="shared" si="104"/>
        <v>170.26898723335751</v>
      </c>
      <c r="Y208" s="238">
        <f t="shared" si="76"/>
        <v>207.97040618334543</v>
      </c>
      <c r="AA208" s="1133">
        <v>151.90696170007254</v>
      </c>
      <c r="AB208" s="1133">
        <v>187.35348085003628</v>
      </c>
      <c r="AC208" s="1133">
        <v>222.8</v>
      </c>
      <c r="AD208" s="89"/>
      <c r="AE208" s="89"/>
      <c r="AF208" s="89"/>
      <c r="AG208" s="89"/>
      <c r="AH208" s="89"/>
      <c r="AI208" s="89"/>
      <c r="AJ208" s="89"/>
      <c r="AK208" s="89"/>
      <c r="AL208" s="89"/>
      <c r="AM208" s="89"/>
      <c r="AN208" s="89"/>
      <c r="BR208" s="180">
        <v>2048</v>
      </c>
      <c r="BS208" s="22">
        <v>34</v>
      </c>
      <c r="BT208" s="181">
        <f t="shared" si="87"/>
        <v>4.1057894718866814</v>
      </c>
      <c r="BU208" s="182">
        <f t="shared" si="88"/>
        <v>165.83678644767548</v>
      </c>
      <c r="BV208" s="205">
        <f t="shared" si="89"/>
        <v>169.94257591956216</v>
      </c>
      <c r="BY208" s="180">
        <v>2048</v>
      </c>
      <c r="BZ208" s="22">
        <v>34</v>
      </c>
      <c r="CA208" s="198">
        <f t="shared" ca="1" si="90"/>
        <v>14.876000696497842</v>
      </c>
      <c r="CB208" s="198">
        <f t="shared" ca="1" si="91"/>
        <v>-14.414008241557333</v>
      </c>
      <c r="CC208" s="198">
        <f t="shared" ca="1" si="102"/>
        <v>169.20462893781897</v>
      </c>
      <c r="CD208" s="205">
        <f t="shared" ca="1" si="92"/>
        <v>169.66662139275948</v>
      </c>
      <c r="CG208" s="180">
        <v>2048</v>
      </c>
      <c r="CH208" s="22">
        <v>34</v>
      </c>
      <c r="CI208" s="198">
        <f t="shared" ca="1" si="93"/>
        <v>-49.479613182609327</v>
      </c>
      <c r="CJ208" s="198">
        <f t="shared" ca="1" si="94"/>
        <v>104.37588924739411</v>
      </c>
      <c r="CK208" s="198">
        <f t="shared" ca="1" si="95"/>
        <v>-54.806664781720308</v>
      </c>
      <c r="CL208" s="198">
        <f t="shared" ca="1" si="96"/>
        <v>171.86794742064839</v>
      </c>
      <c r="CM208" s="205">
        <f t="shared" ca="1" si="97"/>
        <v>171.95755870371286</v>
      </c>
      <c r="CP208" s="180">
        <v>2048</v>
      </c>
      <c r="CQ208" s="22">
        <v>34</v>
      </c>
      <c r="CR208" s="198">
        <f t="shared" ca="1" si="98"/>
        <v>165.91081760415338</v>
      </c>
      <c r="CS208" s="198">
        <f t="shared" ca="1" si="99"/>
        <v>1.022202962833153</v>
      </c>
      <c r="CT208" s="205">
        <f t="shared" ca="1" si="100"/>
        <v>169.59452932103642</v>
      </c>
      <c r="CZ208" s="164" t="b">
        <f t="shared" si="77"/>
        <v>1</v>
      </c>
      <c r="DA208" s="165" t="b">
        <f t="shared" si="77"/>
        <v>1</v>
      </c>
      <c r="DB208" s="166" t="b">
        <f t="shared" si="77"/>
        <v>1</v>
      </c>
      <c r="DC208" s="164">
        <f t="shared" si="78"/>
        <v>36</v>
      </c>
      <c r="DD208" s="166">
        <f t="shared" si="79"/>
        <v>132.56756828336958</v>
      </c>
      <c r="DE208" s="164">
        <f t="shared" si="80"/>
        <v>36</v>
      </c>
      <c r="DF208" s="166">
        <f t="shared" si="81"/>
        <v>170.26898723335751</v>
      </c>
      <c r="DG208" s="164">
        <f t="shared" si="82"/>
        <v>36</v>
      </c>
      <c r="DH208" s="166">
        <f t="shared" si="83"/>
        <v>207.97040618334543</v>
      </c>
      <c r="DI208" s="164">
        <f>IFERROR(INDEX(DC$170:DC$218,_xlfn.AGGREGATE(15,6,(ROW(DC$170:DC$218)-ROW(DC$170)+1)/(DC$170:DC$218&lt;&gt;""),ROWS(DI$1:DI39))),"")</f>
        <v>36</v>
      </c>
      <c r="DJ208" s="165">
        <f>IFERROR(INDEX(DD$170:DD$218,_xlfn.AGGREGATE(15,6,(ROW(DD$170:DD$218)-ROW(DD$170)+1)/(DD$170:DD$218&lt;&gt;""),ROWS(DJ$1:DJ39))),"")</f>
        <v>132.56756828336958</v>
      </c>
      <c r="DK208" s="166">
        <f t="shared" si="84"/>
        <v>208</v>
      </c>
      <c r="DL208" s="164">
        <f>IFERROR(INDEX(DE$170:DE$218,_xlfn.AGGREGATE(15,6,(ROW(DE$170:DE$218)-ROW(DE$170)+1)/(DE$170:DE$218&lt;&gt;""),ROWS(DL$1:DL39))),"")</f>
        <v>36</v>
      </c>
      <c r="DM208" s="165">
        <f>IFERROR(INDEX(DF$170:DF$218,_xlfn.AGGREGATE(15,6,(ROW(DF$170:DF$218)-ROW(DF$170)+1)/(DF$170:DF$218&lt;&gt;""),ROWS(DM$1:DM39))),"")</f>
        <v>170.26898723335751</v>
      </c>
      <c r="DN208" s="166">
        <f t="shared" si="85"/>
        <v>208</v>
      </c>
      <c r="DO208" s="164">
        <f>IFERROR(INDEX(DG$170:DG$218,_xlfn.AGGREGATE(15,6,(ROW(DG$170:DG$218)-ROW(DG$170)+1)/(DG$170:DG$218&lt;&gt;""),ROWS(DO$1:DO39))),"")</f>
        <v>36</v>
      </c>
      <c r="DP208" s="165">
        <f>IFERROR(INDEX(DH$170:DH$218,_xlfn.AGGREGATE(15,6,(ROW(DH$170:DH$218)-ROW(DH$170)+1)/(DH$170:DH$218&lt;&gt;""),ROWS(DP$1:DP39))),"")</f>
        <v>207.97040618334543</v>
      </c>
      <c r="DQ208" s="166">
        <f t="shared" si="86"/>
        <v>208</v>
      </c>
      <c r="DV208" s="145">
        <v>2053</v>
      </c>
      <c r="DW208" s="235">
        <f t="shared" ca="1" si="70"/>
        <v>171.65702454108035</v>
      </c>
      <c r="EA208" s="55"/>
      <c r="EB208" s="55"/>
      <c r="EC208" s="55"/>
      <c r="ED208" s="55"/>
      <c r="EE208" s="55"/>
    </row>
    <row r="209" spans="1:135" ht="13.8" x14ac:dyDescent="0.45">
      <c r="B209" s="128">
        <v>2051</v>
      </c>
      <c r="C209" s="953">
        <v>225.03333333333336</v>
      </c>
      <c r="D209" s="944">
        <v>152.43515837304511</v>
      </c>
      <c r="E209" s="945"/>
      <c r="F209" s="1039"/>
      <c r="G209" s="981"/>
      <c r="H209" s="1040"/>
      <c r="I209" s="1112">
        <v>134.86764705882354</v>
      </c>
      <c r="J209" s="247"/>
      <c r="K209" s="245"/>
      <c r="L209" s="246"/>
      <c r="M209" s="245"/>
      <c r="N209" s="29" t="s">
        <v>119</v>
      </c>
      <c r="O209" s="120"/>
      <c r="P209" s="120"/>
      <c r="Q209" s="120"/>
      <c r="R209" s="29">
        <v>37</v>
      </c>
      <c r="S209" s="238">
        <f t="shared" si="71"/>
        <v>134.86764705882354</v>
      </c>
      <c r="T209" s="238">
        <f t="shared" si="72"/>
        <v>225.03333333333336</v>
      </c>
      <c r="U209" s="238">
        <f t="shared" si="73"/>
        <v>39.028427591939291</v>
      </c>
      <c r="W209" s="238">
        <f t="shared" si="74"/>
        <v>131.75028532979474</v>
      </c>
      <c r="X209" s="238">
        <f t="shared" si="104"/>
        <v>170.77871292173401</v>
      </c>
      <c r="Y209" s="238">
        <f t="shared" si="76"/>
        <v>209.80714051367329</v>
      </c>
      <c r="AA209" s="1133">
        <v>152.43515837304508</v>
      </c>
      <c r="AB209" s="1133">
        <v>188.73424585318924</v>
      </c>
      <c r="AC209" s="1133">
        <v>225.03333333333339</v>
      </c>
      <c r="AD209" s="89"/>
      <c r="AE209" s="89"/>
      <c r="AF209" s="89"/>
      <c r="AG209" s="89"/>
      <c r="AH209" s="89"/>
      <c r="AI209" s="89"/>
      <c r="AJ209" s="89"/>
      <c r="AK209" s="89"/>
      <c r="AL209" s="89"/>
      <c r="AM209" s="89"/>
      <c r="AN209" s="89"/>
      <c r="BR209" s="180">
        <v>2049</v>
      </c>
      <c r="BS209" s="22">
        <v>35</v>
      </c>
      <c r="BT209" s="181">
        <f t="shared" si="87"/>
        <v>4.226547985765702</v>
      </c>
      <c r="BU209" s="182">
        <f t="shared" si="88"/>
        <v>165.83678644767548</v>
      </c>
      <c r="BV209" s="205">
        <f t="shared" si="89"/>
        <v>170.06333443344118</v>
      </c>
      <c r="BY209" s="180">
        <v>2049</v>
      </c>
      <c r="BZ209" s="22">
        <v>35</v>
      </c>
      <c r="CA209" s="198">
        <f t="shared" ca="1" si="90"/>
        <v>15.763928073710948</v>
      </c>
      <c r="CB209" s="198">
        <f t="shared" ca="1" si="91"/>
        <v>-14.837949660426666</v>
      </c>
      <c r="CC209" s="198">
        <f t="shared" ca="1" si="102"/>
        <v>169.20462893781897</v>
      </c>
      <c r="CD209" s="205">
        <f t="shared" ca="1" si="92"/>
        <v>170.13060735110324</v>
      </c>
      <c r="CG209" s="180">
        <v>2049</v>
      </c>
      <c r="CH209" s="22">
        <v>35</v>
      </c>
      <c r="CI209" s="198">
        <f t="shared" ca="1" si="93"/>
        <v>-53.975127600355563</v>
      </c>
      <c r="CJ209" s="198">
        <f t="shared" ca="1" si="94"/>
        <v>110.60593800005</v>
      </c>
      <c r="CK209" s="198">
        <f t="shared" ca="1" si="95"/>
        <v>-56.418625510594431</v>
      </c>
      <c r="CL209" s="198">
        <f t="shared" ca="1" si="96"/>
        <v>171.86794742064839</v>
      </c>
      <c r="CM209" s="205">
        <f t="shared" ca="1" si="97"/>
        <v>172.08013230974839</v>
      </c>
      <c r="CP209" s="180">
        <v>2049</v>
      </c>
      <c r="CQ209" s="22">
        <v>35</v>
      </c>
      <c r="CR209" s="198">
        <f t="shared" ca="1" si="98"/>
        <v>165.91081760415338</v>
      </c>
      <c r="CS209" s="198">
        <f t="shared" ca="1" si="99"/>
        <v>1.0228634009276096</v>
      </c>
      <c r="CT209" s="205">
        <f t="shared" ca="1" si="100"/>
        <v>169.70410314526464</v>
      </c>
      <c r="CZ209" s="164" t="b">
        <f t="shared" si="77"/>
        <v>1</v>
      </c>
      <c r="DA209" s="165" t="b">
        <f t="shared" si="77"/>
        <v>1</v>
      </c>
      <c r="DB209" s="166" t="b">
        <f t="shared" si="77"/>
        <v>1</v>
      </c>
      <c r="DC209" s="164">
        <f t="shared" si="78"/>
        <v>37</v>
      </c>
      <c r="DD209" s="166">
        <f t="shared" si="79"/>
        <v>131.75028532979474</v>
      </c>
      <c r="DE209" s="164">
        <f t="shared" si="80"/>
        <v>37</v>
      </c>
      <c r="DF209" s="166">
        <f t="shared" si="81"/>
        <v>170.77871292173401</v>
      </c>
      <c r="DG209" s="164">
        <f t="shared" si="82"/>
        <v>37</v>
      </c>
      <c r="DH209" s="166">
        <f t="shared" si="83"/>
        <v>209.80714051367329</v>
      </c>
      <c r="DI209" s="164">
        <f>IFERROR(INDEX(DC$170:DC$218,_xlfn.AGGREGATE(15,6,(ROW(DC$170:DC$218)-ROW(DC$170)+1)/(DC$170:DC$218&lt;&gt;""),ROWS(DI$1:DI40))),"")</f>
        <v>37</v>
      </c>
      <c r="DJ209" s="165">
        <f>IFERROR(INDEX(DD$170:DD$218,_xlfn.AGGREGATE(15,6,(ROW(DD$170:DD$218)-ROW(DD$170)+1)/(DD$170:DD$218&lt;&gt;""),ROWS(DJ$1:DJ40))),"")</f>
        <v>131.75028532979474</v>
      </c>
      <c r="DK209" s="166">
        <f t="shared" si="84"/>
        <v>209</v>
      </c>
      <c r="DL209" s="164">
        <f>IFERROR(INDEX(DE$170:DE$218,_xlfn.AGGREGATE(15,6,(ROW(DE$170:DE$218)-ROW(DE$170)+1)/(DE$170:DE$218&lt;&gt;""),ROWS(DL$1:DL40))),"")</f>
        <v>37</v>
      </c>
      <c r="DM209" s="165">
        <f>IFERROR(INDEX(DF$170:DF$218,_xlfn.AGGREGATE(15,6,(ROW(DF$170:DF$218)-ROW(DF$170)+1)/(DF$170:DF$218&lt;&gt;""),ROWS(DM$1:DM40))),"")</f>
        <v>170.77871292173401</v>
      </c>
      <c r="DN209" s="166">
        <f t="shared" si="85"/>
        <v>209</v>
      </c>
      <c r="DO209" s="164">
        <f>IFERROR(INDEX(DG$170:DG$218,_xlfn.AGGREGATE(15,6,(ROW(DG$170:DG$218)-ROW(DG$170)+1)/(DG$170:DG$218&lt;&gt;""),ROWS(DO$1:DO40))),"")</f>
        <v>37</v>
      </c>
      <c r="DP209" s="165">
        <f>IFERROR(INDEX(DH$170:DH$218,_xlfn.AGGREGATE(15,6,(ROW(DH$170:DH$218)-ROW(DH$170)+1)/(DH$170:DH$218&lt;&gt;""),ROWS(DP$1:DP40))),"")</f>
        <v>209.80714051367329</v>
      </c>
      <c r="DQ209" s="166">
        <f t="shared" si="86"/>
        <v>209</v>
      </c>
      <c r="DV209" s="145">
        <v>2054</v>
      </c>
      <c r="DW209" s="235">
        <f t="shared" ca="1" si="70"/>
        <v>171.28513019757941</v>
      </c>
      <c r="EA209" s="55"/>
      <c r="EB209" s="55"/>
      <c r="EC209" s="55"/>
      <c r="ED209" s="55"/>
      <c r="EE209" s="55"/>
    </row>
    <row r="210" spans="1:135" ht="14.1" thickBot="1" x14ac:dyDescent="0.5">
      <c r="B210" s="128">
        <v>2052</v>
      </c>
      <c r="C210" s="953">
        <v>226.33333333333337</v>
      </c>
      <c r="D210" s="944">
        <v>153.0108412983997</v>
      </c>
      <c r="E210" s="945"/>
      <c r="F210" s="1039"/>
      <c r="G210" s="981"/>
      <c r="H210" s="1040"/>
      <c r="I210" s="1112">
        <v>133.63529411764708</v>
      </c>
      <c r="J210" s="247"/>
      <c r="K210" s="245"/>
      <c r="L210" s="246"/>
      <c r="M210" s="245"/>
      <c r="N210" s="29" t="s">
        <v>119</v>
      </c>
      <c r="O210" s="120"/>
      <c r="P210" s="120"/>
      <c r="Q210" s="120"/>
      <c r="R210" s="29">
        <v>38</v>
      </c>
      <c r="S210" s="238">
        <f t="shared" si="71"/>
        <v>133.63529411764708</v>
      </c>
      <c r="T210" s="238">
        <f t="shared" si="72"/>
        <v>226.33333333333337</v>
      </c>
      <c r="U210" s="238">
        <f t="shared" si="73"/>
        <v>39.922878627562049</v>
      </c>
      <c r="W210" s="238">
        <f t="shared" si="74"/>
        <v>131.07027762223132</v>
      </c>
      <c r="X210" s="238">
        <f t="shared" si="104"/>
        <v>170.99315624979337</v>
      </c>
      <c r="Y210" s="238">
        <f t="shared" si="76"/>
        <v>210.91603487735543</v>
      </c>
      <c r="AA210" s="1133">
        <v>153.01084129839961</v>
      </c>
      <c r="AB210" s="1133">
        <v>189.67208731586652</v>
      </c>
      <c r="AC210" s="1133">
        <v>226.33333333333343</v>
      </c>
      <c r="AD210" s="89"/>
      <c r="AE210" s="89"/>
      <c r="AF210" s="89"/>
      <c r="AG210" s="89"/>
      <c r="AH210" s="89"/>
      <c r="AI210" s="89"/>
      <c r="AJ210" s="89"/>
      <c r="AK210" s="89"/>
      <c r="AL210" s="89"/>
      <c r="AM210" s="89"/>
      <c r="AN210" s="89"/>
      <c r="BR210" s="180">
        <v>2050</v>
      </c>
      <c r="BS210" s="22">
        <v>36</v>
      </c>
      <c r="BT210" s="181">
        <f t="shared" si="87"/>
        <v>4.3473064996447217</v>
      </c>
      <c r="BU210" s="182">
        <f t="shared" si="88"/>
        <v>165.83678644767548</v>
      </c>
      <c r="BV210" s="212">
        <f t="shared" si="89"/>
        <v>170.18409294732021</v>
      </c>
      <c r="BY210" s="180">
        <v>2050</v>
      </c>
      <c r="BZ210" s="22">
        <v>36</v>
      </c>
      <c r="CA210" s="198">
        <f t="shared" ca="1" si="90"/>
        <v>16.677592476350522</v>
      </c>
      <c r="CB210" s="198">
        <f t="shared" ca="1" si="91"/>
        <v>-15.261891079295999</v>
      </c>
      <c r="CC210" s="198">
        <f t="shared" ca="1" si="102"/>
        <v>169.20462893781897</v>
      </c>
      <c r="CD210" s="212">
        <f t="shared" ca="1" si="92"/>
        <v>170.6203303348735</v>
      </c>
      <c r="CG210" s="180">
        <v>2050</v>
      </c>
      <c r="CH210" s="22">
        <v>36</v>
      </c>
      <c r="CI210" s="198">
        <f t="shared" ca="1" si="93"/>
        <v>-58.735009990021901</v>
      </c>
      <c r="CJ210" s="198">
        <f t="shared" ca="1" si="94"/>
        <v>117.01656787597126</v>
      </c>
      <c r="CK210" s="198">
        <f t="shared" ca="1" si="95"/>
        <v>-58.030586239468562</v>
      </c>
      <c r="CL210" s="198">
        <f t="shared" ca="1" si="96"/>
        <v>171.86794742064839</v>
      </c>
      <c r="CM210" s="212">
        <f t="shared" ca="1" si="97"/>
        <v>172.11891906712918</v>
      </c>
      <c r="CP210" s="180">
        <v>2050</v>
      </c>
      <c r="CQ210" s="22">
        <v>36</v>
      </c>
      <c r="CR210" s="198">
        <f t="shared" ca="1" si="98"/>
        <v>165.91081760415338</v>
      </c>
      <c r="CS210" s="198">
        <f t="shared" ca="1" si="99"/>
        <v>1.0235242657264416</v>
      </c>
      <c r="CT210" s="212">
        <f t="shared" ca="1" si="100"/>
        <v>169.81374776436468</v>
      </c>
      <c r="CZ210" s="164" t="b">
        <f t="shared" ref="CZ210:DB218" si="105">ISNUMBER(W210)</f>
        <v>1</v>
      </c>
      <c r="DA210" s="165" t="b">
        <f t="shared" si="105"/>
        <v>1</v>
      </c>
      <c r="DB210" s="166" t="b">
        <f t="shared" si="105"/>
        <v>1</v>
      </c>
      <c r="DC210" s="164">
        <f t="shared" si="78"/>
        <v>38</v>
      </c>
      <c r="DD210" s="166">
        <f t="shared" si="79"/>
        <v>131.07027762223132</v>
      </c>
      <c r="DE210" s="164">
        <f t="shared" si="80"/>
        <v>38</v>
      </c>
      <c r="DF210" s="166">
        <f t="shared" si="81"/>
        <v>170.99315624979337</v>
      </c>
      <c r="DG210" s="164">
        <f t="shared" si="82"/>
        <v>38</v>
      </c>
      <c r="DH210" s="166">
        <f t="shared" si="83"/>
        <v>210.91603487735543</v>
      </c>
      <c r="DI210" s="164">
        <f>IFERROR(INDEX(DC$170:DC$218,_xlfn.AGGREGATE(15,6,(ROW(DC$170:DC$218)-ROW(DC$170)+1)/(DC$170:DC$218&lt;&gt;""),ROWS(DI$1:DI41))),"")</f>
        <v>38</v>
      </c>
      <c r="DJ210" s="165">
        <f>IFERROR(INDEX(DD$170:DD$218,_xlfn.AGGREGATE(15,6,(ROW(DD$170:DD$218)-ROW(DD$170)+1)/(DD$170:DD$218&lt;&gt;""),ROWS(DJ$1:DJ41))),"")</f>
        <v>131.07027762223132</v>
      </c>
      <c r="DK210" s="166">
        <f t="shared" si="84"/>
        <v>210</v>
      </c>
      <c r="DL210" s="164">
        <f>IFERROR(INDEX(DE$170:DE$218,_xlfn.AGGREGATE(15,6,(ROW(DE$170:DE$218)-ROW(DE$170)+1)/(DE$170:DE$218&lt;&gt;""),ROWS(DL$1:DL41))),"")</f>
        <v>38</v>
      </c>
      <c r="DM210" s="165">
        <f>IFERROR(INDEX(DF$170:DF$218,_xlfn.AGGREGATE(15,6,(ROW(DF$170:DF$218)-ROW(DF$170)+1)/(DF$170:DF$218&lt;&gt;""),ROWS(DM$1:DM41))),"")</f>
        <v>170.99315624979337</v>
      </c>
      <c r="DN210" s="166">
        <f t="shared" si="85"/>
        <v>210</v>
      </c>
      <c r="DO210" s="164">
        <f>IFERROR(INDEX(DG$170:DG$218,_xlfn.AGGREGATE(15,6,(ROW(DG$170:DG$218)-ROW(DG$170)+1)/(DG$170:DG$218&lt;&gt;""),ROWS(DO$1:DO41))),"")</f>
        <v>38</v>
      </c>
      <c r="DP210" s="165">
        <f>IFERROR(INDEX(DH$170:DH$218,_xlfn.AGGREGATE(15,6,(ROW(DH$170:DH$218)-ROW(DH$170)+1)/(DH$170:DH$218&lt;&gt;""),ROWS(DP$1:DP41))),"")</f>
        <v>210.91603487735543</v>
      </c>
      <c r="DQ210" s="166">
        <f t="shared" si="86"/>
        <v>210</v>
      </c>
      <c r="DV210" s="145">
        <v>2055</v>
      </c>
      <c r="DW210" s="235">
        <f t="shared" ca="1" si="70"/>
        <v>170.79168215229225</v>
      </c>
      <c r="EA210" s="55"/>
      <c r="EB210" s="55"/>
      <c r="EC210" s="55"/>
      <c r="ED210" s="55"/>
      <c r="EE210" s="55"/>
    </row>
    <row r="211" spans="1:135" ht="13.8" x14ac:dyDescent="0.45">
      <c r="B211" s="128">
        <v>2053</v>
      </c>
      <c r="C211" s="953">
        <v>227.63333333333338</v>
      </c>
      <c r="D211" s="944">
        <v>153.64112622179692</v>
      </c>
      <c r="E211" s="945"/>
      <c r="F211" s="1039"/>
      <c r="G211" s="981"/>
      <c r="H211" s="1040"/>
      <c r="I211" s="1112">
        <v>132.40294117647062</v>
      </c>
      <c r="J211" s="247"/>
      <c r="K211" s="245"/>
      <c r="L211" s="246"/>
      <c r="M211" s="245"/>
      <c r="N211" s="29" t="s">
        <v>119</v>
      </c>
      <c r="O211" s="120"/>
      <c r="P211" s="120"/>
      <c r="Q211" s="120"/>
      <c r="R211" s="29">
        <v>39</v>
      </c>
      <c r="S211" s="238">
        <f t="shared" si="71"/>
        <v>132.40294117647062</v>
      </c>
      <c r="T211" s="238">
        <f t="shared" si="72"/>
        <v>227.63333333333338</v>
      </c>
      <c r="U211" s="238">
        <f t="shared" si="73"/>
        <v>40.817663398209596</v>
      </c>
      <c r="W211" s="238">
        <f t="shared" si="74"/>
        <v>130.4081368456574</v>
      </c>
      <c r="X211" s="238">
        <f t="shared" si="104"/>
        <v>171.22580024386698</v>
      </c>
      <c r="Y211" s="238">
        <f t="shared" si="76"/>
        <v>212.04346364207657</v>
      </c>
      <c r="AA211" s="1133">
        <v>153.64112622179692</v>
      </c>
      <c r="AB211" s="1133">
        <v>190.63722977756515</v>
      </c>
      <c r="AC211" s="1133">
        <v>227.63333333333338</v>
      </c>
      <c r="AD211" s="89"/>
      <c r="AE211" s="89"/>
      <c r="AF211" s="89"/>
      <c r="AG211" s="89"/>
      <c r="AH211" s="89"/>
      <c r="AI211" s="89"/>
      <c r="AJ211" s="89"/>
      <c r="AK211" s="89"/>
      <c r="AL211" s="89"/>
      <c r="AM211" s="89"/>
      <c r="AN211" s="89"/>
      <c r="BR211" s="180">
        <v>2051</v>
      </c>
      <c r="BS211" s="22">
        <v>37</v>
      </c>
      <c r="BT211" s="181">
        <f t="shared" si="87"/>
        <v>4.4680650135237414</v>
      </c>
      <c r="BU211" s="182">
        <f t="shared" si="88"/>
        <v>165.83678644767548</v>
      </c>
      <c r="BV211" s="213">
        <f t="shared" si="89"/>
        <v>170.30485146119923</v>
      </c>
      <c r="BY211" s="180">
        <v>2051</v>
      </c>
      <c r="BZ211" s="22">
        <v>37</v>
      </c>
      <c r="CA211" s="198">
        <f t="shared" ca="1" si="90"/>
        <v>17.616993904416564</v>
      </c>
      <c r="CB211" s="198">
        <f t="shared" ca="1" si="91"/>
        <v>-15.685832498165334</v>
      </c>
      <c r="CC211" s="198">
        <f t="shared" ca="1" si="102"/>
        <v>169.20462893781897</v>
      </c>
      <c r="CD211" s="213">
        <f t="shared" ca="1" si="92"/>
        <v>171.13579034407019</v>
      </c>
      <c r="CG211" s="180">
        <v>2051</v>
      </c>
      <c r="CH211" s="22">
        <v>37</v>
      </c>
      <c r="CI211" s="198">
        <f t="shared" ca="1" si="93"/>
        <v>-63.766813722234637</v>
      </c>
      <c r="CJ211" s="198">
        <f t="shared" ca="1" si="94"/>
        <v>123.60777887515792</v>
      </c>
      <c r="CK211" s="198">
        <f t="shared" ca="1" si="95"/>
        <v>-59.642546968342685</v>
      </c>
      <c r="CL211" s="198">
        <f t="shared" ca="1" si="96"/>
        <v>171.86794742064839</v>
      </c>
      <c r="CM211" s="213">
        <f t="shared" ca="1" si="97"/>
        <v>172.06636560522898</v>
      </c>
      <c r="CP211" s="180">
        <v>2051</v>
      </c>
      <c r="CQ211" s="22">
        <v>37</v>
      </c>
      <c r="CR211" s="198">
        <f t="shared" ca="1" si="98"/>
        <v>165.91081760415338</v>
      </c>
      <c r="CS211" s="198">
        <f t="shared" ca="1" si="99"/>
        <v>1.0241855575053394</v>
      </c>
      <c r="CT211" s="213">
        <f t="shared" ca="1" si="100"/>
        <v>169.9234632240765</v>
      </c>
      <c r="CZ211" s="164" t="b">
        <f t="shared" si="105"/>
        <v>1</v>
      </c>
      <c r="DA211" s="165" t="b">
        <f t="shared" si="105"/>
        <v>1</v>
      </c>
      <c r="DB211" s="166" t="b">
        <f t="shared" si="105"/>
        <v>1</v>
      </c>
      <c r="DC211" s="164">
        <f t="shared" si="78"/>
        <v>39</v>
      </c>
      <c r="DD211" s="166">
        <f t="shared" si="79"/>
        <v>130.4081368456574</v>
      </c>
      <c r="DE211" s="164">
        <f t="shared" si="80"/>
        <v>39</v>
      </c>
      <c r="DF211" s="166">
        <f t="shared" si="81"/>
        <v>171.22580024386698</v>
      </c>
      <c r="DG211" s="164">
        <f t="shared" si="82"/>
        <v>39</v>
      </c>
      <c r="DH211" s="166">
        <f t="shared" si="83"/>
        <v>212.04346364207657</v>
      </c>
      <c r="DI211" s="164">
        <f>IFERROR(INDEX(DC$170:DC$218,_xlfn.AGGREGATE(15,6,(ROW(DC$170:DC$218)-ROW(DC$170)+1)/(DC$170:DC$218&lt;&gt;""),ROWS(DI$1:DI42))),"")</f>
        <v>39</v>
      </c>
      <c r="DJ211" s="165">
        <f>IFERROR(INDEX(DD$170:DD$218,_xlfn.AGGREGATE(15,6,(ROW(DD$170:DD$218)-ROW(DD$170)+1)/(DD$170:DD$218&lt;&gt;""),ROWS(DJ$1:DJ42))),"")</f>
        <v>130.4081368456574</v>
      </c>
      <c r="DK211" s="166">
        <f t="shared" si="84"/>
        <v>211</v>
      </c>
      <c r="DL211" s="164">
        <f>IFERROR(INDEX(DE$170:DE$218,_xlfn.AGGREGATE(15,6,(ROW(DE$170:DE$218)-ROW(DE$170)+1)/(DE$170:DE$218&lt;&gt;""),ROWS(DL$1:DL42))),"")</f>
        <v>39</v>
      </c>
      <c r="DM211" s="165">
        <f>IFERROR(INDEX(DF$170:DF$218,_xlfn.AGGREGATE(15,6,(ROW(DF$170:DF$218)-ROW(DF$170)+1)/(DF$170:DF$218&lt;&gt;""),ROWS(DM$1:DM42))),"")</f>
        <v>171.22580024386698</v>
      </c>
      <c r="DN211" s="166">
        <f t="shared" si="85"/>
        <v>211</v>
      </c>
      <c r="DO211" s="164">
        <f>IFERROR(INDEX(DG$170:DG$218,_xlfn.AGGREGATE(15,6,(ROW(DG$170:DG$218)-ROW(DG$170)+1)/(DG$170:DG$218&lt;&gt;""),ROWS(DO$1:DO42))),"")</f>
        <v>39</v>
      </c>
      <c r="DP211" s="165">
        <f>IFERROR(INDEX(DH$170:DH$218,_xlfn.AGGREGATE(15,6,(ROW(DH$170:DH$218)-ROW(DH$170)+1)/(DH$170:DH$218&lt;&gt;""),ROWS(DP$1:DP42))),"")</f>
        <v>212.04346364207657</v>
      </c>
      <c r="DQ211" s="166">
        <f t="shared" si="86"/>
        <v>211</v>
      </c>
      <c r="DV211" s="145">
        <v>2056</v>
      </c>
      <c r="DW211" s="235">
        <f t="shared" ca="1" si="70"/>
        <v>170.16912703459263</v>
      </c>
      <c r="EA211" s="55"/>
      <c r="EB211" s="55"/>
      <c r="EC211" s="55"/>
      <c r="ED211" s="55"/>
      <c r="EE211" s="55"/>
    </row>
    <row r="212" spans="1:135" ht="13.8" x14ac:dyDescent="0.45">
      <c r="B212" s="128">
        <v>2054</v>
      </c>
      <c r="C212" s="953">
        <v>228.93333333333337</v>
      </c>
      <c r="D212" s="944">
        <v>154.33312888889765</v>
      </c>
      <c r="E212" s="945"/>
      <c r="F212" s="1039"/>
      <c r="G212" s="981"/>
      <c r="H212" s="1040"/>
      <c r="I212" s="1112">
        <v>131.17058823529413</v>
      </c>
      <c r="J212" s="247"/>
      <c r="K212" s="245"/>
      <c r="L212" s="246"/>
      <c r="M212" s="245"/>
      <c r="N212" s="29" t="s">
        <v>119</v>
      </c>
      <c r="O212" s="120"/>
      <c r="P212" s="120"/>
      <c r="Q212" s="120"/>
      <c r="R212" s="29">
        <v>40</v>
      </c>
      <c r="S212" s="238">
        <f t="shared" si="71"/>
        <v>131.17058823529413</v>
      </c>
      <c r="T212" s="238">
        <f t="shared" si="72"/>
        <v>228.93333333333337</v>
      </c>
      <c r="U212" s="238">
        <f t="shared" si="73"/>
        <v>41.712305833844553</v>
      </c>
      <c r="W212" s="238">
        <f t="shared" si="74"/>
        <v>129.76671098533052</v>
      </c>
      <c r="X212" s="238">
        <f t="shared" si="104"/>
        <v>171.47901681917506</v>
      </c>
      <c r="Y212" s="238">
        <f t="shared" si="76"/>
        <v>213.1913226530196</v>
      </c>
      <c r="AA212" s="1133">
        <v>154.33312888889748</v>
      </c>
      <c r="AB212" s="1133">
        <v>191.63323111111549</v>
      </c>
      <c r="AC212" s="1133">
        <v>228.93333333333351</v>
      </c>
      <c r="AD212" s="89"/>
      <c r="AE212" s="89"/>
      <c r="AF212" s="89"/>
      <c r="AG212" s="89"/>
      <c r="AH212" s="89"/>
      <c r="AI212" s="89"/>
      <c r="AJ212" s="89"/>
      <c r="AK212" s="89"/>
      <c r="AL212" s="89"/>
      <c r="AM212" s="89"/>
      <c r="AN212" s="89"/>
      <c r="BR212" s="180">
        <v>2052</v>
      </c>
      <c r="BS212" s="22">
        <v>38</v>
      </c>
      <c r="BT212" s="181">
        <f t="shared" si="87"/>
        <v>4.588823527402762</v>
      </c>
      <c r="BU212" s="182">
        <f t="shared" si="88"/>
        <v>165.83678644767548</v>
      </c>
      <c r="BV212" s="241">
        <f t="shared" si="89"/>
        <v>170.42560997507823</v>
      </c>
      <c r="BY212" s="180">
        <v>2052</v>
      </c>
      <c r="BZ212" s="22">
        <v>38</v>
      </c>
      <c r="CA212" s="198">
        <f t="shared" ca="1" si="90"/>
        <v>18.582132357909071</v>
      </c>
      <c r="CB212" s="198">
        <f t="shared" ca="1" si="91"/>
        <v>-16.109773917034666</v>
      </c>
      <c r="CC212" s="198">
        <f t="shared" ca="1" si="102"/>
        <v>169.20462893781897</v>
      </c>
      <c r="CD212" s="241">
        <f t="shared" ca="1" si="92"/>
        <v>171.67698737869338</v>
      </c>
      <c r="CG212" s="180">
        <v>2052</v>
      </c>
      <c r="CH212" s="22">
        <v>38</v>
      </c>
      <c r="CI212" s="198">
        <f t="shared" ca="1" si="93"/>
        <v>-69.078092167620071</v>
      </c>
      <c r="CJ212" s="198">
        <f t="shared" ca="1" si="94"/>
        <v>130.37957099760996</v>
      </c>
      <c r="CK212" s="198">
        <f t="shared" ca="1" si="95"/>
        <v>-61.254507697216816</v>
      </c>
      <c r="CL212" s="198">
        <f t="shared" ca="1" si="96"/>
        <v>171.86794742064839</v>
      </c>
      <c r="CM212" s="241">
        <f t="shared" ca="1" si="97"/>
        <v>171.91491855342147</v>
      </c>
      <c r="CP212" s="180">
        <v>2052</v>
      </c>
      <c r="CQ212" s="22">
        <v>38</v>
      </c>
      <c r="CR212" s="198">
        <f t="shared" ca="1" si="98"/>
        <v>165.91081760415338</v>
      </c>
      <c r="CS212" s="198">
        <f t="shared" ca="1" si="99"/>
        <v>1.0248472765401717</v>
      </c>
      <c r="CT212" s="241">
        <f t="shared" ca="1" si="100"/>
        <v>170.03324957016977</v>
      </c>
      <c r="CZ212" s="164" t="b">
        <f t="shared" si="105"/>
        <v>1</v>
      </c>
      <c r="DA212" s="165" t="b">
        <f t="shared" si="105"/>
        <v>1</v>
      </c>
      <c r="DB212" s="166" t="b">
        <f t="shared" si="105"/>
        <v>1</v>
      </c>
      <c r="DC212" s="164">
        <f t="shared" si="78"/>
        <v>40</v>
      </c>
      <c r="DD212" s="166">
        <f t="shared" si="79"/>
        <v>129.76671098533052</v>
      </c>
      <c r="DE212" s="164">
        <f t="shared" si="80"/>
        <v>40</v>
      </c>
      <c r="DF212" s="166">
        <f t="shared" si="81"/>
        <v>171.47901681917506</v>
      </c>
      <c r="DG212" s="164">
        <f t="shared" si="82"/>
        <v>40</v>
      </c>
      <c r="DH212" s="166">
        <f t="shared" si="83"/>
        <v>213.1913226530196</v>
      </c>
      <c r="DI212" s="164">
        <f>IFERROR(INDEX(DC$170:DC$218,_xlfn.AGGREGATE(15,6,(ROW(DC$170:DC$218)-ROW(DC$170)+1)/(DC$170:DC$218&lt;&gt;""),ROWS(DI$1:DI43))),"")</f>
        <v>40</v>
      </c>
      <c r="DJ212" s="165">
        <f>IFERROR(INDEX(DD$170:DD$218,_xlfn.AGGREGATE(15,6,(ROW(DD$170:DD$218)-ROW(DD$170)+1)/(DD$170:DD$218&lt;&gt;""),ROWS(DJ$1:DJ43))),"")</f>
        <v>129.76671098533052</v>
      </c>
      <c r="DK212" s="166">
        <f t="shared" si="84"/>
        <v>212</v>
      </c>
      <c r="DL212" s="164">
        <f>IFERROR(INDEX(DE$170:DE$218,_xlfn.AGGREGATE(15,6,(ROW(DE$170:DE$218)-ROW(DE$170)+1)/(DE$170:DE$218&lt;&gt;""),ROWS(DL$1:DL43))),"")</f>
        <v>40</v>
      </c>
      <c r="DM212" s="165">
        <f>IFERROR(INDEX(DF$170:DF$218,_xlfn.AGGREGATE(15,6,(ROW(DF$170:DF$218)-ROW(DF$170)+1)/(DF$170:DF$218&lt;&gt;""),ROWS(DM$1:DM43))),"")</f>
        <v>171.47901681917506</v>
      </c>
      <c r="DN212" s="166">
        <f t="shared" si="85"/>
        <v>212</v>
      </c>
      <c r="DO212" s="164">
        <f>IFERROR(INDEX(DG$170:DG$218,_xlfn.AGGREGATE(15,6,(ROW(DG$170:DG$218)-ROW(DG$170)+1)/(DG$170:DG$218&lt;&gt;""),ROWS(DO$1:DO43))),"")</f>
        <v>40</v>
      </c>
      <c r="DP212" s="165">
        <f>IFERROR(INDEX(DH$170:DH$218,_xlfn.AGGREGATE(15,6,(ROW(DH$170:DH$218)-ROW(DH$170)+1)/(DH$170:DH$218&lt;&gt;""),ROWS(DP$1:DP43))),"")</f>
        <v>213.1913226530196</v>
      </c>
      <c r="DQ212" s="166">
        <f t="shared" si="86"/>
        <v>212</v>
      </c>
      <c r="DV212" s="145">
        <v>2057</v>
      </c>
      <c r="DW212" s="235">
        <f t="shared" ca="1" si="70"/>
        <v>169.40991147385432</v>
      </c>
      <c r="EA212" s="55"/>
      <c r="EB212" s="55"/>
      <c r="EC212" s="55"/>
      <c r="ED212" s="55"/>
      <c r="EE212" s="55"/>
    </row>
    <row r="213" spans="1:135" ht="13.8" x14ac:dyDescent="0.45">
      <c r="B213" s="128">
        <v>2055</v>
      </c>
      <c r="C213" s="953">
        <v>230.23333333333335</v>
      </c>
      <c r="D213" s="944">
        <v>155.09396504536244</v>
      </c>
      <c r="E213" s="945"/>
      <c r="F213" s="1039"/>
      <c r="G213" s="981"/>
      <c r="H213" s="1040"/>
      <c r="I213" s="1112">
        <v>129.93823529411767</v>
      </c>
      <c r="J213" s="247"/>
      <c r="K213" s="245"/>
      <c r="L213" s="246"/>
      <c r="M213" s="245"/>
      <c r="N213" s="29" t="s">
        <v>119</v>
      </c>
      <c r="O213" s="120"/>
      <c r="P213" s="120"/>
      <c r="Q213" s="120"/>
      <c r="R213" s="29">
        <v>41</v>
      </c>
      <c r="S213" s="238">
        <f t="shared" si="71"/>
        <v>129.93823529411767</v>
      </c>
      <c r="T213" s="238">
        <f t="shared" si="72"/>
        <v>230.23333333333335</v>
      </c>
      <c r="U213" s="238">
        <f t="shared" si="73"/>
        <v>42.606522840117194</v>
      </c>
      <c r="W213" s="238">
        <f t="shared" si="74"/>
        <v>129.14865505082065</v>
      </c>
      <c r="X213" s="238">
        <f t="shared" si="104"/>
        <v>171.75517789093783</v>
      </c>
      <c r="Y213" s="238">
        <f t="shared" si="76"/>
        <v>214.36170073105501</v>
      </c>
      <c r="AA213" s="1133">
        <v>155.09396504536238</v>
      </c>
      <c r="AB213" s="1133">
        <v>192.66364918934789</v>
      </c>
      <c r="AC213" s="1133">
        <v>230.23333333333341</v>
      </c>
      <c r="AD213" s="89"/>
      <c r="AE213" s="89"/>
      <c r="AF213" s="89"/>
      <c r="AG213" s="89"/>
      <c r="AH213" s="89"/>
      <c r="AI213" s="89"/>
      <c r="AJ213" s="89"/>
      <c r="AK213" s="89"/>
      <c r="AL213" s="89"/>
      <c r="AM213" s="89"/>
      <c r="AN213" s="89"/>
      <c r="BR213" s="180">
        <v>2053</v>
      </c>
      <c r="BS213" s="22">
        <v>39</v>
      </c>
      <c r="BT213" s="181">
        <f t="shared" si="87"/>
        <v>4.7095820412817817</v>
      </c>
      <c r="BU213" s="182">
        <f t="shared" si="88"/>
        <v>165.83678644767548</v>
      </c>
      <c r="BV213" s="241">
        <f t="shared" si="89"/>
        <v>170.54636848895726</v>
      </c>
      <c r="BY213" s="180">
        <v>2053</v>
      </c>
      <c r="BZ213" s="22">
        <v>39</v>
      </c>
      <c r="CA213" s="198">
        <f t="shared" ca="1" si="90"/>
        <v>19.573007836828044</v>
      </c>
      <c r="CB213" s="198">
        <f t="shared" ca="1" si="91"/>
        <v>-16.533715335903999</v>
      </c>
      <c r="CC213" s="198">
        <f t="shared" ca="1" si="102"/>
        <v>169.20462893781897</v>
      </c>
      <c r="CD213" s="241">
        <f t="shared" ca="1" si="92"/>
        <v>172.243921438743</v>
      </c>
      <c r="CG213" s="180">
        <v>2053</v>
      </c>
      <c r="CH213" s="22">
        <v>39</v>
      </c>
      <c r="CI213" s="198">
        <f t="shared" ca="1" si="93"/>
        <v>-74.676398696804469</v>
      </c>
      <c r="CJ213" s="198">
        <f t="shared" ca="1" si="94"/>
        <v>137.33194424332737</v>
      </c>
      <c r="CK213" s="198">
        <f t="shared" ca="1" si="95"/>
        <v>-62.86646842609094</v>
      </c>
      <c r="CL213" s="198">
        <f t="shared" ca="1" si="96"/>
        <v>171.86794742064839</v>
      </c>
      <c r="CM213" s="241">
        <f t="shared" ca="1" si="97"/>
        <v>171.65702454108035</v>
      </c>
      <c r="CP213" s="180">
        <v>2053</v>
      </c>
      <c r="CQ213" s="22">
        <v>39</v>
      </c>
      <c r="CR213" s="198">
        <f t="shared" ca="1" si="98"/>
        <v>165.91081760415338</v>
      </c>
      <c r="CS213" s="198">
        <f t="shared" ca="1" si="99"/>
        <v>1.0255094231069859</v>
      </c>
      <c r="CT213" s="241">
        <f t="shared" ca="1" si="100"/>
        <v>170.14310684844369</v>
      </c>
      <c r="CZ213" s="164" t="b">
        <f t="shared" si="105"/>
        <v>1</v>
      </c>
      <c r="DA213" s="165" t="b">
        <f t="shared" si="105"/>
        <v>1</v>
      </c>
      <c r="DB213" s="166" t="b">
        <f t="shared" si="105"/>
        <v>1</v>
      </c>
      <c r="DC213" s="164">
        <f t="shared" si="78"/>
        <v>41</v>
      </c>
      <c r="DD213" s="166">
        <f t="shared" si="79"/>
        <v>129.14865505082065</v>
      </c>
      <c r="DE213" s="164">
        <f t="shared" si="80"/>
        <v>41</v>
      </c>
      <c r="DF213" s="166">
        <f t="shared" si="81"/>
        <v>171.75517789093783</v>
      </c>
      <c r="DG213" s="164">
        <f t="shared" si="82"/>
        <v>41</v>
      </c>
      <c r="DH213" s="166">
        <f t="shared" si="83"/>
        <v>214.36170073105501</v>
      </c>
      <c r="DI213" s="164">
        <f>IFERROR(INDEX(DC$170:DC$218,_xlfn.AGGREGATE(15,6,(ROW(DC$170:DC$218)-ROW(DC$170)+1)/(DC$170:DC$218&lt;&gt;""),ROWS(DI$1:DI44))),"")</f>
        <v>41</v>
      </c>
      <c r="DJ213" s="165">
        <f>IFERROR(INDEX(DD$170:DD$218,_xlfn.AGGREGATE(15,6,(ROW(DD$170:DD$218)-ROW(DD$170)+1)/(DD$170:DD$218&lt;&gt;""),ROWS(DJ$1:DJ44))),"")</f>
        <v>129.14865505082065</v>
      </c>
      <c r="DK213" s="166">
        <f t="shared" si="84"/>
        <v>213</v>
      </c>
      <c r="DL213" s="164">
        <f>IFERROR(INDEX(DE$170:DE$218,_xlfn.AGGREGATE(15,6,(ROW(DE$170:DE$218)-ROW(DE$170)+1)/(DE$170:DE$218&lt;&gt;""),ROWS(DL$1:DL44))),"")</f>
        <v>41</v>
      </c>
      <c r="DM213" s="165">
        <f>IFERROR(INDEX(DF$170:DF$218,_xlfn.AGGREGATE(15,6,(ROW(DF$170:DF$218)-ROW(DF$170)+1)/(DF$170:DF$218&lt;&gt;""),ROWS(DM$1:DM44))),"")</f>
        <v>171.75517789093783</v>
      </c>
      <c r="DN213" s="166">
        <f t="shared" si="85"/>
        <v>213</v>
      </c>
      <c r="DO213" s="164">
        <f>IFERROR(INDEX(DG$170:DG$218,_xlfn.AGGREGATE(15,6,(ROW(DG$170:DG$218)-ROW(DG$170)+1)/(DG$170:DG$218&lt;&gt;""),ROWS(DO$1:DO44))),"")</f>
        <v>41</v>
      </c>
      <c r="DP213" s="165">
        <f>IFERROR(INDEX(DH$170:DH$218,_xlfn.AGGREGATE(15,6,(ROW(DH$170:DH$218)-ROW(DH$170)+1)/(DH$170:DH$218&lt;&gt;""),ROWS(DP$1:DP44))),"")</f>
        <v>214.36170073105501</v>
      </c>
      <c r="DQ213" s="166">
        <f t="shared" si="86"/>
        <v>213</v>
      </c>
      <c r="DV213" s="145">
        <v>2058</v>
      </c>
      <c r="DW213" s="235">
        <f t="shared" ca="1" si="70"/>
        <v>168.50648209945092</v>
      </c>
      <c r="EA213" s="55"/>
      <c r="EB213" s="55"/>
      <c r="EC213" s="55"/>
      <c r="ED213" s="55"/>
      <c r="EE213" s="55"/>
    </row>
    <row r="214" spans="1:135" ht="13.8" x14ac:dyDescent="0.45">
      <c r="B214" s="128">
        <v>2056</v>
      </c>
      <c r="C214" s="953">
        <v>231.53333333333336</v>
      </c>
      <c r="D214" s="944">
        <v>155.93075043685212</v>
      </c>
      <c r="E214" s="945"/>
      <c r="F214" s="1039"/>
      <c r="G214" s="981"/>
      <c r="H214" s="1040"/>
      <c r="I214" s="1112">
        <v>128.70588235294119</v>
      </c>
      <c r="J214" s="247"/>
      <c r="K214" s="245"/>
      <c r="L214" s="246"/>
      <c r="M214" s="245"/>
      <c r="N214" s="29" t="s">
        <v>119</v>
      </c>
      <c r="O214" s="120"/>
      <c r="P214" s="120"/>
      <c r="Q214" s="120"/>
      <c r="R214" s="29">
        <v>42</v>
      </c>
      <c r="S214" s="238">
        <f t="shared" si="71"/>
        <v>128.70588235294119</v>
      </c>
      <c r="T214" s="238">
        <f t="shared" si="72"/>
        <v>231.53333333333336</v>
      </c>
      <c r="U214" s="238">
        <f t="shared" si="73"/>
        <v>43.500228170449731</v>
      </c>
      <c r="W214" s="238">
        <f t="shared" si="74"/>
        <v>128.55642720392581</v>
      </c>
      <c r="X214" s="238">
        <f t="shared" si="104"/>
        <v>172.05665537437554</v>
      </c>
      <c r="Y214" s="238">
        <f t="shared" si="76"/>
        <v>215.55688354482527</v>
      </c>
      <c r="AA214" s="1133">
        <v>155.93075043685207</v>
      </c>
      <c r="AB214" s="1133">
        <v>193.73204188509274</v>
      </c>
      <c r="AC214" s="1133">
        <v>231.53333333333342</v>
      </c>
      <c r="AD214" s="89"/>
      <c r="AE214" s="89"/>
      <c r="AF214" s="89"/>
      <c r="AG214" s="89"/>
      <c r="AH214" s="89"/>
      <c r="AI214" s="89"/>
      <c r="AJ214" s="89"/>
      <c r="AK214" s="89"/>
      <c r="AL214" s="89"/>
      <c r="AM214" s="89"/>
      <c r="AN214" s="89"/>
      <c r="BR214" s="180">
        <v>2054</v>
      </c>
      <c r="BS214" s="22">
        <v>40</v>
      </c>
      <c r="BT214" s="181">
        <f t="shared" si="87"/>
        <v>4.8303405551608023</v>
      </c>
      <c r="BU214" s="182">
        <f t="shared" si="88"/>
        <v>165.83678644767548</v>
      </c>
      <c r="BV214" s="242">
        <f t="shared" si="89"/>
        <v>170.66712700283628</v>
      </c>
      <c r="BY214" s="180">
        <v>2054</v>
      </c>
      <c r="BZ214" s="22">
        <v>40</v>
      </c>
      <c r="CA214" s="243">
        <f t="shared" ca="1" si="90"/>
        <v>20.589620341173482</v>
      </c>
      <c r="CB214" s="243">
        <f t="shared" ca="1" si="91"/>
        <v>-16.957656754773332</v>
      </c>
      <c r="CC214" s="243">
        <f t="shared" ca="1" si="102"/>
        <v>169.20462893781897</v>
      </c>
      <c r="CD214" s="242">
        <f t="shared" ca="1" si="92"/>
        <v>172.83659252421913</v>
      </c>
      <c r="CG214" s="180">
        <v>2054</v>
      </c>
      <c r="CH214" s="22">
        <v>40</v>
      </c>
      <c r="CI214" s="243">
        <f t="shared" ca="1" si="93"/>
        <v>-80.569286680414137</v>
      </c>
      <c r="CJ214" s="243">
        <f t="shared" ca="1" si="94"/>
        <v>144.46489861231021</v>
      </c>
      <c r="CK214" s="243">
        <f t="shared" ca="1" si="95"/>
        <v>-64.47842915496507</v>
      </c>
      <c r="CL214" s="243">
        <f t="shared" ca="1" si="96"/>
        <v>171.86794742064839</v>
      </c>
      <c r="CM214" s="242">
        <f t="shared" ca="1" si="97"/>
        <v>171.28513019757941</v>
      </c>
      <c r="CP214" s="180">
        <v>2054</v>
      </c>
      <c r="CQ214" s="22">
        <v>40</v>
      </c>
      <c r="CR214" s="243">
        <f t="shared" ca="1" si="98"/>
        <v>165.91081760415338</v>
      </c>
      <c r="CS214" s="243">
        <f t="shared" ca="1" si="99"/>
        <v>1.0261719974820072</v>
      </c>
      <c r="CT214" s="242">
        <f t="shared" ca="1" si="100"/>
        <v>170.25303510472702</v>
      </c>
      <c r="CZ214" s="164" t="b">
        <f t="shared" si="105"/>
        <v>1</v>
      </c>
      <c r="DA214" s="165" t="b">
        <f t="shared" si="105"/>
        <v>1</v>
      </c>
      <c r="DB214" s="166" t="b">
        <f t="shared" si="105"/>
        <v>1</v>
      </c>
      <c r="DC214" s="164">
        <f t="shared" si="78"/>
        <v>42</v>
      </c>
      <c r="DD214" s="166">
        <f t="shared" si="79"/>
        <v>128.55642720392581</v>
      </c>
      <c r="DE214" s="164">
        <f t="shared" si="80"/>
        <v>42</v>
      </c>
      <c r="DF214" s="166">
        <f t="shared" si="81"/>
        <v>172.05665537437554</v>
      </c>
      <c r="DG214" s="164">
        <f t="shared" si="82"/>
        <v>42</v>
      </c>
      <c r="DH214" s="166">
        <f t="shared" si="83"/>
        <v>215.55688354482527</v>
      </c>
      <c r="DI214" s="164">
        <f>IFERROR(INDEX(DC$170:DC$218,_xlfn.AGGREGATE(15,6,(ROW(DC$170:DC$218)-ROW(DC$170)+1)/(DC$170:DC$218&lt;&gt;""),ROWS(DI$1:DI45))),"")</f>
        <v>42</v>
      </c>
      <c r="DJ214" s="165">
        <f>IFERROR(INDEX(DD$170:DD$218,_xlfn.AGGREGATE(15,6,(ROW(DD$170:DD$218)-ROW(DD$170)+1)/(DD$170:DD$218&lt;&gt;""),ROWS(DJ$1:DJ45))),"")</f>
        <v>128.55642720392581</v>
      </c>
      <c r="DK214" s="166">
        <f t="shared" si="84"/>
        <v>214</v>
      </c>
      <c r="DL214" s="164">
        <f>IFERROR(INDEX(DE$170:DE$218,_xlfn.AGGREGATE(15,6,(ROW(DE$170:DE$218)-ROW(DE$170)+1)/(DE$170:DE$218&lt;&gt;""),ROWS(DL$1:DL45))),"")</f>
        <v>42</v>
      </c>
      <c r="DM214" s="165">
        <f>IFERROR(INDEX(DF$170:DF$218,_xlfn.AGGREGATE(15,6,(ROW(DF$170:DF$218)-ROW(DF$170)+1)/(DF$170:DF$218&lt;&gt;""),ROWS(DM$1:DM45))),"")</f>
        <v>172.05665537437554</v>
      </c>
      <c r="DN214" s="166">
        <f t="shared" si="85"/>
        <v>214</v>
      </c>
      <c r="DO214" s="164">
        <f>IFERROR(INDEX(DG$170:DG$218,_xlfn.AGGREGATE(15,6,(ROW(DG$170:DG$218)-ROW(DG$170)+1)/(DG$170:DG$218&lt;&gt;""),ROWS(DO$1:DO45))),"")</f>
        <v>42</v>
      </c>
      <c r="DP214" s="165">
        <f>IFERROR(INDEX(DH$170:DH$218,_xlfn.AGGREGATE(15,6,(ROW(DH$170:DH$218)-ROW(DH$170)+1)/(DH$170:DH$218&lt;&gt;""),ROWS(DP$1:DP45))),"")</f>
        <v>215.55688354482527</v>
      </c>
      <c r="DQ214" s="166">
        <f t="shared" si="86"/>
        <v>214</v>
      </c>
      <c r="DV214" s="145">
        <v>2059</v>
      </c>
      <c r="DW214" s="235">
        <f t="shared" ca="1" si="70"/>
        <v>167.45128554075626</v>
      </c>
      <c r="EA214" s="55"/>
      <c r="EB214" s="55"/>
      <c r="EC214" s="55"/>
      <c r="ED214" s="55"/>
      <c r="EE214" s="55"/>
    </row>
    <row r="215" spans="1:135" ht="13.8" x14ac:dyDescent="0.45">
      <c r="B215" s="128">
        <v>2057</v>
      </c>
      <c r="C215" s="953">
        <v>232.83333333333337</v>
      </c>
      <c r="D215" s="944">
        <v>156.85060080902738</v>
      </c>
      <c r="E215" s="945"/>
      <c r="F215" s="1039"/>
      <c r="G215" s="981"/>
      <c r="H215" s="1040"/>
      <c r="I215" s="1112">
        <v>127.47352941176473</v>
      </c>
      <c r="J215" s="247"/>
      <c r="K215" s="245"/>
      <c r="L215" s="246"/>
      <c r="M215" s="245"/>
      <c r="N215" s="29" t="s">
        <v>119</v>
      </c>
      <c r="O215" s="120"/>
      <c r="P215" s="120"/>
      <c r="Q215" s="120"/>
      <c r="R215" s="29">
        <v>43</v>
      </c>
      <c r="S215" s="238">
        <f t="shared" si="71"/>
        <v>127.47352941176473</v>
      </c>
      <c r="T215" s="238">
        <f t="shared" si="72"/>
        <v>232.83333333333337</v>
      </c>
      <c r="U215" s="238">
        <f t="shared" si="73"/>
        <v>44.39353837882706</v>
      </c>
      <c r="W215" s="238">
        <f t="shared" si="74"/>
        <v>127.99228280588142</v>
      </c>
      <c r="X215" s="238">
        <f t="shared" si="104"/>
        <v>172.38582118470848</v>
      </c>
      <c r="Y215" s="238">
        <f t="shared" si="76"/>
        <v>216.77935956353554</v>
      </c>
      <c r="AA215" s="1133">
        <v>156.85060080902733</v>
      </c>
      <c r="AB215" s="1133">
        <v>194.84196707118036</v>
      </c>
      <c r="AC215" s="1133">
        <v>232.8333333333334</v>
      </c>
      <c r="AD215" s="89"/>
      <c r="AE215" s="89"/>
      <c r="AF215" s="89"/>
      <c r="AG215" s="89"/>
      <c r="AH215" s="89"/>
      <c r="AI215" s="89"/>
      <c r="AJ215" s="89"/>
      <c r="AK215" s="89"/>
      <c r="AL215" s="89"/>
      <c r="AM215" s="89"/>
      <c r="AN215" s="89"/>
      <c r="BR215" s="180">
        <v>2055</v>
      </c>
      <c r="BS215" s="22">
        <v>41</v>
      </c>
      <c r="BT215" s="181">
        <f t="shared" si="87"/>
        <v>4.951099069039822</v>
      </c>
      <c r="BU215" s="182">
        <f t="shared" si="88"/>
        <v>165.83678644767548</v>
      </c>
      <c r="BV215" s="242">
        <f t="shared" si="89"/>
        <v>170.78788551671531</v>
      </c>
      <c r="BY215" s="180">
        <v>2055</v>
      </c>
      <c r="BZ215" s="22">
        <v>41</v>
      </c>
      <c r="CA215" s="243">
        <f t="shared" ca="1" si="90"/>
        <v>21.63196987094539</v>
      </c>
      <c r="CB215" s="243">
        <f t="shared" ca="1" si="91"/>
        <v>-17.381598173642669</v>
      </c>
      <c r="CC215" s="243">
        <f t="shared" ca="1" si="102"/>
        <v>169.20462893781897</v>
      </c>
      <c r="CD215" s="242">
        <f t="shared" ca="1" si="92"/>
        <v>173.45500063512168</v>
      </c>
      <c r="CG215" s="180">
        <v>2055</v>
      </c>
      <c r="CH215" s="22">
        <v>41</v>
      </c>
      <c r="CI215" s="243">
        <f t="shared" ca="1" si="93"/>
        <v>-86.764309489075345</v>
      </c>
      <c r="CJ215" s="243">
        <f t="shared" ca="1" si="94"/>
        <v>151.77843410455841</v>
      </c>
      <c r="CK215" s="243">
        <f t="shared" ca="1" si="95"/>
        <v>-66.090389883839194</v>
      </c>
      <c r="CL215" s="243">
        <f t="shared" ca="1" si="96"/>
        <v>171.86794742064839</v>
      </c>
      <c r="CM215" s="242">
        <f t="shared" ca="1" si="97"/>
        <v>170.79168215229225</v>
      </c>
      <c r="CP215" s="180">
        <v>2055</v>
      </c>
      <c r="CQ215" s="22">
        <v>41</v>
      </c>
      <c r="CR215" s="243">
        <f t="shared" ca="1" si="98"/>
        <v>165.91081760415338</v>
      </c>
      <c r="CS215" s="243">
        <f t="shared" ca="1" si="99"/>
        <v>1.0268349999416395</v>
      </c>
      <c r="CT215" s="242">
        <f t="shared" ca="1" si="100"/>
        <v>170.3630343848782</v>
      </c>
      <c r="CZ215" s="164" t="b">
        <f t="shared" si="105"/>
        <v>1</v>
      </c>
      <c r="DA215" s="165" t="b">
        <f t="shared" si="105"/>
        <v>1</v>
      </c>
      <c r="DB215" s="166" t="b">
        <f t="shared" si="105"/>
        <v>1</v>
      </c>
      <c r="DC215" s="164">
        <f t="shared" si="78"/>
        <v>43</v>
      </c>
      <c r="DD215" s="166">
        <f t="shared" si="79"/>
        <v>127.99228280588142</v>
      </c>
      <c r="DE215" s="164">
        <f t="shared" si="80"/>
        <v>43</v>
      </c>
      <c r="DF215" s="166">
        <f t="shared" si="81"/>
        <v>172.38582118470848</v>
      </c>
      <c r="DG215" s="164">
        <f t="shared" si="82"/>
        <v>43</v>
      </c>
      <c r="DH215" s="166">
        <f t="shared" si="83"/>
        <v>216.77935956353554</v>
      </c>
      <c r="DI215" s="164">
        <f>IFERROR(INDEX(DC$170:DC$218,_xlfn.AGGREGATE(15,6,(ROW(DC$170:DC$218)-ROW(DC$170)+1)/(DC$170:DC$218&lt;&gt;""),ROWS(DI$1:DI46))),"")</f>
        <v>43</v>
      </c>
      <c r="DJ215" s="165">
        <f>IFERROR(INDEX(DD$170:DD$218,_xlfn.AGGREGATE(15,6,(ROW(DD$170:DD$218)-ROW(DD$170)+1)/(DD$170:DD$218&lt;&gt;""),ROWS(DJ$1:DJ46))),"")</f>
        <v>127.99228280588142</v>
      </c>
      <c r="DK215" s="166">
        <f t="shared" si="84"/>
        <v>215</v>
      </c>
      <c r="DL215" s="164">
        <f>IFERROR(INDEX(DE$170:DE$218,_xlfn.AGGREGATE(15,6,(ROW(DE$170:DE$218)-ROW(DE$170)+1)/(DE$170:DE$218&lt;&gt;""),ROWS(DL$1:DL46))),"")</f>
        <v>43</v>
      </c>
      <c r="DM215" s="165">
        <f>IFERROR(INDEX(DF$170:DF$218,_xlfn.AGGREGATE(15,6,(ROW(DF$170:DF$218)-ROW(DF$170)+1)/(DF$170:DF$218&lt;&gt;""),ROWS(DM$1:DM46))),"")</f>
        <v>172.38582118470848</v>
      </c>
      <c r="DN215" s="166">
        <f t="shared" si="85"/>
        <v>215</v>
      </c>
      <c r="DO215" s="164">
        <f>IFERROR(INDEX(DG$170:DG$218,_xlfn.AGGREGATE(15,6,(ROW(DG$170:DG$218)-ROW(DG$170)+1)/(DG$170:DG$218&lt;&gt;""),ROWS(DO$1:DO46))),"")</f>
        <v>43</v>
      </c>
      <c r="DP215" s="165">
        <f>IFERROR(INDEX(DH$170:DH$218,_xlfn.AGGREGATE(15,6,(ROW(DH$170:DH$218)-ROW(DH$170)+1)/(DH$170:DH$218&lt;&gt;""),ROWS(DP$1:DP46))),"")</f>
        <v>216.77935956353554</v>
      </c>
      <c r="DQ215" s="166">
        <f t="shared" si="86"/>
        <v>215</v>
      </c>
      <c r="DV215" s="145">
        <v>2060</v>
      </c>
      <c r="DW215" s="235">
        <f t="shared" ca="1" si="70"/>
        <v>166.23676842714397</v>
      </c>
      <c r="EA215" s="55"/>
      <c r="EB215" s="55"/>
      <c r="EC215" s="55"/>
      <c r="ED215" s="55"/>
      <c r="EE215" s="55"/>
    </row>
    <row r="216" spans="1:135" ht="13.8" x14ac:dyDescent="0.45">
      <c r="A216" s="214"/>
      <c r="B216" s="128">
        <v>2058</v>
      </c>
      <c r="C216" s="953">
        <v>234.13333333333338</v>
      </c>
      <c r="D216" s="944">
        <v>157.86063190754896</v>
      </c>
      <c r="E216" s="945"/>
      <c r="F216" s="1039"/>
      <c r="G216" s="981"/>
      <c r="H216" s="1040"/>
      <c r="I216" s="1112">
        <v>126.24117647058826</v>
      </c>
      <c r="J216" s="247"/>
      <c r="K216" s="245"/>
      <c r="L216" s="246"/>
      <c r="M216" s="245"/>
      <c r="N216" s="29" t="s">
        <v>119</v>
      </c>
      <c r="R216" s="29">
        <v>44</v>
      </c>
      <c r="S216" s="238">
        <f t="shared" si="71"/>
        <v>126.24117647058826</v>
      </c>
      <c r="T216" s="238">
        <f t="shared" si="72"/>
        <v>234.13333333333338</v>
      </c>
      <c r="U216" s="238">
        <f t="shared" si="73"/>
        <v>45.286780579634851</v>
      </c>
      <c r="W216" s="238">
        <f t="shared" si="74"/>
        <v>127.45826665752203</v>
      </c>
      <c r="X216" s="238">
        <f t="shared" si="104"/>
        <v>172.74504723715688</v>
      </c>
      <c r="Y216" s="238">
        <f t="shared" si="76"/>
        <v>218.03182781679175</v>
      </c>
      <c r="AA216" s="1133">
        <v>157.86063190754896</v>
      </c>
      <c r="AB216" s="1133">
        <v>195.99698262044117</v>
      </c>
      <c r="AC216" s="1133">
        <v>234.13333333333338</v>
      </c>
      <c r="AD216" s="89"/>
      <c r="AE216" s="89"/>
      <c r="AF216" s="89"/>
      <c r="AG216" s="89"/>
      <c r="AH216" s="89"/>
      <c r="AI216" s="89"/>
      <c r="AJ216" s="89"/>
      <c r="AK216" s="89"/>
      <c r="AL216" s="89"/>
      <c r="AM216" s="89"/>
      <c r="AN216" s="89"/>
      <c r="BR216" s="180">
        <v>2056</v>
      </c>
      <c r="BS216" s="22">
        <v>42</v>
      </c>
      <c r="BT216" s="181">
        <f t="shared" si="87"/>
        <v>5.0718575829188417</v>
      </c>
      <c r="BU216" s="182">
        <f t="shared" si="88"/>
        <v>165.83678644767548</v>
      </c>
      <c r="BV216" s="242">
        <f t="shared" si="89"/>
        <v>170.90864403059433</v>
      </c>
      <c r="BY216" s="180">
        <v>2056</v>
      </c>
      <c r="BZ216" s="22">
        <v>42</v>
      </c>
      <c r="CA216" s="243">
        <f t="shared" ca="1" si="90"/>
        <v>22.700056426143767</v>
      </c>
      <c r="CB216" s="243">
        <f t="shared" ca="1" si="91"/>
        <v>-17.805539592512002</v>
      </c>
      <c r="CC216" s="243">
        <f t="shared" ca="1" si="102"/>
        <v>169.20462893781897</v>
      </c>
      <c r="CD216" s="242">
        <f t="shared" ca="1" si="92"/>
        <v>174.09914577145074</v>
      </c>
      <c r="CG216" s="180">
        <v>2056</v>
      </c>
      <c r="CH216" s="22">
        <v>42</v>
      </c>
      <c r="CI216" s="243">
        <f t="shared" ca="1" si="93"/>
        <v>-93.269020493414416</v>
      </c>
      <c r="CJ216" s="243">
        <f t="shared" ca="1" si="94"/>
        <v>159.27255072007199</v>
      </c>
      <c r="CK216" s="243">
        <f t="shared" ca="1" si="95"/>
        <v>-67.702350612713317</v>
      </c>
      <c r="CL216" s="243">
        <f t="shared" ca="1" si="96"/>
        <v>171.86794742064839</v>
      </c>
      <c r="CM216" s="242">
        <f t="shared" ca="1" si="97"/>
        <v>170.16912703459263</v>
      </c>
      <c r="CP216" s="180">
        <v>2056</v>
      </c>
      <c r="CQ216" s="22">
        <v>42</v>
      </c>
      <c r="CR216" s="243">
        <f t="shared" ca="1" si="98"/>
        <v>165.91081760415338</v>
      </c>
      <c r="CS216" s="243">
        <f t="shared" ca="1" si="99"/>
        <v>1.0274984307624653</v>
      </c>
      <c r="CT216" s="242">
        <f t="shared" ca="1" si="100"/>
        <v>170.47310473478521</v>
      </c>
      <c r="CZ216" s="164" t="b">
        <f t="shared" si="105"/>
        <v>1</v>
      </c>
      <c r="DA216" s="165" t="b">
        <f t="shared" si="105"/>
        <v>1</v>
      </c>
      <c r="DB216" s="166" t="b">
        <f t="shared" si="105"/>
        <v>1</v>
      </c>
      <c r="DC216" s="164">
        <f t="shared" si="78"/>
        <v>44</v>
      </c>
      <c r="DD216" s="166">
        <f t="shared" si="79"/>
        <v>127.45826665752203</v>
      </c>
      <c r="DE216" s="164">
        <f t="shared" si="80"/>
        <v>44</v>
      </c>
      <c r="DF216" s="166">
        <f t="shared" si="81"/>
        <v>172.74504723715688</v>
      </c>
      <c r="DG216" s="164">
        <f t="shared" si="82"/>
        <v>44</v>
      </c>
      <c r="DH216" s="166">
        <f t="shared" si="83"/>
        <v>218.03182781679175</v>
      </c>
      <c r="DI216" s="164">
        <f>IFERROR(INDEX(DC$170:DC$218,_xlfn.AGGREGATE(15,6,(ROW(DC$170:DC$218)-ROW(DC$170)+1)/(DC$170:DC$218&lt;&gt;""),ROWS(DI$1:DI47))),"")</f>
        <v>44</v>
      </c>
      <c r="DJ216" s="165">
        <f>IFERROR(INDEX(DD$170:DD$218,_xlfn.AGGREGATE(15,6,(ROW(DD$170:DD$218)-ROW(DD$170)+1)/(DD$170:DD$218&lt;&gt;""),ROWS(DJ$1:DJ47))),"")</f>
        <v>127.45826665752203</v>
      </c>
      <c r="DK216" s="166">
        <f t="shared" si="84"/>
        <v>216</v>
      </c>
      <c r="DL216" s="164">
        <f>IFERROR(INDEX(DE$170:DE$218,_xlfn.AGGREGATE(15,6,(ROW(DE$170:DE$218)-ROW(DE$170)+1)/(DE$170:DE$218&lt;&gt;""),ROWS(DL$1:DL47))),"")</f>
        <v>44</v>
      </c>
      <c r="DM216" s="165">
        <f>IFERROR(INDEX(DF$170:DF$218,_xlfn.AGGREGATE(15,6,(ROW(DF$170:DF$218)-ROW(DF$170)+1)/(DF$170:DF$218&lt;&gt;""),ROWS(DM$1:DM47))),"")</f>
        <v>172.74504723715688</v>
      </c>
      <c r="DN216" s="166">
        <f t="shared" si="85"/>
        <v>216</v>
      </c>
      <c r="DO216" s="164">
        <f>IFERROR(INDEX(DG$170:DG$218,_xlfn.AGGREGATE(15,6,(ROW(DG$170:DG$218)-ROW(DG$170)+1)/(DG$170:DG$218&lt;&gt;""),ROWS(DO$1:DO47))),"")</f>
        <v>44</v>
      </c>
      <c r="DP216" s="165">
        <f>IFERROR(INDEX(DH$170:DH$218,_xlfn.AGGREGATE(15,6,(ROW(DH$170:DH$218)-ROW(DH$170)+1)/(DH$170:DH$218&lt;&gt;""),ROWS(DP$1:DP47))),"")</f>
        <v>218.03182781679175</v>
      </c>
      <c r="DQ216" s="166">
        <f t="shared" si="86"/>
        <v>216</v>
      </c>
      <c r="DW216" s="54"/>
      <c r="EA216" s="55"/>
      <c r="EB216" s="55"/>
      <c r="EC216" s="55"/>
      <c r="ED216" s="55"/>
      <c r="EE216" s="55"/>
    </row>
    <row r="217" spans="1:135" ht="13.8" x14ac:dyDescent="0.45">
      <c r="A217" s="214"/>
      <c r="B217" s="128">
        <v>2059</v>
      </c>
      <c r="C217" s="953">
        <v>235.43333333333337</v>
      </c>
      <c r="D217" s="944">
        <v>158.96795947807752</v>
      </c>
      <c r="E217" s="945"/>
      <c r="F217" s="1039"/>
      <c r="G217" s="981"/>
      <c r="H217" s="1040"/>
      <c r="I217" s="1112">
        <v>125.00882352941179</v>
      </c>
      <c r="J217" s="247"/>
      <c r="K217" s="245"/>
      <c r="L217" s="246"/>
      <c r="M217" s="245"/>
      <c r="N217" s="29" t="s">
        <v>119</v>
      </c>
      <c r="R217" s="29">
        <v>45</v>
      </c>
      <c r="S217" s="238">
        <f t="shared" si="71"/>
        <v>125.00882352941179</v>
      </c>
      <c r="T217" s="238">
        <f t="shared" si="72"/>
        <v>235.43333333333337</v>
      </c>
      <c r="U217" s="238">
        <f t="shared" si="73"/>
        <v>46.18050175205061</v>
      </c>
      <c r="W217" s="238">
        <f t="shared" si="74"/>
        <v>126.95620369489029</v>
      </c>
      <c r="X217" s="238">
        <f t="shared" si="104"/>
        <v>173.13670544694091</v>
      </c>
      <c r="Y217" s="238">
        <f t="shared" si="76"/>
        <v>219.31720719899153</v>
      </c>
      <c r="AA217" s="1133">
        <v>158.96795947807749</v>
      </c>
      <c r="AB217" s="1133">
        <v>197.20064640570544</v>
      </c>
      <c r="AC217" s="1133">
        <v>235.43333333333339</v>
      </c>
      <c r="AD217" s="89"/>
      <c r="AE217" s="89"/>
      <c r="AF217" s="89"/>
      <c r="AG217" s="89"/>
      <c r="AH217" s="89"/>
      <c r="AI217" s="89"/>
      <c r="AJ217" s="89"/>
      <c r="AK217" s="89"/>
      <c r="AL217" s="89"/>
      <c r="AM217" s="89"/>
      <c r="AN217" s="89"/>
      <c r="BR217" s="180">
        <v>2057</v>
      </c>
      <c r="BS217" s="22">
        <v>43</v>
      </c>
      <c r="BT217" s="181">
        <f t="shared" si="87"/>
        <v>5.1926160967978623</v>
      </c>
      <c r="BU217" s="182">
        <f t="shared" si="88"/>
        <v>165.83678644767548</v>
      </c>
      <c r="BV217" s="242">
        <f t="shared" si="89"/>
        <v>171.02940254447333</v>
      </c>
      <c r="BY217" s="180">
        <v>2057</v>
      </c>
      <c r="BZ217" s="22">
        <v>43</v>
      </c>
      <c r="CA217" s="243">
        <f t="shared" ca="1" si="90"/>
        <v>23.793880006768607</v>
      </c>
      <c r="CB217" s="243">
        <f t="shared" ca="1" si="91"/>
        <v>-18.229481011381335</v>
      </c>
      <c r="CC217" s="243">
        <f t="shared" ca="1" si="102"/>
        <v>169.20462893781897</v>
      </c>
      <c r="CD217" s="242">
        <f t="shared" ca="1" si="92"/>
        <v>174.76902793320625</v>
      </c>
      <c r="CG217" s="180">
        <v>2057</v>
      </c>
      <c r="CH217" s="22">
        <v>43</v>
      </c>
      <c r="CI217" s="243">
        <f t="shared" ca="1" si="93"/>
        <v>-100.09097306405759</v>
      </c>
      <c r="CJ217" s="243">
        <f t="shared" ca="1" si="94"/>
        <v>166.94724845885096</v>
      </c>
      <c r="CK217" s="243">
        <f t="shared" ca="1" si="95"/>
        <v>-69.314311341587441</v>
      </c>
      <c r="CL217" s="243">
        <f t="shared" ca="1" si="96"/>
        <v>171.86794742064839</v>
      </c>
      <c r="CM217" s="242">
        <f t="shared" ca="1" si="97"/>
        <v>169.40991147385432</v>
      </c>
      <c r="CP217" s="180">
        <v>2057</v>
      </c>
      <c r="CQ217" s="22">
        <v>43</v>
      </c>
      <c r="CR217" s="243">
        <f t="shared" ca="1" si="98"/>
        <v>165.91081760415338</v>
      </c>
      <c r="CS217" s="243">
        <f t="shared" ca="1" si="99"/>
        <v>1.0281622902212455</v>
      </c>
      <c r="CT217" s="242">
        <f t="shared" ca="1" si="100"/>
        <v>170.58324620036566</v>
      </c>
      <c r="CZ217" s="164" t="b">
        <f t="shared" si="105"/>
        <v>1</v>
      </c>
      <c r="DA217" s="165" t="b">
        <f t="shared" si="105"/>
        <v>1</v>
      </c>
      <c r="DB217" s="166" t="b">
        <f t="shared" si="105"/>
        <v>1</v>
      </c>
      <c r="DC217" s="164">
        <f t="shared" si="78"/>
        <v>45</v>
      </c>
      <c r="DD217" s="166">
        <f t="shared" si="79"/>
        <v>126.95620369489029</v>
      </c>
      <c r="DE217" s="164">
        <f t="shared" si="80"/>
        <v>45</v>
      </c>
      <c r="DF217" s="166">
        <f t="shared" si="81"/>
        <v>173.13670544694091</v>
      </c>
      <c r="DG217" s="164">
        <f t="shared" si="82"/>
        <v>45</v>
      </c>
      <c r="DH217" s="166">
        <f t="shared" si="83"/>
        <v>219.31720719899153</v>
      </c>
      <c r="DI217" s="164">
        <f>IFERROR(INDEX(DC$170:DC$218,_xlfn.AGGREGATE(15,6,(ROW(DC$170:DC$218)-ROW(DC$170)+1)/(DC$170:DC$218&lt;&gt;""),ROWS(DI$1:DI48))),"")</f>
        <v>45</v>
      </c>
      <c r="DJ217" s="165">
        <f>IFERROR(INDEX(DD$170:DD$218,_xlfn.AGGREGATE(15,6,(ROW(DD$170:DD$218)-ROW(DD$170)+1)/(DD$170:DD$218&lt;&gt;""),ROWS(DJ$1:DJ48))),"")</f>
        <v>126.95620369489029</v>
      </c>
      <c r="DK217" s="166">
        <f t="shared" si="84"/>
        <v>217</v>
      </c>
      <c r="DL217" s="164">
        <f>IFERROR(INDEX(DE$170:DE$218,_xlfn.AGGREGATE(15,6,(ROW(DE$170:DE$218)-ROW(DE$170)+1)/(DE$170:DE$218&lt;&gt;""),ROWS(DL$1:DL48))),"")</f>
        <v>45</v>
      </c>
      <c r="DM217" s="165">
        <f>IFERROR(INDEX(DF$170:DF$218,_xlfn.AGGREGATE(15,6,(ROW(DF$170:DF$218)-ROW(DF$170)+1)/(DF$170:DF$218&lt;&gt;""),ROWS(DM$1:DM48))),"")</f>
        <v>173.13670544694091</v>
      </c>
      <c r="DN217" s="166">
        <f t="shared" si="85"/>
        <v>217</v>
      </c>
      <c r="DO217" s="164">
        <f>IFERROR(INDEX(DG$170:DG$218,_xlfn.AGGREGATE(15,6,(ROW(DG$170:DG$218)-ROW(DG$170)+1)/(DG$170:DG$218&lt;&gt;""),ROWS(DO$1:DO48))),"")</f>
        <v>45</v>
      </c>
      <c r="DP217" s="165">
        <f>IFERROR(INDEX(DH$170:DH$218,_xlfn.AGGREGATE(15,6,(ROW(DH$170:DH$218)-ROW(DH$170)+1)/(DH$170:DH$218&lt;&gt;""),ROWS(DP$1:DP48))),"")</f>
        <v>219.31720719899153</v>
      </c>
      <c r="DQ217" s="166">
        <f t="shared" si="86"/>
        <v>217</v>
      </c>
      <c r="DW217" s="54"/>
      <c r="EA217" s="55"/>
      <c r="EB217" s="55"/>
      <c r="EC217" s="55"/>
      <c r="ED217" s="55"/>
      <c r="EE217" s="55"/>
    </row>
    <row r="218" spans="1:135" ht="14.1" thickBot="1" x14ac:dyDescent="0.5">
      <c r="A218" s="214"/>
      <c r="B218" s="128">
        <v>2060</v>
      </c>
      <c r="C218" s="953">
        <v>236.73333333333338</v>
      </c>
      <c r="D218" s="944">
        <v>160.17969926627384</v>
      </c>
      <c r="E218" s="945"/>
      <c r="F218" s="1041"/>
      <c r="G218" s="1042"/>
      <c r="H218" s="1043"/>
      <c r="I218" s="1115">
        <v>123.77647058823531</v>
      </c>
      <c r="J218" s="251"/>
      <c r="K218" s="249"/>
      <c r="L218" s="250"/>
      <c r="M218" s="249"/>
      <c r="N218" s="29" t="s">
        <v>119</v>
      </c>
      <c r="R218" s="29">
        <v>46</v>
      </c>
      <c r="S218" s="238">
        <f t="shared" si="71"/>
        <v>123.77647058823531</v>
      </c>
      <c r="T218" s="238">
        <f t="shared" si="72"/>
        <v>236.73333333333338</v>
      </c>
      <c r="U218" s="238">
        <f t="shared" si="73"/>
        <v>47.075479331098002</v>
      </c>
      <c r="W218" s="238">
        <f t="shared" si="74"/>
        <v>126.48768839818285</v>
      </c>
      <c r="X218" s="238">
        <f t="shared" si="104"/>
        <v>173.56316772928085</v>
      </c>
      <c r="Y218" s="238">
        <f t="shared" si="76"/>
        <v>220.63864706037884</v>
      </c>
      <c r="AA218" s="1133">
        <v>160.17969926627387</v>
      </c>
      <c r="AB218" s="1133">
        <v>198.45651629980361</v>
      </c>
      <c r="AC218" s="1133">
        <v>236.73333333333335</v>
      </c>
      <c r="AD218" s="89"/>
      <c r="AE218" s="89"/>
      <c r="AF218" s="89"/>
      <c r="AG218" s="89"/>
      <c r="AH218" s="89"/>
      <c r="AI218" s="89"/>
      <c r="AJ218" s="89"/>
      <c r="AK218" s="89"/>
      <c r="AL218" s="89"/>
      <c r="AM218" s="89"/>
      <c r="AN218" s="89"/>
      <c r="BR218" s="180">
        <v>2058</v>
      </c>
      <c r="BS218" s="22">
        <v>44</v>
      </c>
      <c r="BT218" s="181">
        <f t="shared" si="87"/>
        <v>5.313374610676882</v>
      </c>
      <c r="BU218" s="182">
        <f t="shared" si="88"/>
        <v>165.83678644767548</v>
      </c>
      <c r="BV218" s="242">
        <f t="shared" si="89"/>
        <v>171.15016105835235</v>
      </c>
      <c r="BY218" s="180">
        <v>2058</v>
      </c>
      <c r="BZ218" s="22">
        <v>44</v>
      </c>
      <c r="CA218" s="243">
        <f t="shared" ca="1" si="90"/>
        <v>24.913440612819915</v>
      </c>
      <c r="CB218" s="243">
        <f t="shared" ca="1" si="91"/>
        <v>-18.653422430250668</v>
      </c>
      <c r="CC218" s="243">
        <f t="shared" ca="1" si="102"/>
        <v>169.20462893781897</v>
      </c>
      <c r="CD218" s="242">
        <f t="shared" ca="1" si="92"/>
        <v>175.46464712038821</v>
      </c>
      <c r="CG218" s="180">
        <v>2058</v>
      </c>
      <c r="CH218" s="22">
        <v>44</v>
      </c>
      <c r="CI218" s="243">
        <f t="shared" ca="1" si="93"/>
        <v>-107.23772057163121</v>
      </c>
      <c r="CJ218" s="243">
        <f t="shared" ca="1" si="94"/>
        <v>174.80252732089534</v>
      </c>
      <c r="CK218" s="243">
        <f t="shared" ca="1" si="95"/>
        <v>-70.926272070461579</v>
      </c>
      <c r="CL218" s="243">
        <f t="shared" ca="1" si="96"/>
        <v>171.86794742064839</v>
      </c>
      <c r="CM218" s="242">
        <f t="shared" ca="1" si="97"/>
        <v>168.50648209945092</v>
      </c>
      <c r="CP218" s="180">
        <v>2058</v>
      </c>
      <c r="CQ218" s="22">
        <v>44</v>
      </c>
      <c r="CR218" s="243">
        <f t="shared" ca="1" si="98"/>
        <v>165.91081760415338</v>
      </c>
      <c r="CS218" s="243">
        <f t="shared" ca="1" si="99"/>
        <v>1.02882657859492</v>
      </c>
      <c r="CT218" s="242">
        <f t="shared" ca="1" si="100"/>
        <v>170.69345882756693</v>
      </c>
      <c r="CZ218" s="164" t="b">
        <f t="shared" si="105"/>
        <v>1</v>
      </c>
      <c r="DA218" s="165" t="b">
        <f t="shared" si="105"/>
        <v>1</v>
      </c>
      <c r="DB218" s="166" t="b">
        <f t="shared" si="105"/>
        <v>1</v>
      </c>
      <c r="DC218" s="164">
        <f t="shared" si="78"/>
        <v>46</v>
      </c>
      <c r="DD218" s="166">
        <f t="shared" si="79"/>
        <v>126.48768839818285</v>
      </c>
      <c r="DE218" s="164">
        <f t="shared" si="80"/>
        <v>46</v>
      </c>
      <c r="DF218" s="166">
        <f t="shared" si="81"/>
        <v>173.56316772928085</v>
      </c>
      <c r="DG218" s="164">
        <f t="shared" si="82"/>
        <v>46</v>
      </c>
      <c r="DH218" s="166">
        <f t="shared" si="83"/>
        <v>220.63864706037884</v>
      </c>
      <c r="DI218" s="164">
        <f>IFERROR(INDEX(DC$170:DC$218,_xlfn.AGGREGATE(15,6,(ROW(DC$170:DC$218)-ROW(DC$170)+1)/(DC$170:DC$218&lt;&gt;""),ROWS(DI$1:DI49))),"")</f>
        <v>46</v>
      </c>
      <c r="DJ218" s="165">
        <f>IFERROR(INDEX(DD$170:DD$218,_xlfn.AGGREGATE(15,6,(ROW(DD$170:DD$218)-ROW(DD$170)+1)/(DD$170:DD$218&lt;&gt;""),ROWS(DJ$1:DJ49))),"")</f>
        <v>126.48768839818285</v>
      </c>
      <c r="DK218" s="166">
        <f t="shared" si="84"/>
        <v>218</v>
      </c>
      <c r="DL218" s="164">
        <f>IFERROR(INDEX(DE$170:DE$218,_xlfn.AGGREGATE(15,6,(ROW(DE$170:DE$218)-ROW(DE$170)+1)/(DE$170:DE$218&lt;&gt;""),ROWS(DL$1:DL49))),"")</f>
        <v>46</v>
      </c>
      <c r="DM218" s="165">
        <f>IFERROR(INDEX(DF$170:DF$218,_xlfn.AGGREGATE(15,6,(ROW(DF$170:DF$218)-ROW(DF$170)+1)/(DF$170:DF$218&lt;&gt;""),ROWS(DM$1:DM49))),"")</f>
        <v>173.56316772928085</v>
      </c>
      <c r="DN218" s="166">
        <f t="shared" si="85"/>
        <v>218</v>
      </c>
      <c r="DO218" s="164">
        <f>IFERROR(INDEX(DG$170:DG$218,_xlfn.AGGREGATE(15,6,(ROW(DG$170:DG$218)-ROW(DG$170)+1)/(DG$170:DG$218&lt;&gt;""),ROWS(DO$1:DO49))),"")</f>
        <v>46</v>
      </c>
      <c r="DP218" s="165">
        <f>IFERROR(INDEX(DH$170:DH$218,_xlfn.AGGREGATE(15,6,(ROW(DH$170:DH$218)-ROW(DH$170)+1)/(DH$170:DH$218&lt;&gt;""),ROWS(DP$1:DP49))),"")</f>
        <v>220.63864706037884</v>
      </c>
      <c r="DQ218" s="166">
        <f t="shared" si="86"/>
        <v>218</v>
      </c>
      <c r="DW218" s="54"/>
      <c r="EA218" s="55"/>
      <c r="EB218" s="55"/>
      <c r="EC218" s="55"/>
      <c r="ED218" s="55"/>
      <c r="EE218" s="55"/>
    </row>
    <row r="219" spans="1:135" x14ac:dyDescent="0.4">
      <c r="A219" s="214"/>
      <c r="B219" s="89"/>
      <c r="C219" s="14"/>
      <c r="D219" s="14"/>
      <c r="E219" s="14"/>
      <c r="F219" s="14"/>
      <c r="G219" s="14"/>
      <c r="H219" s="14"/>
      <c r="I219" s="14"/>
      <c r="J219" s="14"/>
      <c r="K219" s="14"/>
      <c r="L219" s="14"/>
      <c r="M219" s="50"/>
      <c r="S219" s="120"/>
      <c r="T219" s="120"/>
      <c r="U219" s="120"/>
      <c r="W219" s="120"/>
      <c r="X219" s="120"/>
      <c r="Y219" s="120"/>
      <c r="AA219" s="89"/>
      <c r="AB219" s="89"/>
      <c r="AC219" s="89"/>
      <c r="AD219" s="89"/>
      <c r="AE219" s="89"/>
      <c r="AF219" s="89"/>
      <c r="AG219" s="89"/>
      <c r="AH219" s="89"/>
      <c r="AI219" s="89"/>
      <c r="AJ219" s="89"/>
      <c r="AK219" s="89"/>
      <c r="AL219" s="89"/>
      <c r="AM219" s="89"/>
      <c r="AN219" s="89"/>
      <c r="BR219" s="180">
        <v>2059</v>
      </c>
      <c r="BS219" s="22">
        <v>45</v>
      </c>
      <c r="BT219" s="181">
        <f t="shared" si="87"/>
        <v>5.4341331245559026</v>
      </c>
      <c r="BU219" s="182">
        <f t="shared" si="88"/>
        <v>165.83678644767548</v>
      </c>
      <c r="BV219" s="242">
        <f t="shared" si="89"/>
        <v>171.27091957223138</v>
      </c>
      <c r="BY219" s="180">
        <v>2059</v>
      </c>
      <c r="BZ219" s="22">
        <v>45</v>
      </c>
      <c r="CA219" s="243">
        <f t="shared" ca="1" si="90"/>
        <v>26.05873824429769</v>
      </c>
      <c r="CB219" s="243">
        <f t="shared" ca="1" si="91"/>
        <v>-19.077363849120001</v>
      </c>
      <c r="CC219" s="243">
        <f t="shared" ca="1" si="102"/>
        <v>169.20462893781897</v>
      </c>
      <c r="CD219" s="242">
        <f t="shared" ca="1" si="92"/>
        <v>176.18600333299665</v>
      </c>
      <c r="CG219" s="180">
        <v>2059</v>
      </c>
      <c r="CH219" s="22">
        <v>45</v>
      </c>
      <c r="CI219" s="243">
        <f t="shared" ca="1" si="93"/>
        <v>-114.71681638676152</v>
      </c>
      <c r="CJ219" s="243">
        <f t="shared" ca="1" si="94"/>
        <v>182.83838730620511</v>
      </c>
      <c r="CK219" s="243">
        <f t="shared" ca="1" si="95"/>
        <v>-72.538232799335702</v>
      </c>
      <c r="CL219" s="243">
        <f t="shared" ca="1" si="96"/>
        <v>171.86794742064839</v>
      </c>
      <c r="CM219" s="242">
        <f t="shared" ca="1" si="97"/>
        <v>167.45128554075626</v>
      </c>
      <c r="CP219" s="180">
        <v>2059</v>
      </c>
      <c r="CQ219" s="22">
        <v>45</v>
      </c>
      <c r="CR219" s="243">
        <f t="shared" ca="1" si="98"/>
        <v>165.91081760415338</v>
      </c>
      <c r="CS219" s="243">
        <f t="shared" ca="1" si="99"/>
        <v>1.0294912961606082</v>
      </c>
      <c r="CT219" s="242">
        <f t="shared" ca="1" si="100"/>
        <v>170.80374266236612</v>
      </c>
      <c r="CZ219" s="252"/>
      <c r="DA219" s="252"/>
      <c r="DB219" s="252"/>
      <c r="DC219" s="252"/>
      <c r="DD219" s="252"/>
      <c r="DE219" s="252"/>
      <c r="DF219" s="252"/>
      <c r="DG219" s="252"/>
      <c r="DH219" s="252"/>
      <c r="DI219" s="252"/>
      <c r="DJ219" s="252"/>
      <c r="DK219" s="252"/>
      <c r="DL219" s="252"/>
      <c r="DM219" s="252"/>
      <c r="DN219" s="252"/>
      <c r="DO219" s="252"/>
      <c r="DP219" s="252"/>
      <c r="DQ219" s="252"/>
      <c r="DU219" s="65"/>
      <c r="DW219" s="54"/>
      <c r="EA219" s="55"/>
      <c r="EB219" s="55"/>
      <c r="EC219" s="55"/>
      <c r="ED219" s="55"/>
      <c r="EE219" s="55"/>
    </row>
    <row r="220" spans="1:135" x14ac:dyDescent="0.4">
      <c r="A220" s="214"/>
      <c r="B220" s="89"/>
      <c r="C220" s="14"/>
      <c r="D220" s="14"/>
      <c r="E220" s="14"/>
      <c r="F220" s="14"/>
      <c r="G220" s="14"/>
      <c r="H220" s="14"/>
      <c r="I220" s="14"/>
      <c r="J220" s="14"/>
      <c r="K220" s="14"/>
      <c r="L220" s="14"/>
      <c r="M220" s="50"/>
      <c r="S220" s="120"/>
      <c r="T220" s="120"/>
      <c r="U220" s="120"/>
      <c r="W220" s="120"/>
      <c r="X220" s="120"/>
      <c r="Y220" s="120"/>
      <c r="AA220" s="89"/>
      <c r="AB220" s="89"/>
      <c r="AC220" s="89"/>
      <c r="AD220" s="89"/>
      <c r="AE220" s="89"/>
      <c r="AF220" s="89"/>
      <c r="AG220" s="89"/>
      <c r="AH220" s="89"/>
      <c r="AI220" s="89"/>
      <c r="AJ220" s="89"/>
      <c r="AK220" s="89"/>
      <c r="AL220" s="89"/>
      <c r="AM220" s="89"/>
      <c r="AN220" s="89"/>
      <c r="BR220" s="180">
        <v>2060</v>
      </c>
      <c r="BS220" s="22">
        <v>46</v>
      </c>
      <c r="BT220" s="181">
        <f t="shared" si="87"/>
        <v>5.5548916384349223</v>
      </c>
      <c r="BU220" s="182">
        <f t="shared" si="88"/>
        <v>165.83678644767548</v>
      </c>
      <c r="BV220" s="242">
        <f t="shared" si="89"/>
        <v>171.3916780861104</v>
      </c>
      <c r="BY220" s="180">
        <v>2060</v>
      </c>
      <c r="BZ220" s="22">
        <v>46</v>
      </c>
      <c r="CA220" s="243">
        <f t="shared" ca="1" si="90"/>
        <v>27.229772901201933</v>
      </c>
      <c r="CB220" s="243">
        <f t="shared" ca="1" si="91"/>
        <v>-19.501305267989334</v>
      </c>
      <c r="CC220" s="243">
        <f t="shared" ca="1" si="102"/>
        <v>169.20462893781897</v>
      </c>
      <c r="CD220" s="242">
        <f t="shared" ca="1" si="92"/>
        <v>176.93309657103157</v>
      </c>
      <c r="CG220" s="180">
        <v>2060</v>
      </c>
      <c r="CH220" s="22">
        <v>46</v>
      </c>
      <c r="CI220" s="243">
        <f t="shared" ca="1" si="93"/>
        <v>-122.53581388007484</v>
      </c>
      <c r="CJ220" s="243">
        <f t="shared" ca="1" si="94"/>
        <v>191.05482841478025</v>
      </c>
      <c r="CK220" s="243">
        <f t="shared" ca="1" si="95"/>
        <v>-74.150193528209826</v>
      </c>
      <c r="CL220" s="243">
        <f t="shared" ca="1" si="96"/>
        <v>171.86794742064839</v>
      </c>
      <c r="CM220" s="242">
        <f t="shared" ca="1" si="97"/>
        <v>166.23676842714397</v>
      </c>
      <c r="CP220" s="180">
        <v>2060</v>
      </c>
      <c r="CQ220" s="22">
        <v>46</v>
      </c>
      <c r="CR220" s="243">
        <f t="shared" ca="1" si="98"/>
        <v>165.91081760415338</v>
      </c>
      <c r="CS220" s="243">
        <f t="shared" ca="1" si="99"/>
        <v>1.0301564431956074</v>
      </c>
      <c r="CT220" s="242">
        <f t="shared" ca="1" si="100"/>
        <v>170.9140977507698</v>
      </c>
      <c r="CZ220" s="89"/>
      <c r="DA220" s="89"/>
      <c r="DB220" s="89"/>
      <c r="DC220" s="89"/>
      <c r="DD220" s="89"/>
      <c r="DE220" s="89"/>
      <c r="DF220" s="89"/>
      <c r="DG220" s="89"/>
      <c r="DH220" s="89"/>
      <c r="DI220" s="89"/>
      <c r="DJ220" s="89"/>
      <c r="DK220" s="89"/>
      <c r="DL220" s="89"/>
      <c r="DM220" s="89"/>
      <c r="DN220" s="89"/>
      <c r="DO220" s="89"/>
      <c r="DP220" s="89"/>
      <c r="DQ220" s="89"/>
      <c r="DW220" s="54"/>
      <c r="EA220" s="55"/>
      <c r="EB220" s="55"/>
      <c r="EC220" s="55"/>
      <c r="ED220" s="55"/>
      <c r="EE220" s="55"/>
    </row>
    <row r="221" spans="1:135" x14ac:dyDescent="0.4">
      <c r="A221" s="221" t="str">
        <f ca="1">HYPERLINK("#"&amp;"'"&amp;A$1&amp;"'!a1","Back to top")</f>
        <v>Back to top</v>
      </c>
      <c r="C221" s="50"/>
      <c r="D221" s="14"/>
      <c r="E221" s="14"/>
      <c r="F221" s="14"/>
      <c r="G221" s="14"/>
      <c r="H221" s="14"/>
      <c r="I221" s="14"/>
      <c r="J221" s="14"/>
      <c r="K221" s="14"/>
      <c r="L221" s="14"/>
      <c r="M221" s="14"/>
      <c r="N221" s="89"/>
      <c r="O221" s="89"/>
      <c r="P221" s="89"/>
      <c r="Q221" s="89"/>
      <c r="R221" s="89"/>
      <c r="S221" s="89"/>
      <c r="T221" s="89"/>
      <c r="U221" s="89"/>
      <c r="V221" s="89"/>
      <c r="W221" s="89"/>
      <c r="X221" s="89"/>
      <c r="Y221" s="89"/>
      <c r="Z221" s="89"/>
      <c r="AA221" s="89"/>
      <c r="AB221" s="89"/>
      <c r="AC221" s="89"/>
      <c r="AD221" s="89"/>
      <c r="AE221" s="89"/>
      <c r="AF221" s="89"/>
      <c r="AG221" s="89"/>
      <c r="AH221" s="89"/>
      <c r="AI221" s="89"/>
      <c r="AJ221" s="89"/>
      <c r="AK221" s="89"/>
      <c r="AL221" s="89"/>
      <c r="AM221" s="89"/>
      <c r="AN221" s="89"/>
      <c r="DW221" s="54"/>
      <c r="EA221" s="55"/>
      <c r="EB221" s="55"/>
      <c r="EC221" s="55"/>
      <c r="ED221" s="55"/>
      <c r="EE221" s="55"/>
    </row>
    <row r="222" spans="1:135" x14ac:dyDescent="0.4">
      <c r="A222" s="221"/>
      <c r="C222" s="50"/>
      <c r="D222" s="14"/>
      <c r="E222" s="14"/>
      <c r="F222" s="14"/>
      <c r="G222" s="14"/>
      <c r="H222" s="14"/>
      <c r="I222" s="14"/>
      <c r="J222" s="14"/>
      <c r="K222" s="14"/>
      <c r="L222" s="14"/>
      <c r="M222" s="14"/>
      <c r="N222" s="89"/>
      <c r="O222" s="89"/>
      <c r="P222" s="89"/>
      <c r="Q222" s="89"/>
      <c r="R222" s="89"/>
      <c r="S222" s="89"/>
      <c r="T222" s="89"/>
      <c r="U222" s="89"/>
      <c r="V222" s="89"/>
      <c r="W222" s="89"/>
      <c r="X222" s="89"/>
      <c r="Y222" s="89"/>
      <c r="Z222" s="89"/>
      <c r="AA222" s="89"/>
      <c r="AB222" s="89"/>
      <c r="AC222" s="89"/>
      <c r="AD222" s="89"/>
      <c r="AE222" s="89"/>
      <c r="AF222" s="89"/>
      <c r="AG222" s="89"/>
      <c r="AH222" s="89"/>
      <c r="AI222" s="89"/>
      <c r="AJ222" s="89"/>
      <c r="AK222" s="89"/>
      <c r="AL222" s="89"/>
      <c r="AM222" s="89"/>
      <c r="AN222" s="89"/>
      <c r="DW222" s="54"/>
      <c r="EA222" s="55"/>
      <c r="EB222" s="55"/>
      <c r="EC222" s="55"/>
      <c r="ED222" s="55"/>
      <c r="EE222" s="55"/>
    </row>
    <row r="223" spans="1:135" x14ac:dyDescent="0.4">
      <c r="A223" s="214"/>
      <c r="B223" s="89"/>
      <c r="C223" s="14"/>
      <c r="D223" s="14"/>
      <c r="E223" s="14"/>
      <c r="F223" s="14"/>
      <c r="G223" s="14"/>
      <c r="H223" s="14"/>
      <c r="I223" s="14"/>
      <c r="J223" s="14"/>
      <c r="K223" s="14"/>
      <c r="L223" s="14"/>
      <c r="M223" s="50"/>
      <c r="N223" s="49"/>
      <c r="O223" s="49"/>
      <c r="P223" s="49"/>
      <c r="Q223" s="49"/>
      <c r="R223" s="49"/>
      <c r="S223" s="120"/>
      <c r="T223" s="120"/>
      <c r="U223" s="120"/>
      <c r="V223" s="49"/>
      <c r="W223" s="120"/>
      <c r="X223" s="120"/>
      <c r="Y223" s="120"/>
      <c r="Z223" s="89"/>
      <c r="AA223" s="89"/>
      <c r="AB223" s="89"/>
      <c r="AC223" s="89"/>
      <c r="AD223" s="89"/>
      <c r="AE223" s="89"/>
      <c r="AF223" s="89"/>
      <c r="AG223" s="89"/>
      <c r="AH223" s="89"/>
      <c r="AI223" s="89"/>
      <c r="AJ223" s="89"/>
      <c r="AK223" s="89"/>
      <c r="AL223" s="89"/>
      <c r="AM223" s="89"/>
      <c r="AN223" s="89"/>
      <c r="AO223" s="49"/>
      <c r="AP223" s="49"/>
      <c r="AQ223" s="49"/>
      <c r="AR223" s="49"/>
      <c r="AS223" s="49"/>
      <c r="AT223" s="49"/>
      <c r="AU223" s="49"/>
      <c r="AV223" s="49"/>
      <c r="AW223" s="49"/>
      <c r="AX223" s="49"/>
      <c r="AY223" s="49"/>
      <c r="AZ223" s="49"/>
      <c r="BA223" s="49"/>
      <c r="BB223" s="49"/>
      <c r="BC223" s="49"/>
      <c r="BD223" s="49"/>
      <c r="BE223" s="49"/>
      <c r="BF223" s="49"/>
      <c r="BG223" s="49"/>
      <c r="BH223" s="49"/>
      <c r="BI223" s="49"/>
      <c r="BJ223" s="49"/>
      <c r="BK223" s="49"/>
      <c r="BL223" s="49"/>
    </row>
    <row r="224" spans="1:135" x14ac:dyDescent="0.4">
      <c r="A224" s="253"/>
      <c r="B224" s="254"/>
      <c r="C224" s="255"/>
      <c r="D224" s="255"/>
      <c r="E224" s="255"/>
      <c r="F224" s="255"/>
      <c r="G224" s="255"/>
      <c r="H224" s="255"/>
      <c r="I224" s="255"/>
      <c r="J224" s="255"/>
      <c r="K224" s="255"/>
      <c r="L224" s="255"/>
      <c r="M224" s="256"/>
      <c r="S224" s="257"/>
      <c r="T224" s="257"/>
      <c r="U224" s="257"/>
      <c r="W224" s="257"/>
      <c r="X224" s="257"/>
      <c r="Y224" s="257"/>
      <c r="Z224" s="254"/>
      <c r="AA224" s="254"/>
      <c r="AB224" s="254"/>
      <c r="AC224" s="254"/>
      <c r="AD224" s="254"/>
      <c r="AE224" s="254"/>
      <c r="AF224" s="254"/>
      <c r="AG224" s="254"/>
      <c r="AH224" s="254"/>
      <c r="AI224" s="254"/>
      <c r="AJ224" s="254"/>
      <c r="AK224" s="254"/>
      <c r="AL224" s="254"/>
      <c r="AM224" s="254"/>
      <c r="AN224" s="254"/>
      <c r="DW224" s="258"/>
      <c r="EA224" s="259"/>
      <c r="EB224" s="259"/>
      <c r="EC224" s="259"/>
      <c r="ED224" s="259"/>
      <c r="EE224" s="259"/>
    </row>
    <row r="225" spans="1:135" x14ac:dyDescent="0.4">
      <c r="A225" s="253"/>
      <c r="B225" s="254"/>
      <c r="C225" s="255"/>
      <c r="D225" s="255"/>
      <c r="E225" s="255"/>
      <c r="F225" s="255"/>
      <c r="G225" s="255"/>
      <c r="H225" s="255"/>
      <c r="I225" s="255"/>
      <c r="J225" s="255"/>
      <c r="K225" s="255"/>
      <c r="L225" s="255"/>
      <c r="M225" s="256"/>
      <c r="S225" s="257"/>
      <c r="T225" s="257"/>
      <c r="U225" s="257"/>
      <c r="W225" s="257"/>
      <c r="X225" s="257"/>
      <c r="Y225" s="257"/>
      <c r="Z225" s="254"/>
      <c r="AA225" s="254"/>
      <c r="AB225" s="254"/>
      <c r="AC225" s="254"/>
      <c r="AD225" s="254"/>
      <c r="AE225" s="254"/>
      <c r="AF225" s="254"/>
      <c r="AG225" s="254"/>
      <c r="AH225" s="254"/>
      <c r="AI225" s="254"/>
      <c r="AJ225" s="254"/>
      <c r="AK225" s="254"/>
      <c r="AL225" s="254"/>
      <c r="AM225" s="254"/>
      <c r="AN225" s="254"/>
      <c r="DW225" s="258"/>
      <c r="EA225" s="259"/>
      <c r="EB225" s="259"/>
      <c r="EC225" s="259"/>
      <c r="ED225" s="259"/>
      <c r="EE225" s="259"/>
    </row>
    <row r="226" spans="1:135" x14ac:dyDescent="0.4">
      <c r="B226" s="281"/>
      <c r="C226" s="50"/>
      <c r="D226" s="14"/>
      <c r="E226" s="14"/>
      <c r="F226" s="14"/>
      <c r="G226" s="14"/>
      <c r="H226" s="14"/>
      <c r="I226" s="14"/>
      <c r="J226" s="14"/>
      <c r="K226" s="14"/>
      <c r="L226" s="14"/>
      <c r="M226" s="14"/>
      <c r="N226" s="89"/>
      <c r="O226" s="89"/>
      <c r="P226" s="89"/>
      <c r="Q226" s="89"/>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49"/>
      <c r="AP226" s="49"/>
      <c r="AQ226" s="49"/>
      <c r="AR226" s="49"/>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DW226" s="282"/>
      <c r="EA226" s="232"/>
      <c r="EB226" s="232"/>
      <c r="EC226" s="232"/>
      <c r="ED226" s="232"/>
      <c r="EE226" s="232"/>
    </row>
    <row r="227" spans="1:135" x14ac:dyDescent="0.4">
      <c r="A227" s="221"/>
      <c r="B227" s="281"/>
      <c r="C227" s="50"/>
      <c r="D227" s="14"/>
      <c r="E227" s="14"/>
      <c r="F227" s="14"/>
      <c r="G227" s="14"/>
      <c r="H227" s="14"/>
      <c r="I227" s="14"/>
      <c r="J227" s="14"/>
      <c r="K227" s="14"/>
      <c r="L227" s="14"/>
      <c r="M227" s="14"/>
      <c r="N227" s="89"/>
      <c r="O227" s="89"/>
      <c r="P227" s="89"/>
      <c r="Q227" s="89"/>
      <c r="R227" s="89"/>
      <c r="S227" s="89"/>
      <c r="T227" s="89"/>
      <c r="U227" s="89"/>
      <c r="V227" s="89"/>
      <c r="W227" s="89"/>
      <c r="X227" s="89"/>
      <c r="Y227" s="89"/>
      <c r="Z227" s="89"/>
      <c r="AA227" s="89"/>
      <c r="AB227" s="89"/>
      <c r="AC227" s="89"/>
      <c r="AD227" s="89"/>
      <c r="AE227" s="89"/>
      <c r="AF227" s="89"/>
      <c r="AG227" s="89"/>
      <c r="AH227" s="89"/>
      <c r="AI227" s="89"/>
      <c r="AJ227" s="89"/>
      <c r="AK227" s="89"/>
      <c r="AL227" s="89"/>
      <c r="AM227" s="89"/>
      <c r="AN227" s="89"/>
      <c r="AO227" s="49"/>
      <c r="AP227" s="49"/>
      <c r="AQ227" s="49"/>
      <c r="AR227" s="49"/>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DW227" s="282"/>
      <c r="EA227" s="232"/>
      <c r="EB227" s="232"/>
      <c r="EC227" s="232"/>
      <c r="ED227" s="232"/>
      <c r="EE227" s="232"/>
    </row>
    <row r="228" spans="1:135" x14ac:dyDescent="0.4">
      <c r="A228" s="261" t="s">
        <v>100</v>
      </c>
      <c r="B228" s="281"/>
      <c r="C228" s="50"/>
      <c r="D228" s="14"/>
      <c r="E228" s="14"/>
      <c r="F228" s="14"/>
      <c r="G228" s="14"/>
      <c r="H228" s="14"/>
      <c r="I228" s="14"/>
      <c r="J228" s="14"/>
      <c r="K228" s="14"/>
      <c r="L228" s="14"/>
      <c r="M228" s="14"/>
      <c r="N228" s="89"/>
      <c r="O228" s="89"/>
      <c r="P228" s="89"/>
      <c r="Q228" s="89"/>
      <c r="R228" s="89"/>
      <c r="S228" s="89"/>
      <c r="T228" s="89"/>
      <c r="U228" s="89"/>
      <c r="V228" s="89"/>
      <c r="W228" s="89"/>
      <c r="X228" s="89"/>
      <c r="Y228" s="89"/>
      <c r="Z228" s="89"/>
      <c r="AA228" s="261" t="s">
        <v>100</v>
      </c>
      <c r="AB228" s="89"/>
      <c r="AC228" s="89"/>
      <c r="AD228" s="89"/>
      <c r="AE228" s="89"/>
      <c r="AF228" s="89"/>
      <c r="AG228" s="89"/>
      <c r="AH228" s="89"/>
      <c r="AI228" s="89"/>
      <c r="AJ228" s="89"/>
      <c r="AK228" s="89"/>
      <c r="AL228" s="89"/>
      <c r="AM228" s="261" t="s">
        <v>100</v>
      </c>
      <c r="AN228" s="89"/>
      <c r="AO228" s="49"/>
      <c r="AP228" s="49"/>
      <c r="AQ228" s="49"/>
      <c r="AR228" s="49"/>
      <c r="AS228" s="49"/>
      <c r="AT228" s="49"/>
      <c r="AU228" s="49"/>
      <c r="AV228" s="49"/>
      <c r="AW228" s="49"/>
      <c r="AX228" s="49"/>
      <c r="AY228" s="49"/>
      <c r="AZ228" s="261" t="s">
        <v>100</v>
      </c>
      <c r="BA228" s="49"/>
      <c r="BB228" s="49"/>
      <c r="BC228" s="49"/>
      <c r="BD228" s="49"/>
      <c r="BE228" s="49"/>
      <c r="BF228" s="49"/>
      <c r="BG228" s="49"/>
      <c r="BH228" s="49"/>
      <c r="BI228" s="49"/>
      <c r="BJ228" s="261" t="s">
        <v>100</v>
      </c>
      <c r="BK228" s="49"/>
      <c r="BL228" s="49"/>
      <c r="BM228" s="49"/>
      <c r="BN228" s="49"/>
      <c r="BO228" s="49"/>
      <c r="BP228" s="49"/>
      <c r="BR228" s="261" t="s">
        <v>100</v>
      </c>
      <c r="BY228" s="261" t="s">
        <v>100</v>
      </c>
      <c r="CG228" s="261" t="s">
        <v>100</v>
      </c>
      <c r="CP228" s="261" t="s">
        <v>100</v>
      </c>
      <c r="DV228" s="261" t="s">
        <v>100</v>
      </c>
      <c r="DW228" s="282"/>
      <c r="EA228" s="232"/>
      <c r="EB228" s="232"/>
      <c r="EC228" s="232"/>
      <c r="ED228" s="232"/>
      <c r="EE228" s="232"/>
    </row>
    <row r="229" spans="1:135" x14ac:dyDescent="0.4">
      <c r="B229" s="694"/>
      <c r="C229" s="694"/>
      <c r="D229" s="113"/>
      <c r="E229" s="113"/>
      <c r="F229" s="113"/>
      <c r="G229" s="113"/>
      <c r="H229" s="113"/>
      <c r="I229" s="113"/>
      <c r="J229" s="113"/>
      <c r="K229" s="113"/>
      <c r="L229" s="113"/>
      <c r="M229" s="113"/>
      <c r="N229" s="114"/>
      <c r="O229" s="114"/>
      <c r="P229" s="114"/>
      <c r="Q229" s="114"/>
      <c r="R229" s="114"/>
      <c r="S229" s="114"/>
      <c r="T229" s="114"/>
      <c r="U229" s="114"/>
      <c r="V229" s="114"/>
      <c r="W229" s="114"/>
      <c r="X229" s="114"/>
      <c r="Y229" s="114"/>
      <c r="Z229" s="114"/>
      <c r="AA229" s="114"/>
      <c r="AB229" s="114"/>
      <c r="AC229" s="114"/>
      <c r="AD229" s="114"/>
      <c r="AE229" s="114"/>
      <c r="AF229" s="114"/>
      <c r="AG229" s="114"/>
      <c r="AH229" s="114"/>
      <c r="AI229" s="114"/>
      <c r="AJ229" s="114"/>
      <c r="AK229" s="114"/>
      <c r="AL229" s="114"/>
      <c r="AM229" s="114"/>
      <c r="AN229" s="114"/>
      <c r="AO229" s="89"/>
      <c r="DW229" s="54"/>
      <c r="EA229" s="55"/>
      <c r="EB229" s="55"/>
      <c r="EC229" s="55"/>
      <c r="ED229" s="55"/>
      <c r="EE229" s="55"/>
    </row>
    <row r="230" spans="1:135" ht="12.6" thickBot="1" x14ac:dyDescent="0.45">
      <c r="A230" s="233"/>
      <c r="B230" s="679"/>
      <c r="C230" s="679"/>
      <c r="D230" s="113"/>
      <c r="E230" s="113"/>
      <c r="F230" s="113"/>
      <c r="G230" s="113"/>
      <c r="H230" s="113"/>
      <c r="I230" s="113"/>
      <c r="J230" s="113"/>
      <c r="K230" s="113"/>
      <c r="L230" s="113"/>
      <c r="M230" s="113"/>
      <c r="N230" s="114"/>
      <c r="O230" s="114"/>
      <c r="P230" s="114"/>
      <c r="Q230" s="114"/>
      <c r="R230" s="114"/>
      <c r="S230" s="114"/>
      <c r="T230" s="114"/>
      <c r="U230" s="114"/>
      <c r="V230" s="114"/>
      <c r="W230" s="114"/>
      <c r="X230" s="114"/>
      <c r="Y230" s="114"/>
      <c r="Z230" s="114"/>
      <c r="AA230" s="114"/>
      <c r="AB230" s="114"/>
      <c r="AC230" s="114"/>
      <c r="AD230" s="114"/>
      <c r="AE230" s="114"/>
      <c r="AF230" s="114"/>
      <c r="AG230" s="114"/>
      <c r="AH230" s="114"/>
      <c r="AI230" s="114"/>
      <c r="AJ230" s="114"/>
      <c r="AK230" s="114"/>
      <c r="AL230" s="114"/>
      <c r="AM230" s="114"/>
      <c r="CZ230" s="116"/>
      <c r="DA230" s="116"/>
      <c r="DB230" s="116"/>
      <c r="DC230" s="116"/>
      <c r="DD230" s="116"/>
      <c r="DE230" s="116"/>
      <c r="DF230" s="116"/>
      <c r="DG230" s="116"/>
      <c r="DH230" s="116"/>
      <c r="DI230" s="117" t="str">
        <f>"DJ"&amp;MIN(DK233:DK281)</f>
        <v>DJ233</v>
      </c>
      <c r="DJ230" s="118" t="str">
        <f>"DJ"&amp;MAX(DK233:DK281)</f>
        <v>DJ278</v>
      </c>
      <c r="DK230" s="116"/>
      <c r="DL230" s="117" t="str">
        <f>"DM"&amp;MIN(DN233:DN281)</f>
        <v>DM233</v>
      </c>
      <c r="DM230" s="118" t="str">
        <f>"DM"&amp;MAX(DN233:DN281)</f>
        <v>DM278</v>
      </c>
      <c r="DN230" s="116"/>
      <c r="DO230" s="117" t="str">
        <f>"DP"&amp;MIN(DQ233:DQ281)</f>
        <v>DP233</v>
      </c>
      <c r="DP230" s="118" t="str">
        <f>"DP"&amp;MAX(DQ233:DQ281)</f>
        <v>DP278</v>
      </c>
      <c r="DQ230" s="116"/>
      <c r="DW230" s="119"/>
      <c r="EA230" s="33"/>
      <c r="EB230" s="33"/>
      <c r="EC230" s="33"/>
      <c r="ED230" s="33"/>
      <c r="EE230" s="33"/>
    </row>
    <row r="231" spans="1:135" ht="24.9" thickBot="1" x14ac:dyDescent="0.5">
      <c r="A231" s="676" t="s">
        <v>65</v>
      </c>
      <c r="C231" s="680" t="str">
        <f>A249</f>
        <v>Base Cases</v>
      </c>
      <c r="D231" s="681"/>
      <c r="E231" s="682"/>
      <c r="F231" s="683" t="str">
        <f>A250</f>
        <v>Conservative Cases</v>
      </c>
      <c r="G231" s="684"/>
      <c r="H231" s="685"/>
      <c r="I231" s="686" t="str">
        <f>A251</f>
        <v>Ambitious Cases</v>
      </c>
      <c r="J231" s="687"/>
      <c r="K231" s="688"/>
      <c r="L231" s="692" t="str">
        <f>A252</f>
        <v>Maximum Cases</v>
      </c>
      <c r="M231" s="693"/>
      <c r="O231" s="122"/>
      <c r="P231" s="122"/>
      <c r="Q231" s="122"/>
      <c r="W231" s="691" t="s">
        <v>66</v>
      </c>
      <c r="X231" s="691"/>
      <c r="Y231" s="691"/>
      <c r="Z231" s="120"/>
      <c r="AA231" s="1274" t="s">
        <v>1061</v>
      </c>
      <c r="AB231" s="1274"/>
      <c r="AC231" s="1274"/>
      <c r="AD231" s="120"/>
      <c r="AE231" s="120"/>
      <c r="AF231" s="120"/>
      <c r="AG231" s="120"/>
      <c r="AH231" s="120"/>
      <c r="AI231" s="120"/>
      <c r="AJ231" s="120"/>
      <c r="AK231" s="120"/>
      <c r="AL231" s="120"/>
      <c r="AM231" s="120"/>
      <c r="AN231" s="120"/>
      <c r="BR231" s="121" t="s">
        <v>67</v>
      </c>
      <c r="BS231" s="121"/>
      <c r="BT231" s="121"/>
      <c r="BU231" s="121"/>
      <c r="BV231" s="121"/>
      <c r="BW231" s="122"/>
      <c r="BY231" s="121" t="s">
        <v>68</v>
      </c>
      <c r="BZ231" s="121"/>
      <c r="CA231" s="121"/>
      <c r="CB231" s="121"/>
      <c r="CC231" s="121"/>
      <c r="CD231" s="121"/>
      <c r="CG231" s="121" t="s">
        <v>69</v>
      </c>
      <c r="CH231" s="121"/>
      <c r="CI231" s="121"/>
      <c r="CJ231" s="121"/>
      <c r="CK231" s="121"/>
      <c r="CL231" s="121"/>
      <c r="CM231" s="121"/>
      <c r="CP231" s="121" t="s">
        <v>70</v>
      </c>
      <c r="CQ231" s="121"/>
      <c r="CR231" s="121"/>
      <c r="CS231" s="121"/>
      <c r="CT231" s="121"/>
      <c r="CU231" s="121"/>
      <c r="CZ231" s="123"/>
      <c r="DA231" s="123"/>
      <c r="DB231" s="123"/>
      <c r="DC231" s="123"/>
      <c r="DD231" s="123"/>
      <c r="DE231" s="123"/>
      <c r="DF231" s="123"/>
      <c r="DG231" s="123"/>
      <c r="DH231" s="123"/>
      <c r="DI231" s="124" t="str">
        <f>"DI"&amp;MIN(DK233:DK281)</f>
        <v>DI233</v>
      </c>
      <c r="DJ231" s="125" t="str">
        <f>"DI"&amp;MAX(DK233:DK281)</f>
        <v>DI278</v>
      </c>
      <c r="DK231" s="123"/>
      <c r="DL231" s="124" t="str">
        <f>"DL"&amp;MIN(DN233:DN281)</f>
        <v>DL233</v>
      </c>
      <c r="DM231" s="125" t="str">
        <f>"DL"&amp;MAX(DN233:DN281)</f>
        <v>DL278</v>
      </c>
      <c r="DN231" s="123"/>
      <c r="DO231" s="124" t="str">
        <f>"DO"&amp;MIN(DQ233:DQ281)</f>
        <v>DO233</v>
      </c>
      <c r="DP231" s="125" t="str">
        <f>"DO"&amp;MAX(DQ233:DQ281)</f>
        <v>DO278</v>
      </c>
      <c r="DQ231" s="123"/>
      <c r="DV231" s="126" t="s">
        <v>71</v>
      </c>
      <c r="DZ231" s="127" t="s">
        <v>72</v>
      </c>
      <c r="EA231" s="33" t="str">
        <f>$L$23</f>
        <v>3rd Poly</v>
      </c>
    </row>
    <row r="232" spans="1:135" ht="86.4" thickBot="1" x14ac:dyDescent="0.5">
      <c r="A232" s="676" t="s">
        <v>73</v>
      </c>
      <c r="B232" s="128"/>
      <c r="C232" s="988" t="str">
        <f>A233</f>
        <v>Based on World Bank, What a Waste 2.0</v>
      </c>
      <c r="D232" s="996" t="str">
        <f>A234</f>
        <v>Based on Hoornweg et al (2014)</v>
      </c>
      <c r="E232" s="997" t="str">
        <f>A235</f>
        <v>[Source 3]</v>
      </c>
      <c r="F232" s="129" t="str">
        <f>A236</f>
        <v>[Source 1]</v>
      </c>
      <c r="G232" s="130" t="str">
        <f>A237</f>
        <v>[Source 2]</v>
      </c>
      <c r="H232" s="131" t="str">
        <f>A238</f>
        <v>[Source 3]</v>
      </c>
      <c r="I232" s="129" t="str">
        <f>A239</f>
        <v>Based on  IEA Annex I – Municipal solid waste potential in cities; Table I.1</v>
      </c>
      <c r="J232" s="130" t="str">
        <f>A240</f>
        <v>[Source 2]</v>
      </c>
      <c r="K232" s="131" t="str">
        <f>A241</f>
        <v>[Source 3]</v>
      </c>
      <c r="L232" s="129" t="str">
        <f>A242</f>
        <v>[Source 1]</v>
      </c>
      <c r="M232" s="131" t="str">
        <f>A243</f>
        <v>[Source 2]</v>
      </c>
      <c r="N232" s="234" t="s">
        <v>74</v>
      </c>
      <c r="O232" s="133"/>
      <c r="P232" s="133"/>
      <c r="Q232" s="133"/>
      <c r="R232" s="135" t="s">
        <v>76</v>
      </c>
      <c r="S232" s="134" t="s">
        <v>77</v>
      </c>
      <c r="T232" s="134" t="s">
        <v>78</v>
      </c>
      <c r="U232" s="136" t="s">
        <v>79</v>
      </c>
      <c r="V232" s="691"/>
      <c r="W232" s="136" t="s">
        <v>15</v>
      </c>
      <c r="X232" s="134" t="s">
        <v>21</v>
      </c>
      <c r="Y232" s="136" t="s">
        <v>25</v>
      </c>
      <c r="AA232" s="136" t="s">
        <v>15</v>
      </c>
      <c r="AB232" s="134" t="s">
        <v>21</v>
      </c>
      <c r="AC232" s="136" t="s">
        <v>25</v>
      </c>
      <c r="AD232" s="138"/>
      <c r="AE232" s="138"/>
      <c r="AF232" s="138"/>
      <c r="AG232" s="138"/>
      <c r="AH232" s="138"/>
      <c r="AI232" s="138"/>
      <c r="AJ232" s="138"/>
      <c r="AK232" s="138"/>
      <c r="AL232" s="138"/>
      <c r="AM232" s="138"/>
      <c r="AN232" s="138"/>
      <c r="BR232" s="139"/>
      <c r="BS232" s="139"/>
      <c r="BT232" s="139"/>
      <c r="BU232" s="139"/>
      <c r="BV232" s="139"/>
      <c r="BW232" s="122"/>
      <c r="BZ232" s="139"/>
      <c r="CA232" s="139"/>
      <c r="CB232" s="139"/>
      <c r="CC232" s="139"/>
      <c r="CD232" s="139"/>
      <c r="CH232" s="139"/>
      <c r="CI232" s="139"/>
      <c r="CJ232" s="139"/>
      <c r="CK232" s="139"/>
      <c r="CL232" s="139"/>
      <c r="CM232" s="139"/>
      <c r="CQ232" s="139"/>
      <c r="CR232" s="139"/>
      <c r="CS232" s="139"/>
      <c r="CT232" s="139"/>
      <c r="CU232" s="139"/>
      <c r="CZ232" s="140"/>
      <c r="DA232" s="140"/>
      <c r="DB232" s="140"/>
      <c r="DC232" s="140"/>
      <c r="DD232" s="141"/>
      <c r="DE232" s="141"/>
      <c r="DF232" s="141"/>
      <c r="DG232" s="141"/>
      <c r="DH232" s="140"/>
      <c r="DI232" s="142"/>
      <c r="DJ232" s="143"/>
      <c r="DK232" s="144"/>
      <c r="DL232" s="142"/>
      <c r="DM232" s="143"/>
      <c r="DN232" s="140"/>
      <c r="DO232" s="142"/>
      <c r="DP232" s="143"/>
      <c r="DQ232" s="140"/>
      <c r="DV232" s="145">
        <v>2014</v>
      </c>
      <c r="DW232" s="235">
        <f t="shared" ref="DW232:DW278" ca="1" si="106">IF($J$23="N","",IF($L$23="Linear",BV237,IF($L$23="2nd Poly",CD237,IF($L$23="3rd Poly",CM237,IF($L$23="Exp",CT237)))))</f>
        <v>754.47866390087256</v>
      </c>
      <c r="EA232" s="33" t="str">
        <f>$M$23</f>
        <v>Medium</v>
      </c>
      <c r="EB232" s="33"/>
      <c r="EC232" s="33"/>
      <c r="ED232" s="33"/>
      <c r="EE232" s="33"/>
    </row>
    <row r="233" spans="1:135" ht="14.1" thickBot="1" x14ac:dyDescent="0.5">
      <c r="A233" s="948" t="s">
        <v>1032</v>
      </c>
      <c r="B233" s="128">
        <v>2012</v>
      </c>
      <c r="C233" s="1058">
        <v>714.8872146118722</v>
      </c>
      <c r="D233" s="1058">
        <v>714.8872146118722</v>
      </c>
      <c r="E233" s="1059"/>
      <c r="F233" s="1037"/>
      <c r="G233" s="1038"/>
      <c r="H233" s="1000"/>
      <c r="I233" s="1058">
        <v>714.8872146118722</v>
      </c>
      <c r="J233" s="264"/>
      <c r="K233" s="239"/>
      <c r="L233" s="190"/>
      <c r="M233" s="239"/>
      <c r="N233" s="29" t="s">
        <v>119</v>
      </c>
      <c r="O233" s="120"/>
      <c r="P233" s="120"/>
      <c r="Q233" s="120"/>
      <c r="R233" s="29">
        <v>-2</v>
      </c>
      <c r="S233" s="238">
        <f t="shared" ref="S233:S281" si="107">IF(MIN(C233:Q233)=0,"",MIN(C233:Q233))</f>
        <v>714.8872146118722</v>
      </c>
      <c r="T233" s="238">
        <f t="shared" ref="T233:T281" si="108">IF(MAX(C233:Q233)=0,"",MAX(C233:Q233))</f>
        <v>714.8872146118722</v>
      </c>
      <c r="U233" s="238">
        <f t="shared" ref="U233:U281" si="109">IF(T233="","",_xlfn.STDEV.P(C233:Q233))</f>
        <v>1.1368683772161603E-13</v>
      </c>
      <c r="V233" s="29"/>
      <c r="W233" s="238">
        <f t="shared" ref="W233:W281" si="110">IF(U233="",#N/A,X233-(U233*$Q$23))</f>
        <v>714.8872146118722</v>
      </c>
      <c r="X233" s="238">
        <f t="shared" ref="X233:X264" si="111">IF(U233="",#N/A,(SUM(C233:Q233)/COUNTIFS(C233:Q233,"&gt;0")))</f>
        <v>714.88721461187231</v>
      </c>
      <c r="Y233" s="238">
        <f t="shared" ref="Y233:Y281" si="112">IF(U233="",#N/A,X233+(U233*$Q$22))</f>
        <v>714.88721461187242</v>
      </c>
      <c r="AA233" s="1133">
        <v>714.8872146118722</v>
      </c>
      <c r="AB233" s="1133">
        <v>714.8872146118722</v>
      </c>
      <c r="AC233" s="1133">
        <v>714.8872146118722</v>
      </c>
      <c r="AD233" s="138"/>
      <c r="AE233" s="138"/>
      <c r="AF233" s="138"/>
      <c r="AG233" s="138"/>
      <c r="AH233" s="138"/>
      <c r="AI233" s="138"/>
      <c r="AJ233" s="138"/>
      <c r="AK233" s="138"/>
      <c r="AL233" s="138"/>
      <c r="AM233" s="138"/>
      <c r="AN233" s="138"/>
      <c r="BR233" s="691" t="s">
        <v>81</v>
      </c>
      <c r="BS233" s="65" t="str">
        <f>$M$23</f>
        <v>Medium</v>
      </c>
      <c r="BT233" s="691" t="s">
        <v>82</v>
      </c>
      <c r="BU233" s="691" t="s">
        <v>83</v>
      </c>
      <c r="BW233" s="133"/>
      <c r="BY233" s="691" t="s">
        <v>81</v>
      </c>
      <c r="BZ233" s="65" t="str">
        <f>$M$23</f>
        <v>Medium</v>
      </c>
      <c r="CA233" s="691" t="s">
        <v>84</v>
      </c>
      <c r="CB233" s="691" t="s">
        <v>82</v>
      </c>
      <c r="CC233" s="691" t="s">
        <v>83</v>
      </c>
      <c r="CG233" s="691" t="s">
        <v>81</v>
      </c>
      <c r="CH233" s="65" t="str">
        <f>$M$23</f>
        <v>Medium</v>
      </c>
      <c r="CI233" s="691" t="s">
        <v>85</v>
      </c>
      <c r="CJ233" s="691" t="s">
        <v>84</v>
      </c>
      <c r="CK233" s="691" t="s">
        <v>82</v>
      </c>
      <c r="CL233" s="691" t="s">
        <v>83</v>
      </c>
      <c r="CP233" s="691" t="s">
        <v>81</v>
      </c>
      <c r="CQ233" s="65" t="str">
        <f>$M$23</f>
        <v>Medium</v>
      </c>
      <c r="CR233" s="691" t="s">
        <v>86</v>
      </c>
      <c r="CS233" s="691" t="s">
        <v>87</v>
      </c>
      <c r="CZ233" s="155" t="b">
        <f t="shared" ref="CZ233:DB273" si="113">ISNUMBER(W233)</f>
        <v>1</v>
      </c>
      <c r="DA233" s="156" t="b">
        <f t="shared" si="113"/>
        <v>1</v>
      </c>
      <c r="DB233" s="157" t="b">
        <f t="shared" si="113"/>
        <v>1</v>
      </c>
      <c r="DC233" s="155">
        <f t="shared" ref="DC233:DC278" si="114">IF(CZ233=TRUE,$R233,"")</f>
        <v>-2</v>
      </c>
      <c r="DD233" s="157">
        <f t="shared" ref="DD233:DD278" si="115">IF(CZ233=TRUE,W233,"")</f>
        <v>714.8872146118722</v>
      </c>
      <c r="DE233" s="155">
        <f t="shared" ref="DE233:DE278" si="116">IF(DA233=TRUE,$R233,"")</f>
        <v>-2</v>
      </c>
      <c r="DF233" s="157">
        <f t="shared" ref="DF233:DF278" si="117">IF(DA233=TRUE,X233,"")</f>
        <v>714.88721461187231</v>
      </c>
      <c r="DG233" s="155">
        <f t="shared" ref="DG233:DG278" si="118">IF(DB233=TRUE,$R233,"")</f>
        <v>-2</v>
      </c>
      <c r="DH233" s="157">
        <f t="shared" ref="DH233:DH278" si="119">IF(DB233=TRUE,Y233,"")</f>
        <v>714.88721461187242</v>
      </c>
      <c r="DI233" s="155">
        <f>IFERROR(INDEX(DC$233:DC$281,_xlfn.AGGREGATE(15,6,(ROW(DC$233:DC$281)-ROW(DC$233)+1)/(DC$233:DC$281&lt;&gt;""),ROWS(DI$1:DI1))),"")</f>
        <v>-2</v>
      </c>
      <c r="DJ233" s="156">
        <f>IFERROR(INDEX(DD$233:DD$281,_xlfn.AGGREGATE(15,6,(ROW(DD$233:DD$281)-ROW(DD$233)+1)/(DD$233:DD$281&lt;&gt;""),ROWS(DJ$1:DJ1))),"")</f>
        <v>714.8872146118722</v>
      </c>
      <c r="DK233" s="157">
        <f t="shared" ref="DK233:DK278" si="120">IF(ISNUMBER(DI233),ROW(DI233),"")</f>
        <v>233</v>
      </c>
      <c r="DL233" s="155">
        <f>IFERROR(INDEX(DE$233:DE$281,_xlfn.AGGREGATE(15,6,(ROW(DE$233:DE$281)-ROW(DE$233)+1)/(DE$233:DE$281&lt;&gt;""),ROWS(DL$1:DL1))),"")</f>
        <v>-2</v>
      </c>
      <c r="DM233" s="156">
        <f>IFERROR(INDEX(DF$233:DF$281,_xlfn.AGGREGATE(15,6,(ROW(DF$233:DF$281)-ROW(DF$233)+1)/(DF$233:DF$281&lt;&gt;""),ROWS(DM$1:DM1))),"")</f>
        <v>714.88721461187231</v>
      </c>
      <c r="DN233" s="157">
        <f t="shared" ref="DN233:DN278" si="121">IF(ISNUMBER(DI233),ROW(DI233),"")</f>
        <v>233</v>
      </c>
      <c r="DO233" s="155">
        <f>IFERROR(INDEX(DG$233:DG$281,_xlfn.AGGREGATE(15,6,(ROW(DG$233:DG$281)-ROW(DG$233)+1)/(DG$233:DG$281&lt;&gt;""),ROWS(DO$1:DO1))),"")</f>
        <v>-2</v>
      </c>
      <c r="DP233" s="156">
        <f>IFERROR(INDEX(DH$233:DH$281,_xlfn.AGGREGATE(15,6,(ROW(DH$233:DH$281)-ROW(DH$233)+1)/(DH$233:DH$281&lt;&gt;""),ROWS(DP$1:DP1))),"")</f>
        <v>714.88721461187242</v>
      </c>
      <c r="DQ233" s="157">
        <f t="shared" ref="DQ233:DQ278" si="122">IF(ISNUMBER(DL233),ROW(DL233),"")</f>
        <v>233</v>
      </c>
      <c r="DV233" s="145">
        <v>2015</v>
      </c>
      <c r="DW233" s="235">
        <f t="shared" ca="1" si="106"/>
        <v>777.67918082538097</v>
      </c>
      <c r="EA233" s="33"/>
      <c r="EB233" s="33"/>
      <c r="EC233" s="33"/>
      <c r="ED233" s="33"/>
      <c r="EE233" s="33"/>
    </row>
    <row r="234" spans="1:135" ht="13.8" x14ac:dyDescent="0.45">
      <c r="A234" s="948" t="s">
        <v>1037</v>
      </c>
      <c r="B234" s="128">
        <v>2013</v>
      </c>
      <c r="C234" s="1045">
        <v>731.13618721461194</v>
      </c>
      <c r="D234" s="1045">
        <v>731.13618721461194</v>
      </c>
      <c r="E234" s="1048"/>
      <c r="F234" s="1053"/>
      <c r="G234" s="1054"/>
      <c r="H234" s="1055"/>
      <c r="I234" s="1142">
        <v>731.13618721461194</v>
      </c>
      <c r="J234" s="264"/>
      <c r="K234" s="239"/>
      <c r="L234" s="190"/>
      <c r="M234" s="239"/>
      <c r="N234" s="29" t="s">
        <v>119</v>
      </c>
      <c r="O234" s="120"/>
      <c r="P234" s="120"/>
      <c r="Q234" s="120"/>
      <c r="R234" s="29">
        <v>-1</v>
      </c>
      <c r="S234" s="238">
        <f t="shared" si="107"/>
        <v>731.13618721461194</v>
      </c>
      <c r="T234" s="238">
        <f t="shared" si="108"/>
        <v>731.13618721461194</v>
      </c>
      <c r="U234" s="238">
        <f t="shared" si="109"/>
        <v>1.1368683772161603E-13</v>
      </c>
      <c r="V234" s="29"/>
      <c r="W234" s="238">
        <f t="shared" si="110"/>
        <v>731.13618721461194</v>
      </c>
      <c r="X234" s="238">
        <f t="shared" si="111"/>
        <v>731.13618721461205</v>
      </c>
      <c r="Y234" s="238">
        <f t="shared" si="112"/>
        <v>731.13618721461216</v>
      </c>
      <c r="AA234" s="1133">
        <v>731.13618721461194</v>
      </c>
      <c r="AB234" s="1133">
        <v>731.13618721461194</v>
      </c>
      <c r="AC234" s="1133">
        <v>731.13618721461194</v>
      </c>
      <c r="AD234" s="138"/>
      <c r="AE234" s="138"/>
      <c r="AF234" s="138"/>
      <c r="AG234" s="138"/>
      <c r="AH234" s="138"/>
      <c r="AI234" s="138"/>
      <c r="AJ234" s="138"/>
      <c r="AK234" s="138"/>
      <c r="AL234" s="138"/>
      <c r="AM234" s="138"/>
      <c r="AN234" s="138"/>
      <c r="BS234" s="160" t="s">
        <v>25</v>
      </c>
      <c r="BT234" s="161">
        <f>SLOPE((DH233:DH281),($B$46:$B$94))</f>
        <v>21.124216391966481</v>
      </c>
      <c r="BU234" s="162">
        <f>INTERCEPT(DP233:DP281,DO233:DO281)</f>
        <v>854.96861147649952</v>
      </c>
      <c r="BW234" s="133"/>
      <c r="BZ234" s="160" t="s">
        <v>25</v>
      </c>
      <c r="CA234" s="161">
        <f ca="1">INDEX(LINEST((INDIRECT(DO230):INDIRECT(DP230)),(INDIRECT(DO231):INDIRECT(DP231))^{1,2}),1)</f>
        <v>-0.31650904566025634</v>
      </c>
      <c r="CB234" s="163">
        <f ca="1">INDEX(LINEST((INDIRECT(DO230):INDIRECT(DP230)),(INDIRECT(DO231):INDIRECT(DP231))^{1,2}),1,2)</f>
        <v>34.101087264036991</v>
      </c>
      <c r="CC234" s="162">
        <f ca="1">INDEX(LINEST((INDIRECT(DO230):INDIRECT(DP230)),(INDIRECT(DO231):INDIRECT(DP231))^{1,2}),1,3)</f>
        <v>777.74040433539699</v>
      </c>
      <c r="CH234" s="160" t="s">
        <v>25</v>
      </c>
      <c r="CI234" s="161">
        <f ca="1">INDEX(LINEST((INDIRECT(DO230):INDIRECT(DP230)),(INDIRECT(DO231):INDIRECT(DP231))^{1,2,3}),1)</f>
        <v>5.3191512743880611E-3</v>
      </c>
      <c r="CJ234" s="163">
        <f ca="1">INDEX(LINEST((INDIRECT(DO230):INDIRECT(DP230)),(INDIRECT(DO231):INDIRECT(DP231))^{1,2,3}),1,2)</f>
        <v>-0.64363684903512164</v>
      </c>
      <c r="CK234" s="163">
        <f ca="1">INDEX(LINEST((INDIRECT(DO230):INDIRECT(DP230)),(INDIRECT(DO231):INDIRECT(DP231))^{1,2,3}),1,3)</f>
        <v>39.120770321676964</v>
      </c>
      <c r="CL234" s="162">
        <f ca="1">INDEX(LINEST((INDIRECT(DO230):INDIRECT(DP230)),(INDIRECT(DO231):INDIRECT(DP231))^{1,2,3}),1,4)</f>
        <v>766.48720789930201</v>
      </c>
      <c r="CQ234" s="160" t="s">
        <v>25</v>
      </c>
      <c r="CR234" s="161">
        <f ca="1">EXP(INDEX(LINEST(LN(INDIRECT(DO230):INDIRECT(DP230)),(INDIRECT(DO231):INDIRECT(DP231))),1,2))</f>
        <v>871.64163362573254</v>
      </c>
      <c r="CS234" s="162">
        <f ca="1">INDEX(LINEST(LN(INDIRECT(DO230):INDIRECT(DP230)),(INDIRECT(DO231):INDIRECT(DP231))),1)</f>
        <v>1.7676247402397302E-2</v>
      </c>
      <c r="CZ234" s="164" t="b">
        <f t="shared" si="113"/>
        <v>1</v>
      </c>
      <c r="DA234" s="165" t="b">
        <f t="shared" si="113"/>
        <v>1</v>
      </c>
      <c r="DB234" s="166" t="b">
        <f t="shared" si="113"/>
        <v>1</v>
      </c>
      <c r="DC234" s="164">
        <f t="shared" si="114"/>
        <v>-1</v>
      </c>
      <c r="DD234" s="166">
        <f t="shared" si="115"/>
        <v>731.13618721461194</v>
      </c>
      <c r="DE234" s="164">
        <f t="shared" si="116"/>
        <v>-1</v>
      </c>
      <c r="DF234" s="166">
        <f t="shared" si="117"/>
        <v>731.13618721461205</v>
      </c>
      <c r="DG234" s="164">
        <f t="shared" si="118"/>
        <v>-1</v>
      </c>
      <c r="DH234" s="166">
        <f t="shared" si="119"/>
        <v>731.13618721461216</v>
      </c>
      <c r="DI234" s="164">
        <f>IFERROR(INDEX(DC$233:DC$281,_xlfn.AGGREGATE(15,6,(ROW(DC$233:DC$281)-ROW(DC$233)+1)/(DC$233:DC$281&lt;&gt;""),ROWS(DI$1:DI2))),"")</f>
        <v>-1</v>
      </c>
      <c r="DJ234" s="165">
        <f>IFERROR(INDEX(DD$233:DD$281,_xlfn.AGGREGATE(15,6,(ROW(DD$233:DD$281)-ROW(DD$233)+1)/(DD$233:DD$281&lt;&gt;""),ROWS(DJ$1:DJ2))),"")</f>
        <v>731.13618721461194</v>
      </c>
      <c r="DK234" s="166">
        <f t="shared" si="120"/>
        <v>234</v>
      </c>
      <c r="DL234" s="164">
        <f>IFERROR(INDEX(DE$233:DE$281,_xlfn.AGGREGATE(15,6,(ROW(DE$233:DE$281)-ROW(DE$233)+1)/(DE$233:DE$281&lt;&gt;""),ROWS(DL$1:DL2))),"")</f>
        <v>-1</v>
      </c>
      <c r="DM234" s="165">
        <f>IFERROR(INDEX(DF$233:DF$281,_xlfn.AGGREGATE(15,6,(ROW(DF$233:DF$281)-ROW(DF$233)+1)/(DF$233:DF$281&lt;&gt;""),ROWS(DM$1:DM2))),"")</f>
        <v>731.13618721461205</v>
      </c>
      <c r="DN234" s="166">
        <f t="shared" si="121"/>
        <v>234</v>
      </c>
      <c r="DO234" s="164">
        <f>IFERROR(INDEX(DG$233:DG$281,_xlfn.AGGREGATE(15,6,(ROW(DG$233:DG$281)-ROW(DG$233)+1)/(DG$233:DG$281&lt;&gt;""),ROWS(DO$1:DO2))),"")</f>
        <v>-1</v>
      </c>
      <c r="DP234" s="165">
        <f>IFERROR(INDEX(DH$233:DH$281,_xlfn.AGGREGATE(15,6,(ROW(DH$233:DH$281)-ROW(DH$233)+1)/(DH$233:DH$281&lt;&gt;""),ROWS(DP$1:DP2))),"")</f>
        <v>731.13618721461216</v>
      </c>
      <c r="DQ234" s="166">
        <f t="shared" si="122"/>
        <v>234</v>
      </c>
      <c r="DV234" s="145">
        <v>2016</v>
      </c>
      <c r="DW234" s="235">
        <f t="shared" ca="1" si="106"/>
        <v>800.2999964067883</v>
      </c>
      <c r="EA234" s="33"/>
      <c r="EB234" s="33"/>
      <c r="EC234" s="33"/>
      <c r="ED234" s="33"/>
      <c r="EE234" s="33"/>
    </row>
    <row r="235" spans="1:135" ht="13.8" x14ac:dyDescent="0.45">
      <c r="A235" s="948" t="s">
        <v>90</v>
      </c>
      <c r="B235" s="128">
        <v>2014</v>
      </c>
      <c r="C235" s="1046">
        <v>747.38515981735168</v>
      </c>
      <c r="D235" s="1046">
        <v>747.38515981735168</v>
      </c>
      <c r="E235" s="1049"/>
      <c r="F235" s="931"/>
      <c r="G235" s="168"/>
      <c r="H235" s="169"/>
      <c r="I235" s="1046">
        <v>747.38515981735168</v>
      </c>
      <c r="J235" s="168"/>
      <c r="K235" s="169"/>
      <c r="L235" s="170"/>
      <c r="M235" s="169"/>
      <c r="N235" s="29" t="s">
        <v>119</v>
      </c>
      <c r="O235" s="120"/>
      <c r="P235" s="120"/>
      <c r="Q235" s="120"/>
      <c r="R235" s="29">
        <v>0</v>
      </c>
      <c r="S235" s="238">
        <f t="shared" si="107"/>
        <v>747.38515981735168</v>
      </c>
      <c r="T235" s="238">
        <f t="shared" si="108"/>
        <v>747.38515981735168</v>
      </c>
      <c r="U235" s="238">
        <f t="shared" si="109"/>
        <v>1.1368683772161603E-13</v>
      </c>
      <c r="V235" s="29"/>
      <c r="W235" s="238">
        <f t="shared" si="110"/>
        <v>747.38515981735168</v>
      </c>
      <c r="X235" s="238">
        <f t="shared" si="111"/>
        <v>747.38515981735179</v>
      </c>
      <c r="Y235" s="238">
        <f t="shared" si="112"/>
        <v>747.38515981735191</v>
      </c>
      <c r="AA235" s="1133">
        <v>747.38515981735168</v>
      </c>
      <c r="AB235" s="1133">
        <v>747.38515981735168</v>
      </c>
      <c r="AC235" s="1133">
        <v>747.38515981735168</v>
      </c>
      <c r="AD235" s="138"/>
      <c r="AE235" s="138"/>
      <c r="AF235" s="138"/>
      <c r="AG235" s="138"/>
      <c r="AH235" s="138"/>
      <c r="AI235" s="138"/>
      <c r="AJ235" s="138"/>
      <c r="AK235" s="138"/>
      <c r="AL235" s="138"/>
      <c r="AM235" s="138"/>
      <c r="AN235" s="138"/>
      <c r="BS235" s="160" t="s">
        <v>91</v>
      </c>
      <c r="BT235" s="172">
        <f>SLOPE((DF233:DF281),($B$46:$B$94))</f>
        <v>15.216869473233514</v>
      </c>
      <c r="BU235" s="173">
        <f>INTERCEPT(DM233:DM281,DL233:DL281)</f>
        <v>795.07013205106455</v>
      </c>
      <c r="BZ235" s="160" t="s">
        <v>91</v>
      </c>
      <c r="CA235" s="172">
        <f ca="1">INDEX(LINEST((INDIRECT(DL230):INDIRECT(DM230)),(INDIRECT(DL231):INDIRECT(DM231))^{1,2}),1)</f>
        <v>-0.14487044397733104</v>
      </c>
      <c r="CB235" s="174">
        <f ca="1">INDEX(LINEST((INDIRECT(DL230):INDIRECT(DM230)),(INDIRECT(DL231):INDIRECT(DM231))^{1,2}),1,2)</f>
        <v>21.156557676304093</v>
      </c>
      <c r="CC235" s="173">
        <f ca="1">INDEX(LINEST((INDIRECT(DL230):INDIRECT(DM230)),(INDIRECT(DL231):INDIRECT(DM231))^{1,2}),1,3)</f>
        <v>759.72174372059567</v>
      </c>
      <c r="CH235" s="160" t="s">
        <v>91</v>
      </c>
      <c r="CI235" s="172">
        <f ca="1">INDEX(LINEST((INDIRECT(DL230):INDIRECT(DM230)),(INDIRECT(DL231):INDIRECT(DM231))^{1,2,3}),1)</f>
        <v>2.4782944884302574E-3</v>
      </c>
      <c r="CJ235" s="174">
        <f ca="1">INDEX(LINEST((INDIRECT(DL230):INDIRECT(DM230)),(INDIRECT(DL231):INDIRECT(DM231))^{1,2,3}),1,2)</f>
        <v>-0.29728555501579229</v>
      </c>
      <c r="CK235" s="174">
        <f ca="1">INDEX(LINEST((INDIRECT(DL230):INDIRECT(DM230)),(INDIRECT(DL231):INDIRECT(DM231))^{1,2,3}),1,3)</f>
        <v>23.495324185035734</v>
      </c>
      <c r="CL235" s="173">
        <f ca="1">INDEX(LINEST((INDIRECT(DL230):INDIRECT(DM230)),(INDIRECT(DL231):INDIRECT(DM231))^{1,2,3}),1,4)</f>
        <v>754.47866390087256</v>
      </c>
      <c r="CQ235" s="160" t="s">
        <v>91</v>
      </c>
      <c r="CR235" s="172">
        <f ca="1">EXP(INDEX(LINEST(LN(INDIRECT(DL230):INDIRECT(DM230)),(INDIRECT(DL231):INDIRECT(DM231))),1,2))</f>
        <v>810.12186311233324</v>
      </c>
      <c r="CS235" s="173">
        <f ca="1">INDEX(LINEST(LN(INDIRECT(DL230):INDIRECT(DM230)),(INDIRECT(DL231):INDIRECT(DM231))),1)</f>
        <v>1.4342988948704668E-2</v>
      </c>
      <c r="CZ235" s="164" t="b">
        <f t="shared" si="113"/>
        <v>1</v>
      </c>
      <c r="DA235" s="165" t="b">
        <f t="shared" si="113"/>
        <v>1</v>
      </c>
      <c r="DB235" s="166" t="b">
        <f t="shared" si="113"/>
        <v>1</v>
      </c>
      <c r="DC235" s="164">
        <f t="shared" si="114"/>
        <v>0</v>
      </c>
      <c r="DD235" s="166">
        <f t="shared" si="115"/>
        <v>747.38515981735168</v>
      </c>
      <c r="DE235" s="164">
        <f t="shared" si="116"/>
        <v>0</v>
      </c>
      <c r="DF235" s="166">
        <f t="shared" si="117"/>
        <v>747.38515981735179</v>
      </c>
      <c r="DG235" s="164">
        <f t="shared" si="118"/>
        <v>0</v>
      </c>
      <c r="DH235" s="166">
        <f t="shared" si="119"/>
        <v>747.38515981735191</v>
      </c>
      <c r="DI235" s="164">
        <f>IFERROR(INDEX(DC$233:DC$281,_xlfn.AGGREGATE(15,6,(ROW(DC$233:DC$281)-ROW(DC$233)+1)/(DC$233:DC$281&lt;&gt;""),ROWS(DI$1:DI3))),"")</f>
        <v>0</v>
      </c>
      <c r="DJ235" s="165">
        <f>IFERROR(INDEX(DD$233:DD$281,_xlfn.AGGREGATE(15,6,(ROW(DD$233:DD$281)-ROW(DD$233)+1)/(DD$233:DD$281&lt;&gt;""),ROWS(DJ$1:DJ3))),"")</f>
        <v>747.38515981735168</v>
      </c>
      <c r="DK235" s="166">
        <f t="shared" si="120"/>
        <v>235</v>
      </c>
      <c r="DL235" s="164">
        <f>IFERROR(INDEX(DE$233:DE$281,_xlfn.AGGREGATE(15,6,(ROW(DE$233:DE$281)-ROW(DE$233)+1)/(DE$233:DE$281&lt;&gt;""),ROWS(DL$1:DL3))),"")</f>
        <v>0</v>
      </c>
      <c r="DM235" s="165">
        <f>IFERROR(INDEX(DF$233:DF$281,_xlfn.AGGREGATE(15,6,(ROW(DF$233:DF$281)-ROW(DF$233)+1)/(DF$233:DF$281&lt;&gt;""),ROWS(DM$1:DM3))),"")</f>
        <v>747.38515981735179</v>
      </c>
      <c r="DN235" s="166">
        <f t="shared" si="121"/>
        <v>235</v>
      </c>
      <c r="DO235" s="164">
        <f>IFERROR(INDEX(DG$233:DG$281,_xlfn.AGGREGATE(15,6,(ROW(DG$233:DG$281)-ROW(DG$233)+1)/(DG$233:DG$281&lt;&gt;""),ROWS(DO$1:DO3))),"")</f>
        <v>0</v>
      </c>
      <c r="DP235" s="165">
        <f>IFERROR(INDEX(DH$233:DH$281,_xlfn.AGGREGATE(15,6,(ROW(DH$233:DH$281)-ROW(DH$233)+1)/(DH$233:DH$281&lt;&gt;""),ROWS(DP$1:DP3))),"")</f>
        <v>747.38515981735191</v>
      </c>
      <c r="DQ235" s="166">
        <f t="shared" si="122"/>
        <v>235</v>
      </c>
      <c r="DV235" s="145">
        <v>2017</v>
      </c>
      <c r="DW235" s="235">
        <f t="shared" ca="1" si="106"/>
        <v>822.35598041202525</v>
      </c>
      <c r="DZ235" s="65" t="s">
        <v>89</v>
      </c>
      <c r="EA235" s="33"/>
      <c r="EB235" s="33"/>
      <c r="EC235" s="33"/>
      <c r="ED235" s="33"/>
      <c r="EE235" s="33"/>
    </row>
    <row r="236" spans="1:135" ht="14.1" thickBot="1" x14ac:dyDescent="0.5">
      <c r="A236" s="184" t="s">
        <v>80</v>
      </c>
      <c r="B236" s="128">
        <v>2015</v>
      </c>
      <c r="C236" s="1044">
        <v>763.63413242009142</v>
      </c>
      <c r="D236" s="1044">
        <v>763.63413242009142</v>
      </c>
      <c r="E236" s="1060"/>
      <c r="F236" s="1051"/>
      <c r="G236" s="1052"/>
      <c r="H236" s="1033"/>
      <c r="I236" s="1141">
        <v>763.63413242009142</v>
      </c>
      <c r="J236" s="159"/>
      <c r="K236" s="151"/>
      <c r="L236" s="152"/>
      <c r="M236" s="151"/>
      <c r="N236" s="29" t="s">
        <v>119</v>
      </c>
      <c r="O236" s="120"/>
      <c r="P236" s="120"/>
      <c r="Q236" s="120"/>
      <c r="R236" s="29">
        <v>1</v>
      </c>
      <c r="S236" s="238">
        <f t="shared" si="107"/>
        <v>763.63413242009142</v>
      </c>
      <c r="T236" s="238">
        <f t="shared" si="108"/>
        <v>763.63413242009142</v>
      </c>
      <c r="U236" s="238">
        <f t="shared" si="109"/>
        <v>1.1368683772161603E-13</v>
      </c>
      <c r="V236" s="29"/>
      <c r="W236" s="238">
        <f t="shared" si="110"/>
        <v>763.63413242009142</v>
      </c>
      <c r="X236" s="238">
        <f t="shared" si="111"/>
        <v>763.63413242009153</v>
      </c>
      <c r="Y236" s="238">
        <f t="shared" si="112"/>
        <v>763.63413242009165</v>
      </c>
      <c r="AA236" s="1133">
        <v>763.63413242009142</v>
      </c>
      <c r="AB236" s="1133">
        <v>763.63413242009142</v>
      </c>
      <c r="AC236" s="1133">
        <v>763.63413242009142</v>
      </c>
      <c r="AD236" s="138"/>
      <c r="AE236" s="138"/>
      <c r="AF236" s="138"/>
      <c r="AG236" s="138"/>
      <c r="AH236" s="138"/>
      <c r="AI236" s="138"/>
      <c r="AJ236" s="138"/>
      <c r="AK236" s="138"/>
      <c r="AL236" s="138"/>
      <c r="AM236" s="138"/>
      <c r="AN236" s="138"/>
      <c r="BR236" s="29"/>
      <c r="BS236" s="160" t="s">
        <v>15</v>
      </c>
      <c r="BT236" s="177">
        <f>SLOPE((DD233:DD281),($B$46:$B$94))</f>
        <v>9.3095225545005533</v>
      </c>
      <c r="BU236" s="178">
        <f>INTERCEPT(DJ233:DJ281,DI233:DI281)</f>
        <v>735.1716526256298</v>
      </c>
      <c r="BV236" s="691" t="s">
        <v>71</v>
      </c>
      <c r="BY236" s="29"/>
      <c r="BZ236" s="160" t="s">
        <v>15</v>
      </c>
      <c r="CA236" s="177">
        <f ca="1">INDEX(LINEST((INDIRECT(DI230):INDIRECT(DJ230)),(INDIRECT(DI231):INDIRECT(DJ231))^{1,2}),1)</f>
        <v>2.6768157705593792E-2</v>
      </c>
      <c r="CB236" s="179">
        <f ca="1">INDEX(LINEST((INDIRECT(DI230):INDIRECT(DJ230)),(INDIRECT(DI231):INDIRECT(DJ231))^{1,2}),1,2)</f>
        <v>8.2120280885712109</v>
      </c>
      <c r="CC236" s="178">
        <f ca="1">INDEX(LINEST((INDIRECT(DI230):INDIRECT(DJ230)),(INDIRECT(DI231):INDIRECT(DJ231))^{1,2}),1,3)</f>
        <v>741.70308310579458</v>
      </c>
      <c r="CD236" s="691" t="s">
        <v>71</v>
      </c>
      <c r="CG236" s="29"/>
      <c r="CH236" s="160" t="s">
        <v>15</v>
      </c>
      <c r="CI236" s="177">
        <f ca="1">INDEX(LINEST((INDIRECT(DI230):INDIRECT(DJ230)),(INDIRECT(DI231):INDIRECT(DJ231))^{1,2,3}),1)</f>
        <v>-3.6256229752755357E-4</v>
      </c>
      <c r="CJ236" s="179">
        <f ca="1">INDEX(LINEST((INDIRECT(DI230):INDIRECT(DJ230)),(INDIRECT(DI231):INDIRECT(DJ231))^{1,2,3}),1,2)</f>
        <v>4.9065739003538306E-2</v>
      </c>
      <c r="CK236" s="179">
        <f ca="1">INDEX(LINEST((INDIRECT(DI230):INDIRECT(DJ230)),(INDIRECT(DI231):INDIRECT(DJ231))^{1,2,3}),1,3)</f>
        <v>7.8698780483944564</v>
      </c>
      <c r="CL236" s="178">
        <f ca="1">INDEX(LINEST((INDIRECT(DI230):INDIRECT(DJ230)),(INDIRECT(DI231):INDIRECT(DJ231))^{1,2,3}),1,4)</f>
        <v>742.47011990244391</v>
      </c>
      <c r="CM236" s="691" t="s">
        <v>71</v>
      </c>
      <c r="CP236" s="29"/>
      <c r="CQ236" s="160" t="s">
        <v>15</v>
      </c>
      <c r="CR236" s="177">
        <f ca="1">EXP(INDEX(LINEST(LN(INDIRECT(DI230):INDIRECT(DJ230)),(INDIRECT(DI231):INDIRECT(DJ231))),1,2))</f>
        <v>745.7643919794059</v>
      </c>
      <c r="CS236" s="178">
        <f ca="1">INDEX(LINEST(LN(INDIRECT(DI230):INDIRECT(DJ230)),(INDIRECT(DI231):INDIRECT(DJ231))),1)</f>
        <v>1.0121220958941576E-2</v>
      </c>
      <c r="CT236" s="691" t="s">
        <v>71</v>
      </c>
      <c r="CZ236" s="164" t="b">
        <f t="shared" si="113"/>
        <v>1</v>
      </c>
      <c r="DA236" s="165" t="b">
        <f t="shared" si="113"/>
        <v>1</v>
      </c>
      <c r="DB236" s="166" t="b">
        <f t="shared" si="113"/>
        <v>1</v>
      </c>
      <c r="DC236" s="164">
        <f t="shared" si="114"/>
        <v>1</v>
      </c>
      <c r="DD236" s="166">
        <f t="shared" si="115"/>
        <v>763.63413242009142</v>
      </c>
      <c r="DE236" s="164">
        <f t="shared" si="116"/>
        <v>1</v>
      </c>
      <c r="DF236" s="166">
        <f t="shared" si="117"/>
        <v>763.63413242009153</v>
      </c>
      <c r="DG236" s="164">
        <f t="shared" si="118"/>
        <v>1</v>
      </c>
      <c r="DH236" s="166">
        <f t="shared" si="119"/>
        <v>763.63413242009165</v>
      </c>
      <c r="DI236" s="164">
        <f>IFERROR(INDEX(DC$233:DC$281,_xlfn.AGGREGATE(15,6,(ROW(DC$233:DC$281)-ROW(DC$233)+1)/(DC$233:DC$281&lt;&gt;""),ROWS(DI$1:DI4))),"")</f>
        <v>1</v>
      </c>
      <c r="DJ236" s="165">
        <f>IFERROR(INDEX(DD$233:DD$281,_xlfn.AGGREGATE(15,6,(ROW(DD$233:DD$281)-ROW(DD$233)+1)/(DD$233:DD$281&lt;&gt;""),ROWS(DJ$1:DJ4))),"")</f>
        <v>763.63413242009142</v>
      </c>
      <c r="DK236" s="166">
        <f t="shared" si="120"/>
        <v>236</v>
      </c>
      <c r="DL236" s="164">
        <f>IFERROR(INDEX(DE$233:DE$281,_xlfn.AGGREGATE(15,6,(ROW(DE$233:DE$281)-ROW(DE$233)+1)/(DE$233:DE$281&lt;&gt;""),ROWS(DL$1:DL4))),"")</f>
        <v>1</v>
      </c>
      <c r="DM236" s="165">
        <f>IFERROR(INDEX(DF$233:DF$281,_xlfn.AGGREGATE(15,6,(ROW(DF$233:DF$281)-ROW(DF$233)+1)/(DF$233:DF$281&lt;&gt;""),ROWS(DM$1:DM4))),"")</f>
        <v>763.63413242009153</v>
      </c>
      <c r="DN236" s="166">
        <f t="shared" si="121"/>
        <v>236</v>
      </c>
      <c r="DO236" s="164">
        <f>IFERROR(INDEX(DG$233:DG$281,_xlfn.AGGREGATE(15,6,(ROW(DG$233:DG$281)-ROW(DG$233)+1)/(DG$233:DG$281&lt;&gt;""),ROWS(DO$1:DO4))),"")</f>
        <v>1</v>
      </c>
      <c r="DP236" s="165">
        <f>IFERROR(INDEX(DH$233:DH$281,_xlfn.AGGREGATE(15,6,(ROW(DH$233:DH$281)-ROW(DH$233)+1)/(DH$233:DH$281&lt;&gt;""),ROWS(DP$1:DP4))),"")</f>
        <v>763.63413242009165</v>
      </c>
      <c r="DQ236" s="166">
        <f t="shared" si="122"/>
        <v>236</v>
      </c>
      <c r="DV236" s="145">
        <v>2018</v>
      </c>
      <c r="DW236" s="235">
        <f t="shared" ca="1" si="106"/>
        <v>843.86200260802241</v>
      </c>
      <c r="EA236" s="33" t="s">
        <v>85</v>
      </c>
      <c r="EB236" s="33" t="s">
        <v>84</v>
      </c>
      <c r="EC236" s="33" t="s">
        <v>82</v>
      </c>
      <c r="ED236" s="33" t="s">
        <v>83</v>
      </c>
      <c r="EE236" s="33"/>
    </row>
    <row r="237" spans="1:135" ht="13.8" x14ac:dyDescent="0.45">
      <c r="A237" s="184" t="s">
        <v>88</v>
      </c>
      <c r="B237" s="128">
        <v>2016</v>
      </c>
      <c r="C237" s="1044">
        <v>769.1</v>
      </c>
      <c r="D237" s="1044">
        <v>769.1</v>
      </c>
      <c r="E237" s="1060"/>
      <c r="F237" s="1051"/>
      <c r="G237" s="1052"/>
      <c r="H237" s="1033"/>
      <c r="I237" s="1141">
        <v>769.1</v>
      </c>
      <c r="J237" s="159"/>
      <c r="K237" s="151"/>
      <c r="L237" s="152"/>
      <c r="M237" s="151"/>
      <c r="N237" s="29" t="s">
        <v>119</v>
      </c>
      <c r="O237" s="120"/>
      <c r="P237" s="120"/>
      <c r="Q237" s="120"/>
      <c r="R237" s="29">
        <v>2</v>
      </c>
      <c r="S237" s="238">
        <f t="shared" si="107"/>
        <v>769.1</v>
      </c>
      <c r="T237" s="238">
        <f t="shared" si="108"/>
        <v>769.1</v>
      </c>
      <c r="U237" s="238">
        <f t="shared" si="109"/>
        <v>0</v>
      </c>
      <c r="V237" s="29"/>
      <c r="W237" s="238">
        <f t="shared" si="110"/>
        <v>769.1</v>
      </c>
      <c r="X237" s="238">
        <f t="shared" si="111"/>
        <v>769.1</v>
      </c>
      <c r="Y237" s="238">
        <f t="shared" si="112"/>
        <v>769.1</v>
      </c>
      <c r="AA237" s="1133">
        <v>769.1</v>
      </c>
      <c r="AB237" s="1133">
        <v>769.1</v>
      </c>
      <c r="AC237" s="1133">
        <v>769.1</v>
      </c>
      <c r="AD237" s="138"/>
      <c r="AE237" s="138"/>
      <c r="AF237" s="138"/>
      <c r="AG237" s="138"/>
      <c r="AH237" s="138"/>
      <c r="AI237" s="138"/>
      <c r="AJ237" s="138"/>
      <c r="AK237" s="138"/>
      <c r="AL237" s="138"/>
      <c r="AM237" s="138"/>
      <c r="AN237" s="138"/>
      <c r="BR237" s="180">
        <v>2014</v>
      </c>
      <c r="BS237" s="22">
        <v>0</v>
      </c>
      <c r="BT237" s="181">
        <f t="shared" ref="BT237:BT283" si="123">IF($BS$233="High",BS237*$BT$234,IF($BS$233="Medium",$BT$235*BS237,IF($BS$233="Low",$BT$236*BS237)))</f>
        <v>0</v>
      </c>
      <c r="BU237" s="182">
        <f t="shared" ref="BU237:BU283" si="124">IF($BS$233="High",$BU$234,IF($BS$233="Medium",$BU$235,IF($BS$233="Low",BU236)))</f>
        <v>795.07013205106455</v>
      </c>
      <c r="BV237" s="242">
        <f t="shared" ref="BV237:BV283" si="125">BT237+BU237</f>
        <v>795.07013205106455</v>
      </c>
      <c r="BY237" s="180">
        <v>2014</v>
      </c>
      <c r="BZ237" s="22">
        <v>0</v>
      </c>
      <c r="CA237" s="181">
        <f t="shared" ref="CA237:CA283" ca="1" si="126">IF($BZ$233="High",BZ237^2*$CA$234,IF($BZ$233="Medium",BZ237^2*$CA$235,IF($BZ$233="Low",BZ237^2*$CA$236)))</f>
        <v>0</v>
      </c>
      <c r="CB237" s="181">
        <f t="shared" ref="CB237:CB283" ca="1" si="127">IF($BZ$233="High",BZ237*$CB$234,IF($BZ$233="Medium",BZ237*$CB$235,IF($BZ$233="Low",BZ237*$CB$236)))</f>
        <v>0</v>
      </c>
      <c r="CC237" s="182">
        <f t="shared" ref="CC237:CC283" ca="1" si="128">IF($BZ$233="High",$CC$234,IF($BZ$233="Medium",$CC$235,IF($BZ$233="Low",$CC$236)))</f>
        <v>759.72174372059567</v>
      </c>
      <c r="CD237" s="242">
        <f t="shared" ref="CD237:CD283" ca="1" si="129">CA237+CB237+CC237</f>
        <v>759.72174372059567</v>
      </c>
      <c r="CG237" s="180">
        <v>2014</v>
      </c>
      <c r="CH237" s="22">
        <v>0</v>
      </c>
      <c r="CI237" s="181">
        <f t="shared" ref="CI237:CI283" ca="1" si="130">IF($CH$233="High",CH237^3*$CI$234,IF($CH$233="Medium",CH237^3*$CI$235,IF($CH$233="Low",CH237^3*$CI$236)))</f>
        <v>0</v>
      </c>
      <c r="CJ237" s="181">
        <f t="shared" ref="CJ237:CJ283" ca="1" si="131">IF($CH$233="High",CH237^2*$CJ$234,IF($CH$233="Medium",CH237^2*$CJ$235,IF($CH$233="Low",CH237^2*$CJ$236)))</f>
        <v>0</v>
      </c>
      <c r="CK237" s="181">
        <f t="shared" ref="CK237:CK283" ca="1" si="132">IF($CH$233="High",CH237*$CK$234,IF($CH$233="Medium",CH237*$CK$235,IF($CH$233="Low",CH237*$CK$236)))</f>
        <v>0</v>
      </c>
      <c r="CL237" s="182">
        <f t="shared" ref="CL237:CL283" ca="1" si="133">IF($CH$233="High",$CL$234,IF($CH$233="Medium",$CL$235,IF($CH$233="Low",$CL$236)))</f>
        <v>754.47866390087256</v>
      </c>
      <c r="CM237" s="242">
        <f t="shared" ref="CM237:CM283" ca="1" si="134">CI237+CJ237+CK237+CL237</f>
        <v>754.47866390087256</v>
      </c>
      <c r="CP237" s="180">
        <v>2014</v>
      </c>
      <c r="CQ237" s="22">
        <v>0</v>
      </c>
      <c r="CR237" s="181">
        <f t="shared" ref="CR237:CR283" ca="1" si="135">IF($CQ$233="High",$CR$234,IF($CQ$233="Medium",$CR$235,IF($CQ$233="Low",$CR$236)))</f>
        <v>810.12186311233324</v>
      </c>
      <c r="CS237" s="182">
        <f t="shared" ref="CS237:CS283" ca="1" si="136">IF($CQ$233="High",EXP(1)^($CS$234*CQ237),IF($CQ$233="Medium",EXP(1)^($CS$235*CQ237),IF($CQ$233="Low",EXP(1)^($CS$236*CQ237))))</f>
        <v>1</v>
      </c>
      <c r="CT237" s="242">
        <f t="shared" ref="CT237:CT283" ca="1" si="137">(CR237*CS237)</f>
        <v>810.12186311233324</v>
      </c>
      <c r="CZ237" s="164" t="b">
        <f t="shared" si="113"/>
        <v>1</v>
      </c>
      <c r="DA237" s="165" t="b">
        <f t="shared" si="113"/>
        <v>1</v>
      </c>
      <c r="DB237" s="166" t="b">
        <f t="shared" si="113"/>
        <v>1</v>
      </c>
      <c r="DC237" s="164">
        <f t="shared" si="114"/>
        <v>2</v>
      </c>
      <c r="DD237" s="166">
        <f t="shared" si="115"/>
        <v>769.1</v>
      </c>
      <c r="DE237" s="164">
        <f t="shared" si="116"/>
        <v>2</v>
      </c>
      <c r="DF237" s="166">
        <f t="shared" si="117"/>
        <v>769.1</v>
      </c>
      <c r="DG237" s="164">
        <f t="shared" si="118"/>
        <v>2</v>
      </c>
      <c r="DH237" s="166">
        <f t="shared" si="119"/>
        <v>769.1</v>
      </c>
      <c r="DI237" s="164">
        <f>IFERROR(INDEX(DC$233:DC$281,_xlfn.AGGREGATE(15,6,(ROW(DC$233:DC$281)-ROW(DC$233)+1)/(DC$233:DC$281&lt;&gt;""),ROWS(DI$1:DI5))),"")</f>
        <v>2</v>
      </c>
      <c r="DJ237" s="165">
        <f>IFERROR(INDEX(DD$233:DD$281,_xlfn.AGGREGATE(15,6,(ROW(DD$233:DD$281)-ROW(DD$233)+1)/(DD$233:DD$281&lt;&gt;""),ROWS(DJ$1:DJ5))),"")</f>
        <v>769.1</v>
      </c>
      <c r="DK237" s="166">
        <f t="shared" si="120"/>
        <v>237</v>
      </c>
      <c r="DL237" s="164">
        <f>IFERROR(INDEX(DE$233:DE$281,_xlfn.AGGREGATE(15,6,(ROW(DE$233:DE$281)-ROW(DE$233)+1)/(DE$233:DE$281&lt;&gt;""),ROWS(DL$1:DL5))),"")</f>
        <v>2</v>
      </c>
      <c r="DM237" s="165">
        <f>IFERROR(INDEX(DF$233:DF$281,_xlfn.AGGREGATE(15,6,(ROW(DF$233:DF$281)-ROW(DF$233)+1)/(DF$233:DF$281&lt;&gt;""),ROWS(DM$1:DM5))),"")</f>
        <v>769.1</v>
      </c>
      <c r="DN237" s="166">
        <f t="shared" si="121"/>
        <v>237</v>
      </c>
      <c r="DO237" s="164">
        <f>IFERROR(INDEX(DG$233:DG$281,_xlfn.AGGREGATE(15,6,(ROW(DG$233:DG$281)-ROW(DG$233)+1)/(DG$233:DG$281&lt;&gt;""),ROWS(DO$1:DO5))),"")</f>
        <v>2</v>
      </c>
      <c r="DP237" s="165">
        <f>IFERROR(INDEX(DH$233:DH$281,_xlfn.AGGREGATE(15,6,(ROW(DH$233:DH$281)-ROW(DH$233)+1)/(DH$233:DH$281&lt;&gt;""),ROWS(DP$1:DP5))),"")</f>
        <v>769.1</v>
      </c>
      <c r="DQ237" s="166">
        <f t="shared" si="122"/>
        <v>237</v>
      </c>
      <c r="DV237" s="145">
        <v>2019</v>
      </c>
      <c r="DW237" s="235">
        <f t="shared" ca="1" si="106"/>
        <v>864.83293276171025</v>
      </c>
      <c r="DZ237" s="135" t="s">
        <v>92</v>
      </c>
      <c r="EA237" s="33">
        <f ca="1">IF($EA$231="Linear",0,IF($EA$231="2nd Poly",0,IF($EA$231="3rd Poly",CI234,IF($EA$231="Exp",0))))</f>
        <v>5.3191512743880611E-3</v>
      </c>
      <c r="EB237" s="33">
        <f ca="1">IF($EA$231="Linear",0,IF($EA$231="2nd Poly",CA234,IF($EA$231="3rd Poly",CJ234,IF($EA$231="Exp",0))))</f>
        <v>-0.64363684903512164</v>
      </c>
      <c r="EC237" s="33">
        <f t="shared" ref="EC237:ED239" ca="1" si="138">IF($EA$231="Linear",BT234,IF($EA$231="2nd Poly",CB234,IF($EA$231="3rd Poly",CK234,IF($EA$231="Exp",0))))</f>
        <v>39.120770321676964</v>
      </c>
      <c r="ED237" s="33">
        <f t="shared" ca="1" si="138"/>
        <v>766.48720789930201</v>
      </c>
      <c r="EE237" s="33" t="str">
        <f>IF($EA$231="Linear","High",IF($EA$231="2nd Poly","High",IF($EA$231="3rd Poly","High","N/A")))</f>
        <v>High</v>
      </c>
    </row>
    <row r="238" spans="1:135" ht="13.8" x14ac:dyDescent="0.45">
      <c r="A238" s="184" t="s">
        <v>90</v>
      </c>
      <c r="B238" s="128">
        <v>2017</v>
      </c>
      <c r="C238" s="1047">
        <v>796.1320776255709</v>
      </c>
      <c r="D238" s="1050">
        <v>944.87466977884446</v>
      </c>
      <c r="E238" s="1060"/>
      <c r="F238" s="1051"/>
      <c r="G238" s="1052"/>
      <c r="H238" s="1034"/>
      <c r="I238" s="931">
        <v>776.32352941176475</v>
      </c>
      <c r="J238" s="168"/>
      <c r="K238" s="169"/>
      <c r="L238" s="170"/>
      <c r="M238" s="169"/>
      <c r="N238" s="29" t="s">
        <v>119</v>
      </c>
      <c r="O238" s="120"/>
      <c r="P238" s="120"/>
      <c r="Q238" s="120"/>
      <c r="R238" s="29">
        <v>3</v>
      </c>
      <c r="S238" s="238">
        <f t="shared" si="107"/>
        <v>776.32352941176475</v>
      </c>
      <c r="T238" s="238">
        <f t="shared" si="108"/>
        <v>944.87466977884446</v>
      </c>
      <c r="U238" s="238">
        <f t="shared" si="109"/>
        <v>75.222798126526015</v>
      </c>
      <c r="V238" s="29"/>
      <c r="W238" s="238">
        <f t="shared" si="110"/>
        <v>763.88729414553404</v>
      </c>
      <c r="X238" s="238">
        <f t="shared" si="111"/>
        <v>839.11009227206011</v>
      </c>
      <c r="Y238" s="238">
        <f t="shared" si="112"/>
        <v>914.33289039858619</v>
      </c>
      <c r="AA238" s="1133">
        <v>796.1320776255709</v>
      </c>
      <c r="AB238" s="1133">
        <v>870.50337370220768</v>
      </c>
      <c r="AC238" s="1133">
        <v>944.87466977884446</v>
      </c>
      <c r="AD238" s="138"/>
      <c r="AE238" s="138"/>
      <c r="AF238" s="138"/>
      <c r="AG238" s="138"/>
      <c r="AH238" s="138"/>
      <c r="AI238" s="138"/>
      <c r="AJ238" s="138"/>
      <c r="AK238" s="138"/>
      <c r="AL238" s="138"/>
      <c r="AM238" s="138"/>
      <c r="AN238" s="138"/>
      <c r="BR238" s="180">
        <v>2015</v>
      </c>
      <c r="BS238" s="22">
        <v>1</v>
      </c>
      <c r="BT238" s="181">
        <f t="shared" si="123"/>
        <v>15.216869473233514</v>
      </c>
      <c r="BU238" s="182">
        <f t="shared" si="124"/>
        <v>795.07013205106455</v>
      </c>
      <c r="BV238" s="242">
        <f t="shared" si="125"/>
        <v>810.28700152429803</v>
      </c>
      <c r="BY238" s="180">
        <v>2015</v>
      </c>
      <c r="BZ238" s="22">
        <v>1</v>
      </c>
      <c r="CA238" s="181">
        <f t="shared" ca="1" si="126"/>
        <v>-0.14487044397733104</v>
      </c>
      <c r="CB238" s="181">
        <f t="shared" ca="1" si="127"/>
        <v>21.156557676304093</v>
      </c>
      <c r="CC238" s="182">
        <f t="shared" ca="1" si="128"/>
        <v>759.72174372059567</v>
      </c>
      <c r="CD238" s="242">
        <f t="shared" ca="1" si="129"/>
        <v>780.73343095292239</v>
      </c>
      <c r="CG238" s="180">
        <v>2015</v>
      </c>
      <c r="CH238" s="22">
        <v>1</v>
      </c>
      <c r="CI238" s="181">
        <f t="shared" ca="1" si="130"/>
        <v>2.4782944884302574E-3</v>
      </c>
      <c r="CJ238" s="181">
        <f t="shared" ca="1" si="131"/>
        <v>-0.29728555501579229</v>
      </c>
      <c r="CK238" s="181">
        <f t="shared" ca="1" si="132"/>
        <v>23.495324185035734</v>
      </c>
      <c r="CL238" s="182">
        <f t="shared" ca="1" si="133"/>
        <v>754.47866390087256</v>
      </c>
      <c r="CM238" s="242">
        <f t="shared" ca="1" si="134"/>
        <v>777.67918082538097</v>
      </c>
      <c r="CP238" s="180">
        <v>2015</v>
      </c>
      <c r="CQ238" s="22">
        <v>1</v>
      </c>
      <c r="CR238" s="181">
        <f t="shared" ca="1" si="135"/>
        <v>810.12186311233324</v>
      </c>
      <c r="CS238" s="182">
        <f t="shared" ca="1" si="136"/>
        <v>1.0144463431596178</v>
      </c>
      <c r="CT238" s="242">
        <f t="shared" ca="1" si="137"/>
        <v>821.82516154796292</v>
      </c>
      <c r="CZ238" s="164" t="b">
        <f t="shared" si="113"/>
        <v>1</v>
      </c>
      <c r="DA238" s="165" t="b">
        <f t="shared" si="113"/>
        <v>1</v>
      </c>
      <c r="DB238" s="166" t="b">
        <f t="shared" si="113"/>
        <v>1</v>
      </c>
      <c r="DC238" s="164">
        <f t="shared" si="114"/>
        <v>3</v>
      </c>
      <c r="DD238" s="166">
        <f t="shared" si="115"/>
        <v>763.88729414553404</v>
      </c>
      <c r="DE238" s="164">
        <f t="shared" si="116"/>
        <v>3</v>
      </c>
      <c r="DF238" s="166">
        <f t="shared" si="117"/>
        <v>839.11009227206011</v>
      </c>
      <c r="DG238" s="164">
        <f t="shared" si="118"/>
        <v>3</v>
      </c>
      <c r="DH238" s="166">
        <f t="shared" si="119"/>
        <v>914.33289039858619</v>
      </c>
      <c r="DI238" s="164">
        <f>IFERROR(INDEX(DC$233:DC$281,_xlfn.AGGREGATE(15,6,(ROW(DC$233:DC$281)-ROW(DC$233)+1)/(DC$233:DC$281&lt;&gt;""),ROWS(DI$1:DI6))),"")</f>
        <v>3</v>
      </c>
      <c r="DJ238" s="165">
        <f>IFERROR(INDEX(DD$233:DD$281,_xlfn.AGGREGATE(15,6,(ROW(DD$233:DD$281)-ROW(DD$233)+1)/(DD$233:DD$281&lt;&gt;""),ROWS(DJ$1:DJ6))),"")</f>
        <v>763.88729414553404</v>
      </c>
      <c r="DK238" s="166">
        <f t="shared" si="120"/>
        <v>238</v>
      </c>
      <c r="DL238" s="164">
        <f>IFERROR(INDEX(DE$233:DE$281,_xlfn.AGGREGATE(15,6,(ROW(DE$233:DE$281)-ROW(DE$233)+1)/(DE$233:DE$281&lt;&gt;""),ROWS(DL$1:DL6))),"")</f>
        <v>3</v>
      </c>
      <c r="DM238" s="165">
        <f>IFERROR(INDEX(DF$233:DF$281,_xlfn.AGGREGATE(15,6,(ROW(DF$233:DF$281)-ROW(DF$233)+1)/(DF$233:DF$281&lt;&gt;""),ROWS(DM$1:DM6))),"")</f>
        <v>839.11009227206011</v>
      </c>
      <c r="DN238" s="166">
        <f t="shared" si="121"/>
        <v>238</v>
      </c>
      <c r="DO238" s="164">
        <f>IFERROR(INDEX(DG$233:DG$281,_xlfn.AGGREGATE(15,6,(ROW(DG$233:DG$281)-ROW(DG$233)+1)/(DG$233:DG$281&lt;&gt;""),ROWS(DO$1:DO6))),"")</f>
        <v>3</v>
      </c>
      <c r="DP238" s="165">
        <f>IFERROR(INDEX(DH$233:DH$281,_xlfn.AGGREGATE(15,6,(ROW(DH$233:DH$281)-ROW(DH$233)+1)/(DH$233:DH$281&lt;&gt;""),ROWS(DP$1:DP6))),"")</f>
        <v>914.33289039858619</v>
      </c>
      <c r="DQ238" s="166">
        <f t="shared" si="122"/>
        <v>238</v>
      </c>
      <c r="DV238" s="145">
        <v>2020</v>
      </c>
      <c r="DW238" s="235">
        <f t="shared" ca="1" si="106"/>
        <v>885.28364064001937</v>
      </c>
      <c r="DZ238" s="135" t="s">
        <v>92</v>
      </c>
      <c r="EA238" s="33">
        <f ca="1">IF($EA$231="Linear",0,IF($EA$231="2nd Poly",0,IF($EA$231="3rd Poly",CI235,IF($EA$231="Exp",0))))</f>
        <v>2.4782944884302574E-3</v>
      </c>
      <c r="EB238" s="33">
        <f ca="1">IF($EA$231="Linear",0,IF($EA$231="2nd Poly",CA235,IF($EA$231="3rd Poly",CJ235,IF($EA$231="Exp",0))))</f>
        <v>-0.29728555501579229</v>
      </c>
      <c r="EC238" s="33">
        <f t="shared" ca="1" si="138"/>
        <v>23.495324185035734</v>
      </c>
      <c r="ED238" s="33">
        <f t="shared" ca="1" si="138"/>
        <v>754.47866390087256</v>
      </c>
      <c r="EE238" s="33" t="str">
        <f>IF($EA$231="Linear","Medium",IF($EA$231="2nd Poly","Medium",IF($EA$231="3rd Poly","Medium","N/A")))</f>
        <v>Medium</v>
      </c>
    </row>
    <row r="239" spans="1:135" ht="13.8" x14ac:dyDescent="0.45">
      <c r="A239" s="948" t="s">
        <v>1039</v>
      </c>
      <c r="B239" s="128">
        <v>2018</v>
      </c>
      <c r="C239" s="1047">
        <v>812.38105022831064</v>
      </c>
      <c r="D239" s="1050">
        <v>975.85965828389897</v>
      </c>
      <c r="E239" s="1060"/>
      <c r="F239" s="1051"/>
      <c r="G239" s="1052"/>
      <c r="H239" s="1033"/>
      <c r="I239" s="1110">
        <v>783.54705882352948</v>
      </c>
      <c r="J239" s="159"/>
      <c r="K239" s="151"/>
      <c r="L239" s="152"/>
      <c r="M239" s="151"/>
      <c r="N239" s="29" t="s">
        <v>119</v>
      </c>
      <c r="O239" s="120"/>
      <c r="P239" s="120"/>
      <c r="Q239" s="120"/>
      <c r="R239" s="29">
        <v>4</v>
      </c>
      <c r="S239" s="238">
        <f t="shared" si="107"/>
        <v>783.54705882352948</v>
      </c>
      <c r="T239" s="238">
        <f t="shared" si="108"/>
        <v>975.85965828389897</v>
      </c>
      <c r="U239" s="238">
        <f t="shared" si="109"/>
        <v>84.682931681346346</v>
      </c>
      <c r="V239" s="20"/>
      <c r="W239" s="238">
        <f t="shared" si="110"/>
        <v>772.57965743056661</v>
      </c>
      <c r="X239" s="238">
        <f t="shared" si="111"/>
        <v>857.26258911191292</v>
      </c>
      <c r="Y239" s="238">
        <f t="shared" si="112"/>
        <v>941.94552079325922</v>
      </c>
      <c r="AA239" s="1133">
        <v>812.38105022831064</v>
      </c>
      <c r="AB239" s="1133">
        <v>894.12035425610475</v>
      </c>
      <c r="AC239" s="1133">
        <v>975.85965828389885</v>
      </c>
      <c r="AD239" s="138"/>
      <c r="AE239" s="138"/>
      <c r="AF239" s="138"/>
      <c r="AG239" s="138"/>
      <c r="AH239" s="138"/>
      <c r="AI239" s="138"/>
      <c r="AJ239" s="138"/>
      <c r="AK239" s="138"/>
      <c r="AL239" s="138"/>
      <c r="AM239" s="138"/>
      <c r="AN239" s="138"/>
      <c r="BR239" s="180">
        <v>2016</v>
      </c>
      <c r="BS239" s="22">
        <v>2</v>
      </c>
      <c r="BT239" s="181">
        <f t="shared" si="123"/>
        <v>30.433738946467027</v>
      </c>
      <c r="BU239" s="182">
        <f t="shared" si="124"/>
        <v>795.07013205106455</v>
      </c>
      <c r="BV239" s="241">
        <f t="shared" si="125"/>
        <v>825.50387099753152</v>
      </c>
      <c r="BY239" s="180">
        <v>2016</v>
      </c>
      <c r="BZ239" s="22">
        <v>2</v>
      </c>
      <c r="CA239" s="181">
        <f t="shared" ca="1" si="126"/>
        <v>-0.57948177590932415</v>
      </c>
      <c r="CB239" s="181">
        <f t="shared" ca="1" si="127"/>
        <v>42.313115352608186</v>
      </c>
      <c r="CC239" s="182">
        <f t="shared" ca="1" si="128"/>
        <v>759.72174372059567</v>
      </c>
      <c r="CD239" s="241">
        <f t="shared" ca="1" si="129"/>
        <v>801.45537729729449</v>
      </c>
      <c r="CG239" s="180">
        <v>2016</v>
      </c>
      <c r="CH239" s="22">
        <v>2</v>
      </c>
      <c r="CI239" s="181">
        <f t="shared" ca="1" si="130"/>
        <v>1.9826355907442059E-2</v>
      </c>
      <c r="CJ239" s="181">
        <f t="shared" ca="1" si="131"/>
        <v>-1.1891422200631692</v>
      </c>
      <c r="CK239" s="181">
        <f t="shared" ca="1" si="132"/>
        <v>46.990648370071469</v>
      </c>
      <c r="CL239" s="182">
        <f t="shared" ca="1" si="133"/>
        <v>754.47866390087256</v>
      </c>
      <c r="CM239" s="241">
        <f t="shared" ca="1" si="134"/>
        <v>800.2999964067883</v>
      </c>
      <c r="CP239" s="180">
        <v>2016</v>
      </c>
      <c r="CQ239" s="22">
        <v>2</v>
      </c>
      <c r="CR239" s="181">
        <f t="shared" ca="1" si="135"/>
        <v>810.12186311233324</v>
      </c>
      <c r="CS239" s="182">
        <f t="shared" ca="1" si="136"/>
        <v>1.0291013831499212</v>
      </c>
      <c r="CT239" s="241">
        <f t="shared" ca="1" si="137"/>
        <v>833.69752984889328</v>
      </c>
      <c r="CZ239" s="164" t="b">
        <f t="shared" si="113"/>
        <v>1</v>
      </c>
      <c r="DA239" s="165" t="b">
        <f t="shared" si="113"/>
        <v>1</v>
      </c>
      <c r="DB239" s="166" t="b">
        <f t="shared" si="113"/>
        <v>1</v>
      </c>
      <c r="DC239" s="164">
        <f t="shared" si="114"/>
        <v>4</v>
      </c>
      <c r="DD239" s="166">
        <f t="shared" si="115"/>
        <v>772.57965743056661</v>
      </c>
      <c r="DE239" s="164">
        <f t="shared" si="116"/>
        <v>4</v>
      </c>
      <c r="DF239" s="166">
        <f t="shared" si="117"/>
        <v>857.26258911191292</v>
      </c>
      <c r="DG239" s="164">
        <f t="shared" si="118"/>
        <v>4</v>
      </c>
      <c r="DH239" s="166">
        <f t="shared" si="119"/>
        <v>941.94552079325922</v>
      </c>
      <c r="DI239" s="164">
        <f>IFERROR(INDEX(DC$233:DC$281,_xlfn.AGGREGATE(15,6,(ROW(DC$233:DC$281)-ROW(DC$233)+1)/(DC$233:DC$281&lt;&gt;""),ROWS(DI$1:DI7))),"")</f>
        <v>4</v>
      </c>
      <c r="DJ239" s="165">
        <f>IFERROR(INDEX(DD$233:DD$281,_xlfn.AGGREGATE(15,6,(ROW(DD$233:DD$281)-ROW(DD$233)+1)/(DD$233:DD$281&lt;&gt;""),ROWS(DJ$1:DJ7))),"")</f>
        <v>772.57965743056661</v>
      </c>
      <c r="DK239" s="166">
        <f t="shared" si="120"/>
        <v>239</v>
      </c>
      <c r="DL239" s="164">
        <f>IFERROR(INDEX(DE$233:DE$281,_xlfn.AGGREGATE(15,6,(ROW(DE$233:DE$281)-ROW(DE$233)+1)/(DE$233:DE$281&lt;&gt;""),ROWS(DL$1:DL7))),"")</f>
        <v>4</v>
      </c>
      <c r="DM239" s="165">
        <f>IFERROR(INDEX(DF$233:DF$281,_xlfn.AGGREGATE(15,6,(ROW(DF$233:DF$281)-ROW(DF$233)+1)/(DF$233:DF$281&lt;&gt;""),ROWS(DM$1:DM7))),"")</f>
        <v>857.26258911191292</v>
      </c>
      <c r="DN239" s="166">
        <f t="shared" si="121"/>
        <v>239</v>
      </c>
      <c r="DO239" s="164">
        <f>IFERROR(INDEX(DG$233:DG$281,_xlfn.AGGREGATE(15,6,(ROW(DG$233:DG$281)-ROW(DG$233)+1)/(DG$233:DG$281&lt;&gt;""),ROWS(DO$1:DO7))),"")</f>
        <v>4</v>
      </c>
      <c r="DP239" s="165">
        <f>IFERROR(INDEX(DH$233:DH$281,_xlfn.AGGREGATE(15,6,(ROW(DH$233:DH$281)-ROW(DH$233)+1)/(DH$233:DH$281&lt;&gt;""),ROWS(DP$1:DP7))),"")</f>
        <v>941.94552079325922</v>
      </c>
      <c r="DQ239" s="166">
        <f t="shared" si="122"/>
        <v>239</v>
      </c>
      <c r="DV239" s="145">
        <v>2021</v>
      </c>
      <c r="DW239" s="235">
        <f t="shared" ca="1" si="106"/>
        <v>905.22899600988046</v>
      </c>
      <c r="DZ239" s="135" t="s">
        <v>92</v>
      </c>
      <c r="EA239" s="33">
        <f ca="1">IF($EA$231="Linear",0,IF($EA$231="2nd Poly",0,IF($EA$231="3rd Poly",CI236,IF($EA$231="Exp",0))))</f>
        <v>-3.6256229752755357E-4</v>
      </c>
      <c r="EB239" s="33">
        <f ca="1">IF($EA$231="Linear",0,IF($EA$231="2nd Poly",CA236,IF($EA$231="3rd Poly",CJ236,IF($EA$231="Exp",0))))</f>
        <v>4.9065739003538306E-2</v>
      </c>
      <c r="EC239" s="33">
        <f t="shared" ca="1" si="138"/>
        <v>7.8698780483944564</v>
      </c>
      <c r="ED239" s="33">
        <f t="shared" ca="1" si="138"/>
        <v>742.47011990244391</v>
      </c>
      <c r="EE239" s="33" t="str">
        <f>IF($EA$231="Linear","Low",IF($EA$231="2nd Poly","Low",IF($EA$231="3rd Poly","Low","N/A")))</f>
        <v>Low</v>
      </c>
    </row>
    <row r="240" spans="1:135" ht="13.8" x14ac:dyDescent="0.45">
      <c r="A240" s="184" t="s">
        <v>88</v>
      </c>
      <c r="B240" s="128">
        <v>2019</v>
      </c>
      <c r="C240" s="1047">
        <v>828.63002283105027</v>
      </c>
      <c r="D240" s="1050">
        <v>1006.3913738723721</v>
      </c>
      <c r="E240" s="1060"/>
      <c r="F240" s="1051"/>
      <c r="G240" s="1052"/>
      <c r="H240" s="1033"/>
      <c r="I240" s="1110">
        <v>790.77058823529421</v>
      </c>
      <c r="J240" s="159"/>
      <c r="K240" s="151"/>
      <c r="L240" s="152"/>
      <c r="M240" s="151"/>
      <c r="N240" s="29" t="s">
        <v>119</v>
      </c>
      <c r="O240" s="120"/>
      <c r="P240" s="120"/>
      <c r="Q240" s="120"/>
      <c r="R240" s="29">
        <v>5</v>
      </c>
      <c r="S240" s="238">
        <f t="shared" si="107"/>
        <v>790.77058823529421</v>
      </c>
      <c r="T240" s="238">
        <f t="shared" si="108"/>
        <v>1006.3913738723721</v>
      </c>
      <c r="U240" s="238">
        <f t="shared" si="109"/>
        <v>94.000447936696233</v>
      </c>
      <c r="V240" s="20"/>
      <c r="W240" s="238">
        <f t="shared" si="110"/>
        <v>781.26354704287598</v>
      </c>
      <c r="X240" s="238">
        <f t="shared" si="111"/>
        <v>875.2639949795722</v>
      </c>
      <c r="Y240" s="238">
        <f t="shared" si="112"/>
        <v>969.26444291626842</v>
      </c>
      <c r="AA240" s="1133">
        <v>828.63002283105027</v>
      </c>
      <c r="AB240" s="1133">
        <v>917.5106983517112</v>
      </c>
      <c r="AC240" s="1133">
        <v>1006.3913738723721</v>
      </c>
      <c r="AD240" s="138"/>
      <c r="AE240" s="138"/>
      <c r="AF240" s="138"/>
      <c r="AG240" s="138"/>
      <c r="AH240" s="138"/>
      <c r="AI240" s="138"/>
      <c r="AJ240" s="138"/>
      <c r="AK240" s="138"/>
      <c r="AL240" s="138"/>
      <c r="AM240" s="138"/>
      <c r="AN240" s="138"/>
      <c r="BR240" s="180">
        <v>2017</v>
      </c>
      <c r="BS240" s="22">
        <v>3</v>
      </c>
      <c r="BT240" s="181">
        <f t="shared" si="123"/>
        <v>45.650608419700539</v>
      </c>
      <c r="BU240" s="182">
        <f t="shared" si="124"/>
        <v>795.07013205106455</v>
      </c>
      <c r="BV240" s="242">
        <f t="shared" si="125"/>
        <v>840.72074047076512</v>
      </c>
      <c r="BY240" s="180">
        <v>2017</v>
      </c>
      <c r="BZ240" s="22">
        <v>3</v>
      </c>
      <c r="CA240" s="181">
        <f t="shared" ca="1" si="126"/>
        <v>-1.3038339957959793</v>
      </c>
      <c r="CB240" s="181">
        <f t="shared" ca="1" si="127"/>
        <v>63.469673028912283</v>
      </c>
      <c r="CC240" s="182">
        <f t="shared" ca="1" si="128"/>
        <v>759.72174372059567</v>
      </c>
      <c r="CD240" s="242">
        <f t="shared" ca="1" si="129"/>
        <v>821.88758275371197</v>
      </c>
      <c r="CG240" s="180">
        <v>2017</v>
      </c>
      <c r="CH240" s="22">
        <v>3</v>
      </c>
      <c r="CI240" s="181">
        <f t="shared" ca="1" si="130"/>
        <v>6.6913951187616949E-2</v>
      </c>
      <c r="CJ240" s="181">
        <f t="shared" ca="1" si="131"/>
        <v>-2.6755699951421308</v>
      </c>
      <c r="CK240" s="181">
        <f t="shared" ca="1" si="132"/>
        <v>70.485972555107196</v>
      </c>
      <c r="CL240" s="182">
        <f t="shared" ca="1" si="133"/>
        <v>754.47866390087256</v>
      </c>
      <c r="CM240" s="242">
        <f t="shared" ca="1" si="134"/>
        <v>822.35598041202525</v>
      </c>
      <c r="CP240" s="180">
        <v>2017</v>
      </c>
      <c r="CQ240" s="22">
        <v>3</v>
      </c>
      <c r="CR240" s="181">
        <f t="shared" ca="1" si="135"/>
        <v>810.12186311233324</v>
      </c>
      <c r="CS240" s="182">
        <f t="shared" ca="1" si="136"/>
        <v>1.0439681348769423</v>
      </c>
      <c r="CT240" s="242">
        <f t="shared" ca="1" si="137"/>
        <v>845.74141045641613</v>
      </c>
      <c r="CZ240" s="164" t="b">
        <f t="shared" si="113"/>
        <v>1</v>
      </c>
      <c r="DA240" s="165" t="b">
        <f t="shared" si="113"/>
        <v>1</v>
      </c>
      <c r="DB240" s="166" t="b">
        <f t="shared" si="113"/>
        <v>1</v>
      </c>
      <c r="DC240" s="164">
        <f t="shared" si="114"/>
        <v>5</v>
      </c>
      <c r="DD240" s="166">
        <f t="shared" si="115"/>
        <v>781.26354704287598</v>
      </c>
      <c r="DE240" s="164">
        <f t="shared" si="116"/>
        <v>5</v>
      </c>
      <c r="DF240" s="166">
        <f t="shared" si="117"/>
        <v>875.2639949795722</v>
      </c>
      <c r="DG240" s="164">
        <f t="shared" si="118"/>
        <v>5</v>
      </c>
      <c r="DH240" s="166">
        <f t="shared" si="119"/>
        <v>969.26444291626842</v>
      </c>
      <c r="DI240" s="164">
        <f>IFERROR(INDEX(DC$233:DC$281,_xlfn.AGGREGATE(15,6,(ROW(DC$233:DC$281)-ROW(DC$233)+1)/(DC$233:DC$281&lt;&gt;""),ROWS(DI$1:DI8))),"")</f>
        <v>5</v>
      </c>
      <c r="DJ240" s="165">
        <f>IFERROR(INDEX(DD$233:DD$281,_xlfn.AGGREGATE(15,6,(ROW(DD$233:DD$281)-ROW(DD$233)+1)/(DD$233:DD$281&lt;&gt;""),ROWS(DJ$1:DJ8))),"")</f>
        <v>781.26354704287598</v>
      </c>
      <c r="DK240" s="166">
        <f t="shared" si="120"/>
        <v>240</v>
      </c>
      <c r="DL240" s="164">
        <f>IFERROR(INDEX(DE$233:DE$281,_xlfn.AGGREGATE(15,6,(ROW(DE$233:DE$281)-ROW(DE$233)+1)/(DE$233:DE$281&lt;&gt;""),ROWS(DL$1:DL8))),"")</f>
        <v>5</v>
      </c>
      <c r="DM240" s="165">
        <f>IFERROR(INDEX(DF$233:DF$281,_xlfn.AGGREGATE(15,6,(ROW(DF$233:DF$281)-ROW(DF$233)+1)/(DF$233:DF$281&lt;&gt;""),ROWS(DM$1:DM8))),"")</f>
        <v>875.2639949795722</v>
      </c>
      <c r="DN240" s="166">
        <f t="shared" si="121"/>
        <v>240</v>
      </c>
      <c r="DO240" s="164">
        <f>IFERROR(INDEX(DG$233:DG$281,_xlfn.AGGREGATE(15,6,(ROW(DG$233:DG$281)-ROW(DG$233)+1)/(DG$233:DG$281&lt;&gt;""),ROWS(DO$1:DO8))),"")</f>
        <v>5</v>
      </c>
      <c r="DP240" s="165">
        <f>IFERROR(INDEX(DH$233:DH$281,_xlfn.AGGREGATE(15,6,(ROW(DH$233:DH$281)-ROW(DH$233)+1)/(DH$233:DH$281&lt;&gt;""),ROWS(DP$1:DP8))),"")</f>
        <v>969.26444291626842</v>
      </c>
      <c r="DQ240" s="166">
        <f t="shared" si="122"/>
        <v>240</v>
      </c>
      <c r="DV240" s="145">
        <v>2022</v>
      </c>
      <c r="DW240" s="235">
        <f t="shared" ca="1" si="106"/>
        <v>924.683868638224</v>
      </c>
      <c r="DZ240" s="135"/>
      <c r="EA240" s="33"/>
      <c r="EB240" s="33"/>
      <c r="EC240" s="33"/>
      <c r="ED240" s="33"/>
      <c r="EE240" s="33"/>
    </row>
    <row r="241" spans="1:135" ht="13.8" x14ac:dyDescent="0.45">
      <c r="A241" s="194" t="s">
        <v>90</v>
      </c>
      <c r="B241" s="128">
        <v>2020</v>
      </c>
      <c r="C241" s="1047">
        <v>844.87899543379001</v>
      </c>
      <c r="D241" s="1050">
        <v>1036.0067641822277</v>
      </c>
      <c r="E241" s="1060"/>
      <c r="F241" s="1051"/>
      <c r="G241" s="1052"/>
      <c r="H241" s="1034"/>
      <c r="I241" s="931">
        <v>797.99411764705894</v>
      </c>
      <c r="J241" s="168"/>
      <c r="K241" s="169"/>
      <c r="L241" s="170"/>
      <c r="M241" s="169"/>
      <c r="N241" s="29" t="s">
        <v>119</v>
      </c>
      <c r="O241" s="120"/>
      <c r="P241" s="120"/>
      <c r="Q241" s="120"/>
      <c r="R241" s="29">
        <v>6</v>
      </c>
      <c r="S241" s="195">
        <f t="shared" si="107"/>
        <v>797.99411764705894</v>
      </c>
      <c r="T241" s="195">
        <f t="shared" si="108"/>
        <v>1036.0067641822277</v>
      </c>
      <c r="U241" s="195">
        <f t="shared" si="109"/>
        <v>102.94444869955981</v>
      </c>
      <c r="V241" s="20"/>
      <c r="W241" s="238">
        <f t="shared" si="110"/>
        <v>790.0155103881325</v>
      </c>
      <c r="X241" s="238">
        <f t="shared" si="111"/>
        <v>892.95995908769225</v>
      </c>
      <c r="Y241" s="238">
        <f t="shared" si="112"/>
        <v>995.90440778725201</v>
      </c>
      <c r="AA241" s="1133">
        <v>844.87899543379081</v>
      </c>
      <c r="AB241" s="1133">
        <v>940.44287980800891</v>
      </c>
      <c r="AC241" s="1133">
        <v>1036.006764182227</v>
      </c>
      <c r="AD241" s="138"/>
      <c r="AE241" s="138"/>
      <c r="AF241" s="138"/>
      <c r="AG241" s="138"/>
      <c r="AH241" s="138"/>
      <c r="AI241" s="138"/>
      <c r="AJ241" s="138"/>
      <c r="AK241" s="138"/>
      <c r="AL241" s="138"/>
      <c r="AM241" s="138"/>
      <c r="AN241" s="138"/>
      <c r="BR241" s="180">
        <v>2018</v>
      </c>
      <c r="BS241" s="22">
        <v>4</v>
      </c>
      <c r="BT241" s="181">
        <f t="shared" si="123"/>
        <v>60.867477892934055</v>
      </c>
      <c r="BU241" s="182">
        <f t="shared" si="124"/>
        <v>795.07013205106455</v>
      </c>
      <c r="BV241" s="242">
        <f t="shared" si="125"/>
        <v>855.93760994399861</v>
      </c>
      <c r="BY241" s="180">
        <v>2018</v>
      </c>
      <c r="BZ241" s="22">
        <v>4</v>
      </c>
      <c r="CA241" s="181">
        <f t="shared" ca="1" si="126"/>
        <v>-2.3179271036372966</v>
      </c>
      <c r="CB241" s="181">
        <f t="shared" ca="1" si="127"/>
        <v>84.626230705216372</v>
      </c>
      <c r="CC241" s="182">
        <f t="shared" ca="1" si="128"/>
        <v>759.72174372059567</v>
      </c>
      <c r="CD241" s="242">
        <f t="shared" ca="1" si="129"/>
        <v>842.03004732217471</v>
      </c>
      <c r="CG241" s="180">
        <v>2018</v>
      </c>
      <c r="CH241" s="22">
        <v>4</v>
      </c>
      <c r="CI241" s="181">
        <f t="shared" ca="1" si="130"/>
        <v>0.15861084725953647</v>
      </c>
      <c r="CJ241" s="181">
        <f t="shared" ca="1" si="131"/>
        <v>-4.7565688802526767</v>
      </c>
      <c r="CK241" s="181">
        <f t="shared" ca="1" si="132"/>
        <v>93.981296740142938</v>
      </c>
      <c r="CL241" s="182">
        <f t="shared" ca="1" si="133"/>
        <v>754.47866390087256</v>
      </c>
      <c r="CM241" s="242">
        <f t="shared" ca="1" si="134"/>
        <v>843.86200260802241</v>
      </c>
      <c r="CP241" s="180">
        <v>2018</v>
      </c>
      <c r="CQ241" s="22">
        <v>4</v>
      </c>
      <c r="CR241" s="181">
        <f t="shared" ca="1" si="135"/>
        <v>810.12186311233324</v>
      </c>
      <c r="CS241" s="182">
        <f t="shared" ca="1" si="136"/>
        <v>1.0590496568010808</v>
      </c>
      <c r="CT241" s="242">
        <f t="shared" ca="1" si="137"/>
        <v>857.95928109616864</v>
      </c>
      <c r="CZ241" s="164" t="b">
        <f t="shared" si="113"/>
        <v>1</v>
      </c>
      <c r="DA241" s="165" t="b">
        <f t="shared" si="113"/>
        <v>1</v>
      </c>
      <c r="DB241" s="166" t="b">
        <f t="shared" si="113"/>
        <v>1</v>
      </c>
      <c r="DC241" s="164">
        <f t="shared" si="114"/>
        <v>6</v>
      </c>
      <c r="DD241" s="166">
        <f t="shared" si="115"/>
        <v>790.0155103881325</v>
      </c>
      <c r="DE241" s="164">
        <f t="shared" si="116"/>
        <v>6</v>
      </c>
      <c r="DF241" s="166">
        <f t="shared" si="117"/>
        <v>892.95995908769225</v>
      </c>
      <c r="DG241" s="164">
        <f t="shared" si="118"/>
        <v>6</v>
      </c>
      <c r="DH241" s="166">
        <f t="shared" si="119"/>
        <v>995.90440778725201</v>
      </c>
      <c r="DI241" s="164">
        <f>IFERROR(INDEX(DC$233:DC$281,_xlfn.AGGREGATE(15,6,(ROW(DC$233:DC$281)-ROW(DC$233)+1)/(DC$233:DC$281&lt;&gt;""),ROWS(DI$1:DI9))),"")</f>
        <v>6</v>
      </c>
      <c r="DJ241" s="165">
        <f>IFERROR(INDEX(DD$233:DD$281,_xlfn.AGGREGATE(15,6,(ROW(DD$233:DD$281)-ROW(DD$233)+1)/(DD$233:DD$281&lt;&gt;""),ROWS(DJ$1:DJ9))),"")</f>
        <v>790.0155103881325</v>
      </c>
      <c r="DK241" s="166">
        <f t="shared" si="120"/>
        <v>241</v>
      </c>
      <c r="DL241" s="164">
        <f>IFERROR(INDEX(DE$233:DE$281,_xlfn.AGGREGATE(15,6,(ROW(DE$233:DE$281)-ROW(DE$233)+1)/(DE$233:DE$281&lt;&gt;""),ROWS(DL$1:DL9))),"")</f>
        <v>6</v>
      </c>
      <c r="DM241" s="165">
        <f>IFERROR(INDEX(DF$233:DF$281,_xlfn.AGGREGATE(15,6,(ROW(DF$233:DF$281)-ROW(DF$233)+1)/(DF$233:DF$281&lt;&gt;""),ROWS(DM$1:DM9))),"")</f>
        <v>892.95995908769225</v>
      </c>
      <c r="DN241" s="166">
        <f t="shared" si="121"/>
        <v>241</v>
      </c>
      <c r="DO241" s="164">
        <f>IFERROR(INDEX(DG$233:DG$281,_xlfn.AGGREGATE(15,6,(ROW(DG$233:DG$281)-ROW(DG$233)+1)/(DG$233:DG$281&lt;&gt;""),ROWS(DO$1:DO9))),"")</f>
        <v>6</v>
      </c>
      <c r="DP241" s="165">
        <f>IFERROR(INDEX(DH$233:DH$281,_xlfn.AGGREGATE(15,6,(ROW(DH$233:DH$281)-ROW(DH$233)+1)/(DH$233:DH$281&lt;&gt;""),ROWS(DP$1:DP9))),"")</f>
        <v>995.90440778725201</v>
      </c>
      <c r="DQ241" s="166">
        <f t="shared" si="122"/>
        <v>241</v>
      </c>
      <c r="DV241" s="145">
        <v>2023</v>
      </c>
      <c r="DW241" s="235">
        <f t="shared" ca="1" si="106"/>
        <v>943.66312829198068</v>
      </c>
      <c r="DZ241" s="135"/>
      <c r="EA241" s="33" t="s">
        <v>86</v>
      </c>
      <c r="EB241" s="33" t="s">
        <v>87</v>
      </c>
      <c r="EC241" s="33"/>
      <c r="ED241" s="33"/>
      <c r="EE241" s="33"/>
    </row>
    <row r="242" spans="1:135" ht="14.1" thickBot="1" x14ac:dyDescent="0.5">
      <c r="A242" s="184" t="s">
        <v>80</v>
      </c>
      <c r="B242" s="128">
        <v>2021</v>
      </c>
      <c r="C242" s="1047">
        <v>861.12796803652975</v>
      </c>
      <c r="D242" s="1050">
        <v>1065.8616275521215</v>
      </c>
      <c r="E242" s="1060"/>
      <c r="F242" s="1051"/>
      <c r="G242" s="1052"/>
      <c r="H242" s="1033"/>
      <c r="I242" s="1110">
        <v>805.21764705882367</v>
      </c>
      <c r="J242" s="159"/>
      <c r="K242" s="151"/>
      <c r="L242" s="152"/>
      <c r="M242" s="151"/>
      <c r="N242" s="29" t="s">
        <v>119</v>
      </c>
      <c r="O242" s="120"/>
      <c r="P242" s="120"/>
      <c r="Q242" s="120"/>
      <c r="R242" s="29">
        <v>7</v>
      </c>
      <c r="S242" s="196">
        <f t="shared" si="107"/>
        <v>805.21764705882367</v>
      </c>
      <c r="T242" s="196">
        <f t="shared" si="108"/>
        <v>1065.8616275521215</v>
      </c>
      <c r="U242" s="196">
        <f t="shared" si="109"/>
        <v>112.04023081904587</v>
      </c>
      <c r="V242" s="20"/>
      <c r="W242" s="238">
        <f t="shared" si="110"/>
        <v>798.69551673011256</v>
      </c>
      <c r="X242" s="238">
        <f t="shared" si="111"/>
        <v>910.73574754915842</v>
      </c>
      <c r="Y242" s="238">
        <f t="shared" si="112"/>
        <v>1022.7759783682043</v>
      </c>
      <c r="AA242" s="1133">
        <v>861.12796803653077</v>
      </c>
      <c r="AB242" s="1133">
        <v>963.49479779432568</v>
      </c>
      <c r="AC242" s="1133">
        <v>1065.8616275521206</v>
      </c>
      <c r="AD242" s="138"/>
      <c r="AE242" s="138"/>
      <c r="AF242" s="138"/>
      <c r="AG242" s="138"/>
      <c r="AH242" s="138"/>
      <c r="AI242" s="138"/>
      <c r="AJ242" s="138"/>
      <c r="AK242" s="138"/>
      <c r="AL242" s="138"/>
      <c r="AM242" s="138"/>
      <c r="AN242" s="138"/>
      <c r="BR242" s="180">
        <v>2019</v>
      </c>
      <c r="BS242" s="22">
        <v>5</v>
      </c>
      <c r="BT242" s="181">
        <f t="shared" si="123"/>
        <v>76.084347366167563</v>
      </c>
      <c r="BU242" s="182">
        <f t="shared" si="124"/>
        <v>795.07013205106455</v>
      </c>
      <c r="BV242" s="283">
        <f t="shared" si="125"/>
        <v>871.1544794172321</v>
      </c>
      <c r="BY242" s="180">
        <v>2019</v>
      </c>
      <c r="BZ242" s="22">
        <v>5</v>
      </c>
      <c r="CA242" s="181">
        <f t="shared" ca="1" si="126"/>
        <v>-3.6217610994332761</v>
      </c>
      <c r="CB242" s="181">
        <f t="shared" ca="1" si="127"/>
        <v>105.78278838152046</v>
      </c>
      <c r="CC242" s="182">
        <f t="shared" ca="1" si="128"/>
        <v>759.72174372059567</v>
      </c>
      <c r="CD242" s="283">
        <f t="shared" ca="1" si="129"/>
        <v>861.88277100268283</v>
      </c>
      <c r="CG242" s="180">
        <v>2019</v>
      </c>
      <c r="CH242" s="22">
        <v>5</v>
      </c>
      <c r="CI242" s="181">
        <f t="shared" ca="1" si="130"/>
        <v>0.3097868110537822</v>
      </c>
      <c r="CJ242" s="181">
        <f t="shared" ca="1" si="131"/>
        <v>-7.4321388753948074</v>
      </c>
      <c r="CK242" s="181">
        <f t="shared" ca="1" si="132"/>
        <v>117.47662092517868</v>
      </c>
      <c r="CL242" s="182">
        <f t="shared" ca="1" si="133"/>
        <v>754.47866390087256</v>
      </c>
      <c r="CM242" s="283">
        <f t="shared" ca="1" si="134"/>
        <v>864.83293276171025</v>
      </c>
      <c r="CP242" s="180">
        <v>2019</v>
      </c>
      <c r="CQ242" s="22">
        <v>5</v>
      </c>
      <c r="CR242" s="181">
        <f t="shared" ca="1" si="135"/>
        <v>810.12186311233324</v>
      </c>
      <c r="CS242" s="182">
        <f t="shared" ca="1" si="136"/>
        <v>1.0743490515663048</v>
      </c>
      <c r="CT242" s="283">
        <f t="shared" ca="1" si="137"/>
        <v>870.35365528786303</v>
      </c>
      <c r="CZ242" s="164" t="b">
        <f t="shared" si="113"/>
        <v>1</v>
      </c>
      <c r="DA242" s="165" t="b">
        <f t="shared" si="113"/>
        <v>1</v>
      </c>
      <c r="DB242" s="166" t="b">
        <f t="shared" si="113"/>
        <v>1</v>
      </c>
      <c r="DC242" s="164">
        <f t="shared" si="114"/>
        <v>7</v>
      </c>
      <c r="DD242" s="166">
        <f t="shared" si="115"/>
        <v>798.69551673011256</v>
      </c>
      <c r="DE242" s="164">
        <f t="shared" si="116"/>
        <v>7</v>
      </c>
      <c r="DF242" s="166">
        <f t="shared" si="117"/>
        <v>910.73574754915842</v>
      </c>
      <c r="DG242" s="164">
        <f t="shared" si="118"/>
        <v>7</v>
      </c>
      <c r="DH242" s="166">
        <f t="shared" si="119"/>
        <v>1022.7759783682043</v>
      </c>
      <c r="DI242" s="164">
        <f>IFERROR(INDEX(DC$233:DC$281,_xlfn.AGGREGATE(15,6,(ROW(DC$233:DC$281)-ROW(DC$233)+1)/(DC$233:DC$281&lt;&gt;""),ROWS(DI$1:DI10))),"")</f>
        <v>7</v>
      </c>
      <c r="DJ242" s="165">
        <f>IFERROR(INDEX(DD$233:DD$281,_xlfn.AGGREGATE(15,6,(ROW(DD$233:DD$281)-ROW(DD$233)+1)/(DD$233:DD$281&lt;&gt;""),ROWS(DJ$1:DJ10))),"")</f>
        <v>798.69551673011256</v>
      </c>
      <c r="DK242" s="166">
        <f t="shared" si="120"/>
        <v>242</v>
      </c>
      <c r="DL242" s="164">
        <f>IFERROR(INDEX(DE$233:DE$281,_xlfn.AGGREGATE(15,6,(ROW(DE$233:DE$281)-ROW(DE$233)+1)/(DE$233:DE$281&lt;&gt;""),ROWS(DL$1:DL10))),"")</f>
        <v>7</v>
      </c>
      <c r="DM242" s="165">
        <f>IFERROR(INDEX(DF$233:DF$281,_xlfn.AGGREGATE(15,6,(ROW(DF$233:DF$281)-ROW(DF$233)+1)/(DF$233:DF$281&lt;&gt;""),ROWS(DM$1:DM10))),"")</f>
        <v>910.73574754915842</v>
      </c>
      <c r="DN242" s="166">
        <f t="shared" si="121"/>
        <v>242</v>
      </c>
      <c r="DO242" s="164">
        <f>IFERROR(INDEX(DG$233:DG$281,_xlfn.AGGREGATE(15,6,(ROW(DG$233:DG$281)-ROW(DG$233)+1)/(DG$233:DG$281&lt;&gt;""),ROWS(DO$1:DO10))),"")</f>
        <v>7</v>
      </c>
      <c r="DP242" s="165">
        <f>IFERROR(INDEX(DH$233:DH$281,_xlfn.AGGREGATE(15,6,(ROW(DH$233:DH$281)-ROW(DH$233)+1)/(DH$233:DH$281&lt;&gt;""),ROWS(DP$1:DP10))),"")</f>
        <v>1022.7759783682043</v>
      </c>
      <c r="DQ242" s="166">
        <f t="shared" si="122"/>
        <v>242</v>
      </c>
      <c r="DV242" s="145">
        <v>2024</v>
      </c>
      <c r="DW242" s="235">
        <f t="shared" ca="1" si="106"/>
        <v>962.18164473808088</v>
      </c>
      <c r="DZ242" s="135" t="s">
        <v>92</v>
      </c>
      <c r="EA242" s="33">
        <f t="shared" ref="EA242:EB244" si="139">IF($EA$231="Linear",0,IF($EA$231="2nd Poly",0,IF($EA$231="3rd Poly",0,IF($EA$231="Exp",CR234))))</f>
        <v>0</v>
      </c>
      <c r="EB242" s="33">
        <f t="shared" si="139"/>
        <v>0</v>
      </c>
      <c r="EC242" s="33" t="str">
        <f>IF($EA$231="Linear","N/A",IF($EA$231="2nd Poly","N/A",IF($EA$231="3rd Poly","N/A","High")))</f>
        <v>N/A</v>
      </c>
      <c r="ED242" s="33"/>
      <c r="EE242" s="33"/>
    </row>
    <row r="243" spans="1:135" ht="13.8" x14ac:dyDescent="0.45">
      <c r="A243" s="148" t="s">
        <v>88</v>
      </c>
      <c r="B243" s="128">
        <v>2022</v>
      </c>
      <c r="C243" s="1047">
        <v>877.37694063926949</v>
      </c>
      <c r="D243" s="1050">
        <v>1095.3827631791894</v>
      </c>
      <c r="E243" s="1060"/>
      <c r="F243" s="1051"/>
      <c r="G243" s="1052"/>
      <c r="H243" s="1035"/>
      <c r="I243" s="1111">
        <v>812.44117647058829</v>
      </c>
      <c r="J243" s="199"/>
      <c r="K243" s="200"/>
      <c r="L243" s="201"/>
      <c r="M243" s="200"/>
      <c r="N243" s="29" t="s">
        <v>119</v>
      </c>
      <c r="O243" s="120"/>
      <c r="P243" s="120"/>
      <c r="Q243" s="120"/>
      <c r="R243" s="29">
        <v>8</v>
      </c>
      <c r="S243" s="202">
        <f t="shared" si="107"/>
        <v>812.44117647058829</v>
      </c>
      <c r="T243" s="202">
        <f t="shared" si="108"/>
        <v>1095.3827631791894</v>
      </c>
      <c r="U243" s="202">
        <f t="shared" si="109"/>
        <v>121.01383466302863</v>
      </c>
      <c r="V243" s="20"/>
      <c r="W243" s="238">
        <f t="shared" si="110"/>
        <v>807.38645876665373</v>
      </c>
      <c r="X243" s="238">
        <f t="shared" si="111"/>
        <v>928.40029342968239</v>
      </c>
      <c r="Y243" s="238">
        <f t="shared" si="112"/>
        <v>1049.4141280927111</v>
      </c>
      <c r="AA243" s="1133">
        <v>877.37694063927052</v>
      </c>
      <c r="AB243" s="1133">
        <v>986.3798519092295</v>
      </c>
      <c r="AC243" s="1133">
        <v>1095.3827631791885</v>
      </c>
      <c r="AD243" s="120"/>
      <c r="AE243" s="120"/>
      <c r="AF243" s="120"/>
      <c r="AG243" s="120"/>
      <c r="AH243" s="120"/>
      <c r="AI243" s="120"/>
      <c r="AJ243" s="120"/>
      <c r="AK243" s="120"/>
      <c r="AL243" s="120"/>
      <c r="AM243" s="120"/>
      <c r="AN243" s="120"/>
      <c r="BR243" s="180">
        <v>2020</v>
      </c>
      <c r="BS243" s="22">
        <v>6</v>
      </c>
      <c r="BT243" s="181">
        <f t="shared" si="123"/>
        <v>91.301216839401079</v>
      </c>
      <c r="BU243" s="182">
        <f t="shared" si="124"/>
        <v>795.07013205106455</v>
      </c>
      <c r="BV243" s="203">
        <f t="shared" si="125"/>
        <v>886.37134889046558</v>
      </c>
      <c r="BY243" s="180">
        <v>2020</v>
      </c>
      <c r="BZ243" s="22">
        <v>6</v>
      </c>
      <c r="CA243" s="181">
        <f t="shared" ca="1" si="126"/>
        <v>-5.215335983183917</v>
      </c>
      <c r="CB243" s="181">
        <f t="shared" ca="1" si="127"/>
        <v>126.93934605782457</v>
      </c>
      <c r="CC243" s="182">
        <f t="shared" ca="1" si="128"/>
        <v>759.72174372059567</v>
      </c>
      <c r="CD243" s="203">
        <f t="shared" ca="1" si="129"/>
        <v>881.44575379523633</v>
      </c>
      <c r="CG243" s="180">
        <v>2020</v>
      </c>
      <c r="CH243" s="22">
        <v>6</v>
      </c>
      <c r="CI243" s="181">
        <f t="shared" ca="1" si="130"/>
        <v>0.53531160950093559</v>
      </c>
      <c r="CJ243" s="181">
        <f t="shared" ca="1" si="131"/>
        <v>-10.702279980568523</v>
      </c>
      <c r="CK243" s="181">
        <f t="shared" ca="1" si="132"/>
        <v>140.97194511021439</v>
      </c>
      <c r="CL243" s="182">
        <f t="shared" ca="1" si="133"/>
        <v>754.47866390087256</v>
      </c>
      <c r="CM243" s="203">
        <f t="shared" ca="1" si="134"/>
        <v>885.28364064001937</v>
      </c>
      <c r="CP243" s="180">
        <v>2020</v>
      </c>
      <c r="CQ243" s="22">
        <v>6</v>
      </c>
      <c r="CR243" s="181">
        <f t="shared" ca="1" si="135"/>
        <v>810.12186311233324</v>
      </c>
      <c r="CS243" s="182">
        <f t="shared" ca="1" si="136"/>
        <v>1.0898694666384416</v>
      </c>
      <c r="CT243" s="203">
        <f t="shared" ca="1" si="137"/>
        <v>882.92708286237928</v>
      </c>
      <c r="CZ243" s="164" t="b">
        <f t="shared" si="113"/>
        <v>1</v>
      </c>
      <c r="DA243" s="165" t="b">
        <f t="shared" si="113"/>
        <v>1</v>
      </c>
      <c r="DB243" s="166" t="b">
        <f t="shared" si="113"/>
        <v>1</v>
      </c>
      <c r="DC243" s="164">
        <f t="shared" si="114"/>
        <v>8</v>
      </c>
      <c r="DD243" s="166">
        <f t="shared" si="115"/>
        <v>807.38645876665373</v>
      </c>
      <c r="DE243" s="164">
        <f t="shared" si="116"/>
        <v>8</v>
      </c>
      <c r="DF243" s="166">
        <f t="shared" si="117"/>
        <v>928.40029342968239</v>
      </c>
      <c r="DG243" s="164">
        <f t="shared" si="118"/>
        <v>8</v>
      </c>
      <c r="DH243" s="166">
        <f t="shared" si="119"/>
        <v>1049.4141280927111</v>
      </c>
      <c r="DI243" s="164">
        <f>IFERROR(INDEX(DC$233:DC$281,_xlfn.AGGREGATE(15,6,(ROW(DC$233:DC$281)-ROW(DC$233)+1)/(DC$233:DC$281&lt;&gt;""),ROWS(DI$1:DI11))),"")</f>
        <v>8</v>
      </c>
      <c r="DJ243" s="165">
        <f>IFERROR(INDEX(DD$233:DD$281,_xlfn.AGGREGATE(15,6,(ROW(DD$233:DD$281)-ROW(DD$233)+1)/(DD$233:DD$281&lt;&gt;""),ROWS(DJ$1:DJ11))),"")</f>
        <v>807.38645876665373</v>
      </c>
      <c r="DK243" s="166">
        <f t="shared" si="120"/>
        <v>243</v>
      </c>
      <c r="DL243" s="164">
        <f>IFERROR(INDEX(DE$233:DE$281,_xlfn.AGGREGATE(15,6,(ROW(DE$233:DE$281)-ROW(DE$233)+1)/(DE$233:DE$281&lt;&gt;""),ROWS(DL$1:DL11))),"")</f>
        <v>8</v>
      </c>
      <c r="DM243" s="165">
        <f>IFERROR(INDEX(DF$233:DF$281,_xlfn.AGGREGATE(15,6,(ROW(DF$233:DF$281)-ROW(DF$233)+1)/(DF$233:DF$281&lt;&gt;""),ROWS(DM$1:DM11))),"")</f>
        <v>928.40029342968239</v>
      </c>
      <c r="DN243" s="166">
        <f t="shared" si="121"/>
        <v>243</v>
      </c>
      <c r="DO243" s="164">
        <f>IFERROR(INDEX(DG$233:DG$281,_xlfn.AGGREGATE(15,6,(ROW(DG$233:DG$281)-ROW(DG$233)+1)/(DG$233:DG$281&lt;&gt;""),ROWS(DO$1:DO11))),"")</f>
        <v>8</v>
      </c>
      <c r="DP243" s="165">
        <f>IFERROR(INDEX(DH$233:DH$281,_xlfn.AGGREGATE(15,6,(ROW(DH$233:DH$281)-ROW(DH$233)+1)/(DH$233:DH$281&lt;&gt;""),ROWS(DP$1:DP11))),"")</f>
        <v>1049.4141280927111</v>
      </c>
      <c r="DQ243" s="166">
        <f t="shared" si="122"/>
        <v>243</v>
      </c>
      <c r="DV243" s="145">
        <v>2025</v>
      </c>
      <c r="DW243" s="235">
        <f t="shared" ca="1" si="106"/>
        <v>980.25428774345551</v>
      </c>
      <c r="DZ243" s="135" t="s">
        <v>92</v>
      </c>
      <c r="EA243" s="33">
        <f t="shared" si="139"/>
        <v>0</v>
      </c>
      <c r="EB243" s="33">
        <f t="shared" si="139"/>
        <v>0</v>
      </c>
      <c r="EC243" s="33" t="str">
        <f>IF($EA$231="Linear","N/A",IF($EA$231="2nd Poly","N/A",IF($EA$231="3rd Poly","N/A","Medium")))</f>
        <v>N/A</v>
      </c>
    </row>
    <row r="244" spans="1:135" ht="13.8" x14ac:dyDescent="0.45">
      <c r="B244" s="128">
        <v>2023</v>
      </c>
      <c r="C244" s="1047">
        <v>893.62591324200923</v>
      </c>
      <c r="D244" s="1050">
        <v>1124.3334672495189</v>
      </c>
      <c r="E244" s="1060"/>
      <c r="F244" s="1051"/>
      <c r="G244" s="1052"/>
      <c r="H244" s="1035"/>
      <c r="I244" s="1111">
        <v>819.66470588235302</v>
      </c>
      <c r="J244" s="199"/>
      <c r="K244" s="200"/>
      <c r="L244" s="201"/>
      <c r="M244" s="200"/>
      <c r="N244" s="29" t="s">
        <v>119</v>
      </c>
      <c r="O244" s="120"/>
      <c r="P244" s="120"/>
      <c r="Q244" s="120"/>
      <c r="R244" s="29">
        <v>9</v>
      </c>
      <c r="S244" s="202">
        <f t="shared" si="107"/>
        <v>819.66470588235302</v>
      </c>
      <c r="T244" s="202">
        <f t="shared" si="108"/>
        <v>1124.3334672495189</v>
      </c>
      <c r="U244" s="202">
        <f t="shared" si="109"/>
        <v>129.75159593247935</v>
      </c>
      <c r="V244" s="20"/>
      <c r="W244" s="238">
        <f t="shared" si="110"/>
        <v>816.12309952548117</v>
      </c>
      <c r="X244" s="238">
        <f t="shared" si="111"/>
        <v>945.87469545796046</v>
      </c>
      <c r="Y244" s="238">
        <f t="shared" si="112"/>
        <v>1075.6262913904397</v>
      </c>
      <c r="AA244" s="1133">
        <v>893.62591324200866</v>
      </c>
      <c r="AB244" s="1133">
        <v>1008.979690245764</v>
      </c>
      <c r="AC244" s="1133">
        <v>1124.3334672495193</v>
      </c>
      <c r="AD244" s="120"/>
      <c r="AE244" s="120"/>
      <c r="AF244" s="120"/>
      <c r="AG244" s="120"/>
      <c r="AH244" s="120"/>
      <c r="AI244" s="120"/>
      <c r="AJ244" s="120"/>
      <c r="AK244" s="120"/>
      <c r="AL244" s="120"/>
      <c r="AM244" s="120"/>
      <c r="AN244" s="120"/>
      <c r="BR244" s="180">
        <v>2021</v>
      </c>
      <c r="BS244" s="22">
        <v>7</v>
      </c>
      <c r="BT244" s="181">
        <f t="shared" si="123"/>
        <v>106.51808631263459</v>
      </c>
      <c r="BU244" s="182">
        <f t="shared" si="124"/>
        <v>795.07013205106455</v>
      </c>
      <c r="BV244" s="205">
        <f t="shared" si="125"/>
        <v>901.58821836369918</v>
      </c>
      <c r="BY244" s="180">
        <v>2021</v>
      </c>
      <c r="BZ244" s="22">
        <v>7</v>
      </c>
      <c r="CA244" s="181">
        <f t="shared" ca="1" si="126"/>
        <v>-7.0986517548892207</v>
      </c>
      <c r="CB244" s="181">
        <f t="shared" ca="1" si="127"/>
        <v>148.09590373412865</v>
      </c>
      <c r="CC244" s="182">
        <f t="shared" ca="1" si="128"/>
        <v>759.72174372059567</v>
      </c>
      <c r="CD244" s="205">
        <f t="shared" ca="1" si="129"/>
        <v>900.71899569983509</v>
      </c>
      <c r="CG244" s="180">
        <v>2021</v>
      </c>
      <c r="CH244" s="22">
        <v>7</v>
      </c>
      <c r="CI244" s="181">
        <f t="shared" ca="1" si="130"/>
        <v>0.85005500953157831</v>
      </c>
      <c r="CJ244" s="181">
        <f t="shared" ca="1" si="131"/>
        <v>-14.566992195773823</v>
      </c>
      <c r="CK244" s="181">
        <f t="shared" ca="1" si="132"/>
        <v>164.46726929525013</v>
      </c>
      <c r="CL244" s="182">
        <f t="shared" ca="1" si="133"/>
        <v>754.47866390087256</v>
      </c>
      <c r="CM244" s="205">
        <f t="shared" ca="1" si="134"/>
        <v>905.22899600988046</v>
      </c>
      <c r="CP244" s="180">
        <v>2021</v>
      </c>
      <c r="CQ244" s="22">
        <v>7</v>
      </c>
      <c r="CR244" s="181">
        <f t="shared" ca="1" si="135"/>
        <v>810.12186311233324</v>
      </c>
      <c r="CS244" s="182">
        <f t="shared" ca="1" si="136"/>
        <v>1.1056140949526903</v>
      </c>
      <c r="CT244" s="205">
        <f t="shared" ca="1" si="137"/>
        <v>895.68215048632953</v>
      </c>
      <c r="CZ244" s="164" t="b">
        <f t="shared" si="113"/>
        <v>1</v>
      </c>
      <c r="DA244" s="165" t="b">
        <f t="shared" si="113"/>
        <v>1</v>
      </c>
      <c r="DB244" s="166" t="b">
        <f t="shared" si="113"/>
        <v>1</v>
      </c>
      <c r="DC244" s="164">
        <f t="shared" si="114"/>
        <v>9</v>
      </c>
      <c r="DD244" s="166">
        <f t="shared" si="115"/>
        <v>816.12309952548117</v>
      </c>
      <c r="DE244" s="164">
        <f t="shared" si="116"/>
        <v>9</v>
      </c>
      <c r="DF244" s="166">
        <f t="shared" si="117"/>
        <v>945.87469545796046</v>
      </c>
      <c r="DG244" s="164">
        <f t="shared" si="118"/>
        <v>9</v>
      </c>
      <c r="DH244" s="166">
        <f t="shared" si="119"/>
        <v>1075.6262913904397</v>
      </c>
      <c r="DI244" s="164">
        <f>IFERROR(INDEX(DC$233:DC$281,_xlfn.AGGREGATE(15,6,(ROW(DC$233:DC$281)-ROW(DC$233)+1)/(DC$233:DC$281&lt;&gt;""),ROWS(DI$1:DI12))),"")</f>
        <v>9</v>
      </c>
      <c r="DJ244" s="165">
        <f>IFERROR(INDEX(DD$233:DD$281,_xlfn.AGGREGATE(15,6,(ROW(DD$233:DD$281)-ROW(DD$233)+1)/(DD$233:DD$281&lt;&gt;""),ROWS(DJ$1:DJ12))),"")</f>
        <v>816.12309952548117</v>
      </c>
      <c r="DK244" s="166">
        <f t="shared" si="120"/>
        <v>244</v>
      </c>
      <c r="DL244" s="164">
        <f>IFERROR(INDEX(DE$233:DE$281,_xlfn.AGGREGATE(15,6,(ROW(DE$233:DE$281)-ROW(DE$233)+1)/(DE$233:DE$281&lt;&gt;""),ROWS(DL$1:DL12))),"")</f>
        <v>9</v>
      </c>
      <c r="DM244" s="165">
        <f>IFERROR(INDEX(DF$233:DF$281,_xlfn.AGGREGATE(15,6,(ROW(DF$233:DF$281)-ROW(DF$233)+1)/(DF$233:DF$281&lt;&gt;""),ROWS(DM$1:DM12))),"")</f>
        <v>945.87469545796046</v>
      </c>
      <c r="DN244" s="166">
        <f t="shared" si="121"/>
        <v>244</v>
      </c>
      <c r="DO244" s="164">
        <f>IFERROR(INDEX(DG$233:DG$281,_xlfn.AGGREGATE(15,6,(ROW(DG$233:DG$281)-ROW(DG$233)+1)/(DG$233:DG$281&lt;&gt;""),ROWS(DO$1:DO12))),"")</f>
        <v>9</v>
      </c>
      <c r="DP244" s="165">
        <f>IFERROR(INDEX(DH$233:DH$281,_xlfn.AGGREGATE(15,6,(ROW(DH$233:DH$281)-ROW(DH$233)+1)/(DH$233:DH$281&lt;&gt;""),ROWS(DP$1:DP12))),"")</f>
        <v>1075.6262913904397</v>
      </c>
      <c r="DQ244" s="166">
        <f t="shared" si="122"/>
        <v>244</v>
      </c>
      <c r="DV244" s="145">
        <v>2026</v>
      </c>
      <c r="DW244" s="235">
        <f t="shared" ca="1" si="106"/>
        <v>997.89592707503471</v>
      </c>
      <c r="DZ244" s="135" t="s">
        <v>92</v>
      </c>
      <c r="EA244" s="33">
        <f t="shared" si="139"/>
        <v>0</v>
      </c>
      <c r="EB244" s="33">
        <f t="shared" si="139"/>
        <v>0</v>
      </c>
      <c r="EC244" s="33" t="str">
        <f>IF($EA$231="Linear","N/A",IF($EA$231="2nd Poly","N/A",IF($EA$231="3rd Poly","N/A","Low")))</f>
        <v>N/A</v>
      </c>
    </row>
    <row r="245" spans="1:135" ht="13.8" x14ac:dyDescent="0.45">
      <c r="B245" s="128">
        <v>2024</v>
      </c>
      <c r="C245" s="1047">
        <v>909.87488584474897</v>
      </c>
      <c r="D245" s="1050">
        <v>1152.7170947974053</v>
      </c>
      <c r="E245" s="1060"/>
      <c r="F245" s="1051"/>
      <c r="G245" s="1052"/>
      <c r="H245" s="1036"/>
      <c r="I245" s="1112">
        <v>826.88823529411775</v>
      </c>
      <c r="J245" s="247"/>
      <c r="K245" s="245"/>
      <c r="L245" s="246"/>
      <c r="M245" s="245"/>
      <c r="N245" s="29" t="s">
        <v>119</v>
      </c>
      <c r="O245" s="120"/>
      <c r="P245" s="120"/>
      <c r="Q245" s="120"/>
      <c r="R245" s="29">
        <v>10</v>
      </c>
      <c r="S245" s="238">
        <f t="shared" si="107"/>
        <v>826.88823529411775</v>
      </c>
      <c r="T245" s="238">
        <f t="shared" si="108"/>
        <v>1152.7170947974053</v>
      </c>
      <c r="U245" s="238">
        <f t="shared" si="109"/>
        <v>138.25241340221393</v>
      </c>
      <c r="V245" s="20"/>
      <c r="W245" s="238">
        <f t="shared" si="110"/>
        <v>824.90765857654344</v>
      </c>
      <c r="X245" s="238">
        <f t="shared" si="111"/>
        <v>963.1600719787574</v>
      </c>
      <c r="Y245" s="238">
        <f t="shared" si="112"/>
        <v>1101.4124853809712</v>
      </c>
      <c r="AA245" s="1133">
        <v>909.87488584475057</v>
      </c>
      <c r="AB245" s="1133">
        <v>1031.2959903210772</v>
      </c>
      <c r="AC245" s="1133">
        <v>1152.7170947974039</v>
      </c>
      <c r="AD245" s="120"/>
      <c r="AE245" s="120"/>
      <c r="AF245" s="120"/>
      <c r="AG245" s="120"/>
      <c r="AH245" s="120"/>
      <c r="AI245" s="120"/>
      <c r="AJ245" s="120"/>
      <c r="AK245" s="120"/>
      <c r="AL245" s="120"/>
      <c r="AM245" s="120"/>
      <c r="AN245" s="120"/>
      <c r="BR245" s="180">
        <v>2022</v>
      </c>
      <c r="BS245" s="22">
        <v>8</v>
      </c>
      <c r="BT245" s="181">
        <f t="shared" si="123"/>
        <v>121.73495578586811</v>
      </c>
      <c r="BU245" s="182">
        <f t="shared" si="124"/>
        <v>795.07013205106455</v>
      </c>
      <c r="BV245" s="205">
        <f t="shared" si="125"/>
        <v>916.80508783693267</v>
      </c>
      <c r="BY245" s="180">
        <v>2022</v>
      </c>
      <c r="BZ245" s="22">
        <v>8</v>
      </c>
      <c r="CA245" s="181">
        <f t="shared" ca="1" si="126"/>
        <v>-9.2717084145491864</v>
      </c>
      <c r="CB245" s="181">
        <f t="shared" ca="1" si="127"/>
        <v>169.25246141043274</v>
      </c>
      <c r="CC245" s="182">
        <f t="shared" ca="1" si="128"/>
        <v>759.72174372059567</v>
      </c>
      <c r="CD245" s="205">
        <f t="shared" ca="1" si="129"/>
        <v>919.70249671647923</v>
      </c>
      <c r="CG245" s="180">
        <v>2022</v>
      </c>
      <c r="CH245" s="22">
        <v>8</v>
      </c>
      <c r="CI245" s="181">
        <f t="shared" ca="1" si="130"/>
        <v>1.2688867780762918</v>
      </c>
      <c r="CJ245" s="181">
        <f t="shared" ca="1" si="131"/>
        <v>-19.026275521010707</v>
      </c>
      <c r="CK245" s="181">
        <f t="shared" ca="1" si="132"/>
        <v>187.96259348028588</v>
      </c>
      <c r="CL245" s="182">
        <f t="shared" ca="1" si="133"/>
        <v>754.47866390087256</v>
      </c>
      <c r="CM245" s="205">
        <f t="shared" ca="1" si="134"/>
        <v>924.683868638224</v>
      </c>
      <c r="CP245" s="180">
        <v>2022</v>
      </c>
      <c r="CQ245" s="22">
        <v>8</v>
      </c>
      <c r="CR245" s="181">
        <f t="shared" ca="1" si="135"/>
        <v>810.12186311233324</v>
      </c>
      <c r="CS245" s="182">
        <f t="shared" ca="1" si="136"/>
        <v>1.121586175570487</v>
      </c>
      <c r="CT245" s="205">
        <f t="shared" ca="1" si="137"/>
        <v>908.62148219419942</v>
      </c>
      <c r="CZ245" s="164" t="b">
        <f t="shared" si="113"/>
        <v>1</v>
      </c>
      <c r="DA245" s="165" t="b">
        <f t="shared" si="113"/>
        <v>1</v>
      </c>
      <c r="DB245" s="166" t="b">
        <f t="shared" si="113"/>
        <v>1</v>
      </c>
      <c r="DC245" s="164">
        <f t="shared" si="114"/>
        <v>10</v>
      </c>
      <c r="DD245" s="166">
        <f t="shared" si="115"/>
        <v>824.90765857654344</v>
      </c>
      <c r="DE245" s="164">
        <f t="shared" si="116"/>
        <v>10</v>
      </c>
      <c r="DF245" s="166">
        <f t="shared" si="117"/>
        <v>963.1600719787574</v>
      </c>
      <c r="DG245" s="164">
        <f t="shared" si="118"/>
        <v>10</v>
      </c>
      <c r="DH245" s="166">
        <f t="shared" si="119"/>
        <v>1101.4124853809712</v>
      </c>
      <c r="DI245" s="164">
        <f>IFERROR(INDEX(DC$233:DC$281,_xlfn.AGGREGATE(15,6,(ROW(DC$233:DC$281)-ROW(DC$233)+1)/(DC$233:DC$281&lt;&gt;""),ROWS(DI$1:DI13))),"")</f>
        <v>10</v>
      </c>
      <c r="DJ245" s="165">
        <f>IFERROR(INDEX(DD$233:DD$281,_xlfn.AGGREGATE(15,6,(ROW(DD$233:DD$281)-ROW(DD$233)+1)/(DD$233:DD$281&lt;&gt;""),ROWS(DJ$1:DJ13))),"")</f>
        <v>824.90765857654344</v>
      </c>
      <c r="DK245" s="166">
        <f t="shared" si="120"/>
        <v>245</v>
      </c>
      <c r="DL245" s="164">
        <f>IFERROR(INDEX(DE$233:DE$281,_xlfn.AGGREGATE(15,6,(ROW(DE$233:DE$281)-ROW(DE$233)+1)/(DE$233:DE$281&lt;&gt;""),ROWS(DL$1:DL13))),"")</f>
        <v>10</v>
      </c>
      <c r="DM245" s="165">
        <f>IFERROR(INDEX(DF$233:DF$281,_xlfn.AGGREGATE(15,6,(ROW(DF$233:DF$281)-ROW(DF$233)+1)/(DF$233:DF$281&lt;&gt;""),ROWS(DM$1:DM13))),"")</f>
        <v>963.1600719787574</v>
      </c>
      <c r="DN245" s="166">
        <f t="shared" si="121"/>
        <v>245</v>
      </c>
      <c r="DO245" s="164">
        <f>IFERROR(INDEX(DG$233:DG$281,_xlfn.AGGREGATE(15,6,(ROW(DG$233:DG$281)-ROW(DG$233)+1)/(DG$233:DG$281&lt;&gt;""),ROWS(DO$1:DO13))),"")</f>
        <v>10</v>
      </c>
      <c r="DP245" s="165">
        <f>IFERROR(INDEX(DH$233:DH$281,_xlfn.AGGREGATE(15,6,(ROW(DH$233:DH$281)-ROW(DH$233)+1)/(DH$233:DH$281&lt;&gt;""),ROWS(DP$1:DP13))),"")</f>
        <v>1101.4124853809712</v>
      </c>
      <c r="DQ245" s="166">
        <f t="shared" si="122"/>
        <v>245</v>
      </c>
      <c r="DV245" s="145">
        <v>2027</v>
      </c>
      <c r="DW245" s="235">
        <f t="shared" ca="1" si="106"/>
        <v>1015.1214324997495</v>
      </c>
    </row>
    <row r="246" spans="1:135" ht="13.8" x14ac:dyDescent="0.45">
      <c r="B246" s="128">
        <v>2025</v>
      </c>
      <c r="C246" s="1047">
        <v>926.1238584474886</v>
      </c>
      <c r="D246" s="1050">
        <v>1183.4101993170696</v>
      </c>
      <c r="E246" s="1060"/>
      <c r="F246" s="1051"/>
      <c r="G246" s="1052"/>
      <c r="H246" s="1036"/>
      <c r="I246" s="1112">
        <v>834.11176470588248</v>
      </c>
      <c r="J246" s="247"/>
      <c r="K246" s="245"/>
      <c r="L246" s="246"/>
      <c r="M246" s="245"/>
      <c r="N246" s="29" t="s">
        <v>119</v>
      </c>
      <c r="O246" s="120"/>
      <c r="P246" s="120"/>
      <c r="Q246" s="120"/>
      <c r="R246" s="29">
        <v>11</v>
      </c>
      <c r="S246" s="238">
        <f t="shared" si="107"/>
        <v>834.11176470588248</v>
      </c>
      <c r="T246" s="238">
        <f t="shared" si="108"/>
        <v>1183.4101993170696</v>
      </c>
      <c r="U246" s="238">
        <f t="shared" si="109"/>
        <v>147.8256792511576</v>
      </c>
      <c r="W246" s="238">
        <f t="shared" si="110"/>
        <v>833.38959490565617</v>
      </c>
      <c r="X246" s="238">
        <f t="shared" si="111"/>
        <v>981.21527415681373</v>
      </c>
      <c r="Y246" s="238">
        <f t="shared" si="112"/>
        <v>1129.0409534079713</v>
      </c>
      <c r="AA246" s="1133">
        <v>926.12385844748997</v>
      </c>
      <c r="AB246" s="1133">
        <v>1054.7670288822792</v>
      </c>
      <c r="AC246" s="1133">
        <v>1183.4101993170684</v>
      </c>
      <c r="AD246" s="120"/>
      <c r="AE246" s="120"/>
      <c r="AF246" s="120"/>
      <c r="AG246" s="120"/>
      <c r="AH246" s="120"/>
      <c r="AI246" s="120"/>
      <c r="AJ246" s="120"/>
      <c r="AK246" s="120"/>
      <c r="AL246" s="120"/>
      <c r="AM246" s="120"/>
      <c r="AN246" s="120"/>
      <c r="BR246" s="180">
        <v>2023</v>
      </c>
      <c r="BS246" s="22">
        <v>9</v>
      </c>
      <c r="BT246" s="181">
        <f t="shared" si="123"/>
        <v>136.95182525910161</v>
      </c>
      <c r="BU246" s="182">
        <f t="shared" si="124"/>
        <v>795.07013205106455</v>
      </c>
      <c r="BV246" s="205">
        <f t="shared" si="125"/>
        <v>932.02195731016616</v>
      </c>
      <c r="BY246" s="180">
        <v>2023</v>
      </c>
      <c r="BZ246" s="22">
        <v>9</v>
      </c>
      <c r="CA246" s="181">
        <f t="shared" ca="1" si="126"/>
        <v>-11.734505962163814</v>
      </c>
      <c r="CB246" s="181">
        <f t="shared" ca="1" si="127"/>
        <v>190.40901908673683</v>
      </c>
      <c r="CC246" s="182">
        <f t="shared" ca="1" si="128"/>
        <v>759.72174372059567</v>
      </c>
      <c r="CD246" s="205">
        <f t="shared" ca="1" si="129"/>
        <v>938.39625684516864</v>
      </c>
      <c r="CG246" s="180">
        <v>2023</v>
      </c>
      <c r="CH246" s="22">
        <v>9</v>
      </c>
      <c r="CI246" s="181">
        <f t="shared" ca="1" si="130"/>
        <v>1.8066766820656577</v>
      </c>
      <c r="CJ246" s="181">
        <f t="shared" ca="1" si="131"/>
        <v>-24.080129956279176</v>
      </c>
      <c r="CK246" s="181">
        <f t="shared" ca="1" si="132"/>
        <v>211.45791766532162</v>
      </c>
      <c r="CL246" s="182">
        <f t="shared" ca="1" si="133"/>
        <v>754.47866390087256</v>
      </c>
      <c r="CM246" s="205">
        <f t="shared" ca="1" si="134"/>
        <v>943.66312829198068</v>
      </c>
      <c r="CP246" s="180">
        <v>2023</v>
      </c>
      <c r="CQ246" s="22">
        <v>9</v>
      </c>
      <c r="CR246" s="181">
        <f t="shared" ca="1" si="135"/>
        <v>810.12186311233324</v>
      </c>
      <c r="CS246" s="182">
        <f t="shared" ca="1" si="136"/>
        <v>1.1377889943458617</v>
      </c>
      <c r="CT246" s="205">
        <f t="shared" ca="1" si="137"/>
        <v>921.74773992817745</v>
      </c>
      <c r="CZ246" s="164" t="b">
        <f t="shared" si="113"/>
        <v>1</v>
      </c>
      <c r="DA246" s="165" t="b">
        <f t="shared" si="113"/>
        <v>1</v>
      </c>
      <c r="DB246" s="166" t="b">
        <f t="shared" si="113"/>
        <v>1</v>
      </c>
      <c r="DC246" s="164">
        <f t="shared" si="114"/>
        <v>11</v>
      </c>
      <c r="DD246" s="166">
        <f t="shared" si="115"/>
        <v>833.38959490565617</v>
      </c>
      <c r="DE246" s="164">
        <f t="shared" si="116"/>
        <v>11</v>
      </c>
      <c r="DF246" s="166">
        <f t="shared" si="117"/>
        <v>981.21527415681373</v>
      </c>
      <c r="DG246" s="164">
        <f t="shared" si="118"/>
        <v>11</v>
      </c>
      <c r="DH246" s="166">
        <f t="shared" si="119"/>
        <v>1129.0409534079713</v>
      </c>
      <c r="DI246" s="164">
        <f>IFERROR(INDEX(DC$233:DC$281,_xlfn.AGGREGATE(15,6,(ROW(DC$233:DC$281)-ROW(DC$233)+1)/(DC$233:DC$281&lt;&gt;""),ROWS(DI$1:DI14))),"")</f>
        <v>11</v>
      </c>
      <c r="DJ246" s="165">
        <f>IFERROR(INDEX(DD$233:DD$281,_xlfn.AGGREGATE(15,6,(ROW(DD$233:DD$281)-ROW(DD$233)+1)/(DD$233:DD$281&lt;&gt;""),ROWS(DJ$1:DJ14))),"")</f>
        <v>833.38959490565617</v>
      </c>
      <c r="DK246" s="166">
        <f t="shared" si="120"/>
        <v>246</v>
      </c>
      <c r="DL246" s="164">
        <f>IFERROR(INDEX(DE$233:DE$281,_xlfn.AGGREGATE(15,6,(ROW(DE$233:DE$281)-ROW(DE$233)+1)/(DE$233:DE$281&lt;&gt;""),ROWS(DL$1:DL14))),"")</f>
        <v>11</v>
      </c>
      <c r="DM246" s="165">
        <f>IFERROR(INDEX(DF$233:DF$281,_xlfn.AGGREGATE(15,6,(ROW(DF$233:DF$281)-ROW(DF$233)+1)/(DF$233:DF$281&lt;&gt;""),ROWS(DM$1:DM14))),"")</f>
        <v>981.21527415681373</v>
      </c>
      <c r="DN246" s="166">
        <f t="shared" si="121"/>
        <v>246</v>
      </c>
      <c r="DO246" s="164">
        <f>IFERROR(INDEX(DG$233:DG$281,_xlfn.AGGREGATE(15,6,(ROW(DG$233:DG$281)-ROW(DG$233)+1)/(DG$233:DG$281&lt;&gt;""),ROWS(DO$1:DO14))),"")</f>
        <v>11</v>
      </c>
      <c r="DP246" s="165">
        <f>IFERROR(INDEX(DH$233:DH$281,_xlfn.AGGREGATE(15,6,(ROW(DH$233:DH$281)-ROW(DH$233)+1)/(DH$233:DH$281&lt;&gt;""),ROWS(DP$1:DP14))),"")</f>
        <v>1129.0409534079713</v>
      </c>
      <c r="DQ246" s="166">
        <f t="shared" si="122"/>
        <v>246</v>
      </c>
      <c r="DV246" s="145">
        <v>2028</v>
      </c>
      <c r="DW246" s="235">
        <f t="shared" ca="1" si="106"/>
        <v>1031.9456737845303</v>
      </c>
    </row>
    <row r="247" spans="1:135" ht="13.8" x14ac:dyDescent="0.45">
      <c r="B247" s="128">
        <v>2026</v>
      </c>
      <c r="C247" s="1047">
        <v>942.37283105022834</v>
      </c>
      <c r="D247" s="1050">
        <v>1205.3033878408166</v>
      </c>
      <c r="E247" s="1060"/>
      <c r="F247" s="1051"/>
      <c r="G247" s="1052"/>
      <c r="H247" s="1036"/>
      <c r="I247" s="1112">
        <v>841.33529411764721</v>
      </c>
      <c r="J247" s="247"/>
      <c r="K247" s="245"/>
      <c r="L247" s="246"/>
      <c r="M247" s="245"/>
      <c r="N247" s="29" t="s">
        <v>119</v>
      </c>
      <c r="O247" s="120"/>
      <c r="P247" s="120"/>
      <c r="Q247" s="120"/>
      <c r="R247" s="29">
        <v>12</v>
      </c>
      <c r="S247" s="238">
        <f t="shared" si="107"/>
        <v>841.33529411764721</v>
      </c>
      <c r="T247" s="238">
        <f t="shared" si="108"/>
        <v>1205.3033878408166</v>
      </c>
      <c r="U247" s="238">
        <f t="shared" si="109"/>
        <v>153.41079015074669</v>
      </c>
      <c r="W247" s="238">
        <f t="shared" si="110"/>
        <v>842.92638085215071</v>
      </c>
      <c r="X247" s="238">
        <f t="shared" si="111"/>
        <v>996.33717100289743</v>
      </c>
      <c r="Y247" s="238">
        <f t="shared" si="112"/>
        <v>1149.7479611536442</v>
      </c>
      <c r="AA247" s="1133">
        <v>942.37283105022937</v>
      </c>
      <c r="AB247" s="1133">
        <v>1073.8381094455226</v>
      </c>
      <c r="AC247" s="1133">
        <v>1205.3033878408157</v>
      </c>
      <c r="AD247" s="120"/>
      <c r="AE247" s="120"/>
      <c r="AF247" s="120"/>
      <c r="AG247" s="120"/>
      <c r="AH247" s="120"/>
      <c r="AI247" s="120"/>
      <c r="AJ247" s="120"/>
      <c r="AK247" s="120"/>
      <c r="AL247" s="120"/>
      <c r="AM247" s="120"/>
      <c r="AN247" s="120"/>
      <c r="BR247" s="180">
        <v>2024</v>
      </c>
      <c r="BS247" s="22">
        <v>10</v>
      </c>
      <c r="BT247" s="181">
        <f t="shared" si="123"/>
        <v>152.16869473233513</v>
      </c>
      <c r="BU247" s="182">
        <f t="shared" si="124"/>
        <v>795.07013205106455</v>
      </c>
      <c r="BV247" s="205">
        <f t="shared" si="125"/>
        <v>947.23882678339965</v>
      </c>
      <c r="BY247" s="180">
        <v>2024</v>
      </c>
      <c r="BZ247" s="22">
        <v>10</v>
      </c>
      <c r="CA247" s="181">
        <f t="shared" ca="1" si="126"/>
        <v>-14.487044397733104</v>
      </c>
      <c r="CB247" s="181">
        <f t="shared" ca="1" si="127"/>
        <v>211.56557676304092</v>
      </c>
      <c r="CC247" s="182">
        <f t="shared" ca="1" si="128"/>
        <v>759.72174372059567</v>
      </c>
      <c r="CD247" s="205">
        <f t="shared" ca="1" si="129"/>
        <v>956.80027608590353</v>
      </c>
      <c r="CG247" s="180">
        <v>2024</v>
      </c>
      <c r="CH247" s="22">
        <v>10</v>
      </c>
      <c r="CI247" s="181">
        <f t="shared" ca="1" si="130"/>
        <v>2.4782944884302576</v>
      </c>
      <c r="CJ247" s="181">
        <f t="shared" ca="1" si="131"/>
        <v>-29.72855550157923</v>
      </c>
      <c r="CK247" s="181">
        <f t="shared" ca="1" si="132"/>
        <v>234.95324185035736</v>
      </c>
      <c r="CL247" s="182">
        <f t="shared" ca="1" si="133"/>
        <v>754.47866390087256</v>
      </c>
      <c r="CM247" s="205">
        <f t="shared" ca="1" si="134"/>
        <v>962.18164473808088</v>
      </c>
      <c r="CP247" s="180">
        <v>2024</v>
      </c>
      <c r="CQ247" s="22">
        <v>10</v>
      </c>
      <c r="CR247" s="181">
        <f t="shared" ca="1" si="135"/>
        <v>810.12186311233324</v>
      </c>
      <c r="CS247" s="182">
        <f t="shared" ca="1" si="136"/>
        <v>1.1542258846014186</v>
      </c>
      <c r="CT247" s="205">
        <f t="shared" ca="1" si="137"/>
        <v>935.06362408578218</v>
      </c>
      <c r="CZ247" s="164" t="b">
        <f t="shared" si="113"/>
        <v>1</v>
      </c>
      <c r="DA247" s="165" t="b">
        <f t="shared" si="113"/>
        <v>1</v>
      </c>
      <c r="DB247" s="166" t="b">
        <f t="shared" si="113"/>
        <v>1</v>
      </c>
      <c r="DC247" s="164">
        <f t="shared" si="114"/>
        <v>12</v>
      </c>
      <c r="DD247" s="166">
        <f t="shared" si="115"/>
        <v>842.92638085215071</v>
      </c>
      <c r="DE247" s="164">
        <f t="shared" si="116"/>
        <v>12</v>
      </c>
      <c r="DF247" s="166">
        <f t="shared" si="117"/>
        <v>996.33717100289743</v>
      </c>
      <c r="DG247" s="164">
        <f t="shared" si="118"/>
        <v>12</v>
      </c>
      <c r="DH247" s="166">
        <f t="shared" si="119"/>
        <v>1149.7479611536442</v>
      </c>
      <c r="DI247" s="164">
        <f>IFERROR(INDEX(DC$233:DC$281,_xlfn.AGGREGATE(15,6,(ROW(DC$233:DC$281)-ROW(DC$233)+1)/(DC$233:DC$281&lt;&gt;""),ROWS(DI$1:DI15))),"")</f>
        <v>12</v>
      </c>
      <c r="DJ247" s="165">
        <f>IFERROR(INDEX(DD$233:DD$281,_xlfn.AGGREGATE(15,6,(ROW(DD$233:DD$281)-ROW(DD$233)+1)/(DD$233:DD$281&lt;&gt;""),ROWS(DJ$1:DJ15))),"")</f>
        <v>842.92638085215071</v>
      </c>
      <c r="DK247" s="166">
        <f t="shared" si="120"/>
        <v>247</v>
      </c>
      <c r="DL247" s="164">
        <f>IFERROR(INDEX(DE$233:DE$281,_xlfn.AGGREGATE(15,6,(ROW(DE$233:DE$281)-ROW(DE$233)+1)/(DE$233:DE$281&lt;&gt;""),ROWS(DL$1:DL15))),"")</f>
        <v>12</v>
      </c>
      <c r="DM247" s="165">
        <f>IFERROR(INDEX(DF$233:DF$281,_xlfn.AGGREGATE(15,6,(ROW(DF$233:DF$281)-ROW(DF$233)+1)/(DF$233:DF$281&lt;&gt;""),ROWS(DM$1:DM15))),"")</f>
        <v>996.33717100289743</v>
      </c>
      <c r="DN247" s="166">
        <f t="shared" si="121"/>
        <v>247</v>
      </c>
      <c r="DO247" s="164">
        <f>IFERROR(INDEX(DG$233:DG$281,_xlfn.AGGREGATE(15,6,(ROW(DG$233:DG$281)-ROW(DG$233)+1)/(DG$233:DG$281&lt;&gt;""),ROWS(DO$1:DO15))),"")</f>
        <v>12</v>
      </c>
      <c r="DP247" s="165">
        <f>IFERROR(INDEX(DH$233:DH$281,_xlfn.AGGREGATE(15,6,(ROW(DH$233:DH$281)-ROW(DH$233)+1)/(DH$233:DH$281&lt;&gt;""),ROWS(DP$1:DP15))),"")</f>
        <v>1149.7479611536442</v>
      </c>
      <c r="DQ247" s="166">
        <f t="shared" si="122"/>
        <v>247</v>
      </c>
      <c r="DV247" s="145">
        <v>2029</v>
      </c>
      <c r="DW247" s="235">
        <f t="shared" ca="1" si="106"/>
        <v>1048.3835206963074</v>
      </c>
      <c r="EA247" s="55"/>
      <c r="EB247" s="55"/>
      <c r="EC247" s="55"/>
      <c r="ED247" s="55"/>
      <c r="EE247" s="55"/>
    </row>
    <row r="248" spans="1:135" ht="13.8" x14ac:dyDescent="0.45">
      <c r="B248" s="128">
        <v>2027</v>
      </c>
      <c r="C248" s="1047">
        <v>958.62180365296808</v>
      </c>
      <c r="D248" s="1050">
        <v>1231.8039985565115</v>
      </c>
      <c r="E248" s="1060"/>
      <c r="F248" s="1051"/>
      <c r="G248" s="1052"/>
      <c r="H248" s="1036"/>
      <c r="I248" s="1112">
        <v>848.55882352941182</v>
      </c>
      <c r="J248" s="247"/>
      <c r="K248" s="245"/>
      <c r="L248" s="246"/>
      <c r="M248" s="245"/>
      <c r="N248" s="29" t="s">
        <v>119</v>
      </c>
      <c r="O248" s="120"/>
      <c r="P248" s="120"/>
      <c r="Q248" s="120"/>
      <c r="R248" s="29">
        <v>13</v>
      </c>
      <c r="S248" s="238">
        <f t="shared" si="107"/>
        <v>848.55882352941182</v>
      </c>
      <c r="T248" s="238">
        <f t="shared" si="108"/>
        <v>1231.8039985565115</v>
      </c>
      <c r="U248" s="238">
        <f t="shared" si="109"/>
        <v>161.11391256138856</v>
      </c>
      <c r="W248" s="238">
        <f t="shared" si="110"/>
        <v>851.88096268490847</v>
      </c>
      <c r="X248" s="238">
        <f t="shared" si="111"/>
        <v>1012.9948752462971</v>
      </c>
      <c r="Y248" s="238">
        <f t="shared" si="112"/>
        <v>1174.1087878076855</v>
      </c>
      <c r="AA248" s="1133">
        <v>958.62180365296808</v>
      </c>
      <c r="AB248" s="1133">
        <v>1095.2129011047398</v>
      </c>
      <c r="AC248" s="1133">
        <v>1231.8039985565115</v>
      </c>
      <c r="AD248" s="89"/>
      <c r="AE248" s="89"/>
      <c r="AF248" s="89"/>
      <c r="AG248" s="89"/>
      <c r="AH248" s="89"/>
      <c r="AI248" s="89"/>
      <c r="AJ248" s="89"/>
      <c r="AK248" s="89"/>
      <c r="AL248" s="89"/>
      <c r="AM248" s="89"/>
      <c r="AN248" s="89"/>
      <c r="BR248" s="180">
        <v>2025</v>
      </c>
      <c r="BS248" s="22">
        <v>11</v>
      </c>
      <c r="BT248" s="181">
        <f t="shared" si="123"/>
        <v>167.38556420556864</v>
      </c>
      <c r="BU248" s="182">
        <f t="shared" si="124"/>
        <v>795.07013205106455</v>
      </c>
      <c r="BV248" s="205">
        <f t="shared" si="125"/>
        <v>962.45569625663325</v>
      </c>
      <c r="BY248" s="180">
        <v>2025</v>
      </c>
      <c r="BZ248" s="22">
        <v>11</v>
      </c>
      <c r="CA248" s="181">
        <f t="shared" ca="1" si="126"/>
        <v>-17.529323721257054</v>
      </c>
      <c r="CB248" s="181">
        <f t="shared" ca="1" si="127"/>
        <v>232.72213443934501</v>
      </c>
      <c r="CC248" s="182">
        <f t="shared" ca="1" si="128"/>
        <v>759.72174372059567</v>
      </c>
      <c r="CD248" s="205">
        <f t="shared" ca="1" si="129"/>
        <v>974.91455443868358</v>
      </c>
      <c r="CG248" s="180">
        <v>2025</v>
      </c>
      <c r="CH248" s="22">
        <v>11</v>
      </c>
      <c r="CI248" s="181">
        <f t="shared" ca="1" si="130"/>
        <v>3.2986099641006725</v>
      </c>
      <c r="CJ248" s="181">
        <f t="shared" ca="1" si="131"/>
        <v>-35.971552156910867</v>
      </c>
      <c r="CK248" s="181">
        <f t="shared" ca="1" si="132"/>
        <v>258.44856603539307</v>
      </c>
      <c r="CL248" s="182">
        <f t="shared" ca="1" si="133"/>
        <v>754.47866390087256</v>
      </c>
      <c r="CM248" s="205">
        <f t="shared" ca="1" si="134"/>
        <v>980.25428774345551</v>
      </c>
      <c r="CP248" s="180">
        <v>2025</v>
      </c>
      <c r="CQ248" s="22">
        <v>11</v>
      </c>
      <c r="CR248" s="181">
        <f t="shared" ca="1" si="135"/>
        <v>810.12186311233324</v>
      </c>
      <c r="CS248" s="182">
        <f t="shared" ca="1" si="136"/>
        <v>1.1709002278140841</v>
      </c>
      <c r="CT248" s="205">
        <f t="shared" ca="1" si="137"/>
        <v>948.5718740754013</v>
      </c>
      <c r="CZ248" s="164" t="b">
        <f t="shared" si="113"/>
        <v>1</v>
      </c>
      <c r="DA248" s="165" t="b">
        <f t="shared" si="113"/>
        <v>1</v>
      </c>
      <c r="DB248" s="166" t="b">
        <f t="shared" si="113"/>
        <v>1</v>
      </c>
      <c r="DC248" s="164">
        <f t="shared" si="114"/>
        <v>13</v>
      </c>
      <c r="DD248" s="166">
        <f t="shared" si="115"/>
        <v>851.88096268490847</v>
      </c>
      <c r="DE248" s="164">
        <f t="shared" si="116"/>
        <v>13</v>
      </c>
      <c r="DF248" s="166">
        <f t="shared" si="117"/>
        <v>1012.9948752462971</v>
      </c>
      <c r="DG248" s="164">
        <f t="shared" si="118"/>
        <v>13</v>
      </c>
      <c r="DH248" s="166">
        <f t="shared" si="119"/>
        <v>1174.1087878076855</v>
      </c>
      <c r="DI248" s="164">
        <f>IFERROR(INDEX(DC$233:DC$281,_xlfn.AGGREGATE(15,6,(ROW(DC$233:DC$281)-ROW(DC$233)+1)/(DC$233:DC$281&lt;&gt;""),ROWS(DI$1:DI16))),"")</f>
        <v>13</v>
      </c>
      <c r="DJ248" s="165">
        <f>IFERROR(INDEX(DD$233:DD$281,_xlfn.AGGREGATE(15,6,(ROW(DD$233:DD$281)-ROW(DD$233)+1)/(DD$233:DD$281&lt;&gt;""),ROWS(DJ$1:DJ16))),"")</f>
        <v>851.88096268490847</v>
      </c>
      <c r="DK248" s="166">
        <f t="shared" si="120"/>
        <v>248</v>
      </c>
      <c r="DL248" s="164">
        <f>IFERROR(INDEX(DE$233:DE$281,_xlfn.AGGREGATE(15,6,(ROW(DE$233:DE$281)-ROW(DE$233)+1)/(DE$233:DE$281&lt;&gt;""),ROWS(DL$1:DL16))),"")</f>
        <v>13</v>
      </c>
      <c r="DM248" s="165">
        <f>IFERROR(INDEX(DF$233:DF$281,_xlfn.AGGREGATE(15,6,(ROW(DF$233:DF$281)-ROW(DF$233)+1)/(DF$233:DF$281&lt;&gt;""),ROWS(DM$1:DM16))),"")</f>
        <v>1012.9948752462971</v>
      </c>
      <c r="DN248" s="166">
        <f t="shared" si="121"/>
        <v>248</v>
      </c>
      <c r="DO248" s="164">
        <f>IFERROR(INDEX(DG$233:DG$281,_xlfn.AGGREGATE(15,6,(ROW(DG$233:DG$281)-ROW(DG$233)+1)/(DG$233:DG$281&lt;&gt;""),ROWS(DO$1:DO16))),"")</f>
        <v>13</v>
      </c>
      <c r="DP248" s="165">
        <f>IFERROR(INDEX(DH$233:DH$281,_xlfn.AGGREGATE(15,6,(ROW(DH$233:DH$281)-ROW(DH$233)+1)/(DH$233:DH$281&lt;&gt;""),ROWS(DP$1:DP16))),"")</f>
        <v>1174.1087878076855</v>
      </c>
      <c r="DQ248" s="166">
        <f t="shared" si="122"/>
        <v>248</v>
      </c>
      <c r="DV248" s="145">
        <v>2030</v>
      </c>
      <c r="DW248" s="235">
        <f t="shared" ca="1" si="106"/>
        <v>1064.4498430020117</v>
      </c>
    </row>
    <row r="249" spans="1:135" ht="13.8" x14ac:dyDescent="0.45">
      <c r="A249" s="208" t="str">
        <f>$A$62</f>
        <v>Base Cases</v>
      </c>
      <c r="B249" s="128">
        <v>2028</v>
      </c>
      <c r="C249" s="1047">
        <v>974.87077625570782</v>
      </c>
      <c r="D249" s="1050">
        <v>1257.7244277350524</v>
      </c>
      <c r="E249" s="1060"/>
      <c r="F249" s="1051"/>
      <c r="G249" s="1052"/>
      <c r="H249" s="1036"/>
      <c r="I249" s="1112">
        <v>855.78235294117655</v>
      </c>
      <c r="J249" s="247"/>
      <c r="K249" s="245"/>
      <c r="L249" s="246"/>
      <c r="M249" s="245"/>
      <c r="N249" s="29" t="s">
        <v>119</v>
      </c>
      <c r="O249" s="120"/>
      <c r="P249" s="120"/>
      <c r="Q249" s="120"/>
      <c r="R249" s="29">
        <v>14</v>
      </c>
      <c r="S249" s="238">
        <f t="shared" si="107"/>
        <v>855.78235294117655</v>
      </c>
      <c r="T249" s="238">
        <f t="shared" si="108"/>
        <v>1257.7244277350524</v>
      </c>
      <c r="U249" s="238">
        <f t="shared" si="109"/>
        <v>168.57101115367232</v>
      </c>
      <c r="W249" s="238">
        <f t="shared" si="110"/>
        <v>860.88817449030671</v>
      </c>
      <c r="X249" s="238">
        <f t="shared" si="111"/>
        <v>1029.459185643979</v>
      </c>
      <c r="Y249" s="238">
        <f t="shared" si="112"/>
        <v>1198.0301967976513</v>
      </c>
      <c r="AA249" s="1133">
        <v>974.87077625570782</v>
      </c>
      <c r="AB249" s="1133">
        <v>1116.2976019953801</v>
      </c>
      <c r="AC249" s="1133">
        <v>1257.7244277350524</v>
      </c>
      <c r="AD249" s="114"/>
      <c r="AE249" s="114"/>
      <c r="AF249" s="114"/>
      <c r="AG249" s="114"/>
      <c r="AH249" s="114"/>
      <c r="AI249" s="114"/>
      <c r="AJ249" s="114"/>
      <c r="AK249" s="114"/>
      <c r="AL249" s="114"/>
      <c r="AM249" s="114"/>
      <c r="AN249" s="114"/>
      <c r="BR249" s="180">
        <v>2026</v>
      </c>
      <c r="BS249" s="22">
        <v>12</v>
      </c>
      <c r="BT249" s="181">
        <f t="shared" si="123"/>
        <v>182.60243367880216</v>
      </c>
      <c r="BU249" s="182">
        <f t="shared" si="124"/>
        <v>795.07013205106455</v>
      </c>
      <c r="BV249" s="205">
        <f t="shared" si="125"/>
        <v>977.67256572986673</v>
      </c>
      <c r="BY249" s="180">
        <v>2026</v>
      </c>
      <c r="BZ249" s="22">
        <v>12</v>
      </c>
      <c r="CA249" s="181">
        <f t="shared" ca="1" si="126"/>
        <v>-20.861343932735668</v>
      </c>
      <c r="CB249" s="181">
        <f t="shared" ca="1" si="127"/>
        <v>253.87869211564913</v>
      </c>
      <c r="CC249" s="182">
        <f t="shared" ca="1" si="128"/>
        <v>759.72174372059567</v>
      </c>
      <c r="CD249" s="205">
        <f t="shared" ca="1" si="129"/>
        <v>992.73909190350912</v>
      </c>
      <c r="CG249" s="180">
        <v>2026</v>
      </c>
      <c r="CH249" s="22">
        <v>12</v>
      </c>
      <c r="CI249" s="181">
        <f t="shared" ca="1" si="130"/>
        <v>4.2824928760074847</v>
      </c>
      <c r="CJ249" s="181">
        <f t="shared" ca="1" si="131"/>
        <v>-42.809119922274093</v>
      </c>
      <c r="CK249" s="181">
        <f t="shared" ca="1" si="132"/>
        <v>281.94389022042878</v>
      </c>
      <c r="CL249" s="182">
        <f t="shared" ca="1" si="133"/>
        <v>754.47866390087256</v>
      </c>
      <c r="CM249" s="205">
        <f t="shared" ca="1" si="134"/>
        <v>997.89592707503471</v>
      </c>
      <c r="CP249" s="180">
        <v>2026</v>
      </c>
      <c r="CQ249" s="22">
        <v>12</v>
      </c>
      <c r="CR249" s="181">
        <f t="shared" ca="1" si="135"/>
        <v>810.12186311233324</v>
      </c>
      <c r="CS249" s="182">
        <f t="shared" ca="1" si="136"/>
        <v>1.1878154543107611</v>
      </c>
      <c r="CT249" s="205">
        <f t="shared" ca="1" si="137"/>
        <v>962.2752688798563</v>
      </c>
      <c r="CZ249" s="164" t="b">
        <f t="shared" si="113"/>
        <v>1</v>
      </c>
      <c r="DA249" s="165" t="b">
        <f t="shared" si="113"/>
        <v>1</v>
      </c>
      <c r="DB249" s="166" t="b">
        <f t="shared" si="113"/>
        <v>1</v>
      </c>
      <c r="DC249" s="164">
        <f t="shared" si="114"/>
        <v>14</v>
      </c>
      <c r="DD249" s="166">
        <f t="shared" si="115"/>
        <v>860.88817449030671</v>
      </c>
      <c r="DE249" s="164">
        <f t="shared" si="116"/>
        <v>14</v>
      </c>
      <c r="DF249" s="166">
        <f t="shared" si="117"/>
        <v>1029.459185643979</v>
      </c>
      <c r="DG249" s="164">
        <f t="shared" si="118"/>
        <v>14</v>
      </c>
      <c r="DH249" s="166">
        <f t="shared" si="119"/>
        <v>1198.0301967976513</v>
      </c>
      <c r="DI249" s="164">
        <f>IFERROR(INDEX(DC$233:DC$281,_xlfn.AGGREGATE(15,6,(ROW(DC$233:DC$281)-ROW(DC$233)+1)/(DC$233:DC$281&lt;&gt;""),ROWS(DI$1:DI17))),"")</f>
        <v>14</v>
      </c>
      <c r="DJ249" s="165">
        <f>IFERROR(INDEX(DD$233:DD$281,_xlfn.AGGREGATE(15,6,(ROW(DD$233:DD$281)-ROW(DD$233)+1)/(DD$233:DD$281&lt;&gt;""),ROWS(DJ$1:DJ17))),"")</f>
        <v>860.88817449030671</v>
      </c>
      <c r="DK249" s="166">
        <f t="shared" si="120"/>
        <v>249</v>
      </c>
      <c r="DL249" s="164">
        <f>IFERROR(INDEX(DE$233:DE$281,_xlfn.AGGREGATE(15,6,(ROW(DE$233:DE$281)-ROW(DE$233)+1)/(DE$233:DE$281&lt;&gt;""),ROWS(DL$1:DL17))),"")</f>
        <v>14</v>
      </c>
      <c r="DM249" s="165">
        <f>IFERROR(INDEX(DF$233:DF$281,_xlfn.AGGREGATE(15,6,(ROW(DF$233:DF$281)-ROW(DF$233)+1)/(DF$233:DF$281&lt;&gt;""),ROWS(DM$1:DM17))),"")</f>
        <v>1029.459185643979</v>
      </c>
      <c r="DN249" s="166">
        <f t="shared" si="121"/>
        <v>249</v>
      </c>
      <c r="DO249" s="164">
        <f>IFERROR(INDEX(DG$233:DG$281,_xlfn.AGGREGATE(15,6,(ROW(DG$233:DG$281)-ROW(DG$233)+1)/(DG$233:DG$281&lt;&gt;""),ROWS(DO$1:DO17))),"")</f>
        <v>14</v>
      </c>
      <c r="DP249" s="165">
        <f>IFERROR(INDEX(DH$233:DH$281,_xlfn.AGGREGATE(15,6,(ROW(DH$233:DH$281)-ROW(DH$233)+1)/(DH$233:DH$281&lt;&gt;""),ROWS(DP$1:DP17))),"")</f>
        <v>1198.0301967976513</v>
      </c>
      <c r="DQ249" s="166">
        <f t="shared" si="122"/>
        <v>249</v>
      </c>
      <c r="DV249" s="145">
        <v>2031</v>
      </c>
      <c r="DW249" s="235">
        <f t="shared" ca="1" si="106"/>
        <v>1080.1595104685739</v>
      </c>
    </row>
    <row r="250" spans="1:135" ht="13.8" x14ac:dyDescent="0.45">
      <c r="A250" s="209" t="str">
        <f>$A$63</f>
        <v>Conservative Cases</v>
      </c>
      <c r="B250" s="128">
        <v>2029</v>
      </c>
      <c r="C250" s="1047">
        <v>991.11974885844756</v>
      </c>
      <c r="D250" s="1050">
        <v>1283.074314579834</v>
      </c>
      <c r="E250" s="1060"/>
      <c r="F250" s="1051"/>
      <c r="G250" s="1052"/>
      <c r="H250" s="1036"/>
      <c r="I250" s="1112">
        <v>863.00588235294128</v>
      </c>
      <c r="J250" s="247"/>
      <c r="K250" s="245"/>
      <c r="L250" s="246"/>
      <c r="M250" s="245"/>
      <c r="N250" s="29" t="s">
        <v>119</v>
      </c>
      <c r="O250" s="120"/>
      <c r="P250" s="120"/>
      <c r="Q250" s="120"/>
      <c r="R250" s="29">
        <v>15</v>
      </c>
      <c r="S250" s="238">
        <f t="shared" si="107"/>
        <v>863.00588235294128</v>
      </c>
      <c r="T250" s="238">
        <f t="shared" si="108"/>
        <v>1283.074314579834</v>
      </c>
      <c r="U250" s="238">
        <f t="shared" si="109"/>
        <v>175.78652425602041</v>
      </c>
      <c r="W250" s="238">
        <f t="shared" si="110"/>
        <v>869.94679100772055</v>
      </c>
      <c r="X250" s="238">
        <f t="shared" si="111"/>
        <v>1045.7333152637409</v>
      </c>
      <c r="Y250" s="238">
        <f t="shared" si="112"/>
        <v>1221.5198395197613</v>
      </c>
      <c r="AA250" s="1133">
        <v>991.11974885844893</v>
      </c>
      <c r="AB250" s="1133">
        <v>1137.0970317191409</v>
      </c>
      <c r="AC250" s="1133">
        <v>1283.0743145798328</v>
      </c>
      <c r="AD250" s="89"/>
      <c r="AE250" s="89"/>
      <c r="AF250" s="89"/>
      <c r="AG250" s="89"/>
      <c r="AH250" s="89"/>
      <c r="AI250" s="89"/>
      <c r="AJ250" s="89"/>
      <c r="AK250" s="89"/>
      <c r="AL250" s="89"/>
      <c r="AM250" s="89"/>
      <c r="AN250" s="89"/>
      <c r="BR250" s="180">
        <v>2027</v>
      </c>
      <c r="BS250" s="22">
        <v>13</v>
      </c>
      <c r="BT250" s="181">
        <f t="shared" si="123"/>
        <v>197.81930315203567</v>
      </c>
      <c r="BU250" s="182">
        <f t="shared" si="124"/>
        <v>795.07013205106455</v>
      </c>
      <c r="BV250" s="205">
        <f t="shared" si="125"/>
        <v>992.88943520310022</v>
      </c>
      <c r="BY250" s="180">
        <v>2027</v>
      </c>
      <c r="BZ250" s="22">
        <v>13</v>
      </c>
      <c r="CA250" s="181">
        <f t="shared" ca="1" si="126"/>
        <v>-24.483105032168947</v>
      </c>
      <c r="CB250" s="181">
        <f t="shared" ca="1" si="127"/>
        <v>275.03524979195322</v>
      </c>
      <c r="CC250" s="182">
        <f t="shared" ca="1" si="128"/>
        <v>759.72174372059567</v>
      </c>
      <c r="CD250" s="205">
        <f t="shared" ca="1" si="129"/>
        <v>1010.2738884803799</v>
      </c>
      <c r="CG250" s="180">
        <v>2027</v>
      </c>
      <c r="CH250" s="22">
        <v>13</v>
      </c>
      <c r="CI250" s="181">
        <f t="shared" ca="1" si="130"/>
        <v>5.4448129910812755</v>
      </c>
      <c r="CJ250" s="181">
        <f t="shared" ca="1" si="131"/>
        <v>-50.241258797668898</v>
      </c>
      <c r="CK250" s="181">
        <f t="shared" ca="1" si="132"/>
        <v>305.43921440546455</v>
      </c>
      <c r="CL250" s="182">
        <f t="shared" ca="1" si="133"/>
        <v>754.47866390087256</v>
      </c>
      <c r="CM250" s="205">
        <f t="shared" ca="1" si="134"/>
        <v>1015.1214324997495</v>
      </c>
      <c r="CP250" s="180">
        <v>2027</v>
      </c>
      <c r="CQ250" s="22">
        <v>13</v>
      </c>
      <c r="CR250" s="181">
        <f t="shared" ca="1" si="135"/>
        <v>810.12186311233324</v>
      </c>
      <c r="CS250" s="182">
        <f t="shared" ca="1" si="136"/>
        <v>1.2049750439740317</v>
      </c>
      <c r="CT250" s="205">
        <f t="shared" ca="1" si="137"/>
        <v>976.17662762810824</v>
      </c>
      <c r="CZ250" s="164" t="b">
        <f t="shared" si="113"/>
        <v>1</v>
      </c>
      <c r="DA250" s="165" t="b">
        <f t="shared" si="113"/>
        <v>1</v>
      </c>
      <c r="DB250" s="166" t="b">
        <f t="shared" si="113"/>
        <v>1</v>
      </c>
      <c r="DC250" s="164">
        <f t="shared" si="114"/>
        <v>15</v>
      </c>
      <c r="DD250" s="166">
        <f t="shared" si="115"/>
        <v>869.94679100772055</v>
      </c>
      <c r="DE250" s="164">
        <f t="shared" si="116"/>
        <v>15</v>
      </c>
      <c r="DF250" s="166">
        <f t="shared" si="117"/>
        <v>1045.7333152637409</v>
      </c>
      <c r="DG250" s="164">
        <f t="shared" si="118"/>
        <v>15</v>
      </c>
      <c r="DH250" s="166">
        <f t="shared" si="119"/>
        <v>1221.5198395197613</v>
      </c>
      <c r="DI250" s="164">
        <f>IFERROR(INDEX(DC$233:DC$281,_xlfn.AGGREGATE(15,6,(ROW(DC$233:DC$281)-ROW(DC$233)+1)/(DC$233:DC$281&lt;&gt;""),ROWS(DI$1:DI18))),"")</f>
        <v>15</v>
      </c>
      <c r="DJ250" s="165">
        <f>IFERROR(INDEX(DD$233:DD$281,_xlfn.AGGREGATE(15,6,(ROW(DD$233:DD$281)-ROW(DD$233)+1)/(DD$233:DD$281&lt;&gt;""),ROWS(DJ$1:DJ18))),"")</f>
        <v>869.94679100772055</v>
      </c>
      <c r="DK250" s="166">
        <f t="shared" si="120"/>
        <v>250</v>
      </c>
      <c r="DL250" s="164">
        <f>IFERROR(INDEX(DE$233:DE$281,_xlfn.AGGREGATE(15,6,(ROW(DE$233:DE$281)-ROW(DE$233)+1)/(DE$233:DE$281&lt;&gt;""),ROWS(DL$1:DL18))),"")</f>
        <v>15</v>
      </c>
      <c r="DM250" s="165">
        <f>IFERROR(INDEX(DF$233:DF$281,_xlfn.AGGREGATE(15,6,(ROW(DF$233:DF$281)-ROW(DF$233)+1)/(DF$233:DF$281&lt;&gt;""),ROWS(DM$1:DM18))),"")</f>
        <v>1045.7333152637409</v>
      </c>
      <c r="DN250" s="166">
        <f t="shared" si="121"/>
        <v>250</v>
      </c>
      <c r="DO250" s="164">
        <f>IFERROR(INDEX(DG$233:DG$281,_xlfn.AGGREGATE(15,6,(ROW(DG$233:DG$281)-ROW(DG$233)+1)/(DG$233:DG$281&lt;&gt;""),ROWS(DO$1:DO18))),"")</f>
        <v>15</v>
      </c>
      <c r="DP250" s="165">
        <f>IFERROR(INDEX(DH$233:DH$281,_xlfn.AGGREGATE(15,6,(ROW(DH$233:DH$281)-ROW(DH$233)+1)/(DH$233:DH$281&lt;&gt;""),ROWS(DP$1:DP18))),"")</f>
        <v>1221.5198395197613</v>
      </c>
      <c r="DQ250" s="166">
        <f t="shared" si="122"/>
        <v>250</v>
      </c>
      <c r="DV250" s="145">
        <v>2032</v>
      </c>
      <c r="DW250" s="235">
        <f t="shared" ca="1" si="106"/>
        <v>1095.5273928629244</v>
      </c>
    </row>
    <row r="251" spans="1:135" ht="13.8" x14ac:dyDescent="0.45">
      <c r="A251" s="210" t="str">
        <f>$A$64</f>
        <v>Ambitious Cases</v>
      </c>
      <c r="B251" s="128">
        <v>2030</v>
      </c>
      <c r="C251" s="1047">
        <v>1007.3687214611873</v>
      </c>
      <c r="D251" s="1050">
        <v>1311.7946664500628</v>
      </c>
      <c r="E251" s="1060"/>
      <c r="F251" s="1051"/>
      <c r="G251" s="1052"/>
      <c r="H251" s="1036"/>
      <c r="I251" s="1112">
        <v>870.22941176470601</v>
      </c>
      <c r="J251" s="247"/>
      <c r="K251" s="245"/>
      <c r="L251" s="246"/>
      <c r="M251" s="245"/>
      <c r="N251" s="29" t="s">
        <v>119</v>
      </c>
      <c r="O251" s="120"/>
      <c r="P251" s="120"/>
      <c r="Q251" s="120"/>
      <c r="R251" s="29">
        <v>16</v>
      </c>
      <c r="S251" s="238">
        <f t="shared" si="107"/>
        <v>870.22941176470601</v>
      </c>
      <c r="T251" s="238">
        <f t="shared" si="108"/>
        <v>1311.7946664500628</v>
      </c>
      <c r="U251" s="238">
        <f t="shared" si="109"/>
        <v>184.5301000414419</v>
      </c>
      <c r="W251" s="238">
        <f t="shared" si="110"/>
        <v>878.60083318387694</v>
      </c>
      <c r="X251" s="238">
        <f t="shared" si="111"/>
        <v>1063.1309332253188</v>
      </c>
      <c r="Y251" s="238">
        <f t="shared" si="112"/>
        <v>1247.6610332667608</v>
      </c>
      <c r="AA251" s="1133">
        <v>1007.3687214611875</v>
      </c>
      <c r="AB251" s="1133">
        <v>1159.581693955625</v>
      </c>
      <c r="AC251" s="1133">
        <v>1311.7946664500626</v>
      </c>
      <c r="AD251" s="89"/>
      <c r="AE251" s="89"/>
      <c r="AF251" s="89"/>
      <c r="AG251" s="89"/>
      <c r="AH251" s="89"/>
      <c r="AI251" s="89"/>
      <c r="AJ251" s="89"/>
      <c r="AK251" s="89"/>
      <c r="AL251" s="89"/>
      <c r="AM251" s="89"/>
      <c r="AN251" s="89"/>
      <c r="BR251" s="180">
        <v>2028</v>
      </c>
      <c r="BS251" s="22">
        <v>14</v>
      </c>
      <c r="BT251" s="181">
        <f t="shared" si="123"/>
        <v>213.03617262526919</v>
      </c>
      <c r="BU251" s="182">
        <f t="shared" si="124"/>
        <v>795.07013205106455</v>
      </c>
      <c r="BV251" s="205">
        <f t="shared" si="125"/>
        <v>1008.1063046763337</v>
      </c>
      <c r="BY251" s="180">
        <v>2028</v>
      </c>
      <c r="BZ251" s="22">
        <v>14</v>
      </c>
      <c r="CA251" s="181">
        <f t="shared" ca="1" si="126"/>
        <v>-28.394607019556883</v>
      </c>
      <c r="CB251" s="181">
        <f t="shared" ca="1" si="127"/>
        <v>296.19180746825731</v>
      </c>
      <c r="CC251" s="182">
        <f t="shared" ca="1" si="128"/>
        <v>759.72174372059567</v>
      </c>
      <c r="CD251" s="205">
        <f t="shared" ca="1" si="129"/>
        <v>1027.518944169296</v>
      </c>
      <c r="CG251" s="180">
        <v>2028</v>
      </c>
      <c r="CH251" s="22">
        <v>14</v>
      </c>
      <c r="CI251" s="181">
        <f t="shared" ca="1" si="130"/>
        <v>6.8004400762526265</v>
      </c>
      <c r="CJ251" s="181">
        <f t="shared" ca="1" si="131"/>
        <v>-58.267968783095291</v>
      </c>
      <c r="CK251" s="181">
        <f t="shared" ca="1" si="132"/>
        <v>328.93453859050027</v>
      </c>
      <c r="CL251" s="182">
        <f t="shared" ca="1" si="133"/>
        <v>754.47866390087256</v>
      </c>
      <c r="CM251" s="205">
        <f t="shared" ca="1" si="134"/>
        <v>1031.9456737845303</v>
      </c>
      <c r="CP251" s="180">
        <v>2028</v>
      </c>
      <c r="CQ251" s="22">
        <v>14</v>
      </c>
      <c r="CR251" s="181">
        <f t="shared" ca="1" si="135"/>
        <v>810.12186311233324</v>
      </c>
      <c r="CS251" s="182">
        <f t="shared" ca="1" si="136"/>
        <v>1.2223825269580562</v>
      </c>
      <c r="CT251" s="205">
        <f t="shared" ca="1" si="137"/>
        <v>990.27881017522236</v>
      </c>
      <c r="CZ251" s="164" t="b">
        <f t="shared" si="113"/>
        <v>1</v>
      </c>
      <c r="DA251" s="165" t="b">
        <f t="shared" si="113"/>
        <v>1</v>
      </c>
      <c r="DB251" s="166" t="b">
        <f t="shared" si="113"/>
        <v>1</v>
      </c>
      <c r="DC251" s="164">
        <f t="shared" si="114"/>
        <v>16</v>
      </c>
      <c r="DD251" s="166">
        <f t="shared" si="115"/>
        <v>878.60083318387694</v>
      </c>
      <c r="DE251" s="164">
        <f t="shared" si="116"/>
        <v>16</v>
      </c>
      <c r="DF251" s="166">
        <f t="shared" si="117"/>
        <v>1063.1309332253188</v>
      </c>
      <c r="DG251" s="164">
        <f t="shared" si="118"/>
        <v>16</v>
      </c>
      <c r="DH251" s="166">
        <f t="shared" si="119"/>
        <v>1247.6610332667608</v>
      </c>
      <c r="DI251" s="164">
        <f>IFERROR(INDEX(DC$233:DC$281,_xlfn.AGGREGATE(15,6,(ROW(DC$233:DC$281)-ROW(DC$233)+1)/(DC$233:DC$281&lt;&gt;""),ROWS(DI$1:DI19))),"")</f>
        <v>16</v>
      </c>
      <c r="DJ251" s="165">
        <f>IFERROR(INDEX(DD$233:DD$281,_xlfn.AGGREGATE(15,6,(ROW(DD$233:DD$281)-ROW(DD$233)+1)/(DD$233:DD$281&lt;&gt;""),ROWS(DJ$1:DJ19))),"")</f>
        <v>878.60083318387694</v>
      </c>
      <c r="DK251" s="166">
        <f t="shared" si="120"/>
        <v>251</v>
      </c>
      <c r="DL251" s="164">
        <f>IFERROR(INDEX(DE$233:DE$281,_xlfn.AGGREGATE(15,6,(ROW(DE$233:DE$281)-ROW(DE$233)+1)/(DE$233:DE$281&lt;&gt;""),ROWS(DL$1:DL19))),"")</f>
        <v>16</v>
      </c>
      <c r="DM251" s="165">
        <f>IFERROR(INDEX(DF$233:DF$281,_xlfn.AGGREGATE(15,6,(ROW(DF$233:DF$281)-ROW(DF$233)+1)/(DF$233:DF$281&lt;&gt;""),ROWS(DM$1:DM19))),"")</f>
        <v>1063.1309332253188</v>
      </c>
      <c r="DN251" s="166">
        <f t="shared" si="121"/>
        <v>251</v>
      </c>
      <c r="DO251" s="164">
        <f>IFERROR(INDEX(DG$233:DG$281,_xlfn.AGGREGATE(15,6,(ROW(DG$233:DG$281)-ROW(DG$233)+1)/(DG$233:DG$281&lt;&gt;""),ROWS(DO$1:DO19))),"")</f>
        <v>16</v>
      </c>
      <c r="DP251" s="165">
        <f>IFERROR(INDEX(DH$233:DH$281,_xlfn.AGGREGATE(15,6,(ROW(DH$233:DH$281)-ROW(DH$233)+1)/(DH$233:DH$281&lt;&gt;""),ROWS(DP$1:DP19))),"")</f>
        <v>1247.6610332667608</v>
      </c>
      <c r="DQ251" s="166">
        <f t="shared" si="122"/>
        <v>251</v>
      </c>
      <c r="DV251" s="145">
        <v>2033</v>
      </c>
      <c r="DW251" s="235">
        <f t="shared" ca="1" si="106"/>
        <v>1110.5683599519937</v>
      </c>
    </row>
    <row r="252" spans="1:135" ht="13.8" x14ac:dyDescent="0.45">
      <c r="A252" s="211" t="str">
        <f>$A$65</f>
        <v>Maximum Cases</v>
      </c>
      <c r="B252" s="128">
        <v>2031</v>
      </c>
      <c r="C252" s="1047">
        <v>1023.617694063927</v>
      </c>
      <c r="D252" s="1050">
        <v>1332.1089934814472</v>
      </c>
      <c r="E252" s="1060"/>
      <c r="F252" s="1051"/>
      <c r="G252" s="1052"/>
      <c r="H252" s="1036"/>
      <c r="I252" s="1112">
        <v>877.45294117647063</v>
      </c>
      <c r="J252" s="247"/>
      <c r="K252" s="245"/>
      <c r="L252" s="246"/>
      <c r="M252" s="245"/>
      <c r="N252" s="29" t="s">
        <v>119</v>
      </c>
      <c r="O252" s="120"/>
      <c r="P252" s="120"/>
      <c r="Q252" s="120"/>
      <c r="R252" s="29">
        <v>17</v>
      </c>
      <c r="S252" s="238">
        <f t="shared" si="107"/>
        <v>877.45294117647063</v>
      </c>
      <c r="T252" s="238">
        <f t="shared" si="108"/>
        <v>1332.1089934814472</v>
      </c>
      <c r="U252" s="238">
        <f t="shared" si="109"/>
        <v>189.51491958286744</v>
      </c>
      <c r="W252" s="238">
        <f t="shared" si="110"/>
        <v>888.21162332441418</v>
      </c>
      <c r="X252" s="238">
        <f t="shared" si="111"/>
        <v>1077.7265429072816</v>
      </c>
      <c r="Y252" s="238">
        <f t="shared" si="112"/>
        <v>1267.2414624901489</v>
      </c>
      <c r="AA252" s="1133">
        <v>1023.6176940639273</v>
      </c>
      <c r="AB252" s="1133">
        <v>1177.8633437726871</v>
      </c>
      <c r="AC252" s="1133">
        <v>1332.108993481447</v>
      </c>
      <c r="AD252" s="89"/>
      <c r="AE252" s="89"/>
      <c r="AF252" s="89"/>
      <c r="AG252" s="89"/>
      <c r="AH252" s="89"/>
      <c r="AI252" s="89"/>
      <c r="AJ252" s="89"/>
      <c r="AK252" s="89"/>
      <c r="AL252" s="89"/>
      <c r="AM252" s="89"/>
      <c r="AN252" s="89"/>
      <c r="BR252" s="180">
        <v>2029</v>
      </c>
      <c r="BS252" s="22">
        <v>15</v>
      </c>
      <c r="BT252" s="181">
        <f t="shared" si="123"/>
        <v>228.2530420985027</v>
      </c>
      <c r="BU252" s="182">
        <f t="shared" si="124"/>
        <v>795.07013205106455</v>
      </c>
      <c r="BV252" s="205">
        <f t="shared" si="125"/>
        <v>1023.3231741495672</v>
      </c>
      <c r="BY252" s="180">
        <v>2029</v>
      </c>
      <c r="BZ252" s="22">
        <v>15</v>
      </c>
      <c r="CA252" s="181">
        <f t="shared" ca="1" si="126"/>
        <v>-32.59584989489948</v>
      </c>
      <c r="CB252" s="181">
        <f t="shared" ca="1" si="127"/>
        <v>317.3483651445614</v>
      </c>
      <c r="CC252" s="182">
        <f t="shared" ca="1" si="128"/>
        <v>759.72174372059567</v>
      </c>
      <c r="CD252" s="205">
        <f t="shared" ca="1" si="129"/>
        <v>1044.4742589702576</v>
      </c>
      <c r="CG252" s="180">
        <v>2029</v>
      </c>
      <c r="CH252" s="22">
        <v>15</v>
      </c>
      <c r="CI252" s="181">
        <f t="shared" ca="1" si="130"/>
        <v>8.3642438984521181</v>
      </c>
      <c r="CJ252" s="181">
        <f t="shared" ca="1" si="131"/>
        <v>-66.889249878553272</v>
      </c>
      <c r="CK252" s="181">
        <f t="shared" ca="1" si="132"/>
        <v>352.42986277553604</v>
      </c>
      <c r="CL252" s="182">
        <f t="shared" ca="1" si="133"/>
        <v>754.47866390087256</v>
      </c>
      <c r="CM252" s="205">
        <f t="shared" ca="1" si="134"/>
        <v>1048.3835206963074</v>
      </c>
      <c r="CP252" s="180">
        <v>2029</v>
      </c>
      <c r="CQ252" s="22">
        <v>15</v>
      </c>
      <c r="CR252" s="181">
        <f t="shared" ca="1" si="135"/>
        <v>810.12186311233324</v>
      </c>
      <c r="CS252" s="182">
        <f t="shared" ca="1" si="136"/>
        <v>1.2400414844148131</v>
      </c>
      <c r="CT252" s="205">
        <f t="shared" ca="1" si="137"/>
        <v>1004.5847176907117</v>
      </c>
      <c r="CZ252" s="164" t="b">
        <f t="shared" si="113"/>
        <v>1</v>
      </c>
      <c r="DA252" s="165" t="b">
        <f t="shared" si="113"/>
        <v>1</v>
      </c>
      <c r="DB252" s="166" t="b">
        <f t="shared" si="113"/>
        <v>1</v>
      </c>
      <c r="DC252" s="164">
        <f t="shared" si="114"/>
        <v>17</v>
      </c>
      <c r="DD252" s="166">
        <f t="shared" si="115"/>
        <v>888.21162332441418</v>
      </c>
      <c r="DE252" s="164">
        <f t="shared" si="116"/>
        <v>17</v>
      </c>
      <c r="DF252" s="166">
        <f t="shared" si="117"/>
        <v>1077.7265429072816</v>
      </c>
      <c r="DG252" s="164">
        <f t="shared" si="118"/>
        <v>17</v>
      </c>
      <c r="DH252" s="166">
        <f t="shared" si="119"/>
        <v>1267.2414624901489</v>
      </c>
      <c r="DI252" s="164">
        <f>IFERROR(INDEX(DC$233:DC$281,_xlfn.AGGREGATE(15,6,(ROW(DC$233:DC$281)-ROW(DC$233)+1)/(DC$233:DC$281&lt;&gt;""),ROWS(DI$1:DI20))),"")</f>
        <v>17</v>
      </c>
      <c r="DJ252" s="165">
        <f>IFERROR(INDEX(DD$233:DD$281,_xlfn.AGGREGATE(15,6,(ROW(DD$233:DD$281)-ROW(DD$233)+1)/(DD$233:DD$281&lt;&gt;""),ROWS(DJ$1:DJ20))),"")</f>
        <v>888.21162332441418</v>
      </c>
      <c r="DK252" s="166">
        <f t="shared" si="120"/>
        <v>252</v>
      </c>
      <c r="DL252" s="164">
        <f>IFERROR(INDEX(DE$233:DE$281,_xlfn.AGGREGATE(15,6,(ROW(DE$233:DE$281)-ROW(DE$233)+1)/(DE$233:DE$281&lt;&gt;""),ROWS(DL$1:DL20))),"")</f>
        <v>17</v>
      </c>
      <c r="DM252" s="165">
        <f>IFERROR(INDEX(DF$233:DF$281,_xlfn.AGGREGATE(15,6,(ROW(DF$233:DF$281)-ROW(DF$233)+1)/(DF$233:DF$281&lt;&gt;""),ROWS(DM$1:DM20))),"")</f>
        <v>1077.7265429072816</v>
      </c>
      <c r="DN252" s="166">
        <f t="shared" si="121"/>
        <v>252</v>
      </c>
      <c r="DO252" s="164">
        <f>IFERROR(INDEX(DG$233:DG$281,_xlfn.AGGREGATE(15,6,(ROW(DG$233:DG$281)-ROW(DG$233)+1)/(DG$233:DG$281&lt;&gt;""),ROWS(DO$1:DO20))),"")</f>
        <v>17</v>
      </c>
      <c r="DP252" s="165">
        <f>IFERROR(INDEX(DH$233:DH$281,_xlfn.AGGREGATE(15,6,(ROW(DH$233:DH$281)-ROW(DH$233)+1)/(DH$233:DH$281&lt;&gt;""),ROWS(DP$1:DP20))),"")</f>
        <v>1267.2414624901489</v>
      </c>
      <c r="DQ252" s="166">
        <f t="shared" si="122"/>
        <v>252</v>
      </c>
      <c r="DV252" s="145">
        <v>2034</v>
      </c>
      <c r="DW252" s="235">
        <f t="shared" ca="1" si="106"/>
        <v>1125.2972815027124</v>
      </c>
    </row>
    <row r="253" spans="1:135" ht="13.8" x14ac:dyDescent="0.45">
      <c r="B253" s="128">
        <v>2032</v>
      </c>
      <c r="C253" s="1047">
        <v>1039.8666666666668</v>
      </c>
      <c r="D253" s="1050">
        <v>1353.9417659518137</v>
      </c>
      <c r="E253" s="1060"/>
      <c r="F253" s="1051"/>
      <c r="G253" s="1052"/>
      <c r="H253" s="1036"/>
      <c r="I253" s="1112">
        <v>884.67647058823536</v>
      </c>
      <c r="J253" s="247"/>
      <c r="K253" s="245"/>
      <c r="L253" s="246"/>
      <c r="M253" s="245"/>
      <c r="N253" s="29" t="s">
        <v>119</v>
      </c>
      <c r="O253" s="120"/>
      <c r="P253" s="120"/>
      <c r="Q253" s="120"/>
      <c r="R253" s="29">
        <v>18</v>
      </c>
      <c r="S253" s="238">
        <f t="shared" si="107"/>
        <v>884.67647058823536</v>
      </c>
      <c r="T253" s="238">
        <f t="shared" si="108"/>
        <v>1353.9417659518137</v>
      </c>
      <c r="U253" s="238">
        <f t="shared" si="109"/>
        <v>195.20276705191105</v>
      </c>
      <c r="W253" s="238">
        <f t="shared" si="110"/>
        <v>897.62553401699438</v>
      </c>
      <c r="X253" s="238">
        <f t="shared" si="111"/>
        <v>1092.8283010689054</v>
      </c>
      <c r="Y253" s="238">
        <f t="shared" si="112"/>
        <v>1288.0310681208164</v>
      </c>
      <c r="AA253" s="1133">
        <v>1039.8666666666675</v>
      </c>
      <c r="AB253" s="1133">
        <v>1196.9042163092404</v>
      </c>
      <c r="AC253" s="1133">
        <v>1353.9417659518133</v>
      </c>
      <c r="AD253" s="89"/>
      <c r="AE253" s="89"/>
      <c r="AF253" s="89"/>
      <c r="AG253" s="89"/>
      <c r="AH253" s="89"/>
      <c r="AI253" s="89"/>
      <c r="AJ253" s="89"/>
      <c r="AK253" s="89"/>
      <c r="AL253" s="89"/>
      <c r="AM253" s="89"/>
      <c r="AN253" s="89"/>
      <c r="BR253" s="180">
        <v>2030</v>
      </c>
      <c r="BS253" s="22">
        <v>16</v>
      </c>
      <c r="BT253" s="181">
        <f t="shared" si="123"/>
        <v>243.46991157173622</v>
      </c>
      <c r="BU253" s="182">
        <f t="shared" si="124"/>
        <v>795.07013205106455</v>
      </c>
      <c r="BV253" s="205">
        <f t="shared" si="125"/>
        <v>1038.5400436228008</v>
      </c>
      <c r="BY253" s="180">
        <v>2030</v>
      </c>
      <c r="BZ253" s="22">
        <v>16</v>
      </c>
      <c r="CA253" s="181">
        <f t="shared" ca="1" si="126"/>
        <v>-37.086833658196745</v>
      </c>
      <c r="CB253" s="181">
        <f t="shared" ca="1" si="127"/>
        <v>338.50492282086549</v>
      </c>
      <c r="CC253" s="182">
        <f t="shared" ca="1" si="128"/>
        <v>759.72174372059567</v>
      </c>
      <c r="CD253" s="205">
        <f t="shared" ca="1" si="129"/>
        <v>1061.1398328832645</v>
      </c>
      <c r="CG253" s="180">
        <v>2030</v>
      </c>
      <c r="CH253" s="22">
        <v>16</v>
      </c>
      <c r="CI253" s="181">
        <f t="shared" ca="1" si="130"/>
        <v>10.151094224610334</v>
      </c>
      <c r="CJ253" s="181">
        <f t="shared" ca="1" si="131"/>
        <v>-76.105102084042827</v>
      </c>
      <c r="CK253" s="181">
        <f t="shared" ca="1" si="132"/>
        <v>375.92518696057175</v>
      </c>
      <c r="CL253" s="182">
        <f t="shared" ca="1" si="133"/>
        <v>754.47866390087256</v>
      </c>
      <c r="CM253" s="205">
        <f t="shared" ca="1" si="134"/>
        <v>1064.4498430020117</v>
      </c>
      <c r="CP253" s="180">
        <v>2030</v>
      </c>
      <c r="CQ253" s="22">
        <v>16</v>
      </c>
      <c r="CR253" s="181">
        <f t="shared" ca="1" si="135"/>
        <v>810.12186311233324</v>
      </c>
      <c r="CS253" s="182">
        <f t="shared" ca="1" si="136"/>
        <v>1.2579555492308314</v>
      </c>
      <c r="CT253" s="205">
        <f t="shared" ca="1" si="137"/>
        <v>1019.0972932553796</v>
      </c>
      <c r="CZ253" s="164" t="b">
        <f t="shared" si="113"/>
        <v>1</v>
      </c>
      <c r="DA253" s="165" t="b">
        <f t="shared" si="113"/>
        <v>1</v>
      </c>
      <c r="DB253" s="166" t="b">
        <f t="shared" si="113"/>
        <v>1</v>
      </c>
      <c r="DC253" s="164">
        <f t="shared" si="114"/>
        <v>18</v>
      </c>
      <c r="DD253" s="166">
        <f t="shared" si="115"/>
        <v>897.62553401699438</v>
      </c>
      <c r="DE253" s="164">
        <f t="shared" si="116"/>
        <v>18</v>
      </c>
      <c r="DF253" s="166">
        <f t="shared" si="117"/>
        <v>1092.8283010689054</v>
      </c>
      <c r="DG253" s="164">
        <f t="shared" si="118"/>
        <v>18</v>
      </c>
      <c r="DH253" s="166">
        <f t="shared" si="119"/>
        <v>1288.0310681208164</v>
      </c>
      <c r="DI253" s="164">
        <f>IFERROR(INDEX(DC$233:DC$281,_xlfn.AGGREGATE(15,6,(ROW(DC$233:DC$281)-ROW(DC$233)+1)/(DC$233:DC$281&lt;&gt;""),ROWS(DI$1:DI21))),"")</f>
        <v>18</v>
      </c>
      <c r="DJ253" s="165">
        <f>IFERROR(INDEX(DD$233:DD$281,_xlfn.AGGREGATE(15,6,(ROW(DD$233:DD$281)-ROW(DD$233)+1)/(DD$233:DD$281&lt;&gt;""),ROWS(DJ$1:DJ21))),"")</f>
        <v>897.62553401699438</v>
      </c>
      <c r="DK253" s="166">
        <f t="shared" si="120"/>
        <v>253</v>
      </c>
      <c r="DL253" s="164">
        <f>IFERROR(INDEX(DE$233:DE$281,_xlfn.AGGREGATE(15,6,(ROW(DE$233:DE$281)-ROW(DE$233)+1)/(DE$233:DE$281&lt;&gt;""),ROWS(DL$1:DL21))),"")</f>
        <v>18</v>
      </c>
      <c r="DM253" s="165">
        <f>IFERROR(INDEX(DF$233:DF$281,_xlfn.AGGREGATE(15,6,(ROW(DF$233:DF$281)-ROW(DF$233)+1)/(DF$233:DF$281&lt;&gt;""),ROWS(DM$1:DM21))),"")</f>
        <v>1092.8283010689054</v>
      </c>
      <c r="DN253" s="166">
        <f t="shared" si="121"/>
        <v>253</v>
      </c>
      <c r="DO253" s="164">
        <f>IFERROR(INDEX(DG$233:DG$281,_xlfn.AGGREGATE(15,6,(ROW(DG$233:DG$281)-ROW(DG$233)+1)/(DG$233:DG$281&lt;&gt;""),ROWS(DO$1:DO21))),"")</f>
        <v>18</v>
      </c>
      <c r="DP253" s="165">
        <f>IFERROR(INDEX(DH$233:DH$281,_xlfn.AGGREGATE(15,6,(ROW(DH$233:DH$281)-ROW(DH$233)+1)/(DH$233:DH$281&lt;&gt;""),ROWS(DP$1:DP21))),"")</f>
        <v>1288.0310681208164</v>
      </c>
      <c r="DQ253" s="166">
        <f t="shared" si="122"/>
        <v>253</v>
      </c>
      <c r="DV253" s="145">
        <v>2035</v>
      </c>
      <c r="DW253" s="235">
        <f t="shared" ca="1" si="106"/>
        <v>1139.7290272820112</v>
      </c>
    </row>
    <row r="254" spans="1:135" ht="13.8" x14ac:dyDescent="0.45">
      <c r="B254" s="128">
        <v>2033</v>
      </c>
      <c r="C254" s="1047">
        <v>1056.1156392694065</v>
      </c>
      <c r="D254" s="1050">
        <v>1375.2414581338576</v>
      </c>
      <c r="E254" s="1060"/>
      <c r="F254" s="1051"/>
      <c r="G254" s="1052"/>
      <c r="H254" s="1036"/>
      <c r="I254" s="1112">
        <v>891.90000000000009</v>
      </c>
      <c r="J254" s="247"/>
      <c r="K254" s="245"/>
      <c r="L254" s="246"/>
      <c r="M254" s="245"/>
      <c r="N254" s="29" t="s">
        <v>119</v>
      </c>
      <c r="O254" s="120"/>
      <c r="P254" s="120"/>
      <c r="Q254" s="120"/>
      <c r="R254" s="29">
        <v>19</v>
      </c>
      <c r="S254" s="238">
        <f t="shared" si="107"/>
        <v>891.90000000000009</v>
      </c>
      <c r="T254" s="238">
        <f t="shared" si="108"/>
        <v>1375.2414581338576</v>
      </c>
      <c r="U254" s="238">
        <f t="shared" si="109"/>
        <v>200.67304242294512</v>
      </c>
      <c r="W254" s="238">
        <f t="shared" si="110"/>
        <v>907.07932337814282</v>
      </c>
      <c r="X254" s="238">
        <f t="shared" si="111"/>
        <v>1107.752365801088</v>
      </c>
      <c r="Y254" s="238">
        <f t="shared" si="112"/>
        <v>1308.4254082240332</v>
      </c>
      <c r="AA254" s="1133">
        <v>1056.1156392694065</v>
      </c>
      <c r="AB254" s="1133">
        <v>1215.6785487016321</v>
      </c>
      <c r="AC254" s="1133">
        <v>1375.2414581338576</v>
      </c>
      <c r="AD254" s="89"/>
      <c r="AE254" s="89"/>
      <c r="AF254" s="89"/>
      <c r="AG254" s="89"/>
      <c r="AH254" s="89"/>
      <c r="AI254" s="89"/>
      <c r="AJ254" s="89"/>
      <c r="AK254" s="89"/>
      <c r="AL254" s="89"/>
      <c r="AM254" s="89"/>
      <c r="AN254" s="89"/>
      <c r="BR254" s="180">
        <v>2031</v>
      </c>
      <c r="BS254" s="22">
        <v>17</v>
      </c>
      <c r="BT254" s="181">
        <f t="shared" si="123"/>
        <v>258.68678104496973</v>
      </c>
      <c r="BU254" s="182">
        <f t="shared" si="124"/>
        <v>795.07013205106455</v>
      </c>
      <c r="BV254" s="205">
        <f t="shared" si="125"/>
        <v>1053.7569130960342</v>
      </c>
      <c r="BY254" s="180">
        <v>2031</v>
      </c>
      <c r="BZ254" s="22">
        <v>17</v>
      </c>
      <c r="CA254" s="181">
        <f t="shared" ca="1" si="126"/>
        <v>-41.867558309448668</v>
      </c>
      <c r="CB254" s="181">
        <f t="shared" ca="1" si="127"/>
        <v>359.66148049716958</v>
      </c>
      <c r="CC254" s="182">
        <f t="shared" ca="1" si="128"/>
        <v>759.72174372059567</v>
      </c>
      <c r="CD254" s="205">
        <f t="shared" ca="1" si="129"/>
        <v>1077.5156659083166</v>
      </c>
      <c r="CG254" s="180">
        <v>2031</v>
      </c>
      <c r="CH254" s="22">
        <v>17</v>
      </c>
      <c r="CI254" s="181">
        <f t="shared" ca="1" si="130"/>
        <v>12.175860821657855</v>
      </c>
      <c r="CJ254" s="181">
        <f t="shared" ca="1" si="131"/>
        <v>-85.915525399563975</v>
      </c>
      <c r="CK254" s="181">
        <f t="shared" ca="1" si="132"/>
        <v>399.42051114560746</v>
      </c>
      <c r="CL254" s="182">
        <f t="shared" ca="1" si="133"/>
        <v>754.47866390087256</v>
      </c>
      <c r="CM254" s="205">
        <f t="shared" ca="1" si="134"/>
        <v>1080.1595104685739</v>
      </c>
      <c r="CP254" s="180">
        <v>2031</v>
      </c>
      <c r="CQ254" s="22">
        <v>17</v>
      </c>
      <c r="CR254" s="181">
        <f t="shared" ca="1" si="135"/>
        <v>810.12186311233324</v>
      </c>
      <c r="CS254" s="182">
        <f t="shared" ca="1" si="136"/>
        <v>1.2761284067745655</v>
      </c>
      <c r="CT254" s="205">
        <f t="shared" ca="1" si="137"/>
        <v>1033.8195224667845</v>
      </c>
      <c r="CZ254" s="164" t="b">
        <f t="shared" si="113"/>
        <v>1</v>
      </c>
      <c r="DA254" s="165" t="b">
        <f t="shared" si="113"/>
        <v>1</v>
      </c>
      <c r="DB254" s="166" t="b">
        <f t="shared" si="113"/>
        <v>1</v>
      </c>
      <c r="DC254" s="164">
        <f t="shared" si="114"/>
        <v>19</v>
      </c>
      <c r="DD254" s="166">
        <f t="shared" si="115"/>
        <v>907.07932337814282</v>
      </c>
      <c r="DE254" s="164">
        <f t="shared" si="116"/>
        <v>19</v>
      </c>
      <c r="DF254" s="166">
        <f t="shared" si="117"/>
        <v>1107.752365801088</v>
      </c>
      <c r="DG254" s="164">
        <f t="shared" si="118"/>
        <v>19</v>
      </c>
      <c r="DH254" s="166">
        <f t="shared" si="119"/>
        <v>1308.4254082240332</v>
      </c>
      <c r="DI254" s="164">
        <f>IFERROR(INDEX(DC$233:DC$281,_xlfn.AGGREGATE(15,6,(ROW(DC$233:DC$281)-ROW(DC$233)+1)/(DC$233:DC$281&lt;&gt;""),ROWS(DI$1:DI22))),"")</f>
        <v>19</v>
      </c>
      <c r="DJ254" s="165">
        <f>IFERROR(INDEX(DD$233:DD$281,_xlfn.AGGREGATE(15,6,(ROW(DD$233:DD$281)-ROW(DD$233)+1)/(DD$233:DD$281&lt;&gt;""),ROWS(DJ$1:DJ22))),"")</f>
        <v>907.07932337814282</v>
      </c>
      <c r="DK254" s="166">
        <f t="shared" si="120"/>
        <v>254</v>
      </c>
      <c r="DL254" s="164">
        <f>IFERROR(INDEX(DE$233:DE$281,_xlfn.AGGREGATE(15,6,(ROW(DE$233:DE$281)-ROW(DE$233)+1)/(DE$233:DE$281&lt;&gt;""),ROWS(DL$1:DL22))),"")</f>
        <v>19</v>
      </c>
      <c r="DM254" s="165">
        <f>IFERROR(INDEX(DF$233:DF$281,_xlfn.AGGREGATE(15,6,(ROW(DF$233:DF$281)-ROW(DF$233)+1)/(DF$233:DF$281&lt;&gt;""),ROWS(DM$1:DM22))),"")</f>
        <v>1107.752365801088</v>
      </c>
      <c r="DN254" s="166">
        <f t="shared" si="121"/>
        <v>254</v>
      </c>
      <c r="DO254" s="164">
        <f>IFERROR(INDEX(DG$233:DG$281,_xlfn.AGGREGATE(15,6,(ROW(DG$233:DG$281)-ROW(DG$233)+1)/(DG$233:DG$281&lt;&gt;""),ROWS(DO$1:DO22))),"")</f>
        <v>19</v>
      </c>
      <c r="DP254" s="165">
        <f>IFERROR(INDEX(DH$233:DH$281,_xlfn.AGGREGATE(15,6,(ROW(DH$233:DH$281)-ROW(DH$233)+1)/(DH$233:DH$281&lt;&gt;""),ROWS(DP$1:DP22))),"")</f>
        <v>1308.4254082240332</v>
      </c>
      <c r="DQ254" s="166">
        <f t="shared" si="122"/>
        <v>254</v>
      </c>
      <c r="DV254" s="145">
        <v>2036</v>
      </c>
      <c r="DW254" s="235">
        <f t="shared" ca="1" si="106"/>
        <v>1153.8784670568207</v>
      </c>
    </row>
    <row r="255" spans="1:135" ht="13.8" x14ac:dyDescent="0.45">
      <c r="B255" s="128">
        <v>2034</v>
      </c>
      <c r="C255" s="1047">
        <v>1072.3646118721463</v>
      </c>
      <c r="D255" s="1050">
        <v>1396.0262710549221</v>
      </c>
      <c r="E255" s="1060"/>
      <c r="F255" s="1051"/>
      <c r="G255" s="1052"/>
      <c r="H255" s="1036"/>
      <c r="I255" s="1112">
        <v>899.12352941176482</v>
      </c>
      <c r="J255" s="247"/>
      <c r="K255" s="245"/>
      <c r="L255" s="246"/>
      <c r="M255" s="245"/>
      <c r="N255" s="29" t="s">
        <v>119</v>
      </c>
      <c r="O255" s="120"/>
      <c r="P255" s="120"/>
      <c r="Q255" s="120"/>
      <c r="R255" s="29">
        <v>20</v>
      </c>
      <c r="S255" s="238">
        <f t="shared" si="107"/>
        <v>899.12352941176482</v>
      </c>
      <c r="T255" s="238">
        <f t="shared" si="108"/>
        <v>1396.0262710549221</v>
      </c>
      <c r="U255" s="238">
        <f t="shared" si="109"/>
        <v>205.93463820927744</v>
      </c>
      <c r="W255" s="238">
        <f t="shared" si="110"/>
        <v>916.5701659036672</v>
      </c>
      <c r="X255" s="238">
        <f t="shared" si="111"/>
        <v>1122.5048041129446</v>
      </c>
      <c r="Y255" s="238">
        <f t="shared" si="112"/>
        <v>1328.439442322222</v>
      </c>
      <c r="AA255" s="1133">
        <v>1072.3646118721472</v>
      </c>
      <c r="AB255" s="1133">
        <v>1234.1954414635343</v>
      </c>
      <c r="AC255" s="1133">
        <v>1396.0262710549214</v>
      </c>
      <c r="AD255" s="89"/>
      <c r="AE255" s="89"/>
      <c r="AF255" s="89"/>
      <c r="AG255" s="89"/>
      <c r="AH255" s="89"/>
      <c r="AI255" s="89"/>
      <c r="AJ255" s="89"/>
      <c r="AK255" s="89"/>
      <c r="AL255" s="89"/>
      <c r="AM255" s="89"/>
      <c r="AN255" s="89"/>
      <c r="BR255" s="180">
        <v>2032</v>
      </c>
      <c r="BS255" s="22">
        <v>18</v>
      </c>
      <c r="BT255" s="181">
        <f t="shared" si="123"/>
        <v>273.90365051820322</v>
      </c>
      <c r="BU255" s="182">
        <f t="shared" si="124"/>
        <v>795.07013205106455</v>
      </c>
      <c r="BV255" s="205">
        <f t="shared" si="125"/>
        <v>1068.9737825692678</v>
      </c>
      <c r="BY255" s="180">
        <v>2032</v>
      </c>
      <c r="BZ255" s="22">
        <v>18</v>
      </c>
      <c r="CA255" s="181">
        <f t="shared" ca="1" si="126"/>
        <v>-46.938023848655256</v>
      </c>
      <c r="CB255" s="181">
        <f t="shared" ca="1" si="127"/>
        <v>380.81803817347367</v>
      </c>
      <c r="CC255" s="182">
        <f t="shared" ca="1" si="128"/>
        <v>759.72174372059567</v>
      </c>
      <c r="CD255" s="205">
        <f t="shared" ca="1" si="129"/>
        <v>1093.601758045414</v>
      </c>
      <c r="CG255" s="180">
        <v>2032</v>
      </c>
      <c r="CH255" s="22">
        <v>18</v>
      </c>
      <c r="CI255" s="181">
        <f t="shared" ca="1" si="130"/>
        <v>14.453413456525261</v>
      </c>
      <c r="CJ255" s="181">
        <f t="shared" ca="1" si="131"/>
        <v>-96.320519825116705</v>
      </c>
      <c r="CK255" s="181">
        <f t="shared" ca="1" si="132"/>
        <v>422.91583533064323</v>
      </c>
      <c r="CL255" s="182">
        <f t="shared" ca="1" si="133"/>
        <v>754.47866390087256</v>
      </c>
      <c r="CM255" s="205">
        <f t="shared" ca="1" si="134"/>
        <v>1095.5273928629244</v>
      </c>
      <c r="CP255" s="180">
        <v>2032</v>
      </c>
      <c r="CQ255" s="22">
        <v>18</v>
      </c>
      <c r="CR255" s="181">
        <f t="shared" ca="1" si="135"/>
        <v>810.12186311233324</v>
      </c>
      <c r="CS255" s="182">
        <f t="shared" ca="1" si="136"/>
        <v>1.2945637956545673</v>
      </c>
      <c r="CT255" s="205">
        <f t="shared" ca="1" si="137"/>
        <v>1048.7544340534519</v>
      </c>
      <c r="CZ255" s="164" t="b">
        <f t="shared" si="113"/>
        <v>1</v>
      </c>
      <c r="DA255" s="165" t="b">
        <f t="shared" si="113"/>
        <v>1</v>
      </c>
      <c r="DB255" s="166" t="b">
        <f t="shared" si="113"/>
        <v>1</v>
      </c>
      <c r="DC255" s="164">
        <f t="shared" si="114"/>
        <v>20</v>
      </c>
      <c r="DD255" s="166">
        <f t="shared" si="115"/>
        <v>916.5701659036672</v>
      </c>
      <c r="DE255" s="164">
        <f t="shared" si="116"/>
        <v>20</v>
      </c>
      <c r="DF255" s="166">
        <f t="shared" si="117"/>
        <v>1122.5048041129446</v>
      </c>
      <c r="DG255" s="164">
        <f t="shared" si="118"/>
        <v>20</v>
      </c>
      <c r="DH255" s="166">
        <f t="shared" si="119"/>
        <v>1328.439442322222</v>
      </c>
      <c r="DI255" s="164">
        <f>IFERROR(INDEX(DC$233:DC$281,_xlfn.AGGREGATE(15,6,(ROW(DC$233:DC$281)-ROW(DC$233)+1)/(DC$233:DC$281&lt;&gt;""),ROWS(DI$1:DI23))),"")</f>
        <v>20</v>
      </c>
      <c r="DJ255" s="165">
        <f>IFERROR(INDEX(DD$233:DD$281,_xlfn.AGGREGATE(15,6,(ROW(DD$233:DD$281)-ROW(DD$233)+1)/(DD$233:DD$281&lt;&gt;""),ROWS(DJ$1:DJ23))),"")</f>
        <v>916.5701659036672</v>
      </c>
      <c r="DK255" s="166">
        <f t="shared" si="120"/>
        <v>255</v>
      </c>
      <c r="DL255" s="164">
        <f>IFERROR(INDEX(DE$233:DE$281,_xlfn.AGGREGATE(15,6,(ROW(DE$233:DE$281)-ROW(DE$233)+1)/(DE$233:DE$281&lt;&gt;""),ROWS(DL$1:DL23))),"")</f>
        <v>20</v>
      </c>
      <c r="DM255" s="165">
        <f>IFERROR(INDEX(DF$233:DF$281,_xlfn.AGGREGATE(15,6,(ROW(DF$233:DF$281)-ROW(DF$233)+1)/(DF$233:DF$281&lt;&gt;""),ROWS(DM$1:DM23))),"")</f>
        <v>1122.5048041129446</v>
      </c>
      <c r="DN255" s="166">
        <f t="shared" si="121"/>
        <v>255</v>
      </c>
      <c r="DO255" s="164">
        <f>IFERROR(INDEX(DG$233:DG$281,_xlfn.AGGREGATE(15,6,(ROW(DG$233:DG$281)-ROW(DG$233)+1)/(DG$233:DG$281&lt;&gt;""),ROWS(DO$1:DO23))),"")</f>
        <v>20</v>
      </c>
      <c r="DP255" s="165">
        <f>IFERROR(INDEX(DH$233:DH$281,_xlfn.AGGREGATE(15,6,(ROW(DH$233:DH$281)-ROW(DH$233)+1)/(DH$233:DH$281&lt;&gt;""),ROWS(DP$1:DP23))),"")</f>
        <v>1328.439442322222</v>
      </c>
      <c r="DQ255" s="166">
        <f t="shared" si="122"/>
        <v>255</v>
      </c>
      <c r="DV255" s="145">
        <v>2037</v>
      </c>
      <c r="DW255" s="235">
        <f t="shared" ca="1" si="106"/>
        <v>1167.7604705940712</v>
      </c>
    </row>
    <row r="256" spans="1:135" ht="13.8" x14ac:dyDescent="0.45">
      <c r="B256" s="128">
        <v>2035</v>
      </c>
      <c r="C256" s="1047">
        <v>1088.613584474886</v>
      </c>
      <c r="D256" s="1050">
        <v>1416.8446882860253</v>
      </c>
      <c r="E256" s="1060"/>
      <c r="F256" s="1051"/>
      <c r="G256" s="1052"/>
      <c r="H256" s="1036"/>
      <c r="I256" s="1112">
        <v>906.34705882352955</v>
      </c>
      <c r="J256" s="247"/>
      <c r="K256" s="245"/>
      <c r="L256" s="246"/>
      <c r="M256" s="245"/>
      <c r="N256" s="29" t="s">
        <v>119</v>
      </c>
      <c r="O256" s="120"/>
      <c r="P256" s="120"/>
      <c r="Q256" s="120"/>
      <c r="R256" s="29">
        <v>21</v>
      </c>
      <c r="S256" s="238">
        <f t="shared" si="107"/>
        <v>906.34705882352955</v>
      </c>
      <c r="T256" s="238">
        <f t="shared" si="108"/>
        <v>1416.8446882860253</v>
      </c>
      <c r="U256" s="238">
        <f t="shared" si="109"/>
        <v>211.23040962915968</v>
      </c>
      <c r="W256" s="238">
        <f t="shared" si="110"/>
        <v>926.03803423232068</v>
      </c>
      <c r="X256" s="238">
        <f t="shared" si="111"/>
        <v>1137.2684438614804</v>
      </c>
      <c r="Y256" s="238">
        <f t="shared" si="112"/>
        <v>1348.4988534906402</v>
      </c>
      <c r="AA256" s="1133">
        <v>1088.6135844748865</v>
      </c>
      <c r="AB256" s="1133">
        <v>1252.7291363804557</v>
      </c>
      <c r="AC256" s="1133">
        <v>1416.8446882860248</v>
      </c>
      <c r="AD256" s="89"/>
      <c r="AE256" s="89"/>
      <c r="AF256" s="89"/>
      <c r="AG256" s="89"/>
      <c r="AH256" s="89"/>
      <c r="AI256" s="89"/>
      <c r="AJ256" s="89"/>
      <c r="AK256" s="89"/>
      <c r="AL256" s="89"/>
      <c r="AM256" s="89"/>
      <c r="AN256" s="89"/>
      <c r="BR256" s="180">
        <v>2033</v>
      </c>
      <c r="BS256" s="22">
        <v>19</v>
      </c>
      <c r="BT256" s="181">
        <f t="shared" si="123"/>
        <v>289.12051999143677</v>
      </c>
      <c r="BU256" s="182">
        <f t="shared" si="124"/>
        <v>795.07013205106455</v>
      </c>
      <c r="BV256" s="205">
        <f t="shared" si="125"/>
        <v>1084.1906520425014</v>
      </c>
      <c r="BY256" s="180">
        <v>2033</v>
      </c>
      <c r="BZ256" s="22">
        <v>19</v>
      </c>
      <c r="CA256" s="181">
        <f t="shared" ca="1" si="126"/>
        <v>-52.298230275816508</v>
      </c>
      <c r="CB256" s="181">
        <f t="shared" ca="1" si="127"/>
        <v>401.97459584977776</v>
      </c>
      <c r="CC256" s="182">
        <f t="shared" ca="1" si="128"/>
        <v>759.72174372059567</v>
      </c>
      <c r="CD256" s="205">
        <f t="shared" ca="1" si="129"/>
        <v>1109.3981092945569</v>
      </c>
      <c r="CG256" s="180">
        <v>2033</v>
      </c>
      <c r="CH256" s="22">
        <v>19</v>
      </c>
      <c r="CI256" s="181">
        <f t="shared" ca="1" si="130"/>
        <v>16.998621896143135</v>
      </c>
      <c r="CJ256" s="181">
        <f t="shared" ca="1" si="131"/>
        <v>-107.32008536070101</v>
      </c>
      <c r="CK256" s="181">
        <f t="shared" ca="1" si="132"/>
        <v>446.41115951567895</v>
      </c>
      <c r="CL256" s="182">
        <f t="shared" ca="1" si="133"/>
        <v>754.47866390087256</v>
      </c>
      <c r="CM256" s="205">
        <f t="shared" ca="1" si="134"/>
        <v>1110.5683599519937</v>
      </c>
      <c r="CP256" s="180">
        <v>2033</v>
      </c>
      <c r="CQ256" s="22">
        <v>19</v>
      </c>
      <c r="CR256" s="181">
        <f t="shared" ca="1" si="135"/>
        <v>810.12186311233324</v>
      </c>
      <c r="CS256" s="182">
        <f t="shared" ca="1" si="136"/>
        <v>1.3132655084886107</v>
      </c>
      <c r="CT256" s="205">
        <f t="shared" ca="1" si="137"/>
        <v>1063.905100497959</v>
      </c>
      <c r="CZ256" s="164" t="b">
        <f t="shared" si="113"/>
        <v>1</v>
      </c>
      <c r="DA256" s="165" t="b">
        <f t="shared" si="113"/>
        <v>1</v>
      </c>
      <c r="DB256" s="166" t="b">
        <f t="shared" si="113"/>
        <v>1</v>
      </c>
      <c r="DC256" s="164">
        <f t="shared" si="114"/>
        <v>21</v>
      </c>
      <c r="DD256" s="166">
        <f t="shared" si="115"/>
        <v>926.03803423232068</v>
      </c>
      <c r="DE256" s="164">
        <f t="shared" si="116"/>
        <v>21</v>
      </c>
      <c r="DF256" s="166">
        <f t="shared" si="117"/>
        <v>1137.2684438614804</v>
      </c>
      <c r="DG256" s="164">
        <f t="shared" si="118"/>
        <v>21</v>
      </c>
      <c r="DH256" s="166">
        <f t="shared" si="119"/>
        <v>1348.4988534906402</v>
      </c>
      <c r="DI256" s="164">
        <f>IFERROR(INDEX(DC$233:DC$281,_xlfn.AGGREGATE(15,6,(ROW(DC$233:DC$281)-ROW(DC$233)+1)/(DC$233:DC$281&lt;&gt;""),ROWS(DI$1:DI24))),"")</f>
        <v>21</v>
      </c>
      <c r="DJ256" s="165">
        <f>IFERROR(INDEX(DD$233:DD$281,_xlfn.AGGREGATE(15,6,(ROW(DD$233:DD$281)-ROW(DD$233)+1)/(DD$233:DD$281&lt;&gt;""),ROWS(DJ$1:DJ24))),"")</f>
        <v>926.03803423232068</v>
      </c>
      <c r="DK256" s="166">
        <f t="shared" si="120"/>
        <v>256</v>
      </c>
      <c r="DL256" s="164">
        <f>IFERROR(INDEX(DE$233:DE$281,_xlfn.AGGREGATE(15,6,(ROW(DE$233:DE$281)-ROW(DE$233)+1)/(DE$233:DE$281&lt;&gt;""),ROWS(DL$1:DL24))),"")</f>
        <v>21</v>
      </c>
      <c r="DM256" s="165">
        <f>IFERROR(INDEX(DF$233:DF$281,_xlfn.AGGREGATE(15,6,(ROW(DF$233:DF$281)-ROW(DF$233)+1)/(DF$233:DF$281&lt;&gt;""),ROWS(DM$1:DM24))),"")</f>
        <v>1137.2684438614804</v>
      </c>
      <c r="DN256" s="166">
        <f t="shared" si="121"/>
        <v>256</v>
      </c>
      <c r="DO256" s="164">
        <f>IFERROR(INDEX(DG$233:DG$281,_xlfn.AGGREGATE(15,6,(ROW(DG$233:DG$281)-ROW(DG$233)+1)/(DG$233:DG$281&lt;&gt;""),ROWS(DO$1:DO24))),"")</f>
        <v>21</v>
      </c>
      <c r="DP256" s="165">
        <f>IFERROR(INDEX(DH$233:DH$281,_xlfn.AGGREGATE(15,6,(ROW(DH$233:DH$281)-ROW(DH$233)+1)/(DH$233:DH$281&lt;&gt;""),ROWS(DP$1:DP24))),"")</f>
        <v>1348.4988534906402</v>
      </c>
      <c r="DQ256" s="166">
        <f t="shared" si="122"/>
        <v>256</v>
      </c>
      <c r="DV256" s="145">
        <v>2038</v>
      </c>
      <c r="DW256" s="235">
        <f t="shared" ca="1" si="106"/>
        <v>1181.3899076606936</v>
      </c>
    </row>
    <row r="257" spans="2:135" ht="13.8" x14ac:dyDescent="0.45">
      <c r="B257" s="128">
        <v>2036</v>
      </c>
      <c r="C257" s="1047">
        <v>1104.8625570776258</v>
      </c>
      <c r="D257" s="1050">
        <v>1436.1464290922665</v>
      </c>
      <c r="E257" s="1060"/>
      <c r="F257" s="1051"/>
      <c r="G257" s="1052"/>
      <c r="H257" s="1036"/>
      <c r="I257" s="1112">
        <v>913.57058823529428</v>
      </c>
      <c r="J257" s="247"/>
      <c r="K257" s="245"/>
      <c r="L257" s="246"/>
      <c r="M257" s="245"/>
      <c r="N257" s="29" t="s">
        <v>119</v>
      </c>
      <c r="O257" s="120"/>
      <c r="P257" s="120"/>
      <c r="Q257" s="120"/>
      <c r="R257" s="29">
        <v>22</v>
      </c>
      <c r="S257" s="238">
        <f t="shared" si="107"/>
        <v>913.57058823529428</v>
      </c>
      <c r="T257" s="238">
        <f t="shared" si="108"/>
        <v>1436.1464290922665</v>
      </c>
      <c r="U257" s="238">
        <f t="shared" si="109"/>
        <v>215.87731357518817</v>
      </c>
      <c r="W257" s="238">
        <f t="shared" si="110"/>
        <v>935.64921122654061</v>
      </c>
      <c r="X257" s="238">
        <f t="shared" si="111"/>
        <v>1151.5265248017288</v>
      </c>
      <c r="Y257" s="238">
        <f t="shared" si="112"/>
        <v>1367.4038383769171</v>
      </c>
      <c r="AA257" s="1133">
        <v>1104.8625570776267</v>
      </c>
      <c r="AB257" s="1133">
        <v>1270.5044930849463</v>
      </c>
      <c r="AC257" s="1133">
        <v>1436.1464290922659</v>
      </c>
      <c r="AD257" s="89"/>
      <c r="AE257" s="89"/>
      <c r="AF257" s="89"/>
      <c r="AG257" s="89"/>
      <c r="AH257" s="89"/>
      <c r="AI257" s="89"/>
      <c r="AJ257" s="89"/>
      <c r="AK257" s="89"/>
      <c r="AL257" s="89"/>
      <c r="AM257" s="89"/>
      <c r="AN257" s="89"/>
      <c r="BR257" s="180">
        <v>2034</v>
      </c>
      <c r="BS257" s="22">
        <v>20</v>
      </c>
      <c r="BT257" s="181">
        <f t="shared" si="123"/>
        <v>304.33738946467025</v>
      </c>
      <c r="BU257" s="182">
        <f t="shared" si="124"/>
        <v>795.07013205106455</v>
      </c>
      <c r="BV257" s="205">
        <f t="shared" si="125"/>
        <v>1099.4075215157347</v>
      </c>
      <c r="BY257" s="180">
        <v>2034</v>
      </c>
      <c r="BZ257" s="22">
        <v>20</v>
      </c>
      <c r="CA257" s="181">
        <f t="shared" ca="1" si="126"/>
        <v>-57.948177590932417</v>
      </c>
      <c r="CB257" s="181">
        <f t="shared" ca="1" si="127"/>
        <v>423.13115352608185</v>
      </c>
      <c r="CC257" s="182">
        <f t="shared" ca="1" si="128"/>
        <v>759.72174372059567</v>
      </c>
      <c r="CD257" s="205">
        <f t="shared" ca="1" si="129"/>
        <v>1124.9047196557451</v>
      </c>
      <c r="CG257" s="180">
        <v>2034</v>
      </c>
      <c r="CH257" s="22">
        <v>20</v>
      </c>
      <c r="CI257" s="181">
        <f t="shared" ca="1" si="130"/>
        <v>19.826355907442061</v>
      </c>
      <c r="CJ257" s="181">
        <f t="shared" ca="1" si="131"/>
        <v>-118.91422200631692</v>
      </c>
      <c r="CK257" s="181">
        <f t="shared" ca="1" si="132"/>
        <v>469.90648370071472</v>
      </c>
      <c r="CL257" s="182">
        <f t="shared" ca="1" si="133"/>
        <v>754.47866390087256</v>
      </c>
      <c r="CM257" s="205">
        <f t="shared" ca="1" si="134"/>
        <v>1125.2972815027124</v>
      </c>
      <c r="CP257" s="180">
        <v>2034</v>
      </c>
      <c r="CQ257" s="22">
        <v>20</v>
      </c>
      <c r="CR257" s="181">
        <f t="shared" ca="1" si="135"/>
        <v>810.12186311233324</v>
      </c>
      <c r="CS257" s="182">
        <f t="shared" ca="1" si="136"/>
        <v>1.332237392683927</v>
      </c>
      <c r="CT257" s="205">
        <f t="shared" ca="1" si="137"/>
        <v>1079.2746386690201</v>
      </c>
      <c r="CZ257" s="164" t="b">
        <f t="shared" si="113"/>
        <v>1</v>
      </c>
      <c r="DA257" s="165" t="b">
        <f t="shared" si="113"/>
        <v>1</v>
      </c>
      <c r="DB257" s="166" t="b">
        <f t="shared" si="113"/>
        <v>1</v>
      </c>
      <c r="DC257" s="164">
        <f t="shared" si="114"/>
        <v>22</v>
      </c>
      <c r="DD257" s="166">
        <f t="shared" si="115"/>
        <v>935.64921122654061</v>
      </c>
      <c r="DE257" s="164">
        <f t="shared" si="116"/>
        <v>22</v>
      </c>
      <c r="DF257" s="166">
        <f t="shared" si="117"/>
        <v>1151.5265248017288</v>
      </c>
      <c r="DG257" s="164">
        <f t="shared" si="118"/>
        <v>22</v>
      </c>
      <c r="DH257" s="166">
        <f t="shared" si="119"/>
        <v>1367.4038383769171</v>
      </c>
      <c r="DI257" s="164">
        <f>IFERROR(INDEX(DC$233:DC$281,_xlfn.AGGREGATE(15,6,(ROW(DC$233:DC$281)-ROW(DC$233)+1)/(DC$233:DC$281&lt;&gt;""),ROWS(DI$1:DI25))),"")</f>
        <v>22</v>
      </c>
      <c r="DJ257" s="165">
        <f>IFERROR(INDEX(DD$233:DD$281,_xlfn.AGGREGATE(15,6,(ROW(DD$233:DD$281)-ROW(DD$233)+1)/(DD$233:DD$281&lt;&gt;""),ROWS(DJ$1:DJ25))),"")</f>
        <v>935.64921122654061</v>
      </c>
      <c r="DK257" s="166">
        <f t="shared" si="120"/>
        <v>257</v>
      </c>
      <c r="DL257" s="164">
        <f>IFERROR(INDEX(DE$233:DE$281,_xlfn.AGGREGATE(15,6,(ROW(DE$233:DE$281)-ROW(DE$233)+1)/(DE$233:DE$281&lt;&gt;""),ROWS(DL$1:DL25))),"")</f>
        <v>22</v>
      </c>
      <c r="DM257" s="165">
        <f>IFERROR(INDEX(DF$233:DF$281,_xlfn.AGGREGATE(15,6,(ROW(DF$233:DF$281)-ROW(DF$233)+1)/(DF$233:DF$281&lt;&gt;""),ROWS(DM$1:DM25))),"")</f>
        <v>1151.5265248017288</v>
      </c>
      <c r="DN257" s="166">
        <f t="shared" si="121"/>
        <v>257</v>
      </c>
      <c r="DO257" s="164">
        <f>IFERROR(INDEX(DG$233:DG$281,_xlfn.AGGREGATE(15,6,(ROW(DG$233:DG$281)-ROW(DG$233)+1)/(DG$233:DG$281&lt;&gt;""),ROWS(DO$1:DO25))),"")</f>
        <v>22</v>
      </c>
      <c r="DP257" s="165">
        <f>IFERROR(INDEX(DH$233:DH$281,_xlfn.AGGREGATE(15,6,(ROW(DH$233:DH$281)-ROW(DH$233)+1)/(DH$233:DH$281&lt;&gt;""),ROWS(DP$1:DP25))),"")</f>
        <v>1367.4038383769171</v>
      </c>
      <c r="DQ257" s="166">
        <f t="shared" si="122"/>
        <v>257</v>
      </c>
      <c r="DV257" s="145">
        <v>2039</v>
      </c>
      <c r="DW257" s="235">
        <f t="shared" ca="1" si="106"/>
        <v>1194.7816480236183</v>
      </c>
    </row>
    <row r="258" spans="2:135" ht="13.8" x14ac:dyDescent="0.45">
      <c r="B258" s="128">
        <v>2037</v>
      </c>
      <c r="C258" s="1047">
        <v>1121.1115296803655</v>
      </c>
      <c r="D258" s="1050">
        <v>1455.5427105359022</v>
      </c>
      <c r="E258" s="1060"/>
      <c r="F258" s="1051"/>
      <c r="G258" s="1052"/>
      <c r="H258" s="1036"/>
      <c r="I258" s="1112">
        <v>920.7941176470589</v>
      </c>
      <c r="J258" s="247"/>
      <c r="K258" s="245"/>
      <c r="L258" s="246"/>
      <c r="M258" s="245"/>
      <c r="N258" s="29" t="s">
        <v>119</v>
      </c>
      <c r="O258" s="120"/>
      <c r="P258" s="120"/>
      <c r="Q258" s="120"/>
      <c r="R258" s="29">
        <v>23</v>
      </c>
      <c r="S258" s="238">
        <f t="shared" si="107"/>
        <v>920.7941176470589</v>
      </c>
      <c r="T258" s="238">
        <f t="shared" si="108"/>
        <v>1455.5427105359022</v>
      </c>
      <c r="U258" s="238">
        <f t="shared" si="109"/>
        <v>220.58692866702171</v>
      </c>
      <c r="W258" s="238">
        <f t="shared" si="110"/>
        <v>945.2291906207538</v>
      </c>
      <c r="X258" s="238">
        <f t="shared" si="111"/>
        <v>1165.8161192877756</v>
      </c>
      <c r="Y258" s="238">
        <f t="shared" si="112"/>
        <v>1386.4030479547973</v>
      </c>
      <c r="AA258" s="1133">
        <v>1121.1115296803653</v>
      </c>
      <c r="AB258" s="1133">
        <v>1288.3271201081338</v>
      </c>
      <c r="AC258" s="1133">
        <v>1455.5427105359024</v>
      </c>
      <c r="AD258" s="89"/>
      <c r="AE258" s="89"/>
      <c r="AF258" s="89"/>
      <c r="AG258" s="89"/>
      <c r="AH258" s="89"/>
      <c r="AI258" s="89"/>
      <c r="AJ258" s="89"/>
      <c r="AK258" s="89"/>
      <c r="AL258" s="89"/>
      <c r="AM258" s="89"/>
      <c r="AN258" s="89"/>
      <c r="BR258" s="180">
        <v>2035</v>
      </c>
      <c r="BS258" s="22">
        <v>21</v>
      </c>
      <c r="BT258" s="181">
        <f t="shared" si="123"/>
        <v>319.5542589379038</v>
      </c>
      <c r="BU258" s="182">
        <f t="shared" si="124"/>
        <v>795.07013205106455</v>
      </c>
      <c r="BV258" s="205">
        <f t="shared" si="125"/>
        <v>1114.6243909889683</v>
      </c>
      <c r="BY258" s="180">
        <v>2035</v>
      </c>
      <c r="BZ258" s="22">
        <v>21</v>
      </c>
      <c r="CA258" s="181">
        <f t="shared" ca="1" si="126"/>
        <v>-63.887865794002984</v>
      </c>
      <c r="CB258" s="181">
        <f t="shared" ca="1" si="127"/>
        <v>444.28771120238594</v>
      </c>
      <c r="CC258" s="182">
        <f t="shared" ca="1" si="128"/>
        <v>759.72174372059567</v>
      </c>
      <c r="CD258" s="205">
        <f t="shared" ca="1" si="129"/>
        <v>1140.1215891289785</v>
      </c>
      <c r="CG258" s="180">
        <v>2035</v>
      </c>
      <c r="CH258" s="22">
        <v>21</v>
      </c>
      <c r="CI258" s="181">
        <f t="shared" ca="1" si="130"/>
        <v>22.951485257352616</v>
      </c>
      <c r="CJ258" s="181">
        <f t="shared" ca="1" si="131"/>
        <v>-131.10292976196439</v>
      </c>
      <c r="CK258" s="181">
        <f t="shared" ca="1" si="132"/>
        <v>493.40180788575043</v>
      </c>
      <c r="CL258" s="182">
        <f t="shared" ca="1" si="133"/>
        <v>754.47866390087256</v>
      </c>
      <c r="CM258" s="205">
        <f t="shared" ca="1" si="134"/>
        <v>1139.7290272820112</v>
      </c>
      <c r="CP258" s="180">
        <v>2035</v>
      </c>
      <c r="CQ258" s="22">
        <v>21</v>
      </c>
      <c r="CR258" s="181">
        <f t="shared" ca="1" si="135"/>
        <v>810.12186311233324</v>
      </c>
      <c r="CS258" s="182">
        <f t="shared" ca="1" si="136"/>
        <v>1.3514833512287137</v>
      </c>
      <c r="CT258" s="205">
        <f t="shared" ca="1" si="137"/>
        <v>1094.8662104627053</v>
      </c>
      <c r="CZ258" s="164" t="b">
        <f t="shared" si="113"/>
        <v>1</v>
      </c>
      <c r="DA258" s="165" t="b">
        <f t="shared" si="113"/>
        <v>1</v>
      </c>
      <c r="DB258" s="166" t="b">
        <f t="shared" si="113"/>
        <v>1</v>
      </c>
      <c r="DC258" s="164">
        <f t="shared" si="114"/>
        <v>23</v>
      </c>
      <c r="DD258" s="166">
        <f t="shared" si="115"/>
        <v>945.2291906207538</v>
      </c>
      <c r="DE258" s="164">
        <f t="shared" si="116"/>
        <v>23</v>
      </c>
      <c r="DF258" s="166">
        <f t="shared" si="117"/>
        <v>1165.8161192877756</v>
      </c>
      <c r="DG258" s="164">
        <f t="shared" si="118"/>
        <v>23</v>
      </c>
      <c r="DH258" s="166">
        <f t="shared" si="119"/>
        <v>1386.4030479547973</v>
      </c>
      <c r="DI258" s="164">
        <f>IFERROR(INDEX(DC$233:DC$281,_xlfn.AGGREGATE(15,6,(ROW(DC$233:DC$281)-ROW(DC$233)+1)/(DC$233:DC$281&lt;&gt;""),ROWS(DI$1:DI26))),"")</f>
        <v>23</v>
      </c>
      <c r="DJ258" s="165">
        <f>IFERROR(INDEX(DD$233:DD$281,_xlfn.AGGREGATE(15,6,(ROW(DD$233:DD$281)-ROW(DD$233)+1)/(DD$233:DD$281&lt;&gt;""),ROWS(DJ$1:DJ26))),"")</f>
        <v>945.2291906207538</v>
      </c>
      <c r="DK258" s="166">
        <f t="shared" si="120"/>
        <v>258</v>
      </c>
      <c r="DL258" s="164">
        <f>IFERROR(INDEX(DE$233:DE$281,_xlfn.AGGREGATE(15,6,(ROW(DE$233:DE$281)-ROW(DE$233)+1)/(DE$233:DE$281&lt;&gt;""),ROWS(DL$1:DL26))),"")</f>
        <v>23</v>
      </c>
      <c r="DM258" s="165">
        <f>IFERROR(INDEX(DF$233:DF$281,_xlfn.AGGREGATE(15,6,(ROW(DF$233:DF$281)-ROW(DF$233)+1)/(DF$233:DF$281&lt;&gt;""),ROWS(DM$1:DM26))),"")</f>
        <v>1165.8161192877756</v>
      </c>
      <c r="DN258" s="166">
        <f t="shared" si="121"/>
        <v>258</v>
      </c>
      <c r="DO258" s="164">
        <f>IFERROR(INDEX(DG$233:DG$281,_xlfn.AGGREGATE(15,6,(ROW(DG$233:DG$281)-ROW(DG$233)+1)/(DG$233:DG$281&lt;&gt;""),ROWS(DO$1:DO26))),"")</f>
        <v>23</v>
      </c>
      <c r="DP258" s="165">
        <f>IFERROR(INDEX(DH$233:DH$281,_xlfn.AGGREGATE(15,6,(ROW(DH$233:DH$281)-ROW(DH$233)+1)/(DH$233:DH$281&lt;&gt;""),ROWS(DP$1:DP26))),"")</f>
        <v>1386.4030479547973</v>
      </c>
      <c r="DQ258" s="166">
        <f t="shared" si="122"/>
        <v>258</v>
      </c>
      <c r="DV258" s="145">
        <v>2040</v>
      </c>
      <c r="DW258" s="235">
        <f t="shared" ca="1" si="106"/>
        <v>1207.9505614497762</v>
      </c>
    </row>
    <row r="259" spans="2:135" ht="13.8" x14ac:dyDescent="0.45">
      <c r="B259" s="128">
        <v>2038</v>
      </c>
      <c r="C259" s="1047">
        <v>1137.3605022831052</v>
      </c>
      <c r="D259" s="1050">
        <v>1474.5435141803939</v>
      </c>
      <c r="E259" s="1060"/>
      <c r="F259" s="1051"/>
      <c r="G259" s="1052"/>
      <c r="H259" s="1036"/>
      <c r="I259" s="1112">
        <v>928.01764705882363</v>
      </c>
      <c r="J259" s="247"/>
      <c r="K259" s="245"/>
      <c r="L259" s="246"/>
      <c r="M259" s="245"/>
      <c r="N259" s="29" t="s">
        <v>119</v>
      </c>
      <c r="O259" s="120"/>
      <c r="P259" s="120"/>
      <c r="Q259" s="120"/>
      <c r="R259" s="29">
        <v>24</v>
      </c>
      <c r="S259" s="238">
        <f t="shared" si="107"/>
        <v>928.01764705882363</v>
      </c>
      <c r="T259" s="238">
        <f t="shared" si="108"/>
        <v>1474.5435141803939</v>
      </c>
      <c r="U259" s="238">
        <f t="shared" si="109"/>
        <v>225.14374124065915</v>
      </c>
      <c r="W259" s="238">
        <f t="shared" si="110"/>
        <v>954.83014660011486</v>
      </c>
      <c r="X259" s="238">
        <f t="shared" si="111"/>
        <v>1179.9738878407741</v>
      </c>
      <c r="Y259" s="238">
        <f t="shared" si="112"/>
        <v>1405.1176290814333</v>
      </c>
      <c r="AA259" s="1133">
        <v>1137.360502283105</v>
      </c>
      <c r="AB259" s="1133">
        <v>1305.9520082317495</v>
      </c>
      <c r="AC259" s="1133">
        <v>1474.5435141803939</v>
      </c>
      <c r="AD259" s="89"/>
      <c r="AE259" s="89"/>
      <c r="AF259" s="89"/>
      <c r="AG259" s="89"/>
      <c r="AH259" s="89"/>
      <c r="AI259" s="89"/>
      <c r="AJ259" s="89"/>
      <c r="AK259" s="89"/>
      <c r="AL259" s="89"/>
      <c r="AM259" s="89"/>
      <c r="AN259" s="89"/>
      <c r="BR259" s="180">
        <v>2036</v>
      </c>
      <c r="BS259" s="22">
        <v>22</v>
      </c>
      <c r="BT259" s="181">
        <f t="shared" si="123"/>
        <v>334.77112841113728</v>
      </c>
      <c r="BU259" s="182">
        <f t="shared" si="124"/>
        <v>795.07013205106455</v>
      </c>
      <c r="BV259" s="205">
        <f t="shared" si="125"/>
        <v>1129.8412604622017</v>
      </c>
      <c r="BY259" s="180">
        <v>2036</v>
      </c>
      <c r="BZ259" s="22">
        <v>22</v>
      </c>
      <c r="CA259" s="181">
        <f t="shared" ca="1" si="126"/>
        <v>-70.117294885028215</v>
      </c>
      <c r="CB259" s="181">
        <f t="shared" ca="1" si="127"/>
        <v>465.44426887869002</v>
      </c>
      <c r="CC259" s="182">
        <f t="shared" ca="1" si="128"/>
        <v>759.72174372059567</v>
      </c>
      <c r="CD259" s="205">
        <f t="shared" ca="1" si="129"/>
        <v>1155.0487177142575</v>
      </c>
      <c r="CG259" s="180">
        <v>2036</v>
      </c>
      <c r="CH259" s="22">
        <v>22</v>
      </c>
      <c r="CI259" s="181">
        <f t="shared" ca="1" si="130"/>
        <v>26.38887971280538</v>
      </c>
      <c r="CJ259" s="181">
        <f t="shared" ca="1" si="131"/>
        <v>-143.88620862764347</v>
      </c>
      <c r="CK259" s="181">
        <f t="shared" ca="1" si="132"/>
        <v>516.89713207078614</v>
      </c>
      <c r="CL259" s="182">
        <f t="shared" ca="1" si="133"/>
        <v>754.47866390087256</v>
      </c>
      <c r="CM259" s="205">
        <f t="shared" ca="1" si="134"/>
        <v>1153.8784670568207</v>
      </c>
      <c r="CP259" s="180">
        <v>2036</v>
      </c>
      <c r="CQ259" s="22">
        <v>22</v>
      </c>
      <c r="CR259" s="181">
        <f t="shared" ca="1" si="135"/>
        <v>810.12186311233324</v>
      </c>
      <c r="CS259" s="182">
        <f t="shared" ca="1" si="136"/>
        <v>1.371007343495074</v>
      </c>
      <c r="CT259" s="205">
        <f t="shared" ca="1" si="137"/>
        <v>1110.68302345292</v>
      </c>
      <c r="CZ259" s="164" t="b">
        <f t="shared" si="113"/>
        <v>1</v>
      </c>
      <c r="DA259" s="165" t="b">
        <f t="shared" si="113"/>
        <v>1</v>
      </c>
      <c r="DB259" s="166" t="b">
        <f t="shared" si="113"/>
        <v>1</v>
      </c>
      <c r="DC259" s="164">
        <f t="shared" si="114"/>
        <v>24</v>
      </c>
      <c r="DD259" s="166">
        <f t="shared" si="115"/>
        <v>954.83014660011486</v>
      </c>
      <c r="DE259" s="164">
        <f t="shared" si="116"/>
        <v>24</v>
      </c>
      <c r="DF259" s="166">
        <f t="shared" si="117"/>
        <v>1179.9738878407741</v>
      </c>
      <c r="DG259" s="164">
        <f t="shared" si="118"/>
        <v>24</v>
      </c>
      <c r="DH259" s="166">
        <f t="shared" si="119"/>
        <v>1405.1176290814333</v>
      </c>
      <c r="DI259" s="164">
        <f>IFERROR(INDEX(DC$233:DC$281,_xlfn.AGGREGATE(15,6,(ROW(DC$233:DC$281)-ROW(DC$233)+1)/(DC$233:DC$281&lt;&gt;""),ROWS(DI$1:DI27))),"")</f>
        <v>24</v>
      </c>
      <c r="DJ259" s="165">
        <f>IFERROR(INDEX(DD$233:DD$281,_xlfn.AGGREGATE(15,6,(ROW(DD$233:DD$281)-ROW(DD$233)+1)/(DD$233:DD$281&lt;&gt;""),ROWS(DJ$1:DJ27))),"")</f>
        <v>954.83014660011486</v>
      </c>
      <c r="DK259" s="166">
        <f t="shared" si="120"/>
        <v>259</v>
      </c>
      <c r="DL259" s="164">
        <f>IFERROR(INDEX(DE$233:DE$281,_xlfn.AGGREGATE(15,6,(ROW(DE$233:DE$281)-ROW(DE$233)+1)/(DE$233:DE$281&lt;&gt;""),ROWS(DL$1:DL27))),"")</f>
        <v>24</v>
      </c>
      <c r="DM259" s="165">
        <f>IFERROR(INDEX(DF$233:DF$281,_xlfn.AGGREGATE(15,6,(ROW(DF$233:DF$281)-ROW(DF$233)+1)/(DF$233:DF$281&lt;&gt;""),ROWS(DM$1:DM27))),"")</f>
        <v>1179.9738878407741</v>
      </c>
      <c r="DN259" s="166">
        <f t="shared" si="121"/>
        <v>259</v>
      </c>
      <c r="DO259" s="164">
        <f>IFERROR(INDEX(DG$233:DG$281,_xlfn.AGGREGATE(15,6,(ROW(DG$233:DG$281)-ROW(DG$233)+1)/(DG$233:DG$281&lt;&gt;""),ROWS(DO$1:DO27))),"")</f>
        <v>24</v>
      </c>
      <c r="DP259" s="165">
        <f>IFERROR(INDEX(DH$233:DH$281,_xlfn.AGGREGATE(15,6,(ROW(DH$233:DH$281)-ROW(DH$233)+1)/(DH$233:DH$281&lt;&gt;""),ROWS(DP$1:DP27))),"")</f>
        <v>1405.1176290814333</v>
      </c>
      <c r="DQ259" s="166">
        <f t="shared" si="122"/>
        <v>259</v>
      </c>
      <c r="DV259" s="145">
        <v>2041</v>
      </c>
      <c r="DW259" s="235">
        <f t="shared" ca="1" si="106"/>
        <v>1220.9115177060976</v>
      </c>
    </row>
    <row r="260" spans="2:135" ht="13.8" x14ac:dyDescent="0.45">
      <c r="B260" s="128">
        <v>2039</v>
      </c>
      <c r="C260" s="1047">
        <v>1153.609474885845</v>
      </c>
      <c r="D260" s="1050">
        <v>1493.1886063550071</v>
      </c>
      <c r="E260" s="1060"/>
      <c r="F260" s="1051"/>
      <c r="G260" s="1052"/>
      <c r="H260" s="1036"/>
      <c r="I260" s="1112">
        <v>935.24117647058836</v>
      </c>
      <c r="J260" s="247"/>
      <c r="K260" s="245"/>
      <c r="L260" s="246"/>
      <c r="M260" s="245"/>
      <c r="N260" s="29" t="s">
        <v>119</v>
      </c>
      <c r="O260" s="120"/>
      <c r="P260" s="120"/>
      <c r="Q260" s="120"/>
      <c r="R260" s="29">
        <v>25</v>
      </c>
      <c r="S260" s="238">
        <f t="shared" si="107"/>
        <v>935.24117647058836</v>
      </c>
      <c r="T260" s="238">
        <f t="shared" si="108"/>
        <v>1493.1886063550071</v>
      </c>
      <c r="U260" s="238">
        <f t="shared" si="109"/>
        <v>229.56578209905373</v>
      </c>
      <c r="W260" s="238">
        <f t="shared" si="110"/>
        <v>964.44730380475983</v>
      </c>
      <c r="X260" s="238">
        <f t="shared" si="111"/>
        <v>1194.0130859038136</v>
      </c>
      <c r="Y260" s="238">
        <f t="shared" si="112"/>
        <v>1423.5788680028672</v>
      </c>
      <c r="AA260" s="1133">
        <v>1153.6094748858466</v>
      </c>
      <c r="AB260" s="1133">
        <v>1323.3990406204261</v>
      </c>
      <c r="AC260" s="1133">
        <v>1493.1886063550057</v>
      </c>
      <c r="AD260" s="89"/>
      <c r="AE260" s="89"/>
      <c r="AF260" s="89"/>
      <c r="AG260" s="89"/>
      <c r="AH260" s="89"/>
      <c r="AI260" s="89"/>
      <c r="AJ260" s="89"/>
      <c r="AK260" s="89"/>
      <c r="AL260" s="89"/>
      <c r="AM260" s="89"/>
      <c r="AN260" s="89"/>
      <c r="BR260" s="180">
        <v>2037</v>
      </c>
      <c r="BS260" s="22">
        <v>23</v>
      </c>
      <c r="BT260" s="181">
        <f t="shared" si="123"/>
        <v>349.98799788437083</v>
      </c>
      <c r="BU260" s="182">
        <f t="shared" si="124"/>
        <v>795.07013205106455</v>
      </c>
      <c r="BV260" s="205">
        <f t="shared" si="125"/>
        <v>1145.0581299354353</v>
      </c>
      <c r="BY260" s="180">
        <v>2037</v>
      </c>
      <c r="BZ260" s="22">
        <v>23</v>
      </c>
      <c r="CA260" s="181">
        <f t="shared" ca="1" si="126"/>
        <v>-76.636464864008119</v>
      </c>
      <c r="CB260" s="181">
        <f t="shared" ca="1" si="127"/>
        <v>486.60082655499411</v>
      </c>
      <c r="CC260" s="182">
        <f t="shared" ca="1" si="128"/>
        <v>759.72174372059567</v>
      </c>
      <c r="CD260" s="205">
        <f t="shared" ca="1" si="129"/>
        <v>1169.6861054115816</v>
      </c>
      <c r="CG260" s="180">
        <v>2037</v>
      </c>
      <c r="CH260" s="22">
        <v>23</v>
      </c>
      <c r="CI260" s="181">
        <f t="shared" ca="1" si="130"/>
        <v>30.153409040730942</v>
      </c>
      <c r="CJ260" s="181">
        <f t="shared" ca="1" si="131"/>
        <v>-157.26405860335413</v>
      </c>
      <c r="CK260" s="181">
        <f t="shared" ca="1" si="132"/>
        <v>540.39245625582191</v>
      </c>
      <c r="CL260" s="182">
        <f t="shared" ca="1" si="133"/>
        <v>754.47866390087256</v>
      </c>
      <c r="CM260" s="205">
        <f t="shared" ca="1" si="134"/>
        <v>1167.7604705940712</v>
      </c>
      <c r="CP260" s="180">
        <v>2037</v>
      </c>
      <c r="CQ260" s="22">
        <v>23</v>
      </c>
      <c r="CR260" s="181">
        <f t="shared" ca="1" si="135"/>
        <v>810.12186311233324</v>
      </c>
      <c r="CS260" s="182">
        <f t="shared" ca="1" si="136"/>
        <v>1.3908133860535599</v>
      </c>
      <c r="CT260" s="205">
        <f t="shared" ca="1" si="137"/>
        <v>1126.7283315512827</v>
      </c>
      <c r="CZ260" s="164" t="b">
        <f t="shared" si="113"/>
        <v>1</v>
      </c>
      <c r="DA260" s="165" t="b">
        <f t="shared" si="113"/>
        <v>1</v>
      </c>
      <c r="DB260" s="166" t="b">
        <f t="shared" si="113"/>
        <v>1</v>
      </c>
      <c r="DC260" s="164">
        <f t="shared" si="114"/>
        <v>25</v>
      </c>
      <c r="DD260" s="166">
        <f t="shared" si="115"/>
        <v>964.44730380475983</v>
      </c>
      <c r="DE260" s="164">
        <f t="shared" si="116"/>
        <v>25</v>
      </c>
      <c r="DF260" s="166">
        <f t="shared" si="117"/>
        <v>1194.0130859038136</v>
      </c>
      <c r="DG260" s="164">
        <f t="shared" si="118"/>
        <v>25</v>
      </c>
      <c r="DH260" s="166">
        <f t="shared" si="119"/>
        <v>1423.5788680028672</v>
      </c>
      <c r="DI260" s="164">
        <f>IFERROR(INDEX(DC$233:DC$281,_xlfn.AGGREGATE(15,6,(ROW(DC$233:DC$281)-ROW(DC$233)+1)/(DC$233:DC$281&lt;&gt;""),ROWS(DI$1:DI28))),"")</f>
        <v>25</v>
      </c>
      <c r="DJ260" s="165">
        <f>IFERROR(INDEX(DD$233:DD$281,_xlfn.AGGREGATE(15,6,(ROW(DD$233:DD$281)-ROW(DD$233)+1)/(DD$233:DD$281&lt;&gt;""),ROWS(DJ$1:DJ28))),"")</f>
        <v>964.44730380475983</v>
      </c>
      <c r="DK260" s="166">
        <f t="shared" si="120"/>
        <v>260</v>
      </c>
      <c r="DL260" s="164">
        <f>IFERROR(INDEX(DE$233:DE$281,_xlfn.AGGREGATE(15,6,(ROW(DE$233:DE$281)-ROW(DE$233)+1)/(DE$233:DE$281&lt;&gt;""),ROWS(DL$1:DL28))),"")</f>
        <v>25</v>
      </c>
      <c r="DM260" s="165">
        <f>IFERROR(INDEX(DF$233:DF$281,_xlfn.AGGREGATE(15,6,(ROW(DF$233:DF$281)-ROW(DF$233)+1)/(DF$233:DF$281&lt;&gt;""),ROWS(DM$1:DM28))),"")</f>
        <v>1194.0130859038136</v>
      </c>
      <c r="DN260" s="166">
        <f t="shared" si="121"/>
        <v>260</v>
      </c>
      <c r="DO260" s="164">
        <f>IFERROR(INDEX(DG$233:DG$281,_xlfn.AGGREGATE(15,6,(ROW(DG$233:DG$281)-ROW(DG$233)+1)/(DG$233:DG$281&lt;&gt;""),ROWS(DO$1:DO28))),"")</f>
        <v>25</v>
      </c>
      <c r="DP260" s="165">
        <f>IFERROR(INDEX(DH$233:DH$281,_xlfn.AGGREGATE(15,6,(ROW(DH$233:DH$281)-ROW(DH$233)+1)/(DH$233:DH$281&lt;&gt;""),ROWS(DP$1:DP28))),"")</f>
        <v>1423.5788680028672</v>
      </c>
      <c r="DQ260" s="166">
        <f t="shared" si="122"/>
        <v>260</v>
      </c>
      <c r="DV260" s="145">
        <v>2042</v>
      </c>
      <c r="DW260" s="235">
        <f t="shared" ca="1" si="106"/>
        <v>1233.679386559513</v>
      </c>
    </row>
    <row r="261" spans="2:135" ht="13.8" x14ac:dyDescent="0.45">
      <c r="B261" s="128">
        <v>2040</v>
      </c>
      <c r="C261" s="1047">
        <v>1169.8584474885847</v>
      </c>
      <c r="D261" s="1050">
        <v>1505.9921505358254</v>
      </c>
      <c r="E261" s="1060"/>
      <c r="F261" s="1051"/>
      <c r="G261" s="1052"/>
      <c r="H261" s="1036"/>
      <c r="I261" s="1112">
        <v>942.46470588235309</v>
      </c>
      <c r="J261" s="247"/>
      <c r="K261" s="245"/>
      <c r="L261" s="246"/>
      <c r="M261" s="245"/>
      <c r="N261" s="29" t="s">
        <v>119</v>
      </c>
      <c r="O261" s="120"/>
      <c r="P261" s="120"/>
      <c r="Q261" s="120"/>
      <c r="R261" s="29">
        <v>26</v>
      </c>
      <c r="S261" s="238">
        <f t="shared" si="107"/>
        <v>942.46470588235309</v>
      </c>
      <c r="T261" s="238">
        <f t="shared" si="108"/>
        <v>1505.9921505358254</v>
      </c>
      <c r="U261" s="238">
        <f t="shared" si="109"/>
        <v>231.48241136053861</v>
      </c>
      <c r="W261" s="238">
        <f t="shared" si="110"/>
        <v>974.62268994171563</v>
      </c>
      <c r="X261" s="238">
        <f t="shared" si="111"/>
        <v>1206.1051013022543</v>
      </c>
      <c r="Y261" s="238">
        <f t="shared" si="112"/>
        <v>1437.587512662793</v>
      </c>
      <c r="AA261" s="1133">
        <v>1169.8584474885838</v>
      </c>
      <c r="AB261" s="1133">
        <v>1337.925299012205</v>
      </c>
      <c r="AC261" s="1133">
        <v>1505.9921505358261</v>
      </c>
      <c r="AD261" s="89"/>
      <c r="AE261" s="89"/>
      <c r="AF261" s="89"/>
      <c r="AG261" s="89"/>
      <c r="AH261" s="89"/>
      <c r="AI261" s="89"/>
      <c r="AJ261" s="89"/>
      <c r="AK261" s="89"/>
      <c r="AL261" s="89"/>
      <c r="AM261" s="89"/>
      <c r="AN261" s="89"/>
      <c r="BR261" s="180">
        <v>2038</v>
      </c>
      <c r="BS261" s="22">
        <v>24</v>
      </c>
      <c r="BT261" s="181">
        <f t="shared" si="123"/>
        <v>365.20486735760431</v>
      </c>
      <c r="BU261" s="182">
        <f t="shared" si="124"/>
        <v>795.07013205106455</v>
      </c>
      <c r="BV261" s="205">
        <f t="shared" si="125"/>
        <v>1160.2749994086689</v>
      </c>
      <c r="BY261" s="180">
        <v>2038</v>
      </c>
      <c r="BZ261" s="22">
        <v>24</v>
      </c>
      <c r="CA261" s="181">
        <f t="shared" ca="1" si="126"/>
        <v>-83.445375730942672</v>
      </c>
      <c r="CB261" s="181">
        <f t="shared" ca="1" si="127"/>
        <v>507.75738423129826</v>
      </c>
      <c r="CC261" s="182">
        <f t="shared" ca="1" si="128"/>
        <v>759.72174372059567</v>
      </c>
      <c r="CD261" s="205">
        <f t="shared" ca="1" si="129"/>
        <v>1184.0337522209513</v>
      </c>
      <c r="CG261" s="180">
        <v>2038</v>
      </c>
      <c r="CH261" s="22">
        <v>24</v>
      </c>
      <c r="CI261" s="181">
        <f t="shared" ca="1" si="130"/>
        <v>34.259943008059878</v>
      </c>
      <c r="CJ261" s="181">
        <f t="shared" ca="1" si="131"/>
        <v>-171.23647968909637</v>
      </c>
      <c r="CK261" s="181">
        <f t="shared" ca="1" si="132"/>
        <v>563.88778044085757</v>
      </c>
      <c r="CL261" s="182">
        <f t="shared" ca="1" si="133"/>
        <v>754.47866390087256</v>
      </c>
      <c r="CM261" s="205">
        <f t="shared" ca="1" si="134"/>
        <v>1181.3899076606936</v>
      </c>
      <c r="CP261" s="180">
        <v>2038</v>
      </c>
      <c r="CQ261" s="22">
        <v>24</v>
      </c>
      <c r="CR261" s="181">
        <f t="shared" ca="1" si="135"/>
        <v>810.12186311233324</v>
      </c>
      <c r="CS261" s="182">
        <f t="shared" ca="1" si="136"/>
        <v>1.4109055534994797</v>
      </c>
      <c r="CT261" s="205">
        <f t="shared" ca="1" si="137"/>
        <v>1143.0054356765363</v>
      </c>
      <c r="CZ261" s="164" t="b">
        <f t="shared" si="113"/>
        <v>1</v>
      </c>
      <c r="DA261" s="165" t="b">
        <f t="shared" si="113"/>
        <v>1</v>
      </c>
      <c r="DB261" s="166" t="b">
        <f t="shared" si="113"/>
        <v>1</v>
      </c>
      <c r="DC261" s="164">
        <f t="shared" si="114"/>
        <v>26</v>
      </c>
      <c r="DD261" s="166">
        <f t="shared" si="115"/>
        <v>974.62268994171563</v>
      </c>
      <c r="DE261" s="164">
        <f t="shared" si="116"/>
        <v>26</v>
      </c>
      <c r="DF261" s="166">
        <f t="shared" si="117"/>
        <v>1206.1051013022543</v>
      </c>
      <c r="DG261" s="164">
        <f t="shared" si="118"/>
        <v>26</v>
      </c>
      <c r="DH261" s="166">
        <f t="shared" si="119"/>
        <v>1437.587512662793</v>
      </c>
      <c r="DI261" s="164">
        <f>IFERROR(INDEX(DC$233:DC$281,_xlfn.AGGREGATE(15,6,(ROW(DC$233:DC$281)-ROW(DC$233)+1)/(DC$233:DC$281&lt;&gt;""),ROWS(DI$1:DI29))),"")</f>
        <v>26</v>
      </c>
      <c r="DJ261" s="165">
        <f>IFERROR(INDEX(DD$233:DD$281,_xlfn.AGGREGATE(15,6,(ROW(DD$233:DD$281)-ROW(DD$233)+1)/(DD$233:DD$281&lt;&gt;""),ROWS(DJ$1:DJ29))),"")</f>
        <v>974.62268994171563</v>
      </c>
      <c r="DK261" s="166">
        <f t="shared" si="120"/>
        <v>261</v>
      </c>
      <c r="DL261" s="164">
        <f>IFERROR(INDEX(DE$233:DE$281,_xlfn.AGGREGATE(15,6,(ROW(DE$233:DE$281)-ROW(DE$233)+1)/(DE$233:DE$281&lt;&gt;""),ROWS(DL$1:DL29))),"")</f>
        <v>26</v>
      </c>
      <c r="DM261" s="165">
        <f>IFERROR(INDEX(DF$233:DF$281,_xlfn.AGGREGATE(15,6,(ROW(DF$233:DF$281)-ROW(DF$233)+1)/(DF$233:DF$281&lt;&gt;""),ROWS(DM$1:DM29))),"")</f>
        <v>1206.1051013022543</v>
      </c>
      <c r="DN261" s="166">
        <f t="shared" si="121"/>
        <v>261</v>
      </c>
      <c r="DO261" s="164">
        <f>IFERROR(INDEX(DG$233:DG$281,_xlfn.AGGREGATE(15,6,(ROW(DG$233:DG$281)-ROW(DG$233)+1)/(DG$233:DG$281&lt;&gt;""),ROWS(DO$1:DO29))),"")</f>
        <v>26</v>
      </c>
      <c r="DP261" s="165">
        <f>IFERROR(INDEX(DH$233:DH$281,_xlfn.AGGREGATE(15,6,(ROW(DH$233:DH$281)-ROW(DH$233)+1)/(DH$233:DH$281&lt;&gt;""),ROWS(DP$1:DP29))),"")</f>
        <v>1437.587512662793</v>
      </c>
      <c r="DQ261" s="166">
        <f t="shared" si="122"/>
        <v>261</v>
      </c>
      <c r="DV261" s="145">
        <v>2043</v>
      </c>
      <c r="DW261" s="235">
        <f t="shared" ca="1" si="106"/>
        <v>1246.2690377769532</v>
      </c>
      <c r="EA261" s="55"/>
      <c r="EB261" s="55"/>
      <c r="EC261" s="55"/>
      <c r="ED261" s="55"/>
      <c r="EE261" s="55"/>
    </row>
    <row r="262" spans="2:135" ht="13.8" x14ac:dyDescent="0.45">
      <c r="B262" s="128">
        <v>2041</v>
      </c>
      <c r="C262" s="1047">
        <v>1186.1074200913242</v>
      </c>
      <c r="D262" s="1050">
        <v>1529.5826486353606</v>
      </c>
      <c r="E262" s="1060"/>
      <c r="F262" s="1051"/>
      <c r="G262" s="1052"/>
      <c r="H262" s="1036"/>
      <c r="I262" s="1112">
        <v>949.6882352941177</v>
      </c>
      <c r="J262" s="247"/>
      <c r="K262" s="245"/>
      <c r="L262" s="246"/>
      <c r="M262" s="245"/>
      <c r="N262" s="29" t="s">
        <v>119</v>
      </c>
      <c r="O262" s="120"/>
      <c r="P262" s="120"/>
      <c r="Q262" s="120"/>
      <c r="R262" s="29">
        <v>27</v>
      </c>
      <c r="S262" s="238">
        <f t="shared" si="107"/>
        <v>949.6882352941177</v>
      </c>
      <c r="T262" s="238">
        <f t="shared" si="108"/>
        <v>1529.5826486353606</v>
      </c>
      <c r="U262" s="238">
        <f t="shared" si="109"/>
        <v>238.08187064955825</v>
      </c>
      <c r="W262" s="238">
        <f t="shared" si="110"/>
        <v>983.71089735737598</v>
      </c>
      <c r="X262" s="238">
        <f t="shared" si="111"/>
        <v>1221.7927680069342</v>
      </c>
      <c r="Y262" s="238">
        <f t="shared" si="112"/>
        <v>1459.8746386564926</v>
      </c>
      <c r="AA262" s="1133">
        <v>1186.1074200913238</v>
      </c>
      <c r="AB262" s="1133">
        <v>1357.8450343633424</v>
      </c>
      <c r="AC262" s="1133">
        <v>1529.582648635361</v>
      </c>
      <c r="AD262" s="89"/>
      <c r="AE262" s="89"/>
      <c r="AF262" s="89"/>
      <c r="AG262" s="89"/>
      <c r="AH262" s="89"/>
      <c r="AI262" s="89"/>
      <c r="AJ262" s="89"/>
      <c r="AK262" s="89"/>
      <c r="AL262" s="89"/>
      <c r="AM262" s="89"/>
      <c r="AN262" s="89"/>
      <c r="BR262" s="180">
        <v>2039</v>
      </c>
      <c r="BS262" s="22">
        <v>25</v>
      </c>
      <c r="BT262" s="181">
        <f t="shared" si="123"/>
        <v>380.42173683083786</v>
      </c>
      <c r="BU262" s="182">
        <f t="shared" si="124"/>
        <v>795.07013205106455</v>
      </c>
      <c r="BV262" s="205">
        <f t="shared" si="125"/>
        <v>1175.4918688819025</v>
      </c>
      <c r="BY262" s="180">
        <v>2039</v>
      </c>
      <c r="BZ262" s="22">
        <v>25</v>
      </c>
      <c r="CA262" s="181">
        <f t="shared" ca="1" si="126"/>
        <v>-90.544027485831904</v>
      </c>
      <c r="CB262" s="181">
        <f t="shared" ca="1" si="127"/>
        <v>528.91394190760229</v>
      </c>
      <c r="CC262" s="182">
        <f t="shared" ca="1" si="128"/>
        <v>759.72174372059567</v>
      </c>
      <c r="CD262" s="205">
        <f t="shared" ca="1" si="129"/>
        <v>1198.091658142366</v>
      </c>
      <c r="CG262" s="180">
        <v>2039</v>
      </c>
      <c r="CH262" s="22">
        <v>25</v>
      </c>
      <c r="CI262" s="181">
        <f t="shared" ca="1" si="130"/>
        <v>38.723351381722772</v>
      </c>
      <c r="CJ262" s="181">
        <f t="shared" ca="1" si="131"/>
        <v>-185.80347188487019</v>
      </c>
      <c r="CK262" s="181">
        <f t="shared" ca="1" si="132"/>
        <v>587.38310462589334</v>
      </c>
      <c r="CL262" s="182">
        <f t="shared" ca="1" si="133"/>
        <v>754.47866390087256</v>
      </c>
      <c r="CM262" s="205">
        <f t="shared" ca="1" si="134"/>
        <v>1194.7816480236183</v>
      </c>
      <c r="CP262" s="180">
        <v>2039</v>
      </c>
      <c r="CQ262" s="22">
        <v>25</v>
      </c>
      <c r="CR262" s="181">
        <f t="shared" ca="1" si="135"/>
        <v>810.12186311233324</v>
      </c>
      <c r="CS262" s="182">
        <f t="shared" ca="1" si="136"/>
        <v>1.4312879792911437</v>
      </c>
      <c r="CT262" s="205">
        <f t="shared" ca="1" si="137"/>
        <v>1159.5176844336279</v>
      </c>
      <c r="CZ262" s="164" t="b">
        <f t="shared" si="113"/>
        <v>1</v>
      </c>
      <c r="DA262" s="165" t="b">
        <f t="shared" si="113"/>
        <v>1</v>
      </c>
      <c r="DB262" s="166" t="b">
        <f t="shared" si="113"/>
        <v>1</v>
      </c>
      <c r="DC262" s="164">
        <f t="shared" si="114"/>
        <v>27</v>
      </c>
      <c r="DD262" s="166">
        <f t="shared" si="115"/>
        <v>983.71089735737598</v>
      </c>
      <c r="DE262" s="164">
        <f t="shared" si="116"/>
        <v>27</v>
      </c>
      <c r="DF262" s="166">
        <f t="shared" si="117"/>
        <v>1221.7927680069342</v>
      </c>
      <c r="DG262" s="164">
        <f t="shared" si="118"/>
        <v>27</v>
      </c>
      <c r="DH262" s="166">
        <f t="shared" si="119"/>
        <v>1459.8746386564926</v>
      </c>
      <c r="DI262" s="164">
        <f>IFERROR(INDEX(DC$233:DC$281,_xlfn.AGGREGATE(15,6,(ROW(DC$233:DC$281)-ROW(DC$233)+1)/(DC$233:DC$281&lt;&gt;""),ROWS(DI$1:DI30))),"")</f>
        <v>27</v>
      </c>
      <c r="DJ262" s="165">
        <f>IFERROR(INDEX(DD$233:DD$281,_xlfn.AGGREGATE(15,6,(ROW(DD$233:DD$281)-ROW(DD$233)+1)/(DD$233:DD$281&lt;&gt;""),ROWS(DJ$1:DJ30))),"")</f>
        <v>983.71089735737598</v>
      </c>
      <c r="DK262" s="166">
        <f t="shared" si="120"/>
        <v>262</v>
      </c>
      <c r="DL262" s="164">
        <f>IFERROR(INDEX(DE$233:DE$281,_xlfn.AGGREGATE(15,6,(ROW(DE$233:DE$281)-ROW(DE$233)+1)/(DE$233:DE$281&lt;&gt;""),ROWS(DL$1:DL30))),"")</f>
        <v>27</v>
      </c>
      <c r="DM262" s="165">
        <f>IFERROR(INDEX(DF$233:DF$281,_xlfn.AGGREGATE(15,6,(ROW(DF$233:DF$281)-ROW(DF$233)+1)/(DF$233:DF$281&lt;&gt;""),ROWS(DM$1:DM30))),"")</f>
        <v>1221.7927680069342</v>
      </c>
      <c r="DN262" s="166">
        <f t="shared" si="121"/>
        <v>262</v>
      </c>
      <c r="DO262" s="164">
        <f>IFERROR(INDEX(DG$233:DG$281,_xlfn.AGGREGATE(15,6,(ROW(DG$233:DG$281)-ROW(DG$233)+1)/(DG$233:DG$281&lt;&gt;""),ROWS(DO$1:DO30))),"")</f>
        <v>27</v>
      </c>
      <c r="DP262" s="165">
        <f>IFERROR(INDEX(DH$233:DH$281,_xlfn.AGGREGATE(15,6,(ROW(DH$233:DH$281)-ROW(DH$233)+1)/(DH$233:DH$281&lt;&gt;""),ROWS(DP$1:DP30))),"")</f>
        <v>1459.8746386564926</v>
      </c>
      <c r="DQ262" s="166">
        <f t="shared" si="122"/>
        <v>262</v>
      </c>
      <c r="DV262" s="145">
        <v>2044</v>
      </c>
      <c r="DW262" s="235">
        <f t="shared" ca="1" si="106"/>
        <v>1258.6953411253485</v>
      </c>
      <c r="EA262" s="55"/>
      <c r="EB262" s="55"/>
      <c r="EC262" s="55"/>
      <c r="ED262" s="55"/>
      <c r="EE262" s="55"/>
    </row>
    <row r="263" spans="2:135" ht="13.8" x14ac:dyDescent="0.45">
      <c r="B263" s="128">
        <v>2042</v>
      </c>
      <c r="C263" s="1047">
        <v>1202.356392694064</v>
      </c>
      <c r="D263" s="1050">
        <v>1545.1012088385505</v>
      </c>
      <c r="E263" s="1060"/>
      <c r="F263" s="1051"/>
      <c r="G263" s="1052"/>
      <c r="H263" s="1036"/>
      <c r="I263" s="1112">
        <v>956.91176470588243</v>
      </c>
      <c r="J263" s="247"/>
      <c r="K263" s="245"/>
      <c r="L263" s="246"/>
      <c r="M263" s="245"/>
      <c r="N263" s="29" t="s">
        <v>119</v>
      </c>
      <c r="O263" s="120"/>
      <c r="P263" s="120"/>
      <c r="Q263" s="120"/>
      <c r="R263" s="29">
        <v>28</v>
      </c>
      <c r="S263" s="238">
        <f t="shared" si="107"/>
        <v>956.91176470588243</v>
      </c>
      <c r="T263" s="238">
        <f t="shared" si="108"/>
        <v>1545.1012088385505</v>
      </c>
      <c r="U263" s="238">
        <f t="shared" si="109"/>
        <v>241.22002325937217</v>
      </c>
      <c r="W263" s="238">
        <f t="shared" si="110"/>
        <v>993.56976548679347</v>
      </c>
      <c r="X263" s="238">
        <f t="shared" si="111"/>
        <v>1234.7897887461656</v>
      </c>
      <c r="Y263" s="238">
        <f t="shared" si="112"/>
        <v>1476.0098120055377</v>
      </c>
      <c r="AA263" s="1133">
        <v>1202.3563926940647</v>
      </c>
      <c r="AB263" s="1133">
        <v>1373.7288007663074</v>
      </c>
      <c r="AC263" s="1133">
        <v>1545.1012088385501</v>
      </c>
      <c r="AD263" s="89"/>
      <c r="AE263" s="89"/>
      <c r="AF263" s="89"/>
      <c r="AG263" s="89"/>
      <c r="AH263" s="89"/>
      <c r="AI263" s="89"/>
      <c r="AJ263" s="89"/>
      <c r="AK263" s="89"/>
      <c r="AL263" s="89"/>
      <c r="AM263" s="89"/>
      <c r="AN263" s="89"/>
      <c r="BR263" s="180">
        <v>2040</v>
      </c>
      <c r="BS263" s="22">
        <v>26</v>
      </c>
      <c r="BT263" s="181">
        <f t="shared" si="123"/>
        <v>395.63860630407135</v>
      </c>
      <c r="BU263" s="182">
        <f t="shared" si="124"/>
        <v>795.07013205106455</v>
      </c>
      <c r="BV263" s="205">
        <f t="shared" si="125"/>
        <v>1190.7087383551359</v>
      </c>
      <c r="BY263" s="180">
        <v>2040</v>
      </c>
      <c r="BZ263" s="22">
        <v>26</v>
      </c>
      <c r="CA263" s="181">
        <f t="shared" ca="1" si="126"/>
        <v>-97.932420128675787</v>
      </c>
      <c r="CB263" s="181">
        <f t="shared" ca="1" si="127"/>
        <v>550.07049958390644</v>
      </c>
      <c r="CC263" s="182">
        <f t="shared" ca="1" si="128"/>
        <v>759.72174372059567</v>
      </c>
      <c r="CD263" s="205">
        <f t="shared" ca="1" si="129"/>
        <v>1211.8598231758263</v>
      </c>
      <c r="CG263" s="180">
        <v>2040</v>
      </c>
      <c r="CH263" s="22">
        <v>26</v>
      </c>
      <c r="CI263" s="181">
        <f t="shared" ca="1" si="130"/>
        <v>43.558503928650204</v>
      </c>
      <c r="CJ263" s="181">
        <f t="shared" ca="1" si="131"/>
        <v>-200.96503519067559</v>
      </c>
      <c r="CK263" s="181">
        <f t="shared" ca="1" si="132"/>
        <v>610.87842881092911</v>
      </c>
      <c r="CL263" s="182">
        <f t="shared" ca="1" si="133"/>
        <v>754.47866390087256</v>
      </c>
      <c r="CM263" s="205">
        <f t="shared" ca="1" si="134"/>
        <v>1207.9505614497762</v>
      </c>
      <c r="CP263" s="180">
        <v>2040</v>
      </c>
      <c r="CQ263" s="22">
        <v>26</v>
      </c>
      <c r="CR263" s="181">
        <f t="shared" ca="1" si="135"/>
        <v>810.12186311233324</v>
      </c>
      <c r="CS263" s="182">
        <f t="shared" ca="1" si="136"/>
        <v>1.4519648566002197</v>
      </c>
      <c r="CT263" s="205">
        <f t="shared" ca="1" si="137"/>
        <v>1176.2684748026018</v>
      </c>
      <c r="CZ263" s="164" t="b">
        <f t="shared" si="113"/>
        <v>1</v>
      </c>
      <c r="DA263" s="165" t="b">
        <f t="shared" si="113"/>
        <v>1</v>
      </c>
      <c r="DB263" s="166" t="b">
        <f t="shared" si="113"/>
        <v>1</v>
      </c>
      <c r="DC263" s="164">
        <f t="shared" si="114"/>
        <v>28</v>
      </c>
      <c r="DD263" s="166">
        <f t="shared" si="115"/>
        <v>993.56976548679347</v>
      </c>
      <c r="DE263" s="164">
        <f t="shared" si="116"/>
        <v>28</v>
      </c>
      <c r="DF263" s="166">
        <f t="shared" si="117"/>
        <v>1234.7897887461656</v>
      </c>
      <c r="DG263" s="164">
        <f t="shared" si="118"/>
        <v>28</v>
      </c>
      <c r="DH263" s="166">
        <f t="shared" si="119"/>
        <v>1476.0098120055377</v>
      </c>
      <c r="DI263" s="164">
        <f>IFERROR(INDEX(DC$233:DC$281,_xlfn.AGGREGATE(15,6,(ROW(DC$233:DC$281)-ROW(DC$233)+1)/(DC$233:DC$281&lt;&gt;""),ROWS(DI$1:DI31))),"")</f>
        <v>28</v>
      </c>
      <c r="DJ263" s="165">
        <f>IFERROR(INDEX(DD$233:DD$281,_xlfn.AGGREGATE(15,6,(ROW(DD$233:DD$281)-ROW(DD$233)+1)/(DD$233:DD$281&lt;&gt;""),ROWS(DJ$1:DJ31))),"")</f>
        <v>993.56976548679347</v>
      </c>
      <c r="DK263" s="166">
        <f t="shared" si="120"/>
        <v>263</v>
      </c>
      <c r="DL263" s="164">
        <f>IFERROR(INDEX(DE$233:DE$281,_xlfn.AGGREGATE(15,6,(ROW(DE$233:DE$281)-ROW(DE$233)+1)/(DE$233:DE$281&lt;&gt;""),ROWS(DL$1:DL31))),"")</f>
        <v>28</v>
      </c>
      <c r="DM263" s="165">
        <f>IFERROR(INDEX(DF$233:DF$281,_xlfn.AGGREGATE(15,6,(ROW(DF$233:DF$281)-ROW(DF$233)+1)/(DF$233:DF$281&lt;&gt;""),ROWS(DM$1:DM31))),"")</f>
        <v>1234.7897887461656</v>
      </c>
      <c r="DN263" s="166">
        <f t="shared" si="121"/>
        <v>263</v>
      </c>
      <c r="DO263" s="164">
        <f>IFERROR(INDEX(DG$233:DG$281,_xlfn.AGGREGATE(15,6,(ROW(DG$233:DG$281)-ROW(DG$233)+1)/(DG$233:DG$281&lt;&gt;""),ROWS(DO$1:DO31))),"")</f>
        <v>28</v>
      </c>
      <c r="DP263" s="165">
        <f>IFERROR(INDEX(DH$233:DH$281,_xlfn.AGGREGATE(15,6,(ROW(DH$233:DH$281)-ROW(DH$233)+1)/(DH$233:DH$281&lt;&gt;""),ROWS(DP$1:DP31))),"")</f>
        <v>1476.0098120055377</v>
      </c>
      <c r="DQ263" s="166">
        <f t="shared" si="122"/>
        <v>263</v>
      </c>
      <c r="DV263" s="145">
        <v>2045</v>
      </c>
      <c r="DW263" s="235">
        <f t="shared" ca="1" si="106"/>
        <v>1270.9731663716298</v>
      </c>
      <c r="EA263" s="55"/>
      <c r="EB263" s="55"/>
      <c r="EC263" s="55"/>
      <c r="ED263" s="55"/>
      <c r="EE263" s="55"/>
    </row>
    <row r="264" spans="2:135" ht="13.8" x14ac:dyDescent="0.45">
      <c r="B264" s="128">
        <v>2043</v>
      </c>
      <c r="C264" s="1047">
        <v>1218.6053652968037</v>
      </c>
      <c r="D264" s="1050">
        <v>1560.4398843255683</v>
      </c>
      <c r="E264" s="1060"/>
      <c r="F264" s="1051"/>
      <c r="G264" s="1052"/>
      <c r="H264" s="1036"/>
      <c r="I264" s="1112">
        <v>964.13529411764716</v>
      </c>
      <c r="J264" s="247"/>
      <c r="K264" s="245"/>
      <c r="L264" s="246"/>
      <c r="M264" s="245"/>
      <c r="N264" s="29" t="s">
        <v>119</v>
      </c>
      <c r="O264" s="120"/>
      <c r="P264" s="120"/>
      <c r="Q264" s="120"/>
      <c r="R264" s="29">
        <v>29</v>
      </c>
      <c r="S264" s="238">
        <f t="shared" si="107"/>
        <v>964.13529411764716</v>
      </c>
      <c r="T264" s="238">
        <f t="shared" si="108"/>
        <v>1560.4398843255683</v>
      </c>
      <c r="U264" s="238">
        <f t="shared" si="109"/>
        <v>244.30968958557261</v>
      </c>
      <c r="W264" s="238">
        <f t="shared" si="110"/>
        <v>1003.4171583277671</v>
      </c>
      <c r="X264" s="238">
        <f t="shared" si="111"/>
        <v>1247.7268479133397</v>
      </c>
      <c r="Y264" s="238">
        <f t="shared" si="112"/>
        <v>1492.0365374989124</v>
      </c>
      <c r="AA264" s="1133">
        <v>1218.6053652968035</v>
      </c>
      <c r="AB264" s="1133">
        <v>1389.522624811186</v>
      </c>
      <c r="AC264" s="1133">
        <v>1560.4398843255685</v>
      </c>
      <c r="AD264" s="89"/>
      <c r="AE264" s="89"/>
      <c r="AF264" s="89"/>
      <c r="AG264" s="89"/>
      <c r="AH264" s="89"/>
      <c r="AI264" s="89"/>
      <c r="AJ264" s="89"/>
      <c r="AK264" s="89"/>
      <c r="AL264" s="89"/>
      <c r="AM264" s="89"/>
      <c r="AN264" s="89"/>
      <c r="BR264" s="180">
        <v>2041</v>
      </c>
      <c r="BS264" s="22">
        <v>27</v>
      </c>
      <c r="BT264" s="181">
        <f t="shared" si="123"/>
        <v>410.85547577730489</v>
      </c>
      <c r="BU264" s="182">
        <f t="shared" si="124"/>
        <v>795.07013205106455</v>
      </c>
      <c r="BV264" s="205">
        <f t="shared" si="125"/>
        <v>1205.9256078283695</v>
      </c>
      <c r="BY264" s="180">
        <v>2041</v>
      </c>
      <c r="BZ264" s="22">
        <v>27</v>
      </c>
      <c r="CA264" s="181">
        <f t="shared" ca="1" si="126"/>
        <v>-105.61055365947432</v>
      </c>
      <c r="CB264" s="181">
        <f t="shared" ca="1" si="127"/>
        <v>571.22705726021047</v>
      </c>
      <c r="CC264" s="182">
        <f t="shared" ca="1" si="128"/>
        <v>759.72174372059567</v>
      </c>
      <c r="CD264" s="205">
        <f t="shared" ca="1" si="129"/>
        <v>1225.3382473213319</v>
      </c>
      <c r="CG264" s="180">
        <v>2041</v>
      </c>
      <c r="CH264" s="22">
        <v>27</v>
      </c>
      <c r="CI264" s="181">
        <f t="shared" ca="1" si="130"/>
        <v>48.780270415772755</v>
      </c>
      <c r="CJ264" s="181">
        <f t="shared" ca="1" si="131"/>
        <v>-216.72116960651258</v>
      </c>
      <c r="CK264" s="181">
        <f t="shared" ca="1" si="132"/>
        <v>634.37375299596488</v>
      </c>
      <c r="CL264" s="182">
        <f t="shared" ca="1" si="133"/>
        <v>754.47866390087256</v>
      </c>
      <c r="CM264" s="205">
        <f t="shared" ca="1" si="134"/>
        <v>1220.9115177060976</v>
      </c>
      <c r="CP264" s="180">
        <v>2041</v>
      </c>
      <c r="CQ264" s="22">
        <v>27</v>
      </c>
      <c r="CR264" s="181">
        <f t="shared" ca="1" si="135"/>
        <v>810.12186311233324</v>
      </c>
      <c r="CS264" s="182">
        <f t="shared" ca="1" si="136"/>
        <v>1.4729404391743717</v>
      </c>
      <c r="CT264" s="205">
        <f t="shared" ca="1" si="137"/>
        <v>1193.2612528374405</v>
      </c>
      <c r="CZ264" s="164" t="b">
        <f t="shared" si="113"/>
        <v>1</v>
      </c>
      <c r="DA264" s="165" t="b">
        <f t="shared" si="113"/>
        <v>1</v>
      </c>
      <c r="DB264" s="166" t="b">
        <f t="shared" si="113"/>
        <v>1</v>
      </c>
      <c r="DC264" s="164">
        <f t="shared" si="114"/>
        <v>29</v>
      </c>
      <c r="DD264" s="166">
        <f t="shared" si="115"/>
        <v>1003.4171583277671</v>
      </c>
      <c r="DE264" s="164">
        <f t="shared" si="116"/>
        <v>29</v>
      </c>
      <c r="DF264" s="166">
        <f t="shared" si="117"/>
        <v>1247.7268479133397</v>
      </c>
      <c r="DG264" s="164">
        <f t="shared" si="118"/>
        <v>29</v>
      </c>
      <c r="DH264" s="166">
        <f t="shared" si="119"/>
        <v>1492.0365374989124</v>
      </c>
      <c r="DI264" s="164">
        <f>IFERROR(INDEX(DC$233:DC$281,_xlfn.AGGREGATE(15,6,(ROW(DC$233:DC$281)-ROW(DC$233)+1)/(DC$233:DC$281&lt;&gt;""),ROWS(DI$1:DI32))),"")</f>
        <v>29</v>
      </c>
      <c r="DJ264" s="165">
        <f>IFERROR(INDEX(DD$233:DD$281,_xlfn.AGGREGATE(15,6,(ROW(DD$233:DD$281)-ROW(DD$233)+1)/(DD$233:DD$281&lt;&gt;""),ROWS(DJ$1:DJ32))),"")</f>
        <v>1003.4171583277671</v>
      </c>
      <c r="DK264" s="166">
        <f t="shared" si="120"/>
        <v>264</v>
      </c>
      <c r="DL264" s="164">
        <f>IFERROR(INDEX(DE$233:DE$281,_xlfn.AGGREGATE(15,6,(ROW(DE$233:DE$281)-ROW(DE$233)+1)/(DE$233:DE$281&lt;&gt;""),ROWS(DL$1:DL32))),"")</f>
        <v>29</v>
      </c>
      <c r="DM264" s="165">
        <f>IFERROR(INDEX(DF$233:DF$281,_xlfn.AGGREGATE(15,6,(ROW(DF$233:DF$281)-ROW(DF$233)+1)/(DF$233:DF$281&lt;&gt;""),ROWS(DM$1:DM32))),"")</f>
        <v>1247.7268479133397</v>
      </c>
      <c r="DN264" s="166">
        <f t="shared" si="121"/>
        <v>264</v>
      </c>
      <c r="DO264" s="164">
        <f>IFERROR(INDEX(DG$233:DG$281,_xlfn.AGGREGATE(15,6,(ROW(DG$233:DG$281)-ROW(DG$233)+1)/(DG$233:DG$281&lt;&gt;""),ROWS(DO$1:DO32))),"")</f>
        <v>29</v>
      </c>
      <c r="DP264" s="165">
        <f>IFERROR(INDEX(DH$233:DH$281,_xlfn.AGGREGATE(15,6,(ROW(DH$233:DH$281)-ROW(DH$233)+1)/(DH$233:DH$281&lt;&gt;""),ROWS(DP$1:DP32))),"")</f>
        <v>1492.0365374989124</v>
      </c>
      <c r="DQ264" s="166">
        <f t="shared" si="122"/>
        <v>264</v>
      </c>
      <c r="DV264" s="145">
        <v>2046</v>
      </c>
      <c r="DW264" s="235">
        <f t="shared" ca="1" si="106"/>
        <v>1283.1173832827274</v>
      </c>
      <c r="EA264" s="55"/>
      <c r="EB264" s="55"/>
      <c r="EC264" s="55"/>
      <c r="ED264" s="55"/>
      <c r="EE264" s="55"/>
    </row>
    <row r="265" spans="2:135" ht="13.8" x14ac:dyDescent="0.45">
      <c r="B265" s="128">
        <v>2044</v>
      </c>
      <c r="C265" s="1047">
        <v>1234.8543378995435</v>
      </c>
      <c r="D265" s="1050">
        <v>1575.6459817712016</v>
      </c>
      <c r="E265" s="1060"/>
      <c r="F265" s="1051"/>
      <c r="G265" s="1052"/>
      <c r="H265" s="1036"/>
      <c r="I265" s="1112">
        <v>971.35882352941189</v>
      </c>
      <c r="J265" s="247"/>
      <c r="K265" s="245"/>
      <c r="L265" s="246"/>
      <c r="M265" s="245"/>
      <c r="N265" s="29" t="s">
        <v>119</v>
      </c>
      <c r="O265" s="120"/>
      <c r="P265" s="120"/>
      <c r="Q265" s="120"/>
      <c r="R265" s="29">
        <v>30</v>
      </c>
      <c r="S265" s="238">
        <f t="shared" si="107"/>
        <v>971.35882352941189</v>
      </c>
      <c r="T265" s="238">
        <f t="shared" si="108"/>
        <v>1575.6459817712016</v>
      </c>
      <c r="U265" s="238">
        <f t="shared" si="109"/>
        <v>247.37102144167196</v>
      </c>
      <c r="W265" s="238">
        <f t="shared" si="110"/>
        <v>1013.2486929583804</v>
      </c>
      <c r="X265" s="238">
        <f t="shared" ref="X265:X281" si="140">IF(U265="",#N/A,(SUM(C265:Q265)/COUNTIFS(C265:Q265,"&gt;0")))</f>
        <v>1260.6197144000523</v>
      </c>
      <c r="Y265" s="238">
        <f t="shared" si="112"/>
        <v>1507.9907358417242</v>
      </c>
      <c r="AA265" s="1133">
        <v>1234.8543378995423</v>
      </c>
      <c r="AB265" s="1133">
        <v>1405.2501598353724</v>
      </c>
      <c r="AC265" s="1133">
        <v>1575.6459817712025</v>
      </c>
      <c r="AD265" s="89"/>
      <c r="AE265" s="89"/>
      <c r="AF265" s="89"/>
      <c r="AG265" s="89"/>
      <c r="AH265" s="89"/>
      <c r="AI265" s="89"/>
      <c r="AJ265" s="89"/>
      <c r="AK265" s="89"/>
      <c r="AL265" s="89"/>
      <c r="AM265" s="89"/>
      <c r="AN265" s="89"/>
      <c r="BR265" s="180">
        <v>2042</v>
      </c>
      <c r="BS265" s="22">
        <v>28</v>
      </c>
      <c r="BT265" s="181">
        <f t="shared" si="123"/>
        <v>426.07234525053838</v>
      </c>
      <c r="BU265" s="182">
        <f t="shared" si="124"/>
        <v>795.07013205106455</v>
      </c>
      <c r="BV265" s="205">
        <f t="shared" si="125"/>
        <v>1221.1424773016029</v>
      </c>
      <c r="BY265" s="180">
        <v>2042</v>
      </c>
      <c r="BZ265" s="22">
        <v>28</v>
      </c>
      <c r="CA265" s="181">
        <f t="shared" ca="1" si="126"/>
        <v>-113.57842807822753</v>
      </c>
      <c r="CB265" s="181">
        <f t="shared" ca="1" si="127"/>
        <v>592.38361493651462</v>
      </c>
      <c r="CC265" s="182">
        <f t="shared" ca="1" si="128"/>
        <v>759.72174372059567</v>
      </c>
      <c r="CD265" s="205">
        <f t="shared" ca="1" si="129"/>
        <v>1238.5269305788827</v>
      </c>
      <c r="CG265" s="180">
        <v>2042</v>
      </c>
      <c r="CH265" s="22">
        <v>28</v>
      </c>
      <c r="CI265" s="181">
        <f t="shared" ca="1" si="130"/>
        <v>54.403520610021012</v>
      </c>
      <c r="CJ265" s="181">
        <f t="shared" ca="1" si="131"/>
        <v>-233.07187513238117</v>
      </c>
      <c r="CK265" s="181">
        <f t="shared" ca="1" si="132"/>
        <v>657.86907718100053</v>
      </c>
      <c r="CL265" s="182">
        <f t="shared" ca="1" si="133"/>
        <v>754.47866390087256</v>
      </c>
      <c r="CM265" s="205">
        <f t="shared" ca="1" si="134"/>
        <v>1233.679386559513</v>
      </c>
      <c r="CP265" s="180">
        <v>2042</v>
      </c>
      <c r="CQ265" s="22">
        <v>28</v>
      </c>
      <c r="CR265" s="181">
        <f t="shared" ca="1" si="135"/>
        <v>810.12186311233324</v>
      </c>
      <c r="CS265" s="182">
        <f t="shared" ca="1" si="136"/>
        <v>1.4942190422123629</v>
      </c>
      <c r="CT265" s="205">
        <f t="shared" ca="1" si="137"/>
        <v>1210.4995143750054</v>
      </c>
      <c r="CZ265" s="164" t="b">
        <f t="shared" si="113"/>
        <v>1</v>
      </c>
      <c r="DA265" s="165" t="b">
        <f t="shared" si="113"/>
        <v>1</v>
      </c>
      <c r="DB265" s="166" t="b">
        <f t="shared" si="113"/>
        <v>1</v>
      </c>
      <c r="DC265" s="164">
        <f t="shared" si="114"/>
        <v>30</v>
      </c>
      <c r="DD265" s="166">
        <f t="shared" si="115"/>
        <v>1013.2486929583804</v>
      </c>
      <c r="DE265" s="164">
        <f t="shared" si="116"/>
        <v>30</v>
      </c>
      <c r="DF265" s="166">
        <f t="shared" si="117"/>
        <v>1260.6197144000523</v>
      </c>
      <c r="DG265" s="164">
        <f t="shared" si="118"/>
        <v>30</v>
      </c>
      <c r="DH265" s="166">
        <f t="shared" si="119"/>
        <v>1507.9907358417242</v>
      </c>
      <c r="DI265" s="164">
        <f>IFERROR(INDEX(DC$233:DC$281,_xlfn.AGGREGATE(15,6,(ROW(DC$233:DC$281)-ROW(DC$233)+1)/(DC$233:DC$281&lt;&gt;""),ROWS(DI$1:DI33))),"")</f>
        <v>30</v>
      </c>
      <c r="DJ265" s="165">
        <f>IFERROR(INDEX(DD$233:DD$281,_xlfn.AGGREGATE(15,6,(ROW(DD$233:DD$281)-ROW(DD$233)+1)/(DD$233:DD$281&lt;&gt;""),ROWS(DJ$1:DJ33))),"")</f>
        <v>1013.2486929583804</v>
      </c>
      <c r="DK265" s="166">
        <f t="shared" si="120"/>
        <v>265</v>
      </c>
      <c r="DL265" s="164">
        <f>IFERROR(INDEX(DE$233:DE$281,_xlfn.AGGREGATE(15,6,(ROW(DE$233:DE$281)-ROW(DE$233)+1)/(DE$233:DE$281&lt;&gt;""),ROWS(DL$1:DL33))),"")</f>
        <v>30</v>
      </c>
      <c r="DM265" s="165">
        <f>IFERROR(INDEX(DF$233:DF$281,_xlfn.AGGREGATE(15,6,(ROW(DF$233:DF$281)-ROW(DF$233)+1)/(DF$233:DF$281&lt;&gt;""),ROWS(DM$1:DM33))),"")</f>
        <v>1260.6197144000523</v>
      </c>
      <c r="DN265" s="166">
        <f t="shared" si="121"/>
        <v>265</v>
      </c>
      <c r="DO265" s="164">
        <f>IFERROR(INDEX(DG$233:DG$281,_xlfn.AGGREGATE(15,6,(ROW(DG$233:DG$281)-ROW(DG$233)+1)/(DG$233:DG$281&lt;&gt;""),ROWS(DO$1:DO33))),"")</f>
        <v>30</v>
      </c>
      <c r="DP265" s="165">
        <f>IFERROR(INDEX(DH$233:DH$281,_xlfn.AGGREGATE(15,6,(ROW(DH$233:DH$281)-ROW(DH$233)+1)/(DH$233:DH$281&lt;&gt;""),ROWS(DP$1:DP33))),"")</f>
        <v>1507.9907358417242</v>
      </c>
      <c r="DQ265" s="166">
        <f t="shared" si="122"/>
        <v>265</v>
      </c>
      <c r="DV265" s="145">
        <v>2047</v>
      </c>
      <c r="DW265" s="235">
        <f t="shared" ca="1" si="106"/>
        <v>1295.1428616255721</v>
      </c>
      <c r="EA265" s="55"/>
      <c r="EB265" s="55"/>
      <c r="EC265" s="55"/>
      <c r="ED265" s="55"/>
      <c r="EE265" s="55"/>
    </row>
    <row r="266" spans="2:135" ht="13.8" x14ac:dyDescent="0.45">
      <c r="B266" s="128">
        <v>2045</v>
      </c>
      <c r="C266" s="1047">
        <v>1251.1033105022832</v>
      </c>
      <c r="D266" s="1050">
        <v>1587.9680125296024</v>
      </c>
      <c r="E266" s="1060"/>
      <c r="F266" s="1051"/>
      <c r="G266" s="1052"/>
      <c r="H266" s="1036"/>
      <c r="I266" s="1112">
        <v>978.58235294117662</v>
      </c>
      <c r="J266" s="247"/>
      <c r="K266" s="245"/>
      <c r="L266" s="246"/>
      <c r="M266" s="245"/>
      <c r="N266" s="29" t="s">
        <v>119</v>
      </c>
      <c r="O266" s="120"/>
      <c r="P266" s="120"/>
      <c r="Q266" s="120"/>
      <c r="R266" s="29">
        <v>31</v>
      </c>
      <c r="S266" s="238">
        <f t="shared" si="107"/>
        <v>978.58235294117662</v>
      </c>
      <c r="T266" s="238">
        <f t="shared" si="108"/>
        <v>1587.9680125296024</v>
      </c>
      <c r="U266" s="238">
        <f t="shared" si="109"/>
        <v>249.2424927865307</v>
      </c>
      <c r="W266" s="238">
        <f t="shared" si="110"/>
        <v>1023.3087325378235</v>
      </c>
      <c r="X266" s="238">
        <f t="shared" si="140"/>
        <v>1272.5512253243542</v>
      </c>
      <c r="Y266" s="238">
        <f t="shared" si="112"/>
        <v>1521.7937181108848</v>
      </c>
      <c r="AA266" s="1133">
        <v>1251.103310502283</v>
      </c>
      <c r="AB266" s="1133">
        <v>1419.5356615159428</v>
      </c>
      <c r="AC266" s="1133">
        <v>1587.9680125296027</v>
      </c>
      <c r="AD266" s="89"/>
      <c r="AE266" s="89"/>
      <c r="AF266" s="89"/>
      <c r="AG266" s="89"/>
      <c r="AH266" s="89"/>
      <c r="AI266" s="89"/>
      <c r="AJ266" s="89"/>
      <c r="AK266" s="89"/>
      <c r="AL266" s="89"/>
      <c r="AM266" s="89"/>
      <c r="AN266" s="89"/>
      <c r="BR266" s="180">
        <v>2043</v>
      </c>
      <c r="BS266" s="22">
        <v>29</v>
      </c>
      <c r="BT266" s="181">
        <f t="shared" si="123"/>
        <v>441.28921472377192</v>
      </c>
      <c r="BU266" s="182">
        <f t="shared" si="124"/>
        <v>795.07013205106455</v>
      </c>
      <c r="BV266" s="205">
        <f t="shared" si="125"/>
        <v>1236.3593467748365</v>
      </c>
      <c r="BY266" s="180">
        <v>2043</v>
      </c>
      <c r="BZ266" s="22">
        <v>29</v>
      </c>
      <c r="CA266" s="181">
        <f t="shared" ca="1" si="126"/>
        <v>-121.83604338493541</v>
      </c>
      <c r="CB266" s="181">
        <f t="shared" ca="1" si="127"/>
        <v>613.54017261281865</v>
      </c>
      <c r="CC266" s="182">
        <f t="shared" ca="1" si="128"/>
        <v>759.72174372059567</v>
      </c>
      <c r="CD266" s="205">
        <f t="shared" ca="1" si="129"/>
        <v>1251.4258729484789</v>
      </c>
      <c r="CG266" s="180">
        <v>2043</v>
      </c>
      <c r="CH266" s="22">
        <v>29</v>
      </c>
      <c r="CI266" s="181">
        <f t="shared" ca="1" si="130"/>
        <v>60.443124278325548</v>
      </c>
      <c r="CJ266" s="181">
        <f t="shared" ca="1" si="131"/>
        <v>-250.01715176828131</v>
      </c>
      <c r="CK266" s="181">
        <f t="shared" ca="1" si="132"/>
        <v>681.3644013660363</v>
      </c>
      <c r="CL266" s="182">
        <f t="shared" ca="1" si="133"/>
        <v>754.47866390087256</v>
      </c>
      <c r="CM266" s="205">
        <f t="shared" ca="1" si="134"/>
        <v>1246.2690377769532</v>
      </c>
      <c r="CP266" s="180">
        <v>2043</v>
      </c>
      <c r="CQ266" s="22">
        <v>29</v>
      </c>
      <c r="CR266" s="181">
        <f t="shared" ca="1" si="135"/>
        <v>810.12186311233324</v>
      </c>
      <c r="CS266" s="182">
        <f t="shared" ca="1" si="136"/>
        <v>1.5158050432517982</v>
      </c>
      <c r="CT266" s="205">
        <f t="shared" ca="1" si="137"/>
        <v>1227.9868057542176</v>
      </c>
      <c r="CZ266" s="164" t="b">
        <f t="shared" si="113"/>
        <v>1</v>
      </c>
      <c r="DA266" s="165" t="b">
        <f t="shared" si="113"/>
        <v>1</v>
      </c>
      <c r="DB266" s="166" t="b">
        <f t="shared" si="113"/>
        <v>1</v>
      </c>
      <c r="DC266" s="164">
        <f t="shared" si="114"/>
        <v>31</v>
      </c>
      <c r="DD266" s="166">
        <f t="shared" si="115"/>
        <v>1023.3087325378235</v>
      </c>
      <c r="DE266" s="164">
        <f t="shared" si="116"/>
        <v>31</v>
      </c>
      <c r="DF266" s="166">
        <f t="shared" si="117"/>
        <v>1272.5512253243542</v>
      </c>
      <c r="DG266" s="164">
        <f t="shared" si="118"/>
        <v>31</v>
      </c>
      <c r="DH266" s="166">
        <f t="shared" si="119"/>
        <v>1521.7937181108848</v>
      </c>
      <c r="DI266" s="164">
        <f>IFERROR(INDEX(DC$233:DC$281,_xlfn.AGGREGATE(15,6,(ROW(DC$233:DC$281)-ROW(DC$233)+1)/(DC$233:DC$281&lt;&gt;""),ROWS(DI$1:DI34))),"")</f>
        <v>31</v>
      </c>
      <c r="DJ266" s="165">
        <f>IFERROR(INDEX(DD$233:DD$281,_xlfn.AGGREGATE(15,6,(ROW(DD$233:DD$281)-ROW(DD$233)+1)/(DD$233:DD$281&lt;&gt;""),ROWS(DJ$1:DJ34))),"")</f>
        <v>1023.3087325378235</v>
      </c>
      <c r="DK266" s="166">
        <f t="shared" si="120"/>
        <v>266</v>
      </c>
      <c r="DL266" s="164">
        <f>IFERROR(INDEX(DE$233:DE$281,_xlfn.AGGREGATE(15,6,(ROW(DE$233:DE$281)-ROW(DE$233)+1)/(DE$233:DE$281&lt;&gt;""),ROWS(DL$1:DL34))),"")</f>
        <v>31</v>
      </c>
      <c r="DM266" s="165">
        <f>IFERROR(INDEX(DF$233:DF$281,_xlfn.AGGREGATE(15,6,(ROW(DF$233:DF$281)-ROW(DF$233)+1)/(DF$233:DF$281&lt;&gt;""),ROWS(DM$1:DM34))),"")</f>
        <v>1272.5512253243542</v>
      </c>
      <c r="DN266" s="166">
        <f t="shared" si="121"/>
        <v>266</v>
      </c>
      <c r="DO266" s="164">
        <f>IFERROR(INDEX(DG$233:DG$281,_xlfn.AGGREGATE(15,6,(ROW(DG$233:DG$281)-ROW(DG$233)+1)/(DG$233:DG$281&lt;&gt;""),ROWS(DO$1:DO34))),"")</f>
        <v>31</v>
      </c>
      <c r="DP266" s="165">
        <f>IFERROR(INDEX(DH$233:DH$281,_xlfn.AGGREGATE(15,6,(ROW(DH$233:DH$281)-ROW(DH$233)+1)/(DH$233:DH$281&lt;&gt;""),ROWS(DP$1:DP34))),"")</f>
        <v>1521.7937181108848</v>
      </c>
      <c r="DQ266" s="166">
        <f t="shared" si="122"/>
        <v>266</v>
      </c>
      <c r="DV266" s="145">
        <v>2048</v>
      </c>
      <c r="DW266" s="235">
        <f t="shared" ca="1" si="106"/>
        <v>1307.0644711670943</v>
      </c>
      <c r="EA266" s="55"/>
      <c r="EB266" s="55"/>
      <c r="EC266" s="55"/>
      <c r="ED266" s="55"/>
      <c r="EE266" s="55"/>
    </row>
    <row r="267" spans="2:135" ht="13.8" x14ac:dyDescent="0.45">
      <c r="B267" s="128">
        <v>2046</v>
      </c>
      <c r="C267" s="1047">
        <v>1267.3522831050229</v>
      </c>
      <c r="D267" s="1050">
        <v>1602.611520094345</v>
      </c>
      <c r="E267" s="1060"/>
      <c r="F267" s="1051"/>
      <c r="G267" s="1052"/>
      <c r="H267" s="1036"/>
      <c r="I267" s="1112">
        <v>985.80588235294135</v>
      </c>
      <c r="J267" s="247"/>
      <c r="K267" s="245"/>
      <c r="L267" s="246"/>
      <c r="M267" s="245"/>
      <c r="N267" s="29" t="s">
        <v>119</v>
      </c>
      <c r="O267" s="120"/>
      <c r="P267" s="120"/>
      <c r="Q267" s="120"/>
      <c r="R267" s="29">
        <v>32</v>
      </c>
      <c r="S267" s="238">
        <f t="shared" si="107"/>
        <v>985.80588235294135</v>
      </c>
      <c r="T267" s="238">
        <f t="shared" si="108"/>
        <v>1602.611520094345</v>
      </c>
      <c r="U267" s="238">
        <f t="shared" si="109"/>
        <v>252.12790548376887</v>
      </c>
      <c r="W267" s="238">
        <f t="shared" si="110"/>
        <v>1033.128656367001</v>
      </c>
      <c r="X267" s="238">
        <f t="shared" si="140"/>
        <v>1285.2565618507699</v>
      </c>
      <c r="Y267" s="238">
        <f t="shared" si="112"/>
        <v>1537.3844673345388</v>
      </c>
      <c r="AA267" s="1133">
        <v>1267.3522831050243</v>
      </c>
      <c r="AB267" s="1133">
        <v>1434.9819015996841</v>
      </c>
      <c r="AC267" s="1133">
        <v>1602.6115200943439</v>
      </c>
      <c r="AD267" s="89"/>
      <c r="AE267" s="89"/>
      <c r="AF267" s="89"/>
      <c r="AG267" s="89"/>
      <c r="AH267" s="89"/>
      <c r="AI267" s="89"/>
      <c r="AJ267" s="89"/>
      <c r="AK267" s="89"/>
      <c r="AL267" s="89"/>
      <c r="AM267" s="89"/>
      <c r="AN267" s="89"/>
      <c r="BR267" s="180">
        <v>2044</v>
      </c>
      <c r="BS267" s="22">
        <v>30</v>
      </c>
      <c r="BT267" s="181">
        <f t="shared" si="123"/>
        <v>456.50608419700541</v>
      </c>
      <c r="BU267" s="182">
        <f t="shared" si="124"/>
        <v>795.07013205106455</v>
      </c>
      <c r="BV267" s="205">
        <f t="shared" si="125"/>
        <v>1251.5762162480701</v>
      </c>
      <c r="BY267" s="180">
        <v>2044</v>
      </c>
      <c r="BZ267" s="22">
        <v>30</v>
      </c>
      <c r="CA267" s="181">
        <f t="shared" ca="1" si="126"/>
        <v>-130.38339957959792</v>
      </c>
      <c r="CB267" s="181">
        <f t="shared" ca="1" si="127"/>
        <v>634.6967302891228</v>
      </c>
      <c r="CC267" s="182">
        <f t="shared" ca="1" si="128"/>
        <v>759.72174372059567</v>
      </c>
      <c r="CD267" s="205">
        <f t="shared" ca="1" si="129"/>
        <v>1264.0350744301204</v>
      </c>
      <c r="CG267" s="180">
        <v>2044</v>
      </c>
      <c r="CH267" s="22">
        <v>30</v>
      </c>
      <c r="CI267" s="181">
        <f t="shared" ca="1" si="130"/>
        <v>66.913951187616945</v>
      </c>
      <c r="CJ267" s="181">
        <f t="shared" ca="1" si="131"/>
        <v>-267.55699951421309</v>
      </c>
      <c r="CK267" s="181">
        <f t="shared" ca="1" si="132"/>
        <v>704.85972555107207</v>
      </c>
      <c r="CL267" s="182">
        <f t="shared" ca="1" si="133"/>
        <v>754.47866390087256</v>
      </c>
      <c r="CM267" s="205">
        <f t="shared" ca="1" si="134"/>
        <v>1258.6953411253485</v>
      </c>
      <c r="CP267" s="180">
        <v>2044</v>
      </c>
      <c r="CQ267" s="22">
        <v>30</v>
      </c>
      <c r="CR267" s="181">
        <f t="shared" ca="1" si="135"/>
        <v>810.12186311233324</v>
      </c>
      <c r="CS267" s="182">
        <f t="shared" ca="1" si="136"/>
        <v>1.537702883069693</v>
      </c>
      <c r="CT267" s="205">
        <f t="shared" ca="1" si="137"/>
        <v>1245.726724545626</v>
      </c>
      <c r="CZ267" s="164" t="b">
        <f t="shared" si="113"/>
        <v>1</v>
      </c>
      <c r="DA267" s="165" t="b">
        <f t="shared" si="113"/>
        <v>1</v>
      </c>
      <c r="DB267" s="166" t="b">
        <f t="shared" si="113"/>
        <v>1</v>
      </c>
      <c r="DC267" s="164">
        <f t="shared" si="114"/>
        <v>32</v>
      </c>
      <c r="DD267" s="166">
        <f t="shared" si="115"/>
        <v>1033.128656367001</v>
      </c>
      <c r="DE267" s="164">
        <f t="shared" si="116"/>
        <v>32</v>
      </c>
      <c r="DF267" s="166">
        <f t="shared" si="117"/>
        <v>1285.2565618507699</v>
      </c>
      <c r="DG267" s="164">
        <f t="shared" si="118"/>
        <v>32</v>
      </c>
      <c r="DH267" s="166">
        <f t="shared" si="119"/>
        <v>1537.3844673345388</v>
      </c>
      <c r="DI267" s="164">
        <f>IFERROR(INDEX(DC$233:DC$281,_xlfn.AGGREGATE(15,6,(ROW(DC$233:DC$281)-ROW(DC$233)+1)/(DC$233:DC$281&lt;&gt;""),ROWS(DI$1:DI35))),"")</f>
        <v>32</v>
      </c>
      <c r="DJ267" s="165">
        <f>IFERROR(INDEX(DD$233:DD$281,_xlfn.AGGREGATE(15,6,(ROW(DD$233:DD$281)-ROW(DD$233)+1)/(DD$233:DD$281&lt;&gt;""),ROWS(DJ$1:DJ35))),"")</f>
        <v>1033.128656367001</v>
      </c>
      <c r="DK267" s="166">
        <f t="shared" si="120"/>
        <v>267</v>
      </c>
      <c r="DL267" s="164">
        <f>IFERROR(INDEX(DE$233:DE$281,_xlfn.AGGREGATE(15,6,(ROW(DE$233:DE$281)-ROW(DE$233)+1)/(DE$233:DE$281&lt;&gt;""),ROWS(DL$1:DL35))),"")</f>
        <v>32</v>
      </c>
      <c r="DM267" s="165">
        <f>IFERROR(INDEX(DF$233:DF$281,_xlfn.AGGREGATE(15,6,(ROW(DF$233:DF$281)-ROW(DF$233)+1)/(DF$233:DF$281&lt;&gt;""),ROWS(DM$1:DM35))),"")</f>
        <v>1285.2565618507699</v>
      </c>
      <c r="DN267" s="166">
        <f t="shared" si="121"/>
        <v>267</v>
      </c>
      <c r="DO267" s="164">
        <f>IFERROR(INDEX(DG$233:DG$281,_xlfn.AGGREGATE(15,6,(ROW(DG$233:DG$281)-ROW(DG$233)+1)/(DG$233:DG$281&lt;&gt;""),ROWS(DO$1:DO35))),"")</f>
        <v>32</v>
      </c>
      <c r="DP267" s="165">
        <f>IFERROR(INDEX(DH$233:DH$281,_xlfn.AGGREGATE(15,6,(ROW(DH$233:DH$281)-ROW(DH$233)+1)/(DH$233:DH$281&lt;&gt;""),ROWS(DP$1:DP35))),"")</f>
        <v>1537.3844673345388</v>
      </c>
      <c r="DQ267" s="166">
        <f t="shared" si="122"/>
        <v>267</v>
      </c>
      <c r="DV267" s="145">
        <v>2049</v>
      </c>
      <c r="DW267" s="235">
        <f t="shared" ca="1" si="106"/>
        <v>1318.8970816742249</v>
      </c>
      <c r="EA267" s="55"/>
      <c r="EB267" s="55"/>
      <c r="EC267" s="55"/>
      <c r="ED267" s="55"/>
      <c r="EE267" s="55"/>
    </row>
    <row r="268" spans="2:135" ht="13.8" x14ac:dyDescent="0.45">
      <c r="B268" s="128">
        <v>2047</v>
      </c>
      <c r="C268" s="1047">
        <v>1283.6012557077627</v>
      </c>
      <c r="D268" s="1050">
        <v>1615.7541130417849</v>
      </c>
      <c r="E268" s="1060"/>
      <c r="F268" s="1051"/>
      <c r="G268" s="1052"/>
      <c r="H268" s="1036"/>
      <c r="I268" s="1112">
        <v>993.02941176470597</v>
      </c>
      <c r="J268" s="247"/>
      <c r="K268" s="245"/>
      <c r="L268" s="246"/>
      <c r="M268" s="245"/>
      <c r="N268" s="29" t="s">
        <v>119</v>
      </c>
      <c r="O268" s="120"/>
      <c r="P268" s="120"/>
      <c r="Q268" s="120"/>
      <c r="R268" s="29">
        <v>33</v>
      </c>
      <c r="S268" s="238">
        <f t="shared" si="107"/>
        <v>993.02941176470597</v>
      </c>
      <c r="T268" s="238">
        <f t="shared" si="108"/>
        <v>1615.7541130417849</v>
      </c>
      <c r="U268" s="238">
        <f t="shared" si="109"/>
        <v>254.41513990332345</v>
      </c>
      <c r="W268" s="238">
        <f t="shared" si="110"/>
        <v>1043.0464536014276</v>
      </c>
      <c r="X268" s="238">
        <f t="shared" si="140"/>
        <v>1297.4615935047511</v>
      </c>
      <c r="Y268" s="238">
        <f t="shared" si="112"/>
        <v>1551.8767334080746</v>
      </c>
      <c r="AA268" s="1133">
        <v>1283.6012557077652</v>
      </c>
      <c r="AB268" s="1133">
        <v>1449.6776843747739</v>
      </c>
      <c r="AC268" s="1133">
        <v>1615.7541130417826</v>
      </c>
      <c r="AD268" s="89"/>
      <c r="AE268" s="89"/>
      <c r="AF268" s="89"/>
      <c r="AG268" s="89"/>
      <c r="AH268" s="89"/>
      <c r="AI268" s="89"/>
      <c r="AJ268" s="89"/>
      <c r="AK268" s="89"/>
      <c r="AL268" s="89"/>
      <c r="AM268" s="89"/>
      <c r="AN268" s="89"/>
      <c r="BR268" s="180">
        <v>2045</v>
      </c>
      <c r="BS268" s="22">
        <v>31</v>
      </c>
      <c r="BT268" s="181">
        <f t="shared" si="123"/>
        <v>471.72295367023895</v>
      </c>
      <c r="BU268" s="182">
        <f t="shared" si="124"/>
        <v>795.07013205106455</v>
      </c>
      <c r="BV268" s="205">
        <f t="shared" si="125"/>
        <v>1266.7930857213034</v>
      </c>
      <c r="BY268" s="180">
        <v>2045</v>
      </c>
      <c r="BZ268" s="22">
        <v>31</v>
      </c>
      <c r="CA268" s="181">
        <f t="shared" ca="1" si="126"/>
        <v>-139.22049666221514</v>
      </c>
      <c r="CB268" s="181">
        <f t="shared" ca="1" si="127"/>
        <v>655.85328796542683</v>
      </c>
      <c r="CC268" s="182">
        <f t="shared" ca="1" si="128"/>
        <v>759.72174372059567</v>
      </c>
      <c r="CD268" s="205">
        <f t="shared" ca="1" si="129"/>
        <v>1276.3545350238073</v>
      </c>
      <c r="CG268" s="180">
        <v>2045</v>
      </c>
      <c r="CH268" s="22">
        <v>31</v>
      </c>
      <c r="CI268" s="181">
        <f t="shared" ca="1" si="130"/>
        <v>73.830871104825803</v>
      </c>
      <c r="CJ268" s="181">
        <f t="shared" ca="1" si="131"/>
        <v>-285.69141837017639</v>
      </c>
      <c r="CK268" s="181">
        <f t="shared" ca="1" si="132"/>
        <v>728.35504973610773</v>
      </c>
      <c r="CL268" s="182">
        <f t="shared" ca="1" si="133"/>
        <v>754.47866390087256</v>
      </c>
      <c r="CM268" s="205">
        <f t="shared" ca="1" si="134"/>
        <v>1270.9731663716298</v>
      </c>
      <c r="CP268" s="180">
        <v>2045</v>
      </c>
      <c r="CQ268" s="22">
        <v>31</v>
      </c>
      <c r="CR268" s="181">
        <f t="shared" ca="1" si="135"/>
        <v>810.12186311233324</v>
      </c>
      <c r="CS268" s="182">
        <f t="shared" ca="1" si="136"/>
        <v>1.5599170665960516</v>
      </c>
      <c r="CT268" s="205">
        <f t="shared" ca="1" si="137"/>
        <v>1263.7229202915189</v>
      </c>
      <c r="CZ268" s="164" t="b">
        <f t="shared" si="113"/>
        <v>1</v>
      </c>
      <c r="DA268" s="165" t="b">
        <f t="shared" si="113"/>
        <v>1</v>
      </c>
      <c r="DB268" s="166" t="b">
        <f t="shared" si="113"/>
        <v>1</v>
      </c>
      <c r="DC268" s="164">
        <f t="shared" si="114"/>
        <v>33</v>
      </c>
      <c r="DD268" s="166">
        <f t="shared" si="115"/>
        <v>1043.0464536014276</v>
      </c>
      <c r="DE268" s="164">
        <f t="shared" si="116"/>
        <v>33</v>
      </c>
      <c r="DF268" s="166">
        <f t="shared" si="117"/>
        <v>1297.4615935047511</v>
      </c>
      <c r="DG268" s="164">
        <f t="shared" si="118"/>
        <v>33</v>
      </c>
      <c r="DH268" s="166">
        <f t="shared" si="119"/>
        <v>1551.8767334080746</v>
      </c>
      <c r="DI268" s="164">
        <f>IFERROR(INDEX(DC$233:DC$281,_xlfn.AGGREGATE(15,6,(ROW(DC$233:DC$281)-ROW(DC$233)+1)/(DC$233:DC$281&lt;&gt;""),ROWS(DI$1:DI36))),"")</f>
        <v>33</v>
      </c>
      <c r="DJ268" s="165">
        <f>IFERROR(INDEX(DD$233:DD$281,_xlfn.AGGREGATE(15,6,(ROW(DD$233:DD$281)-ROW(DD$233)+1)/(DD$233:DD$281&lt;&gt;""),ROWS(DJ$1:DJ36))),"")</f>
        <v>1043.0464536014276</v>
      </c>
      <c r="DK268" s="166">
        <f t="shared" si="120"/>
        <v>268</v>
      </c>
      <c r="DL268" s="164">
        <f>IFERROR(INDEX(DE$233:DE$281,_xlfn.AGGREGATE(15,6,(ROW(DE$233:DE$281)-ROW(DE$233)+1)/(DE$233:DE$281&lt;&gt;""),ROWS(DL$1:DL36))),"")</f>
        <v>33</v>
      </c>
      <c r="DM268" s="165">
        <f>IFERROR(INDEX(DF$233:DF$281,_xlfn.AGGREGATE(15,6,(ROW(DF$233:DF$281)-ROW(DF$233)+1)/(DF$233:DF$281&lt;&gt;""),ROWS(DM$1:DM36))),"")</f>
        <v>1297.4615935047511</v>
      </c>
      <c r="DN268" s="166">
        <f t="shared" si="121"/>
        <v>268</v>
      </c>
      <c r="DO268" s="164">
        <f>IFERROR(INDEX(DG$233:DG$281,_xlfn.AGGREGATE(15,6,(ROW(DG$233:DG$281)-ROW(DG$233)+1)/(DG$233:DG$281&lt;&gt;""),ROWS(DO$1:DO36))),"")</f>
        <v>33</v>
      </c>
      <c r="DP268" s="165">
        <f>IFERROR(INDEX(DH$233:DH$281,_xlfn.AGGREGATE(15,6,(ROW(DH$233:DH$281)-ROW(DH$233)+1)/(DH$233:DH$281&lt;&gt;""),ROWS(DP$1:DP36))),"")</f>
        <v>1551.8767334080746</v>
      </c>
      <c r="DQ268" s="166">
        <f t="shared" si="122"/>
        <v>268</v>
      </c>
      <c r="DV268" s="145">
        <v>2050</v>
      </c>
      <c r="DW268" s="235">
        <f t="shared" ca="1" si="106"/>
        <v>1330.6555629138943</v>
      </c>
      <c r="EA268" s="55"/>
      <c r="EB268" s="55"/>
      <c r="EC268" s="55"/>
      <c r="ED268" s="55"/>
      <c r="EE268" s="55"/>
    </row>
    <row r="269" spans="2:135" ht="13.8" x14ac:dyDescent="0.45">
      <c r="B269" s="128">
        <v>2048</v>
      </c>
      <c r="C269" s="1047">
        <v>1299.8502283105024</v>
      </c>
      <c r="D269" s="1050">
        <v>1628.2879977280845</v>
      </c>
      <c r="E269" s="1060"/>
      <c r="F269" s="1051"/>
      <c r="G269" s="1052"/>
      <c r="H269" s="1036"/>
      <c r="I269" s="1112">
        <v>1000.2529411764707</v>
      </c>
      <c r="J269" s="247"/>
      <c r="K269" s="245"/>
      <c r="L269" s="246"/>
      <c r="M269" s="245"/>
      <c r="N269" s="29" t="s">
        <v>119</v>
      </c>
      <c r="O269" s="120"/>
      <c r="P269" s="120"/>
      <c r="Q269" s="120"/>
      <c r="R269" s="29">
        <v>34</v>
      </c>
      <c r="S269" s="238">
        <f t="shared" si="107"/>
        <v>1000.2529411764707</v>
      </c>
      <c r="T269" s="238">
        <f t="shared" si="108"/>
        <v>1628.2879977280845</v>
      </c>
      <c r="U269" s="238">
        <f t="shared" si="109"/>
        <v>256.48433677449088</v>
      </c>
      <c r="W269" s="238">
        <f t="shared" si="110"/>
        <v>1052.9793856305284</v>
      </c>
      <c r="X269" s="238">
        <f t="shared" si="140"/>
        <v>1309.4637224050193</v>
      </c>
      <c r="Y269" s="238">
        <f t="shared" si="112"/>
        <v>1565.9480591795102</v>
      </c>
      <c r="AA269" s="1133">
        <v>1299.8502283105038</v>
      </c>
      <c r="AB269" s="1133">
        <v>1464.0691130192936</v>
      </c>
      <c r="AC269" s="1133">
        <v>1628.2879977280834</v>
      </c>
      <c r="AD269" s="89"/>
      <c r="AE269" s="89"/>
      <c r="AF269" s="89"/>
      <c r="AG269" s="89"/>
      <c r="AH269" s="89"/>
      <c r="AI269" s="89"/>
      <c r="AJ269" s="89"/>
      <c r="AK269" s="89"/>
      <c r="AL269" s="89"/>
      <c r="AM269" s="89"/>
      <c r="AN269" s="89"/>
      <c r="BR269" s="180">
        <v>2046</v>
      </c>
      <c r="BS269" s="22">
        <v>32</v>
      </c>
      <c r="BT269" s="181">
        <f t="shared" si="123"/>
        <v>486.93982314347244</v>
      </c>
      <c r="BU269" s="182">
        <f t="shared" si="124"/>
        <v>795.07013205106455</v>
      </c>
      <c r="BV269" s="205">
        <f t="shared" si="125"/>
        <v>1282.009955194537</v>
      </c>
      <c r="BY269" s="180">
        <v>2046</v>
      </c>
      <c r="BZ269" s="22">
        <v>32</v>
      </c>
      <c r="CA269" s="181">
        <f t="shared" ca="1" si="126"/>
        <v>-148.34733463278698</v>
      </c>
      <c r="CB269" s="181">
        <f t="shared" ca="1" si="127"/>
        <v>677.00984564173098</v>
      </c>
      <c r="CC269" s="182">
        <f t="shared" ca="1" si="128"/>
        <v>759.72174372059567</v>
      </c>
      <c r="CD269" s="205">
        <f t="shared" ca="1" si="129"/>
        <v>1288.3842547295396</v>
      </c>
      <c r="CG269" s="180">
        <v>2046</v>
      </c>
      <c r="CH269" s="22">
        <v>32</v>
      </c>
      <c r="CI269" s="181">
        <f t="shared" ca="1" si="130"/>
        <v>81.208753796882675</v>
      </c>
      <c r="CJ269" s="181">
        <f t="shared" ca="1" si="131"/>
        <v>-304.42040833617131</v>
      </c>
      <c r="CK269" s="181">
        <f t="shared" ca="1" si="132"/>
        <v>751.8503739211435</v>
      </c>
      <c r="CL269" s="182">
        <f t="shared" ca="1" si="133"/>
        <v>754.47866390087256</v>
      </c>
      <c r="CM269" s="205">
        <f t="shared" ca="1" si="134"/>
        <v>1283.1173832827274</v>
      </c>
      <c r="CP269" s="180">
        <v>2046</v>
      </c>
      <c r="CQ269" s="22">
        <v>32</v>
      </c>
      <c r="CR269" s="181">
        <f t="shared" ca="1" si="135"/>
        <v>810.12186311233324</v>
      </c>
      <c r="CS269" s="182">
        <f t="shared" ca="1" si="136"/>
        <v>1.5824521638406426</v>
      </c>
      <c r="CT269" s="205">
        <f t="shared" ca="1" si="137"/>
        <v>1281.9790952567246</v>
      </c>
      <c r="CZ269" s="164" t="b">
        <f t="shared" si="113"/>
        <v>1</v>
      </c>
      <c r="DA269" s="165" t="b">
        <f t="shared" si="113"/>
        <v>1</v>
      </c>
      <c r="DB269" s="166" t="b">
        <f t="shared" si="113"/>
        <v>1</v>
      </c>
      <c r="DC269" s="164">
        <f t="shared" si="114"/>
        <v>34</v>
      </c>
      <c r="DD269" s="166">
        <f t="shared" si="115"/>
        <v>1052.9793856305284</v>
      </c>
      <c r="DE269" s="164">
        <f t="shared" si="116"/>
        <v>34</v>
      </c>
      <c r="DF269" s="166">
        <f t="shared" si="117"/>
        <v>1309.4637224050193</v>
      </c>
      <c r="DG269" s="164">
        <f t="shared" si="118"/>
        <v>34</v>
      </c>
      <c r="DH269" s="166">
        <f t="shared" si="119"/>
        <v>1565.9480591795102</v>
      </c>
      <c r="DI269" s="164">
        <f>IFERROR(INDEX(DC$233:DC$281,_xlfn.AGGREGATE(15,6,(ROW(DC$233:DC$281)-ROW(DC$233)+1)/(DC$233:DC$281&lt;&gt;""),ROWS(DI$1:DI37))),"")</f>
        <v>34</v>
      </c>
      <c r="DJ269" s="165">
        <f>IFERROR(INDEX(DD$233:DD$281,_xlfn.AGGREGATE(15,6,(ROW(DD$233:DD$281)-ROW(DD$233)+1)/(DD$233:DD$281&lt;&gt;""),ROWS(DJ$1:DJ37))),"")</f>
        <v>1052.9793856305284</v>
      </c>
      <c r="DK269" s="166">
        <f t="shared" si="120"/>
        <v>269</v>
      </c>
      <c r="DL269" s="164">
        <f>IFERROR(INDEX(DE$233:DE$281,_xlfn.AGGREGATE(15,6,(ROW(DE$233:DE$281)-ROW(DE$233)+1)/(DE$233:DE$281&lt;&gt;""),ROWS(DL$1:DL37))),"")</f>
        <v>34</v>
      </c>
      <c r="DM269" s="165">
        <f>IFERROR(INDEX(DF$233:DF$281,_xlfn.AGGREGATE(15,6,(ROW(DF$233:DF$281)-ROW(DF$233)+1)/(DF$233:DF$281&lt;&gt;""),ROWS(DM$1:DM37))),"")</f>
        <v>1309.4637224050193</v>
      </c>
      <c r="DN269" s="166">
        <f t="shared" si="121"/>
        <v>269</v>
      </c>
      <c r="DO269" s="164">
        <f>IFERROR(INDEX(DG$233:DG$281,_xlfn.AGGREGATE(15,6,(ROW(DG$233:DG$281)-ROW(DG$233)+1)/(DG$233:DG$281&lt;&gt;""),ROWS(DO$1:DO37))),"")</f>
        <v>34</v>
      </c>
      <c r="DP269" s="165">
        <f>IFERROR(INDEX(DH$233:DH$281,_xlfn.AGGREGATE(15,6,(ROW(DH$233:DH$281)-ROW(DH$233)+1)/(DH$233:DH$281&lt;&gt;""),ROWS(DP$1:DP37))),"")</f>
        <v>1565.9480591795102</v>
      </c>
      <c r="DQ269" s="166">
        <f t="shared" si="122"/>
        <v>269</v>
      </c>
      <c r="DV269" s="145">
        <v>2051</v>
      </c>
      <c r="DW269" s="235">
        <f t="shared" ca="1" si="106"/>
        <v>1342.3547846530328</v>
      </c>
      <c r="EA269" s="55"/>
      <c r="EB269" s="55"/>
      <c r="EC269" s="55"/>
      <c r="ED269" s="55"/>
      <c r="EE269" s="55"/>
    </row>
    <row r="270" spans="2:135" ht="13.8" x14ac:dyDescent="0.45">
      <c r="B270" s="128">
        <v>2049</v>
      </c>
      <c r="C270" s="1047">
        <v>1316.0992009132422</v>
      </c>
      <c r="D270" s="1050">
        <v>1640.2162129783549</v>
      </c>
      <c r="E270" s="1060"/>
      <c r="F270" s="1051"/>
      <c r="G270" s="1052"/>
      <c r="H270" s="1036"/>
      <c r="I270" s="1112">
        <v>1007.4764705882354</v>
      </c>
      <c r="J270" s="247"/>
      <c r="K270" s="245"/>
      <c r="L270" s="246"/>
      <c r="M270" s="245"/>
      <c r="N270" s="29" t="s">
        <v>119</v>
      </c>
      <c r="O270" s="120"/>
      <c r="P270" s="120"/>
      <c r="Q270" s="120"/>
      <c r="R270" s="29">
        <v>35</v>
      </c>
      <c r="S270" s="238">
        <f t="shared" si="107"/>
        <v>1007.4764705882354</v>
      </c>
      <c r="T270" s="238">
        <f t="shared" si="108"/>
        <v>1640.2162129783549</v>
      </c>
      <c r="U270" s="238">
        <f t="shared" si="109"/>
        <v>258.340732965678</v>
      </c>
      <c r="W270" s="238">
        <f t="shared" si="110"/>
        <v>1062.9232285275996</v>
      </c>
      <c r="X270" s="238">
        <f t="shared" si="140"/>
        <v>1321.2639614932775</v>
      </c>
      <c r="Y270" s="238">
        <f t="shared" si="112"/>
        <v>1579.6046944589555</v>
      </c>
      <c r="AA270" s="1133">
        <v>1316.0992009132426</v>
      </c>
      <c r="AB270" s="1133">
        <v>1478.1577069457985</v>
      </c>
      <c r="AC270" s="1133">
        <v>1640.2162129783544</v>
      </c>
      <c r="AD270" s="89"/>
      <c r="AE270" s="89"/>
      <c r="AF270" s="89"/>
      <c r="AG270" s="89"/>
      <c r="AH270" s="89"/>
      <c r="AI270" s="89"/>
      <c r="AJ270" s="89"/>
      <c r="AK270" s="89"/>
      <c r="AL270" s="89"/>
      <c r="AM270" s="89"/>
      <c r="AN270" s="89"/>
      <c r="BR270" s="180">
        <v>2047</v>
      </c>
      <c r="BS270" s="22">
        <v>33</v>
      </c>
      <c r="BT270" s="181">
        <f t="shared" si="123"/>
        <v>502.15669261670593</v>
      </c>
      <c r="BU270" s="182">
        <f t="shared" si="124"/>
        <v>795.07013205106455</v>
      </c>
      <c r="BV270" s="205">
        <f t="shared" si="125"/>
        <v>1297.2268246677704</v>
      </c>
      <c r="BY270" s="180">
        <v>2047</v>
      </c>
      <c r="BZ270" s="22">
        <v>33</v>
      </c>
      <c r="CA270" s="181">
        <f t="shared" ca="1" si="126"/>
        <v>-157.7639134913135</v>
      </c>
      <c r="CB270" s="181">
        <f t="shared" ca="1" si="127"/>
        <v>698.16640331803512</v>
      </c>
      <c r="CC270" s="182">
        <f t="shared" ca="1" si="128"/>
        <v>759.72174372059567</v>
      </c>
      <c r="CD270" s="205">
        <f t="shared" ca="1" si="129"/>
        <v>1300.1242335473173</v>
      </c>
      <c r="CG270" s="180">
        <v>2047</v>
      </c>
      <c r="CH270" s="22">
        <v>33</v>
      </c>
      <c r="CI270" s="181">
        <f t="shared" ca="1" si="130"/>
        <v>89.062469030718162</v>
      </c>
      <c r="CJ270" s="181">
        <f t="shared" ca="1" si="131"/>
        <v>-323.74396941219783</v>
      </c>
      <c r="CK270" s="181">
        <f t="shared" ca="1" si="132"/>
        <v>775.34569810617927</v>
      </c>
      <c r="CL270" s="182">
        <f t="shared" ca="1" si="133"/>
        <v>754.47866390087256</v>
      </c>
      <c r="CM270" s="205">
        <f t="shared" ca="1" si="134"/>
        <v>1295.1428616255721</v>
      </c>
      <c r="CP270" s="180">
        <v>2047</v>
      </c>
      <c r="CQ270" s="22">
        <v>33</v>
      </c>
      <c r="CR270" s="181">
        <f t="shared" ca="1" si="135"/>
        <v>810.12186311233324</v>
      </c>
      <c r="CS270" s="182">
        <f t="shared" ca="1" si="136"/>
        <v>1.6053128108331645</v>
      </c>
      <c r="CT270" s="205">
        <f t="shared" ca="1" si="137"/>
        <v>1300.4990051902598</v>
      </c>
      <c r="CZ270" s="164" t="b">
        <f t="shared" si="113"/>
        <v>1</v>
      </c>
      <c r="DA270" s="165" t="b">
        <f t="shared" si="113"/>
        <v>1</v>
      </c>
      <c r="DB270" s="166" t="b">
        <f t="shared" si="113"/>
        <v>1</v>
      </c>
      <c r="DC270" s="164">
        <f t="shared" si="114"/>
        <v>35</v>
      </c>
      <c r="DD270" s="166">
        <f t="shared" si="115"/>
        <v>1062.9232285275996</v>
      </c>
      <c r="DE270" s="164">
        <f t="shared" si="116"/>
        <v>35</v>
      </c>
      <c r="DF270" s="166">
        <f t="shared" si="117"/>
        <v>1321.2639614932775</v>
      </c>
      <c r="DG270" s="164">
        <f t="shared" si="118"/>
        <v>35</v>
      </c>
      <c r="DH270" s="166">
        <f t="shared" si="119"/>
        <v>1579.6046944589555</v>
      </c>
      <c r="DI270" s="164">
        <f>IFERROR(INDEX(DC$233:DC$281,_xlfn.AGGREGATE(15,6,(ROW(DC$233:DC$281)-ROW(DC$233)+1)/(DC$233:DC$281&lt;&gt;""),ROWS(DI$1:DI38))),"")</f>
        <v>35</v>
      </c>
      <c r="DJ270" s="165">
        <f>IFERROR(INDEX(DD$233:DD$281,_xlfn.AGGREGATE(15,6,(ROW(DD$233:DD$281)-ROW(DD$233)+1)/(DD$233:DD$281&lt;&gt;""),ROWS(DJ$1:DJ38))),"")</f>
        <v>1062.9232285275996</v>
      </c>
      <c r="DK270" s="166">
        <f t="shared" si="120"/>
        <v>270</v>
      </c>
      <c r="DL270" s="164">
        <f>IFERROR(INDEX(DE$233:DE$281,_xlfn.AGGREGATE(15,6,(ROW(DE$233:DE$281)-ROW(DE$233)+1)/(DE$233:DE$281&lt;&gt;""),ROWS(DL$1:DL38))),"")</f>
        <v>35</v>
      </c>
      <c r="DM270" s="165">
        <f>IFERROR(INDEX(DF$233:DF$281,_xlfn.AGGREGATE(15,6,(ROW(DF$233:DF$281)-ROW(DF$233)+1)/(DF$233:DF$281&lt;&gt;""),ROWS(DM$1:DM38))),"")</f>
        <v>1321.2639614932775</v>
      </c>
      <c r="DN270" s="166">
        <f t="shared" si="121"/>
        <v>270</v>
      </c>
      <c r="DO270" s="164">
        <f>IFERROR(INDEX(DG$233:DG$281,_xlfn.AGGREGATE(15,6,(ROW(DG$233:DG$281)-ROW(DG$233)+1)/(DG$233:DG$281&lt;&gt;""),ROWS(DO$1:DO38))),"")</f>
        <v>35</v>
      </c>
      <c r="DP270" s="165">
        <f>IFERROR(INDEX(DH$233:DH$281,_xlfn.AGGREGATE(15,6,(ROW(DH$233:DH$281)-ROW(DH$233)+1)/(DH$233:DH$281&lt;&gt;""),ROWS(DP$1:DP38))),"")</f>
        <v>1579.6046944589555</v>
      </c>
      <c r="DQ270" s="166">
        <f t="shared" si="122"/>
        <v>270</v>
      </c>
      <c r="DV270" s="145">
        <v>2052</v>
      </c>
      <c r="DW270" s="235">
        <f t="shared" ca="1" si="106"/>
        <v>1354.0096166585715</v>
      </c>
      <c r="EA270" s="55"/>
      <c r="EB270" s="55"/>
      <c r="EC270" s="55"/>
      <c r="ED270" s="55"/>
      <c r="EE270" s="55"/>
    </row>
    <row r="271" spans="2:135" ht="13.8" x14ac:dyDescent="0.45">
      <c r="B271" s="128">
        <v>2050</v>
      </c>
      <c r="C271" s="1047">
        <v>1324.8</v>
      </c>
      <c r="D271" s="1050">
        <v>1651.5417976177046</v>
      </c>
      <c r="E271" s="1060"/>
      <c r="F271" s="1051"/>
      <c r="G271" s="1052"/>
      <c r="H271" s="1036"/>
      <c r="I271" s="1112">
        <v>1014.7</v>
      </c>
      <c r="J271" s="247"/>
      <c r="K271" s="245"/>
      <c r="L271" s="246"/>
      <c r="M271" s="245"/>
      <c r="N271" s="29" t="s">
        <v>119</v>
      </c>
      <c r="O271" s="120"/>
      <c r="P271" s="120"/>
      <c r="Q271" s="120"/>
      <c r="R271" s="29">
        <v>36</v>
      </c>
      <c r="S271" s="238">
        <f t="shared" si="107"/>
        <v>1014.7</v>
      </c>
      <c r="T271" s="238">
        <f t="shared" si="108"/>
        <v>1651.5417976177046</v>
      </c>
      <c r="U271" s="238">
        <f t="shared" si="109"/>
        <v>260.01916329023805</v>
      </c>
      <c r="W271" s="238">
        <f t="shared" si="110"/>
        <v>1070.3281025823298</v>
      </c>
      <c r="X271" s="238">
        <f t="shared" si="140"/>
        <v>1330.347265872568</v>
      </c>
      <c r="Y271" s="238">
        <f t="shared" si="112"/>
        <v>1590.3664291628061</v>
      </c>
      <c r="AA271" s="1133">
        <v>1324.7999999999988</v>
      </c>
      <c r="AB271" s="1133">
        <v>1488.1708988088521</v>
      </c>
      <c r="AC271" s="1133">
        <v>1651.5417976177055</v>
      </c>
      <c r="AD271" s="89"/>
      <c r="AE271" s="89"/>
      <c r="AF271" s="89"/>
      <c r="AG271" s="89"/>
      <c r="AH271" s="89"/>
      <c r="AI271" s="89"/>
      <c r="AJ271" s="89"/>
      <c r="AK271" s="89"/>
      <c r="AL271" s="89"/>
      <c r="AM271" s="89"/>
      <c r="AN271" s="89"/>
      <c r="BR271" s="180">
        <v>2048</v>
      </c>
      <c r="BS271" s="22">
        <v>34</v>
      </c>
      <c r="BT271" s="181">
        <f t="shared" si="123"/>
        <v>517.37356208993947</v>
      </c>
      <c r="BU271" s="182">
        <f t="shared" si="124"/>
        <v>795.07013205106455</v>
      </c>
      <c r="BV271" s="205">
        <f t="shared" si="125"/>
        <v>1312.443694141004</v>
      </c>
      <c r="BY271" s="180">
        <v>2048</v>
      </c>
      <c r="BZ271" s="22">
        <v>34</v>
      </c>
      <c r="CA271" s="181">
        <f t="shared" ca="1" si="126"/>
        <v>-167.47023323779467</v>
      </c>
      <c r="CB271" s="181">
        <f t="shared" ca="1" si="127"/>
        <v>719.32296099433916</v>
      </c>
      <c r="CC271" s="182">
        <f t="shared" ca="1" si="128"/>
        <v>759.72174372059567</v>
      </c>
      <c r="CD271" s="205">
        <f t="shared" ca="1" si="129"/>
        <v>1311.5744714771402</v>
      </c>
      <c r="CG271" s="180">
        <v>2048</v>
      </c>
      <c r="CH271" s="22">
        <v>34</v>
      </c>
      <c r="CI271" s="181">
        <f t="shared" ca="1" si="130"/>
        <v>97.406886573262838</v>
      </c>
      <c r="CJ271" s="181">
        <f t="shared" ca="1" si="131"/>
        <v>-343.6621015982559</v>
      </c>
      <c r="CK271" s="181">
        <f t="shared" ca="1" si="132"/>
        <v>798.84102229121493</v>
      </c>
      <c r="CL271" s="182">
        <f t="shared" ca="1" si="133"/>
        <v>754.47866390087256</v>
      </c>
      <c r="CM271" s="205">
        <f t="shared" ca="1" si="134"/>
        <v>1307.0644711670943</v>
      </c>
      <c r="CP271" s="180">
        <v>2048</v>
      </c>
      <c r="CQ271" s="22">
        <v>34</v>
      </c>
      <c r="CR271" s="181">
        <f t="shared" ca="1" si="135"/>
        <v>810.12186311233324</v>
      </c>
      <c r="CS271" s="182">
        <f t="shared" ca="1" si="136"/>
        <v>1.6285037105769911</v>
      </c>
      <c r="CT271" s="205">
        <f t="shared" ca="1" si="137"/>
        <v>1319.2864600979799</v>
      </c>
      <c r="CZ271" s="164" t="b">
        <f t="shared" si="113"/>
        <v>1</v>
      </c>
      <c r="DA271" s="165" t="b">
        <f t="shared" si="113"/>
        <v>1</v>
      </c>
      <c r="DB271" s="166" t="b">
        <f t="shared" si="113"/>
        <v>1</v>
      </c>
      <c r="DC271" s="164">
        <f t="shared" si="114"/>
        <v>36</v>
      </c>
      <c r="DD271" s="166">
        <f t="shared" si="115"/>
        <v>1070.3281025823298</v>
      </c>
      <c r="DE271" s="164">
        <f t="shared" si="116"/>
        <v>36</v>
      </c>
      <c r="DF271" s="166">
        <f t="shared" si="117"/>
        <v>1330.347265872568</v>
      </c>
      <c r="DG271" s="164">
        <f t="shared" si="118"/>
        <v>36</v>
      </c>
      <c r="DH271" s="166">
        <f t="shared" si="119"/>
        <v>1590.3664291628061</v>
      </c>
      <c r="DI271" s="164">
        <f>IFERROR(INDEX(DC$233:DC$281,_xlfn.AGGREGATE(15,6,(ROW(DC$233:DC$281)-ROW(DC$233)+1)/(DC$233:DC$281&lt;&gt;""),ROWS(DI$1:DI39))),"")</f>
        <v>36</v>
      </c>
      <c r="DJ271" s="165">
        <f>IFERROR(INDEX(DD$233:DD$281,_xlfn.AGGREGATE(15,6,(ROW(DD$233:DD$281)-ROW(DD$233)+1)/(DD$233:DD$281&lt;&gt;""),ROWS(DJ$1:DJ39))),"")</f>
        <v>1070.3281025823298</v>
      </c>
      <c r="DK271" s="166">
        <f t="shared" si="120"/>
        <v>271</v>
      </c>
      <c r="DL271" s="164">
        <f>IFERROR(INDEX(DE$233:DE$281,_xlfn.AGGREGATE(15,6,(ROW(DE$233:DE$281)-ROW(DE$233)+1)/(DE$233:DE$281&lt;&gt;""),ROWS(DL$1:DL39))),"")</f>
        <v>36</v>
      </c>
      <c r="DM271" s="165">
        <f>IFERROR(INDEX(DF$233:DF$281,_xlfn.AGGREGATE(15,6,(ROW(DF$233:DF$281)-ROW(DF$233)+1)/(DF$233:DF$281&lt;&gt;""),ROWS(DM$1:DM39))),"")</f>
        <v>1330.347265872568</v>
      </c>
      <c r="DN271" s="166">
        <f t="shared" si="121"/>
        <v>271</v>
      </c>
      <c r="DO271" s="164">
        <f>IFERROR(INDEX(DG$233:DG$281,_xlfn.AGGREGATE(15,6,(ROW(DG$233:DG$281)-ROW(DG$233)+1)/(DG$233:DG$281&lt;&gt;""),ROWS(DO$1:DO39))),"")</f>
        <v>36</v>
      </c>
      <c r="DP271" s="165">
        <f>IFERROR(INDEX(DH$233:DH$281,_xlfn.AGGREGATE(15,6,(ROW(DH$233:DH$281)-ROW(DH$233)+1)/(DH$233:DH$281&lt;&gt;""),ROWS(DP$1:DP39))),"")</f>
        <v>1590.3664291628061</v>
      </c>
      <c r="DQ271" s="166">
        <f t="shared" si="122"/>
        <v>271</v>
      </c>
      <c r="DV271" s="145">
        <v>2053</v>
      </c>
      <c r="DW271" s="235">
        <f t="shared" ca="1" si="106"/>
        <v>1365.6349286974405</v>
      </c>
      <c r="EA271" s="55"/>
      <c r="EB271" s="55"/>
      <c r="EC271" s="55"/>
      <c r="ED271" s="55"/>
      <c r="EE271" s="55"/>
    </row>
    <row r="272" spans="2:135" ht="13.8" x14ac:dyDescent="0.45">
      <c r="B272" s="128">
        <v>2051</v>
      </c>
      <c r="C272" s="1047">
        <v>1348.5971461187214</v>
      </c>
      <c r="D272" s="1050">
        <v>1662.2677904712432</v>
      </c>
      <c r="E272" s="1060"/>
      <c r="F272" s="1051"/>
      <c r="G272" s="1052"/>
      <c r="H272" s="1036"/>
      <c r="I272" s="1112">
        <v>1021.9235294117648</v>
      </c>
      <c r="J272" s="247"/>
      <c r="K272" s="245"/>
      <c r="L272" s="246"/>
      <c r="M272" s="245"/>
      <c r="N272" s="29" t="s">
        <v>119</v>
      </c>
      <c r="O272" s="120"/>
      <c r="P272" s="120"/>
      <c r="Q272" s="120"/>
      <c r="R272" s="29">
        <v>37</v>
      </c>
      <c r="S272" s="238">
        <f t="shared" si="107"/>
        <v>1021.9235294117648</v>
      </c>
      <c r="T272" s="238">
        <f t="shared" si="108"/>
        <v>1662.2677904712432</v>
      </c>
      <c r="U272" s="238">
        <f t="shared" si="109"/>
        <v>261.43741499910681</v>
      </c>
      <c r="W272" s="238">
        <f t="shared" si="110"/>
        <v>1082.8254070014698</v>
      </c>
      <c r="X272" s="238">
        <f t="shared" si="140"/>
        <v>1344.2628220005765</v>
      </c>
      <c r="Y272" s="238">
        <f t="shared" si="112"/>
        <v>1605.7002369996833</v>
      </c>
      <c r="AA272" s="1133">
        <v>1348.5971461187214</v>
      </c>
      <c r="AB272" s="1133">
        <v>1505.4324682949823</v>
      </c>
      <c r="AC272" s="1133">
        <v>1662.2677904712432</v>
      </c>
      <c r="AD272" s="89"/>
      <c r="AE272" s="89"/>
      <c r="AF272" s="89"/>
      <c r="AG272" s="89"/>
      <c r="AH272" s="89"/>
      <c r="AI272" s="89"/>
      <c r="AJ272" s="89"/>
      <c r="AK272" s="89"/>
      <c r="AL272" s="89"/>
      <c r="AM272" s="89"/>
      <c r="AN272" s="89"/>
      <c r="BR272" s="180">
        <v>2049</v>
      </c>
      <c r="BS272" s="22">
        <v>35</v>
      </c>
      <c r="BT272" s="181">
        <f t="shared" si="123"/>
        <v>532.59043156317296</v>
      </c>
      <c r="BU272" s="182">
        <f t="shared" si="124"/>
        <v>795.07013205106455</v>
      </c>
      <c r="BV272" s="205">
        <f t="shared" si="125"/>
        <v>1327.6605636142376</v>
      </c>
      <c r="BY272" s="180">
        <v>2049</v>
      </c>
      <c r="BZ272" s="22">
        <v>35</v>
      </c>
      <c r="CA272" s="181">
        <f t="shared" ca="1" si="126"/>
        <v>-177.46629387223052</v>
      </c>
      <c r="CB272" s="181">
        <f t="shared" ca="1" si="127"/>
        <v>740.4795186706433</v>
      </c>
      <c r="CC272" s="182">
        <f t="shared" ca="1" si="128"/>
        <v>759.72174372059567</v>
      </c>
      <c r="CD272" s="205">
        <f t="shared" ca="1" si="129"/>
        <v>1322.7349685190084</v>
      </c>
      <c r="CG272" s="180">
        <v>2049</v>
      </c>
      <c r="CH272" s="22">
        <v>35</v>
      </c>
      <c r="CI272" s="181">
        <f t="shared" ca="1" si="130"/>
        <v>106.25687619144729</v>
      </c>
      <c r="CJ272" s="181">
        <f t="shared" ca="1" si="131"/>
        <v>-364.17480489434558</v>
      </c>
      <c r="CK272" s="181">
        <f t="shared" ca="1" si="132"/>
        <v>822.3363464762507</v>
      </c>
      <c r="CL272" s="182">
        <f t="shared" ca="1" si="133"/>
        <v>754.47866390087256</v>
      </c>
      <c r="CM272" s="205">
        <f t="shared" ca="1" si="134"/>
        <v>1318.8970816742249</v>
      </c>
      <c r="CP272" s="180">
        <v>2049</v>
      </c>
      <c r="CQ272" s="22">
        <v>35</v>
      </c>
      <c r="CR272" s="181">
        <f t="shared" ca="1" si="135"/>
        <v>810.12186311233324</v>
      </c>
      <c r="CS272" s="182">
        <f t="shared" ca="1" si="136"/>
        <v>1.6520296340166971</v>
      </c>
      <c r="CT272" s="205">
        <f t="shared" ca="1" si="137"/>
        <v>1338.3453250263926</v>
      </c>
      <c r="CZ272" s="164" t="b">
        <f t="shared" si="113"/>
        <v>1</v>
      </c>
      <c r="DA272" s="165" t="b">
        <f t="shared" si="113"/>
        <v>1</v>
      </c>
      <c r="DB272" s="166" t="b">
        <f t="shared" si="113"/>
        <v>1</v>
      </c>
      <c r="DC272" s="164">
        <f t="shared" si="114"/>
        <v>37</v>
      </c>
      <c r="DD272" s="166">
        <f t="shared" si="115"/>
        <v>1082.8254070014698</v>
      </c>
      <c r="DE272" s="164">
        <f t="shared" si="116"/>
        <v>37</v>
      </c>
      <c r="DF272" s="166">
        <f t="shared" si="117"/>
        <v>1344.2628220005765</v>
      </c>
      <c r="DG272" s="164">
        <f t="shared" si="118"/>
        <v>37</v>
      </c>
      <c r="DH272" s="166">
        <f t="shared" si="119"/>
        <v>1605.7002369996833</v>
      </c>
      <c r="DI272" s="164">
        <f>IFERROR(INDEX(DC$233:DC$281,_xlfn.AGGREGATE(15,6,(ROW(DC$233:DC$281)-ROW(DC$233)+1)/(DC$233:DC$281&lt;&gt;""),ROWS(DI$1:DI40))),"")</f>
        <v>37</v>
      </c>
      <c r="DJ272" s="165">
        <f>IFERROR(INDEX(DD$233:DD$281,_xlfn.AGGREGATE(15,6,(ROW(DD$233:DD$281)-ROW(DD$233)+1)/(DD$233:DD$281&lt;&gt;""),ROWS(DJ$1:DJ40))),"")</f>
        <v>1082.8254070014698</v>
      </c>
      <c r="DK272" s="166">
        <f t="shared" si="120"/>
        <v>272</v>
      </c>
      <c r="DL272" s="164">
        <f>IFERROR(INDEX(DE$233:DE$281,_xlfn.AGGREGATE(15,6,(ROW(DE$233:DE$281)-ROW(DE$233)+1)/(DE$233:DE$281&lt;&gt;""),ROWS(DL$1:DL40))),"")</f>
        <v>37</v>
      </c>
      <c r="DM272" s="165">
        <f>IFERROR(INDEX(DF$233:DF$281,_xlfn.AGGREGATE(15,6,(ROW(DF$233:DF$281)-ROW(DF$233)+1)/(DF$233:DF$281&lt;&gt;""),ROWS(DM$1:DM40))),"")</f>
        <v>1344.2628220005765</v>
      </c>
      <c r="DN272" s="166">
        <f t="shared" si="121"/>
        <v>272</v>
      </c>
      <c r="DO272" s="164">
        <f>IFERROR(INDEX(DG$233:DG$281,_xlfn.AGGREGATE(15,6,(ROW(DG$233:DG$281)-ROW(DG$233)+1)/(DG$233:DG$281&lt;&gt;""),ROWS(DO$1:DO40))),"")</f>
        <v>37</v>
      </c>
      <c r="DP272" s="165">
        <f>IFERROR(INDEX(DH$233:DH$281,_xlfn.AGGREGATE(15,6,(ROW(DH$233:DH$281)-ROW(DH$233)+1)/(DH$233:DH$281&lt;&gt;""),ROWS(DP$1:DP40))),"")</f>
        <v>1605.7002369996833</v>
      </c>
      <c r="DQ272" s="166">
        <f t="shared" si="122"/>
        <v>272</v>
      </c>
      <c r="DV272" s="145">
        <v>2054</v>
      </c>
      <c r="DW272" s="235">
        <f t="shared" ca="1" si="106"/>
        <v>1377.2455905365709</v>
      </c>
      <c r="EA272" s="55"/>
      <c r="EB272" s="55"/>
      <c r="EC272" s="55"/>
      <c r="ED272" s="55"/>
      <c r="EE272" s="55"/>
    </row>
    <row r="273" spans="1:135" ht="14.1" thickBot="1" x14ac:dyDescent="0.5">
      <c r="B273" s="128">
        <v>2052</v>
      </c>
      <c r="C273" s="1047">
        <v>1364.8461187214612</v>
      </c>
      <c r="D273" s="1050">
        <v>1672.3972303640801</v>
      </c>
      <c r="E273" s="1060"/>
      <c r="F273" s="1051"/>
      <c r="G273" s="1052"/>
      <c r="H273" s="1036"/>
      <c r="I273" s="1112">
        <v>1029.1470588235295</v>
      </c>
      <c r="J273" s="247"/>
      <c r="K273" s="245"/>
      <c r="L273" s="246"/>
      <c r="M273" s="245"/>
      <c r="N273" s="29" t="s">
        <v>119</v>
      </c>
      <c r="O273" s="120"/>
      <c r="P273" s="120"/>
      <c r="Q273" s="120"/>
      <c r="R273" s="29">
        <v>38</v>
      </c>
      <c r="S273" s="238">
        <f t="shared" si="107"/>
        <v>1029.1470588235295</v>
      </c>
      <c r="T273" s="238">
        <f t="shared" si="108"/>
        <v>1672.3972303640801</v>
      </c>
      <c r="U273" s="238">
        <f t="shared" si="109"/>
        <v>262.68957773935239</v>
      </c>
      <c r="W273" s="238">
        <f t="shared" si="110"/>
        <v>1092.7738915636712</v>
      </c>
      <c r="X273" s="238">
        <f t="shared" si="140"/>
        <v>1355.4634693030237</v>
      </c>
      <c r="Y273" s="238">
        <f t="shared" si="112"/>
        <v>1618.1530470423761</v>
      </c>
      <c r="AA273" s="1133">
        <v>1364.84611872146</v>
      </c>
      <c r="AB273" s="1133">
        <v>1518.6216745427705</v>
      </c>
      <c r="AC273" s="1133">
        <v>1672.397230364081</v>
      </c>
      <c r="AD273" s="89"/>
      <c r="AE273" s="89"/>
      <c r="AF273" s="89"/>
      <c r="AG273" s="89"/>
      <c r="AH273" s="89"/>
      <c r="AI273" s="89"/>
      <c r="AJ273" s="89"/>
      <c r="AK273" s="89"/>
      <c r="AL273" s="89"/>
      <c r="AM273" s="89"/>
      <c r="AN273" s="89"/>
      <c r="BR273" s="180">
        <v>2050</v>
      </c>
      <c r="BS273" s="22">
        <v>36</v>
      </c>
      <c r="BT273" s="181">
        <f t="shared" si="123"/>
        <v>547.80730103640644</v>
      </c>
      <c r="BU273" s="182">
        <f t="shared" si="124"/>
        <v>795.07013205106455</v>
      </c>
      <c r="BV273" s="212">
        <f t="shared" si="125"/>
        <v>1342.877433087471</v>
      </c>
      <c r="BY273" s="180">
        <v>2050</v>
      </c>
      <c r="BZ273" s="22">
        <v>36</v>
      </c>
      <c r="CA273" s="181">
        <f t="shared" ca="1" si="126"/>
        <v>-187.75209539462102</v>
      </c>
      <c r="CB273" s="181">
        <f t="shared" ca="1" si="127"/>
        <v>761.63607634694733</v>
      </c>
      <c r="CC273" s="182">
        <f t="shared" ca="1" si="128"/>
        <v>759.72174372059567</v>
      </c>
      <c r="CD273" s="212">
        <f t="shared" ca="1" si="129"/>
        <v>1333.605724672922</v>
      </c>
      <c r="CG273" s="180">
        <v>2050</v>
      </c>
      <c r="CH273" s="22">
        <v>36</v>
      </c>
      <c r="CI273" s="181">
        <f t="shared" ca="1" si="130"/>
        <v>115.62730765220209</v>
      </c>
      <c r="CJ273" s="181">
        <f t="shared" ca="1" si="131"/>
        <v>-385.28207930046682</v>
      </c>
      <c r="CK273" s="181">
        <f t="shared" ca="1" si="132"/>
        <v>845.83167066128647</v>
      </c>
      <c r="CL273" s="182">
        <f t="shared" ca="1" si="133"/>
        <v>754.47866390087256</v>
      </c>
      <c r="CM273" s="212">
        <f t="shared" ca="1" si="134"/>
        <v>1330.6555629138943</v>
      </c>
      <c r="CP273" s="180">
        <v>2050</v>
      </c>
      <c r="CQ273" s="22">
        <v>36</v>
      </c>
      <c r="CR273" s="181">
        <f t="shared" ca="1" si="135"/>
        <v>810.12186311233324</v>
      </c>
      <c r="CS273" s="182">
        <f t="shared" ca="1" si="136"/>
        <v>1.6758954210195602</v>
      </c>
      <c r="CT273" s="212">
        <f t="shared" ca="1" si="137"/>
        <v>1357.6795208577942</v>
      </c>
      <c r="CZ273" s="164" t="b">
        <f t="shared" si="113"/>
        <v>1</v>
      </c>
      <c r="DA273" s="165" t="b">
        <f t="shared" si="113"/>
        <v>1</v>
      </c>
      <c r="DB273" s="166" t="b">
        <f t="shared" si="113"/>
        <v>1</v>
      </c>
      <c r="DC273" s="164">
        <f t="shared" si="114"/>
        <v>38</v>
      </c>
      <c r="DD273" s="166">
        <f t="shared" si="115"/>
        <v>1092.7738915636712</v>
      </c>
      <c r="DE273" s="164">
        <f t="shared" si="116"/>
        <v>38</v>
      </c>
      <c r="DF273" s="166">
        <f t="shared" si="117"/>
        <v>1355.4634693030237</v>
      </c>
      <c r="DG273" s="164">
        <f t="shared" si="118"/>
        <v>38</v>
      </c>
      <c r="DH273" s="166">
        <f t="shared" si="119"/>
        <v>1618.1530470423761</v>
      </c>
      <c r="DI273" s="164">
        <f>IFERROR(INDEX(DC$233:DC$281,_xlfn.AGGREGATE(15,6,(ROW(DC$233:DC$281)-ROW(DC$233)+1)/(DC$233:DC$281&lt;&gt;""),ROWS(DI$1:DI41))),"")</f>
        <v>38</v>
      </c>
      <c r="DJ273" s="165">
        <f>IFERROR(INDEX(DD$233:DD$281,_xlfn.AGGREGATE(15,6,(ROW(DD$233:DD$281)-ROW(DD$233)+1)/(DD$233:DD$281&lt;&gt;""),ROWS(DJ$1:DJ41))),"")</f>
        <v>1092.7738915636712</v>
      </c>
      <c r="DK273" s="166">
        <f t="shared" si="120"/>
        <v>273</v>
      </c>
      <c r="DL273" s="164">
        <f>IFERROR(INDEX(DE$233:DE$281,_xlfn.AGGREGATE(15,6,(ROW(DE$233:DE$281)-ROW(DE$233)+1)/(DE$233:DE$281&lt;&gt;""),ROWS(DL$1:DL41))),"")</f>
        <v>38</v>
      </c>
      <c r="DM273" s="165">
        <f>IFERROR(INDEX(DF$233:DF$281,_xlfn.AGGREGATE(15,6,(ROW(DF$233:DF$281)-ROW(DF$233)+1)/(DF$233:DF$281&lt;&gt;""),ROWS(DM$1:DM41))),"")</f>
        <v>1355.4634693030237</v>
      </c>
      <c r="DN273" s="166">
        <f t="shared" si="121"/>
        <v>273</v>
      </c>
      <c r="DO273" s="164">
        <f>IFERROR(INDEX(DG$233:DG$281,_xlfn.AGGREGATE(15,6,(ROW(DG$233:DG$281)-ROW(DG$233)+1)/(DG$233:DG$281&lt;&gt;""),ROWS(DO$1:DO41))),"")</f>
        <v>38</v>
      </c>
      <c r="DP273" s="165">
        <f>IFERROR(INDEX(DH$233:DH$281,_xlfn.AGGREGATE(15,6,(ROW(DH$233:DH$281)-ROW(DH$233)+1)/(DH$233:DH$281&lt;&gt;""),ROWS(DP$1:DP41))),"")</f>
        <v>1618.1530470423761</v>
      </c>
      <c r="DQ273" s="166">
        <f t="shared" si="122"/>
        <v>273</v>
      </c>
      <c r="DV273" s="145">
        <v>2055</v>
      </c>
      <c r="DW273" s="235">
        <f t="shared" ca="1" si="106"/>
        <v>1388.8564719428925</v>
      </c>
      <c r="EA273" s="55"/>
      <c r="EB273" s="55"/>
      <c r="EC273" s="55"/>
      <c r="ED273" s="55"/>
      <c r="EE273" s="55"/>
    </row>
    <row r="274" spans="1:135" ht="13.8" x14ac:dyDescent="0.45">
      <c r="B274" s="128">
        <v>2053</v>
      </c>
      <c r="C274" s="1047">
        <v>1381.0950913242009</v>
      </c>
      <c r="D274" s="1050">
        <v>1681.9331561213253</v>
      </c>
      <c r="E274" s="1060"/>
      <c r="F274" s="1051"/>
      <c r="G274" s="1052"/>
      <c r="H274" s="1036"/>
      <c r="I274" s="1112">
        <v>1036.3705882352942</v>
      </c>
      <c r="J274" s="247"/>
      <c r="K274" s="245"/>
      <c r="L274" s="246"/>
      <c r="M274" s="245"/>
      <c r="N274" s="29" t="s">
        <v>119</v>
      </c>
      <c r="O274" s="120"/>
      <c r="P274" s="120"/>
      <c r="Q274" s="120"/>
      <c r="R274" s="29">
        <v>39</v>
      </c>
      <c r="S274" s="238">
        <f t="shared" si="107"/>
        <v>1036.3705882352942</v>
      </c>
      <c r="T274" s="238">
        <f t="shared" si="108"/>
        <v>1681.9331561213253</v>
      </c>
      <c r="U274" s="238">
        <f t="shared" si="109"/>
        <v>263.75273633470027</v>
      </c>
      <c r="W274" s="238">
        <f t="shared" si="110"/>
        <v>1102.7135422255731</v>
      </c>
      <c r="X274" s="238">
        <f t="shared" si="140"/>
        <v>1366.4662785602734</v>
      </c>
      <c r="Y274" s="238">
        <f t="shared" si="112"/>
        <v>1630.2190148949737</v>
      </c>
      <c r="AA274" s="1133">
        <v>1381.0950913242009</v>
      </c>
      <c r="AB274" s="1133">
        <v>1531.5141237227631</v>
      </c>
      <c r="AC274" s="1133">
        <v>1681.9331561213253</v>
      </c>
      <c r="AD274" s="89"/>
      <c r="AE274" s="89"/>
      <c r="AF274" s="89"/>
      <c r="AG274" s="89"/>
      <c r="AH274" s="89"/>
      <c r="AI274" s="89"/>
      <c r="AJ274" s="89"/>
      <c r="AK274" s="89"/>
      <c r="AL274" s="89"/>
      <c r="AM274" s="89"/>
      <c r="AN274" s="89"/>
      <c r="BR274" s="180">
        <v>2051</v>
      </c>
      <c r="BS274" s="22">
        <v>37</v>
      </c>
      <c r="BT274" s="181">
        <f t="shared" si="123"/>
        <v>563.02417050964004</v>
      </c>
      <c r="BU274" s="182">
        <f t="shared" si="124"/>
        <v>795.07013205106455</v>
      </c>
      <c r="BV274" s="213">
        <f t="shared" si="125"/>
        <v>1358.0943025607046</v>
      </c>
      <c r="BY274" s="180">
        <v>2051</v>
      </c>
      <c r="BZ274" s="22">
        <v>37</v>
      </c>
      <c r="CA274" s="181">
        <f t="shared" ca="1" si="126"/>
        <v>-198.3276378049662</v>
      </c>
      <c r="CB274" s="181">
        <f t="shared" ca="1" si="127"/>
        <v>782.79263402325148</v>
      </c>
      <c r="CC274" s="182">
        <f t="shared" ca="1" si="128"/>
        <v>759.72174372059567</v>
      </c>
      <c r="CD274" s="213">
        <f t="shared" ca="1" si="129"/>
        <v>1344.1867399388809</v>
      </c>
      <c r="CG274" s="180">
        <v>2051</v>
      </c>
      <c r="CH274" s="22">
        <v>37</v>
      </c>
      <c r="CI274" s="181">
        <f t="shared" ca="1" si="130"/>
        <v>125.53305072245783</v>
      </c>
      <c r="CJ274" s="181">
        <f t="shared" ca="1" si="131"/>
        <v>-406.98392481661966</v>
      </c>
      <c r="CK274" s="181">
        <f t="shared" ca="1" si="132"/>
        <v>869.32699484632212</v>
      </c>
      <c r="CL274" s="182">
        <f t="shared" ca="1" si="133"/>
        <v>754.47866390087256</v>
      </c>
      <c r="CM274" s="213">
        <f t="shared" ca="1" si="134"/>
        <v>1342.3547846530328</v>
      </c>
      <c r="CP274" s="180">
        <v>2051</v>
      </c>
      <c r="CQ274" s="22">
        <v>37</v>
      </c>
      <c r="CR274" s="181">
        <f t="shared" ca="1" si="135"/>
        <v>810.12186311233324</v>
      </c>
      <c r="CS274" s="182">
        <f t="shared" ca="1" si="136"/>
        <v>1.7001059813712411</v>
      </c>
      <c r="CT274" s="213">
        <f t="shared" ca="1" si="137"/>
        <v>1377.2930251168916</v>
      </c>
      <c r="CZ274" s="164" t="b">
        <f t="shared" ref="CZ274:DB278" si="141">ISNUMBER(W274)</f>
        <v>1</v>
      </c>
      <c r="DA274" s="165" t="b">
        <f t="shared" si="141"/>
        <v>1</v>
      </c>
      <c r="DB274" s="166" t="b">
        <f t="shared" si="141"/>
        <v>1</v>
      </c>
      <c r="DC274" s="164">
        <f t="shared" si="114"/>
        <v>39</v>
      </c>
      <c r="DD274" s="166">
        <f t="shared" si="115"/>
        <v>1102.7135422255731</v>
      </c>
      <c r="DE274" s="164">
        <f t="shared" si="116"/>
        <v>39</v>
      </c>
      <c r="DF274" s="166">
        <f t="shared" si="117"/>
        <v>1366.4662785602734</v>
      </c>
      <c r="DG274" s="164">
        <f t="shared" si="118"/>
        <v>39</v>
      </c>
      <c r="DH274" s="166">
        <f t="shared" si="119"/>
        <v>1630.2190148949737</v>
      </c>
      <c r="DI274" s="164">
        <f>IFERROR(INDEX(DC$233:DC$281,_xlfn.AGGREGATE(15,6,(ROW(DC$233:DC$281)-ROW(DC$233)+1)/(DC$233:DC$281&lt;&gt;""),ROWS(DI$1:DI42))),"")</f>
        <v>39</v>
      </c>
      <c r="DJ274" s="165">
        <f>IFERROR(INDEX(DD$233:DD$281,_xlfn.AGGREGATE(15,6,(ROW(DD$233:DD$281)-ROW(DD$233)+1)/(DD$233:DD$281&lt;&gt;""),ROWS(DJ$1:DJ42))),"")</f>
        <v>1102.7135422255731</v>
      </c>
      <c r="DK274" s="166">
        <f t="shared" si="120"/>
        <v>274</v>
      </c>
      <c r="DL274" s="164">
        <f>IFERROR(INDEX(DE$233:DE$281,_xlfn.AGGREGATE(15,6,(ROW(DE$233:DE$281)-ROW(DE$233)+1)/(DE$233:DE$281&lt;&gt;""),ROWS(DL$1:DL42))),"")</f>
        <v>39</v>
      </c>
      <c r="DM274" s="165">
        <f>IFERROR(INDEX(DF$233:DF$281,_xlfn.AGGREGATE(15,6,(ROW(DF$233:DF$281)-ROW(DF$233)+1)/(DF$233:DF$281&lt;&gt;""),ROWS(DM$1:DM42))),"")</f>
        <v>1366.4662785602734</v>
      </c>
      <c r="DN274" s="166">
        <f t="shared" si="121"/>
        <v>274</v>
      </c>
      <c r="DO274" s="164">
        <f>IFERROR(INDEX(DG$233:DG$281,_xlfn.AGGREGATE(15,6,(ROW(DG$233:DG$281)-ROW(DG$233)+1)/(DG$233:DG$281&lt;&gt;""),ROWS(DO$1:DO42))),"")</f>
        <v>39</v>
      </c>
      <c r="DP274" s="165">
        <f>IFERROR(INDEX(DH$233:DH$281,_xlfn.AGGREGATE(15,6,(ROW(DH$233:DH$281)-ROW(DH$233)+1)/(DH$233:DH$281&lt;&gt;""),ROWS(DP$1:DP42))),"")</f>
        <v>1630.2190148949737</v>
      </c>
      <c r="DQ274" s="166">
        <f t="shared" si="122"/>
        <v>274</v>
      </c>
      <c r="DV274" s="145">
        <v>2056</v>
      </c>
      <c r="DW274" s="235">
        <f t="shared" ca="1" si="106"/>
        <v>1400.4824426833368</v>
      </c>
      <c r="EA274" s="55"/>
      <c r="EB274" s="55"/>
      <c r="EC274" s="55"/>
      <c r="ED274" s="55"/>
      <c r="EE274" s="55"/>
    </row>
    <row r="275" spans="1:135" ht="13.8" x14ac:dyDescent="0.45">
      <c r="B275" s="128">
        <v>2054</v>
      </c>
      <c r="C275" s="1047">
        <v>1397.3440639269406</v>
      </c>
      <c r="D275" s="1050">
        <v>1690.878606568087</v>
      </c>
      <c r="E275" s="1060"/>
      <c r="F275" s="1051"/>
      <c r="G275" s="1052"/>
      <c r="H275" s="1036"/>
      <c r="I275" s="1112">
        <v>1043.594117647059</v>
      </c>
      <c r="J275" s="247"/>
      <c r="K275" s="245"/>
      <c r="L275" s="246"/>
      <c r="M275" s="245"/>
      <c r="N275" s="29" t="s">
        <v>119</v>
      </c>
      <c r="O275" s="120"/>
      <c r="P275" s="120"/>
      <c r="Q275" s="120"/>
      <c r="R275" s="29">
        <v>40</v>
      </c>
      <c r="S275" s="238">
        <f t="shared" si="107"/>
        <v>1043.594117647059</v>
      </c>
      <c r="T275" s="238">
        <f t="shared" si="108"/>
        <v>1690.878606568087</v>
      </c>
      <c r="U275" s="238">
        <f t="shared" si="109"/>
        <v>264.63365911184599</v>
      </c>
      <c r="W275" s="238">
        <f t="shared" si="110"/>
        <v>1112.6386036021831</v>
      </c>
      <c r="X275" s="238">
        <f t="shared" si="140"/>
        <v>1377.272262714029</v>
      </c>
      <c r="Y275" s="238">
        <f t="shared" si="112"/>
        <v>1641.9059218258749</v>
      </c>
      <c r="AA275" s="1133">
        <v>1397.3440639269406</v>
      </c>
      <c r="AB275" s="1133">
        <v>1544.1113352475138</v>
      </c>
      <c r="AC275" s="1133">
        <v>1690.878606568087</v>
      </c>
      <c r="AD275" s="89"/>
      <c r="AE275" s="89"/>
      <c r="AF275" s="89"/>
      <c r="AG275" s="89"/>
      <c r="AH275" s="89"/>
      <c r="AI275" s="89"/>
      <c r="AJ275" s="89"/>
      <c r="AK275" s="89"/>
      <c r="AL275" s="89"/>
      <c r="AM275" s="89"/>
      <c r="AN275" s="89"/>
      <c r="BR275" s="180">
        <v>2052</v>
      </c>
      <c r="BS275" s="22">
        <v>38</v>
      </c>
      <c r="BT275" s="181">
        <f t="shared" si="123"/>
        <v>578.24103998287353</v>
      </c>
      <c r="BU275" s="182">
        <f t="shared" si="124"/>
        <v>795.07013205106455</v>
      </c>
      <c r="BV275" s="242">
        <f t="shared" si="125"/>
        <v>1373.311172033938</v>
      </c>
      <c r="BY275" s="180">
        <v>2052</v>
      </c>
      <c r="BZ275" s="22">
        <v>38</v>
      </c>
      <c r="CA275" s="181">
        <f t="shared" ca="1" si="126"/>
        <v>-209.19292110326603</v>
      </c>
      <c r="CB275" s="181">
        <f t="shared" ca="1" si="127"/>
        <v>803.94919169955551</v>
      </c>
      <c r="CC275" s="182">
        <f t="shared" ca="1" si="128"/>
        <v>759.72174372059567</v>
      </c>
      <c r="CD275" s="242">
        <f t="shared" ca="1" si="129"/>
        <v>1354.478014316885</v>
      </c>
      <c r="CG275" s="180">
        <v>2052</v>
      </c>
      <c r="CH275" s="22">
        <v>38</v>
      </c>
      <c r="CI275" s="181">
        <f t="shared" ca="1" si="130"/>
        <v>135.98897516914508</v>
      </c>
      <c r="CJ275" s="181">
        <f t="shared" ca="1" si="131"/>
        <v>-429.28034144280406</v>
      </c>
      <c r="CK275" s="181">
        <f t="shared" ca="1" si="132"/>
        <v>892.82231903135789</v>
      </c>
      <c r="CL275" s="182">
        <f t="shared" ca="1" si="133"/>
        <v>754.47866390087256</v>
      </c>
      <c r="CM275" s="242">
        <f t="shared" ca="1" si="134"/>
        <v>1354.0096166585715</v>
      </c>
      <c r="CP275" s="180">
        <v>2052</v>
      </c>
      <c r="CQ275" s="22">
        <v>38</v>
      </c>
      <c r="CR275" s="181">
        <f t="shared" ca="1" si="135"/>
        <v>810.12186311233324</v>
      </c>
      <c r="CS275" s="182">
        <f t="shared" ca="1" si="136"/>
        <v>1.724666295785849</v>
      </c>
      <c r="CT275" s="242">
        <f t="shared" ca="1" si="137"/>
        <v>1397.1898727890784</v>
      </c>
      <c r="CZ275" s="164" t="b">
        <f t="shared" si="141"/>
        <v>1</v>
      </c>
      <c r="DA275" s="165" t="b">
        <f t="shared" si="141"/>
        <v>1</v>
      </c>
      <c r="DB275" s="166" t="b">
        <f t="shared" si="141"/>
        <v>1</v>
      </c>
      <c r="DC275" s="164">
        <f t="shared" si="114"/>
        <v>40</v>
      </c>
      <c r="DD275" s="166">
        <f t="shared" si="115"/>
        <v>1112.6386036021831</v>
      </c>
      <c r="DE275" s="164">
        <f t="shared" si="116"/>
        <v>40</v>
      </c>
      <c r="DF275" s="166">
        <f t="shared" si="117"/>
        <v>1377.272262714029</v>
      </c>
      <c r="DG275" s="164">
        <f t="shared" si="118"/>
        <v>40</v>
      </c>
      <c r="DH275" s="166">
        <f t="shared" si="119"/>
        <v>1641.9059218258749</v>
      </c>
      <c r="DI275" s="164">
        <f>IFERROR(INDEX(DC$233:DC$281,_xlfn.AGGREGATE(15,6,(ROW(DC$233:DC$281)-ROW(DC$233)+1)/(DC$233:DC$281&lt;&gt;""),ROWS(DI$1:DI43))),"")</f>
        <v>40</v>
      </c>
      <c r="DJ275" s="165">
        <f>IFERROR(INDEX(DD$233:DD$281,_xlfn.AGGREGATE(15,6,(ROW(DD$233:DD$281)-ROW(DD$233)+1)/(DD$233:DD$281&lt;&gt;""),ROWS(DJ$1:DJ43))),"")</f>
        <v>1112.6386036021831</v>
      </c>
      <c r="DK275" s="166">
        <f t="shared" si="120"/>
        <v>275</v>
      </c>
      <c r="DL275" s="164">
        <f>IFERROR(INDEX(DE$233:DE$281,_xlfn.AGGREGATE(15,6,(ROW(DE$233:DE$281)-ROW(DE$233)+1)/(DE$233:DE$281&lt;&gt;""),ROWS(DL$1:DL43))),"")</f>
        <v>40</v>
      </c>
      <c r="DM275" s="165">
        <f>IFERROR(INDEX(DF$233:DF$281,_xlfn.AGGREGATE(15,6,(ROW(DF$233:DF$281)-ROW(DF$233)+1)/(DF$233:DF$281&lt;&gt;""),ROWS(DM$1:DM43))),"")</f>
        <v>1377.272262714029</v>
      </c>
      <c r="DN275" s="166">
        <f t="shared" si="121"/>
        <v>275</v>
      </c>
      <c r="DO275" s="164">
        <f>IFERROR(INDEX(DG$233:DG$281,_xlfn.AGGREGATE(15,6,(ROW(DG$233:DG$281)-ROW(DG$233)+1)/(DG$233:DG$281&lt;&gt;""),ROWS(DO$1:DO43))),"")</f>
        <v>40</v>
      </c>
      <c r="DP275" s="165">
        <f>IFERROR(INDEX(DH$233:DH$281,_xlfn.AGGREGATE(15,6,(ROW(DH$233:DH$281)-ROW(DH$233)+1)/(DH$233:DH$281&lt;&gt;""),ROWS(DP$1:DP43))),"")</f>
        <v>1641.9059218258749</v>
      </c>
      <c r="DQ275" s="166">
        <f t="shared" si="122"/>
        <v>275</v>
      </c>
      <c r="DV275" s="145">
        <v>2057</v>
      </c>
      <c r="DW275" s="235">
        <f t="shared" ca="1" si="106"/>
        <v>1412.1383725248338</v>
      </c>
      <c r="EA275" s="55"/>
      <c r="EB275" s="55"/>
      <c r="EC275" s="55"/>
      <c r="ED275" s="55"/>
      <c r="EE275" s="55"/>
    </row>
    <row r="276" spans="1:135" ht="13.8" x14ac:dyDescent="0.45">
      <c r="B276" s="128">
        <v>2055</v>
      </c>
      <c r="C276" s="1047">
        <v>1413.5930365296804</v>
      </c>
      <c r="D276" s="1050">
        <v>1699.2366205294761</v>
      </c>
      <c r="E276" s="1060"/>
      <c r="F276" s="1051"/>
      <c r="G276" s="1052"/>
      <c r="H276" s="1036"/>
      <c r="I276" s="1112">
        <v>1050.8176470588237</v>
      </c>
      <c r="J276" s="247"/>
      <c r="K276" s="245"/>
      <c r="L276" s="246"/>
      <c r="M276" s="245"/>
      <c r="N276" s="29" t="s">
        <v>119</v>
      </c>
      <c r="O276" s="120"/>
      <c r="P276" s="120"/>
      <c r="Q276" s="120"/>
      <c r="R276" s="29">
        <v>41</v>
      </c>
      <c r="S276" s="238">
        <f t="shared" si="107"/>
        <v>1050.8176470588237</v>
      </c>
      <c r="T276" s="238">
        <f t="shared" si="108"/>
        <v>1699.2366205294761</v>
      </c>
      <c r="U276" s="238">
        <f t="shared" si="109"/>
        <v>265.33949018039391</v>
      </c>
      <c r="W276" s="238">
        <f t="shared" si="110"/>
        <v>1122.5429445255995</v>
      </c>
      <c r="X276" s="238">
        <f t="shared" si="140"/>
        <v>1387.8824347059933</v>
      </c>
      <c r="Y276" s="238">
        <f t="shared" si="112"/>
        <v>1653.2219248863871</v>
      </c>
      <c r="AA276" s="1133">
        <v>1413.5930365296804</v>
      </c>
      <c r="AB276" s="1133">
        <v>1556.4148285295782</v>
      </c>
      <c r="AC276" s="1133">
        <v>1699.2366205294761</v>
      </c>
      <c r="AD276" s="89"/>
      <c r="AE276" s="89"/>
      <c r="AF276" s="89"/>
      <c r="AG276" s="89"/>
      <c r="AH276" s="89"/>
      <c r="AI276" s="89"/>
      <c r="AJ276" s="89"/>
      <c r="AK276" s="89"/>
      <c r="AL276" s="89"/>
      <c r="AM276" s="89"/>
      <c r="AN276" s="89"/>
      <c r="BR276" s="180">
        <v>2053</v>
      </c>
      <c r="BS276" s="22">
        <v>39</v>
      </c>
      <c r="BT276" s="181">
        <f t="shared" si="123"/>
        <v>593.45790945610702</v>
      </c>
      <c r="BU276" s="182">
        <f t="shared" si="124"/>
        <v>795.07013205106455</v>
      </c>
      <c r="BV276" s="242">
        <f t="shared" si="125"/>
        <v>1388.5280415071716</v>
      </c>
      <c r="BY276" s="180">
        <v>2053</v>
      </c>
      <c r="BZ276" s="22">
        <v>39</v>
      </c>
      <c r="CA276" s="181">
        <f t="shared" ca="1" si="126"/>
        <v>-220.34794528952051</v>
      </c>
      <c r="CB276" s="181">
        <f t="shared" ca="1" si="127"/>
        <v>825.10574937585966</v>
      </c>
      <c r="CC276" s="182">
        <f t="shared" ca="1" si="128"/>
        <v>759.72174372059567</v>
      </c>
      <c r="CD276" s="242">
        <f t="shared" ca="1" si="129"/>
        <v>1364.4795478069348</v>
      </c>
      <c r="CG276" s="180">
        <v>2053</v>
      </c>
      <c r="CH276" s="22">
        <v>39</v>
      </c>
      <c r="CI276" s="181">
        <f t="shared" ca="1" si="130"/>
        <v>147.00995075919445</v>
      </c>
      <c r="CJ276" s="181">
        <f t="shared" ca="1" si="131"/>
        <v>-452.17132917902006</v>
      </c>
      <c r="CK276" s="181">
        <f t="shared" ca="1" si="132"/>
        <v>916.31764321639366</v>
      </c>
      <c r="CL276" s="182">
        <f t="shared" ca="1" si="133"/>
        <v>754.47866390087256</v>
      </c>
      <c r="CM276" s="242">
        <f t="shared" ca="1" si="134"/>
        <v>1365.6349286974405</v>
      </c>
      <c r="CP276" s="180">
        <v>2053</v>
      </c>
      <c r="CQ276" s="22">
        <v>39</v>
      </c>
      <c r="CR276" s="181">
        <f t="shared" ca="1" si="135"/>
        <v>810.12186311233324</v>
      </c>
      <c r="CS276" s="182">
        <f t="shared" ca="1" si="136"/>
        <v>1.7495814169305983</v>
      </c>
      <c r="CT276" s="242">
        <f t="shared" ca="1" si="137"/>
        <v>1417.3741571505323</v>
      </c>
      <c r="CZ276" s="164" t="b">
        <f t="shared" si="141"/>
        <v>1</v>
      </c>
      <c r="DA276" s="165" t="b">
        <f t="shared" si="141"/>
        <v>1</v>
      </c>
      <c r="DB276" s="166" t="b">
        <f t="shared" si="141"/>
        <v>1</v>
      </c>
      <c r="DC276" s="164">
        <f t="shared" si="114"/>
        <v>41</v>
      </c>
      <c r="DD276" s="166">
        <f t="shared" si="115"/>
        <v>1122.5429445255995</v>
      </c>
      <c r="DE276" s="164">
        <f t="shared" si="116"/>
        <v>41</v>
      </c>
      <c r="DF276" s="166">
        <f t="shared" si="117"/>
        <v>1387.8824347059933</v>
      </c>
      <c r="DG276" s="164">
        <f t="shared" si="118"/>
        <v>41</v>
      </c>
      <c r="DH276" s="166">
        <f t="shared" si="119"/>
        <v>1653.2219248863871</v>
      </c>
      <c r="DI276" s="164">
        <f>IFERROR(INDEX(DC$233:DC$281,_xlfn.AGGREGATE(15,6,(ROW(DC$233:DC$281)-ROW(DC$233)+1)/(DC$233:DC$281&lt;&gt;""),ROWS(DI$1:DI44))),"")</f>
        <v>41</v>
      </c>
      <c r="DJ276" s="165">
        <f>IFERROR(INDEX(DD$233:DD$281,_xlfn.AGGREGATE(15,6,(ROW(DD$233:DD$281)-ROW(DD$233)+1)/(DD$233:DD$281&lt;&gt;""),ROWS(DJ$1:DJ44))),"")</f>
        <v>1122.5429445255995</v>
      </c>
      <c r="DK276" s="166">
        <f t="shared" si="120"/>
        <v>276</v>
      </c>
      <c r="DL276" s="164">
        <f>IFERROR(INDEX(DE$233:DE$281,_xlfn.AGGREGATE(15,6,(ROW(DE$233:DE$281)-ROW(DE$233)+1)/(DE$233:DE$281&lt;&gt;""),ROWS(DL$1:DL44))),"")</f>
        <v>41</v>
      </c>
      <c r="DM276" s="165">
        <f>IFERROR(INDEX(DF$233:DF$281,_xlfn.AGGREGATE(15,6,(ROW(DF$233:DF$281)-ROW(DF$233)+1)/(DF$233:DF$281&lt;&gt;""),ROWS(DM$1:DM44))),"")</f>
        <v>1387.8824347059933</v>
      </c>
      <c r="DN276" s="166">
        <f t="shared" si="121"/>
        <v>276</v>
      </c>
      <c r="DO276" s="164">
        <f>IFERROR(INDEX(DG$233:DG$281,_xlfn.AGGREGATE(15,6,(ROW(DG$233:DG$281)-ROW(DG$233)+1)/(DG$233:DG$281&lt;&gt;""),ROWS(DO$1:DO44))),"")</f>
        <v>41</v>
      </c>
      <c r="DP276" s="165">
        <f>IFERROR(INDEX(DH$233:DH$281,_xlfn.AGGREGATE(15,6,(ROW(DH$233:DH$281)-ROW(DH$233)+1)/(DH$233:DH$281&lt;&gt;""),ROWS(DP$1:DP44))),"")</f>
        <v>1653.2219248863871</v>
      </c>
      <c r="DQ276" s="166">
        <f t="shared" si="122"/>
        <v>276</v>
      </c>
      <c r="DV276" s="145">
        <v>2058</v>
      </c>
      <c r="DW276" s="235">
        <f t="shared" ca="1" si="106"/>
        <v>1423.839131234314</v>
      </c>
      <c r="EA276" s="55"/>
      <c r="EB276" s="55"/>
      <c r="EC276" s="55"/>
      <c r="ED276" s="55"/>
      <c r="EE276" s="55"/>
    </row>
    <row r="277" spans="1:135" ht="13.8" x14ac:dyDescent="0.45">
      <c r="B277" s="128">
        <v>2056</v>
      </c>
      <c r="C277" s="1047">
        <v>1429.8420091324201</v>
      </c>
      <c r="D277" s="1050">
        <v>1707.0102368306013</v>
      </c>
      <c r="E277" s="1060"/>
      <c r="F277" s="1051"/>
      <c r="G277" s="1052"/>
      <c r="H277" s="1036"/>
      <c r="I277" s="1112">
        <v>1058.0411764705884</v>
      </c>
      <c r="J277" s="247"/>
      <c r="K277" s="245"/>
      <c r="L277" s="246"/>
      <c r="M277" s="245"/>
      <c r="N277" s="29" t="s">
        <v>119</v>
      </c>
      <c r="O277" s="120"/>
      <c r="P277" s="120"/>
      <c r="Q277" s="120"/>
      <c r="R277" s="29">
        <v>42</v>
      </c>
      <c r="S277" s="238">
        <f t="shared" si="107"/>
        <v>1058.0411764705884</v>
      </c>
      <c r="T277" s="238">
        <f t="shared" si="108"/>
        <v>1707.0102368306013</v>
      </c>
      <c r="U277" s="238">
        <f t="shared" si="109"/>
        <v>265.8777762051044</v>
      </c>
      <c r="W277" s="238">
        <f t="shared" si="110"/>
        <v>1132.4200312727658</v>
      </c>
      <c r="X277" s="238">
        <f t="shared" si="140"/>
        <v>1398.29780747787</v>
      </c>
      <c r="Y277" s="238">
        <f t="shared" si="112"/>
        <v>1664.1755836829743</v>
      </c>
      <c r="AA277" s="1133">
        <v>1429.8420091324201</v>
      </c>
      <c r="AB277" s="1133">
        <v>1568.4261229815106</v>
      </c>
      <c r="AC277" s="1133">
        <v>1707.0102368306011</v>
      </c>
      <c r="AD277" s="89"/>
      <c r="AE277" s="89"/>
      <c r="AF277" s="89"/>
      <c r="AG277" s="89"/>
      <c r="AH277" s="89"/>
      <c r="AI277" s="89"/>
      <c r="AJ277" s="89"/>
      <c r="AK277" s="89"/>
      <c r="AL277" s="89"/>
      <c r="AM277" s="89"/>
      <c r="AN277" s="89"/>
      <c r="BR277" s="180">
        <v>2054</v>
      </c>
      <c r="BS277" s="22">
        <v>40</v>
      </c>
      <c r="BT277" s="181">
        <f t="shared" si="123"/>
        <v>608.6747789293405</v>
      </c>
      <c r="BU277" s="182">
        <f t="shared" si="124"/>
        <v>795.07013205106455</v>
      </c>
      <c r="BV277" s="242">
        <f t="shared" si="125"/>
        <v>1403.7449109804052</v>
      </c>
      <c r="BY277" s="180">
        <v>2054</v>
      </c>
      <c r="BZ277" s="22">
        <v>40</v>
      </c>
      <c r="CA277" s="181">
        <f t="shared" ca="1" si="126"/>
        <v>-231.79271036372967</v>
      </c>
      <c r="CB277" s="181">
        <f t="shared" ca="1" si="127"/>
        <v>846.26230705216369</v>
      </c>
      <c r="CC277" s="182">
        <f t="shared" ca="1" si="128"/>
        <v>759.72174372059567</v>
      </c>
      <c r="CD277" s="242">
        <f t="shared" ca="1" si="129"/>
        <v>1374.1913404090296</v>
      </c>
      <c r="CG277" s="180">
        <v>2054</v>
      </c>
      <c r="CH277" s="22">
        <v>40</v>
      </c>
      <c r="CI277" s="181">
        <f t="shared" ca="1" si="130"/>
        <v>158.61084725953648</v>
      </c>
      <c r="CJ277" s="181">
        <f t="shared" ca="1" si="131"/>
        <v>-475.65688802526768</v>
      </c>
      <c r="CK277" s="181">
        <f t="shared" ca="1" si="132"/>
        <v>939.81296740142943</v>
      </c>
      <c r="CL277" s="182">
        <f t="shared" ca="1" si="133"/>
        <v>754.47866390087256</v>
      </c>
      <c r="CM277" s="242">
        <f t="shared" ca="1" si="134"/>
        <v>1377.2455905365709</v>
      </c>
      <c r="CP277" s="180">
        <v>2054</v>
      </c>
      <c r="CQ277" s="22">
        <v>40</v>
      </c>
      <c r="CR277" s="181">
        <f t="shared" ca="1" si="135"/>
        <v>810.12186311233324</v>
      </c>
      <c r="CS277" s="182">
        <f t="shared" ca="1" si="136"/>
        <v>1.7748564704652681</v>
      </c>
      <c r="CT277" s="242">
        <f t="shared" ca="1" si="137"/>
        <v>1437.8500306103028</v>
      </c>
      <c r="CZ277" s="164" t="b">
        <f t="shared" si="141"/>
        <v>1</v>
      </c>
      <c r="DA277" s="165" t="b">
        <f t="shared" si="141"/>
        <v>1</v>
      </c>
      <c r="DB277" s="166" t="b">
        <f t="shared" si="141"/>
        <v>1</v>
      </c>
      <c r="DC277" s="164">
        <f t="shared" si="114"/>
        <v>42</v>
      </c>
      <c r="DD277" s="166">
        <f t="shared" si="115"/>
        <v>1132.4200312727658</v>
      </c>
      <c r="DE277" s="164">
        <f t="shared" si="116"/>
        <v>42</v>
      </c>
      <c r="DF277" s="166">
        <f t="shared" si="117"/>
        <v>1398.29780747787</v>
      </c>
      <c r="DG277" s="164">
        <f t="shared" si="118"/>
        <v>42</v>
      </c>
      <c r="DH277" s="166">
        <f t="shared" si="119"/>
        <v>1664.1755836829743</v>
      </c>
      <c r="DI277" s="164">
        <f>IFERROR(INDEX(DC$233:DC$281,_xlfn.AGGREGATE(15,6,(ROW(DC$233:DC$281)-ROW(DC$233)+1)/(DC$233:DC$281&lt;&gt;""),ROWS(DI$1:DI45))),"")</f>
        <v>42</v>
      </c>
      <c r="DJ277" s="165">
        <f>IFERROR(INDEX(DD$233:DD$281,_xlfn.AGGREGATE(15,6,(ROW(DD$233:DD$281)-ROW(DD$233)+1)/(DD$233:DD$281&lt;&gt;""),ROWS(DJ$1:DJ45))),"")</f>
        <v>1132.4200312727658</v>
      </c>
      <c r="DK277" s="166">
        <f t="shared" si="120"/>
        <v>277</v>
      </c>
      <c r="DL277" s="164">
        <f>IFERROR(INDEX(DE$233:DE$281,_xlfn.AGGREGATE(15,6,(ROW(DE$233:DE$281)-ROW(DE$233)+1)/(DE$233:DE$281&lt;&gt;""),ROWS(DL$1:DL45))),"")</f>
        <v>42</v>
      </c>
      <c r="DM277" s="165">
        <f>IFERROR(INDEX(DF$233:DF$281,_xlfn.AGGREGATE(15,6,(ROW(DF$233:DF$281)-ROW(DF$233)+1)/(DF$233:DF$281&lt;&gt;""),ROWS(DM$1:DM45))),"")</f>
        <v>1398.29780747787</v>
      </c>
      <c r="DN277" s="166">
        <f t="shared" si="121"/>
        <v>277</v>
      </c>
      <c r="DO277" s="164">
        <f>IFERROR(INDEX(DG$233:DG$281,_xlfn.AGGREGATE(15,6,(ROW(DG$233:DG$281)-ROW(DG$233)+1)/(DG$233:DG$281&lt;&gt;""),ROWS(DO$1:DO45))),"")</f>
        <v>42</v>
      </c>
      <c r="DP277" s="165">
        <f>IFERROR(INDEX(DH$233:DH$281,_xlfn.AGGREGATE(15,6,(ROW(DH$233:DH$281)-ROW(DH$233)+1)/(DH$233:DH$281&lt;&gt;""),ROWS(DP$1:DP45))),"")</f>
        <v>1664.1755836829743</v>
      </c>
      <c r="DQ277" s="166">
        <f t="shared" si="122"/>
        <v>277</v>
      </c>
      <c r="DV277" s="145">
        <v>2059</v>
      </c>
      <c r="DW277" s="235">
        <f t="shared" ca="1" si="106"/>
        <v>1435.5995885787083</v>
      </c>
      <c r="EA277" s="55"/>
      <c r="EB277" s="55"/>
      <c r="EC277" s="55"/>
      <c r="ED277" s="55"/>
      <c r="EE277" s="55"/>
    </row>
    <row r="278" spans="1:135" ht="13.8" x14ac:dyDescent="0.45">
      <c r="B278" s="128">
        <v>2057</v>
      </c>
      <c r="C278" s="1047">
        <v>1446.0909817351599</v>
      </c>
      <c r="D278" s="1050">
        <v>1714.202494296572</v>
      </c>
      <c r="E278" s="1060"/>
      <c r="F278" s="1051"/>
      <c r="G278" s="1052"/>
      <c r="H278" s="1036"/>
      <c r="I278" s="1112">
        <v>1065.2647058823532</v>
      </c>
      <c r="J278" s="247"/>
      <c r="K278" s="245"/>
      <c r="L278" s="246"/>
      <c r="M278" s="245"/>
      <c r="N278" s="29" t="s">
        <v>119</v>
      </c>
      <c r="O278" s="120"/>
      <c r="P278" s="120"/>
      <c r="Q278" s="120"/>
      <c r="R278" s="29">
        <v>43</v>
      </c>
      <c r="S278" s="238">
        <f t="shared" si="107"/>
        <v>1065.2647058823532</v>
      </c>
      <c r="T278" s="238">
        <f t="shared" si="108"/>
        <v>1714.202494296572</v>
      </c>
      <c r="U278" s="238">
        <f t="shared" si="109"/>
        <v>266.25649471052367</v>
      </c>
      <c r="W278" s="238">
        <f t="shared" si="110"/>
        <v>1142.2628992608381</v>
      </c>
      <c r="X278" s="238">
        <f t="shared" si="140"/>
        <v>1408.5193939713618</v>
      </c>
      <c r="Y278" s="238">
        <f t="shared" si="112"/>
        <v>1674.7758886818854</v>
      </c>
      <c r="AA278" s="1133">
        <v>1446.0909817351599</v>
      </c>
      <c r="AB278" s="1133">
        <v>1580.146738015866</v>
      </c>
      <c r="AC278" s="1133">
        <v>1714.2024942965722</v>
      </c>
      <c r="AD278" s="89"/>
      <c r="AE278" s="89"/>
      <c r="AF278" s="89"/>
      <c r="AG278" s="89"/>
      <c r="AH278" s="89"/>
      <c r="AI278" s="89"/>
      <c r="AJ278" s="89"/>
      <c r="AK278" s="89"/>
      <c r="AL278" s="89"/>
      <c r="AM278" s="89"/>
      <c r="AN278" s="89"/>
      <c r="BR278" s="180">
        <v>2055</v>
      </c>
      <c r="BS278" s="22">
        <v>41</v>
      </c>
      <c r="BT278" s="181">
        <f t="shared" si="123"/>
        <v>623.89164840257411</v>
      </c>
      <c r="BU278" s="182">
        <f t="shared" si="124"/>
        <v>795.07013205106455</v>
      </c>
      <c r="BV278" s="242">
        <f t="shared" si="125"/>
        <v>1418.9617804536388</v>
      </c>
      <c r="BY278" s="180">
        <v>2055</v>
      </c>
      <c r="BZ278" s="22">
        <v>41</v>
      </c>
      <c r="CA278" s="181">
        <f t="shared" ca="1" si="126"/>
        <v>-243.52721632589348</v>
      </c>
      <c r="CB278" s="181">
        <f t="shared" ca="1" si="127"/>
        <v>867.41886472846784</v>
      </c>
      <c r="CC278" s="182">
        <f t="shared" ca="1" si="128"/>
        <v>759.72174372059567</v>
      </c>
      <c r="CD278" s="242">
        <f t="shared" ca="1" si="129"/>
        <v>1383.6133921231699</v>
      </c>
      <c r="CG278" s="180">
        <v>2055</v>
      </c>
      <c r="CH278" s="22">
        <v>41</v>
      </c>
      <c r="CI278" s="181">
        <f t="shared" ca="1" si="130"/>
        <v>170.80653443710176</v>
      </c>
      <c r="CJ278" s="181">
        <f t="shared" ca="1" si="131"/>
        <v>-499.73701798154684</v>
      </c>
      <c r="CK278" s="181">
        <f t="shared" ca="1" si="132"/>
        <v>963.30829158646509</v>
      </c>
      <c r="CL278" s="182">
        <f t="shared" ca="1" si="133"/>
        <v>754.47866390087256</v>
      </c>
      <c r="CM278" s="242">
        <f t="shared" ca="1" si="134"/>
        <v>1388.8564719428925</v>
      </c>
      <c r="CP278" s="180">
        <v>2055</v>
      </c>
      <c r="CQ278" s="22">
        <v>41</v>
      </c>
      <c r="CR278" s="181">
        <f t="shared" ca="1" si="135"/>
        <v>810.12186311233324</v>
      </c>
      <c r="CS278" s="182">
        <f t="shared" ca="1" si="136"/>
        <v>1.8004966560966775</v>
      </c>
      <c r="CT278" s="242">
        <f t="shared" ca="1" si="137"/>
        <v>1458.6217055645664</v>
      </c>
      <c r="CZ278" s="164" t="b">
        <f t="shared" si="141"/>
        <v>1</v>
      </c>
      <c r="DA278" s="165" t="b">
        <f t="shared" si="141"/>
        <v>1</v>
      </c>
      <c r="DB278" s="166" t="b">
        <f t="shared" si="141"/>
        <v>1</v>
      </c>
      <c r="DC278" s="164">
        <f t="shared" si="114"/>
        <v>43</v>
      </c>
      <c r="DD278" s="166">
        <f t="shared" si="115"/>
        <v>1142.2628992608381</v>
      </c>
      <c r="DE278" s="164">
        <f t="shared" si="116"/>
        <v>43</v>
      </c>
      <c r="DF278" s="166">
        <f t="shared" si="117"/>
        <v>1408.5193939713618</v>
      </c>
      <c r="DG278" s="164">
        <f t="shared" si="118"/>
        <v>43</v>
      </c>
      <c r="DH278" s="166">
        <f t="shared" si="119"/>
        <v>1674.7758886818854</v>
      </c>
      <c r="DI278" s="164">
        <f>IFERROR(INDEX(DC$233:DC$281,_xlfn.AGGREGATE(15,6,(ROW(DC$233:DC$281)-ROW(DC$233)+1)/(DC$233:DC$281&lt;&gt;""),ROWS(DI$1:DI46))),"")</f>
        <v>43</v>
      </c>
      <c r="DJ278" s="165">
        <f>IFERROR(INDEX(DD$233:DD$281,_xlfn.AGGREGATE(15,6,(ROW(DD$233:DD$281)-ROW(DD$233)+1)/(DD$233:DD$281&lt;&gt;""),ROWS(DJ$1:DJ46))),"")</f>
        <v>1142.2628992608381</v>
      </c>
      <c r="DK278" s="166">
        <f t="shared" si="120"/>
        <v>278</v>
      </c>
      <c r="DL278" s="164">
        <f>IFERROR(INDEX(DE$233:DE$281,_xlfn.AGGREGATE(15,6,(ROW(DE$233:DE$281)-ROW(DE$233)+1)/(DE$233:DE$281&lt;&gt;""),ROWS(DL$1:DL46))),"")</f>
        <v>43</v>
      </c>
      <c r="DM278" s="165">
        <f>IFERROR(INDEX(DF$233:DF$281,_xlfn.AGGREGATE(15,6,(ROW(DF$233:DF$281)-ROW(DF$233)+1)/(DF$233:DF$281&lt;&gt;""),ROWS(DM$1:DM46))),"")</f>
        <v>1408.5193939713618</v>
      </c>
      <c r="DN278" s="166">
        <f t="shared" si="121"/>
        <v>278</v>
      </c>
      <c r="DO278" s="164">
        <f>IFERROR(INDEX(DG$233:DG$281,_xlfn.AGGREGATE(15,6,(ROW(DG$233:DG$281)-ROW(DG$233)+1)/(DG$233:DG$281&lt;&gt;""),ROWS(DO$1:DO46))),"")</f>
        <v>43</v>
      </c>
      <c r="DP278" s="165">
        <f>IFERROR(INDEX(DH$233:DH$281,_xlfn.AGGREGATE(15,6,(ROW(DH$233:DH$281)-ROW(DH$233)+1)/(DH$233:DH$281&lt;&gt;""),ROWS(DP$1:DP46))),"")</f>
        <v>1674.7758886818854</v>
      </c>
      <c r="DQ278" s="166">
        <f t="shared" si="122"/>
        <v>278</v>
      </c>
      <c r="DV278" s="145">
        <v>2060</v>
      </c>
      <c r="DW278" s="235">
        <f t="shared" ca="1" si="106"/>
        <v>1447.4346143249475</v>
      </c>
      <c r="EA278" s="55"/>
      <c r="EB278" s="55"/>
      <c r="EC278" s="55"/>
      <c r="ED278" s="55"/>
      <c r="EE278" s="55"/>
    </row>
    <row r="279" spans="1:135" x14ac:dyDescent="0.4">
      <c r="A279" s="214"/>
      <c r="B279" s="128">
        <v>2058</v>
      </c>
      <c r="C279" s="1047">
        <v>1462.3399543378996</v>
      </c>
      <c r="D279" s="1050">
        <v>1720.8164317524979</v>
      </c>
      <c r="E279" s="1060"/>
      <c r="F279" s="1051"/>
      <c r="G279" s="1052"/>
      <c r="H279" s="1036"/>
      <c r="I279" s="1112">
        <v>1072.4882352941177</v>
      </c>
      <c r="J279" s="247"/>
      <c r="K279" s="245"/>
      <c r="L279" s="246"/>
      <c r="M279" s="245"/>
      <c r="N279" s="29" t="s">
        <v>119</v>
      </c>
      <c r="R279" s="29">
        <v>44</v>
      </c>
      <c r="S279" s="238">
        <f t="shared" si="107"/>
        <v>1072.4882352941177</v>
      </c>
      <c r="T279" s="238">
        <f t="shared" si="108"/>
        <v>1720.8164317524979</v>
      </c>
      <c r="U279" s="238">
        <f t="shared" si="109"/>
        <v>266.48408385680847</v>
      </c>
      <c r="W279" s="238">
        <f t="shared" si="110"/>
        <v>1152.0641232713635</v>
      </c>
      <c r="X279" s="238">
        <f t="shared" si="140"/>
        <v>1418.548207128172</v>
      </c>
      <c r="Y279" s="238">
        <f t="shared" si="112"/>
        <v>1685.0322909849804</v>
      </c>
      <c r="AA279" s="1133">
        <v>1462.3399543378996</v>
      </c>
      <c r="AB279" s="1133">
        <v>1591.5781930451988</v>
      </c>
      <c r="AC279" s="1133">
        <v>1720.8164317524979</v>
      </c>
      <c r="AD279" s="89"/>
      <c r="AE279" s="89"/>
      <c r="AF279" s="89"/>
      <c r="AG279" s="89"/>
      <c r="AH279" s="89"/>
      <c r="AI279" s="89"/>
      <c r="AJ279" s="89"/>
      <c r="AK279" s="89"/>
      <c r="AL279" s="89"/>
      <c r="AM279" s="89"/>
      <c r="AN279" s="89"/>
      <c r="BR279" s="180">
        <v>2056</v>
      </c>
      <c r="BS279" s="22">
        <v>42</v>
      </c>
      <c r="BT279" s="181">
        <f t="shared" si="123"/>
        <v>639.10851787580759</v>
      </c>
      <c r="BU279" s="182">
        <f t="shared" si="124"/>
        <v>795.07013205106455</v>
      </c>
      <c r="BV279" s="242">
        <f t="shared" si="125"/>
        <v>1434.1786499268721</v>
      </c>
      <c r="BY279" s="180">
        <v>2056</v>
      </c>
      <c r="BZ279" s="22">
        <v>42</v>
      </c>
      <c r="CA279" s="181">
        <f t="shared" ca="1" si="126"/>
        <v>-255.55146317601194</v>
      </c>
      <c r="CB279" s="181">
        <f t="shared" ca="1" si="127"/>
        <v>888.57542240477187</v>
      </c>
      <c r="CC279" s="182">
        <f t="shared" ca="1" si="128"/>
        <v>759.72174372059567</v>
      </c>
      <c r="CD279" s="242">
        <f t="shared" ca="1" si="129"/>
        <v>1392.7457029493557</v>
      </c>
      <c r="CG279" s="180">
        <v>2056</v>
      </c>
      <c r="CH279" s="22">
        <v>42</v>
      </c>
      <c r="CI279" s="181">
        <f t="shared" ca="1" si="130"/>
        <v>183.61188205882092</v>
      </c>
      <c r="CJ279" s="181">
        <f t="shared" ca="1" si="131"/>
        <v>-524.41171904785756</v>
      </c>
      <c r="CK279" s="181">
        <f t="shared" ca="1" si="132"/>
        <v>986.80361577150086</v>
      </c>
      <c r="CL279" s="182">
        <f t="shared" ca="1" si="133"/>
        <v>754.47866390087256</v>
      </c>
      <c r="CM279" s="242">
        <f t="shared" ca="1" si="134"/>
        <v>1400.4824426833368</v>
      </c>
      <c r="CP279" s="180">
        <v>2056</v>
      </c>
      <c r="CQ279" s="22">
        <v>42</v>
      </c>
      <c r="CR279" s="181">
        <f t="shared" ca="1" si="135"/>
        <v>810.12186311233324</v>
      </c>
      <c r="CS279" s="182">
        <f t="shared" ca="1" si="136"/>
        <v>1.8265072486483946</v>
      </c>
      <c r="CT279" s="242">
        <f t="shared" ca="1" si="137"/>
        <v>1479.6934552632192</v>
      </c>
      <c r="CZ279" s="252"/>
      <c r="DA279" s="252"/>
      <c r="DB279" s="252"/>
      <c r="DC279" s="252"/>
      <c r="DD279" s="252"/>
      <c r="DE279" s="252"/>
      <c r="DF279" s="252"/>
      <c r="DG279" s="252"/>
      <c r="DH279" s="252"/>
      <c r="DI279" s="252"/>
      <c r="DJ279" s="252"/>
      <c r="DK279" s="252"/>
      <c r="DL279" s="252"/>
      <c r="DM279" s="252"/>
      <c r="DN279" s="252"/>
      <c r="DO279" s="252"/>
      <c r="DP279" s="252"/>
      <c r="DQ279" s="252"/>
      <c r="DW279" s="54"/>
      <c r="EA279" s="55"/>
      <c r="EB279" s="55"/>
      <c r="EC279" s="55"/>
      <c r="ED279" s="55"/>
      <c r="EE279" s="55"/>
    </row>
    <row r="280" spans="1:135" ht="13.8" x14ac:dyDescent="0.45">
      <c r="A280" s="214"/>
      <c r="B280" s="128">
        <v>2059</v>
      </c>
      <c r="C280" s="1047">
        <v>1478.5889269406393</v>
      </c>
      <c r="D280" s="1050">
        <v>1726.8550880234889</v>
      </c>
      <c r="E280" s="1060"/>
      <c r="F280" s="1051"/>
      <c r="G280" s="1052"/>
      <c r="H280" s="1036"/>
      <c r="I280" s="1112">
        <v>1079.7117647058826</v>
      </c>
      <c r="J280" s="247"/>
      <c r="K280" s="245"/>
      <c r="L280" s="246"/>
      <c r="M280" s="245"/>
      <c r="N280" s="29" t="s">
        <v>119</v>
      </c>
      <c r="R280" s="29">
        <v>45</v>
      </c>
      <c r="S280" s="238">
        <f t="shared" si="107"/>
        <v>1079.7117647058826</v>
      </c>
      <c r="T280" s="238">
        <f t="shared" si="108"/>
        <v>1726.8550880234889</v>
      </c>
      <c r="U280" s="238">
        <f t="shared" si="109"/>
        <v>266.56947358069937</v>
      </c>
      <c r="W280" s="238">
        <f t="shared" si="110"/>
        <v>1161.8157863093043</v>
      </c>
      <c r="X280" s="238">
        <f t="shared" si="140"/>
        <v>1428.3852598900037</v>
      </c>
      <c r="Y280" s="238">
        <f t="shared" si="112"/>
        <v>1694.9547334707031</v>
      </c>
      <c r="AA280" s="1133">
        <v>1478.5889269406393</v>
      </c>
      <c r="AB280" s="1133">
        <v>1602.7220074820641</v>
      </c>
      <c r="AC280" s="1133">
        <v>1726.8550880234889</v>
      </c>
      <c r="AD280" s="89"/>
      <c r="AE280" s="89"/>
      <c r="AF280" s="89"/>
      <c r="AG280" s="89"/>
      <c r="AH280" s="89"/>
      <c r="AI280" s="89"/>
      <c r="AJ280" s="89"/>
      <c r="AK280" s="89"/>
      <c r="AL280" s="89"/>
      <c r="AM280" s="89"/>
      <c r="AN280" s="89"/>
      <c r="BR280" s="180">
        <v>2057</v>
      </c>
      <c r="BS280" s="22">
        <v>43</v>
      </c>
      <c r="BT280" s="181">
        <f t="shared" si="123"/>
        <v>654.32538734904108</v>
      </c>
      <c r="BU280" s="182">
        <f t="shared" si="124"/>
        <v>795.07013205106455</v>
      </c>
      <c r="BV280" s="242">
        <f t="shared" si="125"/>
        <v>1449.3955194001055</v>
      </c>
      <c r="BY280" s="180">
        <v>2057</v>
      </c>
      <c r="BZ280" s="22">
        <v>43</v>
      </c>
      <c r="CA280" s="181">
        <f t="shared" ca="1" si="126"/>
        <v>-267.8654509140851</v>
      </c>
      <c r="CB280" s="181">
        <f t="shared" ca="1" si="127"/>
        <v>909.73198008107602</v>
      </c>
      <c r="CC280" s="182">
        <f t="shared" ca="1" si="128"/>
        <v>759.72174372059567</v>
      </c>
      <c r="CD280" s="242">
        <f t="shared" ca="1" si="129"/>
        <v>1401.5882728875865</v>
      </c>
      <c r="CG280" s="180">
        <v>2057</v>
      </c>
      <c r="CH280" s="22">
        <v>43</v>
      </c>
      <c r="CI280" s="181">
        <f t="shared" ca="1" si="130"/>
        <v>197.04175989162448</v>
      </c>
      <c r="CJ280" s="181">
        <f t="shared" ca="1" si="131"/>
        <v>-549.68099122419994</v>
      </c>
      <c r="CK280" s="181">
        <f t="shared" ca="1" si="132"/>
        <v>1010.2989399565366</v>
      </c>
      <c r="CL280" s="182">
        <f t="shared" ca="1" si="133"/>
        <v>754.47866390087256</v>
      </c>
      <c r="CM280" s="242">
        <f t="shared" ca="1" si="134"/>
        <v>1412.1383725248338</v>
      </c>
      <c r="CP280" s="180">
        <v>2057</v>
      </c>
      <c r="CQ280" s="22">
        <v>43</v>
      </c>
      <c r="CR280" s="181">
        <f t="shared" ca="1" si="135"/>
        <v>810.12186311233324</v>
      </c>
      <c r="CS280" s="182">
        <f t="shared" ca="1" si="136"/>
        <v>1.8528935991458988</v>
      </c>
      <c r="CT280" s="242">
        <f t="shared" ca="1" si="137"/>
        <v>1501.0696146889923</v>
      </c>
      <c r="CZ280" s="165"/>
      <c r="DA280" s="165"/>
      <c r="DB280" s="165"/>
      <c r="DC280" s="165"/>
      <c r="DD280" s="165"/>
      <c r="DE280" s="165"/>
      <c r="DF280" s="165"/>
      <c r="DG280" s="165"/>
      <c r="DH280" s="165"/>
      <c r="DI280" s="165"/>
      <c r="DJ280" s="165"/>
      <c r="DK280" s="165"/>
      <c r="DL280" s="165"/>
      <c r="DM280" s="165"/>
      <c r="DN280" s="165"/>
      <c r="DO280" s="165"/>
      <c r="DP280" s="165"/>
      <c r="DQ280" s="165"/>
      <c r="DR280" s="89"/>
      <c r="DW280" s="54"/>
      <c r="EA280" s="55"/>
      <c r="EB280" s="55"/>
      <c r="EC280" s="55"/>
      <c r="ED280" s="55"/>
      <c r="EE280" s="55"/>
    </row>
    <row r="281" spans="1:135" ht="14.1" thickBot="1" x14ac:dyDescent="0.5">
      <c r="A281" s="214"/>
      <c r="B281" s="128">
        <v>2060</v>
      </c>
      <c r="C281" s="1061">
        <v>1494.8378995433791</v>
      </c>
      <c r="D281" s="1062">
        <v>1732.321501934653</v>
      </c>
      <c r="E281" s="1063"/>
      <c r="F281" s="1056"/>
      <c r="G281" s="1057"/>
      <c r="H281" s="1043"/>
      <c r="I281" s="1115">
        <v>1086.9352941176471</v>
      </c>
      <c r="J281" s="251"/>
      <c r="K281" s="249"/>
      <c r="L281" s="250"/>
      <c r="M281" s="249"/>
      <c r="N281" s="29" t="s">
        <v>119</v>
      </c>
      <c r="R281" s="29">
        <v>46</v>
      </c>
      <c r="S281" s="238">
        <f t="shared" si="107"/>
        <v>1086.9352941176471</v>
      </c>
      <c r="T281" s="238">
        <f t="shared" si="108"/>
        <v>1732.321501934653</v>
      </c>
      <c r="U281" s="238">
        <f t="shared" si="109"/>
        <v>266.5221179394261</v>
      </c>
      <c r="W281" s="238">
        <f t="shared" si="110"/>
        <v>1171.5094472591334</v>
      </c>
      <c r="X281" s="238">
        <f t="shared" si="140"/>
        <v>1438.0315651985595</v>
      </c>
      <c r="Y281" s="238">
        <f t="shared" si="112"/>
        <v>1704.5536831379857</v>
      </c>
      <c r="AA281" s="1133">
        <v>1494.8378995433791</v>
      </c>
      <c r="AB281" s="1133">
        <v>1613.5797007390161</v>
      </c>
      <c r="AC281" s="1133">
        <v>1732.321501934653</v>
      </c>
      <c r="AD281" s="89"/>
      <c r="AE281" s="89"/>
      <c r="AF281" s="89"/>
      <c r="AG281" s="89"/>
      <c r="AH281" s="89"/>
      <c r="AI281" s="89"/>
      <c r="AJ281" s="89"/>
      <c r="AK281" s="89"/>
      <c r="AL281" s="89"/>
      <c r="AM281" s="89"/>
      <c r="AN281" s="89"/>
      <c r="BR281" s="180">
        <v>2058</v>
      </c>
      <c r="BS281" s="22">
        <v>44</v>
      </c>
      <c r="BT281" s="181">
        <f t="shared" si="123"/>
        <v>669.54225682227457</v>
      </c>
      <c r="BU281" s="182">
        <f t="shared" si="124"/>
        <v>795.07013205106455</v>
      </c>
      <c r="BV281" s="242">
        <f t="shared" si="125"/>
        <v>1464.6123888733391</v>
      </c>
      <c r="BY281" s="180">
        <v>2058</v>
      </c>
      <c r="BZ281" s="22">
        <v>44</v>
      </c>
      <c r="CA281" s="181">
        <f t="shared" ca="1" si="126"/>
        <v>-280.46917954011286</v>
      </c>
      <c r="CB281" s="181">
        <f t="shared" ca="1" si="127"/>
        <v>930.88853775738005</v>
      </c>
      <c r="CC281" s="182">
        <f t="shared" ca="1" si="128"/>
        <v>759.72174372059567</v>
      </c>
      <c r="CD281" s="242">
        <f t="shared" ca="1" si="129"/>
        <v>1410.1411019378629</v>
      </c>
      <c r="CG281" s="180">
        <v>2058</v>
      </c>
      <c r="CH281" s="22">
        <v>44</v>
      </c>
      <c r="CI281" s="181">
        <f t="shared" ca="1" si="130"/>
        <v>211.11103770244304</v>
      </c>
      <c r="CJ281" s="181">
        <f t="shared" ca="1" si="131"/>
        <v>-575.54483451057388</v>
      </c>
      <c r="CK281" s="181">
        <f t="shared" ca="1" si="132"/>
        <v>1033.7942641415723</v>
      </c>
      <c r="CL281" s="182">
        <f t="shared" ca="1" si="133"/>
        <v>754.47866390087256</v>
      </c>
      <c r="CM281" s="242">
        <f t="shared" ca="1" si="134"/>
        <v>1423.839131234314</v>
      </c>
      <c r="CP281" s="180">
        <v>2058</v>
      </c>
      <c r="CQ281" s="22">
        <v>44</v>
      </c>
      <c r="CR281" s="181">
        <f t="shared" ca="1" si="135"/>
        <v>810.12186311233324</v>
      </c>
      <c r="CS281" s="182">
        <f t="shared" ca="1" si="136"/>
        <v>1.8796611359174198</v>
      </c>
      <c r="CT281" s="242">
        <f t="shared" ca="1" si="137"/>
        <v>1522.7545814492648</v>
      </c>
      <c r="CZ281" s="165"/>
      <c r="DA281" s="165"/>
      <c r="DB281" s="165"/>
      <c r="DC281" s="165"/>
      <c r="DD281" s="165"/>
      <c r="DE281" s="165"/>
      <c r="DF281" s="165"/>
      <c r="DG281" s="165"/>
      <c r="DH281" s="165"/>
      <c r="DI281" s="165"/>
      <c r="DJ281" s="165"/>
      <c r="DK281" s="165"/>
      <c r="DL281" s="165"/>
      <c r="DM281" s="165"/>
      <c r="DN281" s="165"/>
      <c r="DO281" s="165"/>
      <c r="DP281" s="165"/>
      <c r="DQ281" s="165"/>
      <c r="DR281" s="89"/>
      <c r="DW281" s="54"/>
      <c r="EA281" s="55"/>
      <c r="EB281" s="55"/>
      <c r="EC281" s="55"/>
      <c r="ED281" s="55"/>
      <c r="EE281" s="55"/>
    </row>
    <row r="282" spans="1:135" x14ac:dyDescent="0.4">
      <c r="A282" s="214"/>
      <c r="B282" s="89"/>
      <c r="C282" s="14"/>
      <c r="D282" s="14"/>
      <c r="E282" s="14"/>
      <c r="F282" s="14"/>
      <c r="G282" s="14"/>
      <c r="H282" s="14"/>
      <c r="I282" s="14"/>
      <c r="J282" s="14"/>
      <c r="K282" s="14"/>
      <c r="L282" s="14"/>
      <c r="M282" s="50"/>
      <c r="S282" s="120"/>
      <c r="T282" s="120"/>
      <c r="U282" s="120"/>
      <c r="W282" s="120"/>
      <c r="X282" s="120"/>
      <c r="Y282" s="120"/>
      <c r="AA282" s="89"/>
      <c r="AB282" s="89"/>
      <c r="AC282" s="89"/>
      <c r="AD282" s="89"/>
      <c r="AE282" s="89"/>
      <c r="AF282" s="89"/>
      <c r="AG282" s="89"/>
      <c r="AH282" s="89"/>
      <c r="AI282" s="89"/>
      <c r="AJ282" s="89"/>
      <c r="AK282" s="89"/>
      <c r="AL282" s="89"/>
      <c r="AM282" s="89"/>
      <c r="AN282" s="89"/>
      <c r="BR282" s="180">
        <v>2059</v>
      </c>
      <c r="BS282" s="22">
        <v>45</v>
      </c>
      <c r="BT282" s="181">
        <f t="shared" si="123"/>
        <v>684.75912629550817</v>
      </c>
      <c r="BU282" s="182">
        <f t="shared" si="124"/>
        <v>795.07013205106455</v>
      </c>
      <c r="BV282" s="242">
        <f t="shared" si="125"/>
        <v>1479.8292583465727</v>
      </c>
      <c r="BY282" s="180">
        <v>2059</v>
      </c>
      <c r="BZ282" s="22">
        <v>45</v>
      </c>
      <c r="CA282" s="181">
        <f t="shared" ca="1" si="126"/>
        <v>-293.36264905409536</v>
      </c>
      <c r="CB282" s="181">
        <f t="shared" ca="1" si="127"/>
        <v>952.0450954336842</v>
      </c>
      <c r="CC282" s="182">
        <f t="shared" ca="1" si="128"/>
        <v>759.72174372059567</v>
      </c>
      <c r="CD282" s="242">
        <f t="shared" ca="1" si="129"/>
        <v>1418.4041901001845</v>
      </c>
      <c r="CG282" s="180">
        <v>2059</v>
      </c>
      <c r="CH282" s="22">
        <v>45</v>
      </c>
      <c r="CI282" s="181">
        <f t="shared" ca="1" si="130"/>
        <v>225.8345852582072</v>
      </c>
      <c r="CJ282" s="181">
        <f t="shared" ca="1" si="131"/>
        <v>-602.00324890697937</v>
      </c>
      <c r="CK282" s="181">
        <f t="shared" ca="1" si="132"/>
        <v>1057.2895883266081</v>
      </c>
      <c r="CL282" s="182">
        <f t="shared" ca="1" si="133"/>
        <v>754.47866390087256</v>
      </c>
      <c r="CM282" s="242">
        <f t="shared" ca="1" si="134"/>
        <v>1435.5995885787083</v>
      </c>
      <c r="CP282" s="180">
        <v>2059</v>
      </c>
      <c r="CQ282" s="22">
        <v>45</v>
      </c>
      <c r="CR282" s="181">
        <f t="shared" ca="1" si="135"/>
        <v>810.12186311233324</v>
      </c>
      <c r="CS282" s="182">
        <f t="shared" ca="1" si="136"/>
        <v>1.9068153657106801</v>
      </c>
      <c r="CT282" s="242">
        <f t="shared" ca="1" si="137"/>
        <v>1544.7528166807613</v>
      </c>
      <c r="CZ282" s="89"/>
      <c r="DA282" s="89"/>
      <c r="DB282" s="89"/>
      <c r="DC282" s="89"/>
      <c r="DD282" s="89"/>
      <c r="DE282" s="89"/>
      <c r="DF282" s="89"/>
      <c r="DG282" s="89"/>
      <c r="DH282" s="89"/>
      <c r="DI282" s="89"/>
      <c r="DJ282" s="89"/>
      <c r="DK282" s="89"/>
      <c r="DL282" s="89"/>
      <c r="DM282" s="89"/>
      <c r="DN282" s="89"/>
      <c r="DO282" s="89"/>
      <c r="DP282" s="89"/>
      <c r="DQ282" s="89"/>
      <c r="DR282" s="89"/>
      <c r="DU282" s="65"/>
      <c r="DW282" s="54"/>
      <c r="EA282" s="55"/>
      <c r="EB282" s="55"/>
      <c r="EC282" s="55"/>
      <c r="ED282" s="55"/>
      <c r="EE282" s="55"/>
    </row>
    <row r="283" spans="1:135" x14ac:dyDescent="0.4">
      <c r="A283" s="214"/>
      <c r="B283" s="89"/>
      <c r="C283" s="14"/>
      <c r="D283" s="14"/>
      <c r="E283" s="14"/>
      <c r="F283" s="14"/>
      <c r="G283" s="14"/>
      <c r="H283" s="14"/>
      <c r="I283" s="14"/>
      <c r="J283" s="14"/>
      <c r="K283" s="14"/>
      <c r="L283" s="14"/>
      <c r="M283" s="50"/>
      <c r="S283" s="120"/>
      <c r="T283" s="120"/>
      <c r="U283" s="120"/>
      <c r="W283" s="120"/>
      <c r="X283" s="120"/>
      <c r="Y283" s="120"/>
      <c r="AA283" s="89"/>
      <c r="AB283" s="89"/>
      <c r="AC283" s="89"/>
      <c r="AD283" s="89"/>
      <c r="AE283" s="89"/>
      <c r="AF283" s="89"/>
      <c r="AG283" s="89"/>
      <c r="AH283" s="89"/>
      <c r="AI283" s="89"/>
      <c r="AJ283" s="89"/>
      <c r="AK283" s="89"/>
      <c r="AL283" s="89"/>
      <c r="AM283" s="89"/>
      <c r="AN283" s="89"/>
      <c r="BR283" s="180">
        <v>2060</v>
      </c>
      <c r="BS283" s="22">
        <v>46</v>
      </c>
      <c r="BT283" s="181">
        <f t="shared" si="123"/>
        <v>699.97599576874165</v>
      </c>
      <c r="BU283" s="182">
        <f t="shared" si="124"/>
        <v>795.07013205106455</v>
      </c>
      <c r="BV283" s="242">
        <f t="shared" si="125"/>
        <v>1495.0461278198063</v>
      </c>
      <c r="BY283" s="180">
        <v>2060</v>
      </c>
      <c r="BZ283" s="22">
        <v>46</v>
      </c>
      <c r="CA283" s="181">
        <f t="shared" ca="1" si="126"/>
        <v>-306.54585945603247</v>
      </c>
      <c r="CB283" s="181">
        <f t="shared" ca="1" si="127"/>
        <v>973.20165310998823</v>
      </c>
      <c r="CC283" s="182">
        <f t="shared" ca="1" si="128"/>
        <v>759.72174372059567</v>
      </c>
      <c r="CD283" s="242">
        <f t="shared" ca="1" si="129"/>
        <v>1426.3775373745514</v>
      </c>
      <c r="CG283" s="180">
        <v>2060</v>
      </c>
      <c r="CH283" s="22">
        <v>46</v>
      </c>
      <c r="CI283" s="181">
        <f t="shared" ca="1" si="130"/>
        <v>241.22727232584754</v>
      </c>
      <c r="CJ283" s="181">
        <f t="shared" ca="1" si="131"/>
        <v>-629.05623441341652</v>
      </c>
      <c r="CK283" s="181">
        <f t="shared" ca="1" si="132"/>
        <v>1080.7849125116438</v>
      </c>
      <c r="CL283" s="182">
        <f t="shared" ca="1" si="133"/>
        <v>754.47866390087256</v>
      </c>
      <c r="CM283" s="242">
        <f t="shared" ca="1" si="134"/>
        <v>1447.4346143249475</v>
      </c>
      <c r="CP283" s="180">
        <v>2060</v>
      </c>
      <c r="CQ283" s="22">
        <v>46</v>
      </c>
      <c r="CR283" s="181">
        <f t="shared" ca="1" si="135"/>
        <v>810.12186311233324</v>
      </c>
      <c r="CS283" s="182">
        <f t="shared" ca="1" si="136"/>
        <v>1.9343618748257687</v>
      </c>
      <c r="CT283" s="242">
        <f t="shared" ca="1" si="137"/>
        <v>1567.0688459673177</v>
      </c>
      <c r="CZ283" s="89"/>
      <c r="DA283" s="89"/>
      <c r="DB283" s="89"/>
      <c r="DC283" s="89"/>
      <c r="DD283" s="89"/>
      <c r="DE283" s="89"/>
      <c r="DF283" s="89"/>
      <c r="DG283" s="89"/>
      <c r="DH283" s="89"/>
      <c r="DI283" s="89"/>
      <c r="DJ283" s="89"/>
      <c r="DK283" s="89"/>
      <c r="DL283" s="89"/>
      <c r="DM283" s="89"/>
      <c r="DN283" s="89"/>
      <c r="DO283" s="89"/>
      <c r="DP283" s="89"/>
      <c r="DQ283" s="89"/>
      <c r="DR283" s="89"/>
      <c r="DW283" s="54"/>
      <c r="EA283" s="55"/>
      <c r="EB283" s="55"/>
      <c r="EC283" s="55"/>
      <c r="ED283" s="55"/>
      <c r="EE283" s="55"/>
    </row>
    <row r="284" spans="1:135" x14ac:dyDescent="0.4">
      <c r="A284" s="221" t="str">
        <f ca="1">HYPERLINK("#"&amp;"'"&amp;A$1&amp;"'!a1","Back to top")</f>
        <v>Back to top</v>
      </c>
      <c r="C284" s="50"/>
      <c r="D284" s="14"/>
      <c r="E284" s="14"/>
      <c r="F284" s="14"/>
      <c r="G284" s="14"/>
      <c r="H284" s="14"/>
      <c r="I284" s="14"/>
      <c r="J284" s="14"/>
      <c r="K284" s="14"/>
      <c r="L284" s="14"/>
      <c r="M284" s="14"/>
      <c r="N284" s="89"/>
      <c r="O284" s="89"/>
      <c r="P284" s="89"/>
      <c r="Q284" s="89"/>
      <c r="R284" s="89"/>
      <c r="S284" s="89"/>
      <c r="T284" s="89"/>
      <c r="U284" s="89"/>
      <c r="V284" s="89"/>
      <c r="W284" s="89"/>
      <c r="X284" s="89"/>
      <c r="Y284" s="89"/>
      <c r="Z284" s="89"/>
      <c r="AA284" s="89"/>
      <c r="AB284" s="89"/>
      <c r="AC284" s="89"/>
      <c r="AD284" s="89"/>
      <c r="AE284" s="89"/>
      <c r="AF284" s="89"/>
      <c r="AG284" s="89"/>
      <c r="AH284" s="89"/>
      <c r="AI284" s="89"/>
      <c r="AJ284" s="89"/>
      <c r="AK284" s="89"/>
      <c r="AL284" s="89"/>
      <c r="AM284" s="89"/>
      <c r="AN284" s="89"/>
      <c r="DW284" s="54"/>
      <c r="EA284" s="55"/>
      <c r="EB284" s="55"/>
      <c r="EC284" s="55"/>
      <c r="ED284" s="55"/>
      <c r="EE284" s="55"/>
    </row>
    <row r="285" spans="1:135" x14ac:dyDescent="0.4">
      <c r="A285" s="221"/>
      <c r="C285" s="50"/>
      <c r="D285" s="14"/>
      <c r="E285" s="14"/>
      <c r="F285" s="14"/>
      <c r="G285" s="14"/>
      <c r="H285" s="14"/>
      <c r="I285" s="14"/>
      <c r="J285" s="14"/>
      <c r="K285" s="14"/>
      <c r="L285" s="14"/>
      <c r="M285" s="14"/>
      <c r="N285" s="89"/>
      <c r="O285" s="89"/>
      <c r="P285" s="89"/>
      <c r="Q285" s="89"/>
      <c r="R285" s="89"/>
      <c r="S285" s="89"/>
      <c r="T285" s="89"/>
      <c r="U285" s="89"/>
      <c r="V285" s="89"/>
      <c r="W285" s="89"/>
      <c r="X285" s="89"/>
      <c r="Y285" s="89"/>
      <c r="Z285" s="89"/>
      <c r="AA285" s="89"/>
      <c r="AB285" s="89"/>
      <c r="AC285" s="89"/>
      <c r="AD285" s="89"/>
      <c r="AE285" s="89"/>
      <c r="AF285" s="89"/>
      <c r="AG285" s="89"/>
      <c r="AH285" s="89"/>
      <c r="AI285" s="89"/>
      <c r="AJ285" s="89"/>
      <c r="AK285" s="89"/>
      <c r="AL285" s="89"/>
      <c r="AM285" s="89"/>
      <c r="AN285" s="89"/>
      <c r="DW285" s="54"/>
      <c r="EA285" s="55"/>
      <c r="EB285" s="55"/>
      <c r="EC285" s="55"/>
      <c r="ED285" s="55"/>
      <c r="EE285" s="55"/>
    </row>
    <row r="286" spans="1:135" x14ac:dyDescent="0.4">
      <c r="A286" s="214"/>
      <c r="B286" s="89"/>
      <c r="C286" s="14"/>
      <c r="D286" s="14"/>
      <c r="E286" s="14"/>
      <c r="F286" s="14"/>
      <c r="G286" s="14"/>
      <c r="H286" s="14"/>
      <c r="I286" s="14"/>
      <c r="J286" s="14"/>
      <c r="K286" s="14"/>
      <c r="L286" s="14"/>
      <c r="M286" s="50"/>
      <c r="N286" s="49"/>
      <c r="O286" s="49"/>
      <c r="P286" s="49"/>
      <c r="Q286" s="49"/>
      <c r="R286" s="49"/>
      <c r="S286" s="120"/>
      <c r="T286" s="120"/>
      <c r="U286" s="120"/>
      <c r="V286" s="49"/>
      <c r="W286" s="120"/>
      <c r="X286" s="120"/>
      <c r="Y286" s="120"/>
      <c r="Z286" s="89"/>
      <c r="AA286" s="89"/>
      <c r="AB286" s="89"/>
      <c r="AC286" s="89"/>
      <c r="AD286" s="89"/>
      <c r="AE286" s="89"/>
      <c r="AF286" s="89"/>
      <c r="AG286" s="89"/>
      <c r="AH286" s="89"/>
      <c r="AI286" s="89"/>
      <c r="AJ286" s="89"/>
      <c r="AK286" s="89"/>
      <c r="AL286" s="89"/>
      <c r="AM286" s="89"/>
      <c r="AN286" s="89"/>
      <c r="AO286" s="49"/>
      <c r="AP286" s="49"/>
      <c r="AQ286" s="49"/>
      <c r="AR286" s="49"/>
      <c r="AS286" s="49"/>
      <c r="AT286" s="49"/>
      <c r="AU286" s="49"/>
      <c r="AV286" s="49"/>
      <c r="AW286" s="49"/>
      <c r="AX286" s="49"/>
      <c r="AY286" s="49"/>
      <c r="AZ286" s="49"/>
      <c r="BA286" s="49"/>
      <c r="BB286" s="49"/>
      <c r="BC286" s="49"/>
      <c r="BD286" s="49"/>
      <c r="BE286" s="49"/>
      <c r="BF286" s="49"/>
      <c r="BG286" s="49"/>
      <c r="BH286" s="49"/>
      <c r="BI286" s="49"/>
      <c r="BJ286" s="49"/>
      <c r="BK286" s="49"/>
      <c r="BL286" s="49"/>
    </row>
    <row r="287" spans="1:135" x14ac:dyDescent="0.4">
      <c r="A287" s="253"/>
      <c r="B287" s="254"/>
      <c r="C287" s="255"/>
      <c r="D287" s="255"/>
      <c r="E287" s="255"/>
      <c r="F287" s="255"/>
      <c r="G287" s="255"/>
      <c r="H287" s="255"/>
      <c r="I287" s="255"/>
      <c r="J287" s="255"/>
      <c r="K287" s="255"/>
      <c r="L287" s="255"/>
      <c r="M287" s="256"/>
      <c r="S287" s="257"/>
      <c r="T287" s="257"/>
      <c r="U287" s="257"/>
      <c r="W287" s="257"/>
      <c r="X287" s="257"/>
      <c r="Y287" s="257"/>
      <c r="Z287" s="254"/>
      <c r="AA287" s="254"/>
      <c r="AB287" s="254"/>
      <c r="AC287" s="254"/>
      <c r="AD287" s="254"/>
      <c r="AE287" s="254"/>
      <c r="AF287" s="254"/>
      <c r="AG287" s="254"/>
      <c r="AH287" s="254"/>
      <c r="AI287" s="254"/>
      <c r="AJ287" s="254"/>
      <c r="AK287" s="254"/>
      <c r="AL287" s="254"/>
      <c r="AM287" s="254"/>
      <c r="AN287" s="254"/>
      <c r="DW287" s="258"/>
      <c r="EA287" s="259"/>
      <c r="EB287" s="259"/>
      <c r="EC287" s="259"/>
      <c r="ED287" s="259"/>
      <c r="EE287" s="259"/>
    </row>
    <row r="288" spans="1:135" x14ac:dyDescent="0.4">
      <c r="A288" s="253"/>
      <c r="B288" s="254"/>
      <c r="C288" s="255"/>
      <c r="D288" s="255"/>
      <c r="E288" s="255"/>
      <c r="F288" s="255"/>
      <c r="G288" s="255"/>
      <c r="H288" s="255"/>
      <c r="I288" s="255"/>
      <c r="J288" s="255"/>
      <c r="K288" s="255"/>
      <c r="L288" s="255"/>
      <c r="M288" s="256"/>
      <c r="S288" s="257"/>
      <c r="T288" s="257"/>
      <c r="U288" s="257"/>
      <c r="W288" s="257"/>
      <c r="X288" s="257"/>
      <c r="Y288" s="257"/>
      <c r="Z288" s="254"/>
      <c r="AA288" s="254"/>
      <c r="AB288" s="254"/>
      <c r="AC288" s="254"/>
      <c r="AD288" s="254"/>
      <c r="AE288" s="254"/>
      <c r="AF288" s="254"/>
      <c r="AG288" s="254"/>
      <c r="AH288" s="254"/>
      <c r="AI288" s="254"/>
      <c r="AJ288" s="254"/>
      <c r="AK288" s="254"/>
      <c r="AL288" s="254"/>
      <c r="AM288" s="254"/>
      <c r="AN288" s="254"/>
      <c r="DW288" s="258"/>
      <c r="EA288" s="259"/>
      <c r="EB288" s="259"/>
      <c r="EC288" s="259"/>
      <c r="ED288" s="259"/>
      <c r="EE288" s="259"/>
    </row>
    <row r="289" spans="1:135" x14ac:dyDescent="0.4">
      <c r="A289" s="221"/>
      <c r="B289" s="281"/>
      <c r="C289" s="50"/>
      <c r="D289" s="14"/>
      <c r="E289" s="14"/>
      <c r="F289" s="14"/>
      <c r="G289" s="14"/>
      <c r="H289" s="14"/>
      <c r="I289" s="14"/>
      <c r="J289" s="14"/>
      <c r="K289" s="14"/>
      <c r="L289" s="14"/>
      <c r="M289" s="14"/>
      <c r="N289" s="89"/>
      <c r="O289" s="89"/>
      <c r="P289" s="89"/>
      <c r="Q289" s="89"/>
      <c r="R289" s="89"/>
      <c r="S289" s="89"/>
      <c r="T289" s="89"/>
      <c r="U289" s="89"/>
      <c r="V289" s="89"/>
      <c r="W289" s="89"/>
      <c r="X289" s="89"/>
      <c r="Y289" s="89"/>
      <c r="Z289" s="89"/>
      <c r="AA289" s="89"/>
      <c r="AB289" s="89"/>
      <c r="AC289" s="89"/>
      <c r="AD289" s="89"/>
      <c r="AE289" s="89"/>
      <c r="AF289" s="89"/>
      <c r="AG289" s="89"/>
      <c r="AH289" s="89"/>
      <c r="AI289" s="89"/>
      <c r="AJ289" s="89"/>
      <c r="AK289" s="89"/>
      <c r="AL289" s="89"/>
      <c r="AM289" s="89"/>
      <c r="AN289" s="89"/>
      <c r="AO289" s="49"/>
      <c r="AP289" s="49"/>
      <c r="AQ289" s="49"/>
      <c r="AR289" s="49"/>
      <c r="AS289" s="49"/>
      <c r="AT289" s="49"/>
      <c r="AU289" s="49"/>
      <c r="AV289" s="49"/>
      <c r="AW289" s="49"/>
      <c r="AX289" s="49"/>
      <c r="AY289" s="49"/>
      <c r="AZ289" s="49"/>
      <c r="BA289" s="49"/>
      <c r="BB289" s="49"/>
      <c r="BC289" s="49"/>
      <c r="BD289" s="49"/>
      <c r="BE289" s="49"/>
      <c r="BF289" s="49"/>
      <c r="BG289" s="49"/>
      <c r="BH289" s="49"/>
      <c r="BI289" s="49"/>
      <c r="BJ289" s="49"/>
      <c r="BK289" s="49"/>
      <c r="BL289" s="49"/>
      <c r="BM289" s="49"/>
      <c r="BN289" s="49"/>
      <c r="BO289" s="49"/>
      <c r="BP289" s="49"/>
      <c r="DW289" s="282"/>
      <c r="EA289" s="232"/>
      <c r="EB289" s="232"/>
      <c r="EC289" s="232"/>
      <c r="ED289" s="232"/>
      <c r="EE289" s="232"/>
    </row>
    <row r="290" spans="1:135" x14ac:dyDescent="0.4">
      <c r="A290" s="221"/>
      <c r="B290" s="281"/>
      <c r="C290" s="50"/>
      <c r="D290" s="14"/>
      <c r="E290" s="14"/>
      <c r="F290" s="14"/>
      <c r="G290" s="14"/>
      <c r="H290" s="14"/>
      <c r="I290" s="14"/>
      <c r="J290" s="14"/>
      <c r="K290" s="14"/>
      <c r="L290" s="14"/>
      <c r="M290" s="14"/>
      <c r="N290" s="89"/>
      <c r="O290" s="89"/>
      <c r="P290" s="89"/>
      <c r="Q290" s="89"/>
      <c r="R290" s="89"/>
      <c r="S290" s="89"/>
      <c r="T290" s="89"/>
      <c r="U290" s="89"/>
      <c r="V290" s="89"/>
      <c r="W290" s="89"/>
      <c r="X290" s="89"/>
      <c r="Y290" s="89"/>
      <c r="Z290" s="89"/>
      <c r="AA290" s="89"/>
      <c r="AB290" s="89"/>
      <c r="AC290" s="89"/>
      <c r="AD290" s="89"/>
      <c r="AE290" s="89"/>
      <c r="AF290" s="89"/>
      <c r="AG290" s="89"/>
      <c r="AH290" s="89"/>
      <c r="AI290" s="89"/>
      <c r="AJ290" s="89"/>
      <c r="AK290" s="89"/>
      <c r="AL290" s="89"/>
      <c r="AM290" s="89"/>
      <c r="AN290" s="89"/>
      <c r="AO290" s="49"/>
      <c r="AP290" s="49"/>
      <c r="AQ290" s="49"/>
      <c r="AR290" s="49"/>
      <c r="AS290" s="49"/>
      <c r="AT290" s="49"/>
      <c r="AU290" s="49"/>
      <c r="AV290" s="49"/>
      <c r="AW290" s="49"/>
      <c r="AX290" s="49"/>
      <c r="AY290" s="49"/>
      <c r="AZ290" s="49"/>
      <c r="BA290" s="49"/>
      <c r="BB290" s="49"/>
      <c r="BC290" s="49"/>
      <c r="BD290" s="49"/>
      <c r="BE290" s="49"/>
      <c r="BF290" s="49"/>
      <c r="BG290" s="49"/>
      <c r="BH290" s="49"/>
      <c r="BI290" s="49"/>
      <c r="BJ290" s="49"/>
      <c r="BK290" s="49"/>
      <c r="BL290" s="49"/>
      <c r="BM290" s="49"/>
      <c r="BN290" s="49"/>
      <c r="BO290" s="49"/>
      <c r="BP290" s="49"/>
      <c r="DW290" s="282"/>
      <c r="EA290" s="232"/>
      <c r="EB290" s="232"/>
      <c r="EC290" s="232"/>
      <c r="ED290" s="232"/>
      <c r="EE290" s="232"/>
    </row>
    <row r="291" spans="1:135" x14ac:dyDescent="0.4">
      <c r="A291" s="261" t="s">
        <v>101</v>
      </c>
      <c r="B291" s="281"/>
      <c r="C291" s="50"/>
      <c r="D291" s="14"/>
      <c r="E291" s="14"/>
      <c r="F291" s="14"/>
      <c r="G291" s="14"/>
      <c r="H291" s="14"/>
      <c r="I291" s="14"/>
      <c r="J291" s="14"/>
      <c r="K291" s="14"/>
      <c r="L291" s="14"/>
      <c r="M291" s="14"/>
      <c r="N291" s="89"/>
      <c r="O291" s="89"/>
      <c r="P291" s="89"/>
      <c r="Q291" s="89"/>
      <c r="R291" s="89"/>
      <c r="S291" s="89"/>
      <c r="T291" s="89"/>
      <c r="U291" s="89"/>
      <c r="V291" s="89"/>
      <c r="W291" s="89"/>
      <c r="X291" s="89"/>
      <c r="Y291" s="89"/>
      <c r="Z291" s="89"/>
      <c r="AA291" s="89"/>
      <c r="AB291" s="261" t="s">
        <v>101</v>
      </c>
      <c r="AC291" s="89"/>
      <c r="AD291" s="89"/>
      <c r="AE291" s="89"/>
      <c r="AF291" s="89"/>
      <c r="AG291" s="89"/>
      <c r="AH291" s="89"/>
      <c r="AI291" s="89"/>
      <c r="AJ291" s="89"/>
      <c r="AK291" s="89"/>
      <c r="AL291" s="89"/>
      <c r="AM291" s="89"/>
      <c r="AN291" s="261" t="s">
        <v>101</v>
      </c>
      <c r="AO291" s="49"/>
      <c r="AP291" s="49"/>
      <c r="AQ291" s="49"/>
      <c r="AR291" s="49"/>
      <c r="AS291" s="49"/>
      <c r="AT291" s="49"/>
      <c r="AU291" s="49"/>
      <c r="AV291" s="49"/>
      <c r="AW291" s="49"/>
      <c r="AX291" s="49"/>
      <c r="AY291" s="49"/>
      <c r="AZ291" s="261" t="s">
        <v>101</v>
      </c>
      <c r="BA291" s="49"/>
      <c r="BB291" s="49"/>
      <c r="BC291" s="49"/>
      <c r="BD291" s="49"/>
      <c r="BE291" s="49"/>
      <c r="BF291" s="49"/>
      <c r="BG291" s="49"/>
      <c r="BH291" s="49"/>
      <c r="BI291" s="49"/>
      <c r="BJ291" s="261" t="s">
        <v>101</v>
      </c>
      <c r="BK291" s="49"/>
      <c r="BL291" s="49"/>
      <c r="BM291" s="49"/>
      <c r="BN291" s="49"/>
      <c r="BO291" s="49"/>
      <c r="BP291" s="49"/>
      <c r="BR291" s="261" t="s">
        <v>101</v>
      </c>
      <c r="BY291" s="261" t="s">
        <v>101</v>
      </c>
      <c r="CG291" s="261" t="s">
        <v>101</v>
      </c>
      <c r="CP291" s="261" t="s">
        <v>101</v>
      </c>
      <c r="DV291" s="261" t="s">
        <v>101</v>
      </c>
      <c r="DW291" s="282"/>
      <c r="EA291" s="232"/>
      <c r="EB291" s="232"/>
      <c r="EC291" s="232"/>
      <c r="ED291" s="232"/>
      <c r="EE291" s="232"/>
    </row>
    <row r="292" spans="1:135" x14ac:dyDescent="0.4">
      <c r="B292" s="694"/>
      <c r="C292" s="694"/>
      <c r="D292" s="113"/>
      <c r="E292" s="113"/>
      <c r="F292" s="113"/>
      <c r="G292" s="113"/>
      <c r="H292" s="113"/>
      <c r="I292" s="113"/>
      <c r="J292" s="113"/>
      <c r="K292" s="113"/>
      <c r="L292" s="113"/>
      <c r="M292" s="113"/>
      <c r="N292" s="114"/>
      <c r="O292" s="114"/>
      <c r="P292" s="114"/>
      <c r="Q292" s="114"/>
      <c r="R292" s="114"/>
      <c r="S292" s="114"/>
      <c r="T292" s="114"/>
      <c r="U292" s="114"/>
      <c r="V292" s="114"/>
      <c r="W292" s="114"/>
      <c r="X292" s="114"/>
      <c r="Y292" s="114"/>
      <c r="Z292" s="114"/>
      <c r="AA292" s="114"/>
      <c r="AC292" s="114"/>
      <c r="AD292" s="114"/>
      <c r="AE292" s="114"/>
      <c r="AF292" s="114"/>
      <c r="AG292" s="114"/>
      <c r="AH292" s="114"/>
      <c r="AI292" s="114"/>
      <c r="AJ292" s="114"/>
      <c r="AK292" s="114"/>
      <c r="AL292" s="114"/>
      <c r="AM292" s="114"/>
      <c r="AN292" s="114"/>
      <c r="AO292" s="89"/>
      <c r="DW292" s="54"/>
      <c r="EA292" s="55"/>
      <c r="EB292" s="55"/>
      <c r="EC292" s="55"/>
      <c r="ED292" s="55"/>
      <c r="EE292" s="55"/>
    </row>
    <row r="293" spans="1:135" ht="12.6" thickBot="1" x14ac:dyDescent="0.45">
      <c r="A293" s="233"/>
      <c r="B293" s="679"/>
      <c r="C293" s="679"/>
      <c r="D293" s="113"/>
      <c r="E293" s="113"/>
      <c r="F293" s="113"/>
      <c r="G293" s="113"/>
      <c r="H293" s="113"/>
      <c r="I293" s="113"/>
      <c r="J293" s="113"/>
      <c r="K293" s="113"/>
      <c r="L293" s="113"/>
      <c r="M293" s="113"/>
      <c r="N293" s="114"/>
      <c r="O293" s="114"/>
      <c r="P293" s="114"/>
      <c r="Q293" s="114"/>
      <c r="R293" s="114"/>
      <c r="S293" s="114"/>
      <c r="T293" s="114"/>
      <c r="U293" s="114"/>
      <c r="V293" s="114"/>
      <c r="W293" s="114"/>
      <c r="X293" s="114"/>
      <c r="Y293" s="114"/>
      <c r="Z293" s="114"/>
      <c r="AA293" s="114"/>
      <c r="AB293" s="114"/>
      <c r="AC293" s="114"/>
      <c r="AD293" s="114"/>
      <c r="AE293" s="114"/>
      <c r="AF293" s="114"/>
      <c r="AG293" s="114"/>
      <c r="AH293" s="114"/>
      <c r="AI293" s="114"/>
      <c r="AJ293" s="114"/>
      <c r="AK293" s="114"/>
      <c r="AL293" s="114"/>
      <c r="AM293" s="114"/>
      <c r="CZ293" s="116"/>
      <c r="DA293" s="116"/>
      <c r="DB293" s="116"/>
      <c r="DC293" s="116"/>
      <c r="DD293" s="116"/>
      <c r="DE293" s="116"/>
      <c r="DF293" s="116"/>
      <c r="DG293" s="116"/>
      <c r="DH293" s="116"/>
      <c r="DI293" s="117" t="str">
        <f>"DJ"&amp;MIN(DK296:DK344)</f>
        <v>DJ296</v>
      </c>
      <c r="DJ293" s="118" t="str">
        <f>"DJ"&amp;MAX(DK296:DK344)</f>
        <v>DJ344</v>
      </c>
      <c r="DK293" s="116"/>
      <c r="DL293" s="117" t="str">
        <f>"DM"&amp;MIN(DN296:DN344)</f>
        <v>DM296</v>
      </c>
      <c r="DM293" s="118" t="str">
        <f>"DM"&amp;MAX(DN296:DN344)</f>
        <v>DM344</v>
      </c>
      <c r="DN293" s="116"/>
      <c r="DO293" s="117" t="str">
        <f>"DP"&amp;MIN(DQ296:DQ344)</f>
        <v>DP296</v>
      </c>
      <c r="DP293" s="118" t="str">
        <f>"DP"&amp;MAX(DQ296:DQ344)</f>
        <v>DP344</v>
      </c>
      <c r="DQ293" s="116"/>
      <c r="DW293" s="119"/>
      <c r="EA293" s="33"/>
      <c r="EB293" s="33"/>
      <c r="EC293" s="33"/>
      <c r="ED293" s="33"/>
      <c r="EE293" s="33"/>
    </row>
    <row r="294" spans="1:135" ht="24.9" thickBot="1" x14ac:dyDescent="0.5">
      <c r="A294" s="676" t="s">
        <v>65</v>
      </c>
      <c r="C294" s="680" t="str">
        <f>A312</f>
        <v>Base Cases</v>
      </c>
      <c r="D294" s="681"/>
      <c r="E294" s="682"/>
      <c r="F294" s="683" t="str">
        <f>A313</f>
        <v>Conservative Cases</v>
      </c>
      <c r="G294" s="684"/>
      <c r="H294" s="685"/>
      <c r="I294" s="686" t="str">
        <f>A314</f>
        <v>Ambitious Cases</v>
      </c>
      <c r="J294" s="687"/>
      <c r="K294" s="688"/>
      <c r="L294" s="692" t="str">
        <f>A315</f>
        <v>Maximum Cases</v>
      </c>
      <c r="M294" s="693"/>
      <c r="O294" s="122"/>
      <c r="P294" s="122"/>
      <c r="Q294" s="122"/>
      <c r="W294" s="691" t="s">
        <v>66</v>
      </c>
      <c r="X294" s="691"/>
      <c r="Y294" s="691"/>
      <c r="Z294" s="120"/>
      <c r="AA294" s="1274" t="s">
        <v>1061</v>
      </c>
      <c r="AB294" s="1274"/>
      <c r="AC294" s="1274"/>
      <c r="AD294" s="120"/>
      <c r="AE294" s="120"/>
      <c r="AF294" s="120"/>
      <c r="AG294" s="120"/>
      <c r="AH294" s="120"/>
      <c r="AI294" s="120"/>
      <c r="AJ294" s="120"/>
      <c r="AK294" s="120"/>
      <c r="AL294" s="120"/>
      <c r="AM294" s="120"/>
      <c r="AN294" s="120"/>
      <c r="BR294" s="121" t="s">
        <v>67</v>
      </c>
      <c r="BS294" s="121"/>
      <c r="BT294" s="121"/>
      <c r="BU294" s="121"/>
      <c r="BV294" s="121"/>
      <c r="BW294" s="122"/>
      <c r="BY294" s="121" t="s">
        <v>68</v>
      </c>
      <c r="BZ294" s="121"/>
      <c r="CA294" s="121"/>
      <c r="CB294" s="121"/>
      <c r="CC294" s="121"/>
      <c r="CD294" s="121"/>
      <c r="CG294" s="121" t="s">
        <v>69</v>
      </c>
      <c r="CH294" s="121"/>
      <c r="CI294" s="121"/>
      <c r="CJ294" s="121"/>
      <c r="CK294" s="121"/>
      <c r="CL294" s="121"/>
      <c r="CM294" s="121"/>
      <c r="CP294" s="121" t="s">
        <v>70</v>
      </c>
      <c r="CQ294" s="121"/>
      <c r="CR294" s="121"/>
      <c r="CS294" s="121"/>
      <c r="CT294" s="121"/>
      <c r="CU294" s="121"/>
      <c r="CZ294" s="123"/>
      <c r="DA294" s="123"/>
      <c r="DB294" s="123"/>
      <c r="DC294" s="123"/>
      <c r="DD294" s="123"/>
      <c r="DE294" s="123"/>
      <c r="DF294" s="123"/>
      <c r="DG294" s="123"/>
      <c r="DH294" s="123"/>
      <c r="DI294" s="124" t="str">
        <f>"DI"&amp;MIN(DK296:DK344)</f>
        <v>DI296</v>
      </c>
      <c r="DJ294" s="125" t="str">
        <f>"DI"&amp;MAX(DK296:DK344)</f>
        <v>DI344</v>
      </c>
      <c r="DK294" s="123"/>
      <c r="DL294" s="124" t="str">
        <f>"DL"&amp;MIN(DN296:DN344)</f>
        <v>DL296</v>
      </c>
      <c r="DM294" s="125" t="str">
        <f>"DL"&amp;MAX(DN296:DN344)</f>
        <v>DL344</v>
      </c>
      <c r="DN294" s="123"/>
      <c r="DO294" s="124" t="str">
        <f>"DO"&amp;MIN(DQ296:DQ344)</f>
        <v>DO296</v>
      </c>
      <c r="DP294" s="125" t="str">
        <f>"DO"&amp;MAX(DQ296:DQ344)</f>
        <v>DO344</v>
      </c>
      <c r="DQ294" s="123"/>
      <c r="DV294" s="126" t="s">
        <v>71</v>
      </c>
      <c r="DZ294" s="127" t="s">
        <v>72</v>
      </c>
      <c r="EA294" s="284" t="str">
        <f>$L$26</f>
        <v>3rd Poly</v>
      </c>
    </row>
    <row r="295" spans="1:135" ht="88.5" thickBot="1" x14ac:dyDescent="0.5">
      <c r="A295" s="676" t="s">
        <v>73</v>
      </c>
      <c r="B295" s="128"/>
      <c r="C295" s="988" t="str">
        <f>A296</f>
        <v>Based on World Bank, What a Waste 2.0</v>
      </c>
      <c r="D295" s="1118" t="str">
        <f>A297</f>
        <v>Based on Hoornweg et al (2014)</v>
      </c>
      <c r="E295" s="1124" t="str">
        <f>A298</f>
        <v>Based on Hoornweg et al (2014)- 3rd poly between 2012-2016 + 2050</v>
      </c>
      <c r="F295" s="988" t="str">
        <f>A299</f>
        <v>[Source 1]</v>
      </c>
      <c r="G295" s="996" t="str">
        <f>A300</f>
        <v>[Source 2]</v>
      </c>
      <c r="H295" s="997" t="str">
        <f>A301</f>
        <v>[Source 3]</v>
      </c>
      <c r="I295" s="129" t="str">
        <f>A302</f>
        <v>Based on  IEA Annex I – Municipal solid waste potential in cities; Table I.1</v>
      </c>
      <c r="J295" s="130" t="str">
        <f>A303</f>
        <v>[Source 2]</v>
      </c>
      <c r="K295" s="131" t="str">
        <f>A304</f>
        <v>[Source 3]</v>
      </c>
      <c r="L295" s="129" t="str">
        <f>A305</f>
        <v>[Source 1]</v>
      </c>
      <c r="M295" s="131" t="str">
        <f>A306</f>
        <v>[Source 2]</v>
      </c>
      <c r="N295" s="234" t="s">
        <v>74</v>
      </c>
      <c r="O295" s="133"/>
      <c r="P295" s="133"/>
      <c r="Q295" s="133"/>
      <c r="R295" s="135" t="s">
        <v>76</v>
      </c>
      <c r="S295" s="134" t="s">
        <v>77</v>
      </c>
      <c r="T295" s="134" t="s">
        <v>78</v>
      </c>
      <c r="U295" s="136" t="s">
        <v>79</v>
      </c>
      <c r="V295" s="691"/>
      <c r="W295" s="136" t="s">
        <v>15</v>
      </c>
      <c r="X295" s="134" t="s">
        <v>21</v>
      </c>
      <c r="Y295" s="136" t="s">
        <v>25</v>
      </c>
      <c r="AA295" s="136" t="s">
        <v>15</v>
      </c>
      <c r="AB295" s="134" t="s">
        <v>21</v>
      </c>
      <c r="AC295" s="136" t="s">
        <v>25</v>
      </c>
      <c r="AD295" s="138"/>
      <c r="AE295" s="138"/>
      <c r="AF295" s="138"/>
      <c r="AG295" s="138"/>
      <c r="AH295" s="138"/>
      <c r="AI295" s="138"/>
      <c r="AJ295" s="138"/>
      <c r="AK295" s="138"/>
      <c r="AL295" s="138"/>
      <c r="AM295" s="138"/>
      <c r="AN295" s="138"/>
      <c r="BR295" s="139"/>
      <c r="BS295" s="139"/>
      <c r="BT295" s="139"/>
      <c r="BU295" s="139"/>
      <c r="BV295" s="139"/>
      <c r="BW295" s="122"/>
      <c r="BZ295" s="139"/>
      <c r="CA295" s="139"/>
      <c r="CB295" s="139"/>
      <c r="CC295" s="139"/>
      <c r="CD295" s="139"/>
      <c r="CH295" s="139"/>
      <c r="CI295" s="139"/>
      <c r="CJ295" s="139"/>
      <c r="CK295" s="139"/>
      <c r="CL295" s="139"/>
      <c r="CM295" s="139"/>
      <c r="CQ295" s="139"/>
      <c r="CR295" s="139"/>
      <c r="CS295" s="139"/>
      <c r="CT295" s="139"/>
      <c r="CU295" s="139"/>
      <c r="CZ295" s="140"/>
      <c r="DA295" s="140"/>
      <c r="DB295" s="140"/>
      <c r="DC295" s="140"/>
      <c r="DD295" s="141"/>
      <c r="DE295" s="141"/>
      <c r="DF295" s="141"/>
      <c r="DG295" s="141"/>
      <c r="DH295" s="140"/>
      <c r="DI295" s="142"/>
      <c r="DJ295" s="143"/>
      <c r="DK295" s="144"/>
      <c r="DL295" s="142"/>
      <c r="DM295" s="143"/>
      <c r="DN295" s="140"/>
      <c r="DO295" s="142"/>
      <c r="DP295" s="143"/>
      <c r="DQ295" s="140"/>
      <c r="DV295" s="145">
        <v>2014</v>
      </c>
      <c r="DW295" s="235">
        <f t="shared" ref="DW295:DW341" ca="1" si="142">IF($J$26="N","",IF($L$26="Linear",BV300,IF($L$26="2nd Poly",CD300,IF($L$26="3rd Poly",CM300,IF($L$26="Exp",CT300)))))</f>
        <v>256.95753148120718</v>
      </c>
      <c r="EA295" s="33" t="str">
        <f>$M$26</f>
        <v>Medium</v>
      </c>
      <c r="EB295" s="33"/>
      <c r="EC295" s="33"/>
      <c r="ED295" s="33"/>
      <c r="EE295" s="33"/>
    </row>
    <row r="296" spans="1:135" ht="14.1" thickBot="1" x14ac:dyDescent="0.5">
      <c r="A296" s="948" t="s">
        <v>1032</v>
      </c>
      <c r="B296" s="128">
        <v>2012</v>
      </c>
      <c r="C296" s="1065">
        <v>227.43196347031954</v>
      </c>
      <c r="D296" s="1065">
        <v>227.43196347031954</v>
      </c>
      <c r="E296" s="1066"/>
      <c r="F296" s="1072"/>
      <c r="G296" s="1073"/>
      <c r="H296" s="1074"/>
      <c r="I296" s="1065">
        <v>227.43196347031954</v>
      </c>
      <c r="J296" s="264"/>
      <c r="K296" s="239"/>
      <c r="L296" s="190"/>
      <c r="M296" s="239"/>
      <c r="N296" s="29" t="s">
        <v>119</v>
      </c>
      <c r="O296" s="120"/>
      <c r="P296" s="120"/>
      <c r="Q296" s="120"/>
      <c r="R296" s="29">
        <v>-2</v>
      </c>
      <c r="S296" s="238">
        <f t="shared" ref="S296:S344" si="143">IF(MIN(C296:Q296)=0,"",MIN(C296:Q296))</f>
        <v>227.43196347031954</v>
      </c>
      <c r="T296" s="238">
        <f t="shared" ref="T296:T344" si="144">IF(MAX(C296:Q296)=0,"",MAX(C296:Q296))</f>
        <v>227.43196347031954</v>
      </c>
      <c r="U296" s="238">
        <f t="shared" ref="U296:U344" si="145">IF(T296="","",_xlfn.STDEV.P(C296:Q296))</f>
        <v>2.8421709430404007E-14</v>
      </c>
      <c r="V296" s="29"/>
      <c r="W296" s="238">
        <f>IF(U296="",#N/A,X296-(U296*$Q$32))</f>
        <v>227.43196347031954</v>
      </c>
      <c r="X296" s="238">
        <f t="shared" ref="X296:X327" si="146">IF(U296="",#N/A,(SUM(C296:Q296)/COUNTIFS(C296:Q296,"&gt;0")))</f>
        <v>227.43196347031957</v>
      </c>
      <c r="Y296" s="238">
        <f t="shared" ref="Y296:Y344" si="147">IF(U296="",#N/A,X296+(U296*$Q$25))</f>
        <v>227.4319634703196</v>
      </c>
      <c r="AA296" s="1133">
        <v>227.43196347031954</v>
      </c>
      <c r="AB296" s="1133">
        <v>227.43196347031954</v>
      </c>
      <c r="AC296" s="1133">
        <v>227.43196347031954</v>
      </c>
      <c r="AD296" s="138"/>
      <c r="AE296" s="138"/>
      <c r="AF296" s="138"/>
      <c r="AG296" s="138"/>
      <c r="AH296" s="138"/>
      <c r="AI296" s="138"/>
      <c r="AJ296" s="138"/>
      <c r="AK296" s="138"/>
      <c r="AL296" s="138"/>
      <c r="AM296" s="138"/>
      <c r="AN296" s="138"/>
      <c r="BR296" s="691" t="s">
        <v>81</v>
      </c>
      <c r="BS296" s="65" t="str">
        <f>$M$26</f>
        <v>Medium</v>
      </c>
      <c r="BT296" s="691" t="s">
        <v>82</v>
      </c>
      <c r="BU296" s="691" t="s">
        <v>83</v>
      </c>
      <c r="BW296" s="133"/>
      <c r="BY296" s="691" t="s">
        <v>81</v>
      </c>
      <c r="BZ296" s="65" t="str">
        <f>$M$26</f>
        <v>Medium</v>
      </c>
      <c r="CA296" s="691" t="s">
        <v>84</v>
      </c>
      <c r="CB296" s="691" t="s">
        <v>82</v>
      </c>
      <c r="CC296" s="691" t="s">
        <v>83</v>
      </c>
      <c r="CG296" s="691" t="s">
        <v>81</v>
      </c>
      <c r="CH296" s="65" t="str">
        <f>$M$26</f>
        <v>Medium</v>
      </c>
      <c r="CI296" s="691" t="s">
        <v>85</v>
      </c>
      <c r="CJ296" s="691" t="s">
        <v>84</v>
      </c>
      <c r="CK296" s="691" t="s">
        <v>82</v>
      </c>
      <c r="CL296" s="691" t="s">
        <v>83</v>
      </c>
      <c r="CP296" s="691" t="s">
        <v>81</v>
      </c>
      <c r="CQ296" s="65" t="str">
        <f>$M$26</f>
        <v>Medium</v>
      </c>
      <c r="CR296" s="691" t="s">
        <v>86</v>
      </c>
      <c r="CS296" s="691" t="s">
        <v>87</v>
      </c>
      <c r="CZ296" s="155" t="b">
        <f t="shared" ref="CZ296:DB335" si="148">ISNUMBER(W296)</f>
        <v>1</v>
      </c>
      <c r="DA296" s="156" t="b">
        <f t="shared" si="148"/>
        <v>1</v>
      </c>
      <c r="DB296" s="157" t="b">
        <f t="shared" si="148"/>
        <v>1</v>
      </c>
      <c r="DC296" s="155">
        <f t="shared" ref="DC296:DC344" si="149">IF(CZ296=TRUE,$R296,"")</f>
        <v>-2</v>
      </c>
      <c r="DD296" s="157">
        <f t="shared" ref="DD296:DD344" si="150">IF(CZ296=TRUE,W296,"")</f>
        <v>227.43196347031954</v>
      </c>
      <c r="DE296" s="155">
        <f t="shared" ref="DE296:DE344" si="151">IF(DA296=TRUE,$R296,"")</f>
        <v>-2</v>
      </c>
      <c r="DF296" s="157">
        <f t="shared" ref="DF296:DF344" si="152">IF(DA296=TRUE,X296,"")</f>
        <v>227.43196347031957</v>
      </c>
      <c r="DG296" s="155">
        <f t="shared" ref="DG296:DG344" si="153">IF(DB296=TRUE,$R296,"")</f>
        <v>-2</v>
      </c>
      <c r="DH296" s="157">
        <f t="shared" ref="DH296:DH344" si="154">IF(DB296=TRUE,Y296,"")</f>
        <v>227.4319634703196</v>
      </c>
      <c r="DI296" s="155">
        <f>IFERROR(INDEX(DC$296:DC$344,_xlfn.AGGREGATE(15,6,(ROW(DC$296:DC$344)-ROW(DC$296)+1)/(DC$296:DC$344&lt;&gt;""),ROWS(DI$1:DI1))),"")</f>
        <v>-2</v>
      </c>
      <c r="DJ296" s="156">
        <f>IFERROR(INDEX(DD$296:DD$344,_xlfn.AGGREGATE(15,6,(ROW(DD$296:DD$344)-ROW(DD$296)+1)/(DD$296:DD$344&lt;&gt;""),ROWS(DJ$1:DJ1))),"")</f>
        <v>227.43196347031954</v>
      </c>
      <c r="DK296" s="157">
        <f t="shared" ref="DK296:DK344" si="155">IF(ISNUMBER(DI296),ROW(DI296),"")</f>
        <v>296</v>
      </c>
      <c r="DL296" s="155">
        <f>IFERROR(INDEX(DE$296:DE$344,_xlfn.AGGREGATE(15,6,(ROW(DE$296:DE$344)-ROW(DE$296)+1)/(DE$296:DE$344&lt;&gt;""),ROWS(DL$1:DL1))),"")</f>
        <v>-2</v>
      </c>
      <c r="DM296" s="156">
        <f>IFERROR(INDEX(DF$296:DF$344,_xlfn.AGGREGATE(15,6,(ROW(DF$296:DF$344)-ROW(DF$296)+1)/(DF$296:DF$344&lt;&gt;""),ROWS(DM$1:DM1))),"")</f>
        <v>227.43196347031957</v>
      </c>
      <c r="DN296" s="157">
        <f t="shared" ref="DN296:DN344" si="156">IF(ISNUMBER(DI296),ROW(DI296),"")</f>
        <v>296</v>
      </c>
      <c r="DO296" s="155">
        <f>IFERROR(INDEX(DG$296:DG$344,_xlfn.AGGREGATE(15,6,(ROW(DG$296:DG$344)-ROW(DG$296)+1)/(DG$296:DG$344&lt;&gt;""),ROWS(DO$1:DO1))),"")</f>
        <v>-2</v>
      </c>
      <c r="DP296" s="156">
        <f>IFERROR(INDEX(DH$296:DH$344,_xlfn.AGGREGATE(15,6,(ROW(DH$296:DH$344)-ROW(DH$296)+1)/(DH$296:DH$344&lt;&gt;""),ROWS(DP$1:DP1))),"")</f>
        <v>227.4319634703196</v>
      </c>
      <c r="DQ296" s="157">
        <f t="shared" ref="DQ296:DQ344" si="157">IF(ISNUMBER(DL296),ROW(DL296),"")</f>
        <v>296</v>
      </c>
      <c r="DV296" s="145">
        <v>2015</v>
      </c>
      <c r="DW296" s="235">
        <f t="shared" ca="1" si="142"/>
        <v>269.12704721529394</v>
      </c>
      <c r="EA296" s="33"/>
      <c r="EB296" s="33"/>
      <c r="EC296" s="33"/>
      <c r="ED296" s="33"/>
      <c r="EE296" s="33"/>
    </row>
    <row r="297" spans="1:135" ht="13.8" x14ac:dyDescent="0.45">
      <c r="A297" s="948" t="s">
        <v>1037</v>
      </c>
      <c r="B297" s="128">
        <v>2013</v>
      </c>
      <c r="C297" s="1067">
        <v>241.37203196347025</v>
      </c>
      <c r="D297" s="1067">
        <v>241.37203196347025</v>
      </c>
      <c r="E297" s="1068"/>
      <c r="F297" s="1053"/>
      <c r="G297" s="1054"/>
      <c r="H297" s="1064"/>
      <c r="I297" s="1143">
        <v>241.37203196347025</v>
      </c>
      <c r="J297" s="264"/>
      <c r="K297" s="239"/>
      <c r="L297" s="190"/>
      <c r="M297" s="239"/>
      <c r="N297" s="29" t="s">
        <v>119</v>
      </c>
      <c r="O297" s="120"/>
      <c r="P297" s="120"/>
      <c r="Q297" s="120"/>
      <c r="R297" s="29">
        <v>-1</v>
      </c>
      <c r="S297" s="238">
        <f t="shared" si="143"/>
        <v>241.37203196347025</v>
      </c>
      <c r="T297" s="238">
        <f t="shared" si="144"/>
        <v>241.37203196347025</v>
      </c>
      <c r="U297" s="238">
        <f t="shared" si="145"/>
        <v>0</v>
      </c>
      <c r="V297" s="29"/>
      <c r="W297" s="238">
        <f t="shared" ref="W297:W344" si="158">IF(U297="",#N/A,X297-(U297*$Q$26))</f>
        <v>241.37203196347025</v>
      </c>
      <c r="X297" s="238">
        <f t="shared" si="146"/>
        <v>241.37203196347025</v>
      </c>
      <c r="Y297" s="238">
        <f t="shared" si="147"/>
        <v>241.37203196347025</v>
      </c>
      <c r="AA297" s="1133">
        <v>241.37203196347025</v>
      </c>
      <c r="AB297" s="1133">
        <v>241.37203196347025</v>
      </c>
      <c r="AC297" s="1133">
        <v>241.37203196347025</v>
      </c>
      <c r="AD297" s="138"/>
      <c r="AE297" s="138"/>
      <c r="AF297" s="138"/>
      <c r="AG297" s="138"/>
      <c r="AH297" s="138"/>
      <c r="AI297" s="138"/>
      <c r="AJ297" s="138"/>
      <c r="AK297" s="138"/>
      <c r="AL297" s="138"/>
      <c r="AM297" s="138"/>
      <c r="AN297" s="138"/>
      <c r="BS297" s="160" t="s">
        <v>25</v>
      </c>
      <c r="BT297" s="161">
        <f>SLOPE((DH296:DH344),($B$46:$B$94))</f>
        <v>16.367395171866118</v>
      </c>
      <c r="BU297" s="162">
        <f>INTERCEPT(DP296:DP344,DO296:DO344)</f>
        <v>236.15507169692529</v>
      </c>
      <c r="BW297" s="133"/>
      <c r="BZ297" s="160" t="s">
        <v>25</v>
      </c>
      <c r="CA297" s="161">
        <f ca="1">INDEX(LINEST((INDIRECT(DO293):INDIRECT(DP293)),(INDIRECT(DO294):INDIRECT(DP294))^{1,2}),1)</f>
        <v>0.13442305983840613</v>
      </c>
      <c r="CB297" s="163">
        <f ca="1">INDEX(LINEST((INDIRECT(DO293):INDIRECT(DP293)),(INDIRECT(DO294):INDIRECT(DP294))^{1,2}),1,2)</f>
        <v>10.452780538976254</v>
      </c>
      <c r="CC297" s="162">
        <f ca="1">INDEX(LINEST((INDIRECT(DO293):INDIRECT(DP293)),(INDIRECT(DO294):INDIRECT(DP294))^{1,2}),1,3)</f>
        <v>274.33122069103251</v>
      </c>
      <c r="CH297" s="160" t="s">
        <v>25</v>
      </c>
      <c r="CI297" s="161">
        <f ca="1">INDEX(LINEST((INDIRECT(DO293):INDIRECT(DP293)),(INDIRECT(DO294):INDIRECT(DP294))^{1,2,3}),1)</f>
        <v>4.2498364267682855E-3</v>
      </c>
      <c r="CJ297" s="163">
        <f ca="1">INDEX(LINEST((INDIRECT(DO293):INDIRECT(DP293)),(INDIRECT(DO294):INDIRECT(DP294))^{1,2,3}),1,2)</f>
        <v>-0.14606614432830092</v>
      </c>
      <c r="CK297" s="163">
        <f ca="1">INDEX(LINEST((INDIRECT(DO293):INDIRECT(DP293)),(INDIRECT(DO294):INDIRECT(DP294))^{1,2,3}),1,3)</f>
        <v>15.09445188429258</v>
      </c>
      <c r="CL297" s="162">
        <f ca="1">INDEX(LINEST((INDIRECT(DO293):INDIRECT(DP293)),(INDIRECT(DO294):INDIRECT(DP294))^{1,2,3}),1,4)</f>
        <v>262.7189676385309</v>
      </c>
      <c r="CQ297" s="160" t="s">
        <v>25</v>
      </c>
      <c r="CR297" s="161">
        <f ca="1">EXP(INDEX(LINEST(LN(INDIRECT(DO293):INDIRECT(DP293)),(INDIRECT(DO294):INDIRECT(DP294))),1,2))</f>
        <v>288.06182324016191</v>
      </c>
      <c r="CS297" s="162">
        <f ca="1">INDEX(LINEST(LN(INDIRECT(DO293):INDIRECT(DP293)),(INDIRECT(DO294):INDIRECT(DP294))),1)</f>
        <v>2.9312638999639186E-2</v>
      </c>
      <c r="CZ297" s="164" t="b">
        <f t="shared" si="148"/>
        <v>1</v>
      </c>
      <c r="DA297" s="165" t="b">
        <f t="shared" si="148"/>
        <v>1</v>
      </c>
      <c r="DB297" s="166" t="b">
        <f t="shared" si="148"/>
        <v>1</v>
      </c>
      <c r="DC297" s="164">
        <f t="shared" si="149"/>
        <v>-1</v>
      </c>
      <c r="DD297" s="166">
        <f t="shared" si="150"/>
        <v>241.37203196347025</v>
      </c>
      <c r="DE297" s="164">
        <f t="shared" si="151"/>
        <v>-1</v>
      </c>
      <c r="DF297" s="166">
        <f t="shared" si="152"/>
        <v>241.37203196347025</v>
      </c>
      <c r="DG297" s="164">
        <f t="shared" si="153"/>
        <v>-1</v>
      </c>
      <c r="DH297" s="166">
        <f t="shared" si="154"/>
        <v>241.37203196347025</v>
      </c>
      <c r="DI297" s="164">
        <f>IFERROR(INDEX(DC$296:DC$344,_xlfn.AGGREGATE(15,6,(ROW(DC$296:DC$344)-ROW(DC$296)+1)/(DC$296:DC$344&lt;&gt;""),ROWS(DI$1:DI2))),"")</f>
        <v>-1</v>
      </c>
      <c r="DJ297" s="165">
        <f>IFERROR(INDEX(DD$296:DD$344,_xlfn.AGGREGATE(15,6,(ROW(DD$296:DD$344)-ROW(DD$296)+1)/(DD$296:DD$344&lt;&gt;""),ROWS(DJ$1:DJ2))),"")</f>
        <v>241.37203196347025</v>
      </c>
      <c r="DK297" s="166">
        <f t="shared" si="155"/>
        <v>297</v>
      </c>
      <c r="DL297" s="164">
        <f>IFERROR(INDEX(DE$296:DE$344,_xlfn.AGGREGATE(15,6,(ROW(DE$296:DE$344)-ROW(DE$296)+1)/(DE$296:DE$344&lt;&gt;""),ROWS(DL$1:DL2))),"")</f>
        <v>-1</v>
      </c>
      <c r="DM297" s="165">
        <f>IFERROR(INDEX(DF$296:DF$344,_xlfn.AGGREGATE(15,6,(ROW(DF$296:DF$344)-ROW(DF$296)+1)/(DF$296:DF$344&lt;&gt;""),ROWS(DM$1:DM2))),"")</f>
        <v>241.37203196347025</v>
      </c>
      <c r="DN297" s="166">
        <f t="shared" si="156"/>
        <v>297</v>
      </c>
      <c r="DO297" s="164">
        <f>IFERROR(INDEX(DG$296:DG$344,_xlfn.AGGREGATE(15,6,(ROW(DG$296:DG$344)-ROW(DG$296)+1)/(DG$296:DG$344&lt;&gt;""),ROWS(DO$1:DO2))),"")</f>
        <v>-1</v>
      </c>
      <c r="DP297" s="165">
        <f>IFERROR(INDEX(DH$296:DH$344,_xlfn.AGGREGATE(15,6,(ROW(DH$296:DH$344)-ROW(DH$296)+1)/(DH$296:DH$344&lt;&gt;""),ROWS(DP$1:DP2))),"")</f>
        <v>241.37203196347025</v>
      </c>
      <c r="DQ297" s="166">
        <f t="shared" si="157"/>
        <v>297</v>
      </c>
      <c r="DV297" s="145">
        <v>2016</v>
      </c>
      <c r="DW297" s="235">
        <f t="shared" ca="1" si="142"/>
        <v>281.20763434218918</v>
      </c>
      <c r="EA297" s="33"/>
      <c r="EB297" s="33"/>
      <c r="EC297" s="33"/>
      <c r="ED297" s="33"/>
      <c r="EE297" s="33"/>
    </row>
    <row r="298" spans="1:135" ht="13.8" x14ac:dyDescent="0.45">
      <c r="A298" s="948" t="s">
        <v>1055</v>
      </c>
      <c r="B298" s="128">
        <v>2014</v>
      </c>
      <c r="C298" s="1067">
        <v>255.31210045662093</v>
      </c>
      <c r="D298" s="1067">
        <v>255.31210045662093</v>
      </c>
      <c r="E298" s="1068"/>
      <c r="F298" s="1053"/>
      <c r="G298" s="1054"/>
      <c r="H298" s="1034"/>
      <c r="I298" s="1143">
        <v>255.31210045662093</v>
      </c>
      <c r="J298" s="168"/>
      <c r="K298" s="169"/>
      <c r="L298" s="170"/>
      <c r="M298" s="169"/>
      <c r="N298" s="29" t="s">
        <v>119</v>
      </c>
      <c r="O298" s="120"/>
      <c r="P298" s="120"/>
      <c r="Q298" s="120"/>
      <c r="R298" s="29">
        <v>0</v>
      </c>
      <c r="S298" s="238">
        <f t="shared" si="143"/>
        <v>255.31210045662093</v>
      </c>
      <c r="T298" s="238">
        <f t="shared" si="144"/>
        <v>255.31210045662093</v>
      </c>
      <c r="U298" s="238">
        <f t="shared" si="145"/>
        <v>0</v>
      </c>
      <c r="V298" s="29"/>
      <c r="W298" s="238">
        <f t="shared" si="158"/>
        <v>255.31210045662093</v>
      </c>
      <c r="X298" s="238">
        <f t="shared" si="146"/>
        <v>255.31210045662093</v>
      </c>
      <c r="Y298" s="238">
        <f t="shared" si="147"/>
        <v>255.31210045662093</v>
      </c>
      <c r="AA298" s="1133">
        <v>255.31210045662093</v>
      </c>
      <c r="AB298" s="1133">
        <v>255.31210045662093</v>
      </c>
      <c r="AC298" s="1133">
        <v>255.31210045662093</v>
      </c>
      <c r="AD298" s="138"/>
      <c r="AE298" s="138"/>
      <c r="AF298" s="138"/>
      <c r="AG298" s="138"/>
      <c r="AH298" s="138"/>
      <c r="AI298" s="138"/>
      <c r="AJ298" s="138"/>
      <c r="AK298" s="138"/>
      <c r="AL298" s="138"/>
      <c r="AM298" s="138"/>
      <c r="AN298" s="138"/>
      <c r="BS298" s="160" t="s">
        <v>91</v>
      </c>
      <c r="BT298" s="172">
        <f>SLOPE((DF296:DF344),($B$46:$B$94))</f>
        <v>13.374641957356882</v>
      </c>
      <c r="BU298" s="173">
        <f>INTERCEPT(DM296:DM344,DL296:DL344)</f>
        <v>241.48820204092624</v>
      </c>
      <c r="BZ298" s="160" t="s">
        <v>91</v>
      </c>
      <c r="CA298" s="172">
        <f ca="1">INDEX(LINEST((INDIRECT(DL293):INDIRECT(DM293)),(INDIRECT(DL294):INDIRECT(DM294))^{1,2}),1)</f>
        <v>7.2301513092879341E-2</v>
      </c>
      <c r="CB298" s="174">
        <f ca="1">INDEX(LINEST((INDIRECT(DL293):INDIRECT(DM293)),(INDIRECT(DL294):INDIRECT(DM294))^{1,2}),1,2)</f>
        <v>10.193375381270183</v>
      </c>
      <c r="CC298" s="173">
        <f ca="1">INDEX(LINEST((INDIRECT(DL293):INDIRECT(DM293)),(INDIRECT(DL294):INDIRECT(DM294))^{1,2}),1,3)</f>
        <v>262.02183175930418</v>
      </c>
      <c r="CH298" s="160" t="s">
        <v>91</v>
      </c>
      <c r="CI298" s="172">
        <f ca="1">INDEX(LINEST((INDIRECT(DL293):INDIRECT(DM293)),(INDIRECT(DL294):INDIRECT(DM294))^{1,2,3}),1)</f>
        <v>1.8534256617247884E-3</v>
      </c>
      <c r="CJ298" s="174">
        <f ca="1">INDEX(LINEST((INDIRECT(DL293):INDIRECT(DM293)),(INDIRECT(DL294):INDIRECT(DM294))^{1,2,3}),1,2)</f>
        <v>-5.0024580580956955E-2</v>
      </c>
      <c r="CK298" s="174">
        <f ca="1">INDEX(LINEST((INDIRECT(DL293):INDIRECT(DM293)),(INDIRECT(DL294):INDIRECT(DM294))^{1,2,3}),1,3)</f>
        <v>12.217686889006012</v>
      </c>
      <c r="CL298" s="173">
        <f ca="1">INDEX(LINEST((INDIRECT(DL293):INDIRECT(DM293)),(INDIRECT(DL294):INDIRECT(DM294))^{1,2,3}),1,4)</f>
        <v>256.95753148120718</v>
      </c>
      <c r="CQ298" s="160" t="s">
        <v>91</v>
      </c>
      <c r="CR298" s="172">
        <f ca="1">EXP(INDEX(LINEST(LN(INDIRECT(DL293):INDIRECT(DM293)),(INDIRECT(DL294):INDIRECT(DM294))),1,2))</f>
        <v>279.17159696653414</v>
      </c>
      <c r="CS298" s="173">
        <f ca="1">INDEX(LINEST(LN(INDIRECT(DL293):INDIRECT(DM293)),(INDIRECT(DL294):INDIRECT(DM294))),1)</f>
        <v>2.6540193127977903E-2</v>
      </c>
      <c r="CZ298" s="164" t="b">
        <f t="shared" si="148"/>
        <v>1</v>
      </c>
      <c r="DA298" s="165" t="b">
        <f t="shared" si="148"/>
        <v>1</v>
      </c>
      <c r="DB298" s="166" t="b">
        <f t="shared" si="148"/>
        <v>1</v>
      </c>
      <c r="DC298" s="164">
        <f t="shared" si="149"/>
        <v>0</v>
      </c>
      <c r="DD298" s="166">
        <f t="shared" si="150"/>
        <v>255.31210045662093</v>
      </c>
      <c r="DE298" s="164">
        <f t="shared" si="151"/>
        <v>0</v>
      </c>
      <c r="DF298" s="166">
        <f t="shared" si="152"/>
        <v>255.31210045662093</v>
      </c>
      <c r="DG298" s="164">
        <f t="shared" si="153"/>
        <v>0</v>
      </c>
      <c r="DH298" s="166">
        <f t="shared" si="154"/>
        <v>255.31210045662093</v>
      </c>
      <c r="DI298" s="164">
        <f>IFERROR(INDEX(DC$296:DC$344,_xlfn.AGGREGATE(15,6,(ROW(DC$296:DC$344)-ROW(DC$296)+1)/(DC$296:DC$344&lt;&gt;""),ROWS(DI$1:DI3))),"")</f>
        <v>0</v>
      </c>
      <c r="DJ298" s="165">
        <f>IFERROR(INDEX(DD$296:DD$344,_xlfn.AGGREGATE(15,6,(ROW(DD$296:DD$344)-ROW(DD$296)+1)/(DD$296:DD$344&lt;&gt;""),ROWS(DJ$1:DJ3))),"")</f>
        <v>255.31210045662093</v>
      </c>
      <c r="DK298" s="166">
        <f t="shared" si="155"/>
        <v>298</v>
      </c>
      <c r="DL298" s="164">
        <f>IFERROR(INDEX(DE$296:DE$344,_xlfn.AGGREGATE(15,6,(ROW(DE$296:DE$344)-ROW(DE$296)+1)/(DE$296:DE$344&lt;&gt;""),ROWS(DL$1:DL3))),"")</f>
        <v>0</v>
      </c>
      <c r="DM298" s="165">
        <f>IFERROR(INDEX(DF$296:DF$344,_xlfn.AGGREGATE(15,6,(ROW(DF$296:DF$344)-ROW(DF$296)+1)/(DF$296:DF$344&lt;&gt;""),ROWS(DM$1:DM3))),"")</f>
        <v>255.31210045662093</v>
      </c>
      <c r="DN298" s="166">
        <f t="shared" si="156"/>
        <v>298</v>
      </c>
      <c r="DO298" s="164">
        <f>IFERROR(INDEX(DG$296:DG$344,_xlfn.AGGREGATE(15,6,(ROW(DG$296:DG$344)-ROW(DG$296)+1)/(DG$296:DG$344&lt;&gt;""),ROWS(DO$1:DO3))),"")</f>
        <v>0</v>
      </c>
      <c r="DP298" s="165">
        <f>IFERROR(INDEX(DH$296:DH$344,_xlfn.AGGREGATE(15,6,(ROW(DH$296:DH$344)-ROW(DH$296)+1)/(DH$296:DH$344&lt;&gt;""),ROWS(DP$1:DP3))),"")</f>
        <v>255.31210045662093</v>
      </c>
      <c r="DQ298" s="166">
        <f t="shared" si="157"/>
        <v>298</v>
      </c>
      <c r="DV298" s="145">
        <v>2017</v>
      </c>
      <c r="DW298" s="235">
        <f t="shared" ca="1" si="142"/>
        <v>293.21041341586317</v>
      </c>
      <c r="DZ298" s="65" t="s">
        <v>89</v>
      </c>
      <c r="EA298" s="33"/>
      <c r="EB298" s="33"/>
      <c r="EC298" s="33"/>
      <c r="ED298" s="33"/>
      <c r="EE298" s="33"/>
    </row>
    <row r="299" spans="1:135" ht="14.1" thickBot="1" x14ac:dyDescent="0.5">
      <c r="A299" s="949" t="s">
        <v>80</v>
      </c>
      <c r="B299" s="128">
        <v>2015</v>
      </c>
      <c r="C299" s="1067">
        <v>269.2521689497716</v>
      </c>
      <c r="D299" s="1067">
        <v>269.2521689497716</v>
      </c>
      <c r="E299" s="1069"/>
      <c r="F299" s="1075"/>
      <c r="G299" s="1052"/>
      <c r="H299" s="1064"/>
      <c r="I299" s="1143">
        <v>269.2521689497716</v>
      </c>
      <c r="J299" s="159"/>
      <c r="K299" s="151"/>
      <c r="L299" s="152"/>
      <c r="M299" s="151"/>
      <c r="N299" s="29" t="s">
        <v>119</v>
      </c>
      <c r="O299" s="120"/>
      <c r="P299" s="120"/>
      <c r="Q299" s="120"/>
      <c r="R299" s="29">
        <v>1</v>
      </c>
      <c r="S299" s="238">
        <f t="shared" si="143"/>
        <v>269.2521689497716</v>
      </c>
      <c r="T299" s="238">
        <f t="shared" si="144"/>
        <v>269.2521689497716</v>
      </c>
      <c r="U299" s="238">
        <f t="shared" si="145"/>
        <v>0</v>
      </c>
      <c r="V299" s="29"/>
      <c r="W299" s="238">
        <f t="shared" si="158"/>
        <v>269.2521689497716</v>
      </c>
      <c r="X299" s="238">
        <f t="shared" si="146"/>
        <v>269.2521689497716</v>
      </c>
      <c r="Y299" s="238">
        <f t="shared" si="147"/>
        <v>269.2521689497716</v>
      </c>
      <c r="AA299" s="1133">
        <v>269.2521689497716</v>
      </c>
      <c r="AB299" s="1133">
        <v>269.2521689497716</v>
      </c>
      <c r="AC299" s="1133">
        <v>269.2521689497716</v>
      </c>
      <c r="AD299" s="138"/>
      <c r="AE299" s="138"/>
      <c r="AF299" s="138"/>
      <c r="AG299" s="138"/>
      <c r="AH299" s="138"/>
      <c r="AI299" s="138"/>
      <c r="AJ299" s="138"/>
      <c r="AK299" s="138"/>
      <c r="AL299" s="138"/>
      <c r="AM299" s="138"/>
      <c r="AN299" s="138"/>
      <c r="BR299" s="29"/>
      <c r="BS299" s="160" t="s">
        <v>15</v>
      </c>
      <c r="BT299" s="177">
        <f>SLOPE((DD296:DD344),($B$46:$B$94))</f>
        <v>10.381888742847634</v>
      </c>
      <c r="BU299" s="178">
        <f>INTERCEPT(DJ296:DJ344,DI296:DI344)</f>
        <v>246.8213323849273</v>
      </c>
      <c r="BV299" s="691" t="s">
        <v>71</v>
      </c>
      <c r="BY299" s="29"/>
      <c r="BZ299" s="160" t="s">
        <v>15</v>
      </c>
      <c r="CA299" s="177">
        <f ca="1">INDEX(LINEST((INDIRECT(DI293):INDIRECT(DJ293)),(INDIRECT(DI294):INDIRECT(DJ294))^{1,2}),1)</f>
        <v>1.0179966347352559E-2</v>
      </c>
      <c r="CB299" s="179">
        <f ca="1">INDEX(LINEST((INDIRECT(DI293):INDIRECT(DJ293)),(INDIRECT(DI294):INDIRECT(DJ294))^{1,2}),1,2)</f>
        <v>9.9339702235641205</v>
      </c>
      <c r="CC299" s="178">
        <f ca="1">INDEX(LINEST((INDIRECT(DI293):INDIRECT(DJ293)),(INDIRECT(DI294):INDIRECT(DJ294))^{1,2}),1,3)</f>
        <v>249.71244282757544</v>
      </c>
      <c r="CD299" s="691" t="s">
        <v>71</v>
      </c>
      <c r="CG299" s="29"/>
      <c r="CH299" s="160" t="s">
        <v>15</v>
      </c>
      <c r="CI299" s="177">
        <f ca="1">INDEX(LINEST((INDIRECT(DI293):INDIRECT(DJ293)),(INDIRECT(DI294):INDIRECT(DJ294))^{1,2,3}),1)</f>
        <v>-5.4298510331871801E-4</v>
      </c>
      <c r="CJ299" s="179">
        <f ca="1">INDEX(LINEST((INDIRECT(DI293):INDIRECT(DJ293)),(INDIRECT(DI294):INDIRECT(DJ294))^{1,2,3}),1,2)</f>
        <v>4.6016983166387679E-2</v>
      </c>
      <c r="CK299" s="179">
        <f ca="1">INDEX(LINEST((INDIRECT(DI293):INDIRECT(DJ293)),(INDIRECT(DI294):INDIRECT(DJ294))^{1,2,3}),1,3)</f>
        <v>9.3409218937194307</v>
      </c>
      <c r="CL299" s="178">
        <f ca="1">INDEX(LINEST((INDIRECT(DI293):INDIRECT(DJ293)),(INDIRECT(DI294):INDIRECT(DJ294))^{1,2,3}),1,4)</f>
        <v>251.19609532388336</v>
      </c>
      <c r="CM299" s="691" t="s">
        <v>71</v>
      </c>
      <c r="CP299" s="29"/>
      <c r="CQ299" s="160" t="s">
        <v>15</v>
      </c>
      <c r="CR299" s="177">
        <f ca="1">EXP(INDEX(LINEST(LN(INDIRECT(DI293):INDIRECT(DJ293)),(INDIRECT(DI294):INDIRECT(DJ294))),1,2))</f>
        <v>270.85154935568897</v>
      </c>
      <c r="CS299" s="178">
        <f ca="1">INDEX(LINEST(LN(INDIRECT(DI293):INDIRECT(DJ293)),(INDIRECT(DI294):INDIRECT(DJ294))),1)</f>
        <v>2.3181544605660336E-2</v>
      </c>
      <c r="CT299" s="691" t="s">
        <v>71</v>
      </c>
      <c r="CZ299" s="164" t="b">
        <f t="shared" si="148"/>
        <v>1</v>
      </c>
      <c r="DA299" s="165" t="b">
        <f t="shared" si="148"/>
        <v>1</v>
      </c>
      <c r="DB299" s="166" t="b">
        <f t="shared" si="148"/>
        <v>1</v>
      </c>
      <c r="DC299" s="164">
        <f t="shared" si="149"/>
        <v>1</v>
      </c>
      <c r="DD299" s="166">
        <f t="shared" si="150"/>
        <v>269.2521689497716</v>
      </c>
      <c r="DE299" s="164">
        <f t="shared" si="151"/>
        <v>1</v>
      </c>
      <c r="DF299" s="166">
        <f t="shared" si="152"/>
        <v>269.2521689497716</v>
      </c>
      <c r="DG299" s="164">
        <f t="shared" si="153"/>
        <v>1</v>
      </c>
      <c r="DH299" s="166">
        <f t="shared" si="154"/>
        <v>269.2521689497716</v>
      </c>
      <c r="DI299" s="164">
        <f>IFERROR(INDEX(DC$296:DC$344,_xlfn.AGGREGATE(15,6,(ROW(DC$296:DC$344)-ROW(DC$296)+1)/(DC$296:DC$344&lt;&gt;""),ROWS(DI$1:DI4))),"")</f>
        <v>1</v>
      </c>
      <c r="DJ299" s="165">
        <f>IFERROR(INDEX(DD$296:DD$344,_xlfn.AGGREGATE(15,6,(ROW(DD$296:DD$344)-ROW(DD$296)+1)/(DD$296:DD$344&lt;&gt;""),ROWS(DJ$1:DJ4))),"")</f>
        <v>269.2521689497716</v>
      </c>
      <c r="DK299" s="166">
        <f t="shared" si="155"/>
        <v>299</v>
      </c>
      <c r="DL299" s="164">
        <f>IFERROR(INDEX(DE$296:DE$344,_xlfn.AGGREGATE(15,6,(ROW(DE$296:DE$344)-ROW(DE$296)+1)/(DE$296:DE$344&lt;&gt;""),ROWS(DL$1:DL4))),"")</f>
        <v>1</v>
      </c>
      <c r="DM299" s="165">
        <f>IFERROR(INDEX(DF$296:DF$344,_xlfn.AGGREGATE(15,6,(ROW(DF$296:DF$344)-ROW(DF$296)+1)/(DF$296:DF$344&lt;&gt;""),ROWS(DM$1:DM4))),"")</f>
        <v>269.2521689497716</v>
      </c>
      <c r="DN299" s="166">
        <f t="shared" si="156"/>
        <v>299</v>
      </c>
      <c r="DO299" s="164">
        <f>IFERROR(INDEX(DG$296:DG$344,_xlfn.AGGREGATE(15,6,(ROW(DG$296:DG$344)-ROW(DG$296)+1)/(DG$296:DG$344&lt;&gt;""),ROWS(DO$1:DO4))),"")</f>
        <v>1</v>
      </c>
      <c r="DP299" s="165">
        <f>IFERROR(INDEX(DH$296:DH$344,_xlfn.AGGREGATE(15,6,(ROW(DH$296:DH$344)-ROW(DH$296)+1)/(DH$296:DH$344&lt;&gt;""),ROWS(DP$1:DP4))),"")</f>
        <v>269.2521689497716</v>
      </c>
      <c r="DQ299" s="166">
        <f t="shared" si="157"/>
        <v>299</v>
      </c>
      <c r="DV299" s="145">
        <v>2018</v>
      </c>
      <c r="DW299" s="235">
        <f t="shared" ca="1" si="142"/>
        <v>305.1465049902863</v>
      </c>
      <c r="EA299" s="33" t="s">
        <v>85</v>
      </c>
      <c r="EB299" s="33" t="s">
        <v>84</v>
      </c>
      <c r="EC299" s="33" t="s">
        <v>82</v>
      </c>
      <c r="ED299" s="33" t="s">
        <v>83</v>
      </c>
      <c r="EE299" s="33"/>
    </row>
    <row r="300" spans="1:135" ht="13.8" x14ac:dyDescent="0.45">
      <c r="A300" s="184" t="s">
        <v>88</v>
      </c>
      <c r="B300" s="128">
        <v>2016</v>
      </c>
      <c r="C300" s="1067">
        <v>302.39999999999998</v>
      </c>
      <c r="D300" s="1067">
        <v>302.39999999999998</v>
      </c>
      <c r="E300" s="1069"/>
      <c r="F300" s="1075"/>
      <c r="G300" s="1052"/>
      <c r="H300" s="1064"/>
      <c r="I300" s="1143">
        <v>302.39999999999998</v>
      </c>
      <c r="J300" s="159"/>
      <c r="K300" s="151"/>
      <c r="L300" s="152"/>
      <c r="M300" s="151"/>
      <c r="N300" s="29" t="s">
        <v>119</v>
      </c>
      <c r="O300" s="120"/>
      <c r="P300" s="120"/>
      <c r="Q300" s="120"/>
      <c r="R300" s="29">
        <v>2</v>
      </c>
      <c r="S300" s="238">
        <f t="shared" si="143"/>
        <v>302.39999999999998</v>
      </c>
      <c r="T300" s="238">
        <f t="shared" si="144"/>
        <v>302.39999999999998</v>
      </c>
      <c r="U300" s="238">
        <f t="shared" si="145"/>
        <v>0</v>
      </c>
      <c r="V300" s="29"/>
      <c r="W300" s="238">
        <f t="shared" si="158"/>
        <v>302.39999999999998</v>
      </c>
      <c r="X300" s="238">
        <f t="shared" si="146"/>
        <v>302.39999999999998</v>
      </c>
      <c r="Y300" s="238">
        <f t="shared" si="147"/>
        <v>302.39999999999998</v>
      </c>
      <c r="AA300" s="1133">
        <v>302.39999999999998</v>
      </c>
      <c r="AB300" s="1133">
        <v>302.39999999999998</v>
      </c>
      <c r="AC300" s="1133">
        <v>302.39999999999998</v>
      </c>
      <c r="AD300" s="138"/>
      <c r="AE300" s="138"/>
      <c r="AF300" s="138"/>
      <c r="AG300" s="138"/>
      <c r="AH300" s="138"/>
      <c r="AI300" s="138"/>
      <c r="AJ300" s="138"/>
      <c r="AK300" s="138"/>
      <c r="AL300" s="138"/>
      <c r="AM300" s="138"/>
      <c r="AN300" s="138"/>
      <c r="BR300" s="180">
        <v>2014</v>
      </c>
      <c r="BS300" s="22">
        <v>0</v>
      </c>
      <c r="BT300" s="181">
        <f t="shared" ref="BT300:BT346" si="159">IF($BS$296="High",BS300*$BT$297,IF($BS$296="Medium",$BT$298*BS300,IF($BS$296="Low",$BT$299*BS300)))</f>
        <v>0</v>
      </c>
      <c r="BU300" s="182">
        <f t="shared" ref="BU300:BU346" si="160">IF($BS$296="High",$BU$297,IF($BS$296="Medium",$BU$298,IF($BS$296="Low",BU299)))</f>
        <v>241.48820204092624</v>
      </c>
      <c r="BV300" s="241">
        <f t="shared" ref="BV300:BV346" si="161">BT300+BU300</f>
        <v>241.48820204092624</v>
      </c>
      <c r="BY300" s="180">
        <v>2014</v>
      </c>
      <c r="BZ300" s="22">
        <v>0</v>
      </c>
      <c r="CA300" s="181">
        <f t="shared" ref="CA300:CA346" ca="1" si="162">IF($BZ$296="High",BZ300^2*$CA$297,IF($BZ$296="Medium",BZ300^2*$CA$298,IF($BZ$296="Low",BZ300^2*$CA$299)))</f>
        <v>0</v>
      </c>
      <c r="CB300" s="181">
        <f t="shared" ref="CB300:CB346" ca="1" si="163">IF($BZ$296="High",BZ300*$CB$297,IF($BZ$296="Medium",BZ300*$CB$298,IF($BZ$296="Low",BZ300*$CB$299)))</f>
        <v>0</v>
      </c>
      <c r="CC300" s="182">
        <f ca="1">IF($BZ$296="High",$CC$297,IF($BZ$296="Medium",$CC$298,IF($BZ$296="Low",$CC$299)))</f>
        <v>262.02183175930418</v>
      </c>
      <c r="CD300" s="241">
        <f t="shared" ref="CD300:CD346" ca="1" si="164">CA300+CB300+CC300</f>
        <v>262.02183175930418</v>
      </c>
      <c r="CG300" s="180">
        <v>2014</v>
      </c>
      <c r="CH300" s="22">
        <v>0</v>
      </c>
      <c r="CI300" s="181">
        <f t="shared" ref="CI300:CI346" ca="1" si="165">IF($CH$296="High",CH300^3*$CI$297,IF($CH$296="Medium",CH300^3*$CI$298,IF($CH$296="Low",CH300^3*$CI$299)))</f>
        <v>0</v>
      </c>
      <c r="CJ300" s="181">
        <f t="shared" ref="CJ300:CJ346" ca="1" si="166">IF($CH$296="High",CH300^2*$CJ$297,IF($CH$296="Medium",CH300^2*$CJ$298,IF($CH$296="Low",CH300^2*$CJ$299)))</f>
        <v>0</v>
      </c>
      <c r="CK300" s="181">
        <f t="shared" ref="CK300:CK346" ca="1" si="167">IF($CH$296="High",CH300*$CK$297,IF($CH$296="Medium",CH300*$CK$298,IF($CH$296="Low",CH300*$CK$299)))</f>
        <v>0</v>
      </c>
      <c r="CL300" s="182">
        <f t="shared" ref="CL300:CL346" ca="1" si="168">IF($CH$296="High",$CL$297,IF($CH$296="Medium",$CL$298,IF($CH$296="Low",$CL$299)))</f>
        <v>256.95753148120718</v>
      </c>
      <c r="CM300" s="241">
        <f t="shared" ref="CM300:CM346" ca="1" si="169">CI300+CJ300+CK300+CL300</f>
        <v>256.95753148120718</v>
      </c>
      <c r="CP300" s="180">
        <v>2014</v>
      </c>
      <c r="CQ300" s="22">
        <v>0</v>
      </c>
      <c r="CR300" s="181">
        <f t="shared" ref="CR300:CR346" ca="1" si="170">IF($CQ$296="High",$CR$297,IF($CQ$296="Medium",$CR$298,IF($CQ$296="Low",$CR$299)))</f>
        <v>279.17159696653414</v>
      </c>
      <c r="CS300" s="182">
        <f t="shared" ref="CS300:CS346" ca="1" si="171">IF($CQ$296="High",EXP(1)^($CS$297*CQ300),IF($CQ$296="Medium",EXP(1)^($CS$298*CQ300),IF($CQ$296="Low",EXP(1)^($CS$299*CQ300))))</f>
        <v>1</v>
      </c>
      <c r="CT300" s="241">
        <f t="shared" ref="CT300:CT346" ca="1" si="172">(CR300*CS300)</f>
        <v>279.17159696653414</v>
      </c>
      <c r="CZ300" s="164" t="b">
        <f t="shared" si="148"/>
        <v>1</v>
      </c>
      <c r="DA300" s="165" t="b">
        <f t="shared" si="148"/>
        <v>1</v>
      </c>
      <c r="DB300" s="166" t="b">
        <f t="shared" si="148"/>
        <v>1</v>
      </c>
      <c r="DC300" s="164">
        <f t="shared" si="149"/>
        <v>2</v>
      </c>
      <c r="DD300" s="166">
        <f t="shared" si="150"/>
        <v>302.39999999999998</v>
      </c>
      <c r="DE300" s="164">
        <f t="shared" si="151"/>
        <v>2</v>
      </c>
      <c r="DF300" s="166">
        <f t="shared" si="152"/>
        <v>302.39999999999998</v>
      </c>
      <c r="DG300" s="164">
        <f t="shared" si="153"/>
        <v>2</v>
      </c>
      <c r="DH300" s="166">
        <f t="shared" si="154"/>
        <v>302.39999999999998</v>
      </c>
      <c r="DI300" s="164">
        <f>IFERROR(INDEX(DC$296:DC$344,_xlfn.AGGREGATE(15,6,(ROW(DC$296:DC$344)-ROW(DC$296)+1)/(DC$296:DC$344&lt;&gt;""),ROWS(DI$1:DI5))),"")</f>
        <v>2</v>
      </c>
      <c r="DJ300" s="165">
        <f>IFERROR(INDEX(DD$296:DD$344,_xlfn.AGGREGATE(15,6,(ROW(DD$296:DD$344)-ROW(DD$296)+1)/(DD$296:DD$344&lt;&gt;""),ROWS(DJ$1:DJ5))),"")</f>
        <v>302.39999999999998</v>
      </c>
      <c r="DK300" s="166">
        <f t="shared" si="155"/>
        <v>300</v>
      </c>
      <c r="DL300" s="164">
        <f>IFERROR(INDEX(DE$296:DE$344,_xlfn.AGGREGATE(15,6,(ROW(DE$296:DE$344)-ROW(DE$296)+1)/(DE$296:DE$344&lt;&gt;""),ROWS(DL$1:DL5))),"")</f>
        <v>2</v>
      </c>
      <c r="DM300" s="165">
        <f>IFERROR(INDEX(DF$296:DF$344,_xlfn.AGGREGATE(15,6,(ROW(DF$296:DF$344)-ROW(DF$296)+1)/(DF$296:DF$344&lt;&gt;""),ROWS(DM$1:DM5))),"")</f>
        <v>302.39999999999998</v>
      </c>
      <c r="DN300" s="166">
        <f t="shared" si="156"/>
        <v>300</v>
      </c>
      <c r="DO300" s="164">
        <f>IFERROR(INDEX(DG$296:DG$344,_xlfn.AGGREGATE(15,6,(ROW(DG$296:DG$344)-ROW(DG$296)+1)/(DG$296:DG$344&lt;&gt;""),ROWS(DO$1:DO5))),"")</f>
        <v>2</v>
      </c>
      <c r="DP300" s="165">
        <f>IFERROR(INDEX(DH$296:DH$344,_xlfn.AGGREGATE(15,6,(ROW(DH$296:DH$344)-ROW(DH$296)+1)/(DH$296:DH$344&lt;&gt;""),ROWS(DP$1:DP5))),"")</f>
        <v>302.39999999999998</v>
      </c>
      <c r="DQ300" s="166">
        <f t="shared" si="157"/>
        <v>300</v>
      </c>
      <c r="DV300" s="145">
        <v>2019</v>
      </c>
      <c r="DW300" s="235">
        <f t="shared" ca="1" si="142"/>
        <v>317.0270296194289</v>
      </c>
      <c r="DZ300" s="135" t="s">
        <v>92</v>
      </c>
      <c r="EA300" s="33">
        <f ca="1">IF($EA$294="Linear",0,IF($EA$294="2nd Poly",0,IF($EA$294="3rd Poly",CI297,IF($EA$294="Exp",0))))</f>
        <v>4.2498364267682855E-3</v>
      </c>
      <c r="EB300" s="33">
        <f ca="1">IF($EA$294="Linear",0,IF($EA$294="2nd Poly",CA297,IF($EA$294="3rd Poly",CJ297,IF($EA$294="Exp",0))))</f>
        <v>-0.14606614432830092</v>
      </c>
      <c r="EC300" s="33">
        <f t="shared" ref="EC300:ED302" ca="1" si="173">IF($EA$294="Linear",BT297,IF($EA$294="2nd Poly",CB297,IF($EA$294="3rd Poly",CK297,IF($EA$294="Exp",0))))</f>
        <v>15.09445188429258</v>
      </c>
      <c r="ED300" s="33">
        <f t="shared" ca="1" si="173"/>
        <v>262.7189676385309</v>
      </c>
      <c r="EE300" s="33" t="str">
        <f>IF($EA$294="Linear","High",IF($EA$294="2nd Poly","High",IF($EA$294="3rd Poly","High","N/A")))</f>
        <v>High</v>
      </c>
    </row>
    <row r="301" spans="1:135" ht="13.8" x14ac:dyDescent="0.45">
      <c r="A301" s="184" t="s">
        <v>90</v>
      </c>
      <c r="B301" s="128">
        <v>2017</v>
      </c>
      <c r="C301" s="1070">
        <v>306.73618721461185</v>
      </c>
      <c r="D301" s="1050">
        <v>244.94271401559939</v>
      </c>
      <c r="E301" s="1069">
        <v>308.6061212144823</v>
      </c>
      <c r="F301" s="1075"/>
      <c r="G301" s="1052"/>
      <c r="H301" s="1034"/>
      <c r="I301" s="931">
        <v>309.65882352941179</v>
      </c>
      <c r="J301" s="168"/>
      <c r="K301" s="169"/>
      <c r="L301" s="170"/>
      <c r="M301" s="169"/>
      <c r="N301" s="29" t="s">
        <v>119</v>
      </c>
      <c r="O301" s="120"/>
      <c r="P301" s="120"/>
      <c r="Q301" s="120"/>
      <c r="R301" s="29">
        <v>3</v>
      </c>
      <c r="S301" s="238">
        <f t="shared" si="143"/>
        <v>244.94271401559939</v>
      </c>
      <c r="T301" s="238">
        <f t="shared" si="144"/>
        <v>309.65882352941179</v>
      </c>
      <c r="U301" s="238">
        <f t="shared" si="145"/>
        <v>27.469055561585932</v>
      </c>
      <c r="V301" s="29"/>
      <c r="W301" s="238">
        <f t="shared" si="158"/>
        <v>265.01690593194041</v>
      </c>
      <c r="X301" s="238">
        <f t="shared" si="146"/>
        <v>292.48596149352636</v>
      </c>
      <c r="Y301" s="238">
        <f t="shared" si="147"/>
        <v>319.95501705511231</v>
      </c>
      <c r="AA301" s="1133">
        <v>257.18135148578193</v>
      </c>
      <c r="AB301" s="1133">
        <v>286.76167414823118</v>
      </c>
      <c r="AC301" s="1133">
        <v>316.34199681068043</v>
      </c>
      <c r="AD301" s="138"/>
      <c r="AE301" s="138"/>
      <c r="AF301" s="138"/>
      <c r="AG301" s="138"/>
      <c r="AH301" s="138"/>
      <c r="AI301" s="138"/>
      <c r="AJ301" s="138"/>
      <c r="AK301" s="138"/>
      <c r="AL301" s="138"/>
      <c r="AM301" s="138"/>
      <c r="AN301" s="138"/>
      <c r="BR301" s="180">
        <v>2015</v>
      </c>
      <c r="BS301" s="22">
        <v>1</v>
      </c>
      <c r="BT301" s="198">
        <f t="shared" si="159"/>
        <v>13.374641957356882</v>
      </c>
      <c r="BU301" s="276">
        <f t="shared" si="160"/>
        <v>241.48820204092624</v>
      </c>
      <c r="BV301" s="241">
        <f t="shared" si="161"/>
        <v>254.86284399828313</v>
      </c>
      <c r="BY301" s="180">
        <v>2015</v>
      </c>
      <c r="BZ301" s="22">
        <v>1</v>
      </c>
      <c r="CA301" s="198">
        <f t="shared" ca="1" si="162"/>
        <v>7.2301513092879341E-2</v>
      </c>
      <c r="CB301" s="198">
        <f t="shared" ca="1" si="163"/>
        <v>10.193375381270183</v>
      </c>
      <c r="CC301" s="276">
        <f t="shared" ref="CC301:CC346" ca="1" si="174">CC300</f>
        <v>262.02183175930418</v>
      </c>
      <c r="CD301" s="241">
        <f t="shared" ca="1" si="164"/>
        <v>272.28750865366726</v>
      </c>
      <c r="CG301" s="180">
        <v>2015</v>
      </c>
      <c r="CH301" s="22">
        <v>1</v>
      </c>
      <c r="CI301" s="198">
        <f t="shared" ca="1" si="165"/>
        <v>1.8534256617247884E-3</v>
      </c>
      <c r="CJ301" s="198">
        <f t="shared" ca="1" si="166"/>
        <v>-5.0024580580956955E-2</v>
      </c>
      <c r="CK301" s="198">
        <f t="shared" ca="1" si="167"/>
        <v>12.217686889006012</v>
      </c>
      <c r="CL301" s="276">
        <f t="shared" ca="1" si="168"/>
        <v>256.95753148120718</v>
      </c>
      <c r="CM301" s="241">
        <f t="shared" ca="1" si="169"/>
        <v>269.12704721529394</v>
      </c>
      <c r="CP301" s="180">
        <v>2015</v>
      </c>
      <c r="CQ301" s="22">
        <v>1</v>
      </c>
      <c r="CR301" s="198">
        <f t="shared" ca="1" si="170"/>
        <v>279.17159696653414</v>
      </c>
      <c r="CS301" s="276">
        <f t="shared" ca="1" si="171"/>
        <v>1.0268955205753032</v>
      </c>
      <c r="CT301" s="241">
        <f t="shared" ca="1" si="172"/>
        <v>286.68006239678783</v>
      </c>
      <c r="CZ301" s="164" t="b">
        <f t="shared" si="148"/>
        <v>1</v>
      </c>
      <c r="DA301" s="165" t="b">
        <f t="shared" si="148"/>
        <v>1</v>
      </c>
      <c r="DB301" s="166" t="b">
        <f t="shared" si="148"/>
        <v>1</v>
      </c>
      <c r="DC301" s="164">
        <f t="shared" si="149"/>
        <v>3</v>
      </c>
      <c r="DD301" s="166">
        <f t="shared" si="150"/>
        <v>265.01690593194041</v>
      </c>
      <c r="DE301" s="164">
        <f t="shared" si="151"/>
        <v>3</v>
      </c>
      <c r="DF301" s="166">
        <f t="shared" si="152"/>
        <v>292.48596149352636</v>
      </c>
      <c r="DG301" s="164">
        <f t="shared" si="153"/>
        <v>3</v>
      </c>
      <c r="DH301" s="166">
        <f t="shared" si="154"/>
        <v>319.95501705511231</v>
      </c>
      <c r="DI301" s="164">
        <f>IFERROR(INDEX(DC$296:DC$344,_xlfn.AGGREGATE(15,6,(ROW(DC$296:DC$344)-ROW(DC$296)+1)/(DC$296:DC$344&lt;&gt;""),ROWS(DI$1:DI6))),"")</f>
        <v>3</v>
      </c>
      <c r="DJ301" s="165">
        <f>IFERROR(INDEX(DD$296:DD$344,_xlfn.AGGREGATE(15,6,(ROW(DD$296:DD$344)-ROW(DD$296)+1)/(DD$296:DD$344&lt;&gt;""),ROWS(DJ$1:DJ6))),"")</f>
        <v>265.01690593194041</v>
      </c>
      <c r="DK301" s="166">
        <f t="shared" si="155"/>
        <v>301</v>
      </c>
      <c r="DL301" s="164">
        <f>IFERROR(INDEX(DE$296:DE$344,_xlfn.AGGREGATE(15,6,(ROW(DE$296:DE$344)-ROW(DE$296)+1)/(DE$296:DE$344&lt;&gt;""),ROWS(DL$1:DL6))),"")</f>
        <v>3</v>
      </c>
      <c r="DM301" s="165">
        <f>IFERROR(INDEX(DF$296:DF$344,_xlfn.AGGREGATE(15,6,(ROW(DF$296:DF$344)-ROW(DF$296)+1)/(DF$296:DF$344&lt;&gt;""),ROWS(DM$1:DM6))),"")</f>
        <v>292.48596149352636</v>
      </c>
      <c r="DN301" s="166">
        <f t="shared" si="156"/>
        <v>301</v>
      </c>
      <c r="DO301" s="164">
        <f>IFERROR(INDEX(DG$296:DG$344,_xlfn.AGGREGATE(15,6,(ROW(DG$296:DG$344)-ROW(DG$296)+1)/(DG$296:DG$344&lt;&gt;""),ROWS(DO$1:DO6))),"")</f>
        <v>3</v>
      </c>
      <c r="DP301" s="165">
        <f>IFERROR(INDEX(DH$296:DH$344,_xlfn.AGGREGATE(15,6,(ROW(DH$296:DH$344)-ROW(DH$296)+1)/(DH$296:DH$344&lt;&gt;""),ROWS(DP$1:DP6))),"")</f>
        <v>319.95501705511231</v>
      </c>
      <c r="DQ301" s="166">
        <f t="shared" si="157"/>
        <v>301</v>
      </c>
      <c r="DV301" s="145">
        <v>2020</v>
      </c>
      <c r="DW301" s="235">
        <f t="shared" ca="1" si="142"/>
        <v>328.86310785726135</v>
      </c>
      <c r="DZ301" s="135" t="s">
        <v>92</v>
      </c>
      <c r="EA301" s="33">
        <f ca="1">IF($EA$294="Linear",0,IF($EA$294="2nd Poly",0,IF($EA$294="3rd Poly",CI298,IF($EA$294="Exp",0))))</f>
        <v>1.8534256617247884E-3</v>
      </c>
      <c r="EB301" s="33">
        <f ca="1">IF($EA$294="Linear",0,IF($EA$294="2nd Poly",CA298,IF($EA$294="3rd Poly",CJ298,IF($EA$294="Exp",0))))</f>
        <v>-5.0024580580956955E-2</v>
      </c>
      <c r="EC301" s="33">
        <f t="shared" ca="1" si="173"/>
        <v>12.217686889006012</v>
      </c>
      <c r="ED301" s="33">
        <f t="shared" ca="1" si="173"/>
        <v>256.95753148120718</v>
      </c>
      <c r="EE301" s="33" t="str">
        <f>IF($EA$294="Linear","Medium",IF($EA$294="2nd Poly","Medium",IF($EA$294="3rd Poly","Medium","N/A")))</f>
        <v>Medium</v>
      </c>
    </row>
    <row r="302" spans="1:135" ht="13.8" x14ac:dyDescent="0.45">
      <c r="A302" s="948" t="s">
        <v>1039</v>
      </c>
      <c r="B302" s="128">
        <v>2018</v>
      </c>
      <c r="C302" s="1070">
        <v>311.07237442922366</v>
      </c>
      <c r="D302" s="1050">
        <v>258.04535055145624</v>
      </c>
      <c r="E302" s="1069">
        <v>323.90803484360248</v>
      </c>
      <c r="F302" s="1075"/>
      <c r="G302" s="1052"/>
      <c r="H302" s="1064"/>
      <c r="I302" s="1016">
        <v>316.91764705882355</v>
      </c>
      <c r="J302" s="159"/>
      <c r="K302" s="151"/>
      <c r="L302" s="152"/>
      <c r="M302" s="151"/>
      <c r="N302" s="29" t="s">
        <v>119</v>
      </c>
      <c r="O302" s="120"/>
      <c r="P302" s="120"/>
      <c r="Q302" s="120"/>
      <c r="R302" s="29">
        <v>4</v>
      </c>
      <c r="S302" s="238">
        <f t="shared" si="143"/>
        <v>258.04535055145624</v>
      </c>
      <c r="T302" s="238">
        <f t="shared" si="144"/>
        <v>323.90803484360248</v>
      </c>
      <c r="U302" s="238">
        <f t="shared" si="145"/>
        <v>26.057019989007767</v>
      </c>
      <c r="V302" s="20"/>
      <c r="W302" s="238">
        <f t="shared" si="158"/>
        <v>276.42883173176875</v>
      </c>
      <c r="X302" s="238">
        <f t="shared" si="146"/>
        <v>302.48585172077651</v>
      </c>
      <c r="Y302" s="238">
        <f t="shared" si="147"/>
        <v>328.54287170978427</v>
      </c>
      <c r="AA302" s="1133">
        <v>269.16694528144944</v>
      </c>
      <c r="AB302" s="1133">
        <v>297.67525327476079</v>
      </c>
      <c r="AC302" s="1133">
        <v>326.18356126807214</v>
      </c>
      <c r="AD302" s="138"/>
      <c r="AE302" s="138"/>
      <c r="AF302" s="138"/>
      <c r="AG302" s="138"/>
      <c r="AH302" s="138"/>
      <c r="AI302" s="138"/>
      <c r="AJ302" s="138"/>
      <c r="AK302" s="138"/>
      <c r="AL302" s="138"/>
      <c r="AM302" s="138"/>
      <c r="AN302" s="138"/>
      <c r="BR302" s="180">
        <v>2016</v>
      </c>
      <c r="BS302" s="22">
        <v>2</v>
      </c>
      <c r="BT302" s="198">
        <f t="shared" si="159"/>
        <v>26.749283914713764</v>
      </c>
      <c r="BU302" s="276">
        <f t="shared" si="160"/>
        <v>241.48820204092624</v>
      </c>
      <c r="BV302" s="241">
        <f t="shared" si="161"/>
        <v>268.23748595564001</v>
      </c>
      <c r="BY302" s="180">
        <v>2016</v>
      </c>
      <c r="BZ302" s="22">
        <v>2</v>
      </c>
      <c r="CA302" s="198">
        <f t="shared" ca="1" si="162"/>
        <v>0.28920605237151736</v>
      </c>
      <c r="CB302" s="198">
        <f t="shared" ca="1" si="163"/>
        <v>20.386750762540366</v>
      </c>
      <c r="CC302" s="276">
        <f t="shared" ca="1" si="174"/>
        <v>262.02183175930418</v>
      </c>
      <c r="CD302" s="241">
        <f t="shared" ca="1" si="164"/>
        <v>282.69778857421608</v>
      </c>
      <c r="CG302" s="180">
        <v>2016</v>
      </c>
      <c r="CH302" s="22">
        <v>2</v>
      </c>
      <c r="CI302" s="198">
        <f t="shared" ca="1" si="165"/>
        <v>1.4827405293798307E-2</v>
      </c>
      <c r="CJ302" s="198">
        <f t="shared" ca="1" si="166"/>
        <v>-0.20009832232382782</v>
      </c>
      <c r="CK302" s="198">
        <f t="shared" ca="1" si="167"/>
        <v>24.435373778012025</v>
      </c>
      <c r="CL302" s="276">
        <f t="shared" ca="1" si="168"/>
        <v>256.95753148120718</v>
      </c>
      <c r="CM302" s="241">
        <f t="shared" ca="1" si="169"/>
        <v>281.20763434218918</v>
      </c>
      <c r="CP302" s="180">
        <v>2016</v>
      </c>
      <c r="CQ302" s="22">
        <v>2</v>
      </c>
      <c r="CR302" s="198">
        <f t="shared" ca="1" si="170"/>
        <v>279.17159696653414</v>
      </c>
      <c r="CS302" s="276">
        <f t="shared" ca="1" si="171"/>
        <v>1.0545144101776232</v>
      </c>
      <c r="CT302" s="241">
        <f t="shared" ca="1" si="172"/>
        <v>294.39047191350988</v>
      </c>
      <c r="CZ302" s="164" t="b">
        <f t="shared" si="148"/>
        <v>1</v>
      </c>
      <c r="DA302" s="165" t="b">
        <f t="shared" si="148"/>
        <v>1</v>
      </c>
      <c r="DB302" s="166" t="b">
        <f t="shared" si="148"/>
        <v>1</v>
      </c>
      <c r="DC302" s="164">
        <f t="shared" si="149"/>
        <v>4</v>
      </c>
      <c r="DD302" s="166">
        <f t="shared" si="150"/>
        <v>276.42883173176875</v>
      </c>
      <c r="DE302" s="164">
        <f t="shared" si="151"/>
        <v>4</v>
      </c>
      <c r="DF302" s="166">
        <f t="shared" si="152"/>
        <v>302.48585172077651</v>
      </c>
      <c r="DG302" s="164">
        <f t="shared" si="153"/>
        <v>4</v>
      </c>
      <c r="DH302" s="166">
        <f t="shared" si="154"/>
        <v>328.54287170978427</v>
      </c>
      <c r="DI302" s="164">
        <f>IFERROR(INDEX(DC$296:DC$344,_xlfn.AGGREGATE(15,6,(ROW(DC$296:DC$344)-ROW(DC$296)+1)/(DC$296:DC$344&lt;&gt;""),ROWS(DI$1:DI7))),"")</f>
        <v>4</v>
      </c>
      <c r="DJ302" s="165">
        <f>IFERROR(INDEX(DD$296:DD$344,_xlfn.AGGREGATE(15,6,(ROW(DD$296:DD$344)-ROW(DD$296)+1)/(DD$296:DD$344&lt;&gt;""),ROWS(DJ$1:DJ7))),"")</f>
        <v>276.42883173176875</v>
      </c>
      <c r="DK302" s="166">
        <f t="shared" si="155"/>
        <v>302</v>
      </c>
      <c r="DL302" s="164">
        <f>IFERROR(INDEX(DE$296:DE$344,_xlfn.AGGREGATE(15,6,(ROW(DE$296:DE$344)-ROW(DE$296)+1)/(DE$296:DE$344&lt;&gt;""),ROWS(DL$1:DL7))),"")</f>
        <v>4</v>
      </c>
      <c r="DM302" s="165">
        <f>IFERROR(INDEX(DF$296:DF$344,_xlfn.AGGREGATE(15,6,(ROW(DF$296:DF$344)-ROW(DF$296)+1)/(DF$296:DF$344&lt;&gt;""),ROWS(DM$1:DM7))),"")</f>
        <v>302.48585172077651</v>
      </c>
      <c r="DN302" s="166">
        <f t="shared" si="156"/>
        <v>302</v>
      </c>
      <c r="DO302" s="164">
        <f>IFERROR(INDEX(DG$296:DG$344,_xlfn.AGGREGATE(15,6,(ROW(DG$296:DG$344)-ROW(DG$296)+1)/(DG$296:DG$344&lt;&gt;""),ROWS(DO$1:DO7))),"")</f>
        <v>4</v>
      </c>
      <c r="DP302" s="165">
        <f>IFERROR(INDEX(DH$296:DH$344,_xlfn.AGGREGATE(15,6,(ROW(DH$296:DH$344)-ROW(DH$296)+1)/(DH$296:DH$344&lt;&gt;""),ROWS(DP$1:DP7))),"")</f>
        <v>328.54287170978427</v>
      </c>
      <c r="DQ302" s="166">
        <f t="shared" si="157"/>
        <v>302</v>
      </c>
      <c r="DV302" s="145">
        <v>2021</v>
      </c>
      <c r="DW302" s="235">
        <f t="shared" ca="1" si="142"/>
        <v>340.66586025775399</v>
      </c>
      <c r="DZ302" s="135" t="s">
        <v>92</v>
      </c>
      <c r="EA302" s="33">
        <f ca="1">IF($EA$294="Linear",0,IF($EA$294="2nd Poly",0,IF($EA$294="3rd Poly",CI299,IF($EA$294="Exp",0))))</f>
        <v>-5.4298510331871801E-4</v>
      </c>
      <c r="EB302" s="33">
        <f ca="1">IF($EA$294="Linear",0,IF($EA$294="2nd Poly",CA299,IF($EA$294="3rd Poly",CJ299,IF($EA$294="Exp",0))))</f>
        <v>4.6016983166387679E-2</v>
      </c>
      <c r="EC302" s="33">
        <f t="shared" ca="1" si="173"/>
        <v>9.3409218937194307</v>
      </c>
      <c r="ED302" s="33">
        <f t="shared" ca="1" si="173"/>
        <v>251.19609532388336</v>
      </c>
      <c r="EE302" s="33" t="str">
        <f>IF($EA$294="Linear","Low",IF($EA$294="2nd Poly","Low",IF($EA$294="3rd Poly","Low","N/A")))</f>
        <v>Low</v>
      </c>
    </row>
    <row r="303" spans="1:135" ht="13.8" x14ac:dyDescent="0.45">
      <c r="A303" s="184" t="s">
        <v>88</v>
      </c>
      <c r="B303" s="128">
        <v>2019</v>
      </c>
      <c r="C303" s="1070">
        <v>325.01244292237436</v>
      </c>
      <c r="D303" s="1050">
        <v>271.34594996939586</v>
      </c>
      <c r="E303" s="1069">
        <v>338.76747685944156</v>
      </c>
      <c r="F303" s="1075"/>
      <c r="G303" s="1052"/>
      <c r="H303" s="1064"/>
      <c r="I303" s="1016">
        <v>324.1764705882353</v>
      </c>
      <c r="J303" s="159"/>
      <c r="K303" s="151"/>
      <c r="L303" s="152"/>
      <c r="M303" s="151"/>
      <c r="N303" s="29" t="s">
        <v>119</v>
      </c>
      <c r="O303" s="120"/>
      <c r="P303" s="120"/>
      <c r="Q303" s="120"/>
      <c r="R303" s="29">
        <v>5</v>
      </c>
      <c r="S303" s="238">
        <f t="shared" si="143"/>
        <v>271.34594996939586</v>
      </c>
      <c r="T303" s="238">
        <f t="shared" si="144"/>
        <v>338.76747685944156</v>
      </c>
      <c r="U303" s="238">
        <f t="shared" si="145"/>
        <v>25.762880195247195</v>
      </c>
      <c r="V303" s="20"/>
      <c r="W303" s="238">
        <f t="shared" si="158"/>
        <v>289.06270488961457</v>
      </c>
      <c r="X303" s="238">
        <f t="shared" si="146"/>
        <v>314.82558508486176</v>
      </c>
      <c r="Y303" s="238">
        <f t="shared" si="147"/>
        <v>340.58846528010895</v>
      </c>
      <c r="AA303" s="1133">
        <v>282.62071871438854</v>
      </c>
      <c r="AB303" s="1133">
        <v>311.70862325040395</v>
      </c>
      <c r="AC303" s="1133">
        <v>340.79652778641935</v>
      </c>
      <c r="AD303" s="138"/>
      <c r="AE303" s="138"/>
      <c r="AF303" s="138"/>
      <c r="AG303" s="138"/>
      <c r="AH303" s="138"/>
      <c r="AI303" s="138"/>
      <c r="AJ303" s="138"/>
      <c r="AK303" s="138"/>
      <c r="AL303" s="138"/>
      <c r="AM303" s="138"/>
      <c r="AN303" s="138"/>
      <c r="BR303" s="180">
        <v>2017</v>
      </c>
      <c r="BS303" s="22">
        <v>3</v>
      </c>
      <c r="BT303" s="198">
        <f t="shared" si="159"/>
        <v>40.123925872070643</v>
      </c>
      <c r="BU303" s="276">
        <f t="shared" si="160"/>
        <v>241.48820204092624</v>
      </c>
      <c r="BV303" s="241">
        <f t="shared" si="161"/>
        <v>281.61212791299687</v>
      </c>
      <c r="BY303" s="180">
        <v>2017</v>
      </c>
      <c r="BZ303" s="22">
        <v>3</v>
      </c>
      <c r="CA303" s="198">
        <f t="shared" ca="1" si="162"/>
        <v>0.65071361783591408</v>
      </c>
      <c r="CB303" s="198">
        <f t="shared" ca="1" si="163"/>
        <v>30.580126143810549</v>
      </c>
      <c r="CC303" s="276">
        <f t="shared" ca="1" si="174"/>
        <v>262.02183175930418</v>
      </c>
      <c r="CD303" s="241">
        <f t="shared" ca="1" si="164"/>
        <v>293.25267152095063</v>
      </c>
      <c r="CG303" s="180">
        <v>2017</v>
      </c>
      <c r="CH303" s="22">
        <v>3</v>
      </c>
      <c r="CI303" s="198">
        <f t="shared" ca="1" si="165"/>
        <v>5.0042492866569283E-2</v>
      </c>
      <c r="CJ303" s="198">
        <f t="shared" ca="1" si="166"/>
        <v>-0.45022122522861258</v>
      </c>
      <c r="CK303" s="198">
        <f t="shared" ca="1" si="167"/>
        <v>36.653060667018039</v>
      </c>
      <c r="CL303" s="276">
        <f t="shared" ca="1" si="168"/>
        <v>256.95753148120718</v>
      </c>
      <c r="CM303" s="241">
        <f t="shared" ca="1" si="169"/>
        <v>293.21041341586317</v>
      </c>
      <c r="CP303" s="180">
        <v>2017</v>
      </c>
      <c r="CQ303" s="22">
        <v>3</v>
      </c>
      <c r="CR303" s="198">
        <f t="shared" ca="1" si="170"/>
        <v>279.17159696653414</v>
      </c>
      <c r="CS303" s="276">
        <f t="shared" ca="1" si="171"/>
        <v>1.082876124193509</v>
      </c>
      <c r="CT303" s="241">
        <f t="shared" ca="1" si="172"/>
        <v>302.30825690803283</v>
      </c>
      <c r="CZ303" s="164" t="b">
        <f t="shared" si="148"/>
        <v>1</v>
      </c>
      <c r="DA303" s="165" t="b">
        <f t="shared" si="148"/>
        <v>1</v>
      </c>
      <c r="DB303" s="166" t="b">
        <f t="shared" si="148"/>
        <v>1</v>
      </c>
      <c r="DC303" s="164">
        <f t="shared" si="149"/>
        <v>5</v>
      </c>
      <c r="DD303" s="166">
        <f t="shared" si="150"/>
        <v>289.06270488961457</v>
      </c>
      <c r="DE303" s="164">
        <f t="shared" si="151"/>
        <v>5</v>
      </c>
      <c r="DF303" s="166">
        <f t="shared" si="152"/>
        <v>314.82558508486176</v>
      </c>
      <c r="DG303" s="164">
        <f t="shared" si="153"/>
        <v>5</v>
      </c>
      <c r="DH303" s="166">
        <f t="shared" si="154"/>
        <v>340.58846528010895</v>
      </c>
      <c r="DI303" s="164">
        <f>IFERROR(INDEX(DC$296:DC$344,_xlfn.AGGREGATE(15,6,(ROW(DC$296:DC$344)-ROW(DC$296)+1)/(DC$296:DC$344&lt;&gt;""),ROWS(DI$1:DI8))),"")</f>
        <v>5</v>
      </c>
      <c r="DJ303" s="165">
        <f>IFERROR(INDEX(DD$296:DD$344,_xlfn.AGGREGATE(15,6,(ROW(DD$296:DD$344)-ROW(DD$296)+1)/(DD$296:DD$344&lt;&gt;""),ROWS(DJ$1:DJ8))),"")</f>
        <v>289.06270488961457</v>
      </c>
      <c r="DK303" s="166">
        <f t="shared" si="155"/>
        <v>303</v>
      </c>
      <c r="DL303" s="164">
        <f>IFERROR(INDEX(DE$296:DE$344,_xlfn.AGGREGATE(15,6,(ROW(DE$296:DE$344)-ROW(DE$296)+1)/(DE$296:DE$344&lt;&gt;""),ROWS(DL$1:DL8))),"")</f>
        <v>5</v>
      </c>
      <c r="DM303" s="165">
        <f>IFERROR(INDEX(DF$296:DF$344,_xlfn.AGGREGATE(15,6,(ROW(DF$296:DF$344)-ROW(DF$296)+1)/(DF$296:DF$344&lt;&gt;""),ROWS(DM$1:DM8))),"")</f>
        <v>314.82558508486176</v>
      </c>
      <c r="DN303" s="166">
        <f t="shared" si="156"/>
        <v>303</v>
      </c>
      <c r="DO303" s="164">
        <f>IFERROR(INDEX(DG$296:DG$344,_xlfn.AGGREGATE(15,6,(ROW(DG$296:DG$344)-ROW(DG$296)+1)/(DG$296:DG$344&lt;&gt;""),ROWS(DO$1:DO8))),"")</f>
        <v>5</v>
      </c>
      <c r="DP303" s="165">
        <f>IFERROR(INDEX(DH$296:DH$344,_xlfn.AGGREGATE(15,6,(ROW(DH$296:DH$344)-ROW(DH$296)+1)/(DH$296:DH$344&lt;&gt;""),ROWS(DP$1:DP8))),"")</f>
        <v>340.58846528010895</v>
      </c>
      <c r="DQ303" s="166">
        <f t="shared" si="157"/>
        <v>303</v>
      </c>
      <c r="DV303" s="145">
        <v>2022</v>
      </c>
      <c r="DW303" s="235">
        <f t="shared" ca="1" si="142"/>
        <v>352.44640737487714</v>
      </c>
      <c r="DZ303" s="135"/>
      <c r="EA303" s="33"/>
      <c r="EB303" s="33"/>
      <c r="EC303" s="33"/>
      <c r="ED303" s="33"/>
      <c r="EE303" s="33"/>
    </row>
    <row r="304" spans="1:135" ht="13.8" x14ac:dyDescent="0.45">
      <c r="A304" s="194" t="s">
        <v>90</v>
      </c>
      <c r="B304" s="128">
        <v>2020</v>
      </c>
      <c r="C304" s="1070">
        <v>338.95251141552501</v>
      </c>
      <c r="D304" s="1050">
        <v>284.94385065104797</v>
      </c>
      <c r="E304" s="1069">
        <v>353.22192455774882</v>
      </c>
      <c r="F304" s="1075"/>
      <c r="G304" s="1052"/>
      <c r="H304" s="1034"/>
      <c r="I304" s="931">
        <v>331.43529411764706</v>
      </c>
      <c r="J304" s="168"/>
      <c r="K304" s="169"/>
      <c r="L304" s="170"/>
      <c r="M304" s="169"/>
      <c r="N304" s="29" t="s">
        <v>119</v>
      </c>
      <c r="O304" s="120"/>
      <c r="P304" s="120"/>
      <c r="Q304" s="120"/>
      <c r="R304" s="29">
        <v>6</v>
      </c>
      <c r="S304" s="195">
        <f t="shared" si="143"/>
        <v>284.94385065104797</v>
      </c>
      <c r="T304" s="195">
        <f t="shared" si="144"/>
        <v>353.22192455774882</v>
      </c>
      <c r="U304" s="195">
        <f t="shared" si="145"/>
        <v>25.586943817660455</v>
      </c>
      <c r="V304" s="20"/>
      <c r="W304" s="238">
        <f t="shared" si="158"/>
        <v>301.55145136783176</v>
      </c>
      <c r="X304" s="238">
        <f t="shared" si="146"/>
        <v>327.13839518549219</v>
      </c>
      <c r="Y304" s="238">
        <f t="shared" si="147"/>
        <v>352.72533900315261</v>
      </c>
      <c r="AA304" s="1133">
        <v>296.30003614053794</v>
      </c>
      <c r="AB304" s="1133">
        <v>325.70609554144056</v>
      </c>
      <c r="AC304" s="1133">
        <v>355.11215494234318</v>
      </c>
      <c r="AD304" s="138"/>
      <c r="AE304" s="138"/>
      <c r="AF304" s="138"/>
      <c r="AG304" s="138"/>
      <c r="AH304" s="138"/>
      <c r="AI304" s="138"/>
      <c r="AJ304" s="138"/>
      <c r="AK304" s="138"/>
      <c r="AL304" s="138"/>
      <c r="AM304" s="138"/>
      <c r="AN304" s="138"/>
      <c r="BR304" s="180">
        <v>2018</v>
      </c>
      <c r="BS304" s="22">
        <v>4</v>
      </c>
      <c r="BT304" s="198">
        <f t="shared" si="159"/>
        <v>53.498567829427529</v>
      </c>
      <c r="BU304" s="276">
        <f t="shared" si="160"/>
        <v>241.48820204092624</v>
      </c>
      <c r="BV304" s="241">
        <f t="shared" si="161"/>
        <v>294.98676987035378</v>
      </c>
      <c r="BY304" s="180">
        <v>2018</v>
      </c>
      <c r="BZ304" s="22">
        <v>4</v>
      </c>
      <c r="CA304" s="198">
        <f t="shared" ca="1" si="162"/>
        <v>1.1568242094860695</v>
      </c>
      <c r="CB304" s="198">
        <f t="shared" ca="1" si="163"/>
        <v>40.773501525080732</v>
      </c>
      <c r="CC304" s="276">
        <f t="shared" ca="1" si="174"/>
        <v>262.02183175930418</v>
      </c>
      <c r="CD304" s="241">
        <f t="shared" ca="1" si="164"/>
        <v>303.95215749387097</v>
      </c>
      <c r="CG304" s="180">
        <v>2018</v>
      </c>
      <c r="CH304" s="22">
        <v>4</v>
      </c>
      <c r="CI304" s="198">
        <f t="shared" ca="1" si="165"/>
        <v>0.11861924235038646</v>
      </c>
      <c r="CJ304" s="198">
        <f t="shared" ca="1" si="166"/>
        <v>-0.80039328929531128</v>
      </c>
      <c r="CK304" s="198">
        <f t="shared" ca="1" si="167"/>
        <v>48.87074755602405</v>
      </c>
      <c r="CL304" s="276">
        <f t="shared" ca="1" si="168"/>
        <v>256.95753148120718</v>
      </c>
      <c r="CM304" s="241">
        <f t="shared" ca="1" si="169"/>
        <v>305.1465049902863</v>
      </c>
      <c r="CP304" s="180">
        <v>2018</v>
      </c>
      <c r="CQ304" s="22">
        <v>4</v>
      </c>
      <c r="CR304" s="198">
        <f t="shared" ca="1" si="170"/>
        <v>279.17159696653414</v>
      </c>
      <c r="CS304" s="276">
        <f t="shared" ca="1" si="171"/>
        <v>1.1120006412722603</v>
      </c>
      <c r="CT304" s="241">
        <f t="shared" ca="1" si="172"/>
        <v>310.43899485178696</v>
      </c>
      <c r="CZ304" s="164" t="b">
        <f t="shared" si="148"/>
        <v>1</v>
      </c>
      <c r="DA304" s="165" t="b">
        <f t="shared" si="148"/>
        <v>1</v>
      </c>
      <c r="DB304" s="166" t="b">
        <f t="shared" si="148"/>
        <v>1</v>
      </c>
      <c r="DC304" s="164">
        <f t="shared" si="149"/>
        <v>6</v>
      </c>
      <c r="DD304" s="166">
        <f t="shared" si="150"/>
        <v>301.55145136783176</v>
      </c>
      <c r="DE304" s="164">
        <f t="shared" si="151"/>
        <v>6</v>
      </c>
      <c r="DF304" s="166">
        <f t="shared" si="152"/>
        <v>327.13839518549219</v>
      </c>
      <c r="DG304" s="164">
        <f t="shared" si="153"/>
        <v>6</v>
      </c>
      <c r="DH304" s="166">
        <f t="shared" si="154"/>
        <v>352.72533900315261</v>
      </c>
      <c r="DI304" s="164">
        <f>IFERROR(INDEX(DC$296:DC$344,_xlfn.AGGREGATE(15,6,(ROW(DC$296:DC$344)-ROW(DC$296)+1)/(DC$296:DC$344&lt;&gt;""),ROWS(DI$1:DI9))),"")</f>
        <v>6</v>
      </c>
      <c r="DJ304" s="165">
        <f>IFERROR(INDEX(DD$296:DD$344,_xlfn.AGGREGATE(15,6,(ROW(DD$296:DD$344)-ROW(DD$296)+1)/(DD$296:DD$344&lt;&gt;""),ROWS(DJ$1:DJ9))),"")</f>
        <v>301.55145136783176</v>
      </c>
      <c r="DK304" s="166">
        <f t="shared" si="155"/>
        <v>304</v>
      </c>
      <c r="DL304" s="164">
        <f>IFERROR(INDEX(DE$296:DE$344,_xlfn.AGGREGATE(15,6,(ROW(DE$296:DE$344)-ROW(DE$296)+1)/(DE$296:DE$344&lt;&gt;""),ROWS(DL$1:DL9))),"")</f>
        <v>6</v>
      </c>
      <c r="DM304" s="165">
        <f>IFERROR(INDEX(DF$296:DF$344,_xlfn.AGGREGATE(15,6,(ROW(DF$296:DF$344)-ROW(DF$296)+1)/(DF$296:DF$344&lt;&gt;""),ROWS(DM$1:DM9))),"")</f>
        <v>327.13839518549219</v>
      </c>
      <c r="DN304" s="166">
        <f t="shared" si="156"/>
        <v>304</v>
      </c>
      <c r="DO304" s="164">
        <f>IFERROR(INDEX(DG$296:DG$344,_xlfn.AGGREGATE(15,6,(ROW(DG$296:DG$344)-ROW(DG$296)+1)/(DG$296:DG$344&lt;&gt;""),ROWS(DO$1:DO9))),"")</f>
        <v>6</v>
      </c>
      <c r="DP304" s="165">
        <f>IFERROR(INDEX(DH$296:DH$344,_xlfn.AGGREGATE(15,6,(ROW(DH$296:DH$344)-ROW(DH$296)+1)/(DH$296:DH$344&lt;&gt;""),ROWS(DP$1:DP9))),"")</f>
        <v>352.72533900315261</v>
      </c>
      <c r="DQ304" s="166">
        <f t="shared" si="157"/>
        <v>304</v>
      </c>
      <c r="DV304" s="145">
        <v>2023</v>
      </c>
      <c r="DW304" s="235">
        <f t="shared" ca="1" si="142"/>
        <v>364.21586976260119</v>
      </c>
      <c r="DZ304" s="135"/>
      <c r="EA304" s="33" t="s">
        <v>86</v>
      </c>
      <c r="EB304" s="33" t="s">
        <v>87</v>
      </c>
      <c r="EC304" s="33"/>
      <c r="ED304" s="33"/>
      <c r="EE304" s="33"/>
    </row>
    <row r="305" spans="1:135" ht="14.1" thickBot="1" x14ac:dyDescent="0.5">
      <c r="A305" s="184" t="s">
        <v>80</v>
      </c>
      <c r="B305" s="128">
        <v>2021</v>
      </c>
      <c r="C305" s="1070">
        <v>352.89257990867571</v>
      </c>
      <c r="D305" s="1050">
        <v>298.51995158261752</v>
      </c>
      <c r="E305" s="1069">
        <v>367.30885523427366</v>
      </c>
      <c r="F305" s="1075"/>
      <c r="G305" s="1052"/>
      <c r="H305" s="1064"/>
      <c r="I305" s="1016">
        <v>338.69411764705882</v>
      </c>
      <c r="J305" s="159"/>
      <c r="K305" s="151"/>
      <c r="L305" s="152"/>
      <c r="M305" s="151"/>
      <c r="N305" s="29" t="s">
        <v>119</v>
      </c>
      <c r="O305" s="120"/>
      <c r="P305" s="120"/>
      <c r="Q305" s="120"/>
      <c r="R305" s="29">
        <v>7</v>
      </c>
      <c r="S305" s="196">
        <f t="shared" si="143"/>
        <v>298.51995158261752</v>
      </c>
      <c r="T305" s="196">
        <f t="shared" si="144"/>
        <v>367.30885523427366</v>
      </c>
      <c r="U305" s="196">
        <f t="shared" si="145"/>
        <v>25.654541663827494</v>
      </c>
      <c r="V305" s="20"/>
      <c r="W305" s="238">
        <f t="shared" si="158"/>
        <v>313.69933442932893</v>
      </c>
      <c r="X305" s="238">
        <f t="shared" si="146"/>
        <v>339.35387609315643</v>
      </c>
      <c r="Y305" s="238">
        <f t="shared" si="147"/>
        <v>365.00841775698393</v>
      </c>
      <c r="AA305" s="1133">
        <v>309.95374798924183</v>
      </c>
      <c r="AB305" s="1133">
        <v>339.57379557518897</v>
      </c>
      <c r="AC305" s="1133">
        <v>369.1938431611361</v>
      </c>
      <c r="AD305" s="138"/>
      <c r="AE305" s="138"/>
      <c r="AF305" s="138"/>
      <c r="AG305" s="138"/>
      <c r="AH305" s="138"/>
      <c r="AI305" s="138"/>
      <c r="AJ305" s="138"/>
      <c r="AK305" s="138"/>
      <c r="AL305" s="138"/>
      <c r="AM305" s="138"/>
      <c r="AN305" s="138"/>
      <c r="BR305" s="180">
        <v>2019</v>
      </c>
      <c r="BS305" s="22">
        <v>5</v>
      </c>
      <c r="BT305" s="198">
        <f t="shared" si="159"/>
        <v>66.873209786784415</v>
      </c>
      <c r="BU305" s="276">
        <f t="shared" si="160"/>
        <v>241.48820204092624</v>
      </c>
      <c r="BV305" s="283">
        <f t="shared" si="161"/>
        <v>308.36141182771064</v>
      </c>
      <c r="BY305" s="180">
        <v>2019</v>
      </c>
      <c r="BZ305" s="22">
        <v>5</v>
      </c>
      <c r="CA305" s="198">
        <f t="shared" ca="1" si="162"/>
        <v>1.8075378273219835</v>
      </c>
      <c r="CB305" s="198">
        <f t="shared" ca="1" si="163"/>
        <v>50.966876906350919</v>
      </c>
      <c r="CC305" s="276">
        <f t="shared" ca="1" si="174"/>
        <v>262.02183175930418</v>
      </c>
      <c r="CD305" s="283">
        <f t="shared" ca="1" si="164"/>
        <v>314.7962464929771</v>
      </c>
      <c r="CG305" s="180">
        <v>2019</v>
      </c>
      <c r="CH305" s="22">
        <v>5</v>
      </c>
      <c r="CI305" s="198">
        <f t="shared" ca="1" si="165"/>
        <v>0.23167820771559855</v>
      </c>
      <c r="CJ305" s="198">
        <f t="shared" ca="1" si="166"/>
        <v>-1.2506145145239238</v>
      </c>
      <c r="CK305" s="198">
        <f t="shared" ca="1" si="167"/>
        <v>61.08843444503006</v>
      </c>
      <c r="CL305" s="276">
        <f t="shared" ca="1" si="168"/>
        <v>256.95753148120718</v>
      </c>
      <c r="CM305" s="283">
        <f t="shared" ca="1" si="169"/>
        <v>317.0270296194289</v>
      </c>
      <c r="CP305" s="180">
        <v>2019</v>
      </c>
      <c r="CQ305" s="22">
        <v>5</v>
      </c>
      <c r="CR305" s="198">
        <f t="shared" ca="1" si="170"/>
        <v>279.17159696653414</v>
      </c>
      <c r="CS305" s="276">
        <f t="shared" ca="1" si="171"/>
        <v>1.1419084773993486</v>
      </c>
      <c r="CT305" s="283">
        <f t="shared" ca="1" si="172"/>
        <v>318.78841322519963</v>
      </c>
      <c r="CZ305" s="164" t="b">
        <f t="shared" si="148"/>
        <v>1</v>
      </c>
      <c r="DA305" s="165" t="b">
        <f t="shared" si="148"/>
        <v>1</v>
      </c>
      <c r="DB305" s="166" t="b">
        <f t="shared" si="148"/>
        <v>1</v>
      </c>
      <c r="DC305" s="164">
        <f t="shared" si="149"/>
        <v>7</v>
      </c>
      <c r="DD305" s="166">
        <f t="shared" si="150"/>
        <v>313.69933442932893</v>
      </c>
      <c r="DE305" s="164">
        <f t="shared" si="151"/>
        <v>7</v>
      </c>
      <c r="DF305" s="166">
        <f t="shared" si="152"/>
        <v>339.35387609315643</v>
      </c>
      <c r="DG305" s="164">
        <f t="shared" si="153"/>
        <v>7</v>
      </c>
      <c r="DH305" s="166">
        <f t="shared" si="154"/>
        <v>365.00841775698393</v>
      </c>
      <c r="DI305" s="164">
        <f>IFERROR(INDEX(DC$296:DC$344,_xlfn.AGGREGATE(15,6,(ROW(DC$296:DC$344)-ROW(DC$296)+1)/(DC$296:DC$344&lt;&gt;""),ROWS(DI$1:DI10))),"")</f>
        <v>7</v>
      </c>
      <c r="DJ305" s="165">
        <f>IFERROR(INDEX(DD$296:DD$344,_xlfn.AGGREGATE(15,6,(ROW(DD$296:DD$344)-ROW(DD$296)+1)/(DD$296:DD$344&lt;&gt;""),ROWS(DJ$1:DJ10))),"")</f>
        <v>313.69933442932893</v>
      </c>
      <c r="DK305" s="166">
        <f t="shared" si="155"/>
        <v>305</v>
      </c>
      <c r="DL305" s="164">
        <f>IFERROR(INDEX(DE$296:DE$344,_xlfn.AGGREGATE(15,6,(ROW(DE$296:DE$344)-ROW(DE$296)+1)/(DE$296:DE$344&lt;&gt;""),ROWS(DL$1:DL10))),"")</f>
        <v>7</v>
      </c>
      <c r="DM305" s="165">
        <f>IFERROR(INDEX(DF$296:DF$344,_xlfn.AGGREGATE(15,6,(ROW(DF$296:DF$344)-ROW(DF$296)+1)/(DF$296:DF$344&lt;&gt;""),ROWS(DM$1:DM10))),"")</f>
        <v>339.35387609315643</v>
      </c>
      <c r="DN305" s="166">
        <f t="shared" si="156"/>
        <v>305</v>
      </c>
      <c r="DO305" s="164">
        <f>IFERROR(INDEX(DG$296:DG$344,_xlfn.AGGREGATE(15,6,(ROW(DG$296:DG$344)-ROW(DG$296)+1)/(DG$296:DG$344&lt;&gt;""),ROWS(DO$1:DO10))),"")</f>
        <v>7</v>
      </c>
      <c r="DP305" s="165">
        <f>IFERROR(INDEX(DH$296:DH$344,_xlfn.AGGREGATE(15,6,(ROW(DH$296:DH$344)-ROW(DH$296)+1)/(DH$296:DH$344&lt;&gt;""),ROWS(DP$1:DP10))),"")</f>
        <v>365.00841775698393</v>
      </c>
      <c r="DQ305" s="166">
        <f t="shared" si="157"/>
        <v>305</v>
      </c>
      <c r="DV305" s="145">
        <v>2024</v>
      </c>
      <c r="DW305" s="235">
        <f t="shared" ca="1" si="142"/>
        <v>375.98536797489641</v>
      </c>
      <c r="DZ305" s="135" t="s">
        <v>92</v>
      </c>
      <c r="EA305" s="33">
        <f t="shared" ref="EA305:EB307" si="175">IF($EA$294="Linear",0,IF($EA$294="2nd Poly",0,IF($EA$294="3rd Poly",0,IF($EA$294="Exp",CR297))))</f>
        <v>0</v>
      </c>
      <c r="EB305" s="33">
        <f t="shared" si="175"/>
        <v>0</v>
      </c>
      <c r="EC305" s="33" t="str">
        <f>IF($EA$294="Linear","N/A",IF($EA$294="2nd Poly","N/A",IF($EA$294="3rd Poly","N/A","High")))</f>
        <v>N/A</v>
      </c>
      <c r="ED305" s="33"/>
      <c r="EE305" s="33"/>
    </row>
    <row r="306" spans="1:135" ht="13.8" x14ac:dyDescent="0.45">
      <c r="A306" s="148" t="s">
        <v>88</v>
      </c>
      <c r="B306" s="128">
        <v>2022</v>
      </c>
      <c r="C306" s="1070">
        <v>366.83264840182642</v>
      </c>
      <c r="D306" s="1050">
        <v>312.69116981501389</v>
      </c>
      <c r="E306" s="1069">
        <v>381.06574618476549</v>
      </c>
      <c r="F306" s="1075"/>
      <c r="G306" s="1052"/>
      <c r="H306" s="1035"/>
      <c r="I306" s="1111">
        <v>345.95294117647063</v>
      </c>
      <c r="J306" s="199"/>
      <c r="K306" s="200"/>
      <c r="L306" s="201"/>
      <c r="M306" s="200"/>
      <c r="N306" s="29" t="s">
        <v>119</v>
      </c>
      <c r="O306" s="120"/>
      <c r="P306" s="120"/>
      <c r="Q306" s="120"/>
      <c r="R306" s="29">
        <v>8</v>
      </c>
      <c r="S306" s="202">
        <f t="shared" si="143"/>
        <v>312.69116981501389</v>
      </c>
      <c r="T306" s="202">
        <f t="shared" si="144"/>
        <v>381.06574618476549</v>
      </c>
      <c r="U306" s="202">
        <f t="shared" si="145"/>
        <v>25.719861188968476</v>
      </c>
      <c r="V306" s="20"/>
      <c r="W306" s="238">
        <f t="shared" si="158"/>
        <v>325.9157652055506</v>
      </c>
      <c r="X306" s="238">
        <f t="shared" si="146"/>
        <v>351.63562639451908</v>
      </c>
      <c r="Y306" s="238">
        <f t="shared" si="147"/>
        <v>377.35548758348756</v>
      </c>
      <c r="AA306" s="1133">
        <v>324.07374155122073</v>
      </c>
      <c r="AB306" s="1133">
        <v>353.52985480053525</v>
      </c>
      <c r="AC306" s="1133">
        <v>382.98596804984976</v>
      </c>
      <c r="AD306" s="120"/>
      <c r="AE306" s="120"/>
      <c r="AF306" s="120"/>
      <c r="AG306" s="120"/>
      <c r="AH306" s="120"/>
      <c r="AI306" s="120"/>
      <c r="AJ306" s="120"/>
      <c r="AK306" s="120"/>
      <c r="AL306" s="120"/>
      <c r="AM306" s="120"/>
      <c r="AN306" s="120"/>
      <c r="BR306" s="180">
        <v>2020</v>
      </c>
      <c r="BS306" s="22">
        <v>6</v>
      </c>
      <c r="BT306" s="198">
        <f t="shared" si="159"/>
        <v>80.247851744141286</v>
      </c>
      <c r="BU306" s="276">
        <f t="shared" si="160"/>
        <v>241.48820204092624</v>
      </c>
      <c r="BV306" s="203">
        <f t="shared" si="161"/>
        <v>321.7360537850675</v>
      </c>
      <c r="BY306" s="180">
        <v>2020</v>
      </c>
      <c r="BZ306" s="22">
        <v>6</v>
      </c>
      <c r="CA306" s="198">
        <f t="shared" ca="1" si="162"/>
        <v>2.6028544713436563</v>
      </c>
      <c r="CB306" s="198">
        <f t="shared" ca="1" si="163"/>
        <v>61.160252287621098</v>
      </c>
      <c r="CC306" s="276">
        <f t="shared" ca="1" si="174"/>
        <v>262.02183175930418</v>
      </c>
      <c r="CD306" s="203">
        <f t="shared" ca="1" si="164"/>
        <v>325.78493851826892</v>
      </c>
      <c r="CG306" s="180">
        <v>2020</v>
      </c>
      <c r="CH306" s="22">
        <v>6</v>
      </c>
      <c r="CI306" s="198">
        <f t="shared" ca="1" si="165"/>
        <v>0.40033994293255426</v>
      </c>
      <c r="CJ306" s="198">
        <f t="shared" ca="1" si="166"/>
        <v>-1.8008849009144503</v>
      </c>
      <c r="CK306" s="198">
        <f t="shared" ca="1" si="167"/>
        <v>73.306121334036078</v>
      </c>
      <c r="CL306" s="276">
        <f t="shared" ca="1" si="168"/>
        <v>256.95753148120718</v>
      </c>
      <c r="CM306" s="203">
        <f t="shared" ca="1" si="169"/>
        <v>328.86310785726135</v>
      </c>
      <c r="CP306" s="180">
        <v>2020</v>
      </c>
      <c r="CQ306" s="22">
        <v>6</v>
      </c>
      <c r="CR306" s="198">
        <f t="shared" ca="1" si="170"/>
        <v>279.17159696653414</v>
      </c>
      <c r="CS306" s="276">
        <f t="shared" ca="1" si="171"/>
        <v>1.1726207003483562</v>
      </c>
      <c r="CT306" s="203">
        <f t="shared" ca="1" si="172"/>
        <v>327.36239355226627</v>
      </c>
      <c r="CZ306" s="164" t="b">
        <f t="shared" si="148"/>
        <v>1</v>
      </c>
      <c r="DA306" s="165" t="b">
        <f t="shared" si="148"/>
        <v>1</v>
      </c>
      <c r="DB306" s="166" t="b">
        <f t="shared" si="148"/>
        <v>1</v>
      </c>
      <c r="DC306" s="164">
        <f t="shared" si="149"/>
        <v>8</v>
      </c>
      <c r="DD306" s="166">
        <f t="shared" si="150"/>
        <v>325.9157652055506</v>
      </c>
      <c r="DE306" s="164">
        <f t="shared" si="151"/>
        <v>8</v>
      </c>
      <c r="DF306" s="166">
        <f t="shared" si="152"/>
        <v>351.63562639451908</v>
      </c>
      <c r="DG306" s="164">
        <f t="shared" si="153"/>
        <v>8</v>
      </c>
      <c r="DH306" s="166">
        <f t="shared" si="154"/>
        <v>377.35548758348756</v>
      </c>
      <c r="DI306" s="164">
        <f>IFERROR(INDEX(DC$296:DC$344,_xlfn.AGGREGATE(15,6,(ROW(DC$296:DC$344)-ROW(DC$296)+1)/(DC$296:DC$344&lt;&gt;""),ROWS(DI$1:DI11))),"")</f>
        <v>8</v>
      </c>
      <c r="DJ306" s="165">
        <f>IFERROR(INDEX(DD$296:DD$344,_xlfn.AGGREGATE(15,6,(ROW(DD$296:DD$344)-ROW(DD$296)+1)/(DD$296:DD$344&lt;&gt;""),ROWS(DJ$1:DJ11))),"")</f>
        <v>325.9157652055506</v>
      </c>
      <c r="DK306" s="166">
        <f t="shared" si="155"/>
        <v>306</v>
      </c>
      <c r="DL306" s="164">
        <f>IFERROR(INDEX(DE$296:DE$344,_xlfn.AGGREGATE(15,6,(ROW(DE$296:DE$344)-ROW(DE$296)+1)/(DE$296:DE$344&lt;&gt;""),ROWS(DL$1:DL11))),"")</f>
        <v>8</v>
      </c>
      <c r="DM306" s="165">
        <f>IFERROR(INDEX(DF$296:DF$344,_xlfn.AGGREGATE(15,6,(ROW(DF$296:DF$344)-ROW(DF$296)+1)/(DF$296:DF$344&lt;&gt;""),ROWS(DM$1:DM11))),"")</f>
        <v>351.63562639451908</v>
      </c>
      <c r="DN306" s="166">
        <f t="shared" si="156"/>
        <v>306</v>
      </c>
      <c r="DO306" s="164">
        <f>IFERROR(INDEX(DG$296:DG$344,_xlfn.AGGREGATE(15,6,(ROW(DG$296:DG$344)-ROW(DG$296)+1)/(DG$296:DG$344&lt;&gt;""),ROWS(DO$1:DO11))),"")</f>
        <v>8</v>
      </c>
      <c r="DP306" s="165">
        <f>IFERROR(INDEX(DH$296:DH$344,_xlfn.AGGREGATE(15,6,(ROW(DH$296:DH$344)-ROW(DH$296)+1)/(DH$296:DH$344&lt;&gt;""),ROWS(DP$1:DP11))),"")</f>
        <v>377.35548758348756</v>
      </c>
      <c r="DQ306" s="166">
        <f t="shared" si="157"/>
        <v>306</v>
      </c>
      <c r="DV306" s="145">
        <v>2025</v>
      </c>
      <c r="DW306" s="235">
        <f t="shared" ca="1" si="142"/>
        <v>387.76602256573324</v>
      </c>
      <c r="DZ306" s="135" t="s">
        <v>92</v>
      </c>
      <c r="EA306" s="33">
        <f t="shared" si="175"/>
        <v>0</v>
      </c>
      <c r="EB306" s="33">
        <f t="shared" si="175"/>
        <v>0</v>
      </c>
      <c r="EC306" s="33" t="str">
        <f>IF($EA$294="Linear","N/A",IF($EA$294="2nd Poly","N/A",IF($EA$294="3rd Poly","N/A","Medium")))</f>
        <v>N/A</v>
      </c>
    </row>
    <row r="307" spans="1:135" ht="13.8" x14ac:dyDescent="0.45">
      <c r="B307" s="128">
        <v>2023</v>
      </c>
      <c r="C307" s="1070">
        <v>380.77271689497712</v>
      </c>
      <c r="D307" s="1050">
        <v>327.06350010066643</v>
      </c>
      <c r="E307" s="1069">
        <v>394.53007470497357</v>
      </c>
      <c r="F307" s="1075"/>
      <c r="G307" s="1052"/>
      <c r="H307" s="1035"/>
      <c r="I307" s="1111">
        <v>353.21176470588239</v>
      </c>
      <c r="J307" s="199"/>
      <c r="K307" s="200"/>
      <c r="L307" s="201"/>
      <c r="M307" s="200"/>
      <c r="N307" s="29" t="s">
        <v>119</v>
      </c>
      <c r="O307" s="120"/>
      <c r="P307" s="120"/>
      <c r="Q307" s="120"/>
      <c r="R307" s="29">
        <v>9</v>
      </c>
      <c r="S307" s="202">
        <f t="shared" si="143"/>
        <v>327.06350010066643</v>
      </c>
      <c r="T307" s="202">
        <f t="shared" si="144"/>
        <v>394.53007470497357</v>
      </c>
      <c r="U307" s="202">
        <f t="shared" si="145"/>
        <v>25.952148417838202</v>
      </c>
      <c r="V307" s="20"/>
      <c r="W307" s="238">
        <f t="shared" si="158"/>
        <v>337.9423656837867</v>
      </c>
      <c r="X307" s="238">
        <f t="shared" si="146"/>
        <v>363.89451410162491</v>
      </c>
      <c r="Y307" s="238">
        <f t="shared" si="147"/>
        <v>389.84666251946311</v>
      </c>
      <c r="AA307" s="1133">
        <v>338.34704393382822</v>
      </c>
      <c r="AB307" s="1133">
        <v>367.45543056687239</v>
      </c>
      <c r="AC307" s="1133">
        <v>396.56381719991657</v>
      </c>
      <c r="AD307" s="120"/>
      <c r="AE307" s="120"/>
      <c r="AF307" s="120"/>
      <c r="AG307" s="120"/>
      <c r="AH307" s="120"/>
      <c r="AI307" s="120"/>
      <c r="AJ307" s="120"/>
      <c r="AK307" s="120"/>
      <c r="AL307" s="120"/>
      <c r="AM307" s="120"/>
      <c r="AN307" s="120"/>
      <c r="BR307" s="180">
        <v>2021</v>
      </c>
      <c r="BS307" s="22">
        <v>7</v>
      </c>
      <c r="BT307" s="198">
        <f t="shared" si="159"/>
        <v>93.622493701498172</v>
      </c>
      <c r="BU307" s="276">
        <f t="shared" si="160"/>
        <v>241.48820204092624</v>
      </c>
      <c r="BV307" s="205">
        <f t="shared" si="161"/>
        <v>335.11069574242441</v>
      </c>
      <c r="BY307" s="180">
        <v>2021</v>
      </c>
      <c r="BZ307" s="22">
        <v>7</v>
      </c>
      <c r="CA307" s="198">
        <f t="shared" ca="1" si="162"/>
        <v>3.5427741415510878</v>
      </c>
      <c r="CB307" s="198">
        <f t="shared" ca="1" si="163"/>
        <v>71.353627668891278</v>
      </c>
      <c r="CC307" s="276">
        <f t="shared" ca="1" si="174"/>
        <v>262.02183175930418</v>
      </c>
      <c r="CD307" s="205">
        <f t="shared" ca="1" si="164"/>
        <v>336.91823356974658</v>
      </c>
      <c r="CG307" s="180">
        <v>2021</v>
      </c>
      <c r="CH307" s="22">
        <v>7</v>
      </c>
      <c r="CI307" s="198">
        <f t="shared" ca="1" si="165"/>
        <v>0.63572500197160242</v>
      </c>
      <c r="CJ307" s="198">
        <f t="shared" ca="1" si="166"/>
        <v>-2.4512044484668909</v>
      </c>
      <c r="CK307" s="198">
        <f t="shared" ca="1" si="167"/>
        <v>85.523808223042082</v>
      </c>
      <c r="CL307" s="276">
        <f t="shared" ca="1" si="168"/>
        <v>256.95753148120718</v>
      </c>
      <c r="CM307" s="205">
        <f t="shared" ca="1" si="169"/>
        <v>340.66586025775399</v>
      </c>
      <c r="CP307" s="180">
        <v>2021</v>
      </c>
      <c r="CQ307" s="22">
        <v>7</v>
      </c>
      <c r="CR307" s="198">
        <f t="shared" ca="1" si="170"/>
        <v>279.17159696653414</v>
      </c>
      <c r="CS307" s="276">
        <f t="shared" ca="1" si="171"/>
        <v>1.2041589445216019</v>
      </c>
      <c r="CT307" s="205">
        <f t="shared" ca="1" si="172"/>
        <v>336.16697554363179</v>
      </c>
      <c r="CZ307" s="164" t="b">
        <f t="shared" si="148"/>
        <v>1</v>
      </c>
      <c r="DA307" s="165" t="b">
        <f t="shared" si="148"/>
        <v>1</v>
      </c>
      <c r="DB307" s="166" t="b">
        <f t="shared" si="148"/>
        <v>1</v>
      </c>
      <c r="DC307" s="164">
        <f t="shared" si="149"/>
        <v>9</v>
      </c>
      <c r="DD307" s="166">
        <f t="shared" si="150"/>
        <v>337.9423656837867</v>
      </c>
      <c r="DE307" s="164">
        <f t="shared" si="151"/>
        <v>9</v>
      </c>
      <c r="DF307" s="166">
        <f t="shared" si="152"/>
        <v>363.89451410162491</v>
      </c>
      <c r="DG307" s="164">
        <f t="shared" si="153"/>
        <v>9</v>
      </c>
      <c r="DH307" s="166">
        <f t="shared" si="154"/>
        <v>389.84666251946311</v>
      </c>
      <c r="DI307" s="164">
        <f>IFERROR(INDEX(DC$296:DC$344,_xlfn.AGGREGATE(15,6,(ROW(DC$296:DC$344)-ROW(DC$296)+1)/(DC$296:DC$344&lt;&gt;""),ROWS(DI$1:DI12))),"")</f>
        <v>9</v>
      </c>
      <c r="DJ307" s="165">
        <f>IFERROR(INDEX(DD$296:DD$344,_xlfn.AGGREGATE(15,6,(ROW(DD$296:DD$344)-ROW(DD$296)+1)/(DD$296:DD$344&lt;&gt;""),ROWS(DJ$1:DJ12))),"")</f>
        <v>337.9423656837867</v>
      </c>
      <c r="DK307" s="166">
        <f t="shared" si="155"/>
        <v>307</v>
      </c>
      <c r="DL307" s="164">
        <f>IFERROR(INDEX(DE$296:DE$344,_xlfn.AGGREGATE(15,6,(ROW(DE$296:DE$344)-ROW(DE$296)+1)/(DE$296:DE$344&lt;&gt;""),ROWS(DL$1:DL12))),"")</f>
        <v>9</v>
      </c>
      <c r="DM307" s="165">
        <f>IFERROR(INDEX(DF$296:DF$344,_xlfn.AGGREGATE(15,6,(ROW(DF$296:DF$344)-ROW(DF$296)+1)/(DF$296:DF$344&lt;&gt;""),ROWS(DM$1:DM12))),"")</f>
        <v>363.89451410162491</v>
      </c>
      <c r="DN307" s="166">
        <f t="shared" si="156"/>
        <v>307</v>
      </c>
      <c r="DO307" s="164">
        <f>IFERROR(INDEX(DG$296:DG$344,_xlfn.AGGREGATE(15,6,(ROW(DG$296:DG$344)-ROW(DG$296)+1)/(DG$296:DG$344&lt;&gt;""),ROWS(DO$1:DO12))),"")</f>
        <v>9</v>
      </c>
      <c r="DP307" s="165">
        <f>IFERROR(INDEX(DH$296:DH$344,_xlfn.AGGREGATE(15,6,(ROW(DH$296:DH$344)-ROW(DH$296)+1)/(DH$296:DH$344&lt;&gt;""),ROWS(DP$1:DP12))),"")</f>
        <v>389.84666251946311</v>
      </c>
      <c r="DQ307" s="166">
        <f t="shared" si="157"/>
        <v>307</v>
      </c>
      <c r="DV307" s="145">
        <v>2026</v>
      </c>
      <c r="DW307" s="235">
        <f t="shared" ca="1" si="142"/>
        <v>399.56895408908201</v>
      </c>
      <c r="DZ307" s="135" t="s">
        <v>92</v>
      </c>
      <c r="EA307" s="33">
        <f t="shared" si="175"/>
        <v>0</v>
      </c>
      <c r="EB307" s="33">
        <f t="shared" si="175"/>
        <v>0</v>
      </c>
      <c r="EC307" s="33" t="str">
        <f>IF($EA$294="Linear","N/A",IF($EA$294="2nd Poly","N/A",IF($EA$294="3rd Poly","N/A","Low")))</f>
        <v>N/A</v>
      </c>
    </row>
    <row r="308" spans="1:135" ht="13.8" x14ac:dyDescent="0.45">
      <c r="B308" s="128">
        <v>2024</v>
      </c>
      <c r="C308" s="1070">
        <v>394.71278538812783</v>
      </c>
      <c r="D308" s="1050">
        <v>341.63084175461802</v>
      </c>
      <c r="E308" s="1069">
        <v>407.73931809064732</v>
      </c>
      <c r="F308" s="1075"/>
      <c r="G308" s="1052"/>
      <c r="H308" s="1036"/>
      <c r="I308" s="1112">
        <v>360.47058823529414</v>
      </c>
      <c r="J308" s="247"/>
      <c r="K308" s="245"/>
      <c r="L308" s="246"/>
      <c r="M308" s="245"/>
      <c r="N308" s="29" t="s">
        <v>119</v>
      </c>
      <c r="O308" s="120"/>
      <c r="P308" s="120"/>
      <c r="Q308" s="120"/>
      <c r="R308" s="29">
        <v>10</v>
      </c>
      <c r="S308" s="238">
        <f t="shared" si="143"/>
        <v>341.63084175461802</v>
      </c>
      <c r="T308" s="238">
        <f t="shared" si="144"/>
        <v>407.73931809064732</v>
      </c>
      <c r="U308" s="238">
        <f t="shared" si="145"/>
        <v>26.362272845252154</v>
      </c>
      <c r="V308" s="20"/>
      <c r="W308" s="238">
        <f t="shared" si="158"/>
        <v>349.77611052191969</v>
      </c>
      <c r="X308" s="238">
        <f t="shared" si="146"/>
        <v>376.13838336717185</v>
      </c>
      <c r="Y308" s="238">
        <f t="shared" si="147"/>
        <v>402.50065621242402</v>
      </c>
      <c r="AA308" s="1133">
        <v>352.76860914532483</v>
      </c>
      <c r="AB308" s="1133">
        <v>381.36098174446442</v>
      </c>
      <c r="AC308" s="1133">
        <v>409.95335434360402</v>
      </c>
      <c r="AD308" s="120"/>
      <c r="AE308" s="120"/>
      <c r="AF308" s="120"/>
      <c r="AG308" s="120"/>
      <c r="AH308" s="120"/>
      <c r="AI308" s="120"/>
      <c r="AJ308" s="120"/>
      <c r="AK308" s="120"/>
      <c r="AL308" s="120"/>
      <c r="AM308" s="120"/>
      <c r="AN308" s="120"/>
      <c r="BR308" s="180">
        <v>2022</v>
      </c>
      <c r="BS308" s="22">
        <v>8</v>
      </c>
      <c r="BT308" s="198">
        <f t="shared" si="159"/>
        <v>106.99713565885506</v>
      </c>
      <c r="BU308" s="276">
        <f t="shared" si="160"/>
        <v>241.48820204092624</v>
      </c>
      <c r="BV308" s="205">
        <f t="shared" si="161"/>
        <v>348.48533769978133</v>
      </c>
      <c r="BY308" s="180">
        <v>2022</v>
      </c>
      <c r="BZ308" s="22">
        <v>8</v>
      </c>
      <c r="CA308" s="198">
        <f t="shared" ca="1" si="162"/>
        <v>4.6272968379442778</v>
      </c>
      <c r="CB308" s="198">
        <f t="shared" ca="1" si="163"/>
        <v>81.547003050161464</v>
      </c>
      <c r="CC308" s="276">
        <f t="shared" ca="1" si="174"/>
        <v>262.02183175930418</v>
      </c>
      <c r="CD308" s="205">
        <f t="shared" ca="1" si="164"/>
        <v>348.19613164740991</v>
      </c>
      <c r="CG308" s="180">
        <v>2022</v>
      </c>
      <c r="CH308" s="22">
        <v>8</v>
      </c>
      <c r="CI308" s="198">
        <f t="shared" ca="1" si="165"/>
        <v>0.94895393880309165</v>
      </c>
      <c r="CJ308" s="198">
        <f t="shared" ca="1" si="166"/>
        <v>-3.2015731571812451</v>
      </c>
      <c r="CK308" s="198">
        <f t="shared" ca="1" si="167"/>
        <v>97.741495112048099</v>
      </c>
      <c r="CL308" s="276">
        <f t="shared" ca="1" si="168"/>
        <v>256.95753148120718</v>
      </c>
      <c r="CM308" s="205">
        <f t="shared" ca="1" si="169"/>
        <v>352.44640737487714</v>
      </c>
      <c r="CP308" s="180">
        <v>2022</v>
      </c>
      <c r="CQ308" s="22">
        <v>8</v>
      </c>
      <c r="CR308" s="198">
        <f t="shared" ca="1" si="170"/>
        <v>279.17159696653414</v>
      </c>
      <c r="CS308" s="276">
        <f t="shared" ca="1" si="171"/>
        <v>1.236545426189918</v>
      </c>
      <c r="CT308" s="205">
        <f t="shared" ca="1" si="172"/>
        <v>345.20836135110301</v>
      </c>
      <c r="CZ308" s="164" t="b">
        <f t="shared" si="148"/>
        <v>1</v>
      </c>
      <c r="DA308" s="165" t="b">
        <f t="shared" si="148"/>
        <v>1</v>
      </c>
      <c r="DB308" s="166" t="b">
        <f t="shared" si="148"/>
        <v>1</v>
      </c>
      <c r="DC308" s="164">
        <f t="shared" si="149"/>
        <v>10</v>
      </c>
      <c r="DD308" s="166">
        <f t="shared" si="150"/>
        <v>349.77611052191969</v>
      </c>
      <c r="DE308" s="164">
        <f t="shared" si="151"/>
        <v>10</v>
      </c>
      <c r="DF308" s="166">
        <f t="shared" si="152"/>
        <v>376.13838336717185</v>
      </c>
      <c r="DG308" s="164">
        <f t="shared" si="153"/>
        <v>10</v>
      </c>
      <c r="DH308" s="166">
        <f t="shared" si="154"/>
        <v>402.50065621242402</v>
      </c>
      <c r="DI308" s="164">
        <f>IFERROR(INDEX(DC$296:DC$344,_xlfn.AGGREGATE(15,6,(ROW(DC$296:DC$344)-ROW(DC$296)+1)/(DC$296:DC$344&lt;&gt;""),ROWS(DI$1:DI13))),"")</f>
        <v>10</v>
      </c>
      <c r="DJ308" s="165">
        <f>IFERROR(INDEX(DD$296:DD$344,_xlfn.AGGREGATE(15,6,(ROW(DD$296:DD$344)-ROW(DD$296)+1)/(DD$296:DD$344&lt;&gt;""),ROWS(DJ$1:DJ13))),"")</f>
        <v>349.77611052191969</v>
      </c>
      <c r="DK308" s="166">
        <f t="shared" si="155"/>
        <v>308</v>
      </c>
      <c r="DL308" s="164">
        <f>IFERROR(INDEX(DE$296:DE$344,_xlfn.AGGREGATE(15,6,(ROW(DE$296:DE$344)-ROW(DE$296)+1)/(DE$296:DE$344&lt;&gt;""),ROWS(DL$1:DL13))),"")</f>
        <v>10</v>
      </c>
      <c r="DM308" s="165">
        <f>IFERROR(INDEX(DF$296:DF$344,_xlfn.AGGREGATE(15,6,(ROW(DF$296:DF$344)-ROW(DF$296)+1)/(DF$296:DF$344&lt;&gt;""),ROWS(DM$1:DM13))),"")</f>
        <v>376.13838336717185</v>
      </c>
      <c r="DN308" s="166">
        <f t="shared" si="156"/>
        <v>308</v>
      </c>
      <c r="DO308" s="164">
        <f>IFERROR(INDEX(DG$296:DG$344,_xlfn.AGGREGATE(15,6,(ROW(DG$296:DG$344)-ROW(DG$296)+1)/(DG$296:DG$344&lt;&gt;""),ROWS(DO$1:DO13))),"")</f>
        <v>10</v>
      </c>
      <c r="DP308" s="165">
        <f>IFERROR(INDEX(DH$296:DH$344,_xlfn.AGGREGATE(15,6,(ROW(DH$296:DH$344)-ROW(DH$296)+1)/(DH$296:DH$344&lt;&gt;""),ROWS(DP$1:DP13))),"")</f>
        <v>402.50065621242402</v>
      </c>
      <c r="DQ308" s="166">
        <f t="shared" si="157"/>
        <v>308</v>
      </c>
      <c r="DV308" s="145">
        <v>2027</v>
      </c>
      <c r="DW308" s="235">
        <f t="shared" ca="1" si="142"/>
        <v>411.405283098913</v>
      </c>
    </row>
    <row r="309" spans="1:135" ht="13.8" x14ac:dyDescent="0.45">
      <c r="B309" s="128">
        <v>2025</v>
      </c>
      <c r="C309" s="1070">
        <v>408.65285388127847</v>
      </c>
      <c r="D309" s="1050">
        <v>350.06852622482461</v>
      </c>
      <c r="E309" s="1069">
        <v>420.73095363753612</v>
      </c>
      <c r="F309" s="1075"/>
      <c r="G309" s="1052"/>
      <c r="H309" s="1036"/>
      <c r="I309" s="1112">
        <v>367.7294117647059</v>
      </c>
      <c r="J309" s="247"/>
      <c r="K309" s="245"/>
      <c r="L309" s="246"/>
      <c r="M309" s="245"/>
      <c r="N309" s="29" t="s">
        <v>119</v>
      </c>
      <c r="O309" s="120"/>
      <c r="P309" s="120"/>
      <c r="Q309" s="120"/>
      <c r="R309" s="29">
        <v>11</v>
      </c>
      <c r="S309" s="238">
        <f t="shared" si="143"/>
        <v>350.06852622482461</v>
      </c>
      <c r="T309" s="238">
        <f t="shared" si="144"/>
        <v>420.73095363753612</v>
      </c>
      <c r="U309" s="238">
        <f t="shared" si="145"/>
        <v>28.903915199930321</v>
      </c>
      <c r="W309" s="238">
        <f t="shared" si="158"/>
        <v>357.89152117715594</v>
      </c>
      <c r="X309" s="238">
        <f t="shared" si="146"/>
        <v>386.79543637708628</v>
      </c>
      <c r="Y309" s="238">
        <f t="shared" si="147"/>
        <v>415.69935157701661</v>
      </c>
      <c r="AA309" s="1133">
        <v>362.29055074511973</v>
      </c>
      <c r="AB309" s="1133">
        <v>393.15077791454638</v>
      </c>
      <c r="AC309" s="1133">
        <v>424.01100508397303</v>
      </c>
      <c r="AD309" s="120"/>
      <c r="AE309" s="120"/>
      <c r="AF309" s="120"/>
      <c r="AG309" s="120"/>
      <c r="AH309" s="120"/>
      <c r="AI309" s="120"/>
      <c r="AJ309" s="120"/>
      <c r="AK309" s="120"/>
      <c r="AL309" s="120"/>
      <c r="AM309" s="120"/>
      <c r="AN309" s="120"/>
      <c r="BR309" s="180">
        <v>2023</v>
      </c>
      <c r="BS309" s="22">
        <v>9</v>
      </c>
      <c r="BT309" s="198">
        <f t="shared" si="159"/>
        <v>120.37177761621194</v>
      </c>
      <c r="BU309" s="276">
        <f t="shared" si="160"/>
        <v>241.48820204092624</v>
      </c>
      <c r="BV309" s="205">
        <f t="shared" si="161"/>
        <v>361.85997965713818</v>
      </c>
      <c r="BY309" s="180">
        <v>2023</v>
      </c>
      <c r="BZ309" s="22">
        <v>9</v>
      </c>
      <c r="CA309" s="198">
        <f t="shared" ca="1" si="162"/>
        <v>5.8564225605232263</v>
      </c>
      <c r="CB309" s="198">
        <f t="shared" ca="1" si="163"/>
        <v>91.740378431431651</v>
      </c>
      <c r="CC309" s="276">
        <f t="shared" ca="1" si="174"/>
        <v>262.02183175930418</v>
      </c>
      <c r="CD309" s="205">
        <f t="shared" ca="1" si="164"/>
        <v>359.61863275125904</v>
      </c>
      <c r="CG309" s="180">
        <v>2023</v>
      </c>
      <c r="CH309" s="22">
        <v>9</v>
      </c>
      <c r="CI309" s="198">
        <f t="shared" ca="1" si="165"/>
        <v>1.3511473073973708</v>
      </c>
      <c r="CJ309" s="198">
        <f t="shared" ca="1" si="166"/>
        <v>-4.0519910270575137</v>
      </c>
      <c r="CK309" s="198">
        <f t="shared" ca="1" si="167"/>
        <v>109.95918200105412</v>
      </c>
      <c r="CL309" s="276">
        <f t="shared" ca="1" si="168"/>
        <v>256.95753148120718</v>
      </c>
      <c r="CM309" s="205">
        <f t="shared" ca="1" si="169"/>
        <v>364.21586976260119</v>
      </c>
      <c r="CP309" s="180">
        <v>2023</v>
      </c>
      <c r="CQ309" s="22">
        <v>9</v>
      </c>
      <c r="CR309" s="198">
        <f t="shared" ca="1" si="170"/>
        <v>279.17159696653414</v>
      </c>
      <c r="CS309" s="276">
        <f t="shared" ca="1" si="171"/>
        <v>1.2698029591423061</v>
      </c>
      <c r="CT309" s="205">
        <f t="shared" ca="1" si="172"/>
        <v>354.49291993658829</v>
      </c>
      <c r="CZ309" s="164" t="b">
        <f t="shared" si="148"/>
        <v>1</v>
      </c>
      <c r="DA309" s="165" t="b">
        <f t="shared" si="148"/>
        <v>1</v>
      </c>
      <c r="DB309" s="166" t="b">
        <f t="shared" si="148"/>
        <v>1</v>
      </c>
      <c r="DC309" s="164">
        <f t="shared" si="149"/>
        <v>11</v>
      </c>
      <c r="DD309" s="166">
        <f t="shared" si="150"/>
        <v>357.89152117715594</v>
      </c>
      <c r="DE309" s="164">
        <f t="shared" si="151"/>
        <v>11</v>
      </c>
      <c r="DF309" s="166">
        <f t="shared" si="152"/>
        <v>386.79543637708628</v>
      </c>
      <c r="DG309" s="164">
        <f t="shared" si="153"/>
        <v>11</v>
      </c>
      <c r="DH309" s="166">
        <f t="shared" si="154"/>
        <v>415.69935157701661</v>
      </c>
      <c r="DI309" s="164">
        <f>IFERROR(INDEX(DC$296:DC$344,_xlfn.AGGREGATE(15,6,(ROW(DC$296:DC$344)-ROW(DC$296)+1)/(DC$296:DC$344&lt;&gt;""),ROWS(DI$1:DI14))),"")</f>
        <v>11</v>
      </c>
      <c r="DJ309" s="165">
        <f>IFERROR(INDEX(DD$296:DD$344,_xlfn.AGGREGATE(15,6,(ROW(DD$296:DD$344)-ROW(DD$296)+1)/(DD$296:DD$344&lt;&gt;""),ROWS(DJ$1:DJ14))),"")</f>
        <v>357.89152117715594</v>
      </c>
      <c r="DK309" s="166">
        <f t="shared" si="155"/>
        <v>309</v>
      </c>
      <c r="DL309" s="164">
        <f>IFERROR(INDEX(DE$296:DE$344,_xlfn.AGGREGATE(15,6,(ROW(DE$296:DE$344)-ROW(DE$296)+1)/(DE$296:DE$344&lt;&gt;""),ROWS(DL$1:DL14))),"")</f>
        <v>11</v>
      </c>
      <c r="DM309" s="165">
        <f>IFERROR(INDEX(DF$296:DF$344,_xlfn.AGGREGATE(15,6,(ROW(DF$296:DF$344)-ROW(DF$296)+1)/(DF$296:DF$344&lt;&gt;""),ROWS(DM$1:DM14))),"")</f>
        <v>386.79543637708628</v>
      </c>
      <c r="DN309" s="166">
        <f t="shared" si="156"/>
        <v>309</v>
      </c>
      <c r="DO309" s="164">
        <f>IFERROR(INDEX(DG$296:DG$344,_xlfn.AGGREGATE(15,6,(ROW(DG$296:DG$344)-ROW(DG$296)+1)/(DG$296:DG$344&lt;&gt;""),ROWS(DO$1:DO14))),"")</f>
        <v>11</v>
      </c>
      <c r="DP309" s="165">
        <f>IFERROR(INDEX(DH$296:DH$344,_xlfn.AGGREGATE(15,6,(ROW(DH$296:DH$344)-ROW(DH$296)+1)/(DH$296:DH$344&lt;&gt;""),ROWS(DP$1:DP14))),"")</f>
        <v>415.69935157701661</v>
      </c>
      <c r="DQ309" s="166">
        <f t="shared" si="157"/>
        <v>309</v>
      </c>
      <c r="DV309" s="145">
        <v>2028</v>
      </c>
      <c r="DW309" s="235">
        <f t="shared" ca="1" si="142"/>
        <v>423.28613014919659</v>
      </c>
    </row>
    <row r="310" spans="1:135" ht="13.8" x14ac:dyDescent="0.45">
      <c r="B310" s="128">
        <v>2026</v>
      </c>
      <c r="C310" s="1070">
        <v>422.59292237442912</v>
      </c>
      <c r="D310" s="1050">
        <v>361.72068673545971</v>
      </c>
      <c r="E310" s="1069">
        <v>433.54245864138926</v>
      </c>
      <c r="F310" s="1075"/>
      <c r="G310" s="1052"/>
      <c r="H310" s="1036"/>
      <c r="I310" s="1112">
        <v>374.98823529411766</v>
      </c>
      <c r="J310" s="247"/>
      <c r="K310" s="245"/>
      <c r="L310" s="246"/>
      <c r="M310" s="245"/>
      <c r="N310" s="29" t="s">
        <v>119</v>
      </c>
      <c r="O310" s="120"/>
      <c r="P310" s="120"/>
      <c r="Q310" s="120"/>
      <c r="R310" s="29">
        <v>12</v>
      </c>
      <c r="S310" s="238">
        <f t="shared" si="143"/>
        <v>361.72068673545971</v>
      </c>
      <c r="T310" s="238">
        <f t="shared" si="144"/>
        <v>433.54245864138926</v>
      </c>
      <c r="U310" s="238">
        <f t="shared" si="145"/>
        <v>30.469779582017772</v>
      </c>
      <c r="W310" s="238">
        <f t="shared" si="158"/>
        <v>367.74129617933113</v>
      </c>
      <c r="X310" s="238">
        <f t="shared" si="146"/>
        <v>398.21107576134892</v>
      </c>
      <c r="Y310" s="238">
        <f t="shared" si="147"/>
        <v>428.68085534336672</v>
      </c>
      <c r="AA310" s="1133">
        <v>374.35791565109253</v>
      </c>
      <c r="AB310" s="1133">
        <v>405.95202258375934</v>
      </c>
      <c r="AC310" s="1133">
        <v>437.54612951642616</v>
      </c>
      <c r="AD310" s="120"/>
      <c r="AE310" s="120"/>
      <c r="AF310" s="120"/>
      <c r="AG310" s="120"/>
      <c r="AH310" s="120"/>
      <c r="AI310" s="120"/>
      <c r="AJ310" s="120"/>
      <c r="AK310" s="120"/>
      <c r="AL310" s="120"/>
      <c r="AM310" s="120"/>
      <c r="AN310" s="120"/>
      <c r="BR310" s="180">
        <v>2024</v>
      </c>
      <c r="BS310" s="22">
        <v>10</v>
      </c>
      <c r="BT310" s="198">
        <f t="shared" si="159"/>
        <v>133.74641957356883</v>
      </c>
      <c r="BU310" s="276">
        <f t="shared" si="160"/>
        <v>241.48820204092624</v>
      </c>
      <c r="BV310" s="205">
        <f t="shared" si="161"/>
        <v>375.23462161449504</v>
      </c>
      <c r="BY310" s="180">
        <v>2024</v>
      </c>
      <c r="BZ310" s="22">
        <v>10</v>
      </c>
      <c r="CA310" s="198">
        <f t="shared" ca="1" si="162"/>
        <v>7.2301513092879341</v>
      </c>
      <c r="CB310" s="198">
        <f t="shared" ca="1" si="163"/>
        <v>101.93375381270184</v>
      </c>
      <c r="CC310" s="276">
        <f t="shared" ca="1" si="174"/>
        <v>262.02183175930418</v>
      </c>
      <c r="CD310" s="205">
        <f t="shared" ca="1" si="164"/>
        <v>371.18573688129396</v>
      </c>
      <c r="CG310" s="180">
        <v>2024</v>
      </c>
      <c r="CH310" s="22">
        <v>10</v>
      </c>
      <c r="CI310" s="198">
        <f t="shared" ca="1" si="165"/>
        <v>1.8534256617247884</v>
      </c>
      <c r="CJ310" s="198">
        <f t="shared" ca="1" si="166"/>
        <v>-5.0024580580956952</v>
      </c>
      <c r="CK310" s="198">
        <f t="shared" ca="1" si="167"/>
        <v>122.17686889006012</v>
      </c>
      <c r="CL310" s="276">
        <f t="shared" ca="1" si="168"/>
        <v>256.95753148120718</v>
      </c>
      <c r="CM310" s="205">
        <f t="shared" ca="1" si="169"/>
        <v>375.98536797489641</v>
      </c>
      <c r="CP310" s="180">
        <v>2024</v>
      </c>
      <c r="CQ310" s="22">
        <v>10</v>
      </c>
      <c r="CR310" s="198">
        <f t="shared" ca="1" si="170"/>
        <v>279.17159696653414</v>
      </c>
      <c r="CS310" s="276">
        <f t="shared" ca="1" si="171"/>
        <v>1.3039549707564988</v>
      </c>
      <c r="CT310" s="205">
        <f t="shared" ca="1" si="172"/>
        <v>364.02719155854209</v>
      </c>
      <c r="CZ310" s="164" t="b">
        <f t="shared" si="148"/>
        <v>1</v>
      </c>
      <c r="DA310" s="165" t="b">
        <f t="shared" si="148"/>
        <v>1</v>
      </c>
      <c r="DB310" s="166" t="b">
        <f t="shared" si="148"/>
        <v>1</v>
      </c>
      <c r="DC310" s="164">
        <f t="shared" si="149"/>
        <v>12</v>
      </c>
      <c r="DD310" s="166">
        <f t="shared" si="150"/>
        <v>367.74129617933113</v>
      </c>
      <c r="DE310" s="164">
        <f t="shared" si="151"/>
        <v>12</v>
      </c>
      <c r="DF310" s="166">
        <f t="shared" si="152"/>
        <v>398.21107576134892</v>
      </c>
      <c r="DG310" s="164">
        <f t="shared" si="153"/>
        <v>12</v>
      </c>
      <c r="DH310" s="166">
        <f t="shared" si="154"/>
        <v>428.68085534336672</v>
      </c>
      <c r="DI310" s="164">
        <f>IFERROR(INDEX(DC$296:DC$344,_xlfn.AGGREGATE(15,6,(ROW(DC$296:DC$344)-ROW(DC$296)+1)/(DC$296:DC$344&lt;&gt;""),ROWS(DI$1:DI15))),"")</f>
        <v>12</v>
      </c>
      <c r="DJ310" s="165">
        <f>IFERROR(INDEX(DD$296:DD$344,_xlfn.AGGREGATE(15,6,(ROW(DD$296:DD$344)-ROW(DD$296)+1)/(DD$296:DD$344&lt;&gt;""),ROWS(DJ$1:DJ15))),"")</f>
        <v>367.74129617933113</v>
      </c>
      <c r="DK310" s="166">
        <f t="shared" si="155"/>
        <v>310</v>
      </c>
      <c r="DL310" s="164">
        <f>IFERROR(INDEX(DE$296:DE$344,_xlfn.AGGREGATE(15,6,(ROW(DE$296:DE$344)-ROW(DE$296)+1)/(DE$296:DE$344&lt;&gt;""),ROWS(DL$1:DL15))),"")</f>
        <v>12</v>
      </c>
      <c r="DM310" s="165">
        <f>IFERROR(INDEX(DF$296:DF$344,_xlfn.AGGREGATE(15,6,(ROW(DF$296:DF$344)-ROW(DF$296)+1)/(DF$296:DF$344&lt;&gt;""),ROWS(DM$1:DM15))),"")</f>
        <v>398.21107576134892</v>
      </c>
      <c r="DN310" s="166">
        <f t="shared" si="156"/>
        <v>310</v>
      </c>
      <c r="DO310" s="164">
        <f>IFERROR(INDEX(DG$296:DG$344,_xlfn.AGGREGATE(15,6,(ROW(DG$296:DG$344)-ROW(DG$296)+1)/(DG$296:DG$344&lt;&gt;""),ROWS(DO$1:DO15))),"")</f>
        <v>12</v>
      </c>
      <c r="DP310" s="165">
        <f>IFERROR(INDEX(DH$296:DH$344,_xlfn.AGGREGATE(15,6,(ROW(DH$296:DH$344)-ROW(DH$296)+1)/(DH$296:DH$344&lt;&gt;""),ROWS(DP$1:DP15))),"")</f>
        <v>428.68085534336672</v>
      </c>
      <c r="DQ310" s="166">
        <f t="shared" si="157"/>
        <v>310</v>
      </c>
      <c r="DV310" s="145">
        <v>2029</v>
      </c>
      <c r="DW310" s="235">
        <f t="shared" ca="1" si="142"/>
        <v>435.22261579390317</v>
      </c>
      <c r="EA310" s="55"/>
      <c r="EB310" s="55"/>
      <c r="EC310" s="55"/>
      <c r="ED310" s="55"/>
      <c r="EE310" s="55"/>
    </row>
    <row r="311" spans="1:135" ht="13.8" x14ac:dyDescent="0.45">
      <c r="B311" s="128">
        <v>2027</v>
      </c>
      <c r="C311" s="1070">
        <v>436.53299086757988</v>
      </c>
      <c r="D311" s="1050">
        <v>376.52806261852828</v>
      </c>
      <c r="E311" s="1069">
        <v>446.21131039795614</v>
      </c>
      <c r="F311" s="1075"/>
      <c r="G311" s="1052"/>
      <c r="H311" s="1036"/>
      <c r="I311" s="1112">
        <v>382.24705882352941</v>
      </c>
      <c r="J311" s="247"/>
      <c r="K311" s="245"/>
      <c r="L311" s="246"/>
      <c r="M311" s="245"/>
      <c r="N311" s="29" t="s">
        <v>119</v>
      </c>
      <c r="O311" s="120"/>
      <c r="P311" s="120"/>
      <c r="Q311" s="120"/>
      <c r="R311" s="29">
        <v>13</v>
      </c>
      <c r="S311" s="238">
        <f t="shared" si="143"/>
        <v>376.52806261852828</v>
      </c>
      <c r="T311" s="238">
        <f t="shared" si="144"/>
        <v>446.21131039795614</v>
      </c>
      <c r="U311" s="238">
        <f t="shared" si="145"/>
        <v>31.246110877151239</v>
      </c>
      <c r="W311" s="238">
        <f t="shared" si="158"/>
        <v>379.13374479974721</v>
      </c>
      <c r="X311" s="238">
        <f t="shared" si="146"/>
        <v>410.37985567689844</v>
      </c>
      <c r="Y311" s="238">
        <f t="shared" si="147"/>
        <v>441.62596655404968</v>
      </c>
      <c r="AA311" s="1133">
        <v>388.93535522552736</v>
      </c>
      <c r="AB311" s="1133">
        <v>419.75745462802143</v>
      </c>
      <c r="AC311" s="1133">
        <v>450.57955403051551</v>
      </c>
      <c r="AD311" s="89"/>
      <c r="AE311" s="89"/>
      <c r="AF311" s="89"/>
      <c r="AG311" s="89"/>
      <c r="AH311" s="89"/>
      <c r="AI311" s="89"/>
      <c r="AJ311" s="89"/>
      <c r="AK311" s="89"/>
      <c r="AL311" s="89"/>
      <c r="AM311" s="89"/>
      <c r="AN311" s="89"/>
      <c r="BR311" s="180">
        <v>2025</v>
      </c>
      <c r="BS311" s="22">
        <v>11</v>
      </c>
      <c r="BT311" s="198">
        <f t="shared" si="159"/>
        <v>147.12106153092572</v>
      </c>
      <c r="BU311" s="276">
        <f t="shared" si="160"/>
        <v>241.48820204092624</v>
      </c>
      <c r="BV311" s="205">
        <f t="shared" si="161"/>
        <v>388.60926357185195</v>
      </c>
      <c r="BY311" s="180">
        <v>2025</v>
      </c>
      <c r="BZ311" s="22">
        <v>11</v>
      </c>
      <c r="CA311" s="198">
        <f t="shared" ca="1" si="162"/>
        <v>8.7484830842383996</v>
      </c>
      <c r="CB311" s="198">
        <f t="shared" ca="1" si="163"/>
        <v>112.12712919397201</v>
      </c>
      <c r="CC311" s="276">
        <f t="shared" ca="1" si="174"/>
        <v>262.02183175930418</v>
      </c>
      <c r="CD311" s="205">
        <f t="shared" ca="1" si="164"/>
        <v>382.89744403751456</v>
      </c>
      <c r="CG311" s="180">
        <v>2025</v>
      </c>
      <c r="CH311" s="22">
        <v>11</v>
      </c>
      <c r="CI311" s="198">
        <f t="shared" ca="1" si="165"/>
        <v>2.4669095557556933</v>
      </c>
      <c r="CJ311" s="198">
        <f t="shared" ca="1" si="166"/>
        <v>-6.0529742502957919</v>
      </c>
      <c r="CK311" s="198">
        <f t="shared" ca="1" si="167"/>
        <v>134.39455577906614</v>
      </c>
      <c r="CL311" s="276">
        <f t="shared" ca="1" si="168"/>
        <v>256.95753148120718</v>
      </c>
      <c r="CM311" s="205">
        <f t="shared" ca="1" si="169"/>
        <v>387.76602256573324</v>
      </c>
      <c r="CP311" s="180">
        <v>2025</v>
      </c>
      <c r="CQ311" s="22">
        <v>11</v>
      </c>
      <c r="CR311" s="198">
        <f t="shared" ca="1" si="170"/>
        <v>279.17159696653414</v>
      </c>
      <c r="CS311" s="276">
        <f t="shared" ca="1" si="171"/>
        <v>1.3390255185017492</v>
      </c>
      <c r="CT311" s="205">
        <f t="shared" ca="1" si="172"/>
        <v>373.81789237907475</v>
      </c>
      <c r="CZ311" s="164" t="b">
        <f t="shared" si="148"/>
        <v>1</v>
      </c>
      <c r="DA311" s="165" t="b">
        <f t="shared" si="148"/>
        <v>1</v>
      </c>
      <c r="DB311" s="166" t="b">
        <f t="shared" si="148"/>
        <v>1</v>
      </c>
      <c r="DC311" s="164">
        <f t="shared" si="149"/>
        <v>13</v>
      </c>
      <c r="DD311" s="166">
        <f t="shared" si="150"/>
        <v>379.13374479974721</v>
      </c>
      <c r="DE311" s="164">
        <f t="shared" si="151"/>
        <v>13</v>
      </c>
      <c r="DF311" s="166">
        <f t="shared" si="152"/>
        <v>410.37985567689844</v>
      </c>
      <c r="DG311" s="164">
        <f t="shared" si="153"/>
        <v>13</v>
      </c>
      <c r="DH311" s="166">
        <f t="shared" si="154"/>
        <v>441.62596655404968</v>
      </c>
      <c r="DI311" s="164">
        <f>IFERROR(INDEX(DC$296:DC$344,_xlfn.AGGREGATE(15,6,(ROW(DC$296:DC$344)-ROW(DC$296)+1)/(DC$296:DC$344&lt;&gt;""),ROWS(DI$1:DI16))),"")</f>
        <v>13</v>
      </c>
      <c r="DJ311" s="165">
        <f>IFERROR(INDEX(DD$296:DD$344,_xlfn.AGGREGATE(15,6,(ROW(DD$296:DD$344)-ROW(DD$296)+1)/(DD$296:DD$344&lt;&gt;""),ROWS(DJ$1:DJ16))),"")</f>
        <v>379.13374479974721</v>
      </c>
      <c r="DK311" s="166">
        <f t="shared" si="155"/>
        <v>311</v>
      </c>
      <c r="DL311" s="164">
        <f>IFERROR(INDEX(DE$296:DE$344,_xlfn.AGGREGATE(15,6,(ROW(DE$296:DE$344)-ROW(DE$296)+1)/(DE$296:DE$344&lt;&gt;""),ROWS(DL$1:DL16))),"")</f>
        <v>13</v>
      </c>
      <c r="DM311" s="165">
        <f>IFERROR(INDEX(DF$296:DF$344,_xlfn.AGGREGATE(15,6,(ROW(DF$296:DF$344)-ROW(DF$296)+1)/(DF$296:DF$344&lt;&gt;""),ROWS(DM$1:DM16))),"")</f>
        <v>410.37985567689844</v>
      </c>
      <c r="DN311" s="166">
        <f t="shared" si="156"/>
        <v>311</v>
      </c>
      <c r="DO311" s="164">
        <f>IFERROR(INDEX(DG$296:DG$344,_xlfn.AGGREGATE(15,6,(ROW(DG$296:DG$344)-ROW(DG$296)+1)/(DG$296:DG$344&lt;&gt;""),ROWS(DO$1:DO16))),"")</f>
        <v>13</v>
      </c>
      <c r="DP311" s="165">
        <f>IFERROR(INDEX(DH$296:DH$344,_xlfn.AGGREGATE(15,6,(ROW(DH$296:DH$344)-ROW(DH$296)+1)/(DH$296:DH$344&lt;&gt;""),ROWS(DP$1:DP16))),"")</f>
        <v>441.62596655404968</v>
      </c>
      <c r="DQ311" s="166">
        <f t="shared" si="157"/>
        <v>311</v>
      </c>
      <c r="DV311" s="145">
        <v>2030</v>
      </c>
      <c r="DW311" s="235">
        <f t="shared" ca="1" si="142"/>
        <v>447.22586058700313</v>
      </c>
    </row>
    <row r="312" spans="1:135" ht="13.8" x14ac:dyDescent="0.45">
      <c r="A312" s="208" t="str">
        <f>$A$62</f>
        <v>Base Cases</v>
      </c>
      <c r="B312" s="128">
        <v>2028</v>
      </c>
      <c r="C312" s="1070">
        <v>450.47305936073053</v>
      </c>
      <c r="D312" s="1050">
        <v>391.52814598449805</v>
      </c>
      <c r="E312" s="1069">
        <v>458.77498620298604</v>
      </c>
      <c r="F312" s="1075"/>
      <c r="G312" s="1052"/>
      <c r="H312" s="1036"/>
      <c r="I312" s="1112">
        <v>389.50588235294117</v>
      </c>
      <c r="J312" s="247"/>
      <c r="K312" s="245"/>
      <c r="L312" s="246"/>
      <c r="M312" s="245"/>
      <c r="N312" s="29" t="s">
        <v>119</v>
      </c>
      <c r="O312" s="120"/>
      <c r="P312" s="120"/>
      <c r="Q312" s="120"/>
      <c r="R312" s="29">
        <v>14</v>
      </c>
      <c r="S312" s="238">
        <f t="shared" si="143"/>
        <v>389.50588235294117</v>
      </c>
      <c r="T312" s="238">
        <f t="shared" si="144"/>
        <v>458.77498620298604</v>
      </c>
      <c r="U312" s="238">
        <f t="shared" si="145"/>
        <v>32.195552189199503</v>
      </c>
      <c r="W312" s="238">
        <f t="shared" si="158"/>
        <v>390.37496628608949</v>
      </c>
      <c r="X312" s="238">
        <f t="shared" si="146"/>
        <v>422.57051847528896</v>
      </c>
      <c r="Y312" s="238">
        <f t="shared" si="147"/>
        <v>454.76607066448844</v>
      </c>
      <c r="AA312" s="1133">
        <v>403.65590525668449</v>
      </c>
      <c r="AB312" s="1133">
        <v>433.59206384940489</v>
      </c>
      <c r="AC312" s="1133">
        <v>463.5282224421253</v>
      </c>
      <c r="AD312" s="114"/>
      <c r="AE312" s="114"/>
      <c r="AF312" s="114"/>
      <c r="AG312" s="114"/>
      <c r="AH312" s="114"/>
      <c r="AI312" s="114"/>
      <c r="AJ312" s="114"/>
      <c r="AK312" s="114"/>
      <c r="AL312" s="114"/>
      <c r="AM312" s="114"/>
      <c r="AN312" s="114"/>
      <c r="BR312" s="180">
        <v>2026</v>
      </c>
      <c r="BS312" s="22">
        <v>12</v>
      </c>
      <c r="BT312" s="198">
        <f t="shared" si="159"/>
        <v>160.49570348828257</v>
      </c>
      <c r="BU312" s="276">
        <f t="shared" si="160"/>
        <v>241.48820204092624</v>
      </c>
      <c r="BV312" s="205">
        <f t="shared" si="161"/>
        <v>401.98390552920881</v>
      </c>
      <c r="BY312" s="180">
        <v>2026</v>
      </c>
      <c r="BZ312" s="22">
        <v>12</v>
      </c>
      <c r="CA312" s="198">
        <f t="shared" ca="1" si="162"/>
        <v>10.411417885374625</v>
      </c>
      <c r="CB312" s="198">
        <f t="shared" ca="1" si="163"/>
        <v>122.3205045752422</v>
      </c>
      <c r="CC312" s="276">
        <f t="shared" ca="1" si="174"/>
        <v>262.02183175930418</v>
      </c>
      <c r="CD312" s="205">
        <f t="shared" ca="1" si="164"/>
        <v>394.75375421992101</v>
      </c>
      <c r="CG312" s="180">
        <v>2026</v>
      </c>
      <c r="CH312" s="22">
        <v>12</v>
      </c>
      <c r="CI312" s="198">
        <f t="shared" ca="1" si="165"/>
        <v>3.2027195434604341</v>
      </c>
      <c r="CJ312" s="198">
        <f t="shared" ca="1" si="166"/>
        <v>-7.2035396036578012</v>
      </c>
      <c r="CK312" s="198">
        <f t="shared" ca="1" si="167"/>
        <v>146.61224266807216</v>
      </c>
      <c r="CL312" s="276">
        <f t="shared" ca="1" si="168"/>
        <v>256.95753148120718</v>
      </c>
      <c r="CM312" s="205">
        <f t="shared" ca="1" si="169"/>
        <v>399.56895408908201</v>
      </c>
      <c r="CP312" s="180">
        <v>2026</v>
      </c>
      <c r="CQ312" s="22">
        <v>12</v>
      </c>
      <c r="CR312" s="198">
        <f t="shared" ca="1" si="170"/>
        <v>279.17159696653414</v>
      </c>
      <c r="CS312" s="276">
        <f t="shared" ca="1" si="171"/>
        <v>1.3750393068854692</v>
      </c>
      <c r="CT312" s="205">
        <f t="shared" ca="1" si="172"/>
        <v>383.87191919497263</v>
      </c>
      <c r="CZ312" s="164" t="b">
        <f t="shared" si="148"/>
        <v>1</v>
      </c>
      <c r="DA312" s="165" t="b">
        <f t="shared" si="148"/>
        <v>1</v>
      </c>
      <c r="DB312" s="166" t="b">
        <f t="shared" si="148"/>
        <v>1</v>
      </c>
      <c r="DC312" s="164">
        <f t="shared" si="149"/>
        <v>14</v>
      </c>
      <c r="DD312" s="166">
        <f t="shared" si="150"/>
        <v>390.37496628608949</v>
      </c>
      <c r="DE312" s="164">
        <f t="shared" si="151"/>
        <v>14</v>
      </c>
      <c r="DF312" s="166">
        <f t="shared" si="152"/>
        <v>422.57051847528896</v>
      </c>
      <c r="DG312" s="164">
        <f t="shared" si="153"/>
        <v>14</v>
      </c>
      <c r="DH312" s="166">
        <f t="shared" si="154"/>
        <v>454.76607066448844</v>
      </c>
      <c r="DI312" s="164">
        <f>IFERROR(INDEX(DC$296:DC$344,_xlfn.AGGREGATE(15,6,(ROW(DC$296:DC$344)-ROW(DC$296)+1)/(DC$296:DC$344&lt;&gt;""),ROWS(DI$1:DI17))),"")</f>
        <v>14</v>
      </c>
      <c r="DJ312" s="165">
        <f>IFERROR(INDEX(DD$296:DD$344,_xlfn.AGGREGATE(15,6,(ROW(DD$296:DD$344)-ROW(DD$296)+1)/(DD$296:DD$344&lt;&gt;""),ROWS(DJ$1:DJ17))),"")</f>
        <v>390.37496628608949</v>
      </c>
      <c r="DK312" s="166">
        <f t="shared" si="155"/>
        <v>312</v>
      </c>
      <c r="DL312" s="164">
        <f>IFERROR(INDEX(DE$296:DE$344,_xlfn.AGGREGATE(15,6,(ROW(DE$296:DE$344)-ROW(DE$296)+1)/(DE$296:DE$344&lt;&gt;""),ROWS(DL$1:DL17))),"")</f>
        <v>14</v>
      </c>
      <c r="DM312" s="165">
        <f>IFERROR(INDEX(DF$296:DF$344,_xlfn.AGGREGATE(15,6,(ROW(DF$296:DF$344)-ROW(DF$296)+1)/(DF$296:DF$344&lt;&gt;""),ROWS(DM$1:DM17))),"")</f>
        <v>422.57051847528896</v>
      </c>
      <c r="DN312" s="166">
        <f t="shared" si="156"/>
        <v>312</v>
      </c>
      <c r="DO312" s="164">
        <f>IFERROR(INDEX(DG$296:DG$344,_xlfn.AGGREGATE(15,6,(ROW(DG$296:DG$344)-ROW(DG$296)+1)/(DG$296:DG$344&lt;&gt;""),ROWS(DO$1:DO17))),"")</f>
        <v>14</v>
      </c>
      <c r="DP312" s="165">
        <f>IFERROR(INDEX(DH$296:DH$344,_xlfn.AGGREGATE(15,6,(ROW(DH$296:DH$344)-ROW(DH$296)+1)/(DH$296:DH$344&lt;&gt;""),ROWS(DP$1:DP17))),"")</f>
        <v>454.76607066448844</v>
      </c>
      <c r="DQ312" s="166">
        <f t="shared" si="157"/>
        <v>312</v>
      </c>
      <c r="DV312" s="145">
        <v>2031</v>
      </c>
      <c r="DW312" s="235">
        <f t="shared" ca="1" si="142"/>
        <v>459.30698508246672</v>
      </c>
    </row>
    <row r="313" spans="1:135" ht="13.8" x14ac:dyDescent="0.45">
      <c r="A313" s="209" t="str">
        <f>$A$63</f>
        <v>Conservative Cases</v>
      </c>
      <c r="B313" s="128">
        <v>2029</v>
      </c>
      <c r="C313" s="1070">
        <v>464.41312785388124</v>
      </c>
      <c r="D313" s="1050">
        <v>406.72874626205515</v>
      </c>
      <c r="E313" s="1069">
        <v>471.27096335222853</v>
      </c>
      <c r="F313" s="1075"/>
      <c r="G313" s="1052"/>
      <c r="H313" s="1036"/>
      <c r="I313" s="1112">
        <v>396.76470588235298</v>
      </c>
      <c r="J313" s="247"/>
      <c r="K313" s="245"/>
      <c r="L313" s="246"/>
      <c r="M313" s="245"/>
      <c r="N313" s="29" t="s">
        <v>119</v>
      </c>
      <c r="O313" s="120"/>
      <c r="P313" s="120"/>
      <c r="Q313" s="120"/>
      <c r="R313" s="29">
        <v>15</v>
      </c>
      <c r="S313" s="238">
        <f t="shared" si="143"/>
        <v>396.76470588235298</v>
      </c>
      <c r="T313" s="238">
        <f t="shared" si="144"/>
        <v>471.27096335222853</v>
      </c>
      <c r="U313" s="238">
        <f t="shared" si="145"/>
        <v>33.323217387020996</v>
      </c>
      <c r="W313" s="238">
        <f t="shared" si="158"/>
        <v>401.4711684506085</v>
      </c>
      <c r="X313" s="238">
        <f t="shared" si="146"/>
        <v>434.79438583762948</v>
      </c>
      <c r="Y313" s="238">
        <f t="shared" si="147"/>
        <v>468.11760322465045</v>
      </c>
      <c r="AA313" s="1133">
        <v>418.526140926604</v>
      </c>
      <c r="AB313" s="1133">
        <v>447.47094582272166</v>
      </c>
      <c r="AC313" s="1133">
        <v>476.41575071883932</v>
      </c>
      <c r="AD313" s="89"/>
      <c r="AE313" s="89"/>
      <c r="AF313" s="89"/>
      <c r="AG313" s="89"/>
      <c r="AH313" s="89"/>
      <c r="AI313" s="89"/>
      <c r="AJ313" s="89"/>
      <c r="AK313" s="89"/>
      <c r="AL313" s="89"/>
      <c r="AM313" s="89"/>
      <c r="AN313" s="89"/>
      <c r="BR313" s="180">
        <v>2027</v>
      </c>
      <c r="BS313" s="22">
        <v>13</v>
      </c>
      <c r="BT313" s="198">
        <f t="shared" si="159"/>
        <v>173.87034544563946</v>
      </c>
      <c r="BU313" s="276">
        <f t="shared" si="160"/>
        <v>241.48820204092624</v>
      </c>
      <c r="BV313" s="205">
        <f t="shared" si="161"/>
        <v>415.35854748656573</v>
      </c>
      <c r="BY313" s="180">
        <v>2027</v>
      </c>
      <c r="BZ313" s="22">
        <v>13</v>
      </c>
      <c r="CA313" s="198">
        <f t="shared" ca="1" si="162"/>
        <v>12.218955712696609</v>
      </c>
      <c r="CB313" s="198">
        <f t="shared" ca="1" si="163"/>
        <v>132.51387995651237</v>
      </c>
      <c r="CC313" s="276">
        <f t="shared" ca="1" si="174"/>
        <v>262.02183175930418</v>
      </c>
      <c r="CD313" s="205">
        <f t="shared" ca="1" si="164"/>
        <v>406.75466742851313</v>
      </c>
      <c r="CG313" s="180">
        <v>2027</v>
      </c>
      <c r="CH313" s="22">
        <v>13</v>
      </c>
      <c r="CI313" s="198">
        <f t="shared" ca="1" si="165"/>
        <v>4.0719761788093605</v>
      </c>
      <c r="CJ313" s="198">
        <f t="shared" ca="1" si="166"/>
        <v>-8.4541541181817248</v>
      </c>
      <c r="CK313" s="198">
        <f t="shared" ca="1" si="167"/>
        <v>158.82992955707817</v>
      </c>
      <c r="CL313" s="276">
        <f t="shared" ca="1" si="168"/>
        <v>256.95753148120718</v>
      </c>
      <c r="CM313" s="205">
        <f t="shared" ca="1" si="169"/>
        <v>411.405283098913</v>
      </c>
      <c r="CP313" s="180">
        <v>2027</v>
      </c>
      <c r="CQ313" s="22">
        <v>13</v>
      </c>
      <c r="CR313" s="198">
        <f t="shared" ca="1" si="170"/>
        <v>279.17159696653414</v>
      </c>
      <c r="CS313" s="276">
        <f t="shared" ca="1" si="171"/>
        <v>1.412021704855658</v>
      </c>
      <c r="CT313" s="205">
        <f t="shared" ca="1" si="172"/>
        <v>394.19635429596218</v>
      </c>
      <c r="CZ313" s="164" t="b">
        <f t="shared" si="148"/>
        <v>1</v>
      </c>
      <c r="DA313" s="165" t="b">
        <f t="shared" si="148"/>
        <v>1</v>
      </c>
      <c r="DB313" s="166" t="b">
        <f t="shared" si="148"/>
        <v>1</v>
      </c>
      <c r="DC313" s="164">
        <f t="shared" si="149"/>
        <v>15</v>
      </c>
      <c r="DD313" s="166">
        <f t="shared" si="150"/>
        <v>401.4711684506085</v>
      </c>
      <c r="DE313" s="164">
        <f t="shared" si="151"/>
        <v>15</v>
      </c>
      <c r="DF313" s="166">
        <f t="shared" si="152"/>
        <v>434.79438583762948</v>
      </c>
      <c r="DG313" s="164">
        <f t="shared" si="153"/>
        <v>15</v>
      </c>
      <c r="DH313" s="166">
        <f t="shared" si="154"/>
        <v>468.11760322465045</v>
      </c>
      <c r="DI313" s="164">
        <f>IFERROR(INDEX(DC$296:DC$344,_xlfn.AGGREGATE(15,6,(ROW(DC$296:DC$344)-ROW(DC$296)+1)/(DC$296:DC$344&lt;&gt;""),ROWS(DI$1:DI18))),"")</f>
        <v>15</v>
      </c>
      <c r="DJ313" s="165">
        <f>IFERROR(INDEX(DD$296:DD$344,_xlfn.AGGREGATE(15,6,(ROW(DD$296:DD$344)-ROW(DD$296)+1)/(DD$296:DD$344&lt;&gt;""),ROWS(DJ$1:DJ18))),"")</f>
        <v>401.4711684506085</v>
      </c>
      <c r="DK313" s="166">
        <f t="shared" si="155"/>
        <v>313</v>
      </c>
      <c r="DL313" s="164">
        <f>IFERROR(INDEX(DE$296:DE$344,_xlfn.AGGREGATE(15,6,(ROW(DE$296:DE$344)-ROW(DE$296)+1)/(DE$296:DE$344&lt;&gt;""),ROWS(DL$1:DL18))),"")</f>
        <v>15</v>
      </c>
      <c r="DM313" s="165">
        <f>IFERROR(INDEX(DF$296:DF$344,_xlfn.AGGREGATE(15,6,(ROW(DF$296:DF$344)-ROW(DF$296)+1)/(DF$296:DF$344&lt;&gt;""),ROWS(DM$1:DM18))),"")</f>
        <v>434.79438583762948</v>
      </c>
      <c r="DN313" s="166">
        <f t="shared" si="156"/>
        <v>313</v>
      </c>
      <c r="DO313" s="164">
        <f>IFERROR(INDEX(DG$296:DG$344,_xlfn.AGGREGATE(15,6,(ROW(DG$296:DG$344)-ROW(DG$296)+1)/(DG$296:DG$344&lt;&gt;""),ROWS(DO$1:DO18))),"")</f>
        <v>15</v>
      </c>
      <c r="DP313" s="165">
        <f>IFERROR(INDEX(DH$296:DH$344,_xlfn.AGGREGATE(15,6,(ROW(DH$296:DH$344)-ROW(DH$296)+1)/(DH$296:DH$344&lt;&gt;""),ROWS(DP$1:DP18))),"")</f>
        <v>468.11760322465045</v>
      </c>
      <c r="DQ313" s="166">
        <f t="shared" si="157"/>
        <v>313</v>
      </c>
      <c r="DV313" s="145">
        <v>2032</v>
      </c>
      <c r="DW313" s="235">
        <f t="shared" ca="1" si="142"/>
        <v>471.4771098342643</v>
      </c>
    </row>
    <row r="314" spans="1:135" ht="13.8" x14ac:dyDescent="0.45">
      <c r="A314" s="210" t="str">
        <f>$A$64</f>
        <v>Ambitious Cases</v>
      </c>
      <c r="B314" s="128">
        <v>2030</v>
      </c>
      <c r="C314" s="1070">
        <v>478.35319634703194</v>
      </c>
      <c r="D314" s="1050">
        <v>423.37901223527342</v>
      </c>
      <c r="E314" s="1069">
        <v>483.73671914143273</v>
      </c>
      <c r="F314" s="1075"/>
      <c r="G314" s="1052"/>
      <c r="H314" s="1036"/>
      <c r="I314" s="1112">
        <v>404.02352941176474</v>
      </c>
      <c r="J314" s="247"/>
      <c r="K314" s="245"/>
      <c r="L314" s="246"/>
      <c r="M314" s="245"/>
      <c r="N314" s="29" t="s">
        <v>119</v>
      </c>
      <c r="O314" s="120"/>
      <c r="P314" s="120"/>
      <c r="Q314" s="120"/>
      <c r="R314" s="29">
        <v>16</v>
      </c>
      <c r="S314" s="238">
        <f t="shared" si="143"/>
        <v>404.02352941176474</v>
      </c>
      <c r="T314" s="238">
        <f t="shared" si="144"/>
        <v>483.73671914143273</v>
      </c>
      <c r="U314" s="238">
        <f t="shared" si="145"/>
        <v>34.412863454599105</v>
      </c>
      <c r="W314" s="238">
        <f t="shared" si="158"/>
        <v>412.96025082927656</v>
      </c>
      <c r="X314" s="238">
        <f t="shared" si="146"/>
        <v>447.37311428387568</v>
      </c>
      <c r="Y314" s="238">
        <f t="shared" si="147"/>
        <v>481.7859777384748</v>
      </c>
      <c r="AA314" s="1133">
        <v>434.55028704686998</v>
      </c>
      <c r="AB314" s="1133">
        <v>461.82297590791268</v>
      </c>
      <c r="AC314" s="1133">
        <v>489.09566476895537</v>
      </c>
      <c r="AD314" s="89"/>
      <c r="AE314" s="89"/>
      <c r="AF314" s="89"/>
      <c r="AG314" s="89"/>
      <c r="AH314" s="89"/>
      <c r="AI314" s="89"/>
      <c r="AJ314" s="89"/>
      <c r="AK314" s="89"/>
      <c r="AL314" s="89"/>
      <c r="AM314" s="89"/>
      <c r="AN314" s="89"/>
      <c r="BR314" s="180">
        <v>2028</v>
      </c>
      <c r="BS314" s="22">
        <v>14</v>
      </c>
      <c r="BT314" s="198">
        <f t="shared" si="159"/>
        <v>187.24498740299634</v>
      </c>
      <c r="BU314" s="276">
        <f t="shared" si="160"/>
        <v>241.48820204092624</v>
      </c>
      <c r="BV314" s="205">
        <f t="shared" si="161"/>
        <v>428.73318944392258</v>
      </c>
      <c r="BY314" s="180">
        <v>2028</v>
      </c>
      <c r="BZ314" s="22">
        <v>14</v>
      </c>
      <c r="CA314" s="198">
        <f t="shared" ca="1" si="162"/>
        <v>14.171096566204351</v>
      </c>
      <c r="CB314" s="198">
        <f t="shared" ca="1" si="163"/>
        <v>142.70725533778256</v>
      </c>
      <c r="CC314" s="276">
        <f t="shared" ca="1" si="174"/>
        <v>262.02183175930418</v>
      </c>
      <c r="CD314" s="205">
        <f t="shared" ca="1" si="164"/>
        <v>418.90018366329105</v>
      </c>
      <c r="CG314" s="180">
        <v>2028</v>
      </c>
      <c r="CH314" s="22">
        <v>14</v>
      </c>
      <c r="CI314" s="198">
        <f t="shared" ca="1" si="165"/>
        <v>5.0858000157728194</v>
      </c>
      <c r="CJ314" s="198">
        <f t="shared" ca="1" si="166"/>
        <v>-9.8048177938675636</v>
      </c>
      <c r="CK314" s="198">
        <f t="shared" ca="1" si="167"/>
        <v>171.04761644608416</v>
      </c>
      <c r="CL314" s="276">
        <f t="shared" ca="1" si="168"/>
        <v>256.95753148120718</v>
      </c>
      <c r="CM314" s="205">
        <f t="shared" ca="1" si="169"/>
        <v>423.28613014919659</v>
      </c>
      <c r="CP314" s="180">
        <v>2028</v>
      </c>
      <c r="CQ314" s="22">
        <v>14</v>
      </c>
      <c r="CR314" s="198">
        <f t="shared" ca="1" si="170"/>
        <v>279.17159696653414</v>
      </c>
      <c r="CS314" s="276">
        <f t="shared" ca="1" si="171"/>
        <v>1.449998763671378</v>
      </c>
      <c r="CT314" s="205">
        <f t="shared" ca="1" si="172"/>
        <v>404.79847045363874</v>
      </c>
      <c r="CZ314" s="164" t="b">
        <f t="shared" si="148"/>
        <v>1</v>
      </c>
      <c r="DA314" s="165" t="b">
        <f t="shared" si="148"/>
        <v>1</v>
      </c>
      <c r="DB314" s="166" t="b">
        <f t="shared" si="148"/>
        <v>1</v>
      </c>
      <c r="DC314" s="164">
        <f t="shared" si="149"/>
        <v>16</v>
      </c>
      <c r="DD314" s="166">
        <f t="shared" si="150"/>
        <v>412.96025082927656</v>
      </c>
      <c r="DE314" s="164">
        <f t="shared" si="151"/>
        <v>16</v>
      </c>
      <c r="DF314" s="166">
        <f t="shared" si="152"/>
        <v>447.37311428387568</v>
      </c>
      <c r="DG314" s="164">
        <f t="shared" si="153"/>
        <v>16</v>
      </c>
      <c r="DH314" s="166">
        <f t="shared" si="154"/>
        <v>481.7859777384748</v>
      </c>
      <c r="DI314" s="164">
        <f>IFERROR(INDEX(DC$296:DC$344,_xlfn.AGGREGATE(15,6,(ROW(DC$296:DC$344)-ROW(DC$296)+1)/(DC$296:DC$344&lt;&gt;""),ROWS(DI$1:DI19))),"")</f>
        <v>16</v>
      </c>
      <c r="DJ314" s="165">
        <f>IFERROR(INDEX(DD$296:DD$344,_xlfn.AGGREGATE(15,6,(ROW(DD$296:DD$344)-ROW(DD$296)+1)/(DD$296:DD$344&lt;&gt;""),ROWS(DJ$1:DJ19))),"")</f>
        <v>412.96025082927656</v>
      </c>
      <c r="DK314" s="166">
        <f t="shared" si="155"/>
        <v>314</v>
      </c>
      <c r="DL314" s="164">
        <f>IFERROR(INDEX(DE$296:DE$344,_xlfn.AGGREGATE(15,6,(ROW(DE$296:DE$344)-ROW(DE$296)+1)/(DE$296:DE$344&lt;&gt;""),ROWS(DL$1:DL19))),"")</f>
        <v>16</v>
      </c>
      <c r="DM314" s="165">
        <f>IFERROR(INDEX(DF$296:DF$344,_xlfn.AGGREGATE(15,6,(ROW(DF$296:DF$344)-ROW(DF$296)+1)/(DF$296:DF$344&lt;&gt;""),ROWS(DM$1:DM19))),"")</f>
        <v>447.37311428387568</v>
      </c>
      <c r="DN314" s="166">
        <f t="shared" si="156"/>
        <v>314</v>
      </c>
      <c r="DO314" s="164">
        <f>IFERROR(INDEX(DG$296:DG$344,_xlfn.AGGREGATE(15,6,(ROW(DG$296:DG$344)-ROW(DG$296)+1)/(DG$296:DG$344&lt;&gt;""),ROWS(DO$1:DO19))),"")</f>
        <v>16</v>
      </c>
      <c r="DP314" s="165">
        <f>IFERROR(INDEX(DH$296:DH$344,_xlfn.AGGREGATE(15,6,(ROW(DH$296:DH$344)-ROW(DH$296)+1)/(DH$296:DH$344&lt;&gt;""),ROWS(DP$1:DP19))),"")</f>
        <v>481.7859777384748</v>
      </c>
      <c r="DQ314" s="166">
        <f t="shared" si="157"/>
        <v>314</v>
      </c>
      <c r="DV314" s="145">
        <v>2033</v>
      </c>
      <c r="DW314" s="235">
        <f t="shared" ca="1" si="142"/>
        <v>483.74735539636629</v>
      </c>
    </row>
    <row r="315" spans="1:135" ht="13.8" x14ac:dyDescent="0.45">
      <c r="A315" s="211" t="str">
        <f>$A$65</f>
        <v>Maximum Cases</v>
      </c>
      <c r="B315" s="128">
        <v>2031</v>
      </c>
      <c r="C315" s="1070">
        <v>492.29326484018259</v>
      </c>
      <c r="D315" s="1050">
        <v>437.75883556632976</v>
      </c>
      <c r="E315" s="1069">
        <v>496.20973086634808</v>
      </c>
      <c r="F315" s="1075"/>
      <c r="G315" s="1052"/>
      <c r="H315" s="1036"/>
      <c r="I315" s="1112">
        <v>411.2823529411765</v>
      </c>
      <c r="J315" s="247"/>
      <c r="K315" s="245"/>
      <c r="L315" s="246"/>
      <c r="M315" s="245"/>
      <c r="N315" s="29" t="s">
        <v>119</v>
      </c>
      <c r="O315" s="120"/>
      <c r="P315" s="120"/>
      <c r="Q315" s="120"/>
      <c r="R315" s="29">
        <v>17</v>
      </c>
      <c r="S315" s="238">
        <f t="shared" si="143"/>
        <v>411.2823529411765</v>
      </c>
      <c r="T315" s="238">
        <f t="shared" si="144"/>
        <v>496.20973086634808</v>
      </c>
      <c r="U315" s="238">
        <f t="shared" si="145"/>
        <v>36.126757175158758</v>
      </c>
      <c r="W315" s="238">
        <f t="shared" si="158"/>
        <v>423.2592888783505</v>
      </c>
      <c r="X315" s="238">
        <f t="shared" si="146"/>
        <v>459.38604605350923</v>
      </c>
      <c r="Y315" s="238">
        <f t="shared" si="147"/>
        <v>495.51280322866796</v>
      </c>
      <c r="AA315" s="1133">
        <v>448.74175936679052</v>
      </c>
      <c r="AB315" s="1133">
        <v>475.42061042428685</v>
      </c>
      <c r="AC315" s="1133">
        <v>502.09946148178318</v>
      </c>
      <c r="AD315" s="89"/>
      <c r="AE315" s="89"/>
      <c r="AF315" s="89"/>
      <c r="AG315" s="89"/>
      <c r="AH315" s="89"/>
      <c r="AI315" s="89"/>
      <c r="AJ315" s="89"/>
      <c r="AK315" s="89"/>
      <c r="AL315" s="89"/>
      <c r="AM315" s="89"/>
      <c r="AN315" s="89"/>
      <c r="BR315" s="180">
        <v>2029</v>
      </c>
      <c r="BS315" s="22">
        <v>15</v>
      </c>
      <c r="BT315" s="198">
        <f t="shared" si="159"/>
        <v>200.61962936035323</v>
      </c>
      <c r="BU315" s="276">
        <f t="shared" si="160"/>
        <v>241.48820204092624</v>
      </c>
      <c r="BV315" s="205">
        <f t="shared" si="161"/>
        <v>442.10783140127944</v>
      </c>
      <c r="BY315" s="180">
        <v>2029</v>
      </c>
      <c r="BZ315" s="22">
        <v>15</v>
      </c>
      <c r="CA315" s="198">
        <f t="shared" ca="1" si="162"/>
        <v>16.267840445897853</v>
      </c>
      <c r="CB315" s="198">
        <f t="shared" ca="1" si="163"/>
        <v>152.90063071905274</v>
      </c>
      <c r="CC315" s="276">
        <f t="shared" ca="1" si="174"/>
        <v>262.02183175930418</v>
      </c>
      <c r="CD315" s="205">
        <f t="shared" ca="1" si="164"/>
        <v>431.19030292425475</v>
      </c>
      <c r="CG315" s="180">
        <v>2029</v>
      </c>
      <c r="CH315" s="22">
        <v>15</v>
      </c>
      <c r="CI315" s="198">
        <f t="shared" ca="1" si="165"/>
        <v>6.2553116083211604</v>
      </c>
      <c r="CJ315" s="198">
        <f t="shared" ca="1" si="166"/>
        <v>-11.255530630715315</v>
      </c>
      <c r="CK315" s="198">
        <f t="shared" ca="1" si="167"/>
        <v>183.26530333509018</v>
      </c>
      <c r="CL315" s="276">
        <f t="shared" ca="1" si="168"/>
        <v>256.95753148120718</v>
      </c>
      <c r="CM315" s="205">
        <f t="shared" ca="1" si="169"/>
        <v>435.22261579390317</v>
      </c>
      <c r="CP315" s="180">
        <v>2029</v>
      </c>
      <c r="CQ315" s="22">
        <v>15</v>
      </c>
      <c r="CR315" s="198">
        <f t="shared" ca="1" si="170"/>
        <v>279.17159696653414</v>
      </c>
      <c r="CS315" s="276">
        <f t="shared" ca="1" si="171"/>
        <v>1.4889972352538658</v>
      </c>
      <c r="CT315" s="205">
        <f t="shared" ca="1" si="172"/>
        <v>415.68573604457583</v>
      </c>
      <c r="CZ315" s="164" t="b">
        <f t="shared" si="148"/>
        <v>1</v>
      </c>
      <c r="DA315" s="165" t="b">
        <f t="shared" si="148"/>
        <v>1</v>
      </c>
      <c r="DB315" s="166" t="b">
        <f t="shared" si="148"/>
        <v>1</v>
      </c>
      <c r="DC315" s="164">
        <f t="shared" si="149"/>
        <v>17</v>
      </c>
      <c r="DD315" s="166">
        <f t="shared" si="150"/>
        <v>423.2592888783505</v>
      </c>
      <c r="DE315" s="164">
        <f t="shared" si="151"/>
        <v>17</v>
      </c>
      <c r="DF315" s="166">
        <f t="shared" si="152"/>
        <v>459.38604605350923</v>
      </c>
      <c r="DG315" s="164">
        <f t="shared" si="153"/>
        <v>17</v>
      </c>
      <c r="DH315" s="166">
        <f t="shared" si="154"/>
        <v>495.51280322866796</v>
      </c>
      <c r="DI315" s="164">
        <f>IFERROR(INDEX(DC$296:DC$344,_xlfn.AGGREGATE(15,6,(ROW(DC$296:DC$344)-ROW(DC$296)+1)/(DC$296:DC$344&lt;&gt;""),ROWS(DI$1:DI20))),"")</f>
        <v>17</v>
      </c>
      <c r="DJ315" s="165">
        <f>IFERROR(INDEX(DD$296:DD$344,_xlfn.AGGREGATE(15,6,(ROW(DD$296:DD$344)-ROW(DD$296)+1)/(DD$296:DD$344&lt;&gt;""),ROWS(DJ$1:DJ20))),"")</f>
        <v>423.2592888783505</v>
      </c>
      <c r="DK315" s="166">
        <f t="shared" si="155"/>
        <v>315</v>
      </c>
      <c r="DL315" s="164">
        <f>IFERROR(INDEX(DE$296:DE$344,_xlfn.AGGREGATE(15,6,(ROW(DE$296:DE$344)-ROW(DE$296)+1)/(DE$296:DE$344&lt;&gt;""),ROWS(DL$1:DL20))),"")</f>
        <v>17</v>
      </c>
      <c r="DM315" s="165">
        <f>IFERROR(INDEX(DF$296:DF$344,_xlfn.AGGREGATE(15,6,(ROW(DF$296:DF$344)-ROW(DF$296)+1)/(DF$296:DF$344&lt;&gt;""),ROWS(DM$1:DM20))),"")</f>
        <v>459.38604605350923</v>
      </c>
      <c r="DN315" s="166">
        <f t="shared" si="156"/>
        <v>315</v>
      </c>
      <c r="DO315" s="164">
        <f>IFERROR(INDEX(DG$296:DG$344,_xlfn.AGGREGATE(15,6,(ROW(DG$296:DG$344)-ROW(DG$296)+1)/(DG$296:DG$344&lt;&gt;""),ROWS(DO$1:DO20))),"")</f>
        <v>17</v>
      </c>
      <c r="DP315" s="165">
        <f>IFERROR(INDEX(DH$296:DH$344,_xlfn.AGGREGATE(15,6,(ROW(DH$296:DH$344)-ROW(DH$296)+1)/(DH$296:DH$344&lt;&gt;""),ROWS(DP$1:DP20))),"")</f>
        <v>495.51280322866796</v>
      </c>
      <c r="DQ315" s="166">
        <f t="shared" si="157"/>
        <v>315</v>
      </c>
      <c r="DV315" s="145">
        <v>2034</v>
      </c>
      <c r="DW315" s="235">
        <f t="shared" ca="1" si="142"/>
        <v>496.12884232274291</v>
      </c>
    </row>
    <row r="316" spans="1:135" ht="13.8" x14ac:dyDescent="0.45">
      <c r="B316" s="128">
        <v>2032</v>
      </c>
      <c r="C316" s="1070">
        <v>506.23333333333329</v>
      </c>
      <c r="D316" s="1050">
        <v>453.25438920222382</v>
      </c>
      <c r="E316" s="1069">
        <v>508.72747582272405</v>
      </c>
      <c r="F316" s="1075"/>
      <c r="G316" s="1052"/>
      <c r="H316" s="1036"/>
      <c r="I316" s="1112">
        <v>418.54117647058831</v>
      </c>
      <c r="J316" s="247"/>
      <c r="K316" s="245"/>
      <c r="L316" s="246"/>
      <c r="M316" s="245"/>
      <c r="N316" s="29" t="s">
        <v>119</v>
      </c>
      <c r="O316" s="120"/>
      <c r="P316" s="120"/>
      <c r="Q316" s="120"/>
      <c r="R316" s="29">
        <v>18</v>
      </c>
      <c r="S316" s="238">
        <f t="shared" si="143"/>
        <v>418.54117647058831</v>
      </c>
      <c r="T316" s="238">
        <f t="shared" si="144"/>
        <v>508.72747582272405</v>
      </c>
      <c r="U316" s="238">
        <f t="shared" si="145"/>
        <v>37.847343624945481</v>
      </c>
      <c r="W316" s="238">
        <f t="shared" si="158"/>
        <v>433.84175008227186</v>
      </c>
      <c r="X316" s="238">
        <f t="shared" si="146"/>
        <v>471.68909370721735</v>
      </c>
      <c r="Y316" s="238">
        <f t="shared" si="147"/>
        <v>509.53643733216285</v>
      </c>
      <c r="AA316" s="1133">
        <v>463.8224057434569</v>
      </c>
      <c r="AB316" s="1133">
        <v>489.40506611942709</v>
      </c>
      <c r="AC316" s="1133">
        <v>514.98772649539728</v>
      </c>
      <c r="AD316" s="89"/>
      <c r="AE316" s="89"/>
      <c r="AF316" s="89"/>
      <c r="AG316" s="89"/>
      <c r="AH316" s="89"/>
      <c r="AI316" s="89"/>
      <c r="AJ316" s="89"/>
      <c r="AK316" s="89"/>
      <c r="AL316" s="89"/>
      <c r="AM316" s="89"/>
      <c r="AN316" s="89"/>
      <c r="BR316" s="180">
        <v>2030</v>
      </c>
      <c r="BS316" s="22">
        <v>16</v>
      </c>
      <c r="BT316" s="198">
        <f t="shared" si="159"/>
        <v>213.99427131771012</v>
      </c>
      <c r="BU316" s="276">
        <f t="shared" si="160"/>
        <v>241.48820204092624</v>
      </c>
      <c r="BV316" s="205">
        <f t="shared" si="161"/>
        <v>455.48247335863635</v>
      </c>
      <c r="BY316" s="180">
        <v>2030</v>
      </c>
      <c r="BZ316" s="22">
        <v>16</v>
      </c>
      <c r="CA316" s="198">
        <f t="shared" ca="1" si="162"/>
        <v>18.509187351777111</v>
      </c>
      <c r="CB316" s="198">
        <f t="shared" ca="1" si="163"/>
        <v>163.09400610032293</v>
      </c>
      <c r="CC316" s="276">
        <f t="shared" ca="1" si="174"/>
        <v>262.02183175930418</v>
      </c>
      <c r="CD316" s="205">
        <f t="shared" ca="1" si="164"/>
        <v>443.62502521140425</v>
      </c>
      <c r="CG316" s="180">
        <v>2030</v>
      </c>
      <c r="CH316" s="22">
        <v>16</v>
      </c>
      <c r="CI316" s="198">
        <f t="shared" ca="1" si="165"/>
        <v>7.5916315104247332</v>
      </c>
      <c r="CJ316" s="198">
        <f t="shared" ca="1" si="166"/>
        <v>-12.806292628724981</v>
      </c>
      <c r="CK316" s="198">
        <f t="shared" ca="1" si="167"/>
        <v>195.4829902240962</v>
      </c>
      <c r="CL316" s="276">
        <f t="shared" ca="1" si="168"/>
        <v>256.95753148120718</v>
      </c>
      <c r="CM316" s="205">
        <f t="shared" ca="1" si="169"/>
        <v>447.22586058700313</v>
      </c>
      <c r="CP316" s="180">
        <v>2030</v>
      </c>
      <c r="CQ316" s="22">
        <v>16</v>
      </c>
      <c r="CR316" s="198">
        <f t="shared" ca="1" si="170"/>
        <v>279.17159696653414</v>
      </c>
      <c r="CS316" s="276">
        <f t="shared" ca="1" si="171"/>
        <v>1.5290445910312058</v>
      </c>
      <c r="CT316" s="205">
        <f t="shared" ca="1" si="172"/>
        <v>426.86582031122282</v>
      </c>
      <c r="CZ316" s="164" t="b">
        <f t="shared" si="148"/>
        <v>1</v>
      </c>
      <c r="DA316" s="165" t="b">
        <f t="shared" si="148"/>
        <v>1</v>
      </c>
      <c r="DB316" s="166" t="b">
        <f t="shared" si="148"/>
        <v>1</v>
      </c>
      <c r="DC316" s="164">
        <f t="shared" si="149"/>
        <v>18</v>
      </c>
      <c r="DD316" s="166">
        <f t="shared" si="150"/>
        <v>433.84175008227186</v>
      </c>
      <c r="DE316" s="164">
        <f t="shared" si="151"/>
        <v>18</v>
      </c>
      <c r="DF316" s="166">
        <f t="shared" si="152"/>
        <v>471.68909370721735</v>
      </c>
      <c r="DG316" s="164">
        <f t="shared" si="153"/>
        <v>18</v>
      </c>
      <c r="DH316" s="166">
        <f t="shared" si="154"/>
        <v>509.53643733216285</v>
      </c>
      <c r="DI316" s="164">
        <f>IFERROR(INDEX(DC$296:DC$344,_xlfn.AGGREGATE(15,6,(ROW(DC$296:DC$344)-ROW(DC$296)+1)/(DC$296:DC$344&lt;&gt;""),ROWS(DI$1:DI21))),"")</f>
        <v>18</v>
      </c>
      <c r="DJ316" s="165">
        <f>IFERROR(INDEX(DD$296:DD$344,_xlfn.AGGREGATE(15,6,(ROW(DD$296:DD$344)-ROW(DD$296)+1)/(DD$296:DD$344&lt;&gt;""),ROWS(DJ$1:DJ21))),"")</f>
        <v>433.84175008227186</v>
      </c>
      <c r="DK316" s="166">
        <f t="shared" si="155"/>
        <v>316</v>
      </c>
      <c r="DL316" s="164">
        <f>IFERROR(INDEX(DE$296:DE$344,_xlfn.AGGREGATE(15,6,(ROW(DE$296:DE$344)-ROW(DE$296)+1)/(DE$296:DE$344&lt;&gt;""),ROWS(DL$1:DL21))),"")</f>
        <v>18</v>
      </c>
      <c r="DM316" s="165">
        <f>IFERROR(INDEX(DF$296:DF$344,_xlfn.AGGREGATE(15,6,(ROW(DF$296:DF$344)-ROW(DF$296)+1)/(DF$296:DF$344&lt;&gt;""),ROWS(DM$1:DM21))),"")</f>
        <v>471.68909370721735</v>
      </c>
      <c r="DN316" s="166">
        <f t="shared" si="156"/>
        <v>316</v>
      </c>
      <c r="DO316" s="164">
        <f>IFERROR(INDEX(DG$296:DG$344,_xlfn.AGGREGATE(15,6,(ROW(DG$296:DG$344)-ROW(DG$296)+1)/(DG$296:DG$344&lt;&gt;""),ROWS(DO$1:DO21))),"")</f>
        <v>18</v>
      </c>
      <c r="DP316" s="165">
        <f>IFERROR(INDEX(DH$296:DH$344,_xlfn.AGGREGATE(15,6,(ROW(DH$296:DH$344)-ROW(DH$296)+1)/(DH$296:DH$344&lt;&gt;""),ROWS(DP$1:DP21))),"")</f>
        <v>509.53643733216285</v>
      </c>
      <c r="DQ316" s="166">
        <f t="shared" si="157"/>
        <v>316</v>
      </c>
      <c r="DV316" s="145">
        <v>2035</v>
      </c>
      <c r="DW316" s="235">
        <f t="shared" ca="1" si="142"/>
        <v>508.63269116736467</v>
      </c>
    </row>
    <row r="317" spans="1:135" ht="13.8" x14ac:dyDescent="0.45">
      <c r="B317" s="128">
        <v>2033</v>
      </c>
      <c r="C317" s="1070">
        <v>520.173401826484</v>
      </c>
      <c r="D317" s="1050">
        <v>468.96155737285454</v>
      </c>
      <c r="E317" s="1069">
        <v>521.32743130630979</v>
      </c>
      <c r="F317" s="1075"/>
      <c r="G317" s="1052"/>
      <c r="H317" s="1036"/>
      <c r="I317" s="1112">
        <v>425.80000000000007</v>
      </c>
      <c r="J317" s="247"/>
      <c r="K317" s="245"/>
      <c r="L317" s="246"/>
      <c r="M317" s="245"/>
      <c r="N317" s="29" t="s">
        <v>119</v>
      </c>
      <c r="O317" s="120"/>
      <c r="P317" s="120"/>
      <c r="Q317" s="120"/>
      <c r="R317" s="29">
        <v>19</v>
      </c>
      <c r="S317" s="238">
        <f t="shared" si="143"/>
        <v>425.80000000000007</v>
      </c>
      <c r="T317" s="238">
        <f t="shared" si="144"/>
        <v>521.32743130630979</v>
      </c>
      <c r="U317" s="238">
        <f t="shared" si="145"/>
        <v>39.734209669009161</v>
      </c>
      <c r="W317" s="238">
        <f t="shared" si="158"/>
        <v>444.33138795740297</v>
      </c>
      <c r="X317" s="238">
        <f t="shared" si="146"/>
        <v>484.06559762641211</v>
      </c>
      <c r="Y317" s="238">
        <f t="shared" si="147"/>
        <v>523.79980729542126</v>
      </c>
      <c r="AA317" s="1133">
        <v>479.06941564743806</v>
      </c>
      <c r="AB317" s="1133">
        <v>503.48746350188276</v>
      </c>
      <c r="AC317" s="1133">
        <v>527.90551135632745</v>
      </c>
      <c r="AD317" s="89"/>
      <c r="AE317" s="89"/>
      <c r="AF317" s="89"/>
      <c r="AG317" s="89"/>
      <c r="AH317" s="89"/>
      <c r="AI317" s="89"/>
      <c r="AJ317" s="89"/>
      <c r="AK317" s="89"/>
      <c r="AL317" s="89"/>
      <c r="AM317" s="89"/>
      <c r="AN317" s="89"/>
      <c r="BR317" s="180">
        <v>2031</v>
      </c>
      <c r="BS317" s="22">
        <v>17</v>
      </c>
      <c r="BT317" s="198">
        <f t="shared" si="159"/>
        <v>227.368913275067</v>
      </c>
      <c r="BU317" s="276">
        <f t="shared" si="160"/>
        <v>241.48820204092624</v>
      </c>
      <c r="BV317" s="205">
        <f t="shared" si="161"/>
        <v>468.85711531599327</v>
      </c>
      <c r="BY317" s="180">
        <v>2031</v>
      </c>
      <c r="BZ317" s="22">
        <v>17</v>
      </c>
      <c r="CA317" s="198">
        <f t="shared" ca="1" si="162"/>
        <v>20.895137283842129</v>
      </c>
      <c r="CB317" s="198">
        <f t="shared" ca="1" si="163"/>
        <v>173.28738148159312</v>
      </c>
      <c r="CC317" s="276">
        <f t="shared" ca="1" si="174"/>
        <v>262.02183175930418</v>
      </c>
      <c r="CD317" s="205">
        <f t="shared" ca="1" si="164"/>
        <v>456.20435052473943</v>
      </c>
      <c r="CG317" s="180">
        <v>2031</v>
      </c>
      <c r="CH317" s="22">
        <v>17</v>
      </c>
      <c r="CI317" s="198">
        <f t="shared" ca="1" si="165"/>
        <v>9.1058802760538846</v>
      </c>
      <c r="CJ317" s="198">
        <f t="shared" ca="1" si="166"/>
        <v>-14.45710378789656</v>
      </c>
      <c r="CK317" s="198">
        <f t="shared" ca="1" si="167"/>
        <v>207.70067711310222</v>
      </c>
      <c r="CL317" s="276">
        <f t="shared" ca="1" si="168"/>
        <v>256.95753148120718</v>
      </c>
      <c r="CM317" s="205">
        <f t="shared" ca="1" si="169"/>
        <v>459.30698508246672</v>
      </c>
      <c r="CP317" s="180">
        <v>2031</v>
      </c>
      <c r="CQ317" s="22">
        <v>17</v>
      </c>
      <c r="CR317" s="198">
        <f t="shared" ca="1" si="170"/>
        <v>279.17159696653414</v>
      </c>
      <c r="CS317" s="276">
        <f t="shared" ca="1" si="171"/>
        <v>1.5701690412898419</v>
      </c>
      <c r="CT317" s="205">
        <f t="shared" ca="1" si="172"/>
        <v>438.34659876429703</v>
      </c>
      <c r="CZ317" s="164" t="b">
        <f t="shared" si="148"/>
        <v>1</v>
      </c>
      <c r="DA317" s="165" t="b">
        <f t="shared" si="148"/>
        <v>1</v>
      </c>
      <c r="DB317" s="166" t="b">
        <f t="shared" si="148"/>
        <v>1</v>
      </c>
      <c r="DC317" s="164">
        <f t="shared" si="149"/>
        <v>19</v>
      </c>
      <c r="DD317" s="166">
        <f t="shared" si="150"/>
        <v>444.33138795740297</v>
      </c>
      <c r="DE317" s="164">
        <f t="shared" si="151"/>
        <v>19</v>
      </c>
      <c r="DF317" s="166">
        <f t="shared" si="152"/>
        <v>484.06559762641211</v>
      </c>
      <c r="DG317" s="164">
        <f t="shared" si="153"/>
        <v>19</v>
      </c>
      <c r="DH317" s="166">
        <f t="shared" si="154"/>
        <v>523.79980729542126</v>
      </c>
      <c r="DI317" s="164">
        <f>IFERROR(INDEX(DC$296:DC$344,_xlfn.AGGREGATE(15,6,(ROW(DC$296:DC$344)-ROW(DC$296)+1)/(DC$296:DC$344&lt;&gt;""),ROWS(DI$1:DI22))),"")</f>
        <v>19</v>
      </c>
      <c r="DJ317" s="165">
        <f>IFERROR(INDEX(DD$296:DD$344,_xlfn.AGGREGATE(15,6,(ROW(DD$296:DD$344)-ROW(DD$296)+1)/(DD$296:DD$344&lt;&gt;""),ROWS(DJ$1:DJ22))),"")</f>
        <v>444.33138795740297</v>
      </c>
      <c r="DK317" s="166">
        <f t="shared" si="155"/>
        <v>317</v>
      </c>
      <c r="DL317" s="164">
        <f>IFERROR(INDEX(DE$296:DE$344,_xlfn.AGGREGATE(15,6,(ROW(DE$296:DE$344)-ROW(DE$296)+1)/(DE$296:DE$344&lt;&gt;""),ROWS(DL$1:DL22))),"")</f>
        <v>19</v>
      </c>
      <c r="DM317" s="165">
        <f>IFERROR(INDEX(DF$296:DF$344,_xlfn.AGGREGATE(15,6,(ROW(DF$296:DF$344)-ROW(DF$296)+1)/(DF$296:DF$344&lt;&gt;""),ROWS(DM$1:DM22))),"")</f>
        <v>484.06559762641211</v>
      </c>
      <c r="DN317" s="166">
        <f t="shared" si="156"/>
        <v>317</v>
      </c>
      <c r="DO317" s="164">
        <f>IFERROR(INDEX(DG$296:DG$344,_xlfn.AGGREGATE(15,6,(ROW(DG$296:DG$344)-ROW(DG$296)+1)/(DG$296:DG$344&lt;&gt;""),ROWS(DO$1:DO22))),"")</f>
        <v>19</v>
      </c>
      <c r="DP317" s="165">
        <f>IFERROR(INDEX(DH$296:DH$344,_xlfn.AGGREGATE(15,6,(ROW(DH$296:DH$344)-ROW(DH$296)+1)/(DH$296:DH$344&lt;&gt;""),ROWS(DP$1:DP22))),"")</f>
        <v>523.79980729542126</v>
      </c>
      <c r="DQ317" s="166">
        <f t="shared" si="157"/>
        <v>317</v>
      </c>
      <c r="DV317" s="145">
        <v>2036</v>
      </c>
      <c r="DW317" s="235">
        <f t="shared" ca="1" si="142"/>
        <v>521.27002248420183</v>
      </c>
    </row>
    <row r="318" spans="1:135" ht="13.8" x14ac:dyDescent="0.45">
      <c r="B318" s="128">
        <v>2034</v>
      </c>
      <c r="C318" s="1070">
        <v>534.11347031963464</v>
      </c>
      <c r="D318" s="1050">
        <v>484.89128202128057</v>
      </c>
      <c r="E318" s="1069">
        <v>534.04707461285489</v>
      </c>
      <c r="F318" s="1075"/>
      <c r="G318" s="1052"/>
      <c r="H318" s="1036"/>
      <c r="I318" s="1112">
        <v>433.05882352941182</v>
      </c>
      <c r="J318" s="247"/>
      <c r="K318" s="245"/>
      <c r="L318" s="246"/>
      <c r="M318" s="245"/>
      <c r="N318" s="29" t="s">
        <v>119</v>
      </c>
      <c r="O318" s="120"/>
      <c r="P318" s="120"/>
      <c r="Q318" s="120"/>
      <c r="R318" s="29">
        <v>20</v>
      </c>
      <c r="S318" s="238">
        <f t="shared" si="143"/>
        <v>433.05882352941182</v>
      </c>
      <c r="T318" s="238">
        <f t="shared" si="144"/>
        <v>534.11347031963464</v>
      </c>
      <c r="U318" s="238">
        <f t="shared" si="145"/>
        <v>41.785458312876997</v>
      </c>
      <c r="W318" s="238">
        <f t="shared" si="158"/>
        <v>454.74220430791848</v>
      </c>
      <c r="X318" s="238">
        <f t="shared" si="146"/>
        <v>496.52766262079547</v>
      </c>
      <c r="Y318" s="238">
        <f t="shared" si="147"/>
        <v>538.31312093367251</v>
      </c>
      <c r="AA318" s="1133">
        <v>494.49601400603768</v>
      </c>
      <c r="AB318" s="1133">
        <v>517.68394231792342</v>
      </c>
      <c r="AC318" s="1133">
        <v>540.87187062980922</v>
      </c>
      <c r="AD318" s="89"/>
      <c r="AE318" s="89"/>
      <c r="AF318" s="89"/>
      <c r="AG318" s="89"/>
      <c r="AH318" s="89"/>
      <c r="AI318" s="89"/>
      <c r="AJ318" s="89"/>
      <c r="AK318" s="89"/>
      <c r="AL318" s="89"/>
      <c r="AM318" s="89"/>
      <c r="AN318" s="89"/>
      <c r="BR318" s="180">
        <v>2032</v>
      </c>
      <c r="BS318" s="22">
        <v>18</v>
      </c>
      <c r="BT318" s="198">
        <f t="shared" si="159"/>
        <v>240.74355523242389</v>
      </c>
      <c r="BU318" s="276">
        <f t="shared" si="160"/>
        <v>241.48820204092624</v>
      </c>
      <c r="BV318" s="205">
        <f t="shared" si="161"/>
        <v>482.23175727335013</v>
      </c>
      <c r="BY318" s="180">
        <v>2032</v>
      </c>
      <c r="BZ318" s="22">
        <v>18</v>
      </c>
      <c r="CA318" s="198">
        <f t="shared" ca="1" si="162"/>
        <v>23.425690242092905</v>
      </c>
      <c r="CB318" s="198">
        <f t="shared" ca="1" si="163"/>
        <v>183.4807568628633</v>
      </c>
      <c r="CC318" s="276">
        <f t="shared" ca="1" si="174"/>
        <v>262.02183175930418</v>
      </c>
      <c r="CD318" s="205">
        <f t="shared" ca="1" si="164"/>
        <v>468.92827886426039</v>
      </c>
      <c r="CG318" s="180">
        <v>2032</v>
      </c>
      <c r="CH318" s="22">
        <v>18</v>
      </c>
      <c r="CI318" s="198">
        <f t="shared" ca="1" si="165"/>
        <v>10.809178459178966</v>
      </c>
      <c r="CJ318" s="198">
        <f t="shared" ca="1" si="166"/>
        <v>-16.207964108230055</v>
      </c>
      <c r="CK318" s="198">
        <f t="shared" ca="1" si="167"/>
        <v>219.91836400210823</v>
      </c>
      <c r="CL318" s="276">
        <f t="shared" ca="1" si="168"/>
        <v>256.95753148120718</v>
      </c>
      <c r="CM318" s="205">
        <f t="shared" ca="1" si="169"/>
        <v>471.4771098342643</v>
      </c>
      <c r="CP318" s="180">
        <v>2032</v>
      </c>
      <c r="CQ318" s="22">
        <v>18</v>
      </c>
      <c r="CR318" s="198">
        <f t="shared" ca="1" si="170"/>
        <v>279.17159696653414</v>
      </c>
      <c r="CS318" s="276">
        <f t="shared" ca="1" si="171"/>
        <v>1.6123995550465569</v>
      </c>
      <c r="CT318" s="205">
        <f t="shared" ca="1" si="172"/>
        <v>450.13615873047632</v>
      </c>
      <c r="CZ318" s="164" t="b">
        <f t="shared" si="148"/>
        <v>1</v>
      </c>
      <c r="DA318" s="165" t="b">
        <f t="shared" si="148"/>
        <v>1</v>
      </c>
      <c r="DB318" s="166" t="b">
        <f t="shared" si="148"/>
        <v>1</v>
      </c>
      <c r="DC318" s="164">
        <f t="shared" si="149"/>
        <v>20</v>
      </c>
      <c r="DD318" s="166">
        <f t="shared" si="150"/>
        <v>454.74220430791848</v>
      </c>
      <c r="DE318" s="164">
        <f t="shared" si="151"/>
        <v>20</v>
      </c>
      <c r="DF318" s="166">
        <f t="shared" si="152"/>
        <v>496.52766262079547</v>
      </c>
      <c r="DG318" s="164">
        <f t="shared" si="153"/>
        <v>20</v>
      </c>
      <c r="DH318" s="166">
        <f t="shared" si="154"/>
        <v>538.31312093367251</v>
      </c>
      <c r="DI318" s="164">
        <f>IFERROR(INDEX(DC$296:DC$344,_xlfn.AGGREGATE(15,6,(ROW(DC$296:DC$344)-ROW(DC$296)+1)/(DC$296:DC$344&lt;&gt;""),ROWS(DI$1:DI23))),"")</f>
        <v>20</v>
      </c>
      <c r="DJ318" s="165">
        <f>IFERROR(INDEX(DD$296:DD$344,_xlfn.AGGREGATE(15,6,(ROW(DD$296:DD$344)-ROW(DD$296)+1)/(DD$296:DD$344&lt;&gt;""),ROWS(DJ$1:DJ23))),"")</f>
        <v>454.74220430791848</v>
      </c>
      <c r="DK318" s="166">
        <f t="shared" si="155"/>
        <v>318</v>
      </c>
      <c r="DL318" s="164">
        <f>IFERROR(INDEX(DE$296:DE$344,_xlfn.AGGREGATE(15,6,(ROW(DE$296:DE$344)-ROW(DE$296)+1)/(DE$296:DE$344&lt;&gt;""),ROWS(DL$1:DL23))),"")</f>
        <v>20</v>
      </c>
      <c r="DM318" s="165">
        <f>IFERROR(INDEX(DF$296:DF$344,_xlfn.AGGREGATE(15,6,(ROW(DF$296:DF$344)-ROW(DF$296)+1)/(DF$296:DF$344&lt;&gt;""),ROWS(DM$1:DM23))),"")</f>
        <v>496.52766262079547</v>
      </c>
      <c r="DN318" s="166">
        <f t="shared" si="156"/>
        <v>318</v>
      </c>
      <c r="DO318" s="164">
        <f>IFERROR(INDEX(DG$296:DG$344,_xlfn.AGGREGATE(15,6,(ROW(DG$296:DG$344)-ROW(DG$296)+1)/(DG$296:DG$344&lt;&gt;""),ROWS(DO$1:DO23))),"")</f>
        <v>20</v>
      </c>
      <c r="DP318" s="165">
        <f>IFERROR(INDEX(DH$296:DH$344,_xlfn.AGGREGATE(15,6,(ROW(DH$296:DH$344)-ROW(DH$296)+1)/(DH$296:DH$344&lt;&gt;""),ROWS(DP$1:DP23))),"")</f>
        <v>538.31312093367251</v>
      </c>
      <c r="DQ318" s="166">
        <f t="shared" si="157"/>
        <v>318</v>
      </c>
      <c r="DV318" s="145">
        <v>2037</v>
      </c>
      <c r="DW318" s="235">
        <f t="shared" ca="1" si="142"/>
        <v>534.05195682722479</v>
      </c>
    </row>
    <row r="319" spans="1:135" ht="13.8" x14ac:dyDescent="0.45">
      <c r="B319" s="128">
        <v>2035</v>
      </c>
      <c r="C319" s="1070">
        <v>548.05353881278529</v>
      </c>
      <c r="D319" s="1050">
        <v>499.92791160981898</v>
      </c>
      <c r="E319" s="1069">
        <v>546.92388303810844</v>
      </c>
      <c r="F319" s="1075"/>
      <c r="G319" s="1052"/>
      <c r="H319" s="1036"/>
      <c r="I319" s="1112">
        <v>440.31764705882358</v>
      </c>
      <c r="J319" s="247"/>
      <c r="K319" s="245"/>
      <c r="L319" s="246"/>
      <c r="M319" s="245"/>
      <c r="N319" s="29" t="s">
        <v>119</v>
      </c>
      <c r="O319" s="120"/>
      <c r="P319" s="120"/>
      <c r="Q319" s="120"/>
      <c r="R319" s="29">
        <v>21</v>
      </c>
      <c r="S319" s="238">
        <f t="shared" si="143"/>
        <v>440.31764705882358</v>
      </c>
      <c r="T319" s="238">
        <f t="shared" si="144"/>
        <v>548.05353881278529</v>
      </c>
      <c r="U319" s="238">
        <f t="shared" si="145"/>
        <v>44.053425666930785</v>
      </c>
      <c r="W319" s="238">
        <f t="shared" si="158"/>
        <v>464.75231946295327</v>
      </c>
      <c r="X319" s="238">
        <f t="shared" si="146"/>
        <v>508.80574512988403</v>
      </c>
      <c r="Y319" s="238">
        <f t="shared" si="147"/>
        <v>552.85917079681485</v>
      </c>
      <c r="AA319" s="1133">
        <v>509.20999268160148</v>
      </c>
      <c r="AB319" s="1133">
        <v>531.63511115357085</v>
      </c>
      <c r="AC319" s="1133">
        <v>554.06022962554016</v>
      </c>
      <c r="AD319" s="89"/>
      <c r="AE319" s="89"/>
      <c r="AF319" s="89"/>
      <c r="AG319" s="89"/>
      <c r="AH319" s="89"/>
      <c r="AI319" s="89"/>
      <c r="AJ319" s="89"/>
      <c r="AK319" s="89"/>
      <c r="AL319" s="89"/>
      <c r="AM319" s="89"/>
      <c r="AN319" s="89"/>
      <c r="BR319" s="180">
        <v>2033</v>
      </c>
      <c r="BS319" s="22">
        <v>19</v>
      </c>
      <c r="BT319" s="198">
        <f t="shared" si="159"/>
        <v>254.11819718978077</v>
      </c>
      <c r="BU319" s="276">
        <f t="shared" si="160"/>
        <v>241.48820204092624</v>
      </c>
      <c r="BV319" s="205">
        <f t="shared" si="161"/>
        <v>495.60639923070698</v>
      </c>
      <c r="BY319" s="180">
        <v>2033</v>
      </c>
      <c r="BZ319" s="22">
        <v>19</v>
      </c>
      <c r="CA319" s="198">
        <f t="shared" ca="1" si="162"/>
        <v>26.100846226529441</v>
      </c>
      <c r="CB319" s="198">
        <f t="shared" ca="1" si="163"/>
        <v>193.67413224413349</v>
      </c>
      <c r="CC319" s="276">
        <f t="shared" ca="1" si="174"/>
        <v>262.02183175930418</v>
      </c>
      <c r="CD319" s="205">
        <f t="shared" ca="1" si="164"/>
        <v>481.79681022996709</v>
      </c>
      <c r="CG319" s="180">
        <v>2033</v>
      </c>
      <c r="CH319" s="22">
        <v>19</v>
      </c>
      <c r="CI319" s="198">
        <f t="shared" ca="1" si="165"/>
        <v>12.712646613770323</v>
      </c>
      <c r="CJ319" s="198">
        <f t="shared" ca="1" si="166"/>
        <v>-18.058873589725462</v>
      </c>
      <c r="CK319" s="198">
        <f t="shared" ca="1" si="167"/>
        <v>232.13605089111422</v>
      </c>
      <c r="CL319" s="276">
        <f t="shared" ca="1" si="168"/>
        <v>256.95753148120718</v>
      </c>
      <c r="CM319" s="205">
        <f t="shared" ca="1" si="169"/>
        <v>483.74735539636629</v>
      </c>
      <c r="CP319" s="180">
        <v>2033</v>
      </c>
      <c r="CQ319" s="22">
        <v>19</v>
      </c>
      <c r="CR319" s="198">
        <f t="shared" ca="1" si="170"/>
        <v>279.17159696653414</v>
      </c>
      <c r="CS319" s="276">
        <f t="shared" ca="1" si="171"/>
        <v>1.6557658804549216</v>
      </c>
      <c r="CT319" s="205">
        <f t="shared" ca="1" si="172"/>
        <v>462.24280504929993</v>
      </c>
      <c r="CZ319" s="164" t="b">
        <f t="shared" si="148"/>
        <v>1</v>
      </c>
      <c r="DA319" s="165" t="b">
        <f t="shared" si="148"/>
        <v>1</v>
      </c>
      <c r="DB319" s="166" t="b">
        <f t="shared" si="148"/>
        <v>1</v>
      </c>
      <c r="DC319" s="164">
        <f t="shared" si="149"/>
        <v>21</v>
      </c>
      <c r="DD319" s="166">
        <f t="shared" si="150"/>
        <v>464.75231946295327</v>
      </c>
      <c r="DE319" s="164">
        <f t="shared" si="151"/>
        <v>21</v>
      </c>
      <c r="DF319" s="166">
        <f t="shared" si="152"/>
        <v>508.80574512988403</v>
      </c>
      <c r="DG319" s="164">
        <f t="shared" si="153"/>
        <v>21</v>
      </c>
      <c r="DH319" s="166">
        <f t="shared" si="154"/>
        <v>552.85917079681485</v>
      </c>
      <c r="DI319" s="164">
        <f>IFERROR(INDEX(DC$296:DC$344,_xlfn.AGGREGATE(15,6,(ROW(DC$296:DC$344)-ROW(DC$296)+1)/(DC$296:DC$344&lt;&gt;""),ROWS(DI$1:DI24))),"")</f>
        <v>21</v>
      </c>
      <c r="DJ319" s="165">
        <f>IFERROR(INDEX(DD$296:DD$344,_xlfn.AGGREGATE(15,6,(ROW(DD$296:DD$344)-ROW(DD$296)+1)/(DD$296:DD$344&lt;&gt;""),ROWS(DJ$1:DJ24))),"")</f>
        <v>464.75231946295327</v>
      </c>
      <c r="DK319" s="166">
        <f t="shared" si="155"/>
        <v>319</v>
      </c>
      <c r="DL319" s="164">
        <f>IFERROR(INDEX(DE$296:DE$344,_xlfn.AGGREGATE(15,6,(ROW(DE$296:DE$344)-ROW(DE$296)+1)/(DE$296:DE$344&lt;&gt;""),ROWS(DL$1:DL24))),"")</f>
        <v>21</v>
      </c>
      <c r="DM319" s="165">
        <f>IFERROR(INDEX(DF$296:DF$344,_xlfn.AGGREGATE(15,6,(ROW(DF$296:DF$344)-ROW(DF$296)+1)/(DF$296:DF$344&lt;&gt;""),ROWS(DM$1:DM24))),"")</f>
        <v>508.80574512988403</v>
      </c>
      <c r="DN319" s="166">
        <f t="shared" si="156"/>
        <v>319</v>
      </c>
      <c r="DO319" s="164">
        <f>IFERROR(INDEX(DG$296:DG$344,_xlfn.AGGREGATE(15,6,(ROW(DG$296:DG$344)-ROW(DG$296)+1)/(DG$296:DG$344&lt;&gt;""),ROWS(DO$1:DO24))),"")</f>
        <v>21</v>
      </c>
      <c r="DP319" s="165">
        <f>IFERROR(INDEX(DH$296:DH$344,_xlfn.AGGREGATE(15,6,(ROW(DH$296:DH$344)-ROW(DH$296)+1)/(DH$296:DH$344&lt;&gt;""),ROWS(DP$1:DP24))),"")</f>
        <v>552.85917079681485</v>
      </c>
      <c r="DQ319" s="166">
        <f t="shared" si="157"/>
        <v>319</v>
      </c>
      <c r="DV319" s="145">
        <v>2038</v>
      </c>
      <c r="DW319" s="235">
        <f t="shared" ca="1" si="142"/>
        <v>546.98961475040369</v>
      </c>
    </row>
    <row r="320" spans="1:135" ht="13.8" x14ac:dyDescent="0.45">
      <c r="B320" s="128">
        <v>2036</v>
      </c>
      <c r="C320" s="1070">
        <v>561.99360730593605</v>
      </c>
      <c r="D320" s="1050">
        <v>517.46143804552003</v>
      </c>
      <c r="E320" s="1069">
        <v>559.99533387782003</v>
      </c>
      <c r="F320" s="1075"/>
      <c r="G320" s="1052"/>
      <c r="H320" s="1036"/>
      <c r="I320" s="1112">
        <v>447.57647058823534</v>
      </c>
      <c r="J320" s="247"/>
      <c r="K320" s="245"/>
      <c r="L320" s="246"/>
      <c r="M320" s="245"/>
      <c r="N320" s="29" t="s">
        <v>119</v>
      </c>
      <c r="O320" s="120"/>
      <c r="P320" s="120"/>
      <c r="Q320" s="120"/>
      <c r="R320" s="29">
        <v>22</v>
      </c>
      <c r="S320" s="238">
        <f t="shared" si="143"/>
        <v>447.57647058823534</v>
      </c>
      <c r="T320" s="238">
        <f t="shared" si="144"/>
        <v>561.99360730593605</v>
      </c>
      <c r="U320" s="238">
        <f t="shared" si="145"/>
        <v>46.374447547187756</v>
      </c>
      <c r="W320" s="238">
        <f t="shared" si="158"/>
        <v>475.38226490719012</v>
      </c>
      <c r="X320" s="238">
        <f t="shared" si="146"/>
        <v>521.75671245437786</v>
      </c>
      <c r="Y320" s="238">
        <f t="shared" si="147"/>
        <v>568.1311600015656</v>
      </c>
      <c r="AA320" s="1133">
        <v>525.94558283668437</v>
      </c>
      <c r="AB320" s="1133">
        <v>546.48345974309211</v>
      </c>
      <c r="AC320" s="1133">
        <v>567.02133664949986</v>
      </c>
      <c r="AD320" s="89"/>
      <c r="AE320" s="89"/>
      <c r="AF320" s="89"/>
      <c r="AG320" s="89"/>
      <c r="AH320" s="89"/>
      <c r="AI320" s="89"/>
      <c r="AJ320" s="89"/>
      <c r="AK320" s="89"/>
      <c r="AL320" s="89"/>
      <c r="AM320" s="89"/>
      <c r="AN320" s="89"/>
      <c r="BR320" s="180">
        <v>2034</v>
      </c>
      <c r="BS320" s="22">
        <v>20</v>
      </c>
      <c r="BT320" s="198">
        <f t="shared" si="159"/>
        <v>267.49283914713766</v>
      </c>
      <c r="BU320" s="276">
        <f t="shared" si="160"/>
        <v>241.48820204092624</v>
      </c>
      <c r="BV320" s="205">
        <f t="shared" si="161"/>
        <v>508.9810411880639</v>
      </c>
      <c r="BY320" s="180">
        <v>2034</v>
      </c>
      <c r="BZ320" s="22">
        <v>20</v>
      </c>
      <c r="CA320" s="198">
        <f t="shared" ca="1" si="162"/>
        <v>28.920605237151737</v>
      </c>
      <c r="CB320" s="198">
        <f t="shared" ca="1" si="163"/>
        <v>203.86750762540368</v>
      </c>
      <c r="CC320" s="276">
        <f t="shared" ca="1" si="174"/>
        <v>262.02183175930418</v>
      </c>
      <c r="CD320" s="205">
        <f t="shared" ca="1" si="164"/>
        <v>494.80994462185959</v>
      </c>
      <c r="CG320" s="180">
        <v>2034</v>
      </c>
      <c r="CH320" s="22">
        <v>20</v>
      </c>
      <c r="CI320" s="198">
        <f t="shared" ca="1" si="165"/>
        <v>14.827405293798307</v>
      </c>
      <c r="CJ320" s="198">
        <f t="shared" ca="1" si="166"/>
        <v>-20.009832232382781</v>
      </c>
      <c r="CK320" s="198">
        <f t="shared" ca="1" si="167"/>
        <v>244.35373778012024</v>
      </c>
      <c r="CL320" s="276">
        <f t="shared" ca="1" si="168"/>
        <v>256.95753148120718</v>
      </c>
      <c r="CM320" s="205">
        <f t="shared" ca="1" si="169"/>
        <v>496.12884232274291</v>
      </c>
      <c r="CP320" s="180">
        <v>2034</v>
      </c>
      <c r="CQ320" s="22">
        <v>20</v>
      </c>
      <c r="CR320" s="198">
        <f t="shared" ca="1" si="170"/>
        <v>279.17159696653414</v>
      </c>
      <c r="CS320" s="276">
        <f t="shared" ca="1" si="171"/>
        <v>1.7002985657605818</v>
      </c>
      <c r="CT320" s="205">
        <f t="shared" ca="1" si="172"/>
        <v>474.6750659232892</v>
      </c>
      <c r="CZ320" s="164" t="b">
        <f t="shared" si="148"/>
        <v>1</v>
      </c>
      <c r="DA320" s="165" t="b">
        <f t="shared" si="148"/>
        <v>1</v>
      </c>
      <c r="DB320" s="166" t="b">
        <f t="shared" si="148"/>
        <v>1</v>
      </c>
      <c r="DC320" s="164">
        <f t="shared" si="149"/>
        <v>22</v>
      </c>
      <c r="DD320" s="166">
        <f t="shared" si="150"/>
        <v>475.38226490719012</v>
      </c>
      <c r="DE320" s="164">
        <f t="shared" si="151"/>
        <v>22</v>
      </c>
      <c r="DF320" s="166">
        <f t="shared" si="152"/>
        <v>521.75671245437786</v>
      </c>
      <c r="DG320" s="164">
        <f t="shared" si="153"/>
        <v>22</v>
      </c>
      <c r="DH320" s="166">
        <f t="shared" si="154"/>
        <v>568.1311600015656</v>
      </c>
      <c r="DI320" s="164">
        <f>IFERROR(INDEX(DC$296:DC$344,_xlfn.AGGREGATE(15,6,(ROW(DC$296:DC$344)-ROW(DC$296)+1)/(DC$296:DC$344&lt;&gt;""),ROWS(DI$1:DI25))),"")</f>
        <v>22</v>
      </c>
      <c r="DJ320" s="165">
        <f>IFERROR(INDEX(DD$296:DD$344,_xlfn.AGGREGATE(15,6,(ROW(DD$296:DD$344)-ROW(DD$296)+1)/(DD$296:DD$344&lt;&gt;""),ROWS(DJ$1:DJ25))),"")</f>
        <v>475.38226490719012</v>
      </c>
      <c r="DK320" s="166">
        <f t="shared" si="155"/>
        <v>320</v>
      </c>
      <c r="DL320" s="164">
        <f>IFERROR(INDEX(DE$296:DE$344,_xlfn.AGGREGATE(15,6,(ROW(DE$296:DE$344)-ROW(DE$296)+1)/(DE$296:DE$344&lt;&gt;""),ROWS(DL$1:DL25))),"")</f>
        <v>22</v>
      </c>
      <c r="DM320" s="165">
        <f>IFERROR(INDEX(DF$296:DF$344,_xlfn.AGGREGATE(15,6,(ROW(DF$296:DF$344)-ROW(DF$296)+1)/(DF$296:DF$344&lt;&gt;""),ROWS(DM$1:DM25))),"")</f>
        <v>521.75671245437786</v>
      </c>
      <c r="DN320" s="166">
        <f t="shared" si="156"/>
        <v>320</v>
      </c>
      <c r="DO320" s="164">
        <f>IFERROR(INDEX(DG$296:DG$344,_xlfn.AGGREGATE(15,6,(ROW(DG$296:DG$344)-ROW(DG$296)+1)/(DG$296:DG$344&lt;&gt;""),ROWS(DO$1:DO25))),"")</f>
        <v>22</v>
      </c>
      <c r="DP320" s="165">
        <f>IFERROR(INDEX(DH$296:DH$344,_xlfn.AGGREGATE(15,6,(ROW(DH$296:DH$344)-ROW(DH$296)+1)/(DH$296:DH$344&lt;&gt;""),ROWS(DP$1:DP25))),"")</f>
        <v>568.1311600015656</v>
      </c>
      <c r="DQ320" s="166">
        <f t="shared" si="157"/>
        <v>320</v>
      </c>
      <c r="DV320" s="145">
        <v>2039</v>
      </c>
      <c r="DW320" s="235">
        <f t="shared" ca="1" si="142"/>
        <v>560.09411680770927</v>
      </c>
    </row>
    <row r="321" spans="2:135" ht="13.8" x14ac:dyDescent="0.45">
      <c r="B321" s="128">
        <v>2037</v>
      </c>
      <c r="C321" s="1070">
        <v>575.9336757990867</v>
      </c>
      <c r="D321" s="1050">
        <v>534.1217751233828</v>
      </c>
      <c r="E321" s="1069">
        <v>573.29890442773899</v>
      </c>
      <c r="F321" s="1075"/>
      <c r="G321" s="1052"/>
      <c r="H321" s="1036"/>
      <c r="I321" s="1112">
        <v>454.83529411764709</v>
      </c>
      <c r="J321" s="247"/>
      <c r="K321" s="245"/>
      <c r="L321" s="246"/>
      <c r="M321" s="245"/>
      <c r="N321" s="29" t="s">
        <v>119</v>
      </c>
      <c r="O321" s="120"/>
      <c r="P321" s="120"/>
      <c r="Q321" s="120"/>
      <c r="R321" s="29">
        <v>23</v>
      </c>
      <c r="S321" s="238">
        <f t="shared" si="143"/>
        <v>454.83529411764709</v>
      </c>
      <c r="T321" s="238">
        <f t="shared" si="144"/>
        <v>575.9336757990867</v>
      </c>
      <c r="U321" s="238">
        <f t="shared" si="145"/>
        <v>48.909876049386916</v>
      </c>
      <c r="W321" s="238">
        <f t="shared" si="158"/>
        <v>485.63753631757692</v>
      </c>
      <c r="X321" s="238">
        <f t="shared" si="146"/>
        <v>534.54741236696384</v>
      </c>
      <c r="Y321" s="238">
        <f t="shared" si="147"/>
        <v>583.45728841635071</v>
      </c>
      <c r="AA321" s="1133">
        <v>541.99854000624953</v>
      </c>
      <c r="AB321" s="1133">
        <v>561.11811845006946</v>
      </c>
      <c r="AC321" s="1133">
        <v>580.23769689388939</v>
      </c>
      <c r="AD321" s="89"/>
      <c r="AE321" s="89"/>
      <c r="AF321" s="89"/>
      <c r="AG321" s="89"/>
      <c r="AH321" s="89"/>
      <c r="AI321" s="89"/>
      <c r="AJ321" s="89"/>
      <c r="AK321" s="89"/>
      <c r="AL321" s="89"/>
      <c r="AM321" s="89"/>
      <c r="AN321" s="89"/>
      <c r="BR321" s="180">
        <v>2035</v>
      </c>
      <c r="BS321" s="22">
        <v>21</v>
      </c>
      <c r="BT321" s="198">
        <f t="shared" si="159"/>
        <v>280.86748110449452</v>
      </c>
      <c r="BU321" s="276">
        <f t="shared" si="160"/>
        <v>241.48820204092624</v>
      </c>
      <c r="BV321" s="205">
        <f t="shared" si="161"/>
        <v>522.3556831454207</v>
      </c>
      <c r="BY321" s="180">
        <v>2035</v>
      </c>
      <c r="BZ321" s="22">
        <v>21</v>
      </c>
      <c r="CA321" s="198">
        <f t="shared" ca="1" si="162"/>
        <v>31.884967273959788</v>
      </c>
      <c r="CB321" s="198">
        <f t="shared" ca="1" si="163"/>
        <v>214.06088300667383</v>
      </c>
      <c r="CC321" s="276">
        <f t="shared" ca="1" si="174"/>
        <v>262.02183175930418</v>
      </c>
      <c r="CD321" s="205">
        <f t="shared" ca="1" si="164"/>
        <v>507.96768203993781</v>
      </c>
      <c r="CG321" s="180">
        <v>2035</v>
      </c>
      <c r="CH321" s="22">
        <v>21</v>
      </c>
      <c r="CI321" s="198">
        <f t="shared" ca="1" si="165"/>
        <v>17.164575053233264</v>
      </c>
      <c r="CJ321" s="198">
        <f t="shared" ca="1" si="166"/>
        <v>-22.060840036202016</v>
      </c>
      <c r="CK321" s="198">
        <f t="shared" ca="1" si="167"/>
        <v>256.57142466912626</v>
      </c>
      <c r="CL321" s="276">
        <f t="shared" ca="1" si="168"/>
        <v>256.95753148120718</v>
      </c>
      <c r="CM321" s="205">
        <f t="shared" ca="1" si="169"/>
        <v>508.63269116736467</v>
      </c>
      <c r="CP321" s="180">
        <v>2035</v>
      </c>
      <c r="CQ321" s="22">
        <v>21</v>
      </c>
      <c r="CR321" s="198">
        <f t="shared" ca="1" si="170"/>
        <v>279.17159696653414</v>
      </c>
      <c r="CS321" s="276">
        <f t="shared" ca="1" si="171"/>
        <v>1.7460289808201541</v>
      </c>
      <c r="CT321" s="205">
        <f t="shared" ca="1" si="172"/>
        <v>487.44169892541242</v>
      </c>
      <c r="CZ321" s="164" t="b">
        <f t="shared" si="148"/>
        <v>1</v>
      </c>
      <c r="DA321" s="165" t="b">
        <f t="shared" si="148"/>
        <v>1</v>
      </c>
      <c r="DB321" s="166" t="b">
        <f t="shared" si="148"/>
        <v>1</v>
      </c>
      <c r="DC321" s="164">
        <f t="shared" si="149"/>
        <v>23</v>
      </c>
      <c r="DD321" s="166">
        <f t="shared" si="150"/>
        <v>485.63753631757692</v>
      </c>
      <c r="DE321" s="164">
        <f t="shared" si="151"/>
        <v>23</v>
      </c>
      <c r="DF321" s="166">
        <f t="shared" si="152"/>
        <v>534.54741236696384</v>
      </c>
      <c r="DG321" s="164">
        <f t="shared" si="153"/>
        <v>23</v>
      </c>
      <c r="DH321" s="166">
        <f t="shared" si="154"/>
        <v>583.45728841635071</v>
      </c>
      <c r="DI321" s="164">
        <f>IFERROR(INDEX(DC$296:DC$344,_xlfn.AGGREGATE(15,6,(ROW(DC$296:DC$344)-ROW(DC$296)+1)/(DC$296:DC$344&lt;&gt;""),ROWS(DI$1:DI26))),"")</f>
        <v>23</v>
      </c>
      <c r="DJ321" s="165">
        <f>IFERROR(INDEX(DD$296:DD$344,_xlfn.AGGREGATE(15,6,(ROW(DD$296:DD$344)-ROW(DD$296)+1)/(DD$296:DD$344&lt;&gt;""),ROWS(DJ$1:DJ26))),"")</f>
        <v>485.63753631757692</v>
      </c>
      <c r="DK321" s="166">
        <f t="shared" si="155"/>
        <v>321</v>
      </c>
      <c r="DL321" s="164">
        <f>IFERROR(INDEX(DE$296:DE$344,_xlfn.AGGREGATE(15,6,(ROW(DE$296:DE$344)-ROW(DE$296)+1)/(DE$296:DE$344&lt;&gt;""),ROWS(DL$1:DL26))),"")</f>
        <v>23</v>
      </c>
      <c r="DM321" s="165">
        <f>IFERROR(INDEX(DF$296:DF$344,_xlfn.AGGREGATE(15,6,(ROW(DF$296:DF$344)-ROW(DF$296)+1)/(DF$296:DF$344&lt;&gt;""),ROWS(DM$1:DM26))),"")</f>
        <v>534.54741236696384</v>
      </c>
      <c r="DN321" s="166">
        <f t="shared" si="156"/>
        <v>321</v>
      </c>
      <c r="DO321" s="164">
        <f>IFERROR(INDEX(DG$296:DG$344,_xlfn.AGGREGATE(15,6,(ROW(DG$296:DG$344)-ROW(DG$296)+1)/(DG$296:DG$344&lt;&gt;""),ROWS(DO$1:DO26))),"")</f>
        <v>23</v>
      </c>
      <c r="DP321" s="165">
        <f>IFERROR(INDEX(DH$296:DH$344,_xlfn.AGGREGATE(15,6,(ROW(DH$296:DH$344)-ROW(DH$296)+1)/(DH$296:DH$344&lt;&gt;""),ROWS(DP$1:DP26))),"")</f>
        <v>583.45728841635071</v>
      </c>
      <c r="DQ321" s="166">
        <f t="shared" si="157"/>
        <v>321</v>
      </c>
      <c r="DV321" s="145">
        <v>2040</v>
      </c>
      <c r="DW321" s="235">
        <f t="shared" ca="1" si="142"/>
        <v>573.37658355311146</v>
      </c>
    </row>
    <row r="322" spans="2:135" ht="13.8" x14ac:dyDescent="0.45">
      <c r="B322" s="128">
        <v>2038</v>
      </c>
      <c r="C322" s="1070">
        <v>589.87374429223735</v>
      </c>
      <c r="D322" s="1050">
        <v>551.04293966971829</v>
      </c>
      <c r="E322" s="1069">
        <v>586.87207198361455</v>
      </c>
      <c r="F322" s="1075"/>
      <c r="G322" s="1052"/>
      <c r="H322" s="1036"/>
      <c r="I322" s="1112">
        <v>462.09411764705885</v>
      </c>
      <c r="J322" s="247"/>
      <c r="K322" s="245"/>
      <c r="L322" s="246"/>
      <c r="M322" s="245"/>
      <c r="N322" s="29" t="s">
        <v>119</v>
      </c>
      <c r="O322" s="120"/>
      <c r="P322" s="120"/>
      <c r="Q322" s="120"/>
      <c r="R322" s="29">
        <v>24</v>
      </c>
      <c r="S322" s="238">
        <f t="shared" si="143"/>
        <v>462.09411764705885</v>
      </c>
      <c r="T322" s="238">
        <f t="shared" si="144"/>
        <v>589.87374429223735</v>
      </c>
      <c r="U322" s="238">
        <f t="shared" si="145"/>
        <v>51.605251646430581</v>
      </c>
      <c r="W322" s="238">
        <f t="shared" si="158"/>
        <v>495.86546675172667</v>
      </c>
      <c r="X322" s="238">
        <f t="shared" si="146"/>
        <v>547.47071839815726</v>
      </c>
      <c r="Y322" s="238">
        <f t="shared" si="147"/>
        <v>599.07597004458785</v>
      </c>
      <c r="AA322" s="1133">
        <v>558.28945383845883</v>
      </c>
      <c r="AB322" s="1133">
        <v>575.92958531519014</v>
      </c>
      <c r="AC322" s="1133">
        <v>593.56971679192145</v>
      </c>
      <c r="AD322" s="89"/>
      <c r="AE322" s="89"/>
      <c r="AF322" s="89"/>
      <c r="AG322" s="89"/>
      <c r="AH322" s="89"/>
      <c r="AI322" s="89"/>
      <c r="AJ322" s="89"/>
      <c r="AK322" s="89"/>
      <c r="AL322" s="89"/>
      <c r="AM322" s="89"/>
      <c r="AN322" s="89"/>
      <c r="BR322" s="180">
        <v>2036</v>
      </c>
      <c r="BS322" s="22">
        <v>22</v>
      </c>
      <c r="BT322" s="198">
        <f t="shared" si="159"/>
        <v>294.24212306185143</v>
      </c>
      <c r="BU322" s="276">
        <f t="shared" si="160"/>
        <v>241.48820204092624</v>
      </c>
      <c r="BV322" s="205">
        <f t="shared" si="161"/>
        <v>535.73032510277767</v>
      </c>
      <c r="BY322" s="180">
        <v>2036</v>
      </c>
      <c r="BZ322" s="22">
        <v>22</v>
      </c>
      <c r="CA322" s="198">
        <f t="shared" ca="1" si="162"/>
        <v>34.993932336953598</v>
      </c>
      <c r="CB322" s="198">
        <f t="shared" ca="1" si="163"/>
        <v>224.25425838794402</v>
      </c>
      <c r="CC322" s="276">
        <f t="shared" ca="1" si="174"/>
        <v>262.02183175930418</v>
      </c>
      <c r="CD322" s="205">
        <f t="shared" ca="1" si="164"/>
        <v>521.27002248420172</v>
      </c>
      <c r="CG322" s="180">
        <v>2036</v>
      </c>
      <c r="CH322" s="22">
        <v>22</v>
      </c>
      <c r="CI322" s="198">
        <f t="shared" ca="1" si="165"/>
        <v>19.735276446045546</v>
      </c>
      <c r="CJ322" s="198">
        <f t="shared" ca="1" si="166"/>
        <v>-24.211897001183168</v>
      </c>
      <c r="CK322" s="198">
        <f t="shared" ca="1" si="167"/>
        <v>268.78911155813228</v>
      </c>
      <c r="CL322" s="276">
        <f t="shared" ca="1" si="168"/>
        <v>256.95753148120718</v>
      </c>
      <c r="CM322" s="205">
        <f t="shared" ca="1" si="169"/>
        <v>521.27002248420183</v>
      </c>
      <c r="CP322" s="180">
        <v>2036</v>
      </c>
      <c r="CQ322" s="22">
        <v>22</v>
      </c>
      <c r="CR322" s="198">
        <f t="shared" ca="1" si="170"/>
        <v>279.17159696653414</v>
      </c>
      <c r="CS322" s="276">
        <f t="shared" ca="1" si="171"/>
        <v>1.7929893391988783</v>
      </c>
      <c r="CT322" s="205">
        <f t="shared" ca="1" si="172"/>
        <v>500.55169716812162</v>
      </c>
      <c r="CZ322" s="164" t="b">
        <f t="shared" si="148"/>
        <v>1</v>
      </c>
      <c r="DA322" s="165" t="b">
        <f t="shared" si="148"/>
        <v>1</v>
      </c>
      <c r="DB322" s="166" t="b">
        <f t="shared" si="148"/>
        <v>1</v>
      </c>
      <c r="DC322" s="164">
        <f t="shared" si="149"/>
        <v>24</v>
      </c>
      <c r="DD322" s="166">
        <f t="shared" si="150"/>
        <v>495.86546675172667</v>
      </c>
      <c r="DE322" s="164">
        <f t="shared" si="151"/>
        <v>24</v>
      </c>
      <c r="DF322" s="166">
        <f t="shared" si="152"/>
        <v>547.47071839815726</v>
      </c>
      <c r="DG322" s="164">
        <f t="shared" si="153"/>
        <v>24</v>
      </c>
      <c r="DH322" s="166">
        <f t="shared" si="154"/>
        <v>599.07597004458785</v>
      </c>
      <c r="DI322" s="164">
        <f>IFERROR(INDEX(DC$296:DC$344,_xlfn.AGGREGATE(15,6,(ROW(DC$296:DC$344)-ROW(DC$296)+1)/(DC$296:DC$344&lt;&gt;""),ROWS(DI$1:DI27))),"")</f>
        <v>24</v>
      </c>
      <c r="DJ322" s="165">
        <f>IFERROR(INDEX(DD$296:DD$344,_xlfn.AGGREGATE(15,6,(ROW(DD$296:DD$344)-ROW(DD$296)+1)/(DD$296:DD$344&lt;&gt;""),ROWS(DJ$1:DJ27))),"")</f>
        <v>495.86546675172667</v>
      </c>
      <c r="DK322" s="166">
        <f t="shared" si="155"/>
        <v>322</v>
      </c>
      <c r="DL322" s="164">
        <f>IFERROR(INDEX(DE$296:DE$344,_xlfn.AGGREGATE(15,6,(ROW(DE$296:DE$344)-ROW(DE$296)+1)/(DE$296:DE$344&lt;&gt;""),ROWS(DL$1:DL27))),"")</f>
        <v>24</v>
      </c>
      <c r="DM322" s="165">
        <f>IFERROR(INDEX(DF$296:DF$344,_xlfn.AGGREGATE(15,6,(ROW(DF$296:DF$344)-ROW(DF$296)+1)/(DF$296:DF$344&lt;&gt;""),ROWS(DM$1:DM27))),"")</f>
        <v>547.47071839815726</v>
      </c>
      <c r="DN322" s="166">
        <f t="shared" si="156"/>
        <v>322</v>
      </c>
      <c r="DO322" s="164">
        <f>IFERROR(INDEX(DG$296:DG$344,_xlfn.AGGREGATE(15,6,(ROW(DG$296:DG$344)-ROW(DG$296)+1)/(DG$296:DG$344&lt;&gt;""),ROWS(DO$1:DO27))),"")</f>
        <v>24</v>
      </c>
      <c r="DP322" s="165">
        <f>IFERROR(INDEX(DH$296:DH$344,_xlfn.AGGREGATE(15,6,(ROW(DH$296:DH$344)-ROW(DH$296)+1)/(DH$296:DH$344&lt;&gt;""),ROWS(DP$1:DP27))),"")</f>
        <v>599.07597004458785</v>
      </c>
      <c r="DQ322" s="166">
        <f t="shared" si="157"/>
        <v>322</v>
      </c>
      <c r="DV322" s="145">
        <v>2041</v>
      </c>
      <c r="DW322" s="235">
        <f t="shared" ca="1" si="142"/>
        <v>586.84813554058087</v>
      </c>
    </row>
    <row r="323" spans="2:135" ht="13.8" x14ac:dyDescent="0.45">
      <c r="B323" s="128">
        <v>2039</v>
      </c>
      <c r="C323" s="1070">
        <v>603.81381278538811</v>
      </c>
      <c r="D323" s="1050">
        <v>568.23182318433999</v>
      </c>
      <c r="E323" s="1069">
        <v>600.75231384119616</v>
      </c>
      <c r="F323" s="1075"/>
      <c r="G323" s="1052"/>
      <c r="H323" s="1036"/>
      <c r="I323" s="1112">
        <v>469.35294117647061</v>
      </c>
      <c r="J323" s="247"/>
      <c r="K323" s="245"/>
      <c r="L323" s="246"/>
      <c r="M323" s="245"/>
      <c r="N323" s="29" t="s">
        <v>119</v>
      </c>
      <c r="O323" s="120"/>
      <c r="P323" s="120"/>
      <c r="Q323" s="120"/>
      <c r="R323" s="29">
        <v>25</v>
      </c>
      <c r="S323" s="238">
        <f t="shared" si="143"/>
        <v>469.35294117647061</v>
      </c>
      <c r="T323" s="238">
        <f t="shared" si="144"/>
        <v>603.81381278538811</v>
      </c>
      <c r="U323" s="238">
        <f t="shared" si="145"/>
        <v>54.460758527331187</v>
      </c>
      <c r="W323" s="238">
        <f t="shared" si="158"/>
        <v>506.07696421951761</v>
      </c>
      <c r="X323" s="238">
        <f t="shared" si="146"/>
        <v>560.53772274684877</v>
      </c>
      <c r="Y323" s="238">
        <f t="shared" si="147"/>
        <v>614.99848127417999</v>
      </c>
      <c r="AA323" s="1133">
        <v>574.83215625124842</v>
      </c>
      <c r="AB323" s="1133">
        <v>590.93264993697483</v>
      </c>
      <c r="AC323" s="1133">
        <v>607.03314362270123</v>
      </c>
      <c r="AD323" s="89"/>
      <c r="AE323" s="89"/>
      <c r="AF323" s="89"/>
      <c r="AG323" s="89"/>
      <c r="AH323" s="89"/>
      <c r="AI323" s="89"/>
      <c r="AJ323" s="89"/>
      <c r="AK323" s="89"/>
      <c r="AL323" s="89"/>
      <c r="AM323" s="89"/>
      <c r="AN323" s="89"/>
      <c r="BR323" s="180">
        <v>2037</v>
      </c>
      <c r="BS323" s="22">
        <v>23</v>
      </c>
      <c r="BT323" s="198">
        <f t="shared" si="159"/>
        <v>307.61676501920829</v>
      </c>
      <c r="BU323" s="276">
        <f t="shared" si="160"/>
        <v>241.48820204092624</v>
      </c>
      <c r="BV323" s="205">
        <f t="shared" si="161"/>
        <v>549.10496706013453</v>
      </c>
      <c r="BY323" s="180">
        <v>2037</v>
      </c>
      <c r="BZ323" s="22">
        <v>23</v>
      </c>
      <c r="CA323" s="198">
        <f t="shared" ca="1" si="162"/>
        <v>38.247500426133172</v>
      </c>
      <c r="CB323" s="198">
        <f t="shared" ca="1" si="163"/>
        <v>234.44763376921421</v>
      </c>
      <c r="CC323" s="276">
        <f t="shared" ca="1" si="174"/>
        <v>262.02183175930418</v>
      </c>
      <c r="CD323" s="205">
        <f t="shared" ca="1" si="164"/>
        <v>534.71696595465153</v>
      </c>
      <c r="CG323" s="180">
        <v>2037</v>
      </c>
      <c r="CH323" s="22">
        <v>23</v>
      </c>
      <c r="CI323" s="198">
        <f t="shared" ca="1" si="165"/>
        <v>22.5506300262055</v>
      </c>
      <c r="CJ323" s="198">
        <f t="shared" ca="1" si="166"/>
        <v>-26.463003127326228</v>
      </c>
      <c r="CK323" s="198">
        <f t="shared" ca="1" si="167"/>
        <v>281.00679844713829</v>
      </c>
      <c r="CL323" s="276">
        <f t="shared" ca="1" si="168"/>
        <v>256.95753148120718</v>
      </c>
      <c r="CM323" s="205">
        <f t="shared" ca="1" si="169"/>
        <v>534.05195682722479</v>
      </c>
      <c r="CP323" s="180">
        <v>2037</v>
      </c>
      <c r="CQ323" s="22">
        <v>23</v>
      </c>
      <c r="CR323" s="198">
        <f t="shared" ca="1" si="170"/>
        <v>279.17159696653414</v>
      </c>
      <c r="CS323" s="276">
        <f t="shared" ca="1" si="171"/>
        <v>1.8412127208626012</v>
      </c>
      <c r="CT323" s="205">
        <f t="shared" ca="1" si="172"/>
        <v>514.01429563830982</v>
      </c>
      <c r="CZ323" s="164" t="b">
        <f t="shared" si="148"/>
        <v>1</v>
      </c>
      <c r="DA323" s="165" t="b">
        <f t="shared" si="148"/>
        <v>1</v>
      </c>
      <c r="DB323" s="166" t="b">
        <f t="shared" si="148"/>
        <v>1</v>
      </c>
      <c r="DC323" s="164">
        <f t="shared" si="149"/>
        <v>25</v>
      </c>
      <c r="DD323" s="166">
        <f t="shared" si="150"/>
        <v>506.07696421951761</v>
      </c>
      <c r="DE323" s="164">
        <f t="shared" si="151"/>
        <v>25</v>
      </c>
      <c r="DF323" s="166">
        <f t="shared" si="152"/>
        <v>560.53772274684877</v>
      </c>
      <c r="DG323" s="164">
        <f t="shared" si="153"/>
        <v>25</v>
      </c>
      <c r="DH323" s="166">
        <f t="shared" si="154"/>
        <v>614.99848127417999</v>
      </c>
      <c r="DI323" s="164">
        <f>IFERROR(INDEX(DC$296:DC$344,_xlfn.AGGREGATE(15,6,(ROW(DC$296:DC$344)-ROW(DC$296)+1)/(DC$296:DC$344&lt;&gt;""),ROWS(DI$1:DI28))),"")</f>
        <v>25</v>
      </c>
      <c r="DJ323" s="165">
        <f>IFERROR(INDEX(DD$296:DD$344,_xlfn.AGGREGATE(15,6,(ROW(DD$296:DD$344)-ROW(DD$296)+1)/(DD$296:DD$344&lt;&gt;""),ROWS(DJ$1:DJ28))),"")</f>
        <v>506.07696421951761</v>
      </c>
      <c r="DK323" s="166">
        <f t="shared" si="155"/>
        <v>323</v>
      </c>
      <c r="DL323" s="164">
        <f>IFERROR(INDEX(DE$296:DE$344,_xlfn.AGGREGATE(15,6,(ROW(DE$296:DE$344)-ROW(DE$296)+1)/(DE$296:DE$344&lt;&gt;""),ROWS(DL$1:DL28))),"")</f>
        <v>25</v>
      </c>
      <c r="DM323" s="165">
        <f>IFERROR(INDEX(DF$296:DF$344,_xlfn.AGGREGATE(15,6,(ROW(DF$296:DF$344)-ROW(DF$296)+1)/(DF$296:DF$344&lt;&gt;""),ROWS(DM$1:DM28))),"")</f>
        <v>560.53772274684877</v>
      </c>
      <c r="DN323" s="166">
        <f t="shared" si="156"/>
        <v>323</v>
      </c>
      <c r="DO323" s="164">
        <f>IFERROR(INDEX(DG$296:DG$344,_xlfn.AGGREGATE(15,6,(ROW(DG$296:DG$344)-ROW(DG$296)+1)/(DG$296:DG$344&lt;&gt;""),ROWS(DO$1:DO28))),"")</f>
        <v>25</v>
      </c>
      <c r="DP323" s="165">
        <f>IFERROR(INDEX(DH$296:DH$344,_xlfn.AGGREGATE(15,6,(ROW(DH$296:DH$344)-ROW(DH$296)+1)/(DH$296:DH$344&lt;&gt;""),ROWS(DP$1:DP28))),"")</f>
        <v>614.99848127417999</v>
      </c>
      <c r="DQ323" s="166">
        <f t="shared" si="157"/>
        <v>323</v>
      </c>
      <c r="DV323" s="145">
        <v>2042</v>
      </c>
      <c r="DW323" s="235">
        <f t="shared" ca="1" si="142"/>
        <v>600.51989332408789</v>
      </c>
    </row>
    <row r="324" spans="2:135" ht="13.8" x14ac:dyDescent="0.45">
      <c r="B324" s="128">
        <v>2040</v>
      </c>
      <c r="C324" s="1070">
        <v>617.75388127853876</v>
      </c>
      <c r="D324" s="1050">
        <v>582.41942709911052</v>
      </c>
      <c r="E324" s="1069">
        <v>614.97710729623327</v>
      </c>
      <c r="F324" s="1075"/>
      <c r="G324" s="1052"/>
      <c r="H324" s="1036"/>
      <c r="I324" s="1112">
        <v>476.61176470588242</v>
      </c>
      <c r="J324" s="247"/>
      <c r="K324" s="245"/>
      <c r="L324" s="246"/>
      <c r="M324" s="245"/>
      <c r="N324" s="29" t="s">
        <v>119</v>
      </c>
      <c r="O324" s="120"/>
      <c r="P324" s="120"/>
      <c r="Q324" s="120"/>
      <c r="R324" s="29">
        <v>26</v>
      </c>
      <c r="S324" s="238">
        <f t="shared" si="143"/>
        <v>476.61176470588242</v>
      </c>
      <c r="T324" s="238">
        <f t="shared" si="144"/>
        <v>617.75388127853876</v>
      </c>
      <c r="U324" s="238">
        <f t="shared" si="145"/>
        <v>57.324494757694353</v>
      </c>
      <c r="W324" s="238">
        <f t="shared" si="158"/>
        <v>515.61605033724697</v>
      </c>
      <c r="X324" s="238">
        <f t="shared" si="146"/>
        <v>572.94054509494129</v>
      </c>
      <c r="Y324" s="238">
        <f t="shared" si="147"/>
        <v>630.2650398526356</v>
      </c>
      <c r="AA324" s="1133">
        <v>589.00770640055384</v>
      </c>
      <c r="AB324" s="1133">
        <v>605.05013855796085</v>
      </c>
      <c r="AC324" s="1133">
        <v>621.09257071536786</v>
      </c>
      <c r="AD324" s="89"/>
      <c r="AE324" s="89"/>
      <c r="AF324" s="89"/>
      <c r="AG324" s="89"/>
      <c r="AH324" s="89"/>
      <c r="AI324" s="89"/>
      <c r="AJ324" s="89"/>
      <c r="AK324" s="89"/>
      <c r="AL324" s="89"/>
      <c r="AM324" s="89"/>
      <c r="AN324" s="89"/>
      <c r="BR324" s="180">
        <v>2038</v>
      </c>
      <c r="BS324" s="22">
        <v>24</v>
      </c>
      <c r="BT324" s="198">
        <f t="shared" si="159"/>
        <v>320.99140697656514</v>
      </c>
      <c r="BU324" s="276">
        <f t="shared" si="160"/>
        <v>241.48820204092624</v>
      </c>
      <c r="BV324" s="205">
        <f t="shared" si="161"/>
        <v>562.47960901749138</v>
      </c>
      <c r="BY324" s="180">
        <v>2038</v>
      </c>
      <c r="BZ324" s="22">
        <v>24</v>
      </c>
      <c r="CA324" s="198">
        <f t="shared" ca="1" si="162"/>
        <v>41.645671541498501</v>
      </c>
      <c r="CB324" s="198">
        <f t="shared" ca="1" si="163"/>
        <v>244.64100915048439</v>
      </c>
      <c r="CC324" s="276">
        <f t="shared" ca="1" si="174"/>
        <v>262.02183175930418</v>
      </c>
      <c r="CD324" s="205">
        <f t="shared" ca="1" si="164"/>
        <v>548.30851245128702</v>
      </c>
      <c r="CG324" s="180">
        <v>2038</v>
      </c>
      <c r="CH324" s="22">
        <v>24</v>
      </c>
      <c r="CI324" s="198">
        <f t="shared" ca="1" si="165"/>
        <v>25.621756347683473</v>
      </c>
      <c r="CJ324" s="198">
        <f t="shared" ca="1" si="166"/>
        <v>-28.814158414631205</v>
      </c>
      <c r="CK324" s="198">
        <f t="shared" ca="1" si="167"/>
        <v>293.22448533614431</v>
      </c>
      <c r="CL324" s="276">
        <f t="shared" ca="1" si="168"/>
        <v>256.95753148120718</v>
      </c>
      <c r="CM324" s="205">
        <f t="shared" ca="1" si="169"/>
        <v>546.98961475040369</v>
      </c>
      <c r="CP324" s="180">
        <v>2038</v>
      </c>
      <c r="CQ324" s="22">
        <v>24</v>
      </c>
      <c r="CR324" s="198">
        <f t="shared" ca="1" si="170"/>
        <v>279.17159696653414</v>
      </c>
      <c r="CS324" s="276">
        <f t="shared" ca="1" si="171"/>
        <v>1.8907330954800714</v>
      </c>
      <c r="CT324" s="205">
        <f t="shared" ca="1" si="172"/>
        <v>527.83897770265003</v>
      </c>
      <c r="CZ324" s="164" t="b">
        <f t="shared" si="148"/>
        <v>1</v>
      </c>
      <c r="DA324" s="165" t="b">
        <f t="shared" si="148"/>
        <v>1</v>
      </c>
      <c r="DB324" s="166" t="b">
        <f t="shared" si="148"/>
        <v>1</v>
      </c>
      <c r="DC324" s="164">
        <f t="shared" si="149"/>
        <v>26</v>
      </c>
      <c r="DD324" s="166">
        <f t="shared" si="150"/>
        <v>515.61605033724697</v>
      </c>
      <c r="DE324" s="164">
        <f t="shared" si="151"/>
        <v>26</v>
      </c>
      <c r="DF324" s="166">
        <f t="shared" si="152"/>
        <v>572.94054509494129</v>
      </c>
      <c r="DG324" s="164">
        <f t="shared" si="153"/>
        <v>26</v>
      </c>
      <c r="DH324" s="166">
        <f t="shared" si="154"/>
        <v>630.2650398526356</v>
      </c>
      <c r="DI324" s="164">
        <f>IFERROR(INDEX(DC$296:DC$344,_xlfn.AGGREGATE(15,6,(ROW(DC$296:DC$344)-ROW(DC$296)+1)/(DC$296:DC$344&lt;&gt;""),ROWS(DI$1:DI29))),"")</f>
        <v>26</v>
      </c>
      <c r="DJ324" s="165">
        <f>IFERROR(INDEX(DD$296:DD$344,_xlfn.AGGREGATE(15,6,(ROW(DD$296:DD$344)-ROW(DD$296)+1)/(DD$296:DD$344&lt;&gt;""),ROWS(DJ$1:DJ29))),"")</f>
        <v>515.61605033724697</v>
      </c>
      <c r="DK324" s="166">
        <f t="shared" si="155"/>
        <v>324</v>
      </c>
      <c r="DL324" s="164">
        <f>IFERROR(INDEX(DE$296:DE$344,_xlfn.AGGREGATE(15,6,(ROW(DE$296:DE$344)-ROW(DE$296)+1)/(DE$296:DE$344&lt;&gt;""),ROWS(DL$1:DL29))),"")</f>
        <v>26</v>
      </c>
      <c r="DM324" s="165">
        <f>IFERROR(INDEX(DF$296:DF$344,_xlfn.AGGREGATE(15,6,(ROW(DF$296:DF$344)-ROW(DF$296)+1)/(DF$296:DF$344&lt;&gt;""),ROWS(DM$1:DM29))),"")</f>
        <v>572.94054509494129</v>
      </c>
      <c r="DN324" s="166">
        <f t="shared" si="156"/>
        <v>324</v>
      </c>
      <c r="DO324" s="164">
        <f>IFERROR(INDEX(DG$296:DG$344,_xlfn.AGGREGATE(15,6,(ROW(DG$296:DG$344)-ROW(DG$296)+1)/(DG$296:DG$344&lt;&gt;""),ROWS(DO$1:DO29))),"")</f>
        <v>26</v>
      </c>
      <c r="DP324" s="165">
        <f>IFERROR(INDEX(DH$296:DH$344,_xlfn.AGGREGATE(15,6,(ROW(DH$296:DH$344)-ROW(DH$296)+1)/(DH$296:DH$344&lt;&gt;""),ROWS(DP$1:DP29))),"")</f>
        <v>630.2650398526356</v>
      </c>
      <c r="DQ324" s="166">
        <f t="shared" si="157"/>
        <v>324</v>
      </c>
      <c r="DV324" s="145">
        <v>2043</v>
      </c>
      <c r="DW324" s="235">
        <f t="shared" ca="1" si="142"/>
        <v>614.40297745760256</v>
      </c>
      <c r="EA324" s="55"/>
      <c r="EB324" s="55"/>
      <c r="EC324" s="55"/>
      <c r="ED324" s="55"/>
      <c r="EE324" s="55"/>
    </row>
    <row r="325" spans="2:135" ht="13.8" x14ac:dyDescent="0.45">
      <c r="B325" s="128">
        <v>2041</v>
      </c>
      <c r="C325" s="1070">
        <v>631.69394977168952</v>
      </c>
      <c r="D325" s="1050">
        <v>603.45523641603427</v>
      </c>
      <c r="E325" s="1069">
        <v>629.58392964447489</v>
      </c>
      <c r="F325" s="1075"/>
      <c r="G325" s="1052"/>
      <c r="H325" s="1036"/>
      <c r="I325" s="1112">
        <v>483.87058823529418</v>
      </c>
      <c r="J325" s="247"/>
      <c r="K325" s="245"/>
      <c r="L325" s="246"/>
      <c r="M325" s="245"/>
      <c r="N325" s="29" t="s">
        <v>119</v>
      </c>
      <c r="O325" s="120"/>
      <c r="P325" s="120"/>
      <c r="Q325" s="120"/>
      <c r="R325" s="29">
        <v>27</v>
      </c>
      <c r="S325" s="238">
        <f t="shared" si="143"/>
        <v>483.87058823529418</v>
      </c>
      <c r="T325" s="238">
        <f t="shared" si="144"/>
        <v>631.69394977168952</v>
      </c>
      <c r="U325" s="238">
        <f t="shared" si="145"/>
        <v>60.657438686346531</v>
      </c>
      <c r="W325" s="238">
        <f t="shared" si="158"/>
        <v>526.4934873305267</v>
      </c>
      <c r="X325" s="238">
        <f t="shared" si="146"/>
        <v>587.1509260168732</v>
      </c>
      <c r="Y325" s="238">
        <f t="shared" si="147"/>
        <v>647.8083647032197</v>
      </c>
      <c r="AA325" s="1133">
        <v>608.73426455310562</v>
      </c>
      <c r="AB325" s="1133">
        <v>621.57770527739956</v>
      </c>
      <c r="AC325" s="1133">
        <v>634.4211460016935</v>
      </c>
      <c r="AD325" s="89"/>
      <c r="AE325" s="89"/>
      <c r="AF325" s="89"/>
      <c r="AG325" s="89"/>
      <c r="AH325" s="89"/>
      <c r="AI325" s="89"/>
      <c r="AJ325" s="89"/>
      <c r="AK325" s="89"/>
      <c r="AL325" s="89"/>
      <c r="AM325" s="89"/>
      <c r="AN325" s="89"/>
      <c r="BR325" s="180">
        <v>2039</v>
      </c>
      <c r="BS325" s="22">
        <v>25</v>
      </c>
      <c r="BT325" s="198">
        <f t="shared" si="159"/>
        <v>334.36604893392206</v>
      </c>
      <c r="BU325" s="276">
        <f t="shared" si="160"/>
        <v>241.48820204092624</v>
      </c>
      <c r="BV325" s="205">
        <f t="shared" si="161"/>
        <v>575.85425097484836</v>
      </c>
      <c r="BY325" s="180">
        <v>2039</v>
      </c>
      <c r="BZ325" s="22">
        <v>25</v>
      </c>
      <c r="CA325" s="198">
        <f t="shared" ca="1" si="162"/>
        <v>45.188445683049586</v>
      </c>
      <c r="CB325" s="198">
        <f t="shared" ca="1" si="163"/>
        <v>254.83438453175458</v>
      </c>
      <c r="CC325" s="276">
        <f t="shared" ca="1" si="174"/>
        <v>262.02183175930418</v>
      </c>
      <c r="CD325" s="205">
        <f t="shared" ca="1" si="164"/>
        <v>562.04466197410829</v>
      </c>
      <c r="CG325" s="180">
        <v>2039</v>
      </c>
      <c r="CH325" s="22">
        <v>25</v>
      </c>
      <c r="CI325" s="198">
        <f t="shared" ca="1" si="165"/>
        <v>28.959775964449818</v>
      </c>
      <c r="CJ325" s="198">
        <f t="shared" ca="1" si="166"/>
        <v>-31.265362863098098</v>
      </c>
      <c r="CK325" s="198">
        <f t="shared" ca="1" si="167"/>
        <v>305.44217222515033</v>
      </c>
      <c r="CL325" s="276">
        <f t="shared" ca="1" si="168"/>
        <v>256.95753148120718</v>
      </c>
      <c r="CM325" s="205">
        <f t="shared" ca="1" si="169"/>
        <v>560.09411680770927</v>
      </c>
      <c r="CP325" s="180">
        <v>2039</v>
      </c>
      <c r="CQ325" s="22">
        <v>25</v>
      </c>
      <c r="CR325" s="198">
        <f t="shared" ca="1" si="170"/>
        <v>279.17159696653414</v>
      </c>
      <c r="CS325" s="276">
        <f t="shared" ca="1" si="171"/>
        <v>1.9415853463519623</v>
      </c>
      <c r="CT325" s="205">
        <f t="shared" ca="1" si="172"/>
        <v>542.03548178789868</v>
      </c>
      <c r="CZ325" s="164" t="b">
        <f t="shared" si="148"/>
        <v>1</v>
      </c>
      <c r="DA325" s="165" t="b">
        <f t="shared" si="148"/>
        <v>1</v>
      </c>
      <c r="DB325" s="166" t="b">
        <f t="shared" si="148"/>
        <v>1</v>
      </c>
      <c r="DC325" s="164">
        <f t="shared" si="149"/>
        <v>27</v>
      </c>
      <c r="DD325" s="166">
        <f t="shared" si="150"/>
        <v>526.4934873305267</v>
      </c>
      <c r="DE325" s="164">
        <f t="shared" si="151"/>
        <v>27</v>
      </c>
      <c r="DF325" s="166">
        <f t="shared" si="152"/>
        <v>587.1509260168732</v>
      </c>
      <c r="DG325" s="164">
        <f t="shared" si="153"/>
        <v>27</v>
      </c>
      <c r="DH325" s="166">
        <f t="shared" si="154"/>
        <v>647.8083647032197</v>
      </c>
      <c r="DI325" s="164">
        <f>IFERROR(INDEX(DC$296:DC$344,_xlfn.AGGREGATE(15,6,(ROW(DC$296:DC$344)-ROW(DC$296)+1)/(DC$296:DC$344&lt;&gt;""),ROWS(DI$1:DI30))),"")</f>
        <v>27</v>
      </c>
      <c r="DJ325" s="165">
        <f>IFERROR(INDEX(DD$296:DD$344,_xlfn.AGGREGATE(15,6,(ROW(DD$296:DD$344)-ROW(DD$296)+1)/(DD$296:DD$344&lt;&gt;""),ROWS(DJ$1:DJ30))),"")</f>
        <v>526.4934873305267</v>
      </c>
      <c r="DK325" s="166">
        <f t="shared" si="155"/>
        <v>325</v>
      </c>
      <c r="DL325" s="164">
        <f>IFERROR(INDEX(DE$296:DE$344,_xlfn.AGGREGATE(15,6,(ROW(DE$296:DE$344)-ROW(DE$296)+1)/(DE$296:DE$344&lt;&gt;""),ROWS(DL$1:DL30))),"")</f>
        <v>27</v>
      </c>
      <c r="DM325" s="165">
        <f>IFERROR(INDEX(DF$296:DF$344,_xlfn.AGGREGATE(15,6,(ROW(DF$296:DF$344)-ROW(DF$296)+1)/(DF$296:DF$344&lt;&gt;""),ROWS(DM$1:DM30))),"")</f>
        <v>587.1509260168732</v>
      </c>
      <c r="DN325" s="166">
        <f t="shared" si="156"/>
        <v>325</v>
      </c>
      <c r="DO325" s="164">
        <f>IFERROR(INDEX(DG$296:DG$344,_xlfn.AGGREGATE(15,6,(ROW(DG$296:DG$344)-ROW(DG$296)+1)/(DG$296:DG$344&lt;&gt;""),ROWS(DO$1:DO30))),"")</f>
        <v>27</v>
      </c>
      <c r="DP325" s="165">
        <f>IFERROR(INDEX(DH$296:DH$344,_xlfn.AGGREGATE(15,6,(ROW(DH$296:DH$344)-ROW(DH$296)+1)/(DH$296:DH$344&lt;&gt;""),ROWS(DP$1:DP30))),"")</f>
        <v>647.8083647032197</v>
      </c>
      <c r="DQ325" s="166">
        <f t="shared" si="157"/>
        <v>325</v>
      </c>
      <c r="DV325" s="145">
        <v>2044</v>
      </c>
      <c r="DW325" s="235">
        <f t="shared" ca="1" si="142"/>
        <v>628.50850849509561</v>
      </c>
      <c r="EA325" s="55"/>
      <c r="EB325" s="55"/>
      <c r="EC325" s="55"/>
      <c r="ED325" s="55"/>
      <c r="EE325" s="55"/>
    </row>
    <row r="326" spans="2:135" ht="13.8" x14ac:dyDescent="0.45">
      <c r="B326" s="128">
        <v>2042</v>
      </c>
      <c r="C326" s="1070">
        <v>645.63401826484017</v>
      </c>
      <c r="D326" s="1050">
        <v>620.9922677625807</v>
      </c>
      <c r="E326" s="1069">
        <v>644.61025818167082</v>
      </c>
      <c r="F326" s="1075"/>
      <c r="G326" s="1052"/>
      <c r="H326" s="1036"/>
      <c r="I326" s="1112">
        <v>491.12941176470594</v>
      </c>
      <c r="J326" s="247"/>
      <c r="K326" s="245"/>
      <c r="L326" s="246"/>
      <c r="M326" s="245"/>
      <c r="N326" s="29" t="s">
        <v>119</v>
      </c>
      <c r="O326" s="120"/>
      <c r="P326" s="120"/>
      <c r="Q326" s="120"/>
      <c r="R326" s="29">
        <v>28</v>
      </c>
      <c r="S326" s="238">
        <f t="shared" si="143"/>
        <v>491.12941176470594</v>
      </c>
      <c r="T326" s="238">
        <f t="shared" si="144"/>
        <v>645.63401826484017</v>
      </c>
      <c r="U326" s="238">
        <f t="shared" si="145"/>
        <v>63.96213647469169</v>
      </c>
      <c r="W326" s="238">
        <f t="shared" si="158"/>
        <v>536.62935251875774</v>
      </c>
      <c r="X326" s="238">
        <f t="shared" si="146"/>
        <v>600.59148899344939</v>
      </c>
      <c r="Y326" s="238">
        <f t="shared" si="147"/>
        <v>664.55362546814104</v>
      </c>
      <c r="AA326" s="1133">
        <v>625.69624231471732</v>
      </c>
      <c r="AB326" s="1133">
        <v>637.0788480696973</v>
      </c>
      <c r="AC326" s="1133">
        <v>648.46145382467728</v>
      </c>
      <c r="AD326" s="89"/>
      <c r="AE326" s="89"/>
      <c r="AF326" s="89"/>
      <c r="AG326" s="89"/>
      <c r="AH326" s="89"/>
      <c r="AI326" s="89"/>
      <c r="AJ326" s="89"/>
      <c r="AK326" s="89"/>
      <c r="AL326" s="89"/>
      <c r="AM326" s="89"/>
      <c r="AN326" s="89"/>
      <c r="BR326" s="180">
        <v>2040</v>
      </c>
      <c r="BS326" s="22">
        <v>26</v>
      </c>
      <c r="BT326" s="198">
        <f t="shared" si="159"/>
        <v>347.74069089127892</v>
      </c>
      <c r="BU326" s="276">
        <f t="shared" si="160"/>
        <v>241.48820204092624</v>
      </c>
      <c r="BV326" s="205">
        <f t="shared" si="161"/>
        <v>589.2288929322051</v>
      </c>
      <c r="BY326" s="180">
        <v>2040</v>
      </c>
      <c r="BZ326" s="22">
        <v>26</v>
      </c>
      <c r="CA326" s="198">
        <f t="shared" ca="1" si="162"/>
        <v>48.875822850786435</v>
      </c>
      <c r="CB326" s="198">
        <f t="shared" ca="1" si="163"/>
        <v>265.02775991302474</v>
      </c>
      <c r="CC326" s="276">
        <f t="shared" ca="1" si="174"/>
        <v>262.02183175930418</v>
      </c>
      <c r="CD326" s="205">
        <f t="shared" ca="1" si="164"/>
        <v>575.92541452311536</v>
      </c>
      <c r="CG326" s="180">
        <v>2040</v>
      </c>
      <c r="CH326" s="22">
        <v>26</v>
      </c>
      <c r="CI326" s="198">
        <f t="shared" ca="1" si="165"/>
        <v>32.575809430474884</v>
      </c>
      <c r="CJ326" s="198">
        <f t="shared" ca="1" si="166"/>
        <v>-33.816616472726899</v>
      </c>
      <c r="CK326" s="198">
        <f t="shared" ca="1" si="167"/>
        <v>317.65985911415635</v>
      </c>
      <c r="CL326" s="276">
        <f t="shared" ca="1" si="168"/>
        <v>256.95753148120718</v>
      </c>
      <c r="CM326" s="205">
        <f t="shared" ca="1" si="169"/>
        <v>573.37658355311146</v>
      </c>
      <c r="CP326" s="180">
        <v>2040</v>
      </c>
      <c r="CQ326" s="22">
        <v>26</v>
      </c>
      <c r="CR326" s="198">
        <f t="shared" ca="1" si="170"/>
        <v>279.17159696653414</v>
      </c>
      <c r="CS326" s="276">
        <f t="shared" ca="1" si="171"/>
        <v>1.993805294983479</v>
      </c>
      <c r="CT326" s="205">
        <f t="shared" ca="1" si="172"/>
        <v>556.6138082408695</v>
      </c>
      <c r="CZ326" s="164" t="b">
        <f t="shared" si="148"/>
        <v>1</v>
      </c>
      <c r="DA326" s="165" t="b">
        <f t="shared" si="148"/>
        <v>1</v>
      </c>
      <c r="DB326" s="166" t="b">
        <f t="shared" si="148"/>
        <v>1</v>
      </c>
      <c r="DC326" s="164">
        <f t="shared" si="149"/>
        <v>28</v>
      </c>
      <c r="DD326" s="166">
        <f t="shared" si="150"/>
        <v>536.62935251875774</v>
      </c>
      <c r="DE326" s="164">
        <f t="shared" si="151"/>
        <v>28</v>
      </c>
      <c r="DF326" s="166">
        <f t="shared" si="152"/>
        <v>600.59148899344939</v>
      </c>
      <c r="DG326" s="164">
        <f t="shared" si="153"/>
        <v>28</v>
      </c>
      <c r="DH326" s="166">
        <f t="shared" si="154"/>
        <v>664.55362546814104</v>
      </c>
      <c r="DI326" s="164">
        <f>IFERROR(INDEX(DC$296:DC$344,_xlfn.AGGREGATE(15,6,(ROW(DC$296:DC$344)-ROW(DC$296)+1)/(DC$296:DC$344&lt;&gt;""),ROWS(DI$1:DI31))),"")</f>
        <v>28</v>
      </c>
      <c r="DJ326" s="165">
        <f>IFERROR(INDEX(DD$296:DD$344,_xlfn.AGGREGATE(15,6,(ROW(DD$296:DD$344)-ROW(DD$296)+1)/(DD$296:DD$344&lt;&gt;""),ROWS(DJ$1:DJ31))),"")</f>
        <v>536.62935251875774</v>
      </c>
      <c r="DK326" s="166">
        <f t="shared" si="155"/>
        <v>326</v>
      </c>
      <c r="DL326" s="164">
        <f>IFERROR(INDEX(DE$296:DE$344,_xlfn.AGGREGATE(15,6,(ROW(DE$296:DE$344)-ROW(DE$296)+1)/(DE$296:DE$344&lt;&gt;""),ROWS(DL$1:DL31))),"")</f>
        <v>28</v>
      </c>
      <c r="DM326" s="165">
        <f>IFERROR(INDEX(DF$296:DF$344,_xlfn.AGGREGATE(15,6,(ROW(DF$296:DF$344)-ROW(DF$296)+1)/(DF$296:DF$344&lt;&gt;""),ROWS(DM$1:DM31))),"")</f>
        <v>600.59148899344939</v>
      </c>
      <c r="DN326" s="166">
        <f t="shared" si="156"/>
        <v>326</v>
      </c>
      <c r="DO326" s="164">
        <f>IFERROR(INDEX(DG$296:DG$344,_xlfn.AGGREGATE(15,6,(ROW(DG$296:DG$344)-ROW(DG$296)+1)/(DG$296:DG$344&lt;&gt;""),ROWS(DO$1:DO31))),"")</f>
        <v>28</v>
      </c>
      <c r="DP326" s="165">
        <f>IFERROR(INDEX(DH$296:DH$344,_xlfn.AGGREGATE(15,6,(ROW(DH$296:DH$344)-ROW(DH$296)+1)/(DH$296:DH$344&lt;&gt;""),ROWS(DP$1:DP31))),"")</f>
        <v>664.55362546814104</v>
      </c>
      <c r="DQ326" s="166">
        <f t="shared" si="157"/>
        <v>326</v>
      </c>
      <c r="DV326" s="145">
        <v>2045</v>
      </c>
      <c r="DW326" s="235">
        <f t="shared" ca="1" si="142"/>
        <v>642.84760699053709</v>
      </c>
      <c r="EA326" s="55"/>
      <c r="EB326" s="55"/>
      <c r="EC326" s="55"/>
      <c r="ED326" s="55"/>
      <c r="EE326" s="55"/>
    </row>
    <row r="327" spans="2:135" ht="13.8" x14ac:dyDescent="0.45">
      <c r="B327" s="128">
        <v>2043</v>
      </c>
      <c r="C327" s="1070">
        <v>659.57408675799081</v>
      </c>
      <c r="D327" s="1050">
        <v>638.83367903698525</v>
      </c>
      <c r="E327" s="1069">
        <v>660.09357020357015</v>
      </c>
      <c r="F327" s="1075"/>
      <c r="G327" s="1052"/>
      <c r="H327" s="1036"/>
      <c r="I327" s="1112">
        <v>498.38823529411775</v>
      </c>
      <c r="J327" s="247"/>
      <c r="K327" s="245"/>
      <c r="L327" s="246"/>
      <c r="M327" s="245"/>
      <c r="N327" s="29" t="s">
        <v>119</v>
      </c>
      <c r="O327" s="120"/>
      <c r="P327" s="120"/>
      <c r="Q327" s="120"/>
      <c r="R327" s="29">
        <v>29</v>
      </c>
      <c r="S327" s="238">
        <f t="shared" si="143"/>
        <v>498.38823529411775</v>
      </c>
      <c r="T327" s="238">
        <f t="shared" si="144"/>
        <v>660.09357020357015</v>
      </c>
      <c r="U327" s="238">
        <f t="shared" si="145"/>
        <v>67.424417899944032</v>
      </c>
      <c r="W327" s="238">
        <f t="shared" si="158"/>
        <v>546.797974923222</v>
      </c>
      <c r="X327" s="238">
        <f t="shared" si="146"/>
        <v>614.22239282316605</v>
      </c>
      <c r="Y327" s="238">
        <f t="shared" si="147"/>
        <v>681.64681072311009</v>
      </c>
      <c r="AA327" s="1133">
        <v>642.93194186744836</v>
      </c>
      <c r="AB327" s="1133">
        <v>652.83377866618207</v>
      </c>
      <c r="AC327" s="1133">
        <v>662.73561546491578</v>
      </c>
      <c r="AD327" s="89"/>
      <c r="AE327" s="89"/>
      <c r="AF327" s="89"/>
      <c r="AG327" s="89"/>
      <c r="AH327" s="89"/>
      <c r="AI327" s="89"/>
      <c r="AJ327" s="89"/>
      <c r="AK327" s="89"/>
      <c r="AL327" s="89"/>
      <c r="AM327" s="89"/>
      <c r="AN327" s="89"/>
      <c r="BR327" s="180">
        <v>2041</v>
      </c>
      <c r="BS327" s="22">
        <v>27</v>
      </c>
      <c r="BT327" s="198">
        <f t="shared" si="159"/>
        <v>361.11533284863583</v>
      </c>
      <c r="BU327" s="276">
        <f t="shared" si="160"/>
        <v>241.48820204092624</v>
      </c>
      <c r="BV327" s="205">
        <f t="shared" si="161"/>
        <v>602.60353488956207</v>
      </c>
      <c r="BY327" s="180">
        <v>2041</v>
      </c>
      <c r="BZ327" s="22">
        <v>27</v>
      </c>
      <c r="CA327" s="198">
        <f t="shared" ca="1" si="162"/>
        <v>52.707803044709038</v>
      </c>
      <c r="CB327" s="198">
        <f t="shared" ca="1" si="163"/>
        <v>275.22113529429492</v>
      </c>
      <c r="CC327" s="276">
        <f t="shared" ca="1" si="174"/>
        <v>262.02183175930418</v>
      </c>
      <c r="CD327" s="205">
        <f t="shared" ca="1" si="164"/>
        <v>589.95077009830811</v>
      </c>
      <c r="CG327" s="180">
        <v>2041</v>
      </c>
      <c r="CH327" s="22">
        <v>27</v>
      </c>
      <c r="CI327" s="198">
        <f t="shared" ca="1" si="165"/>
        <v>36.480977299729012</v>
      </c>
      <c r="CJ327" s="198">
        <f t="shared" ca="1" si="166"/>
        <v>-36.46791924351762</v>
      </c>
      <c r="CK327" s="198">
        <f t="shared" ca="1" si="167"/>
        <v>329.87754600316231</v>
      </c>
      <c r="CL327" s="276">
        <f t="shared" ca="1" si="168"/>
        <v>256.95753148120718</v>
      </c>
      <c r="CM327" s="205">
        <f t="shared" ca="1" si="169"/>
        <v>586.84813554058087</v>
      </c>
      <c r="CP327" s="180">
        <v>2041</v>
      </c>
      <c r="CQ327" s="22">
        <v>27</v>
      </c>
      <c r="CR327" s="198">
        <f t="shared" ca="1" si="170"/>
        <v>279.17159696653414</v>
      </c>
      <c r="CS327" s="276">
        <f t="shared" ca="1" si="171"/>
        <v>2.0474297263178554</v>
      </c>
      <c r="CT327" s="205">
        <f t="shared" ca="1" si="172"/>
        <v>571.5842263729096</v>
      </c>
      <c r="CZ327" s="164" t="b">
        <f t="shared" si="148"/>
        <v>1</v>
      </c>
      <c r="DA327" s="165" t="b">
        <f t="shared" si="148"/>
        <v>1</v>
      </c>
      <c r="DB327" s="166" t="b">
        <f t="shared" si="148"/>
        <v>1</v>
      </c>
      <c r="DC327" s="164">
        <f t="shared" si="149"/>
        <v>29</v>
      </c>
      <c r="DD327" s="166">
        <f t="shared" si="150"/>
        <v>546.797974923222</v>
      </c>
      <c r="DE327" s="164">
        <f t="shared" si="151"/>
        <v>29</v>
      </c>
      <c r="DF327" s="166">
        <f t="shared" si="152"/>
        <v>614.22239282316605</v>
      </c>
      <c r="DG327" s="164">
        <f t="shared" si="153"/>
        <v>29</v>
      </c>
      <c r="DH327" s="166">
        <f t="shared" si="154"/>
        <v>681.64681072311009</v>
      </c>
      <c r="DI327" s="164">
        <f>IFERROR(INDEX(DC$296:DC$344,_xlfn.AGGREGATE(15,6,(ROW(DC$296:DC$344)-ROW(DC$296)+1)/(DC$296:DC$344&lt;&gt;""),ROWS(DI$1:DI32))),"")</f>
        <v>29</v>
      </c>
      <c r="DJ327" s="165">
        <f>IFERROR(INDEX(DD$296:DD$344,_xlfn.AGGREGATE(15,6,(ROW(DD$296:DD$344)-ROW(DD$296)+1)/(DD$296:DD$344&lt;&gt;""),ROWS(DJ$1:DJ32))),"")</f>
        <v>546.797974923222</v>
      </c>
      <c r="DK327" s="166">
        <f t="shared" si="155"/>
        <v>327</v>
      </c>
      <c r="DL327" s="164">
        <f>IFERROR(INDEX(DE$296:DE$344,_xlfn.AGGREGATE(15,6,(ROW(DE$296:DE$344)-ROW(DE$296)+1)/(DE$296:DE$344&lt;&gt;""),ROWS(DL$1:DL32))),"")</f>
        <v>29</v>
      </c>
      <c r="DM327" s="165">
        <f>IFERROR(INDEX(DF$296:DF$344,_xlfn.AGGREGATE(15,6,(ROW(DF$296:DF$344)-ROW(DF$296)+1)/(DF$296:DF$344&lt;&gt;""),ROWS(DM$1:DM32))),"")</f>
        <v>614.22239282316605</v>
      </c>
      <c r="DN327" s="166">
        <f t="shared" si="156"/>
        <v>327</v>
      </c>
      <c r="DO327" s="164">
        <f>IFERROR(INDEX(DG$296:DG$344,_xlfn.AGGREGATE(15,6,(ROW(DG$296:DG$344)-ROW(DG$296)+1)/(DG$296:DG$344&lt;&gt;""),ROWS(DO$1:DO32))),"")</f>
        <v>29</v>
      </c>
      <c r="DP327" s="165">
        <f>IFERROR(INDEX(DH$296:DH$344,_xlfn.AGGREGATE(15,6,(ROW(DH$296:DH$344)-ROW(DH$296)+1)/(DH$296:DH$344&lt;&gt;""),ROWS(DP$1:DP32))),"")</f>
        <v>681.64681072311009</v>
      </c>
      <c r="DQ327" s="166">
        <f t="shared" si="157"/>
        <v>327</v>
      </c>
      <c r="DV327" s="145">
        <v>2046</v>
      </c>
      <c r="DW327" s="235">
        <f t="shared" ca="1" si="142"/>
        <v>657.43139349789749</v>
      </c>
      <c r="EA327" s="55"/>
      <c r="EB327" s="55"/>
      <c r="EC327" s="55"/>
      <c r="ED327" s="55"/>
      <c r="EE327" s="55"/>
    </row>
    <row r="328" spans="2:135" ht="13.8" x14ac:dyDescent="0.45">
      <c r="B328" s="128">
        <v>2044</v>
      </c>
      <c r="C328" s="1070">
        <v>673.51415525114157</v>
      </c>
      <c r="D328" s="1050">
        <v>656.99658767717381</v>
      </c>
      <c r="E328" s="1069">
        <v>676.07134300592247</v>
      </c>
      <c r="F328" s="1075"/>
      <c r="G328" s="1052"/>
      <c r="H328" s="1036"/>
      <c r="I328" s="1112">
        <v>505.64705882352951</v>
      </c>
      <c r="J328" s="247"/>
      <c r="K328" s="245"/>
      <c r="L328" s="246"/>
      <c r="M328" s="245"/>
      <c r="N328" s="29" t="s">
        <v>119</v>
      </c>
      <c r="O328" s="120"/>
      <c r="P328" s="120"/>
      <c r="Q328" s="120"/>
      <c r="R328" s="29">
        <v>30</v>
      </c>
      <c r="S328" s="238">
        <f t="shared" si="143"/>
        <v>505.64705882352951</v>
      </c>
      <c r="T328" s="238">
        <f t="shared" si="144"/>
        <v>676.07134300592247</v>
      </c>
      <c r="U328" s="238">
        <f t="shared" si="145"/>
        <v>71.05178310788726</v>
      </c>
      <c r="W328" s="238">
        <f t="shared" si="158"/>
        <v>557.00550308155459</v>
      </c>
      <c r="X328" s="238">
        <f t="shared" ref="X328:X344" si="176">IF(U328="",#N/A,(SUM(C328:Q328)/COUNTIFS(C328:Q328,"&gt;0")))</f>
        <v>628.05728618944181</v>
      </c>
      <c r="Y328" s="238">
        <f t="shared" si="147"/>
        <v>699.10906929732903</v>
      </c>
      <c r="AA328" s="1133">
        <v>660.40679720576907</v>
      </c>
      <c r="AB328" s="1133">
        <v>668.86069531141254</v>
      </c>
      <c r="AC328" s="1133">
        <v>677.31459341705602</v>
      </c>
      <c r="AD328" s="89"/>
      <c r="AE328" s="89"/>
      <c r="AF328" s="89"/>
      <c r="AG328" s="89"/>
      <c r="AH328" s="89"/>
      <c r="AI328" s="89"/>
      <c r="AJ328" s="89"/>
      <c r="AK328" s="89"/>
      <c r="AL328" s="89"/>
      <c r="AM328" s="89"/>
      <c r="AN328" s="89"/>
      <c r="BR328" s="180">
        <v>2042</v>
      </c>
      <c r="BS328" s="22">
        <v>28</v>
      </c>
      <c r="BT328" s="198">
        <f t="shared" si="159"/>
        <v>374.48997480599269</v>
      </c>
      <c r="BU328" s="276">
        <f t="shared" si="160"/>
        <v>241.48820204092624</v>
      </c>
      <c r="BV328" s="205">
        <f t="shared" si="161"/>
        <v>615.97817684691893</v>
      </c>
      <c r="BY328" s="180">
        <v>2042</v>
      </c>
      <c r="BZ328" s="22">
        <v>28</v>
      </c>
      <c r="CA328" s="198">
        <f t="shared" ca="1" si="162"/>
        <v>56.684386264817405</v>
      </c>
      <c r="CB328" s="198">
        <f t="shared" ca="1" si="163"/>
        <v>285.41451067556511</v>
      </c>
      <c r="CC328" s="276">
        <f t="shared" ca="1" si="174"/>
        <v>262.02183175930418</v>
      </c>
      <c r="CD328" s="205">
        <f t="shared" ca="1" si="164"/>
        <v>604.12072869968665</v>
      </c>
      <c r="CG328" s="180">
        <v>2042</v>
      </c>
      <c r="CH328" s="22">
        <v>28</v>
      </c>
      <c r="CI328" s="198">
        <f t="shared" ca="1" si="165"/>
        <v>40.686400126182555</v>
      </c>
      <c r="CJ328" s="198">
        <f t="shared" ca="1" si="166"/>
        <v>-39.219271175470254</v>
      </c>
      <c r="CK328" s="198">
        <f t="shared" ca="1" si="167"/>
        <v>342.09523289216833</v>
      </c>
      <c r="CL328" s="276">
        <f t="shared" ca="1" si="168"/>
        <v>256.95753148120718</v>
      </c>
      <c r="CM328" s="205">
        <f t="shared" ca="1" si="169"/>
        <v>600.51989332408789</v>
      </c>
      <c r="CP328" s="180">
        <v>2042</v>
      </c>
      <c r="CQ328" s="22">
        <v>28</v>
      </c>
      <c r="CR328" s="198">
        <f t="shared" ca="1" si="170"/>
        <v>279.17159696653414</v>
      </c>
      <c r="CS328" s="276">
        <f t="shared" ca="1" si="171"/>
        <v>2.1024964146485252</v>
      </c>
      <c r="CT328" s="205">
        <f t="shared" ca="1" si="172"/>
        <v>586.95728169384108</v>
      </c>
      <c r="CZ328" s="164" t="b">
        <f t="shared" si="148"/>
        <v>1</v>
      </c>
      <c r="DA328" s="165" t="b">
        <f t="shared" si="148"/>
        <v>1</v>
      </c>
      <c r="DB328" s="166" t="b">
        <f t="shared" si="148"/>
        <v>1</v>
      </c>
      <c r="DC328" s="164">
        <f t="shared" si="149"/>
        <v>30</v>
      </c>
      <c r="DD328" s="166">
        <f t="shared" si="150"/>
        <v>557.00550308155459</v>
      </c>
      <c r="DE328" s="164">
        <f t="shared" si="151"/>
        <v>30</v>
      </c>
      <c r="DF328" s="166">
        <f t="shared" si="152"/>
        <v>628.05728618944181</v>
      </c>
      <c r="DG328" s="164">
        <f t="shared" si="153"/>
        <v>30</v>
      </c>
      <c r="DH328" s="166">
        <f t="shared" si="154"/>
        <v>699.10906929732903</v>
      </c>
      <c r="DI328" s="164">
        <f>IFERROR(INDEX(DC$296:DC$344,_xlfn.AGGREGATE(15,6,(ROW(DC$296:DC$344)-ROW(DC$296)+1)/(DC$296:DC$344&lt;&gt;""),ROWS(DI$1:DI33))),"")</f>
        <v>30</v>
      </c>
      <c r="DJ328" s="165">
        <f>IFERROR(INDEX(DD$296:DD$344,_xlfn.AGGREGATE(15,6,(ROW(DD$296:DD$344)-ROW(DD$296)+1)/(DD$296:DD$344&lt;&gt;""),ROWS(DJ$1:DJ33))),"")</f>
        <v>557.00550308155459</v>
      </c>
      <c r="DK328" s="166">
        <f t="shared" si="155"/>
        <v>328</v>
      </c>
      <c r="DL328" s="164">
        <f>IFERROR(INDEX(DE$296:DE$344,_xlfn.AGGREGATE(15,6,(ROW(DE$296:DE$344)-ROW(DE$296)+1)/(DE$296:DE$344&lt;&gt;""),ROWS(DL$1:DL33))),"")</f>
        <v>30</v>
      </c>
      <c r="DM328" s="165">
        <f>IFERROR(INDEX(DF$296:DF$344,_xlfn.AGGREGATE(15,6,(ROW(DF$296:DF$344)-ROW(DF$296)+1)/(DF$296:DF$344&lt;&gt;""),ROWS(DM$1:DM33))),"")</f>
        <v>628.05728618944181</v>
      </c>
      <c r="DN328" s="166">
        <f t="shared" si="156"/>
        <v>328</v>
      </c>
      <c r="DO328" s="164">
        <f>IFERROR(INDEX(DG$296:DG$344,_xlfn.AGGREGATE(15,6,(ROW(DG$296:DG$344)-ROW(DG$296)+1)/(DG$296:DG$344&lt;&gt;""),ROWS(DO$1:DO33))),"")</f>
        <v>30</v>
      </c>
      <c r="DP328" s="165">
        <f>IFERROR(INDEX(DH$296:DH$344,_xlfn.AGGREGATE(15,6,(ROW(DH$296:DH$344)-ROW(DH$296)+1)/(DH$296:DH$344&lt;&gt;""),ROWS(DP$1:DP33))),"")</f>
        <v>699.10906929732903</v>
      </c>
      <c r="DQ328" s="166">
        <f t="shared" si="157"/>
        <v>328</v>
      </c>
      <c r="DV328" s="145">
        <v>2047</v>
      </c>
      <c r="DW328" s="235">
        <f t="shared" ca="1" si="142"/>
        <v>672.2709885711472</v>
      </c>
      <c r="EA328" s="55"/>
      <c r="EB328" s="55"/>
      <c r="EC328" s="55"/>
      <c r="ED328" s="55"/>
      <c r="EE328" s="55"/>
    </row>
    <row r="329" spans="2:135" ht="13.8" x14ac:dyDescent="0.45">
      <c r="B329" s="128">
        <v>2045</v>
      </c>
      <c r="C329" s="1070">
        <v>687.45422374429222</v>
      </c>
      <c r="D329" s="1050">
        <v>677.0561467614674</v>
      </c>
      <c r="E329" s="1069">
        <v>692.58105388447666</v>
      </c>
      <c r="F329" s="1075"/>
      <c r="G329" s="1052"/>
      <c r="H329" s="1036"/>
      <c r="I329" s="1112">
        <v>512.90588235294126</v>
      </c>
      <c r="J329" s="247"/>
      <c r="K329" s="245"/>
      <c r="L329" s="246"/>
      <c r="M329" s="245"/>
      <c r="N329" s="29" t="s">
        <v>119</v>
      </c>
      <c r="O329" s="120"/>
      <c r="P329" s="120"/>
      <c r="Q329" s="120"/>
      <c r="R329" s="29">
        <v>31</v>
      </c>
      <c r="S329" s="238">
        <f t="shared" si="143"/>
        <v>512.90588235294126</v>
      </c>
      <c r="T329" s="238">
        <f t="shared" si="144"/>
        <v>692.58105388447666</v>
      </c>
      <c r="U329" s="238">
        <f t="shared" si="145"/>
        <v>75.029588824240079</v>
      </c>
      <c r="W329" s="238">
        <f t="shared" si="158"/>
        <v>567.46973786155422</v>
      </c>
      <c r="X329" s="238">
        <f t="shared" si="176"/>
        <v>642.49932668579436</v>
      </c>
      <c r="Y329" s="238">
        <f t="shared" si="147"/>
        <v>717.52891551003449</v>
      </c>
      <c r="AA329" s="1133">
        <v>679.2384940869174</v>
      </c>
      <c r="AB329" s="1133">
        <v>685.69714146341209</v>
      </c>
      <c r="AC329" s="1133">
        <v>692.15578883990679</v>
      </c>
      <c r="AD329" s="89"/>
      <c r="AE329" s="89"/>
      <c r="AF329" s="89"/>
      <c r="AG329" s="89"/>
      <c r="AH329" s="89"/>
      <c r="AI329" s="89"/>
      <c r="AJ329" s="89"/>
      <c r="AK329" s="89"/>
      <c r="AL329" s="89"/>
      <c r="AM329" s="89"/>
      <c r="AN329" s="89"/>
      <c r="BR329" s="180">
        <v>2043</v>
      </c>
      <c r="BS329" s="22">
        <v>29</v>
      </c>
      <c r="BT329" s="198">
        <f t="shared" si="159"/>
        <v>387.8646167633496</v>
      </c>
      <c r="BU329" s="276">
        <f t="shared" si="160"/>
        <v>241.48820204092624</v>
      </c>
      <c r="BV329" s="205">
        <f t="shared" si="161"/>
        <v>629.35281880427578</v>
      </c>
      <c r="BY329" s="180">
        <v>2043</v>
      </c>
      <c r="BZ329" s="22">
        <v>29</v>
      </c>
      <c r="CA329" s="198">
        <f t="shared" ca="1" si="162"/>
        <v>60.805572511111528</v>
      </c>
      <c r="CB329" s="198">
        <f t="shared" ca="1" si="163"/>
        <v>295.6078860568353</v>
      </c>
      <c r="CC329" s="276">
        <f t="shared" ca="1" si="174"/>
        <v>262.02183175930418</v>
      </c>
      <c r="CD329" s="205">
        <f t="shared" ca="1" si="164"/>
        <v>618.43529032725098</v>
      </c>
      <c r="CG329" s="180">
        <v>2043</v>
      </c>
      <c r="CH329" s="22">
        <v>29</v>
      </c>
      <c r="CI329" s="198">
        <f t="shared" ca="1" si="165"/>
        <v>45.203198463805862</v>
      </c>
      <c r="CJ329" s="198">
        <f t="shared" ca="1" si="166"/>
        <v>-42.070672268584801</v>
      </c>
      <c r="CK329" s="198">
        <f t="shared" ca="1" si="167"/>
        <v>354.31291978117434</v>
      </c>
      <c r="CL329" s="276">
        <f t="shared" ca="1" si="168"/>
        <v>256.95753148120718</v>
      </c>
      <c r="CM329" s="205">
        <f t="shared" ca="1" si="169"/>
        <v>614.40297745760256</v>
      </c>
      <c r="CP329" s="180">
        <v>2043</v>
      </c>
      <c r="CQ329" s="22">
        <v>29</v>
      </c>
      <c r="CR329" s="198">
        <f t="shared" ca="1" si="170"/>
        <v>279.17159696653414</v>
      </c>
      <c r="CS329" s="276">
        <f t="shared" ca="1" si="171"/>
        <v>2.1590441502282056</v>
      </c>
      <c r="CT329" s="205">
        <f t="shared" ca="1" si="172"/>
        <v>602.7438033404618</v>
      </c>
      <c r="CZ329" s="164" t="b">
        <f t="shared" si="148"/>
        <v>1</v>
      </c>
      <c r="DA329" s="165" t="b">
        <f t="shared" si="148"/>
        <v>1</v>
      </c>
      <c r="DB329" s="166" t="b">
        <f t="shared" si="148"/>
        <v>1</v>
      </c>
      <c r="DC329" s="164">
        <f t="shared" si="149"/>
        <v>31</v>
      </c>
      <c r="DD329" s="166">
        <f t="shared" si="150"/>
        <v>567.46973786155422</v>
      </c>
      <c r="DE329" s="164">
        <f t="shared" si="151"/>
        <v>31</v>
      </c>
      <c r="DF329" s="166">
        <f t="shared" si="152"/>
        <v>642.49932668579436</v>
      </c>
      <c r="DG329" s="164">
        <f t="shared" si="153"/>
        <v>31</v>
      </c>
      <c r="DH329" s="166">
        <f t="shared" si="154"/>
        <v>717.52891551003449</v>
      </c>
      <c r="DI329" s="164">
        <f>IFERROR(INDEX(DC$296:DC$344,_xlfn.AGGREGATE(15,6,(ROW(DC$296:DC$344)-ROW(DC$296)+1)/(DC$296:DC$344&lt;&gt;""),ROWS(DI$1:DI34))),"")</f>
        <v>31</v>
      </c>
      <c r="DJ329" s="165">
        <f>IFERROR(INDEX(DD$296:DD$344,_xlfn.AGGREGATE(15,6,(ROW(DD$296:DD$344)-ROW(DD$296)+1)/(DD$296:DD$344&lt;&gt;""),ROWS(DJ$1:DJ34))),"")</f>
        <v>567.46973786155422</v>
      </c>
      <c r="DK329" s="166">
        <f t="shared" si="155"/>
        <v>329</v>
      </c>
      <c r="DL329" s="164">
        <f>IFERROR(INDEX(DE$296:DE$344,_xlfn.AGGREGATE(15,6,(ROW(DE$296:DE$344)-ROW(DE$296)+1)/(DE$296:DE$344&lt;&gt;""),ROWS(DL$1:DL34))),"")</f>
        <v>31</v>
      </c>
      <c r="DM329" s="165">
        <f>IFERROR(INDEX(DF$296:DF$344,_xlfn.AGGREGATE(15,6,(ROW(DF$296:DF$344)-ROW(DF$296)+1)/(DF$296:DF$344&lt;&gt;""),ROWS(DM$1:DM34))),"")</f>
        <v>642.49932668579436</v>
      </c>
      <c r="DN329" s="166">
        <f t="shared" si="156"/>
        <v>329</v>
      </c>
      <c r="DO329" s="164">
        <f>IFERROR(INDEX(DG$296:DG$344,_xlfn.AGGREGATE(15,6,(ROW(DG$296:DG$344)-ROW(DG$296)+1)/(DG$296:DG$344&lt;&gt;""),ROWS(DO$1:DO34))),"")</f>
        <v>31</v>
      </c>
      <c r="DP329" s="165">
        <f>IFERROR(INDEX(DH$296:DH$344,_xlfn.AGGREGATE(15,6,(ROW(DH$296:DH$344)-ROW(DH$296)+1)/(DH$296:DH$344&lt;&gt;""),ROWS(DP$1:DP34))),"")</f>
        <v>717.52891551003449</v>
      </c>
      <c r="DQ329" s="166">
        <f t="shared" si="157"/>
        <v>329</v>
      </c>
      <c r="DV329" s="145">
        <v>2048</v>
      </c>
      <c r="DW329" s="235">
        <f t="shared" ca="1" si="142"/>
        <v>687.37751276425638</v>
      </c>
      <c r="EA329" s="55"/>
      <c r="EB329" s="55"/>
      <c r="EC329" s="55"/>
      <c r="ED329" s="55"/>
      <c r="EE329" s="55"/>
    </row>
    <row r="330" spans="2:135" ht="13.8" x14ac:dyDescent="0.45">
      <c r="B330" s="128">
        <v>2046</v>
      </c>
      <c r="C330" s="1070">
        <v>701.39429223744287</v>
      </c>
      <c r="D330" s="1050">
        <v>697.35714895346632</v>
      </c>
      <c r="E330" s="1069">
        <v>709.66018013498274</v>
      </c>
      <c r="F330" s="1075"/>
      <c r="G330" s="1052"/>
      <c r="H330" s="1036"/>
      <c r="I330" s="1112">
        <v>520.16470588235302</v>
      </c>
      <c r="J330" s="247"/>
      <c r="K330" s="245"/>
      <c r="L330" s="246"/>
      <c r="M330" s="245"/>
      <c r="N330" s="29" t="s">
        <v>119</v>
      </c>
      <c r="O330" s="120"/>
      <c r="P330" s="120"/>
      <c r="Q330" s="120"/>
      <c r="R330" s="29">
        <v>32</v>
      </c>
      <c r="S330" s="238">
        <f t="shared" si="143"/>
        <v>520.16470588235302</v>
      </c>
      <c r="T330" s="238">
        <f t="shared" si="144"/>
        <v>709.66018013498274</v>
      </c>
      <c r="U330" s="238">
        <f t="shared" si="145"/>
        <v>79.209314327237806</v>
      </c>
      <c r="W330" s="238">
        <f t="shared" si="158"/>
        <v>577.93476747482339</v>
      </c>
      <c r="X330" s="238">
        <f t="shared" si="176"/>
        <v>657.14408180206124</v>
      </c>
      <c r="Y330" s="238">
        <f t="shared" si="147"/>
        <v>736.35339612929909</v>
      </c>
      <c r="AA330" s="1133">
        <v>697.68324008096897</v>
      </c>
      <c r="AB330" s="1133">
        <v>702.80387377529735</v>
      </c>
      <c r="AC330" s="1133">
        <v>707.92450746962572</v>
      </c>
      <c r="AD330" s="89"/>
      <c r="AE330" s="89"/>
      <c r="AF330" s="89"/>
      <c r="AG330" s="89"/>
      <c r="AH330" s="89"/>
      <c r="AI330" s="89"/>
      <c r="AJ330" s="89"/>
      <c r="AK330" s="89"/>
      <c r="AL330" s="89"/>
      <c r="AM330" s="89"/>
      <c r="AN330" s="89"/>
      <c r="BR330" s="180">
        <v>2044</v>
      </c>
      <c r="BS330" s="22">
        <v>30</v>
      </c>
      <c r="BT330" s="198">
        <f t="shared" si="159"/>
        <v>401.23925872070646</v>
      </c>
      <c r="BU330" s="276">
        <f t="shared" si="160"/>
        <v>241.48820204092624</v>
      </c>
      <c r="BV330" s="205">
        <f t="shared" si="161"/>
        <v>642.72746076163276</v>
      </c>
      <c r="BY330" s="180">
        <v>2044</v>
      </c>
      <c r="BZ330" s="22">
        <v>30</v>
      </c>
      <c r="CA330" s="198">
        <f t="shared" ca="1" si="162"/>
        <v>65.071361783591414</v>
      </c>
      <c r="CB330" s="198">
        <f t="shared" ca="1" si="163"/>
        <v>305.80126143810548</v>
      </c>
      <c r="CC330" s="276">
        <f t="shared" ca="1" si="174"/>
        <v>262.02183175930418</v>
      </c>
      <c r="CD330" s="205">
        <f t="shared" ca="1" si="164"/>
        <v>632.8944549810011</v>
      </c>
      <c r="CG330" s="180">
        <v>2044</v>
      </c>
      <c r="CH330" s="22">
        <v>30</v>
      </c>
      <c r="CI330" s="198">
        <f t="shared" ca="1" si="165"/>
        <v>50.042492866569283</v>
      </c>
      <c r="CJ330" s="198">
        <f t="shared" ca="1" si="166"/>
        <v>-45.02212252286126</v>
      </c>
      <c r="CK330" s="198">
        <f t="shared" ca="1" si="167"/>
        <v>366.53060667018036</v>
      </c>
      <c r="CL330" s="276">
        <f t="shared" ca="1" si="168"/>
        <v>256.95753148120718</v>
      </c>
      <c r="CM330" s="205">
        <f t="shared" ca="1" si="169"/>
        <v>628.50850849509561</v>
      </c>
      <c r="CP330" s="180">
        <v>2044</v>
      </c>
      <c r="CQ330" s="22">
        <v>30</v>
      </c>
      <c r="CR330" s="198">
        <f t="shared" ca="1" si="170"/>
        <v>279.17159696653414</v>
      </c>
      <c r="CS330" s="276">
        <f t="shared" ca="1" si="171"/>
        <v>2.2171127665936567</v>
      </c>
      <c r="CT330" s="205">
        <f t="shared" ca="1" si="172"/>
        <v>618.95491170484183</v>
      </c>
      <c r="CZ330" s="164" t="b">
        <f t="shared" si="148"/>
        <v>1</v>
      </c>
      <c r="DA330" s="165" t="b">
        <f t="shared" si="148"/>
        <v>1</v>
      </c>
      <c r="DB330" s="166" t="b">
        <f t="shared" si="148"/>
        <v>1</v>
      </c>
      <c r="DC330" s="164">
        <f t="shared" si="149"/>
        <v>32</v>
      </c>
      <c r="DD330" s="166">
        <f t="shared" si="150"/>
        <v>577.93476747482339</v>
      </c>
      <c r="DE330" s="164">
        <f t="shared" si="151"/>
        <v>32</v>
      </c>
      <c r="DF330" s="166">
        <f t="shared" si="152"/>
        <v>657.14408180206124</v>
      </c>
      <c r="DG330" s="164">
        <f t="shared" si="153"/>
        <v>32</v>
      </c>
      <c r="DH330" s="166">
        <f t="shared" si="154"/>
        <v>736.35339612929909</v>
      </c>
      <c r="DI330" s="164">
        <f>IFERROR(INDEX(DC$296:DC$344,_xlfn.AGGREGATE(15,6,(ROW(DC$296:DC$344)-ROW(DC$296)+1)/(DC$296:DC$344&lt;&gt;""),ROWS(DI$1:DI35))),"")</f>
        <v>32</v>
      </c>
      <c r="DJ330" s="165">
        <f>IFERROR(INDEX(DD$296:DD$344,_xlfn.AGGREGATE(15,6,(ROW(DD$296:DD$344)-ROW(DD$296)+1)/(DD$296:DD$344&lt;&gt;""),ROWS(DJ$1:DJ35))),"")</f>
        <v>577.93476747482339</v>
      </c>
      <c r="DK330" s="166">
        <f t="shared" si="155"/>
        <v>330</v>
      </c>
      <c r="DL330" s="164">
        <f>IFERROR(INDEX(DE$296:DE$344,_xlfn.AGGREGATE(15,6,(ROW(DE$296:DE$344)-ROW(DE$296)+1)/(DE$296:DE$344&lt;&gt;""),ROWS(DL$1:DL35))),"")</f>
        <v>32</v>
      </c>
      <c r="DM330" s="165">
        <f>IFERROR(INDEX(DF$296:DF$344,_xlfn.AGGREGATE(15,6,(ROW(DF$296:DF$344)-ROW(DF$296)+1)/(DF$296:DF$344&lt;&gt;""),ROWS(DM$1:DM35))),"")</f>
        <v>657.14408180206124</v>
      </c>
      <c r="DN330" s="166">
        <f t="shared" si="156"/>
        <v>330</v>
      </c>
      <c r="DO330" s="164">
        <f>IFERROR(INDEX(DG$296:DG$344,_xlfn.AGGREGATE(15,6,(ROW(DG$296:DG$344)-ROW(DG$296)+1)/(DG$296:DG$344&lt;&gt;""),ROWS(DO$1:DO35))),"")</f>
        <v>32</v>
      </c>
      <c r="DP330" s="165">
        <f>IFERROR(INDEX(DH$296:DH$344,_xlfn.AGGREGATE(15,6,(ROW(DH$296:DH$344)-ROW(DH$296)+1)/(DH$296:DH$344&lt;&gt;""),ROWS(DP$1:DP35))),"")</f>
        <v>736.35339612929909</v>
      </c>
      <c r="DQ330" s="166">
        <f t="shared" si="157"/>
        <v>330</v>
      </c>
      <c r="DV330" s="145">
        <v>2049</v>
      </c>
      <c r="DW330" s="235">
        <f t="shared" ca="1" si="142"/>
        <v>702.76208663119564</v>
      </c>
      <c r="EA330" s="55"/>
      <c r="EB330" s="55"/>
      <c r="EC330" s="55"/>
      <c r="ED330" s="55"/>
      <c r="EE330" s="55"/>
    </row>
    <row r="331" spans="2:135" ht="13.8" x14ac:dyDescent="0.45">
      <c r="B331" s="128">
        <v>2047</v>
      </c>
      <c r="C331" s="1070">
        <v>715.33436073059363</v>
      </c>
      <c r="D331" s="1050">
        <v>717.62999986076443</v>
      </c>
      <c r="E331" s="1069">
        <v>727.34619905318937</v>
      </c>
      <c r="F331" s="1075"/>
      <c r="G331" s="1052"/>
      <c r="H331" s="1036"/>
      <c r="I331" s="1112">
        <v>527.42352941176478</v>
      </c>
      <c r="J331" s="247"/>
      <c r="K331" s="245"/>
      <c r="L331" s="246"/>
      <c r="M331" s="245"/>
      <c r="N331" s="29" t="s">
        <v>119</v>
      </c>
      <c r="O331" s="120"/>
      <c r="P331" s="120"/>
      <c r="Q331" s="120"/>
      <c r="R331" s="29">
        <v>33</v>
      </c>
      <c r="S331" s="238">
        <f t="shared" si="143"/>
        <v>527.42352941176478</v>
      </c>
      <c r="T331" s="238">
        <f t="shared" si="144"/>
        <v>727.34619905318937</v>
      </c>
      <c r="U331" s="238">
        <f t="shared" si="145"/>
        <v>83.554628279125168</v>
      </c>
      <c r="W331" s="238">
        <f t="shared" si="158"/>
        <v>588.37889398495292</v>
      </c>
      <c r="X331" s="238">
        <f t="shared" si="176"/>
        <v>671.93352226407808</v>
      </c>
      <c r="Y331" s="238">
        <f t="shared" si="147"/>
        <v>755.48815054320323</v>
      </c>
      <c r="AA331" s="1133">
        <v>714.89712695602907</v>
      </c>
      <c r="AB331" s="1133">
        <v>720.10351988151581</v>
      </c>
      <c r="AC331" s="1133">
        <v>725.30991280700255</v>
      </c>
      <c r="AD331" s="89"/>
      <c r="AE331" s="89"/>
      <c r="AF331" s="89"/>
      <c r="AG331" s="89"/>
      <c r="AH331" s="89"/>
      <c r="AI331" s="89"/>
      <c r="AJ331" s="89"/>
      <c r="AK331" s="89"/>
      <c r="AL331" s="89"/>
      <c r="AM331" s="89"/>
      <c r="AN331" s="89"/>
      <c r="BR331" s="180">
        <v>2045</v>
      </c>
      <c r="BS331" s="22">
        <v>31</v>
      </c>
      <c r="BT331" s="198">
        <f t="shared" si="159"/>
        <v>414.61390067806337</v>
      </c>
      <c r="BU331" s="198">
        <f t="shared" si="160"/>
        <v>241.48820204092624</v>
      </c>
      <c r="BV331" s="205">
        <f t="shared" si="161"/>
        <v>656.10210271898961</v>
      </c>
      <c r="BY331" s="180">
        <v>2045</v>
      </c>
      <c r="BZ331" s="22">
        <v>31</v>
      </c>
      <c r="CA331" s="198">
        <f t="shared" ca="1" si="162"/>
        <v>69.481754082257041</v>
      </c>
      <c r="CB331" s="198">
        <f t="shared" ca="1" si="163"/>
        <v>315.99463681937567</v>
      </c>
      <c r="CC331" s="198">
        <f t="shared" ca="1" si="174"/>
        <v>262.02183175930418</v>
      </c>
      <c r="CD331" s="205">
        <f t="shared" ca="1" si="164"/>
        <v>647.4982226609369</v>
      </c>
      <c r="CG331" s="180">
        <v>2045</v>
      </c>
      <c r="CH331" s="22">
        <v>31</v>
      </c>
      <c r="CI331" s="198">
        <f t="shared" ca="1" si="165"/>
        <v>55.21540388844317</v>
      </c>
      <c r="CJ331" s="198">
        <f t="shared" ca="1" si="166"/>
        <v>-48.073621938299631</v>
      </c>
      <c r="CK331" s="198">
        <f t="shared" ca="1" si="167"/>
        <v>378.74829355918638</v>
      </c>
      <c r="CL331" s="198">
        <f t="shared" ca="1" si="168"/>
        <v>256.95753148120718</v>
      </c>
      <c r="CM331" s="205">
        <f t="shared" ca="1" si="169"/>
        <v>642.84760699053709</v>
      </c>
      <c r="CP331" s="180">
        <v>2045</v>
      </c>
      <c r="CQ331" s="22">
        <v>31</v>
      </c>
      <c r="CR331" s="198">
        <f t="shared" ca="1" si="170"/>
        <v>279.17159696653414</v>
      </c>
      <c r="CS331" s="198">
        <f t="shared" ca="1" si="171"/>
        <v>2.2767431686253436</v>
      </c>
      <c r="CT331" s="205">
        <f t="shared" ca="1" si="172"/>
        <v>635.60202626778437</v>
      </c>
      <c r="CZ331" s="164" t="b">
        <f t="shared" si="148"/>
        <v>1</v>
      </c>
      <c r="DA331" s="165" t="b">
        <f t="shared" si="148"/>
        <v>1</v>
      </c>
      <c r="DB331" s="166" t="b">
        <f t="shared" si="148"/>
        <v>1</v>
      </c>
      <c r="DC331" s="164">
        <f t="shared" si="149"/>
        <v>33</v>
      </c>
      <c r="DD331" s="166">
        <f t="shared" si="150"/>
        <v>588.37889398495292</v>
      </c>
      <c r="DE331" s="164">
        <f t="shared" si="151"/>
        <v>33</v>
      </c>
      <c r="DF331" s="166">
        <f t="shared" si="152"/>
        <v>671.93352226407808</v>
      </c>
      <c r="DG331" s="164">
        <f t="shared" si="153"/>
        <v>33</v>
      </c>
      <c r="DH331" s="166">
        <f t="shared" si="154"/>
        <v>755.48815054320323</v>
      </c>
      <c r="DI331" s="164">
        <f>IFERROR(INDEX(DC$296:DC$344,_xlfn.AGGREGATE(15,6,(ROW(DC$296:DC$344)-ROW(DC$296)+1)/(DC$296:DC$344&lt;&gt;""),ROWS(DI$1:DI36))),"")</f>
        <v>33</v>
      </c>
      <c r="DJ331" s="165">
        <f>IFERROR(INDEX(DD$296:DD$344,_xlfn.AGGREGATE(15,6,(ROW(DD$296:DD$344)-ROW(DD$296)+1)/(DD$296:DD$344&lt;&gt;""),ROWS(DJ$1:DJ36))),"")</f>
        <v>588.37889398495292</v>
      </c>
      <c r="DK331" s="166">
        <f t="shared" si="155"/>
        <v>331</v>
      </c>
      <c r="DL331" s="164">
        <f>IFERROR(INDEX(DE$296:DE$344,_xlfn.AGGREGATE(15,6,(ROW(DE$296:DE$344)-ROW(DE$296)+1)/(DE$296:DE$344&lt;&gt;""),ROWS(DL$1:DL36))),"")</f>
        <v>33</v>
      </c>
      <c r="DM331" s="165">
        <f>IFERROR(INDEX(DF$296:DF$344,_xlfn.AGGREGATE(15,6,(ROW(DF$296:DF$344)-ROW(DF$296)+1)/(DF$296:DF$344&lt;&gt;""),ROWS(DM$1:DM36))),"")</f>
        <v>671.93352226407808</v>
      </c>
      <c r="DN331" s="166">
        <f t="shared" si="156"/>
        <v>331</v>
      </c>
      <c r="DO331" s="164">
        <f>IFERROR(INDEX(DG$296:DG$344,_xlfn.AGGREGATE(15,6,(ROW(DG$296:DG$344)-ROW(DG$296)+1)/(DG$296:DG$344&lt;&gt;""),ROWS(DO$1:DO36))),"")</f>
        <v>33</v>
      </c>
      <c r="DP331" s="165">
        <f>IFERROR(INDEX(DH$296:DH$344,_xlfn.AGGREGATE(15,6,(ROW(DH$296:DH$344)-ROW(DH$296)+1)/(DH$296:DH$344&lt;&gt;""),ROWS(DP$1:DP36))),"")</f>
        <v>755.48815054320323</v>
      </c>
      <c r="DQ331" s="166">
        <f t="shared" si="157"/>
        <v>331</v>
      </c>
      <c r="DV331" s="145">
        <v>2050</v>
      </c>
      <c r="DW331" s="235">
        <f t="shared" ca="1" si="142"/>
        <v>718.43583072593515</v>
      </c>
      <c r="EA331" s="55"/>
      <c r="EB331" s="55"/>
      <c r="EC331" s="55"/>
      <c r="ED331" s="55"/>
      <c r="EE331" s="55"/>
    </row>
    <row r="332" spans="2:135" ht="13.8" x14ac:dyDescent="0.45">
      <c r="B332" s="128">
        <v>2048</v>
      </c>
      <c r="C332" s="1070">
        <v>729.27442922374428</v>
      </c>
      <c r="D332" s="1050">
        <v>738.35162591726362</v>
      </c>
      <c r="E332" s="1069">
        <v>745.67658793484657</v>
      </c>
      <c r="F332" s="1075"/>
      <c r="G332" s="1052"/>
      <c r="H332" s="1036"/>
      <c r="I332" s="1112">
        <v>534.68235294117653</v>
      </c>
      <c r="J332" s="247"/>
      <c r="K332" s="245"/>
      <c r="L332" s="246"/>
      <c r="M332" s="245"/>
      <c r="N332" s="29" t="s">
        <v>119</v>
      </c>
      <c r="O332" s="120"/>
      <c r="P332" s="120"/>
      <c r="Q332" s="120"/>
      <c r="R332" s="29">
        <v>34</v>
      </c>
      <c r="S332" s="238">
        <f t="shared" si="143"/>
        <v>534.68235294117653</v>
      </c>
      <c r="T332" s="238">
        <f t="shared" si="144"/>
        <v>745.67658793484657</v>
      </c>
      <c r="U332" s="238">
        <f t="shared" si="145"/>
        <v>88.130193990867056</v>
      </c>
      <c r="W332" s="238">
        <f t="shared" si="158"/>
        <v>598.86605501339079</v>
      </c>
      <c r="X332" s="238">
        <f t="shared" si="176"/>
        <v>686.99624900425783</v>
      </c>
      <c r="Y332" s="238">
        <f t="shared" si="147"/>
        <v>775.12644299512488</v>
      </c>
      <c r="AA332" s="1133">
        <v>731.05866983615431</v>
      </c>
      <c r="AB332" s="1133">
        <v>737.76754769195156</v>
      </c>
      <c r="AC332" s="1133">
        <v>744.47642554774882</v>
      </c>
      <c r="AD332" s="89"/>
      <c r="AE332" s="89"/>
      <c r="AF332" s="89"/>
      <c r="AG332" s="89"/>
      <c r="AH332" s="89"/>
      <c r="AI332" s="89"/>
      <c r="AJ332" s="89"/>
      <c r="AK332" s="89"/>
      <c r="AL332" s="89"/>
      <c r="AM332" s="89"/>
      <c r="AN332" s="89"/>
      <c r="BR332" s="180">
        <v>2046</v>
      </c>
      <c r="BS332" s="22">
        <v>32</v>
      </c>
      <c r="BT332" s="198">
        <f t="shared" si="159"/>
        <v>427.98854263542023</v>
      </c>
      <c r="BU332" s="198">
        <f t="shared" si="160"/>
        <v>241.48820204092624</v>
      </c>
      <c r="BV332" s="205">
        <f t="shared" si="161"/>
        <v>669.47674467634647</v>
      </c>
      <c r="BY332" s="180">
        <v>2046</v>
      </c>
      <c r="BZ332" s="22">
        <v>32</v>
      </c>
      <c r="CA332" s="198">
        <f t="shared" ca="1" si="162"/>
        <v>74.036749407108445</v>
      </c>
      <c r="CB332" s="198">
        <f t="shared" ca="1" si="163"/>
        <v>326.18801220064586</v>
      </c>
      <c r="CC332" s="198">
        <f t="shared" ca="1" si="174"/>
        <v>262.02183175930418</v>
      </c>
      <c r="CD332" s="205">
        <f t="shared" ca="1" si="164"/>
        <v>662.24659336705849</v>
      </c>
      <c r="CG332" s="180">
        <v>2046</v>
      </c>
      <c r="CH332" s="22">
        <v>32</v>
      </c>
      <c r="CI332" s="198">
        <f t="shared" ca="1" si="165"/>
        <v>60.733052083397865</v>
      </c>
      <c r="CJ332" s="198">
        <f t="shared" ca="1" si="166"/>
        <v>-51.225170514899922</v>
      </c>
      <c r="CK332" s="198">
        <f t="shared" ca="1" si="167"/>
        <v>390.9659804481924</v>
      </c>
      <c r="CL332" s="198">
        <f t="shared" ca="1" si="168"/>
        <v>256.95753148120718</v>
      </c>
      <c r="CM332" s="205">
        <f t="shared" ca="1" si="169"/>
        <v>657.43139349789749</v>
      </c>
      <c r="CP332" s="180">
        <v>2046</v>
      </c>
      <c r="CQ332" s="22">
        <v>32</v>
      </c>
      <c r="CR332" s="198">
        <f t="shared" ca="1" si="170"/>
        <v>279.17159696653414</v>
      </c>
      <c r="CS332" s="198">
        <f t="shared" ca="1" si="171"/>
        <v>2.3379773613617876</v>
      </c>
      <c r="CT332" s="205">
        <f t="shared" ca="1" si="172"/>
        <v>652.69687364297386</v>
      </c>
      <c r="CZ332" s="164" t="b">
        <f t="shared" si="148"/>
        <v>1</v>
      </c>
      <c r="DA332" s="165" t="b">
        <f t="shared" si="148"/>
        <v>1</v>
      </c>
      <c r="DB332" s="166" t="b">
        <f t="shared" si="148"/>
        <v>1</v>
      </c>
      <c r="DC332" s="164">
        <f t="shared" si="149"/>
        <v>34</v>
      </c>
      <c r="DD332" s="166">
        <f t="shared" si="150"/>
        <v>598.86605501339079</v>
      </c>
      <c r="DE332" s="164">
        <f t="shared" si="151"/>
        <v>34</v>
      </c>
      <c r="DF332" s="166">
        <f t="shared" si="152"/>
        <v>686.99624900425783</v>
      </c>
      <c r="DG332" s="164">
        <f t="shared" si="153"/>
        <v>34</v>
      </c>
      <c r="DH332" s="166">
        <f t="shared" si="154"/>
        <v>775.12644299512488</v>
      </c>
      <c r="DI332" s="164">
        <f>IFERROR(INDEX(DC$296:DC$344,_xlfn.AGGREGATE(15,6,(ROW(DC$296:DC$344)-ROW(DC$296)+1)/(DC$296:DC$344&lt;&gt;""),ROWS(DI$1:DI37))),"")</f>
        <v>34</v>
      </c>
      <c r="DJ332" s="165">
        <f>IFERROR(INDEX(DD$296:DD$344,_xlfn.AGGREGATE(15,6,(ROW(DD$296:DD$344)-ROW(DD$296)+1)/(DD$296:DD$344&lt;&gt;""),ROWS(DJ$1:DJ37))),"")</f>
        <v>598.86605501339079</v>
      </c>
      <c r="DK332" s="166">
        <f t="shared" si="155"/>
        <v>332</v>
      </c>
      <c r="DL332" s="164">
        <f>IFERROR(INDEX(DE$296:DE$344,_xlfn.AGGREGATE(15,6,(ROW(DE$296:DE$344)-ROW(DE$296)+1)/(DE$296:DE$344&lt;&gt;""),ROWS(DL$1:DL37))),"")</f>
        <v>34</v>
      </c>
      <c r="DM332" s="165">
        <f>IFERROR(INDEX(DF$296:DF$344,_xlfn.AGGREGATE(15,6,(ROW(DF$296:DF$344)-ROW(DF$296)+1)/(DF$296:DF$344&lt;&gt;""),ROWS(DM$1:DM37))),"")</f>
        <v>686.99624900425783</v>
      </c>
      <c r="DN332" s="166">
        <f t="shared" si="156"/>
        <v>332</v>
      </c>
      <c r="DO332" s="164">
        <f>IFERROR(INDEX(DG$296:DG$344,_xlfn.AGGREGATE(15,6,(ROW(DG$296:DG$344)-ROW(DG$296)+1)/(DG$296:DG$344&lt;&gt;""),ROWS(DO$1:DO37))),"")</f>
        <v>34</v>
      </c>
      <c r="DP332" s="165">
        <f>IFERROR(INDEX(DH$296:DH$344,_xlfn.AGGREGATE(15,6,(ROW(DH$296:DH$344)-ROW(DH$296)+1)/(DH$296:DH$344&lt;&gt;""),ROWS(DP$1:DP37))),"")</f>
        <v>775.12644299512488</v>
      </c>
      <c r="DQ332" s="166">
        <f t="shared" si="157"/>
        <v>332</v>
      </c>
      <c r="DV332" s="145">
        <v>2051</v>
      </c>
      <c r="DW332" s="235">
        <f t="shared" ca="1" si="142"/>
        <v>734.40986560244528</v>
      </c>
      <c r="EA332" s="55"/>
      <c r="EB332" s="55"/>
      <c r="EC332" s="55"/>
      <c r="ED332" s="55"/>
      <c r="EE332" s="55"/>
    </row>
    <row r="333" spans="2:135" ht="13.8" x14ac:dyDescent="0.45">
      <c r="B333" s="128">
        <v>2049</v>
      </c>
      <c r="C333" s="1070">
        <v>743.21449771689493</v>
      </c>
      <c r="D333" s="1050">
        <v>759.53536509095056</v>
      </c>
      <c r="E333" s="1069">
        <v>764.68882407570322</v>
      </c>
      <c r="F333" s="1075"/>
      <c r="G333" s="1052"/>
      <c r="H333" s="1036"/>
      <c r="I333" s="1112">
        <v>541.94117647058829</v>
      </c>
      <c r="J333" s="247"/>
      <c r="K333" s="245"/>
      <c r="L333" s="246"/>
      <c r="M333" s="245"/>
      <c r="N333" s="29" t="s">
        <v>119</v>
      </c>
      <c r="O333" s="120"/>
      <c r="P333" s="120"/>
      <c r="Q333" s="120"/>
      <c r="R333" s="29">
        <v>35</v>
      </c>
      <c r="S333" s="238">
        <f t="shared" si="143"/>
        <v>541.94117647058829</v>
      </c>
      <c r="T333" s="238">
        <f t="shared" si="144"/>
        <v>764.68882407570322</v>
      </c>
      <c r="U333" s="238">
        <f t="shared" si="145"/>
        <v>92.947825023099668</v>
      </c>
      <c r="W333" s="238">
        <f t="shared" si="158"/>
        <v>609.39714081543468</v>
      </c>
      <c r="X333" s="238">
        <f t="shared" si="176"/>
        <v>702.34496583853434</v>
      </c>
      <c r="Y333" s="238">
        <f t="shared" si="147"/>
        <v>795.29279086163399</v>
      </c>
      <c r="AA333" s="1133">
        <v>746.65941696965854</v>
      </c>
      <c r="AB333" s="1133">
        <v>755.81289562784968</v>
      </c>
      <c r="AC333" s="1133">
        <v>764.96637428604083</v>
      </c>
      <c r="AD333" s="89"/>
      <c r="AE333" s="89"/>
      <c r="AF333" s="89"/>
      <c r="AG333" s="89"/>
      <c r="AH333" s="89"/>
      <c r="AI333" s="89"/>
      <c r="AJ333" s="89"/>
      <c r="AK333" s="89"/>
      <c r="AL333" s="89"/>
      <c r="AM333" s="89"/>
      <c r="AN333" s="89"/>
      <c r="BR333" s="180">
        <v>2047</v>
      </c>
      <c r="BS333" s="22">
        <v>33</v>
      </c>
      <c r="BT333" s="198">
        <f t="shared" si="159"/>
        <v>441.36318459277709</v>
      </c>
      <c r="BU333" s="198">
        <f t="shared" si="160"/>
        <v>241.48820204092624</v>
      </c>
      <c r="BV333" s="205">
        <f t="shared" si="161"/>
        <v>682.85138663370333</v>
      </c>
      <c r="BY333" s="180">
        <v>2047</v>
      </c>
      <c r="BZ333" s="22">
        <v>33</v>
      </c>
      <c r="CA333" s="198">
        <f t="shared" ca="1" si="162"/>
        <v>78.736347758145598</v>
      </c>
      <c r="CB333" s="198">
        <f t="shared" ca="1" si="163"/>
        <v>336.38138758191604</v>
      </c>
      <c r="CC333" s="198">
        <f t="shared" ca="1" si="174"/>
        <v>262.02183175930418</v>
      </c>
      <c r="CD333" s="205">
        <f t="shared" ca="1" si="164"/>
        <v>677.13956709936588</v>
      </c>
      <c r="CG333" s="180">
        <v>2047</v>
      </c>
      <c r="CH333" s="22">
        <v>33</v>
      </c>
      <c r="CI333" s="198">
        <f t="shared" ca="1" si="165"/>
        <v>66.606558005403713</v>
      </c>
      <c r="CJ333" s="198">
        <f t="shared" ca="1" si="166"/>
        <v>-54.476768252662126</v>
      </c>
      <c r="CK333" s="198">
        <f t="shared" ca="1" si="167"/>
        <v>403.18366733719841</v>
      </c>
      <c r="CL333" s="198">
        <f t="shared" ca="1" si="168"/>
        <v>256.95753148120718</v>
      </c>
      <c r="CM333" s="205">
        <f t="shared" ca="1" si="169"/>
        <v>672.2709885711472</v>
      </c>
      <c r="CP333" s="180">
        <v>2047</v>
      </c>
      <c r="CQ333" s="22">
        <v>33</v>
      </c>
      <c r="CR333" s="198">
        <f t="shared" ca="1" si="170"/>
        <v>279.17159696653414</v>
      </c>
      <c r="CS333" s="198">
        <f t="shared" ca="1" si="171"/>
        <v>2.4008584795888872</v>
      </c>
      <c r="CT333" s="205">
        <f t="shared" ca="1" si="172"/>
        <v>670.25149583747475</v>
      </c>
      <c r="CZ333" s="164" t="b">
        <f t="shared" si="148"/>
        <v>1</v>
      </c>
      <c r="DA333" s="165" t="b">
        <f t="shared" si="148"/>
        <v>1</v>
      </c>
      <c r="DB333" s="166" t="b">
        <f t="shared" si="148"/>
        <v>1</v>
      </c>
      <c r="DC333" s="164">
        <f t="shared" si="149"/>
        <v>35</v>
      </c>
      <c r="DD333" s="166">
        <f t="shared" si="150"/>
        <v>609.39714081543468</v>
      </c>
      <c r="DE333" s="164">
        <f t="shared" si="151"/>
        <v>35</v>
      </c>
      <c r="DF333" s="166">
        <f t="shared" si="152"/>
        <v>702.34496583853434</v>
      </c>
      <c r="DG333" s="164">
        <f t="shared" si="153"/>
        <v>35</v>
      </c>
      <c r="DH333" s="166">
        <f t="shared" si="154"/>
        <v>795.29279086163399</v>
      </c>
      <c r="DI333" s="164">
        <f>IFERROR(INDEX(DC$296:DC$344,_xlfn.AGGREGATE(15,6,(ROW(DC$296:DC$344)-ROW(DC$296)+1)/(DC$296:DC$344&lt;&gt;""),ROWS(DI$1:DI38))),"")</f>
        <v>35</v>
      </c>
      <c r="DJ333" s="165">
        <f>IFERROR(INDEX(DD$296:DD$344,_xlfn.AGGREGATE(15,6,(ROW(DD$296:DD$344)-ROW(DD$296)+1)/(DD$296:DD$344&lt;&gt;""),ROWS(DJ$1:DJ38))),"")</f>
        <v>609.39714081543468</v>
      </c>
      <c r="DK333" s="166">
        <f t="shared" si="155"/>
        <v>333</v>
      </c>
      <c r="DL333" s="164">
        <f>IFERROR(INDEX(DE$296:DE$344,_xlfn.AGGREGATE(15,6,(ROW(DE$296:DE$344)-ROW(DE$296)+1)/(DE$296:DE$344&lt;&gt;""),ROWS(DL$1:DL38))),"")</f>
        <v>35</v>
      </c>
      <c r="DM333" s="165">
        <f>IFERROR(INDEX(DF$296:DF$344,_xlfn.AGGREGATE(15,6,(ROW(DF$296:DF$344)-ROW(DF$296)+1)/(DF$296:DF$344&lt;&gt;""),ROWS(DM$1:DM38))),"")</f>
        <v>702.34496583853434</v>
      </c>
      <c r="DN333" s="166">
        <f t="shared" si="156"/>
        <v>333</v>
      </c>
      <c r="DO333" s="164">
        <f>IFERROR(INDEX(DG$296:DG$344,_xlfn.AGGREGATE(15,6,(ROW(DG$296:DG$344)-ROW(DG$296)+1)/(DG$296:DG$344&lt;&gt;""),ROWS(DO$1:DO38))),"")</f>
        <v>35</v>
      </c>
      <c r="DP333" s="165">
        <f>IFERROR(INDEX(DH$296:DH$344,_xlfn.AGGREGATE(15,6,(ROW(DH$296:DH$344)-ROW(DH$296)+1)/(DH$296:DH$344&lt;&gt;""),ROWS(DP$1:DP38))),"")</f>
        <v>795.29279086163399</v>
      </c>
      <c r="DQ333" s="166">
        <f t="shared" si="157"/>
        <v>333</v>
      </c>
      <c r="DV333" s="145">
        <v>2052</v>
      </c>
      <c r="DW333" s="235">
        <f t="shared" ca="1" si="142"/>
        <v>750.69531181469642</v>
      </c>
      <c r="EA333" s="55"/>
      <c r="EB333" s="55"/>
      <c r="EC333" s="55"/>
      <c r="ED333" s="55"/>
      <c r="EE333" s="55"/>
    </row>
    <row r="334" spans="2:135" ht="13.8" x14ac:dyDescent="0.45">
      <c r="B334" s="128">
        <v>2050</v>
      </c>
      <c r="C334" s="1070">
        <v>770.6</v>
      </c>
      <c r="D334" s="1050">
        <v>781.19455534981103</v>
      </c>
      <c r="E334" s="1069">
        <v>781.19455534981103</v>
      </c>
      <c r="F334" s="1075"/>
      <c r="G334" s="1052"/>
      <c r="H334" s="1036"/>
      <c r="I334" s="1112">
        <v>549.20000000000005</v>
      </c>
      <c r="J334" s="247"/>
      <c r="K334" s="245"/>
      <c r="L334" s="246"/>
      <c r="M334" s="245"/>
      <c r="N334" s="29" t="s">
        <v>119</v>
      </c>
      <c r="O334" s="120"/>
      <c r="P334" s="120"/>
      <c r="Q334" s="120"/>
      <c r="R334" s="29">
        <v>36</v>
      </c>
      <c r="S334" s="238">
        <f t="shared" si="143"/>
        <v>549.20000000000005</v>
      </c>
      <c r="T334" s="238">
        <f t="shared" si="144"/>
        <v>781.19455534981103</v>
      </c>
      <c r="U334" s="238">
        <f t="shared" si="145"/>
        <v>99.02190307895134</v>
      </c>
      <c r="W334" s="238">
        <f t="shared" si="158"/>
        <v>621.52537459595408</v>
      </c>
      <c r="X334" s="238">
        <f t="shared" si="176"/>
        <v>720.54727767490544</v>
      </c>
      <c r="Y334" s="238">
        <f t="shared" si="147"/>
        <v>819.56918075385681</v>
      </c>
      <c r="AA334" s="1133">
        <v>772.66871561220228</v>
      </c>
      <c r="AB334" s="1133">
        <v>777.66303689987399</v>
      </c>
      <c r="AC334" s="1133">
        <v>782.6573581875457</v>
      </c>
      <c r="AD334" s="89"/>
      <c r="AE334" s="89"/>
      <c r="AF334" s="89"/>
      <c r="AG334" s="89"/>
      <c r="AH334" s="89"/>
      <c r="AI334" s="89"/>
      <c r="AJ334" s="89"/>
      <c r="AK334" s="89"/>
      <c r="AL334" s="89"/>
      <c r="AM334" s="89"/>
      <c r="AN334" s="89"/>
      <c r="BR334" s="180">
        <v>2048</v>
      </c>
      <c r="BS334" s="22">
        <v>34</v>
      </c>
      <c r="BT334" s="198">
        <f t="shared" si="159"/>
        <v>454.737826550134</v>
      </c>
      <c r="BU334" s="198">
        <f t="shared" si="160"/>
        <v>241.48820204092624</v>
      </c>
      <c r="BV334" s="205">
        <f t="shared" si="161"/>
        <v>696.22602859106019</v>
      </c>
      <c r="BY334" s="180">
        <v>2048</v>
      </c>
      <c r="BZ334" s="22">
        <v>34</v>
      </c>
      <c r="CA334" s="198">
        <f t="shared" ca="1" si="162"/>
        <v>83.580549135368514</v>
      </c>
      <c r="CB334" s="198">
        <f t="shared" ca="1" si="163"/>
        <v>346.57476296318623</v>
      </c>
      <c r="CC334" s="198">
        <f t="shared" ca="1" si="174"/>
        <v>262.02183175930418</v>
      </c>
      <c r="CD334" s="205">
        <f t="shared" ca="1" si="164"/>
        <v>692.17714385785894</v>
      </c>
      <c r="CG334" s="180">
        <v>2048</v>
      </c>
      <c r="CH334" s="22">
        <v>34</v>
      </c>
      <c r="CI334" s="198">
        <f t="shared" ca="1" si="165"/>
        <v>72.847042208431077</v>
      </c>
      <c r="CJ334" s="198">
        <f t="shared" ca="1" si="166"/>
        <v>-57.828415151586242</v>
      </c>
      <c r="CK334" s="198">
        <f t="shared" ca="1" si="167"/>
        <v>415.40135422620443</v>
      </c>
      <c r="CL334" s="198">
        <f t="shared" ca="1" si="168"/>
        <v>256.95753148120718</v>
      </c>
      <c r="CM334" s="205">
        <f t="shared" ca="1" si="169"/>
        <v>687.37751276425638</v>
      </c>
      <c r="CP334" s="180">
        <v>2048</v>
      </c>
      <c r="CQ334" s="22">
        <v>34</v>
      </c>
      <c r="CR334" s="198">
        <f t="shared" ca="1" si="170"/>
        <v>279.17159696653414</v>
      </c>
      <c r="CS334" s="198">
        <f t="shared" ca="1" si="171"/>
        <v>2.465430818225061</v>
      </c>
      <c r="CT334" s="205">
        <f t="shared" ca="1" si="172"/>
        <v>688.27825873439929</v>
      </c>
      <c r="CZ334" s="164" t="b">
        <f t="shared" si="148"/>
        <v>1</v>
      </c>
      <c r="DA334" s="165" t="b">
        <f t="shared" si="148"/>
        <v>1</v>
      </c>
      <c r="DB334" s="166" t="b">
        <f t="shared" si="148"/>
        <v>1</v>
      </c>
      <c r="DC334" s="164">
        <f t="shared" si="149"/>
        <v>36</v>
      </c>
      <c r="DD334" s="166">
        <f t="shared" si="150"/>
        <v>621.52537459595408</v>
      </c>
      <c r="DE334" s="164">
        <f t="shared" si="151"/>
        <v>36</v>
      </c>
      <c r="DF334" s="166">
        <f t="shared" si="152"/>
        <v>720.54727767490544</v>
      </c>
      <c r="DG334" s="164">
        <f t="shared" si="153"/>
        <v>36</v>
      </c>
      <c r="DH334" s="166">
        <f t="shared" si="154"/>
        <v>819.56918075385681</v>
      </c>
      <c r="DI334" s="164">
        <f>IFERROR(INDEX(DC$296:DC$344,_xlfn.AGGREGATE(15,6,(ROW(DC$296:DC$344)-ROW(DC$296)+1)/(DC$296:DC$344&lt;&gt;""),ROWS(DI$1:DI39))),"")</f>
        <v>36</v>
      </c>
      <c r="DJ334" s="165">
        <f>IFERROR(INDEX(DD$296:DD$344,_xlfn.AGGREGATE(15,6,(ROW(DD$296:DD$344)-ROW(DD$296)+1)/(DD$296:DD$344&lt;&gt;""),ROWS(DJ$1:DJ39))),"")</f>
        <v>621.52537459595408</v>
      </c>
      <c r="DK334" s="166">
        <f t="shared" si="155"/>
        <v>334</v>
      </c>
      <c r="DL334" s="164">
        <f>IFERROR(INDEX(DE$296:DE$344,_xlfn.AGGREGATE(15,6,(ROW(DE$296:DE$344)-ROW(DE$296)+1)/(DE$296:DE$344&lt;&gt;""),ROWS(DL$1:DL39))),"")</f>
        <v>36</v>
      </c>
      <c r="DM334" s="165">
        <f>IFERROR(INDEX(DF$296:DF$344,_xlfn.AGGREGATE(15,6,(ROW(DF$296:DF$344)-ROW(DF$296)+1)/(DF$296:DF$344&lt;&gt;""),ROWS(DM$1:DM39))),"")</f>
        <v>720.54727767490544</v>
      </c>
      <c r="DN334" s="166">
        <f t="shared" si="156"/>
        <v>334</v>
      </c>
      <c r="DO334" s="164">
        <f>IFERROR(INDEX(DG$296:DG$344,_xlfn.AGGREGATE(15,6,(ROW(DG$296:DG$344)-ROW(DG$296)+1)/(DG$296:DG$344&lt;&gt;""),ROWS(DO$1:DO39))),"")</f>
        <v>36</v>
      </c>
      <c r="DP334" s="165">
        <f>IFERROR(INDEX(DH$296:DH$344,_xlfn.AGGREGATE(15,6,(ROW(DH$296:DH$344)-ROW(DH$296)+1)/(DH$296:DH$344&lt;&gt;""),ROWS(DP$1:DP39))),"")</f>
        <v>819.56918075385681</v>
      </c>
      <c r="DQ334" s="166">
        <f t="shared" si="157"/>
        <v>334</v>
      </c>
      <c r="DV334" s="145">
        <v>2053</v>
      </c>
      <c r="DW334" s="235">
        <f t="shared" ca="1" si="142"/>
        <v>767.30328991665885</v>
      </c>
      <c r="EA334" s="55"/>
      <c r="EB334" s="55"/>
      <c r="EC334" s="55"/>
      <c r="ED334" s="55"/>
      <c r="EE334" s="55"/>
    </row>
    <row r="335" spans="2:135" ht="13.8" x14ac:dyDescent="0.45">
      <c r="B335" s="128">
        <v>2051</v>
      </c>
      <c r="C335" s="1070">
        <v>777.81735159817345</v>
      </c>
      <c r="D335" s="1050">
        <v>803.34253466183145</v>
      </c>
      <c r="E335" s="1069">
        <v>803.34253466183145</v>
      </c>
      <c r="F335" s="1075"/>
      <c r="G335" s="1052"/>
      <c r="H335" s="1036"/>
      <c r="I335" s="1112">
        <v>556.4588235294118</v>
      </c>
      <c r="J335" s="247"/>
      <c r="K335" s="245"/>
      <c r="L335" s="246"/>
      <c r="M335" s="245"/>
      <c r="N335" s="29" t="s">
        <v>119</v>
      </c>
      <c r="O335" s="120"/>
      <c r="P335" s="120"/>
      <c r="Q335" s="120"/>
      <c r="R335" s="29">
        <v>37</v>
      </c>
      <c r="S335" s="238">
        <f t="shared" si="143"/>
        <v>556.4588235294118</v>
      </c>
      <c r="T335" s="238">
        <f t="shared" si="144"/>
        <v>803.34253466183145</v>
      </c>
      <c r="U335" s="238">
        <f t="shared" si="145"/>
        <v>103.74421716855704</v>
      </c>
      <c r="W335" s="238">
        <f t="shared" si="158"/>
        <v>631.49609394425499</v>
      </c>
      <c r="X335" s="238">
        <f t="shared" si="176"/>
        <v>735.24031111281204</v>
      </c>
      <c r="Y335" s="238">
        <f t="shared" si="147"/>
        <v>838.98452828136908</v>
      </c>
      <c r="AA335" s="1133">
        <v>782.80145361705172</v>
      </c>
      <c r="AB335" s="1133">
        <v>794.83414030727874</v>
      </c>
      <c r="AC335" s="1133">
        <v>806.86682699750577</v>
      </c>
      <c r="AD335" s="89"/>
      <c r="AE335" s="89"/>
      <c r="AF335" s="89"/>
      <c r="AG335" s="89"/>
      <c r="AH335" s="89"/>
      <c r="AI335" s="89"/>
      <c r="AJ335" s="89"/>
      <c r="AK335" s="89"/>
      <c r="AL335" s="89"/>
      <c r="AM335" s="89"/>
      <c r="AN335" s="89"/>
      <c r="BR335" s="180">
        <v>2049</v>
      </c>
      <c r="BS335" s="22">
        <v>35</v>
      </c>
      <c r="BT335" s="198">
        <f t="shared" si="159"/>
        <v>468.11246850749086</v>
      </c>
      <c r="BU335" s="198">
        <f t="shared" si="160"/>
        <v>241.48820204092624</v>
      </c>
      <c r="BV335" s="205">
        <f t="shared" si="161"/>
        <v>709.60067054841716</v>
      </c>
      <c r="BY335" s="180">
        <v>2049</v>
      </c>
      <c r="BZ335" s="22">
        <v>35</v>
      </c>
      <c r="CA335" s="198">
        <f t="shared" ca="1" si="162"/>
        <v>88.569353538777193</v>
      </c>
      <c r="CB335" s="198">
        <f t="shared" ca="1" si="163"/>
        <v>356.76813834445642</v>
      </c>
      <c r="CC335" s="198">
        <f t="shared" ca="1" si="174"/>
        <v>262.02183175930418</v>
      </c>
      <c r="CD335" s="205">
        <f t="shared" ca="1" si="164"/>
        <v>707.35932364253779</v>
      </c>
      <c r="CG335" s="180">
        <v>2049</v>
      </c>
      <c r="CH335" s="22">
        <v>35</v>
      </c>
      <c r="CI335" s="198">
        <f t="shared" ca="1" si="165"/>
        <v>79.465625246450301</v>
      </c>
      <c r="CJ335" s="198">
        <f t="shared" ca="1" si="166"/>
        <v>-61.280111211672271</v>
      </c>
      <c r="CK335" s="198">
        <f t="shared" ca="1" si="167"/>
        <v>427.61904111521045</v>
      </c>
      <c r="CL335" s="198">
        <f t="shared" ca="1" si="168"/>
        <v>256.95753148120718</v>
      </c>
      <c r="CM335" s="205">
        <f t="shared" ca="1" si="169"/>
        <v>702.76208663119564</v>
      </c>
      <c r="CP335" s="180">
        <v>2049</v>
      </c>
      <c r="CQ335" s="22">
        <v>35</v>
      </c>
      <c r="CR335" s="198">
        <f t="shared" ca="1" si="170"/>
        <v>279.17159696653414</v>
      </c>
      <c r="CS335" s="198">
        <f t="shared" ca="1" si="171"/>
        <v>2.5317398635236201</v>
      </c>
      <c r="CT335" s="205">
        <f t="shared" ca="1" si="172"/>
        <v>706.7898608037242</v>
      </c>
      <c r="CZ335" s="164" t="b">
        <f t="shared" si="148"/>
        <v>1</v>
      </c>
      <c r="DA335" s="165" t="b">
        <f t="shared" si="148"/>
        <v>1</v>
      </c>
      <c r="DB335" s="166" t="b">
        <f t="shared" si="148"/>
        <v>1</v>
      </c>
      <c r="DC335" s="164">
        <f t="shared" si="149"/>
        <v>37</v>
      </c>
      <c r="DD335" s="166">
        <f t="shared" si="150"/>
        <v>631.49609394425499</v>
      </c>
      <c r="DE335" s="164">
        <f t="shared" si="151"/>
        <v>37</v>
      </c>
      <c r="DF335" s="166">
        <f t="shared" si="152"/>
        <v>735.24031111281204</v>
      </c>
      <c r="DG335" s="164">
        <f t="shared" si="153"/>
        <v>37</v>
      </c>
      <c r="DH335" s="166">
        <f t="shared" si="154"/>
        <v>838.98452828136908</v>
      </c>
      <c r="DI335" s="164">
        <f>IFERROR(INDEX(DC$296:DC$344,_xlfn.AGGREGATE(15,6,(ROW(DC$296:DC$344)-ROW(DC$296)+1)/(DC$296:DC$344&lt;&gt;""),ROWS(DI$1:DI40))),"")</f>
        <v>37</v>
      </c>
      <c r="DJ335" s="165">
        <f>IFERROR(INDEX(DD$296:DD$344,_xlfn.AGGREGATE(15,6,(ROW(DD$296:DD$344)-ROW(DD$296)+1)/(DD$296:DD$344&lt;&gt;""),ROWS(DJ$1:DJ40))),"")</f>
        <v>631.49609394425499</v>
      </c>
      <c r="DK335" s="166">
        <f t="shared" si="155"/>
        <v>335</v>
      </c>
      <c r="DL335" s="164">
        <f>IFERROR(INDEX(DE$296:DE$344,_xlfn.AGGREGATE(15,6,(ROW(DE$296:DE$344)-ROW(DE$296)+1)/(DE$296:DE$344&lt;&gt;""),ROWS(DL$1:DL40))),"")</f>
        <v>37</v>
      </c>
      <c r="DM335" s="165">
        <f>IFERROR(INDEX(DF$296:DF$344,_xlfn.AGGREGATE(15,6,(ROW(DF$296:DF$344)-ROW(DF$296)+1)/(DF$296:DF$344&lt;&gt;""),ROWS(DM$1:DM40))),"")</f>
        <v>735.24031111281204</v>
      </c>
      <c r="DN335" s="166">
        <f t="shared" si="156"/>
        <v>335</v>
      </c>
      <c r="DO335" s="164">
        <f>IFERROR(INDEX(DG$296:DG$344,_xlfn.AGGREGATE(15,6,(ROW(DG$296:DG$344)-ROW(DG$296)+1)/(DG$296:DG$344&lt;&gt;""),ROWS(DO$1:DO40))),"")</f>
        <v>37</v>
      </c>
      <c r="DP335" s="165">
        <f>IFERROR(INDEX(DH$296:DH$344,_xlfn.AGGREGATE(15,6,(ROW(DH$296:DH$344)-ROW(DH$296)+1)/(DH$296:DH$344&lt;&gt;""),ROWS(DP$1:DP40))),"")</f>
        <v>838.98452828136908</v>
      </c>
      <c r="DQ335" s="166">
        <f t="shared" si="157"/>
        <v>335</v>
      </c>
      <c r="DV335" s="145">
        <v>2054</v>
      </c>
      <c r="DW335" s="235">
        <f t="shared" ca="1" si="142"/>
        <v>784.24492046230296</v>
      </c>
      <c r="EA335" s="55"/>
      <c r="EB335" s="55"/>
      <c r="EC335" s="55"/>
      <c r="ED335" s="55"/>
      <c r="EE335" s="55"/>
    </row>
    <row r="336" spans="2:135" ht="14.1" thickBot="1" x14ac:dyDescent="0.5">
      <c r="B336" s="128">
        <v>2052</v>
      </c>
      <c r="C336" s="1070">
        <v>785.03470319634698</v>
      </c>
      <c r="D336" s="1050">
        <v>825.99264099499828</v>
      </c>
      <c r="E336" s="1069">
        <v>825.99264099499828</v>
      </c>
      <c r="F336" s="1075"/>
      <c r="G336" s="1052"/>
      <c r="H336" s="1036"/>
      <c r="I336" s="1112">
        <v>563.71764705882356</v>
      </c>
      <c r="J336" s="247"/>
      <c r="K336" s="245"/>
      <c r="L336" s="246"/>
      <c r="M336" s="245"/>
      <c r="N336" s="29" t="s">
        <v>119</v>
      </c>
      <c r="O336" s="120"/>
      <c r="P336" s="120"/>
      <c r="Q336" s="120"/>
      <c r="R336" s="29">
        <v>38</v>
      </c>
      <c r="S336" s="238">
        <f t="shared" si="143"/>
        <v>563.71764705882356</v>
      </c>
      <c r="T336" s="238">
        <f t="shared" si="144"/>
        <v>825.99264099499828</v>
      </c>
      <c r="U336" s="238">
        <f t="shared" si="145"/>
        <v>108.94743272653783</v>
      </c>
      <c r="W336" s="238">
        <f t="shared" si="158"/>
        <v>641.23697533475399</v>
      </c>
      <c r="X336" s="238">
        <f t="shared" si="176"/>
        <v>750.18440806129183</v>
      </c>
      <c r="Y336" s="238">
        <f t="shared" si="147"/>
        <v>859.13184078782967</v>
      </c>
      <c r="AA336" s="1133">
        <v>793.03223802155242</v>
      </c>
      <c r="AB336" s="1133">
        <v>812.33999506211455</v>
      </c>
      <c r="AC336" s="1133">
        <v>831.64775210267669</v>
      </c>
      <c r="AD336" s="89"/>
      <c r="AE336" s="89"/>
      <c r="AF336" s="89"/>
      <c r="AG336" s="89"/>
      <c r="AH336" s="89"/>
      <c r="AI336" s="89"/>
      <c r="AJ336" s="89"/>
      <c r="AK336" s="89"/>
      <c r="AL336" s="89"/>
      <c r="AM336" s="89"/>
      <c r="AN336" s="89"/>
      <c r="BR336" s="180">
        <v>2050</v>
      </c>
      <c r="BS336" s="22">
        <v>36</v>
      </c>
      <c r="BT336" s="198">
        <f t="shared" si="159"/>
        <v>481.48711046484777</v>
      </c>
      <c r="BU336" s="198">
        <f t="shared" si="160"/>
        <v>241.48820204092624</v>
      </c>
      <c r="BV336" s="212">
        <f t="shared" si="161"/>
        <v>722.97531250577401</v>
      </c>
      <c r="BY336" s="180">
        <v>2050</v>
      </c>
      <c r="BZ336" s="22">
        <v>36</v>
      </c>
      <c r="CA336" s="198">
        <f t="shared" ca="1" si="162"/>
        <v>93.702760968371621</v>
      </c>
      <c r="CB336" s="198">
        <f t="shared" ca="1" si="163"/>
        <v>366.9615137257266</v>
      </c>
      <c r="CC336" s="198">
        <f t="shared" ca="1" si="174"/>
        <v>262.02183175930418</v>
      </c>
      <c r="CD336" s="212">
        <f t="shared" ca="1" si="164"/>
        <v>722.68610645340243</v>
      </c>
      <c r="CG336" s="180">
        <v>2050</v>
      </c>
      <c r="CH336" s="22">
        <v>36</v>
      </c>
      <c r="CI336" s="198">
        <f t="shared" ca="1" si="165"/>
        <v>86.473427673431729</v>
      </c>
      <c r="CJ336" s="198">
        <f t="shared" ca="1" si="166"/>
        <v>-64.831856432920219</v>
      </c>
      <c r="CK336" s="198">
        <f t="shared" ca="1" si="167"/>
        <v>439.83672800421647</v>
      </c>
      <c r="CL336" s="198">
        <f t="shared" ca="1" si="168"/>
        <v>256.95753148120718</v>
      </c>
      <c r="CM336" s="212">
        <f t="shared" ca="1" si="169"/>
        <v>718.43583072593515</v>
      </c>
      <c r="CP336" s="180">
        <v>2050</v>
      </c>
      <c r="CQ336" s="22">
        <v>36</v>
      </c>
      <c r="CR336" s="198">
        <f t="shared" ca="1" si="170"/>
        <v>279.17159696653414</v>
      </c>
      <c r="CS336" s="198">
        <f t="shared" ca="1" si="171"/>
        <v>2.5998323251143347</v>
      </c>
      <c r="CT336" s="212">
        <f t="shared" ca="1" si="172"/>
        <v>725.7993420473864</v>
      </c>
      <c r="CZ336" s="164" t="b">
        <f t="shared" ref="CZ336:DB344" si="177">ISNUMBER(W336)</f>
        <v>1</v>
      </c>
      <c r="DA336" s="165" t="b">
        <f t="shared" si="177"/>
        <v>1</v>
      </c>
      <c r="DB336" s="166" t="b">
        <f t="shared" si="177"/>
        <v>1</v>
      </c>
      <c r="DC336" s="164">
        <f t="shared" si="149"/>
        <v>38</v>
      </c>
      <c r="DD336" s="166">
        <f t="shared" si="150"/>
        <v>641.23697533475399</v>
      </c>
      <c r="DE336" s="164">
        <f t="shared" si="151"/>
        <v>38</v>
      </c>
      <c r="DF336" s="166">
        <f t="shared" si="152"/>
        <v>750.18440806129183</v>
      </c>
      <c r="DG336" s="164">
        <f t="shared" si="153"/>
        <v>38</v>
      </c>
      <c r="DH336" s="166">
        <f t="shared" si="154"/>
        <v>859.13184078782967</v>
      </c>
      <c r="DI336" s="164">
        <f>IFERROR(INDEX(DC$296:DC$344,_xlfn.AGGREGATE(15,6,(ROW(DC$296:DC$344)-ROW(DC$296)+1)/(DC$296:DC$344&lt;&gt;""),ROWS(DI$1:DI41))),"")</f>
        <v>38</v>
      </c>
      <c r="DJ336" s="165">
        <f>IFERROR(INDEX(DD$296:DD$344,_xlfn.AGGREGATE(15,6,(ROW(DD$296:DD$344)-ROW(DD$296)+1)/(DD$296:DD$344&lt;&gt;""),ROWS(DJ$1:DJ41))),"")</f>
        <v>641.23697533475399</v>
      </c>
      <c r="DK336" s="166">
        <f t="shared" si="155"/>
        <v>336</v>
      </c>
      <c r="DL336" s="164">
        <f>IFERROR(INDEX(DE$296:DE$344,_xlfn.AGGREGATE(15,6,(ROW(DE$296:DE$344)-ROW(DE$296)+1)/(DE$296:DE$344&lt;&gt;""),ROWS(DL$1:DL41))),"")</f>
        <v>38</v>
      </c>
      <c r="DM336" s="165">
        <f>IFERROR(INDEX(DF$296:DF$344,_xlfn.AGGREGATE(15,6,(ROW(DF$296:DF$344)-ROW(DF$296)+1)/(DF$296:DF$344&lt;&gt;""),ROWS(DM$1:DM41))),"")</f>
        <v>750.18440806129183</v>
      </c>
      <c r="DN336" s="166">
        <f t="shared" si="156"/>
        <v>336</v>
      </c>
      <c r="DO336" s="164">
        <f>IFERROR(INDEX(DG$296:DG$344,_xlfn.AGGREGATE(15,6,(ROW(DG$296:DG$344)-ROW(DG$296)+1)/(DG$296:DG$344&lt;&gt;""),ROWS(DO$1:DO41))),"")</f>
        <v>38</v>
      </c>
      <c r="DP336" s="165">
        <f>IFERROR(INDEX(DH$296:DH$344,_xlfn.AGGREGATE(15,6,(ROW(DH$296:DH$344)-ROW(DH$296)+1)/(DH$296:DH$344&lt;&gt;""),ROWS(DP$1:DP41))),"")</f>
        <v>859.13184078782967</v>
      </c>
      <c r="DQ336" s="166">
        <f t="shared" si="157"/>
        <v>336</v>
      </c>
      <c r="DV336" s="145">
        <v>2055</v>
      </c>
      <c r="DW336" s="235">
        <f t="shared" ca="1" si="142"/>
        <v>801.53132400559923</v>
      </c>
      <c r="EA336" s="55"/>
      <c r="EB336" s="55"/>
      <c r="EC336" s="55"/>
      <c r="ED336" s="55"/>
      <c r="EE336" s="55"/>
    </row>
    <row r="337" spans="1:135" ht="13.8" x14ac:dyDescent="0.45">
      <c r="B337" s="128">
        <v>2053</v>
      </c>
      <c r="C337" s="1070">
        <v>798.97477168949763</v>
      </c>
      <c r="D337" s="1050">
        <v>849.15821231729706</v>
      </c>
      <c r="E337" s="1069">
        <v>849.15821231729706</v>
      </c>
      <c r="F337" s="1075"/>
      <c r="G337" s="1052"/>
      <c r="H337" s="1036"/>
      <c r="I337" s="1112">
        <v>570.97647058823532</v>
      </c>
      <c r="J337" s="247"/>
      <c r="K337" s="245"/>
      <c r="L337" s="246"/>
      <c r="M337" s="245"/>
      <c r="N337" s="29" t="s">
        <v>119</v>
      </c>
      <c r="O337" s="120"/>
      <c r="P337" s="120"/>
      <c r="Q337" s="120"/>
      <c r="R337" s="29">
        <v>39</v>
      </c>
      <c r="S337" s="238">
        <f t="shared" si="143"/>
        <v>570.97647058823532</v>
      </c>
      <c r="T337" s="238">
        <f t="shared" si="144"/>
        <v>849.15821231729706</v>
      </c>
      <c r="U337" s="238">
        <f t="shared" si="145"/>
        <v>115.05165785267306</v>
      </c>
      <c r="W337" s="238">
        <f t="shared" si="158"/>
        <v>652.01525887540868</v>
      </c>
      <c r="X337" s="238">
        <f t="shared" si="176"/>
        <v>767.06691672808176</v>
      </c>
      <c r="Y337" s="238">
        <f t="shared" si="147"/>
        <v>882.11857458075485</v>
      </c>
      <c r="AA337" s="1133">
        <v>808.77369799390419</v>
      </c>
      <c r="AB337" s="1133">
        <v>832.43039877469721</v>
      </c>
      <c r="AC337" s="1133">
        <v>856.08709955549023</v>
      </c>
      <c r="AD337" s="89"/>
      <c r="AE337" s="89"/>
      <c r="AF337" s="89"/>
      <c r="AG337" s="89"/>
      <c r="AH337" s="89"/>
      <c r="AI337" s="89"/>
      <c r="AJ337" s="89"/>
      <c r="AK337" s="89"/>
      <c r="AL337" s="89"/>
      <c r="AM337" s="89"/>
      <c r="AN337" s="89"/>
      <c r="BR337" s="180">
        <v>2051</v>
      </c>
      <c r="BS337" s="22">
        <v>37</v>
      </c>
      <c r="BT337" s="198">
        <f t="shared" si="159"/>
        <v>494.86175242220463</v>
      </c>
      <c r="BU337" s="198">
        <f t="shared" si="160"/>
        <v>241.48820204092624</v>
      </c>
      <c r="BV337" s="285">
        <f t="shared" si="161"/>
        <v>736.34995446313087</v>
      </c>
      <c r="BY337" s="180">
        <v>2051</v>
      </c>
      <c r="BZ337" s="22">
        <v>37</v>
      </c>
      <c r="CA337" s="198">
        <f t="shared" ca="1" si="162"/>
        <v>98.980771424151811</v>
      </c>
      <c r="CB337" s="198">
        <f t="shared" ca="1" si="163"/>
        <v>377.15488910699679</v>
      </c>
      <c r="CC337" s="198">
        <f t="shared" ca="1" si="174"/>
        <v>262.02183175930418</v>
      </c>
      <c r="CD337" s="285">
        <f t="shared" ca="1" si="164"/>
        <v>738.15749229045275</v>
      </c>
      <c r="CG337" s="180">
        <v>2051</v>
      </c>
      <c r="CH337" s="22">
        <v>37</v>
      </c>
      <c r="CI337" s="198">
        <f t="shared" ca="1" si="165"/>
        <v>93.881570043345704</v>
      </c>
      <c r="CJ337" s="198">
        <f t="shared" ca="1" si="166"/>
        <v>-68.483650815330066</v>
      </c>
      <c r="CK337" s="198">
        <f t="shared" ca="1" si="167"/>
        <v>452.05441489322249</v>
      </c>
      <c r="CL337" s="198">
        <f t="shared" ca="1" si="168"/>
        <v>256.95753148120718</v>
      </c>
      <c r="CM337" s="285">
        <f t="shared" ca="1" si="169"/>
        <v>734.40986560244528</v>
      </c>
      <c r="CP337" s="180">
        <v>2051</v>
      </c>
      <c r="CQ337" s="22">
        <v>37</v>
      </c>
      <c r="CR337" s="198">
        <f t="shared" ca="1" si="170"/>
        <v>279.17159696653414</v>
      </c>
      <c r="CS337" s="198">
        <f t="shared" ca="1" si="171"/>
        <v>2.6697561689067859</v>
      </c>
      <c r="CT337" s="285">
        <f t="shared" ca="1" si="172"/>
        <v>745.32009318496353</v>
      </c>
      <c r="CZ337" s="164" t="b">
        <f t="shared" si="177"/>
        <v>1</v>
      </c>
      <c r="DA337" s="165" t="b">
        <f t="shared" si="177"/>
        <v>1</v>
      </c>
      <c r="DB337" s="166" t="b">
        <f t="shared" si="177"/>
        <v>1</v>
      </c>
      <c r="DC337" s="164">
        <f t="shared" si="149"/>
        <v>39</v>
      </c>
      <c r="DD337" s="166">
        <f t="shared" si="150"/>
        <v>652.01525887540868</v>
      </c>
      <c r="DE337" s="164">
        <f t="shared" si="151"/>
        <v>39</v>
      </c>
      <c r="DF337" s="166">
        <f t="shared" si="152"/>
        <v>767.06691672808176</v>
      </c>
      <c r="DG337" s="164">
        <f t="shared" si="153"/>
        <v>39</v>
      </c>
      <c r="DH337" s="166">
        <f t="shared" si="154"/>
        <v>882.11857458075485</v>
      </c>
      <c r="DI337" s="164">
        <f>IFERROR(INDEX(DC$296:DC$344,_xlfn.AGGREGATE(15,6,(ROW(DC$296:DC$344)-ROW(DC$296)+1)/(DC$296:DC$344&lt;&gt;""),ROWS(DI$1:DI42))),"")</f>
        <v>39</v>
      </c>
      <c r="DJ337" s="165">
        <f>IFERROR(INDEX(DD$296:DD$344,_xlfn.AGGREGATE(15,6,(ROW(DD$296:DD$344)-ROW(DD$296)+1)/(DD$296:DD$344&lt;&gt;""),ROWS(DJ$1:DJ42))),"")</f>
        <v>652.01525887540868</v>
      </c>
      <c r="DK337" s="166">
        <f t="shared" si="155"/>
        <v>337</v>
      </c>
      <c r="DL337" s="164">
        <f>IFERROR(INDEX(DE$296:DE$344,_xlfn.AGGREGATE(15,6,(ROW(DE$296:DE$344)-ROW(DE$296)+1)/(DE$296:DE$344&lt;&gt;""),ROWS(DL$1:DL42))),"")</f>
        <v>39</v>
      </c>
      <c r="DM337" s="165">
        <f>IFERROR(INDEX(DF$296:DF$344,_xlfn.AGGREGATE(15,6,(ROW(DF$296:DF$344)-ROW(DF$296)+1)/(DF$296:DF$344&lt;&gt;""),ROWS(DM$1:DM42))),"")</f>
        <v>767.06691672808176</v>
      </c>
      <c r="DN337" s="166">
        <f t="shared" si="156"/>
        <v>337</v>
      </c>
      <c r="DO337" s="164">
        <f>IFERROR(INDEX(DG$296:DG$344,_xlfn.AGGREGATE(15,6,(ROW(DG$296:DG$344)-ROW(DG$296)+1)/(DG$296:DG$344&lt;&gt;""),ROWS(DO$1:DO42))),"")</f>
        <v>39</v>
      </c>
      <c r="DP337" s="165">
        <f>IFERROR(INDEX(DH$296:DH$344,_xlfn.AGGREGATE(15,6,(ROW(DH$296:DH$344)-ROW(DH$296)+1)/(DH$296:DH$344&lt;&gt;""),ROWS(DP$1:DP42))),"")</f>
        <v>882.11857458075485</v>
      </c>
      <c r="DQ337" s="166">
        <f t="shared" si="157"/>
        <v>337</v>
      </c>
      <c r="DV337" s="145">
        <v>2056</v>
      </c>
      <c r="DW337" s="235">
        <f t="shared" ca="1" si="142"/>
        <v>819.17362110051772</v>
      </c>
      <c r="EA337" s="55"/>
      <c r="EB337" s="55"/>
      <c r="EC337" s="55"/>
      <c r="ED337" s="55"/>
      <c r="EE337" s="55"/>
    </row>
    <row r="338" spans="1:135" ht="13.8" x14ac:dyDescent="0.45">
      <c r="B338" s="128">
        <v>2054</v>
      </c>
      <c r="C338" s="1070">
        <v>812.91484018264839</v>
      </c>
      <c r="D338" s="1050">
        <v>872.85258659671467</v>
      </c>
      <c r="E338" s="1069">
        <v>872.85258659671467</v>
      </c>
      <c r="F338" s="1075"/>
      <c r="G338" s="1052"/>
      <c r="H338" s="1036"/>
      <c r="I338" s="1112">
        <v>578.23529411764719</v>
      </c>
      <c r="J338" s="247"/>
      <c r="K338" s="245"/>
      <c r="L338" s="246"/>
      <c r="M338" s="245"/>
      <c r="N338" s="29" t="s">
        <v>119</v>
      </c>
      <c r="O338" s="120"/>
      <c r="P338" s="120"/>
      <c r="Q338" s="120"/>
      <c r="R338" s="29">
        <v>40</v>
      </c>
      <c r="S338" s="238">
        <f t="shared" si="143"/>
        <v>578.23529411764719</v>
      </c>
      <c r="T338" s="238">
        <f t="shared" si="144"/>
        <v>872.85258659671467</v>
      </c>
      <c r="U338" s="238">
        <f t="shared" si="145"/>
        <v>121.41310017020976</v>
      </c>
      <c r="W338" s="238">
        <f t="shared" si="158"/>
        <v>662.80072670322147</v>
      </c>
      <c r="X338" s="238">
        <f t="shared" si="176"/>
        <v>784.21382687343123</v>
      </c>
      <c r="Y338" s="238">
        <f t="shared" si="147"/>
        <v>905.62692704364099</v>
      </c>
      <c r="AA338" s="1133">
        <v>824.61841316640857</v>
      </c>
      <c r="AB338" s="1133">
        <v>852.87333779202584</v>
      </c>
      <c r="AC338" s="1133">
        <v>881.1282624176431</v>
      </c>
      <c r="AD338" s="89"/>
      <c r="AE338" s="89"/>
      <c r="AF338" s="89"/>
      <c r="AG338" s="89"/>
      <c r="AH338" s="89"/>
      <c r="AI338" s="89"/>
      <c r="AJ338" s="89"/>
      <c r="AK338" s="89"/>
      <c r="AL338" s="89"/>
      <c r="AM338" s="89"/>
      <c r="AN338" s="89"/>
      <c r="BR338" s="180">
        <v>2052</v>
      </c>
      <c r="BS338" s="22">
        <v>38</v>
      </c>
      <c r="BT338" s="198">
        <f t="shared" si="159"/>
        <v>508.23639437956155</v>
      </c>
      <c r="BU338" s="198">
        <f t="shared" si="160"/>
        <v>241.48820204092624</v>
      </c>
      <c r="BV338" s="241">
        <f t="shared" si="161"/>
        <v>749.72459642048784</v>
      </c>
      <c r="BY338" s="180">
        <v>2052</v>
      </c>
      <c r="BZ338" s="22">
        <v>38</v>
      </c>
      <c r="CA338" s="198">
        <f t="shared" ca="1" si="162"/>
        <v>104.40338490611776</v>
      </c>
      <c r="CB338" s="198">
        <f t="shared" ca="1" si="163"/>
        <v>387.34826448826698</v>
      </c>
      <c r="CC338" s="198">
        <f t="shared" ca="1" si="174"/>
        <v>262.02183175930418</v>
      </c>
      <c r="CD338" s="241">
        <f t="shared" ca="1" si="164"/>
        <v>753.77348115368886</v>
      </c>
      <c r="CG338" s="180">
        <v>2052</v>
      </c>
      <c r="CH338" s="22">
        <v>38</v>
      </c>
      <c r="CI338" s="198">
        <f t="shared" ca="1" si="165"/>
        <v>101.70117291016258</v>
      </c>
      <c r="CJ338" s="198">
        <f t="shared" ca="1" si="166"/>
        <v>-72.235494358901846</v>
      </c>
      <c r="CK338" s="198">
        <f t="shared" ca="1" si="167"/>
        <v>464.27210178222845</v>
      </c>
      <c r="CL338" s="198">
        <f t="shared" ca="1" si="168"/>
        <v>256.95753148120718</v>
      </c>
      <c r="CM338" s="241">
        <f t="shared" ca="1" si="169"/>
        <v>750.69531181469642</v>
      </c>
      <c r="CP338" s="180">
        <v>2052</v>
      </c>
      <c r="CQ338" s="22">
        <v>38</v>
      </c>
      <c r="CR338" s="198">
        <f t="shared" ca="1" si="170"/>
        <v>279.17159696653414</v>
      </c>
      <c r="CS338" s="198">
        <f t="shared" ca="1" si="171"/>
        <v>2.7415606508786614</v>
      </c>
      <c r="CT338" s="241">
        <f t="shared" ca="1" si="172"/>
        <v>765.36586508640664</v>
      </c>
      <c r="CZ338" s="164" t="b">
        <f t="shared" si="177"/>
        <v>1</v>
      </c>
      <c r="DA338" s="165" t="b">
        <f t="shared" si="177"/>
        <v>1</v>
      </c>
      <c r="DB338" s="166" t="b">
        <f t="shared" si="177"/>
        <v>1</v>
      </c>
      <c r="DC338" s="164">
        <f t="shared" si="149"/>
        <v>40</v>
      </c>
      <c r="DD338" s="166">
        <f t="shared" si="150"/>
        <v>662.80072670322147</v>
      </c>
      <c r="DE338" s="164">
        <f t="shared" si="151"/>
        <v>40</v>
      </c>
      <c r="DF338" s="166">
        <f t="shared" si="152"/>
        <v>784.21382687343123</v>
      </c>
      <c r="DG338" s="164">
        <f t="shared" si="153"/>
        <v>40</v>
      </c>
      <c r="DH338" s="166">
        <f t="shared" si="154"/>
        <v>905.62692704364099</v>
      </c>
      <c r="DI338" s="164">
        <f>IFERROR(INDEX(DC$296:DC$344,_xlfn.AGGREGATE(15,6,(ROW(DC$296:DC$344)-ROW(DC$296)+1)/(DC$296:DC$344&lt;&gt;""),ROWS(DI$1:DI43))),"")</f>
        <v>40</v>
      </c>
      <c r="DJ338" s="165">
        <f>IFERROR(INDEX(DD$296:DD$344,_xlfn.AGGREGATE(15,6,(ROW(DD$296:DD$344)-ROW(DD$296)+1)/(DD$296:DD$344&lt;&gt;""),ROWS(DJ$1:DJ43))),"")</f>
        <v>662.80072670322147</v>
      </c>
      <c r="DK338" s="166">
        <f t="shared" si="155"/>
        <v>338</v>
      </c>
      <c r="DL338" s="164">
        <f>IFERROR(INDEX(DE$296:DE$344,_xlfn.AGGREGATE(15,6,(ROW(DE$296:DE$344)-ROW(DE$296)+1)/(DE$296:DE$344&lt;&gt;""),ROWS(DL$1:DL43))),"")</f>
        <v>40</v>
      </c>
      <c r="DM338" s="165">
        <f>IFERROR(INDEX(DF$296:DF$344,_xlfn.AGGREGATE(15,6,(ROW(DF$296:DF$344)-ROW(DF$296)+1)/(DF$296:DF$344&lt;&gt;""),ROWS(DM$1:DM43))),"")</f>
        <v>784.21382687343123</v>
      </c>
      <c r="DN338" s="166">
        <f t="shared" si="156"/>
        <v>338</v>
      </c>
      <c r="DO338" s="164">
        <f>IFERROR(INDEX(DG$296:DG$344,_xlfn.AGGREGATE(15,6,(ROW(DG$296:DG$344)-ROW(DG$296)+1)/(DG$296:DG$344&lt;&gt;""),ROWS(DO$1:DO43))),"")</f>
        <v>40</v>
      </c>
      <c r="DP338" s="165">
        <f>IFERROR(INDEX(DH$296:DH$344,_xlfn.AGGREGATE(15,6,(ROW(DH$296:DH$344)-ROW(DH$296)+1)/(DH$296:DH$344&lt;&gt;""),ROWS(DP$1:DP43))),"")</f>
        <v>905.62692704364099</v>
      </c>
      <c r="DQ338" s="166">
        <f t="shared" si="157"/>
        <v>338</v>
      </c>
      <c r="DV338" s="145">
        <v>2057</v>
      </c>
      <c r="DW338" s="235">
        <f t="shared" ca="1" si="142"/>
        <v>837.18293230102904</v>
      </c>
      <c r="EA338" s="55"/>
      <c r="EB338" s="55"/>
      <c r="EC338" s="55"/>
      <c r="ED338" s="55"/>
      <c r="EE338" s="55"/>
    </row>
    <row r="339" spans="1:135" ht="13.8" x14ac:dyDescent="0.45">
      <c r="B339" s="128">
        <v>2055</v>
      </c>
      <c r="C339" s="1070">
        <v>826.85490867579904</v>
      </c>
      <c r="D339" s="1050">
        <v>897.08910180123689</v>
      </c>
      <c r="E339" s="1069">
        <v>897.08910180123689</v>
      </c>
      <c r="F339" s="1075"/>
      <c r="G339" s="1052"/>
      <c r="H339" s="1036"/>
      <c r="I339" s="1112">
        <v>585.49411764705894</v>
      </c>
      <c r="J339" s="247"/>
      <c r="K339" s="245"/>
      <c r="L339" s="246"/>
      <c r="M339" s="245"/>
      <c r="N339" s="29" t="s">
        <v>119</v>
      </c>
      <c r="O339" s="120"/>
      <c r="P339" s="120"/>
      <c r="Q339" s="120"/>
      <c r="R339" s="29">
        <v>41</v>
      </c>
      <c r="S339" s="238">
        <f t="shared" si="143"/>
        <v>585.49411764705894</v>
      </c>
      <c r="T339" s="238">
        <f t="shared" si="144"/>
        <v>897.08910180123689</v>
      </c>
      <c r="U339" s="238">
        <f t="shared" si="145"/>
        <v>128.03895489119466</v>
      </c>
      <c r="W339" s="238">
        <f t="shared" si="158"/>
        <v>673.59285259013825</v>
      </c>
      <c r="X339" s="238">
        <f t="shared" si="176"/>
        <v>801.63180748133288</v>
      </c>
      <c r="Y339" s="238">
        <f t="shared" si="147"/>
        <v>929.67076237252752</v>
      </c>
      <c r="AA339" s="1133">
        <v>840.56898793931578</v>
      </c>
      <c r="AB339" s="1133">
        <v>873.67770409275761</v>
      </c>
      <c r="AC339" s="1133">
        <v>906.78642024619944</v>
      </c>
      <c r="AD339" s="89"/>
      <c r="AE339" s="89"/>
      <c r="AF339" s="89"/>
      <c r="AG339" s="89"/>
      <c r="AH339" s="89"/>
      <c r="AI339" s="89"/>
      <c r="AJ339" s="89"/>
      <c r="AK339" s="89"/>
      <c r="AL339" s="89"/>
      <c r="AM339" s="89"/>
      <c r="AN339" s="89"/>
      <c r="BR339" s="180">
        <v>2053</v>
      </c>
      <c r="BS339" s="22">
        <v>39</v>
      </c>
      <c r="BT339" s="198">
        <f t="shared" si="159"/>
        <v>521.61103633691846</v>
      </c>
      <c r="BU339" s="198">
        <f t="shared" si="160"/>
        <v>241.48820204092624</v>
      </c>
      <c r="BV339" s="241">
        <f t="shared" si="161"/>
        <v>763.0992383778447</v>
      </c>
      <c r="BY339" s="180">
        <v>2053</v>
      </c>
      <c r="BZ339" s="22">
        <v>39</v>
      </c>
      <c r="CA339" s="198">
        <f t="shared" ca="1" si="162"/>
        <v>109.97060141426948</v>
      </c>
      <c r="CB339" s="198">
        <f t="shared" ca="1" si="163"/>
        <v>397.54163986953716</v>
      </c>
      <c r="CC339" s="198">
        <f t="shared" ca="1" si="174"/>
        <v>262.02183175930418</v>
      </c>
      <c r="CD339" s="241">
        <f t="shared" ca="1" si="164"/>
        <v>769.53407304311077</v>
      </c>
      <c r="CG339" s="180">
        <v>2053</v>
      </c>
      <c r="CH339" s="22">
        <v>39</v>
      </c>
      <c r="CI339" s="198">
        <f t="shared" ca="1" si="165"/>
        <v>109.94335682785272</v>
      </c>
      <c r="CJ339" s="198">
        <f t="shared" ca="1" si="166"/>
        <v>-76.087387063635532</v>
      </c>
      <c r="CK339" s="198">
        <f t="shared" ca="1" si="167"/>
        <v>476.48978867123446</v>
      </c>
      <c r="CL339" s="198">
        <f t="shared" ca="1" si="168"/>
        <v>256.95753148120718</v>
      </c>
      <c r="CM339" s="241">
        <f t="shared" ca="1" si="169"/>
        <v>767.30328991665885</v>
      </c>
      <c r="CP339" s="180">
        <v>2053</v>
      </c>
      <c r="CQ339" s="22">
        <v>39</v>
      </c>
      <c r="CR339" s="198">
        <f t="shared" ca="1" si="170"/>
        <v>279.17159696653414</v>
      </c>
      <c r="CS339" s="198">
        <f t="shared" ca="1" si="171"/>
        <v>2.81529635177281</v>
      </c>
      <c r="CT339" s="241">
        <f t="shared" ca="1" si="172"/>
        <v>785.95077845847288</v>
      </c>
      <c r="CZ339" s="164" t="b">
        <f t="shared" si="177"/>
        <v>1</v>
      </c>
      <c r="DA339" s="165" t="b">
        <f t="shared" si="177"/>
        <v>1</v>
      </c>
      <c r="DB339" s="166" t="b">
        <f t="shared" si="177"/>
        <v>1</v>
      </c>
      <c r="DC339" s="164">
        <f t="shared" si="149"/>
        <v>41</v>
      </c>
      <c r="DD339" s="166">
        <f t="shared" si="150"/>
        <v>673.59285259013825</v>
      </c>
      <c r="DE339" s="164">
        <f t="shared" si="151"/>
        <v>41</v>
      </c>
      <c r="DF339" s="166">
        <f t="shared" si="152"/>
        <v>801.63180748133288</v>
      </c>
      <c r="DG339" s="164">
        <f t="shared" si="153"/>
        <v>41</v>
      </c>
      <c r="DH339" s="166">
        <f t="shared" si="154"/>
        <v>929.67076237252752</v>
      </c>
      <c r="DI339" s="164">
        <f>IFERROR(INDEX(DC$296:DC$344,_xlfn.AGGREGATE(15,6,(ROW(DC$296:DC$344)-ROW(DC$296)+1)/(DC$296:DC$344&lt;&gt;""),ROWS(DI$1:DI44))),"")</f>
        <v>41</v>
      </c>
      <c r="DJ339" s="165">
        <f>IFERROR(INDEX(DD$296:DD$344,_xlfn.AGGREGATE(15,6,(ROW(DD$296:DD$344)-ROW(DD$296)+1)/(DD$296:DD$344&lt;&gt;""),ROWS(DJ$1:DJ44))),"")</f>
        <v>673.59285259013825</v>
      </c>
      <c r="DK339" s="166">
        <f t="shared" si="155"/>
        <v>339</v>
      </c>
      <c r="DL339" s="164">
        <f>IFERROR(INDEX(DE$296:DE$344,_xlfn.AGGREGATE(15,6,(ROW(DE$296:DE$344)-ROW(DE$296)+1)/(DE$296:DE$344&lt;&gt;""),ROWS(DL$1:DL44))),"")</f>
        <v>41</v>
      </c>
      <c r="DM339" s="165">
        <f>IFERROR(INDEX(DF$296:DF$344,_xlfn.AGGREGATE(15,6,(ROW(DF$296:DF$344)-ROW(DF$296)+1)/(DF$296:DF$344&lt;&gt;""),ROWS(DM$1:DM44))),"")</f>
        <v>801.63180748133288</v>
      </c>
      <c r="DN339" s="166">
        <f t="shared" si="156"/>
        <v>339</v>
      </c>
      <c r="DO339" s="164">
        <f>IFERROR(INDEX(DG$296:DG$344,_xlfn.AGGREGATE(15,6,(ROW(DG$296:DG$344)-ROW(DG$296)+1)/(DG$296:DG$344&lt;&gt;""),ROWS(DO$1:DO44))),"")</f>
        <v>41</v>
      </c>
      <c r="DP339" s="165">
        <f>IFERROR(INDEX(DH$296:DH$344,_xlfn.AGGREGATE(15,6,(ROW(DH$296:DH$344)-ROW(DH$296)+1)/(DH$296:DH$344&lt;&gt;""),ROWS(DP$1:DP44))),"")</f>
        <v>929.67076237252752</v>
      </c>
      <c r="DQ339" s="166">
        <f t="shared" si="157"/>
        <v>339</v>
      </c>
      <c r="DV339" s="145">
        <v>2058</v>
      </c>
      <c r="DW339" s="235">
        <f t="shared" ca="1" si="142"/>
        <v>855.57037816110346</v>
      </c>
      <c r="EA339" s="55"/>
      <c r="EB339" s="55"/>
      <c r="EC339" s="55"/>
      <c r="ED339" s="55"/>
      <c r="EE339" s="55"/>
    </row>
    <row r="340" spans="1:135" ht="13.8" x14ac:dyDescent="0.45">
      <c r="B340" s="128">
        <v>2056</v>
      </c>
      <c r="C340" s="1070">
        <v>840.79497716894969</v>
      </c>
      <c r="D340" s="1050">
        <v>921.88109589885016</v>
      </c>
      <c r="E340" s="1069">
        <v>921.88109589885016</v>
      </c>
      <c r="F340" s="1075"/>
      <c r="G340" s="1052"/>
      <c r="H340" s="1036"/>
      <c r="I340" s="1112">
        <v>592.7529411764707</v>
      </c>
      <c r="J340" s="247"/>
      <c r="K340" s="245"/>
      <c r="L340" s="246"/>
      <c r="M340" s="245"/>
      <c r="N340" s="29" t="s">
        <v>119</v>
      </c>
      <c r="O340" s="120"/>
      <c r="P340" s="120"/>
      <c r="Q340" s="120"/>
      <c r="R340" s="29">
        <v>42</v>
      </c>
      <c r="S340" s="238">
        <f t="shared" si="143"/>
        <v>592.7529411764707</v>
      </c>
      <c r="T340" s="238">
        <f t="shared" si="144"/>
        <v>921.88109589885016</v>
      </c>
      <c r="U340" s="238">
        <f t="shared" si="145"/>
        <v>134.93643257627099</v>
      </c>
      <c r="W340" s="238">
        <f t="shared" si="158"/>
        <v>684.39109495950925</v>
      </c>
      <c r="X340" s="238">
        <f t="shared" si="176"/>
        <v>819.32752753578018</v>
      </c>
      <c r="Y340" s="238">
        <f t="shared" si="147"/>
        <v>954.26396011205111</v>
      </c>
      <c r="AA340" s="1133">
        <v>856.62802671287648</v>
      </c>
      <c r="AB340" s="1133">
        <v>894.85238965554993</v>
      </c>
      <c r="AC340" s="1133">
        <v>933.07675259822338</v>
      </c>
      <c r="AD340" s="89"/>
      <c r="AE340" s="89"/>
      <c r="AF340" s="89"/>
      <c r="AG340" s="89"/>
      <c r="AH340" s="89"/>
      <c r="AI340" s="89"/>
      <c r="AJ340" s="89"/>
      <c r="AK340" s="89"/>
      <c r="AL340" s="89"/>
      <c r="AM340" s="89"/>
      <c r="AN340" s="89"/>
      <c r="BR340" s="180">
        <v>2054</v>
      </c>
      <c r="BS340" s="22">
        <v>40</v>
      </c>
      <c r="BT340" s="198">
        <f t="shared" si="159"/>
        <v>534.98567829427532</v>
      </c>
      <c r="BU340" s="198">
        <f t="shared" si="160"/>
        <v>241.48820204092624</v>
      </c>
      <c r="BV340" s="241">
        <f t="shared" si="161"/>
        <v>776.47388033520156</v>
      </c>
      <c r="BY340" s="180">
        <v>2054</v>
      </c>
      <c r="BZ340" s="22">
        <v>40</v>
      </c>
      <c r="CA340" s="198">
        <f t="shared" ca="1" si="162"/>
        <v>115.68242094860695</v>
      </c>
      <c r="CB340" s="198">
        <f t="shared" ca="1" si="163"/>
        <v>407.73501525080735</v>
      </c>
      <c r="CC340" s="198">
        <f t="shared" ca="1" si="174"/>
        <v>262.02183175930418</v>
      </c>
      <c r="CD340" s="241">
        <f t="shared" ca="1" si="164"/>
        <v>785.43926795871846</v>
      </c>
      <c r="CG340" s="180">
        <v>2054</v>
      </c>
      <c r="CH340" s="22">
        <v>40</v>
      </c>
      <c r="CI340" s="198">
        <f t="shared" ca="1" si="165"/>
        <v>118.61924235038646</v>
      </c>
      <c r="CJ340" s="198">
        <f t="shared" ca="1" si="166"/>
        <v>-80.039328929531123</v>
      </c>
      <c r="CK340" s="198">
        <f t="shared" ca="1" si="167"/>
        <v>488.70747556024048</v>
      </c>
      <c r="CL340" s="198">
        <f t="shared" ca="1" si="168"/>
        <v>256.95753148120718</v>
      </c>
      <c r="CM340" s="241">
        <f t="shared" ca="1" si="169"/>
        <v>784.24492046230296</v>
      </c>
      <c r="CP340" s="180">
        <v>2054</v>
      </c>
      <c r="CQ340" s="22">
        <v>40</v>
      </c>
      <c r="CR340" s="198">
        <f t="shared" ca="1" si="170"/>
        <v>279.17159696653414</v>
      </c>
      <c r="CS340" s="198">
        <f t="shared" ca="1" si="171"/>
        <v>2.8910152127274915</v>
      </c>
      <c r="CT340" s="241">
        <f t="shared" ca="1" si="172"/>
        <v>807.0893337916782</v>
      </c>
      <c r="CZ340" s="164" t="b">
        <f t="shared" si="177"/>
        <v>1</v>
      </c>
      <c r="DA340" s="165" t="b">
        <f t="shared" si="177"/>
        <v>1</v>
      </c>
      <c r="DB340" s="166" t="b">
        <f t="shared" si="177"/>
        <v>1</v>
      </c>
      <c r="DC340" s="164">
        <f t="shared" si="149"/>
        <v>42</v>
      </c>
      <c r="DD340" s="166">
        <f t="shared" si="150"/>
        <v>684.39109495950925</v>
      </c>
      <c r="DE340" s="164">
        <f t="shared" si="151"/>
        <v>42</v>
      </c>
      <c r="DF340" s="166">
        <f t="shared" si="152"/>
        <v>819.32752753578018</v>
      </c>
      <c r="DG340" s="164">
        <f t="shared" si="153"/>
        <v>42</v>
      </c>
      <c r="DH340" s="166">
        <f t="shared" si="154"/>
        <v>954.26396011205111</v>
      </c>
      <c r="DI340" s="164">
        <f>IFERROR(INDEX(DC$296:DC$344,_xlfn.AGGREGATE(15,6,(ROW(DC$296:DC$344)-ROW(DC$296)+1)/(DC$296:DC$344&lt;&gt;""),ROWS(DI$1:DI45))),"")</f>
        <v>42</v>
      </c>
      <c r="DJ340" s="165">
        <f>IFERROR(INDEX(DD$296:DD$344,_xlfn.AGGREGATE(15,6,(ROW(DD$296:DD$344)-ROW(DD$296)+1)/(DD$296:DD$344&lt;&gt;""),ROWS(DJ$1:DJ45))),"")</f>
        <v>684.39109495950925</v>
      </c>
      <c r="DK340" s="166">
        <f t="shared" si="155"/>
        <v>340</v>
      </c>
      <c r="DL340" s="164">
        <f>IFERROR(INDEX(DE$296:DE$344,_xlfn.AGGREGATE(15,6,(ROW(DE$296:DE$344)-ROW(DE$296)+1)/(DE$296:DE$344&lt;&gt;""),ROWS(DL$1:DL45))),"")</f>
        <v>42</v>
      </c>
      <c r="DM340" s="165">
        <f>IFERROR(INDEX(DF$296:DF$344,_xlfn.AGGREGATE(15,6,(ROW(DF$296:DF$344)-ROW(DF$296)+1)/(DF$296:DF$344&lt;&gt;""),ROWS(DM$1:DM45))),"")</f>
        <v>819.32752753578018</v>
      </c>
      <c r="DN340" s="166">
        <f t="shared" si="156"/>
        <v>340</v>
      </c>
      <c r="DO340" s="164">
        <f>IFERROR(INDEX(DG$296:DG$344,_xlfn.AGGREGATE(15,6,(ROW(DG$296:DG$344)-ROW(DG$296)+1)/(DG$296:DG$344&lt;&gt;""),ROWS(DO$1:DO45))),"")</f>
        <v>42</v>
      </c>
      <c r="DP340" s="165">
        <f>IFERROR(INDEX(DH$296:DH$344,_xlfn.AGGREGATE(15,6,(ROW(DH$296:DH$344)-ROW(DH$296)+1)/(DH$296:DH$344&lt;&gt;""),ROWS(DP$1:DP45))),"")</f>
        <v>954.26396011205111</v>
      </c>
      <c r="DQ340" s="166">
        <f t="shared" si="157"/>
        <v>340</v>
      </c>
      <c r="DV340" s="145">
        <v>2059</v>
      </c>
      <c r="DW340" s="235">
        <f t="shared" ca="1" si="142"/>
        <v>874.34707923471126</v>
      </c>
      <c r="EA340" s="55"/>
      <c r="EB340" s="55"/>
      <c r="EC340" s="55"/>
      <c r="ED340" s="55"/>
      <c r="EE340" s="55"/>
    </row>
    <row r="341" spans="1:135" ht="13.8" x14ac:dyDescent="0.45">
      <c r="B341" s="128">
        <v>2057</v>
      </c>
      <c r="C341" s="1070">
        <v>854.73504566210045</v>
      </c>
      <c r="D341" s="1050">
        <v>947.24190685754047</v>
      </c>
      <c r="E341" s="1069">
        <v>947.24190685754047</v>
      </c>
      <c r="F341" s="1075"/>
      <c r="G341" s="1052"/>
      <c r="H341" s="1036"/>
      <c r="I341" s="1112">
        <v>600.01176470588246</v>
      </c>
      <c r="J341" s="247"/>
      <c r="K341" s="245"/>
      <c r="L341" s="246"/>
      <c r="M341" s="245"/>
      <c r="N341" s="29" t="s">
        <v>119</v>
      </c>
      <c r="O341" s="120"/>
      <c r="P341" s="120"/>
      <c r="Q341" s="120"/>
      <c r="R341" s="29">
        <v>43</v>
      </c>
      <c r="S341" s="238">
        <f t="shared" si="143"/>
        <v>600.01176470588246</v>
      </c>
      <c r="T341" s="238">
        <f t="shared" si="144"/>
        <v>947.24190685754047</v>
      </c>
      <c r="U341" s="238">
        <f t="shared" si="145"/>
        <v>142.11274833624302</v>
      </c>
      <c r="W341" s="238">
        <f t="shared" si="158"/>
        <v>695.19490768452295</v>
      </c>
      <c r="X341" s="238">
        <f t="shared" si="176"/>
        <v>837.30765602076599</v>
      </c>
      <c r="Y341" s="238">
        <f t="shared" si="147"/>
        <v>979.42040435700903</v>
      </c>
      <c r="AA341" s="1133">
        <v>872.79813388734169</v>
      </c>
      <c r="AB341" s="1133">
        <v>916.40628645906054</v>
      </c>
      <c r="AC341" s="1133">
        <v>960.01443903077939</v>
      </c>
      <c r="AD341" s="89"/>
      <c r="AE341" s="89"/>
      <c r="AF341" s="89"/>
      <c r="AG341" s="89"/>
      <c r="AH341" s="89"/>
      <c r="AI341" s="89"/>
      <c r="AJ341" s="89"/>
      <c r="AK341" s="89"/>
      <c r="AL341" s="89"/>
      <c r="AM341" s="89"/>
      <c r="AN341" s="89"/>
      <c r="BR341" s="180">
        <v>2055</v>
      </c>
      <c r="BS341" s="22">
        <v>41</v>
      </c>
      <c r="BT341" s="198">
        <f t="shared" si="159"/>
        <v>548.36032025163217</v>
      </c>
      <c r="BU341" s="198">
        <f t="shared" si="160"/>
        <v>241.48820204092624</v>
      </c>
      <c r="BV341" s="241">
        <f t="shared" si="161"/>
        <v>789.84852229255841</v>
      </c>
      <c r="BY341" s="180">
        <v>2055</v>
      </c>
      <c r="BZ341" s="22">
        <v>41</v>
      </c>
      <c r="CA341" s="198">
        <f t="shared" ca="1" si="162"/>
        <v>121.53884350913017</v>
      </c>
      <c r="CB341" s="198">
        <f t="shared" ca="1" si="163"/>
        <v>417.92839063207748</v>
      </c>
      <c r="CC341" s="198">
        <f t="shared" ca="1" si="174"/>
        <v>262.02183175930418</v>
      </c>
      <c r="CD341" s="241">
        <f t="shared" ca="1" si="164"/>
        <v>801.48906590051183</v>
      </c>
      <c r="CG341" s="180">
        <v>2055</v>
      </c>
      <c r="CH341" s="22">
        <v>41</v>
      </c>
      <c r="CI341" s="198">
        <f t="shared" ca="1" si="165"/>
        <v>127.73995003173414</v>
      </c>
      <c r="CJ341" s="198">
        <f t="shared" ca="1" si="166"/>
        <v>-84.091319956588649</v>
      </c>
      <c r="CK341" s="198">
        <f t="shared" ca="1" si="167"/>
        <v>500.9251624492465</v>
      </c>
      <c r="CL341" s="198">
        <f t="shared" ca="1" si="168"/>
        <v>256.95753148120718</v>
      </c>
      <c r="CM341" s="241">
        <f t="shared" ca="1" si="169"/>
        <v>801.53132400559923</v>
      </c>
      <c r="CP341" s="180">
        <v>2055</v>
      </c>
      <c r="CQ341" s="22">
        <v>41</v>
      </c>
      <c r="CR341" s="198">
        <f t="shared" ca="1" si="170"/>
        <v>279.17159696653414</v>
      </c>
      <c r="CS341" s="198">
        <f t="shared" ca="1" si="171"/>
        <v>2.9687705718649191</v>
      </c>
      <c r="CT341" s="241">
        <f t="shared" ca="1" si="172"/>
        <v>828.79642157478031</v>
      </c>
      <c r="CZ341" s="164" t="b">
        <f t="shared" si="177"/>
        <v>1</v>
      </c>
      <c r="DA341" s="165" t="b">
        <f t="shared" si="177"/>
        <v>1</v>
      </c>
      <c r="DB341" s="166" t="b">
        <f t="shared" si="177"/>
        <v>1</v>
      </c>
      <c r="DC341" s="164">
        <f t="shared" si="149"/>
        <v>43</v>
      </c>
      <c r="DD341" s="166">
        <f t="shared" si="150"/>
        <v>695.19490768452295</v>
      </c>
      <c r="DE341" s="164">
        <f t="shared" si="151"/>
        <v>43</v>
      </c>
      <c r="DF341" s="166">
        <f t="shared" si="152"/>
        <v>837.30765602076599</v>
      </c>
      <c r="DG341" s="164">
        <f t="shared" si="153"/>
        <v>43</v>
      </c>
      <c r="DH341" s="166">
        <f t="shared" si="154"/>
        <v>979.42040435700903</v>
      </c>
      <c r="DI341" s="164">
        <f>IFERROR(INDEX(DC$296:DC$344,_xlfn.AGGREGATE(15,6,(ROW(DC$296:DC$344)-ROW(DC$296)+1)/(DC$296:DC$344&lt;&gt;""),ROWS(DI$1:DI46))),"")</f>
        <v>43</v>
      </c>
      <c r="DJ341" s="165">
        <f>IFERROR(INDEX(DD$296:DD$344,_xlfn.AGGREGATE(15,6,(ROW(DD$296:DD$344)-ROW(DD$296)+1)/(DD$296:DD$344&lt;&gt;""),ROWS(DJ$1:DJ46))),"")</f>
        <v>695.19490768452295</v>
      </c>
      <c r="DK341" s="166">
        <f t="shared" si="155"/>
        <v>341</v>
      </c>
      <c r="DL341" s="164">
        <f>IFERROR(INDEX(DE$296:DE$344,_xlfn.AGGREGATE(15,6,(ROW(DE$296:DE$344)-ROW(DE$296)+1)/(DE$296:DE$344&lt;&gt;""),ROWS(DL$1:DL46))),"")</f>
        <v>43</v>
      </c>
      <c r="DM341" s="165">
        <f>IFERROR(INDEX(DF$296:DF$344,_xlfn.AGGREGATE(15,6,(ROW(DF$296:DF$344)-ROW(DF$296)+1)/(DF$296:DF$344&lt;&gt;""),ROWS(DM$1:DM46))),"")</f>
        <v>837.30765602076599</v>
      </c>
      <c r="DN341" s="166">
        <f t="shared" si="156"/>
        <v>341</v>
      </c>
      <c r="DO341" s="164">
        <f>IFERROR(INDEX(DG$296:DG$344,_xlfn.AGGREGATE(15,6,(ROW(DG$296:DG$344)-ROW(DG$296)+1)/(DG$296:DG$344&lt;&gt;""),ROWS(DO$1:DO46))),"")</f>
        <v>43</v>
      </c>
      <c r="DP341" s="165">
        <f>IFERROR(INDEX(DH$296:DH$344,_xlfn.AGGREGATE(15,6,(ROW(DH$296:DH$344)-ROW(DH$296)+1)/(DH$296:DH$344&lt;&gt;""),ROWS(DP$1:DP46))),"")</f>
        <v>979.42040435700903</v>
      </c>
      <c r="DQ341" s="166">
        <f t="shared" si="157"/>
        <v>341</v>
      </c>
      <c r="DV341" s="145">
        <v>2060</v>
      </c>
      <c r="DW341" s="235">
        <f t="shared" ca="1" si="142"/>
        <v>893.52415607582282</v>
      </c>
      <c r="EA341" s="55"/>
      <c r="EB341" s="55"/>
      <c r="EC341" s="55"/>
      <c r="ED341" s="55"/>
      <c r="EE341" s="55"/>
    </row>
    <row r="342" spans="1:135" ht="13.8" x14ac:dyDescent="0.45">
      <c r="A342" s="214"/>
      <c r="B342" s="128">
        <v>2058</v>
      </c>
      <c r="C342" s="1070">
        <v>868.67511415525109</v>
      </c>
      <c r="D342" s="1050">
        <v>973.18487264529404</v>
      </c>
      <c r="E342" s="1069">
        <v>973.18487264529404</v>
      </c>
      <c r="F342" s="1075"/>
      <c r="G342" s="1052"/>
      <c r="H342" s="1036"/>
      <c r="I342" s="1112">
        <v>607.27058823529421</v>
      </c>
      <c r="J342" s="247"/>
      <c r="K342" s="245"/>
      <c r="L342" s="246"/>
      <c r="M342" s="245"/>
      <c r="N342" s="29" t="s">
        <v>119</v>
      </c>
      <c r="R342" s="29">
        <v>44</v>
      </c>
      <c r="S342" s="238">
        <f t="shared" si="143"/>
        <v>607.27058823529421</v>
      </c>
      <c r="T342" s="238">
        <f t="shared" si="144"/>
        <v>973.18487264529404</v>
      </c>
      <c r="U342" s="238">
        <f t="shared" si="145"/>
        <v>149.57511333801753</v>
      </c>
      <c r="W342" s="238">
        <f t="shared" si="158"/>
        <v>706.00374858226587</v>
      </c>
      <c r="X342" s="238">
        <f t="shared" si="176"/>
        <v>855.57886192028343</v>
      </c>
      <c r="Y342" s="238">
        <f t="shared" si="147"/>
        <v>1005.153975258301</v>
      </c>
      <c r="AA342" s="1133">
        <v>889.0819138629613</v>
      </c>
      <c r="AB342" s="1133">
        <v>938.3482864819465</v>
      </c>
      <c r="AC342" s="1133">
        <v>987.6146591009317</v>
      </c>
      <c r="AD342" s="89"/>
      <c r="AE342" s="89"/>
      <c r="AF342" s="89"/>
      <c r="AG342" s="89"/>
      <c r="AH342" s="89"/>
      <c r="AI342" s="89"/>
      <c r="AJ342" s="89"/>
      <c r="AK342" s="89"/>
      <c r="AL342" s="89"/>
      <c r="AM342" s="89"/>
      <c r="AN342" s="89"/>
      <c r="BR342" s="180">
        <v>2056</v>
      </c>
      <c r="BS342" s="22">
        <v>42</v>
      </c>
      <c r="BT342" s="198">
        <f t="shared" si="159"/>
        <v>561.73496220898903</v>
      </c>
      <c r="BU342" s="198">
        <f t="shared" si="160"/>
        <v>241.48820204092624</v>
      </c>
      <c r="BV342" s="241">
        <f t="shared" si="161"/>
        <v>803.22316424991527</v>
      </c>
      <c r="BY342" s="180">
        <v>2056</v>
      </c>
      <c r="BZ342" s="22">
        <v>42</v>
      </c>
      <c r="CA342" s="198">
        <f t="shared" ca="1" si="162"/>
        <v>127.53986909583915</v>
      </c>
      <c r="CB342" s="198">
        <f t="shared" ca="1" si="163"/>
        <v>428.12176601334767</v>
      </c>
      <c r="CC342" s="198">
        <f t="shared" ca="1" si="174"/>
        <v>262.02183175930418</v>
      </c>
      <c r="CD342" s="241">
        <f t="shared" ca="1" si="164"/>
        <v>817.683466868491</v>
      </c>
      <c r="CG342" s="180">
        <v>2056</v>
      </c>
      <c r="CH342" s="22">
        <v>42</v>
      </c>
      <c r="CI342" s="198">
        <f t="shared" ca="1" si="165"/>
        <v>137.31660042586611</v>
      </c>
      <c r="CJ342" s="198">
        <f t="shared" ca="1" si="166"/>
        <v>-88.243360144808065</v>
      </c>
      <c r="CK342" s="198">
        <f t="shared" ca="1" si="167"/>
        <v>513.14284933825252</v>
      </c>
      <c r="CL342" s="198">
        <f t="shared" ca="1" si="168"/>
        <v>256.95753148120718</v>
      </c>
      <c r="CM342" s="241">
        <f t="shared" ca="1" si="169"/>
        <v>819.17362110051772</v>
      </c>
      <c r="CP342" s="180">
        <v>2056</v>
      </c>
      <c r="CQ342" s="22">
        <v>42</v>
      </c>
      <c r="CR342" s="198">
        <f t="shared" ca="1" si="170"/>
        <v>279.17159696653414</v>
      </c>
      <c r="CS342" s="198">
        <f t="shared" ca="1" si="171"/>
        <v>3.0486172018638666</v>
      </c>
      <c r="CT342" s="241">
        <f t="shared" ca="1" si="172"/>
        <v>851.08733278398245</v>
      </c>
      <c r="CZ342" s="164" t="b">
        <f t="shared" si="177"/>
        <v>1</v>
      </c>
      <c r="DA342" s="165" t="b">
        <f t="shared" si="177"/>
        <v>1</v>
      </c>
      <c r="DB342" s="166" t="b">
        <f t="shared" si="177"/>
        <v>1</v>
      </c>
      <c r="DC342" s="164">
        <f t="shared" si="149"/>
        <v>44</v>
      </c>
      <c r="DD342" s="166">
        <f t="shared" si="150"/>
        <v>706.00374858226587</v>
      </c>
      <c r="DE342" s="164">
        <f t="shared" si="151"/>
        <v>44</v>
      </c>
      <c r="DF342" s="166">
        <f t="shared" si="152"/>
        <v>855.57886192028343</v>
      </c>
      <c r="DG342" s="164">
        <f t="shared" si="153"/>
        <v>44</v>
      </c>
      <c r="DH342" s="166">
        <f t="shared" si="154"/>
        <v>1005.153975258301</v>
      </c>
      <c r="DI342" s="164">
        <f>IFERROR(INDEX(DC$296:DC$344,_xlfn.AGGREGATE(15,6,(ROW(DC$296:DC$344)-ROW(DC$296)+1)/(DC$296:DC$344&lt;&gt;""),ROWS(DI$1:DI47))),"")</f>
        <v>44</v>
      </c>
      <c r="DJ342" s="165">
        <f>IFERROR(INDEX(DD$296:DD$344,_xlfn.AGGREGATE(15,6,(ROW(DD$296:DD$344)-ROW(DD$296)+1)/(DD$296:DD$344&lt;&gt;""),ROWS(DJ$1:DJ47))),"")</f>
        <v>706.00374858226587</v>
      </c>
      <c r="DK342" s="166">
        <f t="shared" si="155"/>
        <v>342</v>
      </c>
      <c r="DL342" s="164">
        <f>IFERROR(INDEX(DE$296:DE$344,_xlfn.AGGREGATE(15,6,(ROW(DE$296:DE$344)-ROW(DE$296)+1)/(DE$296:DE$344&lt;&gt;""),ROWS(DL$1:DL47))),"")</f>
        <v>44</v>
      </c>
      <c r="DM342" s="165">
        <f>IFERROR(INDEX(DF$296:DF$344,_xlfn.AGGREGATE(15,6,(ROW(DF$296:DF$344)-ROW(DF$296)+1)/(DF$296:DF$344&lt;&gt;""),ROWS(DM$1:DM47))),"")</f>
        <v>855.57886192028343</v>
      </c>
      <c r="DN342" s="166">
        <f t="shared" si="156"/>
        <v>342</v>
      </c>
      <c r="DO342" s="164">
        <f>IFERROR(INDEX(DG$296:DG$344,_xlfn.AGGREGATE(15,6,(ROW(DG$296:DG$344)-ROW(DG$296)+1)/(DG$296:DG$344&lt;&gt;""),ROWS(DO$1:DO47))),"")</f>
        <v>44</v>
      </c>
      <c r="DP342" s="165">
        <f>IFERROR(INDEX(DH$296:DH$344,_xlfn.AGGREGATE(15,6,(ROW(DH$296:DH$344)-ROW(DH$296)+1)/(DH$296:DH$344&lt;&gt;""),ROWS(DP$1:DP47))),"")</f>
        <v>1005.153975258301</v>
      </c>
      <c r="DQ342" s="166">
        <f t="shared" si="157"/>
        <v>342</v>
      </c>
      <c r="DW342" s="54"/>
      <c r="EA342" s="55"/>
      <c r="EB342" s="55"/>
      <c r="EC342" s="55"/>
      <c r="ED342" s="55"/>
      <c r="EE342" s="55"/>
    </row>
    <row r="343" spans="1:135" ht="13.8" x14ac:dyDescent="0.45">
      <c r="A343" s="214"/>
      <c r="B343" s="128">
        <v>2059</v>
      </c>
      <c r="C343" s="1070">
        <v>882.61518264840174</v>
      </c>
      <c r="D343" s="1050">
        <v>999.72333123009753</v>
      </c>
      <c r="E343" s="1069">
        <v>999.72333123009753</v>
      </c>
      <c r="F343" s="1075"/>
      <c r="G343" s="1052"/>
      <c r="H343" s="1036"/>
      <c r="I343" s="1112">
        <v>614.52941176470597</v>
      </c>
      <c r="J343" s="247"/>
      <c r="K343" s="245"/>
      <c r="L343" s="246"/>
      <c r="M343" s="245"/>
      <c r="N343" s="29" t="s">
        <v>119</v>
      </c>
      <c r="R343" s="29">
        <v>45</v>
      </c>
      <c r="S343" s="238">
        <f t="shared" si="143"/>
        <v>614.52941176470597</v>
      </c>
      <c r="T343" s="238">
        <f t="shared" si="144"/>
        <v>999.72333123009753</v>
      </c>
      <c r="U343" s="238">
        <f t="shared" si="145"/>
        <v>157.33072821785996</v>
      </c>
      <c r="W343" s="238">
        <f t="shared" si="158"/>
        <v>716.81708600046568</v>
      </c>
      <c r="X343" s="238">
        <f t="shared" si="176"/>
        <v>874.14781421832561</v>
      </c>
      <c r="Y343" s="238">
        <f t="shared" si="147"/>
        <v>1031.4785424361855</v>
      </c>
      <c r="AA343" s="1133">
        <v>905.48197103998632</v>
      </c>
      <c r="AB343" s="1133">
        <v>960.68728170286556</v>
      </c>
      <c r="AC343" s="1133">
        <v>1015.8925923657448</v>
      </c>
      <c r="AD343" s="89"/>
      <c r="AE343" s="89"/>
      <c r="AF343" s="89"/>
      <c r="AG343" s="89"/>
      <c r="AH343" s="89"/>
      <c r="AI343" s="89"/>
      <c r="AJ343" s="89"/>
      <c r="AK343" s="89"/>
      <c r="AL343" s="89"/>
      <c r="AM343" s="89"/>
      <c r="AN343" s="89"/>
      <c r="BR343" s="180">
        <v>2057</v>
      </c>
      <c r="BS343" s="22">
        <v>43</v>
      </c>
      <c r="BT343" s="198">
        <f t="shared" si="159"/>
        <v>575.10960416634589</v>
      </c>
      <c r="BU343" s="198">
        <f t="shared" si="160"/>
        <v>241.48820204092624</v>
      </c>
      <c r="BV343" s="241">
        <f t="shared" si="161"/>
        <v>816.59780620727213</v>
      </c>
      <c r="BY343" s="180">
        <v>2057</v>
      </c>
      <c r="BZ343" s="22">
        <v>43</v>
      </c>
      <c r="CA343" s="198">
        <f t="shared" ca="1" si="162"/>
        <v>133.68549770873389</v>
      </c>
      <c r="CB343" s="198">
        <f t="shared" ca="1" si="163"/>
        <v>438.31514139461785</v>
      </c>
      <c r="CC343" s="198">
        <f t="shared" ca="1" si="174"/>
        <v>262.02183175930418</v>
      </c>
      <c r="CD343" s="241">
        <f t="shared" ca="1" si="164"/>
        <v>834.02247086265595</v>
      </c>
      <c r="CG343" s="180">
        <v>2057</v>
      </c>
      <c r="CH343" s="22">
        <v>43</v>
      </c>
      <c r="CI343" s="198">
        <f t="shared" ca="1" si="165"/>
        <v>147.36031408675274</v>
      </c>
      <c r="CJ343" s="198">
        <f t="shared" ca="1" si="166"/>
        <v>-92.495449494189415</v>
      </c>
      <c r="CK343" s="198">
        <f t="shared" ca="1" si="167"/>
        <v>525.36053622725854</v>
      </c>
      <c r="CL343" s="198">
        <f t="shared" ca="1" si="168"/>
        <v>256.95753148120718</v>
      </c>
      <c r="CM343" s="241">
        <f t="shared" ca="1" si="169"/>
        <v>837.18293230102904</v>
      </c>
      <c r="CP343" s="180">
        <v>2057</v>
      </c>
      <c r="CQ343" s="22">
        <v>43</v>
      </c>
      <c r="CR343" s="198">
        <f t="shared" ca="1" si="170"/>
        <v>279.17159696653414</v>
      </c>
      <c r="CS343" s="198">
        <f t="shared" ca="1" si="171"/>
        <v>3.1306113485428195</v>
      </c>
      <c r="CT343" s="241">
        <f t="shared" ca="1" si="172"/>
        <v>873.97776965425396</v>
      </c>
      <c r="CZ343" s="164" t="b">
        <f t="shared" si="177"/>
        <v>1</v>
      </c>
      <c r="DA343" s="165" t="b">
        <f t="shared" si="177"/>
        <v>1</v>
      </c>
      <c r="DB343" s="166" t="b">
        <f t="shared" si="177"/>
        <v>1</v>
      </c>
      <c r="DC343" s="164">
        <f t="shared" si="149"/>
        <v>45</v>
      </c>
      <c r="DD343" s="166">
        <f t="shared" si="150"/>
        <v>716.81708600046568</v>
      </c>
      <c r="DE343" s="164">
        <f t="shared" si="151"/>
        <v>45</v>
      </c>
      <c r="DF343" s="166">
        <f t="shared" si="152"/>
        <v>874.14781421832561</v>
      </c>
      <c r="DG343" s="164">
        <f t="shared" si="153"/>
        <v>45</v>
      </c>
      <c r="DH343" s="166">
        <f t="shared" si="154"/>
        <v>1031.4785424361855</v>
      </c>
      <c r="DI343" s="164">
        <f>IFERROR(INDEX(DC$296:DC$344,_xlfn.AGGREGATE(15,6,(ROW(DC$296:DC$344)-ROW(DC$296)+1)/(DC$296:DC$344&lt;&gt;""),ROWS(DI$1:DI48))),"")</f>
        <v>45</v>
      </c>
      <c r="DJ343" s="165">
        <f>IFERROR(INDEX(DD$296:DD$344,_xlfn.AGGREGATE(15,6,(ROW(DD$296:DD$344)-ROW(DD$296)+1)/(DD$296:DD$344&lt;&gt;""),ROWS(DJ$1:DJ48))),"")</f>
        <v>716.81708600046568</v>
      </c>
      <c r="DK343" s="166">
        <f t="shared" si="155"/>
        <v>343</v>
      </c>
      <c r="DL343" s="164">
        <f>IFERROR(INDEX(DE$296:DE$344,_xlfn.AGGREGATE(15,6,(ROW(DE$296:DE$344)-ROW(DE$296)+1)/(DE$296:DE$344&lt;&gt;""),ROWS(DL$1:DL48))),"")</f>
        <v>45</v>
      </c>
      <c r="DM343" s="165">
        <f>IFERROR(INDEX(DF$296:DF$344,_xlfn.AGGREGATE(15,6,(ROW(DF$296:DF$344)-ROW(DF$296)+1)/(DF$296:DF$344&lt;&gt;""),ROWS(DM$1:DM48))),"")</f>
        <v>874.14781421832561</v>
      </c>
      <c r="DN343" s="166">
        <f t="shared" si="156"/>
        <v>343</v>
      </c>
      <c r="DO343" s="164">
        <f>IFERROR(INDEX(DG$296:DG$344,_xlfn.AGGREGATE(15,6,(ROW(DG$296:DG$344)-ROW(DG$296)+1)/(DG$296:DG$344&lt;&gt;""),ROWS(DO$1:DO48))),"")</f>
        <v>45</v>
      </c>
      <c r="DP343" s="165">
        <f>IFERROR(INDEX(DH$296:DH$344,_xlfn.AGGREGATE(15,6,(ROW(DH$296:DH$344)-ROW(DH$296)+1)/(DH$296:DH$344&lt;&gt;""),ROWS(DP$1:DP48))),"")</f>
        <v>1031.4785424361855</v>
      </c>
      <c r="DQ343" s="166">
        <f t="shared" si="157"/>
        <v>343</v>
      </c>
      <c r="DW343" s="54"/>
      <c r="EA343" s="55"/>
      <c r="EB343" s="55"/>
      <c r="EC343" s="55"/>
      <c r="ED343" s="55"/>
      <c r="EE343" s="55"/>
    </row>
    <row r="344" spans="1:135" ht="14.1" thickBot="1" x14ac:dyDescent="0.5">
      <c r="A344" s="214"/>
      <c r="B344" s="128">
        <v>2060</v>
      </c>
      <c r="C344" s="1007">
        <v>896.5552511415525</v>
      </c>
      <c r="D344" s="1062">
        <v>1026.8706205799365</v>
      </c>
      <c r="E344" s="1071">
        <v>1026.8706205799365</v>
      </c>
      <c r="F344" s="1076"/>
      <c r="G344" s="1057"/>
      <c r="H344" s="1043"/>
      <c r="I344" s="1115">
        <v>621.78823529411784</v>
      </c>
      <c r="J344" s="251"/>
      <c r="K344" s="249"/>
      <c r="L344" s="250"/>
      <c r="M344" s="249"/>
      <c r="N344" s="29" t="s">
        <v>119</v>
      </c>
      <c r="R344" s="29">
        <v>46</v>
      </c>
      <c r="S344" s="238">
        <f t="shared" si="143"/>
        <v>621.78823529411784</v>
      </c>
      <c r="T344" s="238">
        <f t="shared" si="144"/>
        <v>1026.8706205799365</v>
      </c>
      <c r="U344" s="238">
        <f t="shared" si="145"/>
        <v>165.38677806870035</v>
      </c>
      <c r="W344" s="238">
        <f t="shared" si="158"/>
        <v>727.63440383018542</v>
      </c>
      <c r="X344" s="238">
        <f t="shared" si="176"/>
        <v>893.02118189888574</v>
      </c>
      <c r="Y344" s="238">
        <f t="shared" si="147"/>
        <v>1058.4079599675861</v>
      </c>
      <c r="AA344" s="1133">
        <v>922.00090981866731</v>
      </c>
      <c r="AB344" s="1133">
        <v>983.43216410047501</v>
      </c>
      <c r="AC344" s="1133">
        <v>1044.8634183822826</v>
      </c>
      <c r="AD344" s="89"/>
      <c r="AE344" s="89"/>
      <c r="AF344" s="89"/>
      <c r="AG344" s="89"/>
      <c r="AH344" s="89"/>
      <c r="AI344" s="89"/>
      <c r="AJ344" s="89"/>
      <c r="AK344" s="89"/>
      <c r="AL344" s="89"/>
      <c r="AM344" s="89"/>
      <c r="AN344" s="89"/>
      <c r="BR344" s="180">
        <v>2058</v>
      </c>
      <c r="BS344" s="22">
        <v>44</v>
      </c>
      <c r="BT344" s="198">
        <f t="shared" si="159"/>
        <v>588.48424612370286</v>
      </c>
      <c r="BU344" s="198">
        <f t="shared" si="160"/>
        <v>241.48820204092624</v>
      </c>
      <c r="BV344" s="241">
        <f t="shared" si="161"/>
        <v>829.9724481646291</v>
      </c>
      <c r="BY344" s="180">
        <v>2058</v>
      </c>
      <c r="BZ344" s="22">
        <v>44</v>
      </c>
      <c r="CA344" s="198">
        <f t="shared" ca="1" si="162"/>
        <v>139.97572934781439</v>
      </c>
      <c r="CB344" s="198">
        <f t="shared" ca="1" si="163"/>
        <v>448.50851677588804</v>
      </c>
      <c r="CC344" s="198">
        <f t="shared" ca="1" si="174"/>
        <v>262.02183175930418</v>
      </c>
      <c r="CD344" s="241">
        <f t="shared" ca="1" si="164"/>
        <v>850.50607788300658</v>
      </c>
      <c r="CG344" s="180">
        <v>2058</v>
      </c>
      <c r="CH344" s="22">
        <v>44</v>
      </c>
      <c r="CI344" s="198">
        <f t="shared" ca="1" si="165"/>
        <v>157.88221156836437</v>
      </c>
      <c r="CJ344" s="198">
        <f t="shared" ca="1" si="166"/>
        <v>-96.847588004732671</v>
      </c>
      <c r="CK344" s="198">
        <f t="shared" ca="1" si="167"/>
        <v>537.57822311626455</v>
      </c>
      <c r="CL344" s="198">
        <f t="shared" ca="1" si="168"/>
        <v>256.95753148120718</v>
      </c>
      <c r="CM344" s="241">
        <f t="shared" ca="1" si="169"/>
        <v>855.57037816110346</v>
      </c>
      <c r="CP344" s="180">
        <v>2058</v>
      </c>
      <c r="CQ344" s="22">
        <v>44</v>
      </c>
      <c r="CR344" s="198">
        <f t="shared" ca="1" si="170"/>
        <v>279.17159696653414</v>
      </c>
      <c r="CS344" s="198">
        <f t="shared" ca="1" si="171"/>
        <v>3.2148107704808302</v>
      </c>
      <c r="CT344" s="241">
        <f t="shared" ca="1" si="172"/>
        <v>897.48385674034739</v>
      </c>
      <c r="CZ344" s="164" t="b">
        <f t="shared" si="177"/>
        <v>1</v>
      </c>
      <c r="DA344" s="165" t="b">
        <f t="shared" si="177"/>
        <v>1</v>
      </c>
      <c r="DB344" s="166" t="b">
        <f t="shared" si="177"/>
        <v>1</v>
      </c>
      <c r="DC344" s="164">
        <f t="shared" si="149"/>
        <v>46</v>
      </c>
      <c r="DD344" s="166">
        <f t="shared" si="150"/>
        <v>727.63440383018542</v>
      </c>
      <c r="DE344" s="164">
        <f t="shared" si="151"/>
        <v>46</v>
      </c>
      <c r="DF344" s="166">
        <f t="shared" si="152"/>
        <v>893.02118189888574</v>
      </c>
      <c r="DG344" s="164">
        <f t="shared" si="153"/>
        <v>46</v>
      </c>
      <c r="DH344" s="166">
        <f t="shared" si="154"/>
        <v>1058.4079599675861</v>
      </c>
      <c r="DI344" s="164">
        <f>IFERROR(INDEX(DC$296:DC$344,_xlfn.AGGREGATE(15,6,(ROW(DC$296:DC$344)-ROW(DC$296)+1)/(DC$296:DC$344&lt;&gt;""),ROWS(DI$1:DI49))),"")</f>
        <v>46</v>
      </c>
      <c r="DJ344" s="165">
        <f>IFERROR(INDEX(DD$296:DD$344,_xlfn.AGGREGATE(15,6,(ROW(DD$296:DD$344)-ROW(DD$296)+1)/(DD$296:DD$344&lt;&gt;""),ROWS(DJ$1:DJ49))),"")</f>
        <v>727.63440383018542</v>
      </c>
      <c r="DK344" s="166">
        <f t="shared" si="155"/>
        <v>344</v>
      </c>
      <c r="DL344" s="164">
        <f>IFERROR(INDEX(DE$296:DE$344,_xlfn.AGGREGATE(15,6,(ROW(DE$296:DE$344)-ROW(DE$296)+1)/(DE$296:DE$344&lt;&gt;""),ROWS(DL$1:DL49))),"")</f>
        <v>46</v>
      </c>
      <c r="DM344" s="165">
        <f>IFERROR(INDEX(DF$296:DF$344,_xlfn.AGGREGATE(15,6,(ROW(DF$296:DF$344)-ROW(DF$296)+1)/(DF$296:DF$344&lt;&gt;""),ROWS(DM$1:DM49))),"")</f>
        <v>893.02118189888574</v>
      </c>
      <c r="DN344" s="166">
        <f t="shared" si="156"/>
        <v>344</v>
      </c>
      <c r="DO344" s="164">
        <f>IFERROR(INDEX(DG$296:DG$344,_xlfn.AGGREGATE(15,6,(ROW(DG$296:DG$344)-ROW(DG$296)+1)/(DG$296:DG$344&lt;&gt;""),ROWS(DO$1:DO49))),"")</f>
        <v>46</v>
      </c>
      <c r="DP344" s="165">
        <f>IFERROR(INDEX(DH$296:DH$344,_xlfn.AGGREGATE(15,6,(ROW(DH$296:DH$344)-ROW(DH$296)+1)/(DH$296:DH$344&lt;&gt;""),ROWS(DP$1:DP49))),"")</f>
        <v>1058.4079599675861</v>
      </c>
      <c r="DQ344" s="166">
        <f t="shared" si="157"/>
        <v>344</v>
      </c>
      <c r="DW344" s="54"/>
      <c r="EA344" s="55"/>
      <c r="EB344" s="55"/>
      <c r="EC344" s="55"/>
      <c r="ED344" s="55"/>
      <c r="EE344" s="55"/>
    </row>
    <row r="345" spans="1:135" x14ac:dyDescent="0.4">
      <c r="A345" s="214"/>
      <c r="B345" s="89"/>
      <c r="C345" s="14"/>
      <c r="D345" s="14"/>
      <c r="E345" s="14"/>
      <c r="F345" s="14"/>
      <c r="G345" s="14"/>
      <c r="H345" s="14"/>
      <c r="I345" s="14"/>
      <c r="J345" s="14"/>
      <c r="K345" s="14"/>
      <c r="L345" s="14"/>
      <c r="M345" s="50"/>
      <c r="S345" s="120"/>
      <c r="T345" s="120"/>
      <c r="U345" s="120"/>
      <c r="W345" s="120"/>
      <c r="X345" s="120"/>
      <c r="Y345" s="120"/>
      <c r="AA345" s="89"/>
      <c r="AB345" s="89"/>
      <c r="AC345" s="89"/>
      <c r="AD345" s="89"/>
      <c r="AE345" s="89"/>
      <c r="AF345" s="89"/>
      <c r="AG345" s="89"/>
      <c r="AH345" s="89"/>
      <c r="AI345" s="89"/>
      <c r="AJ345" s="89"/>
      <c r="AK345" s="89"/>
      <c r="AL345" s="89"/>
      <c r="AM345" s="89"/>
      <c r="AN345" s="89"/>
      <c r="BR345" s="180">
        <v>2059</v>
      </c>
      <c r="BS345" s="22">
        <v>45</v>
      </c>
      <c r="BT345" s="198">
        <f t="shared" si="159"/>
        <v>601.85888808105972</v>
      </c>
      <c r="BU345" s="198">
        <f t="shared" si="160"/>
        <v>241.48820204092624</v>
      </c>
      <c r="BV345" s="241">
        <f t="shared" si="161"/>
        <v>843.34709012198596</v>
      </c>
      <c r="BY345" s="180">
        <v>2059</v>
      </c>
      <c r="BZ345" s="22">
        <v>45</v>
      </c>
      <c r="CA345" s="198">
        <f t="shared" ca="1" si="162"/>
        <v>146.41056401308066</v>
      </c>
      <c r="CB345" s="198">
        <f t="shared" ca="1" si="163"/>
        <v>458.70189215715823</v>
      </c>
      <c r="CC345" s="198">
        <f t="shared" ca="1" si="174"/>
        <v>262.02183175930418</v>
      </c>
      <c r="CD345" s="241">
        <f t="shared" ca="1" si="164"/>
        <v>867.13428792954301</v>
      </c>
      <c r="CG345" s="180">
        <v>2059</v>
      </c>
      <c r="CH345" s="22">
        <v>45</v>
      </c>
      <c r="CI345" s="198">
        <f t="shared" ca="1" si="165"/>
        <v>168.89341342467134</v>
      </c>
      <c r="CJ345" s="198">
        <f t="shared" ca="1" si="166"/>
        <v>-101.29977567643783</v>
      </c>
      <c r="CK345" s="198">
        <f t="shared" ca="1" si="167"/>
        <v>549.79591000527057</v>
      </c>
      <c r="CL345" s="198">
        <f t="shared" ca="1" si="168"/>
        <v>256.95753148120718</v>
      </c>
      <c r="CM345" s="241">
        <f t="shared" ca="1" si="169"/>
        <v>874.34707923471126</v>
      </c>
      <c r="CP345" s="180">
        <v>2059</v>
      </c>
      <c r="CQ345" s="22">
        <v>45</v>
      </c>
      <c r="CR345" s="198">
        <f t="shared" ca="1" si="170"/>
        <v>279.17159696653414</v>
      </c>
      <c r="CS345" s="198">
        <f t="shared" ca="1" si="171"/>
        <v>3.3012747797040047</v>
      </c>
      <c r="CT345" s="241">
        <f t="shared" ca="1" si="172"/>
        <v>921.62215227531021</v>
      </c>
      <c r="CZ345" s="252"/>
      <c r="DA345" s="252"/>
      <c r="DB345" s="252"/>
      <c r="DC345" s="252"/>
      <c r="DD345" s="252"/>
      <c r="DE345" s="252"/>
      <c r="DF345" s="252"/>
      <c r="DG345" s="252"/>
      <c r="DH345" s="252"/>
      <c r="DI345" s="252"/>
      <c r="DJ345" s="252"/>
      <c r="DK345" s="252"/>
      <c r="DL345" s="252"/>
      <c r="DM345" s="252"/>
      <c r="DN345" s="252"/>
      <c r="DO345" s="252"/>
      <c r="DP345" s="252"/>
      <c r="DQ345" s="252"/>
      <c r="DU345" s="65"/>
      <c r="DW345" s="54"/>
      <c r="EA345" s="55"/>
      <c r="EB345" s="55"/>
      <c r="EC345" s="55"/>
      <c r="ED345" s="55"/>
      <c r="EE345" s="55"/>
    </row>
    <row r="346" spans="1:135" x14ac:dyDescent="0.4">
      <c r="A346" s="214"/>
      <c r="B346" s="89"/>
      <c r="C346" s="14"/>
      <c r="D346" s="14"/>
      <c r="E346" s="14"/>
      <c r="F346" s="14"/>
      <c r="G346" s="14"/>
      <c r="H346" s="14"/>
      <c r="I346" s="14"/>
      <c r="J346" s="14"/>
      <c r="K346" s="14"/>
      <c r="L346" s="14"/>
      <c r="M346" s="50"/>
      <c r="S346" s="120"/>
      <c r="T346" s="120"/>
      <c r="U346" s="120"/>
      <c r="W346" s="120"/>
      <c r="X346" s="120"/>
      <c r="Y346" s="120"/>
      <c r="AA346" s="89"/>
      <c r="AB346" s="89"/>
      <c r="AC346" s="89"/>
      <c r="AD346" s="89"/>
      <c r="AE346" s="89"/>
      <c r="AF346" s="89"/>
      <c r="AG346" s="89"/>
      <c r="AH346" s="89"/>
      <c r="AI346" s="89"/>
      <c r="AJ346" s="89"/>
      <c r="AK346" s="89"/>
      <c r="AL346" s="89"/>
      <c r="AM346" s="89"/>
      <c r="AN346" s="89"/>
      <c r="BR346" s="180">
        <v>2060</v>
      </c>
      <c r="BS346" s="22">
        <v>46</v>
      </c>
      <c r="BT346" s="198">
        <f t="shared" si="159"/>
        <v>615.23353003841657</v>
      </c>
      <c r="BU346" s="198">
        <f t="shared" si="160"/>
        <v>241.48820204092624</v>
      </c>
      <c r="BV346" s="241">
        <f t="shared" si="161"/>
        <v>856.72173207934281</v>
      </c>
      <c r="BY346" s="180">
        <v>2060</v>
      </c>
      <c r="BZ346" s="22">
        <v>46</v>
      </c>
      <c r="CA346" s="198">
        <f t="shared" ca="1" si="162"/>
        <v>152.99000170453269</v>
      </c>
      <c r="CB346" s="198">
        <f t="shared" ca="1" si="163"/>
        <v>468.89526753842841</v>
      </c>
      <c r="CC346" s="198">
        <f t="shared" ca="1" si="174"/>
        <v>262.02183175930418</v>
      </c>
      <c r="CD346" s="241">
        <f t="shared" ca="1" si="164"/>
        <v>883.90710100226534</v>
      </c>
      <c r="CG346" s="180">
        <v>2060</v>
      </c>
      <c r="CH346" s="22">
        <v>46</v>
      </c>
      <c r="CI346" s="198">
        <f t="shared" ca="1" si="165"/>
        <v>180.405040209644</v>
      </c>
      <c r="CJ346" s="198">
        <f t="shared" ca="1" si="166"/>
        <v>-105.85201250930491</v>
      </c>
      <c r="CK346" s="198">
        <f t="shared" ca="1" si="167"/>
        <v>562.01359689427659</v>
      </c>
      <c r="CL346" s="198">
        <f t="shared" ca="1" si="168"/>
        <v>256.95753148120718</v>
      </c>
      <c r="CM346" s="241">
        <f t="shared" ca="1" si="169"/>
        <v>893.52415607582282</v>
      </c>
      <c r="CP346" s="180">
        <v>2060</v>
      </c>
      <c r="CQ346" s="22">
        <v>46</v>
      </c>
      <c r="CR346" s="198">
        <f t="shared" ca="1" si="170"/>
        <v>279.17159696653414</v>
      </c>
      <c r="CS346" s="198">
        <f t="shared" ca="1" si="171"/>
        <v>3.3900642834662631</v>
      </c>
      <c r="CT346" s="241">
        <f t="shared" ca="1" si="172"/>
        <v>946.40965983448598</v>
      </c>
      <c r="DW346" s="54"/>
      <c r="EA346" s="55"/>
      <c r="EB346" s="55"/>
      <c r="EC346" s="55"/>
      <c r="ED346" s="55"/>
      <c r="EE346" s="55"/>
    </row>
    <row r="347" spans="1:135" x14ac:dyDescent="0.4">
      <c r="A347" s="221" t="str">
        <f ca="1">HYPERLINK("#"&amp;"'"&amp;A$1&amp;"'!a1","Back to top")</f>
        <v>Back to top</v>
      </c>
      <c r="C347" s="50"/>
      <c r="D347" s="14"/>
      <c r="E347" s="14"/>
      <c r="F347" s="14"/>
      <c r="G347" s="14"/>
      <c r="H347" s="14"/>
      <c r="I347" s="14"/>
      <c r="J347" s="14"/>
      <c r="K347" s="14"/>
      <c r="L347" s="14"/>
      <c r="M347" s="14"/>
      <c r="N347" s="89"/>
      <c r="O347" s="89"/>
      <c r="P347" s="89"/>
      <c r="Q347" s="89"/>
      <c r="R347" s="89"/>
      <c r="S347" s="89"/>
      <c r="T347" s="89"/>
      <c r="U347" s="89"/>
      <c r="V347" s="89"/>
      <c r="W347" s="89"/>
      <c r="X347" s="89"/>
      <c r="Y347" s="89"/>
      <c r="Z347" s="89"/>
      <c r="AA347" s="89"/>
      <c r="AB347" s="89"/>
      <c r="AC347" s="89"/>
      <c r="AD347" s="89"/>
      <c r="AE347" s="89"/>
      <c r="AF347" s="89"/>
      <c r="AG347" s="89"/>
      <c r="AH347" s="89"/>
      <c r="AI347" s="89"/>
      <c r="AJ347" s="89"/>
      <c r="AK347" s="89"/>
      <c r="AL347" s="89"/>
      <c r="AM347" s="89"/>
      <c r="AN347" s="89"/>
      <c r="DW347" s="54"/>
      <c r="EA347" s="55"/>
      <c r="EB347" s="55"/>
      <c r="EC347" s="55"/>
      <c r="ED347" s="55"/>
      <c r="EE347" s="55"/>
    </row>
    <row r="348" spans="1:135" x14ac:dyDescent="0.4">
      <c r="A348" s="221"/>
      <c r="C348" s="50"/>
      <c r="D348" s="14"/>
      <c r="E348" s="14"/>
      <c r="F348" s="14"/>
      <c r="G348" s="14"/>
      <c r="H348" s="14"/>
      <c r="I348" s="14"/>
      <c r="J348" s="14"/>
      <c r="K348" s="14"/>
      <c r="L348" s="14"/>
      <c r="M348" s="14"/>
      <c r="N348" s="89"/>
      <c r="O348" s="89"/>
      <c r="P348" s="89"/>
      <c r="Q348" s="89"/>
      <c r="R348" s="89"/>
      <c r="S348" s="89"/>
      <c r="T348" s="89"/>
      <c r="U348" s="89"/>
      <c r="V348" s="89"/>
      <c r="W348" s="89"/>
      <c r="X348" s="89"/>
      <c r="Y348" s="89"/>
      <c r="Z348" s="89"/>
      <c r="AA348" s="89"/>
      <c r="AB348" s="89"/>
      <c r="AC348" s="89"/>
      <c r="AD348" s="89"/>
      <c r="AE348" s="89"/>
      <c r="AF348" s="89"/>
      <c r="AG348" s="89"/>
      <c r="AH348" s="89"/>
      <c r="AI348" s="89"/>
      <c r="AJ348" s="89"/>
      <c r="AK348" s="89"/>
      <c r="AL348" s="89"/>
      <c r="AM348" s="89"/>
      <c r="AN348" s="89"/>
      <c r="DW348" s="54"/>
      <c r="EA348" s="55"/>
      <c r="EB348" s="55"/>
      <c r="EC348" s="55"/>
      <c r="ED348" s="55"/>
      <c r="EE348" s="55"/>
    </row>
    <row r="349" spans="1:135" x14ac:dyDescent="0.4">
      <c r="A349" s="214"/>
      <c r="B349" s="89"/>
      <c r="C349" s="14"/>
      <c r="D349" s="14"/>
      <c r="E349" s="14"/>
      <c r="F349" s="14"/>
      <c r="G349" s="14"/>
      <c r="H349" s="14"/>
      <c r="I349" s="14"/>
      <c r="J349" s="14"/>
      <c r="K349" s="14"/>
      <c r="L349" s="14"/>
      <c r="M349" s="50"/>
      <c r="N349" s="49"/>
      <c r="O349" s="49"/>
      <c r="P349" s="49"/>
      <c r="Q349" s="49"/>
      <c r="R349" s="49"/>
      <c r="S349" s="120"/>
      <c r="T349" s="120"/>
      <c r="U349" s="120"/>
      <c r="V349" s="49"/>
      <c r="W349" s="120"/>
      <c r="X349" s="120"/>
      <c r="Y349" s="120"/>
      <c r="Z349" s="89"/>
      <c r="AA349" s="89"/>
      <c r="AB349" s="89"/>
      <c r="AC349" s="89"/>
      <c r="AD349" s="89"/>
      <c r="AE349" s="89"/>
      <c r="AF349" s="89"/>
      <c r="AG349" s="89"/>
      <c r="AH349" s="89"/>
      <c r="AI349" s="89"/>
      <c r="AJ349" s="89"/>
      <c r="AK349" s="89"/>
      <c r="AL349" s="89"/>
      <c r="AM349" s="89"/>
      <c r="AN349" s="89"/>
      <c r="AO349" s="49"/>
      <c r="AP349" s="49"/>
      <c r="AQ349" s="49"/>
      <c r="AR349" s="49"/>
      <c r="AS349" s="49"/>
      <c r="AT349" s="49"/>
      <c r="AU349" s="49"/>
      <c r="AV349" s="49"/>
      <c r="AW349" s="49"/>
      <c r="AX349" s="49"/>
      <c r="AY349" s="49"/>
      <c r="AZ349" s="49"/>
      <c r="BA349" s="49"/>
      <c r="BB349" s="49"/>
      <c r="BC349" s="49"/>
      <c r="BD349" s="49"/>
      <c r="BE349" s="49"/>
      <c r="BF349" s="49"/>
      <c r="BG349" s="49"/>
      <c r="BH349" s="49"/>
      <c r="BI349" s="49"/>
      <c r="BJ349" s="49"/>
      <c r="BK349" s="49"/>
      <c r="BL349" s="49"/>
    </row>
    <row r="350" spans="1:135" x14ac:dyDescent="0.4">
      <c r="A350" s="253"/>
      <c r="B350" s="254"/>
      <c r="C350" s="255"/>
      <c r="D350" s="255"/>
      <c r="E350" s="255"/>
      <c r="F350" s="255"/>
      <c r="G350" s="255"/>
      <c r="H350" s="255"/>
      <c r="I350" s="255"/>
      <c r="J350" s="255"/>
      <c r="K350" s="255"/>
      <c r="L350" s="255"/>
      <c r="M350" s="256"/>
      <c r="S350" s="257"/>
      <c r="T350" s="257"/>
      <c r="U350" s="257"/>
      <c r="W350" s="257"/>
      <c r="X350" s="257"/>
      <c r="Y350" s="257"/>
      <c r="Z350" s="254"/>
      <c r="AA350" s="254"/>
      <c r="AB350" s="254"/>
      <c r="AC350" s="254"/>
      <c r="AD350" s="254"/>
      <c r="AE350" s="254"/>
      <c r="AF350" s="254"/>
      <c r="AG350" s="254"/>
      <c r="AH350" s="254"/>
      <c r="AI350" s="254"/>
      <c r="AJ350" s="254"/>
      <c r="AK350" s="254"/>
      <c r="AL350" s="254"/>
      <c r="AM350" s="254"/>
      <c r="AN350" s="254"/>
      <c r="DW350" s="258"/>
      <c r="EA350" s="259"/>
      <c r="EB350" s="259"/>
      <c r="EC350" s="259"/>
      <c r="ED350" s="259"/>
      <c r="EE350" s="259"/>
    </row>
    <row r="351" spans="1:135" x14ac:dyDescent="0.4">
      <c r="A351" s="253"/>
      <c r="B351" s="254"/>
      <c r="C351" s="255"/>
      <c r="D351" s="255"/>
      <c r="E351" s="255"/>
      <c r="F351" s="255"/>
      <c r="G351" s="255"/>
      <c r="H351" s="255"/>
      <c r="I351" s="255"/>
      <c r="J351" s="255"/>
      <c r="K351" s="255"/>
      <c r="L351" s="255"/>
      <c r="M351" s="256"/>
      <c r="S351" s="257"/>
      <c r="T351" s="257"/>
      <c r="U351" s="257"/>
      <c r="W351" s="257"/>
      <c r="X351" s="257"/>
      <c r="Y351" s="257"/>
      <c r="Z351" s="254"/>
      <c r="AA351" s="254"/>
      <c r="AB351" s="254"/>
      <c r="AC351" s="254"/>
      <c r="AD351" s="254"/>
      <c r="AE351" s="254"/>
      <c r="AF351" s="254"/>
      <c r="AG351" s="254"/>
      <c r="AH351" s="254"/>
      <c r="AI351" s="254"/>
      <c r="AJ351" s="254"/>
      <c r="AK351" s="254"/>
      <c r="AL351" s="254"/>
      <c r="AM351" s="254"/>
      <c r="AN351" s="254"/>
      <c r="DW351" s="258"/>
      <c r="EA351" s="259"/>
      <c r="EB351" s="259"/>
      <c r="EC351" s="259"/>
      <c r="ED351" s="259"/>
      <c r="EE351" s="259"/>
    </row>
    <row r="352" spans="1:135" x14ac:dyDescent="0.4">
      <c r="A352" s="221"/>
      <c r="B352" s="89"/>
      <c r="C352" s="14"/>
      <c r="D352" s="14"/>
      <c r="E352" s="14"/>
      <c r="F352" s="14"/>
      <c r="G352" s="14"/>
      <c r="H352" s="14"/>
      <c r="I352" s="14"/>
      <c r="J352" s="14"/>
      <c r="K352" s="14"/>
      <c r="L352" s="14"/>
      <c r="M352" s="14"/>
      <c r="N352" s="89"/>
      <c r="O352" s="89"/>
      <c r="P352" s="89"/>
      <c r="Q352" s="89"/>
      <c r="R352" s="89"/>
      <c r="S352" s="89"/>
      <c r="T352" s="89"/>
      <c r="U352" s="89"/>
      <c r="V352" s="89"/>
      <c r="W352" s="89"/>
      <c r="X352" s="89"/>
      <c r="Y352" s="89"/>
      <c r="Z352" s="89"/>
      <c r="AA352" s="89"/>
      <c r="AB352" s="89"/>
      <c r="AC352" s="89"/>
      <c r="AD352" s="89"/>
      <c r="AE352" s="89"/>
      <c r="AF352" s="89"/>
      <c r="AG352" s="89"/>
      <c r="AH352" s="89"/>
      <c r="AI352" s="89"/>
      <c r="AJ352" s="89"/>
      <c r="AK352" s="89"/>
      <c r="AL352" s="89"/>
      <c r="AM352" s="89"/>
      <c r="AN352" s="89"/>
      <c r="AO352" s="89"/>
      <c r="AP352" s="89"/>
      <c r="AQ352" s="29"/>
      <c r="AR352" s="29"/>
      <c r="AS352" s="29"/>
      <c r="AT352" s="29"/>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49"/>
      <c r="DW352" s="282"/>
      <c r="EA352" s="232"/>
      <c r="EB352" s="232"/>
      <c r="EC352" s="232"/>
      <c r="ED352" s="232"/>
      <c r="EE352" s="232"/>
    </row>
    <row r="353" spans="1:135" x14ac:dyDescent="0.4">
      <c r="A353" s="221"/>
      <c r="B353" s="89"/>
      <c r="C353" s="14"/>
      <c r="D353" s="14"/>
      <c r="E353" s="14"/>
      <c r="F353" s="14"/>
      <c r="G353" s="14"/>
      <c r="H353" s="14"/>
      <c r="I353" s="14"/>
      <c r="J353" s="14"/>
      <c r="K353" s="14"/>
      <c r="L353" s="14"/>
      <c r="M353" s="14"/>
      <c r="N353" s="89"/>
      <c r="O353" s="89"/>
      <c r="P353" s="89"/>
      <c r="Q353" s="89"/>
      <c r="R353" s="89"/>
      <c r="S353" s="89"/>
      <c r="T353" s="89"/>
      <c r="U353" s="89"/>
      <c r="V353" s="89"/>
      <c r="W353" s="89"/>
      <c r="X353" s="89"/>
      <c r="Y353" s="89"/>
      <c r="Z353" s="89"/>
      <c r="AA353" s="261" t="s">
        <v>102</v>
      </c>
      <c r="AB353" s="89"/>
      <c r="AC353" s="89"/>
      <c r="AD353" s="89"/>
      <c r="AE353" s="89"/>
      <c r="AF353" s="89"/>
      <c r="AG353" s="89"/>
      <c r="AH353" s="89"/>
      <c r="AI353" s="89"/>
      <c r="AJ353" s="89"/>
      <c r="AK353" s="89"/>
      <c r="AL353" s="89"/>
      <c r="AM353" s="261" t="s">
        <v>102</v>
      </c>
      <c r="AN353" s="89"/>
      <c r="AO353" s="89"/>
      <c r="AP353" s="89"/>
      <c r="AQ353" s="29"/>
      <c r="AR353" s="29"/>
      <c r="AS353" s="29"/>
      <c r="AT353" s="29"/>
      <c r="AU353" s="29"/>
      <c r="AV353" s="29"/>
      <c r="AW353" s="29"/>
      <c r="AX353" s="29"/>
      <c r="AY353" s="29"/>
      <c r="AZ353" s="261" t="s">
        <v>102</v>
      </c>
      <c r="BA353" s="29"/>
      <c r="BB353" s="29"/>
      <c r="BC353" s="29"/>
      <c r="BD353" s="29"/>
      <c r="BE353" s="29"/>
      <c r="BF353" s="29"/>
      <c r="BG353" s="29"/>
      <c r="BH353" s="29"/>
      <c r="BI353" s="29"/>
      <c r="BJ353" s="261" t="s">
        <v>102</v>
      </c>
      <c r="BK353" s="29"/>
      <c r="BL353" s="29"/>
      <c r="BM353" s="29"/>
      <c r="BN353" s="29"/>
      <c r="BO353" s="29"/>
      <c r="BP353" s="49"/>
      <c r="BR353" s="261" t="s">
        <v>102</v>
      </c>
      <c r="BY353" s="261" t="s">
        <v>102</v>
      </c>
      <c r="CG353" s="261" t="s">
        <v>102</v>
      </c>
      <c r="CP353" s="261" t="s">
        <v>102</v>
      </c>
      <c r="DV353" s="261" t="s">
        <v>102</v>
      </c>
      <c r="DW353" s="282"/>
      <c r="EA353" s="232"/>
      <c r="EB353" s="232"/>
      <c r="EC353" s="232"/>
      <c r="ED353" s="232"/>
      <c r="EE353" s="232"/>
    </row>
    <row r="354" spans="1:135" x14ac:dyDescent="0.4">
      <c r="A354" s="261" t="s">
        <v>102</v>
      </c>
      <c r="B354" s="695"/>
      <c r="C354" s="695"/>
      <c r="D354" s="113"/>
      <c r="E354" s="113"/>
      <c r="F354" s="113"/>
      <c r="G354" s="113"/>
      <c r="H354" s="113"/>
      <c r="I354" s="113"/>
      <c r="J354" s="113"/>
      <c r="K354" s="113"/>
      <c r="L354" s="113"/>
      <c r="M354" s="113"/>
      <c r="N354" s="114"/>
      <c r="O354" s="114"/>
      <c r="P354" s="114"/>
      <c r="Q354" s="114"/>
      <c r="R354" s="114"/>
      <c r="S354" s="114"/>
      <c r="T354" s="114"/>
      <c r="U354" s="114"/>
      <c r="V354" s="114"/>
      <c r="W354" s="114"/>
      <c r="X354" s="114"/>
      <c r="Y354" s="114"/>
      <c r="Z354" s="114"/>
      <c r="AA354" s="114"/>
      <c r="AB354" s="114"/>
      <c r="AC354" s="114"/>
      <c r="AD354" s="114"/>
      <c r="AE354" s="114"/>
      <c r="AF354" s="114"/>
      <c r="AG354" s="114"/>
      <c r="AH354" s="114"/>
      <c r="AI354" s="114"/>
      <c r="AJ354" s="114"/>
      <c r="AK354" s="114"/>
      <c r="AL354" s="114"/>
      <c r="AM354" s="114"/>
      <c r="AN354" s="114"/>
      <c r="AO354" s="89"/>
      <c r="AP354" s="89"/>
    </row>
    <row r="355" spans="1:135" x14ac:dyDescent="0.4">
      <c r="B355" s="694"/>
      <c r="C355" s="694"/>
      <c r="D355" s="113"/>
      <c r="E355" s="113"/>
      <c r="F355" s="113"/>
      <c r="G355" s="113"/>
      <c r="H355" s="113"/>
      <c r="I355" s="113"/>
      <c r="J355" s="113"/>
      <c r="K355" s="113"/>
      <c r="L355" s="113"/>
      <c r="M355" s="113"/>
      <c r="N355" s="114"/>
      <c r="O355" s="114"/>
      <c r="P355" s="114"/>
      <c r="Q355" s="114"/>
      <c r="R355" s="114"/>
      <c r="S355" s="114"/>
      <c r="T355" s="114"/>
      <c r="U355" s="114"/>
      <c r="V355" s="114"/>
      <c r="W355" s="114"/>
      <c r="X355" s="114"/>
      <c r="Y355" s="114"/>
      <c r="Z355" s="114"/>
      <c r="AA355" s="114"/>
      <c r="AC355" s="114"/>
      <c r="AD355" s="114"/>
      <c r="AE355" s="114"/>
      <c r="AF355" s="114"/>
      <c r="AG355" s="114"/>
      <c r="AH355" s="114"/>
      <c r="AI355" s="114"/>
      <c r="AJ355" s="114"/>
      <c r="AK355" s="114"/>
      <c r="AL355" s="114"/>
      <c r="AM355" s="114"/>
      <c r="AN355" s="114"/>
      <c r="AO355" s="89"/>
      <c r="DW355" s="54"/>
      <c r="EA355" s="55"/>
      <c r="EB355" s="55"/>
      <c r="EC355" s="55"/>
      <c r="ED355" s="55"/>
      <c r="EE355" s="55"/>
    </row>
    <row r="356" spans="1:135" ht="12.6" thickBot="1" x14ac:dyDescent="0.45">
      <c r="A356" s="233"/>
      <c r="B356" s="679"/>
      <c r="C356" s="679"/>
      <c r="D356" s="113"/>
      <c r="E356" s="113"/>
      <c r="F356" s="113"/>
      <c r="G356" s="113"/>
      <c r="H356" s="113"/>
      <c r="I356" s="113"/>
      <c r="J356" s="113"/>
      <c r="K356" s="113"/>
      <c r="L356" s="113"/>
      <c r="M356" s="113"/>
      <c r="N356" s="114"/>
      <c r="O356" s="114"/>
      <c r="P356" s="114"/>
      <c r="Q356" s="114"/>
      <c r="R356" s="114"/>
      <c r="S356" s="114"/>
      <c r="T356" s="114"/>
      <c r="U356" s="114"/>
      <c r="V356" s="114"/>
      <c r="W356" s="114"/>
      <c r="X356" s="114"/>
      <c r="Y356" s="114"/>
      <c r="Z356" s="114"/>
      <c r="AA356" s="114"/>
      <c r="AB356" s="114"/>
      <c r="AC356" s="114"/>
      <c r="AD356" s="114"/>
      <c r="AE356" s="114"/>
      <c r="AF356" s="114"/>
      <c r="AG356" s="114"/>
      <c r="AH356" s="114"/>
      <c r="AI356" s="114"/>
      <c r="AJ356" s="114"/>
      <c r="AK356" s="114"/>
      <c r="AL356" s="114"/>
      <c r="AM356" s="114"/>
      <c r="CZ356" s="116"/>
      <c r="DA356" s="116"/>
      <c r="DB356" s="116"/>
      <c r="DC356" s="116"/>
      <c r="DD356" s="116"/>
      <c r="DE356" s="116"/>
      <c r="DF356" s="116"/>
      <c r="DG356" s="116"/>
      <c r="DH356" s="116"/>
      <c r="DI356" s="117" t="str">
        <f>"DJ"&amp;MIN(DK359:DK407)</f>
        <v>DJ359</v>
      </c>
      <c r="DJ356" s="118" t="str">
        <f>"DJ"&amp;MAX(DK359:DK407)</f>
        <v>DJ407</v>
      </c>
      <c r="DK356" s="116"/>
      <c r="DL356" s="117" t="str">
        <f>"DM"&amp;MIN(DN359:DN407)</f>
        <v>DM359</v>
      </c>
      <c r="DM356" s="118" t="str">
        <f>"DM"&amp;MAX(DN359:DN407)</f>
        <v>DM407</v>
      </c>
      <c r="DN356" s="116"/>
      <c r="DO356" s="117" t="str">
        <f>"DP"&amp;MIN(DQ359:DQ407)</f>
        <v>DP359</v>
      </c>
      <c r="DP356" s="118" t="str">
        <f>"DP"&amp;MAX(DQ359:DQ407)</f>
        <v>DP407</v>
      </c>
      <c r="DQ356" s="116"/>
      <c r="DW356" s="119"/>
      <c r="EA356" s="33"/>
      <c r="EB356" s="33"/>
      <c r="EC356" s="33"/>
      <c r="ED356" s="33"/>
      <c r="EE356" s="33"/>
    </row>
    <row r="357" spans="1:135" ht="24.9" thickBot="1" x14ac:dyDescent="0.5">
      <c r="A357" s="676" t="s">
        <v>65</v>
      </c>
      <c r="C357" s="680" t="str">
        <f>A375</f>
        <v>Base Cases</v>
      </c>
      <c r="D357" s="681"/>
      <c r="E357" s="682"/>
      <c r="F357" s="683" t="str">
        <f>A376</f>
        <v>Conservative Cases</v>
      </c>
      <c r="G357" s="684"/>
      <c r="H357" s="685"/>
      <c r="I357" s="686" t="str">
        <f>A377</f>
        <v>Ambitious Cases</v>
      </c>
      <c r="J357" s="687"/>
      <c r="K357" s="688"/>
      <c r="L357" s="692" t="str">
        <f>A378</f>
        <v>Maximum Cases</v>
      </c>
      <c r="M357" s="693"/>
      <c r="O357" s="122"/>
      <c r="P357" s="122"/>
      <c r="Q357" s="122"/>
      <c r="W357" s="691" t="s">
        <v>66</v>
      </c>
      <c r="X357" s="691"/>
      <c r="Y357" s="691"/>
      <c r="Z357" s="120"/>
      <c r="AA357" s="1274" t="s">
        <v>1061</v>
      </c>
      <c r="AB357" s="1274"/>
      <c r="AC357" s="1274"/>
      <c r="AD357" s="120"/>
      <c r="AE357" s="120"/>
      <c r="AF357" s="120"/>
      <c r="AG357" s="120"/>
      <c r="AH357" s="120"/>
      <c r="AI357" s="120"/>
      <c r="AJ357" s="120"/>
      <c r="AK357" s="120"/>
      <c r="AL357" s="120"/>
      <c r="AM357" s="120"/>
      <c r="AN357" s="120"/>
      <c r="BR357" s="121" t="s">
        <v>67</v>
      </c>
      <c r="BS357" s="121"/>
      <c r="BT357" s="121"/>
      <c r="BU357" s="121"/>
      <c r="BV357" s="121"/>
      <c r="BW357" s="122"/>
      <c r="BY357" s="121" t="s">
        <v>68</v>
      </c>
      <c r="BZ357" s="121"/>
      <c r="CA357" s="121"/>
      <c r="CB357" s="121"/>
      <c r="CC357" s="121"/>
      <c r="CD357" s="121"/>
      <c r="CG357" s="121" t="s">
        <v>69</v>
      </c>
      <c r="CH357" s="121"/>
      <c r="CI357" s="121"/>
      <c r="CJ357" s="121"/>
      <c r="CK357" s="121"/>
      <c r="CL357" s="121"/>
      <c r="CM357" s="121"/>
      <c r="CP357" s="121" t="s">
        <v>70</v>
      </c>
      <c r="CQ357" s="121"/>
      <c r="CR357" s="121"/>
      <c r="CS357" s="121"/>
      <c r="CT357" s="121"/>
      <c r="CU357" s="121"/>
      <c r="CZ357" s="123"/>
      <c r="DA357" s="123"/>
      <c r="DB357" s="123"/>
      <c r="DC357" s="123"/>
      <c r="DD357" s="123"/>
      <c r="DE357" s="123"/>
      <c r="DF357" s="123"/>
      <c r="DG357" s="123"/>
      <c r="DH357" s="123"/>
      <c r="DI357" s="124" t="str">
        <f>"DI"&amp;MIN(DK359:DK407)</f>
        <v>DI359</v>
      </c>
      <c r="DJ357" s="125" t="str">
        <f>"DI"&amp;MAX(DK359:DK407)</f>
        <v>DI407</v>
      </c>
      <c r="DK357" s="123"/>
      <c r="DL357" s="124" t="str">
        <f>"DL"&amp;MIN(DN359:DN407)</f>
        <v>DL359</v>
      </c>
      <c r="DM357" s="125" t="str">
        <f>"DL"&amp;MAX(DN359:DN407)</f>
        <v>DL407</v>
      </c>
      <c r="DN357" s="123"/>
      <c r="DO357" s="124" t="str">
        <f>"DO"&amp;MIN(DQ359:DQ407)</f>
        <v>DO359</v>
      </c>
      <c r="DP357" s="125" t="str">
        <f>"DO"&amp;MAX(DQ359:DQ407)</f>
        <v>DO407</v>
      </c>
      <c r="DQ357" s="123"/>
      <c r="DV357" s="126" t="s">
        <v>71</v>
      </c>
      <c r="DZ357" s="127" t="s">
        <v>72</v>
      </c>
      <c r="EA357" s="284" t="str">
        <f>$L$29</f>
        <v>3rd Poly</v>
      </c>
    </row>
    <row r="358" spans="1:135" ht="86.4" thickBot="1" x14ac:dyDescent="0.5">
      <c r="A358" s="676" t="s">
        <v>73</v>
      </c>
      <c r="B358" s="128"/>
      <c r="C358" s="988" t="str">
        <f>A359</f>
        <v>Based on World Bank, What a Waste 2.0</v>
      </c>
      <c r="D358" s="996" t="str">
        <f>A360</f>
        <v>Based on Hoornweg et al (2014)</v>
      </c>
      <c r="E358" s="997" t="str">
        <f>A361</f>
        <v>[Source 3]</v>
      </c>
      <c r="F358" s="988" t="str">
        <f>A362</f>
        <v>[Source 1]</v>
      </c>
      <c r="G358" s="996" t="str">
        <f>A363</f>
        <v>[Source 2]</v>
      </c>
      <c r="H358" s="997" t="str">
        <f>A364</f>
        <v>[Source 3]</v>
      </c>
      <c r="I358" s="1119" t="str">
        <f>A365</f>
        <v>Based on  IEA Annex I – Municipal solid waste potential in cities; Table I.1</v>
      </c>
      <c r="J358" s="130" t="str">
        <f>A366</f>
        <v>[Source 2]</v>
      </c>
      <c r="K358" s="131" t="str">
        <f>A367</f>
        <v>[Source 3]</v>
      </c>
      <c r="L358" s="129" t="str">
        <f>A368</f>
        <v>[Source 1]</v>
      </c>
      <c r="M358" s="131" t="str">
        <f>A369</f>
        <v>[Source 2]</v>
      </c>
      <c r="N358" s="234" t="s">
        <v>74</v>
      </c>
      <c r="O358" s="133"/>
      <c r="P358" s="133"/>
      <c r="Q358" s="133"/>
      <c r="R358" s="135" t="s">
        <v>76</v>
      </c>
      <c r="S358" s="134" t="s">
        <v>77</v>
      </c>
      <c r="T358" s="134" t="s">
        <v>78</v>
      </c>
      <c r="U358" s="136" t="s">
        <v>79</v>
      </c>
      <c r="V358" s="691"/>
      <c r="W358" s="136" t="s">
        <v>15</v>
      </c>
      <c r="X358" s="134" t="s">
        <v>21</v>
      </c>
      <c r="Y358" s="136" t="s">
        <v>25</v>
      </c>
      <c r="AA358" s="136" t="s">
        <v>15</v>
      </c>
      <c r="AB358" s="134" t="s">
        <v>21</v>
      </c>
      <c r="AC358" s="136" t="s">
        <v>25</v>
      </c>
      <c r="AD358" s="138"/>
      <c r="AE358" s="138"/>
      <c r="AF358" s="138"/>
      <c r="AG358" s="138"/>
      <c r="AH358" s="138"/>
      <c r="AI358" s="138"/>
      <c r="AJ358" s="138"/>
      <c r="AK358" s="138"/>
      <c r="AL358" s="138"/>
      <c r="AM358" s="138"/>
      <c r="AN358" s="138"/>
      <c r="BR358" s="139"/>
      <c r="BS358" s="139"/>
      <c r="BT358" s="139"/>
      <c r="BU358" s="139"/>
      <c r="BV358" s="139"/>
      <c r="BW358" s="122"/>
      <c r="BZ358" s="139"/>
      <c r="CA358" s="139"/>
      <c r="CB358" s="139"/>
      <c r="CC358" s="139"/>
      <c r="CD358" s="139"/>
      <c r="CH358" s="139"/>
      <c r="CI358" s="139"/>
      <c r="CJ358" s="139"/>
      <c r="CK358" s="139"/>
      <c r="CL358" s="139"/>
      <c r="CM358" s="139"/>
      <c r="CQ358" s="139"/>
      <c r="CR358" s="139"/>
      <c r="CS358" s="139"/>
      <c r="CT358" s="139"/>
      <c r="CU358" s="139"/>
      <c r="CZ358" s="140"/>
      <c r="DA358" s="140"/>
      <c r="DB358" s="140"/>
      <c r="DC358" s="140"/>
      <c r="DD358" s="141"/>
      <c r="DE358" s="141"/>
      <c r="DF358" s="141"/>
      <c r="DG358" s="141"/>
      <c r="DH358" s="140"/>
      <c r="DI358" s="142"/>
      <c r="DJ358" s="143"/>
      <c r="DK358" s="144"/>
      <c r="DL358" s="142"/>
      <c r="DM358" s="143"/>
      <c r="DN358" s="140"/>
      <c r="DO358" s="142"/>
      <c r="DP358" s="143"/>
      <c r="DQ358" s="140"/>
      <c r="DV358" s="145">
        <v>2014</v>
      </c>
      <c r="DW358" s="235">
        <f t="shared" ref="DW358:DW404" ca="1" si="178">IF($J$29="N","",IF($L$29="Linear",BV363,IF($L$29="2nd Poly",CD363,IF($L$29="3rd Poly",CM363,IF($L$29="Exp",CT363)))))</f>
        <v>225.70236884361898</v>
      </c>
      <c r="EA358" s="33" t="str">
        <f>$M$29</f>
        <v>Medium</v>
      </c>
      <c r="EB358" s="33"/>
      <c r="EC358" s="33"/>
      <c r="ED358" s="33"/>
      <c r="EE358" s="33"/>
    </row>
    <row r="359" spans="1:135" ht="14.1" thickBot="1" x14ac:dyDescent="0.5">
      <c r="A359" s="948" t="s">
        <v>1032</v>
      </c>
      <c r="B359" s="128">
        <v>2012</v>
      </c>
      <c r="C359" s="1065">
        <v>215.46757990867582</v>
      </c>
      <c r="D359" s="1065">
        <v>215.46757990867582</v>
      </c>
      <c r="E359" s="1066"/>
      <c r="F359" s="1072"/>
      <c r="G359" s="1073"/>
      <c r="H359" s="1074"/>
      <c r="I359" s="1065">
        <v>215.46757990867582</v>
      </c>
      <c r="J359" s="264"/>
      <c r="K359" s="239"/>
      <c r="L359" s="190"/>
      <c r="M359" s="239"/>
      <c r="N359" s="29" t="s">
        <v>119</v>
      </c>
      <c r="O359" s="120"/>
      <c r="P359" s="120"/>
      <c r="Q359" s="120"/>
      <c r="R359" s="29">
        <v>-2</v>
      </c>
      <c r="S359" s="238">
        <f t="shared" ref="S359:S407" si="179">IF(MIN(C359:Q359)=0,"",MIN(C359:Q359))</f>
        <v>215.46757990867582</v>
      </c>
      <c r="T359" s="238">
        <f t="shared" ref="T359:T407" si="180">IF(MAX(C359:Q359)=0,"",MAX(C359:Q359))</f>
        <v>215.46757990867582</v>
      </c>
      <c r="U359" s="238">
        <f t="shared" ref="U359:U407" si="181">IF(T359="","",_xlfn.STDEV.P(C359:Q359))</f>
        <v>0</v>
      </c>
      <c r="V359" s="29"/>
      <c r="W359" s="238">
        <f t="shared" ref="W359:W407" si="182">IF(U359="",#N/A,X359-(U359*$Q$29))</f>
        <v>215.46757990867582</v>
      </c>
      <c r="X359" s="238">
        <f t="shared" ref="X359:X390" si="183">IF(U359="",#N/A,(SUM(C359:Q359)/COUNTIFS(C359:Q359,"&gt;0")))</f>
        <v>215.46757990867582</v>
      </c>
      <c r="Y359" s="238">
        <f t="shared" ref="Y359:Y407" si="184">IF(U359="",#N/A,X359+(U359*$Q$28))</f>
        <v>215.46757990867582</v>
      </c>
      <c r="AA359" s="1133">
        <v>215.46757990867582</v>
      </c>
      <c r="AB359" s="1133">
        <v>215.46757990867582</v>
      </c>
      <c r="AC359" s="1133">
        <v>215.46757990867582</v>
      </c>
      <c r="AD359" s="138"/>
      <c r="AE359" s="138"/>
      <c r="AF359" s="138"/>
      <c r="AG359" s="138"/>
      <c r="AH359" s="138"/>
      <c r="AI359" s="138"/>
      <c r="AJ359" s="138"/>
      <c r="AK359" s="138"/>
      <c r="AL359" s="138"/>
      <c r="AM359" s="138"/>
      <c r="AN359" s="138"/>
      <c r="BR359" s="691" t="s">
        <v>81</v>
      </c>
      <c r="BS359" s="65" t="str">
        <f>$M$29</f>
        <v>Medium</v>
      </c>
      <c r="BT359" s="691" t="s">
        <v>82</v>
      </c>
      <c r="BU359" s="691" t="s">
        <v>83</v>
      </c>
      <c r="BW359" s="133"/>
      <c r="BY359" s="691" t="s">
        <v>81</v>
      </c>
      <c r="BZ359" s="65" t="str">
        <f>$M$29</f>
        <v>Medium</v>
      </c>
      <c r="CA359" s="691" t="s">
        <v>84</v>
      </c>
      <c r="CB359" s="691" t="s">
        <v>82</v>
      </c>
      <c r="CC359" s="691" t="s">
        <v>83</v>
      </c>
      <c r="CG359" s="691" t="s">
        <v>81</v>
      </c>
      <c r="CH359" s="65" t="str">
        <f>$M$29</f>
        <v>Medium</v>
      </c>
      <c r="CI359" s="691" t="s">
        <v>85</v>
      </c>
      <c r="CJ359" s="691" t="s">
        <v>84</v>
      </c>
      <c r="CK359" s="691" t="s">
        <v>82</v>
      </c>
      <c r="CL359" s="691" t="s">
        <v>83</v>
      </c>
      <c r="CP359" s="691" t="s">
        <v>81</v>
      </c>
      <c r="CQ359" s="65" t="str">
        <f>$M$29</f>
        <v>Medium</v>
      </c>
      <c r="CR359" s="691" t="s">
        <v>86</v>
      </c>
      <c r="CS359" s="691" t="s">
        <v>87</v>
      </c>
      <c r="CZ359" s="155" t="b">
        <f t="shared" ref="CZ359:DB398" si="185">ISNUMBER(W359)</f>
        <v>1</v>
      </c>
      <c r="DA359" s="156" t="b">
        <f t="shared" si="185"/>
        <v>1</v>
      </c>
      <c r="DB359" s="157" t="b">
        <f t="shared" si="185"/>
        <v>1</v>
      </c>
      <c r="DC359" s="155">
        <f t="shared" ref="DC359:DC407" si="186">IF(CZ359=TRUE,$R359,"")</f>
        <v>-2</v>
      </c>
      <c r="DD359" s="157">
        <f t="shared" ref="DD359:DD407" si="187">IF(CZ359=TRUE,W359,"")</f>
        <v>215.46757990867582</v>
      </c>
      <c r="DE359" s="155">
        <f t="shared" ref="DE359:DE407" si="188">IF(DA359=TRUE,$R359,"")</f>
        <v>-2</v>
      </c>
      <c r="DF359" s="157">
        <f t="shared" ref="DF359:DF407" si="189">IF(DA359=TRUE,X359,"")</f>
        <v>215.46757990867582</v>
      </c>
      <c r="DG359" s="155">
        <f t="shared" ref="DG359:DG407" si="190">IF(DB359=TRUE,$R359,"")</f>
        <v>-2</v>
      </c>
      <c r="DH359" s="157">
        <f t="shared" ref="DH359:DH407" si="191">IF(DB359=TRUE,Y359,"")</f>
        <v>215.46757990867582</v>
      </c>
      <c r="DI359" s="155">
        <f>IFERROR(INDEX(DC$359:DC$407,_xlfn.AGGREGATE(15,6,(ROW(DC$359:DC$407)-ROW(DC$359)+1)/(DC$359:DC$407&lt;&gt;""),ROWS(DI$1:DI1))),"")</f>
        <v>-2</v>
      </c>
      <c r="DJ359" s="156">
        <f>IFERROR(INDEX(DD$359:DD$407,_xlfn.AGGREGATE(15,6,(ROW(DD$359:DD$407)-ROW(DD$359)+1)/(DD$359:DD$407&lt;&gt;""),ROWS(DJ$1:DJ1))),"")</f>
        <v>215.46757990867582</v>
      </c>
      <c r="DK359" s="157">
        <f t="shared" ref="DK359:DK407" si="192">IF(ISNUMBER(DI359),ROW(DI359),"")</f>
        <v>359</v>
      </c>
      <c r="DL359" s="155">
        <f>IFERROR(INDEX(DE$359:DE$407,_xlfn.AGGREGATE(15,6,(ROW(DE$359:DE$407)-ROW(DE$359)+1)/(DE$359:DE$407&lt;&gt;""),ROWS(DL$1:DL1))),"")</f>
        <v>-2</v>
      </c>
      <c r="DM359" s="156">
        <f>IFERROR(INDEX(DF$359:DF$407,_xlfn.AGGREGATE(15,6,(ROW(DF$359:DF$407)-ROW(DF$359)+1)/(DF$359:DF$407&lt;&gt;""),ROWS(DM$1:DM1))),"")</f>
        <v>215.46757990867582</v>
      </c>
      <c r="DN359" s="157">
        <f t="shared" ref="DN359:DN407" si="193">IF(ISNUMBER(DI359),ROW(DI359),"")</f>
        <v>359</v>
      </c>
      <c r="DO359" s="155">
        <f>IFERROR(INDEX(DG$359:DG$407,_xlfn.AGGREGATE(15,6,(ROW(DG$359:DG$407)-ROW(DG$359)+1)/(DG$359:DG$407&lt;&gt;""),ROWS(DO$1:DO1))),"")</f>
        <v>-2</v>
      </c>
      <c r="DP359" s="156">
        <f>IFERROR(INDEX(DH$359:DH$407,_xlfn.AGGREGATE(15,6,(ROW(DH$359:DH$407)-ROW(DH$359)+1)/(DH$359:DH$407&lt;&gt;""),ROWS(DP$1:DP1))),"")</f>
        <v>215.46757990867582</v>
      </c>
      <c r="DQ359" s="157">
        <f t="shared" ref="DQ359:DQ407" si="194">IF(ISNUMBER(DL359),ROW(DL359),"")</f>
        <v>359</v>
      </c>
      <c r="DV359" s="145">
        <v>2015</v>
      </c>
      <c r="DW359" s="235">
        <f t="shared" ca="1" si="178"/>
        <v>232.5612976247715</v>
      </c>
      <c r="EA359" s="33"/>
      <c r="EB359" s="33"/>
      <c r="EC359" s="33"/>
      <c r="ED359" s="33"/>
      <c r="EE359" s="33"/>
    </row>
    <row r="360" spans="1:135" ht="13.8" x14ac:dyDescent="0.45">
      <c r="A360" s="948" t="s">
        <v>1037</v>
      </c>
      <c r="B360" s="128">
        <v>2013</v>
      </c>
      <c r="C360" s="1067">
        <v>219.51586757990867</v>
      </c>
      <c r="D360" s="1067">
        <v>219.51586757990867</v>
      </c>
      <c r="E360" s="1068"/>
      <c r="F360" s="1053"/>
      <c r="G360" s="1054"/>
      <c r="H360" s="1064"/>
      <c r="I360" s="1143">
        <v>219.51586757990867</v>
      </c>
      <c r="J360" s="264"/>
      <c r="K360" s="239"/>
      <c r="L360" s="190"/>
      <c r="M360" s="239"/>
      <c r="N360" s="29" t="s">
        <v>119</v>
      </c>
      <c r="O360" s="120"/>
      <c r="P360" s="120"/>
      <c r="Q360" s="120"/>
      <c r="R360" s="29">
        <v>-1</v>
      </c>
      <c r="S360" s="238">
        <f t="shared" si="179"/>
        <v>219.51586757990867</v>
      </c>
      <c r="T360" s="238">
        <f t="shared" si="180"/>
        <v>219.51586757990867</v>
      </c>
      <c r="U360" s="238">
        <f t="shared" si="181"/>
        <v>0</v>
      </c>
      <c r="V360" s="29"/>
      <c r="W360" s="238">
        <f t="shared" si="182"/>
        <v>219.51586757990867</v>
      </c>
      <c r="X360" s="238">
        <f t="shared" si="183"/>
        <v>219.51586757990867</v>
      </c>
      <c r="Y360" s="238">
        <f t="shared" si="184"/>
        <v>219.51586757990867</v>
      </c>
      <c r="AA360" s="1133">
        <v>219.51586757990867</v>
      </c>
      <c r="AB360" s="1133">
        <v>219.51586757990867</v>
      </c>
      <c r="AC360" s="1133">
        <v>219.51586757990867</v>
      </c>
      <c r="AD360" s="138"/>
      <c r="AE360" s="138"/>
      <c r="AF360" s="138"/>
      <c r="AG360" s="138"/>
      <c r="AH360" s="138"/>
      <c r="AI360" s="138"/>
      <c r="AJ360" s="138"/>
      <c r="AK360" s="138"/>
      <c r="AL360" s="138"/>
      <c r="AM360" s="138"/>
      <c r="AN360" s="138"/>
      <c r="BS360" s="160" t="s">
        <v>25</v>
      </c>
      <c r="BT360" s="161">
        <f>SLOPE((DH359:DH407),($B$46:$B$94))</f>
        <v>5.3499870638949671</v>
      </c>
      <c r="BU360" s="162">
        <f>INTERCEPT(DP359:DP407,DO359:DO407)</f>
        <v>248.92772849632871</v>
      </c>
      <c r="BW360" s="133"/>
      <c r="BZ360" s="160" t="s">
        <v>25</v>
      </c>
      <c r="CA360" s="161">
        <f ca="1">INDEX(LINEST((INDIRECT(DO356):INDIRECT(DP356)),(INDIRECT(DO357):INDIRECT(DP357))^{1,2}),1)</f>
        <v>-4.517381727902741E-2</v>
      </c>
      <c r="CB360" s="163">
        <f ca="1">INDEX(LINEST((INDIRECT(DO356):INDIRECT(DP356)),(INDIRECT(DO357):INDIRECT(DP357))^{1,2}),1,2)</f>
        <v>7.3376350241721742</v>
      </c>
      <c r="CC360" s="162">
        <f ca="1">INDEX(LINEST((INDIRECT(DO356):INDIRECT(DP356)),(INDIRECT(DO357):INDIRECT(DP357))^{1,2}),1,3)</f>
        <v>236.09836438908494</v>
      </c>
      <c r="CH360" s="160" t="s">
        <v>25</v>
      </c>
      <c r="CI360" s="161">
        <f ca="1">INDEX(LINEST((INDIRECT(DO356):INDIRECT(DP356)),(INDIRECT(DO357):INDIRECT(DP357))^{1,2,3}),1)</f>
        <v>2.4608121533355697E-3</v>
      </c>
      <c r="CJ360" s="163">
        <f ca="1">INDEX(LINEST((INDIRECT(DO356):INDIRECT(DP356)),(INDIRECT(DO357):INDIRECT(DP357))^{1,2,3}),1,2)</f>
        <v>-0.20758741939917505</v>
      </c>
      <c r="CK360" s="163">
        <f ca="1">INDEX(LINEST((INDIRECT(DO356):INDIRECT(DP356)),(INDIRECT(DO357):INDIRECT(DP357))^{1,2,3}),1,3)</f>
        <v>10.025334058045287</v>
      </c>
      <c r="CL360" s="162">
        <f ca="1">INDEX(LINEST((INDIRECT(DO356):INDIRECT(DP356)),(INDIRECT(DO357):INDIRECT(DP357))^{1,2,3}),1,4)</f>
        <v>229.37444126131075</v>
      </c>
      <c r="CQ360" s="160" t="s">
        <v>25</v>
      </c>
      <c r="CR360" s="161">
        <f ca="1">EXP(INDEX(LINEST(LN(INDIRECT(DO356):INDIRECT(DP356)),(INDIRECT(DO357):INDIRECT(DP357))),1,2))</f>
        <v>254.96286637280554</v>
      </c>
      <c r="CS360" s="162">
        <f ca="1">INDEX(LINEST(LN(INDIRECT(DO356):INDIRECT(DP356)),(INDIRECT(DO357):INDIRECT(DP357))),1)</f>
        <v>1.541975355237157E-2</v>
      </c>
      <c r="CZ360" s="164" t="b">
        <f t="shared" si="185"/>
        <v>1</v>
      </c>
      <c r="DA360" s="165" t="b">
        <f t="shared" si="185"/>
        <v>1</v>
      </c>
      <c r="DB360" s="166" t="b">
        <f t="shared" si="185"/>
        <v>1</v>
      </c>
      <c r="DC360" s="164">
        <f t="shared" si="186"/>
        <v>-1</v>
      </c>
      <c r="DD360" s="166">
        <f t="shared" si="187"/>
        <v>219.51586757990867</v>
      </c>
      <c r="DE360" s="164">
        <f t="shared" si="188"/>
        <v>-1</v>
      </c>
      <c r="DF360" s="166">
        <f t="shared" si="189"/>
        <v>219.51586757990867</v>
      </c>
      <c r="DG360" s="164">
        <f t="shared" si="190"/>
        <v>-1</v>
      </c>
      <c r="DH360" s="166">
        <f t="shared" si="191"/>
        <v>219.51586757990867</v>
      </c>
      <c r="DI360" s="164">
        <f>IFERROR(INDEX(DC$359:DC$407,_xlfn.AGGREGATE(15,6,(ROW(DC$359:DC$407)-ROW(DC$359)+1)/(DC$359:DC$407&lt;&gt;""),ROWS(DI$1:DI2))),"")</f>
        <v>-1</v>
      </c>
      <c r="DJ360" s="165">
        <f>IFERROR(INDEX(DD$359:DD$407,_xlfn.AGGREGATE(15,6,(ROW(DD$359:DD$407)-ROW(DD$359)+1)/(DD$359:DD$407&lt;&gt;""),ROWS(DJ$1:DJ2))),"")</f>
        <v>219.51586757990867</v>
      </c>
      <c r="DK360" s="166">
        <f t="shared" si="192"/>
        <v>360</v>
      </c>
      <c r="DL360" s="164">
        <f>IFERROR(INDEX(DE$359:DE$407,_xlfn.AGGREGATE(15,6,(ROW(DE$359:DE$407)-ROW(DE$359)+1)/(DE$359:DE$407&lt;&gt;""),ROWS(DL$1:DL2))),"")</f>
        <v>-1</v>
      </c>
      <c r="DM360" s="165">
        <f>IFERROR(INDEX(DF$359:DF$407,_xlfn.AGGREGATE(15,6,(ROW(DF$359:DF$407)-ROW(DF$359)+1)/(DF$359:DF$407&lt;&gt;""),ROWS(DM$1:DM2))),"")</f>
        <v>219.51586757990867</v>
      </c>
      <c r="DN360" s="166">
        <f t="shared" si="193"/>
        <v>360</v>
      </c>
      <c r="DO360" s="164">
        <f>IFERROR(INDEX(DG$359:DG$407,_xlfn.AGGREGATE(15,6,(ROW(DG$359:DG$407)-ROW(DG$359)+1)/(DG$359:DG$407&lt;&gt;""),ROWS(DO$1:DO2))),"")</f>
        <v>-1</v>
      </c>
      <c r="DP360" s="165">
        <f>IFERROR(INDEX(DH$359:DH$407,_xlfn.AGGREGATE(15,6,(ROW(DH$359:DH$407)-ROW(DH$359)+1)/(DH$359:DH$407&lt;&gt;""),ROWS(DP$1:DP2))),"")</f>
        <v>219.51586757990867</v>
      </c>
      <c r="DQ360" s="166">
        <f t="shared" si="194"/>
        <v>360</v>
      </c>
      <c r="DV360" s="145">
        <v>2016</v>
      </c>
      <c r="DW360" s="235">
        <f t="shared" ca="1" si="178"/>
        <v>239.27082916905653</v>
      </c>
      <c r="EA360" s="33"/>
      <c r="EB360" s="33"/>
      <c r="EC360" s="33"/>
      <c r="ED360" s="33"/>
      <c r="EE360" s="33"/>
    </row>
    <row r="361" spans="1:135" ht="13.8" x14ac:dyDescent="0.45">
      <c r="A361" s="948" t="s">
        <v>90</v>
      </c>
      <c r="B361" s="128">
        <v>2014</v>
      </c>
      <c r="C361" s="1067">
        <v>223.56415525114156</v>
      </c>
      <c r="D361" s="1067">
        <v>223.56415525114156</v>
      </c>
      <c r="E361" s="1068"/>
      <c r="F361" s="1053"/>
      <c r="G361" s="1054"/>
      <c r="H361" s="1034"/>
      <c r="I361" s="1143">
        <v>223.56415525114156</v>
      </c>
      <c r="J361" s="168"/>
      <c r="K361" s="169"/>
      <c r="L361" s="170"/>
      <c r="M361" s="169"/>
      <c r="N361" s="29" t="s">
        <v>119</v>
      </c>
      <c r="O361" s="120"/>
      <c r="P361" s="120"/>
      <c r="Q361" s="120"/>
      <c r="R361" s="29">
        <v>0</v>
      </c>
      <c r="S361" s="238">
        <f t="shared" si="179"/>
        <v>223.56415525114156</v>
      </c>
      <c r="T361" s="238">
        <f t="shared" si="180"/>
        <v>223.56415525114156</v>
      </c>
      <c r="U361" s="238">
        <f t="shared" si="181"/>
        <v>0</v>
      </c>
      <c r="V361" s="29"/>
      <c r="W361" s="238">
        <f t="shared" si="182"/>
        <v>223.56415525114156</v>
      </c>
      <c r="X361" s="238">
        <f t="shared" si="183"/>
        <v>223.56415525114156</v>
      </c>
      <c r="Y361" s="238">
        <f t="shared" si="184"/>
        <v>223.56415525114156</v>
      </c>
      <c r="AA361" s="1133">
        <v>223.56415525114156</v>
      </c>
      <c r="AB361" s="1133">
        <v>223.56415525114156</v>
      </c>
      <c r="AC361" s="1133">
        <v>223.56415525114156</v>
      </c>
      <c r="AD361" s="138"/>
      <c r="AE361" s="138"/>
      <c r="AF361" s="138"/>
      <c r="AG361" s="138"/>
      <c r="AH361" s="138"/>
      <c r="AI361" s="138"/>
      <c r="AJ361" s="138"/>
      <c r="AK361" s="138"/>
      <c r="AL361" s="138"/>
      <c r="AM361" s="138"/>
      <c r="AN361" s="138"/>
      <c r="BS361" s="160" t="s">
        <v>91</v>
      </c>
      <c r="BT361" s="172">
        <f>SLOPE((DF359:DF407),($B$46:$B$94))</f>
        <v>4.7788222200607535</v>
      </c>
      <c r="BU361" s="173">
        <f>INTERCEPT(DM359:DM407,DL359:DL407)</f>
        <v>236.71362084506296</v>
      </c>
      <c r="BZ361" s="160" t="s">
        <v>91</v>
      </c>
      <c r="CA361" s="172">
        <f ca="1">INDEX(LINEST((INDIRECT(DL356):INDIRECT(DM356)),(INDIRECT(DL357):INDIRECT(DM357))^{1,2}),1)</f>
        <v>-3.2296523066746234E-2</v>
      </c>
      <c r="CB361" s="174">
        <f ca="1">INDEX(LINEST((INDIRECT(DL356):INDIRECT(DM356)),(INDIRECT(DL357):INDIRECT(DM357))^{1,2}),1,2)</f>
        <v>6.1998692349975855</v>
      </c>
      <c r="CC361" s="173">
        <f ca="1">INDEX(LINEST((INDIRECT(DL356):INDIRECT(DM356)),(INDIRECT(DL357):INDIRECT(DM357))^{1,2}),1,3)</f>
        <v>227.54140829410704</v>
      </c>
      <c r="CH361" s="160" t="s">
        <v>91</v>
      </c>
      <c r="CI361" s="172">
        <f ca="1">INDEX(LINEST((INDIRECT(DL356):INDIRECT(DM356)),(INDIRECT(DL357):INDIRECT(DM357))^{1,2,3}),1)</f>
        <v>6.7304913280923952E-4</v>
      </c>
      <c r="CJ361" s="174">
        <f ca="1">INDEX(LINEST((INDIRECT(DL356):INDIRECT(DM356)),(INDIRECT(DL357):INDIRECT(DM357))^{1,2,3}),1,2)</f>
        <v>-7.6717765832156171E-2</v>
      </c>
      <c r="CK361" s="174">
        <f ca="1">INDEX(LINEST((INDIRECT(DL356):INDIRECT(DM356)),(INDIRECT(DL357):INDIRECT(DM357))^{1,2,3}),1,3)</f>
        <v>6.9349734978518462</v>
      </c>
      <c r="CL361" s="173">
        <f ca="1">INDEX(LINEST((INDIRECT(DL356):INDIRECT(DM356)),(INDIRECT(DL357):INDIRECT(DM357))^{1,2,3}),1,4)</f>
        <v>225.70236884361898</v>
      </c>
      <c r="CQ361" s="160" t="s">
        <v>91</v>
      </c>
      <c r="CR361" s="172">
        <f ca="1">EXP(INDEX(LINEST(LN(INDIRECT(DL356):INDIRECT(DM356)),(INDIRECT(DL357):INDIRECT(DM357))),1,2))</f>
        <v>242.79750986086785</v>
      </c>
      <c r="CS361" s="173">
        <f ca="1">INDEX(LINEST(LN(INDIRECT(DL356):INDIRECT(DM356)),(INDIRECT(DL357):INDIRECT(DM357))),1)</f>
        <v>1.4587805228494058E-2</v>
      </c>
      <c r="CZ361" s="164" t="b">
        <f t="shared" si="185"/>
        <v>1</v>
      </c>
      <c r="DA361" s="165" t="b">
        <f t="shared" si="185"/>
        <v>1</v>
      </c>
      <c r="DB361" s="166" t="b">
        <f t="shared" si="185"/>
        <v>1</v>
      </c>
      <c r="DC361" s="164">
        <f t="shared" si="186"/>
        <v>0</v>
      </c>
      <c r="DD361" s="166">
        <f t="shared" si="187"/>
        <v>223.56415525114156</v>
      </c>
      <c r="DE361" s="164">
        <f t="shared" si="188"/>
        <v>0</v>
      </c>
      <c r="DF361" s="166">
        <f t="shared" si="189"/>
        <v>223.56415525114156</v>
      </c>
      <c r="DG361" s="164">
        <f t="shared" si="190"/>
        <v>0</v>
      </c>
      <c r="DH361" s="166">
        <f t="shared" si="191"/>
        <v>223.56415525114156</v>
      </c>
      <c r="DI361" s="164">
        <f>IFERROR(INDEX(DC$359:DC$407,_xlfn.AGGREGATE(15,6,(ROW(DC$359:DC$407)-ROW(DC$359)+1)/(DC$359:DC$407&lt;&gt;""),ROWS(DI$1:DI3))),"")</f>
        <v>0</v>
      </c>
      <c r="DJ361" s="165">
        <f>IFERROR(INDEX(DD$359:DD$407,_xlfn.AGGREGATE(15,6,(ROW(DD$359:DD$407)-ROW(DD$359)+1)/(DD$359:DD$407&lt;&gt;""),ROWS(DJ$1:DJ3))),"")</f>
        <v>223.56415525114156</v>
      </c>
      <c r="DK361" s="166">
        <f t="shared" si="192"/>
        <v>361</v>
      </c>
      <c r="DL361" s="164">
        <f>IFERROR(INDEX(DE$359:DE$407,_xlfn.AGGREGATE(15,6,(ROW(DE$359:DE$407)-ROW(DE$359)+1)/(DE$359:DE$407&lt;&gt;""),ROWS(DL$1:DL3))),"")</f>
        <v>0</v>
      </c>
      <c r="DM361" s="165">
        <f>IFERROR(INDEX(DF$359:DF$407,_xlfn.AGGREGATE(15,6,(ROW(DF$359:DF$407)-ROW(DF$359)+1)/(DF$359:DF$407&lt;&gt;""),ROWS(DM$1:DM3))),"")</f>
        <v>223.56415525114156</v>
      </c>
      <c r="DN361" s="166">
        <f t="shared" si="193"/>
        <v>361</v>
      </c>
      <c r="DO361" s="164">
        <f>IFERROR(INDEX(DG$359:DG$407,_xlfn.AGGREGATE(15,6,(ROW(DG$359:DG$407)-ROW(DG$359)+1)/(DG$359:DG$407&lt;&gt;""),ROWS(DO$1:DO3))),"")</f>
        <v>0</v>
      </c>
      <c r="DP361" s="165">
        <f>IFERROR(INDEX(DH$359:DH$407,_xlfn.AGGREGATE(15,6,(ROW(DH$359:DH$407)-ROW(DH$359)+1)/(DH$359:DH$407&lt;&gt;""),ROWS(DP$1:DP3))),"")</f>
        <v>223.56415525114156</v>
      </c>
      <c r="DQ361" s="166">
        <f t="shared" si="194"/>
        <v>361</v>
      </c>
      <c r="DV361" s="145">
        <v>2017</v>
      </c>
      <c r="DW361" s="235">
        <f t="shared" ca="1" si="178"/>
        <v>245.83500177127098</v>
      </c>
      <c r="DZ361" s="65" t="s">
        <v>89</v>
      </c>
      <c r="EA361" s="33"/>
      <c r="EB361" s="33"/>
      <c r="EC361" s="33"/>
      <c r="ED361" s="33"/>
      <c r="EE361" s="33"/>
    </row>
    <row r="362" spans="1:135" ht="14.1" thickBot="1" x14ac:dyDescent="0.5">
      <c r="A362" s="949" t="s">
        <v>80</v>
      </c>
      <c r="B362" s="128">
        <v>2015</v>
      </c>
      <c r="C362" s="1067">
        <v>227.61244292237444</v>
      </c>
      <c r="D362" s="1067">
        <v>227.61244292237444</v>
      </c>
      <c r="E362" s="1069"/>
      <c r="F362" s="1075"/>
      <c r="G362" s="1052"/>
      <c r="H362" s="1064"/>
      <c r="I362" s="1143">
        <v>227.61244292237444</v>
      </c>
      <c r="J362" s="159"/>
      <c r="K362" s="151"/>
      <c r="L362" s="152"/>
      <c r="M362" s="151"/>
      <c r="N362" s="29" t="s">
        <v>119</v>
      </c>
      <c r="O362" s="120"/>
      <c r="P362" s="120"/>
      <c r="Q362" s="120"/>
      <c r="R362" s="29">
        <v>1</v>
      </c>
      <c r="S362" s="238">
        <f t="shared" si="179"/>
        <v>227.61244292237444</v>
      </c>
      <c r="T362" s="238">
        <f t="shared" si="180"/>
        <v>227.61244292237444</v>
      </c>
      <c r="U362" s="238">
        <f t="shared" si="181"/>
        <v>2.8421709430404007E-14</v>
      </c>
      <c r="V362" s="29"/>
      <c r="W362" s="238">
        <f t="shared" si="182"/>
        <v>227.61244292237444</v>
      </c>
      <c r="X362" s="238">
        <f t="shared" si="183"/>
        <v>227.61244292237447</v>
      </c>
      <c r="Y362" s="238">
        <f t="shared" si="184"/>
        <v>227.6124429223745</v>
      </c>
      <c r="AA362" s="1133">
        <v>227.61244292237444</v>
      </c>
      <c r="AB362" s="1133">
        <v>227.61244292237444</v>
      </c>
      <c r="AC362" s="1133">
        <v>227.61244292237444</v>
      </c>
      <c r="AD362" s="138"/>
      <c r="AE362" s="138"/>
      <c r="AF362" s="138"/>
      <c r="AG362" s="138"/>
      <c r="AH362" s="138"/>
      <c r="AI362" s="138"/>
      <c r="AJ362" s="138"/>
      <c r="AK362" s="138"/>
      <c r="AL362" s="138"/>
      <c r="AM362" s="138"/>
      <c r="AN362" s="138"/>
      <c r="BR362" s="29"/>
      <c r="BS362" s="160" t="s">
        <v>15</v>
      </c>
      <c r="BT362" s="177">
        <f>SLOPE((DD359:DD407),($B$46:$B$94))</f>
        <v>4.207657376226539</v>
      </c>
      <c r="BU362" s="178">
        <f>INTERCEPT(DJ359:DJ407,DI359:DI407)</f>
        <v>224.49951319379707</v>
      </c>
      <c r="BV362" s="691" t="s">
        <v>71</v>
      </c>
      <c r="BY362" s="29"/>
      <c r="BZ362" s="160" t="s">
        <v>15</v>
      </c>
      <c r="CA362" s="177">
        <f ca="1">INDEX(LINEST((INDIRECT(DI356):INDIRECT(DJ356)),(INDIRECT(DI357):INDIRECT(DJ357))^{1,2}),1)</f>
        <v>-1.9419228854465051E-2</v>
      </c>
      <c r="CB362" s="179">
        <f ca="1">INDEX(LINEST((INDIRECT(DI356):INDIRECT(DJ356)),(INDIRECT(DI357):INDIRECT(DJ357))^{1,2}),1,2)</f>
        <v>5.0621034458230003</v>
      </c>
      <c r="CC362" s="178">
        <f ca="1">INDEX(LINEST((INDIRECT(DI356):INDIRECT(DJ356)),(INDIRECT(DI357):INDIRECT(DJ357))^{1,2}),1,3)</f>
        <v>218.98445219912901</v>
      </c>
      <c r="CD362" s="691" t="s">
        <v>71</v>
      </c>
      <c r="CG362" s="29"/>
      <c r="CH362" s="160" t="s">
        <v>15</v>
      </c>
      <c r="CI362" s="177">
        <f ca="1">INDEX(LINEST((INDIRECT(DI356):INDIRECT(DJ356)),(INDIRECT(DI357):INDIRECT(DJ357))^{1,2,3}),1)</f>
        <v>-1.1147138877170906E-3</v>
      </c>
      <c r="CJ362" s="179">
        <f ca="1">INDEX(LINEST((INDIRECT(DI356):INDIRECT(DJ356)),(INDIRECT(DI357):INDIRECT(DJ357))^{1,2,3}),1,2)</f>
        <v>5.4151887734862868E-2</v>
      </c>
      <c r="CK362" s="179">
        <f ca="1">INDEX(LINEST((INDIRECT(DI356):INDIRECT(DJ356)),(INDIRECT(DI357):INDIRECT(DJ357))^{1,2,3}),1,3)</f>
        <v>3.8446129376583977</v>
      </c>
      <c r="CL362" s="178">
        <f ca="1">INDEX(LINEST((INDIRECT(DI356):INDIRECT(DJ356)),(INDIRECT(DI357):INDIRECT(DJ357))^{1,2,3}),1,4)</f>
        <v>222.03029642592716</v>
      </c>
      <c r="CM362" s="691" t="s">
        <v>71</v>
      </c>
      <c r="CP362" s="29"/>
      <c r="CQ362" s="160" t="s">
        <v>15</v>
      </c>
      <c r="CR362" s="177">
        <f ca="1">EXP(INDEX(LINEST(LN(INDIRECT(DI356):INDIRECT(DJ356)),(INDIRECT(DI357):INDIRECT(DJ357))),1,2))</f>
        <v>230.29633325855656</v>
      </c>
      <c r="CS362" s="178">
        <f ca="1">INDEX(LINEST(LN(INDIRECT(DI356):INDIRECT(DJ356)),(INDIRECT(DI357):INDIRECT(DJ357))),1)</f>
        <v>1.3687913877015241E-2</v>
      </c>
      <c r="CT362" s="691" t="s">
        <v>71</v>
      </c>
      <c r="CZ362" s="164" t="b">
        <f t="shared" si="185"/>
        <v>1</v>
      </c>
      <c r="DA362" s="165" t="b">
        <f t="shared" si="185"/>
        <v>1</v>
      </c>
      <c r="DB362" s="166" t="b">
        <f t="shared" si="185"/>
        <v>1</v>
      </c>
      <c r="DC362" s="164">
        <f t="shared" si="186"/>
        <v>1</v>
      </c>
      <c r="DD362" s="166">
        <f t="shared" si="187"/>
        <v>227.61244292237444</v>
      </c>
      <c r="DE362" s="164">
        <f t="shared" si="188"/>
        <v>1</v>
      </c>
      <c r="DF362" s="166">
        <f t="shared" si="189"/>
        <v>227.61244292237447</v>
      </c>
      <c r="DG362" s="164">
        <f t="shared" si="190"/>
        <v>1</v>
      </c>
      <c r="DH362" s="166">
        <f t="shared" si="191"/>
        <v>227.6124429223745</v>
      </c>
      <c r="DI362" s="164">
        <f>IFERROR(INDEX(DC$359:DC$407,_xlfn.AGGREGATE(15,6,(ROW(DC$359:DC$407)-ROW(DC$359)+1)/(DC$359:DC$407&lt;&gt;""),ROWS(DI$1:DI4))),"")</f>
        <v>1</v>
      </c>
      <c r="DJ362" s="165">
        <f>IFERROR(INDEX(DD$359:DD$407,_xlfn.AGGREGATE(15,6,(ROW(DD$359:DD$407)-ROW(DD$359)+1)/(DD$359:DD$407&lt;&gt;""),ROWS(DJ$1:DJ4))),"")</f>
        <v>227.61244292237444</v>
      </c>
      <c r="DK362" s="166">
        <f t="shared" si="192"/>
        <v>362</v>
      </c>
      <c r="DL362" s="164">
        <f>IFERROR(INDEX(DE$359:DE$407,_xlfn.AGGREGATE(15,6,(ROW(DE$359:DE$407)-ROW(DE$359)+1)/(DE$359:DE$407&lt;&gt;""),ROWS(DL$1:DL4))),"")</f>
        <v>1</v>
      </c>
      <c r="DM362" s="165">
        <f>IFERROR(INDEX(DF$359:DF$407,_xlfn.AGGREGATE(15,6,(ROW(DF$359:DF$407)-ROW(DF$359)+1)/(DF$359:DF$407&lt;&gt;""),ROWS(DM$1:DM4))),"")</f>
        <v>227.61244292237447</v>
      </c>
      <c r="DN362" s="166">
        <f t="shared" si="193"/>
        <v>362</v>
      </c>
      <c r="DO362" s="164">
        <f>IFERROR(INDEX(DG$359:DG$407,_xlfn.AGGREGATE(15,6,(ROW(DG$359:DG$407)-ROW(DG$359)+1)/(DG$359:DG$407&lt;&gt;""),ROWS(DO$1:DO4))),"")</f>
        <v>1</v>
      </c>
      <c r="DP362" s="165">
        <f>IFERROR(INDEX(DH$359:DH$407,_xlfn.AGGREGATE(15,6,(ROW(DH$359:DH$407)-ROW(DH$359)+1)/(DH$359:DH$407&lt;&gt;""),ROWS(DP$1:DP4))),"")</f>
        <v>227.6124429223745</v>
      </c>
      <c r="DQ362" s="166">
        <f t="shared" si="194"/>
        <v>362</v>
      </c>
      <c r="DV362" s="145">
        <v>2018</v>
      </c>
      <c r="DW362" s="235">
        <f t="shared" ca="1" si="178"/>
        <v>252.25785372621166</v>
      </c>
      <c r="EA362" s="33" t="s">
        <v>85</v>
      </c>
      <c r="EB362" s="33" t="s">
        <v>84</v>
      </c>
      <c r="EC362" s="33" t="s">
        <v>82</v>
      </c>
      <c r="ED362" s="33" t="s">
        <v>83</v>
      </c>
      <c r="EE362" s="33"/>
    </row>
    <row r="363" spans="1:135" ht="13.8" x14ac:dyDescent="0.45">
      <c r="A363" s="184" t="s">
        <v>88</v>
      </c>
      <c r="B363" s="128">
        <v>2016</v>
      </c>
      <c r="C363" s="1067">
        <v>230.8</v>
      </c>
      <c r="D363" s="1067">
        <v>230.8</v>
      </c>
      <c r="E363" s="1069"/>
      <c r="F363" s="1075"/>
      <c r="G363" s="1052"/>
      <c r="H363" s="1064"/>
      <c r="I363" s="1143">
        <v>230.8</v>
      </c>
      <c r="J363" s="159"/>
      <c r="K363" s="151"/>
      <c r="L363" s="152"/>
      <c r="M363" s="151"/>
      <c r="N363" s="29" t="s">
        <v>119</v>
      </c>
      <c r="O363" s="120"/>
      <c r="P363" s="120"/>
      <c r="Q363" s="120"/>
      <c r="R363" s="29">
        <v>2</v>
      </c>
      <c r="S363" s="238">
        <f t="shared" si="179"/>
        <v>230.8</v>
      </c>
      <c r="T363" s="238">
        <f t="shared" si="180"/>
        <v>230.8</v>
      </c>
      <c r="U363" s="238">
        <f t="shared" si="181"/>
        <v>2.8421709430404007E-14</v>
      </c>
      <c r="V363" s="29"/>
      <c r="W363" s="238">
        <f t="shared" si="182"/>
        <v>230.8</v>
      </c>
      <c r="X363" s="238">
        <f t="shared" si="183"/>
        <v>230.80000000000004</v>
      </c>
      <c r="Y363" s="238">
        <f t="shared" si="184"/>
        <v>230.80000000000007</v>
      </c>
      <c r="AA363" s="1133">
        <v>230.8</v>
      </c>
      <c r="AB363" s="1133">
        <v>230.8</v>
      </c>
      <c r="AC363" s="1133">
        <v>230.8</v>
      </c>
      <c r="AD363" s="138"/>
      <c r="AE363" s="138"/>
      <c r="AF363" s="138"/>
      <c r="AG363" s="138"/>
      <c r="AH363" s="138"/>
      <c r="AI363" s="138"/>
      <c r="AJ363" s="138"/>
      <c r="AK363" s="138"/>
      <c r="AL363" s="138"/>
      <c r="AM363" s="138"/>
      <c r="AN363" s="138"/>
      <c r="BR363" s="180">
        <v>2014</v>
      </c>
      <c r="BS363" s="22">
        <v>0</v>
      </c>
      <c r="BT363" s="181">
        <f t="shared" ref="BT363:BT409" si="195">IF($BS$359="High",BS363*$BT$360,IF($BS$359="Medium",$BT$361*BS363,IF($BS$359="Low",$BT$362*BS363)))</f>
        <v>0</v>
      </c>
      <c r="BU363" s="182">
        <f t="shared" ref="BU363:BU409" si="196">IF($BS$359="High",$BU$360,IF($BS$359="Medium",$BU$361,IF($BS$359="Low",BU362)))</f>
        <v>236.71362084506296</v>
      </c>
      <c r="BV363" s="241">
        <f t="shared" ref="BV363:BV409" si="197">BT363+BU363</f>
        <v>236.71362084506296</v>
      </c>
      <c r="BY363" s="180">
        <v>2014</v>
      </c>
      <c r="BZ363" s="22">
        <v>0</v>
      </c>
      <c r="CA363" s="181">
        <f t="shared" ref="CA363:CA409" ca="1" si="198">IF($BZ$359="High",BZ363^2*$CA$360,IF($BZ$359="Medium",BZ363^2*$CA$361,IF($BZ$359="Low",BZ363^2*$CA$362)))</f>
        <v>0</v>
      </c>
      <c r="CB363" s="181">
        <f t="shared" ref="CB363:CB409" ca="1" si="199">IF($BZ$359="High",BZ363*$CB$360,IF($BZ$359="Medium",BZ363*$CB$361,IF($BZ$359="Low",BZ363*$CB$362)))</f>
        <v>0</v>
      </c>
      <c r="CC363" s="182">
        <f ca="1">IF($BZ$359="High",$CC$360,IF($BZ$359="Medium",$CC$361,IF($BZ$359="Low",$CC$362)))</f>
        <v>227.54140829410704</v>
      </c>
      <c r="CD363" s="241">
        <f t="shared" ref="CD363:CD409" ca="1" si="200">CA363+CB363+CC363</f>
        <v>227.54140829410704</v>
      </c>
      <c r="CG363" s="180">
        <v>2014</v>
      </c>
      <c r="CH363" s="22">
        <v>0</v>
      </c>
      <c r="CI363" s="181">
        <f t="shared" ref="CI363:CI409" ca="1" si="201">IF($CH$359="High",CH363^3*$CI$360,IF($CH$359="Medium",CH363^3*$CI$361,IF($CH$359="Low",CH363^3*$CI$362)))</f>
        <v>0</v>
      </c>
      <c r="CJ363" s="181">
        <f t="shared" ref="CJ363:CJ409" ca="1" si="202">IF($CH$359="High",CH363^2*$CJ$360,IF($CH$359="Medium",CH363^2*$CJ$361,IF($CH$359="Low",CH363^2*$CJ$362)))</f>
        <v>0</v>
      </c>
      <c r="CK363" s="181">
        <f t="shared" ref="CK363:CK409" ca="1" si="203">IF($CH$359="High",CH363*$CK$360,IF($CH$359="Medium",CH363*$CK$361,IF($CH$359="Low",CH363*$CK$362)))</f>
        <v>0</v>
      </c>
      <c r="CL363" s="182">
        <f t="shared" ref="CL363:CL409" ca="1" si="204">IF($CH$359="High",$CL$360,IF($CH$359="Medium",$CL$361,IF($CH$359="Low",$CL$362)))</f>
        <v>225.70236884361898</v>
      </c>
      <c r="CM363" s="241">
        <f t="shared" ref="CM363:CM409" ca="1" si="205">CI363+CJ363+CK363+CL363</f>
        <v>225.70236884361898</v>
      </c>
      <c r="CP363" s="180">
        <v>2014</v>
      </c>
      <c r="CQ363" s="22">
        <v>0</v>
      </c>
      <c r="CR363" s="181">
        <f t="shared" ref="CR363:CR409" ca="1" si="206">IF($CQ$359="High",$CR$360,IF($CQ$359="Medium",$CR$361,IF($CQ$359="Low",$CR$362)))</f>
        <v>242.79750986086785</v>
      </c>
      <c r="CS363" s="182">
        <f t="shared" ref="CS363:CS409" ca="1" si="207">IF($CQ$359="High",EXP(1)^($CS$360*CQ363),IF($CQ$359="Medium",EXP(1)^($CS$361*CQ363),IF($CQ$359="Low",EXP(1)^($CS$362*CQ363))))</f>
        <v>1</v>
      </c>
      <c r="CT363" s="241">
        <f t="shared" ref="CT363:CT409" ca="1" si="208">(CR363*CS363)</f>
        <v>242.79750986086785</v>
      </c>
      <c r="CZ363" s="164" t="b">
        <f t="shared" si="185"/>
        <v>1</v>
      </c>
      <c r="DA363" s="165" t="b">
        <f t="shared" si="185"/>
        <v>1</v>
      </c>
      <c r="DB363" s="166" t="b">
        <f t="shared" si="185"/>
        <v>1</v>
      </c>
      <c r="DC363" s="164">
        <f t="shared" si="186"/>
        <v>2</v>
      </c>
      <c r="DD363" s="166">
        <f t="shared" si="187"/>
        <v>230.8</v>
      </c>
      <c r="DE363" s="164">
        <f t="shared" si="188"/>
        <v>2</v>
      </c>
      <c r="DF363" s="166">
        <f t="shared" si="189"/>
        <v>230.80000000000004</v>
      </c>
      <c r="DG363" s="164">
        <f t="shared" si="190"/>
        <v>2</v>
      </c>
      <c r="DH363" s="166">
        <f t="shared" si="191"/>
        <v>230.80000000000007</v>
      </c>
      <c r="DI363" s="164">
        <f>IFERROR(INDEX(DC$359:DC$407,_xlfn.AGGREGATE(15,6,(ROW(DC$359:DC$407)-ROW(DC$359)+1)/(DC$359:DC$407&lt;&gt;""),ROWS(DI$1:DI5))),"")</f>
        <v>2</v>
      </c>
      <c r="DJ363" s="165">
        <f>IFERROR(INDEX(DD$359:DD$407,_xlfn.AGGREGATE(15,6,(ROW(DD$359:DD$407)-ROW(DD$359)+1)/(DD$359:DD$407&lt;&gt;""),ROWS(DJ$1:DJ5))),"")</f>
        <v>230.8</v>
      </c>
      <c r="DK363" s="166">
        <f t="shared" si="192"/>
        <v>363</v>
      </c>
      <c r="DL363" s="164">
        <f>IFERROR(INDEX(DE$359:DE$407,_xlfn.AGGREGATE(15,6,(ROW(DE$359:DE$407)-ROW(DE$359)+1)/(DE$359:DE$407&lt;&gt;""),ROWS(DL$1:DL5))),"")</f>
        <v>2</v>
      </c>
      <c r="DM363" s="165">
        <f>IFERROR(INDEX(DF$359:DF$407,_xlfn.AGGREGATE(15,6,(ROW(DF$359:DF$407)-ROW(DF$359)+1)/(DF$359:DF$407&lt;&gt;""),ROWS(DM$1:DM5))),"")</f>
        <v>230.80000000000004</v>
      </c>
      <c r="DN363" s="166">
        <f t="shared" si="193"/>
        <v>363</v>
      </c>
      <c r="DO363" s="164">
        <f>IFERROR(INDEX(DG$359:DG$407,_xlfn.AGGREGATE(15,6,(ROW(DG$359:DG$407)-ROW(DG$359)+1)/(DG$359:DG$407&lt;&gt;""),ROWS(DO$1:DO5))),"")</f>
        <v>2</v>
      </c>
      <c r="DP363" s="165">
        <f>IFERROR(INDEX(DH$359:DH$407,_xlfn.AGGREGATE(15,6,(ROW(DH$359:DH$407)-ROW(DH$359)+1)/(DH$359:DH$407&lt;&gt;""),ROWS(DP$1:DP5))),"")</f>
        <v>230.80000000000007</v>
      </c>
      <c r="DQ363" s="166">
        <f t="shared" si="194"/>
        <v>363</v>
      </c>
      <c r="DV363" s="145">
        <v>2019</v>
      </c>
      <c r="DW363" s="235">
        <f t="shared" ca="1" si="178"/>
        <v>258.54342332867543</v>
      </c>
      <c r="DZ363" s="135" t="s">
        <v>92</v>
      </c>
      <c r="EA363" s="33">
        <f ca="1">IF($EA$357="Linear",0,IF($EA$357="2nd Poly",0,IF($EA$357="3rd Poly",CI360,IF($EA$357="Exp",0))))</f>
        <v>2.4608121533355697E-3</v>
      </c>
      <c r="EB363" s="33">
        <f ca="1">IF($EA$357="Linear",0,IF($EA$357="2nd Poly",CA360,IF($EA$357="3rd Poly",CJ360,IF($EA$357="Exp",0))))</f>
        <v>-0.20758741939917505</v>
      </c>
      <c r="EC363" s="33">
        <f t="shared" ref="EC363:ED365" ca="1" si="209">IF($EA$357="Linear",BT360,IF($EA$357="2nd Poly",CB360,IF($EA$357="3rd Poly",CK360,IF($EA$357="Exp",0))))</f>
        <v>10.025334058045287</v>
      </c>
      <c r="ED363" s="33">
        <f t="shared" ca="1" si="209"/>
        <v>229.37444126131075</v>
      </c>
      <c r="EE363" s="33" t="str">
        <f>IF($EA$357="Linear","High",IF($EA$357="2nd Poly","High",IF($EA$357="3rd Poly","High","N/A")))</f>
        <v>High</v>
      </c>
    </row>
    <row r="364" spans="1:135" ht="13.8" x14ac:dyDescent="0.45">
      <c r="A364" s="184" t="s">
        <v>90</v>
      </c>
      <c r="B364" s="128">
        <v>2017</v>
      </c>
      <c r="C364" s="1070">
        <v>235.70901826484018</v>
      </c>
      <c r="D364" s="1050">
        <v>274.83027584035256</v>
      </c>
      <c r="E364" s="1069"/>
      <c r="F364" s="1075"/>
      <c r="G364" s="1052"/>
      <c r="H364" s="1034"/>
      <c r="I364" s="931">
        <v>237.00588235294117</v>
      </c>
      <c r="J364" s="168"/>
      <c r="K364" s="169"/>
      <c r="L364" s="170"/>
      <c r="M364" s="169"/>
      <c r="N364" s="29" t="s">
        <v>119</v>
      </c>
      <c r="O364" s="120"/>
      <c r="P364" s="120"/>
      <c r="Q364" s="120"/>
      <c r="R364" s="29">
        <v>3</v>
      </c>
      <c r="S364" s="238">
        <f t="shared" si="179"/>
        <v>235.70901826484018</v>
      </c>
      <c r="T364" s="238">
        <f t="shared" si="180"/>
        <v>274.83027584035256</v>
      </c>
      <c r="U364" s="238">
        <f t="shared" si="181"/>
        <v>18.143990108276501</v>
      </c>
      <c r="V364" s="29"/>
      <c r="W364" s="238">
        <f t="shared" si="182"/>
        <v>231.03773537776814</v>
      </c>
      <c r="X364" s="238">
        <f t="shared" si="183"/>
        <v>249.18172548604466</v>
      </c>
      <c r="Y364" s="238">
        <f t="shared" si="184"/>
        <v>267.32571559432114</v>
      </c>
      <c r="AA364" s="1133">
        <v>235.70901826484021</v>
      </c>
      <c r="AB364" s="1133">
        <v>255.26964705259638</v>
      </c>
      <c r="AC364" s="1133">
        <v>274.83027584035256</v>
      </c>
      <c r="AD364" s="138"/>
      <c r="AE364" s="138"/>
      <c r="AF364" s="138"/>
      <c r="AG364" s="138"/>
      <c r="AH364" s="138"/>
      <c r="AI364" s="138"/>
      <c r="AJ364" s="138"/>
      <c r="AK364" s="138"/>
      <c r="AL364" s="138"/>
      <c r="AM364" s="138"/>
      <c r="AN364" s="138"/>
      <c r="BR364" s="180">
        <v>2015</v>
      </c>
      <c r="BS364" s="22">
        <v>1</v>
      </c>
      <c r="BT364" s="198">
        <f t="shared" si="195"/>
        <v>4.7788222200607535</v>
      </c>
      <c r="BU364" s="276">
        <f t="shared" si="196"/>
        <v>236.71362084506296</v>
      </c>
      <c r="BV364" s="241">
        <f t="shared" si="197"/>
        <v>241.49244306512372</v>
      </c>
      <c r="BY364" s="180">
        <v>2015</v>
      </c>
      <c r="BZ364" s="22">
        <v>1</v>
      </c>
      <c r="CA364" s="198">
        <f t="shared" ca="1" si="198"/>
        <v>-3.2296523066746234E-2</v>
      </c>
      <c r="CB364" s="198">
        <f t="shared" ca="1" si="199"/>
        <v>6.1998692349975855</v>
      </c>
      <c r="CC364" s="276">
        <f t="shared" ref="CC364:CC409" ca="1" si="210">CC363</f>
        <v>227.54140829410704</v>
      </c>
      <c r="CD364" s="241">
        <f t="shared" ca="1" si="200"/>
        <v>233.70898100603787</v>
      </c>
      <c r="CG364" s="180">
        <v>2015</v>
      </c>
      <c r="CH364" s="22">
        <v>1</v>
      </c>
      <c r="CI364" s="198">
        <f t="shared" ca="1" si="201"/>
        <v>6.7304913280923952E-4</v>
      </c>
      <c r="CJ364" s="198">
        <f t="shared" ca="1" si="202"/>
        <v>-7.6717765832156171E-2</v>
      </c>
      <c r="CK364" s="198">
        <f t="shared" ca="1" si="203"/>
        <v>6.9349734978518462</v>
      </c>
      <c r="CL364" s="276">
        <f t="shared" ca="1" si="204"/>
        <v>225.70236884361898</v>
      </c>
      <c r="CM364" s="241">
        <f t="shared" ca="1" si="205"/>
        <v>232.5612976247715</v>
      </c>
      <c r="CP364" s="180">
        <v>2015</v>
      </c>
      <c r="CQ364" s="22">
        <v>1</v>
      </c>
      <c r="CR364" s="198">
        <f t="shared" ca="1" si="206"/>
        <v>242.79750986086785</v>
      </c>
      <c r="CS364" s="276">
        <f t="shared" ca="1" si="207"/>
        <v>1.0146947265423034</v>
      </c>
      <c r="CT364" s="241">
        <f t="shared" ca="1" si="208"/>
        <v>246.36535287342551</v>
      </c>
      <c r="CZ364" s="164" t="b">
        <f t="shared" si="185"/>
        <v>1</v>
      </c>
      <c r="DA364" s="165" t="b">
        <f t="shared" si="185"/>
        <v>1</v>
      </c>
      <c r="DB364" s="166" t="b">
        <f t="shared" si="185"/>
        <v>1</v>
      </c>
      <c r="DC364" s="164">
        <f t="shared" si="186"/>
        <v>3</v>
      </c>
      <c r="DD364" s="166">
        <f t="shared" si="187"/>
        <v>231.03773537776814</v>
      </c>
      <c r="DE364" s="164">
        <f t="shared" si="188"/>
        <v>3</v>
      </c>
      <c r="DF364" s="166">
        <f t="shared" si="189"/>
        <v>249.18172548604466</v>
      </c>
      <c r="DG364" s="164">
        <f t="shared" si="190"/>
        <v>3</v>
      </c>
      <c r="DH364" s="166">
        <f t="shared" si="191"/>
        <v>267.32571559432114</v>
      </c>
      <c r="DI364" s="164">
        <f>IFERROR(INDEX(DC$359:DC$407,_xlfn.AGGREGATE(15,6,(ROW(DC$359:DC$407)-ROW(DC$359)+1)/(DC$359:DC$407&lt;&gt;""),ROWS(DI$1:DI6))),"")</f>
        <v>3</v>
      </c>
      <c r="DJ364" s="165">
        <f>IFERROR(INDEX(DD$359:DD$407,_xlfn.AGGREGATE(15,6,(ROW(DD$359:DD$407)-ROW(DD$359)+1)/(DD$359:DD$407&lt;&gt;""),ROWS(DJ$1:DJ6))),"")</f>
        <v>231.03773537776814</v>
      </c>
      <c r="DK364" s="166">
        <f t="shared" si="192"/>
        <v>364</v>
      </c>
      <c r="DL364" s="164">
        <f>IFERROR(INDEX(DE$359:DE$407,_xlfn.AGGREGATE(15,6,(ROW(DE$359:DE$407)-ROW(DE$359)+1)/(DE$359:DE$407&lt;&gt;""),ROWS(DL$1:DL6))),"")</f>
        <v>3</v>
      </c>
      <c r="DM364" s="165">
        <f>IFERROR(INDEX(DF$359:DF$407,_xlfn.AGGREGATE(15,6,(ROW(DF$359:DF$407)-ROW(DF$359)+1)/(DF$359:DF$407&lt;&gt;""),ROWS(DM$1:DM6))),"")</f>
        <v>249.18172548604466</v>
      </c>
      <c r="DN364" s="166">
        <f t="shared" si="193"/>
        <v>364</v>
      </c>
      <c r="DO364" s="164">
        <f>IFERROR(INDEX(DG$359:DG$407,_xlfn.AGGREGATE(15,6,(ROW(DG$359:DG$407)-ROW(DG$359)+1)/(DG$359:DG$407&lt;&gt;""),ROWS(DO$1:DO6))),"")</f>
        <v>3</v>
      </c>
      <c r="DP364" s="165">
        <f>IFERROR(INDEX(DH$359:DH$407,_xlfn.AGGREGATE(15,6,(ROW(DH$359:DH$407)-ROW(DH$359)+1)/(DH$359:DH$407&lt;&gt;""),ROWS(DP$1:DP6))),"")</f>
        <v>267.32571559432114</v>
      </c>
      <c r="DQ364" s="166">
        <f t="shared" si="194"/>
        <v>364</v>
      </c>
      <c r="DV364" s="145">
        <v>2020</v>
      </c>
      <c r="DW364" s="235">
        <f t="shared" ca="1" si="178"/>
        <v>264.69574887345925</v>
      </c>
      <c r="DZ364" s="135" t="s">
        <v>92</v>
      </c>
      <c r="EA364" s="33">
        <f ca="1">IF($EA$357="Linear",0,IF($EA$357="2nd Poly",0,IF($EA$357="3rd Poly",CI361,IF($EA$357="Exp",0))))</f>
        <v>6.7304913280923952E-4</v>
      </c>
      <c r="EB364" s="33">
        <f ca="1">IF($EA$357="Linear",0,IF($EA$357="2nd Poly",CA361,IF($EA$357="3rd Poly",CJ361,IF($EA$357="Exp",0))))</f>
        <v>-7.6717765832156171E-2</v>
      </c>
      <c r="EC364" s="33">
        <f t="shared" ca="1" si="209"/>
        <v>6.9349734978518462</v>
      </c>
      <c r="ED364" s="33">
        <f t="shared" ca="1" si="209"/>
        <v>225.70236884361898</v>
      </c>
      <c r="EE364" s="33" t="str">
        <f>IF($EA$357="Linear","Medium",IF($EA$357="2nd Poly","Medium",IF($EA$357="3rd Poly","Medium","N/A")))</f>
        <v>Medium</v>
      </c>
    </row>
    <row r="365" spans="1:135" ht="13.8" x14ac:dyDescent="0.45">
      <c r="A365" s="948" t="s">
        <v>1039</v>
      </c>
      <c r="B365" s="128">
        <v>2018</v>
      </c>
      <c r="C365" s="1070">
        <v>239.75730593607307</v>
      </c>
      <c r="D365" s="1050">
        <v>282.01772800202298</v>
      </c>
      <c r="E365" s="1069"/>
      <c r="F365" s="1075"/>
      <c r="G365" s="1052"/>
      <c r="H365" s="1064"/>
      <c r="I365" s="1016">
        <v>243.21176470588233</v>
      </c>
      <c r="J365" s="159"/>
      <c r="K365" s="151"/>
      <c r="L365" s="152"/>
      <c r="M365" s="151"/>
      <c r="N365" s="29" t="s">
        <v>119</v>
      </c>
      <c r="O365" s="120"/>
      <c r="P365" s="120"/>
      <c r="Q365" s="120"/>
      <c r="R365" s="29">
        <v>4</v>
      </c>
      <c r="S365" s="238">
        <f t="shared" si="179"/>
        <v>239.75730593607307</v>
      </c>
      <c r="T365" s="238">
        <f t="shared" si="180"/>
        <v>282.01772800202298</v>
      </c>
      <c r="U365" s="238">
        <f t="shared" si="181"/>
        <v>19.159504012154713</v>
      </c>
      <c r="V365" s="20"/>
      <c r="W365" s="238">
        <f t="shared" si="182"/>
        <v>235.83609553583807</v>
      </c>
      <c r="X365" s="238">
        <f t="shared" si="183"/>
        <v>254.99559954799278</v>
      </c>
      <c r="Y365" s="238">
        <f t="shared" si="184"/>
        <v>274.1551035601475</v>
      </c>
      <c r="AA365" s="1133">
        <v>239.75730593607307</v>
      </c>
      <c r="AB365" s="1133">
        <v>260.88751696904802</v>
      </c>
      <c r="AC365" s="1133">
        <v>282.01772800202298</v>
      </c>
      <c r="AD365" s="138"/>
      <c r="AE365" s="138"/>
      <c r="AF365" s="138"/>
      <c r="AG365" s="138"/>
      <c r="AH365" s="138"/>
      <c r="AI365" s="138"/>
      <c r="AJ365" s="138"/>
      <c r="AK365" s="138"/>
      <c r="AL365" s="138"/>
      <c r="AM365" s="138"/>
      <c r="AN365" s="138"/>
      <c r="BR365" s="180">
        <v>2016</v>
      </c>
      <c r="BS365" s="22">
        <v>2</v>
      </c>
      <c r="BT365" s="198">
        <f t="shared" si="195"/>
        <v>9.557644440121507</v>
      </c>
      <c r="BU365" s="276">
        <f t="shared" si="196"/>
        <v>236.71362084506296</v>
      </c>
      <c r="BV365" s="241">
        <f t="shared" si="197"/>
        <v>246.27126528518448</v>
      </c>
      <c r="BY365" s="180">
        <v>2016</v>
      </c>
      <c r="BZ365" s="22">
        <v>2</v>
      </c>
      <c r="CA365" s="198">
        <f t="shared" ca="1" si="198"/>
        <v>-0.12918609226698494</v>
      </c>
      <c r="CB365" s="198">
        <f t="shared" ca="1" si="199"/>
        <v>12.399738469995171</v>
      </c>
      <c r="CC365" s="276">
        <f t="shared" ca="1" si="210"/>
        <v>227.54140829410704</v>
      </c>
      <c r="CD365" s="241">
        <f t="shared" ca="1" si="200"/>
        <v>239.81196067183524</v>
      </c>
      <c r="CG365" s="180">
        <v>2016</v>
      </c>
      <c r="CH365" s="22">
        <v>2</v>
      </c>
      <c r="CI365" s="198">
        <f t="shared" ca="1" si="201"/>
        <v>5.3843930624739161E-3</v>
      </c>
      <c r="CJ365" s="198">
        <f t="shared" ca="1" si="202"/>
        <v>-0.30687106332862468</v>
      </c>
      <c r="CK365" s="198">
        <f t="shared" ca="1" si="203"/>
        <v>13.869946995703692</v>
      </c>
      <c r="CL365" s="276">
        <f t="shared" ca="1" si="204"/>
        <v>225.70236884361898</v>
      </c>
      <c r="CM365" s="241">
        <f t="shared" ca="1" si="205"/>
        <v>239.27082916905653</v>
      </c>
      <c r="CP365" s="180">
        <v>2016</v>
      </c>
      <c r="CQ365" s="22">
        <v>2</v>
      </c>
      <c r="CR365" s="198">
        <f t="shared" ca="1" si="206"/>
        <v>242.79750986086785</v>
      </c>
      <c r="CS365" s="276">
        <f t="shared" ca="1" si="207"/>
        <v>1.02960538807276</v>
      </c>
      <c r="CT365" s="241">
        <f t="shared" ca="1" si="208"/>
        <v>249.98562436339861</v>
      </c>
      <c r="CZ365" s="164" t="b">
        <f t="shared" si="185"/>
        <v>1</v>
      </c>
      <c r="DA365" s="165" t="b">
        <f t="shared" si="185"/>
        <v>1</v>
      </c>
      <c r="DB365" s="166" t="b">
        <f t="shared" si="185"/>
        <v>1</v>
      </c>
      <c r="DC365" s="164">
        <f t="shared" si="186"/>
        <v>4</v>
      </c>
      <c r="DD365" s="166">
        <f t="shared" si="187"/>
        <v>235.83609553583807</v>
      </c>
      <c r="DE365" s="164">
        <f t="shared" si="188"/>
        <v>4</v>
      </c>
      <c r="DF365" s="166">
        <f t="shared" si="189"/>
        <v>254.99559954799278</v>
      </c>
      <c r="DG365" s="164">
        <f t="shared" si="190"/>
        <v>4</v>
      </c>
      <c r="DH365" s="166">
        <f t="shared" si="191"/>
        <v>274.1551035601475</v>
      </c>
      <c r="DI365" s="164">
        <f>IFERROR(INDEX(DC$359:DC$407,_xlfn.AGGREGATE(15,6,(ROW(DC$359:DC$407)-ROW(DC$359)+1)/(DC$359:DC$407&lt;&gt;""),ROWS(DI$1:DI7))),"")</f>
        <v>4</v>
      </c>
      <c r="DJ365" s="165">
        <f>IFERROR(INDEX(DD$359:DD$407,_xlfn.AGGREGATE(15,6,(ROW(DD$359:DD$407)-ROW(DD$359)+1)/(DD$359:DD$407&lt;&gt;""),ROWS(DJ$1:DJ7))),"")</f>
        <v>235.83609553583807</v>
      </c>
      <c r="DK365" s="166">
        <f t="shared" si="192"/>
        <v>365</v>
      </c>
      <c r="DL365" s="164">
        <f>IFERROR(INDEX(DE$359:DE$407,_xlfn.AGGREGATE(15,6,(ROW(DE$359:DE$407)-ROW(DE$359)+1)/(DE$359:DE$407&lt;&gt;""),ROWS(DL$1:DL7))),"")</f>
        <v>4</v>
      </c>
      <c r="DM365" s="165">
        <f>IFERROR(INDEX(DF$359:DF$407,_xlfn.AGGREGATE(15,6,(ROW(DF$359:DF$407)-ROW(DF$359)+1)/(DF$359:DF$407&lt;&gt;""),ROWS(DM$1:DM7))),"")</f>
        <v>254.99559954799278</v>
      </c>
      <c r="DN365" s="166">
        <f t="shared" si="193"/>
        <v>365</v>
      </c>
      <c r="DO365" s="164">
        <f>IFERROR(INDEX(DG$359:DG$407,_xlfn.AGGREGATE(15,6,(ROW(DG$359:DG$407)-ROW(DG$359)+1)/(DG$359:DG$407&lt;&gt;""),ROWS(DO$1:DO7))),"")</f>
        <v>4</v>
      </c>
      <c r="DP365" s="165">
        <f>IFERROR(INDEX(DH$359:DH$407,_xlfn.AGGREGATE(15,6,(ROW(DH$359:DH$407)-ROW(DH$359)+1)/(DH$359:DH$407&lt;&gt;""),ROWS(DP$1:DP7))),"")</f>
        <v>274.1551035601475</v>
      </c>
      <c r="DQ365" s="166">
        <f t="shared" si="194"/>
        <v>365</v>
      </c>
      <c r="DV365" s="145">
        <v>2021</v>
      </c>
      <c r="DW365" s="235">
        <f t="shared" ca="1" si="178"/>
        <v>270.71886865535981</v>
      </c>
      <c r="DZ365" s="135" t="s">
        <v>92</v>
      </c>
      <c r="EA365" s="33">
        <f ca="1">IF($EA$357="Linear",0,IF($EA$357="2nd Poly",0,IF($EA$357="3rd Poly",CI362,IF($EA$357="Exp",0))))</f>
        <v>-1.1147138877170906E-3</v>
      </c>
      <c r="EB365" s="33">
        <f ca="1">IF($EA$357="Linear",0,IF($EA$357="2nd Poly",CA362,IF($EA$357="3rd Poly",CJ362,IF($EA$357="Exp",0))))</f>
        <v>5.4151887734862868E-2</v>
      </c>
      <c r="EC365" s="33">
        <f t="shared" ca="1" si="209"/>
        <v>3.8446129376583977</v>
      </c>
      <c r="ED365" s="33">
        <f t="shared" ca="1" si="209"/>
        <v>222.03029642592716</v>
      </c>
      <c r="EE365" s="33" t="str">
        <f>IF($EA$357="Linear","Low",IF($EA$357="2nd Poly","Low",IF($EA$357="3rd Poly","Low","N/A")))</f>
        <v>Low</v>
      </c>
    </row>
    <row r="366" spans="1:135" ht="13.8" x14ac:dyDescent="0.45">
      <c r="A366" s="184" t="s">
        <v>88</v>
      </c>
      <c r="B366" s="128">
        <v>2019</v>
      </c>
      <c r="C366" s="1070">
        <v>243.80559360730595</v>
      </c>
      <c r="D366" s="1050">
        <v>289.03079553570433</v>
      </c>
      <c r="E366" s="1069"/>
      <c r="F366" s="1075"/>
      <c r="G366" s="1052"/>
      <c r="H366" s="1064"/>
      <c r="I366" s="1016">
        <v>249.41764705882352</v>
      </c>
      <c r="J366" s="159"/>
      <c r="K366" s="151"/>
      <c r="L366" s="152"/>
      <c r="M366" s="151"/>
      <c r="N366" s="29" t="s">
        <v>119</v>
      </c>
      <c r="O366" s="120"/>
      <c r="P366" s="120"/>
      <c r="Q366" s="120"/>
      <c r="R366" s="29">
        <v>5</v>
      </c>
      <c r="S366" s="238">
        <f t="shared" si="179"/>
        <v>243.80559360730595</v>
      </c>
      <c r="T366" s="238">
        <f t="shared" si="180"/>
        <v>289.03079553570433</v>
      </c>
      <c r="U366" s="238">
        <f t="shared" si="181"/>
        <v>20.127415150205515</v>
      </c>
      <c r="V366" s="20"/>
      <c r="W366" s="238">
        <f t="shared" si="182"/>
        <v>240.62393025040572</v>
      </c>
      <c r="X366" s="238">
        <f t="shared" si="183"/>
        <v>260.75134540061123</v>
      </c>
      <c r="Y366" s="238">
        <f t="shared" si="184"/>
        <v>280.87876055081676</v>
      </c>
      <c r="AA366" s="1133">
        <v>243.80559360730592</v>
      </c>
      <c r="AB366" s="1133">
        <v>266.41819457150513</v>
      </c>
      <c r="AC366" s="1133">
        <v>289.03079553570433</v>
      </c>
      <c r="AD366" s="138"/>
      <c r="AE366" s="138"/>
      <c r="AF366" s="138"/>
      <c r="AG366" s="138"/>
      <c r="AH366" s="138"/>
      <c r="AI366" s="138"/>
      <c r="AJ366" s="138"/>
      <c r="AK366" s="138"/>
      <c r="AL366" s="138"/>
      <c r="AM366" s="138"/>
      <c r="AN366" s="138"/>
      <c r="BR366" s="180">
        <v>2017</v>
      </c>
      <c r="BS366" s="22">
        <v>3</v>
      </c>
      <c r="BT366" s="198">
        <f t="shared" si="195"/>
        <v>14.336466660182261</v>
      </c>
      <c r="BU366" s="276">
        <f t="shared" si="196"/>
        <v>236.71362084506296</v>
      </c>
      <c r="BV366" s="241">
        <f t="shared" si="197"/>
        <v>251.05008750524522</v>
      </c>
      <c r="BY366" s="180">
        <v>2017</v>
      </c>
      <c r="BZ366" s="22">
        <v>3</v>
      </c>
      <c r="CA366" s="198">
        <f t="shared" ca="1" si="198"/>
        <v>-0.29066870760071611</v>
      </c>
      <c r="CB366" s="198">
        <f t="shared" ca="1" si="199"/>
        <v>18.599607704992756</v>
      </c>
      <c r="CC366" s="276">
        <f t="shared" ca="1" si="210"/>
        <v>227.54140829410704</v>
      </c>
      <c r="CD366" s="241">
        <f t="shared" ca="1" si="200"/>
        <v>245.85034729149908</v>
      </c>
      <c r="CG366" s="180">
        <v>2017</v>
      </c>
      <c r="CH366" s="22">
        <v>3</v>
      </c>
      <c r="CI366" s="198">
        <f t="shared" ca="1" si="201"/>
        <v>1.8172326585849469E-2</v>
      </c>
      <c r="CJ366" s="198">
        <f t="shared" ca="1" si="202"/>
        <v>-0.69045989248940554</v>
      </c>
      <c r="CK366" s="198">
        <f t="shared" ca="1" si="203"/>
        <v>20.804920493555539</v>
      </c>
      <c r="CL366" s="276">
        <f t="shared" ca="1" si="204"/>
        <v>225.70236884361898</v>
      </c>
      <c r="CM366" s="241">
        <f t="shared" ca="1" si="205"/>
        <v>245.83500177127098</v>
      </c>
      <c r="CP366" s="180">
        <v>2017</v>
      </c>
      <c r="CQ366" s="22">
        <v>3</v>
      </c>
      <c r="CR366" s="198">
        <f t="shared" ca="1" si="206"/>
        <v>242.79750986086785</v>
      </c>
      <c r="CS366" s="276">
        <f t="shared" ca="1" si="207"/>
        <v>1.0447351576969712</v>
      </c>
      <c r="CT366" s="241">
        <f t="shared" ca="1" si="208"/>
        <v>253.65909475292571</v>
      </c>
      <c r="CZ366" s="164" t="b">
        <f t="shared" si="185"/>
        <v>1</v>
      </c>
      <c r="DA366" s="165" t="b">
        <f t="shared" si="185"/>
        <v>1</v>
      </c>
      <c r="DB366" s="166" t="b">
        <f t="shared" si="185"/>
        <v>1</v>
      </c>
      <c r="DC366" s="164">
        <f t="shared" si="186"/>
        <v>5</v>
      </c>
      <c r="DD366" s="166">
        <f t="shared" si="187"/>
        <v>240.62393025040572</v>
      </c>
      <c r="DE366" s="164">
        <f t="shared" si="188"/>
        <v>5</v>
      </c>
      <c r="DF366" s="166">
        <f t="shared" si="189"/>
        <v>260.75134540061123</v>
      </c>
      <c r="DG366" s="164">
        <f t="shared" si="190"/>
        <v>5</v>
      </c>
      <c r="DH366" s="166">
        <f t="shared" si="191"/>
        <v>280.87876055081676</v>
      </c>
      <c r="DI366" s="164">
        <f>IFERROR(INDEX(DC$359:DC$407,_xlfn.AGGREGATE(15,6,(ROW(DC$359:DC$407)-ROW(DC$359)+1)/(DC$359:DC$407&lt;&gt;""),ROWS(DI$1:DI8))),"")</f>
        <v>5</v>
      </c>
      <c r="DJ366" s="165">
        <f>IFERROR(INDEX(DD$359:DD$407,_xlfn.AGGREGATE(15,6,(ROW(DD$359:DD$407)-ROW(DD$359)+1)/(DD$359:DD$407&lt;&gt;""),ROWS(DJ$1:DJ8))),"")</f>
        <v>240.62393025040572</v>
      </c>
      <c r="DK366" s="166">
        <f t="shared" si="192"/>
        <v>366</v>
      </c>
      <c r="DL366" s="164">
        <f>IFERROR(INDEX(DE$359:DE$407,_xlfn.AGGREGATE(15,6,(ROW(DE$359:DE$407)-ROW(DE$359)+1)/(DE$359:DE$407&lt;&gt;""),ROWS(DL$1:DL8))),"")</f>
        <v>5</v>
      </c>
      <c r="DM366" s="165">
        <f>IFERROR(INDEX(DF$359:DF$407,_xlfn.AGGREGATE(15,6,(ROW(DF$359:DF$407)-ROW(DF$359)+1)/(DF$359:DF$407&lt;&gt;""),ROWS(DM$1:DM8))),"")</f>
        <v>260.75134540061123</v>
      </c>
      <c r="DN366" s="166">
        <f t="shared" si="193"/>
        <v>366</v>
      </c>
      <c r="DO366" s="164">
        <f>IFERROR(INDEX(DG$359:DG$407,_xlfn.AGGREGATE(15,6,(ROW(DG$359:DG$407)-ROW(DG$359)+1)/(DG$359:DG$407&lt;&gt;""),ROWS(DO$1:DO8))),"")</f>
        <v>5</v>
      </c>
      <c r="DP366" s="165">
        <f>IFERROR(INDEX(DH$359:DH$407,_xlfn.AGGREGATE(15,6,(ROW(DH$359:DH$407)-ROW(DH$359)+1)/(DH$359:DH$407&lt;&gt;""),ROWS(DP$1:DP8))),"")</f>
        <v>280.87876055081676</v>
      </c>
      <c r="DQ366" s="166">
        <f t="shared" si="194"/>
        <v>366</v>
      </c>
      <c r="DV366" s="145">
        <v>2022</v>
      </c>
      <c r="DW366" s="235">
        <f t="shared" ca="1" si="178"/>
        <v>276.61682096917411</v>
      </c>
      <c r="DZ366" s="135"/>
      <c r="EA366" s="33"/>
      <c r="EB366" s="33"/>
      <c r="EC366" s="33"/>
      <c r="ED366" s="33"/>
      <c r="EE366" s="33"/>
    </row>
    <row r="367" spans="1:135" ht="13.8" x14ac:dyDescent="0.45">
      <c r="A367" s="194" t="s">
        <v>90</v>
      </c>
      <c r="B367" s="128">
        <v>2020</v>
      </c>
      <c r="C367" s="1070">
        <v>247.85388127853881</v>
      </c>
      <c r="D367" s="1050">
        <v>296.48987365593172</v>
      </c>
      <c r="E367" s="1069"/>
      <c r="F367" s="1075"/>
      <c r="G367" s="1052"/>
      <c r="H367" s="1034"/>
      <c r="I367" s="931">
        <v>255.62352941176471</v>
      </c>
      <c r="J367" s="168"/>
      <c r="K367" s="169"/>
      <c r="L367" s="170"/>
      <c r="M367" s="169"/>
      <c r="N367" s="29" t="s">
        <v>119</v>
      </c>
      <c r="O367" s="120"/>
      <c r="P367" s="120"/>
      <c r="Q367" s="120"/>
      <c r="R367" s="29">
        <v>6</v>
      </c>
      <c r="S367" s="195">
        <f t="shared" si="179"/>
        <v>247.85388127853881</v>
      </c>
      <c r="T367" s="195">
        <f t="shared" si="180"/>
        <v>296.48987365593172</v>
      </c>
      <c r="U367" s="195">
        <f t="shared" si="181"/>
        <v>21.333034577415177</v>
      </c>
      <c r="V367" s="20"/>
      <c r="W367" s="238">
        <f t="shared" si="182"/>
        <v>245.32272687132991</v>
      </c>
      <c r="X367" s="238">
        <f t="shared" si="183"/>
        <v>266.65576144874507</v>
      </c>
      <c r="Y367" s="238">
        <f t="shared" si="184"/>
        <v>287.98879602616023</v>
      </c>
      <c r="AA367" s="1133">
        <v>247.85388127853884</v>
      </c>
      <c r="AB367" s="1133">
        <v>272.17187746723528</v>
      </c>
      <c r="AC367" s="1133">
        <v>296.48987365593172</v>
      </c>
      <c r="AD367" s="138"/>
      <c r="AE367" s="138"/>
      <c r="AF367" s="138"/>
      <c r="AG367" s="138"/>
      <c r="AH367" s="138"/>
      <c r="AI367" s="138"/>
      <c r="AJ367" s="138"/>
      <c r="AK367" s="138"/>
      <c r="AL367" s="138"/>
      <c r="AM367" s="138"/>
      <c r="AN367" s="138"/>
      <c r="BR367" s="180">
        <v>2018</v>
      </c>
      <c r="BS367" s="22">
        <v>4</v>
      </c>
      <c r="BT367" s="198">
        <f t="shared" si="195"/>
        <v>19.115288880243014</v>
      </c>
      <c r="BU367" s="276">
        <f t="shared" si="196"/>
        <v>236.71362084506296</v>
      </c>
      <c r="BV367" s="241">
        <f t="shared" si="197"/>
        <v>255.82890972530598</v>
      </c>
      <c r="BY367" s="180">
        <v>2018</v>
      </c>
      <c r="BZ367" s="22">
        <v>4</v>
      </c>
      <c r="CA367" s="198">
        <f t="shared" ca="1" si="198"/>
        <v>-0.51674436906793975</v>
      </c>
      <c r="CB367" s="198">
        <f t="shared" ca="1" si="199"/>
        <v>24.799476939990342</v>
      </c>
      <c r="CC367" s="276">
        <f t="shared" ca="1" si="210"/>
        <v>227.54140829410704</v>
      </c>
      <c r="CD367" s="241">
        <f t="shared" ca="1" si="200"/>
        <v>251.82414086502945</v>
      </c>
      <c r="CG367" s="180">
        <v>2018</v>
      </c>
      <c r="CH367" s="22">
        <v>4</v>
      </c>
      <c r="CI367" s="198">
        <f t="shared" ca="1" si="201"/>
        <v>4.3075144499791329E-2</v>
      </c>
      <c r="CJ367" s="198">
        <f t="shared" ca="1" si="202"/>
        <v>-1.2274842533144987</v>
      </c>
      <c r="CK367" s="198">
        <f t="shared" ca="1" si="203"/>
        <v>27.739893991407385</v>
      </c>
      <c r="CL367" s="276">
        <f t="shared" ca="1" si="204"/>
        <v>225.70236884361898</v>
      </c>
      <c r="CM367" s="241">
        <f t="shared" ca="1" si="205"/>
        <v>252.25785372621166</v>
      </c>
      <c r="CP367" s="180">
        <v>2018</v>
      </c>
      <c r="CQ367" s="22">
        <v>4</v>
      </c>
      <c r="CR367" s="198">
        <f t="shared" ca="1" si="206"/>
        <v>242.79750986086785</v>
      </c>
      <c r="CS367" s="276">
        <f t="shared" ca="1" si="207"/>
        <v>1.0600872551484586</v>
      </c>
      <c r="CT367" s="241">
        <f t="shared" ca="1" si="208"/>
        <v>257.38654578528821</v>
      </c>
      <c r="CZ367" s="164" t="b">
        <f t="shared" si="185"/>
        <v>1</v>
      </c>
      <c r="DA367" s="165" t="b">
        <f t="shared" si="185"/>
        <v>1</v>
      </c>
      <c r="DB367" s="166" t="b">
        <f t="shared" si="185"/>
        <v>1</v>
      </c>
      <c r="DC367" s="164">
        <f t="shared" si="186"/>
        <v>6</v>
      </c>
      <c r="DD367" s="166">
        <f t="shared" si="187"/>
        <v>245.32272687132991</v>
      </c>
      <c r="DE367" s="164">
        <f t="shared" si="188"/>
        <v>6</v>
      </c>
      <c r="DF367" s="166">
        <f t="shared" si="189"/>
        <v>266.65576144874507</v>
      </c>
      <c r="DG367" s="164">
        <f t="shared" si="190"/>
        <v>6</v>
      </c>
      <c r="DH367" s="166">
        <f t="shared" si="191"/>
        <v>287.98879602616023</v>
      </c>
      <c r="DI367" s="164">
        <f>IFERROR(INDEX(DC$359:DC$407,_xlfn.AGGREGATE(15,6,(ROW(DC$359:DC$407)-ROW(DC$359)+1)/(DC$359:DC$407&lt;&gt;""),ROWS(DI$1:DI9))),"")</f>
        <v>6</v>
      </c>
      <c r="DJ367" s="165">
        <f>IFERROR(INDEX(DD$359:DD$407,_xlfn.AGGREGATE(15,6,(ROW(DD$359:DD$407)-ROW(DD$359)+1)/(DD$359:DD$407&lt;&gt;""),ROWS(DJ$1:DJ9))),"")</f>
        <v>245.32272687132991</v>
      </c>
      <c r="DK367" s="166">
        <f t="shared" si="192"/>
        <v>367</v>
      </c>
      <c r="DL367" s="164">
        <f>IFERROR(INDEX(DE$359:DE$407,_xlfn.AGGREGATE(15,6,(ROW(DE$359:DE$407)-ROW(DE$359)+1)/(DE$359:DE$407&lt;&gt;""),ROWS(DL$1:DL9))),"")</f>
        <v>6</v>
      </c>
      <c r="DM367" s="165">
        <f>IFERROR(INDEX(DF$359:DF$407,_xlfn.AGGREGATE(15,6,(ROW(DF$359:DF$407)-ROW(DF$359)+1)/(DF$359:DF$407&lt;&gt;""),ROWS(DM$1:DM9))),"")</f>
        <v>266.65576144874507</v>
      </c>
      <c r="DN367" s="166">
        <f t="shared" si="193"/>
        <v>367</v>
      </c>
      <c r="DO367" s="164">
        <f>IFERROR(INDEX(DG$359:DG$407,_xlfn.AGGREGATE(15,6,(ROW(DG$359:DG$407)-ROW(DG$359)+1)/(DG$359:DG$407&lt;&gt;""),ROWS(DO$1:DO9))),"")</f>
        <v>6</v>
      </c>
      <c r="DP367" s="165">
        <f>IFERROR(INDEX(DH$359:DH$407,_xlfn.AGGREGATE(15,6,(ROW(DH$359:DH$407)-ROW(DH$359)+1)/(DH$359:DH$407&lt;&gt;""),ROWS(DP$1:DP9))),"")</f>
        <v>287.98879602616023</v>
      </c>
      <c r="DQ367" s="166">
        <f t="shared" si="194"/>
        <v>367</v>
      </c>
      <c r="DV367" s="145">
        <v>2023</v>
      </c>
      <c r="DW367" s="235">
        <f t="shared" ca="1" si="178"/>
        <v>282.39364410969887</v>
      </c>
      <c r="DZ367" s="135"/>
      <c r="EA367" s="33" t="s">
        <v>86</v>
      </c>
      <c r="EB367" s="33" t="s">
        <v>87</v>
      </c>
      <c r="EC367" s="33"/>
      <c r="ED367" s="33"/>
      <c r="EE367" s="33"/>
    </row>
    <row r="368" spans="1:135" ht="14.1" thickBot="1" x14ac:dyDescent="0.5">
      <c r="A368" s="184" t="s">
        <v>80</v>
      </c>
      <c r="B368" s="128">
        <v>2021</v>
      </c>
      <c r="C368" s="1070">
        <v>251.90216894977169</v>
      </c>
      <c r="D368" s="1050">
        <v>302.52257133683094</v>
      </c>
      <c r="E368" s="1069"/>
      <c r="F368" s="1075"/>
      <c r="G368" s="1052"/>
      <c r="H368" s="1064"/>
      <c r="I368" s="1016">
        <v>261.82941176470587</v>
      </c>
      <c r="J368" s="159"/>
      <c r="K368" s="151"/>
      <c r="L368" s="152"/>
      <c r="M368" s="151"/>
      <c r="N368" s="29" t="s">
        <v>119</v>
      </c>
      <c r="O368" s="120"/>
      <c r="P368" s="120"/>
      <c r="Q368" s="120"/>
      <c r="R368" s="29">
        <v>7</v>
      </c>
      <c r="S368" s="196">
        <f t="shared" si="179"/>
        <v>251.90216894977169</v>
      </c>
      <c r="T368" s="196">
        <f t="shared" si="180"/>
        <v>302.52257133683094</v>
      </c>
      <c r="U368" s="196">
        <f t="shared" si="181"/>
        <v>21.901061678215232</v>
      </c>
      <c r="V368" s="20"/>
      <c r="W368" s="238">
        <f t="shared" si="182"/>
        <v>250.18365567222094</v>
      </c>
      <c r="X368" s="238">
        <f t="shared" si="183"/>
        <v>272.08471735043616</v>
      </c>
      <c r="Y368" s="238">
        <f t="shared" si="184"/>
        <v>293.98577902865139</v>
      </c>
      <c r="AA368" s="1133">
        <v>251.90216894977169</v>
      </c>
      <c r="AB368" s="1133">
        <v>277.21237014330131</v>
      </c>
      <c r="AC368" s="1133">
        <v>302.52257133683094</v>
      </c>
      <c r="AD368" s="138"/>
      <c r="AE368" s="138"/>
      <c r="AF368" s="138"/>
      <c r="AG368" s="138"/>
      <c r="AH368" s="138"/>
      <c r="AI368" s="138"/>
      <c r="AJ368" s="138"/>
      <c r="AK368" s="138"/>
      <c r="AL368" s="138"/>
      <c r="AM368" s="138"/>
      <c r="AN368" s="138"/>
      <c r="BR368" s="180">
        <v>2019</v>
      </c>
      <c r="BS368" s="22">
        <v>5</v>
      </c>
      <c r="BT368" s="198">
        <f t="shared" si="195"/>
        <v>23.894111100303768</v>
      </c>
      <c r="BU368" s="276">
        <f t="shared" si="196"/>
        <v>236.71362084506296</v>
      </c>
      <c r="BV368" s="283">
        <f t="shared" si="197"/>
        <v>260.60773194536671</v>
      </c>
      <c r="BY368" s="180">
        <v>2019</v>
      </c>
      <c r="BZ368" s="22">
        <v>5</v>
      </c>
      <c r="CA368" s="198">
        <f t="shared" ca="1" si="198"/>
        <v>-0.8074130766686558</v>
      </c>
      <c r="CB368" s="198">
        <f t="shared" ca="1" si="199"/>
        <v>30.999346174987927</v>
      </c>
      <c r="CC368" s="276">
        <f t="shared" ca="1" si="210"/>
        <v>227.54140829410704</v>
      </c>
      <c r="CD368" s="283">
        <f t="shared" ca="1" si="200"/>
        <v>257.73334139242633</v>
      </c>
      <c r="CG368" s="180">
        <v>2019</v>
      </c>
      <c r="CH368" s="22">
        <v>5</v>
      </c>
      <c r="CI368" s="198">
        <f t="shared" ca="1" si="201"/>
        <v>8.4131141601154938E-2</v>
      </c>
      <c r="CJ368" s="198">
        <f t="shared" ca="1" si="202"/>
        <v>-1.9179441458039044</v>
      </c>
      <c r="CK368" s="198">
        <f t="shared" ca="1" si="203"/>
        <v>34.674867489259228</v>
      </c>
      <c r="CL368" s="276">
        <f t="shared" ca="1" si="204"/>
        <v>225.70236884361898</v>
      </c>
      <c r="CM368" s="283">
        <f t="shared" ca="1" si="205"/>
        <v>258.54342332867543</v>
      </c>
      <c r="CP368" s="180">
        <v>2019</v>
      </c>
      <c r="CQ368" s="22">
        <v>5</v>
      </c>
      <c r="CR368" s="198">
        <f t="shared" ca="1" si="206"/>
        <v>242.79750986086785</v>
      </c>
      <c r="CS368" s="276">
        <f t="shared" ca="1" si="207"/>
        <v>1.0756649474738462</v>
      </c>
      <c r="CT368" s="283">
        <f t="shared" ca="1" si="208"/>
        <v>261.16877069127105</v>
      </c>
      <c r="CZ368" s="164" t="b">
        <f t="shared" si="185"/>
        <v>1</v>
      </c>
      <c r="DA368" s="165" t="b">
        <f t="shared" si="185"/>
        <v>1</v>
      </c>
      <c r="DB368" s="166" t="b">
        <f t="shared" si="185"/>
        <v>1</v>
      </c>
      <c r="DC368" s="164">
        <f t="shared" si="186"/>
        <v>7</v>
      </c>
      <c r="DD368" s="166">
        <f t="shared" si="187"/>
        <v>250.18365567222094</v>
      </c>
      <c r="DE368" s="164">
        <f t="shared" si="188"/>
        <v>7</v>
      </c>
      <c r="DF368" s="166">
        <f t="shared" si="189"/>
        <v>272.08471735043616</v>
      </c>
      <c r="DG368" s="164">
        <f t="shared" si="190"/>
        <v>7</v>
      </c>
      <c r="DH368" s="166">
        <f t="shared" si="191"/>
        <v>293.98577902865139</v>
      </c>
      <c r="DI368" s="164">
        <f>IFERROR(INDEX(DC$359:DC$407,_xlfn.AGGREGATE(15,6,(ROW(DC$359:DC$407)-ROW(DC$359)+1)/(DC$359:DC$407&lt;&gt;""),ROWS(DI$1:DI10))),"")</f>
        <v>7</v>
      </c>
      <c r="DJ368" s="165">
        <f>IFERROR(INDEX(DD$359:DD$407,_xlfn.AGGREGATE(15,6,(ROW(DD$359:DD$407)-ROW(DD$359)+1)/(DD$359:DD$407&lt;&gt;""),ROWS(DJ$1:DJ10))),"")</f>
        <v>250.18365567222094</v>
      </c>
      <c r="DK368" s="166">
        <f t="shared" si="192"/>
        <v>368</v>
      </c>
      <c r="DL368" s="164">
        <f>IFERROR(INDEX(DE$359:DE$407,_xlfn.AGGREGATE(15,6,(ROW(DE$359:DE$407)-ROW(DE$359)+1)/(DE$359:DE$407&lt;&gt;""),ROWS(DL$1:DL10))),"")</f>
        <v>7</v>
      </c>
      <c r="DM368" s="165">
        <f>IFERROR(INDEX(DF$359:DF$407,_xlfn.AGGREGATE(15,6,(ROW(DF$359:DF$407)-ROW(DF$359)+1)/(DF$359:DF$407&lt;&gt;""),ROWS(DM$1:DM10))),"")</f>
        <v>272.08471735043616</v>
      </c>
      <c r="DN368" s="166">
        <f t="shared" si="193"/>
        <v>368</v>
      </c>
      <c r="DO368" s="164">
        <f>IFERROR(INDEX(DG$359:DG$407,_xlfn.AGGREGATE(15,6,(ROW(DG$359:DG$407)-ROW(DG$359)+1)/(DG$359:DG$407&lt;&gt;""),ROWS(DO$1:DO10))),"")</f>
        <v>7</v>
      </c>
      <c r="DP368" s="165">
        <f>IFERROR(INDEX(DH$359:DH$407,_xlfn.AGGREGATE(15,6,(ROW(DH$359:DH$407)-ROW(DH$359)+1)/(DH$359:DH$407&lt;&gt;""),ROWS(DP$1:DP10))),"")</f>
        <v>293.98577902865139</v>
      </c>
      <c r="DQ368" s="166">
        <f t="shared" si="194"/>
        <v>368</v>
      </c>
      <c r="DV368" s="145">
        <v>2024</v>
      </c>
      <c r="DW368" s="235">
        <f t="shared" ca="1" si="178"/>
        <v>288.05337637173108</v>
      </c>
      <c r="DZ368" s="135" t="s">
        <v>92</v>
      </c>
      <c r="EA368" s="33">
        <f t="shared" ref="EA368:EB370" si="211">IF($EA$357="Linear",0,IF($EA$357="2nd Poly",0,IF($EA$357="3rd Poly",0,IF($EA$357="Exp",CR360))))</f>
        <v>0</v>
      </c>
      <c r="EB368" s="33">
        <f t="shared" si="211"/>
        <v>0</v>
      </c>
      <c r="EC368" s="33" t="str">
        <f>IF($EA$357="Linear","N/A",IF($EA$357="2nd Poly","N/A",IF($EA$357="3rd Poly","N/A","High")))</f>
        <v>N/A</v>
      </c>
      <c r="ED368" s="33"/>
      <c r="EE368" s="33"/>
    </row>
    <row r="369" spans="1:135" ht="13.8" x14ac:dyDescent="0.45">
      <c r="A369" s="148" t="s">
        <v>88</v>
      </c>
      <c r="B369" s="128">
        <v>2022</v>
      </c>
      <c r="C369" s="1070">
        <v>255.95045662100458</v>
      </c>
      <c r="D369" s="1050">
        <v>308.80402171775478</v>
      </c>
      <c r="E369" s="1069"/>
      <c r="F369" s="1075"/>
      <c r="G369" s="1052"/>
      <c r="H369" s="1035"/>
      <c r="I369" s="1111">
        <v>268.03529411764703</v>
      </c>
      <c r="J369" s="199"/>
      <c r="K369" s="200"/>
      <c r="L369" s="201"/>
      <c r="M369" s="200"/>
      <c r="N369" s="29" t="s">
        <v>119</v>
      </c>
      <c r="O369" s="120"/>
      <c r="P369" s="120"/>
      <c r="Q369" s="120"/>
      <c r="R369" s="29">
        <v>8</v>
      </c>
      <c r="S369" s="202">
        <f t="shared" si="179"/>
        <v>255.95045662100458</v>
      </c>
      <c r="T369" s="202">
        <f t="shared" si="180"/>
        <v>308.80402171775478</v>
      </c>
      <c r="U369" s="202">
        <f t="shared" si="181"/>
        <v>22.61177616220867</v>
      </c>
      <c r="V369" s="20"/>
      <c r="W369" s="238">
        <f t="shared" si="182"/>
        <v>254.98481465659341</v>
      </c>
      <c r="X369" s="238">
        <f t="shared" si="183"/>
        <v>277.5965908188021</v>
      </c>
      <c r="Y369" s="238">
        <f t="shared" si="184"/>
        <v>300.20836698101078</v>
      </c>
      <c r="AA369" s="1133">
        <v>255.95045662100455</v>
      </c>
      <c r="AB369" s="1133">
        <v>282.37723916937966</v>
      </c>
      <c r="AC369" s="1133">
        <v>308.80402171775478</v>
      </c>
      <c r="AD369" s="120"/>
      <c r="AE369" s="120"/>
      <c r="AF369" s="120"/>
      <c r="AG369" s="120"/>
      <c r="AH369" s="120"/>
      <c r="AI369" s="120"/>
      <c r="AJ369" s="120"/>
      <c r="AK369" s="120"/>
      <c r="AL369" s="120"/>
      <c r="AM369" s="120"/>
      <c r="AN369" s="120"/>
      <c r="BR369" s="180">
        <v>2020</v>
      </c>
      <c r="BS369" s="22">
        <v>6</v>
      </c>
      <c r="BT369" s="198">
        <f t="shared" si="195"/>
        <v>28.672933320364521</v>
      </c>
      <c r="BU369" s="276">
        <f t="shared" si="196"/>
        <v>236.71362084506296</v>
      </c>
      <c r="BV369" s="203">
        <f t="shared" si="197"/>
        <v>265.38655416542747</v>
      </c>
      <c r="BY369" s="180">
        <v>2020</v>
      </c>
      <c r="BZ369" s="22">
        <v>6</v>
      </c>
      <c r="CA369" s="198">
        <f t="shared" ca="1" si="198"/>
        <v>-1.1626748304028645</v>
      </c>
      <c r="CB369" s="198">
        <f t="shared" ca="1" si="199"/>
        <v>37.199215409985513</v>
      </c>
      <c r="CC369" s="276">
        <f t="shared" ca="1" si="210"/>
        <v>227.54140829410704</v>
      </c>
      <c r="CD369" s="203">
        <f t="shared" ca="1" si="200"/>
        <v>263.57794887368971</v>
      </c>
      <c r="CG369" s="180">
        <v>2020</v>
      </c>
      <c r="CH369" s="22">
        <v>6</v>
      </c>
      <c r="CI369" s="198">
        <f t="shared" ca="1" si="201"/>
        <v>0.14537861268679575</v>
      </c>
      <c r="CJ369" s="198">
        <f t="shared" ca="1" si="202"/>
        <v>-2.7618395699576221</v>
      </c>
      <c r="CK369" s="198">
        <f t="shared" ca="1" si="203"/>
        <v>41.609840987111077</v>
      </c>
      <c r="CL369" s="276">
        <f t="shared" ca="1" si="204"/>
        <v>225.70236884361898</v>
      </c>
      <c r="CM369" s="203">
        <f t="shared" ca="1" si="205"/>
        <v>264.69574887345925</v>
      </c>
      <c r="CP369" s="180">
        <v>2020</v>
      </c>
      <c r="CQ369" s="22">
        <v>6</v>
      </c>
      <c r="CR369" s="198">
        <f t="shared" ca="1" si="206"/>
        <v>242.79750986086785</v>
      </c>
      <c r="CS369" s="276">
        <f t="shared" ca="1" si="207"/>
        <v>1.0914715497281156</v>
      </c>
      <c r="CT369" s="203">
        <f t="shared" ca="1" si="208"/>
        <v>265.00657435796887</v>
      </c>
      <c r="CZ369" s="164" t="b">
        <f t="shared" si="185"/>
        <v>1</v>
      </c>
      <c r="DA369" s="165" t="b">
        <f t="shared" si="185"/>
        <v>1</v>
      </c>
      <c r="DB369" s="166" t="b">
        <f t="shared" si="185"/>
        <v>1</v>
      </c>
      <c r="DC369" s="164">
        <f t="shared" si="186"/>
        <v>8</v>
      </c>
      <c r="DD369" s="166">
        <f t="shared" si="187"/>
        <v>254.98481465659341</v>
      </c>
      <c r="DE369" s="164">
        <f t="shared" si="188"/>
        <v>8</v>
      </c>
      <c r="DF369" s="166">
        <f t="shared" si="189"/>
        <v>277.5965908188021</v>
      </c>
      <c r="DG369" s="164">
        <f t="shared" si="190"/>
        <v>8</v>
      </c>
      <c r="DH369" s="166">
        <f t="shared" si="191"/>
        <v>300.20836698101078</v>
      </c>
      <c r="DI369" s="164">
        <f>IFERROR(INDEX(DC$359:DC$407,_xlfn.AGGREGATE(15,6,(ROW(DC$359:DC$407)-ROW(DC$359)+1)/(DC$359:DC$407&lt;&gt;""),ROWS(DI$1:DI11))),"")</f>
        <v>8</v>
      </c>
      <c r="DJ369" s="165">
        <f>IFERROR(INDEX(DD$359:DD$407,_xlfn.AGGREGATE(15,6,(ROW(DD$359:DD$407)-ROW(DD$359)+1)/(DD$359:DD$407&lt;&gt;""),ROWS(DJ$1:DJ11))),"")</f>
        <v>254.98481465659341</v>
      </c>
      <c r="DK369" s="166">
        <f t="shared" si="192"/>
        <v>369</v>
      </c>
      <c r="DL369" s="164">
        <f>IFERROR(INDEX(DE$359:DE$407,_xlfn.AGGREGATE(15,6,(ROW(DE$359:DE$407)-ROW(DE$359)+1)/(DE$359:DE$407&lt;&gt;""),ROWS(DL$1:DL11))),"")</f>
        <v>8</v>
      </c>
      <c r="DM369" s="165">
        <f>IFERROR(INDEX(DF$359:DF$407,_xlfn.AGGREGATE(15,6,(ROW(DF$359:DF$407)-ROW(DF$359)+1)/(DF$359:DF$407&lt;&gt;""),ROWS(DM$1:DM11))),"")</f>
        <v>277.5965908188021</v>
      </c>
      <c r="DN369" s="166">
        <f t="shared" si="193"/>
        <v>369</v>
      </c>
      <c r="DO369" s="164">
        <f>IFERROR(INDEX(DG$359:DG$407,_xlfn.AGGREGATE(15,6,(ROW(DG$359:DG$407)-ROW(DG$359)+1)/(DG$359:DG$407&lt;&gt;""),ROWS(DO$1:DO11))),"")</f>
        <v>8</v>
      </c>
      <c r="DP369" s="165">
        <f>IFERROR(INDEX(DH$359:DH$407,_xlfn.AGGREGATE(15,6,(ROW(DH$359:DH$407)-ROW(DH$359)+1)/(DH$359:DH$407&lt;&gt;""),ROWS(DP$1:DP11))),"")</f>
        <v>300.20836698101078</v>
      </c>
      <c r="DQ369" s="166">
        <f t="shared" si="194"/>
        <v>369</v>
      </c>
      <c r="DV369" s="145">
        <v>2025</v>
      </c>
      <c r="DW369" s="235">
        <f t="shared" ca="1" si="178"/>
        <v>293.60005605006751</v>
      </c>
      <c r="DZ369" s="135" t="s">
        <v>92</v>
      </c>
      <c r="EA369" s="33">
        <f t="shared" si="211"/>
        <v>0</v>
      </c>
      <c r="EB369" s="33">
        <f t="shared" si="211"/>
        <v>0</v>
      </c>
      <c r="EC369" s="33" t="str">
        <f>IF($EA$357="Linear","N/A",IF($EA$357="2nd Poly","N/A",IF($EA$357="3rd Poly","N/A","Medium")))</f>
        <v>N/A</v>
      </c>
    </row>
    <row r="370" spans="1:135" ht="13.8" x14ac:dyDescent="0.45">
      <c r="B370" s="128">
        <v>2023</v>
      </c>
      <c r="C370" s="1070">
        <v>259.99874429223746</v>
      </c>
      <c r="D370" s="1050">
        <v>314.89306172054654</v>
      </c>
      <c r="E370" s="1069"/>
      <c r="F370" s="1075"/>
      <c r="G370" s="1052"/>
      <c r="H370" s="1035"/>
      <c r="I370" s="1111">
        <v>274.24117647058824</v>
      </c>
      <c r="J370" s="199"/>
      <c r="K370" s="200"/>
      <c r="L370" s="201"/>
      <c r="M370" s="200"/>
      <c r="N370" s="29" t="s">
        <v>119</v>
      </c>
      <c r="O370" s="120"/>
      <c r="P370" s="120"/>
      <c r="Q370" s="120"/>
      <c r="R370" s="29">
        <v>9</v>
      </c>
      <c r="S370" s="202">
        <f t="shared" si="179"/>
        <v>259.99874429223746</v>
      </c>
      <c r="T370" s="202">
        <f t="shared" si="180"/>
        <v>314.89306172054654</v>
      </c>
      <c r="U370" s="202">
        <f t="shared" si="181"/>
        <v>23.258949853648112</v>
      </c>
      <c r="V370" s="20"/>
      <c r="W370" s="238">
        <f t="shared" si="182"/>
        <v>259.78537764080926</v>
      </c>
      <c r="X370" s="238">
        <f t="shared" si="183"/>
        <v>283.04432749445738</v>
      </c>
      <c r="Y370" s="238">
        <f t="shared" si="184"/>
        <v>306.3032773481055</v>
      </c>
      <c r="AA370" s="1133">
        <v>259.99874429223746</v>
      </c>
      <c r="AB370" s="1133">
        <v>287.44590300639197</v>
      </c>
      <c r="AC370" s="1133">
        <v>314.89306172054648</v>
      </c>
      <c r="AD370" s="120"/>
      <c r="AE370" s="120"/>
      <c r="AF370" s="120"/>
      <c r="AG370" s="120"/>
      <c r="AH370" s="120"/>
      <c r="AI370" s="120"/>
      <c r="AJ370" s="120"/>
      <c r="AK370" s="120"/>
      <c r="AL370" s="120"/>
      <c r="AM370" s="120"/>
      <c r="AN370" s="120"/>
      <c r="BR370" s="180">
        <v>2021</v>
      </c>
      <c r="BS370" s="22">
        <v>7</v>
      </c>
      <c r="BT370" s="198">
        <f t="shared" si="195"/>
        <v>33.451755540425275</v>
      </c>
      <c r="BU370" s="276">
        <f t="shared" si="196"/>
        <v>236.71362084506296</v>
      </c>
      <c r="BV370" s="205">
        <f t="shared" si="197"/>
        <v>270.16537638548823</v>
      </c>
      <c r="BY370" s="180">
        <v>2021</v>
      </c>
      <c r="BZ370" s="22">
        <v>7</v>
      </c>
      <c r="CA370" s="198">
        <f t="shared" ca="1" si="198"/>
        <v>-1.5825296302705654</v>
      </c>
      <c r="CB370" s="198">
        <f t="shared" ca="1" si="199"/>
        <v>43.399084644983098</v>
      </c>
      <c r="CC370" s="276">
        <f t="shared" ca="1" si="210"/>
        <v>227.54140829410704</v>
      </c>
      <c r="CD370" s="205">
        <f t="shared" ca="1" si="200"/>
        <v>269.35796330881959</v>
      </c>
      <c r="CG370" s="180">
        <v>2021</v>
      </c>
      <c r="CH370" s="22">
        <v>7</v>
      </c>
      <c r="CI370" s="198">
        <f t="shared" ca="1" si="201"/>
        <v>0.23085585255356916</v>
      </c>
      <c r="CJ370" s="198">
        <f t="shared" ca="1" si="202"/>
        <v>-3.7591705257756525</v>
      </c>
      <c r="CK370" s="198">
        <f t="shared" ca="1" si="203"/>
        <v>48.544814484962927</v>
      </c>
      <c r="CL370" s="276">
        <f t="shared" ca="1" si="204"/>
        <v>225.70236884361898</v>
      </c>
      <c r="CM370" s="205">
        <f t="shared" ca="1" si="205"/>
        <v>270.71886865535981</v>
      </c>
      <c r="CP370" s="180">
        <v>2021</v>
      </c>
      <c r="CQ370" s="22">
        <v>7</v>
      </c>
      <c r="CR370" s="198">
        <f t="shared" ca="1" si="206"/>
        <v>242.79750986086785</v>
      </c>
      <c r="CS370" s="276">
        <f t="shared" ca="1" si="207"/>
        <v>1.1075104256800743</v>
      </c>
      <c r="CT370" s="205">
        <f t="shared" ca="1" si="208"/>
        <v>268.90077350007181</v>
      </c>
      <c r="CZ370" s="164" t="b">
        <f t="shared" si="185"/>
        <v>1</v>
      </c>
      <c r="DA370" s="165" t="b">
        <f t="shared" si="185"/>
        <v>1</v>
      </c>
      <c r="DB370" s="166" t="b">
        <f t="shared" si="185"/>
        <v>1</v>
      </c>
      <c r="DC370" s="164">
        <f t="shared" si="186"/>
        <v>9</v>
      </c>
      <c r="DD370" s="166">
        <f t="shared" si="187"/>
        <v>259.78537764080926</v>
      </c>
      <c r="DE370" s="164">
        <f t="shared" si="188"/>
        <v>9</v>
      </c>
      <c r="DF370" s="166">
        <f t="shared" si="189"/>
        <v>283.04432749445738</v>
      </c>
      <c r="DG370" s="164">
        <f t="shared" si="190"/>
        <v>9</v>
      </c>
      <c r="DH370" s="166">
        <f t="shared" si="191"/>
        <v>306.3032773481055</v>
      </c>
      <c r="DI370" s="164">
        <f>IFERROR(INDEX(DC$359:DC$407,_xlfn.AGGREGATE(15,6,(ROW(DC$359:DC$407)-ROW(DC$359)+1)/(DC$359:DC$407&lt;&gt;""),ROWS(DI$1:DI12))),"")</f>
        <v>9</v>
      </c>
      <c r="DJ370" s="165">
        <f>IFERROR(INDEX(DD$359:DD$407,_xlfn.AGGREGATE(15,6,(ROW(DD$359:DD$407)-ROW(DD$359)+1)/(DD$359:DD$407&lt;&gt;""),ROWS(DJ$1:DJ12))),"")</f>
        <v>259.78537764080926</v>
      </c>
      <c r="DK370" s="166">
        <f t="shared" si="192"/>
        <v>370</v>
      </c>
      <c r="DL370" s="164">
        <f>IFERROR(INDEX(DE$359:DE$407,_xlfn.AGGREGATE(15,6,(ROW(DE$359:DE$407)-ROW(DE$359)+1)/(DE$359:DE$407&lt;&gt;""),ROWS(DL$1:DL12))),"")</f>
        <v>9</v>
      </c>
      <c r="DM370" s="165">
        <f>IFERROR(INDEX(DF$359:DF$407,_xlfn.AGGREGATE(15,6,(ROW(DF$359:DF$407)-ROW(DF$359)+1)/(DF$359:DF$407&lt;&gt;""),ROWS(DM$1:DM12))),"")</f>
        <v>283.04432749445738</v>
      </c>
      <c r="DN370" s="166">
        <f t="shared" si="193"/>
        <v>370</v>
      </c>
      <c r="DO370" s="164">
        <f>IFERROR(INDEX(DG$359:DG$407,_xlfn.AGGREGATE(15,6,(ROW(DG$359:DG$407)-ROW(DG$359)+1)/(DG$359:DG$407&lt;&gt;""),ROWS(DO$1:DO12))),"")</f>
        <v>9</v>
      </c>
      <c r="DP370" s="165">
        <f>IFERROR(INDEX(DH$359:DH$407,_xlfn.AGGREGATE(15,6,(ROW(DH$359:DH$407)-ROW(DH$359)+1)/(DH$359:DH$407&lt;&gt;""),ROWS(DP$1:DP12))),"")</f>
        <v>306.3032773481055</v>
      </c>
      <c r="DQ370" s="166">
        <f t="shared" si="194"/>
        <v>370</v>
      </c>
      <c r="DV370" s="145">
        <v>2026</v>
      </c>
      <c r="DW370" s="235">
        <f t="shared" ca="1" si="178"/>
        <v>299.03772143950505</v>
      </c>
      <c r="DZ370" s="135" t="s">
        <v>92</v>
      </c>
      <c r="EA370" s="33">
        <f t="shared" si="211"/>
        <v>0</v>
      </c>
      <c r="EB370" s="33">
        <f t="shared" si="211"/>
        <v>0</v>
      </c>
      <c r="EC370" s="33" t="str">
        <f>IF($EA$357="Linear","N/A",IF($EA$357="2nd Poly","N/A",IF($EA$357="3rd Poly","N/A","Low")))</f>
        <v>N/A</v>
      </c>
    </row>
    <row r="371" spans="1:135" ht="13.8" x14ac:dyDescent="0.45">
      <c r="B371" s="128">
        <v>2024</v>
      </c>
      <c r="C371" s="1070">
        <v>264.04703196347032</v>
      </c>
      <c r="D371" s="1050">
        <v>320.78736179625207</v>
      </c>
      <c r="E371" s="1069"/>
      <c r="F371" s="1075"/>
      <c r="G371" s="1052"/>
      <c r="H371" s="1036"/>
      <c r="I371" s="1112">
        <v>280.4470588235294</v>
      </c>
      <c r="J371" s="247"/>
      <c r="K371" s="245"/>
      <c r="L371" s="246"/>
      <c r="M371" s="245"/>
      <c r="N371" s="29" t="s">
        <v>119</v>
      </c>
      <c r="O371" s="120"/>
      <c r="P371" s="120"/>
      <c r="Q371" s="120"/>
      <c r="R371" s="29">
        <v>10</v>
      </c>
      <c r="S371" s="238">
        <f t="shared" si="179"/>
        <v>264.04703196347032</v>
      </c>
      <c r="T371" s="238">
        <f t="shared" si="180"/>
        <v>320.78736179625207</v>
      </c>
      <c r="U371" s="238">
        <f t="shared" si="181"/>
        <v>23.841527622743985</v>
      </c>
      <c r="V371" s="20"/>
      <c r="W371" s="238">
        <f t="shared" si="182"/>
        <v>264.58562323833996</v>
      </c>
      <c r="X371" s="238">
        <f t="shared" si="183"/>
        <v>288.42715086108393</v>
      </c>
      <c r="Y371" s="238">
        <f t="shared" si="184"/>
        <v>312.2686784838279</v>
      </c>
      <c r="AA371" s="1133">
        <v>264.04703196347032</v>
      </c>
      <c r="AB371" s="1133">
        <v>292.41719687986119</v>
      </c>
      <c r="AC371" s="1133">
        <v>320.78736179625207</v>
      </c>
      <c r="AD371" s="120"/>
      <c r="AE371" s="120"/>
      <c r="AF371" s="120"/>
      <c r="AG371" s="120"/>
      <c r="AH371" s="120"/>
      <c r="AI371" s="120"/>
      <c r="AJ371" s="120"/>
      <c r="AK371" s="120"/>
      <c r="AL371" s="120"/>
      <c r="AM371" s="120"/>
      <c r="AN371" s="120"/>
      <c r="BR371" s="180">
        <v>2022</v>
      </c>
      <c r="BS371" s="22">
        <v>8</v>
      </c>
      <c r="BT371" s="198">
        <f t="shared" si="195"/>
        <v>38.230577760486028</v>
      </c>
      <c r="BU371" s="276">
        <f t="shared" si="196"/>
        <v>236.71362084506296</v>
      </c>
      <c r="BV371" s="205">
        <f t="shared" si="197"/>
        <v>274.94419860554899</v>
      </c>
      <c r="BY371" s="180">
        <v>2022</v>
      </c>
      <c r="BZ371" s="22">
        <v>8</v>
      </c>
      <c r="CA371" s="198">
        <f t="shared" ca="1" si="198"/>
        <v>-2.066977476271759</v>
      </c>
      <c r="CB371" s="198">
        <f t="shared" ca="1" si="199"/>
        <v>49.598953879980684</v>
      </c>
      <c r="CC371" s="276">
        <f t="shared" ca="1" si="210"/>
        <v>227.54140829410704</v>
      </c>
      <c r="CD371" s="205">
        <f t="shared" ca="1" si="200"/>
        <v>275.07338469781598</v>
      </c>
      <c r="CG371" s="180">
        <v>2022</v>
      </c>
      <c r="CH371" s="22">
        <v>8</v>
      </c>
      <c r="CI371" s="198">
        <f t="shared" ca="1" si="201"/>
        <v>0.34460115599833063</v>
      </c>
      <c r="CJ371" s="198">
        <f t="shared" ca="1" si="202"/>
        <v>-4.9099370132579949</v>
      </c>
      <c r="CK371" s="198">
        <f t="shared" ca="1" si="203"/>
        <v>55.47978798281477</v>
      </c>
      <c r="CL371" s="276">
        <f t="shared" ca="1" si="204"/>
        <v>225.70236884361898</v>
      </c>
      <c r="CM371" s="205">
        <f t="shared" ca="1" si="205"/>
        <v>276.61682096917411</v>
      </c>
      <c r="CP371" s="180">
        <v>2022</v>
      </c>
      <c r="CQ371" s="22">
        <v>8</v>
      </c>
      <c r="CR371" s="198">
        <f t="shared" ca="1" si="206"/>
        <v>242.79750986086785</v>
      </c>
      <c r="CS371" s="276">
        <f t="shared" ca="1" si="207"/>
        <v>1.1237849885281932</v>
      </c>
      <c r="CT371" s="205">
        <f t="shared" ca="1" si="208"/>
        <v>272.85219683366927</v>
      </c>
      <c r="CZ371" s="164" t="b">
        <f t="shared" si="185"/>
        <v>1</v>
      </c>
      <c r="DA371" s="165" t="b">
        <f t="shared" si="185"/>
        <v>1</v>
      </c>
      <c r="DB371" s="166" t="b">
        <f t="shared" si="185"/>
        <v>1</v>
      </c>
      <c r="DC371" s="164">
        <f t="shared" si="186"/>
        <v>10</v>
      </c>
      <c r="DD371" s="166">
        <f t="shared" si="187"/>
        <v>264.58562323833996</v>
      </c>
      <c r="DE371" s="164">
        <f t="shared" si="188"/>
        <v>10</v>
      </c>
      <c r="DF371" s="166">
        <f t="shared" si="189"/>
        <v>288.42715086108393</v>
      </c>
      <c r="DG371" s="164">
        <f t="shared" si="190"/>
        <v>10</v>
      </c>
      <c r="DH371" s="166">
        <f t="shared" si="191"/>
        <v>312.2686784838279</v>
      </c>
      <c r="DI371" s="164">
        <f>IFERROR(INDEX(DC$359:DC$407,_xlfn.AGGREGATE(15,6,(ROW(DC$359:DC$407)-ROW(DC$359)+1)/(DC$359:DC$407&lt;&gt;""),ROWS(DI$1:DI13))),"")</f>
        <v>10</v>
      </c>
      <c r="DJ371" s="165">
        <f>IFERROR(INDEX(DD$359:DD$407,_xlfn.AGGREGATE(15,6,(ROW(DD$359:DD$407)-ROW(DD$359)+1)/(DD$359:DD$407&lt;&gt;""),ROWS(DJ$1:DJ13))),"")</f>
        <v>264.58562323833996</v>
      </c>
      <c r="DK371" s="166">
        <f t="shared" si="192"/>
        <v>371</v>
      </c>
      <c r="DL371" s="164">
        <f>IFERROR(INDEX(DE$359:DE$407,_xlfn.AGGREGATE(15,6,(ROW(DE$359:DE$407)-ROW(DE$359)+1)/(DE$359:DE$407&lt;&gt;""),ROWS(DL$1:DL13))),"")</f>
        <v>10</v>
      </c>
      <c r="DM371" s="165">
        <f>IFERROR(INDEX(DF$359:DF$407,_xlfn.AGGREGATE(15,6,(ROW(DF$359:DF$407)-ROW(DF$359)+1)/(DF$359:DF$407&lt;&gt;""),ROWS(DM$1:DM13))),"")</f>
        <v>288.42715086108393</v>
      </c>
      <c r="DN371" s="166">
        <f t="shared" si="193"/>
        <v>371</v>
      </c>
      <c r="DO371" s="164">
        <f>IFERROR(INDEX(DG$359:DG$407,_xlfn.AGGREGATE(15,6,(ROW(DG$359:DG$407)-ROW(DG$359)+1)/(DG$359:DG$407&lt;&gt;""),ROWS(DO$1:DO13))),"")</f>
        <v>10</v>
      </c>
      <c r="DP371" s="165">
        <f>IFERROR(INDEX(DH$359:DH$407,_xlfn.AGGREGATE(15,6,(ROW(DH$359:DH$407)-ROW(DH$359)+1)/(DH$359:DH$407&lt;&gt;""),ROWS(DP$1:DP13))),"")</f>
        <v>312.2686784838279</v>
      </c>
      <c r="DQ371" s="166">
        <f t="shared" si="194"/>
        <v>371</v>
      </c>
      <c r="DV371" s="145">
        <v>2027</v>
      </c>
      <c r="DW371" s="235">
        <f t="shared" ca="1" si="178"/>
        <v>304.37041083484047</v>
      </c>
    </row>
    <row r="372" spans="1:135" ht="13.8" x14ac:dyDescent="0.45">
      <c r="B372" s="128">
        <v>2025</v>
      </c>
      <c r="C372" s="1070">
        <v>268.09531963470317</v>
      </c>
      <c r="D372" s="1050">
        <v>327.25295608441138</v>
      </c>
      <c r="E372" s="1069"/>
      <c r="F372" s="1075"/>
      <c r="G372" s="1052"/>
      <c r="H372" s="1036"/>
      <c r="I372" s="1112">
        <v>286.65294117647056</v>
      </c>
      <c r="J372" s="247"/>
      <c r="K372" s="245"/>
      <c r="L372" s="246"/>
      <c r="M372" s="245"/>
      <c r="N372" s="29" t="s">
        <v>119</v>
      </c>
      <c r="O372" s="120"/>
      <c r="P372" s="120"/>
      <c r="Q372" s="120"/>
      <c r="R372" s="29">
        <v>11</v>
      </c>
      <c r="S372" s="238">
        <f t="shared" si="179"/>
        <v>268.09531963470317</v>
      </c>
      <c r="T372" s="238">
        <f t="shared" si="180"/>
        <v>327.25295608441138</v>
      </c>
      <c r="U372" s="238">
        <f t="shared" si="181"/>
        <v>24.703514095790613</v>
      </c>
      <c r="W372" s="238">
        <f t="shared" si="182"/>
        <v>269.29689153607109</v>
      </c>
      <c r="X372" s="238">
        <f t="shared" si="183"/>
        <v>294.00040563186172</v>
      </c>
      <c r="Y372" s="238">
        <f t="shared" si="184"/>
        <v>318.70391972765236</v>
      </c>
      <c r="AA372" s="1133">
        <v>268.09531963470317</v>
      </c>
      <c r="AB372" s="1133">
        <v>297.67413785955728</v>
      </c>
      <c r="AC372" s="1133">
        <v>327.25295608441138</v>
      </c>
      <c r="AD372" s="120"/>
      <c r="AE372" s="120"/>
      <c r="AF372" s="120"/>
      <c r="AG372" s="120"/>
      <c r="AH372" s="120"/>
      <c r="AI372" s="120"/>
      <c r="AJ372" s="120"/>
      <c r="AK372" s="120"/>
      <c r="AL372" s="120"/>
      <c r="AM372" s="120"/>
      <c r="AN372" s="120"/>
      <c r="BR372" s="180">
        <v>2023</v>
      </c>
      <c r="BS372" s="22">
        <v>9</v>
      </c>
      <c r="BT372" s="198">
        <f t="shared" si="195"/>
        <v>43.009399980546782</v>
      </c>
      <c r="BU372" s="276">
        <f t="shared" si="196"/>
        <v>236.71362084506296</v>
      </c>
      <c r="BV372" s="205">
        <f t="shared" si="197"/>
        <v>279.72302082560975</v>
      </c>
      <c r="BY372" s="180">
        <v>2023</v>
      </c>
      <c r="BZ372" s="22">
        <v>9</v>
      </c>
      <c r="CA372" s="198">
        <f t="shared" ca="1" si="198"/>
        <v>-2.6160183684064449</v>
      </c>
      <c r="CB372" s="198">
        <f t="shared" ca="1" si="199"/>
        <v>55.798823114978269</v>
      </c>
      <c r="CC372" s="276">
        <f t="shared" ca="1" si="210"/>
        <v>227.54140829410704</v>
      </c>
      <c r="CD372" s="205">
        <f t="shared" ca="1" si="200"/>
        <v>280.72421304067888</v>
      </c>
      <c r="CG372" s="180">
        <v>2023</v>
      </c>
      <c r="CH372" s="22">
        <v>9</v>
      </c>
      <c r="CI372" s="198">
        <f t="shared" ca="1" si="201"/>
        <v>0.49065281781793563</v>
      </c>
      <c r="CJ372" s="198">
        <f t="shared" ca="1" si="202"/>
        <v>-6.2141390324046499</v>
      </c>
      <c r="CK372" s="198">
        <f t="shared" ca="1" si="203"/>
        <v>62.414761480666613</v>
      </c>
      <c r="CL372" s="276">
        <f t="shared" ca="1" si="204"/>
        <v>225.70236884361898</v>
      </c>
      <c r="CM372" s="205">
        <f t="shared" ca="1" si="205"/>
        <v>282.39364410969887</v>
      </c>
      <c r="CP372" s="180">
        <v>2023</v>
      </c>
      <c r="CQ372" s="22">
        <v>9</v>
      </c>
      <c r="CR372" s="198">
        <f t="shared" ca="1" si="206"/>
        <v>242.79750986086785</v>
      </c>
      <c r="CS372" s="276">
        <f t="shared" ca="1" si="207"/>
        <v>1.1402987016269606</v>
      </c>
      <c r="CT372" s="205">
        <f t="shared" ca="1" si="208"/>
        <v>276.86168525260678</v>
      </c>
      <c r="CZ372" s="164" t="b">
        <f t="shared" si="185"/>
        <v>1</v>
      </c>
      <c r="DA372" s="165" t="b">
        <f t="shared" si="185"/>
        <v>1</v>
      </c>
      <c r="DB372" s="166" t="b">
        <f t="shared" si="185"/>
        <v>1</v>
      </c>
      <c r="DC372" s="164">
        <f t="shared" si="186"/>
        <v>11</v>
      </c>
      <c r="DD372" s="166">
        <f t="shared" si="187"/>
        <v>269.29689153607109</v>
      </c>
      <c r="DE372" s="164">
        <f t="shared" si="188"/>
        <v>11</v>
      </c>
      <c r="DF372" s="166">
        <f t="shared" si="189"/>
        <v>294.00040563186172</v>
      </c>
      <c r="DG372" s="164">
        <f t="shared" si="190"/>
        <v>11</v>
      </c>
      <c r="DH372" s="166">
        <f t="shared" si="191"/>
        <v>318.70391972765236</v>
      </c>
      <c r="DI372" s="164">
        <f>IFERROR(INDEX(DC$359:DC$407,_xlfn.AGGREGATE(15,6,(ROW(DC$359:DC$407)-ROW(DC$359)+1)/(DC$359:DC$407&lt;&gt;""),ROWS(DI$1:DI14))),"")</f>
        <v>11</v>
      </c>
      <c r="DJ372" s="165">
        <f>IFERROR(INDEX(DD$359:DD$407,_xlfn.AGGREGATE(15,6,(ROW(DD$359:DD$407)-ROW(DD$359)+1)/(DD$359:DD$407&lt;&gt;""),ROWS(DJ$1:DJ14))),"")</f>
        <v>269.29689153607109</v>
      </c>
      <c r="DK372" s="166">
        <f t="shared" si="192"/>
        <v>372</v>
      </c>
      <c r="DL372" s="164">
        <f>IFERROR(INDEX(DE$359:DE$407,_xlfn.AGGREGATE(15,6,(ROW(DE$359:DE$407)-ROW(DE$359)+1)/(DE$359:DE$407&lt;&gt;""),ROWS(DL$1:DL14))),"")</f>
        <v>11</v>
      </c>
      <c r="DM372" s="165">
        <f>IFERROR(INDEX(DF$359:DF$407,_xlfn.AGGREGATE(15,6,(ROW(DF$359:DF$407)-ROW(DF$359)+1)/(DF$359:DF$407&lt;&gt;""),ROWS(DM$1:DM14))),"")</f>
        <v>294.00040563186172</v>
      </c>
      <c r="DN372" s="166">
        <f t="shared" si="193"/>
        <v>372</v>
      </c>
      <c r="DO372" s="164">
        <f>IFERROR(INDEX(DG$359:DG$407,_xlfn.AGGREGATE(15,6,(ROW(DG$359:DG$407)-ROW(DG$359)+1)/(DG$359:DG$407&lt;&gt;""),ROWS(DO$1:DO14))),"")</f>
        <v>11</v>
      </c>
      <c r="DP372" s="165">
        <f>IFERROR(INDEX(DH$359:DH$407,_xlfn.AGGREGATE(15,6,(ROW(DH$359:DH$407)-ROW(DH$359)+1)/(DH$359:DH$407&lt;&gt;""),ROWS(DP$1:DP14))),"")</f>
        <v>318.70391972765236</v>
      </c>
      <c r="DQ372" s="166">
        <f t="shared" si="194"/>
        <v>372</v>
      </c>
      <c r="DV372" s="145">
        <v>2028</v>
      </c>
      <c r="DW372" s="235">
        <f t="shared" ca="1" si="178"/>
        <v>309.60216253087077</v>
      </c>
    </row>
    <row r="373" spans="1:135" ht="13.8" x14ac:dyDescent="0.45">
      <c r="B373" s="128">
        <v>2026</v>
      </c>
      <c r="C373" s="1070">
        <v>272.14360730593609</v>
      </c>
      <c r="D373" s="1050">
        <v>331.98788947312192</v>
      </c>
      <c r="E373" s="1069"/>
      <c r="F373" s="1075"/>
      <c r="G373" s="1052"/>
      <c r="H373" s="1036"/>
      <c r="I373" s="1112">
        <v>292.85882352941178</v>
      </c>
      <c r="J373" s="247"/>
      <c r="K373" s="245"/>
      <c r="L373" s="246"/>
      <c r="M373" s="245"/>
      <c r="N373" s="29" t="s">
        <v>119</v>
      </c>
      <c r="O373" s="120"/>
      <c r="P373" s="120"/>
      <c r="Q373" s="120"/>
      <c r="R373" s="29">
        <v>12</v>
      </c>
      <c r="S373" s="238">
        <f t="shared" si="179"/>
        <v>272.14360730593609</v>
      </c>
      <c r="T373" s="238">
        <f t="shared" si="180"/>
        <v>331.98788947312192</v>
      </c>
      <c r="U373" s="238">
        <f t="shared" si="181"/>
        <v>24.81384490991163</v>
      </c>
      <c r="W373" s="238">
        <f t="shared" si="182"/>
        <v>274.18292852624501</v>
      </c>
      <c r="X373" s="238">
        <f t="shared" si="183"/>
        <v>298.99677343615662</v>
      </c>
      <c r="Y373" s="238">
        <f t="shared" si="184"/>
        <v>323.81061834606822</v>
      </c>
      <c r="AA373" s="1133">
        <v>272.14360730593609</v>
      </c>
      <c r="AB373" s="1133">
        <v>302.06574838952901</v>
      </c>
      <c r="AC373" s="1133">
        <v>331.98788947312192</v>
      </c>
      <c r="AD373" s="120"/>
      <c r="AE373" s="120"/>
      <c r="AF373" s="120"/>
      <c r="AG373" s="120"/>
      <c r="AH373" s="120"/>
      <c r="AI373" s="120"/>
      <c r="AJ373" s="120"/>
      <c r="AK373" s="120"/>
      <c r="AL373" s="120"/>
      <c r="AM373" s="120"/>
      <c r="AN373" s="120"/>
      <c r="BR373" s="180">
        <v>2024</v>
      </c>
      <c r="BS373" s="22">
        <v>10</v>
      </c>
      <c r="BT373" s="198">
        <f t="shared" si="195"/>
        <v>47.788222200607535</v>
      </c>
      <c r="BU373" s="276">
        <f t="shared" si="196"/>
        <v>236.71362084506296</v>
      </c>
      <c r="BV373" s="205">
        <f t="shared" si="197"/>
        <v>284.50184304567051</v>
      </c>
      <c r="BY373" s="180">
        <v>2024</v>
      </c>
      <c r="BZ373" s="22">
        <v>10</v>
      </c>
      <c r="CA373" s="198">
        <f t="shared" ca="1" si="198"/>
        <v>-3.2296523066746232</v>
      </c>
      <c r="CB373" s="198">
        <f t="shared" ca="1" si="199"/>
        <v>61.998692349975855</v>
      </c>
      <c r="CC373" s="276">
        <f t="shared" ca="1" si="210"/>
        <v>227.54140829410704</v>
      </c>
      <c r="CD373" s="205">
        <f t="shared" ca="1" si="200"/>
        <v>286.31044833740827</v>
      </c>
      <c r="CG373" s="180">
        <v>2024</v>
      </c>
      <c r="CH373" s="22">
        <v>10</v>
      </c>
      <c r="CI373" s="198">
        <f t="shared" ca="1" si="201"/>
        <v>0.6730491328092395</v>
      </c>
      <c r="CJ373" s="198">
        <f t="shared" ca="1" si="202"/>
        <v>-7.6717765832156175</v>
      </c>
      <c r="CK373" s="198">
        <f t="shared" ca="1" si="203"/>
        <v>69.349734978518455</v>
      </c>
      <c r="CL373" s="276">
        <f t="shared" ca="1" si="204"/>
        <v>225.70236884361898</v>
      </c>
      <c r="CM373" s="205">
        <f t="shared" ca="1" si="205"/>
        <v>288.05337637173108</v>
      </c>
      <c r="CP373" s="180">
        <v>2024</v>
      </c>
      <c r="CQ373" s="22">
        <v>10</v>
      </c>
      <c r="CR373" s="198">
        <f t="shared" ca="1" si="206"/>
        <v>242.79750986086785</v>
      </c>
      <c r="CS373" s="276">
        <f t="shared" ca="1" si="207"/>
        <v>1.1570550792239123</v>
      </c>
      <c r="CT373" s="205">
        <f t="shared" ca="1" si="208"/>
        <v>280.93009200743506</v>
      </c>
      <c r="CZ373" s="164" t="b">
        <f t="shared" si="185"/>
        <v>1</v>
      </c>
      <c r="DA373" s="165" t="b">
        <f t="shared" si="185"/>
        <v>1</v>
      </c>
      <c r="DB373" s="166" t="b">
        <f t="shared" si="185"/>
        <v>1</v>
      </c>
      <c r="DC373" s="164">
        <f t="shared" si="186"/>
        <v>12</v>
      </c>
      <c r="DD373" s="166">
        <f t="shared" si="187"/>
        <v>274.18292852624501</v>
      </c>
      <c r="DE373" s="164">
        <f t="shared" si="188"/>
        <v>12</v>
      </c>
      <c r="DF373" s="166">
        <f t="shared" si="189"/>
        <v>298.99677343615662</v>
      </c>
      <c r="DG373" s="164">
        <f t="shared" si="190"/>
        <v>12</v>
      </c>
      <c r="DH373" s="166">
        <f t="shared" si="191"/>
        <v>323.81061834606822</v>
      </c>
      <c r="DI373" s="164">
        <f>IFERROR(INDEX(DC$359:DC$407,_xlfn.AGGREGATE(15,6,(ROW(DC$359:DC$407)-ROW(DC$359)+1)/(DC$359:DC$407&lt;&gt;""),ROWS(DI$1:DI15))),"")</f>
        <v>12</v>
      </c>
      <c r="DJ373" s="165">
        <f>IFERROR(INDEX(DD$359:DD$407,_xlfn.AGGREGATE(15,6,(ROW(DD$359:DD$407)-ROW(DD$359)+1)/(DD$359:DD$407&lt;&gt;""),ROWS(DJ$1:DJ15))),"")</f>
        <v>274.18292852624501</v>
      </c>
      <c r="DK373" s="166">
        <f t="shared" si="192"/>
        <v>373</v>
      </c>
      <c r="DL373" s="164">
        <f>IFERROR(INDEX(DE$359:DE$407,_xlfn.AGGREGATE(15,6,(ROW(DE$359:DE$407)-ROW(DE$359)+1)/(DE$359:DE$407&lt;&gt;""),ROWS(DL$1:DL15))),"")</f>
        <v>12</v>
      </c>
      <c r="DM373" s="165">
        <f>IFERROR(INDEX(DF$359:DF$407,_xlfn.AGGREGATE(15,6,(ROW(DF$359:DF$407)-ROW(DF$359)+1)/(DF$359:DF$407&lt;&gt;""),ROWS(DM$1:DM15))),"")</f>
        <v>298.99677343615662</v>
      </c>
      <c r="DN373" s="166">
        <f t="shared" si="193"/>
        <v>373</v>
      </c>
      <c r="DO373" s="164">
        <f>IFERROR(INDEX(DG$359:DG$407,_xlfn.AGGREGATE(15,6,(ROW(DG$359:DG$407)-ROW(DG$359)+1)/(DG$359:DG$407&lt;&gt;""),ROWS(DO$1:DO15))),"")</f>
        <v>12</v>
      </c>
      <c r="DP373" s="165">
        <f>IFERROR(INDEX(DH$359:DH$407,_xlfn.AGGREGATE(15,6,(ROW(DH$359:DH$407)-ROW(DH$359)+1)/(DH$359:DH$407&lt;&gt;""),ROWS(DP$1:DP15))),"")</f>
        <v>323.81061834606822</v>
      </c>
      <c r="DQ373" s="166">
        <f t="shared" si="194"/>
        <v>373</v>
      </c>
      <c r="DV373" s="145">
        <v>2029</v>
      </c>
      <c r="DW373" s="235">
        <f t="shared" ca="1" si="178"/>
        <v>314.73701482239272</v>
      </c>
      <c r="EA373" s="55"/>
      <c r="EB373" s="55"/>
      <c r="EC373" s="55"/>
      <c r="ED373" s="55"/>
      <c r="EE373" s="55"/>
    </row>
    <row r="374" spans="1:135" ht="13.8" x14ac:dyDescent="0.45">
      <c r="B374" s="128">
        <v>2027</v>
      </c>
      <c r="C374" s="1070">
        <v>276.19189497716894</v>
      </c>
      <c r="D374" s="1050">
        <v>337.29559676161529</v>
      </c>
      <c r="E374" s="1069"/>
      <c r="F374" s="1075"/>
      <c r="G374" s="1052"/>
      <c r="H374" s="1036"/>
      <c r="I374" s="1112">
        <v>299.06470588235294</v>
      </c>
      <c r="J374" s="247"/>
      <c r="K374" s="245"/>
      <c r="L374" s="246"/>
      <c r="M374" s="245"/>
      <c r="N374" s="29" t="s">
        <v>119</v>
      </c>
      <c r="O374" s="120"/>
      <c r="P374" s="120"/>
      <c r="Q374" s="120"/>
      <c r="R374" s="29">
        <v>13</v>
      </c>
      <c r="S374" s="238">
        <f t="shared" si="179"/>
        <v>276.19189497716894</v>
      </c>
      <c r="T374" s="238">
        <f t="shared" si="180"/>
        <v>337.29559676161529</v>
      </c>
      <c r="U374" s="238">
        <f t="shared" si="181"/>
        <v>25.206764673813083</v>
      </c>
      <c r="W374" s="238">
        <f t="shared" si="182"/>
        <v>278.97730119989927</v>
      </c>
      <c r="X374" s="238">
        <f t="shared" si="183"/>
        <v>304.18406587371237</v>
      </c>
      <c r="Y374" s="238">
        <f t="shared" si="184"/>
        <v>329.39083054752547</v>
      </c>
      <c r="AA374" s="1133">
        <v>276.19189497716894</v>
      </c>
      <c r="AB374" s="1133">
        <v>306.74374586939211</v>
      </c>
      <c r="AC374" s="1133">
        <v>337.29559676161529</v>
      </c>
      <c r="AD374" s="89"/>
      <c r="AE374" s="89"/>
      <c r="AF374" s="89"/>
      <c r="AG374" s="89"/>
      <c r="AH374" s="89"/>
      <c r="AI374" s="89"/>
      <c r="AJ374" s="89"/>
      <c r="AK374" s="89"/>
      <c r="AL374" s="89"/>
      <c r="AM374" s="89"/>
      <c r="AN374" s="89"/>
      <c r="BR374" s="180">
        <v>2025</v>
      </c>
      <c r="BS374" s="22">
        <v>11</v>
      </c>
      <c r="BT374" s="198">
        <f t="shared" si="195"/>
        <v>52.567044420668289</v>
      </c>
      <c r="BU374" s="276">
        <f t="shared" si="196"/>
        <v>236.71362084506296</v>
      </c>
      <c r="BV374" s="205">
        <f t="shared" si="197"/>
        <v>289.28066526573127</v>
      </c>
      <c r="BY374" s="180">
        <v>2025</v>
      </c>
      <c r="BZ374" s="22">
        <v>11</v>
      </c>
      <c r="CA374" s="198">
        <f t="shared" ca="1" si="198"/>
        <v>-3.9078792910762945</v>
      </c>
      <c r="CB374" s="198">
        <f t="shared" ca="1" si="199"/>
        <v>68.198561584973447</v>
      </c>
      <c r="CC374" s="276">
        <f t="shared" ca="1" si="210"/>
        <v>227.54140829410704</v>
      </c>
      <c r="CD374" s="205">
        <f t="shared" ca="1" si="200"/>
        <v>291.83209058800418</v>
      </c>
      <c r="CG374" s="180">
        <v>2025</v>
      </c>
      <c r="CH374" s="22">
        <v>11</v>
      </c>
      <c r="CI374" s="198">
        <f t="shared" ca="1" si="201"/>
        <v>0.89582839576909779</v>
      </c>
      <c r="CJ374" s="198">
        <f t="shared" ca="1" si="202"/>
        <v>-9.2828496656908968</v>
      </c>
      <c r="CK374" s="198">
        <f t="shared" ca="1" si="203"/>
        <v>76.284708476370312</v>
      </c>
      <c r="CL374" s="276">
        <f t="shared" ca="1" si="204"/>
        <v>225.70236884361898</v>
      </c>
      <c r="CM374" s="205">
        <f t="shared" ca="1" si="205"/>
        <v>293.60005605006751</v>
      </c>
      <c r="CP374" s="180">
        <v>2025</v>
      </c>
      <c r="CQ374" s="22">
        <v>11</v>
      </c>
      <c r="CR374" s="198">
        <f t="shared" ca="1" si="206"/>
        <v>242.79750986086785</v>
      </c>
      <c r="CS374" s="276">
        <f t="shared" ca="1" si="207"/>
        <v>1.174057687207491</v>
      </c>
      <c r="CT374" s="205">
        <f t="shared" ca="1" si="208"/>
        <v>285.05828288698848</v>
      </c>
      <c r="CZ374" s="164" t="b">
        <f t="shared" si="185"/>
        <v>1</v>
      </c>
      <c r="DA374" s="165" t="b">
        <f t="shared" si="185"/>
        <v>1</v>
      </c>
      <c r="DB374" s="166" t="b">
        <f t="shared" si="185"/>
        <v>1</v>
      </c>
      <c r="DC374" s="164">
        <f t="shared" si="186"/>
        <v>13</v>
      </c>
      <c r="DD374" s="166">
        <f t="shared" si="187"/>
        <v>278.97730119989927</v>
      </c>
      <c r="DE374" s="164">
        <f t="shared" si="188"/>
        <v>13</v>
      </c>
      <c r="DF374" s="166">
        <f t="shared" si="189"/>
        <v>304.18406587371237</v>
      </c>
      <c r="DG374" s="164">
        <f t="shared" si="190"/>
        <v>13</v>
      </c>
      <c r="DH374" s="166">
        <f t="shared" si="191"/>
        <v>329.39083054752547</v>
      </c>
      <c r="DI374" s="164">
        <f>IFERROR(INDEX(DC$359:DC$407,_xlfn.AGGREGATE(15,6,(ROW(DC$359:DC$407)-ROW(DC$359)+1)/(DC$359:DC$407&lt;&gt;""),ROWS(DI$1:DI16))),"")</f>
        <v>13</v>
      </c>
      <c r="DJ374" s="165">
        <f>IFERROR(INDEX(DD$359:DD$407,_xlfn.AGGREGATE(15,6,(ROW(DD$359:DD$407)-ROW(DD$359)+1)/(DD$359:DD$407&lt;&gt;""),ROWS(DJ$1:DJ16))),"")</f>
        <v>278.97730119989927</v>
      </c>
      <c r="DK374" s="166">
        <f t="shared" si="192"/>
        <v>374</v>
      </c>
      <c r="DL374" s="164">
        <f>IFERROR(INDEX(DE$359:DE$407,_xlfn.AGGREGATE(15,6,(ROW(DE$359:DE$407)-ROW(DE$359)+1)/(DE$359:DE$407&lt;&gt;""),ROWS(DL$1:DL16))),"")</f>
        <v>13</v>
      </c>
      <c r="DM374" s="165">
        <f>IFERROR(INDEX(DF$359:DF$407,_xlfn.AGGREGATE(15,6,(ROW(DF$359:DF$407)-ROW(DF$359)+1)/(DF$359:DF$407&lt;&gt;""),ROWS(DM$1:DM16))),"")</f>
        <v>304.18406587371237</v>
      </c>
      <c r="DN374" s="166">
        <f t="shared" si="193"/>
        <v>374</v>
      </c>
      <c r="DO374" s="164">
        <f>IFERROR(INDEX(DG$359:DG$407,_xlfn.AGGREGATE(15,6,(ROW(DG$359:DG$407)-ROW(DG$359)+1)/(DG$359:DG$407&lt;&gt;""),ROWS(DO$1:DO16))),"")</f>
        <v>13</v>
      </c>
      <c r="DP374" s="165">
        <f>IFERROR(INDEX(DH$359:DH$407,_xlfn.AGGREGATE(15,6,(ROW(DH$359:DH$407)-ROW(DH$359)+1)/(DH$359:DH$407&lt;&gt;""),ROWS(DP$1:DP16))),"")</f>
        <v>329.39083054752547</v>
      </c>
      <c r="DQ374" s="166">
        <f t="shared" si="194"/>
        <v>374</v>
      </c>
      <c r="DV374" s="145">
        <v>2030</v>
      </c>
      <c r="DW374" s="235">
        <f t="shared" ca="1" si="178"/>
        <v>319.77900600420321</v>
      </c>
    </row>
    <row r="375" spans="1:135" ht="13.8" x14ac:dyDescent="0.45">
      <c r="A375" s="208" t="str">
        <f>$A$62</f>
        <v>Base Cases</v>
      </c>
      <c r="B375" s="128">
        <v>2028</v>
      </c>
      <c r="C375" s="1070">
        <v>280.24018264840186</v>
      </c>
      <c r="D375" s="1050">
        <v>342.41140700853708</v>
      </c>
      <c r="E375" s="1069"/>
      <c r="F375" s="1075"/>
      <c r="G375" s="1052"/>
      <c r="H375" s="1036"/>
      <c r="I375" s="1112">
        <v>305.2705882352941</v>
      </c>
      <c r="J375" s="247"/>
      <c r="K375" s="245"/>
      <c r="L375" s="246"/>
      <c r="M375" s="245"/>
      <c r="N375" s="29" t="s">
        <v>119</v>
      </c>
      <c r="O375" s="120"/>
      <c r="P375" s="120"/>
      <c r="Q375" s="120"/>
      <c r="R375" s="29">
        <v>14</v>
      </c>
      <c r="S375" s="238">
        <f t="shared" si="179"/>
        <v>280.24018264840186</v>
      </c>
      <c r="T375" s="238">
        <f t="shared" si="180"/>
        <v>342.41140700853708</v>
      </c>
      <c r="U375" s="238">
        <f t="shared" si="181"/>
        <v>25.541301544817077</v>
      </c>
      <c r="W375" s="238">
        <f t="shared" si="182"/>
        <v>283.76609108592726</v>
      </c>
      <c r="X375" s="238">
        <f t="shared" si="183"/>
        <v>309.30739263074435</v>
      </c>
      <c r="Y375" s="238">
        <f t="shared" si="184"/>
        <v>334.84869417556143</v>
      </c>
      <c r="AA375" s="1133">
        <v>280.24018264840186</v>
      </c>
      <c r="AB375" s="1133">
        <v>311.3257948284695</v>
      </c>
      <c r="AC375" s="1133">
        <v>342.41140700853714</v>
      </c>
      <c r="AD375" s="114"/>
      <c r="AE375" s="114"/>
      <c r="AF375" s="114"/>
      <c r="AG375" s="114"/>
      <c r="AH375" s="114"/>
      <c r="AI375" s="114"/>
      <c r="AJ375" s="114"/>
      <c r="AK375" s="114"/>
      <c r="AL375" s="114"/>
      <c r="AM375" s="114"/>
      <c r="AN375" s="114"/>
      <c r="BR375" s="180">
        <v>2026</v>
      </c>
      <c r="BS375" s="22">
        <v>12</v>
      </c>
      <c r="BT375" s="198">
        <f t="shared" si="195"/>
        <v>57.345866640729042</v>
      </c>
      <c r="BU375" s="276">
        <f t="shared" si="196"/>
        <v>236.71362084506296</v>
      </c>
      <c r="BV375" s="205">
        <f t="shared" si="197"/>
        <v>294.05948748579203</v>
      </c>
      <c r="BY375" s="180">
        <v>2026</v>
      </c>
      <c r="BZ375" s="22">
        <v>12</v>
      </c>
      <c r="CA375" s="198">
        <f t="shared" ca="1" si="198"/>
        <v>-4.6506993216114578</v>
      </c>
      <c r="CB375" s="198">
        <f t="shared" ca="1" si="199"/>
        <v>74.398430819971026</v>
      </c>
      <c r="CC375" s="276">
        <f t="shared" ca="1" si="210"/>
        <v>227.54140829410704</v>
      </c>
      <c r="CD375" s="205">
        <f t="shared" ca="1" si="200"/>
        <v>297.28913979246659</v>
      </c>
      <c r="CG375" s="180">
        <v>2026</v>
      </c>
      <c r="CH375" s="22">
        <v>12</v>
      </c>
      <c r="CI375" s="198">
        <f t="shared" ca="1" si="201"/>
        <v>1.163028901494366</v>
      </c>
      <c r="CJ375" s="198">
        <f t="shared" ca="1" si="202"/>
        <v>-11.047358279830489</v>
      </c>
      <c r="CK375" s="198">
        <f t="shared" ca="1" si="203"/>
        <v>83.219681974222155</v>
      </c>
      <c r="CL375" s="276">
        <f t="shared" ca="1" si="204"/>
        <v>225.70236884361898</v>
      </c>
      <c r="CM375" s="205">
        <f t="shared" ca="1" si="205"/>
        <v>299.03772143950505</v>
      </c>
      <c r="CP375" s="180">
        <v>2026</v>
      </c>
      <c r="CQ375" s="22">
        <v>12</v>
      </c>
      <c r="CR375" s="198">
        <f t="shared" ca="1" si="206"/>
        <v>242.79750986086785</v>
      </c>
      <c r="CS375" s="276">
        <f t="shared" ca="1" si="207"/>
        <v>1.1913101438658942</v>
      </c>
      <c r="CT375" s="205">
        <f t="shared" ca="1" si="208"/>
        <v>289.24713640263133</v>
      </c>
      <c r="CZ375" s="164" t="b">
        <f t="shared" si="185"/>
        <v>1</v>
      </c>
      <c r="DA375" s="165" t="b">
        <f t="shared" si="185"/>
        <v>1</v>
      </c>
      <c r="DB375" s="166" t="b">
        <f t="shared" si="185"/>
        <v>1</v>
      </c>
      <c r="DC375" s="164">
        <f t="shared" si="186"/>
        <v>14</v>
      </c>
      <c r="DD375" s="166">
        <f t="shared" si="187"/>
        <v>283.76609108592726</v>
      </c>
      <c r="DE375" s="164">
        <f t="shared" si="188"/>
        <v>14</v>
      </c>
      <c r="DF375" s="166">
        <f t="shared" si="189"/>
        <v>309.30739263074435</v>
      </c>
      <c r="DG375" s="164">
        <f t="shared" si="190"/>
        <v>14</v>
      </c>
      <c r="DH375" s="166">
        <f t="shared" si="191"/>
        <v>334.84869417556143</v>
      </c>
      <c r="DI375" s="164">
        <f>IFERROR(INDEX(DC$359:DC$407,_xlfn.AGGREGATE(15,6,(ROW(DC$359:DC$407)-ROW(DC$359)+1)/(DC$359:DC$407&lt;&gt;""),ROWS(DI$1:DI17))),"")</f>
        <v>14</v>
      </c>
      <c r="DJ375" s="165">
        <f>IFERROR(INDEX(DD$359:DD$407,_xlfn.AGGREGATE(15,6,(ROW(DD$359:DD$407)-ROW(DD$359)+1)/(DD$359:DD$407&lt;&gt;""),ROWS(DJ$1:DJ17))),"")</f>
        <v>283.76609108592726</v>
      </c>
      <c r="DK375" s="166">
        <f t="shared" si="192"/>
        <v>375</v>
      </c>
      <c r="DL375" s="164">
        <f>IFERROR(INDEX(DE$359:DE$407,_xlfn.AGGREGATE(15,6,(ROW(DE$359:DE$407)-ROW(DE$359)+1)/(DE$359:DE$407&lt;&gt;""),ROWS(DL$1:DL17))),"")</f>
        <v>14</v>
      </c>
      <c r="DM375" s="165">
        <f>IFERROR(INDEX(DF$359:DF$407,_xlfn.AGGREGATE(15,6,(ROW(DF$359:DF$407)-ROW(DF$359)+1)/(DF$359:DF$407&lt;&gt;""),ROWS(DM$1:DM17))),"")</f>
        <v>309.30739263074435</v>
      </c>
      <c r="DN375" s="166">
        <f t="shared" si="193"/>
        <v>375</v>
      </c>
      <c r="DO375" s="164">
        <f>IFERROR(INDEX(DG$359:DG$407,_xlfn.AGGREGATE(15,6,(ROW(DG$359:DG$407)-ROW(DG$359)+1)/(DG$359:DG$407&lt;&gt;""),ROWS(DO$1:DO17))),"")</f>
        <v>14</v>
      </c>
      <c r="DP375" s="165">
        <f>IFERROR(INDEX(DH$359:DH$407,_xlfn.AGGREGATE(15,6,(ROW(DH$359:DH$407)-ROW(DH$359)+1)/(DH$359:DH$407&lt;&gt;""),ROWS(DP$1:DP17))),"")</f>
        <v>334.84869417556143</v>
      </c>
      <c r="DQ375" s="166">
        <f t="shared" si="194"/>
        <v>375</v>
      </c>
      <c r="DV375" s="145">
        <v>2031</v>
      </c>
      <c r="DW375" s="235">
        <f t="shared" ca="1" si="178"/>
        <v>324.73217437109906</v>
      </c>
    </row>
    <row r="376" spans="1:135" ht="13.8" x14ac:dyDescent="0.45">
      <c r="A376" s="209" t="str">
        <f>$A$63</f>
        <v>Conservative Cases</v>
      </c>
      <c r="B376" s="128">
        <v>2029</v>
      </c>
      <c r="C376" s="1070">
        <v>284.28847031963471</v>
      </c>
      <c r="D376" s="1050">
        <v>347.33908832364591</v>
      </c>
      <c r="E376" s="1069"/>
      <c r="F376" s="1075"/>
      <c r="G376" s="1052"/>
      <c r="H376" s="1036"/>
      <c r="I376" s="1112">
        <v>311.47647058823532</v>
      </c>
      <c r="J376" s="247"/>
      <c r="K376" s="245"/>
      <c r="L376" s="246"/>
      <c r="M376" s="245"/>
      <c r="N376" s="29" t="s">
        <v>119</v>
      </c>
      <c r="O376" s="120"/>
      <c r="P376" s="120"/>
      <c r="Q376" s="120"/>
      <c r="R376" s="29">
        <v>15</v>
      </c>
      <c r="S376" s="238">
        <f t="shared" si="179"/>
        <v>284.28847031963471</v>
      </c>
      <c r="T376" s="238">
        <f t="shared" si="180"/>
        <v>347.33908832364591</v>
      </c>
      <c r="U376" s="238">
        <f t="shared" si="181"/>
        <v>25.821384634810293</v>
      </c>
      <c r="W376" s="238">
        <f t="shared" si="182"/>
        <v>288.54662510902835</v>
      </c>
      <c r="X376" s="238">
        <f t="shared" si="183"/>
        <v>314.36800974383863</v>
      </c>
      <c r="Y376" s="238">
        <f t="shared" si="184"/>
        <v>340.1893943786489</v>
      </c>
      <c r="AA376" s="1133">
        <v>284.28847031963471</v>
      </c>
      <c r="AB376" s="1133">
        <v>315.81377932164031</v>
      </c>
      <c r="AC376" s="1133">
        <v>347.33908832364591</v>
      </c>
      <c r="AD376" s="89"/>
      <c r="AE376" s="89"/>
      <c r="AF376" s="89"/>
      <c r="AG376" s="89"/>
      <c r="AH376" s="89"/>
      <c r="AI376" s="89"/>
      <c r="AJ376" s="89"/>
      <c r="AK376" s="89"/>
      <c r="AL376" s="89"/>
      <c r="AM376" s="89"/>
      <c r="AN376" s="89"/>
      <c r="BR376" s="180">
        <v>2027</v>
      </c>
      <c r="BS376" s="22">
        <v>13</v>
      </c>
      <c r="BT376" s="198">
        <f t="shared" si="195"/>
        <v>62.124688860789796</v>
      </c>
      <c r="BU376" s="276">
        <f t="shared" si="196"/>
        <v>236.71362084506296</v>
      </c>
      <c r="BV376" s="205">
        <f t="shared" si="197"/>
        <v>298.83830970585274</v>
      </c>
      <c r="BY376" s="180">
        <v>2027</v>
      </c>
      <c r="BZ376" s="22">
        <v>13</v>
      </c>
      <c r="CA376" s="198">
        <f t="shared" ca="1" si="198"/>
        <v>-5.4581123982801136</v>
      </c>
      <c r="CB376" s="198">
        <f t="shared" ca="1" si="199"/>
        <v>80.598300054968604</v>
      </c>
      <c r="CC376" s="276">
        <f t="shared" ca="1" si="210"/>
        <v>227.54140829410704</v>
      </c>
      <c r="CD376" s="205">
        <f t="shared" ca="1" si="200"/>
        <v>302.68159595079555</v>
      </c>
      <c r="CG376" s="180">
        <v>2027</v>
      </c>
      <c r="CH376" s="22">
        <v>13</v>
      </c>
      <c r="CI376" s="198">
        <f t="shared" ca="1" si="201"/>
        <v>1.4786889447818992</v>
      </c>
      <c r="CJ376" s="198">
        <f t="shared" ca="1" si="202"/>
        <v>-12.965302425634393</v>
      </c>
      <c r="CK376" s="198">
        <f t="shared" ca="1" si="203"/>
        <v>90.154655472073998</v>
      </c>
      <c r="CL376" s="276">
        <f t="shared" ca="1" si="204"/>
        <v>225.70236884361898</v>
      </c>
      <c r="CM376" s="205">
        <f t="shared" ca="1" si="205"/>
        <v>304.37041083484047</v>
      </c>
      <c r="CP376" s="180">
        <v>2027</v>
      </c>
      <c r="CQ376" s="22">
        <v>13</v>
      </c>
      <c r="CR376" s="198">
        <f t="shared" ca="1" si="206"/>
        <v>242.79750986086785</v>
      </c>
      <c r="CS376" s="276">
        <f t="shared" ca="1" si="207"/>
        <v>1.2088161206570758</v>
      </c>
      <c r="CT376" s="205">
        <f t="shared" ca="1" si="208"/>
        <v>293.49754397521235</v>
      </c>
      <c r="CZ376" s="164" t="b">
        <f t="shared" si="185"/>
        <v>1</v>
      </c>
      <c r="DA376" s="165" t="b">
        <f t="shared" si="185"/>
        <v>1</v>
      </c>
      <c r="DB376" s="166" t="b">
        <f t="shared" si="185"/>
        <v>1</v>
      </c>
      <c r="DC376" s="164">
        <f t="shared" si="186"/>
        <v>15</v>
      </c>
      <c r="DD376" s="166">
        <f t="shared" si="187"/>
        <v>288.54662510902835</v>
      </c>
      <c r="DE376" s="164">
        <f t="shared" si="188"/>
        <v>15</v>
      </c>
      <c r="DF376" s="166">
        <f t="shared" si="189"/>
        <v>314.36800974383863</v>
      </c>
      <c r="DG376" s="164">
        <f t="shared" si="190"/>
        <v>15</v>
      </c>
      <c r="DH376" s="166">
        <f t="shared" si="191"/>
        <v>340.1893943786489</v>
      </c>
      <c r="DI376" s="164">
        <f>IFERROR(INDEX(DC$359:DC$407,_xlfn.AGGREGATE(15,6,(ROW(DC$359:DC$407)-ROW(DC$359)+1)/(DC$359:DC$407&lt;&gt;""),ROWS(DI$1:DI18))),"")</f>
        <v>15</v>
      </c>
      <c r="DJ376" s="165">
        <f>IFERROR(INDEX(DD$359:DD$407,_xlfn.AGGREGATE(15,6,(ROW(DD$359:DD$407)-ROW(DD$359)+1)/(DD$359:DD$407&lt;&gt;""),ROWS(DJ$1:DJ18))),"")</f>
        <v>288.54662510902835</v>
      </c>
      <c r="DK376" s="166">
        <f t="shared" si="192"/>
        <v>376</v>
      </c>
      <c r="DL376" s="164">
        <f>IFERROR(INDEX(DE$359:DE$407,_xlfn.AGGREGATE(15,6,(ROW(DE$359:DE$407)-ROW(DE$359)+1)/(DE$359:DE$407&lt;&gt;""),ROWS(DL$1:DL18))),"")</f>
        <v>15</v>
      </c>
      <c r="DM376" s="165">
        <f>IFERROR(INDEX(DF$359:DF$407,_xlfn.AGGREGATE(15,6,(ROW(DF$359:DF$407)-ROW(DF$359)+1)/(DF$359:DF$407&lt;&gt;""),ROWS(DM$1:DM18))),"")</f>
        <v>314.36800974383863</v>
      </c>
      <c r="DN376" s="166">
        <f t="shared" si="193"/>
        <v>376</v>
      </c>
      <c r="DO376" s="164">
        <f>IFERROR(INDEX(DG$359:DG$407,_xlfn.AGGREGATE(15,6,(ROW(DG$359:DG$407)-ROW(DG$359)+1)/(DG$359:DG$407&lt;&gt;""),ROWS(DO$1:DO18))),"")</f>
        <v>15</v>
      </c>
      <c r="DP376" s="165">
        <f>IFERROR(INDEX(DH$359:DH$407,_xlfn.AGGREGATE(15,6,(ROW(DH$359:DH$407)-ROW(DH$359)+1)/(DH$359:DH$407&lt;&gt;""),ROWS(DP$1:DP18))),"")</f>
        <v>340.1893943786489</v>
      </c>
      <c r="DQ376" s="166">
        <f t="shared" si="194"/>
        <v>376</v>
      </c>
      <c r="DV376" s="145">
        <v>2032</v>
      </c>
      <c r="DW376" s="235">
        <f t="shared" ca="1" si="178"/>
        <v>329.60055821787711</v>
      </c>
    </row>
    <row r="377" spans="1:135" ht="13.8" x14ac:dyDescent="0.45">
      <c r="A377" s="210" t="str">
        <f>$A$64</f>
        <v>Ambitious Cases</v>
      </c>
      <c r="B377" s="128">
        <v>2030</v>
      </c>
      <c r="C377" s="1070">
        <v>289.8</v>
      </c>
      <c r="D377" s="1050">
        <v>352.37855807358102</v>
      </c>
      <c r="E377" s="1069"/>
      <c r="F377" s="1075"/>
      <c r="G377" s="1052"/>
      <c r="H377" s="1036"/>
      <c r="I377" s="1112">
        <v>317.68235294117648</v>
      </c>
      <c r="J377" s="247"/>
      <c r="K377" s="245"/>
      <c r="L377" s="246"/>
      <c r="M377" s="245"/>
      <c r="N377" s="29" t="s">
        <v>119</v>
      </c>
      <c r="O377" s="120"/>
      <c r="P377" s="120"/>
      <c r="Q377" s="120"/>
      <c r="R377" s="29">
        <v>16</v>
      </c>
      <c r="S377" s="238">
        <f t="shared" si="179"/>
        <v>289.8</v>
      </c>
      <c r="T377" s="238">
        <f t="shared" si="180"/>
        <v>352.37855807358102</v>
      </c>
      <c r="U377" s="238">
        <f t="shared" si="181"/>
        <v>25.598021162006464</v>
      </c>
      <c r="W377" s="238">
        <f t="shared" si="182"/>
        <v>294.35561584291264</v>
      </c>
      <c r="X377" s="238">
        <f t="shared" si="183"/>
        <v>319.95363700491913</v>
      </c>
      <c r="Y377" s="238">
        <f t="shared" si="184"/>
        <v>345.55165816692562</v>
      </c>
      <c r="AA377" s="1133">
        <v>289.8</v>
      </c>
      <c r="AB377" s="1133">
        <v>321.08927903679051</v>
      </c>
      <c r="AC377" s="1133">
        <v>352.37855807358102</v>
      </c>
      <c r="AD377" s="89"/>
      <c r="AE377" s="89"/>
      <c r="AF377" s="89"/>
      <c r="AG377" s="89"/>
      <c r="AH377" s="89"/>
      <c r="AI377" s="89"/>
      <c r="AJ377" s="89"/>
      <c r="AK377" s="89"/>
      <c r="AL377" s="89"/>
      <c r="AM377" s="89"/>
      <c r="AN377" s="89"/>
      <c r="BR377" s="180">
        <v>2028</v>
      </c>
      <c r="BS377" s="22">
        <v>14</v>
      </c>
      <c r="BT377" s="198">
        <f t="shared" si="195"/>
        <v>66.903511080850549</v>
      </c>
      <c r="BU377" s="276">
        <f t="shared" si="196"/>
        <v>236.71362084506296</v>
      </c>
      <c r="BV377" s="205">
        <f t="shared" si="197"/>
        <v>303.6171319259135</v>
      </c>
      <c r="BY377" s="180">
        <v>2028</v>
      </c>
      <c r="BZ377" s="22">
        <v>14</v>
      </c>
      <c r="CA377" s="198">
        <f t="shared" ca="1" si="198"/>
        <v>-6.3301185210822615</v>
      </c>
      <c r="CB377" s="198">
        <f t="shared" ca="1" si="199"/>
        <v>86.798169289966197</v>
      </c>
      <c r="CC377" s="276">
        <f t="shared" ca="1" si="210"/>
        <v>227.54140829410704</v>
      </c>
      <c r="CD377" s="205">
        <f t="shared" ca="1" si="200"/>
        <v>308.00945906299097</v>
      </c>
      <c r="CG377" s="180">
        <v>2028</v>
      </c>
      <c r="CH377" s="22">
        <v>14</v>
      </c>
      <c r="CI377" s="198">
        <f t="shared" ca="1" si="201"/>
        <v>1.8468468204285533</v>
      </c>
      <c r="CJ377" s="198">
        <f t="shared" ca="1" si="202"/>
        <v>-15.03668210310261</v>
      </c>
      <c r="CK377" s="198">
        <f t="shared" ca="1" si="203"/>
        <v>97.089628969925855</v>
      </c>
      <c r="CL377" s="276">
        <f t="shared" ca="1" si="204"/>
        <v>225.70236884361898</v>
      </c>
      <c r="CM377" s="205">
        <f t="shared" ca="1" si="205"/>
        <v>309.60216253087077</v>
      </c>
      <c r="CP377" s="180">
        <v>2028</v>
      </c>
      <c r="CQ377" s="22">
        <v>14</v>
      </c>
      <c r="CR377" s="198">
        <f t="shared" ca="1" si="206"/>
        <v>242.79750986086785</v>
      </c>
      <c r="CS377" s="276">
        <f t="shared" ca="1" si="207"/>
        <v>1.2265793429900596</v>
      </c>
      <c r="CT377" s="205">
        <f t="shared" ca="1" si="208"/>
        <v>297.81041012476578</v>
      </c>
      <c r="CZ377" s="164" t="b">
        <f t="shared" si="185"/>
        <v>1</v>
      </c>
      <c r="DA377" s="165" t="b">
        <f t="shared" si="185"/>
        <v>1</v>
      </c>
      <c r="DB377" s="166" t="b">
        <f t="shared" si="185"/>
        <v>1</v>
      </c>
      <c r="DC377" s="164">
        <f t="shared" si="186"/>
        <v>16</v>
      </c>
      <c r="DD377" s="166">
        <f t="shared" si="187"/>
        <v>294.35561584291264</v>
      </c>
      <c r="DE377" s="164">
        <f t="shared" si="188"/>
        <v>16</v>
      </c>
      <c r="DF377" s="166">
        <f t="shared" si="189"/>
        <v>319.95363700491913</v>
      </c>
      <c r="DG377" s="164">
        <f t="shared" si="190"/>
        <v>16</v>
      </c>
      <c r="DH377" s="166">
        <f t="shared" si="191"/>
        <v>345.55165816692562</v>
      </c>
      <c r="DI377" s="164">
        <f>IFERROR(INDEX(DC$359:DC$407,_xlfn.AGGREGATE(15,6,(ROW(DC$359:DC$407)-ROW(DC$359)+1)/(DC$359:DC$407&lt;&gt;""),ROWS(DI$1:DI19))),"")</f>
        <v>16</v>
      </c>
      <c r="DJ377" s="165">
        <f>IFERROR(INDEX(DD$359:DD$407,_xlfn.AGGREGATE(15,6,(ROW(DD$359:DD$407)-ROW(DD$359)+1)/(DD$359:DD$407&lt;&gt;""),ROWS(DJ$1:DJ19))),"")</f>
        <v>294.35561584291264</v>
      </c>
      <c r="DK377" s="166">
        <f t="shared" si="192"/>
        <v>377</v>
      </c>
      <c r="DL377" s="164">
        <f>IFERROR(INDEX(DE$359:DE$407,_xlfn.AGGREGATE(15,6,(ROW(DE$359:DE$407)-ROW(DE$359)+1)/(DE$359:DE$407&lt;&gt;""),ROWS(DL$1:DL19))),"")</f>
        <v>16</v>
      </c>
      <c r="DM377" s="165">
        <f>IFERROR(INDEX(DF$359:DF$407,_xlfn.AGGREGATE(15,6,(ROW(DF$359:DF$407)-ROW(DF$359)+1)/(DF$359:DF$407&lt;&gt;""),ROWS(DM$1:DM19))),"")</f>
        <v>319.95363700491913</v>
      </c>
      <c r="DN377" s="166">
        <f t="shared" si="193"/>
        <v>377</v>
      </c>
      <c r="DO377" s="164">
        <f>IFERROR(INDEX(DG$359:DG$407,_xlfn.AGGREGATE(15,6,(ROW(DG$359:DG$407)-ROW(DG$359)+1)/(DG$359:DG$407&lt;&gt;""),ROWS(DO$1:DO19))),"")</f>
        <v>16</v>
      </c>
      <c r="DP377" s="165">
        <f>IFERROR(INDEX(DH$359:DH$407,_xlfn.AGGREGATE(15,6,(ROW(DH$359:DH$407)-ROW(DH$359)+1)/(DH$359:DH$407&lt;&gt;""),ROWS(DP$1:DP19))),"")</f>
        <v>345.55165816692562</v>
      </c>
      <c r="DQ377" s="166">
        <f t="shared" si="194"/>
        <v>377</v>
      </c>
      <c r="DV377" s="145">
        <v>2033</v>
      </c>
      <c r="DW377" s="235">
        <f t="shared" ca="1" si="178"/>
        <v>334.38819583933423</v>
      </c>
    </row>
    <row r="378" spans="1:135" ht="13.8" x14ac:dyDescent="0.45">
      <c r="A378" s="211" t="str">
        <f>$A$65</f>
        <v>Maximum Cases</v>
      </c>
      <c r="B378" s="128">
        <v>2031</v>
      </c>
      <c r="C378" s="1070">
        <v>292.38504566210042</v>
      </c>
      <c r="D378" s="1050">
        <v>356.64635004768826</v>
      </c>
      <c r="E378" s="1069"/>
      <c r="F378" s="1075"/>
      <c r="G378" s="1052"/>
      <c r="H378" s="1036"/>
      <c r="I378" s="1112">
        <v>323.88823529411764</v>
      </c>
      <c r="J378" s="247"/>
      <c r="K378" s="245"/>
      <c r="L378" s="246"/>
      <c r="M378" s="245"/>
      <c r="N378" s="29" t="s">
        <v>119</v>
      </c>
      <c r="O378" s="120"/>
      <c r="P378" s="120"/>
      <c r="Q378" s="120"/>
      <c r="R378" s="29">
        <v>17</v>
      </c>
      <c r="S378" s="238">
        <f t="shared" si="179"/>
        <v>292.38504566210042</v>
      </c>
      <c r="T378" s="238">
        <f t="shared" si="180"/>
        <v>356.64635004768826</v>
      </c>
      <c r="U378" s="238">
        <f t="shared" si="181"/>
        <v>26.236235079955332</v>
      </c>
      <c r="W378" s="238">
        <f t="shared" si="182"/>
        <v>298.07030858801346</v>
      </c>
      <c r="X378" s="238">
        <f t="shared" si="183"/>
        <v>324.30654366796881</v>
      </c>
      <c r="Y378" s="238">
        <f t="shared" si="184"/>
        <v>350.54277874792416</v>
      </c>
      <c r="AA378" s="1133">
        <v>292.38504566210042</v>
      </c>
      <c r="AB378" s="1133">
        <v>324.51569785489437</v>
      </c>
      <c r="AC378" s="1133">
        <v>356.64635004768832</v>
      </c>
      <c r="AD378" s="89"/>
      <c r="AE378" s="89"/>
      <c r="AF378" s="89"/>
      <c r="AG378" s="89"/>
      <c r="AH378" s="89"/>
      <c r="AI378" s="89"/>
      <c r="AJ378" s="89"/>
      <c r="AK378" s="89"/>
      <c r="AL378" s="89"/>
      <c r="AM378" s="89"/>
      <c r="AN378" s="89"/>
      <c r="BR378" s="180">
        <v>2029</v>
      </c>
      <c r="BS378" s="22">
        <v>15</v>
      </c>
      <c r="BT378" s="198">
        <f t="shared" si="195"/>
        <v>71.682333300911296</v>
      </c>
      <c r="BU378" s="276">
        <f t="shared" si="196"/>
        <v>236.71362084506296</v>
      </c>
      <c r="BV378" s="205">
        <f t="shared" si="197"/>
        <v>308.39595414597426</v>
      </c>
      <c r="BY378" s="180">
        <v>2029</v>
      </c>
      <c r="BZ378" s="22">
        <v>15</v>
      </c>
      <c r="CA378" s="198">
        <f t="shared" ca="1" si="198"/>
        <v>-7.2667176900179022</v>
      </c>
      <c r="CB378" s="198">
        <f t="shared" ca="1" si="199"/>
        <v>92.998038524963789</v>
      </c>
      <c r="CC378" s="276">
        <f t="shared" ca="1" si="210"/>
        <v>227.54140829410704</v>
      </c>
      <c r="CD378" s="205">
        <f t="shared" ca="1" si="200"/>
        <v>313.27272912905295</v>
      </c>
      <c r="CG378" s="180">
        <v>2029</v>
      </c>
      <c r="CH378" s="22">
        <v>15</v>
      </c>
      <c r="CI378" s="198">
        <f t="shared" ca="1" si="201"/>
        <v>2.2715408232311836</v>
      </c>
      <c r="CJ378" s="198">
        <f t="shared" ca="1" si="202"/>
        <v>-17.261497312235139</v>
      </c>
      <c r="CK378" s="198">
        <f t="shared" ca="1" si="203"/>
        <v>104.0246024677777</v>
      </c>
      <c r="CL378" s="276">
        <f t="shared" ca="1" si="204"/>
        <v>225.70236884361898</v>
      </c>
      <c r="CM378" s="205">
        <f t="shared" ca="1" si="205"/>
        <v>314.73701482239272</v>
      </c>
      <c r="CP378" s="180">
        <v>2029</v>
      </c>
      <c r="CQ378" s="22">
        <v>15</v>
      </c>
      <c r="CR378" s="198">
        <f t="shared" ca="1" si="206"/>
        <v>242.79750986086785</v>
      </c>
      <c r="CS378" s="276">
        <f t="shared" ca="1" si="207"/>
        <v>1.2446035910177367</v>
      </c>
      <c r="CT378" s="205">
        <f t="shared" ca="1" si="208"/>
        <v>302.18665266300047</v>
      </c>
      <c r="CZ378" s="164" t="b">
        <f t="shared" si="185"/>
        <v>1</v>
      </c>
      <c r="DA378" s="165" t="b">
        <f t="shared" si="185"/>
        <v>1</v>
      </c>
      <c r="DB378" s="166" t="b">
        <f t="shared" si="185"/>
        <v>1</v>
      </c>
      <c r="DC378" s="164">
        <f t="shared" si="186"/>
        <v>17</v>
      </c>
      <c r="DD378" s="166">
        <f t="shared" si="187"/>
        <v>298.07030858801346</v>
      </c>
      <c r="DE378" s="164">
        <f t="shared" si="188"/>
        <v>17</v>
      </c>
      <c r="DF378" s="166">
        <f t="shared" si="189"/>
        <v>324.30654366796881</v>
      </c>
      <c r="DG378" s="164">
        <f t="shared" si="190"/>
        <v>17</v>
      </c>
      <c r="DH378" s="166">
        <f t="shared" si="191"/>
        <v>350.54277874792416</v>
      </c>
      <c r="DI378" s="164">
        <f>IFERROR(INDEX(DC$359:DC$407,_xlfn.AGGREGATE(15,6,(ROW(DC$359:DC$407)-ROW(DC$359)+1)/(DC$359:DC$407&lt;&gt;""),ROWS(DI$1:DI20))),"")</f>
        <v>17</v>
      </c>
      <c r="DJ378" s="165">
        <f>IFERROR(INDEX(DD$359:DD$407,_xlfn.AGGREGATE(15,6,(ROW(DD$359:DD$407)-ROW(DD$359)+1)/(DD$359:DD$407&lt;&gt;""),ROWS(DJ$1:DJ20))),"")</f>
        <v>298.07030858801346</v>
      </c>
      <c r="DK378" s="166">
        <f t="shared" si="192"/>
        <v>378</v>
      </c>
      <c r="DL378" s="164">
        <f>IFERROR(INDEX(DE$359:DE$407,_xlfn.AGGREGATE(15,6,(ROW(DE$359:DE$407)-ROW(DE$359)+1)/(DE$359:DE$407&lt;&gt;""),ROWS(DL$1:DL20))),"")</f>
        <v>17</v>
      </c>
      <c r="DM378" s="165">
        <f>IFERROR(INDEX(DF$359:DF$407,_xlfn.AGGREGATE(15,6,(ROW(DF$359:DF$407)-ROW(DF$359)+1)/(DF$359:DF$407&lt;&gt;""),ROWS(DM$1:DM20))),"")</f>
        <v>324.30654366796881</v>
      </c>
      <c r="DN378" s="166">
        <f t="shared" si="193"/>
        <v>378</v>
      </c>
      <c r="DO378" s="164">
        <f>IFERROR(INDEX(DG$359:DG$407,_xlfn.AGGREGATE(15,6,(ROW(DG$359:DG$407)-ROW(DG$359)+1)/(DG$359:DG$407&lt;&gt;""),ROWS(DO$1:DO20))),"")</f>
        <v>17</v>
      </c>
      <c r="DP378" s="165">
        <f>IFERROR(INDEX(DH$359:DH$407,_xlfn.AGGREGATE(15,6,(ROW(DH$359:DH$407)-ROW(DH$359)+1)/(DH$359:DH$407&lt;&gt;""),ROWS(DP$1:DP20))),"")</f>
        <v>350.54277874792416</v>
      </c>
      <c r="DQ378" s="166">
        <f t="shared" si="194"/>
        <v>378</v>
      </c>
      <c r="DV378" s="145">
        <v>2034</v>
      </c>
      <c r="DW378" s="235">
        <f t="shared" ca="1" si="178"/>
        <v>339.09912553026732</v>
      </c>
    </row>
    <row r="379" spans="1:135" ht="13.8" x14ac:dyDescent="0.45">
      <c r="B379" s="128">
        <v>2032</v>
      </c>
      <c r="C379" s="1070">
        <v>296.43333333333334</v>
      </c>
      <c r="D379" s="1050">
        <v>360.85356745611898</v>
      </c>
      <c r="E379" s="1069"/>
      <c r="F379" s="1075"/>
      <c r="G379" s="1052"/>
      <c r="H379" s="1036"/>
      <c r="I379" s="1112">
        <v>330.09411764705879</v>
      </c>
      <c r="J379" s="247"/>
      <c r="K379" s="245"/>
      <c r="L379" s="246"/>
      <c r="M379" s="245"/>
      <c r="N379" s="29" t="s">
        <v>119</v>
      </c>
      <c r="O379" s="120"/>
      <c r="P379" s="120"/>
      <c r="Q379" s="120"/>
      <c r="R379" s="29">
        <v>18</v>
      </c>
      <c r="S379" s="238">
        <f t="shared" si="179"/>
        <v>296.43333333333334</v>
      </c>
      <c r="T379" s="238">
        <f t="shared" si="180"/>
        <v>360.85356745611898</v>
      </c>
      <c r="U379" s="238">
        <f t="shared" si="181"/>
        <v>26.308339864017256</v>
      </c>
      <c r="W379" s="238">
        <f t="shared" si="182"/>
        <v>302.81866628148646</v>
      </c>
      <c r="X379" s="238">
        <f t="shared" si="183"/>
        <v>329.12700614550369</v>
      </c>
      <c r="Y379" s="238">
        <f t="shared" si="184"/>
        <v>355.43534600952091</v>
      </c>
      <c r="AA379" s="1133">
        <v>296.43333333333339</v>
      </c>
      <c r="AB379" s="1133">
        <v>328.64345039472619</v>
      </c>
      <c r="AC379" s="1133">
        <v>360.85356745611898</v>
      </c>
      <c r="AD379" s="89"/>
      <c r="AE379" s="89"/>
      <c r="AF379" s="89"/>
      <c r="AG379" s="89"/>
      <c r="AH379" s="89"/>
      <c r="AI379" s="89"/>
      <c r="AJ379" s="89"/>
      <c r="AK379" s="89"/>
      <c r="AL379" s="89"/>
      <c r="AM379" s="89"/>
      <c r="AN379" s="89"/>
      <c r="BR379" s="180">
        <v>2030</v>
      </c>
      <c r="BS379" s="22">
        <v>16</v>
      </c>
      <c r="BT379" s="198">
        <f t="shared" si="195"/>
        <v>76.461155520972056</v>
      </c>
      <c r="BU379" s="276">
        <f t="shared" si="196"/>
        <v>236.71362084506296</v>
      </c>
      <c r="BV379" s="205">
        <f t="shared" si="197"/>
        <v>313.17477636603502</v>
      </c>
      <c r="BY379" s="180">
        <v>2030</v>
      </c>
      <c r="BZ379" s="22">
        <v>16</v>
      </c>
      <c r="CA379" s="198">
        <f t="shared" ca="1" si="198"/>
        <v>-8.2679099050870359</v>
      </c>
      <c r="CB379" s="198">
        <f t="shared" ca="1" si="199"/>
        <v>99.197907759961367</v>
      </c>
      <c r="CC379" s="276">
        <f t="shared" ca="1" si="210"/>
        <v>227.54140829410704</v>
      </c>
      <c r="CD379" s="205">
        <f t="shared" ca="1" si="200"/>
        <v>318.47140614898137</v>
      </c>
      <c r="CG379" s="180">
        <v>2030</v>
      </c>
      <c r="CH379" s="22">
        <v>16</v>
      </c>
      <c r="CI379" s="198">
        <f t="shared" ca="1" si="201"/>
        <v>2.7568092479866451</v>
      </c>
      <c r="CJ379" s="198">
        <f t="shared" ca="1" si="202"/>
        <v>-19.63974805303198</v>
      </c>
      <c r="CK379" s="198">
        <f t="shared" ca="1" si="203"/>
        <v>110.95957596562954</v>
      </c>
      <c r="CL379" s="276">
        <f t="shared" ca="1" si="204"/>
        <v>225.70236884361898</v>
      </c>
      <c r="CM379" s="205">
        <f t="shared" ca="1" si="205"/>
        <v>319.77900600420321</v>
      </c>
      <c r="CP379" s="180">
        <v>2030</v>
      </c>
      <c r="CQ379" s="22">
        <v>16</v>
      </c>
      <c r="CR379" s="198">
        <f t="shared" ca="1" si="206"/>
        <v>242.79750986086785</v>
      </c>
      <c r="CS379" s="276">
        <f t="shared" ca="1" si="207"/>
        <v>1.2628927004413111</v>
      </c>
      <c r="CT379" s="205">
        <f t="shared" ca="1" si="208"/>
        <v>306.62720288861726</v>
      </c>
      <c r="CZ379" s="164" t="b">
        <f t="shared" si="185"/>
        <v>1</v>
      </c>
      <c r="DA379" s="165" t="b">
        <f t="shared" si="185"/>
        <v>1</v>
      </c>
      <c r="DB379" s="166" t="b">
        <f t="shared" si="185"/>
        <v>1</v>
      </c>
      <c r="DC379" s="164">
        <f t="shared" si="186"/>
        <v>18</v>
      </c>
      <c r="DD379" s="166">
        <f t="shared" si="187"/>
        <v>302.81866628148646</v>
      </c>
      <c r="DE379" s="164">
        <f t="shared" si="188"/>
        <v>18</v>
      </c>
      <c r="DF379" s="166">
        <f t="shared" si="189"/>
        <v>329.12700614550369</v>
      </c>
      <c r="DG379" s="164">
        <f t="shared" si="190"/>
        <v>18</v>
      </c>
      <c r="DH379" s="166">
        <f t="shared" si="191"/>
        <v>355.43534600952091</v>
      </c>
      <c r="DI379" s="164">
        <f>IFERROR(INDEX(DC$359:DC$407,_xlfn.AGGREGATE(15,6,(ROW(DC$359:DC$407)-ROW(DC$359)+1)/(DC$359:DC$407&lt;&gt;""),ROWS(DI$1:DI21))),"")</f>
        <v>18</v>
      </c>
      <c r="DJ379" s="165">
        <f>IFERROR(INDEX(DD$359:DD$407,_xlfn.AGGREGATE(15,6,(ROW(DD$359:DD$407)-ROW(DD$359)+1)/(DD$359:DD$407&lt;&gt;""),ROWS(DJ$1:DJ21))),"")</f>
        <v>302.81866628148646</v>
      </c>
      <c r="DK379" s="166">
        <f t="shared" si="192"/>
        <v>379</v>
      </c>
      <c r="DL379" s="164">
        <f>IFERROR(INDEX(DE$359:DE$407,_xlfn.AGGREGATE(15,6,(ROW(DE$359:DE$407)-ROW(DE$359)+1)/(DE$359:DE$407&lt;&gt;""),ROWS(DL$1:DL21))),"")</f>
        <v>18</v>
      </c>
      <c r="DM379" s="165">
        <f>IFERROR(INDEX(DF$359:DF$407,_xlfn.AGGREGATE(15,6,(ROW(DF$359:DF$407)-ROW(DF$359)+1)/(DF$359:DF$407&lt;&gt;""),ROWS(DM$1:DM21))),"")</f>
        <v>329.12700614550369</v>
      </c>
      <c r="DN379" s="166">
        <f t="shared" si="193"/>
        <v>379</v>
      </c>
      <c r="DO379" s="164">
        <f>IFERROR(INDEX(DG$359:DG$407,_xlfn.AGGREGATE(15,6,(ROW(DG$359:DG$407)-ROW(DG$359)+1)/(DG$359:DG$407&lt;&gt;""),ROWS(DO$1:DO21))),"")</f>
        <v>18</v>
      </c>
      <c r="DP379" s="165">
        <f>IFERROR(INDEX(DH$359:DH$407,_xlfn.AGGREGATE(15,6,(ROW(DH$359:DH$407)-ROW(DH$359)+1)/(DH$359:DH$407&lt;&gt;""),ROWS(DP$1:DP21))),"")</f>
        <v>355.43534600952091</v>
      </c>
      <c r="DQ379" s="166">
        <f t="shared" si="194"/>
        <v>379</v>
      </c>
      <c r="DV379" s="145">
        <v>2035</v>
      </c>
      <c r="DW379" s="235">
        <f t="shared" ca="1" si="178"/>
        <v>343.73738558547325</v>
      </c>
    </row>
    <row r="380" spans="1:135" ht="13.8" x14ac:dyDescent="0.45">
      <c r="B380" s="128">
        <v>2033</v>
      </c>
      <c r="C380" s="1070">
        <v>300.48162100456619</v>
      </c>
      <c r="D380" s="1050">
        <v>364.88641120272581</v>
      </c>
      <c r="E380" s="1069"/>
      <c r="F380" s="1075"/>
      <c r="G380" s="1052"/>
      <c r="H380" s="1036"/>
      <c r="I380" s="1112">
        <v>336.3</v>
      </c>
      <c r="J380" s="247"/>
      <c r="K380" s="245"/>
      <c r="L380" s="246"/>
      <c r="M380" s="245"/>
      <c r="N380" s="29" t="s">
        <v>119</v>
      </c>
      <c r="O380" s="120"/>
      <c r="P380" s="120"/>
      <c r="Q380" s="120"/>
      <c r="R380" s="29">
        <v>19</v>
      </c>
      <c r="S380" s="238">
        <f t="shared" si="179"/>
        <v>300.48162100456619</v>
      </c>
      <c r="T380" s="238">
        <f t="shared" si="180"/>
        <v>364.88641120272581</v>
      </c>
      <c r="U380" s="238">
        <f t="shared" si="181"/>
        <v>26.348342093702168</v>
      </c>
      <c r="W380" s="238">
        <f t="shared" si="182"/>
        <v>307.5410019753952</v>
      </c>
      <c r="X380" s="238">
        <f t="shared" si="183"/>
        <v>333.88934406909738</v>
      </c>
      <c r="Y380" s="238">
        <f t="shared" si="184"/>
        <v>360.23768616279955</v>
      </c>
      <c r="AA380" s="1133">
        <v>300.48162100456619</v>
      </c>
      <c r="AB380" s="1133">
        <v>332.684016103646</v>
      </c>
      <c r="AC380" s="1133">
        <v>364.88641120272581</v>
      </c>
      <c r="AD380" s="89"/>
      <c r="AE380" s="89"/>
      <c r="AF380" s="89"/>
      <c r="AG380" s="89"/>
      <c r="AH380" s="89"/>
      <c r="AI380" s="89"/>
      <c r="AJ380" s="89"/>
      <c r="AK380" s="89"/>
      <c r="AL380" s="89"/>
      <c r="AM380" s="89"/>
      <c r="AN380" s="89"/>
      <c r="BR380" s="180">
        <v>2031</v>
      </c>
      <c r="BS380" s="22">
        <v>17</v>
      </c>
      <c r="BT380" s="198">
        <f t="shared" si="195"/>
        <v>81.239977741032817</v>
      </c>
      <c r="BU380" s="276">
        <f t="shared" si="196"/>
        <v>236.71362084506296</v>
      </c>
      <c r="BV380" s="205">
        <f t="shared" si="197"/>
        <v>317.95359858609578</v>
      </c>
      <c r="BY380" s="180">
        <v>2031</v>
      </c>
      <c r="BZ380" s="22">
        <v>17</v>
      </c>
      <c r="CA380" s="198">
        <f t="shared" ca="1" si="198"/>
        <v>-9.3336951662896617</v>
      </c>
      <c r="CB380" s="198">
        <f t="shared" ca="1" si="199"/>
        <v>105.39777699495895</v>
      </c>
      <c r="CC380" s="276">
        <f t="shared" ca="1" si="210"/>
        <v>227.54140829410704</v>
      </c>
      <c r="CD380" s="205">
        <f t="shared" ca="1" si="200"/>
        <v>323.60549012277636</v>
      </c>
      <c r="CG380" s="180">
        <v>2031</v>
      </c>
      <c r="CH380" s="22">
        <v>17</v>
      </c>
      <c r="CI380" s="198">
        <f t="shared" ca="1" si="201"/>
        <v>3.3066903894917936</v>
      </c>
      <c r="CJ380" s="198">
        <f t="shared" ca="1" si="202"/>
        <v>-22.171434325493134</v>
      </c>
      <c r="CK380" s="198">
        <f t="shared" ca="1" si="203"/>
        <v>117.89454946348138</v>
      </c>
      <c r="CL380" s="276">
        <f t="shared" ca="1" si="204"/>
        <v>225.70236884361898</v>
      </c>
      <c r="CM380" s="205">
        <f t="shared" ca="1" si="205"/>
        <v>324.73217437109906</v>
      </c>
      <c r="CP380" s="180">
        <v>2031</v>
      </c>
      <c r="CQ380" s="22">
        <v>17</v>
      </c>
      <c r="CR380" s="198">
        <f t="shared" ca="1" si="206"/>
        <v>242.79750986086785</v>
      </c>
      <c r="CS380" s="276">
        <f t="shared" ca="1" si="207"/>
        <v>1.2814505633265674</v>
      </c>
      <c r="CT380" s="205">
        <f t="shared" ca="1" si="208"/>
        <v>311.13300578549689</v>
      </c>
      <c r="CZ380" s="164" t="b">
        <f t="shared" si="185"/>
        <v>1</v>
      </c>
      <c r="DA380" s="165" t="b">
        <f t="shared" si="185"/>
        <v>1</v>
      </c>
      <c r="DB380" s="166" t="b">
        <f t="shared" si="185"/>
        <v>1</v>
      </c>
      <c r="DC380" s="164">
        <f t="shared" si="186"/>
        <v>19</v>
      </c>
      <c r="DD380" s="166">
        <f t="shared" si="187"/>
        <v>307.5410019753952</v>
      </c>
      <c r="DE380" s="164">
        <f t="shared" si="188"/>
        <v>19</v>
      </c>
      <c r="DF380" s="166">
        <f t="shared" si="189"/>
        <v>333.88934406909738</v>
      </c>
      <c r="DG380" s="164">
        <f t="shared" si="190"/>
        <v>19</v>
      </c>
      <c r="DH380" s="166">
        <f t="shared" si="191"/>
        <v>360.23768616279955</v>
      </c>
      <c r="DI380" s="164">
        <f>IFERROR(INDEX(DC$359:DC$407,_xlfn.AGGREGATE(15,6,(ROW(DC$359:DC$407)-ROW(DC$359)+1)/(DC$359:DC$407&lt;&gt;""),ROWS(DI$1:DI22))),"")</f>
        <v>19</v>
      </c>
      <c r="DJ380" s="165">
        <f>IFERROR(INDEX(DD$359:DD$407,_xlfn.AGGREGATE(15,6,(ROW(DD$359:DD$407)-ROW(DD$359)+1)/(DD$359:DD$407&lt;&gt;""),ROWS(DJ$1:DJ22))),"")</f>
        <v>307.5410019753952</v>
      </c>
      <c r="DK380" s="166">
        <f t="shared" si="192"/>
        <v>380</v>
      </c>
      <c r="DL380" s="164">
        <f>IFERROR(INDEX(DE$359:DE$407,_xlfn.AGGREGATE(15,6,(ROW(DE$359:DE$407)-ROW(DE$359)+1)/(DE$359:DE$407&lt;&gt;""),ROWS(DL$1:DL22))),"")</f>
        <v>19</v>
      </c>
      <c r="DM380" s="165">
        <f>IFERROR(INDEX(DF$359:DF$407,_xlfn.AGGREGATE(15,6,(ROW(DF$359:DF$407)-ROW(DF$359)+1)/(DF$359:DF$407&lt;&gt;""),ROWS(DM$1:DM22))),"")</f>
        <v>333.88934406909738</v>
      </c>
      <c r="DN380" s="166">
        <f t="shared" si="193"/>
        <v>380</v>
      </c>
      <c r="DO380" s="164">
        <f>IFERROR(INDEX(DG$359:DG$407,_xlfn.AGGREGATE(15,6,(ROW(DG$359:DG$407)-ROW(DG$359)+1)/(DG$359:DG$407&lt;&gt;""),ROWS(DO$1:DO22))),"")</f>
        <v>19</v>
      </c>
      <c r="DP380" s="165">
        <f>IFERROR(INDEX(DH$359:DH$407,_xlfn.AGGREGATE(15,6,(ROW(DH$359:DH$407)-ROW(DH$359)+1)/(DH$359:DH$407&lt;&gt;""),ROWS(DP$1:DP22))),"")</f>
        <v>360.23768616279955</v>
      </c>
      <c r="DQ380" s="166">
        <f t="shared" si="194"/>
        <v>380</v>
      </c>
      <c r="DV380" s="145">
        <v>2036</v>
      </c>
      <c r="DW380" s="235">
        <f t="shared" ca="1" si="178"/>
        <v>348.3070142997488</v>
      </c>
    </row>
    <row r="381" spans="1:135" ht="13.8" x14ac:dyDescent="0.45">
      <c r="B381" s="128">
        <v>2034</v>
      </c>
      <c r="C381" s="1070">
        <v>304.52990867579911</v>
      </c>
      <c r="D381" s="1050">
        <v>368.75034426751472</v>
      </c>
      <c r="E381" s="1069"/>
      <c r="F381" s="1075"/>
      <c r="G381" s="1052"/>
      <c r="H381" s="1036"/>
      <c r="I381" s="1112">
        <v>342.50588235294117</v>
      </c>
      <c r="J381" s="247"/>
      <c r="K381" s="245"/>
      <c r="L381" s="246"/>
      <c r="M381" s="245"/>
      <c r="N381" s="29" t="s">
        <v>119</v>
      </c>
      <c r="O381" s="120"/>
      <c r="P381" s="120"/>
      <c r="Q381" s="120"/>
      <c r="R381" s="29">
        <v>20</v>
      </c>
      <c r="S381" s="238">
        <f t="shared" si="179"/>
        <v>304.52990867579911</v>
      </c>
      <c r="T381" s="238">
        <f t="shared" si="180"/>
        <v>368.75034426751472</v>
      </c>
      <c r="U381" s="238">
        <f t="shared" si="181"/>
        <v>26.363296677814493</v>
      </c>
      <c r="W381" s="238">
        <f t="shared" si="182"/>
        <v>312.2320817542705</v>
      </c>
      <c r="X381" s="238">
        <f t="shared" si="183"/>
        <v>338.595378432085</v>
      </c>
      <c r="Y381" s="238">
        <f t="shared" si="184"/>
        <v>364.9586751098995</v>
      </c>
      <c r="AA381" s="1133">
        <v>304.52990867579911</v>
      </c>
      <c r="AB381" s="1133">
        <v>336.64012647165691</v>
      </c>
      <c r="AC381" s="1133">
        <v>368.75034426751472</v>
      </c>
      <c r="AD381" s="89"/>
      <c r="AE381" s="89"/>
      <c r="AF381" s="89"/>
      <c r="AG381" s="89"/>
      <c r="AH381" s="89"/>
      <c r="AI381" s="89"/>
      <c r="AJ381" s="89"/>
      <c r="AK381" s="89"/>
      <c r="AL381" s="89"/>
      <c r="AM381" s="89"/>
      <c r="AN381" s="89"/>
      <c r="BR381" s="180">
        <v>2032</v>
      </c>
      <c r="BS381" s="22">
        <v>18</v>
      </c>
      <c r="BT381" s="198">
        <f t="shared" si="195"/>
        <v>86.018799961093563</v>
      </c>
      <c r="BU381" s="276">
        <f t="shared" si="196"/>
        <v>236.71362084506296</v>
      </c>
      <c r="BV381" s="205">
        <f t="shared" si="197"/>
        <v>322.73242080615654</v>
      </c>
      <c r="BY381" s="180">
        <v>2032</v>
      </c>
      <c r="BZ381" s="22">
        <v>18</v>
      </c>
      <c r="CA381" s="198">
        <f t="shared" ca="1" si="198"/>
        <v>-10.464073473625779</v>
      </c>
      <c r="CB381" s="198">
        <f t="shared" ca="1" si="199"/>
        <v>111.59764622995654</v>
      </c>
      <c r="CC381" s="276">
        <f t="shared" ca="1" si="210"/>
        <v>227.54140829410704</v>
      </c>
      <c r="CD381" s="205">
        <f t="shared" ca="1" si="200"/>
        <v>328.67498105043779</v>
      </c>
      <c r="CG381" s="180">
        <v>2032</v>
      </c>
      <c r="CH381" s="22">
        <v>18</v>
      </c>
      <c r="CI381" s="198">
        <f t="shared" ca="1" si="201"/>
        <v>3.925222542543485</v>
      </c>
      <c r="CJ381" s="198">
        <f t="shared" ca="1" si="202"/>
        <v>-24.8565561296186</v>
      </c>
      <c r="CK381" s="198">
        <f t="shared" ca="1" si="203"/>
        <v>124.82952296133323</v>
      </c>
      <c r="CL381" s="276">
        <f t="shared" ca="1" si="204"/>
        <v>225.70236884361898</v>
      </c>
      <c r="CM381" s="205">
        <f t="shared" ca="1" si="205"/>
        <v>329.60055821787711</v>
      </c>
      <c r="CP381" s="180">
        <v>2032</v>
      </c>
      <c r="CQ381" s="22">
        <v>18</v>
      </c>
      <c r="CR381" s="198">
        <f t="shared" ca="1" si="206"/>
        <v>242.79750986086785</v>
      </c>
      <c r="CS381" s="276">
        <f t="shared" ca="1" si="207"/>
        <v>1.3002811289321319</v>
      </c>
      <c r="CT381" s="205">
        <f t="shared" ca="1" si="208"/>
        <v>315.70502022379969</v>
      </c>
      <c r="CZ381" s="164" t="b">
        <f t="shared" si="185"/>
        <v>1</v>
      </c>
      <c r="DA381" s="165" t="b">
        <f t="shared" si="185"/>
        <v>1</v>
      </c>
      <c r="DB381" s="166" t="b">
        <f t="shared" si="185"/>
        <v>1</v>
      </c>
      <c r="DC381" s="164">
        <f t="shared" si="186"/>
        <v>20</v>
      </c>
      <c r="DD381" s="166">
        <f t="shared" si="187"/>
        <v>312.2320817542705</v>
      </c>
      <c r="DE381" s="164">
        <f t="shared" si="188"/>
        <v>20</v>
      </c>
      <c r="DF381" s="166">
        <f t="shared" si="189"/>
        <v>338.595378432085</v>
      </c>
      <c r="DG381" s="164">
        <f t="shared" si="190"/>
        <v>20</v>
      </c>
      <c r="DH381" s="166">
        <f t="shared" si="191"/>
        <v>364.9586751098995</v>
      </c>
      <c r="DI381" s="164">
        <f>IFERROR(INDEX(DC$359:DC$407,_xlfn.AGGREGATE(15,6,(ROW(DC$359:DC$407)-ROW(DC$359)+1)/(DC$359:DC$407&lt;&gt;""),ROWS(DI$1:DI23))),"")</f>
        <v>20</v>
      </c>
      <c r="DJ381" s="165">
        <f>IFERROR(INDEX(DD$359:DD$407,_xlfn.AGGREGATE(15,6,(ROW(DD$359:DD$407)-ROW(DD$359)+1)/(DD$359:DD$407&lt;&gt;""),ROWS(DJ$1:DJ23))),"")</f>
        <v>312.2320817542705</v>
      </c>
      <c r="DK381" s="166">
        <f t="shared" si="192"/>
        <v>381</v>
      </c>
      <c r="DL381" s="164">
        <f>IFERROR(INDEX(DE$359:DE$407,_xlfn.AGGREGATE(15,6,(ROW(DE$359:DE$407)-ROW(DE$359)+1)/(DE$359:DE$407&lt;&gt;""),ROWS(DL$1:DL23))),"")</f>
        <v>20</v>
      </c>
      <c r="DM381" s="165">
        <f>IFERROR(INDEX(DF$359:DF$407,_xlfn.AGGREGATE(15,6,(ROW(DF$359:DF$407)-ROW(DF$359)+1)/(DF$359:DF$407&lt;&gt;""),ROWS(DM$1:DM23))),"")</f>
        <v>338.595378432085</v>
      </c>
      <c r="DN381" s="166">
        <f t="shared" si="193"/>
        <v>381</v>
      </c>
      <c r="DO381" s="164">
        <f>IFERROR(INDEX(DG$359:DG$407,_xlfn.AGGREGATE(15,6,(ROW(DG$359:DG$407)-ROW(DG$359)+1)/(DG$359:DG$407&lt;&gt;""),ROWS(DO$1:DO23))),"")</f>
        <v>20</v>
      </c>
      <c r="DP381" s="165">
        <f>IFERROR(INDEX(DH$359:DH$407,_xlfn.AGGREGATE(15,6,(ROW(DH$359:DH$407)-ROW(DH$359)+1)/(DH$359:DH$407&lt;&gt;""),ROWS(DP$1:DP23))),"")</f>
        <v>364.9586751098995</v>
      </c>
      <c r="DQ381" s="166">
        <f t="shared" si="194"/>
        <v>381</v>
      </c>
      <c r="DV381" s="145">
        <v>2037</v>
      </c>
      <c r="DW381" s="235">
        <f t="shared" ca="1" si="178"/>
        <v>352.81204996789086</v>
      </c>
    </row>
    <row r="382" spans="1:135" ht="13.8" x14ac:dyDescent="0.45">
      <c r="B382" s="128">
        <v>2035</v>
      </c>
      <c r="C382" s="1070">
        <v>308.57819634703196</v>
      </c>
      <c r="D382" s="1050">
        <v>372.39854724956302</v>
      </c>
      <c r="E382" s="1069"/>
      <c r="F382" s="1075"/>
      <c r="G382" s="1052"/>
      <c r="H382" s="1036"/>
      <c r="I382" s="1112">
        <v>348.71176470588233</v>
      </c>
      <c r="J382" s="247"/>
      <c r="K382" s="245"/>
      <c r="L382" s="246"/>
      <c r="M382" s="245"/>
      <c r="N382" s="29" t="s">
        <v>119</v>
      </c>
      <c r="O382" s="120"/>
      <c r="P382" s="120"/>
      <c r="Q382" s="120"/>
      <c r="R382" s="29">
        <v>21</v>
      </c>
      <c r="S382" s="238">
        <f t="shared" si="179"/>
        <v>308.57819634703196</v>
      </c>
      <c r="T382" s="238">
        <f t="shared" si="180"/>
        <v>372.39854724956302</v>
      </c>
      <c r="U382" s="238">
        <f t="shared" si="181"/>
        <v>26.341357776968497</v>
      </c>
      <c r="W382" s="238">
        <f t="shared" si="182"/>
        <v>316.88814499052398</v>
      </c>
      <c r="X382" s="238">
        <f t="shared" si="183"/>
        <v>343.22950276749248</v>
      </c>
      <c r="Y382" s="238">
        <f t="shared" si="184"/>
        <v>369.57086054446097</v>
      </c>
      <c r="AA382" s="1133">
        <v>308.57819634703196</v>
      </c>
      <c r="AB382" s="1133">
        <v>340.48837179829752</v>
      </c>
      <c r="AC382" s="1133">
        <v>372.39854724956308</v>
      </c>
      <c r="AD382" s="89"/>
      <c r="AE382" s="89"/>
      <c r="AF382" s="89"/>
      <c r="AG382" s="89"/>
      <c r="AH382" s="89"/>
      <c r="AI382" s="89"/>
      <c r="AJ382" s="89"/>
      <c r="AK382" s="89"/>
      <c r="AL382" s="89"/>
      <c r="AM382" s="89"/>
      <c r="AN382" s="89"/>
      <c r="BR382" s="180">
        <v>2033</v>
      </c>
      <c r="BS382" s="22">
        <v>19</v>
      </c>
      <c r="BT382" s="198">
        <f t="shared" si="195"/>
        <v>90.79762218115431</v>
      </c>
      <c r="BU382" s="276">
        <f t="shared" si="196"/>
        <v>236.71362084506296</v>
      </c>
      <c r="BV382" s="205">
        <f t="shared" si="197"/>
        <v>327.51124302621724</v>
      </c>
      <c r="BY382" s="180">
        <v>2033</v>
      </c>
      <c r="BZ382" s="22">
        <v>19</v>
      </c>
      <c r="CA382" s="198">
        <f t="shared" ca="1" si="198"/>
        <v>-11.659044827095391</v>
      </c>
      <c r="CB382" s="198">
        <f t="shared" ca="1" si="199"/>
        <v>117.79751546495413</v>
      </c>
      <c r="CC382" s="276">
        <f t="shared" ca="1" si="210"/>
        <v>227.54140829410704</v>
      </c>
      <c r="CD382" s="205">
        <f t="shared" ca="1" si="200"/>
        <v>333.67987893196579</v>
      </c>
      <c r="CG382" s="180">
        <v>2033</v>
      </c>
      <c r="CH382" s="22">
        <v>19</v>
      </c>
      <c r="CI382" s="198">
        <f t="shared" ca="1" si="201"/>
        <v>4.6164440019385742</v>
      </c>
      <c r="CJ382" s="198">
        <f t="shared" ca="1" si="202"/>
        <v>-27.695113465408376</v>
      </c>
      <c r="CK382" s="198">
        <f t="shared" ca="1" si="203"/>
        <v>131.76449645918507</v>
      </c>
      <c r="CL382" s="276">
        <f t="shared" ca="1" si="204"/>
        <v>225.70236884361898</v>
      </c>
      <c r="CM382" s="205">
        <f t="shared" ca="1" si="205"/>
        <v>334.38819583933423</v>
      </c>
      <c r="CP382" s="180">
        <v>2033</v>
      </c>
      <c r="CQ382" s="22">
        <v>19</v>
      </c>
      <c r="CR382" s="198">
        <f t="shared" ca="1" si="206"/>
        <v>242.79750986086785</v>
      </c>
      <c r="CS382" s="276">
        <f t="shared" ca="1" si="207"/>
        <v>1.3193884045499071</v>
      </c>
      <c r="CT382" s="205">
        <f t="shared" ca="1" si="208"/>
        <v>320.34421916402079</v>
      </c>
      <c r="CZ382" s="164" t="b">
        <f t="shared" si="185"/>
        <v>1</v>
      </c>
      <c r="DA382" s="165" t="b">
        <f t="shared" si="185"/>
        <v>1</v>
      </c>
      <c r="DB382" s="166" t="b">
        <f t="shared" si="185"/>
        <v>1</v>
      </c>
      <c r="DC382" s="164">
        <f t="shared" si="186"/>
        <v>21</v>
      </c>
      <c r="DD382" s="166">
        <f t="shared" si="187"/>
        <v>316.88814499052398</v>
      </c>
      <c r="DE382" s="164">
        <f t="shared" si="188"/>
        <v>21</v>
      </c>
      <c r="DF382" s="166">
        <f t="shared" si="189"/>
        <v>343.22950276749248</v>
      </c>
      <c r="DG382" s="164">
        <f t="shared" si="190"/>
        <v>21</v>
      </c>
      <c r="DH382" s="166">
        <f t="shared" si="191"/>
        <v>369.57086054446097</v>
      </c>
      <c r="DI382" s="164">
        <f>IFERROR(INDEX(DC$359:DC$407,_xlfn.AGGREGATE(15,6,(ROW(DC$359:DC$407)-ROW(DC$359)+1)/(DC$359:DC$407&lt;&gt;""),ROWS(DI$1:DI24))),"")</f>
        <v>21</v>
      </c>
      <c r="DJ382" s="165">
        <f>IFERROR(INDEX(DD$359:DD$407,_xlfn.AGGREGATE(15,6,(ROW(DD$359:DD$407)-ROW(DD$359)+1)/(DD$359:DD$407&lt;&gt;""),ROWS(DJ$1:DJ24))),"")</f>
        <v>316.88814499052398</v>
      </c>
      <c r="DK382" s="166">
        <f t="shared" si="192"/>
        <v>382</v>
      </c>
      <c r="DL382" s="164">
        <f>IFERROR(INDEX(DE$359:DE$407,_xlfn.AGGREGATE(15,6,(ROW(DE$359:DE$407)-ROW(DE$359)+1)/(DE$359:DE$407&lt;&gt;""),ROWS(DL$1:DL24))),"")</f>
        <v>21</v>
      </c>
      <c r="DM382" s="165">
        <f>IFERROR(INDEX(DF$359:DF$407,_xlfn.AGGREGATE(15,6,(ROW(DF$359:DF$407)-ROW(DF$359)+1)/(DF$359:DF$407&lt;&gt;""),ROWS(DM$1:DM24))),"")</f>
        <v>343.22950276749248</v>
      </c>
      <c r="DN382" s="166">
        <f t="shared" si="193"/>
        <v>382</v>
      </c>
      <c r="DO382" s="164">
        <f>IFERROR(INDEX(DG$359:DG$407,_xlfn.AGGREGATE(15,6,(ROW(DG$359:DG$407)-ROW(DG$359)+1)/(DG$359:DG$407&lt;&gt;""),ROWS(DO$1:DO24))),"")</f>
        <v>21</v>
      </c>
      <c r="DP382" s="165">
        <f>IFERROR(INDEX(DH$359:DH$407,_xlfn.AGGREGATE(15,6,(ROW(DH$359:DH$407)-ROW(DH$359)+1)/(DH$359:DH$407&lt;&gt;""),ROWS(DP$1:DP24))),"")</f>
        <v>369.57086054446097</v>
      </c>
      <c r="DQ382" s="166">
        <f t="shared" si="194"/>
        <v>382</v>
      </c>
      <c r="DV382" s="145">
        <v>2038</v>
      </c>
      <c r="DW382" s="235">
        <f t="shared" ca="1" si="178"/>
        <v>357.2565308846963</v>
      </c>
    </row>
    <row r="383" spans="1:135" ht="13.8" x14ac:dyDescent="0.45">
      <c r="B383" s="128">
        <v>2036</v>
      </c>
      <c r="C383" s="1070">
        <v>312.62648401826482</v>
      </c>
      <c r="D383" s="1050">
        <v>375.99669339560387</v>
      </c>
      <c r="E383" s="1069"/>
      <c r="F383" s="1075"/>
      <c r="G383" s="1052"/>
      <c r="H383" s="1036"/>
      <c r="I383" s="1112">
        <v>354.91764705882349</v>
      </c>
      <c r="J383" s="247"/>
      <c r="K383" s="245"/>
      <c r="L383" s="246"/>
      <c r="M383" s="245"/>
      <c r="N383" s="29" t="s">
        <v>119</v>
      </c>
      <c r="O383" s="120"/>
      <c r="P383" s="120"/>
      <c r="Q383" s="120"/>
      <c r="R383" s="29">
        <v>22</v>
      </c>
      <c r="S383" s="238">
        <f t="shared" si="179"/>
        <v>312.62648401826482</v>
      </c>
      <c r="T383" s="238">
        <f t="shared" si="180"/>
        <v>375.99669339560387</v>
      </c>
      <c r="U383" s="238">
        <f t="shared" si="181"/>
        <v>26.34947206369511</v>
      </c>
      <c r="W383" s="238">
        <f t="shared" si="182"/>
        <v>321.49746942720236</v>
      </c>
      <c r="X383" s="238">
        <f t="shared" si="183"/>
        <v>347.84694149089745</v>
      </c>
      <c r="Y383" s="238">
        <f t="shared" si="184"/>
        <v>374.19641355459254</v>
      </c>
      <c r="AA383" s="1133">
        <v>312.62648401826482</v>
      </c>
      <c r="AB383" s="1133">
        <v>344.31158870693434</v>
      </c>
      <c r="AC383" s="1133">
        <v>375.99669339560387</v>
      </c>
      <c r="AD383" s="89"/>
      <c r="AE383" s="89"/>
      <c r="AF383" s="89"/>
      <c r="AG383" s="89"/>
      <c r="AH383" s="89"/>
      <c r="AI383" s="89"/>
      <c r="AJ383" s="89"/>
      <c r="AK383" s="89"/>
      <c r="AL383" s="89"/>
      <c r="AM383" s="89"/>
      <c r="AN383" s="89"/>
      <c r="BR383" s="180">
        <v>2034</v>
      </c>
      <c r="BS383" s="22">
        <v>20</v>
      </c>
      <c r="BT383" s="198">
        <f t="shared" si="195"/>
        <v>95.57644440121507</v>
      </c>
      <c r="BU383" s="276">
        <f t="shared" si="196"/>
        <v>236.71362084506296</v>
      </c>
      <c r="BV383" s="205">
        <f t="shared" si="197"/>
        <v>332.290065246278</v>
      </c>
      <c r="BY383" s="180">
        <v>2034</v>
      </c>
      <c r="BZ383" s="22">
        <v>20</v>
      </c>
      <c r="CA383" s="198">
        <f t="shared" ca="1" si="198"/>
        <v>-12.918609226698493</v>
      </c>
      <c r="CB383" s="198">
        <f t="shared" ca="1" si="199"/>
        <v>123.99738469995171</v>
      </c>
      <c r="CC383" s="276">
        <f t="shared" ca="1" si="210"/>
        <v>227.54140829410704</v>
      </c>
      <c r="CD383" s="205">
        <f t="shared" ca="1" si="200"/>
        <v>338.62018376736023</v>
      </c>
      <c r="CG383" s="180">
        <v>2034</v>
      </c>
      <c r="CH383" s="22">
        <v>20</v>
      </c>
      <c r="CI383" s="198">
        <f t="shared" ca="1" si="201"/>
        <v>5.384393062473916</v>
      </c>
      <c r="CJ383" s="198">
        <f t="shared" ca="1" si="202"/>
        <v>-30.68710633286247</v>
      </c>
      <c r="CK383" s="198">
        <f t="shared" ca="1" si="203"/>
        <v>138.69946995703691</v>
      </c>
      <c r="CL383" s="276">
        <f t="shared" ca="1" si="204"/>
        <v>225.70236884361898</v>
      </c>
      <c r="CM383" s="205">
        <f t="shared" ca="1" si="205"/>
        <v>339.09912553026732</v>
      </c>
      <c r="CP383" s="180">
        <v>2034</v>
      </c>
      <c r="CQ383" s="22">
        <v>20</v>
      </c>
      <c r="CR383" s="198">
        <f t="shared" ca="1" si="206"/>
        <v>242.79750986086785</v>
      </c>
      <c r="CS383" s="276">
        <f t="shared" ca="1" si="207"/>
        <v>1.3387764563578541</v>
      </c>
      <c r="CT383" s="205">
        <f t="shared" ca="1" si="208"/>
        <v>325.05158986404382</v>
      </c>
      <c r="CZ383" s="164" t="b">
        <f t="shared" si="185"/>
        <v>1</v>
      </c>
      <c r="DA383" s="165" t="b">
        <f t="shared" si="185"/>
        <v>1</v>
      </c>
      <c r="DB383" s="166" t="b">
        <f t="shared" si="185"/>
        <v>1</v>
      </c>
      <c r="DC383" s="164">
        <f t="shared" si="186"/>
        <v>22</v>
      </c>
      <c r="DD383" s="166">
        <f t="shared" si="187"/>
        <v>321.49746942720236</v>
      </c>
      <c r="DE383" s="164">
        <f t="shared" si="188"/>
        <v>22</v>
      </c>
      <c r="DF383" s="166">
        <f t="shared" si="189"/>
        <v>347.84694149089745</v>
      </c>
      <c r="DG383" s="164">
        <f t="shared" si="190"/>
        <v>22</v>
      </c>
      <c r="DH383" s="166">
        <f t="shared" si="191"/>
        <v>374.19641355459254</v>
      </c>
      <c r="DI383" s="164">
        <f>IFERROR(INDEX(DC$359:DC$407,_xlfn.AGGREGATE(15,6,(ROW(DC$359:DC$407)-ROW(DC$359)+1)/(DC$359:DC$407&lt;&gt;""),ROWS(DI$1:DI25))),"")</f>
        <v>22</v>
      </c>
      <c r="DJ383" s="165">
        <f>IFERROR(INDEX(DD$359:DD$407,_xlfn.AGGREGATE(15,6,(ROW(DD$359:DD$407)-ROW(DD$359)+1)/(DD$359:DD$407&lt;&gt;""),ROWS(DJ$1:DJ25))),"")</f>
        <v>321.49746942720236</v>
      </c>
      <c r="DK383" s="166">
        <f t="shared" si="192"/>
        <v>383</v>
      </c>
      <c r="DL383" s="164">
        <f>IFERROR(INDEX(DE$359:DE$407,_xlfn.AGGREGATE(15,6,(ROW(DE$359:DE$407)-ROW(DE$359)+1)/(DE$359:DE$407&lt;&gt;""),ROWS(DL$1:DL25))),"")</f>
        <v>22</v>
      </c>
      <c r="DM383" s="165">
        <f>IFERROR(INDEX(DF$359:DF$407,_xlfn.AGGREGATE(15,6,(ROW(DF$359:DF$407)-ROW(DF$359)+1)/(DF$359:DF$407&lt;&gt;""),ROWS(DM$1:DM25))),"")</f>
        <v>347.84694149089745</v>
      </c>
      <c r="DN383" s="166">
        <f t="shared" si="193"/>
        <v>383</v>
      </c>
      <c r="DO383" s="164">
        <f>IFERROR(INDEX(DG$359:DG$407,_xlfn.AGGREGATE(15,6,(ROW(DG$359:DG$407)-ROW(DG$359)+1)/(DG$359:DG$407&lt;&gt;""),ROWS(DO$1:DO25))),"")</f>
        <v>22</v>
      </c>
      <c r="DP383" s="165">
        <f>IFERROR(INDEX(DH$359:DH$407,_xlfn.AGGREGATE(15,6,(ROW(DH$359:DH$407)-ROW(DH$359)+1)/(DH$359:DH$407&lt;&gt;""),ROWS(DP$1:DP25))),"")</f>
        <v>374.19641355459254</v>
      </c>
      <c r="DQ383" s="166">
        <f t="shared" si="194"/>
        <v>383</v>
      </c>
      <c r="DV383" s="145">
        <v>2039</v>
      </c>
      <c r="DW383" s="235">
        <f t="shared" ca="1" si="178"/>
        <v>361.64449534496191</v>
      </c>
    </row>
    <row r="384" spans="1:135" ht="13.8" x14ac:dyDescent="0.45">
      <c r="B384" s="128">
        <v>2037</v>
      </c>
      <c r="C384" s="1070">
        <v>316.67477168949773</v>
      </c>
      <c r="D384" s="1050">
        <v>379.39355135401496</v>
      </c>
      <c r="E384" s="1069"/>
      <c r="F384" s="1075"/>
      <c r="G384" s="1052"/>
      <c r="H384" s="1036"/>
      <c r="I384" s="1112">
        <v>361.12352941176471</v>
      </c>
      <c r="J384" s="247"/>
      <c r="K384" s="245"/>
      <c r="L384" s="246"/>
      <c r="M384" s="245"/>
      <c r="N384" s="29" t="s">
        <v>119</v>
      </c>
      <c r="O384" s="120"/>
      <c r="P384" s="120"/>
      <c r="Q384" s="120"/>
      <c r="R384" s="29">
        <v>23</v>
      </c>
      <c r="S384" s="238">
        <f t="shared" si="179"/>
        <v>316.67477168949773</v>
      </c>
      <c r="T384" s="238">
        <f t="shared" si="180"/>
        <v>379.39355135401496</v>
      </c>
      <c r="U384" s="238">
        <f t="shared" si="181"/>
        <v>26.337828914635217</v>
      </c>
      <c r="W384" s="238">
        <f t="shared" si="182"/>
        <v>326.05945523712393</v>
      </c>
      <c r="X384" s="238">
        <f t="shared" si="183"/>
        <v>352.39728415175915</v>
      </c>
      <c r="Y384" s="238">
        <f t="shared" si="184"/>
        <v>378.73511306639438</v>
      </c>
      <c r="AA384" s="1133">
        <v>316.67477168949773</v>
      </c>
      <c r="AB384" s="1133">
        <v>348.03416152175635</v>
      </c>
      <c r="AC384" s="1133">
        <v>379.39355135401496</v>
      </c>
      <c r="AD384" s="89"/>
      <c r="AE384" s="89"/>
      <c r="AF384" s="89"/>
      <c r="AG384" s="89"/>
      <c r="AH384" s="89"/>
      <c r="AI384" s="89"/>
      <c r="AJ384" s="89"/>
      <c r="AK384" s="89"/>
      <c r="AL384" s="89"/>
      <c r="AM384" s="89"/>
      <c r="AN384" s="89"/>
      <c r="BR384" s="180">
        <v>2035</v>
      </c>
      <c r="BS384" s="22">
        <v>21</v>
      </c>
      <c r="BT384" s="198">
        <f t="shared" si="195"/>
        <v>100.35526662127583</v>
      </c>
      <c r="BU384" s="276">
        <f t="shared" si="196"/>
        <v>236.71362084506296</v>
      </c>
      <c r="BV384" s="205">
        <f t="shared" si="197"/>
        <v>337.06888746633877</v>
      </c>
      <c r="BY384" s="180">
        <v>2035</v>
      </c>
      <c r="BZ384" s="22">
        <v>21</v>
      </c>
      <c r="CA384" s="198">
        <f t="shared" ca="1" si="198"/>
        <v>-14.242766672435089</v>
      </c>
      <c r="CB384" s="198">
        <f t="shared" ca="1" si="199"/>
        <v>130.19725393494929</v>
      </c>
      <c r="CC384" s="276">
        <f t="shared" ca="1" si="210"/>
        <v>227.54140829410704</v>
      </c>
      <c r="CD384" s="205">
        <f t="shared" ca="1" si="200"/>
        <v>343.49589555662124</v>
      </c>
      <c r="CG384" s="180">
        <v>2035</v>
      </c>
      <c r="CH384" s="22">
        <v>21</v>
      </c>
      <c r="CI384" s="198">
        <f t="shared" ca="1" si="201"/>
        <v>6.2331080189463668</v>
      </c>
      <c r="CJ384" s="198">
        <f t="shared" ca="1" si="202"/>
        <v>-33.832534731980871</v>
      </c>
      <c r="CK384" s="198">
        <f t="shared" ca="1" si="203"/>
        <v>145.63444345488878</v>
      </c>
      <c r="CL384" s="276">
        <f t="shared" ca="1" si="204"/>
        <v>225.70236884361898</v>
      </c>
      <c r="CM384" s="205">
        <f t="shared" ca="1" si="205"/>
        <v>343.73738558547325</v>
      </c>
      <c r="CP384" s="180">
        <v>2035</v>
      </c>
      <c r="CQ384" s="22">
        <v>21</v>
      </c>
      <c r="CR384" s="198">
        <f t="shared" ca="1" si="206"/>
        <v>242.79750986086785</v>
      </c>
      <c r="CS384" s="276">
        <f t="shared" ca="1" si="207"/>
        <v>1.3584494102853066</v>
      </c>
      <c r="CT384" s="205">
        <f t="shared" ca="1" si="208"/>
        <v>329.82813408923687</v>
      </c>
      <c r="CZ384" s="164" t="b">
        <f t="shared" si="185"/>
        <v>1</v>
      </c>
      <c r="DA384" s="165" t="b">
        <f t="shared" si="185"/>
        <v>1</v>
      </c>
      <c r="DB384" s="166" t="b">
        <f t="shared" si="185"/>
        <v>1</v>
      </c>
      <c r="DC384" s="164">
        <f t="shared" si="186"/>
        <v>23</v>
      </c>
      <c r="DD384" s="166">
        <f t="shared" si="187"/>
        <v>326.05945523712393</v>
      </c>
      <c r="DE384" s="164">
        <f t="shared" si="188"/>
        <v>23</v>
      </c>
      <c r="DF384" s="166">
        <f t="shared" si="189"/>
        <v>352.39728415175915</v>
      </c>
      <c r="DG384" s="164">
        <f t="shared" si="190"/>
        <v>23</v>
      </c>
      <c r="DH384" s="166">
        <f t="shared" si="191"/>
        <v>378.73511306639438</v>
      </c>
      <c r="DI384" s="164">
        <f>IFERROR(INDEX(DC$359:DC$407,_xlfn.AGGREGATE(15,6,(ROW(DC$359:DC$407)-ROW(DC$359)+1)/(DC$359:DC$407&lt;&gt;""),ROWS(DI$1:DI26))),"")</f>
        <v>23</v>
      </c>
      <c r="DJ384" s="165">
        <f>IFERROR(INDEX(DD$359:DD$407,_xlfn.AGGREGATE(15,6,(ROW(DD$359:DD$407)-ROW(DD$359)+1)/(DD$359:DD$407&lt;&gt;""),ROWS(DJ$1:DJ26))),"")</f>
        <v>326.05945523712393</v>
      </c>
      <c r="DK384" s="166">
        <f t="shared" si="192"/>
        <v>384</v>
      </c>
      <c r="DL384" s="164">
        <f>IFERROR(INDEX(DE$359:DE$407,_xlfn.AGGREGATE(15,6,(ROW(DE$359:DE$407)-ROW(DE$359)+1)/(DE$359:DE$407&lt;&gt;""),ROWS(DL$1:DL26))),"")</f>
        <v>23</v>
      </c>
      <c r="DM384" s="165">
        <f>IFERROR(INDEX(DF$359:DF$407,_xlfn.AGGREGATE(15,6,(ROW(DF$359:DF$407)-ROW(DF$359)+1)/(DF$359:DF$407&lt;&gt;""),ROWS(DM$1:DM26))),"")</f>
        <v>352.39728415175915</v>
      </c>
      <c r="DN384" s="166">
        <f t="shared" si="193"/>
        <v>384</v>
      </c>
      <c r="DO384" s="164">
        <f>IFERROR(INDEX(DG$359:DG$407,_xlfn.AGGREGATE(15,6,(ROW(DG$359:DG$407)-ROW(DG$359)+1)/(DG$359:DG$407&lt;&gt;""),ROWS(DO$1:DO26))),"")</f>
        <v>23</v>
      </c>
      <c r="DP384" s="165">
        <f>IFERROR(INDEX(DH$359:DH$407,_xlfn.AGGREGATE(15,6,(ROW(DH$359:DH$407)-ROW(DH$359)+1)/(DH$359:DH$407&lt;&gt;""),ROWS(DP$1:DP26))),"")</f>
        <v>378.73511306639438</v>
      </c>
      <c r="DQ384" s="166">
        <f t="shared" si="194"/>
        <v>384</v>
      </c>
      <c r="DV384" s="145">
        <v>2040</v>
      </c>
      <c r="DW384" s="235">
        <f t="shared" ca="1" si="178"/>
        <v>365.97998164348462</v>
      </c>
    </row>
    <row r="385" spans="2:135" ht="13.8" x14ac:dyDescent="0.45">
      <c r="B385" s="128">
        <v>2038</v>
      </c>
      <c r="C385" s="1070">
        <v>320.72305936073059</v>
      </c>
      <c r="D385" s="1050">
        <v>382.65050116797516</v>
      </c>
      <c r="E385" s="1069"/>
      <c r="F385" s="1075"/>
      <c r="G385" s="1052"/>
      <c r="H385" s="1036"/>
      <c r="I385" s="1112">
        <v>367.32941176470587</v>
      </c>
      <c r="J385" s="247"/>
      <c r="K385" s="245"/>
      <c r="L385" s="246"/>
      <c r="M385" s="245"/>
      <c r="N385" s="29" t="s">
        <v>119</v>
      </c>
      <c r="O385" s="120"/>
      <c r="P385" s="120"/>
      <c r="Q385" s="120"/>
      <c r="R385" s="29">
        <v>24</v>
      </c>
      <c r="S385" s="238">
        <f t="shared" si="179"/>
        <v>320.72305936073059</v>
      </c>
      <c r="T385" s="238">
        <f t="shared" si="180"/>
        <v>382.65050116797516</v>
      </c>
      <c r="U385" s="238">
        <f t="shared" si="181"/>
        <v>26.335223378788438</v>
      </c>
      <c r="W385" s="238">
        <f t="shared" si="182"/>
        <v>330.56576738568214</v>
      </c>
      <c r="X385" s="238">
        <f t="shared" si="183"/>
        <v>356.90099076447058</v>
      </c>
      <c r="Y385" s="238">
        <f t="shared" si="184"/>
        <v>383.23621414325902</v>
      </c>
      <c r="AA385" s="1133">
        <v>320.72305936073059</v>
      </c>
      <c r="AB385" s="1133">
        <v>351.68678026435288</v>
      </c>
      <c r="AC385" s="1133">
        <v>382.65050116797516</v>
      </c>
      <c r="AD385" s="89"/>
      <c r="AE385" s="89"/>
      <c r="AF385" s="89"/>
      <c r="AG385" s="89"/>
      <c r="AH385" s="89"/>
      <c r="AI385" s="89"/>
      <c r="AJ385" s="89"/>
      <c r="AK385" s="89"/>
      <c r="AL385" s="89"/>
      <c r="AM385" s="89"/>
      <c r="AN385" s="89"/>
      <c r="BR385" s="180">
        <v>2036</v>
      </c>
      <c r="BS385" s="22">
        <v>22</v>
      </c>
      <c r="BT385" s="198">
        <f t="shared" si="195"/>
        <v>105.13408884133658</v>
      </c>
      <c r="BU385" s="276">
        <f t="shared" si="196"/>
        <v>236.71362084506296</v>
      </c>
      <c r="BV385" s="205">
        <f t="shared" si="197"/>
        <v>341.84770968639953</v>
      </c>
      <c r="BY385" s="180">
        <v>2036</v>
      </c>
      <c r="BZ385" s="22">
        <v>22</v>
      </c>
      <c r="CA385" s="198">
        <f t="shared" ca="1" si="198"/>
        <v>-15.631517164305178</v>
      </c>
      <c r="CB385" s="198">
        <f t="shared" ca="1" si="199"/>
        <v>136.39712316994689</v>
      </c>
      <c r="CC385" s="276">
        <f t="shared" ca="1" si="210"/>
        <v>227.54140829410704</v>
      </c>
      <c r="CD385" s="205">
        <f t="shared" ca="1" si="200"/>
        <v>348.30701429974874</v>
      </c>
      <c r="CG385" s="180">
        <v>2036</v>
      </c>
      <c r="CH385" s="22">
        <v>22</v>
      </c>
      <c r="CI385" s="198">
        <f t="shared" ca="1" si="201"/>
        <v>7.1666271661527823</v>
      </c>
      <c r="CJ385" s="198">
        <f t="shared" ca="1" si="202"/>
        <v>-37.131398662763587</v>
      </c>
      <c r="CK385" s="198">
        <f t="shared" ca="1" si="203"/>
        <v>152.56941695274062</v>
      </c>
      <c r="CL385" s="276">
        <f t="shared" ca="1" si="204"/>
        <v>225.70236884361898</v>
      </c>
      <c r="CM385" s="205">
        <f t="shared" ca="1" si="205"/>
        <v>348.3070142997488</v>
      </c>
      <c r="CP385" s="180">
        <v>2036</v>
      </c>
      <c r="CQ385" s="22">
        <v>22</v>
      </c>
      <c r="CR385" s="198">
        <f t="shared" ca="1" si="206"/>
        <v>242.79750986086785</v>
      </c>
      <c r="CS385" s="276">
        <f t="shared" ca="1" si="207"/>
        <v>1.3784114528910028</v>
      </c>
      <c r="CT385" s="205">
        <f t="shared" ca="1" si="208"/>
        <v>334.6748683256364</v>
      </c>
      <c r="CZ385" s="164" t="b">
        <f t="shared" si="185"/>
        <v>1</v>
      </c>
      <c r="DA385" s="165" t="b">
        <f t="shared" si="185"/>
        <v>1</v>
      </c>
      <c r="DB385" s="166" t="b">
        <f t="shared" si="185"/>
        <v>1</v>
      </c>
      <c r="DC385" s="164">
        <f t="shared" si="186"/>
        <v>24</v>
      </c>
      <c r="DD385" s="166">
        <f t="shared" si="187"/>
        <v>330.56576738568214</v>
      </c>
      <c r="DE385" s="164">
        <f t="shared" si="188"/>
        <v>24</v>
      </c>
      <c r="DF385" s="166">
        <f t="shared" si="189"/>
        <v>356.90099076447058</v>
      </c>
      <c r="DG385" s="164">
        <f t="shared" si="190"/>
        <v>24</v>
      </c>
      <c r="DH385" s="166">
        <f t="shared" si="191"/>
        <v>383.23621414325902</v>
      </c>
      <c r="DI385" s="164">
        <f>IFERROR(INDEX(DC$359:DC$407,_xlfn.AGGREGATE(15,6,(ROW(DC$359:DC$407)-ROW(DC$359)+1)/(DC$359:DC$407&lt;&gt;""),ROWS(DI$1:DI27))),"")</f>
        <v>24</v>
      </c>
      <c r="DJ385" s="165">
        <f>IFERROR(INDEX(DD$359:DD$407,_xlfn.AGGREGATE(15,6,(ROW(DD$359:DD$407)-ROW(DD$359)+1)/(DD$359:DD$407&lt;&gt;""),ROWS(DJ$1:DJ27))),"")</f>
        <v>330.56576738568214</v>
      </c>
      <c r="DK385" s="166">
        <f t="shared" si="192"/>
        <v>385</v>
      </c>
      <c r="DL385" s="164">
        <f>IFERROR(INDEX(DE$359:DE$407,_xlfn.AGGREGATE(15,6,(ROW(DE$359:DE$407)-ROW(DE$359)+1)/(DE$359:DE$407&lt;&gt;""),ROWS(DL$1:DL27))),"")</f>
        <v>24</v>
      </c>
      <c r="DM385" s="165">
        <f>IFERROR(INDEX(DF$359:DF$407,_xlfn.AGGREGATE(15,6,(ROW(DF$359:DF$407)-ROW(DF$359)+1)/(DF$359:DF$407&lt;&gt;""),ROWS(DM$1:DM27))),"")</f>
        <v>356.90099076447058</v>
      </c>
      <c r="DN385" s="166">
        <f t="shared" si="193"/>
        <v>385</v>
      </c>
      <c r="DO385" s="164">
        <f>IFERROR(INDEX(DG$359:DG$407,_xlfn.AGGREGATE(15,6,(ROW(DG$359:DG$407)-ROW(DG$359)+1)/(DG$359:DG$407&lt;&gt;""),ROWS(DO$1:DO27))),"")</f>
        <v>24</v>
      </c>
      <c r="DP385" s="165">
        <f>IFERROR(INDEX(DH$359:DH$407,_xlfn.AGGREGATE(15,6,(ROW(DH$359:DH$407)-ROW(DH$359)+1)/(DH$359:DH$407&lt;&gt;""),ROWS(DP$1:DP27))),"")</f>
        <v>383.23621414325902</v>
      </c>
      <c r="DQ385" s="166">
        <f t="shared" si="194"/>
        <v>385</v>
      </c>
      <c r="DV385" s="145">
        <v>2041</v>
      </c>
      <c r="DW385" s="235">
        <f t="shared" ca="1" si="178"/>
        <v>370.26702807506126</v>
      </c>
    </row>
    <row r="386" spans="2:135" ht="13.8" x14ac:dyDescent="0.45">
      <c r="B386" s="128">
        <v>2039</v>
      </c>
      <c r="C386" s="1070">
        <v>324.7713470319635</v>
      </c>
      <c r="D386" s="1050">
        <v>385.77662990577835</v>
      </c>
      <c r="E386" s="1069"/>
      <c r="F386" s="1075"/>
      <c r="G386" s="1052"/>
      <c r="H386" s="1036"/>
      <c r="I386" s="1112">
        <v>373.53529411764703</v>
      </c>
      <c r="J386" s="247"/>
      <c r="K386" s="245"/>
      <c r="L386" s="246"/>
      <c r="M386" s="245"/>
      <c r="N386" s="29" t="s">
        <v>119</v>
      </c>
      <c r="O386" s="120"/>
      <c r="P386" s="120"/>
      <c r="Q386" s="120"/>
      <c r="R386" s="29">
        <v>25</v>
      </c>
      <c r="S386" s="238">
        <f t="shared" si="179"/>
        <v>324.7713470319635</v>
      </c>
      <c r="T386" s="238">
        <f t="shared" si="180"/>
        <v>385.77662990577835</v>
      </c>
      <c r="U386" s="238">
        <f t="shared" si="181"/>
        <v>26.351085526379904</v>
      </c>
      <c r="W386" s="238">
        <f t="shared" si="182"/>
        <v>335.01000482541639</v>
      </c>
      <c r="X386" s="238">
        <f t="shared" si="183"/>
        <v>361.36109035179629</v>
      </c>
      <c r="Y386" s="238">
        <f t="shared" si="184"/>
        <v>387.7121758781762</v>
      </c>
      <c r="AA386" s="1133">
        <v>324.7713470319635</v>
      </c>
      <c r="AB386" s="1133">
        <v>355.27398846887093</v>
      </c>
      <c r="AC386" s="1133">
        <v>385.77662990577835</v>
      </c>
      <c r="AD386" s="89"/>
      <c r="AE386" s="89"/>
      <c r="AF386" s="89"/>
      <c r="AG386" s="89"/>
      <c r="AH386" s="89"/>
      <c r="AI386" s="89"/>
      <c r="AJ386" s="89"/>
      <c r="AK386" s="89"/>
      <c r="AL386" s="89"/>
      <c r="AM386" s="89"/>
      <c r="AN386" s="89"/>
      <c r="BR386" s="180">
        <v>2037</v>
      </c>
      <c r="BS386" s="22">
        <v>23</v>
      </c>
      <c r="BT386" s="198">
        <f t="shared" si="195"/>
        <v>109.91291106139732</v>
      </c>
      <c r="BU386" s="276">
        <f t="shared" si="196"/>
        <v>236.71362084506296</v>
      </c>
      <c r="BV386" s="205">
        <f t="shared" si="197"/>
        <v>346.62653190646029</v>
      </c>
      <c r="BY386" s="180">
        <v>2037</v>
      </c>
      <c r="BZ386" s="22">
        <v>23</v>
      </c>
      <c r="CA386" s="198">
        <f t="shared" ca="1" si="198"/>
        <v>-17.08486070230876</v>
      </c>
      <c r="CB386" s="198">
        <f t="shared" ca="1" si="199"/>
        <v>142.59699240494447</v>
      </c>
      <c r="CC386" s="276">
        <f t="shared" ca="1" si="210"/>
        <v>227.54140829410704</v>
      </c>
      <c r="CD386" s="205">
        <f t="shared" ca="1" si="200"/>
        <v>353.05353999674276</v>
      </c>
      <c r="CG386" s="180">
        <v>2037</v>
      </c>
      <c r="CH386" s="22">
        <v>23</v>
      </c>
      <c r="CI386" s="198">
        <f t="shared" ca="1" si="201"/>
        <v>8.1889887988900174</v>
      </c>
      <c r="CJ386" s="198">
        <f t="shared" ca="1" si="202"/>
        <v>-40.583698125210617</v>
      </c>
      <c r="CK386" s="198">
        <f t="shared" ca="1" si="203"/>
        <v>159.50439045059247</v>
      </c>
      <c r="CL386" s="276">
        <f t="shared" ca="1" si="204"/>
        <v>225.70236884361898</v>
      </c>
      <c r="CM386" s="205">
        <f t="shared" ca="1" si="205"/>
        <v>352.81204996789086</v>
      </c>
      <c r="CP386" s="180">
        <v>2037</v>
      </c>
      <c r="CQ386" s="22">
        <v>23</v>
      </c>
      <c r="CR386" s="198">
        <f t="shared" ca="1" si="206"/>
        <v>242.79750986086785</v>
      </c>
      <c r="CS386" s="276">
        <f t="shared" ca="1" si="207"/>
        <v>1.398666832254015</v>
      </c>
      <c r="CT386" s="205">
        <f t="shared" ca="1" si="208"/>
        <v>339.59282399626301</v>
      </c>
      <c r="CZ386" s="164" t="b">
        <f t="shared" si="185"/>
        <v>1</v>
      </c>
      <c r="DA386" s="165" t="b">
        <f t="shared" si="185"/>
        <v>1</v>
      </c>
      <c r="DB386" s="166" t="b">
        <f t="shared" si="185"/>
        <v>1</v>
      </c>
      <c r="DC386" s="164">
        <f t="shared" si="186"/>
        <v>25</v>
      </c>
      <c r="DD386" s="166">
        <f t="shared" si="187"/>
        <v>335.01000482541639</v>
      </c>
      <c r="DE386" s="164">
        <f t="shared" si="188"/>
        <v>25</v>
      </c>
      <c r="DF386" s="166">
        <f t="shared" si="189"/>
        <v>361.36109035179629</v>
      </c>
      <c r="DG386" s="164">
        <f t="shared" si="190"/>
        <v>25</v>
      </c>
      <c r="DH386" s="166">
        <f t="shared" si="191"/>
        <v>387.7121758781762</v>
      </c>
      <c r="DI386" s="164">
        <f>IFERROR(INDEX(DC$359:DC$407,_xlfn.AGGREGATE(15,6,(ROW(DC$359:DC$407)-ROW(DC$359)+1)/(DC$359:DC$407&lt;&gt;""),ROWS(DI$1:DI28))),"")</f>
        <v>25</v>
      </c>
      <c r="DJ386" s="165">
        <f>IFERROR(INDEX(DD$359:DD$407,_xlfn.AGGREGATE(15,6,(ROW(DD$359:DD$407)-ROW(DD$359)+1)/(DD$359:DD$407&lt;&gt;""),ROWS(DJ$1:DJ28))),"")</f>
        <v>335.01000482541639</v>
      </c>
      <c r="DK386" s="166">
        <f t="shared" si="192"/>
        <v>386</v>
      </c>
      <c r="DL386" s="164">
        <f>IFERROR(INDEX(DE$359:DE$407,_xlfn.AGGREGATE(15,6,(ROW(DE$359:DE$407)-ROW(DE$359)+1)/(DE$359:DE$407&lt;&gt;""),ROWS(DL$1:DL28))),"")</f>
        <v>25</v>
      </c>
      <c r="DM386" s="165">
        <f>IFERROR(INDEX(DF$359:DF$407,_xlfn.AGGREGATE(15,6,(ROW(DF$359:DF$407)-ROW(DF$359)+1)/(DF$359:DF$407&lt;&gt;""),ROWS(DM$1:DM28))),"")</f>
        <v>361.36109035179629</v>
      </c>
      <c r="DN386" s="166">
        <f t="shared" si="193"/>
        <v>386</v>
      </c>
      <c r="DO386" s="164">
        <f>IFERROR(INDEX(DG$359:DG$407,_xlfn.AGGREGATE(15,6,(ROW(DG$359:DG$407)-ROW(DG$359)+1)/(DG$359:DG$407&lt;&gt;""),ROWS(DO$1:DO28))),"")</f>
        <v>25</v>
      </c>
      <c r="DP386" s="165">
        <f>IFERROR(INDEX(DH$359:DH$407,_xlfn.AGGREGATE(15,6,(ROW(DH$359:DH$407)-ROW(DH$359)+1)/(DH$359:DH$407&lt;&gt;""),ROWS(DP$1:DP28))),"")</f>
        <v>387.7121758781762</v>
      </c>
      <c r="DQ386" s="166">
        <f t="shared" si="194"/>
        <v>386</v>
      </c>
      <c r="DV386" s="145">
        <v>2042</v>
      </c>
      <c r="DW386" s="235">
        <f t="shared" ca="1" si="178"/>
        <v>374.50967293448866</v>
      </c>
    </row>
    <row r="387" spans="2:135" ht="13.8" x14ac:dyDescent="0.45">
      <c r="B387" s="128">
        <v>2040</v>
      </c>
      <c r="C387" s="1070">
        <v>328.81963470319636</v>
      </c>
      <c r="D387" s="1050">
        <v>387.88980268660896</v>
      </c>
      <c r="E387" s="1069"/>
      <c r="F387" s="1075"/>
      <c r="G387" s="1052"/>
      <c r="H387" s="1036"/>
      <c r="I387" s="1112">
        <v>379.74117647058824</v>
      </c>
      <c r="J387" s="247"/>
      <c r="K387" s="245"/>
      <c r="L387" s="246"/>
      <c r="M387" s="245"/>
      <c r="N387" s="29" t="s">
        <v>119</v>
      </c>
      <c r="O387" s="120"/>
      <c r="P387" s="120"/>
      <c r="Q387" s="120"/>
      <c r="R387" s="29">
        <v>26</v>
      </c>
      <c r="S387" s="238">
        <f t="shared" si="179"/>
        <v>328.81963470319636</v>
      </c>
      <c r="T387" s="238">
        <f t="shared" si="180"/>
        <v>387.88980268660896</v>
      </c>
      <c r="U387" s="238">
        <f t="shared" si="181"/>
        <v>26.137857326884738</v>
      </c>
      <c r="W387" s="238">
        <f t="shared" si="182"/>
        <v>339.34568062657979</v>
      </c>
      <c r="X387" s="238">
        <f t="shared" si="183"/>
        <v>365.48353795346452</v>
      </c>
      <c r="Y387" s="238">
        <f t="shared" si="184"/>
        <v>391.62139528034925</v>
      </c>
      <c r="AA387" s="1133">
        <v>328.81963470319636</v>
      </c>
      <c r="AB387" s="1133">
        <v>358.35471869490266</v>
      </c>
      <c r="AC387" s="1133">
        <v>387.88980268660896</v>
      </c>
      <c r="AD387" s="89"/>
      <c r="AE387" s="89"/>
      <c r="AF387" s="89"/>
      <c r="AG387" s="89"/>
      <c r="AH387" s="89"/>
      <c r="AI387" s="89"/>
      <c r="AJ387" s="89"/>
      <c r="AK387" s="89"/>
      <c r="AL387" s="89"/>
      <c r="AM387" s="89"/>
      <c r="AN387" s="89"/>
      <c r="BR387" s="180">
        <v>2038</v>
      </c>
      <c r="BS387" s="22">
        <v>24</v>
      </c>
      <c r="BT387" s="198">
        <f t="shared" si="195"/>
        <v>114.69173328145808</v>
      </c>
      <c r="BU387" s="276">
        <f t="shared" si="196"/>
        <v>236.71362084506296</v>
      </c>
      <c r="BV387" s="205">
        <f t="shared" si="197"/>
        <v>351.40535412652105</v>
      </c>
      <c r="BY387" s="180">
        <v>2038</v>
      </c>
      <c r="BZ387" s="22">
        <v>24</v>
      </c>
      <c r="CA387" s="198">
        <f t="shared" ca="1" si="198"/>
        <v>-18.602797286445831</v>
      </c>
      <c r="CB387" s="198">
        <f t="shared" ca="1" si="199"/>
        <v>148.79686163994205</v>
      </c>
      <c r="CC387" s="276">
        <f t="shared" ca="1" si="210"/>
        <v>227.54140829410704</v>
      </c>
      <c r="CD387" s="205">
        <f t="shared" ca="1" si="200"/>
        <v>357.73547264760327</v>
      </c>
      <c r="CG387" s="180">
        <v>2038</v>
      </c>
      <c r="CH387" s="22">
        <v>24</v>
      </c>
      <c r="CI387" s="198">
        <f t="shared" ca="1" si="201"/>
        <v>9.304231211954928</v>
      </c>
      <c r="CJ387" s="198">
        <f t="shared" ca="1" si="202"/>
        <v>-44.189433119321954</v>
      </c>
      <c r="CK387" s="198">
        <f t="shared" ca="1" si="203"/>
        <v>166.43936394844431</v>
      </c>
      <c r="CL387" s="276">
        <f t="shared" ca="1" si="204"/>
        <v>225.70236884361898</v>
      </c>
      <c r="CM387" s="205">
        <f t="shared" ca="1" si="205"/>
        <v>357.2565308846963</v>
      </c>
      <c r="CP387" s="180">
        <v>2038</v>
      </c>
      <c r="CQ387" s="22">
        <v>24</v>
      </c>
      <c r="CR387" s="198">
        <f t="shared" ca="1" si="206"/>
        <v>242.79750986086785</v>
      </c>
      <c r="CS387" s="276">
        <f t="shared" ca="1" si="207"/>
        <v>1.4192198588777776</v>
      </c>
      <c r="CT387" s="205">
        <f t="shared" ca="1" si="208"/>
        <v>344.58304768061669</v>
      </c>
      <c r="CZ387" s="164" t="b">
        <f t="shared" si="185"/>
        <v>1</v>
      </c>
      <c r="DA387" s="165" t="b">
        <f t="shared" si="185"/>
        <v>1</v>
      </c>
      <c r="DB387" s="166" t="b">
        <f t="shared" si="185"/>
        <v>1</v>
      </c>
      <c r="DC387" s="164">
        <f t="shared" si="186"/>
        <v>26</v>
      </c>
      <c r="DD387" s="166">
        <f t="shared" si="187"/>
        <v>339.34568062657979</v>
      </c>
      <c r="DE387" s="164">
        <f t="shared" si="188"/>
        <v>26</v>
      </c>
      <c r="DF387" s="166">
        <f t="shared" si="189"/>
        <v>365.48353795346452</v>
      </c>
      <c r="DG387" s="164">
        <f t="shared" si="190"/>
        <v>26</v>
      </c>
      <c r="DH387" s="166">
        <f t="shared" si="191"/>
        <v>391.62139528034925</v>
      </c>
      <c r="DI387" s="164">
        <f>IFERROR(INDEX(DC$359:DC$407,_xlfn.AGGREGATE(15,6,(ROW(DC$359:DC$407)-ROW(DC$359)+1)/(DC$359:DC$407&lt;&gt;""),ROWS(DI$1:DI29))),"")</f>
        <v>26</v>
      </c>
      <c r="DJ387" s="165">
        <f>IFERROR(INDEX(DD$359:DD$407,_xlfn.AGGREGATE(15,6,(ROW(DD$359:DD$407)-ROW(DD$359)+1)/(DD$359:DD$407&lt;&gt;""),ROWS(DJ$1:DJ29))),"")</f>
        <v>339.34568062657979</v>
      </c>
      <c r="DK387" s="166">
        <f t="shared" si="192"/>
        <v>387</v>
      </c>
      <c r="DL387" s="164">
        <f>IFERROR(INDEX(DE$359:DE$407,_xlfn.AGGREGATE(15,6,(ROW(DE$359:DE$407)-ROW(DE$359)+1)/(DE$359:DE$407&lt;&gt;""),ROWS(DL$1:DL29))),"")</f>
        <v>26</v>
      </c>
      <c r="DM387" s="165">
        <f>IFERROR(INDEX(DF$359:DF$407,_xlfn.AGGREGATE(15,6,(ROW(DF$359:DF$407)-ROW(DF$359)+1)/(DF$359:DF$407&lt;&gt;""),ROWS(DM$1:DM29))),"")</f>
        <v>365.48353795346452</v>
      </c>
      <c r="DN387" s="166">
        <f t="shared" si="193"/>
        <v>387</v>
      </c>
      <c r="DO387" s="164">
        <f>IFERROR(INDEX(DG$359:DG$407,_xlfn.AGGREGATE(15,6,(ROW(DG$359:DG$407)-ROW(DG$359)+1)/(DG$359:DG$407&lt;&gt;""),ROWS(DO$1:DO29))),"")</f>
        <v>26</v>
      </c>
      <c r="DP387" s="165">
        <f>IFERROR(INDEX(DH$359:DH$407,_xlfn.AGGREGATE(15,6,(ROW(DH$359:DH$407)-ROW(DH$359)+1)/(DH$359:DH$407&lt;&gt;""),ROWS(DP$1:DP29))),"")</f>
        <v>391.62139528034925</v>
      </c>
      <c r="DQ387" s="166">
        <f t="shared" si="194"/>
        <v>387</v>
      </c>
      <c r="DV387" s="145">
        <v>2043</v>
      </c>
      <c r="DW387" s="235">
        <f t="shared" ca="1" si="178"/>
        <v>378.71195451656376</v>
      </c>
      <c r="EA387" s="55"/>
      <c r="EB387" s="55"/>
      <c r="EC387" s="55"/>
      <c r="ED387" s="55"/>
      <c r="EE387" s="55"/>
    </row>
    <row r="388" spans="2:135" ht="13.8" x14ac:dyDescent="0.45">
      <c r="B388" s="128">
        <v>2041</v>
      </c>
      <c r="C388" s="1070">
        <v>332.86792237442921</v>
      </c>
      <c r="D388" s="1050">
        <v>391.67388815467962</v>
      </c>
      <c r="E388" s="1069"/>
      <c r="F388" s="1075"/>
      <c r="G388" s="1052"/>
      <c r="H388" s="1036"/>
      <c r="I388" s="1112">
        <v>385.9470588235294</v>
      </c>
      <c r="J388" s="247"/>
      <c r="K388" s="245"/>
      <c r="L388" s="246"/>
      <c r="M388" s="245"/>
      <c r="N388" s="29" t="s">
        <v>119</v>
      </c>
      <c r="O388" s="120"/>
      <c r="P388" s="120"/>
      <c r="Q388" s="120"/>
      <c r="R388" s="29">
        <v>27</v>
      </c>
      <c r="S388" s="238">
        <f t="shared" si="179"/>
        <v>332.86792237442921</v>
      </c>
      <c r="T388" s="238">
        <f t="shared" si="180"/>
        <v>391.67388815467962</v>
      </c>
      <c r="U388" s="238">
        <f t="shared" si="181"/>
        <v>26.475004798485138</v>
      </c>
      <c r="W388" s="238">
        <f t="shared" si="182"/>
        <v>343.68795165239425</v>
      </c>
      <c r="X388" s="238">
        <f t="shared" si="183"/>
        <v>370.16295645087939</v>
      </c>
      <c r="Y388" s="238">
        <f t="shared" si="184"/>
        <v>396.63796124936454</v>
      </c>
      <c r="AA388" s="1133">
        <v>332.86792237442921</v>
      </c>
      <c r="AB388" s="1133">
        <v>362.27090526455441</v>
      </c>
      <c r="AC388" s="1133">
        <v>391.67388815467962</v>
      </c>
      <c r="AD388" s="89"/>
      <c r="AE388" s="89"/>
      <c r="AF388" s="89"/>
      <c r="AG388" s="89"/>
      <c r="AH388" s="89"/>
      <c r="AI388" s="89"/>
      <c r="AJ388" s="89"/>
      <c r="AK388" s="89"/>
      <c r="AL388" s="89"/>
      <c r="AM388" s="89"/>
      <c r="AN388" s="89"/>
      <c r="BR388" s="180">
        <v>2039</v>
      </c>
      <c r="BS388" s="22">
        <v>25</v>
      </c>
      <c r="BT388" s="198">
        <f t="shared" si="195"/>
        <v>119.47055550151885</v>
      </c>
      <c r="BU388" s="276">
        <f t="shared" si="196"/>
        <v>236.71362084506296</v>
      </c>
      <c r="BV388" s="205">
        <f t="shared" si="197"/>
        <v>356.18417634658181</v>
      </c>
      <c r="BY388" s="180">
        <v>2039</v>
      </c>
      <c r="BZ388" s="22">
        <v>25</v>
      </c>
      <c r="CA388" s="198">
        <f t="shared" ca="1" si="198"/>
        <v>-20.185326916716395</v>
      </c>
      <c r="CB388" s="198">
        <f t="shared" ca="1" si="199"/>
        <v>154.99673087493963</v>
      </c>
      <c r="CC388" s="276">
        <f t="shared" ca="1" si="210"/>
        <v>227.54140829410704</v>
      </c>
      <c r="CD388" s="205">
        <f t="shared" ca="1" si="200"/>
        <v>362.3528122523303</v>
      </c>
      <c r="CG388" s="180">
        <v>2039</v>
      </c>
      <c r="CH388" s="22">
        <v>25</v>
      </c>
      <c r="CI388" s="198">
        <f t="shared" ca="1" si="201"/>
        <v>10.516392700144367</v>
      </c>
      <c r="CJ388" s="198">
        <f t="shared" ca="1" si="202"/>
        <v>-47.948603645097606</v>
      </c>
      <c r="CK388" s="198">
        <f t="shared" ca="1" si="203"/>
        <v>173.37433744629615</v>
      </c>
      <c r="CL388" s="276">
        <f t="shared" ca="1" si="204"/>
        <v>225.70236884361898</v>
      </c>
      <c r="CM388" s="205">
        <f t="shared" ca="1" si="205"/>
        <v>361.64449534496191</v>
      </c>
      <c r="CP388" s="180">
        <v>2039</v>
      </c>
      <c r="CQ388" s="22">
        <v>25</v>
      </c>
      <c r="CR388" s="198">
        <f t="shared" ca="1" si="206"/>
        <v>242.79750986086785</v>
      </c>
      <c r="CS388" s="276">
        <f t="shared" ca="1" si="207"/>
        <v>1.440074906607393</v>
      </c>
      <c r="CT388" s="205">
        <f t="shared" ca="1" si="208"/>
        <v>349.64660133739687</v>
      </c>
      <c r="CZ388" s="164" t="b">
        <f t="shared" si="185"/>
        <v>1</v>
      </c>
      <c r="DA388" s="165" t="b">
        <f t="shared" si="185"/>
        <v>1</v>
      </c>
      <c r="DB388" s="166" t="b">
        <f t="shared" si="185"/>
        <v>1</v>
      </c>
      <c r="DC388" s="164">
        <f t="shared" si="186"/>
        <v>27</v>
      </c>
      <c r="DD388" s="166">
        <f t="shared" si="187"/>
        <v>343.68795165239425</v>
      </c>
      <c r="DE388" s="164">
        <f t="shared" si="188"/>
        <v>27</v>
      </c>
      <c r="DF388" s="166">
        <f t="shared" si="189"/>
        <v>370.16295645087939</v>
      </c>
      <c r="DG388" s="164">
        <f t="shared" si="190"/>
        <v>27</v>
      </c>
      <c r="DH388" s="166">
        <f t="shared" si="191"/>
        <v>396.63796124936454</v>
      </c>
      <c r="DI388" s="164">
        <f>IFERROR(INDEX(DC$359:DC$407,_xlfn.AGGREGATE(15,6,(ROW(DC$359:DC$407)-ROW(DC$359)+1)/(DC$359:DC$407&lt;&gt;""),ROWS(DI$1:DI30))),"")</f>
        <v>27</v>
      </c>
      <c r="DJ388" s="165">
        <f>IFERROR(INDEX(DD$359:DD$407,_xlfn.AGGREGATE(15,6,(ROW(DD$359:DD$407)-ROW(DD$359)+1)/(DD$359:DD$407&lt;&gt;""),ROWS(DJ$1:DJ30))),"")</f>
        <v>343.68795165239425</v>
      </c>
      <c r="DK388" s="166">
        <f t="shared" si="192"/>
        <v>388</v>
      </c>
      <c r="DL388" s="164">
        <f>IFERROR(INDEX(DE$359:DE$407,_xlfn.AGGREGATE(15,6,(ROW(DE$359:DE$407)-ROW(DE$359)+1)/(DE$359:DE$407&lt;&gt;""),ROWS(DL$1:DL30))),"")</f>
        <v>27</v>
      </c>
      <c r="DM388" s="165">
        <f>IFERROR(INDEX(DF$359:DF$407,_xlfn.AGGREGATE(15,6,(ROW(DF$359:DF$407)-ROW(DF$359)+1)/(DF$359:DF$407&lt;&gt;""),ROWS(DM$1:DM30))),"")</f>
        <v>370.16295645087939</v>
      </c>
      <c r="DN388" s="166">
        <f t="shared" si="193"/>
        <v>388</v>
      </c>
      <c r="DO388" s="164">
        <f>IFERROR(INDEX(DG$359:DG$407,_xlfn.AGGREGATE(15,6,(ROW(DG$359:DG$407)-ROW(DG$359)+1)/(DG$359:DG$407&lt;&gt;""),ROWS(DO$1:DO30))),"")</f>
        <v>27</v>
      </c>
      <c r="DP388" s="165">
        <f>IFERROR(INDEX(DH$359:DH$407,_xlfn.AGGREGATE(15,6,(ROW(DH$359:DH$407)-ROW(DH$359)+1)/(DH$359:DH$407&lt;&gt;""),ROWS(DP$1:DP30))),"")</f>
        <v>396.63796124936454</v>
      </c>
      <c r="DQ388" s="166">
        <f t="shared" si="194"/>
        <v>388</v>
      </c>
      <c r="DV388" s="145">
        <v>2044</v>
      </c>
      <c r="DW388" s="235">
        <f t="shared" ca="1" si="178"/>
        <v>382.87791111608328</v>
      </c>
      <c r="EA388" s="55"/>
      <c r="EB388" s="55"/>
      <c r="EC388" s="55"/>
      <c r="ED388" s="55"/>
      <c r="EE388" s="55"/>
    </row>
    <row r="389" spans="2:135" ht="13.8" x14ac:dyDescent="0.45">
      <c r="B389" s="128">
        <v>2042</v>
      </c>
      <c r="C389" s="1070">
        <v>336.91621004566207</v>
      </c>
      <c r="D389" s="1050">
        <v>394.29021920499969</v>
      </c>
      <c r="E389" s="1069"/>
      <c r="F389" s="1075"/>
      <c r="G389" s="1052"/>
      <c r="H389" s="1036"/>
      <c r="I389" s="1112">
        <v>392.15294117647056</v>
      </c>
      <c r="J389" s="247"/>
      <c r="K389" s="245"/>
      <c r="L389" s="246"/>
      <c r="M389" s="245"/>
      <c r="N389" s="29" t="s">
        <v>119</v>
      </c>
      <c r="O389" s="120"/>
      <c r="P389" s="120"/>
      <c r="Q389" s="120"/>
      <c r="R389" s="29">
        <v>28</v>
      </c>
      <c r="S389" s="238">
        <f t="shared" si="179"/>
        <v>336.91621004566207</v>
      </c>
      <c r="T389" s="238">
        <f t="shared" si="180"/>
        <v>394.29021920499969</v>
      </c>
      <c r="U389" s="238">
        <f t="shared" si="181"/>
        <v>26.5569437465237</v>
      </c>
      <c r="W389" s="238">
        <f t="shared" si="182"/>
        <v>347.89617972918711</v>
      </c>
      <c r="X389" s="238">
        <f t="shared" si="183"/>
        <v>374.45312347571081</v>
      </c>
      <c r="Y389" s="238">
        <f t="shared" si="184"/>
        <v>401.01006722223451</v>
      </c>
      <c r="AA389" s="1133">
        <v>336.91621004566207</v>
      </c>
      <c r="AB389" s="1133">
        <v>365.60321462533091</v>
      </c>
      <c r="AC389" s="1133">
        <v>394.29021920499974</v>
      </c>
      <c r="AD389" s="89"/>
      <c r="AE389" s="89"/>
      <c r="AF389" s="89"/>
      <c r="AG389" s="89"/>
      <c r="AH389" s="89"/>
      <c r="AI389" s="89"/>
      <c r="AJ389" s="89"/>
      <c r="AK389" s="89"/>
      <c r="AL389" s="89"/>
      <c r="AM389" s="89"/>
      <c r="AN389" s="89"/>
      <c r="BR389" s="180">
        <v>2040</v>
      </c>
      <c r="BS389" s="22">
        <v>26</v>
      </c>
      <c r="BT389" s="198">
        <f t="shared" si="195"/>
        <v>124.24937772157959</v>
      </c>
      <c r="BU389" s="276">
        <f t="shared" si="196"/>
        <v>236.71362084506296</v>
      </c>
      <c r="BV389" s="205">
        <f t="shared" si="197"/>
        <v>360.96299856664257</v>
      </c>
      <c r="BY389" s="180">
        <v>2040</v>
      </c>
      <c r="BZ389" s="22">
        <v>26</v>
      </c>
      <c r="CA389" s="198">
        <f t="shared" ca="1" si="198"/>
        <v>-21.832449593120455</v>
      </c>
      <c r="CB389" s="198">
        <f t="shared" ca="1" si="199"/>
        <v>161.19660010993721</v>
      </c>
      <c r="CC389" s="276">
        <f t="shared" ca="1" si="210"/>
        <v>227.54140829410704</v>
      </c>
      <c r="CD389" s="205">
        <f t="shared" ca="1" si="200"/>
        <v>366.90555881092382</v>
      </c>
      <c r="CG389" s="180">
        <v>2040</v>
      </c>
      <c r="CH389" s="22">
        <v>26</v>
      </c>
      <c r="CI389" s="198">
        <f t="shared" ca="1" si="201"/>
        <v>11.829511558255193</v>
      </c>
      <c r="CJ389" s="198">
        <f t="shared" ca="1" si="202"/>
        <v>-51.861209702537572</v>
      </c>
      <c r="CK389" s="198">
        <f t="shared" ca="1" si="203"/>
        <v>180.309310944148</v>
      </c>
      <c r="CL389" s="276">
        <f t="shared" ca="1" si="204"/>
        <v>225.70236884361898</v>
      </c>
      <c r="CM389" s="205">
        <f t="shared" ca="1" si="205"/>
        <v>365.97998164348462</v>
      </c>
      <c r="CP389" s="180">
        <v>2040</v>
      </c>
      <c r="CQ389" s="22">
        <v>26</v>
      </c>
      <c r="CR389" s="198">
        <f t="shared" ca="1" si="206"/>
        <v>242.79750986086785</v>
      </c>
      <c r="CS389" s="276">
        <f t="shared" ca="1" si="207"/>
        <v>1.4612364135604219</v>
      </c>
      <c r="CT389" s="205">
        <f t="shared" ca="1" si="208"/>
        <v>354.78456253049569</v>
      </c>
      <c r="CZ389" s="164" t="b">
        <f t="shared" si="185"/>
        <v>1</v>
      </c>
      <c r="DA389" s="165" t="b">
        <f t="shared" si="185"/>
        <v>1</v>
      </c>
      <c r="DB389" s="166" t="b">
        <f t="shared" si="185"/>
        <v>1</v>
      </c>
      <c r="DC389" s="164">
        <f t="shared" si="186"/>
        <v>28</v>
      </c>
      <c r="DD389" s="166">
        <f t="shared" si="187"/>
        <v>347.89617972918711</v>
      </c>
      <c r="DE389" s="164">
        <f t="shared" si="188"/>
        <v>28</v>
      </c>
      <c r="DF389" s="166">
        <f t="shared" si="189"/>
        <v>374.45312347571081</v>
      </c>
      <c r="DG389" s="164">
        <f t="shared" si="190"/>
        <v>28</v>
      </c>
      <c r="DH389" s="166">
        <f t="shared" si="191"/>
        <v>401.01006722223451</v>
      </c>
      <c r="DI389" s="164">
        <f>IFERROR(INDEX(DC$359:DC$407,_xlfn.AGGREGATE(15,6,(ROW(DC$359:DC$407)-ROW(DC$359)+1)/(DC$359:DC$407&lt;&gt;""),ROWS(DI$1:DI31))),"")</f>
        <v>28</v>
      </c>
      <c r="DJ389" s="165">
        <f>IFERROR(INDEX(DD$359:DD$407,_xlfn.AGGREGATE(15,6,(ROW(DD$359:DD$407)-ROW(DD$359)+1)/(DD$359:DD$407&lt;&gt;""),ROWS(DJ$1:DJ31))),"")</f>
        <v>347.89617972918711</v>
      </c>
      <c r="DK389" s="166">
        <f t="shared" si="192"/>
        <v>389</v>
      </c>
      <c r="DL389" s="164">
        <f>IFERROR(INDEX(DE$359:DE$407,_xlfn.AGGREGATE(15,6,(ROW(DE$359:DE$407)-ROW(DE$359)+1)/(DE$359:DE$407&lt;&gt;""),ROWS(DL$1:DL31))),"")</f>
        <v>28</v>
      </c>
      <c r="DM389" s="165">
        <f>IFERROR(INDEX(DF$359:DF$407,_xlfn.AGGREGATE(15,6,(ROW(DF$359:DF$407)-ROW(DF$359)+1)/(DF$359:DF$407&lt;&gt;""),ROWS(DM$1:DM31))),"")</f>
        <v>374.45312347571081</v>
      </c>
      <c r="DN389" s="166">
        <f t="shared" si="193"/>
        <v>389</v>
      </c>
      <c r="DO389" s="164">
        <f>IFERROR(INDEX(DG$359:DG$407,_xlfn.AGGREGATE(15,6,(ROW(DG$359:DG$407)-ROW(DG$359)+1)/(DG$359:DG$407&lt;&gt;""),ROWS(DO$1:DO31))),"")</f>
        <v>28</v>
      </c>
      <c r="DP389" s="165">
        <f>IFERROR(INDEX(DH$359:DH$407,_xlfn.AGGREGATE(15,6,(ROW(DH$359:DH$407)-ROW(DH$359)+1)/(DH$359:DH$407&lt;&gt;""),ROWS(DP$1:DP31))),"")</f>
        <v>401.01006722223451</v>
      </c>
      <c r="DQ389" s="166">
        <f t="shared" si="194"/>
        <v>389</v>
      </c>
      <c r="DV389" s="145">
        <v>2045</v>
      </c>
      <c r="DW389" s="235">
        <f t="shared" ca="1" si="178"/>
        <v>387.01158102784416</v>
      </c>
      <c r="EA389" s="55"/>
      <c r="EB389" s="55"/>
      <c r="EC389" s="55"/>
      <c r="ED389" s="55"/>
      <c r="EE389" s="55"/>
    </row>
    <row r="390" spans="2:135" ht="13.8" x14ac:dyDescent="0.45">
      <c r="B390" s="128">
        <v>2043</v>
      </c>
      <c r="C390" s="1070">
        <v>340.96449771689498</v>
      </c>
      <c r="D390" s="1050">
        <v>396.81225083265497</v>
      </c>
      <c r="E390" s="1069"/>
      <c r="F390" s="1075"/>
      <c r="G390" s="1052"/>
      <c r="H390" s="1036"/>
      <c r="I390" s="1112">
        <v>398.35882352941178</v>
      </c>
      <c r="J390" s="247"/>
      <c r="K390" s="245"/>
      <c r="L390" s="246"/>
      <c r="M390" s="245"/>
      <c r="N390" s="29" t="s">
        <v>119</v>
      </c>
      <c r="O390" s="120"/>
      <c r="P390" s="120"/>
      <c r="Q390" s="120"/>
      <c r="R390" s="29">
        <v>29</v>
      </c>
      <c r="S390" s="238">
        <f t="shared" si="179"/>
        <v>340.96449771689498</v>
      </c>
      <c r="T390" s="238">
        <f t="shared" si="180"/>
        <v>398.35882352941178</v>
      </c>
      <c r="U390" s="238">
        <f t="shared" si="181"/>
        <v>26.698880647902669</v>
      </c>
      <c r="W390" s="238">
        <f t="shared" si="182"/>
        <v>352.01297671175115</v>
      </c>
      <c r="X390" s="238">
        <f t="shared" si="183"/>
        <v>378.71185735965383</v>
      </c>
      <c r="Y390" s="238">
        <f t="shared" si="184"/>
        <v>405.41073800755652</v>
      </c>
      <c r="AA390" s="1133">
        <v>340.96449771689493</v>
      </c>
      <c r="AB390" s="1133">
        <v>368.88837427477495</v>
      </c>
      <c r="AC390" s="1133">
        <v>396.81225083265497</v>
      </c>
      <c r="AD390" s="89"/>
      <c r="AE390" s="89"/>
      <c r="AF390" s="89"/>
      <c r="AG390" s="89"/>
      <c r="AH390" s="89"/>
      <c r="AI390" s="89"/>
      <c r="AJ390" s="89"/>
      <c r="AK390" s="89"/>
      <c r="AL390" s="89"/>
      <c r="AM390" s="89"/>
      <c r="AN390" s="89"/>
      <c r="BR390" s="180">
        <v>2041</v>
      </c>
      <c r="BS390" s="22">
        <v>27</v>
      </c>
      <c r="BT390" s="198">
        <f t="shared" si="195"/>
        <v>129.02819994164034</v>
      </c>
      <c r="BU390" s="276">
        <f t="shared" si="196"/>
        <v>236.71362084506296</v>
      </c>
      <c r="BV390" s="205">
        <f t="shared" si="197"/>
        <v>365.74182078670333</v>
      </c>
      <c r="BY390" s="180">
        <v>2041</v>
      </c>
      <c r="BZ390" s="22">
        <v>27</v>
      </c>
      <c r="CA390" s="198">
        <f t="shared" ca="1" si="198"/>
        <v>-23.544165315658006</v>
      </c>
      <c r="CB390" s="198">
        <f t="shared" ca="1" si="199"/>
        <v>167.39646934493481</v>
      </c>
      <c r="CC390" s="276">
        <f t="shared" ca="1" si="210"/>
        <v>227.54140829410704</v>
      </c>
      <c r="CD390" s="205">
        <f t="shared" ca="1" si="200"/>
        <v>371.39371232338385</v>
      </c>
      <c r="CG390" s="180">
        <v>2041</v>
      </c>
      <c r="CH390" s="22">
        <v>27</v>
      </c>
      <c r="CI390" s="198">
        <f t="shared" ca="1" si="201"/>
        <v>13.247626081084261</v>
      </c>
      <c r="CJ390" s="198">
        <f t="shared" ca="1" si="202"/>
        <v>-55.927251291641845</v>
      </c>
      <c r="CK390" s="198">
        <f t="shared" ca="1" si="203"/>
        <v>187.24428444199984</v>
      </c>
      <c r="CL390" s="276">
        <f t="shared" ca="1" si="204"/>
        <v>225.70236884361898</v>
      </c>
      <c r="CM390" s="205">
        <f t="shared" ca="1" si="205"/>
        <v>370.26702807506126</v>
      </c>
      <c r="CP390" s="180">
        <v>2041</v>
      </c>
      <c r="CQ390" s="22">
        <v>27</v>
      </c>
      <c r="CR390" s="198">
        <f t="shared" ca="1" si="206"/>
        <v>242.79750986086785</v>
      </c>
      <c r="CS390" s="276">
        <f t="shared" ca="1" si="207"/>
        <v>1.4827088830713484</v>
      </c>
      <c r="CT390" s="205">
        <f t="shared" ca="1" si="208"/>
        <v>359.99802465831209</v>
      </c>
      <c r="CZ390" s="164" t="b">
        <f t="shared" si="185"/>
        <v>1</v>
      </c>
      <c r="DA390" s="165" t="b">
        <f t="shared" si="185"/>
        <v>1</v>
      </c>
      <c r="DB390" s="166" t="b">
        <f t="shared" si="185"/>
        <v>1</v>
      </c>
      <c r="DC390" s="164">
        <f t="shared" si="186"/>
        <v>29</v>
      </c>
      <c r="DD390" s="166">
        <f t="shared" si="187"/>
        <v>352.01297671175115</v>
      </c>
      <c r="DE390" s="164">
        <f t="shared" si="188"/>
        <v>29</v>
      </c>
      <c r="DF390" s="166">
        <f t="shared" si="189"/>
        <v>378.71185735965383</v>
      </c>
      <c r="DG390" s="164">
        <f t="shared" si="190"/>
        <v>29</v>
      </c>
      <c r="DH390" s="166">
        <f t="shared" si="191"/>
        <v>405.41073800755652</v>
      </c>
      <c r="DI390" s="164">
        <f>IFERROR(INDEX(DC$359:DC$407,_xlfn.AGGREGATE(15,6,(ROW(DC$359:DC$407)-ROW(DC$359)+1)/(DC$359:DC$407&lt;&gt;""),ROWS(DI$1:DI32))),"")</f>
        <v>29</v>
      </c>
      <c r="DJ390" s="165">
        <f>IFERROR(INDEX(DD$359:DD$407,_xlfn.AGGREGATE(15,6,(ROW(DD$359:DD$407)-ROW(DD$359)+1)/(DD$359:DD$407&lt;&gt;""),ROWS(DJ$1:DJ32))),"")</f>
        <v>352.01297671175115</v>
      </c>
      <c r="DK390" s="166">
        <f t="shared" si="192"/>
        <v>390</v>
      </c>
      <c r="DL390" s="164">
        <f>IFERROR(INDEX(DE$359:DE$407,_xlfn.AGGREGATE(15,6,(ROW(DE$359:DE$407)-ROW(DE$359)+1)/(DE$359:DE$407&lt;&gt;""),ROWS(DL$1:DL32))),"")</f>
        <v>29</v>
      </c>
      <c r="DM390" s="165">
        <f>IFERROR(INDEX(DF$359:DF$407,_xlfn.AGGREGATE(15,6,(ROW(DF$359:DF$407)-ROW(DF$359)+1)/(DF$359:DF$407&lt;&gt;""),ROWS(DM$1:DM32))),"")</f>
        <v>378.71185735965383</v>
      </c>
      <c r="DN390" s="166">
        <f t="shared" si="193"/>
        <v>390</v>
      </c>
      <c r="DO390" s="164">
        <f>IFERROR(INDEX(DG$359:DG$407,_xlfn.AGGREGATE(15,6,(ROW(DG$359:DG$407)-ROW(DG$359)+1)/(DG$359:DG$407&lt;&gt;""),ROWS(DO$1:DO32))),"")</f>
        <v>29</v>
      </c>
      <c r="DP390" s="165">
        <f>IFERROR(INDEX(DH$359:DH$407,_xlfn.AGGREGATE(15,6,(ROW(DH$359:DH$407)-ROW(DH$359)+1)/(DH$359:DH$407&lt;&gt;""),ROWS(DP$1:DP32))),"")</f>
        <v>405.41073800755652</v>
      </c>
      <c r="DQ390" s="166">
        <f t="shared" si="194"/>
        <v>390</v>
      </c>
      <c r="DV390" s="145">
        <v>2046</v>
      </c>
      <c r="DW390" s="235">
        <f t="shared" ca="1" si="178"/>
        <v>391.11700254664333</v>
      </c>
      <c r="EA390" s="55"/>
      <c r="EB390" s="55"/>
      <c r="EC390" s="55"/>
      <c r="ED390" s="55"/>
      <c r="EE390" s="55"/>
    </row>
    <row r="391" spans="2:135" ht="13.8" x14ac:dyDescent="0.45">
      <c r="B391" s="128">
        <v>2044</v>
      </c>
      <c r="C391" s="1070">
        <v>345.01278538812784</v>
      </c>
      <c r="D391" s="1050">
        <v>399.25014881364723</v>
      </c>
      <c r="E391" s="1069"/>
      <c r="F391" s="1075"/>
      <c r="G391" s="1052"/>
      <c r="H391" s="1036"/>
      <c r="I391" s="1112">
        <v>404.56470588235294</v>
      </c>
      <c r="J391" s="247"/>
      <c r="K391" s="245"/>
      <c r="L391" s="246"/>
      <c r="M391" s="245"/>
      <c r="N391" s="29" t="s">
        <v>119</v>
      </c>
      <c r="O391" s="120"/>
      <c r="P391" s="120"/>
      <c r="Q391" s="120"/>
      <c r="R391" s="29">
        <v>30</v>
      </c>
      <c r="S391" s="238">
        <f t="shared" si="179"/>
        <v>345.01278538812784</v>
      </c>
      <c r="T391" s="238">
        <f t="shared" si="180"/>
        <v>404.56470588235294</v>
      </c>
      <c r="U391" s="238">
        <f t="shared" si="181"/>
        <v>26.908006538201199</v>
      </c>
      <c r="W391" s="238">
        <f t="shared" si="182"/>
        <v>356.03454015650811</v>
      </c>
      <c r="X391" s="238">
        <f t="shared" ref="X391:X407" si="212">IF(U391="",#N/A,(SUM(C391:Q391)/COUNTIFS(C391:Q391,"&gt;0")))</f>
        <v>382.94254669470934</v>
      </c>
      <c r="Y391" s="238">
        <f t="shared" si="184"/>
        <v>409.85055323291056</v>
      </c>
      <c r="AA391" s="1133">
        <v>345.0127853881279</v>
      </c>
      <c r="AB391" s="1133">
        <v>372.13146710088756</v>
      </c>
      <c r="AC391" s="1133">
        <v>399.25014881364723</v>
      </c>
      <c r="AD391" s="89"/>
      <c r="AE391" s="89"/>
      <c r="AF391" s="89"/>
      <c r="AG391" s="89"/>
      <c r="AH391" s="89"/>
      <c r="AI391" s="89"/>
      <c r="AJ391" s="89"/>
      <c r="AK391" s="89"/>
      <c r="AL391" s="89"/>
      <c r="AM391" s="89"/>
      <c r="AN391" s="89"/>
      <c r="BR391" s="180">
        <v>2042</v>
      </c>
      <c r="BS391" s="22">
        <v>28</v>
      </c>
      <c r="BT391" s="198">
        <f t="shared" si="195"/>
        <v>133.8070221617011</v>
      </c>
      <c r="BU391" s="276">
        <f t="shared" si="196"/>
        <v>236.71362084506296</v>
      </c>
      <c r="BV391" s="205">
        <f t="shared" si="197"/>
        <v>370.52064300676409</v>
      </c>
      <c r="BY391" s="180">
        <v>2042</v>
      </c>
      <c r="BZ391" s="22">
        <v>28</v>
      </c>
      <c r="CA391" s="198">
        <f t="shared" ca="1" si="198"/>
        <v>-25.320474084329046</v>
      </c>
      <c r="CB391" s="198">
        <f t="shared" ca="1" si="199"/>
        <v>173.59633857993239</v>
      </c>
      <c r="CC391" s="276">
        <f t="shared" ca="1" si="210"/>
        <v>227.54140829410704</v>
      </c>
      <c r="CD391" s="205">
        <f t="shared" ca="1" si="200"/>
        <v>375.81727278971039</v>
      </c>
      <c r="CG391" s="180">
        <v>2042</v>
      </c>
      <c r="CH391" s="22">
        <v>28</v>
      </c>
      <c r="CI391" s="198">
        <f t="shared" ca="1" si="201"/>
        <v>14.774774563428426</v>
      </c>
      <c r="CJ391" s="198">
        <f t="shared" ca="1" si="202"/>
        <v>-60.14672841241044</v>
      </c>
      <c r="CK391" s="198">
        <f t="shared" ca="1" si="203"/>
        <v>194.17925793985171</v>
      </c>
      <c r="CL391" s="276">
        <f t="shared" ca="1" si="204"/>
        <v>225.70236884361898</v>
      </c>
      <c r="CM391" s="205">
        <f t="shared" ca="1" si="205"/>
        <v>374.50967293448866</v>
      </c>
      <c r="CP391" s="180">
        <v>2042</v>
      </c>
      <c r="CQ391" s="22">
        <v>28</v>
      </c>
      <c r="CR391" s="198">
        <f t="shared" ca="1" si="206"/>
        <v>242.79750986086785</v>
      </c>
      <c r="CS391" s="276">
        <f t="shared" ca="1" si="207"/>
        <v>1.504496884649926</v>
      </c>
      <c r="CT391" s="205">
        <f t="shared" ca="1" si="208"/>
        <v>365.28809718643538</v>
      </c>
      <c r="CZ391" s="164" t="b">
        <f t="shared" si="185"/>
        <v>1</v>
      </c>
      <c r="DA391" s="165" t="b">
        <f t="shared" si="185"/>
        <v>1</v>
      </c>
      <c r="DB391" s="166" t="b">
        <f t="shared" si="185"/>
        <v>1</v>
      </c>
      <c r="DC391" s="164">
        <f t="shared" si="186"/>
        <v>30</v>
      </c>
      <c r="DD391" s="166">
        <f t="shared" si="187"/>
        <v>356.03454015650811</v>
      </c>
      <c r="DE391" s="164">
        <f t="shared" si="188"/>
        <v>30</v>
      </c>
      <c r="DF391" s="166">
        <f t="shared" si="189"/>
        <v>382.94254669470934</v>
      </c>
      <c r="DG391" s="164">
        <f t="shared" si="190"/>
        <v>30</v>
      </c>
      <c r="DH391" s="166">
        <f t="shared" si="191"/>
        <v>409.85055323291056</v>
      </c>
      <c r="DI391" s="164">
        <f>IFERROR(INDEX(DC$359:DC$407,_xlfn.AGGREGATE(15,6,(ROW(DC$359:DC$407)-ROW(DC$359)+1)/(DC$359:DC$407&lt;&gt;""),ROWS(DI$1:DI33))),"")</f>
        <v>30</v>
      </c>
      <c r="DJ391" s="165">
        <f>IFERROR(INDEX(DD$359:DD$407,_xlfn.AGGREGATE(15,6,(ROW(DD$359:DD$407)-ROW(DD$359)+1)/(DD$359:DD$407&lt;&gt;""),ROWS(DJ$1:DJ33))),"")</f>
        <v>356.03454015650811</v>
      </c>
      <c r="DK391" s="166">
        <f t="shared" si="192"/>
        <v>391</v>
      </c>
      <c r="DL391" s="164">
        <f>IFERROR(INDEX(DE$359:DE$407,_xlfn.AGGREGATE(15,6,(ROW(DE$359:DE$407)-ROW(DE$359)+1)/(DE$359:DE$407&lt;&gt;""),ROWS(DL$1:DL33))),"")</f>
        <v>30</v>
      </c>
      <c r="DM391" s="165">
        <f>IFERROR(INDEX(DF$359:DF$407,_xlfn.AGGREGATE(15,6,(ROW(DF$359:DF$407)-ROW(DF$359)+1)/(DF$359:DF$407&lt;&gt;""),ROWS(DM$1:DM33))),"")</f>
        <v>382.94254669470934</v>
      </c>
      <c r="DN391" s="166">
        <f t="shared" si="193"/>
        <v>391</v>
      </c>
      <c r="DO391" s="164">
        <f>IFERROR(INDEX(DG$359:DG$407,_xlfn.AGGREGATE(15,6,(ROW(DG$359:DG$407)-ROW(DG$359)+1)/(DG$359:DG$407&lt;&gt;""),ROWS(DO$1:DO33))),"")</f>
        <v>30</v>
      </c>
      <c r="DP391" s="165">
        <f>IFERROR(INDEX(DH$359:DH$407,_xlfn.AGGREGATE(15,6,(ROW(DH$359:DH$407)-ROW(DH$359)+1)/(DH$359:DH$407&lt;&gt;""),ROWS(DP$1:DP33))),"")</f>
        <v>409.85055323291056</v>
      </c>
      <c r="DQ391" s="166">
        <f t="shared" si="194"/>
        <v>391</v>
      </c>
      <c r="DV391" s="145">
        <v>2047</v>
      </c>
      <c r="DW391" s="235">
        <f t="shared" ca="1" si="178"/>
        <v>395.19821396727752</v>
      </c>
      <c r="EA391" s="55"/>
      <c r="EB391" s="55"/>
      <c r="EC391" s="55"/>
      <c r="ED391" s="55"/>
      <c r="EE391" s="55"/>
    </row>
    <row r="392" spans="2:135" ht="13.8" x14ac:dyDescent="0.45">
      <c r="B392" s="128">
        <v>2045</v>
      </c>
      <c r="C392" s="1070">
        <v>349.06107305936075</v>
      </c>
      <c r="D392" s="1050">
        <v>401.76924196154545</v>
      </c>
      <c r="E392" s="1069"/>
      <c r="F392" s="1075"/>
      <c r="G392" s="1052"/>
      <c r="H392" s="1036"/>
      <c r="I392" s="1112">
        <v>410.7705882352941</v>
      </c>
      <c r="J392" s="247"/>
      <c r="K392" s="245"/>
      <c r="L392" s="246"/>
      <c r="M392" s="245"/>
      <c r="N392" s="29" t="s">
        <v>119</v>
      </c>
      <c r="O392" s="120"/>
      <c r="P392" s="120"/>
      <c r="Q392" s="120"/>
      <c r="R392" s="29">
        <v>31</v>
      </c>
      <c r="S392" s="238">
        <f t="shared" si="179"/>
        <v>349.06107305936075</v>
      </c>
      <c r="T392" s="238">
        <f t="shared" si="180"/>
        <v>410.7705882352941</v>
      </c>
      <c r="U392" s="238">
        <f t="shared" si="181"/>
        <v>27.217722100396905</v>
      </c>
      <c r="W392" s="238">
        <f t="shared" si="182"/>
        <v>359.98257898500322</v>
      </c>
      <c r="X392" s="238">
        <f t="shared" si="212"/>
        <v>387.2003010854001</v>
      </c>
      <c r="Y392" s="238">
        <f t="shared" si="184"/>
        <v>414.41802318579698</v>
      </c>
      <c r="AA392" s="1133">
        <v>349.06107305936075</v>
      </c>
      <c r="AB392" s="1133">
        <v>375.41515751045313</v>
      </c>
      <c r="AC392" s="1133">
        <v>401.7692419615455</v>
      </c>
      <c r="AD392" s="89"/>
      <c r="AE392" s="89"/>
      <c r="AF392" s="89"/>
      <c r="AG392" s="89"/>
      <c r="AH392" s="89"/>
      <c r="AI392" s="89"/>
      <c r="AJ392" s="89"/>
      <c r="AK392" s="89"/>
      <c r="AL392" s="89"/>
      <c r="AM392" s="89"/>
      <c r="AN392" s="89"/>
      <c r="BR392" s="180">
        <v>2043</v>
      </c>
      <c r="BS392" s="22">
        <v>29</v>
      </c>
      <c r="BT392" s="198">
        <f t="shared" si="195"/>
        <v>138.58584438176186</v>
      </c>
      <c r="BU392" s="276">
        <f t="shared" si="196"/>
        <v>236.71362084506296</v>
      </c>
      <c r="BV392" s="205">
        <f t="shared" si="197"/>
        <v>375.29946522682485</v>
      </c>
      <c r="BY392" s="180">
        <v>2043</v>
      </c>
      <c r="BZ392" s="22">
        <v>29</v>
      </c>
      <c r="CA392" s="198">
        <f t="shared" ca="1" si="198"/>
        <v>-27.161375899133581</v>
      </c>
      <c r="CB392" s="198">
        <f t="shared" ca="1" si="199"/>
        <v>179.79620781492997</v>
      </c>
      <c r="CC392" s="276">
        <f t="shared" ca="1" si="210"/>
        <v>227.54140829410704</v>
      </c>
      <c r="CD392" s="205">
        <f t="shared" ca="1" si="200"/>
        <v>380.17624020990343</v>
      </c>
      <c r="CG392" s="180">
        <v>2043</v>
      </c>
      <c r="CH392" s="22">
        <v>29</v>
      </c>
      <c r="CI392" s="198">
        <f t="shared" ca="1" si="201"/>
        <v>16.414995300084541</v>
      </c>
      <c r="CJ392" s="198">
        <f t="shared" ca="1" si="202"/>
        <v>-64.519641064843341</v>
      </c>
      <c r="CK392" s="198">
        <f t="shared" ca="1" si="203"/>
        <v>201.11423143770355</v>
      </c>
      <c r="CL392" s="276">
        <f t="shared" ca="1" si="204"/>
        <v>225.70236884361898</v>
      </c>
      <c r="CM392" s="205">
        <f t="shared" ca="1" si="205"/>
        <v>378.71195451656376</v>
      </c>
      <c r="CP392" s="180">
        <v>2043</v>
      </c>
      <c r="CQ392" s="22">
        <v>29</v>
      </c>
      <c r="CR392" s="198">
        <f t="shared" ca="1" si="206"/>
        <v>242.79750986086785</v>
      </c>
      <c r="CS392" s="276">
        <f t="shared" ca="1" si="207"/>
        <v>1.5266050549536041</v>
      </c>
      <c r="CT392" s="205">
        <f t="shared" ca="1" si="208"/>
        <v>370.6559058837484</v>
      </c>
      <c r="CZ392" s="164" t="b">
        <f t="shared" si="185"/>
        <v>1</v>
      </c>
      <c r="DA392" s="165" t="b">
        <f t="shared" si="185"/>
        <v>1</v>
      </c>
      <c r="DB392" s="166" t="b">
        <f t="shared" si="185"/>
        <v>1</v>
      </c>
      <c r="DC392" s="164">
        <f t="shared" si="186"/>
        <v>31</v>
      </c>
      <c r="DD392" s="166">
        <f t="shared" si="187"/>
        <v>359.98257898500322</v>
      </c>
      <c r="DE392" s="164">
        <f t="shared" si="188"/>
        <v>31</v>
      </c>
      <c r="DF392" s="166">
        <f t="shared" si="189"/>
        <v>387.2003010854001</v>
      </c>
      <c r="DG392" s="164">
        <f t="shared" si="190"/>
        <v>31</v>
      </c>
      <c r="DH392" s="166">
        <f t="shared" si="191"/>
        <v>414.41802318579698</v>
      </c>
      <c r="DI392" s="164">
        <f>IFERROR(INDEX(DC$359:DC$407,_xlfn.AGGREGATE(15,6,(ROW(DC$359:DC$407)-ROW(DC$359)+1)/(DC$359:DC$407&lt;&gt;""),ROWS(DI$1:DI34))),"")</f>
        <v>31</v>
      </c>
      <c r="DJ392" s="165">
        <f>IFERROR(INDEX(DD$359:DD$407,_xlfn.AGGREGATE(15,6,(ROW(DD$359:DD$407)-ROW(DD$359)+1)/(DD$359:DD$407&lt;&gt;""),ROWS(DJ$1:DJ34))),"")</f>
        <v>359.98257898500322</v>
      </c>
      <c r="DK392" s="166">
        <f t="shared" si="192"/>
        <v>392</v>
      </c>
      <c r="DL392" s="164">
        <f>IFERROR(INDEX(DE$359:DE$407,_xlfn.AGGREGATE(15,6,(ROW(DE$359:DE$407)-ROW(DE$359)+1)/(DE$359:DE$407&lt;&gt;""),ROWS(DL$1:DL34))),"")</f>
        <v>31</v>
      </c>
      <c r="DM392" s="165">
        <f>IFERROR(INDEX(DF$359:DF$407,_xlfn.AGGREGATE(15,6,(ROW(DF$359:DF$407)-ROW(DF$359)+1)/(DF$359:DF$407&lt;&gt;""),ROWS(DM$1:DM34))),"")</f>
        <v>387.2003010854001</v>
      </c>
      <c r="DN392" s="166">
        <f t="shared" si="193"/>
        <v>392</v>
      </c>
      <c r="DO392" s="164">
        <f>IFERROR(INDEX(DG$359:DG$407,_xlfn.AGGREGATE(15,6,(ROW(DG$359:DG$407)-ROW(DG$359)+1)/(DG$359:DG$407&lt;&gt;""),ROWS(DO$1:DO34))),"")</f>
        <v>31</v>
      </c>
      <c r="DP392" s="165">
        <f>IFERROR(INDEX(DH$359:DH$407,_xlfn.AGGREGATE(15,6,(ROW(DH$359:DH$407)-ROW(DH$359)+1)/(DH$359:DH$407&lt;&gt;""),ROWS(DP$1:DP34))),"")</f>
        <v>414.41802318579698</v>
      </c>
      <c r="DQ392" s="166">
        <f t="shared" si="194"/>
        <v>392</v>
      </c>
      <c r="DV392" s="145">
        <v>2048</v>
      </c>
      <c r="DW392" s="235">
        <f t="shared" ca="1" si="178"/>
        <v>399.25925358454356</v>
      </c>
      <c r="EA392" s="55"/>
      <c r="EB392" s="55"/>
      <c r="EC392" s="55"/>
      <c r="ED392" s="55"/>
      <c r="EE392" s="55"/>
    </row>
    <row r="393" spans="2:135" ht="13.8" x14ac:dyDescent="0.45">
      <c r="B393" s="128">
        <v>2046</v>
      </c>
      <c r="C393" s="1070">
        <v>353.10936073059361</v>
      </c>
      <c r="D393" s="1050">
        <v>403.9006980284841</v>
      </c>
      <c r="E393" s="1069"/>
      <c r="F393" s="1075"/>
      <c r="G393" s="1052"/>
      <c r="H393" s="1036"/>
      <c r="I393" s="1112">
        <v>416.97647058823532</v>
      </c>
      <c r="J393" s="247"/>
      <c r="K393" s="245"/>
      <c r="L393" s="246"/>
      <c r="M393" s="245"/>
      <c r="N393" s="29" t="s">
        <v>119</v>
      </c>
      <c r="O393" s="120"/>
      <c r="P393" s="120"/>
      <c r="Q393" s="120"/>
      <c r="R393" s="29">
        <v>32</v>
      </c>
      <c r="S393" s="238">
        <f t="shared" si="179"/>
        <v>353.10936073059361</v>
      </c>
      <c r="T393" s="238">
        <f t="shared" si="180"/>
        <v>416.97647058823532</v>
      </c>
      <c r="U393" s="238">
        <f t="shared" si="181"/>
        <v>27.547420718363089</v>
      </c>
      <c r="W393" s="238">
        <f t="shared" si="182"/>
        <v>363.78142239740794</v>
      </c>
      <c r="X393" s="238">
        <f t="shared" si="212"/>
        <v>391.32884311577101</v>
      </c>
      <c r="Y393" s="238">
        <f t="shared" si="184"/>
        <v>418.87626383413408</v>
      </c>
      <c r="AA393" s="1133">
        <v>353.10936073059361</v>
      </c>
      <c r="AB393" s="1133">
        <v>378.50502937953888</v>
      </c>
      <c r="AC393" s="1133">
        <v>403.90069802848416</v>
      </c>
      <c r="AD393" s="89"/>
      <c r="AE393" s="89"/>
      <c r="AF393" s="89"/>
      <c r="AG393" s="89"/>
      <c r="AH393" s="89"/>
      <c r="AI393" s="89"/>
      <c r="AJ393" s="89"/>
      <c r="AK393" s="89"/>
      <c r="AL393" s="89"/>
      <c r="AM393" s="89"/>
      <c r="AN393" s="89"/>
      <c r="BR393" s="180">
        <v>2044</v>
      </c>
      <c r="BS393" s="22">
        <v>30</v>
      </c>
      <c r="BT393" s="198">
        <f t="shared" si="195"/>
        <v>143.36466660182259</v>
      </c>
      <c r="BU393" s="276">
        <f t="shared" si="196"/>
        <v>236.71362084506296</v>
      </c>
      <c r="BV393" s="205">
        <f t="shared" si="197"/>
        <v>380.07828744688555</v>
      </c>
      <c r="BY393" s="180">
        <v>2044</v>
      </c>
      <c r="BZ393" s="22">
        <v>30</v>
      </c>
      <c r="CA393" s="198">
        <f t="shared" ca="1" si="198"/>
        <v>-29.066870760071609</v>
      </c>
      <c r="CB393" s="198">
        <f t="shared" ca="1" si="199"/>
        <v>185.99607704992758</v>
      </c>
      <c r="CC393" s="276">
        <f t="shared" ca="1" si="210"/>
        <v>227.54140829410704</v>
      </c>
      <c r="CD393" s="205">
        <f t="shared" ca="1" si="200"/>
        <v>384.47061458396303</v>
      </c>
      <c r="CG393" s="180">
        <v>2044</v>
      </c>
      <c r="CH393" s="22">
        <v>30</v>
      </c>
      <c r="CI393" s="198">
        <f t="shared" ca="1" si="201"/>
        <v>18.172326585849468</v>
      </c>
      <c r="CJ393" s="198">
        <f t="shared" ca="1" si="202"/>
        <v>-69.045989248940558</v>
      </c>
      <c r="CK393" s="198">
        <f t="shared" ca="1" si="203"/>
        <v>208.04920493555539</v>
      </c>
      <c r="CL393" s="276">
        <f t="shared" ca="1" si="204"/>
        <v>225.70236884361898</v>
      </c>
      <c r="CM393" s="205">
        <f t="shared" ca="1" si="205"/>
        <v>382.87791111608328</v>
      </c>
      <c r="CP393" s="180">
        <v>2044</v>
      </c>
      <c r="CQ393" s="22">
        <v>30</v>
      </c>
      <c r="CR393" s="198">
        <f t="shared" ca="1" si="206"/>
        <v>242.79750986086785</v>
      </c>
      <c r="CS393" s="276">
        <f t="shared" ca="1" si="207"/>
        <v>1.5490380987742454</v>
      </c>
      <c r="CT393" s="205">
        <f t="shared" ca="1" si="208"/>
        <v>376.10259306199981</v>
      </c>
      <c r="CZ393" s="164" t="b">
        <f t="shared" si="185"/>
        <v>1</v>
      </c>
      <c r="DA393" s="165" t="b">
        <f t="shared" si="185"/>
        <v>1</v>
      </c>
      <c r="DB393" s="166" t="b">
        <f t="shared" si="185"/>
        <v>1</v>
      </c>
      <c r="DC393" s="164">
        <f t="shared" si="186"/>
        <v>32</v>
      </c>
      <c r="DD393" s="166">
        <f t="shared" si="187"/>
        <v>363.78142239740794</v>
      </c>
      <c r="DE393" s="164">
        <f t="shared" si="188"/>
        <v>32</v>
      </c>
      <c r="DF393" s="166">
        <f t="shared" si="189"/>
        <v>391.32884311577101</v>
      </c>
      <c r="DG393" s="164">
        <f t="shared" si="190"/>
        <v>32</v>
      </c>
      <c r="DH393" s="166">
        <f t="shared" si="191"/>
        <v>418.87626383413408</v>
      </c>
      <c r="DI393" s="164">
        <f>IFERROR(INDEX(DC$359:DC$407,_xlfn.AGGREGATE(15,6,(ROW(DC$359:DC$407)-ROW(DC$359)+1)/(DC$359:DC$407&lt;&gt;""),ROWS(DI$1:DI35))),"")</f>
        <v>32</v>
      </c>
      <c r="DJ393" s="165">
        <f>IFERROR(INDEX(DD$359:DD$407,_xlfn.AGGREGATE(15,6,(ROW(DD$359:DD$407)-ROW(DD$359)+1)/(DD$359:DD$407&lt;&gt;""),ROWS(DJ$1:DJ35))),"")</f>
        <v>363.78142239740794</v>
      </c>
      <c r="DK393" s="166">
        <f t="shared" si="192"/>
        <v>393</v>
      </c>
      <c r="DL393" s="164">
        <f>IFERROR(INDEX(DE$359:DE$407,_xlfn.AGGREGATE(15,6,(ROW(DE$359:DE$407)-ROW(DE$359)+1)/(DE$359:DE$407&lt;&gt;""),ROWS(DL$1:DL35))),"")</f>
        <v>32</v>
      </c>
      <c r="DM393" s="165">
        <f>IFERROR(INDEX(DF$359:DF$407,_xlfn.AGGREGATE(15,6,(ROW(DF$359:DF$407)-ROW(DF$359)+1)/(DF$359:DF$407&lt;&gt;""),ROWS(DM$1:DM35))),"")</f>
        <v>391.32884311577101</v>
      </c>
      <c r="DN393" s="166">
        <f t="shared" si="193"/>
        <v>393</v>
      </c>
      <c r="DO393" s="164">
        <f>IFERROR(INDEX(DG$359:DG$407,_xlfn.AGGREGATE(15,6,(ROW(DG$359:DG$407)-ROW(DG$359)+1)/(DG$359:DG$407&lt;&gt;""),ROWS(DO$1:DO35))),"")</f>
        <v>32</v>
      </c>
      <c r="DP393" s="165">
        <f>IFERROR(INDEX(DH$359:DH$407,_xlfn.AGGREGATE(15,6,(ROW(DH$359:DH$407)-ROW(DH$359)+1)/(DH$359:DH$407&lt;&gt;""),ROWS(DP$1:DP35))),"")</f>
        <v>418.87626383413408</v>
      </c>
      <c r="DQ393" s="166">
        <f t="shared" si="194"/>
        <v>393</v>
      </c>
      <c r="DV393" s="145">
        <v>2049</v>
      </c>
      <c r="DW393" s="235">
        <f t="shared" ca="1" si="178"/>
        <v>403.30415969323843</v>
      </c>
      <c r="EA393" s="55"/>
      <c r="EB393" s="55"/>
      <c r="EC393" s="55"/>
      <c r="ED393" s="55"/>
      <c r="EE393" s="55"/>
    </row>
    <row r="394" spans="2:135" ht="13.8" x14ac:dyDescent="0.45">
      <c r="B394" s="128">
        <v>2047</v>
      </c>
      <c r="C394" s="1070">
        <v>357.15764840182646</v>
      </c>
      <c r="D394" s="1050">
        <v>406.06488439573889</v>
      </c>
      <c r="E394" s="1069"/>
      <c r="F394" s="1075"/>
      <c r="G394" s="1052"/>
      <c r="H394" s="1036"/>
      <c r="I394" s="1112">
        <v>423.18235294117648</v>
      </c>
      <c r="J394" s="247"/>
      <c r="K394" s="245"/>
      <c r="L394" s="246"/>
      <c r="M394" s="245"/>
      <c r="N394" s="29" t="s">
        <v>119</v>
      </c>
      <c r="O394" s="120"/>
      <c r="P394" s="120"/>
      <c r="Q394" s="120"/>
      <c r="R394" s="29">
        <v>33</v>
      </c>
      <c r="S394" s="238">
        <f t="shared" si="179"/>
        <v>357.15764840182646</v>
      </c>
      <c r="T394" s="238">
        <f t="shared" si="180"/>
        <v>423.18235294117648</v>
      </c>
      <c r="U394" s="238">
        <f t="shared" si="181"/>
        <v>27.976551831601867</v>
      </c>
      <c r="W394" s="238">
        <f t="shared" si="182"/>
        <v>367.49174341464538</v>
      </c>
      <c r="X394" s="238">
        <f t="shared" si="212"/>
        <v>395.46829524624724</v>
      </c>
      <c r="Y394" s="238">
        <f t="shared" si="184"/>
        <v>423.44484707784909</v>
      </c>
      <c r="AA394" s="1133">
        <v>357.15764840182646</v>
      </c>
      <c r="AB394" s="1133">
        <v>381.61126639878267</v>
      </c>
      <c r="AC394" s="1133">
        <v>406.06488439573889</v>
      </c>
      <c r="AD394" s="89"/>
      <c r="AE394" s="89"/>
      <c r="AF394" s="89"/>
      <c r="AG394" s="89"/>
      <c r="AH394" s="89"/>
      <c r="AI394" s="89"/>
      <c r="AJ394" s="89"/>
      <c r="AK394" s="89"/>
      <c r="AL394" s="89"/>
      <c r="AM394" s="89"/>
      <c r="AN394" s="89"/>
      <c r="BR394" s="180">
        <v>2045</v>
      </c>
      <c r="BS394" s="22">
        <v>31</v>
      </c>
      <c r="BT394" s="198">
        <f t="shared" si="195"/>
        <v>148.14348882188335</v>
      </c>
      <c r="BU394" s="198">
        <f t="shared" si="196"/>
        <v>236.71362084506296</v>
      </c>
      <c r="BV394" s="205">
        <f t="shared" si="197"/>
        <v>384.85710966694631</v>
      </c>
      <c r="BY394" s="180">
        <v>2045</v>
      </c>
      <c r="BZ394" s="22">
        <v>31</v>
      </c>
      <c r="CA394" s="198">
        <f t="shared" ca="1" si="198"/>
        <v>-31.036958667143132</v>
      </c>
      <c r="CB394" s="198">
        <f t="shared" ca="1" si="199"/>
        <v>192.19594628492516</v>
      </c>
      <c r="CC394" s="198">
        <f t="shared" ca="1" si="210"/>
        <v>227.54140829410704</v>
      </c>
      <c r="CD394" s="205">
        <f t="shared" ca="1" si="200"/>
        <v>388.70039591188907</v>
      </c>
      <c r="CG394" s="180">
        <v>2045</v>
      </c>
      <c r="CH394" s="22">
        <v>31</v>
      </c>
      <c r="CI394" s="198">
        <f t="shared" ca="1" si="201"/>
        <v>20.050806715520054</v>
      </c>
      <c r="CJ394" s="198">
        <f t="shared" ca="1" si="202"/>
        <v>-73.725772964702074</v>
      </c>
      <c r="CK394" s="198">
        <f t="shared" ca="1" si="203"/>
        <v>214.98417843340724</v>
      </c>
      <c r="CL394" s="198">
        <f t="shared" ca="1" si="204"/>
        <v>225.70236884361898</v>
      </c>
      <c r="CM394" s="205">
        <f t="shared" ca="1" si="205"/>
        <v>387.01158102784416</v>
      </c>
      <c r="CP394" s="180">
        <v>2045</v>
      </c>
      <c r="CQ394" s="22">
        <v>31</v>
      </c>
      <c r="CR394" s="198">
        <f t="shared" ca="1" si="206"/>
        <v>242.79750986086785</v>
      </c>
      <c r="CS394" s="198">
        <f t="shared" ca="1" si="207"/>
        <v>1.5718007900393425</v>
      </c>
      <c r="CT394" s="205">
        <f t="shared" ca="1" si="208"/>
        <v>381.62931781889711</v>
      </c>
      <c r="CZ394" s="164" t="b">
        <f t="shared" si="185"/>
        <v>1</v>
      </c>
      <c r="DA394" s="165" t="b">
        <f t="shared" si="185"/>
        <v>1</v>
      </c>
      <c r="DB394" s="166" t="b">
        <f t="shared" si="185"/>
        <v>1</v>
      </c>
      <c r="DC394" s="164">
        <f t="shared" si="186"/>
        <v>33</v>
      </c>
      <c r="DD394" s="166">
        <f t="shared" si="187"/>
        <v>367.49174341464538</v>
      </c>
      <c r="DE394" s="164">
        <f t="shared" si="188"/>
        <v>33</v>
      </c>
      <c r="DF394" s="166">
        <f t="shared" si="189"/>
        <v>395.46829524624724</v>
      </c>
      <c r="DG394" s="164">
        <f t="shared" si="190"/>
        <v>33</v>
      </c>
      <c r="DH394" s="166">
        <f t="shared" si="191"/>
        <v>423.44484707784909</v>
      </c>
      <c r="DI394" s="164">
        <f>IFERROR(INDEX(DC$359:DC$407,_xlfn.AGGREGATE(15,6,(ROW(DC$359:DC$407)-ROW(DC$359)+1)/(DC$359:DC$407&lt;&gt;""),ROWS(DI$1:DI36))),"")</f>
        <v>33</v>
      </c>
      <c r="DJ394" s="165">
        <f>IFERROR(INDEX(DD$359:DD$407,_xlfn.AGGREGATE(15,6,(ROW(DD$359:DD$407)-ROW(DD$359)+1)/(DD$359:DD$407&lt;&gt;""),ROWS(DJ$1:DJ36))),"")</f>
        <v>367.49174341464538</v>
      </c>
      <c r="DK394" s="166">
        <f t="shared" si="192"/>
        <v>394</v>
      </c>
      <c r="DL394" s="164">
        <f>IFERROR(INDEX(DE$359:DE$407,_xlfn.AGGREGATE(15,6,(ROW(DE$359:DE$407)-ROW(DE$359)+1)/(DE$359:DE$407&lt;&gt;""),ROWS(DL$1:DL36))),"")</f>
        <v>33</v>
      </c>
      <c r="DM394" s="165">
        <f>IFERROR(INDEX(DF$359:DF$407,_xlfn.AGGREGATE(15,6,(ROW(DF$359:DF$407)-ROW(DF$359)+1)/(DF$359:DF$407&lt;&gt;""),ROWS(DM$1:DM36))),"")</f>
        <v>395.46829524624724</v>
      </c>
      <c r="DN394" s="166">
        <f t="shared" si="193"/>
        <v>394</v>
      </c>
      <c r="DO394" s="164">
        <f>IFERROR(INDEX(DG$359:DG$407,_xlfn.AGGREGATE(15,6,(ROW(DG$359:DG$407)-ROW(DG$359)+1)/(DG$359:DG$407&lt;&gt;""),ROWS(DO$1:DO36))),"")</f>
        <v>33</v>
      </c>
      <c r="DP394" s="165">
        <f>IFERROR(INDEX(DH$359:DH$407,_xlfn.AGGREGATE(15,6,(ROW(DH$359:DH$407)-ROW(DH$359)+1)/(DH$359:DH$407&lt;&gt;""),ROWS(DP$1:DP36))),"")</f>
        <v>423.44484707784909</v>
      </c>
      <c r="DQ394" s="166">
        <f t="shared" si="194"/>
        <v>394</v>
      </c>
      <c r="DV394" s="145">
        <v>2050</v>
      </c>
      <c r="DW394" s="235">
        <f t="shared" ca="1" si="178"/>
        <v>407.33697058815892</v>
      </c>
      <c r="EA394" s="55"/>
      <c r="EB394" s="55"/>
      <c r="EC394" s="55"/>
      <c r="ED394" s="55"/>
      <c r="EE394" s="55"/>
    </row>
    <row r="395" spans="2:135" ht="13.8" x14ac:dyDescent="0.45">
      <c r="B395" s="128">
        <v>2048</v>
      </c>
      <c r="C395" s="1070">
        <v>361.20593607305932</v>
      </c>
      <c r="D395" s="1050">
        <v>408.13864729573169</v>
      </c>
      <c r="E395" s="1069"/>
      <c r="F395" s="1075"/>
      <c r="G395" s="1052"/>
      <c r="H395" s="1036"/>
      <c r="I395" s="1112">
        <v>429.38823529411764</v>
      </c>
      <c r="J395" s="247"/>
      <c r="K395" s="245"/>
      <c r="L395" s="246"/>
      <c r="M395" s="245"/>
      <c r="N395" s="29" t="s">
        <v>119</v>
      </c>
      <c r="O395" s="120"/>
      <c r="P395" s="120"/>
      <c r="Q395" s="120"/>
      <c r="R395" s="29">
        <v>34</v>
      </c>
      <c r="S395" s="238">
        <f t="shared" si="179"/>
        <v>361.20593607305932</v>
      </c>
      <c r="T395" s="238">
        <f t="shared" si="180"/>
        <v>429.38823529411764</v>
      </c>
      <c r="U395" s="238">
        <f t="shared" si="181"/>
        <v>28.48596203957668</v>
      </c>
      <c r="W395" s="238">
        <f t="shared" si="182"/>
        <v>371.09164418139289</v>
      </c>
      <c r="X395" s="238">
        <f t="shared" si="212"/>
        <v>399.57760622096959</v>
      </c>
      <c r="Y395" s="238">
        <f t="shared" si="184"/>
        <v>428.06356826054628</v>
      </c>
      <c r="AA395" s="1133">
        <v>361.20593607305932</v>
      </c>
      <c r="AB395" s="1133">
        <v>384.67229168439553</v>
      </c>
      <c r="AC395" s="1133">
        <v>408.13864729573174</v>
      </c>
      <c r="AD395" s="89"/>
      <c r="AE395" s="89"/>
      <c r="AF395" s="89"/>
      <c r="AG395" s="89"/>
      <c r="AH395" s="89"/>
      <c r="AI395" s="89"/>
      <c r="AJ395" s="89"/>
      <c r="AK395" s="89"/>
      <c r="AL395" s="89"/>
      <c r="AM395" s="89"/>
      <c r="AN395" s="89"/>
      <c r="BR395" s="180">
        <v>2046</v>
      </c>
      <c r="BS395" s="22">
        <v>32</v>
      </c>
      <c r="BT395" s="198">
        <f t="shared" si="195"/>
        <v>152.92231104194411</v>
      </c>
      <c r="BU395" s="198">
        <f t="shared" si="196"/>
        <v>236.71362084506296</v>
      </c>
      <c r="BV395" s="205">
        <f t="shared" si="197"/>
        <v>389.63593188700708</v>
      </c>
      <c r="BY395" s="180">
        <v>2046</v>
      </c>
      <c r="BZ395" s="22">
        <v>32</v>
      </c>
      <c r="CA395" s="198">
        <f t="shared" ca="1" si="198"/>
        <v>-33.071639620348144</v>
      </c>
      <c r="CB395" s="198">
        <f t="shared" ca="1" si="199"/>
        <v>198.39581551992273</v>
      </c>
      <c r="CC395" s="198">
        <f t="shared" ca="1" si="210"/>
        <v>227.54140829410704</v>
      </c>
      <c r="CD395" s="205">
        <f t="shared" ca="1" si="200"/>
        <v>392.86558419368163</v>
      </c>
      <c r="CG395" s="180">
        <v>2046</v>
      </c>
      <c r="CH395" s="22">
        <v>32</v>
      </c>
      <c r="CI395" s="198">
        <f t="shared" ca="1" si="201"/>
        <v>22.05447398389316</v>
      </c>
      <c r="CJ395" s="198">
        <f t="shared" ca="1" si="202"/>
        <v>-78.558992212127919</v>
      </c>
      <c r="CK395" s="198">
        <f t="shared" ca="1" si="203"/>
        <v>221.91915193125908</v>
      </c>
      <c r="CL395" s="198">
        <f t="shared" ca="1" si="204"/>
        <v>225.70236884361898</v>
      </c>
      <c r="CM395" s="205">
        <f t="shared" ca="1" si="205"/>
        <v>391.11700254664333</v>
      </c>
      <c r="CP395" s="180">
        <v>2046</v>
      </c>
      <c r="CQ395" s="22">
        <v>32</v>
      </c>
      <c r="CR395" s="198">
        <f t="shared" ca="1" si="206"/>
        <v>242.79750986086785</v>
      </c>
      <c r="CS395" s="198">
        <f t="shared" ca="1" si="207"/>
        <v>1.5948979728279471</v>
      </c>
      <c r="CT395" s="205">
        <f t="shared" ca="1" si="208"/>
        <v>387.2372562847716</v>
      </c>
      <c r="CZ395" s="164" t="b">
        <f t="shared" si="185"/>
        <v>1</v>
      </c>
      <c r="DA395" s="165" t="b">
        <f t="shared" si="185"/>
        <v>1</v>
      </c>
      <c r="DB395" s="166" t="b">
        <f t="shared" si="185"/>
        <v>1</v>
      </c>
      <c r="DC395" s="164">
        <f t="shared" si="186"/>
        <v>34</v>
      </c>
      <c r="DD395" s="166">
        <f t="shared" si="187"/>
        <v>371.09164418139289</v>
      </c>
      <c r="DE395" s="164">
        <f t="shared" si="188"/>
        <v>34</v>
      </c>
      <c r="DF395" s="166">
        <f t="shared" si="189"/>
        <v>399.57760622096959</v>
      </c>
      <c r="DG395" s="164">
        <f t="shared" si="190"/>
        <v>34</v>
      </c>
      <c r="DH395" s="166">
        <f t="shared" si="191"/>
        <v>428.06356826054628</v>
      </c>
      <c r="DI395" s="164">
        <f>IFERROR(INDEX(DC$359:DC$407,_xlfn.AGGREGATE(15,6,(ROW(DC$359:DC$407)-ROW(DC$359)+1)/(DC$359:DC$407&lt;&gt;""),ROWS(DI$1:DI37))),"")</f>
        <v>34</v>
      </c>
      <c r="DJ395" s="165">
        <f>IFERROR(INDEX(DD$359:DD$407,_xlfn.AGGREGATE(15,6,(ROW(DD$359:DD$407)-ROW(DD$359)+1)/(DD$359:DD$407&lt;&gt;""),ROWS(DJ$1:DJ37))),"")</f>
        <v>371.09164418139289</v>
      </c>
      <c r="DK395" s="166">
        <f t="shared" si="192"/>
        <v>395</v>
      </c>
      <c r="DL395" s="164">
        <f>IFERROR(INDEX(DE$359:DE$407,_xlfn.AGGREGATE(15,6,(ROW(DE$359:DE$407)-ROW(DE$359)+1)/(DE$359:DE$407&lt;&gt;""),ROWS(DL$1:DL37))),"")</f>
        <v>34</v>
      </c>
      <c r="DM395" s="165">
        <f>IFERROR(INDEX(DF$359:DF$407,_xlfn.AGGREGATE(15,6,(ROW(DF$359:DF$407)-ROW(DF$359)+1)/(DF$359:DF$407&lt;&gt;""),ROWS(DM$1:DM37))),"")</f>
        <v>399.57760622096959</v>
      </c>
      <c r="DN395" s="166">
        <f t="shared" si="193"/>
        <v>395</v>
      </c>
      <c r="DO395" s="164">
        <f>IFERROR(INDEX(DG$359:DG$407,_xlfn.AGGREGATE(15,6,(ROW(DG$359:DG$407)-ROW(DG$359)+1)/(DG$359:DG$407&lt;&gt;""),ROWS(DO$1:DO37))),"")</f>
        <v>34</v>
      </c>
      <c r="DP395" s="165">
        <f>IFERROR(INDEX(DH$359:DH$407,_xlfn.AGGREGATE(15,6,(ROW(DH$359:DH$407)-ROW(DH$359)+1)/(DH$359:DH$407&lt;&gt;""),ROWS(DP$1:DP37))),"")</f>
        <v>428.06356826054628</v>
      </c>
      <c r="DQ395" s="166">
        <f t="shared" si="194"/>
        <v>395</v>
      </c>
      <c r="DV395" s="145">
        <v>2051</v>
      </c>
      <c r="DW395" s="235">
        <f t="shared" ca="1" si="178"/>
        <v>411.36172456410191</v>
      </c>
      <c r="EA395" s="55"/>
      <c r="EB395" s="55"/>
      <c r="EC395" s="55"/>
      <c r="ED395" s="55"/>
      <c r="EE395" s="55"/>
    </row>
    <row r="396" spans="2:135" ht="13.8" x14ac:dyDescent="0.45">
      <c r="B396" s="128">
        <v>2049</v>
      </c>
      <c r="C396" s="1070">
        <v>365.25422374429223</v>
      </c>
      <c r="D396" s="1050">
        <v>410.12805653934413</v>
      </c>
      <c r="E396" s="1069"/>
      <c r="F396" s="1075"/>
      <c r="G396" s="1052"/>
      <c r="H396" s="1036"/>
      <c r="I396" s="1112">
        <v>435.59411764705885</v>
      </c>
      <c r="J396" s="247"/>
      <c r="K396" s="245"/>
      <c r="L396" s="246"/>
      <c r="M396" s="245"/>
      <c r="N396" s="29" t="s">
        <v>119</v>
      </c>
      <c r="O396" s="120"/>
      <c r="P396" s="120"/>
      <c r="Q396" s="120"/>
      <c r="R396" s="29">
        <v>35</v>
      </c>
      <c r="S396" s="238">
        <f t="shared" si="179"/>
        <v>365.25422374429223</v>
      </c>
      <c r="T396" s="238">
        <f t="shared" si="180"/>
        <v>435.59411764705885</v>
      </c>
      <c r="U396" s="238">
        <f t="shared" si="181"/>
        <v>29.078212180089217</v>
      </c>
      <c r="W396" s="238">
        <f t="shared" si="182"/>
        <v>374.58058713014259</v>
      </c>
      <c r="X396" s="238">
        <f t="shared" si="212"/>
        <v>403.65879931023181</v>
      </c>
      <c r="Y396" s="238">
        <f t="shared" si="184"/>
        <v>432.73701149032104</v>
      </c>
      <c r="AA396" s="1133">
        <v>365.25422374429229</v>
      </c>
      <c r="AB396" s="1133">
        <v>387.69114014181821</v>
      </c>
      <c r="AC396" s="1133">
        <v>410.12805653934413</v>
      </c>
      <c r="AD396" s="89"/>
      <c r="AE396" s="89"/>
      <c r="AF396" s="89"/>
      <c r="AG396" s="89"/>
      <c r="AH396" s="89"/>
      <c r="AI396" s="89"/>
      <c r="AJ396" s="89"/>
      <c r="AK396" s="89"/>
      <c r="AL396" s="89"/>
      <c r="AM396" s="89"/>
      <c r="AN396" s="89"/>
      <c r="BR396" s="180">
        <v>2047</v>
      </c>
      <c r="BS396" s="22">
        <v>33</v>
      </c>
      <c r="BT396" s="198">
        <f t="shared" si="195"/>
        <v>157.70113326200487</v>
      </c>
      <c r="BU396" s="198">
        <f t="shared" si="196"/>
        <v>236.71362084506296</v>
      </c>
      <c r="BV396" s="205">
        <f t="shared" si="197"/>
        <v>394.41475410706784</v>
      </c>
      <c r="BY396" s="180">
        <v>2047</v>
      </c>
      <c r="BZ396" s="22">
        <v>33</v>
      </c>
      <c r="CA396" s="198">
        <f t="shared" ca="1" si="198"/>
        <v>-35.170913619686651</v>
      </c>
      <c r="CB396" s="198">
        <f t="shared" ca="1" si="199"/>
        <v>204.59568475492031</v>
      </c>
      <c r="CC396" s="198">
        <f t="shared" ca="1" si="210"/>
        <v>227.54140829410704</v>
      </c>
      <c r="CD396" s="205">
        <f t="shared" ca="1" si="200"/>
        <v>396.96617942934074</v>
      </c>
      <c r="CG396" s="180">
        <v>2047</v>
      </c>
      <c r="CH396" s="22">
        <v>33</v>
      </c>
      <c r="CI396" s="198">
        <f t="shared" ca="1" si="201"/>
        <v>24.187366685765639</v>
      </c>
      <c r="CJ396" s="198">
        <f t="shared" ca="1" si="202"/>
        <v>-83.545646991218064</v>
      </c>
      <c r="CK396" s="198">
        <f t="shared" ca="1" si="203"/>
        <v>228.85412542911092</v>
      </c>
      <c r="CL396" s="198">
        <f t="shared" ca="1" si="204"/>
        <v>225.70236884361898</v>
      </c>
      <c r="CM396" s="205">
        <f t="shared" ca="1" si="205"/>
        <v>395.19821396727752</v>
      </c>
      <c r="CP396" s="180">
        <v>2047</v>
      </c>
      <c r="CQ396" s="22">
        <v>33</v>
      </c>
      <c r="CR396" s="198">
        <f t="shared" ca="1" si="206"/>
        <v>242.79750986086785</v>
      </c>
      <c r="CS396" s="198">
        <f t="shared" ca="1" si="207"/>
        <v>1.618334562401528</v>
      </c>
      <c r="CT396" s="205">
        <f t="shared" ca="1" si="208"/>
        <v>392.92760187286825</v>
      </c>
      <c r="CZ396" s="164" t="b">
        <f t="shared" si="185"/>
        <v>1</v>
      </c>
      <c r="DA396" s="165" t="b">
        <f t="shared" si="185"/>
        <v>1</v>
      </c>
      <c r="DB396" s="166" t="b">
        <f t="shared" si="185"/>
        <v>1</v>
      </c>
      <c r="DC396" s="164">
        <f t="shared" si="186"/>
        <v>35</v>
      </c>
      <c r="DD396" s="166">
        <f t="shared" si="187"/>
        <v>374.58058713014259</v>
      </c>
      <c r="DE396" s="164">
        <f t="shared" si="188"/>
        <v>35</v>
      </c>
      <c r="DF396" s="166">
        <f t="shared" si="189"/>
        <v>403.65879931023181</v>
      </c>
      <c r="DG396" s="164">
        <f t="shared" si="190"/>
        <v>35</v>
      </c>
      <c r="DH396" s="166">
        <f t="shared" si="191"/>
        <v>432.73701149032104</v>
      </c>
      <c r="DI396" s="164">
        <f>IFERROR(INDEX(DC$359:DC$407,_xlfn.AGGREGATE(15,6,(ROW(DC$359:DC$407)-ROW(DC$359)+1)/(DC$359:DC$407&lt;&gt;""),ROWS(DI$1:DI38))),"")</f>
        <v>35</v>
      </c>
      <c r="DJ396" s="165">
        <f>IFERROR(INDEX(DD$359:DD$407,_xlfn.AGGREGATE(15,6,(ROW(DD$359:DD$407)-ROW(DD$359)+1)/(DD$359:DD$407&lt;&gt;""),ROWS(DJ$1:DJ38))),"")</f>
        <v>374.58058713014259</v>
      </c>
      <c r="DK396" s="166">
        <f t="shared" si="192"/>
        <v>396</v>
      </c>
      <c r="DL396" s="164">
        <f>IFERROR(INDEX(DE$359:DE$407,_xlfn.AGGREGATE(15,6,(ROW(DE$359:DE$407)-ROW(DE$359)+1)/(DE$359:DE$407&lt;&gt;""),ROWS(DL$1:DL38))),"")</f>
        <v>35</v>
      </c>
      <c r="DM396" s="165">
        <f>IFERROR(INDEX(DF$359:DF$407,_xlfn.AGGREGATE(15,6,(ROW(DF$359:DF$407)-ROW(DF$359)+1)/(DF$359:DF$407&lt;&gt;""),ROWS(DM$1:DM38))),"")</f>
        <v>403.65879931023181</v>
      </c>
      <c r="DN396" s="166">
        <f t="shared" si="193"/>
        <v>396</v>
      </c>
      <c r="DO396" s="164">
        <f>IFERROR(INDEX(DG$359:DG$407,_xlfn.AGGREGATE(15,6,(ROW(DG$359:DG$407)-ROW(DG$359)+1)/(DG$359:DG$407&lt;&gt;""),ROWS(DO$1:DO38))),"")</f>
        <v>35</v>
      </c>
      <c r="DP396" s="165">
        <f>IFERROR(INDEX(DH$359:DH$407,_xlfn.AGGREGATE(15,6,(ROW(DH$359:DH$407)-ROW(DH$359)+1)/(DH$359:DH$407&lt;&gt;""),ROWS(DP$1:DP38))),"")</f>
        <v>432.73701149032104</v>
      </c>
      <c r="DQ396" s="166">
        <f t="shared" si="194"/>
        <v>396</v>
      </c>
      <c r="DV396" s="145">
        <v>2052</v>
      </c>
      <c r="DW396" s="235">
        <f t="shared" ca="1" si="178"/>
        <v>415.38245991586422</v>
      </c>
      <c r="EA396" s="55"/>
      <c r="EB396" s="55"/>
      <c r="EC396" s="55"/>
      <c r="ED396" s="55"/>
      <c r="EE396" s="55"/>
    </row>
    <row r="397" spans="2:135" ht="13.8" x14ac:dyDescent="0.45">
      <c r="B397" s="128">
        <v>2050</v>
      </c>
      <c r="C397" s="1070">
        <v>368.7</v>
      </c>
      <c r="D397" s="1050">
        <v>412.03918193745801</v>
      </c>
      <c r="E397" s="1069"/>
      <c r="F397" s="1075"/>
      <c r="G397" s="1052"/>
      <c r="H397" s="1036"/>
      <c r="I397" s="1112">
        <v>441.8</v>
      </c>
      <c r="J397" s="247"/>
      <c r="K397" s="245"/>
      <c r="L397" s="246"/>
      <c r="M397" s="245"/>
      <c r="N397" s="29" t="s">
        <v>119</v>
      </c>
      <c r="O397" s="120"/>
      <c r="P397" s="120"/>
      <c r="Q397" s="120"/>
      <c r="R397" s="29">
        <v>36</v>
      </c>
      <c r="S397" s="238">
        <f t="shared" si="179"/>
        <v>368.7</v>
      </c>
      <c r="T397" s="238">
        <f t="shared" si="180"/>
        <v>441.8</v>
      </c>
      <c r="U397" s="238">
        <f t="shared" si="181"/>
        <v>30.014072593368258</v>
      </c>
      <c r="W397" s="238">
        <f t="shared" si="182"/>
        <v>377.49898805245101</v>
      </c>
      <c r="X397" s="238">
        <f t="shared" si="212"/>
        <v>407.51306064581928</v>
      </c>
      <c r="Y397" s="238">
        <f t="shared" si="184"/>
        <v>437.52713323918755</v>
      </c>
      <c r="AA397" s="1133">
        <v>368.69999999999993</v>
      </c>
      <c r="AB397" s="1133">
        <v>390.36959096872897</v>
      </c>
      <c r="AC397" s="1133">
        <v>412.03918193745801</v>
      </c>
      <c r="AD397" s="89"/>
      <c r="AE397" s="89"/>
      <c r="AF397" s="89"/>
      <c r="AG397" s="89"/>
      <c r="AH397" s="89"/>
      <c r="AI397" s="89"/>
      <c r="AJ397" s="89"/>
      <c r="AK397" s="89"/>
      <c r="AL397" s="89"/>
      <c r="AM397" s="89"/>
      <c r="AN397" s="89"/>
      <c r="BR397" s="180">
        <v>2048</v>
      </c>
      <c r="BS397" s="22">
        <v>34</v>
      </c>
      <c r="BT397" s="198">
        <f t="shared" si="195"/>
        <v>162.47995548206563</v>
      </c>
      <c r="BU397" s="198">
        <f t="shared" si="196"/>
        <v>236.71362084506296</v>
      </c>
      <c r="BV397" s="205">
        <f t="shared" si="197"/>
        <v>399.1935763271286</v>
      </c>
      <c r="BY397" s="180">
        <v>2048</v>
      </c>
      <c r="BZ397" s="22">
        <v>34</v>
      </c>
      <c r="CA397" s="198">
        <f t="shared" ca="1" si="198"/>
        <v>-37.334780665158647</v>
      </c>
      <c r="CB397" s="198">
        <f t="shared" ca="1" si="199"/>
        <v>210.79555398991789</v>
      </c>
      <c r="CC397" s="198">
        <f t="shared" ca="1" si="210"/>
        <v>227.54140829410704</v>
      </c>
      <c r="CD397" s="205">
        <f t="shared" ca="1" si="200"/>
        <v>401.0021816188663</v>
      </c>
      <c r="CG397" s="180">
        <v>2048</v>
      </c>
      <c r="CH397" s="22">
        <v>34</v>
      </c>
      <c r="CI397" s="198">
        <f t="shared" ca="1" si="201"/>
        <v>26.453523115934349</v>
      </c>
      <c r="CJ397" s="198">
        <f t="shared" ca="1" si="202"/>
        <v>-88.685737301972537</v>
      </c>
      <c r="CK397" s="198">
        <f t="shared" ca="1" si="203"/>
        <v>235.78909892696277</v>
      </c>
      <c r="CL397" s="198">
        <f t="shared" ca="1" si="204"/>
        <v>225.70236884361898</v>
      </c>
      <c r="CM397" s="205">
        <f t="shared" ca="1" si="205"/>
        <v>399.25925358454356</v>
      </c>
      <c r="CP397" s="180">
        <v>2048</v>
      </c>
      <c r="CQ397" s="22">
        <v>34</v>
      </c>
      <c r="CR397" s="198">
        <f t="shared" ca="1" si="206"/>
        <v>242.79750986086785</v>
      </c>
      <c r="CS397" s="198">
        <f t="shared" ca="1" si="207"/>
        <v>1.6421155462499766</v>
      </c>
      <c r="CT397" s="205">
        <f t="shared" ca="1" si="208"/>
        <v>398.7015655333131</v>
      </c>
      <c r="CZ397" s="164" t="b">
        <f t="shared" si="185"/>
        <v>1</v>
      </c>
      <c r="DA397" s="165" t="b">
        <f t="shared" si="185"/>
        <v>1</v>
      </c>
      <c r="DB397" s="166" t="b">
        <f t="shared" si="185"/>
        <v>1</v>
      </c>
      <c r="DC397" s="164">
        <f t="shared" si="186"/>
        <v>36</v>
      </c>
      <c r="DD397" s="166">
        <f t="shared" si="187"/>
        <v>377.49898805245101</v>
      </c>
      <c r="DE397" s="164">
        <f t="shared" si="188"/>
        <v>36</v>
      </c>
      <c r="DF397" s="166">
        <f t="shared" si="189"/>
        <v>407.51306064581928</v>
      </c>
      <c r="DG397" s="164">
        <f t="shared" si="190"/>
        <v>36</v>
      </c>
      <c r="DH397" s="166">
        <f t="shared" si="191"/>
        <v>437.52713323918755</v>
      </c>
      <c r="DI397" s="164">
        <f>IFERROR(INDEX(DC$359:DC$407,_xlfn.AGGREGATE(15,6,(ROW(DC$359:DC$407)-ROW(DC$359)+1)/(DC$359:DC$407&lt;&gt;""),ROWS(DI$1:DI39))),"")</f>
        <v>36</v>
      </c>
      <c r="DJ397" s="165">
        <f>IFERROR(INDEX(DD$359:DD$407,_xlfn.AGGREGATE(15,6,(ROW(DD$359:DD$407)-ROW(DD$359)+1)/(DD$359:DD$407&lt;&gt;""),ROWS(DJ$1:DJ39))),"")</f>
        <v>377.49898805245101</v>
      </c>
      <c r="DK397" s="166">
        <f t="shared" si="192"/>
        <v>397</v>
      </c>
      <c r="DL397" s="164">
        <f>IFERROR(INDEX(DE$359:DE$407,_xlfn.AGGREGATE(15,6,(ROW(DE$359:DE$407)-ROW(DE$359)+1)/(DE$359:DE$407&lt;&gt;""),ROWS(DL$1:DL39))),"")</f>
        <v>36</v>
      </c>
      <c r="DM397" s="165">
        <f>IFERROR(INDEX(DF$359:DF$407,_xlfn.AGGREGATE(15,6,(ROW(DF$359:DF$407)-ROW(DF$359)+1)/(DF$359:DF$407&lt;&gt;""),ROWS(DM$1:DM39))),"")</f>
        <v>407.51306064581928</v>
      </c>
      <c r="DN397" s="166">
        <f t="shared" si="193"/>
        <v>397</v>
      </c>
      <c r="DO397" s="164">
        <f>IFERROR(INDEX(DG$359:DG$407,_xlfn.AGGREGATE(15,6,(ROW(DG$359:DG$407)-ROW(DG$359)+1)/(DG$359:DG$407&lt;&gt;""),ROWS(DO$1:DO39))),"")</f>
        <v>36</v>
      </c>
      <c r="DP397" s="165">
        <f>IFERROR(INDEX(DH$359:DH$407,_xlfn.AGGREGATE(15,6,(ROW(DH$359:DH$407)-ROW(DH$359)+1)/(DH$359:DH$407&lt;&gt;""),ROWS(DP$1:DP39))),"")</f>
        <v>437.52713323918755</v>
      </c>
      <c r="DQ397" s="166">
        <f t="shared" si="194"/>
        <v>397</v>
      </c>
      <c r="DV397" s="145">
        <v>2053</v>
      </c>
      <c r="DW397" s="235">
        <f t="shared" ca="1" si="178"/>
        <v>419.40321493824274</v>
      </c>
      <c r="EA397" s="55"/>
      <c r="EB397" s="55"/>
      <c r="EC397" s="55"/>
      <c r="ED397" s="55"/>
      <c r="EE397" s="55"/>
    </row>
    <row r="398" spans="2:135" ht="13.8" x14ac:dyDescent="0.45">
      <c r="B398" s="128">
        <v>2051</v>
      </c>
      <c r="C398" s="1070">
        <v>373.350799086758</v>
      </c>
      <c r="D398" s="1050">
        <v>413.87809330095513</v>
      </c>
      <c r="E398" s="1069"/>
      <c r="F398" s="1075"/>
      <c r="G398" s="1052"/>
      <c r="H398" s="1036"/>
      <c r="I398" s="1112">
        <v>448.00588235294117</v>
      </c>
      <c r="J398" s="247"/>
      <c r="K398" s="245"/>
      <c r="L398" s="246"/>
      <c r="M398" s="245"/>
      <c r="N398" s="29" t="s">
        <v>119</v>
      </c>
      <c r="O398" s="120"/>
      <c r="P398" s="120"/>
      <c r="Q398" s="120"/>
      <c r="R398" s="29">
        <v>37</v>
      </c>
      <c r="S398" s="238">
        <f t="shared" si="179"/>
        <v>373.350799086758</v>
      </c>
      <c r="T398" s="238">
        <f t="shared" si="180"/>
        <v>448.00588235294117</v>
      </c>
      <c r="U398" s="238">
        <f t="shared" si="181"/>
        <v>30.515112866654007</v>
      </c>
      <c r="W398" s="238">
        <f t="shared" si="182"/>
        <v>381.22981204689739</v>
      </c>
      <c r="X398" s="238">
        <f t="shared" si="212"/>
        <v>411.74492491355142</v>
      </c>
      <c r="Y398" s="238">
        <f t="shared" si="184"/>
        <v>442.26003778020544</v>
      </c>
      <c r="AA398" s="1133">
        <v>373.350799086758</v>
      </c>
      <c r="AB398" s="1133">
        <v>393.61444619385657</v>
      </c>
      <c r="AC398" s="1133">
        <v>413.87809330095513</v>
      </c>
      <c r="AD398" s="89"/>
      <c r="AE398" s="89"/>
      <c r="AF398" s="89"/>
      <c r="AG398" s="89"/>
      <c r="AH398" s="89"/>
      <c r="AI398" s="89"/>
      <c r="AJ398" s="89"/>
      <c r="AK398" s="89"/>
      <c r="AL398" s="89"/>
      <c r="AM398" s="89"/>
      <c r="AN398" s="89"/>
      <c r="BR398" s="180">
        <v>2049</v>
      </c>
      <c r="BS398" s="22">
        <v>35</v>
      </c>
      <c r="BT398" s="198">
        <f t="shared" si="195"/>
        <v>167.25877770212637</v>
      </c>
      <c r="BU398" s="198">
        <f t="shared" si="196"/>
        <v>236.71362084506296</v>
      </c>
      <c r="BV398" s="205">
        <f t="shared" si="197"/>
        <v>403.9723985471893</v>
      </c>
      <c r="BY398" s="180">
        <v>2049</v>
      </c>
      <c r="BZ398" s="22">
        <v>35</v>
      </c>
      <c r="CA398" s="198">
        <f t="shared" ca="1" si="198"/>
        <v>-39.563240756764138</v>
      </c>
      <c r="CB398" s="198">
        <f t="shared" ca="1" si="199"/>
        <v>216.9954232249155</v>
      </c>
      <c r="CC398" s="198">
        <f t="shared" ca="1" si="210"/>
        <v>227.54140829410704</v>
      </c>
      <c r="CD398" s="205">
        <f t="shared" ca="1" si="200"/>
        <v>404.97359076225837</v>
      </c>
      <c r="CG398" s="180">
        <v>2049</v>
      </c>
      <c r="CH398" s="22">
        <v>35</v>
      </c>
      <c r="CI398" s="198">
        <f t="shared" ca="1" si="201"/>
        <v>28.856981569196144</v>
      </c>
      <c r="CJ398" s="198">
        <f t="shared" ca="1" si="202"/>
        <v>-93.979263144391311</v>
      </c>
      <c r="CK398" s="198">
        <f t="shared" ca="1" si="203"/>
        <v>242.72407242481461</v>
      </c>
      <c r="CL398" s="198">
        <f t="shared" ca="1" si="204"/>
        <v>225.70236884361898</v>
      </c>
      <c r="CM398" s="205">
        <f t="shared" ca="1" si="205"/>
        <v>403.30415969323843</v>
      </c>
      <c r="CP398" s="180">
        <v>2049</v>
      </c>
      <c r="CQ398" s="22">
        <v>35</v>
      </c>
      <c r="CR398" s="198">
        <f t="shared" ca="1" si="206"/>
        <v>242.79750986086785</v>
      </c>
      <c r="CS398" s="198">
        <f t="shared" ca="1" si="207"/>
        <v>1.6662459851529854</v>
      </c>
      <c r="CT398" s="205">
        <f t="shared" ca="1" si="208"/>
        <v>404.56037601081346</v>
      </c>
      <c r="CZ398" s="164" t="b">
        <f t="shared" si="185"/>
        <v>1</v>
      </c>
      <c r="DA398" s="165" t="b">
        <f t="shared" si="185"/>
        <v>1</v>
      </c>
      <c r="DB398" s="166" t="b">
        <f t="shared" si="185"/>
        <v>1</v>
      </c>
      <c r="DC398" s="164">
        <f t="shared" si="186"/>
        <v>37</v>
      </c>
      <c r="DD398" s="166">
        <f t="shared" si="187"/>
        <v>381.22981204689739</v>
      </c>
      <c r="DE398" s="164">
        <f t="shared" si="188"/>
        <v>37</v>
      </c>
      <c r="DF398" s="166">
        <f t="shared" si="189"/>
        <v>411.74492491355142</v>
      </c>
      <c r="DG398" s="164">
        <f t="shared" si="190"/>
        <v>37</v>
      </c>
      <c r="DH398" s="166">
        <f t="shared" si="191"/>
        <v>442.26003778020544</v>
      </c>
      <c r="DI398" s="164">
        <f>IFERROR(INDEX(DC$359:DC$407,_xlfn.AGGREGATE(15,6,(ROW(DC$359:DC$407)-ROW(DC$359)+1)/(DC$359:DC$407&lt;&gt;""),ROWS(DI$1:DI40))),"")</f>
        <v>37</v>
      </c>
      <c r="DJ398" s="165">
        <f>IFERROR(INDEX(DD$359:DD$407,_xlfn.AGGREGATE(15,6,(ROW(DD$359:DD$407)-ROW(DD$359)+1)/(DD$359:DD$407&lt;&gt;""),ROWS(DJ$1:DJ40))),"")</f>
        <v>381.22981204689739</v>
      </c>
      <c r="DK398" s="166">
        <f t="shared" si="192"/>
        <v>398</v>
      </c>
      <c r="DL398" s="164">
        <f>IFERROR(INDEX(DE$359:DE$407,_xlfn.AGGREGATE(15,6,(ROW(DE$359:DE$407)-ROW(DE$359)+1)/(DE$359:DE$407&lt;&gt;""),ROWS(DL$1:DL40))),"")</f>
        <v>37</v>
      </c>
      <c r="DM398" s="165">
        <f>IFERROR(INDEX(DF$359:DF$407,_xlfn.AGGREGATE(15,6,(ROW(DF$359:DF$407)-ROW(DF$359)+1)/(DF$359:DF$407&lt;&gt;""),ROWS(DM$1:DM40))),"")</f>
        <v>411.74492491355142</v>
      </c>
      <c r="DN398" s="166">
        <f t="shared" si="193"/>
        <v>398</v>
      </c>
      <c r="DO398" s="164">
        <f>IFERROR(INDEX(DG$359:DG$407,_xlfn.AGGREGATE(15,6,(ROW(DG$359:DG$407)-ROW(DG$359)+1)/(DG$359:DG$407&lt;&gt;""),ROWS(DO$1:DO40))),"")</f>
        <v>37</v>
      </c>
      <c r="DP398" s="165">
        <f>IFERROR(INDEX(DH$359:DH$407,_xlfn.AGGREGATE(15,6,(ROW(DH$359:DH$407)-ROW(DH$359)+1)/(DH$359:DH$407&lt;&gt;""),ROWS(DP$1:DP40))),"")</f>
        <v>442.26003778020544</v>
      </c>
      <c r="DQ398" s="166">
        <f t="shared" si="194"/>
        <v>398</v>
      </c>
      <c r="DV398" s="145">
        <v>2054</v>
      </c>
      <c r="DW398" s="235">
        <f t="shared" ca="1" si="178"/>
        <v>423.42802792603425</v>
      </c>
      <c r="EA398" s="55"/>
      <c r="EB398" s="55"/>
      <c r="EC398" s="55"/>
      <c r="ED398" s="55"/>
      <c r="EE398" s="55"/>
    </row>
    <row r="399" spans="2:135" ht="14.1" thickBot="1" x14ac:dyDescent="0.5">
      <c r="B399" s="128">
        <v>2052</v>
      </c>
      <c r="C399" s="1070">
        <v>377.39908675799086</v>
      </c>
      <c r="D399" s="1050">
        <v>415.65086044071717</v>
      </c>
      <c r="E399" s="1069"/>
      <c r="F399" s="1075"/>
      <c r="G399" s="1052"/>
      <c r="H399" s="1036"/>
      <c r="I399" s="1112">
        <v>454.21176470588239</v>
      </c>
      <c r="J399" s="247"/>
      <c r="K399" s="245"/>
      <c r="L399" s="246"/>
      <c r="M399" s="245"/>
      <c r="N399" s="29" t="s">
        <v>119</v>
      </c>
      <c r="O399" s="120"/>
      <c r="P399" s="120"/>
      <c r="Q399" s="120"/>
      <c r="R399" s="29">
        <v>38</v>
      </c>
      <c r="S399" s="238">
        <f t="shared" si="179"/>
        <v>377.39908675799086</v>
      </c>
      <c r="T399" s="238">
        <f t="shared" si="180"/>
        <v>454.21176470588239</v>
      </c>
      <c r="U399" s="238">
        <f t="shared" si="181"/>
        <v>31.358729107517966</v>
      </c>
      <c r="W399" s="238">
        <f t="shared" si="182"/>
        <v>384.39517486067882</v>
      </c>
      <c r="X399" s="238">
        <f t="shared" si="212"/>
        <v>415.75390396819677</v>
      </c>
      <c r="Y399" s="238">
        <f t="shared" si="184"/>
        <v>447.11263307571471</v>
      </c>
      <c r="AA399" s="1133">
        <v>377.39908675799086</v>
      </c>
      <c r="AB399" s="1133">
        <v>396.52497359935398</v>
      </c>
      <c r="AC399" s="1133">
        <v>415.65086044071711</v>
      </c>
      <c r="AD399" s="89"/>
      <c r="AE399" s="89"/>
      <c r="AF399" s="89"/>
      <c r="AG399" s="89"/>
      <c r="AH399" s="89"/>
      <c r="AI399" s="89"/>
      <c r="AJ399" s="89"/>
      <c r="AK399" s="89"/>
      <c r="AL399" s="89"/>
      <c r="AM399" s="89"/>
      <c r="AN399" s="89"/>
      <c r="BR399" s="180">
        <v>2050</v>
      </c>
      <c r="BS399" s="22">
        <v>36</v>
      </c>
      <c r="BT399" s="198">
        <f t="shared" si="195"/>
        <v>172.03759992218713</v>
      </c>
      <c r="BU399" s="198">
        <f t="shared" si="196"/>
        <v>236.71362084506296</v>
      </c>
      <c r="BV399" s="212">
        <f t="shared" si="197"/>
        <v>408.75122076725006</v>
      </c>
      <c r="BY399" s="180">
        <v>2050</v>
      </c>
      <c r="BZ399" s="22">
        <v>36</v>
      </c>
      <c r="CA399" s="198">
        <f t="shared" ca="1" si="198"/>
        <v>-41.856293894503118</v>
      </c>
      <c r="CB399" s="198">
        <f t="shared" ca="1" si="199"/>
        <v>223.19529245991308</v>
      </c>
      <c r="CC399" s="198">
        <f t="shared" ca="1" si="210"/>
        <v>227.54140829410704</v>
      </c>
      <c r="CD399" s="212">
        <f t="shared" ca="1" si="200"/>
        <v>408.880406859517</v>
      </c>
      <c r="CG399" s="180">
        <v>2050</v>
      </c>
      <c r="CH399" s="22">
        <v>36</v>
      </c>
      <c r="CI399" s="198">
        <f t="shared" ca="1" si="201"/>
        <v>31.40178034034788</v>
      </c>
      <c r="CJ399" s="198">
        <f t="shared" ca="1" si="202"/>
        <v>-99.426224518474399</v>
      </c>
      <c r="CK399" s="198">
        <f t="shared" ca="1" si="203"/>
        <v>249.65904592266645</v>
      </c>
      <c r="CL399" s="198">
        <f t="shared" ca="1" si="204"/>
        <v>225.70236884361898</v>
      </c>
      <c r="CM399" s="212">
        <f t="shared" ca="1" si="205"/>
        <v>407.33697058815892</v>
      </c>
      <c r="CP399" s="180">
        <v>2050</v>
      </c>
      <c r="CQ399" s="22">
        <v>36</v>
      </c>
      <c r="CR399" s="198">
        <f t="shared" ca="1" si="206"/>
        <v>242.79750986086785</v>
      </c>
      <c r="CS399" s="198">
        <f t="shared" ca="1" si="207"/>
        <v>1.6907310142570193</v>
      </c>
      <c r="CT399" s="212">
        <f t="shared" ca="1" si="208"/>
        <v>410.50528010614374</v>
      </c>
      <c r="CZ399" s="164" t="b">
        <f t="shared" ref="CZ399:DB407" si="213">ISNUMBER(W399)</f>
        <v>1</v>
      </c>
      <c r="DA399" s="165" t="b">
        <f t="shared" si="213"/>
        <v>1</v>
      </c>
      <c r="DB399" s="166" t="b">
        <f t="shared" si="213"/>
        <v>1</v>
      </c>
      <c r="DC399" s="164">
        <f t="shared" si="186"/>
        <v>38</v>
      </c>
      <c r="DD399" s="166">
        <f t="shared" si="187"/>
        <v>384.39517486067882</v>
      </c>
      <c r="DE399" s="164">
        <f t="shared" si="188"/>
        <v>38</v>
      </c>
      <c r="DF399" s="166">
        <f t="shared" si="189"/>
        <v>415.75390396819677</v>
      </c>
      <c r="DG399" s="164">
        <f t="shared" si="190"/>
        <v>38</v>
      </c>
      <c r="DH399" s="166">
        <f t="shared" si="191"/>
        <v>447.11263307571471</v>
      </c>
      <c r="DI399" s="164">
        <f>IFERROR(INDEX(DC$359:DC$407,_xlfn.AGGREGATE(15,6,(ROW(DC$359:DC$407)-ROW(DC$359)+1)/(DC$359:DC$407&lt;&gt;""),ROWS(DI$1:DI41))),"")</f>
        <v>38</v>
      </c>
      <c r="DJ399" s="165">
        <f>IFERROR(INDEX(DD$359:DD$407,_xlfn.AGGREGATE(15,6,(ROW(DD$359:DD$407)-ROW(DD$359)+1)/(DD$359:DD$407&lt;&gt;""),ROWS(DJ$1:DJ41))),"")</f>
        <v>384.39517486067882</v>
      </c>
      <c r="DK399" s="166">
        <f t="shared" si="192"/>
        <v>399</v>
      </c>
      <c r="DL399" s="164">
        <f>IFERROR(INDEX(DE$359:DE$407,_xlfn.AGGREGATE(15,6,(ROW(DE$359:DE$407)-ROW(DE$359)+1)/(DE$359:DE$407&lt;&gt;""),ROWS(DL$1:DL41))),"")</f>
        <v>38</v>
      </c>
      <c r="DM399" s="165">
        <f>IFERROR(INDEX(DF$359:DF$407,_xlfn.AGGREGATE(15,6,(ROW(DF$359:DF$407)-ROW(DF$359)+1)/(DF$359:DF$407&lt;&gt;""),ROWS(DM$1:DM41))),"")</f>
        <v>415.75390396819677</v>
      </c>
      <c r="DN399" s="166">
        <f t="shared" si="193"/>
        <v>399</v>
      </c>
      <c r="DO399" s="164">
        <f>IFERROR(INDEX(DG$359:DG$407,_xlfn.AGGREGATE(15,6,(ROW(DG$359:DG$407)-ROW(DG$359)+1)/(DG$359:DG$407&lt;&gt;""),ROWS(DO$1:DO41))),"")</f>
        <v>38</v>
      </c>
      <c r="DP399" s="165">
        <f>IFERROR(INDEX(DH$359:DH$407,_xlfn.AGGREGATE(15,6,(ROW(DH$359:DH$407)-ROW(DH$359)+1)/(DH$359:DH$407&lt;&gt;""),ROWS(DP$1:DP41))),"")</f>
        <v>447.11263307571471</v>
      </c>
      <c r="DQ399" s="166">
        <f t="shared" si="194"/>
        <v>399</v>
      </c>
      <c r="DV399" s="145">
        <v>2055</v>
      </c>
      <c r="DW399" s="235">
        <f t="shared" ca="1" si="178"/>
        <v>427.46093717403579</v>
      </c>
      <c r="EA399" s="55"/>
      <c r="EB399" s="55"/>
      <c r="EC399" s="55"/>
      <c r="ED399" s="55"/>
      <c r="EE399" s="55"/>
    </row>
    <row r="400" spans="2:135" ht="13.8" x14ac:dyDescent="0.45">
      <c r="B400" s="128">
        <v>2053</v>
      </c>
      <c r="C400" s="1070">
        <v>381.44737442922371</v>
      </c>
      <c r="D400" s="1050">
        <v>417.36355316762581</v>
      </c>
      <c r="E400" s="1069"/>
      <c r="F400" s="1075"/>
      <c r="G400" s="1052"/>
      <c r="H400" s="1036"/>
      <c r="I400" s="1112">
        <v>460.41764705882349</v>
      </c>
      <c r="J400" s="247"/>
      <c r="K400" s="245"/>
      <c r="L400" s="246"/>
      <c r="M400" s="245"/>
      <c r="N400" s="29" t="s">
        <v>119</v>
      </c>
      <c r="O400" s="120"/>
      <c r="P400" s="120"/>
      <c r="Q400" s="120"/>
      <c r="R400" s="29">
        <v>39</v>
      </c>
      <c r="S400" s="238">
        <f t="shared" si="179"/>
        <v>381.44737442922371</v>
      </c>
      <c r="T400" s="238">
        <f t="shared" si="180"/>
        <v>460.41764705882349</v>
      </c>
      <c r="U400" s="238">
        <f t="shared" si="181"/>
        <v>32.283347711499516</v>
      </c>
      <c r="W400" s="238">
        <f t="shared" si="182"/>
        <v>387.45951050705821</v>
      </c>
      <c r="X400" s="238">
        <f t="shared" si="212"/>
        <v>419.74285821855773</v>
      </c>
      <c r="Y400" s="238">
        <f t="shared" si="184"/>
        <v>452.02620593005724</v>
      </c>
      <c r="AA400" s="1133">
        <v>381.44737442922371</v>
      </c>
      <c r="AB400" s="1133">
        <v>399.40546379842476</v>
      </c>
      <c r="AC400" s="1133">
        <v>417.36355316762581</v>
      </c>
      <c r="AD400" s="89"/>
      <c r="AE400" s="89"/>
      <c r="AF400" s="89"/>
      <c r="AG400" s="89"/>
      <c r="AH400" s="89"/>
      <c r="AI400" s="89"/>
      <c r="AJ400" s="89"/>
      <c r="AK400" s="89"/>
      <c r="AL400" s="89"/>
      <c r="AM400" s="89"/>
      <c r="AN400" s="89"/>
      <c r="BR400" s="180">
        <v>2051</v>
      </c>
      <c r="BS400" s="22">
        <v>37</v>
      </c>
      <c r="BT400" s="198">
        <f t="shared" si="195"/>
        <v>176.81642214224789</v>
      </c>
      <c r="BU400" s="198">
        <f t="shared" si="196"/>
        <v>236.71362084506296</v>
      </c>
      <c r="BV400" s="285">
        <f t="shared" si="197"/>
        <v>413.53004298731082</v>
      </c>
      <c r="BY400" s="180">
        <v>2051</v>
      </c>
      <c r="BZ400" s="22">
        <v>37</v>
      </c>
      <c r="CA400" s="198">
        <f t="shared" ca="1" si="198"/>
        <v>-44.213940078375593</v>
      </c>
      <c r="CB400" s="198">
        <f t="shared" ca="1" si="199"/>
        <v>229.39516169491066</v>
      </c>
      <c r="CC400" s="198">
        <f t="shared" ca="1" si="210"/>
        <v>227.54140829410704</v>
      </c>
      <c r="CD400" s="285">
        <f t="shared" ca="1" si="200"/>
        <v>412.72262991064213</v>
      </c>
      <c r="CG400" s="180">
        <v>2051</v>
      </c>
      <c r="CH400" s="22">
        <v>37</v>
      </c>
      <c r="CI400" s="198">
        <f t="shared" ca="1" si="201"/>
        <v>34.091957724186408</v>
      </c>
      <c r="CJ400" s="198">
        <f t="shared" ca="1" si="202"/>
        <v>-105.0266214242218</v>
      </c>
      <c r="CK400" s="198">
        <f t="shared" ca="1" si="203"/>
        <v>256.59401942051829</v>
      </c>
      <c r="CL400" s="198">
        <f t="shared" ca="1" si="204"/>
        <v>225.70236884361898</v>
      </c>
      <c r="CM400" s="285">
        <f t="shared" ca="1" si="205"/>
        <v>411.36172456410191</v>
      </c>
      <c r="CP400" s="180">
        <v>2051</v>
      </c>
      <c r="CQ400" s="22">
        <v>37</v>
      </c>
      <c r="CR400" s="198">
        <f t="shared" ca="1" si="206"/>
        <v>242.79750986086785</v>
      </c>
      <c r="CS400" s="198">
        <f t="shared" ca="1" si="207"/>
        <v>1.7155758441681177</v>
      </c>
      <c r="CT400" s="285">
        <f t="shared" ca="1" si="208"/>
        <v>416.53754294147524</v>
      </c>
      <c r="CZ400" s="164" t="b">
        <f t="shared" si="213"/>
        <v>1</v>
      </c>
      <c r="DA400" s="165" t="b">
        <f t="shared" si="213"/>
        <v>1</v>
      </c>
      <c r="DB400" s="166" t="b">
        <f t="shared" si="213"/>
        <v>1</v>
      </c>
      <c r="DC400" s="164">
        <f t="shared" si="186"/>
        <v>39</v>
      </c>
      <c r="DD400" s="166">
        <f t="shared" si="187"/>
        <v>387.45951050705821</v>
      </c>
      <c r="DE400" s="164">
        <f t="shared" si="188"/>
        <v>39</v>
      </c>
      <c r="DF400" s="166">
        <f t="shared" si="189"/>
        <v>419.74285821855773</v>
      </c>
      <c r="DG400" s="164">
        <f t="shared" si="190"/>
        <v>39</v>
      </c>
      <c r="DH400" s="166">
        <f t="shared" si="191"/>
        <v>452.02620593005724</v>
      </c>
      <c r="DI400" s="164">
        <f>IFERROR(INDEX(DC$359:DC$407,_xlfn.AGGREGATE(15,6,(ROW(DC$359:DC$407)-ROW(DC$359)+1)/(DC$359:DC$407&lt;&gt;""),ROWS(DI$1:DI42))),"")</f>
        <v>39</v>
      </c>
      <c r="DJ400" s="165">
        <f>IFERROR(INDEX(DD$359:DD$407,_xlfn.AGGREGATE(15,6,(ROW(DD$359:DD$407)-ROW(DD$359)+1)/(DD$359:DD$407&lt;&gt;""),ROWS(DJ$1:DJ42))),"")</f>
        <v>387.45951050705821</v>
      </c>
      <c r="DK400" s="166">
        <f t="shared" si="192"/>
        <v>400</v>
      </c>
      <c r="DL400" s="164">
        <f>IFERROR(INDEX(DE$359:DE$407,_xlfn.AGGREGATE(15,6,(ROW(DE$359:DE$407)-ROW(DE$359)+1)/(DE$359:DE$407&lt;&gt;""),ROWS(DL$1:DL42))),"")</f>
        <v>39</v>
      </c>
      <c r="DM400" s="165">
        <f>IFERROR(INDEX(DF$359:DF$407,_xlfn.AGGREGATE(15,6,(ROW(DF$359:DF$407)-ROW(DF$359)+1)/(DF$359:DF$407&lt;&gt;""),ROWS(DM$1:DM42))),"")</f>
        <v>419.74285821855773</v>
      </c>
      <c r="DN400" s="166">
        <f t="shared" si="193"/>
        <v>400</v>
      </c>
      <c r="DO400" s="164">
        <f>IFERROR(INDEX(DG$359:DG$407,_xlfn.AGGREGATE(15,6,(ROW(DG$359:DG$407)-ROW(DG$359)+1)/(DG$359:DG$407&lt;&gt;""),ROWS(DO$1:DO42))),"")</f>
        <v>39</v>
      </c>
      <c r="DP400" s="165">
        <f>IFERROR(INDEX(DH$359:DH$407,_xlfn.AGGREGATE(15,6,(ROW(DH$359:DH$407)-ROW(DH$359)+1)/(DH$359:DH$407&lt;&gt;""),ROWS(DP$1:DP42))),"")</f>
        <v>452.02620593005724</v>
      </c>
      <c r="DQ400" s="166">
        <f t="shared" si="194"/>
        <v>400</v>
      </c>
      <c r="DV400" s="145">
        <v>2056</v>
      </c>
      <c r="DW400" s="235">
        <f t="shared" ca="1" si="178"/>
        <v>431.50598097704403</v>
      </c>
      <c r="EA400" s="55"/>
      <c r="EB400" s="55"/>
      <c r="EC400" s="55"/>
      <c r="ED400" s="55"/>
      <c r="EE400" s="55"/>
    </row>
    <row r="401" spans="1:135" ht="13.8" x14ac:dyDescent="0.45">
      <c r="B401" s="128">
        <v>2054</v>
      </c>
      <c r="C401" s="1070">
        <v>385.49566210045663</v>
      </c>
      <c r="D401" s="1050">
        <v>419.02224129256285</v>
      </c>
      <c r="E401" s="1069"/>
      <c r="F401" s="1075"/>
      <c r="G401" s="1052"/>
      <c r="H401" s="1036"/>
      <c r="I401" s="1112">
        <v>466.62352941176471</v>
      </c>
      <c r="J401" s="247"/>
      <c r="K401" s="245"/>
      <c r="L401" s="246"/>
      <c r="M401" s="245"/>
      <c r="N401" s="29" t="s">
        <v>119</v>
      </c>
      <c r="O401" s="120"/>
      <c r="P401" s="120"/>
      <c r="Q401" s="120"/>
      <c r="R401" s="29">
        <v>40</v>
      </c>
      <c r="S401" s="238">
        <f t="shared" si="179"/>
        <v>385.49566210045663</v>
      </c>
      <c r="T401" s="238">
        <f t="shared" si="180"/>
        <v>466.62352941176471</v>
      </c>
      <c r="U401" s="238">
        <f t="shared" si="181"/>
        <v>33.286041447851922</v>
      </c>
      <c r="W401" s="238">
        <f t="shared" si="182"/>
        <v>390.42776948707609</v>
      </c>
      <c r="X401" s="238">
        <f t="shared" si="212"/>
        <v>423.71381093492801</v>
      </c>
      <c r="Y401" s="238">
        <f t="shared" si="184"/>
        <v>456.99985238277992</v>
      </c>
      <c r="AA401" s="1133">
        <v>385.49566210045657</v>
      </c>
      <c r="AB401" s="1133">
        <v>402.25895169650971</v>
      </c>
      <c r="AC401" s="1133">
        <v>419.02224129256285</v>
      </c>
      <c r="AD401" s="89"/>
      <c r="AE401" s="89"/>
      <c r="AF401" s="89"/>
      <c r="AG401" s="89"/>
      <c r="AH401" s="89"/>
      <c r="AI401" s="89"/>
      <c r="AJ401" s="89"/>
      <c r="AK401" s="89"/>
      <c r="AL401" s="89"/>
      <c r="AM401" s="89"/>
      <c r="AN401" s="89"/>
      <c r="BR401" s="180">
        <v>2052</v>
      </c>
      <c r="BS401" s="22">
        <v>38</v>
      </c>
      <c r="BT401" s="198">
        <f t="shared" si="195"/>
        <v>181.59524436230862</v>
      </c>
      <c r="BU401" s="198">
        <f t="shared" si="196"/>
        <v>236.71362084506296</v>
      </c>
      <c r="BV401" s="241">
        <f t="shared" si="197"/>
        <v>418.30886520737158</v>
      </c>
      <c r="BY401" s="180">
        <v>2052</v>
      </c>
      <c r="BZ401" s="22">
        <v>38</v>
      </c>
      <c r="CA401" s="198">
        <f t="shared" ca="1" si="198"/>
        <v>-46.636179308381564</v>
      </c>
      <c r="CB401" s="198">
        <f t="shared" ca="1" si="199"/>
        <v>235.59503092990826</v>
      </c>
      <c r="CC401" s="198">
        <f t="shared" ca="1" si="210"/>
        <v>227.54140829410704</v>
      </c>
      <c r="CD401" s="241">
        <f t="shared" ca="1" si="200"/>
        <v>416.50025991563371</v>
      </c>
      <c r="CG401" s="180">
        <v>2052</v>
      </c>
      <c r="CH401" s="22">
        <v>38</v>
      </c>
      <c r="CI401" s="198">
        <f t="shared" ca="1" si="201"/>
        <v>36.931552015508593</v>
      </c>
      <c r="CJ401" s="198">
        <f t="shared" ca="1" si="202"/>
        <v>-110.7804538616335</v>
      </c>
      <c r="CK401" s="198">
        <f t="shared" ca="1" si="203"/>
        <v>263.52899291837014</v>
      </c>
      <c r="CL401" s="198">
        <f t="shared" ca="1" si="204"/>
        <v>225.70236884361898</v>
      </c>
      <c r="CM401" s="241">
        <f t="shared" ca="1" si="205"/>
        <v>415.38245991586422</v>
      </c>
      <c r="CP401" s="180">
        <v>2052</v>
      </c>
      <c r="CQ401" s="22">
        <v>38</v>
      </c>
      <c r="CR401" s="198">
        <f t="shared" ca="1" si="206"/>
        <v>242.79750986086785</v>
      </c>
      <c r="CS401" s="198">
        <f t="shared" ca="1" si="207"/>
        <v>1.7407857620607494</v>
      </c>
      <c r="CT401" s="241">
        <f t="shared" ca="1" si="208"/>
        <v>422.65844822960315</v>
      </c>
      <c r="CZ401" s="164" t="b">
        <f t="shared" si="213"/>
        <v>1</v>
      </c>
      <c r="DA401" s="165" t="b">
        <f t="shared" si="213"/>
        <v>1</v>
      </c>
      <c r="DB401" s="166" t="b">
        <f t="shared" si="213"/>
        <v>1</v>
      </c>
      <c r="DC401" s="164">
        <f t="shared" si="186"/>
        <v>40</v>
      </c>
      <c r="DD401" s="166">
        <f t="shared" si="187"/>
        <v>390.42776948707609</v>
      </c>
      <c r="DE401" s="164">
        <f t="shared" si="188"/>
        <v>40</v>
      </c>
      <c r="DF401" s="166">
        <f t="shared" si="189"/>
        <v>423.71381093492801</v>
      </c>
      <c r="DG401" s="164">
        <f t="shared" si="190"/>
        <v>40</v>
      </c>
      <c r="DH401" s="166">
        <f t="shared" si="191"/>
        <v>456.99985238277992</v>
      </c>
      <c r="DI401" s="164">
        <f>IFERROR(INDEX(DC$359:DC$407,_xlfn.AGGREGATE(15,6,(ROW(DC$359:DC$407)-ROW(DC$359)+1)/(DC$359:DC$407&lt;&gt;""),ROWS(DI$1:DI43))),"")</f>
        <v>40</v>
      </c>
      <c r="DJ401" s="165">
        <f>IFERROR(INDEX(DD$359:DD$407,_xlfn.AGGREGATE(15,6,(ROW(DD$359:DD$407)-ROW(DD$359)+1)/(DD$359:DD$407&lt;&gt;""),ROWS(DJ$1:DJ43))),"")</f>
        <v>390.42776948707609</v>
      </c>
      <c r="DK401" s="166">
        <f t="shared" si="192"/>
        <v>401</v>
      </c>
      <c r="DL401" s="164">
        <f>IFERROR(INDEX(DE$359:DE$407,_xlfn.AGGREGATE(15,6,(ROW(DE$359:DE$407)-ROW(DE$359)+1)/(DE$359:DE$407&lt;&gt;""),ROWS(DL$1:DL43))),"")</f>
        <v>40</v>
      </c>
      <c r="DM401" s="165">
        <f>IFERROR(INDEX(DF$359:DF$407,_xlfn.AGGREGATE(15,6,(ROW(DF$359:DF$407)-ROW(DF$359)+1)/(DF$359:DF$407&lt;&gt;""),ROWS(DM$1:DM43))),"")</f>
        <v>423.71381093492801</v>
      </c>
      <c r="DN401" s="166">
        <f t="shared" si="193"/>
        <v>401</v>
      </c>
      <c r="DO401" s="164">
        <f>IFERROR(INDEX(DG$359:DG$407,_xlfn.AGGREGATE(15,6,(ROW(DG$359:DG$407)-ROW(DG$359)+1)/(DG$359:DG$407&lt;&gt;""),ROWS(DO$1:DO43))),"")</f>
        <v>40</v>
      </c>
      <c r="DP401" s="165">
        <f>IFERROR(INDEX(DH$359:DH$407,_xlfn.AGGREGATE(15,6,(ROW(DH$359:DH$407)-ROW(DH$359)+1)/(DH$359:DH$407&lt;&gt;""),ROWS(DP$1:DP43))),"")</f>
        <v>456.99985238277992</v>
      </c>
      <c r="DQ401" s="166">
        <f t="shared" si="194"/>
        <v>401</v>
      </c>
      <c r="DV401" s="145">
        <v>2057</v>
      </c>
      <c r="DW401" s="235">
        <f t="shared" ca="1" si="178"/>
        <v>435.56719762985585</v>
      </c>
      <c r="EA401" s="55"/>
      <c r="EB401" s="55"/>
      <c r="EC401" s="55"/>
      <c r="ED401" s="55"/>
      <c r="EE401" s="55"/>
    </row>
    <row r="402" spans="1:135" ht="13.8" x14ac:dyDescent="0.45">
      <c r="B402" s="128">
        <v>2055</v>
      </c>
      <c r="C402" s="1070">
        <v>389.54394977168948</v>
      </c>
      <c r="D402" s="1050">
        <v>420.6329946264101</v>
      </c>
      <c r="E402" s="1069"/>
      <c r="F402" s="1075"/>
      <c r="G402" s="1052"/>
      <c r="H402" s="1036"/>
      <c r="I402" s="1112">
        <v>472.82941176470587</v>
      </c>
      <c r="J402" s="247"/>
      <c r="K402" s="245"/>
      <c r="L402" s="246"/>
      <c r="M402" s="245"/>
      <c r="N402" s="29" t="s">
        <v>119</v>
      </c>
      <c r="O402" s="120"/>
      <c r="P402" s="120"/>
      <c r="Q402" s="120"/>
      <c r="R402" s="29">
        <v>41</v>
      </c>
      <c r="S402" s="238">
        <f t="shared" si="179"/>
        <v>389.54394977168948</v>
      </c>
      <c r="T402" s="238">
        <f t="shared" si="180"/>
        <v>472.82941176470587</v>
      </c>
      <c r="U402" s="238">
        <f t="shared" si="181"/>
        <v>34.363195510836853</v>
      </c>
      <c r="W402" s="238">
        <f t="shared" si="182"/>
        <v>393.30558987676488</v>
      </c>
      <c r="X402" s="238">
        <f t="shared" si="212"/>
        <v>427.66878538760176</v>
      </c>
      <c r="Y402" s="238">
        <f t="shared" si="184"/>
        <v>462.03198089843863</v>
      </c>
      <c r="AA402" s="1133">
        <v>389.54394977168943</v>
      </c>
      <c r="AB402" s="1133">
        <v>405.08847219904976</v>
      </c>
      <c r="AC402" s="1133">
        <v>420.6329946264101</v>
      </c>
      <c r="AD402" s="89"/>
      <c r="AE402" s="89"/>
      <c r="AF402" s="89"/>
      <c r="AG402" s="89"/>
      <c r="AH402" s="89"/>
      <c r="AI402" s="89"/>
      <c r="AJ402" s="89"/>
      <c r="AK402" s="89"/>
      <c r="AL402" s="89"/>
      <c r="AM402" s="89"/>
      <c r="AN402" s="89"/>
      <c r="BR402" s="180">
        <v>2053</v>
      </c>
      <c r="BS402" s="22">
        <v>39</v>
      </c>
      <c r="BT402" s="198">
        <f t="shared" si="195"/>
        <v>186.37406658236938</v>
      </c>
      <c r="BU402" s="198">
        <f t="shared" si="196"/>
        <v>236.71362084506296</v>
      </c>
      <c r="BV402" s="241">
        <f t="shared" si="197"/>
        <v>423.08768742743234</v>
      </c>
      <c r="BY402" s="180">
        <v>2053</v>
      </c>
      <c r="BZ402" s="22">
        <v>39</v>
      </c>
      <c r="CA402" s="198">
        <f t="shared" ca="1" si="198"/>
        <v>-49.123011584521024</v>
      </c>
      <c r="CB402" s="198">
        <f t="shared" ca="1" si="199"/>
        <v>241.79490016490584</v>
      </c>
      <c r="CC402" s="198">
        <f t="shared" ca="1" si="210"/>
        <v>227.54140829410704</v>
      </c>
      <c r="CD402" s="241">
        <f t="shared" ca="1" si="200"/>
        <v>420.21329687449185</v>
      </c>
      <c r="CG402" s="180">
        <v>2053</v>
      </c>
      <c r="CH402" s="22">
        <v>39</v>
      </c>
      <c r="CI402" s="198">
        <f t="shared" ca="1" si="201"/>
        <v>39.924601509111277</v>
      </c>
      <c r="CJ402" s="198">
        <f t="shared" ca="1" si="202"/>
        <v>-116.68772183070953</v>
      </c>
      <c r="CK402" s="198">
        <f t="shared" ca="1" si="203"/>
        <v>270.46396641622198</v>
      </c>
      <c r="CL402" s="198">
        <f t="shared" ca="1" si="204"/>
        <v>225.70236884361898</v>
      </c>
      <c r="CM402" s="241">
        <f t="shared" ca="1" si="205"/>
        <v>419.40321493824274</v>
      </c>
      <c r="CP402" s="180">
        <v>2053</v>
      </c>
      <c r="CQ402" s="22">
        <v>39</v>
      </c>
      <c r="CR402" s="198">
        <f t="shared" ca="1" si="206"/>
        <v>242.79750986086785</v>
      </c>
      <c r="CS402" s="198">
        <f t="shared" ca="1" si="207"/>
        <v>1.7663661328029674</v>
      </c>
      <c r="CT402" s="241">
        <f t="shared" ca="1" si="208"/>
        <v>428.86929854713151</v>
      </c>
      <c r="CZ402" s="164" t="b">
        <f t="shared" si="213"/>
        <v>1</v>
      </c>
      <c r="DA402" s="165" t="b">
        <f t="shared" si="213"/>
        <v>1</v>
      </c>
      <c r="DB402" s="166" t="b">
        <f t="shared" si="213"/>
        <v>1</v>
      </c>
      <c r="DC402" s="164">
        <f t="shared" si="186"/>
        <v>41</v>
      </c>
      <c r="DD402" s="166">
        <f t="shared" si="187"/>
        <v>393.30558987676488</v>
      </c>
      <c r="DE402" s="164">
        <f t="shared" si="188"/>
        <v>41</v>
      </c>
      <c r="DF402" s="166">
        <f t="shared" si="189"/>
        <v>427.66878538760176</v>
      </c>
      <c r="DG402" s="164">
        <f t="shared" si="190"/>
        <v>41</v>
      </c>
      <c r="DH402" s="166">
        <f t="shared" si="191"/>
        <v>462.03198089843863</v>
      </c>
      <c r="DI402" s="164">
        <f>IFERROR(INDEX(DC$359:DC$407,_xlfn.AGGREGATE(15,6,(ROW(DC$359:DC$407)-ROW(DC$359)+1)/(DC$359:DC$407&lt;&gt;""),ROWS(DI$1:DI44))),"")</f>
        <v>41</v>
      </c>
      <c r="DJ402" s="165">
        <f>IFERROR(INDEX(DD$359:DD$407,_xlfn.AGGREGATE(15,6,(ROW(DD$359:DD$407)-ROW(DD$359)+1)/(DD$359:DD$407&lt;&gt;""),ROWS(DJ$1:DJ44))),"")</f>
        <v>393.30558987676488</v>
      </c>
      <c r="DK402" s="166">
        <f t="shared" si="192"/>
        <v>402</v>
      </c>
      <c r="DL402" s="164">
        <f>IFERROR(INDEX(DE$359:DE$407,_xlfn.AGGREGATE(15,6,(ROW(DE$359:DE$407)-ROW(DE$359)+1)/(DE$359:DE$407&lt;&gt;""),ROWS(DL$1:DL44))),"")</f>
        <v>41</v>
      </c>
      <c r="DM402" s="165">
        <f>IFERROR(INDEX(DF$359:DF$407,_xlfn.AGGREGATE(15,6,(ROW(DF$359:DF$407)-ROW(DF$359)+1)/(DF$359:DF$407&lt;&gt;""),ROWS(DM$1:DM44))),"")</f>
        <v>427.66878538760176</v>
      </c>
      <c r="DN402" s="166">
        <f t="shared" si="193"/>
        <v>402</v>
      </c>
      <c r="DO402" s="164">
        <f>IFERROR(INDEX(DG$359:DG$407,_xlfn.AGGREGATE(15,6,(ROW(DG$359:DG$407)-ROW(DG$359)+1)/(DG$359:DG$407&lt;&gt;""),ROWS(DO$1:DO44))),"")</f>
        <v>41</v>
      </c>
      <c r="DP402" s="165">
        <f>IFERROR(INDEX(DH$359:DH$407,_xlfn.AGGREGATE(15,6,(ROW(DH$359:DH$407)-ROW(DH$359)+1)/(DH$359:DH$407&lt;&gt;""),ROWS(DP$1:DP44))),"")</f>
        <v>462.03198089843863</v>
      </c>
      <c r="DQ402" s="166">
        <f t="shared" si="194"/>
        <v>402</v>
      </c>
      <c r="DV402" s="145">
        <v>2058</v>
      </c>
      <c r="DW402" s="235">
        <f t="shared" ca="1" si="178"/>
        <v>439.64862542726814</v>
      </c>
      <c r="EA402" s="55"/>
      <c r="EB402" s="55"/>
      <c r="EC402" s="55"/>
      <c r="ED402" s="55"/>
      <c r="EE402" s="55"/>
    </row>
    <row r="403" spans="1:135" ht="13.8" x14ac:dyDescent="0.45">
      <c r="B403" s="128">
        <v>2056</v>
      </c>
      <c r="C403" s="1070">
        <v>393.5922374429224</v>
      </c>
      <c r="D403" s="1050">
        <v>422.20188298004911</v>
      </c>
      <c r="E403" s="1069"/>
      <c r="F403" s="1075"/>
      <c r="G403" s="1052"/>
      <c r="H403" s="1036"/>
      <c r="I403" s="1112">
        <v>479.03529411764703</v>
      </c>
      <c r="J403" s="247"/>
      <c r="K403" s="245"/>
      <c r="L403" s="246"/>
      <c r="M403" s="245"/>
      <c r="N403" s="29" t="s">
        <v>119</v>
      </c>
      <c r="O403" s="120"/>
      <c r="P403" s="120"/>
      <c r="Q403" s="120"/>
      <c r="R403" s="29">
        <v>42</v>
      </c>
      <c r="S403" s="238">
        <f t="shared" si="179"/>
        <v>393.5922374429224</v>
      </c>
      <c r="T403" s="238">
        <f t="shared" si="180"/>
        <v>479.03529411764703</v>
      </c>
      <c r="U403" s="238">
        <f t="shared" si="181"/>
        <v>35.510662519579917</v>
      </c>
      <c r="W403" s="238">
        <f t="shared" si="182"/>
        <v>396.0991423272929</v>
      </c>
      <c r="X403" s="238">
        <f t="shared" si="212"/>
        <v>431.60980484687281</v>
      </c>
      <c r="Y403" s="238">
        <f t="shared" si="184"/>
        <v>467.12046736645271</v>
      </c>
      <c r="AA403" s="1133">
        <v>393.5922374429224</v>
      </c>
      <c r="AB403" s="1133">
        <v>407.89706021148572</v>
      </c>
      <c r="AC403" s="1133">
        <v>422.20188298004905</v>
      </c>
      <c r="AD403" s="89"/>
      <c r="AE403" s="89"/>
      <c r="AF403" s="89"/>
      <c r="AG403" s="89"/>
      <c r="AH403" s="89"/>
      <c r="AI403" s="89"/>
      <c r="AJ403" s="89"/>
      <c r="AK403" s="89"/>
      <c r="AL403" s="89"/>
      <c r="AM403" s="89"/>
      <c r="AN403" s="89"/>
      <c r="BR403" s="180">
        <v>2054</v>
      </c>
      <c r="BS403" s="22">
        <v>40</v>
      </c>
      <c r="BT403" s="198">
        <f t="shared" si="195"/>
        <v>191.15288880243014</v>
      </c>
      <c r="BU403" s="198">
        <f t="shared" si="196"/>
        <v>236.71362084506296</v>
      </c>
      <c r="BV403" s="241">
        <f t="shared" si="197"/>
        <v>427.8665096474931</v>
      </c>
      <c r="BY403" s="180">
        <v>2054</v>
      </c>
      <c r="BZ403" s="22">
        <v>40</v>
      </c>
      <c r="CA403" s="198">
        <f t="shared" ca="1" si="198"/>
        <v>-51.674436906793972</v>
      </c>
      <c r="CB403" s="198">
        <f t="shared" ca="1" si="199"/>
        <v>247.99476939990342</v>
      </c>
      <c r="CC403" s="198">
        <f t="shared" ca="1" si="210"/>
        <v>227.54140829410704</v>
      </c>
      <c r="CD403" s="241">
        <f t="shared" ca="1" si="200"/>
        <v>423.86174078721649</v>
      </c>
      <c r="CG403" s="180">
        <v>2054</v>
      </c>
      <c r="CH403" s="22">
        <v>40</v>
      </c>
      <c r="CI403" s="198">
        <f t="shared" ca="1" si="201"/>
        <v>43.075144499791328</v>
      </c>
      <c r="CJ403" s="198">
        <f t="shared" ca="1" si="202"/>
        <v>-122.74842533144988</v>
      </c>
      <c r="CK403" s="198">
        <f t="shared" ca="1" si="203"/>
        <v>277.39893991407382</v>
      </c>
      <c r="CL403" s="198">
        <f t="shared" ca="1" si="204"/>
        <v>225.70236884361898</v>
      </c>
      <c r="CM403" s="241">
        <f t="shared" ca="1" si="205"/>
        <v>423.42802792603425</v>
      </c>
      <c r="CP403" s="180">
        <v>2054</v>
      </c>
      <c r="CQ403" s="22">
        <v>40</v>
      </c>
      <c r="CR403" s="198">
        <f t="shared" ca="1" si="206"/>
        <v>242.79750986086785</v>
      </c>
      <c r="CS403" s="198">
        <f t="shared" ca="1" si="207"/>
        <v>1.7923224000980931</v>
      </c>
      <c r="CT403" s="241">
        <f t="shared" ca="1" si="208"/>
        <v>435.17141561167108</v>
      </c>
      <c r="CZ403" s="164" t="b">
        <f t="shared" si="213"/>
        <v>1</v>
      </c>
      <c r="DA403" s="165" t="b">
        <f t="shared" si="213"/>
        <v>1</v>
      </c>
      <c r="DB403" s="166" t="b">
        <f t="shared" si="213"/>
        <v>1</v>
      </c>
      <c r="DC403" s="164">
        <f t="shared" si="186"/>
        <v>42</v>
      </c>
      <c r="DD403" s="166">
        <f t="shared" si="187"/>
        <v>396.0991423272929</v>
      </c>
      <c r="DE403" s="164">
        <f t="shared" si="188"/>
        <v>42</v>
      </c>
      <c r="DF403" s="166">
        <f t="shared" si="189"/>
        <v>431.60980484687281</v>
      </c>
      <c r="DG403" s="164">
        <f t="shared" si="190"/>
        <v>42</v>
      </c>
      <c r="DH403" s="166">
        <f t="shared" si="191"/>
        <v>467.12046736645271</v>
      </c>
      <c r="DI403" s="164">
        <f>IFERROR(INDEX(DC$359:DC$407,_xlfn.AGGREGATE(15,6,(ROW(DC$359:DC$407)-ROW(DC$359)+1)/(DC$359:DC$407&lt;&gt;""),ROWS(DI$1:DI45))),"")</f>
        <v>42</v>
      </c>
      <c r="DJ403" s="165">
        <f>IFERROR(INDEX(DD$359:DD$407,_xlfn.AGGREGATE(15,6,(ROW(DD$359:DD$407)-ROW(DD$359)+1)/(DD$359:DD$407&lt;&gt;""),ROWS(DJ$1:DJ45))),"")</f>
        <v>396.0991423272929</v>
      </c>
      <c r="DK403" s="166">
        <f t="shared" si="192"/>
        <v>403</v>
      </c>
      <c r="DL403" s="164">
        <f>IFERROR(INDEX(DE$359:DE$407,_xlfn.AGGREGATE(15,6,(ROW(DE$359:DE$407)-ROW(DE$359)+1)/(DE$359:DE$407&lt;&gt;""),ROWS(DL$1:DL45))),"")</f>
        <v>42</v>
      </c>
      <c r="DM403" s="165">
        <f>IFERROR(INDEX(DF$359:DF$407,_xlfn.AGGREGATE(15,6,(ROW(DF$359:DF$407)-ROW(DF$359)+1)/(DF$359:DF$407&lt;&gt;""),ROWS(DM$1:DM45))),"")</f>
        <v>431.60980484687281</v>
      </c>
      <c r="DN403" s="166">
        <f t="shared" si="193"/>
        <v>403</v>
      </c>
      <c r="DO403" s="164">
        <f>IFERROR(INDEX(DG$359:DG$407,_xlfn.AGGREGATE(15,6,(ROW(DG$359:DG$407)-ROW(DG$359)+1)/(DG$359:DG$407&lt;&gt;""),ROWS(DO$1:DO45))),"")</f>
        <v>42</v>
      </c>
      <c r="DP403" s="165">
        <f>IFERROR(INDEX(DH$359:DH$407,_xlfn.AGGREGATE(15,6,(ROW(DH$359:DH$407)-ROW(DH$359)+1)/(DH$359:DH$407&lt;&gt;""),ROWS(DP$1:DP45))),"")</f>
        <v>467.12046736645271</v>
      </c>
      <c r="DQ403" s="166">
        <f t="shared" si="194"/>
        <v>403</v>
      </c>
      <c r="DV403" s="145">
        <v>2059</v>
      </c>
      <c r="DW403" s="235">
        <f t="shared" ca="1" si="178"/>
        <v>443.75430266407778</v>
      </c>
      <c r="EA403" s="55"/>
      <c r="EB403" s="55"/>
      <c r="EC403" s="55"/>
      <c r="ED403" s="55"/>
      <c r="EE403" s="55"/>
    </row>
    <row r="404" spans="1:135" ht="13.8" x14ac:dyDescent="0.45">
      <c r="B404" s="128">
        <v>2057</v>
      </c>
      <c r="C404" s="1070">
        <v>397.64052511415525</v>
      </c>
      <c r="D404" s="1050">
        <v>423.7349761643618</v>
      </c>
      <c r="E404" s="1069"/>
      <c r="F404" s="1075"/>
      <c r="G404" s="1052"/>
      <c r="H404" s="1036"/>
      <c r="I404" s="1112">
        <v>485.24117647058824</v>
      </c>
      <c r="J404" s="247"/>
      <c r="K404" s="245"/>
      <c r="L404" s="246"/>
      <c r="M404" s="245"/>
      <c r="N404" s="29" t="s">
        <v>119</v>
      </c>
      <c r="O404" s="120"/>
      <c r="P404" s="120"/>
      <c r="Q404" s="120"/>
      <c r="R404" s="29">
        <v>43</v>
      </c>
      <c r="S404" s="238">
        <f t="shared" si="179"/>
        <v>397.64052511415525</v>
      </c>
      <c r="T404" s="238">
        <f t="shared" si="180"/>
        <v>485.24117647058824</v>
      </c>
      <c r="U404" s="238">
        <f t="shared" si="181"/>
        <v>36.723905580535231</v>
      </c>
      <c r="W404" s="238">
        <f t="shared" si="182"/>
        <v>398.81498700249983</v>
      </c>
      <c r="X404" s="238">
        <f t="shared" si="212"/>
        <v>435.53889258303508</v>
      </c>
      <c r="Y404" s="238">
        <f t="shared" si="184"/>
        <v>472.26279816357032</v>
      </c>
      <c r="AA404" s="1133">
        <v>397.64052511415525</v>
      </c>
      <c r="AB404" s="1133">
        <v>410.68775063925852</v>
      </c>
      <c r="AC404" s="1133">
        <v>423.7349761643618</v>
      </c>
      <c r="AD404" s="89"/>
      <c r="AE404" s="89"/>
      <c r="AF404" s="89"/>
      <c r="AG404" s="89"/>
      <c r="AH404" s="89"/>
      <c r="AI404" s="89"/>
      <c r="AJ404" s="89"/>
      <c r="AK404" s="89"/>
      <c r="AL404" s="89"/>
      <c r="AM404" s="89"/>
      <c r="AN404" s="89"/>
      <c r="BR404" s="180">
        <v>2055</v>
      </c>
      <c r="BS404" s="22">
        <v>41</v>
      </c>
      <c r="BT404" s="198">
        <f t="shared" si="195"/>
        <v>195.9317110224909</v>
      </c>
      <c r="BU404" s="198">
        <f t="shared" si="196"/>
        <v>236.71362084506296</v>
      </c>
      <c r="BV404" s="241">
        <f t="shared" si="197"/>
        <v>432.64533186755386</v>
      </c>
      <c r="BY404" s="180">
        <v>2055</v>
      </c>
      <c r="BZ404" s="22">
        <v>41</v>
      </c>
      <c r="CA404" s="198">
        <f t="shared" ca="1" si="198"/>
        <v>-54.290455275200422</v>
      </c>
      <c r="CB404" s="198">
        <f t="shared" ca="1" si="199"/>
        <v>254.194638634901</v>
      </c>
      <c r="CC404" s="198">
        <f t="shared" ca="1" si="210"/>
        <v>227.54140829410704</v>
      </c>
      <c r="CD404" s="241">
        <f t="shared" ca="1" si="200"/>
        <v>427.44559165380758</v>
      </c>
      <c r="CG404" s="180">
        <v>2055</v>
      </c>
      <c r="CH404" s="22">
        <v>41</v>
      </c>
      <c r="CI404" s="198">
        <f t="shared" ca="1" si="201"/>
        <v>46.387219282345598</v>
      </c>
      <c r="CJ404" s="198">
        <f t="shared" ca="1" si="202"/>
        <v>-128.96256436385451</v>
      </c>
      <c r="CK404" s="198">
        <f t="shared" ca="1" si="203"/>
        <v>284.33391341192572</v>
      </c>
      <c r="CL404" s="198">
        <f t="shared" ca="1" si="204"/>
        <v>225.70236884361898</v>
      </c>
      <c r="CM404" s="241">
        <f t="shared" ca="1" si="205"/>
        <v>427.46093717403579</v>
      </c>
      <c r="CP404" s="180">
        <v>2055</v>
      </c>
      <c r="CQ404" s="22">
        <v>41</v>
      </c>
      <c r="CR404" s="198">
        <f t="shared" ca="1" si="206"/>
        <v>242.79750986086785</v>
      </c>
      <c r="CS404" s="198">
        <f t="shared" ca="1" si="207"/>
        <v>1.8186600876431793</v>
      </c>
      <c r="CT404" s="241">
        <f t="shared" ca="1" si="208"/>
        <v>441.56614056311162</v>
      </c>
      <c r="CZ404" s="164" t="b">
        <f t="shared" si="213"/>
        <v>1</v>
      </c>
      <c r="DA404" s="165" t="b">
        <f t="shared" si="213"/>
        <v>1</v>
      </c>
      <c r="DB404" s="166" t="b">
        <f t="shared" si="213"/>
        <v>1</v>
      </c>
      <c r="DC404" s="164">
        <f t="shared" si="186"/>
        <v>43</v>
      </c>
      <c r="DD404" s="166">
        <f t="shared" si="187"/>
        <v>398.81498700249983</v>
      </c>
      <c r="DE404" s="164">
        <f t="shared" si="188"/>
        <v>43</v>
      </c>
      <c r="DF404" s="166">
        <f t="shared" si="189"/>
        <v>435.53889258303508</v>
      </c>
      <c r="DG404" s="164">
        <f t="shared" si="190"/>
        <v>43</v>
      </c>
      <c r="DH404" s="166">
        <f t="shared" si="191"/>
        <v>472.26279816357032</v>
      </c>
      <c r="DI404" s="164">
        <f>IFERROR(INDEX(DC$359:DC$407,_xlfn.AGGREGATE(15,6,(ROW(DC$359:DC$407)-ROW(DC$359)+1)/(DC$359:DC$407&lt;&gt;""),ROWS(DI$1:DI46))),"")</f>
        <v>43</v>
      </c>
      <c r="DJ404" s="165">
        <f>IFERROR(INDEX(DD$359:DD$407,_xlfn.AGGREGATE(15,6,(ROW(DD$359:DD$407)-ROW(DD$359)+1)/(DD$359:DD$407&lt;&gt;""),ROWS(DJ$1:DJ46))),"")</f>
        <v>398.81498700249983</v>
      </c>
      <c r="DK404" s="166">
        <f t="shared" si="192"/>
        <v>404</v>
      </c>
      <c r="DL404" s="164">
        <f>IFERROR(INDEX(DE$359:DE$407,_xlfn.AGGREGATE(15,6,(ROW(DE$359:DE$407)-ROW(DE$359)+1)/(DE$359:DE$407&lt;&gt;""),ROWS(DL$1:DL46))),"")</f>
        <v>43</v>
      </c>
      <c r="DM404" s="165">
        <f>IFERROR(INDEX(DF$359:DF$407,_xlfn.AGGREGATE(15,6,(ROW(DF$359:DF$407)-ROW(DF$359)+1)/(DF$359:DF$407&lt;&gt;""),ROWS(DM$1:DM46))),"")</f>
        <v>435.53889258303508</v>
      </c>
      <c r="DN404" s="166">
        <f t="shared" si="193"/>
        <v>404</v>
      </c>
      <c r="DO404" s="164">
        <f>IFERROR(INDEX(DG$359:DG$407,_xlfn.AGGREGATE(15,6,(ROW(DG$359:DG$407)-ROW(DG$359)+1)/(DG$359:DG$407&lt;&gt;""),ROWS(DO$1:DO46))),"")</f>
        <v>43</v>
      </c>
      <c r="DP404" s="165">
        <f>IFERROR(INDEX(DH$359:DH$407,_xlfn.AGGREGATE(15,6,(ROW(DH$359:DH$407)-ROW(DH$359)+1)/(DH$359:DH$407&lt;&gt;""),ROWS(DP$1:DP46))),"")</f>
        <v>472.26279816357032</v>
      </c>
      <c r="DQ404" s="166">
        <f t="shared" si="194"/>
        <v>404</v>
      </c>
      <c r="DV404" s="145">
        <v>2060</v>
      </c>
      <c r="DW404" s="235">
        <f t="shared" ca="1" si="178"/>
        <v>447.88826763508155</v>
      </c>
      <c r="EA404" s="55"/>
      <c r="EB404" s="55"/>
      <c r="EC404" s="55"/>
      <c r="ED404" s="55"/>
      <c r="EE404" s="55"/>
    </row>
    <row r="405" spans="1:135" ht="13.8" x14ac:dyDescent="0.45">
      <c r="A405" s="214"/>
      <c r="B405" s="128">
        <v>2058</v>
      </c>
      <c r="C405" s="1070">
        <v>401.68881278538811</v>
      </c>
      <c r="D405" s="1050">
        <v>425.23834399022974</v>
      </c>
      <c r="E405" s="1069"/>
      <c r="F405" s="1075"/>
      <c r="G405" s="1052"/>
      <c r="H405" s="1036"/>
      <c r="I405" s="1112">
        <v>491.4470588235294</v>
      </c>
      <c r="J405" s="247"/>
      <c r="K405" s="245"/>
      <c r="L405" s="246"/>
      <c r="M405" s="245"/>
      <c r="N405" s="29" t="s">
        <v>119</v>
      </c>
      <c r="R405" s="29">
        <v>44</v>
      </c>
      <c r="S405" s="238">
        <f t="shared" si="179"/>
        <v>401.68881278538811</v>
      </c>
      <c r="T405" s="238">
        <f t="shared" si="180"/>
        <v>491.4470588235294</v>
      </c>
      <c r="U405" s="238">
        <f t="shared" si="181"/>
        <v>37.998124327522206</v>
      </c>
      <c r="W405" s="238">
        <f t="shared" si="182"/>
        <v>401.45994753886021</v>
      </c>
      <c r="X405" s="238">
        <f t="shared" si="212"/>
        <v>439.4580718663824</v>
      </c>
      <c r="Y405" s="238">
        <f t="shared" si="184"/>
        <v>477.45619619390459</v>
      </c>
      <c r="AA405" s="1133">
        <v>401.68881278538811</v>
      </c>
      <c r="AB405" s="1133">
        <v>413.46357838780892</v>
      </c>
      <c r="AC405" s="1133">
        <v>425.23834399022974</v>
      </c>
      <c r="AD405" s="89"/>
      <c r="AE405" s="89"/>
      <c r="AF405" s="89"/>
      <c r="AG405" s="89"/>
      <c r="AH405" s="89"/>
      <c r="AI405" s="89"/>
      <c r="AJ405" s="89"/>
      <c r="AK405" s="89"/>
      <c r="AL405" s="89"/>
      <c r="AM405" s="89"/>
      <c r="AN405" s="89"/>
      <c r="BR405" s="180">
        <v>2056</v>
      </c>
      <c r="BS405" s="22">
        <v>42</v>
      </c>
      <c r="BT405" s="198">
        <f t="shared" si="195"/>
        <v>200.71053324255166</v>
      </c>
      <c r="BU405" s="198">
        <f t="shared" si="196"/>
        <v>236.71362084506296</v>
      </c>
      <c r="BV405" s="241">
        <f t="shared" si="197"/>
        <v>437.42415408761462</v>
      </c>
      <c r="BY405" s="180">
        <v>2056</v>
      </c>
      <c r="BZ405" s="22">
        <v>42</v>
      </c>
      <c r="CA405" s="198">
        <f t="shared" ca="1" si="198"/>
        <v>-56.971066689740354</v>
      </c>
      <c r="CB405" s="198">
        <f t="shared" ca="1" si="199"/>
        <v>260.39450786989858</v>
      </c>
      <c r="CC405" s="198">
        <f t="shared" ca="1" si="210"/>
        <v>227.54140829410704</v>
      </c>
      <c r="CD405" s="241">
        <f t="shared" ca="1" si="200"/>
        <v>430.96484947426529</v>
      </c>
      <c r="CG405" s="180">
        <v>2056</v>
      </c>
      <c r="CH405" s="22">
        <v>42</v>
      </c>
      <c r="CI405" s="198">
        <f t="shared" ca="1" si="201"/>
        <v>49.864864151570934</v>
      </c>
      <c r="CJ405" s="198">
        <f t="shared" ca="1" si="202"/>
        <v>-135.33013892792349</v>
      </c>
      <c r="CK405" s="198">
        <f t="shared" ca="1" si="203"/>
        <v>291.26888690977756</v>
      </c>
      <c r="CL405" s="198">
        <f t="shared" ca="1" si="204"/>
        <v>225.70236884361898</v>
      </c>
      <c r="CM405" s="241">
        <f t="shared" ca="1" si="205"/>
        <v>431.50598097704403</v>
      </c>
      <c r="CP405" s="180">
        <v>2056</v>
      </c>
      <c r="CQ405" s="22">
        <v>42</v>
      </c>
      <c r="CR405" s="198">
        <f t="shared" ca="1" si="206"/>
        <v>242.79750986086785</v>
      </c>
      <c r="CS405" s="198">
        <f t="shared" ca="1" si="207"/>
        <v>1.8453848003044977</v>
      </c>
      <c r="CT405" s="241">
        <f t="shared" ca="1" si="208"/>
        <v>448.0548342490269</v>
      </c>
      <c r="CZ405" s="164" t="b">
        <f t="shared" si="213"/>
        <v>1</v>
      </c>
      <c r="DA405" s="165" t="b">
        <f t="shared" si="213"/>
        <v>1</v>
      </c>
      <c r="DB405" s="166" t="b">
        <f t="shared" si="213"/>
        <v>1</v>
      </c>
      <c r="DC405" s="164">
        <f t="shared" si="186"/>
        <v>44</v>
      </c>
      <c r="DD405" s="166">
        <f t="shared" si="187"/>
        <v>401.45994753886021</v>
      </c>
      <c r="DE405" s="164">
        <f t="shared" si="188"/>
        <v>44</v>
      </c>
      <c r="DF405" s="166">
        <f t="shared" si="189"/>
        <v>439.4580718663824</v>
      </c>
      <c r="DG405" s="164">
        <f t="shared" si="190"/>
        <v>44</v>
      </c>
      <c r="DH405" s="166">
        <f t="shared" si="191"/>
        <v>477.45619619390459</v>
      </c>
      <c r="DI405" s="164">
        <f>IFERROR(INDEX(DC$359:DC$407,_xlfn.AGGREGATE(15,6,(ROW(DC$359:DC$407)-ROW(DC$359)+1)/(DC$359:DC$407&lt;&gt;""),ROWS(DI$1:DI47))),"")</f>
        <v>44</v>
      </c>
      <c r="DJ405" s="165">
        <f>IFERROR(INDEX(DD$359:DD$407,_xlfn.AGGREGATE(15,6,(ROW(DD$359:DD$407)-ROW(DD$359)+1)/(DD$359:DD$407&lt;&gt;""),ROWS(DJ$1:DJ47))),"")</f>
        <v>401.45994753886021</v>
      </c>
      <c r="DK405" s="166">
        <f t="shared" si="192"/>
        <v>405</v>
      </c>
      <c r="DL405" s="164">
        <f>IFERROR(INDEX(DE$359:DE$407,_xlfn.AGGREGATE(15,6,(ROW(DE$359:DE$407)-ROW(DE$359)+1)/(DE$359:DE$407&lt;&gt;""),ROWS(DL$1:DL47))),"")</f>
        <v>44</v>
      </c>
      <c r="DM405" s="165">
        <f>IFERROR(INDEX(DF$359:DF$407,_xlfn.AGGREGATE(15,6,(ROW(DF$359:DF$407)-ROW(DF$359)+1)/(DF$359:DF$407&lt;&gt;""),ROWS(DM$1:DM47))),"")</f>
        <v>439.4580718663824</v>
      </c>
      <c r="DN405" s="166">
        <f t="shared" si="193"/>
        <v>405</v>
      </c>
      <c r="DO405" s="164">
        <f>IFERROR(INDEX(DG$359:DG$407,_xlfn.AGGREGATE(15,6,(ROW(DG$359:DG$407)-ROW(DG$359)+1)/(DG$359:DG$407&lt;&gt;""),ROWS(DO$1:DO47))),"")</f>
        <v>44</v>
      </c>
      <c r="DP405" s="165">
        <f>IFERROR(INDEX(DH$359:DH$407,_xlfn.AGGREGATE(15,6,(ROW(DH$359:DH$407)-ROW(DH$359)+1)/(DH$359:DH$407&lt;&gt;""),ROWS(DP$1:DP47))),"")</f>
        <v>477.45619619390459</v>
      </c>
      <c r="DQ405" s="166">
        <f t="shared" si="194"/>
        <v>405</v>
      </c>
      <c r="DW405" s="54"/>
      <c r="EA405" s="55"/>
      <c r="EB405" s="55"/>
      <c r="EC405" s="55"/>
      <c r="ED405" s="55"/>
      <c r="EE405" s="55"/>
    </row>
    <row r="406" spans="1:135" ht="13.8" x14ac:dyDescent="0.45">
      <c r="A406" s="214"/>
      <c r="B406" s="128">
        <v>2059</v>
      </c>
      <c r="C406" s="1070">
        <v>405.73710045662096</v>
      </c>
      <c r="D406" s="1050">
        <v>426.71805626853484</v>
      </c>
      <c r="E406" s="1069"/>
      <c r="F406" s="1075"/>
      <c r="G406" s="1052"/>
      <c r="H406" s="1036"/>
      <c r="I406" s="1112">
        <v>497.65294117647056</v>
      </c>
      <c r="J406" s="247"/>
      <c r="K406" s="245"/>
      <c r="L406" s="246"/>
      <c r="M406" s="245"/>
      <c r="N406" s="29" t="s">
        <v>119</v>
      </c>
      <c r="R406" s="29">
        <v>45</v>
      </c>
      <c r="S406" s="238">
        <f t="shared" si="179"/>
        <v>405.73710045662096</v>
      </c>
      <c r="T406" s="238">
        <f t="shared" si="180"/>
        <v>497.65294117647056</v>
      </c>
      <c r="U406" s="238">
        <f t="shared" si="181"/>
        <v>39.328361520409629</v>
      </c>
      <c r="W406" s="238">
        <f t="shared" si="182"/>
        <v>404.04100444679921</v>
      </c>
      <c r="X406" s="238">
        <f t="shared" si="212"/>
        <v>443.36936596720881</v>
      </c>
      <c r="Y406" s="238">
        <f t="shared" si="184"/>
        <v>482.69772748761841</v>
      </c>
      <c r="AA406" s="1133">
        <v>405.73710045662096</v>
      </c>
      <c r="AB406" s="1133">
        <v>416.2275783625779</v>
      </c>
      <c r="AC406" s="1133">
        <v>426.71805626853484</v>
      </c>
      <c r="AD406" s="89"/>
      <c r="AE406" s="89"/>
      <c r="AF406" s="89"/>
      <c r="AG406" s="89"/>
      <c r="AH406" s="89"/>
      <c r="AI406" s="89"/>
      <c r="AJ406" s="89"/>
      <c r="AK406" s="89"/>
      <c r="AL406" s="89"/>
      <c r="AM406" s="89"/>
      <c r="AN406" s="89"/>
      <c r="BR406" s="180">
        <v>2057</v>
      </c>
      <c r="BS406" s="22">
        <v>43</v>
      </c>
      <c r="BT406" s="198">
        <f t="shared" si="195"/>
        <v>205.48935546261239</v>
      </c>
      <c r="BU406" s="198">
        <f t="shared" si="196"/>
        <v>236.71362084506296</v>
      </c>
      <c r="BV406" s="241">
        <f t="shared" si="197"/>
        <v>442.20297630767539</v>
      </c>
      <c r="BY406" s="180">
        <v>2057</v>
      </c>
      <c r="BZ406" s="22">
        <v>43</v>
      </c>
      <c r="CA406" s="198">
        <f t="shared" ca="1" si="198"/>
        <v>-59.716271150413789</v>
      </c>
      <c r="CB406" s="198">
        <f t="shared" ca="1" si="199"/>
        <v>266.59437710489618</v>
      </c>
      <c r="CC406" s="198">
        <f t="shared" ca="1" si="210"/>
        <v>227.54140829410704</v>
      </c>
      <c r="CD406" s="241">
        <f t="shared" ca="1" si="200"/>
        <v>434.41951424858945</v>
      </c>
      <c r="CG406" s="180">
        <v>2057</v>
      </c>
      <c r="CH406" s="22">
        <v>43</v>
      </c>
      <c r="CI406" s="198">
        <f t="shared" ca="1" si="201"/>
        <v>53.512117402264209</v>
      </c>
      <c r="CJ406" s="198">
        <f t="shared" ca="1" si="202"/>
        <v>-141.85114902365675</v>
      </c>
      <c r="CK406" s="198">
        <f t="shared" ca="1" si="203"/>
        <v>298.20386040762941</v>
      </c>
      <c r="CL406" s="198">
        <f t="shared" ca="1" si="204"/>
        <v>225.70236884361898</v>
      </c>
      <c r="CM406" s="241">
        <f t="shared" ca="1" si="205"/>
        <v>435.56719762985585</v>
      </c>
      <c r="CP406" s="180">
        <v>2057</v>
      </c>
      <c r="CQ406" s="22">
        <v>43</v>
      </c>
      <c r="CR406" s="198">
        <f t="shared" ca="1" si="206"/>
        <v>242.79750986086785</v>
      </c>
      <c r="CS406" s="198">
        <f t="shared" ca="1" si="207"/>
        <v>1.8725022253102954</v>
      </c>
      <c r="CT406" s="241">
        <f t="shared" ca="1" si="208"/>
        <v>454.63887751427342</v>
      </c>
      <c r="CZ406" s="164" t="b">
        <f t="shared" si="213"/>
        <v>1</v>
      </c>
      <c r="DA406" s="165" t="b">
        <f t="shared" si="213"/>
        <v>1</v>
      </c>
      <c r="DB406" s="166" t="b">
        <f t="shared" si="213"/>
        <v>1</v>
      </c>
      <c r="DC406" s="164">
        <f t="shared" si="186"/>
        <v>45</v>
      </c>
      <c r="DD406" s="166">
        <f t="shared" si="187"/>
        <v>404.04100444679921</v>
      </c>
      <c r="DE406" s="164">
        <f t="shared" si="188"/>
        <v>45</v>
      </c>
      <c r="DF406" s="166">
        <f t="shared" si="189"/>
        <v>443.36936596720881</v>
      </c>
      <c r="DG406" s="164">
        <f t="shared" si="190"/>
        <v>45</v>
      </c>
      <c r="DH406" s="166">
        <f t="shared" si="191"/>
        <v>482.69772748761841</v>
      </c>
      <c r="DI406" s="164">
        <f>IFERROR(INDEX(DC$359:DC$407,_xlfn.AGGREGATE(15,6,(ROW(DC$359:DC$407)-ROW(DC$359)+1)/(DC$359:DC$407&lt;&gt;""),ROWS(DI$1:DI48))),"")</f>
        <v>45</v>
      </c>
      <c r="DJ406" s="165">
        <f>IFERROR(INDEX(DD$359:DD$407,_xlfn.AGGREGATE(15,6,(ROW(DD$359:DD$407)-ROW(DD$359)+1)/(DD$359:DD$407&lt;&gt;""),ROWS(DJ$1:DJ48))),"")</f>
        <v>404.04100444679921</v>
      </c>
      <c r="DK406" s="166">
        <f t="shared" si="192"/>
        <v>406</v>
      </c>
      <c r="DL406" s="164">
        <f>IFERROR(INDEX(DE$359:DE$407,_xlfn.AGGREGATE(15,6,(ROW(DE$359:DE$407)-ROW(DE$359)+1)/(DE$359:DE$407&lt;&gt;""),ROWS(DL$1:DL48))),"")</f>
        <v>45</v>
      </c>
      <c r="DM406" s="165">
        <f>IFERROR(INDEX(DF$359:DF$407,_xlfn.AGGREGATE(15,6,(ROW(DF$359:DF$407)-ROW(DF$359)+1)/(DF$359:DF$407&lt;&gt;""),ROWS(DM$1:DM48))),"")</f>
        <v>443.36936596720881</v>
      </c>
      <c r="DN406" s="166">
        <f t="shared" si="193"/>
        <v>406</v>
      </c>
      <c r="DO406" s="164">
        <f>IFERROR(INDEX(DG$359:DG$407,_xlfn.AGGREGATE(15,6,(ROW(DG$359:DG$407)-ROW(DG$359)+1)/(DG$359:DG$407&lt;&gt;""),ROWS(DO$1:DO48))),"")</f>
        <v>45</v>
      </c>
      <c r="DP406" s="165">
        <f>IFERROR(INDEX(DH$359:DH$407,_xlfn.AGGREGATE(15,6,(ROW(DH$359:DH$407)-ROW(DH$359)+1)/(DH$359:DH$407&lt;&gt;""),ROWS(DP$1:DP48))),"")</f>
        <v>482.69772748761841</v>
      </c>
      <c r="DQ406" s="166">
        <f t="shared" si="194"/>
        <v>406</v>
      </c>
      <c r="DR406" s="89"/>
      <c r="DW406" s="54"/>
      <c r="EA406" s="55"/>
      <c r="EB406" s="55"/>
      <c r="EC406" s="55"/>
      <c r="ED406" s="55"/>
      <c r="EE406" s="55"/>
    </row>
    <row r="407" spans="1:135" ht="14.1" thickBot="1" x14ac:dyDescent="0.5">
      <c r="A407" s="214"/>
      <c r="B407" s="128">
        <v>2060</v>
      </c>
      <c r="C407" s="1007">
        <v>409.78538812785388</v>
      </c>
      <c r="D407" s="1062">
        <v>428.18018281015867</v>
      </c>
      <c r="E407" s="1071"/>
      <c r="F407" s="1076"/>
      <c r="G407" s="1057"/>
      <c r="H407" s="1043"/>
      <c r="I407" s="1115">
        <v>503.85882352941178</v>
      </c>
      <c r="J407" s="251"/>
      <c r="K407" s="249"/>
      <c r="L407" s="250"/>
      <c r="M407" s="249"/>
      <c r="N407" s="29" t="s">
        <v>119</v>
      </c>
      <c r="R407" s="29">
        <v>46</v>
      </c>
      <c r="S407" s="238">
        <f t="shared" si="179"/>
        <v>409.78538812785388</v>
      </c>
      <c r="T407" s="238">
        <f t="shared" si="180"/>
        <v>503.85882352941178</v>
      </c>
      <c r="U407" s="238">
        <f t="shared" si="181"/>
        <v>40.70958988953754</v>
      </c>
      <c r="W407" s="238">
        <f t="shared" si="182"/>
        <v>406.56520826627059</v>
      </c>
      <c r="X407" s="238">
        <f t="shared" si="212"/>
        <v>447.27479815580813</v>
      </c>
      <c r="Y407" s="238">
        <f t="shared" si="184"/>
        <v>487.98438804534567</v>
      </c>
      <c r="AA407" s="1133">
        <v>409.78538812785388</v>
      </c>
      <c r="AB407" s="1133">
        <v>418.98278546900627</v>
      </c>
      <c r="AC407" s="1133">
        <v>428.18018281015867</v>
      </c>
      <c r="AD407" s="89"/>
      <c r="AE407" s="89"/>
      <c r="AF407" s="89"/>
      <c r="AG407" s="89"/>
      <c r="AH407" s="89"/>
      <c r="AI407" s="89"/>
      <c r="AJ407" s="89"/>
      <c r="AK407" s="89"/>
      <c r="AL407" s="89"/>
      <c r="AM407" s="89"/>
      <c r="AN407" s="89"/>
      <c r="BR407" s="180">
        <v>2058</v>
      </c>
      <c r="BS407" s="22">
        <v>44</v>
      </c>
      <c r="BT407" s="198">
        <f t="shared" si="195"/>
        <v>210.26817768267316</v>
      </c>
      <c r="BU407" s="198">
        <f t="shared" si="196"/>
        <v>236.71362084506296</v>
      </c>
      <c r="BV407" s="241">
        <f t="shared" si="197"/>
        <v>446.98179852773615</v>
      </c>
      <c r="BY407" s="180">
        <v>2058</v>
      </c>
      <c r="BZ407" s="22">
        <v>44</v>
      </c>
      <c r="CA407" s="198">
        <f t="shared" ca="1" si="198"/>
        <v>-62.526068657220712</v>
      </c>
      <c r="CB407" s="198">
        <f t="shared" ca="1" si="199"/>
        <v>272.79424633989379</v>
      </c>
      <c r="CC407" s="198">
        <f t="shared" ca="1" si="210"/>
        <v>227.54140829410704</v>
      </c>
      <c r="CD407" s="241">
        <f t="shared" ca="1" si="200"/>
        <v>437.80958597678011</v>
      </c>
      <c r="CG407" s="180">
        <v>2058</v>
      </c>
      <c r="CH407" s="22">
        <v>44</v>
      </c>
      <c r="CI407" s="198">
        <f t="shared" ca="1" si="201"/>
        <v>57.333017329222258</v>
      </c>
      <c r="CJ407" s="198">
        <f t="shared" ca="1" si="202"/>
        <v>-148.52559465105435</v>
      </c>
      <c r="CK407" s="198">
        <f t="shared" ca="1" si="203"/>
        <v>305.13883390548125</v>
      </c>
      <c r="CL407" s="198">
        <f t="shared" ca="1" si="204"/>
        <v>225.70236884361898</v>
      </c>
      <c r="CM407" s="241">
        <f t="shared" ca="1" si="205"/>
        <v>439.64862542726814</v>
      </c>
      <c r="CP407" s="180">
        <v>2058</v>
      </c>
      <c r="CQ407" s="22">
        <v>44</v>
      </c>
      <c r="CR407" s="198">
        <f t="shared" ca="1" si="206"/>
        <v>242.79750986086785</v>
      </c>
      <c r="CS407" s="198">
        <f t="shared" ca="1" si="207"/>
        <v>1.9000181334610848</v>
      </c>
      <c r="CT407" s="241">
        <f t="shared" ca="1" si="208"/>
        <v>461.31967149484547</v>
      </c>
      <c r="CZ407" s="164" t="b">
        <f t="shared" si="213"/>
        <v>1</v>
      </c>
      <c r="DA407" s="165" t="b">
        <f t="shared" si="213"/>
        <v>1</v>
      </c>
      <c r="DB407" s="166" t="b">
        <f t="shared" si="213"/>
        <v>1</v>
      </c>
      <c r="DC407" s="164">
        <f t="shared" si="186"/>
        <v>46</v>
      </c>
      <c r="DD407" s="166">
        <f t="shared" si="187"/>
        <v>406.56520826627059</v>
      </c>
      <c r="DE407" s="164">
        <f t="shared" si="188"/>
        <v>46</v>
      </c>
      <c r="DF407" s="166">
        <f t="shared" si="189"/>
        <v>447.27479815580813</v>
      </c>
      <c r="DG407" s="164">
        <f t="shared" si="190"/>
        <v>46</v>
      </c>
      <c r="DH407" s="166">
        <f t="shared" si="191"/>
        <v>487.98438804534567</v>
      </c>
      <c r="DI407" s="164">
        <f>IFERROR(INDEX(DC$359:DC$407,_xlfn.AGGREGATE(15,6,(ROW(DC$359:DC$407)-ROW(DC$359)+1)/(DC$359:DC$407&lt;&gt;""),ROWS(DI$1:DI49))),"")</f>
        <v>46</v>
      </c>
      <c r="DJ407" s="165">
        <f>IFERROR(INDEX(DD$359:DD$407,_xlfn.AGGREGATE(15,6,(ROW(DD$359:DD$407)-ROW(DD$359)+1)/(DD$359:DD$407&lt;&gt;""),ROWS(DJ$1:DJ49))),"")</f>
        <v>406.56520826627059</v>
      </c>
      <c r="DK407" s="166">
        <f t="shared" si="192"/>
        <v>407</v>
      </c>
      <c r="DL407" s="164">
        <f>IFERROR(INDEX(DE$359:DE$407,_xlfn.AGGREGATE(15,6,(ROW(DE$359:DE$407)-ROW(DE$359)+1)/(DE$359:DE$407&lt;&gt;""),ROWS(DL$1:DL49))),"")</f>
        <v>46</v>
      </c>
      <c r="DM407" s="165">
        <f>IFERROR(INDEX(DF$359:DF$407,_xlfn.AGGREGATE(15,6,(ROW(DF$359:DF$407)-ROW(DF$359)+1)/(DF$359:DF$407&lt;&gt;""),ROWS(DM$1:DM49))),"")</f>
        <v>447.27479815580813</v>
      </c>
      <c r="DN407" s="166">
        <f t="shared" si="193"/>
        <v>407</v>
      </c>
      <c r="DO407" s="164">
        <f>IFERROR(INDEX(DG$359:DG$407,_xlfn.AGGREGATE(15,6,(ROW(DG$359:DG$407)-ROW(DG$359)+1)/(DG$359:DG$407&lt;&gt;""),ROWS(DO$1:DO49))),"")</f>
        <v>46</v>
      </c>
      <c r="DP407" s="165">
        <f>IFERROR(INDEX(DH$359:DH$407,_xlfn.AGGREGATE(15,6,(ROW(DH$359:DH$407)-ROW(DH$359)+1)/(DH$359:DH$407&lt;&gt;""),ROWS(DP$1:DP49))),"")</f>
        <v>487.98438804534567</v>
      </c>
      <c r="DQ407" s="166">
        <f t="shared" si="194"/>
        <v>407</v>
      </c>
      <c r="DR407" s="89"/>
      <c r="DW407" s="54"/>
      <c r="EA407" s="55"/>
      <c r="EB407" s="55"/>
      <c r="EC407" s="55"/>
      <c r="ED407" s="55"/>
      <c r="EE407" s="55"/>
    </row>
    <row r="408" spans="1:135" x14ac:dyDescent="0.4">
      <c r="A408" s="214"/>
      <c r="B408" s="89"/>
      <c r="C408" s="14"/>
      <c r="D408" s="14"/>
      <c r="E408" s="14"/>
      <c r="F408" s="14"/>
      <c r="G408" s="14"/>
      <c r="H408" s="14"/>
      <c r="I408" s="14"/>
      <c r="J408" s="14"/>
      <c r="K408" s="14"/>
      <c r="L408" s="14"/>
      <c r="M408" s="50"/>
      <c r="S408" s="120"/>
      <c r="T408" s="120"/>
      <c r="U408" s="120"/>
      <c r="W408" s="120"/>
      <c r="X408" s="120"/>
      <c r="Y408" s="120"/>
      <c r="AA408" s="89"/>
      <c r="AB408" s="89"/>
      <c r="AC408" s="89"/>
      <c r="AD408" s="89"/>
      <c r="AE408" s="89"/>
      <c r="AF408" s="89"/>
      <c r="AG408" s="89"/>
      <c r="AH408" s="89"/>
      <c r="AI408" s="89"/>
      <c r="AJ408" s="89"/>
      <c r="AK408" s="89"/>
      <c r="AL408" s="89"/>
      <c r="AM408" s="89"/>
      <c r="AN408" s="89"/>
      <c r="BR408" s="180">
        <v>2059</v>
      </c>
      <c r="BS408" s="22">
        <v>45</v>
      </c>
      <c r="BT408" s="198">
        <f t="shared" si="195"/>
        <v>215.04699990273392</v>
      </c>
      <c r="BU408" s="198">
        <f t="shared" si="196"/>
        <v>236.71362084506296</v>
      </c>
      <c r="BV408" s="241">
        <f t="shared" si="197"/>
        <v>451.76062074779691</v>
      </c>
      <c r="BY408" s="180">
        <v>2059</v>
      </c>
      <c r="BZ408" s="22">
        <v>45</v>
      </c>
      <c r="CA408" s="198">
        <f t="shared" ca="1" si="198"/>
        <v>-65.400459210161131</v>
      </c>
      <c r="CB408" s="198">
        <f t="shared" ca="1" si="199"/>
        <v>278.99411557489134</v>
      </c>
      <c r="CC408" s="198">
        <f t="shared" ca="1" si="210"/>
        <v>227.54140829410704</v>
      </c>
      <c r="CD408" s="241">
        <f t="shared" ca="1" si="200"/>
        <v>441.13506465883722</v>
      </c>
      <c r="CG408" s="180">
        <v>2059</v>
      </c>
      <c r="CH408" s="22">
        <v>45</v>
      </c>
      <c r="CI408" s="198">
        <f t="shared" ca="1" si="201"/>
        <v>61.331602227241952</v>
      </c>
      <c r="CJ408" s="198">
        <f t="shared" ca="1" si="202"/>
        <v>-155.35347581011624</v>
      </c>
      <c r="CK408" s="198">
        <f t="shared" ca="1" si="203"/>
        <v>312.07380740333309</v>
      </c>
      <c r="CL408" s="198">
        <f t="shared" ca="1" si="204"/>
        <v>225.70236884361898</v>
      </c>
      <c r="CM408" s="241">
        <f t="shared" ca="1" si="205"/>
        <v>443.75430266407778</v>
      </c>
      <c r="CP408" s="180">
        <v>2059</v>
      </c>
      <c r="CQ408" s="22">
        <v>45</v>
      </c>
      <c r="CR408" s="198">
        <f t="shared" ca="1" si="206"/>
        <v>242.79750986086785</v>
      </c>
      <c r="CS408" s="198">
        <f t="shared" ca="1" si="207"/>
        <v>1.9279383803577133</v>
      </c>
      <c r="CT408" s="241">
        <f t="shared" ca="1" si="208"/>
        <v>468.09863791604749</v>
      </c>
      <c r="CZ408" s="252"/>
      <c r="DA408" s="252"/>
      <c r="DB408" s="252"/>
      <c r="DC408" s="252"/>
      <c r="DD408" s="252"/>
      <c r="DE408" s="252"/>
      <c r="DF408" s="252"/>
      <c r="DG408" s="252"/>
      <c r="DH408" s="252"/>
      <c r="DI408" s="252"/>
      <c r="DJ408" s="252"/>
      <c r="DK408" s="252"/>
      <c r="DL408" s="252"/>
      <c r="DM408" s="252"/>
      <c r="DN408" s="252"/>
      <c r="DO408" s="252"/>
      <c r="DP408" s="252"/>
      <c r="DQ408" s="252"/>
      <c r="DR408" s="89"/>
      <c r="DU408" s="65"/>
      <c r="DW408" s="54"/>
      <c r="EA408" s="55"/>
      <c r="EB408" s="55"/>
      <c r="EC408" s="55"/>
      <c r="ED408" s="55"/>
      <c r="EE408" s="55"/>
    </row>
    <row r="409" spans="1:135" x14ac:dyDescent="0.4">
      <c r="A409" s="214"/>
      <c r="B409" s="89"/>
      <c r="C409" s="14"/>
      <c r="D409" s="14"/>
      <c r="E409" s="14"/>
      <c r="F409" s="14"/>
      <c r="G409" s="14"/>
      <c r="H409" s="14"/>
      <c r="I409" s="14"/>
      <c r="J409" s="14"/>
      <c r="K409" s="14"/>
      <c r="L409" s="14"/>
      <c r="M409" s="50"/>
      <c r="S409" s="120"/>
      <c r="T409" s="120"/>
      <c r="U409" s="120"/>
      <c r="W409" s="120"/>
      <c r="X409" s="120"/>
      <c r="Y409" s="120"/>
      <c r="AA409" s="89"/>
      <c r="AB409" s="89"/>
      <c r="AC409" s="89"/>
      <c r="AD409" s="89"/>
      <c r="AE409" s="89"/>
      <c r="AF409" s="89"/>
      <c r="AG409" s="89"/>
      <c r="AH409" s="89"/>
      <c r="AI409" s="89"/>
      <c r="AJ409" s="89"/>
      <c r="AK409" s="89"/>
      <c r="AL409" s="89"/>
      <c r="AM409" s="89"/>
      <c r="AN409" s="89"/>
      <c r="BR409" s="180">
        <v>2060</v>
      </c>
      <c r="BS409" s="22">
        <v>46</v>
      </c>
      <c r="BT409" s="198">
        <f t="shared" si="195"/>
        <v>219.82582212279465</v>
      </c>
      <c r="BU409" s="198">
        <f t="shared" si="196"/>
        <v>236.71362084506296</v>
      </c>
      <c r="BV409" s="241">
        <f t="shared" si="197"/>
        <v>456.53944296785761</v>
      </c>
      <c r="BY409" s="180">
        <v>2060</v>
      </c>
      <c r="BZ409" s="22">
        <v>46</v>
      </c>
      <c r="CA409" s="198">
        <f t="shared" ca="1" si="198"/>
        <v>-68.339442809235038</v>
      </c>
      <c r="CB409" s="198">
        <f t="shared" ca="1" si="199"/>
        <v>285.19398480988895</v>
      </c>
      <c r="CC409" s="198">
        <f t="shared" ca="1" si="210"/>
        <v>227.54140829410704</v>
      </c>
      <c r="CD409" s="241">
        <f t="shared" ca="1" si="200"/>
        <v>444.39595029476095</v>
      </c>
      <c r="CG409" s="180">
        <v>2060</v>
      </c>
      <c r="CH409" s="22">
        <v>46</v>
      </c>
      <c r="CI409" s="198">
        <f t="shared" ca="1" si="201"/>
        <v>65.511910391120139</v>
      </c>
      <c r="CJ409" s="198">
        <f t="shared" ca="1" si="202"/>
        <v>-162.33479250084247</v>
      </c>
      <c r="CK409" s="198">
        <f t="shared" ca="1" si="203"/>
        <v>319.00878090118493</v>
      </c>
      <c r="CL409" s="198">
        <f t="shared" ca="1" si="204"/>
        <v>225.70236884361898</v>
      </c>
      <c r="CM409" s="241">
        <f t="shared" ca="1" si="205"/>
        <v>447.88826763508155</v>
      </c>
      <c r="CP409" s="180">
        <v>2060</v>
      </c>
      <c r="CQ409" s="22">
        <v>46</v>
      </c>
      <c r="CR409" s="198">
        <f t="shared" ca="1" si="206"/>
        <v>242.79750986086785</v>
      </c>
      <c r="CS409" s="198">
        <f t="shared" ca="1" si="207"/>
        <v>1.9562689076474811</v>
      </c>
      <c r="CT409" s="241">
        <f t="shared" ca="1" si="208"/>
        <v>474.97721939504845</v>
      </c>
      <c r="CZ409" s="89"/>
      <c r="DA409" s="89"/>
      <c r="DB409" s="89"/>
      <c r="DC409" s="89"/>
      <c r="DD409" s="89"/>
      <c r="DE409" s="89"/>
      <c r="DF409" s="89"/>
      <c r="DG409" s="89"/>
      <c r="DH409" s="89"/>
      <c r="DI409" s="89"/>
      <c r="DJ409" s="89"/>
      <c r="DK409" s="89"/>
      <c r="DL409" s="89"/>
      <c r="DM409" s="89"/>
      <c r="DN409" s="89"/>
      <c r="DO409" s="89"/>
      <c r="DP409" s="89"/>
      <c r="DQ409" s="89"/>
      <c r="DR409" s="89"/>
      <c r="DW409" s="54"/>
      <c r="EA409" s="55"/>
      <c r="EB409" s="55"/>
      <c r="EC409" s="55"/>
      <c r="ED409" s="55"/>
      <c r="EE409" s="55"/>
    </row>
    <row r="410" spans="1:135" x14ac:dyDescent="0.4">
      <c r="A410" s="221" t="str">
        <f ca="1">HYPERLINK("#"&amp;"'"&amp;A$1&amp;"'!a1","Back to top")</f>
        <v>Back to top</v>
      </c>
      <c r="C410" s="50"/>
      <c r="D410" s="14"/>
      <c r="E410" s="14"/>
      <c r="F410" s="14"/>
      <c r="G410" s="14"/>
      <c r="H410" s="14"/>
      <c r="I410" s="14"/>
      <c r="J410" s="14"/>
      <c r="K410" s="14"/>
      <c r="L410" s="14"/>
      <c r="M410" s="14"/>
      <c r="N410" s="89"/>
      <c r="O410" s="89"/>
      <c r="P410" s="89"/>
      <c r="Q410" s="89"/>
      <c r="R410" s="89"/>
      <c r="S410" s="89"/>
      <c r="T410" s="89"/>
      <c r="U410" s="89"/>
      <c r="V410" s="89"/>
      <c r="W410" s="89"/>
      <c r="X410" s="89"/>
      <c r="Y410" s="89"/>
      <c r="Z410" s="89"/>
      <c r="AA410" s="89"/>
      <c r="AB410" s="89"/>
      <c r="AC410" s="89"/>
      <c r="AD410" s="89"/>
      <c r="AE410" s="89"/>
      <c r="AF410" s="89"/>
      <c r="AG410" s="89"/>
      <c r="AH410" s="89"/>
      <c r="AI410" s="89"/>
      <c r="AJ410" s="89"/>
      <c r="AK410" s="89"/>
      <c r="AL410" s="89"/>
      <c r="AM410" s="89"/>
      <c r="AN410" s="89"/>
      <c r="CZ410" s="89"/>
      <c r="DA410" s="89"/>
      <c r="DB410" s="89"/>
      <c r="DC410" s="89"/>
      <c r="DD410" s="89"/>
      <c r="DE410" s="89"/>
      <c r="DF410" s="89"/>
      <c r="DG410" s="89"/>
      <c r="DH410" s="89"/>
      <c r="DI410" s="89"/>
      <c r="DJ410" s="89"/>
      <c r="DK410" s="89"/>
      <c r="DL410" s="89"/>
      <c r="DM410" s="89"/>
      <c r="DN410" s="89"/>
      <c r="DO410" s="89"/>
      <c r="DP410" s="89"/>
      <c r="DQ410" s="89"/>
      <c r="DR410" s="89"/>
      <c r="DW410" s="54"/>
      <c r="EA410" s="55"/>
      <c r="EB410" s="55"/>
      <c r="EC410" s="55"/>
      <c r="ED410" s="55"/>
      <c r="EE410" s="55"/>
    </row>
    <row r="411" spans="1:135" x14ac:dyDescent="0.4">
      <c r="A411" s="221"/>
      <c r="C411" s="50"/>
      <c r="D411" s="14"/>
      <c r="E411" s="14"/>
      <c r="F411" s="14"/>
      <c r="G411" s="14"/>
      <c r="H411" s="14"/>
      <c r="I411" s="14"/>
      <c r="J411" s="14"/>
      <c r="K411" s="14"/>
      <c r="L411" s="14"/>
      <c r="M411" s="14"/>
      <c r="N411" s="89"/>
      <c r="O411" s="89"/>
      <c r="P411" s="89"/>
      <c r="Q411" s="89"/>
      <c r="R411" s="89"/>
      <c r="S411" s="89"/>
      <c r="T411" s="89"/>
      <c r="U411" s="89"/>
      <c r="V411" s="89"/>
      <c r="W411" s="89"/>
      <c r="X411" s="89"/>
      <c r="Y411" s="89"/>
      <c r="Z411" s="89"/>
      <c r="AA411" s="89"/>
      <c r="AB411" s="89"/>
      <c r="AC411" s="89"/>
      <c r="AD411" s="89"/>
      <c r="AE411" s="89"/>
      <c r="AF411" s="89"/>
      <c r="AG411" s="89"/>
      <c r="AH411" s="89"/>
      <c r="AI411" s="89"/>
      <c r="AJ411" s="89"/>
      <c r="AK411" s="89"/>
      <c r="AL411" s="89"/>
      <c r="AM411" s="89"/>
      <c r="AN411" s="89"/>
      <c r="CZ411" s="89"/>
      <c r="DA411" s="89"/>
      <c r="DB411" s="89"/>
      <c r="DC411" s="89"/>
      <c r="DD411" s="89"/>
      <c r="DE411" s="89"/>
      <c r="DF411" s="89"/>
      <c r="DG411" s="89"/>
      <c r="DH411" s="89"/>
      <c r="DI411" s="89"/>
      <c r="DJ411" s="89"/>
      <c r="DK411" s="89"/>
      <c r="DL411" s="89"/>
      <c r="DM411" s="89"/>
      <c r="DN411" s="89"/>
      <c r="DO411" s="89"/>
      <c r="DP411" s="89"/>
      <c r="DQ411" s="89"/>
      <c r="DR411" s="89"/>
      <c r="DW411" s="54"/>
      <c r="EA411" s="55"/>
      <c r="EB411" s="55"/>
      <c r="EC411" s="55"/>
      <c r="ED411" s="55"/>
      <c r="EE411" s="55"/>
    </row>
    <row r="412" spans="1:135" x14ac:dyDescent="0.4">
      <c r="A412" s="214"/>
      <c r="B412" s="89"/>
      <c r="C412" s="14"/>
      <c r="D412" s="14"/>
      <c r="E412" s="14"/>
      <c r="F412" s="14"/>
      <c r="G412" s="14"/>
      <c r="H412" s="14"/>
      <c r="I412" s="14"/>
      <c r="J412" s="14"/>
      <c r="K412" s="14"/>
      <c r="L412" s="14"/>
      <c r="M412" s="50"/>
      <c r="N412" s="49"/>
      <c r="O412" s="49"/>
      <c r="P412" s="49"/>
      <c r="Q412" s="49"/>
      <c r="R412" s="49"/>
      <c r="S412" s="120"/>
      <c r="T412" s="120"/>
      <c r="U412" s="120"/>
      <c r="V412" s="49"/>
      <c r="W412" s="120"/>
      <c r="X412" s="120"/>
      <c r="Y412" s="120"/>
      <c r="Z412" s="89"/>
      <c r="AA412" s="89"/>
      <c r="AB412" s="89"/>
      <c r="AC412" s="89"/>
      <c r="AD412" s="89"/>
      <c r="AE412" s="89"/>
      <c r="AF412" s="89"/>
      <c r="AG412" s="89"/>
      <c r="AH412" s="89"/>
      <c r="AI412" s="89"/>
      <c r="AJ412" s="89"/>
      <c r="AK412" s="89"/>
      <c r="AL412" s="89"/>
      <c r="AM412" s="89"/>
      <c r="AN412" s="89"/>
      <c r="AO412" s="49"/>
      <c r="AP412" s="49"/>
      <c r="AQ412" s="49"/>
      <c r="AR412" s="49"/>
      <c r="AS412" s="49"/>
      <c r="AT412" s="49"/>
      <c r="AU412" s="49"/>
      <c r="AV412" s="49"/>
      <c r="AW412" s="49"/>
      <c r="AX412" s="49"/>
      <c r="AY412" s="49"/>
      <c r="AZ412" s="49"/>
      <c r="BA412" s="49"/>
      <c r="BB412" s="49"/>
      <c r="BC412" s="49"/>
      <c r="BD412" s="49"/>
      <c r="BE412" s="49"/>
      <c r="BF412" s="49"/>
      <c r="BG412" s="49"/>
      <c r="BH412" s="49"/>
      <c r="BI412" s="49"/>
      <c r="BJ412" s="49"/>
      <c r="BK412" s="49"/>
      <c r="BL412" s="49"/>
    </row>
    <row r="413" spans="1:135" x14ac:dyDescent="0.4">
      <c r="A413" s="253"/>
      <c r="B413" s="254"/>
      <c r="C413" s="255"/>
      <c r="D413" s="255"/>
      <c r="E413" s="255"/>
      <c r="F413" s="255"/>
      <c r="G413" s="255"/>
      <c r="H413" s="255"/>
      <c r="I413" s="255"/>
      <c r="J413" s="255"/>
      <c r="K413" s="255"/>
      <c r="L413" s="255"/>
      <c r="M413" s="256"/>
      <c r="S413" s="257"/>
      <c r="T413" s="257"/>
      <c r="U413" s="257"/>
      <c r="W413" s="257"/>
      <c r="X413" s="257"/>
      <c r="Y413" s="257"/>
      <c r="Z413" s="254"/>
      <c r="AA413" s="254"/>
      <c r="AB413" s="254"/>
      <c r="AC413" s="254"/>
      <c r="AD413" s="254"/>
      <c r="AE413" s="254"/>
      <c r="AF413" s="254"/>
      <c r="AG413" s="254"/>
      <c r="AH413" s="254"/>
      <c r="AI413" s="254"/>
      <c r="AJ413" s="254"/>
      <c r="AK413" s="254"/>
      <c r="AL413" s="254"/>
      <c r="AM413" s="254"/>
      <c r="AN413" s="254"/>
      <c r="DW413" s="258"/>
      <c r="EA413" s="259"/>
      <c r="EB413" s="259"/>
      <c r="EC413" s="259"/>
      <c r="ED413" s="259"/>
      <c r="EE413" s="259"/>
    </row>
    <row r="414" spans="1:135" x14ac:dyDescent="0.4">
      <c r="A414" s="253"/>
      <c r="B414" s="254"/>
      <c r="C414" s="255"/>
      <c r="D414" s="255"/>
      <c r="E414" s="255"/>
      <c r="F414" s="255"/>
      <c r="G414" s="255"/>
      <c r="H414" s="255"/>
      <c r="I414" s="255"/>
      <c r="J414" s="255"/>
      <c r="K414" s="255"/>
      <c r="L414" s="255"/>
      <c r="M414" s="256"/>
      <c r="S414" s="257"/>
      <c r="T414" s="257"/>
      <c r="U414" s="257"/>
      <c r="W414" s="257"/>
      <c r="X414" s="257"/>
      <c r="Y414" s="257"/>
      <c r="Z414" s="254"/>
      <c r="AA414" s="254"/>
      <c r="AB414" s="254"/>
      <c r="AC414" s="254"/>
      <c r="AD414" s="254"/>
      <c r="AE414" s="254"/>
      <c r="AF414" s="254"/>
      <c r="AG414" s="254"/>
      <c r="AH414" s="254"/>
      <c r="AI414" s="254"/>
      <c r="AJ414" s="254"/>
      <c r="AK414" s="254"/>
      <c r="AL414" s="254"/>
      <c r="AM414" s="254"/>
      <c r="AN414" s="254"/>
      <c r="DW414" s="258"/>
      <c r="EA414" s="259"/>
      <c r="EB414" s="259"/>
      <c r="EC414" s="259"/>
      <c r="ED414" s="259"/>
      <c r="EE414" s="259"/>
    </row>
    <row r="415" spans="1:135" x14ac:dyDescent="0.4">
      <c r="A415" s="221"/>
      <c r="C415" s="14"/>
      <c r="D415" s="14"/>
      <c r="E415" s="14"/>
      <c r="F415" s="14"/>
      <c r="G415" s="14"/>
      <c r="H415" s="14"/>
      <c r="I415" s="14"/>
      <c r="J415" s="14"/>
      <c r="K415" s="14"/>
      <c r="L415" s="14"/>
      <c r="M415" s="14"/>
      <c r="DW415" s="54"/>
      <c r="EA415" s="286"/>
      <c r="EB415" s="286"/>
      <c r="EC415" s="286"/>
      <c r="ED415" s="286"/>
      <c r="EE415" s="286"/>
    </row>
    <row r="416" spans="1:135" x14ac:dyDescent="0.4">
      <c r="A416" s="287" t="s">
        <v>103</v>
      </c>
      <c r="C416" s="14"/>
      <c r="D416" s="14"/>
      <c r="E416" s="14"/>
      <c r="F416" s="14"/>
      <c r="G416" s="14"/>
      <c r="H416" s="14"/>
      <c r="I416" s="14"/>
      <c r="J416" s="14"/>
      <c r="K416" s="14"/>
      <c r="L416" s="14"/>
      <c r="M416" s="14"/>
      <c r="AA416" s="287" t="s">
        <v>103</v>
      </c>
      <c r="AM416" s="287" t="s">
        <v>103</v>
      </c>
      <c r="AZ416" s="287" t="s">
        <v>103</v>
      </c>
      <c r="BJ416" s="287" t="s">
        <v>103</v>
      </c>
      <c r="BR416" s="287" t="s">
        <v>103</v>
      </c>
      <c r="BY416" s="287" t="s">
        <v>103</v>
      </c>
      <c r="CG416" s="287" t="s">
        <v>103</v>
      </c>
      <c r="CP416" s="287" t="s">
        <v>103</v>
      </c>
      <c r="DV416" s="287" t="s">
        <v>103</v>
      </c>
      <c r="DW416" s="54"/>
      <c r="EA416" s="286"/>
      <c r="EB416" s="286"/>
      <c r="EC416" s="286"/>
      <c r="ED416" s="286"/>
      <c r="EE416" s="286"/>
    </row>
    <row r="417" spans="1:135" x14ac:dyDescent="0.4">
      <c r="A417" s="221"/>
      <c r="C417" s="14"/>
      <c r="D417" s="14"/>
      <c r="E417" s="14"/>
      <c r="F417" s="14"/>
      <c r="G417" s="14"/>
      <c r="H417" s="14"/>
      <c r="I417" s="14"/>
      <c r="J417" s="14"/>
      <c r="K417" s="14"/>
      <c r="L417" s="14"/>
      <c r="M417" s="14"/>
      <c r="DW417" s="54"/>
      <c r="EA417" s="286"/>
      <c r="EB417" s="286"/>
      <c r="EC417" s="286"/>
      <c r="ED417" s="286"/>
      <c r="EE417" s="286"/>
    </row>
    <row r="418" spans="1:135" x14ac:dyDescent="0.4">
      <c r="B418" s="694"/>
      <c r="C418" s="694"/>
      <c r="D418" s="113"/>
      <c r="E418" s="113"/>
      <c r="F418" s="113"/>
      <c r="G418" s="113"/>
      <c r="H418" s="113"/>
      <c r="I418" s="113"/>
      <c r="J418" s="113"/>
      <c r="K418" s="113"/>
      <c r="L418" s="113"/>
      <c r="M418" s="113"/>
      <c r="N418" s="114"/>
      <c r="O418" s="114"/>
      <c r="P418" s="114"/>
      <c r="Q418" s="114"/>
      <c r="R418" s="114"/>
      <c r="S418" s="114"/>
      <c r="T418" s="114"/>
      <c r="U418" s="114"/>
      <c r="V418" s="114"/>
      <c r="W418" s="114"/>
      <c r="X418" s="114"/>
      <c r="Y418" s="114"/>
      <c r="Z418" s="114"/>
      <c r="AA418" s="114"/>
      <c r="AC418" s="114"/>
      <c r="AD418" s="114"/>
      <c r="AE418" s="114"/>
      <c r="AF418" s="114"/>
      <c r="AG418" s="114"/>
      <c r="AH418" s="114"/>
      <c r="AI418" s="114"/>
      <c r="AJ418" s="114"/>
      <c r="AK418" s="114"/>
      <c r="AL418" s="114"/>
      <c r="AM418" s="114"/>
      <c r="AN418" s="114"/>
      <c r="AO418" s="89"/>
      <c r="DW418" s="54"/>
      <c r="EA418" s="55"/>
      <c r="EB418" s="55"/>
      <c r="EC418" s="55"/>
      <c r="ED418" s="55"/>
      <c r="EE418" s="55"/>
    </row>
    <row r="419" spans="1:135" ht="12.6" thickBot="1" x14ac:dyDescent="0.45">
      <c r="A419" s="233"/>
      <c r="B419" s="679"/>
      <c r="C419" s="679"/>
      <c r="D419" s="113"/>
      <c r="E419" s="113"/>
      <c r="F419" s="113"/>
      <c r="G419" s="113"/>
      <c r="H419" s="113"/>
      <c r="I419" s="113"/>
      <c r="J419" s="113"/>
      <c r="K419" s="113"/>
      <c r="L419" s="113"/>
      <c r="M419" s="113"/>
      <c r="N419" s="114"/>
      <c r="O419" s="114"/>
      <c r="P419" s="114"/>
      <c r="Q419" s="114"/>
      <c r="R419" s="114"/>
      <c r="S419" s="114"/>
      <c r="T419" s="114"/>
      <c r="U419" s="114"/>
      <c r="V419" s="114"/>
      <c r="W419" s="114"/>
      <c r="X419" s="114"/>
      <c r="Y419" s="114"/>
      <c r="Z419" s="114"/>
      <c r="AA419" s="114"/>
      <c r="AB419" s="114"/>
      <c r="AC419" s="114"/>
      <c r="AD419" s="114"/>
      <c r="AE419" s="114"/>
      <c r="AF419" s="114"/>
      <c r="AG419" s="114"/>
      <c r="AH419" s="114"/>
      <c r="AI419" s="114"/>
      <c r="AJ419" s="114"/>
      <c r="AK419" s="114"/>
      <c r="AL419" s="114"/>
      <c r="AM419" s="114"/>
      <c r="CZ419" s="116"/>
      <c r="DA419" s="116"/>
      <c r="DB419" s="116"/>
      <c r="DC419" s="116"/>
      <c r="DD419" s="116"/>
      <c r="DE419" s="116"/>
      <c r="DF419" s="116"/>
      <c r="DG419" s="116"/>
      <c r="DH419" s="116"/>
      <c r="DI419" s="117" t="str">
        <f>"DJ"&amp;MIN(DK422:DK470)</f>
        <v>DJ422</v>
      </c>
      <c r="DJ419" s="118" t="str">
        <f>"DJ"&amp;MAX(DK422:DK470)</f>
        <v>DJ470</v>
      </c>
      <c r="DK419" s="116"/>
      <c r="DL419" s="117" t="str">
        <f>"DM"&amp;MIN(DN422:DN470)</f>
        <v>DM422</v>
      </c>
      <c r="DM419" s="118" t="str">
        <f>"DM"&amp;MAX(DN422:DN470)</f>
        <v>DM470</v>
      </c>
      <c r="DN419" s="116"/>
      <c r="DO419" s="117" t="str">
        <f>"DP"&amp;MIN(DQ422:DQ470)</f>
        <v>DP422</v>
      </c>
      <c r="DP419" s="118" t="str">
        <f>"DP"&amp;MAX(DQ422:DQ470)</f>
        <v>DP470</v>
      </c>
      <c r="DQ419" s="116"/>
      <c r="DW419" s="119"/>
      <c r="EA419" s="33"/>
      <c r="EB419" s="33"/>
      <c r="EC419" s="33"/>
      <c r="ED419" s="33"/>
      <c r="EE419" s="33"/>
    </row>
    <row r="420" spans="1:135" ht="24.9" thickBot="1" x14ac:dyDescent="0.5">
      <c r="A420" s="676" t="s">
        <v>65</v>
      </c>
      <c r="C420" s="680" t="str">
        <f>A438</f>
        <v>Base Cases</v>
      </c>
      <c r="D420" s="681"/>
      <c r="E420" s="682"/>
      <c r="F420" s="683" t="str">
        <f>A439</f>
        <v>Conservative Cases</v>
      </c>
      <c r="G420" s="684"/>
      <c r="H420" s="685"/>
      <c r="I420" s="686" t="str">
        <f>A440</f>
        <v>Ambitious Cases</v>
      </c>
      <c r="J420" s="687"/>
      <c r="K420" s="688"/>
      <c r="L420" s="692" t="str">
        <f>A441</f>
        <v>Maximum Cases</v>
      </c>
      <c r="M420" s="693"/>
      <c r="O420" s="122"/>
      <c r="P420" s="122"/>
      <c r="Q420" s="122"/>
      <c r="W420" s="691" t="s">
        <v>66</v>
      </c>
      <c r="X420" s="691"/>
      <c r="Y420" s="691"/>
      <c r="Z420" s="120"/>
      <c r="AA420" s="120"/>
      <c r="AB420" s="120"/>
      <c r="AC420" s="120"/>
      <c r="AD420" s="120"/>
      <c r="AE420" s="120"/>
      <c r="AF420" s="120"/>
      <c r="AG420" s="120"/>
      <c r="AH420" s="120"/>
      <c r="AI420" s="120"/>
      <c r="AJ420" s="120"/>
      <c r="AK420" s="120"/>
      <c r="AL420" s="120"/>
      <c r="AM420" s="120"/>
      <c r="AN420" s="120"/>
      <c r="BR420" s="121" t="s">
        <v>67</v>
      </c>
      <c r="BS420" s="121"/>
      <c r="BT420" s="121"/>
      <c r="BU420" s="121"/>
      <c r="BV420" s="121"/>
      <c r="BW420" s="122"/>
      <c r="BY420" s="121" t="s">
        <v>68</v>
      </c>
      <c r="BZ420" s="121"/>
      <c r="CA420" s="121"/>
      <c r="CB420" s="121"/>
      <c r="CC420" s="121"/>
      <c r="CD420" s="121"/>
      <c r="CG420" s="121" t="s">
        <v>69</v>
      </c>
      <c r="CH420" s="121"/>
      <c r="CI420" s="121"/>
      <c r="CJ420" s="121"/>
      <c r="CK420" s="121"/>
      <c r="CL420" s="121"/>
      <c r="CM420" s="121"/>
      <c r="CP420" s="121" t="s">
        <v>70</v>
      </c>
      <c r="CQ420" s="121"/>
      <c r="CR420" s="121"/>
      <c r="CS420" s="121"/>
      <c r="CT420" s="121"/>
      <c r="CU420" s="121"/>
      <c r="CZ420" s="123"/>
      <c r="DA420" s="123"/>
      <c r="DB420" s="123"/>
      <c r="DC420" s="123"/>
      <c r="DD420" s="123"/>
      <c r="DE420" s="123"/>
      <c r="DF420" s="123"/>
      <c r="DG420" s="123"/>
      <c r="DH420" s="123"/>
      <c r="DI420" s="124" t="str">
        <f>"DI"&amp;MIN(DK422:DK470)</f>
        <v>DI422</v>
      </c>
      <c r="DJ420" s="125" t="str">
        <f>"DI"&amp;MAX(DK422:DK470)</f>
        <v>DI470</v>
      </c>
      <c r="DK420" s="123"/>
      <c r="DL420" s="124" t="str">
        <f>"DL"&amp;MIN(DN422:DN470)</f>
        <v>DL422</v>
      </c>
      <c r="DM420" s="125" t="str">
        <f>"DL"&amp;MAX(DN422:DN470)</f>
        <v>DL470</v>
      </c>
      <c r="DN420" s="123"/>
      <c r="DO420" s="124" t="str">
        <f>"DO"&amp;MIN(DQ422:DQ470)</f>
        <v>DO422</v>
      </c>
      <c r="DP420" s="125" t="str">
        <f>"DO"&amp;MAX(DQ422:DQ470)</f>
        <v>DO470</v>
      </c>
      <c r="DQ420" s="123"/>
      <c r="DV420" s="126" t="s">
        <v>71</v>
      </c>
      <c r="DZ420" s="127" t="s">
        <v>72</v>
      </c>
      <c r="EA420" s="284" t="str">
        <f>$L$32</f>
        <v>3rd Poly</v>
      </c>
    </row>
    <row r="421" spans="1:135" ht="74.099999999999994" thickBot="1" x14ac:dyDescent="0.5">
      <c r="A421" s="676" t="s">
        <v>73</v>
      </c>
      <c r="B421" s="128"/>
      <c r="C421" s="988" t="str">
        <f>A422</f>
        <v>World Bank, What a Waste 2.0</v>
      </c>
      <c r="D421" s="996" t="str">
        <f>A423</f>
        <v>[Source 2]</v>
      </c>
      <c r="E421" s="997" t="str">
        <f>A424</f>
        <v>[Source 3]</v>
      </c>
      <c r="F421" s="129" t="str">
        <f>A425</f>
        <v>[Source 1]</v>
      </c>
      <c r="G421" s="130" t="str">
        <f>A426</f>
        <v>[Source 2]</v>
      </c>
      <c r="H421" s="131" t="str">
        <f>A427</f>
        <v>[Source 3]</v>
      </c>
      <c r="I421" s="129" t="str">
        <f>A428</f>
        <v xml:space="preserve"> IEA Annex I – Municipal solid waste potential in cities; Table I.1</v>
      </c>
      <c r="J421" s="130" t="str">
        <f>A429</f>
        <v>[Source 2]</v>
      </c>
      <c r="K421" s="131" t="str">
        <f>A430</f>
        <v>[Source 3]</v>
      </c>
      <c r="L421" s="129" t="str">
        <f>A431</f>
        <v>[Source 1]</v>
      </c>
      <c r="M421" s="131" t="str">
        <f>A432</f>
        <v>[Source 2]</v>
      </c>
      <c r="N421" s="234" t="s">
        <v>74</v>
      </c>
      <c r="O421" s="133"/>
      <c r="P421" s="133"/>
      <c r="Q421" s="133"/>
      <c r="R421" s="135" t="s">
        <v>76</v>
      </c>
      <c r="S421" s="134" t="s">
        <v>77</v>
      </c>
      <c r="T421" s="134" t="s">
        <v>78</v>
      </c>
      <c r="U421" s="136" t="s">
        <v>79</v>
      </c>
      <c r="V421" s="691"/>
      <c r="W421" s="136" t="s">
        <v>15</v>
      </c>
      <c r="X421" s="134" t="s">
        <v>21</v>
      </c>
      <c r="Y421" s="136" t="s">
        <v>25</v>
      </c>
      <c r="AA421" s="138"/>
      <c r="AB421" s="138"/>
      <c r="AC421" s="138"/>
      <c r="AD421" s="138"/>
      <c r="AE421" s="138"/>
      <c r="AF421" s="138"/>
      <c r="AG421" s="138"/>
      <c r="AH421" s="138"/>
      <c r="AI421" s="138"/>
      <c r="AJ421" s="138"/>
      <c r="AK421" s="138"/>
      <c r="AL421" s="138"/>
      <c r="AM421" s="138"/>
      <c r="AN421" s="138"/>
      <c r="BR421" s="139"/>
      <c r="BS421" s="139"/>
      <c r="BT421" s="139"/>
      <c r="BU421" s="139"/>
      <c r="BV421" s="139"/>
      <c r="BW421" s="122"/>
      <c r="BZ421" s="139"/>
      <c r="CA421" s="139"/>
      <c r="CB421" s="139"/>
      <c r="CC421" s="139"/>
      <c r="CD421" s="139"/>
      <c r="CH421" s="139"/>
      <c r="CI421" s="139"/>
      <c r="CJ421" s="139"/>
      <c r="CK421" s="139"/>
      <c r="CL421" s="139"/>
      <c r="CM421" s="139"/>
      <c r="CQ421" s="139"/>
      <c r="CR421" s="139"/>
      <c r="CS421" s="139"/>
      <c r="CT421" s="139"/>
      <c r="CU421" s="139"/>
      <c r="CZ421" s="140"/>
      <c r="DA421" s="140"/>
      <c r="DB421" s="140"/>
      <c r="DC421" s="140"/>
      <c r="DD421" s="141"/>
      <c r="DE421" s="141"/>
      <c r="DF421" s="141"/>
      <c r="DG421" s="141"/>
      <c r="DH421" s="140"/>
      <c r="DI421" s="142"/>
      <c r="DJ421" s="143"/>
      <c r="DK421" s="144"/>
      <c r="DL421" s="142"/>
      <c r="DM421" s="143"/>
      <c r="DN421" s="140"/>
      <c r="DO421" s="142"/>
      <c r="DP421" s="143"/>
      <c r="DQ421" s="140"/>
      <c r="DV421" s="145">
        <v>2014</v>
      </c>
      <c r="DW421" s="235">
        <f t="shared" ref="DW421:DW467" ca="1" si="214">IF($J$32="N","",IF($L$32="Linear",BV426,IF($L$32="2nd Poly",CD426,IF($L$32="3rd Poly",CM426,IF($L$32="Exp",CT426)))))</f>
        <v>189.69194626360641</v>
      </c>
      <c r="EA421" s="33" t="str">
        <f>$M$32</f>
        <v>Medium</v>
      </c>
      <c r="EB421" s="33"/>
      <c r="EC421" s="33"/>
      <c r="ED421" s="33"/>
      <c r="EE421" s="33"/>
    </row>
    <row r="422" spans="1:135" ht="14.1" thickBot="1" x14ac:dyDescent="0.5">
      <c r="A422" s="948" t="s">
        <v>549</v>
      </c>
      <c r="B422" s="128">
        <v>2012</v>
      </c>
      <c r="C422" s="998">
        <v>164.68996850409536</v>
      </c>
      <c r="D422" s="999"/>
      <c r="E422" s="1000"/>
      <c r="F422" s="1093"/>
      <c r="G422" s="264"/>
      <c r="H422" s="239"/>
      <c r="I422" s="1137">
        <v>185.42857142857144</v>
      </c>
      <c r="J422" s="264"/>
      <c r="K422" s="239"/>
      <c r="L422" s="190"/>
      <c r="M422" s="239"/>
      <c r="N422" s="29" t="s">
        <v>119</v>
      </c>
      <c r="O422" s="120"/>
      <c r="P422" s="120"/>
      <c r="Q422" s="120"/>
      <c r="R422" s="29">
        <v>-2</v>
      </c>
      <c r="S422" s="238">
        <f t="shared" ref="S422:S470" si="215">IF(MIN(C422:Q422)=0,"",MIN(C422:Q422))</f>
        <v>164.68996850409536</v>
      </c>
      <c r="T422" s="238">
        <f t="shared" ref="T422:T470" si="216">IF(MAX(C422:Q422)=0,"",MAX(C422:Q422))</f>
        <v>185.42857142857144</v>
      </c>
      <c r="U422" s="238">
        <f t="shared" ref="U422:U470" si="217">IF(T422="","",_xlfn.STDEV.P(C422:Q422))</f>
        <v>10.369301462238042</v>
      </c>
      <c r="V422" s="29"/>
      <c r="W422" s="238">
        <f t="shared" ref="W422:W470" si="218">IF(U422="",#N/A,X422-(U422*$Q$32))</f>
        <v>164.68996850409536</v>
      </c>
      <c r="X422" s="238">
        <f t="shared" ref="X422:X453" si="219">IF(U422="",#N/A,(SUM(C422:Q422)/COUNTIFS(C422:Q422,"&gt;0")))</f>
        <v>175.0592699663334</v>
      </c>
      <c r="Y422" s="238">
        <f t="shared" ref="Y422:Y470" si="220">IF(U422="",#N/A,X422+(U422*$Q$31))</f>
        <v>185.42857142857144</v>
      </c>
      <c r="AA422" s="138"/>
      <c r="AB422" s="138"/>
      <c r="AC422" s="138"/>
      <c r="AD422" s="138"/>
      <c r="AE422" s="138"/>
      <c r="AF422" s="138"/>
      <c r="AG422" s="138"/>
      <c r="AH422" s="138"/>
      <c r="AI422" s="138"/>
      <c r="AJ422" s="138"/>
      <c r="AK422" s="138"/>
      <c r="AL422" s="138"/>
      <c r="AM422" s="138"/>
      <c r="AN422" s="138"/>
      <c r="BR422" s="691" t="s">
        <v>81</v>
      </c>
      <c r="BS422" s="65" t="str">
        <f>$M$32</f>
        <v>Medium</v>
      </c>
      <c r="BT422" s="691" t="s">
        <v>82</v>
      </c>
      <c r="BU422" s="691" t="s">
        <v>83</v>
      </c>
      <c r="BW422" s="133"/>
      <c r="BY422" s="691" t="s">
        <v>81</v>
      </c>
      <c r="BZ422" s="65" t="str">
        <f>$M$32</f>
        <v>Medium</v>
      </c>
      <c r="CA422" s="691" t="s">
        <v>84</v>
      </c>
      <c r="CB422" s="691" t="s">
        <v>82</v>
      </c>
      <c r="CC422" s="691" t="s">
        <v>83</v>
      </c>
      <c r="CG422" s="691" t="s">
        <v>81</v>
      </c>
      <c r="CH422" s="65" t="str">
        <f>$M$32</f>
        <v>Medium</v>
      </c>
      <c r="CI422" s="691" t="s">
        <v>85</v>
      </c>
      <c r="CJ422" s="691" t="s">
        <v>84</v>
      </c>
      <c r="CK422" s="691" t="s">
        <v>82</v>
      </c>
      <c r="CL422" s="691" t="s">
        <v>83</v>
      </c>
      <c r="CP422" s="691" t="s">
        <v>81</v>
      </c>
      <c r="CQ422" s="65" t="str">
        <f>$M$32</f>
        <v>Medium</v>
      </c>
      <c r="CR422" s="691" t="s">
        <v>86</v>
      </c>
      <c r="CS422" s="691" t="s">
        <v>87</v>
      </c>
      <c r="CZ422" s="155" t="b">
        <f t="shared" ref="CZ422:DB461" si="221">ISNUMBER(W422)</f>
        <v>1</v>
      </c>
      <c r="DA422" s="156" t="b">
        <f t="shared" si="221"/>
        <v>1</v>
      </c>
      <c r="DB422" s="157" t="b">
        <f t="shared" si="221"/>
        <v>1</v>
      </c>
      <c r="DC422" s="155">
        <f t="shared" ref="DC422:DC470" si="222">IF(CZ422=TRUE,$R422,"")</f>
        <v>-2</v>
      </c>
      <c r="DD422" s="157">
        <f t="shared" ref="DD422:DD470" si="223">IF(CZ422=TRUE,W422,"")</f>
        <v>164.68996850409536</v>
      </c>
      <c r="DE422" s="155">
        <f t="shared" ref="DE422:DE470" si="224">IF(DA422=TRUE,$R422,"")</f>
        <v>-2</v>
      </c>
      <c r="DF422" s="157">
        <f t="shared" ref="DF422:DF470" si="225">IF(DA422=TRUE,X422,"")</f>
        <v>175.0592699663334</v>
      </c>
      <c r="DG422" s="155">
        <f t="shared" ref="DG422:DG470" si="226">IF(DB422=TRUE,$R422,"")</f>
        <v>-2</v>
      </c>
      <c r="DH422" s="157">
        <f t="shared" ref="DH422:DH470" si="227">IF(DB422=TRUE,Y422,"")</f>
        <v>185.42857142857144</v>
      </c>
      <c r="DI422" s="155">
        <f>IFERROR(INDEX(DC$422:DC$470,_xlfn.AGGREGATE(15,6,(ROW(DC$422:DC$470)-ROW(DC$422)+1)/(DC$422:DC$470&lt;&gt;""),ROWS(DI$1:DI1))),"")</f>
        <v>-2</v>
      </c>
      <c r="DJ422" s="156">
        <f>IFERROR(INDEX(DD$422:DD$470,_xlfn.AGGREGATE(15,6,(ROW(DD$422:DD$470)-ROW(DD$422)+1)/(DD$422:DD$470&lt;&gt;""),ROWS(DJ$1:DJ1))),"")</f>
        <v>164.68996850409536</v>
      </c>
      <c r="DK422" s="157">
        <f t="shared" ref="DK422:DK470" si="228">IF(ISNUMBER(DI422),ROW(DI422),"")</f>
        <v>422</v>
      </c>
      <c r="DL422" s="155">
        <f>IFERROR(INDEX(DE$422:DE$470,_xlfn.AGGREGATE(15,6,(ROW(DE$422:DE$470)-ROW(DE$422)+1)/(DE$422:DE$470&lt;&gt;""),ROWS(DL$1:DL1))),"")</f>
        <v>-2</v>
      </c>
      <c r="DM422" s="156">
        <f>IFERROR(INDEX(DF$422:DF$470,_xlfn.AGGREGATE(15,6,(ROW(DF$422:DF$470)-ROW(DF$422)+1)/(DF$422:DF$470&lt;&gt;""),ROWS(DM$1:DM1))),"")</f>
        <v>175.0592699663334</v>
      </c>
      <c r="DN422" s="157">
        <f t="shared" ref="DN422:DN470" si="229">IF(ISNUMBER(DI422),ROW(DI422),"")</f>
        <v>422</v>
      </c>
      <c r="DO422" s="155">
        <f>IFERROR(INDEX(DG$422:DG$470,_xlfn.AGGREGATE(15,6,(ROW(DG$422:DG$470)-ROW(DG$422)+1)/(DG$422:DG$470&lt;&gt;""),ROWS(DO$1:DO1))),"")</f>
        <v>-2</v>
      </c>
      <c r="DP422" s="156">
        <f>IFERROR(INDEX(DH$422:DH$470,_xlfn.AGGREGATE(15,6,(ROW(DH$422:DH$470)-ROW(DH$422)+1)/(DH$422:DH$470&lt;&gt;""),ROWS(DP$1:DP1))),"")</f>
        <v>185.42857142857144</v>
      </c>
      <c r="DQ422" s="157">
        <f t="shared" ref="DQ422:DQ470" si="230">IF(ISNUMBER(DL422),ROW(DL422),"")</f>
        <v>422</v>
      </c>
      <c r="DV422" s="145">
        <v>2015</v>
      </c>
      <c r="DW422" s="235">
        <f t="shared" ca="1" si="214"/>
        <v>201.29017778641011</v>
      </c>
      <c r="EA422" s="33"/>
      <c r="EB422" s="33"/>
      <c r="EC422" s="33"/>
      <c r="ED422" s="33"/>
      <c r="EE422" s="33"/>
    </row>
    <row r="423" spans="1:135" ht="13.8" x14ac:dyDescent="0.45">
      <c r="A423" s="148" t="s">
        <v>88</v>
      </c>
      <c r="B423" s="128">
        <v>2013</v>
      </c>
      <c r="C423" s="1001">
        <v>176.01747637807151</v>
      </c>
      <c r="D423" s="985"/>
      <c r="E423" s="1002"/>
      <c r="F423" s="1093"/>
      <c r="G423" s="264"/>
      <c r="H423" s="239"/>
      <c r="I423" s="1001">
        <v>191.57142857142858</v>
      </c>
      <c r="J423" s="264"/>
      <c r="K423" s="239"/>
      <c r="L423" s="190"/>
      <c r="M423" s="239"/>
      <c r="N423" s="29" t="s">
        <v>119</v>
      </c>
      <c r="O423" s="120"/>
      <c r="P423" s="120"/>
      <c r="Q423" s="120"/>
      <c r="R423" s="29">
        <v>-1</v>
      </c>
      <c r="S423" s="238">
        <f t="shared" si="215"/>
        <v>176.01747637807151</v>
      </c>
      <c r="T423" s="238">
        <f t="shared" si="216"/>
        <v>191.57142857142858</v>
      </c>
      <c r="U423" s="238">
        <f t="shared" si="217"/>
        <v>7.7769760966785384</v>
      </c>
      <c r="V423" s="29"/>
      <c r="W423" s="238">
        <f t="shared" si="218"/>
        <v>176.01747637807151</v>
      </c>
      <c r="X423" s="238">
        <f t="shared" si="219"/>
        <v>183.79445247475005</v>
      </c>
      <c r="Y423" s="238">
        <f t="shared" si="220"/>
        <v>191.57142857142858</v>
      </c>
      <c r="AA423" s="138"/>
      <c r="AB423" s="138"/>
      <c r="AC423" s="138"/>
      <c r="AD423" s="138"/>
      <c r="AE423" s="138"/>
      <c r="AF423" s="138"/>
      <c r="AG423" s="138"/>
      <c r="AH423" s="138"/>
      <c r="AI423" s="138"/>
      <c r="AJ423" s="138"/>
      <c r="AK423" s="138"/>
      <c r="AL423" s="138"/>
      <c r="AM423" s="138"/>
      <c r="AN423" s="138"/>
      <c r="BS423" s="160" t="s">
        <v>25</v>
      </c>
      <c r="BT423" s="161">
        <f>SLOPE((DH422:DH470),($B$46:$B$94))</f>
        <v>10.139554372870242</v>
      </c>
      <c r="BU423" s="162">
        <f>INTERCEPT(DP422:DP470,DO422:DO470)</f>
        <v>193.08712048117542</v>
      </c>
      <c r="BW423" s="133"/>
      <c r="BZ423" s="160" t="s">
        <v>25</v>
      </c>
      <c r="CA423" s="161">
        <f ca="1">INDEX(LINEST((INDIRECT(DO419):INDIRECT(DP419)),(INDIRECT(DO420):INDIRECT(DP420))^{1,2}),1)</f>
        <v>4.6977166199621639E-2</v>
      </c>
      <c r="CB423" s="163">
        <f ca="1">INDEX(LINEST((INDIRECT(DO419):INDIRECT(DP419)),(INDIRECT(DO420):INDIRECT(DP420))^{1,2}),1,2)</f>
        <v>8.0725590600868902</v>
      </c>
      <c r="CC423" s="162">
        <f ca="1">INDEX(LINEST((INDIRECT(DO419):INDIRECT(DP419)),(INDIRECT(DO420):INDIRECT(DP420))^{1,2}),1,3)</f>
        <v>206.42863568186795</v>
      </c>
      <c r="CH423" s="160" t="s">
        <v>25</v>
      </c>
      <c r="CI423" s="161">
        <f ca="1">INDEX(LINEST((INDIRECT(DO419):INDIRECT(DP419)),(INDIRECT(DO420):INDIRECT(DP420))^{1,2,3}),1)</f>
        <v>5.045771210142983E-3</v>
      </c>
      <c r="CJ423" s="163">
        <f ca="1">INDEX(LINEST((INDIRECT(DO419):INDIRECT(DP419)),(INDIRECT(DO420):INDIRECT(DP420))^{1,2,3}),1,2)</f>
        <v>-0.28604373366981523</v>
      </c>
      <c r="CK423" s="163">
        <f ca="1">INDEX(LINEST((INDIRECT(DO419):INDIRECT(DP419)),(INDIRECT(DO420):INDIRECT(DP420))^{1,2,3}),1,3)</f>
        <v>13.583550375805055</v>
      </c>
      <c r="CL423" s="162">
        <f ca="1">INDEX(LINEST((INDIRECT(DO419):INDIRECT(DP419)),(INDIRECT(DO420):INDIRECT(DP420))^{1,2,3}),1,4)</f>
        <v>192.64157042727328</v>
      </c>
      <c r="CQ423" s="160" t="s">
        <v>25</v>
      </c>
      <c r="CR423" s="161">
        <f ca="1">EXP(INDEX(LINEST(LN(INDIRECT(DO419):INDIRECT(DP419)),(INDIRECT(DO420):INDIRECT(DP420))),1,2))</f>
        <v>220.1413519609454</v>
      </c>
      <c r="CS423" s="162">
        <f ca="1">INDEX(LINEST(LN(INDIRECT(DO419):INDIRECT(DP419)),(INDIRECT(DO420):INDIRECT(DP420))),1)</f>
        <v>2.5948992469393382E-2</v>
      </c>
      <c r="CZ423" s="164" t="b">
        <f t="shared" si="221"/>
        <v>1</v>
      </c>
      <c r="DA423" s="165" t="b">
        <f t="shared" si="221"/>
        <v>1</v>
      </c>
      <c r="DB423" s="166" t="b">
        <f t="shared" si="221"/>
        <v>1</v>
      </c>
      <c r="DC423" s="164">
        <f t="shared" si="222"/>
        <v>-1</v>
      </c>
      <c r="DD423" s="166">
        <f t="shared" si="223"/>
        <v>176.01747637807151</v>
      </c>
      <c r="DE423" s="164">
        <f t="shared" si="224"/>
        <v>-1</v>
      </c>
      <c r="DF423" s="166">
        <f t="shared" si="225"/>
        <v>183.79445247475005</v>
      </c>
      <c r="DG423" s="164">
        <f t="shared" si="226"/>
        <v>-1</v>
      </c>
      <c r="DH423" s="166">
        <f t="shared" si="227"/>
        <v>191.57142857142858</v>
      </c>
      <c r="DI423" s="164">
        <f>IFERROR(INDEX(DC$422:DC$470,_xlfn.AGGREGATE(15,6,(ROW(DC$422:DC$470)-ROW(DC$422)+1)/(DC$422:DC$470&lt;&gt;""),ROWS(DI$1:DI2))),"")</f>
        <v>-1</v>
      </c>
      <c r="DJ423" s="165">
        <f>IFERROR(INDEX(DD$422:DD$470,_xlfn.AGGREGATE(15,6,(ROW(DD$422:DD$470)-ROW(DD$422)+1)/(DD$422:DD$470&lt;&gt;""),ROWS(DJ$1:DJ2))),"")</f>
        <v>176.01747637807151</v>
      </c>
      <c r="DK423" s="166">
        <f t="shared" si="228"/>
        <v>423</v>
      </c>
      <c r="DL423" s="164">
        <f>IFERROR(INDEX(DE$422:DE$470,_xlfn.AGGREGATE(15,6,(ROW(DE$422:DE$470)-ROW(DE$422)+1)/(DE$422:DE$470&lt;&gt;""),ROWS(DL$1:DL2))),"")</f>
        <v>-1</v>
      </c>
      <c r="DM423" s="165">
        <f>IFERROR(INDEX(DF$422:DF$470,_xlfn.AGGREGATE(15,6,(ROW(DF$422:DF$470)-ROW(DF$422)+1)/(DF$422:DF$470&lt;&gt;""),ROWS(DM$1:DM2))),"")</f>
        <v>183.79445247475005</v>
      </c>
      <c r="DN423" s="166">
        <f t="shared" si="229"/>
        <v>423</v>
      </c>
      <c r="DO423" s="164">
        <f>IFERROR(INDEX(DG$422:DG$470,_xlfn.AGGREGATE(15,6,(ROW(DG$422:DG$470)-ROW(DG$422)+1)/(DG$422:DG$470&lt;&gt;""),ROWS(DO$1:DO2))),"")</f>
        <v>-1</v>
      </c>
      <c r="DP423" s="165">
        <f>IFERROR(INDEX(DH$422:DH$470,_xlfn.AGGREGATE(15,6,(ROW(DH$422:DH$470)-ROW(DH$422)+1)/(DH$422:DH$470&lt;&gt;""),ROWS(DP$1:DP2))),"")</f>
        <v>191.57142857142858</v>
      </c>
      <c r="DQ423" s="166">
        <f t="shared" si="230"/>
        <v>423</v>
      </c>
      <c r="DV423" s="145">
        <v>2016</v>
      </c>
      <c r="DW423" s="235">
        <f t="shared" ca="1" si="214"/>
        <v>212.63677348466723</v>
      </c>
      <c r="EA423" s="33"/>
      <c r="EB423" s="33"/>
      <c r="EC423" s="33"/>
      <c r="ED423" s="33"/>
      <c r="EE423" s="33"/>
    </row>
    <row r="424" spans="1:135" ht="13.8" x14ac:dyDescent="0.45">
      <c r="A424" s="148" t="s">
        <v>90</v>
      </c>
      <c r="B424" s="128">
        <v>2014</v>
      </c>
      <c r="C424" s="1001">
        <v>187.34498425204768</v>
      </c>
      <c r="D424" s="986"/>
      <c r="E424" s="169"/>
      <c r="F424" s="1093"/>
      <c r="G424" s="168"/>
      <c r="H424" s="169"/>
      <c r="I424" s="1001">
        <v>197.71428571428572</v>
      </c>
      <c r="J424" s="168"/>
      <c r="K424" s="169"/>
      <c r="L424" s="170"/>
      <c r="M424" s="169"/>
      <c r="N424" s="29" t="s">
        <v>119</v>
      </c>
      <c r="O424" s="120"/>
      <c r="P424" s="120"/>
      <c r="Q424" s="120"/>
      <c r="R424" s="29">
        <v>0</v>
      </c>
      <c r="S424" s="238">
        <f t="shared" si="215"/>
        <v>187.34498425204768</v>
      </c>
      <c r="T424" s="238">
        <f t="shared" si="216"/>
        <v>197.71428571428572</v>
      </c>
      <c r="U424" s="238">
        <f t="shared" si="217"/>
        <v>5.1846507311190209</v>
      </c>
      <c r="V424" s="29"/>
      <c r="W424" s="238">
        <f t="shared" si="218"/>
        <v>187.34498425204771</v>
      </c>
      <c r="X424" s="238">
        <f t="shared" si="219"/>
        <v>192.52963498316672</v>
      </c>
      <c r="Y424" s="238">
        <f t="shared" si="220"/>
        <v>197.71428571428572</v>
      </c>
      <c r="AA424" s="138"/>
      <c r="AB424" s="138"/>
      <c r="AC424" s="138"/>
      <c r="AD424" s="138"/>
      <c r="AE424" s="138"/>
      <c r="AF424" s="138"/>
      <c r="AG424" s="138"/>
      <c r="AH424" s="138"/>
      <c r="AI424" s="138"/>
      <c r="AJ424" s="138"/>
      <c r="AK424" s="138"/>
      <c r="AL424" s="138"/>
      <c r="AM424" s="138"/>
      <c r="AN424" s="138"/>
      <c r="BS424" s="160" t="s">
        <v>91</v>
      </c>
      <c r="BT424" s="172">
        <f>SLOPE((DF422:DF470),($B$46:$B$94))</f>
        <v>7.9518325623064925</v>
      </c>
      <c r="BU424" s="173">
        <f>INTERCEPT(DM422:DM470,DL422:DL470)</f>
        <v>209.52575142326765</v>
      </c>
      <c r="BZ424" s="160" t="s">
        <v>91</v>
      </c>
      <c r="CA424" s="172">
        <f ca="1">INDEX(LINEST((INDIRECT(DL419):INDIRECT(DM419)),(INDIRECT(DL420):INDIRECT(DM420))^{1,2}),1)</f>
        <v>-5.9747279714709577E-2</v>
      </c>
      <c r="CB424" s="174">
        <f ca="1">INDEX(LINEST((INDIRECT(DL419):INDIRECT(DM419)),(INDIRECT(DL420):INDIRECT(DM420))^{1,2}),1,2)</f>
        <v>10.580712869753713</v>
      </c>
      <c r="CC424" s="173">
        <f ca="1">INDEX(LINEST((INDIRECT(DL419):INDIRECT(DM419)),(INDIRECT(DL420):INDIRECT(DM420))^{1,2}),1,3)</f>
        <v>192.55752398429016</v>
      </c>
      <c r="CH424" s="160" t="s">
        <v>91</v>
      </c>
      <c r="CI424" s="172">
        <f ca="1">INDEX(LINEST((INDIRECT(DL419):INDIRECT(DM419)),(INDIRECT(DL420):INDIRECT(DM420))^{1,2,3}),1)</f>
        <v>1.0487401993425642E-3</v>
      </c>
      <c r="CJ424" s="174">
        <f ca="1">INDEX(LINEST((INDIRECT(DL419):INDIRECT(DM419)),(INDIRECT(DL420):INDIRECT(DM420))^{1,2,3}),1,2)</f>
        <v>-0.12896413287131903</v>
      </c>
      <c r="CK424" s="174">
        <f ca="1">INDEX(LINEST((INDIRECT(DL419):INDIRECT(DM419)),(INDIRECT(DL420):INDIRECT(DM420))^{1,2,3}),1,3)</f>
        <v>11.726146915475672</v>
      </c>
      <c r="CL424" s="173">
        <f ca="1">INDEX(LINEST((INDIRECT(DL419):INDIRECT(DM419)),(INDIRECT(DL420):INDIRECT(DM420))^{1,2,3}),1,4)</f>
        <v>189.69194626360641</v>
      </c>
      <c r="CQ424" s="160" t="s">
        <v>91</v>
      </c>
      <c r="CR424" s="172">
        <f ca="1">EXP(INDEX(LINEST(LN(INDIRECT(DL419):INDIRECT(DM419)),(INDIRECT(DL420):INDIRECT(DM420))),1,2))</f>
        <v>222.33137667214683</v>
      </c>
      <c r="CS424" s="173">
        <f ca="1">INDEX(LINEST(LN(INDIRECT(DL419):INDIRECT(DM419)),(INDIRECT(DL420):INDIRECT(DM420))),1)</f>
        <v>2.2615431584909952E-2</v>
      </c>
      <c r="CZ424" s="164" t="b">
        <f t="shared" si="221"/>
        <v>1</v>
      </c>
      <c r="DA424" s="165" t="b">
        <f t="shared" si="221"/>
        <v>1</v>
      </c>
      <c r="DB424" s="166" t="b">
        <f t="shared" si="221"/>
        <v>1</v>
      </c>
      <c r="DC424" s="164">
        <f t="shared" si="222"/>
        <v>0</v>
      </c>
      <c r="DD424" s="166">
        <f t="shared" si="223"/>
        <v>187.34498425204771</v>
      </c>
      <c r="DE424" s="164">
        <f t="shared" si="224"/>
        <v>0</v>
      </c>
      <c r="DF424" s="166">
        <f t="shared" si="225"/>
        <v>192.52963498316672</v>
      </c>
      <c r="DG424" s="164">
        <f t="shared" si="226"/>
        <v>0</v>
      </c>
      <c r="DH424" s="166">
        <f t="shared" si="227"/>
        <v>197.71428571428572</v>
      </c>
      <c r="DI424" s="164">
        <f>IFERROR(INDEX(DC$422:DC$470,_xlfn.AGGREGATE(15,6,(ROW(DC$422:DC$470)-ROW(DC$422)+1)/(DC$422:DC$470&lt;&gt;""),ROWS(DI$1:DI3))),"")</f>
        <v>0</v>
      </c>
      <c r="DJ424" s="165">
        <f>IFERROR(INDEX(DD$422:DD$470,_xlfn.AGGREGATE(15,6,(ROW(DD$422:DD$470)-ROW(DD$422)+1)/(DD$422:DD$470&lt;&gt;""),ROWS(DJ$1:DJ3))),"")</f>
        <v>187.34498425204771</v>
      </c>
      <c r="DK424" s="166">
        <f t="shared" si="228"/>
        <v>424</v>
      </c>
      <c r="DL424" s="164">
        <f>IFERROR(INDEX(DE$422:DE$470,_xlfn.AGGREGATE(15,6,(ROW(DE$422:DE$470)-ROW(DE$422)+1)/(DE$422:DE$470&lt;&gt;""),ROWS(DL$1:DL3))),"")</f>
        <v>0</v>
      </c>
      <c r="DM424" s="165">
        <f>IFERROR(INDEX(DF$422:DF$470,_xlfn.AGGREGATE(15,6,(ROW(DF$422:DF$470)-ROW(DF$422)+1)/(DF$422:DF$470&lt;&gt;""),ROWS(DM$1:DM3))),"")</f>
        <v>192.52963498316672</v>
      </c>
      <c r="DN424" s="166">
        <f t="shared" si="229"/>
        <v>424</v>
      </c>
      <c r="DO424" s="164">
        <f>IFERROR(INDEX(DG$422:DG$470,_xlfn.AGGREGATE(15,6,(ROW(DG$422:DG$470)-ROW(DG$422)+1)/(DG$422:DG$470&lt;&gt;""),ROWS(DO$1:DO3))),"")</f>
        <v>0</v>
      </c>
      <c r="DP424" s="165">
        <f>IFERROR(INDEX(DH$422:DH$470,_xlfn.AGGREGATE(15,6,(ROW(DH$422:DH$470)-ROW(DH$422)+1)/(DH$422:DH$470&lt;&gt;""),ROWS(DP$1:DP3))),"")</f>
        <v>197.71428571428572</v>
      </c>
      <c r="DQ424" s="166">
        <f t="shared" si="230"/>
        <v>424</v>
      </c>
      <c r="DV424" s="145">
        <v>2017</v>
      </c>
      <c r="DW424" s="235">
        <f t="shared" ca="1" si="214"/>
        <v>223.73802579957379</v>
      </c>
      <c r="DZ424" s="65" t="s">
        <v>89</v>
      </c>
      <c r="EA424" s="33"/>
      <c r="EB424" s="33"/>
      <c r="EC424" s="33"/>
      <c r="ED424" s="33"/>
      <c r="EE424" s="33"/>
    </row>
    <row r="425" spans="1:135" ht="14.1" thickBot="1" x14ac:dyDescent="0.5">
      <c r="A425" s="949" t="s">
        <v>80</v>
      </c>
      <c r="B425" s="128">
        <v>2015</v>
      </c>
      <c r="C425" s="1001">
        <v>198.67249212602385</v>
      </c>
      <c r="D425" s="1012"/>
      <c r="E425" s="1010"/>
      <c r="F425" s="1094"/>
      <c r="G425" s="1012"/>
      <c r="H425" s="151"/>
      <c r="I425" s="1001">
        <v>203.85714285714286</v>
      </c>
      <c r="J425" s="159"/>
      <c r="K425" s="151"/>
      <c r="L425" s="152"/>
      <c r="M425" s="151"/>
      <c r="N425" s="29" t="s">
        <v>119</v>
      </c>
      <c r="O425" s="120"/>
      <c r="P425" s="120"/>
      <c r="Q425" s="120"/>
      <c r="R425" s="29">
        <v>1</v>
      </c>
      <c r="S425" s="238">
        <f t="shared" si="215"/>
        <v>198.67249212602385</v>
      </c>
      <c r="T425" s="238">
        <f t="shared" si="216"/>
        <v>203.85714285714286</v>
      </c>
      <c r="U425" s="238">
        <f t="shared" si="217"/>
        <v>2.5923253655595033</v>
      </c>
      <c r="V425" s="29"/>
      <c r="W425" s="238">
        <f t="shared" si="218"/>
        <v>198.67249212602385</v>
      </c>
      <c r="X425" s="238">
        <f t="shared" si="219"/>
        <v>201.26481749158336</v>
      </c>
      <c r="Y425" s="238">
        <f t="shared" si="220"/>
        <v>203.85714285714286</v>
      </c>
      <c r="AA425" s="138"/>
      <c r="AB425" s="138"/>
      <c r="AC425" s="138"/>
      <c r="AD425" s="138"/>
      <c r="AE425" s="138"/>
      <c r="AF425" s="138"/>
      <c r="AG425" s="138"/>
      <c r="AH425" s="138"/>
      <c r="AI425" s="138"/>
      <c r="AJ425" s="138"/>
      <c r="AK425" s="138"/>
      <c r="AL425" s="138"/>
      <c r="AM425" s="138"/>
      <c r="AN425" s="138"/>
      <c r="BR425" s="29"/>
      <c r="BS425" s="160" t="s">
        <v>15</v>
      </c>
      <c r="BT425" s="177">
        <f>SLOPE((DD422:DD470),($B$46:$B$94))</f>
        <v>5.7641107517427432</v>
      </c>
      <c r="BU425" s="178">
        <f>INTERCEPT(DJ422:DJ470,DI422:DI470)</f>
        <v>225.96438236536022</v>
      </c>
      <c r="BV425" s="691" t="s">
        <v>71</v>
      </c>
      <c r="BY425" s="29"/>
      <c r="BZ425" s="160" t="s">
        <v>15</v>
      </c>
      <c r="CA425" s="177">
        <f ca="1">INDEX(LINEST((INDIRECT(DI419):INDIRECT(DJ419)),(INDIRECT(DI420):INDIRECT(DJ420))^{1,2}),1)</f>
        <v>-0.16647172562904097</v>
      </c>
      <c r="CB425" s="179">
        <f ca="1">INDEX(LINEST((INDIRECT(DI419):INDIRECT(DJ419)),(INDIRECT(DI420):INDIRECT(DJ420))^{1,2}),1,2)</f>
        <v>13.088866679420542</v>
      </c>
      <c r="CC425" s="178">
        <f ca="1">INDEX(LINEST((INDIRECT(DI419):INDIRECT(DJ419)),(INDIRECT(DI420):INDIRECT(DJ420))^{1,2}),1,3)</f>
        <v>178.68641228671271</v>
      </c>
      <c r="CD425" s="691" t="s">
        <v>71</v>
      </c>
      <c r="CG425" s="29"/>
      <c r="CH425" s="160" t="s">
        <v>15</v>
      </c>
      <c r="CI425" s="177">
        <f ca="1">INDEX(LINEST((INDIRECT(DI419):INDIRECT(DJ419)),(INDIRECT(DI420):INDIRECT(DJ420))^{1,2,3}),1)</f>
        <v>-2.9482908114578502E-3</v>
      </c>
      <c r="CJ425" s="179">
        <f ca="1">INDEX(LINEST((INDIRECT(DI419):INDIRECT(DJ419)),(INDIRECT(DI420):INDIRECT(DJ420))^{1,2,3}),1,2)</f>
        <v>2.8115467927176827E-2</v>
      </c>
      <c r="CK425" s="179">
        <f ca="1">INDEX(LINEST((INDIRECT(DI419):INDIRECT(DJ419)),(INDIRECT(DI420):INDIRECT(DJ420))^{1,2,3}),1,3)</f>
        <v>9.868743455146296</v>
      </c>
      <c r="CL425" s="178">
        <f ca="1">INDEX(LINEST((INDIRECT(DI419):INDIRECT(DJ419)),(INDIRECT(DI420):INDIRECT(DJ420))^{1,2,3}),1,4)</f>
        <v>186.74232209993994</v>
      </c>
      <c r="CM425" s="691" t="s">
        <v>71</v>
      </c>
      <c r="CP425" s="29"/>
      <c r="CQ425" s="160" t="s">
        <v>15</v>
      </c>
      <c r="CR425" s="177">
        <f ca="1">EXP(INDEX(LINEST(LN(INDIRECT(DI419):INDIRECT(DJ419)),(INDIRECT(DI420):INDIRECT(DJ420))),1,2))</f>
        <v>227.32541838583234</v>
      </c>
      <c r="CS425" s="178">
        <f ca="1">INDEX(LINEST(LN(INDIRECT(DI419):INDIRECT(DJ419)),(INDIRECT(DI420):INDIRECT(DJ420))),1)</f>
        <v>1.8216973970936669E-2</v>
      </c>
      <c r="CT425" s="691" t="s">
        <v>71</v>
      </c>
      <c r="CZ425" s="164" t="b">
        <f t="shared" si="221"/>
        <v>1</v>
      </c>
      <c r="DA425" s="165" t="b">
        <f t="shared" si="221"/>
        <v>1</v>
      </c>
      <c r="DB425" s="166" t="b">
        <f t="shared" si="221"/>
        <v>1</v>
      </c>
      <c r="DC425" s="164">
        <f t="shared" si="222"/>
        <v>1</v>
      </c>
      <c r="DD425" s="166">
        <f t="shared" si="223"/>
        <v>198.67249212602385</v>
      </c>
      <c r="DE425" s="164">
        <f t="shared" si="224"/>
        <v>1</v>
      </c>
      <c r="DF425" s="166">
        <f t="shared" si="225"/>
        <v>201.26481749158336</v>
      </c>
      <c r="DG425" s="164">
        <f t="shared" si="226"/>
        <v>1</v>
      </c>
      <c r="DH425" s="166">
        <f t="shared" si="227"/>
        <v>203.85714285714286</v>
      </c>
      <c r="DI425" s="164">
        <f>IFERROR(INDEX(DC$422:DC$470,_xlfn.AGGREGATE(15,6,(ROW(DC$422:DC$470)-ROW(DC$422)+1)/(DC$422:DC$470&lt;&gt;""),ROWS(DI$1:DI4))),"")</f>
        <v>1</v>
      </c>
      <c r="DJ425" s="165">
        <f>IFERROR(INDEX(DD$422:DD$470,_xlfn.AGGREGATE(15,6,(ROW(DD$422:DD$470)-ROW(DD$422)+1)/(DD$422:DD$470&lt;&gt;""),ROWS(DJ$1:DJ4))),"")</f>
        <v>198.67249212602385</v>
      </c>
      <c r="DK425" s="166">
        <f t="shared" si="228"/>
        <v>425</v>
      </c>
      <c r="DL425" s="164">
        <f>IFERROR(INDEX(DE$422:DE$470,_xlfn.AGGREGATE(15,6,(ROW(DE$422:DE$470)-ROW(DE$422)+1)/(DE$422:DE$470&lt;&gt;""),ROWS(DL$1:DL4))),"")</f>
        <v>1</v>
      </c>
      <c r="DM425" s="165">
        <f>IFERROR(INDEX(DF$422:DF$470,_xlfn.AGGREGATE(15,6,(ROW(DF$422:DF$470)-ROW(DF$422)+1)/(DF$422:DF$470&lt;&gt;""),ROWS(DM$1:DM4))),"")</f>
        <v>201.26481749158336</v>
      </c>
      <c r="DN425" s="166">
        <f t="shared" si="229"/>
        <v>425</v>
      </c>
      <c r="DO425" s="164">
        <f>IFERROR(INDEX(DG$422:DG$470,_xlfn.AGGREGATE(15,6,(ROW(DG$422:DG$470)-ROW(DG$422)+1)/(DG$422:DG$470&lt;&gt;""),ROWS(DO$1:DO4))),"")</f>
        <v>1</v>
      </c>
      <c r="DP425" s="165">
        <f>IFERROR(INDEX(DH$422:DH$470,_xlfn.AGGREGATE(15,6,(ROW(DH$422:DH$470)-ROW(DH$422)+1)/(DH$422:DH$470&lt;&gt;""),ROWS(DP$1:DP4))),"")</f>
        <v>203.85714285714286</v>
      </c>
      <c r="DQ425" s="166">
        <f t="shared" si="230"/>
        <v>425</v>
      </c>
      <c r="DV425" s="145">
        <v>2018</v>
      </c>
      <c r="DW425" s="235">
        <f t="shared" ca="1" si="214"/>
        <v>234.6002271723259</v>
      </c>
      <c r="EA425" s="33" t="s">
        <v>85</v>
      </c>
      <c r="EB425" s="33" t="s">
        <v>84</v>
      </c>
      <c r="EC425" s="33" t="s">
        <v>82</v>
      </c>
      <c r="ED425" s="33" t="s">
        <v>83</v>
      </c>
      <c r="EE425" s="33"/>
    </row>
    <row r="426" spans="1:135" ht="13.8" x14ac:dyDescent="0.45">
      <c r="A426" s="148" t="s">
        <v>88</v>
      </c>
      <c r="B426" s="128">
        <v>2016</v>
      </c>
      <c r="C426" s="1001">
        <v>210</v>
      </c>
      <c r="D426" s="1011"/>
      <c r="E426" s="1003"/>
      <c r="F426" s="1093"/>
      <c r="G426" s="159"/>
      <c r="H426" s="151"/>
      <c r="I426" s="1001">
        <v>210</v>
      </c>
      <c r="J426" s="159"/>
      <c r="K426" s="151"/>
      <c r="L426" s="152"/>
      <c r="M426" s="151"/>
      <c r="N426" s="29" t="s">
        <v>119</v>
      </c>
      <c r="O426" s="120"/>
      <c r="P426" s="120"/>
      <c r="Q426" s="120"/>
      <c r="R426" s="29">
        <v>2</v>
      </c>
      <c r="S426" s="238">
        <f t="shared" si="215"/>
        <v>210</v>
      </c>
      <c r="T426" s="238">
        <f t="shared" si="216"/>
        <v>210</v>
      </c>
      <c r="U426" s="238">
        <f t="shared" si="217"/>
        <v>0</v>
      </c>
      <c r="V426" s="29"/>
      <c r="W426" s="238">
        <f t="shared" si="218"/>
        <v>210</v>
      </c>
      <c r="X426" s="238">
        <f t="shared" si="219"/>
        <v>210</v>
      </c>
      <c r="Y426" s="238">
        <f t="shared" si="220"/>
        <v>210</v>
      </c>
      <c r="AA426" s="138"/>
      <c r="AB426" s="138"/>
      <c r="AC426" s="138"/>
      <c r="AD426" s="138"/>
      <c r="AE426" s="138"/>
      <c r="AF426" s="138"/>
      <c r="AG426" s="138"/>
      <c r="AH426" s="138"/>
      <c r="AI426" s="138"/>
      <c r="AJ426" s="138"/>
      <c r="AK426" s="138"/>
      <c r="AL426" s="138"/>
      <c r="AM426" s="138"/>
      <c r="AN426" s="138"/>
      <c r="BR426" s="180">
        <v>2014</v>
      </c>
      <c r="BS426" s="22">
        <v>0</v>
      </c>
      <c r="BT426" s="181">
        <f t="shared" ref="BT426:BT472" si="231">IF($BS$422="High",BS426*$BT$423,IF($BS$422="Medium",$BT$424*BS426,IF($BS$422="Low",$BT$425*BS426)))</f>
        <v>0</v>
      </c>
      <c r="BU426" s="182">
        <f t="shared" ref="BU426:BU472" si="232">IF($BS$422="High",$BU$423,IF($BS$422="Medium",$BU$424,IF($BS$422="Low",BU425)))</f>
        <v>209.52575142326765</v>
      </c>
      <c r="BV426" s="242">
        <f t="shared" ref="BV426:BV472" si="233">BT426+BU426</f>
        <v>209.52575142326765</v>
      </c>
      <c r="BY426" s="180">
        <v>2014</v>
      </c>
      <c r="BZ426" s="22">
        <v>0</v>
      </c>
      <c r="CA426" s="181">
        <f t="shared" ref="CA426:CA472" ca="1" si="234">IF($BZ$422="High",BZ426^2*$CA$423,IF($BZ$422="Medium",BZ426^2*$CA$424,IF($BZ$422="Low",BZ426^2*$CA$425)))</f>
        <v>0</v>
      </c>
      <c r="CB426" s="181">
        <f t="shared" ref="CB426:CB472" ca="1" si="235">IF($BZ$422="High",BZ426*$CB$423,IF($BZ$422="Medium",BZ426*$CB$424,IF($BZ$422="Low",BZ426*$CB$425)))</f>
        <v>0</v>
      </c>
      <c r="CC426" s="182">
        <f ca="1">IF($BZ$422="High",$CC$423,IF($BZ$422="Medium",$CC$424,IF($BZ$422="Low",$CC$425)))</f>
        <v>192.55752398429016</v>
      </c>
      <c r="CD426" s="242">
        <f t="shared" ref="CD426:CD472" ca="1" si="236">CA426+CB426+CC426</f>
        <v>192.55752398429016</v>
      </c>
      <c r="CG426" s="180">
        <v>2014</v>
      </c>
      <c r="CH426" s="22">
        <v>0</v>
      </c>
      <c r="CI426" s="181">
        <f t="shared" ref="CI426:CI472" ca="1" si="237">IF($CH$422="High",CH426^3*$CI$423,IF($CH$422="Medium",CH426^3*$CI$424,IF($CH$422="Low",CH426^3*$CI$425)))</f>
        <v>0</v>
      </c>
      <c r="CJ426" s="181">
        <f t="shared" ref="CJ426:CJ472" ca="1" si="238">IF($CH$422="High",CH426^2*$CJ$423,IF($CH$422="Medium",CH426^2*$CJ$424,IF($CH$422="Low",CH426^2*$CJ$425)))</f>
        <v>0</v>
      </c>
      <c r="CK426" s="181">
        <f t="shared" ref="CK426:CK472" ca="1" si="239">IF($CH$422="High",CH426*$CK$423,IF($CH$422="Medium",CH426*$CK$424,IF($CH$422="Low",CH426*$CK$425)))</f>
        <v>0</v>
      </c>
      <c r="CL426" s="182">
        <f t="shared" ref="CL426:CL472" ca="1" si="240">IF($CH$422="High",$CL$423,IF($CH$422="Medium",$CL$424,IF($CH$422="Low",$CL$425)))</f>
        <v>189.69194626360641</v>
      </c>
      <c r="CM426" s="242">
        <f t="shared" ref="CM426:CM472" ca="1" si="241">CI426+CJ426+CK426+CL426</f>
        <v>189.69194626360641</v>
      </c>
      <c r="CP426" s="180">
        <v>2014</v>
      </c>
      <c r="CQ426" s="22">
        <v>0</v>
      </c>
      <c r="CR426" s="181">
        <f t="shared" ref="CR426:CR472" ca="1" si="242">IF($CQ$422="High",$CR$423,IF($CQ$422="Medium",$CR$424,IF($CQ$422="Low",$CR$425)))</f>
        <v>222.33137667214683</v>
      </c>
      <c r="CS426" s="182">
        <f t="shared" ref="CS426:CS472" ca="1" si="243">IF($CQ$422="High",EXP(1)^($CS$423*CQ426),IF($CQ$422="Medium",EXP(1)^($CS$424*CQ426),IF($CQ$422="Low",EXP(1)^($CS$425*CQ426))))</f>
        <v>1</v>
      </c>
      <c r="CT426" s="242">
        <f t="shared" ref="CT426:CT472" ca="1" si="244">(CR426*CS426)</f>
        <v>222.33137667214683</v>
      </c>
      <c r="CZ426" s="164" t="b">
        <f t="shared" si="221"/>
        <v>1</v>
      </c>
      <c r="DA426" s="165" t="b">
        <f t="shared" si="221"/>
        <v>1</v>
      </c>
      <c r="DB426" s="166" t="b">
        <f t="shared" si="221"/>
        <v>1</v>
      </c>
      <c r="DC426" s="164">
        <f t="shared" si="222"/>
        <v>2</v>
      </c>
      <c r="DD426" s="166">
        <f t="shared" si="223"/>
        <v>210</v>
      </c>
      <c r="DE426" s="164">
        <f t="shared" si="224"/>
        <v>2</v>
      </c>
      <c r="DF426" s="166">
        <f t="shared" si="225"/>
        <v>210</v>
      </c>
      <c r="DG426" s="164">
        <f t="shared" si="226"/>
        <v>2</v>
      </c>
      <c r="DH426" s="166">
        <f t="shared" si="227"/>
        <v>210</v>
      </c>
      <c r="DI426" s="164">
        <f>IFERROR(INDEX(DC$422:DC$470,_xlfn.AGGREGATE(15,6,(ROW(DC$422:DC$470)-ROW(DC$422)+1)/(DC$422:DC$470&lt;&gt;""),ROWS(DI$1:DI5))),"")</f>
        <v>2</v>
      </c>
      <c r="DJ426" s="165">
        <f>IFERROR(INDEX(DD$422:DD$470,_xlfn.AGGREGATE(15,6,(ROW(DD$422:DD$470)-ROW(DD$422)+1)/(DD$422:DD$470&lt;&gt;""),ROWS(DJ$1:DJ5))),"")</f>
        <v>210</v>
      </c>
      <c r="DK426" s="166">
        <f t="shared" si="228"/>
        <v>426</v>
      </c>
      <c r="DL426" s="164">
        <f>IFERROR(INDEX(DE$422:DE$470,_xlfn.AGGREGATE(15,6,(ROW(DE$422:DE$470)-ROW(DE$422)+1)/(DE$422:DE$470&lt;&gt;""),ROWS(DL$1:DL5))),"")</f>
        <v>2</v>
      </c>
      <c r="DM426" s="165">
        <f>IFERROR(INDEX(DF$422:DF$470,_xlfn.AGGREGATE(15,6,(ROW(DF$422:DF$470)-ROW(DF$422)+1)/(DF$422:DF$470&lt;&gt;""),ROWS(DM$1:DM5))),"")</f>
        <v>210</v>
      </c>
      <c r="DN426" s="166">
        <f t="shared" si="229"/>
        <v>426</v>
      </c>
      <c r="DO426" s="164">
        <f>IFERROR(INDEX(DG$422:DG$470,_xlfn.AGGREGATE(15,6,(ROW(DG$422:DG$470)-ROW(DG$422)+1)/(DG$422:DG$470&lt;&gt;""),ROWS(DO$1:DO5))),"")</f>
        <v>2</v>
      </c>
      <c r="DP426" s="165">
        <f>IFERROR(INDEX(DH$422:DH$470,_xlfn.AGGREGATE(15,6,(ROW(DH$422:DH$470)-ROW(DH$422)+1)/(DH$422:DH$470&lt;&gt;""),ROWS(DP$1:DP5))),"")</f>
        <v>210</v>
      </c>
      <c r="DQ426" s="166">
        <f t="shared" si="230"/>
        <v>426</v>
      </c>
      <c r="DV426" s="145">
        <v>2019</v>
      </c>
      <c r="DW426" s="235">
        <f t="shared" ca="1" si="214"/>
        <v>245.22967004411962</v>
      </c>
      <c r="DZ426" s="135" t="s">
        <v>92</v>
      </c>
      <c r="EA426" s="33">
        <f ca="1">IF($EA$420="Linear",0,IF($EA$420="2nd Poly",0,IF($EA$420="3rd Poly",CI423,IF($EA$420="Exp",0))))</f>
        <v>5.045771210142983E-3</v>
      </c>
      <c r="EB426" s="33">
        <f ca="1">IF($EA$420="Linear",0,IF($EA$420="2nd Poly",CA423,IF($EA$420="3rd Poly",CJ423,IF($EA$420="Exp",0))))</f>
        <v>-0.28604373366981523</v>
      </c>
      <c r="EC426" s="33">
        <f t="shared" ref="EC426:ED428" ca="1" si="245">IF($EA$420="Linear",BT423,IF($EA$420="2nd Poly",CB423,IF($EA$420="3rd Poly",CK423,IF($EA$420="Exp",0))))</f>
        <v>13.583550375805055</v>
      </c>
      <c r="ED426" s="33">
        <f t="shared" ca="1" si="245"/>
        <v>192.64157042727328</v>
      </c>
      <c r="EE426" s="33" t="str">
        <f>IF($EA$420="Linear","High",IF($EA$420="2nd Poly","High",IF($EA$420="3rd Poly","High","N/A")))</f>
        <v>High</v>
      </c>
    </row>
    <row r="427" spans="1:135" ht="13.8" x14ac:dyDescent="0.45">
      <c r="A427" s="262" t="s">
        <v>90</v>
      </c>
      <c r="B427" s="128">
        <v>2017</v>
      </c>
      <c r="C427" s="1004">
        <v>221.32750787397617</v>
      </c>
      <c r="D427" s="987"/>
      <c r="E427" s="169"/>
      <c r="F427" s="1093"/>
      <c r="G427" s="168"/>
      <c r="H427" s="169"/>
      <c r="I427" s="1016">
        <v>213.7329411764706</v>
      </c>
      <c r="J427" s="168"/>
      <c r="K427" s="169"/>
      <c r="L427" s="170"/>
      <c r="M427" s="169"/>
      <c r="N427" s="29" t="s">
        <v>119</v>
      </c>
      <c r="O427" s="120"/>
      <c r="P427" s="120"/>
      <c r="Q427" s="120"/>
      <c r="R427" s="29">
        <v>3</v>
      </c>
      <c r="S427" s="238">
        <f t="shared" si="215"/>
        <v>213.7329411764706</v>
      </c>
      <c r="T427" s="238">
        <f t="shared" si="216"/>
        <v>221.32750787397617</v>
      </c>
      <c r="U427" s="238">
        <f t="shared" si="217"/>
        <v>3.7972833487527851</v>
      </c>
      <c r="V427" s="29"/>
      <c r="W427" s="238">
        <f t="shared" si="218"/>
        <v>213.7329411764706</v>
      </c>
      <c r="X427" s="238">
        <f t="shared" si="219"/>
        <v>217.53022452522339</v>
      </c>
      <c r="Y427" s="238">
        <f t="shared" si="220"/>
        <v>221.32750787397617</v>
      </c>
      <c r="AA427" s="138"/>
      <c r="AB427" s="138"/>
      <c r="AC427" s="138"/>
      <c r="AD427" s="138"/>
      <c r="AE427" s="138"/>
      <c r="AF427" s="138"/>
      <c r="AG427" s="138"/>
      <c r="AH427" s="138"/>
      <c r="AI427" s="138"/>
      <c r="AJ427" s="138"/>
      <c r="AK427" s="138"/>
      <c r="AL427" s="138"/>
      <c r="AM427" s="138"/>
      <c r="AN427" s="138"/>
      <c r="BR427" s="180">
        <v>2015</v>
      </c>
      <c r="BS427" s="22">
        <v>1</v>
      </c>
      <c r="BT427" s="198">
        <f t="shared" si="231"/>
        <v>7.9518325623064925</v>
      </c>
      <c r="BU427" s="276">
        <f t="shared" si="232"/>
        <v>209.52575142326765</v>
      </c>
      <c r="BV427" s="241">
        <f t="shared" si="233"/>
        <v>217.47758398557414</v>
      </c>
      <c r="BY427" s="180">
        <v>2015</v>
      </c>
      <c r="BZ427" s="22">
        <v>1</v>
      </c>
      <c r="CA427" s="198">
        <f t="shared" ca="1" si="234"/>
        <v>-5.9747279714709577E-2</v>
      </c>
      <c r="CB427" s="198">
        <f t="shared" ca="1" si="235"/>
        <v>10.580712869753713</v>
      </c>
      <c r="CC427" s="276">
        <f t="shared" ref="CC427:CC472" ca="1" si="246">CC426</f>
        <v>192.55752398429016</v>
      </c>
      <c r="CD427" s="241">
        <f t="shared" ca="1" si="236"/>
        <v>203.07848957432915</v>
      </c>
      <c r="CG427" s="180">
        <v>2015</v>
      </c>
      <c r="CH427" s="22">
        <v>1</v>
      </c>
      <c r="CI427" s="198">
        <f t="shared" ca="1" si="237"/>
        <v>1.0487401993425642E-3</v>
      </c>
      <c r="CJ427" s="198">
        <f t="shared" ca="1" si="238"/>
        <v>-0.12896413287131903</v>
      </c>
      <c r="CK427" s="198">
        <f t="shared" ca="1" si="239"/>
        <v>11.726146915475672</v>
      </c>
      <c r="CL427" s="276">
        <f t="shared" ca="1" si="240"/>
        <v>189.69194626360641</v>
      </c>
      <c r="CM427" s="241">
        <f t="shared" ca="1" si="241"/>
        <v>201.29017778641011</v>
      </c>
      <c r="CP427" s="180">
        <v>2015</v>
      </c>
      <c r="CQ427" s="22">
        <v>1</v>
      </c>
      <c r="CR427" s="198">
        <f t="shared" ca="1" si="242"/>
        <v>222.33137667214683</v>
      </c>
      <c r="CS427" s="276">
        <f t="shared" ca="1" si="243"/>
        <v>1.022873099213101</v>
      </c>
      <c r="CT427" s="241">
        <f t="shared" ca="1" si="244"/>
        <v>227.41678430895416</v>
      </c>
      <c r="CZ427" s="164" t="b">
        <f t="shared" si="221"/>
        <v>1</v>
      </c>
      <c r="DA427" s="165" t="b">
        <f t="shared" si="221"/>
        <v>1</v>
      </c>
      <c r="DB427" s="166" t="b">
        <f t="shared" si="221"/>
        <v>1</v>
      </c>
      <c r="DC427" s="164">
        <f t="shared" si="222"/>
        <v>3</v>
      </c>
      <c r="DD427" s="166">
        <f t="shared" si="223"/>
        <v>213.7329411764706</v>
      </c>
      <c r="DE427" s="164">
        <f t="shared" si="224"/>
        <v>3</v>
      </c>
      <c r="DF427" s="166">
        <f t="shared" si="225"/>
        <v>217.53022452522339</v>
      </c>
      <c r="DG427" s="164">
        <f t="shared" si="226"/>
        <v>3</v>
      </c>
      <c r="DH427" s="166">
        <f t="shared" si="227"/>
        <v>221.32750787397617</v>
      </c>
      <c r="DI427" s="164">
        <f>IFERROR(INDEX(DC$422:DC$470,_xlfn.AGGREGATE(15,6,(ROW(DC$422:DC$470)-ROW(DC$422)+1)/(DC$422:DC$470&lt;&gt;""),ROWS(DI$1:DI6))),"")</f>
        <v>3</v>
      </c>
      <c r="DJ427" s="165">
        <f>IFERROR(INDEX(DD$422:DD$470,_xlfn.AGGREGATE(15,6,(ROW(DD$422:DD$470)-ROW(DD$422)+1)/(DD$422:DD$470&lt;&gt;""),ROWS(DJ$1:DJ6))),"")</f>
        <v>213.7329411764706</v>
      </c>
      <c r="DK427" s="166">
        <f t="shared" si="228"/>
        <v>427</v>
      </c>
      <c r="DL427" s="164">
        <f>IFERROR(INDEX(DE$422:DE$470,_xlfn.AGGREGATE(15,6,(ROW(DE$422:DE$470)-ROW(DE$422)+1)/(DE$422:DE$470&lt;&gt;""),ROWS(DL$1:DL6))),"")</f>
        <v>3</v>
      </c>
      <c r="DM427" s="165">
        <f>IFERROR(INDEX(DF$422:DF$470,_xlfn.AGGREGATE(15,6,(ROW(DF$422:DF$470)-ROW(DF$422)+1)/(DF$422:DF$470&lt;&gt;""),ROWS(DM$1:DM6))),"")</f>
        <v>217.53022452522339</v>
      </c>
      <c r="DN427" s="166">
        <f t="shared" si="229"/>
        <v>427</v>
      </c>
      <c r="DO427" s="164">
        <f>IFERROR(INDEX(DG$422:DG$470,_xlfn.AGGREGATE(15,6,(ROW(DG$422:DG$470)-ROW(DG$422)+1)/(DG$422:DG$470&lt;&gt;""),ROWS(DO$1:DO6))),"")</f>
        <v>3</v>
      </c>
      <c r="DP427" s="165">
        <f>IFERROR(INDEX(DH$422:DH$470,_xlfn.AGGREGATE(15,6,(ROW(DH$422:DH$470)-ROW(DH$422)+1)/(DH$422:DH$470&lt;&gt;""),ROWS(DP$1:DP6))),"")</f>
        <v>221.32750787397617</v>
      </c>
      <c r="DQ427" s="166">
        <f t="shared" si="230"/>
        <v>427</v>
      </c>
      <c r="DV427" s="145">
        <v>2020</v>
      </c>
      <c r="DW427" s="235">
        <f t="shared" ca="1" si="214"/>
        <v>255.63264685615096</v>
      </c>
      <c r="DZ427" s="135" t="s">
        <v>92</v>
      </c>
      <c r="EA427" s="33">
        <f ca="1">IF($EA$420="Linear",0,IF($EA$420="2nd Poly",0,IF($EA$420="3rd Poly",CI424,IF($EA$420="Exp",0))))</f>
        <v>1.0487401993425642E-3</v>
      </c>
      <c r="EB427" s="33">
        <f ca="1">IF($EA$420="Linear",0,IF($EA$420="2nd Poly",CA424,IF($EA$420="3rd Poly",CJ424,IF($EA$420="Exp",0))))</f>
        <v>-0.12896413287131903</v>
      </c>
      <c r="EC427" s="33">
        <f t="shared" ca="1" si="245"/>
        <v>11.726146915475672</v>
      </c>
      <c r="ED427" s="33">
        <f t="shared" ca="1" si="245"/>
        <v>189.69194626360641</v>
      </c>
      <c r="EE427" s="33" t="str">
        <f>IF($EA$420="Linear","Medium",IF($EA$420="2nd Poly","Medium",IF($EA$420="3rd Poly","Medium","N/A")))</f>
        <v>Medium</v>
      </c>
    </row>
    <row r="428" spans="1:135" ht="13.8" x14ac:dyDescent="0.45">
      <c r="A428" s="948" t="s">
        <v>116</v>
      </c>
      <c r="B428" s="128">
        <v>2018</v>
      </c>
      <c r="C428" s="1004">
        <v>232.65501574795235</v>
      </c>
      <c r="D428" s="987"/>
      <c r="E428" s="1003"/>
      <c r="F428" s="990"/>
      <c r="G428" s="159"/>
      <c r="H428" s="151"/>
      <c r="I428" s="1016">
        <v>223.8458823529412</v>
      </c>
      <c r="J428" s="159"/>
      <c r="K428" s="151"/>
      <c r="L428" s="152"/>
      <c r="M428" s="151"/>
      <c r="N428" s="29" t="s">
        <v>119</v>
      </c>
      <c r="O428" s="120"/>
      <c r="P428" s="120"/>
      <c r="Q428" s="120"/>
      <c r="R428" s="29">
        <v>4</v>
      </c>
      <c r="S428" s="238">
        <f t="shared" si="215"/>
        <v>223.8458823529412</v>
      </c>
      <c r="T428" s="238">
        <f t="shared" si="216"/>
        <v>232.65501574795235</v>
      </c>
      <c r="U428" s="238">
        <f t="shared" si="217"/>
        <v>4.4045666975055724</v>
      </c>
      <c r="V428" s="20"/>
      <c r="W428" s="238">
        <f t="shared" si="218"/>
        <v>223.8458823529412</v>
      </c>
      <c r="X428" s="238">
        <f t="shared" si="219"/>
        <v>228.25044905044678</v>
      </c>
      <c r="Y428" s="238">
        <f t="shared" si="220"/>
        <v>232.65501574795235</v>
      </c>
      <c r="AA428" s="138"/>
      <c r="AB428" s="138"/>
      <c r="AC428" s="138"/>
      <c r="AD428" s="138"/>
      <c r="AE428" s="138"/>
      <c r="AF428" s="138"/>
      <c r="AG428" s="138"/>
      <c r="AH428" s="138"/>
      <c r="AI428" s="138"/>
      <c r="AJ428" s="138"/>
      <c r="AK428" s="138"/>
      <c r="AL428" s="138"/>
      <c r="AM428" s="138"/>
      <c r="AN428" s="138"/>
      <c r="BR428" s="180">
        <v>2016</v>
      </c>
      <c r="BS428" s="22">
        <v>2</v>
      </c>
      <c r="BT428" s="198">
        <f t="shared" si="231"/>
        <v>15.903665124612985</v>
      </c>
      <c r="BU428" s="276">
        <f t="shared" si="232"/>
        <v>209.52575142326765</v>
      </c>
      <c r="BV428" s="241">
        <f t="shared" si="233"/>
        <v>225.42941654788063</v>
      </c>
      <c r="BY428" s="180">
        <v>2016</v>
      </c>
      <c r="BZ428" s="22">
        <v>2</v>
      </c>
      <c r="CA428" s="198">
        <f t="shared" ca="1" si="234"/>
        <v>-0.23898911885883831</v>
      </c>
      <c r="CB428" s="198">
        <f t="shared" ca="1" si="235"/>
        <v>21.161425739507425</v>
      </c>
      <c r="CC428" s="276">
        <f t="shared" ca="1" si="246"/>
        <v>192.55752398429016</v>
      </c>
      <c r="CD428" s="241">
        <f t="shared" ca="1" si="236"/>
        <v>213.47996060493875</v>
      </c>
      <c r="CG428" s="180">
        <v>2016</v>
      </c>
      <c r="CH428" s="22">
        <v>2</v>
      </c>
      <c r="CI428" s="198">
        <f t="shared" ca="1" si="237"/>
        <v>8.3899215947405136E-3</v>
      </c>
      <c r="CJ428" s="198">
        <f t="shared" ca="1" si="238"/>
        <v>-0.5158565314852761</v>
      </c>
      <c r="CK428" s="198">
        <f t="shared" ca="1" si="239"/>
        <v>23.452293830951344</v>
      </c>
      <c r="CL428" s="276">
        <f t="shared" ca="1" si="240"/>
        <v>189.69194626360641</v>
      </c>
      <c r="CM428" s="241">
        <f t="shared" ca="1" si="241"/>
        <v>212.63677348466723</v>
      </c>
      <c r="CP428" s="180">
        <v>2016</v>
      </c>
      <c r="CQ428" s="22">
        <v>2</v>
      </c>
      <c r="CR428" s="198">
        <f t="shared" ca="1" si="242"/>
        <v>222.33137667214683</v>
      </c>
      <c r="CS428" s="276">
        <f t="shared" ca="1" si="243"/>
        <v>1.0462693770938141</v>
      </c>
      <c r="CT428" s="241">
        <f t="shared" ca="1" si="244"/>
        <v>232.61851097917722</v>
      </c>
      <c r="CZ428" s="164" t="b">
        <f t="shared" si="221"/>
        <v>1</v>
      </c>
      <c r="DA428" s="165" t="b">
        <f t="shared" si="221"/>
        <v>1</v>
      </c>
      <c r="DB428" s="166" t="b">
        <f t="shared" si="221"/>
        <v>1</v>
      </c>
      <c r="DC428" s="164">
        <f t="shared" si="222"/>
        <v>4</v>
      </c>
      <c r="DD428" s="166">
        <f t="shared" si="223"/>
        <v>223.8458823529412</v>
      </c>
      <c r="DE428" s="164">
        <f t="shared" si="224"/>
        <v>4</v>
      </c>
      <c r="DF428" s="166">
        <f t="shared" si="225"/>
        <v>228.25044905044678</v>
      </c>
      <c r="DG428" s="164">
        <f t="shared" si="226"/>
        <v>4</v>
      </c>
      <c r="DH428" s="166">
        <f t="shared" si="227"/>
        <v>232.65501574795235</v>
      </c>
      <c r="DI428" s="164">
        <f>IFERROR(INDEX(DC$422:DC$470,_xlfn.AGGREGATE(15,6,(ROW(DC$422:DC$470)-ROW(DC$422)+1)/(DC$422:DC$470&lt;&gt;""),ROWS(DI$1:DI7))),"")</f>
        <v>4</v>
      </c>
      <c r="DJ428" s="165">
        <f>IFERROR(INDEX(DD$422:DD$470,_xlfn.AGGREGATE(15,6,(ROW(DD$422:DD$470)-ROW(DD$422)+1)/(DD$422:DD$470&lt;&gt;""),ROWS(DJ$1:DJ7))),"")</f>
        <v>223.8458823529412</v>
      </c>
      <c r="DK428" s="166">
        <f t="shared" si="228"/>
        <v>428</v>
      </c>
      <c r="DL428" s="164">
        <f>IFERROR(INDEX(DE$422:DE$470,_xlfn.AGGREGATE(15,6,(ROW(DE$422:DE$470)-ROW(DE$422)+1)/(DE$422:DE$470&lt;&gt;""),ROWS(DL$1:DL7))),"")</f>
        <v>4</v>
      </c>
      <c r="DM428" s="165">
        <f>IFERROR(INDEX(DF$422:DF$470,_xlfn.AGGREGATE(15,6,(ROW(DF$422:DF$470)-ROW(DF$422)+1)/(DF$422:DF$470&lt;&gt;""),ROWS(DM$1:DM7))),"")</f>
        <v>228.25044905044678</v>
      </c>
      <c r="DN428" s="166">
        <f t="shared" si="229"/>
        <v>428</v>
      </c>
      <c r="DO428" s="164">
        <f>IFERROR(INDEX(DG$422:DG$470,_xlfn.AGGREGATE(15,6,(ROW(DG$422:DG$470)-ROW(DG$422)+1)/(DG$422:DG$470&lt;&gt;""),ROWS(DO$1:DO7))),"")</f>
        <v>4</v>
      </c>
      <c r="DP428" s="165">
        <f>IFERROR(INDEX(DH$422:DH$470,_xlfn.AGGREGATE(15,6,(ROW(DH$422:DH$470)-ROW(DH$422)+1)/(DH$422:DH$470&lt;&gt;""),ROWS(DP$1:DP7))),"")</f>
        <v>232.65501574795235</v>
      </c>
      <c r="DQ428" s="166">
        <f t="shared" si="230"/>
        <v>428</v>
      </c>
      <c r="DV428" s="145">
        <v>2021</v>
      </c>
      <c r="DW428" s="235">
        <f t="shared" ca="1" si="214"/>
        <v>265.815450049616</v>
      </c>
      <c r="DZ428" s="135" t="s">
        <v>92</v>
      </c>
      <c r="EA428" s="33">
        <f ca="1">IF($EA$420="Linear",0,IF($EA$420="2nd Poly",0,IF($EA$420="3rd Poly",CI425,IF($EA$420="Exp",0))))</f>
        <v>-2.9482908114578502E-3</v>
      </c>
      <c r="EB428" s="33">
        <f ca="1">IF($EA$420="Linear",0,IF($EA$420="2nd Poly",CA425,IF($EA$420="3rd Poly",CJ425,IF($EA$420="Exp",0))))</f>
        <v>2.8115467927176827E-2</v>
      </c>
      <c r="EC428" s="33">
        <f t="shared" ca="1" si="245"/>
        <v>9.868743455146296</v>
      </c>
      <c r="ED428" s="33">
        <f t="shared" ca="1" si="245"/>
        <v>186.74232209993994</v>
      </c>
      <c r="EE428" s="33" t="str">
        <f>IF($EA$420="Linear","Low",IF($EA$420="2nd Poly","Low",IF($EA$420="3rd Poly","Low","N/A")))</f>
        <v>Low</v>
      </c>
    </row>
    <row r="429" spans="1:135" ht="13.8" x14ac:dyDescent="0.45">
      <c r="A429" s="148" t="s">
        <v>88</v>
      </c>
      <c r="B429" s="128">
        <v>2019</v>
      </c>
      <c r="C429" s="1004">
        <v>243.98252362192852</v>
      </c>
      <c r="D429" s="987"/>
      <c r="E429" s="1003"/>
      <c r="F429" s="990"/>
      <c r="G429" s="159"/>
      <c r="H429" s="151"/>
      <c r="I429" s="1016">
        <v>233.95882352941177</v>
      </c>
      <c r="J429" s="159"/>
      <c r="K429" s="151"/>
      <c r="L429" s="190"/>
      <c r="M429" s="151"/>
      <c r="N429" s="29" t="s">
        <v>119</v>
      </c>
      <c r="O429" s="120"/>
      <c r="P429" s="120"/>
      <c r="Q429" s="120"/>
      <c r="R429" s="29">
        <v>5</v>
      </c>
      <c r="S429" s="238">
        <f t="shared" si="215"/>
        <v>233.95882352941177</v>
      </c>
      <c r="T429" s="238">
        <f t="shared" si="216"/>
        <v>243.98252362192852</v>
      </c>
      <c r="U429" s="238">
        <f t="shared" si="217"/>
        <v>5.0118500462583739</v>
      </c>
      <c r="V429" s="20"/>
      <c r="W429" s="238">
        <f t="shared" si="218"/>
        <v>233.9588235294118</v>
      </c>
      <c r="X429" s="238">
        <f t="shared" si="219"/>
        <v>238.97067357567016</v>
      </c>
      <c r="Y429" s="238">
        <f t="shared" si="220"/>
        <v>243.98252362192852</v>
      </c>
      <c r="AA429" s="138"/>
      <c r="AB429" s="138"/>
      <c r="AC429" s="138"/>
      <c r="AD429" s="138"/>
      <c r="AE429" s="138"/>
      <c r="AF429" s="138"/>
      <c r="AG429" s="138"/>
      <c r="AH429" s="138"/>
      <c r="AI429" s="138"/>
      <c r="AJ429" s="138"/>
      <c r="AK429" s="138"/>
      <c r="AL429" s="138"/>
      <c r="AM429" s="138"/>
      <c r="AN429" s="138"/>
      <c r="BR429" s="180">
        <v>2017</v>
      </c>
      <c r="BS429" s="22">
        <v>3</v>
      </c>
      <c r="BT429" s="198">
        <f t="shared" si="231"/>
        <v>23.855497686919477</v>
      </c>
      <c r="BU429" s="276">
        <f t="shared" si="232"/>
        <v>209.52575142326765</v>
      </c>
      <c r="BV429" s="241">
        <f t="shared" si="233"/>
        <v>233.38124911018713</v>
      </c>
      <c r="BY429" s="180">
        <v>2017</v>
      </c>
      <c r="BZ429" s="22">
        <v>3</v>
      </c>
      <c r="CA429" s="198">
        <f t="shared" ca="1" si="234"/>
        <v>-0.53772551743238617</v>
      </c>
      <c r="CB429" s="198">
        <f t="shared" ca="1" si="235"/>
        <v>31.74213860926114</v>
      </c>
      <c r="CC429" s="276">
        <f t="shared" ca="1" si="246"/>
        <v>192.55752398429016</v>
      </c>
      <c r="CD429" s="241">
        <f t="shared" ca="1" si="236"/>
        <v>223.7619370761189</v>
      </c>
      <c r="CG429" s="180">
        <v>2017</v>
      </c>
      <c r="CH429" s="22">
        <v>3</v>
      </c>
      <c r="CI429" s="198">
        <f t="shared" ca="1" si="237"/>
        <v>2.8315985382249234E-2</v>
      </c>
      <c r="CJ429" s="198">
        <f t="shared" ca="1" si="238"/>
        <v>-1.1606771958418713</v>
      </c>
      <c r="CK429" s="198">
        <f t="shared" ca="1" si="239"/>
        <v>35.178440746427015</v>
      </c>
      <c r="CL429" s="276">
        <f t="shared" ca="1" si="240"/>
        <v>189.69194626360641</v>
      </c>
      <c r="CM429" s="241">
        <f t="shared" ca="1" si="241"/>
        <v>223.73802579957379</v>
      </c>
      <c r="CP429" s="180">
        <v>2017</v>
      </c>
      <c r="CQ429" s="22">
        <v>3</v>
      </c>
      <c r="CR429" s="198">
        <f t="shared" ca="1" si="242"/>
        <v>222.33137667214683</v>
      </c>
      <c r="CS429" s="276">
        <f t="shared" ca="1" si="243"/>
        <v>1.0702008003597103</v>
      </c>
      <c r="CT429" s="241">
        <f t="shared" ca="1" si="244"/>
        <v>237.93921725960777</v>
      </c>
      <c r="CZ429" s="164" t="b">
        <f t="shared" si="221"/>
        <v>1</v>
      </c>
      <c r="DA429" s="165" t="b">
        <f t="shared" si="221"/>
        <v>1</v>
      </c>
      <c r="DB429" s="166" t="b">
        <f t="shared" si="221"/>
        <v>1</v>
      </c>
      <c r="DC429" s="164">
        <f t="shared" si="222"/>
        <v>5</v>
      </c>
      <c r="DD429" s="166">
        <f t="shared" si="223"/>
        <v>233.9588235294118</v>
      </c>
      <c r="DE429" s="164">
        <f t="shared" si="224"/>
        <v>5</v>
      </c>
      <c r="DF429" s="166">
        <f t="shared" si="225"/>
        <v>238.97067357567016</v>
      </c>
      <c r="DG429" s="164">
        <f t="shared" si="226"/>
        <v>5</v>
      </c>
      <c r="DH429" s="166">
        <f t="shared" si="227"/>
        <v>243.98252362192852</v>
      </c>
      <c r="DI429" s="164">
        <f>IFERROR(INDEX(DC$422:DC$470,_xlfn.AGGREGATE(15,6,(ROW(DC$422:DC$470)-ROW(DC$422)+1)/(DC$422:DC$470&lt;&gt;""),ROWS(DI$1:DI8))),"")</f>
        <v>5</v>
      </c>
      <c r="DJ429" s="165">
        <f>IFERROR(INDEX(DD$422:DD$470,_xlfn.AGGREGATE(15,6,(ROW(DD$422:DD$470)-ROW(DD$422)+1)/(DD$422:DD$470&lt;&gt;""),ROWS(DJ$1:DJ8))),"")</f>
        <v>233.9588235294118</v>
      </c>
      <c r="DK429" s="166">
        <f t="shared" si="228"/>
        <v>429</v>
      </c>
      <c r="DL429" s="164">
        <f>IFERROR(INDEX(DE$422:DE$470,_xlfn.AGGREGATE(15,6,(ROW(DE$422:DE$470)-ROW(DE$422)+1)/(DE$422:DE$470&lt;&gt;""),ROWS(DL$1:DL8))),"")</f>
        <v>5</v>
      </c>
      <c r="DM429" s="165">
        <f>IFERROR(INDEX(DF$422:DF$470,_xlfn.AGGREGATE(15,6,(ROW(DF$422:DF$470)-ROW(DF$422)+1)/(DF$422:DF$470&lt;&gt;""),ROWS(DM$1:DM8))),"")</f>
        <v>238.97067357567016</v>
      </c>
      <c r="DN429" s="166">
        <f t="shared" si="229"/>
        <v>429</v>
      </c>
      <c r="DO429" s="164">
        <f>IFERROR(INDEX(DG$422:DG$470,_xlfn.AGGREGATE(15,6,(ROW(DG$422:DG$470)-ROW(DG$422)+1)/(DG$422:DG$470&lt;&gt;""),ROWS(DO$1:DO8))),"")</f>
        <v>5</v>
      </c>
      <c r="DP429" s="165">
        <f>IFERROR(INDEX(DH$422:DH$470,_xlfn.AGGREGATE(15,6,(ROW(DH$422:DH$470)-ROW(DH$422)+1)/(DH$422:DH$470&lt;&gt;""),ROWS(DP$1:DP8))),"")</f>
        <v>243.98252362192852</v>
      </c>
      <c r="DQ429" s="166">
        <f t="shared" si="230"/>
        <v>429</v>
      </c>
      <c r="DV429" s="145">
        <v>2022</v>
      </c>
      <c r="DW429" s="235">
        <f t="shared" ca="1" si="214"/>
        <v>275.78437206571078</v>
      </c>
      <c r="DZ429" s="135"/>
      <c r="EA429" s="33"/>
      <c r="EB429" s="33"/>
      <c r="EC429" s="33"/>
      <c r="ED429" s="33"/>
      <c r="EE429" s="33"/>
    </row>
    <row r="430" spans="1:135" ht="13.8" x14ac:dyDescent="0.45">
      <c r="A430" s="148" t="s">
        <v>90</v>
      </c>
      <c r="B430" s="128">
        <v>2020</v>
      </c>
      <c r="C430" s="1004">
        <v>255.31003149590467</v>
      </c>
      <c r="D430" s="987"/>
      <c r="E430" s="169"/>
      <c r="F430" s="991"/>
      <c r="G430" s="168"/>
      <c r="H430" s="169"/>
      <c r="I430" s="931">
        <v>244.07176470588237</v>
      </c>
      <c r="J430" s="168"/>
      <c r="K430" s="169"/>
      <c r="L430" s="170"/>
      <c r="M430" s="169"/>
      <c r="N430" s="29" t="s">
        <v>119</v>
      </c>
      <c r="O430" s="120"/>
      <c r="P430" s="120"/>
      <c r="Q430" s="120"/>
      <c r="R430" s="29">
        <v>6</v>
      </c>
      <c r="S430" s="195">
        <f t="shared" si="215"/>
        <v>244.07176470588237</v>
      </c>
      <c r="T430" s="195">
        <f t="shared" si="216"/>
        <v>255.31003149590467</v>
      </c>
      <c r="U430" s="195">
        <f t="shared" si="217"/>
        <v>5.6191333950111471</v>
      </c>
      <c r="V430" s="20"/>
      <c r="W430" s="238">
        <f t="shared" si="218"/>
        <v>244.07176470588237</v>
      </c>
      <c r="X430" s="238">
        <f t="shared" si="219"/>
        <v>249.69089810089352</v>
      </c>
      <c r="Y430" s="238">
        <f t="shared" si="220"/>
        <v>255.31003149590467</v>
      </c>
      <c r="AA430" s="138"/>
      <c r="AB430" s="138"/>
      <c r="AC430" s="138"/>
      <c r="AD430" s="138"/>
      <c r="AE430" s="138"/>
      <c r="AF430" s="138"/>
      <c r="AG430" s="138"/>
      <c r="AH430" s="138"/>
      <c r="AI430" s="138"/>
      <c r="AJ430" s="138"/>
      <c r="AK430" s="138"/>
      <c r="AL430" s="138"/>
      <c r="AM430" s="138"/>
      <c r="AN430" s="138"/>
      <c r="BR430" s="180">
        <v>2018</v>
      </c>
      <c r="BS430" s="22">
        <v>4</v>
      </c>
      <c r="BT430" s="198">
        <f t="shared" si="231"/>
        <v>31.80733024922597</v>
      </c>
      <c r="BU430" s="276">
        <f t="shared" si="232"/>
        <v>209.52575142326765</v>
      </c>
      <c r="BV430" s="241">
        <f t="shared" si="233"/>
        <v>241.33308167249362</v>
      </c>
      <c r="BY430" s="180">
        <v>2018</v>
      </c>
      <c r="BZ430" s="22">
        <v>4</v>
      </c>
      <c r="CA430" s="198">
        <f t="shared" ca="1" si="234"/>
        <v>-0.95595647543535323</v>
      </c>
      <c r="CB430" s="198">
        <f t="shared" ca="1" si="235"/>
        <v>42.322851479014851</v>
      </c>
      <c r="CC430" s="276">
        <f t="shared" ca="1" si="246"/>
        <v>192.55752398429016</v>
      </c>
      <c r="CD430" s="241">
        <f t="shared" ca="1" si="236"/>
        <v>233.92441898786967</v>
      </c>
      <c r="CG430" s="180">
        <v>2018</v>
      </c>
      <c r="CH430" s="22">
        <v>4</v>
      </c>
      <c r="CI430" s="198">
        <f t="shared" ca="1" si="237"/>
        <v>6.7119372757924109E-2</v>
      </c>
      <c r="CJ430" s="198">
        <f t="shared" ca="1" si="238"/>
        <v>-2.0634261259411044</v>
      </c>
      <c r="CK430" s="198">
        <f t="shared" ca="1" si="239"/>
        <v>46.904587661902688</v>
      </c>
      <c r="CL430" s="276">
        <f t="shared" ca="1" si="240"/>
        <v>189.69194626360641</v>
      </c>
      <c r="CM430" s="241">
        <f t="shared" ca="1" si="241"/>
        <v>234.6002271723259</v>
      </c>
      <c r="CP430" s="180">
        <v>2018</v>
      </c>
      <c r="CQ430" s="22">
        <v>4</v>
      </c>
      <c r="CR430" s="198">
        <f t="shared" ca="1" si="242"/>
        <v>222.33137667214683</v>
      </c>
      <c r="CS430" s="276">
        <f t="shared" ca="1" si="243"/>
        <v>1.0946796094442779</v>
      </c>
      <c r="CT430" s="241">
        <f t="shared" ca="1" si="244"/>
        <v>243.38162458267433</v>
      </c>
      <c r="CZ430" s="164" t="b">
        <f t="shared" si="221"/>
        <v>1</v>
      </c>
      <c r="DA430" s="165" t="b">
        <f t="shared" si="221"/>
        <v>1</v>
      </c>
      <c r="DB430" s="166" t="b">
        <f t="shared" si="221"/>
        <v>1</v>
      </c>
      <c r="DC430" s="164">
        <f t="shared" si="222"/>
        <v>6</v>
      </c>
      <c r="DD430" s="166">
        <f t="shared" si="223"/>
        <v>244.07176470588237</v>
      </c>
      <c r="DE430" s="164">
        <f t="shared" si="224"/>
        <v>6</v>
      </c>
      <c r="DF430" s="166">
        <f t="shared" si="225"/>
        <v>249.69089810089352</v>
      </c>
      <c r="DG430" s="164">
        <f t="shared" si="226"/>
        <v>6</v>
      </c>
      <c r="DH430" s="166">
        <f t="shared" si="227"/>
        <v>255.31003149590467</v>
      </c>
      <c r="DI430" s="164">
        <f>IFERROR(INDEX(DC$422:DC$470,_xlfn.AGGREGATE(15,6,(ROW(DC$422:DC$470)-ROW(DC$422)+1)/(DC$422:DC$470&lt;&gt;""),ROWS(DI$1:DI9))),"")</f>
        <v>6</v>
      </c>
      <c r="DJ430" s="165">
        <f>IFERROR(INDEX(DD$422:DD$470,_xlfn.AGGREGATE(15,6,(ROW(DD$422:DD$470)-ROW(DD$422)+1)/(DD$422:DD$470&lt;&gt;""),ROWS(DJ$1:DJ9))),"")</f>
        <v>244.07176470588237</v>
      </c>
      <c r="DK430" s="166">
        <f t="shared" si="228"/>
        <v>430</v>
      </c>
      <c r="DL430" s="164">
        <f>IFERROR(INDEX(DE$422:DE$470,_xlfn.AGGREGATE(15,6,(ROW(DE$422:DE$470)-ROW(DE$422)+1)/(DE$422:DE$470&lt;&gt;""),ROWS(DL$1:DL9))),"")</f>
        <v>6</v>
      </c>
      <c r="DM430" s="165">
        <f>IFERROR(INDEX(DF$422:DF$470,_xlfn.AGGREGATE(15,6,(ROW(DF$422:DF$470)-ROW(DF$422)+1)/(DF$422:DF$470&lt;&gt;""),ROWS(DM$1:DM9))),"")</f>
        <v>249.69089810089352</v>
      </c>
      <c r="DN430" s="166">
        <f t="shared" si="229"/>
        <v>430</v>
      </c>
      <c r="DO430" s="164">
        <f>IFERROR(INDEX(DG$422:DG$470,_xlfn.AGGREGATE(15,6,(ROW(DG$422:DG$470)-ROW(DG$422)+1)/(DG$422:DG$470&lt;&gt;""),ROWS(DO$1:DO9))),"")</f>
        <v>6</v>
      </c>
      <c r="DP430" s="165">
        <f>IFERROR(INDEX(DH$422:DH$470,_xlfn.AGGREGATE(15,6,(ROW(DH$422:DH$470)-ROW(DH$422)+1)/(DH$422:DH$470&lt;&gt;""),ROWS(DP$1:DP9))),"")</f>
        <v>255.31003149590467</v>
      </c>
      <c r="DQ430" s="166">
        <f t="shared" si="230"/>
        <v>430</v>
      </c>
      <c r="DV430" s="145">
        <v>2023</v>
      </c>
      <c r="DW430" s="235">
        <f t="shared" ca="1" si="214"/>
        <v>285.54570534563135</v>
      </c>
      <c r="DZ430" s="135"/>
      <c r="EA430" s="33" t="s">
        <v>86</v>
      </c>
      <c r="EB430" s="33" t="s">
        <v>87</v>
      </c>
      <c r="EC430" s="33"/>
      <c r="ED430" s="33"/>
      <c r="EE430" s="33"/>
    </row>
    <row r="431" spans="1:135" ht="14.1" thickBot="1" x14ac:dyDescent="0.5">
      <c r="A431" s="148" t="s">
        <v>80</v>
      </c>
      <c r="B431" s="128">
        <v>2021</v>
      </c>
      <c r="C431" s="1004">
        <v>266.63753936988087</v>
      </c>
      <c r="D431" s="987"/>
      <c r="E431" s="1003"/>
      <c r="F431" s="990"/>
      <c r="G431" s="159"/>
      <c r="H431" s="151"/>
      <c r="I431" s="1016">
        <v>254.18470588235294</v>
      </c>
      <c r="J431" s="159"/>
      <c r="K431" s="151"/>
      <c r="L431" s="152"/>
      <c r="M431" s="151"/>
      <c r="N431" s="29" t="s">
        <v>119</v>
      </c>
      <c r="O431" s="120"/>
      <c r="P431" s="120"/>
      <c r="Q431" s="120"/>
      <c r="R431" s="29">
        <v>7</v>
      </c>
      <c r="S431" s="196">
        <f t="shared" si="215"/>
        <v>254.18470588235294</v>
      </c>
      <c r="T431" s="196">
        <f t="shared" si="216"/>
        <v>266.63753936988087</v>
      </c>
      <c r="U431" s="196">
        <f t="shared" si="217"/>
        <v>6.2264167437639628</v>
      </c>
      <c r="V431" s="20"/>
      <c r="W431" s="238">
        <f t="shared" si="218"/>
        <v>254.18470588235297</v>
      </c>
      <c r="X431" s="238">
        <f t="shared" si="219"/>
        <v>260.41112262611693</v>
      </c>
      <c r="Y431" s="238">
        <f t="shared" si="220"/>
        <v>266.63753936988087</v>
      </c>
      <c r="AA431" s="138"/>
      <c r="AB431" s="138"/>
      <c r="AC431" s="138"/>
      <c r="AD431" s="138"/>
      <c r="AE431" s="138"/>
      <c r="AF431" s="138"/>
      <c r="AG431" s="138"/>
      <c r="AH431" s="138"/>
      <c r="AI431" s="138"/>
      <c r="AJ431" s="138"/>
      <c r="AK431" s="138"/>
      <c r="AL431" s="138"/>
      <c r="AM431" s="138"/>
      <c r="AN431" s="138"/>
      <c r="BR431" s="180">
        <v>2019</v>
      </c>
      <c r="BS431" s="22">
        <v>5</v>
      </c>
      <c r="BT431" s="198">
        <f t="shared" si="231"/>
        <v>39.759162811532462</v>
      </c>
      <c r="BU431" s="276">
        <f t="shared" si="232"/>
        <v>209.52575142326765</v>
      </c>
      <c r="BV431" s="283">
        <f t="shared" si="233"/>
        <v>249.28491423480011</v>
      </c>
      <c r="BY431" s="180">
        <v>2019</v>
      </c>
      <c r="BZ431" s="22">
        <v>5</v>
      </c>
      <c r="CA431" s="198">
        <f t="shared" ca="1" si="234"/>
        <v>-1.4936819928677394</v>
      </c>
      <c r="CB431" s="198">
        <f t="shared" ca="1" si="235"/>
        <v>52.903564348768562</v>
      </c>
      <c r="CC431" s="276">
        <f t="shared" ca="1" si="246"/>
        <v>192.55752398429016</v>
      </c>
      <c r="CD431" s="283">
        <f t="shared" ca="1" si="236"/>
        <v>243.96740634019096</v>
      </c>
      <c r="CG431" s="180">
        <v>2019</v>
      </c>
      <c r="CH431" s="22">
        <v>5</v>
      </c>
      <c r="CI431" s="198">
        <f t="shared" ca="1" si="237"/>
        <v>0.13109252491782053</v>
      </c>
      <c r="CJ431" s="198">
        <f t="shared" ca="1" si="238"/>
        <v>-3.2241033217829758</v>
      </c>
      <c r="CK431" s="198">
        <f t="shared" ca="1" si="239"/>
        <v>58.630734577378362</v>
      </c>
      <c r="CL431" s="276">
        <f t="shared" ca="1" si="240"/>
        <v>189.69194626360641</v>
      </c>
      <c r="CM431" s="283">
        <f t="shared" ca="1" si="241"/>
        <v>245.22967004411962</v>
      </c>
      <c r="CP431" s="180">
        <v>2019</v>
      </c>
      <c r="CQ431" s="22">
        <v>5</v>
      </c>
      <c r="CR431" s="198">
        <f t="shared" ca="1" si="242"/>
        <v>222.33137667214683</v>
      </c>
      <c r="CS431" s="276">
        <f t="shared" ca="1" si="243"/>
        <v>1.1197183247576554</v>
      </c>
      <c r="CT431" s="283">
        <f t="shared" ca="1" si="244"/>
        <v>248.94851662839952</v>
      </c>
      <c r="CZ431" s="164" t="b">
        <f t="shared" si="221"/>
        <v>1</v>
      </c>
      <c r="DA431" s="165" t="b">
        <f t="shared" si="221"/>
        <v>1</v>
      </c>
      <c r="DB431" s="166" t="b">
        <f t="shared" si="221"/>
        <v>1</v>
      </c>
      <c r="DC431" s="164">
        <f t="shared" si="222"/>
        <v>7</v>
      </c>
      <c r="DD431" s="166">
        <f t="shared" si="223"/>
        <v>254.18470588235297</v>
      </c>
      <c r="DE431" s="164">
        <f t="shared" si="224"/>
        <v>7</v>
      </c>
      <c r="DF431" s="166">
        <f t="shared" si="225"/>
        <v>260.41112262611693</v>
      </c>
      <c r="DG431" s="164">
        <f t="shared" si="226"/>
        <v>7</v>
      </c>
      <c r="DH431" s="166">
        <f t="shared" si="227"/>
        <v>266.63753936988087</v>
      </c>
      <c r="DI431" s="164">
        <f>IFERROR(INDEX(DC$422:DC$470,_xlfn.AGGREGATE(15,6,(ROW(DC$422:DC$470)-ROW(DC$422)+1)/(DC$422:DC$470&lt;&gt;""),ROWS(DI$1:DI10))),"")</f>
        <v>7</v>
      </c>
      <c r="DJ431" s="165">
        <f>IFERROR(INDEX(DD$422:DD$470,_xlfn.AGGREGATE(15,6,(ROW(DD$422:DD$470)-ROW(DD$422)+1)/(DD$422:DD$470&lt;&gt;""),ROWS(DJ$1:DJ10))),"")</f>
        <v>254.18470588235297</v>
      </c>
      <c r="DK431" s="166">
        <f t="shared" si="228"/>
        <v>431</v>
      </c>
      <c r="DL431" s="164">
        <f>IFERROR(INDEX(DE$422:DE$470,_xlfn.AGGREGATE(15,6,(ROW(DE$422:DE$470)-ROW(DE$422)+1)/(DE$422:DE$470&lt;&gt;""),ROWS(DL$1:DL10))),"")</f>
        <v>7</v>
      </c>
      <c r="DM431" s="165">
        <f>IFERROR(INDEX(DF$422:DF$470,_xlfn.AGGREGATE(15,6,(ROW(DF$422:DF$470)-ROW(DF$422)+1)/(DF$422:DF$470&lt;&gt;""),ROWS(DM$1:DM10))),"")</f>
        <v>260.41112262611693</v>
      </c>
      <c r="DN431" s="166">
        <f t="shared" si="229"/>
        <v>431</v>
      </c>
      <c r="DO431" s="164">
        <f>IFERROR(INDEX(DG$422:DG$470,_xlfn.AGGREGATE(15,6,(ROW(DG$422:DG$470)-ROW(DG$422)+1)/(DG$422:DG$470&lt;&gt;""),ROWS(DO$1:DO10))),"")</f>
        <v>7</v>
      </c>
      <c r="DP431" s="165">
        <f>IFERROR(INDEX(DH$422:DH$470,_xlfn.AGGREGATE(15,6,(ROW(DH$422:DH$470)-ROW(DH$422)+1)/(DH$422:DH$470&lt;&gt;""),ROWS(DP$1:DP10))),"")</f>
        <v>266.63753936988087</v>
      </c>
      <c r="DQ431" s="166">
        <f t="shared" si="230"/>
        <v>431</v>
      </c>
      <c r="DV431" s="145">
        <v>2024</v>
      </c>
      <c r="DW431" s="235">
        <f t="shared" ca="1" si="214"/>
        <v>295.10574233057378</v>
      </c>
      <c r="DZ431" s="135" t="s">
        <v>92</v>
      </c>
      <c r="EA431" s="33">
        <f t="shared" ref="EA431:EB433" si="247">IF($EA$420="Linear",0,IF($EA$420="2nd Poly",0,IF($EA$420="3rd Poly",0,IF($EA$420="Exp",CR423))))</f>
        <v>0</v>
      </c>
      <c r="EB431" s="33">
        <f t="shared" si="247"/>
        <v>0</v>
      </c>
      <c r="EC431" s="33" t="str">
        <f>IF($EA$420="Linear","N/A",IF($EA$420="2nd Poly","N/A",IF($EA$420="3rd Poly","N/A","High")))</f>
        <v>N/A</v>
      </c>
      <c r="ED431" s="33"/>
      <c r="EE431" s="33"/>
    </row>
    <row r="432" spans="1:135" ht="13.8" x14ac:dyDescent="0.45">
      <c r="A432" s="148" t="s">
        <v>88</v>
      </c>
      <c r="B432" s="128">
        <v>2022</v>
      </c>
      <c r="C432" s="1004">
        <v>277.96504724385699</v>
      </c>
      <c r="D432" s="987"/>
      <c r="E432" s="1005"/>
      <c r="F432" s="992"/>
      <c r="G432" s="199"/>
      <c r="H432" s="200"/>
      <c r="I432" s="1111">
        <v>264.29764705882354</v>
      </c>
      <c r="J432" s="199"/>
      <c r="K432" s="200"/>
      <c r="L432" s="201"/>
      <c r="M432" s="200"/>
      <c r="N432" s="29" t="s">
        <v>119</v>
      </c>
      <c r="O432" s="120"/>
      <c r="P432" s="120"/>
      <c r="Q432" s="120"/>
      <c r="R432" s="29">
        <v>8</v>
      </c>
      <c r="S432" s="202">
        <f t="shared" si="215"/>
        <v>264.29764705882354</v>
      </c>
      <c r="T432" s="202">
        <f t="shared" si="216"/>
        <v>277.96504724385699</v>
      </c>
      <c r="U432" s="202">
        <f t="shared" si="217"/>
        <v>6.8337000925167217</v>
      </c>
      <c r="V432" s="20"/>
      <c r="W432" s="238">
        <f t="shared" si="218"/>
        <v>264.29764705882354</v>
      </c>
      <c r="X432" s="238">
        <f t="shared" si="219"/>
        <v>271.13134715134026</v>
      </c>
      <c r="Y432" s="238">
        <f t="shared" si="220"/>
        <v>277.96504724385699</v>
      </c>
      <c r="AA432" s="120"/>
      <c r="AB432" s="120"/>
      <c r="AC432" s="120"/>
      <c r="AD432" s="120"/>
      <c r="AE432" s="120"/>
      <c r="AF432" s="120"/>
      <c r="AG432" s="120"/>
      <c r="AH432" s="120"/>
      <c r="AI432" s="120"/>
      <c r="AJ432" s="120"/>
      <c r="AK432" s="120"/>
      <c r="AL432" s="120"/>
      <c r="AM432" s="120"/>
      <c r="AN432" s="120"/>
      <c r="BR432" s="180">
        <v>2020</v>
      </c>
      <c r="BS432" s="22">
        <v>6</v>
      </c>
      <c r="BT432" s="198">
        <f t="shared" si="231"/>
        <v>47.710995373838955</v>
      </c>
      <c r="BU432" s="276">
        <f t="shared" si="232"/>
        <v>209.52575142326765</v>
      </c>
      <c r="BV432" s="203">
        <f t="shared" si="233"/>
        <v>257.2367467971066</v>
      </c>
      <c r="BY432" s="180">
        <v>2020</v>
      </c>
      <c r="BZ432" s="22">
        <v>6</v>
      </c>
      <c r="CA432" s="198">
        <f t="shared" ca="1" si="234"/>
        <v>-2.1509020697295447</v>
      </c>
      <c r="CB432" s="198">
        <f t="shared" ca="1" si="235"/>
        <v>63.48427721852228</v>
      </c>
      <c r="CC432" s="276">
        <f t="shared" ca="1" si="246"/>
        <v>192.55752398429016</v>
      </c>
      <c r="CD432" s="203">
        <f t="shared" ca="1" si="236"/>
        <v>253.89089913308288</v>
      </c>
      <c r="CG432" s="180">
        <v>2020</v>
      </c>
      <c r="CH432" s="22">
        <v>6</v>
      </c>
      <c r="CI432" s="198">
        <f t="shared" ca="1" si="237"/>
        <v>0.22652788305799387</v>
      </c>
      <c r="CJ432" s="198">
        <f t="shared" ca="1" si="238"/>
        <v>-4.6427087833674854</v>
      </c>
      <c r="CK432" s="198">
        <f t="shared" ca="1" si="239"/>
        <v>70.356881492854029</v>
      </c>
      <c r="CL432" s="276">
        <f t="shared" ca="1" si="240"/>
        <v>189.69194626360641</v>
      </c>
      <c r="CM432" s="203">
        <f t="shared" ca="1" si="241"/>
        <v>255.63264685615096</v>
      </c>
      <c r="CP432" s="180">
        <v>2020</v>
      </c>
      <c r="CQ432" s="22">
        <v>6</v>
      </c>
      <c r="CR432" s="198">
        <f t="shared" ca="1" si="242"/>
        <v>222.33137667214683</v>
      </c>
      <c r="CS432" s="276">
        <f t="shared" ca="1" si="243"/>
        <v>1.1453297530905644</v>
      </c>
      <c r="CT432" s="203">
        <f t="shared" ca="1" si="244"/>
        <v>254.64274074819519</v>
      </c>
      <c r="CZ432" s="164" t="b">
        <f t="shared" si="221"/>
        <v>1</v>
      </c>
      <c r="DA432" s="165" t="b">
        <f t="shared" si="221"/>
        <v>1</v>
      </c>
      <c r="DB432" s="166" t="b">
        <f t="shared" si="221"/>
        <v>1</v>
      </c>
      <c r="DC432" s="164">
        <f t="shared" si="222"/>
        <v>8</v>
      </c>
      <c r="DD432" s="166">
        <f t="shared" si="223"/>
        <v>264.29764705882354</v>
      </c>
      <c r="DE432" s="164">
        <f t="shared" si="224"/>
        <v>8</v>
      </c>
      <c r="DF432" s="166">
        <f t="shared" si="225"/>
        <v>271.13134715134026</v>
      </c>
      <c r="DG432" s="164">
        <f t="shared" si="226"/>
        <v>8</v>
      </c>
      <c r="DH432" s="166">
        <f t="shared" si="227"/>
        <v>277.96504724385699</v>
      </c>
      <c r="DI432" s="164">
        <f>IFERROR(INDEX(DC$422:DC$470,_xlfn.AGGREGATE(15,6,(ROW(DC$422:DC$470)-ROW(DC$422)+1)/(DC$422:DC$470&lt;&gt;""),ROWS(DI$1:DI11))),"")</f>
        <v>8</v>
      </c>
      <c r="DJ432" s="165">
        <f>IFERROR(INDEX(DD$422:DD$470,_xlfn.AGGREGATE(15,6,(ROW(DD$422:DD$470)-ROW(DD$422)+1)/(DD$422:DD$470&lt;&gt;""),ROWS(DJ$1:DJ11))),"")</f>
        <v>264.29764705882354</v>
      </c>
      <c r="DK432" s="166">
        <f t="shared" si="228"/>
        <v>432</v>
      </c>
      <c r="DL432" s="164">
        <f>IFERROR(INDEX(DE$422:DE$470,_xlfn.AGGREGATE(15,6,(ROW(DE$422:DE$470)-ROW(DE$422)+1)/(DE$422:DE$470&lt;&gt;""),ROWS(DL$1:DL11))),"")</f>
        <v>8</v>
      </c>
      <c r="DM432" s="165">
        <f>IFERROR(INDEX(DF$422:DF$470,_xlfn.AGGREGATE(15,6,(ROW(DF$422:DF$470)-ROW(DF$422)+1)/(DF$422:DF$470&lt;&gt;""),ROWS(DM$1:DM11))),"")</f>
        <v>271.13134715134026</v>
      </c>
      <c r="DN432" s="166">
        <f t="shared" si="229"/>
        <v>432</v>
      </c>
      <c r="DO432" s="164">
        <f>IFERROR(INDEX(DG$422:DG$470,_xlfn.AGGREGATE(15,6,(ROW(DG$422:DG$470)-ROW(DG$422)+1)/(DG$422:DG$470&lt;&gt;""),ROWS(DO$1:DO11))),"")</f>
        <v>8</v>
      </c>
      <c r="DP432" s="165">
        <f>IFERROR(INDEX(DH$422:DH$470,_xlfn.AGGREGATE(15,6,(ROW(DH$422:DH$470)-ROW(DH$422)+1)/(DH$422:DH$470&lt;&gt;""),ROWS(DP$1:DP11))),"")</f>
        <v>277.96504724385699</v>
      </c>
      <c r="DQ432" s="166">
        <f t="shared" si="230"/>
        <v>432</v>
      </c>
      <c r="DR432" s="65"/>
      <c r="DV432" s="145">
        <v>2025</v>
      </c>
      <c r="DW432" s="235">
        <f t="shared" ca="1" si="214"/>
        <v>304.47077546173415</v>
      </c>
      <c r="DZ432" s="135" t="s">
        <v>92</v>
      </c>
      <c r="EA432" s="33">
        <f t="shared" si="247"/>
        <v>0</v>
      </c>
      <c r="EB432" s="33">
        <f t="shared" si="247"/>
        <v>0</v>
      </c>
      <c r="EC432" s="33" t="str">
        <f>IF($EA$420="Linear","N/A",IF($EA$420="2nd Poly","N/A",IF($EA$420="3rd Poly","N/A","Medium")))</f>
        <v>N/A</v>
      </c>
    </row>
    <row r="433" spans="1:135" ht="13.8" x14ac:dyDescent="0.45">
      <c r="B433" s="128">
        <v>2023</v>
      </c>
      <c r="C433" s="1004">
        <v>289.29255511783316</v>
      </c>
      <c r="D433" s="987"/>
      <c r="E433" s="1006"/>
      <c r="F433" s="992"/>
      <c r="G433" s="199"/>
      <c r="H433" s="200"/>
      <c r="I433" s="1111">
        <v>274.41058823529414</v>
      </c>
      <c r="J433" s="199"/>
      <c r="K433" s="200"/>
      <c r="L433" s="201"/>
      <c r="M433" s="200"/>
      <c r="N433" s="29" t="s">
        <v>119</v>
      </c>
      <c r="O433" s="120"/>
      <c r="P433" s="120"/>
      <c r="Q433" s="120"/>
      <c r="R433" s="29">
        <v>9</v>
      </c>
      <c r="S433" s="202">
        <f t="shared" si="215"/>
        <v>274.41058823529414</v>
      </c>
      <c r="T433" s="202">
        <f t="shared" si="216"/>
        <v>289.29255511783316</v>
      </c>
      <c r="U433" s="202">
        <f t="shared" si="217"/>
        <v>7.4409834412695091</v>
      </c>
      <c r="V433" s="20"/>
      <c r="W433" s="238">
        <f t="shared" si="218"/>
        <v>274.41058823529414</v>
      </c>
      <c r="X433" s="238">
        <f t="shared" si="219"/>
        <v>281.85157167656365</v>
      </c>
      <c r="Y433" s="238">
        <f t="shared" si="220"/>
        <v>289.29255511783316</v>
      </c>
      <c r="AA433" s="120"/>
      <c r="AB433" s="120"/>
      <c r="AC433" s="120"/>
      <c r="AD433" s="120"/>
      <c r="AE433" s="120"/>
      <c r="AF433" s="120"/>
      <c r="AG433" s="120"/>
      <c r="AH433" s="120"/>
      <c r="AI433" s="120"/>
      <c r="AJ433" s="120"/>
      <c r="AK433" s="120"/>
      <c r="AL433" s="120"/>
      <c r="AM433" s="120"/>
      <c r="AN433" s="120"/>
      <c r="BR433" s="180">
        <v>2021</v>
      </c>
      <c r="BS433" s="22">
        <v>7</v>
      </c>
      <c r="BT433" s="198">
        <f t="shared" si="231"/>
        <v>55.662827936145447</v>
      </c>
      <c r="BU433" s="276">
        <f t="shared" si="232"/>
        <v>209.52575142326765</v>
      </c>
      <c r="BV433" s="205">
        <f t="shared" si="233"/>
        <v>265.1885793594131</v>
      </c>
      <c r="BY433" s="180">
        <v>2021</v>
      </c>
      <c r="BZ433" s="22">
        <v>7</v>
      </c>
      <c r="CA433" s="198">
        <f t="shared" ca="1" si="234"/>
        <v>-2.9276167060207694</v>
      </c>
      <c r="CB433" s="198">
        <f t="shared" ca="1" si="235"/>
        <v>74.064990088275991</v>
      </c>
      <c r="CC433" s="276">
        <f t="shared" ca="1" si="246"/>
        <v>192.55752398429016</v>
      </c>
      <c r="CD433" s="205">
        <f t="shared" ca="1" si="236"/>
        <v>263.69489736654538</v>
      </c>
      <c r="CG433" s="180">
        <v>2021</v>
      </c>
      <c r="CH433" s="22">
        <v>7</v>
      </c>
      <c r="CI433" s="198">
        <f t="shared" ca="1" si="237"/>
        <v>0.35971788837449953</v>
      </c>
      <c r="CJ433" s="198">
        <f t="shared" ca="1" si="238"/>
        <v>-6.3192425106946324</v>
      </c>
      <c r="CK433" s="198">
        <f t="shared" ca="1" si="239"/>
        <v>82.08302840832971</v>
      </c>
      <c r="CL433" s="276">
        <f t="shared" ca="1" si="240"/>
        <v>189.69194626360641</v>
      </c>
      <c r="CM433" s="205">
        <f t="shared" ca="1" si="241"/>
        <v>265.815450049616</v>
      </c>
      <c r="CP433" s="180">
        <v>2021</v>
      </c>
      <c r="CQ433" s="22">
        <v>7</v>
      </c>
      <c r="CR433" s="198">
        <f t="shared" ca="1" si="242"/>
        <v>222.33137667214683</v>
      </c>
      <c r="CS433" s="276">
        <f t="shared" ca="1" si="243"/>
        <v>1.1715269941647213</v>
      </c>
      <c r="CT433" s="205">
        <f t="shared" ca="1" si="244"/>
        <v>260.4672094212246</v>
      </c>
      <c r="CZ433" s="164" t="b">
        <f t="shared" si="221"/>
        <v>1</v>
      </c>
      <c r="DA433" s="165" t="b">
        <f t="shared" si="221"/>
        <v>1</v>
      </c>
      <c r="DB433" s="166" t="b">
        <f t="shared" si="221"/>
        <v>1</v>
      </c>
      <c r="DC433" s="164">
        <f t="shared" si="222"/>
        <v>9</v>
      </c>
      <c r="DD433" s="166">
        <f t="shared" si="223"/>
        <v>274.41058823529414</v>
      </c>
      <c r="DE433" s="164">
        <f t="shared" si="224"/>
        <v>9</v>
      </c>
      <c r="DF433" s="166">
        <f t="shared" si="225"/>
        <v>281.85157167656365</v>
      </c>
      <c r="DG433" s="164">
        <f t="shared" si="226"/>
        <v>9</v>
      </c>
      <c r="DH433" s="166">
        <f t="shared" si="227"/>
        <v>289.29255511783316</v>
      </c>
      <c r="DI433" s="164">
        <f>IFERROR(INDEX(DC$422:DC$470,_xlfn.AGGREGATE(15,6,(ROW(DC$422:DC$470)-ROW(DC$422)+1)/(DC$422:DC$470&lt;&gt;""),ROWS(DI$1:DI12))),"")</f>
        <v>9</v>
      </c>
      <c r="DJ433" s="165">
        <f>IFERROR(INDEX(DD$422:DD$470,_xlfn.AGGREGATE(15,6,(ROW(DD$422:DD$470)-ROW(DD$422)+1)/(DD$422:DD$470&lt;&gt;""),ROWS(DJ$1:DJ12))),"")</f>
        <v>274.41058823529414</v>
      </c>
      <c r="DK433" s="166">
        <f t="shared" si="228"/>
        <v>433</v>
      </c>
      <c r="DL433" s="164">
        <f>IFERROR(INDEX(DE$422:DE$470,_xlfn.AGGREGATE(15,6,(ROW(DE$422:DE$470)-ROW(DE$422)+1)/(DE$422:DE$470&lt;&gt;""),ROWS(DL$1:DL12))),"")</f>
        <v>9</v>
      </c>
      <c r="DM433" s="165">
        <f>IFERROR(INDEX(DF$422:DF$470,_xlfn.AGGREGATE(15,6,(ROW(DF$422:DF$470)-ROW(DF$422)+1)/(DF$422:DF$470&lt;&gt;""),ROWS(DM$1:DM12))),"")</f>
        <v>281.85157167656365</v>
      </c>
      <c r="DN433" s="166">
        <f t="shared" si="229"/>
        <v>433</v>
      </c>
      <c r="DO433" s="164">
        <f>IFERROR(INDEX(DG$422:DG$470,_xlfn.AGGREGATE(15,6,(ROW(DG$422:DG$470)-ROW(DG$422)+1)/(DG$422:DG$470&lt;&gt;""),ROWS(DO$1:DO12))),"")</f>
        <v>9</v>
      </c>
      <c r="DP433" s="165">
        <f>IFERROR(INDEX(DH$422:DH$470,_xlfn.AGGREGATE(15,6,(ROW(DH$422:DH$470)-ROW(DH$422)+1)/(DH$422:DH$470&lt;&gt;""),ROWS(DP$1:DP12))),"")</f>
        <v>289.29255511783316</v>
      </c>
      <c r="DQ433" s="166">
        <f t="shared" si="230"/>
        <v>433</v>
      </c>
      <c r="DR433" s="65"/>
      <c r="DV433" s="145">
        <v>2026</v>
      </c>
      <c r="DW433" s="235">
        <f t="shared" ca="1" si="214"/>
        <v>313.64709718030849</v>
      </c>
      <c r="DZ433" s="135" t="s">
        <v>92</v>
      </c>
      <c r="EA433" s="33">
        <f t="shared" si="247"/>
        <v>0</v>
      </c>
      <c r="EB433" s="33">
        <f t="shared" si="247"/>
        <v>0</v>
      </c>
      <c r="EC433" s="33" t="str">
        <f>IF($EA$420="Linear","N/A",IF($EA$420="2nd Poly","N/A",IF($EA$420="3rd Poly","N/A","Low")))</f>
        <v>N/A</v>
      </c>
    </row>
    <row r="434" spans="1:135" ht="13.8" x14ac:dyDescent="0.45">
      <c r="B434" s="128">
        <v>2024</v>
      </c>
      <c r="C434" s="1004">
        <v>300.62006299180933</v>
      </c>
      <c r="D434" s="987"/>
      <c r="E434" s="1006"/>
      <c r="F434" s="993"/>
      <c r="G434" s="247"/>
      <c r="H434" s="245"/>
      <c r="I434" s="1112">
        <v>284.52352941176468</v>
      </c>
      <c r="J434" s="247"/>
      <c r="K434" s="245"/>
      <c r="L434" s="246"/>
      <c r="M434" s="245"/>
      <c r="N434" s="29" t="s">
        <v>119</v>
      </c>
      <c r="O434" s="120"/>
      <c r="P434" s="120"/>
      <c r="Q434" s="120"/>
      <c r="R434" s="29">
        <v>10</v>
      </c>
      <c r="S434" s="238">
        <f t="shared" si="215"/>
        <v>284.52352941176468</v>
      </c>
      <c r="T434" s="238">
        <f t="shared" si="216"/>
        <v>300.62006299180933</v>
      </c>
      <c r="U434" s="238">
        <f t="shared" si="217"/>
        <v>8.0482667900223248</v>
      </c>
      <c r="V434" s="20"/>
      <c r="W434" s="238">
        <f t="shared" si="218"/>
        <v>284.52352941176468</v>
      </c>
      <c r="X434" s="238">
        <f t="shared" si="219"/>
        <v>292.57179620178704</v>
      </c>
      <c r="Y434" s="238">
        <f t="shared" si="220"/>
        <v>300.62006299180939</v>
      </c>
      <c r="AA434" s="120"/>
      <c r="AB434" s="120"/>
      <c r="AC434" s="120"/>
      <c r="AD434" s="120"/>
      <c r="AE434" s="120"/>
      <c r="AF434" s="120"/>
      <c r="AG434" s="120"/>
      <c r="AH434" s="120"/>
      <c r="AI434" s="120"/>
      <c r="AJ434" s="120"/>
      <c r="AK434" s="120"/>
      <c r="AL434" s="120"/>
      <c r="AM434" s="120"/>
      <c r="AN434" s="120"/>
      <c r="BR434" s="180">
        <v>2022</v>
      </c>
      <c r="BS434" s="22">
        <v>8</v>
      </c>
      <c r="BT434" s="198">
        <f t="shared" si="231"/>
        <v>63.61466049845194</v>
      </c>
      <c r="BU434" s="276">
        <f t="shared" si="232"/>
        <v>209.52575142326765</v>
      </c>
      <c r="BV434" s="205">
        <f t="shared" si="233"/>
        <v>273.14041192171959</v>
      </c>
      <c r="BY434" s="180">
        <v>2022</v>
      </c>
      <c r="BZ434" s="22">
        <v>8</v>
      </c>
      <c r="CA434" s="198">
        <f t="shared" ca="1" si="234"/>
        <v>-3.8238259017414129</v>
      </c>
      <c r="CB434" s="198">
        <f t="shared" ca="1" si="235"/>
        <v>84.645702958029702</v>
      </c>
      <c r="CC434" s="276">
        <f t="shared" ca="1" si="246"/>
        <v>192.55752398429016</v>
      </c>
      <c r="CD434" s="205">
        <f t="shared" ca="1" si="236"/>
        <v>273.37940104057844</v>
      </c>
      <c r="CG434" s="180">
        <v>2022</v>
      </c>
      <c r="CH434" s="22">
        <v>8</v>
      </c>
      <c r="CI434" s="198">
        <f t="shared" ca="1" si="237"/>
        <v>0.53695498206339287</v>
      </c>
      <c r="CJ434" s="198">
        <f t="shared" ca="1" si="238"/>
        <v>-8.2537045037644177</v>
      </c>
      <c r="CK434" s="198">
        <f t="shared" ca="1" si="239"/>
        <v>93.809175323805377</v>
      </c>
      <c r="CL434" s="276">
        <f t="shared" ca="1" si="240"/>
        <v>189.69194626360641</v>
      </c>
      <c r="CM434" s="205">
        <f t="shared" ca="1" si="241"/>
        <v>275.78437206571078</v>
      </c>
      <c r="CP434" s="180">
        <v>2022</v>
      </c>
      <c r="CQ434" s="22">
        <v>8</v>
      </c>
      <c r="CR434" s="198">
        <f t="shared" ca="1" si="242"/>
        <v>222.33137667214683</v>
      </c>
      <c r="CS434" s="276">
        <f t="shared" ca="1" si="243"/>
        <v>1.1983234473330768</v>
      </c>
      <c r="CT434" s="205">
        <f t="shared" ca="1" si="244"/>
        <v>266.42490174407578</v>
      </c>
      <c r="CZ434" s="164" t="b">
        <f t="shared" si="221"/>
        <v>1</v>
      </c>
      <c r="DA434" s="165" t="b">
        <f t="shared" si="221"/>
        <v>1</v>
      </c>
      <c r="DB434" s="166" t="b">
        <f t="shared" si="221"/>
        <v>1</v>
      </c>
      <c r="DC434" s="164">
        <f t="shared" si="222"/>
        <v>10</v>
      </c>
      <c r="DD434" s="166">
        <f t="shared" si="223"/>
        <v>284.52352941176468</v>
      </c>
      <c r="DE434" s="164">
        <f t="shared" si="224"/>
        <v>10</v>
      </c>
      <c r="DF434" s="166">
        <f t="shared" si="225"/>
        <v>292.57179620178704</v>
      </c>
      <c r="DG434" s="164">
        <f t="shared" si="226"/>
        <v>10</v>
      </c>
      <c r="DH434" s="166">
        <f t="shared" si="227"/>
        <v>300.62006299180939</v>
      </c>
      <c r="DI434" s="164">
        <f>IFERROR(INDEX(DC$422:DC$470,_xlfn.AGGREGATE(15,6,(ROW(DC$422:DC$470)-ROW(DC$422)+1)/(DC$422:DC$470&lt;&gt;""),ROWS(DI$1:DI13))),"")</f>
        <v>10</v>
      </c>
      <c r="DJ434" s="165">
        <f>IFERROR(INDEX(DD$422:DD$470,_xlfn.AGGREGATE(15,6,(ROW(DD$422:DD$470)-ROW(DD$422)+1)/(DD$422:DD$470&lt;&gt;""),ROWS(DJ$1:DJ13))),"")</f>
        <v>284.52352941176468</v>
      </c>
      <c r="DK434" s="166">
        <f t="shared" si="228"/>
        <v>434</v>
      </c>
      <c r="DL434" s="164">
        <f>IFERROR(INDEX(DE$422:DE$470,_xlfn.AGGREGATE(15,6,(ROW(DE$422:DE$470)-ROW(DE$422)+1)/(DE$422:DE$470&lt;&gt;""),ROWS(DL$1:DL13))),"")</f>
        <v>10</v>
      </c>
      <c r="DM434" s="165">
        <f>IFERROR(INDEX(DF$422:DF$470,_xlfn.AGGREGATE(15,6,(ROW(DF$422:DF$470)-ROW(DF$422)+1)/(DF$422:DF$470&lt;&gt;""),ROWS(DM$1:DM13))),"")</f>
        <v>292.57179620178704</v>
      </c>
      <c r="DN434" s="166">
        <f t="shared" si="229"/>
        <v>434</v>
      </c>
      <c r="DO434" s="164">
        <f>IFERROR(INDEX(DG$422:DG$470,_xlfn.AGGREGATE(15,6,(ROW(DG$422:DG$470)-ROW(DG$422)+1)/(DG$422:DG$470&lt;&gt;""),ROWS(DO$1:DO13))),"")</f>
        <v>10</v>
      </c>
      <c r="DP434" s="165">
        <f>IFERROR(INDEX(DH$422:DH$470,_xlfn.AGGREGATE(15,6,(ROW(DH$422:DH$470)-ROW(DH$422)+1)/(DH$422:DH$470&lt;&gt;""),ROWS(DP$1:DP13))),"")</f>
        <v>300.62006299180939</v>
      </c>
      <c r="DQ434" s="166">
        <f t="shared" si="230"/>
        <v>434</v>
      </c>
      <c r="DR434" s="65"/>
      <c r="DV434" s="145">
        <v>2027</v>
      </c>
      <c r="DW434" s="235">
        <f t="shared" ca="1" si="214"/>
        <v>322.64099992749289</v>
      </c>
    </row>
    <row r="435" spans="1:135" ht="13.8" x14ac:dyDescent="0.45">
      <c r="B435" s="128">
        <v>2025</v>
      </c>
      <c r="C435" s="1004">
        <v>311.94757086578551</v>
      </c>
      <c r="D435" s="987"/>
      <c r="E435" s="1006"/>
      <c r="F435" s="993"/>
      <c r="G435" s="247"/>
      <c r="H435" s="245"/>
      <c r="I435" s="1112">
        <v>294.63647058823528</v>
      </c>
      <c r="J435" s="247"/>
      <c r="K435" s="245"/>
      <c r="L435" s="246"/>
      <c r="M435" s="245"/>
      <c r="N435" s="29" t="s">
        <v>119</v>
      </c>
      <c r="O435" s="120"/>
      <c r="P435" s="120"/>
      <c r="Q435" s="120"/>
      <c r="R435" s="29">
        <v>11</v>
      </c>
      <c r="S435" s="238">
        <f t="shared" si="215"/>
        <v>294.63647058823528</v>
      </c>
      <c r="T435" s="238">
        <f t="shared" si="216"/>
        <v>311.94757086578551</v>
      </c>
      <c r="U435" s="238">
        <f t="shared" si="217"/>
        <v>8.6555501387751121</v>
      </c>
      <c r="W435" s="238">
        <f t="shared" si="218"/>
        <v>294.63647058823528</v>
      </c>
      <c r="X435" s="238">
        <f t="shared" si="219"/>
        <v>303.29202072701037</v>
      </c>
      <c r="Y435" s="238">
        <f t="shared" si="220"/>
        <v>311.94757086578545</v>
      </c>
      <c r="AA435" s="120"/>
      <c r="AB435" s="120"/>
      <c r="AC435" s="120"/>
      <c r="AD435" s="120"/>
      <c r="AE435" s="120"/>
      <c r="AF435" s="120"/>
      <c r="AG435" s="120"/>
      <c r="AH435" s="120"/>
      <c r="AI435" s="120"/>
      <c r="AJ435" s="120"/>
      <c r="AK435" s="120"/>
      <c r="AL435" s="120"/>
      <c r="AM435" s="120"/>
      <c r="AN435" s="120"/>
      <c r="BR435" s="180">
        <v>2023</v>
      </c>
      <c r="BS435" s="22">
        <v>9</v>
      </c>
      <c r="BT435" s="198">
        <f t="shared" si="231"/>
        <v>71.566493060758432</v>
      </c>
      <c r="BU435" s="276">
        <f t="shared" si="232"/>
        <v>209.52575142326765</v>
      </c>
      <c r="BV435" s="205">
        <f t="shared" si="233"/>
        <v>281.09224448402608</v>
      </c>
      <c r="BY435" s="180">
        <v>2023</v>
      </c>
      <c r="BZ435" s="22">
        <v>9</v>
      </c>
      <c r="CA435" s="198">
        <f t="shared" ca="1" si="234"/>
        <v>-4.8395296568914761</v>
      </c>
      <c r="CB435" s="198">
        <f t="shared" ca="1" si="235"/>
        <v>95.226415827783413</v>
      </c>
      <c r="CC435" s="276">
        <f t="shared" ca="1" si="246"/>
        <v>192.55752398429016</v>
      </c>
      <c r="CD435" s="205">
        <f t="shared" ca="1" si="236"/>
        <v>282.94441015518208</v>
      </c>
      <c r="CG435" s="180">
        <v>2023</v>
      </c>
      <c r="CH435" s="22">
        <v>9</v>
      </c>
      <c r="CI435" s="198">
        <f t="shared" ca="1" si="237"/>
        <v>0.76453160532072928</v>
      </c>
      <c r="CJ435" s="198">
        <f t="shared" ca="1" si="238"/>
        <v>-10.446094762576841</v>
      </c>
      <c r="CK435" s="198">
        <f t="shared" ca="1" si="239"/>
        <v>105.53532223928104</v>
      </c>
      <c r="CL435" s="276">
        <f t="shared" ca="1" si="240"/>
        <v>189.69194626360641</v>
      </c>
      <c r="CM435" s="205">
        <f t="shared" ca="1" si="241"/>
        <v>285.54570534563135</v>
      </c>
      <c r="CP435" s="180">
        <v>2023</v>
      </c>
      <c r="CQ435" s="22">
        <v>9</v>
      </c>
      <c r="CR435" s="198">
        <f t="shared" ca="1" si="242"/>
        <v>222.33137667214683</v>
      </c>
      <c r="CS435" s="276">
        <f t="shared" ca="1" si="243"/>
        <v>1.2257328184333114</v>
      </c>
      <c r="CT435" s="205">
        <f t="shared" ca="1" si="244"/>
        <v>272.51886495450873</v>
      </c>
      <c r="CZ435" s="164" t="b">
        <f t="shared" si="221"/>
        <v>1</v>
      </c>
      <c r="DA435" s="165" t="b">
        <f t="shared" si="221"/>
        <v>1</v>
      </c>
      <c r="DB435" s="166" t="b">
        <f t="shared" si="221"/>
        <v>1</v>
      </c>
      <c r="DC435" s="164">
        <f t="shared" si="222"/>
        <v>11</v>
      </c>
      <c r="DD435" s="166">
        <f t="shared" si="223"/>
        <v>294.63647058823528</v>
      </c>
      <c r="DE435" s="164">
        <f t="shared" si="224"/>
        <v>11</v>
      </c>
      <c r="DF435" s="166">
        <f t="shared" si="225"/>
        <v>303.29202072701037</v>
      </c>
      <c r="DG435" s="164">
        <f t="shared" si="226"/>
        <v>11</v>
      </c>
      <c r="DH435" s="166">
        <f t="shared" si="227"/>
        <v>311.94757086578545</v>
      </c>
      <c r="DI435" s="164">
        <f>IFERROR(INDEX(DC$422:DC$470,_xlfn.AGGREGATE(15,6,(ROW(DC$422:DC$470)-ROW(DC$422)+1)/(DC$422:DC$470&lt;&gt;""),ROWS(DI$1:DI14))),"")</f>
        <v>11</v>
      </c>
      <c r="DJ435" s="165">
        <f>IFERROR(INDEX(DD$422:DD$470,_xlfn.AGGREGATE(15,6,(ROW(DD$422:DD$470)-ROW(DD$422)+1)/(DD$422:DD$470&lt;&gt;""),ROWS(DJ$1:DJ14))),"")</f>
        <v>294.63647058823528</v>
      </c>
      <c r="DK435" s="166">
        <f t="shared" si="228"/>
        <v>435</v>
      </c>
      <c r="DL435" s="164">
        <f>IFERROR(INDEX(DE$422:DE$470,_xlfn.AGGREGATE(15,6,(ROW(DE$422:DE$470)-ROW(DE$422)+1)/(DE$422:DE$470&lt;&gt;""),ROWS(DL$1:DL14))),"")</f>
        <v>11</v>
      </c>
      <c r="DM435" s="165">
        <f>IFERROR(INDEX(DF$422:DF$470,_xlfn.AGGREGATE(15,6,(ROW(DF$422:DF$470)-ROW(DF$422)+1)/(DF$422:DF$470&lt;&gt;""),ROWS(DM$1:DM14))),"")</f>
        <v>303.29202072701037</v>
      </c>
      <c r="DN435" s="166">
        <f t="shared" si="229"/>
        <v>435</v>
      </c>
      <c r="DO435" s="164">
        <f>IFERROR(INDEX(DG$422:DG$470,_xlfn.AGGREGATE(15,6,(ROW(DG$422:DG$470)-ROW(DG$422)+1)/(DG$422:DG$470&lt;&gt;""),ROWS(DO$1:DO14))),"")</f>
        <v>11</v>
      </c>
      <c r="DP435" s="165">
        <f>IFERROR(INDEX(DH$422:DH$470,_xlfn.AGGREGATE(15,6,(ROW(DH$422:DH$470)-ROW(DH$422)+1)/(DH$422:DH$470&lt;&gt;""),ROWS(DP$1:DP14))),"")</f>
        <v>311.94757086578545</v>
      </c>
      <c r="DQ435" s="166">
        <f t="shared" si="230"/>
        <v>435</v>
      </c>
      <c r="DR435" s="65"/>
      <c r="DV435" s="145">
        <v>2028</v>
      </c>
      <c r="DW435" s="235">
        <f t="shared" ca="1" si="214"/>
        <v>331.45877614448329</v>
      </c>
    </row>
    <row r="436" spans="1:135" ht="13.8" x14ac:dyDescent="0.45">
      <c r="B436" s="128">
        <v>2026</v>
      </c>
      <c r="C436" s="1004">
        <v>323.27507873976163</v>
      </c>
      <c r="D436" s="987"/>
      <c r="E436" s="1006"/>
      <c r="F436" s="993"/>
      <c r="G436" s="247"/>
      <c r="H436" s="245"/>
      <c r="I436" s="1112">
        <v>304.74941176470588</v>
      </c>
      <c r="J436" s="247"/>
      <c r="K436" s="245"/>
      <c r="L436" s="246"/>
      <c r="M436" s="245"/>
      <c r="N436" s="29" t="s">
        <v>119</v>
      </c>
      <c r="O436" s="120"/>
      <c r="P436" s="120"/>
      <c r="Q436" s="120"/>
      <c r="R436" s="29">
        <v>12</v>
      </c>
      <c r="S436" s="238">
        <f t="shared" si="215"/>
        <v>304.74941176470588</v>
      </c>
      <c r="T436" s="238">
        <f t="shared" si="216"/>
        <v>323.27507873976163</v>
      </c>
      <c r="U436" s="238">
        <f t="shared" si="217"/>
        <v>9.2628334875278711</v>
      </c>
      <c r="W436" s="238">
        <f t="shared" si="218"/>
        <v>304.74941176470588</v>
      </c>
      <c r="X436" s="238">
        <f t="shared" si="219"/>
        <v>314.01224525223375</v>
      </c>
      <c r="Y436" s="238">
        <f t="shared" si="220"/>
        <v>323.27507873976163</v>
      </c>
      <c r="AA436" s="120"/>
      <c r="AB436" s="120"/>
      <c r="AC436" s="120"/>
      <c r="AD436" s="120"/>
      <c r="AE436" s="120"/>
      <c r="AF436" s="120"/>
      <c r="AG436" s="120"/>
      <c r="AH436" s="120"/>
      <c r="AI436" s="120"/>
      <c r="AJ436" s="120"/>
      <c r="AK436" s="120"/>
      <c r="AL436" s="120"/>
      <c r="AM436" s="120"/>
      <c r="AN436" s="120"/>
      <c r="BR436" s="180">
        <v>2024</v>
      </c>
      <c r="BS436" s="22">
        <v>10</v>
      </c>
      <c r="BT436" s="198">
        <f t="shared" si="231"/>
        <v>79.518325623064925</v>
      </c>
      <c r="BU436" s="276">
        <f t="shared" si="232"/>
        <v>209.52575142326765</v>
      </c>
      <c r="BV436" s="205">
        <f t="shared" si="233"/>
        <v>289.04407704633257</v>
      </c>
      <c r="BY436" s="180">
        <v>2024</v>
      </c>
      <c r="BZ436" s="22">
        <v>10</v>
      </c>
      <c r="CA436" s="198">
        <f t="shared" ca="1" si="234"/>
        <v>-5.9747279714709576</v>
      </c>
      <c r="CB436" s="198">
        <f t="shared" ca="1" si="235"/>
        <v>105.80712869753712</v>
      </c>
      <c r="CC436" s="276">
        <f t="shared" ca="1" si="246"/>
        <v>192.55752398429016</v>
      </c>
      <c r="CD436" s="205">
        <f t="shared" ca="1" si="236"/>
        <v>292.38992471035635</v>
      </c>
      <c r="CG436" s="180">
        <v>2024</v>
      </c>
      <c r="CH436" s="22">
        <v>10</v>
      </c>
      <c r="CI436" s="198">
        <f t="shared" ca="1" si="237"/>
        <v>1.0487401993425642</v>
      </c>
      <c r="CJ436" s="198">
        <f t="shared" ca="1" si="238"/>
        <v>-12.896413287131903</v>
      </c>
      <c r="CK436" s="198">
        <f t="shared" ca="1" si="239"/>
        <v>117.26146915475672</v>
      </c>
      <c r="CL436" s="276">
        <f t="shared" ca="1" si="240"/>
        <v>189.69194626360641</v>
      </c>
      <c r="CM436" s="205">
        <f t="shared" ca="1" si="241"/>
        <v>295.10574233057378</v>
      </c>
      <c r="CP436" s="180">
        <v>2024</v>
      </c>
      <c r="CQ436" s="22">
        <v>10</v>
      </c>
      <c r="CR436" s="198">
        <f t="shared" ca="1" si="242"/>
        <v>222.33137667214683</v>
      </c>
      <c r="CS436" s="276">
        <f t="shared" ca="1" si="243"/>
        <v>1.2537691267980904</v>
      </c>
      <c r="CT436" s="205">
        <f t="shared" ca="1" si="244"/>
        <v>278.75221599005488</v>
      </c>
      <c r="CZ436" s="164" t="b">
        <f t="shared" si="221"/>
        <v>1</v>
      </c>
      <c r="DA436" s="165" t="b">
        <f t="shared" si="221"/>
        <v>1</v>
      </c>
      <c r="DB436" s="166" t="b">
        <f t="shared" si="221"/>
        <v>1</v>
      </c>
      <c r="DC436" s="164">
        <f t="shared" si="222"/>
        <v>12</v>
      </c>
      <c r="DD436" s="166">
        <f t="shared" si="223"/>
        <v>304.74941176470588</v>
      </c>
      <c r="DE436" s="164">
        <f t="shared" si="224"/>
        <v>12</v>
      </c>
      <c r="DF436" s="166">
        <f t="shared" si="225"/>
        <v>314.01224525223375</v>
      </c>
      <c r="DG436" s="164">
        <f t="shared" si="226"/>
        <v>12</v>
      </c>
      <c r="DH436" s="166">
        <f t="shared" si="227"/>
        <v>323.27507873976163</v>
      </c>
      <c r="DI436" s="164">
        <f>IFERROR(INDEX(DC$422:DC$470,_xlfn.AGGREGATE(15,6,(ROW(DC$422:DC$470)-ROW(DC$422)+1)/(DC$422:DC$470&lt;&gt;""),ROWS(DI$1:DI15))),"")</f>
        <v>12</v>
      </c>
      <c r="DJ436" s="165">
        <f>IFERROR(INDEX(DD$422:DD$470,_xlfn.AGGREGATE(15,6,(ROW(DD$422:DD$470)-ROW(DD$422)+1)/(DD$422:DD$470&lt;&gt;""),ROWS(DJ$1:DJ15))),"")</f>
        <v>304.74941176470588</v>
      </c>
      <c r="DK436" s="166">
        <f t="shared" si="228"/>
        <v>436</v>
      </c>
      <c r="DL436" s="164">
        <f>IFERROR(INDEX(DE$422:DE$470,_xlfn.AGGREGATE(15,6,(ROW(DE$422:DE$470)-ROW(DE$422)+1)/(DE$422:DE$470&lt;&gt;""),ROWS(DL$1:DL15))),"")</f>
        <v>12</v>
      </c>
      <c r="DM436" s="165">
        <f>IFERROR(INDEX(DF$422:DF$470,_xlfn.AGGREGATE(15,6,(ROW(DF$422:DF$470)-ROW(DF$422)+1)/(DF$422:DF$470&lt;&gt;""),ROWS(DM$1:DM15))),"")</f>
        <v>314.01224525223375</v>
      </c>
      <c r="DN436" s="166">
        <f t="shared" si="229"/>
        <v>436</v>
      </c>
      <c r="DO436" s="164">
        <f>IFERROR(INDEX(DG$422:DG$470,_xlfn.AGGREGATE(15,6,(ROW(DG$422:DG$470)-ROW(DG$422)+1)/(DG$422:DG$470&lt;&gt;""),ROWS(DO$1:DO15))),"")</f>
        <v>12</v>
      </c>
      <c r="DP436" s="165">
        <f>IFERROR(INDEX(DH$422:DH$470,_xlfn.AGGREGATE(15,6,(ROW(DH$422:DH$470)-ROW(DH$422)+1)/(DH$422:DH$470&lt;&gt;""),ROWS(DP$1:DP15))),"")</f>
        <v>323.27507873976163</v>
      </c>
      <c r="DQ436" s="166">
        <f t="shared" si="230"/>
        <v>436</v>
      </c>
      <c r="DR436" s="65"/>
      <c r="DV436" s="145">
        <v>2029</v>
      </c>
      <c r="DW436" s="235">
        <f t="shared" ca="1" si="214"/>
        <v>340.10671827247586</v>
      </c>
      <c r="EA436" s="55"/>
      <c r="EB436" s="55"/>
      <c r="EC436" s="55"/>
      <c r="ED436" s="55"/>
      <c r="EE436" s="55"/>
    </row>
    <row r="437" spans="1:135" ht="13.8" x14ac:dyDescent="0.45">
      <c r="B437" s="128">
        <v>2027</v>
      </c>
      <c r="C437" s="1004">
        <v>334.6025866137378</v>
      </c>
      <c r="D437" s="987"/>
      <c r="E437" s="1006"/>
      <c r="F437" s="993"/>
      <c r="G437" s="247"/>
      <c r="H437" s="245"/>
      <c r="I437" s="1112">
        <v>314.86235294117648</v>
      </c>
      <c r="J437" s="247"/>
      <c r="K437" s="245"/>
      <c r="L437" s="246"/>
      <c r="M437" s="245"/>
      <c r="N437" s="29" t="s">
        <v>119</v>
      </c>
      <c r="O437" s="120"/>
      <c r="P437" s="120"/>
      <c r="Q437" s="120"/>
      <c r="R437" s="29">
        <v>13</v>
      </c>
      <c r="S437" s="238">
        <f t="shared" si="215"/>
        <v>314.86235294117648</v>
      </c>
      <c r="T437" s="238">
        <f t="shared" si="216"/>
        <v>334.6025866137378</v>
      </c>
      <c r="U437" s="238">
        <f t="shared" si="217"/>
        <v>9.8701168362806584</v>
      </c>
      <c r="W437" s="238">
        <f t="shared" si="218"/>
        <v>314.86235294117648</v>
      </c>
      <c r="X437" s="238">
        <f t="shared" si="219"/>
        <v>324.73246977745714</v>
      </c>
      <c r="Y437" s="238">
        <f t="shared" si="220"/>
        <v>334.6025866137378</v>
      </c>
      <c r="AA437" s="89"/>
      <c r="AB437" s="89"/>
      <c r="AC437" s="89"/>
      <c r="AD437" s="89"/>
      <c r="AE437" s="89"/>
      <c r="AF437" s="89"/>
      <c r="AG437" s="89"/>
      <c r="AH437" s="89"/>
      <c r="AI437" s="89"/>
      <c r="AJ437" s="89"/>
      <c r="AK437" s="89"/>
      <c r="AL437" s="89"/>
      <c r="AM437" s="89"/>
      <c r="AN437" s="89"/>
      <c r="BR437" s="180">
        <v>2025</v>
      </c>
      <c r="BS437" s="22">
        <v>11</v>
      </c>
      <c r="BT437" s="198">
        <f t="shared" si="231"/>
        <v>87.470158185371417</v>
      </c>
      <c r="BU437" s="276">
        <f t="shared" si="232"/>
        <v>209.52575142326765</v>
      </c>
      <c r="BV437" s="205">
        <f t="shared" si="233"/>
        <v>296.99590960863907</v>
      </c>
      <c r="BY437" s="180">
        <v>2025</v>
      </c>
      <c r="BZ437" s="22">
        <v>11</v>
      </c>
      <c r="CA437" s="198">
        <f t="shared" ca="1" si="234"/>
        <v>-7.2294208454798587</v>
      </c>
      <c r="CB437" s="198">
        <f t="shared" ca="1" si="235"/>
        <v>116.38784156729083</v>
      </c>
      <c r="CC437" s="276">
        <f t="shared" ca="1" si="246"/>
        <v>192.55752398429016</v>
      </c>
      <c r="CD437" s="205">
        <f t="shared" ca="1" si="236"/>
        <v>301.71594470610114</v>
      </c>
      <c r="CG437" s="180">
        <v>2025</v>
      </c>
      <c r="CH437" s="22">
        <v>11</v>
      </c>
      <c r="CI437" s="198">
        <f t="shared" ca="1" si="237"/>
        <v>1.395873205324953</v>
      </c>
      <c r="CJ437" s="198">
        <f t="shared" ca="1" si="238"/>
        <v>-15.604660077429601</v>
      </c>
      <c r="CK437" s="198">
        <f t="shared" ca="1" si="239"/>
        <v>128.98761607023241</v>
      </c>
      <c r="CL437" s="276">
        <f t="shared" ca="1" si="240"/>
        <v>189.69194626360641</v>
      </c>
      <c r="CM437" s="205">
        <f t="shared" ca="1" si="241"/>
        <v>304.47077546173415</v>
      </c>
      <c r="CP437" s="180">
        <v>2025</v>
      </c>
      <c r="CQ437" s="22">
        <v>11</v>
      </c>
      <c r="CR437" s="198">
        <f t="shared" ca="1" si="242"/>
        <v>222.33137667214683</v>
      </c>
      <c r="CS437" s="276">
        <f t="shared" ca="1" si="243"/>
        <v>1.282446712425666</v>
      </c>
      <c r="CT437" s="205">
        <f t="shared" ca="1" si="244"/>
        <v>285.12814308226712</v>
      </c>
      <c r="CZ437" s="164" t="b">
        <f t="shared" si="221"/>
        <v>1</v>
      </c>
      <c r="DA437" s="165" t="b">
        <f t="shared" si="221"/>
        <v>1</v>
      </c>
      <c r="DB437" s="166" t="b">
        <f t="shared" si="221"/>
        <v>1</v>
      </c>
      <c r="DC437" s="164">
        <f t="shared" si="222"/>
        <v>13</v>
      </c>
      <c r="DD437" s="166">
        <f t="shared" si="223"/>
        <v>314.86235294117648</v>
      </c>
      <c r="DE437" s="164">
        <f t="shared" si="224"/>
        <v>13</v>
      </c>
      <c r="DF437" s="166">
        <f t="shared" si="225"/>
        <v>324.73246977745714</v>
      </c>
      <c r="DG437" s="164">
        <f t="shared" si="226"/>
        <v>13</v>
      </c>
      <c r="DH437" s="166">
        <f t="shared" si="227"/>
        <v>334.6025866137378</v>
      </c>
      <c r="DI437" s="164">
        <f>IFERROR(INDEX(DC$422:DC$470,_xlfn.AGGREGATE(15,6,(ROW(DC$422:DC$470)-ROW(DC$422)+1)/(DC$422:DC$470&lt;&gt;""),ROWS(DI$1:DI16))),"")</f>
        <v>13</v>
      </c>
      <c r="DJ437" s="165">
        <f>IFERROR(INDEX(DD$422:DD$470,_xlfn.AGGREGATE(15,6,(ROW(DD$422:DD$470)-ROW(DD$422)+1)/(DD$422:DD$470&lt;&gt;""),ROWS(DJ$1:DJ16))),"")</f>
        <v>314.86235294117648</v>
      </c>
      <c r="DK437" s="166">
        <f t="shared" si="228"/>
        <v>437</v>
      </c>
      <c r="DL437" s="164">
        <f>IFERROR(INDEX(DE$422:DE$470,_xlfn.AGGREGATE(15,6,(ROW(DE$422:DE$470)-ROW(DE$422)+1)/(DE$422:DE$470&lt;&gt;""),ROWS(DL$1:DL16))),"")</f>
        <v>13</v>
      </c>
      <c r="DM437" s="165">
        <f>IFERROR(INDEX(DF$422:DF$470,_xlfn.AGGREGATE(15,6,(ROW(DF$422:DF$470)-ROW(DF$422)+1)/(DF$422:DF$470&lt;&gt;""),ROWS(DM$1:DM16))),"")</f>
        <v>324.73246977745714</v>
      </c>
      <c r="DN437" s="166">
        <f t="shared" si="229"/>
        <v>437</v>
      </c>
      <c r="DO437" s="164">
        <f>IFERROR(INDEX(DG$422:DG$470,_xlfn.AGGREGATE(15,6,(ROW(DG$422:DG$470)-ROW(DG$422)+1)/(DG$422:DG$470&lt;&gt;""),ROWS(DO$1:DO16))),"")</f>
        <v>13</v>
      </c>
      <c r="DP437" s="165">
        <f>IFERROR(INDEX(DH$422:DH$470,_xlfn.AGGREGATE(15,6,(ROW(DH$422:DH$470)-ROW(DH$422)+1)/(DH$422:DH$470&lt;&gt;""),ROWS(DP$1:DP16))),"")</f>
        <v>334.6025866137378</v>
      </c>
      <c r="DQ437" s="166">
        <f t="shared" si="230"/>
        <v>437</v>
      </c>
      <c r="DR437" s="65"/>
      <c r="DV437" s="145">
        <v>2030</v>
      </c>
      <c r="DW437" s="235">
        <f t="shared" ca="1" si="214"/>
        <v>348.5911187526666</v>
      </c>
    </row>
    <row r="438" spans="1:135" ht="13.8" x14ac:dyDescent="0.45">
      <c r="A438" s="208" t="str">
        <f>$A$62</f>
        <v>Base Cases</v>
      </c>
      <c r="B438" s="128">
        <v>2028</v>
      </c>
      <c r="C438" s="1004">
        <v>345.93009448771397</v>
      </c>
      <c r="D438" s="987"/>
      <c r="E438" s="1006"/>
      <c r="F438" s="993"/>
      <c r="G438" s="247"/>
      <c r="H438" s="245"/>
      <c r="I438" s="1112">
        <v>324.97529411764708</v>
      </c>
      <c r="J438" s="247"/>
      <c r="K438" s="245"/>
      <c r="L438" s="246"/>
      <c r="M438" s="245"/>
      <c r="N438" s="29" t="s">
        <v>119</v>
      </c>
      <c r="O438" s="120"/>
      <c r="P438" s="120"/>
      <c r="Q438" s="120"/>
      <c r="R438" s="29">
        <v>14</v>
      </c>
      <c r="S438" s="238">
        <f t="shared" si="215"/>
        <v>324.97529411764708</v>
      </c>
      <c r="T438" s="238">
        <f t="shared" si="216"/>
        <v>345.93009448771397</v>
      </c>
      <c r="U438" s="238">
        <f t="shared" si="217"/>
        <v>10.477400185033446</v>
      </c>
      <c r="W438" s="238">
        <f t="shared" si="218"/>
        <v>324.97529411764708</v>
      </c>
      <c r="X438" s="238">
        <f t="shared" si="219"/>
        <v>335.45269430268053</v>
      </c>
      <c r="Y438" s="238">
        <f t="shared" si="220"/>
        <v>345.93009448771397</v>
      </c>
      <c r="AA438" s="114"/>
      <c r="AB438" s="114"/>
      <c r="AC438" s="114"/>
      <c r="AD438" s="114"/>
      <c r="AE438" s="114"/>
      <c r="AF438" s="114"/>
      <c r="AG438" s="114"/>
      <c r="AH438" s="114"/>
      <c r="AI438" s="114"/>
      <c r="AJ438" s="114"/>
      <c r="AK438" s="114"/>
      <c r="AL438" s="114"/>
      <c r="AM438" s="114"/>
      <c r="AN438" s="114"/>
      <c r="BR438" s="180">
        <v>2026</v>
      </c>
      <c r="BS438" s="22">
        <v>12</v>
      </c>
      <c r="BT438" s="198">
        <f t="shared" si="231"/>
        <v>95.42199074767791</v>
      </c>
      <c r="BU438" s="276">
        <f t="shared" si="232"/>
        <v>209.52575142326765</v>
      </c>
      <c r="BV438" s="205">
        <f t="shared" si="233"/>
        <v>304.94774217094556</v>
      </c>
      <c r="BY438" s="180">
        <v>2026</v>
      </c>
      <c r="BZ438" s="22">
        <v>12</v>
      </c>
      <c r="CA438" s="198">
        <f t="shared" ca="1" si="234"/>
        <v>-8.6036082789181787</v>
      </c>
      <c r="CB438" s="198">
        <f t="shared" ca="1" si="235"/>
        <v>126.96855443704456</v>
      </c>
      <c r="CC438" s="276">
        <f t="shared" ca="1" si="246"/>
        <v>192.55752398429016</v>
      </c>
      <c r="CD438" s="205">
        <f t="shared" ca="1" si="236"/>
        <v>310.92247014241656</v>
      </c>
      <c r="CG438" s="180">
        <v>2026</v>
      </c>
      <c r="CH438" s="22">
        <v>12</v>
      </c>
      <c r="CI438" s="198">
        <f t="shared" ca="1" si="237"/>
        <v>1.812223064463951</v>
      </c>
      <c r="CJ438" s="198">
        <f t="shared" ca="1" si="238"/>
        <v>-18.570835133469942</v>
      </c>
      <c r="CK438" s="198">
        <f t="shared" ca="1" si="239"/>
        <v>140.71376298570806</v>
      </c>
      <c r="CL438" s="276">
        <f t="shared" ca="1" si="240"/>
        <v>189.69194626360641</v>
      </c>
      <c r="CM438" s="205">
        <f t="shared" ca="1" si="241"/>
        <v>313.64709718030849</v>
      </c>
      <c r="CP438" s="180">
        <v>2026</v>
      </c>
      <c r="CQ438" s="22">
        <v>12</v>
      </c>
      <c r="CR438" s="198">
        <f t="shared" ca="1" si="242"/>
        <v>222.33137667214683</v>
      </c>
      <c r="CS438" s="276">
        <f t="shared" ca="1" si="243"/>
        <v>1.3117802433144932</v>
      </c>
      <c r="CT438" s="205">
        <f t="shared" ca="1" si="244"/>
        <v>291.64990738743501</v>
      </c>
      <c r="CZ438" s="164" t="b">
        <f t="shared" si="221"/>
        <v>1</v>
      </c>
      <c r="DA438" s="165" t="b">
        <f t="shared" si="221"/>
        <v>1</v>
      </c>
      <c r="DB438" s="166" t="b">
        <f t="shared" si="221"/>
        <v>1</v>
      </c>
      <c r="DC438" s="164">
        <f t="shared" si="222"/>
        <v>14</v>
      </c>
      <c r="DD438" s="166">
        <f t="shared" si="223"/>
        <v>324.97529411764708</v>
      </c>
      <c r="DE438" s="164">
        <f t="shared" si="224"/>
        <v>14</v>
      </c>
      <c r="DF438" s="166">
        <f t="shared" si="225"/>
        <v>335.45269430268053</v>
      </c>
      <c r="DG438" s="164">
        <f t="shared" si="226"/>
        <v>14</v>
      </c>
      <c r="DH438" s="166">
        <f t="shared" si="227"/>
        <v>345.93009448771397</v>
      </c>
      <c r="DI438" s="164">
        <f>IFERROR(INDEX(DC$422:DC$470,_xlfn.AGGREGATE(15,6,(ROW(DC$422:DC$470)-ROW(DC$422)+1)/(DC$422:DC$470&lt;&gt;""),ROWS(DI$1:DI17))),"")</f>
        <v>14</v>
      </c>
      <c r="DJ438" s="165">
        <f>IFERROR(INDEX(DD$422:DD$470,_xlfn.AGGREGATE(15,6,(ROW(DD$422:DD$470)-ROW(DD$422)+1)/(DD$422:DD$470&lt;&gt;""),ROWS(DJ$1:DJ17))),"")</f>
        <v>324.97529411764708</v>
      </c>
      <c r="DK438" s="166">
        <f t="shared" si="228"/>
        <v>438</v>
      </c>
      <c r="DL438" s="164">
        <f>IFERROR(INDEX(DE$422:DE$470,_xlfn.AGGREGATE(15,6,(ROW(DE$422:DE$470)-ROW(DE$422)+1)/(DE$422:DE$470&lt;&gt;""),ROWS(DL$1:DL17))),"")</f>
        <v>14</v>
      </c>
      <c r="DM438" s="165">
        <f>IFERROR(INDEX(DF$422:DF$470,_xlfn.AGGREGATE(15,6,(ROW(DF$422:DF$470)-ROW(DF$422)+1)/(DF$422:DF$470&lt;&gt;""),ROWS(DM$1:DM17))),"")</f>
        <v>335.45269430268053</v>
      </c>
      <c r="DN438" s="166">
        <f t="shared" si="229"/>
        <v>438</v>
      </c>
      <c r="DO438" s="164">
        <f>IFERROR(INDEX(DG$422:DG$470,_xlfn.AGGREGATE(15,6,(ROW(DG$422:DG$470)-ROW(DG$422)+1)/(DG$422:DG$470&lt;&gt;""),ROWS(DO$1:DO17))),"")</f>
        <v>14</v>
      </c>
      <c r="DP438" s="165">
        <f>IFERROR(INDEX(DH$422:DH$470,_xlfn.AGGREGATE(15,6,(ROW(DH$422:DH$470)-ROW(DH$422)+1)/(DH$422:DH$470&lt;&gt;""),ROWS(DP$1:DP17))),"")</f>
        <v>345.93009448771397</v>
      </c>
      <c r="DQ438" s="166">
        <f t="shared" si="230"/>
        <v>438</v>
      </c>
      <c r="DR438" s="65"/>
      <c r="DV438" s="145">
        <v>2031</v>
      </c>
      <c r="DW438" s="235">
        <f t="shared" ca="1" si="214"/>
        <v>356.91827002625166</v>
      </c>
    </row>
    <row r="439" spans="1:135" ht="13.8" x14ac:dyDescent="0.45">
      <c r="A439" s="209" t="str">
        <f>$A$63</f>
        <v>Conservative Cases</v>
      </c>
      <c r="B439" s="128">
        <v>2029</v>
      </c>
      <c r="C439" s="1004">
        <v>357.25760236169015</v>
      </c>
      <c r="D439" s="987"/>
      <c r="E439" s="1006"/>
      <c r="F439" s="993"/>
      <c r="G439" s="247"/>
      <c r="H439" s="245"/>
      <c r="I439" s="1112">
        <v>335.08823529411768</v>
      </c>
      <c r="J439" s="247"/>
      <c r="K439" s="245"/>
      <c r="L439" s="246"/>
      <c r="M439" s="245"/>
      <c r="N439" s="29" t="s">
        <v>119</v>
      </c>
      <c r="O439" s="120"/>
      <c r="P439" s="120"/>
      <c r="Q439" s="120"/>
      <c r="R439" s="29">
        <v>15</v>
      </c>
      <c r="S439" s="238">
        <f t="shared" si="215"/>
        <v>335.08823529411768</v>
      </c>
      <c r="T439" s="238">
        <f t="shared" si="216"/>
        <v>357.25760236169015</v>
      </c>
      <c r="U439" s="238">
        <f t="shared" si="217"/>
        <v>11.084683533786233</v>
      </c>
      <c r="W439" s="238">
        <f t="shared" si="218"/>
        <v>335.08823529411768</v>
      </c>
      <c r="X439" s="238">
        <f t="shared" si="219"/>
        <v>346.17291882790391</v>
      </c>
      <c r="Y439" s="238">
        <f t="shared" si="220"/>
        <v>357.25760236169015</v>
      </c>
      <c r="AA439" s="89"/>
      <c r="AB439" s="89"/>
      <c r="AC439" s="89"/>
      <c r="AD439" s="89"/>
      <c r="AE439" s="89"/>
      <c r="AF439" s="89"/>
      <c r="AG439" s="89"/>
      <c r="AH439" s="89"/>
      <c r="AI439" s="89"/>
      <c r="AJ439" s="89"/>
      <c r="AK439" s="89"/>
      <c r="AL439" s="89"/>
      <c r="AM439" s="89"/>
      <c r="AN439" s="89"/>
      <c r="BR439" s="180">
        <v>2027</v>
      </c>
      <c r="BS439" s="22">
        <v>13</v>
      </c>
      <c r="BT439" s="198">
        <f t="shared" si="231"/>
        <v>103.3738233099844</v>
      </c>
      <c r="BU439" s="276">
        <f t="shared" si="232"/>
        <v>209.52575142326765</v>
      </c>
      <c r="BV439" s="205">
        <f t="shared" si="233"/>
        <v>312.89957473325205</v>
      </c>
      <c r="BY439" s="180">
        <v>2027</v>
      </c>
      <c r="BZ439" s="22">
        <v>13</v>
      </c>
      <c r="CA439" s="198">
        <f t="shared" ca="1" si="234"/>
        <v>-10.097290271785919</v>
      </c>
      <c r="CB439" s="198">
        <f t="shared" ca="1" si="235"/>
        <v>137.54926730679827</v>
      </c>
      <c r="CC439" s="276">
        <f t="shared" ca="1" si="246"/>
        <v>192.55752398429016</v>
      </c>
      <c r="CD439" s="205">
        <f t="shared" ca="1" si="236"/>
        <v>320.00950101930249</v>
      </c>
      <c r="CG439" s="180">
        <v>2027</v>
      </c>
      <c r="CH439" s="22">
        <v>13</v>
      </c>
      <c r="CI439" s="198">
        <f t="shared" ca="1" si="237"/>
        <v>2.3040822179556137</v>
      </c>
      <c r="CJ439" s="198">
        <f t="shared" ca="1" si="238"/>
        <v>-21.794938455252915</v>
      </c>
      <c r="CK439" s="198">
        <f t="shared" ca="1" si="239"/>
        <v>152.43990990118374</v>
      </c>
      <c r="CL439" s="276">
        <f t="shared" ca="1" si="240"/>
        <v>189.69194626360641</v>
      </c>
      <c r="CM439" s="205">
        <f t="shared" ca="1" si="241"/>
        <v>322.64099992749289</v>
      </c>
      <c r="CP439" s="180">
        <v>2027</v>
      </c>
      <c r="CQ439" s="22">
        <v>13</v>
      </c>
      <c r="CR439" s="198">
        <f t="shared" ca="1" si="242"/>
        <v>222.33137667214683</v>
      </c>
      <c r="CS439" s="276">
        <f t="shared" ca="1" si="243"/>
        <v>1.3417847229656112</v>
      </c>
      <c r="CT439" s="205">
        <f t="shared" ca="1" si="244"/>
        <v>298.32084465459951</v>
      </c>
      <c r="CZ439" s="164" t="b">
        <f t="shared" si="221"/>
        <v>1</v>
      </c>
      <c r="DA439" s="165" t="b">
        <f t="shared" si="221"/>
        <v>1</v>
      </c>
      <c r="DB439" s="166" t="b">
        <f t="shared" si="221"/>
        <v>1</v>
      </c>
      <c r="DC439" s="164">
        <f t="shared" si="222"/>
        <v>15</v>
      </c>
      <c r="DD439" s="166">
        <f t="shared" si="223"/>
        <v>335.08823529411768</v>
      </c>
      <c r="DE439" s="164">
        <f t="shared" si="224"/>
        <v>15</v>
      </c>
      <c r="DF439" s="166">
        <f t="shared" si="225"/>
        <v>346.17291882790391</v>
      </c>
      <c r="DG439" s="164">
        <f t="shared" si="226"/>
        <v>15</v>
      </c>
      <c r="DH439" s="166">
        <f t="shared" si="227"/>
        <v>357.25760236169015</v>
      </c>
      <c r="DI439" s="164">
        <f>IFERROR(INDEX(DC$422:DC$470,_xlfn.AGGREGATE(15,6,(ROW(DC$422:DC$470)-ROW(DC$422)+1)/(DC$422:DC$470&lt;&gt;""),ROWS(DI$1:DI18))),"")</f>
        <v>15</v>
      </c>
      <c r="DJ439" s="165">
        <f>IFERROR(INDEX(DD$422:DD$470,_xlfn.AGGREGATE(15,6,(ROW(DD$422:DD$470)-ROW(DD$422)+1)/(DD$422:DD$470&lt;&gt;""),ROWS(DJ$1:DJ18))),"")</f>
        <v>335.08823529411768</v>
      </c>
      <c r="DK439" s="166">
        <f t="shared" si="228"/>
        <v>439</v>
      </c>
      <c r="DL439" s="164">
        <f>IFERROR(INDEX(DE$422:DE$470,_xlfn.AGGREGATE(15,6,(ROW(DE$422:DE$470)-ROW(DE$422)+1)/(DE$422:DE$470&lt;&gt;""),ROWS(DL$1:DL18))),"")</f>
        <v>15</v>
      </c>
      <c r="DM439" s="165">
        <f>IFERROR(INDEX(DF$422:DF$470,_xlfn.AGGREGATE(15,6,(ROW(DF$422:DF$470)-ROW(DF$422)+1)/(DF$422:DF$470&lt;&gt;""),ROWS(DM$1:DM18))),"")</f>
        <v>346.17291882790391</v>
      </c>
      <c r="DN439" s="166">
        <f t="shared" si="229"/>
        <v>439</v>
      </c>
      <c r="DO439" s="164">
        <f>IFERROR(INDEX(DG$422:DG$470,_xlfn.AGGREGATE(15,6,(ROW(DG$422:DG$470)-ROW(DG$422)+1)/(DG$422:DG$470&lt;&gt;""),ROWS(DO$1:DO18))),"")</f>
        <v>15</v>
      </c>
      <c r="DP439" s="165">
        <f>IFERROR(INDEX(DH$422:DH$470,_xlfn.AGGREGATE(15,6,(ROW(DH$422:DH$470)-ROW(DH$422)+1)/(DH$422:DH$470&lt;&gt;""),ROWS(DP$1:DP18))),"")</f>
        <v>357.25760236169015</v>
      </c>
      <c r="DQ439" s="166">
        <f t="shared" si="230"/>
        <v>439</v>
      </c>
      <c r="DR439" s="65"/>
      <c r="DV439" s="145">
        <v>2032</v>
      </c>
      <c r="DW439" s="235">
        <f t="shared" ca="1" si="214"/>
        <v>365.09446453442695</v>
      </c>
    </row>
    <row r="440" spans="1:135" ht="13.8" x14ac:dyDescent="0.45">
      <c r="A440" s="210" t="str">
        <f>$A$64</f>
        <v>Ambitious Cases</v>
      </c>
      <c r="B440" s="128">
        <v>2030</v>
      </c>
      <c r="C440" s="1004">
        <v>368.58511023566632</v>
      </c>
      <c r="D440" s="987"/>
      <c r="E440" s="1006"/>
      <c r="F440" s="993"/>
      <c r="G440" s="247"/>
      <c r="H440" s="245"/>
      <c r="I440" s="1112">
        <v>345.20117647058828</v>
      </c>
      <c r="J440" s="247"/>
      <c r="K440" s="245"/>
      <c r="L440" s="246"/>
      <c r="M440" s="245"/>
      <c r="N440" s="29" t="s">
        <v>119</v>
      </c>
      <c r="O440" s="120"/>
      <c r="P440" s="120"/>
      <c r="Q440" s="120"/>
      <c r="R440" s="29">
        <v>16</v>
      </c>
      <c r="S440" s="238">
        <f t="shared" si="215"/>
        <v>345.20117647058828</v>
      </c>
      <c r="T440" s="238">
        <f t="shared" si="216"/>
        <v>368.58511023566632</v>
      </c>
      <c r="U440" s="238">
        <f t="shared" si="217"/>
        <v>11.69196688253902</v>
      </c>
      <c r="W440" s="238">
        <f t="shared" si="218"/>
        <v>345.20117647058828</v>
      </c>
      <c r="X440" s="238">
        <f t="shared" si="219"/>
        <v>356.8931433531273</v>
      </c>
      <c r="Y440" s="238">
        <f t="shared" si="220"/>
        <v>368.58511023566632</v>
      </c>
      <c r="AA440" s="89"/>
      <c r="AB440" s="89"/>
      <c r="AC440" s="89"/>
      <c r="AD440" s="89"/>
      <c r="AE440" s="89"/>
      <c r="AF440" s="89"/>
      <c r="AG440" s="89"/>
      <c r="AH440" s="89"/>
      <c r="AI440" s="89"/>
      <c r="AJ440" s="89"/>
      <c r="AK440" s="89"/>
      <c r="AL440" s="89"/>
      <c r="AM440" s="89"/>
      <c r="AN440" s="89"/>
      <c r="BR440" s="180">
        <v>2028</v>
      </c>
      <c r="BS440" s="22">
        <v>14</v>
      </c>
      <c r="BT440" s="198">
        <f t="shared" si="231"/>
        <v>111.32565587229089</v>
      </c>
      <c r="BU440" s="276">
        <f t="shared" si="232"/>
        <v>209.52575142326765</v>
      </c>
      <c r="BV440" s="205">
        <f t="shared" si="233"/>
        <v>320.85140729555854</v>
      </c>
      <c r="BY440" s="180">
        <v>2028</v>
      </c>
      <c r="BZ440" s="22">
        <v>14</v>
      </c>
      <c r="CA440" s="198">
        <f t="shared" ca="1" si="234"/>
        <v>-11.710466824083078</v>
      </c>
      <c r="CB440" s="198">
        <f t="shared" ca="1" si="235"/>
        <v>148.12998017655198</v>
      </c>
      <c r="CC440" s="276">
        <f t="shared" ca="1" si="246"/>
        <v>192.55752398429016</v>
      </c>
      <c r="CD440" s="205">
        <f t="shared" ca="1" si="236"/>
        <v>328.97703733675905</v>
      </c>
      <c r="CG440" s="180">
        <v>2028</v>
      </c>
      <c r="CH440" s="22">
        <v>14</v>
      </c>
      <c r="CI440" s="198">
        <f t="shared" ca="1" si="237"/>
        <v>2.8777431069959962</v>
      </c>
      <c r="CJ440" s="198">
        <f t="shared" ca="1" si="238"/>
        <v>-25.27697004277853</v>
      </c>
      <c r="CK440" s="198">
        <f t="shared" ca="1" si="239"/>
        <v>164.16605681665942</v>
      </c>
      <c r="CL440" s="276">
        <f t="shared" ca="1" si="240"/>
        <v>189.69194626360641</v>
      </c>
      <c r="CM440" s="205">
        <f t="shared" ca="1" si="241"/>
        <v>331.45877614448329</v>
      </c>
      <c r="CP440" s="180">
        <v>2028</v>
      </c>
      <c r="CQ440" s="22">
        <v>14</v>
      </c>
      <c r="CR440" s="198">
        <f t="shared" ca="1" si="242"/>
        <v>222.33137667214683</v>
      </c>
      <c r="CS440" s="276">
        <f t="shared" ca="1" si="243"/>
        <v>1.3724754980566269</v>
      </c>
      <c r="CT440" s="205">
        <f t="shared" ca="1" si="244"/>
        <v>305.14436693172024</v>
      </c>
      <c r="CZ440" s="164" t="b">
        <f t="shared" si="221"/>
        <v>1</v>
      </c>
      <c r="DA440" s="165" t="b">
        <f t="shared" si="221"/>
        <v>1</v>
      </c>
      <c r="DB440" s="166" t="b">
        <f t="shared" si="221"/>
        <v>1</v>
      </c>
      <c r="DC440" s="164">
        <f t="shared" si="222"/>
        <v>16</v>
      </c>
      <c r="DD440" s="166">
        <f t="shared" si="223"/>
        <v>345.20117647058828</v>
      </c>
      <c r="DE440" s="164">
        <f t="shared" si="224"/>
        <v>16</v>
      </c>
      <c r="DF440" s="166">
        <f t="shared" si="225"/>
        <v>356.8931433531273</v>
      </c>
      <c r="DG440" s="164">
        <f t="shared" si="226"/>
        <v>16</v>
      </c>
      <c r="DH440" s="166">
        <f t="shared" si="227"/>
        <v>368.58511023566632</v>
      </c>
      <c r="DI440" s="164">
        <f>IFERROR(INDEX(DC$422:DC$470,_xlfn.AGGREGATE(15,6,(ROW(DC$422:DC$470)-ROW(DC$422)+1)/(DC$422:DC$470&lt;&gt;""),ROWS(DI$1:DI19))),"")</f>
        <v>16</v>
      </c>
      <c r="DJ440" s="165">
        <f>IFERROR(INDEX(DD$422:DD$470,_xlfn.AGGREGATE(15,6,(ROW(DD$422:DD$470)-ROW(DD$422)+1)/(DD$422:DD$470&lt;&gt;""),ROWS(DJ$1:DJ19))),"")</f>
        <v>345.20117647058828</v>
      </c>
      <c r="DK440" s="166">
        <f t="shared" si="228"/>
        <v>440</v>
      </c>
      <c r="DL440" s="164">
        <f>IFERROR(INDEX(DE$422:DE$470,_xlfn.AGGREGATE(15,6,(ROW(DE$422:DE$470)-ROW(DE$422)+1)/(DE$422:DE$470&lt;&gt;""),ROWS(DL$1:DL19))),"")</f>
        <v>16</v>
      </c>
      <c r="DM440" s="165">
        <f>IFERROR(INDEX(DF$422:DF$470,_xlfn.AGGREGATE(15,6,(ROW(DF$422:DF$470)-ROW(DF$422)+1)/(DF$422:DF$470&lt;&gt;""),ROWS(DM$1:DM19))),"")</f>
        <v>356.8931433531273</v>
      </c>
      <c r="DN440" s="166">
        <f t="shared" si="229"/>
        <v>440</v>
      </c>
      <c r="DO440" s="164">
        <f>IFERROR(INDEX(DG$422:DG$470,_xlfn.AGGREGATE(15,6,(ROW(DG$422:DG$470)-ROW(DG$422)+1)/(DG$422:DG$470&lt;&gt;""),ROWS(DO$1:DO19))),"")</f>
        <v>16</v>
      </c>
      <c r="DP440" s="165">
        <f>IFERROR(INDEX(DH$422:DH$470,_xlfn.AGGREGATE(15,6,(ROW(DH$422:DH$470)-ROW(DH$422)+1)/(DH$422:DH$470&lt;&gt;""),ROWS(DP$1:DP19))),"")</f>
        <v>368.58511023566632</v>
      </c>
      <c r="DQ440" s="166">
        <f t="shared" si="230"/>
        <v>440</v>
      </c>
      <c r="DR440" s="65"/>
      <c r="DV440" s="145">
        <v>2033</v>
      </c>
      <c r="DW440" s="235">
        <f t="shared" ca="1" si="214"/>
        <v>373.12599471838865</v>
      </c>
    </row>
    <row r="441" spans="1:135" ht="13.8" x14ac:dyDescent="0.45">
      <c r="A441" s="211" t="str">
        <f>$A$65</f>
        <v>Maximum Cases</v>
      </c>
      <c r="B441" s="128">
        <v>2031</v>
      </c>
      <c r="C441" s="1004">
        <v>372.01380893553295</v>
      </c>
      <c r="D441" s="987"/>
      <c r="E441" s="1006"/>
      <c r="F441" s="993"/>
      <c r="G441" s="247"/>
      <c r="H441" s="245"/>
      <c r="I441" s="1112">
        <v>355.31411764705888</v>
      </c>
      <c r="J441" s="247"/>
      <c r="K441" s="245"/>
      <c r="L441" s="246"/>
      <c r="M441" s="245"/>
      <c r="N441" s="29" t="s">
        <v>119</v>
      </c>
      <c r="O441" s="120"/>
      <c r="P441" s="120"/>
      <c r="Q441" s="120"/>
      <c r="R441" s="29">
        <v>17</v>
      </c>
      <c r="S441" s="238">
        <f t="shared" si="215"/>
        <v>355.31411764705888</v>
      </c>
      <c r="T441" s="238">
        <f t="shared" si="216"/>
        <v>372.01380893553295</v>
      </c>
      <c r="U441" s="238">
        <f t="shared" si="217"/>
        <v>8.3498456442370355</v>
      </c>
      <c r="W441" s="238">
        <f t="shared" si="218"/>
        <v>355.31411764705888</v>
      </c>
      <c r="X441" s="238">
        <f t="shared" si="219"/>
        <v>363.66396329129589</v>
      </c>
      <c r="Y441" s="238">
        <f t="shared" si="220"/>
        <v>372.01380893553289</v>
      </c>
      <c r="AA441" s="89"/>
      <c r="AB441" s="89"/>
      <c r="AC441" s="89"/>
      <c r="AD441" s="89"/>
      <c r="AE441" s="89"/>
      <c r="AF441" s="89"/>
      <c r="AG441" s="89"/>
      <c r="AH441" s="89"/>
      <c r="AI441" s="89"/>
      <c r="AJ441" s="89"/>
      <c r="AK441" s="89"/>
      <c r="AL441" s="89"/>
      <c r="AM441" s="89"/>
      <c r="AN441" s="89"/>
      <c r="BR441" s="180">
        <v>2029</v>
      </c>
      <c r="BS441" s="22">
        <v>15</v>
      </c>
      <c r="BT441" s="198">
        <f t="shared" si="231"/>
        <v>119.27748843459739</v>
      </c>
      <c r="BU441" s="276">
        <f t="shared" si="232"/>
        <v>209.52575142326765</v>
      </c>
      <c r="BV441" s="205">
        <f t="shared" si="233"/>
        <v>328.80323985786504</v>
      </c>
      <c r="BY441" s="180">
        <v>2029</v>
      </c>
      <c r="BZ441" s="22">
        <v>15</v>
      </c>
      <c r="CA441" s="198">
        <f t="shared" ca="1" si="234"/>
        <v>-13.443137935809654</v>
      </c>
      <c r="CB441" s="198">
        <f t="shared" ca="1" si="235"/>
        <v>158.71069304630569</v>
      </c>
      <c r="CC441" s="276">
        <f t="shared" ca="1" si="246"/>
        <v>192.55752398429016</v>
      </c>
      <c r="CD441" s="205">
        <f t="shared" ca="1" si="236"/>
        <v>337.82507909478619</v>
      </c>
      <c r="CG441" s="180">
        <v>2029</v>
      </c>
      <c r="CH441" s="22">
        <v>15</v>
      </c>
      <c r="CI441" s="198">
        <f t="shared" ca="1" si="237"/>
        <v>3.5394981727811543</v>
      </c>
      <c r="CJ441" s="198">
        <f t="shared" ca="1" si="238"/>
        <v>-29.016929896046779</v>
      </c>
      <c r="CK441" s="198">
        <f t="shared" ca="1" si="239"/>
        <v>175.89220373213507</v>
      </c>
      <c r="CL441" s="276">
        <f t="shared" ca="1" si="240"/>
        <v>189.69194626360641</v>
      </c>
      <c r="CM441" s="205">
        <f t="shared" ca="1" si="241"/>
        <v>340.10671827247586</v>
      </c>
      <c r="CP441" s="180">
        <v>2029</v>
      </c>
      <c r="CQ441" s="22">
        <v>15</v>
      </c>
      <c r="CR441" s="198">
        <f t="shared" ca="1" si="242"/>
        <v>222.33137667214683</v>
      </c>
      <c r="CS441" s="276">
        <f t="shared" ca="1" si="243"/>
        <v>1.4038682662912261</v>
      </c>
      <c r="CT441" s="205">
        <f t="shared" ca="1" si="244"/>
        <v>312.1239643108683</v>
      </c>
      <c r="CZ441" s="164" t="b">
        <f t="shared" si="221"/>
        <v>1</v>
      </c>
      <c r="DA441" s="165" t="b">
        <f t="shared" si="221"/>
        <v>1</v>
      </c>
      <c r="DB441" s="166" t="b">
        <f t="shared" si="221"/>
        <v>1</v>
      </c>
      <c r="DC441" s="164">
        <f t="shared" si="222"/>
        <v>17</v>
      </c>
      <c r="DD441" s="166">
        <f t="shared" si="223"/>
        <v>355.31411764705888</v>
      </c>
      <c r="DE441" s="164">
        <f t="shared" si="224"/>
        <v>17</v>
      </c>
      <c r="DF441" s="166">
        <f t="shared" si="225"/>
        <v>363.66396329129589</v>
      </c>
      <c r="DG441" s="164">
        <f t="shared" si="226"/>
        <v>17</v>
      </c>
      <c r="DH441" s="166">
        <f t="shared" si="227"/>
        <v>372.01380893553289</v>
      </c>
      <c r="DI441" s="164">
        <f>IFERROR(INDEX(DC$422:DC$470,_xlfn.AGGREGATE(15,6,(ROW(DC$422:DC$470)-ROW(DC$422)+1)/(DC$422:DC$470&lt;&gt;""),ROWS(DI$1:DI20))),"")</f>
        <v>17</v>
      </c>
      <c r="DJ441" s="165">
        <f>IFERROR(INDEX(DD$422:DD$470,_xlfn.AGGREGATE(15,6,(ROW(DD$422:DD$470)-ROW(DD$422)+1)/(DD$422:DD$470&lt;&gt;""),ROWS(DJ$1:DJ20))),"")</f>
        <v>355.31411764705888</v>
      </c>
      <c r="DK441" s="166">
        <f t="shared" si="228"/>
        <v>441</v>
      </c>
      <c r="DL441" s="164">
        <f>IFERROR(INDEX(DE$422:DE$470,_xlfn.AGGREGATE(15,6,(ROW(DE$422:DE$470)-ROW(DE$422)+1)/(DE$422:DE$470&lt;&gt;""),ROWS(DL$1:DL20))),"")</f>
        <v>17</v>
      </c>
      <c r="DM441" s="165">
        <f>IFERROR(INDEX(DF$422:DF$470,_xlfn.AGGREGATE(15,6,(ROW(DF$422:DF$470)-ROW(DF$422)+1)/(DF$422:DF$470&lt;&gt;""),ROWS(DM$1:DM20))),"")</f>
        <v>363.66396329129589</v>
      </c>
      <c r="DN441" s="166">
        <f t="shared" si="229"/>
        <v>441</v>
      </c>
      <c r="DO441" s="164">
        <f>IFERROR(INDEX(DG$422:DG$470,_xlfn.AGGREGATE(15,6,(ROW(DG$422:DG$470)-ROW(DG$422)+1)/(DG$422:DG$470&lt;&gt;""),ROWS(DO$1:DO20))),"")</f>
        <v>17</v>
      </c>
      <c r="DP441" s="165">
        <f>IFERROR(INDEX(DH$422:DH$470,_xlfn.AGGREGATE(15,6,(ROW(DH$422:DH$470)-ROW(DH$422)+1)/(DH$422:DH$470&lt;&gt;""),ROWS(DP$1:DP20))),"")</f>
        <v>372.01380893553289</v>
      </c>
      <c r="DQ441" s="166">
        <f t="shared" si="230"/>
        <v>441</v>
      </c>
      <c r="DR441" s="65"/>
      <c r="DV441" s="145">
        <v>2034</v>
      </c>
      <c r="DW441" s="235">
        <f t="shared" ca="1" si="214"/>
        <v>381.01915301933275</v>
      </c>
    </row>
    <row r="442" spans="1:135" ht="13.8" x14ac:dyDescent="0.45">
      <c r="B442" s="128">
        <v>2032</v>
      </c>
      <c r="C442" s="1004">
        <v>375.44250763539964</v>
      </c>
      <c r="D442" s="987"/>
      <c r="E442" s="1006"/>
      <c r="F442" s="993"/>
      <c r="G442" s="247"/>
      <c r="H442" s="245"/>
      <c r="I442" s="1112">
        <v>365.42705882352942</v>
      </c>
      <c r="J442" s="247"/>
      <c r="K442" s="245"/>
      <c r="L442" s="246"/>
      <c r="M442" s="245"/>
      <c r="N442" s="29" t="s">
        <v>119</v>
      </c>
      <c r="O442" s="120"/>
      <c r="P442" s="120"/>
      <c r="Q442" s="120"/>
      <c r="R442" s="29">
        <v>18</v>
      </c>
      <c r="S442" s="238">
        <f t="shared" si="215"/>
        <v>365.42705882352942</v>
      </c>
      <c r="T442" s="238">
        <f t="shared" si="216"/>
        <v>375.44250763539964</v>
      </c>
      <c r="U442" s="238">
        <f t="shared" si="217"/>
        <v>5.0077244059351074</v>
      </c>
      <c r="W442" s="238">
        <f t="shared" si="218"/>
        <v>365.42705882352942</v>
      </c>
      <c r="X442" s="238">
        <f t="shared" si="219"/>
        <v>370.43478322946453</v>
      </c>
      <c r="Y442" s="238">
        <f t="shared" si="220"/>
        <v>375.44250763539964</v>
      </c>
      <c r="AA442" s="89"/>
      <c r="AB442" s="89"/>
      <c r="AC442" s="89"/>
      <c r="AD442" s="89"/>
      <c r="AE442" s="89"/>
      <c r="AF442" s="89"/>
      <c r="AG442" s="89"/>
      <c r="AH442" s="89"/>
      <c r="AI442" s="89"/>
      <c r="AJ442" s="89"/>
      <c r="AK442" s="89"/>
      <c r="AL442" s="89"/>
      <c r="AM442" s="89"/>
      <c r="AN442" s="89"/>
      <c r="BR442" s="180">
        <v>2030</v>
      </c>
      <c r="BS442" s="22">
        <v>16</v>
      </c>
      <c r="BT442" s="198">
        <f t="shared" si="231"/>
        <v>127.22932099690388</v>
      </c>
      <c r="BU442" s="276">
        <f t="shared" si="232"/>
        <v>209.52575142326765</v>
      </c>
      <c r="BV442" s="205">
        <f t="shared" si="233"/>
        <v>336.75507242017153</v>
      </c>
      <c r="BY442" s="180">
        <v>2030</v>
      </c>
      <c r="BZ442" s="22">
        <v>16</v>
      </c>
      <c r="CA442" s="198">
        <f t="shared" ca="1" si="234"/>
        <v>-15.295303606965652</v>
      </c>
      <c r="CB442" s="198">
        <f t="shared" ca="1" si="235"/>
        <v>169.2914059160594</v>
      </c>
      <c r="CC442" s="276">
        <f t="shared" ca="1" si="246"/>
        <v>192.55752398429016</v>
      </c>
      <c r="CD442" s="205">
        <f t="shared" ca="1" si="236"/>
        <v>346.5536262933839</v>
      </c>
      <c r="CG442" s="180">
        <v>2030</v>
      </c>
      <c r="CH442" s="22">
        <v>16</v>
      </c>
      <c r="CI442" s="198">
        <f t="shared" ca="1" si="237"/>
        <v>4.295639856507143</v>
      </c>
      <c r="CJ442" s="198">
        <f t="shared" ca="1" si="238"/>
        <v>-33.014818015057671</v>
      </c>
      <c r="CK442" s="198">
        <f t="shared" ca="1" si="239"/>
        <v>187.61835064761075</v>
      </c>
      <c r="CL442" s="276">
        <f t="shared" ca="1" si="240"/>
        <v>189.69194626360641</v>
      </c>
      <c r="CM442" s="205">
        <f t="shared" ca="1" si="241"/>
        <v>348.5911187526666</v>
      </c>
      <c r="CP442" s="180">
        <v>2030</v>
      </c>
      <c r="CQ442" s="22">
        <v>16</v>
      </c>
      <c r="CR442" s="198">
        <f t="shared" ca="1" si="242"/>
        <v>222.33137667214683</v>
      </c>
      <c r="CS442" s="276">
        <f t="shared" ca="1" si="243"/>
        <v>1.4359790844282292</v>
      </c>
      <c r="CT442" s="205">
        <f t="shared" ca="1" si="244"/>
        <v>319.26320671333718</v>
      </c>
      <c r="CZ442" s="164" t="b">
        <f t="shared" si="221"/>
        <v>1</v>
      </c>
      <c r="DA442" s="165" t="b">
        <f t="shared" si="221"/>
        <v>1</v>
      </c>
      <c r="DB442" s="166" t="b">
        <f t="shared" si="221"/>
        <v>1</v>
      </c>
      <c r="DC442" s="164">
        <f t="shared" si="222"/>
        <v>18</v>
      </c>
      <c r="DD442" s="166">
        <f t="shared" si="223"/>
        <v>365.42705882352942</v>
      </c>
      <c r="DE442" s="164">
        <f t="shared" si="224"/>
        <v>18</v>
      </c>
      <c r="DF442" s="166">
        <f t="shared" si="225"/>
        <v>370.43478322946453</v>
      </c>
      <c r="DG442" s="164">
        <f t="shared" si="226"/>
        <v>18</v>
      </c>
      <c r="DH442" s="166">
        <f t="shared" si="227"/>
        <v>375.44250763539964</v>
      </c>
      <c r="DI442" s="164">
        <f>IFERROR(INDEX(DC$422:DC$470,_xlfn.AGGREGATE(15,6,(ROW(DC$422:DC$470)-ROW(DC$422)+1)/(DC$422:DC$470&lt;&gt;""),ROWS(DI$1:DI21))),"")</f>
        <v>18</v>
      </c>
      <c r="DJ442" s="165">
        <f>IFERROR(INDEX(DD$422:DD$470,_xlfn.AGGREGATE(15,6,(ROW(DD$422:DD$470)-ROW(DD$422)+1)/(DD$422:DD$470&lt;&gt;""),ROWS(DJ$1:DJ21))),"")</f>
        <v>365.42705882352942</v>
      </c>
      <c r="DK442" s="166">
        <f t="shared" si="228"/>
        <v>442</v>
      </c>
      <c r="DL442" s="164">
        <f>IFERROR(INDEX(DE$422:DE$470,_xlfn.AGGREGATE(15,6,(ROW(DE$422:DE$470)-ROW(DE$422)+1)/(DE$422:DE$470&lt;&gt;""),ROWS(DL$1:DL21))),"")</f>
        <v>18</v>
      </c>
      <c r="DM442" s="165">
        <f>IFERROR(INDEX(DF$422:DF$470,_xlfn.AGGREGATE(15,6,(ROW(DF$422:DF$470)-ROW(DF$422)+1)/(DF$422:DF$470&lt;&gt;""),ROWS(DM$1:DM21))),"")</f>
        <v>370.43478322946453</v>
      </c>
      <c r="DN442" s="166">
        <f t="shared" si="229"/>
        <v>442</v>
      </c>
      <c r="DO442" s="164">
        <f>IFERROR(INDEX(DG$422:DG$470,_xlfn.AGGREGATE(15,6,(ROW(DG$422:DG$470)-ROW(DG$422)+1)/(DG$422:DG$470&lt;&gt;""),ROWS(DO$1:DO21))),"")</f>
        <v>18</v>
      </c>
      <c r="DP442" s="165">
        <f>IFERROR(INDEX(DH$422:DH$470,_xlfn.AGGREGATE(15,6,(ROW(DH$422:DH$470)-ROW(DH$422)+1)/(DH$422:DH$470&lt;&gt;""),ROWS(DP$1:DP21))),"")</f>
        <v>375.44250763539964</v>
      </c>
      <c r="DQ442" s="166">
        <f t="shared" si="230"/>
        <v>442</v>
      </c>
      <c r="DR442" s="65"/>
      <c r="DV442" s="145">
        <v>2035</v>
      </c>
      <c r="DW442" s="235">
        <f t="shared" ca="1" si="214"/>
        <v>388.78023187845531</v>
      </c>
    </row>
    <row r="443" spans="1:135" ht="13.8" x14ac:dyDescent="0.45">
      <c r="B443" s="128">
        <v>2033</v>
      </c>
      <c r="C443" s="1004">
        <v>378.87120633526627</v>
      </c>
      <c r="D443" s="987"/>
      <c r="E443" s="1006"/>
      <c r="F443" s="993"/>
      <c r="G443" s="247"/>
      <c r="H443" s="245"/>
      <c r="I443" s="1112">
        <v>375.54</v>
      </c>
      <c r="J443" s="247"/>
      <c r="K443" s="245"/>
      <c r="L443" s="246"/>
      <c r="M443" s="245"/>
      <c r="N443" s="29" t="s">
        <v>119</v>
      </c>
      <c r="O443" s="120"/>
      <c r="P443" s="120"/>
      <c r="Q443" s="120"/>
      <c r="R443" s="29">
        <v>19</v>
      </c>
      <c r="S443" s="238">
        <f t="shared" si="215"/>
        <v>375.54</v>
      </c>
      <c r="T443" s="238">
        <f t="shared" si="216"/>
        <v>378.87120633526627</v>
      </c>
      <c r="U443" s="238">
        <f t="shared" si="217"/>
        <v>1.6656031676331224</v>
      </c>
      <c r="W443" s="238">
        <f t="shared" si="218"/>
        <v>375.54000000000008</v>
      </c>
      <c r="X443" s="238">
        <f t="shared" si="219"/>
        <v>377.20560316763317</v>
      </c>
      <c r="Y443" s="238">
        <f t="shared" si="220"/>
        <v>378.87120633526627</v>
      </c>
      <c r="AA443" s="89"/>
      <c r="AB443" s="89"/>
      <c r="AC443" s="89"/>
      <c r="AD443" s="89"/>
      <c r="AE443" s="89"/>
      <c r="AF443" s="89"/>
      <c r="AG443" s="89"/>
      <c r="AH443" s="89"/>
      <c r="AI443" s="89"/>
      <c r="AJ443" s="89"/>
      <c r="AK443" s="89"/>
      <c r="AL443" s="89"/>
      <c r="AM443" s="89"/>
      <c r="AN443" s="89"/>
      <c r="BR443" s="180">
        <v>2031</v>
      </c>
      <c r="BS443" s="22">
        <v>17</v>
      </c>
      <c r="BT443" s="198">
        <f t="shared" si="231"/>
        <v>135.18115355921037</v>
      </c>
      <c r="BU443" s="276">
        <f t="shared" si="232"/>
        <v>209.52575142326765</v>
      </c>
      <c r="BV443" s="205">
        <f t="shared" si="233"/>
        <v>344.70690498247802</v>
      </c>
      <c r="BY443" s="180">
        <v>2031</v>
      </c>
      <c r="BZ443" s="22">
        <v>17</v>
      </c>
      <c r="CA443" s="198">
        <f t="shared" ca="1" si="234"/>
        <v>-17.266963837551067</v>
      </c>
      <c r="CB443" s="198">
        <f t="shared" ca="1" si="235"/>
        <v>179.87211878581311</v>
      </c>
      <c r="CC443" s="276">
        <f t="shared" ca="1" si="246"/>
        <v>192.55752398429016</v>
      </c>
      <c r="CD443" s="205">
        <f t="shared" ca="1" si="236"/>
        <v>355.16267893255224</v>
      </c>
      <c r="CG443" s="180">
        <v>2031</v>
      </c>
      <c r="CH443" s="22">
        <v>17</v>
      </c>
      <c r="CI443" s="198">
        <f t="shared" ca="1" si="237"/>
        <v>5.1524605993700181</v>
      </c>
      <c r="CJ443" s="198">
        <f t="shared" ca="1" si="238"/>
        <v>-37.2706343998112</v>
      </c>
      <c r="CK443" s="198">
        <f t="shared" ca="1" si="239"/>
        <v>199.34449756308643</v>
      </c>
      <c r="CL443" s="276">
        <f t="shared" ca="1" si="240"/>
        <v>189.69194626360641</v>
      </c>
      <c r="CM443" s="205">
        <f t="shared" ca="1" si="241"/>
        <v>356.91827002625166</v>
      </c>
      <c r="CP443" s="180">
        <v>2031</v>
      </c>
      <c r="CQ443" s="22">
        <v>17</v>
      </c>
      <c r="CR443" s="198">
        <f t="shared" ca="1" si="242"/>
        <v>222.33137667214683</v>
      </c>
      <c r="CS443" s="276">
        <f t="shared" ca="1" si="243"/>
        <v>1.4688243764942941</v>
      </c>
      <c r="CT443" s="205">
        <f t="shared" ca="1" si="244"/>
        <v>326.56574571558411</v>
      </c>
      <c r="CZ443" s="164" t="b">
        <f t="shared" si="221"/>
        <v>1</v>
      </c>
      <c r="DA443" s="165" t="b">
        <f t="shared" si="221"/>
        <v>1</v>
      </c>
      <c r="DB443" s="166" t="b">
        <f t="shared" si="221"/>
        <v>1</v>
      </c>
      <c r="DC443" s="164">
        <f t="shared" si="222"/>
        <v>19</v>
      </c>
      <c r="DD443" s="166">
        <f t="shared" si="223"/>
        <v>375.54000000000008</v>
      </c>
      <c r="DE443" s="164">
        <f t="shared" si="224"/>
        <v>19</v>
      </c>
      <c r="DF443" s="166">
        <f t="shared" si="225"/>
        <v>377.20560316763317</v>
      </c>
      <c r="DG443" s="164">
        <f t="shared" si="226"/>
        <v>19</v>
      </c>
      <c r="DH443" s="166">
        <f t="shared" si="227"/>
        <v>378.87120633526627</v>
      </c>
      <c r="DI443" s="164">
        <f>IFERROR(INDEX(DC$422:DC$470,_xlfn.AGGREGATE(15,6,(ROW(DC$422:DC$470)-ROW(DC$422)+1)/(DC$422:DC$470&lt;&gt;""),ROWS(DI$1:DI22))),"")</f>
        <v>19</v>
      </c>
      <c r="DJ443" s="165">
        <f>IFERROR(INDEX(DD$422:DD$470,_xlfn.AGGREGATE(15,6,(ROW(DD$422:DD$470)-ROW(DD$422)+1)/(DD$422:DD$470&lt;&gt;""),ROWS(DJ$1:DJ22))),"")</f>
        <v>375.54000000000008</v>
      </c>
      <c r="DK443" s="166">
        <f t="shared" si="228"/>
        <v>443</v>
      </c>
      <c r="DL443" s="164">
        <f>IFERROR(INDEX(DE$422:DE$470,_xlfn.AGGREGATE(15,6,(ROW(DE$422:DE$470)-ROW(DE$422)+1)/(DE$422:DE$470&lt;&gt;""),ROWS(DL$1:DL22))),"")</f>
        <v>19</v>
      </c>
      <c r="DM443" s="165">
        <f>IFERROR(INDEX(DF$422:DF$470,_xlfn.AGGREGATE(15,6,(ROW(DF$422:DF$470)-ROW(DF$422)+1)/(DF$422:DF$470&lt;&gt;""),ROWS(DM$1:DM22))),"")</f>
        <v>377.20560316763317</v>
      </c>
      <c r="DN443" s="166">
        <f t="shared" si="229"/>
        <v>443</v>
      </c>
      <c r="DO443" s="164">
        <f>IFERROR(INDEX(DG$422:DG$470,_xlfn.AGGREGATE(15,6,(ROW(DG$422:DG$470)-ROW(DG$422)+1)/(DG$422:DG$470&lt;&gt;""),ROWS(DO$1:DO22))),"")</f>
        <v>19</v>
      </c>
      <c r="DP443" s="165">
        <f>IFERROR(INDEX(DH$422:DH$470,_xlfn.AGGREGATE(15,6,(ROW(DH$422:DH$470)-ROW(DH$422)+1)/(DH$422:DH$470&lt;&gt;""),ROWS(DP$1:DP22))),"")</f>
        <v>378.87120633526627</v>
      </c>
      <c r="DQ443" s="166">
        <f t="shared" si="230"/>
        <v>443</v>
      </c>
      <c r="DR443" s="65"/>
      <c r="DV443" s="145">
        <v>2036</v>
      </c>
      <c r="DW443" s="235">
        <f t="shared" ca="1" si="214"/>
        <v>396.41552373695242</v>
      </c>
    </row>
    <row r="444" spans="1:135" ht="13.8" x14ac:dyDescent="0.45">
      <c r="B444" s="128">
        <v>2034</v>
      </c>
      <c r="C444" s="1004">
        <v>382.29990503513295</v>
      </c>
      <c r="D444" s="987"/>
      <c r="E444" s="1006"/>
      <c r="F444" s="993"/>
      <c r="G444" s="247"/>
      <c r="H444" s="245"/>
      <c r="I444" s="1112">
        <v>385.65294117647056</v>
      </c>
      <c r="J444" s="247"/>
      <c r="K444" s="245"/>
      <c r="L444" s="246"/>
      <c r="M444" s="245"/>
      <c r="N444" s="29" t="s">
        <v>119</v>
      </c>
      <c r="O444" s="120"/>
      <c r="P444" s="120"/>
      <c r="Q444" s="120"/>
      <c r="R444" s="29">
        <v>20</v>
      </c>
      <c r="S444" s="238">
        <f t="shared" si="215"/>
        <v>382.29990503513295</v>
      </c>
      <c r="T444" s="238">
        <f t="shared" si="216"/>
        <v>385.65294117647056</v>
      </c>
      <c r="U444" s="238">
        <f t="shared" si="217"/>
        <v>1.6765180706688056</v>
      </c>
      <c r="W444" s="238">
        <f t="shared" si="218"/>
        <v>382.29990503513295</v>
      </c>
      <c r="X444" s="238">
        <f t="shared" si="219"/>
        <v>383.97642310580176</v>
      </c>
      <c r="Y444" s="238">
        <f t="shared" si="220"/>
        <v>385.65294117647056</v>
      </c>
      <c r="AA444" s="89"/>
      <c r="AB444" s="89"/>
      <c r="AC444" s="89"/>
      <c r="AD444" s="89"/>
      <c r="AE444" s="89"/>
      <c r="AF444" s="89"/>
      <c r="AG444" s="89"/>
      <c r="AH444" s="89"/>
      <c r="AI444" s="89"/>
      <c r="AJ444" s="89"/>
      <c r="AK444" s="89"/>
      <c r="AL444" s="89"/>
      <c r="AM444" s="89"/>
      <c r="AN444" s="89"/>
      <c r="BR444" s="180">
        <v>2032</v>
      </c>
      <c r="BS444" s="22">
        <v>18</v>
      </c>
      <c r="BT444" s="198">
        <f t="shared" si="231"/>
        <v>143.13298612151686</v>
      </c>
      <c r="BU444" s="276">
        <f t="shared" si="232"/>
        <v>209.52575142326765</v>
      </c>
      <c r="BV444" s="205">
        <f t="shared" si="233"/>
        <v>352.65873754478451</v>
      </c>
      <c r="BY444" s="180">
        <v>2032</v>
      </c>
      <c r="BZ444" s="22">
        <v>18</v>
      </c>
      <c r="CA444" s="198">
        <f t="shared" ca="1" si="234"/>
        <v>-19.358118627565904</v>
      </c>
      <c r="CB444" s="198">
        <f t="shared" ca="1" si="235"/>
        <v>190.45283165556683</v>
      </c>
      <c r="CC444" s="276">
        <f t="shared" ca="1" si="246"/>
        <v>192.55752398429016</v>
      </c>
      <c r="CD444" s="205">
        <f t="shared" ca="1" si="236"/>
        <v>363.65223701229104</v>
      </c>
      <c r="CG444" s="180">
        <v>2032</v>
      </c>
      <c r="CH444" s="22">
        <v>18</v>
      </c>
      <c r="CI444" s="198">
        <f t="shared" ca="1" si="237"/>
        <v>6.1162528425658342</v>
      </c>
      <c r="CJ444" s="198">
        <f t="shared" ca="1" si="238"/>
        <v>-41.784379050307365</v>
      </c>
      <c r="CK444" s="198">
        <f t="shared" ca="1" si="239"/>
        <v>211.07064447856209</v>
      </c>
      <c r="CL444" s="276">
        <f t="shared" ca="1" si="240"/>
        <v>189.69194626360641</v>
      </c>
      <c r="CM444" s="205">
        <f t="shared" ca="1" si="241"/>
        <v>365.09446453442695</v>
      </c>
      <c r="CP444" s="180">
        <v>2032</v>
      </c>
      <c r="CQ444" s="22">
        <v>18</v>
      </c>
      <c r="CR444" s="198">
        <f t="shared" ca="1" si="242"/>
        <v>222.33137667214683</v>
      </c>
      <c r="CS444" s="276">
        <f t="shared" ca="1" si="243"/>
        <v>1.502420942184469</v>
      </c>
      <c r="CT444" s="205">
        <f t="shared" ca="1" si="244"/>
        <v>334.03531641693689</v>
      </c>
      <c r="CZ444" s="164" t="b">
        <f t="shared" si="221"/>
        <v>1</v>
      </c>
      <c r="DA444" s="165" t="b">
        <f t="shared" si="221"/>
        <v>1</v>
      </c>
      <c r="DB444" s="166" t="b">
        <f t="shared" si="221"/>
        <v>1</v>
      </c>
      <c r="DC444" s="164">
        <f t="shared" si="222"/>
        <v>20</v>
      </c>
      <c r="DD444" s="166">
        <f t="shared" si="223"/>
        <v>382.29990503513295</v>
      </c>
      <c r="DE444" s="164">
        <f t="shared" si="224"/>
        <v>20</v>
      </c>
      <c r="DF444" s="166">
        <f t="shared" si="225"/>
        <v>383.97642310580176</v>
      </c>
      <c r="DG444" s="164">
        <f t="shared" si="226"/>
        <v>20</v>
      </c>
      <c r="DH444" s="166">
        <f t="shared" si="227"/>
        <v>385.65294117647056</v>
      </c>
      <c r="DI444" s="164">
        <f>IFERROR(INDEX(DC$422:DC$470,_xlfn.AGGREGATE(15,6,(ROW(DC$422:DC$470)-ROW(DC$422)+1)/(DC$422:DC$470&lt;&gt;""),ROWS(DI$1:DI23))),"")</f>
        <v>20</v>
      </c>
      <c r="DJ444" s="165">
        <f>IFERROR(INDEX(DD$422:DD$470,_xlfn.AGGREGATE(15,6,(ROW(DD$422:DD$470)-ROW(DD$422)+1)/(DD$422:DD$470&lt;&gt;""),ROWS(DJ$1:DJ23))),"")</f>
        <v>382.29990503513295</v>
      </c>
      <c r="DK444" s="166">
        <f t="shared" si="228"/>
        <v>444</v>
      </c>
      <c r="DL444" s="164">
        <f>IFERROR(INDEX(DE$422:DE$470,_xlfn.AGGREGATE(15,6,(ROW(DE$422:DE$470)-ROW(DE$422)+1)/(DE$422:DE$470&lt;&gt;""),ROWS(DL$1:DL23))),"")</f>
        <v>20</v>
      </c>
      <c r="DM444" s="165">
        <f>IFERROR(INDEX(DF$422:DF$470,_xlfn.AGGREGATE(15,6,(ROW(DF$422:DF$470)-ROW(DF$422)+1)/(DF$422:DF$470&lt;&gt;""),ROWS(DM$1:DM23))),"")</f>
        <v>383.97642310580176</v>
      </c>
      <c r="DN444" s="166">
        <f t="shared" si="229"/>
        <v>444</v>
      </c>
      <c r="DO444" s="164">
        <f>IFERROR(INDEX(DG$422:DG$470,_xlfn.AGGREGATE(15,6,(ROW(DG$422:DG$470)-ROW(DG$422)+1)/(DG$422:DG$470&lt;&gt;""),ROWS(DO$1:DO23))),"")</f>
        <v>20</v>
      </c>
      <c r="DP444" s="165">
        <f>IFERROR(INDEX(DH$422:DH$470,_xlfn.AGGREGATE(15,6,(ROW(DH$422:DH$470)-ROW(DH$422)+1)/(DH$422:DH$470&lt;&gt;""),ROWS(DP$1:DP23))),"")</f>
        <v>385.65294117647056</v>
      </c>
      <c r="DQ444" s="166">
        <f t="shared" si="230"/>
        <v>444</v>
      </c>
      <c r="DR444" s="65"/>
      <c r="DV444" s="145">
        <v>2037</v>
      </c>
      <c r="DW444" s="235">
        <f t="shared" ca="1" si="214"/>
        <v>403.93132103602005</v>
      </c>
    </row>
    <row r="445" spans="1:135" ht="13.8" x14ac:dyDescent="0.45">
      <c r="B445" s="128">
        <v>2035</v>
      </c>
      <c r="C445" s="1004">
        <v>385.72860373499964</v>
      </c>
      <c r="D445" s="987"/>
      <c r="E445" s="1006"/>
      <c r="F445" s="993"/>
      <c r="G445" s="247"/>
      <c r="H445" s="245"/>
      <c r="I445" s="1112">
        <v>395.76588235294116</v>
      </c>
      <c r="J445" s="247"/>
      <c r="K445" s="245"/>
      <c r="L445" s="246"/>
      <c r="M445" s="245"/>
      <c r="N445" s="29" t="s">
        <v>119</v>
      </c>
      <c r="O445" s="120"/>
      <c r="P445" s="120"/>
      <c r="Q445" s="120"/>
      <c r="R445" s="29">
        <v>21</v>
      </c>
      <c r="S445" s="238">
        <f t="shared" si="215"/>
        <v>385.72860373499964</v>
      </c>
      <c r="T445" s="238">
        <f t="shared" si="216"/>
        <v>395.76588235294116</v>
      </c>
      <c r="U445" s="238">
        <f t="shared" si="217"/>
        <v>5.0186393089707622</v>
      </c>
      <c r="W445" s="238">
        <f t="shared" si="218"/>
        <v>385.72860373499964</v>
      </c>
      <c r="X445" s="238">
        <f t="shared" si="219"/>
        <v>390.7472430439704</v>
      </c>
      <c r="Y445" s="238">
        <f t="shared" si="220"/>
        <v>395.76588235294116</v>
      </c>
      <c r="AA445" s="89"/>
      <c r="AB445" s="89"/>
      <c r="AC445" s="89"/>
      <c r="AD445" s="89"/>
      <c r="AE445" s="89"/>
      <c r="AF445" s="89"/>
      <c r="AG445" s="89"/>
      <c r="AH445" s="89"/>
      <c r="AI445" s="89"/>
      <c r="AJ445" s="89"/>
      <c r="AK445" s="89"/>
      <c r="AL445" s="89"/>
      <c r="AM445" s="89"/>
      <c r="AN445" s="89"/>
      <c r="BR445" s="180">
        <v>2033</v>
      </c>
      <c r="BS445" s="22">
        <v>19</v>
      </c>
      <c r="BT445" s="198">
        <f t="shared" si="231"/>
        <v>151.08481868382336</v>
      </c>
      <c r="BU445" s="276">
        <f t="shared" si="232"/>
        <v>209.52575142326765</v>
      </c>
      <c r="BV445" s="205">
        <f t="shared" si="233"/>
        <v>360.61057010709101</v>
      </c>
      <c r="BY445" s="180">
        <v>2033</v>
      </c>
      <c r="BZ445" s="22">
        <v>19</v>
      </c>
      <c r="CA445" s="198">
        <f t="shared" ca="1" si="234"/>
        <v>-21.568767977010157</v>
      </c>
      <c r="CB445" s="198">
        <f t="shared" ca="1" si="235"/>
        <v>201.03354452532054</v>
      </c>
      <c r="CC445" s="276">
        <f t="shared" ca="1" si="246"/>
        <v>192.55752398429016</v>
      </c>
      <c r="CD445" s="205">
        <f t="shared" ca="1" si="236"/>
        <v>372.02230053260053</v>
      </c>
      <c r="CG445" s="180">
        <v>2033</v>
      </c>
      <c r="CH445" s="22">
        <v>19</v>
      </c>
      <c r="CI445" s="198">
        <f t="shared" ca="1" si="237"/>
        <v>7.1933090272906481</v>
      </c>
      <c r="CJ445" s="198">
        <f t="shared" ca="1" si="238"/>
        <v>-46.556051966546171</v>
      </c>
      <c r="CK445" s="198">
        <f t="shared" ca="1" si="239"/>
        <v>222.79679139403777</v>
      </c>
      <c r="CL445" s="276">
        <f t="shared" ca="1" si="240"/>
        <v>189.69194626360641</v>
      </c>
      <c r="CM445" s="205">
        <f t="shared" ca="1" si="241"/>
        <v>373.12599471838865</v>
      </c>
      <c r="CP445" s="180">
        <v>2033</v>
      </c>
      <c r="CQ445" s="22">
        <v>19</v>
      </c>
      <c r="CR445" s="198">
        <f t="shared" ca="1" si="242"/>
        <v>222.33137667214683</v>
      </c>
      <c r="CS445" s="276">
        <f t="shared" ca="1" si="243"/>
        <v>1.536785965454895</v>
      </c>
      <c r="CT445" s="205">
        <f t="shared" ca="1" si="244"/>
        <v>341.6757393500211</v>
      </c>
      <c r="CZ445" s="164" t="b">
        <f t="shared" si="221"/>
        <v>1</v>
      </c>
      <c r="DA445" s="165" t="b">
        <f t="shared" si="221"/>
        <v>1</v>
      </c>
      <c r="DB445" s="166" t="b">
        <f t="shared" si="221"/>
        <v>1</v>
      </c>
      <c r="DC445" s="164">
        <f t="shared" si="222"/>
        <v>21</v>
      </c>
      <c r="DD445" s="166">
        <f t="shared" si="223"/>
        <v>385.72860373499964</v>
      </c>
      <c r="DE445" s="164">
        <f t="shared" si="224"/>
        <v>21</v>
      </c>
      <c r="DF445" s="166">
        <f t="shared" si="225"/>
        <v>390.7472430439704</v>
      </c>
      <c r="DG445" s="164">
        <f t="shared" si="226"/>
        <v>21</v>
      </c>
      <c r="DH445" s="166">
        <f t="shared" si="227"/>
        <v>395.76588235294116</v>
      </c>
      <c r="DI445" s="164">
        <f>IFERROR(INDEX(DC$422:DC$470,_xlfn.AGGREGATE(15,6,(ROW(DC$422:DC$470)-ROW(DC$422)+1)/(DC$422:DC$470&lt;&gt;""),ROWS(DI$1:DI24))),"")</f>
        <v>21</v>
      </c>
      <c r="DJ445" s="165">
        <f>IFERROR(INDEX(DD$422:DD$470,_xlfn.AGGREGATE(15,6,(ROW(DD$422:DD$470)-ROW(DD$422)+1)/(DD$422:DD$470&lt;&gt;""),ROWS(DJ$1:DJ24))),"")</f>
        <v>385.72860373499964</v>
      </c>
      <c r="DK445" s="166">
        <f t="shared" si="228"/>
        <v>445</v>
      </c>
      <c r="DL445" s="164">
        <f>IFERROR(INDEX(DE$422:DE$470,_xlfn.AGGREGATE(15,6,(ROW(DE$422:DE$470)-ROW(DE$422)+1)/(DE$422:DE$470&lt;&gt;""),ROWS(DL$1:DL24))),"")</f>
        <v>21</v>
      </c>
      <c r="DM445" s="165">
        <f>IFERROR(INDEX(DF$422:DF$470,_xlfn.AGGREGATE(15,6,(ROW(DF$422:DF$470)-ROW(DF$422)+1)/(DF$422:DF$470&lt;&gt;""),ROWS(DM$1:DM24))),"")</f>
        <v>390.7472430439704</v>
      </c>
      <c r="DN445" s="166">
        <f t="shared" si="229"/>
        <v>445</v>
      </c>
      <c r="DO445" s="164">
        <f>IFERROR(INDEX(DG$422:DG$470,_xlfn.AGGREGATE(15,6,(ROW(DG$422:DG$470)-ROW(DG$422)+1)/(DG$422:DG$470&lt;&gt;""),ROWS(DO$1:DO24))),"")</f>
        <v>21</v>
      </c>
      <c r="DP445" s="165">
        <f>IFERROR(INDEX(DH$422:DH$470,_xlfn.AGGREGATE(15,6,(ROW(DH$422:DH$470)-ROW(DH$422)+1)/(DH$422:DH$470&lt;&gt;""),ROWS(DP$1:DP24))),"")</f>
        <v>395.76588235294116</v>
      </c>
      <c r="DQ445" s="166">
        <f t="shared" si="230"/>
        <v>445</v>
      </c>
      <c r="DR445" s="65"/>
      <c r="DV445" s="145">
        <v>2038</v>
      </c>
      <c r="DW445" s="235">
        <f t="shared" ca="1" si="214"/>
        <v>411.33391621685439</v>
      </c>
    </row>
    <row r="446" spans="1:135" ht="13.8" x14ac:dyDescent="0.45">
      <c r="B446" s="128">
        <v>2036</v>
      </c>
      <c r="C446" s="1004">
        <v>389.15730243486627</v>
      </c>
      <c r="D446" s="987"/>
      <c r="E446" s="1006"/>
      <c r="F446" s="993"/>
      <c r="G446" s="247"/>
      <c r="H446" s="245"/>
      <c r="I446" s="1112">
        <v>405.87882352941176</v>
      </c>
      <c r="J446" s="247"/>
      <c r="K446" s="245"/>
      <c r="L446" s="246"/>
      <c r="M446" s="245"/>
      <c r="N446" s="29" t="s">
        <v>119</v>
      </c>
      <c r="O446" s="120"/>
      <c r="P446" s="120"/>
      <c r="Q446" s="120"/>
      <c r="R446" s="29">
        <v>22</v>
      </c>
      <c r="S446" s="238">
        <f t="shared" si="215"/>
        <v>389.15730243486627</v>
      </c>
      <c r="T446" s="238">
        <f t="shared" si="216"/>
        <v>405.87882352941176</v>
      </c>
      <c r="U446" s="238">
        <f t="shared" si="217"/>
        <v>8.3607605472727471</v>
      </c>
      <c r="W446" s="238">
        <f t="shared" si="218"/>
        <v>389.15730243486621</v>
      </c>
      <c r="X446" s="238">
        <f t="shared" si="219"/>
        <v>397.51806298213899</v>
      </c>
      <c r="Y446" s="238">
        <f t="shared" si="220"/>
        <v>405.87882352941176</v>
      </c>
      <c r="AA446" s="89"/>
      <c r="AB446" s="89"/>
      <c r="AC446" s="89"/>
      <c r="AD446" s="89"/>
      <c r="AE446" s="89"/>
      <c r="AF446" s="89"/>
      <c r="AG446" s="89"/>
      <c r="AH446" s="89"/>
      <c r="AI446" s="89"/>
      <c r="AJ446" s="89"/>
      <c r="AK446" s="89"/>
      <c r="AL446" s="89"/>
      <c r="AM446" s="89"/>
      <c r="AN446" s="89"/>
      <c r="BR446" s="180">
        <v>2034</v>
      </c>
      <c r="BS446" s="22">
        <v>20</v>
      </c>
      <c r="BT446" s="198">
        <f t="shared" si="231"/>
        <v>159.03665124612985</v>
      </c>
      <c r="BU446" s="276">
        <f t="shared" si="232"/>
        <v>209.52575142326765</v>
      </c>
      <c r="BV446" s="205">
        <f t="shared" si="233"/>
        <v>368.5624026693975</v>
      </c>
      <c r="BY446" s="180">
        <v>2034</v>
      </c>
      <c r="BZ446" s="22">
        <v>20</v>
      </c>
      <c r="CA446" s="198">
        <f t="shared" ca="1" si="234"/>
        <v>-23.89891188588383</v>
      </c>
      <c r="CB446" s="198">
        <f t="shared" ca="1" si="235"/>
        <v>211.61425739507425</v>
      </c>
      <c r="CC446" s="276">
        <f t="shared" ca="1" si="246"/>
        <v>192.55752398429016</v>
      </c>
      <c r="CD446" s="205">
        <f t="shared" ca="1" si="236"/>
        <v>380.27286949348058</v>
      </c>
      <c r="CG446" s="180">
        <v>2034</v>
      </c>
      <c r="CH446" s="22">
        <v>20</v>
      </c>
      <c r="CI446" s="198">
        <f t="shared" ca="1" si="237"/>
        <v>8.3899215947405139</v>
      </c>
      <c r="CJ446" s="198">
        <f t="shared" ca="1" si="238"/>
        <v>-51.585653148527612</v>
      </c>
      <c r="CK446" s="198">
        <f t="shared" ca="1" si="239"/>
        <v>234.52293830951345</v>
      </c>
      <c r="CL446" s="276">
        <f t="shared" ca="1" si="240"/>
        <v>189.69194626360641</v>
      </c>
      <c r="CM446" s="205">
        <f t="shared" ca="1" si="241"/>
        <v>381.01915301933275</v>
      </c>
      <c r="CP446" s="180">
        <v>2034</v>
      </c>
      <c r="CQ446" s="22">
        <v>20</v>
      </c>
      <c r="CR446" s="198">
        <f t="shared" ca="1" si="242"/>
        <v>222.33137667214683</v>
      </c>
      <c r="CS446" s="276">
        <f t="shared" ca="1" si="243"/>
        <v>1.5719370233120458</v>
      </c>
      <c r="CT446" s="205">
        <f t="shared" ca="1" si="244"/>
        <v>349.49092243488371</v>
      </c>
      <c r="CZ446" s="164" t="b">
        <f t="shared" si="221"/>
        <v>1</v>
      </c>
      <c r="DA446" s="165" t="b">
        <f t="shared" si="221"/>
        <v>1</v>
      </c>
      <c r="DB446" s="166" t="b">
        <f t="shared" si="221"/>
        <v>1</v>
      </c>
      <c r="DC446" s="164">
        <f t="shared" si="222"/>
        <v>22</v>
      </c>
      <c r="DD446" s="166">
        <f t="shared" si="223"/>
        <v>389.15730243486621</v>
      </c>
      <c r="DE446" s="164">
        <f t="shared" si="224"/>
        <v>22</v>
      </c>
      <c r="DF446" s="166">
        <f t="shared" si="225"/>
        <v>397.51806298213899</v>
      </c>
      <c r="DG446" s="164">
        <f t="shared" si="226"/>
        <v>22</v>
      </c>
      <c r="DH446" s="166">
        <f t="shared" si="227"/>
        <v>405.87882352941176</v>
      </c>
      <c r="DI446" s="164">
        <f>IFERROR(INDEX(DC$422:DC$470,_xlfn.AGGREGATE(15,6,(ROW(DC$422:DC$470)-ROW(DC$422)+1)/(DC$422:DC$470&lt;&gt;""),ROWS(DI$1:DI25))),"")</f>
        <v>22</v>
      </c>
      <c r="DJ446" s="165">
        <f>IFERROR(INDEX(DD$422:DD$470,_xlfn.AGGREGATE(15,6,(ROW(DD$422:DD$470)-ROW(DD$422)+1)/(DD$422:DD$470&lt;&gt;""),ROWS(DJ$1:DJ25))),"")</f>
        <v>389.15730243486621</v>
      </c>
      <c r="DK446" s="166">
        <f t="shared" si="228"/>
        <v>446</v>
      </c>
      <c r="DL446" s="164">
        <f>IFERROR(INDEX(DE$422:DE$470,_xlfn.AGGREGATE(15,6,(ROW(DE$422:DE$470)-ROW(DE$422)+1)/(DE$422:DE$470&lt;&gt;""),ROWS(DL$1:DL25))),"")</f>
        <v>22</v>
      </c>
      <c r="DM446" s="165">
        <f>IFERROR(INDEX(DF$422:DF$470,_xlfn.AGGREGATE(15,6,(ROW(DF$422:DF$470)-ROW(DF$422)+1)/(DF$422:DF$470&lt;&gt;""),ROWS(DM$1:DM25))),"")</f>
        <v>397.51806298213899</v>
      </c>
      <c r="DN446" s="166">
        <f t="shared" si="229"/>
        <v>446</v>
      </c>
      <c r="DO446" s="164">
        <f>IFERROR(INDEX(DG$422:DG$470,_xlfn.AGGREGATE(15,6,(ROW(DG$422:DG$470)-ROW(DG$422)+1)/(DG$422:DG$470&lt;&gt;""),ROWS(DO$1:DO25))),"")</f>
        <v>22</v>
      </c>
      <c r="DP446" s="165">
        <f>IFERROR(INDEX(DH$422:DH$470,_xlfn.AGGREGATE(15,6,(ROW(DH$422:DH$470)-ROW(DH$422)+1)/(DH$422:DH$470&lt;&gt;""),ROWS(DP$1:DP25))),"")</f>
        <v>405.87882352941176</v>
      </c>
      <c r="DQ446" s="166">
        <f t="shared" si="230"/>
        <v>446</v>
      </c>
      <c r="DR446" s="65"/>
      <c r="DV446" s="145">
        <v>2039</v>
      </c>
      <c r="DW446" s="235">
        <f t="shared" ca="1" si="214"/>
        <v>418.62960172065141</v>
      </c>
    </row>
    <row r="447" spans="1:135" ht="13.8" x14ac:dyDescent="0.45">
      <c r="B447" s="128">
        <v>2037</v>
      </c>
      <c r="C447" s="1004">
        <v>392.58600113473295</v>
      </c>
      <c r="D447" s="987"/>
      <c r="E447" s="1006"/>
      <c r="F447" s="993"/>
      <c r="G447" s="247"/>
      <c r="H447" s="245"/>
      <c r="I447" s="1112">
        <v>415.99176470588236</v>
      </c>
      <c r="J447" s="247"/>
      <c r="K447" s="245"/>
      <c r="L447" s="246"/>
      <c r="M447" s="245"/>
      <c r="N447" s="29" t="s">
        <v>119</v>
      </c>
      <c r="O447" s="120"/>
      <c r="P447" s="120"/>
      <c r="Q447" s="120"/>
      <c r="R447" s="29">
        <v>23</v>
      </c>
      <c r="S447" s="238">
        <f t="shared" si="215"/>
        <v>392.58600113473295</v>
      </c>
      <c r="T447" s="238">
        <f t="shared" si="216"/>
        <v>415.99176470588236</v>
      </c>
      <c r="U447" s="238">
        <f t="shared" si="217"/>
        <v>11.702881785574704</v>
      </c>
      <c r="W447" s="238">
        <f t="shared" si="218"/>
        <v>392.5860011347329</v>
      </c>
      <c r="X447" s="238">
        <f t="shared" si="219"/>
        <v>404.28888292030763</v>
      </c>
      <c r="Y447" s="238">
        <f t="shared" si="220"/>
        <v>415.99176470588236</v>
      </c>
      <c r="AA447" s="89"/>
      <c r="AB447" s="89"/>
      <c r="AC447" s="89"/>
      <c r="AD447" s="89"/>
      <c r="AE447" s="89"/>
      <c r="AF447" s="89"/>
      <c r="AG447" s="89"/>
      <c r="AH447" s="89"/>
      <c r="AI447" s="89"/>
      <c r="AJ447" s="89"/>
      <c r="AK447" s="89"/>
      <c r="AL447" s="89"/>
      <c r="AM447" s="89"/>
      <c r="AN447" s="89"/>
      <c r="BR447" s="180">
        <v>2035</v>
      </c>
      <c r="BS447" s="22">
        <v>21</v>
      </c>
      <c r="BT447" s="198">
        <f t="shared" si="231"/>
        <v>166.98848380843634</v>
      </c>
      <c r="BU447" s="276">
        <f t="shared" si="232"/>
        <v>209.52575142326765</v>
      </c>
      <c r="BV447" s="205">
        <f t="shared" si="233"/>
        <v>376.51423523170399</v>
      </c>
      <c r="BY447" s="180">
        <v>2035</v>
      </c>
      <c r="BZ447" s="22">
        <v>21</v>
      </c>
      <c r="CA447" s="198">
        <f t="shared" ca="1" si="234"/>
        <v>-26.348550354186923</v>
      </c>
      <c r="CB447" s="198">
        <f t="shared" ca="1" si="235"/>
        <v>222.19497026482796</v>
      </c>
      <c r="CC447" s="276">
        <f t="shared" ca="1" si="246"/>
        <v>192.55752398429016</v>
      </c>
      <c r="CD447" s="205">
        <f t="shared" ca="1" si="236"/>
        <v>388.40394389493122</v>
      </c>
      <c r="CG447" s="180">
        <v>2035</v>
      </c>
      <c r="CH447" s="22">
        <v>21</v>
      </c>
      <c r="CI447" s="198">
        <f t="shared" ca="1" si="237"/>
        <v>9.7123829861114874</v>
      </c>
      <c r="CJ447" s="198">
        <f t="shared" ca="1" si="238"/>
        <v>-56.873182596251688</v>
      </c>
      <c r="CK447" s="198">
        <f t="shared" ca="1" si="239"/>
        <v>246.2490852249891</v>
      </c>
      <c r="CL447" s="276">
        <f t="shared" ca="1" si="240"/>
        <v>189.69194626360641</v>
      </c>
      <c r="CM447" s="205">
        <f t="shared" ca="1" si="241"/>
        <v>388.78023187845531</v>
      </c>
      <c r="CP447" s="180">
        <v>2035</v>
      </c>
      <c r="CQ447" s="22">
        <v>21</v>
      </c>
      <c r="CR447" s="198">
        <f t="shared" ca="1" si="242"/>
        <v>222.33137667214683</v>
      </c>
      <c r="CS447" s="276">
        <f t="shared" ca="1" si="243"/>
        <v>1.6078920948030087</v>
      </c>
      <c r="CT447" s="205">
        <f t="shared" ca="1" si="244"/>
        <v>357.48486297781494</v>
      </c>
      <c r="CZ447" s="164" t="b">
        <f t="shared" si="221"/>
        <v>1</v>
      </c>
      <c r="DA447" s="165" t="b">
        <f t="shared" si="221"/>
        <v>1</v>
      </c>
      <c r="DB447" s="166" t="b">
        <f t="shared" si="221"/>
        <v>1</v>
      </c>
      <c r="DC447" s="164">
        <f t="shared" si="222"/>
        <v>23</v>
      </c>
      <c r="DD447" s="166">
        <f t="shared" si="223"/>
        <v>392.5860011347329</v>
      </c>
      <c r="DE447" s="164">
        <f t="shared" si="224"/>
        <v>23</v>
      </c>
      <c r="DF447" s="166">
        <f t="shared" si="225"/>
        <v>404.28888292030763</v>
      </c>
      <c r="DG447" s="164">
        <f t="shared" si="226"/>
        <v>23</v>
      </c>
      <c r="DH447" s="166">
        <f t="shared" si="227"/>
        <v>415.99176470588236</v>
      </c>
      <c r="DI447" s="164">
        <f>IFERROR(INDEX(DC$422:DC$470,_xlfn.AGGREGATE(15,6,(ROW(DC$422:DC$470)-ROW(DC$422)+1)/(DC$422:DC$470&lt;&gt;""),ROWS(DI$1:DI26))),"")</f>
        <v>23</v>
      </c>
      <c r="DJ447" s="165">
        <f>IFERROR(INDEX(DD$422:DD$470,_xlfn.AGGREGATE(15,6,(ROW(DD$422:DD$470)-ROW(DD$422)+1)/(DD$422:DD$470&lt;&gt;""),ROWS(DJ$1:DJ26))),"")</f>
        <v>392.5860011347329</v>
      </c>
      <c r="DK447" s="166">
        <f t="shared" si="228"/>
        <v>447</v>
      </c>
      <c r="DL447" s="164">
        <f>IFERROR(INDEX(DE$422:DE$470,_xlfn.AGGREGATE(15,6,(ROW(DE$422:DE$470)-ROW(DE$422)+1)/(DE$422:DE$470&lt;&gt;""),ROWS(DL$1:DL26))),"")</f>
        <v>23</v>
      </c>
      <c r="DM447" s="165">
        <f>IFERROR(INDEX(DF$422:DF$470,_xlfn.AGGREGATE(15,6,(ROW(DF$422:DF$470)-ROW(DF$422)+1)/(DF$422:DF$470&lt;&gt;""),ROWS(DM$1:DM26))),"")</f>
        <v>404.28888292030763</v>
      </c>
      <c r="DN447" s="166">
        <f t="shared" si="229"/>
        <v>447</v>
      </c>
      <c r="DO447" s="164">
        <f>IFERROR(INDEX(DG$422:DG$470,_xlfn.AGGREGATE(15,6,(ROW(DG$422:DG$470)-ROW(DG$422)+1)/(DG$422:DG$470&lt;&gt;""),ROWS(DO$1:DO26))),"")</f>
        <v>23</v>
      </c>
      <c r="DP447" s="165">
        <f>IFERROR(INDEX(DH$422:DH$470,_xlfn.AGGREGATE(15,6,(ROW(DH$422:DH$470)-ROW(DH$422)+1)/(DH$422:DH$470&lt;&gt;""),ROWS(DP$1:DP26))),"")</f>
        <v>415.99176470588236</v>
      </c>
      <c r="DQ447" s="166">
        <f t="shared" si="230"/>
        <v>447</v>
      </c>
      <c r="DR447" s="65"/>
      <c r="DV447" s="145">
        <v>2040</v>
      </c>
      <c r="DW447" s="235">
        <f t="shared" ca="1" si="214"/>
        <v>425.82466998860718</v>
      </c>
    </row>
    <row r="448" spans="1:135" ht="13.8" x14ac:dyDescent="0.45">
      <c r="B448" s="128">
        <v>2038</v>
      </c>
      <c r="C448" s="1004">
        <v>396.01469983459958</v>
      </c>
      <c r="D448" s="987"/>
      <c r="E448" s="1006"/>
      <c r="F448" s="993"/>
      <c r="G448" s="247"/>
      <c r="H448" s="245"/>
      <c r="I448" s="1112">
        <v>426.10470588235296</v>
      </c>
      <c r="J448" s="247"/>
      <c r="K448" s="245"/>
      <c r="L448" s="246"/>
      <c r="M448" s="245"/>
      <c r="N448" s="29" t="s">
        <v>119</v>
      </c>
      <c r="O448" s="120"/>
      <c r="P448" s="120"/>
      <c r="Q448" s="120"/>
      <c r="R448" s="29">
        <v>24</v>
      </c>
      <c r="S448" s="238">
        <f t="shared" si="215"/>
        <v>396.01469983459958</v>
      </c>
      <c r="T448" s="238">
        <f t="shared" si="216"/>
        <v>426.10470588235296</v>
      </c>
      <c r="U448" s="238">
        <f t="shared" si="217"/>
        <v>15.045003023876689</v>
      </c>
      <c r="W448" s="238">
        <f t="shared" si="218"/>
        <v>396.01469983459958</v>
      </c>
      <c r="X448" s="238">
        <f t="shared" si="219"/>
        <v>411.05970285847627</v>
      </c>
      <c r="Y448" s="238">
        <f t="shared" si="220"/>
        <v>426.10470588235296</v>
      </c>
      <c r="AA448" s="89"/>
      <c r="AB448" s="89"/>
      <c r="AC448" s="89"/>
      <c r="AD448" s="89"/>
      <c r="AE448" s="89"/>
      <c r="AF448" s="89"/>
      <c r="AG448" s="89"/>
      <c r="AH448" s="89"/>
      <c r="AI448" s="89"/>
      <c r="AJ448" s="89"/>
      <c r="AK448" s="89"/>
      <c r="AL448" s="89"/>
      <c r="AM448" s="89"/>
      <c r="AN448" s="89"/>
      <c r="BR448" s="180">
        <v>2036</v>
      </c>
      <c r="BS448" s="22">
        <v>22</v>
      </c>
      <c r="BT448" s="198">
        <f t="shared" si="231"/>
        <v>174.94031637074283</v>
      </c>
      <c r="BU448" s="276">
        <f t="shared" si="232"/>
        <v>209.52575142326765</v>
      </c>
      <c r="BV448" s="205">
        <f t="shared" si="233"/>
        <v>384.46606779401048</v>
      </c>
      <c r="BY448" s="180">
        <v>2036</v>
      </c>
      <c r="BZ448" s="22">
        <v>22</v>
      </c>
      <c r="CA448" s="198">
        <f t="shared" ca="1" si="234"/>
        <v>-28.917683381919435</v>
      </c>
      <c r="CB448" s="198">
        <f t="shared" ca="1" si="235"/>
        <v>232.77568313458167</v>
      </c>
      <c r="CC448" s="276">
        <f t="shared" ca="1" si="246"/>
        <v>192.55752398429016</v>
      </c>
      <c r="CD448" s="205">
        <f t="shared" ca="1" si="236"/>
        <v>396.41552373695242</v>
      </c>
      <c r="CG448" s="180">
        <v>2036</v>
      </c>
      <c r="CH448" s="22">
        <v>22</v>
      </c>
      <c r="CI448" s="198">
        <f t="shared" ca="1" si="237"/>
        <v>11.166985642599624</v>
      </c>
      <c r="CJ448" s="198">
        <f t="shared" ca="1" si="238"/>
        <v>-62.418640309718405</v>
      </c>
      <c r="CK448" s="198">
        <f t="shared" ca="1" si="239"/>
        <v>257.97523214046481</v>
      </c>
      <c r="CL448" s="276">
        <f t="shared" ca="1" si="240"/>
        <v>189.69194626360641</v>
      </c>
      <c r="CM448" s="205">
        <f t="shared" ca="1" si="241"/>
        <v>396.41552373695242</v>
      </c>
      <c r="CP448" s="180">
        <v>2036</v>
      </c>
      <c r="CQ448" s="22">
        <v>22</v>
      </c>
      <c r="CR448" s="198">
        <f t="shared" ca="1" si="242"/>
        <v>222.33137667214683</v>
      </c>
      <c r="CS448" s="276">
        <f t="shared" ca="1" si="243"/>
        <v>1.6446695702113987</v>
      </c>
      <c r="CT448" s="205">
        <f t="shared" ca="1" si="244"/>
        <v>365.6616497158883</v>
      </c>
      <c r="CZ448" s="164" t="b">
        <f t="shared" si="221"/>
        <v>1</v>
      </c>
      <c r="DA448" s="165" t="b">
        <f t="shared" si="221"/>
        <v>1</v>
      </c>
      <c r="DB448" s="166" t="b">
        <f t="shared" si="221"/>
        <v>1</v>
      </c>
      <c r="DC448" s="164">
        <f t="shared" si="222"/>
        <v>24</v>
      </c>
      <c r="DD448" s="166">
        <f t="shared" si="223"/>
        <v>396.01469983459958</v>
      </c>
      <c r="DE448" s="164">
        <f t="shared" si="224"/>
        <v>24</v>
      </c>
      <c r="DF448" s="166">
        <f t="shared" si="225"/>
        <v>411.05970285847627</v>
      </c>
      <c r="DG448" s="164">
        <f t="shared" si="226"/>
        <v>24</v>
      </c>
      <c r="DH448" s="166">
        <f t="shared" si="227"/>
        <v>426.10470588235296</v>
      </c>
      <c r="DI448" s="164">
        <f>IFERROR(INDEX(DC$422:DC$470,_xlfn.AGGREGATE(15,6,(ROW(DC$422:DC$470)-ROW(DC$422)+1)/(DC$422:DC$470&lt;&gt;""),ROWS(DI$1:DI27))),"")</f>
        <v>24</v>
      </c>
      <c r="DJ448" s="165">
        <f>IFERROR(INDEX(DD$422:DD$470,_xlfn.AGGREGATE(15,6,(ROW(DD$422:DD$470)-ROW(DD$422)+1)/(DD$422:DD$470&lt;&gt;""),ROWS(DJ$1:DJ27))),"")</f>
        <v>396.01469983459958</v>
      </c>
      <c r="DK448" s="166">
        <f t="shared" si="228"/>
        <v>448</v>
      </c>
      <c r="DL448" s="164">
        <f>IFERROR(INDEX(DE$422:DE$470,_xlfn.AGGREGATE(15,6,(ROW(DE$422:DE$470)-ROW(DE$422)+1)/(DE$422:DE$470&lt;&gt;""),ROWS(DL$1:DL27))),"")</f>
        <v>24</v>
      </c>
      <c r="DM448" s="165">
        <f>IFERROR(INDEX(DF$422:DF$470,_xlfn.AGGREGATE(15,6,(ROW(DF$422:DF$470)-ROW(DF$422)+1)/(DF$422:DF$470&lt;&gt;""),ROWS(DM$1:DM27))),"")</f>
        <v>411.05970285847627</v>
      </c>
      <c r="DN448" s="166">
        <f t="shared" si="229"/>
        <v>448</v>
      </c>
      <c r="DO448" s="164">
        <f>IFERROR(INDEX(DG$422:DG$470,_xlfn.AGGREGATE(15,6,(ROW(DG$422:DG$470)-ROW(DG$422)+1)/(DG$422:DG$470&lt;&gt;""),ROWS(DO$1:DO27))),"")</f>
        <v>24</v>
      </c>
      <c r="DP448" s="165">
        <f>IFERROR(INDEX(DH$422:DH$470,_xlfn.AGGREGATE(15,6,(ROW(DH$422:DH$470)-ROW(DH$422)+1)/(DH$422:DH$470&lt;&gt;""),ROWS(DP$1:DP27))),"")</f>
        <v>426.10470588235296</v>
      </c>
      <c r="DQ448" s="166">
        <f t="shared" si="230"/>
        <v>448</v>
      </c>
      <c r="DR448" s="65"/>
      <c r="DV448" s="145">
        <v>2041</v>
      </c>
      <c r="DW448" s="235">
        <f t="shared" ca="1" si="214"/>
        <v>432.92541346191774</v>
      </c>
    </row>
    <row r="449" spans="2:135" ht="13.8" x14ac:dyDescent="0.45">
      <c r="B449" s="128">
        <v>2039</v>
      </c>
      <c r="C449" s="1004">
        <v>399.44339853446627</v>
      </c>
      <c r="D449" s="987"/>
      <c r="E449" s="1006"/>
      <c r="F449" s="993"/>
      <c r="G449" s="247"/>
      <c r="H449" s="245"/>
      <c r="I449" s="1112">
        <v>436.21764705882356</v>
      </c>
      <c r="J449" s="247"/>
      <c r="K449" s="245"/>
      <c r="L449" s="246"/>
      <c r="M449" s="245"/>
      <c r="N449" s="29" t="s">
        <v>119</v>
      </c>
      <c r="O449" s="120"/>
      <c r="P449" s="120"/>
      <c r="Q449" s="120"/>
      <c r="R449" s="29">
        <v>25</v>
      </c>
      <c r="S449" s="238">
        <f t="shared" si="215"/>
        <v>399.44339853446627</v>
      </c>
      <c r="T449" s="238">
        <f t="shared" si="216"/>
        <v>436.21764705882356</v>
      </c>
      <c r="U449" s="238">
        <f t="shared" si="217"/>
        <v>18.387124262178645</v>
      </c>
      <c r="W449" s="238">
        <f t="shared" si="218"/>
        <v>399.44339853446627</v>
      </c>
      <c r="X449" s="238">
        <f t="shared" si="219"/>
        <v>417.83052279664491</v>
      </c>
      <c r="Y449" s="238">
        <f t="shared" si="220"/>
        <v>436.21764705882356</v>
      </c>
      <c r="AA449" s="89"/>
      <c r="AB449" s="89"/>
      <c r="AC449" s="89"/>
      <c r="AD449" s="89"/>
      <c r="AE449" s="89"/>
      <c r="AF449" s="89"/>
      <c r="AG449" s="89"/>
      <c r="AH449" s="89"/>
      <c r="AI449" s="89"/>
      <c r="AJ449" s="89"/>
      <c r="AK449" s="89"/>
      <c r="AL449" s="89"/>
      <c r="AM449" s="89"/>
      <c r="AN449" s="89"/>
      <c r="BR449" s="180">
        <v>2037</v>
      </c>
      <c r="BS449" s="22">
        <v>23</v>
      </c>
      <c r="BT449" s="198">
        <f t="shared" si="231"/>
        <v>182.89214893304933</v>
      </c>
      <c r="BU449" s="276">
        <f t="shared" si="232"/>
        <v>209.52575142326765</v>
      </c>
      <c r="BV449" s="205">
        <f t="shared" si="233"/>
        <v>392.41790035631698</v>
      </c>
      <c r="BY449" s="180">
        <v>2037</v>
      </c>
      <c r="BZ449" s="22">
        <v>23</v>
      </c>
      <c r="CA449" s="198">
        <f t="shared" ca="1" si="234"/>
        <v>-31.606310969081367</v>
      </c>
      <c r="CB449" s="198">
        <f t="shared" ca="1" si="235"/>
        <v>243.35639600433538</v>
      </c>
      <c r="CC449" s="276">
        <f t="shared" ca="1" si="246"/>
        <v>192.55752398429016</v>
      </c>
      <c r="CD449" s="205">
        <f t="shared" ca="1" si="236"/>
        <v>404.3076090195442</v>
      </c>
      <c r="CG449" s="180">
        <v>2037</v>
      </c>
      <c r="CH449" s="22">
        <v>23</v>
      </c>
      <c r="CI449" s="198">
        <f t="shared" ca="1" si="237"/>
        <v>12.760022005400979</v>
      </c>
      <c r="CJ449" s="198">
        <f t="shared" ca="1" si="238"/>
        <v>-68.222026288927765</v>
      </c>
      <c r="CK449" s="198">
        <f t="shared" ca="1" si="239"/>
        <v>269.70137905594044</v>
      </c>
      <c r="CL449" s="276">
        <f t="shared" ca="1" si="240"/>
        <v>189.69194626360641</v>
      </c>
      <c r="CM449" s="205">
        <f t="shared" ca="1" si="241"/>
        <v>403.93132103602005</v>
      </c>
      <c r="CP449" s="180">
        <v>2037</v>
      </c>
      <c r="CQ449" s="22">
        <v>23</v>
      </c>
      <c r="CR449" s="198">
        <f t="shared" ca="1" si="242"/>
        <v>222.33137667214683</v>
      </c>
      <c r="CS449" s="276">
        <f t="shared" ca="1" si="243"/>
        <v>1.682288260463612</v>
      </c>
      <c r="CT449" s="205">
        <f t="shared" ca="1" si="244"/>
        <v>374.02546490826597</v>
      </c>
      <c r="CZ449" s="164" t="b">
        <f t="shared" si="221"/>
        <v>1</v>
      </c>
      <c r="DA449" s="165" t="b">
        <f t="shared" si="221"/>
        <v>1</v>
      </c>
      <c r="DB449" s="166" t="b">
        <f t="shared" si="221"/>
        <v>1</v>
      </c>
      <c r="DC449" s="164">
        <f t="shared" si="222"/>
        <v>25</v>
      </c>
      <c r="DD449" s="166">
        <f t="shared" si="223"/>
        <v>399.44339853446627</v>
      </c>
      <c r="DE449" s="164">
        <f t="shared" si="224"/>
        <v>25</v>
      </c>
      <c r="DF449" s="166">
        <f t="shared" si="225"/>
        <v>417.83052279664491</v>
      </c>
      <c r="DG449" s="164">
        <f t="shared" si="226"/>
        <v>25</v>
      </c>
      <c r="DH449" s="166">
        <f t="shared" si="227"/>
        <v>436.21764705882356</v>
      </c>
      <c r="DI449" s="164">
        <f>IFERROR(INDEX(DC$422:DC$470,_xlfn.AGGREGATE(15,6,(ROW(DC$422:DC$470)-ROW(DC$422)+1)/(DC$422:DC$470&lt;&gt;""),ROWS(DI$1:DI28))),"")</f>
        <v>25</v>
      </c>
      <c r="DJ449" s="165">
        <f>IFERROR(INDEX(DD$422:DD$470,_xlfn.AGGREGATE(15,6,(ROW(DD$422:DD$470)-ROW(DD$422)+1)/(DD$422:DD$470&lt;&gt;""),ROWS(DJ$1:DJ28))),"")</f>
        <v>399.44339853446627</v>
      </c>
      <c r="DK449" s="166">
        <f t="shared" si="228"/>
        <v>449</v>
      </c>
      <c r="DL449" s="164">
        <f>IFERROR(INDEX(DE$422:DE$470,_xlfn.AGGREGATE(15,6,(ROW(DE$422:DE$470)-ROW(DE$422)+1)/(DE$422:DE$470&lt;&gt;""),ROWS(DL$1:DL28))),"")</f>
        <v>25</v>
      </c>
      <c r="DM449" s="165">
        <f>IFERROR(INDEX(DF$422:DF$470,_xlfn.AGGREGATE(15,6,(ROW(DF$422:DF$470)-ROW(DF$422)+1)/(DF$422:DF$470&lt;&gt;""),ROWS(DM$1:DM28))),"")</f>
        <v>417.83052279664491</v>
      </c>
      <c r="DN449" s="166">
        <f t="shared" si="229"/>
        <v>449</v>
      </c>
      <c r="DO449" s="164">
        <f>IFERROR(INDEX(DG$422:DG$470,_xlfn.AGGREGATE(15,6,(ROW(DG$422:DG$470)-ROW(DG$422)+1)/(DG$422:DG$470&lt;&gt;""),ROWS(DO$1:DO28))),"")</f>
        <v>25</v>
      </c>
      <c r="DP449" s="165">
        <f>IFERROR(INDEX(DH$422:DH$470,_xlfn.AGGREGATE(15,6,(ROW(DH$422:DH$470)-ROW(DH$422)+1)/(DH$422:DH$470&lt;&gt;""),ROWS(DP$1:DP28))),"")</f>
        <v>436.21764705882356</v>
      </c>
      <c r="DQ449" s="166">
        <f t="shared" si="230"/>
        <v>449</v>
      </c>
      <c r="DR449" s="65"/>
      <c r="DV449" s="145">
        <v>2042</v>
      </c>
      <c r="DW449" s="235">
        <f t="shared" ca="1" si="214"/>
        <v>439.93812458177911</v>
      </c>
    </row>
    <row r="450" spans="2:135" ht="13.8" x14ac:dyDescent="0.45">
      <c r="B450" s="128">
        <v>2040</v>
      </c>
      <c r="C450" s="1004">
        <v>402.87209723433295</v>
      </c>
      <c r="D450" s="987"/>
      <c r="E450" s="1006"/>
      <c r="F450" s="993"/>
      <c r="G450" s="247"/>
      <c r="H450" s="245"/>
      <c r="I450" s="1112">
        <v>446.33058823529416</v>
      </c>
      <c r="J450" s="247"/>
      <c r="K450" s="245"/>
      <c r="L450" s="246"/>
      <c r="M450" s="245"/>
      <c r="N450" s="29" t="s">
        <v>119</v>
      </c>
      <c r="O450" s="120"/>
      <c r="P450" s="120"/>
      <c r="Q450" s="120"/>
      <c r="R450" s="29">
        <v>26</v>
      </c>
      <c r="S450" s="238">
        <f t="shared" si="215"/>
        <v>402.87209723433295</v>
      </c>
      <c r="T450" s="238">
        <f t="shared" si="216"/>
        <v>446.33058823529416</v>
      </c>
      <c r="U450" s="238">
        <f t="shared" si="217"/>
        <v>21.729245500480602</v>
      </c>
      <c r="W450" s="238">
        <f t="shared" si="218"/>
        <v>402.87209723433295</v>
      </c>
      <c r="X450" s="238">
        <f t="shared" si="219"/>
        <v>424.60134273481356</v>
      </c>
      <c r="Y450" s="238">
        <f t="shared" si="220"/>
        <v>446.33058823529416</v>
      </c>
      <c r="AA450" s="89"/>
      <c r="AB450" s="89"/>
      <c r="AC450" s="89"/>
      <c r="AD450" s="89"/>
      <c r="AE450" s="89"/>
      <c r="AF450" s="89"/>
      <c r="AG450" s="89"/>
      <c r="AH450" s="89"/>
      <c r="AI450" s="89"/>
      <c r="AJ450" s="89"/>
      <c r="AK450" s="89"/>
      <c r="AL450" s="89"/>
      <c r="AM450" s="89"/>
      <c r="AN450" s="89"/>
      <c r="BR450" s="180">
        <v>2038</v>
      </c>
      <c r="BS450" s="22">
        <v>24</v>
      </c>
      <c r="BT450" s="198">
        <f t="shared" si="231"/>
        <v>190.84398149535582</v>
      </c>
      <c r="BU450" s="276">
        <f t="shared" si="232"/>
        <v>209.52575142326765</v>
      </c>
      <c r="BV450" s="205">
        <f t="shared" si="233"/>
        <v>400.36973291862347</v>
      </c>
      <c r="BY450" s="180">
        <v>2038</v>
      </c>
      <c r="BZ450" s="22">
        <v>24</v>
      </c>
      <c r="CA450" s="198">
        <f t="shared" ca="1" si="234"/>
        <v>-34.414433115672715</v>
      </c>
      <c r="CB450" s="198">
        <f t="shared" ca="1" si="235"/>
        <v>253.93710887408912</v>
      </c>
      <c r="CC450" s="276">
        <f t="shared" ca="1" si="246"/>
        <v>192.55752398429016</v>
      </c>
      <c r="CD450" s="205">
        <f t="shared" ca="1" si="236"/>
        <v>412.08019974270655</v>
      </c>
      <c r="CG450" s="180">
        <v>2038</v>
      </c>
      <c r="CH450" s="22">
        <v>24</v>
      </c>
      <c r="CI450" s="198">
        <f t="shared" ca="1" si="237"/>
        <v>14.497784515711608</v>
      </c>
      <c r="CJ450" s="198">
        <f t="shared" ca="1" si="238"/>
        <v>-74.283340533879766</v>
      </c>
      <c r="CK450" s="198">
        <f t="shared" ca="1" si="239"/>
        <v>281.42752597141612</v>
      </c>
      <c r="CL450" s="276">
        <f t="shared" ca="1" si="240"/>
        <v>189.69194626360641</v>
      </c>
      <c r="CM450" s="205">
        <f t="shared" ca="1" si="241"/>
        <v>411.33391621685439</v>
      </c>
      <c r="CP450" s="180">
        <v>2038</v>
      </c>
      <c r="CQ450" s="22">
        <v>24</v>
      </c>
      <c r="CR450" s="198">
        <f t="shared" ca="1" si="242"/>
        <v>222.33137667214683</v>
      </c>
      <c r="CS450" s="276">
        <f t="shared" ca="1" si="243"/>
        <v>1.7207674067502312</v>
      </c>
      <c r="CT450" s="205">
        <f t="shared" ca="1" si="244"/>
        <v>382.58058647533898</v>
      </c>
      <c r="CZ450" s="164" t="b">
        <f t="shared" si="221"/>
        <v>1</v>
      </c>
      <c r="DA450" s="165" t="b">
        <f t="shared" si="221"/>
        <v>1</v>
      </c>
      <c r="DB450" s="166" t="b">
        <f t="shared" si="221"/>
        <v>1</v>
      </c>
      <c r="DC450" s="164">
        <f t="shared" si="222"/>
        <v>26</v>
      </c>
      <c r="DD450" s="166">
        <f t="shared" si="223"/>
        <v>402.87209723433295</v>
      </c>
      <c r="DE450" s="164">
        <f t="shared" si="224"/>
        <v>26</v>
      </c>
      <c r="DF450" s="166">
        <f t="shared" si="225"/>
        <v>424.60134273481356</v>
      </c>
      <c r="DG450" s="164">
        <f t="shared" si="226"/>
        <v>26</v>
      </c>
      <c r="DH450" s="166">
        <f t="shared" si="227"/>
        <v>446.33058823529416</v>
      </c>
      <c r="DI450" s="164">
        <f>IFERROR(INDEX(DC$422:DC$470,_xlfn.AGGREGATE(15,6,(ROW(DC$422:DC$470)-ROW(DC$422)+1)/(DC$422:DC$470&lt;&gt;""),ROWS(DI$1:DI29))),"")</f>
        <v>26</v>
      </c>
      <c r="DJ450" s="165">
        <f>IFERROR(INDEX(DD$422:DD$470,_xlfn.AGGREGATE(15,6,(ROW(DD$422:DD$470)-ROW(DD$422)+1)/(DD$422:DD$470&lt;&gt;""),ROWS(DJ$1:DJ29))),"")</f>
        <v>402.87209723433295</v>
      </c>
      <c r="DK450" s="166">
        <f t="shared" si="228"/>
        <v>450</v>
      </c>
      <c r="DL450" s="164">
        <f>IFERROR(INDEX(DE$422:DE$470,_xlfn.AGGREGATE(15,6,(ROW(DE$422:DE$470)-ROW(DE$422)+1)/(DE$422:DE$470&lt;&gt;""),ROWS(DL$1:DL29))),"")</f>
        <v>26</v>
      </c>
      <c r="DM450" s="165">
        <f>IFERROR(INDEX(DF$422:DF$470,_xlfn.AGGREGATE(15,6,(ROW(DF$422:DF$470)-ROW(DF$422)+1)/(DF$422:DF$470&lt;&gt;""),ROWS(DM$1:DM29))),"")</f>
        <v>424.60134273481356</v>
      </c>
      <c r="DN450" s="166">
        <f t="shared" si="229"/>
        <v>450</v>
      </c>
      <c r="DO450" s="164">
        <f>IFERROR(INDEX(DG$422:DG$470,_xlfn.AGGREGATE(15,6,(ROW(DG$422:DG$470)-ROW(DG$422)+1)/(DG$422:DG$470&lt;&gt;""),ROWS(DO$1:DO29))),"")</f>
        <v>26</v>
      </c>
      <c r="DP450" s="165">
        <f>IFERROR(INDEX(DH$422:DH$470,_xlfn.AGGREGATE(15,6,(ROW(DH$422:DH$470)-ROW(DH$422)+1)/(DH$422:DH$470&lt;&gt;""),ROWS(DP$1:DP29))),"")</f>
        <v>446.33058823529416</v>
      </c>
      <c r="DQ450" s="166">
        <f t="shared" si="230"/>
        <v>450</v>
      </c>
      <c r="DR450" s="65"/>
      <c r="DV450" s="145">
        <v>2043</v>
      </c>
      <c r="DW450" s="235">
        <f t="shared" ca="1" si="214"/>
        <v>446.8690957893873</v>
      </c>
      <c r="EA450" s="55"/>
      <c r="EB450" s="55"/>
      <c r="EC450" s="55"/>
      <c r="ED450" s="55"/>
      <c r="EE450" s="55"/>
    </row>
    <row r="451" spans="2:135" ht="13.8" x14ac:dyDescent="0.45">
      <c r="B451" s="128">
        <v>2041</v>
      </c>
      <c r="C451" s="1004">
        <v>406.30079593419958</v>
      </c>
      <c r="D451" s="987"/>
      <c r="E451" s="1006"/>
      <c r="F451" s="993"/>
      <c r="G451" s="247"/>
      <c r="H451" s="245"/>
      <c r="I451" s="1112">
        <v>456.44352941176476</v>
      </c>
      <c r="J451" s="247"/>
      <c r="K451" s="245"/>
      <c r="L451" s="246"/>
      <c r="M451" s="245"/>
      <c r="N451" s="29" t="s">
        <v>119</v>
      </c>
      <c r="O451" s="120"/>
      <c r="P451" s="120"/>
      <c r="Q451" s="120"/>
      <c r="R451" s="29">
        <v>27</v>
      </c>
      <c r="S451" s="238">
        <f t="shared" si="215"/>
        <v>406.30079593419958</v>
      </c>
      <c r="T451" s="238">
        <f t="shared" si="216"/>
        <v>456.44352941176476</v>
      </c>
      <c r="U451" s="238">
        <f t="shared" si="217"/>
        <v>25.071366738782586</v>
      </c>
      <c r="W451" s="238">
        <f t="shared" si="218"/>
        <v>406.30079593419964</v>
      </c>
      <c r="X451" s="238">
        <f t="shared" si="219"/>
        <v>431.3721626729822</v>
      </c>
      <c r="Y451" s="238">
        <f t="shared" si="220"/>
        <v>456.44352941176476</v>
      </c>
      <c r="AA451" s="89"/>
      <c r="AB451" s="89"/>
      <c r="AC451" s="89"/>
      <c r="AD451" s="89"/>
      <c r="AE451" s="89"/>
      <c r="AF451" s="89"/>
      <c r="AG451" s="89"/>
      <c r="AH451" s="89"/>
      <c r="AI451" s="89"/>
      <c r="AJ451" s="89"/>
      <c r="AK451" s="89"/>
      <c r="AL451" s="89"/>
      <c r="AM451" s="89"/>
      <c r="AN451" s="89"/>
      <c r="BR451" s="180">
        <v>2039</v>
      </c>
      <c r="BS451" s="22">
        <v>25</v>
      </c>
      <c r="BT451" s="198">
        <f t="shared" si="231"/>
        <v>198.79581405766231</v>
      </c>
      <c r="BU451" s="276">
        <f t="shared" si="232"/>
        <v>209.52575142326765</v>
      </c>
      <c r="BV451" s="205">
        <f t="shared" si="233"/>
        <v>408.32156548092996</v>
      </c>
      <c r="BY451" s="180">
        <v>2039</v>
      </c>
      <c r="BZ451" s="22">
        <v>25</v>
      </c>
      <c r="CA451" s="198">
        <f t="shared" ca="1" si="234"/>
        <v>-37.342049821693486</v>
      </c>
      <c r="CB451" s="198">
        <f t="shared" ca="1" si="235"/>
        <v>264.51782174384283</v>
      </c>
      <c r="CC451" s="276">
        <f t="shared" ca="1" si="246"/>
        <v>192.55752398429016</v>
      </c>
      <c r="CD451" s="205">
        <f t="shared" ca="1" si="236"/>
        <v>419.73329590643948</v>
      </c>
      <c r="CG451" s="180">
        <v>2039</v>
      </c>
      <c r="CH451" s="22">
        <v>25</v>
      </c>
      <c r="CI451" s="198">
        <f t="shared" ca="1" si="237"/>
        <v>16.386565614727566</v>
      </c>
      <c r="CJ451" s="198">
        <f t="shared" ca="1" si="238"/>
        <v>-80.602583044574388</v>
      </c>
      <c r="CK451" s="198">
        <f t="shared" ca="1" si="239"/>
        <v>293.1536728868918</v>
      </c>
      <c r="CL451" s="276">
        <f t="shared" ca="1" si="240"/>
        <v>189.69194626360641</v>
      </c>
      <c r="CM451" s="205">
        <f t="shared" ca="1" si="241"/>
        <v>418.62960172065141</v>
      </c>
      <c r="CP451" s="180">
        <v>2039</v>
      </c>
      <c r="CQ451" s="22">
        <v>25</v>
      </c>
      <c r="CR451" s="198">
        <f t="shared" ca="1" si="242"/>
        <v>222.33137667214683</v>
      </c>
      <c r="CS451" s="276">
        <f t="shared" ca="1" si="243"/>
        <v>1.7601266903674995</v>
      </c>
      <c r="CT451" s="205">
        <f t="shared" ca="1" si="244"/>
        <v>391.33139018679566</v>
      </c>
      <c r="CZ451" s="164" t="b">
        <f t="shared" si="221"/>
        <v>1</v>
      </c>
      <c r="DA451" s="165" t="b">
        <f t="shared" si="221"/>
        <v>1</v>
      </c>
      <c r="DB451" s="166" t="b">
        <f t="shared" si="221"/>
        <v>1</v>
      </c>
      <c r="DC451" s="164">
        <f t="shared" si="222"/>
        <v>27</v>
      </c>
      <c r="DD451" s="166">
        <f t="shared" si="223"/>
        <v>406.30079593419964</v>
      </c>
      <c r="DE451" s="164">
        <f t="shared" si="224"/>
        <v>27</v>
      </c>
      <c r="DF451" s="166">
        <f t="shared" si="225"/>
        <v>431.3721626729822</v>
      </c>
      <c r="DG451" s="164">
        <f t="shared" si="226"/>
        <v>27</v>
      </c>
      <c r="DH451" s="166">
        <f t="shared" si="227"/>
        <v>456.44352941176476</v>
      </c>
      <c r="DI451" s="164">
        <f>IFERROR(INDEX(DC$422:DC$470,_xlfn.AGGREGATE(15,6,(ROW(DC$422:DC$470)-ROW(DC$422)+1)/(DC$422:DC$470&lt;&gt;""),ROWS(DI$1:DI30))),"")</f>
        <v>27</v>
      </c>
      <c r="DJ451" s="165">
        <f>IFERROR(INDEX(DD$422:DD$470,_xlfn.AGGREGATE(15,6,(ROW(DD$422:DD$470)-ROW(DD$422)+1)/(DD$422:DD$470&lt;&gt;""),ROWS(DJ$1:DJ30))),"")</f>
        <v>406.30079593419964</v>
      </c>
      <c r="DK451" s="166">
        <f t="shared" si="228"/>
        <v>451</v>
      </c>
      <c r="DL451" s="164">
        <f>IFERROR(INDEX(DE$422:DE$470,_xlfn.AGGREGATE(15,6,(ROW(DE$422:DE$470)-ROW(DE$422)+1)/(DE$422:DE$470&lt;&gt;""),ROWS(DL$1:DL30))),"")</f>
        <v>27</v>
      </c>
      <c r="DM451" s="165">
        <f>IFERROR(INDEX(DF$422:DF$470,_xlfn.AGGREGATE(15,6,(ROW(DF$422:DF$470)-ROW(DF$422)+1)/(DF$422:DF$470&lt;&gt;""),ROWS(DM$1:DM30))),"")</f>
        <v>431.3721626729822</v>
      </c>
      <c r="DN451" s="166">
        <f t="shared" si="229"/>
        <v>451</v>
      </c>
      <c r="DO451" s="164">
        <f>IFERROR(INDEX(DG$422:DG$470,_xlfn.AGGREGATE(15,6,(ROW(DG$422:DG$470)-ROW(DG$422)+1)/(DG$422:DG$470&lt;&gt;""),ROWS(DO$1:DO30))),"")</f>
        <v>27</v>
      </c>
      <c r="DP451" s="165">
        <f>IFERROR(INDEX(DH$422:DH$470,_xlfn.AGGREGATE(15,6,(ROW(DH$422:DH$470)-ROW(DH$422)+1)/(DH$422:DH$470&lt;&gt;""),ROWS(DP$1:DP30))),"")</f>
        <v>456.44352941176476</v>
      </c>
      <c r="DQ451" s="166">
        <f t="shared" si="230"/>
        <v>451</v>
      </c>
      <c r="DR451" s="65"/>
      <c r="DV451" s="145">
        <v>2044</v>
      </c>
      <c r="DW451" s="235">
        <f t="shared" ca="1" si="214"/>
        <v>453.72461952593869</v>
      </c>
      <c r="EA451" s="55"/>
      <c r="EB451" s="55"/>
      <c r="EC451" s="55"/>
      <c r="ED451" s="55"/>
      <c r="EE451" s="55"/>
    </row>
    <row r="452" spans="2:135" ht="13.8" x14ac:dyDescent="0.45">
      <c r="B452" s="128">
        <v>2042</v>
      </c>
      <c r="C452" s="1004">
        <v>409.72949463406627</v>
      </c>
      <c r="D452" s="987"/>
      <c r="E452" s="1006"/>
      <c r="F452" s="993"/>
      <c r="G452" s="247"/>
      <c r="H452" s="245"/>
      <c r="I452" s="1112">
        <v>466.55647058823536</v>
      </c>
      <c r="J452" s="247"/>
      <c r="K452" s="245"/>
      <c r="L452" s="246"/>
      <c r="M452" s="245"/>
      <c r="N452" s="29" t="s">
        <v>119</v>
      </c>
      <c r="O452" s="120"/>
      <c r="P452" s="120"/>
      <c r="Q452" s="120"/>
      <c r="R452" s="29">
        <v>28</v>
      </c>
      <c r="S452" s="238">
        <f t="shared" si="215"/>
        <v>409.72949463406627</v>
      </c>
      <c r="T452" s="238">
        <f t="shared" si="216"/>
        <v>466.55647058823536</v>
      </c>
      <c r="U452" s="238">
        <f t="shared" si="217"/>
        <v>28.413487977084543</v>
      </c>
      <c r="W452" s="238">
        <f t="shared" si="218"/>
        <v>409.72949463406633</v>
      </c>
      <c r="X452" s="238">
        <f t="shared" si="219"/>
        <v>438.14298261115084</v>
      </c>
      <c r="Y452" s="238">
        <f t="shared" si="220"/>
        <v>466.55647058823536</v>
      </c>
      <c r="AA452" s="89"/>
      <c r="AB452" s="89"/>
      <c r="AC452" s="89"/>
      <c r="AD452" s="89"/>
      <c r="AE452" s="89"/>
      <c r="AF452" s="89"/>
      <c r="AG452" s="89"/>
      <c r="AH452" s="89"/>
      <c r="AI452" s="89"/>
      <c r="AJ452" s="89"/>
      <c r="AK452" s="89"/>
      <c r="AL452" s="89"/>
      <c r="AM452" s="89"/>
      <c r="AN452" s="89"/>
      <c r="BR452" s="180">
        <v>2040</v>
      </c>
      <c r="BS452" s="22">
        <v>26</v>
      </c>
      <c r="BT452" s="198">
        <f t="shared" si="231"/>
        <v>206.7476466199688</v>
      </c>
      <c r="BU452" s="276">
        <f t="shared" si="232"/>
        <v>209.52575142326765</v>
      </c>
      <c r="BV452" s="205">
        <f t="shared" si="233"/>
        <v>416.27339804323645</v>
      </c>
      <c r="BY452" s="180">
        <v>2040</v>
      </c>
      <c r="BZ452" s="22">
        <v>26</v>
      </c>
      <c r="CA452" s="198">
        <f t="shared" ca="1" si="234"/>
        <v>-40.389161087143677</v>
      </c>
      <c r="CB452" s="198">
        <f t="shared" ca="1" si="235"/>
        <v>275.09853461359654</v>
      </c>
      <c r="CC452" s="276">
        <f t="shared" ca="1" si="246"/>
        <v>192.55752398429016</v>
      </c>
      <c r="CD452" s="205">
        <f t="shared" ca="1" si="236"/>
        <v>427.26689751074298</v>
      </c>
      <c r="CG452" s="180">
        <v>2040</v>
      </c>
      <c r="CH452" s="22">
        <v>26</v>
      </c>
      <c r="CI452" s="198">
        <f t="shared" ca="1" si="237"/>
        <v>18.43265774364491</v>
      </c>
      <c r="CJ452" s="198">
        <f t="shared" ca="1" si="238"/>
        <v>-87.179753821011658</v>
      </c>
      <c r="CK452" s="198">
        <f t="shared" ca="1" si="239"/>
        <v>304.87981980236748</v>
      </c>
      <c r="CL452" s="276">
        <f t="shared" ca="1" si="240"/>
        <v>189.69194626360641</v>
      </c>
      <c r="CM452" s="205">
        <f t="shared" ca="1" si="241"/>
        <v>425.82466998860718</v>
      </c>
      <c r="CP452" s="180">
        <v>2040</v>
      </c>
      <c r="CQ452" s="22">
        <v>26</v>
      </c>
      <c r="CR452" s="198">
        <f t="shared" ca="1" si="242"/>
        <v>222.33137667214683</v>
      </c>
      <c r="CS452" s="276">
        <f t="shared" ca="1" si="243"/>
        <v>1.8003862427839021</v>
      </c>
      <c r="CT452" s="205">
        <f t="shared" ca="1" si="244"/>
        <v>400.28235189973896</v>
      </c>
      <c r="CZ452" s="164" t="b">
        <f t="shared" si="221"/>
        <v>1</v>
      </c>
      <c r="DA452" s="165" t="b">
        <f t="shared" si="221"/>
        <v>1</v>
      </c>
      <c r="DB452" s="166" t="b">
        <f t="shared" si="221"/>
        <v>1</v>
      </c>
      <c r="DC452" s="164">
        <f t="shared" si="222"/>
        <v>28</v>
      </c>
      <c r="DD452" s="166">
        <f t="shared" si="223"/>
        <v>409.72949463406633</v>
      </c>
      <c r="DE452" s="164">
        <f t="shared" si="224"/>
        <v>28</v>
      </c>
      <c r="DF452" s="166">
        <f t="shared" si="225"/>
        <v>438.14298261115084</v>
      </c>
      <c r="DG452" s="164">
        <f t="shared" si="226"/>
        <v>28</v>
      </c>
      <c r="DH452" s="166">
        <f t="shared" si="227"/>
        <v>466.55647058823536</v>
      </c>
      <c r="DI452" s="164">
        <f>IFERROR(INDEX(DC$422:DC$470,_xlfn.AGGREGATE(15,6,(ROW(DC$422:DC$470)-ROW(DC$422)+1)/(DC$422:DC$470&lt;&gt;""),ROWS(DI$1:DI31))),"")</f>
        <v>28</v>
      </c>
      <c r="DJ452" s="165">
        <f>IFERROR(INDEX(DD$422:DD$470,_xlfn.AGGREGATE(15,6,(ROW(DD$422:DD$470)-ROW(DD$422)+1)/(DD$422:DD$470&lt;&gt;""),ROWS(DJ$1:DJ31))),"")</f>
        <v>409.72949463406633</v>
      </c>
      <c r="DK452" s="166">
        <f t="shared" si="228"/>
        <v>452</v>
      </c>
      <c r="DL452" s="164">
        <f>IFERROR(INDEX(DE$422:DE$470,_xlfn.AGGREGATE(15,6,(ROW(DE$422:DE$470)-ROW(DE$422)+1)/(DE$422:DE$470&lt;&gt;""),ROWS(DL$1:DL31))),"")</f>
        <v>28</v>
      </c>
      <c r="DM452" s="165">
        <f>IFERROR(INDEX(DF$422:DF$470,_xlfn.AGGREGATE(15,6,(ROW(DF$422:DF$470)-ROW(DF$422)+1)/(DF$422:DF$470&lt;&gt;""),ROWS(DM$1:DM31))),"")</f>
        <v>438.14298261115084</v>
      </c>
      <c r="DN452" s="166">
        <f t="shared" si="229"/>
        <v>452</v>
      </c>
      <c r="DO452" s="164">
        <f>IFERROR(INDEX(DG$422:DG$470,_xlfn.AGGREGATE(15,6,(ROW(DG$422:DG$470)-ROW(DG$422)+1)/(DG$422:DG$470&lt;&gt;""),ROWS(DO$1:DO31))),"")</f>
        <v>28</v>
      </c>
      <c r="DP452" s="165">
        <f>IFERROR(INDEX(DH$422:DH$470,_xlfn.AGGREGATE(15,6,(ROW(DH$422:DH$470)-ROW(DH$422)+1)/(DH$422:DH$470&lt;&gt;""),ROWS(DP$1:DP31))),"")</f>
        <v>466.55647058823536</v>
      </c>
      <c r="DQ452" s="166">
        <f t="shared" si="230"/>
        <v>452</v>
      </c>
      <c r="DR452" s="65"/>
      <c r="DV452" s="145">
        <v>2045</v>
      </c>
      <c r="DW452" s="235">
        <f t="shared" ca="1" si="214"/>
        <v>460.51098823262896</v>
      </c>
      <c r="EA452" s="55"/>
      <c r="EB452" s="55"/>
      <c r="EC452" s="55"/>
      <c r="ED452" s="55"/>
      <c r="EE452" s="55"/>
    </row>
    <row r="453" spans="2:135" ht="13.8" x14ac:dyDescent="0.45">
      <c r="B453" s="128">
        <v>2043</v>
      </c>
      <c r="C453" s="1004">
        <v>413.1581933339329</v>
      </c>
      <c r="D453" s="987"/>
      <c r="E453" s="1006"/>
      <c r="F453" s="993"/>
      <c r="G453" s="247"/>
      <c r="H453" s="245"/>
      <c r="I453" s="1112">
        <v>476.66941176470596</v>
      </c>
      <c r="J453" s="247"/>
      <c r="K453" s="245"/>
      <c r="L453" s="246"/>
      <c r="M453" s="245"/>
      <c r="N453" s="29" t="s">
        <v>119</v>
      </c>
      <c r="O453" s="120"/>
      <c r="P453" s="120"/>
      <c r="Q453" s="120"/>
      <c r="R453" s="29">
        <v>29</v>
      </c>
      <c r="S453" s="238">
        <f t="shared" si="215"/>
        <v>413.1581933339329</v>
      </c>
      <c r="T453" s="238">
        <f t="shared" si="216"/>
        <v>476.66941176470596</v>
      </c>
      <c r="U453" s="238">
        <f t="shared" si="217"/>
        <v>31.755609215386528</v>
      </c>
      <c r="W453" s="238">
        <f t="shared" si="218"/>
        <v>413.1581933339329</v>
      </c>
      <c r="X453" s="238">
        <f t="shared" si="219"/>
        <v>444.91380254931943</v>
      </c>
      <c r="Y453" s="238">
        <f t="shared" si="220"/>
        <v>476.66941176470596</v>
      </c>
      <c r="AA453" s="89"/>
      <c r="AB453" s="89"/>
      <c r="AC453" s="89"/>
      <c r="AD453" s="89"/>
      <c r="AE453" s="89"/>
      <c r="AF453" s="89"/>
      <c r="AG453" s="89"/>
      <c r="AH453" s="89"/>
      <c r="AI453" s="89"/>
      <c r="AJ453" s="89"/>
      <c r="AK453" s="89"/>
      <c r="AL453" s="89"/>
      <c r="AM453" s="89"/>
      <c r="AN453" s="89"/>
      <c r="BR453" s="180">
        <v>2041</v>
      </c>
      <c r="BS453" s="22">
        <v>27</v>
      </c>
      <c r="BT453" s="198">
        <f t="shared" si="231"/>
        <v>214.6994791822753</v>
      </c>
      <c r="BU453" s="276">
        <f t="shared" si="232"/>
        <v>209.52575142326765</v>
      </c>
      <c r="BV453" s="205">
        <f t="shared" si="233"/>
        <v>424.22523060554295</v>
      </c>
      <c r="BY453" s="180">
        <v>2041</v>
      </c>
      <c r="BZ453" s="22">
        <v>27</v>
      </c>
      <c r="CA453" s="198">
        <f t="shared" ca="1" si="234"/>
        <v>-43.55576691202328</v>
      </c>
      <c r="CB453" s="198">
        <f t="shared" ca="1" si="235"/>
        <v>285.67924748335025</v>
      </c>
      <c r="CC453" s="276">
        <f t="shared" ca="1" si="246"/>
        <v>192.55752398429016</v>
      </c>
      <c r="CD453" s="205">
        <f t="shared" ca="1" si="236"/>
        <v>434.68100455561716</v>
      </c>
      <c r="CG453" s="180">
        <v>2041</v>
      </c>
      <c r="CH453" s="22">
        <v>27</v>
      </c>
      <c r="CI453" s="198">
        <f t="shared" ca="1" si="237"/>
        <v>20.642353343659693</v>
      </c>
      <c r="CJ453" s="198">
        <f t="shared" ca="1" si="238"/>
        <v>-94.014852863191564</v>
      </c>
      <c r="CK453" s="198">
        <f t="shared" ca="1" si="239"/>
        <v>316.60596671784316</v>
      </c>
      <c r="CL453" s="276">
        <f t="shared" ca="1" si="240"/>
        <v>189.69194626360641</v>
      </c>
      <c r="CM453" s="205">
        <f t="shared" ca="1" si="241"/>
        <v>432.92541346191774</v>
      </c>
      <c r="CP453" s="180">
        <v>2041</v>
      </c>
      <c r="CQ453" s="22">
        <v>27</v>
      </c>
      <c r="CR453" s="198">
        <f t="shared" ca="1" si="242"/>
        <v>222.33137667214683</v>
      </c>
      <c r="CS453" s="276">
        <f t="shared" ca="1" si="243"/>
        <v>1.8415666559370003</v>
      </c>
      <c r="CT453" s="205">
        <f t="shared" ca="1" si="244"/>
        <v>409.43804984799505</v>
      </c>
      <c r="CZ453" s="164" t="b">
        <f t="shared" si="221"/>
        <v>1</v>
      </c>
      <c r="DA453" s="165" t="b">
        <f t="shared" si="221"/>
        <v>1</v>
      </c>
      <c r="DB453" s="166" t="b">
        <f t="shared" si="221"/>
        <v>1</v>
      </c>
      <c r="DC453" s="164">
        <f t="shared" si="222"/>
        <v>29</v>
      </c>
      <c r="DD453" s="166">
        <f t="shared" si="223"/>
        <v>413.1581933339329</v>
      </c>
      <c r="DE453" s="164">
        <f t="shared" si="224"/>
        <v>29</v>
      </c>
      <c r="DF453" s="166">
        <f t="shared" si="225"/>
        <v>444.91380254931943</v>
      </c>
      <c r="DG453" s="164">
        <f t="shared" si="226"/>
        <v>29</v>
      </c>
      <c r="DH453" s="166">
        <f t="shared" si="227"/>
        <v>476.66941176470596</v>
      </c>
      <c r="DI453" s="164">
        <f>IFERROR(INDEX(DC$422:DC$470,_xlfn.AGGREGATE(15,6,(ROW(DC$422:DC$470)-ROW(DC$422)+1)/(DC$422:DC$470&lt;&gt;""),ROWS(DI$1:DI32))),"")</f>
        <v>29</v>
      </c>
      <c r="DJ453" s="165">
        <f>IFERROR(INDEX(DD$422:DD$470,_xlfn.AGGREGATE(15,6,(ROW(DD$422:DD$470)-ROW(DD$422)+1)/(DD$422:DD$470&lt;&gt;""),ROWS(DJ$1:DJ32))),"")</f>
        <v>413.1581933339329</v>
      </c>
      <c r="DK453" s="166">
        <f t="shared" si="228"/>
        <v>453</v>
      </c>
      <c r="DL453" s="164">
        <f>IFERROR(INDEX(DE$422:DE$470,_xlfn.AGGREGATE(15,6,(ROW(DE$422:DE$470)-ROW(DE$422)+1)/(DE$422:DE$470&lt;&gt;""),ROWS(DL$1:DL32))),"")</f>
        <v>29</v>
      </c>
      <c r="DM453" s="165">
        <f>IFERROR(INDEX(DF$422:DF$470,_xlfn.AGGREGATE(15,6,(ROW(DF$422:DF$470)-ROW(DF$422)+1)/(DF$422:DF$470&lt;&gt;""),ROWS(DM$1:DM32))),"")</f>
        <v>444.91380254931943</v>
      </c>
      <c r="DN453" s="166">
        <f t="shared" si="229"/>
        <v>453</v>
      </c>
      <c r="DO453" s="164">
        <f>IFERROR(INDEX(DG$422:DG$470,_xlfn.AGGREGATE(15,6,(ROW(DG$422:DG$470)-ROW(DG$422)+1)/(DG$422:DG$470&lt;&gt;""),ROWS(DO$1:DO32))),"")</f>
        <v>29</v>
      </c>
      <c r="DP453" s="165">
        <f>IFERROR(INDEX(DH$422:DH$470,_xlfn.AGGREGATE(15,6,(ROW(DH$422:DH$470)-ROW(DH$422)+1)/(DH$422:DH$470&lt;&gt;""),ROWS(DP$1:DP32))),"")</f>
        <v>476.66941176470596</v>
      </c>
      <c r="DQ453" s="166">
        <f t="shared" si="230"/>
        <v>453</v>
      </c>
      <c r="DR453" s="65"/>
      <c r="DV453" s="145">
        <v>2046</v>
      </c>
      <c r="DW453" s="235">
        <f t="shared" ca="1" si="214"/>
        <v>467.23449435065436</v>
      </c>
      <c r="EA453" s="55"/>
      <c r="EB453" s="55"/>
      <c r="EC453" s="55"/>
      <c r="ED453" s="55"/>
      <c r="EE453" s="55"/>
    </row>
    <row r="454" spans="2:135" ht="13.8" x14ac:dyDescent="0.45">
      <c r="B454" s="128">
        <v>2044</v>
      </c>
      <c r="C454" s="1004">
        <v>416.58689203379959</v>
      </c>
      <c r="D454" s="987"/>
      <c r="E454" s="1006"/>
      <c r="F454" s="993"/>
      <c r="G454" s="247"/>
      <c r="H454" s="245"/>
      <c r="I454" s="1112">
        <v>486.78235294117644</v>
      </c>
      <c r="J454" s="247"/>
      <c r="K454" s="245"/>
      <c r="L454" s="246"/>
      <c r="M454" s="245"/>
      <c r="N454" s="29" t="s">
        <v>119</v>
      </c>
      <c r="O454" s="120"/>
      <c r="P454" s="120"/>
      <c r="Q454" s="120"/>
      <c r="R454" s="29">
        <v>30</v>
      </c>
      <c r="S454" s="238">
        <f t="shared" si="215"/>
        <v>416.58689203379959</v>
      </c>
      <c r="T454" s="238">
        <f t="shared" si="216"/>
        <v>486.78235294117644</v>
      </c>
      <c r="U454" s="238">
        <f t="shared" si="217"/>
        <v>35.097730453688428</v>
      </c>
      <c r="W454" s="238">
        <f t="shared" si="218"/>
        <v>416.58689203379959</v>
      </c>
      <c r="X454" s="238">
        <f t="shared" ref="X454:X470" si="248">IF(U454="",#N/A,(SUM(C454:Q454)/COUNTIFS(C454:Q454,"&gt;0")))</f>
        <v>451.68462248748801</v>
      </c>
      <c r="Y454" s="238">
        <f t="shared" si="220"/>
        <v>486.78235294117644</v>
      </c>
      <c r="AA454" s="89"/>
      <c r="AB454" s="89"/>
      <c r="AC454" s="89"/>
      <c r="AD454" s="89"/>
      <c r="AE454" s="89"/>
      <c r="AF454" s="89"/>
      <c r="AG454" s="89"/>
      <c r="AH454" s="89"/>
      <c r="AI454" s="89"/>
      <c r="AJ454" s="89"/>
      <c r="AK454" s="89"/>
      <c r="AL454" s="89"/>
      <c r="AM454" s="89"/>
      <c r="AN454" s="89"/>
      <c r="BR454" s="180">
        <v>2042</v>
      </c>
      <c r="BS454" s="22">
        <v>28</v>
      </c>
      <c r="BT454" s="198">
        <f t="shared" si="231"/>
        <v>222.65131174458179</v>
      </c>
      <c r="BU454" s="276">
        <f t="shared" si="232"/>
        <v>209.52575142326765</v>
      </c>
      <c r="BV454" s="205">
        <f t="shared" si="233"/>
        <v>432.17706316784944</v>
      </c>
      <c r="BY454" s="180">
        <v>2042</v>
      </c>
      <c r="BZ454" s="22">
        <v>28</v>
      </c>
      <c r="CA454" s="198">
        <f t="shared" ca="1" si="234"/>
        <v>-46.84186729633231</v>
      </c>
      <c r="CB454" s="198">
        <f t="shared" ca="1" si="235"/>
        <v>296.25996035310396</v>
      </c>
      <c r="CC454" s="276">
        <f t="shared" ca="1" si="246"/>
        <v>192.55752398429016</v>
      </c>
      <c r="CD454" s="205">
        <f t="shared" ca="1" si="236"/>
        <v>441.97561704106181</v>
      </c>
      <c r="CG454" s="180">
        <v>2042</v>
      </c>
      <c r="CH454" s="22">
        <v>28</v>
      </c>
      <c r="CI454" s="198">
        <f t="shared" ca="1" si="237"/>
        <v>23.02194485596797</v>
      </c>
      <c r="CJ454" s="198">
        <f t="shared" ca="1" si="238"/>
        <v>-101.10788017111412</v>
      </c>
      <c r="CK454" s="198">
        <f t="shared" ca="1" si="239"/>
        <v>328.33211363331884</v>
      </c>
      <c r="CL454" s="276">
        <f t="shared" ca="1" si="240"/>
        <v>189.69194626360641</v>
      </c>
      <c r="CM454" s="205">
        <f t="shared" ca="1" si="241"/>
        <v>439.93812458177911</v>
      </c>
      <c r="CP454" s="180">
        <v>2042</v>
      </c>
      <c r="CQ454" s="22">
        <v>28</v>
      </c>
      <c r="CR454" s="198">
        <f t="shared" ca="1" si="242"/>
        <v>222.33137667214683</v>
      </c>
      <c r="CS454" s="276">
        <f t="shared" ca="1" si="243"/>
        <v>1.8836889927657858</v>
      </c>
      <c r="CT454" s="205">
        <f t="shared" ca="1" si="244"/>
        <v>418.80316698378681</v>
      </c>
      <c r="CZ454" s="164" t="b">
        <f t="shared" si="221"/>
        <v>1</v>
      </c>
      <c r="DA454" s="165" t="b">
        <f t="shared" si="221"/>
        <v>1</v>
      </c>
      <c r="DB454" s="166" t="b">
        <f t="shared" si="221"/>
        <v>1</v>
      </c>
      <c r="DC454" s="164">
        <f t="shared" si="222"/>
        <v>30</v>
      </c>
      <c r="DD454" s="166">
        <f t="shared" si="223"/>
        <v>416.58689203379959</v>
      </c>
      <c r="DE454" s="164">
        <f t="shared" si="224"/>
        <v>30</v>
      </c>
      <c r="DF454" s="166">
        <f t="shared" si="225"/>
        <v>451.68462248748801</v>
      </c>
      <c r="DG454" s="164">
        <f t="shared" si="226"/>
        <v>30</v>
      </c>
      <c r="DH454" s="166">
        <f t="shared" si="227"/>
        <v>486.78235294117644</v>
      </c>
      <c r="DI454" s="164">
        <f>IFERROR(INDEX(DC$422:DC$470,_xlfn.AGGREGATE(15,6,(ROW(DC$422:DC$470)-ROW(DC$422)+1)/(DC$422:DC$470&lt;&gt;""),ROWS(DI$1:DI33))),"")</f>
        <v>30</v>
      </c>
      <c r="DJ454" s="165">
        <f>IFERROR(INDEX(DD$422:DD$470,_xlfn.AGGREGATE(15,6,(ROW(DD$422:DD$470)-ROW(DD$422)+1)/(DD$422:DD$470&lt;&gt;""),ROWS(DJ$1:DJ33))),"")</f>
        <v>416.58689203379959</v>
      </c>
      <c r="DK454" s="166">
        <f t="shared" si="228"/>
        <v>454</v>
      </c>
      <c r="DL454" s="164">
        <f>IFERROR(INDEX(DE$422:DE$470,_xlfn.AGGREGATE(15,6,(ROW(DE$422:DE$470)-ROW(DE$422)+1)/(DE$422:DE$470&lt;&gt;""),ROWS(DL$1:DL33))),"")</f>
        <v>30</v>
      </c>
      <c r="DM454" s="165">
        <f>IFERROR(INDEX(DF$422:DF$470,_xlfn.AGGREGATE(15,6,(ROW(DF$422:DF$470)-ROW(DF$422)+1)/(DF$422:DF$470&lt;&gt;""),ROWS(DM$1:DM33))),"")</f>
        <v>451.68462248748801</v>
      </c>
      <c r="DN454" s="166">
        <f t="shared" si="229"/>
        <v>454</v>
      </c>
      <c r="DO454" s="164">
        <f>IFERROR(INDEX(DG$422:DG$470,_xlfn.AGGREGATE(15,6,(ROW(DG$422:DG$470)-ROW(DG$422)+1)/(DG$422:DG$470&lt;&gt;""),ROWS(DO$1:DO33))),"")</f>
        <v>30</v>
      </c>
      <c r="DP454" s="165">
        <f>IFERROR(INDEX(DH$422:DH$470,_xlfn.AGGREGATE(15,6,(ROW(DH$422:DH$470)-ROW(DH$422)+1)/(DH$422:DH$470&lt;&gt;""),ROWS(DP$1:DP33))),"")</f>
        <v>486.78235294117644</v>
      </c>
      <c r="DQ454" s="166">
        <f t="shared" si="230"/>
        <v>454</v>
      </c>
      <c r="DR454" s="65"/>
      <c r="DV454" s="145">
        <v>2047</v>
      </c>
      <c r="DW454" s="235">
        <f t="shared" ca="1" si="214"/>
        <v>473.90143032121091</v>
      </c>
      <c r="EA454" s="55"/>
      <c r="EB454" s="55"/>
      <c r="EC454" s="55"/>
      <c r="ED454" s="55"/>
      <c r="EE454" s="55"/>
    </row>
    <row r="455" spans="2:135" ht="13.8" x14ac:dyDescent="0.45">
      <c r="B455" s="128">
        <v>2045</v>
      </c>
      <c r="C455" s="1004">
        <v>420.01559073366627</v>
      </c>
      <c r="D455" s="987"/>
      <c r="E455" s="1006"/>
      <c r="F455" s="993"/>
      <c r="G455" s="247"/>
      <c r="H455" s="245"/>
      <c r="I455" s="1112">
        <v>496.89529411764704</v>
      </c>
      <c r="J455" s="247"/>
      <c r="K455" s="245"/>
      <c r="L455" s="246"/>
      <c r="M455" s="245"/>
      <c r="N455" s="29" t="s">
        <v>119</v>
      </c>
      <c r="O455" s="120"/>
      <c r="P455" s="120"/>
      <c r="Q455" s="120"/>
      <c r="R455" s="29">
        <v>31</v>
      </c>
      <c r="S455" s="238">
        <f t="shared" si="215"/>
        <v>420.01559073366627</v>
      </c>
      <c r="T455" s="238">
        <f t="shared" si="216"/>
        <v>496.89529411764704</v>
      </c>
      <c r="U455" s="238">
        <f t="shared" si="217"/>
        <v>38.439851691990384</v>
      </c>
      <c r="W455" s="238">
        <f t="shared" si="218"/>
        <v>420.01559073366627</v>
      </c>
      <c r="X455" s="238">
        <f t="shared" si="248"/>
        <v>458.45544242565666</v>
      </c>
      <c r="Y455" s="238">
        <f t="shared" si="220"/>
        <v>496.89529411764704</v>
      </c>
      <c r="AA455" s="89"/>
      <c r="AB455" s="89"/>
      <c r="AC455" s="89"/>
      <c r="AD455" s="89"/>
      <c r="AE455" s="89"/>
      <c r="AF455" s="89"/>
      <c r="AG455" s="89"/>
      <c r="AH455" s="89"/>
      <c r="AI455" s="89"/>
      <c r="AJ455" s="89"/>
      <c r="AK455" s="89"/>
      <c r="AL455" s="89"/>
      <c r="AM455" s="89"/>
      <c r="AN455" s="89"/>
      <c r="BR455" s="180">
        <v>2043</v>
      </c>
      <c r="BS455" s="22">
        <v>29</v>
      </c>
      <c r="BT455" s="198">
        <f t="shared" si="231"/>
        <v>230.60314430688828</v>
      </c>
      <c r="BU455" s="276">
        <f t="shared" si="232"/>
        <v>209.52575142326765</v>
      </c>
      <c r="BV455" s="205">
        <f t="shared" si="233"/>
        <v>440.12889573015593</v>
      </c>
      <c r="BY455" s="180">
        <v>2043</v>
      </c>
      <c r="BZ455" s="22">
        <v>29</v>
      </c>
      <c r="CA455" s="198">
        <f t="shared" ca="1" si="234"/>
        <v>-50.247462240070753</v>
      </c>
      <c r="CB455" s="198">
        <f t="shared" ca="1" si="235"/>
        <v>306.84067322285767</v>
      </c>
      <c r="CC455" s="276">
        <f t="shared" ca="1" si="246"/>
        <v>192.55752398429016</v>
      </c>
      <c r="CD455" s="205">
        <f t="shared" ca="1" si="236"/>
        <v>449.15073496707703</v>
      </c>
      <c r="CG455" s="180">
        <v>2043</v>
      </c>
      <c r="CH455" s="22">
        <v>29</v>
      </c>
      <c r="CI455" s="198">
        <f t="shared" ca="1" si="237"/>
        <v>25.577724721765797</v>
      </c>
      <c r="CJ455" s="198">
        <f t="shared" ca="1" si="238"/>
        <v>-108.45883574477931</v>
      </c>
      <c r="CK455" s="198">
        <f t="shared" ca="1" si="239"/>
        <v>340.05826054879446</v>
      </c>
      <c r="CL455" s="276">
        <f t="shared" ca="1" si="240"/>
        <v>189.69194626360641</v>
      </c>
      <c r="CM455" s="205">
        <f t="shared" ca="1" si="241"/>
        <v>446.8690957893873</v>
      </c>
      <c r="CP455" s="180">
        <v>2043</v>
      </c>
      <c r="CQ455" s="22">
        <v>29</v>
      </c>
      <c r="CR455" s="198">
        <f t="shared" ca="1" si="242"/>
        <v>222.33137667214683</v>
      </c>
      <c r="CS455" s="276">
        <f t="shared" ca="1" si="243"/>
        <v>1.9267747979839438</v>
      </c>
      <c r="CT455" s="205">
        <f t="shared" ca="1" si="244"/>
        <v>428.38249337296782</v>
      </c>
      <c r="CZ455" s="164" t="b">
        <f t="shared" si="221"/>
        <v>1</v>
      </c>
      <c r="DA455" s="165" t="b">
        <f t="shared" si="221"/>
        <v>1</v>
      </c>
      <c r="DB455" s="166" t="b">
        <f t="shared" si="221"/>
        <v>1</v>
      </c>
      <c r="DC455" s="164">
        <f t="shared" si="222"/>
        <v>31</v>
      </c>
      <c r="DD455" s="166">
        <f t="shared" si="223"/>
        <v>420.01559073366627</v>
      </c>
      <c r="DE455" s="164">
        <f t="shared" si="224"/>
        <v>31</v>
      </c>
      <c r="DF455" s="166">
        <f t="shared" si="225"/>
        <v>458.45544242565666</v>
      </c>
      <c r="DG455" s="164">
        <f t="shared" si="226"/>
        <v>31</v>
      </c>
      <c r="DH455" s="166">
        <f t="shared" si="227"/>
        <v>496.89529411764704</v>
      </c>
      <c r="DI455" s="164">
        <f>IFERROR(INDEX(DC$422:DC$470,_xlfn.AGGREGATE(15,6,(ROW(DC$422:DC$470)-ROW(DC$422)+1)/(DC$422:DC$470&lt;&gt;""),ROWS(DI$1:DI34))),"")</f>
        <v>31</v>
      </c>
      <c r="DJ455" s="165">
        <f>IFERROR(INDEX(DD$422:DD$470,_xlfn.AGGREGATE(15,6,(ROW(DD$422:DD$470)-ROW(DD$422)+1)/(DD$422:DD$470&lt;&gt;""),ROWS(DJ$1:DJ34))),"")</f>
        <v>420.01559073366627</v>
      </c>
      <c r="DK455" s="166">
        <f t="shared" si="228"/>
        <v>455</v>
      </c>
      <c r="DL455" s="164">
        <f>IFERROR(INDEX(DE$422:DE$470,_xlfn.AGGREGATE(15,6,(ROW(DE$422:DE$470)-ROW(DE$422)+1)/(DE$422:DE$470&lt;&gt;""),ROWS(DL$1:DL34))),"")</f>
        <v>31</v>
      </c>
      <c r="DM455" s="165">
        <f>IFERROR(INDEX(DF$422:DF$470,_xlfn.AGGREGATE(15,6,(ROW(DF$422:DF$470)-ROW(DF$422)+1)/(DF$422:DF$470&lt;&gt;""),ROWS(DM$1:DM34))),"")</f>
        <v>458.45544242565666</v>
      </c>
      <c r="DN455" s="166">
        <f t="shared" si="229"/>
        <v>455</v>
      </c>
      <c r="DO455" s="164">
        <f>IFERROR(INDEX(DG$422:DG$470,_xlfn.AGGREGATE(15,6,(ROW(DG$422:DG$470)-ROW(DG$422)+1)/(DG$422:DG$470&lt;&gt;""),ROWS(DO$1:DO34))),"")</f>
        <v>31</v>
      </c>
      <c r="DP455" s="165">
        <f>IFERROR(INDEX(DH$422:DH$470,_xlfn.AGGREGATE(15,6,(ROW(DH$422:DH$470)-ROW(DH$422)+1)/(DH$422:DH$470&lt;&gt;""),ROWS(DP$1:DP34))),"")</f>
        <v>496.89529411764704</v>
      </c>
      <c r="DQ455" s="166">
        <f t="shared" si="230"/>
        <v>455</v>
      </c>
      <c r="DR455" s="65"/>
      <c r="DV455" s="145">
        <v>2048</v>
      </c>
      <c r="DW455" s="235">
        <f t="shared" ca="1" si="214"/>
        <v>480.51808858549464</v>
      </c>
      <c r="EA455" s="55"/>
      <c r="EB455" s="55"/>
      <c r="EC455" s="55"/>
      <c r="ED455" s="55"/>
      <c r="EE455" s="55"/>
    </row>
    <row r="456" spans="2:135" ht="13.8" x14ac:dyDescent="0.45">
      <c r="B456" s="128">
        <v>2046</v>
      </c>
      <c r="C456" s="1004">
        <v>423.4442894335329</v>
      </c>
      <c r="D456" s="987"/>
      <c r="E456" s="1006"/>
      <c r="F456" s="993"/>
      <c r="G456" s="247"/>
      <c r="H456" s="245"/>
      <c r="I456" s="1112">
        <v>507.00823529411764</v>
      </c>
      <c r="J456" s="247"/>
      <c r="K456" s="245"/>
      <c r="L456" s="246"/>
      <c r="M456" s="245"/>
      <c r="N456" s="29" t="s">
        <v>119</v>
      </c>
      <c r="O456" s="120"/>
      <c r="P456" s="120"/>
      <c r="Q456" s="120"/>
      <c r="R456" s="29">
        <v>32</v>
      </c>
      <c r="S456" s="238">
        <f t="shared" si="215"/>
        <v>423.4442894335329</v>
      </c>
      <c r="T456" s="238">
        <f t="shared" si="216"/>
        <v>507.00823529411764</v>
      </c>
      <c r="U456" s="238">
        <f t="shared" si="217"/>
        <v>41.781972930292369</v>
      </c>
      <c r="W456" s="238">
        <f t="shared" si="218"/>
        <v>423.44428943353296</v>
      </c>
      <c r="X456" s="238">
        <f t="shared" si="248"/>
        <v>465.2262623638253</v>
      </c>
      <c r="Y456" s="238">
        <f t="shared" si="220"/>
        <v>507.00823529411764</v>
      </c>
      <c r="AA456" s="89"/>
      <c r="AB456" s="89"/>
      <c r="AC456" s="89"/>
      <c r="AD456" s="89"/>
      <c r="AE456" s="89"/>
      <c r="AF456" s="89"/>
      <c r="AG456" s="89"/>
      <c r="AH456" s="89"/>
      <c r="AI456" s="89"/>
      <c r="AJ456" s="89"/>
      <c r="AK456" s="89"/>
      <c r="AL456" s="89"/>
      <c r="AM456" s="89"/>
      <c r="AN456" s="89"/>
      <c r="BR456" s="180">
        <v>2044</v>
      </c>
      <c r="BS456" s="22">
        <v>30</v>
      </c>
      <c r="BT456" s="198">
        <f t="shared" si="231"/>
        <v>238.55497686919477</v>
      </c>
      <c r="BU456" s="276">
        <f t="shared" si="232"/>
        <v>209.52575142326765</v>
      </c>
      <c r="BV456" s="205">
        <f t="shared" si="233"/>
        <v>448.08072829246242</v>
      </c>
      <c r="BY456" s="180">
        <v>2044</v>
      </c>
      <c r="BZ456" s="22">
        <v>30</v>
      </c>
      <c r="CA456" s="198">
        <f t="shared" ca="1" si="234"/>
        <v>-53.772551743238616</v>
      </c>
      <c r="CB456" s="198">
        <f t="shared" ca="1" si="235"/>
        <v>317.42138609261139</v>
      </c>
      <c r="CC456" s="276">
        <f t="shared" ca="1" si="246"/>
        <v>192.55752398429016</v>
      </c>
      <c r="CD456" s="205">
        <f t="shared" ca="1" si="236"/>
        <v>456.20635833366293</v>
      </c>
      <c r="CG456" s="180">
        <v>2044</v>
      </c>
      <c r="CH456" s="22">
        <v>30</v>
      </c>
      <c r="CI456" s="198">
        <f t="shared" ca="1" si="237"/>
        <v>28.315985382249234</v>
      </c>
      <c r="CJ456" s="198">
        <f t="shared" ca="1" si="238"/>
        <v>-116.06771958418712</v>
      </c>
      <c r="CK456" s="198">
        <f t="shared" ca="1" si="239"/>
        <v>351.78440746427015</v>
      </c>
      <c r="CL456" s="276">
        <f t="shared" ca="1" si="240"/>
        <v>189.69194626360641</v>
      </c>
      <c r="CM456" s="205">
        <f t="shared" ca="1" si="241"/>
        <v>453.72461952593869</v>
      </c>
      <c r="CP456" s="180">
        <v>2044</v>
      </c>
      <c r="CQ456" s="22">
        <v>30</v>
      </c>
      <c r="CR456" s="198">
        <f t="shared" ca="1" si="242"/>
        <v>222.33137667214683</v>
      </c>
      <c r="CS456" s="276">
        <f t="shared" ca="1" si="243"/>
        <v>1.9708461090995328</v>
      </c>
      <c r="CT456" s="205">
        <f t="shared" ca="1" si="244"/>
        <v>438.18092864504325</v>
      </c>
      <c r="CZ456" s="164" t="b">
        <f t="shared" si="221"/>
        <v>1</v>
      </c>
      <c r="DA456" s="165" t="b">
        <f t="shared" si="221"/>
        <v>1</v>
      </c>
      <c r="DB456" s="166" t="b">
        <f t="shared" si="221"/>
        <v>1</v>
      </c>
      <c r="DC456" s="164">
        <f t="shared" si="222"/>
        <v>32</v>
      </c>
      <c r="DD456" s="166">
        <f t="shared" si="223"/>
        <v>423.44428943353296</v>
      </c>
      <c r="DE456" s="164">
        <f t="shared" si="224"/>
        <v>32</v>
      </c>
      <c r="DF456" s="166">
        <f t="shared" si="225"/>
        <v>465.2262623638253</v>
      </c>
      <c r="DG456" s="164">
        <f t="shared" si="226"/>
        <v>32</v>
      </c>
      <c r="DH456" s="166">
        <f t="shared" si="227"/>
        <v>507.00823529411764</v>
      </c>
      <c r="DI456" s="164">
        <f>IFERROR(INDEX(DC$422:DC$470,_xlfn.AGGREGATE(15,6,(ROW(DC$422:DC$470)-ROW(DC$422)+1)/(DC$422:DC$470&lt;&gt;""),ROWS(DI$1:DI35))),"")</f>
        <v>32</v>
      </c>
      <c r="DJ456" s="165">
        <f>IFERROR(INDEX(DD$422:DD$470,_xlfn.AGGREGATE(15,6,(ROW(DD$422:DD$470)-ROW(DD$422)+1)/(DD$422:DD$470&lt;&gt;""),ROWS(DJ$1:DJ35))),"")</f>
        <v>423.44428943353296</v>
      </c>
      <c r="DK456" s="166">
        <f t="shared" si="228"/>
        <v>456</v>
      </c>
      <c r="DL456" s="164">
        <f>IFERROR(INDEX(DE$422:DE$470,_xlfn.AGGREGATE(15,6,(ROW(DE$422:DE$470)-ROW(DE$422)+1)/(DE$422:DE$470&lt;&gt;""),ROWS(DL$1:DL35))),"")</f>
        <v>32</v>
      </c>
      <c r="DM456" s="165">
        <f>IFERROR(INDEX(DF$422:DF$470,_xlfn.AGGREGATE(15,6,(ROW(DF$422:DF$470)-ROW(DF$422)+1)/(DF$422:DF$470&lt;&gt;""),ROWS(DM$1:DM35))),"")</f>
        <v>465.2262623638253</v>
      </c>
      <c r="DN456" s="166">
        <f t="shared" si="229"/>
        <v>456</v>
      </c>
      <c r="DO456" s="164">
        <f>IFERROR(INDEX(DG$422:DG$470,_xlfn.AGGREGATE(15,6,(ROW(DG$422:DG$470)-ROW(DG$422)+1)/(DG$422:DG$470&lt;&gt;""),ROWS(DO$1:DO35))),"")</f>
        <v>32</v>
      </c>
      <c r="DP456" s="165">
        <f>IFERROR(INDEX(DH$422:DH$470,_xlfn.AGGREGATE(15,6,(ROW(DH$422:DH$470)-ROW(DH$422)+1)/(DH$422:DH$470&lt;&gt;""),ROWS(DP$1:DP35))),"")</f>
        <v>507.00823529411764</v>
      </c>
      <c r="DQ456" s="166">
        <f t="shared" si="230"/>
        <v>456</v>
      </c>
      <c r="DR456" s="65"/>
      <c r="DV456" s="145">
        <v>2049</v>
      </c>
      <c r="DW456" s="235">
        <f t="shared" ca="1" si="214"/>
        <v>487.09076158470157</v>
      </c>
      <c r="EA456" s="55"/>
      <c r="EB456" s="55"/>
      <c r="EC456" s="55"/>
      <c r="ED456" s="55"/>
      <c r="EE456" s="55"/>
    </row>
    <row r="457" spans="2:135" ht="13.8" x14ac:dyDescent="0.45">
      <c r="B457" s="128">
        <v>2047</v>
      </c>
      <c r="C457" s="1004">
        <v>426.87298813339959</v>
      </c>
      <c r="D457" s="987"/>
      <c r="E457" s="1006"/>
      <c r="F457" s="993"/>
      <c r="G457" s="247"/>
      <c r="H457" s="245"/>
      <c r="I457" s="1112">
        <v>517.12117647058824</v>
      </c>
      <c r="J457" s="247"/>
      <c r="K457" s="245"/>
      <c r="L457" s="246"/>
      <c r="M457" s="245"/>
      <c r="N457" s="29" t="s">
        <v>119</v>
      </c>
      <c r="O457" s="120"/>
      <c r="P457" s="120"/>
      <c r="Q457" s="120"/>
      <c r="R457" s="29">
        <v>33</v>
      </c>
      <c r="S457" s="238">
        <f t="shared" si="215"/>
        <v>426.87298813339959</v>
      </c>
      <c r="T457" s="238">
        <f t="shared" si="216"/>
        <v>517.12117647058824</v>
      </c>
      <c r="U457" s="238">
        <f t="shared" si="217"/>
        <v>45.124094168594326</v>
      </c>
      <c r="W457" s="238">
        <f t="shared" si="218"/>
        <v>426.87298813339964</v>
      </c>
      <c r="X457" s="238">
        <f t="shared" si="248"/>
        <v>471.99708230199394</v>
      </c>
      <c r="Y457" s="238">
        <f t="shared" si="220"/>
        <v>517.12117647058824</v>
      </c>
      <c r="AA457" s="89"/>
      <c r="AB457" s="89"/>
      <c r="AC457" s="89"/>
      <c r="AD457" s="89"/>
      <c r="AE457" s="89"/>
      <c r="AF457" s="89"/>
      <c r="AG457" s="89"/>
      <c r="AH457" s="89"/>
      <c r="AI457" s="89"/>
      <c r="AJ457" s="89"/>
      <c r="AK457" s="89"/>
      <c r="AL457" s="89"/>
      <c r="AM457" s="89"/>
      <c r="AN457" s="89"/>
      <c r="BR457" s="180">
        <v>2045</v>
      </c>
      <c r="BS457" s="22">
        <v>31</v>
      </c>
      <c r="BT457" s="198">
        <f t="shared" si="231"/>
        <v>246.50680943150127</v>
      </c>
      <c r="BU457" s="198">
        <f t="shared" si="232"/>
        <v>209.52575142326765</v>
      </c>
      <c r="BV457" s="205">
        <f t="shared" si="233"/>
        <v>456.03256085476892</v>
      </c>
      <c r="BY457" s="180">
        <v>2045</v>
      </c>
      <c r="BZ457" s="22">
        <v>31</v>
      </c>
      <c r="CA457" s="198">
        <f t="shared" ca="1" si="234"/>
        <v>-57.417135805835905</v>
      </c>
      <c r="CB457" s="198">
        <f t="shared" ca="1" si="235"/>
        <v>328.0020989623651</v>
      </c>
      <c r="CC457" s="198">
        <f t="shared" ca="1" si="246"/>
        <v>192.55752398429016</v>
      </c>
      <c r="CD457" s="205">
        <f t="shared" ca="1" si="236"/>
        <v>463.1424871408193</v>
      </c>
      <c r="CG457" s="180">
        <v>2045</v>
      </c>
      <c r="CH457" s="22">
        <v>31</v>
      </c>
      <c r="CI457" s="198">
        <f t="shared" ca="1" si="237"/>
        <v>31.24301927861433</v>
      </c>
      <c r="CJ457" s="198">
        <f t="shared" ca="1" si="238"/>
        <v>-123.93453168933759</v>
      </c>
      <c r="CK457" s="198">
        <f t="shared" ca="1" si="239"/>
        <v>363.51055437974583</v>
      </c>
      <c r="CL457" s="198">
        <f t="shared" ca="1" si="240"/>
        <v>189.69194626360641</v>
      </c>
      <c r="CM457" s="205">
        <f t="shared" ca="1" si="241"/>
        <v>460.51098823262896</v>
      </c>
      <c r="CP457" s="180">
        <v>2045</v>
      </c>
      <c r="CQ457" s="22">
        <v>31</v>
      </c>
      <c r="CR457" s="198">
        <f t="shared" ca="1" si="242"/>
        <v>222.33137667214683</v>
      </c>
      <c r="CS457" s="198">
        <f t="shared" ca="1" si="243"/>
        <v>2.0159254676867207</v>
      </c>
      <c r="CT457" s="205">
        <f t="shared" ca="1" si="244"/>
        <v>448.20348449923006</v>
      </c>
      <c r="CZ457" s="164" t="b">
        <f t="shared" si="221"/>
        <v>1</v>
      </c>
      <c r="DA457" s="165" t="b">
        <f t="shared" si="221"/>
        <v>1</v>
      </c>
      <c r="DB457" s="166" t="b">
        <f t="shared" si="221"/>
        <v>1</v>
      </c>
      <c r="DC457" s="164">
        <f t="shared" si="222"/>
        <v>33</v>
      </c>
      <c r="DD457" s="166">
        <f t="shared" si="223"/>
        <v>426.87298813339964</v>
      </c>
      <c r="DE457" s="164">
        <f t="shared" si="224"/>
        <v>33</v>
      </c>
      <c r="DF457" s="166">
        <f t="shared" si="225"/>
        <v>471.99708230199394</v>
      </c>
      <c r="DG457" s="164">
        <f t="shared" si="226"/>
        <v>33</v>
      </c>
      <c r="DH457" s="166">
        <f t="shared" si="227"/>
        <v>517.12117647058824</v>
      </c>
      <c r="DI457" s="164">
        <f>IFERROR(INDEX(DC$422:DC$470,_xlfn.AGGREGATE(15,6,(ROW(DC$422:DC$470)-ROW(DC$422)+1)/(DC$422:DC$470&lt;&gt;""),ROWS(DI$1:DI36))),"")</f>
        <v>33</v>
      </c>
      <c r="DJ457" s="165">
        <f>IFERROR(INDEX(DD$422:DD$470,_xlfn.AGGREGATE(15,6,(ROW(DD$422:DD$470)-ROW(DD$422)+1)/(DD$422:DD$470&lt;&gt;""),ROWS(DJ$1:DJ36))),"")</f>
        <v>426.87298813339964</v>
      </c>
      <c r="DK457" s="166">
        <f t="shared" si="228"/>
        <v>457</v>
      </c>
      <c r="DL457" s="164">
        <f>IFERROR(INDEX(DE$422:DE$470,_xlfn.AGGREGATE(15,6,(ROW(DE$422:DE$470)-ROW(DE$422)+1)/(DE$422:DE$470&lt;&gt;""),ROWS(DL$1:DL36))),"")</f>
        <v>33</v>
      </c>
      <c r="DM457" s="165">
        <f>IFERROR(INDEX(DF$422:DF$470,_xlfn.AGGREGATE(15,6,(ROW(DF$422:DF$470)-ROW(DF$422)+1)/(DF$422:DF$470&lt;&gt;""),ROWS(DM$1:DM36))),"")</f>
        <v>471.99708230199394</v>
      </c>
      <c r="DN457" s="166">
        <f t="shared" si="229"/>
        <v>457</v>
      </c>
      <c r="DO457" s="164">
        <f>IFERROR(INDEX(DG$422:DG$470,_xlfn.AGGREGATE(15,6,(ROW(DG$422:DG$470)-ROW(DG$422)+1)/(DG$422:DG$470&lt;&gt;""),ROWS(DO$1:DO36))),"")</f>
        <v>33</v>
      </c>
      <c r="DP457" s="165">
        <f>IFERROR(INDEX(DH$422:DH$470,_xlfn.AGGREGATE(15,6,(ROW(DH$422:DH$470)-ROW(DH$422)+1)/(DH$422:DH$470&lt;&gt;""),ROWS(DP$1:DP36))),"")</f>
        <v>517.12117647058824</v>
      </c>
      <c r="DQ457" s="166">
        <f t="shared" si="230"/>
        <v>457</v>
      </c>
      <c r="DR457" s="65"/>
      <c r="DV457" s="145">
        <v>2050</v>
      </c>
      <c r="DW457" s="235">
        <f t="shared" ca="1" si="214"/>
        <v>493.62574176002784</v>
      </c>
      <c r="EA457" s="55"/>
      <c r="EB457" s="55"/>
      <c r="EC457" s="55"/>
      <c r="ED457" s="55"/>
      <c r="EE457" s="55"/>
    </row>
    <row r="458" spans="2:135" ht="13.8" x14ac:dyDescent="0.45">
      <c r="B458" s="128">
        <v>2048</v>
      </c>
      <c r="C458" s="1004">
        <v>430.30168683326622</v>
      </c>
      <c r="D458" s="987"/>
      <c r="E458" s="1006"/>
      <c r="F458" s="993"/>
      <c r="G458" s="247"/>
      <c r="H458" s="245"/>
      <c r="I458" s="1112">
        <v>527.23411764705884</v>
      </c>
      <c r="J458" s="247"/>
      <c r="K458" s="245"/>
      <c r="L458" s="246"/>
      <c r="M458" s="245"/>
      <c r="N458" s="29" t="s">
        <v>119</v>
      </c>
      <c r="O458" s="120"/>
      <c r="P458" s="120"/>
      <c r="Q458" s="120"/>
      <c r="R458" s="29">
        <v>34</v>
      </c>
      <c r="S458" s="238">
        <f t="shared" si="215"/>
        <v>430.30168683326622</v>
      </c>
      <c r="T458" s="238">
        <f t="shared" si="216"/>
        <v>527.23411764705884</v>
      </c>
      <c r="U458" s="238">
        <f t="shared" si="217"/>
        <v>48.466215406896218</v>
      </c>
      <c r="W458" s="238">
        <f t="shared" si="218"/>
        <v>430.30168683326633</v>
      </c>
      <c r="X458" s="238">
        <f t="shared" si="248"/>
        <v>478.76790224016253</v>
      </c>
      <c r="Y458" s="238">
        <f t="shared" si="220"/>
        <v>527.23411764705872</v>
      </c>
      <c r="AA458" s="89"/>
      <c r="AB458" s="89"/>
      <c r="AC458" s="89"/>
      <c r="AD458" s="89"/>
      <c r="AE458" s="89"/>
      <c r="AF458" s="89"/>
      <c r="AG458" s="89"/>
      <c r="AH458" s="89"/>
      <c r="AI458" s="89"/>
      <c r="AJ458" s="89"/>
      <c r="AK458" s="89"/>
      <c r="AL458" s="89"/>
      <c r="AM458" s="89"/>
      <c r="AN458" s="89"/>
      <c r="BR458" s="180">
        <v>2046</v>
      </c>
      <c r="BS458" s="22">
        <v>32</v>
      </c>
      <c r="BT458" s="198">
        <f t="shared" si="231"/>
        <v>254.45864199380776</v>
      </c>
      <c r="BU458" s="198">
        <f t="shared" si="232"/>
        <v>209.52575142326765</v>
      </c>
      <c r="BV458" s="205">
        <f t="shared" si="233"/>
        <v>463.98439341707541</v>
      </c>
      <c r="BY458" s="180">
        <v>2046</v>
      </c>
      <c r="BZ458" s="22">
        <v>32</v>
      </c>
      <c r="CA458" s="198">
        <f t="shared" ca="1" si="234"/>
        <v>-61.181214427862606</v>
      </c>
      <c r="CB458" s="198">
        <f t="shared" ca="1" si="235"/>
        <v>338.58281183211881</v>
      </c>
      <c r="CC458" s="198">
        <f t="shared" ca="1" si="246"/>
        <v>192.55752398429016</v>
      </c>
      <c r="CD458" s="205">
        <f t="shared" ca="1" si="236"/>
        <v>469.95912138854635</v>
      </c>
      <c r="CG458" s="180">
        <v>2046</v>
      </c>
      <c r="CH458" s="22">
        <v>32</v>
      </c>
      <c r="CI458" s="198">
        <f t="shared" ca="1" si="237"/>
        <v>34.365118852057144</v>
      </c>
      <c r="CJ458" s="198">
        <f t="shared" ca="1" si="238"/>
        <v>-132.05927206023068</v>
      </c>
      <c r="CK458" s="198">
        <f t="shared" ca="1" si="239"/>
        <v>375.23670129522151</v>
      </c>
      <c r="CL458" s="198">
        <f t="shared" ca="1" si="240"/>
        <v>189.69194626360641</v>
      </c>
      <c r="CM458" s="205">
        <f t="shared" ca="1" si="241"/>
        <v>467.23449435065436</v>
      </c>
      <c r="CP458" s="180">
        <v>2046</v>
      </c>
      <c r="CQ458" s="22">
        <v>32</v>
      </c>
      <c r="CR458" s="198">
        <f t="shared" ca="1" si="242"/>
        <v>222.33137667214683</v>
      </c>
      <c r="CS458" s="198">
        <f t="shared" ca="1" si="243"/>
        <v>2.0620359309153358</v>
      </c>
      <c r="CT458" s="205">
        <f t="shared" ca="1" si="244"/>
        <v>458.45528726783846</v>
      </c>
      <c r="CZ458" s="164" t="b">
        <f t="shared" si="221"/>
        <v>1</v>
      </c>
      <c r="DA458" s="165" t="b">
        <f t="shared" si="221"/>
        <v>1</v>
      </c>
      <c r="DB458" s="166" t="b">
        <f t="shared" si="221"/>
        <v>1</v>
      </c>
      <c r="DC458" s="164">
        <f t="shared" si="222"/>
        <v>34</v>
      </c>
      <c r="DD458" s="166">
        <f t="shared" si="223"/>
        <v>430.30168683326633</v>
      </c>
      <c r="DE458" s="164">
        <f t="shared" si="224"/>
        <v>34</v>
      </c>
      <c r="DF458" s="166">
        <f t="shared" si="225"/>
        <v>478.76790224016253</v>
      </c>
      <c r="DG458" s="164">
        <f t="shared" si="226"/>
        <v>34</v>
      </c>
      <c r="DH458" s="166">
        <f t="shared" si="227"/>
        <v>527.23411764705872</v>
      </c>
      <c r="DI458" s="164">
        <f>IFERROR(INDEX(DC$422:DC$470,_xlfn.AGGREGATE(15,6,(ROW(DC$422:DC$470)-ROW(DC$422)+1)/(DC$422:DC$470&lt;&gt;""),ROWS(DI$1:DI37))),"")</f>
        <v>34</v>
      </c>
      <c r="DJ458" s="165">
        <f>IFERROR(INDEX(DD$422:DD$470,_xlfn.AGGREGATE(15,6,(ROW(DD$422:DD$470)-ROW(DD$422)+1)/(DD$422:DD$470&lt;&gt;""),ROWS(DJ$1:DJ37))),"")</f>
        <v>430.30168683326633</v>
      </c>
      <c r="DK458" s="166">
        <f t="shared" si="228"/>
        <v>458</v>
      </c>
      <c r="DL458" s="164">
        <f>IFERROR(INDEX(DE$422:DE$470,_xlfn.AGGREGATE(15,6,(ROW(DE$422:DE$470)-ROW(DE$422)+1)/(DE$422:DE$470&lt;&gt;""),ROWS(DL$1:DL37))),"")</f>
        <v>34</v>
      </c>
      <c r="DM458" s="165">
        <f>IFERROR(INDEX(DF$422:DF$470,_xlfn.AGGREGATE(15,6,(ROW(DF$422:DF$470)-ROW(DF$422)+1)/(DF$422:DF$470&lt;&gt;""),ROWS(DM$1:DM37))),"")</f>
        <v>478.76790224016253</v>
      </c>
      <c r="DN458" s="166">
        <f t="shared" si="229"/>
        <v>458</v>
      </c>
      <c r="DO458" s="164">
        <f>IFERROR(INDEX(DG$422:DG$470,_xlfn.AGGREGATE(15,6,(ROW(DG$422:DG$470)-ROW(DG$422)+1)/(DG$422:DG$470&lt;&gt;""),ROWS(DO$1:DO37))),"")</f>
        <v>34</v>
      </c>
      <c r="DP458" s="165">
        <f>IFERROR(INDEX(DH$422:DH$470,_xlfn.AGGREGATE(15,6,(ROW(DH$422:DH$470)-ROW(DH$422)+1)/(DH$422:DH$470&lt;&gt;""),ROWS(DP$1:DP37))),"")</f>
        <v>527.23411764705872</v>
      </c>
      <c r="DQ458" s="166">
        <f t="shared" si="230"/>
        <v>458</v>
      </c>
      <c r="DR458" s="65"/>
      <c r="DV458" s="145">
        <v>2051</v>
      </c>
      <c r="DW458" s="235">
        <f t="shared" ca="1" si="214"/>
        <v>500.12932155266947</v>
      </c>
      <c r="EA458" s="55"/>
      <c r="EB458" s="55"/>
      <c r="EC458" s="55"/>
      <c r="ED458" s="55"/>
      <c r="EE458" s="55"/>
    </row>
    <row r="459" spans="2:135" ht="13.8" x14ac:dyDescent="0.45">
      <c r="B459" s="128">
        <v>2049</v>
      </c>
      <c r="C459" s="1004">
        <v>433.7303855331329</v>
      </c>
      <c r="D459" s="987"/>
      <c r="E459" s="1006"/>
      <c r="F459" s="993"/>
      <c r="G459" s="247"/>
      <c r="H459" s="245"/>
      <c r="I459" s="1112">
        <v>537.34705882352944</v>
      </c>
      <c r="J459" s="247"/>
      <c r="K459" s="245"/>
      <c r="L459" s="246"/>
      <c r="M459" s="245"/>
      <c r="N459" s="29" t="s">
        <v>119</v>
      </c>
      <c r="O459" s="120"/>
      <c r="P459" s="120"/>
      <c r="Q459" s="120"/>
      <c r="R459" s="29">
        <v>35</v>
      </c>
      <c r="S459" s="238">
        <f t="shared" si="215"/>
        <v>433.7303855331329</v>
      </c>
      <c r="T459" s="238">
        <f t="shared" si="216"/>
        <v>537.34705882352944</v>
      </c>
      <c r="U459" s="238">
        <f t="shared" si="217"/>
        <v>51.808336645198125</v>
      </c>
      <c r="W459" s="238">
        <f t="shared" si="218"/>
        <v>433.73038553313302</v>
      </c>
      <c r="X459" s="238">
        <f t="shared" si="248"/>
        <v>485.53872217833117</v>
      </c>
      <c r="Y459" s="238">
        <f t="shared" si="220"/>
        <v>537.34705882352932</v>
      </c>
      <c r="AA459" s="89"/>
      <c r="AB459" s="89"/>
      <c r="AC459" s="89"/>
      <c r="AD459" s="89"/>
      <c r="AE459" s="89"/>
      <c r="AF459" s="89"/>
      <c r="AG459" s="89"/>
      <c r="AH459" s="89"/>
      <c r="AI459" s="89"/>
      <c r="AJ459" s="89"/>
      <c r="AK459" s="89"/>
      <c r="AL459" s="89"/>
      <c r="AM459" s="89"/>
      <c r="AN459" s="89"/>
      <c r="BR459" s="180">
        <v>2047</v>
      </c>
      <c r="BS459" s="22">
        <v>33</v>
      </c>
      <c r="BT459" s="198">
        <f t="shared" si="231"/>
        <v>262.41047455611425</v>
      </c>
      <c r="BU459" s="198">
        <f t="shared" si="232"/>
        <v>209.52575142326765</v>
      </c>
      <c r="BV459" s="205">
        <f t="shared" si="233"/>
        <v>471.9362259793819</v>
      </c>
      <c r="BY459" s="180">
        <v>2047</v>
      </c>
      <c r="BZ459" s="22">
        <v>33</v>
      </c>
      <c r="CA459" s="198">
        <f t="shared" ca="1" si="234"/>
        <v>-65.064787609318728</v>
      </c>
      <c r="CB459" s="198">
        <f t="shared" ca="1" si="235"/>
        <v>349.16352470187252</v>
      </c>
      <c r="CC459" s="198">
        <f t="shared" ca="1" si="246"/>
        <v>192.55752398429016</v>
      </c>
      <c r="CD459" s="205">
        <f t="shared" ca="1" si="236"/>
        <v>476.65626107684398</v>
      </c>
      <c r="CG459" s="180">
        <v>2047</v>
      </c>
      <c r="CH459" s="22">
        <v>33</v>
      </c>
      <c r="CI459" s="198">
        <f t="shared" ca="1" si="237"/>
        <v>37.688576543773728</v>
      </c>
      <c r="CJ459" s="198">
        <f t="shared" ca="1" si="238"/>
        <v>-140.44194069686642</v>
      </c>
      <c r="CK459" s="198">
        <f t="shared" ca="1" si="239"/>
        <v>386.96284821069719</v>
      </c>
      <c r="CL459" s="198">
        <f t="shared" ca="1" si="240"/>
        <v>189.69194626360641</v>
      </c>
      <c r="CM459" s="205">
        <f t="shared" ca="1" si="241"/>
        <v>473.90143032121091</v>
      </c>
      <c r="CP459" s="180">
        <v>2047</v>
      </c>
      <c r="CQ459" s="22">
        <v>33</v>
      </c>
      <c r="CR459" s="198">
        <f t="shared" ca="1" si="242"/>
        <v>222.33137667214683</v>
      </c>
      <c r="CS459" s="198">
        <f t="shared" ca="1" si="243"/>
        <v>2.109201083344141</v>
      </c>
      <c r="CT459" s="205">
        <f t="shared" ca="1" si="244"/>
        <v>468.94158053828636</v>
      </c>
      <c r="CZ459" s="164" t="b">
        <f t="shared" si="221"/>
        <v>1</v>
      </c>
      <c r="DA459" s="165" t="b">
        <f t="shared" si="221"/>
        <v>1</v>
      </c>
      <c r="DB459" s="166" t="b">
        <f t="shared" si="221"/>
        <v>1</v>
      </c>
      <c r="DC459" s="164">
        <f t="shared" si="222"/>
        <v>35</v>
      </c>
      <c r="DD459" s="166">
        <f t="shared" si="223"/>
        <v>433.73038553313302</v>
      </c>
      <c r="DE459" s="164">
        <f t="shared" si="224"/>
        <v>35</v>
      </c>
      <c r="DF459" s="166">
        <f t="shared" si="225"/>
        <v>485.53872217833117</v>
      </c>
      <c r="DG459" s="164">
        <f t="shared" si="226"/>
        <v>35</v>
      </c>
      <c r="DH459" s="166">
        <f t="shared" si="227"/>
        <v>537.34705882352932</v>
      </c>
      <c r="DI459" s="164">
        <f>IFERROR(INDEX(DC$422:DC$470,_xlfn.AGGREGATE(15,6,(ROW(DC$422:DC$470)-ROW(DC$422)+1)/(DC$422:DC$470&lt;&gt;""),ROWS(DI$1:DI38))),"")</f>
        <v>35</v>
      </c>
      <c r="DJ459" s="165">
        <f>IFERROR(INDEX(DD$422:DD$470,_xlfn.AGGREGATE(15,6,(ROW(DD$422:DD$470)-ROW(DD$422)+1)/(DD$422:DD$470&lt;&gt;""),ROWS(DJ$1:DJ38))),"")</f>
        <v>433.73038553313302</v>
      </c>
      <c r="DK459" s="166">
        <f t="shared" si="228"/>
        <v>459</v>
      </c>
      <c r="DL459" s="164">
        <f>IFERROR(INDEX(DE$422:DE$470,_xlfn.AGGREGATE(15,6,(ROW(DE$422:DE$470)-ROW(DE$422)+1)/(DE$422:DE$470&lt;&gt;""),ROWS(DL$1:DL38))),"")</f>
        <v>35</v>
      </c>
      <c r="DM459" s="165">
        <f>IFERROR(INDEX(DF$422:DF$470,_xlfn.AGGREGATE(15,6,(ROW(DF$422:DF$470)-ROW(DF$422)+1)/(DF$422:DF$470&lt;&gt;""),ROWS(DM$1:DM38))),"")</f>
        <v>485.53872217833117</v>
      </c>
      <c r="DN459" s="166">
        <f t="shared" si="229"/>
        <v>459</v>
      </c>
      <c r="DO459" s="164">
        <f>IFERROR(INDEX(DG$422:DG$470,_xlfn.AGGREGATE(15,6,(ROW(DG$422:DG$470)-ROW(DG$422)+1)/(DG$422:DG$470&lt;&gt;""),ROWS(DO$1:DO38))),"")</f>
        <v>35</v>
      </c>
      <c r="DP459" s="165">
        <f>IFERROR(INDEX(DH$422:DH$470,_xlfn.AGGREGATE(15,6,(ROW(DH$422:DH$470)-ROW(DH$422)+1)/(DH$422:DH$470&lt;&gt;""),ROWS(DP$1:DP38))),"")</f>
        <v>537.34705882352932</v>
      </c>
      <c r="DQ459" s="166">
        <f t="shared" si="230"/>
        <v>459</v>
      </c>
      <c r="DR459" s="65"/>
      <c r="DV459" s="145">
        <v>2052</v>
      </c>
      <c r="DW459" s="235">
        <f t="shared" ca="1" si="214"/>
        <v>506.60779340382248</v>
      </c>
      <c r="EA459" s="55"/>
      <c r="EB459" s="55"/>
      <c r="EC459" s="55"/>
      <c r="ED459" s="55"/>
      <c r="EE459" s="55"/>
    </row>
    <row r="460" spans="2:135" ht="13.8" x14ac:dyDescent="0.45">
      <c r="B460" s="128">
        <v>2050</v>
      </c>
      <c r="C460" s="1004">
        <v>437.15908423299959</v>
      </c>
      <c r="D460" s="987"/>
      <c r="E460" s="1006"/>
      <c r="F460" s="993"/>
      <c r="G460" s="247"/>
      <c r="H460" s="245"/>
      <c r="I460" s="1112">
        <v>547.46</v>
      </c>
      <c r="J460" s="247"/>
      <c r="K460" s="245"/>
      <c r="L460" s="246"/>
      <c r="M460" s="245"/>
      <c r="N460" s="29" t="s">
        <v>119</v>
      </c>
      <c r="O460" s="120"/>
      <c r="P460" s="120"/>
      <c r="Q460" s="120"/>
      <c r="R460" s="29">
        <v>36</v>
      </c>
      <c r="S460" s="238">
        <f t="shared" si="215"/>
        <v>437.15908423299959</v>
      </c>
      <c r="T460" s="238">
        <f t="shared" si="216"/>
        <v>547.46</v>
      </c>
      <c r="U460" s="238">
        <f t="shared" si="217"/>
        <v>55.150457883500223</v>
      </c>
      <c r="W460" s="238">
        <f t="shared" si="218"/>
        <v>437.15908423299959</v>
      </c>
      <c r="X460" s="238">
        <f t="shared" si="248"/>
        <v>492.30954211649981</v>
      </c>
      <c r="Y460" s="238">
        <f t="shared" si="220"/>
        <v>547.46</v>
      </c>
      <c r="AA460" s="89"/>
      <c r="AB460" s="89"/>
      <c r="AC460" s="89"/>
      <c r="AD460" s="89"/>
      <c r="AE460" s="89"/>
      <c r="AF460" s="89"/>
      <c r="AG460" s="89"/>
      <c r="AH460" s="89"/>
      <c r="AI460" s="89"/>
      <c r="AJ460" s="89"/>
      <c r="AK460" s="89"/>
      <c r="AL460" s="89"/>
      <c r="AM460" s="89"/>
      <c r="AN460" s="89"/>
      <c r="BR460" s="180">
        <v>2048</v>
      </c>
      <c r="BS460" s="22">
        <v>34</v>
      </c>
      <c r="BT460" s="198">
        <f t="shared" si="231"/>
        <v>270.36230711842074</v>
      </c>
      <c r="BU460" s="198">
        <f t="shared" si="232"/>
        <v>209.52575142326765</v>
      </c>
      <c r="BV460" s="205">
        <f t="shared" si="233"/>
        <v>479.88805854168839</v>
      </c>
      <c r="BY460" s="180">
        <v>2048</v>
      </c>
      <c r="BZ460" s="22">
        <v>34</v>
      </c>
      <c r="CA460" s="198">
        <f t="shared" ca="1" si="234"/>
        <v>-69.067855350204269</v>
      </c>
      <c r="CB460" s="198">
        <f t="shared" ca="1" si="235"/>
        <v>359.74423757162623</v>
      </c>
      <c r="CC460" s="198">
        <f t="shared" ca="1" si="246"/>
        <v>192.55752398429016</v>
      </c>
      <c r="CD460" s="205">
        <f t="shared" ca="1" si="236"/>
        <v>483.23390620571206</v>
      </c>
      <c r="CG460" s="180">
        <v>2048</v>
      </c>
      <c r="CH460" s="22">
        <v>34</v>
      </c>
      <c r="CI460" s="198">
        <f t="shared" ca="1" si="237"/>
        <v>41.219684794960145</v>
      </c>
      <c r="CJ460" s="198">
        <f t="shared" ca="1" si="238"/>
        <v>-149.0825375992448</v>
      </c>
      <c r="CK460" s="198">
        <f t="shared" ca="1" si="239"/>
        <v>398.68899512617287</v>
      </c>
      <c r="CL460" s="198">
        <f t="shared" ca="1" si="240"/>
        <v>189.69194626360641</v>
      </c>
      <c r="CM460" s="205">
        <f t="shared" ca="1" si="241"/>
        <v>480.51808858549464</v>
      </c>
      <c r="CP460" s="180">
        <v>2048</v>
      </c>
      <c r="CQ460" s="22">
        <v>34</v>
      </c>
      <c r="CR460" s="198">
        <f t="shared" ca="1" si="242"/>
        <v>222.33137667214683</v>
      </c>
      <c r="CS460" s="198">
        <f t="shared" ca="1" si="243"/>
        <v>2.1574450489838517</v>
      </c>
      <c r="CT460" s="205">
        <f t="shared" ca="1" si="244"/>
        <v>479.66772783508702</v>
      </c>
      <c r="CZ460" s="164" t="b">
        <f t="shared" si="221"/>
        <v>1</v>
      </c>
      <c r="DA460" s="165" t="b">
        <f t="shared" si="221"/>
        <v>1</v>
      </c>
      <c r="DB460" s="166" t="b">
        <f t="shared" si="221"/>
        <v>1</v>
      </c>
      <c r="DC460" s="164">
        <f t="shared" si="222"/>
        <v>36</v>
      </c>
      <c r="DD460" s="166">
        <f t="shared" si="223"/>
        <v>437.15908423299959</v>
      </c>
      <c r="DE460" s="164">
        <f t="shared" si="224"/>
        <v>36</v>
      </c>
      <c r="DF460" s="166">
        <f t="shared" si="225"/>
        <v>492.30954211649981</v>
      </c>
      <c r="DG460" s="164">
        <f t="shared" si="226"/>
        <v>36</v>
      </c>
      <c r="DH460" s="166">
        <f t="shared" si="227"/>
        <v>547.46</v>
      </c>
      <c r="DI460" s="164">
        <f>IFERROR(INDEX(DC$422:DC$470,_xlfn.AGGREGATE(15,6,(ROW(DC$422:DC$470)-ROW(DC$422)+1)/(DC$422:DC$470&lt;&gt;""),ROWS(DI$1:DI39))),"")</f>
        <v>36</v>
      </c>
      <c r="DJ460" s="165">
        <f>IFERROR(INDEX(DD$422:DD$470,_xlfn.AGGREGATE(15,6,(ROW(DD$422:DD$470)-ROW(DD$422)+1)/(DD$422:DD$470&lt;&gt;""),ROWS(DJ$1:DJ39))),"")</f>
        <v>437.15908423299959</v>
      </c>
      <c r="DK460" s="166">
        <f t="shared" si="228"/>
        <v>460</v>
      </c>
      <c r="DL460" s="164">
        <f>IFERROR(INDEX(DE$422:DE$470,_xlfn.AGGREGATE(15,6,(ROW(DE$422:DE$470)-ROW(DE$422)+1)/(DE$422:DE$470&lt;&gt;""),ROWS(DL$1:DL39))),"")</f>
        <v>36</v>
      </c>
      <c r="DM460" s="165">
        <f>IFERROR(INDEX(DF$422:DF$470,_xlfn.AGGREGATE(15,6,(ROW(DF$422:DF$470)-ROW(DF$422)+1)/(DF$422:DF$470&lt;&gt;""),ROWS(DM$1:DM39))),"")</f>
        <v>492.30954211649981</v>
      </c>
      <c r="DN460" s="166">
        <f t="shared" si="229"/>
        <v>460</v>
      </c>
      <c r="DO460" s="164">
        <f>IFERROR(INDEX(DG$422:DG$470,_xlfn.AGGREGATE(15,6,(ROW(DG$422:DG$470)-ROW(DG$422)+1)/(DG$422:DG$470&lt;&gt;""),ROWS(DO$1:DO39))),"")</f>
        <v>36</v>
      </c>
      <c r="DP460" s="165">
        <f>IFERROR(INDEX(DH$422:DH$470,_xlfn.AGGREGATE(15,6,(ROW(DH$422:DH$470)-ROW(DH$422)+1)/(DH$422:DH$470&lt;&gt;""),ROWS(DP$1:DP39))),"")</f>
        <v>547.46</v>
      </c>
      <c r="DQ460" s="166">
        <f t="shared" si="230"/>
        <v>460</v>
      </c>
      <c r="DR460" s="65"/>
      <c r="DV460" s="145">
        <v>2053</v>
      </c>
      <c r="DW460" s="235">
        <f t="shared" ca="1" si="214"/>
        <v>513.06744975468291</v>
      </c>
      <c r="EA460" s="55"/>
      <c r="EB460" s="55"/>
      <c r="EC460" s="55"/>
      <c r="ED460" s="55"/>
      <c r="EE460" s="55"/>
    </row>
    <row r="461" spans="2:135" ht="13.8" x14ac:dyDescent="0.45">
      <c r="B461" s="128">
        <v>2051</v>
      </c>
      <c r="C461" s="1004">
        <v>440.58778293286622</v>
      </c>
      <c r="D461" s="987"/>
      <c r="E461" s="1006"/>
      <c r="F461" s="993"/>
      <c r="G461" s="247"/>
      <c r="H461" s="245"/>
      <c r="I461" s="1112">
        <v>557.57294117647064</v>
      </c>
      <c r="J461" s="247"/>
      <c r="K461" s="245"/>
      <c r="L461" s="246"/>
      <c r="M461" s="245"/>
      <c r="N461" s="29" t="s">
        <v>119</v>
      </c>
      <c r="O461" s="120"/>
      <c r="P461" s="120"/>
      <c r="Q461" s="120"/>
      <c r="R461" s="29">
        <v>37</v>
      </c>
      <c r="S461" s="238">
        <f t="shared" si="215"/>
        <v>440.58778293286622</v>
      </c>
      <c r="T461" s="238">
        <f t="shared" si="216"/>
        <v>557.57294117647064</v>
      </c>
      <c r="U461" s="238">
        <f t="shared" si="217"/>
        <v>58.492579121802486</v>
      </c>
      <c r="W461" s="238">
        <f t="shared" si="218"/>
        <v>440.58778293286593</v>
      </c>
      <c r="X461" s="238">
        <f t="shared" si="248"/>
        <v>499.0803620546684</v>
      </c>
      <c r="Y461" s="238">
        <f t="shared" si="220"/>
        <v>557.57294117647086</v>
      </c>
      <c r="AA461" s="89"/>
      <c r="AB461" s="89"/>
      <c r="AC461" s="89"/>
      <c r="AD461" s="89"/>
      <c r="AE461" s="89"/>
      <c r="AF461" s="89"/>
      <c r="AG461" s="89"/>
      <c r="AH461" s="89"/>
      <c r="AI461" s="89"/>
      <c r="AJ461" s="89"/>
      <c r="AK461" s="89"/>
      <c r="AL461" s="89"/>
      <c r="AM461" s="89"/>
      <c r="AN461" s="89"/>
      <c r="BR461" s="180">
        <v>2049</v>
      </c>
      <c r="BS461" s="22">
        <v>35</v>
      </c>
      <c r="BT461" s="198">
        <f t="shared" si="231"/>
        <v>278.31413968072724</v>
      </c>
      <c r="BU461" s="198">
        <f t="shared" si="232"/>
        <v>209.52575142326765</v>
      </c>
      <c r="BV461" s="205">
        <f t="shared" si="233"/>
        <v>487.83989110399489</v>
      </c>
      <c r="BY461" s="180">
        <v>2049</v>
      </c>
      <c r="BZ461" s="22">
        <v>35</v>
      </c>
      <c r="CA461" s="198">
        <f t="shared" ca="1" si="234"/>
        <v>-73.190417650519237</v>
      </c>
      <c r="CB461" s="198">
        <f t="shared" ca="1" si="235"/>
        <v>370.32495044137994</v>
      </c>
      <c r="CC461" s="198">
        <f t="shared" ca="1" si="246"/>
        <v>192.55752398429016</v>
      </c>
      <c r="CD461" s="205">
        <f t="shared" ca="1" si="236"/>
        <v>489.69205677515083</v>
      </c>
      <c r="CG461" s="180">
        <v>2049</v>
      </c>
      <c r="CH461" s="22">
        <v>35</v>
      </c>
      <c r="CI461" s="198">
        <f t="shared" ca="1" si="237"/>
        <v>44.96473604681244</v>
      </c>
      <c r="CJ461" s="198">
        <f t="shared" ca="1" si="238"/>
        <v>-157.98106276736581</v>
      </c>
      <c r="CK461" s="198">
        <f t="shared" ca="1" si="239"/>
        <v>410.41514204164855</v>
      </c>
      <c r="CL461" s="198">
        <f t="shared" ca="1" si="240"/>
        <v>189.69194626360641</v>
      </c>
      <c r="CM461" s="205">
        <f t="shared" ca="1" si="241"/>
        <v>487.09076158470157</v>
      </c>
      <c r="CP461" s="180">
        <v>2049</v>
      </c>
      <c r="CQ461" s="22">
        <v>35</v>
      </c>
      <c r="CR461" s="198">
        <f t="shared" ca="1" si="242"/>
        <v>222.33137667214683</v>
      </c>
      <c r="CS461" s="198">
        <f t="shared" ca="1" si="243"/>
        <v>2.2067925036360725</v>
      </c>
      <c r="CT461" s="205">
        <f t="shared" ca="1" si="244"/>
        <v>490.63921536318156</v>
      </c>
      <c r="CZ461" s="164" t="b">
        <f t="shared" si="221"/>
        <v>1</v>
      </c>
      <c r="DA461" s="165" t="b">
        <f t="shared" si="221"/>
        <v>1</v>
      </c>
      <c r="DB461" s="166" t="b">
        <f t="shared" si="221"/>
        <v>1</v>
      </c>
      <c r="DC461" s="164">
        <f t="shared" si="222"/>
        <v>37</v>
      </c>
      <c r="DD461" s="166">
        <f t="shared" si="223"/>
        <v>440.58778293286593</v>
      </c>
      <c r="DE461" s="164">
        <f t="shared" si="224"/>
        <v>37</v>
      </c>
      <c r="DF461" s="166">
        <f t="shared" si="225"/>
        <v>499.0803620546684</v>
      </c>
      <c r="DG461" s="164">
        <f t="shared" si="226"/>
        <v>37</v>
      </c>
      <c r="DH461" s="166">
        <f t="shared" si="227"/>
        <v>557.57294117647086</v>
      </c>
      <c r="DI461" s="164">
        <f>IFERROR(INDEX(DC$422:DC$470,_xlfn.AGGREGATE(15,6,(ROW(DC$422:DC$470)-ROW(DC$422)+1)/(DC$422:DC$470&lt;&gt;""),ROWS(DI$1:DI40))),"")</f>
        <v>37</v>
      </c>
      <c r="DJ461" s="165">
        <f>IFERROR(INDEX(DD$422:DD$470,_xlfn.AGGREGATE(15,6,(ROW(DD$422:DD$470)-ROW(DD$422)+1)/(DD$422:DD$470&lt;&gt;""),ROWS(DJ$1:DJ40))),"")</f>
        <v>440.58778293286593</v>
      </c>
      <c r="DK461" s="166">
        <f t="shared" si="228"/>
        <v>461</v>
      </c>
      <c r="DL461" s="164">
        <f>IFERROR(INDEX(DE$422:DE$470,_xlfn.AGGREGATE(15,6,(ROW(DE$422:DE$470)-ROW(DE$422)+1)/(DE$422:DE$470&lt;&gt;""),ROWS(DL$1:DL40))),"")</f>
        <v>37</v>
      </c>
      <c r="DM461" s="165">
        <f>IFERROR(INDEX(DF$422:DF$470,_xlfn.AGGREGATE(15,6,(ROW(DF$422:DF$470)-ROW(DF$422)+1)/(DF$422:DF$470&lt;&gt;""),ROWS(DM$1:DM40))),"")</f>
        <v>499.0803620546684</v>
      </c>
      <c r="DN461" s="166">
        <f t="shared" si="229"/>
        <v>461</v>
      </c>
      <c r="DO461" s="164">
        <f>IFERROR(INDEX(DG$422:DG$470,_xlfn.AGGREGATE(15,6,(ROW(DG$422:DG$470)-ROW(DG$422)+1)/(DG$422:DG$470&lt;&gt;""),ROWS(DO$1:DO40))),"")</f>
        <v>37</v>
      </c>
      <c r="DP461" s="165">
        <f>IFERROR(INDEX(DH$422:DH$470,_xlfn.AGGREGATE(15,6,(ROW(DH$422:DH$470)-ROW(DH$422)+1)/(DH$422:DH$470&lt;&gt;""),ROWS(DP$1:DP40))),"")</f>
        <v>557.57294117647086</v>
      </c>
      <c r="DQ461" s="166">
        <f t="shared" si="230"/>
        <v>461</v>
      </c>
      <c r="DR461" s="65"/>
      <c r="DV461" s="145">
        <v>2054</v>
      </c>
      <c r="DW461" s="235">
        <f t="shared" ca="1" si="214"/>
        <v>519.514583046447</v>
      </c>
      <c r="EA461" s="55"/>
      <c r="EB461" s="55"/>
      <c r="EC461" s="55"/>
      <c r="ED461" s="55"/>
      <c r="EE461" s="55"/>
    </row>
    <row r="462" spans="2:135" ht="14.1" thickBot="1" x14ac:dyDescent="0.5">
      <c r="B462" s="128">
        <v>2052</v>
      </c>
      <c r="C462" s="1004">
        <v>444.0164816327329</v>
      </c>
      <c r="D462" s="987"/>
      <c r="E462" s="1006"/>
      <c r="F462" s="993"/>
      <c r="G462" s="247"/>
      <c r="H462" s="245"/>
      <c r="I462" s="1112">
        <v>567.68588235294123</v>
      </c>
      <c r="J462" s="247"/>
      <c r="K462" s="245"/>
      <c r="L462" s="246"/>
      <c r="M462" s="245"/>
      <c r="N462" s="29" t="s">
        <v>119</v>
      </c>
      <c r="O462" s="120"/>
      <c r="P462" s="120"/>
      <c r="Q462" s="120"/>
      <c r="R462" s="29">
        <v>38</v>
      </c>
      <c r="S462" s="238">
        <f t="shared" si="215"/>
        <v>444.0164816327329</v>
      </c>
      <c r="T462" s="238">
        <f t="shared" si="216"/>
        <v>567.68588235294123</v>
      </c>
      <c r="U462" s="238">
        <f t="shared" si="217"/>
        <v>61.834700360104172</v>
      </c>
      <c r="W462" s="238">
        <f t="shared" si="218"/>
        <v>444.01648163273285</v>
      </c>
      <c r="X462" s="238">
        <f t="shared" si="248"/>
        <v>505.85118199283704</v>
      </c>
      <c r="Y462" s="238">
        <f t="shared" si="220"/>
        <v>567.68588235294123</v>
      </c>
      <c r="AA462" s="89"/>
      <c r="AB462" s="89"/>
      <c r="AC462" s="89"/>
      <c r="AD462" s="89"/>
      <c r="AE462" s="89"/>
      <c r="AF462" s="89"/>
      <c r="AG462" s="89"/>
      <c r="AH462" s="89"/>
      <c r="AI462" s="89"/>
      <c r="AJ462" s="89"/>
      <c r="AK462" s="89"/>
      <c r="AL462" s="89"/>
      <c r="AM462" s="89"/>
      <c r="AN462" s="89"/>
      <c r="BR462" s="180">
        <v>2050</v>
      </c>
      <c r="BS462" s="22">
        <v>36</v>
      </c>
      <c r="BT462" s="198">
        <f t="shared" si="231"/>
        <v>286.26597224303373</v>
      </c>
      <c r="BU462" s="198">
        <f t="shared" si="232"/>
        <v>209.52575142326765</v>
      </c>
      <c r="BV462" s="212">
        <f t="shared" si="233"/>
        <v>495.79172366630138</v>
      </c>
      <c r="BY462" s="180">
        <v>2050</v>
      </c>
      <c r="BZ462" s="22">
        <v>36</v>
      </c>
      <c r="CA462" s="198">
        <f t="shared" ca="1" si="234"/>
        <v>-77.432474510263617</v>
      </c>
      <c r="CB462" s="198">
        <f t="shared" ca="1" si="235"/>
        <v>380.90566331113365</v>
      </c>
      <c r="CC462" s="198">
        <f t="shared" ca="1" si="246"/>
        <v>192.55752398429016</v>
      </c>
      <c r="CD462" s="212">
        <f t="shared" ca="1" si="236"/>
        <v>496.03071278516018</v>
      </c>
      <c r="CG462" s="180">
        <v>2050</v>
      </c>
      <c r="CH462" s="22">
        <v>36</v>
      </c>
      <c r="CI462" s="198">
        <f t="shared" ca="1" si="237"/>
        <v>48.930022740526674</v>
      </c>
      <c r="CJ462" s="198">
        <f t="shared" ca="1" si="238"/>
        <v>-167.13751620122946</v>
      </c>
      <c r="CK462" s="198">
        <f t="shared" ca="1" si="239"/>
        <v>422.14128895712417</v>
      </c>
      <c r="CL462" s="198">
        <f t="shared" ca="1" si="240"/>
        <v>189.69194626360641</v>
      </c>
      <c r="CM462" s="212">
        <f t="shared" ca="1" si="241"/>
        <v>493.62574176002784</v>
      </c>
      <c r="CP462" s="180">
        <v>2050</v>
      </c>
      <c r="CQ462" s="22">
        <v>36</v>
      </c>
      <c r="CR462" s="198">
        <f t="shared" ca="1" si="242"/>
        <v>222.33137667214683</v>
      </c>
      <c r="CS462" s="198">
        <f t="shared" ca="1" si="243"/>
        <v>2.2572686875144674</v>
      </c>
      <c r="CT462" s="212">
        <f t="shared" ca="1" si="244"/>
        <v>501.86165481402156</v>
      </c>
      <c r="CZ462" s="164" t="b">
        <f t="shared" ref="CZ462:DB470" si="249">ISNUMBER(W462)</f>
        <v>1</v>
      </c>
      <c r="DA462" s="165" t="b">
        <f t="shared" si="249"/>
        <v>1</v>
      </c>
      <c r="DB462" s="166" t="b">
        <f t="shared" si="249"/>
        <v>1</v>
      </c>
      <c r="DC462" s="164">
        <f t="shared" si="222"/>
        <v>38</v>
      </c>
      <c r="DD462" s="166">
        <f t="shared" si="223"/>
        <v>444.01648163273285</v>
      </c>
      <c r="DE462" s="164">
        <f t="shared" si="224"/>
        <v>38</v>
      </c>
      <c r="DF462" s="166">
        <f t="shared" si="225"/>
        <v>505.85118199283704</v>
      </c>
      <c r="DG462" s="164">
        <f t="shared" si="226"/>
        <v>38</v>
      </c>
      <c r="DH462" s="166">
        <f t="shared" si="227"/>
        <v>567.68588235294123</v>
      </c>
      <c r="DI462" s="164">
        <f>IFERROR(INDEX(DC$422:DC$470,_xlfn.AGGREGATE(15,6,(ROW(DC$422:DC$470)-ROW(DC$422)+1)/(DC$422:DC$470&lt;&gt;""),ROWS(DI$1:DI41))),"")</f>
        <v>38</v>
      </c>
      <c r="DJ462" s="165">
        <f>IFERROR(INDEX(DD$422:DD$470,_xlfn.AGGREGATE(15,6,(ROW(DD$422:DD$470)-ROW(DD$422)+1)/(DD$422:DD$470&lt;&gt;""),ROWS(DJ$1:DJ41))),"")</f>
        <v>444.01648163273285</v>
      </c>
      <c r="DK462" s="166">
        <f t="shared" si="228"/>
        <v>462</v>
      </c>
      <c r="DL462" s="164">
        <f>IFERROR(INDEX(DE$422:DE$470,_xlfn.AGGREGATE(15,6,(ROW(DE$422:DE$470)-ROW(DE$422)+1)/(DE$422:DE$470&lt;&gt;""),ROWS(DL$1:DL41))),"")</f>
        <v>38</v>
      </c>
      <c r="DM462" s="165">
        <f>IFERROR(INDEX(DF$422:DF$470,_xlfn.AGGREGATE(15,6,(ROW(DF$422:DF$470)-ROW(DF$422)+1)/(DF$422:DF$470&lt;&gt;""),ROWS(DM$1:DM41))),"")</f>
        <v>505.85118199283704</v>
      </c>
      <c r="DN462" s="166">
        <f t="shared" si="229"/>
        <v>462</v>
      </c>
      <c r="DO462" s="164">
        <f>IFERROR(INDEX(DG$422:DG$470,_xlfn.AGGREGATE(15,6,(ROW(DG$422:DG$470)-ROW(DG$422)+1)/(DG$422:DG$470&lt;&gt;""),ROWS(DO$1:DO41))),"")</f>
        <v>38</v>
      </c>
      <c r="DP462" s="165">
        <f>IFERROR(INDEX(DH$422:DH$470,_xlfn.AGGREGATE(15,6,(ROW(DH$422:DH$470)-ROW(DH$422)+1)/(DH$422:DH$470&lt;&gt;""),ROWS(DP$1:DP41))),"")</f>
        <v>567.68588235294123</v>
      </c>
      <c r="DQ462" s="166">
        <f t="shared" si="230"/>
        <v>462</v>
      </c>
      <c r="DR462" s="65"/>
      <c r="DV462" s="145">
        <v>2055</v>
      </c>
      <c r="DW462" s="235">
        <f t="shared" ca="1" si="214"/>
        <v>525.95548572031055</v>
      </c>
      <c r="EA462" s="55"/>
      <c r="EB462" s="55"/>
      <c r="EC462" s="55"/>
      <c r="ED462" s="55"/>
      <c r="EE462" s="55"/>
    </row>
    <row r="463" spans="2:135" ht="13.8" x14ac:dyDescent="0.45">
      <c r="B463" s="128">
        <v>2053</v>
      </c>
      <c r="C463" s="1004">
        <v>447.44518033259953</v>
      </c>
      <c r="D463" s="987"/>
      <c r="E463" s="1006"/>
      <c r="F463" s="993"/>
      <c r="G463" s="247"/>
      <c r="H463" s="245"/>
      <c r="I463" s="1112">
        <v>577.79882352941183</v>
      </c>
      <c r="J463" s="247"/>
      <c r="K463" s="245"/>
      <c r="L463" s="246"/>
      <c r="M463" s="245"/>
      <c r="N463" s="29" t="s">
        <v>119</v>
      </c>
      <c r="O463" s="120"/>
      <c r="P463" s="120"/>
      <c r="Q463" s="120"/>
      <c r="R463" s="29">
        <v>39</v>
      </c>
      <c r="S463" s="238">
        <f t="shared" si="215"/>
        <v>447.44518033259953</v>
      </c>
      <c r="T463" s="238">
        <f t="shared" si="216"/>
        <v>577.79882352941183</v>
      </c>
      <c r="U463" s="238">
        <f t="shared" si="217"/>
        <v>65.17682159840605</v>
      </c>
      <c r="W463" s="238">
        <f t="shared" si="218"/>
        <v>447.44518033259965</v>
      </c>
      <c r="X463" s="238">
        <f t="shared" si="248"/>
        <v>512.62200193100568</v>
      </c>
      <c r="Y463" s="238">
        <f t="shared" si="220"/>
        <v>577.79882352941172</v>
      </c>
      <c r="AA463" s="89"/>
      <c r="AB463" s="89"/>
      <c r="AC463" s="89"/>
      <c r="AD463" s="89"/>
      <c r="AE463" s="89"/>
      <c r="AF463" s="89"/>
      <c r="AG463" s="89"/>
      <c r="AH463" s="89"/>
      <c r="AI463" s="89"/>
      <c r="AJ463" s="89"/>
      <c r="AK463" s="89"/>
      <c r="AL463" s="89"/>
      <c r="AM463" s="89"/>
      <c r="AN463" s="89"/>
      <c r="BR463" s="180">
        <v>2051</v>
      </c>
      <c r="BS463" s="22">
        <v>37</v>
      </c>
      <c r="BT463" s="198">
        <f t="shared" si="231"/>
        <v>294.21780480534022</v>
      </c>
      <c r="BU463" s="198">
        <f t="shared" si="232"/>
        <v>209.52575142326765</v>
      </c>
      <c r="BV463" s="285">
        <f t="shared" si="233"/>
        <v>503.74355622860787</v>
      </c>
      <c r="BY463" s="180">
        <v>2051</v>
      </c>
      <c r="BZ463" s="22">
        <v>37</v>
      </c>
      <c r="CA463" s="198">
        <f t="shared" ca="1" si="234"/>
        <v>-81.79402592943741</v>
      </c>
      <c r="CB463" s="198">
        <f t="shared" ca="1" si="235"/>
        <v>391.48637618088736</v>
      </c>
      <c r="CC463" s="198">
        <f t="shared" ca="1" si="246"/>
        <v>192.55752398429016</v>
      </c>
      <c r="CD463" s="285">
        <f t="shared" ca="1" si="236"/>
        <v>502.24987423574009</v>
      </c>
      <c r="CG463" s="180">
        <v>2051</v>
      </c>
      <c r="CH463" s="22">
        <v>37</v>
      </c>
      <c r="CI463" s="198">
        <f t="shared" ca="1" si="237"/>
        <v>53.121837317298905</v>
      </c>
      <c r="CJ463" s="198">
        <f t="shared" ca="1" si="238"/>
        <v>-176.55189790083574</v>
      </c>
      <c r="CK463" s="198">
        <f t="shared" ca="1" si="239"/>
        <v>433.86743587259986</v>
      </c>
      <c r="CL463" s="198">
        <f t="shared" ca="1" si="240"/>
        <v>189.69194626360641</v>
      </c>
      <c r="CM463" s="285">
        <f t="shared" ca="1" si="241"/>
        <v>500.12932155266947</v>
      </c>
      <c r="CP463" s="180">
        <v>2051</v>
      </c>
      <c r="CQ463" s="22">
        <v>37</v>
      </c>
      <c r="CR463" s="198">
        <f t="shared" ca="1" si="242"/>
        <v>222.33137667214683</v>
      </c>
      <c r="CS463" s="198">
        <f t="shared" ca="1" si="243"/>
        <v>2.3088994181546121</v>
      </c>
      <c r="CT463" s="285">
        <f t="shared" ca="1" si="244"/>
        <v>513.34078623583366</v>
      </c>
      <c r="CZ463" s="164" t="b">
        <f t="shared" si="249"/>
        <v>1</v>
      </c>
      <c r="DA463" s="165" t="b">
        <f t="shared" si="249"/>
        <v>1</v>
      </c>
      <c r="DB463" s="166" t="b">
        <f t="shared" si="249"/>
        <v>1</v>
      </c>
      <c r="DC463" s="164">
        <f t="shared" si="222"/>
        <v>39</v>
      </c>
      <c r="DD463" s="166">
        <f t="shared" si="223"/>
        <v>447.44518033259965</v>
      </c>
      <c r="DE463" s="164">
        <f t="shared" si="224"/>
        <v>39</v>
      </c>
      <c r="DF463" s="166">
        <f t="shared" si="225"/>
        <v>512.62200193100568</v>
      </c>
      <c r="DG463" s="164">
        <f t="shared" si="226"/>
        <v>39</v>
      </c>
      <c r="DH463" s="166">
        <f t="shared" si="227"/>
        <v>577.79882352941172</v>
      </c>
      <c r="DI463" s="164">
        <f>IFERROR(INDEX(DC$422:DC$470,_xlfn.AGGREGATE(15,6,(ROW(DC$422:DC$470)-ROW(DC$422)+1)/(DC$422:DC$470&lt;&gt;""),ROWS(DI$1:DI42))),"")</f>
        <v>39</v>
      </c>
      <c r="DJ463" s="165">
        <f>IFERROR(INDEX(DD$422:DD$470,_xlfn.AGGREGATE(15,6,(ROW(DD$422:DD$470)-ROW(DD$422)+1)/(DD$422:DD$470&lt;&gt;""),ROWS(DJ$1:DJ42))),"")</f>
        <v>447.44518033259965</v>
      </c>
      <c r="DK463" s="166">
        <f t="shared" si="228"/>
        <v>463</v>
      </c>
      <c r="DL463" s="164">
        <f>IFERROR(INDEX(DE$422:DE$470,_xlfn.AGGREGATE(15,6,(ROW(DE$422:DE$470)-ROW(DE$422)+1)/(DE$422:DE$470&lt;&gt;""),ROWS(DL$1:DL42))),"")</f>
        <v>39</v>
      </c>
      <c r="DM463" s="165">
        <f>IFERROR(INDEX(DF$422:DF$470,_xlfn.AGGREGATE(15,6,(ROW(DF$422:DF$470)-ROW(DF$422)+1)/(DF$422:DF$470&lt;&gt;""),ROWS(DM$1:DM42))),"")</f>
        <v>512.62200193100568</v>
      </c>
      <c r="DN463" s="166">
        <f t="shared" si="229"/>
        <v>463</v>
      </c>
      <c r="DO463" s="164">
        <f>IFERROR(INDEX(DG$422:DG$470,_xlfn.AGGREGATE(15,6,(ROW(DG$422:DG$470)-ROW(DG$422)+1)/(DG$422:DG$470&lt;&gt;""),ROWS(DO$1:DO42))),"")</f>
        <v>39</v>
      </c>
      <c r="DP463" s="165">
        <f>IFERROR(INDEX(DH$422:DH$470,_xlfn.AGGREGATE(15,6,(ROW(DH$422:DH$470)-ROW(DH$422)+1)/(DH$422:DH$470&lt;&gt;""),ROWS(DP$1:DP42))),"")</f>
        <v>577.79882352941172</v>
      </c>
      <c r="DQ463" s="166">
        <f t="shared" si="230"/>
        <v>463</v>
      </c>
      <c r="DR463" s="65"/>
      <c r="DV463" s="145">
        <v>2056</v>
      </c>
      <c r="DW463" s="235">
        <f t="shared" ca="1" si="214"/>
        <v>532.39645021746981</v>
      </c>
      <c r="EA463" s="55"/>
      <c r="EB463" s="55"/>
      <c r="EC463" s="55"/>
      <c r="ED463" s="55"/>
      <c r="EE463" s="55"/>
    </row>
    <row r="464" spans="2:135" ht="13.8" x14ac:dyDescent="0.45">
      <c r="B464" s="128">
        <v>2054</v>
      </c>
      <c r="C464" s="1004">
        <v>450.87387903246622</v>
      </c>
      <c r="D464" s="987"/>
      <c r="E464" s="1006"/>
      <c r="F464" s="993"/>
      <c r="G464" s="247"/>
      <c r="H464" s="245"/>
      <c r="I464" s="1112">
        <v>587.91176470588232</v>
      </c>
      <c r="J464" s="247"/>
      <c r="K464" s="245"/>
      <c r="L464" s="246"/>
      <c r="M464" s="245"/>
      <c r="N464" s="29" t="s">
        <v>119</v>
      </c>
      <c r="O464" s="120"/>
      <c r="P464" s="120"/>
      <c r="Q464" s="120"/>
      <c r="R464" s="29">
        <v>40</v>
      </c>
      <c r="S464" s="238">
        <f t="shared" si="215"/>
        <v>450.87387903246622</v>
      </c>
      <c r="T464" s="238">
        <f t="shared" si="216"/>
        <v>587.91176470588232</v>
      </c>
      <c r="U464" s="238">
        <f t="shared" si="217"/>
        <v>68.518942836708732</v>
      </c>
      <c r="W464" s="238">
        <f t="shared" si="218"/>
        <v>450.87387903246548</v>
      </c>
      <c r="X464" s="238">
        <f t="shared" si="248"/>
        <v>519.39282186917421</v>
      </c>
      <c r="Y464" s="238">
        <f t="shared" si="220"/>
        <v>587.91176470588289</v>
      </c>
      <c r="AA464" s="89"/>
      <c r="AB464" s="89"/>
      <c r="AC464" s="89"/>
      <c r="AD464" s="89"/>
      <c r="AE464" s="89"/>
      <c r="AF464" s="89"/>
      <c r="AG464" s="89"/>
      <c r="AH464" s="89"/>
      <c r="AI464" s="89"/>
      <c r="AJ464" s="89"/>
      <c r="AK464" s="89"/>
      <c r="AL464" s="89"/>
      <c r="AM464" s="89"/>
      <c r="AN464" s="89"/>
      <c r="BR464" s="180">
        <v>2052</v>
      </c>
      <c r="BS464" s="22">
        <v>38</v>
      </c>
      <c r="BT464" s="198">
        <f t="shared" si="231"/>
        <v>302.16963736764671</v>
      </c>
      <c r="BU464" s="198">
        <f t="shared" si="232"/>
        <v>209.52575142326765</v>
      </c>
      <c r="BV464" s="241">
        <f t="shared" si="233"/>
        <v>511.69538879091436</v>
      </c>
      <c r="BY464" s="180">
        <v>2052</v>
      </c>
      <c r="BZ464" s="22">
        <v>38</v>
      </c>
      <c r="CA464" s="198">
        <f t="shared" ca="1" si="234"/>
        <v>-86.27507190804063</v>
      </c>
      <c r="CB464" s="198">
        <f t="shared" ca="1" si="235"/>
        <v>402.06708905064107</v>
      </c>
      <c r="CC464" s="198">
        <f t="shared" ca="1" si="246"/>
        <v>192.55752398429016</v>
      </c>
      <c r="CD464" s="241">
        <f t="shared" ca="1" si="236"/>
        <v>508.34954112689059</v>
      </c>
      <c r="CG464" s="180">
        <v>2052</v>
      </c>
      <c r="CH464" s="22">
        <v>38</v>
      </c>
      <c r="CI464" s="198">
        <f t="shared" ca="1" si="237"/>
        <v>57.546472218325185</v>
      </c>
      <c r="CJ464" s="198">
        <f t="shared" ca="1" si="238"/>
        <v>-186.22420786618468</v>
      </c>
      <c r="CK464" s="198">
        <f t="shared" ca="1" si="239"/>
        <v>445.59358278807554</v>
      </c>
      <c r="CL464" s="198">
        <f t="shared" ca="1" si="240"/>
        <v>189.69194626360641</v>
      </c>
      <c r="CM464" s="241">
        <f t="shared" ca="1" si="241"/>
        <v>506.60779340382248</v>
      </c>
      <c r="CP464" s="180">
        <v>2052</v>
      </c>
      <c r="CQ464" s="22">
        <v>38</v>
      </c>
      <c r="CR464" s="198">
        <f t="shared" ca="1" si="242"/>
        <v>222.33137667214683</v>
      </c>
      <c r="CS464" s="198">
        <f t="shared" ca="1" si="243"/>
        <v>2.3617111036191334</v>
      </c>
      <c r="CT464" s="241">
        <f t="shared" ca="1" si="244"/>
        <v>525.08248096953719</v>
      </c>
      <c r="CZ464" s="164" t="b">
        <f t="shared" si="249"/>
        <v>1</v>
      </c>
      <c r="DA464" s="165" t="b">
        <f t="shared" si="249"/>
        <v>1</v>
      </c>
      <c r="DB464" s="166" t="b">
        <f t="shared" si="249"/>
        <v>1</v>
      </c>
      <c r="DC464" s="164">
        <f t="shared" si="222"/>
        <v>40</v>
      </c>
      <c r="DD464" s="166">
        <f t="shared" si="223"/>
        <v>450.87387903246548</v>
      </c>
      <c r="DE464" s="164">
        <f t="shared" si="224"/>
        <v>40</v>
      </c>
      <c r="DF464" s="166">
        <f t="shared" si="225"/>
        <v>519.39282186917421</v>
      </c>
      <c r="DG464" s="164">
        <f t="shared" si="226"/>
        <v>40</v>
      </c>
      <c r="DH464" s="166">
        <f t="shared" si="227"/>
        <v>587.91176470588289</v>
      </c>
      <c r="DI464" s="164">
        <f>IFERROR(INDEX(DC$422:DC$470,_xlfn.AGGREGATE(15,6,(ROW(DC$422:DC$470)-ROW(DC$422)+1)/(DC$422:DC$470&lt;&gt;""),ROWS(DI$1:DI43))),"")</f>
        <v>40</v>
      </c>
      <c r="DJ464" s="165">
        <f>IFERROR(INDEX(DD$422:DD$470,_xlfn.AGGREGATE(15,6,(ROW(DD$422:DD$470)-ROW(DD$422)+1)/(DD$422:DD$470&lt;&gt;""),ROWS(DJ$1:DJ43))),"")</f>
        <v>450.87387903246548</v>
      </c>
      <c r="DK464" s="166">
        <f t="shared" si="228"/>
        <v>464</v>
      </c>
      <c r="DL464" s="164">
        <f>IFERROR(INDEX(DE$422:DE$470,_xlfn.AGGREGATE(15,6,(ROW(DE$422:DE$470)-ROW(DE$422)+1)/(DE$422:DE$470&lt;&gt;""),ROWS(DL$1:DL43))),"")</f>
        <v>40</v>
      </c>
      <c r="DM464" s="165">
        <f>IFERROR(INDEX(DF$422:DF$470,_xlfn.AGGREGATE(15,6,(ROW(DF$422:DF$470)-ROW(DF$422)+1)/(DF$422:DF$470&lt;&gt;""),ROWS(DM$1:DM43))),"")</f>
        <v>519.39282186917421</v>
      </c>
      <c r="DN464" s="166">
        <f t="shared" si="229"/>
        <v>464</v>
      </c>
      <c r="DO464" s="164">
        <f>IFERROR(INDEX(DG$422:DG$470,_xlfn.AGGREGATE(15,6,(ROW(DG$422:DG$470)-ROW(DG$422)+1)/(DG$422:DG$470&lt;&gt;""),ROWS(DO$1:DO43))),"")</f>
        <v>40</v>
      </c>
      <c r="DP464" s="165">
        <f>IFERROR(INDEX(DH$422:DH$470,_xlfn.AGGREGATE(15,6,(ROW(DH$422:DH$470)-ROW(DH$422)+1)/(DH$422:DH$470&lt;&gt;""),ROWS(DP$1:DP43))),"")</f>
        <v>587.91176470588289</v>
      </c>
      <c r="DQ464" s="166">
        <f t="shared" si="230"/>
        <v>464</v>
      </c>
      <c r="DR464" s="65"/>
      <c r="DV464" s="145">
        <v>2057</v>
      </c>
      <c r="DW464" s="235">
        <f t="shared" ca="1" si="214"/>
        <v>538.84376897912068</v>
      </c>
      <c r="EA464" s="55"/>
      <c r="EB464" s="55"/>
      <c r="EC464" s="55"/>
      <c r="ED464" s="55"/>
      <c r="EE464" s="55"/>
    </row>
    <row r="465" spans="1:135" ht="13.8" x14ac:dyDescent="0.45">
      <c r="B465" s="128">
        <v>2055</v>
      </c>
      <c r="C465" s="1004">
        <v>454.30257773233291</v>
      </c>
      <c r="D465" s="987"/>
      <c r="E465" s="1006"/>
      <c r="F465" s="993"/>
      <c r="G465" s="247"/>
      <c r="H465" s="245"/>
      <c r="I465" s="1112">
        <v>598.02470588235292</v>
      </c>
      <c r="J465" s="247"/>
      <c r="K465" s="245"/>
      <c r="L465" s="246"/>
      <c r="M465" s="245"/>
      <c r="N465" s="29" t="s">
        <v>119</v>
      </c>
      <c r="O465" s="120"/>
      <c r="P465" s="120"/>
      <c r="Q465" s="120"/>
      <c r="R465" s="29">
        <v>41</v>
      </c>
      <c r="S465" s="238">
        <f t="shared" si="215"/>
        <v>454.30257773233291</v>
      </c>
      <c r="T465" s="238">
        <f t="shared" si="216"/>
        <v>598.02470588235292</v>
      </c>
      <c r="U465" s="238">
        <f t="shared" si="217"/>
        <v>71.861064075010674</v>
      </c>
      <c r="W465" s="238">
        <f t="shared" si="218"/>
        <v>454.30257773233217</v>
      </c>
      <c r="X465" s="238">
        <f t="shared" si="248"/>
        <v>526.16364180734286</v>
      </c>
      <c r="Y465" s="238">
        <f t="shared" si="220"/>
        <v>598.02470588235349</v>
      </c>
      <c r="AA465" s="89"/>
      <c r="AB465" s="89"/>
      <c r="AC465" s="89"/>
      <c r="AD465" s="89"/>
      <c r="AE465" s="89"/>
      <c r="AF465" s="89"/>
      <c r="AG465" s="89"/>
      <c r="AH465" s="89"/>
      <c r="AI465" s="89"/>
      <c r="AJ465" s="89"/>
      <c r="AK465" s="89"/>
      <c r="AL465" s="89"/>
      <c r="AM465" s="89"/>
      <c r="AN465" s="89"/>
      <c r="BR465" s="180">
        <v>2053</v>
      </c>
      <c r="BS465" s="22">
        <v>39</v>
      </c>
      <c r="BT465" s="198">
        <f t="shared" si="231"/>
        <v>310.12146992995321</v>
      </c>
      <c r="BU465" s="198">
        <f t="shared" si="232"/>
        <v>209.52575142326765</v>
      </c>
      <c r="BV465" s="241">
        <f t="shared" si="233"/>
        <v>519.64722135322086</v>
      </c>
      <c r="BY465" s="180">
        <v>2053</v>
      </c>
      <c r="BZ465" s="22">
        <v>39</v>
      </c>
      <c r="CA465" s="198">
        <f t="shared" ca="1" si="234"/>
        <v>-90.875612446073262</v>
      </c>
      <c r="CB465" s="198">
        <f t="shared" ca="1" si="235"/>
        <v>412.64780192039478</v>
      </c>
      <c r="CC465" s="198">
        <f t="shared" ca="1" si="246"/>
        <v>192.55752398429016</v>
      </c>
      <c r="CD465" s="241">
        <f t="shared" ca="1" si="236"/>
        <v>514.32971345861165</v>
      </c>
      <c r="CG465" s="180">
        <v>2053</v>
      </c>
      <c r="CH465" s="22">
        <v>39</v>
      </c>
      <c r="CI465" s="198">
        <f t="shared" ca="1" si="237"/>
        <v>62.210219884801568</v>
      </c>
      <c r="CJ465" s="198">
        <f t="shared" ca="1" si="238"/>
        <v>-196.15444609727624</v>
      </c>
      <c r="CK465" s="198">
        <f t="shared" ca="1" si="239"/>
        <v>457.31972970355122</v>
      </c>
      <c r="CL465" s="198">
        <f t="shared" ca="1" si="240"/>
        <v>189.69194626360641</v>
      </c>
      <c r="CM465" s="241">
        <f t="shared" ca="1" si="241"/>
        <v>513.06744975468291</v>
      </c>
      <c r="CP465" s="180">
        <v>2053</v>
      </c>
      <c r="CQ465" s="22">
        <v>39</v>
      </c>
      <c r="CR465" s="198">
        <f t="shared" ca="1" si="242"/>
        <v>222.33137667214683</v>
      </c>
      <c r="CS465" s="198">
        <f t="shared" ca="1" si="243"/>
        <v>2.415730756004896</v>
      </c>
      <c r="CT465" s="241">
        <f t="shared" ca="1" si="244"/>
        <v>537.09274465181454</v>
      </c>
      <c r="CZ465" s="164" t="b">
        <f t="shared" si="249"/>
        <v>1</v>
      </c>
      <c r="DA465" s="165" t="b">
        <f t="shared" si="249"/>
        <v>1</v>
      </c>
      <c r="DB465" s="166" t="b">
        <f t="shared" si="249"/>
        <v>1</v>
      </c>
      <c r="DC465" s="164">
        <f t="shared" si="222"/>
        <v>41</v>
      </c>
      <c r="DD465" s="166">
        <f t="shared" si="223"/>
        <v>454.30257773233217</v>
      </c>
      <c r="DE465" s="164">
        <f t="shared" si="224"/>
        <v>41</v>
      </c>
      <c r="DF465" s="166">
        <f t="shared" si="225"/>
        <v>526.16364180734286</v>
      </c>
      <c r="DG465" s="164">
        <f t="shared" si="226"/>
        <v>41</v>
      </c>
      <c r="DH465" s="166">
        <f t="shared" si="227"/>
        <v>598.02470588235349</v>
      </c>
      <c r="DI465" s="164">
        <f>IFERROR(INDEX(DC$422:DC$470,_xlfn.AGGREGATE(15,6,(ROW(DC$422:DC$470)-ROW(DC$422)+1)/(DC$422:DC$470&lt;&gt;""),ROWS(DI$1:DI44))),"")</f>
        <v>41</v>
      </c>
      <c r="DJ465" s="165">
        <f>IFERROR(INDEX(DD$422:DD$470,_xlfn.AGGREGATE(15,6,(ROW(DD$422:DD$470)-ROW(DD$422)+1)/(DD$422:DD$470&lt;&gt;""),ROWS(DJ$1:DJ44))),"")</f>
        <v>454.30257773233217</v>
      </c>
      <c r="DK465" s="166">
        <f t="shared" si="228"/>
        <v>465</v>
      </c>
      <c r="DL465" s="164">
        <f>IFERROR(INDEX(DE$422:DE$470,_xlfn.AGGREGATE(15,6,(ROW(DE$422:DE$470)-ROW(DE$422)+1)/(DE$422:DE$470&lt;&gt;""),ROWS(DL$1:DL44))),"")</f>
        <v>41</v>
      </c>
      <c r="DM465" s="165">
        <f>IFERROR(INDEX(DF$422:DF$470,_xlfn.AGGREGATE(15,6,(ROW(DF$422:DF$470)-ROW(DF$422)+1)/(DF$422:DF$470&lt;&gt;""),ROWS(DM$1:DM44))),"")</f>
        <v>526.16364180734286</v>
      </c>
      <c r="DN465" s="166">
        <f t="shared" si="229"/>
        <v>465</v>
      </c>
      <c r="DO465" s="164">
        <f>IFERROR(INDEX(DG$422:DG$470,_xlfn.AGGREGATE(15,6,(ROW(DG$422:DG$470)-ROW(DG$422)+1)/(DG$422:DG$470&lt;&gt;""),ROWS(DO$1:DO44))),"")</f>
        <v>41</v>
      </c>
      <c r="DP465" s="165">
        <f>IFERROR(INDEX(DH$422:DH$470,_xlfn.AGGREGATE(15,6,(ROW(DH$422:DH$470)-ROW(DH$422)+1)/(DH$422:DH$470&lt;&gt;""),ROWS(DP$1:DP44))),"")</f>
        <v>598.02470588235349</v>
      </c>
      <c r="DQ465" s="166">
        <f t="shared" si="230"/>
        <v>465</v>
      </c>
      <c r="DR465" s="65"/>
      <c r="DV465" s="145">
        <v>2058</v>
      </c>
      <c r="DW465" s="235">
        <f t="shared" ca="1" si="214"/>
        <v>545.30373444645943</v>
      </c>
      <c r="EA465" s="55"/>
      <c r="EB465" s="55"/>
      <c r="EC465" s="55"/>
      <c r="ED465" s="55"/>
      <c r="EE465" s="55"/>
    </row>
    <row r="466" spans="1:135" ht="13.8" x14ac:dyDescent="0.45">
      <c r="B466" s="128">
        <v>2056</v>
      </c>
      <c r="C466" s="1004">
        <v>457.73127643219959</v>
      </c>
      <c r="D466" s="987"/>
      <c r="E466" s="1006"/>
      <c r="F466" s="994"/>
      <c r="G466" s="247"/>
      <c r="H466" s="245"/>
      <c r="I466" s="1112">
        <v>608.13764705882352</v>
      </c>
      <c r="J466" s="247"/>
      <c r="K466" s="245"/>
      <c r="L466" s="246"/>
      <c r="M466" s="245"/>
      <c r="N466" s="29" t="s">
        <v>119</v>
      </c>
      <c r="O466" s="120"/>
      <c r="P466" s="120"/>
      <c r="Q466" s="120"/>
      <c r="R466" s="29">
        <v>42</v>
      </c>
      <c r="S466" s="238">
        <f t="shared" si="215"/>
        <v>457.73127643219959</v>
      </c>
      <c r="T466" s="238">
        <f t="shared" si="216"/>
        <v>608.13764705882352</v>
      </c>
      <c r="U466" s="238">
        <f t="shared" si="217"/>
        <v>75.203185313312375</v>
      </c>
      <c r="W466" s="238">
        <f t="shared" si="218"/>
        <v>457.73127643219914</v>
      </c>
      <c r="X466" s="238">
        <f t="shared" si="248"/>
        <v>532.9344617455115</v>
      </c>
      <c r="Y466" s="238">
        <f t="shared" si="220"/>
        <v>608.13764705882386</v>
      </c>
      <c r="AA466" s="89"/>
      <c r="AB466" s="89"/>
      <c r="AC466" s="89"/>
      <c r="AD466" s="89"/>
      <c r="AE466" s="89"/>
      <c r="AF466" s="89"/>
      <c r="AG466" s="89"/>
      <c r="AH466" s="89"/>
      <c r="AI466" s="89"/>
      <c r="AJ466" s="89"/>
      <c r="AK466" s="89"/>
      <c r="AL466" s="89"/>
      <c r="AM466" s="89"/>
      <c r="AN466" s="89"/>
      <c r="BR466" s="180">
        <v>2054</v>
      </c>
      <c r="BS466" s="22">
        <v>40</v>
      </c>
      <c r="BT466" s="198">
        <f t="shared" si="231"/>
        <v>318.0733024922597</v>
      </c>
      <c r="BU466" s="198">
        <f t="shared" si="232"/>
        <v>209.52575142326765</v>
      </c>
      <c r="BV466" s="241">
        <f t="shared" si="233"/>
        <v>527.59905391552729</v>
      </c>
      <c r="BY466" s="180">
        <v>2054</v>
      </c>
      <c r="BZ466" s="22">
        <v>40</v>
      </c>
      <c r="CA466" s="198">
        <f t="shared" ca="1" si="234"/>
        <v>-95.595647543535321</v>
      </c>
      <c r="CB466" s="198">
        <f t="shared" ca="1" si="235"/>
        <v>423.22851479014849</v>
      </c>
      <c r="CC466" s="198">
        <f t="shared" ca="1" si="246"/>
        <v>192.55752398429016</v>
      </c>
      <c r="CD466" s="241">
        <f t="shared" ca="1" si="236"/>
        <v>520.19039123090329</v>
      </c>
      <c r="CG466" s="180">
        <v>2054</v>
      </c>
      <c r="CH466" s="22">
        <v>40</v>
      </c>
      <c r="CI466" s="198">
        <f t="shared" ca="1" si="237"/>
        <v>67.119372757924111</v>
      </c>
      <c r="CJ466" s="198">
        <f t="shared" ca="1" si="238"/>
        <v>-206.34261259411045</v>
      </c>
      <c r="CK466" s="198">
        <f t="shared" ca="1" si="239"/>
        <v>469.0458766190269</v>
      </c>
      <c r="CL466" s="198">
        <f t="shared" ca="1" si="240"/>
        <v>189.69194626360641</v>
      </c>
      <c r="CM466" s="241">
        <f t="shared" ca="1" si="241"/>
        <v>519.514583046447</v>
      </c>
      <c r="CP466" s="180">
        <v>2054</v>
      </c>
      <c r="CQ466" s="22">
        <v>40</v>
      </c>
      <c r="CR466" s="198">
        <f t="shared" ca="1" si="242"/>
        <v>222.33137667214683</v>
      </c>
      <c r="CS466" s="198">
        <f t="shared" ca="1" si="243"/>
        <v>2.4709860052591353</v>
      </c>
      <c r="CT466" s="241">
        <f t="shared" ca="1" si="244"/>
        <v>549.3777202868722</v>
      </c>
      <c r="CZ466" s="164" t="b">
        <f t="shared" si="249"/>
        <v>1</v>
      </c>
      <c r="DA466" s="165" t="b">
        <f t="shared" si="249"/>
        <v>1</v>
      </c>
      <c r="DB466" s="166" t="b">
        <f t="shared" si="249"/>
        <v>1</v>
      </c>
      <c r="DC466" s="164">
        <f t="shared" si="222"/>
        <v>42</v>
      </c>
      <c r="DD466" s="166">
        <f t="shared" si="223"/>
        <v>457.73127643219914</v>
      </c>
      <c r="DE466" s="164">
        <f t="shared" si="224"/>
        <v>42</v>
      </c>
      <c r="DF466" s="166">
        <f t="shared" si="225"/>
        <v>532.9344617455115</v>
      </c>
      <c r="DG466" s="164">
        <f t="shared" si="226"/>
        <v>42</v>
      </c>
      <c r="DH466" s="166">
        <f t="shared" si="227"/>
        <v>608.13764705882386</v>
      </c>
      <c r="DI466" s="164">
        <f>IFERROR(INDEX(DC$422:DC$470,_xlfn.AGGREGATE(15,6,(ROW(DC$422:DC$470)-ROW(DC$422)+1)/(DC$422:DC$470&lt;&gt;""),ROWS(DI$1:DI45))),"")</f>
        <v>42</v>
      </c>
      <c r="DJ466" s="165">
        <f>IFERROR(INDEX(DD$422:DD$470,_xlfn.AGGREGATE(15,6,(ROW(DD$422:DD$470)-ROW(DD$422)+1)/(DD$422:DD$470&lt;&gt;""),ROWS(DJ$1:DJ45))),"")</f>
        <v>457.73127643219914</v>
      </c>
      <c r="DK466" s="166">
        <f t="shared" si="228"/>
        <v>466</v>
      </c>
      <c r="DL466" s="164">
        <f>IFERROR(INDEX(DE$422:DE$470,_xlfn.AGGREGATE(15,6,(ROW(DE$422:DE$470)-ROW(DE$422)+1)/(DE$422:DE$470&lt;&gt;""),ROWS(DL$1:DL45))),"")</f>
        <v>42</v>
      </c>
      <c r="DM466" s="165">
        <f>IFERROR(INDEX(DF$422:DF$470,_xlfn.AGGREGATE(15,6,(ROW(DF$422:DF$470)-ROW(DF$422)+1)/(DF$422:DF$470&lt;&gt;""),ROWS(DM$1:DM45))),"")</f>
        <v>532.9344617455115</v>
      </c>
      <c r="DN466" s="166">
        <f t="shared" si="229"/>
        <v>466</v>
      </c>
      <c r="DO466" s="164">
        <f>IFERROR(INDEX(DG$422:DG$470,_xlfn.AGGREGATE(15,6,(ROW(DG$422:DG$470)-ROW(DG$422)+1)/(DG$422:DG$470&lt;&gt;""),ROWS(DO$1:DO45))),"")</f>
        <v>42</v>
      </c>
      <c r="DP466" s="165">
        <f>IFERROR(INDEX(DH$422:DH$470,_xlfn.AGGREGATE(15,6,(ROW(DH$422:DH$470)-ROW(DH$422)+1)/(DH$422:DH$470&lt;&gt;""),ROWS(DP$1:DP45))),"")</f>
        <v>608.13764705882386</v>
      </c>
      <c r="DQ466" s="166">
        <f t="shared" si="230"/>
        <v>466</v>
      </c>
      <c r="DR466" s="65"/>
      <c r="DV466" s="145">
        <v>2059</v>
      </c>
      <c r="DW466" s="235">
        <f t="shared" ca="1" si="214"/>
        <v>551.78263906068184</v>
      </c>
      <c r="EA466" s="55"/>
      <c r="EB466" s="55"/>
      <c r="EC466" s="55"/>
      <c r="ED466" s="55"/>
      <c r="EE466" s="55"/>
    </row>
    <row r="467" spans="1:135" ht="13.8" x14ac:dyDescent="0.45">
      <c r="B467" s="128">
        <v>2057</v>
      </c>
      <c r="C467" s="1004">
        <v>461.15997513206622</v>
      </c>
      <c r="D467" s="987"/>
      <c r="E467" s="1006"/>
      <c r="F467" s="994"/>
      <c r="G467" s="247"/>
      <c r="H467" s="245"/>
      <c r="I467" s="1112">
        <v>618.25058823529412</v>
      </c>
      <c r="J467" s="247"/>
      <c r="K467" s="245"/>
      <c r="L467" s="246"/>
      <c r="M467" s="245"/>
      <c r="N467" s="29" t="s">
        <v>119</v>
      </c>
      <c r="O467" s="120"/>
      <c r="P467" s="120"/>
      <c r="Q467" s="120"/>
      <c r="R467" s="29">
        <v>43</v>
      </c>
      <c r="S467" s="238">
        <f t="shared" si="215"/>
        <v>461.15997513206622</v>
      </c>
      <c r="T467" s="238">
        <f t="shared" si="216"/>
        <v>618.25058823529412</v>
      </c>
      <c r="U467" s="238">
        <f t="shared" si="217"/>
        <v>78.545306551614217</v>
      </c>
      <c r="W467" s="238">
        <f t="shared" si="218"/>
        <v>461.15997513206594</v>
      </c>
      <c r="X467" s="238">
        <f t="shared" si="248"/>
        <v>539.70528168368014</v>
      </c>
      <c r="Y467" s="238">
        <f t="shared" si="220"/>
        <v>618.25058823529434</v>
      </c>
      <c r="AA467" s="89"/>
      <c r="AB467" s="89"/>
      <c r="AC467" s="89"/>
      <c r="AD467" s="89"/>
      <c r="AE467" s="89"/>
      <c r="AF467" s="89"/>
      <c r="AG467" s="89"/>
      <c r="AH467" s="89"/>
      <c r="AI467" s="89"/>
      <c r="AJ467" s="89"/>
      <c r="AK467" s="89"/>
      <c r="AL467" s="89"/>
      <c r="AM467" s="89"/>
      <c r="AN467" s="89"/>
      <c r="BR467" s="180">
        <v>2055</v>
      </c>
      <c r="BS467" s="22">
        <v>41</v>
      </c>
      <c r="BT467" s="198">
        <f t="shared" si="231"/>
        <v>326.02513505456619</v>
      </c>
      <c r="BU467" s="198">
        <f t="shared" si="232"/>
        <v>209.52575142326765</v>
      </c>
      <c r="BV467" s="241">
        <f t="shared" si="233"/>
        <v>535.55088647783384</v>
      </c>
      <c r="BY467" s="180">
        <v>2055</v>
      </c>
      <c r="BZ467" s="22">
        <v>41</v>
      </c>
      <c r="CA467" s="198">
        <f t="shared" ca="1" si="234"/>
        <v>-100.43517720042679</v>
      </c>
      <c r="CB467" s="198">
        <f t="shared" ca="1" si="235"/>
        <v>433.80922765990221</v>
      </c>
      <c r="CC467" s="198">
        <f t="shared" ca="1" si="246"/>
        <v>192.55752398429016</v>
      </c>
      <c r="CD467" s="241">
        <f t="shared" ca="1" si="236"/>
        <v>525.93157444376561</v>
      </c>
      <c r="CG467" s="180">
        <v>2055</v>
      </c>
      <c r="CH467" s="22">
        <v>41</v>
      </c>
      <c r="CI467" s="198">
        <f t="shared" ca="1" si="237"/>
        <v>72.280223278888869</v>
      </c>
      <c r="CJ467" s="198">
        <f t="shared" ca="1" si="238"/>
        <v>-216.78870735668727</v>
      </c>
      <c r="CK467" s="198">
        <f t="shared" ca="1" si="239"/>
        <v>480.77202353450258</v>
      </c>
      <c r="CL467" s="198">
        <f t="shared" ca="1" si="240"/>
        <v>189.69194626360641</v>
      </c>
      <c r="CM467" s="241">
        <f t="shared" ca="1" si="241"/>
        <v>525.95548572031055</v>
      </c>
      <c r="CP467" s="180">
        <v>2055</v>
      </c>
      <c r="CQ467" s="22">
        <v>41</v>
      </c>
      <c r="CR467" s="198">
        <f t="shared" ca="1" si="242"/>
        <v>222.33137667214683</v>
      </c>
      <c r="CS467" s="198">
        <f t="shared" ca="1" si="243"/>
        <v>2.5275051133116113</v>
      </c>
      <c r="CT467" s="241">
        <f t="shared" ca="1" si="244"/>
        <v>561.94369138846105</v>
      </c>
      <c r="CZ467" s="164" t="b">
        <f t="shared" si="249"/>
        <v>1</v>
      </c>
      <c r="DA467" s="165" t="b">
        <f t="shared" si="249"/>
        <v>1</v>
      </c>
      <c r="DB467" s="166" t="b">
        <f t="shared" si="249"/>
        <v>1</v>
      </c>
      <c r="DC467" s="164">
        <f t="shared" si="222"/>
        <v>43</v>
      </c>
      <c r="DD467" s="166">
        <f t="shared" si="223"/>
        <v>461.15997513206594</v>
      </c>
      <c r="DE467" s="164">
        <f t="shared" si="224"/>
        <v>43</v>
      </c>
      <c r="DF467" s="166">
        <f t="shared" si="225"/>
        <v>539.70528168368014</v>
      </c>
      <c r="DG467" s="164">
        <f t="shared" si="226"/>
        <v>43</v>
      </c>
      <c r="DH467" s="166">
        <f t="shared" si="227"/>
        <v>618.25058823529434</v>
      </c>
      <c r="DI467" s="164">
        <f>IFERROR(INDEX(DC$422:DC$470,_xlfn.AGGREGATE(15,6,(ROW(DC$422:DC$470)-ROW(DC$422)+1)/(DC$422:DC$470&lt;&gt;""),ROWS(DI$1:DI46))),"")</f>
        <v>43</v>
      </c>
      <c r="DJ467" s="165">
        <f>IFERROR(INDEX(DD$422:DD$470,_xlfn.AGGREGATE(15,6,(ROW(DD$422:DD$470)-ROW(DD$422)+1)/(DD$422:DD$470&lt;&gt;""),ROWS(DJ$1:DJ46))),"")</f>
        <v>461.15997513206594</v>
      </c>
      <c r="DK467" s="166">
        <f t="shared" si="228"/>
        <v>467</v>
      </c>
      <c r="DL467" s="164">
        <f>IFERROR(INDEX(DE$422:DE$470,_xlfn.AGGREGATE(15,6,(ROW(DE$422:DE$470)-ROW(DE$422)+1)/(DE$422:DE$470&lt;&gt;""),ROWS(DL$1:DL46))),"")</f>
        <v>43</v>
      </c>
      <c r="DM467" s="165">
        <f>IFERROR(INDEX(DF$422:DF$470,_xlfn.AGGREGATE(15,6,(ROW(DF$422:DF$470)-ROW(DF$422)+1)/(DF$422:DF$470&lt;&gt;""),ROWS(DM$1:DM46))),"")</f>
        <v>539.70528168368014</v>
      </c>
      <c r="DN467" s="166">
        <f t="shared" si="229"/>
        <v>467</v>
      </c>
      <c r="DO467" s="164">
        <f>IFERROR(INDEX(DG$422:DG$470,_xlfn.AGGREGATE(15,6,(ROW(DG$422:DG$470)-ROW(DG$422)+1)/(DG$422:DG$470&lt;&gt;""),ROWS(DO$1:DO46))),"")</f>
        <v>43</v>
      </c>
      <c r="DP467" s="165">
        <f>IFERROR(INDEX(DH$422:DH$470,_xlfn.AGGREGATE(15,6,(ROW(DH$422:DH$470)-ROW(DH$422)+1)/(DH$422:DH$470&lt;&gt;""),ROWS(DP$1:DP46))),"")</f>
        <v>618.25058823529434</v>
      </c>
      <c r="DQ467" s="166">
        <f t="shared" si="230"/>
        <v>467</v>
      </c>
      <c r="DR467" s="65"/>
      <c r="DV467" s="145">
        <v>2060</v>
      </c>
      <c r="DW467" s="235">
        <f t="shared" ca="1" si="214"/>
        <v>558.28677526298407</v>
      </c>
      <c r="EA467" s="55"/>
      <c r="EB467" s="55"/>
      <c r="EC467" s="55"/>
      <c r="ED467" s="55"/>
      <c r="EE467" s="55"/>
    </row>
    <row r="468" spans="1:135" ht="13.8" x14ac:dyDescent="0.45">
      <c r="A468" s="214"/>
      <c r="B468" s="128">
        <v>2058</v>
      </c>
      <c r="C468" s="1004">
        <v>464.58867383193285</v>
      </c>
      <c r="D468" s="987"/>
      <c r="E468" s="1006"/>
      <c r="F468" s="994"/>
      <c r="G468" s="247"/>
      <c r="H468" s="245"/>
      <c r="I468" s="1112">
        <v>628.36352941176472</v>
      </c>
      <c r="J468" s="247"/>
      <c r="K468" s="245"/>
      <c r="L468" s="246"/>
      <c r="M468" s="245"/>
      <c r="N468" s="29" t="s">
        <v>119</v>
      </c>
      <c r="R468" s="29">
        <v>44</v>
      </c>
      <c r="S468" s="238">
        <f t="shared" si="215"/>
        <v>464.58867383193285</v>
      </c>
      <c r="T468" s="238">
        <f t="shared" si="216"/>
        <v>628.36352941176472</v>
      </c>
      <c r="U468" s="238">
        <f t="shared" si="217"/>
        <v>81.887427789916217</v>
      </c>
      <c r="W468" s="238">
        <f t="shared" si="218"/>
        <v>464.58867383193257</v>
      </c>
      <c r="X468" s="238">
        <f t="shared" si="248"/>
        <v>546.47610162184878</v>
      </c>
      <c r="Y468" s="238">
        <f t="shared" si="220"/>
        <v>628.36352941176506</v>
      </c>
      <c r="AA468" s="89"/>
      <c r="AB468" s="89"/>
      <c r="AC468" s="89"/>
      <c r="AD468" s="89"/>
      <c r="AE468" s="89"/>
      <c r="AF468" s="89"/>
      <c r="AG468" s="89"/>
      <c r="AH468" s="89"/>
      <c r="AI468" s="89"/>
      <c r="AJ468" s="89"/>
      <c r="AK468" s="89"/>
      <c r="AL468" s="89"/>
      <c r="AM468" s="89"/>
      <c r="AN468" s="89"/>
      <c r="BR468" s="180">
        <v>2056</v>
      </c>
      <c r="BS468" s="22">
        <v>42</v>
      </c>
      <c r="BT468" s="198">
        <f t="shared" si="231"/>
        <v>333.97696761687268</v>
      </c>
      <c r="BU468" s="198">
        <f t="shared" si="232"/>
        <v>209.52575142326765</v>
      </c>
      <c r="BV468" s="241">
        <f t="shared" si="233"/>
        <v>543.50271904014039</v>
      </c>
      <c r="BY468" s="180">
        <v>2056</v>
      </c>
      <c r="BZ468" s="22">
        <v>42</v>
      </c>
      <c r="CA468" s="198">
        <f t="shared" ca="1" si="234"/>
        <v>-105.39420141674769</v>
      </c>
      <c r="CB468" s="198">
        <f t="shared" ca="1" si="235"/>
        <v>444.38994052965592</v>
      </c>
      <c r="CC468" s="198">
        <f t="shared" ca="1" si="246"/>
        <v>192.55752398429016</v>
      </c>
      <c r="CD468" s="241">
        <f t="shared" ca="1" si="236"/>
        <v>531.5532630971984</v>
      </c>
      <c r="CG468" s="180">
        <v>2056</v>
      </c>
      <c r="CH468" s="22">
        <v>42</v>
      </c>
      <c r="CI468" s="198">
        <f t="shared" ca="1" si="237"/>
        <v>77.699063888891899</v>
      </c>
      <c r="CJ468" s="198">
        <f t="shared" ca="1" si="238"/>
        <v>-227.49273038500675</v>
      </c>
      <c r="CK468" s="198">
        <f t="shared" ca="1" si="239"/>
        <v>492.4981704499782</v>
      </c>
      <c r="CL468" s="198">
        <f t="shared" ca="1" si="240"/>
        <v>189.69194626360641</v>
      </c>
      <c r="CM468" s="241">
        <f t="shared" ca="1" si="241"/>
        <v>532.39645021746981</v>
      </c>
      <c r="CP468" s="180">
        <v>2056</v>
      </c>
      <c r="CQ468" s="22">
        <v>42</v>
      </c>
      <c r="CR468" s="198">
        <f t="shared" ca="1" si="242"/>
        <v>222.33137667214683</v>
      </c>
      <c r="CS468" s="198">
        <f t="shared" ca="1" si="243"/>
        <v>2.5853169885300078</v>
      </c>
      <c r="CT468" s="241">
        <f t="shared" ca="1" si="244"/>
        <v>574.7970851937655</v>
      </c>
      <c r="CZ468" s="164" t="b">
        <f t="shared" si="249"/>
        <v>1</v>
      </c>
      <c r="DA468" s="165" t="b">
        <f t="shared" si="249"/>
        <v>1</v>
      </c>
      <c r="DB468" s="166" t="b">
        <f t="shared" si="249"/>
        <v>1</v>
      </c>
      <c r="DC468" s="164">
        <f t="shared" si="222"/>
        <v>44</v>
      </c>
      <c r="DD468" s="166">
        <f t="shared" si="223"/>
        <v>464.58867383193257</v>
      </c>
      <c r="DE468" s="164">
        <f t="shared" si="224"/>
        <v>44</v>
      </c>
      <c r="DF468" s="166">
        <f t="shared" si="225"/>
        <v>546.47610162184878</v>
      </c>
      <c r="DG468" s="164">
        <f t="shared" si="226"/>
        <v>44</v>
      </c>
      <c r="DH468" s="166">
        <f t="shared" si="227"/>
        <v>628.36352941176506</v>
      </c>
      <c r="DI468" s="164">
        <f>IFERROR(INDEX(DC$422:DC$470,_xlfn.AGGREGATE(15,6,(ROW(DC$422:DC$470)-ROW(DC$422)+1)/(DC$422:DC$470&lt;&gt;""),ROWS(DI$1:DI47))),"")</f>
        <v>44</v>
      </c>
      <c r="DJ468" s="165">
        <f>IFERROR(INDEX(DD$422:DD$470,_xlfn.AGGREGATE(15,6,(ROW(DD$422:DD$470)-ROW(DD$422)+1)/(DD$422:DD$470&lt;&gt;""),ROWS(DJ$1:DJ47))),"")</f>
        <v>464.58867383193257</v>
      </c>
      <c r="DK468" s="166">
        <f t="shared" si="228"/>
        <v>468</v>
      </c>
      <c r="DL468" s="164">
        <f>IFERROR(INDEX(DE$422:DE$470,_xlfn.AGGREGATE(15,6,(ROW(DE$422:DE$470)-ROW(DE$422)+1)/(DE$422:DE$470&lt;&gt;""),ROWS(DL$1:DL47))),"")</f>
        <v>44</v>
      </c>
      <c r="DM468" s="165">
        <f>IFERROR(INDEX(DF$422:DF$470,_xlfn.AGGREGATE(15,6,(ROW(DF$422:DF$470)-ROW(DF$422)+1)/(DF$422:DF$470&lt;&gt;""),ROWS(DM$1:DM47))),"")</f>
        <v>546.47610162184878</v>
      </c>
      <c r="DN468" s="166">
        <f t="shared" si="229"/>
        <v>468</v>
      </c>
      <c r="DO468" s="164">
        <f>IFERROR(INDEX(DG$422:DG$470,_xlfn.AGGREGATE(15,6,(ROW(DG$422:DG$470)-ROW(DG$422)+1)/(DG$422:DG$470&lt;&gt;""),ROWS(DO$1:DO47))),"")</f>
        <v>44</v>
      </c>
      <c r="DP468" s="165">
        <f>IFERROR(INDEX(DH$422:DH$470,_xlfn.AGGREGATE(15,6,(ROW(DH$422:DH$470)-ROW(DH$422)+1)/(DH$422:DH$470&lt;&gt;""),ROWS(DP$1:DP47))),"")</f>
        <v>628.36352941176506</v>
      </c>
      <c r="DQ468" s="166">
        <f t="shared" si="230"/>
        <v>468</v>
      </c>
      <c r="DR468" s="65"/>
      <c r="DW468" s="54"/>
      <c r="EA468" s="55"/>
      <c r="EB468" s="55"/>
      <c r="EC468" s="55"/>
      <c r="ED468" s="55"/>
      <c r="EE468" s="55"/>
    </row>
    <row r="469" spans="1:135" ht="13.8" x14ac:dyDescent="0.45">
      <c r="A469" s="214"/>
      <c r="B469" s="128">
        <v>2059</v>
      </c>
      <c r="C469" s="1004">
        <v>468.01737253179954</v>
      </c>
      <c r="D469" s="987"/>
      <c r="E469" s="1006"/>
      <c r="F469" s="994"/>
      <c r="G469" s="247"/>
      <c r="H469" s="245"/>
      <c r="I469" s="1112">
        <v>638.47647058823532</v>
      </c>
      <c r="J469" s="247"/>
      <c r="K469" s="245"/>
      <c r="L469" s="246"/>
      <c r="M469" s="245"/>
      <c r="N469" s="29" t="s">
        <v>119</v>
      </c>
      <c r="R469" s="29">
        <v>45</v>
      </c>
      <c r="S469" s="238">
        <f t="shared" si="215"/>
        <v>468.01737253179954</v>
      </c>
      <c r="T469" s="238">
        <f t="shared" si="216"/>
        <v>638.47647058823532</v>
      </c>
      <c r="U469" s="238">
        <f t="shared" si="217"/>
        <v>85.229549028217974</v>
      </c>
      <c r="W469" s="238">
        <f t="shared" si="218"/>
        <v>468.01737253179942</v>
      </c>
      <c r="X469" s="238">
        <f t="shared" si="248"/>
        <v>553.24692156001743</v>
      </c>
      <c r="Y469" s="238">
        <f t="shared" si="220"/>
        <v>638.47647058823543</v>
      </c>
      <c r="AA469" s="89"/>
      <c r="AB469" s="89"/>
      <c r="AC469" s="89"/>
      <c r="AD469" s="89"/>
      <c r="AE469" s="89"/>
      <c r="AF469" s="89"/>
      <c r="AG469" s="89"/>
      <c r="AH469" s="89"/>
      <c r="AI469" s="89"/>
      <c r="AJ469" s="89"/>
      <c r="AK469" s="89"/>
      <c r="AL469" s="89"/>
      <c r="AM469" s="89"/>
      <c r="AN469" s="89"/>
      <c r="BR469" s="180">
        <v>2057</v>
      </c>
      <c r="BS469" s="22">
        <v>43</v>
      </c>
      <c r="BT469" s="198">
        <f t="shared" si="231"/>
        <v>341.92880017917918</v>
      </c>
      <c r="BU469" s="198">
        <f t="shared" si="232"/>
        <v>209.52575142326765</v>
      </c>
      <c r="BV469" s="241">
        <f t="shared" si="233"/>
        <v>551.45455160244683</v>
      </c>
      <c r="BY469" s="180">
        <v>2057</v>
      </c>
      <c r="BZ469" s="22">
        <v>43</v>
      </c>
      <c r="CA469" s="198">
        <f t="shared" ca="1" si="234"/>
        <v>-110.472720192498</v>
      </c>
      <c r="CB469" s="198">
        <f t="shared" ca="1" si="235"/>
        <v>454.97065339940963</v>
      </c>
      <c r="CC469" s="198">
        <f t="shared" ca="1" si="246"/>
        <v>192.55752398429016</v>
      </c>
      <c r="CD469" s="241">
        <f t="shared" ca="1" si="236"/>
        <v>537.05545719120175</v>
      </c>
      <c r="CG469" s="180">
        <v>2057</v>
      </c>
      <c r="CH469" s="22">
        <v>43</v>
      </c>
      <c r="CI469" s="198">
        <f t="shared" ca="1" si="237"/>
        <v>83.382187029129256</v>
      </c>
      <c r="CJ469" s="198">
        <f t="shared" ca="1" si="238"/>
        <v>-238.45468167906887</v>
      </c>
      <c r="CK469" s="198">
        <f t="shared" ca="1" si="239"/>
        <v>504.22431736545389</v>
      </c>
      <c r="CL469" s="198">
        <f t="shared" ca="1" si="240"/>
        <v>189.69194626360641</v>
      </c>
      <c r="CM469" s="241">
        <f t="shared" ca="1" si="241"/>
        <v>538.84376897912068</v>
      </c>
      <c r="CP469" s="180">
        <v>2057</v>
      </c>
      <c r="CQ469" s="22">
        <v>43</v>
      </c>
      <c r="CR469" s="198">
        <f t="shared" ca="1" si="242"/>
        <v>222.33137667214683</v>
      </c>
      <c r="CS469" s="198">
        <f t="shared" ca="1" si="243"/>
        <v>2.6444512005059697</v>
      </c>
      <c r="CT469" s="241">
        <f t="shared" ca="1" si="244"/>
        <v>587.94447595080362</v>
      </c>
      <c r="CZ469" s="164" t="b">
        <f t="shared" si="249"/>
        <v>1</v>
      </c>
      <c r="DA469" s="165" t="b">
        <f t="shared" si="249"/>
        <v>1</v>
      </c>
      <c r="DB469" s="166" t="b">
        <f t="shared" si="249"/>
        <v>1</v>
      </c>
      <c r="DC469" s="164">
        <f t="shared" si="222"/>
        <v>45</v>
      </c>
      <c r="DD469" s="166">
        <f t="shared" si="223"/>
        <v>468.01737253179942</v>
      </c>
      <c r="DE469" s="164">
        <f t="shared" si="224"/>
        <v>45</v>
      </c>
      <c r="DF469" s="166">
        <f t="shared" si="225"/>
        <v>553.24692156001743</v>
      </c>
      <c r="DG469" s="164">
        <f t="shared" si="226"/>
        <v>45</v>
      </c>
      <c r="DH469" s="166">
        <f t="shared" si="227"/>
        <v>638.47647058823543</v>
      </c>
      <c r="DI469" s="164">
        <f>IFERROR(INDEX(DC$422:DC$470,_xlfn.AGGREGATE(15,6,(ROW(DC$422:DC$470)-ROW(DC$422)+1)/(DC$422:DC$470&lt;&gt;""),ROWS(DI$1:DI48))),"")</f>
        <v>45</v>
      </c>
      <c r="DJ469" s="165">
        <f>IFERROR(INDEX(DD$422:DD$470,_xlfn.AGGREGATE(15,6,(ROW(DD$422:DD$470)-ROW(DD$422)+1)/(DD$422:DD$470&lt;&gt;""),ROWS(DJ$1:DJ48))),"")</f>
        <v>468.01737253179942</v>
      </c>
      <c r="DK469" s="166">
        <f t="shared" si="228"/>
        <v>469</v>
      </c>
      <c r="DL469" s="164">
        <f>IFERROR(INDEX(DE$422:DE$470,_xlfn.AGGREGATE(15,6,(ROW(DE$422:DE$470)-ROW(DE$422)+1)/(DE$422:DE$470&lt;&gt;""),ROWS(DL$1:DL48))),"")</f>
        <v>45</v>
      </c>
      <c r="DM469" s="165">
        <f>IFERROR(INDEX(DF$422:DF$470,_xlfn.AGGREGATE(15,6,(ROW(DF$422:DF$470)-ROW(DF$422)+1)/(DF$422:DF$470&lt;&gt;""),ROWS(DM$1:DM48))),"")</f>
        <v>553.24692156001743</v>
      </c>
      <c r="DN469" s="166">
        <f t="shared" si="229"/>
        <v>469</v>
      </c>
      <c r="DO469" s="164">
        <f>IFERROR(INDEX(DG$422:DG$470,_xlfn.AGGREGATE(15,6,(ROW(DG$422:DG$470)-ROW(DG$422)+1)/(DG$422:DG$470&lt;&gt;""),ROWS(DO$1:DO48))),"")</f>
        <v>45</v>
      </c>
      <c r="DP469" s="165">
        <f>IFERROR(INDEX(DH$422:DH$470,_xlfn.AGGREGATE(15,6,(ROW(DH$422:DH$470)-ROW(DH$422)+1)/(DH$422:DH$470&lt;&gt;""),ROWS(DP$1:DP48))),"")</f>
        <v>638.47647058823543</v>
      </c>
      <c r="DQ469" s="166">
        <f t="shared" si="230"/>
        <v>469</v>
      </c>
      <c r="DR469" s="65"/>
      <c r="DW469" s="54"/>
      <c r="EA469" s="55"/>
      <c r="EB469" s="55"/>
      <c r="EC469" s="55"/>
      <c r="ED469" s="55"/>
      <c r="EE469" s="55"/>
    </row>
    <row r="470" spans="1:135" ht="14.1" thickBot="1" x14ac:dyDescent="0.5">
      <c r="A470" s="214"/>
      <c r="B470" s="128">
        <v>2060</v>
      </c>
      <c r="C470" s="1007">
        <v>471.44607123166622</v>
      </c>
      <c r="D470" s="1008">
        <f>'Total MSW Summaries (Archive)'!BE51</f>
        <v>0</v>
      </c>
      <c r="E470" s="1009"/>
      <c r="F470" s="995"/>
      <c r="G470" s="251"/>
      <c r="H470" s="249"/>
      <c r="I470" s="1115">
        <v>648.58941176470591</v>
      </c>
      <c r="J470" s="251"/>
      <c r="K470" s="249"/>
      <c r="L470" s="250"/>
      <c r="M470" s="249"/>
      <c r="N470" s="29" t="s">
        <v>119</v>
      </c>
      <c r="R470" s="29">
        <v>46</v>
      </c>
      <c r="S470" s="238" t="str">
        <f t="shared" si="215"/>
        <v/>
      </c>
      <c r="T470" s="238">
        <f t="shared" si="216"/>
        <v>648.58941176470591</v>
      </c>
      <c r="U470" s="238">
        <f t="shared" si="217"/>
        <v>273.72114484722198</v>
      </c>
      <c r="W470" s="238">
        <f t="shared" si="218"/>
        <v>286.29659665096409</v>
      </c>
      <c r="X470" s="238">
        <f t="shared" si="248"/>
        <v>560.01774149818607</v>
      </c>
      <c r="Y470" s="238">
        <f t="shared" si="220"/>
        <v>833.73888634540799</v>
      </c>
      <c r="AA470" s="89"/>
      <c r="AB470" s="89"/>
      <c r="AC470" s="89"/>
      <c r="AD470" s="89"/>
      <c r="AE470" s="89"/>
      <c r="AF470" s="89"/>
      <c r="AG470" s="89"/>
      <c r="AH470" s="89"/>
      <c r="AI470" s="89"/>
      <c r="AJ470" s="89"/>
      <c r="AK470" s="89"/>
      <c r="AL470" s="89"/>
      <c r="AM470" s="89"/>
      <c r="AN470" s="89"/>
      <c r="BR470" s="180">
        <v>2058</v>
      </c>
      <c r="BS470" s="22">
        <v>44</v>
      </c>
      <c r="BT470" s="198">
        <f t="shared" si="231"/>
        <v>349.88063274148567</v>
      </c>
      <c r="BU470" s="198">
        <f t="shared" si="232"/>
        <v>209.52575142326765</v>
      </c>
      <c r="BV470" s="241">
        <f t="shared" si="233"/>
        <v>559.40638416475326</v>
      </c>
      <c r="BY470" s="180">
        <v>2058</v>
      </c>
      <c r="BZ470" s="22">
        <v>44</v>
      </c>
      <c r="CA470" s="198">
        <f t="shared" ca="1" si="234"/>
        <v>-115.67073352767774</v>
      </c>
      <c r="CB470" s="198">
        <f t="shared" ca="1" si="235"/>
        <v>465.55136626916334</v>
      </c>
      <c r="CC470" s="198">
        <f t="shared" ca="1" si="246"/>
        <v>192.55752398429016</v>
      </c>
      <c r="CD470" s="241">
        <f t="shared" ca="1" si="236"/>
        <v>542.4381567257758</v>
      </c>
      <c r="CG470" s="180">
        <v>2058</v>
      </c>
      <c r="CH470" s="22">
        <v>44</v>
      </c>
      <c r="CI470" s="198">
        <f t="shared" ca="1" si="237"/>
        <v>89.335885140796989</v>
      </c>
      <c r="CJ470" s="198">
        <f t="shared" ca="1" si="238"/>
        <v>-249.67456123887362</v>
      </c>
      <c r="CK470" s="198">
        <f t="shared" ca="1" si="239"/>
        <v>515.95046428092962</v>
      </c>
      <c r="CL470" s="198">
        <f t="shared" ca="1" si="240"/>
        <v>189.69194626360641</v>
      </c>
      <c r="CM470" s="241">
        <f t="shared" ca="1" si="241"/>
        <v>545.30373444645943</v>
      </c>
      <c r="CP470" s="180">
        <v>2058</v>
      </c>
      <c r="CQ470" s="22">
        <v>44</v>
      </c>
      <c r="CR470" s="198">
        <f t="shared" ca="1" si="242"/>
        <v>222.33137667214683</v>
      </c>
      <c r="CS470" s="198">
        <f t="shared" ca="1" si="243"/>
        <v>2.7049379951793466</v>
      </c>
      <c r="CT470" s="241">
        <f t="shared" ca="1" si="244"/>
        <v>601.39258828102106</v>
      </c>
      <c r="CZ470" s="164" t="b">
        <f t="shared" si="249"/>
        <v>1</v>
      </c>
      <c r="DA470" s="165" t="b">
        <f t="shared" si="249"/>
        <v>1</v>
      </c>
      <c r="DB470" s="166" t="b">
        <f t="shared" si="249"/>
        <v>1</v>
      </c>
      <c r="DC470" s="164">
        <f t="shared" si="222"/>
        <v>46</v>
      </c>
      <c r="DD470" s="166">
        <f t="shared" si="223"/>
        <v>286.29659665096409</v>
      </c>
      <c r="DE470" s="164">
        <f t="shared" si="224"/>
        <v>46</v>
      </c>
      <c r="DF470" s="166">
        <f t="shared" si="225"/>
        <v>560.01774149818607</v>
      </c>
      <c r="DG470" s="164">
        <f t="shared" si="226"/>
        <v>46</v>
      </c>
      <c r="DH470" s="166">
        <f t="shared" si="227"/>
        <v>833.73888634540799</v>
      </c>
      <c r="DI470" s="164">
        <f>IFERROR(INDEX(DC$422:DC$470,_xlfn.AGGREGATE(15,6,(ROW(DC$422:DC$470)-ROW(DC$422)+1)/(DC$422:DC$470&lt;&gt;""),ROWS(DI$1:DI49))),"")</f>
        <v>46</v>
      </c>
      <c r="DJ470" s="165">
        <f>IFERROR(INDEX(DD$422:DD$470,_xlfn.AGGREGATE(15,6,(ROW(DD$422:DD$470)-ROW(DD$422)+1)/(DD$422:DD$470&lt;&gt;""),ROWS(DJ$1:DJ49))),"")</f>
        <v>286.29659665096409</v>
      </c>
      <c r="DK470" s="166">
        <f t="shared" si="228"/>
        <v>470</v>
      </c>
      <c r="DL470" s="164">
        <f>IFERROR(INDEX(DE$422:DE$470,_xlfn.AGGREGATE(15,6,(ROW(DE$422:DE$470)-ROW(DE$422)+1)/(DE$422:DE$470&lt;&gt;""),ROWS(DL$1:DL49))),"")</f>
        <v>46</v>
      </c>
      <c r="DM470" s="165">
        <f>IFERROR(INDEX(DF$422:DF$470,_xlfn.AGGREGATE(15,6,(ROW(DF$422:DF$470)-ROW(DF$422)+1)/(DF$422:DF$470&lt;&gt;""),ROWS(DM$1:DM49))),"")</f>
        <v>560.01774149818607</v>
      </c>
      <c r="DN470" s="166">
        <f t="shared" si="229"/>
        <v>470</v>
      </c>
      <c r="DO470" s="164">
        <f>IFERROR(INDEX(DG$422:DG$470,_xlfn.AGGREGATE(15,6,(ROW(DG$422:DG$470)-ROW(DG$422)+1)/(DG$422:DG$470&lt;&gt;""),ROWS(DO$1:DO49))),"")</f>
        <v>46</v>
      </c>
      <c r="DP470" s="165">
        <f>IFERROR(INDEX(DH$422:DH$470,_xlfn.AGGREGATE(15,6,(ROW(DH$422:DH$470)-ROW(DH$422)+1)/(DH$422:DH$470&lt;&gt;""),ROWS(DP$1:DP49))),"")</f>
        <v>833.73888634540799</v>
      </c>
      <c r="DQ470" s="166">
        <f t="shared" si="230"/>
        <v>470</v>
      </c>
      <c r="DR470" s="65"/>
      <c r="DW470" s="54"/>
      <c r="EA470" s="55"/>
      <c r="EB470" s="55"/>
      <c r="EC470" s="55"/>
      <c r="ED470" s="55"/>
      <c r="EE470" s="55"/>
    </row>
    <row r="471" spans="1:135" x14ac:dyDescent="0.4">
      <c r="A471" s="214"/>
      <c r="B471" s="89"/>
      <c r="C471" s="14"/>
      <c r="D471" s="14"/>
      <c r="E471" s="14"/>
      <c r="F471" s="14"/>
      <c r="G471" s="14"/>
      <c r="H471" s="14"/>
      <c r="I471" s="14"/>
      <c r="J471" s="14"/>
      <c r="K471" s="14"/>
      <c r="L471" s="14"/>
      <c r="M471" s="50"/>
      <c r="S471" s="120"/>
      <c r="T471" s="120"/>
      <c r="U471" s="120"/>
      <c r="W471" s="120"/>
      <c r="X471" s="120"/>
      <c r="Y471" s="120"/>
      <c r="AA471" s="89"/>
      <c r="AB471" s="89"/>
      <c r="AC471" s="89"/>
      <c r="AD471" s="89"/>
      <c r="AE471" s="89"/>
      <c r="AF471" s="89"/>
      <c r="AG471" s="89"/>
      <c r="AH471" s="89"/>
      <c r="AI471" s="89"/>
      <c r="AJ471" s="89"/>
      <c r="AK471" s="89"/>
      <c r="AL471" s="89"/>
      <c r="AM471" s="89"/>
      <c r="AN471" s="89"/>
      <c r="BR471" s="180">
        <v>2059</v>
      </c>
      <c r="BS471" s="22">
        <v>45</v>
      </c>
      <c r="BT471" s="198">
        <f t="shared" si="231"/>
        <v>357.83246530379216</v>
      </c>
      <c r="BU471" s="198">
        <f t="shared" si="232"/>
        <v>209.52575142326765</v>
      </c>
      <c r="BV471" s="241">
        <f t="shared" si="233"/>
        <v>567.35821672705981</v>
      </c>
      <c r="BY471" s="180">
        <v>2059</v>
      </c>
      <c r="BZ471" s="22">
        <v>45</v>
      </c>
      <c r="CA471" s="198">
        <f t="shared" ca="1" si="234"/>
        <v>-120.98824142228689</v>
      </c>
      <c r="CB471" s="198">
        <f t="shared" ca="1" si="235"/>
        <v>476.13207913891705</v>
      </c>
      <c r="CC471" s="198">
        <f t="shared" ca="1" si="246"/>
        <v>192.55752398429016</v>
      </c>
      <c r="CD471" s="241">
        <f t="shared" ca="1" si="236"/>
        <v>547.7013617009203</v>
      </c>
      <c r="CG471" s="180">
        <v>2059</v>
      </c>
      <c r="CH471" s="22">
        <v>45</v>
      </c>
      <c r="CI471" s="198">
        <f t="shared" ca="1" si="237"/>
        <v>95.566450665091168</v>
      </c>
      <c r="CJ471" s="198">
        <f t="shared" ca="1" si="238"/>
        <v>-261.15236906442101</v>
      </c>
      <c r="CK471" s="198">
        <f t="shared" ca="1" si="239"/>
        <v>527.67661119640525</v>
      </c>
      <c r="CL471" s="198">
        <f t="shared" ca="1" si="240"/>
        <v>189.69194626360641</v>
      </c>
      <c r="CM471" s="241">
        <f t="shared" ca="1" si="241"/>
        <v>551.78263906068184</v>
      </c>
      <c r="CP471" s="180">
        <v>2059</v>
      </c>
      <c r="CQ471" s="22">
        <v>45</v>
      </c>
      <c r="CR471" s="198">
        <f t="shared" ca="1" si="242"/>
        <v>222.33137667214683</v>
      </c>
      <c r="CS471" s="198">
        <f t="shared" ca="1" si="243"/>
        <v>2.7668083103083698</v>
      </c>
      <c r="CT471" s="241">
        <f t="shared" ca="1" si="244"/>
        <v>615.14830061879627</v>
      </c>
      <c r="CZ471" s="252"/>
      <c r="DA471" s="252"/>
      <c r="DB471" s="252"/>
      <c r="DC471" s="252"/>
      <c r="DD471" s="252"/>
      <c r="DE471" s="252"/>
      <c r="DF471" s="252"/>
      <c r="DG471" s="252"/>
      <c r="DH471" s="252"/>
      <c r="DI471" s="252"/>
      <c r="DJ471" s="252"/>
      <c r="DK471" s="252"/>
      <c r="DL471" s="252"/>
      <c r="DM471" s="252"/>
      <c r="DN471" s="252"/>
      <c r="DO471" s="252"/>
      <c r="DP471" s="252"/>
      <c r="DQ471" s="252"/>
      <c r="DR471" s="65"/>
      <c r="DU471" s="65"/>
      <c r="DW471" s="54"/>
      <c r="EA471" s="55"/>
      <c r="EB471" s="55"/>
      <c r="EC471" s="55"/>
      <c r="ED471" s="55"/>
      <c r="EE471" s="55"/>
    </row>
    <row r="472" spans="1:135" x14ac:dyDescent="0.4">
      <c r="A472" s="214"/>
      <c r="B472" s="89"/>
      <c r="C472" s="14"/>
      <c r="D472" s="14"/>
      <c r="E472" s="14"/>
      <c r="F472" s="14"/>
      <c r="G472" s="14"/>
      <c r="H472" s="14"/>
      <c r="I472" s="14"/>
      <c r="J472" s="14"/>
      <c r="K472" s="14"/>
      <c r="L472" s="14"/>
      <c r="M472" s="50"/>
      <c r="S472" s="120"/>
      <c r="T472" s="120"/>
      <c r="U472" s="120"/>
      <c r="W472" s="120"/>
      <c r="X472" s="120"/>
      <c r="Y472" s="120"/>
      <c r="AA472" s="89"/>
      <c r="AB472" s="89"/>
      <c r="AC472" s="89"/>
      <c r="AD472" s="89"/>
      <c r="AE472" s="89"/>
      <c r="AF472" s="89"/>
      <c r="AG472" s="89"/>
      <c r="AH472" s="89"/>
      <c r="AI472" s="89"/>
      <c r="AJ472" s="89"/>
      <c r="AK472" s="89"/>
      <c r="AL472" s="89"/>
      <c r="AM472" s="89"/>
      <c r="AN472" s="89"/>
      <c r="BR472" s="180">
        <v>2060</v>
      </c>
      <c r="BS472" s="22">
        <v>46</v>
      </c>
      <c r="BT472" s="198">
        <f t="shared" si="231"/>
        <v>365.78429786609865</v>
      </c>
      <c r="BU472" s="198">
        <f t="shared" si="232"/>
        <v>209.52575142326765</v>
      </c>
      <c r="BV472" s="241">
        <f t="shared" si="233"/>
        <v>575.31004928936636</v>
      </c>
      <c r="BY472" s="180">
        <v>2060</v>
      </c>
      <c r="BZ472" s="22">
        <v>46</v>
      </c>
      <c r="CA472" s="198">
        <f t="shared" ca="1" si="234"/>
        <v>-126.42524387632547</v>
      </c>
      <c r="CB472" s="198">
        <f t="shared" ca="1" si="235"/>
        <v>486.71279200867076</v>
      </c>
      <c r="CC472" s="198">
        <f t="shared" ca="1" si="246"/>
        <v>192.55752398429016</v>
      </c>
      <c r="CD472" s="241">
        <f t="shared" ca="1" si="236"/>
        <v>552.84507211663549</v>
      </c>
      <c r="CG472" s="180">
        <v>2060</v>
      </c>
      <c r="CH472" s="22">
        <v>46</v>
      </c>
      <c r="CI472" s="198">
        <f t="shared" ca="1" si="237"/>
        <v>102.08017604320783</v>
      </c>
      <c r="CJ472" s="198">
        <f t="shared" ca="1" si="238"/>
        <v>-272.88810515571106</v>
      </c>
      <c r="CK472" s="198">
        <f t="shared" ca="1" si="239"/>
        <v>539.40275811188087</v>
      </c>
      <c r="CL472" s="198">
        <f t="shared" ca="1" si="240"/>
        <v>189.69194626360641</v>
      </c>
      <c r="CM472" s="241">
        <f t="shared" ca="1" si="241"/>
        <v>558.28677526298407</v>
      </c>
      <c r="CP472" s="180">
        <v>2060</v>
      </c>
      <c r="CQ472" s="22">
        <v>46</v>
      </c>
      <c r="CR472" s="198">
        <f t="shared" ca="1" si="242"/>
        <v>222.33137667214683</v>
      </c>
      <c r="CS472" s="198">
        <f t="shared" ca="1" si="243"/>
        <v>2.8300937912936859</v>
      </c>
      <c r="CT472" s="241">
        <f t="shared" ca="1" si="244"/>
        <v>629.21864872962055</v>
      </c>
      <c r="DW472" s="54"/>
      <c r="EA472" s="55"/>
      <c r="EB472" s="55"/>
      <c r="EC472" s="55"/>
      <c r="ED472" s="55"/>
      <c r="EE472" s="55"/>
    </row>
    <row r="473" spans="1:135" x14ac:dyDescent="0.4">
      <c r="A473" s="221" t="str">
        <f ca="1">HYPERLINK("#"&amp;"'"&amp;A$1&amp;"'!a1","Back to top")</f>
        <v>Back to top</v>
      </c>
      <c r="C473" s="50"/>
      <c r="D473" s="14"/>
      <c r="E473" s="14"/>
      <c r="F473" s="14"/>
      <c r="G473" s="14"/>
      <c r="H473" s="14"/>
      <c r="I473" s="14"/>
      <c r="J473" s="14"/>
      <c r="K473" s="14"/>
      <c r="L473" s="14"/>
      <c r="M473" s="14"/>
      <c r="N473" s="89"/>
      <c r="O473" s="89"/>
      <c r="P473" s="89"/>
      <c r="Q473" s="89"/>
      <c r="R473" s="89"/>
      <c r="S473" s="89"/>
      <c r="T473" s="89"/>
      <c r="U473" s="89"/>
      <c r="V473" s="89"/>
      <c r="W473" s="89"/>
      <c r="X473" s="89"/>
      <c r="Y473" s="89"/>
      <c r="Z473" s="89"/>
      <c r="AA473" s="89"/>
      <c r="AB473" s="89"/>
      <c r="AC473" s="89"/>
      <c r="AD473" s="89"/>
      <c r="AE473" s="89"/>
      <c r="AF473" s="89"/>
      <c r="AG473" s="89"/>
      <c r="AH473" s="89"/>
      <c r="AI473" s="89"/>
      <c r="AJ473" s="89"/>
      <c r="AK473" s="89"/>
      <c r="AL473" s="89"/>
      <c r="AM473" s="89"/>
      <c r="AN473" s="89"/>
      <c r="DW473" s="54"/>
      <c r="EA473" s="55"/>
      <c r="EB473" s="55"/>
      <c r="EC473" s="55"/>
      <c r="ED473" s="55"/>
      <c r="EE473" s="55"/>
    </row>
    <row r="474" spans="1:135" x14ac:dyDescent="0.4">
      <c r="A474" s="221"/>
      <c r="C474" s="50"/>
      <c r="D474" s="14"/>
      <c r="E474" s="14"/>
      <c r="F474" s="14"/>
      <c r="G474" s="14"/>
      <c r="H474" s="14"/>
      <c r="I474" s="14"/>
      <c r="J474" s="14"/>
      <c r="K474" s="14"/>
      <c r="L474" s="14"/>
      <c r="M474" s="14"/>
      <c r="N474" s="89"/>
      <c r="O474" s="89"/>
      <c r="P474" s="89"/>
      <c r="Q474" s="89"/>
      <c r="R474" s="89"/>
      <c r="S474" s="89"/>
      <c r="T474" s="89"/>
      <c r="U474" s="89"/>
      <c r="V474" s="89"/>
      <c r="W474" s="89"/>
      <c r="X474" s="89"/>
      <c r="Y474" s="89"/>
      <c r="Z474" s="89"/>
      <c r="AA474" s="89"/>
      <c r="AB474" s="89"/>
      <c r="AC474" s="89"/>
      <c r="AD474" s="89"/>
      <c r="AE474" s="89"/>
      <c r="AF474" s="89"/>
      <c r="AG474" s="89"/>
      <c r="AH474" s="89"/>
      <c r="AI474" s="89"/>
      <c r="AJ474" s="89"/>
      <c r="AK474" s="89"/>
      <c r="AL474" s="89"/>
      <c r="AM474" s="89"/>
      <c r="AN474" s="89"/>
      <c r="DW474" s="54"/>
      <c r="EA474" s="55"/>
      <c r="EB474" s="55"/>
      <c r="EC474" s="55"/>
      <c r="ED474" s="55"/>
      <c r="EE474" s="55"/>
    </row>
    <row r="475" spans="1:135" x14ac:dyDescent="0.4">
      <c r="A475" s="214"/>
      <c r="B475" s="89"/>
      <c r="C475" s="14"/>
      <c r="D475" s="14"/>
      <c r="E475" s="14"/>
      <c r="F475" s="14"/>
      <c r="G475" s="14"/>
      <c r="H475" s="14"/>
      <c r="I475" s="14"/>
      <c r="J475" s="14"/>
      <c r="K475" s="14"/>
      <c r="L475" s="14"/>
      <c r="M475" s="50"/>
      <c r="N475" s="49"/>
      <c r="O475" s="49"/>
      <c r="P475" s="49"/>
      <c r="Q475" s="49"/>
      <c r="R475" s="49"/>
      <c r="S475" s="120"/>
      <c r="T475" s="120"/>
      <c r="U475" s="120"/>
      <c r="V475" s="49"/>
      <c r="W475" s="120"/>
      <c r="X475" s="120"/>
      <c r="Y475" s="120"/>
      <c r="Z475" s="89"/>
      <c r="AA475" s="89"/>
      <c r="AB475" s="89"/>
      <c r="AC475" s="89"/>
      <c r="AD475" s="89"/>
      <c r="AE475" s="89"/>
      <c r="AF475" s="89"/>
      <c r="AG475" s="89"/>
      <c r="AH475" s="89"/>
      <c r="AI475" s="89"/>
      <c r="AJ475" s="89"/>
      <c r="AK475" s="89"/>
      <c r="AL475" s="89"/>
      <c r="AM475" s="89"/>
      <c r="AN475" s="89"/>
      <c r="AO475" s="49"/>
      <c r="AP475" s="49"/>
      <c r="AQ475" s="49"/>
      <c r="AR475" s="49"/>
      <c r="AS475" s="49"/>
      <c r="AT475" s="49"/>
      <c r="AU475" s="49"/>
      <c r="AV475" s="49"/>
      <c r="AW475" s="49"/>
      <c r="AX475" s="49"/>
      <c r="AY475" s="49"/>
      <c r="AZ475" s="49"/>
      <c r="BA475" s="49"/>
      <c r="BB475" s="49"/>
      <c r="BC475" s="49"/>
      <c r="BD475" s="49"/>
      <c r="BE475" s="49"/>
      <c r="BF475" s="49"/>
      <c r="BG475" s="49"/>
      <c r="BH475" s="49"/>
      <c r="BI475" s="49"/>
      <c r="BJ475" s="49"/>
      <c r="BK475" s="49"/>
      <c r="BL475" s="49"/>
    </row>
    <row r="476" spans="1:135" x14ac:dyDescent="0.4">
      <c r="A476" s="253"/>
      <c r="B476" s="254"/>
      <c r="C476" s="255"/>
      <c r="D476" s="255"/>
      <c r="E476" s="255"/>
      <c r="F476" s="255"/>
      <c r="G476" s="255"/>
      <c r="H476" s="255"/>
      <c r="I476" s="255"/>
      <c r="J476" s="255"/>
      <c r="K476" s="255"/>
      <c r="L476" s="255"/>
      <c r="M476" s="256"/>
      <c r="S476" s="257"/>
      <c r="T476" s="257"/>
      <c r="U476" s="257"/>
      <c r="W476" s="257"/>
      <c r="X476" s="257"/>
      <c r="Y476" s="257"/>
      <c r="Z476" s="254"/>
      <c r="AA476" s="254"/>
      <c r="AB476" s="254"/>
      <c r="AC476" s="254"/>
      <c r="AD476" s="254"/>
      <c r="AE476" s="254"/>
      <c r="AF476" s="254"/>
      <c r="AG476" s="254"/>
      <c r="AH476" s="254"/>
      <c r="AI476" s="254"/>
      <c r="AJ476" s="254"/>
      <c r="AK476" s="254"/>
      <c r="AL476" s="254"/>
      <c r="AM476" s="254"/>
      <c r="AN476" s="254"/>
      <c r="DW476" s="258"/>
      <c r="EA476" s="259"/>
      <c r="EB476" s="259"/>
      <c r="EC476" s="259"/>
      <c r="ED476" s="259"/>
      <c r="EE476" s="259"/>
    </row>
    <row r="477" spans="1:135" x14ac:dyDescent="0.4">
      <c r="A477" s="253"/>
      <c r="B477" s="254"/>
      <c r="C477" s="255"/>
      <c r="D477" s="255"/>
      <c r="E477" s="255"/>
      <c r="F477" s="255"/>
      <c r="G477" s="255"/>
      <c r="H477" s="255"/>
      <c r="I477" s="255"/>
      <c r="J477" s="255"/>
      <c r="K477" s="255"/>
      <c r="L477" s="255"/>
      <c r="M477" s="256"/>
      <c r="S477" s="257"/>
      <c r="T477" s="257"/>
      <c r="U477" s="257"/>
      <c r="W477" s="257"/>
      <c r="X477" s="257"/>
      <c r="Y477" s="257"/>
      <c r="Z477" s="254"/>
      <c r="AA477" s="254"/>
      <c r="AB477" s="254"/>
      <c r="AC477" s="254"/>
      <c r="AD477" s="254"/>
      <c r="AE477" s="254"/>
      <c r="AF477" s="254"/>
      <c r="AG477" s="254"/>
      <c r="AH477" s="254"/>
      <c r="AI477" s="254"/>
      <c r="AJ477" s="254"/>
      <c r="AK477" s="254"/>
      <c r="AL477" s="254"/>
      <c r="AM477" s="254"/>
      <c r="AN477" s="254"/>
      <c r="DW477" s="258"/>
      <c r="EA477" s="259"/>
      <c r="EB477" s="259"/>
      <c r="EC477" s="259"/>
      <c r="ED477" s="259"/>
      <c r="EE477" s="259"/>
    </row>
    <row r="478" spans="1:135" x14ac:dyDescent="0.4">
      <c r="A478" s="221"/>
      <c r="C478" s="14"/>
      <c r="D478" s="14"/>
      <c r="E478" s="14"/>
      <c r="F478" s="14"/>
      <c r="G478" s="14"/>
      <c r="H478" s="14"/>
      <c r="I478" s="14"/>
      <c r="J478" s="14"/>
      <c r="K478" s="14"/>
      <c r="L478" s="14"/>
      <c r="M478" s="14"/>
      <c r="DW478" s="54"/>
      <c r="EA478" s="286"/>
      <c r="EB478" s="286"/>
      <c r="EC478" s="286"/>
      <c r="ED478" s="286"/>
      <c r="EE478" s="286"/>
    </row>
    <row r="479" spans="1:135" x14ac:dyDescent="0.4">
      <c r="A479" s="287" t="s">
        <v>104</v>
      </c>
      <c r="C479" s="14"/>
      <c r="D479" s="14"/>
      <c r="E479" s="14"/>
      <c r="F479" s="14"/>
      <c r="G479" s="14"/>
      <c r="H479" s="14"/>
      <c r="I479" s="14"/>
      <c r="J479" s="14"/>
      <c r="K479" s="14"/>
      <c r="L479" s="14"/>
      <c r="M479" s="14"/>
      <c r="AA479" s="287" t="s">
        <v>104</v>
      </c>
      <c r="AM479" s="287" t="s">
        <v>104</v>
      </c>
      <c r="AZ479" s="287" t="s">
        <v>104</v>
      </c>
      <c r="BJ479" s="287" t="s">
        <v>104</v>
      </c>
      <c r="BR479" s="287" t="s">
        <v>104</v>
      </c>
      <c r="BY479" s="287" t="s">
        <v>104</v>
      </c>
      <c r="CG479" s="287" t="s">
        <v>104</v>
      </c>
      <c r="CP479" s="287" t="s">
        <v>104</v>
      </c>
      <c r="DV479" s="287" t="s">
        <v>104</v>
      </c>
      <c r="DW479" s="54"/>
      <c r="EA479" s="286"/>
      <c r="EB479" s="286"/>
      <c r="EC479" s="286"/>
      <c r="ED479" s="286"/>
      <c r="EE479" s="286"/>
    </row>
    <row r="480" spans="1:135" x14ac:dyDescent="0.4">
      <c r="A480" s="221"/>
      <c r="C480" s="14"/>
      <c r="D480" s="14"/>
      <c r="E480" s="14"/>
      <c r="F480" s="14"/>
      <c r="G480" s="14"/>
      <c r="H480" s="14"/>
      <c r="I480" s="14"/>
      <c r="J480" s="14"/>
      <c r="K480" s="14"/>
      <c r="L480" s="14"/>
      <c r="M480" s="14"/>
      <c r="DW480" s="54"/>
      <c r="EA480" s="286"/>
      <c r="EB480" s="286"/>
      <c r="EC480" s="286"/>
      <c r="ED480" s="286"/>
      <c r="EE480" s="286"/>
    </row>
    <row r="481" spans="1:135" x14ac:dyDescent="0.4">
      <c r="A481" s="221"/>
      <c r="C481" s="14"/>
      <c r="D481" s="14"/>
      <c r="E481" s="14"/>
      <c r="F481" s="14"/>
      <c r="G481" s="14"/>
      <c r="H481" s="14"/>
      <c r="I481" s="14"/>
      <c r="J481" s="14"/>
      <c r="K481" s="14"/>
      <c r="L481" s="14"/>
      <c r="M481" s="14"/>
      <c r="DW481" s="54"/>
      <c r="EA481" s="286"/>
      <c r="EB481" s="286"/>
      <c r="EC481" s="286"/>
      <c r="ED481" s="286"/>
      <c r="EE481" s="286"/>
    </row>
    <row r="482" spans="1:135" x14ac:dyDescent="0.4">
      <c r="B482" s="694"/>
      <c r="C482" s="694"/>
      <c r="D482" s="113"/>
      <c r="E482" s="113"/>
      <c r="F482" s="113"/>
      <c r="G482" s="113"/>
      <c r="H482" s="113"/>
      <c r="I482" s="113"/>
      <c r="J482" s="113"/>
      <c r="K482" s="113"/>
      <c r="L482" s="113"/>
      <c r="M482" s="113"/>
      <c r="N482" s="114"/>
      <c r="O482" s="114"/>
      <c r="P482" s="114"/>
      <c r="Q482" s="114"/>
      <c r="R482" s="114"/>
      <c r="S482" s="114"/>
      <c r="T482" s="114"/>
      <c r="U482" s="114"/>
      <c r="V482" s="114"/>
      <c r="W482" s="114"/>
      <c r="X482" s="114"/>
      <c r="Y482" s="114"/>
      <c r="Z482" s="114"/>
      <c r="AA482" s="114"/>
      <c r="AC482" s="114"/>
      <c r="AD482" s="114"/>
      <c r="AE482" s="114"/>
      <c r="AF482" s="114"/>
      <c r="AG482" s="114"/>
      <c r="AH482" s="114"/>
      <c r="AI482" s="114"/>
      <c r="AJ482" s="114"/>
      <c r="AK482" s="114"/>
      <c r="AL482" s="114"/>
      <c r="AM482" s="114"/>
      <c r="AN482" s="114"/>
      <c r="AO482" s="89"/>
      <c r="DW482" s="54"/>
      <c r="EA482" s="55"/>
      <c r="EB482" s="55"/>
      <c r="EC482" s="55"/>
      <c r="ED482" s="55"/>
      <c r="EE482" s="55"/>
    </row>
    <row r="483" spans="1:135" ht="12.6" thickBot="1" x14ac:dyDescent="0.45">
      <c r="A483" s="233"/>
      <c r="B483" s="679"/>
      <c r="C483" s="679"/>
      <c r="D483" s="113"/>
      <c r="E483" s="113"/>
      <c r="F483" s="113"/>
      <c r="G483" s="113"/>
      <c r="H483" s="113"/>
      <c r="I483" s="113"/>
      <c r="J483" s="113"/>
      <c r="K483" s="113"/>
      <c r="L483" s="113"/>
      <c r="M483" s="113"/>
      <c r="N483" s="114"/>
      <c r="O483" s="114"/>
      <c r="P483" s="114"/>
      <c r="Q483" s="114"/>
      <c r="R483" s="114"/>
      <c r="S483" s="114"/>
      <c r="T483" s="114"/>
      <c r="U483" s="114"/>
      <c r="V483" s="114"/>
      <c r="W483" s="114"/>
      <c r="X483" s="114"/>
      <c r="Y483" s="114"/>
      <c r="Z483" s="114"/>
      <c r="AA483" s="114"/>
      <c r="AB483" s="114"/>
      <c r="AC483" s="114"/>
      <c r="AD483" s="114"/>
      <c r="AE483" s="114"/>
      <c r="AF483" s="114"/>
      <c r="AG483" s="114"/>
      <c r="AH483" s="114"/>
      <c r="AI483" s="114"/>
      <c r="AJ483" s="114"/>
      <c r="AK483" s="114"/>
      <c r="AL483" s="114"/>
      <c r="AM483" s="114"/>
      <c r="CZ483" s="116"/>
      <c r="DA483" s="116"/>
      <c r="DB483" s="116"/>
      <c r="DC483" s="116"/>
      <c r="DD483" s="116"/>
      <c r="DE483" s="116"/>
      <c r="DF483" s="116"/>
      <c r="DG483" s="116"/>
      <c r="DH483" s="116"/>
      <c r="DI483" s="117" t="str">
        <f>"DJ"&amp;MIN(DK486:DK534)</f>
        <v>DJ486</v>
      </c>
      <c r="DJ483" s="118" t="str">
        <f>"DJ"&amp;MAX(DK486:DK534)</f>
        <v>DJ534</v>
      </c>
      <c r="DK483" s="116"/>
      <c r="DL483" s="117" t="str">
        <f>"DM"&amp;MIN(DN486:DN534)</f>
        <v>DM486</v>
      </c>
      <c r="DM483" s="118" t="str">
        <f>"DM"&amp;MAX(DN486:DN534)</f>
        <v>DM534</v>
      </c>
      <c r="DN483" s="116"/>
      <c r="DO483" s="117" t="str">
        <f>"DP"&amp;MIN(DQ486:DQ534)</f>
        <v>DP486</v>
      </c>
      <c r="DP483" s="118" t="str">
        <f>"DP"&amp;MAX(DQ486:DQ534)</f>
        <v>DP534</v>
      </c>
      <c r="DQ483" s="116"/>
      <c r="DW483" s="119"/>
      <c r="EA483" s="33"/>
      <c r="EB483" s="33"/>
      <c r="EC483" s="33"/>
      <c r="ED483" s="33"/>
      <c r="EE483" s="33"/>
    </row>
    <row r="484" spans="1:135" ht="24.9" thickBot="1" x14ac:dyDescent="0.5">
      <c r="A484" s="676" t="s">
        <v>65</v>
      </c>
      <c r="C484" s="680" t="str">
        <f>A502</f>
        <v>Base Cases</v>
      </c>
      <c r="D484" s="681"/>
      <c r="E484" s="682"/>
      <c r="F484" s="683" t="str">
        <f>A503</f>
        <v>Conservative Cases</v>
      </c>
      <c r="G484" s="684"/>
      <c r="H484" s="685"/>
      <c r="I484" s="686" t="str">
        <f>A504</f>
        <v>Ambitious Cases</v>
      </c>
      <c r="J484" s="687"/>
      <c r="K484" s="688"/>
      <c r="L484" s="692" t="str">
        <f>A505</f>
        <v>Maximum Cases</v>
      </c>
      <c r="M484" s="693"/>
      <c r="O484" s="122"/>
      <c r="P484" s="122"/>
      <c r="Q484" s="122"/>
      <c r="W484" s="691" t="s">
        <v>66</v>
      </c>
      <c r="X484" s="691"/>
      <c r="Y484" s="691"/>
      <c r="Z484" s="120"/>
      <c r="AA484" s="120"/>
      <c r="AB484" s="120"/>
      <c r="AC484" s="120"/>
      <c r="AD484" s="120"/>
      <c r="AE484" s="120"/>
      <c r="AF484" s="120"/>
      <c r="AG484" s="120"/>
      <c r="AH484" s="120"/>
      <c r="AI484" s="120"/>
      <c r="AJ484" s="120"/>
      <c r="AK484" s="120"/>
      <c r="AL484" s="120"/>
      <c r="AM484" s="120"/>
      <c r="AN484" s="120"/>
      <c r="BR484" s="121" t="s">
        <v>67</v>
      </c>
      <c r="BS484" s="121"/>
      <c r="BT484" s="121"/>
      <c r="BU484" s="121"/>
      <c r="BV484" s="121"/>
      <c r="BW484" s="122"/>
      <c r="BY484" s="121" t="s">
        <v>68</v>
      </c>
      <c r="BZ484" s="121"/>
      <c r="CA484" s="121"/>
      <c r="CB484" s="121"/>
      <c r="CC484" s="121"/>
      <c r="CD484" s="121"/>
      <c r="CG484" s="121" t="s">
        <v>69</v>
      </c>
      <c r="CH484" s="121"/>
      <c r="CI484" s="121"/>
      <c r="CJ484" s="121"/>
      <c r="CK484" s="121"/>
      <c r="CL484" s="121"/>
      <c r="CM484" s="121"/>
      <c r="CP484" s="121" t="s">
        <v>70</v>
      </c>
      <c r="CQ484" s="121"/>
      <c r="CR484" s="121"/>
      <c r="CS484" s="121"/>
      <c r="CT484" s="121"/>
      <c r="CU484" s="121"/>
      <c r="CZ484" s="123"/>
      <c r="DA484" s="123"/>
      <c r="DB484" s="123"/>
      <c r="DC484" s="123"/>
      <c r="DD484" s="123"/>
      <c r="DE484" s="123"/>
      <c r="DF484" s="123"/>
      <c r="DG484" s="123"/>
      <c r="DH484" s="123"/>
      <c r="DI484" s="124" t="str">
        <f>"DI"&amp;MIN(DK486:DK534)</f>
        <v>DI486</v>
      </c>
      <c r="DJ484" s="125" t="str">
        <f>"DI"&amp;MAX(DK486:DK534)</f>
        <v>DI534</v>
      </c>
      <c r="DK484" s="123"/>
      <c r="DL484" s="124" t="str">
        <f>"DL"&amp;MIN(DN486:DN534)</f>
        <v>DL486</v>
      </c>
      <c r="DM484" s="125" t="str">
        <f>"DL"&amp;MAX(DN486:DN534)</f>
        <v>DL534</v>
      </c>
      <c r="DN484" s="123"/>
      <c r="DO484" s="124" t="str">
        <f>"DO"&amp;MIN(DQ486:DQ534)</f>
        <v>DO486</v>
      </c>
      <c r="DP484" s="125" t="str">
        <f>"DO"&amp;MAX(DQ486:DQ534)</f>
        <v>DO534</v>
      </c>
      <c r="DQ484" s="123"/>
      <c r="DV484" s="126" t="s">
        <v>71</v>
      </c>
      <c r="DZ484" s="127" t="s">
        <v>72</v>
      </c>
      <c r="EA484" s="284" t="str">
        <f>$L$35</f>
        <v>3rd Poly</v>
      </c>
    </row>
    <row r="485" spans="1:135" ht="74.099999999999994" thickBot="1" x14ac:dyDescent="0.5">
      <c r="A485" s="676" t="s">
        <v>73</v>
      </c>
      <c r="B485" s="128"/>
      <c r="C485" s="129" t="str">
        <f>A486</f>
        <v>World Bank, What a Waste 2.0</v>
      </c>
      <c r="D485" s="130" t="str">
        <f>A487</f>
        <v xml:space="preserve">Kapil Dev Sharma and Siddharth Jain (2019)
</v>
      </c>
      <c r="E485" s="131" t="str">
        <f>A488</f>
        <v>[Source 3]</v>
      </c>
      <c r="F485" s="129" t="str">
        <f>A489</f>
        <v>[Source 1]</v>
      </c>
      <c r="G485" s="130" t="str">
        <f>A490</f>
        <v>[Source 2]</v>
      </c>
      <c r="H485" s="131" t="str">
        <f>A491</f>
        <v>[Source 3]</v>
      </c>
      <c r="I485" s="1100" t="str">
        <f>A492</f>
        <v xml:space="preserve"> IEA Annex I – Municipal solid waste potential in cities; Table I.1</v>
      </c>
      <c r="J485" s="130" t="str">
        <f>A493</f>
        <v>Bhat et al (2018)</v>
      </c>
      <c r="K485" s="1123" t="str">
        <f>A494</f>
        <v>[Source 3]</v>
      </c>
      <c r="L485" s="129" t="str">
        <f>A495</f>
        <v>[Source 1]</v>
      </c>
      <c r="M485" s="131" t="str">
        <f>A496</f>
        <v>[Source 2]</v>
      </c>
      <c r="N485" s="234" t="s">
        <v>74</v>
      </c>
      <c r="O485" s="133"/>
      <c r="P485" s="133"/>
      <c r="Q485" s="133"/>
      <c r="R485" s="135" t="s">
        <v>76</v>
      </c>
      <c r="S485" s="134" t="s">
        <v>77</v>
      </c>
      <c r="T485" s="134" t="s">
        <v>78</v>
      </c>
      <c r="U485" s="136" t="s">
        <v>79</v>
      </c>
      <c r="V485" s="691"/>
      <c r="W485" s="136" t="s">
        <v>15</v>
      </c>
      <c r="X485" s="134" t="s">
        <v>21</v>
      </c>
      <c r="Y485" s="136" t="s">
        <v>25</v>
      </c>
      <c r="AA485" s="138"/>
      <c r="AB485" s="138"/>
      <c r="AC485" s="138"/>
      <c r="AD485" s="138"/>
      <c r="AE485" s="138"/>
      <c r="AF485" s="138"/>
      <c r="AG485" s="138"/>
      <c r="AH485" s="138"/>
      <c r="AI485" s="138"/>
      <c r="AJ485" s="138"/>
      <c r="AK485" s="138"/>
      <c r="AL485" s="138"/>
      <c r="AM485" s="138"/>
      <c r="AN485" s="138"/>
      <c r="BR485" s="139"/>
      <c r="BS485" s="139"/>
      <c r="BT485" s="139"/>
      <c r="BU485" s="139"/>
      <c r="BV485" s="139"/>
      <c r="BW485" s="122"/>
      <c r="BZ485" s="139"/>
      <c r="CA485" s="139"/>
      <c r="CB485" s="139"/>
      <c r="CC485" s="139"/>
      <c r="CD485" s="139"/>
      <c r="CH485" s="139"/>
      <c r="CI485" s="139"/>
      <c r="CJ485" s="139"/>
      <c r="CK485" s="139"/>
      <c r="CL485" s="139"/>
      <c r="CM485" s="139"/>
      <c r="CQ485" s="139"/>
      <c r="CR485" s="139"/>
      <c r="CS485" s="139"/>
      <c r="CT485" s="139"/>
      <c r="CU485" s="139"/>
      <c r="CZ485" s="140"/>
      <c r="DA485" s="140"/>
      <c r="DB485" s="140"/>
      <c r="DC485" s="140"/>
      <c r="DD485" s="141"/>
      <c r="DE485" s="141"/>
      <c r="DF485" s="141"/>
      <c r="DG485" s="141"/>
      <c r="DH485" s="140"/>
      <c r="DI485" s="142"/>
      <c r="DJ485" s="143"/>
      <c r="DK485" s="144"/>
      <c r="DL485" s="142"/>
      <c r="DM485" s="143"/>
      <c r="DN485" s="140"/>
      <c r="DO485" s="142"/>
      <c r="DP485" s="143"/>
      <c r="DQ485" s="140"/>
      <c r="DV485" s="145">
        <v>2014</v>
      </c>
      <c r="DW485" s="235">
        <f t="shared" ref="DW485:DW531" ca="1" si="250">IF($J$35="N","",IF($L$35="Linear",BV490,IF($L$35="2nd Poly",CD490,IF($L$35="3rd Poly",CM490,IF($L$35="Exp",CT490)))))</f>
        <v>140.38605455828448</v>
      </c>
      <c r="EA485" s="33" t="str">
        <f>$M$35</f>
        <v>Medium</v>
      </c>
      <c r="EB485" s="33"/>
      <c r="EC485" s="33"/>
      <c r="ED485" s="33"/>
      <c r="EE485" s="33"/>
    </row>
    <row r="486" spans="1:135" ht="14.1" thickBot="1" x14ac:dyDescent="0.5">
      <c r="A486" s="948" t="s">
        <v>549</v>
      </c>
      <c r="B486" s="128">
        <v>2012</v>
      </c>
      <c r="C486" s="1144">
        <v>116.30328783871184</v>
      </c>
      <c r="D486" s="1144">
        <v>116.30328783871184</v>
      </c>
      <c r="E486" s="239"/>
      <c r="F486" s="939"/>
      <c r="G486" s="916"/>
      <c r="H486" s="239"/>
      <c r="I486" s="1147">
        <v>116.30328783871184</v>
      </c>
      <c r="J486" s="1147">
        <v>116.30328783871184</v>
      </c>
      <c r="K486" s="982"/>
      <c r="L486" s="985"/>
      <c r="M486" s="239"/>
      <c r="N486" s="29" t="s">
        <v>119</v>
      </c>
      <c r="O486" s="120"/>
      <c r="P486" s="120"/>
      <c r="Q486" s="120"/>
      <c r="R486" s="29">
        <v>-2</v>
      </c>
      <c r="S486" s="238">
        <f t="shared" ref="S486:S534" si="251">IF(MIN(C486:Q486)=0,"",MIN(C486:Q486))</f>
        <v>116.30328783871184</v>
      </c>
      <c r="T486" s="238">
        <f t="shared" ref="T486:T534" si="252">IF(MAX(C486:Q486)=0,"",MAX(C486:Q486))</f>
        <v>116.30328783871184</v>
      </c>
      <c r="U486" s="238">
        <f t="shared" ref="U486:U534" si="253">IF(T486="","",_xlfn.STDEV.P(C486:Q486))</f>
        <v>0</v>
      </c>
      <c r="V486" s="29"/>
      <c r="W486" s="238">
        <f t="shared" ref="W486:W534" si="254">IF(U486="",#N/A,X486-(U486*$Q$35))</f>
        <v>116.30328783871184</v>
      </c>
      <c r="X486" s="238">
        <f t="shared" ref="X486:X517" si="255">IF(U486="",#N/A,(SUM(C486:Q486)/COUNTIFS(C486:Q486,"&gt;0")))</f>
        <v>116.30328783871184</v>
      </c>
      <c r="Y486" s="238">
        <f t="shared" ref="Y486:Y534" si="256">IF(U486="",#N/A,X486+(U486*$Q$34))</f>
        <v>116.30328783871184</v>
      </c>
      <c r="AA486" s="138"/>
      <c r="AB486" s="138"/>
      <c r="AC486" s="138"/>
      <c r="AD486" s="138"/>
      <c r="AE486" s="138"/>
      <c r="AF486" s="138"/>
      <c r="AG486" s="138"/>
      <c r="AH486" s="138"/>
      <c r="AI486" s="138"/>
      <c r="AJ486" s="138"/>
      <c r="AK486" s="138"/>
      <c r="AL486" s="138"/>
      <c r="AM486" s="138"/>
      <c r="AN486" s="138"/>
      <c r="BR486" s="691" t="s">
        <v>81</v>
      </c>
      <c r="BS486" s="65" t="str">
        <f>$M$35</f>
        <v>Medium</v>
      </c>
      <c r="BT486" s="691" t="s">
        <v>82</v>
      </c>
      <c r="BU486" s="691" t="s">
        <v>83</v>
      </c>
      <c r="BW486" s="133"/>
      <c r="BY486" s="691" t="s">
        <v>81</v>
      </c>
      <c r="BZ486" s="65" t="str">
        <f>$M$35</f>
        <v>Medium</v>
      </c>
      <c r="CA486" s="691" t="s">
        <v>84</v>
      </c>
      <c r="CB486" s="691" t="s">
        <v>82</v>
      </c>
      <c r="CC486" s="691" t="s">
        <v>83</v>
      </c>
      <c r="CG486" s="691" t="s">
        <v>81</v>
      </c>
      <c r="CH486" s="65" t="str">
        <f>$M$35</f>
        <v>Medium</v>
      </c>
      <c r="CI486" s="691" t="s">
        <v>85</v>
      </c>
      <c r="CJ486" s="691" t="s">
        <v>84</v>
      </c>
      <c r="CK486" s="691" t="s">
        <v>82</v>
      </c>
      <c r="CL486" s="691" t="s">
        <v>83</v>
      </c>
      <c r="CP486" s="691" t="s">
        <v>81</v>
      </c>
      <c r="CQ486" s="65" t="str">
        <f>$M$35</f>
        <v>Medium</v>
      </c>
      <c r="CR486" s="691" t="s">
        <v>86</v>
      </c>
      <c r="CS486" s="691" t="s">
        <v>87</v>
      </c>
      <c r="CZ486" s="155" t="b">
        <f t="shared" ref="CZ486:DB525" si="257">ISNUMBER(W486)</f>
        <v>1</v>
      </c>
      <c r="DA486" s="156" t="b">
        <f t="shared" si="257"/>
        <v>1</v>
      </c>
      <c r="DB486" s="157" t="b">
        <f t="shared" si="257"/>
        <v>1</v>
      </c>
      <c r="DC486" s="155">
        <f t="shared" ref="DC486:DC534" si="258">IF(CZ486=TRUE,$R486,"")</f>
        <v>-2</v>
      </c>
      <c r="DD486" s="157">
        <f t="shared" ref="DD486:DD534" si="259">IF(CZ486=TRUE,W486,"")</f>
        <v>116.30328783871184</v>
      </c>
      <c r="DE486" s="155">
        <f t="shared" ref="DE486:DE534" si="260">IF(DA486=TRUE,$R486,"")</f>
        <v>-2</v>
      </c>
      <c r="DF486" s="157">
        <f t="shared" ref="DF486:DF534" si="261">IF(DA486=TRUE,X486,"")</f>
        <v>116.30328783871184</v>
      </c>
      <c r="DG486" s="155">
        <f t="shared" ref="DG486:DG534" si="262">IF(DB486=TRUE,$R486,"")</f>
        <v>-2</v>
      </c>
      <c r="DH486" s="157">
        <f t="shared" ref="DH486:DH534" si="263">IF(DB486=TRUE,Y486,"")</f>
        <v>116.30328783871184</v>
      </c>
      <c r="DI486" s="155">
        <f>IFERROR(INDEX(DC$486:DC$534,_xlfn.AGGREGATE(15,6,(ROW(DC$486:DC$534)-ROW(DC$486)+1)/(DC$486:DC$534&lt;&gt;""),ROWS(DI$1:DI1))),"")</f>
        <v>-2</v>
      </c>
      <c r="DJ486" s="156">
        <f>IFERROR(INDEX(DD$486:DD$534,_xlfn.AGGREGATE(15,6,(ROW(DD$486:DD$534)-ROW(DD$486)+1)/(DD$486:DD$534&lt;&gt;""),ROWS(DJ$1:DJ1))),"")</f>
        <v>116.30328783871184</v>
      </c>
      <c r="DK486" s="157">
        <f t="shared" ref="DK486:DK534" si="264">IF(ISNUMBER(DI486),ROW(DI486),"")</f>
        <v>486</v>
      </c>
      <c r="DL486" s="155">
        <f>IFERROR(INDEX(DE$486:DE$534,_xlfn.AGGREGATE(15,6,(ROW(DE$486:DE$534)-ROW(DE$486)+1)/(DE$486:DE$534&lt;&gt;""),ROWS(DL$1:DL1))),"")</f>
        <v>-2</v>
      </c>
      <c r="DM486" s="156">
        <f>IFERROR(INDEX(DF$486:DF$534,_xlfn.AGGREGATE(15,6,(ROW(DF$486:DF$534)-ROW(DF$486)+1)/(DF$486:DF$534&lt;&gt;""),ROWS(DM$1:DM1))),"")</f>
        <v>116.30328783871184</v>
      </c>
      <c r="DN486" s="157">
        <f t="shared" ref="DN486:DN534" si="265">IF(ISNUMBER(DI486),ROW(DI486),"")</f>
        <v>486</v>
      </c>
      <c r="DO486" s="155">
        <f>IFERROR(INDEX(DG$486:DG$534,_xlfn.AGGREGATE(15,6,(ROW(DG$486:DG$534)-ROW(DG$486)+1)/(DG$486:DG$534&lt;&gt;""),ROWS(DO$1:DO1))),"")</f>
        <v>-2</v>
      </c>
      <c r="DP486" s="156">
        <f>IFERROR(INDEX(DH$486:DH$534,_xlfn.AGGREGATE(15,6,(ROW(DH$486:DH$534)-ROW(DH$486)+1)/(DH$486:DH$534&lt;&gt;""),ROWS(DP$1:DP1))),"")</f>
        <v>116.30328783871184</v>
      </c>
      <c r="DQ486" s="157">
        <f t="shared" ref="DQ486:DQ534" si="266">IF(ISNUMBER(DL486),ROW(DL486),"")</f>
        <v>486</v>
      </c>
      <c r="DV486" s="145">
        <v>2015</v>
      </c>
      <c r="DW486" s="235">
        <f t="shared" ca="1" si="250"/>
        <v>151.13913960609614</v>
      </c>
      <c r="EA486" s="33"/>
      <c r="EB486" s="33"/>
      <c r="EC486" s="33"/>
      <c r="ED486" s="33"/>
      <c r="EE486" s="33"/>
    </row>
    <row r="487" spans="1:135" ht="36.9" x14ac:dyDescent="0.45">
      <c r="A487" s="955" t="s">
        <v>992</v>
      </c>
      <c r="B487" s="128">
        <v>2013</v>
      </c>
      <c r="C487" s="1145">
        <v>129.32746587903389</v>
      </c>
      <c r="D487" s="1145">
        <v>129.32746587903389</v>
      </c>
      <c r="E487" s="239"/>
      <c r="F487" s="939"/>
      <c r="G487" s="916"/>
      <c r="H487" s="239"/>
      <c r="I487" s="1151">
        <v>129.32746587903389</v>
      </c>
      <c r="J487" s="1151">
        <v>129.32746587903389</v>
      </c>
      <c r="K487" s="982"/>
      <c r="L487" s="985"/>
      <c r="M487" s="239"/>
      <c r="N487" s="29" t="s">
        <v>119</v>
      </c>
      <c r="O487" s="120"/>
      <c r="P487" s="120"/>
      <c r="Q487" s="120"/>
      <c r="R487" s="29">
        <v>-1</v>
      </c>
      <c r="S487" s="238">
        <f t="shared" si="251"/>
        <v>129.32746587903389</v>
      </c>
      <c r="T487" s="238">
        <f t="shared" si="252"/>
        <v>129.32746587903389</v>
      </c>
      <c r="U487" s="238">
        <f t="shared" si="253"/>
        <v>0</v>
      </c>
      <c r="V487" s="29"/>
      <c r="W487" s="238">
        <f t="shared" si="254"/>
        <v>129.32746587903389</v>
      </c>
      <c r="X487" s="238">
        <f t="shared" si="255"/>
        <v>129.32746587903389</v>
      </c>
      <c r="Y487" s="238">
        <f t="shared" si="256"/>
        <v>129.32746587903389</v>
      </c>
      <c r="AA487" s="138"/>
      <c r="AB487" s="138"/>
      <c r="AC487" s="138"/>
      <c r="AD487" s="138"/>
      <c r="AE487" s="138"/>
      <c r="AF487" s="138"/>
      <c r="AG487" s="138"/>
      <c r="AH487" s="138"/>
      <c r="AI487" s="138"/>
      <c r="AJ487" s="138"/>
      <c r="AK487" s="138"/>
      <c r="AL487" s="138"/>
      <c r="AM487" s="138"/>
      <c r="AN487" s="138"/>
      <c r="BS487" s="160" t="s">
        <v>25</v>
      </c>
      <c r="BT487" s="161">
        <f>SLOPE((DH486:DH534),($B$46:$B$94))</f>
        <v>13.876829197191492</v>
      </c>
      <c r="BU487" s="162">
        <f>INTERCEPT(DP486:DP534,DO486:DO534)</f>
        <v>151.3853241931958</v>
      </c>
      <c r="BW487" s="133"/>
      <c r="BZ487" s="160" t="s">
        <v>25</v>
      </c>
      <c r="CA487" s="161">
        <f ca="1">INDEX(LINEST((INDIRECT(DO483):INDIRECT(DP483)),(INDIRECT(DO484):INDIRECT(DP484))^{1,2}),1)</f>
        <v>-2.3815309376194048E-2</v>
      </c>
      <c r="CB487" s="163">
        <f ca="1">INDEX(LINEST((INDIRECT(DO483):INDIRECT(DP483)),(INDIRECT(DO484):INDIRECT(DP484))^{1,2}),1,2)</f>
        <v>14.92470280974403</v>
      </c>
      <c r="CC487" s="162">
        <f ca="1">INDEX(LINEST((INDIRECT(DO483):INDIRECT(DP483)),(INDIRECT(DO484):INDIRECT(DP484))^{1,2}),1,3)</f>
        <v>144.62177633035668</v>
      </c>
      <c r="CH487" s="160" t="s">
        <v>25</v>
      </c>
      <c r="CI487" s="161">
        <f ca="1">INDEX(LINEST((INDIRECT(DO483):INDIRECT(DP483)),(INDIRECT(DO484):INDIRECT(DP484))^{1,2,3}),1)</f>
        <v>7.4631907446136877E-4</v>
      </c>
      <c r="CJ487" s="163">
        <f ca="1">INDEX(LINEST((INDIRECT(DO483):INDIRECT(DP483)),(INDIRECT(DO484):INDIRECT(DP484))^{1,2,3}),1,2)</f>
        <v>-7.3072368290644535E-2</v>
      </c>
      <c r="CK487" s="163">
        <f ca="1">INDEX(LINEST((INDIRECT(DO483):INDIRECT(DP483)),(INDIRECT(DO484):INDIRECT(DP484))^{1,2,3}),1,3)</f>
        <v>15.739832502870753</v>
      </c>
      <c r="CL487" s="162">
        <f ca="1">INDEX(LINEST((INDIRECT(DO483):INDIRECT(DP483)),(INDIRECT(DO484):INDIRECT(DP484))^{1,2,3}),1,4)</f>
        <v>142.58253409129816</v>
      </c>
      <c r="CQ487" s="160" t="s">
        <v>25</v>
      </c>
      <c r="CR487" s="161">
        <f ca="1">EXP(INDEX(LINEST(LN(INDIRECT(DO483):INDIRECT(DP483)),(INDIRECT(DO484):INDIRECT(DP484))),1,2))</f>
        <v>186.01792987008</v>
      </c>
      <c r="CS487" s="162">
        <f ca="1">INDEX(LINEST(LN(INDIRECT(DO483):INDIRECT(DP483)),(INDIRECT(DO484):INDIRECT(DP484))),1)</f>
        <v>3.5492960275565248E-2</v>
      </c>
      <c r="CZ487" s="164" t="b">
        <f t="shared" si="257"/>
        <v>1</v>
      </c>
      <c r="DA487" s="165" t="b">
        <f t="shared" si="257"/>
        <v>1</v>
      </c>
      <c r="DB487" s="166" t="b">
        <f t="shared" si="257"/>
        <v>1</v>
      </c>
      <c r="DC487" s="164">
        <f t="shared" si="258"/>
        <v>-1</v>
      </c>
      <c r="DD487" s="166">
        <f t="shared" si="259"/>
        <v>129.32746587903389</v>
      </c>
      <c r="DE487" s="164">
        <f t="shared" si="260"/>
        <v>-1</v>
      </c>
      <c r="DF487" s="166">
        <f t="shared" si="261"/>
        <v>129.32746587903389</v>
      </c>
      <c r="DG487" s="164">
        <f t="shared" si="262"/>
        <v>-1</v>
      </c>
      <c r="DH487" s="166">
        <f t="shared" si="263"/>
        <v>129.32746587903389</v>
      </c>
      <c r="DI487" s="164">
        <f>IFERROR(INDEX(DC$486:DC$534,_xlfn.AGGREGATE(15,6,(ROW(DC$486:DC$534)-ROW(DC$486)+1)/(DC$486:DC$534&lt;&gt;""),ROWS(DI$1:DI2))),"")</f>
        <v>-1</v>
      </c>
      <c r="DJ487" s="165">
        <f>IFERROR(INDEX(DD$486:DD$534,_xlfn.AGGREGATE(15,6,(ROW(DD$486:DD$534)-ROW(DD$486)+1)/(DD$486:DD$534&lt;&gt;""),ROWS(DJ$1:DJ2))),"")</f>
        <v>129.32746587903389</v>
      </c>
      <c r="DK487" s="166">
        <f t="shared" si="264"/>
        <v>487</v>
      </c>
      <c r="DL487" s="164">
        <f>IFERROR(INDEX(DE$486:DE$534,_xlfn.AGGREGATE(15,6,(ROW(DE$486:DE$534)-ROW(DE$486)+1)/(DE$486:DE$534&lt;&gt;""),ROWS(DL$1:DL2))),"")</f>
        <v>-1</v>
      </c>
      <c r="DM487" s="165">
        <f>IFERROR(INDEX(DF$486:DF$534,_xlfn.AGGREGATE(15,6,(ROW(DF$486:DF$534)-ROW(DF$486)+1)/(DF$486:DF$534&lt;&gt;""),ROWS(DM$1:DM2))),"")</f>
        <v>129.32746587903389</v>
      </c>
      <c r="DN487" s="166">
        <f t="shared" si="265"/>
        <v>487</v>
      </c>
      <c r="DO487" s="164">
        <f>IFERROR(INDEX(DG$486:DG$534,_xlfn.AGGREGATE(15,6,(ROW(DG$486:DG$534)-ROW(DG$486)+1)/(DG$486:DG$534&lt;&gt;""),ROWS(DO$1:DO2))),"")</f>
        <v>-1</v>
      </c>
      <c r="DP487" s="165">
        <f>IFERROR(INDEX(DH$486:DH$534,_xlfn.AGGREGATE(15,6,(ROW(DH$486:DH$534)-ROW(DH$486)+1)/(DH$486:DH$534&lt;&gt;""),ROWS(DP$1:DP2))),"")</f>
        <v>129.32746587903389</v>
      </c>
      <c r="DQ487" s="166">
        <f t="shared" si="266"/>
        <v>487</v>
      </c>
      <c r="DV487" s="145">
        <v>2016</v>
      </c>
      <c r="DW487" s="235">
        <f t="shared" ca="1" si="250"/>
        <v>161.78695264778966</v>
      </c>
      <c r="EA487" s="33"/>
      <c r="EB487" s="33"/>
      <c r="EC487" s="33"/>
      <c r="ED487" s="33"/>
      <c r="EE487" s="33"/>
    </row>
    <row r="488" spans="1:135" ht="13.8" x14ac:dyDescent="0.45">
      <c r="A488" s="148" t="s">
        <v>90</v>
      </c>
      <c r="B488" s="128">
        <v>2014</v>
      </c>
      <c r="C488" s="1146">
        <v>142.35164391935592</v>
      </c>
      <c r="D488" s="1146">
        <v>142.35164391935592</v>
      </c>
      <c r="E488" s="169"/>
      <c r="F488" s="931"/>
      <c r="G488" s="917"/>
      <c r="H488" s="169"/>
      <c r="I488" s="1148">
        <v>142.35164391935592</v>
      </c>
      <c r="J488" s="1148">
        <v>142.35164391935592</v>
      </c>
      <c r="K488" s="982"/>
      <c r="L488" s="986"/>
      <c r="M488" s="169"/>
      <c r="N488" s="29" t="s">
        <v>119</v>
      </c>
      <c r="O488" s="120"/>
      <c r="P488" s="120"/>
      <c r="Q488" s="120"/>
      <c r="R488" s="29">
        <v>0</v>
      </c>
      <c r="S488" s="238">
        <f t="shared" si="251"/>
        <v>142.35164391935592</v>
      </c>
      <c r="T488" s="238">
        <f t="shared" si="252"/>
        <v>142.35164391935592</v>
      </c>
      <c r="U488" s="238">
        <f t="shared" si="253"/>
        <v>0</v>
      </c>
      <c r="V488" s="29"/>
      <c r="W488" s="238">
        <f t="shared" si="254"/>
        <v>142.35164391935592</v>
      </c>
      <c r="X488" s="238">
        <f t="shared" si="255"/>
        <v>142.35164391935592</v>
      </c>
      <c r="Y488" s="238">
        <f t="shared" si="256"/>
        <v>142.35164391935592</v>
      </c>
      <c r="AA488" s="138"/>
      <c r="AB488" s="138"/>
      <c r="AC488" s="138"/>
      <c r="AD488" s="138"/>
      <c r="AE488" s="138"/>
      <c r="AF488" s="138"/>
      <c r="AG488" s="138"/>
      <c r="AH488" s="138"/>
      <c r="AI488" s="138"/>
      <c r="AJ488" s="138"/>
      <c r="AK488" s="138"/>
      <c r="AL488" s="138"/>
      <c r="AM488" s="138"/>
      <c r="AN488" s="138"/>
      <c r="BS488" s="160" t="s">
        <v>91</v>
      </c>
      <c r="BT488" s="172">
        <f>SLOPE((DF486:DF534),($B$46:$B$94))</f>
        <v>9.3130492105287637</v>
      </c>
      <c r="BU488" s="173">
        <f>INTERCEPT(DM486:DM534,DL486:DL534)</f>
        <v>147.91341348817375</v>
      </c>
      <c r="BZ488" s="160" t="s">
        <v>91</v>
      </c>
      <c r="CA488" s="172">
        <f ca="1">INDEX(LINEST((INDIRECT(DL483):INDIRECT(DM483)),(INDIRECT(DL484):INDIRECT(DM484))^{1,2}),1)</f>
        <v>-2.1794836131851913E-2</v>
      </c>
      <c r="CB488" s="174">
        <f ca="1">INDEX(LINEST((INDIRECT(DL483):INDIRECT(DM483)),(INDIRECT(DL484):INDIRECT(DM484))^{1,2}),1,2)</f>
        <v>10.272022000330246</v>
      </c>
      <c r="CC488" s="173">
        <f ca="1">INDEX(LINEST((INDIRECT(DL483):INDIRECT(DM483)),(INDIRECT(DL484):INDIRECT(DM484))^{1,2}),1,3)</f>
        <v>141.72368002672786</v>
      </c>
      <c r="CH488" s="160" t="s">
        <v>91</v>
      </c>
      <c r="CI488" s="172">
        <f ca="1">INDEX(LINEST((INDIRECT(DL483):INDIRECT(DM483)),(INDIRECT(DL484):INDIRECT(DM484))^{1,2,3}),1)</f>
        <v>4.8954233217800682E-4</v>
      </c>
      <c r="CJ488" s="174">
        <f ca="1">INDEX(LINEST((INDIRECT(DL483):INDIRECT(DM483)),(INDIRECT(DL484):INDIRECT(DM484))^{1,2,3}),1,2)</f>
        <v>-5.4104630055600469E-2</v>
      </c>
      <c r="CK488" s="174">
        <f ca="1">INDEX(LINEST((INDIRECT(DL483):INDIRECT(DM483)),(INDIRECT(DL484):INDIRECT(DM484))^{1,2,3}),1,3)</f>
        <v>10.806700135535076</v>
      </c>
      <c r="CL488" s="173">
        <f ca="1">INDEX(LINEST((INDIRECT(DL483):INDIRECT(DM483)),(INDIRECT(DL484):INDIRECT(DM484))^{1,2,3}),1,4)</f>
        <v>140.38605455828448</v>
      </c>
      <c r="CQ488" s="160" t="s">
        <v>91</v>
      </c>
      <c r="CR488" s="172">
        <f ca="1">EXP(INDEX(LINEST(LN(INDIRECT(DL483):INDIRECT(DM483)),(INDIRECT(DL484):INDIRECT(DM484))),1,2))</f>
        <v>169.29108306063685</v>
      </c>
      <c r="CS488" s="173">
        <f ca="1">INDEX(LINEST(LN(INDIRECT(DL483):INDIRECT(DM483)),(INDIRECT(DL484):INDIRECT(DM484))),1)</f>
        <v>2.9589155946658136E-2</v>
      </c>
      <c r="CZ488" s="164" t="b">
        <f t="shared" si="257"/>
        <v>1</v>
      </c>
      <c r="DA488" s="165" t="b">
        <f t="shared" si="257"/>
        <v>1</v>
      </c>
      <c r="DB488" s="166" t="b">
        <f t="shared" si="257"/>
        <v>1</v>
      </c>
      <c r="DC488" s="164">
        <f t="shared" si="258"/>
        <v>0</v>
      </c>
      <c r="DD488" s="166">
        <f t="shared" si="259"/>
        <v>142.35164391935592</v>
      </c>
      <c r="DE488" s="164">
        <f t="shared" si="260"/>
        <v>0</v>
      </c>
      <c r="DF488" s="166">
        <f t="shared" si="261"/>
        <v>142.35164391935592</v>
      </c>
      <c r="DG488" s="164">
        <f t="shared" si="262"/>
        <v>0</v>
      </c>
      <c r="DH488" s="166">
        <f t="shared" si="263"/>
        <v>142.35164391935592</v>
      </c>
      <c r="DI488" s="164">
        <f>IFERROR(INDEX(DC$486:DC$534,_xlfn.AGGREGATE(15,6,(ROW(DC$486:DC$534)-ROW(DC$486)+1)/(DC$486:DC$534&lt;&gt;""),ROWS(DI$1:DI3))),"")</f>
        <v>0</v>
      </c>
      <c r="DJ488" s="165">
        <f>IFERROR(INDEX(DD$486:DD$534,_xlfn.AGGREGATE(15,6,(ROW(DD$486:DD$534)-ROW(DD$486)+1)/(DD$486:DD$534&lt;&gt;""),ROWS(DJ$1:DJ3))),"")</f>
        <v>142.35164391935592</v>
      </c>
      <c r="DK488" s="166">
        <f t="shared" si="264"/>
        <v>488</v>
      </c>
      <c r="DL488" s="164">
        <f>IFERROR(INDEX(DE$486:DE$534,_xlfn.AGGREGATE(15,6,(ROW(DE$486:DE$534)-ROW(DE$486)+1)/(DE$486:DE$534&lt;&gt;""),ROWS(DL$1:DL3))),"")</f>
        <v>0</v>
      </c>
      <c r="DM488" s="165">
        <f>IFERROR(INDEX(DF$486:DF$534,_xlfn.AGGREGATE(15,6,(ROW(DF$486:DF$534)-ROW(DF$486)+1)/(DF$486:DF$534&lt;&gt;""),ROWS(DM$1:DM3))),"")</f>
        <v>142.35164391935592</v>
      </c>
      <c r="DN488" s="166">
        <f t="shared" si="265"/>
        <v>488</v>
      </c>
      <c r="DO488" s="164">
        <f>IFERROR(INDEX(DG$486:DG$534,_xlfn.AGGREGATE(15,6,(ROW(DG$486:DG$534)-ROW(DG$486)+1)/(DG$486:DG$534&lt;&gt;""),ROWS(DO$1:DO3))),"")</f>
        <v>0</v>
      </c>
      <c r="DP488" s="165">
        <f>IFERROR(INDEX(DH$486:DH$534,_xlfn.AGGREGATE(15,6,(ROW(DH$486:DH$534)-ROW(DH$486)+1)/(DH$486:DH$534&lt;&gt;""),ROWS(DP$1:DP3))),"")</f>
        <v>142.35164391935592</v>
      </c>
      <c r="DQ488" s="166">
        <f t="shared" si="266"/>
        <v>488</v>
      </c>
      <c r="DV488" s="145">
        <v>2017</v>
      </c>
      <c r="DW488" s="235">
        <f t="shared" ca="1" si="250"/>
        <v>172.33243093735811</v>
      </c>
      <c r="DZ488" s="65" t="s">
        <v>89</v>
      </c>
      <c r="EA488" s="33"/>
      <c r="EB488" s="33"/>
      <c r="EC488" s="33"/>
      <c r="ED488" s="33"/>
      <c r="EE488" s="33"/>
    </row>
    <row r="489" spans="1:135" ht="14.1" thickBot="1" x14ac:dyDescent="0.5">
      <c r="A489" s="949" t="s">
        <v>80</v>
      </c>
      <c r="B489" s="128">
        <v>2015</v>
      </c>
      <c r="C489" s="1144">
        <v>155.37582195967795</v>
      </c>
      <c r="D489" s="1144">
        <v>155.37582195967795</v>
      </c>
      <c r="E489" s="151"/>
      <c r="F489" s="894"/>
      <c r="G489" s="795"/>
      <c r="H489" s="151"/>
      <c r="I489" s="1147">
        <v>155.37582195967795</v>
      </c>
      <c r="J489" s="1147">
        <v>155.37582195967795</v>
      </c>
      <c r="K489" s="982"/>
      <c r="L489" s="985"/>
      <c r="M489" s="151"/>
      <c r="N489" s="29" t="s">
        <v>119</v>
      </c>
      <c r="O489" s="120"/>
      <c r="P489" s="120"/>
      <c r="Q489" s="120"/>
      <c r="R489" s="29">
        <v>1</v>
      </c>
      <c r="S489" s="238">
        <f t="shared" si="251"/>
        <v>155.37582195967795</v>
      </c>
      <c r="T489" s="238">
        <f t="shared" si="252"/>
        <v>155.37582195967795</v>
      </c>
      <c r="U489" s="238">
        <f t="shared" si="253"/>
        <v>0</v>
      </c>
      <c r="V489" s="29"/>
      <c r="W489" s="238">
        <f t="shared" si="254"/>
        <v>155.37582195967795</v>
      </c>
      <c r="X489" s="238">
        <f t="shared" si="255"/>
        <v>155.37582195967795</v>
      </c>
      <c r="Y489" s="238">
        <f t="shared" si="256"/>
        <v>155.37582195967795</v>
      </c>
      <c r="AA489" s="138"/>
      <c r="AB489" s="138"/>
      <c r="AC489" s="138"/>
      <c r="AD489" s="138"/>
      <c r="AE489" s="138"/>
      <c r="AF489" s="138"/>
      <c r="AG489" s="138"/>
      <c r="AH489" s="138"/>
      <c r="AI489" s="138"/>
      <c r="AJ489" s="138"/>
      <c r="AK489" s="138"/>
      <c r="AL489" s="138"/>
      <c r="AM489" s="138"/>
      <c r="AN489" s="138"/>
      <c r="BR489" s="29"/>
      <c r="BS489" s="160" t="s">
        <v>15</v>
      </c>
      <c r="BT489" s="177">
        <f>SLOPE((DD486:DD534),($B$46:$B$94))</f>
        <v>4.7492692238660332</v>
      </c>
      <c r="BU489" s="178">
        <f>INTERCEPT(DJ486:DJ534,DI486:DI534)</f>
        <v>144.44150278315135</v>
      </c>
      <c r="BV489" s="691" t="s">
        <v>71</v>
      </c>
      <c r="BY489" s="29"/>
      <c r="BZ489" s="160" t="s">
        <v>15</v>
      </c>
      <c r="CA489" s="177">
        <f ca="1">INDEX(LINEST((INDIRECT(DI483):INDIRECT(DJ483)),(INDIRECT(DI484):INDIRECT(DJ484))^{1,2}),1)</f>
        <v>-1.9774362887509386E-2</v>
      </c>
      <c r="CB489" s="179">
        <f ca="1">INDEX(LINEST((INDIRECT(DI483):INDIRECT(DJ483)),(INDIRECT(DI484):INDIRECT(DJ484))^{1,2}),1,2)</f>
        <v>5.6193411909164483</v>
      </c>
      <c r="CC489" s="178">
        <f ca="1">INDEX(LINEST((INDIRECT(DI483):INDIRECT(DJ483)),(INDIRECT(DI484):INDIRECT(DJ484))^{1,2}),1,3)</f>
        <v>138.82558372309862</v>
      </c>
      <c r="CD489" s="691" t="s">
        <v>71</v>
      </c>
      <c r="CG489" s="29"/>
      <c r="CH489" s="160" t="s">
        <v>15</v>
      </c>
      <c r="CI489" s="177">
        <f ca="1">INDEX(LINEST((INDIRECT(DI483):INDIRECT(DJ483)),(INDIRECT(DI484):INDIRECT(DJ484))^{1,2,3}),1)</f>
        <v>2.3276558989464584E-4</v>
      </c>
      <c r="CJ489" s="179">
        <f ca="1">INDEX(LINEST((INDIRECT(DI483):INDIRECT(DJ483)),(INDIRECT(DI484):INDIRECT(DJ484))^{1,2,3}),1,2)</f>
        <v>-3.5136891820556078E-2</v>
      </c>
      <c r="CK489" s="179">
        <f ca="1">INDEX(LINEST((INDIRECT(DI483):INDIRECT(DJ483)),(INDIRECT(DI484):INDIRECT(DJ484))^{1,2,3}),1,3)</f>
        <v>5.8735677681993828</v>
      </c>
      <c r="CL489" s="178">
        <f ca="1">INDEX(LINEST((INDIRECT(DI483):INDIRECT(DJ483)),(INDIRECT(DI484):INDIRECT(DJ484))^{1,2,3}),1,4)</f>
        <v>138.18957502527047</v>
      </c>
      <c r="CM489" s="691" t="s">
        <v>71</v>
      </c>
      <c r="CP489" s="29"/>
      <c r="CQ489" s="160" t="s">
        <v>15</v>
      </c>
      <c r="CR489" s="177">
        <f ca="1">EXP(INDEX(LINEST(LN(INDIRECT(DI483):INDIRECT(DJ483)),(INDIRECT(DI484):INDIRECT(DJ484))),1,2))</f>
        <v>152.70050259885332</v>
      </c>
      <c r="CS489" s="178">
        <f ca="1">INDEX(LINEST(LN(INDIRECT(DI483):INDIRECT(DJ483)),(INDIRECT(DI484):INDIRECT(DJ484))),1)</f>
        <v>2.0359501182981833E-2</v>
      </c>
      <c r="CT489" s="691" t="s">
        <v>71</v>
      </c>
      <c r="CZ489" s="164" t="b">
        <f t="shared" si="257"/>
        <v>1</v>
      </c>
      <c r="DA489" s="165" t="b">
        <f t="shared" si="257"/>
        <v>1</v>
      </c>
      <c r="DB489" s="166" t="b">
        <f t="shared" si="257"/>
        <v>1</v>
      </c>
      <c r="DC489" s="164">
        <f t="shared" si="258"/>
        <v>1</v>
      </c>
      <c r="DD489" s="166">
        <f t="shared" si="259"/>
        <v>155.37582195967795</v>
      </c>
      <c r="DE489" s="164">
        <f t="shared" si="260"/>
        <v>1</v>
      </c>
      <c r="DF489" s="166">
        <f t="shared" si="261"/>
        <v>155.37582195967795</v>
      </c>
      <c r="DG489" s="164">
        <f t="shared" si="262"/>
        <v>1</v>
      </c>
      <c r="DH489" s="166">
        <f t="shared" si="263"/>
        <v>155.37582195967795</v>
      </c>
      <c r="DI489" s="164">
        <f>IFERROR(INDEX(DC$486:DC$534,_xlfn.AGGREGATE(15,6,(ROW(DC$486:DC$534)-ROW(DC$486)+1)/(DC$486:DC$534&lt;&gt;""),ROWS(DI$1:DI4))),"")</f>
        <v>1</v>
      </c>
      <c r="DJ489" s="165">
        <f>IFERROR(INDEX(DD$486:DD$534,_xlfn.AGGREGATE(15,6,(ROW(DD$486:DD$534)-ROW(DD$486)+1)/(DD$486:DD$534&lt;&gt;""),ROWS(DJ$1:DJ4))),"")</f>
        <v>155.37582195967795</v>
      </c>
      <c r="DK489" s="166">
        <f t="shared" si="264"/>
        <v>489</v>
      </c>
      <c r="DL489" s="164">
        <f>IFERROR(INDEX(DE$486:DE$534,_xlfn.AGGREGATE(15,6,(ROW(DE$486:DE$534)-ROW(DE$486)+1)/(DE$486:DE$534&lt;&gt;""),ROWS(DL$1:DL4))),"")</f>
        <v>1</v>
      </c>
      <c r="DM489" s="165">
        <f>IFERROR(INDEX(DF$486:DF$534,_xlfn.AGGREGATE(15,6,(ROW(DF$486:DF$534)-ROW(DF$486)+1)/(DF$486:DF$534&lt;&gt;""),ROWS(DM$1:DM4))),"")</f>
        <v>155.37582195967795</v>
      </c>
      <c r="DN489" s="166">
        <f t="shared" si="265"/>
        <v>489</v>
      </c>
      <c r="DO489" s="164">
        <f>IFERROR(INDEX(DG$486:DG$534,_xlfn.AGGREGATE(15,6,(ROW(DG$486:DG$534)-ROW(DG$486)+1)/(DG$486:DG$534&lt;&gt;""),ROWS(DO$1:DO4))),"")</f>
        <v>1</v>
      </c>
      <c r="DP489" s="165">
        <f>IFERROR(INDEX(DH$486:DH$534,_xlfn.AGGREGATE(15,6,(ROW(DH$486:DH$534)-ROW(DH$486)+1)/(DH$486:DH$534&lt;&gt;""),ROWS(DP$1:DP4))),"")</f>
        <v>155.37582195967795</v>
      </c>
      <c r="DQ489" s="166">
        <f t="shared" si="266"/>
        <v>489</v>
      </c>
      <c r="DV489" s="145">
        <v>2018</v>
      </c>
      <c r="DW489" s="235">
        <f t="shared" ca="1" si="250"/>
        <v>182.77851172879457</v>
      </c>
      <c r="EA489" s="33" t="s">
        <v>85</v>
      </c>
      <c r="EB489" s="33" t="s">
        <v>84</v>
      </c>
      <c r="EC489" s="33" t="s">
        <v>82</v>
      </c>
      <c r="ED489" s="33" t="s">
        <v>83</v>
      </c>
      <c r="EE489" s="33"/>
    </row>
    <row r="490" spans="1:135" ht="13.8" x14ac:dyDescent="0.45">
      <c r="A490" s="148" t="s">
        <v>88</v>
      </c>
      <c r="B490" s="128">
        <v>2016</v>
      </c>
      <c r="C490" s="1144">
        <v>168.4</v>
      </c>
      <c r="D490" s="1144">
        <v>168.4</v>
      </c>
      <c r="E490" s="151"/>
      <c r="F490" s="894"/>
      <c r="G490" s="795"/>
      <c r="H490" s="151"/>
      <c r="I490" s="1147">
        <v>168.4</v>
      </c>
      <c r="J490" s="1147">
        <v>168.4</v>
      </c>
      <c r="K490" s="795"/>
      <c r="L490" s="152"/>
      <c r="M490" s="151"/>
      <c r="N490" s="29" t="s">
        <v>119</v>
      </c>
      <c r="O490" s="120"/>
      <c r="P490" s="120"/>
      <c r="Q490" s="120"/>
      <c r="R490" s="29">
        <v>2</v>
      </c>
      <c r="S490" s="238">
        <f t="shared" si="251"/>
        <v>168.4</v>
      </c>
      <c r="T490" s="238">
        <f t="shared" si="252"/>
        <v>168.4</v>
      </c>
      <c r="U490" s="238">
        <f t="shared" si="253"/>
        <v>0</v>
      </c>
      <c r="V490" s="29"/>
      <c r="W490" s="238">
        <f t="shared" si="254"/>
        <v>168.4</v>
      </c>
      <c r="X490" s="238">
        <f t="shared" si="255"/>
        <v>168.4</v>
      </c>
      <c r="Y490" s="238">
        <f t="shared" si="256"/>
        <v>168.4</v>
      </c>
      <c r="AA490" s="138"/>
      <c r="AB490" s="138"/>
      <c r="AC490" s="138"/>
      <c r="AD490" s="138"/>
      <c r="AE490" s="138"/>
      <c r="AF490" s="138"/>
      <c r="AG490" s="138"/>
      <c r="AH490" s="138"/>
      <c r="AI490" s="138"/>
      <c r="AJ490" s="138"/>
      <c r="AK490" s="138"/>
      <c r="AL490" s="138"/>
      <c r="AM490" s="138"/>
      <c r="AN490" s="138"/>
      <c r="BR490" s="180">
        <v>2014</v>
      </c>
      <c r="BS490" s="22">
        <v>0</v>
      </c>
      <c r="BT490" s="181">
        <f t="shared" ref="BT490:BT536" si="267">IF($BS$486="High",BS490*$BT$487,IF($BS$486="Medium",$BT$488*BS490,IF($BS$486="Low",$BT$489*BS490)))</f>
        <v>0</v>
      </c>
      <c r="BU490" s="182">
        <f t="shared" ref="BU490:BU536" si="268">IF($BS$486="High",$BU$487,IF($BS$486="Medium",$BU$488,IF($BS$486="Low",BU489)))</f>
        <v>147.91341348817375</v>
      </c>
      <c r="BV490" s="241">
        <f t="shared" ref="BV490:BV536" si="269">BT490+BU490</f>
        <v>147.91341348817375</v>
      </c>
      <c r="BY490" s="180">
        <v>2014</v>
      </c>
      <c r="BZ490" s="22">
        <v>0</v>
      </c>
      <c r="CA490" s="181">
        <f t="shared" ref="CA490:CA536" ca="1" si="270">IF($BZ$486="High",BZ490^2*$CA$487,IF($BZ$486="Medium",BZ490^2*$CA$488,IF($BZ$486="Low",BZ490^2*$CA$489)))</f>
        <v>0</v>
      </c>
      <c r="CB490" s="181">
        <f t="shared" ref="CB490:CB536" ca="1" si="271">IF($BZ$486="High",BZ490*$CB$487,IF($BZ$486="Medium",BZ490*$CB$488,IF($BZ$486="Low",BZ490*$CB$489)))</f>
        <v>0</v>
      </c>
      <c r="CC490" s="182">
        <f ca="1">IF($BZ$486="High",$CC$487,IF($BZ$486="Medium",$CC$488,IF($BZ$486="Low",$CC$489)))</f>
        <v>141.72368002672786</v>
      </c>
      <c r="CD490" s="241">
        <f t="shared" ref="CD490:CD536" ca="1" si="272">CA490+CB490+CC490</f>
        <v>141.72368002672786</v>
      </c>
      <c r="CG490" s="180">
        <v>2014</v>
      </c>
      <c r="CH490" s="22">
        <v>0</v>
      </c>
      <c r="CI490" s="181">
        <f t="shared" ref="CI490:CI536" ca="1" si="273">IF($CH$486="High",CH490^3*$CI$487,IF($CH$486="Medium",CH490^3*$CI$488,IF($CH$486="Low",CH490^3*$CI$489)))</f>
        <v>0</v>
      </c>
      <c r="CJ490" s="181">
        <f t="shared" ref="CJ490:CJ536" ca="1" si="274">IF($CH$486="High",CH490^2*$CJ$487,IF($CH$486="Medium",CH490^2*$CJ$488,IF($CH$486="Low",CH490^2*$CJ$489)))</f>
        <v>0</v>
      </c>
      <c r="CK490" s="181">
        <f t="shared" ref="CK490:CK536" ca="1" si="275">IF($CH$486="High",CH490*$CK$487,IF($CH$486="Medium",CH490*$CK$488,IF($CH$486="Low",CH490*$CK$489)))</f>
        <v>0</v>
      </c>
      <c r="CL490" s="182">
        <f t="shared" ref="CL490:CL536" ca="1" si="276">IF($CH$486="High",$CL$487,IF($CH$486="Medium",$CL$488,IF($CH$486="Low",$CL$489)))</f>
        <v>140.38605455828448</v>
      </c>
      <c r="CM490" s="241">
        <f t="shared" ref="CM490:CM536" ca="1" si="277">CI490+CJ490+CK490+CL490</f>
        <v>140.38605455828448</v>
      </c>
      <c r="CP490" s="180">
        <v>2014</v>
      </c>
      <c r="CQ490" s="22">
        <v>0</v>
      </c>
      <c r="CR490" s="181">
        <f t="shared" ref="CR490:CR536" ca="1" si="278">IF($CQ$486="High",$CR$487,IF($CQ$486="Medium",$CR$488,IF($CQ$486="Low",$CR$489)))</f>
        <v>169.29108306063685</v>
      </c>
      <c r="CS490" s="182">
        <f t="shared" ref="CS490:CS536" ca="1" si="279">IF($CQ$486="High",EXP(1)^($CS$487*CQ490),IF($CQ$486="Medium",EXP(1)^($CS$488*CQ490),IF($CQ$486="Low",EXP(1)^($CS$489*CQ490))))</f>
        <v>1</v>
      </c>
      <c r="CT490" s="241">
        <f t="shared" ref="CT490:CT536" ca="1" si="280">(CR490*CS490)</f>
        <v>169.29108306063685</v>
      </c>
      <c r="CZ490" s="164" t="b">
        <f t="shared" si="257"/>
        <v>1</v>
      </c>
      <c r="DA490" s="165" t="b">
        <f t="shared" si="257"/>
        <v>1</v>
      </c>
      <c r="DB490" s="166" t="b">
        <f t="shared" si="257"/>
        <v>1</v>
      </c>
      <c r="DC490" s="164">
        <f t="shared" si="258"/>
        <v>2</v>
      </c>
      <c r="DD490" s="166">
        <f t="shared" si="259"/>
        <v>168.4</v>
      </c>
      <c r="DE490" s="164">
        <f t="shared" si="260"/>
        <v>2</v>
      </c>
      <c r="DF490" s="166">
        <f t="shared" si="261"/>
        <v>168.4</v>
      </c>
      <c r="DG490" s="164">
        <f t="shared" si="262"/>
        <v>2</v>
      </c>
      <c r="DH490" s="166">
        <f t="shared" si="263"/>
        <v>168.4</v>
      </c>
      <c r="DI490" s="164">
        <f>IFERROR(INDEX(DC$486:DC$534,_xlfn.AGGREGATE(15,6,(ROW(DC$486:DC$534)-ROW(DC$486)+1)/(DC$486:DC$534&lt;&gt;""),ROWS(DI$1:DI5))),"")</f>
        <v>2</v>
      </c>
      <c r="DJ490" s="165">
        <f>IFERROR(INDEX(DD$486:DD$534,_xlfn.AGGREGATE(15,6,(ROW(DD$486:DD$534)-ROW(DD$486)+1)/(DD$486:DD$534&lt;&gt;""),ROWS(DJ$1:DJ5))),"")</f>
        <v>168.4</v>
      </c>
      <c r="DK490" s="166">
        <f t="shared" si="264"/>
        <v>490</v>
      </c>
      <c r="DL490" s="164">
        <f>IFERROR(INDEX(DE$486:DE$534,_xlfn.AGGREGATE(15,6,(ROW(DE$486:DE$534)-ROW(DE$486)+1)/(DE$486:DE$534&lt;&gt;""),ROWS(DL$1:DL5))),"")</f>
        <v>2</v>
      </c>
      <c r="DM490" s="165">
        <f>IFERROR(INDEX(DF$486:DF$534,_xlfn.AGGREGATE(15,6,(ROW(DF$486:DF$534)-ROW(DF$486)+1)/(DF$486:DF$534&lt;&gt;""),ROWS(DM$1:DM5))),"")</f>
        <v>168.4</v>
      </c>
      <c r="DN490" s="166">
        <f t="shared" si="265"/>
        <v>490</v>
      </c>
      <c r="DO490" s="164">
        <f>IFERROR(INDEX(DG$486:DG$534,_xlfn.AGGREGATE(15,6,(ROW(DG$486:DG$534)-ROW(DG$486)+1)/(DG$486:DG$534&lt;&gt;""),ROWS(DO$1:DO5))),"")</f>
        <v>2</v>
      </c>
      <c r="DP490" s="165">
        <f>IFERROR(INDEX(DH$486:DH$534,_xlfn.AGGREGATE(15,6,(ROW(DH$486:DH$534)-ROW(DH$486)+1)/(DH$486:DH$534&lt;&gt;""),ROWS(DP$1:DP5))),"")</f>
        <v>168.4</v>
      </c>
      <c r="DQ490" s="166">
        <f t="shared" si="266"/>
        <v>490</v>
      </c>
      <c r="DV490" s="145">
        <v>2019</v>
      </c>
      <c r="DW490" s="235">
        <f t="shared" ca="1" si="250"/>
        <v>193.12813227609212</v>
      </c>
      <c r="DZ490" s="135" t="s">
        <v>92</v>
      </c>
      <c r="EA490" s="33">
        <f ca="1">IF($EA$484="Linear",0,IF($EA$484="2nd Poly",0,IF($EA$484="3rd Poly",CI487,IF($EA$484="Exp",0))))</f>
        <v>7.4631907446136877E-4</v>
      </c>
      <c r="EB490" s="33">
        <f ca="1">IF($EA$484="Linear",0,IF($EA$484="2nd Poly",CA487,IF($EA$484="3rd Poly",CJ487,IF($EA$484="Exp",0))))</f>
        <v>-7.3072368290644535E-2</v>
      </c>
      <c r="EC490" s="33">
        <f t="shared" ref="EC490:ED492" ca="1" si="281">IF($EA$484="Linear",BT487,IF($EA$484="2nd Poly",CB487,IF($EA$484="3rd Poly",CK487,IF($EA$484="Exp",0))))</f>
        <v>15.739832502870753</v>
      </c>
      <c r="ED490" s="33">
        <f t="shared" ca="1" si="281"/>
        <v>142.58253409129816</v>
      </c>
      <c r="EE490" s="33" t="str">
        <f>IF($EA$484="Linear","High",IF($EA$484="2nd Poly","High",IF($EA$484="3rd Poly","High","N/A")))</f>
        <v>High</v>
      </c>
    </row>
    <row r="491" spans="1:135" ht="13.8" x14ac:dyDescent="0.45">
      <c r="A491" s="262" t="s">
        <v>90</v>
      </c>
      <c r="B491" s="128">
        <v>2017</v>
      </c>
      <c r="C491" s="951">
        <v>181.42417804032203</v>
      </c>
      <c r="D491" s="795">
        <v>189.53524885017947</v>
      </c>
      <c r="E491" s="169"/>
      <c r="F491" s="931"/>
      <c r="G491" s="917"/>
      <c r="H491" s="169"/>
      <c r="I491" s="931">
        <v>136.32432432432432</v>
      </c>
      <c r="J491" s="917">
        <v>172.64516129032256</v>
      </c>
      <c r="K491" s="917"/>
      <c r="L491" s="170"/>
      <c r="M491" s="169"/>
      <c r="N491" s="29" t="s">
        <v>119</v>
      </c>
      <c r="O491" s="120"/>
      <c r="P491" s="120"/>
      <c r="Q491" s="120"/>
      <c r="R491" s="29">
        <v>3</v>
      </c>
      <c r="S491" s="238">
        <f t="shared" si="251"/>
        <v>136.32432432432432</v>
      </c>
      <c r="T491" s="238">
        <f t="shared" si="252"/>
        <v>189.53524885017947</v>
      </c>
      <c r="U491" s="238">
        <f t="shared" si="253"/>
        <v>20.329686044320301</v>
      </c>
      <c r="V491" s="29"/>
      <c r="W491" s="238">
        <f t="shared" si="254"/>
        <v>149.6525420819668</v>
      </c>
      <c r="X491" s="238">
        <f t="shared" si="255"/>
        <v>169.98222812628711</v>
      </c>
      <c r="Y491" s="238">
        <f t="shared" si="256"/>
        <v>190.31191417060742</v>
      </c>
      <c r="AA491" s="138"/>
      <c r="AB491" s="138"/>
      <c r="AC491" s="138"/>
      <c r="AD491" s="138"/>
      <c r="AE491" s="138"/>
      <c r="AF491" s="138"/>
      <c r="AG491" s="138"/>
      <c r="AH491" s="138"/>
      <c r="AI491" s="138"/>
      <c r="AJ491" s="138"/>
      <c r="AK491" s="138"/>
      <c r="AL491" s="138"/>
      <c r="AM491" s="138"/>
      <c r="AN491" s="138"/>
      <c r="BR491" s="180">
        <v>2015</v>
      </c>
      <c r="BS491" s="22">
        <v>1</v>
      </c>
      <c r="BT491" s="198">
        <f t="shared" si="267"/>
        <v>9.3130492105287637</v>
      </c>
      <c r="BU491" s="276">
        <f t="shared" si="268"/>
        <v>147.91341348817375</v>
      </c>
      <c r="BV491" s="241">
        <f t="shared" si="269"/>
        <v>157.22646269870251</v>
      </c>
      <c r="BY491" s="180">
        <v>2015</v>
      </c>
      <c r="BZ491" s="22">
        <v>1</v>
      </c>
      <c r="CA491" s="198">
        <f t="shared" ca="1" si="270"/>
        <v>-2.1794836131851913E-2</v>
      </c>
      <c r="CB491" s="198">
        <f t="shared" ca="1" si="271"/>
        <v>10.272022000330246</v>
      </c>
      <c r="CC491" s="276">
        <f t="shared" ref="CC491:CC536" ca="1" si="282">CC490</f>
        <v>141.72368002672786</v>
      </c>
      <c r="CD491" s="241">
        <f t="shared" ca="1" si="272"/>
        <v>151.97390719092627</v>
      </c>
      <c r="CG491" s="180">
        <v>2015</v>
      </c>
      <c r="CH491" s="22">
        <v>1</v>
      </c>
      <c r="CI491" s="198">
        <f t="shared" ca="1" si="273"/>
        <v>4.8954233217800682E-4</v>
      </c>
      <c r="CJ491" s="198">
        <f t="shared" ca="1" si="274"/>
        <v>-5.4104630055600469E-2</v>
      </c>
      <c r="CK491" s="198">
        <f t="shared" ca="1" si="275"/>
        <v>10.806700135535076</v>
      </c>
      <c r="CL491" s="276">
        <f t="shared" ca="1" si="276"/>
        <v>140.38605455828448</v>
      </c>
      <c r="CM491" s="241">
        <f t="shared" ca="1" si="277"/>
        <v>151.13913960609614</v>
      </c>
      <c r="CP491" s="180">
        <v>2015</v>
      </c>
      <c r="CQ491" s="22">
        <v>1</v>
      </c>
      <c r="CR491" s="198">
        <f t="shared" ca="1" si="278"/>
        <v>169.29108306063685</v>
      </c>
      <c r="CS491" s="276">
        <f t="shared" ca="1" si="279"/>
        <v>1.0300312647907659</v>
      </c>
      <c r="CT491" s="241">
        <f t="shared" ca="1" si="280"/>
        <v>174.37510840274638</v>
      </c>
      <c r="CZ491" s="164" t="b">
        <f t="shared" si="257"/>
        <v>1</v>
      </c>
      <c r="DA491" s="165" t="b">
        <f t="shared" si="257"/>
        <v>1</v>
      </c>
      <c r="DB491" s="166" t="b">
        <f t="shared" si="257"/>
        <v>1</v>
      </c>
      <c r="DC491" s="164">
        <f t="shared" si="258"/>
        <v>3</v>
      </c>
      <c r="DD491" s="166">
        <f t="shared" si="259"/>
        <v>149.6525420819668</v>
      </c>
      <c r="DE491" s="164">
        <f t="shared" si="260"/>
        <v>3</v>
      </c>
      <c r="DF491" s="166">
        <f t="shared" si="261"/>
        <v>169.98222812628711</v>
      </c>
      <c r="DG491" s="164">
        <f t="shared" si="262"/>
        <v>3</v>
      </c>
      <c r="DH491" s="166">
        <f t="shared" si="263"/>
        <v>190.31191417060742</v>
      </c>
      <c r="DI491" s="164">
        <f>IFERROR(INDEX(DC$486:DC$534,_xlfn.AGGREGATE(15,6,(ROW(DC$486:DC$534)-ROW(DC$486)+1)/(DC$486:DC$534&lt;&gt;""),ROWS(DI$1:DI6))),"")</f>
        <v>3</v>
      </c>
      <c r="DJ491" s="165">
        <f>IFERROR(INDEX(DD$486:DD$534,_xlfn.AGGREGATE(15,6,(ROW(DD$486:DD$534)-ROW(DD$486)+1)/(DD$486:DD$534&lt;&gt;""),ROWS(DJ$1:DJ6))),"")</f>
        <v>149.6525420819668</v>
      </c>
      <c r="DK491" s="166">
        <f t="shared" si="264"/>
        <v>491</v>
      </c>
      <c r="DL491" s="164">
        <f>IFERROR(INDEX(DE$486:DE$534,_xlfn.AGGREGATE(15,6,(ROW(DE$486:DE$534)-ROW(DE$486)+1)/(DE$486:DE$534&lt;&gt;""),ROWS(DL$1:DL6))),"")</f>
        <v>3</v>
      </c>
      <c r="DM491" s="165">
        <f>IFERROR(INDEX(DF$486:DF$534,_xlfn.AGGREGATE(15,6,(ROW(DF$486:DF$534)-ROW(DF$486)+1)/(DF$486:DF$534&lt;&gt;""),ROWS(DM$1:DM6))),"")</f>
        <v>169.98222812628711</v>
      </c>
      <c r="DN491" s="166">
        <f t="shared" si="265"/>
        <v>491</v>
      </c>
      <c r="DO491" s="164">
        <f>IFERROR(INDEX(DG$486:DG$534,_xlfn.AGGREGATE(15,6,(ROW(DG$486:DG$534)-ROW(DG$486)+1)/(DG$486:DG$534&lt;&gt;""),ROWS(DO$1:DO6))),"")</f>
        <v>3</v>
      </c>
      <c r="DP491" s="165">
        <f>IFERROR(INDEX(DH$486:DH$534,_xlfn.AGGREGATE(15,6,(ROW(DH$486:DH$534)-ROW(DH$486)+1)/(DH$486:DH$534&lt;&gt;""),ROWS(DP$1:DP6))),"")</f>
        <v>190.31191417060742</v>
      </c>
      <c r="DQ491" s="166">
        <f t="shared" si="266"/>
        <v>491</v>
      </c>
      <c r="DV491" s="145">
        <v>2020</v>
      </c>
      <c r="DW491" s="235">
        <f t="shared" ca="1" si="250"/>
        <v>203.38422983324378</v>
      </c>
      <c r="DZ491" s="135" t="s">
        <v>92</v>
      </c>
      <c r="EA491" s="33">
        <f ca="1">IF($EA$484="Linear",0,IF($EA$484="2nd Poly",0,IF($EA$484="3rd Poly",CI488,IF($EA$484="Exp",0))))</f>
        <v>4.8954233217800682E-4</v>
      </c>
      <c r="EB491" s="33">
        <f ca="1">IF($EA$484="Linear",0,IF($EA$484="2nd Poly",CA488,IF($EA$484="3rd Poly",CJ488,IF($EA$484="Exp",0))))</f>
        <v>-5.4104630055600469E-2</v>
      </c>
      <c r="EC491" s="33">
        <f t="shared" ca="1" si="281"/>
        <v>10.806700135535076</v>
      </c>
      <c r="ED491" s="33">
        <f t="shared" ca="1" si="281"/>
        <v>140.38605455828448</v>
      </c>
      <c r="EE491" s="33" t="str">
        <f>IF($EA$484="Linear","Medium",IF($EA$484="2nd Poly","Medium",IF($EA$484="3rd Poly","Medium","N/A")))</f>
        <v>Medium</v>
      </c>
    </row>
    <row r="492" spans="1:135" ht="13.8" x14ac:dyDescent="0.45">
      <c r="A492" s="948" t="s">
        <v>116</v>
      </c>
      <c r="B492" s="128">
        <v>2018</v>
      </c>
      <c r="C492" s="951">
        <v>194.44835608064409</v>
      </c>
      <c r="D492" s="795">
        <v>206.44156534097016</v>
      </c>
      <c r="E492" s="151"/>
      <c r="F492" s="894"/>
      <c r="G492" s="795"/>
      <c r="H492" s="151"/>
      <c r="I492" s="1110">
        <v>143.40540540540542</v>
      </c>
      <c r="J492" s="1109">
        <v>176.89032258064512</v>
      </c>
      <c r="K492" s="795"/>
      <c r="L492" s="152"/>
      <c r="M492" s="151"/>
      <c r="N492" s="29" t="s">
        <v>119</v>
      </c>
      <c r="O492" s="120"/>
      <c r="P492" s="120"/>
      <c r="Q492" s="120"/>
      <c r="R492" s="29">
        <v>4</v>
      </c>
      <c r="S492" s="238">
        <f t="shared" si="251"/>
        <v>143.40540540540542</v>
      </c>
      <c r="T492" s="238">
        <f t="shared" si="252"/>
        <v>206.44156534097016</v>
      </c>
      <c r="U492" s="238">
        <f t="shared" si="253"/>
        <v>23.750759867736807</v>
      </c>
      <c r="V492" s="20"/>
      <c r="W492" s="238">
        <f t="shared" si="254"/>
        <v>156.54565248417939</v>
      </c>
      <c r="X492" s="238">
        <f t="shared" si="255"/>
        <v>180.29641235191619</v>
      </c>
      <c r="Y492" s="238">
        <f t="shared" si="256"/>
        <v>204.04717221965299</v>
      </c>
      <c r="AA492" s="138"/>
      <c r="AB492" s="138"/>
      <c r="AC492" s="138"/>
      <c r="AD492" s="138"/>
      <c r="AE492" s="138"/>
      <c r="AF492" s="138"/>
      <c r="AG492" s="138"/>
      <c r="AH492" s="138"/>
      <c r="AI492" s="138"/>
      <c r="AJ492" s="138"/>
      <c r="AK492" s="138"/>
      <c r="AL492" s="138"/>
      <c r="AM492" s="138"/>
      <c r="AN492" s="138"/>
      <c r="BR492" s="180">
        <v>2016</v>
      </c>
      <c r="BS492" s="22">
        <v>2</v>
      </c>
      <c r="BT492" s="198">
        <f t="shared" si="267"/>
        <v>18.626098421057527</v>
      </c>
      <c r="BU492" s="276">
        <f t="shared" si="268"/>
        <v>147.91341348817375</v>
      </c>
      <c r="BV492" s="241">
        <f t="shared" si="269"/>
        <v>166.53951190923127</v>
      </c>
      <c r="BY492" s="180">
        <v>2016</v>
      </c>
      <c r="BZ492" s="22">
        <v>2</v>
      </c>
      <c r="CA492" s="198">
        <f t="shared" ca="1" si="270"/>
        <v>-8.7179344527407651E-2</v>
      </c>
      <c r="CB492" s="198">
        <f t="shared" ca="1" si="271"/>
        <v>20.544044000660492</v>
      </c>
      <c r="CC492" s="276">
        <f t="shared" ca="1" si="282"/>
        <v>141.72368002672786</v>
      </c>
      <c r="CD492" s="241">
        <f t="shared" ca="1" si="272"/>
        <v>162.18054468286095</v>
      </c>
      <c r="CG492" s="180">
        <v>2016</v>
      </c>
      <c r="CH492" s="22">
        <v>2</v>
      </c>
      <c r="CI492" s="198">
        <f t="shared" ca="1" si="273"/>
        <v>3.9163386574240545E-3</v>
      </c>
      <c r="CJ492" s="198">
        <f t="shared" ca="1" si="274"/>
        <v>-0.21641852022240188</v>
      </c>
      <c r="CK492" s="198">
        <f t="shared" ca="1" si="275"/>
        <v>21.613400271070152</v>
      </c>
      <c r="CL492" s="276">
        <f t="shared" ca="1" si="276"/>
        <v>140.38605455828448</v>
      </c>
      <c r="CM492" s="241">
        <f t="shared" ca="1" si="277"/>
        <v>161.78695264778966</v>
      </c>
      <c r="CP492" s="180">
        <v>2016</v>
      </c>
      <c r="CQ492" s="22">
        <v>2</v>
      </c>
      <c r="CR492" s="198">
        <f t="shared" ca="1" si="278"/>
        <v>169.29108306063685</v>
      </c>
      <c r="CS492" s="276">
        <f t="shared" ca="1" si="279"/>
        <v>1.0609644064464647</v>
      </c>
      <c r="CT492" s="241">
        <f t="shared" ca="1" si="280"/>
        <v>179.61181345610774</v>
      </c>
      <c r="CZ492" s="164" t="b">
        <f t="shared" si="257"/>
        <v>1</v>
      </c>
      <c r="DA492" s="165" t="b">
        <f t="shared" si="257"/>
        <v>1</v>
      </c>
      <c r="DB492" s="166" t="b">
        <f t="shared" si="257"/>
        <v>1</v>
      </c>
      <c r="DC492" s="164">
        <f t="shared" si="258"/>
        <v>4</v>
      </c>
      <c r="DD492" s="166">
        <f t="shared" si="259"/>
        <v>156.54565248417939</v>
      </c>
      <c r="DE492" s="164">
        <f t="shared" si="260"/>
        <v>4</v>
      </c>
      <c r="DF492" s="166">
        <f t="shared" si="261"/>
        <v>180.29641235191619</v>
      </c>
      <c r="DG492" s="164">
        <f t="shared" si="262"/>
        <v>4</v>
      </c>
      <c r="DH492" s="166">
        <f t="shared" si="263"/>
        <v>204.04717221965299</v>
      </c>
      <c r="DI492" s="164">
        <f>IFERROR(INDEX(DC$486:DC$534,_xlfn.AGGREGATE(15,6,(ROW(DC$486:DC$534)-ROW(DC$486)+1)/(DC$486:DC$534&lt;&gt;""),ROWS(DI$1:DI7))),"")</f>
        <v>4</v>
      </c>
      <c r="DJ492" s="165">
        <f>IFERROR(INDEX(DD$486:DD$534,_xlfn.AGGREGATE(15,6,(ROW(DD$486:DD$534)-ROW(DD$486)+1)/(DD$486:DD$534&lt;&gt;""),ROWS(DJ$1:DJ7))),"")</f>
        <v>156.54565248417939</v>
      </c>
      <c r="DK492" s="166">
        <f t="shared" si="264"/>
        <v>492</v>
      </c>
      <c r="DL492" s="164">
        <f>IFERROR(INDEX(DE$486:DE$534,_xlfn.AGGREGATE(15,6,(ROW(DE$486:DE$534)-ROW(DE$486)+1)/(DE$486:DE$534&lt;&gt;""),ROWS(DL$1:DL7))),"")</f>
        <v>4</v>
      </c>
      <c r="DM492" s="165">
        <f>IFERROR(INDEX(DF$486:DF$534,_xlfn.AGGREGATE(15,6,(ROW(DF$486:DF$534)-ROW(DF$486)+1)/(DF$486:DF$534&lt;&gt;""),ROWS(DM$1:DM7))),"")</f>
        <v>180.29641235191619</v>
      </c>
      <c r="DN492" s="166">
        <f t="shared" si="265"/>
        <v>492</v>
      </c>
      <c r="DO492" s="164">
        <f>IFERROR(INDEX(DG$486:DG$534,_xlfn.AGGREGATE(15,6,(ROW(DG$486:DG$534)-ROW(DG$486)+1)/(DG$486:DG$534&lt;&gt;""),ROWS(DO$1:DO7))),"")</f>
        <v>4</v>
      </c>
      <c r="DP492" s="165">
        <f>IFERROR(INDEX(DH$486:DH$534,_xlfn.AGGREGATE(15,6,(ROW(DH$486:DH$534)-ROW(DH$486)+1)/(DH$486:DH$534&lt;&gt;""),ROWS(DP$1:DP7))),"")</f>
        <v>204.04717221965299</v>
      </c>
      <c r="DQ492" s="166">
        <f t="shared" si="266"/>
        <v>492</v>
      </c>
      <c r="DV492" s="145">
        <v>2021</v>
      </c>
      <c r="DW492" s="235">
        <f t="shared" ca="1" si="250"/>
        <v>213.54974165424264</v>
      </c>
      <c r="DZ492" s="135" t="s">
        <v>92</v>
      </c>
      <c r="EA492" s="33">
        <f ca="1">IF($EA$484="Linear",0,IF($EA$484="2nd Poly",0,IF($EA$484="3rd Poly",CI489,IF($EA$484="Exp",0))))</f>
        <v>2.3276558989464584E-4</v>
      </c>
      <c r="EB492" s="33">
        <f ca="1">IF($EA$484="Linear",0,IF($EA$484="2nd Poly",CA489,IF($EA$484="3rd Poly",CJ489,IF($EA$484="Exp",0))))</f>
        <v>-3.5136891820556078E-2</v>
      </c>
      <c r="EC492" s="33">
        <f t="shared" ca="1" si="281"/>
        <v>5.8735677681993828</v>
      </c>
      <c r="ED492" s="33">
        <f t="shared" ca="1" si="281"/>
        <v>138.18957502527047</v>
      </c>
      <c r="EE492" s="33" t="str">
        <f>IF($EA$484="Linear","Low",IF($EA$484="2nd Poly","Low",IF($EA$484="3rd Poly","Low","N/A")))</f>
        <v>Low</v>
      </c>
    </row>
    <row r="493" spans="1:135" ht="13.8" x14ac:dyDescent="0.45">
      <c r="A493" s="956" t="s">
        <v>994</v>
      </c>
      <c r="B493" s="128">
        <v>2019</v>
      </c>
      <c r="C493" s="951">
        <v>207.47253412096612</v>
      </c>
      <c r="D493" s="795">
        <v>223.34788183176084</v>
      </c>
      <c r="E493" s="151"/>
      <c r="F493" s="894"/>
      <c r="G493" s="795"/>
      <c r="H493" s="151"/>
      <c r="I493" s="1110">
        <v>150.48648648648651</v>
      </c>
      <c r="J493" s="1109">
        <v>181.1354838709677</v>
      </c>
      <c r="K493" s="795"/>
      <c r="L493" s="152"/>
      <c r="M493" s="151"/>
      <c r="N493" s="29" t="s">
        <v>119</v>
      </c>
      <c r="O493" s="120"/>
      <c r="P493" s="120"/>
      <c r="Q493" s="120"/>
      <c r="R493" s="29">
        <v>5</v>
      </c>
      <c r="S493" s="238">
        <f t="shared" si="251"/>
        <v>150.48648648648651</v>
      </c>
      <c r="T493" s="238">
        <f t="shared" si="252"/>
        <v>223.34788183176084</v>
      </c>
      <c r="U493" s="238">
        <f t="shared" si="253"/>
        <v>27.639540313362005</v>
      </c>
      <c r="V493" s="20"/>
      <c r="W493" s="238">
        <f t="shared" si="254"/>
        <v>162.97105626418329</v>
      </c>
      <c r="X493" s="238">
        <f t="shared" si="255"/>
        <v>190.61059657754529</v>
      </c>
      <c r="Y493" s="238">
        <f t="shared" si="256"/>
        <v>218.2501368909073</v>
      </c>
      <c r="AA493" s="138"/>
      <c r="AB493" s="138"/>
      <c r="AC493" s="138"/>
      <c r="AD493" s="138"/>
      <c r="AE493" s="138"/>
      <c r="AF493" s="138"/>
      <c r="AG493" s="138"/>
      <c r="AH493" s="138"/>
      <c r="AI493" s="138"/>
      <c r="AJ493" s="138"/>
      <c r="AK493" s="138"/>
      <c r="AL493" s="138"/>
      <c r="AM493" s="138"/>
      <c r="AN493" s="138"/>
      <c r="BR493" s="180">
        <v>2017</v>
      </c>
      <c r="BS493" s="22">
        <v>3</v>
      </c>
      <c r="BT493" s="198">
        <f t="shared" si="267"/>
        <v>27.939147631586291</v>
      </c>
      <c r="BU493" s="276">
        <f t="shared" si="268"/>
        <v>147.91341348817375</v>
      </c>
      <c r="BV493" s="241">
        <f t="shared" si="269"/>
        <v>175.85256111976003</v>
      </c>
      <c r="BY493" s="180">
        <v>2017</v>
      </c>
      <c r="BZ493" s="22">
        <v>3</v>
      </c>
      <c r="CA493" s="198">
        <f t="shared" ca="1" si="270"/>
        <v>-0.1961535251866672</v>
      </c>
      <c r="CB493" s="198">
        <f t="shared" ca="1" si="271"/>
        <v>30.816066000990737</v>
      </c>
      <c r="CC493" s="276">
        <f t="shared" ca="1" si="282"/>
        <v>141.72368002672786</v>
      </c>
      <c r="CD493" s="241">
        <f t="shared" ca="1" si="272"/>
        <v>172.34359250253192</v>
      </c>
      <c r="CG493" s="180">
        <v>2017</v>
      </c>
      <c r="CH493" s="22">
        <v>3</v>
      </c>
      <c r="CI493" s="198">
        <f t="shared" ca="1" si="273"/>
        <v>1.3217642968806185E-2</v>
      </c>
      <c r="CJ493" s="198">
        <f t="shared" ca="1" si="274"/>
        <v>-0.48694167050040421</v>
      </c>
      <c r="CK493" s="198">
        <f t="shared" ca="1" si="275"/>
        <v>32.420100406605229</v>
      </c>
      <c r="CL493" s="276">
        <f t="shared" ca="1" si="276"/>
        <v>140.38605455828448</v>
      </c>
      <c r="CM493" s="241">
        <f t="shared" ca="1" si="277"/>
        <v>172.33243093735811</v>
      </c>
      <c r="CP493" s="180">
        <v>2017</v>
      </c>
      <c r="CQ493" s="22">
        <v>3</v>
      </c>
      <c r="CR493" s="198">
        <f t="shared" ca="1" si="278"/>
        <v>169.29108306063685</v>
      </c>
      <c r="CS493" s="276">
        <f t="shared" ca="1" si="279"/>
        <v>1.0928265094700365</v>
      </c>
      <c r="CT493" s="241">
        <f t="shared" ca="1" si="280"/>
        <v>185.00578338555778</v>
      </c>
      <c r="CZ493" s="164" t="b">
        <f t="shared" si="257"/>
        <v>1</v>
      </c>
      <c r="DA493" s="165" t="b">
        <f t="shared" si="257"/>
        <v>1</v>
      </c>
      <c r="DB493" s="166" t="b">
        <f t="shared" si="257"/>
        <v>1</v>
      </c>
      <c r="DC493" s="164">
        <f t="shared" si="258"/>
        <v>5</v>
      </c>
      <c r="DD493" s="166">
        <f t="shared" si="259"/>
        <v>162.97105626418329</v>
      </c>
      <c r="DE493" s="164">
        <f t="shared" si="260"/>
        <v>5</v>
      </c>
      <c r="DF493" s="166">
        <f t="shared" si="261"/>
        <v>190.61059657754529</v>
      </c>
      <c r="DG493" s="164">
        <f t="shared" si="262"/>
        <v>5</v>
      </c>
      <c r="DH493" s="166">
        <f t="shared" si="263"/>
        <v>218.2501368909073</v>
      </c>
      <c r="DI493" s="164">
        <f>IFERROR(INDEX(DC$486:DC$534,_xlfn.AGGREGATE(15,6,(ROW(DC$486:DC$534)-ROW(DC$486)+1)/(DC$486:DC$534&lt;&gt;""),ROWS(DI$1:DI8))),"")</f>
        <v>5</v>
      </c>
      <c r="DJ493" s="165">
        <f>IFERROR(INDEX(DD$486:DD$534,_xlfn.AGGREGATE(15,6,(ROW(DD$486:DD$534)-ROW(DD$486)+1)/(DD$486:DD$534&lt;&gt;""),ROWS(DJ$1:DJ8))),"")</f>
        <v>162.97105626418329</v>
      </c>
      <c r="DK493" s="166">
        <f t="shared" si="264"/>
        <v>493</v>
      </c>
      <c r="DL493" s="164">
        <f>IFERROR(INDEX(DE$486:DE$534,_xlfn.AGGREGATE(15,6,(ROW(DE$486:DE$534)-ROW(DE$486)+1)/(DE$486:DE$534&lt;&gt;""),ROWS(DL$1:DL8))),"")</f>
        <v>5</v>
      </c>
      <c r="DM493" s="165">
        <f>IFERROR(INDEX(DF$486:DF$534,_xlfn.AGGREGATE(15,6,(ROW(DF$486:DF$534)-ROW(DF$486)+1)/(DF$486:DF$534&lt;&gt;""),ROWS(DM$1:DM8))),"")</f>
        <v>190.61059657754529</v>
      </c>
      <c r="DN493" s="166">
        <f t="shared" si="265"/>
        <v>493</v>
      </c>
      <c r="DO493" s="164">
        <f>IFERROR(INDEX(DG$486:DG$534,_xlfn.AGGREGATE(15,6,(ROW(DG$486:DG$534)-ROW(DG$486)+1)/(DG$486:DG$534&lt;&gt;""),ROWS(DO$1:DO8))),"")</f>
        <v>5</v>
      </c>
      <c r="DP493" s="165">
        <f>IFERROR(INDEX(DH$486:DH$534,_xlfn.AGGREGATE(15,6,(ROW(DH$486:DH$534)-ROW(DH$486)+1)/(DH$486:DH$534&lt;&gt;""),ROWS(DP$1:DP8))),"")</f>
        <v>218.2501368909073</v>
      </c>
      <c r="DQ493" s="166">
        <f t="shared" si="266"/>
        <v>493</v>
      </c>
      <c r="DV493" s="145">
        <v>2022</v>
      </c>
      <c r="DW493" s="235">
        <f t="shared" ca="1" si="250"/>
        <v>223.6276049930818</v>
      </c>
      <c r="DZ493" s="135"/>
      <c r="EA493" s="33"/>
      <c r="EB493" s="33"/>
      <c r="EC493" s="33"/>
      <c r="ED493" s="33"/>
      <c r="EE493" s="33"/>
    </row>
    <row r="494" spans="1:135" ht="13.8" x14ac:dyDescent="0.45">
      <c r="A494" s="956" t="s">
        <v>90</v>
      </c>
      <c r="B494" s="128">
        <v>2020</v>
      </c>
      <c r="C494" s="951">
        <v>220.49671216128814</v>
      </c>
      <c r="D494" s="795">
        <v>240.25419832255153</v>
      </c>
      <c r="E494" s="169"/>
      <c r="F494" s="931"/>
      <c r="G494" s="917"/>
      <c r="H494" s="169"/>
      <c r="I494" s="931">
        <v>157.56756756756761</v>
      </c>
      <c r="J494" s="917">
        <v>185.38064516129029</v>
      </c>
      <c r="K494" s="917"/>
      <c r="L494" s="170"/>
      <c r="M494" s="169"/>
      <c r="N494" s="29" t="s">
        <v>119</v>
      </c>
      <c r="O494" s="120"/>
      <c r="P494" s="120"/>
      <c r="Q494" s="120"/>
      <c r="R494" s="29">
        <v>6</v>
      </c>
      <c r="S494" s="195">
        <f t="shared" si="251"/>
        <v>157.56756756756761</v>
      </c>
      <c r="T494" s="195">
        <f t="shared" si="252"/>
        <v>240.25419832255153</v>
      </c>
      <c r="U494" s="195">
        <f t="shared" si="253"/>
        <v>31.825036024769002</v>
      </c>
      <c r="V494" s="20"/>
      <c r="W494" s="238">
        <f t="shared" si="254"/>
        <v>169.09974477840541</v>
      </c>
      <c r="X494" s="238">
        <f t="shared" si="255"/>
        <v>200.9247808031744</v>
      </c>
      <c r="Y494" s="238">
        <f t="shared" si="256"/>
        <v>232.74981682794339</v>
      </c>
      <c r="AA494" s="138"/>
      <c r="AB494" s="138"/>
      <c r="AC494" s="138"/>
      <c r="AD494" s="138"/>
      <c r="AE494" s="138"/>
      <c r="AF494" s="138"/>
      <c r="AG494" s="138"/>
      <c r="AH494" s="138"/>
      <c r="AI494" s="138"/>
      <c r="AJ494" s="138"/>
      <c r="AK494" s="138"/>
      <c r="AL494" s="138"/>
      <c r="AM494" s="138"/>
      <c r="AN494" s="138"/>
      <c r="BR494" s="180">
        <v>2018</v>
      </c>
      <c r="BS494" s="22">
        <v>4</v>
      </c>
      <c r="BT494" s="198">
        <f t="shared" si="267"/>
        <v>37.252196842115055</v>
      </c>
      <c r="BU494" s="276">
        <f t="shared" si="268"/>
        <v>147.91341348817375</v>
      </c>
      <c r="BV494" s="241">
        <f t="shared" si="269"/>
        <v>185.16561033028881</v>
      </c>
      <c r="BY494" s="180">
        <v>2018</v>
      </c>
      <c r="BZ494" s="22">
        <v>4</v>
      </c>
      <c r="CA494" s="198">
        <f t="shared" ca="1" si="270"/>
        <v>-0.3487173781096306</v>
      </c>
      <c r="CB494" s="198">
        <f t="shared" ca="1" si="271"/>
        <v>41.088088001320983</v>
      </c>
      <c r="CC494" s="276">
        <f t="shared" ca="1" si="282"/>
        <v>141.72368002672786</v>
      </c>
      <c r="CD494" s="241">
        <f t="shared" ca="1" si="272"/>
        <v>182.46305064993922</v>
      </c>
      <c r="CG494" s="180">
        <v>2018</v>
      </c>
      <c r="CH494" s="22">
        <v>4</v>
      </c>
      <c r="CI494" s="198">
        <f t="shared" ca="1" si="273"/>
        <v>3.1330709259392436E-2</v>
      </c>
      <c r="CJ494" s="198">
        <f t="shared" ca="1" si="274"/>
        <v>-0.86567408088960751</v>
      </c>
      <c r="CK494" s="198">
        <f t="shared" ca="1" si="275"/>
        <v>43.226800542140303</v>
      </c>
      <c r="CL494" s="276">
        <f t="shared" ca="1" si="276"/>
        <v>140.38605455828448</v>
      </c>
      <c r="CM494" s="241">
        <f t="shared" ca="1" si="277"/>
        <v>182.77851172879457</v>
      </c>
      <c r="CP494" s="180">
        <v>2018</v>
      </c>
      <c r="CQ494" s="22">
        <v>4</v>
      </c>
      <c r="CR494" s="198">
        <f t="shared" ca="1" si="278"/>
        <v>169.29108306063685</v>
      </c>
      <c r="CS494" s="276">
        <f t="shared" ca="1" si="279"/>
        <v>1.1256454717462994</v>
      </c>
      <c r="CT494" s="241">
        <f t="shared" ca="1" si="280"/>
        <v>190.56174105423253</v>
      </c>
      <c r="CZ494" s="164" t="b">
        <f t="shared" si="257"/>
        <v>1</v>
      </c>
      <c r="DA494" s="165" t="b">
        <f t="shared" si="257"/>
        <v>1</v>
      </c>
      <c r="DB494" s="166" t="b">
        <f t="shared" si="257"/>
        <v>1</v>
      </c>
      <c r="DC494" s="164">
        <f t="shared" si="258"/>
        <v>6</v>
      </c>
      <c r="DD494" s="166">
        <f t="shared" si="259"/>
        <v>169.09974477840541</v>
      </c>
      <c r="DE494" s="164">
        <f t="shared" si="260"/>
        <v>6</v>
      </c>
      <c r="DF494" s="166">
        <f t="shared" si="261"/>
        <v>200.9247808031744</v>
      </c>
      <c r="DG494" s="164">
        <f t="shared" si="262"/>
        <v>6</v>
      </c>
      <c r="DH494" s="166">
        <f t="shared" si="263"/>
        <v>232.74981682794339</v>
      </c>
      <c r="DI494" s="164">
        <f>IFERROR(INDEX(DC$486:DC$534,_xlfn.AGGREGATE(15,6,(ROW(DC$486:DC$534)-ROW(DC$486)+1)/(DC$486:DC$534&lt;&gt;""),ROWS(DI$1:DI9))),"")</f>
        <v>6</v>
      </c>
      <c r="DJ494" s="165">
        <f>IFERROR(INDEX(DD$486:DD$534,_xlfn.AGGREGATE(15,6,(ROW(DD$486:DD$534)-ROW(DD$486)+1)/(DD$486:DD$534&lt;&gt;""),ROWS(DJ$1:DJ9))),"")</f>
        <v>169.09974477840541</v>
      </c>
      <c r="DK494" s="166">
        <f t="shared" si="264"/>
        <v>494</v>
      </c>
      <c r="DL494" s="164">
        <f>IFERROR(INDEX(DE$486:DE$534,_xlfn.AGGREGATE(15,6,(ROW(DE$486:DE$534)-ROW(DE$486)+1)/(DE$486:DE$534&lt;&gt;""),ROWS(DL$1:DL9))),"")</f>
        <v>6</v>
      </c>
      <c r="DM494" s="165">
        <f>IFERROR(INDEX(DF$486:DF$534,_xlfn.AGGREGATE(15,6,(ROW(DF$486:DF$534)-ROW(DF$486)+1)/(DF$486:DF$534&lt;&gt;""),ROWS(DM$1:DM9))),"")</f>
        <v>200.9247808031744</v>
      </c>
      <c r="DN494" s="166">
        <f t="shared" si="265"/>
        <v>494</v>
      </c>
      <c r="DO494" s="164">
        <f>IFERROR(INDEX(DG$486:DG$534,_xlfn.AGGREGATE(15,6,(ROW(DG$486:DG$534)-ROW(DG$486)+1)/(DG$486:DG$534&lt;&gt;""),ROWS(DO$1:DO9))),"")</f>
        <v>6</v>
      </c>
      <c r="DP494" s="165">
        <f>IFERROR(INDEX(DH$486:DH$534,_xlfn.AGGREGATE(15,6,(ROW(DH$486:DH$534)-ROW(DH$486)+1)/(DH$486:DH$534&lt;&gt;""),ROWS(DP$1:DP9))),"")</f>
        <v>232.74981682794339</v>
      </c>
      <c r="DQ494" s="166">
        <f t="shared" si="266"/>
        <v>494</v>
      </c>
      <c r="DV494" s="145">
        <v>2023</v>
      </c>
      <c r="DW494" s="235">
        <f t="shared" ca="1" si="250"/>
        <v>233.6207571037543</v>
      </c>
      <c r="DZ494" s="135"/>
      <c r="EA494" s="33" t="s">
        <v>86</v>
      </c>
      <c r="EB494" s="33" t="s">
        <v>87</v>
      </c>
      <c r="EC494" s="33"/>
      <c r="ED494" s="33"/>
      <c r="EE494" s="33"/>
    </row>
    <row r="495" spans="1:135" ht="14.1" thickBot="1" x14ac:dyDescent="0.5">
      <c r="A495" s="148" t="s">
        <v>80</v>
      </c>
      <c r="B495" s="128">
        <v>2021</v>
      </c>
      <c r="C495" s="951">
        <v>233.5208902016102</v>
      </c>
      <c r="D495" s="795">
        <v>257.16051481334222</v>
      </c>
      <c r="E495" s="151"/>
      <c r="F495" s="894"/>
      <c r="G495" s="795"/>
      <c r="H495" s="151"/>
      <c r="I495" s="1110">
        <v>164.6486486486487</v>
      </c>
      <c r="J495" s="1109">
        <v>189.62580645161287</v>
      </c>
      <c r="K495" s="795"/>
      <c r="L495" s="152"/>
      <c r="M495" s="151"/>
      <c r="N495" s="29" t="s">
        <v>119</v>
      </c>
      <c r="O495" s="120"/>
      <c r="P495" s="120"/>
      <c r="Q495" s="120"/>
      <c r="R495" s="29">
        <v>7</v>
      </c>
      <c r="S495" s="196">
        <f t="shared" si="251"/>
        <v>164.6486486486487</v>
      </c>
      <c r="T495" s="196">
        <f t="shared" si="252"/>
        <v>257.16051481334222</v>
      </c>
      <c r="U495" s="196">
        <f t="shared" si="253"/>
        <v>36.204485661676323</v>
      </c>
      <c r="V495" s="20"/>
      <c r="W495" s="238">
        <f t="shared" si="254"/>
        <v>175.03447936712718</v>
      </c>
      <c r="X495" s="238">
        <f t="shared" si="255"/>
        <v>211.23896502880351</v>
      </c>
      <c r="Y495" s="238">
        <f t="shared" si="256"/>
        <v>247.44345069047984</v>
      </c>
      <c r="AA495" s="138"/>
      <c r="AB495" s="138"/>
      <c r="AC495" s="138"/>
      <c r="AD495" s="138"/>
      <c r="AE495" s="138"/>
      <c r="AF495" s="138"/>
      <c r="AG495" s="138"/>
      <c r="AH495" s="138"/>
      <c r="AI495" s="138"/>
      <c r="AJ495" s="138"/>
      <c r="AK495" s="138"/>
      <c r="AL495" s="138"/>
      <c r="AM495" s="138"/>
      <c r="AN495" s="138"/>
      <c r="BR495" s="180">
        <v>2019</v>
      </c>
      <c r="BS495" s="22">
        <v>5</v>
      </c>
      <c r="BT495" s="198">
        <f t="shared" si="267"/>
        <v>46.565246052643815</v>
      </c>
      <c r="BU495" s="276">
        <f t="shared" si="268"/>
        <v>147.91341348817375</v>
      </c>
      <c r="BV495" s="283">
        <f t="shared" si="269"/>
        <v>194.47865954081755</v>
      </c>
      <c r="BY495" s="180">
        <v>2019</v>
      </c>
      <c r="BZ495" s="22">
        <v>5</v>
      </c>
      <c r="CA495" s="198">
        <f t="shared" ca="1" si="270"/>
        <v>-0.54487090329629784</v>
      </c>
      <c r="CB495" s="198">
        <f t="shared" ca="1" si="271"/>
        <v>51.360110001651229</v>
      </c>
      <c r="CC495" s="276">
        <f t="shared" ca="1" si="282"/>
        <v>141.72368002672786</v>
      </c>
      <c r="CD495" s="283">
        <f t="shared" ca="1" si="272"/>
        <v>192.5389191250828</v>
      </c>
      <c r="CG495" s="180">
        <v>2019</v>
      </c>
      <c r="CH495" s="22">
        <v>5</v>
      </c>
      <c r="CI495" s="198">
        <f t="shared" ca="1" si="273"/>
        <v>6.119279152225085E-2</v>
      </c>
      <c r="CJ495" s="198">
        <f t="shared" ca="1" si="274"/>
        <v>-1.3526157513900117</v>
      </c>
      <c r="CK495" s="198">
        <f t="shared" ca="1" si="275"/>
        <v>54.033500677675377</v>
      </c>
      <c r="CL495" s="276">
        <f t="shared" ca="1" si="276"/>
        <v>140.38605455828448</v>
      </c>
      <c r="CM495" s="283">
        <f t="shared" ca="1" si="277"/>
        <v>193.12813227609212</v>
      </c>
      <c r="CP495" s="180">
        <v>2019</v>
      </c>
      <c r="CQ495" s="22">
        <v>5</v>
      </c>
      <c r="CR495" s="198">
        <f t="shared" ca="1" si="278"/>
        <v>169.29108306063685</v>
      </c>
      <c r="CS495" s="276">
        <f t="shared" ca="1" si="279"/>
        <v>1.159450028968839</v>
      </c>
      <c r="CT495" s="283">
        <f t="shared" ca="1" si="280"/>
        <v>196.28455115882153</v>
      </c>
      <c r="CZ495" s="164" t="b">
        <f t="shared" si="257"/>
        <v>1</v>
      </c>
      <c r="DA495" s="165" t="b">
        <f t="shared" si="257"/>
        <v>1</v>
      </c>
      <c r="DB495" s="166" t="b">
        <f t="shared" si="257"/>
        <v>1</v>
      </c>
      <c r="DC495" s="164">
        <f t="shared" si="258"/>
        <v>7</v>
      </c>
      <c r="DD495" s="166">
        <f t="shared" si="259"/>
        <v>175.03447936712718</v>
      </c>
      <c r="DE495" s="164">
        <f t="shared" si="260"/>
        <v>7</v>
      </c>
      <c r="DF495" s="166">
        <f t="shared" si="261"/>
        <v>211.23896502880351</v>
      </c>
      <c r="DG495" s="164">
        <f t="shared" si="262"/>
        <v>7</v>
      </c>
      <c r="DH495" s="166">
        <f t="shared" si="263"/>
        <v>247.44345069047984</v>
      </c>
      <c r="DI495" s="164">
        <f>IFERROR(INDEX(DC$486:DC$534,_xlfn.AGGREGATE(15,6,(ROW(DC$486:DC$534)-ROW(DC$486)+1)/(DC$486:DC$534&lt;&gt;""),ROWS(DI$1:DI10))),"")</f>
        <v>7</v>
      </c>
      <c r="DJ495" s="165">
        <f>IFERROR(INDEX(DD$486:DD$534,_xlfn.AGGREGATE(15,6,(ROW(DD$486:DD$534)-ROW(DD$486)+1)/(DD$486:DD$534&lt;&gt;""),ROWS(DJ$1:DJ10))),"")</f>
        <v>175.03447936712718</v>
      </c>
      <c r="DK495" s="166">
        <f t="shared" si="264"/>
        <v>495</v>
      </c>
      <c r="DL495" s="164">
        <f>IFERROR(INDEX(DE$486:DE$534,_xlfn.AGGREGATE(15,6,(ROW(DE$486:DE$534)-ROW(DE$486)+1)/(DE$486:DE$534&lt;&gt;""),ROWS(DL$1:DL10))),"")</f>
        <v>7</v>
      </c>
      <c r="DM495" s="165">
        <f>IFERROR(INDEX(DF$486:DF$534,_xlfn.AGGREGATE(15,6,(ROW(DF$486:DF$534)-ROW(DF$486)+1)/(DF$486:DF$534&lt;&gt;""),ROWS(DM$1:DM10))),"")</f>
        <v>211.23896502880351</v>
      </c>
      <c r="DN495" s="166">
        <f t="shared" si="265"/>
        <v>495</v>
      </c>
      <c r="DO495" s="164">
        <f>IFERROR(INDEX(DG$486:DG$534,_xlfn.AGGREGATE(15,6,(ROW(DG$486:DG$534)-ROW(DG$486)+1)/(DG$486:DG$534&lt;&gt;""),ROWS(DO$1:DO10))),"")</f>
        <v>7</v>
      </c>
      <c r="DP495" s="165">
        <f>IFERROR(INDEX(DH$486:DH$534,_xlfn.AGGREGATE(15,6,(ROW(DH$486:DH$534)-ROW(DH$486)+1)/(DH$486:DH$534&lt;&gt;""),ROWS(DP$1:DP10))),"")</f>
        <v>247.44345069047984</v>
      </c>
      <c r="DQ495" s="166">
        <f t="shared" si="266"/>
        <v>495</v>
      </c>
      <c r="DV495" s="145">
        <v>2024</v>
      </c>
      <c r="DW495" s="235">
        <f t="shared" ca="1" si="250"/>
        <v>243.53213524025318</v>
      </c>
      <c r="DZ495" s="135" t="s">
        <v>92</v>
      </c>
      <c r="EA495" s="33">
        <f t="shared" ref="EA495:EB497" si="283">IF($EA$484="Linear",0,IF($EA$484="2nd Poly",0,IF($EA$484="3rd Poly",0,IF($EA$484="Exp",CR487))))</f>
        <v>0</v>
      </c>
      <c r="EB495" s="33">
        <f t="shared" si="283"/>
        <v>0</v>
      </c>
      <c r="EC495" s="33" t="str">
        <f>IF($EA$484="Linear","N/A",IF($EA$484="2nd Poly","N/A",IF($EA$484="3rd Poly","N/A","High")))</f>
        <v>N/A</v>
      </c>
      <c r="ED495" s="33"/>
      <c r="EE495" s="33"/>
    </row>
    <row r="496" spans="1:135" ht="13.8" x14ac:dyDescent="0.45">
      <c r="A496" s="148" t="s">
        <v>88</v>
      </c>
      <c r="B496" s="128">
        <v>2022</v>
      </c>
      <c r="C496" s="951">
        <v>246.54506824193223</v>
      </c>
      <c r="D496" s="795">
        <v>274.0668313041329</v>
      </c>
      <c r="E496" s="200"/>
      <c r="F496" s="950"/>
      <c r="G496" s="918"/>
      <c r="H496" s="200"/>
      <c r="I496" s="1111">
        <v>171.7297297297298</v>
      </c>
      <c r="J496" s="1026">
        <v>193.87096774193546</v>
      </c>
      <c r="K496" s="918"/>
      <c r="L496" s="201"/>
      <c r="M496" s="200"/>
      <c r="N496" s="29" t="s">
        <v>119</v>
      </c>
      <c r="O496" s="120"/>
      <c r="P496" s="120"/>
      <c r="Q496" s="120"/>
      <c r="R496" s="29">
        <v>8</v>
      </c>
      <c r="S496" s="202">
        <f t="shared" si="251"/>
        <v>171.7297297297298</v>
      </c>
      <c r="T496" s="202">
        <f t="shared" si="252"/>
        <v>274.0668313041329</v>
      </c>
      <c r="U496" s="202">
        <f t="shared" si="253"/>
        <v>40.715350678583512</v>
      </c>
      <c r="V496" s="20"/>
      <c r="W496" s="238">
        <f t="shared" si="254"/>
        <v>180.83779857584909</v>
      </c>
      <c r="X496" s="238">
        <f t="shared" si="255"/>
        <v>221.55314925443261</v>
      </c>
      <c r="Y496" s="238">
        <f t="shared" si="256"/>
        <v>262.26849993301613</v>
      </c>
      <c r="AA496" s="120"/>
      <c r="AB496" s="120"/>
      <c r="AC496" s="120"/>
      <c r="AD496" s="120"/>
      <c r="AE496" s="120"/>
      <c r="AF496" s="120"/>
      <c r="AG496" s="120"/>
      <c r="AH496" s="120"/>
      <c r="AI496" s="120"/>
      <c r="AJ496" s="120"/>
      <c r="AK496" s="120"/>
      <c r="AL496" s="120"/>
      <c r="AM496" s="120"/>
      <c r="AN496" s="120"/>
      <c r="BR496" s="180">
        <v>2020</v>
      </c>
      <c r="BS496" s="22">
        <v>6</v>
      </c>
      <c r="BT496" s="198">
        <f t="shared" si="267"/>
        <v>55.878295263172582</v>
      </c>
      <c r="BU496" s="276">
        <f t="shared" si="268"/>
        <v>147.91341348817375</v>
      </c>
      <c r="BV496" s="203">
        <f t="shared" si="269"/>
        <v>203.79170875134633</v>
      </c>
      <c r="BY496" s="180">
        <v>2020</v>
      </c>
      <c r="BZ496" s="22">
        <v>6</v>
      </c>
      <c r="CA496" s="198">
        <f t="shared" ca="1" si="270"/>
        <v>-0.78461410074666882</v>
      </c>
      <c r="CB496" s="198">
        <f t="shared" ca="1" si="271"/>
        <v>61.632132001981475</v>
      </c>
      <c r="CC496" s="276">
        <f t="shared" ca="1" si="282"/>
        <v>141.72368002672786</v>
      </c>
      <c r="CD496" s="203">
        <f t="shared" ca="1" si="272"/>
        <v>202.57119792796266</v>
      </c>
      <c r="CG496" s="180">
        <v>2020</v>
      </c>
      <c r="CH496" s="22">
        <v>6</v>
      </c>
      <c r="CI496" s="198">
        <f t="shared" ca="1" si="273"/>
        <v>0.10574114375044948</v>
      </c>
      <c r="CJ496" s="198">
        <f t="shared" ca="1" si="274"/>
        <v>-1.9477666820016168</v>
      </c>
      <c r="CK496" s="198">
        <f t="shared" ca="1" si="275"/>
        <v>64.840200813210458</v>
      </c>
      <c r="CL496" s="276">
        <f t="shared" ca="1" si="276"/>
        <v>140.38605455828448</v>
      </c>
      <c r="CM496" s="203">
        <f t="shared" ca="1" si="277"/>
        <v>203.38422983324378</v>
      </c>
      <c r="CP496" s="180">
        <v>2020</v>
      </c>
      <c r="CQ496" s="22">
        <v>6</v>
      </c>
      <c r="CR496" s="198">
        <f t="shared" ca="1" si="278"/>
        <v>169.29108306063685</v>
      </c>
      <c r="CS496" s="276">
        <f t="shared" ca="1" si="279"/>
        <v>1.1942697798004633</v>
      </c>
      <c r="CT496" s="203">
        <f t="shared" ca="1" si="280"/>
        <v>202.17922448900873</v>
      </c>
      <c r="CZ496" s="164" t="b">
        <f t="shared" si="257"/>
        <v>1</v>
      </c>
      <c r="DA496" s="165" t="b">
        <f t="shared" si="257"/>
        <v>1</v>
      </c>
      <c r="DB496" s="166" t="b">
        <f t="shared" si="257"/>
        <v>1</v>
      </c>
      <c r="DC496" s="164">
        <f t="shared" si="258"/>
        <v>8</v>
      </c>
      <c r="DD496" s="166">
        <f t="shared" si="259"/>
        <v>180.83779857584909</v>
      </c>
      <c r="DE496" s="164">
        <f t="shared" si="260"/>
        <v>8</v>
      </c>
      <c r="DF496" s="166">
        <f t="shared" si="261"/>
        <v>221.55314925443261</v>
      </c>
      <c r="DG496" s="164">
        <f t="shared" si="262"/>
        <v>8</v>
      </c>
      <c r="DH496" s="166">
        <f t="shared" si="263"/>
        <v>262.26849993301613</v>
      </c>
      <c r="DI496" s="164">
        <f>IFERROR(INDEX(DC$486:DC$534,_xlfn.AGGREGATE(15,6,(ROW(DC$486:DC$534)-ROW(DC$486)+1)/(DC$486:DC$534&lt;&gt;""),ROWS(DI$1:DI11))),"")</f>
        <v>8</v>
      </c>
      <c r="DJ496" s="165">
        <f>IFERROR(INDEX(DD$486:DD$534,_xlfn.AGGREGATE(15,6,(ROW(DD$486:DD$534)-ROW(DD$486)+1)/(DD$486:DD$534&lt;&gt;""),ROWS(DJ$1:DJ11))),"")</f>
        <v>180.83779857584909</v>
      </c>
      <c r="DK496" s="166">
        <f t="shared" si="264"/>
        <v>496</v>
      </c>
      <c r="DL496" s="164">
        <f>IFERROR(INDEX(DE$486:DE$534,_xlfn.AGGREGATE(15,6,(ROW(DE$486:DE$534)-ROW(DE$486)+1)/(DE$486:DE$534&lt;&gt;""),ROWS(DL$1:DL11))),"")</f>
        <v>8</v>
      </c>
      <c r="DM496" s="165">
        <f>IFERROR(INDEX(DF$486:DF$534,_xlfn.AGGREGATE(15,6,(ROW(DF$486:DF$534)-ROW(DF$486)+1)/(DF$486:DF$534&lt;&gt;""),ROWS(DM$1:DM11))),"")</f>
        <v>221.55314925443261</v>
      </c>
      <c r="DN496" s="166">
        <f t="shared" si="265"/>
        <v>496</v>
      </c>
      <c r="DO496" s="164">
        <f>IFERROR(INDEX(DG$486:DG$534,_xlfn.AGGREGATE(15,6,(ROW(DG$486:DG$534)-ROW(DG$486)+1)/(DG$486:DG$534&lt;&gt;""),ROWS(DO$1:DO11))),"")</f>
        <v>8</v>
      </c>
      <c r="DP496" s="165">
        <f>IFERROR(INDEX(DH$486:DH$534,_xlfn.AGGREGATE(15,6,(ROW(DH$486:DH$534)-ROW(DH$486)+1)/(DH$486:DH$534&lt;&gt;""),ROWS(DP$1:DP11))),"")</f>
        <v>262.26849993301613</v>
      </c>
      <c r="DQ496" s="166">
        <f t="shared" si="266"/>
        <v>496</v>
      </c>
      <c r="DR496" s="65"/>
      <c r="DV496" s="145">
        <v>2025</v>
      </c>
      <c r="DW496" s="235">
        <f t="shared" ca="1" si="250"/>
        <v>253.36467665657159</v>
      </c>
      <c r="DZ496" s="135" t="s">
        <v>92</v>
      </c>
      <c r="EA496" s="33">
        <f t="shared" si="283"/>
        <v>0</v>
      </c>
      <c r="EB496" s="33">
        <f t="shared" si="283"/>
        <v>0</v>
      </c>
      <c r="EC496" s="33" t="str">
        <f>IF($EA$484="Linear","N/A",IF($EA$484="2nd Poly","N/A",IF($EA$484="3rd Poly","N/A","Medium")))</f>
        <v>N/A</v>
      </c>
    </row>
    <row r="497" spans="1:135" ht="13.8" x14ac:dyDescent="0.45">
      <c r="B497" s="128">
        <v>2023</v>
      </c>
      <c r="C497" s="951">
        <v>259.56924628225426</v>
      </c>
      <c r="D497" s="795">
        <v>290.97314779492359</v>
      </c>
      <c r="E497" s="245"/>
      <c r="F497" s="950"/>
      <c r="G497" s="918"/>
      <c r="H497" s="200"/>
      <c r="I497" s="1111">
        <v>178.81081081081089</v>
      </c>
      <c r="J497" s="1026">
        <v>198.11612903225802</v>
      </c>
      <c r="K497" s="918"/>
      <c r="L497" s="201"/>
      <c r="M497" s="200"/>
      <c r="N497" s="29" t="s">
        <v>119</v>
      </c>
      <c r="O497" s="120"/>
      <c r="P497" s="120"/>
      <c r="Q497" s="120"/>
      <c r="R497" s="29">
        <v>9</v>
      </c>
      <c r="S497" s="202">
        <f t="shared" si="251"/>
        <v>178.81081081081089</v>
      </c>
      <c r="T497" s="202">
        <f t="shared" si="252"/>
        <v>290.97314779492359</v>
      </c>
      <c r="U497" s="202">
        <f t="shared" si="253"/>
        <v>45.31840591347342</v>
      </c>
      <c r="V497" s="20"/>
      <c r="W497" s="288">
        <f t="shared" si="254"/>
        <v>186.54892756658828</v>
      </c>
      <c r="X497" s="288">
        <f t="shared" si="255"/>
        <v>231.86733348006169</v>
      </c>
      <c r="Y497" s="288">
        <f t="shared" si="256"/>
        <v>277.18573939353513</v>
      </c>
      <c r="AA497" s="120"/>
      <c r="AB497" s="120"/>
      <c r="AC497" s="120"/>
      <c r="AD497" s="120"/>
      <c r="AE497" s="120"/>
      <c r="AF497" s="120"/>
      <c r="AG497" s="120"/>
      <c r="AH497" s="120"/>
      <c r="AI497" s="120"/>
      <c r="AJ497" s="120"/>
      <c r="AK497" s="120"/>
      <c r="AL497" s="120"/>
      <c r="AM497" s="120"/>
      <c r="AN497" s="120"/>
      <c r="BR497" s="180">
        <v>2021</v>
      </c>
      <c r="BS497" s="22">
        <v>7</v>
      </c>
      <c r="BT497" s="289">
        <f t="shared" si="267"/>
        <v>65.191344473701349</v>
      </c>
      <c r="BU497" s="290">
        <f t="shared" si="268"/>
        <v>147.91341348817375</v>
      </c>
      <c r="BV497" s="205">
        <f t="shared" si="269"/>
        <v>213.10475796187509</v>
      </c>
      <c r="BY497" s="180">
        <v>2021</v>
      </c>
      <c r="BZ497" s="22">
        <v>7</v>
      </c>
      <c r="CA497" s="289">
        <f t="shared" ca="1" si="270"/>
        <v>-1.0679469704607438</v>
      </c>
      <c r="CB497" s="289">
        <f t="shared" ca="1" si="271"/>
        <v>71.904154002311714</v>
      </c>
      <c r="CC497" s="290">
        <f t="shared" ca="1" si="282"/>
        <v>141.72368002672786</v>
      </c>
      <c r="CD497" s="205">
        <f t="shared" ca="1" si="272"/>
        <v>212.55988705857885</v>
      </c>
      <c r="CG497" s="180">
        <v>2021</v>
      </c>
      <c r="CH497" s="22">
        <v>7</v>
      </c>
      <c r="CI497" s="289">
        <f t="shared" ca="1" si="273"/>
        <v>0.16791301993705635</v>
      </c>
      <c r="CJ497" s="289">
        <f t="shared" ca="1" si="274"/>
        <v>-2.651126872724423</v>
      </c>
      <c r="CK497" s="289">
        <f t="shared" ca="1" si="275"/>
        <v>75.646900948745525</v>
      </c>
      <c r="CL497" s="290">
        <f t="shared" ca="1" si="276"/>
        <v>140.38605455828448</v>
      </c>
      <c r="CM497" s="205">
        <f t="shared" ca="1" si="277"/>
        <v>213.54974165424264</v>
      </c>
      <c r="CP497" s="180">
        <v>2021</v>
      </c>
      <c r="CQ497" s="22">
        <v>7</v>
      </c>
      <c r="CR497" s="289">
        <f t="shared" ca="1" si="278"/>
        <v>169.29108306063685</v>
      </c>
      <c r="CS497" s="290">
        <f t="shared" ca="1" si="279"/>
        <v>1.2301352117892608</v>
      </c>
      <c r="CT497" s="205">
        <f t="shared" ca="1" si="280"/>
        <v>208.25092231482984</v>
      </c>
      <c r="CZ497" s="164" t="b">
        <f t="shared" si="257"/>
        <v>1</v>
      </c>
      <c r="DA497" s="165" t="b">
        <f t="shared" si="257"/>
        <v>1</v>
      </c>
      <c r="DB497" s="166" t="b">
        <f t="shared" si="257"/>
        <v>1</v>
      </c>
      <c r="DC497" s="164">
        <f t="shared" si="258"/>
        <v>9</v>
      </c>
      <c r="DD497" s="166">
        <f t="shared" si="259"/>
        <v>186.54892756658828</v>
      </c>
      <c r="DE497" s="164">
        <f t="shared" si="260"/>
        <v>9</v>
      </c>
      <c r="DF497" s="166">
        <f t="shared" si="261"/>
        <v>231.86733348006169</v>
      </c>
      <c r="DG497" s="164">
        <f t="shared" si="262"/>
        <v>9</v>
      </c>
      <c r="DH497" s="166">
        <f t="shared" si="263"/>
        <v>277.18573939353513</v>
      </c>
      <c r="DI497" s="164">
        <f>IFERROR(INDEX(DC$486:DC$534,_xlfn.AGGREGATE(15,6,(ROW(DC$486:DC$534)-ROW(DC$486)+1)/(DC$486:DC$534&lt;&gt;""),ROWS(DI$1:DI12))),"")</f>
        <v>9</v>
      </c>
      <c r="DJ497" s="165">
        <f>IFERROR(INDEX(DD$486:DD$534,_xlfn.AGGREGATE(15,6,(ROW(DD$486:DD$534)-ROW(DD$486)+1)/(DD$486:DD$534&lt;&gt;""),ROWS(DJ$1:DJ12))),"")</f>
        <v>186.54892756658828</v>
      </c>
      <c r="DK497" s="166">
        <f t="shared" si="264"/>
        <v>497</v>
      </c>
      <c r="DL497" s="164">
        <f>IFERROR(INDEX(DE$486:DE$534,_xlfn.AGGREGATE(15,6,(ROW(DE$486:DE$534)-ROW(DE$486)+1)/(DE$486:DE$534&lt;&gt;""),ROWS(DL$1:DL12))),"")</f>
        <v>9</v>
      </c>
      <c r="DM497" s="165">
        <f>IFERROR(INDEX(DF$486:DF$534,_xlfn.AGGREGATE(15,6,(ROW(DF$486:DF$534)-ROW(DF$486)+1)/(DF$486:DF$534&lt;&gt;""),ROWS(DM$1:DM12))),"")</f>
        <v>231.86733348006169</v>
      </c>
      <c r="DN497" s="166">
        <f t="shared" si="265"/>
        <v>497</v>
      </c>
      <c r="DO497" s="164">
        <f>IFERROR(INDEX(DG$486:DG$534,_xlfn.AGGREGATE(15,6,(ROW(DG$486:DG$534)-ROW(DG$486)+1)/(DG$486:DG$534&lt;&gt;""),ROWS(DO$1:DO12))),"")</f>
        <v>9</v>
      </c>
      <c r="DP497" s="165">
        <f>IFERROR(INDEX(DH$486:DH$534,_xlfn.AGGREGATE(15,6,(ROW(DH$486:DH$534)-ROW(DH$486)+1)/(DH$486:DH$534&lt;&gt;""),ROWS(DP$1:DP12))),"")</f>
        <v>277.18573939353513</v>
      </c>
      <c r="DQ497" s="166">
        <f t="shared" si="266"/>
        <v>497</v>
      </c>
      <c r="DR497" s="65"/>
      <c r="DV497" s="145">
        <v>2026</v>
      </c>
      <c r="DW497" s="235">
        <f t="shared" ca="1" si="250"/>
        <v>263.12131860670252</v>
      </c>
      <c r="DZ497" s="135" t="s">
        <v>92</v>
      </c>
      <c r="EA497" s="33">
        <f t="shared" si="283"/>
        <v>0</v>
      </c>
      <c r="EB497" s="33">
        <f t="shared" si="283"/>
        <v>0</v>
      </c>
      <c r="EC497" s="33" t="str">
        <f>IF($EA$484="Linear","N/A",IF($EA$484="2nd Poly","N/A",IF($EA$484="3rd Poly","N/A","Low")))</f>
        <v>N/A</v>
      </c>
    </row>
    <row r="498" spans="1:135" ht="13.8" x14ac:dyDescent="0.45">
      <c r="B498" s="128">
        <v>2024</v>
      </c>
      <c r="C498" s="951">
        <v>272.59342432257631</v>
      </c>
      <c r="D498" s="795">
        <v>307.87946428571428</v>
      </c>
      <c r="E498" s="292"/>
      <c r="F498" s="914"/>
      <c r="G498" s="919"/>
      <c r="H498" s="292"/>
      <c r="I498" s="1112">
        <v>185.89189189189199</v>
      </c>
      <c r="J498" s="1150">
        <v>202.3612903225806</v>
      </c>
      <c r="K498" s="919"/>
      <c r="L498" s="293"/>
      <c r="M498" s="292"/>
      <c r="N498" s="29" t="s">
        <v>119</v>
      </c>
      <c r="O498" s="120"/>
      <c r="P498" s="120"/>
      <c r="Q498" s="120"/>
      <c r="R498" s="29">
        <v>10</v>
      </c>
      <c r="S498" s="288">
        <f t="shared" si="251"/>
        <v>185.89189189189199</v>
      </c>
      <c r="T498" s="288">
        <f t="shared" si="252"/>
        <v>307.87946428571428</v>
      </c>
      <c r="U498" s="288">
        <f t="shared" si="253"/>
        <v>49.988190435356451</v>
      </c>
      <c r="V498" s="20"/>
      <c r="W498" s="288">
        <f t="shared" si="254"/>
        <v>192.19332727033435</v>
      </c>
      <c r="X498" s="288">
        <f t="shared" si="255"/>
        <v>242.18151770569079</v>
      </c>
      <c r="Y498" s="288">
        <f t="shared" si="256"/>
        <v>292.16970814104724</v>
      </c>
      <c r="AA498" s="120"/>
      <c r="AB498" s="120"/>
      <c r="AC498" s="120"/>
      <c r="AD498" s="120"/>
      <c r="AE498" s="120"/>
      <c r="AF498" s="120"/>
      <c r="AG498" s="120"/>
      <c r="AH498" s="120"/>
      <c r="AI498" s="120"/>
      <c r="AJ498" s="120"/>
      <c r="AK498" s="120"/>
      <c r="AL498" s="120"/>
      <c r="AM498" s="120"/>
      <c r="AN498" s="120"/>
      <c r="BR498" s="180">
        <v>2022</v>
      </c>
      <c r="BS498" s="22">
        <v>8</v>
      </c>
      <c r="BT498" s="289">
        <f t="shared" si="267"/>
        <v>74.504393684230109</v>
      </c>
      <c r="BU498" s="290">
        <f t="shared" si="268"/>
        <v>147.91341348817375</v>
      </c>
      <c r="BV498" s="205">
        <f t="shared" si="269"/>
        <v>222.41780717240385</v>
      </c>
      <c r="BY498" s="180">
        <v>2022</v>
      </c>
      <c r="BZ498" s="22">
        <v>8</v>
      </c>
      <c r="CA498" s="289">
        <f t="shared" ca="1" si="270"/>
        <v>-1.3948695124385224</v>
      </c>
      <c r="CB498" s="289">
        <f t="shared" ca="1" si="271"/>
        <v>82.176176002641967</v>
      </c>
      <c r="CC498" s="290">
        <f t="shared" ca="1" si="282"/>
        <v>141.72368002672786</v>
      </c>
      <c r="CD498" s="205">
        <f t="shared" ca="1" si="272"/>
        <v>222.5049865169313</v>
      </c>
      <c r="CG498" s="180">
        <v>2022</v>
      </c>
      <c r="CH498" s="22">
        <v>8</v>
      </c>
      <c r="CI498" s="289">
        <f t="shared" ca="1" si="273"/>
        <v>0.25064567407513949</v>
      </c>
      <c r="CJ498" s="289">
        <f t="shared" ca="1" si="274"/>
        <v>-3.46269632355843</v>
      </c>
      <c r="CK498" s="289">
        <f t="shared" ca="1" si="275"/>
        <v>86.453601084280606</v>
      </c>
      <c r="CL498" s="290">
        <f t="shared" ca="1" si="276"/>
        <v>140.38605455828448</v>
      </c>
      <c r="CM498" s="205">
        <f t="shared" ca="1" si="277"/>
        <v>223.6276049930818</v>
      </c>
      <c r="CP498" s="180">
        <v>2022</v>
      </c>
      <c r="CQ498" s="22">
        <v>8</v>
      </c>
      <c r="CR498" s="289">
        <f t="shared" ca="1" si="278"/>
        <v>169.29108306063685</v>
      </c>
      <c r="CS498" s="290">
        <f t="shared" ca="1" si="279"/>
        <v>1.2670777280629488</v>
      </c>
      <c r="CT498" s="205">
        <f t="shared" ca="1" si="280"/>
        <v>214.5049609057877</v>
      </c>
      <c r="CZ498" s="164" t="b">
        <f t="shared" si="257"/>
        <v>1</v>
      </c>
      <c r="DA498" s="165" t="b">
        <f t="shared" si="257"/>
        <v>1</v>
      </c>
      <c r="DB498" s="166" t="b">
        <f t="shared" si="257"/>
        <v>1</v>
      </c>
      <c r="DC498" s="164">
        <f t="shared" si="258"/>
        <v>10</v>
      </c>
      <c r="DD498" s="166">
        <f t="shared" si="259"/>
        <v>192.19332727033435</v>
      </c>
      <c r="DE498" s="164">
        <f t="shared" si="260"/>
        <v>10</v>
      </c>
      <c r="DF498" s="166">
        <f t="shared" si="261"/>
        <v>242.18151770569079</v>
      </c>
      <c r="DG498" s="164">
        <f t="shared" si="262"/>
        <v>10</v>
      </c>
      <c r="DH498" s="166">
        <f t="shared" si="263"/>
        <v>292.16970814104724</v>
      </c>
      <c r="DI498" s="164">
        <f>IFERROR(INDEX(DC$486:DC$534,_xlfn.AGGREGATE(15,6,(ROW(DC$486:DC$534)-ROW(DC$486)+1)/(DC$486:DC$534&lt;&gt;""),ROWS(DI$1:DI13))),"")</f>
        <v>10</v>
      </c>
      <c r="DJ498" s="165">
        <f>IFERROR(INDEX(DD$486:DD$534,_xlfn.AGGREGATE(15,6,(ROW(DD$486:DD$534)-ROW(DD$486)+1)/(DD$486:DD$534&lt;&gt;""),ROWS(DJ$1:DJ13))),"")</f>
        <v>192.19332727033435</v>
      </c>
      <c r="DK498" s="166">
        <f t="shared" si="264"/>
        <v>498</v>
      </c>
      <c r="DL498" s="164">
        <f>IFERROR(INDEX(DE$486:DE$534,_xlfn.AGGREGATE(15,6,(ROW(DE$486:DE$534)-ROW(DE$486)+1)/(DE$486:DE$534&lt;&gt;""),ROWS(DL$1:DL13))),"")</f>
        <v>10</v>
      </c>
      <c r="DM498" s="165">
        <f>IFERROR(INDEX(DF$486:DF$534,_xlfn.AGGREGATE(15,6,(ROW(DF$486:DF$534)-ROW(DF$486)+1)/(DF$486:DF$534&lt;&gt;""),ROWS(DM$1:DM13))),"")</f>
        <v>242.18151770569079</v>
      </c>
      <c r="DN498" s="166">
        <f t="shared" si="265"/>
        <v>498</v>
      </c>
      <c r="DO498" s="164">
        <f>IFERROR(INDEX(DG$486:DG$534,_xlfn.AGGREGATE(15,6,(ROW(DG$486:DG$534)-ROW(DG$486)+1)/(DG$486:DG$534&lt;&gt;""),ROWS(DO$1:DO13))),"")</f>
        <v>10</v>
      </c>
      <c r="DP498" s="165">
        <f>IFERROR(INDEX(DH$486:DH$534,_xlfn.AGGREGATE(15,6,(ROW(DH$486:DH$534)-ROW(DH$486)+1)/(DH$486:DH$534&lt;&gt;""),ROWS(DP$1:DP13))),"")</f>
        <v>292.16970814104724</v>
      </c>
      <c r="DQ498" s="166">
        <f t="shared" si="266"/>
        <v>498</v>
      </c>
      <c r="DR498" s="65"/>
      <c r="DV498" s="145">
        <v>2027</v>
      </c>
      <c r="DW498" s="235">
        <f t="shared" ca="1" si="250"/>
        <v>272.8049983446391</v>
      </c>
    </row>
    <row r="499" spans="1:135" ht="13.8" x14ac:dyDescent="0.45">
      <c r="B499" s="128">
        <v>2025</v>
      </c>
      <c r="C499" s="951">
        <v>285.61760236289831</v>
      </c>
      <c r="D499" s="795">
        <v>324.78578077650496</v>
      </c>
      <c r="E499" s="292"/>
      <c r="F499" s="914"/>
      <c r="G499" s="919"/>
      <c r="H499" s="292"/>
      <c r="I499" s="1112">
        <v>192.97297297297308</v>
      </c>
      <c r="J499" s="1150">
        <v>206.60645161290319</v>
      </c>
      <c r="K499" s="919"/>
      <c r="L499" s="293"/>
      <c r="M499" s="292"/>
      <c r="N499" s="29" t="s">
        <v>119</v>
      </c>
      <c r="O499" s="120"/>
      <c r="P499" s="120"/>
      <c r="Q499" s="120"/>
      <c r="R499" s="29">
        <v>11</v>
      </c>
      <c r="S499" s="288">
        <f t="shared" si="251"/>
        <v>192.97297297297308</v>
      </c>
      <c r="T499" s="288">
        <f t="shared" si="252"/>
        <v>324.78578077650496</v>
      </c>
      <c r="U499" s="288">
        <f t="shared" si="253"/>
        <v>54.707619087923959</v>
      </c>
      <c r="W499" s="288">
        <f t="shared" si="254"/>
        <v>197.78808284339596</v>
      </c>
      <c r="X499" s="288">
        <f t="shared" si="255"/>
        <v>252.4957019313199</v>
      </c>
      <c r="Y499" s="288">
        <f t="shared" si="256"/>
        <v>307.20332101924384</v>
      </c>
      <c r="AA499" s="120"/>
      <c r="AB499" s="120"/>
      <c r="AC499" s="120"/>
      <c r="AD499" s="120"/>
      <c r="AE499" s="120"/>
      <c r="AF499" s="120"/>
      <c r="AG499" s="120"/>
      <c r="AH499" s="120"/>
      <c r="AI499" s="120"/>
      <c r="AJ499" s="120"/>
      <c r="AK499" s="120"/>
      <c r="AL499" s="120"/>
      <c r="AM499" s="120"/>
      <c r="AN499" s="120"/>
      <c r="BR499" s="180">
        <v>2023</v>
      </c>
      <c r="BS499" s="22">
        <v>9</v>
      </c>
      <c r="BT499" s="289">
        <f t="shared" si="267"/>
        <v>83.817442894758869</v>
      </c>
      <c r="BU499" s="290">
        <f t="shared" si="268"/>
        <v>147.91341348817375</v>
      </c>
      <c r="BV499" s="205">
        <f t="shared" si="269"/>
        <v>231.73085638293261</v>
      </c>
      <c r="BY499" s="180">
        <v>2023</v>
      </c>
      <c r="BZ499" s="22">
        <v>9</v>
      </c>
      <c r="CA499" s="289">
        <f t="shared" ca="1" si="270"/>
        <v>-1.7653817266800049</v>
      </c>
      <c r="CB499" s="289">
        <f t="shared" ca="1" si="271"/>
        <v>92.448198002972219</v>
      </c>
      <c r="CC499" s="290">
        <f t="shared" ca="1" si="282"/>
        <v>141.72368002672786</v>
      </c>
      <c r="CD499" s="205">
        <f t="shared" ca="1" si="272"/>
        <v>232.40649630302008</v>
      </c>
      <c r="CG499" s="180">
        <v>2023</v>
      </c>
      <c r="CH499" s="22">
        <v>9</v>
      </c>
      <c r="CI499" s="289">
        <f t="shared" ca="1" si="273"/>
        <v>0.35687636015776697</v>
      </c>
      <c r="CJ499" s="289">
        <f t="shared" ca="1" si="274"/>
        <v>-4.3824750345036376</v>
      </c>
      <c r="CK499" s="289">
        <f t="shared" ca="1" si="275"/>
        <v>97.260301219815688</v>
      </c>
      <c r="CL499" s="290">
        <f t="shared" ca="1" si="276"/>
        <v>140.38605455828448</v>
      </c>
      <c r="CM499" s="205">
        <f t="shared" ca="1" si="277"/>
        <v>233.6207571037543</v>
      </c>
      <c r="CP499" s="180">
        <v>2023</v>
      </c>
      <c r="CQ499" s="22">
        <v>9</v>
      </c>
      <c r="CR499" s="289">
        <f t="shared" ca="1" si="278"/>
        <v>169.29108306063685</v>
      </c>
      <c r="CS499" s="290">
        <f t="shared" ca="1" si="279"/>
        <v>1.3051296748248893</v>
      </c>
      <c r="CT499" s="205">
        <f t="shared" ca="1" si="280"/>
        <v>220.94681618568231</v>
      </c>
      <c r="CZ499" s="164" t="b">
        <f t="shared" si="257"/>
        <v>1</v>
      </c>
      <c r="DA499" s="165" t="b">
        <f t="shared" si="257"/>
        <v>1</v>
      </c>
      <c r="DB499" s="166" t="b">
        <f t="shared" si="257"/>
        <v>1</v>
      </c>
      <c r="DC499" s="164">
        <f t="shared" si="258"/>
        <v>11</v>
      </c>
      <c r="DD499" s="166">
        <f t="shared" si="259"/>
        <v>197.78808284339596</v>
      </c>
      <c r="DE499" s="164">
        <f t="shared" si="260"/>
        <v>11</v>
      </c>
      <c r="DF499" s="166">
        <f t="shared" si="261"/>
        <v>252.4957019313199</v>
      </c>
      <c r="DG499" s="164">
        <f t="shared" si="262"/>
        <v>11</v>
      </c>
      <c r="DH499" s="166">
        <f t="shared" si="263"/>
        <v>307.20332101924384</v>
      </c>
      <c r="DI499" s="164">
        <f>IFERROR(INDEX(DC$486:DC$534,_xlfn.AGGREGATE(15,6,(ROW(DC$486:DC$534)-ROW(DC$486)+1)/(DC$486:DC$534&lt;&gt;""),ROWS(DI$1:DI14))),"")</f>
        <v>11</v>
      </c>
      <c r="DJ499" s="165">
        <f>IFERROR(INDEX(DD$486:DD$534,_xlfn.AGGREGATE(15,6,(ROW(DD$486:DD$534)-ROW(DD$486)+1)/(DD$486:DD$534&lt;&gt;""),ROWS(DJ$1:DJ14))),"")</f>
        <v>197.78808284339596</v>
      </c>
      <c r="DK499" s="166">
        <f t="shared" si="264"/>
        <v>499</v>
      </c>
      <c r="DL499" s="164">
        <f>IFERROR(INDEX(DE$486:DE$534,_xlfn.AGGREGATE(15,6,(ROW(DE$486:DE$534)-ROW(DE$486)+1)/(DE$486:DE$534&lt;&gt;""),ROWS(DL$1:DL14))),"")</f>
        <v>11</v>
      </c>
      <c r="DM499" s="165">
        <f>IFERROR(INDEX(DF$486:DF$534,_xlfn.AGGREGATE(15,6,(ROW(DF$486:DF$534)-ROW(DF$486)+1)/(DF$486:DF$534&lt;&gt;""),ROWS(DM$1:DM14))),"")</f>
        <v>252.4957019313199</v>
      </c>
      <c r="DN499" s="166">
        <f t="shared" si="265"/>
        <v>499</v>
      </c>
      <c r="DO499" s="164">
        <f>IFERROR(INDEX(DG$486:DG$534,_xlfn.AGGREGATE(15,6,(ROW(DG$486:DG$534)-ROW(DG$486)+1)/(DG$486:DG$534&lt;&gt;""),ROWS(DO$1:DO14))),"")</f>
        <v>11</v>
      </c>
      <c r="DP499" s="165">
        <f>IFERROR(INDEX(DH$486:DH$534,_xlfn.AGGREGATE(15,6,(ROW(DH$486:DH$534)-ROW(DH$486)+1)/(DH$486:DH$534&lt;&gt;""),ROWS(DP$1:DP14))),"")</f>
        <v>307.20332101924384</v>
      </c>
      <c r="DQ499" s="166">
        <f t="shared" si="266"/>
        <v>499</v>
      </c>
      <c r="DR499" s="65"/>
      <c r="DV499" s="145">
        <v>2028</v>
      </c>
      <c r="DW499" s="235">
        <f t="shared" ca="1" si="250"/>
        <v>282.41865312437426</v>
      </c>
    </row>
    <row r="500" spans="1:135" ht="13.8" x14ac:dyDescent="0.45">
      <c r="B500" s="128">
        <v>2026</v>
      </c>
      <c r="C500" s="951">
        <v>298.64178040322037</v>
      </c>
      <c r="D500" s="795">
        <v>341.69209726729571</v>
      </c>
      <c r="E500" s="292"/>
      <c r="F500" s="914"/>
      <c r="G500" s="919"/>
      <c r="H500" s="292"/>
      <c r="I500" s="1112">
        <v>200.05405405405418</v>
      </c>
      <c r="J500" s="1150">
        <v>210.85161290322577</v>
      </c>
      <c r="K500" s="919"/>
      <c r="L500" s="293"/>
      <c r="M500" s="292"/>
      <c r="N500" s="29" t="s">
        <v>119</v>
      </c>
      <c r="O500" s="120"/>
      <c r="P500" s="120"/>
      <c r="Q500" s="120"/>
      <c r="R500" s="29">
        <v>12</v>
      </c>
      <c r="S500" s="288">
        <f t="shared" si="251"/>
        <v>200.05405405405418</v>
      </c>
      <c r="T500" s="288">
        <f t="shared" si="252"/>
        <v>341.69209726729571</v>
      </c>
      <c r="U500" s="288">
        <f t="shared" si="253"/>
        <v>59.464873028891091</v>
      </c>
      <c r="W500" s="288">
        <f t="shared" si="254"/>
        <v>203.34501312805793</v>
      </c>
      <c r="X500" s="288">
        <f t="shared" si="255"/>
        <v>262.80988615694901</v>
      </c>
      <c r="Y500" s="288">
        <f t="shared" si="256"/>
        <v>322.27475918584008</v>
      </c>
      <c r="AA500" s="120"/>
      <c r="AB500" s="120"/>
      <c r="AC500" s="120"/>
      <c r="AD500" s="120"/>
      <c r="AE500" s="120"/>
      <c r="AF500" s="120"/>
      <c r="AG500" s="120"/>
      <c r="AH500" s="120"/>
      <c r="AI500" s="120"/>
      <c r="AJ500" s="120"/>
      <c r="AK500" s="120"/>
      <c r="AL500" s="120"/>
      <c r="AM500" s="120"/>
      <c r="AN500" s="120"/>
      <c r="BR500" s="180">
        <v>2024</v>
      </c>
      <c r="BS500" s="22">
        <v>10</v>
      </c>
      <c r="BT500" s="289">
        <f t="shared" si="267"/>
        <v>93.13049210528763</v>
      </c>
      <c r="BU500" s="290">
        <f t="shared" si="268"/>
        <v>147.91341348817375</v>
      </c>
      <c r="BV500" s="205">
        <f t="shared" si="269"/>
        <v>241.04390559346137</v>
      </c>
      <c r="BY500" s="180">
        <v>2024</v>
      </c>
      <c r="BZ500" s="22">
        <v>10</v>
      </c>
      <c r="CA500" s="289">
        <f t="shared" ca="1" si="270"/>
        <v>-2.1794836131851913</v>
      </c>
      <c r="CB500" s="289">
        <f t="shared" ca="1" si="271"/>
        <v>102.72022000330246</v>
      </c>
      <c r="CC500" s="290">
        <f t="shared" ca="1" si="282"/>
        <v>141.72368002672786</v>
      </c>
      <c r="CD500" s="205">
        <f t="shared" ca="1" si="272"/>
        <v>242.26441641684511</v>
      </c>
      <c r="CG500" s="180">
        <v>2024</v>
      </c>
      <c r="CH500" s="22">
        <v>10</v>
      </c>
      <c r="CI500" s="289">
        <f t="shared" ca="1" si="273"/>
        <v>0.4895423321780068</v>
      </c>
      <c r="CJ500" s="289">
        <f t="shared" ca="1" si="274"/>
        <v>-5.4104630055600467</v>
      </c>
      <c r="CK500" s="289">
        <f t="shared" ca="1" si="275"/>
        <v>108.06700135535075</v>
      </c>
      <c r="CL500" s="290">
        <f t="shared" ca="1" si="276"/>
        <v>140.38605455828448</v>
      </c>
      <c r="CM500" s="205">
        <f t="shared" ca="1" si="277"/>
        <v>243.53213524025318</v>
      </c>
      <c r="CP500" s="180">
        <v>2024</v>
      </c>
      <c r="CQ500" s="22">
        <v>10</v>
      </c>
      <c r="CR500" s="289">
        <f t="shared" ca="1" si="278"/>
        <v>169.29108306063685</v>
      </c>
      <c r="CS500" s="290">
        <f t="shared" ca="1" si="279"/>
        <v>1.3443243696758418</v>
      </c>
      <c r="CT500" s="205">
        <f t="shared" ca="1" si="280"/>
        <v>227.58212852723122</v>
      </c>
      <c r="CZ500" s="164" t="b">
        <f t="shared" si="257"/>
        <v>1</v>
      </c>
      <c r="DA500" s="165" t="b">
        <f t="shared" si="257"/>
        <v>1</v>
      </c>
      <c r="DB500" s="166" t="b">
        <f t="shared" si="257"/>
        <v>1</v>
      </c>
      <c r="DC500" s="164">
        <f t="shared" si="258"/>
        <v>12</v>
      </c>
      <c r="DD500" s="166">
        <f t="shared" si="259"/>
        <v>203.34501312805793</v>
      </c>
      <c r="DE500" s="164">
        <f t="shared" si="260"/>
        <v>12</v>
      </c>
      <c r="DF500" s="166">
        <f t="shared" si="261"/>
        <v>262.80988615694901</v>
      </c>
      <c r="DG500" s="164">
        <f t="shared" si="262"/>
        <v>12</v>
      </c>
      <c r="DH500" s="166">
        <f t="shared" si="263"/>
        <v>322.27475918584008</v>
      </c>
      <c r="DI500" s="164">
        <f>IFERROR(INDEX(DC$486:DC$534,_xlfn.AGGREGATE(15,6,(ROW(DC$486:DC$534)-ROW(DC$486)+1)/(DC$486:DC$534&lt;&gt;""),ROWS(DI$1:DI15))),"")</f>
        <v>12</v>
      </c>
      <c r="DJ500" s="165">
        <f>IFERROR(INDEX(DD$486:DD$534,_xlfn.AGGREGATE(15,6,(ROW(DD$486:DD$534)-ROW(DD$486)+1)/(DD$486:DD$534&lt;&gt;""),ROWS(DJ$1:DJ15))),"")</f>
        <v>203.34501312805793</v>
      </c>
      <c r="DK500" s="166">
        <f t="shared" si="264"/>
        <v>500</v>
      </c>
      <c r="DL500" s="164">
        <f>IFERROR(INDEX(DE$486:DE$534,_xlfn.AGGREGATE(15,6,(ROW(DE$486:DE$534)-ROW(DE$486)+1)/(DE$486:DE$534&lt;&gt;""),ROWS(DL$1:DL15))),"")</f>
        <v>12</v>
      </c>
      <c r="DM500" s="165">
        <f>IFERROR(INDEX(DF$486:DF$534,_xlfn.AGGREGATE(15,6,(ROW(DF$486:DF$534)-ROW(DF$486)+1)/(DF$486:DF$534&lt;&gt;""),ROWS(DM$1:DM15))),"")</f>
        <v>262.80988615694901</v>
      </c>
      <c r="DN500" s="166">
        <f t="shared" si="265"/>
        <v>500</v>
      </c>
      <c r="DO500" s="164">
        <f>IFERROR(INDEX(DG$486:DG$534,_xlfn.AGGREGATE(15,6,(ROW(DG$486:DG$534)-ROW(DG$486)+1)/(DG$486:DG$534&lt;&gt;""),ROWS(DO$1:DO15))),"")</f>
        <v>12</v>
      </c>
      <c r="DP500" s="165">
        <f>IFERROR(INDEX(DH$486:DH$534,_xlfn.AGGREGATE(15,6,(ROW(DH$486:DH$534)-ROW(DH$486)+1)/(DH$486:DH$534&lt;&gt;""),ROWS(DP$1:DP15))),"")</f>
        <v>322.27475918584008</v>
      </c>
      <c r="DQ500" s="166">
        <f t="shared" si="266"/>
        <v>500</v>
      </c>
      <c r="DR500" s="65"/>
      <c r="DV500" s="145">
        <v>2029</v>
      </c>
      <c r="DW500" s="235">
        <f t="shared" ca="1" si="250"/>
        <v>291.9652201999013</v>
      </c>
      <c r="EA500" s="55"/>
      <c r="EB500" s="55"/>
      <c r="EC500" s="55"/>
      <c r="ED500" s="55"/>
      <c r="EE500" s="55"/>
    </row>
    <row r="501" spans="1:135" ht="13.8" x14ac:dyDescent="0.45">
      <c r="B501" s="128">
        <v>2027</v>
      </c>
      <c r="C501" s="951">
        <v>311.66595844354242</v>
      </c>
      <c r="D501" s="795">
        <v>358.59841375808639</v>
      </c>
      <c r="E501" s="292"/>
      <c r="F501" s="914"/>
      <c r="G501" s="919"/>
      <c r="H501" s="292"/>
      <c r="I501" s="1112">
        <v>207.13513513513527</v>
      </c>
      <c r="J501" s="1150">
        <v>215.09677419354836</v>
      </c>
      <c r="K501" s="919"/>
      <c r="L501" s="293"/>
      <c r="M501" s="292"/>
      <c r="N501" s="29" t="s">
        <v>119</v>
      </c>
      <c r="O501" s="120"/>
      <c r="P501" s="120"/>
      <c r="Q501" s="120"/>
      <c r="R501" s="29">
        <v>13</v>
      </c>
      <c r="S501" s="288">
        <f t="shared" si="251"/>
        <v>207.13513513513527</v>
      </c>
      <c r="T501" s="288">
        <f t="shared" si="252"/>
        <v>358.59841375808639</v>
      </c>
      <c r="U501" s="288">
        <f t="shared" si="253"/>
        <v>64.251550932407099</v>
      </c>
      <c r="W501" s="288">
        <f t="shared" si="254"/>
        <v>208.87251945017101</v>
      </c>
      <c r="X501" s="288">
        <f t="shared" si="255"/>
        <v>273.12407038257811</v>
      </c>
      <c r="Y501" s="288">
        <f t="shared" si="256"/>
        <v>337.37562131498521</v>
      </c>
      <c r="AA501" s="89"/>
      <c r="AB501" s="89"/>
      <c r="AC501" s="89"/>
      <c r="AD501" s="89"/>
      <c r="AE501" s="89"/>
      <c r="AF501" s="89"/>
      <c r="AG501" s="89"/>
      <c r="AH501" s="89"/>
      <c r="AI501" s="89"/>
      <c r="AJ501" s="89"/>
      <c r="AK501" s="89"/>
      <c r="AL501" s="89"/>
      <c r="AM501" s="89"/>
      <c r="AN501" s="89"/>
      <c r="BR501" s="180">
        <v>2025</v>
      </c>
      <c r="BS501" s="22">
        <v>11</v>
      </c>
      <c r="BT501" s="289">
        <f t="shared" si="267"/>
        <v>102.4435413158164</v>
      </c>
      <c r="BU501" s="290">
        <f t="shared" si="268"/>
        <v>147.91341348817375</v>
      </c>
      <c r="BV501" s="205">
        <f t="shared" si="269"/>
        <v>250.35695480399016</v>
      </c>
      <c r="BY501" s="180">
        <v>2025</v>
      </c>
      <c r="BZ501" s="22">
        <v>11</v>
      </c>
      <c r="CA501" s="289">
        <f t="shared" ca="1" si="270"/>
        <v>-2.6371751719540812</v>
      </c>
      <c r="CB501" s="289">
        <f t="shared" ca="1" si="271"/>
        <v>112.9922420036327</v>
      </c>
      <c r="CC501" s="290">
        <f t="shared" ca="1" si="282"/>
        <v>141.72368002672786</v>
      </c>
      <c r="CD501" s="205">
        <f t="shared" ca="1" si="272"/>
        <v>252.07874685840648</v>
      </c>
      <c r="CG501" s="180">
        <v>2025</v>
      </c>
      <c r="CH501" s="22">
        <v>11</v>
      </c>
      <c r="CI501" s="289">
        <f t="shared" ca="1" si="273"/>
        <v>0.65158084412892703</v>
      </c>
      <c r="CJ501" s="289">
        <f t="shared" ca="1" si="274"/>
        <v>-6.5466602367276572</v>
      </c>
      <c r="CK501" s="289">
        <f t="shared" ca="1" si="275"/>
        <v>118.87370149088584</v>
      </c>
      <c r="CL501" s="290">
        <f t="shared" ca="1" si="276"/>
        <v>140.38605455828448</v>
      </c>
      <c r="CM501" s="205">
        <f t="shared" ca="1" si="277"/>
        <v>253.36467665657159</v>
      </c>
      <c r="CP501" s="180">
        <v>2025</v>
      </c>
      <c r="CQ501" s="22">
        <v>11</v>
      </c>
      <c r="CR501" s="289">
        <f t="shared" ca="1" si="278"/>
        <v>169.29108306063685</v>
      </c>
      <c r="CS501" s="290">
        <f t="shared" ca="1" si="279"/>
        <v>1.3846961307862564</v>
      </c>
      <c r="CT501" s="205">
        <f t="shared" ca="1" si="280"/>
        <v>234.41670769067861</v>
      </c>
      <c r="CZ501" s="164" t="b">
        <f t="shared" si="257"/>
        <v>1</v>
      </c>
      <c r="DA501" s="165" t="b">
        <f t="shared" si="257"/>
        <v>1</v>
      </c>
      <c r="DB501" s="166" t="b">
        <f t="shared" si="257"/>
        <v>1</v>
      </c>
      <c r="DC501" s="164">
        <f t="shared" si="258"/>
        <v>13</v>
      </c>
      <c r="DD501" s="166">
        <f t="shared" si="259"/>
        <v>208.87251945017101</v>
      </c>
      <c r="DE501" s="164">
        <f t="shared" si="260"/>
        <v>13</v>
      </c>
      <c r="DF501" s="166">
        <f t="shared" si="261"/>
        <v>273.12407038257811</v>
      </c>
      <c r="DG501" s="164">
        <f t="shared" si="262"/>
        <v>13</v>
      </c>
      <c r="DH501" s="166">
        <f t="shared" si="263"/>
        <v>337.37562131498521</v>
      </c>
      <c r="DI501" s="164">
        <f>IFERROR(INDEX(DC$486:DC$534,_xlfn.AGGREGATE(15,6,(ROW(DC$486:DC$534)-ROW(DC$486)+1)/(DC$486:DC$534&lt;&gt;""),ROWS(DI$1:DI16))),"")</f>
        <v>13</v>
      </c>
      <c r="DJ501" s="165">
        <f>IFERROR(INDEX(DD$486:DD$534,_xlfn.AGGREGATE(15,6,(ROW(DD$486:DD$534)-ROW(DD$486)+1)/(DD$486:DD$534&lt;&gt;""),ROWS(DJ$1:DJ16))),"")</f>
        <v>208.87251945017101</v>
      </c>
      <c r="DK501" s="166">
        <f t="shared" si="264"/>
        <v>501</v>
      </c>
      <c r="DL501" s="164">
        <f>IFERROR(INDEX(DE$486:DE$534,_xlfn.AGGREGATE(15,6,(ROW(DE$486:DE$534)-ROW(DE$486)+1)/(DE$486:DE$534&lt;&gt;""),ROWS(DL$1:DL16))),"")</f>
        <v>13</v>
      </c>
      <c r="DM501" s="165">
        <f>IFERROR(INDEX(DF$486:DF$534,_xlfn.AGGREGATE(15,6,(ROW(DF$486:DF$534)-ROW(DF$486)+1)/(DF$486:DF$534&lt;&gt;""),ROWS(DM$1:DM16))),"")</f>
        <v>273.12407038257811</v>
      </c>
      <c r="DN501" s="166">
        <f t="shared" si="265"/>
        <v>501</v>
      </c>
      <c r="DO501" s="164">
        <f>IFERROR(INDEX(DG$486:DG$534,_xlfn.AGGREGATE(15,6,(ROW(DG$486:DG$534)-ROW(DG$486)+1)/(DG$486:DG$534&lt;&gt;""),ROWS(DO$1:DO16))),"")</f>
        <v>13</v>
      </c>
      <c r="DP501" s="165">
        <f>IFERROR(INDEX(DH$486:DH$534,_xlfn.AGGREGATE(15,6,(ROW(DH$486:DH$534)-ROW(DH$486)+1)/(DH$486:DH$534&lt;&gt;""),ROWS(DP$1:DP16))),"")</f>
        <v>337.37562131498521</v>
      </c>
      <c r="DQ501" s="166">
        <f t="shared" si="266"/>
        <v>501</v>
      </c>
      <c r="DR501" s="65"/>
      <c r="DV501" s="145">
        <v>2030</v>
      </c>
      <c r="DW501" s="235">
        <f t="shared" ca="1" si="250"/>
        <v>301.44763682521307</v>
      </c>
    </row>
    <row r="502" spans="1:135" ht="13.8" x14ac:dyDescent="0.45">
      <c r="A502" s="295" t="str">
        <f>$A$62</f>
        <v>Base Cases</v>
      </c>
      <c r="B502" s="128">
        <v>2028</v>
      </c>
      <c r="C502" s="951">
        <v>324.69013648386442</v>
      </c>
      <c r="D502" s="795">
        <v>375.50473024887708</v>
      </c>
      <c r="E502" s="292"/>
      <c r="F502" s="914"/>
      <c r="G502" s="919"/>
      <c r="H502" s="292"/>
      <c r="I502" s="1112">
        <v>214.21621621621637</v>
      </c>
      <c r="J502" s="1150">
        <v>219.34193548387094</v>
      </c>
      <c r="K502" s="919"/>
      <c r="L502" s="293"/>
      <c r="M502" s="292"/>
      <c r="N502" s="29" t="s">
        <v>119</v>
      </c>
      <c r="O502" s="120"/>
      <c r="P502" s="120"/>
      <c r="Q502" s="120"/>
      <c r="R502" s="29">
        <v>14</v>
      </c>
      <c r="S502" s="288">
        <f t="shared" si="251"/>
        <v>214.21621621621637</v>
      </c>
      <c r="T502" s="288">
        <f t="shared" si="252"/>
        <v>375.50473024887708</v>
      </c>
      <c r="U502" s="288">
        <f t="shared" si="253"/>
        <v>69.061534915624733</v>
      </c>
      <c r="W502" s="288">
        <f t="shared" si="254"/>
        <v>214.37671969258247</v>
      </c>
      <c r="X502" s="288">
        <f t="shared" si="255"/>
        <v>283.43825460820722</v>
      </c>
      <c r="Y502" s="288">
        <f t="shared" si="256"/>
        <v>352.49978952383196</v>
      </c>
      <c r="AA502" s="114"/>
      <c r="AB502" s="114"/>
      <c r="AC502" s="114"/>
      <c r="AD502" s="114"/>
      <c r="AE502" s="114"/>
      <c r="AF502" s="114"/>
      <c r="AG502" s="114"/>
      <c r="AH502" s="114"/>
      <c r="AI502" s="114"/>
      <c r="AJ502" s="114"/>
      <c r="AK502" s="114"/>
      <c r="AL502" s="114"/>
      <c r="AM502" s="114"/>
      <c r="AN502" s="114"/>
      <c r="BR502" s="180">
        <v>2026</v>
      </c>
      <c r="BS502" s="22">
        <v>12</v>
      </c>
      <c r="BT502" s="289">
        <f t="shared" si="267"/>
        <v>111.75659052634516</v>
      </c>
      <c r="BU502" s="290">
        <f t="shared" si="268"/>
        <v>147.91341348817375</v>
      </c>
      <c r="BV502" s="205">
        <f t="shared" si="269"/>
        <v>259.6700040145189</v>
      </c>
      <c r="BY502" s="180">
        <v>2026</v>
      </c>
      <c r="BZ502" s="22">
        <v>12</v>
      </c>
      <c r="CA502" s="289">
        <f t="shared" ca="1" si="270"/>
        <v>-3.1384564029866753</v>
      </c>
      <c r="CB502" s="289">
        <f t="shared" ca="1" si="271"/>
        <v>123.26426400396295</v>
      </c>
      <c r="CC502" s="290">
        <f t="shared" ca="1" si="282"/>
        <v>141.72368002672786</v>
      </c>
      <c r="CD502" s="205">
        <f t="shared" ca="1" si="272"/>
        <v>261.84948762770415</v>
      </c>
      <c r="CG502" s="180">
        <v>2026</v>
      </c>
      <c r="CH502" s="22">
        <v>12</v>
      </c>
      <c r="CI502" s="289">
        <f t="shared" ca="1" si="273"/>
        <v>0.84592915000359581</v>
      </c>
      <c r="CJ502" s="289">
        <f t="shared" ca="1" si="274"/>
        <v>-7.7910667280064674</v>
      </c>
      <c r="CK502" s="289">
        <f t="shared" ca="1" si="275"/>
        <v>129.68040162642092</v>
      </c>
      <c r="CL502" s="290">
        <f t="shared" ca="1" si="276"/>
        <v>140.38605455828448</v>
      </c>
      <c r="CM502" s="205">
        <f t="shared" ca="1" si="277"/>
        <v>263.12131860670252</v>
      </c>
      <c r="CP502" s="180">
        <v>2026</v>
      </c>
      <c r="CQ502" s="22">
        <v>12</v>
      </c>
      <c r="CR502" s="289">
        <f t="shared" ca="1" si="278"/>
        <v>169.29108306063685</v>
      </c>
      <c r="CS502" s="290">
        <f t="shared" ca="1" si="279"/>
        <v>1.4262803069446475</v>
      </c>
      <c r="CT502" s="205">
        <f t="shared" ca="1" si="280"/>
        <v>241.45653791071695</v>
      </c>
      <c r="CZ502" s="164" t="b">
        <f t="shared" si="257"/>
        <v>1</v>
      </c>
      <c r="DA502" s="165" t="b">
        <f t="shared" si="257"/>
        <v>1</v>
      </c>
      <c r="DB502" s="166" t="b">
        <f t="shared" si="257"/>
        <v>1</v>
      </c>
      <c r="DC502" s="164">
        <f t="shared" si="258"/>
        <v>14</v>
      </c>
      <c r="DD502" s="166">
        <f t="shared" si="259"/>
        <v>214.37671969258247</v>
      </c>
      <c r="DE502" s="164">
        <f t="shared" si="260"/>
        <v>14</v>
      </c>
      <c r="DF502" s="166">
        <f t="shared" si="261"/>
        <v>283.43825460820722</v>
      </c>
      <c r="DG502" s="164">
        <f t="shared" si="262"/>
        <v>14</v>
      </c>
      <c r="DH502" s="166">
        <f t="shared" si="263"/>
        <v>352.49978952383196</v>
      </c>
      <c r="DI502" s="164">
        <f>IFERROR(INDEX(DC$486:DC$534,_xlfn.AGGREGATE(15,6,(ROW(DC$486:DC$534)-ROW(DC$486)+1)/(DC$486:DC$534&lt;&gt;""),ROWS(DI$1:DI17))),"")</f>
        <v>14</v>
      </c>
      <c r="DJ502" s="165">
        <f>IFERROR(INDEX(DD$486:DD$534,_xlfn.AGGREGATE(15,6,(ROW(DD$486:DD$534)-ROW(DD$486)+1)/(DD$486:DD$534&lt;&gt;""),ROWS(DJ$1:DJ17))),"")</f>
        <v>214.37671969258247</v>
      </c>
      <c r="DK502" s="166">
        <f t="shared" si="264"/>
        <v>502</v>
      </c>
      <c r="DL502" s="164">
        <f>IFERROR(INDEX(DE$486:DE$534,_xlfn.AGGREGATE(15,6,(ROW(DE$486:DE$534)-ROW(DE$486)+1)/(DE$486:DE$534&lt;&gt;""),ROWS(DL$1:DL17))),"")</f>
        <v>14</v>
      </c>
      <c r="DM502" s="165">
        <f>IFERROR(INDEX(DF$486:DF$534,_xlfn.AGGREGATE(15,6,(ROW(DF$486:DF$534)-ROW(DF$486)+1)/(DF$486:DF$534&lt;&gt;""),ROWS(DM$1:DM17))),"")</f>
        <v>283.43825460820722</v>
      </c>
      <c r="DN502" s="166">
        <f t="shared" si="265"/>
        <v>502</v>
      </c>
      <c r="DO502" s="164">
        <f>IFERROR(INDEX(DG$486:DG$534,_xlfn.AGGREGATE(15,6,(ROW(DG$486:DG$534)-ROW(DG$486)+1)/(DG$486:DG$534&lt;&gt;""),ROWS(DO$1:DO17))),"")</f>
        <v>14</v>
      </c>
      <c r="DP502" s="165">
        <f>IFERROR(INDEX(DH$486:DH$534,_xlfn.AGGREGATE(15,6,(ROW(DH$486:DH$534)-ROW(DH$486)+1)/(DH$486:DH$534&lt;&gt;""),ROWS(DP$1:DP17))),"")</f>
        <v>352.49978952383196</v>
      </c>
      <c r="DQ502" s="166">
        <f t="shared" si="266"/>
        <v>502</v>
      </c>
      <c r="DR502" s="65"/>
      <c r="DV502" s="145">
        <v>2031</v>
      </c>
      <c r="DW502" s="235">
        <f t="shared" ca="1" si="250"/>
        <v>310.86884025430277</v>
      </c>
    </row>
    <row r="503" spans="1:135" ht="13.8" x14ac:dyDescent="0.45">
      <c r="A503" s="296" t="str">
        <f>$A$63</f>
        <v>Conservative Cases</v>
      </c>
      <c r="B503" s="128">
        <v>2029</v>
      </c>
      <c r="C503" s="951">
        <v>337.71431452418653</v>
      </c>
      <c r="D503" s="795">
        <v>392.41104673966777</v>
      </c>
      <c r="E503" s="292"/>
      <c r="F503" s="914"/>
      <c r="G503" s="919"/>
      <c r="H503" s="292"/>
      <c r="I503" s="1112">
        <v>221.29729729729746</v>
      </c>
      <c r="J503" s="1150">
        <v>223.58709677419353</v>
      </c>
      <c r="K503" s="919"/>
      <c r="L503" s="293"/>
      <c r="M503" s="292"/>
      <c r="N503" s="29" t="s">
        <v>119</v>
      </c>
      <c r="O503" s="120"/>
      <c r="P503" s="120"/>
      <c r="Q503" s="120"/>
      <c r="R503" s="29">
        <v>15</v>
      </c>
      <c r="S503" s="288">
        <f t="shared" si="251"/>
        <v>221.29729729729746</v>
      </c>
      <c r="T503" s="288">
        <f t="shared" si="252"/>
        <v>392.41104673966777</v>
      </c>
      <c r="U503" s="288">
        <f t="shared" si="253"/>
        <v>73.890273699514879</v>
      </c>
      <c r="W503" s="288">
        <f t="shared" si="254"/>
        <v>219.86216513432146</v>
      </c>
      <c r="X503" s="288">
        <f t="shared" si="255"/>
        <v>293.75243883383632</v>
      </c>
      <c r="Y503" s="288">
        <f t="shared" si="256"/>
        <v>367.64271253335119</v>
      </c>
      <c r="AA503" s="89"/>
      <c r="AB503" s="89"/>
      <c r="AC503" s="89"/>
      <c r="AD503" s="89"/>
      <c r="AE503" s="89"/>
      <c r="AF503" s="89"/>
      <c r="AG503" s="89"/>
      <c r="AH503" s="89"/>
      <c r="AI503" s="89"/>
      <c r="AJ503" s="89"/>
      <c r="AK503" s="89"/>
      <c r="AL503" s="89"/>
      <c r="AM503" s="89"/>
      <c r="AN503" s="89"/>
      <c r="BR503" s="180">
        <v>2027</v>
      </c>
      <c r="BS503" s="22">
        <v>13</v>
      </c>
      <c r="BT503" s="289">
        <f t="shared" si="267"/>
        <v>121.06963973687392</v>
      </c>
      <c r="BU503" s="290">
        <f t="shared" si="268"/>
        <v>147.91341348817375</v>
      </c>
      <c r="BV503" s="205">
        <f t="shared" si="269"/>
        <v>268.98305322504768</v>
      </c>
      <c r="BY503" s="180">
        <v>2027</v>
      </c>
      <c r="BZ503" s="22">
        <v>13</v>
      </c>
      <c r="CA503" s="289">
        <f t="shared" ca="1" si="270"/>
        <v>-3.6833273062829734</v>
      </c>
      <c r="CB503" s="289">
        <f t="shared" ca="1" si="271"/>
        <v>133.5362860042932</v>
      </c>
      <c r="CC503" s="290">
        <f t="shared" ca="1" si="282"/>
        <v>141.72368002672786</v>
      </c>
      <c r="CD503" s="205">
        <f t="shared" ca="1" si="272"/>
        <v>271.57663872473813</v>
      </c>
      <c r="CG503" s="180">
        <v>2027</v>
      </c>
      <c r="CH503" s="22">
        <v>13</v>
      </c>
      <c r="CI503" s="289">
        <f t="shared" ca="1" si="273"/>
        <v>1.0755245037950809</v>
      </c>
      <c r="CJ503" s="289">
        <f t="shared" ca="1" si="274"/>
        <v>-9.1436824793964799</v>
      </c>
      <c r="CK503" s="289">
        <f t="shared" ca="1" si="275"/>
        <v>140.48710176195598</v>
      </c>
      <c r="CL503" s="290">
        <f t="shared" ca="1" si="276"/>
        <v>140.38605455828448</v>
      </c>
      <c r="CM503" s="205">
        <f t="shared" ca="1" si="277"/>
        <v>272.8049983446391</v>
      </c>
      <c r="CP503" s="180">
        <v>2027</v>
      </c>
      <c r="CQ503" s="22">
        <v>13</v>
      </c>
      <c r="CR503" s="289">
        <f t="shared" ca="1" si="278"/>
        <v>169.29108306063685</v>
      </c>
      <c r="CS503" s="290">
        <f t="shared" ca="1" si="279"/>
        <v>1.469113308508357</v>
      </c>
      <c r="CT503" s="205">
        <f t="shared" ca="1" si="280"/>
        <v>248.70778313617527</v>
      </c>
      <c r="CZ503" s="164" t="b">
        <f t="shared" si="257"/>
        <v>1</v>
      </c>
      <c r="DA503" s="165" t="b">
        <f t="shared" si="257"/>
        <v>1</v>
      </c>
      <c r="DB503" s="166" t="b">
        <f t="shared" si="257"/>
        <v>1</v>
      </c>
      <c r="DC503" s="164">
        <f t="shared" si="258"/>
        <v>15</v>
      </c>
      <c r="DD503" s="166">
        <f t="shared" si="259"/>
        <v>219.86216513432146</v>
      </c>
      <c r="DE503" s="164">
        <f t="shared" si="260"/>
        <v>15</v>
      </c>
      <c r="DF503" s="166">
        <f t="shared" si="261"/>
        <v>293.75243883383632</v>
      </c>
      <c r="DG503" s="164">
        <f t="shared" si="262"/>
        <v>15</v>
      </c>
      <c r="DH503" s="166">
        <f t="shared" si="263"/>
        <v>367.64271253335119</v>
      </c>
      <c r="DI503" s="164">
        <f>IFERROR(INDEX(DC$486:DC$534,_xlfn.AGGREGATE(15,6,(ROW(DC$486:DC$534)-ROW(DC$486)+1)/(DC$486:DC$534&lt;&gt;""),ROWS(DI$1:DI18))),"")</f>
        <v>15</v>
      </c>
      <c r="DJ503" s="165">
        <f>IFERROR(INDEX(DD$486:DD$534,_xlfn.AGGREGATE(15,6,(ROW(DD$486:DD$534)-ROW(DD$486)+1)/(DD$486:DD$534&lt;&gt;""),ROWS(DJ$1:DJ18))),"")</f>
        <v>219.86216513432146</v>
      </c>
      <c r="DK503" s="166">
        <f t="shared" si="264"/>
        <v>503</v>
      </c>
      <c r="DL503" s="164">
        <f>IFERROR(INDEX(DE$486:DE$534,_xlfn.AGGREGATE(15,6,(ROW(DE$486:DE$534)-ROW(DE$486)+1)/(DE$486:DE$534&lt;&gt;""),ROWS(DL$1:DL18))),"")</f>
        <v>15</v>
      </c>
      <c r="DM503" s="165">
        <f>IFERROR(INDEX(DF$486:DF$534,_xlfn.AGGREGATE(15,6,(ROW(DF$486:DF$534)-ROW(DF$486)+1)/(DF$486:DF$534&lt;&gt;""),ROWS(DM$1:DM18))),"")</f>
        <v>293.75243883383632</v>
      </c>
      <c r="DN503" s="166">
        <f t="shared" si="265"/>
        <v>503</v>
      </c>
      <c r="DO503" s="164">
        <f>IFERROR(INDEX(DG$486:DG$534,_xlfn.AGGREGATE(15,6,(ROW(DG$486:DG$534)-ROW(DG$486)+1)/(DG$486:DG$534&lt;&gt;""),ROWS(DO$1:DO18))),"")</f>
        <v>15</v>
      </c>
      <c r="DP503" s="165">
        <f>IFERROR(INDEX(DH$486:DH$534,_xlfn.AGGREGATE(15,6,(ROW(DH$486:DH$534)-ROW(DH$486)+1)/(DH$486:DH$534&lt;&gt;""),ROWS(DP$1:DP18))),"")</f>
        <v>367.64271253335119</v>
      </c>
      <c r="DQ503" s="166">
        <f t="shared" si="266"/>
        <v>503</v>
      </c>
      <c r="DR503" s="65"/>
      <c r="DV503" s="145">
        <v>2032</v>
      </c>
      <c r="DW503" s="235">
        <f t="shared" ca="1" si="250"/>
        <v>320.23176774116348</v>
      </c>
    </row>
    <row r="504" spans="1:135" ht="13.8" x14ac:dyDescent="0.45">
      <c r="A504" s="297" t="str">
        <f>$A$64</f>
        <v>Ambitious Cases</v>
      </c>
      <c r="B504" s="128">
        <v>2030</v>
      </c>
      <c r="C504" s="951">
        <v>350.73849256450853</v>
      </c>
      <c r="D504" s="795">
        <v>409.31736323045845</v>
      </c>
      <c r="E504" s="292"/>
      <c r="F504" s="914"/>
      <c r="G504" s="919"/>
      <c r="H504" s="292"/>
      <c r="I504" s="1112">
        <v>228.37837837837856</v>
      </c>
      <c r="J504" s="1150">
        <v>227.83225806451611</v>
      </c>
      <c r="K504" s="919"/>
      <c r="L504" s="293"/>
      <c r="M504" s="292"/>
      <c r="N504" s="29" t="s">
        <v>119</v>
      </c>
      <c r="O504" s="120"/>
      <c r="P504" s="120"/>
      <c r="Q504" s="120"/>
      <c r="R504" s="29">
        <v>16</v>
      </c>
      <c r="S504" s="288">
        <f t="shared" si="251"/>
        <v>227.83225806451611</v>
      </c>
      <c r="T504" s="288">
        <f t="shared" si="252"/>
        <v>409.31736323045845</v>
      </c>
      <c r="U504" s="288">
        <f t="shared" si="253"/>
        <v>78.734316690254047</v>
      </c>
      <c r="W504" s="288">
        <f t="shared" si="254"/>
        <v>225.33230636921138</v>
      </c>
      <c r="X504" s="288">
        <f t="shared" si="255"/>
        <v>304.06662305946543</v>
      </c>
      <c r="Y504" s="288">
        <f t="shared" si="256"/>
        <v>382.80093974971948</v>
      </c>
      <c r="AA504" s="89"/>
      <c r="AB504" s="89"/>
      <c r="AC504" s="89"/>
      <c r="AD504" s="89"/>
      <c r="AE504" s="89"/>
      <c r="AF504" s="89"/>
      <c r="AG504" s="89"/>
      <c r="AH504" s="89"/>
      <c r="AI504" s="89"/>
      <c r="AJ504" s="89"/>
      <c r="AK504" s="89"/>
      <c r="AL504" s="89"/>
      <c r="AM504" s="89"/>
      <c r="AN504" s="89"/>
      <c r="BR504" s="180">
        <v>2028</v>
      </c>
      <c r="BS504" s="22">
        <v>14</v>
      </c>
      <c r="BT504" s="289">
        <f t="shared" si="267"/>
        <v>130.3826889474027</v>
      </c>
      <c r="BU504" s="290">
        <f t="shared" si="268"/>
        <v>147.91341348817375</v>
      </c>
      <c r="BV504" s="205">
        <f t="shared" si="269"/>
        <v>278.29610243557647</v>
      </c>
      <c r="BY504" s="180">
        <v>2028</v>
      </c>
      <c r="BZ504" s="22">
        <v>14</v>
      </c>
      <c r="CA504" s="289">
        <f t="shared" ca="1" si="270"/>
        <v>-4.2717878818429753</v>
      </c>
      <c r="CB504" s="289">
        <f t="shared" ca="1" si="271"/>
        <v>143.80830800462343</v>
      </c>
      <c r="CC504" s="290">
        <f t="shared" ca="1" si="282"/>
        <v>141.72368002672786</v>
      </c>
      <c r="CD504" s="205">
        <f t="shared" ca="1" si="272"/>
        <v>281.26020014950831</v>
      </c>
      <c r="CG504" s="180">
        <v>2028</v>
      </c>
      <c r="CH504" s="22">
        <v>14</v>
      </c>
      <c r="CI504" s="289">
        <f t="shared" ca="1" si="273"/>
        <v>1.3433041594964508</v>
      </c>
      <c r="CJ504" s="289">
        <f t="shared" ca="1" si="274"/>
        <v>-10.604507490897692</v>
      </c>
      <c r="CK504" s="289">
        <f t="shared" ca="1" si="275"/>
        <v>151.29380189749105</v>
      </c>
      <c r="CL504" s="290">
        <f t="shared" ca="1" si="276"/>
        <v>140.38605455828448</v>
      </c>
      <c r="CM504" s="205">
        <f t="shared" ca="1" si="277"/>
        <v>282.41865312437426</v>
      </c>
      <c r="CP504" s="180">
        <v>2028</v>
      </c>
      <c r="CQ504" s="22">
        <v>14</v>
      </c>
      <c r="CR504" s="289">
        <f t="shared" ca="1" si="278"/>
        <v>169.29108306063685</v>
      </c>
      <c r="CS504" s="290">
        <f t="shared" ca="1" si="279"/>
        <v>1.5132326392838096</v>
      </c>
      <c r="CT504" s="205">
        <f t="shared" ca="1" si="280"/>
        <v>256.17679242706214</v>
      </c>
      <c r="CZ504" s="164" t="b">
        <f t="shared" si="257"/>
        <v>1</v>
      </c>
      <c r="DA504" s="165" t="b">
        <f t="shared" si="257"/>
        <v>1</v>
      </c>
      <c r="DB504" s="166" t="b">
        <f t="shared" si="257"/>
        <v>1</v>
      </c>
      <c r="DC504" s="164">
        <f t="shared" si="258"/>
        <v>16</v>
      </c>
      <c r="DD504" s="166">
        <f t="shared" si="259"/>
        <v>225.33230636921138</v>
      </c>
      <c r="DE504" s="164">
        <f t="shared" si="260"/>
        <v>16</v>
      </c>
      <c r="DF504" s="166">
        <f t="shared" si="261"/>
        <v>304.06662305946543</v>
      </c>
      <c r="DG504" s="164">
        <f t="shared" si="262"/>
        <v>16</v>
      </c>
      <c r="DH504" s="166">
        <f t="shared" si="263"/>
        <v>382.80093974971948</v>
      </c>
      <c r="DI504" s="164">
        <f>IFERROR(INDEX(DC$486:DC$534,_xlfn.AGGREGATE(15,6,(ROW(DC$486:DC$534)-ROW(DC$486)+1)/(DC$486:DC$534&lt;&gt;""),ROWS(DI$1:DI19))),"")</f>
        <v>16</v>
      </c>
      <c r="DJ504" s="165">
        <f>IFERROR(INDEX(DD$486:DD$534,_xlfn.AGGREGATE(15,6,(ROW(DD$486:DD$534)-ROW(DD$486)+1)/(DD$486:DD$534&lt;&gt;""),ROWS(DJ$1:DJ19))),"")</f>
        <v>225.33230636921138</v>
      </c>
      <c r="DK504" s="166">
        <f t="shared" si="264"/>
        <v>504</v>
      </c>
      <c r="DL504" s="164">
        <f>IFERROR(INDEX(DE$486:DE$534,_xlfn.AGGREGATE(15,6,(ROW(DE$486:DE$534)-ROW(DE$486)+1)/(DE$486:DE$534&lt;&gt;""),ROWS(DL$1:DL19))),"")</f>
        <v>16</v>
      </c>
      <c r="DM504" s="165">
        <f>IFERROR(INDEX(DF$486:DF$534,_xlfn.AGGREGATE(15,6,(ROW(DF$486:DF$534)-ROW(DF$486)+1)/(DF$486:DF$534&lt;&gt;""),ROWS(DM$1:DM19))),"")</f>
        <v>304.06662305946543</v>
      </c>
      <c r="DN504" s="166">
        <f t="shared" si="265"/>
        <v>504</v>
      </c>
      <c r="DO504" s="164">
        <f>IFERROR(INDEX(DG$486:DG$534,_xlfn.AGGREGATE(15,6,(ROW(DG$486:DG$534)-ROW(DG$486)+1)/(DG$486:DG$534&lt;&gt;""),ROWS(DO$1:DO19))),"")</f>
        <v>16</v>
      </c>
      <c r="DP504" s="165">
        <f>IFERROR(INDEX(DH$486:DH$534,_xlfn.AGGREGATE(15,6,(ROW(DH$486:DH$534)-ROW(DH$486)+1)/(DH$486:DH$534&lt;&gt;""),ROWS(DP$1:DP19))),"")</f>
        <v>382.80093974971948</v>
      </c>
      <c r="DQ504" s="166">
        <f t="shared" si="266"/>
        <v>504</v>
      </c>
      <c r="DR504" s="65"/>
      <c r="DV504" s="145">
        <v>2033</v>
      </c>
      <c r="DW504" s="235">
        <f t="shared" ca="1" si="250"/>
        <v>329.53935653978812</v>
      </c>
    </row>
    <row r="505" spans="1:135" ht="13.8" x14ac:dyDescent="0.45">
      <c r="A505" s="298" t="str">
        <f>$A$65</f>
        <v>Maximum Cases</v>
      </c>
      <c r="B505" s="128">
        <v>2031</v>
      </c>
      <c r="C505" s="951">
        <v>358.07690523082601</v>
      </c>
      <c r="D505" s="795">
        <v>426.22367972124914</v>
      </c>
      <c r="E505" s="292"/>
      <c r="F505" s="914"/>
      <c r="G505" s="919"/>
      <c r="H505" s="292"/>
      <c r="I505" s="1112">
        <v>235.45945945945965</v>
      </c>
      <c r="J505" s="1150">
        <v>232.0774193548387</v>
      </c>
      <c r="K505" s="919"/>
      <c r="L505" s="293"/>
      <c r="M505" s="292"/>
      <c r="N505" s="29" t="s">
        <v>119</v>
      </c>
      <c r="O505" s="120"/>
      <c r="P505" s="120"/>
      <c r="Q505" s="120"/>
      <c r="R505" s="29">
        <v>17</v>
      </c>
      <c r="S505" s="288">
        <f t="shared" si="251"/>
        <v>232.0774193548387</v>
      </c>
      <c r="T505" s="288">
        <f t="shared" si="252"/>
        <v>426.22367972124914</v>
      </c>
      <c r="U505" s="288">
        <f t="shared" si="253"/>
        <v>82.783636541127322</v>
      </c>
      <c r="W505" s="288">
        <f t="shared" si="254"/>
        <v>230.17572940046605</v>
      </c>
      <c r="X505" s="288">
        <f t="shared" si="255"/>
        <v>312.95936594159338</v>
      </c>
      <c r="Y505" s="288">
        <f t="shared" si="256"/>
        <v>395.74300248272073</v>
      </c>
      <c r="AA505" s="89"/>
      <c r="AB505" s="89"/>
      <c r="AC505" s="89"/>
      <c r="AD505" s="89"/>
      <c r="AE505" s="89"/>
      <c r="AF505" s="89"/>
      <c r="AG505" s="89"/>
      <c r="AH505" s="89"/>
      <c r="AI505" s="89"/>
      <c r="AJ505" s="89"/>
      <c r="AK505" s="89"/>
      <c r="AL505" s="89"/>
      <c r="AM505" s="89"/>
      <c r="AN505" s="89"/>
      <c r="BR505" s="180">
        <v>2029</v>
      </c>
      <c r="BS505" s="22">
        <v>15</v>
      </c>
      <c r="BT505" s="289">
        <f t="shared" si="267"/>
        <v>139.69573815793146</v>
      </c>
      <c r="BU505" s="290">
        <f t="shared" si="268"/>
        <v>147.91341348817375</v>
      </c>
      <c r="BV505" s="205">
        <f t="shared" si="269"/>
        <v>287.6091516461052</v>
      </c>
      <c r="BY505" s="180">
        <v>2029</v>
      </c>
      <c r="BZ505" s="22">
        <v>15</v>
      </c>
      <c r="CA505" s="289">
        <f t="shared" ca="1" si="270"/>
        <v>-4.9038381296666804</v>
      </c>
      <c r="CB505" s="289">
        <f t="shared" ca="1" si="271"/>
        <v>154.08033000495368</v>
      </c>
      <c r="CC505" s="290">
        <f t="shared" ca="1" si="282"/>
        <v>141.72368002672786</v>
      </c>
      <c r="CD505" s="205">
        <f t="shared" ca="1" si="272"/>
        <v>290.9001719020149</v>
      </c>
      <c r="CG505" s="180">
        <v>2029</v>
      </c>
      <c r="CH505" s="22">
        <v>15</v>
      </c>
      <c r="CI505" s="289">
        <f t="shared" ca="1" si="273"/>
        <v>1.6522053711007729</v>
      </c>
      <c r="CJ505" s="289">
        <f t="shared" ca="1" si="274"/>
        <v>-12.173541762510105</v>
      </c>
      <c r="CK505" s="289">
        <f t="shared" ca="1" si="275"/>
        <v>162.10050203302615</v>
      </c>
      <c r="CL505" s="290">
        <f t="shared" ca="1" si="276"/>
        <v>140.38605455828448</v>
      </c>
      <c r="CM505" s="205">
        <f t="shared" ca="1" si="277"/>
        <v>291.9652201999013</v>
      </c>
      <c r="CP505" s="180">
        <v>2029</v>
      </c>
      <c r="CQ505" s="22">
        <v>15</v>
      </c>
      <c r="CR505" s="289">
        <f t="shared" ca="1" si="278"/>
        <v>169.29108306063685</v>
      </c>
      <c r="CS505" s="290">
        <f t="shared" ca="1" si="279"/>
        <v>1.5586769293641711</v>
      </c>
      <c r="CT505" s="205">
        <f t="shared" ca="1" si="280"/>
        <v>263.87010551368832</v>
      </c>
      <c r="CZ505" s="164" t="b">
        <f t="shared" si="257"/>
        <v>1</v>
      </c>
      <c r="DA505" s="165" t="b">
        <f t="shared" si="257"/>
        <v>1</v>
      </c>
      <c r="DB505" s="166" t="b">
        <f t="shared" si="257"/>
        <v>1</v>
      </c>
      <c r="DC505" s="164">
        <f t="shared" si="258"/>
        <v>17</v>
      </c>
      <c r="DD505" s="166">
        <f t="shared" si="259"/>
        <v>230.17572940046605</v>
      </c>
      <c r="DE505" s="164">
        <f t="shared" si="260"/>
        <v>17</v>
      </c>
      <c r="DF505" s="166">
        <f t="shared" si="261"/>
        <v>312.95936594159338</v>
      </c>
      <c r="DG505" s="164">
        <f t="shared" si="262"/>
        <v>17</v>
      </c>
      <c r="DH505" s="166">
        <f t="shared" si="263"/>
        <v>395.74300248272073</v>
      </c>
      <c r="DI505" s="164">
        <f>IFERROR(INDEX(DC$486:DC$534,_xlfn.AGGREGATE(15,6,(ROW(DC$486:DC$534)-ROW(DC$486)+1)/(DC$486:DC$534&lt;&gt;""),ROWS(DI$1:DI20))),"")</f>
        <v>17</v>
      </c>
      <c r="DJ505" s="165">
        <f>IFERROR(INDEX(DD$486:DD$534,_xlfn.AGGREGATE(15,6,(ROW(DD$486:DD$534)-ROW(DD$486)+1)/(DD$486:DD$534&lt;&gt;""),ROWS(DJ$1:DJ20))),"")</f>
        <v>230.17572940046605</v>
      </c>
      <c r="DK505" s="166">
        <f t="shared" si="264"/>
        <v>505</v>
      </c>
      <c r="DL505" s="164">
        <f>IFERROR(INDEX(DE$486:DE$534,_xlfn.AGGREGATE(15,6,(ROW(DE$486:DE$534)-ROW(DE$486)+1)/(DE$486:DE$534&lt;&gt;""),ROWS(DL$1:DL20))),"")</f>
        <v>17</v>
      </c>
      <c r="DM505" s="165">
        <f>IFERROR(INDEX(DF$486:DF$534,_xlfn.AGGREGATE(15,6,(ROW(DF$486:DF$534)-ROW(DF$486)+1)/(DF$486:DF$534&lt;&gt;""),ROWS(DM$1:DM20))),"")</f>
        <v>312.95936594159338</v>
      </c>
      <c r="DN505" s="166">
        <f t="shared" si="265"/>
        <v>505</v>
      </c>
      <c r="DO505" s="164">
        <f>IFERROR(INDEX(DG$486:DG$534,_xlfn.AGGREGATE(15,6,(ROW(DG$486:DG$534)-ROW(DG$486)+1)/(DG$486:DG$534&lt;&gt;""),ROWS(DO$1:DO20))),"")</f>
        <v>17</v>
      </c>
      <c r="DP505" s="165">
        <f>IFERROR(INDEX(DH$486:DH$534,_xlfn.AGGREGATE(15,6,(ROW(DH$486:DH$534)-ROW(DH$486)+1)/(DH$486:DH$534&lt;&gt;""),ROWS(DP$1:DP20))),"")</f>
        <v>395.74300248272073</v>
      </c>
      <c r="DQ505" s="166">
        <f t="shared" si="266"/>
        <v>505</v>
      </c>
      <c r="DR505" s="65"/>
      <c r="DV505" s="145">
        <v>2034</v>
      </c>
      <c r="DW505" s="235">
        <f t="shared" ca="1" si="250"/>
        <v>338.79454390416987</v>
      </c>
    </row>
    <row r="506" spans="1:135" ht="13.8" x14ac:dyDescent="0.45">
      <c r="B506" s="128">
        <v>2032</v>
      </c>
      <c r="C506" s="951">
        <v>365.4153178971435</v>
      </c>
      <c r="D506" s="795">
        <v>443.12999621203983</v>
      </c>
      <c r="E506" s="292"/>
      <c r="F506" s="914"/>
      <c r="G506" s="919"/>
      <c r="H506" s="292"/>
      <c r="I506" s="1112">
        <v>242.54054054054075</v>
      </c>
      <c r="J506" s="1150">
        <v>236.32258064516125</v>
      </c>
      <c r="K506" s="919"/>
      <c r="L506" s="293"/>
      <c r="M506" s="292"/>
      <c r="N506" s="29" t="s">
        <v>119</v>
      </c>
      <c r="O506" s="120"/>
      <c r="P506" s="120"/>
      <c r="Q506" s="120"/>
      <c r="R506" s="29">
        <v>18</v>
      </c>
      <c r="S506" s="288">
        <f t="shared" si="251"/>
        <v>236.32258064516125</v>
      </c>
      <c r="T506" s="288">
        <f t="shared" si="252"/>
        <v>443.12999621203983</v>
      </c>
      <c r="U506" s="288">
        <f t="shared" si="253"/>
        <v>86.907571891252729</v>
      </c>
      <c r="W506" s="288">
        <f t="shared" si="254"/>
        <v>234.94453693246859</v>
      </c>
      <c r="X506" s="288">
        <f t="shared" si="255"/>
        <v>321.85210882372132</v>
      </c>
      <c r="Y506" s="288">
        <f t="shared" si="256"/>
        <v>408.75968071497402</v>
      </c>
      <c r="AA506" s="89"/>
      <c r="AB506" s="89"/>
      <c r="AC506" s="89"/>
      <c r="AD506" s="89"/>
      <c r="AE506" s="89"/>
      <c r="AF506" s="89"/>
      <c r="AG506" s="89"/>
      <c r="AH506" s="89"/>
      <c r="AI506" s="89"/>
      <c r="AJ506" s="89"/>
      <c r="AK506" s="89"/>
      <c r="AL506" s="89"/>
      <c r="AM506" s="89"/>
      <c r="AN506" s="89"/>
      <c r="BR506" s="180">
        <v>2030</v>
      </c>
      <c r="BS506" s="22">
        <v>16</v>
      </c>
      <c r="BT506" s="289">
        <f t="shared" si="267"/>
        <v>149.00878736846022</v>
      </c>
      <c r="BU506" s="290">
        <f t="shared" si="268"/>
        <v>147.91341348817375</v>
      </c>
      <c r="BV506" s="205">
        <f t="shared" si="269"/>
        <v>296.92220085663394</v>
      </c>
      <c r="BY506" s="180">
        <v>2030</v>
      </c>
      <c r="BZ506" s="22">
        <v>16</v>
      </c>
      <c r="CA506" s="289">
        <f t="shared" ca="1" si="270"/>
        <v>-5.5794780497540897</v>
      </c>
      <c r="CB506" s="289">
        <f t="shared" ca="1" si="271"/>
        <v>164.35235200528393</v>
      </c>
      <c r="CC506" s="290">
        <f t="shared" ca="1" si="282"/>
        <v>141.72368002672786</v>
      </c>
      <c r="CD506" s="205">
        <f t="shared" ca="1" si="272"/>
        <v>300.49655398225769</v>
      </c>
      <c r="CG506" s="180">
        <v>2030</v>
      </c>
      <c r="CH506" s="22">
        <v>16</v>
      </c>
      <c r="CI506" s="289">
        <f t="shared" ca="1" si="273"/>
        <v>2.0051653926011159</v>
      </c>
      <c r="CJ506" s="289">
        <f t="shared" ca="1" si="274"/>
        <v>-13.85078529423372</v>
      </c>
      <c r="CK506" s="289">
        <f t="shared" ca="1" si="275"/>
        <v>172.90720216856121</v>
      </c>
      <c r="CL506" s="290">
        <f t="shared" ca="1" si="276"/>
        <v>140.38605455828448</v>
      </c>
      <c r="CM506" s="205">
        <f t="shared" ca="1" si="277"/>
        <v>301.44763682521307</v>
      </c>
      <c r="CP506" s="180">
        <v>2030</v>
      </c>
      <c r="CQ506" s="22">
        <v>16</v>
      </c>
      <c r="CR506" s="289">
        <f t="shared" ca="1" si="278"/>
        <v>169.29108306063685</v>
      </c>
      <c r="CS506" s="290">
        <f t="shared" ca="1" si="279"/>
        <v>1.6054859689531644</v>
      </c>
      <c r="CT506" s="205">
        <f t="shared" ca="1" si="280"/>
        <v>271.79445852273722</v>
      </c>
      <c r="CZ506" s="164" t="b">
        <f t="shared" si="257"/>
        <v>1</v>
      </c>
      <c r="DA506" s="165" t="b">
        <f t="shared" si="257"/>
        <v>1</v>
      </c>
      <c r="DB506" s="166" t="b">
        <f t="shared" si="257"/>
        <v>1</v>
      </c>
      <c r="DC506" s="164">
        <f t="shared" si="258"/>
        <v>18</v>
      </c>
      <c r="DD506" s="166">
        <f t="shared" si="259"/>
        <v>234.94453693246859</v>
      </c>
      <c r="DE506" s="164">
        <f t="shared" si="260"/>
        <v>18</v>
      </c>
      <c r="DF506" s="166">
        <f t="shared" si="261"/>
        <v>321.85210882372132</v>
      </c>
      <c r="DG506" s="164">
        <f t="shared" si="262"/>
        <v>18</v>
      </c>
      <c r="DH506" s="166">
        <f t="shared" si="263"/>
        <v>408.75968071497402</v>
      </c>
      <c r="DI506" s="164">
        <f>IFERROR(INDEX(DC$486:DC$534,_xlfn.AGGREGATE(15,6,(ROW(DC$486:DC$534)-ROW(DC$486)+1)/(DC$486:DC$534&lt;&gt;""),ROWS(DI$1:DI21))),"")</f>
        <v>18</v>
      </c>
      <c r="DJ506" s="165">
        <f>IFERROR(INDEX(DD$486:DD$534,_xlfn.AGGREGATE(15,6,(ROW(DD$486:DD$534)-ROW(DD$486)+1)/(DD$486:DD$534&lt;&gt;""),ROWS(DJ$1:DJ21))),"")</f>
        <v>234.94453693246859</v>
      </c>
      <c r="DK506" s="166">
        <f t="shared" si="264"/>
        <v>506</v>
      </c>
      <c r="DL506" s="164">
        <f>IFERROR(INDEX(DE$486:DE$534,_xlfn.AGGREGATE(15,6,(ROW(DE$486:DE$534)-ROW(DE$486)+1)/(DE$486:DE$534&lt;&gt;""),ROWS(DL$1:DL21))),"")</f>
        <v>18</v>
      </c>
      <c r="DM506" s="165">
        <f>IFERROR(INDEX(DF$486:DF$534,_xlfn.AGGREGATE(15,6,(ROW(DF$486:DF$534)-ROW(DF$486)+1)/(DF$486:DF$534&lt;&gt;""),ROWS(DM$1:DM21))),"")</f>
        <v>321.85210882372132</v>
      </c>
      <c r="DN506" s="166">
        <f t="shared" si="265"/>
        <v>506</v>
      </c>
      <c r="DO506" s="164">
        <f>IFERROR(INDEX(DG$486:DG$534,_xlfn.AGGREGATE(15,6,(ROW(DG$486:DG$534)-ROW(DG$486)+1)/(DG$486:DG$534&lt;&gt;""),ROWS(DO$1:DO21))),"")</f>
        <v>18</v>
      </c>
      <c r="DP506" s="165">
        <f>IFERROR(INDEX(DH$486:DH$534,_xlfn.AGGREGATE(15,6,(ROW(DH$486:DH$534)-ROW(DH$486)+1)/(DH$486:DH$534&lt;&gt;""),ROWS(DP$1:DP21))),"")</f>
        <v>408.75968071497402</v>
      </c>
      <c r="DQ506" s="166">
        <f t="shared" si="266"/>
        <v>506</v>
      </c>
      <c r="DR506" s="65"/>
      <c r="DV506" s="145">
        <v>2035</v>
      </c>
      <c r="DW506" s="235">
        <f t="shared" ca="1" si="250"/>
        <v>348.00026708830183</v>
      </c>
    </row>
    <row r="507" spans="1:135" ht="13.8" x14ac:dyDescent="0.45">
      <c r="B507" s="128">
        <v>2033</v>
      </c>
      <c r="C507" s="951">
        <v>372.75373056346103</v>
      </c>
      <c r="D507" s="795">
        <v>460.03631270283051</v>
      </c>
      <c r="E507" s="292"/>
      <c r="F507" s="914"/>
      <c r="G507" s="919"/>
      <c r="H507" s="292"/>
      <c r="I507" s="1112">
        <v>249.62162162162184</v>
      </c>
      <c r="J507" s="1150">
        <v>240.56774193548384</v>
      </c>
      <c r="K507" s="919"/>
      <c r="L507" s="293"/>
      <c r="M507" s="292"/>
      <c r="N507" s="29" t="s">
        <v>119</v>
      </c>
      <c r="O507" s="120"/>
      <c r="P507" s="120"/>
      <c r="Q507" s="120"/>
      <c r="R507" s="29">
        <v>19</v>
      </c>
      <c r="S507" s="288">
        <f t="shared" si="251"/>
        <v>240.56774193548384</v>
      </c>
      <c r="T507" s="288">
        <f t="shared" si="252"/>
        <v>460.03631270283051</v>
      </c>
      <c r="U507" s="288">
        <f t="shared" si="253"/>
        <v>91.095989724359427</v>
      </c>
      <c r="W507" s="288">
        <f t="shared" si="254"/>
        <v>239.64886198148992</v>
      </c>
      <c r="X507" s="288">
        <f t="shared" si="255"/>
        <v>330.74485170584933</v>
      </c>
      <c r="Y507" s="288">
        <f t="shared" si="256"/>
        <v>421.84084143020874</v>
      </c>
      <c r="AA507" s="89"/>
      <c r="AB507" s="89"/>
      <c r="AC507" s="89"/>
      <c r="AD507" s="89"/>
      <c r="AE507" s="89"/>
      <c r="AF507" s="89"/>
      <c r="AG507" s="89"/>
      <c r="AH507" s="89"/>
      <c r="AI507" s="89"/>
      <c r="AJ507" s="89"/>
      <c r="AK507" s="89"/>
      <c r="AL507" s="89"/>
      <c r="AM507" s="89"/>
      <c r="AN507" s="89"/>
      <c r="BR507" s="180">
        <v>2031</v>
      </c>
      <c r="BS507" s="22">
        <v>17</v>
      </c>
      <c r="BT507" s="289">
        <f t="shared" si="267"/>
        <v>158.32183657898898</v>
      </c>
      <c r="BU507" s="290">
        <f t="shared" si="268"/>
        <v>147.91341348817375</v>
      </c>
      <c r="BV507" s="205">
        <f t="shared" si="269"/>
        <v>306.23525006716272</v>
      </c>
      <c r="BY507" s="180">
        <v>2031</v>
      </c>
      <c r="BZ507" s="22">
        <v>17</v>
      </c>
      <c r="CA507" s="289">
        <f t="shared" ca="1" si="270"/>
        <v>-6.2987076421052031</v>
      </c>
      <c r="CB507" s="289">
        <f t="shared" ca="1" si="271"/>
        <v>174.62437400561419</v>
      </c>
      <c r="CC507" s="290">
        <f t="shared" ca="1" si="282"/>
        <v>141.72368002672786</v>
      </c>
      <c r="CD507" s="205">
        <f t="shared" ca="1" si="272"/>
        <v>310.04934639023685</v>
      </c>
      <c r="CG507" s="180">
        <v>2031</v>
      </c>
      <c r="CH507" s="22">
        <v>17</v>
      </c>
      <c r="CI507" s="289">
        <f t="shared" ca="1" si="273"/>
        <v>2.4051214779905474</v>
      </c>
      <c r="CJ507" s="289">
        <f t="shared" ca="1" si="274"/>
        <v>-15.636238086068536</v>
      </c>
      <c r="CK507" s="289">
        <f t="shared" ca="1" si="275"/>
        <v>183.71390230409628</v>
      </c>
      <c r="CL507" s="290">
        <f t="shared" ca="1" si="276"/>
        <v>140.38605455828448</v>
      </c>
      <c r="CM507" s="205">
        <f t="shared" ca="1" si="277"/>
        <v>310.86884025430277</v>
      </c>
      <c r="CP507" s="180">
        <v>2031</v>
      </c>
      <c r="CQ507" s="22">
        <v>17</v>
      </c>
      <c r="CR507" s="289">
        <f t="shared" ca="1" si="278"/>
        <v>169.29108306063685</v>
      </c>
      <c r="CS507" s="290">
        <f t="shared" ca="1" si="279"/>
        <v>1.6537007432046562</v>
      </c>
      <c r="CT507" s="205">
        <f t="shared" ca="1" si="280"/>
        <v>279.95678987529635</v>
      </c>
      <c r="CZ507" s="164" t="b">
        <f t="shared" si="257"/>
        <v>1</v>
      </c>
      <c r="DA507" s="165" t="b">
        <f t="shared" si="257"/>
        <v>1</v>
      </c>
      <c r="DB507" s="166" t="b">
        <f t="shared" si="257"/>
        <v>1</v>
      </c>
      <c r="DC507" s="164">
        <f t="shared" si="258"/>
        <v>19</v>
      </c>
      <c r="DD507" s="166">
        <f t="shared" si="259"/>
        <v>239.64886198148992</v>
      </c>
      <c r="DE507" s="164">
        <f t="shared" si="260"/>
        <v>19</v>
      </c>
      <c r="DF507" s="166">
        <f t="shared" si="261"/>
        <v>330.74485170584933</v>
      </c>
      <c r="DG507" s="164">
        <f t="shared" si="262"/>
        <v>19</v>
      </c>
      <c r="DH507" s="166">
        <f t="shared" si="263"/>
        <v>421.84084143020874</v>
      </c>
      <c r="DI507" s="164">
        <f>IFERROR(INDEX(DC$486:DC$534,_xlfn.AGGREGATE(15,6,(ROW(DC$486:DC$534)-ROW(DC$486)+1)/(DC$486:DC$534&lt;&gt;""),ROWS(DI$1:DI22))),"")</f>
        <v>19</v>
      </c>
      <c r="DJ507" s="165">
        <f>IFERROR(INDEX(DD$486:DD$534,_xlfn.AGGREGATE(15,6,(ROW(DD$486:DD$534)-ROW(DD$486)+1)/(DD$486:DD$534&lt;&gt;""),ROWS(DJ$1:DJ22))),"")</f>
        <v>239.64886198148992</v>
      </c>
      <c r="DK507" s="166">
        <f t="shared" si="264"/>
        <v>507</v>
      </c>
      <c r="DL507" s="164">
        <f>IFERROR(INDEX(DE$486:DE$534,_xlfn.AGGREGATE(15,6,(ROW(DE$486:DE$534)-ROW(DE$486)+1)/(DE$486:DE$534&lt;&gt;""),ROWS(DL$1:DL22))),"")</f>
        <v>19</v>
      </c>
      <c r="DM507" s="165">
        <f>IFERROR(INDEX(DF$486:DF$534,_xlfn.AGGREGATE(15,6,(ROW(DF$486:DF$534)-ROW(DF$486)+1)/(DF$486:DF$534&lt;&gt;""),ROWS(DM$1:DM22))),"")</f>
        <v>330.74485170584933</v>
      </c>
      <c r="DN507" s="166">
        <f t="shared" si="265"/>
        <v>507</v>
      </c>
      <c r="DO507" s="164">
        <f>IFERROR(INDEX(DG$486:DG$534,_xlfn.AGGREGATE(15,6,(ROW(DG$486:DG$534)-ROW(DG$486)+1)/(DG$486:DG$534&lt;&gt;""),ROWS(DO$1:DO22))),"")</f>
        <v>19</v>
      </c>
      <c r="DP507" s="165">
        <f>IFERROR(INDEX(DH$486:DH$534,_xlfn.AGGREGATE(15,6,(ROW(DH$486:DH$534)-ROW(DH$486)+1)/(DH$486:DH$534&lt;&gt;""),ROWS(DP$1:DP22))),"")</f>
        <v>421.84084143020874</v>
      </c>
      <c r="DQ507" s="166">
        <f t="shared" si="266"/>
        <v>507</v>
      </c>
      <c r="DR507" s="65"/>
      <c r="DV507" s="145">
        <v>2036</v>
      </c>
      <c r="DW507" s="235">
        <f t="shared" ca="1" si="250"/>
        <v>357.15946334617695</v>
      </c>
    </row>
    <row r="508" spans="1:135" ht="13.8" x14ac:dyDescent="0.45">
      <c r="B508" s="128">
        <v>2034</v>
      </c>
      <c r="C508" s="951">
        <v>380.09214322977857</v>
      </c>
      <c r="D508" s="795">
        <v>476.9426291936212</v>
      </c>
      <c r="E508" s="292"/>
      <c r="F508" s="914"/>
      <c r="G508" s="919"/>
      <c r="H508" s="292"/>
      <c r="I508" s="1112">
        <v>256.70270270270294</v>
      </c>
      <c r="J508" s="1150">
        <v>244.81290322580642</v>
      </c>
      <c r="K508" s="919"/>
      <c r="L508" s="293"/>
      <c r="M508" s="292"/>
      <c r="N508" s="29" t="s">
        <v>119</v>
      </c>
      <c r="O508" s="120"/>
      <c r="P508" s="120"/>
      <c r="Q508" s="120"/>
      <c r="R508" s="29">
        <v>20</v>
      </c>
      <c r="S508" s="288">
        <f t="shared" si="251"/>
        <v>244.81290322580642</v>
      </c>
      <c r="T508" s="288">
        <f t="shared" si="252"/>
        <v>476.9426291936212</v>
      </c>
      <c r="U508" s="288">
        <f t="shared" si="253"/>
        <v>95.340392040601188</v>
      </c>
      <c r="W508" s="288">
        <f t="shared" si="254"/>
        <v>244.29720254737609</v>
      </c>
      <c r="X508" s="288">
        <f t="shared" si="255"/>
        <v>339.63759458797728</v>
      </c>
      <c r="Y508" s="288">
        <f t="shared" si="256"/>
        <v>434.97798662857849</v>
      </c>
      <c r="AA508" s="89"/>
      <c r="AB508" s="89"/>
      <c r="AC508" s="89"/>
      <c r="AD508" s="89"/>
      <c r="AE508" s="89"/>
      <c r="AF508" s="89"/>
      <c r="AG508" s="89"/>
      <c r="AH508" s="89"/>
      <c r="AI508" s="89"/>
      <c r="AJ508" s="89"/>
      <c r="AK508" s="89"/>
      <c r="AL508" s="89"/>
      <c r="AM508" s="89"/>
      <c r="AN508" s="89"/>
      <c r="BR508" s="180">
        <v>2032</v>
      </c>
      <c r="BS508" s="22">
        <v>18</v>
      </c>
      <c r="BT508" s="289">
        <f t="shared" si="267"/>
        <v>167.63488578951774</v>
      </c>
      <c r="BU508" s="290">
        <f t="shared" si="268"/>
        <v>147.91341348817375</v>
      </c>
      <c r="BV508" s="205">
        <f t="shared" si="269"/>
        <v>315.54829927769151</v>
      </c>
      <c r="BY508" s="180">
        <v>2032</v>
      </c>
      <c r="BZ508" s="22">
        <v>18</v>
      </c>
      <c r="CA508" s="289">
        <f t="shared" ca="1" si="270"/>
        <v>-7.0615269067200197</v>
      </c>
      <c r="CB508" s="289">
        <f t="shared" ca="1" si="271"/>
        <v>184.89639600594444</v>
      </c>
      <c r="CC508" s="290">
        <f t="shared" ca="1" si="282"/>
        <v>141.72368002672786</v>
      </c>
      <c r="CD508" s="205">
        <f t="shared" ca="1" si="272"/>
        <v>319.55854912595225</v>
      </c>
      <c r="CG508" s="180">
        <v>2032</v>
      </c>
      <c r="CH508" s="22">
        <v>18</v>
      </c>
      <c r="CI508" s="289">
        <f t="shared" ca="1" si="273"/>
        <v>2.8550108812621358</v>
      </c>
      <c r="CJ508" s="289">
        <f t="shared" ca="1" si="274"/>
        <v>-17.52990013801455</v>
      </c>
      <c r="CK508" s="289">
        <f t="shared" ca="1" si="275"/>
        <v>194.52060243963138</v>
      </c>
      <c r="CL508" s="290">
        <f t="shared" ca="1" si="276"/>
        <v>140.38605455828448</v>
      </c>
      <c r="CM508" s="205">
        <f t="shared" ca="1" si="277"/>
        <v>320.23176774116348</v>
      </c>
      <c r="CP508" s="180">
        <v>2032</v>
      </c>
      <c r="CQ508" s="22">
        <v>18</v>
      </c>
      <c r="CR508" s="289">
        <f t="shared" ca="1" si="278"/>
        <v>169.29108306063685</v>
      </c>
      <c r="CS508" s="290">
        <f t="shared" ca="1" si="279"/>
        <v>1.7033634681085215</v>
      </c>
      <c r="CT508" s="205">
        <f t="shared" ca="1" si="280"/>
        <v>288.36424636201417</v>
      </c>
      <c r="CZ508" s="164" t="b">
        <f t="shared" si="257"/>
        <v>1</v>
      </c>
      <c r="DA508" s="165" t="b">
        <f t="shared" si="257"/>
        <v>1</v>
      </c>
      <c r="DB508" s="166" t="b">
        <f t="shared" si="257"/>
        <v>1</v>
      </c>
      <c r="DC508" s="164">
        <f t="shared" si="258"/>
        <v>20</v>
      </c>
      <c r="DD508" s="166">
        <f t="shared" si="259"/>
        <v>244.29720254737609</v>
      </c>
      <c r="DE508" s="164">
        <f t="shared" si="260"/>
        <v>20</v>
      </c>
      <c r="DF508" s="166">
        <f t="shared" si="261"/>
        <v>339.63759458797728</v>
      </c>
      <c r="DG508" s="164">
        <f t="shared" si="262"/>
        <v>20</v>
      </c>
      <c r="DH508" s="166">
        <f t="shared" si="263"/>
        <v>434.97798662857849</v>
      </c>
      <c r="DI508" s="164">
        <f>IFERROR(INDEX(DC$486:DC$534,_xlfn.AGGREGATE(15,6,(ROW(DC$486:DC$534)-ROW(DC$486)+1)/(DC$486:DC$534&lt;&gt;""),ROWS(DI$1:DI23))),"")</f>
        <v>20</v>
      </c>
      <c r="DJ508" s="165">
        <f>IFERROR(INDEX(DD$486:DD$534,_xlfn.AGGREGATE(15,6,(ROW(DD$486:DD$534)-ROW(DD$486)+1)/(DD$486:DD$534&lt;&gt;""),ROWS(DJ$1:DJ23))),"")</f>
        <v>244.29720254737609</v>
      </c>
      <c r="DK508" s="166">
        <f t="shared" si="264"/>
        <v>508</v>
      </c>
      <c r="DL508" s="164">
        <f>IFERROR(INDEX(DE$486:DE$534,_xlfn.AGGREGATE(15,6,(ROW(DE$486:DE$534)-ROW(DE$486)+1)/(DE$486:DE$534&lt;&gt;""),ROWS(DL$1:DL23))),"")</f>
        <v>20</v>
      </c>
      <c r="DM508" s="165">
        <f>IFERROR(INDEX(DF$486:DF$534,_xlfn.AGGREGATE(15,6,(ROW(DF$486:DF$534)-ROW(DF$486)+1)/(DF$486:DF$534&lt;&gt;""),ROWS(DM$1:DM23))),"")</f>
        <v>339.63759458797728</v>
      </c>
      <c r="DN508" s="166">
        <f t="shared" si="265"/>
        <v>508</v>
      </c>
      <c r="DO508" s="164">
        <f>IFERROR(INDEX(DG$486:DG$534,_xlfn.AGGREGATE(15,6,(ROW(DG$486:DG$534)-ROW(DG$486)+1)/(DG$486:DG$534&lt;&gt;""),ROWS(DO$1:DO23))),"")</f>
        <v>20</v>
      </c>
      <c r="DP508" s="165">
        <f>IFERROR(INDEX(DH$486:DH$534,_xlfn.AGGREGATE(15,6,(ROW(DH$486:DH$534)-ROW(DH$486)+1)/(DH$486:DH$534&lt;&gt;""),ROWS(DP$1:DP23))),"")</f>
        <v>434.97798662857849</v>
      </c>
      <c r="DQ508" s="166">
        <f t="shared" si="266"/>
        <v>508</v>
      </c>
      <c r="DR508" s="65"/>
      <c r="DV508" s="145">
        <v>2037</v>
      </c>
      <c r="DW508" s="235">
        <f t="shared" ca="1" si="250"/>
        <v>366.27506993178838</v>
      </c>
    </row>
    <row r="509" spans="1:135" ht="13.8" x14ac:dyDescent="0.45">
      <c r="B509" s="128">
        <v>2035</v>
      </c>
      <c r="C509" s="951">
        <v>387.43055589609605</v>
      </c>
      <c r="D509" s="795">
        <v>493.84894568441189</v>
      </c>
      <c r="E509" s="292"/>
      <c r="F509" s="914"/>
      <c r="G509" s="919"/>
      <c r="H509" s="292"/>
      <c r="I509" s="1112">
        <v>263.78378378378403</v>
      </c>
      <c r="J509" s="1150">
        <v>249.05806451612898</v>
      </c>
      <c r="K509" s="919"/>
      <c r="L509" s="293"/>
      <c r="M509" s="292"/>
      <c r="N509" s="29" t="s">
        <v>119</v>
      </c>
      <c r="O509" s="120"/>
      <c r="P509" s="120"/>
      <c r="Q509" s="120"/>
      <c r="R509" s="29">
        <v>21</v>
      </c>
      <c r="S509" s="288">
        <f t="shared" si="251"/>
        <v>249.05806451612898</v>
      </c>
      <c r="T509" s="288">
        <f t="shared" si="252"/>
        <v>493.84894568441189</v>
      </c>
      <c r="U509" s="288">
        <f t="shared" si="253"/>
        <v>99.63362426318713</v>
      </c>
      <c r="W509" s="288">
        <f t="shared" si="254"/>
        <v>248.89671320691809</v>
      </c>
      <c r="X509" s="288">
        <f t="shared" si="255"/>
        <v>348.53033747010522</v>
      </c>
      <c r="Y509" s="288">
        <f t="shared" si="256"/>
        <v>448.16396173329235</v>
      </c>
      <c r="AA509" s="89"/>
      <c r="AB509" s="89"/>
      <c r="AC509" s="89"/>
      <c r="AD509" s="89"/>
      <c r="AE509" s="89"/>
      <c r="AF509" s="89"/>
      <c r="AG509" s="89"/>
      <c r="AH509" s="89"/>
      <c r="AI509" s="89"/>
      <c r="AJ509" s="89"/>
      <c r="AK509" s="89"/>
      <c r="AL509" s="89"/>
      <c r="AM509" s="89"/>
      <c r="AN509" s="89"/>
      <c r="BR509" s="180">
        <v>2033</v>
      </c>
      <c r="BS509" s="22">
        <v>19</v>
      </c>
      <c r="BT509" s="289">
        <f t="shared" si="267"/>
        <v>176.9479350000465</v>
      </c>
      <c r="BU509" s="290">
        <f t="shared" si="268"/>
        <v>147.91341348817375</v>
      </c>
      <c r="BV509" s="205">
        <f t="shared" si="269"/>
        <v>324.86134848822024</v>
      </c>
      <c r="BY509" s="180">
        <v>2033</v>
      </c>
      <c r="BZ509" s="22">
        <v>19</v>
      </c>
      <c r="CA509" s="289">
        <f t="shared" ca="1" si="270"/>
        <v>-7.8679358435985405</v>
      </c>
      <c r="CB509" s="289">
        <f t="shared" ca="1" si="271"/>
        <v>195.16841800627466</v>
      </c>
      <c r="CC509" s="290">
        <f t="shared" ca="1" si="282"/>
        <v>141.72368002672786</v>
      </c>
      <c r="CD509" s="205">
        <f t="shared" ca="1" si="272"/>
        <v>329.02416218940402</v>
      </c>
      <c r="CG509" s="180">
        <v>2033</v>
      </c>
      <c r="CH509" s="22">
        <v>19</v>
      </c>
      <c r="CI509" s="289">
        <f t="shared" ca="1" si="273"/>
        <v>3.3577708564089486</v>
      </c>
      <c r="CJ509" s="289">
        <f t="shared" ca="1" si="274"/>
        <v>-19.531771450071769</v>
      </c>
      <c r="CK509" s="289">
        <f t="shared" ca="1" si="275"/>
        <v>205.32730257516644</v>
      </c>
      <c r="CL509" s="290">
        <f t="shared" ca="1" si="276"/>
        <v>140.38605455828448</v>
      </c>
      <c r="CM509" s="205">
        <f t="shared" ca="1" si="277"/>
        <v>329.53935653978812</v>
      </c>
      <c r="CP509" s="180">
        <v>2033</v>
      </c>
      <c r="CQ509" s="22">
        <v>19</v>
      </c>
      <c r="CR509" s="289">
        <f t="shared" ca="1" si="278"/>
        <v>169.29108306063685</v>
      </c>
      <c r="CS509" s="290">
        <f t="shared" ca="1" si="279"/>
        <v>1.7545176274542058</v>
      </c>
      <c r="CT509" s="205">
        <f t="shared" ca="1" si="280"/>
        <v>297.02418940070146</v>
      </c>
      <c r="CZ509" s="164" t="b">
        <f t="shared" si="257"/>
        <v>1</v>
      </c>
      <c r="DA509" s="165" t="b">
        <f t="shared" si="257"/>
        <v>1</v>
      </c>
      <c r="DB509" s="166" t="b">
        <f t="shared" si="257"/>
        <v>1</v>
      </c>
      <c r="DC509" s="164">
        <f t="shared" si="258"/>
        <v>21</v>
      </c>
      <c r="DD509" s="166">
        <f t="shared" si="259"/>
        <v>248.89671320691809</v>
      </c>
      <c r="DE509" s="164">
        <f t="shared" si="260"/>
        <v>21</v>
      </c>
      <c r="DF509" s="166">
        <f t="shared" si="261"/>
        <v>348.53033747010522</v>
      </c>
      <c r="DG509" s="164">
        <f t="shared" si="262"/>
        <v>21</v>
      </c>
      <c r="DH509" s="166">
        <f t="shared" si="263"/>
        <v>448.16396173329235</v>
      </c>
      <c r="DI509" s="164">
        <f>IFERROR(INDEX(DC$486:DC$534,_xlfn.AGGREGATE(15,6,(ROW(DC$486:DC$534)-ROW(DC$486)+1)/(DC$486:DC$534&lt;&gt;""),ROWS(DI$1:DI24))),"")</f>
        <v>21</v>
      </c>
      <c r="DJ509" s="165">
        <f>IFERROR(INDEX(DD$486:DD$534,_xlfn.AGGREGATE(15,6,(ROW(DD$486:DD$534)-ROW(DD$486)+1)/(DD$486:DD$534&lt;&gt;""),ROWS(DJ$1:DJ24))),"")</f>
        <v>248.89671320691809</v>
      </c>
      <c r="DK509" s="166">
        <f t="shared" si="264"/>
        <v>509</v>
      </c>
      <c r="DL509" s="164">
        <f>IFERROR(INDEX(DE$486:DE$534,_xlfn.AGGREGATE(15,6,(ROW(DE$486:DE$534)-ROW(DE$486)+1)/(DE$486:DE$534&lt;&gt;""),ROWS(DL$1:DL24))),"")</f>
        <v>21</v>
      </c>
      <c r="DM509" s="165">
        <f>IFERROR(INDEX(DF$486:DF$534,_xlfn.AGGREGATE(15,6,(ROW(DF$486:DF$534)-ROW(DF$486)+1)/(DF$486:DF$534&lt;&gt;""),ROWS(DM$1:DM24))),"")</f>
        <v>348.53033747010522</v>
      </c>
      <c r="DN509" s="166">
        <f t="shared" si="265"/>
        <v>509</v>
      </c>
      <c r="DO509" s="164">
        <f>IFERROR(INDEX(DG$486:DG$534,_xlfn.AGGREGATE(15,6,(ROW(DG$486:DG$534)-ROW(DG$486)+1)/(DG$486:DG$534&lt;&gt;""),ROWS(DO$1:DO24))),"")</f>
        <v>21</v>
      </c>
      <c r="DP509" s="165">
        <f>IFERROR(INDEX(DH$486:DH$534,_xlfn.AGGREGATE(15,6,(ROW(DH$486:DH$534)-ROW(DH$486)+1)/(DH$486:DH$534&lt;&gt;""),ROWS(DP$1:DP24))),"")</f>
        <v>448.16396173329235</v>
      </c>
      <c r="DQ509" s="166">
        <f t="shared" si="266"/>
        <v>509</v>
      </c>
      <c r="DR509" s="65"/>
      <c r="DV509" s="145">
        <v>2038</v>
      </c>
      <c r="DW509" s="235">
        <f t="shared" ca="1" si="250"/>
        <v>375.3500240991292</v>
      </c>
    </row>
    <row r="510" spans="1:135" ht="13.8" x14ac:dyDescent="0.45">
      <c r="B510" s="128">
        <v>2036</v>
      </c>
      <c r="C510" s="951">
        <v>394.76896856241353</v>
      </c>
      <c r="D510" s="795">
        <v>510.75526217520257</v>
      </c>
      <c r="E510" s="292"/>
      <c r="F510" s="914"/>
      <c r="G510" s="919"/>
      <c r="H510" s="292"/>
      <c r="I510" s="1112">
        <v>270.86486486486513</v>
      </c>
      <c r="J510" s="1150">
        <v>253.30322580645156</v>
      </c>
      <c r="K510" s="919"/>
      <c r="L510" s="293"/>
      <c r="M510" s="292"/>
      <c r="N510" s="29" t="s">
        <v>119</v>
      </c>
      <c r="O510" s="120"/>
      <c r="P510" s="120"/>
      <c r="Q510" s="120"/>
      <c r="R510" s="29">
        <v>22</v>
      </c>
      <c r="S510" s="288">
        <f t="shared" si="251"/>
        <v>253.30322580645156</v>
      </c>
      <c r="T510" s="288">
        <f t="shared" si="252"/>
        <v>510.75526217520257</v>
      </c>
      <c r="U510" s="288">
        <f t="shared" si="253"/>
        <v>103.96963754841099</v>
      </c>
      <c r="W510" s="288">
        <f t="shared" si="254"/>
        <v>253.45344280382218</v>
      </c>
      <c r="X510" s="288">
        <f t="shared" si="255"/>
        <v>357.42308035223317</v>
      </c>
      <c r="Y510" s="288">
        <f t="shared" si="256"/>
        <v>461.39271790064413</v>
      </c>
      <c r="AA510" s="89"/>
      <c r="AB510" s="89"/>
      <c r="AC510" s="89"/>
      <c r="AD510" s="89"/>
      <c r="AE510" s="89"/>
      <c r="AF510" s="89"/>
      <c r="AG510" s="89"/>
      <c r="AH510" s="89"/>
      <c r="AI510" s="89"/>
      <c r="AJ510" s="89"/>
      <c r="AK510" s="89"/>
      <c r="AL510" s="89"/>
      <c r="AM510" s="89"/>
      <c r="AN510" s="89"/>
      <c r="BR510" s="180">
        <v>2034</v>
      </c>
      <c r="BS510" s="22">
        <v>20</v>
      </c>
      <c r="BT510" s="289">
        <f t="shared" si="267"/>
        <v>186.26098421057526</v>
      </c>
      <c r="BU510" s="290">
        <f t="shared" si="268"/>
        <v>147.91341348817375</v>
      </c>
      <c r="BV510" s="205">
        <f t="shared" si="269"/>
        <v>334.17439769874898</v>
      </c>
      <c r="BY510" s="180">
        <v>2034</v>
      </c>
      <c r="BZ510" s="22">
        <v>20</v>
      </c>
      <c r="CA510" s="289">
        <f t="shared" ca="1" si="270"/>
        <v>-8.7179344527407654</v>
      </c>
      <c r="CB510" s="289">
        <f t="shared" ca="1" si="271"/>
        <v>205.44044000660492</v>
      </c>
      <c r="CC510" s="290">
        <f t="shared" ca="1" si="282"/>
        <v>141.72368002672786</v>
      </c>
      <c r="CD510" s="205">
        <f t="shared" ca="1" si="272"/>
        <v>338.44618558059199</v>
      </c>
      <c r="CG510" s="180">
        <v>2034</v>
      </c>
      <c r="CH510" s="22">
        <v>20</v>
      </c>
      <c r="CI510" s="289">
        <f t="shared" ca="1" si="273"/>
        <v>3.9163386574240544</v>
      </c>
      <c r="CJ510" s="289">
        <f t="shared" ca="1" si="274"/>
        <v>-21.641852022240187</v>
      </c>
      <c r="CK510" s="289">
        <f t="shared" ca="1" si="275"/>
        <v>216.13400271070151</v>
      </c>
      <c r="CL510" s="290">
        <f t="shared" ca="1" si="276"/>
        <v>140.38605455828448</v>
      </c>
      <c r="CM510" s="205">
        <f t="shared" ca="1" si="277"/>
        <v>338.79454390416987</v>
      </c>
      <c r="CP510" s="180">
        <v>2034</v>
      </c>
      <c r="CQ510" s="22">
        <v>20</v>
      </c>
      <c r="CR510" s="289">
        <f t="shared" ca="1" si="278"/>
        <v>169.29108306063685</v>
      </c>
      <c r="CS510" s="290">
        <f t="shared" ca="1" si="279"/>
        <v>1.8072080109043493</v>
      </c>
      <c r="CT510" s="205">
        <f t="shared" ca="1" si="280"/>
        <v>305.94420148185651</v>
      </c>
      <c r="CZ510" s="164" t="b">
        <f t="shared" si="257"/>
        <v>1</v>
      </c>
      <c r="DA510" s="165" t="b">
        <f t="shared" si="257"/>
        <v>1</v>
      </c>
      <c r="DB510" s="166" t="b">
        <f t="shared" si="257"/>
        <v>1</v>
      </c>
      <c r="DC510" s="164">
        <f t="shared" si="258"/>
        <v>22</v>
      </c>
      <c r="DD510" s="166">
        <f t="shared" si="259"/>
        <v>253.45344280382218</v>
      </c>
      <c r="DE510" s="164">
        <f t="shared" si="260"/>
        <v>22</v>
      </c>
      <c r="DF510" s="166">
        <f t="shared" si="261"/>
        <v>357.42308035223317</v>
      </c>
      <c r="DG510" s="164">
        <f t="shared" si="262"/>
        <v>22</v>
      </c>
      <c r="DH510" s="166">
        <f t="shared" si="263"/>
        <v>461.39271790064413</v>
      </c>
      <c r="DI510" s="164">
        <f>IFERROR(INDEX(DC$486:DC$534,_xlfn.AGGREGATE(15,6,(ROW(DC$486:DC$534)-ROW(DC$486)+1)/(DC$486:DC$534&lt;&gt;""),ROWS(DI$1:DI25))),"")</f>
        <v>22</v>
      </c>
      <c r="DJ510" s="165">
        <f>IFERROR(INDEX(DD$486:DD$534,_xlfn.AGGREGATE(15,6,(ROW(DD$486:DD$534)-ROW(DD$486)+1)/(DD$486:DD$534&lt;&gt;""),ROWS(DJ$1:DJ25))),"")</f>
        <v>253.45344280382218</v>
      </c>
      <c r="DK510" s="166">
        <f t="shared" si="264"/>
        <v>510</v>
      </c>
      <c r="DL510" s="164">
        <f>IFERROR(INDEX(DE$486:DE$534,_xlfn.AGGREGATE(15,6,(ROW(DE$486:DE$534)-ROW(DE$486)+1)/(DE$486:DE$534&lt;&gt;""),ROWS(DL$1:DL25))),"")</f>
        <v>22</v>
      </c>
      <c r="DM510" s="165">
        <f>IFERROR(INDEX(DF$486:DF$534,_xlfn.AGGREGATE(15,6,(ROW(DF$486:DF$534)-ROW(DF$486)+1)/(DF$486:DF$534&lt;&gt;""),ROWS(DM$1:DM25))),"")</f>
        <v>357.42308035223317</v>
      </c>
      <c r="DN510" s="166">
        <f t="shared" si="265"/>
        <v>510</v>
      </c>
      <c r="DO510" s="164">
        <f>IFERROR(INDEX(DG$486:DG$534,_xlfn.AGGREGATE(15,6,(ROW(DG$486:DG$534)-ROW(DG$486)+1)/(DG$486:DG$534&lt;&gt;""),ROWS(DO$1:DO25))),"")</f>
        <v>22</v>
      </c>
      <c r="DP510" s="165">
        <f>IFERROR(INDEX(DH$486:DH$534,_xlfn.AGGREGATE(15,6,(ROW(DH$486:DH$534)-ROW(DH$486)+1)/(DH$486:DH$534&lt;&gt;""),ROWS(DP$1:DP25))),"")</f>
        <v>461.39271790064413</v>
      </c>
      <c r="DQ510" s="166">
        <f t="shared" si="266"/>
        <v>510</v>
      </c>
      <c r="DR510" s="65"/>
      <c r="DV510" s="145">
        <v>2039</v>
      </c>
      <c r="DW510" s="235">
        <f t="shared" ca="1" si="250"/>
        <v>384.38726310219238</v>
      </c>
    </row>
    <row r="511" spans="1:135" ht="13.8" x14ac:dyDescent="0.45">
      <c r="B511" s="128">
        <v>2037</v>
      </c>
      <c r="C511" s="951">
        <v>402.10738122873101</v>
      </c>
      <c r="D511" s="795">
        <v>527.66157866599326</v>
      </c>
      <c r="E511" s="292"/>
      <c r="F511" s="914"/>
      <c r="G511" s="919"/>
      <c r="H511" s="292"/>
      <c r="I511" s="1112">
        <v>277.94594594594622</v>
      </c>
      <c r="J511" s="1150">
        <v>257.54838709677415</v>
      </c>
      <c r="K511" s="919"/>
      <c r="L511" s="293"/>
      <c r="M511" s="292"/>
      <c r="N511" s="29" t="s">
        <v>119</v>
      </c>
      <c r="O511" s="120"/>
      <c r="P511" s="120"/>
      <c r="Q511" s="120"/>
      <c r="R511" s="29">
        <v>23</v>
      </c>
      <c r="S511" s="288">
        <f t="shared" si="251"/>
        <v>257.54838709677415</v>
      </c>
      <c r="T511" s="288">
        <f t="shared" si="252"/>
        <v>527.66157866599326</v>
      </c>
      <c r="U511" s="288">
        <f t="shared" si="253"/>
        <v>108.34329558789267</v>
      </c>
      <c r="W511" s="288">
        <f t="shared" si="254"/>
        <v>257.97252764646851</v>
      </c>
      <c r="X511" s="288">
        <f t="shared" si="255"/>
        <v>366.31582323436118</v>
      </c>
      <c r="Y511" s="288">
        <f t="shared" si="256"/>
        <v>474.65911882225384</v>
      </c>
      <c r="AA511" s="89"/>
      <c r="AB511" s="89"/>
      <c r="AC511" s="89"/>
      <c r="AD511" s="89"/>
      <c r="AE511" s="89"/>
      <c r="AF511" s="89"/>
      <c r="AG511" s="89"/>
      <c r="AH511" s="89"/>
      <c r="AI511" s="89"/>
      <c r="AJ511" s="89"/>
      <c r="AK511" s="89"/>
      <c r="AL511" s="89"/>
      <c r="AM511" s="89"/>
      <c r="AN511" s="89"/>
      <c r="BR511" s="180">
        <v>2035</v>
      </c>
      <c r="BS511" s="22">
        <v>21</v>
      </c>
      <c r="BT511" s="289">
        <f t="shared" si="267"/>
        <v>195.57403342110405</v>
      </c>
      <c r="BU511" s="290">
        <f t="shared" si="268"/>
        <v>147.91341348817375</v>
      </c>
      <c r="BV511" s="205">
        <f t="shared" si="269"/>
        <v>343.48744690927776</v>
      </c>
      <c r="BY511" s="180">
        <v>2035</v>
      </c>
      <c r="BZ511" s="22">
        <v>21</v>
      </c>
      <c r="CA511" s="289">
        <f t="shared" ca="1" si="270"/>
        <v>-9.6115227341466927</v>
      </c>
      <c r="CB511" s="289">
        <f t="shared" ca="1" si="271"/>
        <v>215.71246200693517</v>
      </c>
      <c r="CC511" s="290">
        <f t="shared" ca="1" si="282"/>
        <v>141.72368002672786</v>
      </c>
      <c r="CD511" s="205">
        <f t="shared" ca="1" si="272"/>
        <v>347.82461929951637</v>
      </c>
      <c r="CG511" s="180">
        <v>2035</v>
      </c>
      <c r="CH511" s="22">
        <v>21</v>
      </c>
      <c r="CI511" s="289">
        <f t="shared" ca="1" si="273"/>
        <v>4.5336515383005214</v>
      </c>
      <c r="CJ511" s="289">
        <f t="shared" ca="1" si="274"/>
        <v>-23.860141854519807</v>
      </c>
      <c r="CK511" s="289">
        <f t="shared" ca="1" si="275"/>
        <v>226.9407028462366</v>
      </c>
      <c r="CL511" s="290">
        <f t="shared" ca="1" si="276"/>
        <v>140.38605455828448</v>
      </c>
      <c r="CM511" s="205">
        <f t="shared" ca="1" si="277"/>
        <v>348.00026708830183</v>
      </c>
      <c r="CP511" s="180">
        <v>2035</v>
      </c>
      <c r="CQ511" s="22">
        <v>21</v>
      </c>
      <c r="CR511" s="289">
        <f t="shared" ca="1" si="278"/>
        <v>169.29108306063685</v>
      </c>
      <c r="CS511" s="290">
        <f t="shared" ca="1" si="279"/>
        <v>1.8614807532118112</v>
      </c>
      <c r="CT511" s="205">
        <f t="shared" ca="1" si="280"/>
        <v>315.13209280775754</v>
      </c>
      <c r="CZ511" s="164" t="b">
        <f t="shared" si="257"/>
        <v>1</v>
      </c>
      <c r="DA511" s="165" t="b">
        <f t="shared" si="257"/>
        <v>1</v>
      </c>
      <c r="DB511" s="166" t="b">
        <f t="shared" si="257"/>
        <v>1</v>
      </c>
      <c r="DC511" s="164">
        <f t="shared" si="258"/>
        <v>23</v>
      </c>
      <c r="DD511" s="166">
        <f t="shared" si="259"/>
        <v>257.97252764646851</v>
      </c>
      <c r="DE511" s="164">
        <f t="shared" si="260"/>
        <v>23</v>
      </c>
      <c r="DF511" s="166">
        <f t="shared" si="261"/>
        <v>366.31582323436118</v>
      </c>
      <c r="DG511" s="164">
        <f t="shared" si="262"/>
        <v>23</v>
      </c>
      <c r="DH511" s="166">
        <f t="shared" si="263"/>
        <v>474.65911882225384</v>
      </c>
      <c r="DI511" s="164">
        <f>IFERROR(INDEX(DC$486:DC$534,_xlfn.AGGREGATE(15,6,(ROW(DC$486:DC$534)-ROW(DC$486)+1)/(DC$486:DC$534&lt;&gt;""),ROWS(DI$1:DI26))),"")</f>
        <v>23</v>
      </c>
      <c r="DJ511" s="165">
        <f>IFERROR(INDEX(DD$486:DD$534,_xlfn.AGGREGATE(15,6,(ROW(DD$486:DD$534)-ROW(DD$486)+1)/(DD$486:DD$534&lt;&gt;""),ROWS(DJ$1:DJ26))),"")</f>
        <v>257.97252764646851</v>
      </c>
      <c r="DK511" s="166">
        <f t="shared" si="264"/>
        <v>511</v>
      </c>
      <c r="DL511" s="164">
        <f>IFERROR(INDEX(DE$486:DE$534,_xlfn.AGGREGATE(15,6,(ROW(DE$486:DE$534)-ROW(DE$486)+1)/(DE$486:DE$534&lt;&gt;""),ROWS(DL$1:DL26))),"")</f>
        <v>23</v>
      </c>
      <c r="DM511" s="165">
        <f>IFERROR(INDEX(DF$486:DF$534,_xlfn.AGGREGATE(15,6,(ROW(DF$486:DF$534)-ROW(DF$486)+1)/(DF$486:DF$534&lt;&gt;""),ROWS(DM$1:DM26))),"")</f>
        <v>366.31582323436118</v>
      </c>
      <c r="DN511" s="166">
        <f t="shared" si="265"/>
        <v>511</v>
      </c>
      <c r="DO511" s="164">
        <f>IFERROR(INDEX(DG$486:DG$534,_xlfn.AGGREGATE(15,6,(ROW(DG$486:DG$534)-ROW(DG$486)+1)/(DG$486:DG$534&lt;&gt;""),ROWS(DO$1:DO26))),"")</f>
        <v>23</v>
      </c>
      <c r="DP511" s="165">
        <f>IFERROR(INDEX(DH$486:DH$534,_xlfn.AGGREGATE(15,6,(ROW(DH$486:DH$534)-ROW(DH$486)+1)/(DH$486:DH$534&lt;&gt;""),ROWS(DP$1:DP26))),"")</f>
        <v>474.65911882225384</v>
      </c>
      <c r="DQ511" s="166">
        <f t="shared" si="266"/>
        <v>511</v>
      </c>
      <c r="DR511" s="65"/>
      <c r="DV511" s="145">
        <v>2040</v>
      </c>
      <c r="DW511" s="235">
        <f t="shared" ca="1" si="250"/>
        <v>393.38972419497122</v>
      </c>
    </row>
    <row r="512" spans="1:135" ht="13.8" x14ac:dyDescent="0.45">
      <c r="B512" s="128">
        <v>2038</v>
      </c>
      <c r="C512" s="951">
        <v>409.44579389504855</v>
      </c>
      <c r="D512" s="795">
        <v>544.56789515678395</v>
      </c>
      <c r="E512" s="292"/>
      <c r="F512" s="914"/>
      <c r="G512" s="919"/>
      <c r="H512" s="292"/>
      <c r="I512" s="1112">
        <v>285.02702702702732</v>
      </c>
      <c r="J512" s="1150">
        <v>261.79354838709673</v>
      </c>
      <c r="K512" s="919"/>
      <c r="L512" s="293"/>
      <c r="M512" s="292"/>
      <c r="N512" s="29" t="s">
        <v>119</v>
      </c>
      <c r="O512" s="120"/>
      <c r="P512" s="120"/>
      <c r="Q512" s="120"/>
      <c r="R512" s="29">
        <v>24</v>
      </c>
      <c r="S512" s="288">
        <f t="shared" si="251"/>
        <v>261.79354838709673</v>
      </c>
      <c r="T512" s="288">
        <f t="shared" si="252"/>
        <v>544.56789515678395</v>
      </c>
      <c r="U512" s="288">
        <f t="shared" si="253"/>
        <v>112.75021766945994</v>
      </c>
      <c r="W512" s="288">
        <f t="shared" si="254"/>
        <v>262.45834844702915</v>
      </c>
      <c r="X512" s="288">
        <f t="shared" si="255"/>
        <v>375.20856611648912</v>
      </c>
      <c r="Y512" s="288">
        <f t="shared" si="256"/>
        <v>487.95878378594909</v>
      </c>
      <c r="AA512" s="89"/>
      <c r="AB512" s="89"/>
      <c r="AC512" s="89"/>
      <c r="AD512" s="89"/>
      <c r="AE512" s="89"/>
      <c r="AF512" s="89"/>
      <c r="AG512" s="89"/>
      <c r="AH512" s="89"/>
      <c r="AI512" s="89"/>
      <c r="AJ512" s="89"/>
      <c r="AK512" s="89"/>
      <c r="AL512" s="89"/>
      <c r="AM512" s="89"/>
      <c r="AN512" s="89"/>
      <c r="BR512" s="180">
        <v>2036</v>
      </c>
      <c r="BS512" s="22">
        <v>22</v>
      </c>
      <c r="BT512" s="289">
        <f t="shared" si="267"/>
        <v>204.88708263163281</v>
      </c>
      <c r="BU512" s="290">
        <f t="shared" si="268"/>
        <v>147.91341348817375</v>
      </c>
      <c r="BV512" s="205">
        <f t="shared" si="269"/>
        <v>352.80049611980655</v>
      </c>
      <c r="BY512" s="180">
        <v>2036</v>
      </c>
      <c r="BZ512" s="22">
        <v>22</v>
      </c>
      <c r="CA512" s="289">
        <f t="shared" ca="1" si="270"/>
        <v>-10.548700687816325</v>
      </c>
      <c r="CB512" s="289">
        <f t="shared" ca="1" si="271"/>
        <v>225.98448400726539</v>
      </c>
      <c r="CC512" s="290">
        <f t="shared" ca="1" si="282"/>
        <v>141.72368002672786</v>
      </c>
      <c r="CD512" s="205">
        <f t="shared" ca="1" si="272"/>
        <v>357.15946334617695</v>
      </c>
      <c r="CG512" s="180">
        <v>2036</v>
      </c>
      <c r="CH512" s="22">
        <v>22</v>
      </c>
      <c r="CI512" s="289">
        <f t="shared" ca="1" si="273"/>
        <v>5.2126467530314162</v>
      </c>
      <c r="CJ512" s="289">
        <f t="shared" ca="1" si="274"/>
        <v>-26.186640946910629</v>
      </c>
      <c r="CK512" s="289">
        <f t="shared" ca="1" si="275"/>
        <v>237.74740298177167</v>
      </c>
      <c r="CL512" s="290">
        <f t="shared" ca="1" si="276"/>
        <v>140.38605455828448</v>
      </c>
      <c r="CM512" s="205">
        <f t="shared" ca="1" si="277"/>
        <v>357.15946334617695</v>
      </c>
      <c r="CP512" s="180">
        <v>2036</v>
      </c>
      <c r="CQ512" s="22">
        <v>22</v>
      </c>
      <c r="CR512" s="289">
        <f t="shared" ca="1" si="278"/>
        <v>169.29108306063685</v>
      </c>
      <c r="CS512" s="290">
        <f t="shared" ca="1" si="279"/>
        <v>1.9173833746144293</v>
      </c>
      <c r="CT512" s="205">
        <f t="shared" ca="1" si="280"/>
        <v>324.59590813093553</v>
      </c>
      <c r="CZ512" s="164" t="b">
        <f t="shared" si="257"/>
        <v>1</v>
      </c>
      <c r="DA512" s="165" t="b">
        <f t="shared" si="257"/>
        <v>1</v>
      </c>
      <c r="DB512" s="166" t="b">
        <f t="shared" si="257"/>
        <v>1</v>
      </c>
      <c r="DC512" s="164">
        <f t="shared" si="258"/>
        <v>24</v>
      </c>
      <c r="DD512" s="166">
        <f t="shared" si="259"/>
        <v>262.45834844702915</v>
      </c>
      <c r="DE512" s="164">
        <f t="shared" si="260"/>
        <v>24</v>
      </c>
      <c r="DF512" s="166">
        <f t="shared" si="261"/>
        <v>375.20856611648912</v>
      </c>
      <c r="DG512" s="164">
        <f t="shared" si="262"/>
        <v>24</v>
      </c>
      <c r="DH512" s="166">
        <f t="shared" si="263"/>
        <v>487.95878378594909</v>
      </c>
      <c r="DI512" s="164">
        <f>IFERROR(INDEX(DC$486:DC$534,_xlfn.AGGREGATE(15,6,(ROW(DC$486:DC$534)-ROW(DC$486)+1)/(DC$486:DC$534&lt;&gt;""),ROWS(DI$1:DI27))),"")</f>
        <v>24</v>
      </c>
      <c r="DJ512" s="165">
        <f>IFERROR(INDEX(DD$486:DD$534,_xlfn.AGGREGATE(15,6,(ROW(DD$486:DD$534)-ROW(DD$486)+1)/(DD$486:DD$534&lt;&gt;""),ROWS(DJ$1:DJ27))),"")</f>
        <v>262.45834844702915</v>
      </c>
      <c r="DK512" s="166">
        <f t="shared" si="264"/>
        <v>512</v>
      </c>
      <c r="DL512" s="164">
        <f>IFERROR(INDEX(DE$486:DE$534,_xlfn.AGGREGATE(15,6,(ROW(DE$486:DE$534)-ROW(DE$486)+1)/(DE$486:DE$534&lt;&gt;""),ROWS(DL$1:DL27))),"")</f>
        <v>24</v>
      </c>
      <c r="DM512" s="165">
        <f>IFERROR(INDEX(DF$486:DF$534,_xlfn.AGGREGATE(15,6,(ROW(DF$486:DF$534)-ROW(DF$486)+1)/(DF$486:DF$534&lt;&gt;""),ROWS(DM$1:DM27))),"")</f>
        <v>375.20856611648912</v>
      </c>
      <c r="DN512" s="166">
        <f t="shared" si="265"/>
        <v>512</v>
      </c>
      <c r="DO512" s="164">
        <f>IFERROR(INDEX(DG$486:DG$534,_xlfn.AGGREGATE(15,6,(ROW(DG$486:DG$534)-ROW(DG$486)+1)/(DG$486:DG$534&lt;&gt;""),ROWS(DO$1:DO27))),"")</f>
        <v>24</v>
      </c>
      <c r="DP512" s="165">
        <f>IFERROR(INDEX(DH$486:DH$534,_xlfn.AGGREGATE(15,6,(ROW(DH$486:DH$534)-ROW(DH$486)+1)/(DH$486:DH$534&lt;&gt;""),ROWS(DP$1:DP27))),"")</f>
        <v>487.95878378594909</v>
      </c>
      <c r="DQ512" s="166">
        <f t="shared" si="266"/>
        <v>512</v>
      </c>
      <c r="DR512" s="65"/>
      <c r="DV512" s="145">
        <v>2041</v>
      </c>
      <c r="DW512" s="235">
        <f t="shared" ca="1" si="250"/>
        <v>402.36034463145847</v>
      </c>
    </row>
    <row r="513" spans="2:135" ht="13.8" x14ac:dyDescent="0.45">
      <c r="B513" s="128">
        <v>2039</v>
      </c>
      <c r="C513" s="951">
        <v>416.78420656136609</v>
      </c>
      <c r="D513" s="795">
        <v>561.47421164757463</v>
      </c>
      <c r="E513" s="292"/>
      <c r="F513" s="914"/>
      <c r="G513" s="919"/>
      <c r="H513" s="292"/>
      <c r="I513" s="1112">
        <v>292.10810810810841</v>
      </c>
      <c r="J513" s="1150">
        <v>266.03870967741932</v>
      </c>
      <c r="K513" s="919"/>
      <c r="L513" s="293"/>
      <c r="M513" s="292"/>
      <c r="N513" s="29" t="s">
        <v>119</v>
      </c>
      <c r="O513" s="120"/>
      <c r="P513" s="120"/>
      <c r="Q513" s="120"/>
      <c r="R513" s="29">
        <v>25</v>
      </c>
      <c r="S513" s="288">
        <f t="shared" si="251"/>
        <v>266.03870967741932</v>
      </c>
      <c r="T513" s="288">
        <f t="shared" si="252"/>
        <v>561.47421164757463</v>
      </c>
      <c r="U513" s="288">
        <f t="shared" si="253"/>
        <v>117.18665106974946</v>
      </c>
      <c r="W513" s="288">
        <f t="shared" si="254"/>
        <v>266.91465792886765</v>
      </c>
      <c r="X513" s="288">
        <f t="shared" si="255"/>
        <v>384.10130899861713</v>
      </c>
      <c r="Y513" s="288">
        <f t="shared" si="256"/>
        <v>501.2879600683666</v>
      </c>
      <c r="AA513" s="89"/>
      <c r="AB513" s="89"/>
      <c r="AC513" s="89"/>
      <c r="AD513" s="89"/>
      <c r="AE513" s="89"/>
      <c r="AF513" s="89"/>
      <c r="AG513" s="89"/>
      <c r="AH513" s="89"/>
      <c r="AI513" s="89"/>
      <c r="AJ513" s="89"/>
      <c r="AK513" s="89"/>
      <c r="AL513" s="89"/>
      <c r="AM513" s="89"/>
      <c r="AN513" s="89"/>
      <c r="BR513" s="180">
        <v>2037</v>
      </c>
      <c r="BS513" s="22">
        <v>23</v>
      </c>
      <c r="BT513" s="289">
        <f t="shared" si="267"/>
        <v>214.20013184216157</v>
      </c>
      <c r="BU513" s="290">
        <f t="shared" si="268"/>
        <v>147.91341348817375</v>
      </c>
      <c r="BV513" s="205">
        <f t="shared" si="269"/>
        <v>362.11354533033534</v>
      </c>
      <c r="BY513" s="180">
        <v>2037</v>
      </c>
      <c r="BZ513" s="22">
        <v>23</v>
      </c>
      <c r="CA513" s="289">
        <f t="shared" ca="1" si="270"/>
        <v>-11.529468313749662</v>
      </c>
      <c r="CB513" s="289">
        <f t="shared" ca="1" si="271"/>
        <v>236.25650600759565</v>
      </c>
      <c r="CC513" s="290">
        <f t="shared" ca="1" si="282"/>
        <v>141.72368002672786</v>
      </c>
      <c r="CD513" s="205">
        <f t="shared" ca="1" si="272"/>
        <v>366.45071772057383</v>
      </c>
      <c r="CG513" s="180">
        <v>2037</v>
      </c>
      <c r="CH513" s="22">
        <v>23</v>
      </c>
      <c r="CI513" s="289">
        <f t="shared" ca="1" si="273"/>
        <v>5.9562615556098093</v>
      </c>
      <c r="CJ513" s="289">
        <f t="shared" ca="1" si="274"/>
        <v>-28.62134929941265</v>
      </c>
      <c r="CK513" s="289">
        <f t="shared" ca="1" si="275"/>
        <v>248.55410311730674</v>
      </c>
      <c r="CL513" s="290">
        <f t="shared" ca="1" si="276"/>
        <v>140.38605455828448</v>
      </c>
      <c r="CM513" s="205">
        <f t="shared" ca="1" si="277"/>
        <v>366.27506993178838</v>
      </c>
      <c r="CP513" s="180">
        <v>2037</v>
      </c>
      <c r="CQ513" s="22">
        <v>23</v>
      </c>
      <c r="CR513" s="289">
        <f t="shared" ca="1" si="278"/>
        <v>169.29108306063685</v>
      </c>
      <c r="CS513" s="290">
        <f t="shared" ca="1" si="279"/>
        <v>1.9749648224428875</v>
      </c>
      <c r="CT513" s="205">
        <f t="shared" ca="1" si="280"/>
        <v>334.3439337980148</v>
      </c>
      <c r="CZ513" s="164" t="b">
        <f t="shared" si="257"/>
        <v>1</v>
      </c>
      <c r="DA513" s="165" t="b">
        <f t="shared" si="257"/>
        <v>1</v>
      </c>
      <c r="DB513" s="166" t="b">
        <f t="shared" si="257"/>
        <v>1</v>
      </c>
      <c r="DC513" s="164">
        <f t="shared" si="258"/>
        <v>25</v>
      </c>
      <c r="DD513" s="166">
        <f t="shared" si="259"/>
        <v>266.91465792886765</v>
      </c>
      <c r="DE513" s="164">
        <f t="shared" si="260"/>
        <v>25</v>
      </c>
      <c r="DF513" s="166">
        <f t="shared" si="261"/>
        <v>384.10130899861713</v>
      </c>
      <c r="DG513" s="164">
        <f t="shared" si="262"/>
        <v>25</v>
      </c>
      <c r="DH513" s="166">
        <f t="shared" si="263"/>
        <v>501.2879600683666</v>
      </c>
      <c r="DI513" s="164">
        <f>IFERROR(INDEX(DC$486:DC$534,_xlfn.AGGREGATE(15,6,(ROW(DC$486:DC$534)-ROW(DC$486)+1)/(DC$486:DC$534&lt;&gt;""),ROWS(DI$1:DI28))),"")</f>
        <v>25</v>
      </c>
      <c r="DJ513" s="165">
        <f>IFERROR(INDEX(DD$486:DD$534,_xlfn.AGGREGATE(15,6,(ROW(DD$486:DD$534)-ROW(DD$486)+1)/(DD$486:DD$534&lt;&gt;""),ROWS(DJ$1:DJ28))),"")</f>
        <v>266.91465792886765</v>
      </c>
      <c r="DK513" s="166">
        <f t="shared" si="264"/>
        <v>513</v>
      </c>
      <c r="DL513" s="164">
        <f>IFERROR(INDEX(DE$486:DE$534,_xlfn.AGGREGATE(15,6,(ROW(DE$486:DE$534)-ROW(DE$486)+1)/(DE$486:DE$534&lt;&gt;""),ROWS(DL$1:DL28))),"")</f>
        <v>25</v>
      </c>
      <c r="DM513" s="165">
        <f>IFERROR(INDEX(DF$486:DF$534,_xlfn.AGGREGATE(15,6,(ROW(DF$486:DF$534)-ROW(DF$486)+1)/(DF$486:DF$534&lt;&gt;""),ROWS(DM$1:DM28))),"")</f>
        <v>384.10130899861713</v>
      </c>
      <c r="DN513" s="166">
        <f t="shared" si="265"/>
        <v>513</v>
      </c>
      <c r="DO513" s="164">
        <f>IFERROR(INDEX(DG$486:DG$534,_xlfn.AGGREGATE(15,6,(ROW(DG$486:DG$534)-ROW(DG$486)+1)/(DG$486:DG$534&lt;&gt;""),ROWS(DO$1:DO28))),"")</f>
        <v>25</v>
      </c>
      <c r="DP513" s="165">
        <f>IFERROR(INDEX(DH$486:DH$534,_xlfn.AGGREGATE(15,6,(ROW(DH$486:DH$534)-ROW(DH$486)+1)/(DH$486:DH$534&lt;&gt;""),ROWS(DP$1:DP28))),"")</f>
        <v>501.2879600683666</v>
      </c>
      <c r="DQ513" s="166">
        <f t="shared" si="266"/>
        <v>513</v>
      </c>
      <c r="DR513" s="65"/>
      <c r="DV513" s="145">
        <v>2042</v>
      </c>
      <c r="DW513" s="235">
        <f t="shared" ca="1" si="250"/>
        <v>411.30206166564744</v>
      </c>
    </row>
    <row r="514" spans="2:135" ht="13.8" x14ac:dyDescent="0.45">
      <c r="B514" s="128">
        <v>2040</v>
      </c>
      <c r="C514" s="951">
        <v>424.12261922768357</v>
      </c>
      <c r="D514" s="795">
        <v>578.38052813836532</v>
      </c>
      <c r="E514" s="292"/>
      <c r="F514" s="914"/>
      <c r="G514" s="919"/>
      <c r="H514" s="292"/>
      <c r="I514" s="1112">
        <v>299.18918918918951</v>
      </c>
      <c r="J514" s="1150">
        <v>270.2838709677419</v>
      </c>
      <c r="K514" s="919"/>
      <c r="L514" s="293"/>
      <c r="M514" s="292"/>
      <c r="N514" s="29" t="s">
        <v>119</v>
      </c>
      <c r="O514" s="120"/>
      <c r="P514" s="120"/>
      <c r="Q514" s="120"/>
      <c r="R514" s="29">
        <v>26</v>
      </c>
      <c r="S514" s="288">
        <f t="shared" si="251"/>
        <v>270.2838709677419</v>
      </c>
      <c r="T514" s="288">
        <f t="shared" si="252"/>
        <v>578.38052813836532</v>
      </c>
      <c r="U514" s="288">
        <f t="shared" si="253"/>
        <v>121.64936708484534</v>
      </c>
      <c r="W514" s="288">
        <f t="shared" si="254"/>
        <v>271.34468479589975</v>
      </c>
      <c r="X514" s="288">
        <f t="shared" si="255"/>
        <v>392.99405188074508</v>
      </c>
      <c r="Y514" s="288">
        <f t="shared" si="256"/>
        <v>514.6434189655904</v>
      </c>
      <c r="AA514" s="89"/>
      <c r="AB514" s="89"/>
      <c r="AC514" s="89"/>
      <c r="AD514" s="89"/>
      <c r="AE514" s="89"/>
      <c r="AF514" s="89"/>
      <c r="AG514" s="89"/>
      <c r="AH514" s="89"/>
      <c r="AI514" s="89"/>
      <c r="AJ514" s="89"/>
      <c r="AK514" s="89"/>
      <c r="AL514" s="89"/>
      <c r="AM514" s="89"/>
      <c r="AN514" s="89"/>
      <c r="BR514" s="180">
        <v>2038</v>
      </c>
      <c r="BS514" s="22">
        <v>24</v>
      </c>
      <c r="BT514" s="289">
        <f t="shared" si="267"/>
        <v>223.51318105269033</v>
      </c>
      <c r="BU514" s="290">
        <f t="shared" si="268"/>
        <v>147.91341348817375</v>
      </c>
      <c r="BV514" s="205">
        <f t="shared" si="269"/>
        <v>371.42659454086407</v>
      </c>
      <c r="BY514" s="180">
        <v>2038</v>
      </c>
      <c r="BZ514" s="22">
        <v>24</v>
      </c>
      <c r="CA514" s="289">
        <f t="shared" ca="1" si="270"/>
        <v>-12.553825611946701</v>
      </c>
      <c r="CB514" s="289">
        <f t="shared" ca="1" si="271"/>
        <v>246.5285280079259</v>
      </c>
      <c r="CC514" s="290">
        <f t="shared" ca="1" si="282"/>
        <v>141.72368002672786</v>
      </c>
      <c r="CD514" s="205">
        <f t="shared" ca="1" si="272"/>
        <v>375.69838242270703</v>
      </c>
      <c r="CG514" s="180">
        <v>2038</v>
      </c>
      <c r="CH514" s="22">
        <v>24</v>
      </c>
      <c r="CI514" s="289">
        <f t="shared" ca="1" si="273"/>
        <v>6.7674332000287665</v>
      </c>
      <c r="CJ514" s="289">
        <f t="shared" ca="1" si="274"/>
        <v>-31.16426691202587</v>
      </c>
      <c r="CK514" s="289">
        <f t="shared" ca="1" si="275"/>
        <v>259.36080325284183</v>
      </c>
      <c r="CL514" s="290">
        <f t="shared" ca="1" si="276"/>
        <v>140.38605455828448</v>
      </c>
      <c r="CM514" s="205">
        <f t="shared" ca="1" si="277"/>
        <v>375.3500240991292</v>
      </c>
      <c r="CP514" s="180">
        <v>2038</v>
      </c>
      <c r="CQ514" s="22">
        <v>24</v>
      </c>
      <c r="CR514" s="289">
        <f t="shared" ca="1" si="278"/>
        <v>169.29108306063685</v>
      </c>
      <c r="CS514" s="290">
        <f t="shared" ca="1" si="279"/>
        <v>2.0342755139781179</v>
      </c>
      <c r="CT514" s="205">
        <f t="shared" ca="1" si="280"/>
        <v>344.3847050050893</v>
      </c>
      <c r="CZ514" s="164" t="b">
        <f t="shared" si="257"/>
        <v>1</v>
      </c>
      <c r="DA514" s="165" t="b">
        <f t="shared" si="257"/>
        <v>1</v>
      </c>
      <c r="DB514" s="166" t="b">
        <f t="shared" si="257"/>
        <v>1</v>
      </c>
      <c r="DC514" s="164">
        <f t="shared" si="258"/>
        <v>26</v>
      </c>
      <c r="DD514" s="166">
        <f t="shared" si="259"/>
        <v>271.34468479589975</v>
      </c>
      <c r="DE514" s="164">
        <f t="shared" si="260"/>
        <v>26</v>
      </c>
      <c r="DF514" s="166">
        <f t="shared" si="261"/>
        <v>392.99405188074508</v>
      </c>
      <c r="DG514" s="164">
        <f t="shared" si="262"/>
        <v>26</v>
      </c>
      <c r="DH514" s="166">
        <f t="shared" si="263"/>
        <v>514.6434189655904</v>
      </c>
      <c r="DI514" s="164">
        <f>IFERROR(INDEX(DC$486:DC$534,_xlfn.AGGREGATE(15,6,(ROW(DC$486:DC$534)-ROW(DC$486)+1)/(DC$486:DC$534&lt;&gt;""),ROWS(DI$1:DI29))),"")</f>
        <v>26</v>
      </c>
      <c r="DJ514" s="165">
        <f>IFERROR(INDEX(DD$486:DD$534,_xlfn.AGGREGATE(15,6,(ROW(DD$486:DD$534)-ROW(DD$486)+1)/(DD$486:DD$534&lt;&gt;""),ROWS(DJ$1:DJ29))),"")</f>
        <v>271.34468479589975</v>
      </c>
      <c r="DK514" s="166">
        <f t="shared" si="264"/>
        <v>514</v>
      </c>
      <c r="DL514" s="164">
        <f>IFERROR(INDEX(DE$486:DE$534,_xlfn.AGGREGATE(15,6,(ROW(DE$486:DE$534)-ROW(DE$486)+1)/(DE$486:DE$534&lt;&gt;""),ROWS(DL$1:DL29))),"")</f>
        <v>26</v>
      </c>
      <c r="DM514" s="165">
        <f>IFERROR(INDEX(DF$486:DF$534,_xlfn.AGGREGATE(15,6,(ROW(DF$486:DF$534)-ROW(DF$486)+1)/(DF$486:DF$534&lt;&gt;""),ROWS(DM$1:DM29))),"")</f>
        <v>392.99405188074508</v>
      </c>
      <c r="DN514" s="166">
        <f t="shared" si="265"/>
        <v>514</v>
      </c>
      <c r="DO514" s="164">
        <f>IFERROR(INDEX(DG$486:DG$534,_xlfn.AGGREGATE(15,6,(ROW(DG$486:DG$534)-ROW(DG$486)+1)/(DG$486:DG$534&lt;&gt;""),ROWS(DO$1:DO29))),"")</f>
        <v>26</v>
      </c>
      <c r="DP514" s="165">
        <f>IFERROR(INDEX(DH$486:DH$534,_xlfn.AGGREGATE(15,6,(ROW(DH$486:DH$534)-ROW(DH$486)+1)/(DH$486:DH$534&lt;&gt;""),ROWS(DP$1:DP29))),"")</f>
        <v>514.6434189655904</v>
      </c>
      <c r="DQ514" s="166">
        <f t="shared" si="266"/>
        <v>514</v>
      </c>
      <c r="DR514" s="65"/>
      <c r="DV514" s="145">
        <v>2043</v>
      </c>
      <c r="DW514" s="235">
        <f t="shared" ca="1" si="250"/>
        <v>420.2178125515311</v>
      </c>
      <c r="EA514" s="55"/>
      <c r="EB514" s="55"/>
      <c r="EC514" s="55"/>
      <c r="ED514" s="55"/>
      <c r="EE514" s="55"/>
    </row>
    <row r="515" spans="2:135" ht="13.8" x14ac:dyDescent="0.45">
      <c r="B515" s="128">
        <v>2041</v>
      </c>
      <c r="C515" s="951">
        <v>431.46103189400105</v>
      </c>
      <c r="D515" s="795">
        <v>595.28684462915601</v>
      </c>
      <c r="E515" s="292"/>
      <c r="F515" s="914"/>
      <c r="G515" s="919"/>
      <c r="H515" s="292"/>
      <c r="I515" s="1112">
        <v>306.2702702702706</v>
      </c>
      <c r="J515" s="1150">
        <v>274.52903225806449</v>
      </c>
      <c r="K515" s="919"/>
      <c r="L515" s="293"/>
      <c r="M515" s="292"/>
      <c r="N515" s="29" t="s">
        <v>119</v>
      </c>
      <c r="O515" s="120"/>
      <c r="P515" s="120"/>
      <c r="Q515" s="120"/>
      <c r="R515" s="29">
        <v>27</v>
      </c>
      <c r="S515" s="288">
        <f t="shared" si="251"/>
        <v>274.52903225806449</v>
      </c>
      <c r="T515" s="288">
        <f t="shared" si="252"/>
        <v>595.28684462915601</v>
      </c>
      <c r="U515" s="288">
        <f t="shared" si="253"/>
        <v>126.13557608427175</v>
      </c>
      <c r="W515" s="288">
        <f t="shared" si="254"/>
        <v>275.75121867860133</v>
      </c>
      <c r="X515" s="288">
        <f t="shared" si="255"/>
        <v>401.88679476287308</v>
      </c>
      <c r="Y515" s="288">
        <f t="shared" si="256"/>
        <v>528.02237084714488</v>
      </c>
      <c r="AA515" s="89"/>
      <c r="AB515" s="89"/>
      <c r="AC515" s="89"/>
      <c r="AD515" s="89"/>
      <c r="AE515" s="89"/>
      <c r="AF515" s="89"/>
      <c r="AG515" s="89"/>
      <c r="AH515" s="89"/>
      <c r="AI515" s="89"/>
      <c r="AJ515" s="89"/>
      <c r="AK515" s="89"/>
      <c r="AL515" s="89"/>
      <c r="AM515" s="89"/>
      <c r="AN515" s="89"/>
      <c r="BR515" s="180">
        <v>2039</v>
      </c>
      <c r="BS515" s="22">
        <v>25</v>
      </c>
      <c r="BT515" s="289">
        <f t="shared" si="267"/>
        <v>232.82623026321909</v>
      </c>
      <c r="BU515" s="290">
        <f t="shared" si="268"/>
        <v>147.91341348817375</v>
      </c>
      <c r="BV515" s="205">
        <f t="shared" si="269"/>
        <v>380.7396437513928</v>
      </c>
      <c r="BY515" s="180">
        <v>2039</v>
      </c>
      <c r="BZ515" s="22">
        <v>25</v>
      </c>
      <c r="CA515" s="289">
        <f t="shared" ca="1" si="270"/>
        <v>-13.621772582407445</v>
      </c>
      <c r="CB515" s="289">
        <f t="shared" ca="1" si="271"/>
        <v>256.80055000825615</v>
      </c>
      <c r="CC515" s="290">
        <f t="shared" ca="1" si="282"/>
        <v>141.72368002672786</v>
      </c>
      <c r="CD515" s="205">
        <f t="shared" ca="1" si="272"/>
        <v>384.90245745257653</v>
      </c>
      <c r="CG515" s="180">
        <v>2039</v>
      </c>
      <c r="CH515" s="22">
        <v>25</v>
      </c>
      <c r="CI515" s="289">
        <f t="shared" ca="1" si="273"/>
        <v>7.6490989402813563</v>
      </c>
      <c r="CJ515" s="289">
        <f t="shared" ca="1" si="274"/>
        <v>-33.815393784750292</v>
      </c>
      <c r="CK515" s="289">
        <f t="shared" ca="1" si="275"/>
        <v>270.16750338837687</v>
      </c>
      <c r="CL515" s="290">
        <f t="shared" ca="1" si="276"/>
        <v>140.38605455828448</v>
      </c>
      <c r="CM515" s="205">
        <f t="shared" ca="1" si="277"/>
        <v>384.38726310219238</v>
      </c>
      <c r="CP515" s="180">
        <v>2039</v>
      </c>
      <c r="CQ515" s="22">
        <v>25</v>
      </c>
      <c r="CR515" s="289">
        <f t="shared" ca="1" si="278"/>
        <v>169.29108306063685</v>
      </c>
      <c r="CS515" s="290">
        <f t="shared" ca="1" si="279"/>
        <v>2.095367380595766</v>
      </c>
      <c r="CT515" s="205">
        <f t="shared" ca="1" si="280"/>
        <v>354.7270132709869</v>
      </c>
      <c r="CZ515" s="164" t="b">
        <f t="shared" si="257"/>
        <v>1</v>
      </c>
      <c r="DA515" s="165" t="b">
        <f t="shared" si="257"/>
        <v>1</v>
      </c>
      <c r="DB515" s="166" t="b">
        <f t="shared" si="257"/>
        <v>1</v>
      </c>
      <c r="DC515" s="164">
        <f t="shared" si="258"/>
        <v>27</v>
      </c>
      <c r="DD515" s="166">
        <f t="shared" si="259"/>
        <v>275.75121867860133</v>
      </c>
      <c r="DE515" s="164">
        <f t="shared" si="260"/>
        <v>27</v>
      </c>
      <c r="DF515" s="166">
        <f t="shared" si="261"/>
        <v>401.88679476287308</v>
      </c>
      <c r="DG515" s="164">
        <f t="shared" si="262"/>
        <v>27</v>
      </c>
      <c r="DH515" s="166">
        <f t="shared" si="263"/>
        <v>528.02237084714488</v>
      </c>
      <c r="DI515" s="164">
        <f>IFERROR(INDEX(DC$486:DC$534,_xlfn.AGGREGATE(15,6,(ROW(DC$486:DC$534)-ROW(DC$486)+1)/(DC$486:DC$534&lt;&gt;""),ROWS(DI$1:DI30))),"")</f>
        <v>27</v>
      </c>
      <c r="DJ515" s="165">
        <f>IFERROR(INDEX(DD$486:DD$534,_xlfn.AGGREGATE(15,6,(ROW(DD$486:DD$534)-ROW(DD$486)+1)/(DD$486:DD$534&lt;&gt;""),ROWS(DJ$1:DJ30))),"")</f>
        <v>275.75121867860133</v>
      </c>
      <c r="DK515" s="166">
        <f t="shared" si="264"/>
        <v>515</v>
      </c>
      <c r="DL515" s="164">
        <f>IFERROR(INDEX(DE$486:DE$534,_xlfn.AGGREGATE(15,6,(ROW(DE$486:DE$534)-ROW(DE$486)+1)/(DE$486:DE$534&lt;&gt;""),ROWS(DL$1:DL30))),"")</f>
        <v>27</v>
      </c>
      <c r="DM515" s="165">
        <f>IFERROR(INDEX(DF$486:DF$534,_xlfn.AGGREGATE(15,6,(ROW(DF$486:DF$534)-ROW(DF$486)+1)/(DF$486:DF$534&lt;&gt;""),ROWS(DM$1:DM30))),"")</f>
        <v>401.88679476287308</v>
      </c>
      <c r="DN515" s="166">
        <f t="shared" si="265"/>
        <v>515</v>
      </c>
      <c r="DO515" s="164">
        <f>IFERROR(INDEX(DG$486:DG$534,_xlfn.AGGREGATE(15,6,(ROW(DG$486:DG$534)-ROW(DG$486)+1)/(DG$486:DG$534&lt;&gt;""),ROWS(DO$1:DO30))),"")</f>
        <v>27</v>
      </c>
      <c r="DP515" s="165">
        <f>IFERROR(INDEX(DH$486:DH$534,_xlfn.AGGREGATE(15,6,(ROW(DH$486:DH$534)-ROW(DH$486)+1)/(DH$486:DH$534&lt;&gt;""),ROWS(DP$1:DP30))),"")</f>
        <v>528.02237084714488</v>
      </c>
      <c r="DQ515" s="166">
        <f t="shared" si="266"/>
        <v>515</v>
      </c>
      <c r="DR515" s="65"/>
      <c r="DV515" s="145">
        <v>2044</v>
      </c>
      <c r="DW515" s="235">
        <f t="shared" ca="1" si="250"/>
        <v>429.11053454310252</v>
      </c>
      <c r="EA515" s="55"/>
      <c r="EB515" s="55"/>
      <c r="EC515" s="55"/>
      <c r="ED515" s="55"/>
      <c r="EE515" s="55"/>
    </row>
    <row r="516" spans="2:135" ht="13.8" x14ac:dyDescent="0.45">
      <c r="B516" s="128">
        <v>2042</v>
      </c>
      <c r="C516" s="951">
        <v>438.79944456031853</v>
      </c>
      <c r="D516" s="795">
        <v>612.19316111994669</v>
      </c>
      <c r="E516" s="292"/>
      <c r="F516" s="914"/>
      <c r="G516" s="919"/>
      <c r="H516" s="292"/>
      <c r="I516" s="1112">
        <v>313.3513513513517</v>
      </c>
      <c r="J516" s="1150">
        <v>278.77419354838707</v>
      </c>
      <c r="K516" s="919"/>
      <c r="L516" s="293"/>
      <c r="M516" s="292"/>
      <c r="N516" s="29" t="s">
        <v>119</v>
      </c>
      <c r="O516" s="120"/>
      <c r="P516" s="120"/>
      <c r="Q516" s="120"/>
      <c r="R516" s="29">
        <v>28</v>
      </c>
      <c r="S516" s="288">
        <f t="shared" si="251"/>
        <v>278.77419354838707</v>
      </c>
      <c r="T516" s="288">
        <f t="shared" si="252"/>
        <v>612.19316111994669</v>
      </c>
      <c r="U516" s="288">
        <f t="shared" si="253"/>
        <v>130.64285787920622</v>
      </c>
      <c r="W516" s="288">
        <f t="shared" si="254"/>
        <v>280.13667976579472</v>
      </c>
      <c r="X516" s="288">
        <f t="shared" si="255"/>
        <v>410.77953764500097</v>
      </c>
      <c r="Y516" s="288">
        <f t="shared" si="256"/>
        <v>541.42239552420722</v>
      </c>
      <c r="AA516" s="89"/>
      <c r="AB516" s="89"/>
      <c r="AC516" s="89"/>
      <c r="AD516" s="89"/>
      <c r="AE516" s="89"/>
      <c r="AF516" s="89"/>
      <c r="AG516" s="89"/>
      <c r="AH516" s="89"/>
      <c r="AI516" s="89"/>
      <c r="AJ516" s="89"/>
      <c r="AK516" s="89"/>
      <c r="AL516" s="89"/>
      <c r="AM516" s="89"/>
      <c r="AN516" s="89"/>
      <c r="BR516" s="180">
        <v>2040</v>
      </c>
      <c r="BS516" s="22">
        <v>26</v>
      </c>
      <c r="BT516" s="289">
        <f t="shared" si="267"/>
        <v>242.13927947374785</v>
      </c>
      <c r="BU516" s="290">
        <f t="shared" si="268"/>
        <v>147.91341348817375</v>
      </c>
      <c r="BV516" s="205">
        <f t="shared" si="269"/>
        <v>390.05269296192159</v>
      </c>
      <c r="BY516" s="180">
        <v>2040</v>
      </c>
      <c r="BZ516" s="22">
        <v>26</v>
      </c>
      <c r="CA516" s="289">
        <f t="shared" ca="1" si="270"/>
        <v>-14.733309225131894</v>
      </c>
      <c r="CB516" s="289">
        <f t="shared" ca="1" si="271"/>
        <v>267.07257200858641</v>
      </c>
      <c r="CC516" s="290">
        <f t="shared" ca="1" si="282"/>
        <v>141.72368002672786</v>
      </c>
      <c r="CD516" s="205">
        <f t="shared" ca="1" si="272"/>
        <v>394.06294281018234</v>
      </c>
      <c r="CG516" s="180">
        <v>2040</v>
      </c>
      <c r="CH516" s="22">
        <v>26</v>
      </c>
      <c r="CI516" s="289">
        <f t="shared" ca="1" si="273"/>
        <v>8.6041960303606473</v>
      </c>
      <c r="CJ516" s="289">
        <f t="shared" ca="1" si="274"/>
        <v>-36.57472991758592</v>
      </c>
      <c r="CK516" s="289">
        <f t="shared" ca="1" si="275"/>
        <v>280.97420352391197</v>
      </c>
      <c r="CL516" s="290">
        <f t="shared" ca="1" si="276"/>
        <v>140.38605455828448</v>
      </c>
      <c r="CM516" s="205">
        <f t="shared" ca="1" si="277"/>
        <v>393.38972419497122</v>
      </c>
      <c r="CP516" s="180">
        <v>2040</v>
      </c>
      <c r="CQ516" s="22">
        <v>26</v>
      </c>
      <c r="CR516" s="289">
        <f t="shared" ca="1" si="278"/>
        <v>169.29108306063685</v>
      </c>
      <c r="CS516" s="290">
        <f t="shared" ca="1" si="279"/>
        <v>2.158293913236371</v>
      </c>
      <c r="CT516" s="205">
        <f t="shared" ca="1" si="280"/>
        <v>365.37991413496542</v>
      </c>
      <c r="CZ516" s="164" t="b">
        <f t="shared" si="257"/>
        <v>1</v>
      </c>
      <c r="DA516" s="165" t="b">
        <f t="shared" si="257"/>
        <v>1</v>
      </c>
      <c r="DB516" s="166" t="b">
        <f t="shared" si="257"/>
        <v>1</v>
      </c>
      <c r="DC516" s="164">
        <f t="shared" si="258"/>
        <v>28</v>
      </c>
      <c r="DD516" s="166">
        <f t="shared" si="259"/>
        <v>280.13667976579472</v>
      </c>
      <c r="DE516" s="164">
        <f t="shared" si="260"/>
        <v>28</v>
      </c>
      <c r="DF516" s="166">
        <f t="shared" si="261"/>
        <v>410.77953764500097</v>
      </c>
      <c r="DG516" s="164">
        <f t="shared" si="262"/>
        <v>28</v>
      </c>
      <c r="DH516" s="166">
        <f t="shared" si="263"/>
        <v>541.42239552420722</v>
      </c>
      <c r="DI516" s="164">
        <f>IFERROR(INDEX(DC$486:DC$534,_xlfn.AGGREGATE(15,6,(ROW(DC$486:DC$534)-ROW(DC$486)+1)/(DC$486:DC$534&lt;&gt;""),ROWS(DI$1:DI31))),"")</f>
        <v>28</v>
      </c>
      <c r="DJ516" s="165">
        <f>IFERROR(INDEX(DD$486:DD$534,_xlfn.AGGREGATE(15,6,(ROW(DD$486:DD$534)-ROW(DD$486)+1)/(DD$486:DD$534&lt;&gt;""),ROWS(DJ$1:DJ31))),"")</f>
        <v>280.13667976579472</v>
      </c>
      <c r="DK516" s="166">
        <f t="shared" si="264"/>
        <v>516</v>
      </c>
      <c r="DL516" s="164">
        <f>IFERROR(INDEX(DE$486:DE$534,_xlfn.AGGREGATE(15,6,(ROW(DE$486:DE$534)-ROW(DE$486)+1)/(DE$486:DE$534&lt;&gt;""),ROWS(DL$1:DL31))),"")</f>
        <v>28</v>
      </c>
      <c r="DM516" s="165">
        <f>IFERROR(INDEX(DF$486:DF$534,_xlfn.AGGREGATE(15,6,(ROW(DF$486:DF$534)-ROW(DF$486)+1)/(DF$486:DF$534&lt;&gt;""),ROWS(DM$1:DM31))),"")</f>
        <v>410.77953764500097</v>
      </c>
      <c r="DN516" s="166">
        <f t="shared" si="265"/>
        <v>516</v>
      </c>
      <c r="DO516" s="164">
        <f>IFERROR(INDEX(DG$486:DG$534,_xlfn.AGGREGATE(15,6,(ROW(DG$486:DG$534)-ROW(DG$486)+1)/(DG$486:DG$534&lt;&gt;""),ROWS(DO$1:DO31))),"")</f>
        <v>28</v>
      </c>
      <c r="DP516" s="165">
        <f>IFERROR(INDEX(DH$486:DH$534,_xlfn.AGGREGATE(15,6,(ROW(DH$486:DH$534)-ROW(DH$486)+1)/(DH$486:DH$534&lt;&gt;""),ROWS(DP$1:DP31))),"")</f>
        <v>541.42239552420722</v>
      </c>
      <c r="DQ516" s="166">
        <f t="shared" si="266"/>
        <v>516</v>
      </c>
      <c r="DR516" s="65"/>
      <c r="DV516" s="145">
        <v>2045</v>
      </c>
      <c r="DW516" s="235">
        <f t="shared" ca="1" si="250"/>
        <v>437.98316489435479</v>
      </c>
      <c r="EA516" s="55"/>
      <c r="EB516" s="55"/>
      <c r="EC516" s="55"/>
      <c r="ED516" s="55"/>
      <c r="EE516" s="55"/>
    </row>
    <row r="517" spans="2:135" ht="13.8" x14ac:dyDescent="0.45">
      <c r="B517" s="128">
        <v>2043</v>
      </c>
      <c r="C517" s="951">
        <v>446.13785722663607</v>
      </c>
      <c r="D517" s="795">
        <v>629.09947761073738</v>
      </c>
      <c r="E517" s="292"/>
      <c r="F517" s="914"/>
      <c r="G517" s="919"/>
      <c r="H517" s="292"/>
      <c r="I517" s="1112">
        <v>320.43243243243279</v>
      </c>
      <c r="J517" s="1150">
        <v>283.01935483870966</v>
      </c>
      <c r="K517" s="919"/>
      <c r="L517" s="293"/>
      <c r="M517" s="292"/>
      <c r="N517" s="29" t="s">
        <v>119</v>
      </c>
      <c r="O517" s="120"/>
      <c r="P517" s="120"/>
      <c r="Q517" s="120"/>
      <c r="R517" s="29">
        <v>29</v>
      </c>
      <c r="S517" s="288">
        <f t="shared" si="251"/>
        <v>283.01935483870966</v>
      </c>
      <c r="T517" s="288">
        <f t="shared" si="252"/>
        <v>629.09947761073738</v>
      </c>
      <c r="U517" s="288">
        <f t="shared" si="253"/>
        <v>135.16910443717993</v>
      </c>
      <c r="W517" s="288">
        <f t="shared" si="254"/>
        <v>284.50317608994908</v>
      </c>
      <c r="X517" s="288">
        <f t="shared" si="255"/>
        <v>419.67228052712898</v>
      </c>
      <c r="Y517" s="288">
        <f t="shared" si="256"/>
        <v>554.84138496430887</v>
      </c>
      <c r="AA517" s="89"/>
      <c r="AB517" s="89"/>
      <c r="AC517" s="89"/>
      <c r="AD517" s="89"/>
      <c r="AE517" s="89"/>
      <c r="AF517" s="89"/>
      <c r="AG517" s="89"/>
      <c r="AH517" s="89"/>
      <c r="AI517" s="89"/>
      <c r="AJ517" s="89"/>
      <c r="AK517" s="89"/>
      <c r="AL517" s="89"/>
      <c r="AM517" s="89"/>
      <c r="AN517" s="89"/>
      <c r="BR517" s="180">
        <v>2041</v>
      </c>
      <c r="BS517" s="22">
        <v>27</v>
      </c>
      <c r="BT517" s="289">
        <f t="shared" si="267"/>
        <v>251.45232868427661</v>
      </c>
      <c r="BU517" s="290">
        <f t="shared" si="268"/>
        <v>147.91341348817375</v>
      </c>
      <c r="BV517" s="205">
        <f t="shared" si="269"/>
        <v>399.36574217245038</v>
      </c>
      <c r="BY517" s="180">
        <v>2041</v>
      </c>
      <c r="BZ517" s="22">
        <v>27</v>
      </c>
      <c r="CA517" s="289">
        <f t="shared" ca="1" si="270"/>
        <v>-15.888435540120044</v>
      </c>
      <c r="CB517" s="289">
        <f t="shared" ca="1" si="271"/>
        <v>277.34459400891666</v>
      </c>
      <c r="CC517" s="290">
        <f t="shared" ca="1" si="282"/>
        <v>141.72368002672786</v>
      </c>
      <c r="CD517" s="205">
        <f t="shared" ca="1" si="272"/>
        <v>403.17983849552445</v>
      </c>
      <c r="CG517" s="180">
        <v>2041</v>
      </c>
      <c r="CH517" s="22">
        <v>27</v>
      </c>
      <c r="CI517" s="289">
        <f t="shared" ca="1" si="273"/>
        <v>9.6356617242597089</v>
      </c>
      <c r="CJ517" s="289">
        <f t="shared" ca="1" si="274"/>
        <v>-39.442275310532743</v>
      </c>
      <c r="CK517" s="289">
        <f t="shared" ca="1" si="275"/>
        <v>291.78090365944706</v>
      </c>
      <c r="CL517" s="290">
        <f t="shared" ca="1" si="276"/>
        <v>140.38605455828448</v>
      </c>
      <c r="CM517" s="205">
        <f t="shared" ca="1" si="277"/>
        <v>402.36034463145847</v>
      </c>
      <c r="CP517" s="180">
        <v>2041</v>
      </c>
      <c r="CQ517" s="22">
        <v>27</v>
      </c>
      <c r="CR517" s="289">
        <f t="shared" ca="1" si="278"/>
        <v>169.29108306063685</v>
      </c>
      <c r="CS517" s="290">
        <f t="shared" ca="1" si="279"/>
        <v>2.2231102092410704</v>
      </c>
      <c r="CT517" s="205">
        <f t="shared" ca="1" si="280"/>
        <v>376.35273508557981</v>
      </c>
      <c r="CZ517" s="164" t="b">
        <f t="shared" si="257"/>
        <v>1</v>
      </c>
      <c r="DA517" s="165" t="b">
        <f t="shared" si="257"/>
        <v>1</v>
      </c>
      <c r="DB517" s="166" t="b">
        <f t="shared" si="257"/>
        <v>1</v>
      </c>
      <c r="DC517" s="164">
        <f t="shared" si="258"/>
        <v>29</v>
      </c>
      <c r="DD517" s="166">
        <f t="shared" si="259"/>
        <v>284.50317608994908</v>
      </c>
      <c r="DE517" s="164">
        <f t="shared" si="260"/>
        <v>29</v>
      </c>
      <c r="DF517" s="166">
        <f t="shared" si="261"/>
        <v>419.67228052712898</v>
      </c>
      <c r="DG517" s="164">
        <f t="shared" si="262"/>
        <v>29</v>
      </c>
      <c r="DH517" s="166">
        <f t="shared" si="263"/>
        <v>554.84138496430887</v>
      </c>
      <c r="DI517" s="164">
        <f>IFERROR(INDEX(DC$486:DC$534,_xlfn.AGGREGATE(15,6,(ROW(DC$486:DC$534)-ROW(DC$486)+1)/(DC$486:DC$534&lt;&gt;""),ROWS(DI$1:DI32))),"")</f>
        <v>29</v>
      </c>
      <c r="DJ517" s="165">
        <f>IFERROR(INDEX(DD$486:DD$534,_xlfn.AGGREGATE(15,6,(ROW(DD$486:DD$534)-ROW(DD$486)+1)/(DD$486:DD$534&lt;&gt;""),ROWS(DJ$1:DJ32))),"")</f>
        <v>284.50317608994908</v>
      </c>
      <c r="DK517" s="166">
        <f t="shared" si="264"/>
        <v>517</v>
      </c>
      <c r="DL517" s="164">
        <f>IFERROR(INDEX(DE$486:DE$534,_xlfn.AGGREGATE(15,6,(ROW(DE$486:DE$534)-ROW(DE$486)+1)/(DE$486:DE$534&lt;&gt;""),ROWS(DL$1:DL32))),"")</f>
        <v>29</v>
      </c>
      <c r="DM517" s="165">
        <f>IFERROR(INDEX(DF$486:DF$534,_xlfn.AGGREGATE(15,6,(ROW(DF$486:DF$534)-ROW(DF$486)+1)/(DF$486:DF$534&lt;&gt;""),ROWS(DM$1:DM32))),"")</f>
        <v>419.67228052712898</v>
      </c>
      <c r="DN517" s="166">
        <f t="shared" si="265"/>
        <v>517</v>
      </c>
      <c r="DO517" s="164">
        <f>IFERROR(INDEX(DG$486:DG$534,_xlfn.AGGREGATE(15,6,(ROW(DG$486:DG$534)-ROW(DG$486)+1)/(DG$486:DG$534&lt;&gt;""),ROWS(DO$1:DO32))),"")</f>
        <v>29</v>
      </c>
      <c r="DP517" s="165">
        <f>IFERROR(INDEX(DH$486:DH$534,_xlfn.AGGREGATE(15,6,(ROW(DH$486:DH$534)-ROW(DH$486)+1)/(DH$486:DH$534&lt;&gt;""),ROWS(DP$1:DP32))),"")</f>
        <v>554.84138496430887</v>
      </c>
      <c r="DQ517" s="166">
        <f t="shared" si="266"/>
        <v>517</v>
      </c>
      <c r="DR517" s="65"/>
      <c r="DV517" s="145">
        <v>2046</v>
      </c>
      <c r="DW517" s="235">
        <f t="shared" ca="1" si="250"/>
        <v>446.83864085928099</v>
      </c>
      <c r="EA517" s="55"/>
      <c r="EB517" s="55"/>
      <c r="EC517" s="55"/>
      <c r="ED517" s="55"/>
      <c r="EE517" s="55"/>
    </row>
    <row r="518" spans="2:135" ht="13.8" x14ac:dyDescent="0.45">
      <c r="B518" s="128">
        <v>2044</v>
      </c>
      <c r="C518" s="951">
        <v>453.47626989295361</v>
      </c>
      <c r="D518" s="795">
        <v>646.00579410152807</v>
      </c>
      <c r="E518" s="292"/>
      <c r="F518" s="914"/>
      <c r="G518" s="919"/>
      <c r="H518" s="292"/>
      <c r="I518" s="1112">
        <v>327.51351351351389</v>
      </c>
      <c r="J518" s="1150">
        <v>287.26451612903224</v>
      </c>
      <c r="K518" s="919"/>
      <c r="L518" s="293"/>
      <c r="M518" s="292"/>
      <c r="N518" s="29" t="s">
        <v>119</v>
      </c>
      <c r="O518" s="120"/>
      <c r="P518" s="120"/>
      <c r="Q518" s="120"/>
      <c r="R518" s="29">
        <v>30</v>
      </c>
      <c r="S518" s="288">
        <f t="shared" si="251"/>
        <v>287.26451612903224</v>
      </c>
      <c r="T518" s="288">
        <f t="shared" si="252"/>
        <v>646.00579410152807</v>
      </c>
      <c r="U518" s="288">
        <f t="shared" si="253"/>
        <v>139.7124725735666</v>
      </c>
      <c r="W518" s="288">
        <f t="shared" si="254"/>
        <v>288.85255083569041</v>
      </c>
      <c r="X518" s="288">
        <f t="shared" ref="X518:X534" si="284">IF(U518="",#N/A,(SUM(C518:Q518)/COUNTIFS(C518:Q518,"&gt;0")))</f>
        <v>428.56502340925698</v>
      </c>
      <c r="Y518" s="288">
        <f t="shared" si="256"/>
        <v>568.27749598282355</v>
      </c>
      <c r="AA518" s="89"/>
      <c r="AB518" s="89"/>
      <c r="AC518" s="89"/>
      <c r="AD518" s="89"/>
      <c r="AE518" s="89"/>
      <c r="AF518" s="89"/>
      <c r="AG518" s="89"/>
      <c r="AH518" s="89"/>
      <c r="AI518" s="89"/>
      <c r="AJ518" s="89"/>
      <c r="AK518" s="89"/>
      <c r="AL518" s="89"/>
      <c r="AM518" s="89"/>
      <c r="AN518" s="89"/>
      <c r="BR518" s="180">
        <v>2042</v>
      </c>
      <c r="BS518" s="22">
        <v>28</v>
      </c>
      <c r="BT518" s="289">
        <f t="shared" si="267"/>
        <v>260.7653778948054</v>
      </c>
      <c r="BU518" s="290">
        <f t="shared" si="268"/>
        <v>147.91341348817375</v>
      </c>
      <c r="BV518" s="205">
        <f t="shared" si="269"/>
        <v>408.67879138297917</v>
      </c>
      <c r="BY518" s="180">
        <v>2042</v>
      </c>
      <c r="BZ518" s="22">
        <v>28</v>
      </c>
      <c r="CA518" s="289">
        <f t="shared" ca="1" si="270"/>
        <v>-17.087151527371901</v>
      </c>
      <c r="CB518" s="289">
        <f t="shared" ca="1" si="271"/>
        <v>287.61661600924685</v>
      </c>
      <c r="CC518" s="290">
        <f t="shared" ca="1" si="282"/>
        <v>141.72368002672786</v>
      </c>
      <c r="CD518" s="205">
        <f t="shared" ca="1" si="272"/>
        <v>412.25314450860276</v>
      </c>
      <c r="CG518" s="180">
        <v>2042</v>
      </c>
      <c r="CH518" s="22">
        <v>28</v>
      </c>
      <c r="CI518" s="289">
        <f t="shared" ca="1" si="273"/>
        <v>10.746433275971606</v>
      </c>
      <c r="CJ518" s="289">
        <f t="shared" ca="1" si="274"/>
        <v>-42.418029963590769</v>
      </c>
      <c r="CK518" s="289">
        <f t="shared" ca="1" si="275"/>
        <v>302.5876037949821</v>
      </c>
      <c r="CL518" s="290">
        <f t="shared" ca="1" si="276"/>
        <v>140.38605455828448</v>
      </c>
      <c r="CM518" s="205">
        <f t="shared" ca="1" si="277"/>
        <v>411.30206166564744</v>
      </c>
      <c r="CP518" s="180">
        <v>2042</v>
      </c>
      <c r="CQ518" s="22">
        <v>28</v>
      </c>
      <c r="CR518" s="289">
        <f t="shared" ca="1" si="278"/>
        <v>169.29108306063685</v>
      </c>
      <c r="CS518" s="290">
        <f t="shared" ca="1" si="279"/>
        <v>2.289873020593844</v>
      </c>
      <c r="CT518" s="205">
        <f t="shared" ca="1" si="280"/>
        <v>387.65508372766385</v>
      </c>
      <c r="CZ518" s="164" t="b">
        <f t="shared" si="257"/>
        <v>1</v>
      </c>
      <c r="DA518" s="165" t="b">
        <f t="shared" si="257"/>
        <v>1</v>
      </c>
      <c r="DB518" s="166" t="b">
        <f t="shared" si="257"/>
        <v>1</v>
      </c>
      <c r="DC518" s="164">
        <f t="shared" si="258"/>
        <v>30</v>
      </c>
      <c r="DD518" s="166">
        <f t="shared" si="259"/>
        <v>288.85255083569041</v>
      </c>
      <c r="DE518" s="164">
        <f t="shared" si="260"/>
        <v>30</v>
      </c>
      <c r="DF518" s="166">
        <f t="shared" si="261"/>
        <v>428.56502340925698</v>
      </c>
      <c r="DG518" s="164">
        <f t="shared" si="262"/>
        <v>30</v>
      </c>
      <c r="DH518" s="166">
        <f t="shared" si="263"/>
        <v>568.27749598282355</v>
      </c>
      <c r="DI518" s="164">
        <f>IFERROR(INDEX(DC$486:DC$534,_xlfn.AGGREGATE(15,6,(ROW(DC$486:DC$534)-ROW(DC$486)+1)/(DC$486:DC$534&lt;&gt;""),ROWS(DI$1:DI33))),"")</f>
        <v>30</v>
      </c>
      <c r="DJ518" s="165">
        <f>IFERROR(INDEX(DD$486:DD$534,_xlfn.AGGREGATE(15,6,(ROW(DD$486:DD$534)-ROW(DD$486)+1)/(DD$486:DD$534&lt;&gt;""),ROWS(DJ$1:DJ33))),"")</f>
        <v>288.85255083569041</v>
      </c>
      <c r="DK518" s="166">
        <f t="shared" si="264"/>
        <v>518</v>
      </c>
      <c r="DL518" s="164">
        <f>IFERROR(INDEX(DE$486:DE$534,_xlfn.AGGREGATE(15,6,(ROW(DE$486:DE$534)-ROW(DE$486)+1)/(DE$486:DE$534&lt;&gt;""),ROWS(DL$1:DL33))),"")</f>
        <v>30</v>
      </c>
      <c r="DM518" s="165">
        <f>IFERROR(INDEX(DF$486:DF$534,_xlfn.AGGREGATE(15,6,(ROW(DF$486:DF$534)-ROW(DF$486)+1)/(DF$486:DF$534&lt;&gt;""),ROWS(DM$1:DM33))),"")</f>
        <v>428.56502340925698</v>
      </c>
      <c r="DN518" s="166">
        <f t="shared" si="265"/>
        <v>518</v>
      </c>
      <c r="DO518" s="164">
        <f>IFERROR(INDEX(DG$486:DG$534,_xlfn.AGGREGATE(15,6,(ROW(DG$486:DG$534)-ROW(DG$486)+1)/(DG$486:DG$534&lt;&gt;""),ROWS(DO$1:DO33))),"")</f>
        <v>30</v>
      </c>
      <c r="DP518" s="165">
        <f>IFERROR(INDEX(DH$486:DH$534,_xlfn.AGGREGATE(15,6,(ROW(DH$486:DH$534)-ROW(DH$486)+1)/(DH$486:DH$534&lt;&gt;""),ROWS(DP$1:DP33))),"")</f>
        <v>568.27749598282355</v>
      </c>
      <c r="DQ518" s="166">
        <f t="shared" si="266"/>
        <v>518</v>
      </c>
      <c r="DR518" s="65"/>
      <c r="DV518" s="145">
        <v>2047</v>
      </c>
      <c r="DW518" s="235">
        <f t="shared" ca="1" si="250"/>
        <v>455.67989969187408</v>
      </c>
      <c r="EA518" s="55"/>
      <c r="EB518" s="55"/>
      <c r="EC518" s="55"/>
      <c r="ED518" s="55"/>
      <c r="EE518" s="55"/>
    </row>
    <row r="519" spans="2:135" ht="13.8" x14ac:dyDescent="0.45">
      <c r="B519" s="128">
        <v>2045</v>
      </c>
      <c r="C519" s="951">
        <v>460.81468255927109</v>
      </c>
      <c r="D519" s="795">
        <v>662.91211059231875</v>
      </c>
      <c r="E519" s="292"/>
      <c r="F519" s="914"/>
      <c r="G519" s="919"/>
      <c r="H519" s="292"/>
      <c r="I519" s="1112">
        <v>334.59459459459498</v>
      </c>
      <c r="J519" s="1150">
        <v>291.50967741935483</v>
      </c>
      <c r="K519" s="919"/>
      <c r="L519" s="293"/>
      <c r="M519" s="292"/>
      <c r="N519" s="29" t="s">
        <v>119</v>
      </c>
      <c r="O519" s="120"/>
      <c r="P519" s="120"/>
      <c r="Q519" s="120"/>
      <c r="R519" s="29">
        <v>31</v>
      </c>
      <c r="S519" s="288">
        <f t="shared" si="251"/>
        <v>291.50967741935483</v>
      </c>
      <c r="T519" s="288">
        <f t="shared" si="252"/>
        <v>662.91211059231875</v>
      </c>
      <c r="U519" s="288">
        <f t="shared" si="253"/>
        <v>144.27134472811144</v>
      </c>
      <c r="W519" s="288">
        <f t="shared" si="254"/>
        <v>293.18642156327348</v>
      </c>
      <c r="X519" s="288">
        <f t="shared" si="284"/>
        <v>437.45776629138493</v>
      </c>
      <c r="Y519" s="288">
        <f t="shared" si="256"/>
        <v>581.72911101949637</v>
      </c>
      <c r="AA519" s="89"/>
      <c r="AB519" s="89"/>
      <c r="AC519" s="89"/>
      <c r="AD519" s="89"/>
      <c r="AE519" s="89"/>
      <c r="AF519" s="89"/>
      <c r="AG519" s="89"/>
      <c r="AH519" s="89"/>
      <c r="AI519" s="89"/>
      <c r="AJ519" s="89"/>
      <c r="AK519" s="89"/>
      <c r="AL519" s="89"/>
      <c r="AM519" s="89"/>
      <c r="AN519" s="89"/>
      <c r="BR519" s="180">
        <v>2043</v>
      </c>
      <c r="BS519" s="22">
        <v>29</v>
      </c>
      <c r="BT519" s="289">
        <f t="shared" si="267"/>
        <v>270.07842710533413</v>
      </c>
      <c r="BU519" s="290">
        <f t="shared" si="268"/>
        <v>147.91341348817375</v>
      </c>
      <c r="BV519" s="205">
        <f t="shared" si="269"/>
        <v>417.99184059350785</v>
      </c>
      <c r="BY519" s="180">
        <v>2043</v>
      </c>
      <c r="BZ519" s="22">
        <v>29</v>
      </c>
      <c r="CA519" s="289">
        <f t="shared" ca="1" si="270"/>
        <v>-18.32945718688746</v>
      </c>
      <c r="CB519" s="289">
        <f t="shared" ca="1" si="271"/>
        <v>297.88863800957711</v>
      </c>
      <c r="CC519" s="290">
        <f t="shared" ca="1" si="282"/>
        <v>141.72368002672786</v>
      </c>
      <c r="CD519" s="205">
        <f t="shared" ca="1" si="272"/>
        <v>421.28286084941749</v>
      </c>
      <c r="CG519" s="180">
        <v>2043</v>
      </c>
      <c r="CH519" s="22">
        <v>29</v>
      </c>
      <c r="CI519" s="289">
        <f t="shared" ca="1" si="273"/>
        <v>11.939447939489408</v>
      </c>
      <c r="CJ519" s="289">
        <f t="shared" ca="1" si="274"/>
        <v>-45.501993876759997</v>
      </c>
      <c r="CK519" s="289">
        <f t="shared" ca="1" si="275"/>
        <v>313.3943039305172</v>
      </c>
      <c r="CL519" s="290">
        <f t="shared" ca="1" si="276"/>
        <v>140.38605455828448</v>
      </c>
      <c r="CM519" s="205">
        <f t="shared" ca="1" si="277"/>
        <v>420.2178125515311</v>
      </c>
      <c r="CP519" s="180">
        <v>2043</v>
      </c>
      <c r="CQ519" s="22">
        <v>29</v>
      </c>
      <c r="CR519" s="289">
        <f t="shared" ca="1" si="278"/>
        <v>169.29108306063685</v>
      </c>
      <c r="CS519" s="290">
        <f t="shared" ca="1" si="279"/>
        <v>2.3586408036125288</v>
      </c>
      <c r="CT519" s="205">
        <f t="shared" ca="1" si="280"/>
        <v>399.29685619457587</v>
      </c>
      <c r="CZ519" s="164" t="b">
        <f t="shared" si="257"/>
        <v>1</v>
      </c>
      <c r="DA519" s="165" t="b">
        <f t="shared" si="257"/>
        <v>1</v>
      </c>
      <c r="DB519" s="166" t="b">
        <f t="shared" si="257"/>
        <v>1</v>
      </c>
      <c r="DC519" s="164">
        <f t="shared" si="258"/>
        <v>31</v>
      </c>
      <c r="DD519" s="166">
        <f t="shared" si="259"/>
        <v>293.18642156327348</v>
      </c>
      <c r="DE519" s="164">
        <f t="shared" si="260"/>
        <v>31</v>
      </c>
      <c r="DF519" s="166">
        <f t="shared" si="261"/>
        <v>437.45776629138493</v>
      </c>
      <c r="DG519" s="164">
        <f t="shared" si="262"/>
        <v>31</v>
      </c>
      <c r="DH519" s="166">
        <f t="shared" si="263"/>
        <v>581.72911101949637</v>
      </c>
      <c r="DI519" s="164">
        <f>IFERROR(INDEX(DC$486:DC$534,_xlfn.AGGREGATE(15,6,(ROW(DC$486:DC$534)-ROW(DC$486)+1)/(DC$486:DC$534&lt;&gt;""),ROWS(DI$1:DI34))),"")</f>
        <v>31</v>
      </c>
      <c r="DJ519" s="165">
        <f>IFERROR(INDEX(DD$486:DD$534,_xlfn.AGGREGATE(15,6,(ROW(DD$486:DD$534)-ROW(DD$486)+1)/(DD$486:DD$534&lt;&gt;""),ROWS(DJ$1:DJ34))),"")</f>
        <v>293.18642156327348</v>
      </c>
      <c r="DK519" s="166">
        <f t="shared" si="264"/>
        <v>519</v>
      </c>
      <c r="DL519" s="164">
        <f>IFERROR(INDEX(DE$486:DE$534,_xlfn.AGGREGATE(15,6,(ROW(DE$486:DE$534)-ROW(DE$486)+1)/(DE$486:DE$534&lt;&gt;""),ROWS(DL$1:DL34))),"")</f>
        <v>31</v>
      </c>
      <c r="DM519" s="165">
        <f>IFERROR(INDEX(DF$486:DF$534,_xlfn.AGGREGATE(15,6,(ROW(DF$486:DF$534)-ROW(DF$486)+1)/(DF$486:DF$534&lt;&gt;""),ROWS(DM$1:DM34))),"")</f>
        <v>437.45776629138493</v>
      </c>
      <c r="DN519" s="166">
        <f t="shared" si="265"/>
        <v>519</v>
      </c>
      <c r="DO519" s="164">
        <f>IFERROR(INDEX(DG$486:DG$534,_xlfn.AGGREGATE(15,6,(ROW(DG$486:DG$534)-ROW(DG$486)+1)/(DG$486:DG$534&lt;&gt;""),ROWS(DO$1:DO34))),"")</f>
        <v>31</v>
      </c>
      <c r="DP519" s="165">
        <f>IFERROR(INDEX(DH$486:DH$534,_xlfn.AGGREGATE(15,6,(ROW(DH$486:DH$534)-ROW(DH$486)+1)/(DH$486:DH$534&lt;&gt;""),ROWS(DP$1:DP34))),"")</f>
        <v>581.72911101949637</v>
      </c>
      <c r="DQ519" s="166">
        <f t="shared" si="266"/>
        <v>519</v>
      </c>
      <c r="DR519" s="65"/>
      <c r="DV519" s="145">
        <v>2048</v>
      </c>
      <c r="DW519" s="235">
        <f t="shared" ca="1" si="250"/>
        <v>464.50987864612728</v>
      </c>
      <c r="EA519" s="55"/>
      <c r="EB519" s="55"/>
      <c r="EC519" s="55"/>
      <c r="ED519" s="55"/>
      <c r="EE519" s="55"/>
    </row>
    <row r="520" spans="2:135" ht="13.8" x14ac:dyDescent="0.45">
      <c r="B520" s="128">
        <v>2046</v>
      </c>
      <c r="C520" s="951">
        <v>468.15309522558857</v>
      </c>
      <c r="D520" s="795">
        <v>679.81842708310944</v>
      </c>
      <c r="E520" s="292"/>
      <c r="F520" s="914"/>
      <c r="G520" s="919"/>
      <c r="H520" s="292"/>
      <c r="I520" s="1112">
        <v>341.67567567567608</v>
      </c>
      <c r="J520" s="1150">
        <v>295.75483870967741</v>
      </c>
      <c r="K520" s="919"/>
      <c r="L520" s="293"/>
      <c r="M520" s="292"/>
      <c r="N520" s="29" t="s">
        <v>119</v>
      </c>
      <c r="O520" s="120"/>
      <c r="P520" s="120"/>
      <c r="Q520" s="120"/>
      <c r="R520" s="29">
        <v>32</v>
      </c>
      <c r="S520" s="288">
        <f t="shared" si="251"/>
        <v>295.75483870967741</v>
      </c>
      <c r="T520" s="288">
        <f t="shared" si="252"/>
        <v>679.81842708310944</v>
      </c>
      <c r="U520" s="288">
        <f t="shared" si="253"/>
        <v>148.84429631485068</v>
      </c>
      <c r="W520" s="288">
        <f t="shared" si="254"/>
        <v>297.5062128586622</v>
      </c>
      <c r="X520" s="288">
        <f t="shared" si="284"/>
        <v>446.35050917351288</v>
      </c>
      <c r="Y520" s="288">
        <f t="shared" si="256"/>
        <v>595.1948054883635</v>
      </c>
      <c r="AA520" s="89"/>
      <c r="AB520" s="89"/>
      <c r="AC520" s="89"/>
      <c r="AD520" s="89"/>
      <c r="AE520" s="89"/>
      <c r="AF520" s="89"/>
      <c r="AG520" s="89"/>
      <c r="AH520" s="89"/>
      <c r="AI520" s="89"/>
      <c r="AJ520" s="89"/>
      <c r="AK520" s="89"/>
      <c r="AL520" s="89"/>
      <c r="AM520" s="89"/>
      <c r="AN520" s="89"/>
      <c r="BR520" s="180">
        <v>2044</v>
      </c>
      <c r="BS520" s="22">
        <v>30</v>
      </c>
      <c r="BT520" s="289">
        <f t="shared" si="267"/>
        <v>279.39147631586292</v>
      </c>
      <c r="BU520" s="290">
        <f t="shared" si="268"/>
        <v>147.91341348817375</v>
      </c>
      <c r="BV520" s="205">
        <f t="shared" si="269"/>
        <v>427.30488980403663</v>
      </c>
      <c r="BY520" s="180">
        <v>2044</v>
      </c>
      <c r="BZ520" s="22">
        <v>30</v>
      </c>
      <c r="CA520" s="289">
        <f t="shared" ca="1" si="270"/>
        <v>-19.615352518666722</v>
      </c>
      <c r="CB520" s="289">
        <f t="shared" ca="1" si="271"/>
        <v>308.16066000990736</v>
      </c>
      <c r="CC520" s="290">
        <f t="shared" ca="1" si="282"/>
        <v>141.72368002672786</v>
      </c>
      <c r="CD520" s="205">
        <f t="shared" ca="1" si="272"/>
        <v>430.26898751796853</v>
      </c>
      <c r="CG520" s="180">
        <v>2044</v>
      </c>
      <c r="CH520" s="22">
        <v>30</v>
      </c>
      <c r="CI520" s="289">
        <f t="shared" ca="1" si="273"/>
        <v>13.217642968806183</v>
      </c>
      <c r="CJ520" s="289">
        <f t="shared" ca="1" si="274"/>
        <v>-48.69416705004042</v>
      </c>
      <c r="CK520" s="289">
        <f t="shared" ca="1" si="275"/>
        <v>324.20100406605229</v>
      </c>
      <c r="CL520" s="290">
        <f t="shared" ca="1" si="276"/>
        <v>140.38605455828448</v>
      </c>
      <c r="CM520" s="205">
        <f t="shared" ca="1" si="277"/>
        <v>429.11053454310252</v>
      </c>
      <c r="CP520" s="180">
        <v>2044</v>
      </c>
      <c r="CQ520" s="22">
        <v>30</v>
      </c>
      <c r="CR520" s="289">
        <f t="shared" ca="1" si="278"/>
        <v>169.29108306063685</v>
      </c>
      <c r="CS520" s="290">
        <f t="shared" ca="1" si="279"/>
        <v>2.4294737701321214</v>
      </c>
      <c r="CT520" s="205">
        <f t="shared" ca="1" si="280"/>
        <v>411.28824581307555</v>
      </c>
      <c r="CZ520" s="164" t="b">
        <f t="shared" si="257"/>
        <v>1</v>
      </c>
      <c r="DA520" s="165" t="b">
        <f t="shared" si="257"/>
        <v>1</v>
      </c>
      <c r="DB520" s="166" t="b">
        <f t="shared" si="257"/>
        <v>1</v>
      </c>
      <c r="DC520" s="164">
        <f t="shared" si="258"/>
        <v>32</v>
      </c>
      <c r="DD520" s="166">
        <f t="shared" si="259"/>
        <v>297.5062128586622</v>
      </c>
      <c r="DE520" s="164">
        <f t="shared" si="260"/>
        <v>32</v>
      </c>
      <c r="DF520" s="166">
        <f t="shared" si="261"/>
        <v>446.35050917351288</v>
      </c>
      <c r="DG520" s="164">
        <f t="shared" si="262"/>
        <v>32</v>
      </c>
      <c r="DH520" s="166">
        <f t="shared" si="263"/>
        <v>595.1948054883635</v>
      </c>
      <c r="DI520" s="164">
        <f>IFERROR(INDEX(DC$486:DC$534,_xlfn.AGGREGATE(15,6,(ROW(DC$486:DC$534)-ROW(DC$486)+1)/(DC$486:DC$534&lt;&gt;""),ROWS(DI$1:DI35))),"")</f>
        <v>32</v>
      </c>
      <c r="DJ520" s="165">
        <f>IFERROR(INDEX(DD$486:DD$534,_xlfn.AGGREGATE(15,6,(ROW(DD$486:DD$534)-ROW(DD$486)+1)/(DD$486:DD$534&lt;&gt;""),ROWS(DJ$1:DJ35))),"")</f>
        <v>297.5062128586622</v>
      </c>
      <c r="DK520" s="166">
        <f t="shared" si="264"/>
        <v>520</v>
      </c>
      <c r="DL520" s="164">
        <f>IFERROR(INDEX(DE$486:DE$534,_xlfn.AGGREGATE(15,6,(ROW(DE$486:DE$534)-ROW(DE$486)+1)/(DE$486:DE$534&lt;&gt;""),ROWS(DL$1:DL35))),"")</f>
        <v>32</v>
      </c>
      <c r="DM520" s="165">
        <f>IFERROR(INDEX(DF$486:DF$534,_xlfn.AGGREGATE(15,6,(ROW(DF$486:DF$534)-ROW(DF$486)+1)/(DF$486:DF$534&lt;&gt;""),ROWS(DM$1:DM35))),"")</f>
        <v>446.35050917351288</v>
      </c>
      <c r="DN520" s="166">
        <f t="shared" si="265"/>
        <v>520</v>
      </c>
      <c r="DO520" s="164">
        <f>IFERROR(INDEX(DG$486:DG$534,_xlfn.AGGREGATE(15,6,(ROW(DG$486:DG$534)-ROW(DG$486)+1)/(DG$486:DG$534&lt;&gt;""),ROWS(DO$1:DO35))),"")</f>
        <v>32</v>
      </c>
      <c r="DP520" s="165">
        <f>IFERROR(INDEX(DH$486:DH$534,_xlfn.AGGREGATE(15,6,(ROW(DH$486:DH$534)-ROW(DH$486)+1)/(DH$486:DH$534&lt;&gt;""),ROWS(DP$1:DP35))),"")</f>
        <v>595.1948054883635</v>
      </c>
      <c r="DQ520" s="166">
        <f t="shared" si="266"/>
        <v>520</v>
      </c>
      <c r="DR520" s="65"/>
      <c r="DV520" s="145">
        <v>2049</v>
      </c>
      <c r="DW520" s="235">
        <f t="shared" ca="1" si="250"/>
        <v>473.33151497603365</v>
      </c>
      <c r="EA520" s="55"/>
      <c r="EB520" s="55"/>
      <c r="EC520" s="55"/>
      <c r="ED520" s="55"/>
      <c r="EE520" s="55"/>
    </row>
    <row r="521" spans="2:135" ht="13.8" x14ac:dyDescent="0.45">
      <c r="B521" s="128">
        <v>2047</v>
      </c>
      <c r="C521" s="951">
        <v>475.49150789190611</v>
      </c>
      <c r="D521" s="795">
        <v>696.72474357390013</v>
      </c>
      <c r="E521" s="292"/>
      <c r="F521" s="914"/>
      <c r="G521" s="919"/>
      <c r="H521" s="292"/>
      <c r="I521" s="1112">
        <v>348.75675675675711</v>
      </c>
      <c r="J521" s="1150">
        <v>300</v>
      </c>
      <c r="K521" s="919"/>
      <c r="L521" s="293"/>
      <c r="M521" s="292"/>
      <c r="N521" s="29" t="s">
        <v>119</v>
      </c>
      <c r="O521" s="120"/>
      <c r="P521" s="120"/>
      <c r="Q521" s="120"/>
      <c r="R521" s="29">
        <v>33</v>
      </c>
      <c r="S521" s="288">
        <f t="shared" si="251"/>
        <v>300</v>
      </c>
      <c r="T521" s="288">
        <f t="shared" si="252"/>
        <v>696.72474357390013</v>
      </c>
      <c r="U521" s="288">
        <f t="shared" si="253"/>
        <v>153.43006843521948</v>
      </c>
      <c r="W521" s="288">
        <f t="shared" si="254"/>
        <v>301.81318362042134</v>
      </c>
      <c r="X521" s="288">
        <f t="shared" si="284"/>
        <v>455.24325205564082</v>
      </c>
      <c r="Y521" s="288">
        <f t="shared" si="256"/>
        <v>608.67332049086031</v>
      </c>
      <c r="AA521" s="89"/>
      <c r="AB521" s="89"/>
      <c r="AC521" s="89"/>
      <c r="AD521" s="89"/>
      <c r="AE521" s="89"/>
      <c r="AF521" s="89"/>
      <c r="AG521" s="89"/>
      <c r="AH521" s="89"/>
      <c r="AI521" s="89"/>
      <c r="AJ521" s="89"/>
      <c r="AK521" s="89"/>
      <c r="AL521" s="89"/>
      <c r="AM521" s="89"/>
      <c r="AN521" s="89"/>
      <c r="BR521" s="180">
        <v>2045</v>
      </c>
      <c r="BS521" s="22">
        <v>31</v>
      </c>
      <c r="BT521" s="289">
        <f t="shared" si="267"/>
        <v>288.70452552639165</v>
      </c>
      <c r="BU521" s="289">
        <f t="shared" si="268"/>
        <v>147.91341348817375</v>
      </c>
      <c r="BV521" s="205">
        <f t="shared" si="269"/>
        <v>436.61793901456542</v>
      </c>
      <c r="BY521" s="180">
        <v>2045</v>
      </c>
      <c r="BZ521" s="22">
        <v>31</v>
      </c>
      <c r="CA521" s="289">
        <f t="shared" ca="1" si="270"/>
        <v>-20.944837522709687</v>
      </c>
      <c r="CB521" s="289">
        <f t="shared" ca="1" si="271"/>
        <v>318.43268201023761</v>
      </c>
      <c r="CC521" s="289">
        <f t="shared" ca="1" si="282"/>
        <v>141.72368002672786</v>
      </c>
      <c r="CD521" s="205">
        <f t="shared" ca="1" si="272"/>
        <v>439.21152451425576</v>
      </c>
      <c r="CG521" s="180">
        <v>2045</v>
      </c>
      <c r="CH521" s="22">
        <v>31</v>
      </c>
      <c r="CI521" s="289">
        <f t="shared" ca="1" si="273"/>
        <v>14.583955617915001</v>
      </c>
      <c r="CJ521" s="289">
        <f t="shared" ca="1" si="274"/>
        <v>-51.994549483432053</v>
      </c>
      <c r="CK521" s="289">
        <f t="shared" ca="1" si="275"/>
        <v>335.00770420158733</v>
      </c>
      <c r="CL521" s="289">
        <f t="shared" ca="1" si="276"/>
        <v>140.38605455828448</v>
      </c>
      <c r="CM521" s="205">
        <f t="shared" ca="1" si="277"/>
        <v>437.98316489435479</v>
      </c>
      <c r="CP521" s="180">
        <v>2045</v>
      </c>
      <c r="CQ521" s="22">
        <v>31</v>
      </c>
      <c r="CR521" s="289">
        <f t="shared" ca="1" si="278"/>
        <v>169.29108306063685</v>
      </c>
      <c r="CS521" s="289">
        <f t="shared" ca="1" si="279"/>
        <v>2.5024339402251794</v>
      </c>
      <c r="CT521" s="205">
        <f t="shared" ca="1" si="280"/>
        <v>423.6397520284176</v>
      </c>
      <c r="CZ521" s="164" t="b">
        <f t="shared" si="257"/>
        <v>1</v>
      </c>
      <c r="DA521" s="165" t="b">
        <f t="shared" si="257"/>
        <v>1</v>
      </c>
      <c r="DB521" s="166" t="b">
        <f t="shared" si="257"/>
        <v>1</v>
      </c>
      <c r="DC521" s="164">
        <f t="shared" si="258"/>
        <v>33</v>
      </c>
      <c r="DD521" s="166">
        <f t="shared" si="259"/>
        <v>301.81318362042134</v>
      </c>
      <c r="DE521" s="164">
        <f t="shared" si="260"/>
        <v>33</v>
      </c>
      <c r="DF521" s="166">
        <f t="shared" si="261"/>
        <v>455.24325205564082</v>
      </c>
      <c r="DG521" s="164">
        <f t="shared" si="262"/>
        <v>33</v>
      </c>
      <c r="DH521" s="166">
        <f t="shared" si="263"/>
        <v>608.67332049086031</v>
      </c>
      <c r="DI521" s="164">
        <f>IFERROR(INDEX(DC$486:DC$534,_xlfn.AGGREGATE(15,6,(ROW(DC$486:DC$534)-ROW(DC$486)+1)/(DC$486:DC$534&lt;&gt;""),ROWS(DI$1:DI36))),"")</f>
        <v>33</v>
      </c>
      <c r="DJ521" s="165">
        <f>IFERROR(INDEX(DD$486:DD$534,_xlfn.AGGREGATE(15,6,(ROW(DD$486:DD$534)-ROW(DD$486)+1)/(DD$486:DD$534&lt;&gt;""),ROWS(DJ$1:DJ36))),"")</f>
        <v>301.81318362042134</v>
      </c>
      <c r="DK521" s="166">
        <f t="shared" si="264"/>
        <v>521</v>
      </c>
      <c r="DL521" s="164">
        <f>IFERROR(INDEX(DE$486:DE$534,_xlfn.AGGREGATE(15,6,(ROW(DE$486:DE$534)-ROW(DE$486)+1)/(DE$486:DE$534&lt;&gt;""),ROWS(DL$1:DL36))),"")</f>
        <v>33</v>
      </c>
      <c r="DM521" s="165">
        <f>IFERROR(INDEX(DF$486:DF$534,_xlfn.AGGREGATE(15,6,(ROW(DF$486:DF$534)-ROW(DF$486)+1)/(DF$486:DF$534&lt;&gt;""),ROWS(DM$1:DM36))),"")</f>
        <v>455.24325205564082</v>
      </c>
      <c r="DN521" s="166">
        <f t="shared" si="265"/>
        <v>521</v>
      </c>
      <c r="DO521" s="164">
        <f>IFERROR(INDEX(DG$486:DG$534,_xlfn.AGGREGATE(15,6,(ROW(DG$486:DG$534)-ROW(DG$486)+1)/(DG$486:DG$534&lt;&gt;""),ROWS(DO$1:DO36))),"")</f>
        <v>33</v>
      </c>
      <c r="DP521" s="165">
        <f>IFERROR(INDEX(DH$486:DH$534,_xlfn.AGGREGATE(15,6,(ROW(DH$486:DH$534)-ROW(DH$486)+1)/(DH$486:DH$534&lt;&gt;""),ROWS(DP$1:DP36))),"")</f>
        <v>608.67332049086031</v>
      </c>
      <c r="DQ521" s="166">
        <f t="shared" si="266"/>
        <v>521</v>
      </c>
      <c r="DR521" s="65"/>
      <c r="DV521" s="145">
        <v>2050</v>
      </c>
      <c r="DW521" s="235">
        <f t="shared" ca="1" si="250"/>
        <v>482.14774593558616</v>
      </c>
      <c r="EA521" s="55"/>
      <c r="EB521" s="55"/>
      <c r="EC521" s="55"/>
      <c r="ED521" s="55"/>
      <c r="EE521" s="55"/>
    </row>
    <row r="522" spans="2:135" ht="13.8" x14ac:dyDescent="0.45">
      <c r="B522" s="128">
        <v>2048</v>
      </c>
      <c r="C522" s="951">
        <v>482.82992055822365</v>
      </c>
      <c r="D522" s="795">
        <v>713.63106006469081</v>
      </c>
      <c r="E522" s="292"/>
      <c r="F522" s="914"/>
      <c r="G522" s="919"/>
      <c r="H522" s="292"/>
      <c r="I522" s="1112">
        <v>355.83783783783826</v>
      </c>
      <c r="J522" s="1150">
        <v>304.24516129032259</v>
      </c>
      <c r="K522" s="919"/>
      <c r="L522" s="293"/>
      <c r="M522" s="292"/>
      <c r="N522" s="29" t="s">
        <v>119</v>
      </c>
      <c r="O522" s="120"/>
      <c r="P522" s="120"/>
      <c r="Q522" s="120"/>
      <c r="R522" s="29">
        <v>34</v>
      </c>
      <c r="S522" s="288">
        <f t="shared" si="251"/>
        <v>304.24516129032259</v>
      </c>
      <c r="T522" s="288">
        <f t="shared" si="252"/>
        <v>713.63106006469081</v>
      </c>
      <c r="U522" s="288">
        <f t="shared" si="253"/>
        <v>158.02754498307129</v>
      </c>
      <c r="W522" s="288">
        <f t="shared" si="254"/>
        <v>306.10844995469756</v>
      </c>
      <c r="X522" s="288">
        <f t="shared" si="284"/>
        <v>464.13599493776888</v>
      </c>
      <c r="Y522" s="288">
        <f t="shared" si="256"/>
        <v>622.16353992084021</v>
      </c>
      <c r="AA522" s="89"/>
      <c r="AB522" s="89"/>
      <c r="AC522" s="89"/>
      <c r="AD522" s="89"/>
      <c r="AE522" s="89"/>
      <c r="AF522" s="89"/>
      <c r="AG522" s="89"/>
      <c r="AH522" s="89"/>
      <c r="AI522" s="89"/>
      <c r="AJ522" s="89"/>
      <c r="AK522" s="89"/>
      <c r="AL522" s="89"/>
      <c r="AM522" s="89"/>
      <c r="AN522" s="89"/>
      <c r="BR522" s="180">
        <v>2046</v>
      </c>
      <c r="BS522" s="22">
        <v>32</v>
      </c>
      <c r="BT522" s="289">
        <f t="shared" si="267"/>
        <v>298.01757473692044</v>
      </c>
      <c r="BU522" s="289">
        <f t="shared" si="268"/>
        <v>147.91341348817375</v>
      </c>
      <c r="BV522" s="205">
        <f t="shared" si="269"/>
        <v>445.93098822509421</v>
      </c>
      <c r="BY522" s="180">
        <v>2046</v>
      </c>
      <c r="BZ522" s="22">
        <v>32</v>
      </c>
      <c r="CA522" s="289">
        <f t="shared" ca="1" si="270"/>
        <v>-22.317912199016359</v>
      </c>
      <c r="CB522" s="289">
        <f t="shared" ca="1" si="271"/>
        <v>328.70470401056787</v>
      </c>
      <c r="CC522" s="289">
        <f t="shared" ca="1" si="282"/>
        <v>141.72368002672786</v>
      </c>
      <c r="CD522" s="205">
        <f t="shared" ca="1" si="272"/>
        <v>448.11047183827941</v>
      </c>
      <c r="CG522" s="180">
        <v>2046</v>
      </c>
      <c r="CH522" s="22">
        <v>32</v>
      </c>
      <c r="CI522" s="289">
        <f t="shared" ca="1" si="273"/>
        <v>16.041323140808927</v>
      </c>
      <c r="CJ522" s="289">
        <f t="shared" ca="1" si="274"/>
        <v>-55.403141176934881</v>
      </c>
      <c r="CK522" s="289">
        <f t="shared" ca="1" si="275"/>
        <v>345.81440433712243</v>
      </c>
      <c r="CL522" s="289">
        <f t="shared" ca="1" si="276"/>
        <v>140.38605455828448</v>
      </c>
      <c r="CM522" s="205">
        <f t="shared" ca="1" si="277"/>
        <v>446.83864085928099</v>
      </c>
      <c r="CP522" s="180">
        <v>2046</v>
      </c>
      <c r="CQ522" s="22">
        <v>32</v>
      </c>
      <c r="CR522" s="289">
        <f t="shared" ca="1" si="278"/>
        <v>169.29108306063685</v>
      </c>
      <c r="CS522" s="289">
        <f t="shared" ca="1" si="279"/>
        <v>2.5775851965054812</v>
      </c>
      <c r="CT522" s="205">
        <f t="shared" ca="1" si="280"/>
        <v>436.36218959747737</v>
      </c>
      <c r="CZ522" s="164" t="b">
        <f t="shared" si="257"/>
        <v>1</v>
      </c>
      <c r="DA522" s="165" t="b">
        <f t="shared" si="257"/>
        <v>1</v>
      </c>
      <c r="DB522" s="166" t="b">
        <f t="shared" si="257"/>
        <v>1</v>
      </c>
      <c r="DC522" s="164">
        <f t="shared" si="258"/>
        <v>34</v>
      </c>
      <c r="DD522" s="166">
        <f t="shared" si="259"/>
        <v>306.10844995469756</v>
      </c>
      <c r="DE522" s="164">
        <f t="shared" si="260"/>
        <v>34</v>
      </c>
      <c r="DF522" s="166">
        <f t="shared" si="261"/>
        <v>464.13599493776888</v>
      </c>
      <c r="DG522" s="164">
        <f t="shared" si="262"/>
        <v>34</v>
      </c>
      <c r="DH522" s="166">
        <f t="shared" si="263"/>
        <v>622.16353992084021</v>
      </c>
      <c r="DI522" s="164">
        <f>IFERROR(INDEX(DC$486:DC$534,_xlfn.AGGREGATE(15,6,(ROW(DC$486:DC$534)-ROW(DC$486)+1)/(DC$486:DC$534&lt;&gt;""),ROWS(DI$1:DI37))),"")</f>
        <v>34</v>
      </c>
      <c r="DJ522" s="165">
        <f>IFERROR(INDEX(DD$486:DD$534,_xlfn.AGGREGATE(15,6,(ROW(DD$486:DD$534)-ROW(DD$486)+1)/(DD$486:DD$534&lt;&gt;""),ROWS(DJ$1:DJ37))),"")</f>
        <v>306.10844995469756</v>
      </c>
      <c r="DK522" s="166">
        <f t="shared" si="264"/>
        <v>522</v>
      </c>
      <c r="DL522" s="164">
        <f>IFERROR(INDEX(DE$486:DE$534,_xlfn.AGGREGATE(15,6,(ROW(DE$486:DE$534)-ROW(DE$486)+1)/(DE$486:DE$534&lt;&gt;""),ROWS(DL$1:DL37))),"")</f>
        <v>34</v>
      </c>
      <c r="DM522" s="165">
        <f>IFERROR(INDEX(DF$486:DF$534,_xlfn.AGGREGATE(15,6,(ROW(DF$486:DF$534)-ROW(DF$486)+1)/(DF$486:DF$534&lt;&gt;""),ROWS(DM$1:DM37))),"")</f>
        <v>464.13599493776888</v>
      </c>
      <c r="DN522" s="166">
        <f t="shared" si="265"/>
        <v>522</v>
      </c>
      <c r="DO522" s="164">
        <f>IFERROR(INDEX(DG$486:DG$534,_xlfn.AGGREGATE(15,6,(ROW(DG$486:DG$534)-ROW(DG$486)+1)/(DG$486:DG$534&lt;&gt;""),ROWS(DO$1:DO37))),"")</f>
        <v>34</v>
      </c>
      <c r="DP522" s="165">
        <f>IFERROR(INDEX(DH$486:DH$534,_xlfn.AGGREGATE(15,6,(ROW(DH$486:DH$534)-ROW(DH$486)+1)/(DH$486:DH$534&lt;&gt;""),ROWS(DP$1:DP37))),"")</f>
        <v>622.16353992084021</v>
      </c>
      <c r="DQ522" s="166">
        <f t="shared" si="266"/>
        <v>522</v>
      </c>
      <c r="DR522" s="65"/>
      <c r="DV522" s="145">
        <v>2051</v>
      </c>
      <c r="DW522" s="235">
        <f t="shared" ca="1" si="250"/>
        <v>490.96150877877778</v>
      </c>
      <c r="EA522" s="55"/>
      <c r="EB522" s="55"/>
      <c r="EC522" s="55"/>
      <c r="ED522" s="55"/>
      <c r="EE522" s="55"/>
    </row>
    <row r="523" spans="2:135" ht="13.8" x14ac:dyDescent="0.45">
      <c r="B523" s="128">
        <v>2049</v>
      </c>
      <c r="C523" s="951">
        <v>490.16833322454113</v>
      </c>
      <c r="D523" s="795">
        <v>730.5373765554815</v>
      </c>
      <c r="E523" s="292"/>
      <c r="F523" s="914"/>
      <c r="G523" s="919"/>
      <c r="H523" s="292"/>
      <c r="I523" s="1112">
        <v>362.9189189189193</v>
      </c>
      <c r="J523" s="1150">
        <v>308.49032258064517</v>
      </c>
      <c r="K523" s="919"/>
      <c r="L523" s="293"/>
      <c r="M523" s="292"/>
      <c r="N523" s="29" t="s">
        <v>119</v>
      </c>
      <c r="O523" s="120"/>
      <c r="P523" s="120"/>
      <c r="Q523" s="120"/>
      <c r="R523" s="29">
        <v>35</v>
      </c>
      <c r="S523" s="288">
        <f t="shared" si="251"/>
        <v>308.49032258064517</v>
      </c>
      <c r="T523" s="288">
        <f t="shared" si="252"/>
        <v>730.5373765554815</v>
      </c>
      <c r="U523" s="288">
        <f t="shared" si="253"/>
        <v>162.63573335981499</v>
      </c>
      <c r="W523" s="288">
        <f t="shared" si="254"/>
        <v>310.39300446008173</v>
      </c>
      <c r="X523" s="288">
        <f t="shared" si="284"/>
        <v>473.02873781989672</v>
      </c>
      <c r="Y523" s="288">
        <f t="shared" si="256"/>
        <v>635.66447117971165</v>
      </c>
      <c r="AA523" s="89"/>
      <c r="AB523" s="89"/>
      <c r="AC523" s="89"/>
      <c r="AD523" s="89"/>
      <c r="AE523" s="89"/>
      <c r="AF523" s="89"/>
      <c r="AG523" s="89"/>
      <c r="AH523" s="89"/>
      <c r="AI523" s="89"/>
      <c r="AJ523" s="89"/>
      <c r="AK523" s="89"/>
      <c r="AL523" s="89"/>
      <c r="AM523" s="89"/>
      <c r="AN523" s="89"/>
      <c r="BR523" s="180">
        <v>2047</v>
      </c>
      <c r="BS523" s="22">
        <v>33</v>
      </c>
      <c r="BT523" s="289">
        <f t="shared" si="267"/>
        <v>307.33062394744923</v>
      </c>
      <c r="BU523" s="289">
        <f t="shared" si="268"/>
        <v>147.91341348817375</v>
      </c>
      <c r="BV523" s="205">
        <f t="shared" si="269"/>
        <v>455.244037435623</v>
      </c>
      <c r="BY523" s="180">
        <v>2047</v>
      </c>
      <c r="BZ523" s="22">
        <v>33</v>
      </c>
      <c r="CA523" s="289">
        <f t="shared" ca="1" si="270"/>
        <v>-23.734576547586734</v>
      </c>
      <c r="CB523" s="289">
        <f t="shared" ca="1" si="271"/>
        <v>338.97672601089812</v>
      </c>
      <c r="CC523" s="289">
        <f t="shared" ca="1" si="282"/>
        <v>141.72368002672786</v>
      </c>
      <c r="CD523" s="205">
        <f t="shared" ca="1" si="272"/>
        <v>456.96582949003925</v>
      </c>
      <c r="CG523" s="180">
        <v>2047</v>
      </c>
      <c r="CH523" s="22">
        <v>33</v>
      </c>
      <c r="CI523" s="289">
        <f t="shared" ca="1" si="273"/>
        <v>17.592682791481032</v>
      </c>
      <c r="CJ523" s="289">
        <f t="shared" ca="1" si="274"/>
        <v>-58.919942130548911</v>
      </c>
      <c r="CK523" s="289">
        <f t="shared" ca="1" si="275"/>
        <v>356.62110447265752</v>
      </c>
      <c r="CL523" s="289">
        <f t="shared" ca="1" si="276"/>
        <v>140.38605455828448</v>
      </c>
      <c r="CM523" s="205">
        <f t="shared" ca="1" si="277"/>
        <v>455.67989969187408</v>
      </c>
      <c r="CP523" s="180">
        <v>2047</v>
      </c>
      <c r="CQ523" s="22">
        <v>33</v>
      </c>
      <c r="CR523" s="289">
        <f t="shared" ca="1" si="278"/>
        <v>169.29108306063685</v>
      </c>
      <c r="CS523" s="289">
        <f t="shared" ca="1" si="279"/>
        <v>2.6549933400624952</v>
      </c>
      <c r="CT523" s="205">
        <f t="shared" ca="1" si="280"/>
        <v>449.46669805795756</v>
      </c>
      <c r="CZ523" s="164" t="b">
        <f t="shared" si="257"/>
        <v>1</v>
      </c>
      <c r="DA523" s="165" t="b">
        <f t="shared" si="257"/>
        <v>1</v>
      </c>
      <c r="DB523" s="166" t="b">
        <f t="shared" si="257"/>
        <v>1</v>
      </c>
      <c r="DC523" s="164">
        <f t="shared" si="258"/>
        <v>35</v>
      </c>
      <c r="DD523" s="166">
        <f t="shared" si="259"/>
        <v>310.39300446008173</v>
      </c>
      <c r="DE523" s="164">
        <f t="shared" si="260"/>
        <v>35</v>
      </c>
      <c r="DF523" s="166">
        <f t="shared" si="261"/>
        <v>473.02873781989672</v>
      </c>
      <c r="DG523" s="164">
        <f t="shared" si="262"/>
        <v>35</v>
      </c>
      <c r="DH523" s="166">
        <f t="shared" si="263"/>
        <v>635.66447117971165</v>
      </c>
      <c r="DI523" s="164">
        <f>IFERROR(INDEX(DC$486:DC$534,_xlfn.AGGREGATE(15,6,(ROW(DC$486:DC$534)-ROW(DC$486)+1)/(DC$486:DC$534&lt;&gt;""),ROWS(DI$1:DI38))),"")</f>
        <v>35</v>
      </c>
      <c r="DJ523" s="165">
        <f>IFERROR(INDEX(DD$486:DD$534,_xlfn.AGGREGATE(15,6,(ROW(DD$486:DD$534)-ROW(DD$486)+1)/(DD$486:DD$534&lt;&gt;""),ROWS(DJ$1:DJ38))),"")</f>
        <v>310.39300446008173</v>
      </c>
      <c r="DK523" s="166">
        <f t="shared" si="264"/>
        <v>523</v>
      </c>
      <c r="DL523" s="164">
        <f>IFERROR(INDEX(DE$486:DE$534,_xlfn.AGGREGATE(15,6,(ROW(DE$486:DE$534)-ROW(DE$486)+1)/(DE$486:DE$534&lt;&gt;""),ROWS(DL$1:DL38))),"")</f>
        <v>35</v>
      </c>
      <c r="DM523" s="165">
        <f>IFERROR(INDEX(DF$486:DF$534,_xlfn.AGGREGATE(15,6,(ROW(DF$486:DF$534)-ROW(DF$486)+1)/(DF$486:DF$534&lt;&gt;""),ROWS(DM$1:DM38))),"")</f>
        <v>473.02873781989672</v>
      </c>
      <c r="DN523" s="166">
        <f t="shared" si="265"/>
        <v>523</v>
      </c>
      <c r="DO523" s="164">
        <f>IFERROR(INDEX(DG$486:DG$534,_xlfn.AGGREGATE(15,6,(ROW(DG$486:DG$534)-ROW(DG$486)+1)/(DG$486:DG$534&lt;&gt;""),ROWS(DO$1:DO38))),"")</f>
        <v>35</v>
      </c>
      <c r="DP523" s="165">
        <f>IFERROR(INDEX(DH$486:DH$534,_xlfn.AGGREGATE(15,6,(ROW(DH$486:DH$534)-ROW(DH$486)+1)/(DH$486:DH$534&lt;&gt;""),ROWS(DP$1:DP38))),"")</f>
        <v>635.66447117971165</v>
      </c>
      <c r="DQ523" s="166">
        <f t="shared" si="266"/>
        <v>523</v>
      </c>
      <c r="DR523" s="65"/>
      <c r="DV523" s="145">
        <v>2052</v>
      </c>
      <c r="DW523" s="235">
        <f t="shared" ca="1" si="250"/>
        <v>499.77574075960183</v>
      </c>
      <c r="EA523" s="55"/>
      <c r="EB523" s="55"/>
      <c r="EC523" s="55"/>
      <c r="ED523" s="55"/>
      <c r="EE523" s="55"/>
    </row>
    <row r="524" spans="2:135" ht="13.8" x14ac:dyDescent="0.45">
      <c r="B524" s="128">
        <v>2050</v>
      </c>
      <c r="C524" s="951">
        <v>497.50674589085867</v>
      </c>
      <c r="D524" s="795">
        <v>747.44369304627219</v>
      </c>
      <c r="E524" s="292"/>
      <c r="F524" s="914"/>
      <c r="G524" s="919"/>
      <c r="H524" s="292"/>
      <c r="I524" s="1112">
        <v>370.00000000000045</v>
      </c>
      <c r="J524" s="1150">
        <v>312.7354838709677</v>
      </c>
      <c r="K524" s="919"/>
      <c r="L524" s="293"/>
      <c r="M524" s="292"/>
      <c r="N524" s="29" t="s">
        <v>119</v>
      </c>
      <c r="O524" s="120"/>
      <c r="P524" s="120"/>
      <c r="Q524" s="120"/>
      <c r="R524" s="29">
        <v>36</v>
      </c>
      <c r="S524" s="288">
        <f t="shared" si="251"/>
        <v>312.7354838709677</v>
      </c>
      <c r="T524" s="288">
        <f t="shared" si="252"/>
        <v>747.44369304627219</v>
      </c>
      <c r="U524" s="288">
        <f t="shared" si="253"/>
        <v>167.25374816834594</v>
      </c>
      <c r="W524" s="288">
        <f t="shared" si="254"/>
        <v>314.66773253367887</v>
      </c>
      <c r="X524" s="288">
        <f t="shared" si="284"/>
        <v>481.92148070202478</v>
      </c>
      <c r="Y524" s="288">
        <f t="shared" si="256"/>
        <v>649.17522887037069</v>
      </c>
      <c r="AA524" s="89"/>
      <c r="AB524" s="89"/>
      <c r="AC524" s="89"/>
      <c r="AD524" s="89"/>
      <c r="AE524" s="89"/>
      <c r="AF524" s="89"/>
      <c r="AG524" s="89"/>
      <c r="AH524" s="89"/>
      <c r="AI524" s="89"/>
      <c r="AJ524" s="89"/>
      <c r="AK524" s="89"/>
      <c r="AL524" s="89"/>
      <c r="AM524" s="89"/>
      <c r="AN524" s="89"/>
      <c r="BR524" s="180">
        <v>2048</v>
      </c>
      <c r="BS524" s="22">
        <v>34</v>
      </c>
      <c r="BT524" s="289">
        <f t="shared" si="267"/>
        <v>316.64367315797796</v>
      </c>
      <c r="BU524" s="289">
        <f t="shared" si="268"/>
        <v>147.91341348817375</v>
      </c>
      <c r="BV524" s="205">
        <f t="shared" si="269"/>
        <v>464.55708664615167</v>
      </c>
      <c r="BY524" s="180">
        <v>2048</v>
      </c>
      <c r="BZ524" s="22">
        <v>34</v>
      </c>
      <c r="CA524" s="289">
        <f t="shared" ca="1" si="270"/>
        <v>-25.194830568420812</v>
      </c>
      <c r="CB524" s="289">
        <f t="shared" ca="1" si="271"/>
        <v>349.24874801122837</v>
      </c>
      <c r="CC524" s="289">
        <f t="shared" ca="1" si="282"/>
        <v>141.72368002672786</v>
      </c>
      <c r="CD524" s="205">
        <f t="shared" ca="1" si="272"/>
        <v>465.77759746953541</v>
      </c>
      <c r="CG524" s="180">
        <v>2048</v>
      </c>
      <c r="CH524" s="22">
        <v>34</v>
      </c>
      <c r="CI524" s="289">
        <f t="shared" ca="1" si="273"/>
        <v>19.240971823924379</v>
      </c>
      <c r="CJ524" s="289">
        <f t="shared" ca="1" si="274"/>
        <v>-62.544952344274144</v>
      </c>
      <c r="CK524" s="289">
        <f t="shared" ca="1" si="275"/>
        <v>367.42780460819256</v>
      </c>
      <c r="CL524" s="289">
        <f t="shared" ca="1" si="276"/>
        <v>140.38605455828448</v>
      </c>
      <c r="CM524" s="205">
        <f t="shared" ca="1" si="277"/>
        <v>464.50987864612728</v>
      </c>
      <c r="CP524" s="180">
        <v>2048</v>
      </c>
      <c r="CQ524" s="22">
        <v>34</v>
      </c>
      <c r="CR524" s="289">
        <f t="shared" ca="1" si="278"/>
        <v>169.29108306063685</v>
      </c>
      <c r="CS524" s="289">
        <f t="shared" ca="1" si="279"/>
        <v>2.7347261480756324</v>
      </c>
      <c r="CT524" s="205">
        <f t="shared" ca="1" si="280"/>
        <v>462.96475148196737</v>
      </c>
      <c r="CZ524" s="164" t="b">
        <f t="shared" si="257"/>
        <v>1</v>
      </c>
      <c r="DA524" s="165" t="b">
        <f t="shared" si="257"/>
        <v>1</v>
      </c>
      <c r="DB524" s="166" t="b">
        <f t="shared" si="257"/>
        <v>1</v>
      </c>
      <c r="DC524" s="164">
        <f t="shared" si="258"/>
        <v>36</v>
      </c>
      <c r="DD524" s="166">
        <f t="shared" si="259"/>
        <v>314.66773253367887</v>
      </c>
      <c r="DE524" s="164">
        <f t="shared" si="260"/>
        <v>36</v>
      </c>
      <c r="DF524" s="166">
        <f t="shared" si="261"/>
        <v>481.92148070202478</v>
      </c>
      <c r="DG524" s="164">
        <f t="shared" si="262"/>
        <v>36</v>
      </c>
      <c r="DH524" s="166">
        <f t="shared" si="263"/>
        <v>649.17522887037069</v>
      </c>
      <c r="DI524" s="164">
        <f>IFERROR(INDEX(DC$486:DC$534,_xlfn.AGGREGATE(15,6,(ROW(DC$486:DC$534)-ROW(DC$486)+1)/(DC$486:DC$534&lt;&gt;""),ROWS(DI$1:DI39))),"")</f>
        <v>36</v>
      </c>
      <c r="DJ524" s="165">
        <f>IFERROR(INDEX(DD$486:DD$534,_xlfn.AGGREGATE(15,6,(ROW(DD$486:DD$534)-ROW(DD$486)+1)/(DD$486:DD$534&lt;&gt;""),ROWS(DJ$1:DJ39))),"")</f>
        <v>314.66773253367887</v>
      </c>
      <c r="DK524" s="166">
        <f t="shared" si="264"/>
        <v>524</v>
      </c>
      <c r="DL524" s="164">
        <f>IFERROR(INDEX(DE$486:DE$534,_xlfn.AGGREGATE(15,6,(ROW(DE$486:DE$534)-ROW(DE$486)+1)/(DE$486:DE$534&lt;&gt;""),ROWS(DL$1:DL39))),"")</f>
        <v>36</v>
      </c>
      <c r="DM524" s="165">
        <f>IFERROR(INDEX(DF$486:DF$534,_xlfn.AGGREGATE(15,6,(ROW(DF$486:DF$534)-ROW(DF$486)+1)/(DF$486:DF$534&lt;&gt;""),ROWS(DM$1:DM39))),"")</f>
        <v>481.92148070202478</v>
      </c>
      <c r="DN524" s="166">
        <f t="shared" si="265"/>
        <v>524</v>
      </c>
      <c r="DO524" s="164">
        <f>IFERROR(INDEX(DG$486:DG$534,_xlfn.AGGREGATE(15,6,(ROW(DG$486:DG$534)-ROW(DG$486)+1)/(DG$486:DG$534&lt;&gt;""),ROWS(DO$1:DO39))),"")</f>
        <v>36</v>
      </c>
      <c r="DP524" s="165">
        <f>IFERROR(INDEX(DH$486:DH$534,_xlfn.AGGREGATE(15,6,(ROW(DH$486:DH$534)-ROW(DH$486)+1)/(DH$486:DH$534&lt;&gt;""),ROWS(DP$1:DP39))),"")</f>
        <v>649.17522887037069</v>
      </c>
      <c r="DQ524" s="166">
        <f t="shared" si="266"/>
        <v>524</v>
      </c>
      <c r="DR524" s="65"/>
      <c r="DV524" s="145">
        <v>2053</v>
      </c>
      <c r="DW524" s="235">
        <f t="shared" ca="1" si="250"/>
        <v>508.59337913205138</v>
      </c>
      <c r="EA524" s="55"/>
      <c r="EB524" s="55"/>
      <c r="EC524" s="55"/>
      <c r="ED524" s="55"/>
      <c r="EE524" s="55"/>
    </row>
    <row r="525" spans="2:135" ht="13.8" x14ac:dyDescent="0.45">
      <c r="B525" s="128">
        <v>2051</v>
      </c>
      <c r="C525" s="951">
        <v>504.84515855717609</v>
      </c>
      <c r="D525" s="795">
        <v>764.35000953706287</v>
      </c>
      <c r="E525" s="292"/>
      <c r="F525" s="914"/>
      <c r="G525" s="919"/>
      <c r="H525" s="292"/>
      <c r="I525" s="1112">
        <v>377.08108108108149</v>
      </c>
      <c r="J525" s="1150">
        <v>316.98064516129028</v>
      </c>
      <c r="K525" s="919"/>
      <c r="L525" s="293"/>
      <c r="M525" s="292"/>
      <c r="N525" s="29" t="s">
        <v>119</v>
      </c>
      <c r="O525" s="120"/>
      <c r="P525" s="120"/>
      <c r="Q525" s="120"/>
      <c r="R525" s="29">
        <v>37</v>
      </c>
      <c r="S525" s="288">
        <f t="shared" si="251"/>
        <v>316.98064516129028</v>
      </c>
      <c r="T525" s="288">
        <f t="shared" si="252"/>
        <v>764.35000953706287</v>
      </c>
      <c r="U525" s="288">
        <f t="shared" si="253"/>
        <v>171.88079737423763</v>
      </c>
      <c r="W525" s="288">
        <f t="shared" si="254"/>
        <v>318.93342620991507</v>
      </c>
      <c r="X525" s="288">
        <f t="shared" si="284"/>
        <v>490.81422358415267</v>
      </c>
      <c r="Y525" s="288">
        <f t="shared" si="256"/>
        <v>662.69502095839027</v>
      </c>
      <c r="AA525" s="89"/>
      <c r="AB525" s="89"/>
      <c r="AC525" s="89"/>
      <c r="AD525" s="89"/>
      <c r="AE525" s="89"/>
      <c r="AF525" s="89"/>
      <c r="AG525" s="89"/>
      <c r="AH525" s="89"/>
      <c r="AI525" s="89"/>
      <c r="AJ525" s="89"/>
      <c r="AK525" s="89"/>
      <c r="AL525" s="89"/>
      <c r="AM525" s="89"/>
      <c r="AN525" s="89"/>
      <c r="BR525" s="180">
        <v>2049</v>
      </c>
      <c r="BS525" s="22">
        <v>35</v>
      </c>
      <c r="BT525" s="289">
        <f t="shared" si="267"/>
        <v>325.95672236850675</v>
      </c>
      <c r="BU525" s="289">
        <f t="shared" si="268"/>
        <v>147.91341348817375</v>
      </c>
      <c r="BV525" s="205">
        <f t="shared" si="269"/>
        <v>473.87013585668046</v>
      </c>
      <c r="BY525" s="180">
        <v>2049</v>
      </c>
      <c r="BZ525" s="22">
        <v>35</v>
      </c>
      <c r="CA525" s="289">
        <f t="shared" ca="1" si="270"/>
        <v>-26.698674261518594</v>
      </c>
      <c r="CB525" s="289">
        <f t="shared" ca="1" si="271"/>
        <v>359.52077001155862</v>
      </c>
      <c r="CC525" s="289">
        <f t="shared" ca="1" si="282"/>
        <v>141.72368002672786</v>
      </c>
      <c r="CD525" s="205">
        <f t="shared" ca="1" si="272"/>
        <v>474.54577577676787</v>
      </c>
      <c r="CG525" s="180">
        <v>2049</v>
      </c>
      <c r="CH525" s="22">
        <v>35</v>
      </c>
      <c r="CI525" s="289">
        <f t="shared" ca="1" si="273"/>
        <v>20.989127492132042</v>
      </c>
      <c r="CJ525" s="289">
        <f t="shared" ca="1" si="274"/>
        <v>-66.278171818110579</v>
      </c>
      <c r="CK525" s="289">
        <f t="shared" ca="1" si="275"/>
        <v>378.23450474372765</v>
      </c>
      <c r="CL525" s="289">
        <f t="shared" ca="1" si="276"/>
        <v>140.38605455828448</v>
      </c>
      <c r="CM525" s="205">
        <f t="shared" ca="1" si="277"/>
        <v>473.33151497603365</v>
      </c>
      <c r="CP525" s="180">
        <v>2049</v>
      </c>
      <c r="CQ525" s="22">
        <v>35</v>
      </c>
      <c r="CR525" s="289">
        <f t="shared" ca="1" si="278"/>
        <v>169.29108306063685</v>
      </c>
      <c r="CS525" s="289">
        <f t="shared" ca="1" si="279"/>
        <v>2.8168534331587227</v>
      </c>
      <c r="CT525" s="205">
        <f t="shared" ca="1" si="280"/>
        <v>476.86816852251343</v>
      </c>
      <c r="CZ525" s="164" t="b">
        <f t="shared" si="257"/>
        <v>1</v>
      </c>
      <c r="DA525" s="165" t="b">
        <f t="shared" si="257"/>
        <v>1</v>
      </c>
      <c r="DB525" s="166" t="b">
        <f t="shared" si="257"/>
        <v>1</v>
      </c>
      <c r="DC525" s="164">
        <f t="shared" si="258"/>
        <v>37</v>
      </c>
      <c r="DD525" s="166">
        <f t="shared" si="259"/>
        <v>318.93342620991507</v>
      </c>
      <c r="DE525" s="164">
        <f t="shared" si="260"/>
        <v>37</v>
      </c>
      <c r="DF525" s="166">
        <f t="shared" si="261"/>
        <v>490.81422358415267</v>
      </c>
      <c r="DG525" s="164">
        <f t="shared" si="262"/>
        <v>37</v>
      </c>
      <c r="DH525" s="166">
        <f t="shared" si="263"/>
        <v>662.69502095839027</v>
      </c>
      <c r="DI525" s="164">
        <f>IFERROR(INDEX(DC$486:DC$534,_xlfn.AGGREGATE(15,6,(ROW(DC$486:DC$534)-ROW(DC$486)+1)/(DC$486:DC$534&lt;&gt;""),ROWS(DI$1:DI40))),"")</f>
        <v>37</v>
      </c>
      <c r="DJ525" s="165">
        <f>IFERROR(INDEX(DD$486:DD$534,_xlfn.AGGREGATE(15,6,(ROW(DD$486:DD$534)-ROW(DD$486)+1)/(DD$486:DD$534&lt;&gt;""),ROWS(DJ$1:DJ40))),"")</f>
        <v>318.93342620991507</v>
      </c>
      <c r="DK525" s="166">
        <f t="shared" si="264"/>
        <v>525</v>
      </c>
      <c r="DL525" s="164">
        <f>IFERROR(INDEX(DE$486:DE$534,_xlfn.AGGREGATE(15,6,(ROW(DE$486:DE$534)-ROW(DE$486)+1)/(DE$486:DE$534&lt;&gt;""),ROWS(DL$1:DL40))),"")</f>
        <v>37</v>
      </c>
      <c r="DM525" s="165">
        <f>IFERROR(INDEX(DF$486:DF$534,_xlfn.AGGREGATE(15,6,(ROW(DF$486:DF$534)-ROW(DF$486)+1)/(DF$486:DF$534&lt;&gt;""),ROWS(DM$1:DM40))),"")</f>
        <v>490.81422358415267</v>
      </c>
      <c r="DN525" s="166">
        <f t="shared" si="265"/>
        <v>525</v>
      </c>
      <c r="DO525" s="164">
        <f>IFERROR(INDEX(DG$486:DG$534,_xlfn.AGGREGATE(15,6,(ROW(DG$486:DG$534)-ROW(DG$486)+1)/(DG$486:DG$534&lt;&gt;""),ROWS(DO$1:DO40))),"")</f>
        <v>37</v>
      </c>
      <c r="DP525" s="165">
        <f>IFERROR(INDEX(DH$486:DH$534,_xlfn.AGGREGATE(15,6,(ROW(DH$486:DH$534)-ROW(DH$486)+1)/(DH$486:DH$534&lt;&gt;""),ROWS(DP$1:DP40))),"")</f>
        <v>662.69502095839027</v>
      </c>
      <c r="DQ525" s="166">
        <f t="shared" si="266"/>
        <v>525</v>
      </c>
      <c r="DR525" s="65"/>
      <c r="DV525" s="145">
        <v>2054</v>
      </c>
      <c r="DW525" s="235">
        <f t="shared" ca="1" si="250"/>
        <v>517.41736115011918</v>
      </c>
      <c r="EA525" s="55"/>
      <c r="EB525" s="55"/>
      <c r="EC525" s="55"/>
      <c r="ED525" s="55"/>
      <c r="EE525" s="55"/>
    </row>
    <row r="526" spans="2:135" ht="14.1" thickBot="1" x14ac:dyDescent="0.5">
      <c r="B526" s="128">
        <v>2052</v>
      </c>
      <c r="C526" s="951">
        <v>512.18357122349369</v>
      </c>
      <c r="D526" s="795">
        <v>781.25632602785356</v>
      </c>
      <c r="E526" s="292"/>
      <c r="F526" s="914"/>
      <c r="G526" s="919"/>
      <c r="H526" s="292"/>
      <c r="I526" s="1112">
        <v>384.16216216216264</v>
      </c>
      <c r="J526" s="1150">
        <v>321.22580645161287</v>
      </c>
      <c r="K526" s="919"/>
      <c r="L526" s="293"/>
      <c r="M526" s="292"/>
      <c r="N526" s="29" t="s">
        <v>119</v>
      </c>
      <c r="O526" s="120"/>
      <c r="P526" s="120"/>
      <c r="Q526" s="120"/>
      <c r="R526" s="29">
        <v>38</v>
      </c>
      <c r="S526" s="288">
        <f t="shared" si="251"/>
        <v>321.22580645161287</v>
      </c>
      <c r="T526" s="288">
        <f t="shared" si="252"/>
        <v>781.25632602785356</v>
      </c>
      <c r="U526" s="288">
        <f t="shared" si="253"/>
        <v>176.51617051821202</v>
      </c>
      <c r="W526" s="288">
        <f t="shared" si="254"/>
        <v>323.19079594806863</v>
      </c>
      <c r="X526" s="288">
        <f t="shared" si="284"/>
        <v>499.70696646628068</v>
      </c>
      <c r="Y526" s="288">
        <f t="shared" si="256"/>
        <v>676.22313698449273</v>
      </c>
      <c r="AA526" s="89"/>
      <c r="AB526" s="89"/>
      <c r="AC526" s="89"/>
      <c r="AD526" s="89"/>
      <c r="AE526" s="89"/>
      <c r="AF526" s="89"/>
      <c r="AG526" s="89"/>
      <c r="AH526" s="89"/>
      <c r="AI526" s="89"/>
      <c r="AJ526" s="89"/>
      <c r="AK526" s="89"/>
      <c r="AL526" s="89"/>
      <c r="AM526" s="89"/>
      <c r="AN526" s="89"/>
      <c r="BR526" s="180">
        <v>2050</v>
      </c>
      <c r="BS526" s="22">
        <v>36</v>
      </c>
      <c r="BT526" s="289">
        <f t="shared" si="267"/>
        <v>335.26977157903548</v>
      </c>
      <c r="BU526" s="289">
        <f t="shared" si="268"/>
        <v>147.91341348817375</v>
      </c>
      <c r="BV526" s="212">
        <f t="shared" si="269"/>
        <v>483.18318506720925</v>
      </c>
      <c r="BY526" s="180">
        <v>2050</v>
      </c>
      <c r="BZ526" s="22">
        <v>36</v>
      </c>
      <c r="CA526" s="289">
        <f t="shared" ca="1" si="270"/>
        <v>-28.246107626880079</v>
      </c>
      <c r="CB526" s="289">
        <f t="shared" ca="1" si="271"/>
        <v>369.79279201188888</v>
      </c>
      <c r="CC526" s="289">
        <f t="shared" ca="1" si="282"/>
        <v>141.72368002672786</v>
      </c>
      <c r="CD526" s="212">
        <f t="shared" ca="1" si="272"/>
        <v>483.27036441173664</v>
      </c>
      <c r="CG526" s="180">
        <v>2050</v>
      </c>
      <c r="CH526" s="22">
        <v>36</v>
      </c>
      <c r="CI526" s="289">
        <f t="shared" ca="1" si="273"/>
        <v>22.840087050097086</v>
      </c>
      <c r="CJ526" s="289">
        <f t="shared" ca="1" si="274"/>
        <v>-70.119600552058202</v>
      </c>
      <c r="CK526" s="289">
        <f t="shared" ca="1" si="275"/>
        <v>389.04120487926275</v>
      </c>
      <c r="CL526" s="289">
        <f t="shared" ca="1" si="276"/>
        <v>140.38605455828448</v>
      </c>
      <c r="CM526" s="212">
        <f t="shared" ca="1" si="277"/>
        <v>482.14774593558616</v>
      </c>
      <c r="CP526" s="180">
        <v>2050</v>
      </c>
      <c r="CQ526" s="22">
        <v>36</v>
      </c>
      <c r="CR526" s="289">
        <f t="shared" ca="1" si="278"/>
        <v>169.29108306063685</v>
      </c>
      <c r="CS526" s="289">
        <f t="shared" ca="1" si="279"/>
        <v>2.9014471044866901</v>
      </c>
      <c r="CT526" s="212">
        <f t="shared" ca="1" si="280"/>
        <v>491.18912276170056</v>
      </c>
      <c r="CZ526" s="164" t="b">
        <f t="shared" ref="CZ526:DB534" si="285">ISNUMBER(W526)</f>
        <v>1</v>
      </c>
      <c r="DA526" s="165" t="b">
        <f t="shared" si="285"/>
        <v>1</v>
      </c>
      <c r="DB526" s="166" t="b">
        <f t="shared" si="285"/>
        <v>1</v>
      </c>
      <c r="DC526" s="164">
        <f t="shared" si="258"/>
        <v>38</v>
      </c>
      <c r="DD526" s="166">
        <f t="shared" si="259"/>
        <v>323.19079594806863</v>
      </c>
      <c r="DE526" s="164">
        <f t="shared" si="260"/>
        <v>38</v>
      </c>
      <c r="DF526" s="166">
        <f t="shared" si="261"/>
        <v>499.70696646628068</v>
      </c>
      <c r="DG526" s="164">
        <f t="shared" si="262"/>
        <v>38</v>
      </c>
      <c r="DH526" s="166">
        <f t="shared" si="263"/>
        <v>676.22313698449273</v>
      </c>
      <c r="DI526" s="164">
        <f>IFERROR(INDEX(DC$486:DC$534,_xlfn.AGGREGATE(15,6,(ROW(DC$486:DC$534)-ROW(DC$486)+1)/(DC$486:DC$534&lt;&gt;""),ROWS(DI$1:DI41))),"")</f>
        <v>38</v>
      </c>
      <c r="DJ526" s="165">
        <f>IFERROR(INDEX(DD$486:DD$534,_xlfn.AGGREGATE(15,6,(ROW(DD$486:DD$534)-ROW(DD$486)+1)/(DD$486:DD$534&lt;&gt;""),ROWS(DJ$1:DJ41))),"")</f>
        <v>323.19079594806863</v>
      </c>
      <c r="DK526" s="166">
        <f t="shared" si="264"/>
        <v>526</v>
      </c>
      <c r="DL526" s="164">
        <f>IFERROR(INDEX(DE$486:DE$534,_xlfn.AGGREGATE(15,6,(ROW(DE$486:DE$534)-ROW(DE$486)+1)/(DE$486:DE$534&lt;&gt;""),ROWS(DL$1:DL41))),"")</f>
        <v>38</v>
      </c>
      <c r="DM526" s="165">
        <f>IFERROR(INDEX(DF$486:DF$534,_xlfn.AGGREGATE(15,6,(ROW(DF$486:DF$534)-ROW(DF$486)+1)/(DF$486:DF$534&lt;&gt;""),ROWS(DM$1:DM41))),"")</f>
        <v>499.70696646628068</v>
      </c>
      <c r="DN526" s="166">
        <f t="shared" si="265"/>
        <v>526</v>
      </c>
      <c r="DO526" s="164">
        <f>IFERROR(INDEX(DG$486:DG$534,_xlfn.AGGREGATE(15,6,(ROW(DG$486:DG$534)-ROW(DG$486)+1)/(DG$486:DG$534&lt;&gt;""),ROWS(DO$1:DO41))),"")</f>
        <v>38</v>
      </c>
      <c r="DP526" s="165">
        <f>IFERROR(INDEX(DH$486:DH$534,_xlfn.AGGREGATE(15,6,(ROW(DH$486:DH$534)-ROW(DH$486)+1)/(DH$486:DH$534&lt;&gt;""),ROWS(DP$1:DP41))),"")</f>
        <v>676.22313698449273</v>
      </c>
      <c r="DQ526" s="166">
        <f t="shared" si="266"/>
        <v>526</v>
      </c>
      <c r="DR526" s="65"/>
      <c r="DV526" s="145">
        <v>2055</v>
      </c>
      <c r="DW526" s="235">
        <f t="shared" ca="1" si="250"/>
        <v>526.25062406779864</v>
      </c>
      <c r="EA526" s="55"/>
      <c r="EB526" s="55"/>
      <c r="EC526" s="55"/>
      <c r="ED526" s="55"/>
      <c r="EE526" s="55"/>
    </row>
    <row r="527" spans="2:135" ht="13.8" x14ac:dyDescent="0.45">
      <c r="B527" s="128">
        <v>2053</v>
      </c>
      <c r="C527" s="951">
        <v>519.52198388981117</v>
      </c>
      <c r="D527" s="795">
        <v>798.16264251864425</v>
      </c>
      <c r="E527" s="292"/>
      <c r="F527" s="914"/>
      <c r="G527" s="919"/>
      <c r="H527" s="292"/>
      <c r="I527" s="1112">
        <v>391.24324324324368</v>
      </c>
      <c r="J527" s="1150">
        <v>325.47096774193545</v>
      </c>
      <c r="K527" s="919"/>
      <c r="L527" s="293"/>
      <c r="M527" s="292"/>
      <c r="N527" s="29" t="s">
        <v>119</v>
      </c>
      <c r="O527" s="120"/>
      <c r="P527" s="120"/>
      <c r="Q527" s="120"/>
      <c r="R527" s="29">
        <v>39</v>
      </c>
      <c r="S527" s="288">
        <f t="shared" si="251"/>
        <v>325.47096774193545</v>
      </c>
      <c r="T527" s="288">
        <f t="shared" si="252"/>
        <v>798.16264251864425</v>
      </c>
      <c r="U527" s="288">
        <f t="shared" si="253"/>
        <v>181.15922864042238</v>
      </c>
      <c r="W527" s="288">
        <f t="shared" si="254"/>
        <v>327.44048070798624</v>
      </c>
      <c r="X527" s="288">
        <f t="shared" si="284"/>
        <v>508.59970934840862</v>
      </c>
      <c r="Y527" s="288">
        <f t="shared" si="256"/>
        <v>689.75893798883101</v>
      </c>
      <c r="AA527" s="89"/>
      <c r="AB527" s="89"/>
      <c r="AC527" s="89"/>
      <c r="AD527" s="89"/>
      <c r="AE527" s="89"/>
      <c r="AF527" s="89"/>
      <c r="AG527" s="89"/>
      <c r="AH527" s="89"/>
      <c r="AI527" s="89"/>
      <c r="AJ527" s="89"/>
      <c r="AK527" s="89"/>
      <c r="AL527" s="89"/>
      <c r="AM527" s="89"/>
      <c r="AN527" s="89"/>
      <c r="BR527" s="180">
        <v>2051</v>
      </c>
      <c r="BS527" s="22">
        <v>37</v>
      </c>
      <c r="BT527" s="289">
        <f t="shared" si="267"/>
        <v>344.58282078956427</v>
      </c>
      <c r="BU527" s="289">
        <f t="shared" si="268"/>
        <v>147.91341348817375</v>
      </c>
      <c r="BV527" s="285">
        <f t="shared" si="269"/>
        <v>492.49623427773804</v>
      </c>
      <c r="BY527" s="180">
        <v>2051</v>
      </c>
      <c r="BZ527" s="22">
        <v>37</v>
      </c>
      <c r="CA527" s="289">
        <f t="shared" ca="1" si="270"/>
        <v>-29.837130664505267</v>
      </c>
      <c r="CB527" s="289">
        <f t="shared" ca="1" si="271"/>
        <v>380.06481401221907</v>
      </c>
      <c r="CC527" s="289">
        <f t="shared" ca="1" si="282"/>
        <v>141.72368002672786</v>
      </c>
      <c r="CD527" s="285">
        <f t="shared" ca="1" si="272"/>
        <v>491.95136337444171</v>
      </c>
      <c r="CG527" s="180">
        <v>2051</v>
      </c>
      <c r="CH527" s="22">
        <v>37</v>
      </c>
      <c r="CI527" s="289">
        <f t="shared" ca="1" si="273"/>
        <v>24.79678775181258</v>
      </c>
      <c r="CJ527" s="289">
        <f t="shared" ca="1" si="274"/>
        <v>-74.069238546117049</v>
      </c>
      <c r="CK527" s="289">
        <f t="shared" ca="1" si="275"/>
        <v>399.84790501479779</v>
      </c>
      <c r="CL527" s="289">
        <f t="shared" ca="1" si="276"/>
        <v>140.38605455828448</v>
      </c>
      <c r="CM527" s="285">
        <f t="shared" ca="1" si="277"/>
        <v>490.96150877877778</v>
      </c>
      <c r="CP527" s="180">
        <v>2051</v>
      </c>
      <c r="CQ527" s="22">
        <v>37</v>
      </c>
      <c r="CR527" s="289">
        <f t="shared" ca="1" si="278"/>
        <v>169.29108306063685</v>
      </c>
      <c r="CS527" s="289">
        <f t="shared" ca="1" si="279"/>
        <v>2.9885812307579309</v>
      </c>
      <c r="CT527" s="285">
        <f t="shared" ca="1" si="280"/>
        <v>505.94015336970119</v>
      </c>
      <c r="CZ527" s="164" t="b">
        <f t="shared" si="285"/>
        <v>1</v>
      </c>
      <c r="DA527" s="165" t="b">
        <f t="shared" si="285"/>
        <v>1</v>
      </c>
      <c r="DB527" s="166" t="b">
        <f t="shared" si="285"/>
        <v>1</v>
      </c>
      <c r="DC527" s="164">
        <f t="shared" si="258"/>
        <v>39</v>
      </c>
      <c r="DD527" s="166">
        <f t="shared" si="259"/>
        <v>327.44048070798624</v>
      </c>
      <c r="DE527" s="164">
        <f t="shared" si="260"/>
        <v>39</v>
      </c>
      <c r="DF527" s="166">
        <f t="shared" si="261"/>
        <v>508.59970934840862</v>
      </c>
      <c r="DG527" s="164">
        <f t="shared" si="262"/>
        <v>39</v>
      </c>
      <c r="DH527" s="166">
        <f t="shared" si="263"/>
        <v>689.75893798883101</v>
      </c>
      <c r="DI527" s="164">
        <f>IFERROR(INDEX(DC$486:DC$534,_xlfn.AGGREGATE(15,6,(ROW(DC$486:DC$534)-ROW(DC$486)+1)/(DC$486:DC$534&lt;&gt;""),ROWS(DI$1:DI42))),"")</f>
        <v>39</v>
      </c>
      <c r="DJ527" s="165">
        <f>IFERROR(INDEX(DD$486:DD$534,_xlfn.AGGREGATE(15,6,(ROW(DD$486:DD$534)-ROW(DD$486)+1)/(DD$486:DD$534&lt;&gt;""),ROWS(DJ$1:DJ42))),"")</f>
        <v>327.44048070798624</v>
      </c>
      <c r="DK527" s="166">
        <f t="shared" si="264"/>
        <v>527</v>
      </c>
      <c r="DL527" s="164">
        <f>IFERROR(INDEX(DE$486:DE$534,_xlfn.AGGREGATE(15,6,(ROW(DE$486:DE$534)-ROW(DE$486)+1)/(DE$486:DE$534&lt;&gt;""),ROWS(DL$1:DL42))),"")</f>
        <v>39</v>
      </c>
      <c r="DM527" s="165">
        <f>IFERROR(INDEX(DF$486:DF$534,_xlfn.AGGREGATE(15,6,(ROW(DF$486:DF$534)-ROW(DF$486)+1)/(DF$486:DF$534&lt;&gt;""),ROWS(DM$1:DM42))),"")</f>
        <v>508.59970934840862</v>
      </c>
      <c r="DN527" s="166">
        <f t="shared" si="265"/>
        <v>527</v>
      </c>
      <c r="DO527" s="164">
        <f>IFERROR(INDEX(DG$486:DG$534,_xlfn.AGGREGATE(15,6,(ROW(DG$486:DG$534)-ROW(DG$486)+1)/(DG$486:DG$534&lt;&gt;""),ROWS(DO$1:DO42))),"")</f>
        <v>39</v>
      </c>
      <c r="DP527" s="165">
        <f>IFERROR(INDEX(DH$486:DH$534,_xlfn.AGGREGATE(15,6,(ROW(DH$486:DH$534)-ROW(DH$486)+1)/(DH$486:DH$534&lt;&gt;""),ROWS(DP$1:DP42))),"")</f>
        <v>689.75893798883101</v>
      </c>
      <c r="DQ527" s="166">
        <f t="shared" si="266"/>
        <v>527</v>
      </c>
      <c r="DR527" s="65"/>
      <c r="DV527" s="145">
        <v>2056</v>
      </c>
      <c r="DW527" s="235">
        <f t="shared" ca="1" si="250"/>
        <v>535.09610513908262</v>
      </c>
      <c r="EA527" s="55"/>
      <c r="EB527" s="55"/>
      <c r="EC527" s="55"/>
      <c r="ED527" s="55"/>
      <c r="EE527" s="55"/>
    </row>
    <row r="528" spans="2:135" ht="13.8" x14ac:dyDescent="0.45">
      <c r="B528" s="128">
        <v>2054</v>
      </c>
      <c r="C528" s="951">
        <v>526.86039655612865</v>
      </c>
      <c r="D528" s="795">
        <v>815.06895900943493</v>
      </c>
      <c r="E528" s="292"/>
      <c r="F528" s="914"/>
      <c r="G528" s="919"/>
      <c r="H528" s="292"/>
      <c r="I528" s="1112">
        <v>398.32432432432483</v>
      </c>
      <c r="J528" s="1150">
        <v>329.71612903225804</v>
      </c>
      <c r="K528" s="919"/>
      <c r="L528" s="293"/>
      <c r="M528" s="292"/>
      <c r="N528" s="29" t="s">
        <v>119</v>
      </c>
      <c r="O528" s="120"/>
      <c r="P528" s="120"/>
      <c r="Q528" s="120"/>
      <c r="R528" s="29">
        <v>40</v>
      </c>
      <c r="S528" s="288">
        <f t="shared" si="251"/>
        <v>329.71612903225804</v>
      </c>
      <c r="T528" s="288">
        <f t="shared" si="252"/>
        <v>815.06895900943493</v>
      </c>
      <c r="U528" s="288">
        <f t="shared" si="253"/>
        <v>185.80939563848398</v>
      </c>
      <c r="W528" s="288">
        <f t="shared" si="254"/>
        <v>331.68305659205265</v>
      </c>
      <c r="X528" s="288">
        <f t="shared" si="284"/>
        <v>517.49245223053663</v>
      </c>
      <c r="Y528" s="288">
        <f t="shared" si="256"/>
        <v>703.30184786902055</v>
      </c>
      <c r="AA528" s="89"/>
      <c r="AB528" s="89"/>
      <c r="AC528" s="89"/>
      <c r="AD528" s="89"/>
      <c r="AE528" s="89"/>
      <c r="AF528" s="89"/>
      <c r="AG528" s="89"/>
      <c r="AH528" s="89"/>
      <c r="AI528" s="89"/>
      <c r="AJ528" s="89"/>
      <c r="AK528" s="89"/>
      <c r="AL528" s="89"/>
      <c r="AM528" s="89"/>
      <c r="AN528" s="89"/>
      <c r="BR528" s="180">
        <v>2052</v>
      </c>
      <c r="BS528" s="22">
        <v>38</v>
      </c>
      <c r="BT528" s="289">
        <f t="shared" si="267"/>
        <v>353.895870000093</v>
      </c>
      <c r="BU528" s="289">
        <f t="shared" si="268"/>
        <v>147.91341348817375</v>
      </c>
      <c r="BV528" s="299">
        <f t="shared" si="269"/>
        <v>501.80928348826671</v>
      </c>
      <c r="BY528" s="180">
        <v>2052</v>
      </c>
      <c r="BZ528" s="22">
        <v>38</v>
      </c>
      <c r="CA528" s="289">
        <f t="shared" ca="1" si="270"/>
        <v>-31.471743374394162</v>
      </c>
      <c r="CB528" s="289">
        <f t="shared" ca="1" si="271"/>
        <v>390.33683601254933</v>
      </c>
      <c r="CC528" s="289">
        <f t="shared" ca="1" si="282"/>
        <v>141.72368002672786</v>
      </c>
      <c r="CD528" s="299">
        <f t="shared" ca="1" si="272"/>
        <v>500.58877266488298</v>
      </c>
      <c r="CG528" s="180">
        <v>2052</v>
      </c>
      <c r="CH528" s="22">
        <v>38</v>
      </c>
      <c r="CI528" s="289">
        <f t="shared" ca="1" si="273"/>
        <v>26.862166851271589</v>
      </c>
      <c r="CJ528" s="289">
        <f t="shared" ca="1" si="274"/>
        <v>-78.127085800287077</v>
      </c>
      <c r="CK528" s="289">
        <f t="shared" ca="1" si="275"/>
        <v>410.65460515033288</v>
      </c>
      <c r="CL528" s="289">
        <f t="shared" ca="1" si="276"/>
        <v>140.38605455828448</v>
      </c>
      <c r="CM528" s="299">
        <f t="shared" ca="1" si="277"/>
        <v>499.77574075960183</v>
      </c>
      <c r="CP528" s="180">
        <v>2052</v>
      </c>
      <c r="CQ528" s="22">
        <v>38</v>
      </c>
      <c r="CR528" s="289">
        <f t="shared" ca="1" si="278"/>
        <v>169.29108306063685</v>
      </c>
      <c r="CS528" s="289">
        <f t="shared" ca="1" si="279"/>
        <v>3.0783321050475352</v>
      </c>
      <c r="CT528" s="299">
        <f t="shared" ca="1" si="280"/>
        <v>521.13417608382736</v>
      </c>
      <c r="CZ528" s="164" t="b">
        <f t="shared" si="285"/>
        <v>1</v>
      </c>
      <c r="DA528" s="165" t="b">
        <f t="shared" si="285"/>
        <v>1</v>
      </c>
      <c r="DB528" s="166" t="b">
        <f t="shared" si="285"/>
        <v>1</v>
      </c>
      <c r="DC528" s="164">
        <f t="shared" si="258"/>
        <v>40</v>
      </c>
      <c r="DD528" s="166">
        <f t="shared" si="259"/>
        <v>331.68305659205265</v>
      </c>
      <c r="DE528" s="164">
        <f t="shared" si="260"/>
        <v>40</v>
      </c>
      <c r="DF528" s="166">
        <f t="shared" si="261"/>
        <v>517.49245223053663</v>
      </c>
      <c r="DG528" s="164">
        <f t="shared" si="262"/>
        <v>40</v>
      </c>
      <c r="DH528" s="166">
        <f t="shared" si="263"/>
        <v>703.30184786902055</v>
      </c>
      <c r="DI528" s="164">
        <f>IFERROR(INDEX(DC$486:DC$534,_xlfn.AGGREGATE(15,6,(ROW(DC$486:DC$534)-ROW(DC$486)+1)/(DC$486:DC$534&lt;&gt;""),ROWS(DI$1:DI43))),"")</f>
        <v>40</v>
      </c>
      <c r="DJ528" s="165">
        <f>IFERROR(INDEX(DD$486:DD$534,_xlfn.AGGREGATE(15,6,(ROW(DD$486:DD$534)-ROW(DD$486)+1)/(DD$486:DD$534&lt;&gt;""),ROWS(DJ$1:DJ43))),"")</f>
        <v>331.68305659205265</v>
      </c>
      <c r="DK528" s="166">
        <f t="shared" si="264"/>
        <v>528</v>
      </c>
      <c r="DL528" s="164">
        <f>IFERROR(INDEX(DE$486:DE$534,_xlfn.AGGREGATE(15,6,(ROW(DE$486:DE$534)-ROW(DE$486)+1)/(DE$486:DE$534&lt;&gt;""),ROWS(DL$1:DL43))),"")</f>
        <v>40</v>
      </c>
      <c r="DM528" s="165">
        <f>IFERROR(INDEX(DF$486:DF$534,_xlfn.AGGREGATE(15,6,(ROW(DF$486:DF$534)-ROW(DF$486)+1)/(DF$486:DF$534&lt;&gt;""),ROWS(DM$1:DM43))),"")</f>
        <v>517.49245223053663</v>
      </c>
      <c r="DN528" s="166">
        <f t="shared" si="265"/>
        <v>528</v>
      </c>
      <c r="DO528" s="164">
        <f>IFERROR(INDEX(DG$486:DG$534,_xlfn.AGGREGATE(15,6,(ROW(DG$486:DG$534)-ROW(DG$486)+1)/(DG$486:DG$534&lt;&gt;""),ROWS(DO$1:DO43))),"")</f>
        <v>40</v>
      </c>
      <c r="DP528" s="165">
        <f>IFERROR(INDEX(DH$486:DH$534,_xlfn.AGGREGATE(15,6,(ROW(DH$486:DH$534)-ROW(DH$486)+1)/(DH$486:DH$534&lt;&gt;""),ROWS(DP$1:DP43))),"")</f>
        <v>703.30184786902055</v>
      </c>
      <c r="DQ528" s="166">
        <f t="shared" si="266"/>
        <v>528</v>
      </c>
      <c r="DR528" s="65"/>
      <c r="DV528" s="145">
        <v>2057</v>
      </c>
      <c r="DW528" s="235">
        <f t="shared" ca="1" si="250"/>
        <v>543.95674161796421</v>
      </c>
      <c r="EA528" s="55"/>
      <c r="EB528" s="55"/>
      <c r="EC528" s="55"/>
      <c r="ED528" s="55"/>
      <c r="EE528" s="55"/>
    </row>
    <row r="529" spans="1:135" ht="13.8" x14ac:dyDescent="0.45">
      <c r="B529" s="128">
        <v>2055</v>
      </c>
      <c r="C529" s="951">
        <v>534.19880922244613</v>
      </c>
      <c r="D529" s="795">
        <v>831.97527550022562</v>
      </c>
      <c r="E529" s="292"/>
      <c r="F529" s="914"/>
      <c r="G529" s="919"/>
      <c r="H529" s="292"/>
      <c r="I529" s="1112">
        <v>405.40540540540587</v>
      </c>
      <c r="J529" s="1150">
        <v>333.96129032258062</v>
      </c>
      <c r="K529" s="919"/>
      <c r="L529" s="293"/>
      <c r="M529" s="292"/>
      <c r="N529" s="29" t="s">
        <v>119</v>
      </c>
      <c r="O529" s="120"/>
      <c r="P529" s="120"/>
      <c r="Q529" s="120"/>
      <c r="R529" s="29">
        <v>41</v>
      </c>
      <c r="S529" s="288">
        <f t="shared" si="251"/>
        <v>333.96129032258062</v>
      </c>
      <c r="T529" s="288">
        <f t="shared" si="252"/>
        <v>831.97527550022562</v>
      </c>
      <c r="U529" s="288">
        <f t="shared" si="253"/>
        <v>190.46615083067147</v>
      </c>
      <c r="W529" s="288">
        <f t="shared" si="254"/>
        <v>335.91904428199302</v>
      </c>
      <c r="X529" s="288">
        <f t="shared" si="284"/>
        <v>526.38519511266452</v>
      </c>
      <c r="Y529" s="288">
        <f t="shared" si="256"/>
        <v>716.85134594333601</v>
      </c>
      <c r="AA529" s="89"/>
      <c r="AB529" s="89"/>
      <c r="AC529" s="89"/>
      <c r="AD529" s="89"/>
      <c r="AE529" s="89"/>
      <c r="AF529" s="89"/>
      <c r="AG529" s="89"/>
      <c r="AH529" s="89"/>
      <c r="AI529" s="89"/>
      <c r="AJ529" s="89"/>
      <c r="AK529" s="89"/>
      <c r="AL529" s="89"/>
      <c r="AM529" s="89"/>
      <c r="AN529" s="89"/>
      <c r="BR529" s="180">
        <v>2053</v>
      </c>
      <c r="BS529" s="22">
        <v>39</v>
      </c>
      <c r="BT529" s="289">
        <f t="shared" si="267"/>
        <v>363.20891921062179</v>
      </c>
      <c r="BU529" s="289">
        <f t="shared" si="268"/>
        <v>147.91341348817375</v>
      </c>
      <c r="BV529" s="299">
        <f t="shared" si="269"/>
        <v>511.1223326987955</v>
      </c>
      <c r="BY529" s="180">
        <v>2053</v>
      </c>
      <c r="BZ529" s="22">
        <v>39</v>
      </c>
      <c r="CA529" s="289">
        <f t="shared" ca="1" si="270"/>
        <v>-33.149945756546757</v>
      </c>
      <c r="CB529" s="289">
        <f t="shared" ca="1" si="271"/>
        <v>400.60885801287958</v>
      </c>
      <c r="CC529" s="289">
        <f t="shared" ca="1" si="282"/>
        <v>141.72368002672786</v>
      </c>
      <c r="CD529" s="299">
        <f t="shared" ca="1" si="272"/>
        <v>509.18259228306067</v>
      </c>
      <c r="CG529" s="180">
        <v>2053</v>
      </c>
      <c r="CH529" s="22">
        <v>39</v>
      </c>
      <c r="CI529" s="289">
        <f t="shared" ca="1" si="273"/>
        <v>29.039161602467185</v>
      </c>
      <c r="CJ529" s="289">
        <f t="shared" ca="1" si="274"/>
        <v>-82.293142314568314</v>
      </c>
      <c r="CK529" s="289">
        <f t="shared" ca="1" si="275"/>
        <v>421.46130528586798</v>
      </c>
      <c r="CL529" s="289">
        <f t="shared" ca="1" si="276"/>
        <v>140.38605455828448</v>
      </c>
      <c r="CM529" s="299">
        <f t="shared" ca="1" si="277"/>
        <v>508.59337913205138</v>
      </c>
      <c r="CP529" s="180">
        <v>2053</v>
      </c>
      <c r="CQ529" s="22">
        <v>39</v>
      </c>
      <c r="CR529" s="289">
        <f t="shared" ca="1" si="278"/>
        <v>169.29108306063685</v>
      </c>
      <c r="CS529" s="289">
        <f t="shared" ca="1" si="279"/>
        <v>3.1707783116081334</v>
      </c>
      <c r="CT529" s="299">
        <f t="shared" ca="1" si="280"/>
        <v>536.78449451731842</v>
      </c>
      <c r="CZ529" s="164" t="b">
        <f t="shared" si="285"/>
        <v>1</v>
      </c>
      <c r="DA529" s="165" t="b">
        <f t="shared" si="285"/>
        <v>1</v>
      </c>
      <c r="DB529" s="166" t="b">
        <f t="shared" si="285"/>
        <v>1</v>
      </c>
      <c r="DC529" s="164">
        <f t="shared" si="258"/>
        <v>41</v>
      </c>
      <c r="DD529" s="166">
        <f t="shared" si="259"/>
        <v>335.91904428199302</v>
      </c>
      <c r="DE529" s="164">
        <f t="shared" si="260"/>
        <v>41</v>
      </c>
      <c r="DF529" s="166">
        <f t="shared" si="261"/>
        <v>526.38519511266452</v>
      </c>
      <c r="DG529" s="164">
        <f t="shared" si="262"/>
        <v>41</v>
      </c>
      <c r="DH529" s="166">
        <f t="shared" si="263"/>
        <v>716.85134594333601</v>
      </c>
      <c r="DI529" s="164">
        <f>IFERROR(INDEX(DC$486:DC$534,_xlfn.AGGREGATE(15,6,(ROW(DC$486:DC$534)-ROW(DC$486)+1)/(DC$486:DC$534&lt;&gt;""),ROWS(DI$1:DI44))),"")</f>
        <v>41</v>
      </c>
      <c r="DJ529" s="165">
        <f>IFERROR(INDEX(DD$486:DD$534,_xlfn.AGGREGATE(15,6,(ROW(DD$486:DD$534)-ROW(DD$486)+1)/(DD$486:DD$534&lt;&gt;""),ROWS(DJ$1:DJ44))),"")</f>
        <v>335.91904428199302</v>
      </c>
      <c r="DK529" s="166">
        <f t="shared" si="264"/>
        <v>529</v>
      </c>
      <c r="DL529" s="164">
        <f>IFERROR(INDEX(DE$486:DE$534,_xlfn.AGGREGATE(15,6,(ROW(DE$486:DE$534)-ROW(DE$486)+1)/(DE$486:DE$534&lt;&gt;""),ROWS(DL$1:DL44))),"")</f>
        <v>41</v>
      </c>
      <c r="DM529" s="165">
        <f>IFERROR(INDEX(DF$486:DF$534,_xlfn.AGGREGATE(15,6,(ROW(DF$486:DF$534)-ROW(DF$486)+1)/(DF$486:DF$534&lt;&gt;""),ROWS(DM$1:DM44))),"")</f>
        <v>526.38519511266452</v>
      </c>
      <c r="DN529" s="166">
        <f t="shared" si="265"/>
        <v>529</v>
      </c>
      <c r="DO529" s="164">
        <f>IFERROR(INDEX(DG$486:DG$534,_xlfn.AGGREGATE(15,6,(ROW(DG$486:DG$534)-ROW(DG$486)+1)/(DG$486:DG$534&lt;&gt;""),ROWS(DO$1:DO44))),"")</f>
        <v>41</v>
      </c>
      <c r="DP529" s="165">
        <f>IFERROR(INDEX(DH$486:DH$534,_xlfn.AGGREGATE(15,6,(ROW(DH$486:DH$534)-ROW(DH$486)+1)/(DH$486:DH$534&lt;&gt;""),ROWS(DP$1:DP44))),"")</f>
        <v>716.85134594333601</v>
      </c>
      <c r="DQ529" s="166">
        <f t="shared" si="266"/>
        <v>529</v>
      </c>
      <c r="DR529" s="65"/>
      <c r="DV529" s="145">
        <v>2058</v>
      </c>
      <c r="DW529" s="235">
        <f t="shared" ca="1" si="250"/>
        <v>552.8354707584366</v>
      </c>
      <c r="EA529" s="55"/>
      <c r="EB529" s="55"/>
      <c r="EC529" s="55"/>
      <c r="ED529" s="55"/>
      <c r="EE529" s="55"/>
    </row>
    <row r="530" spans="1:135" ht="13.8" x14ac:dyDescent="0.45">
      <c r="B530" s="128">
        <v>2056</v>
      </c>
      <c r="C530" s="951">
        <v>541.53722188876361</v>
      </c>
      <c r="D530" s="795">
        <v>848.88159199101631</v>
      </c>
      <c r="E530" s="292"/>
      <c r="F530" s="914"/>
      <c r="G530" s="919"/>
      <c r="H530" s="292"/>
      <c r="I530" s="1112">
        <v>412.48648648648702</v>
      </c>
      <c r="J530" s="1150">
        <v>338.20645161290315</v>
      </c>
      <c r="K530" s="919"/>
      <c r="L530" s="293"/>
      <c r="M530" s="292"/>
      <c r="N530" s="29" t="s">
        <v>119</v>
      </c>
      <c r="O530" s="120"/>
      <c r="P530" s="120"/>
      <c r="Q530" s="120"/>
      <c r="R530" s="29">
        <v>42</v>
      </c>
      <c r="S530" s="288">
        <f t="shared" si="251"/>
        <v>338.20645161290315</v>
      </c>
      <c r="T530" s="288">
        <f t="shared" si="252"/>
        <v>848.88159199101631</v>
      </c>
      <c r="U530" s="288">
        <f t="shared" si="253"/>
        <v>195.12902253568811</v>
      </c>
      <c r="W530" s="288">
        <f t="shared" si="254"/>
        <v>340.14891545910439</v>
      </c>
      <c r="X530" s="288">
        <f t="shared" si="284"/>
        <v>535.27793799479252</v>
      </c>
      <c r="Y530" s="288">
        <f t="shared" si="256"/>
        <v>730.40696053048066</v>
      </c>
      <c r="AA530" s="89"/>
      <c r="AB530" s="89"/>
      <c r="AC530" s="89"/>
      <c r="AD530" s="89"/>
      <c r="AE530" s="89"/>
      <c r="AF530" s="89"/>
      <c r="AG530" s="89"/>
      <c r="AH530" s="89"/>
      <c r="AI530" s="89"/>
      <c r="AJ530" s="89"/>
      <c r="AK530" s="89"/>
      <c r="AL530" s="89"/>
      <c r="AM530" s="89"/>
      <c r="AN530" s="89"/>
      <c r="BR530" s="180">
        <v>2054</v>
      </c>
      <c r="BS530" s="22">
        <v>40</v>
      </c>
      <c r="BT530" s="289">
        <f t="shared" si="267"/>
        <v>372.52196842115052</v>
      </c>
      <c r="BU530" s="289">
        <f t="shared" si="268"/>
        <v>147.91341348817375</v>
      </c>
      <c r="BV530" s="299">
        <f t="shared" si="269"/>
        <v>520.43538190932429</v>
      </c>
      <c r="BY530" s="180">
        <v>2054</v>
      </c>
      <c r="BZ530" s="22">
        <v>40</v>
      </c>
      <c r="CA530" s="289">
        <f t="shared" ca="1" si="270"/>
        <v>-34.871737810963062</v>
      </c>
      <c r="CB530" s="289">
        <f t="shared" ca="1" si="271"/>
        <v>410.88088001320983</v>
      </c>
      <c r="CC530" s="289">
        <f t="shared" ca="1" si="282"/>
        <v>141.72368002672786</v>
      </c>
      <c r="CD530" s="299">
        <f t="shared" ca="1" si="272"/>
        <v>517.73282222897467</v>
      </c>
      <c r="CG530" s="180">
        <v>2054</v>
      </c>
      <c r="CH530" s="22">
        <v>40</v>
      </c>
      <c r="CI530" s="289">
        <f t="shared" ca="1" si="273"/>
        <v>31.330709259392435</v>
      </c>
      <c r="CJ530" s="289">
        <f t="shared" ca="1" si="274"/>
        <v>-86.567408088960747</v>
      </c>
      <c r="CK530" s="289">
        <f t="shared" ca="1" si="275"/>
        <v>432.26800542140302</v>
      </c>
      <c r="CL530" s="289">
        <f t="shared" ca="1" si="276"/>
        <v>140.38605455828448</v>
      </c>
      <c r="CM530" s="299">
        <f t="shared" ca="1" si="277"/>
        <v>517.41736115011918</v>
      </c>
      <c r="CP530" s="180">
        <v>2054</v>
      </c>
      <c r="CQ530" s="22">
        <v>40</v>
      </c>
      <c r="CR530" s="289">
        <f t="shared" ca="1" si="278"/>
        <v>169.29108306063685</v>
      </c>
      <c r="CS530" s="289">
        <f t="shared" ca="1" si="279"/>
        <v>3.2660007946768546</v>
      </c>
      <c r="CT530" s="299">
        <f t="shared" ca="1" si="280"/>
        <v>552.90481180774532</v>
      </c>
      <c r="CZ530" s="164" t="b">
        <f t="shared" si="285"/>
        <v>1</v>
      </c>
      <c r="DA530" s="165" t="b">
        <f t="shared" si="285"/>
        <v>1</v>
      </c>
      <c r="DB530" s="166" t="b">
        <f t="shared" si="285"/>
        <v>1</v>
      </c>
      <c r="DC530" s="164">
        <f t="shared" si="258"/>
        <v>42</v>
      </c>
      <c r="DD530" s="166">
        <f t="shared" si="259"/>
        <v>340.14891545910439</v>
      </c>
      <c r="DE530" s="164">
        <f t="shared" si="260"/>
        <v>42</v>
      </c>
      <c r="DF530" s="166">
        <f t="shared" si="261"/>
        <v>535.27793799479252</v>
      </c>
      <c r="DG530" s="164">
        <f t="shared" si="262"/>
        <v>42</v>
      </c>
      <c r="DH530" s="166">
        <f t="shared" si="263"/>
        <v>730.40696053048066</v>
      </c>
      <c r="DI530" s="164">
        <f>IFERROR(INDEX(DC$486:DC$534,_xlfn.AGGREGATE(15,6,(ROW(DC$486:DC$534)-ROW(DC$486)+1)/(DC$486:DC$534&lt;&gt;""),ROWS(DI$1:DI45))),"")</f>
        <v>42</v>
      </c>
      <c r="DJ530" s="165">
        <f>IFERROR(INDEX(DD$486:DD$534,_xlfn.AGGREGATE(15,6,(ROW(DD$486:DD$534)-ROW(DD$486)+1)/(DD$486:DD$534&lt;&gt;""),ROWS(DJ$1:DJ45))),"")</f>
        <v>340.14891545910439</v>
      </c>
      <c r="DK530" s="166">
        <f t="shared" si="264"/>
        <v>530</v>
      </c>
      <c r="DL530" s="164">
        <f>IFERROR(INDEX(DE$486:DE$534,_xlfn.AGGREGATE(15,6,(ROW(DE$486:DE$534)-ROW(DE$486)+1)/(DE$486:DE$534&lt;&gt;""),ROWS(DL$1:DL45))),"")</f>
        <v>42</v>
      </c>
      <c r="DM530" s="165">
        <f>IFERROR(INDEX(DF$486:DF$534,_xlfn.AGGREGATE(15,6,(ROW(DF$486:DF$534)-ROW(DF$486)+1)/(DF$486:DF$534&lt;&gt;""),ROWS(DM$1:DM45))),"")</f>
        <v>535.27793799479252</v>
      </c>
      <c r="DN530" s="166">
        <f t="shared" si="265"/>
        <v>530</v>
      </c>
      <c r="DO530" s="164">
        <f>IFERROR(INDEX(DG$486:DG$534,_xlfn.AGGREGATE(15,6,(ROW(DG$486:DG$534)-ROW(DG$486)+1)/(DG$486:DG$534&lt;&gt;""),ROWS(DO$1:DO45))),"")</f>
        <v>42</v>
      </c>
      <c r="DP530" s="165">
        <f>IFERROR(INDEX(DH$486:DH$534,_xlfn.AGGREGATE(15,6,(ROW(DH$486:DH$534)-ROW(DH$486)+1)/(DH$486:DH$534&lt;&gt;""),ROWS(DP$1:DP45))),"")</f>
        <v>730.40696053048066</v>
      </c>
      <c r="DQ530" s="166">
        <f t="shared" si="266"/>
        <v>530</v>
      </c>
      <c r="DR530" s="65"/>
      <c r="DV530" s="145">
        <v>2059</v>
      </c>
      <c r="DW530" s="235">
        <f t="shared" ca="1" si="250"/>
        <v>561.73522981449287</v>
      </c>
      <c r="EA530" s="55"/>
      <c r="EB530" s="55"/>
      <c r="EC530" s="55"/>
      <c r="ED530" s="55"/>
      <c r="EE530" s="55"/>
    </row>
    <row r="531" spans="1:135" ht="13.8" x14ac:dyDescent="0.45">
      <c r="B531" s="128">
        <v>2057</v>
      </c>
      <c r="C531" s="951">
        <v>548.87563455508121</v>
      </c>
      <c r="D531" s="795">
        <v>865.78790848180699</v>
      </c>
      <c r="E531" s="292"/>
      <c r="F531" s="914"/>
      <c r="G531" s="919"/>
      <c r="H531" s="292"/>
      <c r="I531" s="1112">
        <v>419.56756756756806</v>
      </c>
      <c r="J531" s="1150">
        <v>342.45161290322574</v>
      </c>
      <c r="K531" s="919"/>
      <c r="L531" s="293"/>
      <c r="M531" s="292"/>
      <c r="N531" s="29" t="s">
        <v>119</v>
      </c>
      <c r="O531" s="120"/>
      <c r="P531" s="120"/>
      <c r="Q531" s="120"/>
      <c r="R531" s="29">
        <v>43</v>
      </c>
      <c r="S531" s="288">
        <f t="shared" si="251"/>
        <v>342.45161290322574</v>
      </c>
      <c r="T531" s="288">
        <f t="shared" si="252"/>
        <v>865.78790848180699</v>
      </c>
      <c r="U531" s="288">
        <f t="shared" si="253"/>
        <v>199.79758251285605</v>
      </c>
      <c r="W531" s="288">
        <f t="shared" si="254"/>
        <v>344.3730983640645</v>
      </c>
      <c r="X531" s="288">
        <f t="shared" si="284"/>
        <v>544.17068087692053</v>
      </c>
      <c r="Y531" s="288">
        <f t="shared" si="256"/>
        <v>743.96826338977655</v>
      </c>
      <c r="AA531" s="89"/>
      <c r="AB531" s="89"/>
      <c r="AC531" s="89"/>
      <c r="AD531" s="89"/>
      <c r="AE531" s="89"/>
      <c r="AF531" s="89"/>
      <c r="AG531" s="89"/>
      <c r="AH531" s="89"/>
      <c r="AI531" s="89"/>
      <c r="AJ531" s="89"/>
      <c r="AK531" s="89"/>
      <c r="AL531" s="89"/>
      <c r="AM531" s="89"/>
      <c r="AN531" s="89"/>
      <c r="BR531" s="180">
        <v>2055</v>
      </c>
      <c r="BS531" s="22">
        <v>41</v>
      </c>
      <c r="BT531" s="289">
        <f t="shared" si="267"/>
        <v>381.83501763167931</v>
      </c>
      <c r="BU531" s="289">
        <f t="shared" si="268"/>
        <v>147.91341348817375</v>
      </c>
      <c r="BV531" s="299">
        <f t="shared" si="269"/>
        <v>529.74843111985308</v>
      </c>
      <c r="BY531" s="180">
        <v>2055</v>
      </c>
      <c r="BZ531" s="22">
        <v>41</v>
      </c>
      <c r="CA531" s="289">
        <f t="shared" ca="1" si="270"/>
        <v>-36.637119537643066</v>
      </c>
      <c r="CB531" s="289">
        <f t="shared" ca="1" si="271"/>
        <v>421.15290201354009</v>
      </c>
      <c r="CC531" s="289">
        <f t="shared" ca="1" si="282"/>
        <v>141.72368002672786</v>
      </c>
      <c r="CD531" s="299">
        <f t="shared" ca="1" si="272"/>
        <v>526.23946250262486</v>
      </c>
      <c r="CG531" s="180">
        <v>2055</v>
      </c>
      <c r="CH531" s="22">
        <v>41</v>
      </c>
      <c r="CI531" s="289">
        <f t="shared" ca="1" si="273"/>
        <v>33.739747076040409</v>
      </c>
      <c r="CJ531" s="289">
        <f t="shared" ca="1" si="274"/>
        <v>-90.949883123464389</v>
      </c>
      <c r="CK531" s="289">
        <f t="shared" ca="1" si="275"/>
        <v>443.07470555693811</v>
      </c>
      <c r="CL531" s="289">
        <f t="shared" ca="1" si="276"/>
        <v>140.38605455828448</v>
      </c>
      <c r="CM531" s="299">
        <f t="shared" ca="1" si="277"/>
        <v>526.25062406779864</v>
      </c>
      <c r="CP531" s="180">
        <v>2055</v>
      </c>
      <c r="CQ531" s="22">
        <v>41</v>
      </c>
      <c r="CR531" s="289">
        <f t="shared" ca="1" si="278"/>
        <v>169.29108306063685</v>
      </c>
      <c r="CS531" s="289">
        <f t="shared" ca="1" si="279"/>
        <v>3.3640829293486472</v>
      </c>
      <c r="CT531" s="299">
        <f t="shared" ca="1" si="280"/>
        <v>569.50924261523232</v>
      </c>
      <c r="CZ531" s="164" t="b">
        <f t="shared" si="285"/>
        <v>1</v>
      </c>
      <c r="DA531" s="165" t="b">
        <f t="shared" si="285"/>
        <v>1</v>
      </c>
      <c r="DB531" s="166" t="b">
        <f t="shared" si="285"/>
        <v>1</v>
      </c>
      <c r="DC531" s="164">
        <f t="shared" si="258"/>
        <v>43</v>
      </c>
      <c r="DD531" s="166">
        <f t="shared" si="259"/>
        <v>344.3730983640645</v>
      </c>
      <c r="DE531" s="164">
        <f t="shared" si="260"/>
        <v>43</v>
      </c>
      <c r="DF531" s="166">
        <f t="shared" si="261"/>
        <v>544.17068087692053</v>
      </c>
      <c r="DG531" s="164">
        <f t="shared" si="262"/>
        <v>43</v>
      </c>
      <c r="DH531" s="166">
        <f t="shared" si="263"/>
        <v>743.96826338977655</v>
      </c>
      <c r="DI531" s="164">
        <f>IFERROR(INDEX(DC$486:DC$534,_xlfn.AGGREGATE(15,6,(ROW(DC$486:DC$534)-ROW(DC$486)+1)/(DC$486:DC$534&lt;&gt;""),ROWS(DI$1:DI46))),"")</f>
        <v>43</v>
      </c>
      <c r="DJ531" s="165">
        <f>IFERROR(INDEX(DD$486:DD$534,_xlfn.AGGREGATE(15,6,(ROW(DD$486:DD$534)-ROW(DD$486)+1)/(DD$486:DD$534&lt;&gt;""),ROWS(DJ$1:DJ46))),"")</f>
        <v>344.3730983640645</v>
      </c>
      <c r="DK531" s="166">
        <f t="shared" si="264"/>
        <v>531</v>
      </c>
      <c r="DL531" s="164">
        <f>IFERROR(INDEX(DE$486:DE$534,_xlfn.AGGREGATE(15,6,(ROW(DE$486:DE$534)-ROW(DE$486)+1)/(DE$486:DE$534&lt;&gt;""),ROWS(DL$1:DL46))),"")</f>
        <v>43</v>
      </c>
      <c r="DM531" s="165">
        <f>IFERROR(INDEX(DF$486:DF$534,_xlfn.AGGREGATE(15,6,(ROW(DF$486:DF$534)-ROW(DF$486)+1)/(DF$486:DF$534&lt;&gt;""),ROWS(DM$1:DM46))),"")</f>
        <v>544.17068087692053</v>
      </c>
      <c r="DN531" s="166">
        <f t="shared" si="265"/>
        <v>531</v>
      </c>
      <c r="DO531" s="164">
        <f>IFERROR(INDEX(DG$486:DG$534,_xlfn.AGGREGATE(15,6,(ROW(DG$486:DG$534)-ROW(DG$486)+1)/(DG$486:DG$534&lt;&gt;""),ROWS(DO$1:DO46))),"")</f>
        <v>43</v>
      </c>
      <c r="DP531" s="165">
        <f>IFERROR(INDEX(DH$486:DH$534,_xlfn.AGGREGATE(15,6,(ROW(DH$486:DH$534)-ROW(DH$486)+1)/(DH$486:DH$534&lt;&gt;""),ROWS(DP$1:DP46))),"")</f>
        <v>743.96826338977655</v>
      </c>
      <c r="DQ531" s="166">
        <f t="shared" si="266"/>
        <v>531</v>
      </c>
      <c r="DR531" s="65"/>
      <c r="DV531" s="145">
        <v>2060</v>
      </c>
      <c r="DW531" s="235">
        <f t="shared" ca="1" si="250"/>
        <v>570.65895604012587</v>
      </c>
      <c r="EA531" s="55"/>
      <c r="EB531" s="55"/>
      <c r="EC531" s="55"/>
      <c r="ED531" s="55"/>
      <c r="EE531" s="55"/>
    </row>
    <row r="532" spans="1:135" ht="13.8" x14ac:dyDescent="0.45">
      <c r="A532" s="214"/>
      <c r="B532" s="128">
        <v>2058</v>
      </c>
      <c r="C532" s="951">
        <v>556.21404722139869</v>
      </c>
      <c r="D532" s="795">
        <v>882.69422497259768</v>
      </c>
      <c r="E532" s="292"/>
      <c r="F532" s="914"/>
      <c r="G532" s="919"/>
      <c r="H532" s="292"/>
      <c r="I532" s="1112">
        <v>426.64864864864921</v>
      </c>
      <c r="J532" s="1150">
        <v>346.69677419354832</v>
      </c>
      <c r="K532" s="919"/>
      <c r="L532" s="293"/>
      <c r="M532" s="292"/>
      <c r="N532" s="29" t="s">
        <v>119</v>
      </c>
      <c r="R532" s="29">
        <v>44</v>
      </c>
      <c r="S532" s="288">
        <f t="shared" si="251"/>
        <v>346.69677419354832</v>
      </c>
      <c r="T532" s="288">
        <f t="shared" si="252"/>
        <v>882.69422497259768</v>
      </c>
      <c r="U532" s="288">
        <f t="shared" si="253"/>
        <v>204.47144113298012</v>
      </c>
      <c r="W532" s="288">
        <f t="shared" si="254"/>
        <v>348.59198262606833</v>
      </c>
      <c r="X532" s="288">
        <f t="shared" si="284"/>
        <v>553.06342375904842</v>
      </c>
      <c r="Y532" s="288">
        <f t="shared" si="256"/>
        <v>757.53486489202851</v>
      </c>
      <c r="AA532" s="89"/>
      <c r="AB532" s="89"/>
      <c r="AC532" s="89"/>
      <c r="AD532" s="89"/>
      <c r="AE532" s="89"/>
      <c r="AF532" s="89"/>
      <c r="AG532" s="89"/>
      <c r="AH532" s="89"/>
      <c r="AI532" s="89"/>
      <c r="AJ532" s="89"/>
      <c r="AK532" s="89"/>
      <c r="AL532" s="89"/>
      <c r="AM532" s="89"/>
      <c r="AN532" s="89"/>
      <c r="BR532" s="180">
        <v>2056</v>
      </c>
      <c r="BS532" s="22">
        <v>42</v>
      </c>
      <c r="BT532" s="289">
        <f t="shared" si="267"/>
        <v>391.1480668422081</v>
      </c>
      <c r="BU532" s="289">
        <f t="shared" si="268"/>
        <v>147.91341348817375</v>
      </c>
      <c r="BV532" s="299">
        <f t="shared" si="269"/>
        <v>539.06148033038187</v>
      </c>
      <c r="BY532" s="180">
        <v>2056</v>
      </c>
      <c r="BZ532" s="22">
        <v>42</v>
      </c>
      <c r="CA532" s="289">
        <f t="shared" ca="1" si="270"/>
        <v>-38.446090936586771</v>
      </c>
      <c r="CB532" s="289">
        <f t="shared" ca="1" si="271"/>
        <v>431.42492401387034</v>
      </c>
      <c r="CC532" s="289">
        <f t="shared" ca="1" si="282"/>
        <v>141.72368002672786</v>
      </c>
      <c r="CD532" s="299">
        <f t="shared" ca="1" si="272"/>
        <v>534.70251310401147</v>
      </c>
      <c r="CG532" s="180">
        <v>2056</v>
      </c>
      <c r="CH532" s="22">
        <v>42</v>
      </c>
      <c r="CI532" s="289">
        <f t="shared" ca="1" si="273"/>
        <v>36.269212306404171</v>
      </c>
      <c r="CJ532" s="289">
        <f t="shared" ca="1" si="274"/>
        <v>-95.440567418079226</v>
      </c>
      <c r="CK532" s="289">
        <f t="shared" ca="1" si="275"/>
        <v>453.88140569247321</v>
      </c>
      <c r="CL532" s="289">
        <f t="shared" ca="1" si="276"/>
        <v>140.38605455828448</v>
      </c>
      <c r="CM532" s="299">
        <f t="shared" ca="1" si="277"/>
        <v>535.09610513908262</v>
      </c>
      <c r="CP532" s="180">
        <v>2056</v>
      </c>
      <c r="CQ532" s="22">
        <v>42</v>
      </c>
      <c r="CR532" s="289">
        <f t="shared" ca="1" si="278"/>
        <v>169.29108306063685</v>
      </c>
      <c r="CS532" s="289">
        <f t="shared" ca="1" si="279"/>
        <v>3.4651105945780114</v>
      </c>
      <c r="CT532" s="299">
        <f t="shared" ca="1" si="280"/>
        <v>586.61232548099883</v>
      </c>
      <c r="CZ532" s="164" t="b">
        <f t="shared" si="285"/>
        <v>1</v>
      </c>
      <c r="DA532" s="165" t="b">
        <f t="shared" si="285"/>
        <v>1</v>
      </c>
      <c r="DB532" s="166" t="b">
        <f t="shared" si="285"/>
        <v>1</v>
      </c>
      <c r="DC532" s="164">
        <f t="shared" si="258"/>
        <v>44</v>
      </c>
      <c r="DD532" s="166">
        <f t="shared" si="259"/>
        <v>348.59198262606833</v>
      </c>
      <c r="DE532" s="164">
        <f t="shared" si="260"/>
        <v>44</v>
      </c>
      <c r="DF532" s="166">
        <f t="shared" si="261"/>
        <v>553.06342375904842</v>
      </c>
      <c r="DG532" s="164">
        <f t="shared" si="262"/>
        <v>44</v>
      </c>
      <c r="DH532" s="166">
        <f t="shared" si="263"/>
        <v>757.53486489202851</v>
      </c>
      <c r="DI532" s="164">
        <f>IFERROR(INDEX(DC$486:DC$534,_xlfn.AGGREGATE(15,6,(ROW(DC$486:DC$534)-ROW(DC$486)+1)/(DC$486:DC$534&lt;&gt;""),ROWS(DI$1:DI47))),"")</f>
        <v>44</v>
      </c>
      <c r="DJ532" s="165">
        <f>IFERROR(INDEX(DD$486:DD$534,_xlfn.AGGREGATE(15,6,(ROW(DD$486:DD$534)-ROW(DD$486)+1)/(DD$486:DD$534&lt;&gt;""),ROWS(DJ$1:DJ47))),"")</f>
        <v>348.59198262606833</v>
      </c>
      <c r="DK532" s="166">
        <f t="shared" si="264"/>
        <v>532</v>
      </c>
      <c r="DL532" s="164">
        <f>IFERROR(INDEX(DE$486:DE$534,_xlfn.AGGREGATE(15,6,(ROW(DE$486:DE$534)-ROW(DE$486)+1)/(DE$486:DE$534&lt;&gt;""),ROWS(DL$1:DL47))),"")</f>
        <v>44</v>
      </c>
      <c r="DM532" s="165">
        <f>IFERROR(INDEX(DF$486:DF$534,_xlfn.AGGREGATE(15,6,(ROW(DF$486:DF$534)-ROW(DF$486)+1)/(DF$486:DF$534&lt;&gt;""),ROWS(DM$1:DM47))),"")</f>
        <v>553.06342375904842</v>
      </c>
      <c r="DN532" s="166">
        <f t="shared" si="265"/>
        <v>532</v>
      </c>
      <c r="DO532" s="164">
        <f>IFERROR(INDEX(DG$486:DG$534,_xlfn.AGGREGATE(15,6,(ROW(DG$486:DG$534)-ROW(DG$486)+1)/(DG$486:DG$534&lt;&gt;""),ROWS(DO$1:DO47))),"")</f>
        <v>44</v>
      </c>
      <c r="DP532" s="165">
        <f>IFERROR(INDEX(DH$486:DH$534,_xlfn.AGGREGATE(15,6,(ROW(DH$486:DH$534)-ROW(DH$486)+1)/(DH$486:DH$534&lt;&gt;""),ROWS(DP$1:DP47))),"")</f>
        <v>757.53486489202851</v>
      </c>
      <c r="DQ532" s="166">
        <f t="shared" si="266"/>
        <v>532</v>
      </c>
      <c r="DR532" s="65"/>
      <c r="DW532" s="54"/>
      <c r="EA532" s="55"/>
      <c r="EB532" s="55"/>
      <c r="EC532" s="55"/>
      <c r="ED532" s="55"/>
      <c r="EE532" s="55"/>
    </row>
    <row r="533" spans="1:135" ht="13.8" x14ac:dyDescent="0.45">
      <c r="A533" s="214"/>
      <c r="B533" s="128">
        <v>2059</v>
      </c>
      <c r="C533" s="951">
        <v>563.55245988771617</v>
      </c>
      <c r="D533" s="795">
        <v>899.60054146338837</v>
      </c>
      <c r="E533" s="292"/>
      <c r="F533" s="914"/>
      <c r="G533" s="919"/>
      <c r="H533" s="292"/>
      <c r="I533" s="1112">
        <v>433.72972972973025</v>
      </c>
      <c r="J533" s="1150">
        <v>350.94193548387091</v>
      </c>
      <c r="K533" s="919"/>
      <c r="L533" s="293"/>
      <c r="M533" s="292"/>
      <c r="N533" s="29" t="s">
        <v>119</v>
      </c>
      <c r="R533" s="29">
        <v>45</v>
      </c>
      <c r="S533" s="288">
        <f t="shared" si="251"/>
        <v>350.94193548387091</v>
      </c>
      <c r="T533" s="288">
        <f t="shared" si="252"/>
        <v>899.60054146338837</v>
      </c>
      <c r="U533" s="288">
        <f t="shared" si="253"/>
        <v>209.15024317170017</v>
      </c>
      <c r="W533" s="288">
        <f t="shared" si="254"/>
        <v>352.80592346947628</v>
      </c>
      <c r="X533" s="288">
        <f t="shared" si="284"/>
        <v>561.95616664117642</v>
      </c>
      <c r="Y533" s="288">
        <f t="shared" si="256"/>
        <v>771.10640981287656</v>
      </c>
      <c r="AA533" s="89"/>
      <c r="AB533" s="89"/>
      <c r="AC533" s="89"/>
      <c r="AD533" s="89"/>
      <c r="AE533" s="89"/>
      <c r="AF533" s="89"/>
      <c r="AG533" s="89"/>
      <c r="AH533" s="89"/>
      <c r="AI533" s="89"/>
      <c r="AJ533" s="89"/>
      <c r="AK533" s="89"/>
      <c r="AL533" s="89"/>
      <c r="AM533" s="89"/>
      <c r="AN533" s="89"/>
      <c r="BR533" s="180">
        <v>2057</v>
      </c>
      <c r="BS533" s="22">
        <v>43</v>
      </c>
      <c r="BT533" s="289">
        <f t="shared" si="267"/>
        <v>400.46111605273683</v>
      </c>
      <c r="BU533" s="289">
        <f t="shared" si="268"/>
        <v>147.91341348817375</v>
      </c>
      <c r="BV533" s="299">
        <f t="shared" si="269"/>
        <v>548.37452954091054</v>
      </c>
      <c r="BY533" s="180">
        <v>2057</v>
      </c>
      <c r="BZ533" s="22">
        <v>43</v>
      </c>
      <c r="CA533" s="289">
        <f t="shared" ca="1" si="270"/>
        <v>-40.298652007794189</v>
      </c>
      <c r="CB533" s="289">
        <f t="shared" ca="1" si="271"/>
        <v>441.69694601420059</v>
      </c>
      <c r="CC533" s="289">
        <f t="shared" ca="1" si="282"/>
        <v>141.72368002672786</v>
      </c>
      <c r="CD533" s="299">
        <f t="shared" ca="1" si="272"/>
        <v>543.12197403313428</v>
      </c>
      <c r="CG533" s="180">
        <v>2057</v>
      </c>
      <c r="CH533" s="22">
        <v>43</v>
      </c>
      <c r="CI533" s="289">
        <f t="shared" ca="1" si="273"/>
        <v>38.922042204476789</v>
      </c>
      <c r="CJ533" s="289">
        <f t="shared" ca="1" si="274"/>
        <v>-100.03946097280527</v>
      </c>
      <c r="CK533" s="289">
        <f t="shared" ca="1" si="275"/>
        <v>464.68810582800825</v>
      </c>
      <c r="CL533" s="289">
        <f t="shared" ca="1" si="276"/>
        <v>140.38605455828448</v>
      </c>
      <c r="CM533" s="299">
        <f t="shared" ca="1" si="277"/>
        <v>543.95674161796421</v>
      </c>
      <c r="CP533" s="180">
        <v>2057</v>
      </c>
      <c r="CQ533" s="22">
        <v>43</v>
      </c>
      <c r="CR533" s="289">
        <f t="shared" ca="1" si="278"/>
        <v>169.29108306063685</v>
      </c>
      <c r="CS533" s="289">
        <f t="shared" ca="1" si="279"/>
        <v>3.5691722483730719</v>
      </c>
      <c r="CT533" s="299">
        <f t="shared" ca="1" si="280"/>
        <v>604.22903555704568</v>
      </c>
      <c r="CZ533" s="164" t="b">
        <f t="shared" si="285"/>
        <v>1</v>
      </c>
      <c r="DA533" s="165" t="b">
        <f t="shared" si="285"/>
        <v>1</v>
      </c>
      <c r="DB533" s="166" t="b">
        <f t="shared" si="285"/>
        <v>1</v>
      </c>
      <c r="DC533" s="164">
        <f t="shared" si="258"/>
        <v>45</v>
      </c>
      <c r="DD533" s="166">
        <f t="shared" si="259"/>
        <v>352.80592346947628</v>
      </c>
      <c r="DE533" s="164">
        <f t="shared" si="260"/>
        <v>45</v>
      </c>
      <c r="DF533" s="166">
        <f t="shared" si="261"/>
        <v>561.95616664117642</v>
      </c>
      <c r="DG533" s="164">
        <f t="shared" si="262"/>
        <v>45</v>
      </c>
      <c r="DH533" s="166">
        <f t="shared" si="263"/>
        <v>771.10640981287656</v>
      </c>
      <c r="DI533" s="164">
        <f>IFERROR(INDEX(DC$486:DC$534,_xlfn.AGGREGATE(15,6,(ROW(DC$486:DC$534)-ROW(DC$486)+1)/(DC$486:DC$534&lt;&gt;""),ROWS(DI$1:DI48))),"")</f>
        <v>45</v>
      </c>
      <c r="DJ533" s="165">
        <f>IFERROR(INDEX(DD$486:DD$534,_xlfn.AGGREGATE(15,6,(ROW(DD$486:DD$534)-ROW(DD$486)+1)/(DD$486:DD$534&lt;&gt;""),ROWS(DJ$1:DJ48))),"")</f>
        <v>352.80592346947628</v>
      </c>
      <c r="DK533" s="166">
        <f t="shared" si="264"/>
        <v>533</v>
      </c>
      <c r="DL533" s="164">
        <f>IFERROR(INDEX(DE$486:DE$534,_xlfn.AGGREGATE(15,6,(ROW(DE$486:DE$534)-ROW(DE$486)+1)/(DE$486:DE$534&lt;&gt;""),ROWS(DL$1:DL48))),"")</f>
        <v>45</v>
      </c>
      <c r="DM533" s="165">
        <f>IFERROR(INDEX(DF$486:DF$534,_xlfn.AGGREGATE(15,6,(ROW(DF$486:DF$534)-ROW(DF$486)+1)/(DF$486:DF$534&lt;&gt;""),ROWS(DM$1:DM48))),"")</f>
        <v>561.95616664117642</v>
      </c>
      <c r="DN533" s="166">
        <f t="shared" si="265"/>
        <v>533</v>
      </c>
      <c r="DO533" s="164">
        <f>IFERROR(INDEX(DG$486:DG$534,_xlfn.AGGREGATE(15,6,(ROW(DG$486:DG$534)-ROW(DG$486)+1)/(DG$486:DG$534&lt;&gt;""),ROWS(DO$1:DO48))),"")</f>
        <v>45</v>
      </c>
      <c r="DP533" s="165">
        <f>IFERROR(INDEX(DH$486:DH$534,_xlfn.AGGREGATE(15,6,(ROW(DH$486:DH$534)-ROW(DH$486)+1)/(DH$486:DH$534&lt;&gt;""),ROWS(DP$1:DP48))),"")</f>
        <v>771.10640981287656</v>
      </c>
      <c r="DQ533" s="166">
        <f t="shared" si="266"/>
        <v>533</v>
      </c>
      <c r="DR533" s="65"/>
      <c r="DW533" s="54"/>
      <c r="EA533" s="55"/>
      <c r="EB533" s="55"/>
      <c r="EC533" s="55"/>
      <c r="ED533" s="55"/>
      <c r="EE533" s="55"/>
    </row>
    <row r="534" spans="1:135" ht="14.1" thickBot="1" x14ac:dyDescent="0.5">
      <c r="A534" s="214"/>
      <c r="B534" s="128">
        <v>2060</v>
      </c>
      <c r="C534" s="951">
        <v>570.89087255403365</v>
      </c>
      <c r="D534" s="795">
        <v>916.50685795417905</v>
      </c>
      <c r="E534" s="300"/>
      <c r="F534" s="915"/>
      <c r="G534" s="920"/>
      <c r="H534" s="300"/>
      <c r="I534" s="1115">
        <v>440.8108108108114</v>
      </c>
      <c r="J534" s="1149">
        <v>355.18709677419349</v>
      </c>
      <c r="K534" s="920"/>
      <c r="L534" s="301"/>
      <c r="M534" s="300"/>
      <c r="N534" s="29" t="s">
        <v>119</v>
      </c>
      <c r="R534" s="29">
        <v>46</v>
      </c>
      <c r="S534" s="288">
        <f t="shared" si="251"/>
        <v>355.18709677419349</v>
      </c>
      <c r="T534" s="288">
        <f t="shared" si="252"/>
        <v>916.50685795417905</v>
      </c>
      <c r="U534" s="288">
        <f t="shared" si="253"/>
        <v>213.83366413484234</v>
      </c>
      <c r="W534" s="288">
        <f t="shared" si="254"/>
        <v>357.01524538846195</v>
      </c>
      <c r="X534" s="288">
        <f t="shared" si="284"/>
        <v>570.84890952330431</v>
      </c>
      <c r="Y534" s="288">
        <f t="shared" si="256"/>
        <v>784.68257365814668</v>
      </c>
      <c r="AA534" s="89"/>
      <c r="AB534" s="89"/>
      <c r="AC534" s="89"/>
      <c r="AD534" s="89"/>
      <c r="AE534" s="89"/>
      <c r="AF534" s="89"/>
      <c r="AG534" s="89"/>
      <c r="AH534" s="89"/>
      <c r="AI534" s="89"/>
      <c r="AJ534" s="89"/>
      <c r="AK534" s="89"/>
      <c r="AL534" s="89"/>
      <c r="AM534" s="89"/>
      <c r="AN534" s="89"/>
      <c r="BR534" s="180">
        <v>2058</v>
      </c>
      <c r="BS534" s="22">
        <v>44</v>
      </c>
      <c r="BT534" s="289">
        <f t="shared" si="267"/>
        <v>409.77416526326562</v>
      </c>
      <c r="BU534" s="289">
        <f t="shared" si="268"/>
        <v>147.91341348817375</v>
      </c>
      <c r="BV534" s="299">
        <f t="shared" si="269"/>
        <v>557.68757875143933</v>
      </c>
      <c r="BY534" s="180">
        <v>2058</v>
      </c>
      <c r="BZ534" s="22">
        <v>44</v>
      </c>
      <c r="CA534" s="289">
        <f t="shared" ca="1" si="270"/>
        <v>-42.1948027512653</v>
      </c>
      <c r="CB534" s="289">
        <f t="shared" ca="1" si="271"/>
        <v>451.96896801453079</v>
      </c>
      <c r="CC534" s="289">
        <f t="shared" ca="1" si="282"/>
        <v>141.72368002672786</v>
      </c>
      <c r="CD534" s="299">
        <f t="shared" ca="1" si="272"/>
        <v>551.49784528999339</v>
      </c>
      <c r="CG534" s="180">
        <v>2058</v>
      </c>
      <c r="CH534" s="22">
        <v>44</v>
      </c>
      <c r="CI534" s="289">
        <f t="shared" ca="1" si="273"/>
        <v>41.70117402425133</v>
      </c>
      <c r="CJ534" s="289">
        <f t="shared" ca="1" si="274"/>
        <v>-104.74656378764251</v>
      </c>
      <c r="CK534" s="289">
        <f t="shared" ca="1" si="275"/>
        <v>475.49480596354334</v>
      </c>
      <c r="CL534" s="289">
        <f t="shared" ca="1" si="276"/>
        <v>140.38605455828448</v>
      </c>
      <c r="CM534" s="299">
        <f t="shared" ca="1" si="277"/>
        <v>552.8354707584366</v>
      </c>
      <c r="CP534" s="180">
        <v>2058</v>
      </c>
      <c r="CQ534" s="22">
        <v>44</v>
      </c>
      <c r="CR534" s="289">
        <f t="shared" ca="1" si="278"/>
        <v>169.29108306063685</v>
      </c>
      <c r="CS534" s="289">
        <f t="shared" ca="1" si="279"/>
        <v>3.6763590052478166</v>
      </c>
      <c r="CT534" s="299">
        <f t="shared" ca="1" si="280"/>
        <v>622.37479771812843</v>
      </c>
      <c r="CZ534" s="164" t="b">
        <f t="shared" si="285"/>
        <v>1</v>
      </c>
      <c r="DA534" s="165" t="b">
        <f t="shared" si="285"/>
        <v>1</v>
      </c>
      <c r="DB534" s="166" t="b">
        <f t="shared" si="285"/>
        <v>1</v>
      </c>
      <c r="DC534" s="164">
        <f t="shared" si="258"/>
        <v>46</v>
      </c>
      <c r="DD534" s="166">
        <f t="shared" si="259"/>
        <v>357.01524538846195</v>
      </c>
      <c r="DE534" s="164">
        <f t="shared" si="260"/>
        <v>46</v>
      </c>
      <c r="DF534" s="166">
        <f t="shared" si="261"/>
        <v>570.84890952330431</v>
      </c>
      <c r="DG534" s="164">
        <f t="shared" si="262"/>
        <v>46</v>
      </c>
      <c r="DH534" s="166">
        <f t="shared" si="263"/>
        <v>784.68257365814668</v>
      </c>
      <c r="DI534" s="164">
        <f>IFERROR(INDEX(DC$486:DC$534,_xlfn.AGGREGATE(15,6,(ROW(DC$486:DC$534)-ROW(DC$486)+1)/(DC$486:DC$534&lt;&gt;""),ROWS(DI$1:DI49))),"")</f>
        <v>46</v>
      </c>
      <c r="DJ534" s="165">
        <f>IFERROR(INDEX(DD$486:DD$534,_xlfn.AGGREGATE(15,6,(ROW(DD$486:DD$534)-ROW(DD$486)+1)/(DD$486:DD$534&lt;&gt;""),ROWS(DJ$1:DJ49))),"")</f>
        <v>357.01524538846195</v>
      </c>
      <c r="DK534" s="166">
        <f t="shared" si="264"/>
        <v>534</v>
      </c>
      <c r="DL534" s="164">
        <f>IFERROR(INDEX(DE$486:DE$534,_xlfn.AGGREGATE(15,6,(ROW(DE$486:DE$534)-ROW(DE$486)+1)/(DE$486:DE$534&lt;&gt;""),ROWS(DL$1:DL49))),"")</f>
        <v>46</v>
      </c>
      <c r="DM534" s="165">
        <f>IFERROR(INDEX(DF$486:DF$534,_xlfn.AGGREGATE(15,6,(ROW(DF$486:DF$534)-ROW(DF$486)+1)/(DF$486:DF$534&lt;&gt;""),ROWS(DM$1:DM49))),"")</f>
        <v>570.84890952330431</v>
      </c>
      <c r="DN534" s="166">
        <f t="shared" si="265"/>
        <v>534</v>
      </c>
      <c r="DO534" s="164">
        <f>IFERROR(INDEX(DG$486:DG$534,_xlfn.AGGREGATE(15,6,(ROW(DG$486:DG$534)-ROW(DG$486)+1)/(DG$486:DG$534&lt;&gt;""),ROWS(DO$1:DO49))),"")</f>
        <v>46</v>
      </c>
      <c r="DP534" s="165">
        <f>IFERROR(INDEX(DH$486:DH$534,_xlfn.AGGREGATE(15,6,(ROW(DH$486:DH$534)-ROW(DH$486)+1)/(DH$486:DH$534&lt;&gt;""),ROWS(DP$1:DP49))),"")</f>
        <v>784.68257365814668</v>
      </c>
      <c r="DQ534" s="166">
        <f t="shared" si="266"/>
        <v>534</v>
      </c>
      <c r="DR534" s="65"/>
      <c r="DW534" s="54"/>
      <c r="EA534" s="55"/>
      <c r="EB534" s="55"/>
      <c r="EC534" s="55"/>
      <c r="ED534" s="55"/>
      <c r="EE534" s="55"/>
    </row>
    <row r="535" spans="1:135" x14ac:dyDescent="0.4">
      <c r="A535" s="214"/>
      <c r="B535" s="89"/>
      <c r="C535" s="14"/>
      <c r="D535" s="14"/>
      <c r="E535" s="14"/>
      <c r="F535" s="14"/>
      <c r="G535" s="14"/>
      <c r="H535" s="14"/>
      <c r="I535" s="14"/>
      <c r="J535" s="14"/>
      <c r="K535" s="14"/>
      <c r="L535" s="14"/>
      <c r="M535" s="50"/>
      <c r="S535" s="120"/>
      <c r="T535" s="120"/>
      <c r="U535" s="120"/>
      <c r="W535" s="120"/>
      <c r="X535" s="120"/>
      <c r="Y535" s="120"/>
      <c r="AA535" s="89"/>
      <c r="AB535" s="89"/>
      <c r="AC535" s="89"/>
      <c r="AD535" s="89"/>
      <c r="AE535" s="89"/>
      <c r="AF535" s="89"/>
      <c r="AG535" s="89"/>
      <c r="AH535" s="89"/>
      <c r="AI535" s="89"/>
      <c r="AJ535" s="89"/>
      <c r="AK535" s="89"/>
      <c r="AL535" s="89"/>
      <c r="AM535" s="89"/>
      <c r="AN535" s="89"/>
      <c r="BR535" s="180">
        <v>2059</v>
      </c>
      <c r="BS535" s="22">
        <v>45</v>
      </c>
      <c r="BT535" s="289">
        <f t="shared" si="267"/>
        <v>419.08721447379435</v>
      </c>
      <c r="BU535" s="289">
        <f t="shared" si="268"/>
        <v>147.91341348817375</v>
      </c>
      <c r="BV535" s="299">
        <f t="shared" si="269"/>
        <v>567.00062796196812</v>
      </c>
      <c r="BY535" s="180">
        <v>2059</v>
      </c>
      <c r="BZ535" s="22">
        <v>45</v>
      </c>
      <c r="CA535" s="289">
        <f t="shared" ca="1" si="270"/>
        <v>-44.134543167000125</v>
      </c>
      <c r="CB535" s="289">
        <f t="shared" ca="1" si="271"/>
        <v>462.24099001486104</v>
      </c>
      <c r="CC535" s="289">
        <f t="shared" ca="1" si="282"/>
        <v>141.72368002672786</v>
      </c>
      <c r="CD535" s="299">
        <f t="shared" ca="1" si="272"/>
        <v>559.83012687458881</v>
      </c>
      <c r="CG535" s="180">
        <v>2059</v>
      </c>
      <c r="CH535" s="22">
        <v>45</v>
      </c>
      <c r="CI535" s="289">
        <f t="shared" ca="1" si="273"/>
        <v>44.609545019720869</v>
      </c>
      <c r="CJ535" s="289">
        <f t="shared" ca="1" si="274"/>
        <v>-109.56187586259095</v>
      </c>
      <c r="CK535" s="289">
        <f t="shared" ca="1" si="275"/>
        <v>486.30150609907844</v>
      </c>
      <c r="CL535" s="289">
        <f t="shared" ca="1" si="276"/>
        <v>140.38605455828448</v>
      </c>
      <c r="CM535" s="299">
        <f t="shared" ca="1" si="277"/>
        <v>561.73522981449287</v>
      </c>
      <c r="CP535" s="180">
        <v>2059</v>
      </c>
      <c r="CQ535" s="22">
        <v>45</v>
      </c>
      <c r="CR535" s="289">
        <f t="shared" ca="1" si="278"/>
        <v>169.29108306063685</v>
      </c>
      <c r="CS535" s="289">
        <f t="shared" ca="1" si="279"/>
        <v>3.7867647160003313</v>
      </c>
      <c r="CT535" s="299">
        <f t="shared" ca="1" si="280"/>
        <v>641.06550006750103</v>
      </c>
      <c r="CZ535" s="252"/>
      <c r="DA535" s="252"/>
      <c r="DB535" s="252"/>
      <c r="DC535" s="252"/>
      <c r="DD535" s="252"/>
      <c r="DE535" s="252"/>
      <c r="DF535" s="252"/>
      <c r="DG535" s="252"/>
      <c r="DH535" s="252"/>
      <c r="DI535" s="252"/>
      <c r="DJ535" s="252"/>
      <c r="DK535" s="252"/>
      <c r="DL535" s="252"/>
      <c r="DM535" s="252"/>
      <c r="DN535" s="252"/>
      <c r="DO535" s="252"/>
      <c r="DP535" s="252"/>
      <c r="DQ535" s="252"/>
      <c r="DR535" s="65"/>
      <c r="DU535" s="65"/>
      <c r="DW535" s="54"/>
      <c r="EA535" s="55"/>
      <c r="EB535" s="55"/>
      <c r="EC535" s="55"/>
      <c r="ED535" s="55"/>
      <c r="EE535" s="55"/>
    </row>
    <row r="536" spans="1:135" x14ac:dyDescent="0.4">
      <c r="A536" s="214"/>
      <c r="B536" s="89"/>
      <c r="C536" s="14"/>
      <c r="D536" s="14"/>
      <c r="E536" s="14"/>
      <c r="F536" s="14"/>
      <c r="G536" s="14"/>
      <c r="H536" s="14"/>
      <c r="I536" s="14"/>
      <c r="J536" s="14"/>
      <c r="K536" s="14"/>
      <c r="L536" s="14"/>
      <c r="M536" s="50"/>
      <c r="S536" s="120"/>
      <c r="T536" s="120"/>
      <c r="U536" s="120"/>
      <c r="W536" s="120"/>
      <c r="X536" s="120"/>
      <c r="Y536" s="120"/>
      <c r="AA536" s="89"/>
      <c r="AB536" s="89"/>
      <c r="AC536" s="89"/>
      <c r="AD536" s="89"/>
      <c r="AE536" s="89"/>
      <c r="AF536" s="89"/>
      <c r="AG536" s="89"/>
      <c r="AH536" s="89"/>
      <c r="AI536" s="89"/>
      <c r="AJ536" s="89"/>
      <c r="AK536" s="89"/>
      <c r="AL536" s="89"/>
      <c r="AM536" s="89"/>
      <c r="AN536" s="89"/>
      <c r="BR536" s="180">
        <v>2060</v>
      </c>
      <c r="BS536" s="22">
        <v>46</v>
      </c>
      <c r="BT536" s="289">
        <f t="shared" si="267"/>
        <v>428.40026368432314</v>
      </c>
      <c r="BU536" s="289">
        <f t="shared" si="268"/>
        <v>147.91341348817375</v>
      </c>
      <c r="BV536" s="299">
        <f t="shared" si="269"/>
        <v>576.31367717249691</v>
      </c>
      <c r="BY536" s="180">
        <v>2060</v>
      </c>
      <c r="BZ536" s="22">
        <v>46</v>
      </c>
      <c r="CA536" s="289">
        <f t="shared" ca="1" si="270"/>
        <v>-46.117873254998649</v>
      </c>
      <c r="CB536" s="289">
        <f t="shared" ca="1" si="271"/>
        <v>472.51301201519129</v>
      </c>
      <c r="CC536" s="289">
        <f t="shared" ca="1" si="282"/>
        <v>141.72368002672786</v>
      </c>
      <c r="CD536" s="299">
        <f t="shared" ca="1" si="272"/>
        <v>568.11881878692054</v>
      </c>
      <c r="CG536" s="180">
        <v>2060</v>
      </c>
      <c r="CH536" s="22">
        <v>46</v>
      </c>
      <c r="CI536" s="289">
        <f t="shared" ca="1" si="273"/>
        <v>47.650092444878474</v>
      </c>
      <c r="CJ536" s="289">
        <f t="shared" ca="1" si="274"/>
        <v>-114.4853971976506</v>
      </c>
      <c r="CK536" s="289">
        <f t="shared" ca="1" si="275"/>
        <v>497.10820623461348</v>
      </c>
      <c r="CL536" s="289">
        <f t="shared" ca="1" si="276"/>
        <v>140.38605455828448</v>
      </c>
      <c r="CM536" s="299">
        <f t="shared" ca="1" si="277"/>
        <v>570.65895604012587</v>
      </c>
      <c r="CP536" s="180">
        <v>2060</v>
      </c>
      <c r="CQ536" s="22">
        <v>46</v>
      </c>
      <c r="CR536" s="289">
        <f t="shared" ca="1" si="278"/>
        <v>169.29108306063685</v>
      </c>
      <c r="CS536" s="289">
        <f t="shared" ca="1" si="279"/>
        <v>3.9004860498868661</v>
      </c>
      <c r="CT536" s="299">
        <f t="shared" ca="1" si="280"/>
        <v>660.31750784825283</v>
      </c>
      <c r="CZ536" s="89"/>
      <c r="DA536" s="89"/>
      <c r="DB536" s="89"/>
      <c r="DC536" s="89"/>
      <c r="DD536" s="89"/>
      <c r="DE536" s="89"/>
      <c r="DF536" s="89"/>
      <c r="DG536" s="89"/>
      <c r="DH536" s="89"/>
      <c r="DI536" s="89"/>
      <c r="DJ536" s="89"/>
      <c r="DK536" s="89"/>
      <c r="DL536" s="89"/>
      <c r="DM536" s="89"/>
      <c r="DN536" s="89"/>
      <c r="DO536" s="89"/>
      <c r="DP536" s="89"/>
      <c r="DQ536" s="89"/>
      <c r="DW536" s="54"/>
      <c r="EA536" s="55"/>
      <c r="EB536" s="55"/>
      <c r="EC536" s="55"/>
      <c r="ED536" s="55"/>
      <c r="EE536" s="55"/>
    </row>
    <row r="537" spans="1:135" x14ac:dyDescent="0.4">
      <c r="A537" s="221" t="str">
        <f ca="1">HYPERLINK("#"&amp;"'"&amp;A$1&amp;"'!a1","Back to top")</f>
        <v>Back to top</v>
      </c>
      <c r="C537" s="50"/>
      <c r="D537" s="14"/>
      <c r="E537" s="14"/>
      <c r="F537" s="14"/>
      <c r="G537" s="14"/>
      <c r="H537" s="14"/>
      <c r="I537" s="14"/>
      <c r="J537" s="14"/>
      <c r="K537" s="14"/>
      <c r="L537" s="14"/>
      <c r="M537" s="14"/>
      <c r="N537" s="89"/>
      <c r="O537" s="89"/>
      <c r="P537" s="89"/>
      <c r="Q537" s="89"/>
      <c r="R537" s="89"/>
      <c r="S537" s="89"/>
      <c r="T537" s="89"/>
      <c r="U537" s="89"/>
      <c r="V537" s="89"/>
      <c r="W537" s="89"/>
      <c r="X537" s="89"/>
      <c r="Y537" s="89"/>
      <c r="Z537" s="89"/>
      <c r="AA537" s="89"/>
      <c r="AB537" s="89"/>
      <c r="AC537" s="89"/>
      <c r="AD537" s="89"/>
      <c r="AE537" s="89"/>
      <c r="AF537" s="89"/>
      <c r="AG537" s="89"/>
      <c r="AH537" s="89"/>
      <c r="AI537" s="89"/>
      <c r="AJ537" s="89"/>
      <c r="AK537" s="89"/>
      <c r="AL537" s="89"/>
      <c r="AM537" s="89"/>
      <c r="AN537" s="89"/>
      <c r="DW537" s="54"/>
      <c r="EA537" s="55"/>
      <c r="EB537" s="55"/>
      <c r="EC537" s="55"/>
      <c r="ED537" s="55"/>
      <c r="EE537" s="55"/>
    </row>
    <row r="538" spans="1:135" x14ac:dyDescent="0.4">
      <c r="A538" s="221"/>
      <c r="C538" s="50"/>
      <c r="D538" s="14"/>
      <c r="E538" s="14"/>
      <c r="F538" s="14"/>
      <c r="G538" s="14"/>
      <c r="H538" s="14"/>
      <c r="I538" s="14"/>
      <c r="J538" s="14"/>
      <c r="K538" s="14"/>
      <c r="L538" s="14"/>
      <c r="M538" s="14"/>
      <c r="N538" s="89"/>
      <c r="O538" s="89"/>
      <c r="P538" s="89"/>
      <c r="Q538" s="89"/>
      <c r="R538" s="89"/>
      <c r="S538" s="89"/>
      <c r="T538" s="89"/>
      <c r="U538" s="89"/>
      <c r="V538" s="89"/>
      <c r="W538" s="89"/>
      <c r="X538" s="89"/>
      <c r="Y538" s="89"/>
      <c r="Z538" s="89"/>
      <c r="AA538" s="89"/>
      <c r="AB538" s="89"/>
      <c r="AC538" s="89"/>
      <c r="AD538" s="89"/>
      <c r="AE538" s="89"/>
      <c r="AF538" s="89"/>
      <c r="AG538" s="89"/>
      <c r="AH538" s="89"/>
      <c r="AI538" s="89"/>
      <c r="AJ538" s="89"/>
      <c r="AK538" s="89"/>
      <c r="AL538" s="89"/>
      <c r="AM538" s="89"/>
      <c r="AN538" s="89"/>
      <c r="DW538" s="54"/>
      <c r="EA538" s="55"/>
      <c r="EB538" s="55"/>
      <c r="EC538" s="55"/>
      <c r="ED538" s="55"/>
      <c r="EE538" s="55"/>
    </row>
    <row r="539" spans="1:135" x14ac:dyDescent="0.4">
      <c r="A539" s="214"/>
      <c r="B539" s="89"/>
      <c r="C539" s="14"/>
      <c r="D539" s="14"/>
      <c r="E539" s="14"/>
      <c r="F539" s="14"/>
      <c r="G539" s="14"/>
      <c r="H539" s="14"/>
      <c r="I539" s="14"/>
      <c r="J539" s="14"/>
      <c r="K539" s="14"/>
      <c r="L539" s="14"/>
      <c r="M539" s="50"/>
      <c r="N539" s="49"/>
      <c r="O539" s="49"/>
      <c r="P539" s="49"/>
      <c r="Q539" s="49"/>
      <c r="R539" s="49"/>
      <c r="S539" s="120"/>
      <c r="T539" s="120"/>
      <c r="U539" s="120"/>
      <c r="V539" s="49"/>
      <c r="W539" s="120"/>
      <c r="X539" s="120"/>
      <c r="Y539" s="120"/>
      <c r="Z539" s="89"/>
      <c r="AA539" s="89"/>
      <c r="AB539" s="89"/>
      <c r="AC539" s="89"/>
      <c r="AD539" s="89"/>
      <c r="AE539" s="89"/>
      <c r="AF539" s="89"/>
      <c r="AG539" s="89"/>
      <c r="AH539" s="89"/>
      <c r="AI539" s="89"/>
      <c r="AJ539" s="89"/>
      <c r="AK539" s="89"/>
      <c r="AL539" s="89"/>
      <c r="AM539" s="89"/>
      <c r="AN539" s="89"/>
      <c r="AO539" s="49"/>
      <c r="AP539" s="49"/>
      <c r="AQ539" s="49"/>
      <c r="AR539" s="49"/>
      <c r="AS539" s="49"/>
      <c r="AT539" s="49"/>
      <c r="AU539" s="49"/>
      <c r="AV539" s="49"/>
      <c r="AW539" s="49"/>
      <c r="AX539" s="49"/>
      <c r="AY539" s="49"/>
      <c r="AZ539" s="49"/>
      <c r="BA539" s="49"/>
      <c r="BB539" s="49"/>
      <c r="BC539" s="49"/>
      <c r="BD539" s="49"/>
      <c r="BE539" s="49"/>
      <c r="BF539" s="49"/>
      <c r="BG539" s="49"/>
      <c r="BH539" s="49"/>
      <c r="BI539" s="49"/>
      <c r="BJ539" s="49"/>
      <c r="BK539" s="49"/>
      <c r="BL539" s="49"/>
    </row>
    <row r="540" spans="1:135" x14ac:dyDescent="0.4">
      <c r="A540" s="253"/>
      <c r="B540" s="254"/>
      <c r="C540" s="255"/>
      <c r="D540" s="255"/>
      <c r="E540" s="255"/>
      <c r="F540" s="255"/>
      <c r="G540" s="255"/>
      <c r="H540" s="255"/>
      <c r="I540" s="255"/>
      <c r="J540" s="255"/>
      <c r="K540" s="255"/>
      <c r="L540" s="255"/>
      <c r="M540" s="256"/>
      <c r="S540" s="257"/>
      <c r="T540" s="257"/>
      <c r="U540" s="257"/>
      <c r="W540" s="257"/>
      <c r="X540" s="257"/>
      <c r="Y540" s="257"/>
      <c r="Z540" s="254"/>
      <c r="AA540" s="254"/>
      <c r="AB540" s="254"/>
      <c r="AC540" s="254"/>
      <c r="AD540" s="254"/>
      <c r="AE540" s="254"/>
      <c r="AF540" s="254"/>
      <c r="AG540" s="254"/>
      <c r="AH540" s="254"/>
      <c r="AI540" s="254"/>
      <c r="AJ540" s="254"/>
      <c r="AK540" s="254"/>
      <c r="AL540" s="254"/>
      <c r="AM540" s="254"/>
      <c r="AN540" s="254"/>
      <c r="DW540" s="258"/>
      <c r="EA540" s="259"/>
      <c r="EB540" s="259"/>
      <c r="EC540" s="259"/>
      <c r="ED540" s="259"/>
      <c r="EE540" s="259"/>
    </row>
    <row r="541" spans="1:135" x14ac:dyDescent="0.4">
      <c r="A541" s="253"/>
      <c r="B541" s="254"/>
      <c r="C541" s="255"/>
      <c r="D541" s="255"/>
      <c r="E541" s="255"/>
      <c r="F541" s="255"/>
      <c r="G541" s="255"/>
      <c r="H541" s="255"/>
      <c r="I541" s="255"/>
      <c r="J541" s="255"/>
      <c r="K541" s="255"/>
      <c r="L541" s="255"/>
      <c r="M541" s="256"/>
      <c r="S541" s="257"/>
      <c r="T541" s="257"/>
      <c r="U541" s="257"/>
      <c r="W541" s="257"/>
      <c r="X541" s="257"/>
      <c r="Y541" s="257"/>
      <c r="Z541" s="254"/>
      <c r="AA541" s="254"/>
      <c r="AB541" s="254"/>
      <c r="AC541" s="254"/>
      <c r="AD541" s="254"/>
      <c r="AE541" s="254"/>
      <c r="AF541" s="254"/>
      <c r="AG541" s="254"/>
      <c r="AH541" s="254"/>
      <c r="AI541" s="254"/>
      <c r="AJ541" s="254"/>
      <c r="AK541" s="254"/>
      <c r="AL541" s="254"/>
      <c r="AM541" s="254"/>
      <c r="AN541" s="254"/>
      <c r="DW541" s="258"/>
      <c r="EA541" s="259"/>
      <c r="EB541" s="259"/>
      <c r="EC541" s="259"/>
      <c r="ED541" s="259"/>
      <c r="EE541" s="259"/>
    </row>
    <row r="542" spans="1:135" x14ac:dyDescent="0.4">
      <c r="B542" s="114"/>
      <c r="C542" s="14"/>
      <c r="D542" s="14"/>
      <c r="E542" s="14"/>
      <c r="F542" s="14"/>
      <c r="G542" s="14"/>
      <c r="H542" s="14"/>
      <c r="I542" s="14"/>
      <c r="J542" s="14"/>
      <c r="K542" s="14"/>
      <c r="L542" s="14"/>
      <c r="M542" s="14"/>
      <c r="N542" s="89"/>
      <c r="O542" s="89"/>
      <c r="P542" s="89"/>
      <c r="Q542" s="89"/>
      <c r="R542" s="89"/>
      <c r="S542" s="89"/>
      <c r="T542" s="89"/>
      <c r="U542" s="89"/>
      <c r="V542" s="89"/>
      <c r="W542" s="89"/>
      <c r="X542" s="89"/>
      <c r="Y542" s="89"/>
      <c r="Z542" s="89"/>
      <c r="AA542" s="89"/>
      <c r="AB542" s="89"/>
      <c r="AC542" s="89"/>
      <c r="AD542" s="89"/>
      <c r="AE542" s="89"/>
      <c r="AF542" s="89"/>
      <c r="AG542" s="89"/>
      <c r="AH542" s="89"/>
      <c r="AI542" s="89"/>
      <c r="AJ542" s="89"/>
      <c r="AK542" s="89"/>
      <c r="AL542" s="89"/>
      <c r="AM542" s="89"/>
      <c r="AN542" s="89"/>
      <c r="AO542" s="89"/>
      <c r="AP542" s="89"/>
      <c r="CX542" s="89"/>
      <c r="CY542" s="89"/>
      <c r="CZ542" s="89"/>
      <c r="DA542" s="89"/>
      <c r="DB542" s="89"/>
      <c r="DC542" s="89"/>
      <c r="DD542" s="89"/>
      <c r="DE542" s="89"/>
      <c r="DF542" s="89"/>
      <c r="DG542" s="89"/>
      <c r="DH542" s="89"/>
      <c r="DI542" s="89"/>
      <c r="DJ542" s="89"/>
      <c r="DK542" s="89"/>
      <c r="DL542" s="89"/>
      <c r="DM542" s="89"/>
      <c r="DN542" s="89"/>
      <c r="DO542" s="89"/>
      <c r="DP542" s="89"/>
      <c r="DQ542" s="89"/>
      <c r="DW542" s="54"/>
      <c r="EA542" s="55"/>
      <c r="EB542" s="55"/>
      <c r="EC542" s="55"/>
      <c r="ED542" s="55"/>
      <c r="EE542" s="55"/>
    </row>
    <row r="543" spans="1:135" x14ac:dyDescent="0.4">
      <c r="A543" s="287" t="s">
        <v>105</v>
      </c>
      <c r="B543" s="114"/>
      <c r="C543" s="14"/>
      <c r="D543" s="14"/>
      <c r="E543" s="14"/>
      <c r="F543" s="14"/>
      <c r="G543" s="14"/>
      <c r="H543" s="14"/>
      <c r="I543" s="14"/>
      <c r="J543" s="14"/>
      <c r="K543" s="14"/>
      <c r="L543" s="14"/>
      <c r="M543" s="14"/>
      <c r="N543" s="89"/>
      <c r="O543" s="89"/>
      <c r="P543" s="89"/>
      <c r="Q543" s="89"/>
      <c r="R543" s="89"/>
      <c r="S543" s="89"/>
      <c r="T543" s="89"/>
      <c r="U543" s="89"/>
      <c r="V543" s="89"/>
      <c r="W543" s="89"/>
      <c r="X543" s="89"/>
      <c r="Y543" s="89"/>
      <c r="Z543" s="89"/>
      <c r="AA543" s="287" t="s">
        <v>105</v>
      </c>
      <c r="AB543" s="89"/>
      <c r="AC543" s="89"/>
      <c r="AD543" s="89"/>
      <c r="AE543" s="89"/>
      <c r="AF543" s="89"/>
      <c r="AG543" s="89"/>
      <c r="AH543" s="89"/>
      <c r="AI543" s="89"/>
      <c r="AJ543" s="89"/>
      <c r="AK543" s="89"/>
      <c r="AL543" s="89"/>
      <c r="AM543" s="287" t="s">
        <v>105</v>
      </c>
      <c r="AN543" s="89"/>
      <c r="AO543" s="89"/>
      <c r="AP543" s="89"/>
      <c r="AZ543" s="287" t="s">
        <v>105</v>
      </c>
      <c r="BJ543" s="287" t="s">
        <v>105</v>
      </c>
      <c r="BR543" s="287" t="s">
        <v>105</v>
      </c>
      <c r="BY543" s="287" t="s">
        <v>105</v>
      </c>
      <c r="CG543" s="287" t="s">
        <v>105</v>
      </c>
      <c r="CP543" s="287" t="s">
        <v>105</v>
      </c>
      <c r="CX543" s="89"/>
      <c r="CY543" s="89"/>
      <c r="CZ543" s="89"/>
      <c r="DA543" s="89"/>
      <c r="DB543" s="89"/>
      <c r="DC543" s="89"/>
      <c r="DD543" s="89"/>
      <c r="DE543" s="89"/>
      <c r="DF543" s="89"/>
      <c r="DG543" s="89"/>
      <c r="DH543" s="89"/>
      <c r="DI543" s="89"/>
      <c r="DJ543" s="89"/>
      <c r="DK543" s="89"/>
      <c r="DL543" s="89"/>
      <c r="DM543" s="89"/>
      <c r="DN543" s="89"/>
      <c r="DO543" s="89"/>
      <c r="DP543" s="89"/>
      <c r="DQ543" s="89"/>
      <c r="DV543" s="287" t="s">
        <v>105</v>
      </c>
      <c r="DW543" s="89"/>
      <c r="EA543" s="55"/>
      <c r="EB543" s="55"/>
      <c r="EC543" s="55"/>
      <c r="ED543" s="55"/>
      <c r="EE543" s="55"/>
    </row>
    <row r="544" spans="1:135" x14ac:dyDescent="0.4">
      <c r="A544" s="221"/>
      <c r="C544" s="14"/>
      <c r="D544" s="14"/>
      <c r="E544" s="14"/>
      <c r="F544" s="14"/>
      <c r="G544" s="14"/>
      <c r="H544" s="14"/>
      <c r="I544" s="14"/>
      <c r="J544" s="14"/>
      <c r="K544" s="14"/>
      <c r="L544" s="14"/>
      <c r="M544" s="14"/>
      <c r="DW544" s="54"/>
      <c r="EA544" s="286"/>
      <c r="EB544" s="286"/>
      <c r="EC544" s="286"/>
      <c r="ED544" s="286"/>
      <c r="EE544" s="286"/>
    </row>
    <row r="545" spans="1:135" x14ac:dyDescent="0.4">
      <c r="A545" s="221"/>
      <c r="C545" s="14"/>
      <c r="D545" s="14"/>
      <c r="E545" s="14"/>
      <c r="F545" s="14"/>
      <c r="G545" s="14"/>
      <c r="H545" s="14"/>
      <c r="I545" s="14"/>
      <c r="J545" s="14"/>
      <c r="K545" s="14"/>
      <c r="L545" s="14"/>
      <c r="M545" s="14"/>
      <c r="DW545" s="54"/>
      <c r="EA545" s="286"/>
      <c r="EB545" s="286"/>
      <c r="EC545" s="286"/>
      <c r="ED545" s="286"/>
      <c r="EE545" s="286"/>
    </row>
    <row r="546" spans="1:135" x14ac:dyDescent="0.4">
      <c r="B546" s="694"/>
      <c r="C546" s="694"/>
      <c r="D546" s="113"/>
      <c r="E546" s="113"/>
      <c r="F546" s="113"/>
      <c r="G546" s="113"/>
      <c r="H546" s="113"/>
      <c r="I546" s="113"/>
      <c r="J546" s="113"/>
      <c r="K546" s="113"/>
      <c r="L546" s="113"/>
      <c r="M546" s="113"/>
      <c r="N546" s="114"/>
      <c r="O546" s="114"/>
      <c r="P546" s="114"/>
      <c r="Q546" s="114"/>
      <c r="R546" s="114"/>
      <c r="S546" s="114"/>
      <c r="T546" s="114"/>
      <c r="U546" s="114"/>
      <c r="V546" s="114"/>
      <c r="W546" s="114"/>
      <c r="X546" s="114"/>
      <c r="Y546" s="114"/>
      <c r="Z546" s="114"/>
      <c r="AA546" s="114"/>
      <c r="AC546" s="114"/>
      <c r="AD546" s="114"/>
      <c r="AE546" s="114"/>
      <c r="AF546" s="114"/>
      <c r="AG546" s="114"/>
      <c r="AH546" s="114"/>
      <c r="AI546" s="114"/>
      <c r="AJ546" s="114"/>
      <c r="AK546" s="114"/>
      <c r="AL546" s="114"/>
      <c r="AM546" s="114"/>
      <c r="AN546" s="114"/>
      <c r="AO546" s="89"/>
      <c r="DW546" s="54"/>
      <c r="EA546" s="55"/>
      <c r="EB546" s="55"/>
      <c r="EC546" s="55"/>
      <c r="ED546" s="55"/>
      <c r="EE546" s="55"/>
    </row>
    <row r="547" spans="1:135" ht="12.6" thickBot="1" x14ac:dyDescent="0.45">
      <c r="A547" s="233"/>
      <c r="B547" s="679"/>
      <c r="C547" s="679"/>
      <c r="D547" s="113"/>
      <c r="E547" s="113"/>
      <c r="F547" s="113"/>
      <c r="G547" s="113"/>
      <c r="H547" s="113"/>
      <c r="I547" s="113"/>
      <c r="J547" s="113"/>
      <c r="K547" s="113"/>
      <c r="L547" s="113"/>
      <c r="M547" s="113"/>
      <c r="N547" s="114"/>
      <c r="O547" s="114"/>
      <c r="P547" s="114"/>
      <c r="Q547" s="114"/>
      <c r="R547" s="114"/>
      <c r="S547" s="114"/>
      <c r="T547" s="114"/>
      <c r="U547" s="114"/>
      <c r="V547" s="114"/>
      <c r="W547" s="114"/>
      <c r="X547" s="114"/>
      <c r="Y547" s="114"/>
      <c r="Z547" s="114"/>
      <c r="AA547" s="114"/>
      <c r="AB547" s="114"/>
      <c r="AC547" s="114"/>
      <c r="AD547" s="114"/>
      <c r="AE547" s="114"/>
      <c r="AF547" s="114"/>
      <c r="AG547" s="114"/>
      <c r="AH547" s="114"/>
      <c r="AI547" s="114"/>
      <c r="AJ547" s="114"/>
      <c r="AK547" s="114"/>
      <c r="AL547" s="114"/>
      <c r="AM547" s="114"/>
      <c r="CZ547" s="116"/>
      <c r="DA547" s="116"/>
      <c r="DB547" s="116"/>
      <c r="DC547" s="116"/>
      <c r="DD547" s="116"/>
      <c r="DE547" s="116"/>
      <c r="DF547" s="116"/>
      <c r="DG547" s="116"/>
      <c r="DH547" s="116"/>
      <c r="DI547" s="117" t="str">
        <f>"DJ"&amp;MIN(DK550:DK598)</f>
        <v>DJ550</v>
      </c>
      <c r="DJ547" s="118" t="str">
        <f>"DJ"&amp;MAX(DK550:DK598)</f>
        <v>DJ598</v>
      </c>
      <c r="DK547" s="116"/>
      <c r="DL547" s="117" t="str">
        <f>"DM"&amp;MIN(DN550:DN598)</f>
        <v>DM550</v>
      </c>
      <c r="DM547" s="118" t="str">
        <f>"DM"&amp;MAX(DN550:DN598)</f>
        <v>DM598</v>
      </c>
      <c r="DN547" s="116"/>
      <c r="DO547" s="117" t="str">
        <f>"DP"&amp;MIN(DQ550:DQ598)</f>
        <v>DP550</v>
      </c>
      <c r="DP547" s="118" t="str">
        <f>"DP"&amp;MAX(DQ550:DQ598)</f>
        <v>DP598</v>
      </c>
      <c r="DQ547" s="116"/>
      <c r="DW547" s="119"/>
      <c r="EA547" s="33"/>
      <c r="EB547" s="33"/>
      <c r="EC547" s="33"/>
      <c r="ED547" s="33"/>
      <c r="EE547" s="33"/>
    </row>
    <row r="548" spans="1:135" ht="24.9" thickBot="1" x14ac:dyDescent="0.5">
      <c r="A548" s="676" t="s">
        <v>65</v>
      </c>
      <c r="C548" s="680" t="str">
        <f>A566</f>
        <v>Base Cases</v>
      </c>
      <c r="D548" s="681"/>
      <c r="E548" s="682"/>
      <c r="F548" s="683" t="str">
        <f>A567</f>
        <v>Conservative Cases</v>
      </c>
      <c r="G548" s="684"/>
      <c r="H548" s="685"/>
      <c r="I548" s="686" t="str">
        <f>A568</f>
        <v>Ambitious Cases</v>
      </c>
      <c r="J548" s="687"/>
      <c r="K548" s="688"/>
      <c r="L548" s="692" t="str">
        <f>A569</f>
        <v>Maximum Cases</v>
      </c>
      <c r="M548" s="693"/>
      <c r="O548" s="122"/>
      <c r="P548" s="122"/>
      <c r="Q548" s="122"/>
      <c r="W548" s="691" t="s">
        <v>66</v>
      </c>
      <c r="X548" s="691"/>
      <c r="Y548" s="691"/>
      <c r="Z548" s="120"/>
      <c r="AA548" s="120"/>
      <c r="AB548" s="120"/>
      <c r="AC548" s="120"/>
      <c r="AD548" s="120"/>
      <c r="AE548" s="120"/>
      <c r="AF548" s="120"/>
      <c r="AG548" s="120"/>
      <c r="AH548" s="120"/>
      <c r="AI548" s="120"/>
      <c r="AJ548" s="120"/>
      <c r="AK548" s="120"/>
      <c r="AL548" s="120"/>
      <c r="AM548" s="120"/>
      <c r="AN548" s="120"/>
      <c r="BR548" s="121" t="s">
        <v>67</v>
      </c>
      <c r="BS548" s="121"/>
      <c r="BT548" s="121"/>
      <c r="BU548" s="121"/>
      <c r="BV548" s="121"/>
      <c r="BW548" s="122"/>
      <c r="BY548" s="121" t="s">
        <v>68</v>
      </c>
      <c r="BZ548" s="121"/>
      <c r="CA548" s="121"/>
      <c r="CB548" s="121"/>
      <c r="CC548" s="121"/>
      <c r="CD548" s="121"/>
      <c r="CG548" s="121" t="s">
        <v>69</v>
      </c>
      <c r="CH548" s="121"/>
      <c r="CI548" s="121"/>
      <c r="CJ548" s="121"/>
      <c r="CK548" s="121"/>
      <c r="CL548" s="121"/>
      <c r="CM548" s="121"/>
      <c r="CP548" s="121" t="s">
        <v>70</v>
      </c>
      <c r="CQ548" s="121"/>
      <c r="CR548" s="121"/>
      <c r="CS548" s="121"/>
      <c r="CT548" s="121"/>
      <c r="CU548" s="121"/>
      <c r="CZ548" s="123"/>
      <c r="DA548" s="123"/>
      <c r="DB548" s="123"/>
      <c r="DC548" s="123"/>
      <c r="DD548" s="123"/>
      <c r="DE548" s="123"/>
      <c r="DF548" s="123"/>
      <c r="DG548" s="123"/>
      <c r="DH548" s="123"/>
      <c r="DI548" s="124" t="str">
        <f>"DI"&amp;MIN(DK550:DK598)</f>
        <v>DI550</v>
      </c>
      <c r="DJ548" s="125" t="str">
        <f>"DI"&amp;MAX(DK550:DK598)</f>
        <v>DI598</v>
      </c>
      <c r="DK548" s="123"/>
      <c r="DL548" s="124" t="str">
        <f>"DL"&amp;MIN(DN550:DN598)</f>
        <v>DL550</v>
      </c>
      <c r="DM548" s="125" t="str">
        <f>"DL"&amp;MAX(DN550:DN598)</f>
        <v>DL598</v>
      </c>
      <c r="DN548" s="123"/>
      <c r="DO548" s="124" t="str">
        <f>"DO"&amp;MIN(DQ550:DQ598)</f>
        <v>DO550</v>
      </c>
      <c r="DP548" s="125" t="str">
        <f>"DO"&amp;MAX(DQ550:DQ598)</f>
        <v>DO598</v>
      </c>
      <c r="DQ548" s="123"/>
      <c r="DV548" s="126" t="s">
        <v>71</v>
      </c>
      <c r="DZ548" s="127" t="s">
        <v>72</v>
      </c>
      <c r="EA548" s="284" t="str">
        <f>$L$38</f>
        <v>3rd Poly</v>
      </c>
    </row>
    <row r="549" spans="1:135" ht="74.099999999999994" thickBot="1" x14ac:dyDescent="0.5">
      <c r="A549" s="676" t="s">
        <v>73</v>
      </c>
      <c r="B549" s="128"/>
      <c r="C549" s="129" t="str">
        <f>A550</f>
        <v>World Bank, What a Waste 2.0</v>
      </c>
      <c r="D549" s="130" t="str">
        <f>A551</f>
        <v>Bahor et al (2009)</v>
      </c>
      <c r="E549" s="131" t="str">
        <f>A552</f>
        <v>[Source 3]</v>
      </c>
      <c r="F549" s="129" t="str">
        <f>A553</f>
        <v>[Source 1]</v>
      </c>
      <c r="G549" s="130" t="str">
        <f>A554</f>
        <v>[Source 2]</v>
      </c>
      <c r="H549" s="131" t="str">
        <f>A555</f>
        <v>[Source 3]</v>
      </c>
      <c r="I549" s="129" t="str">
        <f>A556</f>
        <v xml:space="preserve"> IEA Annex I – Municipal solid waste potential in cities; Table I.1</v>
      </c>
      <c r="J549" s="130" t="str">
        <f>A557</f>
        <v>[Source 2]</v>
      </c>
      <c r="K549" s="131" t="str">
        <f>A558</f>
        <v>[Source 3]</v>
      </c>
      <c r="L549" s="129" t="str">
        <f>A559</f>
        <v>[Source 1]</v>
      </c>
      <c r="M549" s="131" t="str">
        <f>A560</f>
        <v>[Source 2]</v>
      </c>
      <c r="N549" s="234" t="s">
        <v>74</v>
      </c>
      <c r="O549" s="133"/>
      <c r="P549" s="133"/>
      <c r="Q549" s="133"/>
      <c r="R549" s="135" t="s">
        <v>76</v>
      </c>
      <c r="S549" s="134" t="s">
        <v>77</v>
      </c>
      <c r="T549" s="134" t="s">
        <v>78</v>
      </c>
      <c r="U549" s="136" t="s">
        <v>79</v>
      </c>
      <c r="V549" s="691"/>
      <c r="W549" s="136" t="s">
        <v>15</v>
      </c>
      <c r="X549" s="134" t="s">
        <v>21</v>
      </c>
      <c r="Y549" s="136" t="s">
        <v>25</v>
      </c>
      <c r="AA549" s="138"/>
      <c r="AB549" s="138"/>
      <c r="AC549" s="138"/>
      <c r="AD549" s="138"/>
      <c r="AE549" s="138"/>
      <c r="AF549" s="138"/>
      <c r="AG549" s="138"/>
      <c r="AH549" s="138"/>
      <c r="AI549" s="138"/>
      <c r="AJ549" s="138"/>
      <c r="AK549" s="138"/>
      <c r="AL549" s="138"/>
      <c r="AM549" s="138"/>
      <c r="AN549" s="138"/>
      <c r="BR549" s="139"/>
      <c r="BS549" s="139"/>
      <c r="BT549" s="139"/>
      <c r="BU549" s="139"/>
      <c r="BV549" s="139"/>
      <c r="BW549" s="122"/>
      <c r="BZ549" s="139"/>
      <c r="CA549" s="139"/>
      <c r="CB549" s="139"/>
      <c r="CC549" s="139"/>
      <c r="CD549" s="139"/>
      <c r="CH549" s="139"/>
      <c r="CI549" s="139"/>
      <c r="CJ549" s="139"/>
      <c r="CK549" s="139"/>
      <c r="CL549" s="139"/>
      <c r="CM549" s="139"/>
      <c r="CQ549" s="139"/>
      <c r="CR549" s="139"/>
      <c r="CS549" s="139"/>
      <c r="CT549" s="139"/>
      <c r="CU549" s="139"/>
      <c r="CZ549" s="140"/>
      <c r="DA549" s="140"/>
      <c r="DB549" s="140"/>
      <c r="DC549" s="140"/>
      <c r="DD549" s="141"/>
      <c r="DE549" s="141"/>
      <c r="DF549" s="141"/>
      <c r="DG549" s="141"/>
      <c r="DH549" s="140"/>
      <c r="DI549" s="142"/>
      <c r="DJ549" s="143"/>
      <c r="DK549" s="144"/>
      <c r="DL549" s="142"/>
      <c r="DM549" s="143"/>
      <c r="DN549" s="140"/>
      <c r="DO549" s="142"/>
      <c r="DP549" s="143"/>
      <c r="DQ549" s="140"/>
      <c r="DV549" s="145">
        <v>2014</v>
      </c>
      <c r="DW549" s="235">
        <f t="shared" ref="DW549:DW595" ca="1" si="286">IF($J$38="N","",IF($L$38="Linear",BV554,IF($L$38="2nd Poly",CD554,IF($L$38="3rd Poly",CM554,IF($L$38="Exp",CT554)))))</f>
        <v>239.15217241572992</v>
      </c>
      <c r="EA549" s="33" t="str">
        <f>$M$38</f>
        <v>Medium</v>
      </c>
      <c r="EB549" s="33"/>
      <c r="EC549" s="33"/>
      <c r="ED549" s="33"/>
      <c r="EE549" s="33"/>
    </row>
    <row r="550" spans="1:135" ht="14.1" thickBot="1" x14ac:dyDescent="0.5">
      <c r="A550" s="948" t="s">
        <v>549</v>
      </c>
      <c r="B550" s="128">
        <v>2012</v>
      </c>
      <c r="C550" s="977">
        <v>239.73886319020514</v>
      </c>
      <c r="D550" s="977">
        <v>239.73886319020514</v>
      </c>
      <c r="E550" s="239"/>
      <c r="F550" s="1095"/>
      <c r="G550" s="264"/>
      <c r="H550" s="239"/>
      <c r="I550" s="1152">
        <v>239.73886319020514</v>
      </c>
      <c r="J550" s="264"/>
      <c r="K550" s="239"/>
      <c r="L550" s="190"/>
      <c r="M550" s="239"/>
      <c r="N550" s="29" t="s">
        <v>119</v>
      </c>
      <c r="O550" s="120"/>
      <c r="P550" s="120"/>
      <c r="Q550" s="120"/>
      <c r="R550" s="29">
        <v>-2</v>
      </c>
      <c r="S550" s="288">
        <f t="shared" ref="S550:S598" si="287">IF(MIN(C550:Q550)=0,"",MIN(C550:Q550))</f>
        <v>239.73886319020514</v>
      </c>
      <c r="T550" s="288">
        <f t="shared" ref="T550:T598" si="288">IF(MAX(C550:Q550)=0,"",MAX(C550:Q550))</f>
        <v>239.73886319020514</v>
      </c>
      <c r="U550" s="288">
        <f t="shared" ref="U550:U598" si="289">IF(T550="","",_xlfn.STDEV.P(C550:Q550))</f>
        <v>0</v>
      </c>
      <c r="V550" s="29"/>
      <c r="W550" s="288">
        <f t="shared" ref="W550:W598" si="290">IF(U550="",#N/A,X550-(U550*$Q$38))</f>
        <v>239.73886319020514</v>
      </c>
      <c r="X550" s="288">
        <f t="shared" ref="X550:X581" si="291">IF(U550="",#N/A,(SUM(C550:Q550)/COUNTIFS(C550:Q550,"&gt;0")))</f>
        <v>239.73886319020514</v>
      </c>
      <c r="Y550" s="288">
        <f t="shared" ref="Y550:Y598" si="292">IF(U550="",#N/A,X550+(U550*$Q$37))</f>
        <v>239.73886319020514</v>
      </c>
      <c r="AA550" s="138"/>
      <c r="AB550" s="138"/>
      <c r="AC550" s="138"/>
      <c r="AD550" s="138"/>
      <c r="AE550" s="138"/>
      <c r="AF550" s="138"/>
      <c r="AG550" s="138"/>
      <c r="AH550" s="138"/>
      <c r="AI550" s="138"/>
      <c r="AJ550" s="138"/>
      <c r="AK550" s="138"/>
      <c r="AL550" s="138"/>
      <c r="AM550" s="138"/>
      <c r="AN550" s="138"/>
      <c r="BR550" s="691" t="s">
        <v>81</v>
      </c>
      <c r="BS550" s="65" t="str">
        <f>$M$38</f>
        <v>Medium</v>
      </c>
      <c r="BT550" s="691" t="s">
        <v>82</v>
      </c>
      <c r="BU550" s="691" t="s">
        <v>83</v>
      </c>
      <c r="BW550" s="133"/>
      <c r="BY550" s="691" t="s">
        <v>81</v>
      </c>
      <c r="BZ550" s="65" t="str">
        <f>$M$38</f>
        <v>Medium</v>
      </c>
      <c r="CA550" s="691" t="s">
        <v>84</v>
      </c>
      <c r="CB550" s="691" t="s">
        <v>82</v>
      </c>
      <c r="CC550" s="691" t="s">
        <v>83</v>
      </c>
      <c r="CG550" s="691" t="s">
        <v>81</v>
      </c>
      <c r="CH550" s="65" t="str">
        <f>$M$38</f>
        <v>Medium</v>
      </c>
      <c r="CI550" s="691" t="s">
        <v>85</v>
      </c>
      <c r="CJ550" s="691" t="s">
        <v>84</v>
      </c>
      <c r="CK550" s="691" t="s">
        <v>82</v>
      </c>
      <c r="CL550" s="691" t="s">
        <v>83</v>
      </c>
      <c r="CP550" s="691" t="s">
        <v>81</v>
      </c>
      <c r="CQ550" s="65" t="str">
        <f>$M$38</f>
        <v>Medium</v>
      </c>
      <c r="CR550" s="691" t="s">
        <v>86</v>
      </c>
      <c r="CS550" s="691" t="s">
        <v>87</v>
      </c>
      <c r="CZ550" s="155" t="b">
        <f t="shared" ref="CZ550:DB589" si="293">ISNUMBER(W550)</f>
        <v>1</v>
      </c>
      <c r="DA550" s="156" t="b">
        <f t="shared" si="293"/>
        <v>1</v>
      </c>
      <c r="DB550" s="157" t="b">
        <f t="shared" si="293"/>
        <v>1</v>
      </c>
      <c r="DC550" s="155">
        <f t="shared" ref="DC550:DC598" si="294">IF(CZ550=TRUE,$R550,"")</f>
        <v>-2</v>
      </c>
      <c r="DD550" s="157">
        <f t="shared" ref="DD550:DD598" si="295">IF(CZ550=TRUE,W550,"")</f>
        <v>239.73886319020514</v>
      </c>
      <c r="DE550" s="155">
        <f t="shared" ref="DE550:DE598" si="296">IF(DA550=TRUE,$R550,"")</f>
        <v>-2</v>
      </c>
      <c r="DF550" s="157">
        <f t="shared" ref="DF550:DF598" si="297">IF(DA550=TRUE,X550,"")</f>
        <v>239.73886319020514</v>
      </c>
      <c r="DG550" s="155">
        <f t="shared" ref="DG550:DG598" si="298">IF(DB550=TRUE,$R550,"")</f>
        <v>-2</v>
      </c>
      <c r="DH550" s="157">
        <f t="shared" ref="DH550:DH598" si="299">IF(DB550=TRUE,Y550,"")</f>
        <v>239.73886319020514</v>
      </c>
      <c r="DI550" s="155">
        <f>IFERROR(INDEX(DC$550:DC$598,_xlfn.AGGREGATE(15,6,(ROW(DC$550:DC$598)-ROW(DC$550)+1)/(DC$550:DC$598&lt;&gt;""),ROWS(DI$1:DI1))),"")</f>
        <v>-2</v>
      </c>
      <c r="DJ550" s="156">
        <f>IFERROR(INDEX(DD$550:DD$598,_xlfn.AGGREGATE(15,6,(ROW(DD$550:DD$598)-ROW(DD$550)+1)/(DD$550:DD$598&lt;&gt;""),ROWS(DJ$1:DJ1))),"")</f>
        <v>239.73886319020514</v>
      </c>
      <c r="DK550" s="157">
        <f t="shared" ref="DK550:DK598" si="300">IF(ISNUMBER(DI550),ROW(DI550),"")</f>
        <v>550</v>
      </c>
      <c r="DL550" s="155">
        <f>IFERROR(INDEX(DE$550:DE$598,_xlfn.AGGREGATE(15,6,(ROW(DE$550:DE$598)-ROW(DE$550)+1)/(DE$550:DE$598&lt;&gt;""),ROWS(DL$1:DL1))),"")</f>
        <v>-2</v>
      </c>
      <c r="DM550" s="156">
        <f>IFERROR(INDEX(DF$550:DF$598,_xlfn.AGGREGATE(15,6,(ROW(DF$550:DF$598)-ROW(DF$550)+1)/(DF$550:DF$598&lt;&gt;""),ROWS(DM$1:DM1))),"")</f>
        <v>239.73886319020514</v>
      </c>
      <c r="DN550" s="157">
        <f t="shared" ref="DN550:DN598" si="301">IF(ISNUMBER(DI550),ROW(DI550),"")</f>
        <v>550</v>
      </c>
      <c r="DO550" s="155">
        <f>IFERROR(INDEX(DG$550:DG$598,_xlfn.AGGREGATE(15,6,(ROW(DG$550:DG$598)-ROW(DG$550)+1)/(DG$550:DG$598&lt;&gt;""),ROWS(DO$1:DO1))),"")</f>
        <v>-2</v>
      </c>
      <c r="DP550" s="156">
        <f>IFERROR(INDEX(DH$550:DH$598,_xlfn.AGGREGATE(15,6,(ROW(DH$550:DH$598)-ROW(DH$550)+1)/(DH$550:DH$598&lt;&gt;""),ROWS(DP$1:DP1))),"")</f>
        <v>239.73886319020514</v>
      </c>
      <c r="DQ550" s="157">
        <f t="shared" ref="DQ550:DQ598" si="302">IF(ISNUMBER(DL550),ROW(DL550),"")</f>
        <v>550</v>
      </c>
      <c r="DV550" s="145">
        <v>2015</v>
      </c>
      <c r="DW550" s="235">
        <f t="shared" ca="1" si="286"/>
        <v>238.83264179689422</v>
      </c>
      <c r="EA550" s="33"/>
      <c r="EB550" s="33"/>
      <c r="EC550" s="33"/>
      <c r="ED550" s="33"/>
      <c r="EE550" s="33"/>
    </row>
    <row r="551" spans="1:135" ht="13.8" x14ac:dyDescent="0.45">
      <c r="A551" s="948" t="s">
        <v>110</v>
      </c>
      <c r="B551" s="128">
        <v>2013</v>
      </c>
      <c r="C551" s="977">
        <v>240.02663764265384</v>
      </c>
      <c r="D551" s="977">
        <v>240.02663764265384</v>
      </c>
      <c r="E551" s="239"/>
      <c r="F551" s="1095"/>
      <c r="G551" s="264"/>
      <c r="H551" s="239"/>
      <c r="I551" s="1152">
        <v>240.02663764265384</v>
      </c>
      <c r="J551" s="264"/>
      <c r="K551" s="239"/>
      <c r="L551" s="190"/>
      <c r="M551" s="239"/>
      <c r="N551" s="29" t="s">
        <v>119</v>
      </c>
      <c r="O551" s="120"/>
      <c r="P551" s="120"/>
      <c r="Q551" s="120"/>
      <c r="R551" s="29">
        <v>-1</v>
      </c>
      <c r="S551" s="288">
        <f t="shared" si="287"/>
        <v>240.02663764265384</v>
      </c>
      <c r="T551" s="288">
        <f t="shared" si="288"/>
        <v>240.02663764265384</v>
      </c>
      <c r="U551" s="288">
        <f t="shared" si="289"/>
        <v>2.8421709430404007E-14</v>
      </c>
      <c r="V551" s="29"/>
      <c r="W551" s="288">
        <f t="shared" si="290"/>
        <v>240.02663764265378</v>
      </c>
      <c r="X551" s="288">
        <f t="shared" si="291"/>
        <v>240.02663764265381</v>
      </c>
      <c r="Y551" s="288">
        <f t="shared" si="292"/>
        <v>240.02663764265384</v>
      </c>
      <c r="AA551" s="138"/>
      <c r="AB551" s="138"/>
      <c r="AC551" s="138"/>
      <c r="AD551" s="138"/>
      <c r="AE551" s="138"/>
      <c r="AF551" s="138"/>
      <c r="AG551" s="138"/>
      <c r="AH551" s="138"/>
      <c r="AI551" s="138"/>
      <c r="AJ551" s="138"/>
      <c r="AK551" s="138"/>
      <c r="AL551" s="138"/>
      <c r="AM551" s="138"/>
      <c r="AN551" s="138"/>
      <c r="BS551" s="160" t="s">
        <v>25</v>
      </c>
      <c r="BT551" s="161">
        <f>SLOPE((DH550:DH598),($B$46:$B$94))</f>
        <v>2.9866183692665111</v>
      </c>
      <c r="BU551" s="162">
        <f>INTERCEPT(DP550:DP598,DO550:DO598)</f>
        <v>249.93998635087991</v>
      </c>
      <c r="BW551" s="133"/>
      <c r="BZ551" s="160" t="s">
        <v>25</v>
      </c>
      <c r="CA551" s="161">
        <f ca="1">INDEX(LINEST((INDIRECT(DO547):INDIRECT(DP547)),(INDIRECT(DO548):INDIRECT(DP548))^{1,2}),1)</f>
        <v>-1.9962286352390359E-2</v>
      </c>
      <c r="CB551" s="163">
        <f ca="1">INDEX(LINEST((INDIRECT(DO547):INDIRECT(DP547)),(INDIRECT(DO548):INDIRECT(DP548))^{1,2}),1,2)</f>
        <v>3.8649589687716861</v>
      </c>
      <c r="CC551" s="162">
        <f ca="1">INDEX(LINEST((INDIRECT(DO547):INDIRECT(DP547)),(INDIRECT(DO548):INDIRECT(DP548))^{1,2}),1,3)</f>
        <v>244.27069702680103</v>
      </c>
      <c r="CH551" s="160" t="s">
        <v>25</v>
      </c>
      <c r="CI551" s="161">
        <f ca="1">INDEX(LINEST((INDIRECT(DO547):INDIRECT(DP547)),(INDIRECT(DO548):INDIRECT(DP548))^{1,2,3}),1)</f>
        <v>1.1045249982829411E-3</v>
      </c>
      <c r="CJ551" s="163">
        <f ca="1">INDEX(LINEST((INDIRECT(DO547):INDIRECT(DP547)),(INDIRECT(DO548):INDIRECT(DP548))^{1,2,3}),1,2)</f>
        <v>-9.2860936239064523E-2</v>
      </c>
      <c r="CK551" s="163">
        <f ca="1">INDEX(LINEST((INDIRECT(DO547):INDIRECT(DP547)),(INDIRECT(DO548):INDIRECT(DP548))^{1,2,3}),1,3)</f>
        <v>5.0713211718963178</v>
      </c>
      <c r="CL551" s="162">
        <f ca="1">INDEX(LINEST((INDIRECT(DO547):INDIRECT(DP547)),(INDIRECT(DO548):INDIRECT(DP548))^{1,2,3}),1,4)</f>
        <v>241.25269292149267</v>
      </c>
      <c r="CQ551" s="160" t="s">
        <v>25</v>
      </c>
      <c r="CR551" s="161">
        <f ca="1">EXP(INDEX(LINEST(LN(INDIRECT(DO547):INDIRECT(DP547)),(INDIRECT(DO548):INDIRECT(DP548))),1,2))</f>
        <v>252.54379674150002</v>
      </c>
      <c r="CS551" s="162">
        <f ca="1">INDEX(LINEST(LN(INDIRECT(DO547):INDIRECT(DP547)),(INDIRECT(DO548):INDIRECT(DP548))),1)</f>
        <v>9.7006497672251328E-3</v>
      </c>
      <c r="CZ551" s="164" t="b">
        <f t="shared" si="293"/>
        <v>1</v>
      </c>
      <c r="DA551" s="165" t="b">
        <f t="shared" si="293"/>
        <v>1</v>
      </c>
      <c r="DB551" s="166" t="b">
        <f t="shared" si="293"/>
        <v>1</v>
      </c>
      <c r="DC551" s="164">
        <f t="shared" si="294"/>
        <v>-1</v>
      </c>
      <c r="DD551" s="166">
        <f t="shared" si="295"/>
        <v>240.02663764265378</v>
      </c>
      <c r="DE551" s="164">
        <f t="shared" si="296"/>
        <v>-1</v>
      </c>
      <c r="DF551" s="166">
        <f t="shared" si="297"/>
        <v>240.02663764265381</v>
      </c>
      <c r="DG551" s="164">
        <f t="shared" si="298"/>
        <v>-1</v>
      </c>
      <c r="DH551" s="166">
        <f t="shared" si="299"/>
        <v>240.02663764265384</v>
      </c>
      <c r="DI551" s="164">
        <f>IFERROR(INDEX(DC$550:DC$598,_xlfn.AGGREGATE(15,6,(ROW(DC$550:DC$598)-ROW(DC$550)+1)/(DC$550:DC$598&lt;&gt;""),ROWS(DI$1:DI2))),"")</f>
        <v>-1</v>
      </c>
      <c r="DJ551" s="165">
        <f>IFERROR(INDEX(DD$550:DD$598,_xlfn.AGGREGATE(15,6,(ROW(DD$550:DD$598)-ROW(DD$550)+1)/(DD$550:DD$598&lt;&gt;""),ROWS(DJ$1:DJ2))),"")</f>
        <v>240.02663764265378</v>
      </c>
      <c r="DK551" s="166">
        <f t="shared" si="300"/>
        <v>551</v>
      </c>
      <c r="DL551" s="164">
        <f>IFERROR(INDEX(DE$550:DE$598,_xlfn.AGGREGATE(15,6,(ROW(DE$550:DE$598)-ROW(DE$550)+1)/(DE$550:DE$598&lt;&gt;""),ROWS(DL$1:DL2))),"")</f>
        <v>-1</v>
      </c>
      <c r="DM551" s="165">
        <f>IFERROR(INDEX(DF$550:DF$598,_xlfn.AGGREGATE(15,6,(ROW(DF$550:DF$598)-ROW(DF$550)+1)/(DF$550:DF$598&lt;&gt;""),ROWS(DM$1:DM2))),"")</f>
        <v>240.02663764265381</v>
      </c>
      <c r="DN551" s="166">
        <f t="shared" si="301"/>
        <v>551</v>
      </c>
      <c r="DO551" s="164">
        <f>IFERROR(INDEX(DG$550:DG$598,_xlfn.AGGREGATE(15,6,(ROW(DG$550:DG$598)-ROW(DG$550)+1)/(DG$550:DG$598&lt;&gt;""),ROWS(DO$1:DO2))),"")</f>
        <v>-1</v>
      </c>
      <c r="DP551" s="165">
        <f>IFERROR(INDEX(DH$550:DH$598,_xlfn.AGGREGATE(15,6,(ROW(DH$550:DH$598)-ROW(DH$550)+1)/(DH$550:DH$598&lt;&gt;""),ROWS(DP$1:DP2))),"")</f>
        <v>240.02663764265384</v>
      </c>
      <c r="DQ551" s="166">
        <f t="shared" si="302"/>
        <v>551</v>
      </c>
      <c r="DV551" s="145">
        <v>2016</v>
      </c>
      <c r="DW551" s="235">
        <f t="shared" ca="1" si="286"/>
        <v>238.68415956325427</v>
      </c>
      <c r="EA551" s="33"/>
      <c r="EB551" s="33"/>
      <c r="EC551" s="33"/>
      <c r="ED551" s="33"/>
      <c r="EE551" s="33"/>
    </row>
    <row r="552" spans="1:135" ht="13.8" x14ac:dyDescent="0.45">
      <c r="A552" s="148" t="s">
        <v>90</v>
      </c>
      <c r="B552" s="128">
        <v>2014</v>
      </c>
      <c r="C552" s="977">
        <v>240.31441209510257</v>
      </c>
      <c r="D552" s="977">
        <v>240.31441209510257</v>
      </c>
      <c r="E552" s="169"/>
      <c r="F552" s="1095"/>
      <c r="G552" s="168"/>
      <c r="H552" s="169"/>
      <c r="I552" s="1152">
        <v>240.31441209510257</v>
      </c>
      <c r="J552" s="168"/>
      <c r="K552" s="169"/>
      <c r="L552" s="170"/>
      <c r="M552" s="169"/>
      <c r="N552" s="29" t="s">
        <v>119</v>
      </c>
      <c r="O552" s="120"/>
      <c r="P552" s="120"/>
      <c r="Q552" s="120"/>
      <c r="R552" s="29">
        <v>0</v>
      </c>
      <c r="S552" s="288">
        <f t="shared" si="287"/>
        <v>240.31441209510257</v>
      </c>
      <c r="T552" s="288">
        <f t="shared" si="288"/>
        <v>240.31441209510257</v>
      </c>
      <c r="U552" s="288">
        <f t="shared" si="289"/>
        <v>2.8421709430404007E-14</v>
      </c>
      <c r="V552" s="29"/>
      <c r="W552" s="288">
        <f t="shared" si="290"/>
        <v>240.31441209510251</v>
      </c>
      <c r="X552" s="288">
        <f t="shared" si="291"/>
        <v>240.31441209510254</v>
      </c>
      <c r="Y552" s="288">
        <f t="shared" si="292"/>
        <v>240.31441209510257</v>
      </c>
      <c r="AA552" s="138"/>
      <c r="AB552" s="138"/>
      <c r="AC552" s="138"/>
      <c r="AD552" s="138"/>
      <c r="AE552" s="138"/>
      <c r="AF552" s="138"/>
      <c r="AG552" s="138"/>
      <c r="AH552" s="138"/>
      <c r="AI552" s="138"/>
      <c r="AJ552" s="138"/>
      <c r="AK552" s="138"/>
      <c r="AL552" s="138"/>
      <c r="AM552" s="138"/>
      <c r="AN552" s="138"/>
      <c r="BS552" s="160" t="s">
        <v>91</v>
      </c>
      <c r="BT552" s="304">
        <f>SLOPE((DF550:DF598),($B$46:$B$94))</f>
        <v>1.6416563593047617</v>
      </c>
      <c r="BU552" s="305">
        <f>INTERCEPT(DM550:DM598,DL550:DL598)</f>
        <v>230.33436221310069</v>
      </c>
      <c r="BZ552" s="160" t="s">
        <v>91</v>
      </c>
      <c r="CA552" s="304">
        <f ca="1">INDEX(LINEST((INDIRECT(DL547):INDIRECT(DM547)),(INDIRECT(DL548):INDIRECT(DM548))^{1,2}),1)</f>
        <v>2.1229830530568351E-2</v>
      </c>
      <c r="CB552" s="306">
        <f ca="1">INDEX(LINEST((INDIRECT(DL547):INDIRECT(DM547)),(INDIRECT(DL548):INDIRECT(DM548))^{1,2}),1,2)</f>
        <v>0.70754381595975513</v>
      </c>
      <c r="CC552" s="305">
        <f ca="1">INDEX(LINEST((INDIRECT(DL547):INDIRECT(DM547)),(INDIRECT(DL548):INDIRECT(DM548))^{1,2}),1,3)</f>
        <v>236.36363408378207</v>
      </c>
      <c r="CH552" s="160" t="s">
        <v>91</v>
      </c>
      <c r="CI552" s="304">
        <f ca="1">INDEX(LINEST((INDIRECT(DL547):INDIRECT(DM547)),(INDIRECT(DL548):INDIRECT(DM548))^{1,2,3}),1)</f>
        <v>-1.0205454296398219E-3</v>
      </c>
      <c r="CJ552" s="306">
        <f ca="1">INDEX(LINEST((INDIRECT(DL547):INDIRECT(DM547)),(INDIRECT(DL548):INDIRECT(DM548))^{1,2,3}),1,2)</f>
        <v>8.8585828886796586E-2</v>
      </c>
      <c r="CK552" s="306">
        <f ca="1">INDEX(LINEST((INDIRECT(DL547):INDIRECT(DM547)),(INDIRECT(DL548):INDIRECT(DM548))^{1,2,3}),1,3)</f>
        <v>-0.40709590229285797</v>
      </c>
      <c r="CL552" s="305">
        <f ca="1">INDEX(LINEST((INDIRECT(DL547):INDIRECT(DM547)),(INDIRECT(DL548):INDIRECT(DM548))^{1,2,3}),1,4)</f>
        <v>239.15217241572992</v>
      </c>
      <c r="CQ552" s="160" t="s">
        <v>91</v>
      </c>
      <c r="CR552" s="304">
        <f ca="1">EXP(INDEX(LINEST(LN(INDIRECT(DL547):INDIRECT(DM547)),(INDIRECT(DL548):INDIRECT(DM548))),1,2))</f>
        <v>231.98398558817138</v>
      </c>
      <c r="CS552" s="305">
        <f ca="1">INDEX(LINEST(LN(INDIRECT(DL547):INDIRECT(DM547)),(INDIRECT(DL548):INDIRECT(DM548))),1)</f>
        <v>6.1191528017394796E-3</v>
      </c>
      <c r="CZ552" s="164" t="b">
        <f t="shared" si="293"/>
        <v>1</v>
      </c>
      <c r="DA552" s="165" t="b">
        <f t="shared" si="293"/>
        <v>1</v>
      </c>
      <c r="DB552" s="166" t="b">
        <f t="shared" si="293"/>
        <v>1</v>
      </c>
      <c r="DC552" s="164">
        <f t="shared" si="294"/>
        <v>0</v>
      </c>
      <c r="DD552" s="166">
        <f t="shared" si="295"/>
        <v>240.31441209510251</v>
      </c>
      <c r="DE552" s="164">
        <f t="shared" si="296"/>
        <v>0</v>
      </c>
      <c r="DF552" s="166">
        <f t="shared" si="297"/>
        <v>240.31441209510254</v>
      </c>
      <c r="DG552" s="164">
        <f t="shared" si="298"/>
        <v>0</v>
      </c>
      <c r="DH552" s="166">
        <f t="shared" si="299"/>
        <v>240.31441209510257</v>
      </c>
      <c r="DI552" s="164">
        <f>IFERROR(INDEX(DC$550:DC$598,_xlfn.AGGREGATE(15,6,(ROW(DC$550:DC$598)-ROW(DC$550)+1)/(DC$550:DC$598&lt;&gt;""),ROWS(DI$1:DI3))),"")</f>
        <v>0</v>
      </c>
      <c r="DJ552" s="165">
        <f>IFERROR(INDEX(DD$550:DD$598,_xlfn.AGGREGATE(15,6,(ROW(DD$550:DD$598)-ROW(DD$550)+1)/(DD$550:DD$598&lt;&gt;""),ROWS(DJ$1:DJ3))),"")</f>
        <v>240.31441209510251</v>
      </c>
      <c r="DK552" s="166">
        <f t="shared" si="300"/>
        <v>552</v>
      </c>
      <c r="DL552" s="164">
        <f>IFERROR(INDEX(DE$550:DE$598,_xlfn.AGGREGATE(15,6,(ROW(DE$550:DE$598)-ROW(DE$550)+1)/(DE$550:DE$598&lt;&gt;""),ROWS(DL$1:DL3))),"")</f>
        <v>0</v>
      </c>
      <c r="DM552" s="165">
        <f>IFERROR(INDEX(DF$550:DF$598,_xlfn.AGGREGATE(15,6,(ROW(DF$550:DF$598)-ROW(DF$550)+1)/(DF$550:DF$598&lt;&gt;""),ROWS(DM$1:DM3))),"")</f>
        <v>240.31441209510254</v>
      </c>
      <c r="DN552" s="166">
        <f t="shared" si="301"/>
        <v>552</v>
      </c>
      <c r="DO552" s="164">
        <f>IFERROR(INDEX(DG$550:DG$598,_xlfn.AGGREGATE(15,6,(ROW(DG$550:DG$598)-ROW(DG$550)+1)/(DG$550:DG$598&lt;&gt;""),ROWS(DO$1:DO3))),"")</f>
        <v>0</v>
      </c>
      <c r="DP552" s="165">
        <f>IFERROR(INDEX(DH$550:DH$598,_xlfn.AGGREGATE(15,6,(ROW(DH$550:DH$598)-ROW(DH$550)+1)/(DH$550:DH$598&lt;&gt;""),ROWS(DP$1:DP3))),"")</f>
        <v>240.31441209510257</v>
      </c>
      <c r="DQ552" s="166">
        <f t="shared" si="302"/>
        <v>552</v>
      </c>
      <c r="DV552" s="145">
        <v>2017</v>
      </c>
      <c r="DW552" s="235">
        <f t="shared" ca="1" si="286"/>
        <v>238.70060244223225</v>
      </c>
      <c r="DZ552" s="65" t="s">
        <v>89</v>
      </c>
      <c r="EA552" s="33"/>
      <c r="EB552" s="33"/>
      <c r="EC552" s="33"/>
      <c r="ED552" s="33"/>
      <c r="EE552" s="33"/>
    </row>
    <row r="553" spans="1:135" ht="14.1" thickBot="1" x14ac:dyDescent="0.5">
      <c r="A553" s="949" t="s">
        <v>80</v>
      </c>
      <c r="B553" s="128">
        <v>2015</v>
      </c>
      <c r="C553" s="977">
        <v>240.6021865475513</v>
      </c>
      <c r="D553" s="977">
        <v>240.6021865475513</v>
      </c>
      <c r="E553" s="308"/>
      <c r="F553" s="1095"/>
      <c r="G553" s="307"/>
      <c r="H553" s="308"/>
      <c r="I553" s="1152">
        <v>240.6021865475513</v>
      </c>
      <c r="J553" s="307"/>
      <c r="K553" s="308"/>
      <c r="L553" s="309"/>
      <c r="M553" s="308"/>
      <c r="N553" s="29" t="s">
        <v>119</v>
      </c>
      <c r="O553" s="120"/>
      <c r="P553" s="120"/>
      <c r="Q553" s="120"/>
      <c r="R553" s="29">
        <v>1</v>
      </c>
      <c r="S553" s="288">
        <f t="shared" si="287"/>
        <v>240.6021865475513</v>
      </c>
      <c r="T553" s="288">
        <f t="shared" si="288"/>
        <v>240.6021865475513</v>
      </c>
      <c r="U553" s="288">
        <f t="shared" si="289"/>
        <v>2.8421709430404007E-14</v>
      </c>
      <c r="V553" s="29"/>
      <c r="W553" s="288">
        <f t="shared" si="290"/>
        <v>240.60218654755124</v>
      </c>
      <c r="X553" s="288">
        <f t="shared" si="291"/>
        <v>240.60218654755127</v>
      </c>
      <c r="Y553" s="288">
        <f t="shared" si="292"/>
        <v>240.6021865475513</v>
      </c>
      <c r="AA553" s="138"/>
      <c r="AB553" s="138"/>
      <c r="AC553" s="138"/>
      <c r="AD553" s="138"/>
      <c r="AE553" s="138"/>
      <c r="AF553" s="138"/>
      <c r="AG553" s="138"/>
      <c r="AH553" s="138"/>
      <c r="AI553" s="138"/>
      <c r="AJ553" s="138"/>
      <c r="AK553" s="138"/>
      <c r="AL553" s="138"/>
      <c r="AM553" s="138"/>
      <c r="AN553" s="138"/>
      <c r="BR553" s="29"/>
      <c r="BS553" s="160" t="s">
        <v>15</v>
      </c>
      <c r="BT553" s="310">
        <f>SLOPE((DD550:DD598),($B$46:$B$94))</f>
        <v>0.2966943493430137</v>
      </c>
      <c r="BU553" s="311">
        <f>INTERCEPT(DJ550:DJ598,DI550:DI598)</f>
        <v>210.72873807532139</v>
      </c>
      <c r="BV553" s="691" t="s">
        <v>71</v>
      </c>
      <c r="BY553" s="29"/>
      <c r="BZ553" s="160" t="s">
        <v>15</v>
      </c>
      <c r="CA553" s="310">
        <f ca="1">INDEX(LINEST((INDIRECT(DI547):INDIRECT(DJ547)),(INDIRECT(DI548):INDIRECT(DJ548))^{1,2}),1)</f>
        <v>6.2421947413527058E-2</v>
      </c>
      <c r="CB553" s="312">
        <f ca="1">INDEX(LINEST((INDIRECT(DI547):INDIRECT(DJ547)),(INDIRECT(DI548):INDIRECT(DJ548))^{1,2}),1,2)</f>
        <v>-2.4498713368521763</v>
      </c>
      <c r="CC553" s="311">
        <f ca="1">INDEX(LINEST((INDIRECT(DI547):INDIRECT(DJ547)),(INDIRECT(DI548):INDIRECT(DJ548))^{1,2}),1,3)</f>
        <v>228.45657114076306</v>
      </c>
      <c r="CD553" s="691" t="s">
        <v>71</v>
      </c>
      <c r="CG553" s="29"/>
      <c r="CH553" s="160" t="s">
        <v>15</v>
      </c>
      <c r="CI553" s="310">
        <f ca="1">INDEX(LINEST((INDIRECT(DI547):INDIRECT(DJ547)),(INDIRECT(DI548):INDIRECT(DJ548))^{1,2,3}),1)</f>
        <v>-3.1456158575625865E-3</v>
      </c>
      <c r="CJ553" s="312">
        <f ca="1">INDEX(LINEST((INDIRECT(DI547):INDIRECT(DJ547)),(INDIRECT(DI548):INDIRECT(DJ548))^{1,2,3}),1,2)</f>
        <v>0.27003259401265778</v>
      </c>
      <c r="CK553" s="312">
        <f ca="1">INDEX(LINEST((INDIRECT(DI547):INDIRECT(DJ547)),(INDIRECT(DI548):INDIRECT(DJ548))^{1,2,3}),1,3)</f>
        <v>-5.8855129764820351</v>
      </c>
      <c r="CL553" s="311">
        <f ca="1">INDEX(LINEST((INDIRECT(DI547):INDIRECT(DJ547)),(INDIRECT(DI548):INDIRECT(DJ548))^{1,2,3}),1,4)</f>
        <v>237.05165190996706</v>
      </c>
      <c r="CM553" s="691" t="s">
        <v>71</v>
      </c>
      <c r="CP553" s="29"/>
      <c r="CQ553" s="160" t="s">
        <v>15</v>
      </c>
      <c r="CR553" s="310">
        <f ca="1">EXP(INDEX(LINEST(LN(INDIRECT(DI547):INDIRECT(DJ547)),(INDIRECT(DI548):INDIRECT(DJ548))),1,2))</f>
        <v>209.77403489616867</v>
      </c>
      <c r="CS553" s="311">
        <f ca="1">INDEX(LINEST(LN(INDIRECT(DI547):INDIRECT(DJ547)),(INDIRECT(DI548):INDIRECT(DJ548))),1)</f>
        <v>1.4728258160741363E-3</v>
      </c>
      <c r="CT553" s="691" t="s">
        <v>71</v>
      </c>
      <c r="CZ553" s="164" t="b">
        <f t="shared" si="293"/>
        <v>1</v>
      </c>
      <c r="DA553" s="165" t="b">
        <f t="shared" si="293"/>
        <v>1</v>
      </c>
      <c r="DB553" s="166" t="b">
        <f t="shared" si="293"/>
        <v>1</v>
      </c>
      <c r="DC553" s="164">
        <f t="shared" si="294"/>
        <v>1</v>
      </c>
      <c r="DD553" s="166">
        <f t="shared" si="295"/>
        <v>240.60218654755124</v>
      </c>
      <c r="DE553" s="164">
        <f t="shared" si="296"/>
        <v>1</v>
      </c>
      <c r="DF553" s="166">
        <f t="shared" si="297"/>
        <v>240.60218654755127</v>
      </c>
      <c r="DG553" s="164">
        <f t="shared" si="298"/>
        <v>1</v>
      </c>
      <c r="DH553" s="166">
        <f t="shared" si="299"/>
        <v>240.6021865475513</v>
      </c>
      <c r="DI553" s="164">
        <f>IFERROR(INDEX(DC$550:DC$598,_xlfn.AGGREGATE(15,6,(ROW(DC$550:DC$598)-ROW(DC$550)+1)/(DC$550:DC$598&lt;&gt;""),ROWS(DI$1:DI4))),"")</f>
        <v>1</v>
      </c>
      <c r="DJ553" s="165">
        <f>IFERROR(INDEX(DD$550:DD$598,_xlfn.AGGREGATE(15,6,(ROW(DD$550:DD$598)-ROW(DD$550)+1)/(DD$550:DD$598&lt;&gt;""),ROWS(DJ$1:DJ4))),"")</f>
        <v>240.60218654755124</v>
      </c>
      <c r="DK553" s="166">
        <f t="shared" si="300"/>
        <v>553</v>
      </c>
      <c r="DL553" s="164">
        <f>IFERROR(INDEX(DE$550:DE$598,_xlfn.AGGREGATE(15,6,(ROW(DE$550:DE$598)-ROW(DE$550)+1)/(DE$550:DE$598&lt;&gt;""),ROWS(DL$1:DL4))),"")</f>
        <v>1</v>
      </c>
      <c r="DM553" s="165">
        <f>IFERROR(INDEX(DF$550:DF$598,_xlfn.AGGREGATE(15,6,(ROW(DF$550:DF$598)-ROW(DF$550)+1)/(DF$550:DF$598&lt;&gt;""),ROWS(DM$1:DM4))),"")</f>
        <v>240.60218654755127</v>
      </c>
      <c r="DN553" s="166">
        <f t="shared" si="301"/>
        <v>553</v>
      </c>
      <c r="DO553" s="164">
        <f>IFERROR(INDEX(DG$550:DG$598,_xlfn.AGGREGATE(15,6,(ROW(DG$550:DG$598)-ROW(DG$550)+1)/(DG$550:DG$598&lt;&gt;""),ROWS(DO$1:DO4))),"")</f>
        <v>1</v>
      </c>
      <c r="DP553" s="165">
        <f>IFERROR(INDEX(DH$550:DH$598,_xlfn.AGGREGATE(15,6,(ROW(DH$550:DH$598)-ROW(DH$550)+1)/(DH$550:DH$598&lt;&gt;""),ROWS(DP$1:DP4))),"")</f>
        <v>240.6021865475513</v>
      </c>
      <c r="DQ553" s="166">
        <f t="shared" si="302"/>
        <v>553</v>
      </c>
      <c r="DV553" s="145">
        <v>2018</v>
      </c>
      <c r="DW553" s="235">
        <f t="shared" ca="1" si="286"/>
        <v>238.87584716125028</v>
      </c>
      <c r="EA553" s="33" t="s">
        <v>85</v>
      </c>
      <c r="EB553" s="33" t="s">
        <v>84</v>
      </c>
      <c r="EC553" s="33" t="s">
        <v>82</v>
      </c>
      <c r="ED553" s="33" t="s">
        <v>83</v>
      </c>
      <c r="EE553" s="33"/>
    </row>
    <row r="554" spans="1:135" ht="13.8" x14ac:dyDescent="0.45">
      <c r="A554" s="148" t="s">
        <v>88</v>
      </c>
      <c r="B554" s="128">
        <v>2016</v>
      </c>
      <c r="C554" s="977">
        <v>240.889961</v>
      </c>
      <c r="D554" s="977">
        <v>240.889961</v>
      </c>
      <c r="E554" s="308"/>
      <c r="F554" s="1095"/>
      <c r="G554" s="307"/>
      <c r="H554" s="308"/>
      <c r="I554" s="1152">
        <v>240.889961</v>
      </c>
      <c r="J554" s="307"/>
      <c r="K554" s="308"/>
      <c r="L554" s="309"/>
      <c r="M554" s="308"/>
      <c r="N554" s="29" t="s">
        <v>119</v>
      </c>
      <c r="O554" s="120"/>
      <c r="P554" s="120"/>
      <c r="Q554" s="120"/>
      <c r="R554" s="29">
        <v>2</v>
      </c>
      <c r="S554" s="288">
        <f t="shared" si="287"/>
        <v>240.889961</v>
      </c>
      <c r="T554" s="288">
        <f t="shared" si="288"/>
        <v>240.889961</v>
      </c>
      <c r="U554" s="288">
        <f t="shared" si="289"/>
        <v>0</v>
      </c>
      <c r="V554" s="29"/>
      <c r="W554" s="288">
        <f t="shared" si="290"/>
        <v>240.889961</v>
      </c>
      <c r="X554" s="288">
        <f t="shared" si="291"/>
        <v>240.889961</v>
      </c>
      <c r="Y554" s="288">
        <f t="shared" si="292"/>
        <v>240.889961</v>
      </c>
      <c r="AA554" s="138"/>
      <c r="AB554" s="138"/>
      <c r="AC554" s="138"/>
      <c r="AD554" s="138"/>
      <c r="AE554" s="138"/>
      <c r="AF554" s="138"/>
      <c r="AG554" s="138"/>
      <c r="AH554" s="138"/>
      <c r="AI554" s="138"/>
      <c r="AJ554" s="138"/>
      <c r="AK554" s="138"/>
      <c r="AL554" s="138"/>
      <c r="AM554" s="138"/>
      <c r="AN554" s="138"/>
      <c r="BR554" s="180">
        <v>2014</v>
      </c>
      <c r="BS554" s="22">
        <v>0</v>
      </c>
      <c r="BT554" s="181">
        <f t="shared" ref="BT554:BT600" si="303">IF($BS$550="High",BS554*$BT$551,IF($BS$550="Medium",$BT$552*BS554,IF($BS$550="Low",$BT$553*BS554)))</f>
        <v>0</v>
      </c>
      <c r="BU554" s="182">
        <f t="shared" ref="BU554:BU600" si="304">IF($BS$550="High",$BU$551,IF($BS$550="Medium",$BU$552,IF($BS$550="Low",BU553)))</f>
        <v>230.33436221310069</v>
      </c>
      <c r="BV554" s="242">
        <f t="shared" ref="BV554:BV600" si="305">BT554+BU554</f>
        <v>230.33436221310069</v>
      </c>
      <c r="BY554" s="180">
        <v>2014</v>
      </c>
      <c r="BZ554" s="22">
        <v>0</v>
      </c>
      <c r="CA554" s="181">
        <f t="shared" ref="CA554:CA600" ca="1" si="306">IF($BZ$550="High",BZ554^2*$CA$551,IF($BZ$550="Medium",BZ554^2*$CA$552,IF($BZ$550="Low",BZ554^2*$CA$553)))</f>
        <v>0</v>
      </c>
      <c r="CB554" s="181">
        <f t="shared" ref="CB554:CB600" ca="1" si="307">IF($BZ$550="High",BZ554*$CB$551,IF($BZ$550="Medium",BZ554*$CB$552,IF($BZ$550="Low",BZ554*$CB$553)))</f>
        <v>0</v>
      </c>
      <c r="CC554" s="182">
        <f ca="1">IF($BZ$550="High",$CC$551,IF($BZ$550="Medium",$CC$552,IF($BZ$550="Low",$CC$553)))</f>
        <v>236.36363408378207</v>
      </c>
      <c r="CD554" s="242">
        <f t="shared" ref="CD554:CD600" ca="1" si="308">CA554+CB554+CC554</f>
        <v>236.36363408378207</v>
      </c>
      <c r="CG554" s="180">
        <v>2014</v>
      </c>
      <c r="CH554" s="22">
        <v>0</v>
      </c>
      <c r="CI554" s="181">
        <f t="shared" ref="CI554:CI600" ca="1" si="309">IF($CH$550="High",CH554^3*$CI$551,IF($CH$550="Medium",CH554^3*$CI$552,IF($CH$550="Low",CH554^3*$CI$553)))</f>
        <v>0</v>
      </c>
      <c r="CJ554" s="181">
        <f t="shared" ref="CJ554:CJ600" ca="1" si="310">IF($CH$550="High",CH554^2*$CJ$551,IF($CH$550="Medium",CH554^2*$CJ$552,IF($CH$550="Low",CH554^2*$CJ$553)))</f>
        <v>0</v>
      </c>
      <c r="CK554" s="181">
        <f t="shared" ref="CK554:CK600" ca="1" si="311">IF($CH$550="High",CH554*$CK$551,IF($CH$550="Medium",CH554*$CK$552,IF($CH$550="Low",CH554*$CK$553)))</f>
        <v>0</v>
      </c>
      <c r="CL554" s="182">
        <f t="shared" ref="CL554:CL600" ca="1" si="312">IF($CH$550="High",$CL$551,IF($CH$550="Medium",$CL$552,IF($CH$550="Low",$CL$553)))</f>
        <v>239.15217241572992</v>
      </c>
      <c r="CM554" s="242">
        <f t="shared" ref="CM554:CM600" ca="1" si="313">CI554+CJ554+CK554+CL554</f>
        <v>239.15217241572992</v>
      </c>
      <c r="CP554" s="180">
        <v>2014</v>
      </c>
      <c r="CQ554" s="22">
        <v>0</v>
      </c>
      <c r="CR554" s="181">
        <f t="shared" ref="CR554:CR600" ca="1" si="314">IF($CQ$550="High",$CR$551,IF($CQ$550="Medium",$CR$552,IF($CQ$550="Low",$CR$553)))</f>
        <v>231.98398558817138</v>
      </c>
      <c r="CS554" s="182">
        <f t="shared" ref="CS554:CS600" ca="1" si="315">IF($CQ$550="High",EXP(1)^($CS$551*CQ554),IF($CQ$550="Medium",EXP(1)^($CS$552*CQ554),IF($CQ$550="Low",EXP(1)^($CS$553*CQ554))))</f>
        <v>1</v>
      </c>
      <c r="CT554" s="242">
        <f t="shared" ref="CT554:CT600" ca="1" si="316">(CR554*CS554)</f>
        <v>231.98398558817138</v>
      </c>
      <c r="CZ554" s="164" t="b">
        <f t="shared" si="293"/>
        <v>1</v>
      </c>
      <c r="DA554" s="165" t="b">
        <f t="shared" si="293"/>
        <v>1</v>
      </c>
      <c r="DB554" s="166" t="b">
        <f t="shared" si="293"/>
        <v>1</v>
      </c>
      <c r="DC554" s="164">
        <f t="shared" si="294"/>
        <v>2</v>
      </c>
      <c r="DD554" s="166">
        <f t="shared" si="295"/>
        <v>240.889961</v>
      </c>
      <c r="DE554" s="164">
        <f t="shared" si="296"/>
        <v>2</v>
      </c>
      <c r="DF554" s="166">
        <f t="shared" si="297"/>
        <v>240.889961</v>
      </c>
      <c r="DG554" s="164">
        <f t="shared" si="298"/>
        <v>2</v>
      </c>
      <c r="DH554" s="166">
        <f t="shared" si="299"/>
        <v>240.889961</v>
      </c>
      <c r="DI554" s="164">
        <f>IFERROR(INDEX(DC$550:DC$598,_xlfn.AGGREGATE(15,6,(ROW(DC$550:DC$598)-ROW(DC$550)+1)/(DC$550:DC$598&lt;&gt;""),ROWS(DI$1:DI5))),"")</f>
        <v>2</v>
      </c>
      <c r="DJ554" s="165">
        <f>IFERROR(INDEX(DD$550:DD$598,_xlfn.AGGREGATE(15,6,(ROW(DD$550:DD$598)-ROW(DD$550)+1)/(DD$550:DD$598&lt;&gt;""),ROWS(DJ$1:DJ5))),"")</f>
        <v>240.889961</v>
      </c>
      <c r="DK554" s="166">
        <f t="shared" si="300"/>
        <v>554</v>
      </c>
      <c r="DL554" s="164">
        <f>IFERROR(INDEX(DE$550:DE$598,_xlfn.AGGREGATE(15,6,(ROW(DE$550:DE$598)-ROW(DE$550)+1)/(DE$550:DE$598&lt;&gt;""),ROWS(DL$1:DL5))),"")</f>
        <v>2</v>
      </c>
      <c r="DM554" s="165">
        <f>IFERROR(INDEX(DF$550:DF$598,_xlfn.AGGREGATE(15,6,(ROW(DF$550:DF$598)-ROW(DF$550)+1)/(DF$550:DF$598&lt;&gt;""),ROWS(DM$1:DM5))),"")</f>
        <v>240.889961</v>
      </c>
      <c r="DN554" s="166">
        <f t="shared" si="301"/>
        <v>554</v>
      </c>
      <c r="DO554" s="164">
        <f>IFERROR(INDEX(DG$550:DG$598,_xlfn.AGGREGATE(15,6,(ROW(DG$550:DG$598)-ROW(DG$550)+1)/(DG$550:DG$598&lt;&gt;""),ROWS(DO$1:DO5))),"")</f>
        <v>2</v>
      </c>
      <c r="DP554" s="165">
        <f>IFERROR(INDEX(DH$550:DH$598,_xlfn.AGGREGATE(15,6,(ROW(DH$550:DH$598)-ROW(DH$550)+1)/(DH$550:DH$598&lt;&gt;""),ROWS(DP$1:DP5))),"")</f>
        <v>240.889961</v>
      </c>
      <c r="DQ554" s="166">
        <f t="shared" si="302"/>
        <v>554</v>
      </c>
      <c r="DV554" s="145">
        <v>2019</v>
      </c>
      <c r="DW554" s="235">
        <f t="shared" ca="1" si="286"/>
        <v>239.20377044773056</v>
      </c>
      <c r="DZ554" s="135" t="s">
        <v>92</v>
      </c>
      <c r="EA554" s="33">
        <f ca="1">IF($EA$548="Linear",0,IF($EA$548="2nd Poly",0,IF($EA$548="3rd Poly",CI551,IF($EA$548="Exp",0))))</f>
        <v>1.1045249982829411E-3</v>
      </c>
      <c r="EB554" s="33">
        <f ca="1">IF($EA$548="Linear",0,IF($EA$548="2nd Poly",CA551,IF($EA$548="3rd Poly",CJ551,IF($EA$548="Exp",0))))</f>
        <v>-9.2860936239064523E-2</v>
      </c>
      <c r="EC554" s="33">
        <f t="shared" ref="EC554:ED556" ca="1" si="317">IF($EA$548="Linear",BT551,IF($EA$548="2nd Poly",CB551,IF($EA$548="3rd Poly",CK551,IF($EA$548="Exp",0))))</f>
        <v>5.0713211718963178</v>
      </c>
      <c r="ED554" s="33">
        <f t="shared" ca="1" si="317"/>
        <v>241.25269292149267</v>
      </c>
      <c r="EE554" s="33" t="str">
        <f>IF($EA$548="Linear","High",IF($EA$548="2nd Poly","High",IF($EA$548="3rd Poly","High","N/A")))</f>
        <v>High</v>
      </c>
    </row>
    <row r="555" spans="1:135" ht="13.8" x14ac:dyDescent="0.45">
      <c r="A555" s="262" t="s">
        <v>90</v>
      </c>
      <c r="B555" s="128">
        <v>2017</v>
      </c>
      <c r="C555" s="957">
        <v>241.17773545244873</v>
      </c>
      <c r="D555" s="947">
        <v>241.17773545244873</v>
      </c>
      <c r="E555" s="308"/>
      <c r="F555" s="958"/>
      <c r="G555" s="307"/>
      <c r="H555" s="308"/>
      <c r="I555" s="1110">
        <v>241.17773545244873</v>
      </c>
      <c r="J555" s="168"/>
      <c r="K555" s="169"/>
      <c r="L555" s="170"/>
      <c r="M555" s="169"/>
      <c r="N555" s="29" t="s">
        <v>119</v>
      </c>
      <c r="O555" s="120"/>
      <c r="P555" s="120"/>
      <c r="Q555" s="120"/>
      <c r="R555" s="29">
        <v>3</v>
      </c>
      <c r="S555" s="288">
        <f t="shared" si="287"/>
        <v>241.17773545244873</v>
      </c>
      <c r="T555" s="288">
        <f t="shared" si="288"/>
        <v>241.17773545244873</v>
      </c>
      <c r="U555" s="288">
        <f t="shared" si="289"/>
        <v>0</v>
      </c>
      <c r="V555" s="29"/>
      <c r="W555" s="288">
        <f t="shared" si="290"/>
        <v>241.17773545244873</v>
      </c>
      <c r="X555" s="288">
        <f t="shared" si="291"/>
        <v>241.17773545244873</v>
      </c>
      <c r="Y555" s="288">
        <f t="shared" si="292"/>
        <v>241.17773545244873</v>
      </c>
      <c r="AA555" s="138"/>
      <c r="AB555" s="138"/>
      <c r="AC555" s="138"/>
      <c r="AD555" s="138"/>
      <c r="AE555" s="138"/>
      <c r="AF555" s="138"/>
      <c r="AG555" s="138"/>
      <c r="AH555" s="138"/>
      <c r="AI555" s="138"/>
      <c r="AJ555" s="138"/>
      <c r="AK555" s="138"/>
      <c r="AL555" s="138"/>
      <c r="AM555" s="138"/>
      <c r="AN555" s="138"/>
      <c r="BR555" s="180">
        <v>2015</v>
      </c>
      <c r="BS555" s="22">
        <v>1</v>
      </c>
      <c r="BT555" s="289">
        <f t="shared" si="303"/>
        <v>1.6416563593047617</v>
      </c>
      <c r="BU555" s="290">
        <f t="shared" si="304"/>
        <v>230.33436221310069</v>
      </c>
      <c r="BV555" s="299">
        <f t="shared" si="305"/>
        <v>231.97601857240545</v>
      </c>
      <c r="BY555" s="180">
        <v>2015</v>
      </c>
      <c r="BZ555" s="22">
        <v>1</v>
      </c>
      <c r="CA555" s="289">
        <f t="shared" ca="1" si="306"/>
        <v>2.1229830530568351E-2</v>
      </c>
      <c r="CB555" s="289">
        <f t="shared" ca="1" si="307"/>
        <v>0.70754381595975513</v>
      </c>
      <c r="CC555" s="290">
        <f t="shared" ref="CC555:CC600" ca="1" si="318">CC554</f>
        <v>236.36363408378207</v>
      </c>
      <c r="CD555" s="299">
        <f t="shared" ca="1" si="308"/>
        <v>237.09240773027238</v>
      </c>
      <c r="CG555" s="180">
        <v>2015</v>
      </c>
      <c r="CH555" s="22">
        <v>1</v>
      </c>
      <c r="CI555" s="289">
        <f t="shared" ca="1" si="309"/>
        <v>-1.0205454296398219E-3</v>
      </c>
      <c r="CJ555" s="289">
        <f t="shared" ca="1" si="310"/>
        <v>8.8585828886796586E-2</v>
      </c>
      <c r="CK555" s="289">
        <f t="shared" ca="1" si="311"/>
        <v>-0.40709590229285797</v>
      </c>
      <c r="CL555" s="290">
        <f t="shared" ca="1" si="312"/>
        <v>239.15217241572992</v>
      </c>
      <c r="CM555" s="299">
        <f t="shared" ca="1" si="313"/>
        <v>238.83264179689422</v>
      </c>
      <c r="CP555" s="180">
        <v>2015</v>
      </c>
      <c r="CQ555" s="22">
        <v>1</v>
      </c>
      <c r="CR555" s="289">
        <f t="shared" ca="1" si="314"/>
        <v>231.98398558817138</v>
      </c>
      <c r="CS555" s="290">
        <f t="shared" ca="1" si="315"/>
        <v>1.0061379130633601</v>
      </c>
      <c r="CT555" s="299">
        <f t="shared" ca="1" si="316"/>
        <v>233.40788312380334</v>
      </c>
      <c r="CZ555" s="164" t="b">
        <f t="shared" si="293"/>
        <v>1</v>
      </c>
      <c r="DA555" s="165" t="b">
        <f t="shared" si="293"/>
        <v>1</v>
      </c>
      <c r="DB555" s="166" t="b">
        <f t="shared" si="293"/>
        <v>1</v>
      </c>
      <c r="DC555" s="164">
        <f t="shared" si="294"/>
        <v>3</v>
      </c>
      <c r="DD555" s="166">
        <f t="shared" si="295"/>
        <v>241.17773545244873</v>
      </c>
      <c r="DE555" s="164">
        <f t="shared" si="296"/>
        <v>3</v>
      </c>
      <c r="DF555" s="166">
        <f t="shared" si="297"/>
        <v>241.17773545244873</v>
      </c>
      <c r="DG555" s="164">
        <f t="shared" si="298"/>
        <v>3</v>
      </c>
      <c r="DH555" s="166">
        <f t="shared" si="299"/>
        <v>241.17773545244873</v>
      </c>
      <c r="DI555" s="164">
        <f>IFERROR(INDEX(DC$550:DC$598,_xlfn.AGGREGATE(15,6,(ROW(DC$550:DC$598)-ROW(DC$550)+1)/(DC$550:DC$598&lt;&gt;""),ROWS(DI$1:DI6))),"")</f>
        <v>3</v>
      </c>
      <c r="DJ555" s="165">
        <f>IFERROR(INDEX(DD$550:DD$598,_xlfn.AGGREGATE(15,6,(ROW(DD$550:DD$598)-ROW(DD$550)+1)/(DD$550:DD$598&lt;&gt;""),ROWS(DJ$1:DJ6))),"")</f>
        <v>241.17773545244873</v>
      </c>
      <c r="DK555" s="166">
        <f t="shared" si="300"/>
        <v>555</v>
      </c>
      <c r="DL555" s="164">
        <f>IFERROR(INDEX(DE$550:DE$598,_xlfn.AGGREGATE(15,6,(ROW(DE$550:DE$598)-ROW(DE$550)+1)/(DE$550:DE$598&lt;&gt;""),ROWS(DL$1:DL6))),"")</f>
        <v>3</v>
      </c>
      <c r="DM555" s="165">
        <f>IFERROR(INDEX(DF$550:DF$598,_xlfn.AGGREGATE(15,6,(ROW(DF$550:DF$598)-ROW(DF$550)+1)/(DF$550:DF$598&lt;&gt;""),ROWS(DM$1:DM6))),"")</f>
        <v>241.17773545244873</v>
      </c>
      <c r="DN555" s="166">
        <f t="shared" si="301"/>
        <v>555</v>
      </c>
      <c r="DO555" s="164">
        <f>IFERROR(INDEX(DG$550:DG$598,_xlfn.AGGREGATE(15,6,(ROW(DG$550:DG$598)-ROW(DG$550)+1)/(DG$550:DG$598&lt;&gt;""),ROWS(DO$1:DO6))),"")</f>
        <v>3</v>
      </c>
      <c r="DP555" s="165">
        <f>IFERROR(INDEX(DH$550:DH$598,_xlfn.AGGREGATE(15,6,(ROW(DH$550:DH$598)-ROW(DH$550)+1)/(DH$550:DH$598&lt;&gt;""),ROWS(DP$1:DP6))),"")</f>
        <v>241.17773545244873</v>
      </c>
      <c r="DQ555" s="166">
        <f t="shared" si="302"/>
        <v>555</v>
      </c>
      <c r="DV555" s="145">
        <v>2020</v>
      </c>
      <c r="DW555" s="235">
        <f t="shared" ca="1" si="286"/>
        <v>239.67824902909524</v>
      </c>
      <c r="DZ555" s="135" t="s">
        <v>92</v>
      </c>
      <c r="EA555" s="33">
        <f ca="1">IF($EA$548="Linear",0,IF($EA$548="2nd Poly",0,IF($EA$548="3rd Poly",CI552,IF($EA$548="Exp",0))))</f>
        <v>-1.0205454296398219E-3</v>
      </c>
      <c r="EB555" s="33">
        <f ca="1">IF($EA$548="Linear",0,IF($EA$548="2nd Poly",CA552,IF($EA$548="3rd Poly",CJ552,IF($EA$548="Exp",0))))</f>
        <v>8.8585828886796586E-2</v>
      </c>
      <c r="EC555" s="33">
        <f t="shared" ca="1" si="317"/>
        <v>-0.40709590229285797</v>
      </c>
      <c r="ED555" s="33">
        <f t="shared" ca="1" si="317"/>
        <v>239.15217241572992</v>
      </c>
      <c r="EE555" s="33" t="str">
        <f>IF($EA$548="Linear","Medium",IF($EA$548="2nd Poly","Medium",IF($EA$548="3rd Poly","Medium","N/A")))</f>
        <v>Medium</v>
      </c>
    </row>
    <row r="556" spans="1:135" ht="13.8" x14ac:dyDescent="0.45">
      <c r="A556" s="948" t="s">
        <v>116</v>
      </c>
      <c r="B556" s="128">
        <v>2018</v>
      </c>
      <c r="C556" s="957">
        <v>241.46550990489743</v>
      </c>
      <c r="D556" s="947">
        <v>241.46550990489743</v>
      </c>
      <c r="E556" s="308"/>
      <c r="F556" s="958"/>
      <c r="G556" s="307"/>
      <c r="H556" s="308"/>
      <c r="I556" s="1110">
        <v>241.46550990489743</v>
      </c>
      <c r="J556" s="307"/>
      <c r="K556" s="308"/>
      <c r="L556" s="309"/>
      <c r="M556" s="308"/>
      <c r="N556" s="29" t="s">
        <v>119</v>
      </c>
      <c r="O556" s="120"/>
      <c r="P556" s="120"/>
      <c r="Q556" s="120"/>
      <c r="R556" s="29">
        <v>4</v>
      </c>
      <c r="S556" s="288">
        <f t="shared" si="287"/>
        <v>241.46550990489743</v>
      </c>
      <c r="T556" s="288">
        <f t="shared" si="288"/>
        <v>241.46550990489743</v>
      </c>
      <c r="U556" s="288">
        <f t="shared" si="289"/>
        <v>0</v>
      </c>
      <c r="V556" s="20"/>
      <c r="W556" s="288">
        <f t="shared" si="290"/>
        <v>241.46550990489743</v>
      </c>
      <c r="X556" s="288">
        <f t="shared" si="291"/>
        <v>241.46550990489743</v>
      </c>
      <c r="Y556" s="288">
        <f t="shared" si="292"/>
        <v>241.46550990489743</v>
      </c>
      <c r="AA556" s="138"/>
      <c r="AB556" s="138"/>
      <c r="AC556" s="138"/>
      <c r="AD556" s="138"/>
      <c r="AE556" s="138"/>
      <c r="AF556" s="138"/>
      <c r="AG556" s="138"/>
      <c r="AH556" s="138"/>
      <c r="AI556" s="138"/>
      <c r="AJ556" s="138"/>
      <c r="AK556" s="138"/>
      <c r="AL556" s="138"/>
      <c r="AM556" s="138"/>
      <c r="AN556" s="138"/>
      <c r="BR556" s="180">
        <v>2016</v>
      </c>
      <c r="BS556" s="22">
        <v>2</v>
      </c>
      <c r="BT556" s="289">
        <f t="shared" si="303"/>
        <v>3.2833127186095235</v>
      </c>
      <c r="BU556" s="290">
        <f t="shared" si="304"/>
        <v>230.33436221310069</v>
      </c>
      <c r="BV556" s="299">
        <f t="shared" si="305"/>
        <v>233.61767493171021</v>
      </c>
      <c r="BY556" s="180">
        <v>2016</v>
      </c>
      <c r="BZ556" s="22">
        <v>2</v>
      </c>
      <c r="CA556" s="289">
        <f t="shared" ca="1" si="306"/>
        <v>8.4919322122273405E-2</v>
      </c>
      <c r="CB556" s="289">
        <f t="shared" ca="1" si="307"/>
        <v>1.4150876319195103</v>
      </c>
      <c r="CC556" s="290">
        <f t="shared" ca="1" si="318"/>
        <v>236.36363408378207</v>
      </c>
      <c r="CD556" s="299">
        <f t="shared" ca="1" si="308"/>
        <v>237.86364103782387</v>
      </c>
      <c r="CG556" s="180">
        <v>2016</v>
      </c>
      <c r="CH556" s="22">
        <v>2</v>
      </c>
      <c r="CI556" s="289">
        <f t="shared" ca="1" si="309"/>
        <v>-8.1643634371185748E-3</v>
      </c>
      <c r="CJ556" s="289">
        <f t="shared" ca="1" si="310"/>
        <v>0.35434331554718634</v>
      </c>
      <c r="CK556" s="289">
        <f t="shared" ca="1" si="311"/>
        <v>-0.81419180458571594</v>
      </c>
      <c r="CL556" s="290">
        <f t="shared" ca="1" si="312"/>
        <v>239.15217241572992</v>
      </c>
      <c r="CM556" s="299">
        <f t="shared" ca="1" si="313"/>
        <v>238.68415956325427</v>
      </c>
      <c r="CP556" s="180">
        <v>2016</v>
      </c>
      <c r="CQ556" s="22">
        <v>2</v>
      </c>
      <c r="CR556" s="289">
        <f t="shared" ca="1" si="314"/>
        <v>231.98398558817138</v>
      </c>
      <c r="CS556" s="290">
        <f t="shared" ca="1" si="315"/>
        <v>1.0123135001034935</v>
      </c>
      <c r="CT556" s="299">
        <f t="shared" ca="1" si="316"/>
        <v>234.84052041872016</v>
      </c>
      <c r="CZ556" s="164" t="b">
        <f t="shared" si="293"/>
        <v>1</v>
      </c>
      <c r="DA556" s="165" t="b">
        <f t="shared" si="293"/>
        <v>1</v>
      </c>
      <c r="DB556" s="166" t="b">
        <f t="shared" si="293"/>
        <v>1</v>
      </c>
      <c r="DC556" s="164">
        <f t="shared" si="294"/>
        <v>4</v>
      </c>
      <c r="DD556" s="166">
        <f t="shared" si="295"/>
        <v>241.46550990489743</v>
      </c>
      <c r="DE556" s="164">
        <f t="shared" si="296"/>
        <v>4</v>
      </c>
      <c r="DF556" s="166">
        <f t="shared" si="297"/>
        <v>241.46550990489743</v>
      </c>
      <c r="DG556" s="164">
        <f t="shared" si="298"/>
        <v>4</v>
      </c>
      <c r="DH556" s="166">
        <f t="shared" si="299"/>
        <v>241.46550990489743</v>
      </c>
      <c r="DI556" s="164">
        <f>IFERROR(INDEX(DC$550:DC$598,_xlfn.AGGREGATE(15,6,(ROW(DC$550:DC$598)-ROW(DC$550)+1)/(DC$550:DC$598&lt;&gt;""),ROWS(DI$1:DI7))),"")</f>
        <v>4</v>
      </c>
      <c r="DJ556" s="165">
        <f>IFERROR(INDEX(DD$550:DD$598,_xlfn.AGGREGATE(15,6,(ROW(DD$550:DD$598)-ROW(DD$550)+1)/(DD$550:DD$598&lt;&gt;""),ROWS(DJ$1:DJ7))),"")</f>
        <v>241.46550990489743</v>
      </c>
      <c r="DK556" s="166">
        <f t="shared" si="300"/>
        <v>556</v>
      </c>
      <c r="DL556" s="164">
        <f>IFERROR(INDEX(DE$550:DE$598,_xlfn.AGGREGATE(15,6,(ROW(DE$550:DE$598)-ROW(DE$550)+1)/(DE$550:DE$598&lt;&gt;""),ROWS(DL$1:DL7))),"")</f>
        <v>4</v>
      </c>
      <c r="DM556" s="165">
        <f>IFERROR(INDEX(DF$550:DF$598,_xlfn.AGGREGATE(15,6,(ROW(DF$550:DF$598)-ROW(DF$550)+1)/(DF$550:DF$598&lt;&gt;""),ROWS(DM$1:DM7))),"")</f>
        <v>241.46550990489743</v>
      </c>
      <c r="DN556" s="166">
        <f t="shared" si="301"/>
        <v>556</v>
      </c>
      <c r="DO556" s="164">
        <f>IFERROR(INDEX(DG$550:DG$598,_xlfn.AGGREGATE(15,6,(ROW(DG$550:DG$598)-ROW(DG$550)+1)/(DG$550:DG$598&lt;&gt;""),ROWS(DO$1:DO7))),"")</f>
        <v>4</v>
      </c>
      <c r="DP556" s="165">
        <f>IFERROR(INDEX(DH$550:DH$598,_xlfn.AGGREGATE(15,6,(ROW(DH$550:DH$598)-ROW(DH$550)+1)/(DH$550:DH$598&lt;&gt;""),ROWS(DP$1:DP7))),"")</f>
        <v>241.46550990489743</v>
      </c>
      <c r="DQ556" s="166">
        <f t="shared" si="302"/>
        <v>556</v>
      </c>
      <c r="DV556" s="145">
        <v>2021</v>
      </c>
      <c r="DW556" s="235">
        <f t="shared" ca="1" si="286"/>
        <v>240.2931596327665</v>
      </c>
      <c r="DZ556" s="135" t="s">
        <v>92</v>
      </c>
      <c r="EA556" s="33">
        <f ca="1">IF($EA$548="Linear",0,IF($EA$548="2nd Poly",0,IF($EA$548="3rd Poly",CI553,IF($EA$548="Exp",0))))</f>
        <v>-3.1456158575625865E-3</v>
      </c>
      <c r="EB556" s="33">
        <f ca="1">IF($EA$548="Linear",0,IF($EA$548="2nd Poly",CA553,IF($EA$548="3rd Poly",CJ553,IF($EA$548="Exp",0))))</f>
        <v>0.27003259401265778</v>
      </c>
      <c r="EC556" s="33">
        <f t="shared" ca="1" si="317"/>
        <v>-5.8855129764820351</v>
      </c>
      <c r="ED556" s="33">
        <f t="shared" ca="1" si="317"/>
        <v>237.05165190996706</v>
      </c>
      <c r="EE556" s="33" t="str">
        <f>IF($EA$548="Linear","Low",IF($EA$548="2nd Poly","Low",IF($EA$548="3rd Poly","Low","N/A")))</f>
        <v>Low</v>
      </c>
    </row>
    <row r="557" spans="1:135" ht="13.8" x14ac:dyDescent="0.45">
      <c r="A557" s="148" t="s">
        <v>88</v>
      </c>
      <c r="B557" s="128">
        <v>2019</v>
      </c>
      <c r="C557" s="957">
        <v>241.75328435734616</v>
      </c>
      <c r="D557" s="947">
        <v>281.60000000000008</v>
      </c>
      <c r="E557" s="308"/>
      <c r="F557" s="958"/>
      <c r="G557" s="307"/>
      <c r="H557" s="308"/>
      <c r="I557" s="1110">
        <v>179.10810810810813</v>
      </c>
      <c r="J557" s="307"/>
      <c r="K557" s="308"/>
      <c r="L557" s="309"/>
      <c r="M557" s="308"/>
      <c r="N557" s="29" t="s">
        <v>119</v>
      </c>
      <c r="O557" s="120"/>
      <c r="P557" s="120"/>
      <c r="Q557" s="120"/>
      <c r="R557" s="29">
        <v>5</v>
      </c>
      <c r="S557" s="288">
        <f t="shared" si="287"/>
        <v>179.10810810810813</v>
      </c>
      <c r="T557" s="288">
        <f t="shared" si="288"/>
        <v>281.60000000000008</v>
      </c>
      <c r="U557" s="288">
        <f t="shared" si="289"/>
        <v>42.185788494842072</v>
      </c>
      <c r="V557" s="20"/>
      <c r="W557" s="288">
        <f t="shared" si="290"/>
        <v>191.96800899364268</v>
      </c>
      <c r="X557" s="288">
        <f t="shared" si="291"/>
        <v>234.15379748848477</v>
      </c>
      <c r="Y557" s="288">
        <f t="shared" si="292"/>
        <v>276.33958598332686</v>
      </c>
      <c r="AA557" s="138"/>
      <c r="AB557" s="138"/>
      <c r="AC557" s="138"/>
      <c r="AD557" s="138"/>
      <c r="AE557" s="138"/>
      <c r="AF557" s="138"/>
      <c r="AG557" s="138"/>
      <c r="AH557" s="138"/>
      <c r="AI557" s="138"/>
      <c r="AJ557" s="138"/>
      <c r="AK557" s="138"/>
      <c r="AL557" s="138"/>
      <c r="AM557" s="138"/>
      <c r="AN557" s="138"/>
      <c r="BR557" s="180">
        <v>2017</v>
      </c>
      <c r="BS557" s="22">
        <v>3</v>
      </c>
      <c r="BT557" s="289">
        <f t="shared" si="303"/>
        <v>4.9249690779142856</v>
      </c>
      <c r="BU557" s="290">
        <f t="shared" si="304"/>
        <v>230.33436221310069</v>
      </c>
      <c r="BV557" s="299">
        <f t="shared" si="305"/>
        <v>235.25933129101497</v>
      </c>
      <c r="BY557" s="180">
        <v>2017</v>
      </c>
      <c r="BZ557" s="22">
        <v>3</v>
      </c>
      <c r="CA557" s="289">
        <f t="shared" ca="1" si="306"/>
        <v>0.19106847477511515</v>
      </c>
      <c r="CB557" s="289">
        <f t="shared" ca="1" si="307"/>
        <v>2.1226314478792654</v>
      </c>
      <c r="CC557" s="290">
        <f t="shared" ca="1" si="318"/>
        <v>236.36363408378207</v>
      </c>
      <c r="CD557" s="299">
        <f t="shared" ca="1" si="308"/>
        <v>238.67733400643647</v>
      </c>
      <c r="CG557" s="180">
        <v>2017</v>
      </c>
      <c r="CH557" s="22">
        <v>3</v>
      </c>
      <c r="CI557" s="289">
        <f t="shared" ca="1" si="309"/>
        <v>-2.7554726600275189E-2</v>
      </c>
      <c r="CJ557" s="289">
        <f t="shared" ca="1" si="310"/>
        <v>0.79727245998116925</v>
      </c>
      <c r="CK557" s="289">
        <f t="shared" ca="1" si="311"/>
        <v>-1.2212877068785739</v>
      </c>
      <c r="CL557" s="290">
        <f t="shared" ca="1" si="312"/>
        <v>239.15217241572992</v>
      </c>
      <c r="CM557" s="299">
        <f t="shared" ca="1" si="313"/>
        <v>238.70060244223225</v>
      </c>
      <c r="CP557" s="180">
        <v>2017</v>
      </c>
      <c r="CQ557" s="22">
        <v>3</v>
      </c>
      <c r="CR557" s="289">
        <f t="shared" ca="1" si="314"/>
        <v>231.98398558817138</v>
      </c>
      <c r="CS557" s="290">
        <f t="shared" ca="1" si="315"/>
        <v>1.0185269923599944</v>
      </c>
      <c r="CT557" s="299">
        <f t="shared" ca="1" si="316"/>
        <v>236.28195111680449</v>
      </c>
      <c r="CZ557" s="164" t="b">
        <f t="shared" si="293"/>
        <v>1</v>
      </c>
      <c r="DA557" s="165" t="b">
        <f t="shared" si="293"/>
        <v>1</v>
      </c>
      <c r="DB557" s="166" t="b">
        <f t="shared" si="293"/>
        <v>1</v>
      </c>
      <c r="DC557" s="164">
        <f t="shared" si="294"/>
        <v>5</v>
      </c>
      <c r="DD557" s="166">
        <f t="shared" si="295"/>
        <v>191.96800899364268</v>
      </c>
      <c r="DE557" s="164">
        <f t="shared" si="296"/>
        <v>5</v>
      </c>
      <c r="DF557" s="166">
        <f t="shared" si="297"/>
        <v>234.15379748848477</v>
      </c>
      <c r="DG557" s="164">
        <f t="shared" si="298"/>
        <v>5</v>
      </c>
      <c r="DH557" s="166">
        <f t="shared" si="299"/>
        <v>276.33958598332686</v>
      </c>
      <c r="DI557" s="164">
        <f>IFERROR(INDEX(DC$550:DC$598,_xlfn.AGGREGATE(15,6,(ROW(DC$550:DC$598)-ROW(DC$550)+1)/(DC$550:DC$598&lt;&gt;""),ROWS(DI$1:DI8))),"")</f>
        <v>5</v>
      </c>
      <c r="DJ557" s="165">
        <f>IFERROR(INDEX(DD$550:DD$598,_xlfn.AGGREGATE(15,6,(ROW(DD$550:DD$598)-ROW(DD$550)+1)/(DD$550:DD$598&lt;&gt;""),ROWS(DJ$1:DJ8))),"")</f>
        <v>191.96800899364268</v>
      </c>
      <c r="DK557" s="166">
        <f t="shared" si="300"/>
        <v>557</v>
      </c>
      <c r="DL557" s="164">
        <f>IFERROR(INDEX(DE$550:DE$598,_xlfn.AGGREGATE(15,6,(ROW(DE$550:DE$598)-ROW(DE$550)+1)/(DE$550:DE$598&lt;&gt;""),ROWS(DL$1:DL8))),"")</f>
        <v>5</v>
      </c>
      <c r="DM557" s="165">
        <f>IFERROR(INDEX(DF$550:DF$598,_xlfn.AGGREGATE(15,6,(ROW(DF$550:DF$598)-ROW(DF$550)+1)/(DF$550:DF$598&lt;&gt;""),ROWS(DM$1:DM8))),"")</f>
        <v>234.15379748848477</v>
      </c>
      <c r="DN557" s="166">
        <f t="shared" si="301"/>
        <v>557</v>
      </c>
      <c r="DO557" s="164">
        <f>IFERROR(INDEX(DG$550:DG$598,_xlfn.AGGREGATE(15,6,(ROW(DG$550:DG$598)-ROW(DG$550)+1)/(DG$550:DG$598&lt;&gt;""),ROWS(DO$1:DO8))),"")</f>
        <v>5</v>
      </c>
      <c r="DP557" s="165">
        <f>IFERROR(INDEX(DH$550:DH$598,_xlfn.AGGREGATE(15,6,(ROW(DH$550:DH$598)-ROW(DH$550)+1)/(DH$550:DH$598&lt;&gt;""),ROWS(DP$1:DP8))),"")</f>
        <v>276.33958598332686</v>
      </c>
      <c r="DQ557" s="166">
        <f t="shared" si="302"/>
        <v>557</v>
      </c>
      <c r="DV557" s="145">
        <v>2022</v>
      </c>
      <c r="DW557" s="235">
        <f t="shared" ca="1" si="286"/>
        <v>241.04237898616645</v>
      </c>
      <c r="DZ557" s="135"/>
      <c r="EA557" s="33"/>
      <c r="EB557" s="33"/>
      <c r="EC557" s="33"/>
      <c r="ED557" s="33"/>
      <c r="EE557" s="33"/>
    </row>
    <row r="558" spans="1:135" ht="13.8" x14ac:dyDescent="0.45">
      <c r="A558" s="148" t="s">
        <v>90</v>
      </c>
      <c r="B558" s="128">
        <v>2020</v>
      </c>
      <c r="C558" s="957">
        <v>242.04105880979486</v>
      </c>
      <c r="D558" s="947">
        <v>284.72000000000008</v>
      </c>
      <c r="E558" s="308"/>
      <c r="F558" s="931"/>
      <c r="G558" s="168"/>
      <c r="H558" s="169"/>
      <c r="I558" s="931">
        <v>180.45945945945948</v>
      </c>
      <c r="J558" s="168"/>
      <c r="K558" s="169"/>
      <c r="L558" s="170"/>
      <c r="M558" s="169"/>
      <c r="N558" s="29" t="s">
        <v>119</v>
      </c>
      <c r="O558" s="120"/>
      <c r="P558" s="120"/>
      <c r="Q558" s="120"/>
      <c r="R558" s="29">
        <v>6</v>
      </c>
      <c r="S558" s="313">
        <f t="shared" si="287"/>
        <v>180.45945945945948</v>
      </c>
      <c r="T558" s="313">
        <f t="shared" si="288"/>
        <v>284.72000000000008</v>
      </c>
      <c r="U558" s="313">
        <f t="shared" si="289"/>
        <v>42.7967362637593</v>
      </c>
      <c r="V558" s="20"/>
      <c r="W558" s="288">
        <f t="shared" si="290"/>
        <v>192.94343649265883</v>
      </c>
      <c r="X558" s="288">
        <f t="shared" si="291"/>
        <v>235.74017275641813</v>
      </c>
      <c r="Y558" s="288">
        <f t="shared" si="292"/>
        <v>278.5369090201774</v>
      </c>
      <c r="AA558" s="138"/>
      <c r="AB558" s="138"/>
      <c r="AC558" s="138"/>
      <c r="AD558" s="138"/>
      <c r="AE558" s="138"/>
      <c r="AF558" s="138"/>
      <c r="AG558" s="138"/>
      <c r="AH558" s="138"/>
      <c r="AI558" s="138"/>
      <c r="AJ558" s="138"/>
      <c r="AK558" s="138"/>
      <c r="AL558" s="138"/>
      <c r="AM558" s="138"/>
      <c r="AN558" s="138"/>
      <c r="BR558" s="180">
        <v>2018</v>
      </c>
      <c r="BS558" s="22">
        <v>4</v>
      </c>
      <c r="BT558" s="289">
        <f t="shared" si="303"/>
        <v>6.5666254372190469</v>
      </c>
      <c r="BU558" s="290">
        <f t="shared" si="304"/>
        <v>230.33436221310069</v>
      </c>
      <c r="BV558" s="299">
        <f t="shared" si="305"/>
        <v>236.90098765031973</v>
      </c>
      <c r="BY558" s="180">
        <v>2018</v>
      </c>
      <c r="BZ558" s="22">
        <v>4</v>
      </c>
      <c r="CA558" s="289">
        <f t="shared" ca="1" si="306"/>
        <v>0.33967728848909362</v>
      </c>
      <c r="CB558" s="289">
        <f t="shared" ca="1" si="307"/>
        <v>2.8301752638390205</v>
      </c>
      <c r="CC558" s="290">
        <f t="shared" ca="1" si="318"/>
        <v>236.36363408378207</v>
      </c>
      <c r="CD558" s="299">
        <f t="shared" ca="1" si="308"/>
        <v>239.53348663611018</v>
      </c>
      <c r="CG558" s="180">
        <v>2018</v>
      </c>
      <c r="CH558" s="22">
        <v>4</v>
      </c>
      <c r="CI558" s="289">
        <f t="shared" ca="1" si="309"/>
        <v>-6.5314907496948599E-2</v>
      </c>
      <c r="CJ558" s="289">
        <f t="shared" ca="1" si="310"/>
        <v>1.4173732621887454</v>
      </c>
      <c r="CK558" s="289">
        <f t="shared" ca="1" si="311"/>
        <v>-1.6283836091714319</v>
      </c>
      <c r="CL558" s="290">
        <f t="shared" ca="1" si="312"/>
        <v>239.15217241572992</v>
      </c>
      <c r="CM558" s="299">
        <f t="shared" ca="1" si="313"/>
        <v>238.87584716125028</v>
      </c>
      <c r="CP558" s="180">
        <v>2018</v>
      </c>
      <c r="CQ558" s="22">
        <v>4</v>
      </c>
      <c r="CR558" s="289">
        <f t="shared" ca="1" si="314"/>
        <v>231.98398558817138</v>
      </c>
      <c r="CS558" s="290">
        <f t="shared" ca="1" si="315"/>
        <v>1.0247786224917859</v>
      </c>
      <c r="CT558" s="299">
        <f t="shared" ca="1" si="316"/>
        <v>237.73222919120056</v>
      </c>
      <c r="CZ558" s="164" t="b">
        <f t="shared" si="293"/>
        <v>1</v>
      </c>
      <c r="DA558" s="165" t="b">
        <f t="shared" si="293"/>
        <v>1</v>
      </c>
      <c r="DB558" s="166" t="b">
        <f t="shared" si="293"/>
        <v>1</v>
      </c>
      <c r="DC558" s="164">
        <f t="shared" si="294"/>
        <v>6</v>
      </c>
      <c r="DD558" s="166">
        <f t="shared" si="295"/>
        <v>192.94343649265883</v>
      </c>
      <c r="DE558" s="164">
        <f t="shared" si="296"/>
        <v>6</v>
      </c>
      <c r="DF558" s="166">
        <f t="shared" si="297"/>
        <v>235.74017275641813</v>
      </c>
      <c r="DG558" s="164">
        <f t="shared" si="298"/>
        <v>6</v>
      </c>
      <c r="DH558" s="166">
        <f t="shared" si="299"/>
        <v>278.5369090201774</v>
      </c>
      <c r="DI558" s="164">
        <f>IFERROR(INDEX(DC$550:DC$598,_xlfn.AGGREGATE(15,6,(ROW(DC$550:DC$598)-ROW(DC$550)+1)/(DC$550:DC$598&lt;&gt;""),ROWS(DI$1:DI9))),"")</f>
        <v>6</v>
      </c>
      <c r="DJ558" s="165">
        <f>IFERROR(INDEX(DD$550:DD$598,_xlfn.AGGREGATE(15,6,(ROW(DD$550:DD$598)-ROW(DD$550)+1)/(DD$550:DD$598&lt;&gt;""),ROWS(DJ$1:DJ9))),"")</f>
        <v>192.94343649265883</v>
      </c>
      <c r="DK558" s="166">
        <f t="shared" si="300"/>
        <v>558</v>
      </c>
      <c r="DL558" s="164">
        <f>IFERROR(INDEX(DE$550:DE$598,_xlfn.AGGREGATE(15,6,(ROW(DE$550:DE$598)-ROW(DE$550)+1)/(DE$550:DE$598&lt;&gt;""),ROWS(DL$1:DL9))),"")</f>
        <v>6</v>
      </c>
      <c r="DM558" s="165">
        <f>IFERROR(INDEX(DF$550:DF$598,_xlfn.AGGREGATE(15,6,(ROW(DF$550:DF$598)-ROW(DF$550)+1)/(DF$550:DF$598&lt;&gt;""),ROWS(DM$1:DM9))),"")</f>
        <v>235.74017275641813</v>
      </c>
      <c r="DN558" s="166">
        <f t="shared" si="301"/>
        <v>558</v>
      </c>
      <c r="DO558" s="164">
        <f>IFERROR(INDEX(DG$550:DG$598,_xlfn.AGGREGATE(15,6,(ROW(DG$550:DG$598)-ROW(DG$550)+1)/(DG$550:DG$598&lt;&gt;""),ROWS(DO$1:DO9))),"")</f>
        <v>6</v>
      </c>
      <c r="DP558" s="165">
        <f>IFERROR(INDEX(DH$550:DH$598,_xlfn.AGGREGATE(15,6,(ROW(DH$550:DH$598)-ROW(DH$550)+1)/(DH$550:DH$598&lt;&gt;""),ROWS(DP$1:DP9))),"")</f>
        <v>278.5369090201774</v>
      </c>
      <c r="DQ558" s="166">
        <f t="shared" si="302"/>
        <v>558</v>
      </c>
      <c r="DV558" s="145">
        <v>2023</v>
      </c>
      <c r="DW558" s="235">
        <f t="shared" ca="1" si="286"/>
        <v>241.91978381671728</v>
      </c>
      <c r="DZ558" s="135"/>
      <c r="EA558" s="33" t="s">
        <v>86</v>
      </c>
      <c r="EB558" s="33" t="s">
        <v>87</v>
      </c>
      <c r="EC558" s="33"/>
      <c r="ED558" s="33"/>
      <c r="EE558" s="33"/>
    </row>
    <row r="559" spans="1:135" ht="14.1" thickBot="1" x14ac:dyDescent="0.5">
      <c r="A559" s="148" t="s">
        <v>80</v>
      </c>
      <c r="B559" s="128">
        <v>2021</v>
      </c>
      <c r="C559" s="957">
        <v>242.32883326224359</v>
      </c>
      <c r="D559" s="947">
        <v>287.84000000000009</v>
      </c>
      <c r="E559" s="308"/>
      <c r="F559" s="958"/>
      <c r="G559" s="307"/>
      <c r="H559" s="308"/>
      <c r="I559" s="1110">
        <v>181.81081081081084</v>
      </c>
      <c r="J559" s="307"/>
      <c r="K559" s="308"/>
      <c r="L559" s="309"/>
      <c r="M559" s="308"/>
      <c r="N559" s="29" t="s">
        <v>119</v>
      </c>
      <c r="O559" s="120"/>
      <c r="P559" s="120"/>
      <c r="Q559" s="120"/>
      <c r="R559" s="29">
        <v>7</v>
      </c>
      <c r="S559" s="314">
        <f t="shared" si="287"/>
        <v>181.81081081081084</v>
      </c>
      <c r="T559" s="314">
        <f t="shared" si="288"/>
        <v>287.84000000000009</v>
      </c>
      <c r="U559" s="314">
        <f t="shared" si="289"/>
        <v>43.43051448947044</v>
      </c>
      <c r="V559" s="20"/>
      <c r="W559" s="288">
        <f t="shared" si="290"/>
        <v>193.89603353488104</v>
      </c>
      <c r="X559" s="288">
        <f t="shared" si="291"/>
        <v>237.3265480243515</v>
      </c>
      <c r="Y559" s="288">
        <f t="shared" si="292"/>
        <v>280.75706251382195</v>
      </c>
      <c r="AA559" s="138"/>
      <c r="AB559" s="138"/>
      <c r="AC559" s="138"/>
      <c r="AD559" s="138"/>
      <c r="AE559" s="138"/>
      <c r="AF559" s="138"/>
      <c r="AG559" s="138"/>
      <c r="AH559" s="138"/>
      <c r="AI559" s="138"/>
      <c r="AJ559" s="138"/>
      <c r="AK559" s="138"/>
      <c r="AL559" s="138"/>
      <c r="AM559" s="138"/>
      <c r="AN559" s="138"/>
      <c r="BR559" s="180">
        <v>2019</v>
      </c>
      <c r="BS559" s="22">
        <v>5</v>
      </c>
      <c r="BT559" s="289">
        <f t="shared" si="303"/>
        <v>8.2082817965238082</v>
      </c>
      <c r="BU559" s="290">
        <f t="shared" si="304"/>
        <v>230.33436221310069</v>
      </c>
      <c r="BV559" s="315">
        <f t="shared" si="305"/>
        <v>238.5426440096245</v>
      </c>
      <c r="BY559" s="180">
        <v>2019</v>
      </c>
      <c r="BZ559" s="22">
        <v>5</v>
      </c>
      <c r="CA559" s="289">
        <f t="shared" ca="1" si="306"/>
        <v>0.53074576326420875</v>
      </c>
      <c r="CB559" s="289">
        <f t="shared" ca="1" si="307"/>
        <v>3.5377190797987756</v>
      </c>
      <c r="CC559" s="290">
        <f t="shared" ca="1" si="318"/>
        <v>236.36363408378207</v>
      </c>
      <c r="CD559" s="315">
        <f t="shared" ca="1" si="308"/>
        <v>240.43209892684507</v>
      </c>
      <c r="CG559" s="180">
        <v>2019</v>
      </c>
      <c r="CH559" s="22">
        <v>5</v>
      </c>
      <c r="CI559" s="289">
        <f t="shared" ca="1" si="309"/>
        <v>-0.12756817870497772</v>
      </c>
      <c r="CJ559" s="289">
        <f t="shared" ca="1" si="310"/>
        <v>2.2146457221699145</v>
      </c>
      <c r="CK559" s="289">
        <f t="shared" ca="1" si="311"/>
        <v>-2.0354795114642901</v>
      </c>
      <c r="CL559" s="290">
        <f t="shared" ca="1" si="312"/>
        <v>239.15217241572992</v>
      </c>
      <c r="CM559" s="315">
        <f t="shared" ca="1" si="313"/>
        <v>239.20377044773056</v>
      </c>
      <c r="CP559" s="180">
        <v>2019</v>
      </c>
      <c r="CQ559" s="22">
        <v>5</v>
      </c>
      <c r="CR559" s="289">
        <f t="shared" ca="1" si="314"/>
        <v>231.98398558817138</v>
      </c>
      <c r="CS559" s="290">
        <f t="shared" ca="1" si="315"/>
        <v>1.0310686245858303</v>
      </c>
      <c r="CT559" s="315">
        <f t="shared" ca="1" si="316"/>
        <v>239.19140894633495</v>
      </c>
      <c r="CZ559" s="164" t="b">
        <f t="shared" si="293"/>
        <v>1</v>
      </c>
      <c r="DA559" s="165" t="b">
        <f t="shared" si="293"/>
        <v>1</v>
      </c>
      <c r="DB559" s="166" t="b">
        <f t="shared" si="293"/>
        <v>1</v>
      </c>
      <c r="DC559" s="164">
        <f t="shared" si="294"/>
        <v>7</v>
      </c>
      <c r="DD559" s="166">
        <f t="shared" si="295"/>
        <v>193.89603353488104</v>
      </c>
      <c r="DE559" s="164">
        <f t="shared" si="296"/>
        <v>7</v>
      </c>
      <c r="DF559" s="166">
        <f t="shared" si="297"/>
        <v>237.3265480243515</v>
      </c>
      <c r="DG559" s="164">
        <f t="shared" si="298"/>
        <v>7</v>
      </c>
      <c r="DH559" s="166">
        <f t="shared" si="299"/>
        <v>280.75706251382195</v>
      </c>
      <c r="DI559" s="164">
        <f>IFERROR(INDEX(DC$550:DC$598,_xlfn.AGGREGATE(15,6,(ROW(DC$550:DC$598)-ROW(DC$550)+1)/(DC$550:DC$598&lt;&gt;""),ROWS(DI$1:DI10))),"")</f>
        <v>7</v>
      </c>
      <c r="DJ559" s="165">
        <f>IFERROR(INDEX(DD$550:DD$598,_xlfn.AGGREGATE(15,6,(ROW(DD$550:DD$598)-ROW(DD$550)+1)/(DD$550:DD$598&lt;&gt;""),ROWS(DJ$1:DJ10))),"")</f>
        <v>193.89603353488104</v>
      </c>
      <c r="DK559" s="166">
        <f t="shared" si="300"/>
        <v>559</v>
      </c>
      <c r="DL559" s="164">
        <f>IFERROR(INDEX(DE$550:DE$598,_xlfn.AGGREGATE(15,6,(ROW(DE$550:DE$598)-ROW(DE$550)+1)/(DE$550:DE$598&lt;&gt;""),ROWS(DL$1:DL10))),"")</f>
        <v>7</v>
      </c>
      <c r="DM559" s="165">
        <f>IFERROR(INDEX(DF$550:DF$598,_xlfn.AGGREGATE(15,6,(ROW(DF$550:DF$598)-ROW(DF$550)+1)/(DF$550:DF$598&lt;&gt;""),ROWS(DM$1:DM10))),"")</f>
        <v>237.3265480243515</v>
      </c>
      <c r="DN559" s="166">
        <f t="shared" si="301"/>
        <v>559</v>
      </c>
      <c r="DO559" s="164">
        <f>IFERROR(INDEX(DG$550:DG$598,_xlfn.AGGREGATE(15,6,(ROW(DG$550:DG$598)-ROW(DG$550)+1)/(DG$550:DG$598&lt;&gt;""),ROWS(DO$1:DO10))),"")</f>
        <v>7</v>
      </c>
      <c r="DP559" s="165">
        <f>IFERROR(INDEX(DH$550:DH$598,_xlfn.AGGREGATE(15,6,(ROW(DH$550:DH$598)-ROW(DH$550)+1)/(DH$550:DH$598&lt;&gt;""),ROWS(DP$1:DP10))),"")</f>
        <v>280.75706251382195</v>
      </c>
      <c r="DQ559" s="166">
        <f t="shared" si="302"/>
        <v>559</v>
      </c>
      <c r="DV559" s="145">
        <v>2024</v>
      </c>
      <c r="DW559" s="235">
        <f t="shared" ca="1" si="286"/>
        <v>242.91925085184118</v>
      </c>
      <c r="DZ559" s="135" t="s">
        <v>92</v>
      </c>
      <c r="EA559" s="33">
        <f t="shared" ref="EA559:EB561" si="319">IF($EA$548="Linear",0,IF($EA$548="2nd Poly",0,IF($EA$548="3rd Poly",0,IF($EA$548="Exp",CR551))))</f>
        <v>0</v>
      </c>
      <c r="EB559" s="33">
        <f t="shared" si="319"/>
        <v>0</v>
      </c>
      <c r="EC559" s="33" t="str">
        <f>IF($EA$548="Linear","N/A",IF($EA$548="2nd Poly","N/A",IF($EA$548="3rd Poly","N/A","High")))</f>
        <v>N/A</v>
      </c>
      <c r="ED559" s="33"/>
      <c r="EE559" s="33"/>
    </row>
    <row r="560" spans="1:135" ht="13.8" x14ac:dyDescent="0.45">
      <c r="A560" s="148" t="s">
        <v>88</v>
      </c>
      <c r="B560" s="128">
        <v>2022</v>
      </c>
      <c r="C560" s="957">
        <v>242.61660771469232</v>
      </c>
      <c r="D560" s="947">
        <v>290.96000000000009</v>
      </c>
      <c r="E560" s="308"/>
      <c r="F560" s="950"/>
      <c r="G560" s="199"/>
      <c r="H560" s="200"/>
      <c r="I560" s="1111">
        <v>183.16216216216219</v>
      </c>
      <c r="J560" s="199"/>
      <c r="K560" s="200"/>
      <c r="L560" s="201"/>
      <c r="M560" s="200"/>
      <c r="N560" s="29" t="s">
        <v>119</v>
      </c>
      <c r="O560" s="120"/>
      <c r="P560" s="120"/>
      <c r="Q560" s="120"/>
      <c r="R560" s="29">
        <v>8</v>
      </c>
      <c r="S560" s="202">
        <f t="shared" si="287"/>
        <v>183.16216216216219</v>
      </c>
      <c r="T560" s="202">
        <f t="shared" si="288"/>
        <v>290.96000000000009</v>
      </c>
      <c r="U560" s="202">
        <f t="shared" si="289"/>
        <v>44.086138557402961</v>
      </c>
      <c r="V560" s="20"/>
      <c r="W560" s="288">
        <f t="shared" si="290"/>
        <v>194.8267847348819</v>
      </c>
      <c r="X560" s="288">
        <f t="shared" si="291"/>
        <v>238.91292329228486</v>
      </c>
      <c r="Y560" s="288">
        <f t="shared" si="292"/>
        <v>282.99906184968779</v>
      </c>
      <c r="AA560" s="120"/>
      <c r="AB560" s="120"/>
      <c r="AC560" s="120"/>
      <c r="AD560" s="120"/>
      <c r="AE560" s="120"/>
      <c r="AF560" s="120"/>
      <c r="AG560" s="120"/>
      <c r="AH560" s="120"/>
      <c r="AI560" s="120"/>
      <c r="AJ560" s="120"/>
      <c r="AK560" s="120"/>
      <c r="AL560" s="120"/>
      <c r="AM560" s="120"/>
      <c r="AN560" s="120"/>
      <c r="BR560" s="180">
        <v>2020</v>
      </c>
      <c r="BS560" s="22">
        <v>6</v>
      </c>
      <c r="BT560" s="289">
        <f t="shared" si="303"/>
        <v>9.8499381558285712</v>
      </c>
      <c r="BU560" s="290">
        <f t="shared" si="304"/>
        <v>230.33436221310069</v>
      </c>
      <c r="BV560" s="203">
        <f t="shared" si="305"/>
        <v>240.18430036892926</v>
      </c>
      <c r="BY560" s="180">
        <v>2020</v>
      </c>
      <c r="BZ560" s="22">
        <v>6</v>
      </c>
      <c r="CA560" s="289">
        <f t="shared" ca="1" si="306"/>
        <v>0.76427389910046062</v>
      </c>
      <c r="CB560" s="289">
        <f t="shared" ca="1" si="307"/>
        <v>4.2452628957585308</v>
      </c>
      <c r="CC560" s="290">
        <f t="shared" ca="1" si="318"/>
        <v>236.36363408378207</v>
      </c>
      <c r="CD560" s="203">
        <f t="shared" ca="1" si="308"/>
        <v>241.37317087864108</v>
      </c>
      <c r="CG560" s="180">
        <v>2020</v>
      </c>
      <c r="CH560" s="22">
        <v>6</v>
      </c>
      <c r="CI560" s="289">
        <f t="shared" ca="1" si="309"/>
        <v>-0.22043781280220151</v>
      </c>
      <c r="CJ560" s="289">
        <f t="shared" ca="1" si="310"/>
        <v>3.189089839924677</v>
      </c>
      <c r="CK560" s="289">
        <f t="shared" ca="1" si="311"/>
        <v>-2.4425754137571478</v>
      </c>
      <c r="CL560" s="290">
        <f t="shared" ca="1" si="312"/>
        <v>239.15217241572992</v>
      </c>
      <c r="CM560" s="203">
        <f t="shared" ca="1" si="313"/>
        <v>239.67824902909524</v>
      </c>
      <c r="CP560" s="180">
        <v>2020</v>
      </c>
      <c r="CQ560" s="22">
        <v>6</v>
      </c>
      <c r="CR560" s="289">
        <f t="shared" ca="1" si="314"/>
        <v>231.98398558817138</v>
      </c>
      <c r="CS560" s="290">
        <f t="shared" ca="1" si="315"/>
        <v>1.0373972341658964</v>
      </c>
      <c r="CT560" s="203">
        <f t="shared" ca="1" si="316"/>
        <v>240.65954501995014</v>
      </c>
      <c r="CZ560" s="164" t="b">
        <f t="shared" si="293"/>
        <v>1</v>
      </c>
      <c r="DA560" s="165" t="b">
        <f t="shared" si="293"/>
        <v>1</v>
      </c>
      <c r="DB560" s="166" t="b">
        <f t="shared" si="293"/>
        <v>1</v>
      </c>
      <c r="DC560" s="164">
        <f t="shared" si="294"/>
        <v>8</v>
      </c>
      <c r="DD560" s="166">
        <f t="shared" si="295"/>
        <v>194.8267847348819</v>
      </c>
      <c r="DE560" s="164">
        <f t="shared" si="296"/>
        <v>8</v>
      </c>
      <c r="DF560" s="166">
        <f t="shared" si="297"/>
        <v>238.91292329228486</v>
      </c>
      <c r="DG560" s="164">
        <f t="shared" si="298"/>
        <v>8</v>
      </c>
      <c r="DH560" s="166">
        <f t="shared" si="299"/>
        <v>282.99906184968779</v>
      </c>
      <c r="DI560" s="164">
        <f>IFERROR(INDEX(DC$550:DC$598,_xlfn.AGGREGATE(15,6,(ROW(DC$550:DC$598)-ROW(DC$550)+1)/(DC$550:DC$598&lt;&gt;""),ROWS(DI$1:DI11))),"")</f>
        <v>8</v>
      </c>
      <c r="DJ560" s="165">
        <f>IFERROR(INDEX(DD$550:DD$598,_xlfn.AGGREGATE(15,6,(ROW(DD$550:DD$598)-ROW(DD$550)+1)/(DD$550:DD$598&lt;&gt;""),ROWS(DJ$1:DJ11))),"")</f>
        <v>194.8267847348819</v>
      </c>
      <c r="DK560" s="166">
        <f t="shared" si="300"/>
        <v>560</v>
      </c>
      <c r="DL560" s="164">
        <f>IFERROR(INDEX(DE$550:DE$598,_xlfn.AGGREGATE(15,6,(ROW(DE$550:DE$598)-ROW(DE$550)+1)/(DE$550:DE$598&lt;&gt;""),ROWS(DL$1:DL11))),"")</f>
        <v>8</v>
      </c>
      <c r="DM560" s="165">
        <f>IFERROR(INDEX(DF$550:DF$598,_xlfn.AGGREGATE(15,6,(ROW(DF$550:DF$598)-ROW(DF$550)+1)/(DF$550:DF$598&lt;&gt;""),ROWS(DM$1:DM11))),"")</f>
        <v>238.91292329228486</v>
      </c>
      <c r="DN560" s="166">
        <f t="shared" si="301"/>
        <v>560</v>
      </c>
      <c r="DO560" s="164">
        <f>IFERROR(INDEX(DG$550:DG$598,_xlfn.AGGREGATE(15,6,(ROW(DG$550:DG$598)-ROW(DG$550)+1)/(DG$550:DG$598&lt;&gt;""),ROWS(DO$1:DO11))),"")</f>
        <v>8</v>
      </c>
      <c r="DP560" s="165">
        <f>IFERROR(INDEX(DH$550:DH$598,_xlfn.AGGREGATE(15,6,(ROW(DH$550:DH$598)-ROW(DH$550)+1)/(DH$550:DH$598&lt;&gt;""),ROWS(DP$1:DP11))),"")</f>
        <v>282.99906184968779</v>
      </c>
      <c r="DQ560" s="166">
        <f t="shared" si="302"/>
        <v>560</v>
      </c>
      <c r="DR560" s="65"/>
      <c r="DV560" s="145">
        <v>2025</v>
      </c>
      <c r="DW560" s="235">
        <f t="shared" ca="1" si="286"/>
        <v>244.03465681896026</v>
      </c>
      <c r="DZ560" s="135" t="s">
        <v>92</v>
      </c>
      <c r="EA560" s="33">
        <f t="shared" si="319"/>
        <v>0</v>
      </c>
      <c r="EB560" s="33">
        <f t="shared" si="319"/>
        <v>0</v>
      </c>
      <c r="EC560" s="33" t="str">
        <f>IF($EA$548="Linear","N/A",IF($EA$548="2nd Poly","N/A",IF($EA$548="3rd Poly","N/A","Medium")))</f>
        <v>N/A</v>
      </c>
    </row>
    <row r="561" spans="1:135" ht="13.8" x14ac:dyDescent="0.45">
      <c r="B561" s="128">
        <v>2023</v>
      </c>
      <c r="C561" s="957">
        <v>242.90438216714102</v>
      </c>
      <c r="D561" s="947">
        <v>294.0800000000001</v>
      </c>
      <c r="E561" s="308"/>
      <c r="F561" s="950"/>
      <c r="G561" s="199"/>
      <c r="H561" s="200"/>
      <c r="I561" s="1111">
        <v>184.51351351351354</v>
      </c>
      <c r="J561" s="199"/>
      <c r="K561" s="200"/>
      <c r="L561" s="201"/>
      <c r="M561" s="200"/>
      <c r="N561" s="29" t="s">
        <v>119</v>
      </c>
      <c r="O561" s="120"/>
      <c r="P561" s="120"/>
      <c r="Q561" s="120"/>
      <c r="R561" s="29">
        <v>9</v>
      </c>
      <c r="S561" s="202">
        <f t="shared" si="287"/>
        <v>184.51351351351354</v>
      </c>
      <c r="T561" s="202">
        <f t="shared" si="288"/>
        <v>294.0800000000001</v>
      </c>
      <c r="U561" s="202">
        <f t="shared" si="289"/>
        <v>44.762648570845926</v>
      </c>
      <c r="V561" s="20"/>
      <c r="W561" s="288">
        <f t="shared" si="290"/>
        <v>195.7366499893723</v>
      </c>
      <c r="X561" s="288">
        <f t="shared" si="291"/>
        <v>240.49929856021822</v>
      </c>
      <c r="Y561" s="288">
        <f t="shared" si="292"/>
        <v>285.26194713106418</v>
      </c>
      <c r="AA561" s="120"/>
      <c r="AB561" s="120"/>
      <c r="AC561" s="120"/>
      <c r="AD561" s="120"/>
      <c r="AE561" s="120"/>
      <c r="AF561" s="120"/>
      <c r="AG561" s="120"/>
      <c r="AH561" s="120"/>
      <c r="AI561" s="120"/>
      <c r="AJ561" s="120"/>
      <c r="AK561" s="120"/>
      <c r="AL561" s="120"/>
      <c r="AM561" s="120"/>
      <c r="AN561" s="120"/>
      <c r="BR561" s="180">
        <v>2021</v>
      </c>
      <c r="BS561" s="22">
        <v>7</v>
      </c>
      <c r="BT561" s="289">
        <f t="shared" si="303"/>
        <v>11.491594515133333</v>
      </c>
      <c r="BU561" s="290">
        <f t="shared" si="304"/>
        <v>230.33436221310069</v>
      </c>
      <c r="BV561" s="205">
        <f t="shared" si="305"/>
        <v>241.82595672823402</v>
      </c>
      <c r="BY561" s="180">
        <v>2021</v>
      </c>
      <c r="BZ561" s="22">
        <v>7</v>
      </c>
      <c r="CA561" s="289">
        <f t="shared" ca="1" si="306"/>
        <v>1.0402616959978492</v>
      </c>
      <c r="CB561" s="289">
        <f t="shared" ca="1" si="307"/>
        <v>4.9528067117182859</v>
      </c>
      <c r="CC561" s="290">
        <f t="shared" ca="1" si="318"/>
        <v>236.36363408378207</v>
      </c>
      <c r="CD561" s="205">
        <f t="shared" ca="1" si="308"/>
        <v>242.3567024914982</v>
      </c>
      <c r="CG561" s="180">
        <v>2021</v>
      </c>
      <c r="CH561" s="22">
        <v>7</v>
      </c>
      <c r="CI561" s="289">
        <f t="shared" ca="1" si="309"/>
        <v>-0.35004708236645887</v>
      </c>
      <c r="CJ561" s="289">
        <f t="shared" ca="1" si="310"/>
        <v>4.3407056154530324</v>
      </c>
      <c r="CK561" s="289">
        <f t="shared" ca="1" si="311"/>
        <v>-2.8496713160500056</v>
      </c>
      <c r="CL561" s="290">
        <f t="shared" ca="1" si="312"/>
        <v>239.15217241572992</v>
      </c>
      <c r="CM561" s="205">
        <f t="shared" ca="1" si="313"/>
        <v>240.2931596327665</v>
      </c>
      <c r="CP561" s="180">
        <v>2021</v>
      </c>
      <c r="CQ561" s="22">
        <v>7</v>
      </c>
      <c r="CR561" s="289">
        <f t="shared" ca="1" si="314"/>
        <v>231.98398558817138</v>
      </c>
      <c r="CS561" s="290">
        <f t="shared" ca="1" si="315"/>
        <v>1.0437646882013769</v>
      </c>
      <c r="CT561" s="205">
        <f t="shared" ca="1" si="316"/>
        <v>242.13669238515041</v>
      </c>
      <c r="CZ561" s="164" t="b">
        <f t="shared" si="293"/>
        <v>1</v>
      </c>
      <c r="DA561" s="165" t="b">
        <f t="shared" si="293"/>
        <v>1</v>
      </c>
      <c r="DB561" s="166" t="b">
        <f t="shared" si="293"/>
        <v>1</v>
      </c>
      <c r="DC561" s="164">
        <f t="shared" si="294"/>
        <v>9</v>
      </c>
      <c r="DD561" s="166">
        <f t="shared" si="295"/>
        <v>195.7366499893723</v>
      </c>
      <c r="DE561" s="164">
        <f t="shared" si="296"/>
        <v>9</v>
      </c>
      <c r="DF561" s="166">
        <f t="shared" si="297"/>
        <v>240.49929856021822</v>
      </c>
      <c r="DG561" s="164">
        <f t="shared" si="298"/>
        <v>9</v>
      </c>
      <c r="DH561" s="166">
        <f t="shared" si="299"/>
        <v>285.26194713106418</v>
      </c>
      <c r="DI561" s="164">
        <f>IFERROR(INDEX(DC$550:DC$598,_xlfn.AGGREGATE(15,6,(ROW(DC$550:DC$598)-ROW(DC$550)+1)/(DC$550:DC$598&lt;&gt;""),ROWS(DI$1:DI12))),"")</f>
        <v>9</v>
      </c>
      <c r="DJ561" s="165">
        <f>IFERROR(INDEX(DD$550:DD$598,_xlfn.AGGREGATE(15,6,(ROW(DD$550:DD$598)-ROW(DD$550)+1)/(DD$550:DD$598&lt;&gt;""),ROWS(DJ$1:DJ12))),"")</f>
        <v>195.7366499893723</v>
      </c>
      <c r="DK561" s="166">
        <f t="shared" si="300"/>
        <v>561</v>
      </c>
      <c r="DL561" s="164">
        <f>IFERROR(INDEX(DE$550:DE$598,_xlfn.AGGREGATE(15,6,(ROW(DE$550:DE$598)-ROW(DE$550)+1)/(DE$550:DE$598&lt;&gt;""),ROWS(DL$1:DL12))),"")</f>
        <v>9</v>
      </c>
      <c r="DM561" s="165">
        <f>IFERROR(INDEX(DF$550:DF$598,_xlfn.AGGREGATE(15,6,(ROW(DF$550:DF$598)-ROW(DF$550)+1)/(DF$550:DF$598&lt;&gt;""),ROWS(DM$1:DM12))),"")</f>
        <v>240.49929856021822</v>
      </c>
      <c r="DN561" s="166">
        <f t="shared" si="301"/>
        <v>561</v>
      </c>
      <c r="DO561" s="164">
        <f>IFERROR(INDEX(DG$550:DG$598,_xlfn.AGGREGATE(15,6,(ROW(DG$550:DG$598)-ROW(DG$550)+1)/(DG$550:DG$598&lt;&gt;""),ROWS(DO$1:DO12))),"")</f>
        <v>9</v>
      </c>
      <c r="DP561" s="165">
        <f>IFERROR(INDEX(DH$550:DH$598,_xlfn.AGGREGATE(15,6,(ROW(DH$550:DH$598)-ROW(DH$550)+1)/(DH$550:DH$598&lt;&gt;""),ROWS(DP$1:DP12))),"")</f>
        <v>285.26194713106418</v>
      </c>
      <c r="DQ561" s="166">
        <f t="shared" si="302"/>
        <v>561</v>
      </c>
      <c r="DR561" s="65"/>
      <c r="DV561" s="145">
        <v>2026</v>
      </c>
      <c r="DW561" s="235">
        <f t="shared" ca="1" si="286"/>
        <v>245.25987844549672</v>
      </c>
      <c r="DZ561" s="135" t="s">
        <v>92</v>
      </c>
      <c r="EA561" s="33">
        <f t="shared" si="319"/>
        <v>0</v>
      </c>
      <c r="EB561" s="33">
        <f t="shared" si="319"/>
        <v>0</v>
      </c>
      <c r="EC561" s="33" t="str">
        <f>IF($EA$548="Linear","N/A",IF($EA$548="2nd Poly","N/A",IF($EA$548="3rd Poly","N/A","Low")))</f>
        <v>N/A</v>
      </c>
    </row>
    <row r="562" spans="1:135" ht="13.8" x14ac:dyDescent="0.45">
      <c r="B562" s="128">
        <v>2024</v>
      </c>
      <c r="C562" s="957">
        <v>243.19215661958975</v>
      </c>
      <c r="D562" s="947">
        <v>297.2000000000001</v>
      </c>
      <c r="E562" s="308"/>
      <c r="F562" s="914"/>
      <c r="G562" s="294"/>
      <c r="H562" s="292"/>
      <c r="I562" s="1112">
        <v>185.8648648648649</v>
      </c>
      <c r="J562" s="294"/>
      <c r="K562" s="292"/>
      <c r="L562" s="293"/>
      <c r="M562" s="292"/>
      <c r="N562" s="29" t="s">
        <v>119</v>
      </c>
      <c r="O562" s="120"/>
      <c r="P562" s="120"/>
      <c r="Q562" s="120"/>
      <c r="R562" s="29">
        <v>10</v>
      </c>
      <c r="S562" s="288">
        <f t="shared" si="287"/>
        <v>185.8648648648649</v>
      </c>
      <c r="T562" s="288">
        <f t="shared" si="288"/>
        <v>297.2000000000001</v>
      </c>
      <c r="U562" s="288">
        <f t="shared" si="289"/>
        <v>45.459112082658223</v>
      </c>
      <c r="V562" s="20"/>
      <c r="W562" s="288">
        <f t="shared" si="290"/>
        <v>196.62656174549335</v>
      </c>
      <c r="X562" s="288">
        <f t="shared" si="291"/>
        <v>242.08567382815158</v>
      </c>
      <c r="Y562" s="288">
        <f t="shared" si="292"/>
        <v>287.54478591080982</v>
      </c>
      <c r="AA562" s="120"/>
      <c r="AB562" s="120"/>
      <c r="AC562" s="120"/>
      <c r="AD562" s="120"/>
      <c r="AE562" s="120"/>
      <c r="AF562" s="120"/>
      <c r="AG562" s="120"/>
      <c r="AH562" s="120"/>
      <c r="AI562" s="120"/>
      <c r="AJ562" s="120"/>
      <c r="AK562" s="120"/>
      <c r="AL562" s="120"/>
      <c r="AM562" s="120"/>
      <c r="AN562" s="120"/>
      <c r="BR562" s="180">
        <v>2022</v>
      </c>
      <c r="BS562" s="22">
        <v>8</v>
      </c>
      <c r="BT562" s="289">
        <f t="shared" si="303"/>
        <v>13.133250874438094</v>
      </c>
      <c r="BU562" s="290">
        <f t="shared" si="304"/>
        <v>230.33436221310069</v>
      </c>
      <c r="BV562" s="205">
        <f t="shared" si="305"/>
        <v>243.46761308753878</v>
      </c>
      <c r="BY562" s="180">
        <v>2022</v>
      </c>
      <c r="BZ562" s="22">
        <v>8</v>
      </c>
      <c r="CA562" s="289">
        <f t="shared" ca="1" si="306"/>
        <v>1.3587091539563745</v>
      </c>
      <c r="CB562" s="289">
        <f t="shared" ca="1" si="307"/>
        <v>5.660350527678041</v>
      </c>
      <c r="CC562" s="290">
        <f t="shared" ca="1" si="318"/>
        <v>236.36363408378207</v>
      </c>
      <c r="CD562" s="205">
        <f t="shared" ca="1" si="308"/>
        <v>243.38269376541649</v>
      </c>
      <c r="CG562" s="180">
        <v>2022</v>
      </c>
      <c r="CH562" s="22">
        <v>8</v>
      </c>
      <c r="CI562" s="289">
        <f t="shared" ca="1" si="309"/>
        <v>-0.52251925997558879</v>
      </c>
      <c r="CJ562" s="289">
        <f t="shared" ca="1" si="310"/>
        <v>5.6694930487549815</v>
      </c>
      <c r="CK562" s="289">
        <f t="shared" ca="1" si="311"/>
        <v>-3.2567672183428638</v>
      </c>
      <c r="CL562" s="290">
        <f t="shared" ca="1" si="312"/>
        <v>239.15217241572992</v>
      </c>
      <c r="CM562" s="205">
        <f t="shared" ca="1" si="313"/>
        <v>241.04237898616645</v>
      </c>
      <c r="CP562" s="180">
        <v>2022</v>
      </c>
      <c r="CQ562" s="22">
        <v>8</v>
      </c>
      <c r="CR562" s="289">
        <f t="shared" ca="1" si="314"/>
        <v>231.98398558817138</v>
      </c>
      <c r="CS562" s="290">
        <f t="shared" ca="1" si="315"/>
        <v>1.0501712251161621</v>
      </c>
      <c r="CT562" s="205">
        <f t="shared" ca="1" si="316"/>
        <v>243.62290635246003</v>
      </c>
      <c r="CZ562" s="164" t="b">
        <f t="shared" si="293"/>
        <v>1</v>
      </c>
      <c r="DA562" s="165" t="b">
        <f t="shared" si="293"/>
        <v>1</v>
      </c>
      <c r="DB562" s="166" t="b">
        <f t="shared" si="293"/>
        <v>1</v>
      </c>
      <c r="DC562" s="164">
        <f t="shared" si="294"/>
        <v>10</v>
      </c>
      <c r="DD562" s="166">
        <f t="shared" si="295"/>
        <v>196.62656174549335</v>
      </c>
      <c r="DE562" s="164">
        <f t="shared" si="296"/>
        <v>10</v>
      </c>
      <c r="DF562" s="166">
        <f t="shared" si="297"/>
        <v>242.08567382815158</v>
      </c>
      <c r="DG562" s="164">
        <f t="shared" si="298"/>
        <v>10</v>
      </c>
      <c r="DH562" s="166">
        <f t="shared" si="299"/>
        <v>287.54478591080982</v>
      </c>
      <c r="DI562" s="164">
        <f>IFERROR(INDEX(DC$550:DC$598,_xlfn.AGGREGATE(15,6,(ROW(DC$550:DC$598)-ROW(DC$550)+1)/(DC$550:DC$598&lt;&gt;""),ROWS(DI$1:DI13))),"")</f>
        <v>10</v>
      </c>
      <c r="DJ562" s="165">
        <f>IFERROR(INDEX(DD$550:DD$598,_xlfn.AGGREGATE(15,6,(ROW(DD$550:DD$598)-ROW(DD$550)+1)/(DD$550:DD$598&lt;&gt;""),ROWS(DJ$1:DJ13))),"")</f>
        <v>196.62656174549335</v>
      </c>
      <c r="DK562" s="166">
        <f t="shared" si="300"/>
        <v>562</v>
      </c>
      <c r="DL562" s="164">
        <f>IFERROR(INDEX(DE$550:DE$598,_xlfn.AGGREGATE(15,6,(ROW(DE$550:DE$598)-ROW(DE$550)+1)/(DE$550:DE$598&lt;&gt;""),ROWS(DL$1:DL13))),"")</f>
        <v>10</v>
      </c>
      <c r="DM562" s="165">
        <f>IFERROR(INDEX(DF$550:DF$598,_xlfn.AGGREGATE(15,6,(ROW(DF$550:DF$598)-ROW(DF$550)+1)/(DF$550:DF$598&lt;&gt;""),ROWS(DM$1:DM13))),"")</f>
        <v>242.08567382815158</v>
      </c>
      <c r="DN562" s="166">
        <f t="shared" si="301"/>
        <v>562</v>
      </c>
      <c r="DO562" s="164">
        <f>IFERROR(INDEX(DG$550:DG$598,_xlfn.AGGREGATE(15,6,(ROW(DG$550:DG$598)-ROW(DG$550)+1)/(DG$550:DG$598&lt;&gt;""),ROWS(DO$1:DO13))),"")</f>
        <v>10</v>
      </c>
      <c r="DP562" s="165">
        <f>IFERROR(INDEX(DH$550:DH$598,_xlfn.AGGREGATE(15,6,(ROW(DH$550:DH$598)-ROW(DH$550)+1)/(DH$550:DH$598&lt;&gt;""),ROWS(DP$1:DP13))),"")</f>
        <v>287.54478591080982</v>
      </c>
      <c r="DQ562" s="166">
        <f t="shared" si="302"/>
        <v>562</v>
      </c>
      <c r="DR562" s="65"/>
      <c r="DV562" s="145">
        <v>2027</v>
      </c>
      <c r="DW562" s="235">
        <f t="shared" ca="1" si="286"/>
        <v>246.58879245887272</v>
      </c>
    </row>
    <row r="563" spans="1:135" ht="13.8" x14ac:dyDescent="0.45">
      <c r="B563" s="128">
        <v>2025</v>
      </c>
      <c r="C563" s="957">
        <v>243.47993107203845</v>
      </c>
      <c r="D563" s="947">
        <v>300.32000000000011</v>
      </c>
      <c r="E563" s="308"/>
      <c r="F563" s="914"/>
      <c r="G563" s="294"/>
      <c r="H563" s="292"/>
      <c r="I563" s="1112">
        <v>187.21621621621625</v>
      </c>
      <c r="J563" s="294"/>
      <c r="K563" s="292"/>
      <c r="L563" s="293"/>
      <c r="M563" s="292"/>
      <c r="N563" s="29" t="s">
        <v>119</v>
      </c>
      <c r="O563" s="120"/>
      <c r="P563" s="120"/>
      <c r="Q563" s="120"/>
      <c r="R563" s="29">
        <v>11</v>
      </c>
      <c r="S563" s="288">
        <f t="shared" si="287"/>
        <v>187.21621621621625</v>
      </c>
      <c r="T563" s="288">
        <f t="shared" si="288"/>
        <v>300.32000000000011</v>
      </c>
      <c r="U563" s="288">
        <f t="shared" si="289"/>
        <v>46.174626210749011</v>
      </c>
      <c r="W563" s="288">
        <f t="shared" si="290"/>
        <v>197.49742288533594</v>
      </c>
      <c r="X563" s="288">
        <f t="shared" si="291"/>
        <v>243.67204909608495</v>
      </c>
      <c r="Y563" s="288">
        <f t="shared" si="292"/>
        <v>289.84667530683396</v>
      </c>
      <c r="AA563" s="120"/>
      <c r="AB563" s="120"/>
      <c r="AC563" s="120"/>
      <c r="AD563" s="120"/>
      <c r="AE563" s="120"/>
      <c r="AF563" s="120"/>
      <c r="AG563" s="120"/>
      <c r="AH563" s="120"/>
      <c r="AI563" s="120"/>
      <c r="AJ563" s="120"/>
      <c r="AK563" s="120"/>
      <c r="AL563" s="120"/>
      <c r="AM563" s="120"/>
      <c r="AN563" s="120"/>
      <c r="BR563" s="180">
        <v>2023</v>
      </c>
      <c r="BS563" s="22">
        <v>9</v>
      </c>
      <c r="BT563" s="289">
        <f t="shared" si="303"/>
        <v>14.774907233742855</v>
      </c>
      <c r="BU563" s="290">
        <f t="shared" si="304"/>
        <v>230.33436221310069</v>
      </c>
      <c r="BV563" s="205">
        <f t="shared" si="305"/>
        <v>245.10926944684354</v>
      </c>
      <c r="BY563" s="180">
        <v>2023</v>
      </c>
      <c r="BZ563" s="22">
        <v>9</v>
      </c>
      <c r="CA563" s="289">
        <f t="shared" ca="1" si="306"/>
        <v>1.7196162729760365</v>
      </c>
      <c r="CB563" s="289">
        <f t="shared" ca="1" si="307"/>
        <v>6.3678943436377962</v>
      </c>
      <c r="CC563" s="290">
        <f t="shared" ca="1" si="318"/>
        <v>236.36363408378207</v>
      </c>
      <c r="CD563" s="205">
        <f t="shared" ca="1" si="308"/>
        <v>244.4511447003959</v>
      </c>
      <c r="CG563" s="180">
        <v>2023</v>
      </c>
      <c r="CH563" s="22">
        <v>9</v>
      </c>
      <c r="CI563" s="289">
        <f t="shared" ca="1" si="309"/>
        <v>-0.74397761820743014</v>
      </c>
      <c r="CJ563" s="289">
        <f t="shared" ca="1" si="310"/>
        <v>7.1754521398305231</v>
      </c>
      <c r="CK563" s="289">
        <f t="shared" ca="1" si="311"/>
        <v>-3.6638631206357219</v>
      </c>
      <c r="CL563" s="290">
        <f t="shared" ca="1" si="312"/>
        <v>239.15217241572992</v>
      </c>
      <c r="CM563" s="205">
        <f t="shared" ca="1" si="313"/>
        <v>241.91978381671728</v>
      </c>
      <c r="CP563" s="180">
        <v>2023</v>
      </c>
      <c r="CQ563" s="22">
        <v>9</v>
      </c>
      <c r="CR563" s="289">
        <f t="shared" ca="1" si="314"/>
        <v>231.98398558817138</v>
      </c>
      <c r="CS563" s="290">
        <f t="shared" ca="1" si="315"/>
        <v>1.0566170847975673</v>
      </c>
      <c r="CT563" s="205">
        <f t="shared" ca="1" si="316"/>
        <v>245.11824257189451</v>
      </c>
      <c r="CZ563" s="164" t="b">
        <f t="shared" si="293"/>
        <v>1</v>
      </c>
      <c r="DA563" s="165" t="b">
        <f t="shared" si="293"/>
        <v>1</v>
      </c>
      <c r="DB563" s="166" t="b">
        <f t="shared" si="293"/>
        <v>1</v>
      </c>
      <c r="DC563" s="164">
        <f t="shared" si="294"/>
        <v>11</v>
      </c>
      <c r="DD563" s="166">
        <f t="shared" si="295"/>
        <v>197.49742288533594</v>
      </c>
      <c r="DE563" s="164">
        <f t="shared" si="296"/>
        <v>11</v>
      </c>
      <c r="DF563" s="166">
        <f t="shared" si="297"/>
        <v>243.67204909608495</v>
      </c>
      <c r="DG563" s="164">
        <f t="shared" si="298"/>
        <v>11</v>
      </c>
      <c r="DH563" s="166">
        <f t="shared" si="299"/>
        <v>289.84667530683396</v>
      </c>
      <c r="DI563" s="164">
        <f>IFERROR(INDEX(DC$550:DC$598,_xlfn.AGGREGATE(15,6,(ROW(DC$550:DC$598)-ROW(DC$550)+1)/(DC$550:DC$598&lt;&gt;""),ROWS(DI$1:DI14))),"")</f>
        <v>11</v>
      </c>
      <c r="DJ563" s="165">
        <f>IFERROR(INDEX(DD$550:DD$598,_xlfn.AGGREGATE(15,6,(ROW(DD$550:DD$598)-ROW(DD$550)+1)/(DD$550:DD$598&lt;&gt;""),ROWS(DJ$1:DJ14))),"")</f>
        <v>197.49742288533594</v>
      </c>
      <c r="DK563" s="166">
        <f t="shared" si="300"/>
        <v>563</v>
      </c>
      <c r="DL563" s="164">
        <f>IFERROR(INDEX(DE$550:DE$598,_xlfn.AGGREGATE(15,6,(ROW(DE$550:DE$598)-ROW(DE$550)+1)/(DE$550:DE$598&lt;&gt;""),ROWS(DL$1:DL14))),"")</f>
        <v>11</v>
      </c>
      <c r="DM563" s="165">
        <f>IFERROR(INDEX(DF$550:DF$598,_xlfn.AGGREGATE(15,6,(ROW(DF$550:DF$598)-ROW(DF$550)+1)/(DF$550:DF$598&lt;&gt;""),ROWS(DM$1:DM14))),"")</f>
        <v>243.67204909608495</v>
      </c>
      <c r="DN563" s="166">
        <f t="shared" si="301"/>
        <v>563</v>
      </c>
      <c r="DO563" s="164">
        <f>IFERROR(INDEX(DG$550:DG$598,_xlfn.AGGREGATE(15,6,(ROW(DG$550:DG$598)-ROW(DG$550)+1)/(DG$550:DG$598&lt;&gt;""),ROWS(DO$1:DO14))),"")</f>
        <v>11</v>
      </c>
      <c r="DP563" s="165">
        <f>IFERROR(INDEX(DH$550:DH$598,_xlfn.AGGREGATE(15,6,(ROW(DH$550:DH$598)-ROW(DH$550)+1)/(DH$550:DH$598&lt;&gt;""),ROWS(DP$1:DP14))),"")</f>
        <v>289.84667530683396</v>
      </c>
      <c r="DQ563" s="166">
        <f t="shared" si="302"/>
        <v>563</v>
      </c>
      <c r="DR563" s="65"/>
      <c r="DV563" s="145">
        <v>2028</v>
      </c>
      <c r="DW563" s="235">
        <f t="shared" ca="1" si="286"/>
        <v>248.01527558651037</v>
      </c>
    </row>
    <row r="564" spans="1:135" ht="13.8" x14ac:dyDescent="0.45">
      <c r="B564" s="128">
        <v>2026</v>
      </c>
      <c r="C564" s="957">
        <v>243.76770552448718</v>
      </c>
      <c r="D564" s="947">
        <v>303.44000000000011</v>
      </c>
      <c r="E564" s="308"/>
      <c r="F564" s="914"/>
      <c r="G564" s="294"/>
      <c r="H564" s="292"/>
      <c r="I564" s="1112">
        <v>188.56756756756761</v>
      </c>
      <c r="J564" s="294"/>
      <c r="K564" s="292"/>
      <c r="L564" s="293"/>
      <c r="M564" s="292"/>
      <c r="N564" s="29" t="s">
        <v>119</v>
      </c>
      <c r="O564" s="120"/>
      <c r="P564" s="120"/>
      <c r="Q564" s="120"/>
      <c r="R564" s="29">
        <v>12</v>
      </c>
      <c r="S564" s="288">
        <f t="shared" si="287"/>
        <v>188.56756756756761</v>
      </c>
      <c r="T564" s="288">
        <f t="shared" si="288"/>
        <v>303.44000000000011</v>
      </c>
      <c r="U564" s="288">
        <f t="shared" si="289"/>
        <v>46.908319199830871</v>
      </c>
      <c r="W564" s="288">
        <f t="shared" si="290"/>
        <v>198.35010516418743</v>
      </c>
      <c r="X564" s="288">
        <f t="shared" si="291"/>
        <v>245.25842436401831</v>
      </c>
      <c r="Y564" s="288">
        <f t="shared" si="292"/>
        <v>292.1667435638492</v>
      </c>
      <c r="AA564" s="120"/>
      <c r="AB564" s="120"/>
      <c r="AC564" s="120"/>
      <c r="AD564" s="120"/>
      <c r="AE564" s="120"/>
      <c r="AF564" s="120"/>
      <c r="AG564" s="120"/>
      <c r="AH564" s="120"/>
      <c r="AI564" s="120"/>
      <c r="AJ564" s="120"/>
      <c r="AK564" s="120"/>
      <c r="AL564" s="120"/>
      <c r="AM564" s="120"/>
      <c r="AN564" s="120"/>
      <c r="BR564" s="180">
        <v>2024</v>
      </c>
      <c r="BS564" s="22">
        <v>10</v>
      </c>
      <c r="BT564" s="289">
        <f t="shared" si="303"/>
        <v>16.416563593047616</v>
      </c>
      <c r="BU564" s="290">
        <f t="shared" si="304"/>
        <v>230.33436221310069</v>
      </c>
      <c r="BV564" s="205">
        <f t="shared" si="305"/>
        <v>246.7509258061483</v>
      </c>
      <c r="BY564" s="180">
        <v>2024</v>
      </c>
      <c r="BZ564" s="22">
        <v>10</v>
      </c>
      <c r="CA564" s="289">
        <f t="shared" ca="1" si="306"/>
        <v>2.122983053056835</v>
      </c>
      <c r="CB564" s="289">
        <f t="shared" ca="1" si="307"/>
        <v>7.0754381595975513</v>
      </c>
      <c r="CC564" s="290">
        <f t="shared" ca="1" si="318"/>
        <v>236.36363408378207</v>
      </c>
      <c r="CD564" s="205">
        <f t="shared" ca="1" si="308"/>
        <v>245.56205529643645</v>
      </c>
      <c r="CG564" s="180">
        <v>2024</v>
      </c>
      <c r="CH564" s="22">
        <v>10</v>
      </c>
      <c r="CI564" s="289">
        <f t="shared" ca="1" si="309"/>
        <v>-1.0205454296398218</v>
      </c>
      <c r="CJ564" s="289">
        <f t="shared" ca="1" si="310"/>
        <v>8.858582888679658</v>
      </c>
      <c r="CK564" s="289">
        <f t="shared" ca="1" si="311"/>
        <v>-4.0709590229285801</v>
      </c>
      <c r="CL564" s="290">
        <f t="shared" ca="1" si="312"/>
        <v>239.15217241572992</v>
      </c>
      <c r="CM564" s="205">
        <f t="shared" ca="1" si="313"/>
        <v>242.91925085184118</v>
      </c>
      <c r="CP564" s="180">
        <v>2024</v>
      </c>
      <c r="CQ564" s="22">
        <v>10</v>
      </c>
      <c r="CR564" s="289">
        <f t="shared" ca="1" si="314"/>
        <v>231.98398558817138</v>
      </c>
      <c r="CS564" s="290">
        <f t="shared" ca="1" si="315"/>
        <v>1.0631025086053159</v>
      </c>
      <c r="CT564" s="205">
        <f t="shared" ca="1" si="316"/>
        <v>246.62275703504443</v>
      </c>
      <c r="CZ564" s="164" t="b">
        <f t="shared" si="293"/>
        <v>1</v>
      </c>
      <c r="DA564" s="165" t="b">
        <f t="shared" si="293"/>
        <v>1</v>
      </c>
      <c r="DB564" s="166" t="b">
        <f t="shared" si="293"/>
        <v>1</v>
      </c>
      <c r="DC564" s="164">
        <f t="shared" si="294"/>
        <v>12</v>
      </c>
      <c r="DD564" s="166">
        <f t="shared" si="295"/>
        <v>198.35010516418743</v>
      </c>
      <c r="DE564" s="164">
        <f t="shared" si="296"/>
        <v>12</v>
      </c>
      <c r="DF564" s="166">
        <f t="shared" si="297"/>
        <v>245.25842436401831</v>
      </c>
      <c r="DG564" s="164">
        <f t="shared" si="298"/>
        <v>12</v>
      </c>
      <c r="DH564" s="166">
        <f t="shared" si="299"/>
        <v>292.1667435638492</v>
      </c>
      <c r="DI564" s="164">
        <f>IFERROR(INDEX(DC$550:DC$598,_xlfn.AGGREGATE(15,6,(ROW(DC$550:DC$598)-ROW(DC$550)+1)/(DC$550:DC$598&lt;&gt;""),ROWS(DI$1:DI15))),"")</f>
        <v>12</v>
      </c>
      <c r="DJ564" s="165">
        <f>IFERROR(INDEX(DD$550:DD$598,_xlfn.AGGREGATE(15,6,(ROW(DD$550:DD$598)-ROW(DD$550)+1)/(DD$550:DD$598&lt;&gt;""),ROWS(DJ$1:DJ15))),"")</f>
        <v>198.35010516418743</v>
      </c>
      <c r="DK564" s="166">
        <f t="shared" si="300"/>
        <v>564</v>
      </c>
      <c r="DL564" s="164">
        <f>IFERROR(INDEX(DE$550:DE$598,_xlfn.AGGREGATE(15,6,(ROW(DE$550:DE$598)-ROW(DE$550)+1)/(DE$550:DE$598&lt;&gt;""),ROWS(DL$1:DL15))),"")</f>
        <v>12</v>
      </c>
      <c r="DM564" s="165">
        <f>IFERROR(INDEX(DF$550:DF$598,_xlfn.AGGREGATE(15,6,(ROW(DF$550:DF$598)-ROW(DF$550)+1)/(DF$550:DF$598&lt;&gt;""),ROWS(DM$1:DM15))),"")</f>
        <v>245.25842436401831</v>
      </c>
      <c r="DN564" s="166">
        <f t="shared" si="301"/>
        <v>564</v>
      </c>
      <c r="DO564" s="164">
        <f>IFERROR(INDEX(DG$550:DG$598,_xlfn.AGGREGATE(15,6,(ROW(DG$550:DG$598)-ROW(DG$550)+1)/(DG$550:DG$598&lt;&gt;""),ROWS(DO$1:DO15))),"")</f>
        <v>12</v>
      </c>
      <c r="DP564" s="165">
        <f>IFERROR(INDEX(DH$550:DH$598,_xlfn.AGGREGATE(15,6,(ROW(DH$550:DH$598)-ROW(DH$550)+1)/(DH$550:DH$598&lt;&gt;""),ROWS(DP$1:DP15))),"")</f>
        <v>292.1667435638492</v>
      </c>
      <c r="DQ564" s="166">
        <f t="shared" si="302"/>
        <v>564</v>
      </c>
      <c r="DR564" s="65"/>
      <c r="DV564" s="145">
        <v>2029</v>
      </c>
      <c r="DW564" s="235">
        <f t="shared" ca="1" si="286"/>
        <v>249.5332045558319</v>
      </c>
      <c r="EA564" s="55"/>
      <c r="EB564" s="55"/>
      <c r="EC564" s="55"/>
      <c r="ED564" s="55"/>
      <c r="EE564" s="55"/>
    </row>
    <row r="565" spans="1:135" ht="13.8" x14ac:dyDescent="0.45">
      <c r="B565" s="128">
        <v>2027</v>
      </c>
      <c r="C565" s="957">
        <v>244.05547997693589</v>
      </c>
      <c r="D565" s="947">
        <v>306.56000000000012</v>
      </c>
      <c r="E565" s="308"/>
      <c r="F565" s="914"/>
      <c r="G565" s="294"/>
      <c r="H565" s="292"/>
      <c r="I565" s="1112">
        <v>189.91891891891896</v>
      </c>
      <c r="J565" s="294"/>
      <c r="K565" s="292"/>
      <c r="L565" s="293"/>
      <c r="M565" s="292"/>
      <c r="N565" s="29" t="s">
        <v>119</v>
      </c>
      <c r="O565" s="120"/>
      <c r="P565" s="120"/>
      <c r="Q565" s="120"/>
      <c r="R565" s="29">
        <v>13</v>
      </c>
      <c r="S565" s="288">
        <f t="shared" si="287"/>
        <v>189.91891891891896</v>
      </c>
      <c r="T565" s="288">
        <f t="shared" si="288"/>
        <v>306.56000000000012</v>
      </c>
      <c r="U565" s="288">
        <f t="shared" si="289"/>
        <v>47.659351492609908</v>
      </c>
      <c r="W565" s="288">
        <f t="shared" si="290"/>
        <v>199.18544813934176</v>
      </c>
      <c r="X565" s="288">
        <f t="shared" si="291"/>
        <v>246.84479963195167</v>
      </c>
      <c r="Y565" s="288">
        <f t="shared" si="292"/>
        <v>294.50415112456159</v>
      </c>
      <c r="AA565" s="89"/>
      <c r="AB565" s="89"/>
      <c r="AC565" s="89"/>
      <c r="AD565" s="89"/>
      <c r="AE565" s="89"/>
      <c r="AF565" s="89"/>
      <c r="AG565" s="89"/>
      <c r="AH565" s="89"/>
      <c r="AI565" s="89"/>
      <c r="AJ565" s="89"/>
      <c r="AK565" s="89"/>
      <c r="AL565" s="89"/>
      <c r="AM565" s="89"/>
      <c r="AN565" s="89"/>
      <c r="BR565" s="180">
        <v>2025</v>
      </c>
      <c r="BS565" s="22">
        <v>11</v>
      </c>
      <c r="BT565" s="289">
        <f t="shared" si="303"/>
        <v>18.058219952352378</v>
      </c>
      <c r="BU565" s="290">
        <f t="shared" si="304"/>
        <v>230.33436221310069</v>
      </c>
      <c r="BV565" s="205">
        <f t="shared" si="305"/>
        <v>248.39258216545306</v>
      </c>
      <c r="BY565" s="180">
        <v>2025</v>
      </c>
      <c r="BZ565" s="22">
        <v>11</v>
      </c>
      <c r="CA565" s="289">
        <f t="shared" ca="1" si="306"/>
        <v>2.5688094941987707</v>
      </c>
      <c r="CB565" s="289">
        <f t="shared" ca="1" si="307"/>
        <v>7.7829819755573064</v>
      </c>
      <c r="CC565" s="290">
        <f t="shared" ca="1" si="318"/>
        <v>236.36363408378207</v>
      </c>
      <c r="CD565" s="205">
        <f t="shared" ca="1" si="308"/>
        <v>246.71542555353815</v>
      </c>
      <c r="CG565" s="180">
        <v>2025</v>
      </c>
      <c r="CH565" s="22">
        <v>11</v>
      </c>
      <c r="CI565" s="289">
        <f t="shared" ca="1" si="309"/>
        <v>-1.3583459668506028</v>
      </c>
      <c r="CJ565" s="289">
        <f t="shared" ca="1" si="310"/>
        <v>10.718885295302387</v>
      </c>
      <c r="CK565" s="289">
        <f t="shared" ca="1" si="311"/>
        <v>-4.4780549252214374</v>
      </c>
      <c r="CL565" s="290">
        <f t="shared" ca="1" si="312"/>
        <v>239.15217241572992</v>
      </c>
      <c r="CM565" s="205">
        <f t="shared" ca="1" si="313"/>
        <v>244.03465681896026</v>
      </c>
      <c r="CP565" s="180">
        <v>2025</v>
      </c>
      <c r="CQ565" s="22">
        <v>11</v>
      </c>
      <c r="CR565" s="289">
        <f t="shared" ca="1" si="314"/>
        <v>231.98398558817138</v>
      </c>
      <c r="CS565" s="290">
        <f t="shared" ca="1" si="315"/>
        <v>1.0696277393805753</v>
      </c>
      <c r="CT565" s="205">
        <f t="shared" ca="1" si="316"/>
        <v>248.1365060771717</v>
      </c>
      <c r="CZ565" s="164" t="b">
        <f t="shared" si="293"/>
        <v>1</v>
      </c>
      <c r="DA565" s="165" t="b">
        <f t="shared" si="293"/>
        <v>1</v>
      </c>
      <c r="DB565" s="166" t="b">
        <f t="shared" si="293"/>
        <v>1</v>
      </c>
      <c r="DC565" s="164">
        <f t="shared" si="294"/>
        <v>13</v>
      </c>
      <c r="DD565" s="166">
        <f t="shared" si="295"/>
        <v>199.18544813934176</v>
      </c>
      <c r="DE565" s="164">
        <f t="shared" si="296"/>
        <v>13</v>
      </c>
      <c r="DF565" s="166">
        <f t="shared" si="297"/>
        <v>246.84479963195167</v>
      </c>
      <c r="DG565" s="164">
        <f t="shared" si="298"/>
        <v>13</v>
      </c>
      <c r="DH565" s="166">
        <f t="shared" si="299"/>
        <v>294.50415112456159</v>
      </c>
      <c r="DI565" s="164">
        <f>IFERROR(INDEX(DC$550:DC$598,_xlfn.AGGREGATE(15,6,(ROW(DC$550:DC$598)-ROW(DC$550)+1)/(DC$550:DC$598&lt;&gt;""),ROWS(DI$1:DI16))),"")</f>
        <v>13</v>
      </c>
      <c r="DJ565" s="165">
        <f>IFERROR(INDEX(DD$550:DD$598,_xlfn.AGGREGATE(15,6,(ROW(DD$550:DD$598)-ROW(DD$550)+1)/(DD$550:DD$598&lt;&gt;""),ROWS(DJ$1:DJ16))),"")</f>
        <v>199.18544813934176</v>
      </c>
      <c r="DK565" s="166">
        <f t="shared" si="300"/>
        <v>565</v>
      </c>
      <c r="DL565" s="164">
        <f>IFERROR(INDEX(DE$550:DE$598,_xlfn.AGGREGATE(15,6,(ROW(DE$550:DE$598)-ROW(DE$550)+1)/(DE$550:DE$598&lt;&gt;""),ROWS(DL$1:DL16))),"")</f>
        <v>13</v>
      </c>
      <c r="DM565" s="165">
        <f>IFERROR(INDEX(DF$550:DF$598,_xlfn.AGGREGATE(15,6,(ROW(DF$550:DF$598)-ROW(DF$550)+1)/(DF$550:DF$598&lt;&gt;""),ROWS(DM$1:DM16))),"")</f>
        <v>246.84479963195167</v>
      </c>
      <c r="DN565" s="166">
        <f t="shared" si="301"/>
        <v>565</v>
      </c>
      <c r="DO565" s="164">
        <f>IFERROR(INDEX(DG$550:DG$598,_xlfn.AGGREGATE(15,6,(ROW(DG$550:DG$598)-ROW(DG$550)+1)/(DG$550:DG$598&lt;&gt;""),ROWS(DO$1:DO16))),"")</f>
        <v>13</v>
      </c>
      <c r="DP565" s="165">
        <f>IFERROR(INDEX(DH$550:DH$598,_xlfn.AGGREGATE(15,6,(ROW(DH$550:DH$598)-ROW(DH$550)+1)/(DH$550:DH$598&lt;&gt;""),ROWS(DP$1:DP16))),"")</f>
        <v>294.50415112456159</v>
      </c>
      <c r="DQ565" s="166">
        <f t="shared" si="302"/>
        <v>565</v>
      </c>
      <c r="DR565" s="65"/>
      <c r="DV565" s="145">
        <v>2030</v>
      </c>
      <c r="DW565" s="235">
        <f t="shared" ca="1" si="286"/>
        <v>251.13645609425942</v>
      </c>
    </row>
    <row r="566" spans="1:135" ht="13.8" x14ac:dyDescent="0.45">
      <c r="A566" s="295" t="str">
        <f>$A$62</f>
        <v>Base Cases</v>
      </c>
      <c r="B566" s="128">
        <v>2028</v>
      </c>
      <c r="C566" s="957">
        <v>244.34325442938461</v>
      </c>
      <c r="D566" s="947">
        <v>309.68000000000012</v>
      </c>
      <c r="E566" s="308"/>
      <c r="F566" s="914"/>
      <c r="G566" s="294"/>
      <c r="H566" s="292"/>
      <c r="I566" s="1112">
        <v>191.27027027027032</v>
      </c>
      <c r="J566" s="294"/>
      <c r="K566" s="292"/>
      <c r="L566" s="293"/>
      <c r="M566" s="292"/>
      <c r="N566" s="29" t="s">
        <v>119</v>
      </c>
      <c r="O566" s="120"/>
      <c r="P566" s="120"/>
      <c r="Q566" s="120"/>
      <c r="R566" s="29">
        <v>14</v>
      </c>
      <c r="S566" s="288">
        <f t="shared" si="287"/>
        <v>191.27027027027032</v>
      </c>
      <c r="T566" s="288">
        <f t="shared" si="288"/>
        <v>309.68000000000012</v>
      </c>
      <c r="U566" s="288">
        <f t="shared" si="289"/>
        <v>48.426916372314892</v>
      </c>
      <c r="W566" s="288">
        <f t="shared" si="290"/>
        <v>200.00425852757013</v>
      </c>
      <c r="X566" s="288">
        <f t="shared" si="291"/>
        <v>248.43117489988501</v>
      </c>
      <c r="Y566" s="288">
        <f t="shared" si="292"/>
        <v>296.85809127219989</v>
      </c>
      <c r="AA566" s="114"/>
      <c r="AB566" s="114"/>
      <c r="AC566" s="114"/>
      <c r="AD566" s="114"/>
      <c r="AE566" s="114"/>
      <c r="AF566" s="114"/>
      <c r="AG566" s="114"/>
      <c r="AH566" s="114"/>
      <c r="AI566" s="114"/>
      <c r="AJ566" s="114"/>
      <c r="AK566" s="114"/>
      <c r="AL566" s="114"/>
      <c r="AM566" s="114"/>
      <c r="AN566" s="114"/>
      <c r="BR566" s="180">
        <v>2026</v>
      </c>
      <c r="BS566" s="22">
        <v>12</v>
      </c>
      <c r="BT566" s="289">
        <f t="shared" si="303"/>
        <v>19.699876311657142</v>
      </c>
      <c r="BU566" s="290">
        <f t="shared" si="304"/>
        <v>230.33436221310069</v>
      </c>
      <c r="BV566" s="205">
        <f t="shared" si="305"/>
        <v>250.03423852475782</v>
      </c>
      <c r="BY566" s="180">
        <v>2026</v>
      </c>
      <c r="BZ566" s="22">
        <v>12</v>
      </c>
      <c r="CA566" s="289">
        <f t="shared" ca="1" si="306"/>
        <v>3.0570955964018425</v>
      </c>
      <c r="CB566" s="289">
        <f t="shared" ca="1" si="307"/>
        <v>8.4905257915170615</v>
      </c>
      <c r="CC566" s="290">
        <f t="shared" ca="1" si="318"/>
        <v>236.36363408378207</v>
      </c>
      <c r="CD566" s="205">
        <f t="shared" ca="1" si="308"/>
        <v>247.91125547170097</v>
      </c>
      <c r="CG566" s="180">
        <v>2026</v>
      </c>
      <c r="CH566" s="22">
        <v>12</v>
      </c>
      <c r="CI566" s="289">
        <f t="shared" ca="1" si="309"/>
        <v>-1.7635025024176121</v>
      </c>
      <c r="CJ566" s="289">
        <f t="shared" ca="1" si="310"/>
        <v>12.756359359698708</v>
      </c>
      <c r="CK566" s="289">
        <f t="shared" ca="1" si="311"/>
        <v>-4.8851508275142956</v>
      </c>
      <c r="CL566" s="290">
        <f t="shared" ca="1" si="312"/>
        <v>239.15217241572992</v>
      </c>
      <c r="CM566" s="205">
        <f t="shared" ca="1" si="313"/>
        <v>245.25987844549672</v>
      </c>
      <c r="CP566" s="180">
        <v>2026</v>
      </c>
      <c r="CQ566" s="22">
        <v>12</v>
      </c>
      <c r="CR566" s="289">
        <f t="shared" ca="1" si="314"/>
        <v>231.98398558817138</v>
      </c>
      <c r="CS566" s="290">
        <f t="shared" ca="1" si="315"/>
        <v>1.0761930214550517</v>
      </c>
      <c r="CT566" s="205">
        <f t="shared" ca="1" si="316"/>
        <v>249.65954637931932</v>
      </c>
      <c r="CZ566" s="164" t="b">
        <f t="shared" si="293"/>
        <v>1</v>
      </c>
      <c r="DA566" s="165" t="b">
        <f t="shared" si="293"/>
        <v>1</v>
      </c>
      <c r="DB566" s="166" t="b">
        <f t="shared" si="293"/>
        <v>1</v>
      </c>
      <c r="DC566" s="164">
        <f t="shared" si="294"/>
        <v>14</v>
      </c>
      <c r="DD566" s="166">
        <f t="shared" si="295"/>
        <v>200.00425852757013</v>
      </c>
      <c r="DE566" s="164">
        <f t="shared" si="296"/>
        <v>14</v>
      </c>
      <c r="DF566" s="166">
        <f t="shared" si="297"/>
        <v>248.43117489988501</v>
      </c>
      <c r="DG566" s="164">
        <f t="shared" si="298"/>
        <v>14</v>
      </c>
      <c r="DH566" s="166">
        <f t="shared" si="299"/>
        <v>296.85809127219989</v>
      </c>
      <c r="DI566" s="164">
        <f>IFERROR(INDEX(DC$550:DC$598,_xlfn.AGGREGATE(15,6,(ROW(DC$550:DC$598)-ROW(DC$550)+1)/(DC$550:DC$598&lt;&gt;""),ROWS(DI$1:DI17))),"")</f>
        <v>14</v>
      </c>
      <c r="DJ566" s="165">
        <f>IFERROR(INDEX(DD$550:DD$598,_xlfn.AGGREGATE(15,6,(ROW(DD$550:DD$598)-ROW(DD$550)+1)/(DD$550:DD$598&lt;&gt;""),ROWS(DJ$1:DJ17))),"")</f>
        <v>200.00425852757013</v>
      </c>
      <c r="DK566" s="166">
        <f t="shared" si="300"/>
        <v>566</v>
      </c>
      <c r="DL566" s="164">
        <f>IFERROR(INDEX(DE$550:DE$598,_xlfn.AGGREGATE(15,6,(ROW(DE$550:DE$598)-ROW(DE$550)+1)/(DE$550:DE$598&lt;&gt;""),ROWS(DL$1:DL17))),"")</f>
        <v>14</v>
      </c>
      <c r="DM566" s="165">
        <f>IFERROR(INDEX(DF$550:DF$598,_xlfn.AGGREGATE(15,6,(ROW(DF$550:DF$598)-ROW(DF$550)+1)/(DF$550:DF$598&lt;&gt;""),ROWS(DM$1:DM17))),"")</f>
        <v>248.43117489988501</v>
      </c>
      <c r="DN566" s="166">
        <f t="shared" si="301"/>
        <v>566</v>
      </c>
      <c r="DO566" s="164">
        <f>IFERROR(INDEX(DG$550:DG$598,_xlfn.AGGREGATE(15,6,(ROW(DG$550:DG$598)-ROW(DG$550)+1)/(DG$550:DG$598&lt;&gt;""),ROWS(DO$1:DO17))),"")</f>
        <v>14</v>
      </c>
      <c r="DP566" s="165">
        <f>IFERROR(INDEX(DH$550:DH$598,_xlfn.AGGREGATE(15,6,(ROW(DH$550:DH$598)-ROW(DH$550)+1)/(DH$550:DH$598&lt;&gt;""),ROWS(DP$1:DP17))),"")</f>
        <v>296.85809127219989</v>
      </c>
      <c r="DQ566" s="166">
        <f t="shared" si="302"/>
        <v>566</v>
      </c>
      <c r="DR566" s="65"/>
      <c r="DV566" s="145">
        <v>2031</v>
      </c>
      <c r="DW566" s="235">
        <f t="shared" ca="1" si="286"/>
        <v>252.8189069292151</v>
      </c>
    </row>
    <row r="567" spans="1:135" ht="13.8" x14ac:dyDescent="0.45">
      <c r="A567" s="296" t="str">
        <f>$A$63</f>
        <v>Conservative Cases</v>
      </c>
      <c r="B567" s="128">
        <v>2029</v>
      </c>
      <c r="C567" s="957">
        <v>244.63102888183334</v>
      </c>
      <c r="D567" s="947">
        <v>312.80000000000013</v>
      </c>
      <c r="E567" s="308"/>
      <c r="F567" s="914"/>
      <c r="G567" s="294"/>
      <c r="H567" s="292"/>
      <c r="I567" s="1112">
        <v>192.62162162162167</v>
      </c>
      <c r="J567" s="294"/>
      <c r="K567" s="292"/>
      <c r="L567" s="293"/>
      <c r="M567" s="292"/>
      <c r="N567" s="29" t="s">
        <v>119</v>
      </c>
      <c r="O567" s="120"/>
      <c r="P567" s="120"/>
      <c r="Q567" s="120"/>
      <c r="R567" s="29">
        <v>15</v>
      </c>
      <c r="S567" s="288">
        <f t="shared" si="287"/>
        <v>192.62162162162167</v>
      </c>
      <c r="T567" s="288">
        <f t="shared" si="288"/>
        <v>312.80000000000013</v>
      </c>
      <c r="U567" s="288">
        <f t="shared" si="289"/>
        <v>49.210240235730353</v>
      </c>
      <c r="W567" s="288">
        <f t="shared" si="290"/>
        <v>200.80730993208806</v>
      </c>
      <c r="X567" s="288">
        <f t="shared" si="291"/>
        <v>250.0175501678184</v>
      </c>
      <c r="Y567" s="288">
        <f t="shared" si="292"/>
        <v>299.22779040354874</v>
      </c>
      <c r="AA567" s="89"/>
      <c r="AB567" s="89"/>
      <c r="AC567" s="89"/>
      <c r="AD567" s="89"/>
      <c r="AE567" s="89"/>
      <c r="AF567" s="89"/>
      <c r="AG567" s="89"/>
      <c r="AH567" s="89"/>
      <c r="AI567" s="89"/>
      <c r="AJ567" s="89"/>
      <c r="AK567" s="89"/>
      <c r="AL567" s="89"/>
      <c r="AM567" s="89"/>
      <c r="AN567" s="89"/>
      <c r="BR567" s="180">
        <v>2027</v>
      </c>
      <c r="BS567" s="22">
        <v>13</v>
      </c>
      <c r="BT567" s="289">
        <f t="shared" si="303"/>
        <v>21.341532670961904</v>
      </c>
      <c r="BU567" s="290">
        <f t="shared" si="304"/>
        <v>230.33436221310069</v>
      </c>
      <c r="BV567" s="205">
        <f t="shared" si="305"/>
        <v>251.67589488406259</v>
      </c>
      <c r="BY567" s="180">
        <v>2027</v>
      </c>
      <c r="BZ567" s="22">
        <v>13</v>
      </c>
      <c r="CA567" s="289">
        <f t="shared" ca="1" si="306"/>
        <v>3.5878413596660512</v>
      </c>
      <c r="CB567" s="289">
        <f t="shared" ca="1" si="307"/>
        <v>9.1980696074768176</v>
      </c>
      <c r="CC567" s="290">
        <f t="shared" ca="1" si="318"/>
        <v>236.36363408378207</v>
      </c>
      <c r="CD567" s="205">
        <f t="shared" ca="1" si="308"/>
        <v>249.14954505092493</v>
      </c>
      <c r="CG567" s="180">
        <v>2027</v>
      </c>
      <c r="CH567" s="22">
        <v>13</v>
      </c>
      <c r="CI567" s="289">
        <f t="shared" ca="1" si="309"/>
        <v>-2.2421383089186886</v>
      </c>
      <c r="CJ567" s="289">
        <f t="shared" ca="1" si="310"/>
        <v>14.971005081868624</v>
      </c>
      <c r="CK567" s="289">
        <f t="shared" ca="1" si="311"/>
        <v>-5.2922467298071538</v>
      </c>
      <c r="CL567" s="290">
        <f t="shared" ca="1" si="312"/>
        <v>239.15217241572992</v>
      </c>
      <c r="CM567" s="205">
        <f t="shared" ca="1" si="313"/>
        <v>246.58879245887272</v>
      </c>
      <c r="CP567" s="180">
        <v>2027</v>
      </c>
      <c r="CQ567" s="22">
        <v>13</v>
      </c>
      <c r="CR567" s="289">
        <f t="shared" ca="1" si="314"/>
        <v>231.98398558817138</v>
      </c>
      <c r="CS567" s="290">
        <f t="shared" ca="1" si="315"/>
        <v>1.0827986006601376</v>
      </c>
      <c r="CT567" s="205">
        <f t="shared" ca="1" si="316"/>
        <v>251.19193497043349</v>
      </c>
      <c r="CZ567" s="164" t="b">
        <f t="shared" si="293"/>
        <v>1</v>
      </c>
      <c r="DA567" s="165" t="b">
        <f t="shared" si="293"/>
        <v>1</v>
      </c>
      <c r="DB567" s="166" t="b">
        <f t="shared" si="293"/>
        <v>1</v>
      </c>
      <c r="DC567" s="164">
        <f t="shared" si="294"/>
        <v>15</v>
      </c>
      <c r="DD567" s="166">
        <f t="shared" si="295"/>
        <v>200.80730993208806</v>
      </c>
      <c r="DE567" s="164">
        <f t="shared" si="296"/>
        <v>15</v>
      </c>
      <c r="DF567" s="166">
        <f t="shared" si="297"/>
        <v>250.0175501678184</v>
      </c>
      <c r="DG567" s="164">
        <f t="shared" si="298"/>
        <v>15</v>
      </c>
      <c r="DH567" s="166">
        <f t="shared" si="299"/>
        <v>299.22779040354874</v>
      </c>
      <c r="DI567" s="164">
        <f>IFERROR(INDEX(DC$550:DC$598,_xlfn.AGGREGATE(15,6,(ROW(DC$550:DC$598)-ROW(DC$550)+1)/(DC$550:DC$598&lt;&gt;""),ROWS(DI$1:DI18))),"")</f>
        <v>15</v>
      </c>
      <c r="DJ567" s="165">
        <f>IFERROR(INDEX(DD$550:DD$598,_xlfn.AGGREGATE(15,6,(ROW(DD$550:DD$598)-ROW(DD$550)+1)/(DD$550:DD$598&lt;&gt;""),ROWS(DJ$1:DJ18))),"")</f>
        <v>200.80730993208806</v>
      </c>
      <c r="DK567" s="166">
        <f t="shared" si="300"/>
        <v>567</v>
      </c>
      <c r="DL567" s="164">
        <f>IFERROR(INDEX(DE$550:DE$598,_xlfn.AGGREGATE(15,6,(ROW(DE$550:DE$598)-ROW(DE$550)+1)/(DE$550:DE$598&lt;&gt;""),ROWS(DL$1:DL18))),"")</f>
        <v>15</v>
      </c>
      <c r="DM567" s="165">
        <f>IFERROR(INDEX(DF$550:DF$598,_xlfn.AGGREGATE(15,6,(ROW(DF$550:DF$598)-ROW(DF$550)+1)/(DF$550:DF$598&lt;&gt;""),ROWS(DM$1:DM18))),"")</f>
        <v>250.0175501678184</v>
      </c>
      <c r="DN567" s="166">
        <f t="shared" si="301"/>
        <v>567</v>
      </c>
      <c r="DO567" s="164">
        <f>IFERROR(INDEX(DG$550:DG$598,_xlfn.AGGREGATE(15,6,(ROW(DG$550:DG$598)-ROW(DG$550)+1)/(DG$550:DG$598&lt;&gt;""),ROWS(DO$1:DO18))),"")</f>
        <v>15</v>
      </c>
      <c r="DP567" s="165">
        <f>IFERROR(INDEX(DH$550:DH$598,_xlfn.AGGREGATE(15,6,(ROW(DH$550:DH$598)-ROW(DH$550)+1)/(DH$550:DH$598&lt;&gt;""),ROWS(DP$1:DP18))),"")</f>
        <v>299.22779040354874</v>
      </c>
      <c r="DQ567" s="166">
        <f t="shared" si="302"/>
        <v>567</v>
      </c>
      <c r="DR567" s="65"/>
      <c r="DV567" s="145">
        <v>2032</v>
      </c>
      <c r="DW567" s="235">
        <f t="shared" ca="1" si="286"/>
        <v>254.57443378812113</v>
      </c>
    </row>
    <row r="568" spans="1:135" ht="13.8" x14ac:dyDescent="0.45">
      <c r="A568" s="297" t="str">
        <f>$A$64</f>
        <v>Ambitious Cases</v>
      </c>
      <c r="B568" s="128">
        <v>2030</v>
      </c>
      <c r="C568" s="957">
        <v>244.91880333428205</v>
      </c>
      <c r="D568" s="947">
        <v>315.92000000000013</v>
      </c>
      <c r="E568" s="308"/>
      <c r="F568" s="914"/>
      <c r="G568" s="294"/>
      <c r="H568" s="292"/>
      <c r="I568" s="1112">
        <v>193.97297297297303</v>
      </c>
      <c r="J568" s="294"/>
      <c r="K568" s="292"/>
      <c r="L568" s="293"/>
      <c r="M568" s="292"/>
      <c r="N568" s="29" t="s">
        <v>119</v>
      </c>
      <c r="O568" s="120"/>
      <c r="P568" s="120"/>
      <c r="Q568" s="120"/>
      <c r="R568" s="29">
        <v>16</v>
      </c>
      <c r="S568" s="288">
        <f t="shared" si="287"/>
        <v>193.97297297297303</v>
      </c>
      <c r="T568" s="288">
        <f t="shared" si="288"/>
        <v>315.92000000000013</v>
      </c>
      <c r="U568" s="288">
        <f t="shared" si="289"/>
        <v>50.008582552173195</v>
      </c>
      <c r="W568" s="288">
        <f t="shared" si="290"/>
        <v>201.59534288357855</v>
      </c>
      <c r="X568" s="288">
        <f t="shared" si="291"/>
        <v>251.60392543575173</v>
      </c>
      <c r="Y568" s="288">
        <f t="shared" si="292"/>
        <v>301.61250798792491</v>
      </c>
      <c r="AA568" s="89"/>
      <c r="AB568" s="89"/>
      <c r="AC568" s="89"/>
      <c r="AD568" s="89"/>
      <c r="AE568" s="89"/>
      <c r="AF568" s="89"/>
      <c r="AG568" s="89"/>
      <c r="AH568" s="89"/>
      <c r="AI568" s="89"/>
      <c r="AJ568" s="89"/>
      <c r="AK568" s="89"/>
      <c r="AL568" s="89"/>
      <c r="AM568" s="89"/>
      <c r="AN568" s="89"/>
      <c r="BR568" s="180">
        <v>2028</v>
      </c>
      <c r="BS568" s="22">
        <v>14</v>
      </c>
      <c r="BT568" s="289">
        <f t="shared" si="303"/>
        <v>22.983189030266665</v>
      </c>
      <c r="BU568" s="290">
        <f t="shared" si="304"/>
        <v>230.33436221310069</v>
      </c>
      <c r="BV568" s="205">
        <f t="shared" si="305"/>
        <v>253.31755124336735</v>
      </c>
      <c r="BY568" s="180">
        <v>2028</v>
      </c>
      <c r="BZ568" s="22">
        <v>14</v>
      </c>
      <c r="CA568" s="289">
        <f t="shared" ca="1" si="306"/>
        <v>4.1610467839913969</v>
      </c>
      <c r="CB568" s="289">
        <f t="shared" ca="1" si="307"/>
        <v>9.9056134234365718</v>
      </c>
      <c r="CC568" s="290">
        <f t="shared" ca="1" si="318"/>
        <v>236.36363408378207</v>
      </c>
      <c r="CD568" s="205">
        <f t="shared" ca="1" si="308"/>
        <v>250.43029429121003</v>
      </c>
      <c r="CG568" s="180">
        <v>2028</v>
      </c>
      <c r="CH568" s="22">
        <v>14</v>
      </c>
      <c r="CI568" s="289">
        <f t="shared" ca="1" si="309"/>
        <v>-2.800376658931671</v>
      </c>
      <c r="CJ568" s="289">
        <f t="shared" ca="1" si="310"/>
        <v>17.362822461812129</v>
      </c>
      <c r="CK568" s="289">
        <f t="shared" ca="1" si="311"/>
        <v>-5.6993426321000111</v>
      </c>
      <c r="CL568" s="290">
        <f t="shared" ca="1" si="312"/>
        <v>239.15217241572992</v>
      </c>
      <c r="CM568" s="205">
        <f t="shared" ca="1" si="313"/>
        <v>248.01527558651037</v>
      </c>
      <c r="CP568" s="180">
        <v>2028</v>
      </c>
      <c r="CQ568" s="22">
        <v>14</v>
      </c>
      <c r="CR568" s="289">
        <f t="shared" ca="1" si="314"/>
        <v>231.98398558817138</v>
      </c>
      <c r="CS568" s="290">
        <f t="shared" ca="1" si="315"/>
        <v>1.0894447243361174</v>
      </c>
      <c r="CT568" s="205">
        <f t="shared" ca="1" si="316"/>
        <v>252.7337292294992</v>
      </c>
      <c r="CZ568" s="164" t="b">
        <f t="shared" si="293"/>
        <v>1</v>
      </c>
      <c r="DA568" s="165" t="b">
        <f t="shared" si="293"/>
        <v>1</v>
      </c>
      <c r="DB568" s="166" t="b">
        <f t="shared" si="293"/>
        <v>1</v>
      </c>
      <c r="DC568" s="164">
        <f t="shared" si="294"/>
        <v>16</v>
      </c>
      <c r="DD568" s="166">
        <f t="shared" si="295"/>
        <v>201.59534288357855</v>
      </c>
      <c r="DE568" s="164">
        <f t="shared" si="296"/>
        <v>16</v>
      </c>
      <c r="DF568" s="166">
        <f t="shared" si="297"/>
        <v>251.60392543575173</v>
      </c>
      <c r="DG568" s="164">
        <f t="shared" si="298"/>
        <v>16</v>
      </c>
      <c r="DH568" s="166">
        <f t="shared" si="299"/>
        <v>301.61250798792491</v>
      </c>
      <c r="DI568" s="164">
        <f>IFERROR(INDEX(DC$550:DC$598,_xlfn.AGGREGATE(15,6,(ROW(DC$550:DC$598)-ROW(DC$550)+1)/(DC$550:DC$598&lt;&gt;""),ROWS(DI$1:DI19))),"")</f>
        <v>16</v>
      </c>
      <c r="DJ568" s="165">
        <f>IFERROR(INDEX(DD$550:DD$598,_xlfn.AGGREGATE(15,6,(ROW(DD$550:DD$598)-ROW(DD$550)+1)/(DD$550:DD$598&lt;&gt;""),ROWS(DJ$1:DJ19))),"")</f>
        <v>201.59534288357855</v>
      </c>
      <c r="DK568" s="166">
        <f t="shared" si="300"/>
        <v>568</v>
      </c>
      <c r="DL568" s="164">
        <f>IFERROR(INDEX(DE$550:DE$598,_xlfn.AGGREGATE(15,6,(ROW(DE$550:DE$598)-ROW(DE$550)+1)/(DE$550:DE$598&lt;&gt;""),ROWS(DL$1:DL19))),"")</f>
        <v>16</v>
      </c>
      <c r="DM568" s="165">
        <f>IFERROR(INDEX(DF$550:DF$598,_xlfn.AGGREGATE(15,6,(ROW(DF$550:DF$598)-ROW(DF$550)+1)/(DF$550:DF$598&lt;&gt;""),ROWS(DM$1:DM19))),"")</f>
        <v>251.60392543575173</v>
      </c>
      <c r="DN568" s="166">
        <f t="shared" si="301"/>
        <v>568</v>
      </c>
      <c r="DO568" s="164">
        <f>IFERROR(INDEX(DG$550:DG$598,_xlfn.AGGREGATE(15,6,(ROW(DG$550:DG$598)-ROW(DG$550)+1)/(DG$550:DG$598&lt;&gt;""),ROWS(DO$1:DO19))),"")</f>
        <v>16</v>
      </c>
      <c r="DP568" s="165">
        <f>IFERROR(INDEX(DH$550:DH$598,_xlfn.AGGREGATE(15,6,(ROW(DH$550:DH$598)-ROW(DH$550)+1)/(DH$550:DH$598&lt;&gt;""),ROWS(DP$1:DP19))),"")</f>
        <v>301.61250798792491</v>
      </c>
      <c r="DQ568" s="166">
        <f t="shared" si="302"/>
        <v>568</v>
      </c>
      <c r="DR568" s="65"/>
      <c r="DV568" s="145">
        <v>2033</v>
      </c>
      <c r="DW568" s="235">
        <f t="shared" ca="1" si="286"/>
        <v>256.39691339839965</v>
      </c>
    </row>
    <row r="569" spans="1:135" ht="13.8" x14ac:dyDescent="0.45">
      <c r="A569" s="298" t="str">
        <f>$A$65</f>
        <v>Maximum Cases</v>
      </c>
      <c r="B569" s="128">
        <v>2031</v>
      </c>
      <c r="C569" s="957">
        <v>246.31332228823152</v>
      </c>
      <c r="D569" s="947">
        <v>319.04000000000013</v>
      </c>
      <c r="E569" s="308"/>
      <c r="F569" s="914"/>
      <c r="G569" s="294"/>
      <c r="H569" s="292"/>
      <c r="I569" s="1112">
        <v>195.32432432432438</v>
      </c>
      <c r="J569" s="294"/>
      <c r="K569" s="292"/>
      <c r="L569" s="293"/>
      <c r="M569" s="292"/>
      <c r="N569" s="29" t="s">
        <v>119</v>
      </c>
      <c r="O569" s="120"/>
      <c r="P569" s="120"/>
      <c r="Q569" s="120"/>
      <c r="R569" s="29">
        <v>17</v>
      </c>
      <c r="S569" s="288">
        <f t="shared" si="287"/>
        <v>195.32432432432438</v>
      </c>
      <c r="T569" s="288">
        <f t="shared" si="288"/>
        <v>319.04000000000013</v>
      </c>
      <c r="U569" s="288">
        <f t="shared" si="289"/>
        <v>50.765929051594476</v>
      </c>
      <c r="W569" s="288">
        <f t="shared" si="290"/>
        <v>202.7932864859242</v>
      </c>
      <c r="X569" s="288">
        <f t="shared" si="291"/>
        <v>253.55921553751867</v>
      </c>
      <c r="Y569" s="288">
        <f t="shared" si="292"/>
        <v>304.32514458911317</v>
      </c>
      <c r="AA569" s="89"/>
      <c r="AB569" s="89"/>
      <c r="AC569" s="89"/>
      <c r="AD569" s="89"/>
      <c r="AE569" s="89"/>
      <c r="AF569" s="89"/>
      <c r="AG569" s="89"/>
      <c r="AH569" s="89"/>
      <c r="AI569" s="89"/>
      <c r="AJ569" s="89"/>
      <c r="AK569" s="89"/>
      <c r="AL569" s="89"/>
      <c r="AM569" s="89"/>
      <c r="AN569" s="89"/>
      <c r="BR569" s="180">
        <v>2029</v>
      </c>
      <c r="BS569" s="22">
        <v>15</v>
      </c>
      <c r="BT569" s="289">
        <f t="shared" si="303"/>
        <v>24.624845389571426</v>
      </c>
      <c r="BU569" s="290">
        <f t="shared" si="304"/>
        <v>230.33436221310069</v>
      </c>
      <c r="BV569" s="205">
        <f t="shared" si="305"/>
        <v>254.95920760267211</v>
      </c>
      <c r="BY569" s="180">
        <v>2029</v>
      </c>
      <c r="BZ569" s="22">
        <v>15</v>
      </c>
      <c r="CA569" s="289">
        <f t="shared" ca="1" si="306"/>
        <v>4.7767118693778787</v>
      </c>
      <c r="CB569" s="289">
        <f t="shared" ca="1" si="307"/>
        <v>10.613157239396326</v>
      </c>
      <c r="CC569" s="290">
        <f t="shared" ca="1" si="318"/>
        <v>236.36363408378207</v>
      </c>
      <c r="CD569" s="205">
        <f t="shared" ca="1" si="308"/>
        <v>251.75350319255628</v>
      </c>
      <c r="CG569" s="180">
        <v>2029</v>
      </c>
      <c r="CH569" s="22">
        <v>15</v>
      </c>
      <c r="CI569" s="289">
        <f t="shared" ca="1" si="309"/>
        <v>-3.444340825034399</v>
      </c>
      <c r="CJ569" s="289">
        <f t="shared" ca="1" si="310"/>
        <v>19.931811499529232</v>
      </c>
      <c r="CK569" s="289">
        <f t="shared" ca="1" si="311"/>
        <v>-6.1064385343928693</v>
      </c>
      <c r="CL569" s="290">
        <f t="shared" ca="1" si="312"/>
        <v>239.15217241572992</v>
      </c>
      <c r="CM569" s="205">
        <f t="shared" ca="1" si="313"/>
        <v>249.5332045558319</v>
      </c>
      <c r="CP569" s="180">
        <v>2029</v>
      </c>
      <c r="CQ569" s="22">
        <v>15</v>
      </c>
      <c r="CR569" s="289">
        <f t="shared" ca="1" si="314"/>
        <v>231.98398558817138</v>
      </c>
      <c r="CS569" s="290">
        <f t="shared" ca="1" si="315"/>
        <v>1.0961316413414288</v>
      </c>
      <c r="CT569" s="205">
        <f t="shared" ca="1" si="316"/>
        <v>254.28498688768866</v>
      </c>
      <c r="CZ569" s="164" t="b">
        <f t="shared" si="293"/>
        <v>1</v>
      </c>
      <c r="DA569" s="165" t="b">
        <f t="shared" si="293"/>
        <v>1</v>
      </c>
      <c r="DB569" s="166" t="b">
        <f t="shared" si="293"/>
        <v>1</v>
      </c>
      <c r="DC569" s="164">
        <f t="shared" si="294"/>
        <v>17</v>
      </c>
      <c r="DD569" s="166">
        <f t="shared" si="295"/>
        <v>202.7932864859242</v>
      </c>
      <c r="DE569" s="164">
        <f t="shared" si="296"/>
        <v>17</v>
      </c>
      <c r="DF569" s="166">
        <f t="shared" si="297"/>
        <v>253.55921553751867</v>
      </c>
      <c r="DG569" s="164">
        <f t="shared" si="298"/>
        <v>17</v>
      </c>
      <c r="DH569" s="166">
        <f t="shared" si="299"/>
        <v>304.32514458911317</v>
      </c>
      <c r="DI569" s="164">
        <f>IFERROR(INDEX(DC$550:DC$598,_xlfn.AGGREGATE(15,6,(ROW(DC$550:DC$598)-ROW(DC$550)+1)/(DC$550:DC$598&lt;&gt;""),ROWS(DI$1:DI20))),"")</f>
        <v>17</v>
      </c>
      <c r="DJ569" s="165">
        <f>IFERROR(INDEX(DD$550:DD$598,_xlfn.AGGREGATE(15,6,(ROW(DD$550:DD$598)-ROW(DD$550)+1)/(DD$550:DD$598&lt;&gt;""),ROWS(DJ$1:DJ20))),"")</f>
        <v>202.7932864859242</v>
      </c>
      <c r="DK569" s="166">
        <f t="shared" si="300"/>
        <v>569</v>
      </c>
      <c r="DL569" s="164">
        <f>IFERROR(INDEX(DE$550:DE$598,_xlfn.AGGREGATE(15,6,(ROW(DE$550:DE$598)-ROW(DE$550)+1)/(DE$550:DE$598&lt;&gt;""),ROWS(DL$1:DL20))),"")</f>
        <v>17</v>
      </c>
      <c r="DM569" s="165">
        <f>IFERROR(INDEX(DF$550:DF$598,_xlfn.AGGREGATE(15,6,(ROW(DF$550:DF$598)-ROW(DF$550)+1)/(DF$550:DF$598&lt;&gt;""),ROWS(DM$1:DM20))),"")</f>
        <v>253.55921553751867</v>
      </c>
      <c r="DN569" s="166">
        <f t="shared" si="301"/>
        <v>569</v>
      </c>
      <c r="DO569" s="164">
        <f>IFERROR(INDEX(DG$550:DG$598,_xlfn.AGGREGATE(15,6,(ROW(DG$550:DG$598)-ROW(DG$550)+1)/(DG$550:DG$598&lt;&gt;""),ROWS(DO$1:DO20))),"")</f>
        <v>17</v>
      </c>
      <c r="DP569" s="165">
        <f>IFERROR(INDEX(DH$550:DH$598,_xlfn.AGGREGATE(15,6,(ROW(DH$550:DH$598)-ROW(DH$550)+1)/(DH$550:DH$598&lt;&gt;""),ROWS(DP$1:DP20))),"")</f>
        <v>304.32514458911317</v>
      </c>
      <c r="DQ569" s="166">
        <f t="shared" si="302"/>
        <v>569</v>
      </c>
      <c r="DR569" s="65"/>
      <c r="DV569" s="145">
        <v>2034</v>
      </c>
      <c r="DW569" s="235">
        <f t="shared" ca="1" si="286"/>
        <v>258.28022248747283</v>
      </c>
    </row>
    <row r="570" spans="1:135" ht="13.8" x14ac:dyDescent="0.45">
      <c r="B570" s="128">
        <v>2032</v>
      </c>
      <c r="C570" s="957">
        <v>247.70784124218105</v>
      </c>
      <c r="D570" s="947">
        <v>322.16000000000014</v>
      </c>
      <c r="E570" s="308"/>
      <c r="F570" s="914"/>
      <c r="G570" s="294"/>
      <c r="H570" s="292"/>
      <c r="I570" s="1112">
        <v>196.67567567567573</v>
      </c>
      <c r="J570" s="294"/>
      <c r="K570" s="292"/>
      <c r="L570" s="293"/>
      <c r="M570" s="292"/>
      <c r="N570" s="29" t="s">
        <v>119</v>
      </c>
      <c r="O570" s="120"/>
      <c r="P570" s="120"/>
      <c r="Q570" s="120"/>
      <c r="R570" s="29">
        <v>18</v>
      </c>
      <c r="S570" s="288">
        <f t="shared" si="287"/>
        <v>196.67567567567573</v>
      </c>
      <c r="T570" s="288">
        <f t="shared" si="288"/>
        <v>322.16000000000014</v>
      </c>
      <c r="U570" s="288">
        <f t="shared" si="289"/>
        <v>51.525313646399823</v>
      </c>
      <c r="W570" s="288">
        <f t="shared" si="290"/>
        <v>203.98919199288582</v>
      </c>
      <c r="X570" s="288">
        <f t="shared" si="291"/>
        <v>255.51450563928563</v>
      </c>
      <c r="Y570" s="288">
        <f t="shared" si="292"/>
        <v>307.03981928568544</v>
      </c>
      <c r="AA570" s="89"/>
      <c r="AB570" s="89"/>
      <c r="AC570" s="89"/>
      <c r="AD570" s="89"/>
      <c r="AE570" s="89"/>
      <c r="AF570" s="89"/>
      <c r="AG570" s="89"/>
      <c r="AH570" s="89"/>
      <c r="AI570" s="89"/>
      <c r="AJ570" s="89"/>
      <c r="AK570" s="89"/>
      <c r="AL570" s="89"/>
      <c r="AM570" s="89"/>
      <c r="AN570" s="89"/>
      <c r="BR570" s="180">
        <v>2030</v>
      </c>
      <c r="BS570" s="22">
        <v>16</v>
      </c>
      <c r="BT570" s="289">
        <f t="shared" si="303"/>
        <v>26.266501748876188</v>
      </c>
      <c r="BU570" s="290">
        <f t="shared" si="304"/>
        <v>230.33436221310069</v>
      </c>
      <c r="BV570" s="205">
        <f t="shared" si="305"/>
        <v>256.60086396197687</v>
      </c>
      <c r="BY570" s="180">
        <v>2030</v>
      </c>
      <c r="BZ570" s="22">
        <v>16</v>
      </c>
      <c r="CA570" s="289">
        <f t="shared" ca="1" si="306"/>
        <v>5.4348366158254979</v>
      </c>
      <c r="CB570" s="289">
        <f t="shared" ca="1" si="307"/>
        <v>11.320701055356082</v>
      </c>
      <c r="CC570" s="290">
        <f t="shared" ca="1" si="318"/>
        <v>236.36363408378207</v>
      </c>
      <c r="CD570" s="205">
        <f t="shared" ca="1" si="308"/>
        <v>253.11917175496365</v>
      </c>
      <c r="CG570" s="180">
        <v>2030</v>
      </c>
      <c r="CH570" s="22">
        <v>16</v>
      </c>
      <c r="CI570" s="289">
        <f t="shared" ca="1" si="309"/>
        <v>-4.1801540798047103</v>
      </c>
      <c r="CJ570" s="289">
        <f t="shared" ca="1" si="310"/>
        <v>22.677972195019926</v>
      </c>
      <c r="CK570" s="289">
        <f t="shared" ca="1" si="311"/>
        <v>-6.5135344366857275</v>
      </c>
      <c r="CL570" s="290">
        <f t="shared" ca="1" si="312"/>
        <v>239.15217241572992</v>
      </c>
      <c r="CM570" s="205">
        <f t="shared" ca="1" si="313"/>
        <v>251.13645609425942</v>
      </c>
      <c r="CP570" s="180">
        <v>2030</v>
      </c>
      <c r="CQ570" s="22">
        <v>16</v>
      </c>
      <c r="CR570" s="289">
        <f t="shared" ca="1" si="314"/>
        <v>231.98398558817138</v>
      </c>
      <c r="CS570" s="290">
        <f t="shared" ca="1" si="315"/>
        <v>1.1028596020619807</v>
      </c>
      <c r="CT570" s="205">
        <f t="shared" ca="1" si="316"/>
        <v>255.84576603052295</v>
      </c>
      <c r="CZ570" s="164" t="b">
        <f t="shared" si="293"/>
        <v>1</v>
      </c>
      <c r="DA570" s="165" t="b">
        <f t="shared" si="293"/>
        <v>1</v>
      </c>
      <c r="DB570" s="166" t="b">
        <f t="shared" si="293"/>
        <v>1</v>
      </c>
      <c r="DC570" s="164">
        <f t="shared" si="294"/>
        <v>18</v>
      </c>
      <c r="DD570" s="166">
        <f t="shared" si="295"/>
        <v>203.98919199288582</v>
      </c>
      <c r="DE570" s="164">
        <f t="shared" si="296"/>
        <v>18</v>
      </c>
      <c r="DF570" s="166">
        <f t="shared" si="297"/>
        <v>255.51450563928563</v>
      </c>
      <c r="DG570" s="164">
        <f t="shared" si="298"/>
        <v>18</v>
      </c>
      <c r="DH570" s="166">
        <f t="shared" si="299"/>
        <v>307.03981928568544</v>
      </c>
      <c r="DI570" s="164">
        <f>IFERROR(INDEX(DC$550:DC$598,_xlfn.AGGREGATE(15,6,(ROW(DC$550:DC$598)-ROW(DC$550)+1)/(DC$550:DC$598&lt;&gt;""),ROWS(DI$1:DI21))),"")</f>
        <v>18</v>
      </c>
      <c r="DJ570" s="165">
        <f>IFERROR(INDEX(DD$550:DD$598,_xlfn.AGGREGATE(15,6,(ROW(DD$550:DD$598)-ROW(DD$550)+1)/(DD$550:DD$598&lt;&gt;""),ROWS(DJ$1:DJ21))),"")</f>
        <v>203.98919199288582</v>
      </c>
      <c r="DK570" s="166">
        <f t="shared" si="300"/>
        <v>570</v>
      </c>
      <c r="DL570" s="164">
        <f>IFERROR(INDEX(DE$550:DE$598,_xlfn.AGGREGATE(15,6,(ROW(DE$550:DE$598)-ROW(DE$550)+1)/(DE$550:DE$598&lt;&gt;""),ROWS(DL$1:DL21))),"")</f>
        <v>18</v>
      </c>
      <c r="DM570" s="165">
        <f>IFERROR(INDEX(DF$550:DF$598,_xlfn.AGGREGATE(15,6,(ROW(DF$550:DF$598)-ROW(DF$550)+1)/(DF$550:DF$598&lt;&gt;""),ROWS(DM$1:DM21))),"")</f>
        <v>255.51450563928563</v>
      </c>
      <c r="DN570" s="166">
        <f t="shared" si="301"/>
        <v>570</v>
      </c>
      <c r="DO570" s="164">
        <f>IFERROR(INDEX(DG$550:DG$598,_xlfn.AGGREGATE(15,6,(ROW(DG$550:DG$598)-ROW(DG$550)+1)/(DG$550:DG$598&lt;&gt;""),ROWS(DO$1:DO21))),"")</f>
        <v>18</v>
      </c>
      <c r="DP570" s="165">
        <f>IFERROR(INDEX(DH$550:DH$598,_xlfn.AGGREGATE(15,6,(ROW(DH$550:DH$598)-ROW(DH$550)+1)/(DH$550:DH$598&lt;&gt;""),ROWS(DP$1:DP21))),"")</f>
        <v>307.03981928568544</v>
      </c>
      <c r="DQ570" s="166">
        <f t="shared" si="302"/>
        <v>570</v>
      </c>
      <c r="DR570" s="65"/>
      <c r="DV570" s="145">
        <v>2035</v>
      </c>
      <c r="DW570" s="235">
        <f t="shared" ca="1" si="286"/>
        <v>260.2182377827628</v>
      </c>
    </row>
    <row r="571" spans="1:135" ht="13.8" x14ac:dyDescent="0.45">
      <c r="B571" s="128">
        <v>2033</v>
      </c>
      <c r="C571" s="957">
        <v>249.10236019613055</v>
      </c>
      <c r="D571" s="947">
        <v>325.28000000000014</v>
      </c>
      <c r="E571" s="308"/>
      <c r="F571" s="914"/>
      <c r="G571" s="294"/>
      <c r="H571" s="292"/>
      <c r="I571" s="1112">
        <v>198.02702702702709</v>
      </c>
      <c r="J571" s="294"/>
      <c r="K571" s="292"/>
      <c r="L571" s="293"/>
      <c r="M571" s="292"/>
      <c r="N571" s="29" t="s">
        <v>119</v>
      </c>
      <c r="O571" s="120"/>
      <c r="P571" s="120"/>
      <c r="Q571" s="120"/>
      <c r="R571" s="29">
        <v>19</v>
      </c>
      <c r="S571" s="288">
        <f t="shared" si="287"/>
        <v>198.02702702702709</v>
      </c>
      <c r="T571" s="288">
        <f t="shared" si="288"/>
        <v>325.28000000000014</v>
      </c>
      <c r="U571" s="288">
        <f t="shared" si="289"/>
        <v>52.286647535891895</v>
      </c>
      <c r="W571" s="288">
        <f t="shared" si="290"/>
        <v>205.18314820516068</v>
      </c>
      <c r="X571" s="288">
        <f t="shared" si="291"/>
        <v>257.46979574105256</v>
      </c>
      <c r="Y571" s="288">
        <f t="shared" si="292"/>
        <v>309.75644327694448</v>
      </c>
      <c r="AA571" s="89"/>
      <c r="AB571" s="89"/>
      <c r="AC571" s="89"/>
      <c r="AD571" s="89"/>
      <c r="AE571" s="89"/>
      <c r="AF571" s="89"/>
      <c r="AG571" s="89"/>
      <c r="AH571" s="89"/>
      <c r="AI571" s="89"/>
      <c r="AJ571" s="89"/>
      <c r="AK571" s="89"/>
      <c r="AL571" s="89"/>
      <c r="AM571" s="89"/>
      <c r="AN571" s="89"/>
      <c r="BR571" s="180">
        <v>2031</v>
      </c>
      <c r="BS571" s="22">
        <v>17</v>
      </c>
      <c r="BT571" s="289">
        <f t="shared" si="303"/>
        <v>27.908158108180949</v>
      </c>
      <c r="BU571" s="290">
        <f t="shared" si="304"/>
        <v>230.33436221310069</v>
      </c>
      <c r="BV571" s="205">
        <f t="shared" si="305"/>
        <v>258.24252032128163</v>
      </c>
      <c r="BY571" s="180">
        <v>2031</v>
      </c>
      <c r="BZ571" s="22">
        <v>17</v>
      </c>
      <c r="CA571" s="289">
        <f t="shared" ca="1" si="306"/>
        <v>6.1354210233342537</v>
      </c>
      <c r="CB571" s="289">
        <f t="shared" ca="1" si="307"/>
        <v>12.028244871315838</v>
      </c>
      <c r="CC571" s="290">
        <f t="shared" ca="1" si="318"/>
        <v>236.36363408378207</v>
      </c>
      <c r="CD571" s="205">
        <f t="shared" ca="1" si="308"/>
        <v>254.52729997843215</v>
      </c>
      <c r="CG571" s="180">
        <v>2031</v>
      </c>
      <c r="CH571" s="22">
        <v>17</v>
      </c>
      <c r="CI571" s="289">
        <f t="shared" ca="1" si="309"/>
        <v>-5.0139396958204445</v>
      </c>
      <c r="CJ571" s="289">
        <f t="shared" ca="1" si="310"/>
        <v>25.601304548284212</v>
      </c>
      <c r="CK571" s="289">
        <f t="shared" ca="1" si="311"/>
        <v>-6.9206303389785857</v>
      </c>
      <c r="CL571" s="290">
        <f t="shared" ca="1" si="312"/>
        <v>239.15217241572992</v>
      </c>
      <c r="CM571" s="205">
        <f t="shared" ca="1" si="313"/>
        <v>252.8189069292151</v>
      </c>
      <c r="CP571" s="180">
        <v>2031</v>
      </c>
      <c r="CQ571" s="22">
        <v>17</v>
      </c>
      <c r="CR571" s="289">
        <f t="shared" ca="1" si="314"/>
        <v>231.98398558817138</v>
      </c>
      <c r="CS571" s="290">
        <f t="shared" ca="1" si="315"/>
        <v>1.1096288584205292</v>
      </c>
      <c r="CT571" s="205">
        <f t="shared" ca="1" si="316"/>
        <v>257.41612510004711</v>
      </c>
      <c r="CZ571" s="164" t="b">
        <f t="shared" si="293"/>
        <v>1</v>
      </c>
      <c r="DA571" s="165" t="b">
        <f t="shared" si="293"/>
        <v>1</v>
      </c>
      <c r="DB571" s="166" t="b">
        <f t="shared" si="293"/>
        <v>1</v>
      </c>
      <c r="DC571" s="164">
        <f t="shared" si="294"/>
        <v>19</v>
      </c>
      <c r="DD571" s="166">
        <f t="shared" si="295"/>
        <v>205.18314820516068</v>
      </c>
      <c r="DE571" s="164">
        <f t="shared" si="296"/>
        <v>19</v>
      </c>
      <c r="DF571" s="166">
        <f t="shared" si="297"/>
        <v>257.46979574105256</v>
      </c>
      <c r="DG571" s="164">
        <f t="shared" si="298"/>
        <v>19</v>
      </c>
      <c r="DH571" s="166">
        <f t="shared" si="299"/>
        <v>309.75644327694448</v>
      </c>
      <c r="DI571" s="164">
        <f>IFERROR(INDEX(DC$550:DC$598,_xlfn.AGGREGATE(15,6,(ROW(DC$550:DC$598)-ROW(DC$550)+1)/(DC$550:DC$598&lt;&gt;""),ROWS(DI$1:DI22))),"")</f>
        <v>19</v>
      </c>
      <c r="DJ571" s="165">
        <f>IFERROR(INDEX(DD$550:DD$598,_xlfn.AGGREGATE(15,6,(ROW(DD$550:DD$598)-ROW(DD$550)+1)/(DD$550:DD$598&lt;&gt;""),ROWS(DJ$1:DJ22))),"")</f>
        <v>205.18314820516068</v>
      </c>
      <c r="DK571" s="166">
        <f t="shared" si="300"/>
        <v>571</v>
      </c>
      <c r="DL571" s="164">
        <f>IFERROR(INDEX(DE$550:DE$598,_xlfn.AGGREGATE(15,6,(ROW(DE$550:DE$598)-ROW(DE$550)+1)/(DE$550:DE$598&lt;&gt;""),ROWS(DL$1:DL22))),"")</f>
        <v>19</v>
      </c>
      <c r="DM571" s="165">
        <f>IFERROR(INDEX(DF$550:DF$598,_xlfn.AGGREGATE(15,6,(ROW(DF$550:DF$598)-ROW(DF$550)+1)/(DF$550:DF$598&lt;&gt;""),ROWS(DM$1:DM22))),"")</f>
        <v>257.46979574105256</v>
      </c>
      <c r="DN571" s="166">
        <f t="shared" si="301"/>
        <v>571</v>
      </c>
      <c r="DO571" s="164">
        <f>IFERROR(INDEX(DG$550:DG$598,_xlfn.AGGREGATE(15,6,(ROW(DG$550:DG$598)-ROW(DG$550)+1)/(DG$550:DG$598&lt;&gt;""),ROWS(DO$1:DO22))),"")</f>
        <v>19</v>
      </c>
      <c r="DP571" s="165">
        <f>IFERROR(INDEX(DH$550:DH$598,_xlfn.AGGREGATE(15,6,(ROW(DH$550:DH$598)-ROW(DH$550)+1)/(DH$550:DH$598&lt;&gt;""),ROWS(DP$1:DP22))),"")</f>
        <v>309.75644327694448</v>
      </c>
      <c r="DQ571" s="166">
        <f t="shared" si="302"/>
        <v>571</v>
      </c>
      <c r="DR571" s="65"/>
      <c r="DV571" s="145">
        <v>2036</v>
      </c>
      <c r="DW571" s="235">
        <f t="shared" ca="1" si="286"/>
        <v>262.20483601169178</v>
      </c>
    </row>
    <row r="572" spans="1:135" ht="13.8" x14ac:dyDescent="0.45">
      <c r="B572" s="128">
        <v>2034</v>
      </c>
      <c r="C572" s="957">
        <v>250.49687915008005</v>
      </c>
      <c r="D572" s="947">
        <v>328.40000000000015</v>
      </c>
      <c r="E572" s="308"/>
      <c r="F572" s="914"/>
      <c r="G572" s="294"/>
      <c r="H572" s="292"/>
      <c r="I572" s="1112">
        <v>199.37837837837844</v>
      </c>
      <c r="J572" s="294"/>
      <c r="K572" s="292"/>
      <c r="L572" s="293"/>
      <c r="M572" s="292"/>
      <c r="N572" s="29" t="s">
        <v>119</v>
      </c>
      <c r="O572" s="120"/>
      <c r="P572" s="120"/>
      <c r="Q572" s="120"/>
      <c r="R572" s="29">
        <v>20</v>
      </c>
      <c r="S572" s="288">
        <f t="shared" si="287"/>
        <v>199.37837837837844</v>
      </c>
      <c r="T572" s="288">
        <f t="shared" si="288"/>
        <v>328.40000000000015</v>
      </c>
      <c r="U572" s="288">
        <f t="shared" si="289"/>
        <v>53.049846795439741</v>
      </c>
      <c r="W572" s="288">
        <f t="shared" si="290"/>
        <v>206.37523904737981</v>
      </c>
      <c r="X572" s="288">
        <f t="shared" si="291"/>
        <v>259.42508584281956</v>
      </c>
      <c r="Y572" s="288">
        <f t="shared" si="292"/>
        <v>312.4749326382593</v>
      </c>
      <c r="AA572" s="89"/>
      <c r="AB572" s="89"/>
      <c r="AC572" s="89"/>
      <c r="AD572" s="89"/>
      <c r="AE572" s="89"/>
      <c r="AF572" s="89"/>
      <c r="AG572" s="89"/>
      <c r="AH572" s="89"/>
      <c r="AI572" s="89"/>
      <c r="AJ572" s="89"/>
      <c r="AK572" s="89"/>
      <c r="AL572" s="89"/>
      <c r="AM572" s="89"/>
      <c r="AN572" s="89"/>
      <c r="BR572" s="180">
        <v>2032</v>
      </c>
      <c r="BS572" s="22">
        <v>18</v>
      </c>
      <c r="BT572" s="289">
        <f t="shared" si="303"/>
        <v>29.54981446748571</v>
      </c>
      <c r="BU572" s="290">
        <f t="shared" si="304"/>
        <v>230.33436221310069</v>
      </c>
      <c r="BV572" s="205">
        <f t="shared" si="305"/>
        <v>259.88417668058639</v>
      </c>
      <c r="BY572" s="180">
        <v>2032</v>
      </c>
      <c r="BZ572" s="22">
        <v>18</v>
      </c>
      <c r="CA572" s="289">
        <f t="shared" ca="1" si="306"/>
        <v>6.8784650919041459</v>
      </c>
      <c r="CB572" s="289">
        <f t="shared" ca="1" si="307"/>
        <v>12.735788687275592</v>
      </c>
      <c r="CC572" s="290">
        <f t="shared" ca="1" si="318"/>
        <v>236.36363408378207</v>
      </c>
      <c r="CD572" s="205">
        <f t="shared" ca="1" si="308"/>
        <v>255.97788786296181</v>
      </c>
      <c r="CG572" s="180">
        <v>2032</v>
      </c>
      <c r="CH572" s="22">
        <v>18</v>
      </c>
      <c r="CI572" s="289">
        <f t="shared" ca="1" si="309"/>
        <v>-5.9518209456594411</v>
      </c>
      <c r="CJ572" s="289">
        <f t="shared" ca="1" si="310"/>
        <v>28.701808559322092</v>
      </c>
      <c r="CK572" s="289">
        <f t="shared" ca="1" si="311"/>
        <v>-7.3277262412714439</v>
      </c>
      <c r="CL572" s="290">
        <f t="shared" ca="1" si="312"/>
        <v>239.15217241572992</v>
      </c>
      <c r="CM572" s="205">
        <f t="shared" ca="1" si="313"/>
        <v>254.57443378812113</v>
      </c>
      <c r="CP572" s="180">
        <v>2032</v>
      </c>
      <c r="CQ572" s="22">
        <v>18</v>
      </c>
      <c r="CR572" s="289">
        <f t="shared" ca="1" si="314"/>
        <v>231.98398558817138</v>
      </c>
      <c r="CS572" s="290">
        <f t="shared" ca="1" si="315"/>
        <v>1.1164396638861098</v>
      </c>
      <c r="CT572" s="205">
        <f t="shared" ca="1" si="316"/>
        <v>258.99612289701821</v>
      </c>
      <c r="CZ572" s="164" t="b">
        <f t="shared" si="293"/>
        <v>1</v>
      </c>
      <c r="DA572" s="165" t="b">
        <f t="shared" si="293"/>
        <v>1</v>
      </c>
      <c r="DB572" s="166" t="b">
        <f t="shared" si="293"/>
        <v>1</v>
      </c>
      <c r="DC572" s="164">
        <f t="shared" si="294"/>
        <v>20</v>
      </c>
      <c r="DD572" s="166">
        <f t="shared" si="295"/>
        <v>206.37523904737981</v>
      </c>
      <c r="DE572" s="164">
        <f t="shared" si="296"/>
        <v>20</v>
      </c>
      <c r="DF572" s="166">
        <f t="shared" si="297"/>
        <v>259.42508584281956</v>
      </c>
      <c r="DG572" s="164">
        <f t="shared" si="298"/>
        <v>20</v>
      </c>
      <c r="DH572" s="166">
        <f t="shared" si="299"/>
        <v>312.4749326382593</v>
      </c>
      <c r="DI572" s="164">
        <f>IFERROR(INDEX(DC$550:DC$598,_xlfn.AGGREGATE(15,6,(ROW(DC$550:DC$598)-ROW(DC$550)+1)/(DC$550:DC$598&lt;&gt;""),ROWS(DI$1:DI23))),"")</f>
        <v>20</v>
      </c>
      <c r="DJ572" s="165">
        <f>IFERROR(INDEX(DD$550:DD$598,_xlfn.AGGREGATE(15,6,(ROW(DD$550:DD$598)-ROW(DD$550)+1)/(DD$550:DD$598&lt;&gt;""),ROWS(DJ$1:DJ23))),"")</f>
        <v>206.37523904737981</v>
      </c>
      <c r="DK572" s="166">
        <f t="shared" si="300"/>
        <v>572</v>
      </c>
      <c r="DL572" s="164">
        <f>IFERROR(INDEX(DE$550:DE$598,_xlfn.AGGREGATE(15,6,(ROW(DE$550:DE$598)-ROW(DE$550)+1)/(DE$550:DE$598&lt;&gt;""),ROWS(DL$1:DL23))),"")</f>
        <v>20</v>
      </c>
      <c r="DM572" s="165">
        <f>IFERROR(INDEX(DF$550:DF$598,_xlfn.AGGREGATE(15,6,(ROW(DF$550:DF$598)-ROW(DF$550)+1)/(DF$550:DF$598&lt;&gt;""),ROWS(DM$1:DM23))),"")</f>
        <v>259.42508584281956</v>
      </c>
      <c r="DN572" s="166">
        <f t="shared" si="301"/>
        <v>572</v>
      </c>
      <c r="DO572" s="164">
        <f>IFERROR(INDEX(DG$550:DG$598,_xlfn.AGGREGATE(15,6,(ROW(DG$550:DG$598)-ROW(DG$550)+1)/(DG$550:DG$598&lt;&gt;""),ROWS(DO$1:DO23))),"")</f>
        <v>20</v>
      </c>
      <c r="DP572" s="165">
        <f>IFERROR(INDEX(DH$550:DH$598,_xlfn.AGGREGATE(15,6,(ROW(DH$550:DH$598)-ROW(DH$550)+1)/(DH$550:DH$598&lt;&gt;""),ROWS(DP$1:DP23))),"")</f>
        <v>312.4749326382593</v>
      </c>
      <c r="DQ572" s="166">
        <f t="shared" si="302"/>
        <v>572</v>
      </c>
      <c r="DR572" s="65"/>
      <c r="DV572" s="145">
        <v>2037</v>
      </c>
      <c r="DW572" s="235">
        <f t="shared" ca="1" si="286"/>
        <v>264.23389390168188</v>
      </c>
    </row>
    <row r="573" spans="1:135" ht="13.8" x14ac:dyDescent="0.45">
      <c r="B573" s="128">
        <v>2035</v>
      </c>
      <c r="C573" s="957">
        <v>251.89139810402955</v>
      </c>
      <c r="D573" s="947">
        <v>331.52000000000015</v>
      </c>
      <c r="E573" s="308"/>
      <c r="F573" s="914"/>
      <c r="G573" s="294"/>
      <c r="H573" s="292"/>
      <c r="I573" s="1112">
        <v>200.7297297297298</v>
      </c>
      <c r="J573" s="294"/>
      <c r="K573" s="292"/>
      <c r="L573" s="293"/>
      <c r="M573" s="292"/>
      <c r="N573" s="29" t="s">
        <v>119</v>
      </c>
      <c r="O573" s="120"/>
      <c r="P573" s="120"/>
      <c r="Q573" s="120"/>
      <c r="R573" s="29">
        <v>21</v>
      </c>
      <c r="S573" s="288">
        <f t="shared" si="287"/>
        <v>200.7297297297298</v>
      </c>
      <c r="T573" s="288">
        <f t="shared" si="288"/>
        <v>331.52000000000015</v>
      </c>
      <c r="U573" s="288">
        <f t="shared" si="289"/>
        <v>53.814832061347438</v>
      </c>
      <c r="W573" s="288">
        <f t="shared" si="290"/>
        <v>207.56554388323906</v>
      </c>
      <c r="X573" s="288">
        <f t="shared" si="291"/>
        <v>261.38037594458649</v>
      </c>
      <c r="Y573" s="288">
        <f t="shared" si="292"/>
        <v>315.19520800593392</v>
      </c>
      <c r="AA573" s="89"/>
      <c r="AB573" s="89"/>
      <c r="AC573" s="89"/>
      <c r="AD573" s="89"/>
      <c r="AE573" s="89"/>
      <c r="AF573" s="89"/>
      <c r="AG573" s="89"/>
      <c r="AH573" s="89"/>
      <c r="AI573" s="89"/>
      <c r="AJ573" s="89"/>
      <c r="AK573" s="89"/>
      <c r="AL573" s="89"/>
      <c r="AM573" s="89"/>
      <c r="AN573" s="89"/>
      <c r="BR573" s="180">
        <v>2033</v>
      </c>
      <c r="BS573" s="22">
        <v>19</v>
      </c>
      <c r="BT573" s="289">
        <f t="shared" si="303"/>
        <v>31.191470826790471</v>
      </c>
      <c r="BU573" s="290">
        <f t="shared" si="304"/>
        <v>230.33436221310069</v>
      </c>
      <c r="BV573" s="205">
        <f t="shared" si="305"/>
        <v>261.52583303989115</v>
      </c>
      <c r="BY573" s="180">
        <v>2033</v>
      </c>
      <c r="BZ573" s="22">
        <v>19</v>
      </c>
      <c r="CA573" s="289">
        <f t="shared" ca="1" si="306"/>
        <v>7.6639688215351747</v>
      </c>
      <c r="CB573" s="289">
        <f t="shared" ca="1" si="307"/>
        <v>13.443332503235347</v>
      </c>
      <c r="CC573" s="290">
        <f t="shared" ca="1" si="318"/>
        <v>236.36363408378207</v>
      </c>
      <c r="CD573" s="205">
        <f t="shared" ca="1" si="308"/>
        <v>257.47093540855258</v>
      </c>
      <c r="CG573" s="180">
        <v>2033</v>
      </c>
      <c r="CH573" s="22">
        <v>19</v>
      </c>
      <c r="CI573" s="289">
        <f t="shared" ca="1" si="309"/>
        <v>-6.9999211018995382</v>
      </c>
      <c r="CJ573" s="289">
        <f t="shared" ca="1" si="310"/>
        <v>31.979484228133568</v>
      </c>
      <c r="CK573" s="289">
        <f t="shared" ca="1" si="311"/>
        <v>-7.7348221435643012</v>
      </c>
      <c r="CL573" s="290">
        <f t="shared" ca="1" si="312"/>
        <v>239.15217241572992</v>
      </c>
      <c r="CM573" s="205">
        <f t="shared" ca="1" si="313"/>
        <v>256.39691339839965</v>
      </c>
      <c r="CP573" s="180">
        <v>2033</v>
      </c>
      <c r="CQ573" s="22">
        <v>19</v>
      </c>
      <c r="CR573" s="289">
        <f t="shared" ca="1" si="314"/>
        <v>231.98398558817138</v>
      </c>
      <c r="CS573" s="290">
        <f t="shared" ca="1" si="315"/>
        <v>1.1232922734835298</v>
      </c>
      <c r="CT573" s="205">
        <f t="shared" ca="1" si="316"/>
        <v>260.58581858310743</v>
      </c>
      <c r="CZ573" s="164" t="b">
        <f t="shared" si="293"/>
        <v>1</v>
      </c>
      <c r="DA573" s="165" t="b">
        <f t="shared" si="293"/>
        <v>1</v>
      </c>
      <c r="DB573" s="166" t="b">
        <f t="shared" si="293"/>
        <v>1</v>
      </c>
      <c r="DC573" s="164">
        <f t="shared" si="294"/>
        <v>21</v>
      </c>
      <c r="DD573" s="166">
        <f t="shared" si="295"/>
        <v>207.56554388323906</v>
      </c>
      <c r="DE573" s="164">
        <f t="shared" si="296"/>
        <v>21</v>
      </c>
      <c r="DF573" s="166">
        <f t="shared" si="297"/>
        <v>261.38037594458649</v>
      </c>
      <c r="DG573" s="164">
        <f t="shared" si="298"/>
        <v>21</v>
      </c>
      <c r="DH573" s="166">
        <f t="shared" si="299"/>
        <v>315.19520800593392</v>
      </c>
      <c r="DI573" s="164">
        <f>IFERROR(INDEX(DC$550:DC$598,_xlfn.AGGREGATE(15,6,(ROW(DC$550:DC$598)-ROW(DC$550)+1)/(DC$550:DC$598&lt;&gt;""),ROWS(DI$1:DI24))),"")</f>
        <v>21</v>
      </c>
      <c r="DJ573" s="165">
        <f>IFERROR(INDEX(DD$550:DD$598,_xlfn.AGGREGATE(15,6,(ROW(DD$550:DD$598)-ROW(DD$550)+1)/(DD$550:DD$598&lt;&gt;""),ROWS(DJ$1:DJ24))),"")</f>
        <v>207.56554388323906</v>
      </c>
      <c r="DK573" s="166">
        <f t="shared" si="300"/>
        <v>573</v>
      </c>
      <c r="DL573" s="164">
        <f>IFERROR(INDEX(DE$550:DE$598,_xlfn.AGGREGATE(15,6,(ROW(DE$550:DE$598)-ROW(DE$550)+1)/(DE$550:DE$598&lt;&gt;""),ROWS(DL$1:DL24))),"")</f>
        <v>21</v>
      </c>
      <c r="DM573" s="165">
        <f>IFERROR(INDEX(DF$550:DF$598,_xlfn.AGGREGATE(15,6,(ROW(DF$550:DF$598)-ROW(DF$550)+1)/(DF$550:DF$598&lt;&gt;""),ROWS(DM$1:DM24))),"")</f>
        <v>261.38037594458649</v>
      </c>
      <c r="DN573" s="166">
        <f t="shared" si="301"/>
        <v>573</v>
      </c>
      <c r="DO573" s="164">
        <f>IFERROR(INDEX(DG$550:DG$598,_xlfn.AGGREGATE(15,6,(ROW(DG$550:DG$598)-ROW(DG$550)+1)/(DG$550:DG$598&lt;&gt;""),ROWS(DO$1:DO24))),"")</f>
        <v>21</v>
      </c>
      <c r="DP573" s="165">
        <f>IFERROR(INDEX(DH$550:DH$598,_xlfn.AGGREGATE(15,6,(ROW(DH$550:DH$598)-ROW(DH$550)+1)/(DH$550:DH$598&lt;&gt;""),ROWS(DP$1:DP24))),"")</f>
        <v>315.19520800593392</v>
      </c>
      <c r="DQ573" s="166">
        <f t="shared" si="302"/>
        <v>573</v>
      </c>
      <c r="DR573" s="65"/>
      <c r="DV573" s="145">
        <v>2038</v>
      </c>
      <c r="DW573" s="235">
        <f t="shared" ca="1" si="286"/>
        <v>266.29928818015526</v>
      </c>
    </row>
    <row r="574" spans="1:135" ht="13.8" x14ac:dyDescent="0.45">
      <c r="B574" s="128">
        <v>2036</v>
      </c>
      <c r="C574" s="957">
        <v>253.28591705797905</v>
      </c>
      <c r="D574" s="947">
        <v>334.64000000000016</v>
      </c>
      <c r="E574" s="308"/>
      <c r="F574" s="914"/>
      <c r="G574" s="294"/>
      <c r="H574" s="292"/>
      <c r="I574" s="1112">
        <v>202.08108108108115</v>
      </c>
      <c r="J574" s="294"/>
      <c r="K574" s="292"/>
      <c r="L574" s="293"/>
      <c r="M574" s="292"/>
      <c r="N574" s="29" t="s">
        <v>119</v>
      </c>
      <c r="O574" s="120"/>
      <c r="P574" s="120"/>
      <c r="Q574" s="120"/>
      <c r="R574" s="29">
        <v>22</v>
      </c>
      <c r="S574" s="288">
        <f t="shared" si="287"/>
        <v>202.08108108108115</v>
      </c>
      <c r="T574" s="288">
        <f t="shared" si="288"/>
        <v>334.64000000000016</v>
      </c>
      <c r="U574" s="288">
        <f t="shared" si="289"/>
        <v>54.581528238560381</v>
      </c>
      <c r="W574" s="288">
        <f t="shared" si="290"/>
        <v>208.75413780779303</v>
      </c>
      <c r="X574" s="288">
        <f t="shared" si="291"/>
        <v>263.33566604635342</v>
      </c>
      <c r="Y574" s="288">
        <f t="shared" si="292"/>
        <v>317.91719428491382</v>
      </c>
      <c r="AA574" s="89"/>
      <c r="AB574" s="89"/>
      <c r="AC574" s="89"/>
      <c r="AD574" s="89"/>
      <c r="AE574" s="89"/>
      <c r="AF574" s="89"/>
      <c r="AG574" s="89"/>
      <c r="AH574" s="89"/>
      <c r="AI574" s="89"/>
      <c r="AJ574" s="89"/>
      <c r="AK574" s="89"/>
      <c r="AL574" s="89"/>
      <c r="AM574" s="89"/>
      <c r="AN574" s="89"/>
      <c r="BR574" s="180">
        <v>2034</v>
      </c>
      <c r="BS574" s="22">
        <v>20</v>
      </c>
      <c r="BT574" s="289">
        <f t="shared" si="303"/>
        <v>32.833127186095233</v>
      </c>
      <c r="BU574" s="290">
        <f t="shared" si="304"/>
        <v>230.33436221310069</v>
      </c>
      <c r="BV574" s="205">
        <f t="shared" si="305"/>
        <v>263.16748939919592</v>
      </c>
      <c r="BY574" s="180">
        <v>2034</v>
      </c>
      <c r="BZ574" s="22">
        <v>20</v>
      </c>
      <c r="CA574" s="289">
        <f t="shared" ca="1" si="306"/>
        <v>8.49193221222734</v>
      </c>
      <c r="CB574" s="289">
        <f t="shared" ca="1" si="307"/>
        <v>14.150876319195103</v>
      </c>
      <c r="CC574" s="290">
        <f t="shared" ca="1" si="318"/>
        <v>236.36363408378207</v>
      </c>
      <c r="CD574" s="205">
        <f t="shared" ca="1" si="308"/>
        <v>259.00644261520449</v>
      </c>
      <c r="CG574" s="180">
        <v>2034</v>
      </c>
      <c r="CH574" s="22">
        <v>20</v>
      </c>
      <c r="CI574" s="289">
        <f t="shared" ca="1" si="309"/>
        <v>-8.164363437118574</v>
      </c>
      <c r="CJ574" s="289">
        <f t="shared" ca="1" si="310"/>
        <v>35.434331554718632</v>
      </c>
      <c r="CK574" s="289">
        <f t="shared" ca="1" si="311"/>
        <v>-8.1419180458571603</v>
      </c>
      <c r="CL574" s="290">
        <f t="shared" ca="1" si="312"/>
        <v>239.15217241572992</v>
      </c>
      <c r="CM574" s="205">
        <f t="shared" ca="1" si="313"/>
        <v>258.28022248747283</v>
      </c>
      <c r="CP574" s="180">
        <v>2034</v>
      </c>
      <c r="CQ574" s="22">
        <v>20</v>
      </c>
      <c r="CR574" s="289">
        <f t="shared" ca="1" si="314"/>
        <v>231.98398558817138</v>
      </c>
      <c r="CS574" s="290">
        <f t="shared" ca="1" si="315"/>
        <v>1.1301869438029157</v>
      </c>
      <c r="CT574" s="205">
        <f t="shared" ca="1" si="316"/>
        <v>262.18527168311505</v>
      </c>
      <c r="CZ574" s="164" t="b">
        <f t="shared" si="293"/>
        <v>1</v>
      </c>
      <c r="DA574" s="165" t="b">
        <f t="shared" si="293"/>
        <v>1</v>
      </c>
      <c r="DB574" s="166" t="b">
        <f t="shared" si="293"/>
        <v>1</v>
      </c>
      <c r="DC574" s="164">
        <f t="shared" si="294"/>
        <v>22</v>
      </c>
      <c r="DD574" s="166">
        <f t="shared" si="295"/>
        <v>208.75413780779303</v>
      </c>
      <c r="DE574" s="164">
        <f t="shared" si="296"/>
        <v>22</v>
      </c>
      <c r="DF574" s="166">
        <f t="shared" si="297"/>
        <v>263.33566604635342</v>
      </c>
      <c r="DG574" s="164">
        <f t="shared" si="298"/>
        <v>22</v>
      </c>
      <c r="DH574" s="166">
        <f t="shared" si="299"/>
        <v>317.91719428491382</v>
      </c>
      <c r="DI574" s="164">
        <f>IFERROR(INDEX(DC$550:DC$598,_xlfn.AGGREGATE(15,6,(ROW(DC$550:DC$598)-ROW(DC$550)+1)/(DC$550:DC$598&lt;&gt;""),ROWS(DI$1:DI25))),"")</f>
        <v>22</v>
      </c>
      <c r="DJ574" s="165">
        <f>IFERROR(INDEX(DD$550:DD$598,_xlfn.AGGREGATE(15,6,(ROW(DD$550:DD$598)-ROW(DD$550)+1)/(DD$550:DD$598&lt;&gt;""),ROWS(DJ$1:DJ25))),"")</f>
        <v>208.75413780779303</v>
      </c>
      <c r="DK574" s="166">
        <f t="shared" si="300"/>
        <v>574</v>
      </c>
      <c r="DL574" s="164">
        <f>IFERROR(INDEX(DE$550:DE$598,_xlfn.AGGREGATE(15,6,(ROW(DE$550:DE$598)-ROW(DE$550)+1)/(DE$550:DE$598&lt;&gt;""),ROWS(DL$1:DL25))),"")</f>
        <v>22</v>
      </c>
      <c r="DM574" s="165">
        <f>IFERROR(INDEX(DF$550:DF$598,_xlfn.AGGREGATE(15,6,(ROW(DF$550:DF$598)-ROW(DF$550)+1)/(DF$550:DF$598&lt;&gt;""),ROWS(DM$1:DM25))),"")</f>
        <v>263.33566604635342</v>
      </c>
      <c r="DN574" s="166">
        <f t="shared" si="301"/>
        <v>574</v>
      </c>
      <c r="DO574" s="164">
        <f>IFERROR(INDEX(DG$550:DG$598,_xlfn.AGGREGATE(15,6,(ROW(DG$550:DG$598)-ROW(DG$550)+1)/(DG$550:DG$598&lt;&gt;""),ROWS(DO$1:DO25))),"")</f>
        <v>22</v>
      </c>
      <c r="DP574" s="165">
        <f>IFERROR(INDEX(DH$550:DH$598,_xlfn.AGGREGATE(15,6,(ROW(DH$550:DH$598)-ROW(DH$550)+1)/(DH$550:DH$598&lt;&gt;""),ROWS(DP$1:DP25))),"")</f>
        <v>317.91719428491382</v>
      </c>
      <c r="DQ574" s="166">
        <f t="shared" si="302"/>
        <v>574</v>
      </c>
      <c r="DR574" s="65"/>
      <c r="DV574" s="145">
        <v>2039</v>
      </c>
      <c r="DW574" s="235">
        <f t="shared" ca="1" si="286"/>
        <v>268.39489557453413</v>
      </c>
    </row>
    <row r="575" spans="1:135" ht="13.8" x14ac:dyDescent="0.45">
      <c r="B575" s="128">
        <v>2037</v>
      </c>
      <c r="C575" s="957">
        <v>254.68043601192858</v>
      </c>
      <c r="D575" s="947">
        <v>337.76000000000016</v>
      </c>
      <c r="E575" s="308"/>
      <c r="F575" s="914"/>
      <c r="G575" s="294"/>
      <c r="H575" s="292"/>
      <c r="I575" s="1112">
        <v>203.43243243243251</v>
      </c>
      <c r="J575" s="294"/>
      <c r="K575" s="292"/>
      <c r="L575" s="293"/>
      <c r="M575" s="292"/>
      <c r="N575" s="29" t="s">
        <v>119</v>
      </c>
      <c r="O575" s="120"/>
      <c r="P575" s="120"/>
      <c r="Q575" s="120"/>
      <c r="R575" s="29">
        <v>23</v>
      </c>
      <c r="S575" s="288">
        <f t="shared" si="287"/>
        <v>203.43243243243251</v>
      </c>
      <c r="T575" s="288">
        <f t="shared" si="288"/>
        <v>337.76000000000016</v>
      </c>
      <c r="U575" s="288">
        <f t="shared" si="289"/>
        <v>55.34986422943431</v>
      </c>
      <c r="W575" s="288">
        <f t="shared" si="290"/>
        <v>209.94109191868611</v>
      </c>
      <c r="X575" s="288">
        <f t="shared" si="291"/>
        <v>265.29095614812042</v>
      </c>
      <c r="Y575" s="288">
        <f t="shared" si="292"/>
        <v>320.64082037755475</v>
      </c>
      <c r="AA575" s="89"/>
      <c r="AB575" s="89"/>
      <c r="AC575" s="89"/>
      <c r="AD575" s="89"/>
      <c r="AE575" s="89"/>
      <c r="AF575" s="89"/>
      <c r="AG575" s="89"/>
      <c r="AH575" s="89"/>
      <c r="AI575" s="89"/>
      <c r="AJ575" s="89"/>
      <c r="AK575" s="89"/>
      <c r="AL575" s="89"/>
      <c r="AM575" s="89"/>
      <c r="AN575" s="89"/>
      <c r="BR575" s="180">
        <v>2035</v>
      </c>
      <c r="BS575" s="22">
        <v>21</v>
      </c>
      <c r="BT575" s="289">
        <f t="shared" si="303"/>
        <v>34.474783545399994</v>
      </c>
      <c r="BU575" s="290">
        <f t="shared" si="304"/>
        <v>230.33436221310069</v>
      </c>
      <c r="BV575" s="205">
        <f t="shared" si="305"/>
        <v>264.80914575850068</v>
      </c>
      <c r="BY575" s="180">
        <v>2035</v>
      </c>
      <c r="BZ575" s="22">
        <v>21</v>
      </c>
      <c r="CA575" s="289">
        <f t="shared" ca="1" si="306"/>
        <v>9.3623552639806427</v>
      </c>
      <c r="CB575" s="289">
        <f t="shared" ca="1" si="307"/>
        <v>14.858420135154859</v>
      </c>
      <c r="CC575" s="290">
        <f t="shared" ca="1" si="318"/>
        <v>236.36363408378207</v>
      </c>
      <c r="CD575" s="205">
        <f t="shared" ca="1" si="308"/>
        <v>260.58440948291758</v>
      </c>
      <c r="CG575" s="180">
        <v>2035</v>
      </c>
      <c r="CH575" s="22">
        <v>21</v>
      </c>
      <c r="CI575" s="289">
        <f t="shared" ca="1" si="309"/>
        <v>-9.4512712238943895</v>
      </c>
      <c r="CJ575" s="289">
        <f t="shared" ca="1" si="310"/>
        <v>39.066350539077291</v>
      </c>
      <c r="CK575" s="289">
        <f t="shared" ca="1" si="311"/>
        <v>-8.5490139481500176</v>
      </c>
      <c r="CL575" s="290">
        <f t="shared" ca="1" si="312"/>
        <v>239.15217241572992</v>
      </c>
      <c r="CM575" s="205">
        <f t="shared" ca="1" si="313"/>
        <v>260.2182377827628</v>
      </c>
      <c r="CP575" s="180">
        <v>2035</v>
      </c>
      <c r="CQ575" s="22">
        <v>21</v>
      </c>
      <c r="CR575" s="289">
        <f t="shared" ca="1" si="314"/>
        <v>231.98398558817138</v>
      </c>
      <c r="CS575" s="290">
        <f t="shared" ca="1" si="315"/>
        <v>1.1371239330093226</v>
      </c>
      <c r="CT575" s="205">
        <f t="shared" ca="1" si="316"/>
        <v>263.79454208719943</v>
      </c>
      <c r="CZ575" s="164" t="b">
        <f t="shared" si="293"/>
        <v>1</v>
      </c>
      <c r="DA575" s="165" t="b">
        <f t="shared" si="293"/>
        <v>1</v>
      </c>
      <c r="DB575" s="166" t="b">
        <f t="shared" si="293"/>
        <v>1</v>
      </c>
      <c r="DC575" s="164">
        <f t="shared" si="294"/>
        <v>23</v>
      </c>
      <c r="DD575" s="166">
        <f t="shared" si="295"/>
        <v>209.94109191868611</v>
      </c>
      <c r="DE575" s="164">
        <f t="shared" si="296"/>
        <v>23</v>
      </c>
      <c r="DF575" s="166">
        <f t="shared" si="297"/>
        <v>265.29095614812042</v>
      </c>
      <c r="DG575" s="164">
        <f t="shared" si="298"/>
        <v>23</v>
      </c>
      <c r="DH575" s="166">
        <f t="shared" si="299"/>
        <v>320.64082037755475</v>
      </c>
      <c r="DI575" s="164">
        <f>IFERROR(INDEX(DC$550:DC$598,_xlfn.AGGREGATE(15,6,(ROW(DC$550:DC$598)-ROW(DC$550)+1)/(DC$550:DC$598&lt;&gt;""),ROWS(DI$1:DI26))),"")</f>
        <v>23</v>
      </c>
      <c r="DJ575" s="165">
        <f>IFERROR(INDEX(DD$550:DD$598,_xlfn.AGGREGATE(15,6,(ROW(DD$550:DD$598)-ROW(DD$550)+1)/(DD$550:DD$598&lt;&gt;""),ROWS(DJ$1:DJ26))),"")</f>
        <v>209.94109191868611</v>
      </c>
      <c r="DK575" s="166">
        <f t="shared" si="300"/>
        <v>575</v>
      </c>
      <c r="DL575" s="164">
        <f>IFERROR(INDEX(DE$550:DE$598,_xlfn.AGGREGATE(15,6,(ROW(DE$550:DE$598)-ROW(DE$550)+1)/(DE$550:DE$598&lt;&gt;""),ROWS(DL$1:DL26))),"")</f>
        <v>23</v>
      </c>
      <c r="DM575" s="165">
        <f>IFERROR(INDEX(DF$550:DF$598,_xlfn.AGGREGATE(15,6,(ROW(DF$550:DF$598)-ROW(DF$550)+1)/(DF$550:DF$598&lt;&gt;""),ROWS(DM$1:DM26))),"")</f>
        <v>265.29095614812042</v>
      </c>
      <c r="DN575" s="166">
        <f t="shared" si="301"/>
        <v>575</v>
      </c>
      <c r="DO575" s="164">
        <f>IFERROR(INDEX(DG$550:DG$598,_xlfn.AGGREGATE(15,6,(ROW(DG$550:DG$598)-ROW(DG$550)+1)/(DG$550:DG$598&lt;&gt;""),ROWS(DO$1:DO26))),"")</f>
        <v>23</v>
      </c>
      <c r="DP575" s="165">
        <f>IFERROR(INDEX(DH$550:DH$598,_xlfn.AGGREGATE(15,6,(ROW(DH$550:DH$598)-ROW(DH$550)+1)/(DH$550:DH$598&lt;&gt;""),ROWS(DP$1:DP26))),"")</f>
        <v>320.64082037755475</v>
      </c>
      <c r="DQ575" s="166">
        <f t="shared" si="302"/>
        <v>575</v>
      </c>
      <c r="DR575" s="65"/>
      <c r="DV575" s="145">
        <v>2040</v>
      </c>
      <c r="DW575" s="235">
        <f t="shared" ca="1" si="286"/>
        <v>270.51459281224061</v>
      </c>
    </row>
    <row r="576" spans="1:135" ht="13.8" x14ac:dyDescent="0.45">
      <c r="B576" s="128">
        <v>2038</v>
      </c>
      <c r="C576" s="957">
        <v>256.07495496587808</v>
      </c>
      <c r="D576" s="947">
        <v>340.88000000000017</v>
      </c>
      <c r="E576" s="308"/>
      <c r="F576" s="914"/>
      <c r="G576" s="294"/>
      <c r="H576" s="292"/>
      <c r="I576" s="1112">
        <v>204.78378378378386</v>
      </c>
      <c r="J576" s="294"/>
      <c r="K576" s="292"/>
      <c r="L576" s="293"/>
      <c r="M576" s="292"/>
      <c r="N576" s="29" t="s">
        <v>119</v>
      </c>
      <c r="O576" s="120"/>
      <c r="P576" s="120"/>
      <c r="Q576" s="120"/>
      <c r="R576" s="29">
        <v>24</v>
      </c>
      <c r="S576" s="288">
        <f t="shared" si="287"/>
        <v>204.78378378378386</v>
      </c>
      <c r="T576" s="288">
        <f t="shared" si="288"/>
        <v>340.88000000000017</v>
      </c>
      <c r="U576" s="288">
        <f t="shared" si="289"/>
        <v>56.119772681928239</v>
      </c>
      <c r="W576" s="288">
        <f t="shared" si="290"/>
        <v>211.12647356795912</v>
      </c>
      <c r="X576" s="288">
        <f t="shared" si="291"/>
        <v>267.24624624988735</v>
      </c>
      <c r="Y576" s="288">
        <f t="shared" si="292"/>
        <v>323.36601893181557</v>
      </c>
      <c r="AA576" s="89"/>
      <c r="AB576" s="89"/>
      <c r="AC576" s="89"/>
      <c r="AD576" s="89"/>
      <c r="AE576" s="89"/>
      <c r="AF576" s="89"/>
      <c r="AG576" s="89"/>
      <c r="AH576" s="89"/>
      <c r="AI576" s="89"/>
      <c r="AJ576" s="89"/>
      <c r="AK576" s="89"/>
      <c r="AL576" s="89"/>
      <c r="AM576" s="89"/>
      <c r="AN576" s="89"/>
      <c r="BR576" s="180">
        <v>2036</v>
      </c>
      <c r="BS576" s="22">
        <v>22</v>
      </c>
      <c r="BT576" s="289">
        <f t="shared" si="303"/>
        <v>36.116439904704755</v>
      </c>
      <c r="BU576" s="290">
        <f t="shared" si="304"/>
        <v>230.33436221310069</v>
      </c>
      <c r="BV576" s="205">
        <f t="shared" si="305"/>
        <v>266.45080211780544</v>
      </c>
      <c r="BY576" s="180">
        <v>2036</v>
      </c>
      <c r="BZ576" s="22">
        <v>22</v>
      </c>
      <c r="CA576" s="289">
        <f t="shared" ca="1" si="306"/>
        <v>10.275237976795083</v>
      </c>
      <c r="CB576" s="289">
        <f t="shared" ca="1" si="307"/>
        <v>15.565963951114613</v>
      </c>
      <c r="CC576" s="290">
        <f t="shared" ca="1" si="318"/>
        <v>236.36363408378207</v>
      </c>
      <c r="CD576" s="205">
        <f t="shared" ca="1" si="308"/>
        <v>262.20483601169178</v>
      </c>
      <c r="CG576" s="180">
        <v>2036</v>
      </c>
      <c r="CH576" s="22">
        <v>22</v>
      </c>
      <c r="CI576" s="289">
        <f t="shared" ca="1" si="309"/>
        <v>-10.866767734804823</v>
      </c>
      <c r="CJ576" s="289">
        <f t="shared" ca="1" si="310"/>
        <v>42.875541181209549</v>
      </c>
      <c r="CK576" s="289">
        <f t="shared" ca="1" si="311"/>
        <v>-8.9561098504428749</v>
      </c>
      <c r="CL576" s="290">
        <f t="shared" ca="1" si="312"/>
        <v>239.15217241572992</v>
      </c>
      <c r="CM576" s="205">
        <f t="shared" ca="1" si="313"/>
        <v>262.20483601169178</v>
      </c>
      <c r="CP576" s="180">
        <v>2036</v>
      </c>
      <c r="CQ576" s="22">
        <v>22</v>
      </c>
      <c r="CR576" s="289">
        <f t="shared" ca="1" si="314"/>
        <v>231.98398558817138</v>
      </c>
      <c r="CS576" s="290">
        <f t="shared" ca="1" si="315"/>
        <v>1.1441035008523999</v>
      </c>
      <c r="CT576" s="205">
        <f t="shared" ca="1" si="316"/>
        <v>265.41369005311952</v>
      </c>
      <c r="CZ576" s="164" t="b">
        <f t="shared" si="293"/>
        <v>1</v>
      </c>
      <c r="DA576" s="165" t="b">
        <f t="shared" si="293"/>
        <v>1</v>
      </c>
      <c r="DB576" s="166" t="b">
        <f t="shared" si="293"/>
        <v>1</v>
      </c>
      <c r="DC576" s="164">
        <f t="shared" si="294"/>
        <v>24</v>
      </c>
      <c r="DD576" s="166">
        <f t="shared" si="295"/>
        <v>211.12647356795912</v>
      </c>
      <c r="DE576" s="164">
        <f t="shared" si="296"/>
        <v>24</v>
      </c>
      <c r="DF576" s="166">
        <f t="shared" si="297"/>
        <v>267.24624624988735</v>
      </c>
      <c r="DG576" s="164">
        <f t="shared" si="298"/>
        <v>24</v>
      </c>
      <c r="DH576" s="166">
        <f t="shared" si="299"/>
        <v>323.36601893181557</v>
      </c>
      <c r="DI576" s="164">
        <f>IFERROR(INDEX(DC$550:DC$598,_xlfn.AGGREGATE(15,6,(ROW(DC$550:DC$598)-ROW(DC$550)+1)/(DC$550:DC$598&lt;&gt;""),ROWS(DI$1:DI27))),"")</f>
        <v>24</v>
      </c>
      <c r="DJ576" s="165">
        <f>IFERROR(INDEX(DD$550:DD$598,_xlfn.AGGREGATE(15,6,(ROW(DD$550:DD$598)-ROW(DD$550)+1)/(DD$550:DD$598&lt;&gt;""),ROWS(DJ$1:DJ27))),"")</f>
        <v>211.12647356795912</v>
      </c>
      <c r="DK576" s="166">
        <f t="shared" si="300"/>
        <v>576</v>
      </c>
      <c r="DL576" s="164">
        <f>IFERROR(INDEX(DE$550:DE$598,_xlfn.AGGREGATE(15,6,(ROW(DE$550:DE$598)-ROW(DE$550)+1)/(DE$550:DE$598&lt;&gt;""),ROWS(DL$1:DL27))),"")</f>
        <v>24</v>
      </c>
      <c r="DM576" s="165">
        <f>IFERROR(INDEX(DF$550:DF$598,_xlfn.AGGREGATE(15,6,(ROW(DF$550:DF$598)-ROW(DF$550)+1)/(DF$550:DF$598&lt;&gt;""),ROWS(DM$1:DM27))),"")</f>
        <v>267.24624624988735</v>
      </c>
      <c r="DN576" s="166">
        <f t="shared" si="301"/>
        <v>576</v>
      </c>
      <c r="DO576" s="164">
        <f>IFERROR(INDEX(DG$550:DG$598,_xlfn.AGGREGATE(15,6,(ROW(DG$550:DG$598)-ROW(DG$550)+1)/(DG$550:DG$598&lt;&gt;""),ROWS(DO$1:DO27))),"")</f>
        <v>24</v>
      </c>
      <c r="DP576" s="165">
        <f>IFERROR(INDEX(DH$550:DH$598,_xlfn.AGGREGATE(15,6,(ROW(DH$550:DH$598)-ROW(DH$550)+1)/(DH$550:DH$598&lt;&gt;""),ROWS(DP$1:DP27))),"")</f>
        <v>323.36601893181557</v>
      </c>
      <c r="DQ576" s="166">
        <f t="shared" si="302"/>
        <v>576</v>
      </c>
      <c r="DR576" s="65"/>
      <c r="DV576" s="145">
        <v>2041</v>
      </c>
      <c r="DW576" s="235">
        <f t="shared" ca="1" si="286"/>
        <v>272.65225662069685</v>
      </c>
    </row>
    <row r="577" spans="2:135" ht="13.8" x14ac:dyDescent="0.45">
      <c r="B577" s="128">
        <v>2039</v>
      </c>
      <c r="C577" s="957">
        <v>257.46947391982758</v>
      </c>
      <c r="D577" s="947">
        <v>344.00000000000017</v>
      </c>
      <c r="E577" s="308"/>
      <c r="F577" s="914"/>
      <c r="G577" s="294"/>
      <c r="H577" s="292"/>
      <c r="I577" s="1112">
        <v>206.13513513513522</v>
      </c>
      <c r="J577" s="294"/>
      <c r="K577" s="292"/>
      <c r="L577" s="293"/>
      <c r="M577" s="292"/>
      <c r="N577" s="29" t="s">
        <v>119</v>
      </c>
      <c r="O577" s="120"/>
      <c r="P577" s="120"/>
      <c r="Q577" s="120"/>
      <c r="R577" s="29">
        <v>25</v>
      </c>
      <c r="S577" s="288">
        <f t="shared" si="287"/>
        <v>206.13513513513522</v>
      </c>
      <c r="T577" s="288">
        <f t="shared" si="288"/>
        <v>344.00000000000017</v>
      </c>
      <c r="U577" s="288">
        <f t="shared" si="289"/>
        <v>56.891189755708496</v>
      </c>
      <c r="W577" s="288">
        <f t="shared" si="290"/>
        <v>212.31034659594584</v>
      </c>
      <c r="X577" s="288">
        <f t="shared" si="291"/>
        <v>269.20153635165434</v>
      </c>
      <c r="Y577" s="288">
        <f t="shared" si="292"/>
        <v>326.09272610736286</v>
      </c>
      <c r="AA577" s="89"/>
      <c r="AB577" s="89"/>
      <c r="AC577" s="89"/>
      <c r="AD577" s="89"/>
      <c r="AE577" s="89"/>
      <c r="AF577" s="89"/>
      <c r="AG577" s="89"/>
      <c r="AH577" s="89"/>
      <c r="AI577" s="89"/>
      <c r="AJ577" s="89"/>
      <c r="AK577" s="89"/>
      <c r="AL577" s="89"/>
      <c r="AM577" s="89"/>
      <c r="AN577" s="89"/>
      <c r="BR577" s="180">
        <v>2037</v>
      </c>
      <c r="BS577" s="22">
        <v>23</v>
      </c>
      <c r="BT577" s="289">
        <f t="shared" si="303"/>
        <v>37.758096264009517</v>
      </c>
      <c r="BU577" s="290">
        <f t="shared" si="304"/>
        <v>230.33436221310069</v>
      </c>
      <c r="BV577" s="205">
        <f t="shared" si="305"/>
        <v>268.0924584771102</v>
      </c>
      <c r="BY577" s="180">
        <v>2037</v>
      </c>
      <c r="BZ577" s="22">
        <v>23</v>
      </c>
      <c r="CA577" s="289">
        <f t="shared" ca="1" si="306"/>
        <v>11.230580350670659</v>
      </c>
      <c r="CB577" s="289">
        <f t="shared" ca="1" si="307"/>
        <v>16.273507767074367</v>
      </c>
      <c r="CC577" s="290">
        <f t="shared" ca="1" si="318"/>
        <v>236.36363408378207</v>
      </c>
      <c r="CD577" s="205">
        <f t="shared" ca="1" si="308"/>
        <v>263.8677222015271</v>
      </c>
      <c r="CG577" s="180">
        <v>2037</v>
      </c>
      <c r="CH577" s="22">
        <v>23</v>
      </c>
      <c r="CI577" s="289">
        <f t="shared" ca="1" si="309"/>
        <v>-12.416976242427712</v>
      </c>
      <c r="CJ577" s="289">
        <f t="shared" ca="1" si="310"/>
        <v>46.861903481115391</v>
      </c>
      <c r="CK577" s="289">
        <f t="shared" ca="1" si="311"/>
        <v>-9.363205752735734</v>
      </c>
      <c r="CL577" s="290">
        <f t="shared" ca="1" si="312"/>
        <v>239.15217241572992</v>
      </c>
      <c r="CM577" s="205">
        <f t="shared" ca="1" si="313"/>
        <v>264.23389390168188</v>
      </c>
      <c r="CP577" s="180">
        <v>2037</v>
      </c>
      <c r="CQ577" s="22">
        <v>23</v>
      </c>
      <c r="CR577" s="289">
        <f t="shared" ca="1" si="314"/>
        <v>231.98398558817138</v>
      </c>
      <c r="CS577" s="290">
        <f t="shared" ca="1" si="315"/>
        <v>1.1511259086761179</v>
      </c>
      <c r="CT577" s="205">
        <f t="shared" ca="1" si="316"/>
        <v>267.0427762084912</v>
      </c>
      <c r="CZ577" s="164" t="b">
        <f t="shared" si="293"/>
        <v>1</v>
      </c>
      <c r="DA577" s="165" t="b">
        <f t="shared" si="293"/>
        <v>1</v>
      </c>
      <c r="DB577" s="166" t="b">
        <f t="shared" si="293"/>
        <v>1</v>
      </c>
      <c r="DC577" s="164">
        <f t="shared" si="294"/>
        <v>25</v>
      </c>
      <c r="DD577" s="166">
        <f t="shared" si="295"/>
        <v>212.31034659594584</v>
      </c>
      <c r="DE577" s="164">
        <f t="shared" si="296"/>
        <v>25</v>
      </c>
      <c r="DF577" s="166">
        <f t="shared" si="297"/>
        <v>269.20153635165434</v>
      </c>
      <c r="DG577" s="164">
        <f t="shared" si="298"/>
        <v>25</v>
      </c>
      <c r="DH577" s="166">
        <f t="shared" si="299"/>
        <v>326.09272610736286</v>
      </c>
      <c r="DI577" s="164">
        <f>IFERROR(INDEX(DC$550:DC$598,_xlfn.AGGREGATE(15,6,(ROW(DC$550:DC$598)-ROW(DC$550)+1)/(DC$550:DC$598&lt;&gt;""),ROWS(DI$1:DI28))),"")</f>
        <v>25</v>
      </c>
      <c r="DJ577" s="165">
        <f>IFERROR(INDEX(DD$550:DD$598,_xlfn.AGGREGATE(15,6,(ROW(DD$550:DD$598)-ROW(DD$550)+1)/(DD$550:DD$598&lt;&gt;""),ROWS(DJ$1:DJ28))),"")</f>
        <v>212.31034659594584</v>
      </c>
      <c r="DK577" s="166">
        <f t="shared" si="300"/>
        <v>577</v>
      </c>
      <c r="DL577" s="164">
        <f>IFERROR(INDEX(DE$550:DE$598,_xlfn.AGGREGATE(15,6,(ROW(DE$550:DE$598)-ROW(DE$550)+1)/(DE$550:DE$598&lt;&gt;""),ROWS(DL$1:DL28))),"")</f>
        <v>25</v>
      </c>
      <c r="DM577" s="165">
        <f>IFERROR(INDEX(DF$550:DF$598,_xlfn.AGGREGATE(15,6,(ROW(DF$550:DF$598)-ROW(DF$550)+1)/(DF$550:DF$598&lt;&gt;""),ROWS(DM$1:DM28))),"")</f>
        <v>269.20153635165434</v>
      </c>
      <c r="DN577" s="166">
        <f t="shared" si="301"/>
        <v>577</v>
      </c>
      <c r="DO577" s="164">
        <f>IFERROR(INDEX(DG$550:DG$598,_xlfn.AGGREGATE(15,6,(ROW(DG$550:DG$598)-ROW(DG$550)+1)/(DG$550:DG$598&lt;&gt;""),ROWS(DO$1:DO28))),"")</f>
        <v>25</v>
      </c>
      <c r="DP577" s="165">
        <f>IFERROR(INDEX(DH$550:DH$598,_xlfn.AGGREGATE(15,6,(ROW(DH$550:DH$598)-ROW(DH$550)+1)/(DH$550:DH$598&lt;&gt;""),ROWS(DP$1:DP28))),"")</f>
        <v>326.09272610736286</v>
      </c>
      <c r="DQ577" s="166">
        <f t="shared" si="302"/>
        <v>577</v>
      </c>
      <c r="DR577" s="65"/>
      <c r="DV577" s="145">
        <v>2042</v>
      </c>
      <c r="DW577" s="235">
        <f t="shared" ca="1" si="286"/>
        <v>274.80176372732507</v>
      </c>
    </row>
    <row r="578" spans="2:135" ht="13.8" x14ac:dyDescent="0.45">
      <c r="B578" s="128">
        <v>2040</v>
      </c>
      <c r="C578" s="957">
        <v>258.86399287377708</v>
      </c>
      <c r="D578" s="947">
        <v>347.12000000000018</v>
      </c>
      <c r="E578" s="308"/>
      <c r="F578" s="914"/>
      <c r="G578" s="294"/>
      <c r="H578" s="292"/>
      <c r="I578" s="1112">
        <v>207.48648648648657</v>
      </c>
      <c r="J578" s="294"/>
      <c r="K578" s="292"/>
      <c r="L578" s="293"/>
      <c r="M578" s="292"/>
      <c r="N578" s="29" t="s">
        <v>119</v>
      </c>
      <c r="O578" s="120"/>
      <c r="P578" s="120"/>
      <c r="Q578" s="120"/>
      <c r="R578" s="29">
        <v>26</v>
      </c>
      <c r="S578" s="288">
        <f t="shared" si="287"/>
        <v>207.48648648648657</v>
      </c>
      <c r="T578" s="288">
        <f t="shared" si="288"/>
        <v>347.12000000000018</v>
      </c>
      <c r="U578" s="288">
        <f t="shared" si="289"/>
        <v>57.664054904794824</v>
      </c>
      <c r="W578" s="288">
        <f t="shared" si="290"/>
        <v>213.49277154862645</v>
      </c>
      <c r="X578" s="288">
        <f t="shared" si="291"/>
        <v>271.15682645342127</v>
      </c>
      <c r="Y578" s="288">
        <f t="shared" si="292"/>
        <v>328.82088135821607</v>
      </c>
      <c r="AA578" s="89"/>
      <c r="AB578" s="89"/>
      <c r="AC578" s="89"/>
      <c r="AD578" s="89"/>
      <c r="AE578" s="89"/>
      <c r="AF578" s="89"/>
      <c r="AG578" s="89"/>
      <c r="AH578" s="89"/>
      <c r="AI578" s="89"/>
      <c r="AJ578" s="89"/>
      <c r="AK578" s="89"/>
      <c r="AL578" s="89"/>
      <c r="AM578" s="89"/>
      <c r="AN578" s="89"/>
      <c r="BR578" s="180">
        <v>2038</v>
      </c>
      <c r="BS578" s="22">
        <v>24</v>
      </c>
      <c r="BT578" s="289">
        <f t="shared" si="303"/>
        <v>39.399752623314285</v>
      </c>
      <c r="BU578" s="290">
        <f t="shared" si="304"/>
        <v>230.33436221310069</v>
      </c>
      <c r="BV578" s="205">
        <f t="shared" si="305"/>
        <v>269.73411483641496</v>
      </c>
      <c r="BY578" s="180">
        <v>2038</v>
      </c>
      <c r="BZ578" s="22">
        <v>24</v>
      </c>
      <c r="CA578" s="289">
        <f t="shared" ca="1" si="306"/>
        <v>12.22838238560737</v>
      </c>
      <c r="CB578" s="289">
        <f t="shared" ca="1" si="307"/>
        <v>16.981051583034123</v>
      </c>
      <c r="CC578" s="290">
        <f t="shared" ca="1" si="318"/>
        <v>236.36363408378207</v>
      </c>
      <c r="CD578" s="205">
        <f t="shared" ca="1" si="308"/>
        <v>265.57306805242354</v>
      </c>
      <c r="CG578" s="180">
        <v>2038</v>
      </c>
      <c r="CH578" s="22">
        <v>24</v>
      </c>
      <c r="CI578" s="289">
        <f t="shared" ca="1" si="309"/>
        <v>-14.108020019340897</v>
      </c>
      <c r="CJ578" s="289">
        <f t="shared" ca="1" si="310"/>
        <v>51.025437438794832</v>
      </c>
      <c r="CK578" s="289">
        <f t="shared" ca="1" si="311"/>
        <v>-9.7703016550285913</v>
      </c>
      <c r="CL578" s="290">
        <f t="shared" ca="1" si="312"/>
        <v>239.15217241572992</v>
      </c>
      <c r="CM578" s="205">
        <f t="shared" ca="1" si="313"/>
        <v>266.29928818015526</v>
      </c>
      <c r="CP578" s="180">
        <v>2038</v>
      </c>
      <c r="CQ578" s="22">
        <v>24</v>
      </c>
      <c r="CR578" s="289">
        <f t="shared" ca="1" si="314"/>
        <v>231.98398558817138</v>
      </c>
      <c r="CS578" s="290">
        <f t="shared" ca="1" si="315"/>
        <v>1.1581914194285534</v>
      </c>
      <c r="CT578" s="205">
        <f t="shared" ca="1" si="316"/>
        <v>268.68186155305727</v>
      </c>
      <c r="CZ578" s="164" t="b">
        <f t="shared" si="293"/>
        <v>1</v>
      </c>
      <c r="DA578" s="165" t="b">
        <f t="shared" si="293"/>
        <v>1</v>
      </c>
      <c r="DB578" s="166" t="b">
        <f t="shared" si="293"/>
        <v>1</v>
      </c>
      <c r="DC578" s="164">
        <f t="shared" si="294"/>
        <v>26</v>
      </c>
      <c r="DD578" s="166">
        <f t="shared" si="295"/>
        <v>213.49277154862645</v>
      </c>
      <c r="DE578" s="164">
        <f t="shared" si="296"/>
        <v>26</v>
      </c>
      <c r="DF578" s="166">
        <f t="shared" si="297"/>
        <v>271.15682645342127</v>
      </c>
      <c r="DG578" s="164">
        <f t="shared" si="298"/>
        <v>26</v>
      </c>
      <c r="DH578" s="166">
        <f t="shared" si="299"/>
        <v>328.82088135821607</v>
      </c>
      <c r="DI578" s="164">
        <f>IFERROR(INDEX(DC$550:DC$598,_xlfn.AGGREGATE(15,6,(ROW(DC$550:DC$598)-ROW(DC$550)+1)/(DC$550:DC$598&lt;&gt;""),ROWS(DI$1:DI29))),"")</f>
        <v>26</v>
      </c>
      <c r="DJ578" s="165">
        <f>IFERROR(INDEX(DD$550:DD$598,_xlfn.AGGREGATE(15,6,(ROW(DD$550:DD$598)-ROW(DD$550)+1)/(DD$550:DD$598&lt;&gt;""),ROWS(DJ$1:DJ29))),"")</f>
        <v>213.49277154862645</v>
      </c>
      <c r="DK578" s="166">
        <f t="shared" si="300"/>
        <v>578</v>
      </c>
      <c r="DL578" s="164">
        <f>IFERROR(INDEX(DE$550:DE$598,_xlfn.AGGREGATE(15,6,(ROW(DE$550:DE$598)-ROW(DE$550)+1)/(DE$550:DE$598&lt;&gt;""),ROWS(DL$1:DL29))),"")</f>
        <v>26</v>
      </c>
      <c r="DM578" s="165">
        <f>IFERROR(INDEX(DF$550:DF$598,_xlfn.AGGREGATE(15,6,(ROW(DF$550:DF$598)-ROW(DF$550)+1)/(DF$550:DF$598&lt;&gt;""),ROWS(DM$1:DM29))),"")</f>
        <v>271.15682645342127</v>
      </c>
      <c r="DN578" s="166">
        <f t="shared" si="301"/>
        <v>578</v>
      </c>
      <c r="DO578" s="164">
        <f>IFERROR(INDEX(DG$550:DG$598,_xlfn.AGGREGATE(15,6,(ROW(DG$550:DG$598)-ROW(DG$550)+1)/(DG$550:DG$598&lt;&gt;""),ROWS(DO$1:DO29))),"")</f>
        <v>26</v>
      </c>
      <c r="DP578" s="165">
        <f>IFERROR(INDEX(DH$550:DH$598,_xlfn.AGGREGATE(15,6,(ROW(DH$550:DH$598)-ROW(DH$550)+1)/(DH$550:DH$598&lt;&gt;""),ROWS(DP$1:DP29))),"")</f>
        <v>328.82088135821607</v>
      </c>
      <c r="DQ578" s="166">
        <f t="shared" si="302"/>
        <v>578</v>
      </c>
      <c r="DR578" s="65"/>
      <c r="DV578" s="145">
        <v>2043</v>
      </c>
      <c r="DW578" s="235">
        <f t="shared" ca="1" si="286"/>
        <v>276.95699085954737</v>
      </c>
      <c r="EA578" s="55"/>
      <c r="EB578" s="55"/>
      <c r="EC578" s="55"/>
      <c r="ED578" s="55"/>
      <c r="EE578" s="55"/>
    </row>
    <row r="579" spans="2:135" ht="13.8" x14ac:dyDescent="0.45">
      <c r="B579" s="128">
        <v>2041</v>
      </c>
      <c r="C579" s="957">
        <v>260.25851182772658</v>
      </c>
      <c r="D579" s="947">
        <v>350.24000000000018</v>
      </c>
      <c r="E579" s="308"/>
      <c r="F579" s="914"/>
      <c r="G579" s="294"/>
      <c r="H579" s="292"/>
      <c r="I579" s="1112">
        <v>208.83783783783792</v>
      </c>
      <c r="J579" s="294"/>
      <c r="K579" s="292"/>
      <c r="L579" s="293"/>
      <c r="M579" s="292"/>
      <c r="N579" s="29" t="s">
        <v>119</v>
      </c>
      <c r="O579" s="120"/>
      <c r="P579" s="120"/>
      <c r="Q579" s="120"/>
      <c r="R579" s="29">
        <v>27</v>
      </c>
      <c r="S579" s="288">
        <f t="shared" si="287"/>
        <v>208.83783783783792</v>
      </c>
      <c r="T579" s="288">
        <f t="shared" si="288"/>
        <v>350.24000000000018</v>
      </c>
      <c r="U579" s="288">
        <f t="shared" si="289"/>
        <v>58.438310675452016</v>
      </c>
      <c r="W579" s="288">
        <f t="shared" si="290"/>
        <v>214.67380587973625</v>
      </c>
      <c r="X579" s="288">
        <f t="shared" si="291"/>
        <v>273.11211655518827</v>
      </c>
      <c r="Y579" s="288">
        <f t="shared" si="292"/>
        <v>331.55042723064025</v>
      </c>
      <c r="AA579" s="89"/>
      <c r="AB579" s="89"/>
      <c r="AC579" s="89"/>
      <c r="AD579" s="89"/>
      <c r="AE579" s="89"/>
      <c r="AF579" s="89"/>
      <c r="AG579" s="89"/>
      <c r="AH579" s="89"/>
      <c r="AI579" s="89"/>
      <c r="AJ579" s="89"/>
      <c r="AK579" s="89"/>
      <c r="AL579" s="89"/>
      <c r="AM579" s="89"/>
      <c r="AN579" s="89"/>
      <c r="BR579" s="180">
        <v>2039</v>
      </c>
      <c r="BS579" s="22">
        <v>25</v>
      </c>
      <c r="BT579" s="289">
        <f t="shared" si="303"/>
        <v>41.041408982619046</v>
      </c>
      <c r="BU579" s="290">
        <f t="shared" si="304"/>
        <v>230.33436221310069</v>
      </c>
      <c r="BV579" s="205">
        <f t="shared" si="305"/>
        <v>271.37577119571972</v>
      </c>
      <c r="BY579" s="180">
        <v>2039</v>
      </c>
      <c r="BZ579" s="22">
        <v>25</v>
      </c>
      <c r="CA579" s="289">
        <f t="shared" ca="1" si="306"/>
        <v>13.268644081605219</v>
      </c>
      <c r="CB579" s="289">
        <f t="shared" ca="1" si="307"/>
        <v>17.688595398993879</v>
      </c>
      <c r="CC579" s="290">
        <f t="shared" ca="1" si="318"/>
        <v>236.36363408378207</v>
      </c>
      <c r="CD579" s="205">
        <f t="shared" ca="1" si="308"/>
        <v>267.32087356438115</v>
      </c>
      <c r="CG579" s="180">
        <v>2039</v>
      </c>
      <c r="CH579" s="22">
        <v>25</v>
      </c>
      <c r="CI579" s="289">
        <f t="shared" ca="1" si="309"/>
        <v>-15.946022338122216</v>
      </c>
      <c r="CJ579" s="289">
        <f t="shared" ca="1" si="310"/>
        <v>55.366143054247864</v>
      </c>
      <c r="CK579" s="289">
        <f t="shared" ca="1" si="311"/>
        <v>-10.177397557321449</v>
      </c>
      <c r="CL579" s="290">
        <f t="shared" ca="1" si="312"/>
        <v>239.15217241572992</v>
      </c>
      <c r="CM579" s="205">
        <f t="shared" ca="1" si="313"/>
        <v>268.39489557453413</v>
      </c>
      <c r="CP579" s="180">
        <v>2039</v>
      </c>
      <c r="CQ579" s="22">
        <v>25</v>
      </c>
      <c r="CR579" s="289">
        <f t="shared" ca="1" si="314"/>
        <v>231.98398558817138</v>
      </c>
      <c r="CS579" s="290">
        <f t="shared" ca="1" si="315"/>
        <v>1.1653002976717355</v>
      </c>
      <c r="CT579" s="205">
        <f t="shared" ca="1" si="316"/>
        <v>270.3310074609717</v>
      </c>
      <c r="CZ579" s="164" t="b">
        <f t="shared" si="293"/>
        <v>1</v>
      </c>
      <c r="DA579" s="165" t="b">
        <f t="shared" si="293"/>
        <v>1</v>
      </c>
      <c r="DB579" s="166" t="b">
        <f t="shared" si="293"/>
        <v>1</v>
      </c>
      <c r="DC579" s="164">
        <f t="shared" si="294"/>
        <v>27</v>
      </c>
      <c r="DD579" s="166">
        <f t="shared" si="295"/>
        <v>214.67380587973625</v>
      </c>
      <c r="DE579" s="164">
        <f t="shared" si="296"/>
        <v>27</v>
      </c>
      <c r="DF579" s="166">
        <f t="shared" si="297"/>
        <v>273.11211655518827</v>
      </c>
      <c r="DG579" s="164">
        <f t="shared" si="298"/>
        <v>27</v>
      </c>
      <c r="DH579" s="166">
        <f t="shared" si="299"/>
        <v>331.55042723064025</v>
      </c>
      <c r="DI579" s="164">
        <f>IFERROR(INDEX(DC$550:DC$598,_xlfn.AGGREGATE(15,6,(ROW(DC$550:DC$598)-ROW(DC$550)+1)/(DC$550:DC$598&lt;&gt;""),ROWS(DI$1:DI30))),"")</f>
        <v>27</v>
      </c>
      <c r="DJ579" s="165">
        <f>IFERROR(INDEX(DD$550:DD$598,_xlfn.AGGREGATE(15,6,(ROW(DD$550:DD$598)-ROW(DD$550)+1)/(DD$550:DD$598&lt;&gt;""),ROWS(DJ$1:DJ30))),"")</f>
        <v>214.67380587973625</v>
      </c>
      <c r="DK579" s="166">
        <f t="shared" si="300"/>
        <v>579</v>
      </c>
      <c r="DL579" s="164">
        <f>IFERROR(INDEX(DE$550:DE$598,_xlfn.AGGREGATE(15,6,(ROW(DE$550:DE$598)-ROW(DE$550)+1)/(DE$550:DE$598&lt;&gt;""),ROWS(DL$1:DL30))),"")</f>
        <v>27</v>
      </c>
      <c r="DM579" s="165">
        <f>IFERROR(INDEX(DF$550:DF$598,_xlfn.AGGREGATE(15,6,(ROW(DF$550:DF$598)-ROW(DF$550)+1)/(DF$550:DF$598&lt;&gt;""),ROWS(DM$1:DM30))),"")</f>
        <v>273.11211655518827</v>
      </c>
      <c r="DN579" s="166">
        <f t="shared" si="301"/>
        <v>579</v>
      </c>
      <c r="DO579" s="164">
        <f>IFERROR(INDEX(DG$550:DG$598,_xlfn.AGGREGATE(15,6,(ROW(DG$550:DG$598)-ROW(DG$550)+1)/(DG$550:DG$598&lt;&gt;""),ROWS(DO$1:DO30))),"")</f>
        <v>27</v>
      </c>
      <c r="DP579" s="165">
        <f>IFERROR(INDEX(DH$550:DH$598,_xlfn.AGGREGATE(15,6,(ROW(DH$550:DH$598)-ROW(DH$550)+1)/(DH$550:DH$598&lt;&gt;""),ROWS(DP$1:DP30))),"")</f>
        <v>331.55042723064025</v>
      </c>
      <c r="DQ579" s="166">
        <f t="shared" si="302"/>
        <v>579</v>
      </c>
      <c r="DR579" s="65"/>
      <c r="DV579" s="145">
        <v>2044</v>
      </c>
      <c r="DW579" s="235">
        <f t="shared" ca="1" si="286"/>
        <v>279.11181474478593</v>
      </c>
      <c r="EA579" s="55"/>
      <c r="EB579" s="55"/>
      <c r="EC579" s="55"/>
      <c r="ED579" s="55"/>
      <c r="EE579" s="55"/>
    </row>
    <row r="580" spans="2:135" ht="13.8" x14ac:dyDescent="0.45">
      <c r="B580" s="128">
        <v>2042</v>
      </c>
      <c r="C580" s="957">
        <v>261.65303078167608</v>
      </c>
      <c r="D580" s="947">
        <v>353.36000000000018</v>
      </c>
      <c r="E580" s="308"/>
      <c r="F580" s="914"/>
      <c r="G580" s="294"/>
      <c r="H580" s="292"/>
      <c r="I580" s="1112">
        <v>210.18918918918928</v>
      </c>
      <c r="J580" s="294"/>
      <c r="K580" s="292"/>
      <c r="L580" s="293"/>
      <c r="M580" s="292"/>
      <c r="N580" s="29" t="s">
        <v>119</v>
      </c>
      <c r="O580" s="120"/>
      <c r="P580" s="120"/>
      <c r="Q580" s="120"/>
      <c r="R580" s="29">
        <v>28</v>
      </c>
      <c r="S580" s="288">
        <f t="shared" si="287"/>
        <v>210.18918918918928</v>
      </c>
      <c r="T580" s="288">
        <f t="shared" si="288"/>
        <v>353.36000000000018</v>
      </c>
      <c r="U580" s="288">
        <f t="shared" si="289"/>
        <v>59.213902518179651</v>
      </c>
      <c r="W580" s="288">
        <f t="shared" si="290"/>
        <v>215.85350413877549</v>
      </c>
      <c r="X580" s="288">
        <f t="shared" si="291"/>
        <v>275.06740665695514</v>
      </c>
      <c r="Y580" s="288">
        <f t="shared" si="292"/>
        <v>334.28130917513477</v>
      </c>
      <c r="AA580" s="89"/>
      <c r="AB580" s="89"/>
      <c r="AC580" s="89"/>
      <c r="AD580" s="89"/>
      <c r="AE580" s="89"/>
      <c r="AF580" s="89"/>
      <c r="AG580" s="89"/>
      <c r="AH580" s="89"/>
      <c r="AI580" s="89"/>
      <c r="AJ580" s="89"/>
      <c r="AK580" s="89"/>
      <c r="AL580" s="89"/>
      <c r="AM580" s="89"/>
      <c r="AN580" s="89"/>
      <c r="BR580" s="180">
        <v>2040</v>
      </c>
      <c r="BS580" s="22">
        <v>26</v>
      </c>
      <c r="BT580" s="289">
        <f t="shared" si="303"/>
        <v>42.683065341923808</v>
      </c>
      <c r="BU580" s="290">
        <f t="shared" si="304"/>
        <v>230.33436221310069</v>
      </c>
      <c r="BV580" s="205">
        <f t="shared" si="305"/>
        <v>273.01742755502448</v>
      </c>
      <c r="BY580" s="180">
        <v>2040</v>
      </c>
      <c r="BZ580" s="22">
        <v>26</v>
      </c>
      <c r="CA580" s="289">
        <f t="shared" ca="1" si="306"/>
        <v>14.351365438664205</v>
      </c>
      <c r="CB580" s="289">
        <f t="shared" ca="1" si="307"/>
        <v>18.396139214953635</v>
      </c>
      <c r="CC580" s="290">
        <f t="shared" ca="1" si="318"/>
        <v>236.36363408378207</v>
      </c>
      <c r="CD580" s="205">
        <f t="shared" ca="1" si="308"/>
        <v>269.11113873739993</v>
      </c>
      <c r="CG580" s="180">
        <v>2040</v>
      </c>
      <c r="CH580" s="22">
        <v>26</v>
      </c>
      <c r="CI580" s="289">
        <f t="shared" ca="1" si="309"/>
        <v>-17.937106471349509</v>
      </c>
      <c r="CJ580" s="289">
        <f t="shared" ca="1" si="310"/>
        <v>59.884020327474495</v>
      </c>
      <c r="CK580" s="289">
        <f t="shared" ca="1" si="311"/>
        <v>-10.584493459614308</v>
      </c>
      <c r="CL580" s="290">
        <f t="shared" ca="1" si="312"/>
        <v>239.15217241572992</v>
      </c>
      <c r="CM580" s="205">
        <f t="shared" ca="1" si="313"/>
        <v>270.51459281224061</v>
      </c>
      <c r="CP580" s="180">
        <v>2040</v>
      </c>
      <c r="CQ580" s="22">
        <v>26</v>
      </c>
      <c r="CR580" s="289">
        <f t="shared" ca="1" si="314"/>
        <v>231.98398558817138</v>
      </c>
      <c r="CS580" s="290">
        <f t="shared" ca="1" si="315"/>
        <v>1.1724528095915521</v>
      </c>
      <c r="CT580" s="205">
        <f t="shared" ca="1" si="316"/>
        <v>271.99027568309765</v>
      </c>
      <c r="CZ580" s="164" t="b">
        <f t="shared" si="293"/>
        <v>1</v>
      </c>
      <c r="DA580" s="165" t="b">
        <f t="shared" si="293"/>
        <v>1</v>
      </c>
      <c r="DB580" s="166" t="b">
        <f t="shared" si="293"/>
        <v>1</v>
      </c>
      <c r="DC580" s="164">
        <f t="shared" si="294"/>
        <v>28</v>
      </c>
      <c r="DD580" s="166">
        <f t="shared" si="295"/>
        <v>215.85350413877549</v>
      </c>
      <c r="DE580" s="164">
        <f t="shared" si="296"/>
        <v>28</v>
      </c>
      <c r="DF580" s="166">
        <f t="shared" si="297"/>
        <v>275.06740665695514</v>
      </c>
      <c r="DG580" s="164">
        <f t="shared" si="298"/>
        <v>28</v>
      </c>
      <c r="DH580" s="166">
        <f t="shared" si="299"/>
        <v>334.28130917513477</v>
      </c>
      <c r="DI580" s="164">
        <f>IFERROR(INDEX(DC$550:DC$598,_xlfn.AGGREGATE(15,6,(ROW(DC$550:DC$598)-ROW(DC$550)+1)/(DC$550:DC$598&lt;&gt;""),ROWS(DI$1:DI31))),"")</f>
        <v>28</v>
      </c>
      <c r="DJ580" s="165">
        <f>IFERROR(INDEX(DD$550:DD$598,_xlfn.AGGREGATE(15,6,(ROW(DD$550:DD$598)-ROW(DD$550)+1)/(DD$550:DD$598&lt;&gt;""),ROWS(DJ$1:DJ31))),"")</f>
        <v>215.85350413877549</v>
      </c>
      <c r="DK580" s="166">
        <f t="shared" si="300"/>
        <v>580</v>
      </c>
      <c r="DL580" s="164">
        <f>IFERROR(INDEX(DE$550:DE$598,_xlfn.AGGREGATE(15,6,(ROW(DE$550:DE$598)-ROW(DE$550)+1)/(DE$550:DE$598&lt;&gt;""),ROWS(DL$1:DL31))),"")</f>
        <v>28</v>
      </c>
      <c r="DM580" s="165">
        <f>IFERROR(INDEX(DF$550:DF$598,_xlfn.AGGREGATE(15,6,(ROW(DF$550:DF$598)-ROW(DF$550)+1)/(DF$550:DF$598&lt;&gt;""),ROWS(DM$1:DM31))),"")</f>
        <v>275.06740665695514</v>
      </c>
      <c r="DN580" s="166">
        <f t="shared" si="301"/>
        <v>580</v>
      </c>
      <c r="DO580" s="164">
        <f>IFERROR(INDEX(DG$550:DG$598,_xlfn.AGGREGATE(15,6,(ROW(DG$550:DG$598)-ROW(DG$550)+1)/(DG$550:DG$598&lt;&gt;""),ROWS(DO$1:DO31))),"")</f>
        <v>28</v>
      </c>
      <c r="DP580" s="165">
        <f>IFERROR(INDEX(DH$550:DH$598,_xlfn.AGGREGATE(15,6,(ROW(DH$550:DH$598)-ROW(DH$550)+1)/(DH$550:DH$598&lt;&gt;""),ROWS(DP$1:DP31))),"")</f>
        <v>334.28130917513477</v>
      </c>
      <c r="DQ580" s="166">
        <f t="shared" si="302"/>
        <v>580</v>
      </c>
      <c r="DR580" s="65"/>
      <c r="DV580" s="145">
        <v>2045</v>
      </c>
      <c r="DW580" s="235">
        <f t="shared" ca="1" si="286"/>
        <v>281.2601121104629</v>
      </c>
      <c r="EA580" s="55"/>
      <c r="EB580" s="55"/>
      <c r="EC580" s="55"/>
      <c r="ED580" s="55"/>
      <c r="EE580" s="55"/>
    </row>
    <row r="581" spans="2:135" ht="13.8" x14ac:dyDescent="0.45">
      <c r="B581" s="128">
        <v>2043</v>
      </c>
      <c r="C581" s="957">
        <v>263.04754973562558</v>
      </c>
      <c r="D581" s="947">
        <v>356.48000000000019</v>
      </c>
      <c r="E581" s="308"/>
      <c r="F581" s="914"/>
      <c r="G581" s="294"/>
      <c r="H581" s="292"/>
      <c r="I581" s="1112">
        <v>211.54054054054063</v>
      </c>
      <c r="J581" s="294"/>
      <c r="K581" s="292"/>
      <c r="L581" s="293"/>
      <c r="M581" s="292"/>
      <c r="N581" s="29" t="s">
        <v>119</v>
      </c>
      <c r="O581" s="120"/>
      <c r="P581" s="120"/>
      <c r="Q581" s="120"/>
      <c r="R581" s="29">
        <v>29</v>
      </c>
      <c r="S581" s="288">
        <f t="shared" si="287"/>
        <v>211.54054054054063</v>
      </c>
      <c r="T581" s="288">
        <f t="shared" si="288"/>
        <v>356.48000000000019</v>
      </c>
      <c r="U581" s="288">
        <f t="shared" si="289"/>
        <v>59.990778612705462</v>
      </c>
      <c r="W581" s="288">
        <f t="shared" si="290"/>
        <v>217.03191814601666</v>
      </c>
      <c r="X581" s="288">
        <f t="shared" si="291"/>
        <v>277.02269675872213</v>
      </c>
      <c r="Y581" s="288">
        <f t="shared" si="292"/>
        <v>337.0134753714276</v>
      </c>
      <c r="AA581" s="89"/>
      <c r="AB581" s="89"/>
      <c r="AC581" s="89"/>
      <c r="AD581" s="89"/>
      <c r="AE581" s="89"/>
      <c r="AF581" s="89"/>
      <c r="AG581" s="89"/>
      <c r="AH581" s="89"/>
      <c r="AI581" s="89"/>
      <c r="AJ581" s="89"/>
      <c r="AK581" s="89"/>
      <c r="AL581" s="89"/>
      <c r="AM581" s="89"/>
      <c r="AN581" s="89"/>
      <c r="BR581" s="180">
        <v>2041</v>
      </c>
      <c r="BS581" s="22">
        <v>27</v>
      </c>
      <c r="BT581" s="289">
        <f t="shared" si="303"/>
        <v>44.324721701228569</v>
      </c>
      <c r="BU581" s="290">
        <f t="shared" si="304"/>
        <v>230.33436221310069</v>
      </c>
      <c r="BV581" s="205">
        <f t="shared" si="305"/>
        <v>274.65908391432924</v>
      </c>
      <c r="BY581" s="180">
        <v>2041</v>
      </c>
      <c r="BZ581" s="22">
        <v>27</v>
      </c>
      <c r="CA581" s="289">
        <f t="shared" ca="1" si="306"/>
        <v>15.476546456784328</v>
      </c>
      <c r="CB581" s="289">
        <f t="shared" ca="1" si="307"/>
        <v>19.103683030913388</v>
      </c>
      <c r="CC581" s="290">
        <f t="shared" ca="1" si="318"/>
        <v>236.36363408378207</v>
      </c>
      <c r="CD581" s="205">
        <f t="shared" ca="1" si="308"/>
        <v>270.94386357147977</v>
      </c>
      <c r="CG581" s="180">
        <v>2041</v>
      </c>
      <c r="CH581" s="22">
        <v>27</v>
      </c>
      <c r="CI581" s="289">
        <f t="shared" ca="1" si="309"/>
        <v>-20.087395691600612</v>
      </c>
      <c r="CJ581" s="289">
        <f t="shared" ca="1" si="310"/>
        <v>64.579069258474718</v>
      </c>
      <c r="CK581" s="289">
        <f t="shared" ca="1" si="311"/>
        <v>-10.991589361907165</v>
      </c>
      <c r="CL581" s="290">
        <f t="shared" ca="1" si="312"/>
        <v>239.15217241572992</v>
      </c>
      <c r="CM581" s="205">
        <f t="shared" ca="1" si="313"/>
        <v>272.65225662069685</v>
      </c>
      <c r="CP581" s="180">
        <v>2041</v>
      </c>
      <c r="CQ581" s="22">
        <v>27</v>
      </c>
      <c r="CR581" s="289">
        <f t="shared" ca="1" si="314"/>
        <v>231.98398558817138</v>
      </c>
      <c r="CS581" s="290">
        <f t="shared" ca="1" si="315"/>
        <v>1.1796492230077174</v>
      </c>
      <c r="CT581" s="205">
        <f t="shared" ca="1" si="316"/>
        <v>273.65972834931989</v>
      </c>
      <c r="CZ581" s="164" t="b">
        <f t="shared" si="293"/>
        <v>1</v>
      </c>
      <c r="DA581" s="165" t="b">
        <f t="shared" si="293"/>
        <v>1</v>
      </c>
      <c r="DB581" s="166" t="b">
        <f t="shared" si="293"/>
        <v>1</v>
      </c>
      <c r="DC581" s="164">
        <f t="shared" si="294"/>
        <v>29</v>
      </c>
      <c r="DD581" s="166">
        <f t="shared" si="295"/>
        <v>217.03191814601666</v>
      </c>
      <c r="DE581" s="164">
        <f t="shared" si="296"/>
        <v>29</v>
      </c>
      <c r="DF581" s="166">
        <f t="shared" si="297"/>
        <v>277.02269675872213</v>
      </c>
      <c r="DG581" s="164">
        <f t="shared" si="298"/>
        <v>29</v>
      </c>
      <c r="DH581" s="166">
        <f t="shared" si="299"/>
        <v>337.0134753714276</v>
      </c>
      <c r="DI581" s="164">
        <f>IFERROR(INDEX(DC$550:DC$598,_xlfn.AGGREGATE(15,6,(ROW(DC$550:DC$598)-ROW(DC$550)+1)/(DC$550:DC$598&lt;&gt;""),ROWS(DI$1:DI32))),"")</f>
        <v>29</v>
      </c>
      <c r="DJ581" s="165">
        <f>IFERROR(INDEX(DD$550:DD$598,_xlfn.AGGREGATE(15,6,(ROW(DD$550:DD$598)-ROW(DD$550)+1)/(DD$550:DD$598&lt;&gt;""),ROWS(DJ$1:DJ32))),"")</f>
        <v>217.03191814601666</v>
      </c>
      <c r="DK581" s="166">
        <f t="shared" si="300"/>
        <v>581</v>
      </c>
      <c r="DL581" s="164">
        <f>IFERROR(INDEX(DE$550:DE$598,_xlfn.AGGREGATE(15,6,(ROW(DE$550:DE$598)-ROW(DE$550)+1)/(DE$550:DE$598&lt;&gt;""),ROWS(DL$1:DL32))),"")</f>
        <v>29</v>
      </c>
      <c r="DM581" s="165">
        <f>IFERROR(INDEX(DF$550:DF$598,_xlfn.AGGREGATE(15,6,(ROW(DF$550:DF$598)-ROW(DF$550)+1)/(DF$550:DF$598&lt;&gt;""),ROWS(DM$1:DM32))),"")</f>
        <v>277.02269675872213</v>
      </c>
      <c r="DN581" s="166">
        <f t="shared" si="301"/>
        <v>581</v>
      </c>
      <c r="DO581" s="164">
        <f>IFERROR(INDEX(DG$550:DG$598,_xlfn.AGGREGATE(15,6,(ROW(DG$550:DG$598)-ROW(DG$550)+1)/(DG$550:DG$598&lt;&gt;""),ROWS(DO$1:DO32))),"")</f>
        <v>29</v>
      </c>
      <c r="DP581" s="165">
        <f>IFERROR(INDEX(DH$550:DH$598,_xlfn.AGGREGATE(15,6,(ROW(DH$550:DH$598)-ROW(DH$550)+1)/(DH$550:DH$598&lt;&gt;""),ROWS(DP$1:DP32))),"")</f>
        <v>337.0134753714276</v>
      </c>
      <c r="DQ581" s="166">
        <f t="shared" si="302"/>
        <v>581</v>
      </c>
      <c r="DR581" s="65"/>
      <c r="DV581" s="145">
        <v>2046</v>
      </c>
      <c r="DW581" s="235">
        <f t="shared" ca="1" si="286"/>
        <v>283.3957596840005</v>
      </c>
      <c r="EA581" s="55"/>
      <c r="EB581" s="55"/>
      <c r="EC581" s="55"/>
      <c r="ED581" s="55"/>
      <c r="EE581" s="55"/>
    </row>
    <row r="582" spans="2:135" ht="13.8" x14ac:dyDescent="0.45">
      <c r="B582" s="128">
        <v>2044</v>
      </c>
      <c r="C582" s="957">
        <v>264.44206868957508</v>
      </c>
      <c r="D582" s="947">
        <v>359.60000000000019</v>
      </c>
      <c r="E582" s="308"/>
      <c r="F582" s="914"/>
      <c r="G582" s="294"/>
      <c r="H582" s="292"/>
      <c r="I582" s="1112">
        <v>212.89189189189199</v>
      </c>
      <c r="J582" s="294"/>
      <c r="K582" s="292"/>
      <c r="L582" s="293"/>
      <c r="M582" s="292"/>
      <c r="N582" s="29" t="s">
        <v>119</v>
      </c>
      <c r="O582" s="120"/>
      <c r="P582" s="120"/>
      <c r="Q582" s="120"/>
      <c r="R582" s="29">
        <v>30</v>
      </c>
      <c r="S582" s="288">
        <f t="shared" si="287"/>
        <v>212.89189189189199</v>
      </c>
      <c r="T582" s="288">
        <f t="shared" si="288"/>
        <v>359.60000000000019</v>
      </c>
      <c r="U582" s="288">
        <f t="shared" si="289"/>
        <v>60.768889705005776</v>
      </c>
      <c r="W582" s="288">
        <f t="shared" si="290"/>
        <v>218.20909715548328</v>
      </c>
      <c r="X582" s="288">
        <f t="shared" ref="X582:X598" si="320">IF(U582="",#N/A,(SUM(C582:Q582)/COUNTIFS(C582:Q582,"&gt;0")))</f>
        <v>278.97798686048907</v>
      </c>
      <c r="Y582" s="288">
        <f t="shared" si="292"/>
        <v>339.74687656549486</v>
      </c>
      <c r="AA582" s="89"/>
      <c r="AB582" s="89"/>
      <c r="AC582" s="89"/>
      <c r="AD582" s="89"/>
      <c r="AE582" s="89"/>
      <c r="AF582" s="89"/>
      <c r="AG582" s="89"/>
      <c r="AH582" s="89"/>
      <c r="AI582" s="89"/>
      <c r="AJ582" s="89"/>
      <c r="AK582" s="89"/>
      <c r="AL582" s="89"/>
      <c r="AM582" s="89"/>
      <c r="AN582" s="89"/>
      <c r="BR582" s="180">
        <v>2042</v>
      </c>
      <c r="BS582" s="22">
        <v>28</v>
      </c>
      <c r="BT582" s="289">
        <f t="shared" si="303"/>
        <v>45.96637806053333</v>
      </c>
      <c r="BU582" s="290">
        <f t="shared" si="304"/>
        <v>230.33436221310069</v>
      </c>
      <c r="BV582" s="205">
        <f t="shared" si="305"/>
        <v>276.30074027363401</v>
      </c>
      <c r="BY582" s="180">
        <v>2042</v>
      </c>
      <c r="BZ582" s="22">
        <v>28</v>
      </c>
      <c r="CA582" s="289">
        <f t="shared" ca="1" si="306"/>
        <v>16.644187135965588</v>
      </c>
      <c r="CB582" s="289">
        <f t="shared" ca="1" si="307"/>
        <v>19.811226846873144</v>
      </c>
      <c r="CC582" s="290">
        <f t="shared" ca="1" si="318"/>
        <v>236.36363408378207</v>
      </c>
      <c r="CD582" s="205">
        <f t="shared" ca="1" si="308"/>
        <v>272.81904806662078</v>
      </c>
      <c r="CG582" s="180">
        <v>2042</v>
      </c>
      <c r="CH582" s="22">
        <v>28</v>
      </c>
      <c r="CI582" s="289">
        <f t="shared" ca="1" si="309"/>
        <v>-22.403013271453368</v>
      </c>
      <c r="CJ582" s="289">
        <f t="shared" ca="1" si="310"/>
        <v>69.451289847248518</v>
      </c>
      <c r="CK582" s="289">
        <f t="shared" ca="1" si="311"/>
        <v>-11.398685264200022</v>
      </c>
      <c r="CL582" s="290">
        <f t="shared" ca="1" si="312"/>
        <v>239.15217241572992</v>
      </c>
      <c r="CM582" s="205">
        <f t="shared" ca="1" si="313"/>
        <v>274.80176372732507</v>
      </c>
      <c r="CP582" s="180">
        <v>2042</v>
      </c>
      <c r="CQ582" s="22">
        <v>28</v>
      </c>
      <c r="CR582" s="289">
        <f t="shared" ca="1" si="314"/>
        <v>231.98398558817138</v>
      </c>
      <c r="CS582" s="290">
        <f t="shared" ca="1" si="315"/>
        <v>1.186889807383799</v>
      </c>
      <c r="CT582" s="205">
        <f t="shared" ca="1" si="316"/>
        <v>275.33942797087076</v>
      </c>
      <c r="CZ582" s="164" t="b">
        <f t="shared" si="293"/>
        <v>1</v>
      </c>
      <c r="DA582" s="165" t="b">
        <f t="shared" si="293"/>
        <v>1</v>
      </c>
      <c r="DB582" s="166" t="b">
        <f t="shared" si="293"/>
        <v>1</v>
      </c>
      <c r="DC582" s="164">
        <f t="shared" si="294"/>
        <v>30</v>
      </c>
      <c r="DD582" s="166">
        <f t="shared" si="295"/>
        <v>218.20909715548328</v>
      </c>
      <c r="DE582" s="164">
        <f t="shared" si="296"/>
        <v>30</v>
      </c>
      <c r="DF582" s="166">
        <f t="shared" si="297"/>
        <v>278.97798686048907</v>
      </c>
      <c r="DG582" s="164">
        <f t="shared" si="298"/>
        <v>30</v>
      </c>
      <c r="DH582" s="166">
        <f t="shared" si="299"/>
        <v>339.74687656549486</v>
      </c>
      <c r="DI582" s="164">
        <f>IFERROR(INDEX(DC$550:DC$598,_xlfn.AGGREGATE(15,6,(ROW(DC$550:DC$598)-ROW(DC$550)+1)/(DC$550:DC$598&lt;&gt;""),ROWS(DI$1:DI33))),"")</f>
        <v>30</v>
      </c>
      <c r="DJ582" s="165">
        <f>IFERROR(INDEX(DD$550:DD$598,_xlfn.AGGREGATE(15,6,(ROW(DD$550:DD$598)-ROW(DD$550)+1)/(DD$550:DD$598&lt;&gt;""),ROWS(DJ$1:DJ33))),"")</f>
        <v>218.20909715548328</v>
      </c>
      <c r="DK582" s="166">
        <f t="shared" si="300"/>
        <v>582</v>
      </c>
      <c r="DL582" s="164">
        <f>IFERROR(INDEX(DE$550:DE$598,_xlfn.AGGREGATE(15,6,(ROW(DE$550:DE$598)-ROW(DE$550)+1)/(DE$550:DE$598&lt;&gt;""),ROWS(DL$1:DL33))),"")</f>
        <v>30</v>
      </c>
      <c r="DM582" s="165">
        <f>IFERROR(INDEX(DF$550:DF$598,_xlfn.AGGREGATE(15,6,(ROW(DF$550:DF$598)-ROW(DF$550)+1)/(DF$550:DF$598&lt;&gt;""),ROWS(DM$1:DM33))),"")</f>
        <v>278.97798686048907</v>
      </c>
      <c r="DN582" s="166">
        <f t="shared" si="301"/>
        <v>582</v>
      </c>
      <c r="DO582" s="164">
        <f>IFERROR(INDEX(DG$550:DG$598,_xlfn.AGGREGATE(15,6,(ROW(DG$550:DG$598)-ROW(DG$550)+1)/(DG$550:DG$598&lt;&gt;""),ROWS(DO$1:DO33))),"")</f>
        <v>30</v>
      </c>
      <c r="DP582" s="165">
        <f>IFERROR(INDEX(DH$550:DH$598,_xlfn.AGGREGATE(15,6,(ROW(DH$550:DH$598)-ROW(DH$550)+1)/(DH$550:DH$598&lt;&gt;""),ROWS(DP$1:DP33))),"")</f>
        <v>339.74687656549486</v>
      </c>
      <c r="DQ582" s="166">
        <f t="shared" si="302"/>
        <v>582</v>
      </c>
      <c r="DR582" s="65"/>
      <c r="DV582" s="145">
        <v>2047</v>
      </c>
      <c r="DW582" s="235">
        <f t="shared" ca="1" si="286"/>
        <v>285.51263419282083</v>
      </c>
      <c r="EA582" s="55"/>
      <c r="EB582" s="55"/>
      <c r="EC582" s="55"/>
      <c r="ED582" s="55"/>
      <c r="EE582" s="55"/>
    </row>
    <row r="583" spans="2:135" ht="13.8" x14ac:dyDescent="0.45">
      <c r="B583" s="128">
        <v>2045</v>
      </c>
      <c r="C583" s="957">
        <v>265.83658764352458</v>
      </c>
      <c r="D583" s="947">
        <v>362.7200000000002</v>
      </c>
      <c r="E583" s="308"/>
      <c r="F583" s="914"/>
      <c r="G583" s="294"/>
      <c r="H583" s="292"/>
      <c r="I583" s="1112">
        <v>214.24324324324334</v>
      </c>
      <c r="J583" s="294"/>
      <c r="K583" s="292"/>
      <c r="L583" s="293"/>
      <c r="M583" s="292"/>
      <c r="N583" s="29" t="s">
        <v>119</v>
      </c>
      <c r="O583" s="120"/>
      <c r="P583" s="120"/>
      <c r="Q583" s="120"/>
      <c r="R583" s="29">
        <v>31</v>
      </c>
      <c r="S583" s="288">
        <f t="shared" si="287"/>
        <v>214.24324324324334</v>
      </c>
      <c r="T583" s="288">
        <f t="shared" si="288"/>
        <v>362.7200000000002</v>
      </c>
      <c r="U583" s="288">
        <f t="shared" si="289"/>
        <v>61.548188955435663</v>
      </c>
      <c r="W583" s="288">
        <f t="shared" si="290"/>
        <v>219.38508800682041</v>
      </c>
      <c r="X583" s="288">
        <f t="shared" si="320"/>
        <v>280.93327696225606</v>
      </c>
      <c r="Y583" s="288">
        <f t="shared" si="292"/>
        <v>342.48146591769171</v>
      </c>
      <c r="AA583" s="89"/>
      <c r="AB583" s="89"/>
      <c r="AC583" s="89"/>
      <c r="AD583" s="89"/>
      <c r="AE583" s="89"/>
      <c r="AF583" s="89"/>
      <c r="AG583" s="89"/>
      <c r="AH583" s="89"/>
      <c r="AI583" s="89"/>
      <c r="AJ583" s="89"/>
      <c r="AK583" s="89"/>
      <c r="AL583" s="89"/>
      <c r="AM583" s="89"/>
      <c r="AN583" s="89"/>
      <c r="BR583" s="180">
        <v>2043</v>
      </c>
      <c r="BS583" s="22">
        <v>29</v>
      </c>
      <c r="BT583" s="289">
        <f t="shared" si="303"/>
        <v>47.608034419838091</v>
      </c>
      <c r="BU583" s="290">
        <f t="shared" si="304"/>
        <v>230.33436221310069</v>
      </c>
      <c r="BV583" s="205">
        <f t="shared" si="305"/>
        <v>277.94239663293877</v>
      </c>
      <c r="BY583" s="180">
        <v>2043</v>
      </c>
      <c r="BZ583" s="22">
        <v>29</v>
      </c>
      <c r="CA583" s="289">
        <f t="shared" ca="1" si="306"/>
        <v>17.854287476207983</v>
      </c>
      <c r="CB583" s="289">
        <f t="shared" ca="1" si="307"/>
        <v>20.5187706628329</v>
      </c>
      <c r="CC583" s="290">
        <f t="shared" ca="1" si="318"/>
        <v>236.36363408378207</v>
      </c>
      <c r="CD583" s="205">
        <f t="shared" ca="1" si="308"/>
        <v>274.73669222282297</v>
      </c>
      <c r="CG583" s="180">
        <v>2043</v>
      </c>
      <c r="CH583" s="22">
        <v>29</v>
      </c>
      <c r="CI583" s="289">
        <f t="shared" ca="1" si="309"/>
        <v>-24.890082483485614</v>
      </c>
      <c r="CJ583" s="289">
        <f t="shared" ca="1" si="310"/>
        <v>74.50068209379593</v>
      </c>
      <c r="CK583" s="289">
        <f t="shared" ca="1" si="311"/>
        <v>-11.805781166492881</v>
      </c>
      <c r="CL583" s="290">
        <f t="shared" ca="1" si="312"/>
        <v>239.15217241572992</v>
      </c>
      <c r="CM583" s="205">
        <f t="shared" ca="1" si="313"/>
        <v>276.95699085954737</v>
      </c>
      <c r="CP583" s="180">
        <v>2043</v>
      </c>
      <c r="CQ583" s="22">
        <v>29</v>
      </c>
      <c r="CR583" s="289">
        <f t="shared" ca="1" si="314"/>
        <v>231.98398558817138</v>
      </c>
      <c r="CS583" s="290">
        <f t="shared" ca="1" si="315"/>
        <v>1.194174833837309</v>
      </c>
      <c r="CT583" s="205">
        <f t="shared" ca="1" si="316"/>
        <v>277.02943744267128</v>
      </c>
      <c r="CZ583" s="164" t="b">
        <f t="shared" si="293"/>
        <v>1</v>
      </c>
      <c r="DA583" s="165" t="b">
        <f t="shared" si="293"/>
        <v>1</v>
      </c>
      <c r="DB583" s="166" t="b">
        <f t="shared" si="293"/>
        <v>1</v>
      </c>
      <c r="DC583" s="164">
        <f t="shared" si="294"/>
        <v>31</v>
      </c>
      <c r="DD583" s="166">
        <f t="shared" si="295"/>
        <v>219.38508800682041</v>
      </c>
      <c r="DE583" s="164">
        <f t="shared" si="296"/>
        <v>31</v>
      </c>
      <c r="DF583" s="166">
        <f t="shared" si="297"/>
        <v>280.93327696225606</v>
      </c>
      <c r="DG583" s="164">
        <f t="shared" si="298"/>
        <v>31</v>
      </c>
      <c r="DH583" s="166">
        <f t="shared" si="299"/>
        <v>342.48146591769171</v>
      </c>
      <c r="DI583" s="164">
        <f>IFERROR(INDEX(DC$550:DC$598,_xlfn.AGGREGATE(15,6,(ROW(DC$550:DC$598)-ROW(DC$550)+1)/(DC$550:DC$598&lt;&gt;""),ROWS(DI$1:DI34))),"")</f>
        <v>31</v>
      </c>
      <c r="DJ583" s="165">
        <f>IFERROR(INDEX(DD$550:DD$598,_xlfn.AGGREGATE(15,6,(ROW(DD$550:DD$598)-ROW(DD$550)+1)/(DD$550:DD$598&lt;&gt;""),ROWS(DJ$1:DJ34))),"")</f>
        <v>219.38508800682041</v>
      </c>
      <c r="DK583" s="166">
        <f t="shared" si="300"/>
        <v>583</v>
      </c>
      <c r="DL583" s="164">
        <f>IFERROR(INDEX(DE$550:DE$598,_xlfn.AGGREGATE(15,6,(ROW(DE$550:DE$598)-ROW(DE$550)+1)/(DE$550:DE$598&lt;&gt;""),ROWS(DL$1:DL34))),"")</f>
        <v>31</v>
      </c>
      <c r="DM583" s="165">
        <f>IFERROR(INDEX(DF$550:DF$598,_xlfn.AGGREGATE(15,6,(ROW(DF$550:DF$598)-ROW(DF$550)+1)/(DF$550:DF$598&lt;&gt;""),ROWS(DM$1:DM34))),"")</f>
        <v>280.93327696225606</v>
      </c>
      <c r="DN583" s="166">
        <f t="shared" si="301"/>
        <v>583</v>
      </c>
      <c r="DO583" s="164">
        <f>IFERROR(INDEX(DG$550:DG$598,_xlfn.AGGREGATE(15,6,(ROW(DG$550:DG$598)-ROW(DG$550)+1)/(DG$550:DG$598&lt;&gt;""),ROWS(DO$1:DO34))),"")</f>
        <v>31</v>
      </c>
      <c r="DP583" s="165">
        <f>IFERROR(INDEX(DH$550:DH$598,_xlfn.AGGREGATE(15,6,(ROW(DH$550:DH$598)-ROW(DH$550)+1)/(DH$550:DH$598&lt;&gt;""),ROWS(DP$1:DP34))),"")</f>
        <v>342.48146591769171</v>
      </c>
      <c r="DQ583" s="166">
        <f t="shared" si="302"/>
        <v>583</v>
      </c>
      <c r="DR583" s="65"/>
      <c r="DV583" s="145">
        <v>2048</v>
      </c>
      <c r="DW583" s="235">
        <f t="shared" ca="1" si="286"/>
        <v>287.60461236434605</v>
      </c>
      <c r="EA583" s="55"/>
      <c r="EB583" s="55"/>
      <c r="EC583" s="55"/>
      <c r="ED583" s="55"/>
      <c r="EE583" s="55"/>
    </row>
    <row r="584" spans="2:135" ht="13.8" x14ac:dyDescent="0.45">
      <c r="B584" s="128">
        <v>2046</v>
      </c>
      <c r="C584" s="957">
        <v>267.23110659747408</v>
      </c>
      <c r="D584" s="947">
        <v>365.84000000000015</v>
      </c>
      <c r="E584" s="308"/>
      <c r="F584" s="914"/>
      <c r="G584" s="294"/>
      <c r="H584" s="292"/>
      <c r="I584" s="1112">
        <v>215.5945945945947</v>
      </c>
      <c r="J584" s="294"/>
      <c r="K584" s="292"/>
      <c r="L584" s="293"/>
      <c r="M584" s="292"/>
      <c r="N584" s="29" t="s">
        <v>119</v>
      </c>
      <c r="O584" s="120"/>
      <c r="P584" s="120"/>
      <c r="Q584" s="120"/>
      <c r="R584" s="29">
        <v>32</v>
      </c>
      <c r="S584" s="288">
        <f t="shared" si="287"/>
        <v>215.5945945945947</v>
      </c>
      <c r="T584" s="288">
        <f t="shared" si="288"/>
        <v>365.84000000000015</v>
      </c>
      <c r="U584" s="288">
        <f t="shared" si="289"/>
        <v>62.328631797138122</v>
      </c>
      <c r="W584" s="288">
        <f t="shared" si="290"/>
        <v>220.55993526688488</v>
      </c>
      <c r="X584" s="288">
        <f t="shared" si="320"/>
        <v>282.88856706402299</v>
      </c>
      <c r="Y584" s="288">
        <f t="shared" si="292"/>
        <v>345.21719886116114</v>
      </c>
      <c r="AA584" s="89"/>
      <c r="AB584" s="89"/>
      <c r="AC584" s="89"/>
      <c r="AD584" s="89"/>
      <c r="AE584" s="89"/>
      <c r="AF584" s="89"/>
      <c r="AG584" s="89"/>
      <c r="AH584" s="89"/>
      <c r="AI584" s="89"/>
      <c r="AJ584" s="89"/>
      <c r="AK584" s="89"/>
      <c r="AL584" s="89"/>
      <c r="AM584" s="89"/>
      <c r="AN584" s="89"/>
      <c r="BR584" s="180">
        <v>2044</v>
      </c>
      <c r="BS584" s="22">
        <v>30</v>
      </c>
      <c r="BT584" s="289">
        <f t="shared" si="303"/>
        <v>49.249690779142853</v>
      </c>
      <c r="BU584" s="290">
        <f t="shared" si="304"/>
        <v>230.33436221310069</v>
      </c>
      <c r="BV584" s="205">
        <f t="shared" si="305"/>
        <v>279.58405299224353</v>
      </c>
      <c r="BY584" s="180">
        <v>2044</v>
      </c>
      <c r="BZ584" s="22">
        <v>30</v>
      </c>
      <c r="CA584" s="289">
        <f t="shared" ca="1" si="306"/>
        <v>19.106847477511515</v>
      </c>
      <c r="CB584" s="289">
        <f t="shared" ca="1" si="307"/>
        <v>21.226314478792652</v>
      </c>
      <c r="CC584" s="290">
        <f t="shared" ca="1" si="318"/>
        <v>236.36363408378207</v>
      </c>
      <c r="CD584" s="205">
        <f t="shared" ca="1" si="308"/>
        <v>276.69679604008627</v>
      </c>
      <c r="CG584" s="180">
        <v>2044</v>
      </c>
      <c r="CH584" s="22">
        <v>30</v>
      </c>
      <c r="CI584" s="289">
        <f t="shared" ca="1" si="309"/>
        <v>-27.554726600275192</v>
      </c>
      <c r="CJ584" s="289">
        <f t="shared" ca="1" si="310"/>
        <v>79.727245998116928</v>
      </c>
      <c r="CK584" s="289">
        <f t="shared" ca="1" si="311"/>
        <v>-12.212877068785739</v>
      </c>
      <c r="CL584" s="290">
        <f t="shared" ca="1" si="312"/>
        <v>239.15217241572992</v>
      </c>
      <c r="CM584" s="205">
        <f t="shared" ca="1" si="313"/>
        <v>279.11181474478593</v>
      </c>
      <c r="CP584" s="180">
        <v>2044</v>
      </c>
      <c r="CQ584" s="22">
        <v>30</v>
      </c>
      <c r="CR584" s="289">
        <f t="shared" ca="1" si="314"/>
        <v>231.98398558817138</v>
      </c>
      <c r="CS584" s="290">
        <f t="shared" ca="1" si="315"/>
        <v>1.2015045751498548</v>
      </c>
      <c r="CT584" s="205">
        <f t="shared" ca="1" si="316"/>
        <v>278.72982004568587</v>
      </c>
      <c r="CZ584" s="164" t="b">
        <f t="shared" si="293"/>
        <v>1</v>
      </c>
      <c r="DA584" s="165" t="b">
        <f t="shared" si="293"/>
        <v>1</v>
      </c>
      <c r="DB584" s="166" t="b">
        <f t="shared" si="293"/>
        <v>1</v>
      </c>
      <c r="DC584" s="164">
        <f t="shared" si="294"/>
        <v>32</v>
      </c>
      <c r="DD584" s="166">
        <f t="shared" si="295"/>
        <v>220.55993526688488</v>
      </c>
      <c r="DE584" s="164">
        <f t="shared" si="296"/>
        <v>32</v>
      </c>
      <c r="DF584" s="166">
        <f t="shared" si="297"/>
        <v>282.88856706402299</v>
      </c>
      <c r="DG584" s="164">
        <f t="shared" si="298"/>
        <v>32</v>
      </c>
      <c r="DH584" s="166">
        <f t="shared" si="299"/>
        <v>345.21719886116114</v>
      </c>
      <c r="DI584" s="164">
        <f>IFERROR(INDEX(DC$550:DC$598,_xlfn.AGGREGATE(15,6,(ROW(DC$550:DC$598)-ROW(DC$550)+1)/(DC$550:DC$598&lt;&gt;""),ROWS(DI$1:DI35))),"")</f>
        <v>32</v>
      </c>
      <c r="DJ584" s="165">
        <f>IFERROR(INDEX(DD$550:DD$598,_xlfn.AGGREGATE(15,6,(ROW(DD$550:DD$598)-ROW(DD$550)+1)/(DD$550:DD$598&lt;&gt;""),ROWS(DJ$1:DJ35))),"")</f>
        <v>220.55993526688488</v>
      </c>
      <c r="DK584" s="166">
        <f t="shared" si="300"/>
        <v>584</v>
      </c>
      <c r="DL584" s="164">
        <f>IFERROR(INDEX(DE$550:DE$598,_xlfn.AGGREGATE(15,6,(ROW(DE$550:DE$598)-ROW(DE$550)+1)/(DE$550:DE$598&lt;&gt;""),ROWS(DL$1:DL35))),"")</f>
        <v>32</v>
      </c>
      <c r="DM584" s="165">
        <f>IFERROR(INDEX(DF$550:DF$598,_xlfn.AGGREGATE(15,6,(ROW(DF$550:DF$598)-ROW(DF$550)+1)/(DF$550:DF$598&lt;&gt;""),ROWS(DM$1:DM35))),"")</f>
        <v>282.88856706402299</v>
      </c>
      <c r="DN584" s="166">
        <f t="shared" si="301"/>
        <v>584</v>
      </c>
      <c r="DO584" s="164">
        <f>IFERROR(INDEX(DG$550:DG$598,_xlfn.AGGREGATE(15,6,(ROW(DG$550:DG$598)-ROW(DG$550)+1)/(DG$550:DG$598&lt;&gt;""),ROWS(DO$1:DO35))),"")</f>
        <v>32</v>
      </c>
      <c r="DP584" s="165">
        <f>IFERROR(INDEX(DH$550:DH$598,_xlfn.AGGREGATE(15,6,(ROW(DH$550:DH$598)-ROW(DH$550)+1)/(DH$550:DH$598&lt;&gt;""),ROWS(DP$1:DP35))),"")</f>
        <v>345.21719886116114</v>
      </c>
      <c r="DQ584" s="166">
        <f t="shared" si="302"/>
        <v>584</v>
      </c>
      <c r="DR584" s="65"/>
      <c r="DV584" s="145">
        <v>2049</v>
      </c>
      <c r="DW584" s="235">
        <f t="shared" ca="1" si="286"/>
        <v>289.66557092599834</v>
      </c>
      <c r="EA584" s="55"/>
      <c r="EB584" s="55"/>
      <c r="EC584" s="55"/>
      <c r="ED584" s="55"/>
      <c r="EE584" s="55"/>
    </row>
    <row r="585" spans="2:135" ht="13.8" x14ac:dyDescent="0.45">
      <c r="B585" s="128">
        <v>2047</v>
      </c>
      <c r="C585" s="957">
        <v>268.62562555142358</v>
      </c>
      <c r="D585" s="947">
        <v>368.96000000000015</v>
      </c>
      <c r="E585" s="308"/>
      <c r="F585" s="914"/>
      <c r="G585" s="294"/>
      <c r="H585" s="292"/>
      <c r="I585" s="1112">
        <v>216.94594594594605</v>
      </c>
      <c r="J585" s="294"/>
      <c r="K585" s="292"/>
      <c r="L585" s="293"/>
      <c r="M585" s="292"/>
      <c r="N585" s="29" t="s">
        <v>119</v>
      </c>
      <c r="O585" s="120"/>
      <c r="P585" s="120"/>
      <c r="Q585" s="120"/>
      <c r="R585" s="29">
        <v>33</v>
      </c>
      <c r="S585" s="288">
        <f t="shared" si="287"/>
        <v>216.94594594594605</v>
      </c>
      <c r="T585" s="288">
        <f t="shared" si="288"/>
        <v>368.96000000000015</v>
      </c>
      <c r="U585" s="288">
        <f t="shared" si="289"/>
        <v>63.110175803960161</v>
      </c>
      <c r="W585" s="288">
        <f t="shared" si="290"/>
        <v>221.73368136182978</v>
      </c>
      <c r="X585" s="288">
        <f t="shared" si="320"/>
        <v>284.84385716578993</v>
      </c>
      <c r="Y585" s="288">
        <f t="shared" si="292"/>
        <v>347.95403296975007</v>
      </c>
      <c r="AA585" s="89"/>
      <c r="AB585" s="89"/>
      <c r="AC585" s="89"/>
      <c r="AD585" s="89"/>
      <c r="AE585" s="89"/>
      <c r="AF585" s="89"/>
      <c r="AG585" s="89"/>
      <c r="AH585" s="89"/>
      <c r="AI585" s="89"/>
      <c r="AJ585" s="89"/>
      <c r="AK585" s="89"/>
      <c r="AL585" s="89"/>
      <c r="AM585" s="89"/>
      <c r="AN585" s="89"/>
      <c r="BR585" s="180">
        <v>2045</v>
      </c>
      <c r="BS585" s="22">
        <v>31</v>
      </c>
      <c r="BT585" s="289">
        <f t="shared" si="303"/>
        <v>50.891347138447614</v>
      </c>
      <c r="BU585" s="289">
        <f t="shared" si="304"/>
        <v>230.33436221310069</v>
      </c>
      <c r="BV585" s="205">
        <f t="shared" si="305"/>
        <v>281.22570935154829</v>
      </c>
      <c r="BY585" s="180">
        <v>2045</v>
      </c>
      <c r="BZ585" s="22">
        <v>31</v>
      </c>
      <c r="CA585" s="289">
        <f t="shared" ca="1" si="306"/>
        <v>20.401867139876185</v>
      </c>
      <c r="CB585" s="289">
        <f t="shared" ca="1" si="307"/>
        <v>21.933858294752408</v>
      </c>
      <c r="CC585" s="289">
        <f t="shared" ca="1" si="318"/>
        <v>236.36363408378207</v>
      </c>
      <c r="CD585" s="205">
        <f t="shared" ca="1" si="308"/>
        <v>278.69935951841069</v>
      </c>
      <c r="CG585" s="180">
        <v>2045</v>
      </c>
      <c r="CH585" s="22">
        <v>31</v>
      </c>
      <c r="CI585" s="289">
        <f t="shared" ca="1" si="309"/>
        <v>-30.403068894399933</v>
      </c>
      <c r="CJ585" s="289">
        <f t="shared" ca="1" si="310"/>
        <v>85.130981560211524</v>
      </c>
      <c r="CK585" s="289">
        <f t="shared" ca="1" si="311"/>
        <v>-12.619972971078598</v>
      </c>
      <c r="CL585" s="289">
        <f t="shared" ca="1" si="312"/>
        <v>239.15217241572992</v>
      </c>
      <c r="CM585" s="205">
        <f t="shared" ca="1" si="313"/>
        <v>281.2601121104629</v>
      </c>
      <c r="CP585" s="180">
        <v>2045</v>
      </c>
      <c r="CQ585" s="22">
        <v>31</v>
      </c>
      <c r="CR585" s="289">
        <f t="shared" ca="1" si="314"/>
        <v>231.98398558817138</v>
      </c>
      <c r="CS585" s="289">
        <f t="shared" ca="1" si="315"/>
        <v>1.2088793057773541</v>
      </c>
      <c r="CT585" s="205">
        <f t="shared" ca="1" si="316"/>
        <v>280.44063944929235</v>
      </c>
      <c r="CZ585" s="164" t="b">
        <f t="shared" si="293"/>
        <v>1</v>
      </c>
      <c r="DA585" s="165" t="b">
        <f t="shared" si="293"/>
        <v>1</v>
      </c>
      <c r="DB585" s="166" t="b">
        <f t="shared" si="293"/>
        <v>1</v>
      </c>
      <c r="DC585" s="164">
        <f t="shared" si="294"/>
        <v>33</v>
      </c>
      <c r="DD585" s="166">
        <f t="shared" si="295"/>
        <v>221.73368136182978</v>
      </c>
      <c r="DE585" s="164">
        <f t="shared" si="296"/>
        <v>33</v>
      </c>
      <c r="DF585" s="166">
        <f t="shared" si="297"/>
        <v>284.84385716578993</v>
      </c>
      <c r="DG585" s="164">
        <f t="shared" si="298"/>
        <v>33</v>
      </c>
      <c r="DH585" s="166">
        <f t="shared" si="299"/>
        <v>347.95403296975007</v>
      </c>
      <c r="DI585" s="164">
        <f>IFERROR(INDEX(DC$550:DC$598,_xlfn.AGGREGATE(15,6,(ROW(DC$550:DC$598)-ROW(DC$550)+1)/(DC$550:DC$598&lt;&gt;""),ROWS(DI$1:DI36))),"")</f>
        <v>33</v>
      </c>
      <c r="DJ585" s="165">
        <f>IFERROR(INDEX(DD$550:DD$598,_xlfn.AGGREGATE(15,6,(ROW(DD$550:DD$598)-ROW(DD$550)+1)/(DD$550:DD$598&lt;&gt;""),ROWS(DJ$1:DJ36))),"")</f>
        <v>221.73368136182978</v>
      </c>
      <c r="DK585" s="166">
        <f t="shared" si="300"/>
        <v>585</v>
      </c>
      <c r="DL585" s="164">
        <f>IFERROR(INDEX(DE$550:DE$598,_xlfn.AGGREGATE(15,6,(ROW(DE$550:DE$598)-ROW(DE$550)+1)/(DE$550:DE$598&lt;&gt;""),ROWS(DL$1:DL36))),"")</f>
        <v>33</v>
      </c>
      <c r="DM585" s="165">
        <f>IFERROR(INDEX(DF$550:DF$598,_xlfn.AGGREGATE(15,6,(ROW(DF$550:DF$598)-ROW(DF$550)+1)/(DF$550:DF$598&lt;&gt;""),ROWS(DM$1:DM36))),"")</f>
        <v>284.84385716578993</v>
      </c>
      <c r="DN585" s="166">
        <f t="shared" si="301"/>
        <v>585</v>
      </c>
      <c r="DO585" s="164">
        <f>IFERROR(INDEX(DG$550:DG$598,_xlfn.AGGREGATE(15,6,(ROW(DG$550:DG$598)-ROW(DG$550)+1)/(DG$550:DG$598&lt;&gt;""),ROWS(DO$1:DO36))),"")</f>
        <v>33</v>
      </c>
      <c r="DP585" s="165">
        <f>IFERROR(INDEX(DH$550:DH$598,_xlfn.AGGREGATE(15,6,(ROW(DH$550:DH$598)-ROW(DH$550)+1)/(DH$550:DH$598&lt;&gt;""),ROWS(DP$1:DP36))),"")</f>
        <v>347.95403296975007</v>
      </c>
      <c r="DQ585" s="166">
        <f t="shared" si="302"/>
        <v>585</v>
      </c>
      <c r="DR585" s="65"/>
      <c r="DV585" s="145">
        <v>2050</v>
      </c>
      <c r="DW585" s="235">
        <f t="shared" ca="1" si="286"/>
        <v>291.6893866051999</v>
      </c>
      <c r="EA585" s="55"/>
      <c r="EB585" s="55"/>
      <c r="EC585" s="55"/>
      <c r="ED585" s="55"/>
      <c r="EE585" s="55"/>
    </row>
    <row r="586" spans="2:135" ht="13.8" x14ac:dyDescent="0.45">
      <c r="B586" s="128">
        <v>2048</v>
      </c>
      <c r="C586" s="957">
        <v>270.02014450537308</v>
      </c>
      <c r="D586" s="947">
        <v>372.08000000000015</v>
      </c>
      <c r="E586" s="308"/>
      <c r="F586" s="914"/>
      <c r="G586" s="294"/>
      <c r="H586" s="292"/>
      <c r="I586" s="1112">
        <v>218.2972972972974</v>
      </c>
      <c r="J586" s="294"/>
      <c r="K586" s="292"/>
      <c r="L586" s="293"/>
      <c r="M586" s="292"/>
      <c r="N586" s="29" t="s">
        <v>119</v>
      </c>
      <c r="O586" s="120"/>
      <c r="P586" s="120"/>
      <c r="Q586" s="120"/>
      <c r="R586" s="29">
        <v>34</v>
      </c>
      <c r="S586" s="288">
        <f t="shared" si="287"/>
        <v>218.2972972972974</v>
      </c>
      <c r="T586" s="288">
        <f t="shared" si="288"/>
        <v>372.08000000000015</v>
      </c>
      <c r="U586" s="288">
        <f t="shared" si="289"/>
        <v>63.89278056717108</v>
      </c>
      <c r="W586" s="288">
        <f t="shared" si="290"/>
        <v>222.90636670038577</v>
      </c>
      <c r="X586" s="288">
        <f t="shared" si="320"/>
        <v>286.79914726755686</v>
      </c>
      <c r="Y586" s="288">
        <f t="shared" si="292"/>
        <v>350.69192783472795</v>
      </c>
      <c r="AA586" s="89"/>
      <c r="AB586" s="89"/>
      <c r="AC586" s="89"/>
      <c r="AD586" s="89"/>
      <c r="AE586" s="89"/>
      <c r="AF586" s="89"/>
      <c r="AG586" s="89"/>
      <c r="AH586" s="89"/>
      <c r="AI586" s="89"/>
      <c r="AJ586" s="89"/>
      <c r="AK586" s="89"/>
      <c r="AL586" s="89"/>
      <c r="AM586" s="89"/>
      <c r="AN586" s="89"/>
      <c r="BR586" s="180">
        <v>2046</v>
      </c>
      <c r="BS586" s="22">
        <v>32</v>
      </c>
      <c r="BT586" s="289">
        <f t="shared" si="303"/>
        <v>52.533003497752375</v>
      </c>
      <c r="BU586" s="289">
        <f t="shared" si="304"/>
        <v>230.33436221310069</v>
      </c>
      <c r="BV586" s="205">
        <f t="shared" si="305"/>
        <v>282.86736571085305</v>
      </c>
      <c r="BY586" s="180">
        <v>2046</v>
      </c>
      <c r="BZ586" s="22">
        <v>32</v>
      </c>
      <c r="CA586" s="289">
        <f t="shared" ca="1" si="306"/>
        <v>21.739346463301992</v>
      </c>
      <c r="CB586" s="289">
        <f t="shared" ca="1" si="307"/>
        <v>22.641402110712164</v>
      </c>
      <c r="CC586" s="289">
        <f t="shared" ca="1" si="318"/>
        <v>236.36363408378207</v>
      </c>
      <c r="CD586" s="205">
        <f t="shared" ca="1" si="308"/>
        <v>280.74438265779622</v>
      </c>
      <c r="CG586" s="180">
        <v>2046</v>
      </c>
      <c r="CH586" s="22">
        <v>32</v>
      </c>
      <c r="CI586" s="289">
        <f t="shared" ca="1" si="309"/>
        <v>-33.441232638437683</v>
      </c>
      <c r="CJ586" s="289">
        <f t="shared" ca="1" si="310"/>
        <v>90.711888780079704</v>
      </c>
      <c r="CK586" s="289">
        <f t="shared" ca="1" si="311"/>
        <v>-13.027068873371455</v>
      </c>
      <c r="CL586" s="289">
        <f t="shared" ca="1" si="312"/>
        <v>239.15217241572992</v>
      </c>
      <c r="CM586" s="205">
        <f t="shared" ca="1" si="313"/>
        <v>283.3957596840005</v>
      </c>
      <c r="CP586" s="180">
        <v>2046</v>
      </c>
      <c r="CQ586" s="22">
        <v>32</v>
      </c>
      <c r="CR586" s="289">
        <f t="shared" ca="1" si="314"/>
        <v>231.98398558817138</v>
      </c>
      <c r="CS586" s="289">
        <f t="shared" ca="1" si="315"/>
        <v>1.2162993018603105</v>
      </c>
      <c r="CT586" s="205">
        <f t="shared" ca="1" si="316"/>
        <v>282.16195971366517</v>
      </c>
      <c r="CZ586" s="164" t="b">
        <f t="shared" si="293"/>
        <v>1</v>
      </c>
      <c r="DA586" s="165" t="b">
        <f t="shared" si="293"/>
        <v>1</v>
      </c>
      <c r="DB586" s="166" t="b">
        <f t="shared" si="293"/>
        <v>1</v>
      </c>
      <c r="DC586" s="164">
        <f t="shared" si="294"/>
        <v>34</v>
      </c>
      <c r="DD586" s="166">
        <f t="shared" si="295"/>
        <v>222.90636670038577</v>
      </c>
      <c r="DE586" s="164">
        <f t="shared" si="296"/>
        <v>34</v>
      </c>
      <c r="DF586" s="166">
        <f t="shared" si="297"/>
        <v>286.79914726755686</v>
      </c>
      <c r="DG586" s="164">
        <f t="shared" si="298"/>
        <v>34</v>
      </c>
      <c r="DH586" s="166">
        <f t="shared" si="299"/>
        <v>350.69192783472795</v>
      </c>
      <c r="DI586" s="164">
        <f>IFERROR(INDEX(DC$550:DC$598,_xlfn.AGGREGATE(15,6,(ROW(DC$550:DC$598)-ROW(DC$550)+1)/(DC$550:DC$598&lt;&gt;""),ROWS(DI$1:DI37))),"")</f>
        <v>34</v>
      </c>
      <c r="DJ586" s="165">
        <f>IFERROR(INDEX(DD$550:DD$598,_xlfn.AGGREGATE(15,6,(ROW(DD$550:DD$598)-ROW(DD$550)+1)/(DD$550:DD$598&lt;&gt;""),ROWS(DJ$1:DJ37))),"")</f>
        <v>222.90636670038577</v>
      </c>
      <c r="DK586" s="166">
        <f t="shared" si="300"/>
        <v>586</v>
      </c>
      <c r="DL586" s="164">
        <f>IFERROR(INDEX(DE$550:DE$598,_xlfn.AGGREGATE(15,6,(ROW(DE$550:DE$598)-ROW(DE$550)+1)/(DE$550:DE$598&lt;&gt;""),ROWS(DL$1:DL37))),"")</f>
        <v>34</v>
      </c>
      <c r="DM586" s="165">
        <f>IFERROR(INDEX(DF$550:DF$598,_xlfn.AGGREGATE(15,6,(ROW(DF$550:DF$598)-ROW(DF$550)+1)/(DF$550:DF$598&lt;&gt;""),ROWS(DM$1:DM37))),"")</f>
        <v>286.79914726755686</v>
      </c>
      <c r="DN586" s="166">
        <f t="shared" si="301"/>
        <v>586</v>
      </c>
      <c r="DO586" s="164">
        <f>IFERROR(INDEX(DG$550:DG$598,_xlfn.AGGREGATE(15,6,(ROW(DG$550:DG$598)-ROW(DG$550)+1)/(DG$550:DG$598&lt;&gt;""),ROWS(DO$1:DO37))),"")</f>
        <v>34</v>
      </c>
      <c r="DP586" s="165">
        <f>IFERROR(INDEX(DH$550:DH$598,_xlfn.AGGREGATE(15,6,(ROW(DH$550:DH$598)-ROW(DH$550)+1)/(DH$550:DH$598&lt;&gt;""),ROWS(DP$1:DP37))),"")</f>
        <v>350.69192783472795</v>
      </c>
      <c r="DQ586" s="166">
        <f t="shared" si="302"/>
        <v>586</v>
      </c>
      <c r="DR586" s="65"/>
      <c r="DV586" s="145">
        <v>2051</v>
      </c>
      <c r="DW586" s="235">
        <f t="shared" ca="1" si="286"/>
        <v>293.66993612937279</v>
      </c>
      <c r="EA586" s="55"/>
      <c r="EB586" s="55"/>
      <c r="EC586" s="55"/>
      <c r="ED586" s="55"/>
      <c r="EE586" s="55"/>
    </row>
    <row r="587" spans="2:135" ht="13.8" x14ac:dyDescent="0.45">
      <c r="B587" s="128">
        <v>2049</v>
      </c>
      <c r="C587" s="957">
        <v>271.41466345932264</v>
      </c>
      <c r="D587" s="947">
        <v>375.20000000000016</v>
      </c>
      <c r="E587" s="308"/>
      <c r="F587" s="914"/>
      <c r="G587" s="294"/>
      <c r="H587" s="292"/>
      <c r="I587" s="1112">
        <v>219.64864864864876</v>
      </c>
      <c r="J587" s="294"/>
      <c r="K587" s="292"/>
      <c r="L587" s="293"/>
      <c r="M587" s="292"/>
      <c r="N587" s="29" t="s">
        <v>119</v>
      </c>
      <c r="O587" s="120"/>
      <c r="P587" s="120"/>
      <c r="Q587" s="120"/>
      <c r="R587" s="29">
        <v>35</v>
      </c>
      <c r="S587" s="288">
        <f t="shared" si="287"/>
        <v>219.64864864864876</v>
      </c>
      <c r="T587" s="288">
        <f t="shared" si="288"/>
        <v>375.20000000000016</v>
      </c>
      <c r="U587" s="288">
        <f t="shared" si="289"/>
        <v>64.676407580329482</v>
      </c>
      <c r="W587" s="288">
        <f t="shared" si="290"/>
        <v>224.07802978899437</v>
      </c>
      <c r="X587" s="288">
        <f t="shared" si="320"/>
        <v>288.75443736932385</v>
      </c>
      <c r="Y587" s="288">
        <f t="shared" si="292"/>
        <v>353.43084494965331</v>
      </c>
      <c r="AA587" s="89"/>
      <c r="AB587" s="89"/>
      <c r="AC587" s="89"/>
      <c r="AD587" s="89"/>
      <c r="AE587" s="89"/>
      <c r="AF587" s="89"/>
      <c r="AG587" s="89"/>
      <c r="AH587" s="89"/>
      <c r="AI587" s="89"/>
      <c r="AJ587" s="89"/>
      <c r="AK587" s="89"/>
      <c r="AL587" s="89"/>
      <c r="AM587" s="89"/>
      <c r="AN587" s="89"/>
      <c r="BR587" s="180">
        <v>2047</v>
      </c>
      <c r="BS587" s="22">
        <v>33</v>
      </c>
      <c r="BT587" s="289">
        <f t="shared" si="303"/>
        <v>54.174659857057136</v>
      </c>
      <c r="BU587" s="289">
        <f t="shared" si="304"/>
        <v>230.33436221310069</v>
      </c>
      <c r="BV587" s="205">
        <f t="shared" si="305"/>
        <v>284.50902207015781</v>
      </c>
      <c r="BY587" s="180">
        <v>2047</v>
      </c>
      <c r="BZ587" s="22">
        <v>33</v>
      </c>
      <c r="CA587" s="289">
        <f t="shared" ca="1" si="306"/>
        <v>23.119285447788936</v>
      </c>
      <c r="CB587" s="289">
        <f t="shared" ca="1" si="307"/>
        <v>23.34894592667192</v>
      </c>
      <c r="CC587" s="289">
        <f t="shared" ca="1" si="318"/>
        <v>236.36363408378207</v>
      </c>
      <c r="CD587" s="205">
        <f t="shared" ca="1" si="308"/>
        <v>282.83186545824293</v>
      </c>
      <c r="CG587" s="180">
        <v>2047</v>
      </c>
      <c r="CH587" s="22">
        <v>33</v>
      </c>
      <c r="CI587" s="289">
        <f t="shared" ca="1" si="309"/>
        <v>-36.675341104966279</v>
      </c>
      <c r="CJ587" s="289">
        <f t="shared" ca="1" si="310"/>
        <v>96.469967657721483</v>
      </c>
      <c r="CK587" s="289">
        <f t="shared" ca="1" si="311"/>
        <v>-13.434164775664312</v>
      </c>
      <c r="CL587" s="289">
        <f t="shared" ca="1" si="312"/>
        <v>239.15217241572992</v>
      </c>
      <c r="CM587" s="205">
        <f t="shared" ca="1" si="313"/>
        <v>285.51263419282083</v>
      </c>
      <c r="CP587" s="180">
        <v>2047</v>
      </c>
      <c r="CQ587" s="22">
        <v>33</v>
      </c>
      <c r="CR587" s="289">
        <f t="shared" ca="1" si="314"/>
        <v>231.98398558817138</v>
      </c>
      <c r="CS587" s="289">
        <f t="shared" ca="1" si="315"/>
        <v>1.2237648412341546</v>
      </c>
      <c r="CT587" s="205">
        <f t="shared" ca="1" si="316"/>
        <v>283.89384529217494</v>
      </c>
      <c r="CZ587" s="164" t="b">
        <f t="shared" si="293"/>
        <v>1</v>
      </c>
      <c r="DA587" s="165" t="b">
        <f t="shared" si="293"/>
        <v>1</v>
      </c>
      <c r="DB587" s="166" t="b">
        <f t="shared" si="293"/>
        <v>1</v>
      </c>
      <c r="DC587" s="164">
        <f t="shared" si="294"/>
        <v>35</v>
      </c>
      <c r="DD587" s="166">
        <f t="shared" si="295"/>
        <v>224.07802978899437</v>
      </c>
      <c r="DE587" s="164">
        <f t="shared" si="296"/>
        <v>35</v>
      </c>
      <c r="DF587" s="166">
        <f t="shared" si="297"/>
        <v>288.75443736932385</v>
      </c>
      <c r="DG587" s="164">
        <f t="shared" si="298"/>
        <v>35</v>
      </c>
      <c r="DH587" s="166">
        <f t="shared" si="299"/>
        <v>353.43084494965331</v>
      </c>
      <c r="DI587" s="164">
        <f>IFERROR(INDEX(DC$550:DC$598,_xlfn.AGGREGATE(15,6,(ROW(DC$550:DC$598)-ROW(DC$550)+1)/(DC$550:DC$598&lt;&gt;""),ROWS(DI$1:DI38))),"")</f>
        <v>35</v>
      </c>
      <c r="DJ587" s="165">
        <f>IFERROR(INDEX(DD$550:DD$598,_xlfn.AGGREGATE(15,6,(ROW(DD$550:DD$598)-ROW(DD$550)+1)/(DD$550:DD$598&lt;&gt;""),ROWS(DJ$1:DJ38))),"")</f>
        <v>224.07802978899437</v>
      </c>
      <c r="DK587" s="166">
        <f t="shared" si="300"/>
        <v>587</v>
      </c>
      <c r="DL587" s="164">
        <f>IFERROR(INDEX(DE$550:DE$598,_xlfn.AGGREGATE(15,6,(ROW(DE$550:DE$598)-ROW(DE$550)+1)/(DE$550:DE$598&lt;&gt;""),ROWS(DL$1:DL38))),"")</f>
        <v>35</v>
      </c>
      <c r="DM587" s="165">
        <f>IFERROR(INDEX(DF$550:DF$598,_xlfn.AGGREGATE(15,6,(ROW(DF$550:DF$598)-ROW(DF$550)+1)/(DF$550:DF$598&lt;&gt;""),ROWS(DM$1:DM38))),"")</f>
        <v>288.75443736932385</v>
      </c>
      <c r="DN587" s="166">
        <f t="shared" si="301"/>
        <v>587</v>
      </c>
      <c r="DO587" s="164">
        <f>IFERROR(INDEX(DG$550:DG$598,_xlfn.AGGREGATE(15,6,(ROW(DG$550:DG$598)-ROW(DG$550)+1)/(DG$550:DG$598&lt;&gt;""),ROWS(DO$1:DO38))),"")</f>
        <v>35</v>
      </c>
      <c r="DP587" s="165">
        <f>IFERROR(INDEX(DH$550:DH$598,_xlfn.AGGREGATE(15,6,(ROW(DH$550:DH$598)-ROW(DH$550)+1)/(DH$550:DH$598&lt;&gt;""),ROWS(DP$1:DP38))),"")</f>
        <v>353.43084494965331</v>
      </c>
      <c r="DQ587" s="166">
        <f t="shared" si="302"/>
        <v>587</v>
      </c>
      <c r="DR587" s="65"/>
      <c r="DV587" s="145">
        <v>2052</v>
      </c>
      <c r="DW587" s="235">
        <f t="shared" ca="1" si="286"/>
        <v>295.60109622593927</v>
      </c>
      <c r="EA587" s="55"/>
      <c r="EB587" s="55"/>
      <c r="EC587" s="55"/>
      <c r="ED587" s="55"/>
      <c r="EE587" s="55"/>
    </row>
    <row r="588" spans="2:135" ht="13.8" x14ac:dyDescent="0.45">
      <c r="B588" s="128">
        <v>2050</v>
      </c>
      <c r="C588" s="957">
        <v>272.80918241327214</v>
      </c>
      <c r="D588" s="947">
        <v>378.32000000000016</v>
      </c>
      <c r="E588" s="308"/>
      <c r="F588" s="914"/>
      <c r="G588" s="294"/>
      <c r="H588" s="292"/>
      <c r="I588" s="1112">
        <v>221.00000000000011</v>
      </c>
      <c r="J588" s="294"/>
      <c r="K588" s="292"/>
      <c r="L588" s="293"/>
      <c r="M588" s="292"/>
      <c r="N588" s="29" t="s">
        <v>119</v>
      </c>
      <c r="O588" s="120"/>
      <c r="P588" s="120"/>
      <c r="Q588" s="120"/>
      <c r="R588" s="29">
        <v>36</v>
      </c>
      <c r="S588" s="288">
        <f t="shared" si="287"/>
        <v>221.00000000000011</v>
      </c>
      <c r="T588" s="288">
        <f t="shared" si="288"/>
        <v>378.32000000000016</v>
      </c>
      <c r="U588" s="288">
        <f t="shared" si="289"/>
        <v>65.461020131705226</v>
      </c>
      <c r="W588" s="288">
        <f t="shared" si="290"/>
        <v>225.24870733938556</v>
      </c>
      <c r="X588" s="288">
        <f t="shared" si="320"/>
        <v>290.70972747109079</v>
      </c>
      <c r="Y588" s="288">
        <f t="shared" si="292"/>
        <v>356.17074760279604</v>
      </c>
      <c r="AA588" s="89"/>
      <c r="AB588" s="89"/>
      <c r="AC588" s="89"/>
      <c r="AD588" s="89"/>
      <c r="AE588" s="89"/>
      <c r="AF588" s="89"/>
      <c r="AG588" s="89"/>
      <c r="AH588" s="89"/>
      <c r="AI588" s="89"/>
      <c r="AJ588" s="89"/>
      <c r="AK588" s="89"/>
      <c r="AL588" s="89"/>
      <c r="AM588" s="89"/>
      <c r="AN588" s="89"/>
      <c r="BR588" s="180">
        <v>2048</v>
      </c>
      <c r="BS588" s="22">
        <v>34</v>
      </c>
      <c r="BT588" s="289">
        <f t="shared" si="303"/>
        <v>55.816316216361898</v>
      </c>
      <c r="BU588" s="289">
        <f t="shared" si="304"/>
        <v>230.33436221310069</v>
      </c>
      <c r="BV588" s="205">
        <f t="shared" si="305"/>
        <v>286.15067842946257</v>
      </c>
      <c r="BY588" s="180">
        <v>2048</v>
      </c>
      <c r="BZ588" s="22">
        <v>34</v>
      </c>
      <c r="CA588" s="289">
        <f t="shared" ca="1" si="306"/>
        <v>24.541684093337015</v>
      </c>
      <c r="CB588" s="289">
        <f t="shared" ca="1" si="307"/>
        <v>24.056489742631676</v>
      </c>
      <c r="CC588" s="289">
        <f t="shared" ca="1" si="318"/>
        <v>236.36363408378207</v>
      </c>
      <c r="CD588" s="205">
        <f t="shared" ca="1" si="308"/>
        <v>284.96180791975075</v>
      </c>
      <c r="CG588" s="180">
        <v>2048</v>
      </c>
      <c r="CH588" s="22">
        <v>34</v>
      </c>
      <c r="CI588" s="289">
        <f t="shared" ca="1" si="309"/>
        <v>-40.111517566563556</v>
      </c>
      <c r="CJ588" s="289">
        <f t="shared" ca="1" si="310"/>
        <v>102.40521819313685</v>
      </c>
      <c r="CK588" s="289">
        <f t="shared" ca="1" si="311"/>
        <v>-13.841260677957171</v>
      </c>
      <c r="CL588" s="289">
        <f t="shared" ca="1" si="312"/>
        <v>239.15217241572992</v>
      </c>
      <c r="CM588" s="205">
        <f t="shared" ca="1" si="313"/>
        <v>287.60461236434605</v>
      </c>
      <c r="CP588" s="180">
        <v>2048</v>
      </c>
      <c r="CQ588" s="22">
        <v>34</v>
      </c>
      <c r="CR588" s="289">
        <f t="shared" ca="1" si="314"/>
        <v>231.98398558817138</v>
      </c>
      <c r="CS588" s="289">
        <f t="shared" ca="1" si="315"/>
        <v>1.2312762034396467</v>
      </c>
      <c r="CT588" s="205">
        <f t="shared" ca="1" si="316"/>
        <v>285.63636103380139</v>
      </c>
      <c r="CZ588" s="164" t="b">
        <f t="shared" si="293"/>
        <v>1</v>
      </c>
      <c r="DA588" s="165" t="b">
        <f t="shared" si="293"/>
        <v>1</v>
      </c>
      <c r="DB588" s="166" t="b">
        <f t="shared" si="293"/>
        <v>1</v>
      </c>
      <c r="DC588" s="164">
        <f t="shared" si="294"/>
        <v>36</v>
      </c>
      <c r="DD588" s="166">
        <f t="shared" si="295"/>
        <v>225.24870733938556</v>
      </c>
      <c r="DE588" s="164">
        <f t="shared" si="296"/>
        <v>36</v>
      </c>
      <c r="DF588" s="166">
        <f t="shared" si="297"/>
        <v>290.70972747109079</v>
      </c>
      <c r="DG588" s="164">
        <f t="shared" si="298"/>
        <v>36</v>
      </c>
      <c r="DH588" s="166">
        <f t="shared" si="299"/>
        <v>356.17074760279604</v>
      </c>
      <c r="DI588" s="164">
        <f>IFERROR(INDEX(DC$550:DC$598,_xlfn.AGGREGATE(15,6,(ROW(DC$550:DC$598)-ROW(DC$550)+1)/(DC$550:DC$598&lt;&gt;""),ROWS(DI$1:DI39))),"")</f>
        <v>36</v>
      </c>
      <c r="DJ588" s="165">
        <f>IFERROR(INDEX(DD$550:DD$598,_xlfn.AGGREGATE(15,6,(ROW(DD$550:DD$598)-ROW(DD$550)+1)/(DD$550:DD$598&lt;&gt;""),ROWS(DJ$1:DJ39))),"")</f>
        <v>225.24870733938556</v>
      </c>
      <c r="DK588" s="166">
        <f t="shared" si="300"/>
        <v>588</v>
      </c>
      <c r="DL588" s="164">
        <f>IFERROR(INDEX(DE$550:DE$598,_xlfn.AGGREGATE(15,6,(ROW(DE$550:DE$598)-ROW(DE$550)+1)/(DE$550:DE$598&lt;&gt;""),ROWS(DL$1:DL39))),"")</f>
        <v>36</v>
      </c>
      <c r="DM588" s="165">
        <f>IFERROR(INDEX(DF$550:DF$598,_xlfn.AGGREGATE(15,6,(ROW(DF$550:DF$598)-ROW(DF$550)+1)/(DF$550:DF$598&lt;&gt;""),ROWS(DM$1:DM39))),"")</f>
        <v>290.70972747109079</v>
      </c>
      <c r="DN588" s="166">
        <f t="shared" si="301"/>
        <v>588</v>
      </c>
      <c r="DO588" s="164">
        <f>IFERROR(INDEX(DG$550:DG$598,_xlfn.AGGREGATE(15,6,(ROW(DG$550:DG$598)-ROW(DG$550)+1)/(DG$550:DG$598&lt;&gt;""),ROWS(DO$1:DO39))),"")</f>
        <v>36</v>
      </c>
      <c r="DP588" s="165">
        <f>IFERROR(INDEX(DH$550:DH$598,_xlfn.AGGREGATE(15,6,(ROW(DH$550:DH$598)-ROW(DH$550)+1)/(DH$550:DH$598&lt;&gt;""),ROWS(DP$1:DP39))),"")</f>
        <v>356.17074760279604</v>
      </c>
      <c r="DQ588" s="166">
        <f t="shared" si="302"/>
        <v>588</v>
      </c>
      <c r="DR588" s="65"/>
      <c r="DV588" s="145">
        <v>2053</v>
      </c>
      <c r="DW588" s="235">
        <f t="shared" ca="1" si="286"/>
        <v>297.47674362232146</v>
      </c>
      <c r="EA588" s="55"/>
      <c r="EB588" s="55"/>
      <c r="EC588" s="55"/>
      <c r="ED588" s="55"/>
      <c r="EE588" s="55"/>
    </row>
    <row r="589" spans="2:135" ht="13.8" x14ac:dyDescent="0.45">
      <c r="B589" s="128">
        <v>2051</v>
      </c>
      <c r="C589" s="957">
        <v>274.20370136722164</v>
      </c>
      <c r="D589" s="947">
        <v>381.44000000000017</v>
      </c>
      <c r="E589" s="308"/>
      <c r="F589" s="914"/>
      <c r="G589" s="294"/>
      <c r="H589" s="292"/>
      <c r="I589" s="1112">
        <v>222.35135135135147</v>
      </c>
      <c r="J589" s="294"/>
      <c r="K589" s="292"/>
      <c r="L589" s="293"/>
      <c r="M589" s="292"/>
      <c r="N589" s="29" t="s">
        <v>119</v>
      </c>
      <c r="O589" s="120"/>
      <c r="P589" s="120"/>
      <c r="Q589" s="120"/>
      <c r="R589" s="29">
        <v>37</v>
      </c>
      <c r="S589" s="288">
        <f t="shared" si="287"/>
        <v>222.35135135135147</v>
      </c>
      <c r="T589" s="288">
        <f t="shared" si="288"/>
        <v>381.44000000000017</v>
      </c>
      <c r="U589" s="288">
        <f t="shared" si="289"/>
        <v>66.246583203697597</v>
      </c>
      <c r="W589" s="288">
        <f t="shared" si="290"/>
        <v>226.4184343691602</v>
      </c>
      <c r="X589" s="288">
        <f t="shared" si="320"/>
        <v>292.66501757285778</v>
      </c>
      <c r="Y589" s="288">
        <f t="shared" si="292"/>
        <v>358.91160077655536</v>
      </c>
      <c r="AA589" s="89"/>
      <c r="AB589" s="89"/>
      <c r="AC589" s="89"/>
      <c r="AD589" s="89"/>
      <c r="AE589" s="89"/>
      <c r="AF589" s="89"/>
      <c r="AG589" s="89"/>
      <c r="AH589" s="89"/>
      <c r="AI589" s="89"/>
      <c r="AJ589" s="89"/>
      <c r="AK589" s="89"/>
      <c r="AL589" s="89"/>
      <c r="AM589" s="89"/>
      <c r="AN589" s="89"/>
      <c r="BR589" s="180">
        <v>2049</v>
      </c>
      <c r="BS589" s="22">
        <v>35</v>
      </c>
      <c r="BT589" s="289">
        <f t="shared" si="303"/>
        <v>57.457972575666659</v>
      </c>
      <c r="BU589" s="289">
        <f t="shared" si="304"/>
        <v>230.33436221310069</v>
      </c>
      <c r="BV589" s="205">
        <f t="shared" si="305"/>
        <v>287.79233478876733</v>
      </c>
      <c r="BY589" s="180">
        <v>2049</v>
      </c>
      <c r="BZ589" s="22">
        <v>35</v>
      </c>
      <c r="CA589" s="289">
        <f t="shared" ca="1" si="306"/>
        <v>26.00654239994623</v>
      </c>
      <c r="CB589" s="289">
        <f t="shared" ca="1" si="307"/>
        <v>24.764033558591429</v>
      </c>
      <c r="CC589" s="289">
        <f t="shared" ca="1" si="318"/>
        <v>236.36363408378207</v>
      </c>
      <c r="CD589" s="205">
        <f t="shared" ca="1" si="308"/>
        <v>287.13421004231975</v>
      </c>
      <c r="CG589" s="180">
        <v>2049</v>
      </c>
      <c r="CH589" s="22">
        <v>35</v>
      </c>
      <c r="CI589" s="289">
        <f t="shared" ca="1" si="309"/>
        <v>-43.75588529580736</v>
      </c>
      <c r="CJ589" s="289">
        <f t="shared" ca="1" si="310"/>
        <v>108.51764038632582</v>
      </c>
      <c r="CK589" s="289">
        <f t="shared" ca="1" si="311"/>
        <v>-14.248356580250029</v>
      </c>
      <c r="CL589" s="289">
        <f t="shared" ca="1" si="312"/>
        <v>239.15217241572992</v>
      </c>
      <c r="CM589" s="205">
        <f t="shared" ca="1" si="313"/>
        <v>289.66557092599834</v>
      </c>
      <c r="CP589" s="180">
        <v>2049</v>
      </c>
      <c r="CQ589" s="22">
        <v>35</v>
      </c>
      <c r="CR589" s="289">
        <f t="shared" ca="1" si="314"/>
        <v>231.98398558817138</v>
      </c>
      <c r="CS589" s="289">
        <f t="shared" ca="1" si="315"/>
        <v>1.2388336697333433</v>
      </c>
      <c r="CT589" s="205">
        <f t="shared" ca="1" si="316"/>
        <v>287.38957218556135</v>
      </c>
      <c r="CZ589" s="164" t="b">
        <f t="shared" si="293"/>
        <v>1</v>
      </c>
      <c r="DA589" s="165" t="b">
        <f t="shared" si="293"/>
        <v>1</v>
      </c>
      <c r="DB589" s="166" t="b">
        <f t="shared" si="293"/>
        <v>1</v>
      </c>
      <c r="DC589" s="164">
        <f t="shared" si="294"/>
        <v>37</v>
      </c>
      <c r="DD589" s="166">
        <f t="shared" si="295"/>
        <v>226.4184343691602</v>
      </c>
      <c r="DE589" s="164">
        <f t="shared" si="296"/>
        <v>37</v>
      </c>
      <c r="DF589" s="166">
        <f t="shared" si="297"/>
        <v>292.66501757285778</v>
      </c>
      <c r="DG589" s="164">
        <f t="shared" si="298"/>
        <v>37</v>
      </c>
      <c r="DH589" s="166">
        <f t="shared" si="299"/>
        <v>358.91160077655536</v>
      </c>
      <c r="DI589" s="164">
        <f>IFERROR(INDEX(DC$550:DC$598,_xlfn.AGGREGATE(15,6,(ROW(DC$550:DC$598)-ROW(DC$550)+1)/(DC$550:DC$598&lt;&gt;""),ROWS(DI$1:DI40))),"")</f>
        <v>37</v>
      </c>
      <c r="DJ589" s="165">
        <f>IFERROR(INDEX(DD$550:DD$598,_xlfn.AGGREGATE(15,6,(ROW(DD$550:DD$598)-ROW(DD$550)+1)/(DD$550:DD$598&lt;&gt;""),ROWS(DJ$1:DJ40))),"")</f>
        <v>226.4184343691602</v>
      </c>
      <c r="DK589" s="166">
        <f t="shared" si="300"/>
        <v>589</v>
      </c>
      <c r="DL589" s="164">
        <f>IFERROR(INDEX(DE$550:DE$598,_xlfn.AGGREGATE(15,6,(ROW(DE$550:DE$598)-ROW(DE$550)+1)/(DE$550:DE$598&lt;&gt;""),ROWS(DL$1:DL40))),"")</f>
        <v>37</v>
      </c>
      <c r="DM589" s="165">
        <f>IFERROR(INDEX(DF$550:DF$598,_xlfn.AGGREGATE(15,6,(ROW(DF$550:DF$598)-ROW(DF$550)+1)/(DF$550:DF$598&lt;&gt;""),ROWS(DM$1:DM40))),"")</f>
        <v>292.66501757285778</v>
      </c>
      <c r="DN589" s="166">
        <f t="shared" si="301"/>
        <v>589</v>
      </c>
      <c r="DO589" s="164">
        <f>IFERROR(INDEX(DG$550:DG$598,_xlfn.AGGREGATE(15,6,(ROW(DG$550:DG$598)-ROW(DG$550)+1)/(DG$550:DG$598&lt;&gt;""),ROWS(DO$1:DO40))),"")</f>
        <v>37</v>
      </c>
      <c r="DP589" s="165">
        <f>IFERROR(INDEX(DH$550:DH$598,_xlfn.AGGREGATE(15,6,(ROW(DH$550:DH$598)-ROW(DH$550)+1)/(DH$550:DH$598&lt;&gt;""),ROWS(DP$1:DP40))),"")</f>
        <v>358.91160077655536</v>
      </c>
      <c r="DQ589" s="166">
        <f t="shared" si="302"/>
        <v>589</v>
      </c>
      <c r="DR589" s="65"/>
      <c r="DV589" s="145">
        <v>2054</v>
      </c>
      <c r="DW589" s="235">
        <f t="shared" ca="1" si="286"/>
        <v>299.29075504594152</v>
      </c>
      <c r="EA589" s="55"/>
      <c r="EB589" s="55"/>
      <c r="EC589" s="55"/>
      <c r="ED589" s="55"/>
      <c r="EE589" s="55"/>
    </row>
    <row r="590" spans="2:135" ht="14.1" thickBot="1" x14ac:dyDescent="0.5">
      <c r="B590" s="128">
        <v>2052</v>
      </c>
      <c r="C590" s="957">
        <v>275.59822032117114</v>
      </c>
      <c r="D590" s="947">
        <v>384.56000000000017</v>
      </c>
      <c r="E590" s="308"/>
      <c r="F590" s="914"/>
      <c r="G590" s="294"/>
      <c r="H590" s="292"/>
      <c r="I590" s="1112">
        <v>223.70270270270282</v>
      </c>
      <c r="J590" s="294"/>
      <c r="K590" s="292"/>
      <c r="L590" s="293"/>
      <c r="M590" s="292"/>
      <c r="N590" s="29" t="s">
        <v>119</v>
      </c>
      <c r="O590" s="120"/>
      <c r="P590" s="120"/>
      <c r="Q590" s="120"/>
      <c r="R590" s="29">
        <v>38</v>
      </c>
      <c r="S590" s="288">
        <f t="shared" si="287"/>
        <v>223.70270270270282</v>
      </c>
      <c r="T590" s="288">
        <f t="shared" si="288"/>
        <v>384.56000000000017</v>
      </c>
      <c r="U590" s="288">
        <f t="shared" si="289"/>
        <v>67.033063378751706</v>
      </c>
      <c r="W590" s="288">
        <f t="shared" si="290"/>
        <v>227.58724429587301</v>
      </c>
      <c r="X590" s="288">
        <f t="shared" si="320"/>
        <v>294.62030767462471</v>
      </c>
      <c r="Y590" s="288">
        <f t="shared" si="292"/>
        <v>361.65337105337642</v>
      </c>
      <c r="AA590" s="89"/>
      <c r="AB590" s="89"/>
      <c r="AC590" s="89"/>
      <c r="AD590" s="89"/>
      <c r="AE590" s="89"/>
      <c r="AF590" s="89"/>
      <c r="AG590" s="89"/>
      <c r="AH590" s="89"/>
      <c r="AI590" s="89"/>
      <c r="AJ590" s="89"/>
      <c r="AK590" s="89"/>
      <c r="AL590" s="89"/>
      <c r="AM590" s="89"/>
      <c r="AN590" s="89"/>
      <c r="BR590" s="180">
        <v>2050</v>
      </c>
      <c r="BS590" s="22">
        <v>36</v>
      </c>
      <c r="BT590" s="289">
        <f t="shared" si="303"/>
        <v>59.09962893497142</v>
      </c>
      <c r="BU590" s="289">
        <f t="shared" si="304"/>
        <v>230.33436221310069</v>
      </c>
      <c r="BV590" s="212">
        <f t="shared" si="305"/>
        <v>289.4339911480721</v>
      </c>
      <c r="BY590" s="180">
        <v>2050</v>
      </c>
      <c r="BZ590" s="22">
        <v>36</v>
      </c>
      <c r="CA590" s="289">
        <f t="shared" ca="1" si="306"/>
        <v>27.513860367616584</v>
      </c>
      <c r="CB590" s="289">
        <f t="shared" ca="1" si="307"/>
        <v>25.471577374551185</v>
      </c>
      <c r="CC590" s="289">
        <f t="shared" ca="1" si="318"/>
        <v>236.36363408378207</v>
      </c>
      <c r="CD590" s="212">
        <f t="shared" ca="1" si="308"/>
        <v>289.34907182594986</v>
      </c>
      <c r="CG590" s="180">
        <v>2050</v>
      </c>
      <c r="CH590" s="22">
        <v>36</v>
      </c>
      <c r="CI590" s="289">
        <f t="shared" ca="1" si="309"/>
        <v>-47.614567565275529</v>
      </c>
      <c r="CJ590" s="289">
        <f t="shared" ca="1" si="310"/>
        <v>114.80723423728837</v>
      </c>
      <c r="CK590" s="289">
        <f t="shared" ca="1" si="311"/>
        <v>-14.655452482542888</v>
      </c>
      <c r="CL590" s="289">
        <f t="shared" ca="1" si="312"/>
        <v>239.15217241572992</v>
      </c>
      <c r="CM590" s="212">
        <f t="shared" ca="1" si="313"/>
        <v>291.6893866051999</v>
      </c>
      <c r="CP590" s="180">
        <v>2050</v>
      </c>
      <c r="CQ590" s="22">
        <v>36</v>
      </c>
      <c r="CR590" s="289">
        <f t="shared" ca="1" si="314"/>
        <v>231.98398558817138</v>
      </c>
      <c r="CS590" s="289">
        <f t="shared" ca="1" si="315"/>
        <v>1.2464375230981299</v>
      </c>
      <c r="CT590" s="212">
        <f t="shared" ca="1" si="316"/>
        <v>289.15354439495263</v>
      </c>
      <c r="CZ590" s="164" t="b">
        <f t="shared" ref="CZ590:DB598" si="321">ISNUMBER(W590)</f>
        <v>1</v>
      </c>
      <c r="DA590" s="165" t="b">
        <f t="shared" si="321"/>
        <v>1</v>
      </c>
      <c r="DB590" s="166" t="b">
        <f t="shared" si="321"/>
        <v>1</v>
      </c>
      <c r="DC590" s="164">
        <f t="shared" si="294"/>
        <v>38</v>
      </c>
      <c r="DD590" s="166">
        <f t="shared" si="295"/>
        <v>227.58724429587301</v>
      </c>
      <c r="DE590" s="164">
        <f t="shared" si="296"/>
        <v>38</v>
      </c>
      <c r="DF590" s="166">
        <f t="shared" si="297"/>
        <v>294.62030767462471</v>
      </c>
      <c r="DG590" s="164">
        <f t="shared" si="298"/>
        <v>38</v>
      </c>
      <c r="DH590" s="166">
        <f t="shared" si="299"/>
        <v>361.65337105337642</v>
      </c>
      <c r="DI590" s="164">
        <f>IFERROR(INDEX(DC$550:DC$598,_xlfn.AGGREGATE(15,6,(ROW(DC$550:DC$598)-ROW(DC$550)+1)/(DC$550:DC$598&lt;&gt;""),ROWS(DI$1:DI41))),"")</f>
        <v>38</v>
      </c>
      <c r="DJ590" s="165">
        <f>IFERROR(INDEX(DD$550:DD$598,_xlfn.AGGREGATE(15,6,(ROW(DD$550:DD$598)-ROW(DD$550)+1)/(DD$550:DD$598&lt;&gt;""),ROWS(DJ$1:DJ41))),"")</f>
        <v>227.58724429587301</v>
      </c>
      <c r="DK590" s="166">
        <f t="shared" si="300"/>
        <v>590</v>
      </c>
      <c r="DL590" s="164">
        <f>IFERROR(INDEX(DE$550:DE$598,_xlfn.AGGREGATE(15,6,(ROW(DE$550:DE$598)-ROW(DE$550)+1)/(DE$550:DE$598&lt;&gt;""),ROWS(DL$1:DL41))),"")</f>
        <v>38</v>
      </c>
      <c r="DM590" s="165">
        <f>IFERROR(INDEX(DF$550:DF$598,_xlfn.AGGREGATE(15,6,(ROW(DF$550:DF$598)-ROW(DF$550)+1)/(DF$550:DF$598&lt;&gt;""),ROWS(DM$1:DM41))),"")</f>
        <v>294.62030767462471</v>
      </c>
      <c r="DN590" s="166">
        <f t="shared" si="301"/>
        <v>590</v>
      </c>
      <c r="DO590" s="164">
        <f>IFERROR(INDEX(DG$550:DG$598,_xlfn.AGGREGATE(15,6,(ROW(DG$550:DG$598)-ROW(DG$550)+1)/(DG$550:DG$598&lt;&gt;""),ROWS(DO$1:DO41))),"")</f>
        <v>38</v>
      </c>
      <c r="DP590" s="165">
        <f>IFERROR(INDEX(DH$550:DH$598,_xlfn.AGGREGATE(15,6,(ROW(DH$550:DH$598)-ROW(DH$550)+1)/(DH$550:DH$598&lt;&gt;""),ROWS(DP$1:DP41))),"")</f>
        <v>361.65337105337642</v>
      </c>
      <c r="DQ590" s="166">
        <f t="shared" si="302"/>
        <v>590</v>
      </c>
      <c r="DR590" s="65"/>
      <c r="DV590" s="145">
        <v>2055</v>
      </c>
      <c r="DW590" s="235">
        <f t="shared" ca="1" si="286"/>
        <v>301.03700722422161</v>
      </c>
      <c r="EA590" s="55"/>
      <c r="EB590" s="55"/>
      <c r="EC590" s="55"/>
      <c r="ED590" s="55"/>
      <c r="EE590" s="55"/>
    </row>
    <row r="591" spans="2:135" ht="13.8" x14ac:dyDescent="0.45">
      <c r="B591" s="128">
        <v>2053</v>
      </c>
      <c r="C591" s="957">
        <v>276.99273927512064</v>
      </c>
      <c r="D591" s="947">
        <v>387.68000000000018</v>
      </c>
      <c r="E591" s="308"/>
      <c r="F591" s="914"/>
      <c r="G591" s="294"/>
      <c r="H591" s="292"/>
      <c r="I591" s="1112">
        <v>225.05405405405418</v>
      </c>
      <c r="J591" s="294"/>
      <c r="K591" s="292"/>
      <c r="L591" s="293"/>
      <c r="M591" s="292"/>
      <c r="N591" s="29" t="s">
        <v>119</v>
      </c>
      <c r="O591" s="120"/>
      <c r="P591" s="120"/>
      <c r="Q591" s="120"/>
      <c r="R591" s="29">
        <v>39</v>
      </c>
      <c r="S591" s="288">
        <f t="shared" si="287"/>
        <v>225.05405405405418</v>
      </c>
      <c r="T591" s="288">
        <f t="shared" si="288"/>
        <v>387.68000000000018</v>
      </c>
      <c r="U591" s="288">
        <f t="shared" si="289"/>
        <v>67.82042875129406</v>
      </c>
      <c r="W591" s="288">
        <f t="shared" si="290"/>
        <v>228.75516902509764</v>
      </c>
      <c r="X591" s="288">
        <f t="shared" si="320"/>
        <v>296.5755977763917</v>
      </c>
      <c r="Y591" s="288">
        <f t="shared" si="292"/>
        <v>364.39602652768576</v>
      </c>
      <c r="AA591" s="89"/>
      <c r="AB591" s="89"/>
      <c r="AC591" s="89"/>
      <c r="AD591" s="89"/>
      <c r="AE591" s="89"/>
      <c r="AF591" s="89"/>
      <c r="AG591" s="89"/>
      <c r="AH591" s="89"/>
      <c r="AI591" s="89"/>
      <c r="AJ591" s="89"/>
      <c r="AK591" s="89"/>
      <c r="AL591" s="89"/>
      <c r="AM591" s="89"/>
      <c r="AN591" s="89"/>
      <c r="BR591" s="180">
        <v>2051</v>
      </c>
      <c r="BS591" s="22">
        <v>37</v>
      </c>
      <c r="BT591" s="289">
        <f t="shared" si="303"/>
        <v>60.741285294276182</v>
      </c>
      <c r="BU591" s="289">
        <f t="shared" si="304"/>
        <v>230.33436221310069</v>
      </c>
      <c r="BV591" s="285">
        <f t="shared" si="305"/>
        <v>291.07564750737686</v>
      </c>
      <c r="BY591" s="180">
        <v>2051</v>
      </c>
      <c r="BZ591" s="22">
        <v>37</v>
      </c>
      <c r="CA591" s="289">
        <f t="shared" ca="1" si="306"/>
        <v>29.063637996348074</v>
      </c>
      <c r="CB591" s="289">
        <f t="shared" ca="1" si="307"/>
        <v>26.179121190510941</v>
      </c>
      <c r="CC591" s="289">
        <f t="shared" ca="1" si="318"/>
        <v>236.36363408378207</v>
      </c>
      <c r="CD591" s="285">
        <f t="shared" ca="1" si="308"/>
        <v>291.60639327064109</v>
      </c>
      <c r="CG591" s="180">
        <v>2051</v>
      </c>
      <c r="CH591" s="22">
        <v>37</v>
      </c>
      <c r="CI591" s="289">
        <f t="shared" ca="1" si="309"/>
        <v>-51.693687647545893</v>
      </c>
      <c r="CJ591" s="289">
        <f t="shared" ca="1" si="310"/>
        <v>121.27399974602453</v>
      </c>
      <c r="CK591" s="289">
        <f t="shared" ca="1" si="311"/>
        <v>-15.062548384835745</v>
      </c>
      <c r="CL591" s="289">
        <f t="shared" ca="1" si="312"/>
        <v>239.15217241572992</v>
      </c>
      <c r="CM591" s="285">
        <f t="shared" ca="1" si="313"/>
        <v>293.66993612937279</v>
      </c>
      <c r="CP591" s="180">
        <v>2051</v>
      </c>
      <c r="CQ591" s="22">
        <v>37</v>
      </c>
      <c r="CR591" s="289">
        <f t="shared" ca="1" si="314"/>
        <v>231.98398558817138</v>
      </c>
      <c r="CS591" s="289">
        <f t="shared" ca="1" si="315"/>
        <v>1.2540880482538161</v>
      </c>
      <c r="CT591" s="285">
        <f t="shared" ca="1" si="316"/>
        <v>290.92834371241128</v>
      </c>
      <c r="CZ591" s="164" t="b">
        <f t="shared" si="321"/>
        <v>1</v>
      </c>
      <c r="DA591" s="165" t="b">
        <f t="shared" si="321"/>
        <v>1</v>
      </c>
      <c r="DB591" s="166" t="b">
        <f t="shared" si="321"/>
        <v>1</v>
      </c>
      <c r="DC591" s="164">
        <f t="shared" si="294"/>
        <v>39</v>
      </c>
      <c r="DD591" s="166">
        <f t="shared" si="295"/>
        <v>228.75516902509764</v>
      </c>
      <c r="DE591" s="164">
        <f t="shared" si="296"/>
        <v>39</v>
      </c>
      <c r="DF591" s="166">
        <f t="shared" si="297"/>
        <v>296.5755977763917</v>
      </c>
      <c r="DG591" s="164">
        <f t="shared" si="298"/>
        <v>39</v>
      </c>
      <c r="DH591" s="166">
        <f t="shared" si="299"/>
        <v>364.39602652768576</v>
      </c>
      <c r="DI591" s="164">
        <f>IFERROR(INDEX(DC$550:DC$598,_xlfn.AGGREGATE(15,6,(ROW(DC$550:DC$598)-ROW(DC$550)+1)/(DC$550:DC$598&lt;&gt;""),ROWS(DI$1:DI42))),"")</f>
        <v>39</v>
      </c>
      <c r="DJ591" s="165">
        <f>IFERROR(INDEX(DD$550:DD$598,_xlfn.AGGREGATE(15,6,(ROW(DD$550:DD$598)-ROW(DD$550)+1)/(DD$550:DD$598&lt;&gt;""),ROWS(DJ$1:DJ42))),"")</f>
        <v>228.75516902509764</v>
      </c>
      <c r="DK591" s="166">
        <f t="shared" si="300"/>
        <v>591</v>
      </c>
      <c r="DL591" s="164">
        <f>IFERROR(INDEX(DE$550:DE$598,_xlfn.AGGREGATE(15,6,(ROW(DE$550:DE$598)-ROW(DE$550)+1)/(DE$550:DE$598&lt;&gt;""),ROWS(DL$1:DL42))),"")</f>
        <v>39</v>
      </c>
      <c r="DM591" s="165">
        <f>IFERROR(INDEX(DF$550:DF$598,_xlfn.AGGREGATE(15,6,(ROW(DF$550:DF$598)-ROW(DF$550)+1)/(DF$550:DF$598&lt;&gt;""),ROWS(DM$1:DM42))),"")</f>
        <v>296.5755977763917</v>
      </c>
      <c r="DN591" s="166">
        <f t="shared" si="301"/>
        <v>591</v>
      </c>
      <c r="DO591" s="164">
        <f>IFERROR(INDEX(DG$550:DG$598,_xlfn.AGGREGATE(15,6,(ROW(DG$550:DG$598)-ROW(DG$550)+1)/(DG$550:DG$598&lt;&gt;""),ROWS(DO$1:DO42))),"")</f>
        <v>39</v>
      </c>
      <c r="DP591" s="165">
        <f>IFERROR(INDEX(DH$550:DH$598,_xlfn.AGGREGATE(15,6,(ROW(DH$550:DH$598)-ROW(DH$550)+1)/(DH$550:DH$598&lt;&gt;""),ROWS(DP$1:DP42))),"")</f>
        <v>364.39602652768576</v>
      </c>
      <c r="DQ591" s="166">
        <f t="shared" si="302"/>
        <v>591</v>
      </c>
      <c r="DR591" s="65"/>
      <c r="DV591" s="145">
        <v>2056</v>
      </c>
      <c r="DW591" s="235">
        <f t="shared" ca="1" si="286"/>
        <v>302.70937688458395</v>
      </c>
      <c r="EA591" s="55"/>
      <c r="EB591" s="55"/>
      <c r="EC591" s="55"/>
      <c r="ED591" s="55"/>
      <c r="EE591" s="55"/>
    </row>
    <row r="592" spans="2:135" ht="13.8" x14ac:dyDescent="0.45">
      <c r="B592" s="128">
        <v>2054</v>
      </c>
      <c r="C592" s="957">
        <v>278.38725822907014</v>
      </c>
      <c r="D592" s="947">
        <v>390.80000000000018</v>
      </c>
      <c r="E592" s="308"/>
      <c r="F592" s="914"/>
      <c r="G592" s="294"/>
      <c r="H592" s="292"/>
      <c r="I592" s="1112">
        <v>226.40540540540553</v>
      </c>
      <c r="J592" s="294"/>
      <c r="K592" s="292"/>
      <c r="L592" s="293"/>
      <c r="M592" s="292"/>
      <c r="N592" s="29" t="s">
        <v>119</v>
      </c>
      <c r="O592" s="120"/>
      <c r="P592" s="120"/>
      <c r="Q592" s="120"/>
      <c r="R592" s="29">
        <v>40</v>
      </c>
      <c r="S592" s="288">
        <f t="shared" si="287"/>
        <v>226.40540540540553</v>
      </c>
      <c r="T592" s="288">
        <f t="shared" si="288"/>
        <v>390.80000000000018</v>
      </c>
      <c r="U592" s="288">
        <f t="shared" si="289"/>
        <v>68.608648845268448</v>
      </c>
      <c r="W592" s="288">
        <f t="shared" si="290"/>
        <v>229.92223903289013</v>
      </c>
      <c r="X592" s="288">
        <f t="shared" si="320"/>
        <v>298.53088787815858</v>
      </c>
      <c r="Y592" s="288">
        <f t="shared" si="292"/>
        <v>367.139536723427</v>
      </c>
      <c r="AA592" s="89"/>
      <c r="AB592" s="89"/>
      <c r="AC592" s="89"/>
      <c r="AD592" s="89"/>
      <c r="AE592" s="89"/>
      <c r="AF592" s="89"/>
      <c r="AG592" s="89"/>
      <c r="AH592" s="89"/>
      <c r="AI592" s="89"/>
      <c r="AJ592" s="89"/>
      <c r="AK592" s="89"/>
      <c r="AL592" s="89"/>
      <c r="AM592" s="89"/>
      <c r="AN592" s="89"/>
      <c r="BR592" s="180">
        <v>2052</v>
      </c>
      <c r="BS592" s="22">
        <v>38</v>
      </c>
      <c r="BT592" s="289">
        <f t="shared" si="303"/>
        <v>62.382941653580943</v>
      </c>
      <c r="BU592" s="289">
        <f t="shared" si="304"/>
        <v>230.33436221310069</v>
      </c>
      <c r="BV592" s="299">
        <f t="shared" si="305"/>
        <v>292.71730386668162</v>
      </c>
      <c r="BY592" s="180">
        <v>2052</v>
      </c>
      <c r="BZ592" s="22">
        <v>38</v>
      </c>
      <c r="CA592" s="289">
        <f t="shared" ca="1" si="306"/>
        <v>30.655875286140699</v>
      </c>
      <c r="CB592" s="289">
        <f t="shared" ca="1" si="307"/>
        <v>26.886665006470693</v>
      </c>
      <c r="CC592" s="289">
        <f t="shared" ca="1" si="318"/>
        <v>236.36363408378207</v>
      </c>
      <c r="CD592" s="299">
        <f t="shared" ca="1" si="308"/>
        <v>293.90617437639344</v>
      </c>
      <c r="CG592" s="180">
        <v>2052</v>
      </c>
      <c r="CH592" s="22">
        <v>38</v>
      </c>
      <c r="CI592" s="289">
        <f t="shared" ca="1" si="309"/>
        <v>-55.999368815196306</v>
      </c>
      <c r="CJ592" s="289">
        <f t="shared" ca="1" si="310"/>
        <v>127.91793691253427</v>
      </c>
      <c r="CK592" s="289">
        <f t="shared" ca="1" si="311"/>
        <v>-15.469644287128602</v>
      </c>
      <c r="CL592" s="289">
        <f t="shared" ca="1" si="312"/>
        <v>239.15217241572992</v>
      </c>
      <c r="CM592" s="299">
        <f t="shared" ca="1" si="313"/>
        <v>295.60109622593927</v>
      </c>
      <c r="CP592" s="180">
        <v>2052</v>
      </c>
      <c r="CQ592" s="22">
        <v>38</v>
      </c>
      <c r="CR592" s="289">
        <f t="shared" ca="1" si="314"/>
        <v>231.98398558817138</v>
      </c>
      <c r="CS592" s="289">
        <f t="shared" ca="1" si="315"/>
        <v>1.2617855316677968</v>
      </c>
      <c r="CT592" s="299">
        <f t="shared" ca="1" si="316"/>
        <v>292.71403659378535</v>
      </c>
      <c r="CZ592" s="164" t="b">
        <f t="shared" si="321"/>
        <v>1</v>
      </c>
      <c r="DA592" s="165" t="b">
        <f t="shared" si="321"/>
        <v>1</v>
      </c>
      <c r="DB592" s="166" t="b">
        <f t="shared" si="321"/>
        <v>1</v>
      </c>
      <c r="DC592" s="164">
        <f t="shared" si="294"/>
        <v>40</v>
      </c>
      <c r="DD592" s="166">
        <f t="shared" si="295"/>
        <v>229.92223903289013</v>
      </c>
      <c r="DE592" s="164">
        <f t="shared" si="296"/>
        <v>40</v>
      </c>
      <c r="DF592" s="166">
        <f t="shared" si="297"/>
        <v>298.53088787815858</v>
      </c>
      <c r="DG592" s="164">
        <f t="shared" si="298"/>
        <v>40</v>
      </c>
      <c r="DH592" s="166">
        <f t="shared" si="299"/>
        <v>367.139536723427</v>
      </c>
      <c r="DI592" s="164">
        <f>IFERROR(INDEX(DC$550:DC$598,_xlfn.AGGREGATE(15,6,(ROW(DC$550:DC$598)-ROW(DC$550)+1)/(DC$550:DC$598&lt;&gt;""),ROWS(DI$1:DI43))),"")</f>
        <v>40</v>
      </c>
      <c r="DJ592" s="165">
        <f>IFERROR(INDEX(DD$550:DD$598,_xlfn.AGGREGATE(15,6,(ROW(DD$550:DD$598)-ROW(DD$550)+1)/(DD$550:DD$598&lt;&gt;""),ROWS(DJ$1:DJ43))),"")</f>
        <v>229.92223903289013</v>
      </c>
      <c r="DK592" s="166">
        <f t="shared" si="300"/>
        <v>592</v>
      </c>
      <c r="DL592" s="164">
        <f>IFERROR(INDEX(DE$550:DE$598,_xlfn.AGGREGATE(15,6,(ROW(DE$550:DE$598)-ROW(DE$550)+1)/(DE$550:DE$598&lt;&gt;""),ROWS(DL$1:DL43))),"")</f>
        <v>40</v>
      </c>
      <c r="DM592" s="165">
        <f>IFERROR(INDEX(DF$550:DF$598,_xlfn.AGGREGATE(15,6,(ROW(DF$550:DF$598)-ROW(DF$550)+1)/(DF$550:DF$598&lt;&gt;""),ROWS(DM$1:DM43))),"")</f>
        <v>298.53088787815858</v>
      </c>
      <c r="DN592" s="166">
        <f t="shared" si="301"/>
        <v>592</v>
      </c>
      <c r="DO592" s="164">
        <f>IFERROR(INDEX(DG$550:DG$598,_xlfn.AGGREGATE(15,6,(ROW(DG$550:DG$598)-ROW(DG$550)+1)/(DG$550:DG$598&lt;&gt;""),ROWS(DO$1:DO43))),"")</f>
        <v>40</v>
      </c>
      <c r="DP592" s="165">
        <f>IFERROR(INDEX(DH$550:DH$598,_xlfn.AGGREGATE(15,6,(ROW(DH$550:DH$598)-ROW(DH$550)+1)/(DH$550:DH$598&lt;&gt;""),ROWS(DP$1:DP43))),"")</f>
        <v>367.139536723427</v>
      </c>
      <c r="DQ592" s="166">
        <f t="shared" si="302"/>
        <v>592</v>
      </c>
      <c r="DR592" s="65"/>
      <c r="DV592" s="145">
        <v>2057</v>
      </c>
      <c r="DW592" s="235">
        <f t="shared" ca="1" si="286"/>
        <v>304.30174075445063</v>
      </c>
      <c r="EA592" s="55"/>
      <c r="EB592" s="55"/>
      <c r="EC592" s="55"/>
      <c r="ED592" s="55"/>
      <c r="EE592" s="55"/>
    </row>
    <row r="593" spans="1:135" ht="13.8" x14ac:dyDescent="0.45">
      <c r="B593" s="128">
        <v>2055</v>
      </c>
      <c r="C593" s="957">
        <v>279.78177718301964</v>
      </c>
      <c r="D593" s="947">
        <v>393.92000000000019</v>
      </c>
      <c r="E593" s="308"/>
      <c r="F593" s="914"/>
      <c r="G593" s="294"/>
      <c r="H593" s="292"/>
      <c r="I593" s="1112">
        <v>227.75675675675686</v>
      </c>
      <c r="J593" s="294"/>
      <c r="K593" s="292"/>
      <c r="L593" s="293"/>
      <c r="M593" s="292"/>
      <c r="N593" s="29" t="s">
        <v>119</v>
      </c>
      <c r="O593" s="120"/>
      <c r="P593" s="120"/>
      <c r="Q593" s="120"/>
      <c r="R593" s="29">
        <v>41</v>
      </c>
      <c r="S593" s="288">
        <f t="shared" si="287"/>
        <v>227.75675675675686</v>
      </c>
      <c r="T593" s="288">
        <f t="shared" si="288"/>
        <v>393.92000000000019</v>
      </c>
      <c r="U593" s="288">
        <f t="shared" si="289"/>
        <v>69.397694536862332</v>
      </c>
      <c r="W593" s="288">
        <f t="shared" si="290"/>
        <v>231.08848344306324</v>
      </c>
      <c r="X593" s="288">
        <f t="shared" si="320"/>
        <v>300.48617797992557</v>
      </c>
      <c r="Y593" s="288">
        <f t="shared" si="292"/>
        <v>369.8838725167879</v>
      </c>
      <c r="AA593" s="89"/>
      <c r="AB593" s="89"/>
      <c r="AC593" s="89"/>
      <c r="AD593" s="89"/>
      <c r="AE593" s="89"/>
      <c r="AF593" s="89"/>
      <c r="AG593" s="89"/>
      <c r="AH593" s="89"/>
      <c r="AI593" s="89"/>
      <c r="AJ593" s="89"/>
      <c r="AK593" s="89"/>
      <c r="AL593" s="89"/>
      <c r="AM593" s="89"/>
      <c r="AN593" s="89"/>
      <c r="BR593" s="180">
        <v>2053</v>
      </c>
      <c r="BS593" s="22">
        <v>39</v>
      </c>
      <c r="BT593" s="289">
        <f t="shared" si="303"/>
        <v>64.024598012885704</v>
      </c>
      <c r="BU593" s="289">
        <f t="shared" si="304"/>
        <v>230.33436221310069</v>
      </c>
      <c r="BV593" s="299">
        <f t="shared" si="305"/>
        <v>294.35896022598638</v>
      </c>
      <c r="BY593" s="180">
        <v>2053</v>
      </c>
      <c r="BZ593" s="22">
        <v>39</v>
      </c>
      <c r="CA593" s="289">
        <f t="shared" ca="1" si="306"/>
        <v>32.290572236994464</v>
      </c>
      <c r="CB593" s="289">
        <f t="shared" ca="1" si="307"/>
        <v>27.594208822430449</v>
      </c>
      <c r="CC593" s="289">
        <f t="shared" ca="1" si="318"/>
        <v>236.36363408378207</v>
      </c>
      <c r="CD593" s="299">
        <f t="shared" ca="1" si="308"/>
        <v>296.24841514320701</v>
      </c>
      <c r="CG593" s="180">
        <v>2053</v>
      </c>
      <c r="CH593" s="22">
        <v>39</v>
      </c>
      <c r="CI593" s="289">
        <f t="shared" ca="1" si="309"/>
        <v>-60.53773434080459</v>
      </c>
      <c r="CJ593" s="289">
        <f t="shared" ca="1" si="310"/>
        <v>134.73904573681762</v>
      </c>
      <c r="CK593" s="289">
        <f t="shared" ca="1" si="311"/>
        <v>-15.876740189421461</v>
      </c>
      <c r="CL593" s="289">
        <f t="shared" ca="1" si="312"/>
        <v>239.15217241572992</v>
      </c>
      <c r="CM593" s="299">
        <f t="shared" ca="1" si="313"/>
        <v>297.47674362232146</v>
      </c>
      <c r="CP593" s="180">
        <v>2053</v>
      </c>
      <c r="CQ593" s="22">
        <v>39</v>
      </c>
      <c r="CR593" s="289">
        <f t="shared" ca="1" si="314"/>
        <v>231.98398558817138</v>
      </c>
      <c r="CS593" s="289">
        <f t="shared" ca="1" si="315"/>
        <v>1.2695302615657795</v>
      </c>
      <c r="CT593" s="299">
        <f t="shared" ca="1" si="316"/>
        <v>294.51068990282323</v>
      </c>
      <c r="CZ593" s="164" t="b">
        <f t="shared" si="321"/>
        <v>1</v>
      </c>
      <c r="DA593" s="165" t="b">
        <f t="shared" si="321"/>
        <v>1</v>
      </c>
      <c r="DB593" s="166" t="b">
        <f t="shared" si="321"/>
        <v>1</v>
      </c>
      <c r="DC593" s="164">
        <f t="shared" si="294"/>
        <v>41</v>
      </c>
      <c r="DD593" s="166">
        <f t="shared" si="295"/>
        <v>231.08848344306324</v>
      </c>
      <c r="DE593" s="164">
        <f t="shared" si="296"/>
        <v>41</v>
      </c>
      <c r="DF593" s="166">
        <f t="shared" si="297"/>
        <v>300.48617797992557</v>
      </c>
      <c r="DG593" s="164">
        <f t="shared" si="298"/>
        <v>41</v>
      </c>
      <c r="DH593" s="166">
        <f t="shared" si="299"/>
        <v>369.8838725167879</v>
      </c>
      <c r="DI593" s="164">
        <f>IFERROR(INDEX(DC$550:DC$598,_xlfn.AGGREGATE(15,6,(ROW(DC$550:DC$598)-ROW(DC$550)+1)/(DC$550:DC$598&lt;&gt;""),ROWS(DI$1:DI44))),"")</f>
        <v>41</v>
      </c>
      <c r="DJ593" s="165">
        <f>IFERROR(INDEX(DD$550:DD$598,_xlfn.AGGREGATE(15,6,(ROW(DD$550:DD$598)-ROW(DD$550)+1)/(DD$550:DD$598&lt;&gt;""),ROWS(DJ$1:DJ44))),"")</f>
        <v>231.08848344306324</v>
      </c>
      <c r="DK593" s="166">
        <f t="shared" si="300"/>
        <v>593</v>
      </c>
      <c r="DL593" s="164">
        <f>IFERROR(INDEX(DE$550:DE$598,_xlfn.AGGREGATE(15,6,(ROW(DE$550:DE$598)-ROW(DE$550)+1)/(DE$550:DE$598&lt;&gt;""),ROWS(DL$1:DL44))),"")</f>
        <v>41</v>
      </c>
      <c r="DM593" s="165">
        <f>IFERROR(INDEX(DF$550:DF$598,_xlfn.AGGREGATE(15,6,(ROW(DF$550:DF$598)-ROW(DF$550)+1)/(DF$550:DF$598&lt;&gt;""),ROWS(DM$1:DM44))),"")</f>
        <v>300.48617797992557</v>
      </c>
      <c r="DN593" s="166">
        <f t="shared" si="301"/>
        <v>593</v>
      </c>
      <c r="DO593" s="164">
        <f>IFERROR(INDEX(DG$550:DG$598,_xlfn.AGGREGATE(15,6,(ROW(DG$550:DG$598)-ROW(DG$550)+1)/(DG$550:DG$598&lt;&gt;""),ROWS(DO$1:DO44))),"")</f>
        <v>41</v>
      </c>
      <c r="DP593" s="165">
        <f>IFERROR(INDEX(DH$550:DH$598,_xlfn.AGGREGATE(15,6,(ROW(DH$550:DH$598)-ROW(DH$550)+1)/(DH$550:DH$598&lt;&gt;""),ROWS(DP$1:DP44))),"")</f>
        <v>369.8838725167879</v>
      </c>
      <c r="DQ593" s="166">
        <f t="shared" si="302"/>
        <v>593</v>
      </c>
      <c r="DR593" s="65"/>
      <c r="DV593" s="145">
        <v>2058</v>
      </c>
      <c r="DW593" s="235">
        <f t="shared" ca="1" si="286"/>
        <v>305.80797556124378</v>
      </c>
      <c r="EA593" s="55"/>
      <c r="EB593" s="55"/>
      <c r="EC593" s="55"/>
      <c r="ED593" s="55"/>
      <c r="EE593" s="55"/>
    </row>
    <row r="594" spans="1:135" ht="13.8" x14ac:dyDescent="0.45">
      <c r="B594" s="128">
        <v>2056</v>
      </c>
      <c r="C594" s="957">
        <v>281.17629613696914</v>
      </c>
      <c r="D594" s="947">
        <v>397.04000000000019</v>
      </c>
      <c r="E594" s="308"/>
      <c r="F594" s="914"/>
      <c r="G594" s="294"/>
      <c r="H594" s="292"/>
      <c r="I594" s="1112">
        <v>229.10810810810821</v>
      </c>
      <c r="J594" s="294"/>
      <c r="K594" s="292"/>
      <c r="L594" s="293"/>
      <c r="M594" s="292"/>
      <c r="N594" s="29" t="s">
        <v>119</v>
      </c>
      <c r="O594" s="120"/>
      <c r="P594" s="120"/>
      <c r="Q594" s="120"/>
      <c r="R594" s="29">
        <v>42</v>
      </c>
      <c r="S594" s="288">
        <f t="shared" si="287"/>
        <v>229.10810810810821</v>
      </c>
      <c r="T594" s="288">
        <f t="shared" si="288"/>
        <v>397.04000000000019</v>
      </c>
      <c r="U594" s="288">
        <f t="shared" si="289"/>
        <v>70.187537982068704</v>
      </c>
      <c r="W594" s="288">
        <f t="shared" si="290"/>
        <v>232.2539300996238</v>
      </c>
      <c r="X594" s="288">
        <f t="shared" si="320"/>
        <v>302.44146808169251</v>
      </c>
      <c r="Y594" s="288">
        <f t="shared" si="292"/>
        <v>372.62900606376121</v>
      </c>
      <c r="AA594" s="89"/>
      <c r="AB594" s="89"/>
      <c r="AC594" s="89"/>
      <c r="AD594" s="89"/>
      <c r="AE594" s="89"/>
      <c r="AF594" s="89"/>
      <c r="AG594" s="89"/>
      <c r="AH594" s="89"/>
      <c r="AI594" s="89"/>
      <c r="AJ594" s="89"/>
      <c r="AK594" s="89"/>
      <c r="AL594" s="89"/>
      <c r="AM594" s="89"/>
      <c r="AN594" s="89"/>
      <c r="BR594" s="180">
        <v>2054</v>
      </c>
      <c r="BS594" s="22">
        <v>40</v>
      </c>
      <c r="BT594" s="289">
        <f t="shared" si="303"/>
        <v>65.666254372190465</v>
      </c>
      <c r="BU594" s="289">
        <f t="shared" si="304"/>
        <v>230.33436221310069</v>
      </c>
      <c r="BV594" s="299">
        <f t="shared" si="305"/>
        <v>296.00061658529114</v>
      </c>
      <c r="BY594" s="180">
        <v>2054</v>
      </c>
      <c r="BZ594" s="22">
        <v>40</v>
      </c>
      <c r="CA594" s="289">
        <f t="shared" ca="1" si="306"/>
        <v>33.96772884890936</v>
      </c>
      <c r="CB594" s="289">
        <f t="shared" ca="1" si="307"/>
        <v>28.301752638390205</v>
      </c>
      <c r="CC594" s="289">
        <f t="shared" ca="1" si="318"/>
        <v>236.36363408378207</v>
      </c>
      <c r="CD594" s="299">
        <f t="shared" ca="1" si="308"/>
        <v>298.63311557108165</v>
      </c>
      <c r="CG594" s="180">
        <v>2054</v>
      </c>
      <c r="CH594" s="22">
        <v>40</v>
      </c>
      <c r="CI594" s="289">
        <f t="shared" ca="1" si="309"/>
        <v>-65.314907496948592</v>
      </c>
      <c r="CJ594" s="289">
        <f t="shared" ca="1" si="310"/>
        <v>141.73732621887453</v>
      </c>
      <c r="CK594" s="289">
        <f t="shared" ca="1" si="311"/>
        <v>-16.283836091714321</v>
      </c>
      <c r="CL594" s="289">
        <f t="shared" ca="1" si="312"/>
        <v>239.15217241572992</v>
      </c>
      <c r="CM594" s="299">
        <f t="shared" ca="1" si="313"/>
        <v>299.29075504594152</v>
      </c>
      <c r="CP594" s="180">
        <v>2054</v>
      </c>
      <c r="CQ594" s="22">
        <v>40</v>
      </c>
      <c r="CR594" s="289">
        <f t="shared" ca="1" si="314"/>
        <v>231.98398558817138</v>
      </c>
      <c r="CS594" s="289">
        <f t="shared" ca="1" si="315"/>
        <v>1.2773225279425751</v>
      </c>
      <c r="CT594" s="299">
        <f t="shared" ca="1" si="316"/>
        <v>296.31837091367697</v>
      </c>
      <c r="CZ594" s="164" t="b">
        <f t="shared" si="321"/>
        <v>1</v>
      </c>
      <c r="DA594" s="165" t="b">
        <f t="shared" si="321"/>
        <v>1</v>
      </c>
      <c r="DB594" s="166" t="b">
        <f t="shared" si="321"/>
        <v>1</v>
      </c>
      <c r="DC594" s="164">
        <f t="shared" si="294"/>
        <v>42</v>
      </c>
      <c r="DD594" s="166">
        <f t="shared" si="295"/>
        <v>232.2539300996238</v>
      </c>
      <c r="DE594" s="164">
        <f t="shared" si="296"/>
        <v>42</v>
      </c>
      <c r="DF594" s="166">
        <f t="shared" si="297"/>
        <v>302.44146808169251</v>
      </c>
      <c r="DG594" s="164">
        <f t="shared" si="298"/>
        <v>42</v>
      </c>
      <c r="DH594" s="166">
        <f t="shared" si="299"/>
        <v>372.62900606376121</v>
      </c>
      <c r="DI594" s="164">
        <f>IFERROR(INDEX(DC$550:DC$598,_xlfn.AGGREGATE(15,6,(ROW(DC$550:DC$598)-ROW(DC$550)+1)/(DC$550:DC$598&lt;&gt;""),ROWS(DI$1:DI45))),"")</f>
        <v>42</v>
      </c>
      <c r="DJ594" s="165">
        <f>IFERROR(INDEX(DD$550:DD$598,_xlfn.AGGREGATE(15,6,(ROW(DD$550:DD$598)-ROW(DD$550)+1)/(DD$550:DD$598&lt;&gt;""),ROWS(DJ$1:DJ45))),"")</f>
        <v>232.2539300996238</v>
      </c>
      <c r="DK594" s="166">
        <f t="shared" si="300"/>
        <v>594</v>
      </c>
      <c r="DL594" s="164">
        <f>IFERROR(INDEX(DE$550:DE$598,_xlfn.AGGREGATE(15,6,(ROW(DE$550:DE$598)-ROW(DE$550)+1)/(DE$550:DE$598&lt;&gt;""),ROWS(DL$1:DL45))),"")</f>
        <v>42</v>
      </c>
      <c r="DM594" s="165">
        <f>IFERROR(INDEX(DF$550:DF$598,_xlfn.AGGREGATE(15,6,(ROW(DF$550:DF$598)-ROW(DF$550)+1)/(DF$550:DF$598&lt;&gt;""),ROWS(DM$1:DM45))),"")</f>
        <v>302.44146808169251</v>
      </c>
      <c r="DN594" s="166">
        <f t="shared" si="301"/>
        <v>594</v>
      </c>
      <c r="DO594" s="164">
        <f>IFERROR(INDEX(DG$550:DG$598,_xlfn.AGGREGATE(15,6,(ROW(DG$550:DG$598)-ROW(DG$550)+1)/(DG$550:DG$598&lt;&gt;""),ROWS(DO$1:DO45))),"")</f>
        <v>42</v>
      </c>
      <c r="DP594" s="165">
        <f>IFERROR(INDEX(DH$550:DH$598,_xlfn.AGGREGATE(15,6,(ROW(DH$550:DH$598)-ROW(DH$550)+1)/(DH$550:DH$598&lt;&gt;""),ROWS(DP$1:DP45))),"")</f>
        <v>372.62900606376121</v>
      </c>
      <c r="DQ594" s="166">
        <f t="shared" si="302"/>
        <v>594</v>
      </c>
      <c r="DR594" s="65"/>
      <c r="DV594" s="145">
        <v>2059</v>
      </c>
      <c r="DW594" s="235">
        <f t="shared" ca="1" si="286"/>
        <v>307.2219580323856</v>
      </c>
      <c r="EA594" s="55"/>
      <c r="EB594" s="55"/>
      <c r="EC594" s="55"/>
      <c r="ED594" s="55"/>
      <c r="EE594" s="55"/>
    </row>
    <row r="595" spans="1:135" ht="13.8" x14ac:dyDescent="0.45">
      <c r="B595" s="128">
        <v>2057</v>
      </c>
      <c r="C595" s="957">
        <v>282.57081509091864</v>
      </c>
      <c r="D595" s="947">
        <v>400.1600000000002</v>
      </c>
      <c r="E595" s="308"/>
      <c r="F595" s="914"/>
      <c r="G595" s="294"/>
      <c r="H595" s="292"/>
      <c r="I595" s="1112">
        <v>230.45945945945957</v>
      </c>
      <c r="J595" s="294"/>
      <c r="K595" s="292"/>
      <c r="L595" s="293"/>
      <c r="M595" s="292"/>
      <c r="N595" s="29" t="s">
        <v>119</v>
      </c>
      <c r="O595" s="120"/>
      <c r="P595" s="120"/>
      <c r="Q595" s="120"/>
      <c r="R595" s="29">
        <v>43</v>
      </c>
      <c r="S595" s="288">
        <f t="shared" si="287"/>
        <v>230.45945945945957</v>
      </c>
      <c r="T595" s="288">
        <f t="shared" si="288"/>
        <v>400.1600000000002</v>
      </c>
      <c r="U595" s="288">
        <f t="shared" si="289"/>
        <v>70.978152548733945</v>
      </c>
      <c r="W595" s="288">
        <f t="shared" si="290"/>
        <v>233.41860563472557</v>
      </c>
      <c r="X595" s="288">
        <f t="shared" si="320"/>
        <v>304.3967581834595</v>
      </c>
      <c r="Y595" s="288">
        <f t="shared" si="292"/>
        <v>375.37491073219343</v>
      </c>
      <c r="AA595" s="89"/>
      <c r="AB595" s="89"/>
      <c r="AC595" s="89"/>
      <c r="AD595" s="89"/>
      <c r="AE595" s="89"/>
      <c r="AF595" s="89"/>
      <c r="AG595" s="89"/>
      <c r="AH595" s="89"/>
      <c r="AI595" s="89"/>
      <c r="AJ595" s="89"/>
      <c r="AK595" s="89"/>
      <c r="AL595" s="89"/>
      <c r="AM595" s="89"/>
      <c r="AN595" s="89"/>
      <c r="BR595" s="180">
        <v>2055</v>
      </c>
      <c r="BS595" s="22">
        <v>41</v>
      </c>
      <c r="BT595" s="289">
        <f t="shared" si="303"/>
        <v>67.307910731495227</v>
      </c>
      <c r="BU595" s="289">
        <f t="shared" si="304"/>
        <v>230.33436221310069</v>
      </c>
      <c r="BV595" s="299">
        <f t="shared" si="305"/>
        <v>297.6422729445959</v>
      </c>
      <c r="BY595" s="180">
        <v>2055</v>
      </c>
      <c r="BZ595" s="22">
        <v>41</v>
      </c>
      <c r="CA595" s="289">
        <f t="shared" ca="1" si="306"/>
        <v>35.6873451218854</v>
      </c>
      <c r="CB595" s="289">
        <f t="shared" ca="1" si="307"/>
        <v>29.009296454349961</v>
      </c>
      <c r="CC595" s="289">
        <f t="shared" ca="1" si="318"/>
        <v>236.36363408378207</v>
      </c>
      <c r="CD595" s="299">
        <f t="shared" ca="1" si="308"/>
        <v>301.06027566001745</v>
      </c>
      <c r="CG595" s="180">
        <v>2055</v>
      </c>
      <c r="CH595" s="22">
        <v>41</v>
      </c>
      <c r="CI595" s="289">
        <f t="shared" ca="1" si="309"/>
        <v>-70.337011556206164</v>
      </c>
      <c r="CJ595" s="289">
        <f t="shared" ca="1" si="310"/>
        <v>148.91277835870505</v>
      </c>
      <c r="CK595" s="289">
        <f t="shared" ca="1" si="311"/>
        <v>-16.690931994007176</v>
      </c>
      <c r="CL595" s="289">
        <f t="shared" ca="1" si="312"/>
        <v>239.15217241572992</v>
      </c>
      <c r="CM595" s="299">
        <f t="shared" ca="1" si="313"/>
        <v>301.03700722422161</v>
      </c>
      <c r="CP595" s="180">
        <v>2055</v>
      </c>
      <c r="CQ595" s="22">
        <v>41</v>
      </c>
      <c r="CR595" s="289">
        <f t="shared" ca="1" si="314"/>
        <v>231.98398558817138</v>
      </c>
      <c r="CS595" s="289">
        <f t="shared" ca="1" si="315"/>
        <v>1.2851626225729578</v>
      </c>
      <c r="CT595" s="299">
        <f t="shared" ca="1" si="316"/>
        <v>298.13714731342156</v>
      </c>
      <c r="CZ595" s="164" t="b">
        <f t="shared" si="321"/>
        <v>1</v>
      </c>
      <c r="DA595" s="165" t="b">
        <f t="shared" si="321"/>
        <v>1</v>
      </c>
      <c r="DB595" s="166" t="b">
        <f t="shared" si="321"/>
        <v>1</v>
      </c>
      <c r="DC595" s="164">
        <f t="shared" si="294"/>
        <v>43</v>
      </c>
      <c r="DD595" s="166">
        <f t="shared" si="295"/>
        <v>233.41860563472557</v>
      </c>
      <c r="DE595" s="164">
        <f t="shared" si="296"/>
        <v>43</v>
      </c>
      <c r="DF595" s="166">
        <f t="shared" si="297"/>
        <v>304.3967581834595</v>
      </c>
      <c r="DG595" s="164">
        <f t="shared" si="298"/>
        <v>43</v>
      </c>
      <c r="DH595" s="166">
        <f t="shared" si="299"/>
        <v>375.37491073219343</v>
      </c>
      <c r="DI595" s="164">
        <f>IFERROR(INDEX(DC$550:DC$598,_xlfn.AGGREGATE(15,6,(ROW(DC$550:DC$598)-ROW(DC$550)+1)/(DC$550:DC$598&lt;&gt;""),ROWS(DI$1:DI46))),"")</f>
        <v>43</v>
      </c>
      <c r="DJ595" s="165">
        <f>IFERROR(INDEX(DD$550:DD$598,_xlfn.AGGREGATE(15,6,(ROW(DD$550:DD$598)-ROW(DD$550)+1)/(DD$550:DD$598&lt;&gt;""),ROWS(DJ$1:DJ46))),"")</f>
        <v>233.41860563472557</v>
      </c>
      <c r="DK595" s="166">
        <f t="shared" si="300"/>
        <v>595</v>
      </c>
      <c r="DL595" s="164">
        <f>IFERROR(INDEX(DE$550:DE$598,_xlfn.AGGREGATE(15,6,(ROW(DE$550:DE$598)-ROW(DE$550)+1)/(DE$550:DE$598&lt;&gt;""),ROWS(DL$1:DL46))),"")</f>
        <v>43</v>
      </c>
      <c r="DM595" s="165">
        <f>IFERROR(INDEX(DF$550:DF$598,_xlfn.AGGREGATE(15,6,(ROW(DF$550:DF$598)-ROW(DF$550)+1)/(DF$550:DF$598&lt;&gt;""),ROWS(DM$1:DM46))),"")</f>
        <v>304.3967581834595</v>
      </c>
      <c r="DN595" s="166">
        <f t="shared" si="301"/>
        <v>595</v>
      </c>
      <c r="DO595" s="164">
        <f>IFERROR(INDEX(DG$550:DG$598,_xlfn.AGGREGATE(15,6,(ROW(DG$550:DG$598)-ROW(DG$550)+1)/(DG$550:DG$598&lt;&gt;""),ROWS(DO$1:DO46))),"")</f>
        <v>43</v>
      </c>
      <c r="DP595" s="165">
        <f>IFERROR(INDEX(DH$550:DH$598,_xlfn.AGGREGATE(15,6,(ROW(DH$550:DH$598)-ROW(DH$550)+1)/(DH$550:DH$598&lt;&gt;""),ROWS(DP$1:DP46))),"")</f>
        <v>375.37491073219343</v>
      </c>
      <c r="DQ595" s="166">
        <f t="shared" si="302"/>
        <v>595</v>
      </c>
      <c r="DR595" s="65"/>
      <c r="DV595" s="145">
        <v>2060</v>
      </c>
      <c r="DW595" s="235">
        <f t="shared" ca="1" si="286"/>
        <v>308.53756489529832</v>
      </c>
      <c r="EA595" s="55"/>
      <c r="EB595" s="55"/>
      <c r="EC595" s="55"/>
      <c r="ED595" s="55"/>
      <c r="EE595" s="55"/>
    </row>
    <row r="596" spans="1:135" ht="13.8" x14ac:dyDescent="0.45">
      <c r="A596" s="214"/>
      <c r="B596" s="128">
        <v>2058</v>
      </c>
      <c r="C596" s="957">
        <v>283.96533404486814</v>
      </c>
      <c r="D596" s="947">
        <v>403.2800000000002</v>
      </c>
      <c r="E596" s="308"/>
      <c r="F596" s="914"/>
      <c r="G596" s="294"/>
      <c r="H596" s="292"/>
      <c r="I596" s="1112">
        <v>231.81081081081092</v>
      </c>
      <c r="J596" s="294"/>
      <c r="K596" s="292"/>
      <c r="L596" s="293"/>
      <c r="M596" s="292"/>
      <c r="N596" s="29" t="s">
        <v>119</v>
      </c>
      <c r="R596" s="29">
        <v>44</v>
      </c>
      <c r="S596" s="288">
        <f t="shared" si="287"/>
        <v>231.81081081081092</v>
      </c>
      <c r="T596" s="288">
        <f t="shared" si="288"/>
        <v>403.2800000000002</v>
      </c>
      <c r="U596" s="288">
        <f t="shared" si="289"/>
        <v>71.769512752788913</v>
      </c>
      <c r="W596" s="288">
        <f t="shared" si="290"/>
        <v>234.58253553243753</v>
      </c>
      <c r="X596" s="288">
        <f t="shared" si="320"/>
        <v>306.35204828522643</v>
      </c>
      <c r="Y596" s="288">
        <f t="shared" si="292"/>
        <v>378.12156103801533</v>
      </c>
      <c r="AA596" s="89"/>
      <c r="AB596" s="89"/>
      <c r="AC596" s="89"/>
      <c r="AD596" s="89"/>
      <c r="AE596" s="89"/>
      <c r="AF596" s="89"/>
      <c r="AG596" s="89"/>
      <c r="AH596" s="89"/>
      <c r="AI596" s="89"/>
      <c r="AJ596" s="89"/>
      <c r="AK596" s="89"/>
      <c r="AL596" s="89"/>
      <c r="AM596" s="89"/>
      <c r="AN596" s="89"/>
      <c r="BR596" s="180">
        <v>2056</v>
      </c>
      <c r="BS596" s="22">
        <v>42</v>
      </c>
      <c r="BT596" s="289">
        <f t="shared" si="303"/>
        <v>68.949567090799988</v>
      </c>
      <c r="BU596" s="289">
        <f t="shared" si="304"/>
        <v>230.33436221310069</v>
      </c>
      <c r="BV596" s="299">
        <f t="shared" si="305"/>
        <v>299.28392930390066</v>
      </c>
      <c r="BY596" s="180">
        <v>2056</v>
      </c>
      <c r="BZ596" s="22">
        <v>42</v>
      </c>
      <c r="CA596" s="289">
        <f t="shared" ca="1" si="306"/>
        <v>37.449421055922571</v>
      </c>
      <c r="CB596" s="289">
        <f t="shared" ca="1" si="307"/>
        <v>29.716840270309717</v>
      </c>
      <c r="CC596" s="289">
        <f t="shared" ca="1" si="318"/>
        <v>236.36363408378207</v>
      </c>
      <c r="CD596" s="299">
        <f t="shared" ca="1" si="308"/>
        <v>303.52989541001438</v>
      </c>
      <c r="CG596" s="180">
        <v>2056</v>
      </c>
      <c r="CH596" s="22">
        <v>42</v>
      </c>
      <c r="CI596" s="289">
        <f t="shared" ca="1" si="309"/>
        <v>-75.610169791155116</v>
      </c>
      <c r="CJ596" s="289">
        <f t="shared" ca="1" si="310"/>
        <v>156.26540215630916</v>
      </c>
      <c r="CK596" s="289">
        <f t="shared" ca="1" si="311"/>
        <v>-17.098027896300035</v>
      </c>
      <c r="CL596" s="289">
        <f t="shared" ca="1" si="312"/>
        <v>239.15217241572992</v>
      </c>
      <c r="CM596" s="299">
        <f t="shared" ca="1" si="313"/>
        <v>302.70937688458395</v>
      </c>
      <c r="CP596" s="180">
        <v>2056</v>
      </c>
      <c r="CQ596" s="22">
        <v>42</v>
      </c>
      <c r="CR596" s="289">
        <f t="shared" ca="1" si="314"/>
        <v>231.98398558817138</v>
      </c>
      <c r="CS596" s="289">
        <f t="shared" ca="1" si="315"/>
        <v>1.2930508390225905</v>
      </c>
      <c r="CT596" s="299">
        <f t="shared" ca="1" si="316"/>
        <v>299.96708720458957</v>
      </c>
      <c r="CZ596" s="164" t="b">
        <f t="shared" si="321"/>
        <v>1</v>
      </c>
      <c r="DA596" s="165" t="b">
        <f t="shared" si="321"/>
        <v>1</v>
      </c>
      <c r="DB596" s="166" t="b">
        <f t="shared" si="321"/>
        <v>1</v>
      </c>
      <c r="DC596" s="164">
        <f t="shared" si="294"/>
        <v>44</v>
      </c>
      <c r="DD596" s="166">
        <f t="shared" si="295"/>
        <v>234.58253553243753</v>
      </c>
      <c r="DE596" s="164">
        <f t="shared" si="296"/>
        <v>44</v>
      </c>
      <c r="DF596" s="166">
        <f t="shared" si="297"/>
        <v>306.35204828522643</v>
      </c>
      <c r="DG596" s="164">
        <f t="shared" si="298"/>
        <v>44</v>
      </c>
      <c r="DH596" s="166">
        <f t="shared" si="299"/>
        <v>378.12156103801533</v>
      </c>
      <c r="DI596" s="164">
        <f>IFERROR(INDEX(DC$550:DC$598,_xlfn.AGGREGATE(15,6,(ROW(DC$550:DC$598)-ROW(DC$550)+1)/(DC$550:DC$598&lt;&gt;""),ROWS(DI$1:DI47))),"")</f>
        <v>44</v>
      </c>
      <c r="DJ596" s="165">
        <f>IFERROR(INDEX(DD$550:DD$598,_xlfn.AGGREGATE(15,6,(ROW(DD$550:DD$598)-ROW(DD$550)+1)/(DD$550:DD$598&lt;&gt;""),ROWS(DJ$1:DJ47))),"")</f>
        <v>234.58253553243753</v>
      </c>
      <c r="DK596" s="166">
        <f t="shared" si="300"/>
        <v>596</v>
      </c>
      <c r="DL596" s="164">
        <f>IFERROR(INDEX(DE$550:DE$598,_xlfn.AGGREGATE(15,6,(ROW(DE$550:DE$598)-ROW(DE$550)+1)/(DE$550:DE$598&lt;&gt;""),ROWS(DL$1:DL47))),"")</f>
        <v>44</v>
      </c>
      <c r="DM596" s="165">
        <f>IFERROR(INDEX(DF$550:DF$598,_xlfn.AGGREGATE(15,6,(ROW(DF$550:DF$598)-ROW(DF$550)+1)/(DF$550:DF$598&lt;&gt;""),ROWS(DM$1:DM47))),"")</f>
        <v>306.35204828522643</v>
      </c>
      <c r="DN596" s="166">
        <f t="shared" si="301"/>
        <v>596</v>
      </c>
      <c r="DO596" s="164">
        <f>IFERROR(INDEX(DG$550:DG$598,_xlfn.AGGREGATE(15,6,(ROW(DG$550:DG$598)-ROW(DG$550)+1)/(DG$550:DG$598&lt;&gt;""),ROWS(DO$1:DO47))),"")</f>
        <v>44</v>
      </c>
      <c r="DP596" s="165">
        <f>IFERROR(INDEX(DH$550:DH$598,_xlfn.AGGREGATE(15,6,(ROW(DH$550:DH$598)-ROW(DH$550)+1)/(DH$550:DH$598&lt;&gt;""),ROWS(DP$1:DP47))),"")</f>
        <v>378.12156103801533</v>
      </c>
      <c r="DQ596" s="166">
        <f t="shared" si="302"/>
        <v>596</v>
      </c>
      <c r="DR596" s="65"/>
      <c r="DW596" s="54"/>
      <c r="EA596" s="55"/>
      <c r="EB596" s="55"/>
      <c r="EC596" s="55"/>
      <c r="ED596" s="55"/>
      <c r="EE596" s="55"/>
    </row>
    <row r="597" spans="1:135" ht="13.8" x14ac:dyDescent="0.45">
      <c r="A597" s="214"/>
      <c r="B597" s="128">
        <v>2059</v>
      </c>
      <c r="C597" s="957">
        <v>285.35985299881764</v>
      </c>
      <c r="D597" s="947">
        <v>406.4000000000002</v>
      </c>
      <c r="E597" s="308"/>
      <c r="F597" s="914"/>
      <c r="G597" s="294"/>
      <c r="H597" s="292"/>
      <c r="I597" s="1112">
        <v>233.16216216216228</v>
      </c>
      <c r="J597" s="294"/>
      <c r="K597" s="292"/>
      <c r="L597" s="293"/>
      <c r="M597" s="292"/>
      <c r="N597" s="29" t="s">
        <v>119</v>
      </c>
      <c r="R597" s="29">
        <v>45</v>
      </c>
      <c r="S597" s="288">
        <f t="shared" si="287"/>
        <v>233.16216216216228</v>
      </c>
      <c r="T597" s="288">
        <f t="shared" si="288"/>
        <v>406.4000000000002</v>
      </c>
      <c r="U597" s="288">
        <f t="shared" si="289"/>
        <v>72.561594198366578</v>
      </c>
      <c r="W597" s="288">
        <f t="shared" si="290"/>
        <v>235.74574418862684</v>
      </c>
      <c r="X597" s="288">
        <f t="shared" si="320"/>
        <v>308.30733838699342</v>
      </c>
      <c r="Y597" s="288">
        <f t="shared" si="292"/>
        <v>380.86893258535997</v>
      </c>
      <c r="AA597" s="89"/>
      <c r="AB597" s="89"/>
      <c r="AC597" s="89"/>
      <c r="AD597" s="89"/>
      <c r="AE597" s="89"/>
      <c r="AF597" s="89"/>
      <c r="AG597" s="89"/>
      <c r="AH597" s="89"/>
      <c r="AI597" s="89"/>
      <c r="AJ597" s="89"/>
      <c r="AK597" s="89"/>
      <c r="AL597" s="89"/>
      <c r="AM597" s="89"/>
      <c r="AN597" s="89"/>
      <c r="BR597" s="180">
        <v>2057</v>
      </c>
      <c r="BS597" s="22">
        <v>43</v>
      </c>
      <c r="BT597" s="289">
        <f t="shared" si="303"/>
        <v>70.591223450104749</v>
      </c>
      <c r="BU597" s="289">
        <f t="shared" si="304"/>
        <v>230.33436221310069</v>
      </c>
      <c r="BV597" s="299">
        <f t="shared" si="305"/>
        <v>300.92558566320542</v>
      </c>
      <c r="BY597" s="180">
        <v>2057</v>
      </c>
      <c r="BZ597" s="22">
        <v>43</v>
      </c>
      <c r="CA597" s="289">
        <f t="shared" ca="1" si="306"/>
        <v>39.253956651020879</v>
      </c>
      <c r="CB597" s="289">
        <f t="shared" ca="1" si="307"/>
        <v>30.42438408626947</v>
      </c>
      <c r="CC597" s="289">
        <f t="shared" ca="1" si="318"/>
        <v>236.36363408378207</v>
      </c>
      <c r="CD597" s="299">
        <f t="shared" ca="1" si="308"/>
        <v>306.04197482107242</v>
      </c>
      <c r="CG597" s="180">
        <v>2057</v>
      </c>
      <c r="CH597" s="22">
        <v>43</v>
      </c>
      <c r="CI597" s="289">
        <f t="shared" ca="1" si="309"/>
        <v>-81.140505474373313</v>
      </c>
      <c r="CJ597" s="289">
        <f t="shared" ca="1" si="310"/>
        <v>163.79519761168689</v>
      </c>
      <c r="CK597" s="289">
        <f t="shared" ca="1" si="311"/>
        <v>-17.505123798592894</v>
      </c>
      <c r="CL597" s="289">
        <f t="shared" ca="1" si="312"/>
        <v>239.15217241572992</v>
      </c>
      <c r="CM597" s="299">
        <f t="shared" ca="1" si="313"/>
        <v>304.30174075445063</v>
      </c>
      <c r="CP597" s="180">
        <v>2057</v>
      </c>
      <c r="CQ597" s="22">
        <v>43</v>
      </c>
      <c r="CR597" s="289">
        <f t="shared" ca="1" si="314"/>
        <v>231.98398558817138</v>
      </c>
      <c r="CS597" s="289">
        <f t="shared" ca="1" si="315"/>
        <v>1.300987472659016</v>
      </c>
      <c r="CT597" s="299">
        <f t="shared" ca="1" si="316"/>
        <v>301.80825910772069</v>
      </c>
      <c r="CZ597" s="164" t="b">
        <f t="shared" si="321"/>
        <v>1</v>
      </c>
      <c r="DA597" s="165" t="b">
        <f t="shared" si="321"/>
        <v>1</v>
      </c>
      <c r="DB597" s="166" t="b">
        <f t="shared" si="321"/>
        <v>1</v>
      </c>
      <c r="DC597" s="164">
        <f t="shared" si="294"/>
        <v>45</v>
      </c>
      <c r="DD597" s="166">
        <f t="shared" si="295"/>
        <v>235.74574418862684</v>
      </c>
      <c r="DE597" s="164">
        <f t="shared" si="296"/>
        <v>45</v>
      </c>
      <c r="DF597" s="166">
        <f t="shared" si="297"/>
        <v>308.30733838699342</v>
      </c>
      <c r="DG597" s="164">
        <f t="shared" si="298"/>
        <v>45</v>
      </c>
      <c r="DH597" s="166">
        <f t="shared" si="299"/>
        <v>380.86893258535997</v>
      </c>
      <c r="DI597" s="164">
        <f>IFERROR(INDEX(DC$550:DC$598,_xlfn.AGGREGATE(15,6,(ROW(DC$550:DC$598)-ROW(DC$550)+1)/(DC$550:DC$598&lt;&gt;""),ROWS(DI$1:DI48))),"")</f>
        <v>45</v>
      </c>
      <c r="DJ597" s="165">
        <f>IFERROR(INDEX(DD$550:DD$598,_xlfn.AGGREGATE(15,6,(ROW(DD$550:DD$598)-ROW(DD$550)+1)/(DD$550:DD$598&lt;&gt;""),ROWS(DJ$1:DJ48))),"")</f>
        <v>235.74574418862684</v>
      </c>
      <c r="DK597" s="166">
        <f t="shared" si="300"/>
        <v>597</v>
      </c>
      <c r="DL597" s="164">
        <f>IFERROR(INDEX(DE$550:DE$598,_xlfn.AGGREGATE(15,6,(ROW(DE$550:DE$598)-ROW(DE$550)+1)/(DE$550:DE$598&lt;&gt;""),ROWS(DL$1:DL48))),"")</f>
        <v>45</v>
      </c>
      <c r="DM597" s="165">
        <f>IFERROR(INDEX(DF$550:DF$598,_xlfn.AGGREGATE(15,6,(ROW(DF$550:DF$598)-ROW(DF$550)+1)/(DF$550:DF$598&lt;&gt;""),ROWS(DM$1:DM48))),"")</f>
        <v>308.30733838699342</v>
      </c>
      <c r="DN597" s="166">
        <f t="shared" si="301"/>
        <v>597</v>
      </c>
      <c r="DO597" s="164">
        <f>IFERROR(INDEX(DG$550:DG$598,_xlfn.AGGREGATE(15,6,(ROW(DG$550:DG$598)-ROW(DG$550)+1)/(DG$550:DG$598&lt;&gt;""),ROWS(DO$1:DO48))),"")</f>
        <v>45</v>
      </c>
      <c r="DP597" s="165">
        <f>IFERROR(INDEX(DH$550:DH$598,_xlfn.AGGREGATE(15,6,(ROW(DH$550:DH$598)-ROW(DH$550)+1)/(DH$550:DH$598&lt;&gt;""),ROWS(DP$1:DP48))),"")</f>
        <v>380.86893258535997</v>
      </c>
      <c r="DQ597" s="166">
        <f t="shared" si="302"/>
        <v>597</v>
      </c>
      <c r="DR597" s="65"/>
      <c r="DW597" s="54"/>
      <c r="EA597" s="55"/>
      <c r="EB597" s="55"/>
      <c r="EC597" s="55"/>
      <c r="ED597" s="55"/>
      <c r="EE597" s="55"/>
    </row>
    <row r="598" spans="1:135" ht="14.1" thickBot="1" x14ac:dyDescent="0.5">
      <c r="A598" s="214"/>
      <c r="B598" s="128">
        <v>2060</v>
      </c>
      <c r="C598" s="957">
        <v>286.7543719527672</v>
      </c>
      <c r="D598" s="947">
        <v>409.52000000000021</v>
      </c>
      <c r="E598" s="308"/>
      <c r="F598" s="915"/>
      <c r="G598" s="302"/>
      <c r="H598" s="300"/>
      <c r="I598" s="1115">
        <v>234.51351351351363</v>
      </c>
      <c r="J598" s="302"/>
      <c r="K598" s="300"/>
      <c r="L598" s="301"/>
      <c r="M598" s="300"/>
      <c r="N598" s="29" t="s">
        <v>119</v>
      </c>
      <c r="R598" s="29">
        <v>46</v>
      </c>
      <c r="S598" s="288">
        <f t="shared" si="287"/>
        <v>234.51351351351363</v>
      </c>
      <c r="T598" s="288">
        <f t="shared" si="288"/>
        <v>409.52000000000021</v>
      </c>
      <c r="U598" s="288">
        <f t="shared" si="289"/>
        <v>73.354373521546052</v>
      </c>
      <c r="W598" s="288">
        <f t="shared" si="290"/>
        <v>236.9082549672143</v>
      </c>
      <c r="X598" s="288">
        <f t="shared" si="320"/>
        <v>310.26262848876036</v>
      </c>
      <c r="Y598" s="288">
        <f t="shared" si="292"/>
        <v>383.61700201030641</v>
      </c>
      <c r="AA598" s="89"/>
      <c r="AB598" s="89"/>
      <c r="AC598" s="89"/>
      <c r="AD598" s="89"/>
      <c r="AE598" s="89"/>
      <c r="AF598" s="89"/>
      <c r="AG598" s="89"/>
      <c r="AH598" s="89"/>
      <c r="AI598" s="89"/>
      <c r="AJ598" s="89"/>
      <c r="AK598" s="89"/>
      <c r="AL598" s="89"/>
      <c r="AM598" s="89"/>
      <c r="AN598" s="89"/>
      <c r="BR598" s="180">
        <v>2058</v>
      </c>
      <c r="BS598" s="22">
        <v>44</v>
      </c>
      <c r="BT598" s="289">
        <f t="shared" si="303"/>
        <v>72.232879809409511</v>
      </c>
      <c r="BU598" s="289">
        <f t="shared" si="304"/>
        <v>230.33436221310069</v>
      </c>
      <c r="BV598" s="299">
        <f t="shared" si="305"/>
        <v>302.56724202251019</v>
      </c>
      <c r="BY598" s="180">
        <v>2058</v>
      </c>
      <c r="BZ598" s="22">
        <v>44</v>
      </c>
      <c r="CA598" s="289">
        <f t="shared" ca="1" si="306"/>
        <v>41.100951907180331</v>
      </c>
      <c r="CB598" s="289">
        <f t="shared" ca="1" si="307"/>
        <v>31.131927902229226</v>
      </c>
      <c r="CC598" s="289">
        <f t="shared" ca="1" si="318"/>
        <v>236.36363408378207</v>
      </c>
      <c r="CD598" s="299">
        <f t="shared" ca="1" si="308"/>
        <v>308.59651389319163</v>
      </c>
      <c r="CG598" s="180">
        <v>2058</v>
      </c>
      <c r="CH598" s="22">
        <v>44</v>
      </c>
      <c r="CI598" s="289">
        <f t="shared" ca="1" si="309"/>
        <v>-86.934141878438581</v>
      </c>
      <c r="CJ598" s="289">
        <f t="shared" ca="1" si="310"/>
        <v>171.5021647248382</v>
      </c>
      <c r="CK598" s="289">
        <f t="shared" ca="1" si="311"/>
        <v>-17.91221970088575</v>
      </c>
      <c r="CL598" s="289">
        <f t="shared" ca="1" si="312"/>
        <v>239.15217241572992</v>
      </c>
      <c r="CM598" s="299">
        <f t="shared" ca="1" si="313"/>
        <v>305.80797556124378</v>
      </c>
      <c r="CP598" s="180">
        <v>2058</v>
      </c>
      <c r="CQ598" s="22">
        <v>44</v>
      </c>
      <c r="CR598" s="289">
        <f t="shared" ca="1" si="314"/>
        <v>231.98398558817138</v>
      </c>
      <c r="CS598" s="289">
        <f t="shared" ca="1" si="315"/>
        <v>1.3089728206627176</v>
      </c>
      <c r="CT598" s="299">
        <f t="shared" ca="1" si="316"/>
        <v>303.6607319639279</v>
      </c>
      <c r="CZ598" s="164" t="b">
        <f t="shared" si="321"/>
        <v>1</v>
      </c>
      <c r="DA598" s="165" t="b">
        <f t="shared" si="321"/>
        <v>1</v>
      </c>
      <c r="DB598" s="166" t="b">
        <f t="shared" si="321"/>
        <v>1</v>
      </c>
      <c r="DC598" s="164">
        <f t="shared" si="294"/>
        <v>46</v>
      </c>
      <c r="DD598" s="166">
        <f t="shared" si="295"/>
        <v>236.9082549672143</v>
      </c>
      <c r="DE598" s="164">
        <f t="shared" si="296"/>
        <v>46</v>
      </c>
      <c r="DF598" s="166">
        <f t="shared" si="297"/>
        <v>310.26262848876036</v>
      </c>
      <c r="DG598" s="164">
        <f t="shared" si="298"/>
        <v>46</v>
      </c>
      <c r="DH598" s="166">
        <f t="shared" si="299"/>
        <v>383.61700201030641</v>
      </c>
      <c r="DI598" s="164">
        <f>IFERROR(INDEX(DC$550:DC$598,_xlfn.AGGREGATE(15,6,(ROW(DC$550:DC$598)-ROW(DC$550)+1)/(DC$550:DC$598&lt;&gt;""),ROWS(DI$1:DI49))),"")</f>
        <v>46</v>
      </c>
      <c r="DJ598" s="165">
        <f>IFERROR(INDEX(DD$550:DD$598,_xlfn.AGGREGATE(15,6,(ROW(DD$550:DD$598)-ROW(DD$550)+1)/(DD$550:DD$598&lt;&gt;""),ROWS(DJ$1:DJ49))),"")</f>
        <v>236.9082549672143</v>
      </c>
      <c r="DK598" s="166">
        <f t="shared" si="300"/>
        <v>598</v>
      </c>
      <c r="DL598" s="164">
        <f>IFERROR(INDEX(DE$550:DE$598,_xlfn.AGGREGATE(15,6,(ROW(DE$550:DE$598)-ROW(DE$550)+1)/(DE$550:DE$598&lt;&gt;""),ROWS(DL$1:DL49))),"")</f>
        <v>46</v>
      </c>
      <c r="DM598" s="165">
        <f>IFERROR(INDEX(DF$550:DF$598,_xlfn.AGGREGATE(15,6,(ROW(DF$550:DF$598)-ROW(DF$550)+1)/(DF$550:DF$598&lt;&gt;""),ROWS(DM$1:DM49))),"")</f>
        <v>310.26262848876036</v>
      </c>
      <c r="DN598" s="166">
        <f t="shared" si="301"/>
        <v>598</v>
      </c>
      <c r="DO598" s="164">
        <f>IFERROR(INDEX(DG$550:DG$598,_xlfn.AGGREGATE(15,6,(ROW(DG$550:DG$598)-ROW(DG$550)+1)/(DG$550:DG$598&lt;&gt;""),ROWS(DO$1:DO49))),"")</f>
        <v>46</v>
      </c>
      <c r="DP598" s="165">
        <f>IFERROR(INDEX(DH$550:DH$598,_xlfn.AGGREGATE(15,6,(ROW(DH$550:DH$598)-ROW(DH$550)+1)/(DH$550:DH$598&lt;&gt;""),ROWS(DP$1:DP49))),"")</f>
        <v>383.61700201030641</v>
      </c>
      <c r="DQ598" s="166">
        <f t="shared" si="302"/>
        <v>598</v>
      </c>
      <c r="DR598" s="65"/>
      <c r="DW598" s="54"/>
      <c r="EA598" s="55"/>
      <c r="EB598" s="55"/>
      <c r="EC598" s="55"/>
      <c r="ED598" s="55"/>
      <c r="EE598" s="55"/>
    </row>
    <row r="599" spans="1:135" x14ac:dyDescent="0.4">
      <c r="A599" s="214"/>
      <c r="B599" s="89"/>
      <c r="C599" s="14"/>
      <c r="D599" s="14"/>
      <c r="E599" s="14"/>
      <c r="F599" s="14"/>
      <c r="G599" s="14"/>
      <c r="H599" s="14"/>
      <c r="I599" s="14"/>
      <c r="J599" s="14"/>
      <c r="K599" s="14"/>
      <c r="L599" s="14"/>
      <c r="M599" s="50"/>
      <c r="S599" s="120"/>
      <c r="T599" s="120"/>
      <c r="U599" s="120"/>
      <c r="W599" s="120"/>
      <c r="X599" s="120"/>
      <c r="Y599" s="120"/>
      <c r="AA599" s="89"/>
      <c r="AB599" s="89"/>
      <c r="AC599" s="89"/>
      <c r="AD599" s="89"/>
      <c r="AE599" s="89"/>
      <c r="AF599" s="89"/>
      <c r="AG599" s="89"/>
      <c r="AH599" s="89"/>
      <c r="AI599" s="89"/>
      <c r="AJ599" s="89"/>
      <c r="AK599" s="89"/>
      <c r="AL599" s="89"/>
      <c r="AM599" s="89"/>
      <c r="AN599" s="89"/>
      <c r="BR599" s="180">
        <v>2059</v>
      </c>
      <c r="BS599" s="22">
        <v>45</v>
      </c>
      <c r="BT599" s="289">
        <f t="shared" si="303"/>
        <v>73.874536168714272</v>
      </c>
      <c r="BU599" s="289">
        <f t="shared" si="304"/>
        <v>230.33436221310069</v>
      </c>
      <c r="BV599" s="299">
        <f t="shared" si="305"/>
        <v>304.20889838181495</v>
      </c>
      <c r="BY599" s="180">
        <v>2059</v>
      </c>
      <c r="BZ599" s="22">
        <v>45</v>
      </c>
      <c r="CA599" s="289">
        <f t="shared" ca="1" si="306"/>
        <v>42.990406824400914</v>
      </c>
      <c r="CB599" s="289">
        <f t="shared" ca="1" si="307"/>
        <v>31.839471718188982</v>
      </c>
      <c r="CC599" s="289">
        <f t="shared" ca="1" si="318"/>
        <v>236.36363408378207</v>
      </c>
      <c r="CD599" s="299">
        <f t="shared" ca="1" si="308"/>
        <v>311.19351262637196</v>
      </c>
      <c r="CG599" s="180">
        <v>2059</v>
      </c>
      <c r="CH599" s="22">
        <v>45</v>
      </c>
      <c r="CI599" s="289">
        <f t="shared" ca="1" si="309"/>
        <v>-92.997202275928771</v>
      </c>
      <c r="CJ599" s="289">
        <f t="shared" ca="1" si="310"/>
        <v>179.38630349576309</v>
      </c>
      <c r="CK599" s="289">
        <f t="shared" ca="1" si="311"/>
        <v>-18.319315603178609</v>
      </c>
      <c r="CL599" s="289">
        <f t="shared" ca="1" si="312"/>
        <v>239.15217241572992</v>
      </c>
      <c r="CM599" s="299">
        <f t="shared" ca="1" si="313"/>
        <v>307.2219580323856</v>
      </c>
      <c r="CP599" s="180">
        <v>2059</v>
      </c>
      <c r="CQ599" s="22">
        <v>45</v>
      </c>
      <c r="CR599" s="289">
        <f t="shared" ca="1" si="314"/>
        <v>231.98398558817138</v>
      </c>
      <c r="CS599" s="289">
        <f t="shared" ca="1" si="315"/>
        <v>1.3170071820382465</v>
      </c>
      <c r="CT599" s="299">
        <f t="shared" ca="1" si="316"/>
        <v>305.52457513747879</v>
      </c>
      <c r="CZ599" s="252"/>
      <c r="DA599" s="252"/>
      <c r="DB599" s="252"/>
      <c r="DC599" s="252"/>
      <c r="DD599" s="252"/>
      <c r="DE599" s="252"/>
      <c r="DF599" s="252"/>
      <c r="DG599" s="252"/>
      <c r="DH599" s="252"/>
      <c r="DI599" s="252"/>
      <c r="DJ599" s="252"/>
      <c r="DK599" s="252"/>
      <c r="DL599" s="252"/>
      <c r="DM599" s="252"/>
      <c r="DN599" s="252"/>
      <c r="DO599" s="252"/>
      <c r="DP599" s="252"/>
      <c r="DQ599" s="252"/>
      <c r="DR599" s="65"/>
      <c r="DU599" s="65"/>
      <c r="DW599" s="54"/>
      <c r="EA599" s="55"/>
      <c r="EB599" s="55"/>
      <c r="EC599" s="55"/>
      <c r="ED599" s="55"/>
      <c r="EE599" s="55"/>
    </row>
    <row r="600" spans="1:135" x14ac:dyDescent="0.4">
      <c r="A600" s="214"/>
      <c r="B600" s="89"/>
      <c r="C600" s="14"/>
      <c r="D600" s="14"/>
      <c r="E600" s="14"/>
      <c r="F600" s="14"/>
      <c r="G600" s="14"/>
      <c r="H600" s="14"/>
      <c r="I600" s="14"/>
      <c r="J600" s="14"/>
      <c r="K600" s="14"/>
      <c r="L600" s="14"/>
      <c r="M600" s="50"/>
      <c r="S600" s="120"/>
      <c r="T600" s="120"/>
      <c r="U600" s="120"/>
      <c r="W600" s="120"/>
      <c r="X600" s="120"/>
      <c r="Y600" s="120"/>
      <c r="AA600" s="89"/>
      <c r="AB600" s="89"/>
      <c r="AC600" s="89"/>
      <c r="AD600" s="89"/>
      <c r="AE600" s="89"/>
      <c r="AF600" s="89"/>
      <c r="AG600" s="89"/>
      <c r="AH600" s="89"/>
      <c r="AI600" s="89"/>
      <c r="AJ600" s="89"/>
      <c r="AK600" s="89"/>
      <c r="AL600" s="89"/>
      <c r="AM600" s="89"/>
      <c r="AN600" s="89"/>
      <c r="BR600" s="180">
        <v>2060</v>
      </c>
      <c r="BS600" s="22">
        <v>46</v>
      </c>
      <c r="BT600" s="289">
        <f t="shared" si="303"/>
        <v>75.516192528019033</v>
      </c>
      <c r="BU600" s="289">
        <f t="shared" si="304"/>
        <v>230.33436221310069</v>
      </c>
      <c r="BV600" s="299">
        <f t="shared" si="305"/>
        <v>305.85055474111971</v>
      </c>
      <c r="BY600" s="180">
        <v>2060</v>
      </c>
      <c r="BZ600" s="22">
        <v>46</v>
      </c>
      <c r="CA600" s="289">
        <f t="shared" ca="1" si="306"/>
        <v>44.922321402682634</v>
      </c>
      <c r="CB600" s="289">
        <f t="shared" ca="1" si="307"/>
        <v>32.547015534148734</v>
      </c>
      <c r="CC600" s="289">
        <f t="shared" ca="1" si="318"/>
        <v>236.36363408378207</v>
      </c>
      <c r="CD600" s="299">
        <f t="shared" ca="1" si="308"/>
        <v>313.83297102061346</v>
      </c>
      <c r="CG600" s="180">
        <v>2060</v>
      </c>
      <c r="CH600" s="22">
        <v>46</v>
      </c>
      <c r="CI600" s="289">
        <f t="shared" ca="1" si="309"/>
        <v>-99.335809939421694</v>
      </c>
      <c r="CJ600" s="289">
        <f t="shared" ca="1" si="310"/>
        <v>187.44761392446156</v>
      </c>
      <c r="CK600" s="289">
        <f t="shared" ca="1" si="311"/>
        <v>-18.726411505471468</v>
      </c>
      <c r="CL600" s="289">
        <f t="shared" ca="1" si="312"/>
        <v>239.15217241572992</v>
      </c>
      <c r="CM600" s="299">
        <f t="shared" ca="1" si="313"/>
        <v>308.53756489529832</v>
      </c>
      <c r="CP600" s="180">
        <v>2060</v>
      </c>
      <c r="CQ600" s="22">
        <v>46</v>
      </c>
      <c r="CR600" s="289">
        <f t="shared" ca="1" si="314"/>
        <v>231.98398558817138</v>
      </c>
      <c r="CS600" s="289">
        <f t="shared" ca="1" si="315"/>
        <v>1.3250908576254181</v>
      </c>
      <c r="CT600" s="299">
        <f t="shared" ca="1" si="316"/>
        <v>307.39985841839263</v>
      </c>
      <c r="CZ600" s="89"/>
      <c r="DA600" s="89"/>
      <c r="DB600" s="89"/>
      <c r="DC600" s="89"/>
      <c r="DD600" s="89"/>
      <c r="DE600" s="89"/>
      <c r="DF600" s="89"/>
      <c r="DG600" s="89"/>
      <c r="DH600" s="89"/>
      <c r="DI600" s="89"/>
      <c r="DJ600" s="89"/>
      <c r="DK600" s="89"/>
      <c r="DL600" s="89"/>
      <c r="DM600" s="89"/>
      <c r="DN600" s="89"/>
      <c r="DO600" s="89"/>
      <c r="DP600" s="89"/>
      <c r="DQ600" s="89"/>
      <c r="DW600" s="54"/>
      <c r="EA600" s="55"/>
      <c r="EB600" s="55"/>
      <c r="EC600" s="55"/>
      <c r="ED600" s="55"/>
      <c r="EE600" s="55"/>
    </row>
    <row r="601" spans="1:135" x14ac:dyDescent="0.4">
      <c r="A601" s="221" t="str">
        <f ca="1">HYPERLINK("#"&amp;"'"&amp;A$1&amp;"'!a1","Back to top")</f>
        <v>Back to top</v>
      </c>
      <c r="C601" s="50"/>
      <c r="D601" s="14"/>
      <c r="E601" s="14"/>
      <c r="F601" s="14"/>
      <c r="G601" s="14"/>
      <c r="H601" s="14"/>
      <c r="I601" s="14"/>
      <c r="J601" s="14"/>
      <c r="K601" s="14"/>
      <c r="L601" s="14"/>
      <c r="M601" s="14"/>
      <c r="N601" s="89"/>
      <c r="O601" s="89"/>
      <c r="P601" s="89"/>
      <c r="Q601" s="89"/>
      <c r="R601" s="89"/>
      <c r="S601" s="89"/>
      <c r="T601" s="89"/>
      <c r="U601" s="89"/>
      <c r="V601" s="89"/>
      <c r="W601" s="89"/>
      <c r="X601" s="89"/>
      <c r="Y601" s="89"/>
      <c r="Z601" s="89"/>
      <c r="AA601" s="89"/>
      <c r="AB601" s="89"/>
      <c r="AC601" s="89"/>
      <c r="AD601" s="89"/>
      <c r="AE601" s="89"/>
      <c r="AF601" s="89"/>
      <c r="AG601" s="89"/>
      <c r="AH601" s="89"/>
      <c r="AI601" s="89"/>
      <c r="AJ601" s="89"/>
      <c r="AK601" s="89"/>
      <c r="AL601" s="89"/>
      <c r="AM601" s="89"/>
      <c r="AN601" s="89"/>
      <c r="DW601" s="54"/>
      <c r="EA601" s="55"/>
      <c r="EB601" s="55"/>
      <c r="EC601" s="55"/>
      <c r="ED601" s="55"/>
      <c r="EE601" s="55"/>
    </row>
    <row r="602" spans="1:135" x14ac:dyDescent="0.4">
      <c r="A602" s="221"/>
      <c r="C602" s="50"/>
      <c r="D602" s="14"/>
      <c r="E602" s="14"/>
      <c r="F602" s="14"/>
      <c r="G602" s="14"/>
      <c r="H602" s="14"/>
      <c r="I602" s="14"/>
      <c r="J602" s="14"/>
      <c r="K602" s="14"/>
      <c r="L602" s="14"/>
      <c r="M602" s="14"/>
      <c r="N602" s="89"/>
      <c r="O602" s="89"/>
      <c r="P602" s="89"/>
      <c r="Q602" s="89"/>
      <c r="R602" s="89"/>
      <c r="S602" s="89"/>
      <c r="T602" s="89"/>
      <c r="U602" s="89"/>
      <c r="V602" s="89"/>
      <c r="W602" s="89"/>
      <c r="X602" s="89"/>
      <c r="Y602" s="89"/>
      <c r="Z602" s="89"/>
      <c r="AA602" s="89"/>
      <c r="AB602" s="89"/>
      <c r="AC602" s="89"/>
      <c r="AD602" s="89"/>
      <c r="AE602" s="89"/>
      <c r="AF602" s="89"/>
      <c r="AG602" s="89"/>
      <c r="AH602" s="89"/>
      <c r="AI602" s="89"/>
      <c r="AJ602" s="89"/>
      <c r="AK602" s="89"/>
      <c r="AL602" s="89"/>
      <c r="AM602" s="89"/>
      <c r="AN602" s="89"/>
      <c r="DW602" s="54"/>
      <c r="EA602" s="55"/>
      <c r="EB602" s="55"/>
      <c r="EC602" s="55"/>
      <c r="ED602" s="55"/>
      <c r="EE602" s="55"/>
    </row>
    <row r="603" spans="1:135" x14ac:dyDescent="0.4">
      <c r="A603" s="214"/>
      <c r="B603" s="89"/>
      <c r="C603" s="14"/>
      <c r="D603" s="14"/>
      <c r="E603" s="14"/>
      <c r="F603" s="14"/>
      <c r="G603" s="14"/>
      <c r="H603" s="14"/>
      <c r="I603" s="14"/>
      <c r="J603" s="14"/>
      <c r="K603" s="14"/>
      <c r="L603" s="14"/>
      <c r="M603" s="50"/>
      <c r="N603" s="49"/>
      <c r="O603" s="49"/>
      <c r="P603" s="49"/>
      <c r="Q603" s="49"/>
      <c r="R603" s="49"/>
      <c r="S603" s="120"/>
      <c r="T603" s="120"/>
      <c r="U603" s="120"/>
      <c r="V603" s="49"/>
      <c r="W603" s="120"/>
      <c r="X603" s="120"/>
      <c r="Y603" s="120"/>
      <c r="Z603" s="89"/>
      <c r="AA603" s="89"/>
      <c r="AB603" s="89"/>
      <c r="AC603" s="89"/>
      <c r="AD603" s="89"/>
      <c r="AE603" s="89"/>
      <c r="AF603" s="89"/>
      <c r="AG603" s="89"/>
      <c r="AH603" s="89"/>
      <c r="AI603" s="89"/>
      <c r="AJ603" s="89"/>
      <c r="AK603" s="89"/>
      <c r="AL603" s="89"/>
      <c r="AM603" s="89"/>
      <c r="AN603" s="89"/>
      <c r="AO603" s="49"/>
      <c r="AP603" s="49"/>
      <c r="AQ603" s="49"/>
      <c r="AR603" s="49"/>
      <c r="AS603" s="49"/>
      <c r="AT603" s="49"/>
      <c r="AU603" s="49"/>
      <c r="AV603" s="49"/>
      <c r="AW603" s="49"/>
      <c r="AX603" s="49"/>
      <c r="AY603" s="49"/>
      <c r="AZ603" s="49"/>
      <c r="BA603" s="49"/>
      <c r="BB603" s="49"/>
      <c r="BC603" s="49"/>
      <c r="BD603" s="49"/>
      <c r="BE603" s="49"/>
      <c r="BF603" s="49"/>
      <c r="BG603" s="49"/>
      <c r="BH603" s="49"/>
      <c r="BI603" s="49"/>
      <c r="BJ603" s="49"/>
      <c r="BK603" s="49"/>
      <c r="BL603" s="49"/>
    </row>
    <row r="604" spans="1:135" x14ac:dyDescent="0.4">
      <c r="A604" s="253"/>
      <c r="B604" s="254"/>
      <c r="C604" s="255"/>
      <c r="D604" s="255"/>
      <c r="E604" s="255"/>
      <c r="F604" s="255"/>
      <c r="G604" s="255"/>
      <c r="H604" s="255"/>
      <c r="I604" s="255"/>
      <c r="J604" s="255"/>
      <c r="K604" s="255"/>
      <c r="L604" s="255"/>
      <c r="M604" s="256"/>
      <c r="S604" s="257"/>
      <c r="T604" s="257"/>
      <c r="U604" s="257"/>
      <c r="W604" s="257"/>
      <c r="X604" s="257"/>
      <c r="Y604" s="257"/>
      <c r="Z604" s="254"/>
      <c r="AA604" s="254"/>
      <c r="AB604" s="254"/>
      <c r="AC604" s="254"/>
      <c r="AD604" s="254"/>
      <c r="AE604" s="254"/>
      <c r="AF604" s="254"/>
      <c r="AG604" s="254"/>
      <c r="AH604" s="254"/>
      <c r="AI604" s="254"/>
      <c r="AJ604" s="254"/>
      <c r="AK604" s="254"/>
      <c r="AL604" s="254"/>
      <c r="AM604" s="254"/>
      <c r="AN604" s="254"/>
      <c r="DW604" s="258"/>
      <c r="EA604" s="259"/>
      <c r="EB604" s="259"/>
      <c r="EC604" s="259"/>
      <c r="ED604" s="259"/>
      <c r="EE604" s="259"/>
    </row>
    <row r="605" spans="1:135" x14ac:dyDescent="0.4">
      <c r="A605" s="253"/>
      <c r="B605" s="254"/>
      <c r="C605" s="255"/>
      <c r="D605" s="255"/>
      <c r="E605" s="255"/>
      <c r="F605" s="255"/>
      <c r="G605" s="255"/>
      <c r="H605" s="255"/>
      <c r="I605" s="255"/>
      <c r="J605" s="255"/>
      <c r="K605" s="255"/>
      <c r="L605" s="255"/>
      <c r="M605" s="256"/>
      <c r="S605" s="257"/>
      <c r="T605" s="257"/>
      <c r="U605" s="257"/>
      <c r="W605" s="257"/>
      <c r="X605" s="257"/>
      <c r="Y605" s="257"/>
      <c r="Z605" s="254"/>
      <c r="AA605" s="254"/>
      <c r="AB605" s="254"/>
      <c r="AC605" s="254"/>
      <c r="AD605" s="254"/>
      <c r="AE605" s="254"/>
      <c r="AF605" s="254"/>
      <c r="AG605" s="254"/>
      <c r="AH605" s="254"/>
      <c r="AI605" s="254"/>
      <c r="AJ605" s="254"/>
      <c r="AK605" s="254"/>
      <c r="AL605" s="254"/>
      <c r="AM605" s="254"/>
      <c r="AN605" s="254"/>
      <c r="DW605" s="258"/>
      <c r="EA605" s="259"/>
      <c r="EB605" s="259"/>
      <c r="EC605" s="259"/>
      <c r="ED605" s="259"/>
      <c r="EE605" s="259"/>
    </row>
    <row r="606" spans="1:135" x14ac:dyDescent="0.4">
      <c r="A606" s="316"/>
      <c r="B606" s="114"/>
      <c r="C606" s="14"/>
      <c r="D606" s="14"/>
      <c r="E606" s="14"/>
      <c r="F606" s="14"/>
      <c r="G606" s="14"/>
      <c r="H606" s="14"/>
      <c r="I606" s="14"/>
      <c r="J606" s="14"/>
      <c r="K606" s="14"/>
      <c r="L606" s="14"/>
      <c r="M606" s="14"/>
      <c r="N606" s="89"/>
      <c r="O606" s="89"/>
      <c r="P606" s="89"/>
      <c r="Q606" s="89"/>
      <c r="R606" s="89"/>
      <c r="S606" s="89"/>
      <c r="T606" s="89"/>
      <c r="U606" s="89"/>
      <c r="V606" s="89"/>
      <c r="W606" s="89"/>
      <c r="X606" s="89"/>
      <c r="Y606" s="89"/>
      <c r="Z606" s="89"/>
      <c r="AA606" s="89"/>
      <c r="AB606" s="89"/>
      <c r="AC606" s="89"/>
      <c r="AD606" s="89"/>
      <c r="AE606" s="89"/>
      <c r="AF606" s="89"/>
      <c r="AG606" s="89"/>
      <c r="AH606" s="89"/>
      <c r="AI606" s="89"/>
      <c r="AJ606" s="89"/>
      <c r="AK606" s="89"/>
      <c r="AL606" s="89"/>
      <c r="AM606" s="89"/>
      <c r="AN606" s="89"/>
      <c r="AO606" s="89"/>
      <c r="AP606" s="89"/>
      <c r="DW606" s="54"/>
      <c r="EA606" s="55"/>
      <c r="EB606" s="55"/>
      <c r="EC606" s="55"/>
      <c r="ED606" s="55"/>
      <c r="EE606" s="55"/>
    </row>
    <row r="607" spans="1:135" x14ac:dyDescent="0.4">
      <c r="A607" s="316"/>
      <c r="B607" s="114"/>
      <c r="C607" s="14"/>
      <c r="D607" s="14"/>
      <c r="E607" s="14"/>
      <c r="F607" s="14"/>
      <c r="G607" s="14"/>
      <c r="H607" s="14"/>
      <c r="I607" s="14"/>
      <c r="J607" s="14"/>
      <c r="K607" s="14"/>
      <c r="L607" s="14"/>
      <c r="M607" s="14"/>
      <c r="N607" s="89"/>
      <c r="O607" s="89"/>
      <c r="P607" s="89"/>
      <c r="Q607" s="89"/>
      <c r="R607" s="89"/>
      <c r="S607" s="89"/>
      <c r="T607" s="89"/>
      <c r="U607" s="89"/>
      <c r="V607" s="89"/>
      <c r="W607" s="89"/>
      <c r="X607" s="89"/>
      <c r="Y607" s="89"/>
      <c r="Z607" s="89"/>
      <c r="AA607" s="89"/>
      <c r="AB607" s="89"/>
      <c r="AC607" s="89"/>
      <c r="AD607" s="89"/>
      <c r="AE607" s="89"/>
      <c r="AF607" s="89"/>
      <c r="AG607" s="89"/>
      <c r="AH607" s="89"/>
      <c r="AI607" s="89"/>
      <c r="AJ607" s="89"/>
      <c r="AK607" s="89"/>
      <c r="AL607" s="89"/>
      <c r="AM607" s="89"/>
      <c r="AN607" s="89"/>
      <c r="AO607" s="89"/>
      <c r="AP607" s="89"/>
      <c r="CZ607" s="89"/>
      <c r="DA607" s="89"/>
      <c r="DB607" s="89"/>
      <c r="DC607" s="89"/>
      <c r="DD607" s="89"/>
      <c r="DE607" s="89"/>
      <c r="DF607" s="89"/>
      <c r="DG607" s="89"/>
      <c r="DH607" s="89"/>
      <c r="DI607" s="89"/>
      <c r="DJ607" s="89"/>
      <c r="DK607" s="89"/>
      <c r="DL607" s="89"/>
      <c r="DM607" s="89"/>
      <c r="DN607" s="89"/>
      <c r="DO607" s="89"/>
      <c r="DP607" s="89"/>
      <c r="DQ607" s="89"/>
      <c r="DW607" s="54"/>
      <c r="EA607" s="55"/>
      <c r="EB607" s="55"/>
      <c r="EC607" s="55"/>
      <c r="ED607" s="55"/>
      <c r="EE607" s="55"/>
    </row>
    <row r="608" spans="1:135" x14ac:dyDescent="0.4">
      <c r="A608" s="261" t="s">
        <v>106</v>
      </c>
      <c r="B608" s="695"/>
      <c r="C608" s="695"/>
      <c r="D608" s="113"/>
      <c r="E608" s="113"/>
      <c r="F608" s="113"/>
      <c r="G608" s="113"/>
      <c r="H608" s="113"/>
      <c r="I608" s="113"/>
      <c r="J608" s="113"/>
      <c r="K608" s="113"/>
      <c r="L608" s="113"/>
      <c r="M608" s="113"/>
      <c r="N608" s="114"/>
      <c r="O608" s="114"/>
      <c r="P608" s="114"/>
      <c r="Q608" s="114"/>
      <c r="R608" s="114"/>
      <c r="S608" s="114"/>
      <c r="T608" s="114"/>
      <c r="U608" s="114"/>
      <c r="V608" s="114"/>
      <c r="W608" s="114"/>
      <c r="X608" s="114"/>
      <c r="Y608" s="114"/>
      <c r="Z608" s="114"/>
      <c r="AA608" s="261" t="s">
        <v>106</v>
      </c>
      <c r="AB608" s="114"/>
      <c r="AC608" s="114"/>
      <c r="AD608" s="114"/>
      <c r="AE608" s="114"/>
      <c r="AF608" s="114"/>
      <c r="AG608" s="114"/>
      <c r="AH608" s="114"/>
      <c r="AI608" s="114"/>
      <c r="AJ608" s="114"/>
      <c r="AK608" s="114"/>
      <c r="AL608" s="114"/>
      <c r="AM608" s="261" t="s">
        <v>106</v>
      </c>
      <c r="AN608" s="114"/>
      <c r="AO608" s="89"/>
      <c r="AP608" s="89"/>
      <c r="AZ608" s="261" t="s">
        <v>106</v>
      </c>
      <c r="BJ608" s="261" t="s">
        <v>106</v>
      </c>
      <c r="BR608" s="261" t="s">
        <v>106</v>
      </c>
      <c r="BY608" s="261" t="s">
        <v>106</v>
      </c>
      <c r="CG608" s="261" t="s">
        <v>106</v>
      </c>
      <c r="CP608" s="261" t="s">
        <v>106</v>
      </c>
      <c r="CZ608" s="89"/>
      <c r="DA608" s="89"/>
      <c r="DB608" s="89"/>
      <c r="DC608" s="89"/>
      <c r="DD608" s="89"/>
      <c r="DE608" s="89"/>
      <c r="DF608" s="89"/>
      <c r="DG608" s="89"/>
      <c r="DH608" s="89"/>
      <c r="DI608" s="89"/>
      <c r="DJ608" s="89"/>
      <c r="DK608" s="89"/>
      <c r="DL608" s="89"/>
      <c r="DM608" s="89"/>
      <c r="DN608" s="89"/>
      <c r="DO608" s="89"/>
      <c r="DP608" s="89"/>
      <c r="DQ608" s="89"/>
      <c r="DV608" s="261" t="s">
        <v>106</v>
      </c>
    </row>
    <row r="609" spans="1:135" x14ac:dyDescent="0.4">
      <c r="A609" s="221"/>
      <c r="C609" s="14"/>
      <c r="D609" s="14"/>
      <c r="E609" s="14"/>
      <c r="F609" s="14"/>
      <c r="G609" s="14"/>
      <c r="H609" s="14"/>
      <c r="I609" s="14"/>
      <c r="J609" s="14"/>
      <c r="K609" s="14"/>
      <c r="L609" s="14"/>
      <c r="M609" s="14"/>
      <c r="DW609" s="54"/>
      <c r="EA609" s="286"/>
      <c r="EB609" s="286"/>
      <c r="EC609" s="286"/>
      <c r="ED609" s="286"/>
      <c r="EE609" s="286"/>
    </row>
    <row r="610" spans="1:135" x14ac:dyDescent="0.4">
      <c r="A610" s="221"/>
      <c r="C610" s="14"/>
      <c r="D610" s="978"/>
      <c r="E610" s="14"/>
      <c r="F610" s="14"/>
      <c r="G610" s="14"/>
      <c r="H610" s="14"/>
      <c r="I610" s="14"/>
      <c r="J610" s="14"/>
      <c r="K610" s="14"/>
      <c r="L610" s="14"/>
      <c r="M610" s="14"/>
      <c r="DW610" s="54"/>
      <c r="EA610" s="286"/>
      <c r="EB610" s="286"/>
      <c r="EC610" s="286"/>
      <c r="ED610" s="286"/>
      <c r="EE610" s="286"/>
    </row>
    <row r="611" spans="1:135" x14ac:dyDescent="0.4">
      <c r="B611" s="694"/>
      <c r="C611" s="694"/>
      <c r="D611" s="113"/>
      <c r="E611" s="113"/>
      <c r="F611" s="113"/>
      <c r="G611" s="113"/>
      <c r="H611" s="113"/>
      <c r="I611" s="113"/>
      <c r="J611" s="113"/>
      <c r="K611" s="113"/>
      <c r="L611" s="113"/>
      <c r="M611" s="113"/>
      <c r="N611" s="114"/>
      <c r="O611" s="114"/>
      <c r="P611" s="114"/>
      <c r="Q611" s="114"/>
      <c r="R611" s="114"/>
      <c r="S611" s="114"/>
      <c r="T611" s="114"/>
      <c r="U611" s="114"/>
      <c r="V611" s="114"/>
      <c r="W611" s="114"/>
      <c r="X611" s="114"/>
      <c r="Y611" s="114"/>
      <c r="Z611" s="114"/>
      <c r="AA611" s="114"/>
      <c r="AC611" s="114"/>
      <c r="AD611" s="114"/>
      <c r="AE611" s="114"/>
      <c r="AF611" s="114"/>
      <c r="AG611" s="114"/>
      <c r="AH611" s="114"/>
      <c r="AI611" s="114"/>
      <c r="AJ611" s="114"/>
      <c r="AK611" s="114"/>
      <c r="AL611" s="114"/>
      <c r="AM611" s="114"/>
      <c r="AN611" s="114"/>
      <c r="AO611" s="89"/>
      <c r="DW611" s="54"/>
      <c r="EA611" s="55"/>
      <c r="EB611" s="55"/>
      <c r="EC611" s="55"/>
      <c r="ED611" s="55"/>
      <c r="EE611" s="55"/>
    </row>
    <row r="612" spans="1:135" ht="12.6" thickBot="1" x14ac:dyDescent="0.45">
      <c r="A612" s="233"/>
      <c r="B612" s="679"/>
      <c r="C612" s="679"/>
      <c r="D612" s="113"/>
      <c r="E612" s="113"/>
      <c r="F612" s="113"/>
      <c r="G612" s="113"/>
      <c r="H612" s="113"/>
      <c r="I612" s="113"/>
      <c r="J612" s="113"/>
      <c r="K612" s="113"/>
      <c r="L612" s="113"/>
      <c r="M612" s="113"/>
      <c r="N612" s="114"/>
      <c r="O612" s="114"/>
      <c r="P612" s="114"/>
      <c r="Q612" s="114"/>
      <c r="R612" s="114"/>
      <c r="S612" s="114"/>
      <c r="T612" s="114"/>
      <c r="U612" s="114"/>
      <c r="V612" s="114"/>
      <c r="W612" s="114"/>
      <c r="X612" s="114"/>
      <c r="Y612" s="114"/>
      <c r="Z612" s="114"/>
      <c r="AA612" s="114"/>
      <c r="AB612" s="114"/>
      <c r="AC612" s="114"/>
      <c r="AD612" s="114"/>
      <c r="AE612" s="114"/>
      <c r="AF612" s="114"/>
      <c r="AG612" s="114"/>
      <c r="AH612" s="114"/>
      <c r="AI612" s="114"/>
      <c r="AJ612" s="114"/>
      <c r="AK612" s="114"/>
      <c r="AL612" s="114"/>
      <c r="AM612" s="114"/>
      <c r="CZ612" s="116"/>
      <c r="DA612" s="116"/>
      <c r="DB612" s="116"/>
      <c r="DC612" s="116"/>
      <c r="DD612" s="116"/>
      <c r="DE612" s="116"/>
      <c r="DF612" s="116"/>
      <c r="DG612" s="116"/>
      <c r="DH612" s="116"/>
      <c r="DI612" s="117" t="str">
        <f>"DJ"&amp;MIN(DK615:DK663)</f>
        <v>DJ615</v>
      </c>
      <c r="DJ612" s="118" t="str">
        <f>"DJ"&amp;MAX(DK615:DK663)</f>
        <v>DJ663</v>
      </c>
      <c r="DK612" s="116"/>
      <c r="DL612" s="117" t="str">
        <f>"DM"&amp;MIN(DN615:DN663)</f>
        <v>DM615</v>
      </c>
      <c r="DM612" s="118" t="str">
        <f>"DM"&amp;MAX(DN615:DN663)</f>
        <v>DM663</v>
      </c>
      <c r="DN612" s="116"/>
      <c r="DO612" s="117" t="str">
        <f>"DP"&amp;MIN(DQ615:DQ663)</f>
        <v>DP615</v>
      </c>
      <c r="DP612" s="118" t="str">
        <f>"DP"&amp;MAX(DQ615:DQ663)</f>
        <v>DP663</v>
      </c>
      <c r="DQ612" s="116"/>
      <c r="DW612" s="119"/>
      <c r="EA612" s="33"/>
      <c r="EB612" s="33"/>
      <c r="EC612" s="33"/>
      <c r="ED612" s="33"/>
      <c r="EE612" s="33"/>
    </row>
    <row r="613" spans="1:135" ht="24.9" thickBot="1" x14ac:dyDescent="0.5">
      <c r="A613" s="676" t="s">
        <v>65</v>
      </c>
      <c r="C613" s="680" t="str">
        <f>A631</f>
        <v>Base Cases</v>
      </c>
      <c r="D613" s="681"/>
      <c r="E613" s="682"/>
      <c r="F613" s="683" t="str">
        <f>A632</f>
        <v>Conservative Cases</v>
      </c>
      <c r="G613" s="684"/>
      <c r="H613" s="685"/>
      <c r="I613" s="686" t="str">
        <f>A633</f>
        <v>Ambitious Cases</v>
      </c>
      <c r="J613" s="687"/>
      <c r="K613" s="688"/>
      <c r="L613" s="692" t="str">
        <f>A634</f>
        <v>Maximum Cases</v>
      </c>
      <c r="M613" s="693"/>
      <c r="O613" s="122"/>
      <c r="P613" s="122"/>
      <c r="Q613" s="122"/>
      <c r="W613" s="691" t="s">
        <v>66</v>
      </c>
      <c r="X613" s="691"/>
      <c r="Y613" s="691"/>
      <c r="Z613" s="120"/>
      <c r="AA613" s="120"/>
      <c r="AB613" s="120"/>
      <c r="AC613" s="120"/>
      <c r="AD613" s="120"/>
      <c r="AE613" s="120"/>
      <c r="AF613" s="120"/>
      <c r="AG613" s="120"/>
      <c r="AH613" s="120"/>
      <c r="AI613" s="120"/>
      <c r="AJ613" s="120"/>
      <c r="AK613" s="120"/>
      <c r="AL613" s="120"/>
      <c r="AM613" s="120"/>
      <c r="AN613" s="120"/>
      <c r="BR613" s="121" t="s">
        <v>67</v>
      </c>
      <c r="BS613" s="121"/>
      <c r="BT613" s="121"/>
      <c r="BU613" s="121"/>
      <c r="BV613" s="121"/>
      <c r="BW613" s="122"/>
      <c r="BY613" s="121" t="s">
        <v>68</v>
      </c>
      <c r="BZ613" s="121"/>
      <c r="CA613" s="121"/>
      <c r="CB613" s="121"/>
      <c r="CC613" s="121"/>
      <c r="CD613" s="121"/>
      <c r="CG613" s="121" t="s">
        <v>69</v>
      </c>
      <c r="CH613" s="121"/>
      <c r="CI613" s="121"/>
      <c r="CJ613" s="121"/>
      <c r="CK613" s="121"/>
      <c r="CL613" s="121"/>
      <c r="CM613" s="121"/>
      <c r="CP613" s="121" t="s">
        <v>70</v>
      </c>
      <c r="CQ613" s="121"/>
      <c r="CR613" s="121"/>
      <c r="CS613" s="121"/>
      <c r="CT613" s="121"/>
      <c r="CU613" s="121"/>
      <c r="CZ613" s="123"/>
      <c r="DA613" s="123"/>
      <c r="DB613" s="123"/>
      <c r="DC613" s="123"/>
      <c r="DD613" s="123"/>
      <c r="DE613" s="123"/>
      <c r="DF613" s="123"/>
      <c r="DG613" s="123"/>
      <c r="DH613" s="123"/>
      <c r="DI613" s="124" t="str">
        <f>"DI"&amp;MIN(DK615:DK663)</f>
        <v>DI615</v>
      </c>
      <c r="DJ613" s="125" t="str">
        <f>"DI"&amp;MAX(DK615:DK663)</f>
        <v>DI663</v>
      </c>
      <c r="DK613" s="123"/>
      <c r="DL613" s="124" t="str">
        <f>"DL"&amp;MIN(DN615:DN663)</f>
        <v>DL615</v>
      </c>
      <c r="DM613" s="125" t="str">
        <f>"DL"&amp;MAX(DN615:DN663)</f>
        <v>DL663</v>
      </c>
      <c r="DN613" s="123"/>
      <c r="DO613" s="124" t="str">
        <f>"DO"&amp;MIN(DQ615:DQ663)</f>
        <v>DO615</v>
      </c>
      <c r="DP613" s="125" t="str">
        <f>"DO"&amp;MAX(DQ615:DQ663)</f>
        <v>DO663</v>
      </c>
      <c r="DQ613" s="123"/>
      <c r="DV613" s="126" t="s">
        <v>71</v>
      </c>
      <c r="DZ613" s="127" t="s">
        <v>72</v>
      </c>
      <c r="EA613" s="284" t="str">
        <f>$L$41</f>
        <v>3rd Poly</v>
      </c>
    </row>
    <row r="614" spans="1:135" ht="74.099999999999994" thickBot="1" x14ac:dyDescent="0.5">
      <c r="A614" s="676" t="s">
        <v>73</v>
      </c>
      <c r="B614" s="128"/>
      <c r="C614" s="129" t="str">
        <f>A615</f>
        <v>World Bank, What a Waste 2.0</v>
      </c>
      <c r="D614" s="130" t="str">
        <f>A616</f>
        <v xml:space="preserve">US EPA: Advancing Sustainable Materials Management
</v>
      </c>
      <c r="E614" s="131" t="str">
        <f>A617</f>
        <v>[Source 3]</v>
      </c>
      <c r="F614" s="129" t="str">
        <f>A618</f>
        <v>[Source 1]</v>
      </c>
      <c r="G614" s="130" t="str">
        <f>A619</f>
        <v>[Source 2]</v>
      </c>
      <c r="H614" s="131" t="str">
        <f>A620</f>
        <v>[Source 3]</v>
      </c>
      <c r="I614" s="129" t="str">
        <f>A621</f>
        <v xml:space="preserve"> IEA Annex I – Municipal solid waste potential in cities; Table I.1</v>
      </c>
      <c r="J614" s="130" t="str">
        <f>A622</f>
        <v>[Source 2]</v>
      </c>
      <c r="K614" s="131" t="str">
        <f>A623</f>
        <v>[Source 3]</v>
      </c>
      <c r="L614" s="129" t="str">
        <f>A624</f>
        <v>[Source 1]</v>
      </c>
      <c r="M614" s="131" t="str">
        <f>A625</f>
        <v>[Source 2]</v>
      </c>
      <c r="N614" s="234" t="s">
        <v>74</v>
      </c>
      <c r="O614" s="133"/>
      <c r="P614" s="133"/>
      <c r="Q614" s="133"/>
      <c r="R614" s="135" t="s">
        <v>76</v>
      </c>
      <c r="S614" s="134" t="s">
        <v>77</v>
      </c>
      <c r="T614" s="134" t="s">
        <v>78</v>
      </c>
      <c r="U614" s="136" t="s">
        <v>79</v>
      </c>
      <c r="V614" s="691"/>
      <c r="W614" s="136" t="s">
        <v>15</v>
      </c>
      <c r="X614" s="134" t="s">
        <v>21</v>
      </c>
      <c r="Y614" s="136" t="s">
        <v>25</v>
      </c>
      <c r="AA614" s="138"/>
      <c r="AB614" s="138"/>
      <c r="AC614" s="138"/>
      <c r="AD614" s="138"/>
      <c r="AE614" s="138"/>
      <c r="AF614" s="138"/>
      <c r="AG614" s="138"/>
      <c r="AH614" s="138"/>
      <c r="AI614" s="138"/>
      <c r="AJ614" s="138"/>
      <c r="AK614" s="138"/>
      <c r="AL614" s="138"/>
      <c r="AM614" s="138"/>
      <c r="AN614" s="138"/>
      <c r="BR614" s="139"/>
      <c r="BS614" s="139"/>
      <c r="BT614" s="139"/>
      <c r="BU614" s="139"/>
      <c r="BV614" s="139"/>
      <c r="BW614" s="122"/>
      <c r="BZ614" s="139"/>
      <c r="CA614" s="139"/>
      <c r="CB614" s="139"/>
      <c r="CC614" s="139"/>
      <c r="CD614" s="139"/>
      <c r="CH614" s="139"/>
      <c r="CI614" s="139"/>
      <c r="CJ614" s="139"/>
      <c r="CK614" s="139"/>
      <c r="CL614" s="139"/>
      <c r="CM614" s="139"/>
      <c r="CQ614" s="139"/>
      <c r="CR614" s="139"/>
      <c r="CS614" s="139"/>
      <c r="CT614" s="139"/>
      <c r="CU614" s="139"/>
      <c r="CZ614" s="140"/>
      <c r="DA614" s="140"/>
      <c r="DB614" s="140"/>
      <c r="DC614" s="140"/>
      <c r="DD614" s="141"/>
      <c r="DE614" s="141"/>
      <c r="DF614" s="141"/>
      <c r="DG614" s="141"/>
      <c r="DH614" s="140"/>
      <c r="DI614" s="142"/>
      <c r="DJ614" s="143"/>
      <c r="DK614" s="144"/>
      <c r="DL614" s="142"/>
      <c r="DM614" s="143"/>
      <c r="DN614" s="140"/>
      <c r="DO614" s="142"/>
      <c r="DP614" s="143"/>
      <c r="DQ614" s="140"/>
      <c r="DV614" s="145">
        <v>2014</v>
      </c>
      <c r="DW614" s="235">
        <f t="shared" ref="DW614:DW660" ca="1" si="322">IF($J$41="N","",IF($L$41="Linear",BV619,IF($L$41="2nd Poly",CD619,IF($L$41="3rd Poly",CM619,IF($L$41="Exp",CT619)))))</f>
        <v>230.43790580082432</v>
      </c>
      <c r="EA614" s="33" t="str">
        <f>$M$41</f>
        <v>Medium</v>
      </c>
      <c r="EB614" s="33"/>
      <c r="EC614" s="33"/>
      <c r="ED614" s="33"/>
      <c r="EE614" s="33"/>
    </row>
    <row r="615" spans="1:135" ht="14.1" thickBot="1" x14ac:dyDescent="0.5">
      <c r="A615" s="948" t="s">
        <v>549</v>
      </c>
      <c r="B615" s="128">
        <v>2012</v>
      </c>
      <c r="C615" s="977">
        <v>228.87370365000001</v>
      </c>
      <c r="D615" s="977">
        <v>228.87370365000001</v>
      </c>
      <c r="E615" s="239"/>
      <c r="F615" s="1095"/>
      <c r="G615" s="264"/>
      <c r="H615" s="239"/>
      <c r="I615" s="1152">
        <v>228.87370365000001</v>
      </c>
      <c r="J615" s="264"/>
      <c r="K615" s="239"/>
      <c r="L615" s="190"/>
      <c r="M615" s="239"/>
      <c r="N615" s="29" t="s">
        <v>119</v>
      </c>
      <c r="O615" s="120"/>
      <c r="P615" s="120"/>
      <c r="Q615" s="120"/>
      <c r="R615" s="29">
        <v>-2</v>
      </c>
      <c r="S615" s="288">
        <f t="shared" ref="S615:S663" si="323">IF(MIN(C615:Q615)=0,"",MIN(C615:Q615))</f>
        <v>228.87370365000001</v>
      </c>
      <c r="T615" s="288">
        <f t="shared" ref="T615:T663" si="324">IF(MAX(C615:Q615)=0,"",MAX(C615:Q615))</f>
        <v>228.87370365000001</v>
      </c>
      <c r="U615" s="288">
        <f t="shared" ref="U615:U663" si="325">IF(T615="","",_xlfn.STDEV.P(C615:Q615))</f>
        <v>0</v>
      </c>
      <c r="V615" s="29"/>
      <c r="W615" s="288">
        <f t="shared" ref="W615:W663" si="326">IF(U615="",#N/A,X615-(U615*$Q$41))</f>
        <v>228.87370365000001</v>
      </c>
      <c r="X615" s="288">
        <f t="shared" ref="X615:X646" si="327">IF(U615="",#N/A,(SUM(C615:Q615)/COUNTIFS(C615:Q615,"&gt;0")))</f>
        <v>228.87370365000001</v>
      </c>
      <c r="Y615" s="288">
        <f t="shared" ref="Y615:Y663" si="328">IF(U615="",#N/A,X615+(U615*$Q$40))</f>
        <v>228.87370365000001</v>
      </c>
      <c r="AA615" s="138"/>
      <c r="AB615" s="138"/>
      <c r="AC615" s="138"/>
      <c r="AD615" s="138"/>
      <c r="AE615" s="138"/>
      <c r="AF615" s="138"/>
      <c r="AG615" s="138"/>
      <c r="AH615" s="138"/>
      <c r="AI615" s="138"/>
      <c r="AJ615" s="138"/>
      <c r="AK615" s="138"/>
      <c r="AL615" s="138"/>
      <c r="AM615" s="138"/>
      <c r="AN615" s="138"/>
      <c r="BR615" s="691" t="s">
        <v>81</v>
      </c>
      <c r="BS615" s="65" t="str">
        <f>$M$41</f>
        <v>Medium</v>
      </c>
      <c r="BT615" s="691" t="s">
        <v>82</v>
      </c>
      <c r="BU615" s="691" t="s">
        <v>83</v>
      </c>
      <c r="BW615" s="133"/>
      <c r="BY615" s="691" t="s">
        <v>81</v>
      </c>
      <c r="BZ615" s="65" t="str">
        <f>$M$41</f>
        <v>Medium</v>
      </c>
      <c r="CA615" s="691" t="s">
        <v>84</v>
      </c>
      <c r="CB615" s="691" t="s">
        <v>82</v>
      </c>
      <c r="CC615" s="691" t="s">
        <v>83</v>
      </c>
      <c r="CG615" s="691" t="s">
        <v>81</v>
      </c>
      <c r="CH615" s="65" t="str">
        <f>$M$41</f>
        <v>Medium</v>
      </c>
      <c r="CI615" s="691" t="s">
        <v>85</v>
      </c>
      <c r="CJ615" s="691" t="s">
        <v>84</v>
      </c>
      <c r="CK615" s="691" t="s">
        <v>82</v>
      </c>
      <c r="CL615" s="691" t="s">
        <v>83</v>
      </c>
      <c r="CP615" s="691" t="s">
        <v>81</v>
      </c>
      <c r="CQ615" s="65" t="str">
        <f>$M$41</f>
        <v>Medium</v>
      </c>
      <c r="CR615" s="691" t="s">
        <v>86</v>
      </c>
      <c r="CS615" s="691" t="s">
        <v>87</v>
      </c>
      <c r="CZ615" s="155" t="b">
        <f t="shared" ref="CZ615:DB654" si="329">ISNUMBER(W615)</f>
        <v>1</v>
      </c>
      <c r="DA615" s="156" t="b">
        <f t="shared" si="329"/>
        <v>1</v>
      </c>
      <c r="DB615" s="157" t="b">
        <f t="shared" si="329"/>
        <v>1</v>
      </c>
      <c r="DC615" s="155">
        <f t="shared" ref="DC615:DC663" si="330">IF(CZ615=TRUE,$R615,"")</f>
        <v>-2</v>
      </c>
      <c r="DD615" s="157">
        <f t="shared" ref="DD615:DD663" si="331">IF(CZ615=TRUE,W615,"")</f>
        <v>228.87370365000001</v>
      </c>
      <c r="DE615" s="155">
        <f t="shared" ref="DE615:DE663" si="332">IF(DA615=TRUE,$R615,"")</f>
        <v>-2</v>
      </c>
      <c r="DF615" s="157">
        <f t="shared" ref="DF615:DF663" si="333">IF(DA615=TRUE,X615,"")</f>
        <v>228.87370365000001</v>
      </c>
      <c r="DG615" s="155">
        <f t="shared" ref="DG615:DG663" si="334">IF(DB615=TRUE,$R615,"")</f>
        <v>-2</v>
      </c>
      <c r="DH615" s="157">
        <f t="shared" ref="DH615:DH663" si="335">IF(DB615=TRUE,Y615,"")</f>
        <v>228.87370365000001</v>
      </c>
      <c r="DI615" s="155">
        <f>IFERROR(INDEX(DC$615:DC$663,_xlfn.AGGREGATE(15,6,(ROW(DC$615:DC$663)-ROW(DC$615)+1)/(DC$615:DC$663&lt;&gt;""),ROWS(DI$1:DI1))),"")</f>
        <v>-2</v>
      </c>
      <c r="DJ615" s="156">
        <f>IFERROR(INDEX(DD$615:DD$663,_xlfn.AGGREGATE(15,6,(ROW(DD$615:DD$663)-ROW(DD$615)+1)/(DD$615:DD$663&lt;&gt;""),ROWS(DJ$1:DJ1))),"")</f>
        <v>228.87370365000001</v>
      </c>
      <c r="DK615" s="157">
        <f t="shared" ref="DK615:DK663" si="336">IF(ISNUMBER(DI615),ROW(DI615),"")</f>
        <v>615</v>
      </c>
      <c r="DL615" s="155">
        <f>IFERROR(INDEX(DE$615:DE$663,_xlfn.AGGREGATE(15,6,(ROW(DE$615:DE$663)-ROW(DE$615)+1)/(DE$615:DE$663&lt;&gt;""),ROWS(DL$1:DL1))),"")</f>
        <v>-2</v>
      </c>
      <c r="DM615" s="156">
        <f>IFERROR(INDEX(DF$615:DF$663,_xlfn.AGGREGATE(15,6,(ROW(DF$615:DF$663)-ROW(DF$615)+1)/(DF$615:DF$663&lt;&gt;""),ROWS(DM$1:DM1))),"")</f>
        <v>228.87370365000001</v>
      </c>
      <c r="DN615" s="157">
        <f t="shared" ref="DN615:DN663" si="337">IF(ISNUMBER(DI615),ROW(DI615),"")</f>
        <v>615</v>
      </c>
      <c r="DO615" s="155">
        <f>IFERROR(INDEX(DG$615:DG$663,_xlfn.AGGREGATE(15,6,(ROW(DG$615:DG$663)-ROW(DG$615)+1)/(DG$615:DG$663&lt;&gt;""),ROWS(DO$1:DO1))),"")</f>
        <v>-2</v>
      </c>
      <c r="DP615" s="156">
        <f>IFERROR(INDEX(DH$615:DH$663,_xlfn.AGGREGATE(15,6,(ROW(DH$615:DH$663)-ROW(DH$615)+1)/(DH$615:DH$663&lt;&gt;""),ROWS(DP$1:DP1))),"")</f>
        <v>228.87370365000001</v>
      </c>
      <c r="DQ615" s="157">
        <f t="shared" ref="DQ615:DQ663" si="338">IF(ISNUMBER(DL615),ROW(DL615),"")</f>
        <v>615</v>
      </c>
      <c r="DV615" s="145">
        <v>2015</v>
      </c>
      <c r="DW615" s="235">
        <f t="shared" ca="1" si="322"/>
        <v>230.78467988424484</v>
      </c>
      <c r="EA615" s="33"/>
      <c r="EB615" s="33"/>
      <c r="EC615" s="33"/>
      <c r="ED615" s="33"/>
      <c r="EE615" s="33"/>
    </row>
    <row r="616" spans="1:135" ht="36.9" x14ac:dyDescent="0.45">
      <c r="A616" s="959" t="s">
        <v>987</v>
      </c>
      <c r="B616" s="128">
        <v>2013</v>
      </c>
      <c r="C616" s="977">
        <v>231.39567795000002</v>
      </c>
      <c r="D616" s="977">
        <v>231.39567795000002</v>
      </c>
      <c r="E616" s="239"/>
      <c r="F616" s="1095"/>
      <c r="G616" s="264"/>
      <c r="H616" s="239"/>
      <c r="I616" s="1152">
        <v>231.39567795000002</v>
      </c>
      <c r="J616" s="264"/>
      <c r="K616" s="239"/>
      <c r="L616" s="190"/>
      <c r="M616" s="239"/>
      <c r="N616" s="29" t="s">
        <v>119</v>
      </c>
      <c r="O616" s="120"/>
      <c r="P616" s="120"/>
      <c r="Q616" s="120"/>
      <c r="R616" s="29">
        <v>-1</v>
      </c>
      <c r="S616" s="288">
        <f t="shared" si="323"/>
        <v>231.39567795000002</v>
      </c>
      <c r="T616" s="288">
        <f t="shared" si="324"/>
        <v>231.39567795000002</v>
      </c>
      <c r="U616" s="288">
        <f t="shared" si="325"/>
        <v>0</v>
      </c>
      <c r="V616" s="29"/>
      <c r="W616" s="288">
        <f t="shared" si="326"/>
        <v>231.39567795000002</v>
      </c>
      <c r="X616" s="288">
        <f t="shared" si="327"/>
        <v>231.39567795000002</v>
      </c>
      <c r="Y616" s="288">
        <f t="shared" si="328"/>
        <v>231.39567795000002</v>
      </c>
      <c r="AA616" s="138"/>
      <c r="AB616" s="138"/>
      <c r="AC616" s="138"/>
      <c r="AD616" s="138"/>
      <c r="AE616" s="138"/>
      <c r="AF616" s="138"/>
      <c r="AG616" s="138"/>
      <c r="AH616" s="138"/>
      <c r="AI616" s="138"/>
      <c r="AJ616" s="138"/>
      <c r="AK616" s="138"/>
      <c r="AL616" s="138"/>
      <c r="AM616" s="138"/>
      <c r="AN616" s="138"/>
      <c r="BS616" s="160" t="s">
        <v>25</v>
      </c>
      <c r="BT616" s="161">
        <f>SLOPE((DH615:DH663),($B$46:$B$94))</f>
        <v>12.369933552523268</v>
      </c>
      <c r="BU616" s="162">
        <f>INTERCEPT(DP615:DP663,DO615:DO663)</f>
        <v>195.87744408096194</v>
      </c>
      <c r="BW616" s="133"/>
      <c r="BZ616" s="160" t="s">
        <v>25</v>
      </c>
      <c r="CA616" s="161">
        <f ca="1">INDEX(LINEST((INDIRECT(DO612):INDIRECT(DP612)),(INDIRECT(DO613):INDIRECT(DP613))^{1,2}),1)</f>
        <v>0.17342763652093032</v>
      </c>
      <c r="CB616" s="163">
        <f ca="1">INDEX(LINEST((INDIRECT(DO612):INDIRECT(DP612)),(INDIRECT(DO613):INDIRECT(DP613))^{1,2}),1,2)</f>
        <v>4.7391175456023378</v>
      </c>
      <c r="CC616" s="162">
        <f ca="1">INDEX(LINEST((INDIRECT(DO612):INDIRECT(DP612)),(INDIRECT(DO613):INDIRECT(DP613))^{1,2}),1,3)</f>
        <v>245.13089285290602</v>
      </c>
      <c r="CH616" s="160" t="s">
        <v>25</v>
      </c>
      <c r="CI616" s="161">
        <f ca="1">INDEX(LINEST((INDIRECT(DO612):INDIRECT(DP612)),(INDIRECT(DO613):INDIRECT(DP613))^{1,2,3}),1)</f>
        <v>2.5884547988626085E-3</v>
      </c>
      <c r="CJ616" s="163">
        <f ca="1">INDEX(LINEST((INDIRECT(DO612):INDIRECT(DP612)),(INDIRECT(DO613):INDIRECT(DP613))^{1,2,3}),1,2)</f>
        <v>2.5896197959980418E-3</v>
      </c>
      <c r="CK616" s="163">
        <f ca="1">INDEX(LINEST((INDIRECT(DO612):INDIRECT(DP612)),(INDIRECT(DO613):INDIRECT(DP613))^{1,2,3}),1,3)</f>
        <v>7.566227876920081</v>
      </c>
      <c r="CL616" s="162">
        <f ca="1">INDEX(LINEST((INDIRECT(DO612):INDIRECT(DP612)),(INDIRECT(DO613):INDIRECT(DP613))^{1,2,3}),1,4)</f>
        <v>238.05819896049385</v>
      </c>
      <c r="CQ616" s="160" t="s">
        <v>25</v>
      </c>
      <c r="CR616" s="161">
        <f ca="1">EXP(INDEX(LINEST(LN(INDIRECT(DO612):INDIRECT(DP612)),(INDIRECT(DO613):INDIRECT(DP613))),1,2))</f>
        <v>239.3378777892203</v>
      </c>
      <c r="CS616" s="162">
        <f ca="1">INDEX(LINEST(LN(INDIRECT(DO612):INDIRECT(DP612)),(INDIRECT(DO613):INDIRECT(DP613))),1)</f>
        <v>2.7166751287325312E-2</v>
      </c>
      <c r="CZ616" s="164" t="b">
        <f t="shared" si="329"/>
        <v>1</v>
      </c>
      <c r="DA616" s="165" t="b">
        <f t="shared" si="329"/>
        <v>1</v>
      </c>
      <c r="DB616" s="166" t="b">
        <f t="shared" si="329"/>
        <v>1</v>
      </c>
      <c r="DC616" s="164">
        <f t="shared" si="330"/>
        <v>-1</v>
      </c>
      <c r="DD616" s="166">
        <f t="shared" si="331"/>
        <v>231.39567795000002</v>
      </c>
      <c r="DE616" s="164">
        <f t="shared" si="332"/>
        <v>-1</v>
      </c>
      <c r="DF616" s="166">
        <f t="shared" si="333"/>
        <v>231.39567795000002</v>
      </c>
      <c r="DG616" s="164">
        <f t="shared" si="334"/>
        <v>-1</v>
      </c>
      <c r="DH616" s="166">
        <f t="shared" si="335"/>
        <v>231.39567795000002</v>
      </c>
      <c r="DI616" s="164">
        <f>IFERROR(INDEX(DC$615:DC$663,_xlfn.AGGREGATE(15,6,(ROW(DC$615:DC$663)-ROW(DC$615)+1)/(DC$615:DC$663&lt;&gt;""),ROWS(DI$1:DI2))),"")</f>
        <v>-1</v>
      </c>
      <c r="DJ616" s="165">
        <f>IFERROR(INDEX(DD$615:DD$663,_xlfn.AGGREGATE(15,6,(ROW(DD$615:DD$663)-ROW(DD$615)+1)/(DD$615:DD$663&lt;&gt;""),ROWS(DJ$1:DJ2))),"")</f>
        <v>231.39567795000002</v>
      </c>
      <c r="DK616" s="166">
        <f t="shared" si="336"/>
        <v>616</v>
      </c>
      <c r="DL616" s="164">
        <f>IFERROR(INDEX(DE$615:DE$663,_xlfn.AGGREGATE(15,6,(ROW(DE$615:DE$663)-ROW(DE$615)+1)/(DE$615:DE$663&lt;&gt;""),ROWS(DL$1:DL2))),"")</f>
        <v>-1</v>
      </c>
      <c r="DM616" s="165">
        <f>IFERROR(INDEX(DF$615:DF$663,_xlfn.AGGREGATE(15,6,(ROW(DF$615:DF$663)-ROW(DF$615)+1)/(DF$615:DF$663&lt;&gt;""),ROWS(DM$1:DM2))),"")</f>
        <v>231.39567795000002</v>
      </c>
      <c r="DN616" s="166">
        <f t="shared" si="337"/>
        <v>616</v>
      </c>
      <c r="DO616" s="164">
        <f>IFERROR(INDEX(DG$615:DG$663,_xlfn.AGGREGATE(15,6,(ROW(DG$615:DG$663)-ROW(DG$615)+1)/(DG$615:DG$663&lt;&gt;""),ROWS(DO$1:DO2))),"")</f>
        <v>-1</v>
      </c>
      <c r="DP616" s="165">
        <f>IFERROR(INDEX(DH$615:DH$663,_xlfn.AGGREGATE(15,6,(ROW(DH$615:DH$663)-ROW(DH$615)+1)/(DH$615:DH$663&lt;&gt;""),ROWS(DP$1:DP2))),"")</f>
        <v>231.39567795000002</v>
      </c>
      <c r="DQ616" s="166">
        <f t="shared" si="338"/>
        <v>616</v>
      </c>
      <c r="DV616" s="145">
        <v>2016</v>
      </c>
      <c r="DW616" s="235">
        <f t="shared" ca="1" si="322"/>
        <v>231.50876254128016</v>
      </c>
      <c r="EA616" s="33"/>
      <c r="EB616" s="33"/>
      <c r="EC616" s="33"/>
      <c r="ED616" s="33"/>
      <c r="EE616" s="33"/>
    </row>
    <row r="617" spans="1:135" ht="13.8" x14ac:dyDescent="0.45">
      <c r="A617" s="148" t="s">
        <v>90</v>
      </c>
      <c r="B617" s="128">
        <v>2014</v>
      </c>
      <c r="C617" s="977">
        <v>234.41660400000001</v>
      </c>
      <c r="D617" s="977">
        <v>234.41660400000001</v>
      </c>
      <c r="E617" s="169"/>
      <c r="F617" s="1095"/>
      <c r="G617" s="168"/>
      <c r="H617" s="169"/>
      <c r="I617" s="1152">
        <v>234.41660400000001</v>
      </c>
      <c r="J617" s="168"/>
      <c r="K617" s="169"/>
      <c r="L617" s="170"/>
      <c r="M617" s="169"/>
      <c r="N617" s="29" t="s">
        <v>119</v>
      </c>
      <c r="O617" s="120"/>
      <c r="P617" s="120"/>
      <c r="Q617" s="120"/>
      <c r="R617" s="29">
        <v>0</v>
      </c>
      <c r="S617" s="288">
        <f t="shared" si="323"/>
        <v>234.41660400000001</v>
      </c>
      <c r="T617" s="288">
        <f t="shared" si="324"/>
        <v>234.41660400000001</v>
      </c>
      <c r="U617" s="288">
        <f t="shared" si="325"/>
        <v>0</v>
      </c>
      <c r="V617" s="29"/>
      <c r="W617" s="288">
        <f t="shared" si="326"/>
        <v>234.41660400000001</v>
      </c>
      <c r="X617" s="288">
        <f t="shared" si="327"/>
        <v>234.41660400000001</v>
      </c>
      <c r="Y617" s="288">
        <f t="shared" si="328"/>
        <v>234.41660400000001</v>
      </c>
      <c r="AA617" s="138"/>
      <c r="AB617" s="138"/>
      <c r="AC617" s="138"/>
      <c r="AD617" s="138"/>
      <c r="AE617" s="138"/>
      <c r="AF617" s="138"/>
      <c r="AG617" s="138"/>
      <c r="AH617" s="138"/>
      <c r="AI617" s="138"/>
      <c r="AJ617" s="138"/>
      <c r="AK617" s="138"/>
      <c r="AL617" s="138"/>
      <c r="AM617" s="138"/>
      <c r="AN617" s="138"/>
      <c r="BS617" s="160" t="s">
        <v>91</v>
      </c>
      <c r="BT617" s="304">
        <f>SLOPE((DF615:DF663),($B$46:$B$94))</f>
        <v>6.2147656930438524</v>
      </c>
      <c r="BU617" s="305">
        <f>INTERCEPT(DM615:DM663,DL615:DL663)</f>
        <v>197.08859710304145</v>
      </c>
      <c r="BZ617" s="160" t="s">
        <v>91</v>
      </c>
      <c r="CA617" s="304">
        <f ca="1">INDEX(LINEST((INDIRECT(DL612):INDIRECT(DM612)),(INDIRECT(DL613):INDIRECT(DM613))^{1,2}),1)</f>
        <v>0.10458900463651656</v>
      </c>
      <c r="CB617" s="306">
        <f ca="1">INDEX(LINEST((INDIRECT(DL612):INDIRECT(DM612)),(INDIRECT(DL613):INDIRECT(DM613))^{1,2}),1,2)</f>
        <v>1.6128494890371243</v>
      </c>
      <c r="CC617" s="305">
        <f ca="1">INDEX(LINEST((INDIRECT(DL612):INDIRECT(DM612)),(INDIRECT(DL613):INDIRECT(DM613))^{1,2}),1,3)</f>
        <v>226.79187441981213</v>
      </c>
      <c r="CH617" s="160" t="s">
        <v>91</v>
      </c>
      <c r="CI617" s="304">
        <f ca="1">INDEX(LINEST((INDIRECT(DL612):INDIRECT(DM612)),(INDIRECT(DL613):INDIRECT(DM613))^{1,2,3}),1)</f>
        <v>-1.3343695582682406E-3</v>
      </c>
      <c r="CJ617" s="306">
        <f ca="1">INDEX(LINEST((INDIRECT(DL612):INDIRECT(DM612)),(INDIRECT(DL613):INDIRECT(DM613))^{1,2,3}),1,2)</f>
        <v>0.19265739548222038</v>
      </c>
      <c r="CK617" s="306">
        <f ca="1">INDEX(LINEST((INDIRECT(DL612):INDIRECT(DM612)),(INDIRECT(DL613):INDIRECT(DM613))^{1,2,3}),1,3)</f>
        <v>0.15545105749655197</v>
      </c>
      <c r="CL617" s="305">
        <f ca="1">INDEX(LINEST((INDIRECT(DL612):INDIRECT(DM612)),(INDIRECT(DL613):INDIRECT(DM613))^{1,2,3}),1,4)</f>
        <v>230.43790580082432</v>
      </c>
      <c r="CQ617" s="160" t="s">
        <v>91</v>
      </c>
      <c r="CR617" s="304">
        <f ca="1">EXP(INDEX(LINEST(LN(INDIRECT(DL612):INDIRECT(DM612)),(INDIRECT(DL613):INDIRECT(DM613))),1,2))</f>
        <v>214.56777435485824</v>
      </c>
      <c r="CS617" s="305">
        <f ca="1">INDEX(LINEST(LN(INDIRECT(DL612):INDIRECT(DM612)),(INDIRECT(DL613):INDIRECT(DM613))),1)</f>
        <v>1.8481549956716709E-2</v>
      </c>
      <c r="CZ617" s="164" t="b">
        <f t="shared" si="329"/>
        <v>1</v>
      </c>
      <c r="DA617" s="165" t="b">
        <f t="shared" si="329"/>
        <v>1</v>
      </c>
      <c r="DB617" s="166" t="b">
        <f t="shared" si="329"/>
        <v>1</v>
      </c>
      <c r="DC617" s="164">
        <f t="shared" si="330"/>
        <v>0</v>
      </c>
      <c r="DD617" s="166">
        <f t="shared" si="331"/>
        <v>234.41660400000001</v>
      </c>
      <c r="DE617" s="164">
        <f t="shared" si="332"/>
        <v>0</v>
      </c>
      <c r="DF617" s="166">
        <f t="shared" si="333"/>
        <v>234.41660400000001</v>
      </c>
      <c r="DG617" s="164">
        <f t="shared" si="334"/>
        <v>0</v>
      </c>
      <c r="DH617" s="166">
        <f t="shared" si="335"/>
        <v>234.41660400000001</v>
      </c>
      <c r="DI617" s="164">
        <f>IFERROR(INDEX(DC$615:DC$663,_xlfn.AGGREGATE(15,6,(ROW(DC$615:DC$663)-ROW(DC$615)+1)/(DC$615:DC$663&lt;&gt;""),ROWS(DI$1:DI3))),"")</f>
        <v>0</v>
      </c>
      <c r="DJ617" s="165">
        <f>IFERROR(INDEX(DD$615:DD$663,_xlfn.AGGREGATE(15,6,(ROW(DD$615:DD$663)-ROW(DD$615)+1)/(DD$615:DD$663&lt;&gt;""),ROWS(DJ$1:DJ3))),"")</f>
        <v>234.41660400000001</v>
      </c>
      <c r="DK617" s="166">
        <f t="shared" si="336"/>
        <v>617</v>
      </c>
      <c r="DL617" s="164">
        <f>IFERROR(INDEX(DE$615:DE$663,_xlfn.AGGREGATE(15,6,(ROW(DE$615:DE$663)-ROW(DE$615)+1)/(DE$615:DE$663&lt;&gt;""),ROWS(DL$1:DL3))),"")</f>
        <v>0</v>
      </c>
      <c r="DM617" s="165">
        <f>IFERROR(INDEX(DF$615:DF$663,_xlfn.AGGREGATE(15,6,(ROW(DF$615:DF$663)-ROW(DF$615)+1)/(DF$615:DF$663&lt;&gt;""),ROWS(DM$1:DM3))),"")</f>
        <v>234.41660400000001</v>
      </c>
      <c r="DN617" s="166">
        <f t="shared" si="337"/>
        <v>617</v>
      </c>
      <c r="DO617" s="164">
        <f>IFERROR(INDEX(DG$615:DG$663,_xlfn.AGGREGATE(15,6,(ROW(DG$615:DG$663)-ROW(DG$615)+1)/(DG$615:DG$663&lt;&gt;""),ROWS(DO$1:DO3))),"")</f>
        <v>0</v>
      </c>
      <c r="DP617" s="165">
        <f>IFERROR(INDEX(DH$615:DH$663,_xlfn.AGGREGATE(15,6,(ROW(DH$615:DH$663)-ROW(DH$615)+1)/(DH$615:DH$663&lt;&gt;""),ROWS(DP$1:DP3))),"")</f>
        <v>234.41660400000001</v>
      </c>
      <c r="DQ617" s="166">
        <f t="shared" si="338"/>
        <v>617</v>
      </c>
      <c r="DV617" s="145">
        <v>2017</v>
      </c>
      <c r="DW617" s="235">
        <f t="shared" ca="1" si="322"/>
        <v>232.60214755458071</v>
      </c>
      <c r="DZ617" s="65" t="s">
        <v>89</v>
      </c>
      <c r="EA617" s="33"/>
      <c r="EB617" s="33"/>
      <c r="EC617" s="33"/>
      <c r="ED617" s="33"/>
      <c r="EE617" s="33"/>
    </row>
    <row r="618" spans="1:135" ht="14.1" thickBot="1" x14ac:dyDescent="0.5">
      <c r="A618" s="949" t="s">
        <v>80</v>
      </c>
      <c r="B618" s="128">
        <v>2015</v>
      </c>
      <c r="C618" s="977">
        <v>237.78226035</v>
      </c>
      <c r="D618" s="977">
        <v>237.78226035</v>
      </c>
      <c r="E618" s="308"/>
      <c r="F618" s="1095"/>
      <c r="G618" s="307"/>
      <c r="H618" s="308"/>
      <c r="I618" s="1152">
        <v>237.78226035</v>
      </c>
      <c r="J618" s="307"/>
      <c r="K618" s="308"/>
      <c r="L618" s="309"/>
      <c r="M618" s="308"/>
      <c r="N618" s="29" t="s">
        <v>119</v>
      </c>
      <c r="O618" s="120"/>
      <c r="P618" s="120"/>
      <c r="Q618" s="120"/>
      <c r="R618" s="29">
        <v>1</v>
      </c>
      <c r="S618" s="288">
        <f t="shared" si="323"/>
        <v>237.78226035</v>
      </c>
      <c r="T618" s="288">
        <f t="shared" si="324"/>
        <v>237.78226035</v>
      </c>
      <c r="U618" s="288">
        <f t="shared" si="325"/>
        <v>0</v>
      </c>
      <c r="V618" s="29"/>
      <c r="W618" s="288">
        <f t="shared" si="326"/>
        <v>237.78226035</v>
      </c>
      <c r="X618" s="288">
        <f t="shared" si="327"/>
        <v>237.78226035</v>
      </c>
      <c r="Y618" s="288">
        <f t="shared" si="328"/>
        <v>237.78226035</v>
      </c>
      <c r="AA618" s="138"/>
      <c r="AB618" s="138"/>
      <c r="AC618" s="138"/>
      <c r="AD618" s="138"/>
      <c r="AE618" s="138"/>
      <c r="AF618" s="138"/>
      <c r="AG618" s="138"/>
      <c r="AH618" s="138"/>
      <c r="AI618" s="138"/>
      <c r="AJ618" s="138"/>
      <c r="AK618" s="138"/>
      <c r="AL618" s="138"/>
      <c r="AM618" s="138"/>
      <c r="AN618" s="138"/>
      <c r="BR618" s="29"/>
      <c r="BS618" s="160" t="s">
        <v>15</v>
      </c>
      <c r="BT618" s="310">
        <f>SLOPE((DD615:DD663),($B$46:$B$94))</f>
        <v>5.9597833564433232E-2</v>
      </c>
      <c r="BU618" s="311">
        <f>INTERCEPT(DJ615:DJ663,DI615:DI663)</f>
        <v>198.29975012512088</v>
      </c>
      <c r="BV618" s="691" t="s">
        <v>71</v>
      </c>
      <c r="BY618" s="29"/>
      <c r="BZ618" s="160" t="s">
        <v>15</v>
      </c>
      <c r="CA618" s="310">
        <f ca="1">INDEX(LINEST((INDIRECT(DI612):INDIRECT(DJ612)),(INDIRECT(DI613):INDIRECT(DJ613))^{1,2}),1)</f>
        <v>3.5750372752102785E-2</v>
      </c>
      <c r="CB618" s="312">
        <f ca="1">INDEX(LINEST((INDIRECT(DI612):INDIRECT(DJ612)),(INDIRECT(DI613):INDIRECT(DJ613))^{1,2}),1,2)</f>
        <v>-1.5134185675280889</v>
      </c>
      <c r="CC618" s="311">
        <f ca="1">INDEX(LINEST((INDIRECT(DI612):INDIRECT(DJ612)),(INDIRECT(DI613):INDIRECT(DJ613))^{1,2}),1,3)</f>
        <v>208.45285598671808</v>
      </c>
      <c r="CD618" s="691" t="s">
        <v>71</v>
      </c>
      <c r="CG618" s="29"/>
      <c r="CH618" s="160" t="s">
        <v>15</v>
      </c>
      <c r="CI618" s="310">
        <f ca="1">INDEX(LINEST((INDIRECT(DI612):INDIRECT(DJ612)),(INDIRECT(DI613):INDIRECT(DJ613))^{1,2,3}),1)</f>
        <v>-5.2571939153990884E-3</v>
      </c>
      <c r="CJ618" s="312">
        <f ca="1">INDEX(LINEST((INDIRECT(DI612):INDIRECT(DJ612)),(INDIRECT(DI613):INDIRECT(DJ613))^{1,2,3}),1,2)</f>
        <v>0.38272517116844251</v>
      </c>
      <c r="CK618" s="312">
        <f ca="1">INDEX(LINEST((INDIRECT(DI612):INDIRECT(DJ612)),(INDIRECT(DI613):INDIRECT(DJ613))^{1,2,3}),1,3)</f>
        <v>-7.2553257619269704</v>
      </c>
      <c r="CL618" s="311">
        <f ca="1">INDEX(LINEST((INDIRECT(DI612):INDIRECT(DJ612)),(INDIRECT(DI613):INDIRECT(DJ613))^{1,2,3}),1,4)</f>
        <v>222.8176126411546</v>
      </c>
      <c r="CM618" s="691" t="s">
        <v>71</v>
      </c>
      <c r="CP618" s="29"/>
      <c r="CQ618" s="160" t="s">
        <v>15</v>
      </c>
      <c r="CR618" s="310">
        <f ca="1">EXP(INDEX(LINEST(LN(INDIRECT(DI612):INDIRECT(DJ612)),(INDIRECT(DI613):INDIRECT(DJ613))),1,2))</f>
        <v>195.89228158977684</v>
      </c>
      <c r="CS618" s="311">
        <f ca="1">INDEX(LINEST(LN(INDIRECT(DI612):INDIRECT(DJ612)),(INDIRECT(DI613):INDIRECT(DJ613))),1)</f>
        <v>6.5737526535333195E-4</v>
      </c>
      <c r="CT618" s="691" t="s">
        <v>71</v>
      </c>
      <c r="CZ618" s="164" t="b">
        <f t="shared" si="329"/>
        <v>1</v>
      </c>
      <c r="DA618" s="165" t="b">
        <f t="shared" si="329"/>
        <v>1</v>
      </c>
      <c r="DB618" s="166" t="b">
        <f t="shared" si="329"/>
        <v>1</v>
      </c>
      <c r="DC618" s="164">
        <f t="shared" si="330"/>
        <v>1</v>
      </c>
      <c r="DD618" s="166">
        <f t="shared" si="331"/>
        <v>237.78226035</v>
      </c>
      <c r="DE618" s="164">
        <f t="shared" si="332"/>
        <v>1</v>
      </c>
      <c r="DF618" s="166">
        <f t="shared" si="333"/>
        <v>237.78226035</v>
      </c>
      <c r="DG618" s="164">
        <f t="shared" si="334"/>
        <v>1</v>
      </c>
      <c r="DH618" s="166">
        <f t="shared" si="335"/>
        <v>237.78226035</v>
      </c>
      <c r="DI618" s="164">
        <f>IFERROR(INDEX(DC$615:DC$663,_xlfn.AGGREGATE(15,6,(ROW(DC$615:DC$663)-ROW(DC$615)+1)/(DC$615:DC$663&lt;&gt;""),ROWS(DI$1:DI4))),"")</f>
        <v>1</v>
      </c>
      <c r="DJ618" s="165">
        <f>IFERROR(INDEX(DD$615:DD$663,_xlfn.AGGREGATE(15,6,(ROW(DD$615:DD$663)-ROW(DD$615)+1)/(DD$615:DD$663&lt;&gt;""),ROWS(DJ$1:DJ4))),"")</f>
        <v>237.78226035</v>
      </c>
      <c r="DK618" s="166">
        <f t="shared" si="336"/>
        <v>618</v>
      </c>
      <c r="DL618" s="164">
        <f>IFERROR(INDEX(DE$615:DE$663,_xlfn.AGGREGATE(15,6,(ROW(DE$615:DE$663)-ROW(DE$615)+1)/(DE$615:DE$663&lt;&gt;""),ROWS(DL$1:DL4))),"")</f>
        <v>1</v>
      </c>
      <c r="DM618" s="165">
        <f>IFERROR(INDEX(DF$615:DF$663,_xlfn.AGGREGATE(15,6,(ROW(DF$615:DF$663)-ROW(DF$615)+1)/(DF$615:DF$663&lt;&gt;""),ROWS(DM$1:DM4))),"")</f>
        <v>237.78226035</v>
      </c>
      <c r="DN618" s="166">
        <f t="shared" si="337"/>
        <v>618</v>
      </c>
      <c r="DO618" s="164">
        <f>IFERROR(INDEX(DG$615:DG$663,_xlfn.AGGREGATE(15,6,(ROW(DG$615:DG$663)-ROW(DG$615)+1)/(DG$615:DG$663&lt;&gt;""),ROWS(DO$1:DO4))),"")</f>
        <v>1</v>
      </c>
      <c r="DP618" s="165">
        <f>IFERROR(INDEX(DH$615:DH$663,_xlfn.AGGREGATE(15,6,(ROW(DH$615:DH$663)-ROW(DH$615)+1)/(DH$615:DH$663&lt;&gt;""),ROWS(DP$1:DP4))),"")</f>
        <v>237.78226035</v>
      </c>
      <c r="DQ618" s="166">
        <f t="shared" si="338"/>
        <v>618</v>
      </c>
      <c r="DV618" s="145">
        <v>2018</v>
      </c>
      <c r="DW618" s="235">
        <f t="shared" ca="1" si="322"/>
        <v>234.05682870679689</v>
      </c>
      <c r="EA618" s="33" t="s">
        <v>85</v>
      </c>
      <c r="EB618" s="33" t="s">
        <v>84</v>
      </c>
      <c r="EC618" s="33" t="s">
        <v>82</v>
      </c>
      <c r="ED618" s="33" t="s">
        <v>83</v>
      </c>
      <c r="EE618" s="33"/>
    </row>
    <row r="619" spans="1:135" ht="13.8" x14ac:dyDescent="0.45">
      <c r="A619" s="148" t="s">
        <v>88</v>
      </c>
      <c r="B619" s="128">
        <v>2016</v>
      </c>
      <c r="C619" s="977">
        <v>242.05510170000002</v>
      </c>
      <c r="D619" s="977">
        <v>242.05510170000002</v>
      </c>
      <c r="E619" s="308"/>
      <c r="F619" s="1095"/>
      <c r="G619" s="307"/>
      <c r="H619" s="308"/>
      <c r="I619" s="1152">
        <v>242.05510170000002</v>
      </c>
      <c r="J619" s="307"/>
      <c r="K619" s="308"/>
      <c r="L619" s="309"/>
      <c r="M619" s="308"/>
      <c r="N619" s="29" t="s">
        <v>119</v>
      </c>
      <c r="O619" s="120"/>
      <c r="P619" s="120"/>
      <c r="Q619" s="120"/>
      <c r="R619" s="29">
        <v>2</v>
      </c>
      <c r="S619" s="288">
        <f t="shared" si="323"/>
        <v>242.05510170000002</v>
      </c>
      <c r="T619" s="288">
        <f t="shared" si="324"/>
        <v>242.05510170000002</v>
      </c>
      <c r="U619" s="288">
        <f t="shared" si="325"/>
        <v>0</v>
      </c>
      <c r="V619" s="29"/>
      <c r="W619" s="288">
        <f t="shared" si="326"/>
        <v>242.05510170000002</v>
      </c>
      <c r="X619" s="288">
        <f t="shared" si="327"/>
        <v>242.05510170000002</v>
      </c>
      <c r="Y619" s="288">
        <f t="shared" si="328"/>
        <v>242.05510170000002</v>
      </c>
      <c r="AA619" s="138"/>
      <c r="AB619" s="138"/>
      <c r="AC619" s="138"/>
      <c r="AD619" s="138"/>
      <c r="AE619" s="138"/>
      <c r="AF619" s="138"/>
      <c r="AG619" s="138"/>
      <c r="AH619" s="138"/>
      <c r="AI619" s="138"/>
      <c r="AJ619" s="138"/>
      <c r="AK619" s="138"/>
      <c r="AL619" s="138"/>
      <c r="AM619" s="138"/>
      <c r="AN619" s="138"/>
      <c r="BR619" s="180">
        <v>2014</v>
      </c>
      <c r="BS619" s="22">
        <v>0</v>
      </c>
      <c r="BT619" s="181">
        <f t="shared" ref="BT619:BT665" si="339">IF($BS$615="High",BS619*$BT$616,IF($BS$615="Medium",$BT$617*BS619,IF($BS$615="Low",$BT$618*BS619)))</f>
        <v>0</v>
      </c>
      <c r="BU619" s="182">
        <f t="shared" ref="BU619:BU665" si="340">IF($BS$615="High",$BU$616,IF($BS$615="Medium",$BU$617,IF($BS$615="Low",BU618)))</f>
        <v>197.08859710304145</v>
      </c>
      <c r="BV619" s="242">
        <f t="shared" ref="BV619:BV665" si="341">BT619+BU619</f>
        <v>197.08859710304145</v>
      </c>
      <c r="BY619" s="180">
        <v>2014</v>
      </c>
      <c r="BZ619" s="22">
        <v>0</v>
      </c>
      <c r="CA619" s="181">
        <f t="shared" ref="CA619:CA665" ca="1" si="342">IF($BZ$615="High",BZ619^2*$CA$616,IF($BZ$615="Medium",BZ619^2*$CA$617,IF($BZ$615="Low",BZ619^2*$CA$618)))</f>
        <v>0</v>
      </c>
      <c r="CB619" s="181">
        <f t="shared" ref="CB619:CB665" ca="1" si="343">IF($BZ$615="High",BZ619*$CB$616,IF($BZ$615="Medium",BZ619*$CB$617,IF($BZ$615="Low",BZ619*$CB$618)))</f>
        <v>0</v>
      </c>
      <c r="CC619" s="182">
        <f ca="1">IF($BZ$615="High",$CC$616,IF($BZ$615="Medium",$CC$617,IF($BZ$615="Low",$CC$618)))</f>
        <v>226.79187441981213</v>
      </c>
      <c r="CD619" s="242">
        <f t="shared" ref="CD619:CD665" ca="1" si="344">CA619+CB619+CC619</f>
        <v>226.79187441981213</v>
      </c>
      <c r="CG619" s="180">
        <v>2014</v>
      </c>
      <c r="CH619" s="22">
        <v>0</v>
      </c>
      <c r="CI619" s="181">
        <f t="shared" ref="CI619:CI665" ca="1" si="345">IF($CH$615="High",CH619^3*$CI$616,IF($CH$615="Medium",CH619^3*$CI$617,IF($CH$615="Low",CH619^3*$CI$618)))</f>
        <v>0</v>
      </c>
      <c r="CJ619" s="181">
        <f t="shared" ref="CJ619:CJ665" ca="1" si="346">IF($CH$615="High",CH619^2*$CJ$616,IF($CH$615="Medium",CH619^2*$CJ$617,IF($CH$615="Low",CH619^2*$CJ$618)))</f>
        <v>0</v>
      </c>
      <c r="CK619" s="181">
        <f t="shared" ref="CK619:CK665" ca="1" si="347">IF($CH$615="High",CH619*$CK$616,IF($CH$615="Medium",CH619*$CK$617,IF($CH$615="Low",CH619*$CK$618)))</f>
        <v>0</v>
      </c>
      <c r="CL619" s="182">
        <f t="shared" ref="CL619:CL665" ca="1" si="348">IF($CH$615="High",$CL$616,IF($CH$615="Medium",$CL$617,IF($CH$615="Low",$CL$618)))</f>
        <v>230.43790580082432</v>
      </c>
      <c r="CM619" s="242">
        <f t="shared" ref="CM619:CM665" ca="1" si="349">CI619+CJ619+CK619+CL619</f>
        <v>230.43790580082432</v>
      </c>
      <c r="CP619" s="180">
        <v>2014</v>
      </c>
      <c r="CQ619" s="22">
        <v>0</v>
      </c>
      <c r="CR619" s="181">
        <f t="shared" ref="CR619:CR665" ca="1" si="350">IF($CQ$615="High",$CR$616,IF($CQ$615="Medium",$CR$617,IF($CQ$615="Low",$CR$618)))</f>
        <v>214.56777435485824</v>
      </c>
      <c r="CS619" s="182">
        <f t="shared" ref="CS619:CS665" ca="1" si="351">IF($CQ$615="High",EXP(1)^($CS$616*CQ619),IF($CQ$615="Medium",EXP(1)^($CS$617*CQ619),IF($CQ$615="Low",EXP(1)^($CS$618*CQ619))))</f>
        <v>1</v>
      </c>
      <c r="CT619" s="242">
        <f t="shared" ref="CT619:CT665" ca="1" si="352">(CR619*CS619)</f>
        <v>214.56777435485824</v>
      </c>
      <c r="CZ619" s="164" t="b">
        <f t="shared" si="329"/>
        <v>1</v>
      </c>
      <c r="DA619" s="165" t="b">
        <f t="shared" si="329"/>
        <v>1</v>
      </c>
      <c r="DB619" s="166" t="b">
        <f t="shared" si="329"/>
        <v>1</v>
      </c>
      <c r="DC619" s="164">
        <f t="shared" si="330"/>
        <v>2</v>
      </c>
      <c r="DD619" s="166">
        <f t="shared" si="331"/>
        <v>242.05510170000002</v>
      </c>
      <c r="DE619" s="164">
        <f t="shared" si="332"/>
        <v>2</v>
      </c>
      <c r="DF619" s="166">
        <f t="shared" si="333"/>
        <v>242.05510170000002</v>
      </c>
      <c r="DG619" s="164">
        <f t="shared" si="334"/>
        <v>2</v>
      </c>
      <c r="DH619" s="166">
        <f t="shared" si="335"/>
        <v>242.05510170000002</v>
      </c>
      <c r="DI619" s="164">
        <f>IFERROR(INDEX(DC$615:DC$663,_xlfn.AGGREGATE(15,6,(ROW(DC$615:DC$663)-ROW(DC$615)+1)/(DC$615:DC$663&lt;&gt;""),ROWS(DI$1:DI5))),"")</f>
        <v>2</v>
      </c>
      <c r="DJ619" s="165">
        <f>IFERROR(INDEX(DD$615:DD$663,_xlfn.AGGREGATE(15,6,(ROW(DD$615:DD$663)-ROW(DD$615)+1)/(DD$615:DD$663&lt;&gt;""),ROWS(DJ$1:DJ5))),"")</f>
        <v>242.05510170000002</v>
      </c>
      <c r="DK619" s="166">
        <f t="shared" si="336"/>
        <v>619</v>
      </c>
      <c r="DL619" s="164">
        <f>IFERROR(INDEX(DE$615:DE$663,_xlfn.AGGREGATE(15,6,(ROW(DE$615:DE$663)-ROW(DE$615)+1)/(DE$615:DE$663&lt;&gt;""),ROWS(DL$1:DL5))),"")</f>
        <v>2</v>
      </c>
      <c r="DM619" s="165">
        <f>IFERROR(INDEX(DF$615:DF$663,_xlfn.AGGREGATE(15,6,(ROW(DF$615:DF$663)-ROW(DF$615)+1)/(DF$615:DF$663&lt;&gt;""),ROWS(DM$1:DM5))),"")</f>
        <v>242.05510170000002</v>
      </c>
      <c r="DN619" s="166">
        <f t="shared" si="337"/>
        <v>619</v>
      </c>
      <c r="DO619" s="164">
        <f>IFERROR(INDEX(DG$615:DG$663,_xlfn.AGGREGATE(15,6,(ROW(DG$615:DG$663)-ROW(DG$615)+1)/(DG$615:DG$663&lt;&gt;""),ROWS(DO$1:DO5))),"")</f>
        <v>2</v>
      </c>
      <c r="DP619" s="165">
        <f>IFERROR(INDEX(DH$615:DH$663,_xlfn.AGGREGATE(15,6,(ROW(DH$615:DH$663)-ROW(DH$615)+1)/(DH$615:DH$663&lt;&gt;""),ROWS(DP$1:DP5))),"")</f>
        <v>242.05510170000002</v>
      </c>
      <c r="DQ619" s="166">
        <f t="shared" si="338"/>
        <v>619</v>
      </c>
      <c r="DV619" s="145">
        <v>2019</v>
      </c>
      <c r="DW619" s="235">
        <f t="shared" ca="1" si="322"/>
        <v>235.86479978057906</v>
      </c>
      <c r="DZ619" s="135" t="s">
        <v>92</v>
      </c>
      <c r="EA619" s="33">
        <f ca="1">IF($EA$613="Linear",0,IF($EA$613="2nd Poly",0,IF($EA$613="3rd Poly",CI616,IF($EA$613="Exp",0))))</f>
        <v>2.5884547988626085E-3</v>
      </c>
      <c r="EB619" s="33">
        <f ca="1">IF($EA$613="Linear",0,IF($EA$613="2nd Poly",CA616,IF($EA$613="3rd Poly",CJ616,IF($EA$613="Exp",0))))</f>
        <v>2.5896197959980418E-3</v>
      </c>
      <c r="EC619" s="33">
        <f t="shared" ref="EC619:ED621" ca="1" si="353">IF($EA$613="Linear",BT616,IF($EA$613="2nd Poly",CB616,IF($EA$613="3rd Poly",CK616,IF($EA$613="Exp",0))))</f>
        <v>7.566227876920081</v>
      </c>
      <c r="ED619" s="33">
        <f t="shared" ca="1" si="353"/>
        <v>238.05819896049385</v>
      </c>
      <c r="EE619" s="33" t="str">
        <f>IF($EA$613="Linear","High",IF($EA$613="2nd Poly","High",IF($EA$613="3rd Poly","High","N/A")))</f>
        <v>High</v>
      </c>
    </row>
    <row r="620" spans="1:135" ht="13.8" x14ac:dyDescent="0.45">
      <c r="A620" s="262" t="s">
        <v>90</v>
      </c>
      <c r="B620" s="128">
        <v>2017</v>
      </c>
      <c r="C620" s="977">
        <v>242.93507115</v>
      </c>
      <c r="D620" s="977">
        <v>242.93507115</v>
      </c>
      <c r="E620" s="169"/>
      <c r="F620" s="1095"/>
      <c r="G620" s="168"/>
      <c r="H620" s="169"/>
      <c r="I620" s="1152">
        <v>242.93507115</v>
      </c>
      <c r="J620" s="168"/>
      <c r="K620" s="169"/>
      <c r="L620" s="170"/>
      <c r="M620" s="169"/>
      <c r="N620" s="29" t="s">
        <v>119</v>
      </c>
      <c r="O620" s="120"/>
      <c r="P620" s="120"/>
      <c r="Q620" s="120"/>
      <c r="R620" s="29">
        <v>3</v>
      </c>
      <c r="S620" s="288">
        <f t="shared" si="323"/>
        <v>242.93507115</v>
      </c>
      <c r="T620" s="288">
        <f t="shared" si="324"/>
        <v>242.93507115</v>
      </c>
      <c r="U620" s="288">
        <f t="shared" si="325"/>
        <v>0</v>
      </c>
      <c r="V620" s="29"/>
      <c r="W620" s="288">
        <f t="shared" si="326"/>
        <v>242.93507115</v>
      </c>
      <c r="X620" s="288">
        <f t="shared" si="327"/>
        <v>242.93507115</v>
      </c>
      <c r="Y620" s="288">
        <f t="shared" si="328"/>
        <v>242.93507115</v>
      </c>
      <c r="AA620" s="138"/>
      <c r="AB620" s="138"/>
      <c r="AC620" s="138"/>
      <c r="AD620" s="138"/>
      <c r="AE620" s="138"/>
      <c r="AF620" s="138"/>
      <c r="AG620" s="138"/>
      <c r="AH620" s="138"/>
      <c r="AI620" s="138"/>
      <c r="AJ620" s="138"/>
      <c r="AK620" s="138"/>
      <c r="AL620" s="138"/>
      <c r="AM620" s="138"/>
      <c r="AN620" s="138"/>
      <c r="BR620" s="180">
        <v>2015</v>
      </c>
      <c r="BS620" s="22">
        <v>1</v>
      </c>
      <c r="BT620" s="289">
        <f t="shared" si="339"/>
        <v>6.2147656930438524</v>
      </c>
      <c r="BU620" s="290">
        <f t="shared" si="340"/>
        <v>197.08859710304145</v>
      </c>
      <c r="BV620" s="299">
        <f t="shared" si="341"/>
        <v>203.30336279608531</v>
      </c>
      <c r="BY620" s="180">
        <v>2015</v>
      </c>
      <c r="BZ620" s="22">
        <v>1</v>
      </c>
      <c r="CA620" s="289">
        <f t="shared" ca="1" si="342"/>
        <v>0.10458900463651656</v>
      </c>
      <c r="CB620" s="289">
        <f t="shared" ca="1" si="343"/>
        <v>1.6128494890371243</v>
      </c>
      <c r="CC620" s="290">
        <f t="shared" ref="CC620:CC665" ca="1" si="354">CC619</f>
        <v>226.79187441981213</v>
      </c>
      <c r="CD620" s="299">
        <f t="shared" ca="1" si="344"/>
        <v>228.50931291348579</v>
      </c>
      <c r="CG620" s="180">
        <v>2015</v>
      </c>
      <c r="CH620" s="22">
        <v>1</v>
      </c>
      <c r="CI620" s="289">
        <f t="shared" ca="1" si="345"/>
        <v>-1.3343695582682406E-3</v>
      </c>
      <c r="CJ620" s="289">
        <f t="shared" ca="1" si="346"/>
        <v>0.19265739548222038</v>
      </c>
      <c r="CK620" s="289">
        <f t="shared" ca="1" si="347"/>
        <v>0.15545105749655197</v>
      </c>
      <c r="CL620" s="290">
        <f t="shared" ca="1" si="348"/>
        <v>230.43790580082432</v>
      </c>
      <c r="CM620" s="299">
        <f t="shared" ca="1" si="349"/>
        <v>230.78467988424484</v>
      </c>
      <c r="CP620" s="180">
        <v>2015</v>
      </c>
      <c r="CQ620" s="22">
        <v>1</v>
      </c>
      <c r="CR620" s="289">
        <f t="shared" ca="1" si="350"/>
        <v>214.56777435485824</v>
      </c>
      <c r="CS620" s="290">
        <f t="shared" ca="1" si="351"/>
        <v>1.0186533907970463</v>
      </c>
      <c r="CT620" s="299">
        <f t="shared" ca="1" si="352"/>
        <v>218.57019090235187</v>
      </c>
      <c r="CZ620" s="164" t="b">
        <f t="shared" si="329"/>
        <v>1</v>
      </c>
      <c r="DA620" s="165" t="b">
        <f t="shared" si="329"/>
        <v>1</v>
      </c>
      <c r="DB620" s="166" t="b">
        <f t="shared" si="329"/>
        <v>1</v>
      </c>
      <c r="DC620" s="164">
        <f t="shared" si="330"/>
        <v>3</v>
      </c>
      <c r="DD620" s="166">
        <f t="shared" si="331"/>
        <v>242.93507115</v>
      </c>
      <c r="DE620" s="164">
        <f t="shared" si="332"/>
        <v>3</v>
      </c>
      <c r="DF620" s="166">
        <f t="shared" si="333"/>
        <v>242.93507115</v>
      </c>
      <c r="DG620" s="164">
        <f t="shared" si="334"/>
        <v>3</v>
      </c>
      <c r="DH620" s="166">
        <f t="shared" si="335"/>
        <v>242.93507115</v>
      </c>
      <c r="DI620" s="164">
        <f>IFERROR(INDEX(DC$615:DC$663,_xlfn.AGGREGATE(15,6,(ROW(DC$615:DC$663)-ROW(DC$615)+1)/(DC$615:DC$663&lt;&gt;""),ROWS(DI$1:DI6))),"")</f>
        <v>3</v>
      </c>
      <c r="DJ620" s="165">
        <f>IFERROR(INDEX(DD$615:DD$663,_xlfn.AGGREGATE(15,6,(ROW(DD$615:DD$663)-ROW(DD$615)+1)/(DD$615:DD$663&lt;&gt;""),ROWS(DJ$1:DJ6))),"")</f>
        <v>242.93507115</v>
      </c>
      <c r="DK620" s="166">
        <f t="shared" si="336"/>
        <v>620</v>
      </c>
      <c r="DL620" s="164">
        <f>IFERROR(INDEX(DE$615:DE$663,_xlfn.AGGREGATE(15,6,(ROW(DE$615:DE$663)-ROW(DE$615)+1)/(DE$615:DE$663&lt;&gt;""),ROWS(DL$1:DL6))),"")</f>
        <v>3</v>
      </c>
      <c r="DM620" s="165">
        <f>IFERROR(INDEX(DF$615:DF$663,_xlfn.AGGREGATE(15,6,(ROW(DF$615:DF$663)-ROW(DF$615)+1)/(DF$615:DF$663&lt;&gt;""),ROWS(DM$1:DM6))),"")</f>
        <v>242.93507115</v>
      </c>
      <c r="DN620" s="166">
        <f t="shared" si="337"/>
        <v>620</v>
      </c>
      <c r="DO620" s="164">
        <f>IFERROR(INDEX(DG$615:DG$663,_xlfn.AGGREGATE(15,6,(ROW(DG$615:DG$663)-ROW(DG$615)+1)/(DG$615:DG$663&lt;&gt;""),ROWS(DO$1:DO6))),"")</f>
        <v>3</v>
      </c>
      <c r="DP620" s="165">
        <f>IFERROR(INDEX(DH$615:DH$663,_xlfn.AGGREGATE(15,6,(ROW(DH$615:DH$663)-ROW(DH$615)+1)/(DH$615:DH$663&lt;&gt;""),ROWS(DP$1:DP6))),"")</f>
        <v>242.93507115</v>
      </c>
      <c r="DQ620" s="166">
        <f t="shared" si="338"/>
        <v>620</v>
      </c>
      <c r="DV620" s="145">
        <v>2020</v>
      </c>
      <c r="DW620" s="235">
        <f t="shared" ca="1" si="322"/>
        <v>238.01805455857763</v>
      </c>
      <c r="DZ620" s="135" t="s">
        <v>92</v>
      </c>
      <c r="EA620" s="33">
        <f ca="1">IF($EA$613="Linear",0,IF($EA$613="2nd Poly",0,IF($EA$613="3rd Poly",CI617,IF($EA$613="Exp",0))))</f>
        <v>-1.3343695582682406E-3</v>
      </c>
      <c r="EB620" s="33">
        <f ca="1">IF($EA$613="Linear",0,IF($EA$613="2nd Poly",CA617,IF($EA$613="3rd Poly",CJ617,IF($EA$613="Exp",0))))</f>
        <v>0.19265739548222038</v>
      </c>
      <c r="EC620" s="33">
        <f t="shared" ca="1" si="353"/>
        <v>0.15545105749655197</v>
      </c>
      <c r="ED620" s="33">
        <f t="shared" ca="1" si="353"/>
        <v>230.43790580082432</v>
      </c>
      <c r="EE620" s="33" t="str">
        <f>IF($EA$613="Linear","Medium",IF($EA$613="2nd Poly","Medium",IF($EA$613="3rd Poly","Medium","N/A")))</f>
        <v>Medium</v>
      </c>
    </row>
    <row r="621" spans="1:135" ht="13.8" x14ac:dyDescent="0.45">
      <c r="A621" s="948" t="s">
        <v>116</v>
      </c>
      <c r="B621" s="128">
        <v>2018</v>
      </c>
      <c r="C621" s="912">
        <v>251.43288457142859</v>
      </c>
      <c r="D621" s="960">
        <v>274.17358264545999</v>
      </c>
      <c r="E621" s="308"/>
      <c r="F621" s="958"/>
      <c r="G621" s="307"/>
      <c r="H621" s="308"/>
      <c r="I621" s="1110">
        <v>138.05405405405403</v>
      </c>
      <c r="J621" s="307"/>
      <c r="K621" s="308"/>
      <c r="L621" s="309"/>
      <c r="M621" s="308"/>
      <c r="N621" s="29" t="s">
        <v>119</v>
      </c>
      <c r="O621" s="120"/>
      <c r="P621" s="120"/>
      <c r="Q621" s="120"/>
      <c r="R621" s="29">
        <v>4</v>
      </c>
      <c r="S621" s="288">
        <f t="shared" si="323"/>
        <v>138.05405405405403</v>
      </c>
      <c r="T621" s="288">
        <f t="shared" si="324"/>
        <v>274.17358264545999</v>
      </c>
      <c r="U621" s="288">
        <f t="shared" si="325"/>
        <v>59.535633235089882</v>
      </c>
      <c r="V621" s="20"/>
      <c r="W621" s="288">
        <f t="shared" si="326"/>
        <v>161.68454052189102</v>
      </c>
      <c r="X621" s="288">
        <f t="shared" si="327"/>
        <v>221.2201737569809</v>
      </c>
      <c r="Y621" s="288">
        <f t="shared" si="328"/>
        <v>280.7558069920708</v>
      </c>
      <c r="AA621" s="138"/>
      <c r="AB621" s="138"/>
      <c r="AC621" s="138"/>
      <c r="AD621" s="138"/>
      <c r="AE621" s="138"/>
      <c r="AF621" s="138"/>
      <c r="AG621" s="138"/>
      <c r="AH621" s="138"/>
      <c r="AI621" s="138"/>
      <c r="AJ621" s="138"/>
      <c r="AK621" s="138"/>
      <c r="AL621" s="138"/>
      <c r="AM621" s="138"/>
      <c r="AN621" s="138"/>
      <c r="BR621" s="180">
        <v>2016</v>
      </c>
      <c r="BS621" s="22">
        <v>2</v>
      </c>
      <c r="BT621" s="289">
        <f t="shared" si="339"/>
        <v>12.429531386087705</v>
      </c>
      <c r="BU621" s="290">
        <f t="shared" si="340"/>
        <v>197.08859710304145</v>
      </c>
      <c r="BV621" s="299">
        <f t="shared" si="341"/>
        <v>209.51812848912917</v>
      </c>
      <c r="BY621" s="180">
        <v>2016</v>
      </c>
      <c r="BZ621" s="22">
        <v>2</v>
      </c>
      <c r="CA621" s="289">
        <f t="shared" ca="1" si="342"/>
        <v>0.41835601854606624</v>
      </c>
      <c r="CB621" s="289">
        <f t="shared" ca="1" si="343"/>
        <v>3.2256989780742487</v>
      </c>
      <c r="CC621" s="290">
        <f t="shared" ca="1" si="354"/>
        <v>226.79187441981213</v>
      </c>
      <c r="CD621" s="299">
        <f t="shared" ca="1" si="344"/>
        <v>230.43592941643246</v>
      </c>
      <c r="CG621" s="180">
        <v>2016</v>
      </c>
      <c r="CH621" s="22">
        <v>2</v>
      </c>
      <c r="CI621" s="289">
        <f t="shared" ca="1" si="345"/>
        <v>-1.0674956466145925E-2</v>
      </c>
      <c r="CJ621" s="289">
        <f t="shared" ca="1" si="346"/>
        <v>0.77062958192888154</v>
      </c>
      <c r="CK621" s="289">
        <f t="shared" ca="1" si="347"/>
        <v>0.31090211499310394</v>
      </c>
      <c r="CL621" s="290">
        <f t="shared" ca="1" si="348"/>
        <v>230.43790580082432</v>
      </c>
      <c r="CM621" s="299">
        <f t="shared" ca="1" si="349"/>
        <v>231.50876254128016</v>
      </c>
      <c r="CP621" s="180">
        <v>2016</v>
      </c>
      <c r="CQ621" s="22">
        <v>2</v>
      </c>
      <c r="CR621" s="289">
        <f t="shared" ca="1" si="350"/>
        <v>214.56777435485824</v>
      </c>
      <c r="CS621" s="290">
        <f t="shared" ca="1" si="351"/>
        <v>1.0376547305823198</v>
      </c>
      <c r="CT621" s="299">
        <f t="shared" ca="1" si="352"/>
        <v>222.64726608983844</v>
      </c>
      <c r="CZ621" s="164" t="b">
        <f t="shared" si="329"/>
        <v>1</v>
      </c>
      <c r="DA621" s="165" t="b">
        <f t="shared" si="329"/>
        <v>1</v>
      </c>
      <c r="DB621" s="166" t="b">
        <f t="shared" si="329"/>
        <v>1</v>
      </c>
      <c r="DC621" s="164">
        <f t="shared" si="330"/>
        <v>4</v>
      </c>
      <c r="DD621" s="166">
        <f t="shared" si="331"/>
        <v>161.68454052189102</v>
      </c>
      <c r="DE621" s="164">
        <f t="shared" si="332"/>
        <v>4</v>
      </c>
      <c r="DF621" s="166">
        <f t="shared" si="333"/>
        <v>221.2201737569809</v>
      </c>
      <c r="DG621" s="164">
        <f t="shared" si="334"/>
        <v>4</v>
      </c>
      <c r="DH621" s="166">
        <f t="shared" si="335"/>
        <v>280.7558069920708</v>
      </c>
      <c r="DI621" s="164">
        <f>IFERROR(INDEX(DC$615:DC$663,_xlfn.AGGREGATE(15,6,(ROW(DC$615:DC$663)-ROW(DC$615)+1)/(DC$615:DC$663&lt;&gt;""),ROWS(DI$1:DI7))),"")</f>
        <v>4</v>
      </c>
      <c r="DJ621" s="165">
        <f>IFERROR(INDEX(DD$615:DD$663,_xlfn.AGGREGATE(15,6,(ROW(DD$615:DD$663)-ROW(DD$615)+1)/(DD$615:DD$663&lt;&gt;""),ROWS(DJ$1:DJ7))),"")</f>
        <v>161.68454052189102</v>
      </c>
      <c r="DK621" s="166">
        <f t="shared" si="336"/>
        <v>621</v>
      </c>
      <c r="DL621" s="164">
        <f>IFERROR(INDEX(DE$615:DE$663,_xlfn.AGGREGATE(15,6,(ROW(DE$615:DE$663)-ROW(DE$615)+1)/(DE$615:DE$663&lt;&gt;""),ROWS(DL$1:DL7))),"")</f>
        <v>4</v>
      </c>
      <c r="DM621" s="165">
        <f>IFERROR(INDEX(DF$615:DF$663,_xlfn.AGGREGATE(15,6,(ROW(DF$615:DF$663)-ROW(DF$615)+1)/(DF$615:DF$663&lt;&gt;""),ROWS(DM$1:DM7))),"")</f>
        <v>221.2201737569809</v>
      </c>
      <c r="DN621" s="166">
        <f t="shared" si="337"/>
        <v>621</v>
      </c>
      <c r="DO621" s="164">
        <f>IFERROR(INDEX(DG$615:DG$663,_xlfn.AGGREGATE(15,6,(ROW(DG$615:DG$663)-ROW(DG$615)+1)/(DG$615:DG$663&lt;&gt;""),ROWS(DO$1:DO7))),"")</f>
        <v>4</v>
      </c>
      <c r="DP621" s="165">
        <f>IFERROR(INDEX(DH$615:DH$663,_xlfn.AGGREGATE(15,6,(ROW(DH$615:DH$663)-ROW(DH$615)+1)/(DH$615:DH$663&lt;&gt;""),ROWS(DP$1:DP7))),"")</f>
        <v>280.7558069920708</v>
      </c>
      <c r="DQ621" s="166">
        <f t="shared" si="338"/>
        <v>621</v>
      </c>
      <c r="DV621" s="145">
        <v>2021</v>
      </c>
      <c r="DW621" s="235">
        <f t="shared" ca="1" si="322"/>
        <v>240.50858682344298</v>
      </c>
      <c r="DZ621" s="135" t="s">
        <v>92</v>
      </c>
      <c r="EA621" s="33">
        <f ca="1">IF($EA$613="Linear",0,IF($EA$613="2nd Poly",0,IF($EA$613="3rd Poly",CI618,IF($EA$613="Exp",0))))</f>
        <v>-5.2571939153990884E-3</v>
      </c>
      <c r="EB621" s="33">
        <f ca="1">IF($EA$613="Linear",0,IF($EA$613="2nd Poly",CA618,IF($EA$613="3rd Poly",CJ618,IF($EA$613="Exp",0))))</f>
        <v>0.38272517116844251</v>
      </c>
      <c r="EC621" s="33">
        <f t="shared" ca="1" si="353"/>
        <v>-7.2553257619269704</v>
      </c>
      <c r="ED621" s="33">
        <f t="shared" ca="1" si="353"/>
        <v>222.8176126411546</v>
      </c>
      <c r="EE621" s="33" t="str">
        <f>IF($EA$613="Linear","Low",IF($EA$613="2nd Poly","Low",IF($EA$613="3rd Poly","Low","N/A")))</f>
        <v>Low</v>
      </c>
    </row>
    <row r="622" spans="1:135" ht="13.8" x14ac:dyDescent="0.45">
      <c r="A622" s="148" t="s">
        <v>88</v>
      </c>
      <c r="B622" s="128">
        <v>2019</v>
      </c>
      <c r="C622" s="912">
        <v>256.12181085714286</v>
      </c>
      <c r="D622" s="960">
        <v>279.51665660022809</v>
      </c>
      <c r="E622" s="308"/>
      <c r="F622" s="958"/>
      <c r="G622" s="307"/>
      <c r="H622" s="308"/>
      <c r="I622" s="1110">
        <v>139.86486486486484</v>
      </c>
      <c r="J622" s="307"/>
      <c r="K622" s="308"/>
      <c r="L622" s="309"/>
      <c r="M622" s="308"/>
      <c r="N622" s="29" t="s">
        <v>119</v>
      </c>
      <c r="O622" s="120"/>
      <c r="P622" s="120"/>
      <c r="Q622" s="120"/>
      <c r="R622" s="29">
        <v>5</v>
      </c>
      <c r="S622" s="288">
        <f t="shared" si="323"/>
        <v>139.86486486486484</v>
      </c>
      <c r="T622" s="288">
        <f t="shared" si="324"/>
        <v>279.51665660022809</v>
      </c>
      <c r="U622" s="288">
        <f t="shared" si="325"/>
        <v>61.069740855745756</v>
      </c>
      <c r="V622" s="20"/>
      <c r="W622" s="288">
        <f t="shared" si="326"/>
        <v>164.09803658499951</v>
      </c>
      <c r="X622" s="288">
        <f t="shared" si="327"/>
        <v>225.16777744074525</v>
      </c>
      <c r="Y622" s="288">
        <f t="shared" si="328"/>
        <v>286.23751829649103</v>
      </c>
      <c r="AA622" s="138"/>
      <c r="AB622" s="138"/>
      <c r="AC622" s="138"/>
      <c r="AD622" s="138"/>
      <c r="AE622" s="138"/>
      <c r="AF622" s="138"/>
      <c r="AG622" s="138"/>
      <c r="AH622" s="138"/>
      <c r="AI622" s="138"/>
      <c r="AJ622" s="138"/>
      <c r="AK622" s="138"/>
      <c r="AL622" s="138"/>
      <c r="AM622" s="138"/>
      <c r="AN622" s="138"/>
      <c r="BR622" s="180">
        <v>2017</v>
      </c>
      <c r="BS622" s="22">
        <v>3</v>
      </c>
      <c r="BT622" s="289">
        <f t="shared" si="339"/>
        <v>18.644297079131558</v>
      </c>
      <c r="BU622" s="290">
        <f t="shared" si="340"/>
        <v>197.08859710304145</v>
      </c>
      <c r="BV622" s="299">
        <f t="shared" si="341"/>
        <v>215.732894182173</v>
      </c>
      <c r="BY622" s="180">
        <v>2017</v>
      </c>
      <c r="BZ622" s="22">
        <v>3</v>
      </c>
      <c r="CA622" s="289">
        <f t="shared" ca="1" si="342"/>
        <v>0.94130104172864904</v>
      </c>
      <c r="CB622" s="289">
        <f t="shared" ca="1" si="343"/>
        <v>4.838548467111373</v>
      </c>
      <c r="CC622" s="290">
        <f t="shared" ca="1" si="354"/>
        <v>226.79187441981213</v>
      </c>
      <c r="CD622" s="299">
        <f t="shared" ca="1" si="344"/>
        <v>232.57172392865215</v>
      </c>
      <c r="CG622" s="180">
        <v>2017</v>
      </c>
      <c r="CH622" s="22">
        <v>3</v>
      </c>
      <c r="CI622" s="289">
        <f t="shared" ca="1" si="345"/>
        <v>-3.6027978073242498E-2</v>
      </c>
      <c r="CJ622" s="289">
        <f t="shared" ca="1" si="346"/>
        <v>1.7339165593399835</v>
      </c>
      <c r="CK622" s="289">
        <f t="shared" ca="1" si="347"/>
        <v>0.46635317248965591</v>
      </c>
      <c r="CL622" s="290">
        <f t="shared" ca="1" si="348"/>
        <v>230.43790580082432</v>
      </c>
      <c r="CM622" s="299">
        <f t="shared" ca="1" si="349"/>
        <v>232.60214755458071</v>
      </c>
      <c r="CP622" s="180">
        <v>2017</v>
      </c>
      <c r="CQ622" s="22">
        <v>3</v>
      </c>
      <c r="CR622" s="289">
        <f t="shared" ca="1" si="350"/>
        <v>214.56777435485824</v>
      </c>
      <c r="CS622" s="290">
        <f t="shared" ca="1" si="351"/>
        <v>1.0570105097842757</v>
      </c>
      <c r="CT622" s="299">
        <f t="shared" ca="1" si="352"/>
        <v>226.80039255410614</v>
      </c>
      <c r="CZ622" s="164" t="b">
        <f t="shared" si="329"/>
        <v>1</v>
      </c>
      <c r="DA622" s="165" t="b">
        <f t="shared" si="329"/>
        <v>1</v>
      </c>
      <c r="DB622" s="166" t="b">
        <f t="shared" si="329"/>
        <v>1</v>
      </c>
      <c r="DC622" s="164">
        <f t="shared" si="330"/>
        <v>5</v>
      </c>
      <c r="DD622" s="166">
        <f t="shared" si="331"/>
        <v>164.09803658499951</v>
      </c>
      <c r="DE622" s="164">
        <f t="shared" si="332"/>
        <v>5</v>
      </c>
      <c r="DF622" s="166">
        <f t="shared" si="333"/>
        <v>225.16777744074525</v>
      </c>
      <c r="DG622" s="164">
        <f t="shared" si="334"/>
        <v>5</v>
      </c>
      <c r="DH622" s="166">
        <f t="shared" si="335"/>
        <v>286.23751829649103</v>
      </c>
      <c r="DI622" s="164">
        <f>IFERROR(INDEX(DC$615:DC$663,_xlfn.AGGREGATE(15,6,(ROW(DC$615:DC$663)-ROW(DC$615)+1)/(DC$615:DC$663&lt;&gt;""),ROWS(DI$1:DI8))),"")</f>
        <v>5</v>
      </c>
      <c r="DJ622" s="165">
        <f>IFERROR(INDEX(DD$615:DD$663,_xlfn.AGGREGATE(15,6,(ROW(DD$615:DD$663)-ROW(DD$615)+1)/(DD$615:DD$663&lt;&gt;""),ROWS(DJ$1:DJ8))),"")</f>
        <v>164.09803658499951</v>
      </c>
      <c r="DK622" s="166">
        <f t="shared" si="336"/>
        <v>622</v>
      </c>
      <c r="DL622" s="164">
        <f>IFERROR(INDEX(DE$615:DE$663,_xlfn.AGGREGATE(15,6,(ROW(DE$615:DE$663)-ROW(DE$615)+1)/(DE$615:DE$663&lt;&gt;""),ROWS(DL$1:DL8))),"")</f>
        <v>5</v>
      </c>
      <c r="DM622" s="165">
        <f>IFERROR(INDEX(DF$615:DF$663,_xlfn.AGGREGATE(15,6,(ROW(DF$615:DF$663)-ROW(DF$615)+1)/(DF$615:DF$663&lt;&gt;""),ROWS(DM$1:DM8))),"")</f>
        <v>225.16777744074525</v>
      </c>
      <c r="DN622" s="166">
        <f t="shared" si="337"/>
        <v>622</v>
      </c>
      <c r="DO622" s="164">
        <f>IFERROR(INDEX(DG$615:DG$663,_xlfn.AGGREGATE(15,6,(ROW(DG$615:DG$663)-ROW(DG$615)+1)/(DG$615:DG$663&lt;&gt;""),ROWS(DO$1:DO8))),"")</f>
        <v>5</v>
      </c>
      <c r="DP622" s="165">
        <f>IFERROR(INDEX(DH$615:DH$663,_xlfn.AGGREGATE(15,6,(ROW(DH$615:DH$663)-ROW(DH$615)+1)/(DH$615:DH$663&lt;&gt;""),ROWS(DP$1:DP8))),"")</f>
        <v>286.23751829649103</v>
      </c>
      <c r="DQ622" s="166">
        <f t="shared" si="338"/>
        <v>622</v>
      </c>
      <c r="DV622" s="145">
        <v>2022</v>
      </c>
      <c r="DW622" s="235">
        <f t="shared" ca="1" si="322"/>
        <v>243.3283903578255</v>
      </c>
      <c r="DZ622" s="135"/>
      <c r="EA622" s="33"/>
      <c r="EB622" s="33"/>
      <c r="EC622" s="33"/>
      <c r="ED622" s="33"/>
      <c r="EE622" s="33"/>
    </row>
    <row r="623" spans="1:135" ht="13.8" x14ac:dyDescent="0.45">
      <c r="A623" s="148" t="s">
        <v>90</v>
      </c>
      <c r="B623" s="128">
        <v>2020</v>
      </c>
      <c r="C623" s="912">
        <v>260.81073714285714</v>
      </c>
      <c r="D623" s="960">
        <v>285.39754278236353</v>
      </c>
      <c r="E623" s="169"/>
      <c r="F623" s="931"/>
      <c r="G623" s="168"/>
      <c r="H623" s="169"/>
      <c r="I623" s="931">
        <v>141.67567567567565</v>
      </c>
      <c r="J623" s="168"/>
      <c r="K623" s="169"/>
      <c r="L623" s="170"/>
      <c r="M623" s="169"/>
      <c r="N623" s="29" t="s">
        <v>119</v>
      </c>
      <c r="O623" s="120"/>
      <c r="P623" s="120"/>
      <c r="Q623" s="120"/>
      <c r="R623" s="29">
        <v>6</v>
      </c>
      <c r="S623" s="313">
        <f t="shared" si="323"/>
        <v>141.67567567567565</v>
      </c>
      <c r="T623" s="313">
        <f t="shared" si="324"/>
        <v>285.39754278236353</v>
      </c>
      <c r="U623" s="313">
        <f t="shared" si="325"/>
        <v>62.763797922560812</v>
      </c>
      <c r="V623" s="20"/>
      <c r="W623" s="288">
        <f t="shared" si="326"/>
        <v>166.53085394440461</v>
      </c>
      <c r="X623" s="288">
        <f t="shared" si="327"/>
        <v>229.29465186696544</v>
      </c>
      <c r="Y623" s="288">
        <f t="shared" si="328"/>
        <v>292.05844978952626</v>
      </c>
      <c r="AA623" s="138"/>
      <c r="AB623" s="138"/>
      <c r="AC623" s="138"/>
      <c r="AD623" s="138"/>
      <c r="AE623" s="138"/>
      <c r="AF623" s="138"/>
      <c r="AG623" s="138"/>
      <c r="AH623" s="138"/>
      <c r="AI623" s="138"/>
      <c r="AJ623" s="138"/>
      <c r="AK623" s="138"/>
      <c r="AL623" s="138"/>
      <c r="AM623" s="138"/>
      <c r="AN623" s="138"/>
      <c r="BR623" s="180">
        <v>2018</v>
      </c>
      <c r="BS623" s="22">
        <v>4</v>
      </c>
      <c r="BT623" s="289">
        <f t="shared" si="339"/>
        <v>24.85906277217541</v>
      </c>
      <c r="BU623" s="290">
        <f t="shared" si="340"/>
        <v>197.08859710304145</v>
      </c>
      <c r="BV623" s="299">
        <f t="shared" si="341"/>
        <v>221.94765987521686</v>
      </c>
      <c r="BY623" s="180">
        <v>2018</v>
      </c>
      <c r="BZ623" s="22">
        <v>4</v>
      </c>
      <c r="CA623" s="289">
        <f t="shared" ca="1" si="342"/>
        <v>1.673424074184265</v>
      </c>
      <c r="CB623" s="289">
        <f t="shared" ca="1" si="343"/>
        <v>6.4513979561484973</v>
      </c>
      <c r="CC623" s="290">
        <f t="shared" ca="1" si="354"/>
        <v>226.79187441981213</v>
      </c>
      <c r="CD623" s="299">
        <f t="shared" ca="1" si="344"/>
        <v>234.91669645014488</v>
      </c>
      <c r="CG623" s="180">
        <v>2018</v>
      </c>
      <c r="CH623" s="22">
        <v>4</v>
      </c>
      <c r="CI623" s="289">
        <f t="shared" ca="1" si="345"/>
        <v>-8.53996517291674E-2</v>
      </c>
      <c r="CJ623" s="289">
        <f t="shared" ca="1" si="346"/>
        <v>3.0825183277155261</v>
      </c>
      <c r="CK623" s="289">
        <f t="shared" ca="1" si="347"/>
        <v>0.62180422998620788</v>
      </c>
      <c r="CL623" s="290">
        <f t="shared" ca="1" si="348"/>
        <v>230.43790580082432</v>
      </c>
      <c r="CM623" s="299">
        <f t="shared" ca="1" si="349"/>
        <v>234.05682870679689</v>
      </c>
      <c r="CP623" s="180">
        <v>2018</v>
      </c>
      <c r="CQ623" s="22">
        <v>4</v>
      </c>
      <c r="CR623" s="289">
        <f t="shared" ca="1" si="350"/>
        <v>214.56777435485824</v>
      </c>
      <c r="CS623" s="290">
        <f t="shared" ca="1" si="351"/>
        <v>1.0767273398998667</v>
      </c>
      <c r="CT623" s="299">
        <f t="shared" ca="1" si="352"/>
        <v>231.03098890934135</v>
      </c>
      <c r="CZ623" s="164" t="b">
        <f t="shared" si="329"/>
        <v>1</v>
      </c>
      <c r="DA623" s="165" t="b">
        <f t="shared" si="329"/>
        <v>1</v>
      </c>
      <c r="DB623" s="166" t="b">
        <f t="shared" si="329"/>
        <v>1</v>
      </c>
      <c r="DC623" s="164">
        <f t="shared" si="330"/>
        <v>6</v>
      </c>
      <c r="DD623" s="166">
        <f t="shared" si="331"/>
        <v>166.53085394440461</v>
      </c>
      <c r="DE623" s="164">
        <f t="shared" si="332"/>
        <v>6</v>
      </c>
      <c r="DF623" s="166">
        <f t="shared" si="333"/>
        <v>229.29465186696544</v>
      </c>
      <c r="DG623" s="164">
        <f t="shared" si="334"/>
        <v>6</v>
      </c>
      <c r="DH623" s="166">
        <f t="shared" si="335"/>
        <v>292.05844978952626</v>
      </c>
      <c r="DI623" s="164">
        <f>IFERROR(INDEX(DC$615:DC$663,_xlfn.AGGREGATE(15,6,(ROW(DC$615:DC$663)-ROW(DC$615)+1)/(DC$615:DC$663&lt;&gt;""),ROWS(DI$1:DI9))),"")</f>
        <v>6</v>
      </c>
      <c r="DJ623" s="165">
        <f>IFERROR(INDEX(DD$615:DD$663,_xlfn.AGGREGATE(15,6,(ROW(DD$615:DD$663)-ROW(DD$615)+1)/(DD$615:DD$663&lt;&gt;""),ROWS(DJ$1:DJ9))),"")</f>
        <v>166.53085394440461</v>
      </c>
      <c r="DK623" s="166">
        <f t="shared" si="336"/>
        <v>623</v>
      </c>
      <c r="DL623" s="164">
        <f>IFERROR(INDEX(DE$615:DE$663,_xlfn.AGGREGATE(15,6,(ROW(DE$615:DE$663)-ROW(DE$615)+1)/(DE$615:DE$663&lt;&gt;""),ROWS(DL$1:DL9))),"")</f>
        <v>6</v>
      </c>
      <c r="DM623" s="165">
        <f>IFERROR(INDEX(DF$615:DF$663,_xlfn.AGGREGATE(15,6,(ROW(DF$615:DF$663)-ROW(DF$615)+1)/(DF$615:DF$663&lt;&gt;""),ROWS(DM$1:DM9))),"")</f>
        <v>229.29465186696544</v>
      </c>
      <c r="DN623" s="166">
        <f t="shared" si="337"/>
        <v>623</v>
      </c>
      <c r="DO623" s="164">
        <f>IFERROR(INDEX(DG$615:DG$663,_xlfn.AGGREGATE(15,6,(ROW(DG$615:DG$663)-ROW(DG$615)+1)/(DG$615:DG$663&lt;&gt;""),ROWS(DO$1:DO9))),"")</f>
        <v>6</v>
      </c>
      <c r="DP623" s="165">
        <f>IFERROR(INDEX(DH$615:DH$663,_xlfn.AGGREGATE(15,6,(ROW(DH$615:DH$663)-ROW(DH$615)+1)/(DH$615:DH$663&lt;&gt;""),ROWS(DP$1:DP9))),"")</f>
        <v>292.05844978952626</v>
      </c>
      <c r="DQ623" s="166">
        <f t="shared" si="338"/>
        <v>623</v>
      </c>
      <c r="DV623" s="145">
        <v>2023</v>
      </c>
      <c r="DW623" s="235">
        <f t="shared" ca="1" si="322"/>
        <v>246.46945894437559</v>
      </c>
      <c r="DZ623" s="135"/>
      <c r="EA623" s="33" t="s">
        <v>86</v>
      </c>
      <c r="EB623" s="33" t="s">
        <v>87</v>
      </c>
      <c r="EC623" s="33"/>
      <c r="ED623" s="33"/>
      <c r="EE623" s="33"/>
    </row>
    <row r="624" spans="1:135" ht="14.1" thickBot="1" x14ac:dyDescent="0.5">
      <c r="A624" s="148" t="s">
        <v>80</v>
      </c>
      <c r="B624" s="128">
        <v>2021</v>
      </c>
      <c r="C624" s="912">
        <v>265.49966342857141</v>
      </c>
      <c r="D624" s="960">
        <v>291.81624119186625</v>
      </c>
      <c r="E624" s="308"/>
      <c r="F624" s="958"/>
      <c r="G624" s="307"/>
      <c r="H624" s="308"/>
      <c r="I624" s="1110">
        <v>143.48648648648646</v>
      </c>
      <c r="J624" s="307"/>
      <c r="K624" s="308"/>
      <c r="L624" s="309"/>
      <c r="M624" s="308"/>
      <c r="N624" s="29" t="s">
        <v>119</v>
      </c>
      <c r="O624" s="120"/>
      <c r="P624" s="120"/>
      <c r="Q624" s="120"/>
      <c r="R624" s="29">
        <v>7</v>
      </c>
      <c r="S624" s="314">
        <f t="shared" si="323"/>
        <v>143.48648648648646</v>
      </c>
      <c r="T624" s="314">
        <f t="shared" si="324"/>
        <v>291.81624119186625</v>
      </c>
      <c r="U624" s="314">
        <f t="shared" si="325"/>
        <v>64.619823019488592</v>
      </c>
      <c r="V624" s="20"/>
      <c r="W624" s="288">
        <f t="shared" si="326"/>
        <v>168.98097401615277</v>
      </c>
      <c r="X624" s="288">
        <f t="shared" si="327"/>
        <v>233.60079703564136</v>
      </c>
      <c r="Y624" s="288">
        <f t="shared" si="328"/>
        <v>298.22062005512998</v>
      </c>
      <c r="AA624" s="138"/>
      <c r="AB624" s="138"/>
      <c r="AC624" s="138"/>
      <c r="AD624" s="138"/>
      <c r="AE624" s="138"/>
      <c r="AF624" s="138"/>
      <c r="AG624" s="138"/>
      <c r="AH624" s="138"/>
      <c r="AI624" s="138"/>
      <c r="AJ624" s="138"/>
      <c r="AK624" s="138"/>
      <c r="AL624" s="138"/>
      <c r="AM624" s="138"/>
      <c r="AN624" s="138"/>
      <c r="BR624" s="180">
        <v>2019</v>
      </c>
      <c r="BS624" s="22">
        <v>5</v>
      </c>
      <c r="BT624" s="289">
        <f t="shared" si="339"/>
        <v>31.073828465219261</v>
      </c>
      <c r="BU624" s="290">
        <f t="shared" si="340"/>
        <v>197.08859710304145</v>
      </c>
      <c r="BV624" s="315">
        <f t="shared" si="341"/>
        <v>228.16242556826072</v>
      </c>
      <c r="BY624" s="180">
        <v>2019</v>
      </c>
      <c r="BZ624" s="22">
        <v>5</v>
      </c>
      <c r="CA624" s="289">
        <f t="shared" ca="1" si="342"/>
        <v>2.6147251159129139</v>
      </c>
      <c r="CB624" s="289">
        <f t="shared" ca="1" si="343"/>
        <v>8.0642474451856216</v>
      </c>
      <c r="CC624" s="290">
        <f t="shared" ca="1" si="354"/>
        <v>226.79187441981213</v>
      </c>
      <c r="CD624" s="315">
        <f t="shared" ca="1" si="344"/>
        <v>237.47084698091066</v>
      </c>
      <c r="CG624" s="180">
        <v>2019</v>
      </c>
      <c r="CH624" s="22">
        <v>5</v>
      </c>
      <c r="CI624" s="289">
        <f t="shared" ca="1" si="345"/>
        <v>-0.16679619478353008</v>
      </c>
      <c r="CJ624" s="289">
        <f t="shared" ca="1" si="346"/>
        <v>4.8164348870555092</v>
      </c>
      <c r="CK624" s="289">
        <f t="shared" ca="1" si="347"/>
        <v>0.77725528748275985</v>
      </c>
      <c r="CL624" s="290">
        <f t="shared" ca="1" si="348"/>
        <v>230.43790580082432</v>
      </c>
      <c r="CM624" s="315">
        <f t="shared" ca="1" si="349"/>
        <v>235.86479978057906</v>
      </c>
      <c r="CP624" s="180">
        <v>2019</v>
      </c>
      <c r="CQ624" s="22">
        <v>5</v>
      </c>
      <c r="CR624" s="289">
        <f t="shared" ca="1" si="350"/>
        <v>214.56777435485824</v>
      </c>
      <c r="CS624" s="290">
        <f t="shared" ca="1" si="351"/>
        <v>1.096811955752883</v>
      </c>
      <c r="CT624" s="315">
        <f t="shared" ca="1" si="352"/>
        <v>235.34050023169536</v>
      </c>
      <c r="CZ624" s="164" t="b">
        <f t="shared" si="329"/>
        <v>1</v>
      </c>
      <c r="DA624" s="165" t="b">
        <f t="shared" si="329"/>
        <v>1</v>
      </c>
      <c r="DB624" s="166" t="b">
        <f t="shared" si="329"/>
        <v>1</v>
      </c>
      <c r="DC624" s="164">
        <f t="shared" si="330"/>
        <v>7</v>
      </c>
      <c r="DD624" s="166">
        <f t="shared" si="331"/>
        <v>168.98097401615277</v>
      </c>
      <c r="DE624" s="164">
        <f t="shared" si="332"/>
        <v>7</v>
      </c>
      <c r="DF624" s="166">
        <f t="shared" si="333"/>
        <v>233.60079703564136</v>
      </c>
      <c r="DG624" s="164">
        <f t="shared" si="334"/>
        <v>7</v>
      </c>
      <c r="DH624" s="166">
        <f t="shared" si="335"/>
        <v>298.22062005512998</v>
      </c>
      <c r="DI624" s="164">
        <f>IFERROR(INDEX(DC$615:DC$663,_xlfn.AGGREGATE(15,6,(ROW(DC$615:DC$663)-ROW(DC$615)+1)/(DC$615:DC$663&lt;&gt;""),ROWS(DI$1:DI10))),"")</f>
        <v>7</v>
      </c>
      <c r="DJ624" s="165">
        <f>IFERROR(INDEX(DD$615:DD$663,_xlfn.AGGREGATE(15,6,(ROW(DD$615:DD$663)-ROW(DD$615)+1)/(DD$615:DD$663&lt;&gt;""),ROWS(DJ$1:DJ10))),"")</f>
        <v>168.98097401615277</v>
      </c>
      <c r="DK624" s="166">
        <f t="shared" si="336"/>
        <v>624</v>
      </c>
      <c r="DL624" s="164">
        <f>IFERROR(INDEX(DE$615:DE$663,_xlfn.AGGREGATE(15,6,(ROW(DE$615:DE$663)-ROW(DE$615)+1)/(DE$615:DE$663&lt;&gt;""),ROWS(DL$1:DL10))),"")</f>
        <v>7</v>
      </c>
      <c r="DM624" s="165">
        <f>IFERROR(INDEX(DF$615:DF$663,_xlfn.AGGREGATE(15,6,(ROW(DF$615:DF$663)-ROW(DF$615)+1)/(DF$615:DF$663&lt;&gt;""),ROWS(DM$1:DM10))),"")</f>
        <v>233.60079703564136</v>
      </c>
      <c r="DN624" s="166">
        <f t="shared" si="337"/>
        <v>624</v>
      </c>
      <c r="DO624" s="164">
        <f>IFERROR(INDEX(DG$615:DG$663,_xlfn.AGGREGATE(15,6,(ROW(DG$615:DG$663)-ROW(DG$615)+1)/(DG$615:DG$663&lt;&gt;""),ROWS(DO$1:DO10))),"")</f>
        <v>7</v>
      </c>
      <c r="DP624" s="165">
        <f>IFERROR(INDEX(DH$615:DH$663,_xlfn.AGGREGATE(15,6,(ROW(DH$615:DH$663)-ROW(DH$615)+1)/(DH$615:DH$663&lt;&gt;""),ROWS(DP$1:DP10))),"")</f>
        <v>298.22062005512998</v>
      </c>
      <c r="DQ624" s="166">
        <f t="shared" si="338"/>
        <v>624</v>
      </c>
      <c r="DV624" s="145">
        <v>2024</v>
      </c>
      <c r="DW624" s="235">
        <f t="shared" ca="1" si="322"/>
        <v>249.92378636574364</v>
      </c>
      <c r="DZ624" s="135" t="s">
        <v>92</v>
      </c>
      <c r="EA624" s="33">
        <f t="shared" ref="EA624:EB626" si="355">IF($EA$613="Linear",0,IF($EA$613="2nd Poly",0,IF($EA$613="3rd Poly",0,IF($EA$613="Exp",CR616))))</f>
        <v>0</v>
      </c>
      <c r="EB624" s="33">
        <f t="shared" si="355"/>
        <v>0</v>
      </c>
      <c r="EC624" s="33" t="str">
        <f>IF($EA$613="Linear","N/A",IF($EA$613="2nd Poly","N/A",IF($EA$613="3rd Poly","N/A","High")))</f>
        <v>N/A</v>
      </c>
      <c r="ED624" s="33"/>
      <c r="EE624" s="33"/>
    </row>
    <row r="625" spans="1:135" ht="13.8" x14ac:dyDescent="0.45">
      <c r="A625" s="148" t="s">
        <v>88</v>
      </c>
      <c r="B625" s="128">
        <v>2022</v>
      </c>
      <c r="C625" s="912">
        <v>270.18858971428574</v>
      </c>
      <c r="D625" s="960">
        <v>298.77275182873626</v>
      </c>
      <c r="E625" s="200"/>
      <c r="F625" s="950"/>
      <c r="G625" s="199"/>
      <c r="H625" s="200"/>
      <c r="I625" s="1111">
        <v>145.29729729729726</v>
      </c>
      <c r="J625" s="199"/>
      <c r="K625" s="200"/>
      <c r="L625" s="201"/>
      <c r="M625" s="200"/>
      <c r="N625" s="29" t="s">
        <v>119</v>
      </c>
      <c r="O625" s="120"/>
      <c r="P625" s="120"/>
      <c r="Q625" s="120"/>
      <c r="R625" s="29">
        <v>8</v>
      </c>
      <c r="S625" s="202">
        <f t="shared" si="323"/>
        <v>145.29729729729726</v>
      </c>
      <c r="T625" s="202">
        <f t="shared" si="324"/>
        <v>298.77275182873626</v>
      </c>
      <c r="U625" s="202">
        <f t="shared" si="325"/>
        <v>66.641332177062921</v>
      </c>
      <c r="V625" s="20"/>
      <c r="W625" s="288">
        <f t="shared" si="326"/>
        <v>171.44488076971015</v>
      </c>
      <c r="X625" s="288">
        <f t="shared" si="327"/>
        <v>238.08621294677309</v>
      </c>
      <c r="Y625" s="288">
        <f t="shared" si="328"/>
        <v>304.72754512383602</v>
      </c>
      <c r="AA625" s="120"/>
      <c r="AB625" s="120"/>
      <c r="AC625" s="120"/>
      <c r="AD625" s="120"/>
      <c r="AE625" s="120"/>
      <c r="AF625" s="120"/>
      <c r="AG625" s="120"/>
      <c r="AH625" s="120"/>
      <c r="AI625" s="120"/>
      <c r="AJ625" s="120"/>
      <c r="AK625" s="120"/>
      <c r="AL625" s="120"/>
      <c r="AM625" s="120"/>
      <c r="AN625" s="120"/>
      <c r="BR625" s="180">
        <v>2020</v>
      </c>
      <c r="BS625" s="22">
        <v>6</v>
      </c>
      <c r="BT625" s="289">
        <f t="shared" si="339"/>
        <v>37.288594158263116</v>
      </c>
      <c r="BU625" s="290">
        <f t="shared" si="340"/>
        <v>197.08859710304145</v>
      </c>
      <c r="BV625" s="203">
        <f t="shared" si="341"/>
        <v>234.37719126130457</v>
      </c>
      <c r="BY625" s="180">
        <v>2020</v>
      </c>
      <c r="BZ625" s="22">
        <v>6</v>
      </c>
      <c r="CA625" s="289">
        <f t="shared" ca="1" si="342"/>
        <v>3.7652041669145961</v>
      </c>
      <c r="CB625" s="289">
        <f t="shared" ca="1" si="343"/>
        <v>9.677096934222746</v>
      </c>
      <c r="CC625" s="290">
        <f t="shared" ca="1" si="354"/>
        <v>226.79187441981213</v>
      </c>
      <c r="CD625" s="203">
        <f t="shared" ca="1" si="344"/>
        <v>240.23417552094946</v>
      </c>
      <c r="CG625" s="180">
        <v>2020</v>
      </c>
      <c r="CH625" s="22">
        <v>6</v>
      </c>
      <c r="CI625" s="289">
        <f t="shared" ca="1" si="345"/>
        <v>-0.28822382458593998</v>
      </c>
      <c r="CJ625" s="289">
        <f t="shared" ca="1" si="346"/>
        <v>6.9356662373599338</v>
      </c>
      <c r="CK625" s="289">
        <f t="shared" ca="1" si="347"/>
        <v>0.93270634497931182</v>
      </c>
      <c r="CL625" s="290">
        <f t="shared" ca="1" si="348"/>
        <v>230.43790580082432</v>
      </c>
      <c r="CM625" s="203">
        <f t="shared" ca="1" si="349"/>
        <v>238.01805455857763</v>
      </c>
      <c r="CP625" s="180">
        <v>2020</v>
      </c>
      <c r="CQ625" s="22">
        <v>6</v>
      </c>
      <c r="CR625" s="289">
        <f t="shared" ca="1" si="350"/>
        <v>214.56777435485824</v>
      </c>
      <c r="CS625" s="290">
        <f t="shared" ca="1" si="351"/>
        <v>1.1172712177944142</v>
      </c>
      <c r="CT625" s="203">
        <f t="shared" ca="1" si="352"/>
        <v>239.73039855288954</v>
      </c>
      <c r="CZ625" s="164" t="b">
        <f t="shared" si="329"/>
        <v>1</v>
      </c>
      <c r="DA625" s="165" t="b">
        <f t="shared" si="329"/>
        <v>1</v>
      </c>
      <c r="DB625" s="166" t="b">
        <f t="shared" si="329"/>
        <v>1</v>
      </c>
      <c r="DC625" s="164">
        <f t="shared" si="330"/>
        <v>8</v>
      </c>
      <c r="DD625" s="166">
        <f t="shared" si="331"/>
        <v>171.44488076971015</v>
      </c>
      <c r="DE625" s="164">
        <f t="shared" si="332"/>
        <v>8</v>
      </c>
      <c r="DF625" s="166">
        <f t="shared" si="333"/>
        <v>238.08621294677309</v>
      </c>
      <c r="DG625" s="164">
        <f t="shared" si="334"/>
        <v>8</v>
      </c>
      <c r="DH625" s="166">
        <f t="shared" si="335"/>
        <v>304.72754512383602</v>
      </c>
      <c r="DI625" s="164">
        <f>IFERROR(INDEX(DC$615:DC$663,_xlfn.AGGREGATE(15,6,(ROW(DC$615:DC$663)-ROW(DC$615)+1)/(DC$615:DC$663&lt;&gt;""),ROWS(DI$1:DI11))),"")</f>
        <v>8</v>
      </c>
      <c r="DJ625" s="165">
        <f>IFERROR(INDEX(DD$615:DD$663,_xlfn.AGGREGATE(15,6,(ROW(DD$615:DD$663)-ROW(DD$615)+1)/(DD$615:DD$663&lt;&gt;""),ROWS(DJ$1:DJ11))),"")</f>
        <v>171.44488076971015</v>
      </c>
      <c r="DK625" s="166">
        <f t="shared" si="336"/>
        <v>625</v>
      </c>
      <c r="DL625" s="164">
        <f>IFERROR(INDEX(DE$615:DE$663,_xlfn.AGGREGATE(15,6,(ROW(DE$615:DE$663)-ROW(DE$615)+1)/(DE$615:DE$663&lt;&gt;""),ROWS(DL$1:DL11))),"")</f>
        <v>8</v>
      </c>
      <c r="DM625" s="165">
        <f>IFERROR(INDEX(DF$615:DF$663,_xlfn.AGGREGATE(15,6,(ROW(DF$615:DF$663)-ROW(DF$615)+1)/(DF$615:DF$663&lt;&gt;""),ROWS(DM$1:DM11))),"")</f>
        <v>238.08621294677309</v>
      </c>
      <c r="DN625" s="166">
        <f t="shared" si="337"/>
        <v>625</v>
      </c>
      <c r="DO625" s="164">
        <f>IFERROR(INDEX(DG$615:DG$663,_xlfn.AGGREGATE(15,6,(ROW(DG$615:DG$663)-ROW(DG$615)+1)/(DG$615:DG$663&lt;&gt;""),ROWS(DO$1:DO11))),"")</f>
        <v>8</v>
      </c>
      <c r="DP625" s="165">
        <f>IFERROR(INDEX(DH$615:DH$663,_xlfn.AGGREGATE(15,6,(ROW(DH$615:DH$663)-ROW(DH$615)+1)/(DH$615:DH$663&lt;&gt;""),ROWS(DP$1:DP11))),"")</f>
        <v>304.72754512383602</v>
      </c>
      <c r="DQ625" s="166">
        <f t="shared" si="338"/>
        <v>625</v>
      </c>
      <c r="DR625" s="65"/>
      <c r="DV625" s="145">
        <v>2025</v>
      </c>
      <c r="DW625" s="235">
        <f t="shared" ca="1" si="322"/>
        <v>253.68336640458003</v>
      </c>
      <c r="DZ625" s="135" t="s">
        <v>92</v>
      </c>
      <c r="EA625" s="33">
        <f t="shared" si="355"/>
        <v>0</v>
      </c>
      <c r="EB625" s="33">
        <f t="shared" si="355"/>
        <v>0</v>
      </c>
      <c r="EC625" s="33" t="str">
        <f>IF($EA$613="Linear","N/A",IF($EA$613="2nd Poly","N/A",IF($EA$613="3rd Poly","N/A","Medium")))</f>
        <v>N/A</v>
      </c>
    </row>
    <row r="626" spans="1:135" ht="13.8" x14ac:dyDescent="0.45">
      <c r="B626" s="128">
        <v>2023</v>
      </c>
      <c r="C626" s="912">
        <v>274.87751600000001</v>
      </c>
      <c r="D626" s="960">
        <v>306.26707469297355</v>
      </c>
      <c r="E626" s="292"/>
      <c r="F626" s="950"/>
      <c r="G626" s="199"/>
      <c r="H626" s="200"/>
      <c r="I626" s="1111">
        <v>147.10810810810807</v>
      </c>
      <c r="J626" s="199"/>
      <c r="K626" s="200"/>
      <c r="L626" s="201"/>
      <c r="M626" s="200"/>
      <c r="N626" s="29" t="s">
        <v>119</v>
      </c>
      <c r="O626" s="120"/>
      <c r="P626" s="120"/>
      <c r="Q626" s="120"/>
      <c r="R626" s="29">
        <v>9</v>
      </c>
      <c r="S626" s="202">
        <f t="shared" si="323"/>
        <v>147.10810810810807</v>
      </c>
      <c r="T626" s="202">
        <f t="shared" si="324"/>
        <v>306.26707469297355</v>
      </c>
      <c r="U626" s="202">
        <f t="shared" si="325"/>
        <v>68.83305297146029</v>
      </c>
      <c r="V626" s="20"/>
      <c r="W626" s="317">
        <f t="shared" si="326"/>
        <v>173.91784662890024</v>
      </c>
      <c r="X626" s="317">
        <f t="shared" si="327"/>
        <v>242.75089960036053</v>
      </c>
      <c r="Y626" s="317">
        <f t="shared" si="328"/>
        <v>311.58395257182082</v>
      </c>
      <c r="AA626" s="120"/>
      <c r="AB626" s="120"/>
      <c r="AC626" s="120"/>
      <c r="AD626" s="120"/>
      <c r="AE626" s="120"/>
      <c r="AF626" s="120"/>
      <c r="AG626" s="120"/>
      <c r="AH626" s="120"/>
      <c r="AI626" s="120"/>
      <c r="AJ626" s="120"/>
      <c r="AK626" s="120"/>
      <c r="AL626" s="120"/>
      <c r="AM626" s="120"/>
      <c r="AN626" s="120"/>
      <c r="BR626" s="180">
        <v>2021</v>
      </c>
      <c r="BS626" s="22">
        <v>7</v>
      </c>
      <c r="BT626" s="318">
        <f t="shared" si="339"/>
        <v>43.503359851306968</v>
      </c>
      <c r="BU626" s="319">
        <f t="shared" si="340"/>
        <v>197.08859710304145</v>
      </c>
      <c r="BV626" s="205">
        <f t="shared" si="341"/>
        <v>240.5919569543484</v>
      </c>
      <c r="BY626" s="180">
        <v>2021</v>
      </c>
      <c r="BZ626" s="22">
        <v>7</v>
      </c>
      <c r="CA626" s="318">
        <f t="shared" ca="1" si="342"/>
        <v>5.1248612271893119</v>
      </c>
      <c r="CB626" s="318">
        <f t="shared" ca="1" si="343"/>
        <v>11.28994642325987</v>
      </c>
      <c r="CC626" s="319">
        <f t="shared" ca="1" si="354"/>
        <v>226.79187441981213</v>
      </c>
      <c r="CD626" s="205">
        <f t="shared" ca="1" si="344"/>
        <v>243.20668207026131</v>
      </c>
      <c r="CG626" s="180">
        <v>2021</v>
      </c>
      <c r="CH626" s="22">
        <v>7</v>
      </c>
      <c r="CI626" s="318">
        <f t="shared" ca="1" si="345"/>
        <v>-0.45768875848600654</v>
      </c>
      <c r="CJ626" s="318">
        <f t="shared" ca="1" si="346"/>
        <v>9.4402123786287984</v>
      </c>
      <c r="CK626" s="318">
        <f t="shared" ca="1" si="347"/>
        <v>1.0881574024758638</v>
      </c>
      <c r="CL626" s="319">
        <f t="shared" ca="1" si="348"/>
        <v>230.43790580082432</v>
      </c>
      <c r="CM626" s="205">
        <f t="shared" ca="1" si="349"/>
        <v>240.50858682344298</v>
      </c>
      <c r="CP626" s="180">
        <v>2021</v>
      </c>
      <c r="CQ626" s="22">
        <v>7</v>
      </c>
      <c r="CR626" s="318">
        <f t="shared" ca="1" si="350"/>
        <v>214.56777435485824</v>
      </c>
      <c r="CS626" s="319">
        <f t="shared" ca="1" si="351"/>
        <v>1.1381121144462252</v>
      </c>
      <c r="CT626" s="205">
        <f t="shared" ca="1" si="352"/>
        <v>244.20218336302824</v>
      </c>
      <c r="CZ626" s="164" t="b">
        <f t="shared" si="329"/>
        <v>1</v>
      </c>
      <c r="DA626" s="165" t="b">
        <f t="shared" si="329"/>
        <v>1</v>
      </c>
      <c r="DB626" s="166" t="b">
        <f t="shared" si="329"/>
        <v>1</v>
      </c>
      <c r="DC626" s="164">
        <f t="shared" si="330"/>
        <v>9</v>
      </c>
      <c r="DD626" s="166">
        <f t="shared" si="331"/>
        <v>173.91784662890024</v>
      </c>
      <c r="DE626" s="164">
        <f t="shared" si="332"/>
        <v>9</v>
      </c>
      <c r="DF626" s="166">
        <f t="shared" si="333"/>
        <v>242.75089960036053</v>
      </c>
      <c r="DG626" s="164">
        <f t="shared" si="334"/>
        <v>9</v>
      </c>
      <c r="DH626" s="166">
        <f t="shared" si="335"/>
        <v>311.58395257182082</v>
      </c>
      <c r="DI626" s="164">
        <f>IFERROR(INDEX(DC$615:DC$663,_xlfn.AGGREGATE(15,6,(ROW(DC$615:DC$663)-ROW(DC$615)+1)/(DC$615:DC$663&lt;&gt;""),ROWS(DI$1:DI12))),"")</f>
        <v>9</v>
      </c>
      <c r="DJ626" s="165">
        <f>IFERROR(INDEX(DD$615:DD$663,_xlfn.AGGREGATE(15,6,(ROW(DD$615:DD$663)-ROW(DD$615)+1)/(DD$615:DD$663&lt;&gt;""),ROWS(DJ$1:DJ12))),"")</f>
        <v>173.91784662890024</v>
      </c>
      <c r="DK626" s="166">
        <f t="shared" si="336"/>
        <v>626</v>
      </c>
      <c r="DL626" s="164">
        <f>IFERROR(INDEX(DE$615:DE$663,_xlfn.AGGREGATE(15,6,(ROW(DE$615:DE$663)-ROW(DE$615)+1)/(DE$615:DE$663&lt;&gt;""),ROWS(DL$1:DL12))),"")</f>
        <v>9</v>
      </c>
      <c r="DM626" s="165">
        <f>IFERROR(INDEX(DF$615:DF$663,_xlfn.AGGREGATE(15,6,(ROW(DF$615:DF$663)-ROW(DF$615)+1)/(DF$615:DF$663&lt;&gt;""),ROWS(DM$1:DM12))),"")</f>
        <v>242.75089960036053</v>
      </c>
      <c r="DN626" s="166">
        <f t="shared" si="337"/>
        <v>626</v>
      </c>
      <c r="DO626" s="164">
        <f>IFERROR(INDEX(DG$615:DG$663,_xlfn.AGGREGATE(15,6,(ROW(DG$615:DG$663)-ROW(DG$615)+1)/(DG$615:DG$663&lt;&gt;""),ROWS(DO$1:DO12))),"")</f>
        <v>9</v>
      </c>
      <c r="DP626" s="165">
        <f>IFERROR(INDEX(DH$615:DH$663,_xlfn.AGGREGATE(15,6,(ROW(DH$615:DH$663)-ROW(DH$615)+1)/(DH$615:DH$663&lt;&gt;""),ROWS(DP$1:DP12))),"")</f>
        <v>311.58395257182082</v>
      </c>
      <c r="DQ626" s="166">
        <f t="shared" si="338"/>
        <v>626</v>
      </c>
      <c r="DR626" s="65"/>
      <c r="DV626" s="145">
        <v>2026</v>
      </c>
      <c r="DW626" s="235">
        <f t="shared" ca="1" si="322"/>
        <v>257.74019284353517</v>
      </c>
      <c r="DZ626" s="135" t="s">
        <v>92</v>
      </c>
      <c r="EA626" s="33">
        <f t="shared" si="355"/>
        <v>0</v>
      </c>
      <c r="EB626" s="33">
        <f t="shared" si="355"/>
        <v>0</v>
      </c>
      <c r="EC626" s="33" t="str">
        <f>IF($EA$613="Linear","N/A",IF($EA$613="2nd Poly","N/A",IF($EA$613="3rd Poly","N/A","Low")))</f>
        <v>N/A</v>
      </c>
    </row>
    <row r="627" spans="1:135" ht="13.8" x14ac:dyDescent="0.45">
      <c r="B627" s="128">
        <v>2024</v>
      </c>
      <c r="C627" s="912">
        <v>279.56644228571429</v>
      </c>
      <c r="D627" s="960">
        <v>314.29920978457812</v>
      </c>
      <c r="E627" s="292"/>
      <c r="F627" s="914"/>
      <c r="G627" s="320"/>
      <c r="H627" s="292"/>
      <c r="I627" s="1112">
        <v>148.91891891891888</v>
      </c>
      <c r="J627" s="320"/>
      <c r="K627" s="292"/>
      <c r="L627" s="293"/>
      <c r="M627" s="292"/>
      <c r="N627" s="29" t="s">
        <v>119</v>
      </c>
      <c r="O627" s="120"/>
      <c r="P627" s="120"/>
      <c r="Q627" s="120"/>
      <c r="R627" s="29">
        <v>10</v>
      </c>
      <c r="S627" s="317">
        <f t="shared" si="323"/>
        <v>148.91891891891888</v>
      </c>
      <c r="T627" s="317">
        <f t="shared" si="324"/>
        <v>314.29920978457812</v>
      </c>
      <c r="U627" s="317">
        <f t="shared" si="325"/>
        <v>71.200640685957666</v>
      </c>
      <c r="V627" s="20"/>
      <c r="W627" s="317">
        <f t="shared" si="326"/>
        <v>176.3942163104461</v>
      </c>
      <c r="X627" s="317">
        <f t="shared" si="327"/>
        <v>247.59485699640376</v>
      </c>
      <c r="Y627" s="317">
        <f t="shared" si="328"/>
        <v>318.79549768236143</v>
      </c>
      <c r="AA627" s="120"/>
      <c r="AB627" s="120"/>
      <c r="AC627" s="120"/>
      <c r="AD627" s="120"/>
      <c r="AE627" s="120"/>
      <c r="AF627" s="120"/>
      <c r="AG627" s="120"/>
      <c r="AH627" s="120"/>
      <c r="AI627" s="120"/>
      <c r="AJ627" s="120"/>
      <c r="AK627" s="120"/>
      <c r="AL627" s="120"/>
      <c r="AM627" s="120"/>
      <c r="AN627" s="120"/>
      <c r="BR627" s="180">
        <v>2022</v>
      </c>
      <c r="BS627" s="22">
        <v>8</v>
      </c>
      <c r="BT627" s="318">
        <f t="shared" si="339"/>
        <v>49.718125544350819</v>
      </c>
      <c r="BU627" s="319">
        <f t="shared" si="340"/>
        <v>197.08859710304145</v>
      </c>
      <c r="BV627" s="205">
        <f t="shared" si="341"/>
        <v>246.80672264739226</v>
      </c>
      <c r="BY627" s="180">
        <v>2022</v>
      </c>
      <c r="BZ627" s="22">
        <v>8</v>
      </c>
      <c r="CA627" s="318">
        <f t="shared" ca="1" si="342"/>
        <v>6.6936962967370599</v>
      </c>
      <c r="CB627" s="318">
        <f t="shared" ca="1" si="343"/>
        <v>12.902795912296995</v>
      </c>
      <c r="CC627" s="319">
        <f t="shared" ca="1" si="354"/>
        <v>226.79187441981213</v>
      </c>
      <c r="CD627" s="205">
        <f t="shared" ca="1" si="344"/>
        <v>246.3883666288462</v>
      </c>
      <c r="CG627" s="180">
        <v>2022</v>
      </c>
      <c r="CH627" s="22">
        <v>8</v>
      </c>
      <c r="CI627" s="318">
        <f t="shared" ca="1" si="345"/>
        <v>-0.6831972138333392</v>
      </c>
      <c r="CJ627" s="318">
        <f t="shared" ca="1" si="346"/>
        <v>12.330073310862105</v>
      </c>
      <c r="CK627" s="318">
        <f t="shared" ca="1" si="347"/>
        <v>1.2436084599724158</v>
      </c>
      <c r="CL627" s="319">
        <f t="shared" ca="1" si="348"/>
        <v>230.43790580082432</v>
      </c>
      <c r="CM627" s="205">
        <f t="shared" ca="1" si="349"/>
        <v>243.3283903578255</v>
      </c>
      <c r="CP627" s="180">
        <v>2022</v>
      </c>
      <c r="CQ627" s="22">
        <v>8</v>
      </c>
      <c r="CR627" s="318">
        <f t="shared" ca="1" si="350"/>
        <v>214.56777435485824</v>
      </c>
      <c r="CS627" s="319">
        <f t="shared" ca="1" si="351"/>
        <v>1.1593417644878432</v>
      </c>
      <c r="CT627" s="205">
        <f t="shared" ca="1" si="352"/>
        <v>248.75738212279074</v>
      </c>
      <c r="CZ627" s="164" t="b">
        <f t="shared" si="329"/>
        <v>1</v>
      </c>
      <c r="DA627" s="165" t="b">
        <f t="shared" si="329"/>
        <v>1</v>
      </c>
      <c r="DB627" s="166" t="b">
        <f t="shared" si="329"/>
        <v>1</v>
      </c>
      <c r="DC627" s="164">
        <f t="shared" si="330"/>
        <v>10</v>
      </c>
      <c r="DD627" s="166">
        <f t="shared" si="331"/>
        <v>176.3942163104461</v>
      </c>
      <c r="DE627" s="164">
        <f t="shared" si="332"/>
        <v>10</v>
      </c>
      <c r="DF627" s="166">
        <f t="shared" si="333"/>
        <v>247.59485699640376</v>
      </c>
      <c r="DG627" s="164">
        <f t="shared" si="334"/>
        <v>10</v>
      </c>
      <c r="DH627" s="166">
        <f t="shared" si="335"/>
        <v>318.79549768236143</v>
      </c>
      <c r="DI627" s="164">
        <f>IFERROR(INDEX(DC$615:DC$663,_xlfn.AGGREGATE(15,6,(ROW(DC$615:DC$663)-ROW(DC$615)+1)/(DC$615:DC$663&lt;&gt;""),ROWS(DI$1:DI13))),"")</f>
        <v>10</v>
      </c>
      <c r="DJ627" s="165">
        <f>IFERROR(INDEX(DD$615:DD$663,_xlfn.AGGREGATE(15,6,(ROW(DD$615:DD$663)-ROW(DD$615)+1)/(DD$615:DD$663&lt;&gt;""),ROWS(DJ$1:DJ13))),"")</f>
        <v>176.3942163104461</v>
      </c>
      <c r="DK627" s="166">
        <f t="shared" si="336"/>
        <v>627</v>
      </c>
      <c r="DL627" s="164">
        <f>IFERROR(INDEX(DE$615:DE$663,_xlfn.AGGREGATE(15,6,(ROW(DE$615:DE$663)-ROW(DE$615)+1)/(DE$615:DE$663&lt;&gt;""),ROWS(DL$1:DL13))),"")</f>
        <v>10</v>
      </c>
      <c r="DM627" s="165">
        <f>IFERROR(INDEX(DF$615:DF$663,_xlfn.AGGREGATE(15,6,(ROW(DF$615:DF$663)-ROW(DF$615)+1)/(DF$615:DF$663&lt;&gt;""),ROWS(DM$1:DM13))),"")</f>
        <v>247.59485699640376</v>
      </c>
      <c r="DN627" s="166">
        <f t="shared" si="337"/>
        <v>627</v>
      </c>
      <c r="DO627" s="164">
        <f>IFERROR(INDEX(DG$615:DG$663,_xlfn.AGGREGATE(15,6,(ROW(DG$615:DG$663)-ROW(DG$615)+1)/(DG$615:DG$663&lt;&gt;""),ROWS(DO$1:DO13))),"")</f>
        <v>10</v>
      </c>
      <c r="DP627" s="165">
        <f>IFERROR(INDEX(DH$615:DH$663,_xlfn.AGGREGATE(15,6,(ROW(DH$615:DH$663)-ROW(DH$615)+1)/(DH$615:DH$663&lt;&gt;""),ROWS(DP$1:DP13))),"")</f>
        <v>318.79549768236143</v>
      </c>
      <c r="DQ627" s="166">
        <f t="shared" si="338"/>
        <v>627</v>
      </c>
      <c r="DR627" s="65"/>
      <c r="DV627" s="145">
        <v>2027</v>
      </c>
      <c r="DW627" s="235">
        <f t="shared" ca="1" si="322"/>
        <v>262.08625946525945</v>
      </c>
    </row>
    <row r="628" spans="1:135" ht="13.8" x14ac:dyDescent="0.45">
      <c r="B628" s="128">
        <v>2025</v>
      </c>
      <c r="C628" s="912">
        <v>284.25536857142856</v>
      </c>
      <c r="D628" s="960">
        <v>322.86915710355004</v>
      </c>
      <c r="E628" s="292"/>
      <c r="F628" s="914"/>
      <c r="G628" s="320"/>
      <c r="H628" s="292"/>
      <c r="I628" s="1112">
        <v>150.72972972972968</v>
      </c>
      <c r="J628" s="320"/>
      <c r="K628" s="292"/>
      <c r="L628" s="293"/>
      <c r="M628" s="292"/>
      <c r="N628" s="29" t="s">
        <v>119</v>
      </c>
      <c r="O628" s="120"/>
      <c r="P628" s="120"/>
      <c r="Q628" s="120"/>
      <c r="R628" s="29">
        <v>11</v>
      </c>
      <c r="S628" s="317">
        <f t="shared" si="323"/>
        <v>150.72972972972968</v>
      </c>
      <c r="T628" s="317">
        <f t="shared" si="324"/>
        <v>322.86915710355004</v>
      </c>
      <c r="U628" s="317">
        <f t="shared" si="325"/>
        <v>73.750407418440759</v>
      </c>
      <c r="W628" s="317">
        <f t="shared" si="326"/>
        <v>178.86767771646203</v>
      </c>
      <c r="X628" s="317">
        <f t="shared" si="327"/>
        <v>252.61808513490277</v>
      </c>
      <c r="Y628" s="317">
        <f t="shared" si="328"/>
        <v>326.36849255334351</v>
      </c>
      <c r="AA628" s="120"/>
      <c r="AB628" s="120"/>
      <c r="AC628" s="120"/>
      <c r="AD628" s="120"/>
      <c r="AE628" s="120"/>
      <c r="AF628" s="120"/>
      <c r="AG628" s="120"/>
      <c r="AH628" s="120"/>
      <c r="AI628" s="120"/>
      <c r="AJ628" s="120"/>
      <c r="AK628" s="120"/>
      <c r="AL628" s="120"/>
      <c r="AM628" s="120"/>
      <c r="AN628" s="120"/>
      <c r="BR628" s="180">
        <v>2023</v>
      </c>
      <c r="BS628" s="22">
        <v>9</v>
      </c>
      <c r="BT628" s="318">
        <f t="shared" si="339"/>
        <v>55.932891237394671</v>
      </c>
      <c r="BU628" s="319">
        <f t="shared" si="340"/>
        <v>197.08859710304145</v>
      </c>
      <c r="BV628" s="205">
        <f t="shared" si="341"/>
        <v>253.02148834043612</v>
      </c>
      <c r="BY628" s="180">
        <v>2023</v>
      </c>
      <c r="BZ628" s="22">
        <v>9</v>
      </c>
      <c r="CA628" s="318">
        <f t="shared" ca="1" si="342"/>
        <v>8.4717093755578414</v>
      </c>
      <c r="CB628" s="318">
        <f t="shared" ca="1" si="343"/>
        <v>14.515645401334119</v>
      </c>
      <c r="CC628" s="319">
        <f t="shared" ca="1" si="354"/>
        <v>226.79187441981213</v>
      </c>
      <c r="CD628" s="205">
        <f t="shared" ca="1" si="344"/>
        <v>249.77922919670408</v>
      </c>
      <c r="CG628" s="180">
        <v>2023</v>
      </c>
      <c r="CH628" s="22">
        <v>9</v>
      </c>
      <c r="CI628" s="318">
        <f t="shared" ca="1" si="345"/>
        <v>-0.97275540797754745</v>
      </c>
      <c r="CJ628" s="318">
        <f t="shared" ca="1" si="346"/>
        <v>15.605249034059851</v>
      </c>
      <c r="CK628" s="318">
        <f t="shared" ca="1" si="347"/>
        <v>1.3990595174689677</v>
      </c>
      <c r="CL628" s="319">
        <f t="shared" ca="1" si="348"/>
        <v>230.43790580082432</v>
      </c>
      <c r="CM628" s="205">
        <f t="shared" ca="1" si="349"/>
        <v>246.46945894437559</v>
      </c>
      <c r="CP628" s="180">
        <v>2023</v>
      </c>
      <c r="CQ628" s="22">
        <v>9</v>
      </c>
      <c r="CR628" s="318">
        <f t="shared" ca="1" si="350"/>
        <v>214.56777435485824</v>
      </c>
      <c r="CS628" s="319">
        <f t="shared" ca="1" si="351"/>
        <v>1.1809674194881721</v>
      </c>
      <c r="CT628" s="205">
        <f t="shared" ca="1" si="352"/>
        <v>253.39755078517732</v>
      </c>
      <c r="CZ628" s="164" t="b">
        <f t="shared" si="329"/>
        <v>1</v>
      </c>
      <c r="DA628" s="165" t="b">
        <f t="shared" si="329"/>
        <v>1</v>
      </c>
      <c r="DB628" s="166" t="b">
        <f t="shared" si="329"/>
        <v>1</v>
      </c>
      <c r="DC628" s="164">
        <f t="shared" si="330"/>
        <v>11</v>
      </c>
      <c r="DD628" s="166">
        <f t="shared" si="331"/>
        <v>178.86767771646203</v>
      </c>
      <c r="DE628" s="164">
        <f t="shared" si="332"/>
        <v>11</v>
      </c>
      <c r="DF628" s="166">
        <f t="shared" si="333"/>
        <v>252.61808513490277</v>
      </c>
      <c r="DG628" s="164">
        <f t="shared" si="334"/>
        <v>11</v>
      </c>
      <c r="DH628" s="166">
        <f t="shared" si="335"/>
        <v>326.36849255334351</v>
      </c>
      <c r="DI628" s="164">
        <f>IFERROR(INDEX(DC$615:DC$663,_xlfn.AGGREGATE(15,6,(ROW(DC$615:DC$663)-ROW(DC$615)+1)/(DC$615:DC$663&lt;&gt;""),ROWS(DI$1:DI14))),"")</f>
        <v>11</v>
      </c>
      <c r="DJ628" s="165">
        <f>IFERROR(INDEX(DD$615:DD$663,_xlfn.AGGREGATE(15,6,(ROW(DD$615:DD$663)-ROW(DD$615)+1)/(DD$615:DD$663&lt;&gt;""),ROWS(DJ$1:DJ14))),"")</f>
        <v>178.86767771646203</v>
      </c>
      <c r="DK628" s="166">
        <f t="shared" si="336"/>
        <v>628</v>
      </c>
      <c r="DL628" s="164">
        <f>IFERROR(INDEX(DE$615:DE$663,_xlfn.AGGREGATE(15,6,(ROW(DE$615:DE$663)-ROW(DE$615)+1)/(DE$615:DE$663&lt;&gt;""),ROWS(DL$1:DL14))),"")</f>
        <v>11</v>
      </c>
      <c r="DM628" s="165">
        <f>IFERROR(INDEX(DF$615:DF$663,_xlfn.AGGREGATE(15,6,(ROW(DF$615:DF$663)-ROW(DF$615)+1)/(DF$615:DF$663&lt;&gt;""),ROWS(DM$1:DM14))),"")</f>
        <v>252.61808513490277</v>
      </c>
      <c r="DN628" s="166">
        <f t="shared" si="337"/>
        <v>628</v>
      </c>
      <c r="DO628" s="164">
        <f>IFERROR(INDEX(DG$615:DG$663,_xlfn.AGGREGATE(15,6,(ROW(DG$615:DG$663)-ROW(DG$615)+1)/(DG$615:DG$663&lt;&gt;""),ROWS(DO$1:DO14))),"")</f>
        <v>11</v>
      </c>
      <c r="DP628" s="165">
        <f>IFERROR(INDEX(DH$615:DH$663,_xlfn.AGGREGATE(15,6,(ROW(DH$615:DH$663)-ROW(DH$615)+1)/(DH$615:DH$663&lt;&gt;""),ROWS(DP$1:DP14))),"")</f>
        <v>326.36849255334351</v>
      </c>
      <c r="DQ628" s="166">
        <f t="shared" si="338"/>
        <v>628</v>
      </c>
      <c r="DR628" s="65"/>
      <c r="DV628" s="145">
        <v>2028</v>
      </c>
      <c r="DW628" s="235">
        <f t="shared" ca="1" si="322"/>
        <v>266.71356005240318</v>
      </c>
    </row>
    <row r="629" spans="1:135" ht="13.8" x14ac:dyDescent="0.45">
      <c r="B629" s="128">
        <v>2026</v>
      </c>
      <c r="C629" s="912">
        <v>288.94429485714284</v>
      </c>
      <c r="D629" s="960">
        <v>331.97691664988918</v>
      </c>
      <c r="E629" s="292"/>
      <c r="F629" s="914"/>
      <c r="G629" s="320"/>
      <c r="H629" s="292"/>
      <c r="I629" s="1112">
        <v>152.54054054054049</v>
      </c>
      <c r="J629" s="320"/>
      <c r="K629" s="292"/>
      <c r="L629" s="293"/>
      <c r="M629" s="292"/>
      <c r="N629" s="29" t="s">
        <v>119</v>
      </c>
      <c r="O629" s="120"/>
      <c r="P629" s="120"/>
      <c r="Q629" s="120"/>
      <c r="R629" s="29">
        <v>12</v>
      </c>
      <c r="S629" s="317">
        <f t="shared" si="323"/>
        <v>152.54054054054049</v>
      </c>
      <c r="T629" s="317">
        <f t="shared" si="324"/>
        <v>331.97691664988918</v>
      </c>
      <c r="U629" s="317">
        <f t="shared" si="325"/>
        <v>76.489072423071732</v>
      </c>
      <c r="W629" s="317">
        <f t="shared" si="326"/>
        <v>181.33151159278577</v>
      </c>
      <c r="X629" s="317">
        <f t="shared" si="327"/>
        <v>257.82058401585749</v>
      </c>
      <c r="Y629" s="317">
        <f t="shared" si="328"/>
        <v>334.30965643892921</v>
      </c>
      <c r="AA629" s="120"/>
      <c r="AB629" s="120"/>
      <c r="AC629" s="120"/>
      <c r="AD629" s="120"/>
      <c r="AE629" s="120"/>
      <c r="AF629" s="120"/>
      <c r="AG629" s="120"/>
      <c r="AH629" s="120"/>
      <c r="AI629" s="120"/>
      <c r="AJ629" s="120"/>
      <c r="AK629" s="120"/>
      <c r="AL629" s="120"/>
      <c r="AM629" s="120"/>
      <c r="AN629" s="120"/>
      <c r="BR629" s="180">
        <v>2024</v>
      </c>
      <c r="BS629" s="22">
        <v>10</v>
      </c>
      <c r="BT629" s="318">
        <f t="shared" si="339"/>
        <v>62.147656930438522</v>
      </c>
      <c r="BU629" s="319">
        <f t="shared" si="340"/>
        <v>197.08859710304145</v>
      </c>
      <c r="BV629" s="205">
        <f t="shared" si="341"/>
        <v>259.23625403347995</v>
      </c>
      <c r="BY629" s="180">
        <v>2024</v>
      </c>
      <c r="BZ629" s="22">
        <v>10</v>
      </c>
      <c r="CA629" s="318">
        <f t="shared" ca="1" si="342"/>
        <v>10.458900463651656</v>
      </c>
      <c r="CB629" s="318">
        <f t="shared" ca="1" si="343"/>
        <v>16.128494890371243</v>
      </c>
      <c r="CC629" s="319">
        <f t="shared" ca="1" si="354"/>
        <v>226.79187441981213</v>
      </c>
      <c r="CD629" s="205">
        <f t="shared" ca="1" si="344"/>
        <v>253.37926977383503</v>
      </c>
      <c r="CG629" s="180">
        <v>2024</v>
      </c>
      <c r="CH629" s="22">
        <v>10</v>
      </c>
      <c r="CI629" s="318">
        <f t="shared" ca="1" si="345"/>
        <v>-1.3343695582682407</v>
      </c>
      <c r="CJ629" s="318">
        <f t="shared" ca="1" si="346"/>
        <v>19.265739548222037</v>
      </c>
      <c r="CK629" s="318">
        <f t="shared" ca="1" si="347"/>
        <v>1.5545105749655197</v>
      </c>
      <c r="CL629" s="319">
        <f t="shared" ca="1" si="348"/>
        <v>230.43790580082432</v>
      </c>
      <c r="CM629" s="205">
        <f t="shared" ca="1" si="349"/>
        <v>249.92378636574364</v>
      </c>
      <c r="CP629" s="180">
        <v>2024</v>
      </c>
      <c r="CQ629" s="22">
        <v>10</v>
      </c>
      <c r="CR629" s="318">
        <f t="shared" ca="1" si="350"/>
        <v>214.56777435485824</v>
      </c>
      <c r="CS629" s="319">
        <f t="shared" ca="1" si="351"/>
        <v>1.2029964662824641</v>
      </c>
      <c r="CT629" s="205">
        <f t="shared" ca="1" si="352"/>
        <v>258.12427432698757</v>
      </c>
      <c r="CZ629" s="164" t="b">
        <f t="shared" si="329"/>
        <v>1</v>
      </c>
      <c r="DA629" s="165" t="b">
        <f t="shared" si="329"/>
        <v>1</v>
      </c>
      <c r="DB629" s="166" t="b">
        <f t="shared" si="329"/>
        <v>1</v>
      </c>
      <c r="DC629" s="164">
        <f t="shared" si="330"/>
        <v>12</v>
      </c>
      <c r="DD629" s="166">
        <f t="shared" si="331"/>
        <v>181.33151159278577</v>
      </c>
      <c r="DE629" s="164">
        <f t="shared" si="332"/>
        <v>12</v>
      </c>
      <c r="DF629" s="166">
        <f t="shared" si="333"/>
        <v>257.82058401585749</v>
      </c>
      <c r="DG629" s="164">
        <f t="shared" si="334"/>
        <v>12</v>
      </c>
      <c r="DH629" s="166">
        <f t="shared" si="335"/>
        <v>334.30965643892921</v>
      </c>
      <c r="DI629" s="164">
        <f>IFERROR(INDEX(DC$615:DC$663,_xlfn.AGGREGATE(15,6,(ROW(DC$615:DC$663)-ROW(DC$615)+1)/(DC$615:DC$663&lt;&gt;""),ROWS(DI$1:DI15))),"")</f>
        <v>12</v>
      </c>
      <c r="DJ629" s="165">
        <f>IFERROR(INDEX(DD$615:DD$663,_xlfn.AGGREGATE(15,6,(ROW(DD$615:DD$663)-ROW(DD$615)+1)/(DD$615:DD$663&lt;&gt;""),ROWS(DJ$1:DJ15))),"")</f>
        <v>181.33151159278577</v>
      </c>
      <c r="DK629" s="166">
        <f t="shared" si="336"/>
        <v>629</v>
      </c>
      <c r="DL629" s="164">
        <f>IFERROR(INDEX(DE$615:DE$663,_xlfn.AGGREGATE(15,6,(ROW(DE$615:DE$663)-ROW(DE$615)+1)/(DE$615:DE$663&lt;&gt;""),ROWS(DL$1:DL15))),"")</f>
        <v>12</v>
      </c>
      <c r="DM629" s="165">
        <f>IFERROR(INDEX(DF$615:DF$663,_xlfn.AGGREGATE(15,6,(ROW(DF$615:DF$663)-ROW(DF$615)+1)/(DF$615:DF$663&lt;&gt;""),ROWS(DM$1:DM15))),"")</f>
        <v>257.82058401585749</v>
      </c>
      <c r="DN629" s="166">
        <f t="shared" si="337"/>
        <v>629</v>
      </c>
      <c r="DO629" s="164">
        <f>IFERROR(INDEX(DG$615:DG$663,_xlfn.AGGREGATE(15,6,(ROW(DG$615:DG$663)-ROW(DG$615)+1)/(DG$615:DG$663&lt;&gt;""),ROWS(DO$1:DO15))),"")</f>
        <v>12</v>
      </c>
      <c r="DP629" s="165">
        <f>IFERROR(INDEX(DH$615:DH$663,_xlfn.AGGREGATE(15,6,(ROW(DH$615:DH$663)-ROW(DH$615)+1)/(DH$615:DH$663&lt;&gt;""),ROWS(DP$1:DP15))),"")</f>
        <v>334.30965643892921</v>
      </c>
      <c r="DQ629" s="166">
        <f t="shared" si="338"/>
        <v>629</v>
      </c>
      <c r="DR629" s="65"/>
      <c r="DV629" s="145">
        <v>2029</v>
      </c>
      <c r="DW629" s="235">
        <f t="shared" ca="1" si="322"/>
        <v>271.6140883876169</v>
      </c>
      <c r="EA629" s="55"/>
      <c r="EB629" s="55"/>
      <c r="EC629" s="55"/>
      <c r="ED629" s="55"/>
      <c r="EE629" s="55"/>
    </row>
    <row r="630" spans="1:135" ht="13.8" x14ac:dyDescent="0.45">
      <c r="B630" s="128">
        <v>2027</v>
      </c>
      <c r="C630" s="912">
        <v>293.63322114285711</v>
      </c>
      <c r="D630" s="960">
        <v>341.62248842359566</v>
      </c>
      <c r="E630" s="292"/>
      <c r="F630" s="914"/>
      <c r="G630" s="320"/>
      <c r="H630" s="292"/>
      <c r="I630" s="1112">
        <v>154.3513513513513</v>
      </c>
      <c r="J630" s="320"/>
      <c r="K630" s="292"/>
      <c r="L630" s="293"/>
      <c r="M630" s="292"/>
      <c r="N630" s="29" t="s">
        <v>119</v>
      </c>
      <c r="O630" s="120"/>
      <c r="P630" s="120"/>
      <c r="Q630" s="120"/>
      <c r="R630" s="29">
        <v>13</v>
      </c>
      <c r="S630" s="317">
        <f t="shared" si="323"/>
        <v>154.3513513513513</v>
      </c>
      <c r="T630" s="317">
        <f t="shared" si="324"/>
        <v>341.62248842359566</v>
      </c>
      <c r="U630" s="317">
        <f t="shared" si="325"/>
        <v>79.423539616617262</v>
      </c>
      <c r="W630" s="317">
        <f t="shared" si="326"/>
        <v>183.77881402265078</v>
      </c>
      <c r="X630" s="317">
        <f t="shared" si="327"/>
        <v>263.20235363926804</v>
      </c>
      <c r="Y630" s="317">
        <f t="shared" si="328"/>
        <v>342.62589325588533</v>
      </c>
      <c r="AA630" s="89"/>
      <c r="AB630" s="89"/>
      <c r="AC630" s="89"/>
      <c r="AD630" s="89"/>
      <c r="AE630" s="89"/>
      <c r="AF630" s="89"/>
      <c r="AG630" s="89"/>
      <c r="AH630" s="89"/>
      <c r="AI630" s="89"/>
      <c r="AJ630" s="89"/>
      <c r="AK630" s="89"/>
      <c r="AL630" s="89"/>
      <c r="AM630" s="89"/>
      <c r="AN630" s="89"/>
      <c r="BR630" s="180">
        <v>2025</v>
      </c>
      <c r="BS630" s="22">
        <v>11</v>
      </c>
      <c r="BT630" s="318">
        <f t="shared" si="339"/>
        <v>68.362422623482374</v>
      </c>
      <c r="BU630" s="319">
        <f t="shared" si="340"/>
        <v>197.08859710304145</v>
      </c>
      <c r="BV630" s="205">
        <f t="shared" si="341"/>
        <v>265.45101972652384</v>
      </c>
      <c r="BY630" s="180">
        <v>2025</v>
      </c>
      <c r="BZ630" s="22">
        <v>11</v>
      </c>
      <c r="CA630" s="318">
        <f t="shared" ca="1" si="342"/>
        <v>12.655269561018503</v>
      </c>
      <c r="CB630" s="318">
        <f t="shared" ca="1" si="343"/>
        <v>17.741344379408368</v>
      </c>
      <c r="CC630" s="319">
        <f t="shared" ca="1" si="354"/>
        <v>226.79187441981213</v>
      </c>
      <c r="CD630" s="205">
        <f t="shared" ca="1" si="344"/>
        <v>257.18848836023898</v>
      </c>
      <c r="CG630" s="180">
        <v>2025</v>
      </c>
      <c r="CH630" s="22">
        <v>11</v>
      </c>
      <c r="CI630" s="318">
        <f t="shared" ca="1" si="345"/>
        <v>-1.7760458820550282</v>
      </c>
      <c r="CJ630" s="318">
        <f t="shared" ca="1" si="346"/>
        <v>23.311544853348668</v>
      </c>
      <c r="CK630" s="318">
        <f t="shared" ca="1" si="347"/>
        <v>1.7099616324620717</v>
      </c>
      <c r="CL630" s="319">
        <f t="shared" ca="1" si="348"/>
        <v>230.43790580082432</v>
      </c>
      <c r="CM630" s="205">
        <f t="shared" ca="1" si="349"/>
        <v>253.68336640458003</v>
      </c>
      <c r="CP630" s="180">
        <v>2025</v>
      </c>
      <c r="CQ630" s="22">
        <v>11</v>
      </c>
      <c r="CR630" s="318">
        <f t="shared" ca="1" si="350"/>
        <v>214.56777435485824</v>
      </c>
      <c r="CS630" s="319">
        <f t="shared" ca="1" si="351"/>
        <v>1.2254364294954967</v>
      </c>
      <c r="CT630" s="205">
        <f t="shared" ca="1" si="352"/>
        <v>262.93916729021288</v>
      </c>
      <c r="CZ630" s="164" t="b">
        <f t="shared" si="329"/>
        <v>1</v>
      </c>
      <c r="DA630" s="165" t="b">
        <f t="shared" si="329"/>
        <v>1</v>
      </c>
      <c r="DB630" s="166" t="b">
        <f t="shared" si="329"/>
        <v>1</v>
      </c>
      <c r="DC630" s="164">
        <f t="shared" si="330"/>
        <v>13</v>
      </c>
      <c r="DD630" s="166">
        <f t="shared" si="331"/>
        <v>183.77881402265078</v>
      </c>
      <c r="DE630" s="164">
        <f t="shared" si="332"/>
        <v>13</v>
      </c>
      <c r="DF630" s="166">
        <f t="shared" si="333"/>
        <v>263.20235363926804</v>
      </c>
      <c r="DG630" s="164">
        <f t="shared" si="334"/>
        <v>13</v>
      </c>
      <c r="DH630" s="166">
        <f t="shared" si="335"/>
        <v>342.62589325588533</v>
      </c>
      <c r="DI630" s="164">
        <f>IFERROR(INDEX(DC$615:DC$663,_xlfn.AGGREGATE(15,6,(ROW(DC$615:DC$663)-ROW(DC$615)+1)/(DC$615:DC$663&lt;&gt;""),ROWS(DI$1:DI16))),"")</f>
        <v>13</v>
      </c>
      <c r="DJ630" s="165">
        <f>IFERROR(INDEX(DD$615:DD$663,_xlfn.AGGREGATE(15,6,(ROW(DD$615:DD$663)-ROW(DD$615)+1)/(DD$615:DD$663&lt;&gt;""),ROWS(DJ$1:DJ16))),"")</f>
        <v>183.77881402265078</v>
      </c>
      <c r="DK630" s="166">
        <f t="shared" si="336"/>
        <v>630</v>
      </c>
      <c r="DL630" s="164">
        <f>IFERROR(INDEX(DE$615:DE$663,_xlfn.AGGREGATE(15,6,(ROW(DE$615:DE$663)-ROW(DE$615)+1)/(DE$615:DE$663&lt;&gt;""),ROWS(DL$1:DL16))),"")</f>
        <v>13</v>
      </c>
      <c r="DM630" s="165">
        <f>IFERROR(INDEX(DF$615:DF$663,_xlfn.AGGREGATE(15,6,(ROW(DF$615:DF$663)-ROW(DF$615)+1)/(DF$615:DF$663&lt;&gt;""),ROWS(DM$1:DM16))),"")</f>
        <v>263.20235363926804</v>
      </c>
      <c r="DN630" s="166">
        <f t="shared" si="337"/>
        <v>630</v>
      </c>
      <c r="DO630" s="164">
        <f>IFERROR(INDEX(DG$615:DG$663,_xlfn.AGGREGATE(15,6,(ROW(DG$615:DG$663)-ROW(DG$615)+1)/(DG$615:DG$663&lt;&gt;""),ROWS(DO$1:DO16))),"")</f>
        <v>13</v>
      </c>
      <c r="DP630" s="165">
        <f>IFERROR(INDEX(DH$615:DH$663,_xlfn.AGGREGATE(15,6,(ROW(DH$615:DH$663)-ROW(DH$615)+1)/(DH$615:DH$663&lt;&gt;""),ROWS(DP$1:DP16))),"")</f>
        <v>342.62589325588533</v>
      </c>
      <c r="DQ630" s="166">
        <f t="shared" si="338"/>
        <v>630</v>
      </c>
      <c r="DR630" s="65"/>
      <c r="DV630" s="145">
        <v>2030</v>
      </c>
      <c r="DW630" s="235">
        <f t="shared" ca="1" si="322"/>
        <v>276.77983825355085</v>
      </c>
    </row>
    <row r="631" spans="1:135" ht="13.8" x14ac:dyDescent="0.45">
      <c r="A631" s="321" t="str">
        <f>$A$62</f>
        <v>Base Cases</v>
      </c>
      <c r="B631" s="128">
        <v>2028</v>
      </c>
      <c r="C631" s="912">
        <v>298.32214742857138</v>
      </c>
      <c r="D631" s="960">
        <v>351.80587242466936</v>
      </c>
      <c r="E631" s="292"/>
      <c r="F631" s="914"/>
      <c r="G631" s="320"/>
      <c r="H631" s="292"/>
      <c r="I631" s="1112">
        <v>156.1621621621621</v>
      </c>
      <c r="J631" s="320"/>
      <c r="K631" s="292"/>
      <c r="L631" s="293"/>
      <c r="M631" s="292"/>
      <c r="N631" s="29" t="s">
        <v>119</v>
      </c>
      <c r="O631" s="120"/>
      <c r="P631" s="120"/>
      <c r="Q631" s="120"/>
      <c r="R631" s="29">
        <v>14</v>
      </c>
      <c r="S631" s="317">
        <f t="shared" si="323"/>
        <v>156.1621621621621</v>
      </c>
      <c r="T631" s="317">
        <f t="shared" si="324"/>
        <v>351.80587242466936</v>
      </c>
      <c r="U631" s="317">
        <f t="shared" si="325"/>
        <v>82.560706026053495</v>
      </c>
      <c r="W631" s="317">
        <f t="shared" si="326"/>
        <v>186.20268797908079</v>
      </c>
      <c r="X631" s="317">
        <f t="shared" si="327"/>
        <v>268.76339400513427</v>
      </c>
      <c r="Y631" s="317">
        <f t="shared" si="328"/>
        <v>351.32410003118775</v>
      </c>
      <c r="AA631" s="114"/>
      <c r="AB631" s="114"/>
      <c r="AC631" s="114"/>
      <c r="AD631" s="114"/>
      <c r="AE631" s="114"/>
      <c r="AF631" s="114"/>
      <c r="AG631" s="114"/>
      <c r="AH631" s="114"/>
      <c r="AI631" s="114"/>
      <c r="AJ631" s="114"/>
      <c r="AK631" s="114"/>
      <c r="AL631" s="114"/>
      <c r="AM631" s="114"/>
      <c r="AN631" s="114"/>
      <c r="BR631" s="180">
        <v>2026</v>
      </c>
      <c r="BS631" s="22">
        <v>12</v>
      </c>
      <c r="BT631" s="318">
        <f t="shared" si="339"/>
        <v>74.577188316526232</v>
      </c>
      <c r="BU631" s="319">
        <f t="shared" si="340"/>
        <v>197.08859710304145</v>
      </c>
      <c r="BV631" s="205">
        <f t="shared" si="341"/>
        <v>271.66578541956767</v>
      </c>
      <c r="BY631" s="180">
        <v>2026</v>
      </c>
      <c r="BZ631" s="22">
        <v>12</v>
      </c>
      <c r="CA631" s="318">
        <f t="shared" ca="1" si="342"/>
        <v>15.060816667658385</v>
      </c>
      <c r="CB631" s="318">
        <f t="shared" ca="1" si="343"/>
        <v>19.354193868445492</v>
      </c>
      <c r="CC631" s="319">
        <f t="shared" ca="1" si="354"/>
        <v>226.79187441981213</v>
      </c>
      <c r="CD631" s="205">
        <f t="shared" ca="1" si="344"/>
        <v>261.206884955916</v>
      </c>
      <c r="CG631" s="180">
        <v>2026</v>
      </c>
      <c r="CH631" s="22">
        <v>12</v>
      </c>
      <c r="CI631" s="318">
        <f t="shared" ca="1" si="345"/>
        <v>-2.3057905966875198</v>
      </c>
      <c r="CJ631" s="318">
        <f t="shared" ca="1" si="346"/>
        <v>27.742664949439735</v>
      </c>
      <c r="CK631" s="318">
        <f t="shared" ca="1" si="347"/>
        <v>1.8654126899586236</v>
      </c>
      <c r="CL631" s="319">
        <f t="shared" ca="1" si="348"/>
        <v>230.43790580082432</v>
      </c>
      <c r="CM631" s="205">
        <f t="shared" ca="1" si="349"/>
        <v>257.74019284353517</v>
      </c>
      <c r="CP631" s="180">
        <v>2026</v>
      </c>
      <c r="CQ631" s="22">
        <v>12</v>
      </c>
      <c r="CR631" s="318">
        <f t="shared" ca="1" si="350"/>
        <v>214.56777435485824</v>
      </c>
      <c r="CS631" s="319">
        <f t="shared" ca="1" si="351"/>
        <v>1.2482949741118132</v>
      </c>
      <c r="CT631" s="205">
        <f t="shared" ca="1" si="352"/>
        <v>267.84387433352714</v>
      </c>
      <c r="CZ631" s="164" t="b">
        <f t="shared" si="329"/>
        <v>1</v>
      </c>
      <c r="DA631" s="165" t="b">
        <f t="shared" si="329"/>
        <v>1</v>
      </c>
      <c r="DB631" s="166" t="b">
        <f t="shared" si="329"/>
        <v>1</v>
      </c>
      <c r="DC631" s="164">
        <f t="shared" si="330"/>
        <v>14</v>
      </c>
      <c r="DD631" s="166">
        <f t="shared" si="331"/>
        <v>186.20268797908079</v>
      </c>
      <c r="DE631" s="164">
        <f t="shared" si="332"/>
        <v>14</v>
      </c>
      <c r="DF631" s="166">
        <f t="shared" si="333"/>
        <v>268.76339400513427</v>
      </c>
      <c r="DG631" s="164">
        <f t="shared" si="334"/>
        <v>14</v>
      </c>
      <c r="DH631" s="166">
        <f t="shared" si="335"/>
        <v>351.32410003118775</v>
      </c>
      <c r="DI631" s="164">
        <f>IFERROR(INDEX(DC$615:DC$663,_xlfn.AGGREGATE(15,6,(ROW(DC$615:DC$663)-ROW(DC$615)+1)/(DC$615:DC$663&lt;&gt;""),ROWS(DI$1:DI17))),"")</f>
        <v>14</v>
      </c>
      <c r="DJ631" s="165">
        <f>IFERROR(INDEX(DD$615:DD$663,_xlfn.AGGREGATE(15,6,(ROW(DD$615:DD$663)-ROW(DD$615)+1)/(DD$615:DD$663&lt;&gt;""),ROWS(DJ$1:DJ17))),"")</f>
        <v>186.20268797908079</v>
      </c>
      <c r="DK631" s="166">
        <f t="shared" si="336"/>
        <v>631</v>
      </c>
      <c r="DL631" s="164">
        <f>IFERROR(INDEX(DE$615:DE$663,_xlfn.AGGREGATE(15,6,(ROW(DE$615:DE$663)-ROW(DE$615)+1)/(DE$615:DE$663&lt;&gt;""),ROWS(DL$1:DL17))),"")</f>
        <v>14</v>
      </c>
      <c r="DM631" s="165">
        <f>IFERROR(INDEX(DF$615:DF$663,_xlfn.AGGREGATE(15,6,(ROW(DF$615:DF$663)-ROW(DF$615)+1)/(DF$615:DF$663&lt;&gt;""),ROWS(DM$1:DM17))),"")</f>
        <v>268.76339400513427</v>
      </c>
      <c r="DN631" s="166">
        <f t="shared" si="337"/>
        <v>631</v>
      </c>
      <c r="DO631" s="164">
        <f>IFERROR(INDEX(DG$615:DG$663,_xlfn.AGGREGATE(15,6,(ROW(DG$615:DG$663)-ROW(DG$615)+1)/(DG$615:DG$663&lt;&gt;""),ROWS(DO$1:DO17))),"")</f>
        <v>14</v>
      </c>
      <c r="DP631" s="165">
        <f>IFERROR(INDEX(DH$615:DH$663,_xlfn.AGGREGATE(15,6,(ROW(DH$615:DH$663)-ROW(DH$615)+1)/(DH$615:DH$663&lt;&gt;""),ROWS(DP$1:DP17))),"")</f>
        <v>351.32410003118775</v>
      </c>
      <c r="DQ631" s="166">
        <f t="shared" si="338"/>
        <v>631</v>
      </c>
      <c r="DR631" s="65"/>
      <c r="DV631" s="145">
        <v>2031</v>
      </c>
      <c r="DW631" s="235">
        <f t="shared" ca="1" si="322"/>
        <v>282.20280343285555</v>
      </c>
    </row>
    <row r="632" spans="1:135" ht="13.8" x14ac:dyDescent="0.45">
      <c r="A632" s="322" t="str">
        <f>$A$63</f>
        <v>Conservative Cases</v>
      </c>
      <c r="B632" s="128">
        <v>2029</v>
      </c>
      <c r="C632" s="912">
        <v>303.01107371428571</v>
      </c>
      <c r="D632" s="960">
        <v>362.5270686531104</v>
      </c>
      <c r="E632" s="292"/>
      <c r="F632" s="914"/>
      <c r="G632" s="320"/>
      <c r="H632" s="292"/>
      <c r="I632" s="1112">
        <v>157.97297297297291</v>
      </c>
      <c r="J632" s="320"/>
      <c r="K632" s="292"/>
      <c r="L632" s="293"/>
      <c r="M632" s="292"/>
      <c r="N632" s="29" t="s">
        <v>119</v>
      </c>
      <c r="O632" s="120"/>
      <c r="P632" s="120"/>
      <c r="Q632" s="120"/>
      <c r="R632" s="29">
        <v>15</v>
      </c>
      <c r="S632" s="317">
        <f t="shared" si="323"/>
        <v>157.97297297297291</v>
      </c>
      <c r="T632" s="317">
        <f t="shared" si="324"/>
        <v>362.5270686531104</v>
      </c>
      <c r="U632" s="317">
        <f t="shared" si="325"/>
        <v>85.907303000724269</v>
      </c>
      <c r="W632" s="317">
        <f t="shared" si="326"/>
        <v>188.59640211273211</v>
      </c>
      <c r="X632" s="317">
        <f t="shared" si="327"/>
        <v>274.50370511345636</v>
      </c>
      <c r="Y632" s="317">
        <f t="shared" si="328"/>
        <v>360.41100811418062</v>
      </c>
      <c r="AA632" s="89"/>
      <c r="AB632" s="89"/>
      <c r="AC632" s="89"/>
      <c r="AD632" s="89"/>
      <c r="AE632" s="89"/>
      <c r="AF632" s="89"/>
      <c r="AG632" s="89"/>
      <c r="AH632" s="89"/>
      <c r="AI632" s="89"/>
      <c r="AJ632" s="89"/>
      <c r="AK632" s="89"/>
      <c r="AL632" s="89"/>
      <c r="AM632" s="89"/>
      <c r="AN632" s="89"/>
      <c r="BR632" s="180">
        <v>2027</v>
      </c>
      <c r="BS632" s="22">
        <v>13</v>
      </c>
      <c r="BT632" s="318">
        <f t="shared" si="339"/>
        <v>80.791954009570077</v>
      </c>
      <c r="BU632" s="319">
        <f t="shared" si="340"/>
        <v>197.08859710304145</v>
      </c>
      <c r="BV632" s="205">
        <f t="shared" si="341"/>
        <v>277.88055111261156</v>
      </c>
      <c r="BY632" s="180">
        <v>2027</v>
      </c>
      <c r="BZ632" s="22">
        <v>13</v>
      </c>
      <c r="CA632" s="318">
        <f t="shared" ca="1" si="342"/>
        <v>17.675541783571298</v>
      </c>
      <c r="CB632" s="318">
        <f t="shared" ca="1" si="343"/>
        <v>20.967043357482616</v>
      </c>
      <c r="CC632" s="319">
        <f t="shared" ca="1" si="354"/>
        <v>226.79187441981213</v>
      </c>
      <c r="CD632" s="205">
        <f t="shared" ca="1" si="344"/>
        <v>265.43445956086606</v>
      </c>
      <c r="CG632" s="180">
        <v>2027</v>
      </c>
      <c r="CH632" s="22">
        <v>13</v>
      </c>
      <c r="CI632" s="318">
        <f t="shared" ca="1" si="345"/>
        <v>-2.9316099195153247</v>
      </c>
      <c r="CJ632" s="318">
        <f t="shared" ca="1" si="346"/>
        <v>32.559099836495243</v>
      </c>
      <c r="CK632" s="318">
        <f t="shared" ca="1" si="347"/>
        <v>2.0208637474551754</v>
      </c>
      <c r="CL632" s="319">
        <f t="shared" ca="1" si="348"/>
        <v>230.43790580082432</v>
      </c>
      <c r="CM632" s="205">
        <f t="shared" ca="1" si="349"/>
        <v>262.08625946525945</v>
      </c>
      <c r="CP632" s="180">
        <v>2027</v>
      </c>
      <c r="CQ632" s="22">
        <v>13</v>
      </c>
      <c r="CR632" s="318">
        <f t="shared" ca="1" si="350"/>
        <v>214.56777435485824</v>
      </c>
      <c r="CS632" s="319">
        <f t="shared" ca="1" si="351"/>
        <v>1.2715799080939096</v>
      </c>
      <c r="CT632" s="205">
        <f t="shared" ca="1" si="352"/>
        <v>272.84007079406541</v>
      </c>
      <c r="CZ632" s="164" t="b">
        <f t="shared" si="329"/>
        <v>1</v>
      </c>
      <c r="DA632" s="165" t="b">
        <f t="shared" si="329"/>
        <v>1</v>
      </c>
      <c r="DB632" s="166" t="b">
        <f t="shared" si="329"/>
        <v>1</v>
      </c>
      <c r="DC632" s="164">
        <f t="shared" si="330"/>
        <v>15</v>
      </c>
      <c r="DD632" s="166">
        <f t="shared" si="331"/>
        <v>188.59640211273211</v>
      </c>
      <c r="DE632" s="164">
        <f t="shared" si="332"/>
        <v>15</v>
      </c>
      <c r="DF632" s="166">
        <f t="shared" si="333"/>
        <v>274.50370511345636</v>
      </c>
      <c r="DG632" s="164">
        <f t="shared" si="334"/>
        <v>15</v>
      </c>
      <c r="DH632" s="166">
        <f t="shared" si="335"/>
        <v>360.41100811418062</v>
      </c>
      <c r="DI632" s="164">
        <f>IFERROR(INDEX(DC$615:DC$663,_xlfn.AGGREGATE(15,6,(ROW(DC$615:DC$663)-ROW(DC$615)+1)/(DC$615:DC$663&lt;&gt;""),ROWS(DI$1:DI18))),"")</f>
        <v>15</v>
      </c>
      <c r="DJ632" s="165">
        <f>IFERROR(INDEX(DD$615:DD$663,_xlfn.AGGREGATE(15,6,(ROW(DD$615:DD$663)-ROW(DD$615)+1)/(DD$615:DD$663&lt;&gt;""),ROWS(DJ$1:DJ18))),"")</f>
        <v>188.59640211273211</v>
      </c>
      <c r="DK632" s="166">
        <f t="shared" si="336"/>
        <v>632</v>
      </c>
      <c r="DL632" s="164">
        <f>IFERROR(INDEX(DE$615:DE$663,_xlfn.AGGREGATE(15,6,(ROW(DE$615:DE$663)-ROW(DE$615)+1)/(DE$615:DE$663&lt;&gt;""),ROWS(DL$1:DL18))),"")</f>
        <v>15</v>
      </c>
      <c r="DM632" s="165">
        <f>IFERROR(INDEX(DF$615:DF$663,_xlfn.AGGREGATE(15,6,(ROW(DF$615:DF$663)-ROW(DF$615)+1)/(DF$615:DF$663&lt;&gt;""),ROWS(DM$1:DM18))),"")</f>
        <v>274.50370511345636</v>
      </c>
      <c r="DN632" s="166">
        <f t="shared" si="337"/>
        <v>632</v>
      </c>
      <c r="DO632" s="164">
        <f>IFERROR(INDEX(DG$615:DG$663,_xlfn.AGGREGATE(15,6,(ROW(DG$615:DG$663)-ROW(DG$615)+1)/(DG$615:DG$663&lt;&gt;""),ROWS(DO$1:DO18))),"")</f>
        <v>15</v>
      </c>
      <c r="DP632" s="165">
        <f>IFERROR(INDEX(DH$615:DH$663,_xlfn.AGGREGATE(15,6,(ROW(DH$615:DH$663)-ROW(DH$615)+1)/(DH$615:DH$663&lt;&gt;""),ROWS(DP$1:DP18))),"")</f>
        <v>360.41100811418062</v>
      </c>
      <c r="DQ632" s="166">
        <f t="shared" si="338"/>
        <v>632</v>
      </c>
      <c r="DR632" s="65"/>
      <c r="DV632" s="145">
        <v>2032</v>
      </c>
      <c r="DW632" s="235">
        <f t="shared" ca="1" si="322"/>
        <v>287.87497770818129</v>
      </c>
    </row>
    <row r="633" spans="1:135" ht="13.8" x14ac:dyDescent="0.45">
      <c r="A633" s="323" t="str">
        <f>$A$64</f>
        <v>Ambitious Cases</v>
      </c>
      <c r="B633" s="128">
        <v>2030</v>
      </c>
      <c r="C633" s="912">
        <v>307.7</v>
      </c>
      <c r="D633" s="960">
        <v>373.78607710891879</v>
      </c>
      <c r="E633" s="292"/>
      <c r="F633" s="914"/>
      <c r="G633" s="320"/>
      <c r="H633" s="292"/>
      <c r="I633" s="1112">
        <v>159.78378378378372</v>
      </c>
      <c r="J633" s="320"/>
      <c r="K633" s="292"/>
      <c r="L633" s="293"/>
      <c r="M633" s="292"/>
      <c r="N633" s="29" t="s">
        <v>119</v>
      </c>
      <c r="O633" s="120"/>
      <c r="P633" s="120"/>
      <c r="Q633" s="120"/>
      <c r="R633" s="29">
        <v>16</v>
      </c>
      <c r="S633" s="317">
        <f t="shared" si="323"/>
        <v>159.78378378378372</v>
      </c>
      <c r="T633" s="317">
        <f t="shared" si="324"/>
        <v>373.78607710891879</v>
      </c>
      <c r="U633" s="317">
        <f t="shared" si="325"/>
        <v>89.469770286322245</v>
      </c>
      <c r="W633" s="317">
        <f t="shared" si="326"/>
        <v>190.95351667791195</v>
      </c>
      <c r="X633" s="317">
        <f t="shared" si="327"/>
        <v>280.42328696423419</v>
      </c>
      <c r="Y633" s="317">
        <f t="shared" si="328"/>
        <v>369.89305725055647</v>
      </c>
      <c r="AA633" s="89"/>
      <c r="AB633" s="89"/>
      <c r="AC633" s="89"/>
      <c r="AD633" s="89"/>
      <c r="AE633" s="89"/>
      <c r="AF633" s="89"/>
      <c r="AG633" s="89"/>
      <c r="AH633" s="89"/>
      <c r="AI633" s="89"/>
      <c r="AJ633" s="89"/>
      <c r="AK633" s="89"/>
      <c r="AL633" s="89"/>
      <c r="AM633" s="89"/>
      <c r="AN633" s="89"/>
      <c r="BR633" s="180">
        <v>2028</v>
      </c>
      <c r="BS633" s="22">
        <v>14</v>
      </c>
      <c r="BT633" s="318">
        <f t="shared" si="339"/>
        <v>87.006719702613935</v>
      </c>
      <c r="BU633" s="319">
        <f t="shared" si="340"/>
        <v>197.08859710304145</v>
      </c>
      <c r="BV633" s="205">
        <f t="shared" si="341"/>
        <v>284.09531680565539</v>
      </c>
      <c r="BY633" s="180">
        <v>2028</v>
      </c>
      <c r="BZ633" s="22">
        <v>14</v>
      </c>
      <c r="CA633" s="318">
        <f t="shared" ca="1" si="342"/>
        <v>20.499444908757248</v>
      </c>
      <c r="CB633" s="318">
        <f t="shared" ca="1" si="343"/>
        <v>22.579892846519741</v>
      </c>
      <c r="CC633" s="319">
        <f t="shared" ca="1" si="354"/>
        <v>226.79187441981213</v>
      </c>
      <c r="CD633" s="205">
        <f t="shared" ca="1" si="344"/>
        <v>269.87121217508911</v>
      </c>
      <c r="CG633" s="180">
        <v>2028</v>
      </c>
      <c r="CH633" s="22">
        <v>14</v>
      </c>
      <c r="CI633" s="318">
        <f t="shared" ca="1" si="345"/>
        <v>-3.6615100678880523</v>
      </c>
      <c r="CJ633" s="318">
        <f t="shared" ca="1" si="346"/>
        <v>37.760849514515193</v>
      </c>
      <c r="CK633" s="318">
        <f t="shared" ca="1" si="347"/>
        <v>2.1763148049517276</v>
      </c>
      <c r="CL633" s="319">
        <f t="shared" ca="1" si="348"/>
        <v>230.43790580082432</v>
      </c>
      <c r="CM633" s="205">
        <f t="shared" ca="1" si="349"/>
        <v>266.71356005240318</v>
      </c>
      <c r="CP633" s="180">
        <v>2028</v>
      </c>
      <c r="CQ633" s="22">
        <v>14</v>
      </c>
      <c r="CR633" s="318">
        <f t="shared" ca="1" si="350"/>
        <v>214.56777435485824</v>
      </c>
      <c r="CS633" s="319">
        <f t="shared" ca="1" si="351"/>
        <v>1.2952991850492575</v>
      </c>
      <c r="CT633" s="205">
        <f t="shared" ca="1" si="352"/>
        <v>277.92946325968086</v>
      </c>
      <c r="CZ633" s="164" t="b">
        <f t="shared" si="329"/>
        <v>1</v>
      </c>
      <c r="DA633" s="165" t="b">
        <f t="shared" si="329"/>
        <v>1</v>
      </c>
      <c r="DB633" s="166" t="b">
        <f t="shared" si="329"/>
        <v>1</v>
      </c>
      <c r="DC633" s="164">
        <f t="shared" si="330"/>
        <v>16</v>
      </c>
      <c r="DD633" s="166">
        <f t="shared" si="331"/>
        <v>190.95351667791195</v>
      </c>
      <c r="DE633" s="164">
        <f t="shared" si="332"/>
        <v>16</v>
      </c>
      <c r="DF633" s="166">
        <f t="shared" si="333"/>
        <v>280.42328696423419</v>
      </c>
      <c r="DG633" s="164">
        <f t="shared" si="334"/>
        <v>16</v>
      </c>
      <c r="DH633" s="166">
        <f t="shared" si="335"/>
        <v>369.89305725055647</v>
      </c>
      <c r="DI633" s="164">
        <f>IFERROR(INDEX(DC$615:DC$663,_xlfn.AGGREGATE(15,6,(ROW(DC$615:DC$663)-ROW(DC$615)+1)/(DC$615:DC$663&lt;&gt;""),ROWS(DI$1:DI19))),"")</f>
        <v>16</v>
      </c>
      <c r="DJ633" s="165">
        <f>IFERROR(INDEX(DD$615:DD$663,_xlfn.AGGREGATE(15,6,(ROW(DD$615:DD$663)-ROW(DD$615)+1)/(DD$615:DD$663&lt;&gt;""),ROWS(DJ$1:DJ19))),"")</f>
        <v>190.95351667791195</v>
      </c>
      <c r="DK633" s="166">
        <f t="shared" si="336"/>
        <v>633</v>
      </c>
      <c r="DL633" s="164">
        <f>IFERROR(INDEX(DE$615:DE$663,_xlfn.AGGREGATE(15,6,(ROW(DE$615:DE$663)-ROW(DE$615)+1)/(DE$615:DE$663&lt;&gt;""),ROWS(DL$1:DL19))),"")</f>
        <v>16</v>
      </c>
      <c r="DM633" s="165">
        <f>IFERROR(INDEX(DF$615:DF$663,_xlfn.AGGREGATE(15,6,(ROW(DF$615:DF$663)-ROW(DF$615)+1)/(DF$615:DF$663&lt;&gt;""),ROWS(DM$1:DM19))),"")</f>
        <v>280.42328696423419</v>
      </c>
      <c r="DN633" s="166">
        <f t="shared" si="337"/>
        <v>633</v>
      </c>
      <c r="DO633" s="164">
        <f>IFERROR(INDEX(DG$615:DG$663,_xlfn.AGGREGATE(15,6,(ROW(DG$615:DG$663)-ROW(DG$615)+1)/(DG$615:DG$663&lt;&gt;""),ROWS(DO$1:DO19))),"")</f>
        <v>16</v>
      </c>
      <c r="DP633" s="165">
        <f>IFERROR(INDEX(DH$615:DH$663,_xlfn.AGGREGATE(15,6,(ROW(DH$615:DH$663)-ROW(DH$615)+1)/(DH$615:DH$663&lt;&gt;""),ROWS(DP$1:DP19))),"")</f>
        <v>369.89305725055647</v>
      </c>
      <c r="DQ633" s="166">
        <f t="shared" si="338"/>
        <v>633</v>
      </c>
      <c r="DR633" s="65"/>
      <c r="DV633" s="145">
        <v>2033</v>
      </c>
      <c r="DW633" s="235">
        <f t="shared" ca="1" si="322"/>
        <v>293.78835486217849</v>
      </c>
    </row>
    <row r="634" spans="1:135" ht="13.8" x14ac:dyDescent="0.45">
      <c r="A634" s="324" t="str">
        <f>$A$65</f>
        <v>Maximum Cases</v>
      </c>
      <c r="B634" s="128">
        <v>2031</v>
      </c>
      <c r="C634" s="912">
        <v>310.13</v>
      </c>
      <c r="D634" s="960">
        <v>385.5828977920944</v>
      </c>
      <c r="E634" s="292"/>
      <c r="F634" s="914"/>
      <c r="G634" s="320"/>
      <c r="H634" s="292"/>
      <c r="I634" s="1112">
        <v>161.59459459459453</v>
      </c>
      <c r="J634" s="320"/>
      <c r="K634" s="292"/>
      <c r="L634" s="293"/>
      <c r="M634" s="292"/>
      <c r="N634" s="29" t="s">
        <v>119</v>
      </c>
      <c r="O634" s="120"/>
      <c r="P634" s="120"/>
      <c r="Q634" s="120"/>
      <c r="R634" s="29">
        <v>17</v>
      </c>
      <c r="S634" s="317">
        <f t="shared" si="323"/>
        <v>161.59459459459453</v>
      </c>
      <c r="T634" s="317">
        <f t="shared" si="324"/>
        <v>385.5828977920944</v>
      </c>
      <c r="U634" s="317">
        <f t="shared" si="325"/>
        <v>93.051160607406189</v>
      </c>
      <c r="W634" s="317">
        <f t="shared" si="326"/>
        <v>192.71800352149012</v>
      </c>
      <c r="X634" s="317">
        <f t="shared" si="327"/>
        <v>285.76916412889631</v>
      </c>
      <c r="Y634" s="317">
        <f t="shared" si="328"/>
        <v>378.8203247363025</v>
      </c>
      <c r="AA634" s="89"/>
      <c r="AB634" s="89"/>
      <c r="AC634" s="89"/>
      <c r="AD634" s="89"/>
      <c r="AE634" s="89"/>
      <c r="AF634" s="89"/>
      <c r="AG634" s="89"/>
      <c r="AH634" s="89"/>
      <c r="AI634" s="89"/>
      <c r="AJ634" s="89"/>
      <c r="AK634" s="89"/>
      <c r="AL634" s="89"/>
      <c r="AM634" s="89"/>
      <c r="AN634" s="89"/>
      <c r="BR634" s="180">
        <v>2029</v>
      </c>
      <c r="BS634" s="22">
        <v>15</v>
      </c>
      <c r="BT634" s="318">
        <f t="shared" si="339"/>
        <v>93.22148539565778</v>
      </c>
      <c r="BU634" s="319">
        <f t="shared" si="340"/>
        <v>197.08859710304145</v>
      </c>
      <c r="BV634" s="205">
        <f t="shared" si="341"/>
        <v>290.31008249869922</v>
      </c>
      <c r="BY634" s="180">
        <v>2029</v>
      </c>
      <c r="BZ634" s="22">
        <v>15</v>
      </c>
      <c r="CA634" s="318">
        <f t="shared" ca="1" si="342"/>
        <v>23.532526043216226</v>
      </c>
      <c r="CB634" s="318">
        <f t="shared" ca="1" si="343"/>
        <v>24.192742335556865</v>
      </c>
      <c r="CC634" s="319">
        <f t="shared" ca="1" si="354"/>
        <v>226.79187441981213</v>
      </c>
      <c r="CD634" s="205">
        <f t="shared" ca="1" si="344"/>
        <v>274.51714279858521</v>
      </c>
      <c r="CG634" s="180">
        <v>2029</v>
      </c>
      <c r="CH634" s="22">
        <v>15</v>
      </c>
      <c r="CI634" s="318">
        <f t="shared" ca="1" si="345"/>
        <v>-4.5034972591553117</v>
      </c>
      <c r="CJ634" s="318">
        <f t="shared" ca="1" si="346"/>
        <v>43.347913983499588</v>
      </c>
      <c r="CK634" s="318">
        <f t="shared" ca="1" si="347"/>
        <v>2.3317658624482798</v>
      </c>
      <c r="CL634" s="319">
        <f t="shared" ca="1" si="348"/>
        <v>230.43790580082432</v>
      </c>
      <c r="CM634" s="205">
        <f t="shared" ca="1" si="349"/>
        <v>271.6140883876169</v>
      </c>
      <c r="CP634" s="180">
        <v>2029</v>
      </c>
      <c r="CQ634" s="22">
        <v>15</v>
      </c>
      <c r="CR634" s="318">
        <f t="shared" ca="1" si="350"/>
        <v>214.56777435485824</v>
      </c>
      <c r="CS634" s="319">
        <f t="shared" ca="1" si="351"/>
        <v>1.3194609069470769</v>
      </c>
      <c r="CT634" s="205">
        <f t="shared" ca="1" si="352"/>
        <v>283.11379015187697</v>
      </c>
      <c r="CZ634" s="164" t="b">
        <f t="shared" si="329"/>
        <v>1</v>
      </c>
      <c r="DA634" s="165" t="b">
        <f t="shared" si="329"/>
        <v>1</v>
      </c>
      <c r="DB634" s="166" t="b">
        <f t="shared" si="329"/>
        <v>1</v>
      </c>
      <c r="DC634" s="164">
        <f t="shared" si="330"/>
        <v>17</v>
      </c>
      <c r="DD634" s="166">
        <f t="shared" si="331"/>
        <v>192.71800352149012</v>
      </c>
      <c r="DE634" s="164">
        <f t="shared" si="332"/>
        <v>17</v>
      </c>
      <c r="DF634" s="166">
        <f t="shared" si="333"/>
        <v>285.76916412889631</v>
      </c>
      <c r="DG634" s="164">
        <f t="shared" si="334"/>
        <v>17</v>
      </c>
      <c r="DH634" s="166">
        <f t="shared" si="335"/>
        <v>378.8203247363025</v>
      </c>
      <c r="DI634" s="164">
        <f>IFERROR(INDEX(DC$615:DC$663,_xlfn.AGGREGATE(15,6,(ROW(DC$615:DC$663)-ROW(DC$615)+1)/(DC$615:DC$663&lt;&gt;""),ROWS(DI$1:DI20))),"")</f>
        <v>17</v>
      </c>
      <c r="DJ634" s="165">
        <f>IFERROR(INDEX(DD$615:DD$663,_xlfn.AGGREGATE(15,6,(ROW(DD$615:DD$663)-ROW(DD$615)+1)/(DD$615:DD$663&lt;&gt;""),ROWS(DJ$1:DJ20))),"")</f>
        <v>192.71800352149012</v>
      </c>
      <c r="DK634" s="166">
        <f t="shared" si="336"/>
        <v>634</v>
      </c>
      <c r="DL634" s="164">
        <f>IFERROR(INDEX(DE$615:DE$663,_xlfn.AGGREGATE(15,6,(ROW(DE$615:DE$663)-ROW(DE$615)+1)/(DE$615:DE$663&lt;&gt;""),ROWS(DL$1:DL20))),"")</f>
        <v>17</v>
      </c>
      <c r="DM634" s="165">
        <f>IFERROR(INDEX(DF$615:DF$663,_xlfn.AGGREGATE(15,6,(ROW(DF$615:DF$663)-ROW(DF$615)+1)/(DF$615:DF$663&lt;&gt;""),ROWS(DM$1:DM20))),"")</f>
        <v>285.76916412889631</v>
      </c>
      <c r="DN634" s="166">
        <f t="shared" si="337"/>
        <v>634</v>
      </c>
      <c r="DO634" s="164">
        <f>IFERROR(INDEX(DG$615:DG$663,_xlfn.AGGREGATE(15,6,(ROW(DG$615:DG$663)-ROW(DG$615)+1)/(DG$615:DG$663&lt;&gt;""),ROWS(DO$1:DO20))),"")</f>
        <v>17</v>
      </c>
      <c r="DP634" s="165">
        <f>IFERROR(INDEX(DH$615:DH$663,_xlfn.AGGREGATE(15,6,(ROW(DH$615:DH$663)-ROW(DH$615)+1)/(DH$615:DH$663&lt;&gt;""),ROWS(DP$1:DP20))),"")</f>
        <v>378.8203247363025</v>
      </c>
      <c r="DQ634" s="166">
        <f t="shared" si="338"/>
        <v>634</v>
      </c>
      <c r="DR634" s="65"/>
      <c r="DV634" s="145">
        <v>2034</v>
      </c>
      <c r="DW634" s="235">
        <f t="shared" ca="1" si="322"/>
        <v>299.93492867749757</v>
      </c>
    </row>
    <row r="635" spans="1:135" ht="13.8" x14ac:dyDescent="0.45">
      <c r="B635" s="128">
        <v>2032</v>
      </c>
      <c r="C635" s="912">
        <v>312.56</v>
      </c>
      <c r="D635" s="960">
        <v>397.91753070263729</v>
      </c>
      <c r="E635" s="292"/>
      <c r="F635" s="914"/>
      <c r="G635" s="320"/>
      <c r="H635" s="292"/>
      <c r="I635" s="1112">
        <v>163.40540540540533</v>
      </c>
      <c r="J635" s="320"/>
      <c r="K635" s="292"/>
      <c r="L635" s="293"/>
      <c r="M635" s="292"/>
      <c r="N635" s="29" t="s">
        <v>119</v>
      </c>
      <c r="O635" s="120"/>
      <c r="P635" s="120"/>
      <c r="Q635" s="120"/>
      <c r="R635" s="29">
        <v>18</v>
      </c>
      <c r="S635" s="317">
        <f t="shared" si="323"/>
        <v>163.40540540540533</v>
      </c>
      <c r="T635" s="317">
        <f t="shared" si="324"/>
        <v>397.91753070263729</v>
      </c>
      <c r="U635" s="317">
        <f t="shared" si="325"/>
        <v>96.912869256504052</v>
      </c>
      <c r="W635" s="317">
        <f t="shared" si="326"/>
        <v>194.38144277951017</v>
      </c>
      <c r="X635" s="317">
        <f t="shared" si="327"/>
        <v>291.29431203601422</v>
      </c>
      <c r="Y635" s="317">
        <f t="shared" si="328"/>
        <v>388.20718129251827</v>
      </c>
      <c r="AA635" s="89"/>
      <c r="AB635" s="89"/>
      <c r="AC635" s="89"/>
      <c r="AD635" s="89"/>
      <c r="AE635" s="89"/>
      <c r="AF635" s="89"/>
      <c r="AG635" s="89"/>
      <c r="AH635" s="89"/>
      <c r="AI635" s="89"/>
      <c r="AJ635" s="89"/>
      <c r="AK635" s="89"/>
      <c r="AL635" s="89"/>
      <c r="AM635" s="89"/>
      <c r="AN635" s="89"/>
      <c r="BR635" s="180">
        <v>2030</v>
      </c>
      <c r="BS635" s="22">
        <v>16</v>
      </c>
      <c r="BT635" s="318">
        <f t="shared" si="339"/>
        <v>99.436251088701638</v>
      </c>
      <c r="BU635" s="319">
        <f t="shared" si="340"/>
        <v>197.08859710304145</v>
      </c>
      <c r="BV635" s="205">
        <f t="shared" si="341"/>
        <v>296.5248481917431</v>
      </c>
      <c r="BY635" s="180">
        <v>2030</v>
      </c>
      <c r="BZ635" s="22">
        <v>16</v>
      </c>
      <c r="CA635" s="318">
        <f t="shared" ca="1" si="342"/>
        <v>26.77478518694824</v>
      </c>
      <c r="CB635" s="318">
        <f t="shared" ca="1" si="343"/>
        <v>25.805591824593989</v>
      </c>
      <c r="CC635" s="319">
        <f t="shared" ca="1" si="354"/>
        <v>226.79187441981213</v>
      </c>
      <c r="CD635" s="205">
        <f t="shared" ca="1" si="344"/>
        <v>279.37225143135436</v>
      </c>
      <c r="CG635" s="180">
        <v>2030</v>
      </c>
      <c r="CH635" s="22">
        <v>16</v>
      </c>
      <c r="CI635" s="318">
        <f t="shared" ca="1" si="345"/>
        <v>-5.4655777106667136</v>
      </c>
      <c r="CJ635" s="318">
        <f t="shared" ca="1" si="346"/>
        <v>49.320293243448418</v>
      </c>
      <c r="CK635" s="318">
        <f t="shared" ca="1" si="347"/>
        <v>2.4872169199448315</v>
      </c>
      <c r="CL635" s="319">
        <f t="shared" ca="1" si="348"/>
        <v>230.43790580082432</v>
      </c>
      <c r="CM635" s="205">
        <f t="shared" ca="1" si="349"/>
        <v>276.77983825355085</v>
      </c>
      <c r="CP635" s="180">
        <v>2030</v>
      </c>
      <c r="CQ635" s="22">
        <v>16</v>
      </c>
      <c r="CR635" s="318">
        <f t="shared" ca="1" si="350"/>
        <v>214.56777435485824</v>
      </c>
      <c r="CS635" s="319">
        <f t="shared" ca="1" si="351"/>
        <v>1.3440733268857856</v>
      </c>
      <c r="CT635" s="205">
        <f t="shared" ca="1" si="352"/>
        <v>288.3948223196129</v>
      </c>
      <c r="CZ635" s="164" t="b">
        <f t="shared" si="329"/>
        <v>1</v>
      </c>
      <c r="DA635" s="165" t="b">
        <f t="shared" si="329"/>
        <v>1</v>
      </c>
      <c r="DB635" s="166" t="b">
        <f t="shared" si="329"/>
        <v>1</v>
      </c>
      <c r="DC635" s="164">
        <f t="shared" si="330"/>
        <v>18</v>
      </c>
      <c r="DD635" s="166">
        <f t="shared" si="331"/>
        <v>194.38144277951017</v>
      </c>
      <c r="DE635" s="164">
        <f t="shared" si="332"/>
        <v>18</v>
      </c>
      <c r="DF635" s="166">
        <f t="shared" si="333"/>
        <v>291.29431203601422</v>
      </c>
      <c r="DG635" s="164">
        <f t="shared" si="334"/>
        <v>18</v>
      </c>
      <c r="DH635" s="166">
        <f t="shared" si="335"/>
        <v>388.20718129251827</v>
      </c>
      <c r="DI635" s="164">
        <f>IFERROR(INDEX(DC$615:DC$663,_xlfn.AGGREGATE(15,6,(ROW(DC$615:DC$663)-ROW(DC$615)+1)/(DC$615:DC$663&lt;&gt;""),ROWS(DI$1:DI21))),"")</f>
        <v>18</v>
      </c>
      <c r="DJ635" s="165">
        <f>IFERROR(INDEX(DD$615:DD$663,_xlfn.AGGREGATE(15,6,(ROW(DD$615:DD$663)-ROW(DD$615)+1)/(DD$615:DD$663&lt;&gt;""),ROWS(DJ$1:DJ21))),"")</f>
        <v>194.38144277951017</v>
      </c>
      <c r="DK635" s="166">
        <f t="shared" si="336"/>
        <v>635</v>
      </c>
      <c r="DL635" s="164">
        <f>IFERROR(INDEX(DE$615:DE$663,_xlfn.AGGREGATE(15,6,(ROW(DE$615:DE$663)-ROW(DE$615)+1)/(DE$615:DE$663&lt;&gt;""),ROWS(DL$1:DL21))),"")</f>
        <v>18</v>
      </c>
      <c r="DM635" s="165">
        <f>IFERROR(INDEX(DF$615:DF$663,_xlfn.AGGREGATE(15,6,(ROW(DF$615:DF$663)-ROW(DF$615)+1)/(DF$615:DF$663&lt;&gt;""),ROWS(DM$1:DM21))),"")</f>
        <v>291.29431203601422</v>
      </c>
      <c r="DN635" s="166">
        <f t="shared" si="337"/>
        <v>635</v>
      </c>
      <c r="DO635" s="164">
        <f>IFERROR(INDEX(DG$615:DG$663,_xlfn.AGGREGATE(15,6,(ROW(DG$615:DG$663)-ROW(DG$615)+1)/(DG$615:DG$663&lt;&gt;""),ROWS(DO$1:DO21))),"")</f>
        <v>18</v>
      </c>
      <c r="DP635" s="165">
        <f>IFERROR(INDEX(DH$615:DH$663,_xlfn.AGGREGATE(15,6,(ROW(DH$615:DH$663)-ROW(DH$615)+1)/(DH$615:DH$663&lt;&gt;""),ROWS(DP$1:DP21))),"")</f>
        <v>388.20718129251827</v>
      </c>
      <c r="DQ635" s="166">
        <f t="shared" si="338"/>
        <v>635</v>
      </c>
      <c r="DR635" s="65"/>
      <c r="DV635" s="145">
        <v>2035</v>
      </c>
      <c r="DW635" s="235">
        <f t="shared" ca="1" si="322"/>
        <v>306.30669293678892</v>
      </c>
    </row>
    <row r="636" spans="1:135" ht="13.8" x14ac:dyDescent="0.45">
      <c r="B636" s="128">
        <v>2033</v>
      </c>
      <c r="C636" s="912">
        <v>314.99</v>
      </c>
      <c r="D636" s="960">
        <v>410.78997584054753</v>
      </c>
      <c r="E636" s="292"/>
      <c r="F636" s="914"/>
      <c r="G636" s="320"/>
      <c r="H636" s="292"/>
      <c r="I636" s="1112">
        <v>165.21621621621614</v>
      </c>
      <c r="J636" s="320"/>
      <c r="K636" s="292"/>
      <c r="L636" s="293"/>
      <c r="M636" s="292"/>
      <c r="N636" s="29" t="s">
        <v>119</v>
      </c>
      <c r="O636" s="120"/>
      <c r="P636" s="120"/>
      <c r="Q636" s="120"/>
      <c r="R636" s="29">
        <v>19</v>
      </c>
      <c r="S636" s="317">
        <f t="shared" si="323"/>
        <v>165.21621621621614</v>
      </c>
      <c r="T636" s="317">
        <f t="shared" si="324"/>
        <v>410.78997584054753</v>
      </c>
      <c r="U636" s="317">
        <f t="shared" si="325"/>
        <v>101.05899987190655</v>
      </c>
      <c r="W636" s="317">
        <f t="shared" si="326"/>
        <v>195.93973081368131</v>
      </c>
      <c r="X636" s="317">
        <f t="shared" si="327"/>
        <v>296.99873068558787</v>
      </c>
      <c r="Y636" s="317">
        <f t="shared" si="328"/>
        <v>398.05773055749444</v>
      </c>
      <c r="AA636" s="89"/>
      <c r="AB636" s="89"/>
      <c r="AC636" s="89"/>
      <c r="AD636" s="89"/>
      <c r="AE636" s="89"/>
      <c r="AF636" s="89"/>
      <c r="AG636" s="89"/>
      <c r="AH636" s="89"/>
      <c r="AI636" s="89"/>
      <c r="AJ636" s="89"/>
      <c r="AK636" s="89"/>
      <c r="AL636" s="89"/>
      <c r="AM636" s="89"/>
      <c r="AN636" s="89"/>
      <c r="BR636" s="180">
        <v>2031</v>
      </c>
      <c r="BS636" s="22">
        <v>17</v>
      </c>
      <c r="BT636" s="318">
        <f t="shared" si="339"/>
        <v>105.6510167817455</v>
      </c>
      <c r="BU636" s="319">
        <f t="shared" si="340"/>
        <v>197.08859710304145</v>
      </c>
      <c r="BV636" s="205">
        <f t="shared" si="341"/>
        <v>302.73961388478693</v>
      </c>
      <c r="BY636" s="180">
        <v>2031</v>
      </c>
      <c r="BZ636" s="22">
        <v>17</v>
      </c>
      <c r="CA636" s="318">
        <f t="shared" ca="1" si="342"/>
        <v>30.226222339953285</v>
      </c>
      <c r="CB636" s="318">
        <f t="shared" ca="1" si="343"/>
        <v>27.418441313631114</v>
      </c>
      <c r="CC636" s="319">
        <f t="shared" ca="1" si="354"/>
        <v>226.79187441981213</v>
      </c>
      <c r="CD636" s="205">
        <f t="shared" ca="1" si="344"/>
        <v>284.43653807339655</v>
      </c>
      <c r="CG636" s="180">
        <v>2031</v>
      </c>
      <c r="CH636" s="22">
        <v>17</v>
      </c>
      <c r="CI636" s="318">
        <f t="shared" ca="1" si="345"/>
        <v>-6.5557576397718664</v>
      </c>
      <c r="CJ636" s="318">
        <f t="shared" ca="1" si="346"/>
        <v>55.677987294361692</v>
      </c>
      <c r="CK636" s="318">
        <f t="shared" ca="1" si="347"/>
        <v>2.6426679774413833</v>
      </c>
      <c r="CL636" s="319">
        <f t="shared" ca="1" si="348"/>
        <v>230.43790580082432</v>
      </c>
      <c r="CM636" s="205">
        <f t="shared" ca="1" si="349"/>
        <v>282.20280343285555</v>
      </c>
      <c r="CP636" s="180">
        <v>2031</v>
      </c>
      <c r="CQ636" s="22">
        <v>17</v>
      </c>
      <c r="CR636" s="318">
        <f t="shared" ca="1" si="350"/>
        <v>214.56777435485824</v>
      </c>
      <c r="CS636" s="319">
        <f t="shared" ca="1" si="351"/>
        <v>1.3691448519120724</v>
      </c>
      <c r="CT636" s="205">
        <f t="shared" ca="1" si="352"/>
        <v>293.77436364418537</v>
      </c>
      <c r="CZ636" s="164" t="b">
        <f t="shared" si="329"/>
        <v>1</v>
      </c>
      <c r="DA636" s="165" t="b">
        <f t="shared" si="329"/>
        <v>1</v>
      </c>
      <c r="DB636" s="166" t="b">
        <f t="shared" si="329"/>
        <v>1</v>
      </c>
      <c r="DC636" s="164">
        <f t="shared" si="330"/>
        <v>19</v>
      </c>
      <c r="DD636" s="166">
        <f t="shared" si="331"/>
        <v>195.93973081368131</v>
      </c>
      <c r="DE636" s="164">
        <f t="shared" si="332"/>
        <v>19</v>
      </c>
      <c r="DF636" s="166">
        <f t="shared" si="333"/>
        <v>296.99873068558787</v>
      </c>
      <c r="DG636" s="164">
        <f t="shared" si="334"/>
        <v>19</v>
      </c>
      <c r="DH636" s="166">
        <f t="shared" si="335"/>
        <v>398.05773055749444</v>
      </c>
      <c r="DI636" s="164">
        <f>IFERROR(INDEX(DC$615:DC$663,_xlfn.AGGREGATE(15,6,(ROW(DC$615:DC$663)-ROW(DC$615)+1)/(DC$615:DC$663&lt;&gt;""),ROWS(DI$1:DI22))),"")</f>
        <v>19</v>
      </c>
      <c r="DJ636" s="165">
        <f>IFERROR(INDEX(DD$615:DD$663,_xlfn.AGGREGATE(15,6,(ROW(DD$615:DD$663)-ROW(DD$615)+1)/(DD$615:DD$663&lt;&gt;""),ROWS(DJ$1:DJ22))),"")</f>
        <v>195.93973081368131</v>
      </c>
      <c r="DK636" s="166">
        <f t="shared" si="336"/>
        <v>636</v>
      </c>
      <c r="DL636" s="164">
        <f>IFERROR(INDEX(DE$615:DE$663,_xlfn.AGGREGATE(15,6,(ROW(DE$615:DE$663)-ROW(DE$615)+1)/(DE$615:DE$663&lt;&gt;""),ROWS(DL$1:DL22))),"")</f>
        <v>19</v>
      </c>
      <c r="DM636" s="165">
        <f>IFERROR(INDEX(DF$615:DF$663,_xlfn.AGGREGATE(15,6,(ROW(DF$615:DF$663)-ROW(DF$615)+1)/(DF$615:DF$663&lt;&gt;""),ROWS(DM$1:DM22))),"")</f>
        <v>296.99873068558787</v>
      </c>
      <c r="DN636" s="166">
        <f t="shared" si="337"/>
        <v>636</v>
      </c>
      <c r="DO636" s="164">
        <f>IFERROR(INDEX(DG$615:DG$663,_xlfn.AGGREGATE(15,6,(ROW(DG$615:DG$663)-ROW(DG$615)+1)/(DG$615:DG$663&lt;&gt;""),ROWS(DO$1:DO22))),"")</f>
        <v>19</v>
      </c>
      <c r="DP636" s="165">
        <f>IFERROR(INDEX(DH$615:DH$663,_xlfn.AGGREGATE(15,6,(ROW(DH$615:DH$663)-ROW(DH$615)+1)/(DH$615:DH$663&lt;&gt;""),ROWS(DP$1:DP22))),"")</f>
        <v>398.05773055749444</v>
      </c>
      <c r="DQ636" s="166">
        <f t="shared" si="338"/>
        <v>636</v>
      </c>
      <c r="DR636" s="65"/>
      <c r="DV636" s="145">
        <v>2036</v>
      </c>
      <c r="DW636" s="235">
        <f t="shared" ca="1" si="322"/>
        <v>312.89564142270291</v>
      </c>
    </row>
    <row r="637" spans="1:135" ht="13.8" x14ac:dyDescent="0.45">
      <c r="B637" s="128">
        <v>2034</v>
      </c>
      <c r="C637" s="912">
        <v>317.42</v>
      </c>
      <c r="D637" s="960">
        <v>424.20023320582499</v>
      </c>
      <c r="E637" s="292"/>
      <c r="F637" s="914"/>
      <c r="G637" s="320"/>
      <c r="H637" s="292"/>
      <c r="I637" s="1112">
        <v>167.02702702702695</v>
      </c>
      <c r="J637" s="320"/>
      <c r="K637" s="292"/>
      <c r="L637" s="293"/>
      <c r="M637" s="292"/>
      <c r="N637" s="29" t="s">
        <v>119</v>
      </c>
      <c r="O637" s="120"/>
      <c r="P637" s="120"/>
      <c r="Q637" s="120"/>
      <c r="R637" s="29">
        <v>20</v>
      </c>
      <c r="S637" s="317">
        <f t="shared" si="323"/>
        <v>167.02702702702695</v>
      </c>
      <c r="T637" s="317">
        <f t="shared" si="324"/>
        <v>424.20023320582499</v>
      </c>
      <c r="U637" s="317">
        <f t="shared" si="325"/>
        <v>105.49256029556581</v>
      </c>
      <c r="W637" s="317">
        <f t="shared" si="326"/>
        <v>197.38985978205153</v>
      </c>
      <c r="X637" s="317">
        <f t="shared" si="327"/>
        <v>302.88242007761733</v>
      </c>
      <c r="Y637" s="317">
        <f t="shared" si="328"/>
        <v>408.37498037318312</v>
      </c>
      <c r="AA637" s="89"/>
      <c r="AB637" s="89"/>
      <c r="AC637" s="89"/>
      <c r="AD637" s="89"/>
      <c r="AE637" s="89"/>
      <c r="AF637" s="89"/>
      <c r="AG637" s="89"/>
      <c r="AH637" s="89"/>
      <c r="AI637" s="89"/>
      <c r="AJ637" s="89"/>
      <c r="AK637" s="89"/>
      <c r="AL637" s="89"/>
      <c r="AM637" s="89"/>
      <c r="AN637" s="89"/>
      <c r="BR637" s="180">
        <v>2032</v>
      </c>
      <c r="BS637" s="22">
        <v>18</v>
      </c>
      <c r="BT637" s="318">
        <f t="shared" si="339"/>
        <v>111.86578247478934</v>
      </c>
      <c r="BU637" s="319">
        <f t="shared" si="340"/>
        <v>197.08859710304145</v>
      </c>
      <c r="BV637" s="205">
        <f t="shared" si="341"/>
        <v>308.95437957783076</v>
      </c>
      <c r="BY637" s="180">
        <v>2032</v>
      </c>
      <c r="BZ637" s="22">
        <v>18</v>
      </c>
      <c r="CA637" s="318">
        <f t="shared" ca="1" si="342"/>
        <v>33.886837502231366</v>
      </c>
      <c r="CB637" s="318">
        <f t="shared" ca="1" si="343"/>
        <v>29.031290802668238</v>
      </c>
      <c r="CC637" s="319">
        <f t="shared" ca="1" si="354"/>
        <v>226.79187441981213</v>
      </c>
      <c r="CD637" s="205">
        <f t="shared" ca="1" si="344"/>
        <v>289.71000272471173</v>
      </c>
      <c r="CG637" s="180">
        <v>2032</v>
      </c>
      <c r="CH637" s="22">
        <v>18</v>
      </c>
      <c r="CI637" s="318">
        <f t="shared" ca="1" si="345"/>
        <v>-7.7820432638203796</v>
      </c>
      <c r="CJ637" s="318">
        <f t="shared" ca="1" si="346"/>
        <v>62.420996136239403</v>
      </c>
      <c r="CK637" s="318">
        <f t="shared" ca="1" si="347"/>
        <v>2.7981190349379355</v>
      </c>
      <c r="CL637" s="319">
        <f t="shared" ca="1" si="348"/>
        <v>230.43790580082432</v>
      </c>
      <c r="CM637" s="205">
        <f t="shared" ca="1" si="349"/>
        <v>287.87497770818129</v>
      </c>
      <c r="CP637" s="180">
        <v>2032</v>
      </c>
      <c r="CQ637" s="22">
        <v>18</v>
      </c>
      <c r="CR637" s="318">
        <f t="shared" ca="1" si="350"/>
        <v>214.56777435485824</v>
      </c>
      <c r="CS637" s="319">
        <f t="shared" ca="1" si="351"/>
        <v>1.3946840458925522</v>
      </c>
      <c r="CT637" s="205">
        <f t="shared" ca="1" si="352"/>
        <v>299.25425165539389</v>
      </c>
      <c r="CZ637" s="164" t="b">
        <f t="shared" si="329"/>
        <v>1</v>
      </c>
      <c r="DA637" s="165" t="b">
        <f t="shared" si="329"/>
        <v>1</v>
      </c>
      <c r="DB637" s="166" t="b">
        <f t="shared" si="329"/>
        <v>1</v>
      </c>
      <c r="DC637" s="164">
        <f t="shared" si="330"/>
        <v>20</v>
      </c>
      <c r="DD637" s="166">
        <f t="shared" si="331"/>
        <v>197.38985978205153</v>
      </c>
      <c r="DE637" s="164">
        <f t="shared" si="332"/>
        <v>20</v>
      </c>
      <c r="DF637" s="166">
        <f t="shared" si="333"/>
        <v>302.88242007761733</v>
      </c>
      <c r="DG637" s="164">
        <f t="shared" si="334"/>
        <v>20</v>
      </c>
      <c r="DH637" s="166">
        <f t="shared" si="335"/>
        <v>408.37498037318312</v>
      </c>
      <c r="DI637" s="164">
        <f>IFERROR(INDEX(DC$615:DC$663,_xlfn.AGGREGATE(15,6,(ROW(DC$615:DC$663)-ROW(DC$615)+1)/(DC$615:DC$663&lt;&gt;""),ROWS(DI$1:DI23))),"")</f>
        <v>20</v>
      </c>
      <c r="DJ637" s="165">
        <f>IFERROR(INDEX(DD$615:DD$663,_xlfn.AGGREGATE(15,6,(ROW(DD$615:DD$663)-ROW(DD$615)+1)/(DD$615:DD$663&lt;&gt;""),ROWS(DJ$1:DJ23))),"")</f>
        <v>197.38985978205153</v>
      </c>
      <c r="DK637" s="166">
        <f t="shared" si="336"/>
        <v>637</v>
      </c>
      <c r="DL637" s="164">
        <f>IFERROR(INDEX(DE$615:DE$663,_xlfn.AGGREGATE(15,6,(ROW(DE$615:DE$663)-ROW(DE$615)+1)/(DE$615:DE$663&lt;&gt;""),ROWS(DL$1:DL23))),"")</f>
        <v>20</v>
      </c>
      <c r="DM637" s="165">
        <f>IFERROR(INDEX(DF$615:DF$663,_xlfn.AGGREGATE(15,6,(ROW(DF$615:DF$663)-ROW(DF$615)+1)/(DF$615:DF$663&lt;&gt;""),ROWS(DM$1:DM23))),"")</f>
        <v>302.88242007761733</v>
      </c>
      <c r="DN637" s="166">
        <f t="shared" si="337"/>
        <v>637</v>
      </c>
      <c r="DO637" s="164">
        <f>IFERROR(INDEX(DG$615:DG$663,_xlfn.AGGREGATE(15,6,(ROW(DG$615:DG$663)-ROW(DG$615)+1)/(DG$615:DG$663&lt;&gt;""),ROWS(DO$1:DO23))),"")</f>
        <v>20</v>
      </c>
      <c r="DP637" s="165">
        <f>IFERROR(INDEX(DH$615:DH$663,_xlfn.AGGREGATE(15,6,(ROW(DH$615:DH$663)-ROW(DH$615)+1)/(DH$615:DH$663&lt;&gt;""),ROWS(DP$1:DP23))),"")</f>
        <v>408.37498037318312</v>
      </c>
      <c r="DQ637" s="166">
        <f t="shared" si="338"/>
        <v>637</v>
      </c>
      <c r="DR637" s="65"/>
      <c r="DV637" s="145">
        <v>2037</v>
      </c>
      <c r="DW637" s="235">
        <f t="shared" ca="1" si="322"/>
        <v>319.69376791788994</v>
      </c>
    </row>
    <row r="638" spans="1:135" ht="13.8" x14ac:dyDescent="0.45">
      <c r="B638" s="128">
        <v>2035</v>
      </c>
      <c r="C638" s="912">
        <v>319.85000000000002</v>
      </c>
      <c r="D638" s="960">
        <v>438.14830279846979</v>
      </c>
      <c r="E638" s="292"/>
      <c r="F638" s="914"/>
      <c r="G638" s="320"/>
      <c r="H638" s="292"/>
      <c r="I638" s="1112">
        <v>168.83783783783775</v>
      </c>
      <c r="J638" s="320"/>
      <c r="K638" s="292"/>
      <c r="L638" s="293"/>
      <c r="M638" s="292"/>
      <c r="N638" s="29" t="s">
        <v>119</v>
      </c>
      <c r="O638" s="120"/>
      <c r="P638" s="120"/>
      <c r="Q638" s="120"/>
      <c r="R638" s="29">
        <v>21</v>
      </c>
      <c r="S638" s="317">
        <f t="shared" si="323"/>
        <v>168.83783783783775</v>
      </c>
      <c r="T638" s="317">
        <f t="shared" si="324"/>
        <v>438.14830279846979</v>
      </c>
      <c r="U638" s="317">
        <f t="shared" si="325"/>
        <v>110.2155908023509</v>
      </c>
      <c r="W638" s="317">
        <f t="shared" si="326"/>
        <v>198.72978940975162</v>
      </c>
      <c r="X638" s="317">
        <f t="shared" si="327"/>
        <v>308.94538021210252</v>
      </c>
      <c r="Y638" s="317">
        <f t="shared" si="328"/>
        <v>419.16097101445342</v>
      </c>
      <c r="AA638" s="89"/>
      <c r="AB638" s="89"/>
      <c r="AC638" s="89"/>
      <c r="AD638" s="89"/>
      <c r="AE638" s="89"/>
      <c r="AF638" s="89"/>
      <c r="AG638" s="89"/>
      <c r="AH638" s="89"/>
      <c r="AI638" s="89"/>
      <c r="AJ638" s="89"/>
      <c r="AK638" s="89"/>
      <c r="AL638" s="89"/>
      <c r="AM638" s="89"/>
      <c r="AN638" s="89"/>
      <c r="BR638" s="180">
        <v>2033</v>
      </c>
      <c r="BS638" s="22">
        <v>19</v>
      </c>
      <c r="BT638" s="318">
        <f t="shared" si="339"/>
        <v>118.0805481678332</v>
      </c>
      <c r="BU638" s="319">
        <f t="shared" si="340"/>
        <v>197.08859710304145</v>
      </c>
      <c r="BV638" s="205">
        <f t="shared" si="341"/>
        <v>315.16914527087465</v>
      </c>
      <c r="BY638" s="180">
        <v>2033</v>
      </c>
      <c r="BZ638" s="22">
        <v>19</v>
      </c>
      <c r="CA638" s="318">
        <f t="shared" ca="1" si="342"/>
        <v>37.756630673782482</v>
      </c>
      <c r="CB638" s="318">
        <f t="shared" ca="1" si="343"/>
        <v>30.644140291705362</v>
      </c>
      <c r="CC638" s="319">
        <f t="shared" ca="1" si="354"/>
        <v>226.79187441981213</v>
      </c>
      <c r="CD638" s="205">
        <f t="shared" ca="1" si="344"/>
        <v>295.19264538530001</v>
      </c>
      <c r="CG638" s="180">
        <v>2033</v>
      </c>
      <c r="CH638" s="22">
        <v>19</v>
      </c>
      <c r="CI638" s="318">
        <f t="shared" ca="1" si="345"/>
        <v>-9.1524408001618625</v>
      </c>
      <c r="CJ638" s="318">
        <f t="shared" ca="1" si="346"/>
        <v>69.549319769081563</v>
      </c>
      <c r="CK638" s="318">
        <f t="shared" ca="1" si="347"/>
        <v>2.9535700924344876</v>
      </c>
      <c r="CL638" s="319">
        <f t="shared" ca="1" si="348"/>
        <v>230.43790580082432</v>
      </c>
      <c r="CM638" s="205">
        <f t="shared" ca="1" si="349"/>
        <v>293.78835486217849</v>
      </c>
      <c r="CP638" s="180">
        <v>2033</v>
      </c>
      <c r="CQ638" s="22">
        <v>19</v>
      </c>
      <c r="CR638" s="318">
        <f t="shared" ca="1" si="350"/>
        <v>214.56777435485824</v>
      </c>
      <c r="CS638" s="319">
        <f t="shared" ca="1" si="351"/>
        <v>1.4206996324389916</v>
      </c>
      <c r="CT638" s="205">
        <f t="shared" ca="1" si="352"/>
        <v>304.83635815919956</v>
      </c>
      <c r="CZ638" s="164" t="b">
        <f t="shared" si="329"/>
        <v>1</v>
      </c>
      <c r="DA638" s="165" t="b">
        <f t="shared" si="329"/>
        <v>1</v>
      </c>
      <c r="DB638" s="166" t="b">
        <f t="shared" si="329"/>
        <v>1</v>
      </c>
      <c r="DC638" s="164">
        <f t="shared" si="330"/>
        <v>21</v>
      </c>
      <c r="DD638" s="166">
        <f t="shared" si="331"/>
        <v>198.72978940975162</v>
      </c>
      <c r="DE638" s="164">
        <f t="shared" si="332"/>
        <v>21</v>
      </c>
      <c r="DF638" s="166">
        <f t="shared" si="333"/>
        <v>308.94538021210252</v>
      </c>
      <c r="DG638" s="164">
        <f t="shared" si="334"/>
        <v>21</v>
      </c>
      <c r="DH638" s="166">
        <f t="shared" si="335"/>
        <v>419.16097101445342</v>
      </c>
      <c r="DI638" s="164">
        <f>IFERROR(INDEX(DC$615:DC$663,_xlfn.AGGREGATE(15,6,(ROW(DC$615:DC$663)-ROW(DC$615)+1)/(DC$615:DC$663&lt;&gt;""),ROWS(DI$1:DI24))),"")</f>
        <v>21</v>
      </c>
      <c r="DJ638" s="165">
        <f>IFERROR(INDEX(DD$615:DD$663,_xlfn.AGGREGATE(15,6,(ROW(DD$615:DD$663)-ROW(DD$615)+1)/(DD$615:DD$663&lt;&gt;""),ROWS(DJ$1:DJ24))),"")</f>
        <v>198.72978940975162</v>
      </c>
      <c r="DK638" s="166">
        <f t="shared" si="336"/>
        <v>638</v>
      </c>
      <c r="DL638" s="164">
        <f>IFERROR(INDEX(DE$615:DE$663,_xlfn.AGGREGATE(15,6,(ROW(DE$615:DE$663)-ROW(DE$615)+1)/(DE$615:DE$663&lt;&gt;""),ROWS(DL$1:DL24))),"")</f>
        <v>21</v>
      </c>
      <c r="DM638" s="165">
        <f>IFERROR(INDEX(DF$615:DF$663,_xlfn.AGGREGATE(15,6,(ROW(DF$615:DF$663)-ROW(DF$615)+1)/(DF$615:DF$663&lt;&gt;""),ROWS(DM$1:DM24))),"")</f>
        <v>308.94538021210252</v>
      </c>
      <c r="DN638" s="166">
        <f t="shared" si="337"/>
        <v>638</v>
      </c>
      <c r="DO638" s="164">
        <f>IFERROR(INDEX(DG$615:DG$663,_xlfn.AGGREGATE(15,6,(ROW(DG$615:DG$663)-ROW(DG$615)+1)/(DG$615:DG$663&lt;&gt;""),ROWS(DO$1:DO24))),"")</f>
        <v>21</v>
      </c>
      <c r="DP638" s="165">
        <f>IFERROR(INDEX(DH$615:DH$663,_xlfn.AGGREGATE(15,6,(ROW(DH$615:DH$663)-ROW(DH$615)+1)/(DH$615:DH$663&lt;&gt;""),ROWS(DP$1:DP24))),"")</f>
        <v>419.16097101445342</v>
      </c>
      <c r="DQ638" s="166">
        <f t="shared" si="338"/>
        <v>638</v>
      </c>
      <c r="DR638" s="65"/>
      <c r="DV638" s="145">
        <v>2038</v>
      </c>
      <c r="DW638" s="235">
        <f t="shared" ca="1" si="322"/>
        <v>326.69306620500038</v>
      </c>
    </row>
    <row r="639" spans="1:135" ht="13.8" x14ac:dyDescent="0.45">
      <c r="B639" s="128">
        <v>2036</v>
      </c>
      <c r="C639" s="912">
        <v>322.28000000000003</v>
      </c>
      <c r="D639" s="960">
        <v>452.63418461848181</v>
      </c>
      <c r="E639" s="292"/>
      <c r="F639" s="914"/>
      <c r="G639" s="320"/>
      <c r="H639" s="292"/>
      <c r="I639" s="1112">
        <v>170.64864864864856</v>
      </c>
      <c r="J639" s="320"/>
      <c r="K639" s="292"/>
      <c r="L639" s="293"/>
      <c r="M639" s="292"/>
      <c r="N639" s="29" t="s">
        <v>119</v>
      </c>
      <c r="O639" s="120"/>
      <c r="P639" s="120"/>
      <c r="Q639" s="120"/>
      <c r="R639" s="29">
        <v>22</v>
      </c>
      <c r="S639" s="317">
        <f t="shared" si="323"/>
        <v>170.64864864864856</v>
      </c>
      <c r="T639" s="317">
        <f t="shared" si="324"/>
        <v>452.63418461848181</v>
      </c>
      <c r="U639" s="317">
        <f t="shared" si="325"/>
        <v>115.22929925268363</v>
      </c>
      <c r="W639" s="317">
        <f t="shared" si="326"/>
        <v>199.95831183635983</v>
      </c>
      <c r="X639" s="317">
        <f t="shared" si="327"/>
        <v>315.18761108904346</v>
      </c>
      <c r="Y639" s="317">
        <f t="shared" si="328"/>
        <v>430.41691034172709</v>
      </c>
      <c r="AA639" s="89"/>
      <c r="AB639" s="89"/>
      <c r="AC639" s="89"/>
      <c r="AD639" s="89"/>
      <c r="AE639" s="89"/>
      <c r="AF639" s="89"/>
      <c r="AG639" s="89"/>
      <c r="AH639" s="89"/>
      <c r="AI639" s="89"/>
      <c r="AJ639" s="89"/>
      <c r="AK639" s="89"/>
      <c r="AL639" s="89"/>
      <c r="AM639" s="89"/>
      <c r="AN639" s="89"/>
      <c r="BR639" s="180">
        <v>2034</v>
      </c>
      <c r="BS639" s="22">
        <v>20</v>
      </c>
      <c r="BT639" s="318">
        <f t="shared" si="339"/>
        <v>124.29531386087704</v>
      </c>
      <c r="BU639" s="319">
        <f t="shared" si="340"/>
        <v>197.08859710304145</v>
      </c>
      <c r="BV639" s="205">
        <f t="shared" si="341"/>
        <v>321.38391096391848</v>
      </c>
      <c r="BY639" s="180">
        <v>2034</v>
      </c>
      <c r="BZ639" s="22">
        <v>20</v>
      </c>
      <c r="CA639" s="318">
        <f t="shared" ca="1" si="342"/>
        <v>41.835601854606622</v>
      </c>
      <c r="CB639" s="318">
        <f t="shared" ca="1" si="343"/>
        <v>32.256989780742487</v>
      </c>
      <c r="CC639" s="319">
        <f t="shared" ca="1" si="354"/>
        <v>226.79187441981213</v>
      </c>
      <c r="CD639" s="205">
        <f t="shared" ca="1" si="344"/>
        <v>300.88446605516123</v>
      </c>
      <c r="CG639" s="180">
        <v>2034</v>
      </c>
      <c r="CH639" s="22">
        <v>20</v>
      </c>
      <c r="CI639" s="318">
        <f t="shared" ca="1" si="345"/>
        <v>-10.674956466145925</v>
      </c>
      <c r="CJ639" s="318">
        <f t="shared" ca="1" si="346"/>
        <v>77.062958192888146</v>
      </c>
      <c r="CK639" s="318">
        <f t="shared" ca="1" si="347"/>
        <v>3.1090211499310394</v>
      </c>
      <c r="CL639" s="319">
        <f t="shared" ca="1" si="348"/>
        <v>230.43790580082432</v>
      </c>
      <c r="CM639" s="205">
        <f t="shared" ca="1" si="349"/>
        <v>299.93492867749757</v>
      </c>
      <c r="CP639" s="180">
        <v>2034</v>
      </c>
      <c r="CQ639" s="22">
        <v>20</v>
      </c>
      <c r="CR639" s="318">
        <f t="shared" ca="1" si="350"/>
        <v>214.56777435485824</v>
      </c>
      <c r="CS639" s="319">
        <f t="shared" ca="1" si="351"/>
        <v>1.4472004978880961</v>
      </c>
      <c r="CT639" s="205">
        <f t="shared" ca="1" si="352"/>
        <v>310.52258987709149</v>
      </c>
      <c r="CZ639" s="164" t="b">
        <f t="shared" si="329"/>
        <v>1</v>
      </c>
      <c r="DA639" s="165" t="b">
        <f t="shared" si="329"/>
        <v>1</v>
      </c>
      <c r="DB639" s="166" t="b">
        <f t="shared" si="329"/>
        <v>1</v>
      </c>
      <c r="DC639" s="164">
        <f t="shared" si="330"/>
        <v>22</v>
      </c>
      <c r="DD639" s="166">
        <f t="shared" si="331"/>
        <v>199.95831183635983</v>
      </c>
      <c r="DE639" s="164">
        <f t="shared" si="332"/>
        <v>22</v>
      </c>
      <c r="DF639" s="166">
        <f t="shared" si="333"/>
        <v>315.18761108904346</v>
      </c>
      <c r="DG639" s="164">
        <f t="shared" si="334"/>
        <v>22</v>
      </c>
      <c r="DH639" s="166">
        <f t="shared" si="335"/>
        <v>430.41691034172709</v>
      </c>
      <c r="DI639" s="164">
        <f>IFERROR(INDEX(DC$615:DC$663,_xlfn.AGGREGATE(15,6,(ROW(DC$615:DC$663)-ROW(DC$615)+1)/(DC$615:DC$663&lt;&gt;""),ROWS(DI$1:DI25))),"")</f>
        <v>22</v>
      </c>
      <c r="DJ639" s="165">
        <f>IFERROR(INDEX(DD$615:DD$663,_xlfn.AGGREGATE(15,6,(ROW(DD$615:DD$663)-ROW(DD$615)+1)/(DD$615:DD$663&lt;&gt;""),ROWS(DJ$1:DJ25))),"")</f>
        <v>199.95831183635983</v>
      </c>
      <c r="DK639" s="166">
        <f t="shared" si="336"/>
        <v>639</v>
      </c>
      <c r="DL639" s="164">
        <f>IFERROR(INDEX(DE$615:DE$663,_xlfn.AGGREGATE(15,6,(ROW(DE$615:DE$663)-ROW(DE$615)+1)/(DE$615:DE$663&lt;&gt;""),ROWS(DL$1:DL25))),"")</f>
        <v>22</v>
      </c>
      <c r="DM639" s="165">
        <f>IFERROR(INDEX(DF$615:DF$663,_xlfn.AGGREGATE(15,6,(ROW(DF$615:DF$663)-ROW(DF$615)+1)/(DF$615:DF$663&lt;&gt;""),ROWS(DM$1:DM25))),"")</f>
        <v>315.18761108904346</v>
      </c>
      <c r="DN639" s="166">
        <f t="shared" si="337"/>
        <v>639</v>
      </c>
      <c r="DO639" s="164">
        <f>IFERROR(INDEX(DG$615:DG$663,_xlfn.AGGREGATE(15,6,(ROW(DG$615:DG$663)-ROW(DG$615)+1)/(DG$615:DG$663&lt;&gt;""),ROWS(DO$1:DO25))),"")</f>
        <v>22</v>
      </c>
      <c r="DP639" s="165">
        <f>IFERROR(INDEX(DH$615:DH$663,_xlfn.AGGREGATE(15,6,(ROW(DH$615:DH$663)-ROW(DH$615)+1)/(DH$615:DH$663&lt;&gt;""),ROWS(DP$1:DP25))),"")</f>
        <v>430.41691034172709</v>
      </c>
      <c r="DQ639" s="166">
        <f t="shared" si="338"/>
        <v>639</v>
      </c>
      <c r="DR639" s="65"/>
      <c r="DV639" s="145">
        <v>2039</v>
      </c>
      <c r="DW639" s="235">
        <f t="shared" ca="1" si="322"/>
        <v>333.88553006668462</v>
      </c>
    </row>
    <row r="640" spans="1:135" ht="13.8" x14ac:dyDescent="0.45">
      <c r="B640" s="128">
        <v>2037</v>
      </c>
      <c r="C640" s="912">
        <v>324.71000000000004</v>
      </c>
      <c r="D640" s="960">
        <v>467.65787866586118</v>
      </c>
      <c r="E640" s="292"/>
      <c r="F640" s="914"/>
      <c r="G640" s="320"/>
      <c r="H640" s="292"/>
      <c r="I640" s="1112">
        <v>172.45945945945937</v>
      </c>
      <c r="J640" s="320"/>
      <c r="K640" s="292"/>
      <c r="L640" s="293"/>
      <c r="M640" s="292"/>
      <c r="N640" s="29" t="s">
        <v>119</v>
      </c>
      <c r="O640" s="120"/>
      <c r="P640" s="120"/>
      <c r="Q640" s="120"/>
      <c r="R640" s="29">
        <v>23</v>
      </c>
      <c r="S640" s="317">
        <f t="shared" si="323"/>
        <v>172.45945945945937</v>
      </c>
      <c r="T640" s="317">
        <f t="shared" si="324"/>
        <v>467.65787866586118</v>
      </c>
      <c r="U640" s="317">
        <f t="shared" si="325"/>
        <v>120.53419515359066</v>
      </c>
      <c r="W640" s="317">
        <f t="shared" si="326"/>
        <v>201.07491755484955</v>
      </c>
      <c r="X640" s="317">
        <f t="shared" si="327"/>
        <v>321.60911270844019</v>
      </c>
      <c r="Y640" s="317">
        <f t="shared" si="328"/>
        <v>442.14330786203084</v>
      </c>
      <c r="AA640" s="89"/>
      <c r="AB640" s="89"/>
      <c r="AC640" s="89"/>
      <c r="AD640" s="89"/>
      <c r="AE640" s="89"/>
      <c r="AF640" s="89"/>
      <c r="AG640" s="89"/>
      <c r="AH640" s="89"/>
      <c r="AI640" s="89"/>
      <c r="AJ640" s="89"/>
      <c r="AK640" s="89"/>
      <c r="AL640" s="89"/>
      <c r="AM640" s="89"/>
      <c r="AN640" s="89"/>
      <c r="BR640" s="180">
        <v>2035</v>
      </c>
      <c r="BS640" s="22">
        <v>21</v>
      </c>
      <c r="BT640" s="318">
        <f t="shared" si="339"/>
        <v>130.51007955392089</v>
      </c>
      <c r="BU640" s="319">
        <f t="shared" si="340"/>
        <v>197.08859710304145</v>
      </c>
      <c r="BV640" s="205">
        <f t="shared" si="341"/>
        <v>327.59867665696231</v>
      </c>
      <c r="BY640" s="180">
        <v>2035</v>
      </c>
      <c r="BZ640" s="22">
        <v>21</v>
      </c>
      <c r="CA640" s="318">
        <f t="shared" ca="1" si="342"/>
        <v>46.123751044703802</v>
      </c>
      <c r="CB640" s="318">
        <f t="shared" ca="1" si="343"/>
        <v>33.869839269779611</v>
      </c>
      <c r="CC640" s="319">
        <f t="shared" ca="1" si="354"/>
        <v>226.79187441981213</v>
      </c>
      <c r="CD640" s="205">
        <f t="shared" ca="1" si="344"/>
        <v>306.78546473429554</v>
      </c>
      <c r="CG640" s="180">
        <v>2035</v>
      </c>
      <c r="CH640" s="22">
        <v>21</v>
      </c>
      <c r="CI640" s="318">
        <f t="shared" ca="1" si="345"/>
        <v>-12.357596479122176</v>
      </c>
      <c r="CJ640" s="318">
        <f t="shared" ca="1" si="346"/>
        <v>84.961911407659187</v>
      </c>
      <c r="CK640" s="318">
        <f t="shared" ca="1" si="347"/>
        <v>3.2644722074275911</v>
      </c>
      <c r="CL640" s="319">
        <f t="shared" ca="1" si="348"/>
        <v>230.43790580082432</v>
      </c>
      <c r="CM640" s="205">
        <f t="shared" ca="1" si="349"/>
        <v>306.30669293678892</v>
      </c>
      <c r="CP640" s="180">
        <v>2035</v>
      </c>
      <c r="CQ640" s="22">
        <v>21</v>
      </c>
      <c r="CR640" s="318">
        <f t="shared" ca="1" si="350"/>
        <v>214.56777435485824</v>
      </c>
      <c r="CS640" s="319">
        <f t="shared" ca="1" si="351"/>
        <v>1.4741956943368826</v>
      </c>
      <c r="CT640" s="205">
        <f t="shared" ca="1" si="352"/>
        <v>316.31488909737982</v>
      </c>
      <c r="CZ640" s="164" t="b">
        <f t="shared" si="329"/>
        <v>1</v>
      </c>
      <c r="DA640" s="165" t="b">
        <f t="shared" si="329"/>
        <v>1</v>
      </c>
      <c r="DB640" s="166" t="b">
        <f t="shared" si="329"/>
        <v>1</v>
      </c>
      <c r="DC640" s="164">
        <f t="shared" si="330"/>
        <v>23</v>
      </c>
      <c r="DD640" s="166">
        <f t="shared" si="331"/>
        <v>201.07491755484955</v>
      </c>
      <c r="DE640" s="164">
        <f t="shared" si="332"/>
        <v>23</v>
      </c>
      <c r="DF640" s="166">
        <f t="shared" si="333"/>
        <v>321.60911270844019</v>
      </c>
      <c r="DG640" s="164">
        <f t="shared" si="334"/>
        <v>23</v>
      </c>
      <c r="DH640" s="166">
        <f t="shared" si="335"/>
        <v>442.14330786203084</v>
      </c>
      <c r="DI640" s="164">
        <f>IFERROR(INDEX(DC$615:DC$663,_xlfn.AGGREGATE(15,6,(ROW(DC$615:DC$663)-ROW(DC$615)+1)/(DC$615:DC$663&lt;&gt;""),ROWS(DI$1:DI26))),"")</f>
        <v>23</v>
      </c>
      <c r="DJ640" s="165">
        <f>IFERROR(INDEX(DD$615:DD$663,_xlfn.AGGREGATE(15,6,(ROW(DD$615:DD$663)-ROW(DD$615)+1)/(DD$615:DD$663&lt;&gt;""),ROWS(DJ$1:DJ26))),"")</f>
        <v>201.07491755484955</v>
      </c>
      <c r="DK640" s="166">
        <f t="shared" si="336"/>
        <v>640</v>
      </c>
      <c r="DL640" s="164">
        <f>IFERROR(INDEX(DE$615:DE$663,_xlfn.AGGREGATE(15,6,(ROW(DE$615:DE$663)-ROW(DE$615)+1)/(DE$615:DE$663&lt;&gt;""),ROWS(DL$1:DL26))),"")</f>
        <v>23</v>
      </c>
      <c r="DM640" s="165">
        <f>IFERROR(INDEX(DF$615:DF$663,_xlfn.AGGREGATE(15,6,(ROW(DF$615:DF$663)-ROW(DF$615)+1)/(DF$615:DF$663&lt;&gt;""),ROWS(DM$1:DM26))),"")</f>
        <v>321.60911270844019</v>
      </c>
      <c r="DN640" s="166">
        <f t="shared" si="337"/>
        <v>640</v>
      </c>
      <c r="DO640" s="164">
        <f>IFERROR(INDEX(DG$615:DG$663,_xlfn.AGGREGATE(15,6,(ROW(DG$615:DG$663)-ROW(DG$615)+1)/(DG$615:DG$663&lt;&gt;""),ROWS(DO$1:DO26))),"")</f>
        <v>23</v>
      </c>
      <c r="DP640" s="165">
        <f>IFERROR(INDEX(DH$615:DH$663,_xlfn.AGGREGATE(15,6,(ROW(DH$615:DH$663)-ROW(DH$615)+1)/(DH$615:DH$663&lt;&gt;""),ROWS(DP$1:DP26))),"")</f>
        <v>442.14330786203084</v>
      </c>
      <c r="DQ640" s="166">
        <f t="shared" si="338"/>
        <v>640</v>
      </c>
      <c r="DR640" s="65"/>
      <c r="DV640" s="145">
        <v>2040</v>
      </c>
      <c r="DW640" s="235">
        <f t="shared" ca="1" si="322"/>
        <v>341.26315328559303</v>
      </c>
    </row>
    <row r="641" spans="2:135" ht="13.8" x14ac:dyDescent="0.45">
      <c r="B641" s="128">
        <v>2038</v>
      </c>
      <c r="C641" s="912">
        <v>327.14</v>
      </c>
      <c r="D641" s="960">
        <v>483.21938494060782</v>
      </c>
      <c r="E641" s="292"/>
      <c r="F641" s="914"/>
      <c r="G641" s="320"/>
      <c r="H641" s="292"/>
      <c r="I641" s="1112">
        <v>174.27027027027017</v>
      </c>
      <c r="J641" s="320"/>
      <c r="K641" s="292"/>
      <c r="L641" s="293"/>
      <c r="M641" s="292"/>
      <c r="N641" s="29" t="s">
        <v>119</v>
      </c>
      <c r="O641" s="120"/>
      <c r="P641" s="120"/>
      <c r="Q641" s="120"/>
      <c r="R641" s="29">
        <v>24</v>
      </c>
      <c r="S641" s="317">
        <f t="shared" si="323"/>
        <v>174.27027027027017</v>
      </c>
      <c r="T641" s="317">
        <f t="shared" si="324"/>
        <v>483.21938494060782</v>
      </c>
      <c r="U641" s="317">
        <f t="shared" si="325"/>
        <v>126.13021671918831</v>
      </c>
      <c r="W641" s="317">
        <f t="shared" si="326"/>
        <v>202.07966835110437</v>
      </c>
      <c r="X641" s="317">
        <f t="shared" si="327"/>
        <v>328.20988507029267</v>
      </c>
      <c r="Y641" s="317">
        <f t="shared" si="328"/>
        <v>454.34010178948097</v>
      </c>
      <c r="AA641" s="89"/>
      <c r="AB641" s="89"/>
      <c r="AC641" s="89"/>
      <c r="AD641" s="89"/>
      <c r="AE641" s="89"/>
      <c r="AF641" s="89"/>
      <c r="AG641" s="89"/>
      <c r="AH641" s="89"/>
      <c r="AI641" s="89"/>
      <c r="AJ641" s="89"/>
      <c r="AK641" s="89"/>
      <c r="AL641" s="89"/>
      <c r="AM641" s="89"/>
      <c r="AN641" s="89"/>
      <c r="BR641" s="180">
        <v>2036</v>
      </c>
      <c r="BS641" s="22">
        <v>22</v>
      </c>
      <c r="BT641" s="318">
        <f t="shared" si="339"/>
        <v>136.72484524696475</v>
      </c>
      <c r="BU641" s="319">
        <f t="shared" si="340"/>
        <v>197.08859710304145</v>
      </c>
      <c r="BV641" s="205">
        <f t="shared" si="341"/>
        <v>333.8134423500062</v>
      </c>
      <c r="BY641" s="180">
        <v>2036</v>
      </c>
      <c r="BZ641" s="22">
        <v>22</v>
      </c>
      <c r="CA641" s="318">
        <f t="shared" ca="1" si="342"/>
        <v>50.621078244074013</v>
      </c>
      <c r="CB641" s="318">
        <f t="shared" ca="1" si="343"/>
        <v>35.482688758816735</v>
      </c>
      <c r="CC641" s="319">
        <f t="shared" ca="1" si="354"/>
        <v>226.79187441981213</v>
      </c>
      <c r="CD641" s="205">
        <f t="shared" ca="1" si="344"/>
        <v>312.89564142270285</v>
      </c>
      <c r="CG641" s="180">
        <v>2036</v>
      </c>
      <c r="CH641" s="22">
        <v>22</v>
      </c>
      <c r="CI641" s="318">
        <f t="shared" ca="1" si="345"/>
        <v>-14.208367056440226</v>
      </c>
      <c r="CJ641" s="318">
        <f t="shared" ca="1" si="346"/>
        <v>93.246179413394671</v>
      </c>
      <c r="CK641" s="318">
        <f t="shared" ca="1" si="347"/>
        <v>3.4199232649241433</v>
      </c>
      <c r="CL641" s="319">
        <f t="shared" ca="1" si="348"/>
        <v>230.43790580082432</v>
      </c>
      <c r="CM641" s="205">
        <f t="shared" ca="1" si="349"/>
        <v>312.89564142270291</v>
      </c>
      <c r="CP641" s="180">
        <v>2036</v>
      </c>
      <c r="CQ641" s="22">
        <v>22</v>
      </c>
      <c r="CR641" s="318">
        <f t="shared" ca="1" si="350"/>
        <v>214.56777435485824</v>
      </c>
      <c r="CS641" s="319">
        <f t="shared" ca="1" si="351"/>
        <v>1.5016944427346715</v>
      </c>
      <c r="CT641" s="205">
        <f t="shared" ca="1" si="352"/>
        <v>322.21523433863757</v>
      </c>
      <c r="CZ641" s="164" t="b">
        <f t="shared" si="329"/>
        <v>1</v>
      </c>
      <c r="DA641" s="165" t="b">
        <f t="shared" si="329"/>
        <v>1</v>
      </c>
      <c r="DB641" s="166" t="b">
        <f t="shared" si="329"/>
        <v>1</v>
      </c>
      <c r="DC641" s="164">
        <f t="shared" si="330"/>
        <v>24</v>
      </c>
      <c r="DD641" s="166">
        <f t="shared" si="331"/>
        <v>202.07966835110437</v>
      </c>
      <c r="DE641" s="164">
        <f t="shared" si="332"/>
        <v>24</v>
      </c>
      <c r="DF641" s="166">
        <f t="shared" si="333"/>
        <v>328.20988507029267</v>
      </c>
      <c r="DG641" s="164">
        <f t="shared" si="334"/>
        <v>24</v>
      </c>
      <c r="DH641" s="166">
        <f t="shared" si="335"/>
        <v>454.34010178948097</v>
      </c>
      <c r="DI641" s="164">
        <f>IFERROR(INDEX(DC$615:DC$663,_xlfn.AGGREGATE(15,6,(ROW(DC$615:DC$663)-ROW(DC$615)+1)/(DC$615:DC$663&lt;&gt;""),ROWS(DI$1:DI27))),"")</f>
        <v>24</v>
      </c>
      <c r="DJ641" s="165">
        <f>IFERROR(INDEX(DD$615:DD$663,_xlfn.AGGREGATE(15,6,(ROW(DD$615:DD$663)-ROW(DD$615)+1)/(DD$615:DD$663&lt;&gt;""),ROWS(DJ$1:DJ27))),"")</f>
        <v>202.07966835110437</v>
      </c>
      <c r="DK641" s="166">
        <f t="shared" si="336"/>
        <v>641</v>
      </c>
      <c r="DL641" s="164">
        <f>IFERROR(INDEX(DE$615:DE$663,_xlfn.AGGREGATE(15,6,(ROW(DE$615:DE$663)-ROW(DE$615)+1)/(DE$615:DE$663&lt;&gt;""),ROWS(DL$1:DL27))),"")</f>
        <v>24</v>
      </c>
      <c r="DM641" s="165">
        <f>IFERROR(INDEX(DF$615:DF$663,_xlfn.AGGREGATE(15,6,(ROW(DF$615:DF$663)-ROW(DF$615)+1)/(DF$615:DF$663&lt;&gt;""),ROWS(DM$1:DM27))),"")</f>
        <v>328.20988507029267</v>
      </c>
      <c r="DN641" s="166">
        <f t="shared" si="337"/>
        <v>641</v>
      </c>
      <c r="DO641" s="164">
        <f>IFERROR(INDEX(DG$615:DG$663,_xlfn.AGGREGATE(15,6,(ROW(DG$615:DG$663)-ROW(DG$615)+1)/(DG$615:DG$663&lt;&gt;""),ROWS(DO$1:DO27))),"")</f>
        <v>24</v>
      </c>
      <c r="DP641" s="165">
        <f>IFERROR(INDEX(DH$615:DH$663,_xlfn.AGGREGATE(15,6,(ROW(DH$615:DH$663)-ROW(DH$615)+1)/(DH$615:DH$663&lt;&gt;""),ROWS(DP$1:DP27))),"")</f>
        <v>454.34010178948097</v>
      </c>
      <c r="DQ641" s="166">
        <f t="shared" si="338"/>
        <v>641</v>
      </c>
      <c r="DR641" s="65"/>
      <c r="DV641" s="145">
        <v>2041</v>
      </c>
      <c r="DW641" s="235">
        <f t="shared" ca="1" si="322"/>
        <v>348.81792964437614</v>
      </c>
    </row>
    <row r="642" spans="2:135" ht="13.8" x14ac:dyDescent="0.45">
      <c r="B642" s="128">
        <v>2039</v>
      </c>
      <c r="C642" s="912">
        <v>329.57000000000005</v>
      </c>
      <c r="D642" s="960">
        <v>499.31870344272181</v>
      </c>
      <c r="E642" s="292"/>
      <c r="F642" s="914"/>
      <c r="G642" s="320"/>
      <c r="H642" s="292"/>
      <c r="I642" s="1112">
        <v>176.08108108108098</v>
      </c>
      <c r="J642" s="320"/>
      <c r="K642" s="292"/>
      <c r="L642" s="293"/>
      <c r="M642" s="292"/>
      <c r="N642" s="29" t="s">
        <v>119</v>
      </c>
      <c r="O642" s="120"/>
      <c r="P642" s="120"/>
      <c r="Q642" s="120"/>
      <c r="R642" s="29">
        <v>25</v>
      </c>
      <c r="S642" s="317">
        <f t="shared" si="323"/>
        <v>176.08108108108098</v>
      </c>
      <c r="T642" s="317">
        <f t="shared" si="324"/>
        <v>499.31870344272181</v>
      </c>
      <c r="U642" s="317">
        <f t="shared" si="325"/>
        <v>132.01684701472766</v>
      </c>
      <c r="W642" s="317">
        <f t="shared" si="326"/>
        <v>202.97308115987329</v>
      </c>
      <c r="X642" s="317">
        <f t="shared" si="327"/>
        <v>334.98992817460095</v>
      </c>
      <c r="Y642" s="317">
        <f t="shared" si="328"/>
        <v>467.00677518932861</v>
      </c>
      <c r="AA642" s="89"/>
      <c r="AB642" s="89"/>
      <c r="AC642" s="89"/>
      <c r="AD642" s="89"/>
      <c r="AE642" s="89"/>
      <c r="AF642" s="89"/>
      <c r="AG642" s="89"/>
      <c r="AH642" s="89"/>
      <c r="AI642" s="89"/>
      <c r="AJ642" s="89"/>
      <c r="AK642" s="89"/>
      <c r="AL642" s="89"/>
      <c r="AM642" s="89"/>
      <c r="AN642" s="89"/>
      <c r="BR642" s="180">
        <v>2037</v>
      </c>
      <c r="BS642" s="22">
        <v>23</v>
      </c>
      <c r="BT642" s="318">
        <f t="shared" si="339"/>
        <v>142.93961094000861</v>
      </c>
      <c r="BU642" s="319">
        <f t="shared" si="340"/>
        <v>197.08859710304145</v>
      </c>
      <c r="BV642" s="205">
        <f t="shared" si="341"/>
        <v>340.02820804305009</v>
      </c>
      <c r="BY642" s="180">
        <v>2037</v>
      </c>
      <c r="BZ642" s="22">
        <v>23</v>
      </c>
      <c r="CA642" s="318">
        <f t="shared" ca="1" si="342"/>
        <v>55.327583452717263</v>
      </c>
      <c r="CB642" s="318">
        <f t="shared" ca="1" si="343"/>
        <v>37.09553824785386</v>
      </c>
      <c r="CC642" s="319">
        <f t="shared" ca="1" si="354"/>
        <v>226.79187441981213</v>
      </c>
      <c r="CD642" s="205">
        <f t="shared" ca="1" si="344"/>
        <v>319.21499612038326</v>
      </c>
      <c r="CG642" s="180">
        <v>2037</v>
      </c>
      <c r="CH642" s="22">
        <v>23</v>
      </c>
      <c r="CI642" s="318">
        <f t="shared" ca="1" si="345"/>
        <v>-16.235274415449684</v>
      </c>
      <c r="CJ642" s="318">
        <f t="shared" ca="1" si="346"/>
        <v>101.91576221009458</v>
      </c>
      <c r="CK642" s="318">
        <f t="shared" ca="1" si="347"/>
        <v>3.5753743224206955</v>
      </c>
      <c r="CL642" s="319">
        <f t="shared" ca="1" si="348"/>
        <v>230.43790580082432</v>
      </c>
      <c r="CM642" s="205">
        <f t="shared" ca="1" si="349"/>
        <v>319.69376791788994</v>
      </c>
      <c r="CP642" s="180">
        <v>2037</v>
      </c>
      <c r="CQ642" s="22">
        <v>23</v>
      </c>
      <c r="CR642" s="318">
        <f t="shared" ca="1" si="350"/>
        <v>214.56777435485824</v>
      </c>
      <c r="CS642" s="319">
        <f t="shared" ca="1" si="351"/>
        <v>1.5297061360327537</v>
      </c>
      <c r="CT642" s="205">
        <f t="shared" ca="1" si="352"/>
        <v>328.22564102551797</v>
      </c>
      <c r="CZ642" s="164" t="b">
        <f t="shared" si="329"/>
        <v>1</v>
      </c>
      <c r="DA642" s="165" t="b">
        <f t="shared" si="329"/>
        <v>1</v>
      </c>
      <c r="DB642" s="166" t="b">
        <f t="shared" si="329"/>
        <v>1</v>
      </c>
      <c r="DC642" s="164">
        <f t="shared" si="330"/>
        <v>25</v>
      </c>
      <c r="DD642" s="166">
        <f t="shared" si="331"/>
        <v>202.97308115987329</v>
      </c>
      <c r="DE642" s="164">
        <f t="shared" si="332"/>
        <v>25</v>
      </c>
      <c r="DF642" s="166">
        <f t="shared" si="333"/>
        <v>334.98992817460095</v>
      </c>
      <c r="DG642" s="164">
        <f t="shared" si="334"/>
        <v>25</v>
      </c>
      <c r="DH642" s="166">
        <f t="shared" si="335"/>
        <v>467.00677518932861</v>
      </c>
      <c r="DI642" s="164">
        <f>IFERROR(INDEX(DC$615:DC$663,_xlfn.AGGREGATE(15,6,(ROW(DC$615:DC$663)-ROW(DC$615)+1)/(DC$615:DC$663&lt;&gt;""),ROWS(DI$1:DI28))),"")</f>
        <v>25</v>
      </c>
      <c r="DJ642" s="165">
        <f>IFERROR(INDEX(DD$615:DD$663,_xlfn.AGGREGATE(15,6,(ROW(DD$615:DD$663)-ROW(DD$615)+1)/(DD$615:DD$663&lt;&gt;""),ROWS(DJ$1:DJ28))),"")</f>
        <v>202.97308115987329</v>
      </c>
      <c r="DK642" s="166">
        <f t="shared" si="336"/>
        <v>642</v>
      </c>
      <c r="DL642" s="164">
        <f>IFERROR(INDEX(DE$615:DE$663,_xlfn.AGGREGATE(15,6,(ROW(DE$615:DE$663)-ROW(DE$615)+1)/(DE$615:DE$663&lt;&gt;""),ROWS(DL$1:DL28))),"")</f>
        <v>25</v>
      </c>
      <c r="DM642" s="165">
        <f>IFERROR(INDEX(DF$615:DF$663,_xlfn.AGGREGATE(15,6,(ROW(DF$615:DF$663)-ROW(DF$615)+1)/(DF$615:DF$663&lt;&gt;""),ROWS(DM$1:DM28))),"")</f>
        <v>334.98992817460095</v>
      </c>
      <c r="DN642" s="166">
        <f t="shared" si="337"/>
        <v>642</v>
      </c>
      <c r="DO642" s="164">
        <f>IFERROR(INDEX(DG$615:DG$663,_xlfn.AGGREGATE(15,6,(ROW(DG$615:DG$663)-ROW(DG$615)+1)/(DG$615:DG$663&lt;&gt;""),ROWS(DO$1:DO28))),"")</f>
        <v>25</v>
      </c>
      <c r="DP642" s="165">
        <f>IFERROR(INDEX(DH$615:DH$663,_xlfn.AGGREGATE(15,6,(ROW(DH$615:DH$663)-ROW(DH$615)+1)/(DH$615:DH$663&lt;&gt;""),ROWS(DP$1:DP28))),"")</f>
        <v>467.00677518932861</v>
      </c>
      <c r="DQ642" s="166">
        <f t="shared" si="338"/>
        <v>642</v>
      </c>
      <c r="DR642" s="65"/>
      <c r="DV642" s="145">
        <v>2042</v>
      </c>
      <c r="DW642" s="235">
        <f t="shared" ca="1" si="322"/>
        <v>356.54185292568411</v>
      </c>
    </row>
    <row r="643" spans="2:135" ht="13.8" x14ac:dyDescent="0.45">
      <c r="B643" s="128">
        <v>2040</v>
      </c>
      <c r="C643" s="912">
        <v>332</v>
      </c>
      <c r="D643" s="960">
        <v>515.95583417220303</v>
      </c>
      <c r="E643" s="292"/>
      <c r="F643" s="914"/>
      <c r="G643" s="320"/>
      <c r="H643" s="292"/>
      <c r="I643" s="1112">
        <v>177.89189189189179</v>
      </c>
      <c r="J643" s="320"/>
      <c r="K643" s="292"/>
      <c r="L643" s="293"/>
      <c r="M643" s="292"/>
      <c r="N643" s="29" t="s">
        <v>119</v>
      </c>
      <c r="O643" s="120"/>
      <c r="P643" s="120"/>
      <c r="Q643" s="120"/>
      <c r="R643" s="29">
        <v>26</v>
      </c>
      <c r="S643" s="317">
        <f t="shared" si="323"/>
        <v>177.89189189189179</v>
      </c>
      <c r="T643" s="317">
        <f t="shared" si="324"/>
        <v>515.95583417220303</v>
      </c>
      <c r="U643" s="317">
        <f t="shared" si="325"/>
        <v>138.19321698290446</v>
      </c>
      <c r="W643" s="317">
        <f t="shared" si="326"/>
        <v>203.75602503846045</v>
      </c>
      <c r="X643" s="317">
        <f t="shared" si="327"/>
        <v>341.94924202136491</v>
      </c>
      <c r="Y643" s="317">
        <f t="shared" si="328"/>
        <v>480.14245900426937</v>
      </c>
      <c r="AA643" s="89"/>
      <c r="AB643" s="89"/>
      <c r="AC643" s="89"/>
      <c r="AD643" s="89"/>
      <c r="AE643" s="89"/>
      <c r="AF643" s="89"/>
      <c r="AG643" s="89"/>
      <c r="AH643" s="89"/>
      <c r="AI643" s="89"/>
      <c r="AJ643" s="89"/>
      <c r="AK643" s="89"/>
      <c r="AL643" s="89"/>
      <c r="AM643" s="89"/>
      <c r="AN643" s="89"/>
      <c r="BR643" s="180">
        <v>2038</v>
      </c>
      <c r="BS643" s="22">
        <v>24</v>
      </c>
      <c r="BT643" s="318">
        <f t="shared" si="339"/>
        <v>149.15437663305246</v>
      </c>
      <c r="BU643" s="319">
        <f t="shared" si="340"/>
        <v>197.08859710304145</v>
      </c>
      <c r="BV643" s="205">
        <f t="shared" si="341"/>
        <v>346.24297373609392</v>
      </c>
      <c r="BY643" s="180">
        <v>2038</v>
      </c>
      <c r="BZ643" s="22">
        <v>24</v>
      </c>
      <c r="CA643" s="318">
        <f t="shared" ca="1" si="342"/>
        <v>60.243266670633538</v>
      </c>
      <c r="CB643" s="318">
        <f t="shared" ca="1" si="343"/>
        <v>38.708387736890984</v>
      </c>
      <c r="CC643" s="319">
        <f t="shared" ca="1" si="354"/>
        <v>226.79187441981213</v>
      </c>
      <c r="CD643" s="205">
        <f t="shared" ca="1" si="344"/>
        <v>325.74352882733666</v>
      </c>
      <c r="CG643" s="180">
        <v>2038</v>
      </c>
      <c r="CH643" s="22">
        <v>24</v>
      </c>
      <c r="CI643" s="318">
        <f t="shared" ca="1" si="345"/>
        <v>-18.446324773500159</v>
      </c>
      <c r="CJ643" s="318">
        <f t="shared" ca="1" si="346"/>
        <v>110.97065979775894</v>
      </c>
      <c r="CK643" s="318">
        <f t="shared" ca="1" si="347"/>
        <v>3.7308253799172473</v>
      </c>
      <c r="CL643" s="319">
        <f t="shared" ca="1" si="348"/>
        <v>230.43790580082432</v>
      </c>
      <c r="CM643" s="205">
        <f t="shared" ca="1" si="349"/>
        <v>326.69306620500038</v>
      </c>
      <c r="CP643" s="180">
        <v>2038</v>
      </c>
      <c r="CQ643" s="22">
        <v>24</v>
      </c>
      <c r="CR643" s="318">
        <f t="shared" ca="1" si="350"/>
        <v>214.56777435485824</v>
      </c>
      <c r="CS643" s="319">
        <f t="shared" ca="1" si="351"/>
        <v>1.5582403423928124</v>
      </c>
      <c r="CT643" s="205">
        <f t="shared" ca="1" si="352"/>
        <v>334.34816217717804</v>
      </c>
      <c r="CZ643" s="164" t="b">
        <f t="shared" si="329"/>
        <v>1</v>
      </c>
      <c r="DA643" s="165" t="b">
        <f t="shared" si="329"/>
        <v>1</v>
      </c>
      <c r="DB643" s="166" t="b">
        <f t="shared" si="329"/>
        <v>1</v>
      </c>
      <c r="DC643" s="164">
        <f t="shared" si="330"/>
        <v>26</v>
      </c>
      <c r="DD643" s="166">
        <f t="shared" si="331"/>
        <v>203.75602503846045</v>
      </c>
      <c r="DE643" s="164">
        <f t="shared" si="332"/>
        <v>26</v>
      </c>
      <c r="DF643" s="166">
        <f t="shared" si="333"/>
        <v>341.94924202136491</v>
      </c>
      <c r="DG643" s="164">
        <f t="shared" si="334"/>
        <v>26</v>
      </c>
      <c r="DH643" s="166">
        <f t="shared" si="335"/>
        <v>480.14245900426937</v>
      </c>
      <c r="DI643" s="164">
        <f>IFERROR(INDEX(DC$615:DC$663,_xlfn.AGGREGATE(15,6,(ROW(DC$615:DC$663)-ROW(DC$615)+1)/(DC$615:DC$663&lt;&gt;""),ROWS(DI$1:DI29))),"")</f>
        <v>26</v>
      </c>
      <c r="DJ643" s="165">
        <f>IFERROR(INDEX(DD$615:DD$663,_xlfn.AGGREGATE(15,6,(ROW(DD$615:DD$663)-ROW(DD$615)+1)/(DD$615:DD$663&lt;&gt;""),ROWS(DJ$1:DJ29))),"")</f>
        <v>203.75602503846045</v>
      </c>
      <c r="DK643" s="166">
        <f t="shared" si="336"/>
        <v>643</v>
      </c>
      <c r="DL643" s="164">
        <f>IFERROR(INDEX(DE$615:DE$663,_xlfn.AGGREGATE(15,6,(ROW(DE$615:DE$663)-ROW(DE$615)+1)/(DE$615:DE$663&lt;&gt;""),ROWS(DL$1:DL29))),"")</f>
        <v>26</v>
      </c>
      <c r="DM643" s="165">
        <f>IFERROR(INDEX(DF$615:DF$663,_xlfn.AGGREGATE(15,6,(ROW(DF$615:DF$663)-ROW(DF$615)+1)/(DF$615:DF$663&lt;&gt;""),ROWS(DM$1:DM29))),"")</f>
        <v>341.94924202136491</v>
      </c>
      <c r="DN643" s="166">
        <f t="shared" si="337"/>
        <v>643</v>
      </c>
      <c r="DO643" s="164">
        <f>IFERROR(INDEX(DG$615:DG$663,_xlfn.AGGREGATE(15,6,(ROW(DG$615:DG$663)-ROW(DG$615)+1)/(DG$615:DG$663&lt;&gt;""),ROWS(DO$1:DO29))),"")</f>
        <v>26</v>
      </c>
      <c r="DP643" s="165">
        <f>IFERROR(INDEX(DH$615:DH$663,_xlfn.AGGREGATE(15,6,(ROW(DH$615:DH$663)-ROW(DH$615)+1)/(DH$615:DH$663&lt;&gt;""),ROWS(DP$1:DP29))),"")</f>
        <v>480.14245900426937</v>
      </c>
      <c r="DQ643" s="166">
        <f t="shared" si="338"/>
        <v>643</v>
      </c>
      <c r="DR643" s="65"/>
      <c r="DV643" s="145">
        <v>2043</v>
      </c>
      <c r="DW643" s="235">
        <f t="shared" ca="1" si="322"/>
        <v>364.42691691216754</v>
      </c>
      <c r="EA643" s="55"/>
      <c r="EB643" s="55"/>
      <c r="EC643" s="55"/>
      <c r="ED643" s="55"/>
      <c r="EE643" s="55"/>
    </row>
    <row r="644" spans="2:135" ht="13.8" x14ac:dyDescent="0.45">
      <c r="B644" s="128">
        <v>2041</v>
      </c>
      <c r="C644" s="912">
        <v>334.43</v>
      </c>
      <c r="D644" s="960">
        <v>533.13077712905158</v>
      </c>
      <c r="E644" s="292"/>
      <c r="F644" s="914"/>
      <c r="G644" s="320"/>
      <c r="H644" s="292"/>
      <c r="I644" s="1112">
        <v>179.7027027027026</v>
      </c>
      <c r="J644" s="320"/>
      <c r="K644" s="292"/>
      <c r="L644" s="293"/>
      <c r="M644" s="292"/>
      <c r="N644" s="29" t="s">
        <v>119</v>
      </c>
      <c r="O644" s="120"/>
      <c r="P644" s="120"/>
      <c r="Q644" s="120"/>
      <c r="R644" s="29">
        <v>27</v>
      </c>
      <c r="S644" s="317">
        <f t="shared" si="323"/>
        <v>179.7027027027026</v>
      </c>
      <c r="T644" s="317">
        <f t="shared" si="324"/>
        <v>533.13077712905158</v>
      </c>
      <c r="U644" s="317">
        <f t="shared" si="325"/>
        <v>144.65819451126563</v>
      </c>
      <c r="W644" s="317">
        <f t="shared" si="326"/>
        <v>204.42963209931904</v>
      </c>
      <c r="X644" s="317">
        <f t="shared" si="327"/>
        <v>349.08782661058467</v>
      </c>
      <c r="Y644" s="317">
        <f t="shared" si="328"/>
        <v>493.74602112185028</v>
      </c>
      <c r="AA644" s="89"/>
      <c r="AB644" s="89"/>
      <c r="AC644" s="89"/>
      <c r="AD644" s="89"/>
      <c r="AE644" s="89"/>
      <c r="AF644" s="89"/>
      <c r="AG644" s="89"/>
      <c r="AH644" s="89"/>
      <c r="AI644" s="89"/>
      <c r="AJ644" s="89"/>
      <c r="AK644" s="89"/>
      <c r="AL644" s="89"/>
      <c r="AM644" s="89"/>
      <c r="AN644" s="89"/>
      <c r="BR644" s="180">
        <v>2039</v>
      </c>
      <c r="BS644" s="22">
        <v>25</v>
      </c>
      <c r="BT644" s="318">
        <f t="shared" si="339"/>
        <v>155.36914232609632</v>
      </c>
      <c r="BU644" s="319">
        <f t="shared" si="340"/>
        <v>197.08859710304145</v>
      </c>
      <c r="BV644" s="205">
        <f t="shared" si="341"/>
        <v>352.45773942913775</v>
      </c>
      <c r="BY644" s="180">
        <v>2039</v>
      </c>
      <c r="BZ644" s="22">
        <v>25</v>
      </c>
      <c r="CA644" s="318">
        <f t="shared" ca="1" si="342"/>
        <v>65.368127897822845</v>
      </c>
      <c r="CB644" s="318">
        <f t="shared" ca="1" si="343"/>
        <v>40.321237225928108</v>
      </c>
      <c r="CC644" s="319">
        <f t="shared" ca="1" si="354"/>
        <v>226.79187441981213</v>
      </c>
      <c r="CD644" s="205">
        <f t="shared" ca="1" si="344"/>
        <v>332.48123954356311</v>
      </c>
      <c r="CG644" s="180">
        <v>2039</v>
      </c>
      <c r="CH644" s="22">
        <v>25</v>
      </c>
      <c r="CI644" s="318">
        <f t="shared" ca="1" si="345"/>
        <v>-20.849524347941259</v>
      </c>
      <c r="CJ644" s="318">
        <f t="shared" ca="1" si="346"/>
        <v>120.41087217638774</v>
      </c>
      <c r="CK644" s="318">
        <f t="shared" ca="1" si="347"/>
        <v>3.886276437413799</v>
      </c>
      <c r="CL644" s="319">
        <f t="shared" ca="1" si="348"/>
        <v>230.43790580082432</v>
      </c>
      <c r="CM644" s="205">
        <f t="shared" ca="1" si="349"/>
        <v>333.88553006668462</v>
      </c>
      <c r="CP644" s="180">
        <v>2039</v>
      </c>
      <c r="CQ644" s="22">
        <v>25</v>
      </c>
      <c r="CR644" s="318">
        <f t="shared" ca="1" si="350"/>
        <v>214.56777435485824</v>
      </c>
      <c r="CS644" s="319">
        <f t="shared" ca="1" si="351"/>
        <v>1.5873068084551887</v>
      </c>
      <c r="CT644" s="205">
        <f t="shared" ca="1" si="352"/>
        <v>340.58488910854311</v>
      </c>
      <c r="CZ644" s="164" t="b">
        <f t="shared" si="329"/>
        <v>1</v>
      </c>
      <c r="DA644" s="165" t="b">
        <f t="shared" si="329"/>
        <v>1</v>
      </c>
      <c r="DB644" s="166" t="b">
        <f t="shared" si="329"/>
        <v>1</v>
      </c>
      <c r="DC644" s="164">
        <f t="shared" si="330"/>
        <v>27</v>
      </c>
      <c r="DD644" s="166">
        <f t="shared" si="331"/>
        <v>204.42963209931904</v>
      </c>
      <c r="DE644" s="164">
        <f t="shared" si="332"/>
        <v>27</v>
      </c>
      <c r="DF644" s="166">
        <f t="shared" si="333"/>
        <v>349.08782661058467</v>
      </c>
      <c r="DG644" s="164">
        <f t="shared" si="334"/>
        <v>27</v>
      </c>
      <c r="DH644" s="166">
        <f t="shared" si="335"/>
        <v>493.74602112185028</v>
      </c>
      <c r="DI644" s="164">
        <f>IFERROR(INDEX(DC$615:DC$663,_xlfn.AGGREGATE(15,6,(ROW(DC$615:DC$663)-ROW(DC$615)+1)/(DC$615:DC$663&lt;&gt;""),ROWS(DI$1:DI30))),"")</f>
        <v>27</v>
      </c>
      <c r="DJ644" s="165">
        <f>IFERROR(INDEX(DD$615:DD$663,_xlfn.AGGREGATE(15,6,(ROW(DD$615:DD$663)-ROW(DD$615)+1)/(DD$615:DD$663&lt;&gt;""),ROWS(DJ$1:DJ30))),"")</f>
        <v>204.42963209931904</v>
      </c>
      <c r="DK644" s="166">
        <f t="shared" si="336"/>
        <v>644</v>
      </c>
      <c r="DL644" s="164">
        <f>IFERROR(INDEX(DE$615:DE$663,_xlfn.AGGREGATE(15,6,(ROW(DE$615:DE$663)-ROW(DE$615)+1)/(DE$615:DE$663&lt;&gt;""),ROWS(DL$1:DL30))),"")</f>
        <v>27</v>
      </c>
      <c r="DM644" s="165">
        <f>IFERROR(INDEX(DF$615:DF$663,_xlfn.AGGREGATE(15,6,(ROW(DF$615:DF$663)-ROW(DF$615)+1)/(DF$615:DF$663&lt;&gt;""),ROWS(DM$1:DM30))),"")</f>
        <v>349.08782661058467</v>
      </c>
      <c r="DN644" s="166">
        <f t="shared" si="337"/>
        <v>644</v>
      </c>
      <c r="DO644" s="164">
        <f>IFERROR(INDEX(DG$615:DG$663,_xlfn.AGGREGATE(15,6,(ROW(DG$615:DG$663)-ROW(DG$615)+1)/(DG$615:DG$663&lt;&gt;""),ROWS(DO$1:DO30))),"")</f>
        <v>27</v>
      </c>
      <c r="DP644" s="165">
        <f>IFERROR(INDEX(DH$615:DH$663,_xlfn.AGGREGATE(15,6,(ROW(DH$615:DH$663)-ROW(DH$615)+1)/(DH$615:DH$663&lt;&gt;""),ROWS(DP$1:DP30))),"")</f>
        <v>493.74602112185028</v>
      </c>
      <c r="DQ644" s="166">
        <f t="shared" si="338"/>
        <v>644</v>
      </c>
      <c r="DR644" s="65"/>
      <c r="DV644" s="145">
        <v>2044</v>
      </c>
      <c r="DW644" s="235">
        <f t="shared" ca="1" si="322"/>
        <v>372.46511538647673</v>
      </c>
      <c r="EA644" s="55"/>
      <c r="EB644" s="55"/>
      <c r="EC644" s="55"/>
      <c r="ED644" s="55"/>
      <c r="EE644" s="55"/>
    </row>
    <row r="645" spans="2:135" ht="13.8" x14ac:dyDescent="0.45">
      <c r="B645" s="128">
        <v>2042</v>
      </c>
      <c r="C645" s="912">
        <v>336.86</v>
      </c>
      <c r="D645" s="960">
        <v>550.84353231326736</v>
      </c>
      <c r="E645" s="292"/>
      <c r="F645" s="914"/>
      <c r="G645" s="320"/>
      <c r="H645" s="292"/>
      <c r="I645" s="1112">
        <v>181.5135135135134</v>
      </c>
      <c r="J645" s="320"/>
      <c r="K645" s="292"/>
      <c r="L645" s="293"/>
      <c r="M645" s="292"/>
      <c r="N645" s="29" t="s">
        <v>119</v>
      </c>
      <c r="O645" s="120"/>
      <c r="P645" s="120"/>
      <c r="Q645" s="120"/>
      <c r="R645" s="29">
        <v>28</v>
      </c>
      <c r="S645" s="317">
        <f t="shared" si="323"/>
        <v>181.5135135135134</v>
      </c>
      <c r="T645" s="317">
        <f t="shared" si="324"/>
        <v>550.84353231326736</v>
      </c>
      <c r="U645" s="317">
        <f t="shared" si="325"/>
        <v>151.41045969724729</v>
      </c>
      <c r="W645" s="317">
        <f t="shared" si="326"/>
        <v>204.995222245013</v>
      </c>
      <c r="X645" s="317">
        <f t="shared" si="327"/>
        <v>356.40568194226029</v>
      </c>
      <c r="Y645" s="317">
        <f t="shared" si="328"/>
        <v>507.81614163950758</v>
      </c>
      <c r="AA645" s="89"/>
      <c r="AB645" s="89"/>
      <c r="AC645" s="89"/>
      <c r="AD645" s="89"/>
      <c r="AE645" s="89"/>
      <c r="AF645" s="89"/>
      <c r="AG645" s="89"/>
      <c r="AH645" s="89"/>
      <c r="AI645" s="89"/>
      <c r="AJ645" s="89"/>
      <c r="AK645" s="89"/>
      <c r="AL645" s="89"/>
      <c r="AM645" s="89"/>
      <c r="AN645" s="89"/>
      <c r="BR645" s="180">
        <v>2040</v>
      </c>
      <c r="BS645" s="22">
        <v>26</v>
      </c>
      <c r="BT645" s="318">
        <f t="shared" si="339"/>
        <v>161.58390801914015</v>
      </c>
      <c r="BU645" s="319">
        <f t="shared" si="340"/>
        <v>197.08859710304145</v>
      </c>
      <c r="BV645" s="205">
        <f t="shared" si="341"/>
        <v>358.67250512218163</v>
      </c>
      <c r="BY645" s="180">
        <v>2040</v>
      </c>
      <c r="BZ645" s="22">
        <v>26</v>
      </c>
      <c r="CA645" s="318">
        <f t="shared" ca="1" si="342"/>
        <v>70.70216713428519</v>
      </c>
      <c r="CB645" s="318">
        <f t="shared" ca="1" si="343"/>
        <v>41.934086714965233</v>
      </c>
      <c r="CC645" s="319">
        <f t="shared" ca="1" si="354"/>
        <v>226.79187441981213</v>
      </c>
      <c r="CD645" s="205">
        <f t="shared" ca="1" si="344"/>
        <v>339.42812826906254</v>
      </c>
      <c r="CG645" s="180">
        <v>2040</v>
      </c>
      <c r="CH645" s="22">
        <v>26</v>
      </c>
      <c r="CI645" s="318">
        <f t="shared" ca="1" si="345"/>
        <v>-23.452879356122597</v>
      </c>
      <c r="CJ645" s="318">
        <f t="shared" ca="1" si="346"/>
        <v>130.23639934598097</v>
      </c>
      <c r="CK645" s="318">
        <f t="shared" ca="1" si="347"/>
        <v>4.0417274949103508</v>
      </c>
      <c r="CL645" s="319">
        <f t="shared" ca="1" si="348"/>
        <v>230.43790580082432</v>
      </c>
      <c r="CM645" s="205">
        <f t="shared" ca="1" si="349"/>
        <v>341.26315328559303</v>
      </c>
      <c r="CP645" s="180">
        <v>2040</v>
      </c>
      <c r="CQ645" s="22">
        <v>26</v>
      </c>
      <c r="CR645" s="318">
        <f t="shared" ca="1" si="350"/>
        <v>214.56777435485824</v>
      </c>
      <c r="CS645" s="319">
        <f t="shared" ca="1" si="351"/>
        <v>1.6169154626681155</v>
      </c>
      <c r="CT645" s="205">
        <f t="shared" ca="1" si="352"/>
        <v>346.93795214465342</v>
      </c>
      <c r="CZ645" s="164" t="b">
        <f t="shared" si="329"/>
        <v>1</v>
      </c>
      <c r="DA645" s="165" t="b">
        <f t="shared" si="329"/>
        <v>1</v>
      </c>
      <c r="DB645" s="166" t="b">
        <f t="shared" si="329"/>
        <v>1</v>
      </c>
      <c r="DC645" s="164">
        <f t="shared" si="330"/>
        <v>28</v>
      </c>
      <c r="DD645" s="166">
        <f t="shared" si="331"/>
        <v>204.995222245013</v>
      </c>
      <c r="DE645" s="164">
        <f t="shared" si="332"/>
        <v>28</v>
      </c>
      <c r="DF645" s="166">
        <f t="shared" si="333"/>
        <v>356.40568194226029</v>
      </c>
      <c r="DG645" s="164">
        <f t="shared" si="334"/>
        <v>28</v>
      </c>
      <c r="DH645" s="166">
        <f t="shared" si="335"/>
        <v>507.81614163950758</v>
      </c>
      <c r="DI645" s="164">
        <f>IFERROR(INDEX(DC$615:DC$663,_xlfn.AGGREGATE(15,6,(ROW(DC$615:DC$663)-ROW(DC$615)+1)/(DC$615:DC$663&lt;&gt;""),ROWS(DI$1:DI31))),"")</f>
        <v>28</v>
      </c>
      <c r="DJ645" s="165">
        <f>IFERROR(INDEX(DD$615:DD$663,_xlfn.AGGREGATE(15,6,(ROW(DD$615:DD$663)-ROW(DD$615)+1)/(DD$615:DD$663&lt;&gt;""),ROWS(DJ$1:DJ31))),"")</f>
        <v>204.995222245013</v>
      </c>
      <c r="DK645" s="166">
        <f t="shared" si="336"/>
        <v>645</v>
      </c>
      <c r="DL645" s="164">
        <f>IFERROR(INDEX(DE$615:DE$663,_xlfn.AGGREGATE(15,6,(ROW(DE$615:DE$663)-ROW(DE$615)+1)/(DE$615:DE$663&lt;&gt;""),ROWS(DL$1:DL31))),"")</f>
        <v>28</v>
      </c>
      <c r="DM645" s="165">
        <f>IFERROR(INDEX(DF$615:DF$663,_xlfn.AGGREGATE(15,6,(ROW(DF$615:DF$663)-ROW(DF$615)+1)/(DF$615:DF$663&lt;&gt;""),ROWS(DM$1:DM31))),"")</f>
        <v>356.40568194226029</v>
      </c>
      <c r="DN645" s="166">
        <f t="shared" si="337"/>
        <v>645</v>
      </c>
      <c r="DO645" s="164">
        <f>IFERROR(INDEX(DG$615:DG$663,_xlfn.AGGREGATE(15,6,(ROW(DG$615:DG$663)-ROW(DG$615)+1)/(DG$615:DG$663&lt;&gt;""),ROWS(DO$1:DO31))),"")</f>
        <v>28</v>
      </c>
      <c r="DP645" s="165">
        <f>IFERROR(INDEX(DH$615:DH$663,_xlfn.AGGREGATE(15,6,(ROW(DH$615:DH$663)-ROW(DH$615)+1)/(DH$615:DH$663&lt;&gt;""),ROWS(DP$1:DP31))),"")</f>
        <v>507.81614163950758</v>
      </c>
      <c r="DQ645" s="166">
        <f t="shared" si="338"/>
        <v>645</v>
      </c>
      <c r="DR645" s="65"/>
      <c r="DV645" s="145">
        <v>2045</v>
      </c>
      <c r="DW645" s="235">
        <f t="shared" ca="1" si="322"/>
        <v>380.64844213126207</v>
      </c>
      <c r="EA645" s="55"/>
      <c r="EB645" s="55"/>
      <c r="EC645" s="55"/>
      <c r="ED645" s="55"/>
      <c r="EE645" s="55"/>
    </row>
    <row r="646" spans="2:135" ht="13.8" x14ac:dyDescent="0.45">
      <c r="B646" s="128">
        <v>2043</v>
      </c>
      <c r="C646" s="912">
        <v>339.29</v>
      </c>
      <c r="D646" s="960">
        <v>569.09409972485048</v>
      </c>
      <c r="E646" s="292"/>
      <c r="F646" s="914"/>
      <c r="G646" s="320"/>
      <c r="H646" s="292"/>
      <c r="I646" s="1112">
        <v>183.32432432432421</v>
      </c>
      <c r="J646" s="320"/>
      <c r="K646" s="292"/>
      <c r="L646" s="293"/>
      <c r="M646" s="292"/>
      <c r="N646" s="29" t="s">
        <v>119</v>
      </c>
      <c r="O646" s="120"/>
      <c r="P646" s="120"/>
      <c r="Q646" s="120"/>
      <c r="R646" s="29">
        <v>29</v>
      </c>
      <c r="S646" s="317">
        <f t="shared" si="323"/>
        <v>183.32432432432421</v>
      </c>
      <c r="T646" s="317">
        <f t="shared" si="324"/>
        <v>569.09409972485048</v>
      </c>
      <c r="U646" s="317">
        <f t="shared" si="325"/>
        <v>158.44856713769292</v>
      </c>
      <c r="W646" s="317">
        <f t="shared" si="326"/>
        <v>205.45424087869867</v>
      </c>
      <c r="X646" s="317">
        <f t="shared" si="327"/>
        <v>363.90280801639159</v>
      </c>
      <c r="Y646" s="317">
        <f t="shared" si="328"/>
        <v>522.35137515408451</v>
      </c>
      <c r="AA646" s="89"/>
      <c r="AB646" s="89"/>
      <c r="AC646" s="89"/>
      <c r="AD646" s="89"/>
      <c r="AE646" s="89"/>
      <c r="AF646" s="89"/>
      <c r="AG646" s="89"/>
      <c r="AH646" s="89"/>
      <c r="AI646" s="89"/>
      <c r="AJ646" s="89"/>
      <c r="AK646" s="89"/>
      <c r="AL646" s="89"/>
      <c r="AM646" s="89"/>
      <c r="AN646" s="89"/>
      <c r="BR646" s="180">
        <v>2041</v>
      </c>
      <c r="BS646" s="22">
        <v>27</v>
      </c>
      <c r="BT646" s="318">
        <f t="shared" si="339"/>
        <v>167.79867371218401</v>
      </c>
      <c r="BU646" s="319">
        <f t="shared" si="340"/>
        <v>197.08859710304145</v>
      </c>
      <c r="BV646" s="205">
        <f t="shared" si="341"/>
        <v>364.88727081522546</v>
      </c>
      <c r="BY646" s="180">
        <v>2041</v>
      </c>
      <c r="BZ646" s="22">
        <v>27</v>
      </c>
      <c r="CA646" s="318">
        <f t="shared" ca="1" si="342"/>
        <v>76.245384380020568</v>
      </c>
      <c r="CB646" s="318">
        <f t="shared" ca="1" si="343"/>
        <v>43.546936204002357</v>
      </c>
      <c r="CC646" s="319">
        <f t="shared" ca="1" si="354"/>
        <v>226.79187441981213</v>
      </c>
      <c r="CD646" s="205">
        <f t="shared" ca="1" si="344"/>
        <v>346.58419500383502</v>
      </c>
      <c r="CG646" s="180">
        <v>2041</v>
      </c>
      <c r="CH646" s="22">
        <v>27</v>
      </c>
      <c r="CI646" s="318">
        <f t="shared" ca="1" si="345"/>
        <v>-26.264396015393782</v>
      </c>
      <c r="CJ646" s="318">
        <f t="shared" ca="1" si="346"/>
        <v>140.44724130653867</v>
      </c>
      <c r="CK646" s="318">
        <f t="shared" ca="1" si="347"/>
        <v>4.1971785524069034</v>
      </c>
      <c r="CL646" s="319">
        <f t="shared" ca="1" si="348"/>
        <v>230.43790580082432</v>
      </c>
      <c r="CM646" s="205">
        <f t="shared" ca="1" si="349"/>
        <v>348.81792964437614</v>
      </c>
      <c r="CP646" s="180">
        <v>2041</v>
      </c>
      <c r="CQ646" s="22">
        <v>27</v>
      </c>
      <c r="CR646" s="318">
        <f t="shared" ca="1" si="350"/>
        <v>214.56777435485824</v>
      </c>
      <c r="CS646" s="319">
        <f t="shared" ca="1" si="351"/>
        <v>1.6470764186790507</v>
      </c>
      <c r="CT646" s="205">
        <f t="shared" ca="1" si="352"/>
        <v>353.40952134833458</v>
      </c>
      <c r="CZ646" s="164" t="b">
        <f t="shared" si="329"/>
        <v>1</v>
      </c>
      <c r="DA646" s="165" t="b">
        <f t="shared" si="329"/>
        <v>1</v>
      </c>
      <c r="DB646" s="166" t="b">
        <f t="shared" si="329"/>
        <v>1</v>
      </c>
      <c r="DC646" s="164">
        <f t="shared" si="330"/>
        <v>29</v>
      </c>
      <c r="DD646" s="166">
        <f t="shared" si="331"/>
        <v>205.45424087869867</v>
      </c>
      <c r="DE646" s="164">
        <f t="shared" si="332"/>
        <v>29</v>
      </c>
      <c r="DF646" s="166">
        <f t="shared" si="333"/>
        <v>363.90280801639159</v>
      </c>
      <c r="DG646" s="164">
        <f t="shared" si="334"/>
        <v>29</v>
      </c>
      <c r="DH646" s="166">
        <f t="shared" si="335"/>
        <v>522.35137515408451</v>
      </c>
      <c r="DI646" s="164">
        <f>IFERROR(INDEX(DC$615:DC$663,_xlfn.AGGREGATE(15,6,(ROW(DC$615:DC$663)-ROW(DC$615)+1)/(DC$615:DC$663&lt;&gt;""),ROWS(DI$1:DI32))),"")</f>
        <v>29</v>
      </c>
      <c r="DJ646" s="165">
        <f>IFERROR(INDEX(DD$615:DD$663,_xlfn.AGGREGATE(15,6,(ROW(DD$615:DD$663)-ROW(DD$615)+1)/(DD$615:DD$663&lt;&gt;""),ROWS(DJ$1:DJ32))),"")</f>
        <v>205.45424087869867</v>
      </c>
      <c r="DK646" s="166">
        <f t="shared" si="336"/>
        <v>646</v>
      </c>
      <c r="DL646" s="164">
        <f>IFERROR(INDEX(DE$615:DE$663,_xlfn.AGGREGATE(15,6,(ROW(DE$615:DE$663)-ROW(DE$615)+1)/(DE$615:DE$663&lt;&gt;""),ROWS(DL$1:DL32))),"")</f>
        <v>29</v>
      </c>
      <c r="DM646" s="165">
        <f>IFERROR(INDEX(DF$615:DF$663,_xlfn.AGGREGATE(15,6,(ROW(DF$615:DF$663)-ROW(DF$615)+1)/(DF$615:DF$663&lt;&gt;""),ROWS(DM$1:DM32))),"")</f>
        <v>363.90280801639159</v>
      </c>
      <c r="DN646" s="166">
        <f t="shared" si="337"/>
        <v>646</v>
      </c>
      <c r="DO646" s="164">
        <f>IFERROR(INDEX(DG$615:DG$663,_xlfn.AGGREGATE(15,6,(ROW(DG$615:DG$663)-ROW(DG$615)+1)/(DG$615:DG$663&lt;&gt;""),ROWS(DO$1:DO32))),"")</f>
        <v>29</v>
      </c>
      <c r="DP646" s="165">
        <f>IFERROR(INDEX(DH$615:DH$663,_xlfn.AGGREGATE(15,6,(ROW(DH$615:DH$663)-ROW(DH$615)+1)/(DH$615:DH$663&lt;&gt;""),ROWS(DP$1:DP32))),"")</f>
        <v>522.35137515408451</v>
      </c>
      <c r="DQ646" s="166">
        <f t="shared" si="338"/>
        <v>646</v>
      </c>
      <c r="DR646" s="65"/>
      <c r="DV646" s="145">
        <v>2046</v>
      </c>
      <c r="DW646" s="235">
        <f t="shared" ca="1" si="322"/>
        <v>388.96889092917394</v>
      </c>
      <c r="EA646" s="55"/>
      <c r="EB646" s="55"/>
      <c r="EC646" s="55"/>
      <c r="ED646" s="55"/>
      <c r="EE646" s="55"/>
    </row>
    <row r="647" spans="2:135" ht="13.8" x14ac:dyDescent="0.45">
      <c r="B647" s="128">
        <v>2044</v>
      </c>
      <c r="C647" s="912">
        <v>341.72</v>
      </c>
      <c r="D647" s="960">
        <v>587.88247936380094</v>
      </c>
      <c r="E647" s="292"/>
      <c r="F647" s="914"/>
      <c r="G647" s="320"/>
      <c r="H647" s="292"/>
      <c r="I647" s="1112">
        <v>185.13513513513502</v>
      </c>
      <c r="J647" s="320"/>
      <c r="K647" s="292"/>
      <c r="L647" s="293"/>
      <c r="M647" s="292"/>
      <c r="N647" s="29" t="s">
        <v>119</v>
      </c>
      <c r="O647" s="120"/>
      <c r="P647" s="120"/>
      <c r="Q647" s="120"/>
      <c r="R647" s="29">
        <v>30</v>
      </c>
      <c r="S647" s="317">
        <f t="shared" si="323"/>
        <v>185.13513513513502</v>
      </c>
      <c r="T647" s="317">
        <f t="shared" si="324"/>
        <v>587.88247936380094</v>
      </c>
      <c r="U647" s="317">
        <f t="shared" si="325"/>
        <v>165.7709964695357</v>
      </c>
      <c r="W647" s="317">
        <f t="shared" si="326"/>
        <v>205.80820836344293</v>
      </c>
      <c r="X647" s="317">
        <f t="shared" ref="X647:X663" si="356">IF(U647="",#N/A,(SUM(C647:Q647)/COUNTIFS(C647:Q647,"&gt;0")))</f>
        <v>371.57920483297863</v>
      </c>
      <c r="Y647" s="317">
        <f t="shared" si="328"/>
        <v>537.35020130251428</v>
      </c>
      <c r="AA647" s="89"/>
      <c r="AB647" s="89"/>
      <c r="AC647" s="89"/>
      <c r="AD647" s="89"/>
      <c r="AE647" s="89"/>
      <c r="AF647" s="89"/>
      <c r="AG647" s="89"/>
      <c r="AH647" s="89"/>
      <c r="AI647" s="89"/>
      <c r="AJ647" s="89"/>
      <c r="AK647" s="89"/>
      <c r="AL647" s="89"/>
      <c r="AM647" s="89"/>
      <c r="AN647" s="89"/>
      <c r="BR647" s="180">
        <v>2042</v>
      </c>
      <c r="BS647" s="22">
        <v>28</v>
      </c>
      <c r="BT647" s="318">
        <f t="shared" si="339"/>
        <v>174.01343940522787</v>
      </c>
      <c r="BU647" s="319">
        <f t="shared" si="340"/>
        <v>197.08859710304145</v>
      </c>
      <c r="BV647" s="205">
        <f t="shared" si="341"/>
        <v>371.10203650826929</v>
      </c>
      <c r="BY647" s="180">
        <v>2042</v>
      </c>
      <c r="BZ647" s="22">
        <v>28</v>
      </c>
      <c r="CA647" s="318">
        <f t="shared" ca="1" si="342"/>
        <v>81.997779635028991</v>
      </c>
      <c r="CB647" s="318">
        <f t="shared" ca="1" si="343"/>
        <v>45.159785693039481</v>
      </c>
      <c r="CC647" s="319">
        <f t="shared" ca="1" si="354"/>
        <v>226.79187441981213</v>
      </c>
      <c r="CD647" s="205">
        <f t="shared" ca="1" si="344"/>
        <v>353.9494397478806</v>
      </c>
      <c r="CG647" s="180">
        <v>2042</v>
      </c>
      <c r="CH647" s="22">
        <v>28</v>
      </c>
      <c r="CI647" s="318">
        <f t="shared" ca="1" si="345"/>
        <v>-29.292080543104419</v>
      </c>
      <c r="CJ647" s="318">
        <f t="shared" ca="1" si="346"/>
        <v>151.04339805806077</v>
      </c>
      <c r="CK647" s="318">
        <f t="shared" ca="1" si="347"/>
        <v>4.3526296099034552</v>
      </c>
      <c r="CL647" s="319">
        <f t="shared" ca="1" si="348"/>
        <v>230.43790580082432</v>
      </c>
      <c r="CM647" s="205">
        <f t="shared" ca="1" si="349"/>
        <v>356.54185292568411</v>
      </c>
      <c r="CP647" s="180">
        <v>2042</v>
      </c>
      <c r="CQ647" s="22">
        <v>28</v>
      </c>
      <c r="CR647" s="318">
        <f t="shared" ca="1" si="350"/>
        <v>214.56777435485824</v>
      </c>
      <c r="CS647" s="319">
        <f t="shared" ca="1" si="351"/>
        <v>1.6777999787892703</v>
      </c>
      <c r="CT647" s="205">
        <f t="shared" ca="1" si="352"/>
        <v>360.00180726144208</v>
      </c>
      <c r="CZ647" s="164" t="b">
        <f t="shared" si="329"/>
        <v>1</v>
      </c>
      <c r="DA647" s="165" t="b">
        <f t="shared" si="329"/>
        <v>1</v>
      </c>
      <c r="DB647" s="166" t="b">
        <f t="shared" si="329"/>
        <v>1</v>
      </c>
      <c r="DC647" s="164">
        <f t="shared" si="330"/>
        <v>30</v>
      </c>
      <c r="DD647" s="166">
        <f t="shared" si="331"/>
        <v>205.80820836344293</v>
      </c>
      <c r="DE647" s="164">
        <f t="shared" si="332"/>
        <v>30</v>
      </c>
      <c r="DF647" s="166">
        <f t="shared" si="333"/>
        <v>371.57920483297863</v>
      </c>
      <c r="DG647" s="164">
        <f t="shared" si="334"/>
        <v>30</v>
      </c>
      <c r="DH647" s="166">
        <f t="shared" si="335"/>
        <v>537.35020130251428</v>
      </c>
      <c r="DI647" s="164">
        <f>IFERROR(INDEX(DC$615:DC$663,_xlfn.AGGREGATE(15,6,(ROW(DC$615:DC$663)-ROW(DC$615)+1)/(DC$615:DC$663&lt;&gt;""),ROWS(DI$1:DI33))),"")</f>
        <v>30</v>
      </c>
      <c r="DJ647" s="165">
        <f>IFERROR(INDEX(DD$615:DD$663,_xlfn.AGGREGATE(15,6,(ROW(DD$615:DD$663)-ROW(DD$615)+1)/(DD$615:DD$663&lt;&gt;""),ROWS(DJ$1:DJ33))),"")</f>
        <v>205.80820836344293</v>
      </c>
      <c r="DK647" s="166">
        <f t="shared" si="336"/>
        <v>647</v>
      </c>
      <c r="DL647" s="164">
        <f>IFERROR(INDEX(DE$615:DE$663,_xlfn.AGGREGATE(15,6,(ROW(DE$615:DE$663)-ROW(DE$615)+1)/(DE$615:DE$663&lt;&gt;""),ROWS(DL$1:DL33))),"")</f>
        <v>30</v>
      </c>
      <c r="DM647" s="165">
        <f>IFERROR(INDEX(DF$615:DF$663,_xlfn.AGGREGATE(15,6,(ROW(DF$615:DF$663)-ROW(DF$615)+1)/(DF$615:DF$663&lt;&gt;""),ROWS(DM$1:DM33))),"")</f>
        <v>371.57920483297863</v>
      </c>
      <c r="DN647" s="166">
        <f t="shared" si="337"/>
        <v>647</v>
      </c>
      <c r="DO647" s="164">
        <f>IFERROR(INDEX(DG$615:DG$663,_xlfn.AGGREGATE(15,6,(ROW(DG$615:DG$663)-ROW(DG$615)+1)/(DG$615:DG$663&lt;&gt;""),ROWS(DO$1:DO33))),"")</f>
        <v>30</v>
      </c>
      <c r="DP647" s="165">
        <f>IFERROR(INDEX(DH$615:DH$663,_xlfn.AGGREGATE(15,6,(ROW(DH$615:DH$663)-ROW(DH$615)+1)/(DH$615:DH$663&lt;&gt;""),ROWS(DP$1:DP33))),"")</f>
        <v>537.35020130251428</v>
      </c>
      <c r="DQ647" s="166">
        <f t="shared" si="338"/>
        <v>647</v>
      </c>
      <c r="DR647" s="65"/>
      <c r="DV647" s="145">
        <v>2047</v>
      </c>
      <c r="DW647" s="235">
        <f t="shared" ca="1" si="322"/>
        <v>397.41845556286273</v>
      </c>
      <c r="EA647" s="55"/>
      <c r="EB647" s="55"/>
      <c r="EC647" s="55"/>
      <c r="ED647" s="55"/>
      <c r="EE647" s="55"/>
    </row>
    <row r="648" spans="2:135" ht="13.8" x14ac:dyDescent="0.45">
      <c r="B648" s="128">
        <v>2045</v>
      </c>
      <c r="C648" s="912">
        <v>344.15000000000003</v>
      </c>
      <c r="D648" s="960">
        <v>607.20867123011863</v>
      </c>
      <c r="E648" s="292"/>
      <c r="F648" s="914"/>
      <c r="G648" s="320"/>
      <c r="H648" s="292"/>
      <c r="I648" s="1112">
        <v>186.94594594594582</v>
      </c>
      <c r="J648" s="320"/>
      <c r="K648" s="292"/>
      <c r="L648" s="293"/>
      <c r="M648" s="292"/>
      <c r="N648" s="29" t="s">
        <v>119</v>
      </c>
      <c r="O648" s="120"/>
      <c r="P648" s="120"/>
      <c r="Q648" s="120"/>
      <c r="R648" s="29">
        <v>31</v>
      </c>
      <c r="S648" s="317">
        <f t="shared" si="323"/>
        <v>186.94594594594582</v>
      </c>
      <c r="T648" s="317">
        <f t="shared" si="324"/>
        <v>607.20867123011863</v>
      </c>
      <c r="U648" s="317">
        <f t="shared" si="325"/>
        <v>173.37619258058649</v>
      </c>
      <c r="W648" s="317">
        <f t="shared" si="326"/>
        <v>206.05867981143504</v>
      </c>
      <c r="X648" s="317">
        <f t="shared" si="356"/>
        <v>379.43487239202153</v>
      </c>
      <c r="Y648" s="317">
        <f t="shared" si="328"/>
        <v>552.81106497260805</v>
      </c>
      <c r="AA648" s="89"/>
      <c r="AB648" s="89"/>
      <c r="AC648" s="89"/>
      <c r="AD648" s="89"/>
      <c r="AE648" s="89"/>
      <c r="AF648" s="89"/>
      <c r="AG648" s="89"/>
      <c r="AH648" s="89"/>
      <c r="AI648" s="89"/>
      <c r="AJ648" s="89"/>
      <c r="AK648" s="89"/>
      <c r="AL648" s="89"/>
      <c r="AM648" s="89"/>
      <c r="AN648" s="89"/>
      <c r="BR648" s="180">
        <v>2043</v>
      </c>
      <c r="BS648" s="22">
        <v>29</v>
      </c>
      <c r="BT648" s="318">
        <f t="shared" si="339"/>
        <v>180.22820509827173</v>
      </c>
      <c r="BU648" s="319">
        <f t="shared" si="340"/>
        <v>197.08859710304145</v>
      </c>
      <c r="BV648" s="205">
        <f t="shared" si="341"/>
        <v>377.31680220131318</v>
      </c>
      <c r="BY648" s="180">
        <v>2043</v>
      </c>
      <c r="BZ648" s="22">
        <v>29</v>
      </c>
      <c r="CA648" s="318">
        <f t="shared" ca="1" si="342"/>
        <v>87.959352899310431</v>
      </c>
      <c r="CB648" s="318">
        <f t="shared" ca="1" si="343"/>
        <v>46.772635182076606</v>
      </c>
      <c r="CC648" s="319">
        <f t="shared" ca="1" si="354"/>
        <v>226.79187441981213</v>
      </c>
      <c r="CD648" s="205">
        <f t="shared" ca="1" si="344"/>
        <v>361.52386250119918</v>
      </c>
      <c r="CG648" s="180">
        <v>2043</v>
      </c>
      <c r="CH648" s="22">
        <v>29</v>
      </c>
      <c r="CI648" s="318">
        <f t="shared" ca="1" si="345"/>
        <v>-32.543939156604118</v>
      </c>
      <c r="CJ648" s="318">
        <f t="shared" ca="1" si="346"/>
        <v>162.02486960054733</v>
      </c>
      <c r="CK648" s="318">
        <f t="shared" ca="1" si="347"/>
        <v>4.5080806674000069</v>
      </c>
      <c r="CL648" s="319">
        <f t="shared" ca="1" si="348"/>
        <v>230.43790580082432</v>
      </c>
      <c r="CM648" s="205">
        <f t="shared" ca="1" si="349"/>
        <v>364.42691691216754</v>
      </c>
      <c r="CP648" s="180">
        <v>2043</v>
      </c>
      <c r="CQ648" s="22">
        <v>29</v>
      </c>
      <c r="CR648" s="318">
        <f t="shared" ca="1" si="350"/>
        <v>214.56777435485824</v>
      </c>
      <c r="CS648" s="319">
        <f t="shared" ca="1" si="351"/>
        <v>1.7090966374729026</v>
      </c>
      <c r="CT648" s="205">
        <f t="shared" ca="1" si="352"/>
        <v>366.71706165993271</v>
      </c>
      <c r="CZ648" s="164" t="b">
        <f t="shared" si="329"/>
        <v>1</v>
      </c>
      <c r="DA648" s="165" t="b">
        <f t="shared" si="329"/>
        <v>1</v>
      </c>
      <c r="DB648" s="166" t="b">
        <f t="shared" si="329"/>
        <v>1</v>
      </c>
      <c r="DC648" s="164">
        <f t="shared" si="330"/>
        <v>31</v>
      </c>
      <c r="DD648" s="166">
        <f t="shared" si="331"/>
        <v>206.05867981143504</v>
      </c>
      <c r="DE648" s="164">
        <f t="shared" si="332"/>
        <v>31</v>
      </c>
      <c r="DF648" s="166">
        <f t="shared" si="333"/>
        <v>379.43487239202153</v>
      </c>
      <c r="DG648" s="164">
        <f t="shared" si="334"/>
        <v>31</v>
      </c>
      <c r="DH648" s="166">
        <f t="shared" si="335"/>
        <v>552.81106497260805</v>
      </c>
      <c r="DI648" s="164">
        <f>IFERROR(INDEX(DC$615:DC$663,_xlfn.AGGREGATE(15,6,(ROW(DC$615:DC$663)-ROW(DC$615)+1)/(DC$615:DC$663&lt;&gt;""),ROWS(DI$1:DI34))),"")</f>
        <v>31</v>
      </c>
      <c r="DJ648" s="165">
        <f>IFERROR(INDEX(DD$615:DD$663,_xlfn.AGGREGATE(15,6,(ROW(DD$615:DD$663)-ROW(DD$615)+1)/(DD$615:DD$663&lt;&gt;""),ROWS(DJ$1:DJ34))),"")</f>
        <v>206.05867981143504</v>
      </c>
      <c r="DK648" s="166">
        <f t="shared" si="336"/>
        <v>648</v>
      </c>
      <c r="DL648" s="164">
        <f>IFERROR(INDEX(DE$615:DE$663,_xlfn.AGGREGATE(15,6,(ROW(DE$615:DE$663)-ROW(DE$615)+1)/(DE$615:DE$663&lt;&gt;""),ROWS(DL$1:DL34))),"")</f>
        <v>31</v>
      </c>
      <c r="DM648" s="165">
        <f>IFERROR(INDEX(DF$615:DF$663,_xlfn.AGGREGATE(15,6,(ROW(DF$615:DF$663)-ROW(DF$615)+1)/(DF$615:DF$663&lt;&gt;""),ROWS(DM$1:DM34))),"")</f>
        <v>379.43487239202153</v>
      </c>
      <c r="DN648" s="166">
        <f t="shared" si="337"/>
        <v>648</v>
      </c>
      <c r="DO648" s="164">
        <f>IFERROR(INDEX(DG$615:DG$663,_xlfn.AGGREGATE(15,6,(ROW(DG$615:DG$663)-ROW(DG$615)+1)/(DG$615:DG$663&lt;&gt;""),ROWS(DO$1:DO34))),"")</f>
        <v>31</v>
      </c>
      <c r="DP648" s="165">
        <f>IFERROR(INDEX(DH$615:DH$663,_xlfn.AGGREGATE(15,6,(ROW(DH$615:DH$663)-ROW(DH$615)+1)/(DH$615:DH$663&lt;&gt;""),ROWS(DP$1:DP34))),"")</f>
        <v>552.81106497260805</v>
      </c>
      <c r="DQ648" s="166">
        <f t="shared" si="338"/>
        <v>648</v>
      </c>
      <c r="DR648" s="65"/>
      <c r="DV648" s="145">
        <v>2048</v>
      </c>
      <c r="DW648" s="235">
        <f t="shared" ca="1" si="322"/>
        <v>405.98912981497892</v>
      </c>
      <c r="EA648" s="55"/>
      <c r="EB648" s="55"/>
      <c r="EC648" s="55"/>
      <c r="ED648" s="55"/>
      <c r="EE648" s="55"/>
    </row>
    <row r="649" spans="2:135" ht="13.8" x14ac:dyDescent="0.45">
      <c r="B649" s="128">
        <v>2046</v>
      </c>
      <c r="C649" s="912">
        <v>346.58000000000004</v>
      </c>
      <c r="D649" s="960">
        <v>627.07267532380354</v>
      </c>
      <c r="E649" s="292"/>
      <c r="F649" s="914"/>
      <c r="G649" s="320"/>
      <c r="H649" s="292"/>
      <c r="I649" s="1112">
        <v>188.75675675675663</v>
      </c>
      <c r="J649" s="320"/>
      <c r="K649" s="292"/>
      <c r="L649" s="293"/>
      <c r="M649" s="292"/>
      <c r="N649" s="29" t="s">
        <v>119</v>
      </c>
      <c r="O649" s="120"/>
      <c r="P649" s="120"/>
      <c r="Q649" s="120"/>
      <c r="R649" s="29">
        <v>32</v>
      </c>
      <c r="S649" s="317">
        <f t="shared" si="323"/>
        <v>188.75675675675663</v>
      </c>
      <c r="T649" s="317">
        <f t="shared" si="324"/>
        <v>627.07267532380354</v>
      </c>
      <c r="U649" s="317">
        <f t="shared" si="325"/>
        <v>181.26259695302542</v>
      </c>
      <c r="W649" s="317">
        <f t="shared" si="326"/>
        <v>206.20721374049464</v>
      </c>
      <c r="X649" s="317">
        <f t="shared" si="356"/>
        <v>387.46981069352006</v>
      </c>
      <c r="Y649" s="317">
        <f t="shared" si="328"/>
        <v>568.73240764654543</v>
      </c>
      <c r="AA649" s="89"/>
      <c r="AB649" s="89"/>
      <c r="AC649" s="89"/>
      <c r="AD649" s="89"/>
      <c r="AE649" s="89"/>
      <c r="AF649" s="89"/>
      <c r="AG649" s="89"/>
      <c r="AH649" s="89"/>
      <c r="AI649" s="89"/>
      <c r="AJ649" s="89"/>
      <c r="AK649" s="89"/>
      <c r="AL649" s="89"/>
      <c r="AM649" s="89"/>
      <c r="AN649" s="89"/>
      <c r="BR649" s="180">
        <v>2044</v>
      </c>
      <c r="BS649" s="22">
        <v>30</v>
      </c>
      <c r="BT649" s="318">
        <f t="shared" si="339"/>
        <v>186.44297079131556</v>
      </c>
      <c r="BU649" s="319">
        <f t="shared" si="340"/>
        <v>197.08859710304145</v>
      </c>
      <c r="BV649" s="205">
        <f t="shared" si="341"/>
        <v>383.53156789435701</v>
      </c>
      <c r="BY649" s="180">
        <v>2044</v>
      </c>
      <c r="BZ649" s="22">
        <v>30</v>
      </c>
      <c r="CA649" s="318">
        <f t="shared" ca="1" si="342"/>
        <v>94.130104172864904</v>
      </c>
      <c r="CB649" s="318">
        <f t="shared" ca="1" si="343"/>
        <v>48.38548467111373</v>
      </c>
      <c r="CC649" s="319">
        <f t="shared" ca="1" si="354"/>
        <v>226.79187441981213</v>
      </c>
      <c r="CD649" s="205">
        <f t="shared" ca="1" si="344"/>
        <v>369.30746326379074</v>
      </c>
      <c r="CG649" s="180">
        <v>2044</v>
      </c>
      <c r="CH649" s="22">
        <v>30</v>
      </c>
      <c r="CI649" s="318">
        <f t="shared" ca="1" si="345"/>
        <v>-36.027978073242494</v>
      </c>
      <c r="CJ649" s="318">
        <f t="shared" ca="1" si="346"/>
        <v>173.39165593399835</v>
      </c>
      <c r="CK649" s="318">
        <f t="shared" ca="1" si="347"/>
        <v>4.6635317248965595</v>
      </c>
      <c r="CL649" s="319">
        <f t="shared" ca="1" si="348"/>
        <v>230.43790580082432</v>
      </c>
      <c r="CM649" s="205">
        <f t="shared" ca="1" si="349"/>
        <v>372.46511538647673</v>
      </c>
      <c r="CP649" s="180">
        <v>2044</v>
      </c>
      <c r="CQ649" s="22">
        <v>30</v>
      </c>
      <c r="CR649" s="318">
        <f t="shared" ca="1" si="350"/>
        <v>214.56777435485824</v>
      </c>
      <c r="CS649" s="319">
        <f t="shared" ca="1" si="351"/>
        <v>1.7409770849616024</v>
      </c>
      <c r="CT649" s="205">
        <f t="shared" ca="1" si="352"/>
        <v>373.55757832301998</v>
      </c>
      <c r="CZ649" s="164" t="b">
        <f t="shared" si="329"/>
        <v>1</v>
      </c>
      <c r="DA649" s="165" t="b">
        <f t="shared" si="329"/>
        <v>1</v>
      </c>
      <c r="DB649" s="166" t="b">
        <f t="shared" si="329"/>
        <v>1</v>
      </c>
      <c r="DC649" s="164">
        <f t="shared" si="330"/>
        <v>32</v>
      </c>
      <c r="DD649" s="166">
        <f t="shared" si="331"/>
        <v>206.20721374049464</v>
      </c>
      <c r="DE649" s="164">
        <f t="shared" si="332"/>
        <v>32</v>
      </c>
      <c r="DF649" s="166">
        <f t="shared" si="333"/>
        <v>387.46981069352006</v>
      </c>
      <c r="DG649" s="164">
        <f t="shared" si="334"/>
        <v>32</v>
      </c>
      <c r="DH649" s="166">
        <f t="shared" si="335"/>
        <v>568.73240764654543</v>
      </c>
      <c r="DI649" s="164">
        <f>IFERROR(INDEX(DC$615:DC$663,_xlfn.AGGREGATE(15,6,(ROW(DC$615:DC$663)-ROW(DC$615)+1)/(DC$615:DC$663&lt;&gt;""),ROWS(DI$1:DI35))),"")</f>
        <v>32</v>
      </c>
      <c r="DJ649" s="165">
        <f>IFERROR(INDEX(DD$615:DD$663,_xlfn.AGGREGATE(15,6,(ROW(DD$615:DD$663)-ROW(DD$615)+1)/(DD$615:DD$663&lt;&gt;""),ROWS(DJ$1:DJ35))),"")</f>
        <v>206.20721374049464</v>
      </c>
      <c r="DK649" s="166">
        <f t="shared" si="336"/>
        <v>649</v>
      </c>
      <c r="DL649" s="164">
        <f>IFERROR(INDEX(DE$615:DE$663,_xlfn.AGGREGATE(15,6,(ROW(DE$615:DE$663)-ROW(DE$615)+1)/(DE$615:DE$663&lt;&gt;""),ROWS(DL$1:DL35))),"")</f>
        <v>32</v>
      </c>
      <c r="DM649" s="165">
        <f>IFERROR(INDEX(DF$615:DF$663,_xlfn.AGGREGATE(15,6,(ROW(DF$615:DF$663)-ROW(DF$615)+1)/(DF$615:DF$663&lt;&gt;""),ROWS(DM$1:DM35))),"")</f>
        <v>387.46981069352006</v>
      </c>
      <c r="DN649" s="166">
        <f t="shared" si="337"/>
        <v>649</v>
      </c>
      <c r="DO649" s="164">
        <f>IFERROR(INDEX(DG$615:DG$663,_xlfn.AGGREGATE(15,6,(ROW(DG$615:DG$663)-ROW(DG$615)+1)/(DG$615:DG$663&lt;&gt;""),ROWS(DO$1:DO35))),"")</f>
        <v>32</v>
      </c>
      <c r="DP649" s="165">
        <f>IFERROR(INDEX(DH$615:DH$663,_xlfn.AGGREGATE(15,6,(ROW(DH$615:DH$663)-ROW(DH$615)+1)/(DH$615:DH$663&lt;&gt;""),ROWS(DP$1:DP35))),"")</f>
        <v>568.73240764654543</v>
      </c>
      <c r="DQ649" s="166">
        <f t="shared" si="338"/>
        <v>649</v>
      </c>
      <c r="DR649" s="65"/>
      <c r="DV649" s="145">
        <v>2049</v>
      </c>
      <c r="DW649" s="235">
        <f t="shared" ca="1" si="322"/>
        <v>414.67290746817281</v>
      </c>
      <c r="EA649" s="55"/>
      <c r="EB649" s="55"/>
      <c r="EC649" s="55"/>
      <c r="ED649" s="55"/>
      <c r="EE649" s="55"/>
    </row>
    <row r="650" spans="2:135" ht="13.8" x14ac:dyDescent="0.45">
      <c r="B650" s="128">
        <v>2047</v>
      </c>
      <c r="C650" s="912">
        <v>349.01000000000005</v>
      </c>
      <c r="D650" s="960">
        <v>647.47449164485579</v>
      </c>
      <c r="E650" s="292"/>
      <c r="F650" s="914"/>
      <c r="G650" s="320"/>
      <c r="H650" s="292"/>
      <c r="I650" s="1112">
        <v>190.56756756756744</v>
      </c>
      <c r="J650" s="320"/>
      <c r="K650" s="292"/>
      <c r="L650" s="293"/>
      <c r="M650" s="292"/>
      <c r="N650" s="29" t="s">
        <v>119</v>
      </c>
      <c r="O650" s="120"/>
      <c r="P650" s="120"/>
      <c r="Q650" s="120"/>
      <c r="R650" s="29">
        <v>33</v>
      </c>
      <c r="S650" s="317">
        <f t="shared" si="323"/>
        <v>190.56756756756744</v>
      </c>
      <c r="T650" s="317">
        <f t="shared" si="324"/>
        <v>647.47449164485579</v>
      </c>
      <c r="U650" s="317">
        <f t="shared" si="325"/>
        <v>189.42867154733617</v>
      </c>
      <c r="W650" s="317">
        <f t="shared" si="326"/>
        <v>206.25534819013828</v>
      </c>
      <c r="X650" s="317">
        <f t="shared" si="356"/>
        <v>395.68401973747444</v>
      </c>
      <c r="Y650" s="317">
        <f t="shared" si="328"/>
        <v>585.11269128481058</v>
      </c>
      <c r="AA650" s="89"/>
      <c r="AB650" s="89"/>
      <c r="AC650" s="89"/>
      <c r="AD650" s="89"/>
      <c r="AE650" s="89"/>
      <c r="AF650" s="89"/>
      <c r="AG650" s="89"/>
      <c r="AH650" s="89"/>
      <c r="AI650" s="89"/>
      <c r="AJ650" s="89"/>
      <c r="AK650" s="89"/>
      <c r="AL650" s="89"/>
      <c r="AM650" s="89"/>
      <c r="AN650" s="89"/>
      <c r="BR650" s="180">
        <v>2045</v>
      </c>
      <c r="BS650" s="22">
        <v>31</v>
      </c>
      <c r="BT650" s="318">
        <f t="shared" si="339"/>
        <v>192.65773648435942</v>
      </c>
      <c r="BU650" s="318">
        <f t="shared" si="340"/>
        <v>197.08859710304145</v>
      </c>
      <c r="BV650" s="205">
        <f t="shared" si="341"/>
        <v>389.74633358740084</v>
      </c>
      <c r="BY650" s="180">
        <v>2045</v>
      </c>
      <c r="BZ650" s="22">
        <v>31</v>
      </c>
      <c r="CA650" s="318">
        <f t="shared" ca="1" si="342"/>
        <v>100.51003345569241</v>
      </c>
      <c r="CB650" s="318">
        <f t="shared" ca="1" si="343"/>
        <v>49.998334160150854</v>
      </c>
      <c r="CC650" s="318">
        <f t="shared" ca="1" si="354"/>
        <v>226.79187441981213</v>
      </c>
      <c r="CD650" s="205">
        <f t="shared" ca="1" si="344"/>
        <v>377.3002420356554</v>
      </c>
      <c r="CG650" s="180">
        <v>2045</v>
      </c>
      <c r="CH650" s="22">
        <v>31</v>
      </c>
      <c r="CI650" s="318">
        <f t="shared" ca="1" si="345"/>
        <v>-39.752203510369156</v>
      </c>
      <c r="CJ650" s="318">
        <f t="shared" ca="1" si="346"/>
        <v>185.1437570584138</v>
      </c>
      <c r="CK650" s="318">
        <f t="shared" ca="1" si="347"/>
        <v>4.8189827823931113</v>
      </c>
      <c r="CL650" s="318">
        <f t="shared" ca="1" si="348"/>
        <v>230.43790580082432</v>
      </c>
      <c r="CM650" s="205">
        <f t="shared" ca="1" si="349"/>
        <v>380.64844213126207</v>
      </c>
      <c r="CP650" s="180">
        <v>2045</v>
      </c>
      <c r="CQ650" s="22">
        <v>31</v>
      </c>
      <c r="CR650" s="318">
        <f t="shared" ca="1" si="350"/>
        <v>214.56777435485824</v>
      </c>
      <c r="CS650" s="318">
        <f t="shared" ca="1" si="351"/>
        <v>1.7734522108960935</v>
      </c>
      <c r="CT650" s="205">
        <f t="shared" ca="1" si="352"/>
        <v>380.52569381667746</v>
      </c>
      <c r="CZ650" s="164" t="b">
        <f t="shared" si="329"/>
        <v>1</v>
      </c>
      <c r="DA650" s="165" t="b">
        <f t="shared" si="329"/>
        <v>1</v>
      </c>
      <c r="DB650" s="166" t="b">
        <f t="shared" si="329"/>
        <v>1</v>
      </c>
      <c r="DC650" s="164">
        <f t="shared" si="330"/>
        <v>33</v>
      </c>
      <c r="DD650" s="166">
        <f t="shared" si="331"/>
        <v>206.25534819013828</v>
      </c>
      <c r="DE650" s="164">
        <f t="shared" si="332"/>
        <v>33</v>
      </c>
      <c r="DF650" s="166">
        <f t="shared" si="333"/>
        <v>395.68401973747444</v>
      </c>
      <c r="DG650" s="164">
        <f t="shared" si="334"/>
        <v>33</v>
      </c>
      <c r="DH650" s="166">
        <f t="shared" si="335"/>
        <v>585.11269128481058</v>
      </c>
      <c r="DI650" s="164">
        <f>IFERROR(INDEX(DC$615:DC$663,_xlfn.AGGREGATE(15,6,(ROW(DC$615:DC$663)-ROW(DC$615)+1)/(DC$615:DC$663&lt;&gt;""),ROWS(DI$1:DI36))),"")</f>
        <v>33</v>
      </c>
      <c r="DJ650" s="165">
        <f>IFERROR(INDEX(DD$615:DD$663,_xlfn.AGGREGATE(15,6,(ROW(DD$615:DD$663)-ROW(DD$615)+1)/(DD$615:DD$663&lt;&gt;""),ROWS(DJ$1:DJ36))),"")</f>
        <v>206.25534819013828</v>
      </c>
      <c r="DK650" s="166">
        <f t="shared" si="336"/>
        <v>650</v>
      </c>
      <c r="DL650" s="164">
        <f>IFERROR(INDEX(DE$615:DE$663,_xlfn.AGGREGATE(15,6,(ROW(DE$615:DE$663)-ROW(DE$615)+1)/(DE$615:DE$663&lt;&gt;""),ROWS(DL$1:DL36))),"")</f>
        <v>33</v>
      </c>
      <c r="DM650" s="165">
        <f>IFERROR(INDEX(DF$615:DF$663,_xlfn.AGGREGATE(15,6,(ROW(DF$615:DF$663)-ROW(DF$615)+1)/(DF$615:DF$663&lt;&gt;""),ROWS(DM$1:DM36))),"")</f>
        <v>395.68401973747444</v>
      </c>
      <c r="DN650" s="166">
        <f t="shared" si="337"/>
        <v>650</v>
      </c>
      <c r="DO650" s="164">
        <f>IFERROR(INDEX(DG$615:DG$663,_xlfn.AGGREGATE(15,6,(ROW(DG$615:DG$663)-ROW(DG$615)+1)/(DG$615:DG$663&lt;&gt;""),ROWS(DO$1:DO36))),"")</f>
        <v>33</v>
      </c>
      <c r="DP650" s="165">
        <f>IFERROR(INDEX(DH$615:DH$663,_xlfn.AGGREGATE(15,6,(ROW(DH$615:DH$663)-ROW(DH$615)+1)/(DH$615:DH$663&lt;&gt;""),ROWS(DP$1:DP36))),"")</f>
        <v>585.11269128481058</v>
      </c>
      <c r="DQ650" s="166">
        <f t="shared" si="338"/>
        <v>650</v>
      </c>
      <c r="DR650" s="65"/>
      <c r="DV650" s="145">
        <v>2050</v>
      </c>
      <c r="DW650" s="235">
        <f t="shared" ca="1" si="322"/>
        <v>423.46178230509474</v>
      </c>
      <c r="EA650" s="55"/>
      <c r="EB650" s="55"/>
      <c r="EC650" s="55"/>
      <c r="ED650" s="55"/>
      <c r="EE650" s="55"/>
    </row>
    <row r="651" spans="2:135" ht="13.8" x14ac:dyDescent="0.45">
      <c r="B651" s="128">
        <v>2048</v>
      </c>
      <c r="C651" s="912">
        <v>351.44000000000005</v>
      </c>
      <c r="D651" s="960">
        <v>668.41412019327538</v>
      </c>
      <c r="E651" s="292"/>
      <c r="F651" s="914"/>
      <c r="G651" s="320"/>
      <c r="H651" s="292"/>
      <c r="I651" s="1112">
        <v>192.37837837837824</v>
      </c>
      <c r="J651" s="320"/>
      <c r="K651" s="292"/>
      <c r="L651" s="293"/>
      <c r="M651" s="292"/>
      <c r="N651" s="29" t="s">
        <v>119</v>
      </c>
      <c r="O651" s="120"/>
      <c r="P651" s="120"/>
      <c r="Q651" s="120"/>
      <c r="R651" s="29">
        <v>34</v>
      </c>
      <c r="S651" s="317">
        <f t="shared" si="323"/>
        <v>192.37837837837824</v>
      </c>
      <c r="T651" s="317">
        <f t="shared" si="324"/>
        <v>668.41412019327538</v>
      </c>
      <c r="U651" s="317">
        <f t="shared" si="325"/>
        <v>197.87291652035998</v>
      </c>
      <c r="W651" s="317">
        <f t="shared" si="326"/>
        <v>206.20458300352459</v>
      </c>
      <c r="X651" s="317">
        <f t="shared" si="356"/>
        <v>404.07749952388457</v>
      </c>
      <c r="Y651" s="317">
        <f t="shared" si="328"/>
        <v>601.95041604424455</v>
      </c>
      <c r="AA651" s="89"/>
      <c r="AB651" s="89"/>
      <c r="AC651" s="89"/>
      <c r="AD651" s="89"/>
      <c r="AE651" s="89"/>
      <c r="AF651" s="89"/>
      <c r="AG651" s="89"/>
      <c r="AH651" s="89"/>
      <c r="AI651" s="89"/>
      <c r="AJ651" s="89"/>
      <c r="AK651" s="89"/>
      <c r="AL651" s="89"/>
      <c r="AM651" s="89"/>
      <c r="AN651" s="89"/>
      <c r="BR651" s="180">
        <v>2046</v>
      </c>
      <c r="BS651" s="22">
        <v>32</v>
      </c>
      <c r="BT651" s="318">
        <f t="shared" si="339"/>
        <v>198.87250217740328</v>
      </c>
      <c r="BU651" s="318">
        <f t="shared" si="340"/>
        <v>197.08859710304145</v>
      </c>
      <c r="BV651" s="205">
        <f t="shared" si="341"/>
        <v>395.96109928044473</v>
      </c>
      <c r="BY651" s="180">
        <v>2046</v>
      </c>
      <c r="BZ651" s="22">
        <v>32</v>
      </c>
      <c r="CA651" s="318">
        <f t="shared" ca="1" si="342"/>
        <v>107.09914074779296</v>
      </c>
      <c r="CB651" s="318">
        <f t="shared" ca="1" si="343"/>
        <v>51.611183649187979</v>
      </c>
      <c r="CC651" s="318">
        <f t="shared" ca="1" si="354"/>
        <v>226.79187441981213</v>
      </c>
      <c r="CD651" s="205">
        <f t="shared" ca="1" si="344"/>
        <v>385.50219881679305</v>
      </c>
      <c r="CG651" s="180">
        <v>2046</v>
      </c>
      <c r="CH651" s="22">
        <v>32</v>
      </c>
      <c r="CI651" s="318">
        <f t="shared" ca="1" si="345"/>
        <v>-43.724621685333709</v>
      </c>
      <c r="CJ651" s="318">
        <f t="shared" ca="1" si="346"/>
        <v>197.28117297379367</v>
      </c>
      <c r="CK651" s="318">
        <f t="shared" ca="1" si="347"/>
        <v>4.974433839889663</v>
      </c>
      <c r="CL651" s="318">
        <f t="shared" ca="1" si="348"/>
        <v>230.43790580082432</v>
      </c>
      <c r="CM651" s="205">
        <f t="shared" ca="1" si="349"/>
        <v>388.96889092917394</v>
      </c>
      <c r="CP651" s="180">
        <v>2046</v>
      </c>
      <c r="CQ651" s="22">
        <v>32</v>
      </c>
      <c r="CR651" s="318">
        <f t="shared" ca="1" si="350"/>
        <v>214.56777435485824</v>
      </c>
      <c r="CS651" s="318">
        <f t="shared" ca="1" si="351"/>
        <v>1.806533108045824</v>
      </c>
      <c r="CT651" s="205">
        <f t="shared" ca="1" si="352"/>
        <v>387.62378829175714</v>
      </c>
      <c r="CZ651" s="164" t="b">
        <f t="shared" si="329"/>
        <v>1</v>
      </c>
      <c r="DA651" s="165" t="b">
        <f t="shared" si="329"/>
        <v>1</v>
      </c>
      <c r="DB651" s="166" t="b">
        <f t="shared" si="329"/>
        <v>1</v>
      </c>
      <c r="DC651" s="164">
        <f t="shared" si="330"/>
        <v>34</v>
      </c>
      <c r="DD651" s="166">
        <f t="shared" si="331"/>
        <v>206.20458300352459</v>
      </c>
      <c r="DE651" s="164">
        <f t="shared" si="332"/>
        <v>34</v>
      </c>
      <c r="DF651" s="166">
        <f t="shared" si="333"/>
        <v>404.07749952388457</v>
      </c>
      <c r="DG651" s="164">
        <f t="shared" si="334"/>
        <v>34</v>
      </c>
      <c r="DH651" s="166">
        <f t="shared" si="335"/>
        <v>601.95041604424455</v>
      </c>
      <c r="DI651" s="164">
        <f>IFERROR(INDEX(DC$615:DC$663,_xlfn.AGGREGATE(15,6,(ROW(DC$615:DC$663)-ROW(DC$615)+1)/(DC$615:DC$663&lt;&gt;""),ROWS(DI$1:DI37))),"")</f>
        <v>34</v>
      </c>
      <c r="DJ651" s="165">
        <f>IFERROR(INDEX(DD$615:DD$663,_xlfn.AGGREGATE(15,6,(ROW(DD$615:DD$663)-ROW(DD$615)+1)/(DD$615:DD$663&lt;&gt;""),ROWS(DJ$1:DJ37))),"")</f>
        <v>206.20458300352459</v>
      </c>
      <c r="DK651" s="166">
        <f t="shared" si="336"/>
        <v>651</v>
      </c>
      <c r="DL651" s="164">
        <f>IFERROR(INDEX(DE$615:DE$663,_xlfn.AGGREGATE(15,6,(ROW(DE$615:DE$663)-ROW(DE$615)+1)/(DE$615:DE$663&lt;&gt;""),ROWS(DL$1:DL37))),"")</f>
        <v>34</v>
      </c>
      <c r="DM651" s="165">
        <f>IFERROR(INDEX(DF$615:DF$663,_xlfn.AGGREGATE(15,6,(ROW(DF$615:DF$663)-ROW(DF$615)+1)/(DF$615:DF$663&lt;&gt;""),ROWS(DM$1:DM37))),"")</f>
        <v>404.07749952388457</v>
      </c>
      <c r="DN651" s="166">
        <f t="shared" si="337"/>
        <v>651</v>
      </c>
      <c r="DO651" s="164">
        <f>IFERROR(INDEX(DG$615:DG$663,_xlfn.AGGREGATE(15,6,(ROW(DG$615:DG$663)-ROW(DG$615)+1)/(DG$615:DG$663&lt;&gt;""),ROWS(DO$1:DO37))),"")</f>
        <v>34</v>
      </c>
      <c r="DP651" s="165">
        <f>IFERROR(INDEX(DH$615:DH$663,_xlfn.AGGREGATE(15,6,(ROW(DH$615:DH$663)-ROW(DH$615)+1)/(DH$615:DH$663&lt;&gt;""),ROWS(DP$1:DP37))),"")</f>
        <v>601.95041604424455</v>
      </c>
      <c r="DQ651" s="166">
        <f t="shared" si="338"/>
        <v>651</v>
      </c>
      <c r="DR651" s="65"/>
      <c r="DV651" s="145">
        <v>2051</v>
      </c>
      <c r="DW651" s="235">
        <f t="shared" ca="1" si="322"/>
        <v>432.34774810839531</v>
      </c>
      <c r="EA651" s="55"/>
      <c r="EB651" s="55"/>
      <c r="EC651" s="55"/>
      <c r="ED651" s="55"/>
      <c r="EE651" s="55"/>
    </row>
    <row r="652" spans="2:135" ht="13.8" x14ac:dyDescent="0.45">
      <c r="B652" s="128">
        <v>2049</v>
      </c>
      <c r="C652" s="912">
        <v>353.87</v>
      </c>
      <c r="D652" s="960">
        <v>689.89156096906231</v>
      </c>
      <c r="E652" s="292"/>
      <c r="F652" s="914"/>
      <c r="G652" s="320"/>
      <c r="H652" s="292"/>
      <c r="I652" s="1112">
        <v>194.18918918918905</v>
      </c>
      <c r="J652" s="320"/>
      <c r="K652" s="292"/>
      <c r="L652" s="293"/>
      <c r="M652" s="292"/>
      <c r="N652" s="29" t="s">
        <v>119</v>
      </c>
      <c r="O652" s="120"/>
      <c r="P652" s="120"/>
      <c r="Q652" s="120"/>
      <c r="R652" s="29">
        <v>35</v>
      </c>
      <c r="S652" s="317">
        <f t="shared" si="323"/>
        <v>194.18918918918905</v>
      </c>
      <c r="T652" s="317">
        <f t="shared" si="324"/>
        <v>689.89156096906231</v>
      </c>
      <c r="U652" s="317">
        <f t="shared" si="325"/>
        <v>206.59388292694075</v>
      </c>
      <c r="W652" s="317">
        <f t="shared" si="326"/>
        <v>206.0563671258098</v>
      </c>
      <c r="X652" s="317">
        <f t="shared" si="356"/>
        <v>412.65025005275055</v>
      </c>
      <c r="Y652" s="317">
        <f t="shared" si="328"/>
        <v>619.24413297969136</v>
      </c>
      <c r="AA652" s="89"/>
      <c r="AB652" s="89"/>
      <c r="AC652" s="89"/>
      <c r="AD652" s="89"/>
      <c r="AE652" s="89"/>
      <c r="AF652" s="89"/>
      <c r="AG652" s="89"/>
      <c r="AH652" s="89"/>
      <c r="AI652" s="89"/>
      <c r="AJ652" s="89"/>
      <c r="AK652" s="89"/>
      <c r="AL652" s="89"/>
      <c r="AM652" s="89"/>
      <c r="AN652" s="89"/>
      <c r="BR652" s="180">
        <v>2047</v>
      </c>
      <c r="BS652" s="22">
        <v>33</v>
      </c>
      <c r="BT652" s="318">
        <f t="shared" si="339"/>
        <v>205.08726787044714</v>
      </c>
      <c r="BU652" s="318">
        <f t="shared" si="340"/>
        <v>197.08859710304145</v>
      </c>
      <c r="BV652" s="205">
        <f t="shared" si="341"/>
        <v>402.17586497348861</v>
      </c>
      <c r="BY652" s="180">
        <v>2047</v>
      </c>
      <c r="BZ652" s="22">
        <v>33</v>
      </c>
      <c r="CA652" s="318">
        <f t="shared" ca="1" si="342"/>
        <v>113.89742604916654</v>
      </c>
      <c r="CB652" s="318">
        <f t="shared" ca="1" si="343"/>
        <v>53.224033138225103</v>
      </c>
      <c r="CC652" s="318">
        <f t="shared" ca="1" si="354"/>
        <v>226.79187441981213</v>
      </c>
      <c r="CD652" s="205">
        <f t="shared" ca="1" si="344"/>
        <v>393.91333360720375</v>
      </c>
      <c r="CG652" s="180">
        <v>2047</v>
      </c>
      <c r="CH652" s="22">
        <v>33</v>
      </c>
      <c r="CI652" s="318">
        <f t="shared" ca="1" si="345"/>
        <v>-47.953238815485761</v>
      </c>
      <c r="CJ652" s="318">
        <f t="shared" ca="1" si="346"/>
        <v>209.80390368013801</v>
      </c>
      <c r="CK652" s="318">
        <f t="shared" ca="1" si="347"/>
        <v>5.1298848973862148</v>
      </c>
      <c r="CL652" s="318">
        <f t="shared" ca="1" si="348"/>
        <v>230.43790580082432</v>
      </c>
      <c r="CM652" s="205">
        <f t="shared" ca="1" si="349"/>
        <v>397.41845556286273</v>
      </c>
      <c r="CP652" s="180">
        <v>2047</v>
      </c>
      <c r="CQ652" s="22">
        <v>33</v>
      </c>
      <c r="CR652" s="318">
        <f t="shared" ca="1" si="350"/>
        <v>214.56777435485824</v>
      </c>
      <c r="CS652" s="318">
        <f t="shared" ca="1" si="351"/>
        <v>1.8402310760980054</v>
      </c>
      <c r="CT652" s="205">
        <f t="shared" ca="1" si="352"/>
        <v>394.85428629699481</v>
      </c>
      <c r="CZ652" s="164" t="b">
        <f t="shared" si="329"/>
        <v>1</v>
      </c>
      <c r="DA652" s="165" t="b">
        <f t="shared" si="329"/>
        <v>1</v>
      </c>
      <c r="DB652" s="166" t="b">
        <f t="shared" si="329"/>
        <v>1</v>
      </c>
      <c r="DC652" s="164">
        <f t="shared" si="330"/>
        <v>35</v>
      </c>
      <c r="DD652" s="166">
        <f t="shared" si="331"/>
        <v>206.0563671258098</v>
      </c>
      <c r="DE652" s="164">
        <f t="shared" si="332"/>
        <v>35</v>
      </c>
      <c r="DF652" s="166">
        <f t="shared" si="333"/>
        <v>412.65025005275055</v>
      </c>
      <c r="DG652" s="164">
        <f t="shared" si="334"/>
        <v>35</v>
      </c>
      <c r="DH652" s="166">
        <f t="shared" si="335"/>
        <v>619.24413297969136</v>
      </c>
      <c r="DI652" s="164">
        <f>IFERROR(INDEX(DC$615:DC$663,_xlfn.AGGREGATE(15,6,(ROW(DC$615:DC$663)-ROW(DC$615)+1)/(DC$615:DC$663&lt;&gt;""),ROWS(DI$1:DI38))),"")</f>
        <v>35</v>
      </c>
      <c r="DJ652" s="165">
        <f>IFERROR(INDEX(DD$615:DD$663,_xlfn.AGGREGATE(15,6,(ROW(DD$615:DD$663)-ROW(DD$615)+1)/(DD$615:DD$663&lt;&gt;""),ROWS(DJ$1:DJ38))),"")</f>
        <v>206.0563671258098</v>
      </c>
      <c r="DK652" s="166">
        <f t="shared" si="336"/>
        <v>652</v>
      </c>
      <c r="DL652" s="164">
        <f>IFERROR(INDEX(DE$615:DE$663,_xlfn.AGGREGATE(15,6,(ROW(DE$615:DE$663)-ROW(DE$615)+1)/(DE$615:DE$663&lt;&gt;""),ROWS(DL$1:DL38))),"")</f>
        <v>35</v>
      </c>
      <c r="DM652" s="165">
        <f>IFERROR(INDEX(DF$615:DF$663,_xlfn.AGGREGATE(15,6,(ROW(DF$615:DF$663)-ROW(DF$615)+1)/(DF$615:DF$663&lt;&gt;""),ROWS(DM$1:DM38))),"")</f>
        <v>412.65025005275055</v>
      </c>
      <c r="DN652" s="166">
        <f t="shared" si="337"/>
        <v>652</v>
      </c>
      <c r="DO652" s="164">
        <f>IFERROR(INDEX(DG$615:DG$663,_xlfn.AGGREGATE(15,6,(ROW(DG$615:DG$663)-ROW(DG$615)+1)/(DG$615:DG$663&lt;&gt;""),ROWS(DO$1:DO38))),"")</f>
        <v>35</v>
      </c>
      <c r="DP652" s="165">
        <f>IFERROR(INDEX(DH$615:DH$663,_xlfn.AGGREGATE(15,6,(ROW(DH$615:DH$663)-ROW(DH$615)+1)/(DH$615:DH$663&lt;&gt;""),ROWS(DP$1:DP38))),"")</f>
        <v>619.24413297969136</v>
      </c>
      <c r="DQ652" s="166">
        <f t="shared" si="338"/>
        <v>652</v>
      </c>
      <c r="DR652" s="65"/>
      <c r="DV652" s="145">
        <v>2052</v>
      </c>
      <c r="DW652" s="235">
        <f t="shared" ca="1" si="322"/>
        <v>441.32279866072463</v>
      </c>
      <c r="EA652" s="55"/>
      <c r="EB652" s="55"/>
      <c r="EC652" s="55"/>
      <c r="ED652" s="55"/>
      <c r="EE652" s="55"/>
    </row>
    <row r="653" spans="2:135" ht="13.8" x14ac:dyDescent="0.45">
      <c r="B653" s="128">
        <v>2050</v>
      </c>
      <c r="C653" s="912">
        <v>356.3</v>
      </c>
      <c r="D653" s="960">
        <v>711.90681397221636</v>
      </c>
      <c r="E653" s="292"/>
      <c r="F653" s="914"/>
      <c r="G653" s="320"/>
      <c r="H653" s="292"/>
      <c r="I653" s="1112">
        <v>195.99999999999983</v>
      </c>
      <c r="J653" s="320"/>
      <c r="K653" s="292"/>
      <c r="L653" s="293"/>
      <c r="M653" s="292"/>
      <c r="N653" s="29" t="s">
        <v>119</v>
      </c>
      <c r="O653" s="120"/>
      <c r="P653" s="120"/>
      <c r="Q653" s="120"/>
      <c r="R653" s="29">
        <v>36</v>
      </c>
      <c r="S653" s="317">
        <f t="shared" si="323"/>
        <v>195.99999999999983</v>
      </c>
      <c r="T653" s="317">
        <f t="shared" si="324"/>
        <v>711.90681397221636</v>
      </c>
      <c r="U653" s="317">
        <f t="shared" si="325"/>
        <v>215.59018140043023</v>
      </c>
      <c r="W653" s="317">
        <f t="shared" si="326"/>
        <v>205.81208992364182</v>
      </c>
      <c r="X653" s="317">
        <f t="shared" si="356"/>
        <v>421.40227132407205</v>
      </c>
      <c r="Y653" s="317">
        <f t="shared" si="328"/>
        <v>636.9924527245023</v>
      </c>
      <c r="AA653" s="89"/>
      <c r="AB653" s="89"/>
      <c r="AC653" s="89"/>
      <c r="AD653" s="89"/>
      <c r="AE653" s="89"/>
      <c r="AF653" s="89"/>
      <c r="AG653" s="89"/>
      <c r="AH653" s="89"/>
      <c r="AI653" s="89"/>
      <c r="AJ653" s="89"/>
      <c r="AK653" s="89"/>
      <c r="AL653" s="89"/>
      <c r="AM653" s="89"/>
      <c r="AN653" s="89"/>
      <c r="BR653" s="180">
        <v>2048</v>
      </c>
      <c r="BS653" s="22">
        <v>34</v>
      </c>
      <c r="BT653" s="318">
        <f t="shared" si="339"/>
        <v>211.30203356349099</v>
      </c>
      <c r="BU653" s="318">
        <f t="shared" si="340"/>
        <v>197.08859710304145</v>
      </c>
      <c r="BV653" s="205">
        <f t="shared" si="341"/>
        <v>408.39063066653245</v>
      </c>
      <c r="BY653" s="180">
        <v>2048</v>
      </c>
      <c r="BZ653" s="22">
        <v>34</v>
      </c>
      <c r="CA653" s="318">
        <f t="shared" ca="1" si="342"/>
        <v>120.90488935981314</v>
      </c>
      <c r="CB653" s="318">
        <f t="shared" ca="1" si="343"/>
        <v>54.836882627262227</v>
      </c>
      <c r="CC653" s="318">
        <f t="shared" ca="1" si="354"/>
        <v>226.79187441981213</v>
      </c>
      <c r="CD653" s="205">
        <f t="shared" ca="1" si="344"/>
        <v>402.5336464068875</v>
      </c>
      <c r="CG653" s="180">
        <v>2048</v>
      </c>
      <c r="CH653" s="22">
        <v>34</v>
      </c>
      <c r="CI653" s="318">
        <f t="shared" ca="1" si="345"/>
        <v>-52.446061118174931</v>
      </c>
      <c r="CJ653" s="318">
        <f t="shared" ca="1" si="346"/>
        <v>222.71194917744677</v>
      </c>
      <c r="CK653" s="318">
        <f t="shared" ca="1" si="347"/>
        <v>5.2853359548827665</v>
      </c>
      <c r="CL653" s="318">
        <f t="shared" ca="1" si="348"/>
        <v>230.43790580082432</v>
      </c>
      <c r="CM653" s="205">
        <f t="shared" ca="1" si="349"/>
        <v>405.98912981497892</v>
      </c>
      <c r="CP653" s="180">
        <v>2048</v>
      </c>
      <c r="CQ653" s="22">
        <v>34</v>
      </c>
      <c r="CR653" s="318">
        <f t="shared" ca="1" si="350"/>
        <v>214.56777435485824</v>
      </c>
      <c r="CS653" s="318">
        <f t="shared" ca="1" si="351"/>
        <v>1.8745576255173304</v>
      </c>
      <c r="CT653" s="205">
        <f t="shared" ca="1" si="352"/>
        <v>402.21965760718143</v>
      </c>
      <c r="CZ653" s="164" t="b">
        <f t="shared" si="329"/>
        <v>1</v>
      </c>
      <c r="DA653" s="165" t="b">
        <f t="shared" si="329"/>
        <v>1</v>
      </c>
      <c r="DB653" s="166" t="b">
        <f t="shared" si="329"/>
        <v>1</v>
      </c>
      <c r="DC653" s="164">
        <f t="shared" si="330"/>
        <v>36</v>
      </c>
      <c r="DD653" s="166">
        <f t="shared" si="331"/>
        <v>205.81208992364182</v>
      </c>
      <c r="DE653" s="164">
        <f t="shared" si="332"/>
        <v>36</v>
      </c>
      <c r="DF653" s="166">
        <f t="shared" si="333"/>
        <v>421.40227132407205</v>
      </c>
      <c r="DG653" s="164">
        <f t="shared" si="334"/>
        <v>36</v>
      </c>
      <c r="DH653" s="166">
        <f t="shared" si="335"/>
        <v>636.9924527245023</v>
      </c>
      <c r="DI653" s="164">
        <f>IFERROR(INDEX(DC$615:DC$663,_xlfn.AGGREGATE(15,6,(ROW(DC$615:DC$663)-ROW(DC$615)+1)/(DC$615:DC$663&lt;&gt;""),ROWS(DI$1:DI39))),"")</f>
        <v>36</v>
      </c>
      <c r="DJ653" s="165">
        <f>IFERROR(INDEX(DD$615:DD$663,_xlfn.AGGREGATE(15,6,(ROW(DD$615:DD$663)-ROW(DD$615)+1)/(DD$615:DD$663&lt;&gt;""),ROWS(DJ$1:DJ39))),"")</f>
        <v>205.81208992364182</v>
      </c>
      <c r="DK653" s="166">
        <f t="shared" si="336"/>
        <v>653</v>
      </c>
      <c r="DL653" s="164">
        <f>IFERROR(INDEX(DE$615:DE$663,_xlfn.AGGREGATE(15,6,(ROW(DE$615:DE$663)-ROW(DE$615)+1)/(DE$615:DE$663&lt;&gt;""),ROWS(DL$1:DL39))),"")</f>
        <v>36</v>
      </c>
      <c r="DM653" s="165">
        <f>IFERROR(INDEX(DF$615:DF$663,_xlfn.AGGREGATE(15,6,(ROW(DF$615:DF$663)-ROW(DF$615)+1)/(DF$615:DF$663&lt;&gt;""),ROWS(DM$1:DM39))),"")</f>
        <v>421.40227132407205</v>
      </c>
      <c r="DN653" s="166">
        <f t="shared" si="337"/>
        <v>653</v>
      </c>
      <c r="DO653" s="164">
        <f>IFERROR(INDEX(DG$615:DG$663,_xlfn.AGGREGATE(15,6,(ROW(DG$615:DG$663)-ROW(DG$615)+1)/(DG$615:DG$663&lt;&gt;""),ROWS(DO$1:DO39))),"")</f>
        <v>36</v>
      </c>
      <c r="DP653" s="165">
        <f>IFERROR(INDEX(DH$615:DH$663,_xlfn.AGGREGATE(15,6,(ROW(DH$615:DH$663)-ROW(DH$615)+1)/(DH$615:DH$663&lt;&gt;""),ROWS(DP$1:DP39))),"")</f>
        <v>636.9924527245023</v>
      </c>
      <c r="DQ653" s="166">
        <f t="shared" si="338"/>
        <v>653</v>
      </c>
      <c r="DR653" s="65"/>
      <c r="DV653" s="145">
        <v>2053</v>
      </c>
      <c r="DW653" s="235">
        <f t="shared" ca="1" si="322"/>
        <v>450.37892774473329</v>
      </c>
      <c r="EA653" s="55"/>
      <c r="EB653" s="55"/>
      <c r="EC653" s="55"/>
      <c r="ED653" s="55"/>
      <c r="EE653" s="55"/>
    </row>
    <row r="654" spans="2:135" ht="13.8" x14ac:dyDescent="0.45">
      <c r="B654" s="128">
        <v>2051</v>
      </c>
      <c r="C654" s="912">
        <v>358.73</v>
      </c>
      <c r="D654" s="960">
        <v>734.45987920273774</v>
      </c>
      <c r="E654" s="292"/>
      <c r="F654" s="914"/>
      <c r="G654" s="320"/>
      <c r="H654" s="292"/>
      <c r="I654" s="1112">
        <v>197.81081081081066</v>
      </c>
      <c r="J654" s="320"/>
      <c r="K654" s="292"/>
      <c r="L654" s="293"/>
      <c r="M654" s="292"/>
      <c r="N654" s="29" t="s">
        <v>119</v>
      </c>
      <c r="O654" s="120"/>
      <c r="P654" s="120"/>
      <c r="Q654" s="120"/>
      <c r="R654" s="29">
        <v>37</v>
      </c>
      <c r="S654" s="317">
        <f t="shared" si="323"/>
        <v>197.81081081081066</v>
      </c>
      <c r="T654" s="317">
        <f t="shared" si="324"/>
        <v>734.45987920273774</v>
      </c>
      <c r="U654" s="317">
        <f t="shared" si="325"/>
        <v>224.86048765621899</v>
      </c>
      <c r="W654" s="317">
        <f t="shared" si="326"/>
        <v>205.47307568163046</v>
      </c>
      <c r="X654" s="317">
        <f t="shared" si="356"/>
        <v>430.33356333784945</v>
      </c>
      <c r="Y654" s="317">
        <f t="shared" si="328"/>
        <v>655.19405099406845</v>
      </c>
      <c r="AA654" s="89"/>
      <c r="AB654" s="89"/>
      <c r="AC654" s="89"/>
      <c r="AD654" s="89"/>
      <c r="AE654" s="89"/>
      <c r="AF654" s="89"/>
      <c r="AG654" s="89"/>
      <c r="AH654" s="89"/>
      <c r="AI654" s="89"/>
      <c r="AJ654" s="89"/>
      <c r="AK654" s="89"/>
      <c r="AL654" s="89"/>
      <c r="AM654" s="89"/>
      <c r="AN654" s="89"/>
      <c r="BR654" s="180">
        <v>2049</v>
      </c>
      <c r="BS654" s="22">
        <v>35</v>
      </c>
      <c r="BT654" s="318">
        <f t="shared" si="339"/>
        <v>217.51679925653482</v>
      </c>
      <c r="BU654" s="318">
        <f t="shared" si="340"/>
        <v>197.08859710304145</v>
      </c>
      <c r="BV654" s="205">
        <f t="shared" si="341"/>
        <v>414.60539635957628</v>
      </c>
      <c r="BY654" s="180">
        <v>2049</v>
      </c>
      <c r="BZ654" s="22">
        <v>35</v>
      </c>
      <c r="CA654" s="318">
        <f t="shared" ca="1" si="342"/>
        <v>128.12153067973279</v>
      </c>
      <c r="CB654" s="318">
        <f t="shared" ca="1" si="343"/>
        <v>56.449732116299352</v>
      </c>
      <c r="CC654" s="318">
        <f t="shared" ca="1" si="354"/>
        <v>226.79187441981213</v>
      </c>
      <c r="CD654" s="205">
        <f t="shared" ca="1" si="344"/>
        <v>411.36313721584429</v>
      </c>
      <c r="CG654" s="180">
        <v>2049</v>
      </c>
      <c r="CH654" s="22">
        <v>35</v>
      </c>
      <c r="CI654" s="318">
        <f t="shared" ca="1" si="345"/>
        <v>-57.211094810750815</v>
      </c>
      <c r="CJ654" s="318">
        <f t="shared" ca="1" si="346"/>
        <v>236.00530946571996</v>
      </c>
      <c r="CK654" s="318">
        <f t="shared" ca="1" si="347"/>
        <v>5.4407870123793192</v>
      </c>
      <c r="CL654" s="318">
        <f t="shared" ca="1" si="348"/>
        <v>230.43790580082432</v>
      </c>
      <c r="CM654" s="205">
        <f t="shared" ca="1" si="349"/>
        <v>414.67290746817281</v>
      </c>
      <c r="CP654" s="180">
        <v>2049</v>
      </c>
      <c r="CQ654" s="22">
        <v>35</v>
      </c>
      <c r="CR654" s="318">
        <f t="shared" ca="1" si="350"/>
        <v>214.56777435485824</v>
      </c>
      <c r="CS654" s="318">
        <f t="shared" ca="1" si="351"/>
        <v>1.9095244814776882</v>
      </c>
      <c r="CT654" s="205">
        <f t="shared" ca="1" si="352"/>
        <v>409.72241806678227</v>
      </c>
      <c r="CZ654" s="164" t="b">
        <f t="shared" si="329"/>
        <v>1</v>
      </c>
      <c r="DA654" s="165" t="b">
        <f t="shared" si="329"/>
        <v>1</v>
      </c>
      <c r="DB654" s="166" t="b">
        <f t="shared" si="329"/>
        <v>1</v>
      </c>
      <c r="DC654" s="164">
        <f t="shared" si="330"/>
        <v>37</v>
      </c>
      <c r="DD654" s="166">
        <f t="shared" si="331"/>
        <v>205.47307568163046</v>
      </c>
      <c r="DE654" s="164">
        <f t="shared" si="332"/>
        <v>37</v>
      </c>
      <c r="DF654" s="166">
        <f t="shared" si="333"/>
        <v>430.33356333784945</v>
      </c>
      <c r="DG654" s="164">
        <f t="shared" si="334"/>
        <v>37</v>
      </c>
      <c r="DH654" s="166">
        <f t="shared" si="335"/>
        <v>655.19405099406845</v>
      </c>
      <c r="DI654" s="164">
        <f>IFERROR(INDEX(DC$615:DC$663,_xlfn.AGGREGATE(15,6,(ROW(DC$615:DC$663)-ROW(DC$615)+1)/(DC$615:DC$663&lt;&gt;""),ROWS(DI$1:DI40))),"")</f>
        <v>37</v>
      </c>
      <c r="DJ654" s="165">
        <f>IFERROR(INDEX(DD$615:DD$663,_xlfn.AGGREGATE(15,6,(ROW(DD$615:DD$663)-ROW(DD$615)+1)/(DD$615:DD$663&lt;&gt;""),ROWS(DJ$1:DJ40))),"")</f>
        <v>205.47307568163046</v>
      </c>
      <c r="DK654" s="166">
        <f t="shared" si="336"/>
        <v>654</v>
      </c>
      <c r="DL654" s="164">
        <f>IFERROR(INDEX(DE$615:DE$663,_xlfn.AGGREGATE(15,6,(ROW(DE$615:DE$663)-ROW(DE$615)+1)/(DE$615:DE$663&lt;&gt;""),ROWS(DL$1:DL40))),"")</f>
        <v>37</v>
      </c>
      <c r="DM654" s="165">
        <f>IFERROR(INDEX(DF$615:DF$663,_xlfn.AGGREGATE(15,6,(ROW(DF$615:DF$663)-ROW(DF$615)+1)/(DF$615:DF$663&lt;&gt;""),ROWS(DM$1:DM40))),"")</f>
        <v>430.33356333784945</v>
      </c>
      <c r="DN654" s="166">
        <f t="shared" si="337"/>
        <v>654</v>
      </c>
      <c r="DO654" s="164">
        <f>IFERROR(INDEX(DG$615:DG$663,_xlfn.AGGREGATE(15,6,(ROW(DG$615:DG$663)-ROW(DG$615)+1)/(DG$615:DG$663&lt;&gt;""),ROWS(DO$1:DO40))),"")</f>
        <v>37</v>
      </c>
      <c r="DP654" s="165">
        <f>IFERROR(INDEX(DH$615:DH$663,_xlfn.AGGREGATE(15,6,(ROW(DH$615:DH$663)-ROW(DH$615)+1)/(DH$615:DH$663&lt;&gt;""),ROWS(DP$1:DP40))),"")</f>
        <v>655.19405099406845</v>
      </c>
      <c r="DQ654" s="166">
        <f t="shared" si="338"/>
        <v>654</v>
      </c>
      <c r="DR654" s="65"/>
      <c r="DV654" s="145">
        <v>2054</v>
      </c>
      <c r="DW654" s="235">
        <f t="shared" ca="1" si="322"/>
        <v>459.50812914307159</v>
      </c>
      <c r="EA654" s="55"/>
      <c r="EB654" s="55"/>
      <c r="EC654" s="55"/>
      <c r="ED654" s="55"/>
      <c r="EE654" s="55"/>
    </row>
    <row r="655" spans="2:135" ht="14.1" thickBot="1" x14ac:dyDescent="0.5">
      <c r="B655" s="128">
        <v>2052</v>
      </c>
      <c r="C655" s="912">
        <v>361.16</v>
      </c>
      <c r="D655" s="960">
        <v>757.55075666062658</v>
      </c>
      <c r="E655" s="292"/>
      <c r="F655" s="914"/>
      <c r="G655" s="320"/>
      <c r="H655" s="292"/>
      <c r="I655" s="1112">
        <v>199.62162162162144</v>
      </c>
      <c r="J655" s="320"/>
      <c r="K655" s="292"/>
      <c r="L655" s="293"/>
      <c r="M655" s="292"/>
      <c r="N655" s="29" t="s">
        <v>119</v>
      </c>
      <c r="O655" s="120"/>
      <c r="P655" s="120"/>
      <c r="Q655" s="120"/>
      <c r="R655" s="29">
        <v>38</v>
      </c>
      <c r="S655" s="317">
        <f t="shared" si="323"/>
        <v>199.62162162162144</v>
      </c>
      <c r="T655" s="317">
        <f t="shared" si="324"/>
        <v>757.55075666062658</v>
      </c>
      <c r="U655" s="317">
        <f t="shared" si="325"/>
        <v>234.40354552221652</v>
      </c>
      <c r="W655" s="317">
        <f t="shared" si="326"/>
        <v>205.0405805718662</v>
      </c>
      <c r="X655" s="317">
        <f t="shared" si="356"/>
        <v>439.44412609408272</v>
      </c>
      <c r="Y655" s="317">
        <f t="shared" si="328"/>
        <v>673.84767161629929</v>
      </c>
      <c r="AA655" s="89"/>
      <c r="AB655" s="89"/>
      <c r="AC655" s="89"/>
      <c r="AD655" s="89"/>
      <c r="AE655" s="89"/>
      <c r="AF655" s="89"/>
      <c r="AG655" s="89"/>
      <c r="AH655" s="89"/>
      <c r="AI655" s="89"/>
      <c r="AJ655" s="89"/>
      <c r="AK655" s="89"/>
      <c r="AL655" s="89"/>
      <c r="AM655" s="89"/>
      <c r="AN655" s="89"/>
      <c r="BR655" s="180">
        <v>2050</v>
      </c>
      <c r="BS655" s="22">
        <v>36</v>
      </c>
      <c r="BT655" s="318">
        <f t="shared" si="339"/>
        <v>223.73156494957868</v>
      </c>
      <c r="BU655" s="318">
        <f t="shared" si="340"/>
        <v>197.08859710304145</v>
      </c>
      <c r="BV655" s="212">
        <f t="shared" si="341"/>
        <v>420.82016205262016</v>
      </c>
      <c r="BY655" s="180">
        <v>2050</v>
      </c>
      <c r="BZ655" s="22">
        <v>36</v>
      </c>
      <c r="CA655" s="318">
        <f t="shared" ca="1" si="342"/>
        <v>135.54735000892546</v>
      </c>
      <c r="CB655" s="318">
        <f t="shared" ca="1" si="343"/>
        <v>58.062581605336476</v>
      </c>
      <c r="CC655" s="318">
        <f t="shared" ca="1" si="354"/>
        <v>226.79187441981213</v>
      </c>
      <c r="CD655" s="212">
        <f t="shared" ca="1" si="344"/>
        <v>420.40180603407407</v>
      </c>
      <c r="CG655" s="180">
        <v>2050</v>
      </c>
      <c r="CH655" s="22">
        <v>36</v>
      </c>
      <c r="CI655" s="318">
        <f t="shared" ca="1" si="345"/>
        <v>-62.256346110563037</v>
      </c>
      <c r="CJ655" s="318">
        <f t="shared" ca="1" si="346"/>
        <v>249.68398454495761</v>
      </c>
      <c r="CK655" s="318">
        <f t="shared" ca="1" si="347"/>
        <v>5.5962380698758709</v>
      </c>
      <c r="CL655" s="318">
        <f t="shared" ca="1" si="348"/>
        <v>230.43790580082432</v>
      </c>
      <c r="CM655" s="212">
        <f t="shared" ca="1" si="349"/>
        <v>423.46178230509474</v>
      </c>
      <c r="CP655" s="180">
        <v>2050</v>
      </c>
      <c r="CQ655" s="22">
        <v>36</v>
      </c>
      <c r="CR655" s="318">
        <f t="shared" ca="1" si="350"/>
        <v>214.56777435485824</v>
      </c>
      <c r="CS655" s="318">
        <f t="shared" ca="1" si="351"/>
        <v>1.9451435878672187</v>
      </c>
      <c r="CT655" s="212">
        <f t="shared" ca="1" si="352"/>
        <v>417.36513044929279</v>
      </c>
      <c r="CZ655" s="164" t="b">
        <f t="shared" ref="CZ655:DB663" si="357">ISNUMBER(W655)</f>
        <v>1</v>
      </c>
      <c r="DA655" s="165" t="b">
        <f t="shared" si="357"/>
        <v>1</v>
      </c>
      <c r="DB655" s="166" t="b">
        <f t="shared" si="357"/>
        <v>1</v>
      </c>
      <c r="DC655" s="164">
        <f t="shared" si="330"/>
        <v>38</v>
      </c>
      <c r="DD655" s="166">
        <f t="shared" si="331"/>
        <v>205.0405805718662</v>
      </c>
      <c r="DE655" s="164">
        <f t="shared" si="332"/>
        <v>38</v>
      </c>
      <c r="DF655" s="166">
        <f t="shared" si="333"/>
        <v>439.44412609408272</v>
      </c>
      <c r="DG655" s="164">
        <f t="shared" si="334"/>
        <v>38</v>
      </c>
      <c r="DH655" s="166">
        <f t="shared" si="335"/>
        <v>673.84767161629929</v>
      </c>
      <c r="DI655" s="164">
        <f>IFERROR(INDEX(DC$615:DC$663,_xlfn.AGGREGATE(15,6,(ROW(DC$615:DC$663)-ROW(DC$615)+1)/(DC$615:DC$663&lt;&gt;""),ROWS(DI$1:DI41))),"")</f>
        <v>38</v>
      </c>
      <c r="DJ655" s="165">
        <f>IFERROR(INDEX(DD$615:DD$663,_xlfn.AGGREGATE(15,6,(ROW(DD$615:DD$663)-ROW(DD$615)+1)/(DD$615:DD$663&lt;&gt;""),ROWS(DJ$1:DJ41))),"")</f>
        <v>205.0405805718662</v>
      </c>
      <c r="DK655" s="166">
        <f t="shared" si="336"/>
        <v>655</v>
      </c>
      <c r="DL655" s="164">
        <f>IFERROR(INDEX(DE$615:DE$663,_xlfn.AGGREGATE(15,6,(ROW(DE$615:DE$663)-ROW(DE$615)+1)/(DE$615:DE$663&lt;&gt;""),ROWS(DL$1:DL41))),"")</f>
        <v>38</v>
      </c>
      <c r="DM655" s="165">
        <f>IFERROR(INDEX(DF$615:DF$663,_xlfn.AGGREGATE(15,6,(ROW(DF$615:DF$663)-ROW(DF$615)+1)/(DF$615:DF$663&lt;&gt;""),ROWS(DM$1:DM41))),"")</f>
        <v>439.44412609408272</v>
      </c>
      <c r="DN655" s="166">
        <f t="shared" si="337"/>
        <v>655</v>
      </c>
      <c r="DO655" s="164">
        <f>IFERROR(INDEX(DG$615:DG$663,_xlfn.AGGREGATE(15,6,(ROW(DG$615:DG$663)-ROW(DG$615)+1)/(DG$615:DG$663&lt;&gt;""),ROWS(DO$1:DO41))),"")</f>
        <v>38</v>
      </c>
      <c r="DP655" s="165">
        <f>IFERROR(INDEX(DH$615:DH$663,_xlfn.AGGREGATE(15,6,(ROW(DH$615:DH$663)-ROW(DH$615)+1)/(DH$615:DH$663&lt;&gt;""),ROWS(DP$1:DP41))),"")</f>
        <v>673.84767161629929</v>
      </c>
      <c r="DQ655" s="166">
        <f t="shared" si="338"/>
        <v>655</v>
      </c>
      <c r="DR655" s="65"/>
      <c r="DV655" s="145">
        <v>2055</v>
      </c>
      <c r="DW655" s="235">
        <f t="shared" ca="1" si="322"/>
        <v>468.70239663838998</v>
      </c>
      <c r="EA655" s="55"/>
      <c r="EB655" s="55"/>
      <c r="EC655" s="55"/>
      <c r="ED655" s="55"/>
      <c r="EE655" s="55"/>
    </row>
    <row r="656" spans="2:135" ht="13.8" x14ac:dyDescent="0.45">
      <c r="B656" s="128">
        <v>2053</v>
      </c>
      <c r="C656" s="912">
        <v>363.59000000000003</v>
      </c>
      <c r="D656" s="960">
        <v>781.17944634588252</v>
      </c>
      <c r="E656" s="292"/>
      <c r="F656" s="914"/>
      <c r="G656" s="320"/>
      <c r="H656" s="292"/>
      <c r="I656" s="1112">
        <v>201.43243243243228</v>
      </c>
      <c r="J656" s="320"/>
      <c r="K656" s="292"/>
      <c r="L656" s="293"/>
      <c r="M656" s="292"/>
      <c r="N656" s="29" t="s">
        <v>119</v>
      </c>
      <c r="O656" s="120"/>
      <c r="P656" s="120"/>
      <c r="Q656" s="120"/>
      <c r="R656" s="29">
        <v>39</v>
      </c>
      <c r="S656" s="317">
        <f t="shared" si="323"/>
        <v>201.43243243243228</v>
      </c>
      <c r="T656" s="317">
        <f t="shared" si="324"/>
        <v>781.17944634588252</v>
      </c>
      <c r="U656" s="317">
        <f t="shared" si="325"/>
        <v>244.21816807483458</v>
      </c>
      <c r="W656" s="317">
        <f t="shared" si="326"/>
        <v>204.51579151793698</v>
      </c>
      <c r="X656" s="317">
        <f t="shared" si="356"/>
        <v>448.73395959277155</v>
      </c>
      <c r="Y656" s="317">
        <f t="shared" si="328"/>
        <v>692.95212766760619</v>
      </c>
      <c r="AA656" s="89"/>
      <c r="AB656" s="89"/>
      <c r="AC656" s="89"/>
      <c r="AD656" s="89"/>
      <c r="AE656" s="89"/>
      <c r="AF656" s="89"/>
      <c r="AG656" s="89"/>
      <c r="AH656" s="89"/>
      <c r="AI656" s="89"/>
      <c r="AJ656" s="89"/>
      <c r="AK656" s="89"/>
      <c r="AL656" s="89"/>
      <c r="AM656" s="89"/>
      <c r="AN656" s="89"/>
      <c r="BR656" s="180">
        <v>2051</v>
      </c>
      <c r="BS656" s="22">
        <v>37</v>
      </c>
      <c r="BT656" s="318">
        <f t="shared" si="339"/>
        <v>229.94633064262254</v>
      </c>
      <c r="BU656" s="318">
        <f t="shared" si="340"/>
        <v>197.08859710304145</v>
      </c>
      <c r="BV656" s="285">
        <f t="shared" si="341"/>
        <v>427.03492774566399</v>
      </c>
      <c r="BY656" s="180">
        <v>2051</v>
      </c>
      <c r="BZ656" s="22">
        <v>37</v>
      </c>
      <c r="CA656" s="318">
        <f t="shared" ca="1" si="342"/>
        <v>143.18234734739119</v>
      </c>
      <c r="CB656" s="318">
        <f t="shared" ca="1" si="343"/>
        <v>59.6754310943736</v>
      </c>
      <c r="CC656" s="318">
        <f t="shared" ca="1" si="354"/>
        <v>226.79187441981213</v>
      </c>
      <c r="CD656" s="285">
        <f t="shared" ca="1" si="344"/>
        <v>429.6496528615769</v>
      </c>
      <c r="CG656" s="180">
        <v>2051</v>
      </c>
      <c r="CH656" s="22">
        <v>37</v>
      </c>
      <c r="CI656" s="318">
        <f t="shared" ca="1" si="345"/>
        <v>-67.589821234961192</v>
      </c>
      <c r="CJ656" s="318">
        <f t="shared" ca="1" si="346"/>
        <v>263.74797441515972</v>
      </c>
      <c r="CK656" s="318">
        <f t="shared" ca="1" si="347"/>
        <v>5.7516891273724227</v>
      </c>
      <c r="CL656" s="318">
        <f t="shared" ca="1" si="348"/>
        <v>230.43790580082432</v>
      </c>
      <c r="CM656" s="285">
        <f t="shared" ca="1" si="349"/>
        <v>432.34774810839531</v>
      </c>
      <c r="CP656" s="180">
        <v>2051</v>
      </c>
      <c r="CQ656" s="22">
        <v>37</v>
      </c>
      <c r="CR656" s="318">
        <f t="shared" ca="1" si="350"/>
        <v>214.56777435485824</v>
      </c>
      <c r="CS656" s="318">
        <f t="shared" ca="1" si="351"/>
        <v>1.9814271113680746</v>
      </c>
      <c r="CT656" s="285">
        <f t="shared" ca="1" si="352"/>
        <v>425.15040533262362</v>
      </c>
      <c r="CZ656" s="164" t="b">
        <f t="shared" si="357"/>
        <v>1</v>
      </c>
      <c r="DA656" s="165" t="b">
        <f t="shared" si="357"/>
        <v>1</v>
      </c>
      <c r="DB656" s="166" t="b">
        <f t="shared" si="357"/>
        <v>1</v>
      </c>
      <c r="DC656" s="164">
        <f t="shared" si="330"/>
        <v>39</v>
      </c>
      <c r="DD656" s="166">
        <f t="shared" si="331"/>
        <v>204.51579151793698</v>
      </c>
      <c r="DE656" s="164">
        <f t="shared" si="332"/>
        <v>39</v>
      </c>
      <c r="DF656" s="166">
        <f t="shared" si="333"/>
        <v>448.73395959277155</v>
      </c>
      <c r="DG656" s="164">
        <f t="shared" si="334"/>
        <v>39</v>
      </c>
      <c r="DH656" s="166">
        <f t="shared" si="335"/>
        <v>692.95212766760619</v>
      </c>
      <c r="DI656" s="164">
        <f>IFERROR(INDEX(DC$615:DC$663,_xlfn.AGGREGATE(15,6,(ROW(DC$615:DC$663)-ROW(DC$615)+1)/(DC$615:DC$663&lt;&gt;""),ROWS(DI$1:DI42))),"")</f>
        <v>39</v>
      </c>
      <c r="DJ656" s="165">
        <f>IFERROR(INDEX(DD$615:DD$663,_xlfn.AGGREGATE(15,6,(ROW(DD$615:DD$663)-ROW(DD$615)+1)/(DD$615:DD$663&lt;&gt;""),ROWS(DJ$1:DJ42))),"")</f>
        <v>204.51579151793698</v>
      </c>
      <c r="DK656" s="166">
        <f t="shared" si="336"/>
        <v>656</v>
      </c>
      <c r="DL656" s="164">
        <f>IFERROR(INDEX(DE$615:DE$663,_xlfn.AGGREGATE(15,6,(ROW(DE$615:DE$663)-ROW(DE$615)+1)/(DE$615:DE$663&lt;&gt;""),ROWS(DL$1:DL42))),"")</f>
        <v>39</v>
      </c>
      <c r="DM656" s="165">
        <f>IFERROR(INDEX(DF$615:DF$663,_xlfn.AGGREGATE(15,6,(ROW(DF$615:DF$663)-ROW(DF$615)+1)/(DF$615:DF$663&lt;&gt;""),ROWS(DM$1:DM42))),"")</f>
        <v>448.73395959277155</v>
      </c>
      <c r="DN656" s="166">
        <f t="shared" si="337"/>
        <v>656</v>
      </c>
      <c r="DO656" s="164">
        <f>IFERROR(INDEX(DG$615:DG$663,_xlfn.AGGREGATE(15,6,(ROW(DG$615:DG$663)-ROW(DG$615)+1)/(DG$615:DG$663&lt;&gt;""),ROWS(DO$1:DO42))),"")</f>
        <v>39</v>
      </c>
      <c r="DP656" s="165">
        <f>IFERROR(INDEX(DH$615:DH$663,_xlfn.AGGREGATE(15,6,(ROW(DH$615:DH$663)-ROW(DH$615)+1)/(DH$615:DH$663&lt;&gt;""),ROWS(DP$1:DP42))),"")</f>
        <v>692.95212766760619</v>
      </c>
      <c r="DQ656" s="166">
        <f t="shared" si="338"/>
        <v>656</v>
      </c>
      <c r="DR656" s="65"/>
      <c r="DV656" s="145">
        <v>2056</v>
      </c>
      <c r="DW656" s="235">
        <f t="shared" ca="1" si="322"/>
        <v>477.95372401333884</v>
      </c>
      <c r="EA656" s="55"/>
      <c r="EB656" s="55"/>
      <c r="EC656" s="55"/>
      <c r="ED656" s="55"/>
      <c r="EE656" s="55"/>
    </row>
    <row r="657" spans="1:135" ht="13.8" x14ac:dyDescent="0.45">
      <c r="B657" s="128">
        <v>2054</v>
      </c>
      <c r="C657" s="912">
        <v>366.02000000000004</v>
      </c>
      <c r="D657" s="960">
        <v>805.34594825850581</v>
      </c>
      <c r="E657" s="292"/>
      <c r="F657" s="914"/>
      <c r="G657" s="320"/>
      <c r="H657" s="292"/>
      <c r="I657" s="1112">
        <v>203.24324324324306</v>
      </c>
      <c r="J657" s="320"/>
      <c r="K657" s="292"/>
      <c r="L657" s="293"/>
      <c r="M657" s="292"/>
      <c r="N657" s="29" t="s">
        <v>119</v>
      </c>
      <c r="O657" s="120"/>
      <c r="P657" s="120"/>
      <c r="Q657" s="120"/>
      <c r="R657" s="29">
        <v>40</v>
      </c>
      <c r="S657" s="317">
        <f t="shared" si="323"/>
        <v>203.24324324324306</v>
      </c>
      <c r="T657" s="317">
        <f t="shared" si="324"/>
        <v>805.34594825850581</v>
      </c>
      <c r="U657" s="317">
        <f t="shared" si="325"/>
        <v>254.30323734999271</v>
      </c>
      <c r="W657" s="317">
        <f t="shared" si="326"/>
        <v>203.89982648392359</v>
      </c>
      <c r="X657" s="317">
        <f t="shared" si="356"/>
        <v>458.2030638339163</v>
      </c>
      <c r="Y657" s="317">
        <f t="shared" si="328"/>
        <v>712.50630118390904</v>
      </c>
      <c r="AA657" s="89"/>
      <c r="AB657" s="89"/>
      <c r="AC657" s="89"/>
      <c r="AD657" s="89"/>
      <c r="AE657" s="89"/>
      <c r="AF657" s="89"/>
      <c r="AG657" s="89"/>
      <c r="AH657" s="89"/>
      <c r="AI657" s="89"/>
      <c r="AJ657" s="89"/>
      <c r="AK657" s="89"/>
      <c r="AL657" s="89"/>
      <c r="AM657" s="89"/>
      <c r="AN657" s="89"/>
      <c r="BR657" s="180">
        <v>2052</v>
      </c>
      <c r="BS657" s="22">
        <v>38</v>
      </c>
      <c r="BT657" s="318">
        <f t="shared" si="339"/>
        <v>236.1610963356664</v>
      </c>
      <c r="BU657" s="318">
        <f t="shared" si="340"/>
        <v>197.08859710304145</v>
      </c>
      <c r="BV657" s="325">
        <f t="shared" si="341"/>
        <v>433.24969343870782</v>
      </c>
      <c r="BY657" s="180">
        <v>2052</v>
      </c>
      <c r="BZ657" s="22">
        <v>38</v>
      </c>
      <c r="CA657" s="318">
        <f t="shared" ca="1" si="342"/>
        <v>151.02652269512993</v>
      </c>
      <c r="CB657" s="318">
        <f t="shared" ca="1" si="343"/>
        <v>61.288280583410724</v>
      </c>
      <c r="CC657" s="318">
        <f t="shared" ca="1" si="354"/>
        <v>226.79187441981213</v>
      </c>
      <c r="CD657" s="325">
        <f t="shared" ca="1" si="344"/>
        <v>439.10667769835277</v>
      </c>
      <c r="CG657" s="180">
        <v>2052</v>
      </c>
      <c r="CH657" s="22">
        <v>38</v>
      </c>
      <c r="CI657" s="318">
        <f t="shared" ca="1" si="345"/>
        <v>-73.2195264012949</v>
      </c>
      <c r="CJ657" s="318">
        <f t="shared" ca="1" si="346"/>
        <v>278.19727907632625</v>
      </c>
      <c r="CK657" s="318">
        <f t="shared" ca="1" si="347"/>
        <v>5.9071401848689753</v>
      </c>
      <c r="CL657" s="318">
        <f t="shared" ca="1" si="348"/>
        <v>230.43790580082432</v>
      </c>
      <c r="CM657" s="325">
        <f t="shared" ca="1" si="349"/>
        <v>441.32279866072463</v>
      </c>
      <c r="CP657" s="180">
        <v>2052</v>
      </c>
      <c r="CQ657" s="22">
        <v>38</v>
      </c>
      <c r="CR657" s="318">
        <f t="shared" ca="1" si="350"/>
        <v>214.56777435485824</v>
      </c>
      <c r="CS657" s="318">
        <f t="shared" ca="1" si="351"/>
        <v>2.0183874456122859</v>
      </c>
      <c r="CT657" s="325">
        <f t="shared" ca="1" si="352"/>
        <v>433.08090199081568</v>
      </c>
      <c r="CZ657" s="164" t="b">
        <f t="shared" si="357"/>
        <v>1</v>
      </c>
      <c r="DA657" s="165" t="b">
        <f t="shared" si="357"/>
        <v>1</v>
      </c>
      <c r="DB657" s="166" t="b">
        <f t="shared" si="357"/>
        <v>1</v>
      </c>
      <c r="DC657" s="164">
        <f t="shared" si="330"/>
        <v>40</v>
      </c>
      <c r="DD657" s="166">
        <f t="shared" si="331"/>
        <v>203.89982648392359</v>
      </c>
      <c r="DE657" s="164">
        <f t="shared" si="332"/>
        <v>40</v>
      </c>
      <c r="DF657" s="166">
        <f t="shared" si="333"/>
        <v>458.2030638339163</v>
      </c>
      <c r="DG657" s="164">
        <f t="shared" si="334"/>
        <v>40</v>
      </c>
      <c r="DH657" s="166">
        <f t="shared" si="335"/>
        <v>712.50630118390904</v>
      </c>
      <c r="DI657" s="164">
        <f>IFERROR(INDEX(DC$615:DC$663,_xlfn.AGGREGATE(15,6,(ROW(DC$615:DC$663)-ROW(DC$615)+1)/(DC$615:DC$663&lt;&gt;""),ROWS(DI$1:DI43))),"")</f>
        <v>40</v>
      </c>
      <c r="DJ657" s="165">
        <f>IFERROR(INDEX(DD$615:DD$663,_xlfn.AGGREGATE(15,6,(ROW(DD$615:DD$663)-ROW(DD$615)+1)/(DD$615:DD$663&lt;&gt;""),ROWS(DJ$1:DJ43))),"")</f>
        <v>203.89982648392359</v>
      </c>
      <c r="DK657" s="166">
        <f t="shared" si="336"/>
        <v>657</v>
      </c>
      <c r="DL657" s="164">
        <f>IFERROR(INDEX(DE$615:DE$663,_xlfn.AGGREGATE(15,6,(ROW(DE$615:DE$663)-ROW(DE$615)+1)/(DE$615:DE$663&lt;&gt;""),ROWS(DL$1:DL43))),"")</f>
        <v>40</v>
      </c>
      <c r="DM657" s="165">
        <f>IFERROR(INDEX(DF$615:DF$663,_xlfn.AGGREGATE(15,6,(ROW(DF$615:DF$663)-ROW(DF$615)+1)/(DF$615:DF$663&lt;&gt;""),ROWS(DM$1:DM43))),"")</f>
        <v>458.2030638339163</v>
      </c>
      <c r="DN657" s="166">
        <f t="shared" si="337"/>
        <v>657</v>
      </c>
      <c r="DO657" s="164">
        <f>IFERROR(INDEX(DG$615:DG$663,_xlfn.AGGREGATE(15,6,(ROW(DG$615:DG$663)-ROW(DG$615)+1)/(DG$615:DG$663&lt;&gt;""),ROWS(DO$1:DO43))),"")</f>
        <v>40</v>
      </c>
      <c r="DP657" s="165">
        <f>IFERROR(INDEX(DH$615:DH$663,_xlfn.AGGREGATE(15,6,(ROW(DH$615:DH$663)-ROW(DH$615)+1)/(DH$615:DH$663&lt;&gt;""),ROWS(DP$1:DP43))),"")</f>
        <v>712.50630118390904</v>
      </c>
      <c r="DQ657" s="166">
        <f t="shared" si="338"/>
        <v>657</v>
      </c>
      <c r="DR657" s="65"/>
      <c r="DV657" s="145">
        <v>2057</v>
      </c>
      <c r="DW657" s="235">
        <f t="shared" ca="1" si="322"/>
        <v>487.25410505056857</v>
      </c>
      <c r="EA657" s="55"/>
      <c r="EB657" s="55"/>
      <c r="EC657" s="55"/>
      <c r="ED657" s="55"/>
      <c r="EE657" s="55"/>
    </row>
    <row r="658" spans="1:135" ht="13.8" x14ac:dyDescent="0.45">
      <c r="B658" s="128">
        <v>2055</v>
      </c>
      <c r="C658" s="912">
        <v>368.45000000000005</v>
      </c>
      <c r="D658" s="960">
        <v>830.05026239849644</v>
      </c>
      <c r="E658" s="292"/>
      <c r="F658" s="914"/>
      <c r="G658" s="320"/>
      <c r="H658" s="292"/>
      <c r="I658" s="1112">
        <v>205.05405405405389</v>
      </c>
      <c r="J658" s="320"/>
      <c r="K658" s="292"/>
      <c r="L658" s="293"/>
      <c r="M658" s="292"/>
      <c r="N658" s="29" t="s">
        <v>119</v>
      </c>
      <c r="O658" s="120"/>
      <c r="P658" s="120"/>
      <c r="Q658" s="120"/>
      <c r="R658" s="29">
        <v>41</v>
      </c>
      <c r="S658" s="317">
        <f t="shared" si="323"/>
        <v>205.05405405405389</v>
      </c>
      <c r="T658" s="317">
        <f t="shared" si="324"/>
        <v>830.05026239849644</v>
      </c>
      <c r="U658" s="317">
        <f t="shared" si="325"/>
        <v>264.65770300582204</v>
      </c>
      <c r="W658" s="317">
        <f t="shared" si="326"/>
        <v>203.19373581169475</v>
      </c>
      <c r="X658" s="317">
        <f t="shared" si="356"/>
        <v>467.85143881751679</v>
      </c>
      <c r="Y658" s="317">
        <f t="shared" si="328"/>
        <v>732.50914182333884</v>
      </c>
      <c r="AA658" s="89"/>
      <c r="AB658" s="89"/>
      <c r="AC658" s="89"/>
      <c r="AD658" s="89"/>
      <c r="AE658" s="89"/>
      <c r="AF658" s="89"/>
      <c r="AG658" s="89"/>
      <c r="AH658" s="89"/>
      <c r="AI658" s="89"/>
      <c r="AJ658" s="89"/>
      <c r="AK658" s="89"/>
      <c r="AL658" s="89"/>
      <c r="AM658" s="89"/>
      <c r="AN658" s="89"/>
      <c r="BR658" s="180">
        <v>2053</v>
      </c>
      <c r="BS658" s="22">
        <v>39</v>
      </c>
      <c r="BT658" s="318">
        <f t="shared" si="339"/>
        <v>242.37586202871023</v>
      </c>
      <c r="BU658" s="318">
        <f t="shared" si="340"/>
        <v>197.08859710304145</v>
      </c>
      <c r="BV658" s="325">
        <f t="shared" si="341"/>
        <v>439.46445913175171</v>
      </c>
      <c r="BY658" s="180">
        <v>2053</v>
      </c>
      <c r="BZ658" s="22">
        <v>39</v>
      </c>
      <c r="CA658" s="318">
        <f t="shared" ca="1" si="342"/>
        <v>159.07987605214169</v>
      </c>
      <c r="CB658" s="318">
        <f t="shared" ca="1" si="343"/>
        <v>62.901130072447849</v>
      </c>
      <c r="CC658" s="318">
        <f t="shared" ca="1" si="354"/>
        <v>226.79187441981213</v>
      </c>
      <c r="CD658" s="325">
        <f t="shared" ca="1" si="344"/>
        <v>448.77288054440169</v>
      </c>
      <c r="CG658" s="180">
        <v>2053</v>
      </c>
      <c r="CH658" s="22">
        <v>39</v>
      </c>
      <c r="CI658" s="318">
        <f t="shared" ca="1" si="345"/>
        <v>-79.153467826913769</v>
      </c>
      <c r="CJ658" s="318">
        <f t="shared" ca="1" si="346"/>
        <v>293.03189852845719</v>
      </c>
      <c r="CK658" s="318">
        <f t="shared" ca="1" si="347"/>
        <v>6.062591242365527</v>
      </c>
      <c r="CL658" s="318">
        <f t="shared" ca="1" si="348"/>
        <v>230.43790580082432</v>
      </c>
      <c r="CM658" s="325">
        <f t="shared" ca="1" si="349"/>
        <v>450.37892774473329</v>
      </c>
      <c r="CP658" s="180">
        <v>2053</v>
      </c>
      <c r="CQ658" s="22">
        <v>39</v>
      </c>
      <c r="CR658" s="318">
        <f t="shared" ca="1" si="350"/>
        <v>214.56777435485824</v>
      </c>
      <c r="CS658" s="318">
        <f t="shared" ca="1" si="351"/>
        <v>2.0560372154151438</v>
      </c>
      <c r="CT658" s="325">
        <f t="shared" ca="1" si="352"/>
        <v>441.15932930238768</v>
      </c>
      <c r="CZ658" s="164" t="b">
        <f t="shared" si="357"/>
        <v>1</v>
      </c>
      <c r="DA658" s="165" t="b">
        <f t="shared" si="357"/>
        <v>1</v>
      </c>
      <c r="DB658" s="166" t="b">
        <f t="shared" si="357"/>
        <v>1</v>
      </c>
      <c r="DC658" s="164">
        <f t="shared" si="330"/>
        <v>41</v>
      </c>
      <c r="DD658" s="166">
        <f t="shared" si="331"/>
        <v>203.19373581169475</v>
      </c>
      <c r="DE658" s="164">
        <f t="shared" si="332"/>
        <v>41</v>
      </c>
      <c r="DF658" s="166">
        <f t="shared" si="333"/>
        <v>467.85143881751679</v>
      </c>
      <c r="DG658" s="164">
        <f t="shared" si="334"/>
        <v>41</v>
      </c>
      <c r="DH658" s="166">
        <f t="shared" si="335"/>
        <v>732.50914182333884</v>
      </c>
      <c r="DI658" s="164">
        <f>IFERROR(INDEX(DC$615:DC$663,_xlfn.AGGREGATE(15,6,(ROW(DC$615:DC$663)-ROW(DC$615)+1)/(DC$615:DC$663&lt;&gt;""),ROWS(DI$1:DI44))),"")</f>
        <v>41</v>
      </c>
      <c r="DJ658" s="165">
        <f>IFERROR(INDEX(DD$615:DD$663,_xlfn.AGGREGATE(15,6,(ROW(DD$615:DD$663)-ROW(DD$615)+1)/(DD$615:DD$663&lt;&gt;""),ROWS(DJ$1:DJ44))),"")</f>
        <v>203.19373581169475</v>
      </c>
      <c r="DK658" s="166">
        <f t="shared" si="336"/>
        <v>658</v>
      </c>
      <c r="DL658" s="164">
        <f>IFERROR(INDEX(DE$615:DE$663,_xlfn.AGGREGATE(15,6,(ROW(DE$615:DE$663)-ROW(DE$615)+1)/(DE$615:DE$663&lt;&gt;""),ROWS(DL$1:DL44))),"")</f>
        <v>41</v>
      </c>
      <c r="DM658" s="165">
        <f>IFERROR(INDEX(DF$615:DF$663,_xlfn.AGGREGATE(15,6,(ROW(DF$615:DF$663)-ROW(DF$615)+1)/(DF$615:DF$663&lt;&gt;""),ROWS(DM$1:DM44))),"")</f>
        <v>467.85143881751679</v>
      </c>
      <c r="DN658" s="166">
        <f t="shared" si="337"/>
        <v>658</v>
      </c>
      <c r="DO658" s="164">
        <f>IFERROR(INDEX(DG$615:DG$663,_xlfn.AGGREGATE(15,6,(ROW(DG$615:DG$663)-ROW(DG$615)+1)/(DG$615:DG$663&lt;&gt;""),ROWS(DO$1:DO44))),"")</f>
        <v>41</v>
      </c>
      <c r="DP658" s="165">
        <f>IFERROR(INDEX(DH$615:DH$663,_xlfn.AGGREGATE(15,6,(ROW(DH$615:DH$663)-ROW(DH$615)+1)/(DH$615:DH$663&lt;&gt;""),ROWS(DP$1:DP44))),"")</f>
        <v>732.50914182333884</v>
      </c>
      <c r="DQ658" s="166">
        <f t="shared" si="338"/>
        <v>658</v>
      </c>
      <c r="DR658" s="65"/>
      <c r="DV658" s="145">
        <v>2058</v>
      </c>
      <c r="DW658" s="235">
        <f t="shared" ca="1" si="322"/>
        <v>496.59553353272952</v>
      </c>
      <c r="EA658" s="55"/>
      <c r="EB658" s="55"/>
      <c r="EC658" s="55"/>
      <c r="ED658" s="55"/>
      <c r="EE658" s="55"/>
    </row>
    <row r="659" spans="1:135" ht="13.8" x14ac:dyDescent="0.45">
      <c r="B659" s="128">
        <v>2056</v>
      </c>
      <c r="C659" s="912">
        <v>370.88000000000005</v>
      </c>
      <c r="D659" s="960">
        <v>855.29238876585418</v>
      </c>
      <c r="E659" s="292"/>
      <c r="F659" s="914"/>
      <c r="G659" s="320"/>
      <c r="H659" s="292"/>
      <c r="I659" s="1112">
        <v>206.86486486486467</v>
      </c>
      <c r="J659" s="320"/>
      <c r="K659" s="292"/>
      <c r="L659" s="293"/>
      <c r="M659" s="292"/>
      <c r="N659" s="29" t="s">
        <v>119</v>
      </c>
      <c r="O659" s="120"/>
      <c r="P659" s="120"/>
      <c r="Q659" s="120"/>
      <c r="R659" s="29">
        <v>42</v>
      </c>
      <c r="S659" s="317">
        <f t="shared" si="323"/>
        <v>206.86486486486467</v>
      </c>
      <c r="T659" s="317">
        <f t="shared" si="324"/>
        <v>855.29238876585418</v>
      </c>
      <c r="U659" s="317">
        <f t="shared" si="325"/>
        <v>275.28058023599709</v>
      </c>
      <c r="W659" s="317">
        <f t="shared" si="326"/>
        <v>202.39850430757593</v>
      </c>
      <c r="X659" s="317">
        <f t="shared" si="356"/>
        <v>477.67908454357303</v>
      </c>
      <c r="Y659" s="317">
        <f t="shared" si="328"/>
        <v>752.95966477957018</v>
      </c>
      <c r="AA659" s="89"/>
      <c r="AB659" s="89"/>
      <c r="AC659" s="89"/>
      <c r="AD659" s="89"/>
      <c r="AE659" s="89"/>
      <c r="AF659" s="89"/>
      <c r="AG659" s="89"/>
      <c r="AH659" s="89"/>
      <c r="AI659" s="89"/>
      <c r="AJ659" s="89"/>
      <c r="AK659" s="89"/>
      <c r="AL659" s="89"/>
      <c r="AM659" s="89"/>
      <c r="AN659" s="89"/>
      <c r="BR659" s="180">
        <v>2054</v>
      </c>
      <c r="BS659" s="22">
        <v>40</v>
      </c>
      <c r="BT659" s="318">
        <f t="shared" si="339"/>
        <v>248.59062772175409</v>
      </c>
      <c r="BU659" s="318">
        <f t="shared" si="340"/>
        <v>197.08859710304145</v>
      </c>
      <c r="BV659" s="325">
        <f t="shared" si="341"/>
        <v>445.67922482479554</v>
      </c>
      <c r="BY659" s="180">
        <v>2054</v>
      </c>
      <c r="BZ659" s="22">
        <v>40</v>
      </c>
      <c r="CA659" s="318">
        <f t="shared" ca="1" si="342"/>
        <v>167.34240741842649</v>
      </c>
      <c r="CB659" s="318">
        <f t="shared" ca="1" si="343"/>
        <v>64.513979561484973</v>
      </c>
      <c r="CC659" s="318">
        <f t="shared" ca="1" si="354"/>
        <v>226.79187441981213</v>
      </c>
      <c r="CD659" s="325">
        <f t="shared" ca="1" si="344"/>
        <v>458.64826139972359</v>
      </c>
      <c r="CG659" s="180">
        <v>2054</v>
      </c>
      <c r="CH659" s="22">
        <v>40</v>
      </c>
      <c r="CI659" s="318">
        <f t="shared" ca="1" si="345"/>
        <v>-85.399651729167402</v>
      </c>
      <c r="CJ659" s="318">
        <f t="shared" ca="1" si="346"/>
        <v>308.25183277155259</v>
      </c>
      <c r="CK659" s="318">
        <f t="shared" ca="1" si="347"/>
        <v>6.2180422998620788</v>
      </c>
      <c r="CL659" s="318">
        <f t="shared" ca="1" si="348"/>
        <v>230.43790580082432</v>
      </c>
      <c r="CM659" s="325">
        <f t="shared" ca="1" si="349"/>
        <v>459.50812914307159</v>
      </c>
      <c r="CP659" s="180">
        <v>2054</v>
      </c>
      <c r="CQ659" s="22">
        <v>40</v>
      </c>
      <c r="CR659" s="318">
        <f t="shared" ca="1" si="350"/>
        <v>214.56777435485824</v>
      </c>
      <c r="CS659" s="318">
        <f t="shared" ca="1" si="351"/>
        <v>2.0943892810875533</v>
      </c>
      <c r="CT659" s="325">
        <f t="shared" ca="1" si="352"/>
        <v>449.3884466756279</v>
      </c>
      <c r="CZ659" s="164" t="b">
        <f t="shared" si="357"/>
        <v>1</v>
      </c>
      <c r="DA659" s="165" t="b">
        <f t="shared" si="357"/>
        <v>1</v>
      </c>
      <c r="DB659" s="166" t="b">
        <f t="shared" si="357"/>
        <v>1</v>
      </c>
      <c r="DC659" s="164">
        <f t="shared" si="330"/>
        <v>42</v>
      </c>
      <c r="DD659" s="166">
        <f t="shared" si="331"/>
        <v>202.39850430757593</v>
      </c>
      <c r="DE659" s="164">
        <f t="shared" si="332"/>
        <v>42</v>
      </c>
      <c r="DF659" s="166">
        <f t="shared" si="333"/>
        <v>477.67908454357303</v>
      </c>
      <c r="DG659" s="164">
        <f t="shared" si="334"/>
        <v>42</v>
      </c>
      <c r="DH659" s="166">
        <f t="shared" si="335"/>
        <v>752.95966477957018</v>
      </c>
      <c r="DI659" s="164">
        <f>IFERROR(INDEX(DC$615:DC$663,_xlfn.AGGREGATE(15,6,(ROW(DC$615:DC$663)-ROW(DC$615)+1)/(DC$615:DC$663&lt;&gt;""),ROWS(DI$1:DI45))),"")</f>
        <v>42</v>
      </c>
      <c r="DJ659" s="165">
        <f>IFERROR(INDEX(DD$615:DD$663,_xlfn.AGGREGATE(15,6,(ROW(DD$615:DD$663)-ROW(DD$615)+1)/(DD$615:DD$663&lt;&gt;""),ROWS(DJ$1:DJ45))),"")</f>
        <v>202.39850430757593</v>
      </c>
      <c r="DK659" s="166">
        <f t="shared" si="336"/>
        <v>659</v>
      </c>
      <c r="DL659" s="164">
        <f>IFERROR(INDEX(DE$615:DE$663,_xlfn.AGGREGATE(15,6,(ROW(DE$615:DE$663)-ROW(DE$615)+1)/(DE$615:DE$663&lt;&gt;""),ROWS(DL$1:DL45))),"")</f>
        <v>42</v>
      </c>
      <c r="DM659" s="165">
        <f>IFERROR(INDEX(DF$615:DF$663,_xlfn.AGGREGATE(15,6,(ROW(DF$615:DF$663)-ROW(DF$615)+1)/(DF$615:DF$663&lt;&gt;""),ROWS(DM$1:DM45))),"")</f>
        <v>477.67908454357303</v>
      </c>
      <c r="DN659" s="166">
        <f t="shared" si="337"/>
        <v>659</v>
      </c>
      <c r="DO659" s="164">
        <f>IFERROR(INDEX(DG$615:DG$663,_xlfn.AGGREGATE(15,6,(ROW(DG$615:DG$663)-ROW(DG$615)+1)/(DG$615:DG$663&lt;&gt;""),ROWS(DO$1:DO45))),"")</f>
        <v>42</v>
      </c>
      <c r="DP659" s="165">
        <f>IFERROR(INDEX(DH$615:DH$663,_xlfn.AGGREGATE(15,6,(ROW(DH$615:DH$663)-ROW(DH$615)+1)/(DH$615:DH$663&lt;&gt;""),ROWS(DP$1:DP45))),"")</f>
        <v>752.95966477957018</v>
      </c>
      <c r="DQ659" s="166">
        <f t="shared" si="338"/>
        <v>659</v>
      </c>
      <c r="DR659" s="65"/>
      <c r="DV659" s="145">
        <v>2059</v>
      </c>
      <c r="DW659" s="235">
        <f t="shared" ca="1" si="322"/>
        <v>505.97000324247199</v>
      </c>
      <c r="EA659" s="55"/>
      <c r="EB659" s="55"/>
      <c r="EC659" s="55"/>
      <c r="ED659" s="55"/>
      <c r="EE659" s="55"/>
    </row>
    <row r="660" spans="1:135" ht="13.8" x14ac:dyDescent="0.45">
      <c r="B660" s="128">
        <v>2057</v>
      </c>
      <c r="C660" s="912">
        <v>373.31000000000006</v>
      </c>
      <c r="D660" s="960">
        <v>881.07232736057949</v>
      </c>
      <c r="E660" s="292"/>
      <c r="F660" s="914"/>
      <c r="G660" s="320"/>
      <c r="H660" s="292"/>
      <c r="I660" s="1112">
        <v>208.67567567567551</v>
      </c>
      <c r="J660" s="320"/>
      <c r="K660" s="292"/>
      <c r="L660" s="293"/>
      <c r="M660" s="292"/>
      <c r="N660" s="29" t="s">
        <v>119</v>
      </c>
      <c r="O660" s="120"/>
      <c r="P660" s="120"/>
      <c r="Q660" s="120"/>
      <c r="R660" s="29">
        <v>43</v>
      </c>
      <c r="S660" s="317">
        <f t="shared" si="323"/>
        <v>208.67567567567551</v>
      </c>
      <c r="T660" s="317">
        <f t="shared" si="324"/>
        <v>881.07232736057949</v>
      </c>
      <c r="U660" s="317">
        <f t="shared" si="325"/>
        <v>286.17094716841888</v>
      </c>
      <c r="W660" s="317">
        <f t="shared" si="326"/>
        <v>201.51505384366607</v>
      </c>
      <c r="X660" s="317">
        <f t="shared" si="356"/>
        <v>487.68600101208494</v>
      </c>
      <c r="Y660" s="317">
        <f t="shared" si="328"/>
        <v>773.85694818050388</v>
      </c>
      <c r="AA660" s="89"/>
      <c r="AB660" s="89"/>
      <c r="AC660" s="89"/>
      <c r="AD660" s="89"/>
      <c r="AE660" s="89"/>
      <c r="AF660" s="89"/>
      <c r="AG660" s="89"/>
      <c r="AH660" s="89"/>
      <c r="AI660" s="89"/>
      <c r="AJ660" s="89"/>
      <c r="AK660" s="89"/>
      <c r="AL660" s="89"/>
      <c r="AM660" s="89"/>
      <c r="AN660" s="89"/>
      <c r="BR660" s="180">
        <v>2055</v>
      </c>
      <c r="BS660" s="22">
        <v>41</v>
      </c>
      <c r="BT660" s="318">
        <f t="shared" si="339"/>
        <v>254.80539341479795</v>
      </c>
      <c r="BU660" s="318">
        <f t="shared" si="340"/>
        <v>197.08859710304145</v>
      </c>
      <c r="BV660" s="325">
        <f t="shared" si="341"/>
        <v>451.89399051783937</v>
      </c>
      <c r="BY660" s="180">
        <v>2055</v>
      </c>
      <c r="BZ660" s="22">
        <v>41</v>
      </c>
      <c r="CA660" s="318">
        <f t="shared" ca="1" si="342"/>
        <v>175.81411679398434</v>
      </c>
      <c r="CB660" s="318">
        <f t="shared" ca="1" si="343"/>
        <v>66.126829050522105</v>
      </c>
      <c r="CC660" s="318">
        <f t="shared" ca="1" si="354"/>
        <v>226.79187441981213</v>
      </c>
      <c r="CD660" s="325">
        <f t="shared" ca="1" si="344"/>
        <v>468.73282026431855</v>
      </c>
      <c r="CG660" s="180">
        <v>2055</v>
      </c>
      <c r="CH660" s="22">
        <v>41</v>
      </c>
      <c r="CI660" s="318">
        <f t="shared" ca="1" si="345"/>
        <v>-91.966084325405419</v>
      </c>
      <c r="CJ660" s="318">
        <f t="shared" ca="1" si="346"/>
        <v>323.85708180561244</v>
      </c>
      <c r="CK660" s="318">
        <f t="shared" ca="1" si="347"/>
        <v>6.3734933573586305</v>
      </c>
      <c r="CL660" s="318">
        <f t="shared" ca="1" si="348"/>
        <v>230.43790580082432</v>
      </c>
      <c r="CM660" s="325">
        <f t="shared" ca="1" si="349"/>
        <v>468.70239663838998</v>
      </c>
      <c r="CP660" s="180">
        <v>2055</v>
      </c>
      <c r="CQ660" s="22">
        <v>41</v>
      </c>
      <c r="CR660" s="318">
        <f t="shared" ca="1" si="350"/>
        <v>214.56777435485824</v>
      </c>
      <c r="CS660" s="318">
        <f t="shared" ca="1" si="351"/>
        <v>2.133456742828824</v>
      </c>
      <c r="CT660" s="325">
        <f t="shared" ca="1" si="352"/>
        <v>457.77106499114592</v>
      </c>
      <c r="CZ660" s="164" t="b">
        <f t="shared" si="357"/>
        <v>1</v>
      </c>
      <c r="DA660" s="165" t="b">
        <f t="shared" si="357"/>
        <v>1</v>
      </c>
      <c r="DB660" s="166" t="b">
        <f t="shared" si="357"/>
        <v>1</v>
      </c>
      <c r="DC660" s="164">
        <f t="shared" si="330"/>
        <v>43</v>
      </c>
      <c r="DD660" s="166">
        <f t="shared" si="331"/>
        <v>201.51505384366607</v>
      </c>
      <c r="DE660" s="164">
        <f t="shared" si="332"/>
        <v>43</v>
      </c>
      <c r="DF660" s="166">
        <f t="shared" si="333"/>
        <v>487.68600101208494</v>
      </c>
      <c r="DG660" s="164">
        <f t="shared" si="334"/>
        <v>43</v>
      </c>
      <c r="DH660" s="166">
        <f t="shared" si="335"/>
        <v>773.85694818050388</v>
      </c>
      <c r="DI660" s="164">
        <f>IFERROR(INDEX(DC$615:DC$663,_xlfn.AGGREGATE(15,6,(ROW(DC$615:DC$663)-ROW(DC$615)+1)/(DC$615:DC$663&lt;&gt;""),ROWS(DI$1:DI46))),"")</f>
        <v>43</v>
      </c>
      <c r="DJ660" s="165">
        <f>IFERROR(INDEX(DD$615:DD$663,_xlfn.AGGREGATE(15,6,(ROW(DD$615:DD$663)-ROW(DD$615)+1)/(DD$615:DD$663&lt;&gt;""),ROWS(DJ$1:DJ46))),"")</f>
        <v>201.51505384366607</v>
      </c>
      <c r="DK660" s="166">
        <f t="shared" si="336"/>
        <v>660</v>
      </c>
      <c r="DL660" s="164">
        <f>IFERROR(INDEX(DE$615:DE$663,_xlfn.AGGREGATE(15,6,(ROW(DE$615:DE$663)-ROW(DE$615)+1)/(DE$615:DE$663&lt;&gt;""),ROWS(DL$1:DL46))),"")</f>
        <v>43</v>
      </c>
      <c r="DM660" s="165">
        <f>IFERROR(INDEX(DF$615:DF$663,_xlfn.AGGREGATE(15,6,(ROW(DF$615:DF$663)-ROW(DF$615)+1)/(DF$615:DF$663&lt;&gt;""),ROWS(DM$1:DM46))),"")</f>
        <v>487.68600101208494</v>
      </c>
      <c r="DN660" s="166">
        <f t="shared" si="337"/>
        <v>660</v>
      </c>
      <c r="DO660" s="164">
        <f>IFERROR(INDEX(DG$615:DG$663,_xlfn.AGGREGATE(15,6,(ROW(DG$615:DG$663)-ROW(DG$615)+1)/(DG$615:DG$663&lt;&gt;""),ROWS(DO$1:DO46))),"")</f>
        <v>43</v>
      </c>
      <c r="DP660" s="165">
        <f>IFERROR(INDEX(DH$615:DH$663,_xlfn.AGGREGATE(15,6,(ROW(DH$615:DH$663)-ROW(DH$615)+1)/(DH$615:DH$663&lt;&gt;""),ROWS(DP$1:DP46))),"")</f>
        <v>773.85694818050388</v>
      </c>
      <c r="DQ660" s="166">
        <f t="shared" si="338"/>
        <v>660</v>
      </c>
      <c r="DR660" s="65"/>
      <c r="DV660" s="145">
        <v>2060</v>
      </c>
      <c r="DW660" s="235">
        <f t="shared" ca="1" si="322"/>
        <v>515.36950796244662</v>
      </c>
      <c r="EA660" s="55"/>
      <c r="EB660" s="55"/>
      <c r="EC660" s="55"/>
      <c r="ED660" s="55"/>
      <c r="EE660" s="55"/>
    </row>
    <row r="661" spans="1:135" ht="13.8" x14ac:dyDescent="0.45">
      <c r="A661" s="214"/>
      <c r="B661" s="128">
        <v>2058</v>
      </c>
      <c r="C661" s="912">
        <v>375.74</v>
      </c>
      <c r="D661" s="960">
        <v>907.39007818267191</v>
      </c>
      <c r="E661" s="292"/>
      <c r="F661" s="914"/>
      <c r="G661" s="320"/>
      <c r="H661" s="292"/>
      <c r="I661" s="1112">
        <v>210.48648648648629</v>
      </c>
      <c r="J661" s="320"/>
      <c r="K661" s="292"/>
      <c r="L661" s="293"/>
      <c r="M661" s="292"/>
      <c r="N661" s="29" t="s">
        <v>119</v>
      </c>
      <c r="R661" s="29">
        <v>44</v>
      </c>
      <c r="S661" s="317">
        <f t="shared" si="323"/>
        <v>210.48648648648629</v>
      </c>
      <c r="T661" s="317">
        <f t="shared" si="324"/>
        <v>907.39007818267191</v>
      </c>
      <c r="U661" s="317">
        <f t="shared" si="325"/>
        <v>297.3279419315474</v>
      </c>
      <c r="W661" s="317">
        <f t="shared" si="326"/>
        <v>200.54424629150532</v>
      </c>
      <c r="X661" s="317">
        <f t="shared" si="356"/>
        <v>497.87218822305272</v>
      </c>
      <c r="Y661" s="317">
        <f t="shared" si="328"/>
        <v>795.20013015460017</v>
      </c>
      <c r="AA661" s="89"/>
      <c r="AB661" s="89"/>
      <c r="AC661" s="89"/>
      <c r="AD661" s="89"/>
      <c r="AE661" s="89"/>
      <c r="AF661" s="89"/>
      <c r="AG661" s="89"/>
      <c r="AH661" s="89"/>
      <c r="AI661" s="89"/>
      <c r="AJ661" s="89"/>
      <c r="AK661" s="89"/>
      <c r="AL661" s="89"/>
      <c r="AM661" s="89"/>
      <c r="AN661" s="89"/>
      <c r="BR661" s="180">
        <v>2056</v>
      </c>
      <c r="BS661" s="22">
        <v>42</v>
      </c>
      <c r="BT661" s="318">
        <f t="shared" si="339"/>
        <v>261.02015910784178</v>
      </c>
      <c r="BU661" s="318">
        <f t="shared" si="340"/>
        <v>197.08859710304145</v>
      </c>
      <c r="BV661" s="325">
        <f t="shared" si="341"/>
        <v>458.10875621088326</v>
      </c>
      <c r="BY661" s="180">
        <v>2056</v>
      </c>
      <c r="BZ661" s="22">
        <v>42</v>
      </c>
      <c r="CA661" s="318">
        <f t="shared" ca="1" si="342"/>
        <v>184.49500417881521</v>
      </c>
      <c r="CB661" s="318">
        <f t="shared" ca="1" si="343"/>
        <v>67.739678539559222</v>
      </c>
      <c r="CC661" s="318">
        <f t="shared" ca="1" si="354"/>
        <v>226.79187441981213</v>
      </c>
      <c r="CD661" s="325">
        <f t="shared" ca="1" si="344"/>
        <v>479.02655713818655</v>
      </c>
      <c r="CG661" s="180">
        <v>2056</v>
      </c>
      <c r="CH661" s="22">
        <v>42</v>
      </c>
      <c r="CI661" s="318">
        <f t="shared" ca="1" si="345"/>
        <v>-98.860771832977406</v>
      </c>
      <c r="CJ661" s="318">
        <f t="shared" ca="1" si="346"/>
        <v>339.84764563063675</v>
      </c>
      <c r="CK661" s="318">
        <f t="shared" ca="1" si="347"/>
        <v>6.5289444148551823</v>
      </c>
      <c r="CL661" s="318">
        <f t="shared" ca="1" si="348"/>
        <v>230.43790580082432</v>
      </c>
      <c r="CM661" s="325">
        <f t="shared" ca="1" si="349"/>
        <v>477.95372401333884</v>
      </c>
      <c r="CP661" s="180">
        <v>2056</v>
      </c>
      <c r="CQ661" s="22">
        <v>42</v>
      </c>
      <c r="CR661" s="318">
        <f t="shared" ca="1" si="350"/>
        <v>214.56777435485824</v>
      </c>
      <c r="CS661" s="318">
        <f t="shared" ca="1" si="351"/>
        <v>2.1732529452014036</v>
      </c>
      <c r="CT661" s="325">
        <f t="shared" ca="1" si="352"/>
        <v>466.31004756200588</v>
      </c>
      <c r="CZ661" s="164" t="b">
        <f t="shared" si="357"/>
        <v>1</v>
      </c>
      <c r="DA661" s="165" t="b">
        <f t="shared" si="357"/>
        <v>1</v>
      </c>
      <c r="DB661" s="166" t="b">
        <f t="shared" si="357"/>
        <v>1</v>
      </c>
      <c r="DC661" s="164">
        <f t="shared" si="330"/>
        <v>44</v>
      </c>
      <c r="DD661" s="166">
        <f t="shared" si="331"/>
        <v>200.54424629150532</v>
      </c>
      <c r="DE661" s="164">
        <f t="shared" si="332"/>
        <v>44</v>
      </c>
      <c r="DF661" s="166">
        <f t="shared" si="333"/>
        <v>497.87218822305272</v>
      </c>
      <c r="DG661" s="164">
        <f t="shared" si="334"/>
        <v>44</v>
      </c>
      <c r="DH661" s="166">
        <f t="shared" si="335"/>
        <v>795.20013015460017</v>
      </c>
      <c r="DI661" s="164">
        <f>IFERROR(INDEX(DC$615:DC$663,_xlfn.AGGREGATE(15,6,(ROW(DC$615:DC$663)-ROW(DC$615)+1)/(DC$615:DC$663&lt;&gt;""),ROWS(DI$1:DI47))),"")</f>
        <v>44</v>
      </c>
      <c r="DJ661" s="165">
        <f>IFERROR(INDEX(DD$615:DD$663,_xlfn.AGGREGATE(15,6,(ROW(DD$615:DD$663)-ROW(DD$615)+1)/(DD$615:DD$663&lt;&gt;""),ROWS(DJ$1:DJ47))),"")</f>
        <v>200.54424629150532</v>
      </c>
      <c r="DK661" s="166">
        <f t="shared" si="336"/>
        <v>661</v>
      </c>
      <c r="DL661" s="164">
        <f>IFERROR(INDEX(DE$615:DE$663,_xlfn.AGGREGATE(15,6,(ROW(DE$615:DE$663)-ROW(DE$615)+1)/(DE$615:DE$663&lt;&gt;""),ROWS(DL$1:DL47))),"")</f>
        <v>44</v>
      </c>
      <c r="DM661" s="165">
        <f>IFERROR(INDEX(DF$615:DF$663,_xlfn.AGGREGATE(15,6,(ROW(DF$615:DF$663)-ROW(DF$615)+1)/(DF$615:DF$663&lt;&gt;""),ROWS(DM$1:DM47))),"")</f>
        <v>497.87218822305272</v>
      </c>
      <c r="DN661" s="166">
        <f t="shared" si="337"/>
        <v>661</v>
      </c>
      <c r="DO661" s="164">
        <f>IFERROR(INDEX(DG$615:DG$663,_xlfn.AGGREGATE(15,6,(ROW(DG$615:DG$663)-ROW(DG$615)+1)/(DG$615:DG$663&lt;&gt;""),ROWS(DO$1:DO47))),"")</f>
        <v>44</v>
      </c>
      <c r="DP661" s="165">
        <f>IFERROR(INDEX(DH$615:DH$663,_xlfn.AGGREGATE(15,6,(ROW(DH$615:DH$663)-ROW(DH$615)+1)/(DH$615:DH$663&lt;&gt;""),ROWS(DP$1:DP47))),"")</f>
        <v>795.20013015460017</v>
      </c>
      <c r="DQ661" s="166">
        <f t="shared" si="338"/>
        <v>661</v>
      </c>
      <c r="DR661" s="65"/>
      <c r="DW661" s="54"/>
      <c r="EA661" s="55"/>
      <c r="EB661" s="55"/>
      <c r="EC661" s="55"/>
      <c r="ED661" s="55"/>
      <c r="EE661" s="55"/>
    </row>
    <row r="662" spans="1:135" ht="13.8" x14ac:dyDescent="0.45">
      <c r="A662" s="214"/>
      <c r="B662" s="128">
        <v>2059</v>
      </c>
      <c r="C662" s="912">
        <v>378.17000000000007</v>
      </c>
      <c r="D662" s="960">
        <v>934.24564123213167</v>
      </c>
      <c r="E662" s="292"/>
      <c r="F662" s="914"/>
      <c r="G662" s="320"/>
      <c r="H662" s="292"/>
      <c r="I662" s="1112">
        <v>212.29729729729712</v>
      </c>
      <c r="J662" s="320"/>
      <c r="K662" s="292"/>
      <c r="L662" s="293"/>
      <c r="M662" s="292"/>
      <c r="N662" s="29" t="s">
        <v>119</v>
      </c>
      <c r="R662" s="29">
        <v>45</v>
      </c>
      <c r="S662" s="317">
        <f t="shared" si="323"/>
        <v>212.29729729729712</v>
      </c>
      <c r="T662" s="317">
        <f t="shared" si="324"/>
        <v>934.24564123213167</v>
      </c>
      <c r="U662" s="317">
        <f t="shared" si="325"/>
        <v>308.75075952832827</v>
      </c>
      <c r="W662" s="317">
        <f t="shared" si="326"/>
        <v>199.48688664814802</v>
      </c>
      <c r="X662" s="317">
        <f t="shared" si="356"/>
        <v>508.23764617647629</v>
      </c>
      <c r="Y662" s="317">
        <f t="shared" si="328"/>
        <v>816.98840570480456</v>
      </c>
      <c r="AA662" s="89"/>
      <c r="AB662" s="89"/>
      <c r="AC662" s="89"/>
      <c r="AD662" s="89"/>
      <c r="AE662" s="89"/>
      <c r="AF662" s="89"/>
      <c r="AG662" s="89"/>
      <c r="AH662" s="89"/>
      <c r="AI662" s="89"/>
      <c r="AJ662" s="89"/>
      <c r="AK662" s="89"/>
      <c r="AL662" s="89"/>
      <c r="AM662" s="89"/>
      <c r="AN662" s="89"/>
      <c r="BR662" s="180">
        <v>2057</v>
      </c>
      <c r="BS662" s="22">
        <v>43</v>
      </c>
      <c r="BT662" s="318">
        <f t="shared" si="339"/>
        <v>267.23492480088566</v>
      </c>
      <c r="BU662" s="318">
        <f t="shared" si="340"/>
        <v>197.08859710304145</v>
      </c>
      <c r="BV662" s="325">
        <f t="shared" si="341"/>
        <v>464.32352190392714</v>
      </c>
      <c r="BY662" s="180">
        <v>2057</v>
      </c>
      <c r="BZ662" s="22">
        <v>43</v>
      </c>
      <c r="CA662" s="318">
        <f t="shared" ca="1" si="342"/>
        <v>193.38506957291912</v>
      </c>
      <c r="CB662" s="318">
        <f t="shared" ca="1" si="343"/>
        <v>69.352528028596339</v>
      </c>
      <c r="CC662" s="318">
        <f t="shared" ca="1" si="354"/>
        <v>226.79187441981213</v>
      </c>
      <c r="CD662" s="325">
        <f t="shared" ca="1" si="344"/>
        <v>489.52947202132759</v>
      </c>
      <c r="CG662" s="180">
        <v>2057</v>
      </c>
      <c r="CH662" s="22">
        <v>43</v>
      </c>
      <c r="CI662" s="318">
        <f t="shared" ca="1" si="345"/>
        <v>-106.09172046923301</v>
      </c>
      <c r="CJ662" s="318">
        <f t="shared" ca="1" si="346"/>
        <v>356.22352424662552</v>
      </c>
      <c r="CK662" s="318">
        <f t="shared" ca="1" si="347"/>
        <v>6.6843954723517349</v>
      </c>
      <c r="CL662" s="318">
        <f t="shared" ca="1" si="348"/>
        <v>230.43790580082432</v>
      </c>
      <c r="CM662" s="325">
        <f t="shared" ca="1" si="349"/>
        <v>487.25410505056857</v>
      </c>
      <c r="CP662" s="180">
        <v>2057</v>
      </c>
      <c r="CQ662" s="22">
        <v>43</v>
      </c>
      <c r="CR662" s="318">
        <f t="shared" ca="1" si="350"/>
        <v>214.56777435485824</v>
      </c>
      <c r="CS662" s="318">
        <f t="shared" ca="1" si="351"/>
        <v>2.2137914816890771</v>
      </c>
      <c r="CT662" s="325">
        <f t="shared" ca="1" si="352"/>
        <v>475.00831111176922</v>
      </c>
      <c r="CZ662" s="164" t="b">
        <f t="shared" si="357"/>
        <v>1</v>
      </c>
      <c r="DA662" s="165" t="b">
        <f t="shared" si="357"/>
        <v>1</v>
      </c>
      <c r="DB662" s="166" t="b">
        <f t="shared" si="357"/>
        <v>1</v>
      </c>
      <c r="DC662" s="164">
        <f t="shared" si="330"/>
        <v>45</v>
      </c>
      <c r="DD662" s="166">
        <f t="shared" si="331"/>
        <v>199.48688664814802</v>
      </c>
      <c r="DE662" s="164">
        <f t="shared" si="332"/>
        <v>45</v>
      </c>
      <c r="DF662" s="166">
        <f t="shared" si="333"/>
        <v>508.23764617647629</v>
      </c>
      <c r="DG662" s="164">
        <f t="shared" si="334"/>
        <v>45</v>
      </c>
      <c r="DH662" s="166">
        <f t="shared" si="335"/>
        <v>816.98840570480456</v>
      </c>
      <c r="DI662" s="164">
        <f>IFERROR(INDEX(DC$615:DC$663,_xlfn.AGGREGATE(15,6,(ROW(DC$615:DC$663)-ROW(DC$615)+1)/(DC$615:DC$663&lt;&gt;""),ROWS(DI$1:DI48))),"")</f>
        <v>45</v>
      </c>
      <c r="DJ662" s="165">
        <f>IFERROR(INDEX(DD$615:DD$663,_xlfn.AGGREGATE(15,6,(ROW(DD$615:DD$663)-ROW(DD$615)+1)/(DD$615:DD$663&lt;&gt;""),ROWS(DJ$1:DJ48))),"")</f>
        <v>199.48688664814802</v>
      </c>
      <c r="DK662" s="166">
        <f t="shared" si="336"/>
        <v>662</v>
      </c>
      <c r="DL662" s="164">
        <f>IFERROR(INDEX(DE$615:DE$663,_xlfn.AGGREGATE(15,6,(ROW(DE$615:DE$663)-ROW(DE$615)+1)/(DE$615:DE$663&lt;&gt;""),ROWS(DL$1:DL48))),"")</f>
        <v>45</v>
      </c>
      <c r="DM662" s="165">
        <f>IFERROR(INDEX(DF$615:DF$663,_xlfn.AGGREGATE(15,6,(ROW(DF$615:DF$663)-ROW(DF$615)+1)/(DF$615:DF$663&lt;&gt;""),ROWS(DM$1:DM48))),"")</f>
        <v>508.23764617647629</v>
      </c>
      <c r="DN662" s="166">
        <f t="shared" si="337"/>
        <v>662</v>
      </c>
      <c r="DO662" s="164">
        <f>IFERROR(INDEX(DG$615:DG$663,_xlfn.AGGREGATE(15,6,(ROW(DG$615:DG$663)-ROW(DG$615)+1)/(DG$615:DG$663&lt;&gt;""),ROWS(DO$1:DO48))),"")</f>
        <v>45</v>
      </c>
      <c r="DP662" s="165">
        <f>IFERROR(INDEX(DH$615:DH$663,_xlfn.AGGREGATE(15,6,(ROW(DH$615:DH$663)-ROW(DH$615)+1)/(DH$615:DH$663&lt;&gt;""),ROWS(DP$1:DP48))),"")</f>
        <v>816.98840570480456</v>
      </c>
      <c r="DQ662" s="166">
        <f t="shared" si="338"/>
        <v>662</v>
      </c>
      <c r="DR662" s="65"/>
      <c r="DW662" s="54"/>
      <c r="EA662" s="55"/>
      <c r="EB662" s="55"/>
      <c r="EC662" s="55"/>
      <c r="ED662" s="55"/>
      <c r="EE662" s="55"/>
    </row>
    <row r="663" spans="1:135" ht="14.1" thickBot="1" x14ac:dyDescent="0.5">
      <c r="A663" s="214"/>
      <c r="B663" s="128">
        <v>2060</v>
      </c>
      <c r="C663" s="912">
        <v>380.6</v>
      </c>
      <c r="D663" s="960">
        <v>961.63901650895878</v>
      </c>
      <c r="E663" s="300"/>
      <c r="F663" s="915"/>
      <c r="G663" s="302"/>
      <c r="H663" s="300"/>
      <c r="I663" s="1115">
        <v>214.1081081081079</v>
      </c>
      <c r="J663" s="302"/>
      <c r="K663" s="300"/>
      <c r="L663" s="301"/>
      <c r="M663" s="300"/>
      <c r="N663" s="29" t="s">
        <v>119</v>
      </c>
      <c r="R663" s="29">
        <v>46</v>
      </c>
      <c r="S663" s="317">
        <f t="shared" si="323"/>
        <v>214.1081081081079</v>
      </c>
      <c r="T663" s="317">
        <f t="shared" si="324"/>
        <v>961.63901650895878</v>
      </c>
      <c r="U663" s="317">
        <f t="shared" si="325"/>
        <v>320.43864862369901</v>
      </c>
      <c r="W663" s="317">
        <f t="shared" si="326"/>
        <v>198.34372624865648</v>
      </c>
      <c r="X663" s="317">
        <f t="shared" si="356"/>
        <v>518.78237487235549</v>
      </c>
      <c r="Y663" s="317">
        <f t="shared" si="328"/>
        <v>839.2210234960545</v>
      </c>
      <c r="AA663" s="89"/>
      <c r="AB663" s="89"/>
      <c r="AC663" s="89"/>
      <c r="AD663" s="89"/>
      <c r="AE663" s="89"/>
      <c r="AF663" s="89"/>
      <c r="AG663" s="89"/>
      <c r="AH663" s="89"/>
      <c r="AI663" s="89"/>
      <c r="AJ663" s="89"/>
      <c r="AK663" s="89"/>
      <c r="AL663" s="89"/>
      <c r="AM663" s="89"/>
      <c r="AN663" s="89"/>
      <c r="BR663" s="180">
        <v>2058</v>
      </c>
      <c r="BS663" s="22">
        <v>44</v>
      </c>
      <c r="BT663" s="318">
        <f t="shared" si="339"/>
        <v>273.4496904939295</v>
      </c>
      <c r="BU663" s="318">
        <f t="shared" si="340"/>
        <v>197.08859710304145</v>
      </c>
      <c r="BV663" s="325">
        <f t="shared" si="341"/>
        <v>470.53828759697092</v>
      </c>
      <c r="BY663" s="180">
        <v>2058</v>
      </c>
      <c r="BZ663" s="22">
        <v>44</v>
      </c>
      <c r="CA663" s="318">
        <f t="shared" ca="1" si="342"/>
        <v>202.48431297629605</v>
      </c>
      <c r="CB663" s="318">
        <f t="shared" ca="1" si="343"/>
        <v>70.96537751763347</v>
      </c>
      <c r="CC663" s="318">
        <f t="shared" ca="1" si="354"/>
        <v>226.79187441981213</v>
      </c>
      <c r="CD663" s="325">
        <f t="shared" ca="1" si="344"/>
        <v>500.24156491374168</v>
      </c>
      <c r="CG663" s="180">
        <v>2058</v>
      </c>
      <c r="CH663" s="22">
        <v>44</v>
      </c>
      <c r="CI663" s="318">
        <f t="shared" ca="1" si="345"/>
        <v>-113.66693645152181</v>
      </c>
      <c r="CJ663" s="318">
        <f t="shared" ca="1" si="346"/>
        <v>372.98471765357868</v>
      </c>
      <c r="CK663" s="318">
        <f t="shared" ca="1" si="347"/>
        <v>6.8398465298482867</v>
      </c>
      <c r="CL663" s="318">
        <f t="shared" ca="1" si="348"/>
        <v>230.43790580082432</v>
      </c>
      <c r="CM663" s="325">
        <f t="shared" ca="1" si="349"/>
        <v>496.59553353272952</v>
      </c>
      <c r="CP663" s="180">
        <v>2058</v>
      </c>
      <c r="CQ663" s="22">
        <v>44</v>
      </c>
      <c r="CR663" s="318">
        <f t="shared" ca="1" si="350"/>
        <v>214.56777435485824</v>
      </c>
      <c r="CS663" s="318">
        <f t="shared" ca="1" si="351"/>
        <v>2.2550861993401954</v>
      </c>
      <c r="CT663" s="325">
        <f t="shared" ca="1" si="352"/>
        <v>483.86882677078194</v>
      </c>
      <c r="CZ663" s="164" t="b">
        <f t="shared" si="357"/>
        <v>1</v>
      </c>
      <c r="DA663" s="165" t="b">
        <f t="shared" si="357"/>
        <v>1</v>
      </c>
      <c r="DB663" s="166" t="b">
        <f t="shared" si="357"/>
        <v>1</v>
      </c>
      <c r="DC663" s="164">
        <f t="shared" si="330"/>
        <v>46</v>
      </c>
      <c r="DD663" s="166">
        <f t="shared" si="331"/>
        <v>198.34372624865648</v>
      </c>
      <c r="DE663" s="164">
        <f t="shared" si="332"/>
        <v>46</v>
      </c>
      <c r="DF663" s="166">
        <f t="shared" si="333"/>
        <v>518.78237487235549</v>
      </c>
      <c r="DG663" s="164">
        <f t="shared" si="334"/>
        <v>46</v>
      </c>
      <c r="DH663" s="166">
        <f t="shared" si="335"/>
        <v>839.2210234960545</v>
      </c>
      <c r="DI663" s="164">
        <f>IFERROR(INDEX(DC$615:DC$663,_xlfn.AGGREGATE(15,6,(ROW(DC$615:DC$663)-ROW(DC$615)+1)/(DC$615:DC$663&lt;&gt;""),ROWS(DI$1:DI49))),"")</f>
        <v>46</v>
      </c>
      <c r="DJ663" s="165">
        <f>IFERROR(INDEX(DD$615:DD$663,_xlfn.AGGREGATE(15,6,(ROW(DD$615:DD$663)-ROW(DD$615)+1)/(DD$615:DD$663&lt;&gt;""),ROWS(DJ$1:DJ49))),"")</f>
        <v>198.34372624865648</v>
      </c>
      <c r="DK663" s="166">
        <f t="shared" si="336"/>
        <v>663</v>
      </c>
      <c r="DL663" s="164">
        <f>IFERROR(INDEX(DE$615:DE$663,_xlfn.AGGREGATE(15,6,(ROW(DE$615:DE$663)-ROW(DE$615)+1)/(DE$615:DE$663&lt;&gt;""),ROWS(DL$1:DL49))),"")</f>
        <v>46</v>
      </c>
      <c r="DM663" s="165">
        <f>IFERROR(INDEX(DF$615:DF$663,_xlfn.AGGREGATE(15,6,(ROW(DF$615:DF$663)-ROW(DF$615)+1)/(DF$615:DF$663&lt;&gt;""),ROWS(DM$1:DM49))),"")</f>
        <v>518.78237487235549</v>
      </c>
      <c r="DN663" s="166">
        <f t="shared" si="337"/>
        <v>663</v>
      </c>
      <c r="DO663" s="164">
        <f>IFERROR(INDEX(DG$615:DG$663,_xlfn.AGGREGATE(15,6,(ROW(DG$615:DG$663)-ROW(DG$615)+1)/(DG$615:DG$663&lt;&gt;""),ROWS(DO$1:DO49))),"")</f>
        <v>46</v>
      </c>
      <c r="DP663" s="165">
        <f>IFERROR(INDEX(DH$615:DH$663,_xlfn.AGGREGATE(15,6,(ROW(DH$615:DH$663)-ROW(DH$615)+1)/(DH$615:DH$663&lt;&gt;""),ROWS(DP$1:DP49))),"")</f>
        <v>839.2210234960545</v>
      </c>
      <c r="DQ663" s="166">
        <f t="shared" si="338"/>
        <v>663</v>
      </c>
      <c r="DR663" s="180"/>
      <c r="DW663" s="54"/>
      <c r="EA663" s="55"/>
      <c r="EB663" s="55"/>
      <c r="EC663" s="55"/>
      <c r="ED663" s="55"/>
      <c r="EE663" s="55"/>
    </row>
    <row r="664" spans="1:135" x14ac:dyDescent="0.4">
      <c r="A664" s="214"/>
      <c r="B664" s="89"/>
      <c r="C664" s="14"/>
      <c r="D664" s="14"/>
      <c r="E664" s="14"/>
      <c r="F664" s="14"/>
      <c r="G664" s="14"/>
      <c r="H664" s="14"/>
      <c r="I664" s="14"/>
      <c r="J664" s="14"/>
      <c r="K664" s="14"/>
      <c r="L664" s="14"/>
      <c r="M664" s="50"/>
      <c r="S664" s="120"/>
      <c r="T664" s="120"/>
      <c r="U664" s="120"/>
      <c r="W664" s="120"/>
      <c r="X664" s="120"/>
      <c r="Y664" s="120"/>
      <c r="AA664" s="89"/>
      <c r="AB664" s="89"/>
      <c r="AC664" s="89"/>
      <c r="AD664" s="89"/>
      <c r="AE664" s="89"/>
      <c r="AF664" s="89"/>
      <c r="AG664" s="89"/>
      <c r="AH664" s="89"/>
      <c r="AI664" s="89"/>
      <c r="AJ664" s="89"/>
      <c r="AK664" s="89"/>
      <c r="AL664" s="89"/>
      <c r="AM664" s="89"/>
      <c r="AN664" s="89"/>
      <c r="BR664" s="180">
        <v>2059</v>
      </c>
      <c r="BS664" s="22">
        <v>45</v>
      </c>
      <c r="BT664" s="318">
        <f t="shared" si="339"/>
        <v>279.66445618697338</v>
      </c>
      <c r="BU664" s="318">
        <f t="shared" si="340"/>
        <v>197.08859710304145</v>
      </c>
      <c r="BV664" s="325">
        <f t="shared" si="341"/>
        <v>476.7530532900148</v>
      </c>
      <c r="BY664" s="180">
        <v>2059</v>
      </c>
      <c r="BZ664" s="22">
        <v>45</v>
      </c>
      <c r="CA664" s="318">
        <f t="shared" ca="1" si="342"/>
        <v>211.79273438894603</v>
      </c>
      <c r="CB664" s="318">
        <f t="shared" ca="1" si="343"/>
        <v>72.578227006670602</v>
      </c>
      <c r="CC664" s="318">
        <f t="shared" ca="1" si="354"/>
        <v>226.79187441981213</v>
      </c>
      <c r="CD664" s="325">
        <f t="shared" ca="1" si="344"/>
        <v>511.16283581542876</v>
      </c>
      <c r="CG664" s="180">
        <v>2059</v>
      </c>
      <c r="CH664" s="22">
        <v>45</v>
      </c>
      <c r="CI664" s="318">
        <f t="shared" ca="1" si="345"/>
        <v>-121.59442599719343</v>
      </c>
      <c r="CJ664" s="318">
        <f t="shared" ca="1" si="346"/>
        <v>390.13122585149625</v>
      </c>
      <c r="CK664" s="318">
        <f t="shared" ca="1" si="347"/>
        <v>6.9952975873448384</v>
      </c>
      <c r="CL664" s="318">
        <f t="shared" ca="1" si="348"/>
        <v>230.43790580082432</v>
      </c>
      <c r="CM664" s="325">
        <f t="shared" ca="1" si="349"/>
        <v>505.97000324247199</v>
      </c>
      <c r="CP664" s="180">
        <v>2059</v>
      </c>
      <c r="CQ664" s="22">
        <v>45</v>
      </c>
      <c r="CR664" s="318">
        <f t="shared" ca="1" si="350"/>
        <v>214.56777435485824</v>
      </c>
      <c r="CS664" s="318">
        <f t="shared" ca="1" si="351"/>
        <v>2.2971512034975139</v>
      </c>
      <c r="CT664" s="325">
        <f t="shared" ca="1" si="352"/>
        <v>492.89462109104562</v>
      </c>
      <c r="CZ664" s="252"/>
      <c r="DA664" s="252"/>
      <c r="DB664" s="252"/>
      <c r="DC664" s="252"/>
      <c r="DD664" s="252"/>
      <c r="DE664" s="252"/>
      <c r="DF664" s="252"/>
      <c r="DG664" s="252"/>
      <c r="DH664" s="252"/>
      <c r="DI664" s="252"/>
      <c r="DJ664" s="252"/>
      <c r="DK664" s="252"/>
      <c r="DL664" s="252"/>
      <c r="DM664" s="252"/>
      <c r="DN664" s="252"/>
      <c r="DO664" s="252"/>
      <c r="DP664" s="252"/>
      <c r="DQ664" s="252"/>
      <c r="DR664" s="180"/>
      <c r="DU664" s="65"/>
      <c r="DW664" s="54"/>
      <c r="EA664" s="55"/>
      <c r="EB664" s="55"/>
      <c r="EC664" s="55"/>
      <c r="ED664" s="55"/>
      <c r="EE664" s="55"/>
    </row>
    <row r="665" spans="1:135" x14ac:dyDescent="0.4">
      <c r="A665" s="214"/>
      <c r="B665" s="89"/>
      <c r="C665" s="14"/>
      <c r="D665" s="14"/>
      <c r="E665" s="14"/>
      <c r="F665" s="14"/>
      <c r="G665" s="14"/>
      <c r="H665" s="14"/>
      <c r="I665" s="14"/>
      <c r="J665" s="14"/>
      <c r="K665" s="14"/>
      <c r="L665" s="14"/>
      <c r="M665" s="50"/>
      <c r="S665" s="120"/>
      <c r="T665" s="120"/>
      <c r="U665" s="120"/>
      <c r="W665" s="120"/>
      <c r="X665" s="120"/>
      <c r="Y665" s="120"/>
      <c r="AA665" s="89"/>
      <c r="AB665" s="89"/>
      <c r="AC665" s="89"/>
      <c r="AD665" s="89"/>
      <c r="AE665" s="89"/>
      <c r="AF665" s="89"/>
      <c r="AG665" s="89"/>
      <c r="AH665" s="89"/>
      <c r="AI665" s="89"/>
      <c r="AJ665" s="89"/>
      <c r="AK665" s="89"/>
      <c r="AL665" s="89"/>
      <c r="AM665" s="89"/>
      <c r="AN665" s="89"/>
      <c r="BR665" s="180">
        <v>2060</v>
      </c>
      <c r="BS665" s="22">
        <v>46</v>
      </c>
      <c r="BT665" s="318">
        <f t="shared" si="339"/>
        <v>285.87922188001721</v>
      </c>
      <c r="BU665" s="318">
        <f t="shared" si="340"/>
        <v>197.08859710304145</v>
      </c>
      <c r="BV665" s="325">
        <f t="shared" si="341"/>
        <v>482.96781898305869</v>
      </c>
      <c r="BY665" s="180">
        <v>2060</v>
      </c>
      <c r="BZ665" s="22">
        <v>46</v>
      </c>
      <c r="CA665" s="318">
        <f t="shared" ca="1" si="342"/>
        <v>221.31033381086905</v>
      </c>
      <c r="CB665" s="318">
        <f t="shared" ca="1" si="343"/>
        <v>74.191076495707719</v>
      </c>
      <c r="CC665" s="318">
        <f t="shared" ca="1" si="354"/>
        <v>226.79187441981213</v>
      </c>
      <c r="CD665" s="325">
        <f t="shared" ca="1" si="344"/>
        <v>522.29328472638895</v>
      </c>
      <c r="CG665" s="180">
        <v>2060</v>
      </c>
      <c r="CH665" s="22">
        <v>46</v>
      </c>
      <c r="CI665" s="318">
        <f t="shared" ca="1" si="345"/>
        <v>-129.88219532359747</v>
      </c>
      <c r="CJ665" s="318">
        <f t="shared" ca="1" si="346"/>
        <v>407.66304884037834</v>
      </c>
      <c r="CK665" s="318">
        <f t="shared" ca="1" si="347"/>
        <v>7.1507486448413911</v>
      </c>
      <c r="CL665" s="318">
        <f t="shared" ca="1" si="348"/>
        <v>230.43790580082432</v>
      </c>
      <c r="CM665" s="325">
        <f t="shared" ca="1" si="349"/>
        <v>515.36950796244662</v>
      </c>
      <c r="CP665" s="180">
        <v>2060</v>
      </c>
      <c r="CQ665" s="22">
        <v>46</v>
      </c>
      <c r="CR665" s="318">
        <f t="shared" ca="1" si="350"/>
        <v>214.56777435485824</v>
      </c>
      <c r="CS665" s="318">
        <f t="shared" ca="1" si="351"/>
        <v>2.3400008626162578</v>
      </c>
      <c r="CT665" s="325">
        <f t="shared" ca="1" si="352"/>
        <v>502.08877708001887</v>
      </c>
      <c r="CZ665" s="89"/>
      <c r="DA665" s="89"/>
      <c r="DB665" s="89"/>
      <c r="DC665" s="89"/>
      <c r="DD665" s="89"/>
      <c r="DE665" s="89"/>
      <c r="DF665" s="89"/>
      <c r="DG665" s="89"/>
      <c r="DH665" s="89"/>
      <c r="DI665" s="89"/>
      <c r="DJ665" s="89"/>
      <c r="DK665" s="89"/>
      <c r="DL665" s="89"/>
      <c r="DM665" s="89"/>
      <c r="DN665" s="89"/>
      <c r="DO665" s="89"/>
      <c r="DP665" s="89"/>
      <c r="DQ665" s="89"/>
      <c r="DR665" s="89"/>
      <c r="DW665" s="54"/>
      <c r="EA665" s="55"/>
      <c r="EB665" s="55"/>
      <c r="EC665" s="55"/>
      <c r="ED665" s="55"/>
      <c r="EE665" s="55"/>
    </row>
    <row r="666" spans="1:135" x14ac:dyDescent="0.4">
      <c r="A666" s="221" t="str">
        <f ca="1">HYPERLINK("#"&amp;"'"&amp;A$1&amp;"'!a1","Back to top")</f>
        <v>Back to top</v>
      </c>
      <c r="C666" s="50"/>
      <c r="D666" s="14"/>
      <c r="E666" s="14"/>
      <c r="F666" s="14"/>
      <c r="G666" s="14"/>
      <c r="H666" s="14"/>
      <c r="I666" s="14"/>
      <c r="J666" s="14"/>
      <c r="K666" s="14"/>
      <c r="L666" s="14"/>
      <c r="M666" s="14"/>
      <c r="N666" s="89"/>
      <c r="O666" s="89"/>
      <c r="P666" s="89"/>
      <c r="Q666" s="89"/>
      <c r="R666" s="89"/>
      <c r="S666" s="89"/>
      <c r="T666" s="89"/>
      <c r="U666" s="89"/>
      <c r="V666" s="89"/>
      <c r="W666" s="89"/>
      <c r="X666" s="89"/>
      <c r="Y666" s="89"/>
      <c r="Z666" s="89"/>
      <c r="AA666" s="89"/>
      <c r="AB666" s="89"/>
      <c r="AC666" s="89"/>
      <c r="AD666" s="89"/>
      <c r="AE666" s="89"/>
      <c r="AF666" s="89"/>
      <c r="AG666" s="89"/>
      <c r="AH666" s="89"/>
      <c r="AI666" s="89"/>
      <c r="AJ666" s="89"/>
      <c r="AK666" s="89"/>
      <c r="AL666" s="89"/>
      <c r="AM666" s="89"/>
      <c r="AN666" s="89"/>
      <c r="DI666" s="326"/>
      <c r="DJ666" s="326"/>
      <c r="DK666" s="326"/>
      <c r="DL666" s="326"/>
      <c r="DM666" s="326"/>
      <c r="DN666" s="327"/>
      <c r="DO666" s="326"/>
      <c r="DP666" s="326"/>
      <c r="DQ666" s="327"/>
      <c r="DW666" s="54"/>
      <c r="EA666" s="55"/>
      <c r="EB666" s="55"/>
      <c r="EC666" s="55"/>
      <c r="ED666" s="55"/>
      <c r="EE666" s="55"/>
    </row>
    <row r="667" spans="1:135" x14ac:dyDescent="0.4">
      <c r="A667" s="221"/>
      <c r="C667" s="50"/>
      <c r="D667" s="14"/>
      <c r="E667" s="14"/>
      <c r="F667" s="14"/>
      <c r="G667" s="14"/>
      <c r="H667" s="14"/>
      <c r="I667" s="14"/>
      <c r="J667" s="14"/>
      <c r="K667" s="14"/>
      <c r="L667" s="14"/>
      <c r="M667" s="14"/>
      <c r="N667" s="89"/>
      <c r="O667" s="89"/>
      <c r="P667" s="89"/>
      <c r="Q667" s="89"/>
      <c r="R667" s="89"/>
      <c r="S667" s="89"/>
      <c r="T667" s="89"/>
      <c r="U667" s="89"/>
      <c r="V667" s="89"/>
      <c r="W667" s="89"/>
      <c r="X667" s="89"/>
      <c r="Y667" s="89"/>
      <c r="Z667" s="89"/>
      <c r="AA667" s="89"/>
      <c r="AB667" s="89"/>
      <c r="AC667" s="89"/>
      <c r="AD667" s="89"/>
      <c r="AE667" s="89"/>
      <c r="AF667" s="89"/>
      <c r="AG667" s="89"/>
      <c r="AH667" s="89"/>
      <c r="AI667" s="89"/>
      <c r="AJ667" s="89"/>
      <c r="AK667" s="89"/>
      <c r="AL667" s="89"/>
      <c r="AM667" s="89"/>
      <c r="AN667" s="89"/>
      <c r="DI667" s="326"/>
      <c r="DJ667" s="326"/>
      <c r="DK667" s="326"/>
      <c r="DL667" s="326"/>
      <c r="DM667" s="326"/>
      <c r="DN667" s="327"/>
      <c r="DO667" s="326"/>
      <c r="DP667" s="326"/>
      <c r="DQ667" s="327"/>
      <c r="DW667" s="54"/>
      <c r="EA667" s="55"/>
      <c r="EB667" s="55"/>
      <c r="EC667" s="55"/>
      <c r="ED667" s="55"/>
      <c r="EE667" s="55"/>
    </row>
    <row r="668" spans="1:135" x14ac:dyDescent="0.4">
      <c r="A668" s="214"/>
      <c r="B668" s="89"/>
      <c r="C668" s="14"/>
      <c r="D668" s="14"/>
      <c r="E668" s="14"/>
      <c r="F668" s="14"/>
      <c r="G668" s="14"/>
      <c r="H668" s="14"/>
      <c r="I668" s="14"/>
      <c r="J668" s="14"/>
      <c r="K668" s="14"/>
      <c r="L668" s="14"/>
      <c r="M668" s="50"/>
      <c r="N668" s="49"/>
      <c r="O668" s="49"/>
      <c r="P668" s="49"/>
      <c r="Q668" s="49"/>
      <c r="R668" s="49"/>
      <c r="S668" s="120"/>
      <c r="T668" s="120"/>
      <c r="U668" s="120"/>
      <c r="V668" s="49"/>
      <c r="W668" s="120"/>
      <c r="X668" s="120"/>
      <c r="Y668" s="120"/>
      <c r="Z668" s="89"/>
      <c r="AA668" s="89"/>
      <c r="AB668" s="89"/>
      <c r="AC668" s="89"/>
      <c r="AD668" s="89"/>
      <c r="AE668" s="89"/>
      <c r="AF668" s="89"/>
      <c r="AG668" s="89"/>
      <c r="AH668" s="89"/>
      <c r="AI668" s="89"/>
      <c r="AJ668" s="89"/>
      <c r="AK668" s="89"/>
      <c r="AL668" s="89"/>
      <c r="AM668" s="89"/>
      <c r="AN668" s="8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1:135" x14ac:dyDescent="0.4">
      <c r="C669" s="256"/>
      <c r="D669" s="256"/>
      <c r="E669" s="256"/>
      <c r="F669" s="256"/>
      <c r="G669" s="328"/>
      <c r="H669" s="328"/>
      <c r="I669" s="328"/>
      <c r="J669" s="256"/>
      <c r="K669" s="328"/>
      <c r="L669" s="255"/>
      <c r="M669" s="256"/>
      <c r="X669" s="257"/>
      <c r="Y669" s="257"/>
      <c r="Z669" s="254"/>
      <c r="AA669" s="254"/>
      <c r="AB669" s="254"/>
      <c r="AC669" s="254"/>
      <c r="AD669" s="254"/>
      <c r="AE669" s="254"/>
      <c r="AF669" s="254"/>
      <c r="AG669" s="254"/>
      <c r="AH669" s="254"/>
      <c r="AI669" s="254"/>
      <c r="AJ669" s="254"/>
      <c r="AK669" s="254"/>
      <c r="AL669" s="254"/>
      <c r="AM669" s="254"/>
      <c r="AN669" s="254"/>
      <c r="DW669" s="258"/>
      <c r="EA669" s="259"/>
      <c r="EB669" s="259"/>
      <c r="EC669" s="259"/>
      <c r="ED669" s="259"/>
      <c r="EE669" s="259"/>
    </row>
    <row r="670" spans="1:135" x14ac:dyDescent="0.4">
      <c r="C670" s="256"/>
      <c r="D670" s="256"/>
      <c r="E670" s="256"/>
      <c r="F670" s="256"/>
      <c r="G670" s="256"/>
      <c r="H670" s="256"/>
      <c r="I670" s="256"/>
      <c r="J670" s="256"/>
      <c r="K670" s="256"/>
      <c r="L670" s="256"/>
      <c r="M670" s="256"/>
      <c r="AJ670" s="254"/>
      <c r="AK670" s="254"/>
      <c r="AL670" s="254"/>
      <c r="AM670" s="254"/>
      <c r="AN670" s="254"/>
      <c r="DW670" s="258"/>
      <c r="EA670" s="259"/>
      <c r="EB670" s="259"/>
      <c r="EC670" s="259"/>
      <c r="ED670" s="259"/>
      <c r="EE670" s="259"/>
    </row>
    <row r="671" spans="1:135" x14ac:dyDescent="0.4">
      <c r="C671" s="329"/>
      <c r="D671" s="329"/>
      <c r="E671" s="329"/>
      <c r="F671" s="329"/>
      <c r="G671" s="329"/>
      <c r="H671" s="329"/>
      <c r="I671" s="329"/>
      <c r="J671" s="329"/>
      <c r="K671" s="329"/>
      <c r="L671" s="329"/>
      <c r="M671" s="329"/>
      <c r="AJ671" s="330"/>
      <c r="AK671" s="330"/>
      <c r="AL671" s="330"/>
      <c r="DW671" s="331"/>
      <c r="EA671" s="332"/>
      <c r="EB671" s="332"/>
      <c r="EC671" s="332"/>
      <c r="ED671" s="332"/>
      <c r="EE671" s="332"/>
    </row>
    <row r="672" spans="1:135" x14ac:dyDescent="0.4">
      <c r="A672" s="333" t="s">
        <v>107</v>
      </c>
      <c r="C672" s="329"/>
      <c r="D672" s="329"/>
      <c r="E672" s="329"/>
      <c r="F672" s="329"/>
      <c r="G672" s="329"/>
      <c r="H672" s="329"/>
      <c r="I672" s="329"/>
      <c r="J672" s="329"/>
      <c r="K672" s="329"/>
      <c r="L672" s="329"/>
      <c r="M672" s="329"/>
      <c r="AJ672" s="330"/>
      <c r="AK672" s="330"/>
      <c r="AL672" s="330"/>
      <c r="DW672" s="331"/>
      <c r="EA672" s="332"/>
      <c r="EB672" s="332"/>
      <c r="EC672" s="332"/>
      <c r="ED672" s="332"/>
      <c r="EE672" s="332"/>
    </row>
    <row r="673" spans="3:135" x14ac:dyDescent="0.4">
      <c r="C673" s="329"/>
      <c r="D673" s="329"/>
      <c r="E673" s="329"/>
      <c r="F673" s="329"/>
      <c r="G673" s="329"/>
      <c r="H673" s="329"/>
      <c r="I673" s="329"/>
      <c r="J673" s="329"/>
      <c r="K673" s="329"/>
      <c r="L673" s="329"/>
      <c r="M673" s="329"/>
      <c r="AJ673" s="330"/>
      <c r="AK673" s="330"/>
      <c r="AL673" s="330"/>
      <c r="DW673" s="331"/>
      <c r="EA673" s="332"/>
      <c r="EB673" s="332"/>
      <c r="EC673" s="332"/>
      <c r="ED673" s="332"/>
      <c r="EE673" s="332"/>
    </row>
    <row r="674" spans="3:135" x14ac:dyDescent="0.4">
      <c r="C674" s="329"/>
      <c r="D674" s="329"/>
      <c r="E674" s="329"/>
      <c r="F674" s="329"/>
      <c r="G674" s="329"/>
      <c r="H674" s="329"/>
      <c r="I674" s="329"/>
      <c r="J674" s="329"/>
      <c r="K674" s="329"/>
      <c r="L674" s="329"/>
      <c r="M674" s="329"/>
      <c r="AJ674" s="330"/>
      <c r="AK674" s="330"/>
      <c r="AL674" s="330"/>
      <c r="DW674" s="331"/>
      <c r="EA674" s="332"/>
      <c r="EB674" s="332"/>
      <c r="EC674" s="332"/>
      <c r="ED674" s="332"/>
      <c r="EE674" s="332"/>
    </row>
    <row r="675" spans="3:135" x14ac:dyDescent="0.4">
      <c r="C675" s="329"/>
      <c r="D675" s="329"/>
      <c r="E675" s="329"/>
      <c r="F675" s="329"/>
      <c r="G675" s="329"/>
      <c r="H675" s="329"/>
      <c r="I675" s="329"/>
      <c r="J675" s="329"/>
      <c r="K675" s="329"/>
      <c r="L675" s="329"/>
      <c r="M675" s="329"/>
      <c r="AJ675" s="330"/>
      <c r="AK675" s="330"/>
      <c r="AL675" s="330"/>
      <c r="AM675" s="330"/>
      <c r="AN675" s="330"/>
      <c r="AO675" s="330"/>
      <c r="AP675" s="330"/>
      <c r="DW675" s="331"/>
      <c r="EA675" s="332"/>
      <c r="EB675" s="332"/>
      <c r="EC675" s="332"/>
      <c r="ED675" s="332"/>
      <c r="EE675" s="332"/>
    </row>
    <row r="676" spans="3:135" x14ac:dyDescent="0.4">
      <c r="C676" s="329"/>
      <c r="D676" s="329"/>
      <c r="E676" s="329"/>
      <c r="F676" s="329"/>
      <c r="G676" s="329"/>
      <c r="H676" s="329"/>
      <c r="I676" s="329"/>
      <c r="J676" s="329"/>
      <c r="K676" s="329"/>
      <c r="L676" s="329"/>
      <c r="M676" s="329"/>
      <c r="AJ676" s="330"/>
      <c r="AK676" s="330"/>
      <c r="AL676" s="330"/>
      <c r="AM676" s="330"/>
      <c r="AN676" s="330"/>
      <c r="AO676" s="330"/>
      <c r="AP676" s="330"/>
      <c r="DW676" s="331"/>
      <c r="EA676" s="332"/>
      <c r="EB676" s="332"/>
      <c r="EC676" s="332"/>
      <c r="ED676" s="332"/>
      <c r="EE676" s="332"/>
    </row>
    <row r="677" spans="3:135" x14ac:dyDescent="0.4">
      <c r="C677" s="329"/>
      <c r="D677" s="329"/>
      <c r="E677" s="329"/>
      <c r="F677" s="329"/>
      <c r="G677" s="329"/>
      <c r="H677" s="329"/>
      <c r="I677" s="329"/>
      <c r="J677" s="329"/>
      <c r="K677" s="329"/>
      <c r="L677" s="329"/>
      <c r="M677" s="329"/>
      <c r="AJ677" s="330"/>
      <c r="AK677" s="330"/>
      <c r="AL677" s="330"/>
      <c r="AM677" s="330"/>
      <c r="AN677" s="330"/>
      <c r="AO677" s="330"/>
      <c r="AP677" s="330"/>
      <c r="DW677" s="331"/>
      <c r="EA677" s="332"/>
      <c r="EB677" s="332"/>
      <c r="EC677" s="332"/>
      <c r="ED677" s="332"/>
      <c r="EE677" s="332"/>
    </row>
    <row r="678" spans="3:135" x14ac:dyDescent="0.4">
      <c r="C678" s="329"/>
      <c r="D678" s="329"/>
      <c r="E678" s="329"/>
      <c r="F678" s="329"/>
      <c r="G678" s="329"/>
      <c r="H678" s="329"/>
      <c r="I678" s="329"/>
      <c r="J678" s="329"/>
      <c r="K678" s="329"/>
      <c r="L678" s="329"/>
      <c r="M678" s="329"/>
      <c r="AJ678" s="330"/>
      <c r="AK678" s="330"/>
      <c r="AL678" s="330"/>
      <c r="AM678" s="330"/>
      <c r="AN678" s="330"/>
      <c r="AO678" s="330"/>
      <c r="AP678" s="330"/>
      <c r="DW678" s="331"/>
      <c r="EA678" s="332"/>
      <c r="EB678" s="332"/>
      <c r="EC678" s="332"/>
      <c r="ED678" s="332"/>
      <c r="EE678" s="332"/>
    </row>
    <row r="679" spans="3:135" x14ac:dyDescent="0.4">
      <c r="C679" s="329"/>
      <c r="D679" s="329"/>
      <c r="E679" s="329"/>
      <c r="F679" s="329"/>
      <c r="G679" s="329"/>
      <c r="H679" s="329"/>
      <c r="I679" s="329"/>
      <c r="J679" s="329"/>
      <c r="K679" s="329"/>
      <c r="L679" s="329"/>
      <c r="M679" s="329"/>
      <c r="DW679" s="331"/>
      <c r="EA679" s="332"/>
      <c r="EB679" s="332"/>
      <c r="EC679" s="332"/>
      <c r="ED679" s="332"/>
      <c r="EE679" s="332"/>
    </row>
    <row r="680" spans="3:135" x14ac:dyDescent="0.4">
      <c r="C680" s="329"/>
      <c r="D680" s="329"/>
      <c r="E680" s="329"/>
      <c r="F680" s="329"/>
      <c r="G680" s="329"/>
      <c r="H680" s="329"/>
      <c r="I680" s="329"/>
      <c r="J680" s="329"/>
      <c r="K680" s="329"/>
      <c r="L680" s="329"/>
      <c r="M680" s="329"/>
      <c r="DW680" s="331"/>
      <c r="EA680" s="332"/>
      <c r="EB680" s="332"/>
      <c r="EC680" s="332"/>
      <c r="ED680" s="332"/>
      <c r="EE680" s="332"/>
    </row>
    <row r="681" spans="3:135" x14ac:dyDescent="0.4">
      <c r="C681" s="329"/>
      <c r="D681" s="329"/>
      <c r="E681" s="329"/>
      <c r="F681" s="329"/>
      <c r="G681" s="329"/>
      <c r="H681" s="329"/>
      <c r="I681" s="329"/>
      <c r="J681" s="329"/>
      <c r="K681" s="329"/>
      <c r="L681" s="329"/>
      <c r="M681" s="329"/>
      <c r="DW681" s="331"/>
      <c r="EA681" s="332"/>
      <c r="EB681" s="332"/>
      <c r="EC681" s="332"/>
      <c r="ED681" s="332"/>
      <c r="EE681" s="332"/>
    </row>
    <row r="682" spans="3:135" x14ac:dyDescent="0.4">
      <c r="C682" s="329"/>
      <c r="D682" s="329"/>
      <c r="E682" s="329"/>
      <c r="F682" s="329"/>
      <c r="G682" s="329"/>
      <c r="H682" s="329"/>
      <c r="I682" s="329"/>
      <c r="J682" s="329"/>
      <c r="K682" s="329"/>
      <c r="L682" s="329"/>
      <c r="M682" s="329"/>
      <c r="DW682" s="331"/>
      <c r="EA682" s="332"/>
      <c r="EB682" s="332"/>
      <c r="EC682" s="332"/>
      <c r="ED682" s="332"/>
      <c r="EE682" s="332"/>
    </row>
    <row r="683" spans="3:135" x14ac:dyDescent="0.4">
      <c r="C683" s="329"/>
      <c r="D683" s="329"/>
      <c r="E683" s="329"/>
      <c r="F683" s="329"/>
      <c r="G683" s="329"/>
      <c r="H683" s="329"/>
      <c r="I683" s="329"/>
      <c r="J683" s="329"/>
      <c r="K683" s="329"/>
      <c r="L683" s="329"/>
      <c r="M683" s="329"/>
      <c r="DW683" s="331"/>
      <c r="EA683" s="332"/>
      <c r="EB683" s="332"/>
      <c r="EC683" s="332"/>
      <c r="ED683" s="332"/>
      <c r="EE683" s="332"/>
    </row>
    <row r="684" spans="3:135" x14ac:dyDescent="0.4">
      <c r="C684" s="329"/>
      <c r="D684" s="329"/>
      <c r="E684" s="329"/>
      <c r="F684" s="329"/>
      <c r="G684" s="329"/>
      <c r="H684" s="329"/>
      <c r="I684" s="329"/>
      <c r="J684" s="329"/>
      <c r="K684" s="329"/>
      <c r="L684" s="329"/>
      <c r="M684" s="329"/>
      <c r="DW684" s="331"/>
      <c r="EA684" s="332"/>
      <c r="EB684" s="332"/>
      <c r="EC684" s="332"/>
      <c r="ED684" s="332"/>
      <c r="EE684" s="332"/>
    </row>
    <row r="685" spans="3:135" x14ac:dyDescent="0.4">
      <c r="C685" s="329"/>
      <c r="D685" s="329"/>
      <c r="E685" s="329"/>
      <c r="F685" s="329"/>
      <c r="G685" s="329"/>
      <c r="H685" s="329"/>
      <c r="I685" s="329"/>
      <c r="J685" s="329"/>
      <c r="K685" s="329"/>
      <c r="L685" s="329"/>
      <c r="M685" s="329"/>
      <c r="DW685" s="331"/>
      <c r="EA685" s="332"/>
      <c r="EB685" s="332"/>
      <c r="EC685" s="332"/>
      <c r="ED685" s="332"/>
      <c r="EE685" s="332"/>
    </row>
    <row r="686" spans="3:135" x14ac:dyDescent="0.4">
      <c r="C686" s="329"/>
      <c r="D686" s="329"/>
      <c r="E686" s="329"/>
      <c r="F686" s="329"/>
      <c r="G686" s="329"/>
      <c r="H686" s="329"/>
      <c r="I686" s="329"/>
      <c r="J686" s="329"/>
      <c r="K686" s="329"/>
      <c r="L686" s="329"/>
      <c r="M686" s="329"/>
      <c r="DW686" s="331"/>
      <c r="EA686" s="332"/>
      <c r="EB686" s="332"/>
      <c r="EC686" s="332"/>
      <c r="ED686" s="332"/>
      <c r="EE686" s="332"/>
    </row>
    <row r="687" spans="3:135" x14ac:dyDescent="0.4">
      <c r="C687" s="329"/>
      <c r="D687" s="329"/>
      <c r="E687" s="329"/>
      <c r="F687" s="329"/>
      <c r="G687" s="329"/>
      <c r="H687" s="329"/>
      <c r="I687" s="329"/>
      <c r="J687" s="329"/>
      <c r="K687" s="329"/>
      <c r="L687" s="329"/>
      <c r="M687" s="329"/>
      <c r="DW687" s="331"/>
      <c r="EA687" s="332"/>
      <c r="EB687" s="332"/>
      <c r="EC687" s="332"/>
      <c r="ED687" s="332"/>
      <c r="EE687" s="332"/>
    </row>
    <row r="688" spans="3:135" x14ac:dyDescent="0.4">
      <c r="C688" s="329"/>
      <c r="D688" s="329"/>
      <c r="E688" s="329"/>
      <c r="F688" s="329"/>
      <c r="G688" s="329"/>
      <c r="H688" s="329"/>
      <c r="I688" s="329"/>
      <c r="J688" s="329"/>
      <c r="K688" s="329"/>
      <c r="L688" s="329"/>
      <c r="M688" s="329"/>
      <c r="DW688" s="331"/>
      <c r="EA688" s="332"/>
      <c r="EB688" s="332"/>
      <c r="EC688" s="332"/>
      <c r="ED688" s="332"/>
      <c r="EE688" s="332"/>
    </row>
    <row r="689" spans="3:135" x14ac:dyDescent="0.4">
      <c r="C689" s="329"/>
      <c r="D689" s="329"/>
      <c r="E689" s="329"/>
      <c r="F689" s="329"/>
      <c r="G689" s="329"/>
      <c r="H689" s="329"/>
      <c r="I689" s="329"/>
      <c r="J689" s="329"/>
      <c r="K689" s="329"/>
      <c r="L689" s="329"/>
      <c r="M689" s="329"/>
      <c r="DW689" s="331"/>
      <c r="EA689" s="332"/>
      <c r="EB689" s="332"/>
      <c r="EC689" s="332"/>
      <c r="ED689" s="332"/>
      <c r="EE689" s="332"/>
    </row>
    <row r="690" spans="3:135" x14ac:dyDescent="0.4">
      <c r="C690" s="329"/>
      <c r="D690" s="329"/>
      <c r="E690" s="329"/>
      <c r="F690" s="329"/>
      <c r="G690" s="329"/>
      <c r="H690" s="329"/>
      <c r="I690" s="329"/>
      <c r="J690" s="329"/>
      <c r="K690" s="329"/>
      <c r="L690" s="329"/>
      <c r="M690" s="329"/>
      <c r="DW690" s="331"/>
      <c r="EA690" s="332"/>
      <c r="EB690" s="332"/>
      <c r="EC690" s="332"/>
      <c r="ED690" s="332"/>
      <c r="EE690" s="332"/>
    </row>
    <row r="691" spans="3:135" x14ac:dyDescent="0.4">
      <c r="C691" s="329"/>
      <c r="D691" s="329"/>
      <c r="E691" s="329"/>
      <c r="F691" s="329"/>
      <c r="G691" s="329"/>
      <c r="H691" s="329"/>
      <c r="I691" s="329"/>
      <c r="J691" s="329"/>
      <c r="K691" s="329"/>
      <c r="L691" s="329"/>
      <c r="M691" s="329"/>
      <c r="DW691" s="331"/>
      <c r="EA691" s="332"/>
      <c r="EB691" s="332"/>
      <c r="EC691" s="332"/>
      <c r="ED691" s="332"/>
      <c r="EE691" s="332"/>
    </row>
    <row r="692" spans="3:135" x14ac:dyDescent="0.4">
      <c r="C692" s="329"/>
      <c r="D692" s="329"/>
      <c r="E692" s="329"/>
      <c r="F692" s="329"/>
      <c r="G692" s="329"/>
      <c r="H692" s="329"/>
      <c r="I692" s="329"/>
      <c r="J692" s="329"/>
      <c r="K692" s="329"/>
      <c r="L692" s="329"/>
      <c r="M692" s="329"/>
      <c r="DW692" s="331"/>
      <c r="EA692" s="332"/>
      <c r="EB692" s="332"/>
      <c r="EC692" s="332"/>
      <c r="ED692" s="332"/>
      <c r="EE692" s="332"/>
    </row>
    <row r="693" spans="3:135" x14ac:dyDescent="0.4">
      <c r="C693" s="329"/>
      <c r="D693" s="329"/>
      <c r="E693" s="329"/>
      <c r="F693" s="329"/>
      <c r="G693" s="329"/>
      <c r="H693" s="329"/>
      <c r="I693" s="329"/>
      <c r="J693" s="329"/>
      <c r="K693" s="329"/>
      <c r="L693" s="329"/>
      <c r="M693" s="329"/>
      <c r="DW693" s="331"/>
      <c r="EA693" s="332"/>
      <c r="EB693" s="332"/>
      <c r="EC693" s="332"/>
      <c r="ED693" s="332"/>
      <c r="EE693" s="332"/>
    </row>
    <row r="694" spans="3:135" x14ac:dyDescent="0.4">
      <c r="C694" s="329"/>
      <c r="D694" s="329"/>
      <c r="E694" s="329"/>
      <c r="F694" s="329"/>
      <c r="G694" s="329"/>
      <c r="H694" s="329"/>
      <c r="I694" s="329"/>
      <c r="J694" s="329"/>
      <c r="K694" s="329"/>
      <c r="L694" s="329"/>
      <c r="M694" s="329"/>
      <c r="DW694" s="331"/>
      <c r="EA694" s="332"/>
      <c r="EB694" s="332"/>
      <c r="EC694" s="332"/>
      <c r="ED694" s="332"/>
      <c r="EE694" s="332"/>
    </row>
    <row r="695" spans="3:135" x14ac:dyDescent="0.4">
      <c r="C695" s="329"/>
      <c r="D695" s="329"/>
      <c r="E695" s="329"/>
      <c r="F695" s="329"/>
      <c r="G695" s="329"/>
      <c r="H695" s="329"/>
      <c r="I695" s="329"/>
      <c r="J695" s="329"/>
      <c r="K695" s="329"/>
      <c r="L695" s="329"/>
      <c r="M695" s="329"/>
      <c r="DW695" s="331"/>
      <c r="EA695" s="332"/>
      <c r="EB695" s="332"/>
      <c r="EC695" s="332"/>
      <c r="ED695" s="332"/>
      <c r="EE695" s="332"/>
    </row>
    <row r="696" spans="3:135" x14ac:dyDescent="0.4">
      <c r="C696" s="329"/>
      <c r="D696" s="329"/>
      <c r="E696" s="329"/>
      <c r="F696" s="329"/>
      <c r="G696" s="329"/>
      <c r="H696" s="329"/>
      <c r="I696" s="329"/>
      <c r="J696" s="329"/>
      <c r="K696" s="329"/>
      <c r="L696" s="329"/>
      <c r="M696" s="329"/>
      <c r="DW696" s="331"/>
      <c r="EA696" s="332"/>
      <c r="EB696" s="332"/>
      <c r="EC696" s="332"/>
      <c r="ED696" s="332"/>
      <c r="EE696" s="332"/>
    </row>
    <row r="697" spans="3:135" x14ac:dyDescent="0.4">
      <c r="C697" s="329"/>
      <c r="D697" s="329"/>
      <c r="E697" s="329"/>
      <c r="F697" s="329"/>
      <c r="G697" s="329"/>
      <c r="H697" s="329"/>
      <c r="I697" s="329"/>
      <c r="J697" s="329"/>
      <c r="K697" s="329"/>
      <c r="L697" s="329"/>
      <c r="M697" s="329"/>
      <c r="DW697" s="331"/>
      <c r="EA697" s="332"/>
      <c r="EB697" s="332"/>
      <c r="EC697" s="332"/>
      <c r="ED697" s="332"/>
      <c r="EE697" s="332"/>
    </row>
    <row r="698" spans="3:135" x14ac:dyDescent="0.4">
      <c r="C698" s="329"/>
      <c r="D698" s="329"/>
      <c r="E698" s="329"/>
      <c r="F698" s="329"/>
      <c r="G698" s="329"/>
      <c r="H698" s="329"/>
      <c r="I698" s="329"/>
      <c r="J698" s="329"/>
      <c r="K698" s="329"/>
      <c r="L698" s="329"/>
      <c r="M698" s="329"/>
      <c r="DW698" s="331"/>
      <c r="EA698" s="332"/>
      <c r="EB698" s="332"/>
      <c r="EC698" s="332"/>
      <c r="ED698" s="332"/>
      <c r="EE698" s="332"/>
    </row>
    <row r="699" spans="3:135" x14ac:dyDescent="0.4">
      <c r="C699" s="329"/>
      <c r="D699" s="329"/>
      <c r="E699" s="329"/>
      <c r="F699" s="329"/>
      <c r="G699" s="329"/>
      <c r="H699" s="329"/>
      <c r="I699" s="329"/>
      <c r="J699" s="329"/>
      <c r="K699" s="329"/>
      <c r="L699" s="329"/>
      <c r="M699" s="329"/>
      <c r="DW699" s="331"/>
      <c r="EA699" s="332"/>
      <c r="EB699" s="332"/>
      <c r="EC699" s="332"/>
      <c r="ED699" s="332"/>
      <c r="EE699" s="332"/>
    </row>
    <row r="700" spans="3:135" x14ac:dyDescent="0.4">
      <c r="C700" s="329"/>
      <c r="D700" s="329"/>
      <c r="E700" s="329"/>
      <c r="F700" s="329"/>
      <c r="G700" s="329"/>
      <c r="H700" s="329"/>
      <c r="I700" s="329"/>
      <c r="J700" s="329"/>
      <c r="K700" s="329"/>
      <c r="L700" s="329"/>
      <c r="M700" s="329"/>
      <c r="DW700" s="331"/>
      <c r="EA700" s="332"/>
      <c r="EB700" s="332"/>
      <c r="EC700" s="332"/>
      <c r="ED700" s="332"/>
      <c r="EE700" s="332"/>
    </row>
    <row r="701" spans="3:135" x14ac:dyDescent="0.4">
      <c r="C701" s="329"/>
      <c r="D701" s="329"/>
      <c r="E701" s="329"/>
      <c r="F701" s="329"/>
      <c r="G701" s="329"/>
      <c r="H701" s="329"/>
      <c r="I701" s="329"/>
      <c r="J701" s="329"/>
      <c r="K701" s="329"/>
      <c r="L701" s="329"/>
      <c r="M701" s="329"/>
      <c r="DW701" s="331"/>
      <c r="EA701" s="332"/>
      <c r="EB701" s="332"/>
      <c r="EC701" s="332"/>
      <c r="ED701" s="332"/>
      <c r="EE701" s="332"/>
    </row>
    <row r="702" spans="3:135" x14ac:dyDescent="0.4">
      <c r="C702" s="329"/>
      <c r="D702" s="329"/>
      <c r="E702" s="329"/>
      <c r="F702" s="329"/>
      <c r="G702" s="329"/>
      <c r="H702" s="329"/>
      <c r="I702" s="329"/>
      <c r="J702" s="329"/>
      <c r="K702" s="329"/>
      <c r="L702" s="329"/>
      <c r="M702" s="329"/>
      <c r="DW702" s="331"/>
      <c r="EA702" s="332"/>
      <c r="EB702" s="332"/>
      <c r="EC702" s="332"/>
      <c r="ED702" s="332"/>
      <c r="EE702" s="332"/>
    </row>
    <row r="703" spans="3:135" x14ac:dyDescent="0.4">
      <c r="C703" s="329"/>
      <c r="D703" s="329"/>
      <c r="E703" s="329"/>
      <c r="F703" s="329"/>
      <c r="G703" s="329"/>
      <c r="H703" s="329"/>
      <c r="I703" s="329"/>
      <c r="J703" s="329"/>
      <c r="K703" s="329"/>
      <c r="L703" s="329"/>
      <c r="M703" s="329"/>
      <c r="DW703" s="331"/>
      <c r="EA703" s="332"/>
      <c r="EB703" s="332"/>
      <c r="EC703" s="332"/>
      <c r="ED703" s="332"/>
      <c r="EE703" s="332"/>
    </row>
    <row r="704" spans="3:135" x14ac:dyDescent="0.4">
      <c r="C704" s="329"/>
      <c r="D704" s="329"/>
      <c r="E704" s="329"/>
      <c r="F704" s="329"/>
      <c r="G704" s="329"/>
      <c r="H704" s="329"/>
      <c r="I704" s="329"/>
      <c r="J704" s="329"/>
      <c r="K704" s="329"/>
      <c r="L704" s="329"/>
      <c r="M704" s="329"/>
      <c r="DW704" s="331"/>
      <c r="EA704" s="332"/>
      <c r="EB704" s="332"/>
      <c r="EC704" s="332"/>
      <c r="ED704" s="332"/>
      <c r="EE704" s="332"/>
    </row>
    <row r="705" spans="3:135" x14ac:dyDescent="0.4">
      <c r="C705" s="329"/>
      <c r="D705" s="329"/>
      <c r="E705" s="329"/>
      <c r="F705" s="329"/>
      <c r="G705" s="329"/>
      <c r="H705" s="329"/>
      <c r="I705" s="329"/>
      <c r="J705" s="329"/>
      <c r="K705" s="329"/>
      <c r="L705" s="329"/>
      <c r="M705" s="329"/>
      <c r="DW705" s="331"/>
      <c r="EA705" s="332"/>
      <c r="EB705" s="332"/>
      <c r="EC705" s="332"/>
      <c r="ED705" s="332"/>
      <c r="EE705" s="332"/>
    </row>
    <row r="706" spans="3:135" x14ac:dyDescent="0.4">
      <c r="C706" s="329"/>
      <c r="D706" s="329"/>
      <c r="E706" s="329"/>
      <c r="F706" s="329"/>
      <c r="G706" s="329"/>
      <c r="H706" s="329"/>
      <c r="I706" s="329"/>
      <c r="J706" s="329"/>
      <c r="K706" s="329"/>
      <c r="L706" s="329"/>
      <c r="M706" s="329"/>
      <c r="DW706" s="331"/>
      <c r="EA706" s="332"/>
      <c r="EB706" s="332"/>
      <c r="EC706" s="332"/>
      <c r="ED706" s="332"/>
      <c r="EE706" s="332"/>
    </row>
    <row r="707" spans="3:135" x14ac:dyDescent="0.4">
      <c r="C707" s="256"/>
      <c r="D707" s="256"/>
      <c r="E707" s="256"/>
      <c r="F707" s="256"/>
      <c r="G707" s="256"/>
      <c r="H707" s="256"/>
      <c r="I707" s="256"/>
      <c r="J707" s="256"/>
      <c r="K707" s="256"/>
      <c r="L707" s="256"/>
      <c r="M707" s="256"/>
      <c r="AJ707" s="254"/>
      <c r="AK707" s="254"/>
      <c r="AL707" s="254"/>
      <c r="AM707" s="254"/>
      <c r="AN707" s="254"/>
      <c r="DW707" s="258"/>
      <c r="EA707" s="259"/>
      <c r="EB707" s="259"/>
      <c r="EC707" s="259"/>
      <c r="ED707" s="259"/>
      <c r="EE707" s="259"/>
    </row>
  </sheetData>
  <mergeCells count="6">
    <mergeCell ref="AA357:AC357"/>
    <mergeCell ref="AA44:AC44"/>
    <mergeCell ref="AA104:AC104"/>
    <mergeCell ref="AA168:AC168"/>
    <mergeCell ref="AA231:AC231"/>
    <mergeCell ref="AA294:AC29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0F381-EA20-EF43-ACC9-FEF3687E92D4}">
  <dimension ref="A1:O63"/>
  <sheetViews>
    <sheetView zoomScale="96" zoomScaleNormal="96" workbookViewId="0">
      <selection activeCell="L16" sqref="L16"/>
    </sheetView>
  </sheetViews>
  <sheetFormatPr defaultColWidth="10.6640625" defaultRowHeight="12.3" x14ac:dyDescent="0.4"/>
  <cols>
    <col min="1" max="1" width="25.1640625" customWidth="1"/>
    <col min="7" max="7" width="15.5" customWidth="1"/>
    <col min="9" max="9" width="16.83203125" customWidth="1"/>
    <col min="12" max="12" width="10.83203125" style="609"/>
  </cols>
  <sheetData>
    <row r="1" spans="1:15" x14ac:dyDescent="0.4">
      <c r="A1" t="s">
        <v>596</v>
      </c>
    </row>
    <row r="2" spans="1:15" x14ac:dyDescent="0.4">
      <c r="A2" s="2" t="s">
        <v>114</v>
      </c>
      <c r="B2" s="2" t="s">
        <v>115</v>
      </c>
      <c r="C2" s="2" t="s">
        <v>599</v>
      </c>
      <c r="D2" s="2" t="s">
        <v>600</v>
      </c>
      <c r="E2" s="2" t="s">
        <v>601</v>
      </c>
      <c r="F2" s="2" t="s">
        <v>49</v>
      </c>
      <c r="G2" s="2" t="s">
        <v>597</v>
      </c>
      <c r="H2" s="731" t="s">
        <v>598</v>
      </c>
    </row>
    <row r="3" spans="1:15" x14ac:dyDescent="0.4">
      <c r="A3">
        <v>2016</v>
      </c>
      <c r="B3">
        <v>2010</v>
      </c>
      <c r="C3">
        <v>289</v>
      </c>
      <c r="D3">
        <v>392</v>
      </c>
      <c r="E3">
        <v>334</v>
      </c>
      <c r="F3">
        <v>129</v>
      </c>
      <c r="G3">
        <v>231</v>
      </c>
      <c r="H3">
        <v>174</v>
      </c>
    </row>
    <row r="5" spans="1:15" ht="12.6" thickBot="1" x14ac:dyDescent="0.45"/>
    <row r="6" spans="1:15" x14ac:dyDescent="0.4">
      <c r="I6" s="812"/>
      <c r="J6" s="813"/>
      <c r="K6" s="813"/>
      <c r="L6" s="813"/>
      <c r="M6" s="813"/>
      <c r="N6" s="813"/>
      <c r="O6" s="814"/>
    </row>
    <row r="7" spans="1:15" x14ac:dyDescent="0.4">
      <c r="A7" s="1" t="s">
        <v>602</v>
      </c>
      <c r="I7" s="815"/>
      <c r="J7" s="495"/>
      <c r="K7" s="495"/>
      <c r="L7" s="495"/>
      <c r="M7" s="495"/>
      <c r="N7" s="495"/>
      <c r="O7" s="816"/>
    </row>
    <row r="8" spans="1:15" s="609" customFormat="1" ht="15.6" x14ac:dyDescent="0.6">
      <c r="A8" s="1">
        <v>2010</v>
      </c>
      <c r="B8" s="609">
        <v>1.3</v>
      </c>
      <c r="I8" s="1155" t="s">
        <v>1063</v>
      </c>
      <c r="J8" s="495"/>
      <c r="K8" s="495"/>
      <c r="L8" s="495"/>
      <c r="M8" s="495"/>
      <c r="N8" s="495"/>
      <c r="O8" s="816"/>
    </row>
    <row r="9" spans="1:15" x14ac:dyDescent="0.4">
      <c r="A9">
        <v>2016</v>
      </c>
      <c r="B9">
        <v>2.0099999999999998</v>
      </c>
      <c r="I9" s="1156" t="s">
        <v>712</v>
      </c>
      <c r="J9" s="1153" t="s">
        <v>713</v>
      </c>
      <c r="K9" s="1153" t="s">
        <v>44</v>
      </c>
      <c r="L9" s="1153" t="s">
        <v>714</v>
      </c>
      <c r="M9" s="1153" t="s">
        <v>36</v>
      </c>
      <c r="N9" s="1153" t="s">
        <v>52</v>
      </c>
      <c r="O9" s="1157" t="s">
        <v>718</v>
      </c>
    </row>
    <row r="10" spans="1:15" x14ac:dyDescent="0.4">
      <c r="A10">
        <v>2030</v>
      </c>
      <c r="B10">
        <v>2.59</v>
      </c>
      <c r="I10" s="1156">
        <v>2016</v>
      </c>
      <c r="J10" s="1154">
        <v>769.09989704608472</v>
      </c>
      <c r="K10" s="1154">
        <v>178.18091482613531</v>
      </c>
      <c r="L10" s="1154">
        <v>302.81879365169073</v>
      </c>
      <c r="M10" s="1154">
        <v>535.71688953061096</v>
      </c>
      <c r="N10" s="1154">
        <v>230.80572845507322</v>
      </c>
      <c r="O10" s="1158">
        <f>SUM(J10:N10)</f>
        <v>2016.6222235095947</v>
      </c>
    </row>
    <row r="11" spans="1:15" ht="14.05" customHeight="1" x14ac:dyDescent="0.4">
      <c r="A11">
        <v>2050</v>
      </c>
      <c r="B11">
        <v>3.4</v>
      </c>
      <c r="I11" s="1156">
        <v>2030</v>
      </c>
      <c r="J11" s="1154">
        <v>1025.6797820977413</v>
      </c>
      <c r="K11" s="1154">
        <v>200.03164102885444</v>
      </c>
      <c r="L11" s="1154">
        <v>445.74260426245206</v>
      </c>
      <c r="M11" s="1154">
        <v>624.30445036445224</v>
      </c>
      <c r="N11" s="1154">
        <v>289.75610931589279</v>
      </c>
      <c r="O11" s="1158">
        <f t="shared" ref="O11:O12" si="0">SUM(J11:N11)</f>
        <v>2585.5145870693927</v>
      </c>
    </row>
    <row r="12" spans="1:15" s="609" customFormat="1" ht="14.05" customHeight="1" x14ac:dyDescent="0.4">
      <c r="I12" s="1156">
        <v>2050</v>
      </c>
      <c r="J12" s="1154">
        <v>1324.8062531856929</v>
      </c>
      <c r="K12" s="1154">
        <v>222.82120620950053</v>
      </c>
      <c r="L12" s="1154">
        <v>770.59196713870574</v>
      </c>
      <c r="M12" s="1154">
        <v>713.44084302928752</v>
      </c>
      <c r="N12" s="1154">
        <v>368.6896701295326</v>
      </c>
      <c r="O12" s="1158">
        <f t="shared" si="0"/>
        <v>3400.3499396927195</v>
      </c>
    </row>
    <row r="13" spans="1:15" s="609" customFormat="1" ht="14.05" customHeight="1" x14ac:dyDescent="0.4">
      <c r="A13" s="703" t="s">
        <v>721</v>
      </c>
      <c r="I13" s="817"/>
      <c r="J13" s="495"/>
      <c r="K13" s="495"/>
      <c r="L13" s="495"/>
      <c r="M13" s="495"/>
      <c r="N13" s="495"/>
      <c r="O13" s="816"/>
    </row>
    <row r="14" spans="1:15" s="609" customFormat="1" ht="14.05" customHeight="1" x14ac:dyDescent="0.4">
      <c r="A14" s="1" t="s">
        <v>710</v>
      </c>
      <c r="B14" s="1282" t="s">
        <v>711</v>
      </c>
      <c r="C14" s="1282"/>
      <c r="D14" s="1282"/>
      <c r="I14" s="1156" t="s">
        <v>715</v>
      </c>
      <c r="J14" s="1153" t="s">
        <v>55</v>
      </c>
      <c r="K14" s="1153" t="s">
        <v>58</v>
      </c>
      <c r="L14" s="1153" t="s">
        <v>716</v>
      </c>
      <c r="M14" s="1153" t="s">
        <v>61</v>
      </c>
      <c r="N14" s="495"/>
      <c r="O14" s="816"/>
    </row>
    <row r="15" spans="1:15" s="609" customFormat="1" ht="14.05" customHeight="1" x14ac:dyDescent="0.45">
      <c r="A15" s="820" t="s">
        <v>114</v>
      </c>
      <c r="B15" s="796">
        <v>2016</v>
      </c>
      <c r="C15" s="796">
        <v>2030</v>
      </c>
      <c r="D15" s="796">
        <v>2050</v>
      </c>
      <c r="I15" s="1156">
        <v>2016</v>
      </c>
      <c r="J15" s="1154">
        <v>286.54124848885687</v>
      </c>
      <c r="K15" s="1154">
        <v>251.38767492820998</v>
      </c>
      <c r="L15" s="1154">
        <v>218.17129578915262</v>
      </c>
      <c r="M15" s="1154">
        <v>260.03150157321744</v>
      </c>
      <c r="N15" s="495"/>
      <c r="O15" s="816"/>
    </row>
    <row r="16" spans="1:15" s="609" customFormat="1" ht="14.05" customHeight="1" x14ac:dyDescent="0.4">
      <c r="A16" s="609" t="s">
        <v>599</v>
      </c>
      <c r="B16" s="609">
        <v>289</v>
      </c>
      <c r="C16" s="736">
        <v>342</v>
      </c>
      <c r="D16" s="609">
        <v>396</v>
      </c>
      <c r="I16" s="1156">
        <v>2030</v>
      </c>
      <c r="J16" s="1154">
        <v>368.58511023566632</v>
      </c>
      <c r="K16" s="1154">
        <v>350.73849256450853</v>
      </c>
      <c r="L16" s="1154">
        <v>244.91880333428205</v>
      </c>
      <c r="M16" s="1154">
        <v>307.71893957799432</v>
      </c>
      <c r="N16" s="495"/>
      <c r="O16" s="816"/>
    </row>
    <row r="17" spans="1:15" s="609" customFormat="1" ht="14.05" customHeight="1" x14ac:dyDescent="0.4">
      <c r="A17" s="609" t="s">
        <v>601</v>
      </c>
      <c r="B17" s="609">
        <v>334</v>
      </c>
      <c r="C17" s="736">
        <v>466</v>
      </c>
      <c r="D17" s="609">
        <v>661</v>
      </c>
      <c r="I17" s="1156">
        <v>2050</v>
      </c>
      <c r="J17" s="1154">
        <v>437.15908423299959</v>
      </c>
      <c r="K17" s="1154">
        <v>497.50674589085867</v>
      </c>
      <c r="L17" s="1154">
        <v>272.80918241327214</v>
      </c>
      <c r="M17" s="1154">
        <v>356.30614056399344</v>
      </c>
      <c r="N17" s="495"/>
      <c r="O17" s="816"/>
    </row>
    <row r="18" spans="1:15" s="609" customFormat="1" ht="14.05" customHeight="1" thickBot="1" x14ac:dyDescent="0.45">
      <c r="A18" s="609" t="s">
        <v>625</v>
      </c>
      <c r="B18" s="609">
        <v>129</v>
      </c>
      <c r="C18" s="736">
        <v>177</v>
      </c>
      <c r="D18" s="609">
        <v>255</v>
      </c>
      <c r="I18" s="829"/>
      <c r="J18" s="818"/>
      <c r="K18" s="818"/>
      <c r="L18" s="818"/>
      <c r="M18" s="818"/>
      <c r="N18" s="818"/>
      <c r="O18" s="819"/>
    </row>
    <row r="19" spans="1:15" s="609" customFormat="1" ht="14.05" customHeight="1" x14ac:dyDescent="0.4">
      <c r="A19" s="609" t="s">
        <v>600</v>
      </c>
      <c r="B19" s="609">
        <v>392</v>
      </c>
      <c r="C19" s="736">
        <v>440</v>
      </c>
      <c r="D19" s="609">
        <v>490</v>
      </c>
      <c r="I19" s="830"/>
      <c r="J19" s="826"/>
      <c r="K19" s="826"/>
      <c r="L19" s="826"/>
      <c r="M19" s="826"/>
      <c r="N19" s="826"/>
      <c r="O19" s="826"/>
    </row>
    <row r="20" spans="1:15" s="609" customFormat="1" ht="14.05" customHeight="1" x14ac:dyDescent="0.4">
      <c r="A20" s="609" t="s">
        <v>626</v>
      </c>
      <c r="B20" s="609">
        <v>174</v>
      </c>
      <c r="C20" s="736">
        <v>269</v>
      </c>
      <c r="D20" s="609">
        <v>516</v>
      </c>
      <c r="I20" s="1159" t="s">
        <v>1064</v>
      </c>
      <c r="J20" s="584" t="s">
        <v>55</v>
      </c>
      <c r="K20" s="584" t="s">
        <v>58</v>
      </c>
      <c r="L20" s="584" t="s">
        <v>716</v>
      </c>
      <c r="M20" s="584" t="s">
        <v>61</v>
      </c>
      <c r="N20" s="826"/>
      <c r="O20" s="826"/>
    </row>
    <row r="21" spans="1:15" s="609" customFormat="1" ht="14.05" customHeight="1" x14ac:dyDescent="0.4">
      <c r="A21" s="609" t="s">
        <v>627</v>
      </c>
      <c r="B21" s="609">
        <v>231</v>
      </c>
      <c r="C21" s="736">
        <v>290</v>
      </c>
      <c r="D21" s="609">
        <v>369</v>
      </c>
      <c r="J21" s="1160">
        <v>210</v>
      </c>
      <c r="K21" s="1160">
        <v>168.40323995</v>
      </c>
      <c r="L21" s="1161">
        <v>240.889961</v>
      </c>
      <c r="M21" s="1162">
        <v>242.05510170000002</v>
      </c>
    </row>
    <row r="22" spans="1:15" x14ac:dyDescent="0.4">
      <c r="A22" s="609" t="s">
        <v>628</v>
      </c>
      <c r="B22">
        <v>468</v>
      </c>
      <c r="C22" s="736">
        <v>602</v>
      </c>
      <c r="D22" s="609">
        <v>714</v>
      </c>
    </row>
    <row r="23" spans="1:15" ht="12.6" x14ac:dyDescent="0.45">
      <c r="A23" s="820" t="s">
        <v>506</v>
      </c>
      <c r="B23">
        <f>SUM(B16:B22)</f>
        <v>2017</v>
      </c>
      <c r="C23" s="609">
        <f>SUM(C16:C22)</f>
        <v>2586</v>
      </c>
      <c r="D23" s="609">
        <f>SUM(D16:D22)</f>
        <v>3401</v>
      </c>
    </row>
    <row r="25" spans="1:15" x14ac:dyDescent="0.4">
      <c r="A25" s="1" t="s">
        <v>606</v>
      </c>
      <c r="E25" s="609"/>
      <c r="F25" s="609"/>
    </row>
    <row r="26" spans="1:15" x14ac:dyDescent="0.4">
      <c r="A26" t="s">
        <v>607</v>
      </c>
      <c r="B26" s="730">
        <v>0.44</v>
      </c>
    </row>
    <row r="27" spans="1:15" x14ac:dyDescent="0.4">
      <c r="A27" t="s">
        <v>185</v>
      </c>
      <c r="B27" s="730">
        <v>0.05</v>
      </c>
    </row>
    <row r="28" spans="1:15" x14ac:dyDescent="0.4">
      <c r="A28" t="s">
        <v>184</v>
      </c>
      <c r="B28" s="730">
        <v>0.04</v>
      </c>
    </row>
    <row r="29" spans="1:15" x14ac:dyDescent="0.4">
      <c r="A29" t="s">
        <v>608</v>
      </c>
      <c r="B29" s="730">
        <v>0.17</v>
      </c>
    </row>
    <row r="30" spans="1:15" x14ac:dyDescent="0.4">
      <c r="A30" t="s">
        <v>200</v>
      </c>
      <c r="B30" s="730">
        <v>0.12</v>
      </c>
    </row>
    <row r="31" spans="1:15" x14ac:dyDescent="0.4">
      <c r="A31" t="s">
        <v>609</v>
      </c>
      <c r="B31" s="730">
        <v>0.02</v>
      </c>
    </row>
    <row r="32" spans="1:15" x14ac:dyDescent="0.4">
      <c r="A32" t="s">
        <v>179</v>
      </c>
      <c r="B32" s="730">
        <v>0.02</v>
      </c>
    </row>
    <row r="33" spans="1:11" x14ac:dyDescent="0.4">
      <c r="A33" t="s">
        <v>205</v>
      </c>
      <c r="B33" s="730">
        <v>0.14000000000000001</v>
      </c>
    </row>
    <row r="36" spans="1:11" x14ac:dyDescent="0.4">
      <c r="A36" s="1" t="s">
        <v>610</v>
      </c>
      <c r="D36" s="1" t="s">
        <v>624</v>
      </c>
    </row>
    <row r="37" spans="1:11" x14ac:dyDescent="0.4">
      <c r="A37" t="s">
        <v>540</v>
      </c>
      <c r="B37" s="723">
        <v>5.5E-2</v>
      </c>
      <c r="E37" s="618" t="s">
        <v>540</v>
      </c>
      <c r="F37" s="618" t="s">
        <v>611</v>
      </c>
      <c r="G37" s="618" t="s">
        <v>631</v>
      </c>
      <c r="H37" s="618" t="s">
        <v>534</v>
      </c>
      <c r="I37" s="618" t="s">
        <v>629</v>
      </c>
      <c r="J37" s="732" t="s">
        <v>630</v>
      </c>
      <c r="K37" s="618"/>
    </row>
    <row r="38" spans="1:11" x14ac:dyDescent="0.4">
      <c r="A38" t="s">
        <v>611</v>
      </c>
      <c r="B38" s="730">
        <v>0.11</v>
      </c>
      <c r="D38" t="s">
        <v>599</v>
      </c>
      <c r="E38" s="733">
        <v>4.0000000000000001E-3</v>
      </c>
      <c r="F38" s="734">
        <v>0.12</v>
      </c>
      <c r="G38" s="733">
        <v>0.54300000000000004</v>
      </c>
      <c r="H38" s="733">
        <v>0.33300000000000002</v>
      </c>
      <c r="I38" s="618"/>
      <c r="J38" s="618"/>
      <c r="K38" s="733"/>
    </row>
    <row r="39" spans="1:11" x14ac:dyDescent="0.4">
      <c r="A39" t="s">
        <v>612</v>
      </c>
      <c r="B39" s="730">
        <v>0.04</v>
      </c>
      <c r="D39" t="s">
        <v>601</v>
      </c>
      <c r="E39" s="734">
        <v>0.16</v>
      </c>
      <c r="F39" s="618"/>
      <c r="G39" s="734">
        <v>0.04</v>
      </c>
      <c r="H39" s="734">
        <v>0.05</v>
      </c>
      <c r="I39" s="734">
        <v>0.75</v>
      </c>
      <c r="J39" s="618"/>
      <c r="K39" s="733"/>
    </row>
    <row r="40" spans="1:11" x14ac:dyDescent="0.4">
      <c r="A40" t="s">
        <v>613</v>
      </c>
      <c r="B40" s="730">
        <v>0.25</v>
      </c>
      <c r="D40" t="s">
        <v>625</v>
      </c>
      <c r="E40" s="734">
        <v>0.04</v>
      </c>
      <c r="F40" s="618" t="s">
        <v>616</v>
      </c>
      <c r="G40" s="734">
        <v>0.34</v>
      </c>
      <c r="H40" s="734">
        <v>0.09</v>
      </c>
      <c r="I40" s="733">
        <v>0.52700000000000002</v>
      </c>
      <c r="J40" s="618"/>
      <c r="K40" s="733"/>
    </row>
    <row r="41" spans="1:11" x14ac:dyDescent="0.4">
      <c r="A41" t="s">
        <v>614</v>
      </c>
      <c r="B41" s="723">
        <v>7.6999999999999999E-2</v>
      </c>
      <c r="D41" t="s">
        <v>600</v>
      </c>
      <c r="E41" s="733">
        <v>0.107</v>
      </c>
      <c r="F41" s="733">
        <v>0.17799999999999999</v>
      </c>
      <c r="G41" s="733">
        <v>0.25900000000000001</v>
      </c>
      <c r="H41" s="734">
        <v>0.2</v>
      </c>
      <c r="I41" s="733">
        <v>0.25600000000000001</v>
      </c>
      <c r="J41" s="618"/>
      <c r="K41" s="733"/>
    </row>
    <row r="42" spans="1:11" x14ac:dyDescent="0.4">
      <c r="A42" t="s">
        <v>615</v>
      </c>
      <c r="B42" s="730">
        <v>0.33</v>
      </c>
      <c r="D42" t="s">
        <v>626</v>
      </c>
      <c r="E42" s="618" t="s">
        <v>616</v>
      </c>
      <c r="F42" s="618"/>
      <c r="G42" s="734">
        <v>0.24</v>
      </c>
      <c r="H42" s="733">
        <v>6.6000000000000003E-2</v>
      </c>
      <c r="I42" s="734">
        <v>0.69</v>
      </c>
      <c r="J42" s="618"/>
      <c r="K42" s="733"/>
    </row>
    <row r="43" spans="1:11" x14ac:dyDescent="0.4">
      <c r="A43" t="s">
        <v>534</v>
      </c>
      <c r="B43" s="723">
        <v>0.13500000000000001</v>
      </c>
      <c r="D43" t="s">
        <v>627</v>
      </c>
      <c r="E43" s="618" t="s">
        <v>616</v>
      </c>
      <c r="F43" s="618"/>
      <c r="G43" s="733">
        <v>0.68500000000000005</v>
      </c>
      <c r="H43" s="733">
        <v>4.4999999999999998E-2</v>
      </c>
      <c r="I43" s="733">
        <v>0.26800000000000002</v>
      </c>
      <c r="J43" s="618"/>
      <c r="K43" s="733"/>
    </row>
    <row r="44" spans="1:11" x14ac:dyDescent="0.4">
      <c r="A44" t="s">
        <v>205</v>
      </c>
      <c r="B44" t="s">
        <v>616</v>
      </c>
      <c r="D44" t="s">
        <v>628</v>
      </c>
      <c r="E44" s="734">
        <v>0.02</v>
      </c>
      <c r="F44" s="734">
        <v>0.24</v>
      </c>
      <c r="G44" s="734">
        <v>0.46</v>
      </c>
      <c r="H44" s="734">
        <v>0.09</v>
      </c>
      <c r="I44" s="734">
        <v>0.18</v>
      </c>
      <c r="J44" s="618"/>
      <c r="K44" s="733"/>
    </row>
    <row r="47" spans="1:11" x14ac:dyDescent="0.4">
      <c r="A47" s="1" t="s">
        <v>623</v>
      </c>
    </row>
    <row r="48" spans="1:11" x14ac:dyDescent="0.4">
      <c r="A48" t="s">
        <v>617</v>
      </c>
    </row>
    <row r="49" spans="1:5" x14ac:dyDescent="0.4">
      <c r="A49" t="s">
        <v>618</v>
      </c>
    </row>
    <row r="50" spans="1:5" x14ac:dyDescent="0.4">
      <c r="A50" t="s">
        <v>619</v>
      </c>
    </row>
    <row r="51" spans="1:5" x14ac:dyDescent="0.4">
      <c r="A51" t="s">
        <v>620</v>
      </c>
    </row>
    <row r="52" spans="1:5" x14ac:dyDescent="0.4">
      <c r="A52" t="s">
        <v>621</v>
      </c>
    </row>
    <row r="53" spans="1:5" x14ac:dyDescent="0.4">
      <c r="A53" t="s">
        <v>622</v>
      </c>
    </row>
    <row r="57" spans="1:5" x14ac:dyDescent="0.4">
      <c r="A57" s="1" t="s">
        <v>632</v>
      </c>
    </row>
    <row r="58" spans="1:5" ht="49.2" x14ac:dyDescent="0.4">
      <c r="B58" s="735" t="s">
        <v>636</v>
      </c>
      <c r="C58" s="735" t="s">
        <v>637</v>
      </c>
      <c r="D58" s="735" t="s">
        <v>638</v>
      </c>
      <c r="E58" s="735" t="s">
        <v>639</v>
      </c>
    </row>
    <row r="59" spans="1:5" x14ac:dyDescent="0.4">
      <c r="A59" t="s">
        <v>633</v>
      </c>
      <c r="B59" t="s">
        <v>656</v>
      </c>
      <c r="C59" t="s">
        <v>640</v>
      </c>
      <c r="D59" t="s">
        <v>641</v>
      </c>
      <c r="E59" t="s">
        <v>642</v>
      </c>
    </row>
    <row r="60" spans="1:5" x14ac:dyDescent="0.4">
      <c r="A60" t="s">
        <v>634</v>
      </c>
      <c r="B60" t="s">
        <v>655</v>
      </c>
      <c r="C60" t="s">
        <v>643</v>
      </c>
      <c r="D60" t="s">
        <v>644</v>
      </c>
      <c r="E60" t="s">
        <v>645</v>
      </c>
    </row>
    <row r="61" spans="1:5" x14ac:dyDescent="0.4">
      <c r="A61" t="s">
        <v>635</v>
      </c>
      <c r="B61" s="736" t="s">
        <v>646</v>
      </c>
      <c r="C61" t="s">
        <v>652</v>
      </c>
      <c r="D61" t="s">
        <v>507</v>
      </c>
      <c r="E61" t="s">
        <v>507</v>
      </c>
    </row>
    <row r="62" spans="1:5" x14ac:dyDescent="0.4">
      <c r="A62" t="s">
        <v>534</v>
      </c>
      <c r="B62" s="736" t="s">
        <v>647</v>
      </c>
      <c r="C62" t="s">
        <v>648</v>
      </c>
      <c r="D62" s="737" t="s">
        <v>654</v>
      </c>
      <c r="E62" t="s">
        <v>653</v>
      </c>
    </row>
    <row r="63" spans="1:5" x14ac:dyDescent="0.4">
      <c r="A63" t="s">
        <v>540</v>
      </c>
      <c r="B63" s="736" t="s">
        <v>648</v>
      </c>
      <c r="C63" s="737" t="s">
        <v>651</v>
      </c>
      <c r="D63" t="s">
        <v>649</v>
      </c>
      <c r="E63" t="s">
        <v>650</v>
      </c>
    </row>
  </sheetData>
  <mergeCells count="1">
    <mergeCell ref="B14:D14"/>
  </mergeCell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AZ242"/>
    <cellWatch r="AZ243"/>
    <cellWatch r="AZ244"/>
    <cellWatch r="AZ245"/>
    <cellWatch r="AZ246"/>
    <cellWatch r="AZ172"/>
    <cellWatch r="AZ173"/>
    <cellWatch r="AZ174"/>
    <cellWatch r="AZ175"/>
    <cellWatch r="AZ176"/>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247"/>
    <cellWatch r="BA172"/>
    <cellWatch r="BA173"/>
    <cellWatch r="BA174"/>
    <cellWatch r="BA175"/>
    <cellWatch r="AZ178"/>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BB172"/>
    <cellWatch r="BB173"/>
    <cellWatch r="BB174"/>
    <cellWatch r="BB175"/>
    <cellWatch r="AZ179"/>
    <cellWatch r="AY183"/>
    <cellWatch r="AY184"/>
    <cellWatch r="AY185"/>
    <cellWatch r="AY186"/>
    <cellWatch r="AY187"/>
    <cellWatch r="AY188"/>
    <cellWatch r="AZ180"/>
    <cellWatch r="AZ181"/>
    <cellWatch r="AZ248"/>
    <cellWatch r="AZ249"/>
    <cellWatch r="AZ250"/>
    <cellWatch r="AZ251"/>
    <cellWatch r="AY143"/>
    <cellWatch r="AY144"/>
    <cellWatch r="AY145"/>
    <cellWatch r="AY146"/>
    <cellWatch r="AY147"/>
    <cellWatch r="AZ182"/>
    <cellWatch r="AZ183"/>
    <cellWatch r="AZ184"/>
    <cellWatch r="AZ322"/>
    <cellWatch r="AZ323"/>
    <cellWatch r="AZ324"/>
    <cellWatch r="AZ325"/>
    <cellWatch r="AZ326"/>
    <cellWatch r="AZ327"/>
    <cellWatch r="AY139"/>
    <cellWatch r="AY140"/>
    <cellWatch r="AY141"/>
    <cellWatch r="AY142"/>
    <cellWatch r="AZ185"/>
    <cellWatch r="AZ186"/>
    <cellWatch r="AZ187"/>
    <cellWatch r="AZ188"/>
    <cellWatch r="BB178"/>
    <cellWatch r="AZ252"/>
    <cellWatch r="AY189"/>
    <cellWatch r="AY190"/>
    <cellWatch r="AY191"/>
    <cellWatch r="AY192"/>
    <cellWatch r="AY193"/>
    <cellWatch r="AZ253"/>
    <cellWatch r="BA178"/>
    <cellWatch r="AZ328"/>
    <cellWatch r="BB179"/>
    <cellWatch r="AY194"/>
    <cellWatch r="AU148"/>
    <cellWatch r="AU149"/>
    <cellWatch r="AU150"/>
    <cellWatch r="AU151"/>
    <cellWatch r="AU152"/>
    <cellWatch r="AU153"/>
    <cellWatch r="AU154"/>
    <cellWatch r="AU155"/>
    <cellWatch r="AU156"/>
    <cellWatch r="AU157"/>
    <cellWatch r="AU158"/>
    <cellWatch r="AU159"/>
    <cellWatch r="AU160"/>
    <cellWatch r="AU161"/>
    <cellWatch r="AU162"/>
    <cellWatch r="AU163"/>
    <cellWatch r="AU164"/>
    <cellWatch r="AU165"/>
    <cellWatch r="AU166"/>
    <cellWatch r="AU167"/>
    <cellWatch r="AU168"/>
    <cellWatch r="AU169"/>
    <cellWatch r="AU170"/>
    <cellWatch r="AU171"/>
    <cellWatch r="AU172"/>
    <cellWatch r="AU173"/>
    <cellWatch r="AU174"/>
    <cellWatch r="AU175"/>
    <cellWatch r="AU178"/>
    <cellWatch r="AU179"/>
    <cellWatch r="AU180"/>
    <cellWatch r="AU181"/>
    <cellWatch r="AU182"/>
    <cellWatch r="AU183"/>
    <cellWatch r="AU184"/>
    <cellWatch r="AU230"/>
    <cellWatch r="AU231"/>
    <cellWatch r="AU232"/>
    <cellWatch r="AU233"/>
    <cellWatch r="AU234"/>
    <cellWatch r="AU235"/>
    <cellWatch r="AU236"/>
    <cellWatch r="AU237"/>
    <cellWatch r="AU238"/>
    <cellWatch r="AU239"/>
    <cellWatch r="AU240"/>
    <cellWatch r="AU241"/>
    <cellWatch r="AU242"/>
    <cellWatch r="AU243"/>
    <cellWatch r="AU244"/>
    <cellWatch r="AU245"/>
    <cellWatch r="AU246"/>
    <cellWatch r="AU247"/>
    <cellWatch r="AU248"/>
    <cellWatch r="AU249"/>
    <cellWatch r="AU250"/>
    <cellWatch r="AU251"/>
    <cellWatch r="AU252"/>
    <cellWatch r="AU253"/>
    <cellWatch r="AU254"/>
    <cellWatch r="AU255"/>
    <cellWatch r="AU256"/>
    <cellWatch r="AU257"/>
    <cellWatch r="AU258"/>
    <cellWatch r="AU259"/>
    <cellWatch r="AU185"/>
    <cellWatch r="AU186"/>
    <cellWatch r="AU187"/>
    <cellWatch r="AU188"/>
    <cellWatch r="AU189"/>
    <cellWatch r="AU225"/>
    <cellWatch r="AU226"/>
    <cellWatch r="AU227"/>
    <cellWatch r="AU228"/>
    <cellWatch r="AU229"/>
    <cellWatch r="AV148"/>
    <cellWatch r="AV149"/>
    <cellWatch r="AV150"/>
    <cellWatch r="AV151"/>
    <cellWatch r="AV152"/>
    <cellWatch r="AV153"/>
    <cellWatch r="AV154"/>
    <cellWatch r="AV155"/>
    <cellWatch r="AV156"/>
    <cellWatch r="AV157"/>
    <cellWatch r="AV158"/>
    <cellWatch r="AV159"/>
    <cellWatch r="AV160"/>
    <cellWatch r="AV161"/>
    <cellWatch r="AV162"/>
    <cellWatch r="AV163"/>
    <cellWatch r="AV164"/>
    <cellWatch r="AV165"/>
    <cellWatch r="AV166"/>
    <cellWatch r="AV167"/>
    <cellWatch r="AV168"/>
    <cellWatch r="AV169"/>
    <cellWatch r="AV170"/>
    <cellWatch r="AV171"/>
    <cellWatch r="AV172"/>
    <cellWatch r="AV173"/>
    <cellWatch r="AV174"/>
    <cellWatch r="AV175"/>
    <cellWatch r="AV178"/>
    <cellWatch r="AV179"/>
    <cellWatch r="AV180"/>
    <cellWatch r="AV181"/>
    <cellWatch r="AV182"/>
    <cellWatch r="AV183"/>
    <cellWatch r="AV184"/>
    <cellWatch r="AT159"/>
    <cellWatch r="AT160"/>
    <cellWatch r="AT161"/>
    <cellWatch r="AT162"/>
    <cellWatch r="AT163"/>
    <cellWatch r="AT164"/>
    <cellWatch r="AT165"/>
    <cellWatch r="AT166"/>
    <cellWatch r="AT167"/>
    <cellWatch r="AT168"/>
    <cellWatch r="AT169"/>
    <cellWatch r="AT170"/>
    <cellWatch r="AT171"/>
    <cellWatch r="AT172"/>
    <cellWatch r="AS173"/>
    <cellWatch r="AT174"/>
    <cellWatch r="AT175"/>
    <cellWatch r="AT178"/>
    <cellWatch r="AT179"/>
    <cellWatch r="AT180"/>
    <cellWatch r="AT181"/>
    <cellWatch r="AT182"/>
    <cellWatch r="AT183"/>
    <cellWatch r="AT184"/>
    <cellWatch r="AT185"/>
    <cellWatch r="AT186"/>
    <cellWatch r="AT187"/>
    <cellWatch r="AT188"/>
    <cellWatch r="AT189"/>
    <cellWatch r="AT190"/>
    <cellWatch r="AT191"/>
    <cellWatch r="AT192"/>
    <cellWatch r="AT193"/>
    <cellWatch r="AT194"/>
    <cellWatch r="AT195"/>
    <cellWatch r="AU309"/>
    <cellWatch r="AU310"/>
    <cellWatch r="AU311"/>
    <cellWatch r="AU312"/>
    <cellWatch r="AU313"/>
    <cellWatch r="AU314"/>
    <cellWatch r="AU315"/>
    <cellWatch r="AU316"/>
    <cellWatch r="AU317"/>
    <cellWatch r="AU318"/>
    <cellWatch r="AU319"/>
    <cellWatch r="AU320"/>
    <cellWatch r="AU321"/>
    <cellWatch r="AU322"/>
    <cellWatch r="AU323"/>
    <cellWatch r="AU324"/>
    <cellWatch r="AU325"/>
    <cellWatch r="AU326"/>
    <cellWatch r="AU327"/>
    <cellWatch r="AU328"/>
    <cellWatch r="AU329"/>
    <cellWatch r="AU330"/>
    <cellWatch r="AU331"/>
    <cellWatch r="AU332"/>
    <cellWatch r="AU333"/>
    <cellWatch r="AU334"/>
    <cellWatch r="AW148"/>
    <cellWatch r="AW149"/>
    <cellWatch r="AW151"/>
    <cellWatch r="AW152"/>
    <cellWatch r="AW153"/>
    <cellWatch r="AW154"/>
    <cellWatch r="AW155"/>
    <cellWatch r="AW156"/>
    <cellWatch r="AW157"/>
    <cellWatch r="AW158"/>
    <cellWatch r="AW159"/>
    <cellWatch r="AW160"/>
    <cellWatch r="AW161"/>
    <cellWatch r="AW162"/>
    <cellWatch r="AW163"/>
    <cellWatch r="AW164"/>
    <cellWatch r="AW165"/>
    <cellWatch r="AW166"/>
    <cellWatch r="AW167"/>
    <cellWatch r="AW168"/>
    <cellWatch r="AW169"/>
    <cellWatch r="AW170"/>
    <cellWatch r="AW171"/>
    <cellWatch r="AW172"/>
    <cellWatch r="AW173"/>
    <cellWatch r="AW174"/>
    <cellWatch r="AW175"/>
    <cellWatch r="AW178"/>
    <cellWatch r="AW179"/>
    <cellWatch r="AW180"/>
    <cellWatch r="AW181"/>
    <cellWatch r="AW182"/>
    <cellWatch r="AW183"/>
    <cellWatch r="AW184"/>
    <cellWatch r="AW185"/>
    <cellWatch r="AU190"/>
    <cellWatch r="AU191"/>
    <cellWatch r="AT196"/>
    <cellWatch r="AT197"/>
    <cellWatch r="AT198"/>
    <cellWatch r="AT199"/>
    <cellWatch r="AT200"/>
    <cellWatch r="AU146"/>
    <cellWatch r="AU147"/>
    <cellWatch r="AT155"/>
    <cellWatch r="AT156"/>
    <cellWatch r="AT157"/>
    <cellWatch r="AT158"/>
    <cellWatch r="AU144"/>
    <cellWatch r="AU145"/>
    <cellWatch r="AU221"/>
    <cellWatch r="AU222"/>
    <cellWatch r="AU223"/>
    <cellWatch r="AU224"/>
    <cellWatch r="AV144"/>
    <cellWatch r="AV145"/>
    <cellWatch r="AV146"/>
    <cellWatch r="AV147"/>
    <cellWatch r="AT146"/>
    <cellWatch r="AT147"/>
    <cellWatch r="AT148"/>
    <cellWatch r="AT149"/>
    <cellWatch r="AT150"/>
    <cellWatch r="AT151"/>
    <cellWatch r="AT152"/>
    <cellWatch r="AT153"/>
    <cellWatch r="AT154"/>
    <cellWatch r="AU305"/>
    <cellWatch r="AU306"/>
    <cellWatch r="AU307"/>
    <cellWatch r="AU308"/>
    <cellWatch r="AW144"/>
    <cellWatch r="AW145"/>
    <cellWatch r="AW146"/>
    <cellWatch r="AW147"/>
    <cellWatch r="AW150"/>
    <cellWatch r="AT142"/>
    <cellWatch r="AT143"/>
    <cellWatch r="AT144"/>
    <cellWatch r="AT145"/>
    <cellWatch r="AZ329"/>
    <cellWatch r="AZ189"/>
    <cellWatch r="AZ190"/>
    <cellWatch r="BA179"/>
    <cellWatch r="AZ254"/>
    <cellWatch r="BB180"/>
    <cellWatch r="AY195"/>
    <cellWatch r="AZ177"/>
    <cellWatch r="BB137"/>
    <cellWatch r="BB138"/>
    <cellWatch r="BB139"/>
    <cellWatch r="BB140"/>
    <cellWatch r="AY135"/>
    <cellWatch r="AY136"/>
    <cellWatch r="AY137"/>
    <cellWatch r="AY138"/>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6"/>
    <cellWatch r="BA177"/>
    <cellWatch r="BA180"/>
    <cellWatch r="AY250"/>
    <cellWatch r="AY251"/>
    <cellWatch r="AY252"/>
    <cellWatch r="AY253"/>
    <cellWatch r="AY254"/>
    <cellWatch r="AX191"/>
    <cellWatch r="AX192"/>
    <cellWatch r="AX193"/>
    <cellWatch r="AX194"/>
    <cellWatch r="AX195"/>
    <cellWatch r="AZ191"/>
    <cellWatch r="AZ192"/>
    <cellWatch r="AZ193"/>
    <cellWatch r="AZ194"/>
    <cellWatch r="AZ195"/>
    <cellWatch r="AZ196"/>
    <cellWatch r="AZ197"/>
    <cellWatch r="AZ198"/>
    <cellWatch r="AZ199"/>
    <cellWatch r="AZ200"/>
    <cellWatch r="AZ201"/>
    <cellWatch r="AZ202"/>
    <cellWatch r="AZ255"/>
    <cellWatch r="AZ256"/>
    <cellWatch r="AZ257"/>
    <cellWatch r="AZ258"/>
    <cellWatch r="AZ259"/>
    <cellWatch r="AZ260"/>
    <cellWatch r="AZ261"/>
    <cellWatch r="AZ262"/>
    <cellWatch r="AZ263"/>
    <cellWatch r="AZ264"/>
    <cellWatch r="AZ265"/>
    <cellWatch r="AZ268"/>
    <cellWatch r="AZ269"/>
    <cellWatch r="AZ270"/>
    <cellWatch r="AZ271"/>
    <cellWatch r="AZ272"/>
    <cellWatch r="AZ273"/>
    <cellWatch r="AZ274"/>
    <cellWatch r="AZ275"/>
    <cellWatch r="AZ276"/>
    <cellWatch r="AZ277"/>
    <cellWatch r="AZ123"/>
    <cellWatch r="AZ124"/>
    <cellWatch r="AZ125"/>
    <cellWatch r="AZ126"/>
    <cellWatch r="AZ127"/>
    <cellWatch r="AZ128"/>
    <cellWatch r="AZ129"/>
    <cellWatch r="AZ130"/>
    <cellWatch r="AZ131"/>
    <cellWatch r="AZ132"/>
    <cellWatch r="AZ133"/>
    <cellWatch r="AZ134"/>
    <cellWatch r="AZ135"/>
    <cellWatch r="AZ136"/>
    <cellWatch r="AY132"/>
    <cellWatch r="AY133"/>
    <cellWatch r="AY134"/>
    <cellWatch r="AZ121"/>
    <cellWatch r="AZ122"/>
    <cellWatch r="AZ203"/>
    <cellWatch r="AZ204"/>
    <cellWatch r="AZ205"/>
    <cellWatch r="AZ206"/>
    <cellWatch r="AZ207"/>
    <cellWatch r="AZ208"/>
    <cellWatch r="AZ209"/>
    <cellWatch r="AZ210"/>
    <cellWatch r="AZ211"/>
    <cellWatch r="BA121"/>
    <cellWatch r="BA122"/>
    <cellWatch r="BA123"/>
    <cellWatch r="BA124"/>
    <cellWatch r="BA125"/>
    <cellWatch r="BA126"/>
    <cellWatch r="BA127"/>
    <cellWatch r="BA128"/>
    <cellWatch r="BA129"/>
    <cellWatch r="BA130"/>
    <cellWatch r="BA131"/>
    <cellWatch r="BA132"/>
    <cellWatch r="BA133"/>
    <cellWatch r="BA134"/>
    <cellWatch r="BA135"/>
    <cellWatch r="BA136"/>
    <cellWatch r="AY123"/>
    <cellWatch r="AY124"/>
    <cellWatch r="AY125"/>
    <cellWatch r="AY126"/>
    <cellWatch r="AY127"/>
    <cellWatch r="AY128"/>
    <cellWatch r="AY129"/>
    <cellWatch r="AY130"/>
    <cellWatch r="AY131"/>
    <cellWatch r="AZ280"/>
    <cellWatch r="AZ281"/>
    <cellWatch r="AZ282"/>
    <cellWatch r="AZ283"/>
    <cellWatch r="AZ284"/>
    <cellWatch r="AZ285"/>
    <cellWatch r="AZ286"/>
    <cellWatch r="AZ287"/>
    <cellWatch r="AZ288"/>
    <cellWatch r="AZ289"/>
    <cellWatch r="AZ290"/>
    <cellWatch r="AZ291"/>
    <cellWatch r="AZ292"/>
    <cellWatch r="AZ293"/>
    <cellWatch r="AZ294"/>
    <cellWatch r="AZ295"/>
    <cellWatch r="BB121"/>
    <cellWatch r="BB122"/>
    <cellWatch r="BB123"/>
    <cellWatch r="BB124"/>
    <cellWatch r="BB125"/>
    <cellWatch r="BB126"/>
    <cellWatch r="BB127"/>
    <cellWatch r="BB128"/>
    <cellWatch r="BB129"/>
    <cellWatch r="BB130"/>
    <cellWatch r="BB131"/>
    <cellWatch r="BB132"/>
    <cellWatch r="BB133"/>
    <cellWatch r="BB134"/>
    <cellWatch r="BB135"/>
    <cellWatch r="BB136"/>
    <cellWatch r="AY119"/>
    <cellWatch r="AY120"/>
    <cellWatch r="AY121"/>
    <cellWatch r="AY122"/>
  </cellWatch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15D3C-41AE-8040-841B-BAEC96A9BE32}">
  <dimension ref="A1:Q96"/>
  <sheetViews>
    <sheetView workbookViewId="0">
      <selection activeCell="I32" sqref="I32"/>
    </sheetView>
  </sheetViews>
  <sheetFormatPr defaultColWidth="10.6640625" defaultRowHeight="12.3" x14ac:dyDescent="0.4"/>
  <cols>
    <col min="1" max="1" width="17" customWidth="1"/>
    <col min="2" max="2" width="21.33203125" customWidth="1"/>
    <col min="3" max="4" width="21.6640625" customWidth="1"/>
    <col min="6" max="6" width="22" customWidth="1"/>
    <col min="7" max="8" width="21.6640625" customWidth="1"/>
    <col min="9" max="9" width="21.83203125" customWidth="1"/>
    <col min="11" max="11" width="24.83203125" customWidth="1"/>
    <col min="12" max="12" width="22" customWidth="1"/>
    <col min="13" max="13" width="21.5" customWidth="1"/>
    <col min="14" max="14" width="16.1640625" customWidth="1"/>
    <col min="15" max="15" width="16.5" customWidth="1"/>
    <col min="16" max="16" width="17.6640625" customWidth="1"/>
    <col min="17" max="17" width="14.83203125" customWidth="1"/>
  </cols>
  <sheetData>
    <row r="1" spans="1:17" s="609" customFormat="1" x14ac:dyDescent="0.4">
      <c r="A1" s="1" t="s">
        <v>669</v>
      </c>
      <c r="G1" s="809" t="s">
        <v>708</v>
      </c>
      <c r="K1" s="821" t="s">
        <v>717</v>
      </c>
      <c r="L1" s="822"/>
      <c r="M1" s="822"/>
      <c r="N1" s="813"/>
      <c r="O1" s="813"/>
      <c r="P1" s="813"/>
      <c r="Q1" s="814"/>
    </row>
    <row r="2" spans="1:17" ht="42" customHeight="1" x14ac:dyDescent="0.4">
      <c r="A2" s="1" t="s">
        <v>268</v>
      </c>
      <c r="B2" s="340" t="s">
        <v>670</v>
      </c>
      <c r="C2" s="340" t="s">
        <v>671</v>
      </c>
      <c r="D2" s="340" t="s">
        <v>672</v>
      </c>
      <c r="F2" s="1" t="s">
        <v>268</v>
      </c>
      <c r="G2" s="340" t="s">
        <v>703</v>
      </c>
      <c r="H2" s="340" t="s">
        <v>704</v>
      </c>
      <c r="I2" s="340" t="s">
        <v>705</v>
      </c>
      <c r="K2" s="823" t="s">
        <v>719</v>
      </c>
      <c r="L2" s="810"/>
      <c r="M2" s="810"/>
      <c r="N2" s="495"/>
      <c r="O2" s="495"/>
      <c r="P2" s="495"/>
      <c r="Q2" s="816"/>
    </row>
    <row r="3" spans="1:17" s="609" customFormat="1" ht="12.6" x14ac:dyDescent="0.45">
      <c r="A3" s="796" t="s">
        <v>114</v>
      </c>
      <c r="B3" s="799">
        <v>1990</v>
      </c>
      <c r="C3" s="800">
        <v>2000</v>
      </c>
      <c r="D3" s="800">
        <v>2010</v>
      </c>
      <c r="F3" s="796" t="s">
        <v>114</v>
      </c>
      <c r="G3" s="801">
        <v>1990</v>
      </c>
      <c r="H3" s="801">
        <v>2000</v>
      </c>
      <c r="I3" s="801">
        <v>2010</v>
      </c>
      <c r="K3" s="933" t="s">
        <v>712</v>
      </c>
      <c r="L3" s="803" t="s">
        <v>713</v>
      </c>
      <c r="M3" s="803" t="s">
        <v>44</v>
      </c>
      <c r="N3" s="803" t="s">
        <v>714</v>
      </c>
      <c r="O3" s="803" t="s">
        <v>36</v>
      </c>
      <c r="P3" s="803" t="s">
        <v>52</v>
      </c>
      <c r="Q3" s="934" t="s">
        <v>718</v>
      </c>
    </row>
    <row r="4" spans="1:17" x14ac:dyDescent="0.4">
      <c r="A4" s="703" t="s">
        <v>657</v>
      </c>
      <c r="B4" s="697"/>
      <c r="C4" s="697"/>
      <c r="D4" s="697"/>
      <c r="F4" s="703" t="s">
        <v>657</v>
      </c>
      <c r="G4" s="803"/>
      <c r="H4" s="617"/>
      <c r="I4" s="617"/>
      <c r="K4" s="933">
        <v>1990</v>
      </c>
      <c r="L4" s="935">
        <v>173.24628448290392</v>
      </c>
      <c r="M4" s="935">
        <v>2.7307357200000002</v>
      </c>
      <c r="N4" s="935">
        <v>5.3540831761976602</v>
      </c>
      <c r="O4" s="935">
        <v>266.92697506559563</v>
      </c>
      <c r="P4" s="935">
        <v>0</v>
      </c>
      <c r="Q4" s="937">
        <v>448.25807844469722</v>
      </c>
    </row>
    <row r="5" spans="1:17" x14ac:dyDescent="0.4">
      <c r="A5" t="s">
        <v>658</v>
      </c>
      <c r="B5" s="801">
        <v>0.12</v>
      </c>
      <c r="C5" s="801">
        <v>0.21</v>
      </c>
      <c r="D5" s="801">
        <v>0.34</v>
      </c>
      <c r="F5" s="609" t="s">
        <v>658</v>
      </c>
      <c r="G5" s="803">
        <f>B5*B40*1000/1000000</f>
        <v>2.7307357200000002</v>
      </c>
      <c r="H5" s="803">
        <f t="shared" ref="H5:I20" si="0">C5*C40*1000/1000000</f>
        <v>5.3269469399999982</v>
      </c>
      <c r="I5" s="803">
        <f t="shared" si="0"/>
        <v>10.30320904</v>
      </c>
      <c r="K5" s="933">
        <v>2000</v>
      </c>
      <c r="L5" s="935">
        <v>301.26277913701585</v>
      </c>
      <c r="M5" s="935">
        <v>87.73881167403168</v>
      </c>
      <c r="N5" s="935">
        <v>95.372707323947878</v>
      </c>
      <c r="O5" s="935">
        <v>409.43653256586225</v>
      </c>
      <c r="P5" s="935">
        <v>103.88759736892067</v>
      </c>
      <c r="Q5" s="937">
        <v>997.69842806977829</v>
      </c>
    </row>
    <row r="6" spans="1:17" x14ac:dyDescent="0.4">
      <c r="A6" t="s">
        <v>659</v>
      </c>
      <c r="B6" s="801">
        <v>0.41</v>
      </c>
      <c r="C6" s="801">
        <v>0.37</v>
      </c>
      <c r="D6" s="801">
        <v>0.48</v>
      </c>
      <c r="F6" s="609" t="s">
        <v>659</v>
      </c>
      <c r="G6" s="803">
        <f t="shared" ref="G6:G29" si="1">B6*B41*1000/1000000</f>
        <v>192.97257906999997</v>
      </c>
      <c r="H6" s="803">
        <f t="shared" si="0"/>
        <v>235.22865181</v>
      </c>
      <c r="I6" s="803">
        <f t="shared" si="0"/>
        <v>416.73273120000005</v>
      </c>
      <c r="K6" s="933">
        <v>2010</v>
      </c>
      <c r="L6" s="935">
        <v>665.39983593483646</v>
      </c>
      <c r="M6" s="935">
        <v>93.450869072740019</v>
      </c>
      <c r="N6" s="935">
        <v>229.54050645761944</v>
      </c>
      <c r="O6" s="935">
        <v>592.34619325441486</v>
      </c>
      <c r="P6" s="935">
        <v>225.42076162911468</v>
      </c>
      <c r="Q6" s="937">
        <v>1806.1581663487254</v>
      </c>
    </row>
    <row r="7" spans="1:17" x14ac:dyDescent="0.4">
      <c r="A7" t="s">
        <v>673</v>
      </c>
      <c r="B7" s="801"/>
      <c r="C7" s="801">
        <v>0.27</v>
      </c>
      <c r="D7" s="801">
        <v>0.46</v>
      </c>
      <c r="F7" s="609" t="s">
        <v>673</v>
      </c>
      <c r="G7" s="803">
        <f t="shared" si="1"/>
        <v>0</v>
      </c>
      <c r="H7" s="803">
        <f t="shared" si="0"/>
        <v>53.670801419999997</v>
      </c>
      <c r="I7" s="803">
        <f t="shared" si="0"/>
        <v>121.80990026000002</v>
      </c>
      <c r="K7" s="831" t="s">
        <v>1020</v>
      </c>
      <c r="L7" s="935">
        <v>1163.6089141920775</v>
      </c>
      <c r="M7" s="935">
        <v>91.095822049566053</v>
      </c>
      <c r="N7" s="935">
        <v>769.68828817617793</v>
      </c>
      <c r="O7" s="935">
        <v>1006.7053374257697</v>
      </c>
      <c r="P7" s="935">
        <v>368.74094585048414</v>
      </c>
      <c r="Q7" s="937">
        <v>3399.8393076940752</v>
      </c>
    </row>
    <row r="8" spans="1:17" x14ac:dyDescent="0.4">
      <c r="A8" t="s">
        <v>674</v>
      </c>
      <c r="B8" s="801">
        <v>0.12</v>
      </c>
      <c r="C8" s="801">
        <v>0.21</v>
      </c>
      <c r="D8" s="801">
        <v>0.5</v>
      </c>
      <c r="F8" s="609" t="s">
        <v>674</v>
      </c>
      <c r="G8" s="803">
        <f t="shared" si="1"/>
        <v>37.865070240000009</v>
      </c>
      <c r="H8" s="803">
        <f t="shared" si="0"/>
        <v>88.561788420000013</v>
      </c>
      <c r="I8" s="803">
        <f t="shared" si="0"/>
        <v>277.441508</v>
      </c>
      <c r="K8" s="817"/>
      <c r="L8" s="495"/>
      <c r="M8" s="495"/>
      <c r="N8" s="495"/>
      <c r="O8" s="495"/>
      <c r="P8" s="495"/>
      <c r="Q8" s="816"/>
    </row>
    <row r="9" spans="1:17" x14ac:dyDescent="0.4">
      <c r="A9" t="s">
        <v>675</v>
      </c>
      <c r="B9" s="801"/>
      <c r="C9" s="925"/>
      <c r="D9" s="801">
        <v>0.69</v>
      </c>
      <c r="F9" s="609" t="s">
        <v>675</v>
      </c>
      <c r="G9" s="803">
        <f t="shared" si="1"/>
        <v>0</v>
      </c>
      <c r="H9" s="803">
        <f t="shared" si="0"/>
        <v>0</v>
      </c>
      <c r="I9" s="803">
        <f t="shared" si="0"/>
        <v>109.59362873999997</v>
      </c>
      <c r="K9" s="933" t="s">
        <v>715</v>
      </c>
      <c r="L9" s="803" t="s">
        <v>55</v>
      </c>
      <c r="M9" s="803" t="s">
        <v>58</v>
      </c>
      <c r="N9" s="803" t="s">
        <v>716</v>
      </c>
      <c r="O9" s="803" t="s">
        <v>61</v>
      </c>
      <c r="P9" s="495"/>
      <c r="Q9" s="816"/>
    </row>
    <row r="10" spans="1:17" x14ac:dyDescent="0.4">
      <c r="A10" s="703" t="s">
        <v>676</v>
      </c>
      <c r="B10" s="801"/>
      <c r="C10" s="801"/>
      <c r="D10" s="801"/>
      <c r="F10" s="703" t="s">
        <v>676</v>
      </c>
      <c r="G10" s="803">
        <f t="shared" si="1"/>
        <v>0</v>
      </c>
      <c r="H10" s="803">
        <f t="shared" si="0"/>
        <v>0</v>
      </c>
      <c r="I10" s="803">
        <f t="shared" si="0"/>
        <v>0</v>
      </c>
      <c r="K10" s="933">
        <v>1990</v>
      </c>
      <c r="L10" s="935">
        <v>118.40433994496891</v>
      </c>
      <c r="M10" s="935">
        <v>25.710594558382773</v>
      </c>
      <c r="N10" s="935">
        <v>53.991513668834358</v>
      </c>
      <c r="O10" s="935">
        <v>134.2359452639372</v>
      </c>
      <c r="P10" s="495"/>
      <c r="Q10" s="816"/>
    </row>
    <row r="11" spans="1:17" x14ac:dyDescent="0.4">
      <c r="A11" t="s">
        <v>677</v>
      </c>
      <c r="B11" s="801"/>
      <c r="C11" s="801">
        <v>0.28999999999999998</v>
      </c>
      <c r="D11" s="801">
        <v>0.41</v>
      </c>
      <c r="F11" s="609" t="s">
        <v>677</v>
      </c>
      <c r="G11" s="803">
        <f t="shared" si="1"/>
        <v>0</v>
      </c>
      <c r="H11" s="803">
        <f t="shared" si="0"/>
        <v>24.173561899999999</v>
      </c>
      <c r="I11" s="803">
        <f t="shared" si="0"/>
        <v>42.262586389999996</v>
      </c>
      <c r="K11" s="933">
        <v>2000</v>
      </c>
      <c r="L11" s="935">
        <v>144.33187029958665</v>
      </c>
      <c r="M11" s="935">
        <v>60.133949864604773</v>
      </c>
      <c r="N11" s="935">
        <v>190.81866782144482</v>
      </c>
      <c r="O11" s="935">
        <v>145.8650255596848</v>
      </c>
      <c r="P11" s="495"/>
      <c r="Q11" s="816"/>
    </row>
    <row r="12" spans="1:17" x14ac:dyDescent="0.4">
      <c r="A12" t="s">
        <v>678</v>
      </c>
      <c r="B12" s="801"/>
      <c r="C12" s="801">
        <v>0.28999999999999998</v>
      </c>
      <c r="D12" s="801">
        <v>0.28999999999999998</v>
      </c>
      <c r="F12" s="609" t="s">
        <v>678</v>
      </c>
      <c r="G12" s="803">
        <f t="shared" si="1"/>
        <v>0</v>
      </c>
      <c r="H12" s="803">
        <f t="shared" si="0"/>
        <v>15.935647320000001</v>
      </c>
      <c r="I12" s="803">
        <f t="shared" si="0"/>
        <v>24.506023409999997</v>
      </c>
      <c r="K12" s="933">
        <v>2010</v>
      </c>
      <c r="L12" s="935">
        <v>255.69935484616809</v>
      </c>
      <c r="M12" s="935">
        <v>188.38433629310782</v>
      </c>
      <c r="N12" s="935">
        <v>191.29303471718006</v>
      </c>
      <c r="O12" s="935">
        <v>241.19759553491264</v>
      </c>
      <c r="P12" s="495"/>
      <c r="Q12" s="816"/>
    </row>
    <row r="13" spans="1:17" ht="12.6" thickBot="1" x14ac:dyDescent="0.45">
      <c r="A13" t="s">
        <v>679</v>
      </c>
      <c r="B13" s="801"/>
      <c r="C13" s="801">
        <v>0.28999999999999998</v>
      </c>
      <c r="D13" s="801">
        <v>0.19</v>
      </c>
      <c r="F13" s="609" t="s">
        <v>679</v>
      </c>
      <c r="G13" s="803">
        <f t="shared" si="1"/>
        <v>0</v>
      </c>
      <c r="H13" s="803">
        <f t="shared" si="0"/>
        <v>11.073250090000002</v>
      </c>
      <c r="I13" s="803">
        <f t="shared" si="0"/>
        <v>11.276089220000003</v>
      </c>
      <c r="K13" s="831" t="s">
        <v>1020</v>
      </c>
      <c r="L13" s="936">
        <v>351.04239144771401</v>
      </c>
      <c r="M13" s="935">
        <v>522.7372201815698</v>
      </c>
      <c r="N13" s="935">
        <v>387.76648241173359</v>
      </c>
      <c r="O13" s="935">
        <v>359.09379334704096</v>
      </c>
      <c r="P13" s="818"/>
      <c r="Q13" s="819"/>
    </row>
    <row r="14" spans="1:17" x14ac:dyDescent="0.4">
      <c r="A14" t="s">
        <v>680</v>
      </c>
      <c r="B14" s="801"/>
      <c r="C14" s="801">
        <v>0.28999999999999998</v>
      </c>
      <c r="D14" s="801">
        <v>0.33</v>
      </c>
      <c r="F14" s="609" t="s">
        <v>680</v>
      </c>
      <c r="G14" s="803">
        <f t="shared" si="1"/>
        <v>0</v>
      </c>
      <c r="H14" s="803">
        <f t="shared" si="0"/>
        <v>8.1652043299999999</v>
      </c>
      <c r="I14" s="803">
        <f t="shared" si="0"/>
        <v>11.560933890000001</v>
      </c>
      <c r="K14" s="827"/>
      <c r="L14" s="826"/>
      <c r="M14" s="826"/>
      <c r="N14" s="826"/>
      <c r="O14" s="826"/>
      <c r="P14" s="826"/>
      <c r="Q14" s="826"/>
    </row>
    <row r="15" spans="1:17" x14ac:dyDescent="0.4">
      <c r="A15" t="s">
        <v>681</v>
      </c>
      <c r="B15" s="801"/>
      <c r="C15" s="801">
        <v>0.28999999999999998</v>
      </c>
      <c r="D15" s="801">
        <v>0.18</v>
      </c>
      <c r="F15" s="609" t="s">
        <v>681</v>
      </c>
      <c r="G15" s="803">
        <f t="shared" si="1"/>
        <v>0</v>
      </c>
      <c r="H15" s="803">
        <f t="shared" si="0"/>
        <v>23.591643839999993</v>
      </c>
      <c r="I15" s="803">
        <f t="shared" si="0"/>
        <v>22.792151879999995</v>
      </c>
      <c r="K15" s="811"/>
      <c r="L15" s="811"/>
      <c r="M15" s="811"/>
      <c r="N15" s="811"/>
      <c r="O15" s="811"/>
      <c r="P15" s="811"/>
      <c r="Q15" s="811"/>
    </row>
    <row r="16" spans="1:17" x14ac:dyDescent="0.4">
      <c r="A16" s="703" t="s">
        <v>682</v>
      </c>
      <c r="B16" s="801"/>
      <c r="C16" s="801"/>
      <c r="D16" s="801"/>
      <c r="F16" s="703" t="s">
        <v>682</v>
      </c>
      <c r="G16" s="803">
        <f t="shared" si="1"/>
        <v>0</v>
      </c>
      <c r="H16" s="803">
        <f t="shared" si="0"/>
        <v>0</v>
      </c>
      <c r="I16" s="803">
        <f t="shared" si="0"/>
        <v>0</v>
      </c>
      <c r="K16" s="811"/>
      <c r="L16" s="828"/>
      <c r="M16" s="828"/>
      <c r="N16" s="828"/>
      <c r="O16" s="828"/>
      <c r="P16" s="828"/>
      <c r="Q16" s="828"/>
    </row>
    <row r="17" spans="1:17" x14ac:dyDescent="0.4">
      <c r="A17" t="s">
        <v>44</v>
      </c>
      <c r="B17" s="801"/>
      <c r="C17" s="801">
        <v>0.38</v>
      </c>
      <c r="D17" s="801">
        <v>0.37</v>
      </c>
      <c r="F17" s="609" t="s">
        <v>44</v>
      </c>
      <c r="G17" s="803">
        <f t="shared" si="1"/>
        <v>0</v>
      </c>
      <c r="H17" s="803">
        <f t="shared" si="0"/>
        <v>78.766406079999996</v>
      </c>
      <c r="I17" s="803">
        <f t="shared" si="0"/>
        <v>75.080239790000007</v>
      </c>
      <c r="K17" s="811"/>
      <c r="L17" s="828"/>
      <c r="M17" s="828"/>
      <c r="N17" s="828"/>
      <c r="O17" s="828"/>
      <c r="P17" s="828"/>
      <c r="Q17" s="828"/>
    </row>
    <row r="18" spans="1:17" x14ac:dyDescent="0.4">
      <c r="A18" t="s">
        <v>683</v>
      </c>
      <c r="B18" s="801"/>
      <c r="C18" s="801">
        <v>0.64</v>
      </c>
      <c r="D18" s="801">
        <v>0.48</v>
      </c>
      <c r="F18" s="609" t="s">
        <v>683</v>
      </c>
      <c r="G18" s="803">
        <f t="shared" si="1"/>
        <v>0</v>
      </c>
      <c r="H18" s="803">
        <f t="shared" si="0"/>
        <v>47.124947840000004</v>
      </c>
      <c r="I18" s="803">
        <f t="shared" si="0"/>
        <v>38.556407999999998</v>
      </c>
      <c r="K18" s="811"/>
      <c r="L18" s="828"/>
      <c r="M18" s="828"/>
      <c r="N18" s="828"/>
      <c r="O18" s="828"/>
      <c r="P18" s="828"/>
      <c r="Q18" s="828"/>
    </row>
    <row r="19" spans="1:17" x14ac:dyDescent="0.4">
      <c r="A19" t="s">
        <v>684</v>
      </c>
      <c r="B19" s="801"/>
      <c r="C19" s="801">
        <v>0.52</v>
      </c>
      <c r="D19" s="801">
        <v>0.47</v>
      </c>
      <c r="F19" s="609" t="s">
        <v>684</v>
      </c>
      <c r="G19" s="803">
        <f t="shared" si="1"/>
        <v>0</v>
      </c>
      <c r="H19" s="803">
        <f t="shared" si="0"/>
        <v>50.314897359999989</v>
      </c>
      <c r="I19" s="803">
        <f t="shared" si="0"/>
        <v>50.040834669999988</v>
      </c>
      <c r="K19" s="826"/>
      <c r="L19" s="826"/>
      <c r="M19" s="826"/>
      <c r="N19" s="826"/>
      <c r="O19" s="826"/>
      <c r="P19" s="826"/>
      <c r="Q19" s="826"/>
    </row>
    <row r="20" spans="1:17" x14ac:dyDescent="0.4">
      <c r="A20" t="s">
        <v>685</v>
      </c>
      <c r="B20" s="801">
        <v>0.45</v>
      </c>
      <c r="C20" s="801">
        <v>0.56000000000000005</v>
      </c>
      <c r="D20" s="801">
        <v>0.59</v>
      </c>
      <c r="F20" s="609" t="s">
        <v>685</v>
      </c>
      <c r="G20" s="803">
        <f t="shared" si="1"/>
        <v>58.54346910000001</v>
      </c>
      <c r="H20" s="803">
        <f t="shared" si="0"/>
        <v>77.869655359999982</v>
      </c>
      <c r="I20" s="803">
        <f t="shared" si="0"/>
        <v>87.294849479999968</v>
      </c>
      <c r="K20" s="811"/>
      <c r="L20" s="811"/>
      <c r="M20" s="811"/>
      <c r="N20" s="826"/>
      <c r="O20" s="826"/>
      <c r="P20" s="826"/>
      <c r="Q20" s="826"/>
    </row>
    <row r="21" spans="1:17" x14ac:dyDescent="0.4">
      <c r="A21" s="703" t="s">
        <v>686</v>
      </c>
      <c r="B21" s="801"/>
      <c r="C21" s="801"/>
      <c r="D21" s="801"/>
      <c r="F21" s="703" t="s">
        <v>686</v>
      </c>
      <c r="G21" s="803">
        <f t="shared" si="1"/>
        <v>0</v>
      </c>
      <c r="H21" s="803">
        <f t="shared" ref="H21:H29" si="2">C21*C56*1000/1000000</f>
        <v>0</v>
      </c>
      <c r="I21" s="803">
        <f t="shared" ref="I21:I29" si="3">D21*D56*1000/1000000</f>
        <v>0</v>
      </c>
      <c r="K21" s="811"/>
      <c r="L21" s="828"/>
      <c r="M21" s="828"/>
      <c r="N21" s="828"/>
      <c r="O21" s="826"/>
      <c r="P21" s="826"/>
      <c r="Q21" s="826"/>
    </row>
    <row r="22" spans="1:17" x14ac:dyDescent="0.4">
      <c r="A22" t="s">
        <v>687</v>
      </c>
      <c r="B22" s="801"/>
      <c r="C22" s="801">
        <v>0.49</v>
      </c>
      <c r="D22" s="801">
        <v>0.78</v>
      </c>
      <c r="F22" s="609" t="s">
        <v>687</v>
      </c>
      <c r="G22" s="803">
        <f t="shared" si="1"/>
        <v>0</v>
      </c>
      <c r="H22" s="803">
        <f t="shared" si="2"/>
        <v>11.808573699999998</v>
      </c>
      <c r="I22" s="803">
        <f t="shared" si="3"/>
        <v>22.058474100000002</v>
      </c>
      <c r="K22" s="811"/>
      <c r="L22" s="828"/>
      <c r="M22" s="828"/>
      <c r="N22" s="828"/>
      <c r="O22" s="826"/>
      <c r="P22" s="826"/>
      <c r="Q22" s="826"/>
    </row>
    <row r="23" spans="1:17" x14ac:dyDescent="0.4">
      <c r="A23" t="s">
        <v>688</v>
      </c>
      <c r="B23" s="801"/>
      <c r="C23" s="801">
        <v>0.21</v>
      </c>
      <c r="D23" s="801">
        <v>0.55000000000000004</v>
      </c>
      <c r="F23" s="609" t="s">
        <v>688</v>
      </c>
      <c r="G23" s="803">
        <f t="shared" si="1"/>
        <v>0</v>
      </c>
      <c r="H23" s="803">
        <f t="shared" si="2"/>
        <v>19.908131039999997</v>
      </c>
      <c r="I23" s="803">
        <f t="shared" si="3"/>
        <v>63.637946350000014</v>
      </c>
      <c r="K23" s="811"/>
      <c r="L23" s="828"/>
      <c r="M23" s="828"/>
      <c r="N23" s="828"/>
      <c r="O23" s="826"/>
      <c r="P23" s="826"/>
      <c r="Q23" s="826"/>
    </row>
    <row r="24" spans="1:17" x14ac:dyDescent="0.4">
      <c r="A24" t="s">
        <v>689</v>
      </c>
      <c r="B24" s="801"/>
      <c r="C24" s="801">
        <v>0.26</v>
      </c>
      <c r="D24" s="801">
        <v>0.43</v>
      </c>
      <c r="F24" s="609" t="s">
        <v>689</v>
      </c>
      <c r="G24" s="803">
        <f t="shared" si="1"/>
        <v>0</v>
      </c>
      <c r="H24" s="803">
        <f t="shared" si="2"/>
        <v>72.322104140000022</v>
      </c>
      <c r="I24" s="803">
        <f t="shared" si="3"/>
        <v>140.00680503000004</v>
      </c>
      <c r="K24" s="811"/>
      <c r="L24" s="811"/>
      <c r="M24" s="811"/>
      <c r="N24" s="826"/>
      <c r="O24" s="826"/>
      <c r="P24" s="826"/>
      <c r="Q24" s="826"/>
    </row>
    <row r="25" spans="1:17" x14ac:dyDescent="0.4">
      <c r="A25" t="s">
        <v>690</v>
      </c>
      <c r="B25" s="801">
        <v>0.7</v>
      </c>
      <c r="C25" s="801">
        <v>0.65</v>
      </c>
      <c r="D25" s="801">
        <v>0.96</v>
      </c>
      <c r="F25" s="609" t="s">
        <v>690</v>
      </c>
      <c r="G25" s="803">
        <f t="shared" si="1"/>
        <v>148.03217239999998</v>
      </c>
      <c r="H25" s="803">
        <f t="shared" si="2"/>
        <v>160.85644250000001</v>
      </c>
      <c r="I25" s="803">
        <f t="shared" si="3"/>
        <v>265.98690815999998</v>
      </c>
      <c r="K25" s="811"/>
      <c r="L25" s="811"/>
      <c r="M25" s="811"/>
      <c r="N25" s="826"/>
      <c r="O25" s="826"/>
      <c r="P25" s="826"/>
      <c r="Q25" s="826"/>
    </row>
    <row r="26" spans="1:17" x14ac:dyDescent="0.4">
      <c r="A26" s="703" t="s">
        <v>691</v>
      </c>
      <c r="B26" s="801"/>
      <c r="C26" s="801"/>
      <c r="D26" s="801"/>
      <c r="F26" s="703" t="s">
        <v>691</v>
      </c>
      <c r="G26" s="803">
        <f t="shared" si="1"/>
        <v>0</v>
      </c>
      <c r="H26" s="803">
        <f t="shared" si="2"/>
        <v>0</v>
      </c>
      <c r="I26" s="803">
        <f t="shared" si="3"/>
        <v>0</v>
      </c>
      <c r="K26" s="827"/>
      <c r="L26" s="811"/>
      <c r="M26" s="811"/>
      <c r="N26" s="826"/>
      <c r="O26" s="826"/>
      <c r="P26" s="826"/>
      <c r="Q26" s="826"/>
    </row>
    <row r="27" spans="1:17" x14ac:dyDescent="0.4">
      <c r="A27" t="s">
        <v>692</v>
      </c>
      <c r="B27" s="801">
        <v>0.47</v>
      </c>
      <c r="C27" s="801">
        <v>0.69</v>
      </c>
      <c r="D27" s="801">
        <v>0.6</v>
      </c>
      <c r="F27" s="609" t="s">
        <v>692</v>
      </c>
      <c r="G27" s="803">
        <f t="shared" si="1"/>
        <v>8.1961725499999982</v>
      </c>
      <c r="H27" s="803">
        <f t="shared" si="2"/>
        <v>13.371955049999999</v>
      </c>
      <c r="I27" s="803">
        <f t="shared" si="3"/>
        <v>13.5645294</v>
      </c>
      <c r="K27" s="811"/>
      <c r="L27" s="811"/>
      <c r="M27" s="811"/>
      <c r="N27" s="826"/>
      <c r="O27" s="826"/>
      <c r="P27" s="826"/>
      <c r="Q27" s="826"/>
    </row>
    <row r="28" spans="1:17" x14ac:dyDescent="0.4">
      <c r="A28" t="s">
        <v>693</v>
      </c>
      <c r="B28" s="801"/>
      <c r="C28" s="925"/>
      <c r="D28" s="801">
        <v>1.18</v>
      </c>
      <c r="F28" s="609" t="s">
        <v>693</v>
      </c>
      <c r="G28" s="803">
        <f t="shared" si="1"/>
        <v>0</v>
      </c>
      <c r="H28" s="803">
        <f t="shared" si="2"/>
        <v>0</v>
      </c>
      <c r="I28" s="803">
        <f t="shared" si="3"/>
        <v>2.0131920999999999</v>
      </c>
      <c r="K28" s="811"/>
      <c r="L28" s="828"/>
      <c r="M28" s="828"/>
      <c r="N28" s="828"/>
      <c r="O28" s="828"/>
      <c r="P28" s="828"/>
      <c r="Q28" s="828"/>
    </row>
    <row r="29" spans="1:17" x14ac:dyDescent="0.4">
      <c r="A29" t="s">
        <v>694</v>
      </c>
      <c r="B29" s="801"/>
      <c r="C29" s="925"/>
      <c r="D29" s="801">
        <v>1.35</v>
      </c>
      <c r="F29" s="609" t="s">
        <v>694</v>
      </c>
      <c r="G29" s="803">
        <f t="shared" si="1"/>
        <v>0</v>
      </c>
      <c r="H29" s="803">
        <f t="shared" si="2"/>
        <v>0</v>
      </c>
      <c r="I29" s="803">
        <f t="shared" si="3"/>
        <v>0.39420809999999995</v>
      </c>
      <c r="K29" s="811"/>
      <c r="L29" s="828"/>
      <c r="M29" s="828"/>
      <c r="N29" s="828"/>
      <c r="O29" s="828"/>
      <c r="P29" s="828"/>
      <c r="Q29" s="828"/>
    </row>
    <row r="30" spans="1:17" x14ac:dyDescent="0.4">
      <c r="K30" s="811"/>
      <c r="L30" s="828"/>
      <c r="M30" s="828"/>
      <c r="N30" s="828"/>
      <c r="O30" s="828"/>
      <c r="P30" s="828"/>
      <c r="Q30" s="828"/>
    </row>
    <row r="31" spans="1:17" ht="13.8" x14ac:dyDescent="0.45">
      <c r="A31" s="804" t="s">
        <v>706</v>
      </c>
      <c r="F31" s="820" t="s">
        <v>720</v>
      </c>
      <c r="G31" s="824">
        <f>SUM(G5:G29)</f>
        <v>448.34019907999993</v>
      </c>
      <c r="H31" s="824">
        <f>SUM(H5:H29)</f>
        <v>998.07060913999999</v>
      </c>
      <c r="I31" s="824">
        <f>SUM(I5:I29)</f>
        <v>1806.9131572100002</v>
      </c>
      <c r="K31" s="826"/>
      <c r="L31" s="826"/>
      <c r="M31" s="826"/>
      <c r="N31" s="826"/>
      <c r="O31" s="826"/>
      <c r="P31" s="826"/>
      <c r="Q31" s="826"/>
    </row>
    <row r="32" spans="1:17" x14ac:dyDescent="0.4">
      <c r="K32" s="811"/>
      <c r="L32" s="826"/>
      <c r="M32" s="826"/>
      <c r="N32" s="826"/>
      <c r="O32" s="826"/>
      <c r="P32" s="826"/>
      <c r="Q32" s="826"/>
    </row>
    <row r="33" spans="1:17" x14ac:dyDescent="0.4">
      <c r="K33" s="811"/>
      <c r="L33" s="828"/>
      <c r="M33" s="828"/>
      <c r="N33" s="828"/>
      <c r="O33" s="828"/>
      <c r="P33" s="826"/>
      <c r="Q33" s="826"/>
    </row>
    <row r="34" spans="1:17" x14ac:dyDescent="0.4">
      <c r="K34" s="811"/>
      <c r="L34" s="828"/>
      <c r="M34" s="828"/>
      <c r="N34" s="828"/>
      <c r="O34" s="828"/>
      <c r="P34" s="826"/>
      <c r="Q34" s="826"/>
    </row>
    <row r="35" spans="1:17" s="609" customFormat="1" x14ac:dyDescent="0.4">
      <c r="K35" s="811"/>
      <c r="L35" s="828"/>
      <c r="M35" s="828"/>
      <c r="N35" s="828"/>
      <c r="O35" s="828"/>
      <c r="P35" s="826"/>
      <c r="Q35" s="826"/>
    </row>
    <row r="36" spans="1:17" s="609" customFormat="1" x14ac:dyDescent="0.4"/>
    <row r="37" spans="1:17" x14ac:dyDescent="0.4">
      <c r="A37" s="1" t="s">
        <v>695</v>
      </c>
    </row>
    <row r="38" spans="1:17" s="609" customFormat="1" x14ac:dyDescent="0.4">
      <c r="A38" s="806" t="s">
        <v>268</v>
      </c>
      <c r="B38" s="805">
        <v>1990</v>
      </c>
      <c r="C38" s="805">
        <v>2000</v>
      </c>
      <c r="D38" s="805">
        <v>2010</v>
      </c>
      <c r="E38" s="805">
        <v>2015</v>
      </c>
      <c r="F38" s="805">
        <v>2020</v>
      </c>
      <c r="G38" s="805">
        <v>2025</v>
      </c>
      <c r="H38" s="805">
        <v>2030</v>
      </c>
      <c r="I38" s="805">
        <v>2035</v>
      </c>
      <c r="J38" s="805">
        <v>2040</v>
      </c>
      <c r="K38" s="805">
        <v>2045</v>
      </c>
      <c r="L38" s="805">
        <v>2050</v>
      </c>
    </row>
    <row r="39" spans="1:17" s="609" customFormat="1" x14ac:dyDescent="0.4">
      <c r="A39" s="798" t="s">
        <v>696</v>
      </c>
      <c r="B39" s="802">
        <v>1039593.6250000001</v>
      </c>
      <c r="C39" s="802">
        <v>1399722.3049999999</v>
      </c>
      <c r="D39" s="802">
        <v>1877015.2389999998</v>
      </c>
      <c r="E39" s="802">
        <v>2119873.398</v>
      </c>
      <c r="F39" s="802">
        <v>2361464.4159999997</v>
      </c>
      <c r="G39" s="802">
        <v>2589655.469</v>
      </c>
      <c r="H39" s="802">
        <v>2802261.8929999997</v>
      </c>
      <c r="I39" s="802">
        <v>2998511.3470000001</v>
      </c>
      <c r="J39" s="802">
        <v>3176508.5789999999</v>
      </c>
      <c r="K39" s="802">
        <v>3335589.4009999991</v>
      </c>
      <c r="L39" s="802">
        <v>3479058.5589999999</v>
      </c>
    </row>
    <row r="40" spans="1:17" s="609" customFormat="1" x14ac:dyDescent="0.4">
      <c r="A40" s="797" t="s">
        <v>658</v>
      </c>
      <c r="B40" s="802">
        <v>22756.131000000001</v>
      </c>
      <c r="C40" s="802">
        <v>25366.413999999997</v>
      </c>
      <c r="D40" s="802">
        <v>30303.556</v>
      </c>
      <c r="E40" s="802">
        <v>33056.520000000004</v>
      </c>
      <c r="F40" s="802">
        <v>35681.394</v>
      </c>
      <c r="G40" s="802">
        <v>38431.899999999994</v>
      </c>
      <c r="H40" s="802">
        <v>41413.683000000005</v>
      </c>
      <c r="I40" s="802">
        <v>44820.320999999996</v>
      </c>
      <c r="J40" s="802">
        <v>48722.481</v>
      </c>
      <c r="K40" s="802">
        <v>52952.012000000002</v>
      </c>
      <c r="L40" s="802">
        <v>57086.385000000002</v>
      </c>
    </row>
    <row r="41" spans="1:17" s="609" customFormat="1" x14ac:dyDescent="0.4">
      <c r="A41" s="797" t="s">
        <v>659</v>
      </c>
      <c r="B41" s="802">
        <v>470664.82699999993</v>
      </c>
      <c r="C41" s="802">
        <v>635753.11300000001</v>
      </c>
      <c r="D41" s="802">
        <v>868193.19000000006</v>
      </c>
      <c r="E41" s="802">
        <v>977010.12699999998</v>
      </c>
      <c r="F41" s="802">
        <v>1078434.915</v>
      </c>
      <c r="G41" s="802">
        <v>1160856.7280000001</v>
      </c>
      <c r="H41" s="802">
        <v>1222479.2330000002</v>
      </c>
      <c r="I41" s="802">
        <v>1263838.1399999999</v>
      </c>
      <c r="J41" s="802">
        <v>1286455.2230000002</v>
      </c>
      <c r="K41" s="802">
        <v>1293158.1169999996</v>
      </c>
      <c r="L41" s="802">
        <v>1290701.4550000001</v>
      </c>
    </row>
    <row r="42" spans="1:17" s="609" customFormat="1" x14ac:dyDescent="0.4">
      <c r="A42" s="797" t="s">
        <v>673</v>
      </c>
      <c r="B42" s="802">
        <v>139695.11600000001</v>
      </c>
      <c r="C42" s="802">
        <v>198780.74599999998</v>
      </c>
      <c r="D42" s="802">
        <v>264804.13100000005</v>
      </c>
      <c r="E42" s="802">
        <v>299411.80499999993</v>
      </c>
      <c r="F42" s="802">
        <v>334418.88099999999</v>
      </c>
      <c r="G42" s="802">
        <v>369699.16399999999</v>
      </c>
      <c r="H42" s="802">
        <v>404496.913</v>
      </c>
      <c r="I42" s="802">
        <v>438119.47099999996</v>
      </c>
      <c r="J42" s="802">
        <v>469950.11499999999</v>
      </c>
      <c r="K42" s="802">
        <v>499509.31100000005</v>
      </c>
      <c r="L42" s="802">
        <v>526779.81200000003</v>
      </c>
    </row>
    <row r="43" spans="1:17" s="609" customFormat="1" x14ac:dyDescent="0.4">
      <c r="A43" s="797" t="s">
        <v>674</v>
      </c>
      <c r="B43" s="802">
        <v>315542.25200000009</v>
      </c>
      <c r="C43" s="802">
        <v>421722.80200000008</v>
      </c>
      <c r="D43" s="802">
        <v>554883.01599999995</v>
      </c>
      <c r="E43" s="802">
        <v>628750.99600000004</v>
      </c>
      <c r="F43" s="802">
        <v>709387.96299999999</v>
      </c>
      <c r="G43" s="802">
        <v>796891.55799999996</v>
      </c>
      <c r="H43" s="802">
        <v>890023.77199999988</v>
      </c>
      <c r="I43" s="802">
        <v>987592.18699999992</v>
      </c>
      <c r="J43" s="802">
        <v>1087106.273</v>
      </c>
      <c r="K43" s="802">
        <v>1185987.1689999998</v>
      </c>
      <c r="L43" s="802">
        <v>1281572.2929999998</v>
      </c>
    </row>
    <row r="44" spans="1:17" s="609" customFormat="1" x14ac:dyDescent="0.4">
      <c r="A44" s="797" t="s">
        <v>675</v>
      </c>
      <c r="B44" s="802">
        <v>90935.299000000014</v>
      </c>
      <c r="C44" s="802">
        <v>118099.23</v>
      </c>
      <c r="D44" s="802">
        <v>158831.34599999996</v>
      </c>
      <c r="E44" s="802">
        <v>181643.95</v>
      </c>
      <c r="F44" s="802">
        <v>203541.26300000001</v>
      </c>
      <c r="G44" s="802">
        <v>223776.11900000001</v>
      </c>
      <c r="H44" s="802">
        <v>243848.29199999996</v>
      </c>
      <c r="I44" s="802">
        <v>264141.228</v>
      </c>
      <c r="J44" s="802">
        <v>284274.48699999996</v>
      </c>
      <c r="K44" s="802">
        <v>303982.79200000002</v>
      </c>
      <c r="L44" s="802">
        <v>322918.614</v>
      </c>
    </row>
    <row r="45" spans="1:17" s="609" customFormat="1" x14ac:dyDescent="0.4">
      <c r="A45" s="798" t="s">
        <v>697</v>
      </c>
      <c r="B45" s="802">
        <v>200111.29599999997</v>
      </c>
      <c r="C45" s="802">
        <v>285997.61199999996</v>
      </c>
      <c r="D45" s="802">
        <v>408587.04499999993</v>
      </c>
      <c r="E45" s="802">
        <v>491531.09200000006</v>
      </c>
      <c r="F45" s="802">
        <v>587737.79300000006</v>
      </c>
      <c r="G45" s="802">
        <v>698148.94299999997</v>
      </c>
      <c r="H45" s="802">
        <v>824013.80099999998</v>
      </c>
      <c r="I45" s="802">
        <v>966329.88500000001</v>
      </c>
      <c r="J45" s="802">
        <v>1125161.5150000001</v>
      </c>
      <c r="K45" s="802">
        <v>1299953.2489999998</v>
      </c>
      <c r="L45" s="802">
        <v>1488920.0449999999</v>
      </c>
    </row>
    <row r="46" spans="1:17" s="609" customFormat="1" x14ac:dyDescent="0.4">
      <c r="A46" s="797" t="s">
        <v>677</v>
      </c>
      <c r="B46" s="802">
        <v>64574.402999999998</v>
      </c>
      <c r="C46" s="802">
        <v>83357.11</v>
      </c>
      <c r="D46" s="802">
        <v>103079.47899999999</v>
      </c>
      <c r="E46" s="802">
        <v>115704.57500000001</v>
      </c>
      <c r="F46" s="802">
        <v>129068.21799999999</v>
      </c>
      <c r="G46" s="802">
        <v>143026.18</v>
      </c>
      <c r="H46" s="802">
        <v>157848.576</v>
      </c>
      <c r="I46" s="802">
        <v>174104.402</v>
      </c>
      <c r="J46" s="802">
        <v>192031.674</v>
      </c>
      <c r="K46" s="802">
        <v>211178.76699999999</v>
      </c>
      <c r="L46" s="802">
        <v>230583.92299999998</v>
      </c>
    </row>
    <row r="47" spans="1:17" s="609" customFormat="1" x14ac:dyDescent="0.4">
      <c r="A47" s="797" t="s">
        <v>678</v>
      </c>
      <c r="B47" s="802">
        <v>35850.678000000007</v>
      </c>
      <c r="C47" s="802">
        <v>54950.508000000002</v>
      </c>
      <c r="D47" s="802">
        <v>84503.528999999995</v>
      </c>
      <c r="E47" s="802">
        <v>106095.60400000001</v>
      </c>
      <c r="F47" s="802">
        <v>132520.36400000003</v>
      </c>
      <c r="G47" s="802">
        <v>164482.084</v>
      </c>
      <c r="H47" s="802">
        <v>202579.19399999999</v>
      </c>
      <c r="I47" s="802">
        <v>247131.19700000001</v>
      </c>
      <c r="J47" s="802">
        <v>298002.53700000001</v>
      </c>
      <c r="K47" s="802">
        <v>355029.93699999998</v>
      </c>
      <c r="L47" s="802">
        <v>418216.58900000004</v>
      </c>
    </row>
    <row r="48" spans="1:17" s="609" customFormat="1" x14ac:dyDescent="0.4">
      <c r="A48" s="797" t="s">
        <v>679</v>
      </c>
      <c r="B48" s="802">
        <v>24274.759000000002</v>
      </c>
      <c r="C48" s="802">
        <v>38183.621000000006</v>
      </c>
      <c r="D48" s="802">
        <v>59347.838000000003</v>
      </c>
      <c r="E48" s="802">
        <v>73632.499000000011</v>
      </c>
      <c r="F48" s="802">
        <v>90619.3</v>
      </c>
      <c r="G48" s="802">
        <v>110578.74100000001</v>
      </c>
      <c r="H48" s="802">
        <v>133727.54400000002</v>
      </c>
      <c r="I48" s="802">
        <v>160149.59</v>
      </c>
      <c r="J48" s="802">
        <v>189707.59099999999</v>
      </c>
      <c r="K48" s="802">
        <v>222156.04399999997</v>
      </c>
      <c r="L48" s="802">
        <v>257253.52100000001</v>
      </c>
    </row>
    <row r="49" spans="1:12" s="609" customFormat="1" x14ac:dyDescent="0.4">
      <c r="A49" s="797" t="s">
        <v>680</v>
      </c>
      <c r="B49" s="802">
        <v>20912.449999999997</v>
      </c>
      <c r="C49" s="802">
        <v>28155.877</v>
      </c>
      <c r="D49" s="802">
        <v>35033.133000000002</v>
      </c>
      <c r="E49" s="802">
        <v>39358</v>
      </c>
      <c r="F49" s="802">
        <v>43688.186999999998</v>
      </c>
      <c r="G49" s="802">
        <v>47899.965999999993</v>
      </c>
      <c r="H49" s="802">
        <v>51909.442999999999</v>
      </c>
      <c r="I49" s="802">
        <v>55757.861000000004</v>
      </c>
      <c r="J49" s="802">
        <v>59431.696000000004</v>
      </c>
      <c r="K49" s="802">
        <v>62936.120999999999</v>
      </c>
      <c r="L49" s="802">
        <v>66231.498999999996</v>
      </c>
    </row>
    <row r="50" spans="1:12" s="609" customFormat="1" x14ac:dyDescent="0.4">
      <c r="A50" s="797" t="s">
        <v>681</v>
      </c>
      <c r="B50" s="802">
        <v>54499.006000000008</v>
      </c>
      <c r="C50" s="802">
        <v>81350.495999999985</v>
      </c>
      <c r="D50" s="802">
        <v>126623.06599999996</v>
      </c>
      <c r="E50" s="802">
        <v>156740.41400000002</v>
      </c>
      <c r="F50" s="802">
        <v>191841.72399999999</v>
      </c>
      <c r="G50" s="802">
        <v>232161.97199999998</v>
      </c>
      <c r="H50" s="802">
        <v>277949.04399999999</v>
      </c>
      <c r="I50" s="802">
        <v>329186.83499999996</v>
      </c>
      <c r="J50" s="802">
        <v>385988.01699999999</v>
      </c>
      <c r="K50" s="802">
        <v>448652.38</v>
      </c>
      <c r="L50" s="802">
        <v>516634.51300000004</v>
      </c>
    </row>
    <row r="51" spans="1:12" s="609" customFormat="1" x14ac:dyDescent="0.4">
      <c r="A51" s="798" t="s">
        <v>698</v>
      </c>
      <c r="B51" s="802">
        <v>504664.99299999996</v>
      </c>
      <c r="C51" s="802">
        <v>516725.12099999993</v>
      </c>
      <c r="D51" s="802">
        <v>537672.64999999991</v>
      </c>
      <c r="E51" s="802">
        <v>547147.21299999999</v>
      </c>
      <c r="F51" s="802">
        <v>556684.03899999999</v>
      </c>
      <c r="G51" s="802">
        <v>565025.74900000007</v>
      </c>
      <c r="H51" s="802">
        <v>572890.31400000001</v>
      </c>
      <c r="I51" s="802">
        <v>580281.84100000001</v>
      </c>
      <c r="J51" s="802">
        <v>587458.83899999992</v>
      </c>
      <c r="K51" s="802">
        <v>593911.2919999999</v>
      </c>
      <c r="L51" s="802">
        <v>598857.027</v>
      </c>
    </row>
    <row r="52" spans="1:12" s="609" customFormat="1" x14ac:dyDescent="0.4">
      <c r="A52" s="797" t="s">
        <v>44</v>
      </c>
      <c r="B52" s="802">
        <v>210662.943</v>
      </c>
      <c r="C52" s="802">
        <v>207280.016</v>
      </c>
      <c r="D52" s="802">
        <v>202919.56700000001</v>
      </c>
      <c r="E52" s="802">
        <v>203146.39599999998</v>
      </c>
      <c r="F52" s="802">
        <v>203295.84100000001</v>
      </c>
      <c r="G52" s="802">
        <v>203359.67600000001</v>
      </c>
      <c r="H52" s="802">
        <v>203271.11800000002</v>
      </c>
      <c r="I52" s="802">
        <v>203286.29800000001</v>
      </c>
      <c r="J52" s="802">
        <v>203812.35</v>
      </c>
      <c r="K52" s="802">
        <v>204645.37899999996</v>
      </c>
      <c r="L52" s="802">
        <v>205314.04199999999</v>
      </c>
    </row>
    <row r="53" spans="1:12" s="609" customFormat="1" x14ac:dyDescent="0.4">
      <c r="A53" s="797" t="s">
        <v>683</v>
      </c>
      <c r="B53" s="802">
        <v>71001.673999999999</v>
      </c>
      <c r="C53" s="802">
        <v>73632.731</v>
      </c>
      <c r="D53" s="802">
        <v>80325.850000000006</v>
      </c>
      <c r="E53" s="802">
        <v>83942.644</v>
      </c>
      <c r="F53" s="802">
        <v>87488.312000000005</v>
      </c>
      <c r="G53" s="802">
        <v>90891.788000000015</v>
      </c>
      <c r="H53" s="802">
        <v>94052.644</v>
      </c>
      <c r="I53" s="802">
        <v>96958.527999999991</v>
      </c>
      <c r="J53" s="802">
        <v>99714.504000000001</v>
      </c>
      <c r="K53" s="802">
        <v>102377.41399999999</v>
      </c>
      <c r="L53" s="802">
        <v>104901.70700000001</v>
      </c>
    </row>
    <row r="54" spans="1:12" s="609" customFormat="1" x14ac:dyDescent="0.4">
      <c r="A54" s="797" t="s">
        <v>684</v>
      </c>
      <c r="B54" s="802">
        <v>92903.777999999991</v>
      </c>
      <c r="C54" s="802">
        <v>96759.417999999991</v>
      </c>
      <c r="D54" s="802">
        <v>106469.86099999999</v>
      </c>
      <c r="E54" s="802">
        <v>107617.60900000001</v>
      </c>
      <c r="F54" s="802">
        <v>109342.163</v>
      </c>
      <c r="G54" s="802">
        <v>110832.15</v>
      </c>
      <c r="H54" s="802">
        <v>112280.379</v>
      </c>
      <c r="I54" s="802">
        <v>113554.466</v>
      </c>
      <c r="J54" s="802">
        <v>114554.22100000001</v>
      </c>
      <c r="K54" s="802">
        <v>115104.57300000002</v>
      </c>
      <c r="L54" s="802">
        <v>115020.611</v>
      </c>
    </row>
    <row r="55" spans="1:12" s="609" customFormat="1" x14ac:dyDescent="0.4">
      <c r="A55" s="797" t="s">
        <v>685</v>
      </c>
      <c r="B55" s="802">
        <v>130096.59800000001</v>
      </c>
      <c r="C55" s="802">
        <v>139052.95599999998</v>
      </c>
      <c r="D55" s="802">
        <v>147957.37199999997</v>
      </c>
      <c r="E55" s="802">
        <v>152440.56400000001</v>
      </c>
      <c r="F55" s="802">
        <v>156557.72299999997</v>
      </c>
      <c r="G55" s="802">
        <v>159942.13500000001</v>
      </c>
      <c r="H55" s="802">
        <v>163286.17300000001</v>
      </c>
      <c r="I55" s="802">
        <v>166482.549</v>
      </c>
      <c r="J55" s="802">
        <v>169377.76399999997</v>
      </c>
      <c r="K55" s="802">
        <v>171783.92599999998</v>
      </c>
      <c r="L55" s="802">
        <v>173620.66699999999</v>
      </c>
    </row>
    <row r="56" spans="1:12" s="609" customFormat="1" x14ac:dyDescent="0.4">
      <c r="A56" s="798" t="s">
        <v>699</v>
      </c>
      <c r="B56" s="802">
        <v>315342.61300000007</v>
      </c>
      <c r="C56" s="802">
        <v>397061.69299999997</v>
      </c>
      <c r="D56" s="802">
        <v>469582.67300000007</v>
      </c>
      <c r="E56" s="802">
        <v>505391.94900000002</v>
      </c>
      <c r="F56" s="802">
        <v>539427.33499999996</v>
      </c>
      <c r="G56" s="802">
        <v>571254.31900000002</v>
      </c>
      <c r="H56" s="802">
        <v>600480.33299999998</v>
      </c>
      <c r="I56" s="802">
        <v>626673.01400000008</v>
      </c>
      <c r="J56" s="802">
        <v>649621.84600000002</v>
      </c>
      <c r="K56" s="802">
        <v>669131.446</v>
      </c>
      <c r="L56" s="802">
        <v>685070.43700000003</v>
      </c>
    </row>
    <row r="57" spans="1:12" s="609" customFormat="1" x14ac:dyDescent="0.4">
      <c r="A57" s="797" t="s">
        <v>700</v>
      </c>
      <c r="B57" s="802">
        <v>20402.001</v>
      </c>
      <c r="C57" s="802">
        <v>24099.129999999997</v>
      </c>
      <c r="D57" s="802">
        <v>28280.095000000005</v>
      </c>
      <c r="E57" s="802">
        <v>30319.412000000004</v>
      </c>
      <c r="F57" s="802">
        <v>32250.967000000001</v>
      </c>
      <c r="G57" s="802">
        <v>34068.62200000001</v>
      </c>
      <c r="H57" s="802">
        <v>35729.416999999987</v>
      </c>
      <c r="I57" s="802">
        <v>37156.912999999993</v>
      </c>
      <c r="J57" s="802">
        <v>38320.569000000003</v>
      </c>
      <c r="K57" s="802">
        <v>39200.057000000008</v>
      </c>
      <c r="L57" s="802">
        <v>39823.815000000002</v>
      </c>
    </row>
    <row r="58" spans="1:12" s="609" customFormat="1" x14ac:dyDescent="0.4">
      <c r="A58" s="797" t="s">
        <v>688</v>
      </c>
      <c r="B58" s="802">
        <v>74614.825000000012</v>
      </c>
      <c r="C58" s="802">
        <v>94800.623999999982</v>
      </c>
      <c r="D58" s="802">
        <v>115705.35700000002</v>
      </c>
      <c r="E58" s="802">
        <v>127304.303</v>
      </c>
      <c r="F58" s="802">
        <v>138767.68599999999</v>
      </c>
      <c r="G58" s="802">
        <v>149898.13399999999</v>
      </c>
      <c r="H58" s="802">
        <v>160492.65700000001</v>
      </c>
      <c r="I58" s="802">
        <v>170367.93799999999</v>
      </c>
      <c r="J58" s="802">
        <v>179413.67</v>
      </c>
      <c r="K58" s="802">
        <v>187530.84</v>
      </c>
      <c r="L58" s="802">
        <v>194627.36500000002</v>
      </c>
    </row>
    <row r="59" spans="1:12" s="609" customFormat="1" x14ac:dyDescent="0.4">
      <c r="A59" s="797" t="s">
        <v>689</v>
      </c>
      <c r="B59" s="802">
        <v>220325.78700000007</v>
      </c>
      <c r="C59" s="802">
        <v>278161.93900000001</v>
      </c>
      <c r="D59" s="802">
        <v>325597.22100000002</v>
      </c>
      <c r="E59" s="802">
        <v>347768.23400000005</v>
      </c>
      <c r="F59" s="802">
        <v>368408.68199999991</v>
      </c>
      <c r="G59" s="802">
        <v>387287.56300000002</v>
      </c>
      <c r="H59" s="802">
        <v>404258.25899999996</v>
      </c>
      <c r="I59" s="802">
        <v>419148.16300000006</v>
      </c>
      <c r="J59" s="802">
        <v>431887.60700000002</v>
      </c>
      <c r="K59" s="802">
        <v>442400.549</v>
      </c>
      <c r="L59" s="802">
        <v>450619.25699999998</v>
      </c>
    </row>
    <row r="60" spans="1:12" s="609" customFormat="1" x14ac:dyDescent="0.4">
      <c r="A60" s="797" t="s">
        <v>690</v>
      </c>
      <c r="B60" s="802">
        <v>211474.53200000001</v>
      </c>
      <c r="C60" s="802">
        <v>247471.45</v>
      </c>
      <c r="D60" s="802">
        <v>277069.696</v>
      </c>
      <c r="E60" s="802">
        <v>290616.42099999997</v>
      </c>
      <c r="F60" s="802">
        <v>304761.17800000001</v>
      </c>
      <c r="G60" s="802">
        <v>319702.15400000004</v>
      </c>
      <c r="H60" s="802">
        <v>334779.98800000001</v>
      </c>
      <c r="I60" s="802">
        <v>349205.49599999998</v>
      </c>
      <c r="J60" s="802">
        <v>362603.71299999999</v>
      </c>
      <c r="K60" s="802">
        <v>374947.61600000004</v>
      </c>
      <c r="L60" s="802">
        <v>386689.86200000002</v>
      </c>
    </row>
    <row r="61" spans="1:12" s="609" customFormat="1" x14ac:dyDescent="0.4">
      <c r="A61" s="798" t="s">
        <v>701</v>
      </c>
      <c r="B61" s="802">
        <v>19041.037</v>
      </c>
      <c r="C61" s="802">
        <v>21329.332000000002</v>
      </c>
      <c r="D61" s="802">
        <v>24940.843000000004</v>
      </c>
      <c r="E61" s="802">
        <v>26937.59</v>
      </c>
      <c r="F61" s="802">
        <v>28919.183000000001</v>
      </c>
      <c r="G61" s="802">
        <v>30859.668999999998</v>
      </c>
      <c r="H61" s="802">
        <v>32831.216999999997</v>
      </c>
      <c r="I61" s="802">
        <v>34831.893999999993</v>
      </c>
      <c r="J61" s="802">
        <v>36894.534</v>
      </c>
      <c r="K61" s="802">
        <v>39011.815000000002</v>
      </c>
      <c r="L61" s="802">
        <v>41160.231999999996</v>
      </c>
    </row>
    <row r="62" spans="1:12" s="609" customFormat="1" x14ac:dyDescent="0.4">
      <c r="A62" s="797" t="s">
        <v>702</v>
      </c>
      <c r="B62" s="802">
        <v>17438.665000000001</v>
      </c>
      <c r="C62" s="802">
        <v>19379.645</v>
      </c>
      <c r="D62" s="802">
        <v>22607.549000000003</v>
      </c>
      <c r="E62" s="802">
        <v>24380.742999999999</v>
      </c>
      <c r="F62" s="802">
        <v>26095.11</v>
      </c>
      <c r="G62" s="802">
        <v>27723.667000000001</v>
      </c>
      <c r="H62" s="802">
        <v>29319.094000000001</v>
      </c>
      <c r="I62" s="802">
        <v>30866.704999999998</v>
      </c>
      <c r="J62" s="802">
        <v>32388.156999999999</v>
      </c>
      <c r="K62" s="802">
        <v>33900.428</v>
      </c>
      <c r="L62" s="802">
        <v>35386.468999999997</v>
      </c>
    </row>
    <row r="63" spans="1:12" s="609" customFormat="1" x14ac:dyDescent="0.4">
      <c r="A63" s="797" t="s">
        <v>693</v>
      </c>
      <c r="B63" s="802">
        <v>1121.154</v>
      </c>
      <c r="C63" s="802">
        <v>1361.5430000000001</v>
      </c>
      <c r="D63" s="802">
        <v>1706.0949999999998</v>
      </c>
      <c r="E63" s="802">
        <v>1902.8789999999999</v>
      </c>
      <c r="F63" s="802">
        <v>2137.864</v>
      </c>
      <c r="G63" s="802">
        <v>2418.0450000000001</v>
      </c>
      <c r="H63" s="802">
        <v>2757.2849999999999</v>
      </c>
      <c r="I63" s="802">
        <v>3172.4700000000003</v>
      </c>
      <c r="J63" s="802">
        <v>3676.8319999999999</v>
      </c>
      <c r="K63" s="802">
        <v>4246.884</v>
      </c>
      <c r="L63" s="802">
        <v>4877.8429999999998</v>
      </c>
    </row>
    <row r="64" spans="1:12" s="609" customFormat="1" x14ac:dyDescent="0.4">
      <c r="A64" s="797" t="s">
        <v>694</v>
      </c>
      <c r="B64" s="802">
        <v>223.94699999999997</v>
      </c>
      <c r="C64" s="802">
        <v>261.65300000000002</v>
      </c>
      <c r="D64" s="802">
        <v>292.00599999999997</v>
      </c>
      <c r="E64" s="802">
        <v>301.38800000000009</v>
      </c>
      <c r="F64" s="802">
        <v>311.60299999999995</v>
      </c>
      <c r="G64" s="802">
        <v>320.62299999999999</v>
      </c>
      <c r="H64" s="802">
        <v>334.16600000000005</v>
      </c>
      <c r="I64" s="802">
        <v>349.84800000000007</v>
      </c>
      <c r="J64" s="802">
        <v>366.58300000000008</v>
      </c>
      <c r="K64" s="802">
        <v>384.09300000000002</v>
      </c>
      <c r="L64" s="802">
        <v>400.47200000000004</v>
      </c>
    </row>
    <row r="66" spans="1:12" ht="13.8" x14ac:dyDescent="0.45">
      <c r="A66" s="804" t="s">
        <v>707</v>
      </c>
    </row>
    <row r="69" spans="1:12" x14ac:dyDescent="0.4">
      <c r="A69" s="1"/>
    </row>
    <row r="70" spans="1:12" x14ac:dyDescent="0.4">
      <c r="A70" s="806"/>
      <c r="B70" s="805"/>
      <c r="C70" s="805"/>
      <c r="D70" s="805"/>
      <c r="E70" s="805"/>
      <c r="F70" s="805"/>
      <c r="G70" s="805"/>
      <c r="H70" s="805"/>
      <c r="I70" s="805"/>
      <c r="J70" s="805"/>
      <c r="K70" s="805"/>
      <c r="L70" s="805"/>
    </row>
    <row r="71" spans="1:12" x14ac:dyDescent="0.4">
      <c r="A71" s="798"/>
      <c r="B71" s="825"/>
      <c r="C71" s="825"/>
      <c r="D71" s="825"/>
      <c r="E71" s="825"/>
      <c r="F71" s="825"/>
      <c r="G71" s="825"/>
      <c r="H71" s="825"/>
      <c r="I71" s="825"/>
      <c r="J71" s="825"/>
      <c r="K71" s="825"/>
      <c r="L71" s="825"/>
    </row>
    <row r="72" spans="1:12" x14ac:dyDescent="0.4">
      <c r="A72" s="797"/>
      <c r="B72" s="825"/>
      <c r="C72" s="825"/>
      <c r="D72" s="825"/>
      <c r="E72" s="825"/>
      <c r="F72" s="825"/>
      <c r="G72" s="825"/>
      <c r="H72" s="825"/>
      <c r="I72" s="825"/>
      <c r="J72" s="825"/>
      <c r="K72" s="825"/>
      <c r="L72" s="825"/>
    </row>
    <row r="73" spans="1:12" x14ac:dyDescent="0.4">
      <c r="A73" s="797"/>
      <c r="B73" s="825"/>
      <c r="C73" s="825"/>
      <c r="D73" s="825"/>
      <c r="E73" s="825"/>
      <c r="F73" s="825"/>
      <c r="G73" s="825"/>
      <c r="H73" s="825"/>
      <c r="I73" s="825"/>
      <c r="J73" s="825"/>
      <c r="K73" s="825"/>
      <c r="L73" s="825"/>
    </row>
    <row r="74" spans="1:12" x14ac:dyDescent="0.4">
      <c r="A74" s="797"/>
      <c r="B74" s="825"/>
      <c r="C74" s="825"/>
      <c r="D74" s="825"/>
      <c r="E74" s="825"/>
      <c r="F74" s="825"/>
      <c r="G74" s="825"/>
      <c r="H74" s="825"/>
      <c r="I74" s="825"/>
      <c r="J74" s="825"/>
      <c r="K74" s="825"/>
      <c r="L74" s="825"/>
    </row>
    <row r="75" spans="1:12" x14ac:dyDescent="0.4">
      <c r="A75" s="797"/>
      <c r="B75" s="825"/>
      <c r="C75" s="825"/>
      <c r="D75" s="825"/>
      <c r="E75" s="825"/>
      <c r="F75" s="825"/>
      <c r="G75" s="825"/>
      <c r="H75" s="825"/>
      <c r="I75" s="825"/>
      <c r="J75" s="825"/>
      <c r="K75" s="825"/>
      <c r="L75" s="825"/>
    </row>
    <row r="76" spans="1:12" x14ac:dyDescent="0.4">
      <c r="A76" s="797"/>
      <c r="B76" s="825"/>
      <c r="C76" s="825"/>
      <c r="D76" s="825"/>
      <c r="E76" s="825"/>
      <c r="F76" s="825"/>
      <c r="G76" s="825"/>
      <c r="H76" s="825"/>
      <c r="I76" s="825"/>
      <c r="J76" s="825"/>
      <c r="K76" s="825"/>
      <c r="L76" s="825"/>
    </row>
    <row r="77" spans="1:12" x14ac:dyDescent="0.4">
      <c r="A77" s="798"/>
      <c r="B77" s="825"/>
      <c r="C77" s="825"/>
      <c r="D77" s="825"/>
      <c r="E77" s="825"/>
      <c r="F77" s="825"/>
      <c r="G77" s="825"/>
      <c r="H77" s="825"/>
      <c r="I77" s="825"/>
      <c r="J77" s="825"/>
      <c r="K77" s="825"/>
      <c r="L77" s="825"/>
    </row>
    <row r="78" spans="1:12" x14ac:dyDescent="0.4">
      <c r="A78" s="797"/>
      <c r="B78" s="825"/>
      <c r="C78" s="825"/>
      <c r="D78" s="825"/>
      <c r="E78" s="825"/>
      <c r="F78" s="825"/>
      <c r="G78" s="825"/>
      <c r="H78" s="825"/>
      <c r="I78" s="825"/>
      <c r="J78" s="825"/>
      <c r="K78" s="825"/>
      <c r="L78" s="825"/>
    </row>
    <row r="79" spans="1:12" x14ac:dyDescent="0.4">
      <c r="A79" s="797"/>
      <c r="B79" s="825"/>
      <c r="C79" s="825"/>
      <c r="D79" s="825"/>
      <c r="E79" s="825"/>
      <c r="F79" s="825"/>
      <c r="G79" s="825"/>
      <c r="H79" s="825"/>
      <c r="I79" s="825"/>
      <c r="J79" s="825"/>
      <c r="K79" s="825"/>
      <c r="L79" s="825"/>
    </row>
    <row r="80" spans="1:12" x14ac:dyDescent="0.4">
      <c r="A80" s="797"/>
      <c r="B80" s="825"/>
      <c r="C80" s="825"/>
      <c r="D80" s="825"/>
      <c r="E80" s="825"/>
      <c r="F80" s="825"/>
      <c r="G80" s="825"/>
      <c r="H80" s="825"/>
      <c r="I80" s="825"/>
      <c r="J80" s="825"/>
      <c r="K80" s="825"/>
      <c r="L80" s="825"/>
    </row>
    <row r="81" spans="1:12" x14ac:dyDescent="0.4">
      <c r="A81" s="797"/>
      <c r="B81" s="825"/>
      <c r="C81" s="825"/>
      <c r="D81" s="825"/>
      <c r="E81" s="825"/>
      <c r="F81" s="825"/>
      <c r="G81" s="825"/>
      <c r="H81" s="825"/>
      <c r="I81" s="825"/>
      <c r="J81" s="825"/>
      <c r="K81" s="825"/>
      <c r="L81" s="825"/>
    </row>
    <row r="82" spans="1:12" x14ac:dyDescent="0.4">
      <c r="A82" s="797"/>
      <c r="B82" s="825"/>
      <c r="C82" s="825"/>
      <c r="D82" s="825"/>
      <c r="E82" s="825"/>
      <c r="F82" s="825"/>
      <c r="G82" s="825"/>
      <c r="H82" s="825"/>
      <c r="I82" s="825"/>
      <c r="J82" s="825"/>
      <c r="K82" s="825"/>
      <c r="L82" s="825"/>
    </row>
    <row r="83" spans="1:12" x14ac:dyDescent="0.4">
      <c r="A83" s="798"/>
      <c r="B83" s="825"/>
      <c r="C83" s="825"/>
      <c r="D83" s="825"/>
      <c r="E83" s="825"/>
      <c r="F83" s="825"/>
      <c r="G83" s="825"/>
      <c r="H83" s="825"/>
      <c r="I83" s="825"/>
      <c r="J83" s="825"/>
      <c r="K83" s="825"/>
      <c r="L83" s="825"/>
    </row>
    <row r="84" spans="1:12" x14ac:dyDescent="0.4">
      <c r="A84" s="797"/>
      <c r="B84" s="825"/>
      <c r="C84" s="825"/>
      <c r="D84" s="825"/>
      <c r="E84" s="825"/>
      <c r="F84" s="825"/>
      <c r="G84" s="825"/>
      <c r="H84" s="825"/>
      <c r="I84" s="825"/>
      <c r="J84" s="825"/>
      <c r="K84" s="825"/>
      <c r="L84" s="825"/>
    </row>
    <row r="85" spans="1:12" x14ac:dyDescent="0.4">
      <c r="A85" s="797"/>
      <c r="B85" s="825"/>
      <c r="C85" s="825"/>
      <c r="D85" s="825"/>
      <c r="E85" s="825"/>
      <c r="F85" s="825"/>
      <c r="G85" s="825"/>
      <c r="H85" s="825"/>
      <c r="I85" s="825"/>
      <c r="J85" s="825"/>
      <c r="K85" s="825"/>
      <c r="L85" s="825"/>
    </row>
    <row r="86" spans="1:12" x14ac:dyDescent="0.4">
      <c r="A86" s="797"/>
      <c r="B86" s="825"/>
      <c r="C86" s="825"/>
      <c r="D86" s="825"/>
      <c r="E86" s="825"/>
      <c r="F86" s="825"/>
      <c r="G86" s="825"/>
      <c r="H86" s="825"/>
      <c r="I86" s="825"/>
      <c r="J86" s="825"/>
      <c r="K86" s="825"/>
      <c r="L86" s="825"/>
    </row>
    <row r="87" spans="1:12" x14ac:dyDescent="0.4">
      <c r="A87" s="797"/>
      <c r="B87" s="825"/>
      <c r="C87" s="825"/>
      <c r="D87" s="825"/>
      <c r="E87" s="825"/>
      <c r="F87" s="825"/>
      <c r="G87" s="825"/>
      <c r="H87" s="825"/>
      <c r="I87" s="825"/>
      <c r="J87" s="825"/>
      <c r="K87" s="825"/>
      <c r="L87" s="825"/>
    </row>
    <row r="88" spans="1:12" x14ac:dyDescent="0.4">
      <c r="A88" s="798"/>
      <c r="B88" s="825"/>
      <c r="C88" s="825"/>
      <c r="D88" s="825"/>
      <c r="E88" s="825"/>
      <c r="F88" s="825"/>
      <c r="G88" s="825"/>
      <c r="H88" s="825"/>
      <c r="I88" s="825"/>
      <c r="J88" s="825"/>
      <c r="K88" s="825"/>
      <c r="L88" s="825"/>
    </row>
    <row r="89" spans="1:12" x14ac:dyDescent="0.4">
      <c r="A89" s="797"/>
      <c r="B89" s="825"/>
      <c r="C89" s="825"/>
      <c r="D89" s="825"/>
      <c r="E89" s="825"/>
      <c r="F89" s="825"/>
      <c r="G89" s="825"/>
      <c r="H89" s="825"/>
      <c r="I89" s="825"/>
      <c r="J89" s="825"/>
      <c r="K89" s="825"/>
      <c r="L89" s="825"/>
    </row>
    <row r="90" spans="1:12" x14ac:dyDescent="0.4">
      <c r="A90" s="797"/>
      <c r="B90" s="825"/>
      <c r="C90" s="825"/>
      <c r="D90" s="825"/>
      <c r="E90" s="825"/>
      <c r="F90" s="825"/>
      <c r="G90" s="825"/>
      <c r="H90" s="825"/>
      <c r="I90" s="825"/>
      <c r="J90" s="825"/>
      <c r="K90" s="825"/>
      <c r="L90" s="825"/>
    </row>
    <row r="91" spans="1:12" x14ac:dyDescent="0.4">
      <c r="A91" s="797"/>
      <c r="B91" s="825"/>
      <c r="C91" s="825"/>
      <c r="D91" s="825"/>
      <c r="E91" s="825"/>
      <c r="F91" s="825"/>
      <c r="G91" s="825"/>
      <c r="H91" s="825"/>
      <c r="I91" s="825"/>
      <c r="J91" s="825"/>
      <c r="K91" s="825"/>
      <c r="L91" s="825"/>
    </row>
    <row r="92" spans="1:12" x14ac:dyDescent="0.4">
      <c r="A92" s="797"/>
      <c r="B92" s="825"/>
      <c r="C92" s="825"/>
      <c r="D92" s="825"/>
      <c r="E92" s="825"/>
      <c r="F92" s="825"/>
      <c r="G92" s="825"/>
      <c r="H92" s="825"/>
      <c r="I92" s="825"/>
      <c r="J92" s="825"/>
      <c r="K92" s="825"/>
      <c r="L92" s="825"/>
    </row>
    <row r="93" spans="1:12" x14ac:dyDescent="0.4">
      <c r="A93" s="798"/>
      <c r="B93" s="825"/>
      <c r="C93" s="825"/>
      <c r="D93" s="825"/>
      <c r="E93" s="825"/>
      <c r="F93" s="825"/>
      <c r="G93" s="825"/>
      <c r="H93" s="825"/>
      <c r="I93" s="825"/>
      <c r="J93" s="825"/>
      <c r="K93" s="825"/>
      <c r="L93" s="825"/>
    </row>
    <row r="94" spans="1:12" x14ac:dyDescent="0.4">
      <c r="A94" s="797"/>
      <c r="B94" s="825"/>
      <c r="C94" s="825"/>
      <c r="D94" s="825"/>
      <c r="E94" s="825"/>
      <c r="F94" s="825"/>
      <c r="G94" s="825"/>
      <c r="H94" s="825"/>
      <c r="I94" s="825"/>
      <c r="J94" s="825"/>
      <c r="K94" s="825"/>
      <c r="L94" s="825"/>
    </row>
    <row r="95" spans="1:12" x14ac:dyDescent="0.4">
      <c r="A95" s="797"/>
      <c r="B95" s="825"/>
      <c r="C95" s="825"/>
      <c r="D95" s="825"/>
      <c r="E95" s="825"/>
      <c r="F95" s="825"/>
      <c r="G95" s="825"/>
      <c r="H95" s="825"/>
      <c r="I95" s="825"/>
      <c r="J95" s="825"/>
      <c r="K95" s="825"/>
      <c r="L95" s="825"/>
    </row>
    <row r="96" spans="1:12" x14ac:dyDescent="0.4">
      <c r="A96" s="797"/>
      <c r="B96" s="825"/>
      <c r="C96" s="825"/>
      <c r="D96" s="825"/>
      <c r="E96" s="825"/>
      <c r="F96" s="825"/>
      <c r="G96" s="825"/>
      <c r="H96" s="825"/>
      <c r="I96" s="825"/>
      <c r="J96" s="825"/>
      <c r="K96" s="825"/>
      <c r="L96" s="825"/>
    </row>
  </sheetData>
  <hyperlinks>
    <hyperlink ref="A31" r:id="rId1" xr:uid="{C7C3B01E-16B7-9740-8223-D65E93ECACBE}"/>
    <hyperlink ref="A66" r:id="rId2" xr:uid="{41223DFB-43E8-B64E-B0F5-3D022A5A33A4}"/>
  </hyperlink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174"/>
    <cellWatch r="AZ175"/>
    <cellWatch r="AZ242"/>
    <cellWatch r="AZ243"/>
    <cellWatch r="AZ244"/>
    <cellWatch r="AZ245"/>
    <cellWatch r="AY139"/>
    <cellWatch r="AY140"/>
    <cellWatch r="AY141"/>
    <cellWatch r="AY142"/>
    <cellWatch r="AY143"/>
    <cellWatch r="AY144"/>
    <cellWatch r="AY145"/>
    <cellWatch r="AY146"/>
    <cellWatch r="AY147"/>
    <cellWatch r="AZ176"/>
    <cellWatch r="AZ177"/>
    <cellWatch r="AZ178"/>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Y135"/>
    <cellWatch r="AY136"/>
    <cellWatch r="AY137"/>
    <cellWatch r="AY138"/>
    <cellWatch r="AZ179"/>
    <cellWatch r="AZ180"/>
    <cellWatch r="AZ181"/>
    <cellWatch r="AZ182"/>
    <cellWatch r="BB172"/>
    <cellWatch r="AZ246"/>
    <cellWatch r="AY183"/>
    <cellWatch r="AY184"/>
    <cellWatch r="AY185"/>
    <cellWatch r="AY186"/>
    <cellWatch r="AY187"/>
    <cellWatch r="BA172"/>
    <cellWatch r="AZ322"/>
    <cellWatch r="BB173"/>
    <cellWatch r="AZ247"/>
    <cellWatch r="AY188"/>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B8941-6AF7-4B4B-9C87-0A1A5F2483BD}">
  <dimension ref="A1:P103"/>
  <sheetViews>
    <sheetView topLeftCell="A39" workbookViewId="0">
      <selection activeCell="F33" sqref="E33:F33"/>
    </sheetView>
  </sheetViews>
  <sheetFormatPr defaultColWidth="10.6640625" defaultRowHeight="12.3" x14ac:dyDescent="0.4"/>
  <cols>
    <col min="2" max="2" width="30.83203125" customWidth="1"/>
    <col min="3" max="3" width="34.83203125" bestFit="1" customWidth="1"/>
    <col min="4" max="4" width="5.6640625" customWidth="1"/>
    <col min="5" max="5" width="31.6640625" customWidth="1"/>
    <col min="6" max="6" width="16.83203125" bestFit="1" customWidth="1"/>
    <col min="9" max="12" width="10.83203125" style="609"/>
    <col min="13" max="13" width="11.1640625" style="609" bestFit="1" customWidth="1"/>
    <col min="14" max="14" width="12" style="609" customWidth="1"/>
    <col min="15" max="16" width="10.83203125" style="609"/>
  </cols>
  <sheetData>
    <row r="1" spans="1:16" x14ac:dyDescent="0.4">
      <c r="A1" s="371" t="s">
        <v>731</v>
      </c>
    </row>
    <row r="2" spans="1:16" x14ac:dyDescent="0.4">
      <c r="A2" s="371" t="s">
        <v>732</v>
      </c>
    </row>
    <row r="3" spans="1:16" x14ac:dyDescent="0.4">
      <c r="A3" s="371" t="s">
        <v>733</v>
      </c>
      <c r="C3" t="s">
        <v>741</v>
      </c>
    </row>
    <row r="4" spans="1:16" x14ac:dyDescent="0.4">
      <c r="A4" s="371" t="s">
        <v>734</v>
      </c>
      <c r="C4" t="s">
        <v>742</v>
      </c>
    </row>
    <row r="6" spans="1:16" ht="12.6" thickBot="1" x14ac:dyDescent="0.45">
      <c r="A6" s="383" t="s">
        <v>740</v>
      </c>
    </row>
    <row r="7" spans="1:16" ht="13" customHeight="1" x14ac:dyDescent="0.45">
      <c r="J7" s="796" t="s">
        <v>1047</v>
      </c>
      <c r="K7" s="1294" t="s">
        <v>1048</v>
      </c>
      <c r="L7" s="796" t="s">
        <v>1049</v>
      </c>
      <c r="N7" s="1295" t="s">
        <v>1050</v>
      </c>
    </row>
    <row r="8" spans="1:16" ht="12.6" thickBot="1" x14ac:dyDescent="0.45">
      <c r="J8" s="1" t="s">
        <v>1043</v>
      </c>
      <c r="K8" s="1294"/>
      <c r="L8" s="1" t="s">
        <v>1044</v>
      </c>
      <c r="M8" s="1" t="s">
        <v>1051</v>
      </c>
      <c r="N8" s="1296"/>
      <c r="O8" s="609" t="s">
        <v>1045</v>
      </c>
      <c r="P8" s="609" t="s">
        <v>1046</v>
      </c>
    </row>
    <row r="9" spans="1:16" ht="14.1" x14ac:dyDescent="0.4">
      <c r="A9" s="847" t="s">
        <v>114</v>
      </c>
      <c r="B9" s="847" t="s">
        <v>730</v>
      </c>
      <c r="C9" s="847" t="s">
        <v>735</v>
      </c>
      <c r="I9" s="1088">
        <v>2005</v>
      </c>
      <c r="J9" s="609">
        <v>10073.2875570489</v>
      </c>
      <c r="K9" s="609">
        <v>3215906</v>
      </c>
      <c r="L9" s="609">
        <f>109.67*LN(J9)-651.45</f>
        <v>359.44884231998321</v>
      </c>
      <c r="M9" s="609">
        <f>L9*K9/1000000</f>
        <v>1155.953688709888</v>
      </c>
      <c r="N9" s="1101"/>
    </row>
    <row r="10" spans="1:16" ht="14.1" x14ac:dyDescent="0.4">
      <c r="A10" s="847">
        <v>2005</v>
      </c>
      <c r="B10" s="847">
        <v>10073.2875570489</v>
      </c>
      <c r="C10" s="847">
        <f>109.67*LN(B10)-651.45</f>
        <v>359.44884231998321</v>
      </c>
      <c r="I10" s="1089">
        <v>2006</v>
      </c>
      <c r="J10" s="609">
        <v>10939.648483104</v>
      </c>
      <c r="K10" s="609">
        <v>3289446</v>
      </c>
      <c r="L10" s="609">
        <f t="shared" ref="L10:L64" si="0">109.67*LN(J10)-651.45</f>
        <v>368.49733470124806</v>
      </c>
      <c r="M10" s="609">
        <f t="shared" ref="M10:M64" si="1">L10*K10/1000000</f>
        <v>1212.1520836436816</v>
      </c>
      <c r="N10" s="1101"/>
    </row>
    <row r="11" spans="1:16" ht="14.1" x14ac:dyDescent="0.4">
      <c r="A11" s="847">
        <v>2006</v>
      </c>
      <c r="B11" s="847">
        <v>10939.648483104</v>
      </c>
      <c r="C11" s="847">
        <f t="shared" ref="C11:C23" si="2">109.67*LN(B11)-651.45</f>
        <v>368.49733470124806</v>
      </c>
      <c r="I11" s="1089">
        <v>2007</v>
      </c>
      <c r="J11" s="609">
        <v>11677.5168478741</v>
      </c>
      <c r="K11" s="609">
        <v>3363610</v>
      </c>
      <c r="L11" s="609">
        <f t="shared" si="0"/>
        <v>375.65568105569491</v>
      </c>
      <c r="M11" s="609">
        <f t="shared" si="1"/>
        <v>1263.5592053557461</v>
      </c>
      <c r="N11" s="1101"/>
    </row>
    <row r="12" spans="1:16" ht="14.1" x14ac:dyDescent="0.4">
      <c r="A12" s="847">
        <v>2007</v>
      </c>
      <c r="B12" s="847">
        <v>11677.5168478741</v>
      </c>
      <c r="C12" s="847">
        <f t="shared" si="2"/>
        <v>375.65568105569491</v>
      </c>
      <c r="I12" s="1089">
        <v>2008</v>
      </c>
      <c r="J12" s="609">
        <v>12183.2484206679</v>
      </c>
      <c r="K12" s="609">
        <v>3439719</v>
      </c>
      <c r="L12" s="609">
        <f t="shared" si="0"/>
        <v>380.30531308178729</v>
      </c>
      <c r="M12" s="609">
        <f t="shared" si="1"/>
        <v>1308.1434112083723</v>
      </c>
      <c r="N12" s="1101"/>
    </row>
    <row r="13" spans="1:16" ht="14.1" x14ac:dyDescent="0.4">
      <c r="A13" s="847">
        <v>2008</v>
      </c>
      <c r="B13" s="847">
        <v>12183.2484206679</v>
      </c>
      <c r="C13" s="847">
        <f t="shared" si="2"/>
        <v>380.30531308178729</v>
      </c>
      <c r="I13" s="1089">
        <v>2009</v>
      </c>
      <c r="J13" s="609">
        <v>12148.470477144599</v>
      </c>
      <c r="K13" s="609">
        <v>3516830</v>
      </c>
      <c r="L13" s="609">
        <f t="shared" si="0"/>
        <v>379.99180463796665</v>
      </c>
      <c r="M13" s="609">
        <f t="shared" si="1"/>
        <v>1336.3665783049403</v>
      </c>
      <c r="N13" s="1101"/>
    </row>
    <row r="14" spans="1:16" ht="14.1" x14ac:dyDescent="0.4">
      <c r="A14" s="847">
        <v>2009</v>
      </c>
      <c r="B14" s="847">
        <v>12148.470477144599</v>
      </c>
      <c r="C14" s="847">
        <f t="shared" si="2"/>
        <v>379.99180463796665</v>
      </c>
      <c r="I14" s="1089">
        <v>2010</v>
      </c>
      <c r="J14" s="609">
        <v>12809.1110855231</v>
      </c>
      <c r="K14" s="609">
        <v>3594868</v>
      </c>
      <c r="L14" s="609">
        <f t="shared" si="0"/>
        <v>385.79920906765869</v>
      </c>
      <c r="M14" s="609">
        <f t="shared" si="1"/>
        <v>1386.8972311026362</v>
      </c>
      <c r="N14" s="1101"/>
    </row>
    <row r="15" spans="1:16" ht="14.1" x14ac:dyDescent="0.4">
      <c r="A15" s="847">
        <v>2010</v>
      </c>
      <c r="B15" s="847">
        <v>12809.1110855231</v>
      </c>
      <c r="C15" s="847">
        <f t="shared" si="2"/>
        <v>385.79920906765869</v>
      </c>
      <c r="I15" s="1089">
        <v>2011</v>
      </c>
      <c r="J15" s="609">
        <v>13532.487841829299</v>
      </c>
      <c r="K15" s="609">
        <v>3671424</v>
      </c>
      <c r="L15" s="609">
        <f t="shared" si="0"/>
        <v>391.82410379364956</v>
      </c>
      <c r="M15" s="609">
        <f t="shared" si="1"/>
        <v>1438.5524184464959</v>
      </c>
      <c r="N15" s="1101"/>
    </row>
    <row r="16" spans="1:16" ht="14.1" x14ac:dyDescent="0.4">
      <c r="A16" s="847">
        <v>2011</v>
      </c>
      <c r="B16" s="847">
        <v>13532.487841829299</v>
      </c>
      <c r="C16" s="847">
        <f t="shared" si="2"/>
        <v>391.82410379364956</v>
      </c>
      <c r="I16" s="1089">
        <v>2012</v>
      </c>
      <c r="J16" s="609">
        <v>14130.4450432226</v>
      </c>
      <c r="K16" s="609">
        <v>3747843</v>
      </c>
      <c r="L16" s="609">
        <f t="shared" si="0"/>
        <v>396.5660581664024</v>
      </c>
      <c r="M16" s="609">
        <f t="shared" si="1"/>
        <v>1486.2673251365441</v>
      </c>
      <c r="N16" s="1101"/>
    </row>
    <row r="17" spans="1:16" ht="14.1" x14ac:dyDescent="0.4">
      <c r="A17" s="847">
        <v>2012</v>
      </c>
      <c r="B17" s="847">
        <v>14130.4450432226</v>
      </c>
      <c r="C17" s="847">
        <f t="shared" si="2"/>
        <v>396.5660581664024</v>
      </c>
      <c r="I17" s="1089">
        <v>2013</v>
      </c>
      <c r="J17" s="609">
        <v>14709.268576832599</v>
      </c>
      <c r="K17" s="609">
        <v>3824990</v>
      </c>
      <c r="L17" s="609">
        <f t="shared" si="0"/>
        <v>400.96888292615336</v>
      </c>
      <c r="M17" s="609">
        <f t="shared" si="1"/>
        <v>1533.7019675037075</v>
      </c>
      <c r="N17" s="1101"/>
    </row>
    <row r="18" spans="1:16" ht="14.1" x14ac:dyDescent="0.4">
      <c r="A18" s="847">
        <v>2013</v>
      </c>
      <c r="B18" s="847">
        <v>14709.268576832599</v>
      </c>
      <c r="C18" s="847">
        <f t="shared" si="2"/>
        <v>400.96888292615336</v>
      </c>
      <c r="I18" s="1089">
        <v>2014</v>
      </c>
      <c r="J18" s="609">
        <v>15339.1384300188</v>
      </c>
      <c r="K18" s="609">
        <v>3902832</v>
      </c>
      <c r="L18" s="609">
        <f t="shared" si="0"/>
        <v>405.56732616607837</v>
      </c>
      <c r="M18" s="609">
        <f t="shared" si="1"/>
        <v>1582.8611387154081</v>
      </c>
      <c r="N18" s="1101"/>
    </row>
    <row r="19" spans="1:16" ht="14.1" x14ac:dyDescent="0.4">
      <c r="A19" s="847">
        <v>2014</v>
      </c>
      <c r="B19" s="847">
        <v>15339.1384300188</v>
      </c>
      <c r="C19" s="847">
        <f t="shared" si="2"/>
        <v>405.56732616607837</v>
      </c>
      <c r="I19" s="1089">
        <v>2015</v>
      </c>
      <c r="J19" s="609">
        <v>15801.087610706099</v>
      </c>
      <c r="K19" s="609">
        <v>3981498</v>
      </c>
      <c r="L19" s="609">
        <f t="shared" si="0"/>
        <v>408.8213605669132</v>
      </c>
      <c r="M19" s="609">
        <f t="shared" si="1"/>
        <v>1627.7214294544438</v>
      </c>
      <c r="N19" s="1101"/>
    </row>
    <row r="20" spans="1:16" ht="14.1" x14ac:dyDescent="0.4">
      <c r="A20" s="847">
        <v>2015</v>
      </c>
      <c r="B20" s="847">
        <v>15801.087610706099</v>
      </c>
      <c r="C20" s="847">
        <f t="shared" si="2"/>
        <v>408.8213605669132</v>
      </c>
      <c r="I20" s="1089">
        <v>2016</v>
      </c>
      <c r="J20" s="609">
        <v>16325.7100380838</v>
      </c>
      <c r="K20" s="609">
        <v>4060653</v>
      </c>
      <c r="L20" s="609">
        <f t="shared" si="0"/>
        <v>412.40344535444251</v>
      </c>
      <c r="M20" s="609">
        <f t="shared" si="1"/>
        <v>1674.6272875888531</v>
      </c>
      <c r="N20" s="1102">
        <v>2010</v>
      </c>
      <c r="O20" s="609">
        <v>2010</v>
      </c>
      <c r="P20" s="609">
        <v>2008.0532095728022</v>
      </c>
    </row>
    <row r="21" spans="1:16" ht="14.1" x14ac:dyDescent="0.4">
      <c r="A21" s="847">
        <v>2016</v>
      </c>
      <c r="B21" s="847">
        <v>16325.7100380838</v>
      </c>
      <c r="C21" s="847">
        <f t="shared" si="2"/>
        <v>412.40344535444251</v>
      </c>
      <c r="I21" s="1089">
        <v>2017</v>
      </c>
      <c r="J21" s="609">
        <v>17123.355126995699</v>
      </c>
      <c r="K21" s="609">
        <v>4140189</v>
      </c>
      <c r="L21" s="609">
        <f t="shared" si="0"/>
        <v>417.63494128878915</v>
      </c>
      <c r="M21" s="609">
        <f t="shared" si="1"/>
        <v>1729.0875899394905</v>
      </c>
      <c r="N21" s="1101">
        <v>2021.6666666666667</v>
      </c>
      <c r="O21" s="609">
        <v>1986.1197995456366</v>
      </c>
      <c r="P21" s="609">
        <v>1984.0210186791064</v>
      </c>
    </row>
    <row r="22" spans="1:16" ht="14.1" x14ac:dyDescent="0.4">
      <c r="A22" s="847">
        <v>2017</v>
      </c>
      <c r="B22" s="847">
        <v>17123.355126995699</v>
      </c>
      <c r="C22" s="847">
        <f t="shared" si="2"/>
        <v>417.63494128878915</v>
      </c>
      <c r="I22" s="1089">
        <v>2018</v>
      </c>
      <c r="J22" s="609">
        <v>17896.118626968298</v>
      </c>
      <c r="K22" s="609">
        <v>4219817</v>
      </c>
      <c r="L22" s="609">
        <f t="shared" si="0"/>
        <v>422.47583258825648</v>
      </c>
      <c r="M22" s="609">
        <f t="shared" si="1"/>
        <v>1782.7707004450785</v>
      </c>
      <c r="N22" s="1101">
        <v>2033.3333333333335</v>
      </c>
      <c r="O22" s="609">
        <v>1991.7565628758518</v>
      </c>
      <c r="P22" s="609">
        <v>1965.5156314279322</v>
      </c>
    </row>
    <row r="23" spans="1:16" ht="14.1" x14ac:dyDescent="0.4">
      <c r="A23" s="847">
        <v>2018</v>
      </c>
      <c r="B23" s="847">
        <v>17896.118626968298</v>
      </c>
      <c r="C23" s="847">
        <f t="shared" si="2"/>
        <v>422.47583258825648</v>
      </c>
      <c r="I23" s="1089">
        <v>2019</v>
      </c>
      <c r="J23" s="609">
        <v>18177.689574610344</v>
      </c>
      <c r="L23" s="609">
        <f t="shared" si="0"/>
        <v>424.18790650026176</v>
      </c>
      <c r="M23" s="609">
        <f t="shared" si="1"/>
        <v>0</v>
      </c>
      <c r="N23" s="1101">
        <v>2045</v>
      </c>
      <c r="O23" s="609">
        <v>1998.9794200187091</v>
      </c>
      <c r="P23" s="609">
        <v>1952.3309106687543</v>
      </c>
    </row>
    <row r="24" spans="1:16" ht="14.1" x14ac:dyDescent="0.4">
      <c r="I24" s="1089">
        <v>2020</v>
      </c>
      <c r="J24" s="609">
        <v>18747.20157345344</v>
      </c>
      <c r="K24" s="890">
        <v>4378994</v>
      </c>
      <c r="L24" s="609">
        <f t="shared" si="0"/>
        <v>427.5711708684546</v>
      </c>
      <c r="M24" s="609">
        <f t="shared" si="1"/>
        <v>1872.3315918059375</v>
      </c>
      <c r="N24" s="1102">
        <v>2056.666666666667</v>
      </c>
      <c r="O24" s="609">
        <v>2007.7883709742082</v>
      </c>
      <c r="P24" s="609">
        <v>1944.2607192510466</v>
      </c>
    </row>
    <row r="25" spans="1:16" ht="14.1" x14ac:dyDescent="0.4">
      <c r="A25" t="s">
        <v>743</v>
      </c>
      <c r="I25" s="1089">
        <v>2021</v>
      </c>
      <c r="J25" s="609">
        <v>19316.713572296532</v>
      </c>
      <c r="L25" s="609">
        <f t="shared" si="0"/>
        <v>430.85317914162329</v>
      </c>
      <c r="M25" s="609">
        <f t="shared" si="1"/>
        <v>0</v>
      </c>
      <c r="N25" s="1101">
        <v>2068.3333333333335</v>
      </c>
      <c r="O25" s="609">
        <v>2018.1834157423493</v>
      </c>
      <c r="P25" s="609">
        <v>1941.0989200242836</v>
      </c>
    </row>
    <row r="26" spans="1:16" ht="14.1" x14ac:dyDescent="0.45">
      <c r="A26" s="796" t="s">
        <v>751</v>
      </c>
      <c r="I26" s="1089">
        <v>2022</v>
      </c>
      <c r="J26" s="609">
        <v>19886.225571139628</v>
      </c>
      <c r="L26" s="609">
        <f t="shared" si="0"/>
        <v>434.03981650152082</v>
      </c>
      <c r="M26" s="609">
        <f t="shared" si="1"/>
        <v>0</v>
      </c>
      <c r="N26" s="1101">
        <v>2080</v>
      </c>
      <c r="O26" s="609">
        <v>2030.1645543231325</v>
      </c>
      <c r="P26" s="609">
        <v>1942.63937583794</v>
      </c>
    </row>
    <row r="27" spans="1:16" ht="14.1" x14ac:dyDescent="0.4">
      <c r="I27" s="1089">
        <v>2023</v>
      </c>
      <c r="J27" s="609">
        <v>20455.737569982724</v>
      </c>
      <c r="L27" s="609">
        <f t="shared" si="0"/>
        <v>437.13646950079305</v>
      </c>
      <c r="M27" s="609">
        <f t="shared" si="1"/>
        <v>0</v>
      </c>
      <c r="N27" s="1101">
        <v>2091.666666666667</v>
      </c>
      <c r="O27" s="609">
        <v>2043.7317867165575</v>
      </c>
      <c r="P27" s="609">
        <v>1948.6759495414899</v>
      </c>
    </row>
    <row r="28" spans="1:16" ht="14.1" x14ac:dyDescent="0.4">
      <c r="B28" s="609" t="s">
        <v>736</v>
      </c>
      <c r="C28" t="s">
        <v>739</v>
      </c>
      <c r="D28" t="s">
        <v>744</v>
      </c>
      <c r="E28" s="609" t="s">
        <v>745</v>
      </c>
      <c r="F28" s="609" t="s">
        <v>739</v>
      </c>
      <c r="I28" s="1089">
        <v>2024</v>
      </c>
      <c r="J28" s="609">
        <v>21025.24956882582</v>
      </c>
      <c r="L28" s="609">
        <f t="shared" si="0"/>
        <v>440.14808084853053</v>
      </c>
      <c r="M28" s="609">
        <f t="shared" si="1"/>
        <v>0</v>
      </c>
      <c r="N28" s="1101">
        <v>2103.3333333333335</v>
      </c>
      <c r="O28" s="609">
        <v>2058.8851129226246</v>
      </c>
      <c r="P28" s="609">
        <v>1959.0025039844079</v>
      </c>
    </row>
    <row r="29" spans="1:16" ht="14.1" x14ac:dyDescent="0.4">
      <c r="A29" s="609">
        <v>2005</v>
      </c>
      <c r="B29" s="885">
        <v>3215906</v>
      </c>
      <c r="C29" s="886">
        <f>(B29*C10*1000)/(1000000*1000)</f>
        <v>1155.953688709888</v>
      </c>
      <c r="E29" s="887">
        <v>6542159</v>
      </c>
      <c r="F29" s="888">
        <f>(E29*C10*1000)/(1000000*1000)</f>
        <v>2351.571478823259</v>
      </c>
      <c r="I29" s="1089">
        <v>2025</v>
      </c>
      <c r="J29" s="609">
        <v>21594.761567668917</v>
      </c>
      <c r="K29" s="890">
        <v>4774646</v>
      </c>
      <c r="L29" s="609">
        <f t="shared" si="0"/>
        <v>443.07919687226058</v>
      </c>
      <c r="M29" s="609">
        <f t="shared" si="1"/>
        <v>2115.5463150293513</v>
      </c>
      <c r="N29" s="1103">
        <v>2115</v>
      </c>
      <c r="O29" s="609">
        <v>2075.6245329413337</v>
      </c>
      <c r="P29" s="609">
        <v>1973.4129020161681</v>
      </c>
    </row>
    <row r="30" spans="1:16" ht="14.1" x14ac:dyDescent="0.4">
      <c r="A30" s="609">
        <v>2006</v>
      </c>
      <c r="B30" s="885">
        <v>3289446</v>
      </c>
      <c r="C30" s="886">
        <f t="shared" ref="C30:C42" si="3">(B30*C11*1000)/(1000000*1000)</f>
        <v>1212.1520836436816</v>
      </c>
      <c r="E30" s="887">
        <v>6623848</v>
      </c>
      <c r="F30" s="888">
        <f t="shared" ref="F30:F42" si="4">(E30*C11*1000)/(1000000*1000)</f>
        <v>2440.8703334661927</v>
      </c>
      <c r="I30" s="1089">
        <v>2026</v>
      </c>
      <c r="J30" s="609">
        <v>22164.273566512013</v>
      </c>
      <c r="L30" s="609">
        <f t="shared" si="0"/>
        <v>445.93400880065087</v>
      </c>
      <c r="M30" s="609">
        <f t="shared" si="1"/>
        <v>0</v>
      </c>
      <c r="N30" s="1104">
        <v>2163.9399999999996</v>
      </c>
      <c r="O30" s="609">
        <v>2093.9500467726848</v>
      </c>
      <c r="P30" s="609">
        <v>1991.7010064862452</v>
      </c>
    </row>
    <row r="31" spans="1:16" ht="14.1" x14ac:dyDescent="0.4">
      <c r="A31" s="609">
        <v>2007</v>
      </c>
      <c r="B31" s="885">
        <v>3363610</v>
      </c>
      <c r="C31" s="886">
        <f t="shared" si="3"/>
        <v>1263.5592053557461</v>
      </c>
      <c r="E31" s="887">
        <v>6706419</v>
      </c>
      <c r="F31" s="888">
        <f t="shared" si="4"/>
        <v>2519.3043968898523</v>
      </c>
      <c r="I31" s="1089">
        <v>2027</v>
      </c>
      <c r="J31" s="609">
        <v>22733.785565355105</v>
      </c>
      <c r="L31" s="609">
        <f t="shared" si="0"/>
        <v>448.71638880787714</v>
      </c>
      <c r="M31" s="609">
        <f t="shared" si="1"/>
        <v>0</v>
      </c>
      <c r="N31" s="1104">
        <v>2212.8799999999997</v>
      </c>
      <c r="O31" s="609">
        <v>2113.861654416678</v>
      </c>
      <c r="P31" s="609">
        <v>2013.6606802441133</v>
      </c>
    </row>
    <row r="32" spans="1:16" ht="14.1" x14ac:dyDescent="0.4">
      <c r="A32" s="609">
        <v>2008</v>
      </c>
      <c r="B32" s="885">
        <v>3439719</v>
      </c>
      <c r="C32" s="886">
        <f t="shared" si="3"/>
        <v>1308.1434112083723</v>
      </c>
      <c r="E32" s="887">
        <v>6789771</v>
      </c>
      <c r="F32" s="888">
        <f t="shared" si="4"/>
        <v>2582.1859859086403</v>
      </c>
      <c r="I32" s="1089">
        <v>2028</v>
      </c>
      <c r="J32" s="609">
        <v>23303.297564198201</v>
      </c>
      <c r="L32" s="609">
        <f t="shared" si="0"/>
        <v>451.42992159758796</v>
      </c>
      <c r="M32" s="609">
        <f t="shared" si="1"/>
        <v>0</v>
      </c>
      <c r="N32" s="1104">
        <v>2261.8199999999997</v>
      </c>
      <c r="O32" s="609">
        <v>2135.3593558733128</v>
      </c>
      <c r="P32" s="609">
        <v>2039.0857861392471</v>
      </c>
    </row>
    <row r="33" spans="1:16" ht="14.1" x14ac:dyDescent="0.4">
      <c r="A33" s="609">
        <v>2009</v>
      </c>
      <c r="B33" s="885">
        <v>3516830</v>
      </c>
      <c r="C33" s="886">
        <f t="shared" si="3"/>
        <v>1336.3665783049403</v>
      </c>
      <c r="E33" s="887">
        <v>6873741</v>
      </c>
      <c r="F33" s="888">
        <f t="shared" si="4"/>
        <v>2611.9652472039816</v>
      </c>
      <c r="I33" s="1089">
        <v>2029</v>
      </c>
      <c r="J33" s="609">
        <v>23872.809563041294</v>
      </c>
      <c r="L33" s="609">
        <f t="shared" si="0"/>
        <v>454.07793217285212</v>
      </c>
      <c r="M33" s="609">
        <f t="shared" si="1"/>
        <v>0</v>
      </c>
      <c r="N33" s="1104">
        <v>2310.7599999999998</v>
      </c>
      <c r="O33" s="609">
        <v>2158.4431511425901</v>
      </c>
      <c r="P33" s="609">
        <v>2067.7701870211208</v>
      </c>
    </row>
    <row r="34" spans="1:16" ht="14.1" x14ac:dyDescent="0.4">
      <c r="A34" s="609">
        <v>2010</v>
      </c>
      <c r="B34" s="885">
        <v>3594868</v>
      </c>
      <c r="C34" s="886">
        <f t="shared" si="3"/>
        <v>1386.8972311026359</v>
      </c>
      <c r="E34" s="887">
        <v>6958169</v>
      </c>
      <c r="F34" s="888">
        <f t="shared" si="4"/>
        <v>2684.4560967591015</v>
      </c>
      <c r="I34" s="1089">
        <v>2030</v>
      </c>
      <c r="J34" s="609">
        <v>24442.32156188439</v>
      </c>
      <c r="K34" s="890">
        <v>5167258</v>
      </c>
      <c r="L34" s="609">
        <f t="shared" si="0"/>
        <v>456.66351033177125</v>
      </c>
      <c r="M34" s="609">
        <f t="shared" si="1"/>
        <v>2359.6981770699276</v>
      </c>
      <c r="N34" s="1103">
        <v>2359.6999999999998</v>
      </c>
      <c r="O34" s="609">
        <v>2183.1130402245089</v>
      </c>
      <c r="P34" s="609">
        <v>2099.507745739209</v>
      </c>
    </row>
    <row r="35" spans="1:16" ht="14.1" x14ac:dyDescent="0.4">
      <c r="A35" s="609">
        <v>2011</v>
      </c>
      <c r="B35" s="885">
        <v>3671424</v>
      </c>
      <c r="C35" s="886">
        <f t="shared" si="3"/>
        <v>1438.5524184464962</v>
      </c>
      <c r="E35" s="887">
        <v>7043009</v>
      </c>
      <c r="F35" s="888">
        <f t="shared" si="4"/>
        <v>2759.6206894356078</v>
      </c>
      <c r="I35" s="1089">
        <v>2031</v>
      </c>
      <c r="J35" s="609">
        <v>25011.833560727486</v>
      </c>
      <c r="L35" s="609">
        <f t="shared" si="0"/>
        <v>459.18953234139212</v>
      </c>
      <c r="M35" s="609">
        <f t="shared" si="1"/>
        <v>0</v>
      </c>
      <c r="N35" s="1104">
        <v>2408.62</v>
      </c>
      <c r="O35" s="609">
        <v>2209.3690231190699</v>
      </c>
      <c r="P35" s="609">
        <v>2134.0923251429854</v>
      </c>
    </row>
    <row r="36" spans="1:16" ht="14.1" x14ac:dyDescent="0.4">
      <c r="A36" s="609">
        <v>2012</v>
      </c>
      <c r="B36" s="885">
        <v>3747843</v>
      </c>
      <c r="C36" s="886">
        <f t="shared" si="3"/>
        <v>1486.2673251365438</v>
      </c>
      <c r="E36" s="887">
        <v>7128177</v>
      </c>
      <c r="F36" s="888">
        <f t="shared" si="4"/>
        <v>2826.7930548024115</v>
      </c>
      <c r="I36" s="1089">
        <v>2032</v>
      </c>
      <c r="J36" s="609">
        <v>25581.345559570582</v>
      </c>
      <c r="L36" s="609">
        <f t="shared" si="0"/>
        <v>461.65868017119669</v>
      </c>
      <c r="M36" s="609">
        <f t="shared" si="1"/>
        <v>0</v>
      </c>
      <c r="N36" s="1104">
        <v>2457.54</v>
      </c>
      <c r="O36" s="609">
        <v>2237.2110998262729</v>
      </c>
      <c r="P36" s="609">
        <v>2171.3177880819253</v>
      </c>
    </row>
    <row r="37" spans="1:16" ht="14.1" x14ac:dyDescent="0.4">
      <c r="A37" s="609">
        <v>2013</v>
      </c>
      <c r="B37" s="885">
        <v>3824990</v>
      </c>
      <c r="C37" s="886">
        <f t="shared" si="3"/>
        <v>1533.7019675037075</v>
      </c>
      <c r="E37" s="887">
        <v>7213426</v>
      </c>
      <c r="F37" s="888">
        <f t="shared" si="4"/>
        <v>2892.3593652904706</v>
      </c>
      <c r="I37" s="1089">
        <v>2033</v>
      </c>
      <c r="J37" s="609">
        <v>26150.857558413678</v>
      </c>
      <c r="L37" s="609">
        <f t="shared" si="0"/>
        <v>464.07345860866076</v>
      </c>
      <c r="M37" s="609">
        <f t="shared" si="1"/>
        <v>0</v>
      </c>
      <c r="N37" s="1104">
        <v>2506.46</v>
      </c>
      <c r="O37" s="609">
        <v>2266.6392703461179</v>
      </c>
      <c r="P37" s="609">
        <v>2210.9779974055027</v>
      </c>
    </row>
    <row r="38" spans="1:16" ht="14.1" x14ac:dyDescent="0.4">
      <c r="A38" s="609">
        <v>2014</v>
      </c>
      <c r="B38" s="885">
        <v>3902832</v>
      </c>
      <c r="C38" s="886">
        <f t="shared" si="3"/>
        <v>1582.8611387154083</v>
      </c>
      <c r="E38" s="887">
        <v>7298453</v>
      </c>
      <c r="F38" s="888">
        <f t="shared" si="4"/>
        <v>2960.0140683587933</v>
      </c>
      <c r="I38" s="1089">
        <v>2034</v>
      </c>
      <c r="J38" s="609">
        <v>26720.369557256774</v>
      </c>
      <c r="L38" s="609">
        <f t="shared" si="0"/>
        <v>466.43621053072957</v>
      </c>
      <c r="M38" s="609">
        <f t="shared" si="1"/>
        <v>0</v>
      </c>
      <c r="N38" s="1104">
        <v>2555.38</v>
      </c>
      <c r="O38" s="609">
        <v>2297.653534678605</v>
      </c>
      <c r="P38" s="609">
        <v>2252.866815963192</v>
      </c>
    </row>
    <row r="39" spans="1:16" ht="14.1" x14ac:dyDescent="0.4">
      <c r="A39" s="609">
        <v>2015</v>
      </c>
      <c r="B39" s="885">
        <v>3981498</v>
      </c>
      <c r="C39" s="886">
        <f t="shared" si="3"/>
        <v>1627.7214294544435</v>
      </c>
      <c r="E39" s="887">
        <v>7383009</v>
      </c>
      <c r="F39" s="888">
        <f t="shared" si="4"/>
        <v>3018.331784457765</v>
      </c>
      <c r="I39" s="1089">
        <v>2035</v>
      </c>
      <c r="J39" s="609">
        <v>27289.88155609987</v>
      </c>
      <c r="K39" s="890">
        <v>5555833</v>
      </c>
      <c r="L39" s="609">
        <f t="shared" si="0"/>
        <v>468.74913056460787</v>
      </c>
      <c r="M39" s="609">
        <f t="shared" si="1"/>
        <v>2604.291888312157</v>
      </c>
      <c r="N39" s="1103">
        <v>2604.3000000000002</v>
      </c>
      <c r="O39" s="609">
        <v>2330.2538928237336</v>
      </c>
      <c r="P39" s="609">
        <v>2296.7781066044672</v>
      </c>
    </row>
    <row r="40" spans="1:16" ht="14.1" x14ac:dyDescent="0.4">
      <c r="A40" s="609">
        <v>2016</v>
      </c>
      <c r="B40" s="885">
        <v>4060653</v>
      </c>
      <c r="C40" s="886">
        <f t="shared" si="3"/>
        <v>1674.6272875888531</v>
      </c>
      <c r="E40" s="887">
        <v>7466964</v>
      </c>
      <c r="F40" s="888">
        <f t="shared" si="4"/>
        <v>3079.40167993759</v>
      </c>
      <c r="I40" s="1089">
        <v>2036</v>
      </c>
      <c r="J40" s="609">
        <v>27859.393554942963</v>
      </c>
      <c r="L40" s="609">
        <f t="shared" si="0"/>
        <v>471.01427733752075</v>
      </c>
      <c r="M40" s="609">
        <f t="shared" si="1"/>
        <v>0</v>
      </c>
      <c r="N40" s="1104">
        <v>2653.08</v>
      </c>
      <c r="O40" s="609">
        <v>2364.4403447815048</v>
      </c>
      <c r="P40" s="609">
        <v>2342.5057321788036</v>
      </c>
    </row>
    <row r="41" spans="1:16" ht="14.1" x14ac:dyDescent="0.4">
      <c r="A41" s="609">
        <v>2017</v>
      </c>
      <c r="B41" s="885">
        <v>4140189</v>
      </c>
      <c r="C41" s="886">
        <f t="shared" si="3"/>
        <v>1729.0875899394905</v>
      </c>
      <c r="E41" s="887">
        <v>7550262</v>
      </c>
      <c r="F41" s="888">
        <f t="shared" si="4"/>
        <v>3153.2532270849756</v>
      </c>
      <c r="I41" s="1089">
        <v>2037</v>
      </c>
      <c r="J41" s="609">
        <v>28428.905553786059</v>
      </c>
      <c r="L41" s="609">
        <f t="shared" si="0"/>
        <v>473.23358448680392</v>
      </c>
      <c r="M41" s="609">
        <f t="shared" si="1"/>
        <v>0</v>
      </c>
      <c r="N41" s="1104">
        <v>2701.86</v>
      </c>
      <c r="O41" s="609">
        <v>2400.2128905519176</v>
      </c>
      <c r="P41" s="609">
        <v>2389.8435555356746</v>
      </c>
    </row>
    <row r="42" spans="1:16" ht="14.1" x14ac:dyDescent="0.4">
      <c r="A42" s="609">
        <v>2018</v>
      </c>
      <c r="B42" s="885">
        <v>4219817</v>
      </c>
      <c r="C42" s="886">
        <f t="shared" si="3"/>
        <v>1782.7707004450785</v>
      </c>
      <c r="E42" s="887">
        <v>7632819</v>
      </c>
      <c r="F42" s="888">
        <f t="shared" si="4"/>
        <v>3224.6815620204634</v>
      </c>
      <c r="I42" s="1089">
        <v>2038</v>
      </c>
      <c r="J42" s="609">
        <v>28998.417552629155</v>
      </c>
      <c r="L42" s="609">
        <f t="shared" si="0"/>
        <v>475.408870577887</v>
      </c>
      <c r="M42" s="609">
        <f t="shared" si="1"/>
        <v>0</v>
      </c>
      <c r="N42" s="1104">
        <v>2750.6400000000003</v>
      </c>
      <c r="O42" s="609">
        <v>2437.5715301349728</v>
      </c>
      <c r="P42" s="609">
        <v>2438.5854395245556</v>
      </c>
    </row>
    <row r="43" spans="1:16" ht="14.1" x14ac:dyDescent="0.4">
      <c r="I43" s="1089">
        <v>2039</v>
      </c>
      <c r="J43" s="609">
        <v>29567.929551472247</v>
      </c>
      <c r="L43" s="609">
        <f t="shared" si="0"/>
        <v>477.54184805763725</v>
      </c>
      <c r="M43" s="609">
        <f t="shared" si="1"/>
        <v>0</v>
      </c>
      <c r="N43" s="1104">
        <v>2799.42</v>
      </c>
      <c r="O43" s="609">
        <v>2476.5162635306697</v>
      </c>
      <c r="P43" s="609">
        <v>2488.5252469949201</v>
      </c>
    </row>
    <row r="44" spans="1:16" ht="14.1" x14ac:dyDescent="0.4">
      <c r="A44" t="s">
        <v>747</v>
      </c>
      <c r="I44" s="1089">
        <v>2040</v>
      </c>
      <c r="J44" s="609">
        <v>30137.441550315343</v>
      </c>
      <c r="K44" s="890">
        <v>5938249</v>
      </c>
      <c r="L44" s="609">
        <f t="shared" si="0"/>
        <v>479.6341313535097</v>
      </c>
      <c r="M44" s="609">
        <f t="shared" si="1"/>
        <v>2848.1869008758476</v>
      </c>
      <c r="N44" s="1103">
        <v>2848.2</v>
      </c>
      <c r="O44" s="609">
        <v>2517.0470907390086</v>
      </c>
      <c r="P44" s="609">
        <v>2539.4568407962429</v>
      </c>
    </row>
    <row r="45" spans="1:16" ht="14.1" x14ac:dyDescent="0.4">
      <c r="I45" s="1089">
        <v>2041</v>
      </c>
      <c r="J45" s="609">
        <v>30706.953549158439</v>
      </c>
      <c r="L45" s="609">
        <f t="shared" si="0"/>
        <v>481.687244214462</v>
      </c>
      <c r="M45" s="609">
        <f t="shared" si="1"/>
        <v>0</v>
      </c>
      <c r="N45" s="1104">
        <v>2896.6</v>
      </c>
      <c r="O45" s="609">
        <v>2559.1640117599891</v>
      </c>
      <c r="P45" s="609">
        <v>2591.174083777998</v>
      </c>
    </row>
    <row r="46" spans="1:16" ht="14.1" x14ac:dyDescent="0.4">
      <c r="I46" s="1089">
        <v>2042</v>
      </c>
      <c r="J46" s="609">
        <v>31276.465548001535</v>
      </c>
      <c r="L46" s="609">
        <f t="shared" si="0"/>
        <v>483.70262637726046</v>
      </c>
      <c r="M46" s="609">
        <f t="shared" si="1"/>
        <v>0</v>
      </c>
      <c r="N46" s="1104">
        <v>2945</v>
      </c>
      <c r="O46" s="609">
        <v>2602.8670265936121</v>
      </c>
      <c r="P46" s="609">
        <v>2643.4708387896608</v>
      </c>
    </row>
    <row r="47" spans="1:16" ht="14.1" x14ac:dyDescent="0.4">
      <c r="A47" s="1" t="s">
        <v>746</v>
      </c>
      <c r="I47" s="1089">
        <v>2043</v>
      </c>
      <c r="J47" s="609">
        <v>31845.977546844631</v>
      </c>
      <c r="L47" s="609">
        <f t="shared" si="0"/>
        <v>485.68163963122447</v>
      </c>
      <c r="M47" s="609">
        <f t="shared" si="1"/>
        <v>0</v>
      </c>
      <c r="N47" s="1104">
        <v>2993.3999999999996</v>
      </c>
      <c r="O47" s="609">
        <v>2648.1561352398771</v>
      </c>
      <c r="P47" s="609">
        <v>2696.1409686807046</v>
      </c>
    </row>
    <row r="48" spans="1:16" ht="14.1" x14ac:dyDescent="0.4">
      <c r="B48" s="609" t="s">
        <v>736</v>
      </c>
      <c r="C48" s="609" t="s">
        <v>745</v>
      </c>
      <c r="E48" t="s">
        <v>748</v>
      </c>
      <c r="I48" s="1089">
        <v>2044</v>
      </c>
      <c r="J48" s="609">
        <v>32415.489545687724</v>
      </c>
      <c r="L48" s="609">
        <f t="shared" si="0"/>
        <v>487.62557334539929</v>
      </c>
      <c r="M48" s="609">
        <f t="shared" si="1"/>
        <v>0</v>
      </c>
      <c r="N48" s="1104">
        <v>3041.8</v>
      </c>
      <c r="O48" s="609">
        <v>2695.0313376987842</v>
      </c>
      <c r="P48" s="609">
        <v>2748.978336300604</v>
      </c>
    </row>
    <row r="49" spans="1:16" ht="14.4" x14ac:dyDescent="0.55000000000000004">
      <c r="A49" s="889">
        <v>2020</v>
      </c>
      <c r="B49" s="890">
        <v>4378994</v>
      </c>
      <c r="C49" s="884">
        <v>7795482</v>
      </c>
      <c r="E49" s="609">
        <v>103037100</v>
      </c>
      <c r="I49" s="1089">
        <v>2045</v>
      </c>
      <c r="J49" s="609">
        <v>32985.001544530824</v>
      </c>
      <c r="K49" s="890">
        <v>6312545</v>
      </c>
      <c r="L49" s="609">
        <f t="shared" si="0"/>
        <v>489.53564951434487</v>
      </c>
      <c r="M49" s="609">
        <f t="shared" si="1"/>
        <v>3090.2158166635304</v>
      </c>
      <c r="N49" s="1103">
        <v>3090.2</v>
      </c>
      <c r="O49" s="609">
        <v>2743.4926339703329</v>
      </c>
      <c r="P49" s="609">
        <v>2801.7768044988338</v>
      </c>
    </row>
    <row r="50" spans="1:16" ht="14.4" x14ac:dyDescent="0.55000000000000004">
      <c r="A50" s="889">
        <v>2025</v>
      </c>
      <c r="B50" s="890">
        <v>4774646</v>
      </c>
      <c r="C50" s="884">
        <v>8185614</v>
      </c>
      <c r="E50" s="609">
        <v>119707700</v>
      </c>
      <c r="I50" s="1089">
        <v>2046</v>
      </c>
      <c r="J50" s="609">
        <v>33554.51354337392</v>
      </c>
      <c r="L50" s="609">
        <f t="shared" si="0"/>
        <v>491.41302737198612</v>
      </c>
      <c r="M50" s="609">
        <f t="shared" si="1"/>
        <v>0</v>
      </c>
      <c r="N50" s="1104">
        <v>3138.16</v>
      </c>
      <c r="O50" s="609">
        <v>2793.5400240545237</v>
      </c>
      <c r="P50" s="609">
        <v>2854.3302361248684</v>
      </c>
    </row>
    <row r="51" spans="1:16" ht="14.4" x14ac:dyDescent="0.55000000000000004">
      <c r="A51" s="889">
        <v>2030</v>
      </c>
      <c r="B51" s="890">
        <v>5167258</v>
      </c>
      <c r="C51" s="884">
        <v>8551199</v>
      </c>
      <c r="E51" s="609">
        <v>137451300</v>
      </c>
      <c r="I51" s="1089">
        <v>2047</v>
      </c>
      <c r="J51" s="609">
        <v>34124.025542217016</v>
      </c>
      <c r="L51" s="609">
        <f t="shared" si="0"/>
        <v>493.25880761715439</v>
      </c>
      <c r="M51" s="609">
        <f t="shared" si="1"/>
        <v>0</v>
      </c>
      <c r="N51" s="1104">
        <v>3186.12</v>
      </c>
      <c r="O51" s="609">
        <v>2845.1735079513564</v>
      </c>
      <c r="P51" s="609">
        <v>2906.4324940281822</v>
      </c>
    </row>
    <row r="52" spans="1:16" ht="14.4" x14ac:dyDescent="0.55000000000000004">
      <c r="A52" s="889">
        <v>2035</v>
      </c>
      <c r="B52" s="890">
        <v>5555833</v>
      </c>
      <c r="C52" s="884">
        <v>8892702</v>
      </c>
      <c r="E52" s="609">
        <v>156212100</v>
      </c>
      <c r="I52" s="1089">
        <v>2048</v>
      </c>
      <c r="J52" s="609">
        <v>34693.537541060112</v>
      </c>
      <c r="L52" s="609">
        <f t="shared" si="0"/>
        <v>495.07403628938596</v>
      </c>
      <c r="M52" s="609">
        <f t="shared" si="1"/>
        <v>0</v>
      </c>
      <c r="N52" s="1104">
        <v>3234.08</v>
      </c>
      <c r="O52" s="609">
        <v>2898.3930856608313</v>
      </c>
      <c r="P52" s="609">
        <v>2957.8774410582487</v>
      </c>
    </row>
    <row r="53" spans="1:16" ht="14.4" x14ac:dyDescent="0.55000000000000004">
      <c r="A53" s="889">
        <v>2040</v>
      </c>
      <c r="B53" s="890">
        <v>5938249</v>
      </c>
      <c r="C53" s="884">
        <v>9210337</v>
      </c>
      <c r="E53" s="609">
        <v>175741200</v>
      </c>
      <c r="I53" s="1089">
        <v>2049</v>
      </c>
      <c r="J53" s="609">
        <v>35263.049539903201</v>
      </c>
      <c r="L53" s="609">
        <f t="shared" si="0"/>
        <v>496.8597083291495</v>
      </c>
      <c r="M53" s="609">
        <f t="shared" si="1"/>
        <v>0</v>
      </c>
      <c r="N53" s="1104">
        <v>3282.04</v>
      </c>
      <c r="O53" s="609">
        <v>2953.1987571829477</v>
      </c>
      <c r="P53" s="609">
        <v>3008.4589400645432</v>
      </c>
    </row>
    <row r="54" spans="1:16" ht="14.4" x14ac:dyDescent="0.55000000000000004">
      <c r="A54" s="889">
        <v>2045</v>
      </c>
      <c r="B54" s="890">
        <v>6312545</v>
      </c>
      <c r="C54" s="884">
        <v>9504210</v>
      </c>
      <c r="E54" s="609">
        <v>196242100</v>
      </c>
      <c r="I54" s="1089">
        <v>2050</v>
      </c>
      <c r="J54" s="609">
        <v>35832.561538746297</v>
      </c>
      <c r="K54" s="890">
        <v>6679756</v>
      </c>
      <c r="L54" s="609">
        <f t="shared" si="0"/>
        <v>498.61677085284691</v>
      </c>
      <c r="M54" s="609">
        <f t="shared" si="1"/>
        <v>3330.6383668049293</v>
      </c>
      <c r="N54" s="1103">
        <v>3330</v>
      </c>
      <c r="O54" s="609">
        <v>3009.5905225177066</v>
      </c>
      <c r="P54" s="609">
        <v>3057.9708538965397</v>
      </c>
    </row>
    <row r="55" spans="1:16" ht="14.4" x14ac:dyDescent="0.55000000000000004">
      <c r="A55" s="889">
        <v>2050</v>
      </c>
      <c r="B55" s="890">
        <v>6679756</v>
      </c>
      <c r="C55" s="884">
        <v>9771823</v>
      </c>
      <c r="E55" s="609">
        <v>218138100</v>
      </c>
      <c r="I55" s="1089">
        <v>2051</v>
      </c>
      <c r="J55" s="609">
        <v>36402.073537589393</v>
      </c>
      <c r="L55" s="609">
        <f t="shared" si="0"/>
        <v>500.3461261695677</v>
      </c>
      <c r="M55" s="609">
        <f t="shared" si="1"/>
        <v>0</v>
      </c>
      <c r="N55" s="1104">
        <v>3377.96</v>
      </c>
      <c r="O55" s="609">
        <v>3067.5683816651076</v>
      </c>
      <c r="P55" s="609">
        <v>3106.207045403713</v>
      </c>
    </row>
    <row r="56" spans="1:16" ht="14.1" x14ac:dyDescent="0.4">
      <c r="I56" s="1089">
        <v>2052</v>
      </c>
      <c r="J56" s="609">
        <v>36971.585536432489</v>
      </c>
      <c r="L56" s="609">
        <f t="shared" si="0"/>
        <v>502.04863456366388</v>
      </c>
      <c r="M56" s="609">
        <f t="shared" si="1"/>
        <v>0</v>
      </c>
      <c r="N56" s="1104">
        <v>3425.92</v>
      </c>
      <c r="O56" s="609">
        <v>3127.1323346251502</v>
      </c>
      <c r="P56" s="609">
        <v>3152.9613774355366</v>
      </c>
    </row>
    <row r="57" spans="1:16" ht="14.1" x14ac:dyDescent="0.4">
      <c r="A57" t="s">
        <v>749</v>
      </c>
      <c r="I57" s="1089">
        <v>2053</v>
      </c>
      <c r="J57" s="609">
        <v>37541.097535275578</v>
      </c>
      <c r="L57" s="609">
        <f t="shared" si="0"/>
        <v>503.72511686462053</v>
      </c>
      <c r="M57" s="609">
        <f t="shared" si="1"/>
        <v>0</v>
      </c>
      <c r="N57" s="1104">
        <v>3473.88</v>
      </c>
      <c r="O57" s="609">
        <v>3188.2823813978348</v>
      </c>
      <c r="P57" s="609">
        <v>3198.0277128414864</v>
      </c>
    </row>
    <row r="58" spans="1:16" ht="14.1" x14ac:dyDescent="0.4">
      <c r="I58" s="1089">
        <v>2054</v>
      </c>
      <c r="J58" s="609">
        <v>38110.609534118674</v>
      </c>
      <c r="L58" s="609">
        <f t="shared" si="0"/>
        <v>505.37635682344217</v>
      </c>
      <c r="M58" s="609">
        <f t="shared" si="1"/>
        <v>0</v>
      </c>
      <c r="N58" s="1104">
        <v>3521.84</v>
      </c>
      <c r="O58" s="609">
        <v>3251.0185219831619</v>
      </c>
      <c r="P58" s="609">
        <v>3241.1999144710353</v>
      </c>
    </row>
    <row r="59" spans="1:16" ht="14.1" x14ac:dyDescent="0.4">
      <c r="I59" s="1089">
        <v>2055</v>
      </c>
      <c r="J59" s="609">
        <v>38680.12153296177</v>
      </c>
      <c r="L59" s="609">
        <f t="shared" si="0"/>
        <v>507.00310331277615</v>
      </c>
      <c r="M59" s="609">
        <f t="shared" si="1"/>
        <v>0</v>
      </c>
      <c r="N59" s="1104">
        <v>3569.8</v>
      </c>
      <c r="O59" s="609">
        <v>3315.3407563811306</v>
      </c>
      <c r="P59" s="609">
        <v>3282.2718451736591</v>
      </c>
    </row>
    <row r="60" spans="1:16" ht="14.1" x14ac:dyDescent="0.4">
      <c r="I60" s="1089">
        <v>2056</v>
      </c>
      <c r="J60" s="609">
        <v>39249.633531804866</v>
      </c>
      <c r="L60" s="609">
        <f t="shared" si="0"/>
        <v>508.60607236623196</v>
      </c>
      <c r="M60" s="609">
        <f t="shared" si="1"/>
        <v>0</v>
      </c>
      <c r="N60" s="1104">
        <v>3617.76</v>
      </c>
      <c r="O60" s="609">
        <v>3381.2490845917409</v>
      </c>
      <c r="P60" s="609">
        <v>3321.0373677988305</v>
      </c>
    </row>
    <row r="61" spans="1:16" ht="14.1" x14ac:dyDescent="0.4">
      <c r="A61" t="s">
        <v>750</v>
      </c>
      <c r="I61" s="1089">
        <v>2057</v>
      </c>
      <c r="J61" s="609">
        <v>39819.145530647962</v>
      </c>
      <c r="L61" s="609">
        <f t="shared" si="0"/>
        <v>510.18594907080001</v>
      </c>
      <c r="M61" s="609">
        <f t="shared" si="1"/>
        <v>0</v>
      </c>
      <c r="N61" s="1104">
        <v>3665.7200000000003</v>
      </c>
      <c r="O61" s="609">
        <v>3448.7435066149937</v>
      </c>
      <c r="P61" s="609">
        <v>3357.2903451960246</v>
      </c>
    </row>
    <row r="62" spans="1:16" ht="14.1" x14ac:dyDescent="0.4">
      <c r="B62" s="609" t="s">
        <v>736</v>
      </c>
      <c r="C62" s="609" t="s">
        <v>745</v>
      </c>
      <c r="D62" s="609"/>
      <c r="E62" s="609" t="s">
        <v>748</v>
      </c>
      <c r="I62" s="1089">
        <v>2058</v>
      </c>
      <c r="J62" s="609">
        <v>40388.657529491058</v>
      </c>
      <c r="L62" s="609">
        <f t="shared" si="0"/>
        <v>511.74338932488445</v>
      </c>
      <c r="M62" s="609">
        <f t="shared" si="1"/>
        <v>0</v>
      </c>
      <c r="N62" s="1104">
        <v>3713.6800000000003</v>
      </c>
      <c r="O62" s="609">
        <v>3517.8240224508882</v>
      </c>
      <c r="P62" s="609">
        <v>3390.824640214717</v>
      </c>
    </row>
    <row r="63" spans="1:16" ht="14.4" x14ac:dyDescent="0.55000000000000004">
      <c r="A63" s="889">
        <v>2020</v>
      </c>
      <c r="B63" s="884">
        <v>4378994</v>
      </c>
      <c r="C63" s="884">
        <v>7795482</v>
      </c>
      <c r="E63" s="847">
        <v>103037100</v>
      </c>
      <c r="I63" s="1089">
        <v>2059</v>
      </c>
      <c r="J63" s="609">
        <v>40958.169528334154</v>
      </c>
      <c r="L63" s="609">
        <f t="shared" si="0"/>
        <v>513.27902147324198</v>
      </c>
      <c r="M63" s="609">
        <f t="shared" si="1"/>
        <v>0</v>
      </c>
      <c r="N63" s="1104">
        <v>3761.6400000000003</v>
      </c>
      <c r="O63" s="609">
        <v>3588.4906320994251</v>
      </c>
      <c r="P63" s="609">
        <v>3421.4341157043805</v>
      </c>
    </row>
    <row r="64" spans="1:16" ht="14.7" thickBot="1" x14ac:dyDescent="0.6">
      <c r="A64" s="889">
        <v>2021</v>
      </c>
      <c r="B64" s="884">
        <v>4458417</v>
      </c>
      <c r="C64" s="884">
        <v>7875465</v>
      </c>
      <c r="E64" s="847">
        <v>106369400</v>
      </c>
      <c r="I64" s="1090">
        <v>2060</v>
      </c>
      <c r="J64" s="609">
        <v>41527.68152717725</v>
      </c>
      <c r="L64" s="609">
        <f t="shared" si="0"/>
        <v>514.7934478290299</v>
      </c>
      <c r="M64" s="609">
        <f t="shared" si="1"/>
        <v>0</v>
      </c>
      <c r="N64" s="1105">
        <v>3809.6000000000004</v>
      </c>
      <c r="O64" s="609">
        <v>3660.7433355606036</v>
      </c>
      <c r="P64" s="609">
        <v>3448.9126345144905</v>
      </c>
    </row>
    <row r="65" spans="1:16" ht="14.4" x14ac:dyDescent="0.55000000000000004">
      <c r="A65" s="889">
        <v>2022</v>
      </c>
      <c r="B65" s="884">
        <v>4537671</v>
      </c>
      <c r="C65" s="884">
        <v>7954469</v>
      </c>
      <c r="E65" s="847">
        <v>109667900</v>
      </c>
      <c r="O65" s="609">
        <v>3734.5821328344246</v>
      </c>
      <c r="P65" s="609">
        <v>3473.0540594945196</v>
      </c>
    </row>
    <row r="66" spans="1:16" ht="14.4" x14ac:dyDescent="0.55000000000000004">
      <c r="A66" s="889">
        <v>2023</v>
      </c>
      <c r="B66" s="884">
        <v>4616770</v>
      </c>
      <c r="C66" s="884">
        <v>8032487</v>
      </c>
      <c r="E66" s="847">
        <v>112969800</v>
      </c>
      <c r="O66" s="609">
        <v>3810.0070239208871</v>
      </c>
      <c r="P66" s="609">
        <v>3493.652253493945</v>
      </c>
    </row>
    <row r="67" spans="1:16" ht="14.4" x14ac:dyDescent="0.55000000000000004">
      <c r="A67" s="889">
        <v>2024</v>
      </c>
      <c r="B67" s="884">
        <v>4695753</v>
      </c>
      <c r="C67" s="884">
        <v>8109533</v>
      </c>
      <c r="E67" s="847">
        <v>116310100</v>
      </c>
      <c r="O67" s="609">
        <v>3887.0180088199913</v>
      </c>
      <c r="P67" s="609">
        <v>3510.5010793622391</v>
      </c>
    </row>
    <row r="68" spans="1:16" ht="14.4" x14ac:dyDescent="0.55000000000000004">
      <c r="A68" s="889">
        <v>2025</v>
      </c>
      <c r="B68" s="884">
        <v>4774646</v>
      </c>
      <c r="C68" s="884">
        <v>8185614</v>
      </c>
      <c r="E68" s="847">
        <v>119707700</v>
      </c>
      <c r="O68" s="609">
        <v>3965.615087531738</v>
      </c>
      <c r="P68" s="609">
        <v>3523.394399948877</v>
      </c>
    </row>
    <row r="69" spans="1:16" ht="14.4" x14ac:dyDescent="0.55000000000000004">
      <c r="A69" s="889">
        <v>2026</v>
      </c>
      <c r="B69" s="884">
        <v>4853440</v>
      </c>
      <c r="C69" s="884">
        <v>8260710</v>
      </c>
      <c r="E69" s="847">
        <v>123158600</v>
      </c>
      <c r="O69" s="609">
        <v>4045.7982600561268</v>
      </c>
      <c r="P69" s="609">
        <v>3532.1260781033325</v>
      </c>
    </row>
    <row r="70" spans="1:16" ht="14.4" x14ac:dyDescent="0.55000000000000004">
      <c r="A70" s="889">
        <v>2027</v>
      </c>
      <c r="B70" s="884">
        <v>4932106</v>
      </c>
      <c r="C70" s="884">
        <v>8334802</v>
      </c>
      <c r="E70" s="847">
        <v>126660500</v>
      </c>
      <c r="O70" s="609">
        <v>4127.5675263931571</v>
      </c>
      <c r="P70" s="609">
        <v>3536.4899766750805</v>
      </c>
    </row>
    <row r="71" spans="1:16" ht="14.4" x14ac:dyDescent="0.55000000000000004">
      <c r="A71" s="889">
        <v>2028</v>
      </c>
      <c r="B71" s="884">
        <v>5010637</v>
      </c>
      <c r="C71" s="884">
        <v>8407900</v>
      </c>
      <c r="E71" s="847">
        <v>130211500</v>
      </c>
    </row>
    <row r="72" spans="1:16" ht="14.4" x14ac:dyDescent="0.55000000000000004">
      <c r="A72" s="889">
        <v>2029</v>
      </c>
      <c r="B72" s="884">
        <v>5089024</v>
      </c>
      <c r="C72" s="884">
        <v>8480027</v>
      </c>
      <c r="E72" s="847">
        <v>133809400</v>
      </c>
    </row>
    <row r="73" spans="1:16" ht="14.4" x14ac:dyDescent="0.55000000000000004">
      <c r="A73" s="889">
        <v>2030</v>
      </c>
      <c r="B73" s="884">
        <v>5167258</v>
      </c>
      <c r="C73" s="884">
        <v>8551199</v>
      </c>
      <c r="E73" s="847">
        <v>137451300</v>
      </c>
    </row>
    <row r="74" spans="1:16" ht="14.4" x14ac:dyDescent="0.55000000000000004">
      <c r="A74" s="889">
        <v>2031</v>
      </c>
      <c r="B74" s="884">
        <v>5245334</v>
      </c>
      <c r="C74" s="884">
        <v>8621416</v>
      </c>
      <c r="E74" s="847">
        <v>141134700</v>
      </c>
    </row>
    <row r="75" spans="1:16" ht="14.4" x14ac:dyDescent="0.55000000000000004">
      <c r="A75" s="889">
        <v>2032</v>
      </c>
      <c r="B75" s="884">
        <v>5323245</v>
      </c>
      <c r="C75" s="884">
        <v>8690674</v>
      </c>
      <c r="E75" s="847">
        <v>144854900</v>
      </c>
    </row>
    <row r="76" spans="1:16" ht="14.4" x14ac:dyDescent="0.55000000000000004">
      <c r="A76" s="889">
        <v>2033</v>
      </c>
      <c r="B76" s="884">
        <v>5400980</v>
      </c>
      <c r="C76" s="884">
        <v>8758973</v>
      </c>
      <c r="E76" s="847">
        <v>148609900</v>
      </c>
    </row>
    <row r="77" spans="1:16" ht="14.4" x14ac:dyDescent="0.55000000000000004">
      <c r="A77" s="889">
        <v>2034</v>
      </c>
      <c r="B77" s="884">
        <v>5478519</v>
      </c>
      <c r="C77" s="884">
        <v>8826316</v>
      </c>
      <c r="E77" s="847">
        <v>152396600</v>
      </c>
    </row>
    <row r="78" spans="1:16" ht="14.4" x14ac:dyDescent="0.55000000000000004">
      <c r="A78" s="889">
        <v>2035</v>
      </c>
      <c r="B78" s="884">
        <v>5555833</v>
      </c>
      <c r="C78" s="884">
        <v>8892702</v>
      </c>
      <c r="E78" s="847">
        <v>156212100</v>
      </c>
    </row>
    <row r="79" spans="1:16" ht="14.4" x14ac:dyDescent="0.55000000000000004">
      <c r="A79" s="889">
        <v>2036</v>
      </c>
      <c r="B79" s="884">
        <v>5632878</v>
      </c>
      <c r="C79" s="884">
        <v>8958127</v>
      </c>
      <c r="E79" s="847">
        <v>160055300</v>
      </c>
    </row>
    <row r="80" spans="1:16" ht="14.4" x14ac:dyDescent="0.55000000000000004">
      <c r="A80" s="889">
        <v>2037</v>
      </c>
      <c r="B80" s="884">
        <v>5709649</v>
      </c>
      <c r="C80" s="884">
        <v>9022590</v>
      </c>
      <c r="E80" s="847">
        <v>163927700</v>
      </c>
    </row>
    <row r="81" spans="1:5" ht="14.4" x14ac:dyDescent="0.55000000000000004">
      <c r="A81" s="889">
        <v>2038</v>
      </c>
      <c r="B81" s="884">
        <v>5786163</v>
      </c>
      <c r="C81" s="884">
        <v>9086104</v>
      </c>
      <c r="E81" s="847">
        <v>167831600</v>
      </c>
    </row>
    <row r="82" spans="1:5" ht="14.4" x14ac:dyDescent="0.55000000000000004">
      <c r="A82" s="889">
        <v>2039</v>
      </c>
      <c r="B82" s="884">
        <v>5862368</v>
      </c>
      <c r="C82" s="884">
        <v>9148684</v>
      </c>
      <c r="E82" s="847">
        <v>171768800</v>
      </c>
    </row>
    <row r="83" spans="1:5" ht="14.4" x14ac:dyDescent="0.55000000000000004">
      <c r="A83" s="889">
        <v>2040</v>
      </c>
      <c r="B83" s="884">
        <v>5938249</v>
      </c>
      <c r="C83" s="884">
        <v>9210337</v>
      </c>
      <c r="E83" s="847">
        <v>175741200</v>
      </c>
    </row>
    <row r="84" spans="1:5" ht="14.4" x14ac:dyDescent="0.55000000000000004">
      <c r="A84" s="889">
        <v>2041</v>
      </c>
      <c r="B84" s="884">
        <v>6013773</v>
      </c>
      <c r="C84" s="884">
        <v>9271063</v>
      </c>
      <c r="E84" s="847">
        <v>179751800</v>
      </c>
    </row>
    <row r="85" spans="1:5" ht="14.4" x14ac:dyDescent="0.55000000000000004">
      <c r="A85" s="889">
        <v>2042</v>
      </c>
      <c r="B85" s="884">
        <v>6088941</v>
      </c>
      <c r="C85" s="884">
        <v>9330846</v>
      </c>
      <c r="E85" s="847">
        <v>183803500</v>
      </c>
    </row>
    <row r="86" spans="1:5" ht="14.4" x14ac:dyDescent="0.55000000000000004">
      <c r="A86" s="889">
        <v>2043</v>
      </c>
      <c r="B86" s="884">
        <v>6163655</v>
      </c>
      <c r="C86" s="884">
        <v>9389656</v>
      </c>
      <c r="E86" s="847">
        <v>187900500</v>
      </c>
    </row>
    <row r="87" spans="1:5" ht="14.4" x14ac:dyDescent="0.55000000000000004">
      <c r="A87" s="889">
        <v>2044</v>
      </c>
      <c r="B87" s="884">
        <v>6238212</v>
      </c>
      <c r="C87" s="884">
        <v>9447455</v>
      </c>
      <c r="E87" s="847">
        <v>192046000</v>
      </c>
    </row>
    <row r="88" spans="1:5" ht="14.4" x14ac:dyDescent="0.55000000000000004">
      <c r="A88" s="889">
        <v>2045</v>
      </c>
      <c r="B88" s="884">
        <v>6312545</v>
      </c>
      <c r="C88" s="884">
        <v>9504210</v>
      </c>
      <c r="E88" s="847">
        <v>196242100</v>
      </c>
    </row>
    <row r="89" spans="1:5" ht="14.4" x14ac:dyDescent="0.55000000000000004">
      <c r="A89" s="889">
        <v>2046</v>
      </c>
      <c r="B89" s="884">
        <v>6386625</v>
      </c>
      <c r="C89" s="884">
        <v>9559909</v>
      </c>
      <c r="E89" s="847">
        <v>200491500</v>
      </c>
    </row>
    <row r="90" spans="1:5" ht="14.4" x14ac:dyDescent="0.55000000000000004">
      <c r="A90" s="889">
        <v>2047</v>
      </c>
      <c r="B90" s="884">
        <v>6460428</v>
      </c>
      <c r="C90" s="884">
        <v>9614545</v>
      </c>
      <c r="E90" s="847">
        <v>204800800</v>
      </c>
    </row>
    <row r="91" spans="1:5" ht="14.4" x14ac:dyDescent="0.55000000000000004">
      <c r="A91" s="889">
        <v>2048</v>
      </c>
      <c r="B91" s="884">
        <v>6533912</v>
      </c>
      <c r="C91" s="884">
        <v>9668093</v>
      </c>
      <c r="E91" s="847">
        <v>209175500</v>
      </c>
    </row>
    <row r="92" spans="1:5" ht="14.4" x14ac:dyDescent="0.55000000000000004">
      <c r="A92" s="889">
        <v>2049</v>
      </c>
      <c r="B92" s="884">
        <v>6607034</v>
      </c>
      <c r="C92" s="884">
        <v>9720526</v>
      </c>
      <c r="E92" s="847">
        <v>213620100</v>
      </c>
    </row>
    <row r="93" spans="1:5" ht="14.4" x14ac:dyDescent="0.55000000000000004">
      <c r="A93" s="889">
        <v>2050</v>
      </c>
      <c r="B93" s="884">
        <v>6679756</v>
      </c>
      <c r="C93" s="884">
        <v>9771823</v>
      </c>
      <c r="E93" s="847">
        <v>218138100</v>
      </c>
    </row>
    <row r="94" spans="1:5" x14ac:dyDescent="0.4">
      <c r="A94" s="609">
        <v>2051</v>
      </c>
      <c r="E94" s="847">
        <v>222732700</v>
      </c>
    </row>
    <row r="95" spans="1:5" x14ac:dyDescent="0.4">
      <c r="A95" s="609">
        <v>2052</v>
      </c>
      <c r="E95" s="847">
        <v>227400500</v>
      </c>
    </row>
    <row r="96" spans="1:5" x14ac:dyDescent="0.4">
      <c r="A96" s="609">
        <v>2053</v>
      </c>
      <c r="E96" s="847">
        <v>232143700</v>
      </c>
    </row>
    <row r="97" spans="1:5" x14ac:dyDescent="0.4">
      <c r="A97" s="609">
        <v>2054</v>
      </c>
      <c r="E97" s="847">
        <v>236962300</v>
      </c>
    </row>
    <row r="98" spans="1:5" x14ac:dyDescent="0.4">
      <c r="A98" s="609">
        <v>2055</v>
      </c>
      <c r="E98" s="847">
        <v>241856500</v>
      </c>
    </row>
    <row r="99" spans="1:5" x14ac:dyDescent="0.4">
      <c r="A99" s="609">
        <v>2056</v>
      </c>
      <c r="E99" s="847">
        <v>246828200</v>
      </c>
    </row>
    <row r="100" spans="1:5" x14ac:dyDescent="0.4">
      <c r="A100" s="609">
        <v>2057</v>
      </c>
      <c r="E100" s="847">
        <v>251890500</v>
      </c>
    </row>
    <row r="101" spans="1:5" x14ac:dyDescent="0.4">
      <c r="A101" s="609">
        <v>2058</v>
      </c>
      <c r="E101" s="847">
        <v>257049600</v>
      </c>
    </row>
    <row r="102" spans="1:5" x14ac:dyDescent="0.4">
      <c r="A102" s="609">
        <v>2059</v>
      </c>
      <c r="E102" s="847">
        <v>262310300</v>
      </c>
    </row>
    <row r="103" spans="1:5" x14ac:dyDescent="0.4">
      <c r="A103" s="609">
        <v>2060</v>
      </c>
      <c r="E103" s="847">
        <v>267676800</v>
      </c>
    </row>
  </sheetData>
  <mergeCells count="2">
    <mergeCell ref="K7:K8"/>
    <mergeCell ref="N7:N8"/>
  </mergeCells>
  <hyperlinks>
    <hyperlink ref="A6" r:id="rId1" xr:uid="{F03B7710-D75B-1D4A-B3BF-9DE6EAB627BB}"/>
  </hyperlink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172"/>
    <cellWatch r="BB172"/>
    <cellWatch r="AZ173"/>
    <cellWatch r="AZ174"/>
    <cellWatch r="AZ175"/>
    <cellWatch r="AZ176"/>
    <cellWatch r="AZ242"/>
    <cellWatch r="AZ243"/>
    <cellWatch r="AZ244"/>
    <cellWatch r="AZ245"/>
    <cellWatch r="AZ246"/>
    <cellWatch r="AZ177"/>
    <cellWatch r="AZ178"/>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Y183"/>
    <cellWatch r="AY184"/>
    <cellWatch r="AY185"/>
    <cellWatch r="AY186"/>
    <cellWatch r="AY187"/>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Y148"/>
    <cellWatch r="AY149"/>
    <cellWatch r="AY150"/>
    <cellWatch r="AY151"/>
    <cellWatch r="AY152"/>
    <cellWatch r="AZ247"/>
    <cellWatch r="AZ179"/>
    <cellWatch r="AZ180"/>
    <cellWatch r="AZ181"/>
    <cellWatch r="AZ182"/>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BA172"/>
    <cellWatch r="AZ322"/>
    <cellWatch r="BB173"/>
    <cellWatch r="AY188"/>
    <cellWatch r="AY145"/>
    <cellWatch r="AY146"/>
    <cellWatch r="AY147"/>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AY139"/>
    <cellWatch r="AY140"/>
    <cellWatch r="AY141"/>
    <cellWatch r="AY142"/>
    <cellWatch r="AY143"/>
    <cellWatch r="AY144"/>
    <cellWatch r="AY135"/>
    <cellWatch r="AY136"/>
    <cellWatch r="AY137"/>
    <cellWatch r="AY138"/>
    <cellWatch r="AZ323"/>
    <cellWatch r="BB174"/>
    <cellWatch r="BB175"/>
    <cellWatch r="AZ324"/>
    <cellWatch r="AZ325"/>
    <cellWatch r="AY189"/>
    <cellWatch r="AY190"/>
    <cellWatch r="AY191"/>
    <cellWatch r="AZ183"/>
    <cellWatch r="AZ184"/>
    <cellWatch r="AZ185"/>
    <cellWatch r="AZ186"/>
    <cellWatch r="AZ187"/>
    <cellWatch r="AZ188"/>
    <cellWatch r="AZ189"/>
    <cellWatch r="AZ190"/>
    <cellWatch r="AZ191"/>
    <cellWatch r="AZ192"/>
    <cellWatch r="AZ193"/>
    <cellWatch r="AZ194"/>
    <cellWatch r="AZ195"/>
    <cellWatch r="AZ196"/>
    <cellWatch r="AZ197"/>
    <cellWatch r="AZ198"/>
    <cellWatch r="AZ199"/>
    <cellWatch r="AZ200"/>
    <cellWatch r="AZ201"/>
    <cellWatch r="AZ202"/>
    <cellWatch r="AZ248"/>
    <cellWatch r="AZ249"/>
    <cellWatch r="AZ250"/>
    <cellWatch r="AZ253"/>
    <cellWatch r="AZ254"/>
    <cellWatch r="AZ255"/>
    <cellWatch r="AZ256"/>
    <cellWatch r="AZ257"/>
    <cellWatch r="AZ258"/>
    <cellWatch r="AZ259"/>
    <cellWatch r="AZ260"/>
    <cellWatch r="AZ261"/>
    <cellWatch r="AZ262"/>
    <cellWatch r="AZ263"/>
    <cellWatch r="AZ264"/>
    <cellWatch r="AZ265"/>
    <cellWatch r="AZ268"/>
    <cellWatch r="AZ269"/>
    <cellWatch r="AZ270"/>
    <cellWatch r="AZ271"/>
    <cellWatch r="AZ272"/>
    <cellWatch r="AZ273"/>
    <cellWatch r="AZ274"/>
    <cellWatch r="AZ275"/>
    <cellWatch r="AZ276"/>
    <cellWatch r="AZ277"/>
    <cellWatch r="AU144"/>
    <cellWatch r="AU145"/>
    <cellWatch r="AU146"/>
    <cellWatch r="AU147"/>
    <cellWatch r="AU148"/>
    <cellWatch r="AU149"/>
    <cellWatch r="AU150"/>
    <cellWatch r="AU151"/>
    <cellWatch r="AU152"/>
    <cellWatch r="AU153"/>
    <cellWatch r="AU154"/>
    <cellWatch r="AU155"/>
    <cellWatch r="AU156"/>
    <cellWatch r="AU157"/>
    <cellWatch r="AU158"/>
    <cellWatch r="AU159"/>
    <cellWatch r="AU160"/>
    <cellWatch r="AU161"/>
    <cellWatch r="AU162"/>
    <cellWatch r="AU163"/>
    <cellWatch r="AU164"/>
    <cellWatch r="AU165"/>
    <cellWatch r="AU166"/>
    <cellWatch r="AU167"/>
    <cellWatch r="AU168"/>
    <cellWatch r="AU169"/>
    <cellWatch r="AU170"/>
    <cellWatch r="AU171"/>
    <cellWatch r="AU172"/>
    <cellWatch r="AU173"/>
    <cellWatch r="AU174"/>
    <cellWatch r="AU175"/>
    <cellWatch r="AU176"/>
    <cellWatch r="AU177"/>
    <cellWatch r="AU178"/>
    <cellWatch r="AU224"/>
    <cellWatch r="AU225"/>
    <cellWatch r="AU226"/>
    <cellWatch r="AU227"/>
    <cellWatch r="AU228"/>
    <cellWatch r="AU229"/>
    <cellWatch r="AU230"/>
    <cellWatch r="AU231"/>
    <cellWatch r="AU232"/>
    <cellWatch r="AU233"/>
    <cellWatch r="AU234"/>
    <cellWatch r="AU235"/>
    <cellWatch r="AU236"/>
    <cellWatch r="AU237"/>
    <cellWatch r="AU238"/>
    <cellWatch r="AU239"/>
    <cellWatch r="AU240"/>
    <cellWatch r="AU241"/>
    <cellWatch r="AU242"/>
    <cellWatch r="AU243"/>
    <cellWatch r="AU244"/>
    <cellWatch r="AU245"/>
    <cellWatch r="AU246"/>
    <cellWatch r="AU247"/>
    <cellWatch r="AU248"/>
    <cellWatch r="AU249"/>
    <cellWatch r="AU250"/>
    <cellWatch r="AU251"/>
    <cellWatch r="AU252"/>
    <cellWatch r="AU253"/>
    <cellWatch r="AU179"/>
    <cellWatch r="AU180"/>
    <cellWatch r="AU181"/>
    <cellWatch r="AU182"/>
    <cellWatch r="AU183"/>
    <cellWatch r="AU219"/>
    <cellWatch r="AU220"/>
    <cellWatch r="AU221"/>
    <cellWatch r="AU222"/>
    <cellWatch r="AU223"/>
    <cellWatch r="AV144"/>
    <cellWatch r="AV145"/>
    <cellWatch r="AV146"/>
    <cellWatch r="AV147"/>
    <cellWatch r="AV148"/>
    <cellWatch r="AV149"/>
    <cellWatch r="AV150"/>
    <cellWatch r="AV151"/>
    <cellWatch r="AV152"/>
    <cellWatch r="AV153"/>
    <cellWatch r="AV154"/>
    <cellWatch r="AV155"/>
    <cellWatch r="AV156"/>
    <cellWatch r="AV157"/>
    <cellWatch r="AV158"/>
    <cellWatch r="AV159"/>
    <cellWatch r="AV160"/>
    <cellWatch r="AV161"/>
    <cellWatch r="AV162"/>
    <cellWatch r="AV163"/>
    <cellWatch r="AV164"/>
    <cellWatch r="AV165"/>
    <cellWatch r="AV166"/>
    <cellWatch r="AV167"/>
    <cellWatch r="AV168"/>
    <cellWatch r="AV169"/>
    <cellWatch r="AV170"/>
    <cellWatch r="AV171"/>
    <cellWatch r="AV172"/>
    <cellWatch r="AV173"/>
    <cellWatch r="AV174"/>
    <cellWatch r="AV175"/>
    <cellWatch r="AV176"/>
    <cellWatch r="AV177"/>
    <cellWatch r="AV178"/>
    <cellWatch r="AT155"/>
    <cellWatch r="AT156"/>
    <cellWatch r="AT157"/>
    <cellWatch r="AT158"/>
    <cellWatch r="AT159"/>
    <cellWatch r="AT160"/>
    <cellWatch r="AT161"/>
    <cellWatch r="AT162"/>
    <cellWatch r="AT163"/>
    <cellWatch r="AT164"/>
    <cellWatch r="AT165"/>
    <cellWatch r="AT166"/>
    <cellWatch r="AT167"/>
    <cellWatch r="AT168"/>
    <cellWatch r="AT169"/>
    <cellWatch r="AT170"/>
    <cellWatch r="AT171"/>
    <cellWatch r="AT172"/>
    <cellWatch r="AT173"/>
    <cellWatch r="AT174"/>
    <cellWatch r="AT175"/>
    <cellWatch r="AT176"/>
    <cellWatch r="AT177"/>
    <cellWatch r="AT178"/>
    <cellWatch r="AT179"/>
    <cellWatch r="AT180"/>
    <cellWatch r="AT181"/>
    <cellWatch r="AT182"/>
    <cellWatch r="AT183"/>
    <cellWatch r="AT184"/>
    <cellWatch r="AT185"/>
    <cellWatch r="AT186"/>
    <cellWatch r="AT187"/>
    <cellWatch r="AT188"/>
    <cellWatch r="AT189"/>
    <cellWatch r="AU303"/>
    <cellWatch r="AU304"/>
    <cellWatch r="AU305"/>
    <cellWatch r="AU306"/>
    <cellWatch r="AU307"/>
    <cellWatch r="AU308"/>
    <cellWatch r="AU309"/>
    <cellWatch r="AU310"/>
    <cellWatch r="AU311"/>
    <cellWatch r="AU312"/>
    <cellWatch r="AU313"/>
    <cellWatch r="AU314"/>
    <cellWatch r="AU315"/>
    <cellWatch r="AU316"/>
    <cellWatch r="AU317"/>
    <cellWatch r="AU318"/>
    <cellWatch r="AU319"/>
    <cellWatch r="AU320"/>
    <cellWatch r="AU321"/>
    <cellWatch r="AU322"/>
    <cellWatch r="AU323"/>
    <cellWatch r="AU324"/>
    <cellWatch r="AU325"/>
    <cellWatch r="AU326"/>
    <cellWatch r="AU327"/>
    <cellWatch r="AU328"/>
    <cellWatch r="AW144"/>
    <cellWatch r="AW145"/>
    <cellWatch r="AW147"/>
    <cellWatch r="AW148"/>
    <cellWatch r="AW149"/>
    <cellWatch r="AW150"/>
    <cellWatch r="AW151"/>
    <cellWatch r="AW152"/>
    <cellWatch r="AW153"/>
    <cellWatch r="AW154"/>
    <cellWatch r="AW155"/>
    <cellWatch r="AW156"/>
    <cellWatch r="AW157"/>
    <cellWatch r="AW158"/>
    <cellWatch r="AW159"/>
    <cellWatch r="AW160"/>
    <cellWatch r="AW161"/>
    <cellWatch r="AW162"/>
    <cellWatch r="AW163"/>
    <cellWatch r="AW164"/>
    <cellWatch r="AW165"/>
    <cellWatch r="AW166"/>
    <cellWatch r="AW167"/>
    <cellWatch r="AW168"/>
    <cellWatch r="AW169"/>
    <cellWatch r="AW170"/>
    <cellWatch r="AW171"/>
    <cellWatch r="AW172"/>
    <cellWatch r="AW173"/>
    <cellWatch r="AW174"/>
    <cellWatch r="AW175"/>
    <cellWatch r="AW176"/>
    <cellWatch r="AW177"/>
    <cellWatch r="AW178"/>
    <cellWatch r="AW179"/>
    <cellWatch r="AU184"/>
    <cellWatch r="AU185"/>
    <cellWatch r="AT190"/>
    <cellWatch r="AT191"/>
    <cellWatch r="AT192"/>
    <cellWatch r="AT193"/>
    <cellWatch r="AT194"/>
    <cellWatch r="AU142"/>
    <cellWatch r="AU143"/>
    <cellWatch r="AT151"/>
    <cellWatch r="AT152"/>
    <cellWatch r="AT153"/>
    <cellWatch r="AT154"/>
    <cellWatch r="AU140"/>
    <cellWatch r="AU141"/>
    <cellWatch r="AU215"/>
    <cellWatch r="AU216"/>
    <cellWatch r="AU217"/>
    <cellWatch r="AU218"/>
    <cellWatch r="AV140"/>
    <cellWatch r="AV141"/>
    <cellWatch r="AV142"/>
    <cellWatch r="AV143"/>
    <cellWatch r="AT142"/>
    <cellWatch r="AT143"/>
    <cellWatch r="AT144"/>
    <cellWatch r="AT145"/>
    <cellWatch r="AT146"/>
    <cellWatch r="AT147"/>
    <cellWatch r="AT148"/>
    <cellWatch r="AT149"/>
    <cellWatch r="AT150"/>
    <cellWatch r="AU299"/>
    <cellWatch r="AU300"/>
    <cellWatch r="AU301"/>
    <cellWatch r="AU302"/>
    <cellWatch r="AW140"/>
    <cellWatch r="AW141"/>
    <cellWatch r="AW142"/>
    <cellWatch r="AW143"/>
    <cellWatch r="AW146"/>
    <cellWatch r="AT138"/>
    <cellWatch r="AT139"/>
    <cellWatch r="AT140"/>
    <cellWatch r="AT141"/>
    <cellWatch r="AZ251"/>
  </cellWatche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5CEAA-499A-7741-8CF5-769711702CFF}">
  <dimension ref="A1:R90"/>
  <sheetViews>
    <sheetView zoomScale="87" zoomScaleNormal="87" workbookViewId="0">
      <selection activeCell="I24" sqref="I24"/>
    </sheetView>
  </sheetViews>
  <sheetFormatPr defaultColWidth="10.6640625" defaultRowHeight="12.3" x14ac:dyDescent="0.4"/>
  <cols>
    <col min="1" max="1" width="40.6640625" customWidth="1"/>
    <col min="13" max="13" width="27.1640625" customWidth="1"/>
  </cols>
  <sheetData>
    <row r="1" spans="1:14" x14ac:dyDescent="0.4">
      <c r="A1" s="1" t="s">
        <v>550</v>
      </c>
    </row>
    <row r="2" spans="1:14" x14ac:dyDescent="0.4">
      <c r="A2" s="1"/>
    </row>
    <row r="3" spans="1:14" x14ac:dyDescent="0.4">
      <c r="A3" s="1" t="s">
        <v>569</v>
      </c>
    </row>
    <row r="4" spans="1:14" x14ac:dyDescent="0.4">
      <c r="M4" s="1" t="s">
        <v>577</v>
      </c>
    </row>
    <row r="5" spans="1:14" x14ac:dyDescent="0.4">
      <c r="A5" s="713" t="s">
        <v>551</v>
      </c>
      <c r="B5" s="713" t="s">
        <v>568</v>
      </c>
      <c r="C5" s="713">
        <v>2010</v>
      </c>
      <c r="D5" s="713">
        <v>2011</v>
      </c>
      <c r="E5" s="713">
        <v>2012</v>
      </c>
      <c r="F5" s="713">
        <v>2013</v>
      </c>
      <c r="G5" s="713">
        <v>2014</v>
      </c>
      <c r="H5" s="713">
        <v>2015</v>
      </c>
      <c r="I5" s="713">
        <v>2016</v>
      </c>
      <c r="J5" s="713">
        <v>2017</v>
      </c>
      <c r="M5" t="s">
        <v>578</v>
      </c>
      <c r="N5" s="723">
        <v>0.52100000000000002</v>
      </c>
    </row>
    <row r="6" spans="1:14" x14ac:dyDescent="0.4">
      <c r="A6" s="714" t="s">
        <v>552</v>
      </c>
      <c r="B6" s="717">
        <v>84840000</v>
      </c>
      <c r="C6" s="717">
        <v>71310000</v>
      </c>
      <c r="D6" s="717">
        <v>69950000</v>
      </c>
      <c r="E6" s="717">
        <v>68620000</v>
      </c>
      <c r="F6" s="717">
        <v>68550000</v>
      </c>
      <c r="G6" s="717">
        <v>68610000</v>
      </c>
      <c r="H6" s="717">
        <v>68050000</v>
      </c>
      <c r="I6" s="718">
        <v>67480000</v>
      </c>
      <c r="J6" s="718">
        <v>67010000</v>
      </c>
      <c r="M6" t="s">
        <v>534</v>
      </c>
      <c r="N6" s="723">
        <v>0.251</v>
      </c>
    </row>
    <row r="7" spans="1:14" x14ac:dyDescent="0.4">
      <c r="A7" s="714" t="s">
        <v>553</v>
      </c>
      <c r="B7" s="717">
        <v>12540000</v>
      </c>
      <c r="C7" s="717">
        <v>11520000</v>
      </c>
      <c r="D7" s="717">
        <v>11490000</v>
      </c>
      <c r="E7" s="717">
        <v>11590000</v>
      </c>
      <c r="F7" s="717">
        <v>11540000</v>
      </c>
      <c r="G7" s="717">
        <v>11480000</v>
      </c>
      <c r="H7" s="717">
        <v>11470000</v>
      </c>
      <c r="I7" s="718">
        <v>11480000</v>
      </c>
      <c r="J7" s="718">
        <v>11380000</v>
      </c>
      <c r="M7" t="s">
        <v>540</v>
      </c>
      <c r="N7" s="723">
        <v>0.10100000000000001</v>
      </c>
    </row>
    <row r="8" spans="1:14" x14ac:dyDescent="0.4">
      <c r="A8" s="714" t="s">
        <v>554</v>
      </c>
      <c r="B8" s="717">
        <v>15210000</v>
      </c>
      <c r="C8" s="717">
        <v>16920000</v>
      </c>
      <c r="D8" s="717">
        <v>16650000</v>
      </c>
      <c r="E8" s="717">
        <v>16940000</v>
      </c>
      <c r="F8" s="717">
        <v>17720000</v>
      </c>
      <c r="G8" s="717">
        <v>17880000</v>
      </c>
      <c r="H8" s="717">
        <v>18190000</v>
      </c>
      <c r="I8" s="718">
        <v>18690000</v>
      </c>
      <c r="J8" s="718">
        <v>18890000</v>
      </c>
      <c r="M8" t="s">
        <v>579</v>
      </c>
      <c r="N8" s="723">
        <v>0.127</v>
      </c>
    </row>
    <row r="9" spans="1:14" x14ac:dyDescent="0.4">
      <c r="A9" s="714" t="s">
        <v>555</v>
      </c>
      <c r="B9" s="717">
        <v>3330000</v>
      </c>
      <c r="C9" s="717">
        <v>3510000</v>
      </c>
      <c r="D9" s="717">
        <v>3520000</v>
      </c>
      <c r="E9" s="717">
        <v>3510000</v>
      </c>
      <c r="F9" s="717">
        <v>3500000</v>
      </c>
      <c r="G9" s="717">
        <v>3560000</v>
      </c>
      <c r="H9" s="717">
        <v>3670000</v>
      </c>
      <c r="I9" s="718">
        <v>3770000</v>
      </c>
      <c r="J9" s="718">
        <v>3830000</v>
      </c>
    </row>
    <row r="10" spans="1:14" x14ac:dyDescent="0.4">
      <c r="A10" s="714" t="s">
        <v>556</v>
      </c>
      <c r="B10" s="717">
        <v>1860000</v>
      </c>
      <c r="C10" s="717">
        <v>2020000</v>
      </c>
      <c r="D10" s="717">
        <v>2020000</v>
      </c>
      <c r="E10" s="717">
        <v>1980000</v>
      </c>
      <c r="F10" s="717">
        <v>2010000</v>
      </c>
      <c r="G10" s="717">
        <v>2020000</v>
      </c>
      <c r="H10" s="717">
        <v>2010000</v>
      </c>
      <c r="I10" s="718">
        <v>2140000</v>
      </c>
      <c r="J10" s="718">
        <v>2330000</v>
      </c>
    </row>
    <row r="11" spans="1:14" x14ac:dyDescent="0.4">
      <c r="A11" s="714" t="s">
        <v>557</v>
      </c>
      <c r="B11" s="717">
        <v>20400000</v>
      </c>
      <c r="C11" s="717">
        <v>22450000</v>
      </c>
      <c r="D11" s="717">
        <v>22190000</v>
      </c>
      <c r="E11" s="717">
        <v>22430000</v>
      </c>
      <c r="F11" s="717">
        <v>23230000</v>
      </c>
      <c r="G11" s="717">
        <v>23460000</v>
      </c>
      <c r="H11" s="717">
        <v>23870000</v>
      </c>
      <c r="I11" s="718">
        <v>24600000</v>
      </c>
      <c r="J11" s="718">
        <v>25050000</v>
      </c>
      <c r="M11" s="1" t="s">
        <v>585</v>
      </c>
    </row>
    <row r="12" spans="1:14" x14ac:dyDescent="0.4">
      <c r="A12" s="714" t="s">
        <v>558</v>
      </c>
      <c r="B12" s="717">
        <v>29380000</v>
      </c>
      <c r="C12" s="717">
        <v>31400000</v>
      </c>
      <c r="D12" s="717">
        <v>32100000</v>
      </c>
      <c r="E12" s="717">
        <v>32070000</v>
      </c>
      <c r="F12" s="717">
        <v>32730000</v>
      </c>
      <c r="G12" s="717">
        <v>33340000</v>
      </c>
      <c r="H12" s="717">
        <v>34480000</v>
      </c>
      <c r="I12" s="718">
        <v>34870000</v>
      </c>
      <c r="J12" s="718">
        <v>35370000</v>
      </c>
      <c r="M12" t="s">
        <v>586</v>
      </c>
      <c r="N12" s="723">
        <v>0.152</v>
      </c>
    </row>
    <row r="13" spans="1:14" x14ac:dyDescent="0.4">
      <c r="A13" s="714" t="s">
        <v>559</v>
      </c>
      <c r="B13" s="717">
        <v>7290000</v>
      </c>
      <c r="C13" s="717">
        <v>7750000</v>
      </c>
      <c r="D13" s="717">
        <v>8010000</v>
      </c>
      <c r="E13" s="717">
        <v>8100000</v>
      </c>
      <c r="F13" s="717">
        <v>8350000</v>
      </c>
      <c r="G13" s="717">
        <v>8210000</v>
      </c>
      <c r="H13" s="717">
        <v>8560000</v>
      </c>
      <c r="I13" s="718">
        <v>9200000</v>
      </c>
      <c r="J13" s="718">
        <v>9110000</v>
      </c>
      <c r="M13" t="s">
        <v>202</v>
      </c>
      <c r="N13" s="730">
        <v>0.25</v>
      </c>
    </row>
    <row r="14" spans="1:14" x14ac:dyDescent="0.4">
      <c r="A14" s="714" t="s">
        <v>560</v>
      </c>
      <c r="B14" s="717">
        <v>11510000</v>
      </c>
      <c r="C14" s="717">
        <v>13220000</v>
      </c>
      <c r="D14" s="717">
        <v>13690000</v>
      </c>
      <c r="E14" s="717">
        <v>14480000</v>
      </c>
      <c r="F14" s="717">
        <v>14840000</v>
      </c>
      <c r="G14" s="717">
        <v>15240000</v>
      </c>
      <c r="H14" s="717">
        <v>16060000</v>
      </c>
      <c r="I14" s="718">
        <v>16880000</v>
      </c>
      <c r="J14" s="718">
        <v>16890000</v>
      </c>
      <c r="M14" t="s">
        <v>185</v>
      </c>
      <c r="N14" s="723">
        <v>4.2000000000000003E-2</v>
      </c>
    </row>
    <row r="15" spans="1:14" x14ac:dyDescent="0.4">
      <c r="A15" s="714" t="s">
        <v>561</v>
      </c>
      <c r="B15" s="717">
        <v>14790000</v>
      </c>
      <c r="C15" s="717">
        <v>15710000</v>
      </c>
      <c r="D15" s="717">
        <v>15780000</v>
      </c>
      <c r="E15" s="717">
        <v>15820000</v>
      </c>
      <c r="F15" s="717">
        <v>15770000</v>
      </c>
      <c r="G15" s="717">
        <v>16120000</v>
      </c>
      <c r="H15" s="717">
        <v>16300000</v>
      </c>
      <c r="I15" s="718">
        <v>18050000</v>
      </c>
      <c r="J15" s="718">
        <v>17990000</v>
      </c>
      <c r="M15" t="s">
        <v>587</v>
      </c>
      <c r="N15" s="723">
        <v>9.4E-2</v>
      </c>
    </row>
    <row r="16" spans="1:14" x14ac:dyDescent="0.4">
      <c r="A16" s="714" t="s">
        <v>562</v>
      </c>
      <c r="B16" s="717">
        <v>4290000</v>
      </c>
      <c r="C16" s="717">
        <v>4710000</v>
      </c>
      <c r="D16" s="717">
        <v>4870000</v>
      </c>
      <c r="E16" s="717">
        <v>4890000</v>
      </c>
      <c r="F16" s="717">
        <v>4870000</v>
      </c>
      <c r="G16" s="717">
        <v>4800000</v>
      </c>
      <c r="H16" s="717">
        <v>4880000</v>
      </c>
      <c r="I16" s="718">
        <v>4980000</v>
      </c>
      <c r="J16" s="718">
        <v>5100000</v>
      </c>
      <c r="M16" t="s">
        <v>183</v>
      </c>
      <c r="N16" s="723">
        <v>0.13200000000000001</v>
      </c>
    </row>
    <row r="17" spans="1:14" x14ac:dyDescent="0.4">
      <c r="A17" s="714" t="s">
        <v>563</v>
      </c>
      <c r="B17" s="717">
        <v>185040000</v>
      </c>
      <c r="C17" s="717">
        <v>178070000</v>
      </c>
      <c r="D17" s="717">
        <v>178080000</v>
      </c>
      <c r="E17" s="717">
        <v>178000000</v>
      </c>
      <c r="F17" s="717">
        <v>179880000</v>
      </c>
      <c r="G17" s="717">
        <v>181260000</v>
      </c>
      <c r="H17" s="717">
        <v>183670000</v>
      </c>
      <c r="I17" s="718">
        <v>187540000</v>
      </c>
      <c r="J17" s="718">
        <v>187900000</v>
      </c>
      <c r="M17" t="s">
        <v>588</v>
      </c>
      <c r="N17" s="723">
        <v>9.7000000000000003E-2</v>
      </c>
    </row>
    <row r="18" spans="1:14" x14ac:dyDescent="0.4">
      <c r="A18" s="714" t="s">
        <v>564</v>
      </c>
      <c r="B18" s="717">
        <v>32930000</v>
      </c>
      <c r="C18" s="717">
        <v>35740000</v>
      </c>
      <c r="D18" s="717">
        <v>36310000</v>
      </c>
      <c r="E18" s="717">
        <v>36430000</v>
      </c>
      <c r="F18" s="717">
        <v>37060000</v>
      </c>
      <c r="G18" s="717">
        <v>38670000</v>
      </c>
      <c r="H18" s="717">
        <v>39730000</v>
      </c>
      <c r="I18" s="718">
        <v>40310000</v>
      </c>
      <c r="J18" s="718">
        <v>40670000</v>
      </c>
      <c r="M18" t="s">
        <v>179</v>
      </c>
      <c r="N18" s="723">
        <v>6.7000000000000004E-2</v>
      </c>
    </row>
    <row r="19" spans="1:14" x14ac:dyDescent="0.4">
      <c r="A19" s="714" t="s">
        <v>565</v>
      </c>
      <c r="B19" s="717">
        <v>32070000</v>
      </c>
      <c r="C19" s="717">
        <v>33400000</v>
      </c>
      <c r="D19" s="717">
        <v>33710000</v>
      </c>
      <c r="E19" s="717">
        <v>33960000</v>
      </c>
      <c r="F19" s="717">
        <v>34200000</v>
      </c>
      <c r="G19" s="717">
        <v>34500000</v>
      </c>
      <c r="H19" s="717">
        <v>34720000</v>
      </c>
      <c r="I19" s="718">
        <v>34950000</v>
      </c>
      <c r="J19" s="718">
        <v>35180000</v>
      </c>
      <c r="M19" t="s">
        <v>589</v>
      </c>
      <c r="N19" s="723">
        <v>0.13100000000000001</v>
      </c>
    </row>
    <row r="20" spans="1:14" x14ac:dyDescent="0.4">
      <c r="A20" s="714" t="s">
        <v>566</v>
      </c>
      <c r="B20" s="717">
        <v>3690000</v>
      </c>
      <c r="C20" s="717">
        <v>3840000</v>
      </c>
      <c r="D20" s="717">
        <v>3870000</v>
      </c>
      <c r="E20" s="717">
        <v>3900000</v>
      </c>
      <c r="F20" s="717">
        <v>3930000</v>
      </c>
      <c r="G20" s="717">
        <v>3970000</v>
      </c>
      <c r="H20" s="717">
        <v>3990000</v>
      </c>
      <c r="I20" s="718">
        <v>4020000</v>
      </c>
      <c r="J20" s="718">
        <v>4040000</v>
      </c>
      <c r="M20" t="s">
        <v>205</v>
      </c>
      <c r="N20" s="723">
        <v>3.5000000000000003E-2</v>
      </c>
    </row>
    <row r="21" spans="1:14" x14ac:dyDescent="0.4">
      <c r="A21" s="714" t="s">
        <v>567</v>
      </c>
      <c r="B21" s="717">
        <v>68690000</v>
      </c>
      <c r="C21" s="717">
        <v>72980000</v>
      </c>
      <c r="D21" s="717">
        <v>73890000</v>
      </c>
      <c r="E21" s="717">
        <v>74290000</v>
      </c>
      <c r="F21" s="717">
        <v>75190000</v>
      </c>
      <c r="G21" s="717">
        <v>77140000</v>
      </c>
      <c r="H21" s="717">
        <v>78440000</v>
      </c>
      <c r="I21" s="718">
        <v>79280000</v>
      </c>
      <c r="J21" s="718">
        <v>79890000</v>
      </c>
    </row>
    <row r="22" spans="1:14" x14ac:dyDescent="0.4">
      <c r="A22" s="406" t="s">
        <v>1065</v>
      </c>
      <c r="B22" s="717">
        <v>253730000</v>
      </c>
      <c r="C22" s="717">
        <v>251050000</v>
      </c>
      <c r="D22" s="717">
        <v>251970000</v>
      </c>
      <c r="E22" s="717">
        <v>252290000</v>
      </c>
      <c r="F22" s="717">
        <v>255070000</v>
      </c>
      <c r="G22" s="717">
        <v>258400000</v>
      </c>
      <c r="H22" s="717">
        <v>262110000</v>
      </c>
      <c r="I22" s="718">
        <v>266820000</v>
      </c>
      <c r="J22" s="718">
        <v>267790000</v>
      </c>
    </row>
    <row r="23" spans="1:14" x14ac:dyDescent="0.4">
      <c r="A23" s="979" t="s">
        <v>1040</v>
      </c>
      <c r="B23" s="1">
        <f>B22*0.907185</f>
        <v>230180050.05000001</v>
      </c>
      <c r="C23" s="1">
        <f t="shared" ref="C23:J23" si="0">C22*0.907185</f>
        <v>227748794.25</v>
      </c>
      <c r="D23" s="1">
        <f t="shared" si="0"/>
        <v>228583404.45000002</v>
      </c>
      <c r="E23" s="1">
        <f t="shared" si="0"/>
        <v>228873703.65000001</v>
      </c>
      <c r="F23" s="1">
        <f t="shared" si="0"/>
        <v>231395677.95000002</v>
      </c>
      <c r="G23" s="1">
        <f t="shared" si="0"/>
        <v>234416604</v>
      </c>
      <c r="H23" s="1">
        <f t="shared" si="0"/>
        <v>237782260.34999999</v>
      </c>
      <c r="I23" s="1">
        <f t="shared" si="0"/>
        <v>242055101.70000002</v>
      </c>
      <c r="J23" s="1">
        <f t="shared" si="0"/>
        <v>242935071.15000001</v>
      </c>
    </row>
    <row r="24" spans="1:14" ht="12.6" x14ac:dyDescent="0.45">
      <c r="A24" s="719" t="s">
        <v>570</v>
      </c>
      <c r="B24">
        <f>B23/1000000</f>
        <v>230.18005005000001</v>
      </c>
      <c r="C24" s="609">
        <f t="shared" ref="C24:J24" si="1">C23/1000000</f>
        <v>227.74879425</v>
      </c>
      <c r="D24" s="609">
        <f t="shared" si="1"/>
        <v>228.58340445000002</v>
      </c>
      <c r="E24" s="609">
        <f t="shared" si="1"/>
        <v>228.87370365000001</v>
      </c>
      <c r="F24" s="609">
        <f t="shared" si="1"/>
        <v>231.39567795000002</v>
      </c>
      <c r="G24" s="609">
        <f t="shared" si="1"/>
        <v>234.41660400000001</v>
      </c>
      <c r="H24" s="609">
        <f t="shared" si="1"/>
        <v>237.78226035</v>
      </c>
      <c r="I24" s="609">
        <f t="shared" si="1"/>
        <v>242.05510170000002</v>
      </c>
      <c r="J24" s="609">
        <f t="shared" si="1"/>
        <v>242.93507115</v>
      </c>
    </row>
    <row r="25" spans="1:14" x14ac:dyDescent="0.4">
      <c r="B25" s="980">
        <v>227749</v>
      </c>
      <c r="C25" s="980">
        <v>227876</v>
      </c>
      <c r="D25" s="980">
        <v>228465</v>
      </c>
      <c r="E25">
        <f>E23/1000</f>
        <v>228873.70365000001</v>
      </c>
      <c r="F25" s="980">
        <v>231350</v>
      </c>
      <c r="G25" s="980">
        <v>234471</v>
      </c>
      <c r="H25" s="980">
        <v>237782.19200000001</v>
      </c>
      <c r="I25" s="980">
        <v>242055.03200000001</v>
      </c>
      <c r="J25" s="980">
        <v>242935.00200000001</v>
      </c>
    </row>
    <row r="28" spans="1:14" x14ac:dyDescent="0.4">
      <c r="A28" s="720" t="s">
        <v>571</v>
      </c>
    </row>
    <row r="29" spans="1:14" x14ac:dyDescent="0.4">
      <c r="A29" s="713" t="s">
        <v>551</v>
      </c>
      <c r="B29" s="713" t="s">
        <v>568</v>
      </c>
      <c r="C29" s="713">
        <v>2010</v>
      </c>
      <c r="D29" s="713">
        <v>2011</v>
      </c>
      <c r="E29" s="713">
        <v>2012</v>
      </c>
      <c r="F29" s="713">
        <v>2013</v>
      </c>
      <c r="G29" s="713">
        <v>2014</v>
      </c>
      <c r="H29" s="713">
        <v>2015</v>
      </c>
      <c r="I29" s="713">
        <v>2016</v>
      </c>
      <c r="J29" s="713">
        <v>2017</v>
      </c>
      <c r="M29" t="s">
        <v>584</v>
      </c>
    </row>
    <row r="30" spans="1:14" x14ac:dyDescent="0.4">
      <c r="A30" s="714" t="s">
        <v>552</v>
      </c>
      <c r="B30" s="715">
        <v>35080000</v>
      </c>
      <c r="C30" s="715">
        <v>22000000</v>
      </c>
      <c r="D30" s="715">
        <v>19380000</v>
      </c>
      <c r="E30" s="715">
        <v>19490000</v>
      </c>
      <c r="F30" s="715">
        <v>20160000</v>
      </c>
      <c r="G30" s="715">
        <v>19470000</v>
      </c>
      <c r="H30" s="715">
        <v>18280000</v>
      </c>
      <c r="I30" s="716">
        <v>17660000</v>
      </c>
      <c r="J30" s="716">
        <v>18350000</v>
      </c>
    </row>
    <row r="31" spans="1:14" x14ac:dyDescent="0.4">
      <c r="A31" s="714" t="s">
        <v>553</v>
      </c>
      <c r="B31" s="715">
        <v>8290000</v>
      </c>
      <c r="C31" s="715">
        <v>7030000</v>
      </c>
      <c r="D31" s="715">
        <v>6820000</v>
      </c>
      <c r="E31" s="715">
        <v>6900000</v>
      </c>
      <c r="F31" s="715">
        <v>6940000</v>
      </c>
      <c r="G31" s="715">
        <v>7020000</v>
      </c>
      <c r="H31" s="715">
        <v>6840000</v>
      </c>
      <c r="I31" s="716">
        <v>6880000</v>
      </c>
      <c r="J31" s="716">
        <v>6870000</v>
      </c>
      <c r="M31" s="1" t="s">
        <v>594</v>
      </c>
    </row>
    <row r="32" spans="1:14" x14ac:dyDescent="0.4">
      <c r="A32" s="714" t="s">
        <v>554</v>
      </c>
      <c r="B32" s="715">
        <v>8550000</v>
      </c>
      <c r="C32" s="715">
        <v>9310000</v>
      </c>
      <c r="D32" s="715">
        <v>9120000</v>
      </c>
      <c r="E32" s="715">
        <v>9330000</v>
      </c>
      <c r="F32" s="715">
        <v>9810000</v>
      </c>
      <c r="G32" s="715">
        <v>9870000</v>
      </c>
      <c r="H32" s="715">
        <v>9970000</v>
      </c>
      <c r="I32" s="716">
        <v>10310000</v>
      </c>
      <c r="J32" s="716">
        <v>10430000</v>
      </c>
      <c r="M32" s="609" t="s">
        <v>590</v>
      </c>
      <c r="N32" s="723">
        <v>0.13100000000000001</v>
      </c>
    </row>
    <row r="33" spans="1:14" x14ac:dyDescent="0.4">
      <c r="A33" s="714" t="s">
        <v>555</v>
      </c>
      <c r="B33" s="715">
        <v>2230000</v>
      </c>
      <c r="C33" s="715">
        <v>2390000</v>
      </c>
      <c r="D33" s="715">
        <v>2310000</v>
      </c>
      <c r="E33" s="715">
        <v>2330000</v>
      </c>
      <c r="F33" s="715">
        <v>2340000</v>
      </c>
      <c r="G33" s="715">
        <v>2380000</v>
      </c>
      <c r="H33" s="715">
        <v>2490000</v>
      </c>
      <c r="I33" s="716">
        <v>2640000</v>
      </c>
      <c r="J33" s="716">
        <v>2650000</v>
      </c>
      <c r="M33" t="s">
        <v>589</v>
      </c>
      <c r="N33" s="723">
        <v>6.2E-2</v>
      </c>
    </row>
    <row r="34" spans="1:14" x14ac:dyDescent="0.4">
      <c r="A34" s="714" t="s">
        <v>556</v>
      </c>
      <c r="B34" s="715">
        <v>530000</v>
      </c>
      <c r="C34" s="715">
        <v>520000</v>
      </c>
      <c r="D34" s="715">
        <v>520000</v>
      </c>
      <c r="E34" s="715">
        <v>530000</v>
      </c>
      <c r="F34" s="715">
        <v>600000</v>
      </c>
      <c r="G34" s="715">
        <v>620000</v>
      </c>
      <c r="H34" s="715">
        <v>660000</v>
      </c>
      <c r="I34" s="716">
        <v>690000</v>
      </c>
      <c r="J34" s="716">
        <v>720000</v>
      </c>
      <c r="M34" s="609" t="s">
        <v>587</v>
      </c>
      <c r="N34" s="723">
        <v>9.9000000000000005E-2</v>
      </c>
    </row>
    <row r="35" spans="1:14" x14ac:dyDescent="0.4">
      <c r="A35" s="714" t="s">
        <v>557</v>
      </c>
      <c r="B35" s="715">
        <v>11310000</v>
      </c>
      <c r="C35" s="715">
        <v>12220000</v>
      </c>
      <c r="D35" s="715">
        <v>11950000</v>
      </c>
      <c r="E35" s="715">
        <v>12190000</v>
      </c>
      <c r="F35" s="715">
        <v>12750000</v>
      </c>
      <c r="G35" s="715">
        <v>12870000</v>
      </c>
      <c r="H35" s="715">
        <v>13120000</v>
      </c>
      <c r="I35" s="716">
        <v>13640000</v>
      </c>
      <c r="J35" s="716">
        <v>13800000</v>
      </c>
      <c r="M35" s="609" t="s">
        <v>185</v>
      </c>
      <c r="N35" s="723">
        <v>4.9000000000000002E-2</v>
      </c>
    </row>
    <row r="36" spans="1:14" x14ac:dyDescent="0.4">
      <c r="A36" s="714" t="s">
        <v>558</v>
      </c>
      <c r="B36" s="715">
        <v>23270000</v>
      </c>
      <c r="C36" s="715">
        <v>24370000</v>
      </c>
      <c r="D36" s="715">
        <v>24240000</v>
      </c>
      <c r="E36" s="715">
        <v>24260000</v>
      </c>
      <c r="F36" s="715">
        <v>24810000</v>
      </c>
      <c r="G36" s="715">
        <v>25180000</v>
      </c>
      <c r="H36" s="715">
        <v>26030000</v>
      </c>
      <c r="I36" s="716">
        <v>26290000</v>
      </c>
      <c r="J36" s="716">
        <v>26820000</v>
      </c>
      <c r="M36" s="609" t="s">
        <v>200</v>
      </c>
      <c r="N36" s="723">
        <v>0.192</v>
      </c>
    </row>
    <row r="37" spans="1:14" x14ac:dyDescent="0.4">
      <c r="A37" s="714" t="s">
        <v>559</v>
      </c>
      <c r="B37" s="715">
        <v>4130000</v>
      </c>
      <c r="C37" s="715">
        <v>4400000</v>
      </c>
      <c r="D37" s="715">
        <v>4450000</v>
      </c>
      <c r="E37" s="715">
        <v>4250000</v>
      </c>
      <c r="F37" s="715">
        <v>4150000</v>
      </c>
      <c r="G37" s="715">
        <v>4150000</v>
      </c>
      <c r="H37" s="715">
        <v>4490000</v>
      </c>
      <c r="I37" s="716">
        <v>4790000</v>
      </c>
      <c r="J37" s="716">
        <v>4950000</v>
      </c>
      <c r="M37" s="609" t="s">
        <v>591</v>
      </c>
      <c r="N37" s="723">
        <v>8.6999999999999994E-2</v>
      </c>
    </row>
    <row r="38" spans="1:14" x14ac:dyDescent="0.4">
      <c r="A38" s="714" t="s">
        <v>560</v>
      </c>
      <c r="B38" s="715">
        <v>7570000</v>
      </c>
      <c r="C38" s="715">
        <v>8900000</v>
      </c>
      <c r="D38" s="715">
        <v>9080000</v>
      </c>
      <c r="E38" s="715">
        <v>9480000</v>
      </c>
      <c r="F38" s="715">
        <v>9660000</v>
      </c>
      <c r="G38" s="715">
        <v>9960000</v>
      </c>
      <c r="H38" s="715">
        <v>10540000</v>
      </c>
      <c r="I38" s="716">
        <v>11130000</v>
      </c>
      <c r="J38" s="716">
        <v>11150000</v>
      </c>
      <c r="M38" t="s">
        <v>586</v>
      </c>
      <c r="N38" s="730">
        <v>0.22</v>
      </c>
    </row>
    <row r="39" spans="1:14" x14ac:dyDescent="0.4">
      <c r="A39" s="714" t="s">
        <v>561</v>
      </c>
      <c r="B39" s="715">
        <v>10690000</v>
      </c>
      <c r="C39" s="715">
        <v>11120000</v>
      </c>
      <c r="D39" s="715">
        <v>10880000</v>
      </c>
      <c r="E39" s="715">
        <v>10860000</v>
      </c>
      <c r="F39" s="715">
        <v>10800000</v>
      </c>
      <c r="G39" s="715">
        <v>11010000</v>
      </c>
      <c r="H39" s="715">
        <v>11070000</v>
      </c>
      <c r="I39" s="716">
        <v>12250000</v>
      </c>
      <c r="J39" s="716">
        <v>12140000</v>
      </c>
      <c r="M39" s="609" t="s">
        <v>588</v>
      </c>
      <c r="N39" s="723">
        <v>0.115</v>
      </c>
    </row>
    <row r="40" spans="1:14" x14ac:dyDescent="0.4">
      <c r="A40" s="714" t="s">
        <v>562</v>
      </c>
      <c r="B40" s="715">
        <v>2570000</v>
      </c>
      <c r="C40" s="715">
        <v>2800000</v>
      </c>
      <c r="D40" s="715">
        <v>2870000</v>
      </c>
      <c r="E40" s="715">
        <v>2930000</v>
      </c>
      <c r="F40" s="715">
        <v>2910000</v>
      </c>
      <c r="G40" s="715">
        <v>2870000</v>
      </c>
      <c r="H40" s="715">
        <v>2980000</v>
      </c>
      <c r="I40" s="716">
        <v>2990000</v>
      </c>
      <c r="J40" s="716">
        <v>2980000</v>
      </c>
      <c r="M40" s="609" t="s">
        <v>205</v>
      </c>
      <c r="N40" s="723">
        <v>4.4999999999999998E-2</v>
      </c>
    </row>
    <row r="41" spans="1:14" x14ac:dyDescent="0.4">
      <c r="A41" s="714" t="s">
        <v>563</v>
      </c>
      <c r="B41" s="715">
        <v>102910000</v>
      </c>
      <c r="C41" s="715">
        <v>92840000</v>
      </c>
      <c r="D41" s="715">
        <v>89670000</v>
      </c>
      <c r="E41" s="715">
        <v>90360000</v>
      </c>
      <c r="F41" s="715">
        <v>92180000</v>
      </c>
      <c r="G41" s="715">
        <v>92530000</v>
      </c>
      <c r="H41" s="715">
        <v>93350000</v>
      </c>
      <c r="I41" s="716">
        <v>95630000</v>
      </c>
      <c r="J41" s="716">
        <v>97060000</v>
      </c>
    </row>
    <row r="42" spans="1:14" x14ac:dyDescent="0.4">
      <c r="A42" s="714" t="s">
        <v>564</v>
      </c>
      <c r="B42" s="715">
        <v>26370000</v>
      </c>
      <c r="C42" s="715">
        <v>28620000</v>
      </c>
      <c r="D42" s="715">
        <v>28210000</v>
      </c>
      <c r="E42" s="715">
        <v>27860000</v>
      </c>
      <c r="F42" s="715">
        <v>28250000</v>
      </c>
      <c r="G42" s="715">
        <v>29530000</v>
      </c>
      <c r="H42" s="715">
        <v>30250000</v>
      </c>
      <c r="I42" s="716">
        <v>30680000</v>
      </c>
      <c r="J42" s="716">
        <v>30630000</v>
      </c>
    </row>
    <row r="43" spans="1:14" x14ac:dyDescent="0.4">
      <c r="A43" s="714" t="s">
        <v>565</v>
      </c>
      <c r="B43" s="715">
        <v>9990000</v>
      </c>
      <c r="C43" s="715">
        <v>11690000</v>
      </c>
      <c r="D43" s="715">
        <v>11600000</v>
      </c>
      <c r="E43" s="715">
        <v>11540000</v>
      </c>
      <c r="F43" s="715">
        <v>10910000</v>
      </c>
      <c r="G43" s="715">
        <v>10790000</v>
      </c>
      <c r="H43" s="715">
        <v>10800000</v>
      </c>
      <c r="I43" s="716">
        <v>9640000</v>
      </c>
      <c r="J43" s="716">
        <v>8650000</v>
      </c>
    </row>
    <row r="44" spans="1:14" x14ac:dyDescent="0.4">
      <c r="A44" s="714" t="s">
        <v>566</v>
      </c>
      <c r="B44" s="715">
        <v>3020000</v>
      </c>
      <c r="C44" s="715">
        <v>3160000</v>
      </c>
      <c r="D44" s="715">
        <v>3120000</v>
      </c>
      <c r="E44" s="715">
        <v>3130000</v>
      </c>
      <c r="F44" s="715">
        <v>3150000</v>
      </c>
      <c r="G44" s="715">
        <v>3190000</v>
      </c>
      <c r="H44" s="715">
        <v>3210000</v>
      </c>
      <c r="I44" s="716">
        <v>3230000</v>
      </c>
      <c r="J44" s="716">
        <v>3250000</v>
      </c>
    </row>
    <row r="45" spans="1:14" x14ac:dyDescent="0.4">
      <c r="A45" s="714" t="s">
        <v>567</v>
      </c>
      <c r="B45" s="715">
        <v>39380000</v>
      </c>
      <c r="C45" s="715">
        <v>43470000</v>
      </c>
      <c r="D45" s="715">
        <v>42930000</v>
      </c>
      <c r="E45" s="715">
        <v>42530000</v>
      </c>
      <c r="F45" s="715">
        <v>42310000</v>
      </c>
      <c r="G45" s="715">
        <v>43510000</v>
      </c>
      <c r="H45" s="715">
        <v>44260000</v>
      </c>
      <c r="I45" s="716">
        <v>43550000</v>
      </c>
      <c r="J45" s="716">
        <v>42530000</v>
      </c>
    </row>
    <row r="46" spans="1:14" x14ac:dyDescent="0.4">
      <c r="A46" s="714" t="s">
        <v>572</v>
      </c>
      <c r="B46" s="715">
        <v>142290000</v>
      </c>
      <c r="C46" s="715">
        <v>136310000</v>
      </c>
      <c r="D46" s="715">
        <v>132600000</v>
      </c>
      <c r="E46" s="715">
        <v>132890000</v>
      </c>
      <c r="F46" s="715">
        <v>134490000</v>
      </c>
      <c r="G46" s="715">
        <v>136040000</v>
      </c>
      <c r="H46" s="715">
        <v>137610000</v>
      </c>
      <c r="I46" s="716">
        <v>139180000</v>
      </c>
      <c r="J46" s="716">
        <v>139590000</v>
      </c>
    </row>
    <row r="50" spans="1:18" x14ac:dyDescent="0.4">
      <c r="A50" s="720" t="s">
        <v>574</v>
      </c>
    </row>
    <row r="51" spans="1:18" x14ac:dyDescent="0.4">
      <c r="A51" s="713" t="s">
        <v>551</v>
      </c>
      <c r="B51" s="721" t="s">
        <v>568</v>
      </c>
      <c r="C51" s="721">
        <v>2010</v>
      </c>
      <c r="D51" s="713">
        <v>2011</v>
      </c>
      <c r="E51" s="713">
        <v>2012</v>
      </c>
      <c r="F51" s="713">
        <v>2013</v>
      </c>
      <c r="G51" s="713">
        <v>2014</v>
      </c>
      <c r="H51" s="713">
        <v>2015</v>
      </c>
      <c r="I51" s="713">
        <v>2016</v>
      </c>
      <c r="J51" s="713">
        <v>2017</v>
      </c>
      <c r="M51" s="1" t="s">
        <v>592</v>
      </c>
      <c r="P51" t="s">
        <v>593</v>
      </c>
    </row>
    <row r="52" spans="1:18" x14ac:dyDescent="0.4">
      <c r="A52" s="714" t="s">
        <v>552</v>
      </c>
      <c r="B52" s="722">
        <v>41960000</v>
      </c>
      <c r="C52" s="722">
        <v>44570000</v>
      </c>
      <c r="D52" s="722">
        <v>45900000</v>
      </c>
      <c r="E52" s="722">
        <v>44360000</v>
      </c>
      <c r="F52" s="722">
        <v>43400000</v>
      </c>
      <c r="G52" s="722">
        <v>44400000</v>
      </c>
      <c r="H52" s="722">
        <v>45320000</v>
      </c>
      <c r="I52" s="716">
        <v>45520000</v>
      </c>
      <c r="J52" s="716">
        <v>44170000</v>
      </c>
      <c r="M52" t="s">
        <v>590</v>
      </c>
      <c r="N52" s="723">
        <v>0.65700000000000003</v>
      </c>
      <c r="P52" t="s">
        <v>589</v>
      </c>
      <c r="Q52" s="723">
        <v>0.90500000000000003</v>
      </c>
    </row>
    <row r="53" spans="1:18" x14ac:dyDescent="0.4">
      <c r="A53" s="714" t="s">
        <v>553</v>
      </c>
      <c r="B53" s="722">
        <v>2590000</v>
      </c>
      <c r="C53" s="722">
        <v>3130000</v>
      </c>
      <c r="D53" s="722">
        <v>3180000</v>
      </c>
      <c r="E53" s="722">
        <v>3210000</v>
      </c>
      <c r="F53" s="722">
        <v>3150000</v>
      </c>
      <c r="G53" s="722">
        <v>3010000</v>
      </c>
      <c r="H53" s="722">
        <v>3190000</v>
      </c>
      <c r="I53" s="716">
        <v>3160000</v>
      </c>
      <c r="J53" s="716">
        <v>3030000</v>
      </c>
      <c r="M53" t="s">
        <v>587</v>
      </c>
      <c r="N53" s="723">
        <v>0.124</v>
      </c>
      <c r="P53" t="s">
        <v>586</v>
      </c>
      <c r="Q53" s="723">
        <v>9.5000000000000001E-2</v>
      </c>
    </row>
    <row r="54" spans="1:18" x14ac:dyDescent="0.4">
      <c r="A54" s="714" t="s">
        <v>554</v>
      </c>
      <c r="B54" s="722">
        <v>5020000</v>
      </c>
      <c r="C54" s="722">
        <v>5800000</v>
      </c>
      <c r="D54" s="722">
        <v>5500000</v>
      </c>
      <c r="E54" s="722">
        <v>5590000</v>
      </c>
      <c r="F54" s="722">
        <v>5870000</v>
      </c>
      <c r="G54" s="722">
        <v>5970000</v>
      </c>
      <c r="H54" s="722">
        <v>6070000</v>
      </c>
      <c r="I54" s="716">
        <v>6170000</v>
      </c>
      <c r="J54" s="716">
        <v>6170000</v>
      </c>
      <c r="M54" t="s">
        <v>185</v>
      </c>
      <c r="N54" s="723">
        <v>4.4999999999999998E-2</v>
      </c>
    </row>
    <row r="55" spans="1:18" x14ac:dyDescent="0.4">
      <c r="A55" s="714" t="s">
        <v>555</v>
      </c>
      <c r="B55" s="722">
        <v>690000</v>
      </c>
      <c r="C55" s="722">
        <v>680000</v>
      </c>
      <c r="D55" s="722">
        <v>720000</v>
      </c>
      <c r="E55" s="722">
        <v>710000</v>
      </c>
      <c r="F55" s="722">
        <v>700000</v>
      </c>
      <c r="G55" s="722">
        <v>710000</v>
      </c>
      <c r="H55" s="722">
        <v>670000</v>
      </c>
      <c r="I55" s="716">
        <v>620000</v>
      </c>
      <c r="J55" s="716">
        <v>620000</v>
      </c>
      <c r="M55" t="s">
        <v>200</v>
      </c>
      <c r="N55" s="723">
        <v>4.3999999999999997E-2</v>
      </c>
    </row>
    <row r="56" spans="1:18" x14ac:dyDescent="0.4">
      <c r="A56" s="714" t="s">
        <v>556</v>
      </c>
      <c r="B56" s="722">
        <v>1280000</v>
      </c>
      <c r="C56" s="722">
        <v>1440000</v>
      </c>
      <c r="D56" s="722">
        <v>1430000</v>
      </c>
      <c r="E56" s="722">
        <v>1390000</v>
      </c>
      <c r="F56" s="722">
        <v>1360000</v>
      </c>
      <c r="G56" s="722">
        <v>1350000</v>
      </c>
      <c r="H56" s="722">
        <v>1290000</v>
      </c>
      <c r="I56" s="716">
        <v>1390000</v>
      </c>
      <c r="J56" s="716">
        <v>1540000</v>
      </c>
      <c r="M56" t="s">
        <v>591</v>
      </c>
      <c r="N56" s="723">
        <v>4.4999999999999998E-2</v>
      </c>
    </row>
    <row r="57" spans="1:18" x14ac:dyDescent="0.4">
      <c r="A57" s="714" t="s">
        <v>557</v>
      </c>
      <c r="B57" s="722">
        <v>6990000</v>
      </c>
      <c r="C57" s="722">
        <v>7920000</v>
      </c>
      <c r="D57" s="722">
        <v>7650000</v>
      </c>
      <c r="E57" s="722">
        <v>7690000</v>
      </c>
      <c r="F57" s="722">
        <v>7930000</v>
      </c>
      <c r="G57" s="722">
        <v>8030000</v>
      </c>
      <c r="H57" s="722">
        <v>8030000</v>
      </c>
      <c r="I57" s="716">
        <v>8180000</v>
      </c>
      <c r="J57" s="716">
        <v>8330000</v>
      </c>
      <c r="M57" t="s">
        <v>588</v>
      </c>
      <c r="N57" s="723">
        <v>6.3E-2</v>
      </c>
    </row>
    <row r="58" spans="1:18" x14ac:dyDescent="0.4">
      <c r="A58" s="714" t="s">
        <v>558</v>
      </c>
      <c r="B58" s="722">
        <v>1780000</v>
      </c>
      <c r="C58" s="722">
        <v>2500000</v>
      </c>
      <c r="D58" s="722">
        <v>2660000</v>
      </c>
      <c r="E58" s="722">
        <v>2790000</v>
      </c>
      <c r="F58" s="722">
        <v>2990000</v>
      </c>
      <c r="G58" s="722">
        <v>3160000</v>
      </c>
      <c r="H58" s="722">
        <v>3120000</v>
      </c>
      <c r="I58" s="716">
        <v>3240000</v>
      </c>
      <c r="J58" s="716">
        <v>2960000</v>
      </c>
      <c r="M58" t="s">
        <v>205</v>
      </c>
      <c r="N58" s="723">
        <v>2.1999999999999999E-2</v>
      </c>
    </row>
    <row r="59" spans="1:18" x14ac:dyDescent="0.4">
      <c r="A59" s="714" t="s">
        <v>559</v>
      </c>
      <c r="B59" s="722">
        <v>1050000</v>
      </c>
      <c r="C59" s="722">
        <v>1440000</v>
      </c>
      <c r="D59" s="722">
        <v>1510000</v>
      </c>
      <c r="E59" s="722">
        <v>1500000</v>
      </c>
      <c r="F59" s="722">
        <v>1490000</v>
      </c>
      <c r="G59" s="722">
        <v>1440000</v>
      </c>
      <c r="H59" s="722">
        <v>1550000</v>
      </c>
      <c r="I59" s="716">
        <v>1760000</v>
      </c>
      <c r="J59" s="716">
        <v>1670000</v>
      </c>
    </row>
    <row r="60" spans="1:18" x14ac:dyDescent="0.4">
      <c r="A60" s="714" t="s">
        <v>560</v>
      </c>
      <c r="B60" s="722">
        <v>1830000</v>
      </c>
      <c r="C60" s="722">
        <v>2050000</v>
      </c>
      <c r="D60" s="722">
        <v>2070000</v>
      </c>
      <c r="E60" s="722">
        <v>2200000</v>
      </c>
      <c r="F60" s="722">
        <v>2220000</v>
      </c>
      <c r="G60" s="722">
        <v>2260000</v>
      </c>
      <c r="H60" s="722">
        <v>2460000</v>
      </c>
      <c r="I60" s="716">
        <v>2510000</v>
      </c>
      <c r="J60" s="716">
        <v>2570000</v>
      </c>
    </row>
    <row r="61" spans="1:18" x14ac:dyDescent="0.4">
      <c r="A61" s="714" t="s">
        <v>561</v>
      </c>
      <c r="B61" s="722">
        <v>1830000</v>
      </c>
      <c r="C61" s="722">
        <v>2280000</v>
      </c>
      <c r="D61" s="722">
        <v>2350000</v>
      </c>
      <c r="E61" s="722">
        <v>2410000</v>
      </c>
      <c r="F61" s="722">
        <v>2470000</v>
      </c>
      <c r="G61" s="722">
        <v>2570000</v>
      </c>
      <c r="H61" s="722">
        <v>2660000</v>
      </c>
      <c r="I61" s="716">
        <v>2940000</v>
      </c>
      <c r="J61" s="716">
        <v>3000000</v>
      </c>
    </row>
    <row r="62" spans="1:18" x14ac:dyDescent="0.4">
      <c r="A62" s="714" t="s">
        <v>562</v>
      </c>
      <c r="B62" s="722">
        <v>1210000</v>
      </c>
      <c r="C62" s="722">
        <v>1370000</v>
      </c>
      <c r="D62" s="722">
        <v>1370000</v>
      </c>
      <c r="E62" s="722">
        <v>1310000</v>
      </c>
      <c r="F62" s="722">
        <v>1290000</v>
      </c>
      <c r="G62" s="722">
        <v>1280000</v>
      </c>
      <c r="H62" s="722">
        <v>1230000</v>
      </c>
      <c r="I62" s="716">
        <v>1320000</v>
      </c>
      <c r="J62" s="716">
        <v>1450000</v>
      </c>
    </row>
    <row r="63" spans="1:18" x14ac:dyDescent="0.4">
      <c r="A63" s="724" t="s">
        <v>563</v>
      </c>
      <c r="B63" s="725">
        <v>59240000</v>
      </c>
      <c r="C63" s="725">
        <v>65260000</v>
      </c>
      <c r="D63" s="725">
        <v>66690000</v>
      </c>
      <c r="E63" s="725">
        <v>65470000</v>
      </c>
      <c r="F63" s="725">
        <v>64940000</v>
      </c>
      <c r="G63" s="725">
        <v>66150000</v>
      </c>
      <c r="H63" s="725">
        <v>67560000</v>
      </c>
      <c r="I63" s="726">
        <v>68630000</v>
      </c>
      <c r="J63" s="726">
        <v>67180000</v>
      </c>
      <c r="K63" t="s">
        <v>580</v>
      </c>
      <c r="M63" t="s">
        <v>582</v>
      </c>
    </row>
    <row r="64" spans="1:18" x14ac:dyDescent="0.4">
      <c r="A64" s="714" t="s">
        <v>564</v>
      </c>
      <c r="B64" s="728">
        <v>690000</v>
      </c>
      <c r="C64" s="728">
        <v>970000</v>
      </c>
      <c r="D64" s="728">
        <v>1270000</v>
      </c>
      <c r="E64" s="728">
        <v>1740000</v>
      </c>
      <c r="F64" s="728">
        <v>1840000</v>
      </c>
      <c r="G64" s="728">
        <v>1940000</v>
      </c>
      <c r="H64" s="728">
        <v>2100000</v>
      </c>
      <c r="I64" s="729">
        <v>2150000</v>
      </c>
      <c r="J64" s="729">
        <v>2570000</v>
      </c>
      <c r="K64" t="s">
        <v>581</v>
      </c>
      <c r="M64" s="727"/>
      <c r="N64" s="727"/>
      <c r="O64" s="727"/>
      <c r="P64" s="727"/>
      <c r="Q64" s="727"/>
      <c r="R64" s="727"/>
    </row>
    <row r="65" spans="1:14" x14ac:dyDescent="0.4">
      <c r="A65" s="714" t="s">
        <v>565</v>
      </c>
      <c r="B65" s="728">
        <v>19860000</v>
      </c>
      <c r="C65" s="728">
        <v>19200000</v>
      </c>
      <c r="D65" s="728">
        <v>19300000</v>
      </c>
      <c r="E65" s="728">
        <v>19590000</v>
      </c>
      <c r="F65" s="728">
        <v>20600000</v>
      </c>
      <c r="G65" s="728">
        <v>21080000</v>
      </c>
      <c r="H65" s="728">
        <v>21290000</v>
      </c>
      <c r="I65" s="729">
        <v>22960000</v>
      </c>
      <c r="J65" s="729">
        <v>24420000</v>
      </c>
      <c r="K65" t="s">
        <v>581</v>
      </c>
      <c r="M65" s="530"/>
    </row>
    <row r="66" spans="1:14" x14ac:dyDescent="0.4">
      <c r="A66" s="714" t="s">
        <v>566</v>
      </c>
      <c r="B66" s="722">
        <v>0</v>
      </c>
      <c r="C66" s="722">
        <v>0</v>
      </c>
      <c r="D66" s="722">
        <v>0</v>
      </c>
      <c r="E66" s="722">
        <v>0</v>
      </c>
      <c r="F66" s="722">
        <v>0</v>
      </c>
      <c r="G66" s="722">
        <v>0</v>
      </c>
      <c r="H66" s="722">
        <v>0</v>
      </c>
      <c r="I66" s="716">
        <v>0</v>
      </c>
      <c r="J66" s="716">
        <v>0</v>
      </c>
    </row>
    <row r="67" spans="1:14" x14ac:dyDescent="0.4">
      <c r="A67" s="714" t="s">
        <v>567</v>
      </c>
      <c r="B67" s="722">
        <v>20550000</v>
      </c>
      <c r="C67" s="722">
        <v>20170000</v>
      </c>
      <c r="D67" s="722">
        <v>20570000</v>
      </c>
      <c r="E67" s="722">
        <v>21330000</v>
      </c>
      <c r="F67" s="722">
        <v>22440000</v>
      </c>
      <c r="G67" s="722">
        <v>23020000</v>
      </c>
      <c r="H67" s="722">
        <v>23390000</v>
      </c>
      <c r="I67" s="716">
        <v>25110000</v>
      </c>
      <c r="J67" s="716">
        <v>26990000</v>
      </c>
    </row>
    <row r="68" spans="1:14" x14ac:dyDescent="0.4">
      <c r="A68" s="714" t="s">
        <v>573</v>
      </c>
      <c r="B68" s="722">
        <v>79790000</v>
      </c>
      <c r="C68" s="722">
        <v>85430000</v>
      </c>
      <c r="D68" s="722">
        <v>87260000</v>
      </c>
      <c r="E68" s="722">
        <v>86800000</v>
      </c>
      <c r="F68" s="722">
        <v>87380000</v>
      </c>
      <c r="G68" s="722">
        <v>89170000</v>
      </c>
      <c r="H68" s="722">
        <v>90950000</v>
      </c>
      <c r="I68" s="716">
        <v>93740000</v>
      </c>
      <c r="J68" s="716">
        <v>94170000</v>
      </c>
    </row>
    <row r="72" spans="1:14" x14ac:dyDescent="0.4">
      <c r="A72" s="720" t="s">
        <v>575</v>
      </c>
    </row>
    <row r="73" spans="1:14" x14ac:dyDescent="0.4">
      <c r="A73" s="713" t="s">
        <v>551</v>
      </c>
      <c r="B73" s="713" t="s">
        <v>568</v>
      </c>
      <c r="C73" s="713">
        <v>2010</v>
      </c>
      <c r="D73" s="713">
        <v>2011</v>
      </c>
      <c r="E73" s="713">
        <v>2012</v>
      </c>
      <c r="F73" s="713">
        <v>2013</v>
      </c>
      <c r="G73" s="713">
        <v>2014</v>
      </c>
      <c r="H73" s="713">
        <v>2015</v>
      </c>
      <c r="I73" s="713">
        <v>2016</v>
      </c>
      <c r="J73" s="713">
        <v>2017</v>
      </c>
      <c r="M73" t="s">
        <v>583</v>
      </c>
    </row>
    <row r="74" spans="1:14" x14ac:dyDescent="0.4">
      <c r="A74" s="714" t="s">
        <v>552</v>
      </c>
      <c r="B74" s="716">
        <v>7800000</v>
      </c>
      <c r="C74" s="716">
        <v>4740000</v>
      </c>
      <c r="D74" s="716">
        <v>4670000</v>
      </c>
      <c r="E74" s="716">
        <v>4770000</v>
      </c>
      <c r="F74" s="716">
        <v>4990000</v>
      </c>
      <c r="G74" s="716">
        <v>4740000</v>
      </c>
      <c r="H74" s="716">
        <v>4450000</v>
      </c>
      <c r="I74" s="716">
        <v>4300000</v>
      </c>
      <c r="J74" s="716">
        <v>4490000</v>
      </c>
    </row>
    <row r="75" spans="1:14" x14ac:dyDescent="0.4">
      <c r="A75" s="714" t="s">
        <v>553</v>
      </c>
      <c r="B75" s="716">
        <v>1660000</v>
      </c>
      <c r="C75" s="716">
        <v>1360000</v>
      </c>
      <c r="D75" s="716">
        <v>1490000</v>
      </c>
      <c r="E75" s="716">
        <v>1480000</v>
      </c>
      <c r="F75" s="716">
        <v>1450000</v>
      </c>
      <c r="G75" s="716">
        <v>1450000</v>
      </c>
      <c r="H75" s="716">
        <v>1440000</v>
      </c>
      <c r="I75" s="716">
        <v>1440000</v>
      </c>
      <c r="J75" s="716">
        <v>1480000</v>
      </c>
    </row>
    <row r="76" spans="1:14" x14ac:dyDescent="0.4">
      <c r="A76" s="714" t="s">
        <v>554</v>
      </c>
      <c r="B76" s="716">
        <v>1640000</v>
      </c>
      <c r="C76" s="716">
        <v>1810000</v>
      </c>
      <c r="D76" s="716">
        <v>2030000</v>
      </c>
      <c r="E76" s="716">
        <v>2020000</v>
      </c>
      <c r="F76" s="716">
        <v>2040000</v>
      </c>
      <c r="G76" s="716">
        <v>2040000</v>
      </c>
      <c r="H76" s="716">
        <v>2150000</v>
      </c>
      <c r="I76" s="716">
        <v>2210000</v>
      </c>
      <c r="J76" s="716">
        <v>2290000</v>
      </c>
      <c r="M76" s="1" t="s">
        <v>595</v>
      </c>
    </row>
    <row r="77" spans="1:14" x14ac:dyDescent="0.4">
      <c r="A77" s="714" t="s">
        <v>555</v>
      </c>
      <c r="B77" s="716">
        <v>410000</v>
      </c>
      <c r="C77" s="716">
        <v>440000</v>
      </c>
      <c r="D77" s="716">
        <v>490000</v>
      </c>
      <c r="E77" s="716">
        <v>470000</v>
      </c>
      <c r="F77" s="716">
        <v>460000</v>
      </c>
      <c r="G77" s="716">
        <v>470000</v>
      </c>
      <c r="H77" s="716">
        <v>510000</v>
      </c>
      <c r="I77" s="716">
        <v>510000</v>
      </c>
      <c r="J77" s="716">
        <v>560000</v>
      </c>
      <c r="M77" s="609" t="s">
        <v>590</v>
      </c>
      <c r="N77" s="723">
        <v>0.13200000000000001</v>
      </c>
    </row>
    <row r="78" spans="1:14" x14ac:dyDescent="0.4">
      <c r="A78" s="714" t="s">
        <v>556</v>
      </c>
      <c r="B78" s="716">
        <v>50000</v>
      </c>
      <c r="C78" s="716">
        <v>60000</v>
      </c>
      <c r="D78" s="716">
        <v>70000</v>
      </c>
      <c r="E78" s="716">
        <v>60000</v>
      </c>
      <c r="F78" s="716">
        <v>50000</v>
      </c>
      <c r="G78" s="716">
        <v>50000</v>
      </c>
      <c r="H78" s="716">
        <v>60000</v>
      </c>
      <c r="I78" s="716">
        <v>60000</v>
      </c>
      <c r="J78" s="716">
        <v>70000</v>
      </c>
      <c r="M78" s="609" t="s">
        <v>589</v>
      </c>
      <c r="N78" s="723">
        <v>6.2E-2</v>
      </c>
    </row>
    <row r="79" spans="1:14" x14ac:dyDescent="0.4">
      <c r="A79" s="714" t="s">
        <v>557</v>
      </c>
      <c r="B79" s="716">
        <v>2100000</v>
      </c>
      <c r="C79" s="716">
        <v>2310000</v>
      </c>
      <c r="D79" s="716">
        <v>2590000</v>
      </c>
      <c r="E79" s="716">
        <v>2550000</v>
      </c>
      <c r="F79" s="716">
        <v>2550000</v>
      </c>
      <c r="G79" s="716">
        <v>2560000</v>
      </c>
      <c r="H79" s="716">
        <v>2720000</v>
      </c>
      <c r="I79" s="716">
        <v>2780000</v>
      </c>
      <c r="J79" s="716">
        <v>2920000</v>
      </c>
      <c r="M79" s="609" t="s">
        <v>587</v>
      </c>
      <c r="N79" s="723">
        <v>8.5999999999999993E-2</v>
      </c>
    </row>
    <row r="80" spans="1:14" x14ac:dyDescent="0.4">
      <c r="A80" s="714" t="s">
        <v>558</v>
      </c>
      <c r="B80" s="716">
        <v>4330000</v>
      </c>
      <c r="C80" s="716">
        <v>4530000</v>
      </c>
      <c r="D80" s="716">
        <v>5200000</v>
      </c>
      <c r="E80" s="716">
        <v>5020000</v>
      </c>
      <c r="F80" s="716">
        <v>4930000</v>
      </c>
      <c r="G80" s="716">
        <v>5000000</v>
      </c>
      <c r="H80" s="716">
        <v>5330000</v>
      </c>
      <c r="I80" s="716">
        <v>5340000</v>
      </c>
      <c r="J80" s="716">
        <v>5590000</v>
      </c>
      <c r="M80" s="609" t="s">
        <v>185</v>
      </c>
      <c r="N80" s="723">
        <v>4.2999999999999997E-2</v>
      </c>
    </row>
    <row r="81" spans="1:14" x14ac:dyDescent="0.4">
      <c r="A81" s="714" t="s">
        <v>559</v>
      </c>
      <c r="B81" s="716">
        <v>2110000</v>
      </c>
      <c r="C81" s="716">
        <v>1910000</v>
      </c>
      <c r="D81" s="716">
        <v>2050000</v>
      </c>
      <c r="E81" s="716">
        <v>2350000</v>
      </c>
      <c r="F81" s="716">
        <v>2710000</v>
      </c>
      <c r="G81" s="716">
        <v>2620000</v>
      </c>
      <c r="H81" s="716">
        <v>2520000</v>
      </c>
      <c r="I81" s="716">
        <v>2650000</v>
      </c>
      <c r="J81" s="716">
        <v>2490000</v>
      </c>
      <c r="M81" s="609" t="s">
        <v>200</v>
      </c>
      <c r="N81" s="723">
        <v>0.16400000000000001</v>
      </c>
    </row>
    <row r="82" spans="1:14" x14ac:dyDescent="0.4">
      <c r="A82" s="714" t="s">
        <v>560</v>
      </c>
      <c r="B82" s="716">
        <v>2110000</v>
      </c>
      <c r="C82" s="716">
        <v>2270000</v>
      </c>
      <c r="D82" s="716">
        <v>2540000</v>
      </c>
      <c r="E82" s="716">
        <v>2800000</v>
      </c>
      <c r="F82" s="716">
        <v>2960000</v>
      </c>
      <c r="G82" s="716">
        <v>3020000</v>
      </c>
      <c r="H82" s="716">
        <v>3060000</v>
      </c>
      <c r="I82" s="716">
        <v>3240000</v>
      </c>
      <c r="J82" s="716">
        <v>3170000</v>
      </c>
      <c r="M82" s="609" t="s">
        <v>591</v>
      </c>
      <c r="N82" s="723">
        <v>8.4000000000000005E-2</v>
      </c>
    </row>
    <row r="83" spans="1:14" x14ac:dyDescent="0.4">
      <c r="A83" s="714" t="s">
        <v>561</v>
      </c>
      <c r="B83" s="716">
        <v>2270000</v>
      </c>
      <c r="C83" s="716">
        <v>2310000</v>
      </c>
      <c r="D83" s="716">
        <v>2550000</v>
      </c>
      <c r="E83" s="716">
        <v>2550000</v>
      </c>
      <c r="F83" s="716">
        <v>2500000</v>
      </c>
      <c r="G83" s="716">
        <v>2540000</v>
      </c>
      <c r="H83" s="716">
        <v>2570000</v>
      </c>
      <c r="I83" s="716">
        <v>2860000</v>
      </c>
      <c r="J83" s="716">
        <v>2850000</v>
      </c>
      <c r="M83" s="609" t="s">
        <v>586</v>
      </c>
      <c r="N83" s="730">
        <v>0.22</v>
      </c>
    </row>
    <row r="84" spans="1:14" x14ac:dyDescent="0.4">
      <c r="A84" s="714" t="s">
        <v>562</v>
      </c>
      <c r="B84" s="716">
        <v>510000</v>
      </c>
      <c r="C84" s="716">
        <v>540000</v>
      </c>
      <c r="D84" s="716">
        <v>630000</v>
      </c>
      <c r="E84" s="716">
        <v>650000</v>
      </c>
      <c r="F84" s="716">
        <v>670000</v>
      </c>
      <c r="G84" s="716">
        <v>650000</v>
      </c>
      <c r="H84" s="716">
        <v>670000</v>
      </c>
      <c r="I84" s="716">
        <v>670000</v>
      </c>
      <c r="J84" s="716">
        <v>670000</v>
      </c>
      <c r="M84" s="609" t="s">
        <v>588</v>
      </c>
      <c r="N84" s="723">
        <v>0.16600000000000001</v>
      </c>
    </row>
    <row r="85" spans="1:14" x14ac:dyDescent="0.4">
      <c r="A85" s="714" t="s">
        <v>563</v>
      </c>
      <c r="B85" s="716">
        <v>22890000</v>
      </c>
      <c r="C85" s="716">
        <v>19970000</v>
      </c>
      <c r="D85" s="716">
        <v>21720000</v>
      </c>
      <c r="E85" s="716">
        <v>22170000</v>
      </c>
      <c r="F85" s="716">
        <v>22760000</v>
      </c>
      <c r="G85" s="716">
        <v>22580000</v>
      </c>
      <c r="H85" s="716">
        <v>22760000</v>
      </c>
      <c r="I85" s="716">
        <v>23280000</v>
      </c>
      <c r="J85" s="716">
        <v>23660000</v>
      </c>
      <c r="M85" s="609" t="s">
        <v>205</v>
      </c>
      <c r="N85" s="723">
        <v>4.2999999999999997E-2</v>
      </c>
    </row>
    <row r="86" spans="1:14" x14ac:dyDescent="0.4">
      <c r="A86" s="714" t="s">
        <v>564</v>
      </c>
      <c r="B86" s="716">
        <v>5870000</v>
      </c>
      <c r="C86" s="716">
        <v>6150000</v>
      </c>
      <c r="D86" s="716">
        <v>6830000</v>
      </c>
      <c r="E86" s="716">
        <v>6830000</v>
      </c>
      <c r="F86" s="716">
        <v>6970000</v>
      </c>
      <c r="G86" s="716">
        <v>7200000</v>
      </c>
      <c r="H86" s="716">
        <v>7380000</v>
      </c>
      <c r="I86" s="716">
        <v>7480000</v>
      </c>
      <c r="J86" s="716">
        <v>7470000</v>
      </c>
    </row>
    <row r="87" spans="1:14" x14ac:dyDescent="0.4">
      <c r="A87" s="714" t="s">
        <v>565</v>
      </c>
      <c r="B87" s="716">
        <v>2220000</v>
      </c>
      <c r="C87" s="716">
        <v>2510000</v>
      </c>
      <c r="D87" s="716">
        <v>2810000</v>
      </c>
      <c r="E87" s="716">
        <v>2830000</v>
      </c>
      <c r="F87" s="716">
        <v>2690000</v>
      </c>
      <c r="G87" s="716">
        <v>2630000</v>
      </c>
      <c r="H87" s="716">
        <v>2630000</v>
      </c>
      <c r="I87" s="716">
        <v>2350000</v>
      </c>
      <c r="J87" s="716">
        <v>2110000</v>
      </c>
    </row>
    <row r="88" spans="1:14" x14ac:dyDescent="0.4">
      <c r="A88" s="714" t="s">
        <v>566</v>
      </c>
      <c r="B88" s="716">
        <v>670000</v>
      </c>
      <c r="C88" s="716">
        <v>680000</v>
      </c>
      <c r="D88" s="716">
        <v>750000</v>
      </c>
      <c r="E88" s="716">
        <v>770000</v>
      </c>
      <c r="F88" s="716">
        <v>780000</v>
      </c>
      <c r="G88" s="716">
        <v>780000</v>
      </c>
      <c r="H88" s="716">
        <v>780000</v>
      </c>
      <c r="I88" s="716">
        <v>790000</v>
      </c>
      <c r="J88" s="716">
        <v>790000</v>
      </c>
    </row>
    <row r="89" spans="1:14" x14ac:dyDescent="0.4">
      <c r="A89" s="714" t="s">
        <v>567</v>
      </c>
      <c r="B89" s="716">
        <v>8760000</v>
      </c>
      <c r="C89" s="716">
        <v>9340000</v>
      </c>
      <c r="D89" s="716">
        <v>10390000</v>
      </c>
      <c r="E89" s="716">
        <v>10430000</v>
      </c>
      <c r="F89" s="716">
        <v>10440000</v>
      </c>
      <c r="G89" s="716">
        <v>10610000</v>
      </c>
      <c r="H89" s="716">
        <v>10790000</v>
      </c>
      <c r="I89" s="716">
        <v>10620000</v>
      </c>
      <c r="J89" s="716">
        <v>10370000</v>
      </c>
    </row>
    <row r="90" spans="1:14" x14ac:dyDescent="0.4">
      <c r="A90" s="714" t="s">
        <v>576</v>
      </c>
      <c r="B90" s="716">
        <v>31650000</v>
      </c>
      <c r="C90" s="716">
        <v>29310000</v>
      </c>
      <c r="D90" s="716">
        <v>32110000</v>
      </c>
      <c r="E90" s="716">
        <v>32600000</v>
      </c>
      <c r="F90" s="716">
        <v>33200000</v>
      </c>
      <c r="G90" s="716">
        <v>33190000</v>
      </c>
      <c r="H90" s="716">
        <v>33550000</v>
      </c>
      <c r="I90" s="716">
        <v>33900000</v>
      </c>
      <c r="J90" s="716">
        <v>34030000</v>
      </c>
    </row>
  </sheetData>
  <pageMargins left="0.7" right="0.7" top="0.75" bottom="0.75" header="0.3" footer="0.3"/>
  <cellWatches>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137"/>
    <cellWatch r="AZ138"/>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174"/>
    <cellWatch r="AZ175"/>
    <cellWatch r="AZ242"/>
    <cellWatch r="AZ243"/>
    <cellWatch r="AZ244"/>
    <cellWatch r="AZ245"/>
    <cellWatch r="AY139"/>
    <cellWatch r="AY140"/>
    <cellWatch r="AY141"/>
    <cellWatch r="AY142"/>
    <cellWatch r="AY143"/>
    <cellWatch r="AY144"/>
    <cellWatch r="AY145"/>
    <cellWatch r="AY146"/>
    <cellWatch r="AY147"/>
    <cellWatch r="AZ176"/>
    <cellWatch r="AZ177"/>
    <cellWatch r="AZ178"/>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Y135"/>
    <cellWatch r="AY136"/>
    <cellWatch r="AY137"/>
    <cellWatch r="AY138"/>
    <cellWatch r="AZ179"/>
    <cellWatch r="AZ180"/>
    <cellWatch r="AZ181"/>
    <cellWatch r="AZ182"/>
    <cellWatch r="BB172"/>
    <cellWatch r="AZ246"/>
    <cellWatch r="AY183"/>
    <cellWatch r="AY184"/>
    <cellWatch r="AY185"/>
    <cellWatch r="AY186"/>
    <cellWatch r="AY187"/>
    <cellWatch r="AZ322"/>
    <cellWatch r="AZ323"/>
    <cellWatch r="BA172"/>
    <cellWatch r="BB173"/>
    <cellWatch r="AZ247"/>
    <cellWatch r="AY188"/>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BA212"/>
    <cellWatch r="BA213"/>
    <cellWatch r="BA214"/>
    <cellWatch r="BA215"/>
    <cellWatch r="BA216"/>
    <cellWatch r="BA217"/>
    <cellWatch r="BA218"/>
    <cellWatch r="BA219"/>
    <cellWatch r="BA220"/>
    <cellWatch r="BA221"/>
    <cellWatch r="BA222"/>
    <cellWatch r="BA223"/>
    <cellWatch r="BA224"/>
    <cellWatch r="BA225"/>
    <cellWatch r="BA226"/>
    <cellWatch r="BA227"/>
    <cellWatch r="BA228"/>
    <cellWatch r="BA229"/>
    <cellWatch r="BA230"/>
    <cellWatch r="BA231"/>
    <cellWatch r="BA232"/>
    <cellWatch r="BA233"/>
    <cellWatch r="BA234"/>
    <cellWatch r="BA235"/>
    <cellWatch r="BA236"/>
    <cellWatch r="BA237"/>
    <cellWatch r="BA238"/>
    <cellWatch r="BA239"/>
    <cellWatch r="BA240"/>
    <cellWatch r="BA241"/>
    <cellWatch r="BC137"/>
    <cellWatch r="BC138"/>
    <cellWatch r="BC139"/>
    <cellWatch r="BC140"/>
    <cellWatch r="BC141"/>
    <cellWatch r="BC142"/>
    <cellWatch r="BC143"/>
    <cellWatch r="BC144"/>
    <cellWatch r="BC145"/>
    <cellWatch r="BC146"/>
    <cellWatch r="BC147"/>
    <cellWatch r="BC148"/>
    <cellWatch r="BC149"/>
    <cellWatch r="BC150"/>
    <cellWatch r="BC151"/>
    <cellWatch r="BC152"/>
    <cellWatch r="BC153"/>
    <cellWatch r="BC154"/>
    <cellWatch r="BC155"/>
    <cellWatch r="BC156"/>
    <cellWatch r="BC157"/>
    <cellWatch r="BC158"/>
    <cellWatch r="BC159"/>
    <cellWatch r="BC160"/>
    <cellWatch r="BC161"/>
    <cellWatch r="BC162"/>
    <cellWatch r="BC163"/>
    <cellWatch r="BC164"/>
    <cellWatch r="BC165"/>
    <cellWatch r="BC166"/>
    <cellWatch r="BC167"/>
    <cellWatch r="BC168"/>
    <cellWatch r="BC169"/>
    <cellWatch r="BC170"/>
    <cellWatch r="BC171"/>
    <cellWatch r="AZ183"/>
    <cellWatch r="AZ184"/>
    <cellWatch r="AZ185"/>
    <cellWatch r="AZ186"/>
    <cellWatch r="AZ187"/>
  </cellWatch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CE9CB-3C80-1743-B565-C5A91DF0D409}">
  <dimension ref="A1:P127"/>
  <sheetViews>
    <sheetView workbookViewId="0">
      <selection activeCell="A46" sqref="A46:B46"/>
    </sheetView>
  </sheetViews>
  <sheetFormatPr defaultColWidth="10.6640625" defaultRowHeight="12.3" x14ac:dyDescent="0.4"/>
  <cols>
    <col min="1" max="1" width="25" customWidth="1"/>
    <col min="2" max="2" width="15.33203125" customWidth="1"/>
    <col min="3" max="3" width="14.33203125" customWidth="1"/>
    <col min="4" max="4" width="17.6640625" customWidth="1"/>
    <col min="5" max="5" width="14.83203125" customWidth="1"/>
    <col min="6" max="6" width="19.83203125" customWidth="1"/>
    <col min="11" max="11" width="11.5" customWidth="1"/>
    <col min="12" max="12" width="16" customWidth="1"/>
    <col min="13" max="14" width="13.6640625" customWidth="1"/>
  </cols>
  <sheetData>
    <row r="1" spans="1:9" x14ac:dyDescent="0.4">
      <c r="A1" s="1" t="s">
        <v>844</v>
      </c>
    </row>
    <row r="2" spans="1:9" x14ac:dyDescent="0.4">
      <c r="A2" t="s">
        <v>845</v>
      </c>
    </row>
    <row r="4" spans="1:9" x14ac:dyDescent="0.4">
      <c r="A4" t="s">
        <v>114</v>
      </c>
      <c r="B4" t="s">
        <v>846</v>
      </c>
      <c r="F4" t="s">
        <v>871</v>
      </c>
    </row>
    <row r="5" spans="1:9" x14ac:dyDescent="0.4">
      <c r="A5" s="1">
        <v>1947</v>
      </c>
      <c r="B5" s="967">
        <v>6</v>
      </c>
      <c r="C5" s="1"/>
      <c r="E5" s="896" t="s">
        <v>874</v>
      </c>
      <c r="F5" t="s">
        <v>873</v>
      </c>
      <c r="G5" t="s">
        <v>872</v>
      </c>
    </row>
    <row r="6" spans="1:9" x14ac:dyDescent="0.4">
      <c r="A6" s="1">
        <v>2001</v>
      </c>
      <c r="B6" s="967">
        <v>31</v>
      </c>
      <c r="C6" s="1"/>
      <c r="F6" t="s">
        <v>879</v>
      </c>
      <c r="G6" t="s">
        <v>875</v>
      </c>
    </row>
    <row r="7" spans="1:9" x14ac:dyDescent="0.4">
      <c r="A7" s="1">
        <v>2011</v>
      </c>
      <c r="B7" s="967">
        <v>48</v>
      </c>
      <c r="C7" s="1"/>
      <c r="F7" t="s">
        <v>880</v>
      </c>
      <c r="G7" t="s">
        <v>876</v>
      </c>
    </row>
    <row r="8" spans="1:9" ht="12.6" x14ac:dyDescent="0.45">
      <c r="A8" s="1">
        <v>2015</v>
      </c>
      <c r="B8" s="967">
        <v>62</v>
      </c>
      <c r="C8" s="1">
        <f t="shared" ref="C8" si="0">B8/0.34</f>
        <v>182.35294117647058</v>
      </c>
      <c r="D8" s="719" t="s">
        <v>1053</v>
      </c>
      <c r="F8" t="s">
        <v>878</v>
      </c>
      <c r="G8" t="s">
        <v>877</v>
      </c>
    </row>
    <row r="9" spans="1:9" x14ac:dyDescent="0.4">
      <c r="A9">
        <v>2030</v>
      </c>
      <c r="B9" s="891">
        <v>165</v>
      </c>
      <c r="C9" s="1">
        <f>B9/0.401</f>
        <v>411.47132169576059</v>
      </c>
      <c r="D9" t="s">
        <v>1054</v>
      </c>
    </row>
    <row r="10" spans="1:9" x14ac:dyDescent="0.4">
      <c r="A10">
        <v>2041</v>
      </c>
      <c r="B10" s="891">
        <v>230</v>
      </c>
      <c r="C10" s="1">
        <f>B10/0.464</f>
        <v>495.68965517241378</v>
      </c>
    </row>
    <row r="11" spans="1:9" x14ac:dyDescent="0.4">
      <c r="A11">
        <v>2050</v>
      </c>
      <c r="B11" s="891">
        <v>436</v>
      </c>
      <c r="C11" s="1">
        <f>B11/0.52</f>
        <v>838.46153846153845</v>
      </c>
    </row>
    <row r="13" spans="1:9" x14ac:dyDescent="0.4">
      <c r="A13" t="s">
        <v>847</v>
      </c>
    </row>
    <row r="14" spans="1:9" x14ac:dyDescent="0.4">
      <c r="A14" t="s">
        <v>114</v>
      </c>
      <c r="B14" s="891" t="s">
        <v>848</v>
      </c>
      <c r="C14" s="891" t="s">
        <v>849</v>
      </c>
      <c r="D14" s="891" t="s">
        <v>850</v>
      </c>
      <c r="E14" s="891" t="s">
        <v>184</v>
      </c>
      <c r="F14" s="891" t="s">
        <v>185</v>
      </c>
      <c r="G14" s="891" t="s">
        <v>851</v>
      </c>
      <c r="H14" s="891" t="s">
        <v>852</v>
      </c>
      <c r="I14" s="891" t="s">
        <v>853</v>
      </c>
    </row>
    <row r="15" spans="1:9" x14ac:dyDescent="0.4">
      <c r="A15">
        <v>1996</v>
      </c>
      <c r="B15" s="891">
        <v>42.21</v>
      </c>
      <c r="C15" s="891">
        <v>3.63</v>
      </c>
      <c r="D15" s="891">
        <v>0.6</v>
      </c>
      <c r="E15" s="891">
        <v>0.49</v>
      </c>
      <c r="F15" s="891">
        <v>0.6</v>
      </c>
      <c r="G15" s="891" t="s">
        <v>854</v>
      </c>
      <c r="H15" s="891" t="s">
        <v>854</v>
      </c>
      <c r="I15" s="891">
        <v>45.13</v>
      </c>
    </row>
    <row r="16" spans="1:9" x14ac:dyDescent="0.4">
      <c r="A16">
        <v>2005</v>
      </c>
      <c r="B16" s="891">
        <v>47.43</v>
      </c>
      <c r="C16" s="891">
        <v>8.1300000000000008</v>
      </c>
      <c r="D16" s="891">
        <v>9.2200000000000006</v>
      </c>
      <c r="E16" s="891">
        <v>0.5</v>
      </c>
      <c r="F16" s="891">
        <v>1.01</v>
      </c>
      <c r="G16" s="891">
        <v>4.49</v>
      </c>
      <c r="H16" s="891">
        <v>4.016</v>
      </c>
      <c r="I16" s="891">
        <v>25.16</v>
      </c>
    </row>
    <row r="17" spans="1:16" x14ac:dyDescent="0.4">
      <c r="A17">
        <v>2011</v>
      </c>
      <c r="B17" s="891">
        <v>52.32</v>
      </c>
      <c r="C17" s="891">
        <v>13.8</v>
      </c>
      <c r="D17" s="891">
        <v>7.89</v>
      </c>
      <c r="E17" s="891">
        <v>1.49</v>
      </c>
      <c r="F17" s="891">
        <v>0.93</v>
      </c>
      <c r="G17" s="891">
        <v>1</v>
      </c>
      <c r="H17" s="891" t="s">
        <v>507</v>
      </c>
      <c r="I17" s="891">
        <v>22.57</v>
      </c>
      <c r="K17" s="1" t="s">
        <v>996</v>
      </c>
      <c r="P17" s="341"/>
    </row>
    <row r="18" spans="1:16" ht="49.2" x14ac:dyDescent="0.4">
      <c r="K18" s="341" t="s">
        <v>114</v>
      </c>
      <c r="L18" s="341" t="s">
        <v>881</v>
      </c>
      <c r="M18" s="341" t="s">
        <v>882</v>
      </c>
      <c r="N18" s="341" t="s">
        <v>883</v>
      </c>
      <c r="O18" s="341"/>
    </row>
    <row r="19" spans="1:16" x14ac:dyDescent="0.4">
      <c r="K19" s="1">
        <v>2001</v>
      </c>
      <c r="L19" s="1">
        <v>197.3</v>
      </c>
      <c r="M19" s="1">
        <v>0.439</v>
      </c>
      <c r="N19" s="1">
        <v>31.63</v>
      </c>
    </row>
    <row r="20" spans="1:16" x14ac:dyDescent="0.4">
      <c r="A20" s="1" t="s">
        <v>855</v>
      </c>
      <c r="K20" s="1">
        <v>2011</v>
      </c>
      <c r="L20" s="1">
        <v>260.10000000000002</v>
      </c>
      <c r="M20" s="1">
        <v>0.498</v>
      </c>
      <c r="N20" s="1">
        <v>47.3</v>
      </c>
    </row>
    <row r="21" spans="1:16" x14ac:dyDescent="0.4">
      <c r="A21" t="s">
        <v>856</v>
      </c>
      <c r="K21">
        <v>2021</v>
      </c>
      <c r="L21" s="371">
        <v>342.8</v>
      </c>
      <c r="M21" s="371">
        <v>0.56899999999999995</v>
      </c>
      <c r="N21" s="371">
        <v>71.150000000000006</v>
      </c>
    </row>
    <row r="22" spans="1:16" s="609" customFormat="1" x14ac:dyDescent="0.4">
      <c r="G22" s="609" t="s">
        <v>1013</v>
      </c>
      <c r="K22" s="609">
        <v>2031</v>
      </c>
      <c r="L22" s="371">
        <v>451.8</v>
      </c>
      <c r="M22" s="371">
        <v>0.64900000000000002</v>
      </c>
      <c r="N22" s="371">
        <v>107.01</v>
      </c>
    </row>
    <row r="23" spans="1:16" s="609" customFormat="1" x14ac:dyDescent="0.4">
      <c r="A23" s="609" t="s">
        <v>771</v>
      </c>
      <c r="B23" s="609" t="s">
        <v>858</v>
      </c>
      <c r="C23" s="609" t="s">
        <v>857</v>
      </c>
      <c r="G23" s="923" t="s">
        <v>1009</v>
      </c>
      <c r="H23" s="923" t="s">
        <v>1010</v>
      </c>
      <c r="K23" s="609">
        <v>2036</v>
      </c>
      <c r="L23" s="371">
        <v>518.6</v>
      </c>
      <c r="M23" s="371">
        <v>0.69299999999999995</v>
      </c>
      <c r="N23" s="371">
        <v>131.24</v>
      </c>
    </row>
    <row r="24" spans="1:16" s="609" customFormat="1" ht="24.6" x14ac:dyDescent="0.4">
      <c r="A24" s="609" t="s">
        <v>859</v>
      </c>
      <c r="B24" s="891">
        <v>8</v>
      </c>
      <c r="C24" s="891" t="s">
        <v>860</v>
      </c>
      <c r="D24" s="341" t="s">
        <v>1012</v>
      </c>
      <c r="E24" s="927">
        <v>100286</v>
      </c>
      <c r="G24" s="928">
        <f>E24*0.17*365/1000/1000000</f>
        <v>6.2227463000000009E-3</v>
      </c>
      <c r="H24" s="929">
        <f>100000*365*0.54/1000/1000000</f>
        <v>1.9709999999999998E-2</v>
      </c>
      <c r="K24" s="609">
        <v>2041</v>
      </c>
      <c r="L24" s="371">
        <v>595.4</v>
      </c>
      <c r="M24" s="371">
        <v>0.74099999999999999</v>
      </c>
      <c r="N24" s="371">
        <v>160.96</v>
      </c>
    </row>
    <row r="25" spans="1:16" s="609" customFormat="1" ht="15" x14ac:dyDescent="0.5">
      <c r="A25" s="609" t="s">
        <v>863</v>
      </c>
      <c r="B25" s="891">
        <v>11</v>
      </c>
      <c r="C25" s="891" t="s">
        <v>861</v>
      </c>
      <c r="D25" s="371" t="s">
        <v>1015</v>
      </c>
      <c r="G25" s="929">
        <f>150000*365*0.22/1000/1000000</f>
        <v>1.2045E-2</v>
      </c>
      <c r="H25" s="929">
        <f>500000*365*0.59/1000/1000000</f>
        <v>0.10767500000000001</v>
      </c>
      <c r="K25" s="621" t="s">
        <v>998</v>
      </c>
    </row>
    <row r="26" spans="1:16" s="609" customFormat="1" x14ac:dyDescent="0.4">
      <c r="A26" s="609" t="s">
        <v>862</v>
      </c>
      <c r="B26" s="891">
        <v>16</v>
      </c>
      <c r="C26" s="891" t="s">
        <v>864</v>
      </c>
      <c r="D26" s="371"/>
      <c r="G26" s="929">
        <f>1000000*365*0.19/1000/1000000</f>
        <v>6.9349999999999995E-2</v>
      </c>
      <c r="H26" s="929">
        <f>2000000*365*0.53/1000/1000000</f>
        <v>0.38690000000000002</v>
      </c>
    </row>
    <row r="27" spans="1:16" s="609" customFormat="1" ht="24.6" x14ac:dyDescent="0.4">
      <c r="A27" s="609" t="s">
        <v>993</v>
      </c>
      <c r="B27" s="891">
        <v>13</v>
      </c>
      <c r="C27" s="891" t="s">
        <v>865</v>
      </c>
      <c r="D27" s="341" t="s">
        <v>1011</v>
      </c>
      <c r="E27" s="927">
        <v>12442373</v>
      </c>
      <c r="G27" s="929">
        <f>2000000*0.22*365/1000/1000000</f>
        <v>0.16059999999999999</v>
      </c>
      <c r="H27" s="929">
        <f>E27*0.62*365/1000/1000000</f>
        <v>2.8157090098999999</v>
      </c>
    </row>
    <row r="28" spans="1:16" s="609" customFormat="1" x14ac:dyDescent="0.4">
      <c r="D28" s="609" t="s">
        <v>1014</v>
      </c>
      <c r="G28" s="1">
        <f>SUM(G24:G27)</f>
        <v>0.24821774629999999</v>
      </c>
      <c r="H28" s="1">
        <f>SUM(H24:H27)</f>
        <v>3.3299940099000001</v>
      </c>
      <c r="K28" s="901"/>
    </row>
    <row r="29" spans="1:16" s="609" customFormat="1" x14ac:dyDescent="0.4">
      <c r="K29" s="901"/>
    </row>
    <row r="30" spans="1:16" s="609" customFormat="1" x14ac:dyDescent="0.4">
      <c r="A30" s="609" t="s">
        <v>866</v>
      </c>
      <c r="K30" s="901"/>
    </row>
    <row r="31" spans="1:16" s="609" customFormat="1" x14ac:dyDescent="0.4">
      <c r="K31" s="901"/>
    </row>
    <row r="32" spans="1:16" s="609" customFormat="1" x14ac:dyDescent="0.4">
      <c r="A32" s="609" t="s">
        <v>867</v>
      </c>
      <c r="K32" s="901"/>
    </row>
    <row r="33" spans="1:8" s="609" customFormat="1" x14ac:dyDescent="0.4">
      <c r="A33" s="609" t="s">
        <v>868</v>
      </c>
      <c r="B33" s="609" t="s">
        <v>869</v>
      </c>
      <c r="C33" s="609" t="s">
        <v>202</v>
      </c>
      <c r="D33" s="609" t="s">
        <v>200</v>
      </c>
      <c r="E33" s="609" t="s">
        <v>185</v>
      </c>
      <c r="F33" s="609" t="s">
        <v>587</v>
      </c>
      <c r="G33" s="609" t="s">
        <v>203</v>
      </c>
      <c r="H33" s="609" t="s">
        <v>870</v>
      </c>
    </row>
    <row r="34" spans="1:8" s="609" customFormat="1" x14ac:dyDescent="0.4">
      <c r="A34" s="891">
        <v>41</v>
      </c>
      <c r="B34" s="891">
        <v>40</v>
      </c>
      <c r="C34" s="891">
        <v>6</v>
      </c>
      <c r="D34" s="891">
        <v>4</v>
      </c>
      <c r="E34" s="891">
        <v>2</v>
      </c>
      <c r="F34" s="891">
        <v>2</v>
      </c>
      <c r="G34" s="891">
        <v>4</v>
      </c>
      <c r="H34" s="891">
        <v>1</v>
      </c>
    </row>
    <row r="35" spans="1:8" s="609" customFormat="1" x14ac:dyDescent="0.4"/>
    <row r="39" spans="1:8" x14ac:dyDescent="0.4">
      <c r="A39" s="1" t="s">
        <v>842</v>
      </c>
    </row>
    <row r="40" spans="1:8" x14ac:dyDescent="0.4">
      <c r="A40" s="371" t="s">
        <v>843</v>
      </c>
    </row>
    <row r="41" spans="1:8" s="609" customFormat="1" ht="17.399999999999999" x14ac:dyDescent="0.55000000000000004">
      <c r="A41" s="900"/>
    </row>
    <row r="42" spans="1:8" x14ac:dyDescent="0.4">
      <c r="A42" t="s">
        <v>759</v>
      </c>
    </row>
    <row r="43" spans="1:8" x14ac:dyDescent="0.4">
      <c r="A43" s="896" t="s">
        <v>114</v>
      </c>
      <c r="B43" t="s">
        <v>763</v>
      </c>
    </row>
    <row r="44" spans="1:8" x14ac:dyDescent="0.4">
      <c r="A44" s="736">
        <v>1947</v>
      </c>
      <c r="B44" t="s">
        <v>760</v>
      </c>
    </row>
    <row r="45" spans="1:8" x14ac:dyDescent="0.4">
      <c r="A45">
        <v>1997</v>
      </c>
      <c r="B45" t="s">
        <v>761</v>
      </c>
    </row>
    <row r="46" spans="1:8" x14ac:dyDescent="0.4">
      <c r="A46">
        <v>2047</v>
      </c>
      <c r="B46" t="s">
        <v>762</v>
      </c>
      <c r="C46" t="s">
        <v>764</v>
      </c>
    </row>
    <row r="47" spans="1:8" x14ac:dyDescent="0.4">
      <c r="A47" t="s">
        <v>765</v>
      </c>
      <c r="B47" t="s">
        <v>766</v>
      </c>
    </row>
    <row r="48" spans="1:8" x14ac:dyDescent="0.4">
      <c r="A48" t="s">
        <v>767</v>
      </c>
      <c r="B48" t="s">
        <v>768</v>
      </c>
    </row>
    <row r="50" spans="1:11" x14ac:dyDescent="0.4">
      <c r="A50" t="s">
        <v>769</v>
      </c>
    </row>
    <row r="52" spans="1:11" ht="36.9" x14ac:dyDescent="0.4">
      <c r="A52" s="899" t="s">
        <v>770</v>
      </c>
      <c r="B52" s="899" t="s">
        <v>771</v>
      </c>
      <c r="C52" s="899" t="s">
        <v>802</v>
      </c>
      <c r="D52" s="899" t="s">
        <v>808</v>
      </c>
      <c r="E52" s="899" t="s">
        <v>809</v>
      </c>
      <c r="F52" s="899" t="s">
        <v>806</v>
      </c>
      <c r="G52" s="899" t="s">
        <v>807</v>
      </c>
      <c r="H52" s="899" t="s">
        <v>803</v>
      </c>
      <c r="I52" s="899" t="s">
        <v>804</v>
      </c>
      <c r="J52" s="899" t="s">
        <v>805</v>
      </c>
      <c r="K52" s="899" t="s">
        <v>839</v>
      </c>
    </row>
    <row r="53" spans="1:11" x14ac:dyDescent="0.4">
      <c r="A53" s="897" t="s">
        <v>772</v>
      </c>
      <c r="B53">
        <v>10119</v>
      </c>
      <c r="C53">
        <v>4</v>
      </c>
      <c r="D53">
        <v>3</v>
      </c>
      <c r="E53">
        <v>0.3</v>
      </c>
      <c r="F53">
        <v>46.01</v>
      </c>
      <c r="G53">
        <v>27.2</v>
      </c>
      <c r="H53">
        <v>18.04</v>
      </c>
      <c r="I53">
        <v>2242</v>
      </c>
      <c r="J53">
        <v>25</v>
      </c>
      <c r="K53">
        <f>E53*B53*365/1000</f>
        <v>1108.0305000000001</v>
      </c>
    </row>
    <row r="54" spans="1:11" x14ac:dyDescent="0.4">
      <c r="A54" t="s">
        <v>773</v>
      </c>
      <c r="B54">
        <v>29354</v>
      </c>
      <c r="C54">
        <v>15</v>
      </c>
      <c r="D54">
        <v>13</v>
      </c>
      <c r="E54">
        <v>0.44</v>
      </c>
      <c r="F54">
        <v>46.52</v>
      </c>
      <c r="G54">
        <v>16.48</v>
      </c>
      <c r="H54">
        <v>25.61</v>
      </c>
      <c r="I54">
        <v>1234</v>
      </c>
      <c r="J54">
        <v>44</v>
      </c>
      <c r="K54" s="609">
        <f t="shared" ref="K54:K111" si="1">E54*B54*365/1000</f>
        <v>4714.2524000000003</v>
      </c>
    </row>
    <row r="55" spans="1:11" x14ac:dyDescent="0.4">
      <c r="A55" t="s">
        <v>774</v>
      </c>
      <c r="B55">
        <v>35022</v>
      </c>
      <c r="C55">
        <v>22</v>
      </c>
      <c r="D55">
        <v>12</v>
      </c>
      <c r="E55">
        <v>0.34</v>
      </c>
      <c r="F55">
        <v>52.02</v>
      </c>
      <c r="G55">
        <v>20.57</v>
      </c>
      <c r="H55">
        <v>17.68</v>
      </c>
      <c r="I55">
        <v>3414</v>
      </c>
      <c r="J55">
        <v>50</v>
      </c>
      <c r="K55" s="609">
        <f t="shared" si="1"/>
        <v>4346.2302</v>
      </c>
    </row>
    <row r="56" spans="1:11" x14ac:dyDescent="0.4">
      <c r="A56" t="s">
        <v>775</v>
      </c>
      <c r="B56">
        <v>35770</v>
      </c>
      <c r="C56">
        <v>7</v>
      </c>
      <c r="D56">
        <v>15</v>
      </c>
      <c r="E56">
        <v>0.42</v>
      </c>
      <c r="F56">
        <v>29.6</v>
      </c>
      <c r="G56">
        <v>22.02</v>
      </c>
      <c r="H56">
        <v>22.34</v>
      </c>
      <c r="I56">
        <v>2588</v>
      </c>
      <c r="J56">
        <v>53</v>
      </c>
      <c r="K56" s="609">
        <f t="shared" si="1"/>
        <v>5483.5410000000002</v>
      </c>
    </row>
    <row r="57" spans="1:11" x14ac:dyDescent="0.4">
      <c r="A57" t="s">
        <v>776</v>
      </c>
      <c r="B57">
        <v>50463</v>
      </c>
      <c r="C57">
        <v>17</v>
      </c>
      <c r="D57">
        <v>16</v>
      </c>
      <c r="E57">
        <v>0.32</v>
      </c>
      <c r="F57">
        <v>71.67</v>
      </c>
      <c r="G57">
        <v>13.97</v>
      </c>
      <c r="H57">
        <v>35.24</v>
      </c>
      <c r="I57">
        <v>1281</v>
      </c>
      <c r="J57">
        <v>42</v>
      </c>
      <c r="K57" s="609">
        <f t="shared" si="1"/>
        <v>5894.0784000000003</v>
      </c>
    </row>
    <row r="58" spans="1:11" x14ac:dyDescent="0.4">
      <c r="A58" t="s">
        <v>777</v>
      </c>
      <c r="B58">
        <v>59066</v>
      </c>
      <c r="C58">
        <v>69</v>
      </c>
      <c r="D58">
        <v>32</v>
      </c>
      <c r="E58">
        <v>0.54</v>
      </c>
      <c r="F58">
        <v>61.75</v>
      </c>
      <c r="G58">
        <v>17.440000000000001</v>
      </c>
      <c r="H58">
        <v>23.77</v>
      </c>
      <c r="I58">
        <v>2211</v>
      </c>
      <c r="J58">
        <v>47</v>
      </c>
      <c r="K58" s="609">
        <f t="shared" si="1"/>
        <v>11641.908600000001</v>
      </c>
    </row>
    <row r="59" spans="1:11" x14ac:dyDescent="0.4">
      <c r="A59" t="s">
        <v>778</v>
      </c>
      <c r="B59">
        <v>77030</v>
      </c>
      <c r="C59">
        <v>30</v>
      </c>
      <c r="D59">
        <v>13</v>
      </c>
      <c r="E59">
        <v>0.17</v>
      </c>
      <c r="F59">
        <v>57.48</v>
      </c>
      <c r="G59">
        <v>22.67</v>
      </c>
      <c r="H59">
        <v>30.87</v>
      </c>
      <c r="I59">
        <v>2844</v>
      </c>
      <c r="J59">
        <v>65</v>
      </c>
      <c r="K59" s="609">
        <f t="shared" si="1"/>
        <v>4779.7115000000003</v>
      </c>
    </row>
    <row r="60" spans="1:11" x14ac:dyDescent="0.4">
      <c r="A60" t="s">
        <v>801</v>
      </c>
      <c r="B60">
        <v>99984</v>
      </c>
      <c r="C60">
        <v>18</v>
      </c>
      <c r="D60">
        <v>76</v>
      </c>
      <c r="E60">
        <v>0.76</v>
      </c>
      <c r="F60">
        <v>48.25</v>
      </c>
      <c r="G60">
        <v>27.66</v>
      </c>
      <c r="H60">
        <v>35.880000000000003</v>
      </c>
      <c r="I60">
        <v>1474</v>
      </c>
      <c r="J60">
        <v>63</v>
      </c>
      <c r="K60" s="609">
        <f t="shared" si="1"/>
        <v>27735.561599999997</v>
      </c>
    </row>
    <row r="61" spans="1:11" x14ac:dyDescent="0.4">
      <c r="A61" t="s">
        <v>779</v>
      </c>
      <c r="B61">
        <v>132867</v>
      </c>
      <c r="C61">
        <v>10</v>
      </c>
      <c r="D61">
        <v>45</v>
      </c>
      <c r="E61">
        <v>0.34</v>
      </c>
      <c r="F61">
        <v>62.54</v>
      </c>
      <c r="G61">
        <v>17.27</v>
      </c>
      <c r="H61">
        <v>28.86</v>
      </c>
      <c r="I61">
        <v>2736</v>
      </c>
      <c r="J61">
        <v>63</v>
      </c>
      <c r="K61" s="609">
        <f t="shared" si="1"/>
        <v>16488.794700000002</v>
      </c>
    </row>
    <row r="62" spans="1:11" x14ac:dyDescent="0.4">
      <c r="A62" t="s">
        <v>780</v>
      </c>
      <c r="B62">
        <v>142555</v>
      </c>
      <c r="C62">
        <v>20</v>
      </c>
      <c r="D62">
        <v>39</v>
      </c>
      <c r="E62">
        <v>0.27</v>
      </c>
      <c r="F62">
        <v>43.02</v>
      </c>
      <c r="G62">
        <v>36.64</v>
      </c>
      <c r="H62">
        <v>23.76</v>
      </c>
      <c r="I62">
        <v>2572</v>
      </c>
      <c r="J62">
        <v>60</v>
      </c>
      <c r="K62" s="609">
        <f t="shared" si="1"/>
        <v>14048.795250000001</v>
      </c>
    </row>
    <row r="63" spans="1:11" x14ac:dyDescent="0.4">
      <c r="A63" t="s">
        <v>781</v>
      </c>
      <c r="B63">
        <v>18998</v>
      </c>
      <c r="C63">
        <v>63</v>
      </c>
      <c r="D63">
        <v>77</v>
      </c>
      <c r="E63">
        <v>0.4</v>
      </c>
      <c r="F63">
        <v>58.57</v>
      </c>
      <c r="G63">
        <v>13.68</v>
      </c>
      <c r="H63">
        <v>30.02</v>
      </c>
      <c r="I63">
        <v>2427</v>
      </c>
      <c r="J63">
        <v>60</v>
      </c>
      <c r="K63" s="609">
        <f t="shared" si="1"/>
        <v>2773.7080000000005</v>
      </c>
    </row>
    <row r="64" spans="1:11" x14ac:dyDescent="0.4">
      <c r="A64" t="s">
        <v>782</v>
      </c>
      <c r="B64">
        <v>195985</v>
      </c>
      <c r="C64">
        <v>57</v>
      </c>
      <c r="D64">
        <v>44</v>
      </c>
      <c r="E64">
        <v>0.22</v>
      </c>
      <c r="F64">
        <v>34.299999999999997</v>
      </c>
      <c r="G64">
        <v>13.2</v>
      </c>
      <c r="H64">
        <v>36.049999999999997</v>
      </c>
      <c r="I64">
        <v>698</v>
      </c>
      <c r="J64">
        <v>24</v>
      </c>
      <c r="K64" s="609">
        <f t="shared" si="1"/>
        <v>15737.595499999998</v>
      </c>
    </row>
    <row r="65" spans="1:11" x14ac:dyDescent="0.4">
      <c r="A65" t="s">
        <v>783</v>
      </c>
      <c r="B65">
        <v>199258</v>
      </c>
      <c r="C65">
        <v>24</v>
      </c>
      <c r="D65">
        <v>77</v>
      </c>
      <c r="E65">
        <v>0.39</v>
      </c>
      <c r="F65">
        <v>46.93</v>
      </c>
      <c r="G65">
        <v>16.16</v>
      </c>
      <c r="H65">
        <v>18.22</v>
      </c>
      <c r="I65">
        <v>591</v>
      </c>
      <c r="J65">
        <v>50</v>
      </c>
      <c r="K65" s="609">
        <f t="shared" si="1"/>
        <v>28364.376300000004</v>
      </c>
    </row>
    <row r="66" spans="1:11" x14ac:dyDescent="0.4">
      <c r="A66" t="s">
        <v>784</v>
      </c>
      <c r="B66">
        <v>220865</v>
      </c>
      <c r="C66">
        <v>19</v>
      </c>
      <c r="D66">
        <v>130</v>
      </c>
      <c r="E66">
        <v>0.59</v>
      </c>
      <c r="F66">
        <v>46.96</v>
      </c>
      <c r="G66">
        <v>24.29</v>
      </c>
      <c r="H66">
        <v>36.86</v>
      </c>
      <c r="I66">
        <v>1846</v>
      </c>
      <c r="J66">
        <v>54</v>
      </c>
      <c r="K66" s="609">
        <f t="shared" si="1"/>
        <v>47563.277750000001</v>
      </c>
    </row>
    <row r="67" spans="1:11" x14ac:dyDescent="0.4">
      <c r="A67" t="s">
        <v>785</v>
      </c>
      <c r="B67">
        <v>221492</v>
      </c>
      <c r="C67">
        <v>34</v>
      </c>
      <c r="D67">
        <v>43</v>
      </c>
      <c r="E67">
        <v>0.19</v>
      </c>
      <c r="F67">
        <v>60</v>
      </c>
      <c r="G67">
        <v>18.510000000000002</v>
      </c>
      <c r="H67">
        <v>22.34</v>
      </c>
      <c r="I67">
        <v>3766</v>
      </c>
      <c r="J67">
        <v>40</v>
      </c>
      <c r="K67" s="609">
        <f t="shared" si="1"/>
        <v>15360.470200000002</v>
      </c>
    </row>
    <row r="68" spans="1:11" x14ac:dyDescent="0.4">
      <c r="A68" t="s">
        <v>786</v>
      </c>
      <c r="B68">
        <v>228280</v>
      </c>
      <c r="C68">
        <v>117</v>
      </c>
      <c r="D68">
        <v>57</v>
      </c>
      <c r="E68">
        <v>0.25</v>
      </c>
      <c r="F68">
        <v>54.24</v>
      </c>
      <c r="G68">
        <v>20.97</v>
      </c>
      <c r="H68">
        <v>27.45</v>
      </c>
      <c r="I68">
        <v>3766</v>
      </c>
      <c r="J68">
        <v>43</v>
      </c>
      <c r="K68" s="609">
        <f t="shared" si="1"/>
        <v>20830.55</v>
      </c>
    </row>
    <row r="69" spans="1:11" x14ac:dyDescent="0.4">
      <c r="A69" t="s">
        <v>787</v>
      </c>
      <c r="B69">
        <v>369959</v>
      </c>
      <c r="C69">
        <v>102</v>
      </c>
      <c r="D69">
        <v>215</v>
      </c>
      <c r="E69">
        <v>0.57999999999999996</v>
      </c>
      <c r="F69">
        <v>51.51</v>
      </c>
      <c r="G69">
        <v>21.08</v>
      </c>
      <c r="H69">
        <v>26.79</v>
      </c>
      <c r="I69">
        <v>1782</v>
      </c>
      <c r="J69">
        <v>40</v>
      </c>
      <c r="K69" s="609">
        <f t="shared" si="1"/>
        <v>78320.320299999992</v>
      </c>
    </row>
    <row r="70" spans="1:11" x14ac:dyDescent="0.4">
      <c r="A70" t="s">
        <v>788</v>
      </c>
      <c r="B70">
        <v>424674</v>
      </c>
      <c r="C70">
        <v>67</v>
      </c>
      <c r="D70">
        <v>131</v>
      </c>
      <c r="E70">
        <v>0.31</v>
      </c>
      <c r="F70">
        <v>51.37</v>
      </c>
      <c r="G70">
        <v>19.579999999999998</v>
      </c>
      <c r="H70">
        <v>25.9</v>
      </c>
      <c r="I70">
        <v>2445</v>
      </c>
      <c r="J70">
        <v>60</v>
      </c>
      <c r="K70" s="609">
        <f t="shared" si="1"/>
        <v>48051.863100000002</v>
      </c>
    </row>
    <row r="71" spans="1:11" x14ac:dyDescent="0.4">
      <c r="A71" t="s">
        <v>789</v>
      </c>
      <c r="B71">
        <v>475439</v>
      </c>
      <c r="C71">
        <v>127</v>
      </c>
      <c r="D71">
        <v>207</v>
      </c>
      <c r="E71">
        <v>0.44</v>
      </c>
      <c r="F71">
        <v>50.33</v>
      </c>
      <c r="G71">
        <v>14.21</v>
      </c>
      <c r="H71">
        <v>14.08</v>
      </c>
      <c r="I71">
        <v>1156</v>
      </c>
      <c r="J71">
        <v>54</v>
      </c>
      <c r="K71" s="609">
        <f t="shared" si="1"/>
        <v>76355.503400000001</v>
      </c>
    </row>
    <row r="72" spans="1:11" x14ac:dyDescent="0.4">
      <c r="A72" t="s">
        <v>790</v>
      </c>
      <c r="B72">
        <v>595575</v>
      </c>
      <c r="C72">
        <v>98</v>
      </c>
      <c r="D72">
        <v>400</v>
      </c>
      <c r="E72">
        <v>0.67</v>
      </c>
      <c r="F72">
        <v>57.34</v>
      </c>
      <c r="G72">
        <v>19.36</v>
      </c>
      <c r="H72">
        <v>18.22</v>
      </c>
      <c r="I72">
        <v>591</v>
      </c>
      <c r="J72">
        <v>50</v>
      </c>
      <c r="K72" s="609">
        <f t="shared" si="1"/>
        <v>145647.86624999999</v>
      </c>
    </row>
    <row r="73" spans="1:11" x14ac:dyDescent="0.4">
      <c r="A73" t="s">
        <v>791</v>
      </c>
      <c r="B73">
        <v>605747</v>
      </c>
      <c r="C73">
        <v>56</v>
      </c>
      <c r="D73">
        <v>184</v>
      </c>
      <c r="E73">
        <v>0.3</v>
      </c>
      <c r="F73">
        <v>51.4</v>
      </c>
      <c r="G73">
        <v>16.309999999999999</v>
      </c>
      <c r="H73">
        <v>223.5</v>
      </c>
      <c r="I73">
        <v>1273</v>
      </c>
      <c r="J73">
        <v>29</v>
      </c>
      <c r="K73" s="609">
        <f t="shared" si="1"/>
        <v>66329.296499999997</v>
      </c>
    </row>
    <row r="74" spans="1:11" x14ac:dyDescent="0.4">
      <c r="A74" t="s">
        <v>792</v>
      </c>
      <c r="B74">
        <v>648032</v>
      </c>
      <c r="C74">
        <v>135</v>
      </c>
      <c r="D74">
        <v>234</v>
      </c>
      <c r="E74">
        <v>0.36</v>
      </c>
      <c r="F74">
        <v>49.81</v>
      </c>
      <c r="G74">
        <v>12.69</v>
      </c>
      <c r="H74">
        <v>20.57</v>
      </c>
      <c r="I74">
        <v>742</v>
      </c>
      <c r="J74">
        <v>59</v>
      </c>
      <c r="K74" s="609">
        <f t="shared" si="1"/>
        <v>85151.404800000004</v>
      </c>
    </row>
    <row r="75" spans="1:11" x14ac:dyDescent="0.4">
      <c r="A75" t="s">
        <v>793</v>
      </c>
      <c r="B75">
        <v>744983</v>
      </c>
      <c r="C75">
        <v>142</v>
      </c>
      <c r="D75">
        <v>171</v>
      </c>
      <c r="E75">
        <v>0.23</v>
      </c>
      <c r="F75">
        <v>72.959999999999994</v>
      </c>
      <c r="G75">
        <v>14.36</v>
      </c>
      <c r="H75">
        <v>35.19</v>
      </c>
      <c r="I75">
        <v>2378</v>
      </c>
      <c r="J75">
        <v>60</v>
      </c>
      <c r="K75" s="609">
        <f t="shared" si="1"/>
        <v>62541.322850000004</v>
      </c>
    </row>
    <row r="76" spans="1:11" x14ac:dyDescent="0.4">
      <c r="A76" t="s">
        <v>794</v>
      </c>
      <c r="B76">
        <v>808515</v>
      </c>
      <c r="C76">
        <v>114</v>
      </c>
      <c r="D76">
        <v>326</v>
      </c>
      <c r="E76">
        <v>0.4</v>
      </c>
      <c r="F76">
        <v>57.18</v>
      </c>
      <c r="G76">
        <v>10.91</v>
      </c>
      <c r="H76">
        <v>20.52</v>
      </c>
      <c r="I76">
        <v>1408</v>
      </c>
      <c r="J76">
        <v>64</v>
      </c>
      <c r="K76" s="609">
        <f t="shared" si="1"/>
        <v>118043.19</v>
      </c>
    </row>
    <row r="77" spans="1:11" x14ac:dyDescent="0.4">
      <c r="A77" t="s">
        <v>795</v>
      </c>
      <c r="B77">
        <v>809895</v>
      </c>
      <c r="C77">
        <v>218</v>
      </c>
      <c r="D77">
        <v>166</v>
      </c>
      <c r="E77">
        <v>0.2</v>
      </c>
      <c r="F77">
        <v>53.69</v>
      </c>
      <c r="G77">
        <v>23.28</v>
      </c>
      <c r="H77">
        <v>17.71</v>
      </c>
      <c r="I77">
        <v>1519</v>
      </c>
      <c r="J77">
        <v>61</v>
      </c>
      <c r="K77" s="609">
        <f t="shared" si="1"/>
        <v>59122.334999999999</v>
      </c>
    </row>
    <row r="78" spans="1:11" x14ac:dyDescent="0.4">
      <c r="A78" t="s">
        <v>796</v>
      </c>
      <c r="B78">
        <v>847093</v>
      </c>
      <c r="C78">
        <v>224</v>
      </c>
      <c r="D78">
        <v>208</v>
      </c>
      <c r="E78">
        <v>0.25</v>
      </c>
      <c r="F78">
        <v>51.49</v>
      </c>
      <c r="G78">
        <v>9.86</v>
      </c>
      <c r="H78">
        <v>20.23</v>
      </c>
      <c r="I78">
        <v>1060</v>
      </c>
      <c r="J78">
        <v>49</v>
      </c>
      <c r="K78" s="609">
        <f t="shared" si="1"/>
        <v>77297.236250000002</v>
      </c>
    </row>
    <row r="79" spans="1:11" x14ac:dyDescent="0.4">
      <c r="A79" t="s">
        <v>797</v>
      </c>
      <c r="B79">
        <v>851282</v>
      </c>
      <c r="C79">
        <v>58</v>
      </c>
      <c r="D79">
        <v>374</v>
      </c>
      <c r="E79">
        <v>0.44</v>
      </c>
      <c r="F79">
        <v>59.43</v>
      </c>
      <c r="G79">
        <v>17.399999999999999</v>
      </c>
      <c r="H79">
        <v>33.9</v>
      </c>
      <c r="I79">
        <v>1910</v>
      </c>
      <c r="J79">
        <v>46</v>
      </c>
      <c r="K79" s="609">
        <f t="shared" si="1"/>
        <v>136715.88920000001</v>
      </c>
    </row>
    <row r="80" spans="1:11" x14ac:dyDescent="0.4">
      <c r="A80" t="s">
        <v>798</v>
      </c>
      <c r="B80">
        <v>898440</v>
      </c>
      <c r="C80">
        <v>341</v>
      </c>
      <c r="D80">
        <v>428</v>
      </c>
      <c r="E80">
        <v>0.48</v>
      </c>
      <c r="F80">
        <v>61.77</v>
      </c>
      <c r="G80">
        <v>17.760000000000002</v>
      </c>
      <c r="H80">
        <v>22.46</v>
      </c>
      <c r="I80">
        <v>1264</v>
      </c>
      <c r="J80">
        <v>61</v>
      </c>
      <c r="K80" s="609">
        <f t="shared" si="1"/>
        <v>157406.68799999999</v>
      </c>
    </row>
    <row r="81" spans="1:12" x14ac:dyDescent="0.4">
      <c r="A81" t="s">
        <v>799</v>
      </c>
      <c r="B81">
        <v>928868</v>
      </c>
      <c r="C81">
        <v>52</v>
      </c>
      <c r="D81">
        <v>275</v>
      </c>
      <c r="E81">
        <v>0.3</v>
      </c>
      <c r="F81">
        <v>55.32</v>
      </c>
      <c r="G81">
        <v>17.25</v>
      </c>
      <c r="H81">
        <v>32.69</v>
      </c>
      <c r="I81">
        <v>1813</v>
      </c>
      <c r="J81">
        <v>46</v>
      </c>
      <c r="K81" s="609">
        <f t="shared" si="1"/>
        <v>101711.04599999999</v>
      </c>
    </row>
    <row r="82" spans="1:12" x14ac:dyDescent="0.4">
      <c r="A82" t="s">
        <v>800</v>
      </c>
      <c r="B82">
        <v>930882</v>
      </c>
      <c r="C82">
        <v>107</v>
      </c>
      <c r="D82">
        <v>530</v>
      </c>
      <c r="E82">
        <v>0.56999999999999995</v>
      </c>
      <c r="F82">
        <v>50.06</v>
      </c>
      <c r="G82">
        <v>15.52</v>
      </c>
      <c r="H82">
        <v>45.83</v>
      </c>
      <c r="I82">
        <v>2381</v>
      </c>
      <c r="J82">
        <v>54</v>
      </c>
      <c r="K82" s="609">
        <f t="shared" si="1"/>
        <v>193670.0001</v>
      </c>
    </row>
    <row r="83" spans="1:12" x14ac:dyDescent="0.4">
      <c r="A83" t="s">
        <v>810</v>
      </c>
      <c r="B83">
        <v>932484</v>
      </c>
      <c r="C83">
        <v>134</v>
      </c>
      <c r="D83">
        <v>216</v>
      </c>
      <c r="E83">
        <v>0.23</v>
      </c>
      <c r="F83">
        <v>58.07</v>
      </c>
      <c r="G83">
        <v>16.61</v>
      </c>
      <c r="H83">
        <v>28.22</v>
      </c>
      <c r="I83">
        <v>2051</v>
      </c>
      <c r="J83">
        <v>35</v>
      </c>
      <c r="K83" s="609">
        <f t="shared" si="1"/>
        <v>78282.031799999997</v>
      </c>
    </row>
    <row r="84" spans="1:12" x14ac:dyDescent="0.4">
      <c r="A84" t="s">
        <v>811</v>
      </c>
      <c r="B84">
        <v>966862</v>
      </c>
      <c r="C84">
        <v>77</v>
      </c>
      <c r="D84">
        <v>438</v>
      </c>
      <c r="E84">
        <v>0.45</v>
      </c>
      <c r="F84">
        <v>65.02</v>
      </c>
      <c r="G84">
        <v>13.94</v>
      </c>
      <c r="H84">
        <v>30.69</v>
      </c>
      <c r="I84">
        <v>1836</v>
      </c>
      <c r="J84">
        <v>61</v>
      </c>
      <c r="K84" s="609">
        <f t="shared" si="1"/>
        <v>158807.08350000001</v>
      </c>
    </row>
    <row r="85" spans="1:12" x14ac:dyDescent="0.4">
      <c r="A85" t="s">
        <v>812</v>
      </c>
      <c r="B85">
        <v>967476</v>
      </c>
      <c r="C85">
        <v>105</v>
      </c>
      <c r="D85">
        <v>207</v>
      </c>
      <c r="E85">
        <v>0.21</v>
      </c>
      <c r="F85">
        <v>41.5</v>
      </c>
      <c r="G85">
        <v>11.2</v>
      </c>
      <c r="H85">
        <v>52.56</v>
      </c>
      <c r="I85">
        <v>687</v>
      </c>
      <c r="J85">
        <v>17</v>
      </c>
      <c r="K85" s="609">
        <f t="shared" si="1"/>
        <v>74157.035399999993</v>
      </c>
    </row>
    <row r="86" spans="1:12" x14ac:dyDescent="0.4">
      <c r="A86" t="s">
        <v>813</v>
      </c>
      <c r="B86">
        <v>975393</v>
      </c>
      <c r="C86">
        <v>71</v>
      </c>
      <c r="D86">
        <v>509</v>
      </c>
      <c r="E86">
        <v>0.52</v>
      </c>
      <c r="F86">
        <v>35.49</v>
      </c>
      <c r="G86">
        <v>19.22</v>
      </c>
      <c r="H86">
        <v>19</v>
      </c>
      <c r="I86">
        <v>1180</v>
      </c>
      <c r="J86">
        <v>18</v>
      </c>
      <c r="K86" s="609">
        <f t="shared" si="1"/>
        <v>185129.5914</v>
      </c>
    </row>
    <row r="87" spans="1:12" x14ac:dyDescent="0.4">
      <c r="A87" t="s">
        <v>814</v>
      </c>
      <c r="B87">
        <v>982904</v>
      </c>
      <c r="C87">
        <v>110</v>
      </c>
      <c r="D87">
        <v>584</v>
      </c>
      <c r="E87">
        <v>0.59</v>
      </c>
      <c r="F87">
        <v>45.96</v>
      </c>
      <c r="G87">
        <v>24.2</v>
      </c>
      <c r="H87">
        <v>41.7</v>
      </c>
      <c r="I87">
        <v>1602</v>
      </c>
      <c r="J87">
        <v>53</v>
      </c>
      <c r="K87" s="609">
        <f t="shared" si="1"/>
        <v>211668.37640000001</v>
      </c>
    </row>
    <row r="88" spans="1:12" x14ac:dyDescent="0.4">
      <c r="A88" t="s">
        <v>815</v>
      </c>
      <c r="B88">
        <v>1055938</v>
      </c>
      <c r="C88">
        <v>216</v>
      </c>
      <c r="D88">
        <v>448</v>
      </c>
      <c r="E88">
        <v>0.42</v>
      </c>
      <c r="F88">
        <v>42.06</v>
      </c>
      <c r="G88">
        <v>23.31</v>
      </c>
      <c r="H88">
        <v>18.579999999999998</v>
      </c>
      <c r="I88">
        <v>1319</v>
      </c>
      <c r="J88">
        <v>34</v>
      </c>
      <c r="K88" s="609">
        <f t="shared" si="1"/>
        <v>161875.29539999997</v>
      </c>
    </row>
    <row r="89" spans="1:12" x14ac:dyDescent="0.4">
      <c r="A89" t="s">
        <v>816</v>
      </c>
      <c r="B89">
        <v>1068772</v>
      </c>
      <c r="C89">
        <v>142</v>
      </c>
      <c r="D89">
        <v>490</v>
      </c>
      <c r="E89">
        <v>0.46</v>
      </c>
      <c r="F89">
        <v>54.54</v>
      </c>
      <c r="G89">
        <v>10.96</v>
      </c>
      <c r="H89">
        <v>19.239999999999998</v>
      </c>
      <c r="I89">
        <v>1089</v>
      </c>
      <c r="J89">
        <v>32</v>
      </c>
      <c r="K89" s="609">
        <f t="shared" si="1"/>
        <v>179446.81880000001</v>
      </c>
      <c r="L89" s="1" t="s">
        <v>841</v>
      </c>
    </row>
    <row r="90" spans="1:12" x14ac:dyDescent="0.4">
      <c r="A90" t="s">
        <v>817</v>
      </c>
      <c r="B90">
        <v>1077236</v>
      </c>
      <c r="C90">
        <v>269</v>
      </c>
      <c r="D90">
        <v>200</v>
      </c>
      <c r="E90">
        <v>0.19</v>
      </c>
      <c r="F90">
        <v>39.520000000000003</v>
      </c>
      <c r="G90">
        <v>25.11</v>
      </c>
      <c r="H90">
        <v>37.200000000000003</v>
      </c>
      <c r="I90">
        <v>2762</v>
      </c>
      <c r="J90">
        <v>62</v>
      </c>
      <c r="K90" s="609">
        <f t="shared" si="1"/>
        <v>74706.316599999991</v>
      </c>
    </row>
    <row r="91" spans="1:12" x14ac:dyDescent="0.4">
      <c r="A91" t="s">
        <v>818</v>
      </c>
      <c r="B91">
        <v>1091918</v>
      </c>
      <c r="C91">
        <v>80</v>
      </c>
      <c r="D91">
        <v>425</v>
      </c>
      <c r="E91">
        <v>0.39</v>
      </c>
      <c r="F91">
        <v>45.18</v>
      </c>
      <c r="G91">
        <v>17.23</v>
      </c>
      <c r="H91">
        <v>19.399999999999999</v>
      </c>
      <c r="I91">
        <v>804</v>
      </c>
      <c r="J91">
        <v>44</v>
      </c>
      <c r="K91" s="609">
        <f t="shared" si="1"/>
        <v>155434.52730000002</v>
      </c>
    </row>
    <row r="92" spans="1:12" x14ac:dyDescent="0.4">
      <c r="A92" t="s">
        <v>819</v>
      </c>
      <c r="B92">
        <v>1104713</v>
      </c>
      <c r="C92">
        <v>64</v>
      </c>
      <c r="D92">
        <v>338</v>
      </c>
      <c r="E92">
        <v>0.31</v>
      </c>
      <c r="F92">
        <v>43.36</v>
      </c>
      <c r="G92">
        <v>15.69</v>
      </c>
      <c r="H92">
        <v>19.690000000000001</v>
      </c>
      <c r="I92">
        <v>1009</v>
      </c>
      <c r="J92">
        <v>48</v>
      </c>
      <c r="K92" s="609">
        <f t="shared" si="1"/>
        <v>124998.27594999998</v>
      </c>
    </row>
    <row r="93" spans="1:12" x14ac:dyDescent="0.4">
      <c r="A93" t="s">
        <v>820</v>
      </c>
      <c r="B93">
        <v>1275135</v>
      </c>
      <c r="C93">
        <v>140</v>
      </c>
      <c r="D93">
        <v>654</v>
      </c>
      <c r="E93">
        <v>0.51</v>
      </c>
      <c r="F93">
        <v>46.38</v>
      </c>
      <c r="G93">
        <v>15.79</v>
      </c>
      <c r="H93">
        <v>21.56</v>
      </c>
      <c r="I93">
        <v>520</v>
      </c>
      <c r="J93">
        <v>28</v>
      </c>
      <c r="K93" s="609">
        <f t="shared" si="1"/>
        <v>237366.38024999999</v>
      </c>
    </row>
    <row r="94" spans="1:12" x14ac:dyDescent="0.4">
      <c r="A94" t="s">
        <v>821</v>
      </c>
      <c r="B94">
        <v>1306227</v>
      </c>
      <c r="C94">
        <v>240</v>
      </c>
      <c r="D94">
        <v>357</v>
      </c>
      <c r="E94">
        <v>0.27</v>
      </c>
      <c r="F94">
        <v>47.43</v>
      </c>
      <c r="G94">
        <v>14.5</v>
      </c>
      <c r="H94">
        <v>40.340000000000003</v>
      </c>
      <c r="I94">
        <v>1781</v>
      </c>
      <c r="J94">
        <v>25</v>
      </c>
      <c r="K94" s="609">
        <f t="shared" si="1"/>
        <v>128728.67085000001</v>
      </c>
    </row>
    <row r="95" spans="1:12" x14ac:dyDescent="0.4">
      <c r="A95" t="s">
        <v>822</v>
      </c>
      <c r="B95">
        <v>1366444</v>
      </c>
      <c r="C95">
        <v>107</v>
      </c>
      <c r="D95">
        <v>511</v>
      </c>
      <c r="E95">
        <v>0.37</v>
      </c>
      <c r="F95">
        <v>51.96</v>
      </c>
      <c r="G95">
        <v>12.57</v>
      </c>
      <c r="H95">
        <v>18.62</v>
      </c>
      <c r="I95">
        <v>819</v>
      </c>
      <c r="J95">
        <v>36</v>
      </c>
      <c r="K95" s="609">
        <f t="shared" si="1"/>
        <v>184538.2622</v>
      </c>
    </row>
    <row r="96" spans="1:12" x14ac:dyDescent="0.4">
      <c r="A96" t="s">
        <v>823</v>
      </c>
      <c r="B96">
        <v>1398467</v>
      </c>
      <c r="C96">
        <v>159</v>
      </c>
      <c r="D96">
        <v>735</v>
      </c>
      <c r="E96">
        <v>0.53</v>
      </c>
      <c r="F96">
        <v>49.8</v>
      </c>
      <c r="G96">
        <v>19.32</v>
      </c>
      <c r="H96">
        <v>52.17</v>
      </c>
      <c r="I96">
        <v>2559</v>
      </c>
      <c r="J96">
        <v>65</v>
      </c>
      <c r="K96" s="609">
        <f t="shared" si="1"/>
        <v>270533.44114999997</v>
      </c>
    </row>
    <row r="97" spans="1:11" x14ac:dyDescent="0.4">
      <c r="A97" t="s">
        <v>824</v>
      </c>
      <c r="B97">
        <v>1437354</v>
      </c>
      <c r="C97">
        <v>286</v>
      </c>
      <c r="D97">
        <v>574</v>
      </c>
      <c r="E97">
        <v>0.4</v>
      </c>
      <c r="F97">
        <v>52.44</v>
      </c>
      <c r="G97">
        <v>22.33</v>
      </c>
      <c r="H97">
        <v>21.58</v>
      </c>
      <c r="I97">
        <v>1421</v>
      </c>
      <c r="J97">
        <v>43</v>
      </c>
      <c r="K97" s="609">
        <f t="shared" si="1"/>
        <v>209853.68400000001</v>
      </c>
    </row>
    <row r="98" spans="1:11" x14ac:dyDescent="0.4">
      <c r="A98" t="s">
        <v>825</v>
      </c>
      <c r="B98">
        <v>1474968</v>
      </c>
      <c r="C98">
        <v>130</v>
      </c>
      <c r="D98">
        <v>557</v>
      </c>
      <c r="E98">
        <v>0.38</v>
      </c>
      <c r="F98">
        <v>48.97</v>
      </c>
      <c r="G98">
        <v>12.57</v>
      </c>
      <c r="H98">
        <v>29.3</v>
      </c>
      <c r="I98">
        <v>1437</v>
      </c>
      <c r="J98">
        <v>31</v>
      </c>
      <c r="K98" s="609">
        <f t="shared" si="1"/>
        <v>204578.06159999999</v>
      </c>
    </row>
    <row r="99" spans="1:11" x14ac:dyDescent="0.4">
      <c r="A99" t="s">
        <v>826</v>
      </c>
      <c r="B99">
        <v>2052066</v>
      </c>
      <c r="C99">
        <v>218</v>
      </c>
      <c r="D99">
        <v>504</v>
      </c>
      <c r="E99">
        <v>0.25</v>
      </c>
      <c r="F99">
        <v>47.41</v>
      </c>
      <c r="G99">
        <v>15.53</v>
      </c>
      <c r="H99">
        <v>26.37</v>
      </c>
      <c r="I99">
        <v>2632</v>
      </c>
      <c r="J99">
        <v>41</v>
      </c>
      <c r="K99" s="609">
        <f t="shared" si="1"/>
        <v>187251.02249999999</v>
      </c>
    </row>
    <row r="100" spans="1:11" x14ac:dyDescent="0.4">
      <c r="A100" t="s">
        <v>827</v>
      </c>
      <c r="B100">
        <v>2185927</v>
      </c>
      <c r="C100">
        <v>310</v>
      </c>
      <c r="D100">
        <v>475</v>
      </c>
      <c r="E100">
        <v>0.22</v>
      </c>
      <c r="F100">
        <v>47.41</v>
      </c>
      <c r="G100">
        <v>15.53</v>
      </c>
      <c r="H100">
        <v>21.41</v>
      </c>
      <c r="I100">
        <v>1557</v>
      </c>
      <c r="J100">
        <v>60</v>
      </c>
      <c r="K100" s="609">
        <f t="shared" si="1"/>
        <v>175529.9381</v>
      </c>
    </row>
    <row r="101" spans="1:11" x14ac:dyDescent="0.4">
      <c r="A101" t="s">
        <v>828</v>
      </c>
      <c r="B101">
        <v>2322575</v>
      </c>
      <c r="C101">
        <v>518</v>
      </c>
      <c r="D101">
        <v>904</v>
      </c>
      <c r="E101">
        <v>0.39</v>
      </c>
      <c r="F101">
        <v>45.5</v>
      </c>
      <c r="G101">
        <v>12.1</v>
      </c>
      <c r="H101">
        <v>43.29</v>
      </c>
      <c r="I101">
        <v>834</v>
      </c>
      <c r="J101">
        <v>21</v>
      </c>
      <c r="K101" s="609">
        <f t="shared" si="1"/>
        <v>330618.55125000002</v>
      </c>
    </row>
    <row r="102" spans="1:11" x14ac:dyDescent="0.4">
      <c r="A102" t="s">
        <v>829</v>
      </c>
      <c r="B102">
        <v>2433835</v>
      </c>
      <c r="C102">
        <v>112</v>
      </c>
      <c r="D102">
        <v>1000</v>
      </c>
      <c r="E102">
        <v>0.41</v>
      </c>
      <c r="F102">
        <v>56.87</v>
      </c>
      <c r="G102">
        <v>11.21</v>
      </c>
      <c r="H102">
        <v>42.16</v>
      </c>
      <c r="I102">
        <v>990</v>
      </c>
      <c r="J102">
        <v>51</v>
      </c>
      <c r="K102" s="609">
        <f t="shared" si="1"/>
        <v>364223.40775000001</v>
      </c>
    </row>
    <row r="103" spans="1:11" x14ac:dyDescent="0.4">
      <c r="A103" t="s">
        <v>830</v>
      </c>
      <c r="B103">
        <v>2538473</v>
      </c>
      <c r="C103">
        <v>244</v>
      </c>
      <c r="D103">
        <v>1175</v>
      </c>
      <c r="E103">
        <v>0.46</v>
      </c>
      <c r="F103">
        <v>62.44</v>
      </c>
      <c r="G103">
        <v>16.66</v>
      </c>
      <c r="H103">
        <v>35.54</v>
      </c>
      <c r="I103">
        <v>2531</v>
      </c>
      <c r="J103">
        <v>63</v>
      </c>
      <c r="K103" s="609">
        <f t="shared" si="1"/>
        <v>426209.61670000007</v>
      </c>
    </row>
    <row r="104" spans="1:11" x14ac:dyDescent="0.4">
      <c r="A104" t="s">
        <v>831</v>
      </c>
      <c r="B104">
        <v>2551337</v>
      </c>
      <c r="C104">
        <v>267</v>
      </c>
      <c r="D104">
        <v>1100</v>
      </c>
      <c r="E104">
        <v>0.43</v>
      </c>
      <c r="F104">
        <v>47.52</v>
      </c>
      <c r="G104">
        <v>11.93</v>
      </c>
      <c r="H104">
        <v>27.64</v>
      </c>
      <c r="I104">
        <v>1571</v>
      </c>
      <c r="J104">
        <v>46</v>
      </c>
      <c r="K104" s="609">
        <f t="shared" si="1"/>
        <v>400432.34214999998</v>
      </c>
    </row>
    <row r="105" spans="1:11" x14ac:dyDescent="0.4">
      <c r="A105" t="s">
        <v>832</v>
      </c>
      <c r="B105">
        <v>3520085</v>
      </c>
      <c r="C105">
        <v>191</v>
      </c>
      <c r="D105">
        <v>1302</v>
      </c>
      <c r="E105">
        <v>0.37</v>
      </c>
      <c r="F105">
        <v>40.81</v>
      </c>
      <c r="G105">
        <v>11.65</v>
      </c>
      <c r="H105">
        <v>29.64</v>
      </c>
      <c r="I105">
        <v>1180</v>
      </c>
      <c r="J105">
        <v>32</v>
      </c>
      <c r="K105" s="609">
        <f t="shared" si="1"/>
        <v>475387.47924999997</v>
      </c>
    </row>
    <row r="106" spans="1:11" x14ac:dyDescent="0.4">
      <c r="A106" t="s">
        <v>833</v>
      </c>
      <c r="B106">
        <v>3843585</v>
      </c>
      <c r="C106">
        <v>169</v>
      </c>
      <c r="D106">
        <v>2187</v>
      </c>
      <c r="E106">
        <v>0.56999999999999995</v>
      </c>
      <c r="F106">
        <v>54.2</v>
      </c>
      <c r="G106">
        <v>21.6</v>
      </c>
      <c r="H106">
        <v>25.9</v>
      </c>
      <c r="I106">
        <v>1969</v>
      </c>
      <c r="J106">
        <v>46</v>
      </c>
      <c r="K106" s="609">
        <f t="shared" si="1"/>
        <v>799657.85924999986</v>
      </c>
    </row>
    <row r="107" spans="1:11" x14ac:dyDescent="0.4">
      <c r="A107" t="s">
        <v>834</v>
      </c>
      <c r="B107">
        <v>4301326</v>
      </c>
      <c r="C107">
        <v>226</v>
      </c>
      <c r="D107">
        <v>1669</v>
      </c>
      <c r="E107">
        <v>0.39</v>
      </c>
      <c r="F107">
        <v>51.84</v>
      </c>
      <c r="G107">
        <v>22.43</v>
      </c>
      <c r="H107">
        <v>35.119999999999997</v>
      </c>
      <c r="I107">
        <v>2386</v>
      </c>
      <c r="J107">
        <v>55</v>
      </c>
      <c r="K107" s="609">
        <f t="shared" si="1"/>
        <v>612293.7561</v>
      </c>
    </row>
    <row r="108" spans="1:11" x14ac:dyDescent="0.4">
      <c r="A108" t="s">
        <v>835</v>
      </c>
      <c r="B108">
        <v>4343645</v>
      </c>
      <c r="C108">
        <v>174</v>
      </c>
      <c r="D108">
        <v>3036</v>
      </c>
      <c r="E108">
        <v>0.62</v>
      </c>
      <c r="F108">
        <v>41.34</v>
      </c>
      <c r="G108">
        <v>16.34</v>
      </c>
      <c r="H108">
        <v>29.25</v>
      </c>
      <c r="I108">
        <v>2594</v>
      </c>
      <c r="J108">
        <v>47</v>
      </c>
      <c r="K108" s="609">
        <f t="shared" si="1"/>
        <v>982966.86349999998</v>
      </c>
    </row>
    <row r="109" spans="1:11" x14ac:dyDescent="0.4">
      <c r="A109" t="s">
        <v>836</v>
      </c>
      <c r="B109">
        <v>4572876</v>
      </c>
      <c r="C109">
        <v>187</v>
      </c>
      <c r="D109">
        <v>2653</v>
      </c>
      <c r="E109">
        <v>0.57999999999999996</v>
      </c>
      <c r="F109">
        <v>50.56</v>
      </c>
      <c r="G109">
        <v>11.48</v>
      </c>
      <c r="H109">
        <v>31.81</v>
      </c>
      <c r="I109">
        <v>1201</v>
      </c>
      <c r="J109">
        <v>46</v>
      </c>
      <c r="K109" s="609">
        <f t="shared" si="1"/>
        <v>968077.84919999982</v>
      </c>
    </row>
    <row r="110" spans="1:11" x14ac:dyDescent="0.4">
      <c r="A110" t="s">
        <v>837</v>
      </c>
      <c r="B110">
        <v>10306452</v>
      </c>
      <c r="C110">
        <v>1483</v>
      </c>
      <c r="D110">
        <v>5922</v>
      </c>
      <c r="E110">
        <v>0.56999999999999995</v>
      </c>
      <c r="F110">
        <v>54.42</v>
      </c>
      <c r="G110">
        <v>15.52</v>
      </c>
      <c r="H110">
        <v>34.869999999999997</v>
      </c>
      <c r="I110">
        <v>1802</v>
      </c>
      <c r="J110">
        <v>49</v>
      </c>
      <c r="K110" s="609">
        <f t="shared" si="1"/>
        <v>2144257.3385999999</v>
      </c>
    </row>
    <row r="111" spans="1:11" x14ac:dyDescent="0.4">
      <c r="A111" t="s">
        <v>838</v>
      </c>
      <c r="B111">
        <v>11978450</v>
      </c>
      <c r="C111">
        <v>437</v>
      </c>
      <c r="D111">
        <v>5320</v>
      </c>
      <c r="E111">
        <v>0.45</v>
      </c>
      <c r="F111">
        <v>62.44</v>
      </c>
      <c r="G111">
        <v>16.66</v>
      </c>
      <c r="H111">
        <v>39.04</v>
      </c>
      <c r="I111">
        <v>1786</v>
      </c>
      <c r="J111">
        <v>54</v>
      </c>
      <c r="K111" s="609">
        <f t="shared" si="1"/>
        <v>1967460.4125000001</v>
      </c>
    </row>
    <row r="112" spans="1:11" ht="15" x14ac:dyDescent="0.5">
      <c r="A112" s="898"/>
    </row>
    <row r="113" spans="1:11" ht="15" x14ac:dyDescent="0.5">
      <c r="A113" s="898"/>
      <c r="J113" s="1" t="s">
        <v>840</v>
      </c>
      <c r="K113" s="1">
        <f>SUM(K53:K111)/1000000</f>
        <v>14.1077051331</v>
      </c>
    </row>
    <row r="120" spans="1:11" x14ac:dyDescent="0.4">
      <c r="A120" t="s">
        <v>726</v>
      </c>
    </row>
    <row r="121" spans="1:11" x14ac:dyDescent="0.4">
      <c r="A121" t="s">
        <v>727</v>
      </c>
    </row>
    <row r="123" spans="1:11" x14ac:dyDescent="0.4">
      <c r="A123" s="609" t="s">
        <v>728</v>
      </c>
      <c r="B123" s="609"/>
      <c r="C123" s="609"/>
      <c r="D123" s="609"/>
      <c r="E123" s="609"/>
      <c r="F123" s="609"/>
      <c r="G123" s="609"/>
    </row>
    <row r="124" spans="1:11" x14ac:dyDescent="0.4">
      <c r="B124" s="844">
        <v>2010</v>
      </c>
      <c r="C124" s="844">
        <v>2015</v>
      </c>
      <c r="D124" s="844">
        <v>2023</v>
      </c>
    </row>
    <row r="125" spans="1:11" x14ac:dyDescent="0.4">
      <c r="A125" t="s">
        <v>55</v>
      </c>
      <c r="B125" s="844">
        <v>158</v>
      </c>
      <c r="C125" s="844">
        <v>191</v>
      </c>
      <c r="D125" s="844">
        <v>446</v>
      </c>
    </row>
    <row r="126" spans="1:11" x14ac:dyDescent="0.4">
      <c r="A126" t="s">
        <v>58</v>
      </c>
      <c r="B126" s="844">
        <v>40</v>
      </c>
      <c r="C126" s="844">
        <v>52</v>
      </c>
      <c r="D126" s="844">
        <v>120</v>
      </c>
    </row>
    <row r="127" spans="1:11" x14ac:dyDescent="0.4">
      <c r="A127" t="s">
        <v>729</v>
      </c>
      <c r="B127" s="844">
        <v>18</v>
      </c>
      <c r="C127" s="844">
        <v>26</v>
      </c>
      <c r="D127" s="844">
        <v>37</v>
      </c>
    </row>
  </sheetData>
  <hyperlinks>
    <hyperlink ref="K25" r:id="rId1" display="http://www.seas.columbia.edu/earth/wtert/sofos/Sustainable Solid Waste Management in India_Final.pdf" xr:uid="{7BC411F6-6CD5-9A4F-9DAE-6B12C72063D1}"/>
  </hyperlink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172"/>
    <cellWatch r="AZ173"/>
    <cellWatch r="AZ174"/>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322"/>
    <cellWatch r="AZ323"/>
    <cellWatch r="AZ175"/>
    <cellWatch r="AZ176"/>
    <cellWatch r="AZ177"/>
    <cellWatch r="AZ178"/>
    <cellWatch r="AY183"/>
    <cellWatch r="AY184"/>
    <cellWatch r="AY185"/>
    <cellWatch r="AY186"/>
    <cellWatch r="AY187"/>
    <cellWatch r="AZ242"/>
    <cellWatch r="AZ243"/>
    <cellWatch r="AZ244"/>
    <cellWatch r="AZ245"/>
    <cellWatch r="AZ246"/>
    <cellWatch r="AZ247"/>
    <cellWatch r="BA172"/>
    <cellWatch r="BB172"/>
    <cellWatch r="BB173"/>
    <cellWatch r="AZ179"/>
    <cellWatch r="AY188"/>
  </cellWatche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F85A9-A942-A44F-AD89-675565145CD6}">
  <sheetPr codeName="Sheet16">
    <tabColor theme="9" tint="0.59999389629810485"/>
  </sheetPr>
  <dimension ref="A1:EO1827"/>
  <sheetViews>
    <sheetView showGridLines="0" topLeftCell="A319" zoomScale="93" zoomScaleNormal="93" workbookViewId="0">
      <selection activeCell="A391" sqref="A391"/>
    </sheetView>
  </sheetViews>
  <sheetFormatPr defaultColWidth="8.83203125" defaultRowHeight="12.3" x14ac:dyDescent="0.4"/>
  <cols>
    <col min="1" max="1" width="29.1640625" style="609" customWidth="1"/>
    <col min="2" max="2" width="2.33203125" style="609" customWidth="1"/>
    <col min="3" max="3" width="8.83203125" style="609"/>
    <col min="4" max="4" width="9.1640625" style="792" hidden="1" customWidth="1"/>
    <col min="5" max="5" width="16.5" style="609" customWidth="1"/>
    <col min="6" max="6" width="15.1640625" style="609" customWidth="1"/>
    <col min="7" max="7" width="23.1640625" style="609" customWidth="1"/>
    <col min="8" max="9" width="18.33203125" style="609" customWidth="1"/>
    <col min="10" max="10" width="17.1640625" style="609" customWidth="1"/>
    <col min="11" max="11" width="12.5" style="609" customWidth="1"/>
    <col min="12" max="17" width="8.83203125" style="609" customWidth="1"/>
    <col min="18" max="18" width="17.33203125" style="609" customWidth="1"/>
    <col min="19" max="26" width="8.83203125" style="609" customWidth="1"/>
    <col min="27" max="34" width="8.83203125" style="609"/>
    <col min="35" max="36" width="8.83203125" style="609" customWidth="1"/>
    <col min="37" max="37" width="12.33203125" style="609" customWidth="1"/>
    <col min="38" max="38" width="8.83203125" style="609" customWidth="1"/>
    <col min="39" max="39" width="33.1640625" style="609" customWidth="1"/>
    <col min="40" max="40" width="3.33203125" style="609" customWidth="1"/>
    <col min="41" max="41" width="7.83203125" style="609" customWidth="1"/>
    <col min="42" max="42" width="9.6640625" style="609" customWidth="1"/>
    <col min="43" max="43" width="10" style="609" customWidth="1"/>
    <col min="44" max="44" width="11.5" style="609" customWidth="1"/>
    <col min="45" max="45" width="8.83203125" style="609" customWidth="1"/>
    <col min="46" max="46" width="23.1640625" style="609" customWidth="1"/>
    <col min="47" max="47" width="3.33203125" style="609" customWidth="1"/>
    <col min="48" max="49" width="7.1640625" style="609" customWidth="1"/>
    <col min="50" max="50" width="9.6640625" style="609" customWidth="1"/>
    <col min="51" max="51" width="10" style="609" customWidth="1"/>
    <col min="52" max="52" width="11.5" style="609" customWidth="1"/>
    <col min="53" max="53" width="8.83203125" style="609" customWidth="1"/>
    <col min="54" max="54" width="33.1640625" style="609" customWidth="1"/>
    <col min="55" max="55" width="3.33203125" style="609" customWidth="1"/>
    <col min="56" max="58" width="7.1640625" style="609" customWidth="1"/>
    <col min="59" max="59" width="9.6640625" style="609" customWidth="1"/>
    <col min="60" max="60" width="10" style="609" customWidth="1"/>
    <col min="61" max="61" width="11.5" style="609" customWidth="1"/>
    <col min="62" max="62" width="8.83203125" style="609" customWidth="1"/>
    <col min="63" max="63" width="13.1640625" style="609" customWidth="1"/>
    <col min="64" max="64" width="3.33203125" style="609" customWidth="1"/>
    <col min="65" max="65" width="7.1640625" style="609" customWidth="1"/>
    <col min="66" max="66" width="9.83203125" style="609" customWidth="1"/>
    <col min="67" max="67" width="10" style="609" customWidth="1"/>
    <col min="68" max="68" width="11.5" style="609" customWidth="1"/>
    <col min="69" max="70" width="8.83203125" style="609" customWidth="1"/>
    <col min="71" max="71" width="9.5" style="609" customWidth="1"/>
    <col min="72" max="72" width="9.6640625" style="609" customWidth="1"/>
    <col min="73" max="73" width="7.83203125" style="609" customWidth="1"/>
    <col min="74" max="74" width="8.83203125" style="609" customWidth="1"/>
    <col min="75" max="75" width="22.6640625" style="609" customWidth="1"/>
    <col min="76" max="76" width="14.33203125" style="609" customWidth="1"/>
    <col min="77" max="78" width="8.83203125" style="609" customWidth="1"/>
    <col min="79" max="79" width="33.1640625" style="609" customWidth="1"/>
    <col min="80" max="80" width="8.83203125" style="609" customWidth="1"/>
    <col min="81" max="81" width="14.33203125" style="609" customWidth="1"/>
    <col min="82" max="82" width="5.33203125" style="609" customWidth="1"/>
    <col min="83" max="83" width="9.1640625" style="609" customWidth="1"/>
    <col min="84" max="85" width="8.83203125" style="609" customWidth="1"/>
    <col min="86" max="86" width="15" style="609" customWidth="1"/>
    <col min="87" max="88" width="8.83203125" style="609" customWidth="1"/>
    <col min="89" max="89" width="33.1640625" style="609" customWidth="1"/>
    <col min="90" max="90" width="13.5" style="609" customWidth="1"/>
    <col min="91" max="92" width="8.83203125" style="609" customWidth="1"/>
    <col min="93" max="93" width="10.33203125" style="609" customWidth="1"/>
    <col min="94" max="95" width="8.83203125" style="609" customWidth="1"/>
    <col min="96" max="96" width="10.33203125" style="609" customWidth="1"/>
    <col min="97" max="97" width="8.83203125" style="609" customWidth="1"/>
    <col min="98" max="98" width="14" style="609" customWidth="1"/>
    <col min="99" max="99" width="8.83203125" style="609" customWidth="1"/>
    <col min="100" max="100" width="25.5" style="609" customWidth="1"/>
    <col min="101" max="101" width="8.83203125" style="609" customWidth="1"/>
    <col min="102" max="102" width="17.33203125" style="609" customWidth="1"/>
    <col min="103" max="103" width="11.5" style="609" customWidth="1"/>
    <col min="104" max="117" width="8.83203125" style="609" customWidth="1"/>
    <col min="118" max="16384" width="8.83203125" style="609"/>
  </cols>
  <sheetData>
    <row r="1" spans="1:114" ht="20.100000000000001" x14ac:dyDescent="0.7">
      <c r="A1" s="368" t="str">
        <f ca="1">MID(CELL("filename",A1),FIND("]",CELL("filename",A1))+1,256)</f>
        <v>Data Interpolator</v>
      </c>
      <c r="B1" s="368"/>
      <c r="C1" s="1319" t="s">
        <v>660</v>
      </c>
      <c r="D1" s="1319"/>
      <c r="E1" s="1319"/>
      <c r="F1" s="1319"/>
      <c r="G1" s="1319"/>
      <c r="H1" s="1319"/>
      <c r="I1" s="1319"/>
      <c r="J1" s="1319"/>
      <c r="K1" s="1319"/>
      <c r="L1" s="1319"/>
      <c r="M1" s="1319"/>
      <c r="N1" s="881"/>
      <c r="O1" s="881"/>
      <c r="P1" s="881"/>
      <c r="Q1" s="369"/>
      <c r="R1" s="370"/>
      <c r="S1" s="368"/>
      <c r="T1" s="368"/>
      <c r="CE1" s="371"/>
      <c r="CF1" s="371"/>
      <c r="CG1" s="371"/>
      <c r="CH1" s="371"/>
    </row>
    <row r="2" spans="1:114" ht="17.7" x14ac:dyDescent="0.5">
      <c r="A2" s="372"/>
      <c r="B2" s="373"/>
      <c r="C2" s="374"/>
      <c r="D2" s="375"/>
      <c r="E2" s="376"/>
      <c r="F2" s="376"/>
      <c r="G2" s="376"/>
      <c r="H2" s="376"/>
      <c r="I2" s="376"/>
      <c r="J2" s="376"/>
      <c r="K2" s="376"/>
      <c r="L2" s="376"/>
      <c r="M2" s="376"/>
      <c r="N2" s="376"/>
      <c r="O2" s="376"/>
      <c r="P2" s="376"/>
      <c r="Q2" s="376"/>
      <c r="R2" s="376"/>
      <c r="S2" s="376"/>
      <c r="T2" s="376"/>
      <c r="CE2" s="377" t="s">
        <v>209</v>
      </c>
      <c r="CF2" s="378"/>
      <c r="CG2" s="379"/>
      <c r="CH2" s="377" t="s">
        <v>210</v>
      </c>
      <c r="CI2" s="380"/>
      <c r="CJ2" s="381"/>
    </row>
    <row r="3" spans="1:114" ht="15" x14ac:dyDescent="0.5">
      <c r="A3" s="382"/>
      <c r="B3" s="383"/>
      <c r="C3" s="374"/>
      <c r="D3" s="384"/>
      <c r="E3" s="371"/>
      <c r="F3" s="371"/>
      <c r="G3" s="385"/>
      <c r="H3" s="386"/>
      <c r="I3" s="387"/>
      <c r="J3" s="371"/>
      <c r="K3" s="371"/>
      <c r="L3" s="371"/>
      <c r="M3" s="371"/>
      <c r="N3" s="371"/>
      <c r="O3" s="371"/>
      <c r="P3" s="371"/>
      <c r="Q3" s="371"/>
      <c r="R3" s="371" t="s">
        <v>712</v>
      </c>
      <c r="S3" s="371" t="s">
        <v>713</v>
      </c>
      <c r="T3" s="371" t="s">
        <v>44</v>
      </c>
      <c r="U3" s="609" t="s">
        <v>714</v>
      </c>
      <c r="V3" s="609" t="s">
        <v>36</v>
      </c>
      <c r="W3" s="609" t="s">
        <v>52</v>
      </c>
      <c r="X3" s="609" t="s">
        <v>718</v>
      </c>
      <c r="CE3" s="388" t="s">
        <v>16</v>
      </c>
      <c r="CF3" s="389"/>
      <c r="CG3" s="379"/>
      <c r="CH3" s="390" t="s">
        <v>211</v>
      </c>
      <c r="CI3" s="391"/>
      <c r="CJ3" s="392"/>
    </row>
    <row r="4" spans="1:114" ht="15" x14ac:dyDescent="0.5">
      <c r="A4" s="382"/>
      <c r="B4" s="383"/>
      <c r="C4" s="374"/>
      <c r="D4" s="384"/>
      <c r="E4" s="371"/>
      <c r="F4" s="371"/>
      <c r="G4" s="371"/>
      <c r="H4" s="371"/>
      <c r="I4" s="371"/>
      <c r="J4" s="371"/>
      <c r="K4" s="371"/>
      <c r="L4" s="371"/>
      <c r="M4" s="371"/>
      <c r="N4" s="371"/>
      <c r="O4" s="371"/>
      <c r="P4" s="371"/>
      <c r="Q4" s="371"/>
      <c r="R4" s="371">
        <v>2016</v>
      </c>
      <c r="S4" s="826">
        <v>663.44113703346272</v>
      </c>
      <c r="T4" s="893">
        <v>72.648569573654726</v>
      </c>
      <c r="U4" s="609">
        <v>302.42687271737361</v>
      </c>
      <c r="V4" s="609">
        <v>747.0179622933357</v>
      </c>
      <c r="W4" s="609">
        <v>230.83782789014057</v>
      </c>
      <c r="X4" s="609">
        <v>2016.3723695079671</v>
      </c>
      <c r="CE4" s="388" t="s">
        <v>22</v>
      </c>
      <c r="CF4" s="389"/>
      <c r="CG4" s="379"/>
      <c r="CH4" s="390" t="s">
        <v>36</v>
      </c>
      <c r="CI4" s="391"/>
      <c r="CJ4" s="392"/>
    </row>
    <row r="5" spans="1:114" ht="15" x14ac:dyDescent="0.5">
      <c r="A5" s="382"/>
      <c r="B5" s="383"/>
      <c r="C5" s="393"/>
      <c r="D5" s="384"/>
      <c r="E5" s="371"/>
      <c r="F5" s="371"/>
      <c r="G5" s="371"/>
      <c r="H5" s="371"/>
      <c r="I5" s="371"/>
      <c r="J5" s="371"/>
      <c r="K5" s="371"/>
      <c r="L5" s="371"/>
      <c r="M5" s="371"/>
      <c r="N5" s="371"/>
      <c r="O5" s="371"/>
      <c r="P5" s="371"/>
      <c r="Q5" s="371"/>
      <c r="R5" s="371">
        <v>2030</v>
      </c>
      <c r="S5" s="826">
        <v>889.76830020116347</v>
      </c>
      <c r="T5" s="893">
        <v>81.642251009379791</v>
      </c>
      <c r="U5" s="609">
        <v>445.18217508004619</v>
      </c>
      <c r="V5" s="609">
        <v>878.80251900716871</v>
      </c>
      <c r="W5" s="609">
        <v>289.79640730796865</v>
      </c>
      <c r="X5" s="609">
        <v>2585.1916526057271</v>
      </c>
      <c r="CE5" s="388" t="s">
        <v>26</v>
      </c>
      <c r="CF5" s="389"/>
      <c r="CG5" s="379"/>
      <c r="CH5" s="390" t="s">
        <v>44</v>
      </c>
      <c r="CI5" s="391"/>
      <c r="CJ5" s="392"/>
    </row>
    <row r="6" spans="1:114" ht="15" x14ac:dyDescent="0.5">
      <c r="A6" s="382"/>
      <c r="B6" s="383"/>
      <c r="C6" s="393"/>
      <c r="D6" s="384"/>
      <c r="E6" s="371"/>
      <c r="F6" s="371"/>
      <c r="G6" s="371"/>
      <c r="H6" s="371"/>
      <c r="I6" s="371"/>
      <c r="J6" s="371"/>
      <c r="K6" s="371"/>
      <c r="L6" s="371"/>
      <c r="M6" s="371"/>
      <c r="N6" s="371"/>
      <c r="O6" s="371"/>
      <c r="P6" s="371"/>
      <c r="Q6" s="371"/>
      <c r="R6" s="371">
        <v>2050</v>
      </c>
      <c r="S6" s="609">
        <v>1163.6089141920775</v>
      </c>
      <c r="T6" s="609">
        <v>91.095822049566053</v>
      </c>
      <c r="U6" s="609">
        <v>769.68828817617793</v>
      </c>
      <c r="V6" s="609">
        <v>1006.7053374257697</v>
      </c>
      <c r="W6" s="609">
        <v>368.74094585048414</v>
      </c>
      <c r="X6" s="609">
        <v>3399.8393076940752</v>
      </c>
      <c r="CE6" s="388" t="s">
        <v>28</v>
      </c>
      <c r="CF6" s="389"/>
      <c r="CG6" s="379"/>
      <c r="CH6" s="390" t="s">
        <v>46</v>
      </c>
      <c r="CI6" s="391"/>
      <c r="CJ6" s="392"/>
    </row>
    <row r="7" spans="1:114" ht="15" x14ac:dyDescent="0.5">
      <c r="A7" s="382"/>
      <c r="B7" s="383"/>
      <c r="C7" s="394"/>
      <c r="D7" s="384"/>
      <c r="E7" s="371"/>
      <c r="F7" s="371"/>
      <c r="G7" s="371"/>
      <c r="H7" s="371"/>
      <c r="I7" s="371"/>
      <c r="J7" s="371"/>
      <c r="K7" s="371"/>
      <c r="L7" s="371"/>
      <c r="M7" s="371"/>
      <c r="N7" s="371"/>
      <c r="O7" s="371"/>
      <c r="P7" s="371"/>
      <c r="Q7" s="371"/>
      <c r="R7" s="371"/>
      <c r="S7" s="824"/>
      <c r="T7" s="824"/>
      <c r="CE7" s="848" t="s">
        <v>212</v>
      </c>
      <c r="CF7" s="849"/>
      <c r="CG7" s="379"/>
      <c r="CH7" s="390" t="s">
        <v>49</v>
      </c>
      <c r="CI7" s="391"/>
      <c r="CJ7" s="392"/>
    </row>
    <row r="8" spans="1:114" ht="15" x14ac:dyDescent="0.5">
      <c r="A8" s="382"/>
      <c r="B8" s="383"/>
      <c r="C8" s="393"/>
      <c r="D8" s="384"/>
      <c r="E8" s="371"/>
      <c r="F8" s="371"/>
      <c r="G8" s="371"/>
      <c r="H8" s="371"/>
      <c r="I8" s="371"/>
      <c r="J8" s="371"/>
      <c r="K8" s="371"/>
      <c r="L8" s="371"/>
      <c r="M8" s="371"/>
      <c r="N8" s="371"/>
      <c r="O8" s="371"/>
      <c r="P8" s="371"/>
      <c r="Q8" s="371"/>
      <c r="R8" s="371" t="s">
        <v>715</v>
      </c>
      <c r="S8" s="371" t="s">
        <v>55</v>
      </c>
      <c r="T8" s="371" t="s">
        <v>58</v>
      </c>
      <c r="U8" s="609" t="s">
        <v>716</v>
      </c>
      <c r="V8" s="609" t="s">
        <v>61</v>
      </c>
      <c r="CE8" s="379"/>
      <c r="CF8" s="379"/>
      <c r="CG8" s="379"/>
      <c r="CH8" s="850" t="s">
        <v>52</v>
      </c>
      <c r="CI8" s="851"/>
      <c r="CJ8" s="852"/>
    </row>
    <row r="9" spans="1:114" ht="15" x14ac:dyDescent="0.5">
      <c r="A9" s="382"/>
      <c r="B9" s="383"/>
      <c r="C9" s="393"/>
      <c r="D9" s="384"/>
      <c r="E9" s="371"/>
      <c r="F9" s="371"/>
      <c r="G9" s="371"/>
      <c r="H9" s="395"/>
      <c r="I9" s="371"/>
      <c r="J9" s="371"/>
      <c r="K9" s="371"/>
      <c r="L9" s="371"/>
      <c r="M9" s="371"/>
      <c r="N9" s="371"/>
      <c r="O9" s="371"/>
      <c r="P9" s="371"/>
      <c r="Q9" s="371"/>
      <c r="R9" s="371">
        <v>2016</v>
      </c>
      <c r="S9" s="371">
        <v>230.09501288169488</v>
      </c>
      <c r="T9" s="371">
        <v>264.13650762578561</v>
      </c>
      <c r="U9" s="609">
        <v>309.98509786338872</v>
      </c>
      <c r="V9" s="609">
        <v>262.06592494266374</v>
      </c>
      <c r="CE9" s="396"/>
      <c r="CF9" s="396"/>
      <c r="CG9" s="396"/>
      <c r="CH9" s="390" t="s">
        <v>213</v>
      </c>
    </row>
    <row r="10" spans="1:114" ht="15" x14ac:dyDescent="0.5">
      <c r="A10" s="382"/>
      <c r="B10" s="383"/>
      <c r="C10" s="371"/>
      <c r="D10" s="384"/>
      <c r="E10" s="371"/>
      <c r="F10" s="371"/>
      <c r="G10" s="371"/>
      <c r="H10" s="371"/>
      <c r="I10" s="371"/>
      <c r="J10" s="371"/>
      <c r="K10" s="371"/>
      <c r="L10" s="371"/>
      <c r="M10" s="371"/>
      <c r="N10" s="371"/>
      <c r="O10" s="371"/>
      <c r="P10" s="371"/>
      <c r="Q10" s="371"/>
      <c r="R10" s="371">
        <v>2030</v>
      </c>
      <c r="S10" s="371">
        <v>295.97691827944516</v>
      </c>
      <c r="T10" s="371">
        <v>368.525786088671</v>
      </c>
      <c r="U10" s="609">
        <v>348.04039500806084</v>
      </c>
      <c r="V10" s="609">
        <v>310.12645789062628</v>
      </c>
      <c r="CE10" s="396"/>
      <c r="CF10" s="396"/>
      <c r="CG10" s="396"/>
      <c r="CH10" s="390" t="s">
        <v>58</v>
      </c>
    </row>
    <row r="11" spans="1:114" ht="15" x14ac:dyDescent="0.5">
      <c r="A11" s="382"/>
      <c r="B11" s="383"/>
      <c r="C11" s="371"/>
      <c r="D11" s="384"/>
      <c r="E11" s="371"/>
      <c r="F11" s="371"/>
      <c r="G11" s="371"/>
      <c r="H11" s="371"/>
      <c r="I11" s="371"/>
      <c r="J11" s="371"/>
      <c r="K11" s="371"/>
      <c r="L11" s="371"/>
      <c r="M11" s="371"/>
      <c r="N11" s="371"/>
      <c r="O11" s="371"/>
      <c r="P11" s="371"/>
      <c r="Q11" s="371"/>
      <c r="R11" s="371">
        <v>2050</v>
      </c>
      <c r="S11" s="371">
        <v>351.04239144771401</v>
      </c>
      <c r="T11" s="371">
        <v>522.7372201815698</v>
      </c>
      <c r="U11" s="609">
        <v>387.76648241173359</v>
      </c>
      <c r="V11" s="609">
        <v>359.09379334704096</v>
      </c>
      <c r="CE11" s="396"/>
      <c r="CF11" s="396"/>
      <c r="CG11" s="396"/>
      <c r="CH11" s="390" t="s">
        <v>214</v>
      </c>
    </row>
    <row r="12" spans="1:114" ht="15" x14ac:dyDescent="0.5">
      <c r="A12" s="382"/>
      <c r="B12" s="371"/>
      <c r="C12" s="371"/>
      <c r="D12" s="384"/>
      <c r="E12" s="371"/>
      <c r="F12" s="371"/>
      <c r="G12" s="371"/>
      <c r="H12" s="371"/>
      <c r="I12" s="371"/>
      <c r="J12" s="371"/>
      <c r="K12" s="371"/>
      <c r="L12" s="371"/>
      <c r="M12" s="371"/>
      <c r="N12" s="371"/>
      <c r="O12" s="371"/>
      <c r="P12" s="371"/>
      <c r="Q12" s="371"/>
      <c r="R12" s="371"/>
      <c r="S12" s="371"/>
      <c r="T12" s="371"/>
      <c r="CE12" s="396"/>
      <c r="CF12" s="396"/>
      <c r="CG12" s="396"/>
      <c r="CH12" s="390" t="s">
        <v>61</v>
      </c>
    </row>
    <row r="13" spans="1:114" ht="15" x14ac:dyDescent="0.5">
      <c r="A13" s="382"/>
      <c r="B13" s="371"/>
      <c r="C13" s="371"/>
      <c r="D13" s="384"/>
      <c r="E13" s="371"/>
      <c r="F13" s="371"/>
      <c r="G13" s="371"/>
      <c r="H13" s="371"/>
      <c r="I13" s="371"/>
      <c r="J13" s="371"/>
      <c r="K13" s="371"/>
      <c r="L13" s="371"/>
      <c r="M13" s="371"/>
      <c r="N13" s="371"/>
      <c r="O13" s="371"/>
      <c r="P13" s="371"/>
      <c r="Q13" s="371"/>
      <c r="R13" s="371"/>
      <c r="S13" s="371"/>
      <c r="T13" s="371"/>
    </row>
    <row r="14" spans="1:114" s="738" customFormat="1" ht="15" x14ac:dyDescent="0.5">
      <c r="A14" s="397"/>
      <c r="D14" s="398"/>
    </row>
    <row r="15" spans="1:114" s="738" customFormat="1" ht="15" x14ac:dyDescent="0.5">
      <c r="A15" s="399"/>
      <c r="B15" s="400" t="str">
        <f>CONCATENATE("Interpolation for ",A17," (",A20,") -",A23)</f>
        <v>Interpolation for TAM (Global) -What a Waste 2.0</v>
      </c>
    </row>
    <row r="16" spans="1:114" s="116" customFormat="1" ht="31.5" customHeight="1" x14ac:dyDescent="0.5">
      <c r="A16" s="401" t="s">
        <v>215</v>
      </c>
      <c r="B16" s="402"/>
      <c r="C16" s="402"/>
      <c r="D16" s="403"/>
      <c r="E16" s="404" t="s">
        <v>216</v>
      </c>
      <c r="F16" s="1320"/>
      <c r="G16" s="404" t="s">
        <v>217</v>
      </c>
      <c r="H16" s="1320" t="s">
        <v>218</v>
      </c>
      <c r="J16" s="405" t="s">
        <v>219</v>
      </c>
      <c r="L16" s="371"/>
      <c r="M16" s="371"/>
      <c r="N16" s="371"/>
      <c r="O16" s="371"/>
      <c r="P16" s="374"/>
      <c r="Q16" s="374"/>
      <c r="R16" s="374"/>
      <c r="S16" s="374"/>
      <c r="T16" s="374"/>
      <c r="U16" s="374"/>
      <c r="V16" s="374"/>
      <c r="W16" s="374"/>
      <c r="X16" s="374"/>
      <c r="Y16" s="406"/>
      <c r="Z16" s="406"/>
      <c r="AA16" s="406"/>
      <c r="AB16" s="406"/>
      <c r="AC16" s="406"/>
      <c r="AD16" s="406"/>
      <c r="AE16" s="406"/>
      <c r="AF16" s="406"/>
      <c r="AG16" s="406"/>
      <c r="AH16" s="406"/>
      <c r="AI16" s="406"/>
      <c r="AJ16" s="406"/>
      <c r="AK16" s="406"/>
      <c r="AL16" s="407"/>
      <c r="AM16" s="408" t="str">
        <f>B15</f>
        <v>Interpolation for TAM (Global) -What a Waste 2.0</v>
      </c>
      <c r="AT16" s="408"/>
      <c r="BB16" s="408" t="str">
        <f>AM16</f>
        <v>Interpolation for TAM (Global) -What a Waste 2.0</v>
      </c>
      <c r="BK16" s="408"/>
      <c r="BS16" s="408"/>
      <c r="CA16" s="408" t="str">
        <f>BB16</f>
        <v>Interpolation for TAM (Global) -What a Waste 2.0</v>
      </c>
      <c r="CD16" s="853" t="str">
        <f>"CE"&amp;MIN(CF19:CF75)</f>
        <v>CE19</v>
      </c>
      <c r="CE16" s="853" t="str">
        <f>"CE"&amp;MAX(CF19:CF75)</f>
        <v>CE22</v>
      </c>
      <c r="CK16" s="408" t="str">
        <f>CA16</f>
        <v>Interpolation for TAM (Global) -What a Waste 2.0</v>
      </c>
      <c r="CL16" s="409"/>
      <c r="CN16" s="116" t="s">
        <v>220</v>
      </c>
      <c r="CO16" s="408" t="s">
        <v>221</v>
      </c>
      <c r="CQ16" s="384"/>
      <c r="DJ16" s="408"/>
    </row>
    <row r="17" spans="1:115" s="123" customFormat="1" ht="31" customHeight="1" x14ac:dyDescent="0.5">
      <c r="A17" s="854" t="s">
        <v>603</v>
      </c>
      <c r="D17" s="410"/>
      <c r="E17" s="411" t="s">
        <v>222</v>
      </c>
      <c r="F17" s="1321"/>
      <c r="G17" s="880" t="s">
        <v>223</v>
      </c>
      <c r="H17" s="1321"/>
      <c r="J17" s="1322" t="s">
        <v>224</v>
      </c>
      <c r="O17" s="412"/>
      <c r="P17" s="412"/>
      <c r="Q17" s="412"/>
      <c r="R17" s="413"/>
      <c r="S17" s="413"/>
      <c r="T17" s="413"/>
      <c r="U17" s="413"/>
      <c r="V17" s="413"/>
      <c r="W17" s="413"/>
      <c r="X17" s="413"/>
      <c r="Y17" s="413"/>
      <c r="Z17" s="413"/>
      <c r="AA17" s="413"/>
      <c r="AB17" s="413"/>
      <c r="AC17" s="413"/>
      <c r="AD17" s="413"/>
      <c r="AE17" s="413"/>
      <c r="AF17" s="413"/>
      <c r="AG17" s="413"/>
      <c r="AH17" s="413"/>
      <c r="AI17" s="413"/>
      <c r="AJ17" s="413"/>
      <c r="AK17" s="413"/>
      <c r="AL17" s="413"/>
      <c r="AM17" s="739" t="s">
        <v>67</v>
      </c>
      <c r="AN17" s="739"/>
      <c r="AO17" s="739"/>
      <c r="AP17" s="739"/>
      <c r="AQ17" s="739"/>
      <c r="AR17" s="414"/>
      <c r="AT17" s="739" t="s">
        <v>68</v>
      </c>
      <c r="AU17" s="739"/>
      <c r="AV17" s="739"/>
      <c r="AW17" s="739"/>
      <c r="AX17" s="739"/>
      <c r="AY17" s="739"/>
      <c r="BB17" s="739" t="s">
        <v>69</v>
      </c>
      <c r="BC17" s="739"/>
      <c r="BD17" s="739"/>
      <c r="BE17" s="739"/>
      <c r="BF17" s="739"/>
      <c r="BG17" s="739"/>
      <c r="BH17" s="739"/>
      <c r="BK17" s="739" t="s">
        <v>70</v>
      </c>
      <c r="BL17" s="739"/>
      <c r="BM17" s="739"/>
      <c r="BN17" s="739"/>
      <c r="BO17" s="739"/>
      <c r="BP17" s="739"/>
      <c r="BS17" s="739" t="s">
        <v>212</v>
      </c>
      <c r="BT17" s="739"/>
      <c r="BU17" s="739"/>
      <c r="BV17" s="739"/>
      <c r="BW17" s="739"/>
      <c r="BX17" s="739"/>
      <c r="BZ17" s="863"/>
      <c r="CD17" s="855" t="str">
        <f>"CD"&amp;MIN(CF19:CF75)</f>
        <v>CD19</v>
      </c>
      <c r="CE17" s="855" t="str">
        <f>"CD"&amp;MAX(CF19:CF75)</f>
        <v>CD22</v>
      </c>
      <c r="CK17" s="415" t="str">
        <f>A17</f>
        <v>TAM</v>
      </c>
      <c r="CL17" s="416" t="str">
        <f>G18</f>
        <v>Linear</v>
      </c>
      <c r="CN17" s="1323" t="s">
        <v>225</v>
      </c>
      <c r="CO17" s="1323"/>
      <c r="CP17" s="1323"/>
      <c r="CQ17" s="1318" t="str">
        <f>CONCATENATE(CY23," UN Medium Variant Population")</f>
        <v>2015 UN Medium Variant Population</v>
      </c>
      <c r="CR17" s="1318"/>
      <c r="CS17" s="1318"/>
      <c r="CT17" s="883" t="s">
        <v>226</v>
      </c>
      <c r="CV17" s="417" t="s">
        <v>227</v>
      </c>
      <c r="DJ17" s="538"/>
    </row>
    <row r="18" spans="1:115" s="140" customFormat="1" ht="37" customHeight="1" thickBot="1" x14ac:dyDescent="0.55000000000000004">
      <c r="D18" s="418"/>
      <c r="E18" s="856" t="str">
        <f>IF(ISBLANK(A32),"[Enter Original Unit to Left]",A32)</f>
        <v>Billion Tonnes</v>
      </c>
      <c r="F18" s="856" t="str">
        <f>IF(A17&lt;&gt;"GDP","In Functional Units","With Multiplier")</f>
        <v>In Functional Units</v>
      </c>
      <c r="G18" s="857" t="s">
        <v>16</v>
      </c>
      <c r="H18" s="857" t="s">
        <v>228</v>
      </c>
      <c r="J18" s="1322"/>
      <c r="L18" s="123"/>
      <c r="M18" s="123"/>
      <c r="N18" s="123"/>
      <c r="O18" s="412"/>
      <c r="P18" s="412"/>
      <c r="Q18" s="412"/>
      <c r="S18" s="419"/>
      <c r="T18" s="419"/>
      <c r="U18" s="419"/>
      <c r="V18" s="419"/>
      <c r="W18" s="419"/>
      <c r="X18" s="419"/>
      <c r="Y18" s="419"/>
      <c r="Z18" s="419"/>
      <c r="AA18" s="419"/>
      <c r="AB18" s="419"/>
      <c r="AC18" s="419"/>
      <c r="AD18" s="419"/>
      <c r="AE18" s="419"/>
      <c r="AF18" s="419"/>
      <c r="AG18" s="419"/>
      <c r="AH18" s="419"/>
      <c r="AI18" s="413"/>
      <c r="AJ18" s="413"/>
      <c r="AK18" s="413"/>
      <c r="AL18" s="419"/>
      <c r="AM18" s="420"/>
      <c r="AN18" s="420"/>
      <c r="AO18" s="420"/>
      <c r="AP18" s="420"/>
      <c r="AQ18" s="420"/>
      <c r="AR18" s="858" t="e">
        <f>CONCATENATE("R2 = ",TEXT(CORREL(AR23:AR78,$CC$19:$CC$74)^2,"0.0000"))</f>
        <v>#DIV/0!</v>
      </c>
      <c r="AU18" s="420"/>
      <c r="AV18" s="420"/>
      <c r="AW18" s="420"/>
      <c r="AX18" s="420"/>
      <c r="AY18" s="420"/>
      <c r="AZ18" s="858" t="e">
        <f>CONCATENATE("R2 = ",TEXT(CORREL(AZ23:AZ78,$CC$19:$CC$74)^2,"0.0000"))</f>
        <v>#DIV/0!</v>
      </c>
      <c r="BC18" s="420"/>
      <c r="BD18" s="420"/>
      <c r="BE18" s="420"/>
      <c r="BF18" s="420"/>
      <c r="BG18" s="420"/>
      <c r="BH18" s="420"/>
      <c r="BI18" s="858" t="e">
        <f>CONCATENATE("R2 = ",TEXT(CORREL(BI23:BI78,$CC$19:$CC$74)^2,"0.0000"))</f>
        <v>#DIV/0!</v>
      </c>
      <c r="BL18" s="420"/>
      <c r="BM18" s="420"/>
      <c r="BN18" s="420"/>
      <c r="BO18" s="420"/>
      <c r="BP18" s="858" t="e">
        <f>CONCATENATE("R2 = ",TEXT(CORREL(BP23:BP78,$CC$19:$CC$74)^2,"0.000"))</f>
        <v>#DIV/0!</v>
      </c>
      <c r="BS18" s="155"/>
      <c r="BT18" s="421" t="s">
        <v>89</v>
      </c>
      <c r="BU18" s="422" t="str">
        <f ca="1">CONCATENATE("y = ",TEXT(MAX($CC$19:$CC$74)+$BW$21,"#,###0.0"),"/ (1 + ",TEXT(BU22,"0.000")," * e ^ ",TEXT(BV22,"0.0000"),"x)")</f>
        <v>y = 4,400.0/ (1 + 1.259 * e ^ -0.0488x)</v>
      </c>
      <c r="BV18" s="423"/>
      <c r="BW18" s="424"/>
      <c r="BX18" s="425" t="s">
        <v>661</v>
      </c>
      <c r="CA18" s="859"/>
      <c r="CB18" s="859"/>
      <c r="CC18" s="860"/>
      <c r="CD18" s="861"/>
      <c r="CE18" s="860"/>
      <c r="CF18" s="861"/>
      <c r="CG18" s="165"/>
      <c r="CH18" s="165"/>
      <c r="CK18" s="164">
        <v>2005</v>
      </c>
      <c r="CL18" s="740">
        <f t="shared" ref="CL18:CL61" si="0">IF($G$18="Linear",AQ23,IF($G$18="2nd Poly",AY23,IF($G$18="3rd Poly",BH23,IF($G$18="Exp",BO23,IF($G$18="S-Curve",BW23)))))</f>
        <v>1516.378035902851</v>
      </c>
      <c r="CN18" s="123"/>
      <c r="CO18" s="426" t="str">
        <f ca="1">IF(CK18&gt;2009,INDEX(OFFSET($BY$82:$BY$137,0,MATCH($CY$21,$BZ$81:$CI$81,FALSE)),CK18-2004,1),"")</f>
        <v/>
      </c>
      <c r="CP18" s="410"/>
      <c r="CR18" s="426" t="str">
        <f ca="1">IF(CK18&gt;2009,INDEX(OFFSET($E$82:$E$137,0,$CY$26+MATCH($CY$21,$BZ$81:$CI$81,FALSE)),CK18-2004,1),"")</f>
        <v/>
      </c>
      <c r="CT18" s="427">
        <f ca="1">IF(CR18&lt;&gt;"",CO18/CR18,1)</f>
        <v>1</v>
      </c>
      <c r="CV18" s="428">
        <f ca="1">IF($I$29="Yes",G19*CT18,G19)</f>
        <v>1516.378035902851</v>
      </c>
      <c r="CX18" s="429" t="s">
        <v>229</v>
      </c>
      <c r="CY18" s="430" t="str">
        <f>I29</f>
        <v>Yes</v>
      </c>
      <c r="DK18" s="741"/>
    </row>
    <row r="19" spans="1:115" s="140" customFormat="1" ht="15.75" customHeight="1" x14ac:dyDescent="0.5">
      <c r="A19" s="401" t="s">
        <v>230</v>
      </c>
      <c r="C19" s="788">
        <v>2005</v>
      </c>
      <c r="D19" s="519">
        <v>-14</v>
      </c>
      <c r="E19" s="1085"/>
      <c r="F19" s="832" t="e">
        <f t="shared" ref="F19:F74" si="1">IF(ISBLANK(E19),#N/A,IF(ISBLANK($A$37),E19,E19*$A$37))</f>
        <v>#N/A</v>
      </c>
      <c r="G19" s="832">
        <f>MAX(IF($H$18="Yes", IF(NOT(ISNUMBER(F19)),CL18,F19),CL18),0)</f>
        <v>1516.378035902851</v>
      </c>
      <c r="L19" s="123"/>
      <c r="M19" s="123"/>
      <c r="N19" s="123"/>
      <c r="O19" s="412"/>
      <c r="P19" s="412"/>
      <c r="Q19" s="412"/>
      <c r="S19" s="419"/>
      <c r="T19" s="419"/>
      <c r="U19" s="419"/>
      <c r="V19" s="419"/>
      <c r="W19" s="419"/>
      <c r="X19" s="419"/>
      <c r="Y19" s="419"/>
      <c r="Z19" s="419"/>
      <c r="AA19" s="419"/>
      <c r="AB19" s="419"/>
      <c r="AC19" s="419"/>
      <c r="AD19" s="419"/>
      <c r="AE19" s="419"/>
      <c r="AF19" s="419"/>
      <c r="AG19" s="419"/>
      <c r="AH19" s="419"/>
      <c r="AI19" s="413"/>
      <c r="AJ19" s="413"/>
      <c r="AK19" s="413"/>
      <c r="AL19" s="419"/>
      <c r="AM19" s="420"/>
      <c r="AN19" s="420"/>
      <c r="AO19" s="431" t="s">
        <v>82</v>
      </c>
      <c r="AP19" s="431" t="s">
        <v>83</v>
      </c>
      <c r="AU19" s="420"/>
      <c r="AV19" s="431" t="s">
        <v>84</v>
      </c>
      <c r="AW19" s="431" t="s">
        <v>82</v>
      </c>
      <c r="AX19" s="431" t="s">
        <v>83</v>
      </c>
      <c r="BC19" s="420"/>
      <c r="BD19" s="431" t="s">
        <v>85</v>
      </c>
      <c r="BE19" s="431" t="s">
        <v>84</v>
      </c>
      <c r="BF19" s="431" t="s">
        <v>82</v>
      </c>
      <c r="BG19" s="431" t="s">
        <v>83</v>
      </c>
      <c r="BL19" s="420"/>
      <c r="BM19" s="431" t="s">
        <v>86</v>
      </c>
      <c r="BN19" s="431" t="s">
        <v>87</v>
      </c>
      <c r="BS19" s="432"/>
      <c r="BT19" s="433"/>
      <c r="BU19" s="434" t="str">
        <f ca="1">CONCATENATE("R2 = ",TEXT(CORREL(BX23:BX78,CC19:CC74)^2,"0.000"))</f>
        <v>R2 = 0.969</v>
      </c>
      <c r="BV19" s="435"/>
      <c r="BW19" s="435"/>
      <c r="BX19" s="862">
        <f ca="1">CORREL(BX23:BX78,CC19:CC74)^2</f>
        <v>0.96871360773932524</v>
      </c>
      <c r="CA19" s="164" t="b">
        <f>ISNUMBER(F19)</f>
        <v>0</v>
      </c>
      <c r="CB19" s="164" t="str">
        <f>IF(ISNUMBER(F19),D19,"")</f>
        <v/>
      </c>
      <c r="CC19" s="165" t="str">
        <f>IF(ISNUMBER(F19),F19,"")</f>
        <v/>
      </c>
      <c r="CD19" s="436">
        <f>IFERROR(INDEX($CB$19:$CB$74,_xlfn.AGGREGATE(15,6,(ROW($CB$19:$CB$74)-ROW($CB$19)+1)/($CB$19:$CB$74&lt;&gt;""),ROWS($CD$1:CD1))),"")</f>
        <v>-9</v>
      </c>
      <c r="CE19" s="437">
        <f>IFERROR(INDEX($CC$19:$CC$74,_xlfn.AGGREGATE(15,6,(ROW($CC$19:$CC$74)-ROW($CC$19)+1)/($CC$19:$CC$74&lt;&gt;""),ROWS($CE$1:CE1))),"")</f>
        <v>1300</v>
      </c>
      <c r="CF19" s="437">
        <f>IF(ISNUMBER(CD19),ROW(CD19),"")</f>
        <v>19</v>
      </c>
      <c r="CG19" s="164"/>
      <c r="CH19" s="165"/>
      <c r="CK19" s="164">
        <f>CK18+1</f>
        <v>2006</v>
      </c>
      <c r="CL19" s="740">
        <f t="shared" si="0"/>
        <v>1565.3854276663146</v>
      </c>
      <c r="CN19" s="123"/>
      <c r="CO19" s="833" t="str">
        <f t="shared" ref="CO19:CO73" ca="1" si="2">IF(CK19&gt;2009,INDEX(OFFSET($BY$82:$BY$137,0,MATCH($CY$21,$BZ$81:$CI$81,FALSE)),CK19-2004,1),"")</f>
        <v/>
      </c>
      <c r="CP19" s="410"/>
      <c r="CR19" s="833" t="str">
        <f t="shared" ref="CR19:CR73" ca="1" si="3">IF(CK19&gt;2009,INDEX(OFFSET($E$82:$E$137,0,$CY$26+MATCH($CY$21,$BZ$81:$CI$81,FALSE)),CK19-2004,1),"")</f>
        <v/>
      </c>
      <c r="CT19" s="834">
        <f t="shared" ref="CT19:CT73" ca="1" si="4">IF(CR19&lt;&gt;"",CO19/CR19,1)</f>
        <v>1</v>
      </c>
      <c r="CV19" s="835">
        <f t="shared" ref="CV19:CV73" ca="1" si="5">IF($I$29="Yes",G20*CT19,G20)</f>
        <v>1565.3854276663146</v>
      </c>
      <c r="CX19" s="1311" t="s">
        <v>231</v>
      </c>
      <c r="CY19" s="1311"/>
      <c r="DK19" s="741"/>
    </row>
    <row r="20" spans="1:115" s="140" customFormat="1" ht="15.75" customHeight="1" x14ac:dyDescent="0.5">
      <c r="A20" s="854" t="s">
        <v>211</v>
      </c>
      <c r="C20" s="836">
        <v>2006</v>
      </c>
      <c r="D20" s="520">
        <v>-13</v>
      </c>
      <c r="E20" s="1086"/>
      <c r="F20" s="832" t="e">
        <f t="shared" si="1"/>
        <v>#N/A</v>
      </c>
      <c r="G20" s="832">
        <f t="shared" ref="G20:G74" si="6">MAX(IF($H$18="Yes", IF(NOT(ISNUMBER(F20)),CL19,F20),CL19),0)</f>
        <v>1565.3854276663146</v>
      </c>
      <c r="L20" s="123"/>
      <c r="M20" s="123"/>
      <c r="N20" s="123"/>
      <c r="O20" s="412"/>
      <c r="P20" s="412"/>
      <c r="Q20" s="412"/>
      <c r="S20" s="419"/>
      <c r="T20" s="419"/>
      <c r="U20" s="419"/>
      <c r="V20" s="419"/>
      <c r="W20" s="419"/>
      <c r="X20" s="419"/>
      <c r="Y20" s="419"/>
      <c r="Z20" s="419"/>
      <c r="AA20" s="419"/>
      <c r="AB20" s="419"/>
      <c r="AC20" s="419"/>
      <c r="AD20" s="419"/>
      <c r="AE20" s="419"/>
      <c r="AF20" s="419"/>
      <c r="AG20" s="419"/>
      <c r="AH20" s="419"/>
      <c r="AI20" s="413"/>
      <c r="AJ20" s="413"/>
      <c r="AK20" s="413"/>
      <c r="AL20" s="419"/>
      <c r="BU20" s="431" t="s">
        <v>86</v>
      </c>
      <c r="BV20" s="431" t="s">
        <v>87</v>
      </c>
      <c r="BW20" s="438" t="s">
        <v>232</v>
      </c>
      <c r="CA20" s="164" t="b">
        <f t="shared" ref="CA20:CA74" si="7">ISNUMBER(F20)</f>
        <v>0</v>
      </c>
      <c r="CB20" s="164" t="str">
        <f t="shared" ref="CB20:CB74" si="8">IF(ISNUMBER(F20),D20,"")</f>
        <v/>
      </c>
      <c r="CC20" s="165" t="str">
        <f t="shared" ref="CC20:CC74" si="9">IF(ISNUMBER(F20),F20,"")</f>
        <v/>
      </c>
      <c r="CD20" s="436">
        <f>IFERROR(INDEX($CB$19:$CB$74,_xlfn.AGGREGATE(15,6,(ROW($CB$19:$CB$74)-ROW($CB$19)+1)/($CB$19:$CB$74&lt;&gt;""),ROWS($CD$1:CD2))),"")</f>
        <v>-3</v>
      </c>
      <c r="CE20" s="437">
        <f>IFERROR(INDEX($CC$19:$CC$74,_xlfn.AGGREGATE(15,6,(ROW($CC$19:$CC$74)-ROW($CC$19)+1)/($CC$19:$CC$74&lt;&gt;""),ROWS($CE$1:CE2))),"")</f>
        <v>2009.9999999999998</v>
      </c>
      <c r="CF20" s="437">
        <f t="shared" ref="CF20:CF74" si="10">IF(ISNUMBER(CD20),ROW(CD20),"")</f>
        <v>20</v>
      </c>
      <c r="CG20" s="164"/>
      <c r="CH20" s="165"/>
      <c r="CK20" s="164">
        <f t="shared" ref="CK20:CK73" si="11">CK19+1</f>
        <v>2007</v>
      </c>
      <c r="CL20" s="740">
        <f t="shared" si="0"/>
        <v>1614.3928194297782</v>
      </c>
      <c r="CN20" s="123"/>
      <c r="CO20" s="833" t="str">
        <f t="shared" ca="1" si="2"/>
        <v/>
      </c>
      <c r="CP20" s="410"/>
      <c r="CR20" s="833" t="str">
        <f t="shared" ca="1" si="3"/>
        <v/>
      </c>
      <c r="CT20" s="834">
        <f t="shared" ca="1" si="4"/>
        <v>1</v>
      </c>
      <c r="CV20" s="835">
        <f t="shared" ca="1" si="5"/>
        <v>1614.3928194297782</v>
      </c>
      <c r="CX20" s="1311"/>
      <c r="CY20" s="1311"/>
      <c r="DK20" s="741"/>
    </row>
    <row r="21" spans="1:115" s="140" customFormat="1" ht="14.1" x14ac:dyDescent="0.5">
      <c r="C21" s="836">
        <v>2007</v>
      </c>
      <c r="D21" s="520">
        <v>-12</v>
      </c>
      <c r="E21" s="1086"/>
      <c r="F21" s="832" t="e">
        <f t="shared" si="1"/>
        <v>#N/A</v>
      </c>
      <c r="G21" s="832">
        <f t="shared" si="6"/>
        <v>1614.3928194297782</v>
      </c>
      <c r="L21" s="123"/>
      <c r="M21" s="123"/>
      <c r="N21" s="123"/>
      <c r="O21" s="412"/>
      <c r="P21" s="412"/>
      <c r="Q21" s="412"/>
      <c r="S21" s="419"/>
      <c r="T21" s="419"/>
      <c r="U21" s="419"/>
      <c r="V21" s="419"/>
      <c r="W21" s="419"/>
      <c r="X21" s="419"/>
      <c r="Y21" s="419"/>
      <c r="Z21" s="419"/>
      <c r="AA21" s="419"/>
      <c r="AB21" s="419"/>
      <c r="AC21" s="419"/>
      <c r="AD21" s="419"/>
      <c r="AE21" s="419"/>
      <c r="AF21" s="419"/>
      <c r="AG21" s="419"/>
      <c r="AH21" s="419"/>
      <c r="AI21" s="413"/>
      <c r="AJ21" s="413"/>
      <c r="AK21" s="413"/>
      <c r="AL21" s="419"/>
      <c r="BW21" s="863">
        <v>1000</v>
      </c>
      <c r="CA21" s="164" t="b">
        <f t="shared" si="7"/>
        <v>0</v>
      </c>
      <c r="CB21" s="164" t="str">
        <f t="shared" si="8"/>
        <v/>
      </c>
      <c r="CC21" s="165" t="str">
        <f t="shared" si="9"/>
        <v/>
      </c>
      <c r="CD21" s="436">
        <f>IFERROR(INDEX($CB$19:$CB$74,_xlfn.AGGREGATE(15,6,(ROW($CB$19:$CB$74)-ROW($CB$19)+1)/($CB$19:$CB$74&lt;&gt;""),ROWS($CD$1:CD3))),"")</f>
        <v>11</v>
      </c>
      <c r="CE21" s="437">
        <f>IFERROR(INDEX($CC$19:$CC$74,_xlfn.AGGREGATE(15,6,(ROW($CC$19:$CC$74)-ROW($CC$19)+1)/($CC$19:$CC$74&lt;&gt;""),ROWS($CE$1:CE3))),"")</f>
        <v>2590</v>
      </c>
      <c r="CF21" s="437">
        <f t="shared" si="10"/>
        <v>21</v>
      </c>
      <c r="CG21" s="164"/>
      <c r="CH21" s="165"/>
      <c r="CK21" s="164">
        <f t="shared" si="11"/>
        <v>2008</v>
      </c>
      <c r="CL21" s="740">
        <f t="shared" si="0"/>
        <v>1663.4002111932418</v>
      </c>
      <c r="CN21" s="123"/>
      <c r="CO21" s="833" t="str">
        <f t="shared" ca="1" si="2"/>
        <v/>
      </c>
      <c r="CP21" s="410"/>
      <c r="CR21" s="833" t="str">
        <f t="shared" ca="1" si="3"/>
        <v/>
      </c>
      <c r="CT21" s="834">
        <f t="shared" ca="1" si="4"/>
        <v>1</v>
      </c>
      <c r="CV21" s="835">
        <f t="shared" ca="1" si="5"/>
        <v>1663.4002111932418</v>
      </c>
      <c r="CX21" s="439" t="s">
        <v>233</v>
      </c>
      <c r="CY21" s="440" t="str">
        <f>A20</f>
        <v>Global</v>
      </c>
      <c r="DK21" s="741"/>
    </row>
    <row r="22" spans="1:115" s="140" customFormat="1" ht="15" customHeight="1" thickBot="1" x14ac:dyDescent="0.55000000000000004">
      <c r="A22" s="441" t="s">
        <v>234</v>
      </c>
      <c r="C22" s="836">
        <v>2008</v>
      </c>
      <c r="D22" s="520">
        <v>-11</v>
      </c>
      <c r="E22" s="1086"/>
      <c r="F22" s="832" t="e">
        <f t="shared" si="1"/>
        <v>#N/A</v>
      </c>
      <c r="G22" s="832">
        <f t="shared" si="6"/>
        <v>1663.4002111932418</v>
      </c>
      <c r="L22" s="123"/>
      <c r="M22" s="123"/>
      <c r="N22" s="123"/>
      <c r="O22" s="412"/>
      <c r="P22" s="412"/>
      <c r="Q22" s="412"/>
      <c r="S22" s="419"/>
      <c r="T22" s="419"/>
      <c r="U22" s="419"/>
      <c r="V22" s="419"/>
      <c r="W22" s="419"/>
      <c r="X22" s="419"/>
      <c r="Y22" s="419"/>
      <c r="Z22" s="419"/>
      <c r="AA22" s="419"/>
      <c r="AB22" s="419"/>
      <c r="AC22" s="419"/>
      <c r="AD22" s="419"/>
      <c r="AE22" s="419"/>
      <c r="AF22" s="419"/>
      <c r="AG22" s="419"/>
      <c r="AH22" s="419"/>
      <c r="AI22" s="413"/>
      <c r="AJ22" s="413"/>
      <c r="AK22" s="413"/>
      <c r="AL22" s="419"/>
      <c r="AM22" s="123"/>
      <c r="AN22" s="442"/>
      <c r="AO22" s="864">
        <f>SLOPE((CC19:CC74),(D19:D74))</f>
        <v>49.007391763463566</v>
      </c>
      <c r="AP22" s="865">
        <f>INTERCEPT(CE19:CE63,CD19:CD63)</f>
        <v>1957.4445617740232</v>
      </c>
      <c r="AQ22" s="431" t="s">
        <v>71</v>
      </c>
      <c r="AR22" s="431" t="s">
        <v>235</v>
      </c>
      <c r="AT22" s="123"/>
      <c r="AU22" s="442"/>
      <c r="AV22" s="864">
        <f ca="1">INDEX(LINEST((INDIRECT(CD16):INDIRECT(CE16)),(INDIRECT(CD17):INDIRECT(CE17))^{1,2}),1)</f>
        <v>-0.71112666523090207</v>
      </c>
      <c r="AW22" s="866">
        <f ca="1">INDEX(LINEST((INDIRECT(CD16):INDIRECT(CE16)),(INDIRECT(CD17):INDIRECT(CE17))^{1,2}),1,2)</f>
        <v>65.209365289357919</v>
      </c>
      <c r="AX22" s="865">
        <f ca="1">INDEX(LINEST((INDIRECT(CD16):INDIRECT(CE16)),(INDIRECT(CD17):INDIRECT(CE17))^{1,2}),1,3)</f>
        <v>2044.2898732424699</v>
      </c>
      <c r="AY22" s="431" t="s">
        <v>71</v>
      </c>
      <c r="AZ22" s="431" t="s">
        <v>235</v>
      </c>
      <c r="BB22" s="123"/>
      <c r="BC22" s="442"/>
      <c r="BD22" s="864">
        <f ca="1">INDEX(LINEST((INDIRECT(CD16):INDIRECT(CE16)),(INDIRECT(CD17):INDIRECT(CE17))^{1,2,3}),1)</f>
        <v>9.544817927170858E-2</v>
      </c>
      <c r="BE22" s="866">
        <f ca="1">INDEX(LINEST((INDIRECT(CD16):INDIRECT(CE16)),(INDIRECT(CD17):INDIRECT(CE17))^{1,2,3}),1,2)</f>
        <v>-3.7497899159663817</v>
      </c>
      <c r="BF22" s="866">
        <f ca="1">INDEX(LINEST((INDIRECT(CD16):INDIRECT(CE16)),(INDIRECT(CD17):INDIRECT(CE17))^{1,2,3}),1,3)</f>
        <v>62.168417366946755</v>
      </c>
      <c r="BG22" s="865">
        <f ca="1">INDEX(LINEST((INDIRECT(CD16):INDIRECT(CE16)),(INDIRECT(CD17):INDIRECT(CE17))^{1,2,3}),1,4)</f>
        <v>2232.8304621848733</v>
      </c>
      <c r="BH22" s="431" t="s">
        <v>71</v>
      </c>
      <c r="BI22" s="431" t="s">
        <v>235</v>
      </c>
      <c r="BK22" s="123"/>
      <c r="BL22" s="442"/>
      <c r="BM22" s="864">
        <f ca="1">EXP(INDEX(LINEST(LN(INDIRECT(CD16):INDIRECT(CE16)),(INDIRECT(CD17):INDIRECT(CE17))),1,2))</f>
        <v>1862.9883849899884</v>
      </c>
      <c r="BN22" s="865">
        <f ca="1">INDEX(LINEST(LN(INDIRECT(CD16):INDIRECT(CE16)),(INDIRECT(CD17):INDIRECT(CE17))),1)</f>
        <v>2.1573495525502466E-2</v>
      </c>
      <c r="BO22" s="431" t="s">
        <v>71</v>
      </c>
      <c r="BP22" s="431" t="s">
        <v>235</v>
      </c>
      <c r="BS22" s="123"/>
      <c r="BT22" s="442"/>
      <c r="BU22" s="864">
        <f ca="1">EXP(INDEX(LINEST(LN((MAX(INDIRECT(CD16):INDIRECT(CE16))+$BW$21)/(INDIRECT(CD16):INDIRECT(CE16))-1),(INDIRECT(CD17):INDIRECT(CE17)),TRUE,TRUE),1,2))</f>
        <v>1.259454340899987</v>
      </c>
      <c r="BV22" s="865">
        <f ca="1">INDEX(LINEST(LN((MAX(INDIRECT(CD16):INDIRECT(CE16))+$BW$21)/(INDIRECT(CD16):INDIRECT(CE16))-1),(INDIRECT(CD17):INDIRECT(CE17))),1)</f>
        <v>-4.8754140956903738E-2</v>
      </c>
      <c r="BW22" s="431" t="s">
        <v>71</v>
      </c>
      <c r="BX22" s="431" t="s">
        <v>235</v>
      </c>
      <c r="CA22" s="164" t="b">
        <f t="shared" si="7"/>
        <v>0</v>
      </c>
      <c r="CB22" s="164" t="str">
        <f t="shared" si="8"/>
        <v/>
      </c>
      <c r="CC22" s="165" t="str">
        <f t="shared" si="9"/>
        <v/>
      </c>
      <c r="CD22" s="436">
        <f>IFERROR(INDEX($CB$19:$CB$74,_xlfn.AGGREGATE(15,6,(ROW($CB$19:$CB$74)-ROW($CB$19)+1)/($CB$19:$CB$74&lt;&gt;""),ROWS($CD$1:CD4))),"")</f>
        <v>31</v>
      </c>
      <c r="CE22" s="437">
        <f>IFERROR(INDEX($CC$19:$CC$74,_xlfn.AGGREGATE(15,6,(ROW($CC$19:$CC$74)-ROW($CC$19)+1)/($CC$19:$CC$74&lt;&gt;""),ROWS($CE$1:CE4))),"")</f>
        <v>3400</v>
      </c>
      <c r="CF22" s="437">
        <f t="shared" si="10"/>
        <v>22</v>
      </c>
      <c r="CG22" s="164"/>
      <c r="CH22" s="165"/>
      <c r="CK22" s="164">
        <f t="shared" si="11"/>
        <v>2009</v>
      </c>
      <c r="CL22" s="740">
        <f t="shared" si="0"/>
        <v>1712.4076029567054</v>
      </c>
      <c r="CN22" s="123"/>
      <c r="CO22" s="833" t="str">
        <f t="shared" ca="1" si="2"/>
        <v/>
      </c>
      <c r="CP22" s="410"/>
      <c r="CR22" s="833" t="str">
        <f t="shared" ca="1" si="3"/>
        <v/>
      </c>
      <c r="CT22" s="834">
        <f t="shared" ca="1" si="4"/>
        <v>1</v>
      </c>
      <c r="CV22" s="835">
        <f t="shared" ca="1" si="5"/>
        <v>1712.4076029567054</v>
      </c>
      <c r="CX22" s="439" t="s">
        <v>236</v>
      </c>
      <c r="CY22" s="440">
        <f>A29</f>
        <v>2018</v>
      </c>
      <c r="DK22" s="741"/>
    </row>
    <row r="23" spans="1:115" s="140" customFormat="1" ht="15" customHeight="1" x14ac:dyDescent="0.5">
      <c r="A23" s="1306" t="s">
        <v>604</v>
      </c>
      <c r="C23" s="836">
        <v>2009</v>
      </c>
      <c r="D23" s="520">
        <v>-10</v>
      </c>
      <c r="E23" s="1086"/>
      <c r="F23" s="832" t="e">
        <f t="shared" si="1"/>
        <v>#N/A</v>
      </c>
      <c r="G23" s="832">
        <f t="shared" si="6"/>
        <v>1712.4076029567054</v>
      </c>
      <c r="I23" s="443"/>
      <c r="J23" s="371"/>
      <c r="K23" s="371"/>
      <c r="L23" s="123"/>
      <c r="M23" s="123"/>
      <c r="N23" s="123"/>
      <c r="O23" s="412"/>
      <c r="P23" s="412"/>
      <c r="Q23" s="412"/>
      <c r="S23" s="419"/>
      <c r="T23" s="419"/>
      <c r="U23" s="419"/>
      <c r="V23" s="419"/>
      <c r="W23" s="419"/>
      <c r="X23" s="419"/>
      <c r="Y23" s="419"/>
      <c r="Z23" s="419"/>
      <c r="AA23" s="419"/>
      <c r="AB23" s="419"/>
      <c r="AC23" s="419"/>
      <c r="AD23" s="419"/>
      <c r="AE23" s="419"/>
      <c r="AF23" s="419"/>
      <c r="AG23" s="419"/>
      <c r="AH23" s="419"/>
      <c r="AI23" s="413"/>
      <c r="AJ23" s="413"/>
      <c r="AK23" s="413"/>
      <c r="AL23" s="419"/>
      <c r="AM23" s="165">
        <v>2005</v>
      </c>
      <c r="AN23" s="444">
        <f>AM23-2014</f>
        <v>-9</v>
      </c>
      <c r="AO23" s="867">
        <f>$AO$22*AN23</f>
        <v>-441.06652587117208</v>
      </c>
      <c r="AP23" s="445">
        <f>$AP$22</f>
        <v>1957.4445617740232</v>
      </c>
      <c r="AQ23" s="845">
        <f>AO23+AP23</f>
        <v>1516.378035902851</v>
      </c>
      <c r="AR23" s="846" t="str">
        <f>IF(AND($CA19=TRUE,AN23=$CB19),AQ23,"")</f>
        <v/>
      </c>
      <c r="AT23" s="165">
        <v>2005</v>
      </c>
      <c r="AU23" s="444">
        <f>AT23-2014</f>
        <v>-9</v>
      </c>
      <c r="AV23" s="867">
        <f ca="1">AU23^2*$AV$22</f>
        <v>-57.601259883703065</v>
      </c>
      <c r="AW23" s="867">
        <f ca="1">AU23*$AW$22</f>
        <v>-586.8842876042213</v>
      </c>
      <c r="AX23" s="445">
        <f ca="1">$AX$22</f>
        <v>2044.2898732424699</v>
      </c>
      <c r="AY23" s="845">
        <f t="shared" ref="AY23:AY78" ca="1" si="12">AV23+AW23+AX23</f>
        <v>1399.8043257545455</v>
      </c>
      <c r="AZ23" s="846" t="str">
        <f>IF(AND($CA19=TRUE,AU23=$CB19),AY23,"")</f>
        <v/>
      </c>
      <c r="BB23" s="165">
        <v>2005</v>
      </c>
      <c r="BC23" s="444">
        <f>BB23-2014</f>
        <v>-9</v>
      </c>
      <c r="BD23" s="867">
        <f ca="1">BC23^3*$BD$22</f>
        <v>-69.581722689075562</v>
      </c>
      <c r="BE23" s="867">
        <f ca="1">BC23^2*$BE$22</f>
        <v>-303.73298319327694</v>
      </c>
      <c r="BF23" s="867">
        <f ca="1">BC23*$BF$22</f>
        <v>-559.5157563025208</v>
      </c>
      <c r="BG23" s="445">
        <f ca="1">$BG$22</f>
        <v>2232.8304621848733</v>
      </c>
      <c r="BH23" s="845">
        <f t="shared" ref="BH23:BH78" ca="1" si="13">BD23+BE23+BF23+BG23</f>
        <v>1300</v>
      </c>
      <c r="BI23" s="846" t="str">
        <f>IF(AND($CA19=TRUE,BC23=$CB19),BH23,"")</f>
        <v/>
      </c>
      <c r="BK23" s="165">
        <v>2005</v>
      </c>
      <c r="BL23" s="444">
        <f>BK23-2014</f>
        <v>-9</v>
      </c>
      <c r="BM23" s="867">
        <f ca="1">$BM$22</f>
        <v>1862.9883849899884</v>
      </c>
      <c r="BN23" s="445">
        <f ca="1">EXP(1)^($BN$22*BL23)</f>
        <v>0.82352492742162664</v>
      </c>
      <c r="BO23" s="845">
        <f t="shared" ref="BO23:BO78" ca="1" si="14">(BM23*BN23)</f>
        <v>1534.2173745362136</v>
      </c>
      <c r="BP23" s="846" t="str">
        <f>IF(AND($CA19=TRUE,BL23=$CB19),BO23,"")</f>
        <v/>
      </c>
      <c r="BS23" s="165">
        <v>2005</v>
      </c>
      <c r="BT23" s="444">
        <f>BS23-2014</f>
        <v>-9</v>
      </c>
      <c r="BU23" s="867">
        <f ca="1">$BU$22</f>
        <v>1.259454340899987</v>
      </c>
      <c r="BV23" s="445">
        <f t="shared" ref="BV23:BV63" ca="1" si="15">EXP(1)^($BV$22*BT23)</f>
        <v>1.5508253430666328</v>
      </c>
      <c r="BW23" s="845">
        <f ca="1">(MAX($CC$19:$CC$74)+$BW$21)/(1+BU23*BV23)</f>
        <v>1489.9124241831678</v>
      </c>
      <c r="BX23" s="846" t="str">
        <f>IF($CA19=TRUE,BW23,"")</f>
        <v/>
      </c>
      <c r="CA23" s="164" t="b">
        <f t="shared" si="7"/>
        <v>0</v>
      </c>
      <c r="CB23" s="164" t="str">
        <f t="shared" si="8"/>
        <v/>
      </c>
      <c r="CC23" s="165" t="str">
        <f t="shared" si="9"/>
        <v/>
      </c>
      <c r="CD23" s="436" t="str">
        <f>IFERROR(INDEX($CB$19:$CB$74,_xlfn.AGGREGATE(15,6,(ROW($CB$19:$CB$74)-ROW($CB$19)+1)/($CB$19:$CB$74&lt;&gt;""),ROWS($CD$1:CD5))),"")</f>
        <v/>
      </c>
      <c r="CE23" s="437" t="str">
        <f>IFERROR(INDEX($CC$19:$CC$74,_xlfn.AGGREGATE(15,6,(ROW($CC$19:$CC$74)-ROW($CC$19)+1)/($CC$19:$CC$74&lt;&gt;""),ROWS($CE$1:CE5))),"")</f>
        <v/>
      </c>
      <c r="CF23" s="437" t="str">
        <f t="shared" si="10"/>
        <v/>
      </c>
      <c r="CG23" s="164"/>
      <c r="CH23" s="165"/>
      <c r="CK23" s="164">
        <f t="shared" si="11"/>
        <v>2010</v>
      </c>
      <c r="CL23" s="740">
        <f t="shared" si="0"/>
        <v>1761.414994720169</v>
      </c>
      <c r="CN23" s="123"/>
      <c r="CO23" s="833">
        <f t="shared" ca="1" si="2"/>
        <v>6900.4928179999997</v>
      </c>
      <c r="CP23" s="410"/>
      <c r="CR23" s="833">
        <f t="shared" ca="1" si="3"/>
        <v>6900.4928179999997</v>
      </c>
      <c r="CT23" s="834">
        <f t="shared" ca="1" si="4"/>
        <v>1</v>
      </c>
      <c r="CV23" s="835">
        <f t="shared" ca="1" si="5"/>
        <v>1300</v>
      </c>
      <c r="CX23" s="439" t="s">
        <v>237</v>
      </c>
      <c r="CY23" s="440">
        <f>IF(A29&gt;=2015,2015,IF(A29&gt;=2014,2014,IF(A29&gt;=2012,2012,IF(A29&gt;=2010,2010,IF(A29&gt;=2005,2005,IF(A29&gt;=2001,2001,2000))))))</f>
        <v>2015</v>
      </c>
      <c r="DK23" s="741"/>
    </row>
    <row r="24" spans="1:115" s="140" customFormat="1" ht="15" customHeight="1" x14ac:dyDescent="0.5">
      <c r="A24" s="1307"/>
      <c r="C24" s="836">
        <v>2010</v>
      </c>
      <c r="D24" s="520">
        <v>-9</v>
      </c>
      <c r="E24" s="1087">
        <v>1.3</v>
      </c>
      <c r="F24" s="832">
        <f>IF(ISBLANK(E24),#N/A,IF(ISBLANK($A$37),E24,E24*$A$37))</f>
        <v>1300</v>
      </c>
      <c r="G24" s="832">
        <f t="shared" si="6"/>
        <v>1300</v>
      </c>
      <c r="I24" s="123"/>
      <c r="J24" s="123"/>
      <c r="K24" s="123"/>
      <c r="L24" s="123"/>
      <c r="M24" s="123"/>
      <c r="N24" s="123"/>
      <c r="O24" s="412"/>
      <c r="P24" s="412"/>
      <c r="Q24" s="412"/>
      <c r="S24" s="419"/>
      <c r="T24" s="419"/>
      <c r="U24" s="419"/>
      <c r="V24" s="419"/>
      <c r="W24" s="419"/>
      <c r="X24" s="419"/>
      <c r="Y24" s="419"/>
      <c r="Z24" s="419"/>
      <c r="AA24" s="419"/>
      <c r="AB24" s="419"/>
      <c r="AC24" s="419"/>
      <c r="AD24" s="419"/>
      <c r="AE24" s="419"/>
      <c r="AF24" s="419"/>
      <c r="AG24" s="419"/>
      <c r="AH24" s="419"/>
      <c r="AI24" s="413"/>
      <c r="AJ24" s="413"/>
      <c r="AK24" s="413"/>
      <c r="AL24" s="419"/>
      <c r="AM24" s="165">
        <f>AM23+1</f>
        <v>2006</v>
      </c>
      <c r="AN24" s="444">
        <f t="shared" ref="AN24:AN78" si="16">AM24-2014</f>
        <v>-8</v>
      </c>
      <c r="AO24" s="867">
        <f t="shared" ref="AO24:AO78" si="17">$AO$22*AN24</f>
        <v>-392.05913410770853</v>
      </c>
      <c r="AP24" s="445">
        <f t="shared" ref="AP24:AP78" si="18">$AP$22</f>
        <v>1957.4445617740232</v>
      </c>
      <c r="AQ24" s="845">
        <f t="shared" ref="AQ24:AQ78" si="19">AO24+AP24</f>
        <v>1565.3854276663146</v>
      </c>
      <c r="AR24" s="846" t="str">
        <f t="shared" ref="AR24:AR78" si="20">IF(AND($CA20=TRUE,AN24=$CB20),AQ24,"")</f>
        <v/>
      </c>
      <c r="AT24" s="165">
        <f>AT23+1</f>
        <v>2006</v>
      </c>
      <c r="AU24" s="444">
        <f t="shared" ref="AU24:AU78" si="21">AT24-2014</f>
        <v>-8</v>
      </c>
      <c r="AV24" s="867">
        <f t="shared" ref="AV24:AV78" ca="1" si="22">AU24^2*$AV$22</f>
        <v>-45.512106574777732</v>
      </c>
      <c r="AW24" s="867">
        <f t="shared" ref="AW24:AW78" ca="1" si="23">AU24*$AW$22</f>
        <v>-521.67492231486335</v>
      </c>
      <c r="AX24" s="445">
        <f t="shared" ref="AX24:AX78" ca="1" si="24">$AX$22</f>
        <v>2044.2898732424699</v>
      </c>
      <c r="AY24" s="845">
        <f t="shared" ca="1" si="12"/>
        <v>1477.1028443528289</v>
      </c>
      <c r="AZ24" s="846" t="str">
        <f t="shared" ref="AZ24:AZ78" si="25">IF(AND($CA20=TRUE,AU24=$CB20),AY24,"")</f>
        <v/>
      </c>
      <c r="BB24" s="165">
        <f>BB23+1</f>
        <v>2006</v>
      </c>
      <c r="BC24" s="444">
        <f t="shared" ref="BC24:BC78" si="26">BB24-2014</f>
        <v>-8</v>
      </c>
      <c r="BD24" s="867">
        <f t="shared" ref="BD24:BD78" ca="1" si="27">BC24^3*$BD$22</f>
        <v>-48.869467787114793</v>
      </c>
      <c r="BE24" s="867">
        <f t="shared" ref="BE24:BE78" ca="1" si="28">BC24^2*$BE$22</f>
        <v>-239.98655462184843</v>
      </c>
      <c r="BF24" s="867">
        <f t="shared" ref="BF24:BF78" ca="1" si="29">BC24*$BF$22</f>
        <v>-497.34733893557404</v>
      </c>
      <c r="BG24" s="445">
        <f t="shared" ref="BG24:BG78" ca="1" si="30">$BG$22</f>
        <v>2232.8304621848733</v>
      </c>
      <c r="BH24" s="845">
        <f t="shared" ca="1" si="13"/>
        <v>1446.627100840336</v>
      </c>
      <c r="BI24" s="846" t="str">
        <f t="shared" ref="BI24:BI78" si="31">IF(AND($CA20=TRUE,BC24=$CB20),BH24,"")</f>
        <v/>
      </c>
      <c r="BK24" s="165">
        <f>BK23+1</f>
        <v>2006</v>
      </c>
      <c r="BL24" s="444">
        <f t="shared" ref="BL24:BL78" si="32">BK24-2014</f>
        <v>-8</v>
      </c>
      <c r="BM24" s="867">
        <f t="shared" ref="BM24:BM78" ca="1" si="33">$BM$22</f>
        <v>1862.9883849899884</v>
      </c>
      <c r="BN24" s="445">
        <f t="shared" ref="BN24:BN78" ca="1" si="34">EXP(1)^($BN$22*BL24)</f>
        <v>0.8414842650625296</v>
      </c>
      <c r="BO24" s="845">
        <f t="shared" ca="1" si="14"/>
        <v>1567.6754119633292</v>
      </c>
      <c r="BP24" s="846" t="str">
        <f t="shared" ref="BP24:BP78" si="35">IF(AND($CA20=TRUE,BL24=$CB20),BO24,"")</f>
        <v/>
      </c>
      <c r="BS24" s="165">
        <f>BS23+1</f>
        <v>2006</v>
      </c>
      <c r="BT24" s="444">
        <f t="shared" ref="BT24:BT78" si="36">BS24-2014</f>
        <v>-8</v>
      </c>
      <c r="BU24" s="867">
        <f t="shared" ref="BU24:BU78" ca="1" si="37">$BU$22</f>
        <v>1.259454340899987</v>
      </c>
      <c r="BV24" s="445">
        <f t="shared" ca="1" si="15"/>
        <v>1.4770297236036225</v>
      </c>
      <c r="BW24" s="845">
        <f t="shared" ref="BW24:BW78" ca="1" si="38">(MAX($CC$19:$CC$74)+$BW$21)/(1+BU24*BV24)</f>
        <v>1538.3262641650426</v>
      </c>
      <c r="BX24" s="846" t="str">
        <f t="shared" ref="BX24:BX78" si="39">IF($CA20=TRUE,BW24,"")</f>
        <v/>
      </c>
      <c r="CA24" s="164" t="b">
        <f t="shared" si="7"/>
        <v>1</v>
      </c>
      <c r="CB24" s="164">
        <f t="shared" si="8"/>
        <v>-9</v>
      </c>
      <c r="CC24" s="165">
        <f t="shared" si="9"/>
        <v>1300</v>
      </c>
      <c r="CD24" s="436" t="str">
        <f>IFERROR(INDEX($CB$19:$CB$74,_xlfn.AGGREGATE(15,6,(ROW($CB$19:$CB$74)-ROW($CB$19)+1)/($CB$19:$CB$74&lt;&gt;""),ROWS($CD$1:CD6))),"")</f>
        <v/>
      </c>
      <c r="CE24" s="437" t="str">
        <f>IFERROR(INDEX($CC$19:$CC$74,_xlfn.AGGREGATE(15,6,(ROW($CC$19:$CC$74)-ROW($CC$19)+1)/($CC$19:$CC$74&lt;&gt;""),ROWS($CE$1:CE6))),"")</f>
        <v/>
      </c>
      <c r="CF24" s="437" t="str">
        <f t="shared" si="10"/>
        <v/>
      </c>
      <c r="CG24" s="164"/>
      <c r="CH24" s="165"/>
      <c r="CK24" s="164">
        <f t="shared" si="11"/>
        <v>2011</v>
      </c>
      <c r="CL24" s="740">
        <f t="shared" si="0"/>
        <v>1810.4223864836326</v>
      </c>
      <c r="CN24" s="123"/>
      <c r="CO24" s="833">
        <f t="shared" ca="1" si="2"/>
        <v>6982.1020779999999</v>
      </c>
      <c r="CP24" s="410"/>
      <c r="CR24" s="833">
        <f t="shared" ca="1" si="3"/>
        <v>6982.1020779999999</v>
      </c>
      <c r="CT24" s="834">
        <f t="shared" ca="1" si="4"/>
        <v>1</v>
      </c>
      <c r="CV24" s="835">
        <f t="shared" ca="1" si="5"/>
        <v>1810.4223864836326</v>
      </c>
      <c r="CX24" s="439" t="s">
        <v>238</v>
      </c>
      <c r="CY24" s="446">
        <f ca="1">AVERAGE(CT18:CT73)</f>
        <v>1</v>
      </c>
      <c r="DK24" s="741"/>
    </row>
    <row r="25" spans="1:115" s="140" customFormat="1" ht="15" customHeight="1" x14ac:dyDescent="0.5">
      <c r="A25" s="1307"/>
      <c r="C25" s="836">
        <v>2011</v>
      </c>
      <c r="D25" s="520">
        <v>-8</v>
      </c>
      <c r="E25" s="1086"/>
      <c r="F25" s="832" t="e">
        <f t="shared" si="1"/>
        <v>#N/A</v>
      </c>
      <c r="G25" s="832">
        <f t="shared" si="6"/>
        <v>1810.4223864836326</v>
      </c>
      <c r="K25" s="123"/>
      <c r="L25" s="123"/>
      <c r="M25" s="123"/>
      <c r="N25" s="123"/>
      <c r="O25" s="412"/>
      <c r="P25" s="412"/>
      <c r="Q25" s="412"/>
      <c r="S25" s="419"/>
      <c r="T25" s="419"/>
      <c r="U25" s="419"/>
      <c r="V25" s="419"/>
      <c r="W25" s="419"/>
      <c r="X25" s="419"/>
      <c r="Y25" s="419"/>
      <c r="Z25" s="419"/>
      <c r="AA25" s="419"/>
      <c r="AB25" s="419"/>
      <c r="AC25" s="419"/>
      <c r="AD25" s="419"/>
      <c r="AE25" s="419"/>
      <c r="AF25" s="419"/>
      <c r="AG25" s="419"/>
      <c r="AH25" s="419"/>
      <c r="AI25" s="413"/>
      <c r="AJ25" s="413"/>
      <c r="AK25" s="413"/>
      <c r="AL25" s="419"/>
      <c r="AM25" s="165">
        <f t="shared" ref="AM25:AM78" si="40">AM24+1</f>
        <v>2007</v>
      </c>
      <c r="AN25" s="444">
        <f t="shared" si="16"/>
        <v>-7</v>
      </c>
      <c r="AO25" s="867">
        <f t="shared" si="17"/>
        <v>-343.05174234424499</v>
      </c>
      <c r="AP25" s="445">
        <f t="shared" si="18"/>
        <v>1957.4445617740232</v>
      </c>
      <c r="AQ25" s="845">
        <f t="shared" si="19"/>
        <v>1614.3928194297782</v>
      </c>
      <c r="AR25" s="846" t="str">
        <f t="shared" si="20"/>
        <v/>
      </c>
      <c r="AT25" s="165">
        <f t="shared" ref="AT25:AT78" si="41">AT24+1</f>
        <v>2007</v>
      </c>
      <c r="AU25" s="444">
        <f t="shared" si="21"/>
        <v>-7</v>
      </c>
      <c r="AV25" s="867">
        <f t="shared" ca="1" si="22"/>
        <v>-34.845206596314199</v>
      </c>
      <c r="AW25" s="867">
        <f t="shared" ca="1" si="23"/>
        <v>-456.4655570255054</v>
      </c>
      <c r="AX25" s="445">
        <f t="shared" ca="1" si="24"/>
        <v>2044.2898732424699</v>
      </c>
      <c r="AY25" s="845">
        <f t="shared" ca="1" si="12"/>
        <v>1552.9791096206502</v>
      </c>
      <c r="AZ25" s="846" t="str">
        <f t="shared" si="25"/>
        <v/>
      </c>
      <c r="BB25" s="165">
        <f t="shared" ref="BB25:BB78" si="42">BB24+1</f>
        <v>2007</v>
      </c>
      <c r="BC25" s="444">
        <f t="shared" si="26"/>
        <v>-7</v>
      </c>
      <c r="BD25" s="867">
        <f t="shared" ca="1" si="27"/>
        <v>-32.738725490196046</v>
      </c>
      <c r="BE25" s="867">
        <f t="shared" ca="1" si="28"/>
        <v>-183.73970588235269</v>
      </c>
      <c r="BF25" s="867">
        <f t="shared" ca="1" si="29"/>
        <v>-435.17892156862729</v>
      </c>
      <c r="BG25" s="445">
        <f t="shared" ca="1" si="30"/>
        <v>2232.8304621848733</v>
      </c>
      <c r="BH25" s="845">
        <f t="shared" ca="1" si="13"/>
        <v>1581.1731092436974</v>
      </c>
      <c r="BI25" s="846" t="str">
        <f t="shared" si="31"/>
        <v/>
      </c>
      <c r="BK25" s="165">
        <f t="shared" ref="BK25:BK78" si="43">BK24+1</f>
        <v>2007</v>
      </c>
      <c r="BL25" s="444">
        <f t="shared" si="32"/>
        <v>-7</v>
      </c>
      <c r="BM25" s="867">
        <f t="shared" ca="1" si="33"/>
        <v>1862.9883849899884</v>
      </c>
      <c r="BN25" s="445">
        <f t="shared" ca="1" si="34"/>
        <v>0.85983525788928084</v>
      </c>
      <c r="BO25" s="845">
        <f t="shared" ca="1" si="14"/>
        <v>1601.8630984526014</v>
      </c>
      <c r="BP25" s="846" t="str">
        <f t="shared" si="35"/>
        <v/>
      </c>
      <c r="BS25" s="165">
        <f t="shared" ref="BS25:BS78" si="44">BS24+1</f>
        <v>2007</v>
      </c>
      <c r="BT25" s="444">
        <f t="shared" si="36"/>
        <v>-7</v>
      </c>
      <c r="BU25" s="867">
        <f t="shared" ca="1" si="37"/>
        <v>1.259454340899987</v>
      </c>
      <c r="BV25" s="445">
        <f t="shared" ca="1" si="15"/>
        <v>1.4067456494453598</v>
      </c>
      <c r="BW25" s="845">
        <f t="shared" ca="1" si="38"/>
        <v>1587.4551130313343</v>
      </c>
      <c r="BX25" s="846" t="str">
        <f t="shared" si="39"/>
        <v/>
      </c>
      <c r="CA25" s="164" t="b">
        <f t="shared" si="7"/>
        <v>0</v>
      </c>
      <c r="CB25" s="164" t="str">
        <f t="shared" si="8"/>
        <v/>
      </c>
      <c r="CC25" s="165" t="str">
        <f t="shared" si="9"/>
        <v/>
      </c>
      <c r="CD25" s="436" t="str">
        <f>IFERROR(INDEX($CB$19:$CB$74,_xlfn.AGGREGATE(15,6,(ROW($CB$19:$CB$74)-ROW($CB$19)+1)/($CB$19:$CB$74&lt;&gt;""),ROWS($CD$1:CD7))),"")</f>
        <v/>
      </c>
      <c r="CE25" s="437" t="str">
        <f>IFERROR(INDEX($CC$19:$CC$74,_xlfn.AGGREGATE(15,6,(ROW($CC$19:$CC$74)-ROW($CC$19)+1)/($CC$19:$CC$74&lt;&gt;""),ROWS($CE$1:CE7))),"")</f>
        <v/>
      </c>
      <c r="CF25" s="437" t="str">
        <f t="shared" si="10"/>
        <v/>
      </c>
      <c r="CG25" s="164"/>
      <c r="CH25" s="165"/>
      <c r="CK25" s="164">
        <f t="shared" si="11"/>
        <v>2012</v>
      </c>
      <c r="CL25" s="740">
        <f t="shared" si="0"/>
        <v>1859.429778247096</v>
      </c>
      <c r="CN25" s="123"/>
      <c r="CO25" s="833">
        <f t="shared" ca="1" si="2"/>
        <v>7063.9613260000006</v>
      </c>
      <c r="CP25" s="410"/>
      <c r="CR25" s="833">
        <f t="shared" ca="1" si="3"/>
        <v>7063.9613260000006</v>
      </c>
      <c r="CT25" s="834">
        <f t="shared" ca="1" si="4"/>
        <v>1</v>
      </c>
      <c r="CV25" s="835">
        <f t="shared" ca="1" si="5"/>
        <v>1859.429778247096</v>
      </c>
      <c r="DK25" s="741"/>
    </row>
    <row r="26" spans="1:115" s="140" customFormat="1" ht="28.5" customHeight="1" x14ac:dyDescent="0.5">
      <c r="A26" s="1308"/>
      <c r="C26" s="836">
        <v>2012</v>
      </c>
      <c r="D26" s="520">
        <v>-7</v>
      </c>
      <c r="E26" s="1086"/>
      <c r="F26" s="832" t="e">
        <f t="shared" si="1"/>
        <v>#N/A</v>
      </c>
      <c r="G26" s="832">
        <f t="shared" si="6"/>
        <v>1859.429778247096</v>
      </c>
      <c r="I26" s="1312" t="s">
        <v>239</v>
      </c>
      <c r="J26" s="1312" t="s">
        <v>240</v>
      </c>
      <c r="K26" s="123"/>
      <c r="L26" s="123"/>
      <c r="M26" s="123"/>
      <c r="N26" s="123"/>
      <c r="O26" s="412"/>
      <c r="P26" s="412"/>
      <c r="Q26" s="412"/>
      <c r="S26" s="419"/>
      <c r="T26" s="419"/>
      <c r="U26" s="419"/>
      <c r="V26" s="419"/>
      <c r="W26" s="419"/>
      <c r="X26" s="419"/>
      <c r="Y26" s="419"/>
      <c r="Z26" s="419"/>
      <c r="AA26" s="419"/>
      <c r="AB26" s="419"/>
      <c r="AC26" s="419"/>
      <c r="AD26" s="419"/>
      <c r="AE26" s="419"/>
      <c r="AF26" s="419"/>
      <c r="AG26" s="419"/>
      <c r="AH26" s="419"/>
      <c r="AI26" s="413"/>
      <c r="AJ26" s="413"/>
      <c r="AK26" s="413"/>
      <c r="AL26" s="419"/>
      <c r="AM26" s="165">
        <f t="shared" si="40"/>
        <v>2008</v>
      </c>
      <c r="AN26" s="444">
        <f t="shared" si="16"/>
        <v>-6</v>
      </c>
      <c r="AO26" s="867">
        <f t="shared" si="17"/>
        <v>-294.04435058078138</v>
      </c>
      <c r="AP26" s="445">
        <f t="shared" si="18"/>
        <v>1957.4445617740232</v>
      </c>
      <c r="AQ26" s="845">
        <f t="shared" si="19"/>
        <v>1663.4002111932418</v>
      </c>
      <c r="AR26" s="846" t="str">
        <f t="shared" si="20"/>
        <v/>
      </c>
      <c r="AT26" s="165">
        <f t="shared" si="41"/>
        <v>2008</v>
      </c>
      <c r="AU26" s="444">
        <f t="shared" si="21"/>
        <v>-6</v>
      </c>
      <c r="AV26" s="867">
        <f t="shared" ca="1" si="22"/>
        <v>-25.600559948312473</v>
      </c>
      <c r="AW26" s="867">
        <f t="shared" ca="1" si="23"/>
        <v>-391.25619173614751</v>
      </c>
      <c r="AX26" s="445">
        <f t="shared" ca="1" si="24"/>
        <v>2044.2898732424699</v>
      </c>
      <c r="AY26" s="845">
        <f t="shared" ca="1" si="12"/>
        <v>1627.4331215580098</v>
      </c>
      <c r="AZ26" s="846" t="str">
        <f t="shared" si="25"/>
        <v/>
      </c>
      <c r="BB26" s="165">
        <f t="shared" si="42"/>
        <v>2008</v>
      </c>
      <c r="BC26" s="444">
        <f t="shared" si="26"/>
        <v>-6</v>
      </c>
      <c r="BD26" s="867">
        <f t="shared" ca="1" si="27"/>
        <v>-20.616806722689052</v>
      </c>
      <c r="BE26" s="867">
        <f t="shared" ca="1" si="28"/>
        <v>-134.99243697478974</v>
      </c>
      <c r="BF26" s="867">
        <f t="shared" ca="1" si="29"/>
        <v>-373.01050420168053</v>
      </c>
      <c r="BG26" s="445">
        <f t="shared" ca="1" si="30"/>
        <v>2232.8304621848733</v>
      </c>
      <c r="BH26" s="845">
        <f t="shared" ca="1" si="13"/>
        <v>1704.2107142857139</v>
      </c>
      <c r="BI26" s="846" t="str">
        <f t="shared" si="31"/>
        <v/>
      </c>
      <c r="BK26" s="165">
        <f t="shared" si="43"/>
        <v>2008</v>
      </c>
      <c r="BL26" s="444">
        <f t="shared" si="32"/>
        <v>-6</v>
      </c>
      <c r="BM26" s="867">
        <f t="shared" ca="1" si="33"/>
        <v>1862.9883849899884</v>
      </c>
      <c r="BN26" s="445">
        <f t="shared" ca="1" si="34"/>
        <v>0.87858644707347944</v>
      </c>
      <c r="BO26" s="845">
        <f t="shared" ca="1" si="14"/>
        <v>1636.7963461075133</v>
      </c>
      <c r="BP26" s="846" t="str">
        <f t="shared" si="35"/>
        <v/>
      </c>
      <c r="BS26" s="165">
        <f t="shared" si="44"/>
        <v>2008</v>
      </c>
      <c r="BT26" s="444">
        <f t="shared" si="36"/>
        <v>-6</v>
      </c>
      <c r="BU26" s="867">
        <f t="shared" ca="1" si="37"/>
        <v>1.259454340899987</v>
      </c>
      <c r="BV26" s="445">
        <f t="shared" ca="1" si="15"/>
        <v>1.339806024624401</v>
      </c>
      <c r="BW26" s="845">
        <f t="shared" ca="1" si="38"/>
        <v>1637.2552894442254</v>
      </c>
      <c r="BX26" s="846" t="str">
        <f t="shared" si="39"/>
        <v/>
      </c>
      <c r="CA26" s="164" t="b">
        <f t="shared" si="7"/>
        <v>0</v>
      </c>
      <c r="CB26" s="164" t="str">
        <f t="shared" si="8"/>
        <v/>
      </c>
      <c r="CC26" s="165" t="str">
        <f t="shared" si="9"/>
        <v/>
      </c>
      <c r="CD26" s="436" t="str">
        <f>IFERROR(INDEX($CB$19:$CB$74,_xlfn.AGGREGATE(15,6,(ROW($CB$19:$CB$74)-ROW($CB$19)+1)/($CB$19:$CB$74&lt;&gt;""),ROWS($CD$1:CD8))),"")</f>
        <v/>
      </c>
      <c r="CE26" s="437" t="str">
        <f>IFERROR(INDEX($CC$19:$CC$74,_xlfn.AGGREGATE(15,6,(ROW($CC$19:$CC$74)-ROW($CC$19)+1)/($CC$19:$CC$74&lt;&gt;""),ROWS($CE$1:CE8))),"")</f>
        <v/>
      </c>
      <c r="CF26" s="437" t="str">
        <f t="shared" si="10"/>
        <v/>
      </c>
      <c r="CG26" s="164"/>
      <c r="CH26" s="165"/>
      <c r="CK26" s="164">
        <f t="shared" si="11"/>
        <v>2013</v>
      </c>
      <c r="CL26" s="740">
        <f t="shared" si="0"/>
        <v>1908.4371700105596</v>
      </c>
      <c r="CN26" s="123"/>
      <c r="CO26" s="833">
        <f t="shared" ca="1" si="2"/>
        <v>7145.7879749999993</v>
      </c>
      <c r="CP26" s="410"/>
      <c r="CR26" s="833">
        <f t="shared" ca="1" si="3"/>
        <v>7145.7879749999993</v>
      </c>
      <c r="CT26" s="834">
        <f t="shared" ca="1" si="4"/>
        <v>1</v>
      </c>
      <c r="CV26" s="835">
        <f t="shared" ca="1" si="5"/>
        <v>1908.4371700105596</v>
      </c>
      <c r="CX26" s="448" t="s">
        <v>241</v>
      </c>
      <c r="CY26" s="449">
        <f>IF(A29&gt;=2015,72,IF(A29&gt;=2014,60,IF(A29&gt;=2012,48,IF(A29&gt;=2010,36,IF(A29&gt;=2005,24,IF(A29&gt;=2001,12,0))))))</f>
        <v>72</v>
      </c>
      <c r="DK26" s="741"/>
    </row>
    <row r="27" spans="1:115" s="140" customFormat="1" ht="14.1" x14ac:dyDescent="0.5">
      <c r="C27" s="836">
        <v>2013</v>
      </c>
      <c r="D27" s="520">
        <v>-6</v>
      </c>
      <c r="E27" s="1086"/>
      <c r="F27" s="832" t="e">
        <f t="shared" si="1"/>
        <v>#N/A</v>
      </c>
      <c r="G27" s="832">
        <f t="shared" si="6"/>
        <v>1908.4371700105596</v>
      </c>
      <c r="I27" s="1312"/>
      <c r="J27" s="1312"/>
      <c r="K27" s="123"/>
      <c r="L27" s="123"/>
      <c r="M27" s="123"/>
      <c r="N27" s="123"/>
      <c r="O27" s="412"/>
      <c r="P27" s="412"/>
      <c r="Q27" s="412"/>
      <c r="S27" s="419"/>
      <c r="T27" s="419"/>
      <c r="U27" s="419"/>
      <c r="V27" s="419"/>
      <c r="W27" s="419"/>
      <c r="X27" s="419"/>
      <c r="Y27" s="419"/>
      <c r="Z27" s="419"/>
      <c r="AA27" s="419"/>
      <c r="AB27" s="419"/>
      <c r="AC27" s="419"/>
      <c r="AD27" s="419"/>
      <c r="AE27" s="419"/>
      <c r="AF27" s="419"/>
      <c r="AG27" s="419"/>
      <c r="AH27" s="419"/>
      <c r="AI27" s="413"/>
      <c r="AJ27" s="413"/>
      <c r="AK27" s="413"/>
      <c r="AL27" s="419"/>
      <c r="AM27" s="165">
        <f t="shared" si="40"/>
        <v>2009</v>
      </c>
      <c r="AN27" s="444">
        <f t="shared" si="16"/>
        <v>-5</v>
      </c>
      <c r="AO27" s="867">
        <f t="shared" si="17"/>
        <v>-245.03695881731784</v>
      </c>
      <c r="AP27" s="445">
        <f t="shared" si="18"/>
        <v>1957.4445617740232</v>
      </c>
      <c r="AQ27" s="845">
        <f t="shared" si="19"/>
        <v>1712.4076029567054</v>
      </c>
      <c r="AR27" s="846" t="str">
        <f t="shared" si="20"/>
        <v/>
      </c>
      <c r="AT27" s="165">
        <f t="shared" si="41"/>
        <v>2009</v>
      </c>
      <c r="AU27" s="444">
        <f t="shared" si="21"/>
        <v>-5</v>
      </c>
      <c r="AV27" s="867">
        <f t="shared" ca="1" si="22"/>
        <v>-17.778166630772553</v>
      </c>
      <c r="AW27" s="867">
        <f t="shared" ca="1" si="23"/>
        <v>-326.04682644678962</v>
      </c>
      <c r="AX27" s="445">
        <f t="shared" ca="1" si="24"/>
        <v>2044.2898732424699</v>
      </c>
      <c r="AY27" s="845">
        <f t="shared" ca="1" si="12"/>
        <v>1700.4648801649078</v>
      </c>
      <c r="AZ27" s="846" t="str">
        <f t="shared" si="25"/>
        <v/>
      </c>
      <c r="BB27" s="165">
        <f t="shared" si="42"/>
        <v>2009</v>
      </c>
      <c r="BC27" s="444">
        <f t="shared" si="26"/>
        <v>-5</v>
      </c>
      <c r="BD27" s="867">
        <f t="shared" ca="1" si="27"/>
        <v>-11.931022408963573</v>
      </c>
      <c r="BE27" s="867">
        <f t="shared" ca="1" si="28"/>
        <v>-93.744747899159535</v>
      </c>
      <c r="BF27" s="867">
        <f t="shared" ca="1" si="29"/>
        <v>-310.84208683473378</v>
      </c>
      <c r="BG27" s="445">
        <f t="shared" ca="1" si="30"/>
        <v>2232.8304621848733</v>
      </c>
      <c r="BH27" s="845">
        <f t="shared" ca="1" si="13"/>
        <v>1816.3126050420165</v>
      </c>
      <c r="BI27" s="846" t="str">
        <f t="shared" si="31"/>
        <v/>
      </c>
      <c r="BK27" s="165">
        <f t="shared" si="43"/>
        <v>2009</v>
      </c>
      <c r="BL27" s="444">
        <f t="shared" si="32"/>
        <v>-5</v>
      </c>
      <c r="BM27" s="867">
        <f t="shared" ca="1" si="33"/>
        <v>1862.9883849899884</v>
      </c>
      <c r="BN27" s="445">
        <f t="shared" ca="1" si="34"/>
        <v>0.8977465600516209</v>
      </c>
      <c r="BO27" s="845">
        <f t="shared" ca="1" si="14"/>
        <v>1672.4914140408869</v>
      </c>
      <c r="BP27" s="846" t="str">
        <f t="shared" si="35"/>
        <v/>
      </c>
      <c r="BS27" s="165">
        <f t="shared" si="44"/>
        <v>2009</v>
      </c>
      <c r="BT27" s="444">
        <f t="shared" si="36"/>
        <v>-5</v>
      </c>
      <c r="BU27" s="867">
        <f t="shared" ca="1" si="37"/>
        <v>1.259454340899987</v>
      </c>
      <c r="BV27" s="445">
        <f t="shared" ca="1" si="15"/>
        <v>1.2760517043913309</v>
      </c>
      <c r="BW27" s="845">
        <f t="shared" ca="1" si="38"/>
        <v>1687.6802947341585</v>
      </c>
      <c r="BX27" s="846" t="str">
        <f t="shared" si="39"/>
        <v/>
      </c>
      <c r="CA27" s="164" t="b">
        <f t="shared" si="7"/>
        <v>0</v>
      </c>
      <c r="CB27" s="164" t="str">
        <f t="shared" si="8"/>
        <v/>
      </c>
      <c r="CC27" s="165" t="str">
        <f t="shared" si="9"/>
        <v/>
      </c>
      <c r="CD27" s="436" t="str">
        <f>IFERROR(INDEX($CB$19:$CB$74,_xlfn.AGGREGATE(15,6,(ROW($CB$19:$CB$74)-ROW($CB$19)+1)/($CB$19:$CB$74&lt;&gt;""),ROWS($CD$1:CD9))),"")</f>
        <v/>
      </c>
      <c r="CE27" s="437" t="str">
        <f>IFERROR(INDEX($CC$19:$CC$74,_xlfn.AGGREGATE(15,6,(ROW($CC$19:$CC$74)-ROW($CC$19)+1)/($CC$19:$CC$74&lt;&gt;""),ROWS($CE$1:CE9))),"")</f>
        <v/>
      </c>
      <c r="CF27" s="437" t="str">
        <f t="shared" si="10"/>
        <v/>
      </c>
      <c r="CG27" s="164"/>
      <c r="CH27" s="165"/>
      <c r="CK27" s="164">
        <f t="shared" si="11"/>
        <v>2014</v>
      </c>
      <c r="CL27" s="740">
        <f t="shared" si="0"/>
        <v>1957.4445617740232</v>
      </c>
      <c r="CN27" s="123"/>
      <c r="CO27" s="833">
        <f t="shared" ca="1" si="2"/>
        <v>7249.212595</v>
      </c>
      <c r="CP27" s="410"/>
      <c r="CR27" s="833">
        <f t="shared" ca="1" si="3"/>
        <v>7249.212595</v>
      </c>
      <c r="CT27" s="834">
        <f t="shared" ca="1" si="4"/>
        <v>1</v>
      </c>
      <c r="CV27" s="835">
        <f t="shared" ca="1" si="5"/>
        <v>1957.4445617740232</v>
      </c>
      <c r="CX27" s="1314" t="s">
        <v>242</v>
      </c>
      <c r="CY27" s="140" t="s">
        <v>243</v>
      </c>
      <c r="CZ27" s="140" t="s">
        <v>244</v>
      </c>
      <c r="DK27" s="741"/>
    </row>
    <row r="28" spans="1:115" s="140" customFormat="1" ht="21" customHeight="1" x14ac:dyDescent="0.5">
      <c r="A28" s="882" t="s">
        <v>245</v>
      </c>
      <c r="C28" s="836">
        <v>2014</v>
      </c>
      <c r="D28" s="520">
        <v>-5</v>
      </c>
      <c r="E28" s="1086"/>
      <c r="F28" s="832" t="e">
        <f t="shared" si="1"/>
        <v>#N/A</v>
      </c>
      <c r="G28" s="832">
        <f t="shared" si="6"/>
        <v>1957.4445617740232</v>
      </c>
      <c r="I28" s="1313"/>
      <c r="J28" s="1313"/>
      <c r="K28" s="123"/>
      <c r="L28" s="123"/>
      <c r="M28" s="123"/>
      <c r="N28" s="123"/>
      <c r="O28" s="412"/>
      <c r="P28" s="412"/>
      <c r="Q28" s="412"/>
      <c r="S28" s="419"/>
      <c r="T28" s="419"/>
      <c r="U28" s="419"/>
      <c r="V28" s="419"/>
      <c r="W28" s="419"/>
      <c r="X28" s="419"/>
      <c r="Y28" s="419"/>
      <c r="Z28" s="419"/>
      <c r="AA28" s="419"/>
      <c r="AB28" s="419"/>
      <c r="AC28" s="419"/>
      <c r="AD28" s="419"/>
      <c r="AE28" s="419"/>
      <c r="AF28" s="419"/>
      <c r="AG28" s="419"/>
      <c r="AH28" s="419"/>
      <c r="AI28" s="413"/>
      <c r="AJ28" s="413"/>
      <c r="AK28" s="413"/>
      <c r="AL28" s="419"/>
      <c r="AM28" s="165">
        <f t="shared" si="40"/>
        <v>2010</v>
      </c>
      <c r="AN28" s="444">
        <f t="shared" si="16"/>
        <v>-4</v>
      </c>
      <c r="AO28" s="867">
        <f t="shared" si="17"/>
        <v>-196.02956705385427</v>
      </c>
      <c r="AP28" s="445">
        <f t="shared" si="18"/>
        <v>1957.4445617740232</v>
      </c>
      <c r="AQ28" s="845">
        <f t="shared" si="19"/>
        <v>1761.414994720169</v>
      </c>
      <c r="AR28" s="846" t="str">
        <f t="shared" si="20"/>
        <v/>
      </c>
      <c r="AT28" s="165">
        <f t="shared" si="41"/>
        <v>2010</v>
      </c>
      <c r="AU28" s="444">
        <f t="shared" si="21"/>
        <v>-4</v>
      </c>
      <c r="AV28" s="867">
        <f t="shared" ca="1" si="22"/>
        <v>-11.378026643694433</v>
      </c>
      <c r="AW28" s="867">
        <f t="shared" ca="1" si="23"/>
        <v>-260.83746115743168</v>
      </c>
      <c r="AX28" s="445">
        <f t="shared" ca="1" si="24"/>
        <v>2044.2898732424699</v>
      </c>
      <c r="AY28" s="845">
        <f t="shared" ca="1" si="12"/>
        <v>1772.0743854413438</v>
      </c>
      <c r="AZ28" s="846" t="str">
        <f t="shared" si="25"/>
        <v/>
      </c>
      <c r="BB28" s="165">
        <f t="shared" si="42"/>
        <v>2010</v>
      </c>
      <c r="BC28" s="444">
        <f t="shared" si="26"/>
        <v>-4</v>
      </c>
      <c r="BD28" s="867">
        <f t="shared" ca="1" si="27"/>
        <v>-6.1086834733893491</v>
      </c>
      <c r="BE28" s="867">
        <f t="shared" ca="1" si="28"/>
        <v>-59.996638655462107</v>
      </c>
      <c r="BF28" s="867">
        <f t="shared" ca="1" si="29"/>
        <v>-248.67366946778702</v>
      </c>
      <c r="BG28" s="445">
        <f t="shared" ca="1" si="30"/>
        <v>2232.8304621848733</v>
      </c>
      <c r="BH28" s="845">
        <f t="shared" ca="1" si="13"/>
        <v>1918.0514705882349</v>
      </c>
      <c r="BI28" s="846" t="str">
        <f t="shared" si="31"/>
        <v/>
      </c>
      <c r="BK28" s="165">
        <f t="shared" si="43"/>
        <v>2010</v>
      </c>
      <c r="BL28" s="444">
        <f t="shared" si="32"/>
        <v>-4</v>
      </c>
      <c r="BM28" s="867">
        <f t="shared" ca="1" si="33"/>
        <v>1862.9883849899884</v>
      </c>
      <c r="BN28" s="445">
        <f t="shared" ca="1" si="34"/>
        <v>0.9173245145871386</v>
      </c>
      <c r="BO28" s="845">
        <f t="shared" ca="1" si="14"/>
        <v>1708.9649159424184</v>
      </c>
      <c r="BP28" s="846" t="str">
        <f t="shared" si="35"/>
        <v/>
      </c>
      <c r="BS28" s="165">
        <f t="shared" si="44"/>
        <v>2010</v>
      </c>
      <c r="BT28" s="444">
        <f t="shared" si="36"/>
        <v>-4</v>
      </c>
      <c r="BU28" s="867">
        <f t="shared" ca="1" si="37"/>
        <v>1.259454340899987</v>
      </c>
      <c r="BV28" s="445">
        <f t="shared" ca="1" si="15"/>
        <v>1.2153311168581271</v>
      </c>
      <c r="BW28" s="845">
        <f t="shared" ca="1" si="38"/>
        <v>1738.6809543099864</v>
      </c>
      <c r="BX28" s="846">
        <f t="shared" ca="1" si="39"/>
        <v>1738.6809543099864</v>
      </c>
      <c r="CA28" s="164" t="b">
        <f t="shared" si="7"/>
        <v>0</v>
      </c>
      <c r="CB28" s="164" t="str">
        <f t="shared" si="8"/>
        <v/>
      </c>
      <c r="CC28" s="165" t="str">
        <f t="shared" si="9"/>
        <v/>
      </c>
      <c r="CD28" s="436" t="str">
        <f>IFERROR(INDEX($CB$19:$CB$74,_xlfn.AGGREGATE(15,6,(ROW($CB$19:$CB$74)-ROW($CB$19)+1)/($CB$19:$CB$74&lt;&gt;""),ROWS($CD$1:CD10))),"")</f>
        <v/>
      </c>
      <c r="CE28" s="437" t="str">
        <f>IFERROR(INDEX($CC$19:$CC$74,_xlfn.AGGREGATE(15,6,(ROW($CC$19:$CC$74)-ROW($CC$19)+1)/($CC$19:$CC$74&lt;&gt;""),ROWS($CE$1:CE10))),"")</f>
        <v/>
      </c>
      <c r="CF28" s="437" t="str">
        <f t="shared" si="10"/>
        <v/>
      </c>
      <c r="CG28" s="164"/>
      <c r="CH28" s="165"/>
      <c r="CK28" s="164">
        <f t="shared" si="11"/>
        <v>2015</v>
      </c>
      <c r="CL28" s="740">
        <f t="shared" si="0"/>
        <v>2006.4519535374868</v>
      </c>
      <c r="CN28" s="123"/>
      <c r="CO28" s="833">
        <f t="shared" ca="1" si="2"/>
        <v>7332.6242889999994</v>
      </c>
      <c r="CP28" s="410"/>
      <c r="CR28" s="833">
        <f t="shared" ca="1" si="3"/>
        <v>7332.6242889999994</v>
      </c>
      <c r="CT28" s="834">
        <f t="shared" ca="1" si="4"/>
        <v>1</v>
      </c>
      <c r="CV28" s="835">
        <f t="shared" ca="1" si="5"/>
        <v>2006.4519535374868</v>
      </c>
      <c r="CX28" s="1314"/>
      <c r="CY28" s="123">
        <v>2000</v>
      </c>
      <c r="CZ28" s="140">
        <f>12*(ROW(CY28)-ROW($CY$28))</f>
        <v>0</v>
      </c>
      <c r="DK28" s="741"/>
    </row>
    <row r="29" spans="1:115" s="123" customFormat="1" ht="15" customHeight="1" x14ac:dyDescent="0.5">
      <c r="A29" s="854">
        <v>2018</v>
      </c>
      <c r="C29" s="836">
        <v>2015</v>
      </c>
      <c r="D29" s="520">
        <v>-4</v>
      </c>
      <c r="E29" s="1086"/>
      <c r="F29" s="832" t="e">
        <f t="shared" si="1"/>
        <v>#N/A</v>
      </c>
      <c r="G29" s="832">
        <f t="shared" si="6"/>
        <v>2006.4519535374868</v>
      </c>
      <c r="H29" s="438"/>
      <c r="I29" s="868" t="s">
        <v>228</v>
      </c>
      <c r="J29" s="868" t="s">
        <v>228</v>
      </c>
      <c r="O29" s="412"/>
      <c r="P29" s="412"/>
      <c r="Q29" s="412"/>
      <c r="S29" s="413"/>
      <c r="T29" s="413"/>
      <c r="U29" s="413"/>
      <c r="V29" s="413"/>
      <c r="W29" s="413"/>
      <c r="X29" s="413"/>
      <c r="Y29" s="413"/>
      <c r="Z29" s="413"/>
      <c r="AA29" s="413"/>
      <c r="AB29" s="413"/>
      <c r="AC29" s="413"/>
      <c r="AD29" s="413"/>
      <c r="AE29" s="413"/>
      <c r="AF29" s="413"/>
      <c r="AG29" s="413"/>
      <c r="AH29" s="413"/>
      <c r="AI29" s="413"/>
      <c r="AJ29" s="413"/>
      <c r="AK29" s="413"/>
      <c r="AL29" s="413"/>
      <c r="AM29" s="165">
        <f t="shared" si="40"/>
        <v>2011</v>
      </c>
      <c r="AN29" s="444">
        <f t="shared" si="16"/>
        <v>-3</v>
      </c>
      <c r="AO29" s="867">
        <f t="shared" si="17"/>
        <v>-147.02217529039069</v>
      </c>
      <c r="AP29" s="445">
        <f t="shared" si="18"/>
        <v>1957.4445617740232</v>
      </c>
      <c r="AQ29" s="845">
        <f t="shared" si="19"/>
        <v>1810.4223864836326</v>
      </c>
      <c r="AR29" s="447" t="str">
        <f t="shared" si="20"/>
        <v/>
      </c>
      <c r="AT29" s="165">
        <f t="shared" si="41"/>
        <v>2011</v>
      </c>
      <c r="AU29" s="444">
        <f t="shared" si="21"/>
        <v>-3</v>
      </c>
      <c r="AV29" s="867">
        <f t="shared" ca="1" si="22"/>
        <v>-6.4001399870781182</v>
      </c>
      <c r="AW29" s="867">
        <f t="shared" ca="1" si="23"/>
        <v>-195.62809586807376</v>
      </c>
      <c r="AX29" s="445">
        <f t="shared" ca="1" si="24"/>
        <v>2044.2898732424699</v>
      </c>
      <c r="AY29" s="845">
        <f t="shared" ca="1" si="12"/>
        <v>1842.2616373873179</v>
      </c>
      <c r="AZ29" s="846" t="str">
        <f t="shared" si="25"/>
        <v/>
      </c>
      <c r="BB29" s="165">
        <f t="shared" si="42"/>
        <v>2011</v>
      </c>
      <c r="BC29" s="444">
        <f t="shared" si="26"/>
        <v>-3</v>
      </c>
      <c r="BD29" s="867">
        <f t="shared" ca="1" si="27"/>
        <v>-2.5771008403361315</v>
      </c>
      <c r="BE29" s="867">
        <f t="shared" ca="1" si="28"/>
        <v>-33.748109243697435</v>
      </c>
      <c r="BF29" s="867">
        <f t="shared" ca="1" si="29"/>
        <v>-186.50525210084027</v>
      </c>
      <c r="BG29" s="445">
        <f t="shared" ca="1" si="30"/>
        <v>2232.8304621848733</v>
      </c>
      <c r="BH29" s="845">
        <f t="shared" ca="1" si="13"/>
        <v>2009.9999999999995</v>
      </c>
      <c r="BI29" s="846" t="str">
        <f t="shared" si="31"/>
        <v/>
      </c>
      <c r="BK29" s="165">
        <f t="shared" si="43"/>
        <v>2011</v>
      </c>
      <c r="BL29" s="444">
        <f t="shared" si="32"/>
        <v>-3</v>
      </c>
      <c r="BM29" s="867">
        <f t="shared" ca="1" si="33"/>
        <v>1862.9883849899884</v>
      </c>
      <c r="BN29" s="445">
        <f t="shared" ca="1" si="34"/>
        <v>0.93732942292103449</v>
      </c>
      <c r="BO29" s="845">
        <f t="shared" ca="1" si="14"/>
        <v>1746.2338278112559</v>
      </c>
      <c r="BP29" s="846" t="str">
        <f t="shared" si="35"/>
        <v/>
      </c>
      <c r="BS29" s="165">
        <f t="shared" si="44"/>
        <v>2011</v>
      </c>
      <c r="BT29" s="444">
        <f t="shared" si="36"/>
        <v>-3</v>
      </c>
      <c r="BU29" s="867">
        <f t="shared" ca="1" si="37"/>
        <v>1.259454340899987</v>
      </c>
      <c r="BV29" s="445">
        <f t="shared" ca="1" si="15"/>
        <v>1.1574999026455255</v>
      </c>
      <c r="BW29" s="845">
        <f t="shared" ca="1" si="38"/>
        <v>1790.2055824117349</v>
      </c>
      <c r="BX29" s="846" t="str">
        <f t="shared" si="39"/>
        <v/>
      </c>
      <c r="BY29" s="140"/>
      <c r="BZ29" s="140"/>
      <c r="CA29" s="164" t="b">
        <f t="shared" si="7"/>
        <v>0</v>
      </c>
      <c r="CB29" s="164" t="str">
        <f t="shared" si="8"/>
        <v/>
      </c>
      <c r="CC29" s="165" t="str">
        <f t="shared" si="9"/>
        <v/>
      </c>
      <c r="CD29" s="436" t="str">
        <f>IFERROR(INDEX($CB$19:$CB$74,_xlfn.AGGREGATE(15,6,(ROW($CB$19:$CB$74)-ROW($CB$19)+1)/($CB$19:$CB$74&lt;&gt;""),ROWS($CD$1:CD11))),"")</f>
        <v/>
      </c>
      <c r="CE29" s="437" t="str">
        <f>IFERROR(INDEX($CC$19:$CC$74,_xlfn.AGGREGATE(15,6,(ROW($CC$19:$CC$74)-ROW($CC$19)+1)/($CC$19:$CC$74&lt;&gt;""),ROWS($CE$1:CE11))),"")</f>
        <v/>
      </c>
      <c r="CF29" s="437" t="str">
        <f t="shared" si="10"/>
        <v/>
      </c>
      <c r="CG29" s="164"/>
      <c r="CH29" s="165"/>
      <c r="CK29" s="164">
        <f t="shared" si="11"/>
        <v>2016</v>
      </c>
      <c r="CL29" s="740">
        <f t="shared" si="0"/>
        <v>2055.4593453009502</v>
      </c>
      <c r="CO29" s="833">
        <f t="shared" ca="1" si="2"/>
        <v>7415.5738320000009</v>
      </c>
      <c r="CP29" s="410"/>
      <c r="CQ29" s="140"/>
      <c r="CR29" s="833">
        <f t="shared" ca="1" si="3"/>
        <v>7415.5738320000009</v>
      </c>
      <c r="CS29" s="140"/>
      <c r="CT29" s="834">
        <f t="shared" ca="1" si="4"/>
        <v>1</v>
      </c>
      <c r="CU29" s="140"/>
      <c r="CV29" s="835">
        <f t="shared" ca="1" si="5"/>
        <v>2009.9999999999998</v>
      </c>
      <c r="CX29" s="1314"/>
      <c r="CY29" s="123">
        <v>2001</v>
      </c>
      <c r="CZ29" s="140">
        <f t="shared" ref="CZ29:CZ34" si="45">12*(ROW(CY29)-ROW($CY$28))</f>
        <v>12</v>
      </c>
      <c r="DJ29" s="140"/>
      <c r="DK29" s="741"/>
    </row>
    <row r="30" spans="1:115" s="123" customFormat="1" ht="15" customHeight="1" x14ac:dyDescent="0.5">
      <c r="C30" s="836">
        <v>2016</v>
      </c>
      <c r="D30" s="520">
        <v>-3</v>
      </c>
      <c r="E30" s="1087">
        <v>2.0099999999999998</v>
      </c>
      <c r="F30" s="832">
        <f t="shared" si="1"/>
        <v>2009.9999999999998</v>
      </c>
      <c r="G30" s="932">
        <f t="shared" si="6"/>
        <v>2009.9999999999998</v>
      </c>
      <c r="H30" s="438"/>
      <c r="I30" s="450"/>
      <c r="J30" s="140"/>
      <c r="O30" s="412"/>
      <c r="P30" s="412"/>
      <c r="Q30" s="412"/>
      <c r="S30" s="413"/>
      <c r="T30" s="413"/>
      <c r="U30" s="413"/>
      <c r="V30" s="413"/>
      <c r="W30" s="413"/>
      <c r="X30" s="413"/>
      <c r="Y30" s="413"/>
      <c r="Z30" s="413"/>
      <c r="AA30" s="413"/>
      <c r="AB30" s="413"/>
      <c r="AC30" s="413"/>
      <c r="AD30" s="413"/>
      <c r="AE30" s="413"/>
      <c r="AF30" s="413"/>
      <c r="AG30" s="413"/>
      <c r="AH30" s="413"/>
      <c r="AI30" s="413"/>
      <c r="AJ30" s="413"/>
      <c r="AK30" s="413"/>
      <c r="AL30" s="413"/>
      <c r="AM30" s="165">
        <f t="shared" si="40"/>
        <v>2012</v>
      </c>
      <c r="AN30" s="444">
        <f t="shared" si="16"/>
        <v>-2</v>
      </c>
      <c r="AO30" s="867">
        <f t="shared" si="17"/>
        <v>-98.014783526927133</v>
      </c>
      <c r="AP30" s="445">
        <f t="shared" si="18"/>
        <v>1957.4445617740232</v>
      </c>
      <c r="AQ30" s="845">
        <f t="shared" si="19"/>
        <v>1859.429778247096</v>
      </c>
      <c r="AR30" s="447" t="str">
        <f t="shared" si="20"/>
        <v/>
      </c>
      <c r="AT30" s="165">
        <f t="shared" si="41"/>
        <v>2012</v>
      </c>
      <c r="AU30" s="444">
        <f t="shared" si="21"/>
        <v>-2</v>
      </c>
      <c r="AV30" s="867">
        <f t="shared" ca="1" si="22"/>
        <v>-2.8445066609236083</v>
      </c>
      <c r="AW30" s="867">
        <f t="shared" ca="1" si="23"/>
        <v>-130.41873057871584</v>
      </c>
      <c r="AX30" s="445">
        <f t="shared" ca="1" si="24"/>
        <v>2044.2898732424699</v>
      </c>
      <c r="AY30" s="845">
        <f t="shared" ca="1" si="12"/>
        <v>1911.0266360028304</v>
      </c>
      <c r="AZ30" s="846" t="str">
        <f t="shared" si="25"/>
        <v/>
      </c>
      <c r="BB30" s="165">
        <f t="shared" si="42"/>
        <v>2012</v>
      </c>
      <c r="BC30" s="444">
        <f t="shared" si="26"/>
        <v>-2</v>
      </c>
      <c r="BD30" s="867">
        <f t="shared" ca="1" si="27"/>
        <v>-0.76358543417366864</v>
      </c>
      <c r="BE30" s="867">
        <f t="shared" ca="1" si="28"/>
        <v>-14.999159663865527</v>
      </c>
      <c r="BF30" s="867">
        <f t="shared" ca="1" si="29"/>
        <v>-124.33683473389351</v>
      </c>
      <c r="BG30" s="445">
        <f t="shared" ca="1" si="30"/>
        <v>2232.8304621848733</v>
      </c>
      <c r="BH30" s="845">
        <f t="shared" ca="1" si="13"/>
        <v>2092.7308823529406</v>
      </c>
      <c r="BI30" s="846" t="str">
        <f t="shared" si="31"/>
        <v/>
      </c>
      <c r="BK30" s="165">
        <f t="shared" si="43"/>
        <v>2012</v>
      </c>
      <c r="BL30" s="444">
        <f t="shared" si="32"/>
        <v>-2</v>
      </c>
      <c r="BM30" s="867">
        <f t="shared" ca="1" si="33"/>
        <v>1862.9883849899884</v>
      </c>
      <c r="BN30" s="445">
        <f t="shared" ca="1" si="34"/>
        <v>0.95777059601302172</v>
      </c>
      <c r="BO30" s="845">
        <f t="shared" ca="1" si="14"/>
        <v>1784.3154958571979</v>
      </c>
      <c r="BP30" s="846" t="str">
        <f t="shared" si="35"/>
        <v/>
      </c>
      <c r="BS30" s="165">
        <f t="shared" si="44"/>
        <v>2012</v>
      </c>
      <c r="BT30" s="444">
        <f t="shared" si="36"/>
        <v>-2</v>
      </c>
      <c r="BU30" s="867">
        <f t="shared" ca="1" si="37"/>
        <v>1.259454340899987</v>
      </c>
      <c r="BV30" s="445">
        <f t="shared" ca="1" si="15"/>
        <v>1.1024205716776729</v>
      </c>
      <c r="BW30" s="845">
        <f t="shared" ca="1" si="38"/>
        <v>1842.2001693575762</v>
      </c>
      <c r="BX30" s="846" t="str">
        <f t="shared" si="39"/>
        <v/>
      </c>
      <c r="BY30" s="140"/>
      <c r="BZ30" s="140"/>
      <c r="CA30" s="164" t="b">
        <f t="shared" si="7"/>
        <v>1</v>
      </c>
      <c r="CB30" s="164">
        <f t="shared" si="8"/>
        <v>-3</v>
      </c>
      <c r="CC30" s="165">
        <f t="shared" si="9"/>
        <v>2009.9999999999998</v>
      </c>
      <c r="CD30" s="436" t="str">
        <f>IFERROR(INDEX($CB$19:$CB$74,_xlfn.AGGREGATE(15,6,(ROW($CB$19:$CB$74)-ROW($CB$19)+1)/($CB$19:$CB$74&lt;&gt;""),ROWS($CD$1:CD12))),"")</f>
        <v/>
      </c>
      <c r="CE30" s="437" t="str">
        <f>IFERROR(INDEX($CC$19:$CC$74,_xlfn.AGGREGATE(15,6,(ROW($CC$19:$CC$74)-ROW($CC$19)+1)/($CC$19:$CC$74&lt;&gt;""),ROWS($CE$1:CE12))),"")</f>
        <v/>
      </c>
      <c r="CF30" s="437" t="str">
        <f t="shared" si="10"/>
        <v/>
      </c>
      <c r="CG30" s="164"/>
      <c r="CH30" s="165"/>
      <c r="CK30" s="164">
        <f t="shared" si="11"/>
        <v>2017</v>
      </c>
      <c r="CL30" s="740">
        <f t="shared" si="0"/>
        <v>2104.4667370644138</v>
      </c>
      <c r="CO30" s="833">
        <f t="shared" ca="1" si="2"/>
        <v>7497.9537600000003</v>
      </c>
      <c r="CP30" s="410"/>
      <c r="CQ30" s="140"/>
      <c r="CR30" s="833">
        <f t="shared" ca="1" si="3"/>
        <v>7497.9537600000003</v>
      </c>
      <c r="CS30" s="140"/>
      <c r="CT30" s="834">
        <f t="shared" ca="1" si="4"/>
        <v>1</v>
      </c>
      <c r="CU30" s="140"/>
      <c r="CV30" s="835">
        <f t="shared" ca="1" si="5"/>
        <v>2104.4667370644138</v>
      </c>
      <c r="CX30" s="1314"/>
      <c r="CY30" s="123">
        <v>2005</v>
      </c>
      <c r="CZ30" s="140">
        <f t="shared" si="45"/>
        <v>24</v>
      </c>
      <c r="DJ30" s="140"/>
      <c r="DK30" s="741"/>
    </row>
    <row r="31" spans="1:115" s="123" customFormat="1" ht="15" customHeight="1" x14ac:dyDescent="0.5">
      <c r="A31" s="882" t="s">
        <v>246</v>
      </c>
      <c r="C31" s="836">
        <v>2017</v>
      </c>
      <c r="D31" s="520">
        <v>-2</v>
      </c>
      <c r="E31" s="837"/>
      <c r="F31" s="832" t="e">
        <f t="shared" si="1"/>
        <v>#N/A</v>
      </c>
      <c r="G31" s="932">
        <f t="shared" si="6"/>
        <v>2104.4667370644138</v>
      </c>
      <c r="H31" s="946"/>
      <c r="I31" s="450"/>
      <c r="J31" s="140"/>
      <c r="O31" s="412"/>
      <c r="P31" s="412"/>
      <c r="Q31" s="412"/>
      <c r="S31" s="413"/>
      <c r="T31" s="413"/>
      <c r="U31" s="413"/>
      <c r="V31" s="413"/>
      <c r="W31" s="413"/>
      <c r="X31" s="413"/>
      <c r="Y31" s="413"/>
      <c r="Z31" s="413"/>
      <c r="AA31" s="413"/>
      <c r="AB31" s="413"/>
      <c r="AC31" s="413"/>
      <c r="AD31" s="413"/>
      <c r="AE31" s="413"/>
      <c r="AF31" s="413"/>
      <c r="AG31" s="413"/>
      <c r="AH31" s="413"/>
      <c r="AI31" s="413"/>
      <c r="AJ31" s="413"/>
      <c r="AK31" s="413"/>
      <c r="AL31" s="413"/>
      <c r="AM31" s="165">
        <f t="shared" si="40"/>
        <v>2013</v>
      </c>
      <c r="AN31" s="444">
        <f t="shared" si="16"/>
        <v>-1</v>
      </c>
      <c r="AO31" s="867">
        <f t="shared" si="17"/>
        <v>-49.007391763463566</v>
      </c>
      <c r="AP31" s="445">
        <f t="shared" si="18"/>
        <v>1957.4445617740232</v>
      </c>
      <c r="AQ31" s="845">
        <f t="shared" si="19"/>
        <v>1908.4371700105596</v>
      </c>
      <c r="AR31" s="447" t="str">
        <f t="shared" si="20"/>
        <v/>
      </c>
      <c r="AT31" s="165">
        <f t="shared" si="41"/>
        <v>2013</v>
      </c>
      <c r="AU31" s="444">
        <f t="shared" si="21"/>
        <v>-1</v>
      </c>
      <c r="AV31" s="867">
        <f t="shared" ca="1" si="22"/>
        <v>-0.71112666523090207</v>
      </c>
      <c r="AW31" s="867">
        <f t="shared" ca="1" si="23"/>
        <v>-65.209365289357919</v>
      </c>
      <c r="AX31" s="445">
        <f t="shared" ca="1" si="24"/>
        <v>2044.2898732424699</v>
      </c>
      <c r="AY31" s="845">
        <f t="shared" ca="1" si="12"/>
        <v>1978.369381287881</v>
      </c>
      <c r="AZ31" s="846" t="str">
        <f t="shared" si="25"/>
        <v/>
      </c>
      <c r="BB31" s="165">
        <f t="shared" si="42"/>
        <v>2013</v>
      </c>
      <c r="BC31" s="444">
        <f t="shared" si="26"/>
        <v>-1</v>
      </c>
      <c r="BD31" s="867">
        <f t="shared" ca="1" si="27"/>
        <v>-9.544817927170858E-2</v>
      </c>
      <c r="BE31" s="867">
        <f t="shared" ca="1" si="28"/>
        <v>-3.7497899159663817</v>
      </c>
      <c r="BF31" s="867">
        <f t="shared" ca="1" si="29"/>
        <v>-62.168417366946755</v>
      </c>
      <c r="BG31" s="445">
        <f t="shared" ca="1" si="30"/>
        <v>2232.8304621848733</v>
      </c>
      <c r="BH31" s="845">
        <f t="shared" ca="1" si="13"/>
        <v>2166.8168067226884</v>
      </c>
      <c r="BI31" s="846" t="str">
        <f t="shared" si="31"/>
        <v/>
      </c>
      <c r="BK31" s="165">
        <f t="shared" si="43"/>
        <v>2013</v>
      </c>
      <c r="BL31" s="444">
        <f t="shared" si="32"/>
        <v>-1</v>
      </c>
      <c r="BM31" s="867">
        <f t="shared" ca="1" si="33"/>
        <v>1862.9883849899884</v>
      </c>
      <c r="BN31" s="445">
        <f t="shared" ca="1" si="34"/>
        <v>0.97865754787516024</v>
      </c>
      <c r="BO31" s="845">
        <f t="shared" ca="1" si="14"/>
        <v>1823.227644574207</v>
      </c>
      <c r="BP31" s="846" t="str">
        <f t="shared" si="35"/>
        <v/>
      </c>
      <c r="BS31" s="165">
        <f t="shared" si="44"/>
        <v>2013</v>
      </c>
      <c r="BT31" s="444">
        <f t="shared" si="36"/>
        <v>-1</v>
      </c>
      <c r="BU31" s="867">
        <f t="shared" ca="1" si="37"/>
        <v>1.259454340899987</v>
      </c>
      <c r="BV31" s="445">
        <f t="shared" ca="1" si="15"/>
        <v>1.0499621763081148</v>
      </c>
      <c r="BW31" s="845">
        <f t="shared" ca="1" si="38"/>
        <v>1894.6085901041299</v>
      </c>
      <c r="BX31" s="846" t="str">
        <f t="shared" si="39"/>
        <v/>
      </c>
      <c r="CA31" s="164" t="b">
        <f t="shared" si="7"/>
        <v>0</v>
      </c>
      <c r="CB31" s="164" t="str">
        <f t="shared" si="8"/>
        <v/>
      </c>
      <c r="CC31" s="165" t="str">
        <f t="shared" si="9"/>
        <v/>
      </c>
      <c r="CD31" s="436" t="str">
        <f>IFERROR(INDEX($CB$19:$CB$74,_xlfn.AGGREGATE(15,6,(ROW($CB$19:$CB$74)-ROW($CB$19)+1)/($CB$19:$CB$74&lt;&gt;""),ROWS($CD$1:CD13))),"")</f>
        <v/>
      </c>
      <c r="CE31" s="437" t="str">
        <f>IFERROR(INDEX($CC$19:$CC$74,_xlfn.AGGREGATE(15,6,(ROW($CC$19:$CC$74)-ROW($CC$19)+1)/($CC$19:$CC$74&lt;&gt;""),ROWS($CE$1:CE13))),"")</f>
        <v/>
      </c>
      <c r="CF31" s="437" t="str">
        <f t="shared" si="10"/>
        <v/>
      </c>
      <c r="CG31" s="164"/>
      <c r="CH31" s="165"/>
      <c r="CK31" s="164">
        <f t="shared" si="11"/>
        <v>2018</v>
      </c>
      <c r="CL31" s="740">
        <f t="shared" si="0"/>
        <v>2153.4741288278774</v>
      </c>
      <c r="CO31" s="833">
        <f t="shared" ca="1" si="2"/>
        <v>7579.6048529999998</v>
      </c>
      <c r="CP31" s="410"/>
      <c r="CQ31" s="140"/>
      <c r="CR31" s="833">
        <f t="shared" ca="1" si="3"/>
        <v>7579.6048529999998</v>
      </c>
      <c r="CS31" s="140"/>
      <c r="CT31" s="834">
        <f t="shared" ca="1" si="4"/>
        <v>1</v>
      </c>
      <c r="CU31" s="140"/>
      <c r="CV31" s="835">
        <f t="shared" ca="1" si="5"/>
        <v>2153.4741288278774</v>
      </c>
      <c r="CY31" s="123">
        <v>2010</v>
      </c>
      <c r="CZ31" s="140">
        <f t="shared" si="45"/>
        <v>36</v>
      </c>
      <c r="DJ31" s="140"/>
      <c r="DK31" s="741"/>
    </row>
    <row r="32" spans="1:115" s="123" customFormat="1" ht="15" customHeight="1" x14ac:dyDescent="0.5">
      <c r="A32" s="854" t="s">
        <v>722</v>
      </c>
      <c r="C32" s="836">
        <v>2018</v>
      </c>
      <c r="D32" s="520">
        <v>-1</v>
      </c>
      <c r="E32" s="837"/>
      <c r="F32" s="832" t="e">
        <f t="shared" si="1"/>
        <v>#N/A</v>
      </c>
      <c r="G32" s="932">
        <f t="shared" si="6"/>
        <v>2153.4741288278774</v>
      </c>
      <c r="H32" s="946"/>
      <c r="I32" s="450"/>
      <c r="J32" s="140"/>
      <c r="O32" s="412"/>
      <c r="P32" s="412"/>
      <c r="Q32" s="412"/>
      <c r="S32" s="413"/>
      <c r="T32" s="413"/>
      <c r="U32" s="413"/>
      <c r="V32" s="413"/>
      <c r="W32" s="413"/>
      <c r="X32" s="413"/>
      <c r="Y32" s="413"/>
      <c r="Z32" s="413"/>
      <c r="AA32" s="413"/>
      <c r="AB32" s="413"/>
      <c r="AC32" s="413"/>
      <c r="AD32" s="413"/>
      <c r="AE32" s="413"/>
      <c r="AF32" s="413"/>
      <c r="AG32" s="413"/>
      <c r="AH32" s="413"/>
      <c r="AI32" s="413"/>
      <c r="AJ32" s="413"/>
      <c r="AK32" s="413"/>
      <c r="AL32" s="413"/>
      <c r="AM32" s="165">
        <f t="shared" si="40"/>
        <v>2014</v>
      </c>
      <c r="AN32" s="444">
        <f t="shared" si="16"/>
        <v>0</v>
      </c>
      <c r="AO32" s="867">
        <f t="shared" si="17"/>
        <v>0</v>
      </c>
      <c r="AP32" s="445">
        <f t="shared" si="18"/>
        <v>1957.4445617740232</v>
      </c>
      <c r="AQ32" s="845">
        <f t="shared" si="19"/>
        <v>1957.4445617740232</v>
      </c>
      <c r="AR32" s="447" t="str">
        <f t="shared" si="20"/>
        <v/>
      </c>
      <c r="AT32" s="165">
        <f t="shared" si="41"/>
        <v>2014</v>
      </c>
      <c r="AU32" s="444">
        <f t="shared" si="21"/>
        <v>0</v>
      </c>
      <c r="AV32" s="867">
        <f t="shared" ca="1" si="22"/>
        <v>0</v>
      </c>
      <c r="AW32" s="867">
        <f t="shared" ca="1" si="23"/>
        <v>0</v>
      </c>
      <c r="AX32" s="445">
        <f t="shared" ca="1" si="24"/>
        <v>2044.2898732424699</v>
      </c>
      <c r="AY32" s="845">
        <f t="shared" ca="1" si="12"/>
        <v>2044.2898732424699</v>
      </c>
      <c r="AZ32" s="846" t="str">
        <f t="shared" si="25"/>
        <v/>
      </c>
      <c r="BB32" s="165">
        <f t="shared" si="42"/>
        <v>2014</v>
      </c>
      <c r="BC32" s="444">
        <f t="shared" si="26"/>
        <v>0</v>
      </c>
      <c r="BD32" s="867">
        <f t="shared" ca="1" si="27"/>
        <v>0</v>
      </c>
      <c r="BE32" s="867">
        <f t="shared" ca="1" si="28"/>
        <v>0</v>
      </c>
      <c r="BF32" s="867">
        <f t="shared" ca="1" si="29"/>
        <v>0</v>
      </c>
      <c r="BG32" s="445">
        <f t="shared" ca="1" si="30"/>
        <v>2232.8304621848733</v>
      </c>
      <c r="BH32" s="845">
        <f t="shared" ca="1" si="13"/>
        <v>2232.8304621848733</v>
      </c>
      <c r="BI32" s="846" t="str">
        <f t="shared" si="31"/>
        <v/>
      </c>
      <c r="BK32" s="165">
        <f t="shared" si="43"/>
        <v>2014</v>
      </c>
      <c r="BL32" s="444">
        <f t="shared" si="32"/>
        <v>0</v>
      </c>
      <c r="BM32" s="867">
        <f t="shared" ca="1" si="33"/>
        <v>1862.9883849899884</v>
      </c>
      <c r="BN32" s="445">
        <f t="shared" ca="1" si="34"/>
        <v>1</v>
      </c>
      <c r="BO32" s="845">
        <f t="shared" ca="1" si="14"/>
        <v>1862.9883849899884</v>
      </c>
      <c r="BP32" s="846" t="str">
        <f t="shared" si="35"/>
        <v/>
      </c>
      <c r="BS32" s="165">
        <f t="shared" si="44"/>
        <v>2014</v>
      </c>
      <c r="BT32" s="444">
        <f t="shared" si="36"/>
        <v>0</v>
      </c>
      <c r="BU32" s="867">
        <f t="shared" ca="1" si="37"/>
        <v>1.259454340899987</v>
      </c>
      <c r="BV32" s="445">
        <f t="shared" ca="1" si="15"/>
        <v>1</v>
      </c>
      <c r="BW32" s="845">
        <f t="shared" ca="1" si="38"/>
        <v>1947.37283261382</v>
      </c>
      <c r="BX32" s="846" t="str">
        <f t="shared" si="39"/>
        <v/>
      </c>
      <c r="CA32" s="164" t="b">
        <f t="shared" si="7"/>
        <v>0</v>
      </c>
      <c r="CB32" s="164" t="str">
        <f t="shared" si="8"/>
        <v/>
      </c>
      <c r="CC32" s="165" t="str">
        <f t="shared" si="9"/>
        <v/>
      </c>
      <c r="CD32" s="436" t="str">
        <f>IFERROR(INDEX($CB$19:$CB$74,_xlfn.AGGREGATE(15,6,(ROW($CB$19:$CB$74)-ROW($CB$19)+1)/($CB$19:$CB$74&lt;&gt;""),ROWS($CD$1:CD14))),"")</f>
        <v/>
      </c>
      <c r="CE32" s="437" t="str">
        <f>IFERROR(INDEX($CC$19:$CC$74,_xlfn.AGGREGATE(15,6,(ROW($CC$19:$CC$74)-ROW($CC$19)+1)/($CC$19:$CC$74&lt;&gt;""),ROWS($CE$1:CE14))),"")</f>
        <v/>
      </c>
      <c r="CF32" s="437" t="str">
        <f t="shared" si="10"/>
        <v/>
      </c>
      <c r="CG32" s="164"/>
      <c r="CH32" s="165"/>
      <c r="CK32" s="164">
        <f t="shared" si="11"/>
        <v>2019</v>
      </c>
      <c r="CL32" s="740">
        <f t="shared" si="0"/>
        <v>2202.481520591341</v>
      </c>
      <c r="CO32" s="833">
        <f t="shared" ca="1" si="2"/>
        <v>7660.3638009999995</v>
      </c>
      <c r="CP32" s="410"/>
      <c r="CQ32" s="140"/>
      <c r="CR32" s="833">
        <f t="shared" ca="1" si="3"/>
        <v>7660.3638009999995</v>
      </c>
      <c r="CS32" s="140"/>
      <c r="CT32" s="834">
        <f t="shared" ca="1" si="4"/>
        <v>1</v>
      </c>
      <c r="CU32" s="140"/>
      <c r="CV32" s="835">
        <f t="shared" ca="1" si="5"/>
        <v>2202.481520591341</v>
      </c>
      <c r="CY32" s="123">
        <v>2012</v>
      </c>
      <c r="CZ32" s="140">
        <f t="shared" si="45"/>
        <v>48</v>
      </c>
      <c r="DJ32" s="140"/>
      <c r="DK32" s="741"/>
    </row>
    <row r="33" spans="1:115" s="743" customFormat="1" ht="15" customHeight="1" x14ac:dyDescent="0.5">
      <c r="A33" s="742"/>
      <c r="C33" s="836">
        <v>2019</v>
      </c>
      <c r="D33" s="520">
        <v>0</v>
      </c>
      <c r="E33" s="837"/>
      <c r="F33" s="832" t="e">
        <f t="shared" si="1"/>
        <v>#N/A</v>
      </c>
      <c r="G33" s="932">
        <f t="shared" si="6"/>
        <v>2202.481520591341</v>
      </c>
      <c r="H33" s="946"/>
      <c r="I33" s="410"/>
      <c r="J33" s="140"/>
      <c r="K33" s="123"/>
      <c r="L33" s="123"/>
      <c r="M33" s="123"/>
      <c r="N33" s="123"/>
      <c r="O33" s="412"/>
      <c r="P33" s="412"/>
      <c r="Q33" s="412"/>
      <c r="S33" s="413"/>
      <c r="T33" s="413"/>
      <c r="U33" s="413"/>
      <c r="V33" s="413"/>
      <c r="W33" s="413"/>
      <c r="X33" s="413"/>
      <c r="Y33" s="413"/>
      <c r="Z33" s="413"/>
      <c r="AA33" s="413"/>
      <c r="AB33" s="413"/>
      <c r="AC33" s="413"/>
      <c r="AD33" s="413"/>
      <c r="AE33" s="413"/>
      <c r="AF33" s="413"/>
      <c r="AG33" s="413"/>
      <c r="AH33" s="413"/>
      <c r="AI33" s="413"/>
      <c r="AJ33" s="413"/>
      <c r="AK33" s="413"/>
      <c r="AL33" s="413"/>
      <c r="AM33" s="165">
        <f t="shared" si="40"/>
        <v>2015</v>
      </c>
      <c r="AN33" s="444">
        <f t="shared" si="16"/>
        <v>1</v>
      </c>
      <c r="AO33" s="867">
        <f t="shared" si="17"/>
        <v>49.007391763463566</v>
      </c>
      <c r="AP33" s="445">
        <f t="shared" si="18"/>
        <v>1957.4445617740232</v>
      </c>
      <c r="AQ33" s="845">
        <f t="shared" si="19"/>
        <v>2006.4519535374868</v>
      </c>
      <c r="AR33" s="447" t="str">
        <f t="shared" si="20"/>
        <v/>
      </c>
      <c r="AT33" s="165">
        <f t="shared" si="41"/>
        <v>2015</v>
      </c>
      <c r="AU33" s="444">
        <f t="shared" si="21"/>
        <v>1</v>
      </c>
      <c r="AV33" s="867">
        <f t="shared" ca="1" si="22"/>
        <v>-0.71112666523090207</v>
      </c>
      <c r="AW33" s="867">
        <f t="shared" ca="1" si="23"/>
        <v>65.209365289357919</v>
      </c>
      <c r="AX33" s="445">
        <f t="shared" ca="1" si="24"/>
        <v>2044.2898732424699</v>
      </c>
      <c r="AY33" s="845">
        <f t="shared" ca="1" si="12"/>
        <v>2108.7881118665969</v>
      </c>
      <c r="AZ33" s="846" t="str">
        <f t="shared" si="25"/>
        <v/>
      </c>
      <c r="BB33" s="165">
        <f t="shared" si="42"/>
        <v>2015</v>
      </c>
      <c r="BC33" s="444">
        <f t="shared" si="26"/>
        <v>1</v>
      </c>
      <c r="BD33" s="867">
        <f t="shared" ca="1" si="27"/>
        <v>9.544817927170858E-2</v>
      </c>
      <c r="BE33" s="867">
        <f t="shared" ca="1" si="28"/>
        <v>-3.7497899159663817</v>
      </c>
      <c r="BF33" s="867">
        <f t="shared" ca="1" si="29"/>
        <v>62.168417366946755</v>
      </c>
      <c r="BG33" s="445">
        <f t="shared" ca="1" si="30"/>
        <v>2232.8304621848733</v>
      </c>
      <c r="BH33" s="845">
        <f t="shared" ca="1" si="13"/>
        <v>2291.3445378151255</v>
      </c>
      <c r="BI33" s="846" t="str">
        <f t="shared" si="31"/>
        <v/>
      </c>
      <c r="BK33" s="165">
        <f t="shared" si="43"/>
        <v>2015</v>
      </c>
      <c r="BL33" s="444">
        <f t="shared" si="32"/>
        <v>1</v>
      </c>
      <c r="BM33" s="867">
        <f t="shared" ca="1" si="33"/>
        <v>1862.9883849899884</v>
      </c>
      <c r="BN33" s="445">
        <f t="shared" ca="1" si="34"/>
        <v>1.0218078858852906</v>
      </c>
      <c r="BO33" s="845">
        <f t="shared" ca="1" si="14"/>
        <v>1903.6162230954719</v>
      </c>
      <c r="BP33" s="846" t="str">
        <f t="shared" si="35"/>
        <v/>
      </c>
      <c r="BS33" s="165">
        <f t="shared" si="44"/>
        <v>2015</v>
      </c>
      <c r="BT33" s="444">
        <f t="shared" si="36"/>
        <v>1</v>
      </c>
      <c r="BU33" s="867">
        <f t="shared" ca="1" si="37"/>
        <v>1.259454340899987</v>
      </c>
      <c r="BV33" s="445">
        <f t="shared" ca="1" si="15"/>
        <v>0.95241526082035433</v>
      </c>
      <c r="BW33" s="845">
        <f t="shared" ca="1" si="38"/>
        <v>2000.4332442121402</v>
      </c>
      <c r="BX33" s="846" t="str">
        <f t="shared" si="39"/>
        <v/>
      </c>
      <c r="CA33" s="164" t="b">
        <f t="shared" si="7"/>
        <v>0</v>
      </c>
      <c r="CB33" s="164" t="str">
        <f t="shared" si="8"/>
        <v/>
      </c>
      <c r="CC33" s="165" t="str">
        <f t="shared" si="9"/>
        <v/>
      </c>
      <c r="CD33" s="436" t="str">
        <f>IFERROR(INDEX($CB$19:$CB$74,_xlfn.AGGREGATE(15,6,(ROW($CB$19:$CB$74)-ROW($CB$19)+1)/($CB$19:$CB$74&lt;&gt;""),ROWS($CD$1:CD15))),"")</f>
        <v/>
      </c>
      <c r="CE33" s="437" t="str">
        <f>IFERROR(INDEX($CC$19:$CC$74,_xlfn.AGGREGATE(15,6,(ROW($CC$19:$CC$74)-ROW($CC$19)+1)/($CC$19:$CC$74&lt;&gt;""),ROWS($CE$1:CE15))),"")</f>
        <v/>
      </c>
      <c r="CF33" s="437" t="str">
        <f t="shared" si="10"/>
        <v/>
      </c>
      <c r="CG33" s="164"/>
      <c r="CH33" s="165"/>
      <c r="CK33" s="164">
        <f t="shared" si="11"/>
        <v>2020</v>
      </c>
      <c r="CL33" s="740">
        <f t="shared" si="0"/>
        <v>2251.4889123548046</v>
      </c>
      <c r="CN33" s="123"/>
      <c r="CO33" s="833">
        <f t="shared" ca="1" si="2"/>
        <v>7740.1055400000014</v>
      </c>
      <c r="CP33" s="410"/>
      <c r="CQ33" s="140"/>
      <c r="CR33" s="833">
        <f t="shared" ca="1" si="3"/>
        <v>7740.1055400000014</v>
      </c>
      <c r="CS33" s="140"/>
      <c r="CT33" s="834">
        <f t="shared" ca="1" si="4"/>
        <v>1</v>
      </c>
      <c r="CU33" s="140"/>
      <c r="CV33" s="835">
        <f t="shared" ca="1" si="5"/>
        <v>2251.4889123548046</v>
      </c>
      <c r="CY33" s="123">
        <v>2014</v>
      </c>
      <c r="CZ33" s="140">
        <f t="shared" si="45"/>
        <v>60</v>
      </c>
      <c r="DJ33" s="140"/>
      <c r="DK33" s="741"/>
    </row>
    <row r="34" spans="1:115" s="123" customFormat="1" ht="15" customHeight="1" x14ac:dyDescent="0.5">
      <c r="A34" s="1315" t="str">
        <f>IF(A17&lt;&gt;"GDP",CONCATENATE("6.Type Multiplier to get to Functional Unit"),"6.Type Multiplier")</f>
        <v>6.Type Multiplier to get to Functional Unit</v>
      </c>
      <c r="C34" s="836">
        <v>2020</v>
      </c>
      <c r="D34" s="520">
        <v>1</v>
      </c>
      <c r="E34" s="837"/>
      <c r="F34" s="832" t="e">
        <f t="shared" si="1"/>
        <v>#N/A</v>
      </c>
      <c r="G34" s="932">
        <f t="shared" si="6"/>
        <v>2251.4889123548046</v>
      </c>
      <c r="H34" s="946"/>
      <c r="I34" s="410"/>
      <c r="O34" s="412"/>
      <c r="P34" s="412"/>
      <c r="Q34" s="412"/>
      <c r="S34" s="451"/>
      <c r="T34" s="451"/>
      <c r="U34" s="451"/>
      <c r="V34" s="451"/>
      <c r="W34" s="451"/>
      <c r="X34" s="451"/>
      <c r="Y34" s="451"/>
      <c r="Z34" s="451"/>
      <c r="AA34" s="451"/>
      <c r="AB34" s="451"/>
      <c r="AC34" s="451"/>
      <c r="AD34" s="451"/>
      <c r="AE34" s="451"/>
      <c r="AF34" s="451"/>
      <c r="AG34" s="451"/>
      <c r="AH34" s="451"/>
      <c r="AI34" s="413"/>
      <c r="AJ34" s="413"/>
      <c r="AK34" s="413"/>
      <c r="AL34" s="451"/>
      <c r="AM34" s="165">
        <f t="shared" si="40"/>
        <v>2016</v>
      </c>
      <c r="AN34" s="444">
        <f t="shared" si="16"/>
        <v>2</v>
      </c>
      <c r="AO34" s="867">
        <f t="shared" si="17"/>
        <v>98.014783526927133</v>
      </c>
      <c r="AP34" s="445">
        <f t="shared" si="18"/>
        <v>1957.4445617740232</v>
      </c>
      <c r="AQ34" s="845">
        <f t="shared" si="19"/>
        <v>2055.4593453009502</v>
      </c>
      <c r="AR34" s="447" t="str">
        <f t="shared" si="20"/>
        <v/>
      </c>
      <c r="AT34" s="165">
        <f t="shared" si="41"/>
        <v>2016</v>
      </c>
      <c r="AU34" s="444">
        <f t="shared" si="21"/>
        <v>2</v>
      </c>
      <c r="AV34" s="867">
        <f t="shared" ca="1" si="22"/>
        <v>-2.8445066609236083</v>
      </c>
      <c r="AW34" s="867">
        <f t="shared" ca="1" si="23"/>
        <v>130.41873057871584</v>
      </c>
      <c r="AX34" s="445">
        <f t="shared" ca="1" si="24"/>
        <v>2044.2898732424699</v>
      </c>
      <c r="AY34" s="845">
        <f t="shared" ca="1" si="12"/>
        <v>2171.8640971602622</v>
      </c>
      <c r="AZ34" s="846" t="str">
        <f t="shared" si="25"/>
        <v/>
      </c>
      <c r="BB34" s="165">
        <f t="shared" si="42"/>
        <v>2016</v>
      </c>
      <c r="BC34" s="444">
        <f t="shared" si="26"/>
        <v>2</v>
      </c>
      <c r="BD34" s="867">
        <f t="shared" ca="1" si="27"/>
        <v>0.76358543417366864</v>
      </c>
      <c r="BE34" s="867">
        <f t="shared" ca="1" si="28"/>
        <v>-14.999159663865527</v>
      </c>
      <c r="BF34" s="867">
        <f t="shared" ca="1" si="29"/>
        <v>124.33683473389351</v>
      </c>
      <c r="BG34" s="445">
        <f t="shared" ca="1" si="30"/>
        <v>2232.8304621848733</v>
      </c>
      <c r="BH34" s="845">
        <f t="shared" ca="1" si="13"/>
        <v>2342.9317226890748</v>
      </c>
      <c r="BI34" s="846" t="str">
        <f t="shared" si="31"/>
        <v/>
      </c>
      <c r="BK34" s="165">
        <f t="shared" si="43"/>
        <v>2016</v>
      </c>
      <c r="BL34" s="444">
        <f t="shared" si="32"/>
        <v>2</v>
      </c>
      <c r="BM34" s="867">
        <f t="shared" ca="1" si="33"/>
        <v>1862.9883849899884</v>
      </c>
      <c r="BN34" s="445">
        <f t="shared" ca="1" si="34"/>
        <v>1.0440913556573668</v>
      </c>
      <c r="BO34" s="845">
        <f t="shared" ca="1" si="14"/>
        <v>1945.1300684581254</v>
      </c>
      <c r="BP34" s="846" t="str">
        <f t="shared" si="35"/>
        <v/>
      </c>
      <c r="BS34" s="165">
        <f t="shared" si="44"/>
        <v>2016</v>
      </c>
      <c r="BT34" s="444">
        <f t="shared" si="36"/>
        <v>2</v>
      </c>
      <c r="BU34" s="867">
        <f t="shared" ca="1" si="37"/>
        <v>1.259454340899987</v>
      </c>
      <c r="BV34" s="445">
        <f t="shared" ca="1" si="15"/>
        <v>0.90709482904350336</v>
      </c>
      <c r="BW34" s="845">
        <f t="shared" ca="1" si="38"/>
        <v>2053.7287938284362</v>
      </c>
      <c r="BX34" s="846">
        <f t="shared" ca="1" si="39"/>
        <v>2053.7287938284362</v>
      </c>
      <c r="CA34" s="164" t="b">
        <f t="shared" si="7"/>
        <v>0</v>
      </c>
      <c r="CB34" s="164" t="str">
        <f t="shared" si="8"/>
        <v/>
      </c>
      <c r="CC34" s="165" t="str">
        <f t="shared" si="9"/>
        <v/>
      </c>
      <c r="CD34" s="436" t="str">
        <f>IFERROR(INDEX($CB$19:$CB$74,_xlfn.AGGREGATE(15,6,(ROW($CB$19:$CB$74)-ROW($CB$19)+1)/($CB$19:$CB$74&lt;&gt;""),ROWS($CD$1:CD16))),"")</f>
        <v/>
      </c>
      <c r="CE34" s="437" t="str">
        <f>IFERROR(INDEX($CC$19:$CC$74,_xlfn.AGGREGATE(15,6,(ROW($CC$19:$CC$74)-ROW($CC$19)+1)/($CC$19:$CC$74&lt;&gt;""),ROWS($CE$1:CE16))),"")</f>
        <v/>
      </c>
      <c r="CF34" s="437" t="str">
        <f t="shared" si="10"/>
        <v/>
      </c>
      <c r="CG34" s="164"/>
      <c r="CH34" s="165"/>
      <c r="CK34" s="164">
        <f t="shared" si="11"/>
        <v>2021</v>
      </c>
      <c r="CL34" s="740">
        <f t="shared" si="0"/>
        <v>2300.4963041182682</v>
      </c>
      <c r="CO34" s="833">
        <f t="shared" ca="1" si="2"/>
        <v>7818.7371540000004</v>
      </c>
      <c r="CP34" s="410"/>
      <c r="CQ34" s="140"/>
      <c r="CR34" s="833">
        <f t="shared" ca="1" si="3"/>
        <v>7818.7371540000004</v>
      </c>
      <c r="CS34" s="140"/>
      <c r="CT34" s="834">
        <f t="shared" ca="1" si="4"/>
        <v>1</v>
      </c>
      <c r="CU34" s="140"/>
      <c r="CV34" s="835">
        <f t="shared" ca="1" si="5"/>
        <v>2300.4963041182682</v>
      </c>
      <c r="CY34" s="123">
        <v>2015</v>
      </c>
      <c r="CZ34" s="140">
        <f t="shared" si="45"/>
        <v>72</v>
      </c>
      <c r="DJ34" s="140"/>
      <c r="DK34" s="741"/>
    </row>
    <row r="35" spans="1:115" s="123" customFormat="1" ht="15" customHeight="1" x14ac:dyDescent="0.5">
      <c r="A35" s="1315"/>
      <c r="C35" s="836">
        <v>2021</v>
      </c>
      <c r="D35" s="520">
        <v>2</v>
      </c>
      <c r="E35" s="837"/>
      <c r="F35" s="832" t="e">
        <f t="shared" si="1"/>
        <v>#N/A</v>
      </c>
      <c r="G35" s="932">
        <f t="shared" si="6"/>
        <v>2300.4963041182682</v>
      </c>
      <c r="H35" s="946"/>
      <c r="I35" s="410"/>
      <c r="O35" s="412"/>
      <c r="P35" s="412"/>
      <c r="Q35" s="412"/>
      <c r="S35" s="452"/>
      <c r="T35" s="452"/>
      <c r="U35" s="452"/>
      <c r="V35" s="452"/>
      <c r="W35" s="452"/>
      <c r="X35" s="452"/>
      <c r="Y35" s="452"/>
      <c r="Z35" s="452"/>
      <c r="AA35" s="452"/>
      <c r="AB35" s="452"/>
      <c r="AC35" s="452"/>
      <c r="AD35" s="452"/>
      <c r="AE35" s="452"/>
      <c r="AF35" s="452"/>
      <c r="AG35" s="452"/>
      <c r="AH35" s="452"/>
      <c r="AI35" s="413"/>
      <c r="AJ35" s="413"/>
      <c r="AK35" s="413"/>
      <c r="AL35" s="452"/>
      <c r="AM35" s="165">
        <f t="shared" si="40"/>
        <v>2017</v>
      </c>
      <c r="AN35" s="444">
        <f t="shared" si="16"/>
        <v>3</v>
      </c>
      <c r="AO35" s="867">
        <f t="shared" si="17"/>
        <v>147.02217529039069</v>
      </c>
      <c r="AP35" s="445">
        <f t="shared" si="18"/>
        <v>1957.4445617740232</v>
      </c>
      <c r="AQ35" s="845">
        <f t="shared" si="19"/>
        <v>2104.4667370644138</v>
      </c>
      <c r="AR35" s="447" t="str">
        <f t="shared" si="20"/>
        <v/>
      </c>
      <c r="AT35" s="165">
        <f t="shared" si="41"/>
        <v>2017</v>
      </c>
      <c r="AU35" s="444">
        <f t="shared" si="21"/>
        <v>3</v>
      </c>
      <c r="AV35" s="867">
        <f t="shared" ca="1" si="22"/>
        <v>-6.4001399870781182</v>
      </c>
      <c r="AW35" s="867">
        <f t="shared" ca="1" si="23"/>
        <v>195.62809586807376</v>
      </c>
      <c r="AX35" s="445">
        <f t="shared" ca="1" si="24"/>
        <v>2044.2898732424699</v>
      </c>
      <c r="AY35" s="845">
        <f t="shared" ca="1" si="12"/>
        <v>2233.5178291234656</v>
      </c>
      <c r="AZ35" s="846" t="str">
        <f t="shared" si="25"/>
        <v/>
      </c>
      <c r="BB35" s="165">
        <f t="shared" si="42"/>
        <v>2017</v>
      </c>
      <c r="BC35" s="444">
        <f t="shared" si="26"/>
        <v>3</v>
      </c>
      <c r="BD35" s="867">
        <f t="shared" ca="1" si="27"/>
        <v>2.5771008403361315</v>
      </c>
      <c r="BE35" s="867">
        <f t="shared" ca="1" si="28"/>
        <v>-33.748109243697435</v>
      </c>
      <c r="BF35" s="867">
        <f t="shared" ca="1" si="29"/>
        <v>186.50525210084027</v>
      </c>
      <c r="BG35" s="445">
        <f t="shared" ca="1" si="30"/>
        <v>2232.8304621848733</v>
      </c>
      <c r="BH35" s="845">
        <f t="shared" ca="1" si="13"/>
        <v>2388.1647058823523</v>
      </c>
      <c r="BI35" s="846" t="str">
        <f t="shared" si="31"/>
        <v/>
      </c>
      <c r="BK35" s="165">
        <f t="shared" si="43"/>
        <v>2017</v>
      </c>
      <c r="BL35" s="444">
        <f t="shared" si="32"/>
        <v>3</v>
      </c>
      <c r="BM35" s="867">
        <f t="shared" ca="1" si="33"/>
        <v>1862.9883849899884</v>
      </c>
      <c r="BN35" s="445">
        <f t="shared" ca="1" si="34"/>
        <v>1.066860780795361</v>
      </c>
      <c r="BO35" s="845">
        <f t="shared" ca="1" si="14"/>
        <v>1987.5492430231075</v>
      </c>
      <c r="BP35" s="846" t="str">
        <f t="shared" si="35"/>
        <v/>
      </c>
      <c r="BS35" s="165">
        <f t="shared" si="44"/>
        <v>2017</v>
      </c>
      <c r="BT35" s="444">
        <f t="shared" si="36"/>
        <v>3</v>
      </c>
      <c r="BU35" s="867">
        <f t="shared" ca="1" si="37"/>
        <v>1.259454340899987</v>
      </c>
      <c r="BV35" s="445">
        <f t="shared" ca="1" si="15"/>
        <v>0.86393095819226307</v>
      </c>
      <c r="BW35" s="845">
        <f t="shared" ca="1" si="38"/>
        <v>2107.1973477533516</v>
      </c>
      <c r="BX35" s="846" t="str">
        <f t="shared" si="39"/>
        <v/>
      </c>
      <c r="CA35" s="164" t="b">
        <f t="shared" si="7"/>
        <v>0</v>
      </c>
      <c r="CB35" s="164" t="str">
        <f t="shared" si="8"/>
        <v/>
      </c>
      <c r="CC35" s="165" t="str">
        <f t="shared" si="9"/>
        <v/>
      </c>
      <c r="CD35" s="436" t="str">
        <f>IFERROR(INDEX($CB$19:$CB$74,_xlfn.AGGREGATE(15,6,(ROW($CB$19:$CB$74)-ROW($CB$19)+1)/($CB$19:$CB$74&lt;&gt;""),ROWS($CD$1:CD17))),"")</f>
        <v/>
      </c>
      <c r="CE35" s="437" t="str">
        <f>IFERROR(INDEX($CC$19:$CC$74,_xlfn.AGGREGATE(15,6,(ROW($CC$19:$CC$74)-ROW($CC$19)+1)/($CC$19:$CC$74&lt;&gt;""),ROWS($CE$1:CE17))),"")</f>
        <v/>
      </c>
      <c r="CF35" s="437" t="str">
        <f t="shared" si="10"/>
        <v/>
      </c>
      <c r="CG35" s="164"/>
      <c r="CH35" s="165"/>
      <c r="CK35" s="164">
        <f t="shared" si="11"/>
        <v>2022</v>
      </c>
      <c r="CL35" s="740">
        <f t="shared" si="0"/>
        <v>2349.5036958817318</v>
      </c>
      <c r="CO35" s="833">
        <f t="shared" ca="1" si="2"/>
        <v>7896.2329920000011</v>
      </c>
      <c r="CP35" s="410"/>
      <c r="CQ35" s="140"/>
      <c r="CR35" s="833">
        <f t="shared" ca="1" si="3"/>
        <v>7896.2329920000011</v>
      </c>
      <c r="CS35" s="140"/>
      <c r="CT35" s="834">
        <f t="shared" ca="1" si="4"/>
        <v>1</v>
      </c>
      <c r="CU35" s="140"/>
      <c r="CV35" s="835">
        <f t="shared" ca="1" si="5"/>
        <v>2349.5036958817318</v>
      </c>
      <c r="DJ35" s="140"/>
      <c r="DK35" s="741"/>
    </row>
    <row r="36" spans="1:115" s="123" customFormat="1" ht="14.1" x14ac:dyDescent="0.5">
      <c r="A36" s="1316"/>
      <c r="C36" s="836">
        <v>2022</v>
      </c>
      <c r="D36" s="520">
        <v>3</v>
      </c>
      <c r="E36" s="837"/>
      <c r="F36" s="832" t="e">
        <f t="shared" si="1"/>
        <v>#N/A</v>
      </c>
      <c r="G36" s="932">
        <f t="shared" si="6"/>
        <v>2349.5036958817318</v>
      </c>
      <c r="H36" s="946"/>
      <c r="I36" s="410"/>
      <c r="O36" s="412"/>
      <c r="P36" s="412"/>
      <c r="Q36" s="412"/>
      <c r="S36" s="451"/>
      <c r="T36" s="451"/>
      <c r="U36" s="451"/>
      <c r="V36" s="451"/>
      <c r="W36" s="451"/>
      <c r="X36" s="451"/>
      <c r="Y36" s="451"/>
      <c r="Z36" s="451"/>
      <c r="AA36" s="451"/>
      <c r="AB36" s="451"/>
      <c r="AC36" s="451"/>
      <c r="AD36" s="451"/>
      <c r="AE36" s="451"/>
      <c r="AF36" s="451"/>
      <c r="AG36" s="451"/>
      <c r="AH36" s="451"/>
      <c r="AI36" s="413"/>
      <c r="AJ36" s="413"/>
      <c r="AK36" s="413"/>
      <c r="AL36" s="451"/>
      <c r="AM36" s="165">
        <f t="shared" si="40"/>
        <v>2018</v>
      </c>
      <c r="AN36" s="444">
        <f t="shared" si="16"/>
        <v>4</v>
      </c>
      <c r="AO36" s="867">
        <f t="shared" si="17"/>
        <v>196.02956705385427</v>
      </c>
      <c r="AP36" s="445">
        <f t="shared" si="18"/>
        <v>1957.4445617740232</v>
      </c>
      <c r="AQ36" s="845">
        <f t="shared" si="19"/>
        <v>2153.4741288278774</v>
      </c>
      <c r="AR36" s="447" t="str">
        <f t="shared" si="20"/>
        <v/>
      </c>
      <c r="AT36" s="165">
        <f t="shared" si="41"/>
        <v>2018</v>
      </c>
      <c r="AU36" s="444">
        <f t="shared" si="21"/>
        <v>4</v>
      </c>
      <c r="AV36" s="867">
        <f t="shared" ca="1" si="22"/>
        <v>-11.378026643694433</v>
      </c>
      <c r="AW36" s="867">
        <f t="shared" ca="1" si="23"/>
        <v>260.83746115743168</v>
      </c>
      <c r="AX36" s="445">
        <f t="shared" ca="1" si="24"/>
        <v>2044.2898732424699</v>
      </c>
      <c r="AY36" s="845">
        <f t="shared" ca="1" si="12"/>
        <v>2293.7493077562071</v>
      </c>
      <c r="AZ36" s="846" t="str">
        <f t="shared" si="25"/>
        <v/>
      </c>
      <c r="BB36" s="165">
        <f t="shared" si="42"/>
        <v>2018</v>
      </c>
      <c r="BC36" s="444">
        <f t="shared" si="26"/>
        <v>4</v>
      </c>
      <c r="BD36" s="867">
        <f t="shared" ca="1" si="27"/>
        <v>6.1086834733893491</v>
      </c>
      <c r="BE36" s="867">
        <f t="shared" ca="1" si="28"/>
        <v>-59.996638655462107</v>
      </c>
      <c r="BF36" s="867">
        <f t="shared" ca="1" si="29"/>
        <v>248.67366946778702</v>
      </c>
      <c r="BG36" s="445">
        <f t="shared" ca="1" si="30"/>
        <v>2232.8304621848733</v>
      </c>
      <c r="BH36" s="845">
        <f t="shared" ca="1" si="13"/>
        <v>2427.6161764705876</v>
      </c>
      <c r="BI36" s="846" t="str">
        <f t="shared" si="31"/>
        <v/>
      </c>
      <c r="BK36" s="165">
        <f t="shared" si="43"/>
        <v>2018</v>
      </c>
      <c r="BL36" s="444">
        <f t="shared" si="32"/>
        <v>4</v>
      </c>
      <c r="BM36" s="867">
        <f t="shared" ca="1" si="33"/>
        <v>1862.9883849899884</v>
      </c>
      <c r="BN36" s="445">
        <f t="shared" ca="1" si="34"/>
        <v>1.0901267589584382</v>
      </c>
      <c r="BO36" s="845">
        <f t="shared" ca="1" si="14"/>
        <v>2030.8934901063512</v>
      </c>
      <c r="BP36" s="846" t="str">
        <f t="shared" si="35"/>
        <v/>
      </c>
      <c r="BS36" s="165">
        <f t="shared" si="44"/>
        <v>2018</v>
      </c>
      <c r="BT36" s="444">
        <f t="shared" si="36"/>
        <v>4</v>
      </c>
      <c r="BU36" s="867">
        <f t="shared" ca="1" si="37"/>
        <v>1.259454340899987</v>
      </c>
      <c r="BV36" s="445">
        <f t="shared" ca="1" si="15"/>
        <v>0.82282102887746267</v>
      </c>
      <c r="BW36" s="845">
        <f t="shared" ca="1" si="38"/>
        <v>2160.7759563206628</v>
      </c>
      <c r="BX36" s="846" t="str">
        <f t="shared" si="39"/>
        <v/>
      </c>
      <c r="CA36" s="164" t="b">
        <f t="shared" si="7"/>
        <v>0</v>
      </c>
      <c r="CB36" s="164" t="str">
        <f t="shared" si="8"/>
        <v/>
      </c>
      <c r="CC36" s="165" t="str">
        <f t="shared" si="9"/>
        <v/>
      </c>
      <c r="CD36" s="436" t="str">
        <f>IFERROR(INDEX($CB$19:$CB$74,_xlfn.AGGREGATE(15,6,(ROW($CB$19:$CB$74)-ROW($CB$19)+1)/($CB$19:$CB$74&lt;&gt;""),ROWS($CD$1:CD18))),"")</f>
        <v/>
      </c>
      <c r="CE36" s="437" t="str">
        <f>IFERROR(INDEX($CC$19:$CC$74,_xlfn.AGGREGATE(15,6,(ROW($CC$19:$CC$74)-ROW($CC$19)+1)/($CC$19:$CC$74&lt;&gt;""),ROWS($CE$1:CE18))),"")</f>
        <v/>
      </c>
      <c r="CF36" s="437" t="str">
        <f t="shared" si="10"/>
        <v/>
      </c>
      <c r="CG36" s="164"/>
      <c r="CH36" s="165"/>
      <c r="CK36" s="164">
        <f t="shared" si="11"/>
        <v>2023</v>
      </c>
      <c r="CL36" s="740">
        <f t="shared" si="0"/>
        <v>2398.5110876451954</v>
      </c>
      <c r="CO36" s="833">
        <f t="shared" ca="1" si="2"/>
        <v>7972.6283300000014</v>
      </c>
      <c r="CP36" s="410"/>
      <c r="CQ36" s="140"/>
      <c r="CR36" s="833">
        <f t="shared" ca="1" si="3"/>
        <v>7972.6283300000014</v>
      </c>
      <c r="CS36" s="140"/>
      <c r="CT36" s="834">
        <f t="shared" ca="1" si="4"/>
        <v>1</v>
      </c>
      <c r="CU36" s="140"/>
      <c r="CV36" s="835">
        <f t="shared" ca="1" si="5"/>
        <v>2398.5110876451954</v>
      </c>
      <c r="DJ36" s="140"/>
      <c r="DK36" s="741"/>
    </row>
    <row r="37" spans="1:115" s="123" customFormat="1" ht="15" customHeight="1" thickBot="1" x14ac:dyDescent="0.55000000000000004">
      <c r="A37" s="913">
        <v>1000</v>
      </c>
      <c r="C37" s="836">
        <v>2023</v>
      </c>
      <c r="D37" s="520">
        <v>4</v>
      </c>
      <c r="E37" s="837"/>
      <c r="F37" s="832" t="e">
        <f t="shared" si="1"/>
        <v>#N/A</v>
      </c>
      <c r="G37" s="932">
        <f t="shared" si="6"/>
        <v>2398.5110876451954</v>
      </c>
      <c r="H37" s="946"/>
      <c r="I37" s="410"/>
      <c r="O37" s="412"/>
      <c r="P37" s="412"/>
      <c r="Q37" s="412"/>
      <c r="S37" s="451"/>
      <c r="T37" s="451"/>
      <c r="U37" s="451"/>
      <c r="V37" s="451"/>
      <c r="W37" s="451"/>
      <c r="X37" s="451"/>
      <c r="Y37" s="451"/>
      <c r="Z37" s="451"/>
      <c r="AA37" s="451"/>
      <c r="AB37" s="451"/>
      <c r="AC37" s="451"/>
      <c r="AD37" s="451"/>
      <c r="AE37" s="451"/>
      <c r="AF37" s="451"/>
      <c r="AG37" s="451"/>
      <c r="AH37" s="451"/>
      <c r="AI37" s="413"/>
      <c r="AJ37" s="413"/>
      <c r="AK37" s="413"/>
      <c r="AL37" s="451"/>
      <c r="AM37" s="165">
        <f t="shared" si="40"/>
        <v>2019</v>
      </c>
      <c r="AN37" s="444">
        <f t="shared" si="16"/>
        <v>5</v>
      </c>
      <c r="AO37" s="867">
        <f t="shared" si="17"/>
        <v>245.03695881731784</v>
      </c>
      <c r="AP37" s="445">
        <f t="shared" si="18"/>
        <v>1957.4445617740232</v>
      </c>
      <c r="AQ37" s="744">
        <f t="shared" si="19"/>
        <v>2202.481520591341</v>
      </c>
      <c r="AR37" s="447" t="str">
        <f t="shared" si="20"/>
        <v/>
      </c>
      <c r="AT37" s="165">
        <f t="shared" si="41"/>
        <v>2019</v>
      </c>
      <c r="AU37" s="444">
        <f t="shared" si="21"/>
        <v>5</v>
      </c>
      <c r="AV37" s="867">
        <f t="shared" ca="1" si="22"/>
        <v>-17.778166630772553</v>
      </c>
      <c r="AW37" s="867">
        <f t="shared" ca="1" si="23"/>
        <v>326.04682644678962</v>
      </c>
      <c r="AX37" s="445">
        <f t="shared" ca="1" si="24"/>
        <v>2044.2898732424699</v>
      </c>
      <c r="AY37" s="744">
        <f t="shared" ca="1" si="12"/>
        <v>2352.5585330584868</v>
      </c>
      <c r="AZ37" s="846" t="str">
        <f t="shared" si="25"/>
        <v/>
      </c>
      <c r="BB37" s="165">
        <f t="shared" si="42"/>
        <v>2019</v>
      </c>
      <c r="BC37" s="444">
        <f t="shared" si="26"/>
        <v>5</v>
      </c>
      <c r="BD37" s="867">
        <f t="shared" ca="1" si="27"/>
        <v>11.931022408963573</v>
      </c>
      <c r="BE37" s="867">
        <f t="shared" ca="1" si="28"/>
        <v>-93.744747899159535</v>
      </c>
      <c r="BF37" s="867">
        <f t="shared" ca="1" si="29"/>
        <v>310.84208683473378</v>
      </c>
      <c r="BG37" s="445">
        <f t="shared" ca="1" si="30"/>
        <v>2232.8304621848733</v>
      </c>
      <c r="BH37" s="744">
        <f t="shared" ca="1" si="13"/>
        <v>2461.858823529411</v>
      </c>
      <c r="BI37" s="846" t="str">
        <f t="shared" si="31"/>
        <v/>
      </c>
      <c r="BK37" s="165">
        <f t="shared" si="43"/>
        <v>2019</v>
      </c>
      <c r="BL37" s="444">
        <f t="shared" si="32"/>
        <v>5</v>
      </c>
      <c r="BM37" s="867">
        <f t="shared" ca="1" si="33"/>
        <v>1862.9883849899884</v>
      </c>
      <c r="BN37" s="445">
        <f t="shared" ca="1" si="34"/>
        <v>1.1139001189183053</v>
      </c>
      <c r="BO37" s="744">
        <f t="shared" ca="1" si="14"/>
        <v>2075.1829835837698</v>
      </c>
      <c r="BP37" s="846" t="str">
        <f t="shared" si="35"/>
        <v/>
      </c>
      <c r="BS37" s="165">
        <f t="shared" si="44"/>
        <v>2019</v>
      </c>
      <c r="BT37" s="444">
        <f t="shared" si="36"/>
        <v>5</v>
      </c>
      <c r="BU37" s="867">
        <f t="shared" ca="1" si="37"/>
        <v>1.259454340899987</v>
      </c>
      <c r="BV37" s="445">
        <f t="shared" ca="1" si="15"/>
        <v>0.78366730482680091</v>
      </c>
      <c r="BW37" s="744">
        <f t="shared" ca="1" si="38"/>
        <v>2214.4011487366665</v>
      </c>
      <c r="BX37" s="846" t="str">
        <f t="shared" si="39"/>
        <v/>
      </c>
      <c r="CA37" s="164" t="b">
        <f t="shared" si="7"/>
        <v>0</v>
      </c>
      <c r="CB37" s="164" t="str">
        <f t="shared" si="8"/>
        <v/>
      </c>
      <c r="CC37" s="165" t="str">
        <f t="shared" si="9"/>
        <v/>
      </c>
      <c r="CD37" s="436" t="str">
        <f>IFERROR(INDEX($CB$19:$CB$74,_xlfn.AGGREGATE(15,6,(ROW($CB$19:$CB$74)-ROW($CB$19)+1)/($CB$19:$CB$74&lt;&gt;""),ROWS($CD$1:CD19))),"")</f>
        <v/>
      </c>
      <c r="CE37" s="437" t="str">
        <f>IFERROR(INDEX($CC$19:$CC$74,_xlfn.AGGREGATE(15,6,(ROW($CC$19:$CC$74)-ROW($CC$19)+1)/($CC$19:$CC$74&lt;&gt;""),ROWS($CE$1:CE19))),"")</f>
        <v/>
      </c>
      <c r="CF37" s="437" t="str">
        <f t="shared" si="10"/>
        <v/>
      </c>
      <c r="CG37" s="164"/>
      <c r="CH37" s="165"/>
      <c r="CK37" s="164">
        <f t="shared" si="11"/>
        <v>2024</v>
      </c>
      <c r="CL37" s="740">
        <f t="shared" si="0"/>
        <v>2447.518479408659</v>
      </c>
      <c r="CO37" s="833">
        <f t="shared" ca="1" si="2"/>
        <v>8048.0030920000008</v>
      </c>
      <c r="CP37" s="410"/>
      <c r="CQ37" s="140"/>
      <c r="CR37" s="833">
        <f t="shared" ca="1" si="3"/>
        <v>8048.0030920000008</v>
      </c>
      <c r="CS37" s="140"/>
      <c r="CT37" s="834">
        <f t="shared" ca="1" si="4"/>
        <v>1</v>
      </c>
      <c r="CU37" s="140"/>
      <c r="CV37" s="835">
        <f t="shared" ca="1" si="5"/>
        <v>2447.518479408659</v>
      </c>
      <c r="DJ37" s="140"/>
      <c r="DK37" s="741"/>
    </row>
    <row r="38" spans="1:115" s="123" customFormat="1" ht="14.1" x14ac:dyDescent="0.5">
      <c r="A38" s="1317" t="s">
        <v>662</v>
      </c>
      <c r="C38" s="836">
        <v>2024</v>
      </c>
      <c r="D38" s="520">
        <v>5</v>
      </c>
      <c r="E38" s="837"/>
      <c r="F38" s="832" t="e">
        <f t="shared" si="1"/>
        <v>#N/A</v>
      </c>
      <c r="G38" s="932">
        <f t="shared" si="6"/>
        <v>2447.518479408659</v>
      </c>
      <c r="H38" s="946"/>
      <c r="I38" s="410"/>
      <c r="O38" s="412"/>
      <c r="P38" s="412"/>
      <c r="Q38" s="412"/>
      <c r="S38" s="451"/>
      <c r="T38" s="451"/>
      <c r="U38" s="451"/>
      <c r="V38" s="451"/>
      <c r="W38" s="451"/>
      <c r="X38" s="451"/>
      <c r="Y38" s="451"/>
      <c r="Z38" s="451"/>
      <c r="AA38" s="451"/>
      <c r="AB38" s="451"/>
      <c r="AC38" s="451"/>
      <c r="AD38" s="451"/>
      <c r="AE38" s="451"/>
      <c r="AF38" s="451"/>
      <c r="AG38" s="451"/>
      <c r="AH38" s="451"/>
      <c r="AI38" s="413"/>
      <c r="AJ38" s="413"/>
      <c r="AK38" s="413"/>
      <c r="AL38" s="451"/>
      <c r="AM38" s="165">
        <f t="shared" si="40"/>
        <v>2020</v>
      </c>
      <c r="AN38" s="444">
        <f t="shared" si="16"/>
        <v>6</v>
      </c>
      <c r="AO38" s="867">
        <f t="shared" si="17"/>
        <v>294.04435058078138</v>
      </c>
      <c r="AP38" s="445">
        <f t="shared" si="18"/>
        <v>1957.4445617740232</v>
      </c>
      <c r="AQ38" s="745">
        <f t="shared" si="19"/>
        <v>2251.4889123548046</v>
      </c>
      <c r="AR38" s="447" t="str">
        <f t="shared" si="20"/>
        <v/>
      </c>
      <c r="AT38" s="165">
        <f t="shared" si="41"/>
        <v>2020</v>
      </c>
      <c r="AU38" s="444">
        <f t="shared" si="21"/>
        <v>6</v>
      </c>
      <c r="AV38" s="867">
        <f t="shared" ca="1" si="22"/>
        <v>-25.600559948312473</v>
      </c>
      <c r="AW38" s="867">
        <f t="shared" ca="1" si="23"/>
        <v>391.25619173614751</v>
      </c>
      <c r="AX38" s="445">
        <f t="shared" ca="1" si="24"/>
        <v>2044.2898732424699</v>
      </c>
      <c r="AY38" s="745">
        <f t="shared" ca="1" si="12"/>
        <v>2409.945505030305</v>
      </c>
      <c r="AZ38" s="846" t="str">
        <f t="shared" si="25"/>
        <v/>
      </c>
      <c r="BB38" s="165">
        <f t="shared" si="42"/>
        <v>2020</v>
      </c>
      <c r="BC38" s="444">
        <f t="shared" si="26"/>
        <v>6</v>
      </c>
      <c r="BD38" s="867">
        <f t="shared" ca="1" si="27"/>
        <v>20.616806722689052</v>
      </c>
      <c r="BE38" s="867">
        <f t="shared" ca="1" si="28"/>
        <v>-134.99243697478974</v>
      </c>
      <c r="BF38" s="867">
        <f t="shared" ca="1" si="29"/>
        <v>373.01050420168053</v>
      </c>
      <c r="BG38" s="445">
        <f t="shared" ca="1" si="30"/>
        <v>2232.8304621848733</v>
      </c>
      <c r="BH38" s="745">
        <f t="shared" ca="1" si="13"/>
        <v>2491.4653361344531</v>
      </c>
      <c r="BI38" s="846" t="str">
        <f t="shared" si="31"/>
        <v/>
      </c>
      <c r="BK38" s="165">
        <f t="shared" si="43"/>
        <v>2020</v>
      </c>
      <c r="BL38" s="444">
        <f t="shared" si="32"/>
        <v>6</v>
      </c>
      <c r="BM38" s="867">
        <f t="shared" ca="1" si="33"/>
        <v>1862.9883849899884</v>
      </c>
      <c r="BN38" s="445">
        <f t="shared" ca="1" si="34"/>
        <v>1.1381919255992874</v>
      </c>
      <c r="BO38" s="745">
        <f t="shared" ca="1" si="14"/>
        <v>2120.4383372808616</v>
      </c>
      <c r="BP38" s="846" t="str">
        <f t="shared" si="35"/>
        <v/>
      </c>
      <c r="BS38" s="165">
        <f t="shared" si="44"/>
        <v>2020</v>
      </c>
      <c r="BT38" s="444">
        <f t="shared" si="36"/>
        <v>6</v>
      </c>
      <c r="BU38" s="867">
        <f t="shared" ca="1" si="37"/>
        <v>1.259454340899987</v>
      </c>
      <c r="BV38" s="445">
        <f t="shared" ca="1" si="15"/>
        <v>0.74637670052300176</v>
      </c>
      <c r="BW38" s="745">
        <f t="shared" ca="1" si="38"/>
        <v>2268.0092331412316</v>
      </c>
      <c r="BX38" s="846" t="str">
        <f t="shared" si="39"/>
        <v/>
      </c>
      <c r="CA38" s="164" t="b">
        <f t="shared" si="7"/>
        <v>0</v>
      </c>
      <c r="CB38" s="164" t="str">
        <f t="shared" si="8"/>
        <v/>
      </c>
      <c r="CC38" s="165" t="str">
        <f t="shared" si="9"/>
        <v/>
      </c>
      <c r="CD38" s="436" t="str">
        <f>IFERROR(INDEX($CB$19:$CB$74,_xlfn.AGGREGATE(15,6,(ROW($CB$19:$CB$74)-ROW($CB$19)+1)/($CB$19:$CB$74&lt;&gt;""),ROWS($CD$1:CD20))),"")</f>
        <v/>
      </c>
      <c r="CE38" s="437" t="str">
        <f>IFERROR(INDEX($CC$19:$CC$74,_xlfn.AGGREGATE(15,6,(ROW($CC$19:$CC$74)-ROW($CC$19)+1)/($CC$19:$CC$74&lt;&gt;""),ROWS($CE$1:CE20))),"")</f>
        <v/>
      </c>
      <c r="CF38" s="437" t="str">
        <f t="shared" si="10"/>
        <v/>
      </c>
      <c r="CG38" s="164"/>
      <c r="CH38" s="165"/>
      <c r="CK38" s="164">
        <f t="shared" si="11"/>
        <v>2025</v>
      </c>
      <c r="CL38" s="740">
        <f t="shared" si="0"/>
        <v>2496.5258711721226</v>
      </c>
      <c r="CO38" s="833">
        <f t="shared" ca="1" si="2"/>
        <v>8122.4205629999997</v>
      </c>
      <c r="CP38" s="410"/>
      <c r="CQ38" s="140"/>
      <c r="CR38" s="833">
        <f t="shared" ca="1" si="3"/>
        <v>8122.4205629999997</v>
      </c>
      <c r="CS38" s="140"/>
      <c r="CT38" s="834">
        <f t="shared" ca="1" si="4"/>
        <v>1</v>
      </c>
      <c r="CU38" s="140"/>
      <c r="CV38" s="835">
        <f t="shared" ca="1" si="5"/>
        <v>2496.5258711721226</v>
      </c>
      <c r="DJ38" s="140"/>
      <c r="DK38" s="741"/>
    </row>
    <row r="39" spans="1:115" s="123" customFormat="1" ht="14.1" x14ac:dyDescent="0.5">
      <c r="A39" s="1317"/>
      <c r="C39" s="836">
        <v>2025</v>
      </c>
      <c r="D39" s="520">
        <v>6</v>
      </c>
      <c r="E39" s="837"/>
      <c r="F39" s="832" t="e">
        <f>IF(ISBLANK(E39),#N/A,IF(ISBLANK($A$37),E39,E39*$A$37))</f>
        <v>#N/A</v>
      </c>
      <c r="G39" s="932">
        <f t="shared" si="6"/>
        <v>2496.5258711721226</v>
      </c>
      <c r="H39" s="946"/>
      <c r="I39" s="410"/>
      <c r="O39" s="412"/>
      <c r="P39" s="412"/>
      <c r="Q39" s="412"/>
      <c r="S39" s="451"/>
      <c r="T39" s="451"/>
      <c r="U39" s="451"/>
      <c r="V39" s="451"/>
      <c r="W39" s="451"/>
      <c r="X39" s="451"/>
      <c r="Y39" s="451"/>
      <c r="Z39" s="451"/>
      <c r="AA39" s="451"/>
      <c r="AB39" s="451"/>
      <c r="AC39" s="451"/>
      <c r="AD39" s="451"/>
      <c r="AE39" s="451"/>
      <c r="AF39" s="451"/>
      <c r="AG39" s="451"/>
      <c r="AH39" s="451"/>
      <c r="AI39" s="413"/>
      <c r="AJ39" s="413"/>
      <c r="AK39" s="413"/>
      <c r="AL39" s="451"/>
      <c r="AM39" s="165">
        <f t="shared" si="40"/>
        <v>2021</v>
      </c>
      <c r="AN39" s="444">
        <f t="shared" si="16"/>
        <v>7</v>
      </c>
      <c r="AO39" s="867">
        <f t="shared" si="17"/>
        <v>343.05174234424499</v>
      </c>
      <c r="AP39" s="445">
        <f t="shared" si="18"/>
        <v>1957.4445617740232</v>
      </c>
      <c r="AQ39" s="869">
        <f t="shared" si="19"/>
        <v>2300.4963041182682</v>
      </c>
      <c r="AR39" s="447" t="str">
        <f t="shared" si="20"/>
        <v/>
      </c>
      <c r="AT39" s="165">
        <f t="shared" si="41"/>
        <v>2021</v>
      </c>
      <c r="AU39" s="444">
        <f t="shared" si="21"/>
        <v>7</v>
      </c>
      <c r="AV39" s="867">
        <f t="shared" ca="1" si="22"/>
        <v>-34.845206596314199</v>
      </c>
      <c r="AW39" s="867">
        <f t="shared" ca="1" si="23"/>
        <v>456.4655570255054</v>
      </c>
      <c r="AX39" s="445">
        <f t="shared" ca="1" si="24"/>
        <v>2044.2898732424699</v>
      </c>
      <c r="AY39" s="869">
        <f t="shared" ca="1" si="12"/>
        <v>2465.9102236716612</v>
      </c>
      <c r="AZ39" s="846" t="str">
        <f t="shared" si="25"/>
        <v/>
      </c>
      <c r="BB39" s="165">
        <f t="shared" si="42"/>
        <v>2021</v>
      </c>
      <c r="BC39" s="444">
        <f t="shared" si="26"/>
        <v>7</v>
      </c>
      <c r="BD39" s="867">
        <f t="shared" ca="1" si="27"/>
        <v>32.738725490196046</v>
      </c>
      <c r="BE39" s="867">
        <f t="shared" ca="1" si="28"/>
        <v>-183.73970588235269</v>
      </c>
      <c r="BF39" s="867">
        <f t="shared" ca="1" si="29"/>
        <v>435.17892156862729</v>
      </c>
      <c r="BG39" s="445">
        <f t="shared" ca="1" si="30"/>
        <v>2232.8304621848733</v>
      </c>
      <c r="BH39" s="869">
        <f t="shared" ca="1" si="13"/>
        <v>2517.0084033613439</v>
      </c>
      <c r="BI39" s="846" t="str">
        <f t="shared" si="31"/>
        <v/>
      </c>
      <c r="BK39" s="165">
        <f t="shared" si="43"/>
        <v>2021</v>
      </c>
      <c r="BL39" s="444">
        <f t="shared" si="32"/>
        <v>7</v>
      </c>
      <c r="BM39" s="867">
        <f t="shared" ca="1" si="33"/>
        <v>1862.9883849899884</v>
      </c>
      <c r="BN39" s="445">
        <f t="shared" ca="1" si="34"/>
        <v>1.1630134852283156</v>
      </c>
      <c r="BO39" s="869">
        <f t="shared" ca="1" si="14"/>
        <v>2166.6806145670776</v>
      </c>
      <c r="BP39" s="846" t="str">
        <f t="shared" si="35"/>
        <v/>
      </c>
      <c r="BS39" s="165">
        <f t="shared" si="44"/>
        <v>2021</v>
      </c>
      <c r="BT39" s="444">
        <f t="shared" si="36"/>
        <v>7</v>
      </c>
      <c r="BU39" s="867">
        <f t="shared" ca="1" si="37"/>
        <v>1.259454340899987</v>
      </c>
      <c r="BV39" s="445">
        <f t="shared" ca="1" si="15"/>
        <v>0.71086055989885011</v>
      </c>
      <c r="BW39" s="869">
        <f t="shared" ca="1" si="38"/>
        <v>2321.5365988947619</v>
      </c>
      <c r="BX39" s="846" t="str">
        <f t="shared" si="39"/>
        <v/>
      </c>
      <c r="CA39" s="164" t="b">
        <f t="shared" si="7"/>
        <v>0</v>
      </c>
      <c r="CB39" s="164" t="str">
        <f t="shared" si="8"/>
        <v/>
      </c>
      <c r="CC39" s="165" t="str">
        <f t="shared" si="9"/>
        <v/>
      </c>
      <c r="CD39" s="436" t="str">
        <f>IFERROR(INDEX($CB$19:$CB$74,_xlfn.AGGREGATE(15,6,(ROW($CB$19:$CB$74)-ROW($CB$19)+1)/($CB$19:$CB$74&lt;&gt;""),ROWS($CD$1:CD21))),"")</f>
        <v/>
      </c>
      <c r="CE39" s="437" t="str">
        <f>IFERROR(INDEX($CC$19:$CC$74,_xlfn.AGGREGATE(15,6,(ROW($CC$19:$CC$74)-ROW($CC$19)+1)/($CC$19:$CC$74&lt;&gt;""),ROWS($CE$1:CE21))),"")</f>
        <v/>
      </c>
      <c r="CF39" s="437" t="str">
        <f t="shared" si="10"/>
        <v/>
      </c>
      <c r="CG39" s="164"/>
      <c r="CH39" s="165"/>
      <c r="CK39" s="164">
        <f t="shared" si="11"/>
        <v>2026</v>
      </c>
      <c r="CL39" s="740">
        <f t="shared" si="0"/>
        <v>2545.5332629355862</v>
      </c>
      <c r="CO39" s="833">
        <f t="shared" ca="1" si="2"/>
        <v>8195.8749960000023</v>
      </c>
      <c r="CP39" s="410"/>
      <c r="CQ39" s="140"/>
      <c r="CR39" s="833">
        <f t="shared" ca="1" si="3"/>
        <v>8195.8749960000023</v>
      </c>
      <c r="CS39" s="140"/>
      <c r="CT39" s="834">
        <f t="shared" ca="1" si="4"/>
        <v>1</v>
      </c>
      <c r="CU39" s="140"/>
      <c r="CV39" s="835">
        <f t="shared" ca="1" si="5"/>
        <v>2545.5332629355862</v>
      </c>
      <c r="DJ39" s="140"/>
      <c r="DK39" s="741"/>
    </row>
    <row r="40" spans="1:115" s="123" customFormat="1" ht="14.1" x14ac:dyDescent="0.5">
      <c r="A40" s="1317"/>
      <c r="C40" s="836">
        <v>2026</v>
      </c>
      <c r="D40" s="520">
        <v>7</v>
      </c>
      <c r="E40" s="837"/>
      <c r="F40" s="832" t="e">
        <f t="shared" si="1"/>
        <v>#N/A</v>
      </c>
      <c r="G40" s="932">
        <f t="shared" si="6"/>
        <v>2545.5332629355862</v>
      </c>
      <c r="H40" s="946"/>
      <c r="I40" s="410"/>
      <c r="O40" s="412"/>
      <c r="P40" s="412"/>
      <c r="Q40" s="412"/>
      <c r="S40" s="451"/>
      <c r="T40" s="451"/>
      <c r="U40" s="451"/>
      <c r="V40" s="451"/>
      <c r="W40" s="451"/>
      <c r="X40" s="451"/>
      <c r="Y40" s="451"/>
      <c r="Z40" s="451"/>
      <c r="AA40" s="451"/>
      <c r="AB40" s="451"/>
      <c r="AC40" s="451"/>
      <c r="AD40" s="451"/>
      <c r="AE40" s="451"/>
      <c r="AF40" s="451"/>
      <c r="AG40" s="451"/>
      <c r="AH40" s="451"/>
      <c r="AI40" s="413"/>
      <c r="AJ40" s="413"/>
      <c r="AK40" s="413"/>
      <c r="AL40" s="451"/>
      <c r="AM40" s="165">
        <f t="shared" si="40"/>
        <v>2022</v>
      </c>
      <c r="AN40" s="444">
        <f t="shared" si="16"/>
        <v>8</v>
      </c>
      <c r="AO40" s="867">
        <f t="shared" si="17"/>
        <v>392.05913410770853</v>
      </c>
      <c r="AP40" s="445">
        <f t="shared" si="18"/>
        <v>1957.4445617740232</v>
      </c>
      <c r="AQ40" s="869">
        <f t="shared" si="19"/>
        <v>2349.5036958817318</v>
      </c>
      <c r="AR40" s="447" t="str">
        <f t="shared" si="20"/>
        <v/>
      </c>
      <c r="AT40" s="165">
        <f t="shared" si="41"/>
        <v>2022</v>
      </c>
      <c r="AU40" s="444">
        <f t="shared" si="21"/>
        <v>8</v>
      </c>
      <c r="AV40" s="867">
        <f t="shared" ca="1" si="22"/>
        <v>-45.512106574777732</v>
      </c>
      <c r="AW40" s="867">
        <f t="shared" ca="1" si="23"/>
        <v>521.67492231486335</v>
      </c>
      <c r="AX40" s="445">
        <f t="shared" ca="1" si="24"/>
        <v>2044.2898732424699</v>
      </c>
      <c r="AY40" s="869">
        <f t="shared" ca="1" si="12"/>
        <v>2520.4526889825556</v>
      </c>
      <c r="AZ40" s="846" t="str">
        <f t="shared" si="25"/>
        <v/>
      </c>
      <c r="BB40" s="165">
        <f t="shared" si="42"/>
        <v>2022</v>
      </c>
      <c r="BC40" s="444">
        <f t="shared" si="26"/>
        <v>8</v>
      </c>
      <c r="BD40" s="867">
        <f t="shared" ca="1" si="27"/>
        <v>48.869467787114793</v>
      </c>
      <c r="BE40" s="867">
        <f t="shared" ca="1" si="28"/>
        <v>-239.98655462184843</v>
      </c>
      <c r="BF40" s="867">
        <f t="shared" ca="1" si="29"/>
        <v>497.34733893557404</v>
      </c>
      <c r="BG40" s="445">
        <f t="shared" ca="1" si="30"/>
        <v>2232.8304621848733</v>
      </c>
      <c r="BH40" s="869">
        <f t="shared" ca="1" si="13"/>
        <v>2539.0607142857139</v>
      </c>
      <c r="BI40" s="846" t="str">
        <f t="shared" si="31"/>
        <v/>
      </c>
      <c r="BK40" s="165">
        <f t="shared" si="43"/>
        <v>2022</v>
      </c>
      <c r="BL40" s="444">
        <f t="shared" si="32"/>
        <v>8</v>
      </c>
      <c r="BM40" s="867">
        <f t="shared" ca="1" si="33"/>
        <v>1862.9883849899884</v>
      </c>
      <c r="BN40" s="445">
        <f t="shared" ca="1" si="34"/>
        <v>1.1883763505972287</v>
      </c>
      <c r="BO40" s="869">
        <f t="shared" ca="1" si="14"/>
        <v>2213.9313381594275</v>
      </c>
      <c r="BP40" s="846" t="str">
        <f t="shared" si="35"/>
        <v/>
      </c>
      <c r="BS40" s="165">
        <f t="shared" si="44"/>
        <v>2022</v>
      </c>
      <c r="BT40" s="444">
        <f t="shared" si="36"/>
        <v>8</v>
      </c>
      <c r="BU40" s="867">
        <f t="shared" ca="1" si="37"/>
        <v>1.259454340899987</v>
      </c>
      <c r="BV40" s="445">
        <f t="shared" ca="1" si="15"/>
        <v>0.67703444556296632</v>
      </c>
      <c r="BW40" s="869">
        <f t="shared" ca="1" si="38"/>
        <v>2374.9200180468902</v>
      </c>
      <c r="BX40" s="846" t="str">
        <f t="shared" si="39"/>
        <v/>
      </c>
      <c r="CA40" s="164" t="b">
        <f t="shared" si="7"/>
        <v>0</v>
      </c>
      <c r="CB40" s="164" t="str">
        <f t="shared" si="8"/>
        <v/>
      </c>
      <c r="CC40" s="165" t="str">
        <f t="shared" si="9"/>
        <v/>
      </c>
      <c r="CD40" s="436" t="str">
        <f>IFERROR(INDEX($CB$19:$CB$74,_xlfn.AGGREGATE(15,6,(ROW($CB$19:$CB$74)-ROW($CB$19)+1)/($CB$19:$CB$74&lt;&gt;""),ROWS($CD$1:CD22))),"")</f>
        <v/>
      </c>
      <c r="CE40" s="437" t="str">
        <f>IFERROR(INDEX($CC$19:$CC$74,_xlfn.AGGREGATE(15,6,(ROW($CC$19:$CC$74)-ROW($CC$19)+1)/($CC$19:$CC$74&lt;&gt;""),ROWS($CE$1:CE22))),"")</f>
        <v/>
      </c>
      <c r="CF40" s="437" t="str">
        <f t="shared" si="10"/>
        <v/>
      </c>
      <c r="CG40" s="164"/>
      <c r="CH40" s="165"/>
      <c r="CK40" s="164">
        <f t="shared" si="11"/>
        <v>2027</v>
      </c>
      <c r="CL40" s="740">
        <f t="shared" si="0"/>
        <v>2594.5406546990498</v>
      </c>
      <c r="CO40" s="833">
        <f t="shared" ca="1" si="2"/>
        <v>8268.3495879999991</v>
      </c>
      <c r="CP40" s="410"/>
      <c r="CQ40" s="140"/>
      <c r="CR40" s="833">
        <f t="shared" ca="1" si="3"/>
        <v>8268.3495879999991</v>
      </c>
      <c r="CS40" s="140"/>
      <c r="CT40" s="834">
        <f t="shared" ca="1" si="4"/>
        <v>1</v>
      </c>
      <c r="CU40" s="140"/>
      <c r="CV40" s="835">
        <f t="shared" ca="1" si="5"/>
        <v>2594.5406546990498</v>
      </c>
      <c r="DJ40" s="140"/>
      <c r="DK40" s="741"/>
    </row>
    <row r="41" spans="1:115" s="123" customFormat="1" ht="14.1" x14ac:dyDescent="0.5">
      <c r="A41" s="1317"/>
      <c r="C41" s="836">
        <v>2027</v>
      </c>
      <c r="D41" s="520">
        <v>8</v>
      </c>
      <c r="E41" s="837"/>
      <c r="F41" s="832" t="e">
        <f t="shared" si="1"/>
        <v>#N/A</v>
      </c>
      <c r="G41" s="932">
        <f t="shared" si="6"/>
        <v>2594.5406546990498</v>
      </c>
      <c r="H41" s="946"/>
      <c r="O41" s="412"/>
      <c r="P41" s="412"/>
      <c r="Q41" s="412"/>
      <c r="S41" s="451"/>
      <c r="T41" s="451"/>
      <c r="U41" s="451"/>
      <c r="V41" s="451"/>
      <c r="W41" s="451"/>
      <c r="X41" s="451"/>
      <c r="Y41" s="451"/>
      <c r="Z41" s="451"/>
      <c r="AA41" s="451"/>
      <c r="AB41" s="451"/>
      <c r="AC41" s="451"/>
      <c r="AD41" s="451"/>
      <c r="AE41" s="451"/>
      <c r="AF41" s="451"/>
      <c r="AG41" s="451"/>
      <c r="AH41" s="451"/>
      <c r="AI41" s="413"/>
      <c r="AJ41" s="413"/>
      <c r="AK41" s="413"/>
      <c r="AL41" s="451"/>
      <c r="AM41" s="165">
        <f t="shared" si="40"/>
        <v>2023</v>
      </c>
      <c r="AN41" s="444">
        <f t="shared" si="16"/>
        <v>9</v>
      </c>
      <c r="AO41" s="867">
        <f t="shared" si="17"/>
        <v>441.06652587117208</v>
      </c>
      <c r="AP41" s="445">
        <f t="shared" si="18"/>
        <v>1957.4445617740232</v>
      </c>
      <c r="AQ41" s="869">
        <f t="shared" si="19"/>
        <v>2398.5110876451954</v>
      </c>
      <c r="AR41" s="447" t="str">
        <f t="shared" si="20"/>
        <v/>
      </c>
      <c r="AT41" s="165">
        <f t="shared" si="41"/>
        <v>2023</v>
      </c>
      <c r="AU41" s="444">
        <f t="shared" si="21"/>
        <v>9</v>
      </c>
      <c r="AV41" s="867">
        <f t="shared" ca="1" si="22"/>
        <v>-57.601259883703065</v>
      </c>
      <c r="AW41" s="867">
        <f t="shared" ca="1" si="23"/>
        <v>586.8842876042213</v>
      </c>
      <c r="AX41" s="445">
        <f t="shared" ca="1" si="24"/>
        <v>2044.2898732424699</v>
      </c>
      <c r="AY41" s="869">
        <f t="shared" ca="1" si="12"/>
        <v>2573.5729009629881</v>
      </c>
      <c r="AZ41" s="846" t="str">
        <f t="shared" si="25"/>
        <v/>
      </c>
      <c r="BB41" s="165">
        <f t="shared" si="42"/>
        <v>2023</v>
      </c>
      <c r="BC41" s="444">
        <f t="shared" si="26"/>
        <v>9</v>
      </c>
      <c r="BD41" s="867">
        <f t="shared" ca="1" si="27"/>
        <v>69.581722689075562</v>
      </c>
      <c r="BE41" s="867">
        <f t="shared" ca="1" si="28"/>
        <v>-303.73298319327694</v>
      </c>
      <c r="BF41" s="867">
        <f t="shared" ca="1" si="29"/>
        <v>559.5157563025208</v>
      </c>
      <c r="BG41" s="445">
        <f t="shared" ca="1" si="30"/>
        <v>2232.8304621848733</v>
      </c>
      <c r="BH41" s="869">
        <f t="shared" ca="1" si="13"/>
        <v>2558.1949579831926</v>
      </c>
      <c r="BI41" s="846" t="str">
        <f t="shared" si="31"/>
        <v/>
      </c>
      <c r="BK41" s="165">
        <f t="shared" si="43"/>
        <v>2023</v>
      </c>
      <c r="BL41" s="444">
        <f t="shared" si="32"/>
        <v>9</v>
      </c>
      <c r="BM41" s="867">
        <f t="shared" ca="1" si="33"/>
        <v>1862.9883849899884</v>
      </c>
      <c r="BN41" s="445">
        <f t="shared" ca="1" si="34"/>
        <v>1.2142923264398311</v>
      </c>
      <c r="BO41" s="869">
        <f t="shared" ca="1" si="14"/>
        <v>2262.2125001398767</v>
      </c>
      <c r="BP41" s="846" t="str">
        <f t="shared" si="35"/>
        <v/>
      </c>
      <c r="BS41" s="165">
        <f t="shared" si="44"/>
        <v>2023</v>
      </c>
      <c r="BT41" s="444">
        <f t="shared" si="36"/>
        <v>9</v>
      </c>
      <c r="BU41" s="867">
        <f t="shared" ca="1" si="37"/>
        <v>1.259454340899987</v>
      </c>
      <c r="BV41" s="445">
        <f t="shared" ca="1" si="15"/>
        <v>0.64481793805521659</v>
      </c>
      <c r="BW41" s="869">
        <f t="shared" ca="1" si="38"/>
        <v>2428.0969429568827</v>
      </c>
      <c r="BX41" s="846" t="str">
        <f t="shared" si="39"/>
        <v/>
      </c>
      <c r="CA41" s="164" t="b">
        <f t="shared" si="7"/>
        <v>0</v>
      </c>
      <c r="CB41" s="164" t="str">
        <f t="shared" si="8"/>
        <v/>
      </c>
      <c r="CC41" s="165" t="str">
        <f t="shared" si="9"/>
        <v/>
      </c>
      <c r="CD41" s="436" t="str">
        <f>IFERROR(INDEX($CB$19:$CB$74,_xlfn.AGGREGATE(15,6,(ROW($CB$19:$CB$74)-ROW($CB$19)+1)/($CB$19:$CB$74&lt;&gt;""),ROWS($CD$1:CD23))),"")</f>
        <v/>
      </c>
      <c r="CE41" s="437" t="str">
        <f>IFERROR(INDEX($CC$19:$CC$74,_xlfn.AGGREGATE(15,6,(ROW($CC$19:$CC$74)-ROW($CC$19)+1)/($CC$19:$CC$74&lt;&gt;""),ROWS($CE$1:CE23))),"")</f>
        <v/>
      </c>
      <c r="CF41" s="437" t="str">
        <f t="shared" si="10"/>
        <v/>
      </c>
      <c r="CG41" s="164"/>
      <c r="CH41" s="165"/>
      <c r="CK41" s="164">
        <f t="shared" si="11"/>
        <v>2028</v>
      </c>
      <c r="CL41" s="740">
        <f t="shared" si="0"/>
        <v>2643.5480464625134</v>
      </c>
      <c r="CO41" s="833">
        <f t="shared" ca="1" si="2"/>
        <v>8339.8891199999998</v>
      </c>
      <c r="CP41" s="410"/>
      <c r="CQ41" s="140"/>
      <c r="CR41" s="833">
        <f t="shared" ca="1" si="3"/>
        <v>8339.8891199999998</v>
      </c>
      <c r="CS41" s="140"/>
      <c r="CT41" s="834">
        <f t="shared" ca="1" si="4"/>
        <v>1</v>
      </c>
      <c r="CU41" s="140"/>
      <c r="CV41" s="835">
        <f t="shared" ca="1" si="5"/>
        <v>2643.5480464625134</v>
      </c>
      <c r="DJ41" s="140"/>
      <c r="DK41" s="741"/>
    </row>
    <row r="42" spans="1:115" s="123" customFormat="1" ht="14.1" x14ac:dyDescent="0.5">
      <c r="A42" s="1317"/>
      <c r="C42" s="836">
        <v>2028</v>
      </c>
      <c r="D42" s="520">
        <v>9</v>
      </c>
      <c r="E42" s="837"/>
      <c r="F42" s="832" t="e">
        <f t="shared" si="1"/>
        <v>#N/A</v>
      </c>
      <c r="G42" s="932">
        <f t="shared" si="6"/>
        <v>2643.5480464625134</v>
      </c>
      <c r="H42" s="946"/>
      <c r="O42" s="412"/>
      <c r="P42" s="412"/>
      <c r="Q42" s="412"/>
      <c r="S42" s="451"/>
      <c r="T42" s="451"/>
      <c r="U42" s="451"/>
      <c r="V42" s="451"/>
      <c r="W42" s="451"/>
      <c r="X42" s="451"/>
      <c r="Y42" s="451"/>
      <c r="Z42" s="451"/>
      <c r="AA42" s="451"/>
      <c r="AB42" s="451"/>
      <c r="AC42" s="451"/>
      <c r="AD42" s="451"/>
      <c r="AE42" s="451"/>
      <c r="AF42" s="451"/>
      <c r="AG42" s="451"/>
      <c r="AH42" s="451"/>
      <c r="AI42" s="413"/>
      <c r="AJ42" s="413"/>
      <c r="AK42" s="413"/>
      <c r="AL42" s="451"/>
      <c r="AM42" s="165">
        <f t="shared" si="40"/>
        <v>2024</v>
      </c>
      <c r="AN42" s="444">
        <f t="shared" si="16"/>
        <v>10</v>
      </c>
      <c r="AO42" s="867">
        <f t="shared" si="17"/>
        <v>490.07391763463568</v>
      </c>
      <c r="AP42" s="445">
        <f t="shared" si="18"/>
        <v>1957.4445617740232</v>
      </c>
      <c r="AQ42" s="869">
        <f t="shared" si="19"/>
        <v>2447.518479408659</v>
      </c>
      <c r="AR42" s="447" t="str">
        <f t="shared" si="20"/>
        <v/>
      </c>
      <c r="AT42" s="165">
        <f t="shared" si="41"/>
        <v>2024</v>
      </c>
      <c r="AU42" s="444">
        <f t="shared" si="21"/>
        <v>10</v>
      </c>
      <c r="AV42" s="867">
        <f t="shared" ca="1" si="22"/>
        <v>-71.112666523090212</v>
      </c>
      <c r="AW42" s="867">
        <f t="shared" ca="1" si="23"/>
        <v>652.09365289357925</v>
      </c>
      <c r="AX42" s="445">
        <f t="shared" ca="1" si="24"/>
        <v>2044.2898732424699</v>
      </c>
      <c r="AY42" s="869">
        <f t="shared" ca="1" si="12"/>
        <v>2625.2708596129587</v>
      </c>
      <c r="AZ42" s="846" t="str">
        <f t="shared" si="25"/>
        <v/>
      </c>
      <c r="BB42" s="165">
        <f t="shared" si="42"/>
        <v>2024</v>
      </c>
      <c r="BC42" s="444">
        <f t="shared" si="26"/>
        <v>10</v>
      </c>
      <c r="BD42" s="867">
        <f t="shared" ca="1" si="27"/>
        <v>95.448179271708582</v>
      </c>
      <c r="BE42" s="867">
        <f t="shared" ca="1" si="28"/>
        <v>-374.97899159663814</v>
      </c>
      <c r="BF42" s="867">
        <f t="shared" ca="1" si="29"/>
        <v>621.68417366946755</v>
      </c>
      <c r="BG42" s="445">
        <f t="shared" ca="1" si="30"/>
        <v>2232.8304621848733</v>
      </c>
      <c r="BH42" s="869">
        <f t="shared" ca="1" si="13"/>
        <v>2574.9838235294114</v>
      </c>
      <c r="BI42" s="846" t="str">
        <f t="shared" si="31"/>
        <v/>
      </c>
      <c r="BK42" s="165">
        <f t="shared" si="43"/>
        <v>2024</v>
      </c>
      <c r="BL42" s="444">
        <f t="shared" si="32"/>
        <v>10</v>
      </c>
      <c r="BM42" s="867">
        <f t="shared" ca="1" si="33"/>
        <v>1862.9883849899884</v>
      </c>
      <c r="BN42" s="445">
        <f t="shared" ca="1" si="34"/>
        <v>1.2407734749262149</v>
      </c>
      <c r="BO42" s="869">
        <f t="shared" ca="1" si="14"/>
        <v>2311.5465721912051</v>
      </c>
      <c r="BP42" s="846" t="str">
        <f t="shared" si="35"/>
        <v/>
      </c>
      <c r="BS42" s="165">
        <f t="shared" si="44"/>
        <v>2024</v>
      </c>
      <c r="BT42" s="444">
        <f t="shared" si="36"/>
        <v>10</v>
      </c>
      <c r="BU42" s="867">
        <f t="shared" ca="1" si="37"/>
        <v>1.259454340899987</v>
      </c>
      <c r="BV42" s="445">
        <f t="shared" ca="1" si="15"/>
        <v>0.61413444465450218</v>
      </c>
      <c r="BW42" s="869">
        <f t="shared" ca="1" si="38"/>
        <v>2481.0057971019746</v>
      </c>
      <c r="BX42" s="846" t="str">
        <f t="shared" si="39"/>
        <v/>
      </c>
      <c r="CA42" s="164" t="b">
        <f t="shared" si="7"/>
        <v>0</v>
      </c>
      <c r="CB42" s="164" t="str">
        <f t="shared" si="8"/>
        <v/>
      </c>
      <c r="CC42" s="165" t="str">
        <f t="shared" si="9"/>
        <v/>
      </c>
      <c r="CD42" s="436" t="str">
        <f>IFERROR(INDEX($CB$19:$CB$74,_xlfn.AGGREGATE(15,6,(ROW($CB$19:$CB$74)-ROW($CB$19)+1)/($CB$19:$CB$74&lt;&gt;""),ROWS($CD$1:CD24))),"")</f>
        <v/>
      </c>
      <c r="CE42" s="437" t="str">
        <f>IFERROR(INDEX($CC$19:$CC$74,_xlfn.AGGREGATE(15,6,(ROW($CC$19:$CC$74)-ROW($CC$19)+1)/($CC$19:$CC$74&lt;&gt;""),ROWS($CE$1:CE24))),"")</f>
        <v/>
      </c>
      <c r="CF42" s="437" t="str">
        <f t="shared" si="10"/>
        <v/>
      </c>
      <c r="CG42" s="164"/>
      <c r="CH42" s="165"/>
      <c r="CK42" s="164">
        <f t="shared" si="11"/>
        <v>2029</v>
      </c>
      <c r="CL42" s="740">
        <f t="shared" si="0"/>
        <v>2692.5554382259766</v>
      </c>
      <c r="CO42" s="833">
        <f t="shared" ca="1" si="2"/>
        <v>8410.5510389999999</v>
      </c>
      <c r="CP42" s="410"/>
      <c r="CQ42" s="140"/>
      <c r="CR42" s="833">
        <f t="shared" ca="1" si="3"/>
        <v>8410.5510389999999</v>
      </c>
      <c r="CS42" s="140"/>
      <c r="CT42" s="834">
        <f t="shared" ca="1" si="4"/>
        <v>1</v>
      </c>
      <c r="CU42" s="140"/>
      <c r="CV42" s="835">
        <f t="shared" ca="1" si="5"/>
        <v>2692.5554382259766</v>
      </c>
      <c r="DJ42" s="140"/>
      <c r="DK42" s="741"/>
    </row>
    <row r="43" spans="1:115" s="123" customFormat="1" ht="14.1" x14ac:dyDescent="0.5">
      <c r="A43" s="1317"/>
      <c r="C43" s="836">
        <v>2029</v>
      </c>
      <c r="D43" s="520">
        <v>10</v>
      </c>
      <c r="E43" s="837"/>
      <c r="F43" s="832" t="e">
        <f t="shared" si="1"/>
        <v>#N/A</v>
      </c>
      <c r="G43" s="932">
        <f t="shared" si="6"/>
        <v>2692.5554382259766</v>
      </c>
      <c r="H43" s="946"/>
      <c r="O43" s="412"/>
      <c r="P43" s="412"/>
      <c r="Q43" s="412"/>
      <c r="S43" s="451"/>
      <c r="T43" s="451"/>
      <c r="U43" s="451"/>
      <c r="V43" s="451"/>
      <c r="W43" s="451"/>
      <c r="X43" s="451"/>
      <c r="Y43" s="451"/>
      <c r="Z43" s="451"/>
      <c r="AA43" s="451"/>
      <c r="AB43" s="451"/>
      <c r="AC43" s="451"/>
      <c r="AD43" s="451"/>
      <c r="AE43" s="451"/>
      <c r="AF43" s="451"/>
      <c r="AG43" s="451"/>
      <c r="AH43" s="451"/>
      <c r="AI43" s="413"/>
      <c r="AJ43" s="413"/>
      <c r="AK43" s="413"/>
      <c r="AL43" s="451"/>
      <c r="AM43" s="165">
        <f t="shared" si="40"/>
        <v>2025</v>
      </c>
      <c r="AN43" s="444">
        <f t="shared" si="16"/>
        <v>11</v>
      </c>
      <c r="AO43" s="867">
        <f t="shared" si="17"/>
        <v>539.08130939809928</v>
      </c>
      <c r="AP43" s="445">
        <f t="shared" si="18"/>
        <v>1957.4445617740232</v>
      </c>
      <c r="AQ43" s="869">
        <f t="shared" si="19"/>
        <v>2496.5258711721226</v>
      </c>
      <c r="AR43" s="447" t="str">
        <f t="shared" si="20"/>
        <v/>
      </c>
      <c r="AT43" s="165">
        <f t="shared" si="41"/>
        <v>2025</v>
      </c>
      <c r="AU43" s="444">
        <f t="shared" si="21"/>
        <v>11</v>
      </c>
      <c r="AV43" s="867">
        <f t="shared" ca="1" si="22"/>
        <v>-86.046326492939144</v>
      </c>
      <c r="AW43" s="867">
        <f t="shared" ca="1" si="23"/>
        <v>717.30301818293708</v>
      </c>
      <c r="AX43" s="445">
        <f t="shared" ca="1" si="24"/>
        <v>2044.2898732424699</v>
      </c>
      <c r="AY43" s="869">
        <f t="shared" ca="1" si="12"/>
        <v>2675.5465649324678</v>
      </c>
      <c r="AZ43" s="846" t="str">
        <f t="shared" si="25"/>
        <v/>
      </c>
      <c r="BB43" s="165">
        <f t="shared" si="42"/>
        <v>2025</v>
      </c>
      <c r="BC43" s="444">
        <f t="shared" si="26"/>
        <v>11</v>
      </c>
      <c r="BD43" s="867">
        <f t="shared" ca="1" si="27"/>
        <v>127.04152661064413</v>
      </c>
      <c r="BE43" s="867">
        <f t="shared" ca="1" si="28"/>
        <v>-453.7245798319322</v>
      </c>
      <c r="BF43" s="867">
        <f t="shared" ca="1" si="29"/>
        <v>683.85259103641431</v>
      </c>
      <c r="BG43" s="445">
        <f t="shared" ca="1" si="30"/>
        <v>2232.8304621848733</v>
      </c>
      <c r="BH43" s="869">
        <f t="shared" ca="1" si="13"/>
        <v>2589.9999999999995</v>
      </c>
      <c r="BI43" s="846" t="str">
        <f t="shared" si="31"/>
        <v/>
      </c>
      <c r="BK43" s="165">
        <f t="shared" si="43"/>
        <v>2025</v>
      </c>
      <c r="BL43" s="444">
        <f t="shared" si="32"/>
        <v>11</v>
      </c>
      <c r="BM43" s="867">
        <f t="shared" ca="1" si="33"/>
        <v>1862.9883849899884</v>
      </c>
      <c r="BN43" s="445">
        <f t="shared" ca="1" si="34"/>
        <v>1.2678321212769013</v>
      </c>
      <c r="BO43" s="869">
        <f t="shared" ca="1" si="14"/>
        <v>2361.9565160560855</v>
      </c>
      <c r="BP43" s="846" t="str">
        <f t="shared" si="35"/>
        <v/>
      </c>
      <c r="BS43" s="165">
        <f t="shared" si="44"/>
        <v>2025</v>
      </c>
      <c r="BT43" s="444">
        <f t="shared" si="36"/>
        <v>11</v>
      </c>
      <c r="BU43" s="867">
        <f t="shared" ca="1" si="37"/>
        <v>1.259454340899987</v>
      </c>
      <c r="BV43" s="445">
        <f t="shared" ca="1" si="15"/>
        <v>0.584911017284381</v>
      </c>
      <c r="BW43" s="869">
        <f t="shared" ca="1" si="38"/>
        <v>2533.5862562265133</v>
      </c>
      <c r="BX43" s="846" t="str">
        <f t="shared" si="39"/>
        <v/>
      </c>
      <c r="CA43" s="164" t="b">
        <f t="shared" si="7"/>
        <v>0</v>
      </c>
      <c r="CB43" s="164" t="str">
        <f t="shared" si="8"/>
        <v/>
      </c>
      <c r="CC43" s="165" t="str">
        <f t="shared" si="9"/>
        <v/>
      </c>
      <c r="CD43" s="436" t="str">
        <f>IFERROR(INDEX($CB$19:$CB$74,_xlfn.AGGREGATE(15,6,(ROW($CB$19:$CB$74)-ROW($CB$19)+1)/($CB$19:$CB$74&lt;&gt;""),ROWS($CD$1:CD25))),"")</f>
        <v/>
      </c>
      <c r="CE43" s="437" t="str">
        <f>IFERROR(INDEX($CC$19:$CC$74,_xlfn.AGGREGATE(15,6,(ROW($CC$19:$CC$74)-ROW($CC$19)+1)/($CC$19:$CC$74&lt;&gt;""),ROWS($CE$1:CE25))),"")</f>
        <v/>
      </c>
      <c r="CF43" s="437" t="str">
        <f t="shared" si="10"/>
        <v/>
      </c>
      <c r="CG43" s="164"/>
      <c r="CH43" s="165"/>
      <c r="CK43" s="164">
        <f t="shared" si="11"/>
        <v>2030</v>
      </c>
      <c r="CL43" s="740">
        <f t="shared" si="0"/>
        <v>2741.5628299894402</v>
      </c>
      <c r="CO43" s="833">
        <f t="shared" ca="1" si="2"/>
        <v>8480.3806939999995</v>
      </c>
      <c r="CP43" s="410"/>
      <c r="CQ43" s="140"/>
      <c r="CR43" s="833">
        <f t="shared" ca="1" si="3"/>
        <v>8480.3806939999995</v>
      </c>
      <c r="CS43" s="140"/>
      <c r="CT43" s="834">
        <f t="shared" ca="1" si="4"/>
        <v>1</v>
      </c>
      <c r="CU43" s="140"/>
      <c r="CV43" s="835">
        <f t="shared" ca="1" si="5"/>
        <v>2590</v>
      </c>
      <c r="DJ43" s="140"/>
      <c r="DK43" s="741"/>
    </row>
    <row r="44" spans="1:115" s="123" customFormat="1" ht="14.1" x14ac:dyDescent="0.5">
      <c r="C44" s="836">
        <v>2030</v>
      </c>
      <c r="D44" s="520">
        <v>11</v>
      </c>
      <c r="E44" s="837">
        <v>2.59</v>
      </c>
      <c r="F44" s="832">
        <f t="shared" si="1"/>
        <v>2590</v>
      </c>
      <c r="G44" s="932">
        <f t="shared" si="6"/>
        <v>2590</v>
      </c>
      <c r="H44" s="946"/>
      <c r="O44" s="412"/>
      <c r="P44" s="412"/>
      <c r="Q44" s="412"/>
      <c r="S44" s="451"/>
      <c r="T44" s="451"/>
      <c r="U44" s="451"/>
      <c r="V44" s="451"/>
      <c r="W44" s="451"/>
      <c r="X44" s="451"/>
      <c r="Y44" s="451"/>
      <c r="Z44" s="451"/>
      <c r="AA44" s="451"/>
      <c r="AB44" s="451"/>
      <c r="AC44" s="451"/>
      <c r="AD44" s="451"/>
      <c r="AE44" s="451"/>
      <c r="AF44" s="451"/>
      <c r="AG44" s="451"/>
      <c r="AH44" s="451"/>
      <c r="AI44" s="413"/>
      <c r="AJ44" s="413"/>
      <c r="AK44" s="413"/>
      <c r="AL44" s="451"/>
      <c r="AM44" s="165">
        <f t="shared" si="40"/>
        <v>2026</v>
      </c>
      <c r="AN44" s="444">
        <f t="shared" si="16"/>
        <v>12</v>
      </c>
      <c r="AO44" s="867">
        <f t="shared" si="17"/>
        <v>588.08870116156277</v>
      </c>
      <c r="AP44" s="445">
        <f t="shared" si="18"/>
        <v>1957.4445617740232</v>
      </c>
      <c r="AQ44" s="869">
        <f t="shared" si="19"/>
        <v>2545.5332629355862</v>
      </c>
      <c r="AR44" s="447" t="str">
        <f t="shared" si="20"/>
        <v/>
      </c>
      <c r="AT44" s="165">
        <f t="shared" si="41"/>
        <v>2026</v>
      </c>
      <c r="AU44" s="444">
        <f t="shared" si="21"/>
        <v>12</v>
      </c>
      <c r="AV44" s="867">
        <f t="shared" ca="1" si="22"/>
        <v>-102.40223979324989</v>
      </c>
      <c r="AW44" s="867">
        <f t="shared" ca="1" si="23"/>
        <v>782.51238347229503</v>
      </c>
      <c r="AX44" s="445">
        <f t="shared" ca="1" si="24"/>
        <v>2044.2898732424699</v>
      </c>
      <c r="AY44" s="869">
        <f t="shared" ca="1" si="12"/>
        <v>2724.4000169215151</v>
      </c>
      <c r="AZ44" s="846" t="str">
        <f t="shared" si="25"/>
        <v/>
      </c>
      <c r="BB44" s="165">
        <f t="shared" si="42"/>
        <v>2026</v>
      </c>
      <c r="BC44" s="444">
        <f t="shared" si="26"/>
        <v>12</v>
      </c>
      <c r="BD44" s="867">
        <f t="shared" ca="1" si="27"/>
        <v>164.93445378151242</v>
      </c>
      <c r="BE44" s="867">
        <f t="shared" ca="1" si="28"/>
        <v>-539.96974789915896</v>
      </c>
      <c r="BF44" s="867">
        <f t="shared" ca="1" si="29"/>
        <v>746.02100840336107</v>
      </c>
      <c r="BG44" s="445">
        <f t="shared" ca="1" si="30"/>
        <v>2232.8304621848733</v>
      </c>
      <c r="BH44" s="869">
        <f t="shared" ca="1" si="13"/>
        <v>2603.8161764705878</v>
      </c>
      <c r="BI44" s="846" t="str">
        <f t="shared" si="31"/>
        <v/>
      </c>
      <c r="BK44" s="165">
        <f t="shared" si="43"/>
        <v>2026</v>
      </c>
      <c r="BL44" s="444">
        <f t="shared" si="32"/>
        <v>12</v>
      </c>
      <c r="BM44" s="867">
        <f t="shared" ca="1" si="33"/>
        <v>1862.9883849899884</v>
      </c>
      <c r="BN44" s="445">
        <f t="shared" ca="1" si="34"/>
        <v>1.2954808594994136</v>
      </c>
      <c r="BO44" s="869">
        <f t="shared" ca="1" si="14"/>
        <v>2413.4657942242548</v>
      </c>
      <c r="BP44" s="846" t="str">
        <f t="shared" si="35"/>
        <v/>
      </c>
      <c r="BS44" s="165">
        <f t="shared" si="44"/>
        <v>2026</v>
      </c>
      <c r="BT44" s="444">
        <f t="shared" si="36"/>
        <v>12</v>
      </c>
      <c r="BU44" s="867">
        <f t="shared" ca="1" si="37"/>
        <v>1.259454340899987</v>
      </c>
      <c r="BV44" s="445">
        <f t="shared" ca="1" si="15"/>
        <v>0.55707817908360246</v>
      </c>
      <c r="BW44" s="869">
        <f t="shared" ca="1" si="38"/>
        <v>2585.7795171488265</v>
      </c>
      <c r="BX44" s="846" t="str">
        <f t="shared" si="39"/>
        <v/>
      </c>
      <c r="CA44" s="164" t="b">
        <f t="shared" si="7"/>
        <v>1</v>
      </c>
      <c r="CB44" s="164">
        <f t="shared" si="8"/>
        <v>11</v>
      </c>
      <c r="CC44" s="165">
        <f t="shared" si="9"/>
        <v>2590</v>
      </c>
      <c r="CD44" s="436" t="str">
        <f>IFERROR(INDEX($CB$19:$CB$74,_xlfn.AGGREGATE(15,6,(ROW($CB$19:$CB$74)-ROW($CB$19)+1)/($CB$19:$CB$74&lt;&gt;""),ROWS($CD$1:CD26))),"")</f>
        <v/>
      </c>
      <c r="CE44" s="437" t="str">
        <f>IFERROR(INDEX($CC$19:$CC$74,_xlfn.AGGREGATE(15,6,(ROW($CC$19:$CC$74)-ROW($CC$19)+1)/($CC$19:$CC$74&lt;&gt;""),ROWS($CE$1:CE26))),"")</f>
        <v/>
      </c>
      <c r="CF44" s="437" t="str">
        <f t="shared" si="10"/>
        <v/>
      </c>
      <c r="CG44" s="164"/>
      <c r="CH44" s="165"/>
      <c r="CK44" s="164">
        <f t="shared" si="11"/>
        <v>2031</v>
      </c>
      <c r="CL44" s="740">
        <f t="shared" si="0"/>
        <v>2790.5702217529038</v>
      </c>
      <c r="CO44" s="833">
        <f t="shared" ca="1" si="2"/>
        <v>8549.3934300000001</v>
      </c>
      <c r="CP44" s="410"/>
      <c r="CQ44" s="140"/>
      <c r="CR44" s="833">
        <f t="shared" ca="1" si="3"/>
        <v>8549.3934300000001</v>
      </c>
      <c r="CS44" s="140"/>
      <c r="CT44" s="834">
        <f t="shared" ca="1" si="4"/>
        <v>1</v>
      </c>
      <c r="CU44" s="140"/>
      <c r="CV44" s="835">
        <f t="shared" ca="1" si="5"/>
        <v>2790.5702217529038</v>
      </c>
      <c r="DJ44" s="140"/>
      <c r="DK44" s="741"/>
    </row>
    <row r="45" spans="1:115" s="123" customFormat="1" ht="14.1" x14ac:dyDescent="0.5">
      <c r="C45" s="836">
        <v>2031</v>
      </c>
      <c r="D45" s="520">
        <v>12</v>
      </c>
      <c r="E45" s="837"/>
      <c r="F45" s="832" t="e">
        <f t="shared" si="1"/>
        <v>#N/A</v>
      </c>
      <c r="G45" s="932">
        <f t="shared" si="6"/>
        <v>2790.5702217529038</v>
      </c>
      <c r="H45" s="946"/>
      <c r="O45" s="412"/>
      <c r="P45" s="412"/>
      <c r="Q45" s="412"/>
      <c r="S45" s="451"/>
      <c r="T45" s="451"/>
      <c r="U45" s="451"/>
      <c r="V45" s="451"/>
      <c r="W45" s="451"/>
      <c r="X45" s="451"/>
      <c r="Y45" s="451"/>
      <c r="Z45" s="451"/>
      <c r="AA45" s="451"/>
      <c r="AB45" s="451"/>
      <c r="AC45" s="451"/>
      <c r="AD45" s="451"/>
      <c r="AE45" s="451"/>
      <c r="AF45" s="451"/>
      <c r="AG45" s="451"/>
      <c r="AH45" s="451"/>
      <c r="AI45" s="413"/>
      <c r="AJ45" s="413"/>
      <c r="AK45" s="413"/>
      <c r="AL45" s="451"/>
      <c r="AM45" s="165">
        <f t="shared" si="40"/>
        <v>2027</v>
      </c>
      <c r="AN45" s="444">
        <f t="shared" si="16"/>
        <v>13</v>
      </c>
      <c r="AO45" s="867">
        <f t="shared" si="17"/>
        <v>637.09609292502637</v>
      </c>
      <c r="AP45" s="445">
        <f t="shared" si="18"/>
        <v>1957.4445617740232</v>
      </c>
      <c r="AQ45" s="869">
        <f t="shared" si="19"/>
        <v>2594.5406546990498</v>
      </c>
      <c r="AR45" s="447" t="str">
        <f t="shared" si="20"/>
        <v/>
      </c>
      <c r="AT45" s="165">
        <f t="shared" si="41"/>
        <v>2027</v>
      </c>
      <c r="AU45" s="444">
        <f t="shared" si="21"/>
        <v>13</v>
      </c>
      <c r="AV45" s="867">
        <f t="shared" ca="1" si="22"/>
        <v>-120.18040642402245</v>
      </c>
      <c r="AW45" s="867">
        <f t="shared" ca="1" si="23"/>
        <v>847.72174876165298</v>
      </c>
      <c r="AX45" s="445">
        <f t="shared" ca="1" si="24"/>
        <v>2044.2898732424699</v>
      </c>
      <c r="AY45" s="869">
        <f t="shared" ca="1" si="12"/>
        <v>2771.8312155801004</v>
      </c>
      <c r="AZ45" s="846" t="str">
        <f t="shared" si="25"/>
        <v/>
      </c>
      <c r="BB45" s="165">
        <f t="shared" si="42"/>
        <v>2027</v>
      </c>
      <c r="BC45" s="444">
        <f t="shared" si="26"/>
        <v>13</v>
      </c>
      <c r="BD45" s="867">
        <f t="shared" ca="1" si="27"/>
        <v>209.69964985994375</v>
      </c>
      <c r="BE45" s="867">
        <f t="shared" ca="1" si="28"/>
        <v>-633.71449579831847</v>
      </c>
      <c r="BF45" s="867">
        <f t="shared" ca="1" si="29"/>
        <v>808.18942577030782</v>
      </c>
      <c r="BG45" s="445">
        <f t="shared" ca="1" si="30"/>
        <v>2232.8304621848733</v>
      </c>
      <c r="BH45" s="869">
        <f t="shared" ca="1" si="13"/>
        <v>2617.0050420168063</v>
      </c>
      <c r="BI45" s="846" t="str">
        <f t="shared" si="31"/>
        <v/>
      </c>
      <c r="BK45" s="165">
        <f t="shared" si="43"/>
        <v>2027</v>
      </c>
      <c r="BL45" s="444">
        <f t="shared" si="32"/>
        <v>13</v>
      </c>
      <c r="BM45" s="867">
        <f t="shared" ca="1" si="33"/>
        <v>1862.9883849899884</v>
      </c>
      <c r="BN45" s="445">
        <f t="shared" ca="1" si="34"/>
        <v>1.3237325582499548</v>
      </c>
      <c r="BO45" s="869">
        <f t="shared" ca="1" si="14"/>
        <v>2466.098380852749</v>
      </c>
      <c r="BP45" s="846" t="str">
        <f t="shared" si="35"/>
        <v/>
      </c>
      <c r="BS45" s="165">
        <f t="shared" si="44"/>
        <v>2027</v>
      </c>
      <c r="BT45" s="444">
        <f t="shared" si="36"/>
        <v>13</v>
      </c>
      <c r="BU45" s="867">
        <f t="shared" ca="1" si="37"/>
        <v>1.259454340899987</v>
      </c>
      <c r="BV45" s="445">
        <f t="shared" ca="1" si="15"/>
        <v>0.53056975922923733</v>
      </c>
      <c r="BW45" s="869">
        <f t="shared" ca="1" si="38"/>
        <v>2637.5285517498646</v>
      </c>
      <c r="BX45" s="846" t="str">
        <f t="shared" si="39"/>
        <v/>
      </c>
      <c r="CA45" s="164" t="b">
        <f t="shared" si="7"/>
        <v>0</v>
      </c>
      <c r="CB45" s="164" t="str">
        <f t="shared" si="8"/>
        <v/>
      </c>
      <c r="CC45" s="165" t="str">
        <f t="shared" si="9"/>
        <v/>
      </c>
      <c r="CD45" s="436" t="str">
        <f>IFERROR(INDEX($CB$19:$CB$74,_xlfn.AGGREGATE(15,6,(ROW($CB$19:$CB$74)-ROW($CB$19)+1)/($CB$19:$CB$74&lt;&gt;""),ROWS($CD$1:CD27))),"")</f>
        <v/>
      </c>
      <c r="CE45" s="437" t="str">
        <f>IFERROR(INDEX($CC$19:$CC$74,_xlfn.AGGREGATE(15,6,(ROW($CC$19:$CC$74)-ROW($CC$19)+1)/($CC$19:$CC$74&lt;&gt;""),ROWS($CE$1:CE27))),"")</f>
        <v/>
      </c>
      <c r="CF45" s="437" t="str">
        <f t="shared" si="10"/>
        <v/>
      </c>
      <c r="CG45" s="164"/>
      <c r="CH45" s="165"/>
      <c r="CK45" s="164">
        <f t="shared" si="11"/>
        <v>2032</v>
      </c>
      <c r="CL45" s="740">
        <f t="shared" si="0"/>
        <v>2839.5776135163674</v>
      </c>
      <c r="CO45" s="833">
        <f t="shared" ca="1" si="2"/>
        <v>8617.5920189999997</v>
      </c>
      <c r="CP45" s="410"/>
      <c r="CQ45" s="140"/>
      <c r="CR45" s="833">
        <f t="shared" ca="1" si="3"/>
        <v>8617.5920189999997</v>
      </c>
      <c r="CS45" s="140"/>
      <c r="CT45" s="834">
        <f t="shared" ca="1" si="4"/>
        <v>1</v>
      </c>
      <c r="CU45" s="140"/>
      <c r="CV45" s="835">
        <f t="shared" ca="1" si="5"/>
        <v>2839.5776135163674</v>
      </c>
      <c r="DJ45" s="140"/>
      <c r="DK45" s="741"/>
    </row>
    <row r="46" spans="1:115" s="123" customFormat="1" ht="14.1" x14ac:dyDescent="0.5">
      <c r="C46" s="836">
        <v>2032</v>
      </c>
      <c r="D46" s="520">
        <v>13</v>
      </c>
      <c r="E46" s="837"/>
      <c r="F46" s="832" t="e">
        <f t="shared" si="1"/>
        <v>#N/A</v>
      </c>
      <c r="G46" s="932">
        <f t="shared" si="6"/>
        <v>2839.5776135163674</v>
      </c>
      <c r="H46" s="946"/>
      <c r="O46" s="412"/>
      <c r="P46" s="412"/>
      <c r="Q46" s="412"/>
      <c r="S46" s="451"/>
      <c r="T46" s="451"/>
      <c r="U46" s="451"/>
      <c r="V46" s="451"/>
      <c r="W46" s="451"/>
      <c r="X46" s="451"/>
      <c r="Y46" s="451"/>
      <c r="Z46" s="451"/>
      <c r="AA46" s="451"/>
      <c r="AB46" s="451"/>
      <c r="AC46" s="451"/>
      <c r="AD46" s="451"/>
      <c r="AE46" s="451"/>
      <c r="AF46" s="451"/>
      <c r="AG46" s="451"/>
      <c r="AH46" s="451"/>
      <c r="AI46" s="413"/>
      <c r="AJ46" s="413"/>
      <c r="AK46" s="413"/>
      <c r="AL46" s="451"/>
      <c r="AM46" s="165">
        <f t="shared" si="40"/>
        <v>2028</v>
      </c>
      <c r="AN46" s="444">
        <f t="shared" si="16"/>
        <v>14</v>
      </c>
      <c r="AO46" s="867">
        <f t="shared" si="17"/>
        <v>686.10348468848997</v>
      </c>
      <c r="AP46" s="445">
        <f t="shared" si="18"/>
        <v>1957.4445617740232</v>
      </c>
      <c r="AQ46" s="869">
        <f t="shared" si="19"/>
        <v>2643.5480464625134</v>
      </c>
      <c r="AR46" s="447" t="str">
        <f t="shared" si="20"/>
        <v/>
      </c>
      <c r="AT46" s="165">
        <f t="shared" si="41"/>
        <v>2028</v>
      </c>
      <c r="AU46" s="444">
        <f t="shared" si="21"/>
        <v>14</v>
      </c>
      <c r="AV46" s="867">
        <f t="shared" ca="1" si="22"/>
        <v>-139.3808263852568</v>
      </c>
      <c r="AW46" s="867">
        <f t="shared" ca="1" si="23"/>
        <v>912.93111405101081</v>
      </c>
      <c r="AX46" s="445">
        <f t="shared" ca="1" si="24"/>
        <v>2044.2898732424699</v>
      </c>
      <c r="AY46" s="869">
        <f t="shared" ca="1" si="12"/>
        <v>2817.8401609082239</v>
      </c>
      <c r="AZ46" s="846" t="str">
        <f t="shared" si="25"/>
        <v/>
      </c>
      <c r="BB46" s="165">
        <f t="shared" si="42"/>
        <v>2028</v>
      </c>
      <c r="BC46" s="444">
        <f t="shared" si="26"/>
        <v>14</v>
      </c>
      <c r="BD46" s="867">
        <f t="shared" ca="1" si="27"/>
        <v>261.90980392156837</v>
      </c>
      <c r="BE46" s="867">
        <f t="shared" ca="1" si="28"/>
        <v>-734.95882352941078</v>
      </c>
      <c r="BF46" s="867">
        <f t="shared" ca="1" si="29"/>
        <v>870.35784313725458</v>
      </c>
      <c r="BG46" s="445">
        <f t="shared" ca="1" si="30"/>
        <v>2232.8304621848733</v>
      </c>
      <c r="BH46" s="869">
        <f t="shared" ca="1" si="13"/>
        <v>2630.1392857142855</v>
      </c>
      <c r="BI46" s="846" t="str">
        <f t="shared" si="31"/>
        <v/>
      </c>
      <c r="BK46" s="165">
        <f t="shared" si="43"/>
        <v>2028</v>
      </c>
      <c r="BL46" s="444">
        <f t="shared" si="32"/>
        <v>14</v>
      </c>
      <c r="BM46" s="867">
        <f t="shared" ca="1" si="33"/>
        <v>1862.9883849899884</v>
      </c>
      <c r="BN46" s="445">
        <f t="shared" ca="1" si="34"/>
        <v>1.3526003668229136</v>
      </c>
      <c r="BO46" s="869">
        <f t="shared" ca="1" si="14"/>
        <v>2519.8787729242858</v>
      </c>
      <c r="BP46" s="846" t="str">
        <f t="shared" si="35"/>
        <v/>
      </c>
      <c r="BS46" s="165">
        <f t="shared" si="44"/>
        <v>2028</v>
      </c>
      <c r="BT46" s="444">
        <f t="shared" si="36"/>
        <v>14</v>
      </c>
      <c r="BU46" s="867">
        <f t="shared" ca="1" si="37"/>
        <v>1.259454340899987</v>
      </c>
      <c r="BV46" s="445">
        <f t="shared" ca="1" si="15"/>
        <v>0.50532273561970653</v>
      </c>
      <c r="BW46" s="869">
        <f t="shared" ca="1" si="38"/>
        <v>2688.7783439126797</v>
      </c>
      <c r="BX46" s="846" t="str">
        <f t="shared" si="39"/>
        <v/>
      </c>
      <c r="CA46" s="164" t="b">
        <f t="shared" si="7"/>
        <v>0</v>
      </c>
      <c r="CB46" s="164" t="str">
        <f t="shared" si="8"/>
        <v/>
      </c>
      <c r="CC46" s="165" t="str">
        <f t="shared" si="9"/>
        <v/>
      </c>
      <c r="CD46" s="436" t="str">
        <f>IFERROR(INDEX($CB$19:$CB$74,_xlfn.AGGREGATE(15,6,(ROW($CB$19:$CB$74)-ROW($CB$19)+1)/($CB$19:$CB$74&lt;&gt;""),ROWS($CD$1:CD28))),"")</f>
        <v/>
      </c>
      <c r="CE46" s="437" t="str">
        <f>IFERROR(INDEX($CC$19:$CC$74,_xlfn.AGGREGATE(15,6,(ROW($CC$19:$CC$74)-ROW($CC$19)+1)/($CC$19:$CC$74&lt;&gt;""),ROWS($CE$1:CE28))),"")</f>
        <v/>
      </c>
      <c r="CF46" s="437" t="str">
        <f t="shared" si="10"/>
        <v/>
      </c>
      <c r="CG46" s="164"/>
      <c r="CH46" s="165"/>
      <c r="CK46" s="164">
        <f t="shared" si="11"/>
        <v>2033</v>
      </c>
      <c r="CL46" s="740">
        <f t="shared" si="0"/>
        <v>2888.585005279831</v>
      </c>
      <c r="CO46" s="833">
        <f t="shared" ca="1" si="2"/>
        <v>8684.9923589999999</v>
      </c>
      <c r="CP46" s="410"/>
      <c r="CQ46" s="140"/>
      <c r="CR46" s="833">
        <f t="shared" ca="1" si="3"/>
        <v>8684.9923589999999</v>
      </c>
      <c r="CS46" s="140"/>
      <c r="CT46" s="834">
        <f t="shared" ca="1" si="4"/>
        <v>1</v>
      </c>
      <c r="CU46" s="140"/>
      <c r="CV46" s="835">
        <f t="shared" ca="1" si="5"/>
        <v>2888.585005279831</v>
      </c>
      <c r="DJ46" s="140"/>
      <c r="DK46" s="741"/>
    </row>
    <row r="47" spans="1:115" s="743" customFormat="1" ht="14.1" x14ac:dyDescent="0.5">
      <c r="C47" s="836">
        <v>2033</v>
      </c>
      <c r="D47" s="520">
        <v>14</v>
      </c>
      <c r="E47" s="837"/>
      <c r="F47" s="832" t="e">
        <f t="shared" si="1"/>
        <v>#N/A</v>
      </c>
      <c r="G47" s="932">
        <f t="shared" si="6"/>
        <v>2888.585005279831</v>
      </c>
      <c r="H47" s="946"/>
      <c r="J47" s="123"/>
      <c r="K47" s="123"/>
      <c r="L47" s="123"/>
      <c r="M47" s="123"/>
      <c r="N47" s="123"/>
      <c r="O47" s="412"/>
      <c r="P47" s="412"/>
      <c r="Q47" s="412"/>
      <c r="S47" s="451"/>
      <c r="T47" s="451"/>
      <c r="U47" s="451"/>
      <c r="V47" s="451"/>
      <c r="W47" s="451"/>
      <c r="X47" s="451"/>
      <c r="Y47" s="451"/>
      <c r="Z47" s="451"/>
      <c r="AA47" s="451"/>
      <c r="AB47" s="451"/>
      <c r="AC47" s="451"/>
      <c r="AD47" s="451"/>
      <c r="AE47" s="451"/>
      <c r="AF47" s="451"/>
      <c r="AG47" s="451"/>
      <c r="AH47" s="451"/>
      <c r="AI47" s="413"/>
      <c r="AJ47" s="413"/>
      <c r="AK47" s="413"/>
      <c r="AL47" s="451"/>
      <c r="AM47" s="165">
        <f t="shared" si="40"/>
        <v>2029</v>
      </c>
      <c r="AN47" s="444">
        <f t="shared" si="16"/>
        <v>15</v>
      </c>
      <c r="AO47" s="867">
        <f t="shared" si="17"/>
        <v>735.11087645195346</v>
      </c>
      <c r="AP47" s="445">
        <f t="shared" si="18"/>
        <v>1957.4445617740232</v>
      </c>
      <c r="AQ47" s="869">
        <f t="shared" si="19"/>
        <v>2692.5554382259766</v>
      </c>
      <c r="AR47" s="447" t="str">
        <f t="shared" si="20"/>
        <v/>
      </c>
      <c r="AT47" s="165">
        <f t="shared" si="41"/>
        <v>2029</v>
      </c>
      <c r="AU47" s="444">
        <f t="shared" si="21"/>
        <v>15</v>
      </c>
      <c r="AV47" s="867">
        <f t="shared" ca="1" si="22"/>
        <v>-160.00349967695297</v>
      </c>
      <c r="AW47" s="867">
        <f t="shared" ca="1" si="23"/>
        <v>978.14047934036876</v>
      </c>
      <c r="AX47" s="445">
        <f t="shared" ca="1" si="24"/>
        <v>2044.2898732424699</v>
      </c>
      <c r="AY47" s="869">
        <f t="shared" ca="1" si="12"/>
        <v>2862.4268529058854</v>
      </c>
      <c r="AZ47" s="846" t="str">
        <f t="shared" si="25"/>
        <v/>
      </c>
      <c r="BB47" s="165">
        <f t="shared" si="42"/>
        <v>2029</v>
      </c>
      <c r="BC47" s="444">
        <f t="shared" si="26"/>
        <v>15</v>
      </c>
      <c r="BD47" s="867">
        <f t="shared" ca="1" si="27"/>
        <v>322.13760504201645</v>
      </c>
      <c r="BE47" s="867">
        <f t="shared" ca="1" si="28"/>
        <v>-843.7027310924359</v>
      </c>
      <c r="BF47" s="867">
        <f t="shared" ca="1" si="29"/>
        <v>932.52626050420133</v>
      </c>
      <c r="BG47" s="445">
        <f t="shared" ca="1" si="30"/>
        <v>2232.8304621848733</v>
      </c>
      <c r="BH47" s="869">
        <f t="shared" ca="1" si="13"/>
        <v>2643.7915966386554</v>
      </c>
      <c r="BI47" s="846" t="str">
        <f t="shared" si="31"/>
        <v/>
      </c>
      <c r="BK47" s="165">
        <f t="shared" si="43"/>
        <v>2029</v>
      </c>
      <c r="BL47" s="444">
        <f t="shared" si="32"/>
        <v>15</v>
      </c>
      <c r="BM47" s="867">
        <f t="shared" ca="1" si="33"/>
        <v>1862.9883849899884</v>
      </c>
      <c r="BN47" s="445">
        <f t="shared" ca="1" si="34"/>
        <v>1.3820977212709897</v>
      </c>
      <c r="BO47" s="869">
        <f t="shared" ca="1" si="14"/>
        <v>2574.8320016489843</v>
      </c>
      <c r="BP47" s="846" t="str">
        <f t="shared" si="35"/>
        <v/>
      </c>
      <c r="BS47" s="165">
        <f t="shared" si="44"/>
        <v>2029</v>
      </c>
      <c r="BT47" s="444">
        <f t="shared" si="36"/>
        <v>15</v>
      </c>
      <c r="BU47" s="867">
        <f t="shared" ca="1" si="37"/>
        <v>1.259454340899987</v>
      </c>
      <c r="BV47" s="445">
        <f t="shared" ca="1" si="15"/>
        <v>0.48127708504369776</v>
      </c>
      <c r="BW47" s="869">
        <f t="shared" ca="1" si="38"/>
        <v>2739.4761074585672</v>
      </c>
      <c r="BX47" s="846" t="str">
        <f t="shared" si="39"/>
        <v/>
      </c>
      <c r="CA47" s="164" t="b">
        <f t="shared" si="7"/>
        <v>0</v>
      </c>
      <c r="CB47" s="164" t="str">
        <f t="shared" si="8"/>
        <v/>
      </c>
      <c r="CC47" s="165" t="str">
        <f t="shared" si="9"/>
        <v/>
      </c>
      <c r="CD47" s="436" t="str">
        <f>IFERROR(INDEX($CB$19:$CB$74,_xlfn.AGGREGATE(15,6,(ROW($CB$19:$CB$74)-ROW($CB$19)+1)/($CB$19:$CB$74&lt;&gt;""),ROWS($CD$1:CD29))),"")</f>
        <v/>
      </c>
      <c r="CE47" s="437" t="str">
        <f>IFERROR(INDEX($CC$19:$CC$74,_xlfn.AGGREGATE(15,6,(ROW($CC$19:$CC$74)-ROW($CC$19)+1)/($CC$19:$CC$74&lt;&gt;""),ROWS($CE$1:CE29))),"")</f>
        <v/>
      </c>
      <c r="CF47" s="437" t="str">
        <f t="shared" si="10"/>
        <v/>
      </c>
      <c r="CG47" s="164"/>
      <c r="CH47" s="165"/>
      <c r="CK47" s="164">
        <f t="shared" si="11"/>
        <v>2034</v>
      </c>
      <c r="CL47" s="740">
        <f t="shared" si="0"/>
        <v>2937.5923970432946</v>
      </c>
      <c r="CO47" s="833">
        <f t="shared" ca="1" si="2"/>
        <v>8751.6078699999998</v>
      </c>
      <c r="CP47" s="410"/>
      <c r="CQ47" s="140"/>
      <c r="CR47" s="833">
        <f t="shared" ca="1" si="3"/>
        <v>8751.6078699999998</v>
      </c>
      <c r="CS47" s="140"/>
      <c r="CT47" s="834">
        <f t="shared" ca="1" si="4"/>
        <v>1</v>
      </c>
      <c r="CU47" s="140"/>
      <c r="CV47" s="835">
        <f t="shared" ca="1" si="5"/>
        <v>2937.5923970432946</v>
      </c>
      <c r="DJ47" s="140"/>
      <c r="DK47" s="741"/>
    </row>
    <row r="48" spans="1:115" s="743" customFormat="1" ht="14.1" x14ac:dyDescent="0.5">
      <c r="C48" s="836">
        <v>2034</v>
      </c>
      <c r="D48" s="520">
        <v>15</v>
      </c>
      <c r="E48" s="837"/>
      <c r="F48" s="832" t="e">
        <f t="shared" si="1"/>
        <v>#N/A</v>
      </c>
      <c r="G48" s="932">
        <f t="shared" si="6"/>
        <v>2937.5923970432946</v>
      </c>
      <c r="H48" s="946"/>
      <c r="J48" s="123"/>
      <c r="K48" s="123"/>
      <c r="L48" s="123"/>
      <c r="M48" s="123"/>
      <c r="N48" s="123"/>
      <c r="O48" s="412"/>
      <c r="P48" s="412"/>
      <c r="Q48" s="412"/>
      <c r="S48" s="451"/>
      <c r="T48" s="451"/>
      <c r="U48" s="451"/>
      <c r="V48" s="451"/>
      <c r="W48" s="451"/>
      <c r="X48" s="451"/>
      <c r="Y48" s="451"/>
      <c r="Z48" s="451"/>
      <c r="AA48" s="451"/>
      <c r="AB48" s="451"/>
      <c r="AC48" s="451"/>
      <c r="AD48" s="451"/>
      <c r="AE48" s="451"/>
      <c r="AF48" s="451"/>
      <c r="AG48" s="451"/>
      <c r="AH48" s="451"/>
      <c r="AI48" s="413"/>
      <c r="AJ48" s="413"/>
      <c r="AK48" s="413"/>
      <c r="AL48" s="451"/>
      <c r="AM48" s="165">
        <f t="shared" si="40"/>
        <v>2030</v>
      </c>
      <c r="AN48" s="444">
        <f t="shared" si="16"/>
        <v>16</v>
      </c>
      <c r="AO48" s="867">
        <f t="shared" si="17"/>
        <v>784.11826821541706</v>
      </c>
      <c r="AP48" s="445">
        <f t="shared" si="18"/>
        <v>1957.4445617740232</v>
      </c>
      <c r="AQ48" s="869">
        <f t="shared" si="19"/>
        <v>2741.5628299894402</v>
      </c>
      <c r="AR48" s="447" t="str">
        <f t="shared" si="20"/>
        <v/>
      </c>
      <c r="AT48" s="165">
        <f t="shared" si="41"/>
        <v>2030</v>
      </c>
      <c r="AU48" s="444">
        <f t="shared" si="21"/>
        <v>16</v>
      </c>
      <c r="AV48" s="867">
        <f t="shared" ca="1" si="22"/>
        <v>-182.04842629911093</v>
      </c>
      <c r="AW48" s="867">
        <f t="shared" ca="1" si="23"/>
        <v>1043.3498446297267</v>
      </c>
      <c r="AX48" s="445">
        <f t="shared" ca="1" si="24"/>
        <v>2044.2898732424699</v>
      </c>
      <c r="AY48" s="869">
        <f t="shared" ca="1" si="12"/>
        <v>2905.5912915730855</v>
      </c>
      <c r="AZ48" s="846" t="str">
        <f t="shared" si="25"/>
        <v/>
      </c>
      <c r="BB48" s="165">
        <f t="shared" si="42"/>
        <v>2030</v>
      </c>
      <c r="BC48" s="444">
        <f t="shared" si="26"/>
        <v>16</v>
      </c>
      <c r="BD48" s="867">
        <f t="shared" ca="1" si="27"/>
        <v>390.95574229691834</v>
      </c>
      <c r="BE48" s="867">
        <f t="shared" ca="1" si="28"/>
        <v>-959.94621848739371</v>
      </c>
      <c r="BF48" s="867">
        <f t="shared" ca="1" si="29"/>
        <v>994.69467787114809</v>
      </c>
      <c r="BG48" s="445">
        <f t="shared" ca="1" si="30"/>
        <v>2232.8304621848733</v>
      </c>
      <c r="BH48" s="869">
        <f t="shared" ca="1" si="13"/>
        <v>2658.534663865546</v>
      </c>
      <c r="BI48" s="846" t="str">
        <f t="shared" si="31"/>
        <v/>
      </c>
      <c r="BK48" s="165">
        <f t="shared" si="43"/>
        <v>2030</v>
      </c>
      <c r="BL48" s="444">
        <f t="shared" si="32"/>
        <v>16</v>
      </c>
      <c r="BM48" s="867">
        <f t="shared" ca="1" si="33"/>
        <v>1862.9883849899884</v>
      </c>
      <c r="BN48" s="445">
        <f t="shared" ca="1" si="34"/>
        <v>1.4122383506587877</v>
      </c>
      <c r="BO48" s="869">
        <f t="shared" ca="1" si="14"/>
        <v>2630.9836441147399</v>
      </c>
      <c r="BP48" s="846" t="str">
        <f t="shared" si="35"/>
        <v/>
      </c>
      <c r="BS48" s="165">
        <f t="shared" si="44"/>
        <v>2030</v>
      </c>
      <c r="BT48" s="444">
        <f t="shared" si="36"/>
        <v>16</v>
      </c>
      <c r="BU48" s="867">
        <f t="shared" ca="1" si="37"/>
        <v>1.259454340899987</v>
      </c>
      <c r="BV48" s="445">
        <f t="shared" ca="1" si="15"/>
        <v>0.45837564047875323</v>
      </c>
      <c r="BW48" s="869">
        <f t="shared" ca="1" si="38"/>
        <v>2789.5714834274386</v>
      </c>
      <c r="BX48" s="846">
        <f t="shared" ca="1" si="39"/>
        <v>2789.5714834274386</v>
      </c>
      <c r="CA48" s="164" t="b">
        <f t="shared" si="7"/>
        <v>0</v>
      </c>
      <c r="CB48" s="164" t="str">
        <f t="shared" si="8"/>
        <v/>
      </c>
      <c r="CC48" s="165" t="str">
        <f t="shared" si="9"/>
        <v/>
      </c>
      <c r="CD48" s="436" t="str">
        <f>IFERROR(INDEX($CB$19:$CB$74,_xlfn.AGGREGATE(15,6,(ROW($CB$19:$CB$74)-ROW($CB$19)+1)/($CB$19:$CB$74&lt;&gt;""),ROWS($CD$1:CD30))),"")</f>
        <v/>
      </c>
      <c r="CE48" s="437" t="str">
        <f>IFERROR(INDEX($CC$19:$CC$74,_xlfn.AGGREGATE(15,6,(ROW($CC$19:$CC$74)-ROW($CC$19)+1)/($CC$19:$CC$74&lt;&gt;""),ROWS($CE$1:CE30))),"")</f>
        <v/>
      </c>
      <c r="CF48" s="437" t="str">
        <f t="shared" si="10"/>
        <v/>
      </c>
      <c r="CG48" s="164"/>
      <c r="CH48" s="165"/>
      <c r="CK48" s="164">
        <f t="shared" si="11"/>
        <v>2035</v>
      </c>
      <c r="CL48" s="740">
        <f t="shared" si="0"/>
        <v>2986.5997888067582</v>
      </c>
      <c r="CO48" s="833">
        <f t="shared" ca="1" si="2"/>
        <v>8817.4459339999994</v>
      </c>
      <c r="CP48" s="410"/>
      <c r="CQ48" s="140"/>
      <c r="CR48" s="833">
        <f t="shared" ca="1" si="3"/>
        <v>8817.4459339999994</v>
      </c>
      <c r="CS48" s="140"/>
      <c r="CT48" s="834">
        <f t="shared" ca="1" si="4"/>
        <v>1</v>
      </c>
      <c r="CU48" s="140"/>
      <c r="CV48" s="835">
        <f t="shared" ca="1" si="5"/>
        <v>2986.5997888067582</v>
      </c>
      <c r="DJ48" s="140"/>
      <c r="DK48" s="741"/>
    </row>
    <row r="49" spans="1:115" s="743" customFormat="1" ht="14.1" x14ac:dyDescent="0.5">
      <c r="C49" s="836">
        <v>2035</v>
      </c>
      <c r="D49" s="520">
        <v>16</v>
      </c>
      <c r="E49" s="837"/>
      <c r="F49" s="832" t="e">
        <f t="shared" si="1"/>
        <v>#N/A</v>
      </c>
      <c r="G49" s="932">
        <f t="shared" si="6"/>
        <v>2986.5997888067582</v>
      </c>
      <c r="H49" s="946"/>
      <c r="J49" s="123"/>
      <c r="K49" s="123"/>
      <c r="L49" s="123"/>
      <c r="M49" s="123"/>
      <c r="N49" s="123"/>
      <c r="O49" s="412"/>
      <c r="P49" s="412"/>
      <c r="Q49" s="412"/>
      <c r="S49" s="451"/>
      <c r="T49" s="451"/>
      <c r="U49" s="451"/>
      <c r="V49" s="451"/>
      <c r="W49" s="451"/>
      <c r="X49" s="451"/>
      <c r="Y49" s="451"/>
      <c r="Z49" s="451"/>
      <c r="AA49" s="451"/>
      <c r="AB49" s="451"/>
      <c r="AC49" s="451"/>
      <c r="AD49" s="451"/>
      <c r="AE49" s="451"/>
      <c r="AF49" s="451"/>
      <c r="AG49" s="451"/>
      <c r="AH49" s="451"/>
      <c r="AI49" s="413"/>
      <c r="AJ49" s="413"/>
      <c r="AK49" s="413"/>
      <c r="AL49" s="451"/>
      <c r="AM49" s="165">
        <f t="shared" si="40"/>
        <v>2031</v>
      </c>
      <c r="AN49" s="444">
        <f t="shared" si="16"/>
        <v>17</v>
      </c>
      <c r="AO49" s="867">
        <f t="shared" si="17"/>
        <v>833.12565997888066</v>
      </c>
      <c r="AP49" s="445">
        <f t="shared" si="18"/>
        <v>1957.4445617740232</v>
      </c>
      <c r="AQ49" s="869">
        <f t="shared" si="19"/>
        <v>2790.5702217529038</v>
      </c>
      <c r="AR49" s="447" t="str">
        <f t="shared" si="20"/>
        <v/>
      </c>
      <c r="AT49" s="165">
        <f t="shared" si="41"/>
        <v>2031</v>
      </c>
      <c r="AU49" s="444">
        <f t="shared" si="21"/>
        <v>17</v>
      </c>
      <c r="AV49" s="867">
        <f t="shared" ca="1" si="22"/>
        <v>-205.5156062517307</v>
      </c>
      <c r="AW49" s="867">
        <f t="shared" ca="1" si="23"/>
        <v>1108.5592099190847</v>
      </c>
      <c r="AX49" s="445">
        <f t="shared" ca="1" si="24"/>
        <v>2044.2898732424699</v>
      </c>
      <c r="AY49" s="869">
        <f t="shared" ca="1" si="12"/>
        <v>2947.3334769098237</v>
      </c>
      <c r="AZ49" s="846" t="str">
        <f t="shared" si="25"/>
        <v/>
      </c>
      <c r="BB49" s="165">
        <f t="shared" si="42"/>
        <v>2031</v>
      </c>
      <c r="BC49" s="444">
        <f t="shared" si="26"/>
        <v>17</v>
      </c>
      <c r="BD49" s="867">
        <f t="shared" ca="1" si="27"/>
        <v>468.93690476190426</v>
      </c>
      <c r="BE49" s="867">
        <f t="shared" ca="1" si="28"/>
        <v>-1083.6892857142843</v>
      </c>
      <c r="BF49" s="867">
        <f t="shared" ca="1" si="29"/>
        <v>1056.863095238095</v>
      </c>
      <c r="BG49" s="445">
        <f t="shared" ca="1" si="30"/>
        <v>2232.8304621848733</v>
      </c>
      <c r="BH49" s="869">
        <f t="shared" ca="1" si="13"/>
        <v>2674.9411764705883</v>
      </c>
      <c r="BI49" s="846" t="str">
        <f t="shared" si="31"/>
        <v/>
      </c>
      <c r="BK49" s="165">
        <f t="shared" si="43"/>
        <v>2031</v>
      </c>
      <c r="BL49" s="444">
        <f t="shared" si="32"/>
        <v>17</v>
      </c>
      <c r="BM49" s="867">
        <f t="shared" ca="1" si="33"/>
        <v>1862.9883849899884</v>
      </c>
      <c r="BN49" s="445">
        <f t="shared" ca="1" si="34"/>
        <v>1.4430362834527852</v>
      </c>
      <c r="BO49" s="869">
        <f t="shared" ca="1" si="14"/>
        <v>2688.3598351916594</v>
      </c>
      <c r="BP49" s="846" t="str">
        <f t="shared" si="35"/>
        <v/>
      </c>
      <c r="BS49" s="165">
        <f t="shared" si="44"/>
        <v>2031</v>
      </c>
      <c r="BT49" s="444">
        <f t="shared" si="36"/>
        <v>17</v>
      </c>
      <c r="BU49" s="867">
        <f t="shared" ca="1" si="37"/>
        <v>1.259454340899987</v>
      </c>
      <c r="BV49" s="445">
        <f t="shared" ca="1" si="15"/>
        <v>0.43656395518026869</v>
      </c>
      <c r="BW49" s="869">
        <f t="shared" ca="1" si="38"/>
        <v>2839.0167153695784</v>
      </c>
      <c r="BX49" s="846" t="str">
        <f t="shared" si="39"/>
        <v/>
      </c>
      <c r="CA49" s="164" t="b">
        <f t="shared" si="7"/>
        <v>0</v>
      </c>
      <c r="CB49" s="164" t="str">
        <f t="shared" si="8"/>
        <v/>
      </c>
      <c r="CC49" s="165" t="str">
        <f t="shared" si="9"/>
        <v/>
      </c>
      <c r="CD49" s="436" t="str">
        <f>IFERROR(INDEX($CB$19:$CB$74,_xlfn.AGGREGATE(15,6,(ROW($CB$19:$CB$74)-ROW($CB$19)+1)/($CB$19:$CB$74&lt;&gt;""),ROWS($CD$1:CD31))),"")</f>
        <v/>
      </c>
      <c r="CE49" s="437" t="str">
        <f>IFERROR(INDEX($CC$19:$CC$74,_xlfn.AGGREGATE(15,6,(ROW($CC$19:$CC$74)-ROW($CC$19)+1)/($CC$19:$CC$74&lt;&gt;""),ROWS($CE$1:CE31))),"")</f>
        <v/>
      </c>
      <c r="CF49" s="437" t="str">
        <f t="shared" si="10"/>
        <v/>
      </c>
      <c r="CG49" s="164"/>
      <c r="CH49" s="165"/>
      <c r="CK49" s="164">
        <f t="shared" si="11"/>
        <v>2036</v>
      </c>
      <c r="CL49" s="740">
        <f t="shared" si="0"/>
        <v>3035.6071805702218</v>
      </c>
      <c r="CO49" s="833">
        <f t="shared" ca="1" si="2"/>
        <v>8882.5087440000007</v>
      </c>
      <c r="CP49" s="410"/>
      <c r="CQ49" s="140"/>
      <c r="CR49" s="833">
        <f t="shared" ca="1" si="3"/>
        <v>8882.5087440000007</v>
      </c>
      <c r="CS49" s="140"/>
      <c r="CT49" s="834">
        <f t="shared" ca="1" si="4"/>
        <v>1</v>
      </c>
      <c r="CU49" s="140"/>
      <c r="CV49" s="835">
        <f t="shared" ca="1" si="5"/>
        <v>3035.6071805702218</v>
      </c>
      <c r="DJ49" s="140"/>
      <c r="DK49" s="741"/>
    </row>
    <row r="50" spans="1:115" s="743" customFormat="1" ht="14.1" x14ac:dyDescent="0.5">
      <c r="C50" s="836">
        <v>2036</v>
      </c>
      <c r="D50" s="520">
        <v>17</v>
      </c>
      <c r="E50" s="837"/>
      <c r="F50" s="832" t="e">
        <f t="shared" si="1"/>
        <v>#N/A</v>
      </c>
      <c r="G50" s="932">
        <f t="shared" si="6"/>
        <v>3035.6071805702218</v>
      </c>
      <c r="H50" s="946"/>
      <c r="J50" s="123"/>
      <c r="K50" s="123"/>
      <c r="L50" s="123"/>
      <c r="M50" s="123"/>
      <c r="N50" s="123"/>
      <c r="O50" s="412"/>
      <c r="P50" s="412"/>
      <c r="Q50" s="412"/>
      <c r="S50" s="451"/>
      <c r="T50" s="451"/>
      <c r="U50" s="451"/>
      <c r="V50" s="451"/>
      <c r="W50" s="451"/>
      <c r="X50" s="451"/>
      <c r="Y50" s="451"/>
      <c r="Z50" s="451"/>
      <c r="AA50" s="451"/>
      <c r="AB50" s="451"/>
      <c r="AC50" s="451"/>
      <c r="AD50" s="451"/>
      <c r="AE50" s="451"/>
      <c r="AF50" s="451"/>
      <c r="AG50" s="451"/>
      <c r="AH50" s="451"/>
      <c r="AI50" s="413"/>
      <c r="AJ50" s="413"/>
      <c r="AK50" s="413"/>
      <c r="AL50" s="451"/>
      <c r="AM50" s="165">
        <f t="shared" si="40"/>
        <v>2032</v>
      </c>
      <c r="AN50" s="444">
        <f t="shared" si="16"/>
        <v>18</v>
      </c>
      <c r="AO50" s="867">
        <f t="shared" si="17"/>
        <v>882.13305174234415</v>
      </c>
      <c r="AP50" s="445">
        <f t="shared" si="18"/>
        <v>1957.4445617740232</v>
      </c>
      <c r="AQ50" s="869">
        <f t="shared" si="19"/>
        <v>2839.5776135163674</v>
      </c>
      <c r="AR50" s="447" t="str">
        <f t="shared" si="20"/>
        <v/>
      </c>
      <c r="AT50" s="165">
        <f t="shared" si="41"/>
        <v>2032</v>
      </c>
      <c r="AU50" s="444">
        <f t="shared" si="21"/>
        <v>18</v>
      </c>
      <c r="AV50" s="867">
        <f t="shared" ca="1" si="22"/>
        <v>-230.40503953481226</v>
      </c>
      <c r="AW50" s="867">
        <f t="shared" ca="1" si="23"/>
        <v>1173.7685752084426</v>
      </c>
      <c r="AX50" s="445">
        <f t="shared" ca="1" si="24"/>
        <v>2044.2898732424699</v>
      </c>
      <c r="AY50" s="869">
        <f t="shared" ca="1" si="12"/>
        <v>2987.6534089161005</v>
      </c>
      <c r="AZ50" s="846" t="str">
        <f t="shared" si="25"/>
        <v/>
      </c>
      <c r="BB50" s="165">
        <f t="shared" si="42"/>
        <v>2032</v>
      </c>
      <c r="BC50" s="444">
        <f t="shared" si="26"/>
        <v>18</v>
      </c>
      <c r="BD50" s="867">
        <f t="shared" ca="1" si="27"/>
        <v>556.6537815126045</v>
      </c>
      <c r="BE50" s="867">
        <f t="shared" ca="1" si="28"/>
        <v>-1214.9319327731077</v>
      </c>
      <c r="BF50" s="867">
        <f t="shared" ca="1" si="29"/>
        <v>1119.0315126050416</v>
      </c>
      <c r="BG50" s="445">
        <f t="shared" ca="1" si="30"/>
        <v>2232.8304621848733</v>
      </c>
      <c r="BH50" s="869">
        <f t="shared" ca="1" si="13"/>
        <v>2693.5838235294118</v>
      </c>
      <c r="BI50" s="846" t="str">
        <f t="shared" si="31"/>
        <v/>
      </c>
      <c r="BK50" s="165">
        <f t="shared" si="43"/>
        <v>2032</v>
      </c>
      <c r="BL50" s="444">
        <f t="shared" si="32"/>
        <v>18</v>
      </c>
      <c r="BM50" s="867">
        <f t="shared" ca="1" si="33"/>
        <v>1862.9883849899884</v>
      </c>
      <c r="BN50" s="445">
        <f t="shared" ca="1" si="34"/>
        <v>1.4745058540506575</v>
      </c>
      <c r="BO50" s="869">
        <f t="shared" ca="1" si="14"/>
        <v>2746.9872796961181</v>
      </c>
      <c r="BP50" s="846" t="str">
        <f t="shared" si="35"/>
        <v/>
      </c>
      <c r="BS50" s="165">
        <f t="shared" si="44"/>
        <v>2032</v>
      </c>
      <c r="BT50" s="444">
        <f t="shared" si="36"/>
        <v>18</v>
      </c>
      <c r="BU50" s="867">
        <f t="shared" ca="1" si="37"/>
        <v>1.259454340899987</v>
      </c>
      <c r="BV50" s="445">
        <f t="shared" ca="1" si="15"/>
        <v>0.41579017323778106</v>
      </c>
      <c r="BW50" s="869">
        <f t="shared" ca="1" si="38"/>
        <v>2887.7668016460525</v>
      </c>
      <c r="BX50" s="846" t="str">
        <f t="shared" si="39"/>
        <v/>
      </c>
      <c r="CA50" s="164" t="b">
        <f t="shared" si="7"/>
        <v>0</v>
      </c>
      <c r="CB50" s="164" t="str">
        <f t="shared" si="8"/>
        <v/>
      </c>
      <c r="CC50" s="165" t="str">
        <f t="shared" si="9"/>
        <v/>
      </c>
      <c r="CD50" s="436" t="str">
        <f>IFERROR(INDEX($CB$19:$CB$74,_xlfn.AGGREGATE(15,6,(ROW($CB$19:$CB$74)-ROW($CB$19)+1)/($CB$19:$CB$74&lt;&gt;""),ROWS($CD$1:CD32))),"")</f>
        <v/>
      </c>
      <c r="CE50" s="437" t="str">
        <f>IFERROR(INDEX($CC$19:$CC$74,_xlfn.AGGREGATE(15,6,(ROW($CC$19:$CC$74)-ROW($CC$19)+1)/($CC$19:$CC$74&lt;&gt;""),ROWS($CE$1:CE32))),"")</f>
        <v/>
      </c>
      <c r="CF50" s="437" t="str">
        <f t="shared" si="10"/>
        <v/>
      </c>
      <c r="CG50" s="164"/>
      <c r="CH50" s="165"/>
      <c r="CK50" s="164">
        <f t="shared" si="11"/>
        <v>2037</v>
      </c>
      <c r="CL50" s="740">
        <f t="shared" si="0"/>
        <v>3084.6145723336849</v>
      </c>
      <c r="CO50" s="833">
        <f t="shared" ca="1" si="2"/>
        <v>8946.7897250000005</v>
      </c>
      <c r="CP50" s="410"/>
      <c r="CQ50" s="140"/>
      <c r="CR50" s="833">
        <f t="shared" ca="1" si="3"/>
        <v>8946.7897250000005</v>
      </c>
      <c r="CS50" s="140"/>
      <c r="CT50" s="834">
        <f t="shared" ca="1" si="4"/>
        <v>1</v>
      </c>
      <c r="CU50" s="140"/>
      <c r="CV50" s="835">
        <f t="shared" ca="1" si="5"/>
        <v>3084.6145723336849</v>
      </c>
      <c r="DJ50" s="140"/>
      <c r="DK50" s="741"/>
    </row>
    <row r="51" spans="1:115" s="743" customFormat="1" ht="14.1" x14ac:dyDescent="0.5">
      <c r="C51" s="836">
        <v>2037</v>
      </c>
      <c r="D51" s="520">
        <v>18</v>
      </c>
      <c r="E51" s="837"/>
      <c r="F51" s="832" t="e">
        <f t="shared" si="1"/>
        <v>#N/A</v>
      </c>
      <c r="G51" s="932">
        <f t="shared" si="6"/>
        <v>3084.6145723336849</v>
      </c>
      <c r="H51" s="946"/>
      <c r="J51" s="123"/>
      <c r="K51" s="123"/>
      <c r="L51" s="123"/>
      <c r="M51" s="123"/>
      <c r="N51" s="123"/>
      <c r="O51" s="412"/>
      <c r="P51" s="412"/>
      <c r="Q51" s="412"/>
      <c r="S51" s="451"/>
      <c r="T51" s="451"/>
      <c r="U51" s="451"/>
      <c r="V51" s="451"/>
      <c r="W51" s="451"/>
      <c r="X51" s="451"/>
      <c r="Y51" s="451"/>
      <c r="Z51" s="451"/>
      <c r="AA51" s="451"/>
      <c r="AB51" s="451"/>
      <c r="AC51" s="451"/>
      <c r="AD51" s="451"/>
      <c r="AE51" s="451"/>
      <c r="AF51" s="451"/>
      <c r="AG51" s="451"/>
      <c r="AH51" s="451"/>
      <c r="AI51" s="413"/>
      <c r="AJ51" s="413"/>
      <c r="AK51" s="413"/>
      <c r="AL51" s="451"/>
      <c r="AM51" s="165">
        <f t="shared" si="40"/>
        <v>2033</v>
      </c>
      <c r="AN51" s="444">
        <f t="shared" si="16"/>
        <v>19</v>
      </c>
      <c r="AO51" s="867">
        <f t="shared" si="17"/>
        <v>931.14044350580775</v>
      </c>
      <c r="AP51" s="445">
        <f t="shared" si="18"/>
        <v>1957.4445617740232</v>
      </c>
      <c r="AQ51" s="869">
        <f t="shared" si="19"/>
        <v>2888.585005279831</v>
      </c>
      <c r="AR51" s="447" t="str">
        <f t="shared" si="20"/>
        <v/>
      </c>
      <c r="AT51" s="165">
        <f t="shared" si="41"/>
        <v>2033</v>
      </c>
      <c r="AU51" s="444">
        <f t="shared" si="21"/>
        <v>19</v>
      </c>
      <c r="AV51" s="867">
        <f t="shared" ca="1" si="22"/>
        <v>-256.71672614835563</v>
      </c>
      <c r="AW51" s="867">
        <f t="shared" ca="1" si="23"/>
        <v>1238.9779404978005</v>
      </c>
      <c r="AX51" s="445">
        <f t="shared" ca="1" si="24"/>
        <v>2044.2898732424699</v>
      </c>
      <c r="AY51" s="869">
        <f t="shared" ca="1" si="12"/>
        <v>3026.5510875919149</v>
      </c>
      <c r="AZ51" s="846" t="str">
        <f t="shared" si="25"/>
        <v/>
      </c>
      <c r="BB51" s="165">
        <f t="shared" si="42"/>
        <v>2033</v>
      </c>
      <c r="BC51" s="444">
        <f t="shared" si="26"/>
        <v>19</v>
      </c>
      <c r="BD51" s="867">
        <f t="shared" ca="1" si="27"/>
        <v>654.67906162464919</v>
      </c>
      <c r="BE51" s="867">
        <f t="shared" ca="1" si="28"/>
        <v>-1353.6741596638637</v>
      </c>
      <c r="BF51" s="867">
        <f t="shared" ca="1" si="29"/>
        <v>1181.1999299719882</v>
      </c>
      <c r="BG51" s="445">
        <f t="shared" ca="1" si="30"/>
        <v>2232.8304621848733</v>
      </c>
      <c r="BH51" s="869">
        <f t="shared" ca="1" si="13"/>
        <v>2715.035294117647</v>
      </c>
      <c r="BI51" s="846" t="str">
        <f t="shared" si="31"/>
        <v/>
      </c>
      <c r="BK51" s="165">
        <f t="shared" si="43"/>
        <v>2033</v>
      </c>
      <c r="BL51" s="444">
        <f t="shared" si="32"/>
        <v>19</v>
      </c>
      <c r="BM51" s="867">
        <f t="shared" ca="1" si="33"/>
        <v>1862.9883849899884</v>
      </c>
      <c r="BN51" s="445">
        <f t="shared" ca="1" si="34"/>
        <v>1.5066617094529871</v>
      </c>
      <c r="BO51" s="869">
        <f t="shared" ca="1" si="14"/>
        <v>2806.8932648200753</v>
      </c>
      <c r="BP51" s="846" t="str">
        <f t="shared" si="35"/>
        <v/>
      </c>
      <c r="BS51" s="165">
        <f t="shared" si="44"/>
        <v>2033</v>
      </c>
      <c r="BT51" s="444">
        <f t="shared" si="36"/>
        <v>19</v>
      </c>
      <c r="BU51" s="867">
        <f t="shared" ca="1" si="37"/>
        <v>1.259454340899987</v>
      </c>
      <c r="BV51" s="445">
        <f t="shared" ca="1" si="15"/>
        <v>0.39600490629080154</v>
      </c>
      <c r="BW51" s="869">
        <f t="shared" ca="1" si="38"/>
        <v>2935.7796240683533</v>
      </c>
      <c r="BX51" s="846" t="str">
        <f t="shared" si="39"/>
        <v/>
      </c>
      <c r="CA51" s="164" t="b">
        <f t="shared" si="7"/>
        <v>0</v>
      </c>
      <c r="CB51" s="164" t="str">
        <f t="shared" si="8"/>
        <v/>
      </c>
      <c r="CC51" s="165" t="str">
        <f t="shared" si="9"/>
        <v/>
      </c>
      <c r="CD51" s="436" t="str">
        <f>IFERROR(INDEX($CB$19:$CB$74,_xlfn.AGGREGATE(15,6,(ROW($CB$19:$CB$74)-ROW($CB$19)+1)/($CB$19:$CB$74&lt;&gt;""),ROWS($CD$1:CD33))),"")</f>
        <v/>
      </c>
      <c r="CE51" s="437" t="str">
        <f>IFERROR(INDEX($CC$19:$CC$74,_xlfn.AGGREGATE(15,6,(ROW($CC$19:$CC$74)-ROW($CC$19)+1)/($CC$19:$CC$74&lt;&gt;""),ROWS($CE$1:CE33))),"")</f>
        <v/>
      </c>
      <c r="CF51" s="437" t="str">
        <f t="shared" si="10"/>
        <v/>
      </c>
      <c r="CG51" s="164"/>
      <c r="CH51" s="165"/>
      <c r="CK51" s="164">
        <f t="shared" si="11"/>
        <v>2038</v>
      </c>
      <c r="CL51" s="740">
        <f t="shared" si="0"/>
        <v>3133.6219640971485</v>
      </c>
      <c r="CO51" s="833">
        <f t="shared" ca="1" si="2"/>
        <v>9010.2736670000013</v>
      </c>
      <c r="CP51" s="410"/>
      <c r="CQ51" s="140"/>
      <c r="CR51" s="833">
        <f t="shared" ca="1" si="3"/>
        <v>9010.2736670000013</v>
      </c>
      <c r="CS51" s="140"/>
      <c r="CT51" s="834">
        <f t="shared" ca="1" si="4"/>
        <v>1</v>
      </c>
      <c r="CU51" s="140"/>
      <c r="CV51" s="835">
        <f t="shared" ca="1" si="5"/>
        <v>3133.6219640971485</v>
      </c>
      <c r="DJ51" s="140"/>
      <c r="DK51" s="741"/>
    </row>
    <row r="52" spans="1:115" s="743" customFormat="1" ht="14.1" x14ac:dyDescent="0.5">
      <c r="C52" s="836">
        <v>2038</v>
      </c>
      <c r="D52" s="520">
        <v>19</v>
      </c>
      <c r="E52" s="837"/>
      <c r="F52" s="832" t="e">
        <f t="shared" si="1"/>
        <v>#N/A</v>
      </c>
      <c r="G52" s="932">
        <f t="shared" si="6"/>
        <v>3133.6219640971485</v>
      </c>
      <c r="H52" s="946"/>
      <c r="J52" s="123"/>
      <c r="K52" s="123"/>
      <c r="L52" s="123"/>
      <c r="M52" s="123"/>
      <c r="N52" s="123"/>
      <c r="O52" s="412"/>
      <c r="P52" s="412"/>
      <c r="Q52" s="412"/>
      <c r="S52" s="451"/>
      <c r="T52" s="451"/>
      <c r="U52" s="451"/>
      <c r="V52" s="451"/>
      <c r="W52" s="451"/>
      <c r="X52" s="451"/>
      <c r="Y52" s="451"/>
      <c r="Z52" s="451"/>
      <c r="AA52" s="451"/>
      <c r="AB52" s="451"/>
      <c r="AC52" s="451"/>
      <c r="AD52" s="451"/>
      <c r="AE52" s="451"/>
      <c r="AF52" s="451"/>
      <c r="AG52" s="451"/>
      <c r="AH52" s="451"/>
      <c r="AI52" s="413"/>
      <c r="AJ52" s="413"/>
      <c r="AK52" s="413"/>
      <c r="AL52" s="451"/>
      <c r="AM52" s="165">
        <f t="shared" si="40"/>
        <v>2034</v>
      </c>
      <c r="AN52" s="444">
        <f t="shared" si="16"/>
        <v>20</v>
      </c>
      <c r="AO52" s="867">
        <f t="shared" si="17"/>
        <v>980.14783526927135</v>
      </c>
      <c r="AP52" s="445">
        <f t="shared" si="18"/>
        <v>1957.4445617740232</v>
      </c>
      <c r="AQ52" s="869">
        <f t="shared" si="19"/>
        <v>2937.5923970432946</v>
      </c>
      <c r="AR52" s="447" t="str">
        <f t="shared" si="20"/>
        <v/>
      </c>
      <c r="AT52" s="165">
        <f t="shared" si="41"/>
        <v>2034</v>
      </c>
      <c r="AU52" s="444">
        <f t="shared" si="21"/>
        <v>20</v>
      </c>
      <c r="AV52" s="867">
        <f t="shared" ca="1" si="22"/>
        <v>-284.45066609236085</v>
      </c>
      <c r="AW52" s="867">
        <f t="shared" ca="1" si="23"/>
        <v>1304.1873057871585</v>
      </c>
      <c r="AX52" s="445">
        <f t="shared" ca="1" si="24"/>
        <v>2044.2898732424699</v>
      </c>
      <c r="AY52" s="869">
        <f t="shared" ca="1" si="12"/>
        <v>3064.0265129372674</v>
      </c>
      <c r="AZ52" s="846" t="str">
        <f t="shared" si="25"/>
        <v/>
      </c>
      <c r="BB52" s="165">
        <f t="shared" si="42"/>
        <v>2034</v>
      </c>
      <c r="BC52" s="444">
        <f t="shared" si="26"/>
        <v>20</v>
      </c>
      <c r="BD52" s="867">
        <f t="shared" ca="1" si="27"/>
        <v>763.58543417366866</v>
      </c>
      <c r="BE52" s="867">
        <f t="shared" ca="1" si="28"/>
        <v>-1499.9159663865526</v>
      </c>
      <c r="BF52" s="867">
        <f t="shared" ca="1" si="29"/>
        <v>1243.3683473389351</v>
      </c>
      <c r="BG52" s="445">
        <f t="shared" ca="1" si="30"/>
        <v>2232.8304621848733</v>
      </c>
      <c r="BH52" s="869">
        <f t="shared" ca="1" si="13"/>
        <v>2739.8682773109244</v>
      </c>
      <c r="BI52" s="846" t="str">
        <f t="shared" si="31"/>
        <v/>
      </c>
      <c r="BK52" s="165">
        <f t="shared" si="43"/>
        <v>2034</v>
      </c>
      <c r="BL52" s="444">
        <f t="shared" si="32"/>
        <v>20</v>
      </c>
      <c r="BM52" s="867">
        <f t="shared" ca="1" si="33"/>
        <v>1862.9883849899884</v>
      </c>
      <c r="BN52" s="445">
        <f t="shared" ca="1" si="34"/>
        <v>1.5395188160804745</v>
      </c>
      <c r="BO52" s="869">
        <f t="shared" ca="1" si="14"/>
        <v>2868.105672831462</v>
      </c>
      <c r="BP52" s="846" t="str">
        <f t="shared" si="35"/>
        <v/>
      </c>
      <c r="BS52" s="165">
        <f t="shared" si="44"/>
        <v>2034</v>
      </c>
      <c r="BT52" s="444">
        <f t="shared" si="36"/>
        <v>20</v>
      </c>
      <c r="BU52" s="867">
        <f t="shared" ca="1" si="37"/>
        <v>1.259454340899987</v>
      </c>
      <c r="BV52" s="445">
        <f t="shared" ca="1" si="15"/>
        <v>0.37716111611109371</v>
      </c>
      <c r="BW52" s="869">
        <f t="shared" ca="1" si="38"/>
        <v>2983.016052537489</v>
      </c>
      <c r="BX52" s="846" t="str">
        <f t="shared" si="39"/>
        <v/>
      </c>
      <c r="CA52" s="164" t="b">
        <f t="shared" si="7"/>
        <v>0</v>
      </c>
      <c r="CB52" s="164" t="str">
        <f t="shared" si="8"/>
        <v/>
      </c>
      <c r="CC52" s="165" t="str">
        <f t="shared" si="9"/>
        <v/>
      </c>
      <c r="CD52" s="436" t="str">
        <f>IFERROR(INDEX($CB$19:$CB$74,_xlfn.AGGREGATE(15,6,(ROW($CB$19:$CB$74)-ROW($CB$19)+1)/($CB$19:$CB$74&lt;&gt;""),ROWS($CD$1:CD34))),"")</f>
        <v/>
      </c>
      <c r="CE52" s="437" t="str">
        <f>IFERROR(INDEX($CC$19:$CC$74,_xlfn.AGGREGATE(15,6,(ROW($CC$19:$CC$74)-ROW($CC$19)+1)/($CC$19:$CC$74&lt;&gt;""),ROWS($CE$1:CE34))),"")</f>
        <v/>
      </c>
      <c r="CF52" s="437" t="str">
        <f t="shared" si="10"/>
        <v/>
      </c>
      <c r="CG52" s="164"/>
      <c r="CH52" s="165"/>
      <c r="CK52" s="164">
        <f t="shared" si="11"/>
        <v>2039</v>
      </c>
      <c r="CL52" s="740">
        <f t="shared" si="0"/>
        <v>3182.6293558606121</v>
      </c>
      <c r="CO52" s="833">
        <f t="shared" ca="1" si="2"/>
        <v>9072.9385649999986</v>
      </c>
      <c r="CP52" s="410"/>
      <c r="CQ52" s="140"/>
      <c r="CR52" s="833">
        <f t="shared" ca="1" si="3"/>
        <v>9072.9385649999986</v>
      </c>
      <c r="CS52" s="140"/>
      <c r="CT52" s="834">
        <f t="shared" ca="1" si="4"/>
        <v>1</v>
      </c>
      <c r="CU52" s="140"/>
      <c r="CV52" s="835">
        <f t="shared" ca="1" si="5"/>
        <v>3182.6293558606121</v>
      </c>
      <c r="DJ52" s="140"/>
      <c r="DK52" s="741"/>
    </row>
    <row r="53" spans="1:115" s="743" customFormat="1" ht="14.1" x14ac:dyDescent="0.5">
      <c r="C53" s="836">
        <v>2039</v>
      </c>
      <c r="D53" s="520">
        <v>20</v>
      </c>
      <c r="E53" s="837"/>
      <c r="F53" s="832" t="e">
        <f t="shared" si="1"/>
        <v>#N/A</v>
      </c>
      <c r="G53" s="932">
        <f t="shared" si="6"/>
        <v>3182.6293558606121</v>
      </c>
      <c r="H53" s="946"/>
      <c r="J53" s="123"/>
      <c r="K53" s="123"/>
      <c r="L53" s="123"/>
      <c r="M53" s="123"/>
      <c r="N53" s="123"/>
      <c r="O53" s="412"/>
      <c r="P53" s="412"/>
      <c r="Q53" s="412"/>
      <c r="S53" s="451"/>
      <c r="T53" s="451"/>
      <c r="U53" s="451"/>
      <c r="V53" s="451"/>
      <c r="W53" s="451"/>
      <c r="X53" s="451"/>
      <c r="Y53" s="451"/>
      <c r="Z53" s="451"/>
      <c r="AA53" s="451"/>
      <c r="AB53" s="451"/>
      <c r="AC53" s="451"/>
      <c r="AD53" s="451"/>
      <c r="AE53" s="451"/>
      <c r="AF53" s="451"/>
      <c r="AG53" s="451"/>
      <c r="AH53" s="451"/>
      <c r="AI53" s="413"/>
      <c r="AJ53" s="413"/>
      <c r="AK53" s="413"/>
      <c r="AL53" s="451"/>
      <c r="AM53" s="165">
        <f t="shared" si="40"/>
        <v>2035</v>
      </c>
      <c r="AN53" s="444">
        <f t="shared" si="16"/>
        <v>21</v>
      </c>
      <c r="AO53" s="867">
        <f t="shared" si="17"/>
        <v>1029.155227032735</v>
      </c>
      <c r="AP53" s="445">
        <f t="shared" si="18"/>
        <v>1957.4445617740232</v>
      </c>
      <c r="AQ53" s="869">
        <f t="shared" si="19"/>
        <v>2986.5997888067582</v>
      </c>
      <c r="AR53" s="447" t="str">
        <f t="shared" si="20"/>
        <v/>
      </c>
      <c r="AT53" s="165">
        <f t="shared" si="41"/>
        <v>2035</v>
      </c>
      <c r="AU53" s="444">
        <f t="shared" si="21"/>
        <v>21</v>
      </c>
      <c r="AV53" s="867">
        <f t="shared" ca="1" si="22"/>
        <v>-313.60685936682779</v>
      </c>
      <c r="AW53" s="867">
        <f t="shared" ca="1" si="23"/>
        <v>1369.3966710765162</v>
      </c>
      <c r="AX53" s="445">
        <f t="shared" ca="1" si="24"/>
        <v>2044.2898732424699</v>
      </c>
      <c r="AY53" s="869">
        <f t="shared" ca="1" si="12"/>
        <v>3100.0796849521585</v>
      </c>
      <c r="AZ53" s="846" t="str">
        <f t="shared" si="25"/>
        <v/>
      </c>
      <c r="BB53" s="165">
        <f t="shared" si="42"/>
        <v>2035</v>
      </c>
      <c r="BC53" s="444">
        <f t="shared" si="26"/>
        <v>21</v>
      </c>
      <c r="BD53" s="867">
        <f t="shared" ca="1" si="27"/>
        <v>883.94558823529314</v>
      </c>
      <c r="BE53" s="867">
        <f t="shared" ca="1" si="28"/>
        <v>-1653.6573529411744</v>
      </c>
      <c r="BF53" s="867">
        <f t="shared" ca="1" si="29"/>
        <v>1305.536764705882</v>
      </c>
      <c r="BG53" s="445">
        <f t="shared" ca="1" si="30"/>
        <v>2232.8304621848733</v>
      </c>
      <c r="BH53" s="869">
        <f t="shared" ca="1" si="13"/>
        <v>2768.6554621848741</v>
      </c>
      <c r="BI53" s="846" t="str">
        <f t="shared" si="31"/>
        <v/>
      </c>
      <c r="BK53" s="165">
        <f t="shared" si="43"/>
        <v>2035</v>
      </c>
      <c r="BL53" s="444">
        <f t="shared" si="32"/>
        <v>21</v>
      </c>
      <c r="BM53" s="867">
        <f t="shared" ca="1" si="33"/>
        <v>1862.9883849899884</v>
      </c>
      <c r="BN53" s="445">
        <f t="shared" ca="1" si="34"/>
        <v>1.573092466739815</v>
      </c>
      <c r="BO53" s="869">
        <f t="shared" ca="1" si="14"/>
        <v>2930.6529940515247</v>
      </c>
      <c r="BP53" s="846" t="str">
        <f t="shared" si="35"/>
        <v/>
      </c>
      <c r="BS53" s="165">
        <f t="shared" si="44"/>
        <v>2035</v>
      </c>
      <c r="BT53" s="444">
        <f t="shared" si="36"/>
        <v>21</v>
      </c>
      <c r="BU53" s="867">
        <f t="shared" ca="1" si="37"/>
        <v>1.259454340899987</v>
      </c>
      <c r="BV53" s="445">
        <f t="shared" ca="1" si="15"/>
        <v>0.35921400277224319</v>
      </c>
      <c r="BW53" s="869">
        <f t="shared" ca="1" si="38"/>
        <v>3029.4400256620188</v>
      </c>
      <c r="BX53" s="846" t="str">
        <f t="shared" si="39"/>
        <v/>
      </c>
      <c r="CA53" s="164" t="b">
        <f t="shared" si="7"/>
        <v>0</v>
      </c>
      <c r="CB53" s="164" t="str">
        <f t="shared" si="8"/>
        <v/>
      </c>
      <c r="CC53" s="165" t="str">
        <f t="shared" si="9"/>
        <v/>
      </c>
      <c r="CD53" s="436" t="str">
        <f>IFERROR(INDEX($CB$19:$CB$74,_xlfn.AGGREGATE(15,6,(ROW($CB$19:$CB$74)-ROW($CB$19)+1)/($CB$19:$CB$74&lt;&gt;""),ROWS($CD$1:CD35))),"")</f>
        <v/>
      </c>
      <c r="CE53" s="437" t="str">
        <f>IFERROR(INDEX($CC$19:$CC$74,_xlfn.AGGREGATE(15,6,(ROW($CC$19:$CC$74)-ROW($CC$19)+1)/($CC$19:$CC$74&lt;&gt;""),ROWS($CE$1:CE35))),"")</f>
        <v/>
      </c>
      <c r="CF53" s="437" t="str">
        <f t="shared" si="10"/>
        <v/>
      </c>
      <c r="CG53" s="164"/>
      <c r="CH53" s="165"/>
      <c r="CK53" s="164">
        <f t="shared" si="11"/>
        <v>2040</v>
      </c>
      <c r="CL53" s="740">
        <f t="shared" si="0"/>
        <v>3231.6367476240757</v>
      </c>
      <c r="CO53" s="833">
        <f t="shared" ca="1" si="2"/>
        <v>9134.7613899999997</v>
      </c>
      <c r="CP53" s="410"/>
      <c r="CQ53" s="140"/>
      <c r="CR53" s="833">
        <f t="shared" ca="1" si="3"/>
        <v>9134.7613899999997</v>
      </c>
      <c r="CS53" s="140"/>
      <c r="CT53" s="834">
        <f t="shared" ca="1" si="4"/>
        <v>1</v>
      </c>
      <c r="CU53" s="140"/>
      <c r="CV53" s="835">
        <f t="shared" ca="1" si="5"/>
        <v>3231.6367476240757</v>
      </c>
      <c r="DJ53" s="140"/>
      <c r="DK53" s="741"/>
    </row>
    <row r="54" spans="1:115" s="743" customFormat="1" ht="14.1" x14ac:dyDescent="0.5">
      <c r="C54" s="836">
        <v>2040</v>
      </c>
      <c r="D54" s="520">
        <v>21</v>
      </c>
      <c r="E54" s="837"/>
      <c r="F54" s="832" t="e">
        <f t="shared" si="1"/>
        <v>#N/A</v>
      </c>
      <c r="G54" s="932">
        <f t="shared" si="6"/>
        <v>3231.6367476240757</v>
      </c>
      <c r="H54" s="946"/>
      <c r="J54" s="123"/>
      <c r="K54" s="123"/>
      <c r="L54" s="123"/>
      <c r="M54" s="123"/>
      <c r="N54" s="123"/>
      <c r="O54" s="412"/>
      <c r="P54" s="412"/>
      <c r="Q54" s="412"/>
      <c r="S54" s="451"/>
      <c r="T54" s="451"/>
      <c r="U54" s="451"/>
      <c r="V54" s="451"/>
      <c r="W54" s="451"/>
      <c r="X54" s="451"/>
      <c r="Y54" s="451"/>
      <c r="Z54" s="451"/>
      <c r="AA54" s="451"/>
      <c r="AB54" s="451"/>
      <c r="AC54" s="451"/>
      <c r="AD54" s="451"/>
      <c r="AE54" s="451"/>
      <c r="AF54" s="451"/>
      <c r="AG54" s="451"/>
      <c r="AH54" s="451"/>
      <c r="AI54" s="413"/>
      <c r="AJ54" s="413"/>
      <c r="AK54" s="413"/>
      <c r="AL54" s="451"/>
      <c r="AM54" s="165">
        <f t="shared" si="40"/>
        <v>2036</v>
      </c>
      <c r="AN54" s="444">
        <f t="shared" si="16"/>
        <v>22</v>
      </c>
      <c r="AO54" s="867">
        <f t="shared" si="17"/>
        <v>1078.1626187961986</v>
      </c>
      <c r="AP54" s="445">
        <f t="shared" si="18"/>
        <v>1957.4445617740232</v>
      </c>
      <c r="AQ54" s="869">
        <f t="shared" si="19"/>
        <v>3035.6071805702218</v>
      </c>
      <c r="AR54" s="447" t="str">
        <f t="shared" si="20"/>
        <v/>
      </c>
      <c r="AT54" s="165">
        <f t="shared" si="41"/>
        <v>2036</v>
      </c>
      <c r="AU54" s="444">
        <f t="shared" si="21"/>
        <v>22</v>
      </c>
      <c r="AV54" s="867">
        <f t="shared" ca="1" si="22"/>
        <v>-344.18530597175658</v>
      </c>
      <c r="AW54" s="867">
        <f t="shared" ca="1" si="23"/>
        <v>1434.6060363658742</v>
      </c>
      <c r="AX54" s="445">
        <f t="shared" ca="1" si="24"/>
        <v>2044.2898732424699</v>
      </c>
      <c r="AY54" s="869">
        <f t="shared" ca="1" si="12"/>
        <v>3134.7106036365876</v>
      </c>
      <c r="AZ54" s="846" t="str">
        <f t="shared" si="25"/>
        <v/>
      </c>
      <c r="BB54" s="165">
        <f t="shared" si="42"/>
        <v>2036</v>
      </c>
      <c r="BC54" s="444">
        <f t="shared" si="26"/>
        <v>22</v>
      </c>
      <c r="BD54" s="867">
        <f t="shared" ca="1" si="27"/>
        <v>1016.332212885153</v>
      </c>
      <c r="BE54" s="867">
        <f t="shared" ca="1" si="28"/>
        <v>-1814.8983193277288</v>
      </c>
      <c r="BF54" s="867">
        <f t="shared" ca="1" si="29"/>
        <v>1367.7051820728286</v>
      </c>
      <c r="BG54" s="445">
        <f t="shared" ca="1" si="30"/>
        <v>2232.8304621848733</v>
      </c>
      <c r="BH54" s="869">
        <f t="shared" ca="1" si="13"/>
        <v>2801.9695378151264</v>
      </c>
      <c r="BI54" s="846" t="str">
        <f t="shared" si="31"/>
        <v/>
      </c>
      <c r="BK54" s="165">
        <f t="shared" si="43"/>
        <v>2036</v>
      </c>
      <c r="BL54" s="444">
        <f t="shared" si="32"/>
        <v>22</v>
      </c>
      <c r="BM54" s="867">
        <f t="shared" ca="1" si="33"/>
        <v>1862.9883849899884</v>
      </c>
      <c r="BN54" s="445">
        <f t="shared" ca="1" si="34"/>
        <v>1.607398287741487</v>
      </c>
      <c r="BO54" s="869">
        <f t="shared" ca="1" si="14"/>
        <v>2994.5643401151856</v>
      </c>
      <c r="BP54" s="846" t="str">
        <f t="shared" si="35"/>
        <v/>
      </c>
      <c r="BS54" s="165">
        <f t="shared" si="44"/>
        <v>2036</v>
      </c>
      <c r="BT54" s="444">
        <f t="shared" si="36"/>
        <v>22</v>
      </c>
      <c r="BU54" s="867">
        <f t="shared" ca="1" si="37"/>
        <v>1.259454340899987</v>
      </c>
      <c r="BV54" s="445">
        <f t="shared" ca="1" si="15"/>
        <v>0.34212089814064944</v>
      </c>
      <c r="BW54" s="869">
        <f t="shared" ca="1" si="38"/>
        <v>3075.0186076377076</v>
      </c>
      <c r="BX54" s="846" t="str">
        <f t="shared" si="39"/>
        <v/>
      </c>
      <c r="CA54" s="164" t="b">
        <f t="shared" si="7"/>
        <v>0</v>
      </c>
      <c r="CB54" s="164" t="str">
        <f t="shared" si="8"/>
        <v/>
      </c>
      <c r="CC54" s="165" t="str">
        <f t="shared" si="9"/>
        <v/>
      </c>
      <c r="CD54" s="436" t="str">
        <f>IFERROR(INDEX($CB$19:$CB$74,_xlfn.AGGREGATE(15,6,(ROW($CB$19:$CB$74)-ROW($CB$19)+1)/($CB$19:$CB$74&lt;&gt;""),ROWS($CD$1:CD36))),"")</f>
        <v/>
      </c>
      <c r="CE54" s="437" t="str">
        <f>IFERROR(INDEX($CC$19:$CC$74,_xlfn.AGGREGATE(15,6,(ROW($CC$19:$CC$74)-ROW($CC$19)+1)/($CC$19:$CC$74&lt;&gt;""),ROWS($CE$1:CE36))),"")</f>
        <v/>
      </c>
      <c r="CF54" s="437" t="str">
        <f t="shared" si="10"/>
        <v/>
      </c>
      <c r="CG54" s="164"/>
      <c r="CH54" s="165"/>
      <c r="CK54" s="164">
        <f t="shared" si="11"/>
        <v>2041</v>
      </c>
      <c r="CL54" s="740">
        <f t="shared" si="0"/>
        <v>3280.6441393875393</v>
      </c>
      <c r="CO54" s="833">
        <f t="shared" ca="1" si="2"/>
        <v>9195.7311310000005</v>
      </c>
      <c r="CP54" s="410"/>
      <c r="CQ54" s="140"/>
      <c r="CR54" s="833">
        <f t="shared" ca="1" si="3"/>
        <v>9195.7311310000005</v>
      </c>
      <c r="CS54" s="140"/>
      <c r="CT54" s="834">
        <f t="shared" ca="1" si="4"/>
        <v>1</v>
      </c>
      <c r="CU54" s="140"/>
      <c r="CV54" s="835">
        <f t="shared" ca="1" si="5"/>
        <v>3280.6441393875393</v>
      </c>
      <c r="DJ54" s="140"/>
      <c r="DK54" s="741"/>
    </row>
    <row r="55" spans="1:115" s="743" customFormat="1" ht="14.1" x14ac:dyDescent="0.5">
      <c r="C55" s="836">
        <v>2041</v>
      </c>
      <c r="D55" s="520">
        <v>22</v>
      </c>
      <c r="E55" s="837"/>
      <c r="F55" s="832" t="e">
        <f t="shared" si="1"/>
        <v>#N/A</v>
      </c>
      <c r="G55" s="932">
        <f t="shared" si="6"/>
        <v>3280.6441393875393</v>
      </c>
      <c r="H55" s="946"/>
      <c r="J55" s="123"/>
      <c r="K55" s="123"/>
      <c r="L55" s="123"/>
      <c r="M55" s="123"/>
      <c r="N55" s="123"/>
      <c r="O55" s="412"/>
      <c r="P55" s="412"/>
      <c r="Q55" s="412"/>
      <c r="S55" s="451"/>
      <c r="T55" s="451"/>
      <c r="U55" s="451"/>
      <c r="V55" s="451"/>
      <c r="W55" s="451"/>
      <c r="X55" s="451"/>
      <c r="Y55" s="451"/>
      <c r="Z55" s="451"/>
      <c r="AA55" s="451"/>
      <c r="AB55" s="451"/>
      <c r="AC55" s="451"/>
      <c r="AD55" s="451"/>
      <c r="AE55" s="451"/>
      <c r="AF55" s="451"/>
      <c r="AG55" s="451"/>
      <c r="AH55" s="451"/>
      <c r="AI55" s="413"/>
      <c r="AJ55" s="413"/>
      <c r="AK55" s="413"/>
      <c r="AL55" s="451"/>
      <c r="AM55" s="165">
        <f t="shared" si="40"/>
        <v>2037</v>
      </c>
      <c r="AN55" s="444">
        <f t="shared" si="16"/>
        <v>23</v>
      </c>
      <c r="AO55" s="867">
        <f t="shared" si="17"/>
        <v>1127.1700105596619</v>
      </c>
      <c r="AP55" s="445">
        <f t="shared" si="18"/>
        <v>1957.4445617740232</v>
      </c>
      <c r="AQ55" s="869">
        <f t="shared" si="19"/>
        <v>3084.6145723336849</v>
      </c>
      <c r="AR55" s="447" t="str">
        <f t="shared" si="20"/>
        <v/>
      </c>
      <c r="AT55" s="165">
        <f t="shared" si="41"/>
        <v>2037</v>
      </c>
      <c r="AU55" s="444">
        <f t="shared" si="21"/>
        <v>23</v>
      </c>
      <c r="AV55" s="867">
        <f t="shared" ca="1" si="22"/>
        <v>-376.18600590714721</v>
      </c>
      <c r="AW55" s="867">
        <f t="shared" ca="1" si="23"/>
        <v>1499.8154016552321</v>
      </c>
      <c r="AX55" s="445">
        <f t="shared" ca="1" si="24"/>
        <v>2044.2898732424699</v>
      </c>
      <c r="AY55" s="869">
        <f t="shared" ca="1" si="12"/>
        <v>3167.9192689905549</v>
      </c>
      <c r="AZ55" s="846" t="str">
        <f t="shared" si="25"/>
        <v/>
      </c>
      <c r="BB55" s="165">
        <f t="shared" si="42"/>
        <v>2037</v>
      </c>
      <c r="BC55" s="444">
        <f t="shared" si="26"/>
        <v>23</v>
      </c>
      <c r="BD55" s="867">
        <f t="shared" ca="1" si="27"/>
        <v>1161.3179971988784</v>
      </c>
      <c r="BE55" s="867">
        <f t="shared" ca="1" si="28"/>
        <v>-1983.6388655462158</v>
      </c>
      <c r="BF55" s="867">
        <f t="shared" ca="1" si="29"/>
        <v>1429.8735994397753</v>
      </c>
      <c r="BG55" s="445">
        <f t="shared" ca="1" si="30"/>
        <v>2232.8304621848733</v>
      </c>
      <c r="BH55" s="869">
        <f t="shared" ca="1" si="13"/>
        <v>2840.383193277311</v>
      </c>
      <c r="BI55" s="846" t="str">
        <f t="shared" si="31"/>
        <v/>
      </c>
      <c r="BK55" s="165">
        <f t="shared" si="43"/>
        <v>2037</v>
      </c>
      <c r="BL55" s="444">
        <f t="shared" si="32"/>
        <v>23</v>
      </c>
      <c r="BM55" s="867">
        <f t="shared" ca="1" si="33"/>
        <v>1862.9883849899884</v>
      </c>
      <c r="BN55" s="445">
        <f t="shared" ca="1" si="34"/>
        <v>1.6424522461727646</v>
      </c>
      <c r="BO55" s="869">
        <f t="shared" ca="1" si="14"/>
        <v>3059.8694575205777</v>
      </c>
      <c r="BP55" s="846" t="str">
        <f t="shared" si="35"/>
        <v/>
      </c>
      <c r="BS55" s="165">
        <f t="shared" si="44"/>
        <v>2037</v>
      </c>
      <c r="BT55" s="444">
        <f t="shared" si="36"/>
        <v>23</v>
      </c>
      <c r="BU55" s="867">
        <f t="shared" ca="1" si="37"/>
        <v>1.259454340899987</v>
      </c>
      <c r="BV55" s="445">
        <f t="shared" ca="1" si="15"/>
        <v>0.32584116443472055</v>
      </c>
      <c r="BW55" s="869">
        <f t="shared" ca="1" si="38"/>
        <v>3119.7220219533338</v>
      </c>
      <c r="BX55" s="846" t="str">
        <f t="shared" si="39"/>
        <v/>
      </c>
      <c r="CA55" s="164" t="b">
        <f t="shared" si="7"/>
        <v>0</v>
      </c>
      <c r="CB55" s="164" t="str">
        <f t="shared" si="8"/>
        <v/>
      </c>
      <c r="CC55" s="165" t="str">
        <f t="shared" si="9"/>
        <v/>
      </c>
      <c r="CD55" s="436" t="str">
        <f>IFERROR(INDEX($CB$19:$CB$74,_xlfn.AGGREGATE(15,6,(ROW($CB$19:$CB$74)-ROW($CB$19)+1)/($CB$19:$CB$74&lt;&gt;""),ROWS($CD$1:CD37))),"")</f>
        <v/>
      </c>
      <c r="CE55" s="437" t="str">
        <f>IFERROR(INDEX($CC$19:$CC$74,_xlfn.AGGREGATE(15,6,(ROW($CC$19:$CC$74)-ROW($CC$19)+1)/($CC$19:$CC$74&lt;&gt;""),ROWS($CE$1:CE37))),"")</f>
        <v/>
      </c>
      <c r="CF55" s="437" t="str">
        <f t="shared" si="10"/>
        <v/>
      </c>
      <c r="CG55" s="164"/>
      <c r="CH55" s="165"/>
      <c r="CK55" s="164">
        <f t="shared" si="11"/>
        <v>2042</v>
      </c>
      <c r="CL55" s="740">
        <f t="shared" si="0"/>
        <v>3329.6515311510029</v>
      </c>
      <c r="CO55" s="833">
        <f t="shared" ca="1" si="2"/>
        <v>9255.8290099999995</v>
      </c>
      <c r="CP55" s="410"/>
      <c r="CQ55" s="140"/>
      <c r="CR55" s="833">
        <f t="shared" ca="1" si="3"/>
        <v>9255.8290099999995</v>
      </c>
      <c r="CS55" s="140"/>
      <c r="CT55" s="834">
        <f t="shared" ca="1" si="4"/>
        <v>1</v>
      </c>
      <c r="CU55" s="140"/>
      <c r="CV55" s="835">
        <f t="shared" ca="1" si="5"/>
        <v>3329.6515311510029</v>
      </c>
      <c r="DJ55" s="140"/>
      <c r="DK55" s="741"/>
    </row>
    <row r="56" spans="1:115" s="743" customFormat="1" ht="14.1" x14ac:dyDescent="0.5">
      <c r="C56" s="836">
        <v>2042</v>
      </c>
      <c r="D56" s="520">
        <v>23</v>
      </c>
      <c r="E56" s="837"/>
      <c r="F56" s="832" t="e">
        <f t="shared" si="1"/>
        <v>#N/A</v>
      </c>
      <c r="G56" s="932">
        <f t="shared" si="6"/>
        <v>3329.6515311510029</v>
      </c>
      <c r="H56" s="946"/>
      <c r="J56" s="123"/>
      <c r="K56" s="123"/>
      <c r="L56" s="123"/>
      <c r="M56" s="123"/>
      <c r="N56" s="123"/>
      <c r="O56" s="412"/>
      <c r="P56" s="412"/>
      <c r="Q56" s="412"/>
      <c r="S56" s="451"/>
      <c r="T56" s="451"/>
      <c r="U56" s="451"/>
      <c r="V56" s="451"/>
      <c r="W56" s="451"/>
      <c r="X56" s="451"/>
      <c r="Y56" s="451"/>
      <c r="Z56" s="451"/>
      <c r="AA56" s="451"/>
      <c r="AB56" s="451"/>
      <c r="AC56" s="451"/>
      <c r="AD56" s="451"/>
      <c r="AE56" s="451"/>
      <c r="AF56" s="451"/>
      <c r="AG56" s="451"/>
      <c r="AH56" s="451"/>
      <c r="AI56" s="413"/>
      <c r="AJ56" s="413"/>
      <c r="AK56" s="413"/>
      <c r="AL56" s="451"/>
      <c r="AM56" s="165">
        <f t="shared" si="40"/>
        <v>2038</v>
      </c>
      <c r="AN56" s="444">
        <f t="shared" si="16"/>
        <v>24</v>
      </c>
      <c r="AO56" s="867">
        <f t="shared" si="17"/>
        <v>1176.1774023231255</v>
      </c>
      <c r="AP56" s="445">
        <f t="shared" si="18"/>
        <v>1957.4445617740232</v>
      </c>
      <c r="AQ56" s="869">
        <f t="shared" si="19"/>
        <v>3133.6219640971485</v>
      </c>
      <c r="AR56" s="447" t="str">
        <f t="shared" si="20"/>
        <v/>
      </c>
      <c r="AT56" s="165">
        <f t="shared" si="41"/>
        <v>2038</v>
      </c>
      <c r="AU56" s="444">
        <f t="shared" si="21"/>
        <v>24</v>
      </c>
      <c r="AV56" s="867">
        <f t="shared" ca="1" si="22"/>
        <v>-409.60895917299956</v>
      </c>
      <c r="AW56" s="867">
        <f t="shared" ca="1" si="23"/>
        <v>1565.0247669445901</v>
      </c>
      <c r="AX56" s="445">
        <f t="shared" ca="1" si="24"/>
        <v>2044.2898732424699</v>
      </c>
      <c r="AY56" s="869">
        <f t="shared" ca="1" si="12"/>
        <v>3199.7056810140602</v>
      </c>
      <c r="AZ56" s="846" t="str">
        <f t="shared" si="25"/>
        <v/>
      </c>
      <c r="BB56" s="165">
        <f t="shared" si="42"/>
        <v>2038</v>
      </c>
      <c r="BC56" s="444">
        <f t="shared" si="26"/>
        <v>24</v>
      </c>
      <c r="BD56" s="867">
        <f t="shared" ca="1" si="27"/>
        <v>1319.4756302520993</v>
      </c>
      <c r="BE56" s="867">
        <f t="shared" ca="1" si="28"/>
        <v>-2159.8789915966358</v>
      </c>
      <c r="BF56" s="867">
        <f t="shared" ca="1" si="29"/>
        <v>1492.0420168067221</v>
      </c>
      <c r="BG56" s="445">
        <f t="shared" ca="1" si="30"/>
        <v>2232.8304621848733</v>
      </c>
      <c r="BH56" s="869">
        <f t="shared" ca="1" si="13"/>
        <v>2884.4691176470587</v>
      </c>
      <c r="BI56" s="846" t="str">
        <f t="shared" si="31"/>
        <v/>
      </c>
      <c r="BK56" s="165">
        <f t="shared" si="43"/>
        <v>2038</v>
      </c>
      <c r="BL56" s="444">
        <f t="shared" si="32"/>
        <v>24</v>
      </c>
      <c r="BM56" s="867">
        <f t="shared" ca="1" si="33"/>
        <v>1862.9883849899884</v>
      </c>
      <c r="BN56" s="445">
        <f t="shared" ca="1" si="34"/>
        <v>1.6782706573293393</v>
      </c>
      <c r="BO56" s="869">
        <f t="shared" ca="1" si="14"/>
        <v>3126.5987414740721</v>
      </c>
      <c r="BP56" s="846" t="str">
        <f t="shared" si="35"/>
        <v/>
      </c>
      <c r="BS56" s="165">
        <f t="shared" si="44"/>
        <v>2038</v>
      </c>
      <c r="BT56" s="444">
        <f t="shared" si="36"/>
        <v>24</v>
      </c>
      <c r="BU56" s="867">
        <f t="shared" ca="1" si="37"/>
        <v>1.259454340899987</v>
      </c>
      <c r="BV56" s="445">
        <f t="shared" ca="1" si="15"/>
        <v>0.31033609761110231</v>
      </c>
      <c r="BW56" s="869">
        <f t="shared" ca="1" si="38"/>
        <v>3163.5236627434838</v>
      </c>
      <c r="BX56" s="846" t="str">
        <f t="shared" si="39"/>
        <v/>
      </c>
      <c r="CA56" s="164" t="b">
        <f t="shared" si="7"/>
        <v>0</v>
      </c>
      <c r="CB56" s="164" t="str">
        <f t="shared" si="8"/>
        <v/>
      </c>
      <c r="CC56" s="165" t="str">
        <f t="shared" si="9"/>
        <v/>
      </c>
      <c r="CD56" s="436" t="str">
        <f>IFERROR(INDEX($CB$19:$CB$74,_xlfn.AGGREGATE(15,6,(ROW($CB$19:$CB$74)-ROW($CB$19)+1)/($CB$19:$CB$74&lt;&gt;""),ROWS($CD$1:CD38))),"")</f>
        <v/>
      </c>
      <c r="CE56" s="437" t="str">
        <f>IFERROR(INDEX($CC$19:$CC$74,_xlfn.AGGREGATE(15,6,(ROW($CC$19:$CC$74)-ROW($CC$19)+1)/($CC$19:$CC$74&lt;&gt;""),ROWS($CE$1:CE38))),"")</f>
        <v/>
      </c>
      <c r="CF56" s="437" t="str">
        <f t="shared" si="10"/>
        <v/>
      </c>
      <c r="CG56" s="164"/>
      <c r="CH56" s="165"/>
      <c r="CK56" s="164">
        <f t="shared" si="11"/>
        <v>2043</v>
      </c>
      <c r="CL56" s="740">
        <f t="shared" si="0"/>
        <v>3378.6589229144665</v>
      </c>
      <c r="CO56" s="833">
        <f t="shared" ca="1" si="2"/>
        <v>9315.0132699999995</v>
      </c>
      <c r="CP56" s="410"/>
      <c r="CQ56" s="140"/>
      <c r="CR56" s="833">
        <f t="shared" ca="1" si="3"/>
        <v>9315.0132699999995</v>
      </c>
      <c r="CS56" s="140"/>
      <c r="CT56" s="834">
        <f t="shared" ca="1" si="4"/>
        <v>1</v>
      </c>
      <c r="CU56" s="140"/>
      <c r="CV56" s="835">
        <f t="shared" ca="1" si="5"/>
        <v>3378.6589229144665</v>
      </c>
      <c r="DJ56" s="140"/>
      <c r="DK56" s="741"/>
    </row>
    <row r="57" spans="1:115" s="743" customFormat="1" ht="14.1" x14ac:dyDescent="0.5">
      <c r="C57" s="836">
        <v>2043</v>
      </c>
      <c r="D57" s="520">
        <v>24</v>
      </c>
      <c r="E57" s="837"/>
      <c r="F57" s="832" t="e">
        <f t="shared" si="1"/>
        <v>#N/A</v>
      </c>
      <c r="G57" s="932">
        <f t="shared" si="6"/>
        <v>3378.6589229144665</v>
      </c>
      <c r="H57" s="946"/>
      <c r="J57" s="123"/>
      <c r="K57" s="123"/>
      <c r="L57" s="123"/>
      <c r="M57" s="123"/>
      <c r="N57" s="123"/>
      <c r="O57" s="412"/>
      <c r="P57" s="412"/>
      <c r="Q57" s="412"/>
      <c r="S57" s="451"/>
      <c r="T57" s="451"/>
      <c r="U57" s="451"/>
      <c r="V57" s="451"/>
      <c r="W57" s="451"/>
      <c r="X57" s="451"/>
      <c r="Y57" s="451"/>
      <c r="Z57" s="451"/>
      <c r="AA57" s="451"/>
      <c r="AB57" s="451"/>
      <c r="AC57" s="451"/>
      <c r="AD57" s="451"/>
      <c r="AE57" s="451"/>
      <c r="AF57" s="451"/>
      <c r="AG57" s="451"/>
      <c r="AH57" s="451"/>
      <c r="AI57" s="413"/>
      <c r="AJ57" s="413"/>
      <c r="AK57" s="413"/>
      <c r="AL57" s="451"/>
      <c r="AM57" s="165">
        <f t="shared" si="40"/>
        <v>2039</v>
      </c>
      <c r="AN57" s="444">
        <f t="shared" si="16"/>
        <v>25</v>
      </c>
      <c r="AO57" s="867">
        <f t="shared" si="17"/>
        <v>1225.1847940865891</v>
      </c>
      <c r="AP57" s="445">
        <f t="shared" si="18"/>
        <v>1957.4445617740232</v>
      </c>
      <c r="AQ57" s="869">
        <f t="shared" si="19"/>
        <v>3182.6293558606121</v>
      </c>
      <c r="AR57" s="447" t="str">
        <f t="shared" si="20"/>
        <v/>
      </c>
      <c r="AT57" s="165">
        <f t="shared" si="41"/>
        <v>2039</v>
      </c>
      <c r="AU57" s="444">
        <f t="shared" si="21"/>
        <v>25</v>
      </c>
      <c r="AV57" s="867">
        <f t="shared" ca="1" si="22"/>
        <v>-444.45416576931382</v>
      </c>
      <c r="AW57" s="867">
        <f t="shared" ca="1" si="23"/>
        <v>1630.234132233948</v>
      </c>
      <c r="AX57" s="445">
        <f t="shared" ca="1" si="24"/>
        <v>2044.2898732424699</v>
      </c>
      <c r="AY57" s="869">
        <f t="shared" ca="1" si="12"/>
        <v>3230.0698397071037</v>
      </c>
      <c r="AZ57" s="846" t="str">
        <f t="shared" si="25"/>
        <v/>
      </c>
      <c r="BB57" s="165">
        <f t="shared" si="42"/>
        <v>2039</v>
      </c>
      <c r="BC57" s="444">
        <f t="shared" si="26"/>
        <v>25</v>
      </c>
      <c r="BD57" s="867">
        <f t="shared" ca="1" si="27"/>
        <v>1491.3778011204465</v>
      </c>
      <c r="BE57" s="867">
        <f t="shared" ca="1" si="28"/>
        <v>-2343.6186974789885</v>
      </c>
      <c r="BF57" s="867">
        <f t="shared" ca="1" si="29"/>
        <v>1554.210434173669</v>
      </c>
      <c r="BG57" s="445">
        <f t="shared" ca="1" si="30"/>
        <v>2232.8304621848733</v>
      </c>
      <c r="BH57" s="869">
        <f t="shared" ca="1" si="13"/>
        <v>2934.8</v>
      </c>
      <c r="BI57" s="846" t="str">
        <f t="shared" si="31"/>
        <v/>
      </c>
      <c r="BK57" s="165">
        <f t="shared" si="43"/>
        <v>2039</v>
      </c>
      <c r="BL57" s="444">
        <f t="shared" si="32"/>
        <v>25</v>
      </c>
      <c r="BM57" s="867">
        <f t="shared" ca="1" si="33"/>
        <v>1862.9883849899884</v>
      </c>
      <c r="BN57" s="445">
        <f t="shared" ca="1" si="34"/>
        <v>1.7148701923090091</v>
      </c>
      <c r="BO57" s="869">
        <f t="shared" ca="1" si="14"/>
        <v>3194.7832500372315</v>
      </c>
      <c r="BP57" s="846" t="str">
        <f t="shared" si="35"/>
        <v/>
      </c>
      <c r="BS57" s="165">
        <f t="shared" si="44"/>
        <v>2039</v>
      </c>
      <c r="BT57" s="444">
        <f t="shared" si="36"/>
        <v>25</v>
      </c>
      <c r="BU57" s="867">
        <f t="shared" ca="1" si="37"/>
        <v>1.259454340899987</v>
      </c>
      <c r="BV57" s="445">
        <f t="shared" ca="1" si="15"/>
        <v>0.2955688353482489</v>
      </c>
      <c r="BW57" s="869">
        <f t="shared" ca="1" si="38"/>
        <v>3206.4000848366036</v>
      </c>
      <c r="BX57" s="846" t="str">
        <f t="shared" si="39"/>
        <v/>
      </c>
      <c r="CA57" s="164" t="b">
        <f t="shared" si="7"/>
        <v>0</v>
      </c>
      <c r="CB57" s="164" t="str">
        <f t="shared" si="8"/>
        <v/>
      </c>
      <c r="CC57" s="165" t="str">
        <f t="shared" si="9"/>
        <v/>
      </c>
      <c r="CD57" s="436" t="str">
        <f>IFERROR(INDEX($CB$19:$CB$74,_xlfn.AGGREGATE(15,6,(ROW($CB$19:$CB$74)-ROW($CB$19)+1)/($CB$19:$CB$74&lt;&gt;""),ROWS($CD$1:CD39))),"")</f>
        <v/>
      </c>
      <c r="CE57" s="437" t="str">
        <f>IFERROR(INDEX($CC$19:$CC$74,_xlfn.AGGREGATE(15,6,(ROW($CC$19:$CC$74)-ROW($CC$19)+1)/($CC$19:$CC$74&lt;&gt;""),ROWS($CE$1:CE39))),"")</f>
        <v/>
      </c>
      <c r="CF57" s="437" t="str">
        <f t="shared" si="10"/>
        <v/>
      </c>
      <c r="CG57" s="164"/>
      <c r="CH57" s="165"/>
      <c r="CK57" s="164">
        <f t="shared" si="11"/>
        <v>2044</v>
      </c>
      <c r="CL57" s="740">
        <f t="shared" si="0"/>
        <v>3427.6663146779301</v>
      </c>
      <c r="CO57" s="833">
        <f t="shared" ca="1" si="2"/>
        <v>9373.2334109999993</v>
      </c>
      <c r="CP57" s="410"/>
      <c r="CQ57" s="140"/>
      <c r="CR57" s="833">
        <f t="shared" ca="1" si="3"/>
        <v>9373.2334109999993</v>
      </c>
      <c r="CS57" s="140"/>
      <c r="CT57" s="834">
        <f t="shared" ca="1" si="4"/>
        <v>1</v>
      </c>
      <c r="CU57" s="140"/>
      <c r="CV57" s="835">
        <f t="shared" ca="1" si="5"/>
        <v>3427.6663146779301</v>
      </c>
      <c r="DJ57" s="140"/>
      <c r="DK57" s="741"/>
    </row>
    <row r="58" spans="1:115" s="743" customFormat="1" ht="14.1" x14ac:dyDescent="0.5">
      <c r="C58" s="836">
        <v>2044</v>
      </c>
      <c r="D58" s="520">
        <v>25</v>
      </c>
      <c r="E58" s="837"/>
      <c r="F58" s="832" t="e">
        <f t="shared" si="1"/>
        <v>#N/A</v>
      </c>
      <c r="G58" s="932">
        <f t="shared" si="6"/>
        <v>3427.6663146779301</v>
      </c>
      <c r="H58" s="946"/>
      <c r="J58" s="123"/>
      <c r="K58" s="123"/>
      <c r="L58" s="123"/>
      <c r="M58" s="123"/>
      <c r="N58" s="123"/>
      <c r="O58" s="412"/>
      <c r="P58" s="412"/>
      <c r="Q58" s="412"/>
      <c r="S58" s="451"/>
      <c r="T58" s="451"/>
      <c r="U58" s="451"/>
      <c r="V58" s="451"/>
      <c r="W58" s="451"/>
      <c r="X58" s="451"/>
      <c r="Y58" s="451"/>
      <c r="Z58" s="451"/>
      <c r="AA58" s="451"/>
      <c r="AB58" s="451"/>
      <c r="AC58" s="451"/>
      <c r="AD58" s="451"/>
      <c r="AE58" s="451"/>
      <c r="AF58" s="451"/>
      <c r="AG58" s="451"/>
      <c r="AH58" s="451"/>
      <c r="AI58" s="413"/>
      <c r="AJ58" s="413"/>
      <c r="AK58" s="413"/>
      <c r="AL58" s="451"/>
      <c r="AM58" s="165">
        <f t="shared" si="40"/>
        <v>2040</v>
      </c>
      <c r="AN58" s="444">
        <f t="shared" si="16"/>
        <v>26</v>
      </c>
      <c r="AO58" s="867">
        <f t="shared" si="17"/>
        <v>1274.1921858500527</v>
      </c>
      <c r="AP58" s="445">
        <f t="shared" si="18"/>
        <v>1957.4445617740232</v>
      </c>
      <c r="AQ58" s="869">
        <f t="shared" si="19"/>
        <v>3231.6367476240757</v>
      </c>
      <c r="AR58" s="447" t="str">
        <f t="shared" si="20"/>
        <v/>
      </c>
      <c r="AT58" s="165">
        <f t="shared" si="41"/>
        <v>2040</v>
      </c>
      <c r="AU58" s="444">
        <f t="shared" si="21"/>
        <v>26</v>
      </c>
      <c r="AV58" s="867">
        <f t="shared" ca="1" si="22"/>
        <v>-480.7216256960898</v>
      </c>
      <c r="AW58" s="867">
        <f t="shared" ca="1" si="23"/>
        <v>1695.443497523306</v>
      </c>
      <c r="AX58" s="445">
        <f t="shared" ca="1" si="24"/>
        <v>2044.2898732424699</v>
      </c>
      <c r="AY58" s="869">
        <f t="shared" ca="1" si="12"/>
        <v>3259.0117450696862</v>
      </c>
      <c r="AZ58" s="846" t="str">
        <f t="shared" si="25"/>
        <v/>
      </c>
      <c r="BB58" s="165">
        <f t="shared" si="42"/>
        <v>2040</v>
      </c>
      <c r="BC58" s="444">
        <f t="shared" si="26"/>
        <v>26</v>
      </c>
      <c r="BD58" s="867">
        <f t="shared" ca="1" si="27"/>
        <v>1677.59719887955</v>
      </c>
      <c r="BE58" s="867">
        <f t="shared" ca="1" si="28"/>
        <v>-2534.8579831932739</v>
      </c>
      <c r="BF58" s="867">
        <f t="shared" ca="1" si="29"/>
        <v>1616.3788515406156</v>
      </c>
      <c r="BG58" s="445">
        <f t="shared" ca="1" si="30"/>
        <v>2232.8304621848733</v>
      </c>
      <c r="BH58" s="869">
        <f t="shared" ca="1" si="13"/>
        <v>2991.9485294117649</v>
      </c>
      <c r="BI58" s="846" t="str">
        <f t="shared" si="31"/>
        <v/>
      </c>
      <c r="BK58" s="165">
        <f t="shared" si="43"/>
        <v>2040</v>
      </c>
      <c r="BL58" s="444">
        <f t="shared" si="32"/>
        <v>26</v>
      </c>
      <c r="BM58" s="867">
        <f t="shared" ca="1" si="33"/>
        <v>1862.9883849899884</v>
      </c>
      <c r="BN58" s="445">
        <f t="shared" ca="1" si="34"/>
        <v>1.7522678857709701</v>
      </c>
      <c r="BO58" s="869">
        <f t="shared" ca="1" si="14"/>
        <v>3264.4547185822812</v>
      </c>
      <c r="BP58" s="846" t="str">
        <f t="shared" si="35"/>
        <v/>
      </c>
      <c r="BS58" s="165">
        <f t="shared" si="44"/>
        <v>2040</v>
      </c>
      <c r="BT58" s="444">
        <f t="shared" si="36"/>
        <v>26</v>
      </c>
      <c r="BU58" s="867">
        <f t="shared" ca="1" si="37"/>
        <v>1.259454340899987</v>
      </c>
      <c r="BV58" s="445">
        <f t="shared" ca="1" si="15"/>
        <v>0.28150426940857087</v>
      </c>
      <c r="BW58" s="869">
        <f t="shared" ca="1" si="38"/>
        <v>3248.3309737426453</v>
      </c>
      <c r="BX58" s="846" t="str">
        <f t="shared" si="39"/>
        <v/>
      </c>
      <c r="CA58" s="164" t="b">
        <f t="shared" si="7"/>
        <v>0</v>
      </c>
      <c r="CB58" s="164" t="str">
        <f t="shared" si="8"/>
        <v/>
      </c>
      <c r="CC58" s="165" t="str">
        <f t="shared" si="9"/>
        <v/>
      </c>
      <c r="CD58" s="436" t="str">
        <f>IFERROR(INDEX($CB$19:$CB$74,_xlfn.AGGREGATE(15,6,(ROW($CB$19:$CB$74)-ROW($CB$19)+1)/($CB$19:$CB$74&lt;&gt;""),ROWS($CD$1:CD40))),"")</f>
        <v/>
      </c>
      <c r="CE58" s="437" t="str">
        <f>IFERROR(INDEX($CC$19:$CC$74,_xlfn.AGGREGATE(15,6,(ROW($CC$19:$CC$74)-ROW($CC$19)+1)/($CC$19:$CC$74&lt;&gt;""),ROWS($CE$1:CE40))),"")</f>
        <v/>
      </c>
      <c r="CF58" s="437" t="str">
        <f t="shared" si="10"/>
        <v/>
      </c>
      <c r="CG58" s="164"/>
      <c r="CH58" s="165"/>
      <c r="CK58" s="164">
        <f t="shared" si="11"/>
        <v>2045</v>
      </c>
      <c r="CL58" s="740">
        <f t="shared" si="0"/>
        <v>3476.6737064413937</v>
      </c>
      <c r="CO58" s="833">
        <f t="shared" ca="1" si="2"/>
        <v>9430.447240999998</v>
      </c>
      <c r="CP58" s="410"/>
      <c r="CQ58" s="140"/>
      <c r="CR58" s="833">
        <f t="shared" ca="1" si="3"/>
        <v>9430.447240999998</v>
      </c>
      <c r="CS58" s="140"/>
      <c r="CT58" s="834">
        <f t="shared" ca="1" si="4"/>
        <v>1</v>
      </c>
      <c r="CU58" s="140"/>
      <c r="CV58" s="835">
        <f t="shared" ca="1" si="5"/>
        <v>3476.6737064413937</v>
      </c>
      <c r="DJ58" s="140"/>
      <c r="DK58" s="741"/>
    </row>
    <row r="59" spans="1:115" s="743" customFormat="1" ht="14.1" x14ac:dyDescent="0.5">
      <c r="C59" s="836">
        <v>2045</v>
      </c>
      <c r="D59" s="520">
        <v>26</v>
      </c>
      <c r="E59" s="837"/>
      <c r="F59" s="832" t="e">
        <f t="shared" si="1"/>
        <v>#N/A</v>
      </c>
      <c r="G59" s="932">
        <f t="shared" si="6"/>
        <v>3476.6737064413937</v>
      </c>
      <c r="H59" s="946"/>
      <c r="J59" s="123"/>
      <c r="K59" s="123"/>
      <c r="L59" s="123"/>
      <c r="M59" s="123"/>
      <c r="N59" s="123"/>
      <c r="O59" s="412"/>
      <c r="P59" s="412"/>
      <c r="Q59" s="412"/>
      <c r="S59" s="451"/>
      <c r="T59" s="451"/>
      <c r="U59" s="451"/>
      <c r="V59" s="451"/>
      <c r="W59" s="451"/>
      <c r="X59" s="451"/>
      <c r="Y59" s="451"/>
      <c r="Z59" s="451"/>
      <c r="AA59" s="451"/>
      <c r="AB59" s="451"/>
      <c r="AC59" s="451"/>
      <c r="AD59" s="451"/>
      <c r="AE59" s="451"/>
      <c r="AF59" s="451"/>
      <c r="AG59" s="451"/>
      <c r="AH59" s="451"/>
      <c r="AI59" s="413"/>
      <c r="AJ59" s="413"/>
      <c r="AK59" s="413"/>
      <c r="AL59" s="451"/>
      <c r="AM59" s="165">
        <f t="shared" si="40"/>
        <v>2041</v>
      </c>
      <c r="AN59" s="444">
        <f t="shared" si="16"/>
        <v>27</v>
      </c>
      <c r="AO59" s="867">
        <f t="shared" si="17"/>
        <v>1323.1995776135163</v>
      </c>
      <c r="AP59" s="445">
        <f t="shared" si="18"/>
        <v>1957.4445617740232</v>
      </c>
      <c r="AQ59" s="869">
        <f t="shared" si="19"/>
        <v>3280.6441393875393</v>
      </c>
      <c r="AR59" s="447" t="str">
        <f t="shared" si="20"/>
        <v/>
      </c>
      <c r="AT59" s="165">
        <f t="shared" si="41"/>
        <v>2041</v>
      </c>
      <c r="AU59" s="444">
        <f t="shared" si="21"/>
        <v>27</v>
      </c>
      <c r="AV59" s="867">
        <f t="shared" ca="1" si="22"/>
        <v>-518.41133895332757</v>
      </c>
      <c r="AW59" s="867">
        <f t="shared" ca="1" si="23"/>
        <v>1760.6528628126639</v>
      </c>
      <c r="AX59" s="445">
        <f t="shared" ca="1" si="24"/>
        <v>2044.2898732424699</v>
      </c>
      <c r="AY59" s="869">
        <f t="shared" ca="1" si="12"/>
        <v>3286.5313971018059</v>
      </c>
      <c r="AZ59" s="846" t="str">
        <f t="shared" si="25"/>
        <v/>
      </c>
      <c r="BB59" s="165">
        <f t="shared" si="42"/>
        <v>2041</v>
      </c>
      <c r="BC59" s="444">
        <f t="shared" si="26"/>
        <v>27</v>
      </c>
      <c r="BD59" s="867">
        <f t="shared" ca="1" si="27"/>
        <v>1878.70651260504</v>
      </c>
      <c r="BE59" s="867">
        <f t="shared" ca="1" si="28"/>
        <v>-2733.5968487394921</v>
      </c>
      <c r="BF59" s="867">
        <f t="shared" ca="1" si="29"/>
        <v>1678.5472689075623</v>
      </c>
      <c r="BG59" s="445">
        <f t="shared" ca="1" si="30"/>
        <v>2232.8304621848733</v>
      </c>
      <c r="BH59" s="869">
        <f t="shared" ca="1" si="13"/>
        <v>3056.4873949579833</v>
      </c>
      <c r="BI59" s="846" t="str">
        <f t="shared" si="31"/>
        <v/>
      </c>
      <c r="BK59" s="165">
        <f t="shared" si="43"/>
        <v>2041</v>
      </c>
      <c r="BL59" s="444">
        <f t="shared" si="32"/>
        <v>27</v>
      </c>
      <c r="BM59" s="867">
        <f t="shared" ca="1" si="33"/>
        <v>1862.9883849899884</v>
      </c>
      <c r="BN59" s="445">
        <f t="shared" ca="1" si="34"/>
        <v>1.7904811438643229</v>
      </c>
      <c r="BO59" s="869">
        <f t="shared" ca="1" si="14"/>
        <v>3335.6455745628218</v>
      </c>
      <c r="BP59" s="846" t="str">
        <f t="shared" si="35"/>
        <v/>
      </c>
      <c r="BS59" s="165">
        <f t="shared" si="44"/>
        <v>2041</v>
      </c>
      <c r="BT59" s="444">
        <f t="shared" si="36"/>
        <v>27</v>
      </c>
      <c r="BU59" s="867">
        <f t="shared" ca="1" si="37"/>
        <v>1.259454340899987</v>
      </c>
      <c r="BV59" s="445">
        <f t="shared" ca="1" si="15"/>
        <v>0.26810896217080732</v>
      </c>
      <c r="BW59" s="869">
        <f t="shared" ca="1" si="38"/>
        <v>3289.2990969880202</v>
      </c>
      <c r="BX59" s="846" t="str">
        <f t="shared" si="39"/>
        <v/>
      </c>
      <c r="CA59" s="164" t="b">
        <f t="shared" si="7"/>
        <v>0</v>
      </c>
      <c r="CB59" s="164" t="str">
        <f t="shared" si="8"/>
        <v/>
      </c>
      <c r="CC59" s="165" t="str">
        <f t="shared" si="9"/>
        <v/>
      </c>
      <c r="CD59" s="436" t="str">
        <f>IFERROR(INDEX($CB$19:$CB$74,_xlfn.AGGREGATE(15,6,(ROW($CB$19:$CB$74)-ROW($CB$19)+1)/($CB$19:$CB$74&lt;&gt;""),ROWS($CD$1:CD41))),"")</f>
        <v/>
      </c>
      <c r="CE59" s="437" t="str">
        <f>IFERROR(INDEX($CC$19:$CC$74,_xlfn.AGGREGATE(15,6,(ROW($CC$19:$CC$74)-ROW($CC$19)+1)/($CC$19:$CC$74&lt;&gt;""),ROWS($CE$1:CE41))),"")</f>
        <v/>
      </c>
      <c r="CF59" s="437" t="str">
        <f t="shared" si="10"/>
        <v/>
      </c>
      <c r="CG59" s="164"/>
      <c r="CH59" s="165"/>
      <c r="CK59" s="164">
        <f>CK58+1</f>
        <v>2046</v>
      </c>
      <c r="CL59" s="740">
        <f t="shared" si="0"/>
        <v>3525.6810982048573</v>
      </c>
      <c r="CO59" s="833">
        <f t="shared" ca="1" si="2"/>
        <v>9486.6319550000026</v>
      </c>
      <c r="CP59" s="410"/>
      <c r="CQ59" s="140"/>
      <c r="CR59" s="833">
        <f t="shared" ca="1" si="3"/>
        <v>9486.6319550000026</v>
      </c>
      <c r="CS59" s="140"/>
      <c r="CT59" s="834">
        <f t="shared" ca="1" si="4"/>
        <v>1</v>
      </c>
      <c r="CU59" s="140"/>
      <c r="CV59" s="835">
        <f t="shared" ca="1" si="5"/>
        <v>3525.6810982048573</v>
      </c>
    </row>
    <row r="60" spans="1:115" s="743" customFormat="1" ht="14.1" x14ac:dyDescent="0.5">
      <c r="C60" s="836">
        <v>2046</v>
      </c>
      <c r="D60" s="520">
        <v>27</v>
      </c>
      <c r="E60" s="837"/>
      <c r="F60" s="832" t="e">
        <f t="shared" si="1"/>
        <v>#N/A</v>
      </c>
      <c r="G60" s="932">
        <f t="shared" si="6"/>
        <v>3525.6810982048573</v>
      </c>
      <c r="H60" s="946"/>
      <c r="J60" s="123"/>
      <c r="K60" s="123"/>
      <c r="L60" s="123"/>
      <c r="M60" s="123"/>
      <c r="N60" s="123"/>
      <c r="O60" s="412"/>
      <c r="P60" s="412"/>
      <c r="Q60" s="412"/>
      <c r="S60" s="451"/>
      <c r="T60" s="451"/>
      <c r="U60" s="451"/>
      <c r="V60" s="451"/>
      <c r="W60" s="451"/>
      <c r="X60" s="451"/>
      <c r="Y60" s="451"/>
      <c r="Z60" s="451"/>
      <c r="AA60" s="451"/>
      <c r="AB60" s="451"/>
      <c r="AC60" s="451"/>
      <c r="AD60" s="451"/>
      <c r="AE60" s="451"/>
      <c r="AF60" s="451"/>
      <c r="AG60" s="451"/>
      <c r="AH60" s="451"/>
      <c r="AI60" s="413"/>
      <c r="AJ60" s="413"/>
      <c r="AK60" s="413"/>
      <c r="AL60" s="451"/>
      <c r="AM60" s="165">
        <f t="shared" si="40"/>
        <v>2042</v>
      </c>
      <c r="AN60" s="444">
        <f t="shared" si="16"/>
        <v>28</v>
      </c>
      <c r="AO60" s="867">
        <f t="shared" si="17"/>
        <v>1372.2069693769799</v>
      </c>
      <c r="AP60" s="445">
        <f t="shared" si="18"/>
        <v>1957.4445617740232</v>
      </c>
      <c r="AQ60" s="869">
        <f t="shared" si="19"/>
        <v>3329.6515311510029</v>
      </c>
      <c r="AR60" s="447" t="str">
        <f t="shared" si="20"/>
        <v/>
      </c>
      <c r="AS60" s="123"/>
      <c r="AT60" s="165">
        <f t="shared" si="41"/>
        <v>2042</v>
      </c>
      <c r="AU60" s="444">
        <f t="shared" si="21"/>
        <v>28</v>
      </c>
      <c r="AV60" s="867">
        <f t="shared" ca="1" si="22"/>
        <v>-557.52330554102718</v>
      </c>
      <c r="AW60" s="867">
        <f t="shared" ca="1" si="23"/>
        <v>1825.8622281020216</v>
      </c>
      <c r="AX60" s="445">
        <f t="shared" ca="1" si="24"/>
        <v>2044.2898732424699</v>
      </c>
      <c r="AY60" s="869">
        <f t="shared" ca="1" si="12"/>
        <v>3312.6287958034645</v>
      </c>
      <c r="AZ60" s="846" t="str">
        <f t="shared" si="25"/>
        <v/>
      </c>
      <c r="BB60" s="165">
        <f t="shared" si="42"/>
        <v>2042</v>
      </c>
      <c r="BC60" s="444">
        <f t="shared" si="26"/>
        <v>28</v>
      </c>
      <c r="BD60" s="867">
        <f t="shared" ca="1" si="27"/>
        <v>2095.2784313725469</v>
      </c>
      <c r="BE60" s="867">
        <f t="shared" ca="1" si="28"/>
        <v>-2939.8352941176431</v>
      </c>
      <c r="BF60" s="867">
        <f t="shared" ca="1" si="29"/>
        <v>1740.7156862745092</v>
      </c>
      <c r="BG60" s="445">
        <f t="shared" ca="1" si="30"/>
        <v>2232.8304621848733</v>
      </c>
      <c r="BH60" s="869">
        <f t="shared" ca="1" si="13"/>
        <v>3128.9892857142863</v>
      </c>
      <c r="BI60" s="846" t="str">
        <f t="shared" si="31"/>
        <v/>
      </c>
      <c r="BK60" s="165">
        <f t="shared" si="43"/>
        <v>2042</v>
      </c>
      <c r="BL60" s="444">
        <f t="shared" si="32"/>
        <v>28</v>
      </c>
      <c r="BM60" s="867">
        <f t="shared" ca="1" si="33"/>
        <v>1862.9883849899884</v>
      </c>
      <c r="BN60" s="445">
        <f t="shared" ca="1" si="34"/>
        <v>1.8295277523294804</v>
      </c>
      <c r="BO60" s="869">
        <f t="shared" ca="1" si="14"/>
        <v>3408.3889526066623</v>
      </c>
      <c r="BP60" s="846" t="str">
        <f t="shared" si="35"/>
        <v/>
      </c>
      <c r="BS60" s="165">
        <f t="shared" si="44"/>
        <v>2042</v>
      </c>
      <c r="BT60" s="444">
        <f t="shared" si="36"/>
        <v>28</v>
      </c>
      <c r="BU60" s="867">
        <f t="shared" ca="1" si="37"/>
        <v>1.259454340899987</v>
      </c>
      <c r="BV60" s="445">
        <f t="shared" ca="1" si="15"/>
        <v>0.25535106713418387</v>
      </c>
      <c r="BW60" s="869">
        <f t="shared" ca="1" si="38"/>
        <v>3329.2902383355249</v>
      </c>
      <c r="BX60" s="846" t="str">
        <f t="shared" si="39"/>
        <v/>
      </c>
      <c r="CA60" s="164" t="b">
        <f t="shared" si="7"/>
        <v>0</v>
      </c>
      <c r="CB60" s="164" t="str">
        <f t="shared" si="8"/>
        <v/>
      </c>
      <c r="CC60" s="165" t="str">
        <f t="shared" si="9"/>
        <v/>
      </c>
      <c r="CD60" s="436" t="str">
        <f>IFERROR(INDEX($CB$19:$CB$74,_xlfn.AGGREGATE(15,6,(ROW($CB$19:$CB$74)-ROW($CB$19)+1)/($CB$19:$CB$74&lt;&gt;""),ROWS($CD$1:CD42))),"")</f>
        <v/>
      </c>
      <c r="CE60" s="437" t="str">
        <f>IFERROR(INDEX($CC$19:$CC$74,_xlfn.AGGREGATE(15,6,(ROW($CC$19:$CC$74)-ROW($CC$19)+1)/($CC$19:$CC$74&lt;&gt;""),ROWS($CE$1:CE42))),"")</f>
        <v/>
      </c>
      <c r="CF60" s="437" t="str">
        <f t="shared" si="10"/>
        <v/>
      </c>
      <c r="CG60" s="164"/>
      <c r="CH60" s="165"/>
      <c r="CK60" s="164">
        <f t="shared" si="11"/>
        <v>2047</v>
      </c>
      <c r="CL60" s="740">
        <f t="shared" si="0"/>
        <v>3574.6884899683209</v>
      </c>
      <c r="CO60" s="833">
        <f t="shared" ca="1" si="2"/>
        <v>9541.7744910000001</v>
      </c>
      <c r="CP60" s="410"/>
      <c r="CQ60" s="140"/>
      <c r="CR60" s="833">
        <f t="shared" ca="1" si="3"/>
        <v>9541.7744910000001</v>
      </c>
      <c r="CS60" s="140"/>
      <c r="CT60" s="834">
        <f t="shared" ca="1" si="4"/>
        <v>1</v>
      </c>
      <c r="CU60" s="140"/>
      <c r="CV60" s="835">
        <f t="shared" ca="1" si="5"/>
        <v>3574.6884899683209</v>
      </c>
    </row>
    <row r="61" spans="1:115" s="743" customFormat="1" ht="14.1" x14ac:dyDescent="0.5">
      <c r="A61" s="453"/>
      <c r="B61" s="451"/>
      <c r="C61" s="836">
        <v>2047</v>
      </c>
      <c r="D61" s="520">
        <v>28</v>
      </c>
      <c r="E61" s="837"/>
      <c r="F61" s="832" t="e">
        <f t="shared" si="1"/>
        <v>#N/A</v>
      </c>
      <c r="G61" s="832">
        <f t="shared" si="6"/>
        <v>3574.6884899683209</v>
      </c>
      <c r="H61" s="371"/>
      <c r="I61" s="371"/>
      <c r="J61" s="123"/>
      <c r="K61" s="123"/>
      <c r="L61" s="123"/>
      <c r="M61" s="123"/>
      <c r="N61" s="123"/>
      <c r="O61" s="412"/>
      <c r="P61" s="412"/>
      <c r="Q61" s="412"/>
      <c r="S61" s="451"/>
      <c r="T61" s="451"/>
      <c r="U61" s="451"/>
      <c r="V61" s="451"/>
      <c r="W61" s="451"/>
      <c r="X61" s="451"/>
      <c r="Y61" s="451"/>
      <c r="Z61" s="451"/>
      <c r="AA61" s="451"/>
      <c r="AB61" s="451"/>
      <c r="AC61" s="451"/>
      <c r="AD61" s="451"/>
      <c r="AE61" s="451"/>
      <c r="AF61" s="451"/>
      <c r="AG61" s="451"/>
      <c r="AH61" s="451"/>
      <c r="AI61" s="413"/>
      <c r="AJ61" s="413"/>
      <c r="AK61" s="413"/>
      <c r="AL61" s="451"/>
      <c r="AM61" s="165">
        <f t="shared" si="40"/>
        <v>2043</v>
      </c>
      <c r="AN61" s="444">
        <f t="shared" si="16"/>
        <v>29</v>
      </c>
      <c r="AO61" s="867">
        <f t="shared" si="17"/>
        <v>1421.2143611404433</v>
      </c>
      <c r="AP61" s="445">
        <f t="shared" si="18"/>
        <v>1957.4445617740232</v>
      </c>
      <c r="AQ61" s="869">
        <f t="shared" si="19"/>
        <v>3378.6589229144665</v>
      </c>
      <c r="AR61" s="447" t="str">
        <f t="shared" si="20"/>
        <v/>
      </c>
      <c r="AT61" s="165">
        <f t="shared" si="41"/>
        <v>2043</v>
      </c>
      <c r="AU61" s="444">
        <f t="shared" si="21"/>
        <v>29</v>
      </c>
      <c r="AV61" s="867">
        <f t="shared" ca="1" si="22"/>
        <v>-598.05752545918858</v>
      </c>
      <c r="AW61" s="867">
        <f t="shared" ca="1" si="23"/>
        <v>1891.0715933913796</v>
      </c>
      <c r="AX61" s="445">
        <f t="shared" ca="1" si="24"/>
        <v>2044.2898732424699</v>
      </c>
      <c r="AY61" s="869">
        <f t="shared" ca="1" si="12"/>
        <v>3337.3039411746608</v>
      </c>
      <c r="AZ61" s="846" t="str">
        <f t="shared" si="25"/>
        <v/>
      </c>
      <c r="BB61" s="165">
        <f t="shared" si="42"/>
        <v>2043</v>
      </c>
      <c r="BC61" s="444">
        <f t="shared" si="26"/>
        <v>29</v>
      </c>
      <c r="BD61" s="867">
        <f t="shared" ca="1" si="27"/>
        <v>2327.8856442577007</v>
      </c>
      <c r="BE61" s="867">
        <f t="shared" ca="1" si="28"/>
        <v>-3153.5733193277269</v>
      </c>
      <c r="BF61" s="867">
        <f t="shared" ca="1" si="29"/>
        <v>1802.884103641456</v>
      </c>
      <c r="BG61" s="445">
        <f t="shared" ca="1" si="30"/>
        <v>2232.8304621848733</v>
      </c>
      <c r="BH61" s="869">
        <f t="shared" ca="1" si="13"/>
        <v>3210.0268907563031</v>
      </c>
      <c r="BI61" s="846" t="str">
        <f t="shared" si="31"/>
        <v/>
      </c>
      <c r="BK61" s="165">
        <f t="shared" si="43"/>
        <v>2043</v>
      </c>
      <c r="BL61" s="444">
        <f t="shared" si="32"/>
        <v>29</v>
      </c>
      <c r="BM61" s="867">
        <f t="shared" ca="1" si="33"/>
        <v>1862.9883849899884</v>
      </c>
      <c r="BN61" s="445">
        <f t="shared" ca="1" si="34"/>
        <v>1.8694258847762537</v>
      </c>
      <c r="BO61" s="869">
        <f t="shared" ca="1" si="14"/>
        <v>3482.7187099377929</v>
      </c>
      <c r="BP61" s="846" t="str">
        <f t="shared" si="35"/>
        <v/>
      </c>
      <c r="BS61" s="165">
        <f t="shared" si="44"/>
        <v>2043</v>
      </c>
      <c r="BT61" s="444">
        <f t="shared" si="36"/>
        <v>29</v>
      </c>
      <c r="BU61" s="867">
        <f t="shared" ca="1" si="37"/>
        <v>1.259454340899987</v>
      </c>
      <c r="BV61" s="445">
        <f t="shared" ca="1" si="15"/>
        <v>0.24320025320535957</v>
      </c>
      <c r="BW61" s="869">
        <f t="shared" ca="1" si="38"/>
        <v>3368.2931165237837</v>
      </c>
      <c r="BX61" s="846" t="str">
        <f t="shared" si="39"/>
        <v/>
      </c>
      <c r="CA61" s="164" t="b">
        <f t="shared" si="7"/>
        <v>0</v>
      </c>
      <c r="CB61" s="164" t="str">
        <f t="shared" si="8"/>
        <v/>
      </c>
      <c r="CC61" s="165" t="str">
        <f t="shared" si="9"/>
        <v/>
      </c>
      <c r="CD61" s="436" t="str">
        <f>IFERROR(INDEX($CB$19:$CB$74,_xlfn.AGGREGATE(15,6,(ROW($CB$19:$CB$74)-ROW($CB$19)+1)/($CB$19:$CB$74&lt;&gt;""),ROWS($CD$1:CD43))),"")</f>
        <v/>
      </c>
      <c r="CE61" s="437" t="str">
        <f>IFERROR(INDEX($CC$19:$CC$74,_xlfn.AGGREGATE(15,6,(ROW($CC$19:$CC$74)-ROW($CC$19)+1)/($CC$19:$CC$74&lt;&gt;""),ROWS($CE$1:CE43))),"")</f>
        <v/>
      </c>
      <c r="CF61" s="437" t="str">
        <f t="shared" si="10"/>
        <v/>
      </c>
      <c r="CG61" s="164"/>
      <c r="CH61" s="165"/>
      <c r="CK61" s="164">
        <f t="shared" si="11"/>
        <v>2048</v>
      </c>
      <c r="CL61" s="740">
        <f t="shared" si="0"/>
        <v>3623.6958817317845</v>
      </c>
      <c r="CO61" s="833">
        <f t="shared" ca="1" si="2"/>
        <v>9595.8548529999989</v>
      </c>
      <c r="CP61" s="410"/>
      <c r="CQ61" s="140"/>
      <c r="CR61" s="833">
        <f t="shared" ca="1" si="3"/>
        <v>9595.8548529999989</v>
      </c>
      <c r="CS61" s="140"/>
      <c r="CT61" s="834">
        <f t="shared" ca="1" si="4"/>
        <v>1</v>
      </c>
      <c r="CU61" s="140"/>
      <c r="CV61" s="835">
        <f t="shared" ca="1" si="5"/>
        <v>3623.6958817317845</v>
      </c>
    </row>
    <row r="62" spans="1:115" s="743" customFormat="1" ht="14.1" x14ac:dyDescent="0.5">
      <c r="B62" s="451"/>
      <c r="C62" s="836">
        <v>2048</v>
      </c>
      <c r="D62" s="520">
        <v>29</v>
      </c>
      <c r="E62" s="837"/>
      <c r="F62" s="832" t="e">
        <f t="shared" si="1"/>
        <v>#N/A</v>
      </c>
      <c r="G62" s="832">
        <f t="shared" si="6"/>
        <v>3623.6958817317845</v>
      </c>
      <c r="H62" s="371"/>
      <c r="I62" s="371"/>
      <c r="J62" s="123"/>
      <c r="K62" s="123"/>
      <c r="L62" s="123"/>
      <c r="M62" s="123"/>
      <c r="N62" s="123"/>
      <c r="O62" s="412"/>
      <c r="P62" s="412"/>
      <c r="Q62" s="412"/>
      <c r="S62" s="451"/>
      <c r="T62" s="451"/>
      <c r="U62" s="451"/>
      <c r="V62" s="451"/>
      <c r="W62" s="451"/>
      <c r="X62" s="451"/>
      <c r="Y62" s="451"/>
      <c r="Z62" s="451"/>
      <c r="AA62" s="451"/>
      <c r="AB62" s="451"/>
      <c r="AC62" s="451"/>
      <c r="AD62" s="451"/>
      <c r="AE62" s="451"/>
      <c r="AF62" s="451"/>
      <c r="AG62" s="451"/>
      <c r="AH62" s="451"/>
      <c r="AI62" s="413"/>
      <c r="AJ62" s="413"/>
      <c r="AK62" s="413"/>
      <c r="AL62" s="451"/>
      <c r="AM62" s="165">
        <f t="shared" si="40"/>
        <v>2044</v>
      </c>
      <c r="AN62" s="444">
        <f t="shared" si="16"/>
        <v>30</v>
      </c>
      <c r="AO62" s="867">
        <f t="shared" si="17"/>
        <v>1470.2217529039069</v>
      </c>
      <c r="AP62" s="445">
        <f t="shared" si="18"/>
        <v>1957.4445617740232</v>
      </c>
      <c r="AQ62" s="869">
        <f t="shared" si="19"/>
        <v>3427.6663146779301</v>
      </c>
      <c r="AR62" s="447" t="str">
        <f t="shared" si="20"/>
        <v/>
      </c>
      <c r="AT62" s="165">
        <f t="shared" si="41"/>
        <v>2044</v>
      </c>
      <c r="AU62" s="444">
        <f t="shared" si="21"/>
        <v>30</v>
      </c>
      <c r="AV62" s="867">
        <f t="shared" ca="1" si="22"/>
        <v>-640.01399870781188</v>
      </c>
      <c r="AW62" s="867">
        <f t="shared" ca="1" si="23"/>
        <v>1956.2809586807375</v>
      </c>
      <c r="AX62" s="445">
        <f t="shared" ca="1" si="24"/>
        <v>2044.2898732424699</v>
      </c>
      <c r="AY62" s="869">
        <f t="shared" ca="1" si="12"/>
        <v>3360.5568332153953</v>
      </c>
      <c r="AZ62" s="846" t="str">
        <f t="shared" si="25"/>
        <v/>
      </c>
      <c r="BB62" s="165">
        <f t="shared" si="42"/>
        <v>2044</v>
      </c>
      <c r="BC62" s="444">
        <f t="shared" si="26"/>
        <v>30</v>
      </c>
      <c r="BD62" s="867">
        <f t="shared" ca="1" si="27"/>
        <v>2577.1008403361316</v>
      </c>
      <c r="BE62" s="867">
        <f t="shared" ca="1" si="28"/>
        <v>-3374.8109243697436</v>
      </c>
      <c r="BF62" s="867">
        <f t="shared" ca="1" si="29"/>
        <v>1865.0525210084027</v>
      </c>
      <c r="BG62" s="445">
        <f t="shared" ca="1" si="30"/>
        <v>2232.8304621848733</v>
      </c>
      <c r="BH62" s="869">
        <f t="shared" ca="1" si="13"/>
        <v>3300.1728991596638</v>
      </c>
      <c r="BI62" s="846" t="str">
        <f t="shared" si="31"/>
        <v/>
      </c>
      <c r="BK62" s="165">
        <f t="shared" si="43"/>
        <v>2044</v>
      </c>
      <c r="BL62" s="444">
        <f t="shared" si="32"/>
        <v>30</v>
      </c>
      <c r="BM62" s="867">
        <f t="shared" ca="1" si="33"/>
        <v>1862.9883849899884</v>
      </c>
      <c r="BN62" s="445">
        <f t="shared" ca="1" si="34"/>
        <v>1.9101941111424625</v>
      </c>
      <c r="BO62" s="869">
        <f t="shared" ca="1" si="14"/>
        <v>3558.6694421346824</v>
      </c>
      <c r="BP62" s="846" t="str">
        <f t="shared" si="35"/>
        <v/>
      </c>
      <c r="BS62" s="165">
        <f t="shared" si="44"/>
        <v>2044</v>
      </c>
      <c r="BT62" s="444">
        <f t="shared" si="36"/>
        <v>30</v>
      </c>
      <c r="BU62" s="867">
        <f t="shared" ca="1" si="37"/>
        <v>1.259454340899987</v>
      </c>
      <c r="BV62" s="445">
        <f t="shared" ca="1" si="15"/>
        <v>0.23162763258815874</v>
      </c>
      <c r="BW62" s="869">
        <f t="shared" ca="1" si="38"/>
        <v>3406.2992902254978</v>
      </c>
      <c r="BX62" s="846" t="str">
        <f t="shared" si="39"/>
        <v/>
      </c>
      <c r="CA62" s="164" t="b">
        <f t="shared" si="7"/>
        <v>0</v>
      </c>
      <c r="CB62" s="164" t="str">
        <f t="shared" si="8"/>
        <v/>
      </c>
      <c r="CC62" s="165" t="str">
        <f t="shared" si="9"/>
        <v/>
      </c>
      <c r="CD62" s="436" t="str">
        <f>IFERROR(INDEX($CB$19:$CB$74,_xlfn.AGGREGATE(15,6,(ROW($CB$19:$CB$74)-ROW($CB$19)+1)/($CB$19:$CB$74&lt;&gt;""),ROWS($CD$1:CD44))),"")</f>
        <v/>
      </c>
      <c r="CE62" s="437" t="str">
        <f>IFERROR(INDEX($CC$19:$CC$74,_xlfn.AGGREGATE(15,6,(ROW($CC$19:$CC$74)-ROW($CC$19)+1)/($CC$19:$CC$74&lt;&gt;""),ROWS($CE$1:CE44))),"")</f>
        <v/>
      </c>
      <c r="CF62" s="437" t="str">
        <f t="shared" si="10"/>
        <v/>
      </c>
      <c r="CG62" s="164"/>
      <c r="CH62" s="165"/>
      <c r="CK62" s="164">
        <f t="shared" si="11"/>
        <v>2049</v>
      </c>
      <c r="CL62" s="740">
        <f>IF($G$18="Linear",AQ67,IF($G$18="2nd Poly",AY67,IF($G$18="3rd Poly",BH67,IF($G$18="Exp",BO67,IF($G$18="S-Curve",BW67)))))</f>
        <v>3672.7032734952481</v>
      </c>
      <c r="CO62" s="833">
        <f t="shared" ca="1" si="2"/>
        <v>9648.8555790000009</v>
      </c>
      <c r="CP62" s="410"/>
      <c r="CQ62" s="140"/>
      <c r="CR62" s="833">
        <f t="shared" ca="1" si="3"/>
        <v>9648.8555790000009</v>
      </c>
      <c r="CS62" s="140"/>
      <c r="CT62" s="834">
        <f t="shared" ca="1" si="4"/>
        <v>1</v>
      </c>
      <c r="CU62" s="140"/>
      <c r="CV62" s="835">
        <f t="shared" ca="1" si="5"/>
        <v>3672.7032734952481</v>
      </c>
    </row>
    <row r="63" spans="1:115" s="743" customFormat="1" ht="14.1" x14ac:dyDescent="0.5">
      <c r="B63" s="451"/>
      <c r="C63" s="836">
        <v>2049</v>
      </c>
      <c r="D63" s="520">
        <v>30</v>
      </c>
      <c r="E63" s="837"/>
      <c r="F63" s="832" t="e">
        <f t="shared" si="1"/>
        <v>#N/A</v>
      </c>
      <c r="G63" s="832">
        <f t="shared" si="6"/>
        <v>3672.7032734952481</v>
      </c>
      <c r="H63" s="371"/>
      <c r="I63" s="371"/>
      <c r="J63" s="123"/>
      <c r="K63" s="123"/>
      <c r="L63" s="123"/>
      <c r="M63" s="123"/>
      <c r="N63" s="123"/>
      <c r="O63" s="412"/>
      <c r="P63" s="412"/>
      <c r="Q63" s="412"/>
      <c r="S63" s="451"/>
      <c r="T63" s="451"/>
      <c r="U63" s="451"/>
      <c r="V63" s="451"/>
      <c r="W63" s="451"/>
      <c r="X63" s="451"/>
      <c r="Y63" s="451"/>
      <c r="Z63" s="451"/>
      <c r="AA63" s="451"/>
      <c r="AB63" s="451"/>
      <c r="AC63" s="451"/>
      <c r="AD63" s="451"/>
      <c r="AE63" s="451"/>
      <c r="AF63" s="451"/>
      <c r="AG63" s="451"/>
      <c r="AH63" s="451"/>
      <c r="AI63" s="413"/>
      <c r="AJ63" s="413"/>
      <c r="AK63" s="413"/>
      <c r="AL63" s="451"/>
      <c r="AM63" s="165">
        <f t="shared" si="40"/>
        <v>2045</v>
      </c>
      <c r="AN63" s="444">
        <f t="shared" si="16"/>
        <v>31</v>
      </c>
      <c r="AO63" s="867">
        <f t="shared" si="17"/>
        <v>1519.2291446673705</v>
      </c>
      <c r="AP63" s="445">
        <f t="shared" si="18"/>
        <v>1957.4445617740232</v>
      </c>
      <c r="AQ63" s="869">
        <f t="shared" si="19"/>
        <v>3476.6737064413937</v>
      </c>
      <c r="AR63" s="447" t="str">
        <f t="shared" si="20"/>
        <v/>
      </c>
      <c r="AT63" s="165">
        <f t="shared" si="41"/>
        <v>2045</v>
      </c>
      <c r="AU63" s="444">
        <f t="shared" si="21"/>
        <v>31</v>
      </c>
      <c r="AV63" s="867">
        <f t="shared" ca="1" si="22"/>
        <v>-683.39272528689685</v>
      </c>
      <c r="AW63" s="867">
        <f t="shared" ca="1" si="23"/>
        <v>2021.4903239700955</v>
      </c>
      <c r="AX63" s="445">
        <f t="shared" ca="1" si="24"/>
        <v>2044.2898732424699</v>
      </c>
      <c r="AY63" s="869">
        <f t="shared" ca="1" si="12"/>
        <v>3382.3874719256683</v>
      </c>
      <c r="AZ63" s="846" t="str">
        <f t="shared" si="25"/>
        <v/>
      </c>
      <c r="BB63" s="165">
        <f t="shared" si="42"/>
        <v>2045</v>
      </c>
      <c r="BC63" s="444">
        <f t="shared" si="26"/>
        <v>31</v>
      </c>
      <c r="BD63" s="867">
        <f t="shared" ca="1" si="27"/>
        <v>2843.4967086834704</v>
      </c>
      <c r="BE63" s="867">
        <f t="shared" ca="1" si="28"/>
        <v>-3603.5481092436926</v>
      </c>
      <c r="BF63" s="867">
        <f t="shared" ca="1" si="29"/>
        <v>1927.2209383753493</v>
      </c>
      <c r="BG63" s="445">
        <f t="shared" ca="1" si="30"/>
        <v>2232.8304621848733</v>
      </c>
      <c r="BH63" s="869">
        <f t="shared" ca="1" si="13"/>
        <v>3400.0000000000005</v>
      </c>
      <c r="BI63" s="846" t="str">
        <f t="shared" si="31"/>
        <v/>
      </c>
      <c r="BK63" s="165">
        <f t="shared" si="43"/>
        <v>2045</v>
      </c>
      <c r="BL63" s="444">
        <f t="shared" si="32"/>
        <v>31</v>
      </c>
      <c r="BM63" s="867">
        <f t="shared" ca="1" si="33"/>
        <v>1862.9883849899884</v>
      </c>
      <c r="BN63" s="445">
        <f t="shared" ca="1" si="34"/>
        <v>1.9518514063370114</v>
      </c>
      <c r="BO63" s="869">
        <f t="shared" ca="1" si="14"/>
        <v>3636.2764992322263</v>
      </c>
      <c r="BP63" s="846" t="str">
        <f t="shared" si="35"/>
        <v/>
      </c>
      <c r="BS63" s="165">
        <f t="shared" si="44"/>
        <v>2045</v>
      </c>
      <c r="BT63" s="444">
        <f t="shared" si="36"/>
        <v>31</v>
      </c>
      <c r="BU63" s="867">
        <f t="shared" ca="1" si="37"/>
        <v>1.259454340899987</v>
      </c>
      <c r="BV63" s="445">
        <f t="shared" ca="1" si="15"/>
        <v>0.22060569210465236</v>
      </c>
      <c r="BW63" s="869">
        <f t="shared" ca="1" si="38"/>
        <v>3443.303050958014</v>
      </c>
      <c r="BX63" s="846" t="str">
        <f t="shared" si="39"/>
        <v/>
      </c>
      <c r="CA63" s="164" t="b">
        <f t="shared" si="7"/>
        <v>0</v>
      </c>
      <c r="CB63" s="164" t="str">
        <f t="shared" si="8"/>
        <v/>
      </c>
      <c r="CC63" s="165" t="str">
        <f t="shared" si="9"/>
        <v/>
      </c>
      <c r="CD63" s="436" t="str">
        <f>IFERROR(INDEX($CB$19:$CB$74,_xlfn.AGGREGATE(15,6,(ROW($CB$19:$CB$74)-ROW($CB$19)+1)/($CB$19:$CB$74&lt;&gt;""),ROWS($CD$1:CD45))),"")</f>
        <v/>
      </c>
      <c r="CE63" s="437" t="str">
        <f>IFERROR(INDEX($CC$19:$CC$74,_xlfn.AGGREGATE(15,6,(ROW($CC$19:$CC$74)-ROW($CC$19)+1)/($CC$19:$CC$74&lt;&gt;""),ROWS($CE$1:CE45))),"")</f>
        <v/>
      </c>
      <c r="CF63" s="437" t="str">
        <f t="shared" si="10"/>
        <v/>
      </c>
      <c r="CG63" s="164"/>
      <c r="CH63" s="165"/>
      <c r="CK63" s="164">
        <f t="shared" si="11"/>
        <v>2050</v>
      </c>
      <c r="CL63" s="740">
        <f>IF($G$18="Linear",AQ68,IF($G$18="2nd Poly",AY68,IF($G$18="3rd Poly",BH68,IF($G$18="Exp",BO68,IF($G$18="S-Curve",BW68)))))</f>
        <v>3721.7106652587117</v>
      </c>
      <c r="CO63" s="833">
        <f t="shared" ca="1" si="2"/>
        <v>9700.761771999998</v>
      </c>
      <c r="CP63" s="410"/>
      <c r="CQ63" s="140"/>
      <c r="CR63" s="833">
        <f t="shared" ca="1" si="3"/>
        <v>9700.761771999998</v>
      </c>
      <c r="CS63" s="140"/>
      <c r="CT63" s="834">
        <f t="shared" ca="1" si="4"/>
        <v>1</v>
      </c>
      <c r="CU63" s="140"/>
      <c r="CV63" s="835">
        <f t="shared" ca="1" si="5"/>
        <v>3400</v>
      </c>
    </row>
    <row r="64" spans="1:115" s="743" customFormat="1" ht="14.1" x14ac:dyDescent="0.5">
      <c r="A64" s="453"/>
      <c r="B64" s="451"/>
      <c r="C64" s="836">
        <v>2050</v>
      </c>
      <c r="D64" s="520">
        <v>31</v>
      </c>
      <c r="E64" s="837">
        <v>3.4</v>
      </c>
      <c r="F64" s="832">
        <f t="shared" si="1"/>
        <v>3400</v>
      </c>
      <c r="G64" s="832">
        <f t="shared" si="6"/>
        <v>3400</v>
      </c>
      <c r="H64" s="371"/>
      <c r="I64" s="371"/>
      <c r="J64" s="123"/>
      <c r="K64" s="123"/>
      <c r="L64" s="123"/>
      <c r="M64" s="123"/>
      <c r="N64" s="123"/>
      <c r="O64" s="412"/>
      <c r="P64" s="412"/>
      <c r="Q64" s="412"/>
      <c r="S64" s="451"/>
      <c r="T64" s="451"/>
      <c r="U64" s="451"/>
      <c r="V64" s="451"/>
      <c r="W64" s="451"/>
      <c r="X64" s="451"/>
      <c r="Y64" s="451"/>
      <c r="Z64" s="451"/>
      <c r="AA64" s="451"/>
      <c r="AB64" s="451"/>
      <c r="AC64" s="451"/>
      <c r="AD64" s="451"/>
      <c r="AE64" s="451"/>
      <c r="AF64" s="451"/>
      <c r="AG64" s="451"/>
      <c r="AH64" s="451"/>
      <c r="AI64" s="413"/>
      <c r="AJ64" s="413"/>
      <c r="AK64" s="413"/>
      <c r="AL64" s="451"/>
      <c r="AM64" s="165">
        <f t="shared" si="40"/>
        <v>2046</v>
      </c>
      <c r="AN64" s="444">
        <f t="shared" si="16"/>
        <v>32</v>
      </c>
      <c r="AO64" s="867">
        <f t="shared" si="17"/>
        <v>1568.2365364308341</v>
      </c>
      <c r="AP64" s="445">
        <f t="shared" si="18"/>
        <v>1957.4445617740232</v>
      </c>
      <c r="AQ64" s="869">
        <f t="shared" si="19"/>
        <v>3525.6810982048573</v>
      </c>
      <c r="AR64" s="447" t="str">
        <f t="shared" si="20"/>
        <v/>
      </c>
      <c r="AT64" s="165">
        <f t="shared" si="41"/>
        <v>2046</v>
      </c>
      <c r="AU64" s="444">
        <f t="shared" si="21"/>
        <v>32</v>
      </c>
      <c r="AV64" s="867">
        <f t="shared" ca="1" si="22"/>
        <v>-728.19370519644372</v>
      </c>
      <c r="AW64" s="867">
        <f t="shared" ca="1" si="23"/>
        <v>2086.6996892594534</v>
      </c>
      <c r="AX64" s="445">
        <f t="shared" ca="1" si="24"/>
        <v>2044.2898732424699</v>
      </c>
      <c r="AY64" s="869">
        <f t="shared" ca="1" si="12"/>
        <v>3402.7958573054793</v>
      </c>
      <c r="AZ64" s="846" t="str">
        <f t="shared" si="25"/>
        <v/>
      </c>
      <c r="BB64" s="165">
        <f t="shared" si="42"/>
        <v>2046</v>
      </c>
      <c r="BC64" s="444">
        <f t="shared" si="26"/>
        <v>32</v>
      </c>
      <c r="BD64" s="867">
        <f t="shared" ca="1" si="27"/>
        <v>3127.6459383753468</v>
      </c>
      <c r="BE64" s="867">
        <f t="shared" ca="1" si="28"/>
        <v>-3839.7848739495748</v>
      </c>
      <c r="BF64" s="867">
        <f t="shared" ca="1" si="29"/>
        <v>1989.3893557422962</v>
      </c>
      <c r="BG64" s="445">
        <f t="shared" ca="1" si="30"/>
        <v>2232.8304621848733</v>
      </c>
      <c r="BH64" s="869">
        <f t="shared" ca="1" si="13"/>
        <v>3510.0808823529414</v>
      </c>
      <c r="BI64" s="846" t="str">
        <f t="shared" si="31"/>
        <v/>
      </c>
      <c r="BK64" s="165">
        <f t="shared" si="43"/>
        <v>2046</v>
      </c>
      <c r="BL64" s="444">
        <f t="shared" si="32"/>
        <v>32</v>
      </c>
      <c r="BM64" s="867">
        <f t="shared" ca="1" si="33"/>
        <v>1862.9883849899884</v>
      </c>
      <c r="BN64" s="445">
        <f t="shared" ca="1" si="34"/>
        <v>1.9944171590714528</v>
      </c>
      <c r="BO64" s="869">
        <f t="shared" ca="1" si="14"/>
        <v>3715.5760021748465</v>
      </c>
      <c r="BP64" s="846" t="str">
        <f t="shared" si="35"/>
        <v/>
      </c>
      <c r="BS64" s="165">
        <f t="shared" si="44"/>
        <v>2046</v>
      </c>
      <c r="BT64" s="444">
        <f t="shared" si="36"/>
        <v>32</v>
      </c>
      <c r="BU64" s="867">
        <f t="shared" ca="1" si="37"/>
        <v>1.259454340899987</v>
      </c>
      <c r="BV64" s="445">
        <f ca="1">EXP(1)^($BV$22*BT64)</f>
        <v>0.21010822778430727</v>
      </c>
      <c r="BW64" s="869">
        <f t="shared" ca="1" si="38"/>
        <v>3479.3013056856189</v>
      </c>
      <c r="BX64" s="846" t="str">
        <f t="shared" si="39"/>
        <v/>
      </c>
      <c r="CA64" s="164" t="b">
        <f t="shared" si="7"/>
        <v>1</v>
      </c>
      <c r="CB64" s="164">
        <f t="shared" si="8"/>
        <v>31</v>
      </c>
      <c r="CC64" s="165">
        <f t="shared" si="9"/>
        <v>3400</v>
      </c>
      <c r="CD64" s="436" t="str">
        <f>IFERROR(INDEX($CB$19:$CB$74,_xlfn.AGGREGATE(15,6,(ROW($CB$19:$CB$74)-ROW($CB$19)+1)/($CB$19:$CB$74&lt;&gt;""),ROWS($CD$1:CD46))),"")</f>
        <v/>
      </c>
      <c r="CE64" s="437" t="str">
        <f>IFERROR(INDEX($CC$19:$CC$74,_xlfn.AGGREGATE(15,6,(ROW($CC$19:$CC$74)-ROW($CC$19)+1)/($CC$19:$CC$74&lt;&gt;""),ROWS($CE$1:CE46))),"")</f>
        <v/>
      </c>
      <c r="CF64" s="437" t="str">
        <f t="shared" si="10"/>
        <v/>
      </c>
      <c r="CG64" s="164"/>
      <c r="CH64" s="165"/>
      <c r="CJ64" s="140"/>
      <c r="CK64" s="164">
        <f t="shared" si="11"/>
        <v>2051</v>
      </c>
      <c r="CL64" s="740">
        <f t="shared" ref="CL64:CL73" si="46">IF($G$18="Linear",AQ69,IF($G$18="2nd Poly",AY69,IF($G$18="3rd Poly",BH69,IF($G$18="Exp",BO69,IF($G$18="S-Curve",BW69)))))</f>
        <v>3770.7180570221753</v>
      </c>
      <c r="CO64" s="833">
        <f t="shared" ca="1" si="2"/>
        <v>9751.569580000003</v>
      </c>
      <c r="CP64" s="410"/>
      <c r="CQ64" s="140"/>
      <c r="CR64" s="833">
        <f t="shared" ca="1" si="3"/>
        <v>9751.569580000003</v>
      </c>
      <c r="CS64" s="140"/>
      <c r="CT64" s="834">
        <f t="shared" ca="1" si="4"/>
        <v>1</v>
      </c>
      <c r="CU64" s="140"/>
      <c r="CV64" s="835">
        <f t="shared" ca="1" si="5"/>
        <v>3770.7180570221753</v>
      </c>
    </row>
    <row r="65" spans="1:145" s="743" customFormat="1" ht="14.1" x14ac:dyDescent="0.5">
      <c r="A65" s="453"/>
      <c r="B65" s="451"/>
      <c r="C65" s="836">
        <v>2051</v>
      </c>
      <c r="D65" s="520">
        <v>32</v>
      </c>
      <c r="E65" s="837"/>
      <c r="F65" s="832" t="e">
        <f t="shared" si="1"/>
        <v>#N/A</v>
      </c>
      <c r="G65" s="832">
        <f t="shared" si="6"/>
        <v>3770.7180570221753</v>
      </c>
      <c r="H65" s="371"/>
      <c r="I65" s="371"/>
      <c r="J65" s="123"/>
      <c r="K65" s="123"/>
      <c r="L65" s="123"/>
      <c r="M65" s="123"/>
      <c r="N65" s="123"/>
      <c r="O65" s="412"/>
      <c r="P65" s="412"/>
      <c r="Q65" s="412"/>
      <c r="S65" s="451"/>
      <c r="T65" s="451"/>
      <c r="U65" s="451"/>
      <c r="V65" s="451"/>
      <c r="W65" s="451"/>
      <c r="X65" s="451"/>
      <c r="Y65" s="451"/>
      <c r="Z65" s="451"/>
      <c r="AA65" s="451"/>
      <c r="AB65" s="451"/>
      <c r="AC65" s="451"/>
      <c r="AD65" s="451"/>
      <c r="AE65" s="451"/>
      <c r="AF65" s="451"/>
      <c r="AG65" s="451"/>
      <c r="AH65" s="451"/>
      <c r="AI65" s="413"/>
      <c r="AJ65" s="413"/>
      <c r="AK65" s="413"/>
      <c r="AL65" s="451"/>
      <c r="AM65" s="165">
        <f t="shared" si="40"/>
        <v>2047</v>
      </c>
      <c r="AN65" s="444">
        <f t="shared" si="16"/>
        <v>33</v>
      </c>
      <c r="AO65" s="867">
        <f t="shared" si="17"/>
        <v>1617.2439281942977</v>
      </c>
      <c r="AP65" s="445">
        <f t="shared" si="18"/>
        <v>1957.4445617740232</v>
      </c>
      <c r="AQ65" s="869">
        <f t="shared" si="19"/>
        <v>3574.6884899683209</v>
      </c>
      <c r="AR65" s="447" t="str">
        <f t="shared" si="20"/>
        <v/>
      </c>
      <c r="AT65" s="165">
        <f t="shared" si="41"/>
        <v>2047</v>
      </c>
      <c r="AU65" s="444">
        <f t="shared" si="21"/>
        <v>33</v>
      </c>
      <c r="AV65" s="867">
        <f t="shared" ca="1" si="22"/>
        <v>-774.41693843645237</v>
      </c>
      <c r="AW65" s="867">
        <f t="shared" ca="1" si="23"/>
        <v>2151.9090545488111</v>
      </c>
      <c r="AX65" s="445">
        <f t="shared" ca="1" si="24"/>
        <v>2044.2898732424699</v>
      </c>
      <c r="AY65" s="869">
        <f t="shared" ca="1" si="12"/>
        <v>3421.7819893548285</v>
      </c>
      <c r="AZ65" s="846" t="str">
        <f t="shared" si="25"/>
        <v/>
      </c>
      <c r="BB65" s="165">
        <f t="shared" si="42"/>
        <v>2047</v>
      </c>
      <c r="BC65" s="444">
        <f t="shared" si="26"/>
        <v>33</v>
      </c>
      <c r="BD65" s="867">
        <f t="shared" ca="1" si="27"/>
        <v>3430.1212184873912</v>
      </c>
      <c r="BE65" s="867">
        <f t="shared" ca="1" si="28"/>
        <v>-4083.5212184873894</v>
      </c>
      <c r="BF65" s="867">
        <f t="shared" ca="1" si="29"/>
        <v>2051.557773109243</v>
      </c>
      <c r="BG65" s="445">
        <f t="shared" ca="1" si="30"/>
        <v>2232.8304621848733</v>
      </c>
      <c r="BH65" s="869">
        <f t="shared" ca="1" si="13"/>
        <v>3630.9882352941181</v>
      </c>
      <c r="BI65" s="846" t="str">
        <f t="shared" si="31"/>
        <v/>
      </c>
      <c r="BK65" s="165">
        <f t="shared" si="43"/>
        <v>2047</v>
      </c>
      <c r="BL65" s="444">
        <f t="shared" si="32"/>
        <v>33</v>
      </c>
      <c r="BM65" s="867">
        <f t="shared" ca="1" si="33"/>
        <v>1862.9883849899884</v>
      </c>
      <c r="BN65" s="445">
        <f t="shared" ca="1" si="34"/>
        <v>2.0379111808841484</v>
      </c>
      <c r="BO65" s="869">
        <f t="shared" ca="1" si="14"/>
        <v>3796.6048596283995</v>
      </c>
      <c r="BP65" s="846" t="str">
        <f t="shared" si="35"/>
        <v/>
      </c>
      <c r="BS65" s="165">
        <f t="shared" si="44"/>
        <v>2047</v>
      </c>
      <c r="BT65" s="444">
        <f t="shared" si="36"/>
        <v>33</v>
      </c>
      <c r="BU65" s="867">
        <f t="shared" ca="1" si="37"/>
        <v>1.259454340899987</v>
      </c>
      <c r="BV65" s="445">
        <f t="shared" ref="BV65:BV78" ca="1" si="47">EXP(1)^($BV$22*BT65)</f>
        <v>0.20011028256569344</v>
      </c>
      <c r="BW65" s="869">
        <f t="shared" ca="1" si="38"/>
        <v>3514.2934508329986</v>
      </c>
      <c r="BX65" s="846" t="str">
        <f t="shared" si="39"/>
        <v/>
      </c>
      <c r="CA65" s="164" t="b">
        <f t="shared" si="7"/>
        <v>0</v>
      </c>
      <c r="CB65" s="164" t="str">
        <f t="shared" si="8"/>
        <v/>
      </c>
      <c r="CC65" s="165" t="str">
        <f t="shared" si="9"/>
        <v/>
      </c>
      <c r="CD65" s="436" t="str">
        <f>IFERROR(INDEX($CB$19:$CB$74,_xlfn.AGGREGATE(15,6,(ROW($CB$19:$CB$74)-ROW($CB$19)+1)/($CB$19:$CB$74&lt;&gt;""),ROWS($CD$1:CD47))),"")</f>
        <v/>
      </c>
      <c r="CE65" s="437" t="str">
        <f>IFERROR(INDEX($CC$19:$CC$74,_xlfn.AGGREGATE(15,6,(ROW($CC$19:$CC$74)-ROW($CC$19)+1)/($CC$19:$CC$74&lt;&gt;""),ROWS($CE$1:CE47))),"")</f>
        <v/>
      </c>
      <c r="CF65" s="437" t="str">
        <f t="shared" si="10"/>
        <v/>
      </c>
      <c r="CG65" s="164"/>
      <c r="CH65" s="165"/>
      <c r="CK65" s="164">
        <f t="shared" si="11"/>
        <v>2052</v>
      </c>
      <c r="CL65" s="740">
        <f t="shared" si="46"/>
        <v>3819.7254487856389</v>
      </c>
      <c r="CO65" s="833">
        <f t="shared" ca="1" si="2"/>
        <v>9801.2712240000001</v>
      </c>
      <c r="CP65" s="410"/>
      <c r="CQ65" s="140"/>
      <c r="CR65" s="833">
        <f t="shared" ca="1" si="3"/>
        <v>9801.2712240000001</v>
      </c>
      <c r="CS65" s="140"/>
      <c r="CT65" s="834">
        <f t="shared" ca="1" si="4"/>
        <v>1</v>
      </c>
      <c r="CU65" s="140"/>
      <c r="CV65" s="835">
        <f t="shared" ca="1" si="5"/>
        <v>3819.7254487856389</v>
      </c>
    </row>
    <row r="66" spans="1:145" s="743" customFormat="1" ht="14.1" x14ac:dyDescent="0.5">
      <c r="C66" s="836">
        <v>2052</v>
      </c>
      <c r="D66" s="520">
        <v>33</v>
      </c>
      <c r="E66" s="837"/>
      <c r="F66" s="832" t="e">
        <f t="shared" si="1"/>
        <v>#N/A</v>
      </c>
      <c r="G66" s="832">
        <f t="shared" si="6"/>
        <v>3819.7254487856389</v>
      </c>
      <c r="H66" s="371"/>
      <c r="I66" s="371"/>
      <c r="J66" s="123"/>
      <c r="K66" s="123"/>
      <c r="L66" s="123"/>
      <c r="M66" s="123"/>
      <c r="N66" s="123"/>
      <c r="O66" s="412"/>
      <c r="P66" s="412"/>
      <c r="Q66" s="412"/>
      <c r="R66" s="451"/>
      <c r="S66" s="451"/>
      <c r="T66" s="451"/>
      <c r="U66" s="451"/>
      <c r="V66" s="451"/>
      <c r="W66" s="451"/>
      <c r="X66" s="451"/>
      <c r="Y66" s="451"/>
      <c r="Z66" s="451"/>
      <c r="AA66" s="451"/>
      <c r="AB66" s="451"/>
      <c r="AC66" s="451"/>
      <c r="AD66" s="451"/>
      <c r="AE66" s="451"/>
      <c r="AF66" s="451"/>
      <c r="AG66" s="451"/>
      <c r="AH66" s="451"/>
      <c r="AI66" s="413"/>
      <c r="AJ66" s="413"/>
      <c r="AK66" s="413"/>
      <c r="AL66" s="451"/>
      <c r="AM66" s="165">
        <f t="shared" si="40"/>
        <v>2048</v>
      </c>
      <c r="AN66" s="444">
        <f t="shared" si="16"/>
        <v>34</v>
      </c>
      <c r="AO66" s="867">
        <f t="shared" si="17"/>
        <v>1666.2513199577613</v>
      </c>
      <c r="AP66" s="445">
        <f t="shared" si="18"/>
        <v>1957.4445617740232</v>
      </c>
      <c r="AQ66" s="869">
        <f t="shared" si="19"/>
        <v>3623.6958817317845</v>
      </c>
      <c r="AR66" s="447" t="str">
        <f t="shared" si="20"/>
        <v/>
      </c>
      <c r="AT66" s="165">
        <f t="shared" si="41"/>
        <v>2048</v>
      </c>
      <c r="AU66" s="444">
        <f t="shared" si="21"/>
        <v>34</v>
      </c>
      <c r="AV66" s="867">
        <f t="shared" ca="1" si="22"/>
        <v>-822.06242500692281</v>
      </c>
      <c r="AW66" s="867">
        <f t="shared" ca="1" si="23"/>
        <v>2217.1184198381693</v>
      </c>
      <c r="AX66" s="445">
        <f t="shared" ca="1" si="24"/>
        <v>2044.2898732424699</v>
      </c>
      <c r="AY66" s="869">
        <f t="shared" ca="1" si="12"/>
        <v>3439.3458680737167</v>
      </c>
      <c r="AZ66" s="846" t="str">
        <f t="shared" si="25"/>
        <v/>
      </c>
      <c r="BB66" s="165">
        <f t="shared" si="42"/>
        <v>2048</v>
      </c>
      <c r="BC66" s="444">
        <f t="shared" si="26"/>
        <v>34</v>
      </c>
      <c r="BD66" s="867">
        <f t="shared" ca="1" si="27"/>
        <v>3751.4952380952341</v>
      </c>
      <c r="BE66" s="867">
        <f t="shared" ca="1" si="28"/>
        <v>-4334.7571428571373</v>
      </c>
      <c r="BF66" s="867">
        <f t="shared" ca="1" si="29"/>
        <v>2113.7261904761899</v>
      </c>
      <c r="BG66" s="445">
        <f t="shared" ca="1" si="30"/>
        <v>2232.8304621848733</v>
      </c>
      <c r="BH66" s="869">
        <f t="shared" ca="1" si="13"/>
        <v>3763.29474789916</v>
      </c>
      <c r="BI66" s="846" t="str">
        <f t="shared" si="31"/>
        <v/>
      </c>
      <c r="BK66" s="165">
        <f t="shared" si="43"/>
        <v>2048</v>
      </c>
      <c r="BL66" s="444">
        <f t="shared" si="32"/>
        <v>34</v>
      </c>
      <c r="BM66" s="867">
        <f t="shared" ca="1" si="33"/>
        <v>1862.9883849899884</v>
      </c>
      <c r="BN66" s="445">
        <f t="shared" ca="1" si="34"/>
        <v>2.0823537153612275</v>
      </c>
      <c r="BO66" s="869">
        <f t="shared" ca="1" si="14"/>
        <v>3879.4007851587153</v>
      </c>
      <c r="BP66" s="846" t="str">
        <f t="shared" si="35"/>
        <v/>
      </c>
      <c r="BS66" s="165">
        <f t="shared" si="44"/>
        <v>2048</v>
      </c>
      <c r="BT66" s="444">
        <f t="shared" si="36"/>
        <v>34</v>
      </c>
      <c r="BU66" s="867">
        <f t="shared" ca="1" si="37"/>
        <v>1.259454340899987</v>
      </c>
      <c r="BV66" s="445">
        <f t="shared" ca="1" si="47"/>
        <v>0.19058808696263965</v>
      </c>
      <c r="BW66" s="869">
        <f t="shared" ca="1" si="38"/>
        <v>3548.2812393864629</v>
      </c>
      <c r="BX66" s="846" t="str">
        <f t="shared" si="39"/>
        <v/>
      </c>
      <c r="CA66" s="164" t="b">
        <f t="shared" si="7"/>
        <v>0</v>
      </c>
      <c r="CB66" s="164" t="str">
        <f t="shared" si="8"/>
        <v/>
      </c>
      <c r="CC66" s="165" t="str">
        <f t="shared" si="9"/>
        <v/>
      </c>
      <c r="CD66" s="436" t="str">
        <f>IFERROR(INDEX($CB$19:$CB$74,_xlfn.AGGREGATE(15,6,(ROW($CB$19:$CB$74)-ROW($CB$19)+1)/($CB$19:$CB$74&lt;&gt;""),ROWS($CD$1:CD48))),"")</f>
        <v/>
      </c>
      <c r="CE66" s="437" t="str">
        <f>IFERROR(INDEX($CC$19:$CC$74,_xlfn.AGGREGATE(15,6,(ROW($CC$19:$CC$74)-ROW($CC$19)+1)/($CC$19:$CC$74&lt;&gt;""),ROWS($CE$1:CE48))),"")</f>
        <v/>
      </c>
      <c r="CF66" s="437" t="str">
        <f t="shared" si="10"/>
        <v/>
      </c>
      <c r="CG66" s="164"/>
      <c r="CH66" s="165"/>
      <c r="CK66" s="164">
        <f t="shared" si="11"/>
        <v>2053</v>
      </c>
      <c r="CL66" s="740">
        <f t="shared" si="46"/>
        <v>3868.7328405491025</v>
      </c>
      <c r="CO66" s="833">
        <f t="shared" ca="1" si="2"/>
        <v>9849.8462490000002</v>
      </c>
      <c r="CP66" s="410"/>
      <c r="CQ66" s="140"/>
      <c r="CR66" s="833">
        <f t="shared" ca="1" si="3"/>
        <v>9849.8462490000002</v>
      </c>
      <c r="CS66" s="140"/>
      <c r="CT66" s="834">
        <f t="shared" ca="1" si="4"/>
        <v>1</v>
      </c>
      <c r="CU66" s="140"/>
      <c r="CV66" s="835">
        <f t="shared" ca="1" si="5"/>
        <v>3868.7328405491025</v>
      </c>
    </row>
    <row r="67" spans="1:145" s="743" customFormat="1" ht="14.1" x14ac:dyDescent="0.5">
      <c r="A67" s="454"/>
      <c r="C67" s="836">
        <v>2053</v>
      </c>
      <c r="D67" s="520">
        <v>34</v>
      </c>
      <c r="E67" s="837"/>
      <c r="F67" s="832" t="e">
        <f t="shared" si="1"/>
        <v>#N/A</v>
      </c>
      <c r="G67" s="832">
        <f t="shared" si="6"/>
        <v>3868.7328405491025</v>
      </c>
      <c r="H67" s="451"/>
      <c r="I67" s="451"/>
      <c r="J67" s="451"/>
      <c r="K67" s="451"/>
      <c r="L67" s="451"/>
      <c r="M67" s="451"/>
      <c r="N67" s="451"/>
      <c r="O67" s="451"/>
      <c r="P67" s="451"/>
      <c r="Q67" s="451"/>
      <c r="R67" s="451"/>
      <c r="S67" s="451"/>
      <c r="T67" s="451"/>
      <c r="U67" s="451"/>
      <c r="V67" s="451"/>
      <c r="W67" s="451"/>
      <c r="X67" s="451"/>
      <c r="Y67" s="451"/>
      <c r="Z67" s="451"/>
      <c r="AA67" s="451"/>
      <c r="AB67" s="451"/>
      <c r="AC67" s="451"/>
      <c r="AD67" s="451"/>
      <c r="AE67" s="451"/>
      <c r="AF67" s="451"/>
      <c r="AG67" s="451"/>
      <c r="AH67" s="451"/>
      <c r="AI67" s="413"/>
      <c r="AJ67" s="413"/>
      <c r="AK67" s="413"/>
      <c r="AL67" s="451"/>
      <c r="AM67" s="165">
        <f>AM66+1</f>
        <v>2049</v>
      </c>
      <c r="AN67" s="444">
        <f t="shared" si="16"/>
        <v>35</v>
      </c>
      <c r="AO67" s="867">
        <f t="shared" si="17"/>
        <v>1715.2587117212249</v>
      </c>
      <c r="AP67" s="445">
        <f t="shared" si="18"/>
        <v>1957.4445617740232</v>
      </c>
      <c r="AQ67" s="869">
        <f t="shared" si="19"/>
        <v>3672.7032734952481</v>
      </c>
      <c r="AR67" s="447" t="str">
        <f t="shared" si="20"/>
        <v/>
      </c>
      <c r="AT67" s="165">
        <f t="shared" si="41"/>
        <v>2049</v>
      </c>
      <c r="AU67" s="444">
        <f t="shared" si="21"/>
        <v>35</v>
      </c>
      <c r="AV67" s="867">
        <f t="shared" ca="1" si="22"/>
        <v>-871.13016490785503</v>
      </c>
      <c r="AW67" s="867">
        <f t="shared" ca="1" si="23"/>
        <v>2282.327785127527</v>
      </c>
      <c r="AX67" s="445">
        <f t="shared" ca="1" si="24"/>
        <v>2044.2898732424699</v>
      </c>
      <c r="AY67" s="869">
        <f t="shared" ca="1" si="12"/>
        <v>3455.4874934621421</v>
      </c>
      <c r="AZ67" s="846" t="str">
        <f t="shared" si="25"/>
        <v/>
      </c>
      <c r="BB67" s="165">
        <f>BB66+1</f>
        <v>2049</v>
      </c>
      <c r="BC67" s="444">
        <f t="shared" si="26"/>
        <v>35</v>
      </c>
      <c r="BD67" s="867">
        <f t="shared" ca="1" si="27"/>
        <v>4092.3406862745055</v>
      </c>
      <c r="BE67" s="867">
        <f t="shared" ca="1" si="28"/>
        <v>-4593.492647058818</v>
      </c>
      <c r="BF67" s="867">
        <f t="shared" ca="1" si="29"/>
        <v>2175.8946078431363</v>
      </c>
      <c r="BG67" s="445">
        <f t="shared" ca="1" si="30"/>
        <v>2232.8304621848733</v>
      </c>
      <c r="BH67" s="869">
        <f t="shared" ca="1" si="13"/>
        <v>3907.5731092436972</v>
      </c>
      <c r="BI67" s="846" t="str">
        <f t="shared" si="31"/>
        <v/>
      </c>
      <c r="BK67" s="165">
        <f t="shared" si="43"/>
        <v>2049</v>
      </c>
      <c r="BL67" s="444">
        <f t="shared" si="32"/>
        <v>35</v>
      </c>
      <c r="BM67" s="867">
        <f t="shared" ca="1" si="33"/>
        <v>1862.9883849899884</v>
      </c>
      <c r="BN67" s="445">
        <f t="shared" ca="1" si="34"/>
        <v>2.1277654475586356</v>
      </c>
      <c r="BO67" s="869">
        <f t="shared" ca="1" si="14"/>
        <v>3964.0023147847623</v>
      </c>
      <c r="BP67" s="846" t="str">
        <f t="shared" si="35"/>
        <v/>
      </c>
      <c r="BS67" s="165">
        <f t="shared" si="44"/>
        <v>2049</v>
      </c>
      <c r="BT67" s="444">
        <f t="shared" si="36"/>
        <v>35</v>
      </c>
      <c r="BU67" s="867">
        <f t="shared" ca="1" si="37"/>
        <v>1.259454340899987</v>
      </c>
      <c r="BV67" s="445">
        <f t="shared" ca="1" si="47"/>
        <v>0.18151900255377482</v>
      </c>
      <c r="BW67" s="869">
        <f t="shared" ca="1" si="38"/>
        <v>3581.2686426967443</v>
      </c>
      <c r="BX67" s="846" t="str">
        <f t="shared" si="39"/>
        <v/>
      </c>
      <c r="CA67" s="164" t="b">
        <f t="shared" si="7"/>
        <v>0</v>
      </c>
      <c r="CB67" s="164" t="str">
        <f t="shared" si="8"/>
        <v/>
      </c>
      <c r="CC67" s="165" t="str">
        <f t="shared" si="9"/>
        <v/>
      </c>
      <c r="CD67" s="436" t="str">
        <f>IFERROR(INDEX($CB$19:$CB$74,_xlfn.AGGREGATE(15,6,(ROW($CB$19:$CB$74)-ROW($CB$19)+1)/($CB$19:$CB$74&lt;&gt;""),ROWS($CD$1:CD49))),"")</f>
        <v/>
      </c>
      <c r="CE67" s="437" t="str">
        <f>IFERROR(INDEX($CC$19:$CC$74,_xlfn.AGGREGATE(15,6,(ROW($CC$19:$CC$74)-ROW($CC$19)+1)/($CC$19:$CC$74&lt;&gt;""),ROWS($CE$1:CE49))),"")</f>
        <v/>
      </c>
      <c r="CF67" s="437" t="str">
        <f t="shared" si="10"/>
        <v/>
      </c>
      <c r="CG67" s="164"/>
      <c r="CH67" s="165"/>
      <c r="CK67" s="164">
        <f t="shared" si="11"/>
        <v>2054</v>
      </c>
      <c r="CL67" s="740">
        <f t="shared" si="46"/>
        <v>3917.7402323125661</v>
      </c>
      <c r="CO67" s="833">
        <f t="shared" ca="1" si="2"/>
        <v>9897.2714760000035</v>
      </c>
      <c r="CP67" s="410"/>
      <c r="CQ67" s="140"/>
      <c r="CR67" s="833">
        <f t="shared" ca="1" si="3"/>
        <v>9897.2714760000035</v>
      </c>
      <c r="CS67" s="140"/>
      <c r="CT67" s="834">
        <f t="shared" ca="1" si="4"/>
        <v>1</v>
      </c>
      <c r="CU67" s="140"/>
      <c r="CV67" s="835">
        <f t="shared" ca="1" si="5"/>
        <v>3917.7402323125661</v>
      </c>
    </row>
    <row r="68" spans="1:145" ht="14.4" thickBot="1" x14ac:dyDescent="0.55000000000000004">
      <c r="C68" s="836">
        <v>2054</v>
      </c>
      <c r="D68" s="520">
        <v>35</v>
      </c>
      <c r="E68" s="837"/>
      <c r="F68" s="832" t="e">
        <f t="shared" si="1"/>
        <v>#N/A</v>
      </c>
      <c r="G68" s="832">
        <f t="shared" si="6"/>
        <v>3917.7402323125661</v>
      </c>
      <c r="AI68" s="413"/>
      <c r="AJ68" s="413"/>
      <c r="AK68" s="413"/>
      <c r="AM68" s="165">
        <f t="shared" si="40"/>
        <v>2050</v>
      </c>
      <c r="AN68" s="444">
        <f t="shared" si="16"/>
        <v>36</v>
      </c>
      <c r="AO68" s="867">
        <f t="shared" si="17"/>
        <v>1764.2661034846883</v>
      </c>
      <c r="AP68" s="445">
        <f t="shared" si="18"/>
        <v>1957.4445617740232</v>
      </c>
      <c r="AQ68" s="870">
        <f t="shared" si="19"/>
        <v>3721.7106652587117</v>
      </c>
      <c r="AR68" s="447" t="str">
        <f t="shared" si="20"/>
        <v/>
      </c>
      <c r="AT68" s="165">
        <f t="shared" si="41"/>
        <v>2050</v>
      </c>
      <c r="AU68" s="444">
        <f t="shared" si="21"/>
        <v>36</v>
      </c>
      <c r="AV68" s="867">
        <f t="shared" ca="1" si="22"/>
        <v>-921.62015813924904</v>
      </c>
      <c r="AW68" s="867">
        <f t="shared" ca="1" si="23"/>
        <v>2347.5371504168852</v>
      </c>
      <c r="AX68" s="445">
        <f t="shared" ca="1" si="24"/>
        <v>2044.2898732424699</v>
      </c>
      <c r="AY68" s="870">
        <f t="shared" ca="1" si="12"/>
        <v>3470.206865520106</v>
      </c>
      <c r="AZ68" s="846" t="str">
        <f t="shared" si="25"/>
        <v/>
      </c>
      <c r="BB68" s="165">
        <f t="shared" si="42"/>
        <v>2050</v>
      </c>
      <c r="BC68" s="444">
        <f t="shared" si="26"/>
        <v>36</v>
      </c>
      <c r="BD68" s="867">
        <f t="shared" ca="1" si="27"/>
        <v>4453.230252100836</v>
      </c>
      <c r="BE68" s="867">
        <f t="shared" ca="1" si="28"/>
        <v>-4859.727731092431</v>
      </c>
      <c r="BF68" s="867">
        <f t="shared" ca="1" si="29"/>
        <v>2238.0630252100832</v>
      </c>
      <c r="BG68" s="445">
        <f t="shared" ca="1" si="30"/>
        <v>2232.8304621848733</v>
      </c>
      <c r="BH68" s="870">
        <f t="shared" ca="1" si="13"/>
        <v>4064.3960084033615</v>
      </c>
      <c r="BI68" s="846" t="str">
        <f t="shared" si="31"/>
        <v/>
      </c>
      <c r="BK68" s="165">
        <f t="shared" si="43"/>
        <v>2050</v>
      </c>
      <c r="BL68" s="444">
        <f t="shared" si="32"/>
        <v>36</v>
      </c>
      <c r="BM68" s="867">
        <f t="shared" ca="1" si="33"/>
        <v>1862.9883849899884</v>
      </c>
      <c r="BN68" s="445">
        <f t="shared" ca="1" si="34"/>
        <v>2.1741675136296585</v>
      </c>
      <c r="BO68" s="870">
        <f t="shared" ca="1" si="14"/>
        <v>4050.4488249146161</v>
      </c>
      <c r="BP68" s="846" t="str">
        <f t="shared" si="35"/>
        <v/>
      </c>
      <c r="BS68" s="165">
        <f t="shared" si="44"/>
        <v>2050</v>
      </c>
      <c r="BT68" s="444">
        <f t="shared" si="36"/>
        <v>36</v>
      </c>
      <c r="BU68" s="867">
        <f t="shared" ca="1" si="37"/>
        <v>1.259454340899987</v>
      </c>
      <c r="BV68" s="445">
        <f t="shared" ca="1" si="47"/>
        <v>0.172881468161104</v>
      </c>
      <c r="BW68" s="870">
        <f t="shared" ca="1" si="38"/>
        <v>3613.2617085176503</v>
      </c>
      <c r="BX68" s="846">
        <f t="shared" ca="1" si="39"/>
        <v>3613.2617085176503</v>
      </c>
      <c r="CA68" s="164" t="b">
        <f t="shared" si="7"/>
        <v>0</v>
      </c>
      <c r="CB68" s="164" t="str">
        <f t="shared" si="8"/>
        <v/>
      </c>
      <c r="CC68" s="165" t="str">
        <f t="shared" si="9"/>
        <v/>
      </c>
      <c r="CD68" s="436" t="str">
        <f>IFERROR(INDEX($CB$19:$CB$74,_xlfn.AGGREGATE(15,6,(ROW($CB$19:$CB$74)-ROW($CB$19)+1)/($CB$19:$CB$74&lt;&gt;""),ROWS($CD$1:CD50))),"")</f>
        <v/>
      </c>
      <c r="CE68" s="437" t="str">
        <f>IFERROR(INDEX($CC$19:$CC$74,_xlfn.AGGREGATE(15,6,(ROW($CC$19:$CC$74)-ROW($CC$19)+1)/($CC$19:$CC$74&lt;&gt;""),ROWS($CE$1:CE50))),"")</f>
        <v/>
      </c>
      <c r="CF68" s="437" t="str">
        <f t="shared" si="10"/>
        <v/>
      </c>
      <c r="CG68" s="164"/>
      <c r="CH68" s="165"/>
      <c r="CK68" s="164">
        <f t="shared" si="11"/>
        <v>2055</v>
      </c>
      <c r="CL68" s="740">
        <f t="shared" si="46"/>
        <v>3966.7476240760298</v>
      </c>
      <c r="CO68" s="833">
        <f t="shared" ca="1" si="2"/>
        <v>9943.5364840000002</v>
      </c>
      <c r="CP68" s="410"/>
      <c r="CQ68" s="140"/>
      <c r="CR68" s="833">
        <f t="shared" ca="1" si="3"/>
        <v>9943.5364840000002</v>
      </c>
      <c r="CS68" s="140"/>
      <c r="CT68" s="834">
        <f t="shared" ca="1" si="4"/>
        <v>1</v>
      </c>
      <c r="CU68" s="140"/>
      <c r="CV68" s="835">
        <f t="shared" ca="1" si="5"/>
        <v>3966.7476240760298</v>
      </c>
    </row>
    <row r="69" spans="1:145" s="746" customFormat="1" ht="14.1" x14ac:dyDescent="0.5">
      <c r="C69" s="836">
        <v>2055</v>
      </c>
      <c r="D69" s="520">
        <v>36</v>
      </c>
      <c r="E69" s="837"/>
      <c r="F69" s="832" t="e">
        <f t="shared" si="1"/>
        <v>#N/A</v>
      </c>
      <c r="G69" s="832">
        <f t="shared" si="6"/>
        <v>3966.7476240760298</v>
      </c>
      <c r="AI69" s="455"/>
      <c r="AJ69" s="455"/>
      <c r="AK69" s="455"/>
      <c r="AM69" s="165">
        <f t="shared" si="40"/>
        <v>2051</v>
      </c>
      <c r="AN69" s="444">
        <f t="shared" si="16"/>
        <v>37</v>
      </c>
      <c r="AO69" s="867">
        <f t="shared" si="17"/>
        <v>1813.2734952481519</v>
      </c>
      <c r="AP69" s="445">
        <f t="shared" si="18"/>
        <v>1957.4445617740232</v>
      </c>
      <c r="AQ69" s="871">
        <f t="shared" si="19"/>
        <v>3770.7180570221753</v>
      </c>
      <c r="AR69" s="447" t="str">
        <f t="shared" si="20"/>
        <v/>
      </c>
      <c r="AT69" s="165">
        <f t="shared" si="41"/>
        <v>2051</v>
      </c>
      <c r="AU69" s="444">
        <f t="shared" si="21"/>
        <v>37</v>
      </c>
      <c r="AV69" s="867">
        <f t="shared" ca="1" si="22"/>
        <v>-973.53240470110495</v>
      </c>
      <c r="AW69" s="867">
        <f t="shared" ca="1" si="23"/>
        <v>2412.7465157062429</v>
      </c>
      <c r="AX69" s="445">
        <f t="shared" ca="1" si="24"/>
        <v>2044.2898732424699</v>
      </c>
      <c r="AY69" s="871">
        <f t="shared" ca="1" si="12"/>
        <v>3483.5039842476081</v>
      </c>
      <c r="AZ69" s="846" t="str">
        <f t="shared" si="25"/>
        <v/>
      </c>
      <c r="BB69" s="165">
        <f t="shared" si="42"/>
        <v>2051</v>
      </c>
      <c r="BC69" s="444">
        <f t="shared" si="26"/>
        <v>37</v>
      </c>
      <c r="BD69" s="867">
        <f t="shared" ca="1" si="27"/>
        <v>4834.736624649855</v>
      </c>
      <c r="BE69" s="867">
        <f t="shared" ca="1" si="28"/>
        <v>-5133.4623949579764</v>
      </c>
      <c r="BF69" s="867">
        <f t="shared" ca="1" si="29"/>
        <v>2300.2314425770301</v>
      </c>
      <c r="BG69" s="445">
        <f t="shared" ca="1" si="30"/>
        <v>2232.8304621848733</v>
      </c>
      <c r="BH69" s="871">
        <f t="shared" ca="1" si="13"/>
        <v>4234.3361344537825</v>
      </c>
      <c r="BI69" s="846" t="str">
        <f t="shared" si="31"/>
        <v/>
      </c>
      <c r="BK69" s="165">
        <f t="shared" si="43"/>
        <v>2051</v>
      </c>
      <c r="BL69" s="444">
        <f t="shared" si="32"/>
        <v>37</v>
      </c>
      <c r="BM69" s="867">
        <f t="shared" ca="1" si="33"/>
        <v>1862.9883849899884</v>
      </c>
      <c r="BN69" s="445">
        <f t="shared" ca="1" si="34"/>
        <v>2.2215815106623999</v>
      </c>
      <c r="BO69" s="871">
        <f t="shared" ca="1" si="14"/>
        <v>4138.7805506725635</v>
      </c>
      <c r="BP69" s="846" t="str">
        <f t="shared" si="35"/>
        <v/>
      </c>
      <c r="BS69" s="165">
        <f t="shared" si="44"/>
        <v>2051</v>
      </c>
      <c r="BT69" s="444">
        <f t="shared" si="36"/>
        <v>37</v>
      </c>
      <c r="BU69" s="867">
        <f t="shared" ca="1" si="37"/>
        <v>1.259454340899987</v>
      </c>
      <c r="BV69" s="445">
        <f t="shared" ca="1" si="47"/>
        <v>0.16465494858966362</v>
      </c>
      <c r="BW69" s="871">
        <f t="shared" ca="1" si="38"/>
        <v>3644.268416721733</v>
      </c>
      <c r="BX69" s="846" t="str">
        <f t="shared" si="39"/>
        <v/>
      </c>
      <c r="CA69" s="164" t="b">
        <f t="shared" si="7"/>
        <v>0</v>
      </c>
      <c r="CB69" s="164" t="str">
        <f t="shared" si="8"/>
        <v/>
      </c>
      <c r="CC69" s="165" t="str">
        <f t="shared" si="9"/>
        <v/>
      </c>
      <c r="CD69" s="436" t="str">
        <f>IFERROR(INDEX($CB$19:$CB$74,_xlfn.AGGREGATE(15,6,(ROW($CB$19:$CB$74)-ROW($CB$19)+1)/($CB$19:$CB$74&lt;&gt;""),ROWS($CD$1:CD51))),"")</f>
        <v/>
      </c>
      <c r="CE69" s="437" t="str">
        <f>IFERROR(INDEX($CC$19:$CC$74,_xlfn.AGGREGATE(15,6,(ROW($CC$19:$CC$74)-ROW($CC$19)+1)/($CC$19:$CC$74&lt;&gt;""),ROWS($CE$1:CE51))),"")</f>
        <v/>
      </c>
      <c r="CF69" s="437" t="str">
        <f t="shared" si="10"/>
        <v/>
      </c>
      <c r="CG69" s="164"/>
      <c r="CH69" s="165"/>
      <c r="CK69" s="164">
        <f t="shared" si="11"/>
        <v>2056</v>
      </c>
      <c r="CL69" s="740">
        <f t="shared" si="46"/>
        <v>4015.7550158394934</v>
      </c>
      <c r="CO69" s="833">
        <f t="shared" ca="1" si="2"/>
        <v>9988.6429629999984</v>
      </c>
      <c r="CP69" s="410"/>
      <c r="CQ69" s="140"/>
      <c r="CR69" s="833">
        <f t="shared" ca="1" si="3"/>
        <v>9988.6429629999984</v>
      </c>
      <c r="CS69" s="140"/>
      <c r="CT69" s="834">
        <f t="shared" ca="1" si="4"/>
        <v>1</v>
      </c>
      <c r="CU69" s="140"/>
      <c r="CV69" s="835">
        <f t="shared" ca="1" si="5"/>
        <v>4015.7550158394934</v>
      </c>
    </row>
    <row r="70" spans="1:145" s="746" customFormat="1" ht="14.1" x14ac:dyDescent="0.5">
      <c r="C70" s="836">
        <v>2056</v>
      </c>
      <c r="D70" s="520">
        <v>37</v>
      </c>
      <c r="E70" s="837"/>
      <c r="F70" s="832" t="e">
        <f t="shared" si="1"/>
        <v>#N/A</v>
      </c>
      <c r="G70" s="832">
        <f t="shared" si="6"/>
        <v>4015.7550158394934</v>
      </c>
      <c r="AI70" s="455"/>
      <c r="AJ70" s="455"/>
      <c r="AK70" s="455"/>
      <c r="AM70" s="165">
        <f t="shared" si="40"/>
        <v>2052</v>
      </c>
      <c r="AN70" s="444">
        <f t="shared" si="16"/>
        <v>38</v>
      </c>
      <c r="AO70" s="867">
        <f t="shared" si="17"/>
        <v>1862.2808870116155</v>
      </c>
      <c r="AP70" s="445">
        <f t="shared" si="18"/>
        <v>1957.4445617740232</v>
      </c>
      <c r="AQ70" s="845">
        <f t="shared" si="19"/>
        <v>3819.7254487856389</v>
      </c>
      <c r="AR70" s="447" t="str">
        <f t="shared" si="20"/>
        <v/>
      </c>
      <c r="AT70" s="165">
        <f t="shared" si="41"/>
        <v>2052</v>
      </c>
      <c r="AU70" s="444">
        <f t="shared" si="21"/>
        <v>38</v>
      </c>
      <c r="AV70" s="867">
        <f t="shared" ca="1" si="22"/>
        <v>-1026.8669045934225</v>
      </c>
      <c r="AW70" s="867">
        <f t="shared" ca="1" si="23"/>
        <v>2477.9558809956011</v>
      </c>
      <c r="AX70" s="445">
        <f t="shared" ca="1" si="24"/>
        <v>2044.2898732424699</v>
      </c>
      <c r="AY70" s="845">
        <f t="shared" ca="1" si="12"/>
        <v>3495.3788496446487</v>
      </c>
      <c r="AZ70" s="846" t="str">
        <f t="shared" si="25"/>
        <v/>
      </c>
      <c r="BB70" s="165">
        <f t="shared" si="42"/>
        <v>2052</v>
      </c>
      <c r="BC70" s="444">
        <f t="shared" si="26"/>
        <v>38</v>
      </c>
      <c r="BD70" s="867">
        <f t="shared" ca="1" si="27"/>
        <v>5237.4324929971935</v>
      </c>
      <c r="BE70" s="867">
        <f t="shared" ca="1" si="28"/>
        <v>-5414.696638655455</v>
      </c>
      <c r="BF70" s="867">
        <f t="shared" ca="1" si="29"/>
        <v>2362.3998599439765</v>
      </c>
      <c r="BG70" s="445">
        <f t="shared" ca="1" si="30"/>
        <v>2232.8304621848733</v>
      </c>
      <c r="BH70" s="845">
        <f t="shared" ca="1" si="13"/>
        <v>4417.9661764705888</v>
      </c>
      <c r="BI70" s="846" t="str">
        <f t="shared" si="31"/>
        <v/>
      </c>
      <c r="BK70" s="165">
        <f t="shared" si="43"/>
        <v>2052</v>
      </c>
      <c r="BL70" s="444">
        <f t="shared" si="32"/>
        <v>38</v>
      </c>
      <c r="BM70" s="867">
        <f t="shared" ca="1" si="33"/>
        <v>1862.9883849899884</v>
      </c>
      <c r="BN70" s="445">
        <f t="shared" ca="1" si="34"/>
        <v>2.270029506731797</v>
      </c>
      <c r="BO70" s="845">
        <f t="shared" ca="1" si="14"/>
        <v>4229.0386046258909</v>
      </c>
      <c r="BP70" s="846" t="str">
        <f t="shared" si="35"/>
        <v/>
      </c>
      <c r="BS70" s="165">
        <f t="shared" si="44"/>
        <v>2052</v>
      </c>
      <c r="BT70" s="444">
        <f t="shared" si="36"/>
        <v>38</v>
      </c>
      <c r="BU70" s="867">
        <f t="shared" ca="1" si="37"/>
        <v>1.259454340899987</v>
      </c>
      <c r="BV70" s="445">
        <f t="shared" ca="1" si="47"/>
        <v>0.15681988580638653</v>
      </c>
      <c r="BW70" s="845">
        <f t="shared" ca="1" si="38"/>
        <v>3674.2985340303862</v>
      </c>
      <c r="BX70" s="846" t="str">
        <f t="shared" si="39"/>
        <v/>
      </c>
      <c r="CA70" s="164" t="b">
        <f t="shared" si="7"/>
        <v>0</v>
      </c>
      <c r="CB70" s="164" t="str">
        <f t="shared" si="8"/>
        <v/>
      </c>
      <c r="CC70" s="165" t="str">
        <f t="shared" si="9"/>
        <v/>
      </c>
      <c r="CD70" s="436" t="str">
        <f>IFERROR(INDEX($CB$19:$CB$74,_xlfn.AGGREGATE(15,6,(ROW($CB$19:$CB$74)-ROW($CB$19)+1)/($CB$19:$CB$74&lt;&gt;""),ROWS($CD$1:CD52))),"")</f>
        <v/>
      </c>
      <c r="CE70" s="437" t="str">
        <f>IFERROR(INDEX($CC$19:$CC$74,_xlfn.AGGREGATE(15,6,(ROW($CC$19:$CC$74)-ROW($CC$19)+1)/($CC$19:$CC$74&lt;&gt;""),ROWS($CE$1:CE52))),"")</f>
        <v/>
      </c>
      <c r="CF70" s="437" t="str">
        <f t="shared" si="10"/>
        <v/>
      </c>
      <c r="CG70" s="164"/>
      <c r="CH70" s="165"/>
      <c r="CK70" s="164">
        <f t="shared" si="11"/>
        <v>2057</v>
      </c>
      <c r="CL70" s="740">
        <f t="shared" si="46"/>
        <v>4064.762407602957</v>
      </c>
      <c r="CO70" s="833">
        <f t="shared" ca="1" si="2"/>
        <v>10032.614915</v>
      </c>
      <c r="CP70" s="410"/>
      <c r="CQ70" s="140"/>
      <c r="CR70" s="833">
        <f t="shared" ca="1" si="3"/>
        <v>10032.614915</v>
      </c>
      <c r="CS70" s="140"/>
      <c r="CT70" s="834">
        <f t="shared" ca="1" si="4"/>
        <v>1</v>
      </c>
      <c r="CU70" s="140"/>
      <c r="CV70" s="835">
        <f t="shared" ca="1" si="5"/>
        <v>4064.762407602957</v>
      </c>
    </row>
    <row r="71" spans="1:145" s="746" customFormat="1" ht="14.1" x14ac:dyDescent="0.5">
      <c r="C71" s="836">
        <v>2057</v>
      </c>
      <c r="D71" s="520">
        <v>38</v>
      </c>
      <c r="E71" s="837"/>
      <c r="F71" s="832" t="e">
        <f t="shared" si="1"/>
        <v>#N/A</v>
      </c>
      <c r="G71" s="832">
        <f t="shared" si="6"/>
        <v>4064.762407602957</v>
      </c>
      <c r="AI71" s="455"/>
      <c r="AJ71" s="455"/>
      <c r="AK71" s="455"/>
      <c r="AM71" s="165">
        <f t="shared" si="40"/>
        <v>2053</v>
      </c>
      <c r="AN71" s="444">
        <f t="shared" si="16"/>
        <v>39</v>
      </c>
      <c r="AO71" s="867">
        <f t="shared" si="17"/>
        <v>1911.2882787750791</v>
      </c>
      <c r="AP71" s="445">
        <f t="shared" si="18"/>
        <v>1957.4445617740232</v>
      </c>
      <c r="AQ71" s="845">
        <f t="shared" si="19"/>
        <v>3868.7328405491025</v>
      </c>
      <c r="AR71" s="447" t="str">
        <f t="shared" si="20"/>
        <v/>
      </c>
      <c r="AT71" s="165">
        <f t="shared" si="41"/>
        <v>2053</v>
      </c>
      <c r="AU71" s="444">
        <f t="shared" si="21"/>
        <v>39</v>
      </c>
      <c r="AV71" s="867">
        <f t="shared" ca="1" si="22"/>
        <v>-1081.623657816202</v>
      </c>
      <c r="AW71" s="867">
        <f t="shared" ca="1" si="23"/>
        <v>2543.1652462849588</v>
      </c>
      <c r="AX71" s="445">
        <f t="shared" ca="1" si="24"/>
        <v>2044.2898732424699</v>
      </c>
      <c r="AY71" s="845">
        <f t="shared" ca="1" si="12"/>
        <v>3505.8314617112264</v>
      </c>
      <c r="AZ71" s="846" t="str">
        <f t="shared" si="25"/>
        <v/>
      </c>
      <c r="BB71" s="165">
        <f t="shared" si="42"/>
        <v>2053</v>
      </c>
      <c r="BC71" s="444">
        <f t="shared" si="26"/>
        <v>39</v>
      </c>
      <c r="BD71" s="867">
        <f t="shared" ca="1" si="27"/>
        <v>5661.8905462184812</v>
      </c>
      <c r="BE71" s="867">
        <f t="shared" ca="1" si="28"/>
        <v>-5703.4304621848669</v>
      </c>
      <c r="BF71" s="867">
        <f t="shared" ca="1" si="29"/>
        <v>2424.5682773109233</v>
      </c>
      <c r="BG71" s="445">
        <f t="shared" ca="1" si="30"/>
        <v>2232.8304621848733</v>
      </c>
      <c r="BH71" s="845">
        <f t="shared" ca="1" si="13"/>
        <v>4615.858823529411</v>
      </c>
      <c r="BI71" s="846" t="str">
        <f t="shared" si="31"/>
        <v/>
      </c>
      <c r="BK71" s="165">
        <f t="shared" si="43"/>
        <v>2053</v>
      </c>
      <c r="BL71" s="444">
        <f t="shared" si="32"/>
        <v>39</v>
      </c>
      <c r="BM71" s="867">
        <f t="shared" ca="1" si="33"/>
        <v>1862.9883849899884</v>
      </c>
      <c r="BN71" s="445">
        <f t="shared" ca="1" si="34"/>
        <v>2.3195340511708462</v>
      </c>
      <c r="BO71" s="845">
        <f t="shared" ca="1" si="14"/>
        <v>4321.2649959200598</v>
      </c>
      <c r="BP71" s="846" t="str">
        <f t="shared" si="35"/>
        <v/>
      </c>
      <c r="BS71" s="165">
        <f t="shared" si="44"/>
        <v>2053</v>
      </c>
      <c r="BT71" s="444">
        <f t="shared" si="36"/>
        <v>39</v>
      </c>
      <c r="BU71" s="867">
        <f t="shared" ca="1" si="37"/>
        <v>1.259454340899987</v>
      </c>
      <c r="BV71" s="445">
        <f t="shared" ca="1" si="47"/>
        <v>0.14935765244210777</v>
      </c>
      <c r="BW71" s="845">
        <f t="shared" ca="1" si="38"/>
        <v>3703.3634689844926</v>
      </c>
      <c r="BX71" s="846" t="str">
        <f t="shared" si="39"/>
        <v/>
      </c>
      <c r="CA71" s="164" t="b">
        <f t="shared" si="7"/>
        <v>0</v>
      </c>
      <c r="CB71" s="164" t="str">
        <f t="shared" si="8"/>
        <v/>
      </c>
      <c r="CC71" s="165" t="str">
        <f t="shared" si="9"/>
        <v/>
      </c>
      <c r="CD71" s="436" t="str">
        <f>IFERROR(INDEX($CB$19:$CB$74,_xlfn.AGGREGATE(15,6,(ROW($CB$19:$CB$74)-ROW($CB$19)+1)/($CB$19:$CB$74&lt;&gt;""),ROWS($CD$1:CD53))),"")</f>
        <v/>
      </c>
      <c r="CE71" s="437" t="str">
        <f>IFERROR(INDEX($CC$19:$CC$74,_xlfn.AGGREGATE(15,6,(ROW($CC$19:$CC$74)-ROW($CC$19)+1)/($CC$19:$CC$74&lt;&gt;""),ROWS($CE$1:CE53))),"")</f>
        <v/>
      </c>
      <c r="CF71" s="437" t="str">
        <f t="shared" si="10"/>
        <v/>
      </c>
      <c r="CG71" s="164"/>
      <c r="CH71" s="165"/>
      <c r="CK71" s="164">
        <f t="shared" si="11"/>
        <v>2058</v>
      </c>
      <c r="CL71" s="740">
        <f t="shared" si="46"/>
        <v>4113.7697993664206</v>
      </c>
      <c r="CO71" s="833">
        <f t="shared" ca="1" si="2"/>
        <v>10075.494779000001</v>
      </c>
      <c r="CP71" s="410"/>
      <c r="CQ71" s="140"/>
      <c r="CR71" s="833">
        <f t="shared" ca="1" si="3"/>
        <v>10075.494779000001</v>
      </c>
      <c r="CS71" s="140"/>
      <c r="CT71" s="834">
        <f t="shared" ca="1" si="4"/>
        <v>1</v>
      </c>
      <c r="CU71" s="140"/>
      <c r="CV71" s="835">
        <f t="shared" ca="1" si="5"/>
        <v>4113.7697993664206</v>
      </c>
    </row>
    <row r="72" spans="1:145" s="746" customFormat="1" ht="14.1" x14ac:dyDescent="0.5">
      <c r="C72" s="836">
        <v>2058</v>
      </c>
      <c r="D72" s="520">
        <v>39</v>
      </c>
      <c r="E72" s="837"/>
      <c r="F72" s="832" t="e">
        <f t="shared" si="1"/>
        <v>#N/A</v>
      </c>
      <c r="G72" s="832">
        <f t="shared" si="6"/>
        <v>4113.7697993664206</v>
      </c>
      <c r="AI72" s="455"/>
      <c r="AJ72" s="455"/>
      <c r="AK72" s="455"/>
      <c r="AM72" s="165">
        <f t="shared" si="40"/>
        <v>2054</v>
      </c>
      <c r="AN72" s="444">
        <f t="shared" si="16"/>
        <v>40</v>
      </c>
      <c r="AO72" s="867">
        <f t="shared" si="17"/>
        <v>1960.2956705385427</v>
      </c>
      <c r="AP72" s="445">
        <f t="shared" si="18"/>
        <v>1957.4445617740232</v>
      </c>
      <c r="AQ72" s="845">
        <f t="shared" si="19"/>
        <v>3917.7402323125661</v>
      </c>
      <c r="AR72" s="447" t="str">
        <f t="shared" si="20"/>
        <v/>
      </c>
      <c r="AT72" s="165">
        <f t="shared" si="41"/>
        <v>2054</v>
      </c>
      <c r="AU72" s="444">
        <f t="shared" si="21"/>
        <v>40</v>
      </c>
      <c r="AV72" s="867">
        <f t="shared" ca="1" si="22"/>
        <v>-1137.8026643694434</v>
      </c>
      <c r="AW72" s="867">
        <f t="shared" ca="1" si="23"/>
        <v>2608.374611574317</v>
      </c>
      <c r="AX72" s="445">
        <f t="shared" ca="1" si="24"/>
        <v>2044.2898732424699</v>
      </c>
      <c r="AY72" s="845">
        <f t="shared" ca="1" si="12"/>
        <v>3514.8618204473432</v>
      </c>
      <c r="AZ72" s="846" t="str">
        <f t="shared" si="25"/>
        <v/>
      </c>
      <c r="BB72" s="165">
        <f t="shared" si="42"/>
        <v>2054</v>
      </c>
      <c r="BC72" s="444">
        <f t="shared" si="26"/>
        <v>40</v>
      </c>
      <c r="BD72" s="867">
        <f t="shared" ca="1" si="27"/>
        <v>6108.6834733893493</v>
      </c>
      <c r="BE72" s="867">
        <f t="shared" ca="1" si="28"/>
        <v>-5999.6638655462102</v>
      </c>
      <c r="BF72" s="867">
        <f t="shared" ca="1" si="29"/>
        <v>2486.7366946778702</v>
      </c>
      <c r="BG72" s="445">
        <f t="shared" ca="1" si="30"/>
        <v>2232.8304621848733</v>
      </c>
      <c r="BH72" s="845">
        <f t="shared" ca="1" si="13"/>
        <v>4828.5867647058822</v>
      </c>
      <c r="BI72" s="846" t="str">
        <f t="shared" si="31"/>
        <v/>
      </c>
      <c r="BK72" s="165">
        <f t="shared" si="43"/>
        <v>2054</v>
      </c>
      <c r="BL72" s="444">
        <f t="shared" si="32"/>
        <v>40</v>
      </c>
      <c r="BM72" s="867">
        <f t="shared" ca="1" si="33"/>
        <v>1862.9883849899884</v>
      </c>
      <c r="BN72" s="445">
        <f t="shared" ca="1" si="34"/>
        <v>2.3701181850658259</v>
      </c>
      <c r="BO72" s="845">
        <f t="shared" ca="1" si="14"/>
        <v>4415.5026498311854</v>
      </c>
      <c r="BP72" s="846" t="str">
        <f t="shared" si="35"/>
        <v/>
      </c>
      <c r="BS72" s="165">
        <f t="shared" si="44"/>
        <v>2054</v>
      </c>
      <c r="BT72" s="444">
        <f t="shared" si="36"/>
        <v>40</v>
      </c>
      <c r="BU72" s="867">
        <f t="shared" ca="1" si="37"/>
        <v>1.259454340899987</v>
      </c>
      <c r="BV72" s="445">
        <f t="shared" ca="1" si="47"/>
        <v>0.14225050750616591</v>
      </c>
      <c r="BW72" s="845">
        <f t="shared" ca="1" si="38"/>
        <v>3731.4761282654008</v>
      </c>
      <c r="BX72" s="846" t="str">
        <f t="shared" si="39"/>
        <v/>
      </c>
      <c r="CA72" s="164" t="b">
        <f t="shared" si="7"/>
        <v>0</v>
      </c>
      <c r="CB72" s="164" t="str">
        <f t="shared" si="8"/>
        <v/>
      </c>
      <c r="CC72" s="165" t="str">
        <f t="shared" si="9"/>
        <v/>
      </c>
      <c r="CD72" s="436" t="str">
        <f>IFERROR(INDEX($CB$19:$CB$74,_xlfn.AGGREGATE(15,6,(ROW($CB$19:$CB$74)-ROW($CB$19)+1)/($CB$19:$CB$74&lt;&gt;""),ROWS($CD$1:CD54))),"")</f>
        <v/>
      </c>
      <c r="CE72" s="437" t="str">
        <f>IFERROR(INDEX($CC$19:$CC$74,_xlfn.AGGREGATE(15,6,(ROW($CC$19:$CC$74)-ROW($CC$19)+1)/($CC$19:$CC$74&lt;&gt;""),ROWS($CE$1:CE54))),"")</f>
        <v/>
      </c>
      <c r="CF72" s="437" t="str">
        <f t="shared" si="10"/>
        <v/>
      </c>
      <c r="CG72" s="164"/>
      <c r="CH72" s="165"/>
      <c r="CK72" s="164">
        <f t="shared" si="11"/>
        <v>2059</v>
      </c>
      <c r="CL72" s="740">
        <f t="shared" si="46"/>
        <v>4162.7771911298832</v>
      </c>
      <c r="CO72" s="833">
        <f t="shared" ca="1" si="2"/>
        <v>10117.339215</v>
      </c>
      <c r="CP72" s="410"/>
      <c r="CQ72" s="140"/>
      <c r="CR72" s="833">
        <f t="shared" ca="1" si="3"/>
        <v>10117.339215</v>
      </c>
      <c r="CS72" s="140"/>
      <c r="CT72" s="834">
        <f t="shared" ca="1" si="4"/>
        <v>1</v>
      </c>
      <c r="CU72" s="140"/>
      <c r="CV72" s="835">
        <f t="shared" ca="1" si="5"/>
        <v>4162.7771911298832</v>
      </c>
    </row>
    <row r="73" spans="1:145" s="746" customFormat="1" ht="14.1" x14ac:dyDescent="0.5">
      <c r="C73" s="836">
        <v>2059</v>
      </c>
      <c r="D73" s="520">
        <v>40</v>
      </c>
      <c r="E73" s="837"/>
      <c r="F73" s="832" t="e">
        <f t="shared" si="1"/>
        <v>#N/A</v>
      </c>
      <c r="G73" s="832">
        <f t="shared" si="6"/>
        <v>4162.7771911298832</v>
      </c>
      <c r="AI73" s="455"/>
      <c r="AJ73" s="455"/>
      <c r="AK73" s="455"/>
      <c r="AM73" s="165">
        <f t="shared" si="40"/>
        <v>2055</v>
      </c>
      <c r="AN73" s="444">
        <f t="shared" si="16"/>
        <v>41</v>
      </c>
      <c r="AO73" s="867">
        <f t="shared" si="17"/>
        <v>2009.3030623020063</v>
      </c>
      <c r="AP73" s="445">
        <f t="shared" si="18"/>
        <v>1957.4445617740232</v>
      </c>
      <c r="AQ73" s="845">
        <f t="shared" si="19"/>
        <v>3966.7476240760298</v>
      </c>
      <c r="AR73" s="846" t="str">
        <f t="shared" si="20"/>
        <v/>
      </c>
      <c r="AT73" s="165">
        <f t="shared" si="41"/>
        <v>2055</v>
      </c>
      <c r="AU73" s="444">
        <f t="shared" si="21"/>
        <v>41</v>
      </c>
      <c r="AV73" s="867">
        <f t="shared" ca="1" si="22"/>
        <v>-1195.4039242531464</v>
      </c>
      <c r="AW73" s="867">
        <f t="shared" ca="1" si="23"/>
        <v>2673.5839768636747</v>
      </c>
      <c r="AX73" s="445">
        <f t="shared" ca="1" si="24"/>
        <v>2044.2898732424699</v>
      </c>
      <c r="AY73" s="845">
        <f t="shared" ca="1" si="12"/>
        <v>3522.4699258529981</v>
      </c>
      <c r="AZ73" s="846" t="str">
        <f t="shared" si="25"/>
        <v/>
      </c>
      <c r="BB73" s="165">
        <f t="shared" si="42"/>
        <v>2055</v>
      </c>
      <c r="BC73" s="444">
        <f t="shared" si="26"/>
        <v>41</v>
      </c>
      <c r="BD73" s="867">
        <f t="shared" ca="1" si="27"/>
        <v>6578.3839635854274</v>
      </c>
      <c r="BE73" s="867">
        <f t="shared" ca="1" si="28"/>
        <v>-6303.3968487394877</v>
      </c>
      <c r="BF73" s="867">
        <f t="shared" ca="1" si="29"/>
        <v>2548.9051120448171</v>
      </c>
      <c r="BG73" s="445">
        <f t="shared" ca="1" si="30"/>
        <v>2232.8304621848733</v>
      </c>
      <c r="BH73" s="845">
        <f t="shared" ca="1" si="13"/>
        <v>5056.7226890756301</v>
      </c>
      <c r="BI73" s="846" t="str">
        <f t="shared" si="31"/>
        <v/>
      </c>
      <c r="BK73" s="165">
        <f t="shared" si="43"/>
        <v>2055</v>
      </c>
      <c r="BL73" s="444">
        <f t="shared" si="32"/>
        <v>41</v>
      </c>
      <c r="BM73" s="867">
        <f t="shared" ca="1" si="33"/>
        <v>1862.9883849899884</v>
      </c>
      <c r="BN73" s="445">
        <f t="shared" ca="1" si="34"/>
        <v>2.4218054519803931</v>
      </c>
      <c r="BO73" s="845">
        <f t="shared" ca="1" si="14"/>
        <v>4511.7954277449016</v>
      </c>
      <c r="BP73" s="846" t="str">
        <f t="shared" si="35"/>
        <v/>
      </c>
      <c r="BS73" s="165">
        <f t="shared" si="44"/>
        <v>2055</v>
      </c>
      <c r="BT73" s="444">
        <f t="shared" si="36"/>
        <v>41</v>
      </c>
      <c r="BU73" s="867">
        <f t="shared" ca="1" si="37"/>
        <v>1.259454340899987</v>
      </c>
      <c r="BV73" s="445">
        <f t="shared" ca="1" si="47"/>
        <v>0.13548155420831276</v>
      </c>
      <c r="BW73" s="845">
        <f t="shared" ca="1" si="38"/>
        <v>3758.6507753573314</v>
      </c>
      <c r="BX73" s="846" t="str">
        <f t="shared" si="39"/>
        <v/>
      </c>
      <c r="CA73" s="164" t="b">
        <f t="shared" si="7"/>
        <v>0</v>
      </c>
      <c r="CB73" s="164" t="str">
        <f t="shared" si="8"/>
        <v/>
      </c>
      <c r="CC73" s="165" t="str">
        <f t="shared" si="9"/>
        <v/>
      </c>
      <c r="CD73" s="436" t="str">
        <f>IFERROR(INDEX($CB$19:$CB$74,_xlfn.AGGREGATE(15,6,(ROW($CB$19:$CB$74)-ROW($CB$19)+1)/($CB$19:$CB$74&lt;&gt;""),ROWS($CD$1:CD55))),"")</f>
        <v/>
      </c>
      <c r="CE73" s="437" t="str">
        <f>IFERROR(INDEX($CC$19:$CC$74,_xlfn.AGGREGATE(15,6,(ROW($CC$19:$CC$74)-ROW($CC$19)+1)/($CC$19:$CC$74&lt;&gt;""),ROWS($CE$1:CE55))),"")</f>
        <v/>
      </c>
      <c r="CF73" s="437" t="str">
        <f t="shared" si="10"/>
        <v/>
      </c>
      <c r="CG73" s="164"/>
      <c r="CH73" s="165"/>
      <c r="CK73" s="164">
        <f t="shared" si="11"/>
        <v>2060</v>
      </c>
      <c r="CL73" s="740">
        <f t="shared" si="46"/>
        <v>4211.7845828933469</v>
      </c>
      <c r="CO73" s="833">
        <f t="shared" ca="1" si="2"/>
        <v>10158.199411</v>
      </c>
      <c r="CP73" s="410"/>
      <c r="CQ73" s="140"/>
      <c r="CR73" s="833">
        <f t="shared" ca="1" si="3"/>
        <v>10158.199411</v>
      </c>
      <c r="CS73" s="140"/>
      <c r="CT73" s="834">
        <f t="shared" ca="1" si="4"/>
        <v>1</v>
      </c>
      <c r="CU73" s="140"/>
      <c r="CV73" s="835">
        <f t="shared" ca="1" si="5"/>
        <v>4211.7845828933469</v>
      </c>
    </row>
    <row r="74" spans="1:145" s="746" customFormat="1" ht="14.1" x14ac:dyDescent="0.5">
      <c r="C74" s="843">
        <v>2060</v>
      </c>
      <c r="D74" s="520">
        <v>41</v>
      </c>
      <c r="E74" s="837"/>
      <c r="F74" s="832" t="e">
        <f t="shared" si="1"/>
        <v>#N/A</v>
      </c>
      <c r="G74" s="832">
        <f t="shared" si="6"/>
        <v>4211.7845828933469</v>
      </c>
      <c r="AI74" s="455"/>
      <c r="AJ74" s="455"/>
      <c r="AK74" s="455"/>
      <c r="AM74" s="165">
        <f t="shared" si="40"/>
        <v>2056</v>
      </c>
      <c r="AN74" s="444">
        <f t="shared" si="16"/>
        <v>42</v>
      </c>
      <c r="AO74" s="867">
        <f t="shared" si="17"/>
        <v>2058.3104540654699</v>
      </c>
      <c r="AP74" s="445">
        <f t="shared" si="18"/>
        <v>1957.4445617740232</v>
      </c>
      <c r="AQ74" s="845">
        <f t="shared" si="19"/>
        <v>4015.7550158394934</v>
      </c>
      <c r="AR74" s="846" t="str">
        <f t="shared" si="20"/>
        <v/>
      </c>
      <c r="AT74" s="165">
        <f t="shared" si="41"/>
        <v>2056</v>
      </c>
      <c r="AU74" s="444">
        <f t="shared" si="21"/>
        <v>42</v>
      </c>
      <c r="AV74" s="867">
        <f t="shared" ca="1" si="22"/>
        <v>-1254.4274374673112</v>
      </c>
      <c r="AW74" s="867">
        <f t="shared" ca="1" si="23"/>
        <v>2738.7933421530324</v>
      </c>
      <c r="AX74" s="445">
        <f t="shared" ca="1" si="24"/>
        <v>2044.2898732424699</v>
      </c>
      <c r="AY74" s="845">
        <f t="shared" ca="1" si="12"/>
        <v>3528.6557779281911</v>
      </c>
      <c r="AZ74" s="846" t="str">
        <f t="shared" si="25"/>
        <v/>
      </c>
      <c r="BB74" s="165">
        <f t="shared" si="42"/>
        <v>2056</v>
      </c>
      <c r="BC74" s="444">
        <f t="shared" si="26"/>
        <v>42</v>
      </c>
      <c r="BD74" s="867">
        <f t="shared" ca="1" si="27"/>
        <v>7071.5647058823452</v>
      </c>
      <c r="BE74" s="867">
        <f t="shared" ca="1" si="28"/>
        <v>-6614.6294117646976</v>
      </c>
      <c r="BF74" s="867">
        <f t="shared" ca="1" si="29"/>
        <v>2611.073529411764</v>
      </c>
      <c r="BG74" s="445">
        <f t="shared" ca="1" si="30"/>
        <v>2232.8304621848733</v>
      </c>
      <c r="BH74" s="845">
        <f t="shared" ca="1" si="13"/>
        <v>5300.8392857142844</v>
      </c>
      <c r="BI74" s="846" t="str">
        <f t="shared" si="31"/>
        <v/>
      </c>
      <c r="BK74" s="165">
        <f t="shared" si="43"/>
        <v>2056</v>
      </c>
      <c r="BL74" s="444">
        <f t="shared" si="32"/>
        <v>42</v>
      </c>
      <c r="BM74" s="867">
        <f t="shared" ca="1" si="33"/>
        <v>1862.9883849899884</v>
      </c>
      <c r="BN74" s="445">
        <f t="shared" ca="1" si="34"/>
        <v>2.4746199089135557</v>
      </c>
      <c r="BO74" s="845">
        <f t="shared" ca="1" si="14"/>
        <v>4610.188147570937</v>
      </c>
      <c r="BP74" s="846" t="str">
        <f t="shared" si="35"/>
        <v/>
      </c>
      <c r="BS74" s="165">
        <f t="shared" si="44"/>
        <v>2056</v>
      </c>
      <c r="BT74" s="444">
        <f t="shared" si="36"/>
        <v>42</v>
      </c>
      <c r="BU74" s="867">
        <f t="shared" ca="1" si="37"/>
        <v>1.259454340899987</v>
      </c>
      <c r="BV74" s="445">
        <f t="shared" ca="1" si="47"/>
        <v>0.12903469978765714</v>
      </c>
      <c r="BW74" s="845">
        <f t="shared" ca="1" si="38"/>
        <v>3784.902892423293</v>
      </c>
      <c r="BX74" s="846" t="str">
        <f t="shared" si="39"/>
        <v/>
      </c>
      <c r="CA74" s="164" t="b">
        <f t="shared" si="7"/>
        <v>0</v>
      </c>
      <c r="CB74" s="164" t="str">
        <f t="shared" si="8"/>
        <v/>
      </c>
      <c r="CC74" s="165" t="str">
        <f t="shared" si="9"/>
        <v/>
      </c>
      <c r="CD74" s="436" t="str">
        <f>IFERROR(INDEX($CB$19:$CB$74,_xlfn.AGGREGATE(15,6,(ROW($CB$19:$CB$74)-ROW($CB$19)+1)/($CB$19:$CB$74&lt;&gt;""),ROWS($CD$1:CD56))),"")</f>
        <v/>
      </c>
      <c r="CE74" s="437" t="str">
        <f>IFERROR(INDEX($CC$19:$CC$74,_xlfn.AGGREGATE(15,6,(ROW($CC$19:$CC$74)-ROW($CC$19)+1)/($CC$19:$CC$74&lt;&gt;""),ROWS($CE$1:CE56))),"")</f>
        <v/>
      </c>
      <c r="CF74" s="437" t="str">
        <f t="shared" si="10"/>
        <v/>
      </c>
      <c r="CG74" s="164"/>
      <c r="CH74" s="165"/>
      <c r="CK74" s="164"/>
      <c r="CL74" s="740"/>
      <c r="CO74" s="456"/>
      <c r="CR74" s="456"/>
      <c r="CT74" s="456"/>
      <c r="CV74" s="456"/>
    </row>
    <row r="75" spans="1:145" s="746" customFormat="1" ht="14.1" x14ac:dyDescent="0.5">
      <c r="D75" s="457"/>
      <c r="AI75" s="455"/>
      <c r="AJ75" s="455"/>
      <c r="AK75" s="455"/>
      <c r="AM75" s="165">
        <f t="shared" si="40"/>
        <v>2057</v>
      </c>
      <c r="AN75" s="444">
        <f t="shared" si="16"/>
        <v>43</v>
      </c>
      <c r="AO75" s="867">
        <f t="shared" si="17"/>
        <v>2107.3178458289335</v>
      </c>
      <c r="AP75" s="445">
        <f t="shared" si="18"/>
        <v>1957.4445617740232</v>
      </c>
      <c r="AQ75" s="845">
        <f t="shared" si="19"/>
        <v>4064.762407602957</v>
      </c>
      <c r="AR75" s="846" t="str">
        <f t="shared" si="20"/>
        <v/>
      </c>
      <c r="AT75" s="165">
        <f t="shared" si="41"/>
        <v>2057</v>
      </c>
      <c r="AU75" s="444">
        <f t="shared" si="21"/>
        <v>43</v>
      </c>
      <c r="AV75" s="867">
        <f t="shared" ca="1" si="22"/>
        <v>-1314.873204011938</v>
      </c>
      <c r="AW75" s="867">
        <f t="shared" ca="1" si="23"/>
        <v>2804.0027074423906</v>
      </c>
      <c r="AX75" s="445">
        <f t="shared" ca="1" si="24"/>
        <v>2044.2898732424699</v>
      </c>
      <c r="AY75" s="845">
        <f t="shared" ca="1" si="12"/>
        <v>3533.4193766729222</v>
      </c>
      <c r="AZ75" s="846" t="str">
        <f t="shared" si="25"/>
        <v/>
      </c>
      <c r="BB75" s="165">
        <f t="shared" si="42"/>
        <v>2057</v>
      </c>
      <c r="BC75" s="444">
        <f t="shared" si="26"/>
        <v>43</v>
      </c>
      <c r="BD75" s="867">
        <f t="shared" ca="1" si="27"/>
        <v>7588.7983893557339</v>
      </c>
      <c r="BE75" s="867">
        <f t="shared" ca="1" si="28"/>
        <v>-6933.3615546218398</v>
      </c>
      <c r="BF75" s="867">
        <f t="shared" ca="1" si="29"/>
        <v>2673.2419467787104</v>
      </c>
      <c r="BG75" s="445">
        <f t="shared" ca="1" si="30"/>
        <v>2232.8304621848733</v>
      </c>
      <c r="BH75" s="845">
        <f t="shared" ca="1" si="13"/>
        <v>5561.5092436974774</v>
      </c>
      <c r="BI75" s="846" t="str">
        <f t="shared" si="31"/>
        <v/>
      </c>
      <c r="BK75" s="165">
        <f t="shared" si="43"/>
        <v>2057</v>
      </c>
      <c r="BL75" s="444">
        <f t="shared" si="32"/>
        <v>43</v>
      </c>
      <c r="BM75" s="867">
        <f t="shared" ca="1" si="33"/>
        <v>1862.9883849899884</v>
      </c>
      <c r="BN75" s="445">
        <f t="shared" ca="1" si="34"/>
        <v>2.5285861374966108</v>
      </c>
      <c r="BO75" s="845">
        <f t="shared" ca="1" si="14"/>
        <v>4710.7266046028835</v>
      </c>
      <c r="BP75" s="846" t="str">
        <f t="shared" si="35"/>
        <v/>
      </c>
      <c r="BS75" s="165">
        <f t="shared" si="44"/>
        <v>2057</v>
      </c>
      <c r="BT75" s="444">
        <f t="shared" si="36"/>
        <v>43</v>
      </c>
      <c r="BU75" s="867">
        <f t="shared" ca="1" si="37"/>
        <v>1.259454340899987</v>
      </c>
      <c r="BV75" s="445">
        <f t="shared" ca="1" si="47"/>
        <v>0.12289461725313758</v>
      </c>
      <c r="BW75" s="845">
        <f t="shared" ca="1" si="38"/>
        <v>3810.2490461493503</v>
      </c>
      <c r="BX75" s="846" t="str">
        <f t="shared" si="39"/>
        <v/>
      </c>
      <c r="CA75" s="456"/>
      <c r="CB75" s="456"/>
      <c r="CC75" s="456"/>
      <c r="CD75" s="456"/>
      <c r="CE75" s="456"/>
      <c r="CF75" s="456"/>
      <c r="CG75" s="479"/>
      <c r="CH75" s="479"/>
      <c r="CK75" s="456"/>
      <c r="CL75" s="456"/>
    </row>
    <row r="76" spans="1:145" s="746" customFormat="1" ht="14.1" x14ac:dyDescent="0.5">
      <c r="D76" s="457"/>
      <c r="AI76" s="455"/>
      <c r="AJ76" s="455"/>
      <c r="AK76" s="455"/>
      <c r="AM76" s="165">
        <f t="shared" si="40"/>
        <v>2058</v>
      </c>
      <c r="AN76" s="444">
        <f t="shared" si="16"/>
        <v>44</v>
      </c>
      <c r="AO76" s="867">
        <f t="shared" si="17"/>
        <v>2156.3252375923971</v>
      </c>
      <c r="AP76" s="445">
        <f t="shared" si="18"/>
        <v>1957.4445617740232</v>
      </c>
      <c r="AQ76" s="845">
        <f t="shared" si="19"/>
        <v>4113.7697993664206</v>
      </c>
      <c r="AR76" s="846" t="str">
        <f t="shared" si="20"/>
        <v/>
      </c>
      <c r="AT76" s="165">
        <f t="shared" si="41"/>
        <v>2058</v>
      </c>
      <c r="AU76" s="444">
        <f t="shared" si="21"/>
        <v>44</v>
      </c>
      <c r="AV76" s="867">
        <f t="shared" ca="1" si="22"/>
        <v>-1376.7412238870263</v>
      </c>
      <c r="AW76" s="867">
        <f t="shared" ca="1" si="23"/>
        <v>2869.2120727317483</v>
      </c>
      <c r="AX76" s="445">
        <f t="shared" ca="1" si="24"/>
        <v>2044.2898732424699</v>
      </c>
      <c r="AY76" s="845">
        <f t="shared" ca="1" si="12"/>
        <v>3536.7607220871919</v>
      </c>
      <c r="AZ76" s="846" t="str">
        <f t="shared" si="25"/>
        <v/>
      </c>
      <c r="BB76" s="165">
        <f t="shared" si="42"/>
        <v>2058</v>
      </c>
      <c r="BC76" s="444">
        <f t="shared" si="26"/>
        <v>44</v>
      </c>
      <c r="BD76" s="867">
        <f t="shared" ca="1" si="27"/>
        <v>8130.6577030812241</v>
      </c>
      <c r="BE76" s="867">
        <f t="shared" ca="1" si="28"/>
        <v>-7259.5932773109153</v>
      </c>
      <c r="BF76" s="867">
        <f t="shared" ca="1" si="29"/>
        <v>2735.4103641456572</v>
      </c>
      <c r="BG76" s="445">
        <f t="shared" ca="1" si="30"/>
        <v>2232.8304621848733</v>
      </c>
      <c r="BH76" s="845">
        <f t="shared" ca="1" si="13"/>
        <v>5839.3052521008394</v>
      </c>
      <c r="BI76" s="846" t="str">
        <f t="shared" si="31"/>
        <v/>
      </c>
      <c r="BK76" s="165">
        <f t="shared" si="43"/>
        <v>2058</v>
      </c>
      <c r="BL76" s="444">
        <f t="shared" si="32"/>
        <v>44</v>
      </c>
      <c r="BM76" s="867">
        <f t="shared" ca="1" si="33"/>
        <v>1862.9883849899884</v>
      </c>
      <c r="BN76" s="445">
        <f t="shared" ca="1" si="34"/>
        <v>2.5837292554342643</v>
      </c>
      <c r="BO76" s="845">
        <f t="shared" ca="1" si="14"/>
        <v>4813.457592832865</v>
      </c>
      <c r="BP76" s="846" t="str">
        <f t="shared" si="35"/>
        <v/>
      </c>
      <c r="BS76" s="165">
        <f t="shared" si="44"/>
        <v>2058</v>
      </c>
      <c r="BT76" s="444">
        <f t="shared" si="36"/>
        <v>44</v>
      </c>
      <c r="BU76" s="867">
        <f t="shared" ca="1" si="37"/>
        <v>1.259454340899987</v>
      </c>
      <c r="BV76" s="445">
        <f t="shared" ca="1" si="47"/>
        <v>0.11704670894456466</v>
      </c>
      <c r="BW76" s="845">
        <f t="shared" ca="1" si="38"/>
        <v>3834.70675819813</v>
      </c>
      <c r="BX76" s="846" t="str">
        <f t="shared" si="39"/>
        <v/>
      </c>
      <c r="CG76" s="479"/>
      <c r="CH76" s="479"/>
      <c r="CK76" s="479"/>
      <c r="CL76" s="479"/>
    </row>
    <row r="77" spans="1:145" s="746" customFormat="1" ht="14.1" x14ac:dyDescent="0.5">
      <c r="A77" s="454" t="str">
        <f ca="1">HYPERLINK("#"&amp;"'"&amp;A$1&amp;"'!a1","Back to top")</f>
        <v>Back to top</v>
      </c>
      <c r="D77" s="457"/>
      <c r="AI77" s="455"/>
      <c r="AJ77" s="455"/>
      <c r="AK77" s="455"/>
      <c r="AM77" s="165">
        <f t="shared" si="40"/>
        <v>2059</v>
      </c>
      <c r="AN77" s="444">
        <f t="shared" si="16"/>
        <v>45</v>
      </c>
      <c r="AO77" s="867">
        <f t="shared" si="17"/>
        <v>2205.3326293558603</v>
      </c>
      <c r="AP77" s="445">
        <f t="shared" si="18"/>
        <v>1957.4445617740232</v>
      </c>
      <c r="AQ77" s="845">
        <f t="shared" si="19"/>
        <v>4162.7771911298832</v>
      </c>
      <c r="AR77" s="846" t="str">
        <f t="shared" si="20"/>
        <v/>
      </c>
      <c r="AT77" s="165">
        <f t="shared" si="41"/>
        <v>2059</v>
      </c>
      <c r="AU77" s="444">
        <f t="shared" si="21"/>
        <v>45</v>
      </c>
      <c r="AV77" s="867">
        <f t="shared" ca="1" si="22"/>
        <v>-1440.0314970925767</v>
      </c>
      <c r="AW77" s="867">
        <f t="shared" ca="1" si="23"/>
        <v>2934.4214380211065</v>
      </c>
      <c r="AX77" s="445">
        <f t="shared" ca="1" si="24"/>
        <v>2044.2898732424699</v>
      </c>
      <c r="AY77" s="845">
        <f t="shared" ca="1" si="12"/>
        <v>3538.6798141709996</v>
      </c>
      <c r="AZ77" s="846" t="str">
        <f t="shared" si="25"/>
        <v/>
      </c>
      <c r="BB77" s="165">
        <f t="shared" si="42"/>
        <v>2059</v>
      </c>
      <c r="BC77" s="444">
        <f t="shared" si="26"/>
        <v>45</v>
      </c>
      <c r="BD77" s="867">
        <f t="shared" ca="1" si="27"/>
        <v>8697.7153361344444</v>
      </c>
      <c r="BE77" s="867">
        <f t="shared" ca="1" si="28"/>
        <v>-7593.3245798319231</v>
      </c>
      <c r="BF77" s="867">
        <f t="shared" ca="1" si="29"/>
        <v>2797.5787815126041</v>
      </c>
      <c r="BG77" s="445">
        <f t="shared" ca="1" si="30"/>
        <v>2232.8304621848733</v>
      </c>
      <c r="BH77" s="845">
        <f t="shared" ca="1" si="13"/>
        <v>6134.7999999999993</v>
      </c>
      <c r="BI77" s="846" t="str">
        <f t="shared" si="31"/>
        <v/>
      </c>
      <c r="BK77" s="165">
        <f t="shared" si="43"/>
        <v>2059</v>
      </c>
      <c r="BL77" s="444">
        <f t="shared" si="32"/>
        <v>45</v>
      </c>
      <c r="BM77" s="867">
        <f t="shared" ca="1" si="33"/>
        <v>1862.9883849899884</v>
      </c>
      <c r="BN77" s="445">
        <f t="shared" ca="1" si="34"/>
        <v>2.6400749281952614</v>
      </c>
      <c r="BO77" s="845">
        <f t="shared" ca="1" si="14"/>
        <v>4918.4289267310496</v>
      </c>
      <c r="BP77" s="846" t="str">
        <f t="shared" si="35"/>
        <v/>
      </c>
      <c r="BS77" s="165">
        <f t="shared" si="44"/>
        <v>2059</v>
      </c>
      <c r="BT77" s="444">
        <f t="shared" si="36"/>
        <v>45</v>
      </c>
      <c r="BU77" s="867">
        <f t="shared" ca="1" si="37"/>
        <v>1.259454340899987</v>
      </c>
      <c r="BV77" s="445">
        <f t="shared" ca="1" si="47"/>
        <v>0.11147707182760166</v>
      </c>
      <c r="BW77" s="845">
        <f t="shared" ca="1" si="38"/>
        <v>3858.2943808032519</v>
      </c>
      <c r="BX77" s="846" t="str">
        <f t="shared" si="39"/>
        <v/>
      </c>
    </row>
    <row r="78" spans="1:145" s="746" customFormat="1" ht="14.1" x14ac:dyDescent="0.5">
      <c r="D78" s="457"/>
      <c r="AI78" s="455"/>
      <c r="AJ78" s="455"/>
      <c r="AK78" s="455"/>
      <c r="AM78" s="165">
        <f t="shared" si="40"/>
        <v>2060</v>
      </c>
      <c r="AN78" s="444">
        <f t="shared" si="16"/>
        <v>46</v>
      </c>
      <c r="AO78" s="867">
        <f t="shared" si="17"/>
        <v>2254.3400211193239</v>
      </c>
      <c r="AP78" s="445">
        <f t="shared" si="18"/>
        <v>1957.4445617740232</v>
      </c>
      <c r="AQ78" s="845">
        <f t="shared" si="19"/>
        <v>4211.7845828933469</v>
      </c>
      <c r="AR78" s="846" t="str">
        <f t="shared" si="20"/>
        <v/>
      </c>
      <c r="AT78" s="165">
        <f t="shared" si="41"/>
        <v>2060</v>
      </c>
      <c r="AU78" s="444">
        <f t="shared" si="21"/>
        <v>46</v>
      </c>
      <c r="AV78" s="867">
        <f t="shared" ca="1" si="22"/>
        <v>-1504.7440236285888</v>
      </c>
      <c r="AW78" s="867">
        <f t="shared" ca="1" si="23"/>
        <v>2999.6308033104642</v>
      </c>
      <c r="AX78" s="445">
        <f t="shared" ca="1" si="24"/>
        <v>2044.2898732424699</v>
      </c>
      <c r="AY78" s="845">
        <f t="shared" ca="1" si="12"/>
        <v>3539.176652924345</v>
      </c>
      <c r="AZ78" s="846" t="str">
        <f t="shared" si="25"/>
        <v/>
      </c>
      <c r="BB78" s="165">
        <f t="shared" si="42"/>
        <v>2060</v>
      </c>
      <c r="BC78" s="444">
        <f t="shared" si="26"/>
        <v>46</v>
      </c>
      <c r="BD78" s="867">
        <f t="shared" ca="1" si="27"/>
        <v>9290.5439775910272</v>
      </c>
      <c r="BE78" s="867">
        <f t="shared" ca="1" si="28"/>
        <v>-7934.5554621848632</v>
      </c>
      <c r="BF78" s="867">
        <f t="shared" ca="1" si="29"/>
        <v>2859.7471988795505</v>
      </c>
      <c r="BG78" s="445">
        <f t="shared" ca="1" si="30"/>
        <v>2232.8304621848733</v>
      </c>
      <c r="BH78" s="845">
        <f t="shared" ca="1" si="13"/>
        <v>6448.5661764705874</v>
      </c>
      <c r="BI78" s="846" t="str">
        <f t="shared" si="31"/>
        <v/>
      </c>
      <c r="BK78" s="165">
        <f t="shared" si="43"/>
        <v>2060</v>
      </c>
      <c r="BL78" s="444">
        <f t="shared" si="32"/>
        <v>46</v>
      </c>
      <c r="BM78" s="867">
        <f t="shared" ca="1" si="33"/>
        <v>1862.9883849899884</v>
      </c>
      <c r="BN78" s="445">
        <f t="shared" ca="1" si="34"/>
        <v>2.69764938095796</v>
      </c>
      <c r="BO78" s="845">
        <f t="shared" ca="1" si="14"/>
        <v>5025.6894635001117</v>
      </c>
      <c r="BP78" s="846" t="str">
        <f t="shared" si="35"/>
        <v/>
      </c>
      <c r="BS78" s="165">
        <f t="shared" si="44"/>
        <v>2060</v>
      </c>
      <c r="BT78" s="444">
        <f t="shared" si="36"/>
        <v>46</v>
      </c>
      <c r="BU78" s="867">
        <f t="shared" ca="1" si="37"/>
        <v>1.259454340899987</v>
      </c>
      <c r="BV78" s="445">
        <f t="shared" ca="1" si="47"/>
        <v>0.1061724644401746</v>
      </c>
      <c r="BW78" s="845">
        <f t="shared" ca="1" si="38"/>
        <v>3881.03097793294</v>
      </c>
      <c r="BX78" s="846" t="str">
        <f t="shared" si="39"/>
        <v/>
      </c>
    </row>
    <row r="79" spans="1:145" s="747" customFormat="1" x14ac:dyDescent="0.4">
      <c r="E79" s="458"/>
      <c r="F79" s="459">
        <v>1</v>
      </c>
      <c r="G79" s="459">
        <v>2</v>
      </c>
      <c r="H79" s="459">
        <v>3</v>
      </c>
      <c r="I79" s="459">
        <v>4</v>
      </c>
      <c r="J79" s="459">
        <v>5</v>
      </c>
      <c r="K79" s="459">
        <v>6</v>
      </c>
      <c r="L79" s="459">
        <v>7</v>
      </c>
      <c r="M79" s="459">
        <v>8</v>
      </c>
      <c r="N79" s="459">
        <v>9</v>
      </c>
      <c r="O79" s="459">
        <v>10</v>
      </c>
      <c r="R79" s="459">
        <v>1</v>
      </c>
      <c r="S79" s="459">
        <v>2</v>
      </c>
      <c r="T79" s="459">
        <v>3</v>
      </c>
      <c r="U79" s="459">
        <v>4</v>
      </c>
      <c r="V79" s="459">
        <v>5</v>
      </c>
      <c r="W79" s="459">
        <v>6</v>
      </c>
      <c r="X79" s="459">
        <v>7</v>
      </c>
      <c r="Y79" s="459">
        <v>8</v>
      </c>
      <c r="Z79" s="459">
        <v>9</v>
      </c>
      <c r="AA79" s="459">
        <v>10</v>
      </c>
      <c r="AD79" s="459">
        <v>1</v>
      </c>
      <c r="AE79" s="459">
        <v>2</v>
      </c>
      <c r="AF79" s="459">
        <v>3</v>
      </c>
      <c r="AG79" s="459">
        <v>4</v>
      </c>
      <c r="AH79" s="459">
        <v>5</v>
      </c>
      <c r="AI79" s="459">
        <v>6</v>
      </c>
      <c r="AJ79" s="459">
        <v>7</v>
      </c>
      <c r="AK79" s="459">
        <v>8</v>
      </c>
      <c r="AL79" s="459">
        <v>9</v>
      </c>
      <c r="AM79" s="459">
        <v>10</v>
      </c>
      <c r="AP79" s="459">
        <v>1</v>
      </c>
      <c r="AQ79" s="459">
        <v>2</v>
      </c>
      <c r="AR79" s="459">
        <v>3</v>
      </c>
      <c r="AS79" s="459">
        <v>4</v>
      </c>
      <c r="AT79" s="459">
        <v>5</v>
      </c>
      <c r="AU79" s="459">
        <v>6</v>
      </c>
      <c r="AV79" s="459">
        <v>7</v>
      </c>
      <c r="AW79" s="459">
        <v>8</v>
      </c>
      <c r="AX79" s="459">
        <v>9</v>
      </c>
      <c r="AY79" s="459">
        <v>10</v>
      </c>
    </row>
    <row r="80" spans="1:145" s="746" customFormat="1" ht="14.4" hidden="1" x14ac:dyDescent="0.55000000000000004">
      <c r="E80" s="460" t="s">
        <v>247</v>
      </c>
      <c r="F80" s="461"/>
      <c r="G80" s="748"/>
      <c r="H80" s="748"/>
      <c r="I80" s="461"/>
      <c r="J80" s="749"/>
      <c r="K80" s="461" t="s">
        <v>248</v>
      </c>
      <c r="L80" s="461"/>
      <c r="M80" s="749"/>
      <c r="N80" s="749"/>
      <c r="O80" s="749"/>
      <c r="P80" s="464"/>
      <c r="Q80" s="460" t="s">
        <v>249</v>
      </c>
      <c r="R80" s="465"/>
      <c r="S80" s="462"/>
      <c r="T80" s="462"/>
      <c r="U80" s="461"/>
      <c r="V80" s="463"/>
      <c r="W80" s="461" t="s">
        <v>248</v>
      </c>
      <c r="X80" s="750"/>
      <c r="Y80" s="463"/>
      <c r="Z80" s="463"/>
      <c r="AA80" s="463"/>
      <c r="AB80" s="464"/>
      <c r="AC80" s="460" t="s">
        <v>250</v>
      </c>
      <c r="AD80" s="751"/>
      <c r="AE80" s="748"/>
      <c r="AF80" s="748"/>
      <c r="AG80" s="461"/>
      <c r="AH80" s="749"/>
      <c r="AI80" s="461" t="s">
        <v>248</v>
      </c>
      <c r="AK80" s="749"/>
      <c r="AL80" s="749"/>
      <c r="AM80" s="749"/>
      <c r="AN80" s="464"/>
      <c r="AO80" s="752" t="s">
        <v>251</v>
      </c>
      <c r="AP80" s="456"/>
      <c r="AQ80" s="753"/>
      <c r="AR80" s="753"/>
      <c r="AS80" s="754"/>
      <c r="AT80" s="755"/>
      <c r="AU80" s="754" t="s">
        <v>248</v>
      </c>
      <c r="AW80" s="755"/>
      <c r="AX80" s="755"/>
      <c r="AY80" s="755"/>
      <c r="AZ80" s="756"/>
      <c r="BA80" s="466" t="s">
        <v>252</v>
      </c>
      <c r="BB80" s="467"/>
      <c r="BC80" s="468"/>
      <c r="BD80" s="468"/>
      <c r="BE80" s="469"/>
      <c r="BF80" s="470"/>
      <c r="BG80" s="469" t="s">
        <v>248</v>
      </c>
      <c r="BH80" s="471"/>
      <c r="BI80" s="470"/>
      <c r="BJ80" s="470"/>
      <c r="BK80" s="470"/>
      <c r="BL80" s="469"/>
      <c r="BM80" s="466" t="s">
        <v>253</v>
      </c>
      <c r="BN80" s="467"/>
      <c r="BO80" s="468"/>
      <c r="BP80" s="468"/>
      <c r="BQ80" s="469"/>
      <c r="BR80" s="470"/>
      <c r="BS80" s="469" t="s">
        <v>254</v>
      </c>
      <c r="BT80" s="467"/>
      <c r="BU80" s="470"/>
      <c r="BV80" s="470"/>
      <c r="BW80" s="470"/>
      <c r="BX80" s="472"/>
      <c r="BY80" s="752" t="s">
        <v>255</v>
      </c>
      <c r="BZ80" s="456"/>
      <c r="CA80" s="753"/>
      <c r="CB80" s="753"/>
      <c r="CC80" s="754"/>
      <c r="CD80" s="755"/>
      <c r="CE80" s="754" t="s">
        <v>248</v>
      </c>
      <c r="CG80" s="755"/>
      <c r="CH80" s="755"/>
      <c r="CI80" s="755"/>
      <c r="CJ80" s="756"/>
      <c r="CK80" s="473"/>
      <c r="CL80" s="757"/>
      <c r="CM80" s="758"/>
      <c r="CN80" s="758"/>
      <c r="CO80" s="473"/>
      <c r="CP80" s="757"/>
      <c r="CQ80" s="757"/>
      <c r="CR80" s="473"/>
      <c r="CS80" s="757"/>
      <c r="CT80" s="757"/>
      <c r="CU80" s="757"/>
      <c r="CV80" s="473"/>
      <c r="CW80" s="473"/>
      <c r="CX80" s="758"/>
      <c r="CY80" s="758"/>
      <c r="CZ80" s="473"/>
      <c r="DA80" s="757"/>
      <c r="DB80" s="757"/>
      <c r="DC80" s="473"/>
      <c r="DD80" s="757"/>
      <c r="DE80" s="757"/>
      <c r="DF80" s="757"/>
      <c r="DG80" s="757"/>
      <c r="DH80" s="473"/>
      <c r="DI80" s="473"/>
      <c r="DJ80" s="757"/>
      <c r="DK80" s="758"/>
      <c r="DL80" s="758"/>
      <c r="DM80" s="473"/>
      <c r="DN80" s="757"/>
      <c r="DO80" s="757"/>
      <c r="DP80" s="473"/>
      <c r="DQ80" s="757"/>
      <c r="DR80" s="757"/>
      <c r="DS80" s="757"/>
      <c r="DT80" s="473"/>
      <c r="DU80" s="473"/>
      <c r="DV80" s="757"/>
      <c r="DW80" s="758"/>
      <c r="DX80" s="758"/>
      <c r="DY80" s="473"/>
      <c r="DZ80" s="757"/>
      <c r="EA80" s="757"/>
      <c r="EB80" s="473"/>
      <c r="EC80" s="757"/>
      <c r="ED80" s="757"/>
      <c r="EE80" s="757"/>
      <c r="EF80" s="479"/>
      <c r="EG80" s="479"/>
      <c r="EH80" s="479"/>
      <c r="EI80" s="479"/>
      <c r="EJ80" s="479"/>
      <c r="EK80" s="479"/>
      <c r="EL80" s="479"/>
      <c r="EM80" s="479"/>
      <c r="EN80" s="479"/>
      <c r="EO80" s="479"/>
    </row>
    <row r="81" spans="5:145" s="746" customFormat="1" ht="14.4" hidden="1" x14ac:dyDescent="0.55000000000000004">
      <c r="E81" s="474"/>
      <c r="F81" s="759" t="s">
        <v>211</v>
      </c>
      <c r="G81" s="759" t="s">
        <v>36</v>
      </c>
      <c r="H81" s="759" t="s">
        <v>44</v>
      </c>
      <c r="I81" s="759" t="s">
        <v>46</v>
      </c>
      <c r="J81" s="759" t="s">
        <v>49</v>
      </c>
      <c r="K81" s="759" t="s">
        <v>52</v>
      </c>
      <c r="L81" s="759" t="s">
        <v>213</v>
      </c>
      <c r="M81" s="759" t="s">
        <v>58</v>
      </c>
      <c r="N81" s="759" t="s">
        <v>214</v>
      </c>
      <c r="O81" s="759" t="s">
        <v>61</v>
      </c>
      <c r="P81" s="475"/>
      <c r="Q81" s="760"/>
      <c r="R81" s="759" t="s">
        <v>211</v>
      </c>
      <c r="S81" s="759" t="s">
        <v>36</v>
      </c>
      <c r="T81" s="759" t="s">
        <v>44</v>
      </c>
      <c r="U81" s="759" t="s">
        <v>46</v>
      </c>
      <c r="V81" s="759" t="s">
        <v>49</v>
      </c>
      <c r="W81" s="759" t="s">
        <v>52</v>
      </c>
      <c r="X81" s="759" t="s">
        <v>213</v>
      </c>
      <c r="Y81" s="759" t="s">
        <v>58</v>
      </c>
      <c r="Z81" s="759" t="s">
        <v>214</v>
      </c>
      <c r="AA81" s="759" t="s">
        <v>61</v>
      </c>
      <c r="AB81" s="475"/>
      <c r="AC81" s="760"/>
      <c r="AD81" s="759" t="s">
        <v>211</v>
      </c>
      <c r="AE81" s="759" t="s">
        <v>36</v>
      </c>
      <c r="AF81" s="759" t="s">
        <v>44</v>
      </c>
      <c r="AG81" s="759" t="s">
        <v>46</v>
      </c>
      <c r="AH81" s="759" t="s">
        <v>49</v>
      </c>
      <c r="AI81" s="759" t="s">
        <v>52</v>
      </c>
      <c r="AJ81" s="759" t="s">
        <v>213</v>
      </c>
      <c r="AK81" s="759" t="s">
        <v>58</v>
      </c>
      <c r="AL81" s="759" t="s">
        <v>214</v>
      </c>
      <c r="AM81" s="759" t="s">
        <v>61</v>
      </c>
      <c r="AN81" s="475"/>
      <c r="AO81" s="761"/>
      <c r="AP81" s="762" t="s">
        <v>211</v>
      </c>
      <c r="AQ81" s="762" t="s">
        <v>36</v>
      </c>
      <c r="AR81" s="762" t="s">
        <v>44</v>
      </c>
      <c r="AS81" s="762" t="s">
        <v>46</v>
      </c>
      <c r="AT81" s="762" t="s">
        <v>49</v>
      </c>
      <c r="AU81" s="762" t="s">
        <v>52</v>
      </c>
      <c r="AV81" s="762" t="s">
        <v>213</v>
      </c>
      <c r="AW81" s="762" t="s">
        <v>58</v>
      </c>
      <c r="AX81" s="762" t="s">
        <v>214</v>
      </c>
      <c r="AY81" s="762" t="s">
        <v>61</v>
      </c>
      <c r="AZ81" s="476"/>
      <c r="BA81" s="763"/>
      <c r="BB81" s="762" t="s">
        <v>211</v>
      </c>
      <c r="BC81" s="762" t="s">
        <v>36</v>
      </c>
      <c r="BD81" s="762" t="s">
        <v>44</v>
      </c>
      <c r="BE81" s="762" t="s">
        <v>46</v>
      </c>
      <c r="BF81" s="762" t="s">
        <v>49</v>
      </c>
      <c r="BG81" s="762" t="s">
        <v>52</v>
      </c>
      <c r="BH81" s="762" t="s">
        <v>213</v>
      </c>
      <c r="BI81" s="762" t="s">
        <v>58</v>
      </c>
      <c r="BJ81" s="762" t="s">
        <v>214</v>
      </c>
      <c r="BK81" s="762" t="s">
        <v>61</v>
      </c>
      <c r="BL81" s="477"/>
      <c r="BM81" s="763"/>
      <c r="BN81" s="762" t="s">
        <v>211</v>
      </c>
      <c r="BO81" s="762" t="s">
        <v>36</v>
      </c>
      <c r="BP81" s="762" t="s">
        <v>44</v>
      </c>
      <c r="BQ81" s="762" t="s">
        <v>46</v>
      </c>
      <c r="BR81" s="762" t="s">
        <v>49</v>
      </c>
      <c r="BS81" s="762" t="s">
        <v>52</v>
      </c>
      <c r="BT81" s="762" t="s">
        <v>213</v>
      </c>
      <c r="BU81" s="762" t="s">
        <v>58</v>
      </c>
      <c r="BV81" s="762" t="s">
        <v>214</v>
      </c>
      <c r="BW81" s="762" t="s">
        <v>61</v>
      </c>
      <c r="BX81" s="476"/>
      <c r="BY81" s="764"/>
      <c r="BZ81" s="762" t="s">
        <v>211</v>
      </c>
      <c r="CA81" s="762" t="s">
        <v>36</v>
      </c>
      <c r="CB81" s="762" t="s">
        <v>44</v>
      </c>
      <c r="CC81" s="762" t="s">
        <v>46</v>
      </c>
      <c r="CD81" s="762" t="s">
        <v>49</v>
      </c>
      <c r="CE81" s="762" t="s">
        <v>52</v>
      </c>
      <c r="CF81" s="762" t="s">
        <v>213</v>
      </c>
      <c r="CG81" s="762" t="s">
        <v>58</v>
      </c>
      <c r="CH81" s="762" t="s">
        <v>214</v>
      </c>
      <c r="CI81" s="762" t="s">
        <v>61</v>
      </c>
      <c r="CJ81" s="476"/>
      <c r="CK81" s="765"/>
      <c r="CL81" s="766"/>
      <c r="CM81" s="766"/>
      <c r="CN81" s="766"/>
      <c r="CO81" s="766"/>
      <c r="CP81" s="766"/>
      <c r="CQ81" s="766"/>
      <c r="CR81" s="766"/>
      <c r="CS81" s="766"/>
      <c r="CT81" s="766"/>
      <c r="CU81" s="766"/>
      <c r="CV81" s="478"/>
      <c r="CW81" s="478"/>
      <c r="CX81" s="478"/>
      <c r="CY81" s="478"/>
      <c r="CZ81" s="478"/>
      <c r="DA81" s="478"/>
      <c r="DB81" s="478"/>
      <c r="DC81" s="478"/>
      <c r="DD81" s="478"/>
      <c r="DE81" s="478"/>
      <c r="DF81" s="478"/>
      <c r="DG81" s="478"/>
      <c r="DH81" s="478"/>
      <c r="DI81" s="766"/>
      <c r="DJ81" s="766"/>
      <c r="DK81" s="766"/>
      <c r="DL81" s="766"/>
      <c r="DM81" s="766"/>
      <c r="DN81" s="766"/>
      <c r="DO81" s="766"/>
      <c r="DP81" s="766"/>
      <c r="DQ81" s="766"/>
      <c r="DR81" s="766"/>
      <c r="DS81" s="766"/>
      <c r="DT81" s="478"/>
      <c r="DU81" s="766"/>
      <c r="DV81" s="766"/>
      <c r="DW81" s="766"/>
      <c r="DX81" s="766"/>
      <c r="DY81" s="766"/>
      <c r="DZ81" s="766"/>
      <c r="EA81" s="766"/>
      <c r="EB81" s="766"/>
      <c r="EC81" s="766"/>
      <c r="ED81" s="766"/>
      <c r="EE81" s="766"/>
      <c r="EF81" s="479"/>
      <c r="EG81" s="479"/>
      <c r="EH81" s="479"/>
      <c r="EI81" s="479"/>
      <c r="EJ81" s="479"/>
      <c r="EK81" s="479"/>
      <c r="EL81" s="479"/>
      <c r="EM81" s="479"/>
      <c r="EN81" s="479"/>
      <c r="EO81" s="479"/>
    </row>
    <row r="82" spans="5:145" s="746" customFormat="1" ht="14.4" hidden="1" x14ac:dyDescent="0.55000000000000004">
      <c r="E82" s="767">
        <v>2005</v>
      </c>
      <c r="F82" s="480"/>
      <c r="G82" s="480"/>
      <c r="H82" s="480"/>
      <c r="I82" s="480"/>
      <c r="J82" s="480"/>
      <c r="K82" s="480"/>
      <c r="L82" s="480"/>
      <c r="M82" s="480"/>
      <c r="N82" s="480"/>
      <c r="O82" s="480"/>
      <c r="P82" s="475"/>
      <c r="Q82" s="767">
        <v>2005</v>
      </c>
      <c r="R82" s="480"/>
      <c r="S82" s="480"/>
      <c r="T82" s="480"/>
      <c r="U82" s="480"/>
      <c r="V82" s="480"/>
      <c r="W82" s="480"/>
      <c r="X82" s="480"/>
      <c r="Y82" s="480"/>
      <c r="Z82" s="480"/>
      <c r="AA82" s="480"/>
      <c r="AB82" s="480"/>
      <c r="AC82" s="767">
        <v>2005</v>
      </c>
      <c r="AD82" s="480"/>
      <c r="AE82" s="480"/>
      <c r="AF82" s="480"/>
      <c r="AG82" s="480"/>
      <c r="AH82" s="480"/>
      <c r="AI82" s="480"/>
      <c r="AJ82" s="480"/>
      <c r="AK82" s="480"/>
      <c r="AL82" s="480"/>
      <c r="AM82" s="480"/>
      <c r="AN82" s="475"/>
      <c r="AO82" s="164"/>
      <c r="AP82" s="165"/>
      <c r="AQ82" s="165"/>
      <c r="AR82" s="165"/>
      <c r="AS82" s="165"/>
      <c r="AT82" s="165"/>
      <c r="AU82" s="165"/>
      <c r="AV82" s="165"/>
      <c r="AW82" s="165"/>
      <c r="AX82" s="165"/>
      <c r="AY82" s="165"/>
      <c r="AZ82" s="166"/>
      <c r="BA82" s="481"/>
      <c r="BB82" s="477"/>
      <c r="BC82" s="477"/>
      <c r="BD82" s="477"/>
      <c r="BE82" s="477"/>
      <c r="BF82" s="477"/>
      <c r="BG82" s="477"/>
      <c r="BH82" s="477"/>
      <c r="BI82" s="477"/>
      <c r="BJ82" s="477"/>
      <c r="BK82" s="477"/>
      <c r="BL82" s="477"/>
      <c r="BM82" s="481"/>
      <c r="BN82" s="477"/>
      <c r="BO82" s="477"/>
      <c r="BP82" s="477"/>
      <c r="BQ82" s="477"/>
      <c r="BR82" s="477"/>
      <c r="BS82" s="477"/>
      <c r="BT82" s="477"/>
      <c r="BU82" s="477"/>
      <c r="BV82" s="477"/>
      <c r="BW82" s="477"/>
      <c r="BX82" s="476"/>
      <c r="BY82" s="164"/>
      <c r="BZ82" s="165"/>
      <c r="CA82" s="165"/>
      <c r="CB82" s="165"/>
      <c r="CC82" s="165"/>
      <c r="CD82" s="165"/>
      <c r="CE82" s="165"/>
      <c r="CF82" s="165"/>
      <c r="CG82" s="165"/>
      <c r="CH82" s="165"/>
      <c r="CI82" s="165"/>
      <c r="CJ82" s="166"/>
      <c r="CK82" s="165"/>
      <c r="CL82" s="165"/>
      <c r="CM82" s="165"/>
      <c r="CN82" s="165"/>
      <c r="CO82" s="165"/>
      <c r="CP82" s="165"/>
      <c r="CQ82" s="165"/>
      <c r="CR82" s="165"/>
      <c r="CS82" s="165"/>
      <c r="CT82" s="165"/>
      <c r="CU82" s="165"/>
      <c r="CV82" s="165"/>
      <c r="CW82" s="165"/>
      <c r="CX82" s="165"/>
      <c r="CY82" s="165"/>
      <c r="CZ82" s="165"/>
      <c r="DA82" s="165"/>
      <c r="DB82" s="165"/>
      <c r="DC82" s="165"/>
      <c r="DD82" s="165"/>
      <c r="DE82" s="165"/>
      <c r="DF82" s="165"/>
      <c r="DG82" s="165"/>
      <c r="DH82" s="165"/>
      <c r="DI82" s="165"/>
      <c r="DJ82" s="165"/>
      <c r="DK82" s="165"/>
      <c r="DL82" s="165"/>
      <c r="DM82" s="165"/>
      <c r="DN82" s="165"/>
      <c r="DO82" s="165"/>
      <c r="DP82" s="165"/>
      <c r="DQ82" s="165"/>
      <c r="DR82" s="165"/>
      <c r="DS82" s="165"/>
      <c r="DT82" s="165"/>
      <c r="DU82" s="165"/>
      <c r="DV82" s="165"/>
      <c r="DW82" s="165"/>
      <c r="DX82" s="165"/>
      <c r="DY82" s="165"/>
      <c r="DZ82" s="165"/>
      <c r="EA82" s="165"/>
      <c r="EB82" s="165"/>
      <c r="EC82" s="165"/>
      <c r="ED82" s="165"/>
      <c r="EE82" s="165"/>
      <c r="EF82" s="479"/>
      <c r="EG82" s="479"/>
      <c r="EH82" s="479"/>
      <c r="EI82" s="479"/>
      <c r="EJ82" s="479"/>
      <c r="EK82" s="479"/>
      <c r="EL82" s="479"/>
      <c r="EM82" s="479"/>
      <c r="EN82" s="479"/>
      <c r="EO82" s="479"/>
    </row>
    <row r="83" spans="5:145" s="746" customFormat="1" ht="14.4" hidden="1" x14ac:dyDescent="0.55000000000000004">
      <c r="E83" s="767">
        <v>2006</v>
      </c>
      <c r="F83" s="480"/>
      <c r="G83" s="480"/>
      <c r="H83" s="480"/>
      <c r="I83" s="480"/>
      <c r="J83" s="480"/>
      <c r="K83" s="480"/>
      <c r="L83" s="480"/>
      <c r="M83" s="480"/>
      <c r="N83" s="480"/>
      <c r="O83" s="480"/>
      <c r="P83" s="475"/>
      <c r="Q83" s="767">
        <v>2006</v>
      </c>
      <c r="R83" s="480"/>
      <c r="S83" s="480"/>
      <c r="T83" s="480"/>
      <c r="U83" s="480"/>
      <c r="V83" s="480"/>
      <c r="W83" s="480"/>
      <c r="X83" s="480"/>
      <c r="Y83" s="480"/>
      <c r="Z83" s="480"/>
      <c r="AA83" s="480"/>
      <c r="AB83" s="480"/>
      <c r="AC83" s="767">
        <v>2006</v>
      </c>
      <c r="AD83" s="480"/>
      <c r="AE83" s="480"/>
      <c r="AF83" s="480"/>
      <c r="AG83" s="480"/>
      <c r="AH83" s="480"/>
      <c r="AI83" s="480"/>
      <c r="AJ83" s="480"/>
      <c r="AK83" s="480"/>
      <c r="AL83" s="480"/>
      <c r="AM83" s="480"/>
      <c r="AN83" s="475"/>
      <c r="AO83" s="164"/>
      <c r="AP83" s="165"/>
      <c r="AQ83" s="165"/>
      <c r="AR83" s="165"/>
      <c r="AS83" s="165"/>
      <c r="AT83" s="165"/>
      <c r="AU83" s="165"/>
      <c r="AV83" s="165"/>
      <c r="AW83" s="165"/>
      <c r="AX83" s="165"/>
      <c r="AY83" s="165"/>
      <c r="AZ83" s="166"/>
      <c r="BA83" s="481"/>
      <c r="BB83" s="477"/>
      <c r="BC83" s="477"/>
      <c r="BD83" s="477"/>
      <c r="BE83" s="477"/>
      <c r="BF83" s="477"/>
      <c r="BG83" s="477"/>
      <c r="BH83" s="477"/>
      <c r="BI83" s="477"/>
      <c r="BJ83" s="477"/>
      <c r="BK83" s="477"/>
      <c r="BL83" s="477"/>
      <c r="BM83" s="481"/>
      <c r="BN83" s="477"/>
      <c r="BO83" s="477"/>
      <c r="BP83" s="477"/>
      <c r="BQ83" s="477"/>
      <c r="BR83" s="477"/>
      <c r="BS83" s="477"/>
      <c r="BT83" s="477"/>
      <c r="BU83" s="477"/>
      <c r="BV83" s="477"/>
      <c r="BW83" s="477"/>
      <c r="BX83" s="476"/>
      <c r="BY83" s="164"/>
      <c r="BZ83" s="165"/>
      <c r="CA83" s="165"/>
      <c r="CB83" s="165"/>
      <c r="CC83" s="165"/>
      <c r="CD83" s="165"/>
      <c r="CE83" s="165"/>
      <c r="CF83" s="165"/>
      <c r="CG83" s="165"/>
      <c r="CH83" s="165"/>
      <c r="CI83" s="165"/>
      <c r="CJ83" s="166"/>
      <c r="CK83" s="165"/>
      <c r="CL83" s="165"/>
      <c r="CM83" s="165"/>
      <c r="CN83" s="165"/>
      <c r="CO83" s="165"/>
      <c r="CP83" s="165"/>
      <c r="CQ83" s="165"/>
      <c r="CR83" s="165"/>
      <c r="CS83" s="165"/>
      <c r="CT83" s="165"/>
      <c r="CU83" s="165"/>
      <c r="CV83" s="165"/>
      <c r="CW83" s="165"/>
      <c r="CX83" s="165"/>
      <c r="CY83" s="165"/>
      <c r="CZ83" s="165"/>
      <c r="DA83" s="165"/>
      <c r="DB83" s="165"/>
      <c r="DC83" s="165"/>
      <c r="DD83" s="165"/>
      <c r="DE83" s="165"/>
      <c r="DF83" s="165"/>
      <c r="DG83" s="165"/>
      <c r="DH83" s="165"/>
      <c r="DI83" s="165"/>
      <c r="DJ83" s="165"/>
      <c r="DK83" s="165"/>
      <c r="DL83" s="165"/>
      <c r="DM83" s="165"/>
      <c r="DN83" s="165"/>
      <c r="DO83" s="165"/>
      <c r="DP83" s="165"/>
      <c r="DQ83" s="165"/>
      <c r="DR83" s="165"/>
      <c r="DS83" s="165"/>
      <c r="DT83" s="165"/>
      <c r="DU83" s="165"/>
      <c r="DV83" s="165"/>
      <c r="DW83" s="165"/>
      <c r="DX83" s="165"/>
      <c r="DY83" s="165"/>
      <c r="DZ83" s="165"/>
      <c r="EA83" s="165"/>
      <c r="EB83" s="165"/>
      <c r="EC83" s="165"/>
      <c r="ED83" s="165"/>
      <c r="EE83" s="165"/>
      <c r="EF83" s="479"/>
      <c r="EG83" s="479"/>
      <c r="EH83" s="479"/>
      <c r="EI83" s="479"/>
      <c r="EJ83" s="479"/>
      <c r="EK83" s="479"/>
      <c r="EL83" s="479"/>
      <c r="EM83" s="479"/>
      <c r="EN83" s="479"/>
      <c r="EO83" s="479"/>
    </row>
    <row r="84" spans="5:145" s="746" customFormat="1" ht="17.7" hidden="1" x14ac:dyDescent="0.6">
      <c r="E84" s="767">
        <v>2007</v>
      </c>
      <c r="F84" s="480"/>
      <c r="G84" s="482" t="s">
        <v>256</v>
      </c>
      <c r="H84" s="480"/>
      <c r="I84" s="480"/>
      <c r="J84" s="480"/>
      <c r="K84" s="480"/>
      <c r="L84" s="480"/>
      <c r="M84" s="480"/>
      <c r="N84" s="480"/>
      <c r="O84" s="480"/>
      <c r="P84" s="475"/>
      <c r="Q84" s="767">
        <v>2007</v>
      </c>
      <c r="R84" s="480"/>
      <c r="S84" s="482" t="s">
        <v>256</v>
      </c>
      <c r="T84" s="480"/>
      <c r="U84" s="480"/>
      <c r="V84" s="480"/>
      <c r="W84" s="480"/>
      <c r="X84" s="480"/>
      <c r="Y84" s="480"/>
      <c r="Z84" s="480"/>
      <c r="AA84" s="480"/>
      <c r="AB84" s="480"/>
      <c r="AC84" s="767">
        <v>2007</v>
      </c>
      <c r="AD84" s="480"/>
      <c r="AE84" s="482" t="s">
        <v>256</v>
      </c>
      <c r="AF84" s="480"/>
      <c r="AG84" s="480"/>
      <c r="AH84" s="480"/>
      <c r="AI84" s="480"/>
      <c r="AJ84" s="480"/>
      <c r="AK84" s="480"/>
      <c r="AL84" s="480"/>
      <c r="AM84" s="480"/>
      <c r="AN84" s="475"/>
      <c r="AO84" s="164"/>
      <c r="AP84" s="165"/>
      <c r="AQ84" s="165"/>
      <c r="AR84" s="165"/>
      <c r="AS84" s="165"/>
      <c r="AT84" s="165"/>
      <c r="AU84" s="165"/>
      <c r="AV84" s="165"/>
      <c r="AW84" s="165"/>
      <c r="AX84" s="165"/>
      <c r="AY84" s="165"/>
      <c r="AZ84" s="166"/>
      <c r="BA84" s="481"/>
      <c r="BB84" s="477"/>
      <c r="BC84" s="477"/>
      <c r="BD84" s="477"/>
      <c r="BE84" s="477"/>
      <c r="BF84" s="477"/>
      <c r="BG84" s="477"/>
      <c r="BH84" s="477"/>
      <c r="BI84" s="477"/>
      <c r="BJ84" s="477"/>
      <c r="BK84" s="477"/>
      <c r="BL84" s="477"/>
      <c r="BM84" s="481"/>
      <c r="BN84" s="477"/>
      <c r="BO84" s="483" t="s">
        <v>257</v>
      </c>
      <c r="BP84" s="477"/>
      <c r="BQ84" s="477"/>
      <c r="BR84" s="477"/>
      <c r="BS84" s="477"/>
      <c r="BT84" s="477"/>
      <c r="BU84" s="477"/>
      <c r="BV84" s="477"/>
      <c r="BW84" s="477"/>
      <c r="BX84" s="476"/>
      <c r="BY84" s="481"/>
      <c r="BZ84" s="477"/>
      <c r="CA84" s="482" t="s">
        <v>258</v>
      </c>
      <c r="CB84" s="477"/>
      <c r="CC84" s="477"/>
      <c r="CD84" s="165"/>
      <c r="CE84" s="165"/>
      <c r="CF84" s="165"/>
      <c r="CG84" s="165"/>
      <c r="CH84" s="165"/>
      <c r="CI84" s="165"/>
      <c r="CJ84" s="166"/>
      <c r="CK84" s="165"/>
      <c r="CL84" s="165"/>
      <c r="CM84" s="165"/>
      <c r="CN84" s="165"/>
      <c r="CO84" s="165"/>
      <c r="CP84" s="165"/>
      <c r="CQ84" s="165"/>
      <c r="CR84" s="165"/>
      <c r="CS84" s="165"/>
      <c r="CT84" s="165"/>
      <c r="CU84" s="165"/>
      <c r="CV84" s="165"/>
      <c r="CW84" s="165"/>
      <c r="CX84" s="165"/>
      <c r="CY84" s="165"/>
      <c r="CZ84" s="165"/>
      <c r="DA84" s="165"/>
      <c r="DB84" s="165"/>
      <c r="DC84" s="165"/>
      <c r="DD84" s="165"/>
      <c r="DE84" s="165"/>
      <c r="DF84" s="165"/>
      <c r="DG84" s="165"/>
      <c r="DH84" s="165"/>
      <c r="DI84" s="165"/>
      <c r="DJ84" s="165"/>
      <c r="DK84" s="165"/>
      <c r="DL84" s="165"/>
      <c r="DM84" s="165"/>
      <c r="DN84" s="165"/>
      <c r="DO84" s="165"/>
      <c r="DP84" s="165"/>
      <c r="DQ84" s="165"/>
      <c r="DR84" s="165"/>
      <c r="DS84" s="165"/>
      <c r="DT84" s="165"/>
      <c r="DU84" s="165"/>
      <c r="DV84" s="165"/>
      <c r="DW84" s="165"/>
      <c r="DX84" s="165"/>
      <c r="DY84" s="165"/>
      <c r="DZ84" s="165"/>
      <c r="EA84" s="165"/>
      <c r="EB84" s="165"/>
      <c r="EC84" s="165"/>
      <c r="ED84" s="165"/>
      <c r="EE84" s="165"/>
      <c r="EF84" s="479"/>
      <c r="EG84" s="479"/>
      <c r="EH84" s="479"/>
      <c r="EI84" s="479"/>
      <c r="EJ84" s="479"/>
      <c r="EK84" s="479"/>
      <c r="EL84" s="479"/>
      <c r="EM84" s="479"/>
      <c r="EN84" s="479"/>
      <c r="EO84" s="479"/>
    </row>
    <row r="85" spans="5:145" s="746" customFormat="1" ht="14.4" hidden="1" x14ac:dyDescent="0.55000000000000004">
      <c r="E85" s="767">
        <v>2008</v>
      </c>
      <c r="F85" s="480"/>
      <c r="G85" s="480"/>
      <c r="H85" s="480"/>
      <c r="I85" s="480"/>
      <c r="J85" s="480"/>
      <c r="K85" s="480"/>
      <c r="L85" s="480"/>
      <c r="M85" s="480"/>
      <c r="N85" s="480"/>
      <c r="O85" s="480"/>
      <c r="P85" s="475"/>
      <c r="Q85" s="767">
        <v>2008</v>
      </c>
      <c r="R85" s="480"/>
      <c r="S85" s="480"/>
      <c r="T85" s="480"/>
      <c r="U85" s="480"/>
      <c r="V85" s="480"/>
      <c r="W85" s="480"/>
      <c r="X85" s="480"/>
      <c r="Y85" s="480"/>
      <c r="Z85" s="480"/>
      <c r="AA85" s="480"/>
      <c r="AB85" s="480"/>
      <c r="AC85" s="767">
        <v>2008</v>
      </c>
      <c r="AD85" s="480"/>
      <c r="AE85" s="480"/>
      <c r="AF85" s="480"/>
      <c r="AG85" s="480"/>
      <c r="AH85" s="480"/>
      <c r="AI85" s="480"/>
      <c r="AJ85" s="480"/>
      <c r="AK85" s="480"/>
      <c r="AL85" s="480"/>
      <c r="AM85" s="480"/>
      <c r="AN85" s="475"/>
      <c r="AO85" s="164"/>
      <c r="AP85" s="165"/>
      <c r="AQ85" s="165"/>
      <c r="AR85" s="165"/>
      <c r="AS85" s="165"/>
      <c r="AT85" s="165"/>
      <c r="AU85" s="165"/>
      <c r="AV85" s="165"/>
      <c r="AW85" s="165"/>
      <c r="AX85" s="165"/>
      <c r="AY85" s="165"/>
      <c r="AZ85" s="166"/>
      <c r="BA85" s="481"/>
      <c r="BB85" s="477"/>
      <c r="BC85" s="477"/>
      <c r="BD85" s="477"/>
      <c r="BE85" s="477"/>
      <c r="BF85" s="477"/>
      <c r="BG85" s="477"/>
      <c r="BH85" s="477"/>
      <c r="BI85" s="477"/>
      <c r="BJ85" s="477"/>
      <c r="BK85" s="477"/>
      <c r="BL85" s="477"/>
      <c r="BM85" s="481"/>
      <c r="BN85" s="477"/>
      <c r="BO85" s="477"/>
      <c r="BP85" s="477"/>
      <c r="BQ85" s="477"/>
      <c r="BR85" s="477"/>
      <c r="BS85" s="477"/>
      <c r="BT85" s="477"/>
      <c r="BU85" s="477"/>
      <c r="BV85" s="477"/>
      <c r="BW85" s="477"/>
      <c r="BX85" s="476"/>
      <c r="BY85" s="164"/>
      <c r="BZ85" s="165"/>
      <c r="CA85" s="165"/>
      <c r="CB85" s="165"/>
      <c r="CC85" s="165"/>
      <c r="CD85" s="165"/>
      <c r="CE85" s="165"/>
      <c r="CF85" s="165"/>
      <c r="CG85" s="165"/>
      <c r="CH85" s="165"/>
      <c r="CI85" s="165"/>
      <c r="CJ85" s="166"/>
      <c r="CK85" s="165"/>
      <c r="CL85" s="165"/>
      <c r="CM85" s="165"/>
      <c r="CN85" s="165"/>
      <c r="CO85" s="165"/>
      <c r="CP85" s="165"/>
      <c r="CQ85" s="165"/>
      <c r="CR85" s="165"/>
      <c r="CS85" s="165"/>
      <c r="CT85" s="165"/>
      <c r="CU85" s="165"/>
      <c r="CV85" s="165"/>
      <c r="CW85" s="165"/>
      <c r="CX85" s="165"/>
      <c r="CY85" s="165"/>
      <c r="CZ85" s="165"/>
      <c r="DA85" s="165"/>
      <c r="DB85" s="165"/>
      <c r="DC85" s="165"/>
      <c r="DD85" s="165"/>
      <c r="DE85" s="165"/>
      <c r="DF85" s="165"/>
      <c r="DG85" s="165"/>
      <c r="DH85" s="165"/>
      <c r="DI85" s="165"/>
      <c r="DJ85" s="165"/>
      <c r="DK85" s="165"/>
      <c r="DL85" s="165"/>
      <c r="DM85" s="165"/>
      <c r="DN85" s="165"/>
      <c r="DO85" s="165"/>
      <c r="DP85" s="165"/>
      <c r="DQ85" s="165"/>
      <c r="DR85" s="165"/>
      <c r="DS85" s="165"/>
      <c r="DT85" s="165"/>
      <c r="DU85" s="165"/>
      <c r="DV85" s="165"/>
      <c r="DW85" s="165"/>
      <c r="DX85" s="165"/>
      <c r="DY85" s="165"/>
      <c r="DZ85" s="165"/>
      <c r="EA85" s="165"/>
      <c r="EB85" s="165"/>
      <c r="EC85" s="165"/>
      <c r="ED85" s="165"/>
      <c r="EE85" s="165"/>
      <c r="EF85" s="479"/>
      <c r="EG85" s="479"/>
      <c r="EH85" s="479"/>
      <c r="EI85" s="479"/>
      <c r="EJ85" s="479"/>
      <c r="EK85" s="479"/>
      <c r="EL85" s="479"/>
      <c r="EM85" s="479"/>
      <c r="EN85" s="479"/>
      <c r="EO85" s="479"/>
    </row>
    <row r="86" spans="5:145" s="746" customFormat="1" ht="14.4" hidden="1" x14ac:dyDescent="0.55000000000000004">
      <c r="E86" s="767">
        <v>2009</v>
      </c>
      <c r="F86" s="480"/>
      <c r="G86" s="480"/>
      <c r="H86" s="480"/>
      <c r="I86" s="480"/>
      <c r="J86" s="480"/>
      <c r="K86" s="480"/>
      <c r="L86" s="480"/>
      <c r="M86" s="480"/>
      <c r="N86" s="480"/>
      <c r="O86" s="480"/>
      <c r="P86" s="475"/>
      <c r="Q86" s="767">
        <v>2009</v>
      </c>
      <c r="R86" s="480"/>
      <c r="S86" s="480"/>
      <c r="T86" s="480"/>
      <c r="U86" s="480"/>
      <c r="V86" s="480"/>
      <c r="W86" s="480"/>
      <c r="X86" s="480"/>
      <c r="Y86" s="480"/>
      <c r="Z86" s="480"/>
      <c r="AA86" s="480"/>
      <c r="AB86" s="480"/>
      <c r="AC86" s="767">
        <v>2009</v>
      </c>
      <c r="AD86" s="480"/>
      <c r="AE86" s="480"/>
      <c r="AF86" s="480"/>
      <c r="AG86" s="480"/>
      <c r="AH86" s="480"/>
      <c r="AI86" s="480"/>
      <c r="AJ86" s="480"/>
      <c r="AK86" s="480"/>
      <c r="AL86" s="480"/>
      <c r="AM86" s="480"/>
      <c r="AN86" s="475"/>
      <c r="AO86" s="164"/>
      <c r="AP86" s="165"/>
      <c r="AQ86" s="165"/>
      <c r="AR86" s="165"/>
      <c r="AS86" s="165"/>
      <c r="AT86" s="165"/>
      <c r="AU86" s="165"/>
      <c r="AV86" s="165"/>
      <c r="AW86" s="165"/>
      <c r="AX86" s="165"/>
      <c r="AY86" s="165"/>
      <c r="AZ86" s="166"/>
      <c r="BA86" s="481"/>
      <c r="BB86" s="477"/>
      <c r="BC86" s="477"/>
      <c r="BD86" s="477"/>
      <c r="BE86" s="477"/>
      <c r="BF86" s="477"/>
      <c r="BG86" s="477"/>
      <c r="BH86" s="477"/>
      <c r="BI86" s="477"/>
      <c r="BJ86" s="477"/>
      <c r="BK86" s="477"/>
      <c r="BL86" s="477"/>
      <c r="BM86" s="481"/>
      <c r="BN86" s="477"/>
      <c r="BO86" s="477"/>
      <c r="BP86" s="477"/>
      <c r="BQ86" s="477"/>
      <c r="BR86" s="477"/>
      <c r="BS86" s="477"/>
      <c r="BT86" s="477"/>
      <c r="BU86" s="477"/>
      <c r="BV86" s="477"/>
      <c r="BW86" s="477"/>
      <c r="BX86" s="476"/>
      <c r="BY86" s="164"/>
      <c r="BZ86" s="165"/>
      <c r="CA86" s="165"/>
      <c r="CB86" s="165"/>
      <c r="CC86" s="165"/>
      <c r="CD86" s="165"/>
      <c r="CE86" s="165"/>
      <c r="CF86" s="165"/>
      <c r="CG86" s="165"/>
      <c r="CH86" s="165"/>
      <c r="CI86" s="165"/>
      <c r="CJ86" s="166"/>
      <c r="CK86" s="165"/>
      <c r="CL86" s="165"/>
      <c r="CM86" s="165"/>
      <c r="CN86" s="165"/>
      <c r="CO86" s="165"/>
      <c r="CP86" s="165"/>
      <c r="CQ86" s="165"/>
      <c r="CR86" s="165"/>
      <c r="CS86" s="165"/>
      <c r="CT86" s="165"/>
      <c r="CU86" s="165"/>
      <c r="CV86" s="165"/>
      <c r="CW86" s="165"/>
      <c r="CX86" s="165"/>
      <c r="CY86" s="165"/>
      <c r="CZ86" s="165"/>
      <c r="DA86" s="165"/>
      <c r="DB86" s="165"/>
      <c r="DC86" s="165"/>
      <c r="DD86" s="165"/>
      <c r="DE86" s="165"/>
      <c r="DF86" s="165"/>
      <c r="DG86" s="165"/>
      <c r="DH86" s="165"/>
      <c r="DI86" s="165"/>
      <c r="DJ86" s="165"/>
      <c r="DK86" s="165"/>
      <c r="DL86" s="165"/>
      <c r="DM86" s="165"/>
      <c r="DN86" s="165"/>
      <c r="DO86" s="165"/>
      <c r="DP86" s="165"/>
      <c r="DQ86" s="165"/>
      <c r="DR86" s="165"/>
      <c r="DS86" s="165"/>
      <c r="DT86" s="165"/>
      <c r="DU86" s="165"/>
      <c r="DV86" s="165"/>
      <c r="DW86" s="165"/>
      <c r="DX86" s="165"/>
      <c r="DY86" s="165"/>
      <c r="DZ86" s="165"/>
      <c r="EA86" s="165"/>
      <c r="EB86" s="165"/>
      <c r="EC86" s="165"/>
      <c r="ED86" s="165"/>
      <c r="EE86" s="165"/>
      <c r="EF86" s="479"/>
      <c r="EG86" s="479"/>
      <c r="EH86" s="479"/>
      <c r="EI86" s="479"/>
      <c r="EJ86" s="479"/>
      <c r="EK86" s="479"/>
      <c r="EL86" s="479"/>
      <c r="EM86" s="479"/>
      <c r="EN86" s="479"/>
      <c r="EO86" s="479"/>
    </row>
    <row r="87" spans="5:145" s="746" customFormat="1" ht="14.4" hidden="1" x14ac:dyDescent="0.55000000000000004">
      <c r="E87" s="767">
        <v>2010</v>
      </c>
      <c r="F87" s="768">
        <v>6879.9817229999981</v>
      </c>
      <c r="G87" s="768">
        <v>981.92658399999971</v>
      </c>
      <c r="H87" s="768">
        <v>406.51160000000004</v>
      </c>
      <c r="I87" s="768">
        <v>3670.2834749999997</v>
      </c>
      <c r="J87" s="768">
        <v>1232.3693209999997</v>
      </c>
      <c r="K87" s="768">
        <v>588.89074300000004</v>
      </c>
      <c r="L87" s="768">
        <v>1341.3351520000001</v>
      </c>
      <c r="M87" s="768">
        <v>1224.614327</v>
      </c>
      <c r="N87" s="768">
        <v>500.44137799999999</v>
      </c>
      <c r="O87" s="768">
        <v>310.38394799999998</v>
      </c>
      <c r="P87" s="475"/>
      <c r="Q87" s="767">
        <v>2010</v>
      </c>
      <c r="R87" s="768">
        <v>6879.9817229999981</v>
      </c>
      <c r="S87" s="768">
        <v>981.92658399999971</v>
      </c>
      <c r="T87" s="768">
        <v>406.51160000000004</v>
      </c>
      <c r="U87" s="768">
        <v>3670.2834749999997</v>
      </c>
      <c r="V87" s="768">
        <v>1232.3693209999997</v>
      </c>
      <c r="W87" s="768">
        <v>588.89074300000004</v>
      </c>
      <c r="X87" s="768">
        <v>1341.3351520000001</v>
      </c>
      <c r="Y87" s="768">
        <v>1224.614327</v>
      </c>
      <c r="Z87" s="768">
        <v>500.44137799999999</v>
      </c>
      <c r="AA87" s="768">
        <v>310.38394799999998</v>
      </c>
      <c r="AB87" s="480"/>
      <c r="AC87" s="767">
        <v>2010</v>
      </c>
      <c r="AD87" s="768">
        <v>6879.9817229999981</v>
      </c>
      <c r="AE87" s="768">
        <v>981.92658399999971</v>
      </c>
      <c r="AF87" s="768">
        <v>406.51160000000004</v>
      </c>
      <c r="AG87" s="768">
        <v>3670.2834749999997</v>
      </c>
      <c r="AH87" s="768">
        <v>1232.3693209999997</v>
      </c>
      <c r="AI87" s="768">
        <v>588.89074300000004</v>
      </c>
      <c r="AJ87" s="768">
        <v>1341.3351520000001</v>
      </c>
      <c r="AK87" s="768">
        <v>1224.614327</v>
      </c>
      <c r="AL87" s="768">
        <v>500.44137799999999</v>
      </c>
      <c r="AM87" s="768">
        <v>310.38394799999998</v>
      </c>
      <c r="AN87" s="475"/>
      <c r="AO87" s="769">
        <v>2010</v>
      </c>
      <c r="AP87" s="770">
        <v>6879.9817229999981</v>
      </c>
      <c r="AQ87" s="770">
        <v>981.92658399999971</v>
      </c>
      <c r="AR87" s="770">
        <v>406.51160000000004</v>
      </c>
      <c r="AS87" s="770">
        <v>3670.2834749999997</v>
      </c>
      <c r="AT87" s="770">
        <v>1232.3693209999997</v>
      </c>
      <c r="AU87" s="770">
        <v>588.89074300000004</v>
      </c>
      <c r="AV87" s="770">
        <v>1341.3351520000001</v>
      </c>
      <c r="AW87" s="770">
        <v>1224.614327</v>
      </c>
      <c r="AX87" s="770">
        <v>500.44137799999999</v>
      </c>
      <c r="AY87" s="770">
        <v>310.38394799999998</v>
      </c>
      <c r="AZ87" s="166"/>
      <c r="BA87" s="484">
        <v>2010</v>
      </c>
      <c r="BB87" s="485">
        <v>6900.4928179999997</v>
      </c>
      <c r="BC87" s="485">
        <v>985.55328499999985</v>
      </c>
      <c r="BD87" s="485">
        <v>408.06789800000007</v>
      </c>
      <c r="BE87" s="485">
        <v>3669.5353330000003</v>
      </c>
      <c r="BF87" s="485">
        <v>1242.1929150000001</v>
      </c>
      <c r="BG87" s="485">
        <v>595.14338699999985</v>
      </c>
      <c r="BH87" s="485">
        <v>1359.821465</v>
      </c>
      <c r="BI87" s="485">
        <v>1205.624648</v>
      </c>
      <c r="BJ87" s="485">
        <v>501.43161700000002</v>
      </c>
      <c r="BK87" s="485">
        <v>312.24711600000001</v>
      </c>
      <c r="BL87" s="477"/>
      <c r="BM87" s="486">
        <v>2010</v>
      </c>
      <c r="BN87" s="487">
        <v>6900.4928179999997</v>
      </c>
      <c r="BO87" s="488">
        <v>985.55328499999985</v>
      </c>
      <c r="BP87" s="488">
        <v>408.06789800000007</v>
      </c>
      <c r="BQ87" s="488">
        <v>3669.5353330000003</v>
      </c>
      <c r="BR87" s="488">
        <v>1242.1929150000001</v>
      </c>
      <c r="BS87" s="488">
        <v>595.14338699999985</v>
      </c>
      <c r="BT87" s="488">
        <v>1359.821465</v>
      </c>
      <c r="BU87" s="488">
        <v>1205.624648</v>
      </c>
      <c r="BV87" s="488">
        <v>501.43161700000002</v>
      </c>
      <c r="BW87" s="488">
        <v>312.24711600000001</v>
      </c>
      <c r="BX87" s="476"/>
      <c r="BY87" s="771">
        <v>2010</v>
      </c>
      <c r="BZ87" s="772">
        <v>6900.4928179999997</v>
      </c>
      <c r="CA87" s="772">
        <v>985.55328499999985</v>
      </c>
      <c r="CB87" s="772">
        <v>408.06789800000007</v>
      </c>
      <c r="CC87" s="772">
        <v>3669.5353330000003</v>
      </c>
      <c r="CD87" s="772">
        <v>1242.1929150000001</v>
      </c>
      <c r="CE87" s="772">
        <v>595.14338699999985</v>
      </c>
      <c r="CF87" s="772">
        <v>1359.821465</v>
      </c>
      <c r="CG87" s="772">
        <v>1205.624648</v>
      </c>
      <c r="CH87" s="772">
        <v>501.43161700000002</v>
      </c>
      <c r="CI87" s="772">
        <v>312.24711600000001</v>
      </c>
      <c r="CJ87" s="166"/>
      <c r="CK87" s="766"/>
      <c r="CL87" s="773"/>
      <c r="CM87" s="774"/>
      <c r="CN87" s="774"/>
      <c r="CO87" s="774"/>
      <c r="CP87" s="774"/>
      <c r="CQ87" s="774"/>
      <c r="CR87" s="774"/>
      <c r="CS87" s="774"/>
      <c r="CT87" s="774"/>
      <c r="CU87" s="774"/>
      <c r="CV87" s="165"/>
      <c r="CW87" s="165"/>
      <c r="CX87" s="165"/>
      <c r="CY87" s="165"/>
      <c r="CZ87" s="165"/>
      <c r="DA87" s="165"/>
      <c r="DB87" s="165"/>
      <c r="DC87" s="165"/>
      <c r="DD87" s="165"/>
      <c r="DE87" s="165"/>
      <c r="DF87" s="165"/>
      <c r="DG87" s="165"/>
      <c r="DH87" s="165"/>
      <c r="DI87" s="165"/>
      <c r="DJ87" s="165"/>
      <c r="DK87" s="165"/>
      <c r="DL87" s="165"/>
      <c r="DM87" s="165"/>
      <c r="DN87" s="165"/>
      <c r="DO87" s="165"/>
      <c r="DP87" s="165"/>
      <c r="DQ87" s="165"/>
      <c r="DR87" s="165"/>
      <c r="DS87" s="165"/>
      <c r="DT87" s="165"/>
      <c r="DU87" s="165"/>
      <c r="DV87" s="165"/>
      <c r="DW87" s="165"/>
      <c r="DX87" s="165"/>
      <c r="DY87" s="165"/>
      <c r="DZ87" s="165"/>
      <c r="EA87" s="165"/>
      <c r="EB87" s="165"/>
      <c r="EC87" s="165"/>
      <c r="ED87" s="165"/>
      <c r="EE87" s="165"/>
      <c r="EF87" s="479"/>
      <c r="EG87" s="479"/>
      <c r="EH87" s="479"/>
      <c r="EI87" s="479"/>
      <c r="EJ87" s="479"/>
      <c r="EK87" s="479"/>
      <c r="EL87" s="479"/>
      <c r="EM87" s="479"/>
      <c r="EN87" s="479"/>
      <c r="EO87" s="479"/>
    </row>
    <row r="88" spans="5:145" s="746" customFormat="1" ht="14.4" hidden="1" x14ac:dyDescent="0.55000000000000004">
      <c r="E88" s="767">
        <v>2011</v>
      </c>
      <c r="F88" s="768">
        <v>6957.8870109999989</v>
      </c>
      <c r="G88" s="768">
        <v>987.82932199999993</v>
      </c>
      <c r="H88" s="768">
        <v>406.83516099999986</v>
      </c>
      <c r="I88" s="768">
        <v>3707.1882499999992</v>
      </c>
      <c r="J88" s="768">
        <v>1260.6092170000004</v>
      </c>
      <c r="K88" s="768">
        <v>595.42506099999991</v>
      </c>
      <c r="L88" s="768">
        <v>1347.5653239999999</v>
      </c>
      <c r="M88" s="768">
        <v>1241.4919600000001</v>
      </c>
      <c r="N88" s="768">
        <v>501.91528599999992</v>
      </c>
      <c r="O88" s="768">
        <v>313.08537999999999</v>
      </c>
      <c r="P88" s="475"/>
      <c r="Q88" s="767">
        <v>2011</v>
      </c>
      <c r="R88" s="768">
        <v>6957.8870109999989</v>
      </c>
      <c r="S88" s="768">
        <v>987.82932199999993</v>
      </c>
      <c r="T88" s="768">
        <v>406.83516099999986</v>
      </c>
      <c r="U88" s="768">
        <v>3707.1882499999992</v>
      </c>
      <c r="V88" s="768">
        <v>1260.6092170000004</v>
      </c>
      <c r="W88" s="768">
        <v>595.42506099999991</v>
      </c>
      <c r="X88" s="768">
        <v>1347.5653239999999</v>
      </c>
      <c r="Y88" s="768">
        <v>1241.4919600000001</v>
      </c>
      <c r="Z88" s="768">
        <v>501.91528599999992</v>
      </c>
      <c r="AA88" s="768">
        <v>313.08537999999999</v>
      </c>
      <c r="AB88" s="480"/>
      <c r="AC88" s="767">
        <v>2011</v>
      </c>
      <c r="AD88" s="768">
        <v>6957.8870109999989</v>
      </c>
      <c r="AE88" s="768">
        <v>987.82932199999993</v>
      </c>
      <c r="AF88" s="768">
        <v>406.83516099999986</v>
      </c>
      <c r="AG88" s="768">
        <v>3707.1882499999992</v>
      </c>
      <c r="AH88" s="768">
        <v>1260.6092170000004</v>
      </c>
      <c r="AI88" s="768">
        <v>595.42506099999991</v>
      </c>
      <c r="AJ88" s="768">
        <v>1347.5653239999999</v>
      </c>
      <c r="AK88" s="768">
        <v>1241.4919600000001</v>
      </c>
      <c r="AL88" s="768">
        <v>501.91528599999992</v>
      </c>
      <c r="AM88" s="768">
        <v>313.08537999999999</v>
      </c>
      <c r="AN88" s="475"/>
      <c r="AO88" s="769">
        <v>2011</v>
      </c>
      <c r="AP88" s="770">
        <v>6957.8870109999989</v>
      </c>
      <c r="AQ88" s="770">
        <v>987.82932199999993</v>
      </c>
      <c r="AR88" s="770">
        <v>406.83516099999986</v>
      </c>
      <c r="AS88" s="770">
        <v>3707.1882499999992</v>
      </c>
      <c r="AT88" s="770">
        <v>1260.6092170000004</v>
      </c>
      <c r="AU88" s="770">
        <v>595.42506099999991</v>
      </c>
      <c r="AV88" s="770">
        <v>1347.5653239999999</v>
      </c>
      <c r="AW88" s="770">
        <v>1241.4919600000001</v>
      </c>
      <c r="AX88" s="770">
        <v>501.91528599999992</v>
      </c>
      <c r="AY88" s="770">
        <v>313.08537999999999</v>
      </c>
      <c r="AZ88" s="166"/>
      <c r="BA88" s="484">
        <v>2011</v>
      </c>
      <c r="BB88" s="485">
        <v>6982.1020779999999</v>
      </c>
      <c r="BC88" s="485">
        <v>991.49477899999999</v>
      </c>
      <c r="BD88" s="485">
        <v>408.39947700000005</v>
      </c>
      <c r="BE88" s="485">
        <v>3707.4929979999997</v>
      </c>
      <c r="BF88" s="485">
        <v>1272.8017679999998</v>
      </c>
      <c r="BG88" s="485">
        <v>601.9130560000001</v>
      </c>
      <c r="BH88" s="485">
        <v>1368.4403</v>
      </c>
      <c r="BI88" s="485">
        <v>1221.1563189999999</v>
      </c>
      <c r="BJ88" s="485">
        <v>502.83061500000008</v>
      </c>
      <c r="BK88" s="485">
        <v>314.91175199999998</v>
      </c>
      <c r="BL88" s="477"/>
      <c r="BM88" s="486">
        <v>2011</v>
      </c>
      <c r="BN88" s="487">
        <v>6982.1020779999999</v>
      </c>
      <c r="BO88" s="488">
        <v>991.49477899999999</v>
      </c>
      <c r="BP88" s="488">
        <v>408.39947700000005</v>
      </c>
      <c r="BQ88" s="488">
        <v>3707.4929979999997</v>
      </c>
      <c r="BR88" s="488">
        <v>1272.8017679999998</v>
      </c>
      <c r="BS88" s="488">
        <v>601.9130560000001</v>
      </c>
      <c r="BT88" s="488">
        <v>1368.4403</v>
      </c>
      <c r="BU88" s="488">
        <v>1221.1563189999999</v>
      </c>
      <c r="BV88" s="488">
        <v>502.83061500000008</v>
      </c>
      <c r="BW88" s="488">
        <v>314.91175199999998</v>
      </c>
      <c r="BX88" s="476"/>
      <c r="BY88" s="771">
        <v>2011</v>
      </c>
      <c r="BZ88" s="772">
        <v>6982.1020779999999</v>
      </c>
      <c r="CA88" s="772">
        <v>991.49477899999999</v>
      </c>
      <c r="CB88" s="772">
        <v>408.39947700000005</v>
      </c>
      <c r="CC88" s="772">
        <v>3707.4929979999997</v>
      </c>
      <c r="CD88" s="772">
        <v>1272.8017679999998</v>
      </c>
      <c r="CE88" s="772">
        <v>601.9130560000001</v>
      </c>
      <c r="CF88" s="772">
        <v>1368.4403</v>
      </c>
      <c r="CG88" s="772">
        <v>1221.1563189999999</v>
      </c>
      <c r="CH88" s="772">
        <v>502.83061500000008</v>
      </c>
      <c r="CI88" s="772">
        <v>314.91175199999998</v>
      </c>
      <c r="CJ88" s="166"/>
      <c r="CK88" s="766"/>
      <c r="CL88" s="773"/>
      <c r="CM88" s="774"/>
      <c r="CN88" s="774"/>
      <c r="CO88" s="774"/>
      <c r="CP88" s="774"/>
      <c r="CQ88" s="774"/>
      <c r="CR88" s="774"/>
      <c r="CS88" s="774"/>
      <c r="CT88" s="774"/>
      <c r="CU88" s="774"/>
      <c r="CV88" s="165"/>
      <c r="CW88" s="165"/>
      <c r="CX88" s="165"/>
      <c r="CY88" s="165"/>
      <c r="CZ88" s="165"/>
      <c r="DA88" s="165"/>
      <c r="DB88" s="165"/>
      <c r="DC88" s="165"/>
      <c r="DD88" s="165"/>
      <c r="DE88" s="165"/>
      <c r="DF88" s="165"/>
      <c r="DG88" s="165"/>
      <c r="DH88" s="165"/>
      <c r="DI88" s="165"/>
      <c r="DJ88" s="165"/>
      <c r="DK88" s="165"/>
      <c r="DL88" s="165"/>
      <c r="DM88" s="165"/>
      <c r="DN88" s="165"/>
      <c r="DO88" s="165"/>
      <c r="DP88" s="165"/>
      <c r="DQ88" s="165"/>
      <c r="DR88" s="165"/>
      <c r="DS88" s="165"/>
      <c r="DT88" s="165"/>
      <c r="DU88" s="165"/>
      <c r="DV88" s="165"/>
      <c r="DW88" s="165"/>
      <c r="DX88" s="165"/>
      <c r="DY88" s="165"/>
      <c r="DZ88" s="165"/>
      <c r="EA88" s="165"/>
      <c r="EB88" s="165"/>
      <c r="EC88" s="165"/>
      <c r="ED88" s="165"/>
      <c r="EE88" s="165"/>
      <c r="EF88" s="479"/>
      <c r="EG88" s="479"/>
      <c r="EH88" s="479"/>
      <c r="EI88" s="479"/>
      <c r="EJ88" s="479"/>
      <c r="EK88" s="479"/>
      <c r="EL88" s="479"/>
      <c r="EM88" s="479"/>
      <c r="EN88" s="479"/>
      <c r="EO88" s="479"/>
    </row>
    <row r="89" spans="5:145" s="746" customFormat="1" ht="14.4" hidden="1" x14ac:dyDescent="0.55000000000000004">
      <c r="E89" s="767">
        <v>2012</v>
      </c>
      <c r="F89" s="768">
        <v>7035.7335069999999</v>
      </c>
      <c r="G89" s="768">
        <v>993.45239700000013</v>
      </c>
      <c r="H89" s="768">
        <v>407.13851299999988</v>
      </c>
      <c r="I89" s="768">
        <v>3744.0834100000002</v>
      </c>
      <c r="J89" s="768">
        <v>1289.1007659999998</v>
      </c>
      <c r="K89" s="768">
        <v>601.95842100000004</v>
      </c>
      <c r="L89" s="768">
        <v>1353.6006869999999</v>
      </c>
      <c r="M89" s="768">
        <v>1258.3509709999998</v>
      </c>
      <c r="N89" s="768">
        <v>503.17851499999995</v>
      </c>
      <c r="O89" s="768">
        <v>315.79128399999996</v>
      </c>
      <c r="P89" s="475"/>
      <c r="Q89" s="767">
        <v>2012</v>
      </c>
      <c r="R89" s="768">
        <v>7035.7335069999999</v>
      </c>
      <c r="S89" s="768">
        <v>993.45239700000013</v>
      </c>
      <c r="T89" s="768">
        <v>407.13851299999988</v>
      </c>
      <c r="U89" s="768">
        <v>3744.0834100000002</v>
      </c>
      <c r="V89" s="768">
        <v>1289.1007659999998</v>
      </c>
      <c r="W89" s="768">
        <v>601.95842100000004</v>
      </c>
      <c r="X89" s="768">
        <v>1353.6006869999999</v>
      </c>
      <c r="Y89" s="768">
        <v>1258.3509709999998</v>
      </c>
      <c r="Z89" s="768">
        <v>503.17851499999995</v>
      </c>
      <c r="AA89" s="768">
        <v>315.79128399999996</v>
      </c>
      <c r="AB89" s="480"/>
      <c r="AC89" s="767">
        <v>2012</v>
      </c>
      <c r="AD89" s="768">
        <v>7035.7335069999999</v>
      </c>
      <c r="AE89" s="768">
        <v>993.45239700000013</v>
      </c>
      <c r="AF89" s="768">
        <v>407.13851299999988</v>
      </c>
      <c r="AG89" s="768">
        <v>3744.0834100000002</v>
      </c>
      <c r="AH89" s="768">
        <v>1289.1007659999998</v>
      </c>
      <c r="AI89" s="768">
        <v>601.95842100000004</v>
      </c>
      <c r="AJ89" s="768">
        <v>1353.6006869999999</v>
      </c>
      <c r="AK89" s="768">
        <v>1258.3509709999998</v>
      </c>
      <c r="AL89" s="768">
        <v>503.17851499999995</v>
      </c>
      <c r="AM89" s="768">
        <v>315.79128399999996</v>
      </c>
      <c r="AN89" s="475"/>
      <c r="AO89" s="769">
        <v>2012</v>
      </c>
      <c r="AP89" s="770">
        <v>7035.7335069999999</v>
      </c>
      <c r="AQ89" s="770">
        <v>993.45239700000013</v>
      </c>
      <c r="AR89" s="770">
        <v>407.13851299999988</v>
      </c>
      <c r="AS89" s="770">
        <v>3744.0834100000002</v>
      </c>
      <c r="AT89" s="770">
        <v>1289.1007659999998</v>
      </c>
      <c r="AU89" s="770">
        <v>601.95842100000004</v>
      </c>
      <c r="AV89" s="770">
        <v>1353.6006869999999</v>
      </c>
      <c r="AW89" s="770">
        <v>1258.3509709999998</v>
      </c>
      <c r="AX89" s="770">
        <v>503.17851499999995</v>
      </c>
      <c r="AY89" s="770">
        <v>315.79128399999996</v>
      </c>
      <c r="AZ89" s="166"/>
      <c r="BA89" s="484">
        <v>2012</v>
      </c>
      <c r="BB89" s="485">
        <v>7063.9613260000006</v>
      </c>
      <c r="BC89" s="485">
        <v>997.14851899999996</v>
      </c>
      <c r="BD89" s="485">
        <v>408.63554599999998</v>
      </c>
      <c r="BE89" s="485">
        <v>3745.6148310000003</v>
      </c>
      <c r="BF89" s="485">
        <v>1303.8296150000006</v>
      </c>
      <c r="BG89" s="485">
        <v>608.73281500000007</v>
      </c>
      <c r="BH89" s="485">
        <v>1377.0649069999999</v>
      </c>
      <c r="BI89" s="485">
        <v>1236.6867320000001</v>
      </c>
      <c r="BJ89" s="485">
        <v>504.07142299999998</v>
      </c>
      <c r="BK89" s="485">
        <v>317.50526600000001</v>
      </c>
      <c r="BL89" s="477"/>
      <c r="BM89" s="486">
        <v>2012</v>
      </c>
      <c r="BN89" s="487">
        <v>7063.9613260000006</v>
      </c>
      <c r="BO89" s="488">
        <v>997.14851899999996</v>
      </c>
      <c r="BP89" s="488">
        <v>408.63554599999998</v>
      </c>
      <c r="BQ89" s="488">
        <v>3745.6148310000003</v>
      </c>
      <c r="BR89" s="488">
        <v>1303.8296150000006</v>
      </c>
      <c r="BS89" s="488">
        <v>608.73281500000007</v>
      </c>
      <c r="BT89" s="488">
        <v>1377.0649069999999</v>
      </c>
      <c r="BU89" s="488">
        <v>1236.6867320000001</v>
      </c>
      <c r="BV89" s="488">
        <v>504.07142299999998</v>
      </c>
      <c r="BW89" s="488">
        <v>317.50526600000001</v>
      </c>
      <c r="BX89" s="476"/>
      <c r="BY89" s="771">
        <v>2012</v>
      </c>
      <c r="BZ89" s="772">
        <v>7063.9613260000006</v>
      </c>
      <c r="CA89" s="772">
        <v>997.14851899999996</v>
      </c>
      <c r="CB89" s="772">
        <v>408.63554599999998</v>
      </c>
      <c r="CC89" s="772">
        <v>3745.6148310000003</v>
      </c>
      <c r="CD89" s="772">
        <v>1303.8296150000006</v>
      </c>
      <c r="CE89" s="772">
        <v>608.73281500000007</v>
      </c>
      <c r="CF89" s="772">
        <v>1377.0649069999999</v>
      </c>
      <c r="CG89" s="772">
        <v>1236.6867320000001</v>
      </c>
      <c r="CH89" s="772">
        <v>504.07142299999998</v>
      </c>
      <c r="CI89" s="772">
        <v>317.50526600000001</v>
      </c>
      <c r="CJ89" s="166"/>
      <c r="CK89" s="766"/>
      <c r="CL89" s="773"/>
      <c r="CM89" s="774"/>
      <c r="CN89" s="774"/>
      <c r="CO89" s="774"/>
      <c r="CP89" s="774"/>
      <c r="CQ89" s="774"/>
      <c r="CR89" s="774"/>
      <c r="CS89" s="774"/>
      <c r="CT89" s="774"/>
      <c r="CU89" s="774"/>
      <c r="CV89" s="165"/>
      <c r="CW89" s="165"/>
      <c r="CX89" s="165"/>
      <c r="CY89" s="165"/>
      <c r="CZ89" s="165"/>
      <c r="DA89" s="165"/>
      <c r="DB89" s="165"/>
      <c r="DC89" s="165"/>
      <c r="DD89" s="165"/>
      <c r="DE89" s="165"/>
      <c r="DF89" s="165"/>
      <c r="DG89" s="165"/>
      <c r="DH89" s="165"/>
      <c r="DI89" s="165"/>
      <c r="DJ89" s="165"/>
      <c r="DK89" s="165"/>
      <c r="DL89" s="165"/>
      <c r="DM89" s="165"/>
      <c r="DN89" s="165"/>
      <c r="DO89" s="165"/>
      <c r="DP89" s="165"/>
      <c r="DQ89" s="165"/>
      <c r="DR89" s="165"/>
      <c r="DS89" s="165"/>
      <c r="DT89" s="165"/>
      <c r="DU89" s="165"/>
      <c r="DV89" s="165"/>
      <c r="DW89" s="165"/>
      <c r="DX89" s="165"/>
      <c r="DY89" s="165"/>
      <c r="DZ89" s="165"/>
      <c r="EA89" s="165"/>
      <c r="EB89" s="165"/>
      <c r="EC89" s="165"/>
      <c r="ED89" s="165"/>
      <c r="EE89" s="165"/>
      <c r="EF89" s="479"/>
      <c r="EG89" s="479"/>
      <c r="EH89" s="479"/>
      <c r="EI89" s="479"/>
      <c r="EJ89" s="479"/>
      <c r="EK89" s="479"/>
      <c r="EL89" s="479"/>
      <c r="EM89" s="479"/>
      <c r="EN89" s="479"/>
      <c r="EO89" s="479"/>
    </row>
    <row r="90" spans="5:145" s="746" customFormat="1" ht="14.4" hidden="1" x14ac:dyDescent="0.55000000000000004">
      <c r="E90" s="767">
        <v>2013</v>
      </c>
      <c r="F90" s="768">
        <v>7113.3520230000013</v>
      </c>
      <c r="G90" s="768">
        <v>998.84941000000003</v>
      </c>
      <c r="H90" s="768">
        <v>407.42176800000004</v>
      </c>
      <c r="I90" s="768">
        <v>3780.7268510000008</v>
      </c>
      <c r="J90" s="768">
        <v>1317.8948649999998</v>
      </c>
      <c r="K90" s="768">
        <v>608.45912899999996</v>
      </c>
      <c r="L90" s="768">
        <v>1359.3684699999999</v>
      </c>
      <c r="M90" s="768">
        <v>1275.1378279999999</v>
      </c>
      <c r="N90" s="768">
        <v>504.28307600000005</v>
      </c>
      <c r="O90" s="768">
        <v>318.49763000000002</v>
      </c>
      <c r="P90" s="475"/>
      <c r="Q90" s="767">
        <v>2013</v>
      </c>
      <c r="R90" s="768">
        <v>7113.3520230000013</v>
      </c>
      <c r="S90" s="768">
        <v>998.84941000000003</v>
      </c>
      <c r="T90" s="768">
        <v>407.42176800000004</v>
      </c>
      <c r="U90" s="768">
        <v>3780.7268510000008</v>
      </c>
      <c r="V90" s="768">
        <v>1317.8948649999998</v>
      </c>
      <c r="W90" s="768">
        <v>608.45912899999996</v>
      </c>
      <c r="X90" s="768">
        <v>1359.3684699999999</v>
      </c>
      <c r="Y90" s="768">
        <v>1275.1378279999999</v>
      </c>
      <c r="Z90" s="768">
        <v>504.28307600000005</v>
      </c>
      <c r="AA90" s="768">
        <v>318.49763000000002</v>
      </c>
      <c r="AB90" s="480"/>
      <c r="AC90" s="767">
        <v>2013</v>
      </c>
      <c r="AD90" s="768">
        <v>7113.3520230000013</v>
      </c>
      <c r="AE90" s="768">
        <v>998.84941000000003</v>
      </c>
      <c r="AF90" s="768">
        <v>407.42176800000004</v>
      </c>
      <c r="AG90" s="768">
        <v>3780.7268510000008</v>
      </c>
      <c r="AH90" s="768">
        <v>1317.8948649999998</v>
      </c>
      <c r="AI90" s="768">
        <v>608.45912899999996</v>
      </c>
      <c r="AJ90" s="768">
        <v>1359.3684699999999</v>
      </c>
      <c r="AK90" s="768">
        <v>1275.1378279999999</v>
      </c>
      <c r="AL90" s="768">
        <v>504.28307600000005</v>
      </c>
      <c r="AM90" s="768">
        <v>318.49763000000002</v>
      </c>
      <c r="AN90" s="475"/>
      <c r="AO90" s="769">
        <v>2013</v>
      </c>
      <c r="AP90" s="770">
        <v>7113.3520230000013</v>
      </c>
      <c r="AQ90" s="770">
        <v>998.84941000000003</v>
      </c>
      <c r="AR90" s="770">
        <v>407.42176800000004</v>
      </c>
      <c r="AS90" s="770">
        <v>3780.7268510000008</v>
      </c>
      <c r="AT90" s="770">
        <v>1317.8948649999998</v>
      </c>
      <c r="AU90" s="770">
        <v>608.45912899999996</v>
      </c>
      <c r="AV90" s="770">
        <v>1359.3684699999999</v>
      </c>
      <c r="AW90" s="770">
        <v>1275.1378279999999</v>
      </c>
      <c r="AX90" s="770">
        <v>504.28307600000005</v>
      </c>
      <c r="AY90" s="770">
        <v>318.49763000000002</v>
      </c>
      <c r="AZ90" s="166"/>
      <c r="BA90" s="484">
        <v>2013</v>
      </c>
      <c r="BB90" s="485">
        <v>7145.7879749999993</v>
      </c>
      <c r="BC90" s="485">
        <v>1002.561593</v>
      </c>
      <c r="BD90" s="485">
        <v>408.79092999999995</v>
      </c>
      <c r="BE90" s="485">
        <v>3783.6060220000004</v>
      </c>
      <c r="BF90" s="485">
        <v>1335.2711899999997</v>
      </c>
      <c r="BG90" s="485">
        <v>615.55824000000007</v>
      </c>
      <c r="BH90" s="485">
        <v>1385.5665369999999</v>
      </c>
      <c r="BI90" s="485">
        <v>1252.139596</v>
      </c>
      <c r="BJ90" s="485">
        <v>505.18267599999996</v>
      </c>
      <c r="BK90" s="485">
        <v>320.05071600000002</v>
      </c>
      <c r="BL90" s="477"/>
      <c r="BM90" s="486">
        <v>2013</v>
      </c>
      <c r="BN90" s="487">
        <v>7145.7879749999993</v>
      </c>
      <c r="BO90" s="488">
        <v>1002.561593</v>
      </c>
      <c r="BP90" s="488">
        <v>408.79092999999995</v>
      </c>
      <c r="BQ90" s="488">
        <v>3783.6060220000004</v>
      </c>
      <c r="BR90" s="488">
        <v>1335.2711899999997</v>
      </c>
      <c r="BS90" s="488">
        <v>615.55824000000007</v>
      </c>
      <c r="BT90" s="488">
        <v>1385.5665369999999</v>
      </c>
      <c r="BU90" s="488">
        <v>1252.139596</v>
      </c>
      <c r="BV90" s="488">
        <v>505.18267599999996</v>
      </c>
      <c r="BW90" s="488">
        <v>320.05071600000002</v>
      </c>
      <c r="BX90" s="476"/>
      <c r="BY90" s="771">
        <v>2013</v>
      </c>
      <c r="BZ90" s="772">
        <v>7145.7879749999993</v>
      </c>
      <c r="CA90" s="772">
        <v>1002.561593</v>
      </c>
      <c r="CB90" s="772">
        <v>408.79092999999995</v>
      </c>
      <c r="CC90" s="772">
        <v>3783.6060220000004</v>
      </c>
      <c r="CD90" s="772">
        <v>1335.2711899999997</v>
      </c>
      <c r="CE90" s="772">
        <v>615.55824000000007</v>
      </c>
      <c r="CF90" s="772">
        <v>1385.5665369999999</v>
      </c>
      <c r="CG90" s="772">
        <v>1252.139596</v>
      </c>
      <c r="CH90" s="772">
        <v>505.18267599999996</v>
      </c>
      <c r="CI90" s="772">
        <v>320.05071600000002</v>
      </c>
      <c r="CJ90" s="166"/>
      <c r="CK90" s="766"/>
      <c r="CL90" s="773"/>
      <c r="CM90" s="774"/>
      <c r="CN90" s="774"/>
      <c r="CO90" s="774"/>
      <c r="CP90" s="774"/>
      <c r="CQ90" s="774"/>
      <c r="CR90" s="774"/>
      <c r="CS90" s="774"/>
      <c r="CT90" s="774"/>
      <c r="CU90" s="774"/>
      <c r="CV90" s="165"/>
      <c r="CW90" s="165"/>
      <c r="CX90" s="165"/>
      <c r="CY90" s="165"/>
      <c r="CZ90" s="165"/>
      <c r="DA90" s="165"/>
      <c r="DB90" s="165"/>
      <c r="DC90" s="165"/>
      <c r="DD90" s="165"/>
      <c r="DE90" s="165"/>
      <c r="DF90" s="165"/>
      <c r="DG90" s="165"/>
      <c r="DH90" s="165"/>
      <c r="DI90" s="165"/>
      <c r="DJ90" s="165"/>
      <c r="DK90" s="165"/>
      <c r="DL90" s="165"/>
      <c r="DM90" s="165"/>
      <c r="DN90" s="165"/>
      <c r="DO90" s="165"/>
      <c r="DP90" s="165"/>
      <c r="DQ90" s="165"/>
      <c r="DR90" s="165"/>
      <c r="DS90" s="165"/>
      <c r="DT90" s="165"/>
      <c r="DU90" s="165"/>
      <c r="DV90" s="165"/>
      <c r="DW90" s="165"/>
      <c r="DX90" s="165"/>
      <c r="DY90" s="165"/>
      <c r="DZ90" s="165"/>
      <c r="EA90" s="165"/>
      <c r="EB90" s="165"/>
      <c r="EC90" s="165"/>
      <c r="ED90" s="165"/>
      <c r="EE90" s="165"/>
      <c r="EF90" s="479"/>
      <c r="EG90" s="479"/>
      <c r="EH90" s="479"/>
      <c r="EI90" s="479"/>
      <c r="EJ90" s="479"/>
      <c r="EK90" s="479"/>
      <c r="EL90" s="479"/>
      <c r="EM90" s="479"/>
      <c r="EN90" s="479"/>
      <c r="EO90" s="479"/>
    </row>
    <row r="91" spans="5:145" s="746" customFormat="1" ht="14.4" hidden="1" x14ac:dyDescent="0.55000000000000004">
      <c r="E91" s="767">
        <v>2014</v>
      </c>
      <c r="F91" s="768">
        <v>7190.5342149999997</v>
      </c>
      <c r="G91" s="768">
        <v>1004.1035639999999</v>
      </c>
      <c r="H91" s="768">
        <v>407.69678999999996</v>
      </c>
      <c r="I91" s="768">
        <v>3816.7761170000017</v>
      </c>
      <c r="J91" s="768">
        <v>1347.0771439999994</v>
      </c>
      <c r="K91" s="768">
        <v>614.88059999999984</v>
      </c>
      <c r="L91" s="768">
        <v>1364.773138</v>
      </c>
      <c r="M91" s="768">
        <v>1291.780156</v>
      </c>
      <c r="N91" s="768">
        <v>505.30888300000009</v>
      </c>
      <c r="O91" s="768">
        <v>321.19744400000002</v>
      </c>
      <c r="P91" s="475"/>
      <c r="Q91" s="767">
        <v>2014</v>
      </c>
      <c r="R91" s="768">
        <v>7190.5342149999997</v>
      </c>
      <c r="S91" s="768">
        <v>1004.1035639999999</v>
      </c>
      <c r="T91" s="768">
        <v>407.69678999999996</v>
      </c>
      <c r="U91" s="768">
        <v>3816.7761170000017</v>
      </c>
      <c r="V91" s="768">
        <v>1347.0771439999994</v>
      </c>
      <c r="W91" s="768">
        <v>614.88059999999984</v>
      </c>
      <c r="X91" s="768">
        <v>1364.773138</v>
      </c>
      <c r="Y91" s="768">
        <v>1291.780156</v>
      </c>
      <c r="Z91" s="768">
        <v>505.30888300000009</v>
      </c>
      <c r="AA91" s="768">
        <v>321.19744400000002</v>
      </c>
      <c r="AB91" s="480"/>
      <c r="AC91" s="767">
        <v>2014</v>
      </c>
      <c r="AD91" s="768">
        <v>7190.5342149999997</v>
      </c>
      <c r="AE91" s="768">
        <v>1004.1035639999999</v>
      </c>
      <c r="AF91" s="768">
        <v>407.69678999999996</v>
      </c>
      <c r="AG91" s="768">
        <v>3816.7761170000017</v>
      </c>
      <c r="AH91" s="768">
        <v>1347.0771439999994</v>
      </c>
      <c r="AI91" s="768">
        <v>614.88059999999984</v>
      </c>
      <c r="AJ91" s="768">
        <v>1364.773138</v>
      </c>
      <c r="AK91" s="768">
        <v>1291.780156</v>
      </c>
      <c r="AL91" s="768">
        <v>505.30888300000009</v>
      </c>
      <c r="AM91" s="768">
        <v>321.19744400000002</v>
      </c>
      <c r="AN91" s="475"/>
      <c r="AO91" s="769">
        <v>2014</v>
      </c>
      <c r="AP91" s="770">
        <v>7190.5342149999997</v>
      </c>
      <c r="AQ91" s="770">
        <v>1004.1035639999999</v>
      </c>
      <c r="AR91" s="770">
        <v>407.69678999999996</v>
      </c>
      <c r="AS91" s="770">
        <v>3816.7761170000017</v>
      </c>
      <c r="AT91" s="770">
        <v>1347.0771439999994</v>
      </c>
      <c r="AU91" s="770">
        <v>614.88059999999984</v>
      </c>
      <c r="AV91" s="770">
        <v>1364.773138</v>
      </c>
      <c r="AW91" s="770">
        <v>1291.780156</v>
      </c>
      <c r="AX91" s="770">
        <v>505.30888300000009</v>
      </c>
      <c r="AY91" s="770">
        <v>321.19744400000002</v>
      </c>
      <c r="AZ91" s="166"/>
      <c r="BA91" s="484">
        <v>2014</v>
      </c>
      <c r="BB91" s="485">
        <v>7227.2295750000012</v>
      </c>
      <c r="BC91" s="485">
        <v>1007.8091340000001</v>
      </c>
      <c r="BD91" s="485">
        <v>408.90161899999993</v>
      </c>
      <c r="BE91" s="485">
        <v>3821.0551840000003</v>
      </c>
      <c r="BF91" s="485">
        <v>1367.1403659999999</v>
      </c>
      <c r="BG91" s="485">
        <v>622.32327200000009</v>
      </c>
      <c r="BH91" s="485">
        <v>1393.7838359999998</v>
      </c>
      <c r="BI91" s="485">
        <v>1267.4018489999999</v>
      </c>
      <c r="BJ91" s="485">
        <v>506.20892700000002</v>
      </c>
      <c r="BK91" s="485">
        <v>322.58300600000001</v>
      </c>
      <c r="BL91" s="477"/>
      <c r="BM91" s="486">
        <v>2014</v>
      </c>
      <c r="BN91" s="487">
        <v>7227.2295750000012</v>
      </c>
      <c r="BO91" s="488">
        <v>1007.8091340000001</v>
      </c>
      <c r="BP91" s="488">
        <v>408.90161899999993</v>
      </c>
      <c r="BQ91" s="488">
        <v>3821.0551840000003</v>
      </c>
      <c r="BR91" s="488">
        <v>1367.1403659999999</v>
      </c>
      <c r="BS91" s="488">
        <v>622.32327200000009</v>
      </c>
      <c r="BT91" s="488">
        <v>1393.7838359999998</v>
      </c>
      <c r="BU91" s="488">
        <v>1267.4018489999999</v>
      </c>
      <c r="BV91" s="488">
        <v>506.20892700000002</v>
      </c>
      <c r="BW91" s="488">
        <v>322.58300600000001</v>
      </c>
      <c r="BX91" s="476"/>
      <c r="BY91" s="769">
        <v>2014</v>
      </c>
      <c r="BZ91" s="770">
        <v>7249.212595</v>
      </c>
      <c r="CA91" s="770">
        <v>1002.4128040000002</v>
      </c>
      <c r="CB91" s="770">
        <v>408.70810200000011</v>
      </c>
      <c r="CC91" s="770">
        <v>3825.4290319999996</v>
      </c>
      <c r="CD91" s="770">
        <v>1386.1218609999999</v>
      </c>
      <c r="CE91" s="770">
        <v>626.540796</v>
      </c>
      <c r="CF91" s="770">
        <v>1369.4356699999998</v>
      </c>
      <c r="CG91" s="770">
        <v>1295.291543</v>
      </c>
      <c r="CH91" s="770">
        <v>500.41086999999993</v>
      </c>
      <c r="CI91" s="770">
        <v>319.44863400000003</v>
      </c>
      <c r="CJ91" s="166"/>
      <c r="CK91" s="766"/>
      <c r="CL91" s="773"/>
      <c r="CM91" s="774"/>
      <c r="CN91" s="774"/>
      <c r="CO91" s="774"/>
      <c r="CP91" s="774"/>
      <c r="CQ91" s="774"/>
      <c r="CR91" s="774"/>
      <c r="CS91" s="774"/>
      <c r="CT91" s="774"/>
      <c r="CU91" s="774"/>
      <c r="CV91" s="165"/>
      <c r="CW91" s="165"/>
      <c r="CX91" s="165"/>
      <c r="CY91" s="165"/>
      <c r="CZ91" s="165"/>
      <c r="DA91" s="165"/>
      <c r="DB91" s="165"/>
      <c r="DC91" s="165"/>
      <c r="DD91" s="165"/>
      <c r="DE91" s="165"/>
      <c r="DF91" s="165"/>
      <c r="DG91" s="165"/>
      <c r="DH91" s="165"/>
      <c r="DI91" s="766"/>
      <c r="DJ91" s="775"/>
      <c r="DK91" s="775"/>
      <c r="DL91" s="775"/>
      <c r="DM91" s="775"/>
      <c r="DN91" s="775"/>
      <c r="DO91" s="775"/>
      <c r="DP91" s="775"/>
      <c r="DQ91" s="775"/>
      <c r="DR91" s="775"/>
      <c r="DS91" s="775"/>
      <c r="DT91" s="165"/>
      <c r="DU91" s="766"/>
      <c r="DV91" s="775"/>
      <c r="DW91" s="775"/>
      <c r="DX91" s="775"/>
      <c r="DY91" s="775"/>
      <c r="DZ91" s="775"/>
      <c r="EA91" s="775"/>
      <c r="EB91" s="775"/>
      <c r="EC91" s="775"/>
      <c r="ED91" s="775"/>
      <c r="EE91" s="775"/>
      <c r="EF91" s="479"/>
      <c r="EG91" s="479"/>
      <c r="EH91" s="479"/>
      <c r="EI91" s="479"/>
      <c r="EJ91" s="479"/>
      <c r="EK91" s="479"/>
      <c r="EL91" s="479"/>
      <c r="EM91" s="479"/>
      <c r="EN91" s="479"/>
      <c r="EO91" s="479"/>
    </row>
    <row r="92" spans="5:145" s="746" customFormat="1" ht="14.4" hidden="1" x14ac:dyDescent="0.55000000000000004">
      <c r="E92" s="767">
        <v>2015</v>
      </c>
      <c r="F92" s="768">
        <v>7267.1053290000009</v>
      </c>
      <c r="G92" s="768">
        <v>1009.275623</v>
      </c>
      <c r="H92" s="768">
        <v>407.96914000000004</v>
      </c>
      <c r="I92" s="768">
        <v>3851.9705890000005</v>
      </c>
      <c r="J92" s="768">
        <v>1376.7026930000002</v>
      </c>
      <c r="K92" s="768">
        <v>621.18728399999998</v>
      </c>
      <c r="L92" s="768">
        <v>1369.742518</v>
      </c>
      <c r="M92" s="768">
        <v>1308.220695</v>
      </c>
      <c r="N92" s="768">
        <v>506.3146109999999</v>
      </c>
      <c r="O92" s="768">
        <v>323.88514000000004</v>
      </c>
      <c r="P92" s="475"/>
      <c r="Q92" s="767">
        <v>2015</v>
      </c>
      <c r="R92" s="768">
        <v>7267.1053290000009</v>
      </c>
      <c r="S92" s="768">
        <v>1009.275623</v>
      </c>
      <c r="T92" s="768">
        <v>407.96914000000004</v>
      </c>
      <c r="U92" s="768">
        <v>3851.9705890000005</v>
      </c>
      <c r="V92" s="768">
        <v>1376.7026930000002</v>
      </c>
      <c r="W92" s="768">
        <v>621.18728399999998</v>
      </c>
      <c r="X92" s="768">
        <v>1369.742518</v>
      </c>
      <c r="Y92" s="768">
        <v>1308.220695</v>
      </c>
      <c r="Z92" s="768">
        <v>506.3146109999999</v>
      </c>
      <c r="AA92" s="768">
        <v>323.88514000000004</v>
      </c>
      <c r="AB92" s="480"/>
      <c r="AC92" s="767">
        <v>2015</v>
      </c>
      <c r="AD92" s="768">
        <v>7267.1053290000009</v>
      </c>
      <c r="AE92" s="768">
        <v>1009.275623</v>
      </c>
      <c r="AF92" s="768">
        <v>407.96914000000004</v>
      </c>
      <c r="AG92" s="768">
        <v>3851.9705890000005</v>
      </c>
      <c r="AH92" s="768">
        <v>1376.7026930000002</v>
      </c>
      <c r="AI92" s="768">
        <v>621.18728399999998</v>
      </c>
      <c r="AJ92" s="768">
        <v>1369.742518</v>
      </c>
      <c r="AK92" s="768">
        <v>1308.220695</v>
      </c>
      <c r="AL92" s="768">
        <v>506.3146109999999</v>
      </c>
      <c r="AM92" s="768">
        <v>323.88514000000004</v>
      </c>
      <c r="AN92" s="475"/>
      <c r="AO92" s="769">
        <v>2015</v>
      </c>
      <c r="AP92" s="770">
        <v>7267.1053290000009</v>
      </c>
      <c r="AQ92" s="770">
        <v>1009.275623</v>
      </c>
      <c r="AR92" s="770">
        <v>407.96914000000004</v>
      </c>
      <c r="AS92" s="770">
        <v>3851.9705890000005</v>
      </c>
      <c r="AT92" s="770">
        <v>1376.7026930000002</v>
      </c>
      <c r="AU92" s="770">
        <v>621.18728399999998</v>
      </c>
      <c r="AV92" s="770">
        <v>1369.742518</v>
      </c>
      <c r="AW92" s="770">
        <v>1308.220695</v>
      </c>
      <c r="AX92" s="770">
        <v>506.3146109999999</v>
      </c>
      <c r="AY92" s="770">
        <v>323.88514000000004</v>
      </c>
      <c r="AZ92" s="166"/>
      <c r="BA92" s="484">
        <v>2015</v>
      </c>
      <c r="BB92" s="485">
        <v>7308.0043649999998</v>
      </c>
      <c r="BC92" s="485">
        <v>1012.9474660000003</v>
      </c>
      <c r="BD92" s="485">
        <v>408.99135500000011</v>
      </c>
      <c r="BE92" s="485">
        <v>3857.6452050000007</v>
      </c>
      <c r="BF92" s="485">
        <v>1399.4418850000002</v>
      </c>
      <c r="BG92" s="485">
        <v>628.97845400000006</v>
      </c>
      <c r="BH92" s="485">
        <v>1401.586609</v>
      </c>
      <c r="BI92" s="485">
        <v>1282.3903030000001</v>
      </c>
      <c r="BJ92" s="485">
        <v>507.18292000000002</v>
      </c>
      <c r="BK92" s="485">
        <v>325.127634</v>
      </c>
      <c r="BL92" s="477"/>
      <c r="BM92" s="486">
        <v>2015</v>
      </c>
      <c r="BN92" s="487">
        <v>7308.0043649999998</v>
      </c>
      <c r="BO92" s="488">
        <v>1012.9474660000003</v>
      </c>
      <c r="BP92" s="488">
        <v>408.99135500000011</v>
      </c>
      <c r="BQ92" s="488">
        <v>3857.6452050000007</v>
      </c>
      <c r="BR92" s="488">
        <v>1399.4418850000002</v>
      </c>
      <c r="BS92" s="488">
        <v>628.97845400000006</v>
      </c>
      <c r="BT92" s="488">
        <v>1401.586609</v>
      </c>
      <c r="BU92" s="488">
        <v>1282.3903030000001</v>
      </c>
      <c r="BV92" s="488">
        <v>507.18292000000002</v>
      </c>
      <c r="BW92" s="488">
        <v>325.127634</v>
      </c>
      <c r="BX92" s="476"/>
      <c r="BY92" s="769">
        <v>2015</v>
      </c>
      <c r="BZ92" s="770">
        <v>7332.6242889999994</v>
      </c>
      <c r="CA92" s="770">
        <v>1007.3414610000001</v>
      </c>
      <c r="CB92" s="770">
        <v>409.34388599999994</v>
      </c>
      <c r="CC92" s="770">
        <v>3862.81194</v>
      </c>
      <c r="CD92" s="770">
        <v>1419.8555409999994</v>
      </c>
      <c r="CE92" s="770">
        <v>633.27146100000004</v>
      </c>
      <c r="CF92" s="770">
        <v>1376.048943</v>
      </c>
      <c r="CG92" s="770">
        <v>1311.0505270000001</v>
      </c>
      <c r="CH92" s="770">
        <v>500.91008400000004</v>
      </c>
      <c r="CI92" s="770">
        <v>321.77363099999997</v>
      </c>
      <c r="CJ92" s="166"/>
      <c r="CK92" s="766"/>
      <c r="CL92" s="773"/>
      <c r="CM92" s="774"/>
      <c r="CN92" s="774"/>
      <c r="CO92" s="774"/>
      <c r="CP92" s="774"/>
      <c r="CQ92" s="774"/>
      <c r="CR92" s="774"/>
      <c r="CS92" s="774"/>
      <c r="CT92" s="774"/>
      <c r="CU92" s="774"/>
      <c r="CV92" s="165"/>
      <c r="CW92" s="165"/>
      <c r="CX92" s="165"/>
      <c r="CY92" s="165"/>
      <c r="CZ92" s="165"/>
      <c r="DA92" s="165"/>
      <c r="DB92" s="165"/>
      <c r="DC92" s="165"/>
      <c r="DD92" s="165"/>
      <c r="DE92" s="165"/>
      <c r="DF92" s="165"/>
      <c r="DG92" s="165"/>
      <c r="DH92" s="165"/>
      <c r="DI92" s="766"/>
      <c r="DJ92" s="775"/>
      <c r="DK92" s="775"/>
      <c r="DL92" s="775"/>
      <c r="DM92" s="775"/>
      <c r="DN92" s="775"/>
      <c r="DO92" s="775"/>
      <c r="DP92" s="775"/>
      <c r="DQ92" s="775"/>
      <c r="DR92" s="775"/>
      <c r="DS92" s="775"/>
      <c r="DT92" s="165"/>
      <c r="DU92" s="766"/>
      <c r="DV92" s="775"/>
      <c r="DW92" s="775"/>
      <c r="DX92" s="775"/>
      <c r="DY92" s="775"/>
      <c r="DZ92" s="775"/>
      <c r="EA92" s="775"/>
      <c r="EB92" s="775"/>
      <c r="EC92" s="775"/>
      <c r="ED92" s="775"/>
      <c r="EE92" s="775"/>
      <c r="EF92" s="479"/>
      <c r="EG92" s="479"/>
      <c r="EH92" s="479"/>
      <c r="EI92" s="479"/>
      <c r="EJ92" s="479"/>
      <c r="EK92" s="479"/>
      <c r="EL92" s="479"/>
      <c r="EM92" s="479"/>
      <c r="EN92" s="479"/>
      <c r="EO92" s="479"/>
    </row>
    <row r="93" spans="5:145" s="746" customFormat="1" ht="14.4" hidden="1" x14ac:dyDescent="0.55000000000000004">
      <c r="E93" s="767">
        <v>2016</v>
      </c>
      <c r="F93" s="768">
        <v>7342.9757479999989</v>
      </c>
      <c r="G93" s="768">
        <v>1014.379652</v>
      </c>
      <c r="H93" s="768">
        <v>408.2303940000001</v>
      </c>
      <c r="I93" s="768">
        <v>3886.2186339999998</v>
      </c>
      <c r="J93" s="768">
        <v>1406.7797129999997</v>
      </c>
      <c r="K93" s="768">
        <v>627.36735499999986</v>
      </c>
      <c r="L93" s="768">
        <v>1374.247494</v>
      </c>
      <c r="M93" s="768">
        <v>1324.4352749999998</v>
      </c>
      <c r="N93" s="768">
        <v>507.31433700000002</v>
      </c>
      <c r="O93" s="768">
        <v>326.559707</v>
      </c>
      <c r="P93" s="475"/>
      <c r="Q93" s="767">
        <v>2016</v>
      </c>
      <c r="R93" s="768">
        <v>7342.9757479999989</v>
      </c>
      <c r="S93" s="768">
        <v>1014.379652</v>
      </c>
      <c r="T93" s="768">
        <v>408.2303940000001</v>
      </c>
      <c r="U93" s="768">
        <v>3886.2186339999998</v>
      </c>
      <c r="V93" s="768">
        <v>1406.7797129999997</v>
      </c>
      <c r="W93" s="768">
        <v>627.36735499999986</v>
      </c>
      <c r="X93" s="768">
        <v>1374.247494</v>
      </c>
      <c r="Y93" s="768">
        <v>1324.4352749999998</v>
      </c>
      <c r="Z93" s="768">
        <v>507.31433700000002</v>
      </c>
      <c r="AA93" s="768">
        <v>326.559707</v>
      </c>
      <c r="AB93" s="480"/>
      <c r="AC93" s="767">
        <v>2016</v>
      </c>
      <c r="AD93" s="768">
        <v>7342.9757479999989</v>
      </c>
      <c r="AE93" s="768">
        <v>1014.379652</v>
      </c>
      <c r="AF93" s="768">
        <v>408.2303940000001</v>
      </c>
      <c r="AG93" s="768">
        <v>3886.2186339999998</v>
      </c>
      <c r="AH93" s="768">
        <v>1406.7797129999997</v>
      </c>
      <c r="AI93" s="768">
        <v>627.36735499999986</v>
      </c>
      <c r="AJ93" s="768">
        <v>1374.247494</v>
      </c>
      <c r="AK93" s="768">
        <v>1324.4352749999998</v>
      </c>
      <c r="AL93" s="768">
        <v>507.31433700000002</v>
      </c>
      <c r="AM93" s="768">
        <v>326.559707</v>
      </c>
      <c r="AN93" s="475"/>
      <c r="AO93" s="769">
        <v>2016</v>
      </c>
      <c r="AP93" s="770">
        <v>7342.9757479999989</v>
      </c>
      <c r="AQ93" s="770">
        <v>1014.379652</v>
      </c>
      <c r="AR93" s="770">
        <v>408.2303940000001</v>
      </c>
      <c r="AS93" s="770">
        <v>3886.2186339999998</v>
      </c>
      <c r="AT93" s="770">
        <v>1406.7797129999997</v>
      </c>
      <c r="AU93" s="770">
        <v>627.36735499999986</v>
      </c>
      <c r="AV93" s="770">
        <v>1374.247494</v>
      </c>
      <c r="AW93" s="770">
        <v>1324.4352749999998</v>
      </c>
      <c r="AX93" s="770">
        <v>507.31433700000002</v>
      </c>
      <c r="AY93" s="770">
        <v>326.559707</v>
      </c>
      <c r="AZ93" s="166"/>
      <c r="BA93" s="484">
        <v>2016</v>
      </c>
      <c r="BB93" s="485">
        <v>7387.9765270000007</v>
      </c>
      <c r="BC93" s="485">
        <v>1017.9876410000001</v>
      </c>
      <c r="BD93" s="485">
        <v>409.055744</v>
      </c>
      <c r="BE93" s="485">
        <v>3893.263438</v>
      </c>
      <c r="BF93" s="485">
        <v>1432.1616280000003</v>
      </c>
      <c r="BG93" s="485">
        <v>635.50807600000007</v>
      </c>
      <c r="BH93" s="485">
        <v>1408.9223500000001</v>
      </c>
      <c r="BI93" s="485">
        <v>1297.0748289999999</v>
      </c>
      <c r="BJ93" s="485">
        <v>508.11294799999996</v>
      </c>
      <c r="BK93" s="485">
        <v>327.69012599999996</v>
      </c>
      <c r="BL93" s="477"/>
      <c r="BM93" s="486">
        <v>2016</v>
      </c>
      <c r="BN93" s="487">
        <v>7387.9765270000007</v>
      </c>
      <c r="BO93" s="488">
        <v>1017.9876410000001</v>
      </c>
      <c r="BP93" s="488">
        <v>409.055744</v>
      </c>
      <c r="BQ93" s="488">
        <v>3893.263438</v>
      </c>
      <c r="BR93" s="488">
        <v>1432.1616280000003</v>
      </c>
      <c r="BS93" s="488">
        <v>635.50807600000007</v>
      </c>
      <c r="BT93" s="488">
        <v>1408.9223500000001</v>
      </c>
      <c r="BU93" s="488">
        <v>1297.0748289999999</v>
      </c>
      <c r="BV93" s="488">
        <v>508.11294799999996</v>
      </c>
      <c r="BW93" s="488">
        <v>327.69012599999996</v>
      </c>
      <c r="BX93" s="476"/>
      <c r="BY93" s="769">
        <v>2016</v>
      </c>
      <c r="BZ93" s="770">
        <v>7415.5738320000009</v>
      </c>
      <c r="CA93" s="770">
        <v>1012.1126939999999</v>
      </c>
      <c r="CB93" s="770">
        <v>409.87418600000001</v>
      </c>
      <c r="CC93" s="770">
        <v>3899.6303890000013</v>
      </c>
      <c r="CD93" s="770">
        <v>1454.0559349999999</v>
      </c>
      <c r="CE93" s="770">
        <v>639.90062799999998</v>
      </c>
      <c r="CF93" s="770">
        <v>1382.3233319999999</v>
      </c>
      <c r="CG93" s="770">
        <v>1326.8015759999998</v>
      </c>
      <c r="CH93" s="770">
        <v>501.47209200000009</v>
      </c>
      <c r="CI93" s="770">
        <v>324.118787</v>
      </c>
      <c r="CJ93" s="125"/>
      <c r="CK93" s="766"/>
      <c r="CL93" s="773"/>
      <c r="CM93" s="774"/>
      <c r="CN93" s="774"/>
      <c r="CO93" s="774"/>
      <c r="CP93" s="774"/>
      <c r="CQ93" s="774"/>
      <c r="CR93" s="774"/>
      <c r="CS93" s="774"/>
      <c r="CT93" s="774"/>
      <c r="CU93" s="774"/>
      <c r="CV93" s="478"/>
      <c r="CW93" s="478"/>
      <c r="CX93" s="478"/>
      <c r="CY93" s="478"/>
      <c r="CZ93" s="478"/>
      <c r="DA93" s="478"/>
      <c r="DB93" s="478"/>
      <c r="DC93" s="478"/>
      <c r="DD93" s="478"/>
      <c r="DE93" s="478"/>
      <c r="DF93" s="478"/>
      <c r="DG93" s="478"/>
      <c r="DH93" s="478"/>
      <c r="DI93" s="766"/>
      <c r="DJ93" s="775"/>
      <c r="DK93" s="775"/>
      <c r="DL93" s="775"/>
      <c r="DM93" s="775"/>
      <c r="DN93" s="775"/>
      <c r="DO93" s="775"/>
      <c r="DP93" s="775"/>
      <c r="DQ93" s="775"/>
      <c r="DR93" s="775"/>
      <c r="DS93" s="775"/>
      <c r="DT93" s="478"/>
      <c r="DU93" s="766"/>
      <c r="DV93" s="775"/>
      <c r="DW93" s="775"/>
      <c r="DX93" s="775"/>
      <c r="DY93" s="775"/>
      <c r="DZ93" s="775"/>
      <c r="EA93" s="775"/>
      <c r="EB93" s="775"/>
      <c r="EC93" s="775"/>
      <c r="ED93" s="775"/>
      <c r="EE93" s="775"/>
      <c r="EF93" s="479"/>
      <c r="EG93" s="479"/>
      <c r="EH93" s="479"/>
      <c r="EI93" s="479"/>
      <c r="EJ93" s="479"/>
      <c r="EK93" s="479"/>
      <c r="EL93" s="479"/>
      <c r="EM93" s="479"/>
      <c r="EN93" s="479"/>
      <c r="EO93" s="479"/>
    </row>
    <row r="94" spans="5:145" s="746" customFormat="1" ht="14.4" hidden="1" x14ac:dyDescent="0.55000000000000004">
      <c r="E94" s="767">
        <v>2017</v>
      </c>
      <c r="F94" s="768">
        <v>7418.0914820000007</v>
      </c>
      <c r="G94" s="768">
        <v>1019.3961039999999</v>
      </c>
      <c r="H94" s="768">
        <v>408.46146199999998</v>
      </c>
      <c r="I94" s="768">
        <v>3919.5479389999996</v>
      </c>
      <c r="J94" s="768">
        <v>1437.2607880000005</v>
      </c>
      <c r="K94" s="768">
        <v>633.42518900000005</v>
      </c>
      <c r="L94" s="768">
        <v>1378.293627</v>
      </c>
      <c r="M94" s="768">
        <v>1340.4204850000001</v>
      </c>
      <c r="N94" s="768">
        <v>508.29078499999997</v>
      </c>
      <c r="O94" s="768">
        <v>329.22154399999999</v>
      </c>
      <c r="P94" s="475"/>
      <c r="Q94" s="767">
        <v>2017</v>
      </c>
      <c r="R94" s="768">
        <v>7418.0914820000007</v>
      </c>
      <c r="S94" s="768">
        <v>1019.3961039999999</v>
      </c>
      <c r="T94" s="768">
        <v>408.46146199999998</v>
      </c>
      <c r="U94" s="768">
        <v>3919.5479389999996</v>
      </c>
      <c r="V94" s="768">
        <v>1437.2607880000005</v>
      </c>
      <c r="W94" s="768">
        <v>633.42518900000005</v>
      </c>
      <c r="X94" s="768">
        <v>1378.293627</v>
      </c>
      <c r="Y94" s="768">
        <v>1340.4204850000001</v>
      </c>
      <c r="Z94" s="768">
        <v>508.29078499999997</v>
      </c>
      <c r="AA94" s="768">
        <v>329.22154399999999</v>
      </c>
      <c r="AB94" s="480"/>
      <c r="AC94" s="767">
        <v>2017</v>
      </c>
      <c r="AD94" s="768">
        <v>7418.0914820000007</v>
      </c>
      <c r="AE94" s="768">
        <v>1019.3961039999999</v>
      </c>
      <c r="AF94" s="768">
        <v>408.46146199999998</v>
      </c>
      <c r="AG94" s="768">
        <v>3919.5479389999996</v>
      </c>
      <c r="AH94" s="768">
        <v>1437.2607880000005</v>
      </c>
      <c r="AI94" s="768">
        <v>633.42518900000005</v>
      </c>
      <c r="AJ94" s="768">
        <v>1378.293627</v>
      </c>
      <c r="AK94" s="768">
        <v>1340.4204850000001</v>
      </c>
      <c r="AL94" s="768">
        <v>508.29078499999997</v>
      </c>
      <c r="AM94" s="768">
        <v>329.22154399999999</v>
      </c>
      <c r="AN94" s="475"/>
      <c r="AO94" s="769">
        <v>2017</v>
      </c>
      <c r="AP94" s="770">
        <v>7418.0914820000007</v>
      </c>
      <c r="AQ94" s="770">
        <v>1019.3961039999999</v>
      </c>
      <c r="AR94" s="770">
        <v>408.46146199999998</v>
      </c>
      <c r="AS94" s="770">
        <v>3919.5479389999996</v>
      </c>
      <c r="AT94" s="770">
        <v>1437.2607880000005</v>
      </c>
      <c r="AU94" s="770">
        <v>633.42518900000005</v>
      </c>
      <c r="AV94" s="770">
        <v>1378.293627</v>
      </c>
      <c r="AW94" s="770">
        <v>1340.4204850000001</v>
      </c>
      <c r="AX94" s="770">
        <v>508.29078499999997</v>
      </c>
      <c r="AY94" s="770">
        <v>329.22154399999999</v>
      </c>
      <c r="AZ94" s="166"/>
      <c r="BA94" s="484">
        <v>2017</v>
      </c>
      <c r="BB94" s="485">
        <v>7467.103713999998</v>
      </c>
      <c r="BC94" s="485">
        <v>1022.9153319999999</v>
      </c>
      <c r="BD94" s="485">
        <v>409.07116500000006</v>
      </c>
      <c r="BE94" s="485">
        <v>3927.9277679999991</v>
      </c>
      <c r="BF94" s="485">
        <v>1465.2676319999994</v>
      </c>
      <c r="BG94" s="485">
        <v>641.92181699999992</v>
      </c>
      <c r="BH94" s="485">
        <v>1415.770358</v>
      </c>
      <c r="BI94" s="485">
        <v>1311.4756580000001</v>
      </c>
      <c r="BJ94" s="485">
        <v>508.98925299999996</v>
      </c>
      <c r="BK94" s="485">
        <v>330.26254499999999</v>
      </c>
      <c r="BL94" s="477"/>
      <c r="BM94" s="486">
        <v>2017</v>
      </c>
      <c r="BN94" s="487">
        <v>7467.103713999998</v>
      </c>
      <c r="BO94" s="488">
        <v>1022.9153319999999</v>
      </c>
      <c r="BP94" s="488">
        <v>409.07116500000006</v>
      </c>
      <c r="BQ94" s="488">
        <v>3927.9277679999991</v>
      </c>
      <c r="BR94" s="488">
        <v>1465.2676319999994</v>
      </c>
      <c r="BS94" s="488">
        <v>641.92181699999992</v>
      </c>
      <c r="BT94" s="488">
        <v>1415.770358</v>
      </c>
      <c r="BU94" s="488">
        <v>1311.4756580000001</v>
      </c>
      <c r="BV94" s="488">
        <v>508.98925299999996</v>
      </c>
      <c r="BW94" s="488">
        <v>330.26254499999999</v>
      </c>
      <c r="BX94" s="476"/>
      <c r="BY94" s="769">
        <v>2017</v>
      </c>
      <c r="BZ94" s="770">
        <v>7497.9537600000003</v>
      </c>
      <c r="CA94" s="770">
        <v>1016.7143070000001</v>
      </c>
      <c r="CB94" s="770">
        <v>410.29445199999998</v>
      </c>
      <c r="CC94" s="770">
        <v>3935.8390480000007</v>
      </c>
      <c r="CD94" s="770">
        <v>1488.6826169999999</v>
      </c>
      <c r="CE94" s="770">
        <v>646.42333599999984</v>
      </c>
      <c r="CF94" s="770">
        <v>1388.2326929999999</v>
      </c>
      <c r="CG94" s="770">
        <v>1342.512706</v>
      </c>
      <c r="CH94" s="770">
        <v>502.06964299999999</v>
      </c>
      <c r="CI94" s="770">
        <v>326.47401299999996</v>
      </c>
      <c r="CJ94" s="125"/>
      <c r="CK94" s="766"/>
      <c r="CL94" s="773"/>
      <c r="CM94" s="774"/>
      <c r="CN94" s="774"/>
      <c r="CO94" s="774"/>
      <c r="CP94" s="774"/>
      <c r="CQ94" s="774"/>
      <c r="CR94" s="774"/>
      <c r="CS94" s="774"/>
      <c r="CT94" s="774"/>
      <c r="CU94" s="774"/>
      <c r="CV94" s="478"/>
      <c r="CW94" s="478"/>
      <c r="CX94" s="478"/>
      <c r="CY94" s="478"/>
      <c r="CZ94" s="478"/>
      <c r="DA94" s="478"/>
      <c r="DB94" s="478"/>
      <c r="DC94" s="478"/>
      <c r="DD94" s="478"/>
      <c r="DE94" s="478"/>
      <c r="DF94" s="478"/>
      <c r="DG94" s="478"/>
      <c r="DH94" s="478"/>
      <c r="DI94" s="766"/>
      <c r="DJ94" s="775"/>
      <c r="DK94" s="775"/>
      <c r="DL94" s="775"/>
      <c r="DM94" s="775"/>
      <c r="DN94" s="775"/>
      <c r="DO94" s="775"/>
      <c r="DP94" s="775"/>
      <c r="DQ94" s="775"/>
      <c r="DR94" s="775"/>
      <c r="DS94" s="775"/>
      <c r="DT94" s="478"/>
      <c r="DU94" s="766"/>
      <c r="DV94" s="775"/>
      <c r="DW94" s="775"/>
      <c r="DX94" s="775"/>
      <c r="DY94" s="775"/>
      <c r="DZ94" s="775"/>
      <c r="EA94" s="775"/>
      <c r="EB94" s="775"/>
      <c r="EC94" s="775"/>
      <c r="ED94" s="775"/>
      <c r="EE94" s="775"/>
      <c r="EF94" s="479"/>
      <c r="EG94" s="479"/>
      <c r="EH94" s="479"/>
      <c r="EI94" s="479"/>
      <c r="EJ94" s="479"/>
      <c r="EK94" s="479"/>
      <c r="EL94" s="479"/>
      <c r="EM94" s="479"/>
      <c r="EN94" s="479"/>
      <c r="EO94" s="479"/>
    </row>
    <row r="95" spans="5:145" s="746" customFormat="1" ht="14.4" hidden="1" x14ac:dyDescent="0.55000000000000004">
      <c r="E95" s="767">
        <v>2018</v>
      </c>
      <c r="F95" s="768">
        <v>7492.3592920000001</v>
      </c>
      <c r="G95" s="768">
        <v>1024.3124270000001</v>
      </c>
      <c r="H95" s="768">
        <v>408.64594000000005</v>
      </c>
      <c r="I95" s="768">
        <v>3951.9611290000003</v>
      </c>
      <c r="J95" s="768">
        <v>1468.0792510000003</v>
      </c>
      <c r="K95" s="768">
        <v>639.36054500000012</v>
      </c>
      <c r="L95" s="768">
        <v>1381.887062</v>
      </c>
      <c r="M95" s="768">
        <v>1356.16497</v>
      </c>
      <c r="N95" s="768">
        <v>509.23420000000004</v>
      </c>
      <c r="O95" s="768">
        <v>331.867863</v>
      </c>
      <c r="P95" s="475"/>
      <c r="Q95" s="767">
        <v>2018</v>
      </c>
      <c r="R95" s="768">
        <v>7492.3592920000001</v>
      </c>
      <c r="S95" s="768">
        <v>1024.3124270000001</v>
      </c>
      <c r="T95" s="768">
        <v>408.64594000000005</v>
      </c>
      <c r="U95" s="768">
        <v>3951.9611290000003</v>
      </c>
      <c r="V95" s="768">
        <v>1468.0792510000003</v>
      </c>
      <c r="W95" s="768">
        <v>639.36054500000012</v>
      </c>
      <c r="X95" s="768">
        <v>1381.887062</v>
      </c>
      <c r="Y95" s="768">
        <v>1356.16497</v>
      </c>
      <c r="Z95" s="768">
        <v>509.23420000000004</v>
      </c>
      <c r="AA95" s="768">
        <v>331.867863</v>
      </c>
      <c r="AB95" s="480"/>
      <c r="AC95" s="767">
        <v>2018</v>
      </c>
      <c r="AD95" s="768">
        <v>7492.3592920000001</v>
      </c>
      <c r="AE95" s="768">
        <v>1024.3124270000001</v>
      </c>
      <c r="AF95" s="768">
        <v>408.64594000000005</v>
      </c>
      <c r="AG95" s="768">
        <v>3951.9611290000003</v>
      </c>
      <c r="AH95" s="768">
        <v>1468.0792510000003</v>
      </c>
      <c r="AI95" s="768">
        <v>639.36054500000012</v>
      </c>
      <c r="AJ95" s="768">
        <v>1381.887062</v>
      </c>
      <c r="AK95" s="768">
        <v>1356.16497</v>
      </c>
      <c r="AL95" s="768">
        <v>509.23420000000004</v>
      </c>
      <c r="AM95" s="768">
        <v>331.867863</v>
      </c>
      <c r="AN95" s="475"/>
      <c r="AO95" s="769">
        <v>2018</v>
      </c>
      <c r="AP95" s="770">
        <v>7492.3592920000001</v>
      </c>
      <c r="AQ95" s="770">
        <v>1024.3124270000001</v>
      </c>
      <c r="AR95" s="770">
        <v>408.64594000000005</v>
      </c>
      <c r="AS95" s="770">
        <v>3951.9611290000003</v>
      </c>
      <c r="AT95" s="770">
        <v>1468.0792510000003</v>
      </c>
      <c r="AU95" s="770">
        <v>639.36054500000012</v>
      </c>
      <c r="AV95" s="770">
        <v>1381.887062</v>
      </c>
      <c r="AW95" s="770">
        <v>1356.16497</v>
      </c>
      <c r="AX95" s="770">
        <v>509.23420000000004</v>
      </c>
      <c r="AY95" s="770">
        <v>331.867863</v>
      </c>
      <c r="AZ95" s="166"/>
      <c r="BA95" s="484">
        <v>2018</v>
      </c>
      <c r="BB95" s="485">
        <v>7545.3175619999993</v>
      </c>
      <c r="BC95" s="485">
        <v>1027.7321019999999</v>
      </c>
      <c r="BD95" s="485">
        <v>409.02117500000003</v>
      </c>
      <c r="BE95" s="485">
        <v>3961.6099839999993</v>
      </c>
      <c r="BF95" s="485">
        <v>1498.7285850000001</v>
      </c>
      <c r="BG95" s="485">
        <v>648.22571600000003</v>
      </c>
      <c r="BH95" s="485">
        <v>1422.074595</v>
      </c>
      <c r="BI95" s="485">
        <v>1325.619588</v>
      </c>
      <c r="BJ95" s="485">
        <v>509.80535599999996</v>
      </c>
      <c r="BK95" s="485">
        <v>332.84074099999998</v>
      </c>
      <c r="BL95" s="477"/>
      <c r="BM95" s="486">
        <v>2018</v>
      </c>
      <c r="BN95" s="487">
        <v>7545.3175619999993</v>
      </c>
      <c r="BO95" s="488">
        <v>1027.7321019999999</v>
      </c>
      <c r="BP95" s="488">
        <v>409.02117500000003</v>
      </c>
      <c r="BQ95" s="488">
        <v>3961.6099839999993</v>
      </c>
      <c r="BR95" s="488">
        <v>1498.7285850000001</v>
      </c>
      <c r="BS95" s="488">
        <v>648.22571600000003</v>
      </c>
      <c r="BT95" s="488">
        <v>1422.074595</v>
      </c>
      <c r="BU95" s="488">
        <v>1325.619588</v>
      </c>
      <c r="BV95" s="488">
        <v>509.80535599999996</v>
      </c>
      <c r="BW95" s="488">
        <v>332.84074099999998</v>
      </c>
      <c r="BX95" s="476"/>
      <c r="BY95" s="769">
        <v>2018</v>
      </c>
      <c r="BZ95" s="770">
        <v>7579.6048529999998</v>
      </c>
      <c r="CA95" s="770">
        <v>1021.155648</v>
      </c>
      <c r="CB95" s="770">
        <v>410.60087100000004</v>
      </c>
      <c r="CC95" s="770">
        <v>3971.2847579999993</v>
      </c>
      <c r="CD95" s="770">
        <v>1523.7276060000002</v>
      </c>
      <c r="CE95" s="770">
        <v>652.8359700000002</v>
      </c>
      <c r="CF95" s="770">
        <v>1393.6864929999999</v>
      </c>
      <c r="CG95" s="770">
        <v>1358.1377190000001</v>
      </c>
      <c r="CH95" s="770">
        <v>502.67459000000002</v>
      </c>
      <c r="CI95" s="770">
        <v>328.83576299999999</v>
      </c>
      <c r="CJ95" s="125"/>
      <c r="CK95" s="766"/>
      <c r="CL95" s="773"/>
      <c r="CM95" s="774"/>
      <c r="CN95" s="774"/>
      <c r="CO95" s="774"/>
      <c r="CP95" s="774"/>
      <c r="CQ95" s="774"/>
      <c r="CR95" s="774"/>
      <c r="CS95" s="774"/>
      <c r="CT95" s="774"/>
      <c r="CU95" s="774"/>
      <c r="CV95" s="478"/>
      <c r="CW95" s="478"/>
      <c r="CX95" s="478"/>
      <c r="CY95" s="478"/>
      <c r="CZ95" s="478"/>
      <c r="DA95" s="478"/>
      <c r="DB95" s="478"/>
      <c r="DC95" s="478"/>
      <c r="DD95" s="478"/>
      <c r="DE95" s="478"/>
      <c r="DF95" s="478"/>
      <c r="DG95" s="478"/>
      <c r="DH95" s="478"/>
      <c r="DI95" s="766"/>
      <c r="DJ95" s="775"/>
      <c r="DK95" s="775"/>
      <c r="DL95" s="775"/>
      <c r="DM95" s="775"/>
      <c r="DN95" s="775"/>
      <c r="DO95" s="775"/>
      <c r="DP95" s="775"/>
      <c r="DQ95" s="775"/>
      <c r="DR95" s="775"/>
      <c r="DS95" s="775"/>
      <c r="DT95" s="478"/>
      <c r="DU95" s="766"/>
      <c r="DV95" s="775"/>
      <c r="DW95" s="775"/>
      <c r="DX95" s="775"/>
      <c r="DY95" s="775"/>
      <c r="DZ95" s="775"/>
      <c r="EA95" s="775"/>
      <c r="EB95" s="775"/>
      <c r="EC95" s="775"/>
      <c r="ED95" s="775"/>
      <c r="EE95" s="775"/>
      <c r="EF95" s="479"/>
      <c r="EG95" s="479"/>
      <c r="EH95" s="479"/>
      <c r="EI95" s="479"/>
      <c r="EJ95" s="479"/>
      <c r="EK95" s="479"/>
      <c r="EL95" s="479"/>
      <c r="EM95" s="479"/>
      <c r="EN95" s="479"/>
      <c r="EO95" s="479"/>
    </row>
    <row r="96" spans="5:145" s="746" customFormat="1" ht="14.4" hidden="1" x14ac:dyDescent="0.55000000000000004">
      <c r="E96" s="767">
        <v>2019</v>
      </c>
      <c r="F96" s="768">
        <v>7565.6917329999997</v>
      </c>
      <c r="G96" s="768">
        <v>1029.1056560000002</v>
      </c>
      <c r="H96" s="768">
        <v>408.76486699999998</v>
      </c>
      <c r="I96" s="768">
        <v>3983.4992820000002</v>
      </c>
      <c r="J96" s="768">
        <v>1499.1440289999998</v>
      </c>
      <c r="K96" s="768">
        <v>645.17789900000014</v>
      </c>
      <c r="L96" s="768">
        <v>1385.0477960000001</v>
      </c>
      <c r="M96" s="768">
        <v>1371.6633139999999</v>
      </c>
      <c r="N96" s="768">
        <v>510.12526799999995</v>
      </c>
      <c r="O96" s="768">
        <v>334.49553000000003</v>
      </c>
      <c r="P96" s="475"/>
      <c r="Q96" s="767">
        <v>2019</v>
      </c>
      <c r="R96" s="768">
        <v>7565.6917329999997</v>
      </c>
      <c r="S96" s="768">
        <v>1029.1056560000002</v>
      </c>
      <c r="T96" s="768">
        <v>408.76486699999998</v>
      </c>
      <c r="U96" s="768">
        <v>3983.4992820000002</v>
      </c>
      <c r="V96" s="768">
        <v>1499.1440289999998</v>
      </c>
      <c r="W96" s="768">
        <v>645.17789900000014</v>
      </c>
      <c r="X96" s="768">
        <v>1385.0477960000001</v>
      </c>
      <c r="Y96" s="768">
        <v>1371.6633139999999</v>
      </c>
      <c r="Z96" s="768">
        <v>510.12526799999995</v>
      </c>
      <c r="AA96" s="768">
        <v>334.49553000000003</v>
      </c>
      <c r="AB96" s="480"/>
      <c r="AC96" s="767">
        <v>2019</v>
      </c>
      <c r="AD96" s="768">
        <v>7565.6917329999997</v>
      </c>
      <c r="AE96" s="768">
        <v>1029.1056560000002</v>
      </c>
      <c r="AF96" s="768">
        <v>408.76486699999998</v>
      </c>
      <c r="AG96" s="768">
        <v>3983.4992820000002</v>
      </c>
      <c r="AH96" s="768">
        <v>1499.1440289999998</v>
      </c>
      <c r="AI96" s="768">
        <v>645.17789900000014</v>
      </c>
      <c r="AJ96" s="768">
        <v>1385.0477960000001</v>
      </c>
      <c r="AK96" s="768">
        <v>1371.6633139999999</v>
      </c>
      <c r="AL96" s="768">
        <v>510.12526799999995</v>
      </c>
      <c r="AM96" s="768">
        <v>334.49553000000003</v>
      </c>
      <c r="AN96" s="475"/>
      <c r="AO96" s="769">
        <v>2019</v>
      </c>
      <c r="AP96" s="770">
        <v>7565.6917329999997</v>
      </c>
      <c r="AQ96" s="770">
        <v>1029.1056560000002</v>
      </c>
      <c r="AR96" s="770">
        <v>408.76486699999998</v>
      </c>
      <c r="AS96" s="770">
        <v>3983.4992820000002</v>
      </c>
      <c r="AT96" s="770">
        <v>1499.1440289999998</v>
      </c>
      <c r="AU96" s="770">
        <v>645.17789900000014</v>
      </c>
      <c r="AV96" s="770">
        <v>1385.0477960000001</v>
      </c>
      <c r="AW96" s="770">
        <v>1371.6633139999999</v>
      </c>
      <c r="AX96" s="770">
        <v>510.12526799999995</v>
      </c>
      <c r="AY96" s="770">
        <v>334.49553000000003</v>
      </c>
      <c r="AZ96" s="166"/>
      <c r="BA96" s="484">
        <v>2019</v>
      </c>
      <c r="BB96" s="485">
        <v>7622.581924000001</v>
      </c>
      <c r="BC96" s="485">
        <v>1032.4343609999999</v>
      </c>
      <c r="BD96" s="485">
        <v>408.88496100000003</v>
      </c>
      <c r="BE96" s="485">
        <v>3994.3201050000002</v>
      </c>
      <c r="BF96" s="485">
        <v>1532.5084669999999</v>
      </c>
      <c r="BG96" s="485">
        <v>654.43403000000001</v>
      </c>
      <c r="BH96" s="485">
        <v>1427.784895</v>
      </c>
      <c r="BI96" s="485">
        <v>1339.5528980000001</v>
      </c>
      <c r="BJ96" s="485">
        <v>510.54913599999992</v>
      </c>
      <c r="BK96" s="485">
        <v>335.41647399999999</v>
      </c>
      <c r="BL96" s="477"/>
      <c r="BM96" s="486">
        <v>2019</v>
      </c>
      <c r="BN96" s="487">
        <v>7622.581924000001</v>
      </c>
      <c r="BO96" s="488">
        <v>1032.4343609999999</v>
      </c>
      <c r="BP96" s="488">
        <v>408.88496100000003</v>
      </c>
      <c r="BQ96" s="488">
        <v>3994.3201050000002</v>
      </c>
      <c r="BR96" s="488">
        <v>1532.5084669999999</v>
      </c>
      <c r="BS96" s="488">
        <v>654.43403000000001</v>
      </c>
      <c r="BT96" s="488">
        <v>1427.784895</v>
      </c>
      <c r="BU96" s="488">
        <v>1339.5528980000001</v>
      </c>
      <c r="BV96" s="488">
        <v>510.54913599999992</v>
      </c>
      <c r="BW96" s="488">
        <v>335.41647399999999</v>
      </c>
      <c r="BX96" s="476"/>
      <c r="BY96" s="769">
        <v>2019</v>
      </c>
      <c r="BZ96" s="770">
        <v>7660.3638009999995</v>
      </c>
      <c r="CA96" s="770">
        <v>1025.4457359999999</v>
      </c>
      <c r="CB96" s="770">
        <v>410.79875299999992</v>
      </c>
      <c r="CC96" s="770">
        <v>4005.7951889999995</v>
      </c>
      <c r="CD96" s="770">
        <v>1559.1878400000001</v>
      </c>
      <c r="CE96" s="770">
        <v>659.13628299999993</v>
      </c>
      <c r="CF96" s="770">
        <v>1398.5822969999999</v>
      </c>
      <c r="CG96" s="770">
        <v>1373.605069</v>
      </c>
      <c r="CH96" s="770">
        <v>503.23874099999995</v>
      </c>
      <c r="CI96" s="770">
        <v>331.19536399999998</v>
      </c>
      <c r="CJ96" s="125"/>
      <c r="CK96" s="766"/>
      <c r="CL96" s="773"/>
      <c r="CM96" s="774"/>
      <c r="CN96" s="774"/>
      <c r="CO96" s="774"/>
      <c r="CP96" s="774"/>
      <c r="CQ96" s="774"/>
      <c r="CR96" s="774"/>
      <c r="CS96" s="774"/>
      <c r="CT96" s="774"/>
      <c r="CU96" s="774"/>
      <c r="CV96" s="478"/>
      <c r="CW96" s="478"/>
      <c r="CX96" s="478"/>
      <c r="CY96" s="478"/>
      <c r="CZ96" s="478"/>
      <c r="DA96" s="478"/>
      <c r="DB96" s="478"/>
      <c r="DC96" s="478"/>
      <c r="DD96" s="478"/>
      <c r="DE96" s="478"/>
      <c r="DF96" s="478"/>
      <c r="DG96" s="478"/>
      <c r="DH96" s="478"/>
      <c r="DI96" s="766"/>
      <c r="DJ96" s="775"/>
      <c r="DK96" s="775"/>
      <c r="DL96" s="775"/>
      <c r="DM96" s="775"/>
      <c r="DN96" s="775"/>
      <c r="DO96" s="775"/>
      <c r="DP96" s="775"/>
      <c r="DQ96" s="775"/>
      <c r="DR96" s="775"/>
      <c r="DS96" s="775"/>
      <c r="DT96" s="478"/>
      <c r="DU96" s="766"/>
      <c r="DV96" s="775"/>
      <c r="DW96" s="775"/>
      <c r="DX96" s="775"/>
      <c r="DY96" s="775"/>
      <c r="DZ96" s="775"/>
      <c r="EA96" s="775"/>
      <c r="EB96" s="775"/>
      <c r="EC96" s="775"/>
      <c r="ED96" s="775"/>
      <c r="EE96" s="775"/>
      <c r="EF96" s="479"/>
      <c r="EG96" s="479"/>
      <c r="EH96" s="479"/>
      <c r="EI96" s="479"/>
      <c r="EJ96" s="479"/>
      <c r="EK96" s="479"/>
      <c r="EL96" s="479"/>
      <c r="EM96" s="479"/>
      <c r="EN96" s="479"/>
      <c r="EO96" s="479"/>
    </row>
    <row r="97" spans="5:145" s="746" customFormat="1" ht="14.4" hidden="1" x14ac:dyDescent="0.55000000000000004">
      <c r="E97" s="767">
        <v>2020</v>
      </c>
      <c r="F97" s="768">
        <v>7638.0162049999999</v>
      </c>
      <c r="G97" s="768">
        <v>1033.7591</v>
      </c>
      <c r="H97" s="768">
        <v>408.8037589999999</v>
      </c>
      <c r="I97" s="768">
        <v>4014.1873640000003</v>
      </c>
      <c r="J97" s="768">
        <v>1530.3868669999997</v>
      </c>
      <c r="K97" s="768">
        <v>650.87911500000007</v>
      </c>
      <c r="L97" s="768">
        <v>1387.791512</v>
      </c>
      <c r="M97" s="768">
        <v>1386.9090719999999</v>
      </c>
      <c r="N97" s="768">
        <v>510.94992200000002</v>
      </c>
      <c r="O97" s="768">
        <v>337.101833</v>
      </c>
      <c r="P97" s="489"/>
      <c r="Q97" s="767">
        <v>2020</v>
      </c>
      <c r="R97" s="768">
        <v>7638.0162049999999</v>
      </c>
      <c r="S97" s="768">
        <v>1033.7591</v>
      </c>
      <c r="T97" s="768">
        <v>408.8037589999999</v>
      </c>
      <c r="U97" s="768">
        <v>4014.1873640000003</v>
      </c>
      <c r="V97" s="768">
        <v>1530.3868669999997</v>
      </c>
      <c r="W97" s="768">
        <v>650.87911500000007</v>
      </c>
      <c r="X97" s="768">
        <v>1387.791512</v>
      </c>
      <c r="Y97" s="768">
        <v>1386.9090719999999</v>
      </c>
      <c r="Z97" s="768">
        <v>510.94992200000002</v>
      </c>
      <c r="AA97" s="768">
        <v>337.101833</v>
      </c>
      <c r="AB97" s="490"/>
      <c r="AC97" s="767">
        <v>2020</v>
      </c>
      <c r="AD97" s="768">
        <v>7638.0162049999999</v>
      </c>
      <c r="AE97" s="768">
        <v>1033.7591</v>
      </c>
      <c r="AF97" s="768">
        <v>408.8037589999999</v>
      </c>
      <c r="AG97" s="768">
        <v>4014.1873640000003</v>
      </c>
      <c r="AH97" s="768">
        <v>1530.3868669999997</v>
      </c>
      <c r="AI97" s="768">
        <v>650.87911500000007</v>
      </c>
      <c r="AJ97" s="768">
        <v>1387.791512</v>
      </c>
      <c r="AK97" s="768">
        <v>1386.9090719999999</v>
      </c>
      <c r="AL97" s="768">
        <v>510.94992200000002</v>
      </c>
      <c r="AM97" s="768">
        <v>337.101833</v>
      </c>
      <c r="AN97" s="489"/>
      <c r="AO97" s="769">
        <v>2020</v>
      </c>
      <c r="AP97" s="770">
        <v>7638.0162049999999</v>
      </c>
      <c r="AQ97" s="770">
        <v>1033.7591</v>
      </c>
      <c r="AR97" s="770">
        <v>408.8037589999999</v>
      </c>
      <c r="AS97" s="770">
        <v>4014.1873640000003</v>
      </c>
      <c r="AT97" s="770">
        <v>1530.3868669999997</v>
      </c>
      <c r="AU97" s="770">
        <v>650.87911500000007</v>
      </c>
      <c r="AV97" s="770">
        <v>1387.791512</v>
      </c>
      <c r="AW97" s="770">
        <v>1386.9090719999999</v>
      </c>
      <c r="AX97" s="770">
        <v>510.94992200000002</v>
      </c>
      <c r="AY97" s="770">
        <v>337.101833</v>
      </c>
      <c r="AZ97" s="776"/>
      <c r="BA97" s="484">
        <v>2020</v>
      </c>
      <c r="BB97" s="485">
        <v>7698.8655139999983</v>
      </c>
      <c r="BC97" s="485">
        <v>1037.0200330000002</v>
      </c>
      <c r="BD97" s="485">
        <v>408.64758</v>
      </c>
      <c r="BE97" s="485">
        <v>4026.0603539999993</v>
      </c>
      <c r="BF97" s="485">
        <v>1566.5819009999996</v>
      </c>
      <c r="BG97" s="485">
        <v>660.55564600000002</v>
      </c>
      <c r="BH97" s="485">
        <v>1432.8675660000001</v>
      </c>
      <c r="BI97" s="485">
        <v>1353.305278</v>
      </c>
      <c r="BJ97" s="485">
        <v>511.21237899999994</v>
      </c>
      <c r="BK97" s="485">
        <v>337.98302899999999</v>
      </c>
      <c r="BL97" s="492"/>
      <c r="BM97" s="486">
        <v>2020</v>
      </c>
      <c r="BN97" s="487">
        <v>7698.8655139999983</v>
      </c>
      <c r="BO97" s="488">
        <v>1037.0200330000002</v>
      </c>
      <c r="BP97" s="488">
        <v>408.64758</v>
      </c>
      <c r="BQ97" s="488">
        <v>4026.0603539999993</v>
      </c>
      <c r="BR97" s="488">
        <v>1566.5819009999996</v>
      </c>
      <c r="BS97" s="488">
        <v>660.55564600000002</v>
      </c>
      <c r="BT97" s="488">
        <v>1432.8675660000001</v>
      </c>
      <c r="BU97" s="488">
        <v>1353.305278</v>
      </c>
      <c r="BV97" s="488">
        <v>511.21237899999994</v>
      </c>
      <c r="BW97" s="488">
        <v>337.98302899999999</v>
      </c>
      <c r="BX97" s="491"/>
      <c r="BY97" s="769">
        <v>2020</v>
      </c>
      <c r="BZ97" s="770">
        <v>7740.1055400000014</v>
      </c>
      <c r="CA97" s="770">
        <v>1029.5934639999998</v>
      </c>
      <c r="CB97" s="770">
        <v>410.89180399999998</v>
      </c>
      <c r="CC97" s="770">
        <v>4039.240150000001</v>
      </c>
      <c r="CD97" s="770">
        <v>1595.0587450000003</v>
      </c>
      <c r="CE97" s="770">
        <v>665.3213770000001</v>
      </c>
      <c r="CF97" s="770">
        <v>1402.8478379999999</v>
      </c>
      <c r="CG97" s="770">
        <v>1388.8589169999998</v>
      </c>
      <c r="CH97" s="770">
        <v>503.72700000000003</v>
      </c>
      <c r="CI97" s="770">
        <v>333.54553000000004</v>
      </c>
      <c r="CJ97" s="777"/>
      <c r="CK97" s="766"/>
      <c r="CL97" s="773"/>
      <c r="CM97" s="774"/>
      <c r="CN97" s="774"/>
      <c r="CO97" s="774"/>
      <c r="CP97" s="774"/>
      <c r="CQ97" s="774"/>
      <c r="CR97" s="774"/>
      <c r="CS97" s="774"/>
      <c r="CT97" s="774"/>
      <c r="CU97" s="774"/>
      <c r="CV97" s="451"/>
      <c r="CW97" s="451"/>
      <c r="CX97" s="451"/>
      <c r="CY97" s="451"/>
      <c r="CZ97" s="451"/>
      <c r="DA97" s="451"/>
      <c r="DB97" s="451"/>
      <c r="DC97" s="451"/>
      <c r="DD97" s="451"/>
      <c r="DE97" s="451"/>
      <c r="DF97" s="451"/>
      <c r="DG97" s="451"/>
      <c r="DH97" s="451"/>
      <c r="DI97" s="766"/>
      <c r="DJ97" s="775"/>
      <c r="DK97" s="775"/>
      <c r="DL97" s="775"/>
      <c r="DM97" s="775"/>
      <c r="DN97" s="775"/>
      <c r="DO97" s="775"/>
      <c r="DP97" s="775"/>
      <c r="DQ97" s="775"/>
      <c r="DR97" s="775"/>
      <c r="DS97" s="775"/>
      <c r="DT97" s="451"/>
      <c r="DU97" s="766"/>
      <c r="DV97" s="775"/>
      <c r="DW97" s="775"/>
      <c r="DX97" s="775"/>
      <c r="DY97" s="775"/>
      <c r="DZ97" s="775"/>
      <c r="EA97" s="775"/>
      <c r="EB97" s="775"/>
      <c r="EC97" s="775"/>
      <c r="ED97" s="775"/>
      <c r="EE97" s="775"/>
      <c r="EF97" s="479"/>
      <c r="EG97" s="479"/>
      <c r="EH97" s="479"/>
      <c r="EI97" s="479"/>
      <c r="EJ97" s="479"/>
      <c r="EK97" s="479"/>
      <c r="EL97" s="479"/>
      <c r="EM97" s="479"/>
      <c r="EN97" s="479"/>
      <c r="EO97" s="479"/>
    </row>
    <row r="98" spans="5:145" s="746" customFormat="1" ht="14.4" hidden="1" x14ac:dyDescent="0.55000000000000004">
      <c r="E98" s="767">
        <v>2021</v>
      </c>
      <c r="F98" s="768">
        <v>7709.2673429999995</v>
      </c>
      <c r="G98" s="768">
        <v>1038.272467</v>
      </c>
      <c r="H98" s="768">
        <v>408.75627499999996</v>
      </c>
      <c r="I98" s="768">
        <v>4043.9961559999997</v>
      </c>
      <c r="J98" s="768">
        <v>1561.7828019999997</v>
      </c>
      <c r="K98" s="768">
        <v>656.4596429999998</v>
      </c>
      <c r="L98" s="768">
        <v>1390.1131850000002</v>
      </c>
      <c r="M98" s="768">
        <v>1401.8886</v>
      </c>
      <c r="N98" s="768">
        <v>511.70873299999994</v>
      </c>
      <c r="O98" s="768">
        <v>339.68524200000002</v>
      </c>
      <c r="P98" s="475"/>
      <c r="Q98" s="767">
        <v>2021</v>
      </c>
      <c r="R98" s="768">
        <v>7709.2673429999995</v>
      </c>
      <c r="S98" s="768">
        <v>1038.272467</v>
      </c>
      <c r="T98" s="768">
        <v>408.75627499999996</v>
      </c>
      <c r="U98" s="768">
        <v>4043.9961559999997</v>
      </c>
      <c r="V98" s="768">
        <v>1561.7828019999997</v>
      </c>
      <c r="W98" s="768">
        <v>656.4596429999998</v>
      </c>
      <c r="X98" s="768">
        <v>1390.1131850000002</v>
      </c>
      <c r="Y98" s="768">
        <v>1401.8886</v>
      </c>
      <c r="Z98" s="768">
        <v>511.70873299999994</v>
      </c>
      <c r="AA98" s="768">
        <v>339.68524200000002</v>
      </c>
      <c r="AB98" s="480"/>
      <c r="AC98" s="767">
        <v>2021</v>
      </c>
      <c r="AD98" s="768">
        <v>7709.2673429999995</v>
      </c>
      <c r="AE98" s="768">
        <v>1038.272467</v>
      </c>
      <c r="AF98" s="768">
        <v>408.75627499999996</v>
      </c>
      <c r="AG98" s="768">
        <v>4043.9961559999997</v>
      </c>
      <c r="AH98" s="768">
        <v>1561.7828019999997</v>
      </c>
      <c r="AI98" s="768">
        <v>656.4596429999998</v>
      </c>
      <c r="AJ98" s="768">
        <v>1390.1131850000002</v>
      </c>
      <c r="AK98" s="768">
        <v>1401.8886</v>
      </c>
      <c r="AL98" s="768">
        <v>511.70873299999994</v>
      </c>
      <c r="AM98" s="768">
        <v>339.68524200000002</v>
      </c>
      <c r="AN98" s="475"/>
      <c r="AO98" s="769">
        <v>2021</v>
      </c>
      <c r="AP98" s="770">
        <v>7709.2673429999995</v>
      </c>
      <c r="AQ98" s="770">
        <v>1038.272467</v>
      </c>
      <c r="AR98" s="770">
        <v>408.75627499999996</v>
      </c>
      <c r="AS98" s="770">
        <v>4043.9961559999997</v>
      </c>
      <c r="AT98" s="770">
        <v>1561.7828019999997</v>
      </c>
      <c r="AU98" s="770">
        <v>656.4596429999998</v>
      </c>
      <c r="AV98" s="770">
        <v>1390.1131850000002</v>
      </c>
      <c r="AW98" s="770">
        <v>1401.8886</v>
      </c>
      <c r="AX98" s="770">
        <v>511.70873299999994</v>
      </c>
      <c r="AY98" s="770">
        <v>339.68524200000002</v>
      </c>
      <c r="AZ98" s="166"/>
      <c r="BA98" s="484">
        <v>2021</v>
      </c>
      <c r="BB98" s="485">
        <v>7774.1055950000009</v>
      </c>
      <c r="BC98" s="485">
        <v>1041.4931300000001</v>
      </c>
      <c r="BD98" s="485">
        <v>408.30398300000002</v>
      </c>
      <c r="BE98" s="485">
        <v>4056.786705</v>
      </c>
      <c r="BF98" s="485">
        <v>1600.9344560000002</v>
      </c>
      <c r="BG98" s="485">
        <v>666.58732100000009</v>
      </c>
      <c r="BH98" s="485">
        <v>1437.2888809999999</v>
      </c>
      <c r="BI98" s="485">
        <v>1366.878072</v>
      </c>
      <c r="BJ98" s="485">
        <v>511.79568299999994</v>
      </c>
      <c r="BK98" s="485">
        <v>340.53920099999999</v>
      </c>
      <c r="BL98" s="477"/>
      <c r="BM98" s="486">
        <v>2021</v>
      </c>
      <c r="BN98" s="487">
        <v>7774.1055950000009</v>
      </c>
      <c r="BO98" s="488">
        <v>1041.4931300000001</v>
      </c>
      <c r="BP98" s="488">
        <v>408.30398300000002</v>
      </c>
      <c r="BQ98" s="488">
        <v>4056.786705</v>
      </c>
      <c r="BR98" s="488">
        <v>1600.9344560000002</v>
      </c>
      <c r="BS98" s="488">
        <v>666.58732100000009</v>
      </c>
      <c r="BT98" s="488">
        <v>1437.2888809999999</v>
      </c>
      <c r="BU98" s="488">
        <v>1366.878072</v>
      </c>
      <c r="BV98" s="488">
        <v>511.79568299999994</v>
      </c>
      <c r="BW98" s="488">
        <v>340.53920099999999</v>
      </c>
      <c r="BX98" s="476"/>
      <c r="BY98" s="769">
        <v>2021</v>
      </c>
      <c r="BZ98" s="770">
        <v>7818.7371540000004</v>
      </c>
      <c r="CA98" s="770">
        <v>1033.6041839999998</v>
      </c>
      <c r="CB98" s="770">
        <v>410.87373200000013</v>
      </c>
      <c r="CC98" s="770">
        <v>4071.5374100000013</v>
      </c>
      <c r="CD98" s="770">
        <v>1631.3345079999995</v>
      </c>
      <c r="CE98" s="770">
        <v>671.38731999999993</v>
      </c>
      <c r="CF98" s="770">
        <v>1406.4412520000001</v>
      </c>
      <c r="CG98" s="770">
        <v>1403.882689</v>
      </c>
      <c r="CH98" s="770">
        <v>504.1359700000001</v>
      </c>
      <c r="CI98" s="770">
        <v>335.88674599999996</v>
      </c>
      <c r="CJ98" s="125"/>
      <c r="CK98" s="766"/>
      <c r="CL98" s="773"/>
      <c r="CM98" s="774"/>
      <c r="CN98" s="774"/>
      <c r="CO98" s="774"/>
      <c r="CP98" s="774"/>
      <c r="CQ98" s="774"/>
      <c r="CR98" s="774"/>
      <c r="CS98" s="774"/>
      <c r="CT98" s="774"/>
      <c r="CU98" s="774"/>
      <c r="CV98" s="478"/>
      <c r="CW98" s="478"/>
      <c r="CX98" s="478"/>
      <c r="CY98" s="478"/>
      <c r="CZ98" s="478"/>
      <c r="DA98" s="478"/>
      <c r="DB98" s="478"/>
      <c r="DC98" s="478"/>
      <c r="DD98" s="478"/>
      <c r="DE98" s="478"/>
      <c r="DF98" s="478"/>
      <c r="DG98" s="478"/>
      <c r="DH98" s="478"/>
      <c r="DI98" s="766"/>
      <c r="DJ98" s="775"/>
      <c r="DK98" s="775"/>
      <c r="DL98" s="775"/>
      <c r="DM98" s="775"/>
      <c r="DN98" s="775"/>
      <c r="DO98" s="775"/>
      <c r="DP98" s="775"/>
      <c r="DQ98" s="775"/>
      <c r="DR98" s="775"/>
      <c r="DS98" s="775"/>
      <c r="DT98" s="478"/>
      <c r="DU98" s="766"/>
      <c r="DV98" s="775"/>
      <c r="DW98" s="775"/>
      <c r="DX98" s="775"/>
      <c r="DY98" s="775"/>
      <c r="DZ98" s="775"/>
      <c r="EA98" s="775"/>
      <c r="EB98" s="775"/>
      <c r="EC98" s="775"/>
      <c r="ED98" s="775"/>
      <c r="EE98" s="775"/>
      <c r="EF98" s="479"/>
      <c r="EG98" s="479"/>
      <c r="EH98" s="479"/>
      <c r="EI98" s="479"/>
      <c r="EJ98" s="479"/>
      <c r="EK98" s="479"/>
      <c r="EL98" s="479"/>
      <c r="EM98" s="479"/>
      <c r="EN98" s="479"/>
      <c r="EO98" s="479"/>
    </row>
    <row r="99" spans="5:145" s="746" customFormat="1" ht="14.4" hidden="1" x14ac:dyDescent="0.55000000000000004">
      <c r="E99" s="767">
        <v>2022</v>
      </c>
      <c r="F99" s="768">
        <v>7779.4057750000011</v>
      </c>
      <c r="G99" s="768">
        <v>1042.6535289999999</v>
      </c>
      <c r="H99" s="768">
        <v>408.62174499999998</v>
      </c>
      <c r="I99" s="768">
        <v>4072.878470000001</v>
      </c>
      <c r="J99" s="768">
        <v>1593.3409790000005</v>
      </c>
      <c r="K99" s="768">
        <v>661.91105200000004</v>
      </c>
      <c r="L99" s="768">
        <v>1392.005727</v>
      </c>
      <c r="M99" s="768">
        <v>1416.5880030000001</v>
      </c>
      <c r="N99" s="768">
        <v>512.408727</v>
      </c>
      <c r="O99" s="768">
        <v>342.24451199999999</v>
      </c>
      <c r="P99" s="475"/>
      <c r="Q99" s="767">
        <v>2022</v>
      </c>
      <c r="R99" s="768">
        <v>7779.4057750000011</v>
      </c>
      <c r="S99" s="768">
        <v>1042.6535289999999</v>
      </c>
      <c r="T99" s="768">
        <v>408.62174499999998</v>
      </c>
      <c r="U99" s="768">
        <v>4072.878470000001</v>
      </c>
      <c r="V99" s="768">
        <v>1593.3409790000005</v>
      </c>
      <c r="W99" s="768">
        <v>661.91105200000004</v>
      </c>
      <c r="X99" s="768">
        <v>1392.005727</v>
      </c>
      <c r="Y99" s="768">
        <v>1416.5880030000001</v>
      </c>
      <c r="Z99" s="768">
        <v>512.408727</v>
      </c>
      <c r="AA99" s="768">
        <v>342.24451199999999</v>
      </c>
      <c r="AB99" s="480"/>
      <c r="AC99" s="767">
        <v>2022</v>
      </c>
      <c r="AD99" s="768">
        <v>7779.4057750000011</v>
      </c>
      <c r="AE99" s="768">
        <v>1042.6535289999999</v>
      </c>
      <c r="AF99" s="768">
        <v>408.62174499999998</v>
      </c>
      <c r="AG99" s="768">
        <v>4072.878470000001</v>
      </c>
      <c r="AH99" s="768">
        <v>1593.3409790000005</v>
      </c>
      <c r="AI99" s="768">
        <v>661.91105200000004</v>
      </c>
      <c r="AJ99" s="768">
        <v>1392.005727</v>
      </c>
      <c r="AK99" s="768">
        <v>1416.5880030000001</v>
      </c>
      <c r="AL99" s="768">
        <v>512.408727</v>
      </c>
      <c r="AM99" s="768">
        <v>342.24451199999999</v>
      </c>
      <c r="AN99" s="475"/>
      <c r="AO99" s="769">
        <v>2022</v>
      </c>
      <c r="AP99" s="770">
        <v>7779.4057750000011</v>
      </c>
      <c r="AQ99" s="770">
        <v>1042.6535289999999</v>
      </c>
      <c r="AR99" s="770">
        <v>408.62174499999998</v>
      </c>
      <c r="AS99" s="770">
        <v>4072.878470000001</v>
      </c>
      <c r="AT99" s="770">
        <v>1593.3409790000005</v>
      </c>
      <c r="AU99" s="770">
        <v>661.91105200000004</v>
      </c>
      <c r="AV99" s="770">
        <v>1392.005727</v>
      </c>
      <c r="AW99" s="770">
        <v>1416.5880030000001</v>
      </c>
      <c r="AX99" s="770">
        <v>512.408727</v>
      </c>
      <c r="AY99" s="770">
        <v>342.24451199999999</v>
      </c>
      <c r="AZ99" s="166"/>
      <c r="BA99" s="484">
        <v>2022</v>
      </c>
      <c r="BB99" s="485">
        <v>7848.2565450000011</v>
      </c>
      <c r="BC99" s="485">
        <v>1045.8595080000002</v>
      </c>
      <c r="BD99" s="485">
        <v>407.85774000000009</v>
      </c>
      <c r="BE99" s="485">
        <v>4086.4505640000011</v>
      </c>
      <c r="BF99" s="485">
        <v>1635.5710070000002</v>
      </c>
      <c r="BG99" s="485">
        <v>672.51772600000004</v>
      </c>
      <c r="BH99" s="485">
        <v>1441.050551</v>
      </c>
      <c r="BI99" s="485">
        <v>1380.2443400000002</v>
      </c>
      <c r="BJ99" s="485">
        <v>512.30524200000013</v>
      </c>
      <c r="BK99" s="485">
        <v>343.08545899999996</v>
      </c>
      <c r="BL99" s="477"/>
      <c r="BM99" s="486">
        <v>2022</v>
      </c>
      <c r="BN99" s="487">
        <v>7848.2565450000011</v>
      </c>
      <c r="BO99" s="488">
        <v>1045.8595080000002</v>
      </c>
      <c r="BP99" s="488">
        <v>407.85774000000009</v>
      </c>
      <c r="BQ99" s="488">
        <v>4086.4505640000011</v>
      </c>
      <c r="BR99" s="488">
        <v>1635.5710070000002</v>
      </c>
      <c r="BS99" s="488">
        <v>672.51772600000004</v>
      </c>
      <c r="BT99" s="488">
        <v>1441.050551</v>
      </c>
      <c r="BU99" s="488">
        <v>1380.2443400000002</v>
      </c>
      <c r="BV99" s="488">
        <v>512.30524200000013</v>
      </c>
      <c r="BW99" s="488">
        <v>343.08545899999996</v>
      </c>
      <c r="BX99" s="476"/>
      <c r="BY99" s="769">
        <v>2022</v>
      </c>
      <c r="BZ99" s="770">
        <v>7896.2329920000011</v>
      </c>
      <c r="CA99" s="770">
        <v>1037.4858080000001</v>
      </c>
      <c r="CB99" s="770">
        <v>410.73706099999987</v>
      </c>
      <c r="CC99" s="770">
        <v>4102.6777250000005</v>
      </c>
      <c r="CD99" s="770">
        <v>1668.0037749999999</v>
      </c>
      <c r="CE99" s="770">
        <v>677.32862300000011</v>
      </c>
      <c r="CF99" s="770">
        <v>1409.3749800000001</v>
      </c>
      <c r="CG99" s="770">
        <v>1418.6809210000001</v>
      </c>
      <c r="CH99" s="770">
        <v>504.47999400000003</v>
      </c>
      <c r="CI99" s="770">
        <v>338.21967700000005</v>
      </c>
      <c r="CJ99" s="125"/>
      <c r="CK99" s="766"/>
      <c r="CL99" s="773"/>
      <c r="CM99" s="774"/>
      <c r="CN99" s="774"/>
      <c r="CO99" s="774"/>
      <c r="CP99" s="774"/>
      <c r="CQ99" s="774"/>
      <c r="CR99" s="774"/>
      <c r="CS99" s="774"/>
      <c r="CT99" s="774"/>
      <c r="CU99" s="774"/>
      <c r="CV99" s="478"/>
      <c r="CW99" s="478"/>
      <c r="CX99" s="478"/>
      <c r="CY99" s="478"/>
      <c r="CZ99" s="478"/>
      <c r="DA99" s="478"/>
      <c r="DB99" s="478"/>
      <c r="DC99" s="478"/>
      <c r="DD99" s="478"/>
      <c r="DE99" s="478"/>
      <c r="DF99" s="478"/>
      <c r="DG99" s="478"/>
      <c r="DH99" s="478"/>
      <c r="DI99" s="766"/>
      <c r="DJ99" s="775"/>
      <c r="DK99" s="775"/>
      <c r="DL99" s="775"/>
      <c r="DM99" s="775"/>
      <c r="DN99" s="775"/>
      <c r="DO99" s="775"/>
      <c r="DP99" s="775"/>
      <c r="DQ99" s="775"/>
      <c r="DR99" s="775"/>
      <c r="DS99" s="775"/>
      <c r="DT99" s="478"/>
      <c r="DU99" s="766"/>
      <c r="DV99" s="775"/>
      <c r="DW99" s="775"/>
      <c r="DX99" s="775"/>
      <c r="DY99" s="775"/>
      <c r="DZ99" s="775"/>
      <c r="EA99" s="775"/>
      <c r="EB99" s="775"/>
      <c r="EC99" s="775"/>
      <c r="ED99" s="775"/>
      <c r="EE99" s="775"/>
      <c r="EF99" s="479"/>
      <c r="EG99" s="479"/>
      <c r="EH99" s="479"/>
      <c r="EI99" s="479"/>
      <c r="EJ99" s="479"/>
      <c r="EK99" s="479"/>
      <c r="EL99" s="479"/>
      <c r="EM99" s="479"/>
      <c r="EN99" s="479"/>
      <c r="EO99" s="479"/>
    </row>
    <row r="100" spans="5:145" s="746" customFormat="1" ht="14.4" hidden="1" x14ac:dyDescent="0.55000000000000004">
      <c r="E100" s="767">
        <v>2023</v>
      </c>
      <c r="F100" s="768">
        <v>7848.4232810000003</v>
      </c>
      <c r="G100" s="768">
        <v>1046.902658</v>
      </c>
      <c r="H100" s="768">
        <v>408.39930299999992</v>
      </c>
      <c r="I100" s="768">
        <v>4100.8248250000015</v>
      </c>
      <c r="J100" s="768">
        <v>1625.0694229999999</v>
      </c>
      <c r="K100" s="768">
        <v>667.22707199999979</v>
      </c>
      <c r="L100" s="768">
        <v>1393.482375</v>
      </c>
      <c r="M100" s="768">
        <v>1431.0015989999999</v>
      </c>
      <c r="N100" s="768">
        <v>513.04922599999998</v>
      </c>
      <c r="O100" s="768">
        <v>344.777672</v>
      </c>
      <c r="P100" s="475"/>
      <c r="Q100" s="767">
        <v>2023</v>
      </c>
      <c r="R100" s="768">
        <v>7848.4232810000003</v>
      </c>
      <c r="S100" s="768">
        <v>1046.902658</v>
      </c>
      <c r="T100" s="768">
        <v>408.39930299999992</v>
      </c>
      <c r="U100" s="768">
        <v>4100.8248250000015</v>
      </c>
      <c r="V100" s="768">
        <v>1625.0694229999999</v>
      </c>
      <c r="W100" s="768">
        <v>667.22707199999979</v>
      </c>
      <c r="X100" s="768">
        <v>1393.482375</v>
      </c>
      <c r="Y100" s="768">
        <v>1431.0015989999999</v>
      </c>
      <c r="Z100" s="768">
        <v>513.04922599999998</v>
      </c>
      <c r="AA100" s="768">
        <v>344.777672</v>
      </c>
      <c r="AB100" s="480"/>
      <c r="AC100" s="767">
        <v>2023</v>
      </c>
      <c r="AD100" s="768">
        <v>7848.4232810000003</v>
      </c>
      <c r="AE100" s="768">
        <v>1046.902658</v>
      </c>
      <c r="AF100" s="768">
        <v>408.39930299999992</v>
      </c>
      <c r="AG100" s="768">
        <v>4100.8248250000015</v>
      </c>
      <c r="AH100" s="768">
        <v>1625.0694229999999</v>
      </c>
      <c r="AI100" s="768">
        <v>667.22707199999979</v>
      </c>
      <c r="AJ100" s="768">
        <v>1393.482375</v>
      </c>
      <c r="AK100" s="768">
        <v>1431.0015989999999</v>
      </c>
      <c r="AL100" s="768">
        <v>513.04922599999998</v>
      </c>
      <c r="AM100" s="768">
        <v>344.777672</v>
      </c>
      <c r="AN100" s="475"/>
      <c r="AO100" s="769">
        <v>2023</v>
      </c>
      <c r="AP100" s="770">
        <v>7848.4232810000003</v>
      </c>
      <c r="AQ100" s="770">
        <v>1046.902658</v>
      </c>
      <c r="AR100" s="770">
        <v>408.39930299999992</v>
      </c>
      <c r="AS100" s="770">
        <v>4100.8248250000015</v>
      </c>
      <c r="AT100" s="770">
        <v>1625.0694229999999</v>
      </c>
      <c r="AU100" s="770">
        <v>667.22707199999979</v>
      </c>
      <c r="AV100" s="770">
        <v>1393.482375</v>
      </c>
      <c r="AW100" s="770">
        <v>1431.0015989999999</v>
      </c>
      <c r="AX100" s="770">
        <v>513.04922599999998</v>
      </c>
      <c r="AY100" s="770">
        <v>344.777672</v>
      </c>
      <c r="AZ100" s="166"/>
      <c r="BA100" s="484">
        <v>2023</v>
      </c>
      <c r="BB100" s="485">
        <v>7921.335481000001</v>
      </c>
      <c r="BC100" s="485">
        <v>1050.1201100000001</v>
      </c>
      <c r="BD100" s="485">
        <v>407.31378899999999</v>
      </c>
      <c r="BE100" s="485">
        <v>4115.052259</v>
      </c>
      <c r="BF100" s="485">
        <v>1670.51089</v>
      </c>
      <c r="BG100" s="485">
        <v>678.3384329999999</v>
      </c>
      <c r="BH100" s="485">
        <v>1444.203704</v>
      </c>
      <c r="BI100" s="485">
        <v>1393.3717329999999</v>
      </c>
      <c r="BJ100" s="485">
        <v>512.74487999999997</v>
      </c>
      <c r="BK100" s="485">
        <v>345.61815100000001</v>
      </c>
      <c r="BL100" s="477"/>
      <c r="BM100" s="486">
        <v>2023</v>
      </c>
      <c r="BN100" s="487">
        <v>7921.335481000001</v>
      </c>
      <c r="BO100" s="488">
        <v>1050.1201100000001</v>
      </c>
      <c r="BP100" s="488">
        <v>407.31378899999999</v>
      </c>
      <c r="BQ100" s="488">
        <v>4115.052259</v>
      </c>
      <c r="BR100" s="488">
        <v>1670.51089</v>
      </c>
      <c r="BS100" s="488">
        <v>678.3384329999999</v>
      </c>
      <c r="BT100" s="488">
        <v>1444.203704</v>
      </c>
      <c r="BU100" s="488">
        <v>1393.3717329999999</v>
      </c>
      <c r="BV100" s="488">
        <v>512.74487999999997</v>
      </c>
      <c r="BW100" s="488">
        <v>345.61815100000001</v>
      </c>
      <c r="BX100" s="476"/>
      <c r="BY100" s="769">
        <v>2023</v>
      </c>
      <c r="BZ100" s="770">
        <v>7972.6283300000014</v>
      </c>
      <c r="CA100" s="770">
        <v>1041.2522939999999</v>
      </c>
      <c r="CB100" s="770">
        <v>410.48501399999992</v>
      </c>
      <c r="CC100" s="770">
        <v>4132.7005970000009</v>
      </c>
      <c r="CD100" s="770">
        <v>1705.0512180000001</v>
      </c>
      <c r="CE100" s="770">
        <v>683.13920700000006</v>
      </c>
      <c r="CF100" s="770">
        <v>1411.7030580000001</v>
      </c>
      <c r="CG100" s="770">
        <v>1433.242673</v>
      </c>
      <c r="CH100" s="770">
        <v>504.76203699999991</v>
      </c>
      <c r="CI100" s="770">
        <v>340.53660500000001</v>
      </c>
      <c r="CJ100" s="125"/>
      <c r="CK100" s="766"/>
      <c r="CL100" s="773"/>
      <c r="CM100" s="774"/>
      <c r="CN100" s="774"/>
      <c r="CO100" s="774"/>
      <c r="CP100" s="774"/>
      <c r="CQ100" s="774"/>
      <c r="CR100" s="774"/>
      <c r="CS100" s="774"/>
      <c r="CT100" s="774"/>
      <c r="CU100" s="774"/>
      <c r="CV100" s="478"/>
      <c r="CW100" s="478"/>
      <c r="CX100" s="478"/>
      <c r="CY100" s="478"/>
      <c r="CZ100" s="478"/>
      <c r="DA100" s="478"/>
      <c r="DB100" s="478"/>
      <c r="DC100" s="478"/>
      <c r="DD100" s="478"/>
      <c r="DE100" s="478"/>
      <c r="DF100" s="478"/>
      <c r="DG100" s="478"/>
      <c r="DH100" s="478"/>
      <c r="DI100" s="766"/>
      <c r="DJ100" s="775"/>
      <c r="DK100" s="775"/>
      <c r="DL100" s="775"/>
      <c r="DM100" s="775"/>
      <c r="DN100" s="775"/>
      <c r="DO100" s="775"/>
      <c r="DP100" s="775"/>
      <c r="DQ100" s="775"/>
      <c r="DR100" s="775"/>
      <c r="DS100" s="775"/>
      <c r="DT100" s="478"/>
      <c r="DU100" s="766"/>
      <c r="DV100" s="775"/>
      <c r="DW100" s="775"/>
      <c r="DX100" s="775"/>
      <c r="DY100" s="775"/>
      <c r="DZ100" s="775"/>
      <c r="EA100" s="775"/>
      <c r="EB100" s="775"/>
      <c r="EC100" s="775"/>
      <c r="ED100" s="775"/>
      <c r="EE100" s="775"/>
      <c r="EF100" s="479"/>
      <c r="EG100" s="479"/>
      <c r="EH100" s="479"/>
      <c r="EI100" s="479"/>
      <c r="EJ100" s="479"/>
      <c r="EK100" s="479"/>
      <c r="EL100" s="479"/>
      <c r="EM100" s="479"/>
      <c r="EN100" s="479"/>
      <c r="EO100" s="479"/>
    </row>
    <row r="101" spans="5:145" s="746" customFormat="1" ht="14.4" hidden="1" x14ac:dyDescent="0.55000000000000004">
      <c r="E101" s="767">
        <v>2024</v>
      </c>
      <c r="F101" s="768">
        <v>7916.3318600000011</v>
      </c>
      <c r="G101" s="768">
        <v>1051.0211920000004</v>
      </c>
      <c r="H101" s="768">
        <v>408.09067800000003</v>
      </c>
      <c r="I101" s="768">
        <v>4127.8302130000011</v>
      </c>
      <c r="J101" s="768">
        <v>1656.9890179999998</v>
      </c>
      <c r="K101" s="768">
        <v>672.40075900000011</v>
      </c>
      <c r="L101" s="768">
        <v>1394.561236</v>
      </c>
      <c r="M101" s="768">
        <v>1445.126131</v>
      </c>
      <c r="N101" s="768">
        <v>513.62977600000011</v>
      </c>
      <c r="O101" s="768">
        <v>347.28275600000001</v>
      </c>
      <c r="P101" s="475"/>
      <c r="Q101" s="767">
        <v>2024</v>
      </c>
      <c r="R101" s="768">
        <v>7916.3318600000011</v>
      </c>
      <c r="S101" s="768">
        <v>1051.0211920000004</v>
      </c>
      <c r="T101" s="768">
        <v>408.09067800000003</v>
      </c>
      <c r="U101" s="768">
        <v>4127.8302130000011</v>
      </c>
      <c r="V101" s="768">
        <v>1656.9890179999998</v>
      </c>
      <c r="W101" s="768">
        <v>672.40075900000011</v>
      </c>
      <c r="X101" s="768">
        <v>1394.561236</v>
      </c>
      <c r="Y101" s="768">
        <v>1445.126131</v>
      </c>
      <c r="Z101" s="768">
        <v>513.62977600000011</v>
      </c>
      <c r="AA101" s="768">
        <v>347.28275600000001</v>
      </c>
      <c r="AB101" s="480"/>
      <c r="AC101" s="767">
        <v>2024</v>
      </c>
      <c r="AD101" s="768">
        <v>7916.3318600000011</v>
      </c>
      <c r="AE101" s="768">
        <v>1051.0211920000004</v>
      </c>
      <c r="AF101" s="768">
        <v>408.09067800000003</v>
      </c>
      <c r="AG101" s="768">
        <v>4127.8302130000011</v>
      </c>
      <c r="AH101" s="768">
        <v>1656.9890179999998</v>
      </c>
      <c r="AI101" s="768">
        <v>672.40075900000011</v>
      </c>
      <c r="AJ101" s="768">
        <v>1394.561236</v>
      </c>
      <c r="AK101" s="768">
        <v>1445.126131</v>
      </c>
      <c r="AL101" s="768">
        <v>513.62977600000011</v>
      </c>
      <c r="AM101" s="768">
        <v>347.28275600000001</v>
      </c>
      <c r="AN101" s="475"/>
      <c r="AO101" s="769">
        <v>2024</v>
      </c>
      <c r="AP101" s="770">
        <v>7916.3318600000011</v>
      </c>
      <c r="AQ101" s="770">
        <v>1051.0211920000004</v>
      </c>
      <c r="AR101" s="770">
        <v>408.09067800000003</v>
      </c>
      <c r="AS101" s="770">
        <v>4127.8302130000011</v>
      </c>
      <c r="AT101" s="770">
        <v>1656.9890179999998</v>
      </c>
      <c r="AU101" s="770">
        <v>672.40075900000011</v>
      </c>
      <c r="AV101" s="770">
        <v>1394.561236</v>
      </c>
      <c r="AW101" s="770">
        <v>1445.126131</v>
      </c>
      <c r="AX101" s="770">
        <v>513.62977600000011</v>
      </c>
      <c r="AY101" s="770">
        <v>347.28275600000001</v>
      </c>
      <c r="AZ101" s="166"/>
      <c r="BA101" s="484">
        <v>2024</v>
      </c>
      <c r="BB101" s="485">
        <v>7993.3853809999991</v>
      </c>
      <c r="BC101" s="485">
        <v>1054.2749650000003</v>
      </c>
      <c r="BD101" s="485">
        <v>406.68103299999996</v>
      </c>
      <c r="BE101" s="485">
        <v>4142.6055979999992</v>
      </c>
      <c r="BF101" s="485">
        <v>1705.7848329999999</v>
      </c>
      <c r="BG101" s="485">
        <v>684.03895199999999</v>
      </c>
      <c r="BH101" s="485">
        <v>1446.8269990000001</v>
      </c>
      <c r="BI101" s="485">
        <v>1406.216447</v>
      </c>
      <c r="BJ101" s="485">
        <v>513.11984999999993</v>
      </c>
      <c r="BK101" s="485">
        <v>348.13300199999998</v>
      </c>
      <c r="BL101" s="477"/>
      <c r="BM101" s="486">
        <v>2024</v>
      </c>
      <c r="BN101" s="487">
        <v>7993.3853809999991</v>
      </c>
      <c r="BO101" s="488">
        <v>1054.2749650000003</v>
      </c>
      <c r="BP101" s="488">
        <v>406.68103299999996</v>
      </c>
      <c r="BQ101" s="488">
        <v>4142.6055979999992</v>
      </c>
      <c r="BR101" s="488">
        <v>1705.7848329999999</v>
      </c>
      <c r="BS101" s="488">
        <v>684.03895199999999</v>
      </c>
      <c r="BT101" s="488">
        <v>1446.8269990000001</v>
      </c>
      <c r="BU101" s="488">
        <v>1406.216447</v>
      </c>
      <c r="BV101" s="488">
        <v>513.11984999999993</v>
      </c>
      <c r="BW101" s="488">
        <v>348.13300199999998</v>
      </c>
      <c r="BX101" s="476"/>
      <c r="BY101" s="769">
        <v>2024</v>
      </c>
      <c r="BZ101" s="770">
        <v>8048.0030920000008</v>
      </c>
      <c r="CA101" s="770">
        <v>1044.9195589999999</v>
      </c>
      <c r="CB101" s="770">
        <v>410.12390000000005</v>
      </c>
      <c r="CC101" s="770">
        <v>4161.6878219999999</v>
      </c>
      <c r="CD101" s="770">
        <v>1742.45937</v>
      </c>
      <c r="CE101" s="770">
        <v>688.81244100000004</v>
      </c>
      <c r="CF101" s="770">
        <v>1413.5121959999999</v>
      </c>
      <c r="CG101" s="770">
        <v>1447.5604639999999</v>
      </c>
      <c r="CH101" s="770">
        <v>504.98849200000012</v>
      </c>
      <c r="CI101" s="770">
        <v>342.827583</v>
      </c>
      <c r="CJ101" s="125"/>
      <c r="CK101" s="766"/>
      <c r="CL101" s="773"/>
      <c r="CM101" s="774"/>
      <c r="CN101" s="774"/>
      <c r="CO101" s="774"/>
      <c r="CP101" s="774"/>
      <c r="CQ101" s="774"/>
      <c r="CR101" s="774"/>
      <c r="CS101" s="774"/>
      <c r="CT101" s="774"/>
      <c r="CU101" s="774"/>
      <c r="CV101" s="478"/>
      <c r="CW101" s="478"/>
      <c r="CX101" s="478"/>
      <c r="CY101" s="478"/>
      <c r="CZ101" s="478"/>
      <c r="DA101" s="478"/>
      <c r="DB101" s="478"/>
      <c r="DC101" s="478"/>
      <c r="DD101" s="478"/>
      <c r="DE101" s="478"/>
      <c r="DF101" s="478"/>
      <c r="DG101" s="478"/>
      <c r="DH101" s="478"/>
      <c r="DI101" s="766"/>
      <c r="DJ101" s="775"/>
      <c r="DK101" s="775"/>
      <c r="DL101" s="775"/>
      <c r="DM101" s="775"/>
      <c r="DN101" s="775"/>
      <c r="DO101" s="775"/>
      <c r="DP101" s="775"/>
      <c r="DQ101" s="775"/>
      <c r="DR101" s="775"/>
      <c r="DS101" s="775"/>
      <c r="DT101" s="478"/>
      <c r="DU101" s="766"/>
      <c r="DV101" s="775"/>
      <c r="DW101" s="775"/>
      <c r="DX101" s="775"/>
      <c r="DY101" s="775"/>
      <c r="DZ101" s="775"/>
      <c r="EA101" s="775"/>
      <c r="EB101" s="775"/>
      <c r="EC101" s="775"/>
      <c r="ED101" s="775"/>
      <c r="EE101" s="775"/>
      <c r="EF101" s="479"/>
      <c r="EG101" s="479"/>
      <c r="EH101" s="479"/>
      <c r="EI101" s="479"/>
      <c r="EJ101" s="479"/>
      <c r="EK101" s="479"/>
      <c r="EL101" s="479"/>
      <c r="EM101" s="479"/>
      <c r="EN101" s="479"/>
      <c r="EO101" s="479"/>
    </row>
    <row r="102" spans="5:145" s="746" customFormat="1" ht="14.4" hidden="1" x14ac:dyDescent="0.55000000000000004">
      <c r="E102" s="767">
        <v>2025</v>
      </c>
      <c r="F102" s="768">
        <v>7983.1388939999997</v>
      </c>
      <c r="G102" s="768">
        <v>1055.0103700000002</v>
      </c>
      <c r="H102" s="768">
        <v>407.69868300000002</v>
      </c>
      <c r="I102" s="768">
        <v>4153.8881350000001</v>
      </c>
      <c r="J102" s="768">
        <v>1689.1155499999998</v>
      </c>
      <c r="K102" s="768">
        <v>677.42615599999999</v>
      </c>
      <c r="L102" s="768">
        <v>1395.256447</v>
      </c>
      <c r="M102" s="768">
        <v>1458.9575830000001</v>
      </c>
      <c r="N102" s="768">
        <v>514.15009099999997</v>
      </c>
      <c r="O102" s="768">
        <v>349.75826799999999</v>
      </c>
      <c r="P102" s="475"/>
      <c r="Q102" s="767">
        <v>2025</v>
      </c>
      <c r="R102" s="768">
        <v>7983.1388939999997</v>
      </c>
      <c r="S102" s="768">
        <v>1055.0103700000002</v>
      </c>
      <c r="T102" s="768">
        <v>407.69868300000002</v>
      </c>
      <c r="U102" s="768">
        <v>4153.8881350000001</v>
      </c>
      <c r="V102" s="768">
        <v>1689.1155499999998</v>
      </c>
      <c r="W102" s="768">
        <v>677.42615599999999</v>
      </c>
      <c r="X102" s="768">
        <v>1395.256447</v>
      </c>
      <c r="Y102" s="768">
        <v>1458.9575830000001</v>
      </c>
      <c r="Z102" s="768">
        <v>514.15009099999997</v>
      </c>
      <c r="AA102" s="768">
        <v>349.75826799999999</v>
      </c>
      <c r="AB102" s="480"/>
      <c r="AC102" s="767">
        <v>2025</v>
      </c>
      <c r="AD102" s="768">
        <v>7983.1388939999997</v>
      </c>
      <c r="AE102" s="768">
        <v>1055.0103700000002</v>
      </c>
      <c r="AF102" s="768">
        <v>407.69868300000002</v>
      </c>
      <c r="AG102" s="768">
        <v>4153.8881350000001</v>
      </c>
      <c r="AH102" s="768">
        <v>1689.1155499999998</v>
      </c>
      <c r="AI102" s="768">
        <v>677.42615599999999</v>
      </c>
      <c r="AJ102" s="768">
        <v>1395.256447</v>
      </c>
      <c r="AK102" s="768">
        <v>1458.9575830000001</v>
      </c>
      <c r="AL102" s="768">
        <v>514.15009099999997</v>
      </c>
      <c r="AM102" s="768">
        <v>349.75826799999999</v>
      </c>
      <c r="AN102" s="475"/>
      <c r="AO102" s="769">
        <v>2025</v>
      </c>
      <c r="AP102" s="770">
        <v>7983.1388939999997</v>
      </c>
      <c r="AQ102" s="770">
        <v>1055.0103700000002</v>
      </c>
      <c r="AR102" s="770">
        <v>407.69868300000002</v>
      </c>
      <c r="AS102" s="770">
        <v>4153.8881350000001</v>
      </c>
      <c r="AT102" s="770">
        <v>1689.1155499999998</v>
      </c>
      <c r="AU102" s="770">
        <v>677.42615599999999</v>
      </c>
      <c r="AV102" s="770">
        <v>1395.256447</v>
      </c>
      <c r="AW102" s="770">
        <v>1458.9575830000001</v>
      </c>
      <c r="AX102" s="770">
        <v>514.15009099999997</v>
      </c>
      <c r="AY102" s="770">
        <v>349.75826799999999</v>
      </c>
      <c r="AZ102" s="166"/>
      <c r="BA102" s="484">
        <v>2025</v>
      </c>
      <c r="BB102" s="485">
        <v>8064.4406010000002</v>
      </c>
      <c r="BC102" s="485">
        <v>1058.3236999999999</v>
      </c>
      <c r="BD102" s="485">
        <v>405.96770300000003</v>
      </c>
      <c r="BE102" s="485">
        <v>4169.1213229999994</v>
      </c>
      <c r="BF102" s="485">
        <v>1741.4173430000008</v>
      </c>
      <c r="BG102" s="485">
        <v>689.61053199999981</v>
      </c>
      <c r="BH102" s="485">
        <v>1448.9835009999999</v>
      </c>
      <c r="BI102" s="485">
        <v>1418.744193</v>
      </c>
      <c r="BJ102" s="485">
        <v>513.43461999999988</v>
      </c>
      <c r="BK102" s="485">
        <v>350.62582199999997</v>
      </c>
      <c r="BL102" s="477"/>
      <c r="BM102" s="486">
        <v>2025</v>
      </c>
      <c r="BN102" s="487">
        <v>8064.4406010000002</v>
      </c>
      <c r="BO102" s="488">
        <v>1058.3236999999999</v>
      </c>
      <c r="BP102" s="488">
        <v>405.96770300000003</v>
      </c>
      <c r="BQ102" s="488">
        <v>4169.1213229999994</v>
      </c>
      <c r="BR102" s="488">
        <v>1741.4173430000008</v>
      </c>
      <c r="BS102" s="488">
        <v>689.61053199999981</v>
      </c>
      <c r="BT102" s="488">
        <v>1448.9835009999999</v>
      </c>
      <c r="BU102" s="488">
        <v>1418.744193</v>
      </c>
      <c r="BV102" s="488">
        <v>513.43461999999988</v>
      </c>
      <c r="BW102" s="488">
        <v>350.62582199999997</v>
      </c>
      <c r="BX102" s="476"/>
      <c r="BY102" s="769">
        <v>2025</v>
      </c>
      <c r="BZ102" s="770">
        <v>8122.4205629999997</v>
      </c>
      <c r="CA102" s="770">
        <v>1048.499082</v>
      </c>
      <c r="CB102" s="770">
        <v>409.660076</v>
      </c>
      <c r="CC102" s="770">
        <v>4189.7016969999986</v>
      </c>
      <c r="CD102" s="770">
        <v>1780.2168450000004</v>
      </c>
      <c r="CE102" s="770">
        <v>694.34286300000008</v>
      </c>
      <c r="CF102" s="770">
        <v>1414.8723419999999</v>
      </c>
      <c r="CG102" s="770">
        <v>1461.6252339999999</v>
      </c>
      <c r="CH102" s="770">
        <v>505.164424</v>
      </c>
      <c r="CI102" s="770">
        <v>345.08455099999998</v>
      </c>
      <c r="CJ102" s="125"/>
      <c r="CK102" s="766"/>
      <c r="CL102" s="773"/>
      <c r="CM102" s="774"/>
      <c r="CN102" s="774"/>
      <c r="CO102" s="774"/>
      <c r="CP102" s="774"/>
      <c r="CQ102" s="774"/>
      <c r="CR102" s="774"/>
      <c r="CS102" s="774"/>
      <c r="CT102" s="774"/>
      <c r="CU102" s="774"/>
      <c r="CV102" s="478"/>
      <c r="CW102" s="478"/>
      <c r="CX102" s="478"/>
      <c r="CY102" s="478"/>
      <c r="CZ102" s="478"/>
      <c r="DA102" s="478"/>
      <c r="DB102" s="478"/>
      <c r="DC102" s="478"/>
      <c r="DD102" s="478"/>
      <c r="DE102" s="478"/>
      <c r="DF102" s="478"/>
      <c r="DG102" s="478"/>
      <c r="DH102" s="478"/>
      <c r="DI102" s="766"/>
      <c r="DJ102" s="775"/>
      <c r="DK102" s="775"/>
      <c r="DL102" s="775"/>
      <c r="DM102" s="775"/>
      <c r="DN102" s="775"/>
      <c r="DO102" s="775"/>
      <c r="DP102" s="775"/>
      <c r="DQ102" s="775"/>
      <c r="DR102" s="775"/>
      <c r="DS102" s="775"/>
      <c r="DT102" s="478"/>
      <c r="DU102" s="766"/>
      <c r="DV102" s="775"/>
      <c r="DW102" s="775"/>
      <c r="DX102" s="775"/>
      <c r="DY102" s="775"/>
      <c r="DZ102" s="775"/>
      <c r="EA102" s="775"/>
      <c r="EB102" s="775"/>
      <c r="EC102" s="775"/>
      <c r="ED102" s="775"/>
      <c r="EE102" s="775"/>
      <c r="EF102" s="479"/>
      <c r="EG102" s="479"/>
      <c r="EH102" s="479"/>
      <c r="EI102" s="479"/>
      <c r="EJ102" s="479"/>
      <c r="EK102" s="479"/>
      <c r="EL102" s="479"/>
      <c r="EM102" s="479"/>
      <c r="EN102" s="479"/>
      <c r="EO102" s="479"/>
    </row>
    <row r="103" spans="5:145" s="746" customFormat="1" ht="14.4" hidden="1" x14ac:dyDescent="0.55000000000000004">
      <c r="E103" s="767">
        <v>2026</v>
      </c>
      <c r="F103" s="768">
        <v>8048.8232850000004</v>
      </c>
      <c r="G103" s="768">
        <v>1058.8712390000001</v>
      </c>
      <c r="H103" s="768">
        <v>407.22313999999994</v>
      </c>
      <c r="I103" s="768">
        <v>4178.9863370000003</v>
      </c>
      <c r="J103" s="768">
        <v>1721.4433179999999</v>
      </c>
      <c r="K103" s="768">
        <v>682.29925099999991</v>
      </c>
      <c r="L103" s="768">
        <v>1395.5735569999999</v>
      </c>
      <c r="M103" s="768">
        <v>1472.4880449999998</v>
      </c>
      <c r="N103" s="768">
        <v>514.61084600000004</v>
      </c>
      <c r="O103" s="768">
        <v>352.20311200000003</v>
      </c>
      <c r="P103" s="475"/>
      <c r="Q103" s="767">
        <v>2026</v>
      </c>
      <c r="R103" s="768">
        <v>8048.8232850000004</v>
      </c>
      <c r="S103" s="768">
        <v>1058.8712390000001</v>
      </c>
      <c r="T103" s="768">
        <v>407.22313999999994</v>
      </c>
      <c r="U103" s="768">
        <v>4178.9863370000003</v>
      </c>
      <c r="V103" s="768">
        <v>1721.4433179999999</v>
      </c>
      <c r="W103" s="768">
        <v>682.29925099999991</v>
      </c>
      <c r="X103" s="768">
        <v>1395.5735569999999</v>
      </c>
      <c r="Y103" s="768">
        <v>1472.4880449999998</v>
      </c>
      <c r="Z103" s="768">
        <v>514.61084600000004</v>
      </c>
      <c r="AA103" s="768">
        <v>352.20311200000003</v>
      </c>
      <c r="AB103" s="480"/>
      <c r="AC103" s="767">
        <v>2026</v>
      </c>
      <c r="AD103" s="768">
        <v>8048.8232850000004</v>
      </c>
      <c r="AE103" s="768">
        <v>1058.8712390000001</v>
      </c>
      <c r="AF103" s="768">
        <v>407.22313999999994</v>
      </c>
      <c r="AG103" s="768">
        <v>4178.9863370000003</v>
      </c>
      <c r="AH103" s="768">
        <v>1721.4433179999999</v>
      </c>
      <c r="AI103" s="768">
        <v>682.29925099999991</v>
      </c>
      <c r="AJ103" s="768">
        <v>1395.5735569999999</v>
      </c>
      <c r="AK103" s="768">
        <v>1472.4880449999998</v>
      </c>
      <c r="AL103" s="768">
        <v>514.61084600000004</v>
      </c>
      <c r="AM103" s="768">
        <v>352.20311200000003</v>
      </c>
      <c r="AN103" s="475"/>
      <c r="AO103" s="769">
        <v>2026</v>
      </c>
      <c r="AP103" s="770">
        <v>8048.8232850000004</v>
      </c>
      <c r="AQ103" s="770">
        <v>1058.8712390000001</v>
      </c>
      <c r="AR103" s="770">
        <v>407.22313999999994</v>
      </c>
      <c r="AS103" s="770">
        <v>4178.9863370000003</v>
      </c>
      <c r="AT103" s="770">
        <v>1721.4433179999999</v>
      </c>
      <c r="AU103" s="770">
        <v>682.29925099999991</v>
      </c>
      <c r="AV103" s="770">
        <v>1395.5735569999999</v>
      </c>
      <c r="AW103" s="770">
        <v>1472.4880449999998</v>
      </c>
      <c r="AX103" s="770">
        <v>514.61084600000004</v>
      </c>
      <c r="AY103" s="770">
        <v>352.20311200000003</v>
      </c>
      <c r="AZ103" s="166"/>
      <c r="BA103" s="484">
        <v>2026</v>
      </c>
      <c r="BB103" s="485">
        <v>8134.493147000001</v>
      </c>
      <c r="BC103" s="485">
        <v>1062.2684830000001</v>
      </c>
      <c r="BD103" s="485">
        <v>405.17637099999996</v>
      </c>
      <c r="BE103" s="485">
        <v>4194.5890850000005</v>
      </c>
      <c r="BF103" s="485">
        <v>1777.4105639999998</v>
      </c>
      <c r="BG103" s="485">
        <v>695.04864400000008</v>
      </c>
      <c r="BH103" s="485">
        <v>1450.6888670000001</v>
      </c>
      <c r="BI103" s="485">
        <v>1430.9412990000001</v>
      </c>
      <c r="BJ103" s="485">
        <v>513.69179799999995</v>
      </c>
      <c r="BK103" s="485">
        <v>353.09470199999998</v>
      </c>
      <c r="BL103" s="477"/>
      <c r="BM103" s="486">
        <v>2026</v>
      </c>
      <c r="BN103" s="487">
        <v>8134.493147000001</v>
      </c>
      <c r="BO103" s="488">
        <v>1062.2684830000001</v>
      </c>
      <c r="BP103" s="488">
        <v>405.17637099999996</v>
      </c>
      <c r="BQ103" s="488">
        <v>4194.5890850000005</v>
      </c>
      <c r="BR103" s="488">
        <v>1777.4105639999998</v>
      </c>
      <c r="BS103" s="488">
        <v>695.04864400000008</v>
      </c>
      <c r="BT103" s="488">
        <v>1450.6888670000001</v>
      </c>
      <c r="BU103" s="488">
        <v>1430.9412990000001</v>
      </c>
      <c r="BV103" s="488">
        <v>513.69179799999995</v>
      </c>
      <c r="BW103" s="488">
        <v>353.09470199999998</v>
      </c>
      <c r="BX103" s="476"/>
      <c r="BY103" s="769">
        <v>2026</v>
      </c>
      <c r="BZ103" s="770">
        <v>8195.8749960000023</v>
      </c>
      <c r="CA103" s="770">
        <v>1051.9984940000002</v>
      </c>
      <c r="CB103" s="770">
        <v>409.09693099999998</v>
      </c>
      <c r="CC103" s="770">
        <v>4216.7382200000002</v>
      </c>
      <c r="CD103" s="770">
        <v>1818.3148690000007</v>
      </c>
      <c r="CE103" s="770">
        <v>699.72648200000003</v>
      </c>
      <c r="CF103" s="770">
        <v>1415.799771</v>
      </c>
      <c r="CG103" s="770">
        <v>1475.4246009999999</v>
      </c>
      <c r="CH103" s="770">
        <v>505.28963400000004</v>
      </c>
      <c r="CI103" s="770">
        <v>347.30449800000002</v>
      </c>
      <c r="CJ103" s="125"/>
      <c r="CK103" s="766"/>
      <c r="CL103" s="773"/>
      <c r="CM103" s="774"/>
      <c r="CN103" s="774"/>
      <c r="CO103" s="774"/>
      <c r="CP103" s="774"/>
      <c r="CQ103" s="774"/>
      <c r="CR103" s="774"/>
      <c r="CS103" s="774"/>
      <c r="CT103" s="774"/>
      <c r="CU103" s="774"/>
      <c r="CV103" s="478"/>
      <c r="CW103" s="478"/>
      <c r="CX103" s="478"/>
      <c r="CY103" s="478"/>
      <c r="CZ103" s="478"/>
      <c r="DA103" s="478"/>
      <c r="DB103" s="478"/>
      <c r="DC103" s="478"/>
      <c r="DD103" s="478"/>
      <c r="DE103" s="478"/>
      <c r="DF103" s="478"/>
      <c r="DG103" s="478"/>
      <c r="DH103" s="478"/>
      <c r="DI103" s="766"/>
      <c r="DJ103" s="775"/>
      <c r="DK103" s="775"/>
      <c r="DL103" s="775"/>
      <c r="DM103" s="775"/>
      <c r="DN103" s="775"/>
      <c r="DO103" s="775"/>
      <c r="DP103" s="775"/>
      <c r="DQ103" s="775"/>
      <c r="DR103" s="775"/>
      <c r="DS103" s="775"/>
      <c r="DT103" s="478"/>
      <c r="DU103" s="766"/>
      <c r="DV103" s="775"/>
      <c r="DW103" s="775"/>
      <c r="DX103" s="775"/>
      <c r="DY103" s="775"/>
      <c r="DZ103" s="775"/>
      <c r="EA103" s="775"/>
      <c r="EB103" s="775"/>
      <c r="EC103" s="775"/>
      <c r="ED103" s="775"/>
      <c r="EE103" s="775"/>
      <c r="EF103" s="479"/>
      <c r="EG103" s="479"/>
      <c r="EH103" s="479"/>
      <c r="EI103" s="479"/>
      <c r="EJ103" s="479"/>
      <c r="EK103" s="479"/>
      <c r="EL103" s="479"/>
      <c r="EM103" s="479"/>
      <c r="EN103" s="479"/>
      <c r="EO103" s="479"/>
    </row>
    <row r="104" spans="5:145" s="746" customFormat="1" ht="14.4" hidden="1" x14ac:dyDescent="0.55000000000000004">
      <c r="E104" s="767">
        <v>2027</v>
      </c>
      <c r="F104" s="768">
        <v>8113.3636350000006</v>
      </c>
      <c r="G104" s="768">
        <v>1062.6042359999999</v>
      </c>
      <c r="H104" s="768">
        <v>406.66722700000003</v>
      </c>
      <c r="I104" s="768">
        <v>4203.1109900000001</v>
      </c>
      <c r="J104" s="768">
        <v>1753.9639280000008</v>
      </c>
      <c r="K104" s="768">
        <v>687.01725400000009</v>
      </c>
      <c r="L104" s="768">
        <v>1395.5126499999999</v>
      </c>
      <c r="M104" s="768">
        <v>1485.7094589999999</v>
      </c>
      <c r="N104" s="768">
        <v>515.01222399999995</v>
      </c>
      <c r="O104" s="768">
        <v>354.617007</v>
      </c>
      <c r="P104" s="475"/>
      <c r="Q104" s="767">
        <v>2027</v>
      </c>
      <c r="R104" s="768">
        <v>8113.3636350000006</v>
      </c>
      <c r="S104" s="768">
        <v>1062.6042359999999</v>
      </c>
      <c r="T104" s="768">
        <v>406.66722700000003</v>
      </c>
      <c r="U104" s="768">
        <v>4203.1109900000001</v>
      </c>
      <c r="V104" s="768">
        <v>1753.9639280000008</v>
      </c>
      <c r="W104" s="768">
        <v>687.01725400000009</v>
      </c>
      <c r="X104" s="768">
        <v>1395.5126499999999</v>
      </c>
      <c r="Y104" s="768">
        <v>1485.7094589999999</v>
      </c>
      <c r="Z104" s="768">
        <v>515.01222399999995</v>
      </c>
      <c r="AA104" s="768">
        <v>354.617007</v>
      </c>
      <c r="AB104" s="480"/>
      <c r="AC104" s="767">
        <v>2027</v>
      </c>
      <c r="AD104" s="768">
        <v>8113.3636350000006</v>
      </c>
      <c r="AE104" s="768">
        <v>1062.6042359999999</v>
      </c>
      <c r="AF104" s="768">
        <v>406.66722700000003</v>
      </c>
      <c r="AG104" s="768">
        <v>4203.1109900000001</v>
      </c>
      <c r="AH104" s="768">
        <v>1753.9639280000008</v>
      </c>
      <c r="AI104" s="768">
        <v>687.01725400000009</v>
      </c>
      <c r="AJ104" s="768">
        <v>1395.5126499999999</v>
      </c>
      <c r="AK104" s="768">
        <v>1485.7094589999999</v>
      </c>
      <c r="AL104" s="768">
        <v>515.01222399999995</v>
      </c>
      <c r="AM104" s="768">
        <v>354.617007</v>
      </c>
      <c r="AN104" s="475"/>
      <c r="AO104" s="769">
        <v>2027</v>
      </c>
      <c r="AP104" s="770">
        <v>8113.3636350000006</v>
      </c>
      <c r="AQ104" s="770">
        <v>1062.6042359999999</v>
      </c>
      <c r="AR104" s="770">
        <v>406.66722700000003</v>
      </c>
      <c r="AS104" s="770">
        <v>4203.1109900000001</v>
      </c>
      <c r="AT104" s="770">
        <v>1753.9639280000008</v>
      </c>
      <c r="AU104" s="770">
        <v>687.01725400000009</v>
      </c>
      <c r="AV104" s="770">
        <v>1395.5126499999999</v>
      </c>
      <c r="AW104" s="770">
        <v>1485.7094589999999</v>
      </c>
      <c r="AX104" s="770">
        <v>515.01222399999995</v>
      </c>
      <c r="AY104" s="770">
        <v>354.617007</v>
      </c>
      <c r="AZ104" s="166"/>
      <c r="BA104" s="484">
        <v>2027</v>
      </c>
      <c r="BB104" s="485">
        <v>8203.5327429999998</v>
      </c>
      <c r="BC104" s="485">
        <v>1066.1091249999999</v>
      </c>
      <c r="BD104" s="485">
        <v>404.31017599999996</v>
      </c>
      <c r="BE104" s="485">
        <v>4218.9999699999998</v>
      </c>
      <c r="BF104" s="485">
        <v>1813.762706</v>
      </c>
      <c r="BG104" s="485">
        <v>700.35076600000002</v>
      </c>
      <c r="BH104" s="485">
        <v>1451.942976</v>
      </c>
      <c r="BI104" s="485">
        <v>1442.8071029999999</v>
      </c>
      <c r="BJ104" s="485">
        <v>513.89277200000004</v>
      </c>
      <c r="BK104" s="485">
        <v>355.53653200000002</v>
      </c>
      <c r="BL104" s="477"/>
      <c r="BM104" s="486">
        <v>2027</v>
      </c>
      <c r="BN104" s="487">
        <v>8203.5327429999998</v>
      </c>
      <c r="BO104" s="488">
        <v>1066.1091249999999</v>
      </c>
      <c r="BP104" s="488">
        <v>404.31017599999996</v>
      </c>
      <c r="BQ104" s="488">
        <v>4218.9999699999998</v>
      </c>
      <c r="BR104" s="488">
        <v>1813.762706</v>
      </c>
      <c r="BS104" s="488">
        <v>700.35076600000002</v>
      </c>
      <c r="BT104" s="488">
        <v>1451.942976</v>
      </c>
      <c r="BU104" s="488">
        <v>1442.8071029999999</v>
      </c>
      <c r="BV104" s="488">
        <v>513.89277200000004</v>
      </c>
      <c r="BW104" s="488">
        <v>355.53653200000002</v>
      </c>
      <c r="BX104" s="476"/>
      <c r="BY104" s="769">
        <v>2027</v>
      </c>
      <c r="BZ104" s="770">
        <v>8268.3495879999991</v>
      </c>
      <c r="CA104" s="770">
        <v>1055.4167649999999</v>
      </c>
      <c r="CB104" s="770">
        <v>408.438605</v>
      </c>
      <c r="CC104" s="770">
        <v>4242.7746169999991</v>
      </c>
      <c r="CD104" s="770">
        <v>1856.7583309999998</v>
      </c>
      <c r="CE104" s="770">
        <v>704.96127000000001</v>
      </c>
      <c r="CF104" s="770">
        <v>1416.29413</v>
      </c>
      <c r="CG104" s="770">
        <v>1488.9430440000001</v>
      </c>
      <c r="CH104" s="770">
        <v>505.36287800000002</v>
      </c>
      <c r="CI104" s="770">
        <v>349.486222</v>
      </c>
      <c r="CJ104" s="125"/>
      <c r="CK104" s="766"/>
      <c r="CL104" s="773"/>
      <c r="CM104" s="774"/>
      <c r="CN104" s="774"/>
      <c r="CO104" s="774"/>
      <c r="CP104" s="774"/>
      <c r="CQ104" s="774"/>
      <c r="CR104" s="774"/>
      <c r="CS104" s="774"/>
      <c r="CT104" s="774"/>
      <c r="CU104" s="774"/>
      <c r="CV104" s="478"/>
      <c r="CW104" s="478"/>
      <c r="CX104" s="478"/>
      <c r="CY104" s="478"/>
      <c r="CZ104" s="478"/>
      <c r="DA104" s="478"/>
      <c r="DB104" s="478"/>
      <c r="DC104" s="478"/>
      <c r="DD104" s="478"/>
      <c r="DE104" s="478"/>
      <c r="DF104" s="478"/>
      <c r="DG104" s="478"/>
      <c r="DH104" s="478"/>
      <c r="DI104" s="766"/>
      <c r="DJ104" s="775"/>
      <c r="DK104" s="775"/>
      <c r="DL104" s="775"/>
      <c r="DM104" s="775"/>
      <c r="DN104" s="775"/>
      <c r="DO104" s="775"/>
      <c r="DP104" s="775"/>
      <c r="DQ104" s="775"/>
      <c r="DR104" s="775"/>
      <c r="DS104" s="775"/>
      <c r="DT104" s="478"/>
      <c r="DU104" s="766"/>
      <c r="DV104" s="775"/>
      <c r="DW104" s="775"/>
      <c r="DX104" s="775"/>
      <c r="DY104" s="775"/>
      <c r="DZ104" s="775"/>
      <c r="EA104" s="775"/>
      <c r="EB104" s="775"/>
      <c r="EC104" s="775"/>
      <c r="ED104" s="775"/>
      <c r="EE104" s="775"/>
      <c r="EF104" s="479"/>
      <c r="EG104" s="479"/>
      <c r="EH104" s="479"/>
      <c r="EI104" s="479"/>
      <c r="EJ104" s="479"/>
      <c r="EK104" s="479"/>
      <c r="EL104" s="479"/>
      <c r="EM104" s="479"/>
      <c r="EN104" s="479"/>
      <c r="EO104" s="479"/>
    </row>
    <row r="105" spans="5:145" s="746" customFormat="1" ht="14.4" hidden="1" x14ac:dyDescent="0.55000000000000004">
      <c r="E105" s="767">
        <v>2028</v>
      </c>
      <c r="F105" s="768">
        <v>8176.7704079999985</v>
      </c>
      <c r="G105" s="768">
        <v>1066.2096329999999</v>
      </c>
      <c r="H105" s="768">
        <v>406.04217399999999</v>
      </c>
      <c r="I105" s="768">
        <v>4226.2529369999993</v>
      </c>
      <c r="J105" s="768">
        <v>1786.6886489999997</v>
      </c>
      <c r="K105" s="768">
        <v>691.57701499999996</v>
      </c>
      <c r="L105" s="768">
        <v>1395.0757620000002</v>
      </c>
      <c r="M105" s="768">
        <v>1498.617812</v>
      </c>
      <c r="N105" s="768">
        <v>515.35313399999995</v>
      </c>
      <c r="O105" s="768">
        <v>357.00043399999998</v>
      </c>
      <c r="P105" s="475"/>
      <c r="Q105" s="767">
        <v>2028</v>
      </c>
      <c r="R105" s="768">
        <v>8176.7704079999985</v>
      </c>
      <c r="S105" s="768">
        <v>1066.2096329999999</v>
      </c>
      <c r="T105" s="768">
        <v>406.04217399999999</v>
      </c>
      <c r="U105" s="768">
        <v>4226.2529369999993</v>
      </c>
      <c r="V105" s="768">
        <v>1786.6886489999997</v>
      </c>
      <c r="W105" s="768">
        <v>691.57701499999996</v>
      </c>
      <c r="X105" s="768">
        <v>1395.0757620000002</v>
      </c>
      <c r="Y105" s="768">
        <v>1498.617812</v>
      </c>
      <c r="Z105" s="768">
        <v>515.35313399999995</v>
      </c>
      <c r="AA105" s="768">
        <v>357.00043399999998</v>
      </c>
      <c r="AB105" s="480"/>
      <c r="AC105" s="767">
        <v>2028</v>
      </c>
      <c r="AD105" s="768">
        <v>8176.7704079999985</v>
      </c>
      <c r="AE105" s="768">
        <v>1066.2096329999999</v>
      </c>
      <c r="AF105" s="768">
        <v>406.04217399999999</v>
      </c>
      <c r="AG105" s="768">
        <v>4226.2529369999993</v>
      </c>
      <c r="AH105" s="768">
        <v>1786.6886489999997</v>
      </c>
      <c r="AI105" s="768">
        <v>691.57701499999996</v>
      </c>
      <c r="AJ105" s="768">
        <v>1395.0757620000002</v>
      </c>
      <c r="AK105" s="768">
        <v>1498.617812</v>
      </c>
      <c r="AL105" s="768">
        <v>515.35313399999995</v>
      </c>
      <c r="AM105" s="768">
        <v>357.00043399999998</v>
      </c>
      <c r="AN105" s="475"/>
      <c r="AO105" s="769">
        <v>2028</v>
      </c>
      <c r="AP105" s="770">
        <v>8176.7704079999985</v>
      </c>
      <c r="AQ105" s="770">
        <v>1066.2096329999999</v>
      </c>
      <c r="AR105" s="770">
        <v>406.04217399999999</v>
      </c>
      <c r="AS105" s="770">
        <v>4226.2529369999993</v>
      </c>
      <c r="AT105" s="770">
        <v>1786.6886489999997</v>
      </c>
      <c r="AU105" s="770">
        <v>691.57701499999996</v>
      </c>
      <c r="AV105" s="770">
        <v>1395.0757620000002</v>
      </c>
      <c r="AW105" s="770">
        <v>1498.617812</v>
      </c>
      <c r="AX105" s="770">
        <v>515.35313399999995</v>
      </c>
      <c r="AY105" s="770">
        <v>357.00043399999998</v>
      </c>
      <c r="AZ105" s="166"/>
      <c r="BA105" s="484">
        <v>2028</v>
      </c>
      <c r="BB105" s="485">
        <v>8271.5921589999998</v>
      </c>
      <c r="BC105" s="485">
        <v>1069.8398629999999</v>
      </c>
      <c r="BD105" s="485">
        <v>403.37943700000005</v>
      </c>
      <c r="BE105" s="485">
        <v>4242.370155999999</v>
      </c>
      <c r="BF105" s="485">
        <v>1850.4900170000001</v>
      </c>
      <c r="BG105" s="485">
        <v>705.51268600000014</v>
      </c>
      <c r="BH105" s="485">
        <v>1452.775705</v>
      </c>
      <c r="BI105" s="485">
        <v>1454.336229</v>
      </c>
      <c r="BJ105" s="485">
        <v>514.03947900000003</v>
      </c>
      <c r="BK105" s="485">
        <v>357.944524</v>
      </c>
      <c r="BL105" s="477"/>
      <c r="BM105" s="486">
        <v>2028</v>
      </c>
      <c r="BN105" s="487">
        <v>8271.5921589999998</v>
      </c>
      <c r="BO105" s="488">
        <v>1069.8398629999999</v>
      </c>
      <c r="BP105" s="488">
        <v>403.37943700000005</v>
      </c>
      <c r="BQ105" s="488">
        <v>4242.370155999999</v>
      </c>
      <c r="BR105" s="488">
        <v>1850.4900170000001</v>
      </c>
      <c r="BS105" s="488">
        <v>705.51268600000014</v>
      </c>
      <c r="BT105" s="488">
        <v>1452.775705</v>
      </c>
      <c r="BU105" s="488">
        <v>1454.336229</v>
      </c>
      <c r="BV105" s="488">
        <v>514.03947900000003</v>
      </c>
      <c r="BW105" s="488">
        <v>357.944524</v>
      </c>
      <c r="BX105" s="476"/>
      <c r="BY105" s="769">
        <v>2028</v>
      </c>
      <c r="BZ105" s="770">
        <v>8339.8891199999998</v>
      </c>
      <c r="CA105" s="770">
        <v>1058.7455129999998</v>
      </c>
      <c r="CB105" s="770">
        <v>407.69407899999993</v>
      </c>
      <c r="CC105" s="770">
        <v>4267.8361590000004</v>
      </c>
      <c r="CD105" s="770">
        <v>1895.5670169999999</v>
      </c>
      <c r="CE105" s="770">
        <v>710.04635200000018</v>
      </c>
      <c r="CF105" s="770">
        <v>1416.391347</v>
      </c>
      <c r="CG105" s="770">
        <v>1502.165203</v>
      </c>
      <c r="CH105" s="770">
        <v>505.38739600000014</v>
      </c>
      <c r="CI105" s="770">
        <v>351.62583899999998</v>
      </c>
      <c r="CJ105" s="125"/>
      <c r="CK105" s="766"/>
      <c r="CL105" s="773"/>
      <c r="CM105" s="774"/>
      <c r="CN105" s="774"/>
      <c r="CO105" s="774"/>
      <c r="CP105" s="774"/>
      <c r="CQ105" s="774"/>
      <c r="CR105" s="774"/>
      <c r="CS105" s="774"/>
      <c r="CT105" s="774"/>
      <c r="CU105" s="774"/>
      <c r="CV105" s="478"/>
      <c r="CW105" s="478"/>
      <c r="CX105" s="478"/>
      <c r="CY105" s="478"/>
      <c r="CZ105" s="478"/>
      <c r="DA105" s="478"/>
      <c r="DB105" s="478"/>
      <c r="DC105" s="478"/>
      <c r="DD105" s="478"/>
      <c r="DE105" s="478"/>
      <c r="DF105" s="478"/>
      <c r="DG105" s="478"/>
      <c r="DH105" s="478"/>
      <c r="DI105" s="766"/>
      <c r="DJ105" s="775"/>
      <c r="DK105" s="775"/>
      <c r="DL105" s="775"/>
      <c r="DM105" s="775"/>
      <c r="DN105" s="775"/>
      <c r="DO105" s="775"/>
      <c r="DP105" s="775"/>
      <c r="DQ105" s="775"/>
      <c r="DR105" s="775"/>
      <c r="DS105" s="775"/>
      <c r="DT105" s="478"/>
      <c r="DU105" s="766"/>
      <c r="DV105" s="775"/>
      <c r="DW105" s="775"/>
      <c r="DX105" s="775"/>
      <c r="DY105" s="775"/>
      <c r="DZ105" s="775"/>
      <c r="EA105" s="775"/>
      <c r="EB105" s="775"/>
      <c r="EC105" s="775"/>
      <c r="ED105" s="775"/>
      <c r="EE105" s="775"/>
      <c r="EF105" s="479"/>
      <c r="EG105" s="479"/>
      <c r="EH105" s="479"/>
      <c r="EI105" s="479"/>
      <c r="EJ105" s="479"/>
      <c r="EK105" s="479"/>
      <c r="EL105" s="479"/>
      <c r="EM105" s="479"/>
      <c r="EN105" s="479"/>
      <c r="EO105" s="479"/>
    </row>
    <row r="106" spans="5:145" s="746" customFormat="1" ht="14.4" hidden="1" x14ac:dyDescent="0.55000000000000004">
      <c r="E106" s="767">
        <v>2029</v>
      </c>
      <c r="F106" s="768">
        <v>8239.0630149999979</v>
      </c>
      <c r="G106" s="768">
        <v>1069.6876280000001</v>
      </c>
      <c r="H106" s="768">
        <v>405.36276300000003</v>
      </c>
      <c r="I106" s="768">
        <v>4248.4038860000001</v>
      </c>
      <c r="J106" s="768">
        <v>1819.6328549999994</v>
      </c>
      <c r="K106" s="768">
        <v>695.97588299999995</v>
      </c>
      <c r="L106" s="768">
        <v>1394.2633289999999</v>
      </c>
      <c r="M106" s="768">
        <v>1511.2101100000002</v>
      </c>
      <c r="N106" s="768">
        <v>515.63215500000001</v>
      </c>
      <c r="O106" s="768">
        <v>359.35443400000003</v>
      </c>
      <c r="P106" s="475"/>
      <c r="Q106" s="767">
        <v>2029</v>
      </c>
      <c r="R106" s="768">
        <v>8239.0630149999979</v>
      </c>
      <c r="S106" s="768">
        <v>1069.6876280000001</v>
      </c>
      <c r="T106" s="768">
        <v>405.36276300000003</v>
      </c>
      <c r="U106" s="768">
        <v>4248.4038860000001</v>
      </c>
      <c r="V106" s="768">
        <v>1819.6328549999994</v>
      </c>
      <c r="W106" s="768">
        <v>695.97588299999995</v>
      </c>
      <c r="X106" s="768">
        <v>1394.2633289999999</v>
      </c>
      <c r="Y106" s="768">
        <v>1511.2101100000002</v>
      </c>
      <c r="Z106" s="768">
        <v>515.63215500000001</v>
      </c>
      <c r="AA106" s="768">
        <v>359.35443400000003</v>
      </c>
      <c r="AB106" s="480"/>
      <c r="AC106" s="767">
        <v>2029</v>
      </c>
      <c r="AD106" s="768">
        <v>8239.0630149999979</v>
      </c>
      <c r="AE106" s="768">
        <v>1069.6876280000001</v>
      </c>
      <c r="AF106" s="768">
        <v>405.36276300000003</v>
      </c>
      <c r="AG106" s="768">
        <v>4248.4038860000001</v>
      </c>
      <c r="AH106" s="768">
        <v>1819.6328549999994</v>
      </c>
      <c r="AI106" s="768">
        <v>695.97588299999995</v>
      </c>
      <c r="AJ106" s="768">
        <v>1394.2633289999999</v>
      </c>
      <c r="AK106" s="768">
        <v>1511.2101100000002</v>
      </c>
      <c r="AL106" s="768">
        <v>515.63215500000001</v>
      </c>
      <c r="AM106" s="768">
        <v>359.35443400000003</v>
      </c>
      <c r="AN106" s="475"/>
      <c r="AO106" s="769">
        <v>2029</v>
      </c>
      <c r="AP106" s="770">
        <v>8239.0630149999979</v>
      </c>
      <c r="AQ106" s="770">
        <v>1069.6876280000001</v>
      </c>
      <c r="AR106" s="770">
        <v>405.36276300000003</v>
      </c>
      <c r="AS106" s="770">
        <v>4248.4038860000001</v>
      </c>
      <c r="AT106" s="770">
        <v>1819.6328549999994</v>
      </c>
      <c r="AU106" s="770">
        <v>695.97588299999995</v>
      </c>
      <c r="AV106" s="770">
        <v>1394.2633289999999</v>
      </c>
      <c r="AW106" s="770">
        <v>1511.2101100000002</v>
      </c>
      <c r="AX106" s="770">
        <v>515.63215500000001</v>
      </c>
      <c r="AY106" s="770">
        <v>359.35443400000003</v>
      </c>
      <c r="AZ106" s="166"/>
      <c r="BA106" s="484">
        <v>2029</v>
      </c>
      <c r="BB106" s="485">
        <v>8338.7145919999984</v>
      </c>
      <c r="BC106" s="485">
        <v>1073.4527390000001</v>
      </c>
      <c r="BD106" s="485">
        <v>402.39667299999991</v>
      </c>
      <c r="BE106" s="485">
        <v>4264.723058999999</v>
      </c>
      <c r="BF106" s="485">
        <v>1887.6114909999997</v>
      </c>
      <c r="BG106" s="485">
        <v>710.53062999999997</v>
      </c>
      <c r="BH106" s="485">
        <v>1453.218642</v>
      </c>
      <c r="BI106" s="485">
        <v>1465.5271559999999</v>
      </c>
      <c r="BJ106" s="485">
        <v>514.13360699999998</v>
      </c>
      <c r="BK106" s="485">
        <v>360.31064700000002</v>
      </c>
      <c r="BL106" s="477"/>
      <c r="BM106" s="486">
        <v>2029</v>
      </c>
      <c r="BN106" s="487">
        <v>8338.7145919999984</v>
      </c>
      <c r="BO106" s="488">
        <v>1073.4527390000001</v>
      </c>
      <c r="BP106" s="488">
        <v>402.39667299999991</v>
      </c>
      <c r="BQ106" s="488">
        <v>4264.723058999999</v>
      </c>
      <c r="BR106" s="488">
        <v>1887.6114909999997</v>
      </c>
      <c r="BS106" s="488">
        <v>710.53062999999997</v>
      </c>
      <c r="BT106" s="488">
        <v>1453.218642</v>
      </c>
      <c r="BU106" s="488">
        <v>1465.5271559999999</v>
      </c>
      <c r="BV106" s="488">
        <v>514.13360699999998</v>
      </c>
      <c r="BW106" s="488">
        <v>360.31064700000002</v>
      </c>
      <c r="BX106" s="476"/>
      <c r="BY106" s="769">
        <v>2029</v>
      </c>
      <c r="BZ106" s="770">
        <v>8410.5510389999999</v>
      </c>
      <c r="CA106" s="770">
        <v>1061.9710780000003</v>
      </c>
      <c r="CB106" s="770">
        <v>406.87416800000011</v>
      </c>
      <c r="CC106" s="770">
        <v>4291.9542240000001</v>
      </c>
      <c r="CD106" s="770">
        <v>1934.769618</v>
      </c>
      <c r="CE106" s="770">
        <v>714.98195100000009</v>
      </c>
      <c r="CF106" s="770">
        <v>1416.1307059999999</v>
      </c>
      <c r="CG106" s="770">
        <v>1515.0749210000001</v>
      </c>
      <c r="CH106" s="770">
        <v>505.36725400000006</v>
      </c>
      <c r="CI106" s="770">
        <v>353.71962000000002</v>
      </c>
      <c r="CJ106" s="125"/>
      <c r="CK106" s="766"/>
      <c r="CL106" s="773"/>
      <c r="CM106" s="774"/>
      <c r="CN106" s="774"/>
      <c r="CO106" s="774"/>
      <c r="CP106" s="774"/>
      <c r="CQ106" s="774"/>
      <c r="CR106" s="774"/>
      <c r="CS106" s="774"/>
      <c r="CT106" s="774"/>
      <c r="CU106" s="774"/>
      <c r="CV106" s="478"/>
      <c r="CW106" s="478"/>
      <c r="CX106" s="478"/>
      <c r="CY106" s="478"/>
      <c r="CZ106" s="478"/>
      <c r="DA106" s="478"/>
      <c r="DB106" s="478"/>
      <c r="DC106" s="478"/>
      <c r="DD106" s="478"/>
      <c r="DE106" s="478"/>
      <c r="DF106" s="478"/>
      <c r="DG106" s="478"/>
      <c r="DH106" s="478"/>
      <c r="DI106" s="766"/>
      <c r="DJ106" s="775"/>
      <c r="DK106" s="775"/>
      <c r="DL106" s="775"/>
      <c r="DM106" s="775"/>
      <c r="DN106" s="775"/>
      <c r="DO106" s="775"/>
      <c r="DP106" s="775"/>
      <c r="DQ106" s="775"/>
      <c r="DR106" s="775"/>
      <c r="DS106" s="775"/>
      <c r="DT106" s="478"/>
      <c r="DU106" s="766"/>
      <c r="DV106" s="775"/>
      <c r="DW106" s="775"/>
      <c r="DX106" s="775"/>
      <c r="DY106" s="775"/>
      <c r="DZ106" s="775"/>
      <c r="EA106" s="775"/>
      <c r="EB106" s="775"/>
      <c r="EC106" s="775"/>
      <c r="ED106" s="775"/>
      <c r="EE106" s="775"/>
      <c r="EF106" s="479"/>
      <c r="EG106" s="479"/>
      <c r="EH106" s="479"/>
      <c r="EI106" s="479"/>
      <c r="EJ106" s="479"/>
      <c r="EK106" s="479"/>
      <c r="EL106" s="479"/>
      <c r="EM106" s="479"/>
      <c r="EN106" s="479"/>
      <c r="EO106" s="479"/>
    </row>
    <row r="107" spans="5:145" s="746" customFormat="1" ht="14.4" hidden="1" x14ac:dyDescent="0.55000000000000004">
      <c r="E107" s="767">
        <v>2030</v>
      </c>
      <c r="F107" s="768">
        <v>8300.2548300000017</v>
      </c>
      <c r="G107" s="768">
        <v>1073.039354</v>
      </c>
      <c r="H107" s="768">
        <v>404.64158100000003</v>
      </c>
      <c r="I107" s="768">
        <v>4269.5554649999995</v>
      </c>
      <c r="J107" s="768">
        <v>1852.8069280000002</v>
      </c>
      <c r="K107" s="768">
        <v>700.21150200000022</v>
      </c>
      <c r="L107" s="768">
        <v>1393.0760680000001</v>
      </c>
      <c r="M107" s="768">
        <v>1523.4823349999999</v>
      </c>
      <c r="N107" s="768">
        <v>515.84905500000002</v>
      </c>
      <c r="O107" s="768">
        <v>361.679889</v>
      </c>
      <c r="P107" s="475"/>
      <c r="Q107" s="767">
        <v>2030</v>
      </c>
      <c r="R107" s="768">
        <v>8300.2548300000017</v>
      </c>
      <c r="S107" s="768">
        <v>1073.039354</v>
      </c>
      <c r="T107" s="768">
        <v>404.64158100000003</v>
      </c>
      <c r="U107" s="768">
        <v>4269.5554649999995</v>
      </c>
      <c r="V107" s="768">
        <v>1852.8069280000002</v>
      </c>
      <c r="W107" s="768">
        <v>700.21150200000022</v>
      </c>
      <c r="X107" s="768">
        <v>1393.0760680000001</v>
      </c>
      <c r="Y107" s="768">
        <v>1523.4823349999999</v>
      </c>
      <c r="Z107" s="768">
        <v>515.84905500000002</v>
      </c>
      <c r="AA107" s="768">
        <v>361.679889</v>
      </c>
      <c r="AB107" s="480"/>
      <c r="AC107" s="767">
        <v>2030</v>
      </c>
      <c r="AD107" s="768">
        <v>8300.2548300000017</v>
      </c>
      <c r="AE107" s="768">
        <v>1073.039354</v>
      </c>
      <c r="AF107" s="768">
        <v>404.64158100000003</v>
      </c>
      <c r="AG107" s="768">
        <v>4269.5554649999995</v>
      </c>
      <c r="AH107" s="768">
        <v>1852.8069280000002</v>
      </c>
      <c r="AI107" s="768">
        <v>700.21150200000022</v>
      </c>
      <c r="AJ107" s="768">
        <v>1393.0760680000001</v>
      </c>
      <c r="AK107" s="768">
        <v>1523.4823349999999</v>
      </c>
      <c r="AL107" s="768">
        <v>515.84905500000002</v>
      </c>
      <c r="AM107" s="768">
        <v>361.679889</v>
      </c>
      <c r="AN107" s="475"/>
      <c r="AO107" s="769">
        <v>2030</v>
      </c>
      <c r="AP107" s="770">
        <v>8300.2548300000017</v>
      </c>
      <c r="AQ107" s="770">
        <v>1073.039354</v>
      </c>
      <c r="AR107" s="770">
        <v>404.64158100000003</v>
      </c>
      <c r="AS107" s="770">
        <v>4269.5554649999995</v>
      </c>
      <c r="AT107" s="770">
        <v>1852.8069280000002</v>
      </c>
      <c r="AU107" s="770">
        <v>700.21150200000022</v>
      </c>
      <c r="AV107" s="770">
        <v>1393.0760680000001</v>
      </c>
      <c r="AW107" s="770">
        <v>1523.4823349999999</v>
      </c>
      <c r="AX107" s="770">
        <v>515.84905500000002</v>
      </c>
      <c r="AY107" s="770">
        <v>361.679889</v>
      </c>
      <c r="AZ107" s="166"/>
      <c r="BA107" s="484">
        <v>2030</v>
      </c>
      <c r="BB107" s="485">
        <v>8404.9320929999994</v>
      </c>
      <c r="BC107" s="485">
        <v>1076.9423790000003</v>
      </c>
      <c r="BD107" s="485">
        <v>401.37278999999995</v>
      </c>
      <c r="BE107" s="485">
        <v>4286.0755660000004</v>
      </c>
      <c r="BF107" s="485">
        <v>1925.1400409999992</v>
      </c>
      <c r="BG107" s="485">
        <v>715.40131700000018</v>
      </c>
      <c r="BH107" s="485">
        <v>1453.2973039999999</v>
      </c>
      <c r="BI107" s="485">
        <v>1476.3779029999998</v>
      </c>
      <c r="BJ107" s="485">
        <v>514.17720299999985</v>
      </c>
      <c r="BK107" s="485">
        <v>362.62882999999999</v>
      </c>
      <c r="BL107" s="477"/>
      <c r="BM107" s="486">
        <v>2030</v>
      </c>
      <c r="BN107" s="487">
        <v>8404.9320929999994</v>
      </c>
      <c r="BO107" s="488">
        <v>1076.9423790000003</v>
      </c>
      <c r="BP107" s="488">
        <v>401.37278999999995</v>
      </c>
      <c r="BQ107" s="488">
        <v>4286.0755660000004</v>
      </c>
      <c r="BR107" s="488">
        <v>1925.1400409999992</v>
      </c>
      <c r="BS107" s="488">
        <v>715.40131700000018</v>
      </c>
      <c r="BT107" s="488">
        <v>1453.2973039999999</v>
      </c>
      <c r="BU107" s="488">
        <v>1476.3779029999998</v>
      </c>
      <c r="BV107" s="488">
        <v>514.17720299999985</v>
      </c>
      <c r="BW107" s="488">
        <v>362.62882999999999</v>
      </c>
      <c r="BX107" s="476"/>
      <c r="BY107" s="769">
        <v>2030</v>
      </c>
      <c r="BZ107" s="770">
        <v>8480.3806939999995</v>
      </c>
      <c r="CA107" s="770">
        <v>1065.0833489999998</v>
      </c>
      <c r="CB107" s="770">
        <v>405.98935200000005</v>
      </c>
      <c r="CC107" s="770">
        <v>4315.1528209999997</v>
      </c>
      <c r="CD107" s="770">
        <v>1974.3873049999995</v>
      </c>
      <c r="CE107" s="770">
        <v>719.76786700000002</v>
      </c>
      <c r="CF107" s="770">
        <v>1415.5451089999999</v>
      </c>
      <c r="CG107" s="770">
        <v>1527.6579879999999</v>
      </c>
      <c r="CH107" s="770">
        <v>505.30575599999992</v>
      </c>
      <c r="CI107" s="770">
        <v>355.76496700000001</v>
      </c>
      <c r="CJ107" s="125"/>
      <c r="CK107" s="766"/>
      <c r="CL107" s="773"/>
      <c r="CM107" s="774"/>
      <c r="CN107" s="774"/>
      <c r="CO107" s="774"/>
      <c r="CP107" s="774"/>
      <c r="CQ107" s="774"/>
      <c r="CR107" s="774"/>
      <c r="CS107" s="774"/>
      <c r="CT107" s="774"/>
      <c r="CU107" s="774"/>
      <c r="CV107" s="478"/>
      <c r="CW107" s="478"/>
      <c r="CX107" s="478"/>
      <c r="CY107" s="478"/>
      <c r="CZ107" s="478"/>
      <c r="DA107" s="478"/>
      <c r="DB107" s="478"/>
      <c r="DC107" s="478"/>
      <c r="DD107" s="478"/>
      <c r="DE107" s="478"/>
      <c r="DF107" s="478"/>
      <c r="DG107" s="478"/>
      <c r="DH107" s="478"/>
      <c r="DI107" s="766"/>
      <c r="DJ107" s="775"/>
      <c r="DK107" s="775"/>
      <c r="DL107" s="775"/>
      <c r="DM107" s="775"/>
      <c r="DN107" s="775"/>
      <c r="DO107" s="775"/>
      <c r="DP107" s="775"/>
      <c r="DQ107" s="775"/>
      <c r="DR107" s="775"/>
      <c r="DS107" s="775"/>
      <c r="DT107" s="478"/>
      <c r="DU107" s="766"/>
      <c r="DV107" s="775"/>
      <c r="DW107" s="775"/>
      <c r="DX107" s="775"/>
      <c r="DY107" s="775"/>
      <c r="DZ107" s="775"/>
      <c r="EA107" s="775"/>
      <c r="EB107" s="775"/>
      <c r="EC107" s="775"/>
      <c r="ED107" s="775"/>
      <c r="EE107" s="775"/>
      <c r="EF107" s="479"/>
      <c r="EG107" s="479"/>
      <c r="EH107" s="479"/>
      <c r="EI107" s="479"/>
      <c r="EJ107" s="479"/>
      <c r="EK107" s="479"/>
      <c r="EL107" s="479"/>
      <c r="EM107" s="479"/>
      <c r="EN107" s="479"/>
      <c r="EO107" s="479"/>
    </row>
    <row r="108" spans="5:145" s="746" customFormat="1" ht="14.4" hidden="1" x14ac:dyDescent="0.55000000000000004">
      <c r="E108" s="767">
        <v>2031</v>
      </c>
      <c r="F108" s="768">
        <v>8360.3411560000004</v>
      </c>
      <c r="G108" s="768">
        <v>1076.2659609999998</v>
      </c>
      <c r="H108" s="768">
        <v>403.88338299999998</v>
      </c>
      <c r="I108" s="768">
        <v>4289.7005660000004</v>
      </c>
      <c r="J108" s="768">
        <v>1886.2097870000002</v>
      </c>
      <c r="K108" s="768">
        <v>704.28145900000015</v>
      </c>
      <c r="L108" s="768">
        <v>1391.5184750000001</v>
      </c>
      <c r="M108" s="768">
        <v>1535.4293440000001</v>
      </c>
      <c r="N108" s="768">
        <v>516.00395100000003</v>
      </c>
      <c r="O108" s="768">
        <v>363.97687300000001</v>
      </c>
      <c r="P108" s="475"/>
      <c r="Q108" s="767">
        <v>2031</v>
      </c>
      <c r="R108" s="768">
        <v>8360.3411560000004</v>
      </c>
      <c r="S108" s="768">
        <v>1076.2659609999998</v>
      </c>
      <c r="T108" s="768">
        <v>403.88338299999998</v>
      </c>
      <c r="U108" s="768">
        <v>4289.7005660000004</v>
      </c>
      <c r="V108" s="768">
        <v>1886.2097870000002</v>
      </c>
      <c r="W108" s="768">
        <v>704.28145900000015</v>
      </c>
      <c r="X108" s="768">
        <v>1391.5184750000001</v>
      </c>
      <c r="Y108" s="768">
        <v>1535.4293440000001</v>
      </c>
      <c r="Z108" s="768">
        <v>516.00395100000003</v>
      </c>
      <c r="AA108" s="768">
        <v>363.97687300000001</v>
      </c>
      <c r="AB108" s="480"/>
      <c r="AC108" s="767">
        <v>2031</v>
      </c>
      <c r="AD108" s="768">
        <v>8360.3411560000004</v>
      </c>
      <c r="AE108" s="768">
        <v>1076.2659609999998</v>
      </c>
      <c r="AF108" s="768">
        <v>403.88338299999998</v>
      </c>
      <c r="AG108" s="768">
        <v>4289.7005660000004</v>
      </c>
      <c r="AH108" s="768">
        <v>1886.2097870000002</v>
      </c>
      <c r="AI108" s="768">
        <v>704.28145900000015</v>
      </c>
      <c r="AJ108" s="768">
        <v>1391.5184750000001</v>
      </c>
      <c r="AK108" s="768">
        <v>1535.4293440000001</v>
      </c>
      <c r="AL108" s="768">
        <v>516.00395100000003</v>
      </c>
      <c r="AM108" s="768">
        <v>363.97687300000001</v>
      </c>
      <c r="AN108" s="475"/>
      <c r="AO108" s="769">
        <v>2031</v>
      </c>
      <c r="AP108" s="770">
        <v>8360.3411560000004</v>
      </c>
      <c r="AQ108" s="770">
        <v>1076.2659609999998</v>
      </c>
      <c r="AR108" s="770">
        <v>403.88338299999998</v>
      </c>
      <c r="AS108" s="770">
        <v>4289.7005660000004</v>
      </c>
      <c r="AT108" s="770">
        <v>1886.2097870000002</v>
      </c>
      <c r="AU108" s="770">
        <v>704.28145900000015</v>
      </c>
      <c r="AV108" s="770">
        <v>1391.5184750000001</v>
      </c>
      <c r="AW108" s="770">
        <v>1535.4293440000001</v>
      </c>
      <c r="AX108" s="770">
        <v>516.00395100000003</v>
      </c>
      <c r="AY108" s="770">
        <v>363.97687300000001</v>
      </c>
      <c r="AZ108" s="166"/>
      <c r="BA108" s="484">
        <v>2031</v>
      </c>
      <c r="BB108" s="485">
        <v>8470.2526349999989</v>
      </c>
      <c r="BC108" s="485">
        <v>1080.3080249999998</v>
      </c>
      <c r="BD108" s="485">
        <v>400.31312699999989</v>
      </c>
      <c r="BE108" s="485">
        <v>4306.432620999999</v>
      </c>
      <c r="BF108" s="485">
        <v>1963.0773579999998</v>
      </c>
      <c r="BG108" s="485">
        <v>720.12150400000007</v>
      </c>
      <c r="BH108" s="485">
        <v>1453.030368</v>
      </c>
      <c r="BI108" s="485">
        <v>1486.8823430000002</v>
      </c>
      <c r="BJ108" s="485">
        <v>514.17197199999998</v>
      </c>
      <c r="BK108" s="485">
        <v>364.89654100000001</v>
      </c>
      <c r="BL108" s="477"/>
      <c r="BM108" s="486">
        <v>2031</v>
      </c>
      <c r="BN108" s="487">
        <v>8470.2526349999989</v>
      </c>
      <c r="BO108" s="488">
        <v>1080.3080249999998</v>
      </c>
      <c r="BP108" s="488">
        <v>400.31312699999989</v>
      </c>
      <c r="BQ108" s="488">
        <v>4306.432620999999</v>
      </c>
      <c r="BR108" s="488">
        <v>1963.0773579999998</v>
      </c>
      <c r="BS108" s="488">
        <v>720.12150400000007</v>
      </c>
      <c r="BT108" s="488">
        <v>1453.030368</v>
      </c>
      <c r="BU108" s="488">
        <v>1486.8823430000002</v>
      </c>
      <c r="BV108" s="488">
        <v>514.17197199999998</v>
      </c>
      <c r="BW108" s="488">
        <v>364.89654100000001</v>
      </c>
      <c r="BX108" s="476"/>
      <c r="BY108" s="769">
        <v>2031</v>
      </c>
      <c r="BZ108" s="770">
        <v>8549.3934300000001</v>
      </c>
      <c r="CA108" s="770">
        <v>1068.0818240000003</v>
      </c>
      <c r="CB108" s="770">
        <v>405.04538599999995</v>
      </c>
      <c r="CC108" s="770">
        <v>4337.4450530000004</v>
      </c>
      <c r="CD108" s="770">
        <v>2014.4183739999996</v>
      </c>
      <c r="CE108" s="770">
        <v>724.40279299999986</v>
      </c>
      <c r="CF108" s="770">
        <v>1414.6556680000001</v>
      </c>
      <c r="CG108" s="770">
        <v>1539.907054</v>
      </c>
      <c r="CH108" s="770">
        <v>505.20452700000004</v>
      </c>
      <c r="CI108" s="770">
        <v>357.75976100000003</v>
      </c>
      <c r="CJ108" s="125"/>
      <c r="CK108" s="766"/>
      <c r="CL108" s="773"/>
      <c r="CM108" s="774"/>
      <c r="CN108" s="774"/>
      <c r="CO108" s="774"/>
      <c r="CP108" s="774"/>
      <c r="CQ108" s="774"/>
      <c r="CR108" s="774"/>
      <c r="CS108" s="774"/>
      <c r="CT108" s="774"/>
      <c r="CU108" s="774"/>
      <c r="CV108" s="478"/>
      <c r="CW108" s="478"/>
      <c r="CX108" s="478"/>
      <c r="CY108" s="478"/>
      <c r="CZ108" s="478"/>
      <c r="DA108" s="478"/>
      <c r="DB108" s="478"/>
      <c r="DC108" s="478"/>
      <c r="DD108" s="478"/>
      <c r="DE108" s="478"/>
      <c r="DF108" s="478"/>
      <c r="DG108" s="478"/>
      <c r="DH108" s="478"/>
      <c r="DI108" s="766"/>
      <c r="DJ108" s="775"/>
      <c r="DK108" s="775"/>
      <c r="DL108" s="775"/>
      <c r="DM108" s="775"/>
      <c r="DN108" s="775"/>
      <c r="DO108" s="775"/>
      <c r="DP108" s="775"/>
      <c r="DQ108" s="775"/>
      <c r="DR108" s="775"/>
      <c r="DS108" s="775"/>
      <c r="DT108" s="478"/>
      <c r="DU108" s="766"/>
      <c r="DV108" s="775"/>
      <c r="DW108" s="775"/>
      <c r="DX108" s="775"/>
      <c r="DY108" s="775"/>
      <c r="DZ108" s="775"/>
      <c r="EA108" s="775"/>
      <c r="EB108" s="775"/>
      <c r="EC108" s="775"/>
      <c r="ED108" s="775"/>
      <c r="EE108" s="775"/>
      <c r="EF108" s="479"/>
      <c r="EG108" s="479"/>
      <c r="EH108" s="479"/>
      <c r="EI108" s="479"/>
      <c r="EJ108" s="479"/>
      <c r="EK108" s="479"/>
      <c r="EL108" s="479"/>
      <c r="EM108" s="479"/>
      <c r="EN108" s="479"/>
      <c r="EO108" s="479"/>
    </row>
    <row r="109" spans="5:145" s="746" customFormat="1" ht="14.4" hidden="1" x14ac:dyDescent="0.55000000000000004">
      <c r="E109" s="767">
        <v>2032</v>
      </c>
      <c r="F109" s="768">
        <v>8419.3119770000012</v>
      </c>
      <c r="G109" s="768">
        <v>1079.3708489999999</v>
      </c>
      <c r="H109" s="768">
        <v>403.09181299999995</v>
      </c>
      <c r="I109" s="768">
        <v>4308.8304340000004</v>
      </c>
      <c r="J109" s="768">
        <v>1919.8350679999996</v>
      </c>
      <c r="K109" s="768">
        <v>708.1838130000001</v>
      </c>
      <c r="L109" s="768">
        <v>1389.5937060000001</v>
      </c>
      <c r="M109" s="768">
        <v>1547.04386</v>
      </c>
      <c r="N109" s="768">
        <v>516.09970699999997</v>
      </c>
      <c r="O109" s="768">
        <v>366.24538799999999</v>
      </c>
      <c r="P109" s="475"/>
      <c r="Q109" s="767">
        <v>2032</v>
      </c>
      <c r="R109" s="768">
        <v>8419.3119770000012</v>
      </c>
      <c r="S109" s="768">
        <v>1079.3708489999999</v>
      </c>
      <c r="T109" s="768">
        <v>403.09181299999995</v>
      </c>
      <c r="U109" s="768">
        <v>4308.8304340000004</v>
      </c>
      <c r="V109" s="768">
        <v>1919.8350679999996</v>
      </c>
      <c r="W109" s="768">
        <v>708.1838130000001</v>
      </c>
      <c r="X109" s="768">
        <v>1389.5937060000001</v>
      </c>
      <c r="Y109" s="768">
        <v>1547.04386</v>
      </c>
      <c r="Z109" s="768">
        <v>516.09970699999997</v>
      </c>
      <c r="AA109" s="768">
        <v>366.24538799999999</v>
      </c>
      <c r="AB109" s="480"/>
      <c r="AC109" s="767">
        <v>2032</v>
      </c>
      <c r="AD109" s="768">
        <v>8419.3119770000012</v>
      </c>
      <c r="AE109" s="768">
        <v>1079.3708489999999</v>
      </c>
      <c r="AF109" s="768">
        <v>403.09181299999995</v>
      </c>
      <c r="AG109" s="768">
        <v>4308.8304340000004</v>
      </c>
      <c r="AH109" s="768">
        <v>1919.8350679999996</v>
      </c>
      <c r="AI109" s="768">
        <v>708.1838130000001</v>
      </c>
      <c r="AJ109" s="768">
        <v>1389.5937060000001</v>
      </c>
      <c r="AK109" s="768">
        <v>1547.04386</v>
      </c>
      <c r="AL109" s="768">
        <v>516.09970699999997</v>
      </c>
      <c r="AM109" s="768">
        <v>366.24538799999999</v>
      </c>
      <c r="AN109" s="475"/>
      <c r="AO109" s="769">
        <v>2032</v>
      </c>
      <c r="AP109" s="770">
        <v>8419.3119770000012</v>
      </c>
      <c r="AQ109" s="770">
        <v>1079.3708489999999</v>
      </c>
      <c r="AR109" s="770">
        <v>403.09181299999995</v>
      </c>
      <c r="AS109" s="770">
        <v>4308.8304340000004</v>
      </c>
      <c r="AT109" s="770">
        <v>1919.8350679999996</v>
      </c>
      <c r="AU109" s="770">
        <v>708.1838130000001</v>
      </c>
      <c r="AV109" s="770">
        <v>1389.5937060000001</v>
      </c>
      <c r="AW109" s="770">
        <v>1547.04386</v>
      </c>
      <c r="AX109" s="770">
        <v>516.09970699999997</v>
      </c>
      <c r="AY109" s="770">
        <v>366.24538799999999</v>
      </c>
      <c r="AZ109" s="166"/>
      <c r="BA109" s="484">
        <v>2032</v>
      </c>
      <c r="BB109" s="485">
        <v>8534.6704239999981</v>
      </c>
      <c r="BC109" s="485">
        <v>1083.5526969999999</v>
      </c>
      <c r="BD109" s="485">
        <v>399.22224399999982</v>
      </c>
      <c r="BE109" s="485">
        <v>4325.7887259999998</v>
      </c>
      <c r="BF109" s="485">
        <v>2001.4178769999999</v>
      </c>
      <c r="BG109" s="485">
        <v>724.68887999999993</v>
      </c>
      <c r="BH109" s="485">
        <v>1452.4265339999999</v>
      </c>
      <c r="BI109" s="485">
        <v>1497.0342599999999</v>
      </c>
      <c r="BJ109" s="485">
        <v>514.1208969999999</v>
      </c>
      <c r="BK109" s="485">
        <v>367.11382799999996</v>
      </c>
      <c r="BL109" s="477"/>
      <c r="BM109" s="486">
        <v>2032</v>
      </c>
      <c r="BN109" s="487">
        <v>8534.6704239999981</v>
      </c>
      <c r="BO109" s="488">
        <v>1083.5526969999999</v>
      </c>
      <c r="BP109" s="488">
        <v>399.22224399999982</v>
      </c>
      <c r="BQ109" s="488">
        <v>4325.7887259999998</v>
      </c>
      <c r="BR109" s="488">
        <v>2001.4178769999999</v>
      </c>
      <c r="BS109" s="488">
        <v>724.68887999999993</v>
      </c>
      <c r="BT109" s="488">
        <v>1452.4265339999999</v>
      </c>
      <c r="BU109" s="488">
        <v>1497.0342599999999</v>
      </c>
      <c r="BV109" s="488">
        <v>514.1208969999999</v>
      </c>
      <c r="BW109" s="488">
        <v>367.11382799999996</v>
      </c>
      <c r="BX109" s="476"/>
      <c r="BY109" s="769">
        <v>2032</v>
      </c>
      <c r="BZ109" s="770">
        <v>8617.5920189999997</v>
      </c>
      <c r="CA109" s="770">
        <v>1070.9698420000002</v>
      </c>
      <c r="CB109" s="770">
        <v>404.04982300000006</v>
      </c>
      <c r="CC109" s="770">
        <v>4358.8316279999999</v>
      </c>
      <c r="CD109" s="770">
        <v>2054.8560780000007</v>
      </c>
      <c r="CE109" s="770">
        <v>728.88464800000008</v>
      </c>
      <c r="CF109" s="770">
        <v>1413.47569</v>
      </c>
      <c r="CG109" s="770">
        <v>1551.8144890000001</v>
      </c>
      <c r="CH109" s="770">
        <v>505.06415600000008</v>
      </c>
      <c r="CI109" s="770">
        <v>359.70407400000005</v>
      </c>
      <c r="CJ109" s="125"/>
      <c r="CK109" s="766"/>
      <c r="CL109" s="773"/>
      <c r="CM109" s="774"/>
      <c r="CN109" s="774"/>
      <c r="CO109" s="774"/>
      <c r="CP109" s="774"/>
      <c r="CQ109" s="774"/>
      <c r="CR109" s="774"/>
      <c r="CS109" s="774"/>
      <c r="CT109" s="774"/>
      <c r="CU109" s="774"/>
      <c r="CV109" s="478"/>
      <c r="CW109" s="478"/>
      <c r="CX109" s="478"/>
      <c r="CY109" s="478"/>
      <c r="CZ109" s="478"/>
      <c r="DA109" s="478"/>
      <c r="DB109" s="478"/>
      <c r="DC109" s="478"/>
      <c r="DD109" s="478"/>
      <c r="DE109" s="478"/>
      <c r="DF109" s="478"/>
      <c r="DG109" s="478"/>
      <c r="DH109" s="478"/>
      <c r="DI109" s="766"/>
      <c r="DJ109" s="775"/>
      <c r="DK109" s="775"/>
      <c r="DL109" s="775"/>
      <c r="DM109" s="775"/>
      <c r="DN109" s="775"/>
      <c r="DO109" s="775"/>
      <c r="DP109" s="775"/>
      <c r="DQ109" s="775"/>
      <c r="DR109" s="775"/>
      <c r="DS109" s="775"/>
      <c r="DT109" s="478"/>
      <c r="DU109" s="766"/>
      <c r="DV109" s="775"/>
      <c r="DW109" s="775"/>
      <c r="DX109" s="775"/>
      <c r="DY109" s="775"/>
      <c r="DZ109" s="775"/>
      <c r="EA109" s="775"/>
      <c r="EB109" s="775"/>
      <c r="EC109" s="775"/>
      <c r="ED109" s="775"/>
      <c r="EE109" s="775"/>
      <c r="EF109" s="479"/>
      <c r="EG109" s="479"/>
      <c r="EH109" s="479"/>
      <c r="EI109" s="479"/>
      <c r="EJ109" s="479"/>
      <c r="EK109" s="479"/>
      <c r="EL109" s="479"/>
      <c r="EM109" s="479"/>
      <c r="EN109" s="479"/>
      <c r="EO109" s="479"/>
    </row>
    <row r="110" spans="5:145" s="746" customFormat="1" ht="14.4" hidden="1" x14ac:dyDescent="0.55000000000000004">
      <c r="E110" s="767">
        <v>2033</v>
      </c>
      <c r="F110" s="768">
        <v>8477.1689069999993</v>
      </c>
      <c r="G110" s="768">
        <v>1082.3603199999998</v>
      </c>
      <c r="H110" s="768">
        <v>402.27698399999997</v>
      </c>
      <c r="I110" s="768">
        <v>4326.933579999999</v>
      </c>
      <c r="J110" s="768">
        <v>1953.680519</v>
      </c>
      <c r="K110" s="768">
        <v>711.91750400000012</v>
      </c>
      <c r="L110" s="768">
        <v>1387.2993980000001</v>
      </c>
      <c r="M110" s="768">
        <v>1558.31718</v>
      </c>
      <c r="N110" s="768">
        <v>516.14241100000015</v>
      </c>
      <c r="O110" s="768">
        <v>368.48624699999999</v>
      </c>
      <c r="P110" s="475"/>
      <c r="Q110" s="767">
        <v>2033</v>
      </c>
      <c r="R110" s="768">
        <v>8477.1689069999993</v>
      </c>
      <c r="S110" s="768">
        <v>1082.3603199999998</v>
      </c>
      <c r="T110" s="768">
        <v>402.27698399999997</v>
      </c>
      <c r="U110" s="768">
        <v>4326.933579999999</v>
      </c>
      <c r="V110" s="768">
        <v>1953.680519</v>
      </c>
      <c r="W110" s="768">
        <v>711.91750400000012</v>
      </c>
      <c r="X110" s="768">
        <v>1387.2993980000001</v>
      </c>
      <c r="Y110" s="768">
        <v>1558.31718</v>
      </c>
      <c r="Z110" s="768">
        <v>516.14241100000015</v>
      </c>
      <c r="AA110" s="768">
        <v>368.48624699999999</v>
      </c>
      <c r="AB110" s="480"/>
      <c r="AC110" s="767">
        <v>2033</v>
      </c>
      <c r="AD110" s="768">
        <v>8477.1689069999993</v>
      </c>
      <c r="AE110" s="768">
        <v>1082.3603199999998</v>
      </c>
      <c r="AF110" s="768">
        <v>402.27698399999997</v>
      </c>
      <c r="AG110" s="768">
        <v>4326.933579999999</v>
      </c>
      <c r="AH110" s="768">
        <v>1953.680519</v>
      </c>
      <c r="AI110" s="768">
        <v>711.91750400000012</v>
      </c>
      <c r="AJ110" s="768">
        <v>1387.2993980000001</v>
      </c>
      <c r="AK110" s="768">
        <v>1558.31718</v>
      </c>
      <c r="AL110" s="768">
        <v>516.14241100000015</v>
      </c>
      <c r="AM110" s="768">
        <v>368.48624699999999</v>
      </c>
      <c r="AN110" s="475"/>
      <c r="AO110" s="769">
        <v>2033</v>
      </c>
      <c r="AP110" s="770">
        <v>8477.1689069999993</v>
      </c>
      <c r="AQ110" s="770">
        <v>1082.3603199999998</v>
      </c>
      <c r="AR110" s="770">
        <v>402.27698399999997</v>
      </c>
      <c r="AS110" s="770">
        <v>4326.933579999999</v>
      </c>
      <c r="AT110" s="770">
        <v>1953.680519</v>
      </c>
      <c r="AU110" s="770">
        <v>711.91750400000012</v>
      </c>
      <c r="AV110" s="770">
        <v>1387.2993980000001</v>
      </c>
      <c r="AW110" s="770">
        <v>1558.31718</v>
      </c>
      <c r="AX110" s="770">
        <v>516.14241100000015</v>
      </c>
      <c r="AY110" s="770">
        <v>368.48624699999999</v>
      </c>
      <c r="AZ110" s="166"/>
      <c r="BA110" s="484">
        <v>2033</v>
      </c>
      <c r="BB110" s="485">
        <v>8598.1856119999993</v>
      </c>
      <c r="BC110" s="485">
        <v>1086.6796220000001</v>
      </c>
      <c r="BD110" s="485">
        <v>398.10913099999999</v>
      </c>
      <c r="BE110" s="485">
        <v>4344.1375589999998</v>
      </c>
      <c r="BF110" s="485">
        <v>2040.1568090000001</v>
      </c>
      <c r="BG110" s="485">
        <v>729.10249099999987</v>
      </c>
      <c r="BH110" s="485">
        <v>1451.487625</v>
      </c>
      <c r="BI110" s="485">
        <v>1506.8324459999999</v>
      </c>
      <c r="BJ110" s="485">
        <v>514.02879200000007</v>
      </c>
      <c r="BK110" s="485">
        <v>369.28073000000001</v>
      </c>
      <c r="BL110" s="477"/>
      <c r="BM110" s="486">
        <v>2033</v>
      </c>
      <c r="BN110" s="487">
        <v>8598.1856119999993</v>
      </c>
      <c r="BO110" s="488">
        <v>1086.6796220000001</v>
      </c>
      <c r="BP110" s="488">
        <v>398.10913099999999</v>
      </c>
      <c r="BQ110" s="488">
        <v>4344.1375589999998</v>
      </c>
      <c r="BR110" s="488">
        <v>2040.1568090000001</v>
      </c>
      <c r="BS110" s="488">
        <v>729.10249099999987</v>
      </c>
      <c r="BT110" s="488">
        <v>1451.487625</v>
      </c>
      <c r="BU110" s="488">
        <v>1506.8324459999999</v>
      </c>
      <c r="BV110" s="488">
        <v>514.02879200000007</v>
      </c>
      <c r="BW110" s="488">
        <v>369.28073000000001</v>
      </c>
      <c r="BX110" s="476"/>
      <c r="BY110" s="769">
        <v>2033</v>
      </c>
      <c r="BZ110" s="770">
        <v>8684.9923589999999</v>
      </c>
      <c r="CA110" s="770">
        <v>1073.745629</v>
      </c>
      <c r="CB110" s="770">
        <v>403.01712699999996</v>
      </c>
      <c r="CC110" s="770">
        <v>4379.3085269999983</v>
      </c>
      <c r="CD110" s="770">
        <v>2095.7093470000004</v>
      </c>
      <c r="CE110" s="770">
        <v>733.21172899999999</v>
      </c>
      <c r="CF110" s="770">
        <v>1412.01917</v>
      </c>
      <c r="CG110" s="770">
        <v>1563.366479</v>
      </c>
      <c r="CH110" s="770">
        <v>504.88553499999995</v>
      </c>
      <c r="CI110" s="770">
        <v>361.600551</v>
      </c>
      <c r="CJ110" s="125"/>
      <c r="CK110" s="766"/>
      <c r="CL110" s="773"/>
      <c r="CM110" s="774"/>
      <c r="CN110" s="774"/>
      <c r="CO110" s="774"/>
      <c r="CP110" s="774"/>
      <c r="CQ110" s="774"/>
      <c r="CR110" s="774"/>
      <c r="CS110" s="774"/>
      <c r="CT110" s="774"/>
      <c r="CU110" s="774"/>
      <c r="CV110" s="478"/>
      <c r="CW110" s="478"/>
      <c r="CX110" s="478"/>
      <c r="CY110" s="478"/>
      <c r="CZ110" s="478"/>
      <c r="DA110" s="478"/>
      <c r="DB110" s="478"/>
      <c r="DC110" s="478"/>
      <c r="DD110" s="478"/>
      <c r="DE110" s="478"/>
      <c r="DF110" s="478"/>
      <c r="DG110" s="478"/>
      <c r="DH110" s="478"/>
      <c r="DI110" s="766"/>
      <c r="DJ110" s="775"/>
      <c r="DK110" s="775"/>
      <c r="DL110" s="775"/>
      <c r="DM110" s="775"/>
      <c r="DN110" s="775"/>
      <c r="DO110" s="775"/>
      <c r="DP110" s="775"/>
      <c r="DQ110" s="775"/>
      <c r="DR110" s="775"/>
      <c r="DS110" s="775"/>
      <c r="DT110" s="478"/>
      <c r="DU110" s="766"/>
      <c r="DV110" s="775"/>
      <c r="DW110" s="775"/>
      <c r="DX110" s="775"/>
      <c r="DY110" s="775"/>
      <c r="DZ110" s="775"/>
      <c r="EA110" s="775"/>
      <c r="EB110" s="775"/>
      <c r="EC110" s="775"/>
      <c r="ED110" s="775"/>
      <c r="EE110" s="775"/>
      <c r="EF110" s="479"/>
      <c r="EG110" s="479"/>
      <c r="EH110" s="479"/>
      <c r="EI110" s="479"/>
      <c r="EJ110" s="479"/>
      <c r="EK110" s="479"/>
      <c r="EL110" s="479"/>
      <c r="EM110" s="479"/>
      <c r="EN110" s="479"/>
      <c r="EO110" s="479"/>
    </row>
    <row r="111" spans="5:145" s="746" customFormat="1" ht="14.4" hidden="1" x14ac:dyDescent="0.55000000000000004">
      <c r="E111" s="767">
        <v>2034</v>
      </c>
      <c r="F111" s="768">
        <v>8533.9141529999997</v>
      </c>
      <c r="G111" s="768">
        <v>1085.2422649999999</v>
      </c>
      <c r="H111" s="768">
        <v>401.45001899999994</v>
      </c>
      <c r="I111" s="768">
        <v>4343.9975539999996</v>
      </c>
      <c r="J111" s="768">
        <v>1987.7423250000002</v>
      </c>
      <c r="K111" s="768">
        <v>715.48199000000011</v>
      </c>
      <c r="L111" s="768">
        <v>1384.6313950000001</v>
      </c>
      <c r="M111" s="768">
        <v>1569.2395039999999</v>
      </c>
      <c r="N111" s="768">
        <v>516.1399990000001</v>
      </c>
      <c r="O111" s="768">
        <v>370.70046399999995</v>
      </c>
      <c r="P111" s="489"/>
      <c r="Q111" s="767">
        <v>2034</v>
      </c>
      <c r="R111" s="768">
        <v>8533.9141529999997</v>
      </c>
      <c r="S111" s="768">
        <v>1085.2422649999999</v>
      </c>
      <c r="T111" s="768">
        <v>401.45001899999994</v>
      </c>
      <c r="U111" s="768">
        <v>4343.9975539999996</v>
      </c>
      <c r="V111" s="768">
        <v>1987.7423250000002</v>
      </c>
      <c r="W111" s="768">
        <v>715.48199000000011</v>
      </c>
      <c r="X111" s="768">
        <v>1384.6313950000001</v>
      </c>
      <c r="Y111" s="768">
        <v>1569.2395039999999</v>
      </c>
      <c r="Z111" s="768">
        <v>516.1399990000001</v>
      </c>
      <c r="AA111" s="768">
        <v>370.70046399999995</v>
      </c>
      <c r="AB111" s="490"/>
      <c r="AC111" s="767">
        <v>2034</v>
      </c>
      <c r="AD111" s="768">
        <v>8533.9141529999997</v>
      </c>
      <c r="AE111" s="768">
        <v>1085.2422649999999</v>
      </c>
      <c r="AF111" s="768">
        <v>401.45001899999994</v>
      </c>
      <c r="AG111" s="768">
        <v>4343.9975539999996</v>
      </c>
      <c r="AH111" s="768">
        <v>1987.7423250000002</v>
      </c>
      <c r="AI111" s="768">
        <v>715.48199000000011</v>
      </c>
      <c r="AJ111" s="768">
        <v>1384.6313950000001</v>
      </c>
      <c r="AK111" s="768">
        <v>1569.2395039999999</v>
      </c>
      <c r="AL111" s="768">
        <v>516.1399990000001</v>
      </c>
      <c r="AM111" s="768">
        <v>370.70046399999995</v>
      </c>
      <c r="AN111" s="489"/>
      <c r="AO111" s="769">
        <v>2034</v>
      </c>
      <c r="AP111" s="770">
        <v>8533.9141529999997</v>
      </c>
      <c r="AQ111" s="770">
        <v>1085.2422649999999</v>
      </c>
      <c r="AR111" s="770">
        <v>401.45001899999994</v>
      </c>
      <c r="AS111" s="770">
        <v>4343.9975539999996</v>
      </c>
      <c r="AT111" s="770">
        <v>1987.7423250000002</v>
      </c>
      <c r="AU111" s="770">
        <v>715.48199000000011</v>
      </c>
      <c r="AV111" s="770">
        <v>1384.6313950000001</v>
      </c>
      <c r="AW111" s="770">
        <v>1569.2395039999999</v>
      </c>
      <c r="AX111" s="770">
        <v>516.1399990000001</v>
      </c>
      <c r="AY111" s="770">
        <v>370.70046399999995</v>
      </c>
      <c r="AZ111" s="776"/>
      <c r="BA111" s="484">
        <v>2034</v>
      </c>
      <c r="BB111" s="485">
        <v>8660.7937790000015</v>
      </c>
      <c r="BC111" s="485">
        <v>1089.6936150000001</v>
      </c>
      <c r="BD111" s="485">
        <v>396.983384</v>
      </c>
      <c r="BE111" s="485">
        <v>4361.4686969999993</v>
      </c>
      <c r="BF111" s="485">
        <v>2079.2858860000001</v>
      </c>
      <c r="BG111" s="485">
        <v>733.36219700000004</v>
      </c>
      <c r="BH111" s="485">
        <v>1450.209386</v>
      </c>
      <c r="BI111" s="485">
        <v>1516.27728</v>
      </c>
      <c r="BJ111" s="485">
        <v>513.90130399999998</v>
      </c>
      <c r="BK111" s="485">
        <v>371.39845100000002</v>
      </c>
      <c r="BL111" s="492"/>
      <c r="BM111" s="486">
        <v>2034</v>
      </c>
      <c r="BN111" s="487">
        <v>8660.7937790000015</v>
      </c>
      <c r="BO111" s="488">
        <v>1089.6936150000001</v>
      </c>
      <c r="BP111" s="488">
        <v>396.983384</v>
      </c>
      <c r="BQ111" s="488">
        <v>4361.4686969999993</v>
      </c>
      <c r="BR111" s="488">
        <v>2079.2858860000001</v>
      </c>
      <c r="BS111" s="488">
        <v>733.36219700000004</v>
      </c>
      <c r="BT111" s="488">
        <v>1450.209386</v>
      </c>
      <c r="BU111" s="488">
        <v>1516.27728</v>
      </c>
      <c r="BV111" s="488">
        <v>513.90130399999998</v>
      </c>
      <c r="BW111" s="488">
        <v>371.39845100000002</v>
      </c>
      <c r="BX111" s="491"/>
      <c r="BY111" s="769">
        <v>2034</v>
      </c>
      <c r="BZ111" s="770">
        <v>8751.6078699999998</v>
      </c>
      <c r="CA111" s="770">
        <v>1076.407645</v>
      </c>
      <c r="CB111" s="770">
        <v>401.96405800000008</v>
      </c>
      <c r="CC111" s="770">
        <v>4398.8657060000005</v>
      </c>
      <c r="CD111" s="770">
        <v>2136.9881980000005</v>
      </c>
      <c r="CE111" s="770">
        <v>737.38226300000008</v>
      </c>
      <c r="CF111" s="770">
        <v>1410.2965120000001</v>
      </c>
      <c r="CG111" s="770">
        <v>1574.548239</v>
      </c>
      <c r="CH111" s="770">
        <v>504.66922800000009</v>
      </c>
      <c r="CI111" s="770">
        <v>363.45343699999995</v>
      </c>
      <c r="CJ111" s="777"/>
      <c r="CK111" s="766"/>
      <c r="CL111" s="773"/>
      <c r="CM111" s="774"/>
      <c r="CN111" s="774"/>
      <c r="CO111" s="774"/>
      <c r="CP111" s="774"/>
      <c r="CQ111" s="774"/>
      <c r="CR111" s="774"/>
      <c r="CS111" s="774"/>
      <c r="CT111" s="774"/>
      <c r="CU111" s="774"/>
      <c r="CV111" s="451"/>
      <c r="CW111" s="451"/>
      <c r="CX111" s="451"/>
      <c r="CY111" s="451"/>
      <c r="CZ111" s="451"/>
      <c r="DA111" s="451"/>
      <c r="DB111" s="451"/>
      <c r="DC111" s="451"/>
      <c r="DD111" s="451"/>
      <c r="DE111" s="451"/>
      <c r="DF111" s="451"/>
      <c r="DG111" s="451"/>
      <c r="DH111" s="451"/>
      <c r="DI111" s="766"/>
      <c r="DJ111" s="775"/>
      <c r="DK111" s="775"/>
      <c r="DL111" s="775"/>
      <c r="DM111" s="775"/>
      <c r="DN111" s="775"/>
      <c r="DO111" s="775"/>
      <c r="DP111" s="775"/>
      <c r="DQ111" s="775"/>
      <c r="DR111" s="775"/>
      <c r="DS111" s="775"/>
      <c r="DT111" s="451"/>
      <c r="DU111" s="766"/>
      <c r="DV111" s="775"/>
      <c r="DW111" s="775"/>
      <c r="DX111" s="775"/>
      <c r="DY111" s="775"/>
      <c r="DZ111" s="775"/>
      <c r="EA111" s="775"/>
      <c r="EB111" s="775"/>
      <c r="EC111" s="775"/>
      <c r="ED111" s="775"/>
      <c r="EE111" s="775"/>
      <c r="EF111" s="479"/>
      <c r="EG111" s="479"/>
      <c r="EH111" s="479"/>
      <c r="EI111" s="479"/>
      <c r="EJ111" s="479"/>
      <c r="EK111" s="479"/>
      <c r="EL111" s="479"/>
      <c r="EM111" s="479"/>
      <c r="EN111" s="479"/>
      <c r="EO111" s="479"/>
    </row>
    <row r="112" spans="5:145" s="746" customFormat="1" ht="14.4" hidden="1" x14ac:dyDescent="0.55000000000000004">
      <c r="E112" s="767">
        <v>2035</v>
      </c>
      <c r="F112" s="768">
        <v>8589.5459320000009</v>
      </c>
      <c r="G112" s="768">
        <v>1088.023242</v>
      </c>
      <c r="H112" s="768">
        <v>400.61936400000002</v>
      </c>
      <c r="I112" s="768">
        <v>4360.0125020000014</v>
      </c>
      <c r="J112" s="768">
        <v>2022.0140549999996</v>
      </c>
      <c r="K112" s="768">
        <v>718.87676899999985</v>
      </c>
      <c r="L112" s="768">
        <v>1381.5879709999999</v>
      </c>
      <c r="M112" s="768">
        <v>1579.8021859999999</v>
      </c>
      <c r="N112" s="768">
        <v>516.09880299999986</v>
      </c>
      <c r="O112" s="768">
        <v>372.88891100000001</v>
      </c>
      <c r="P112" s="489"/>
      <c r="Q112" s="767">
        <v>2035</v>
      </c>
      <c r="R112" s="768">
        <v>8589.5459320000009</v>
      </c>
      <c r="S112" s="768">
        <v>1088.023242</v>
      </c>
      <c r="T112" s="768">
        <v>400.61936400000002</v>
      </c>
      <c r="U112" s="768">
        <v>4360.0125020000014</v>
      </c>
      <c r="V112" s="768">
        <v>2022.0140549999996</v>
      </c>
      <c r="W112" s="768">
        <v>718.87676899999985</v>
      </c>
      <c r="X112" s="768">
        <v>1381.5879709999999</v>
      </c>
      <c r="Y112" s="768">
        <v>1579.8021859999999</v>
      </c>
      <c r="Z112" s="768">
        <v>516.09880299999986</v>
      </c>
      <c r="AA112" s="768">
        <v>372.88891100000001</v>
      </c>
      <c r="AB112" s="490"/>
      <c r="AC112" s="767">
        <v>2035</v>
      </c>
      <c r="AD112" s="768">
        <v>8589.5459320000009</v>
      </c>
      <c r="AE112" s="768">
        <v>1088.023242</v>
      </c>
      <c r="AF112" s="768">
        <v>400.61936400000002</v>
      </c>
      <c r="AG112" s="768">
        <v>4360.0125020000014</v>
      </c>
      <c r="AH112" s="768">
        <v>2022.0140549999996</v>
      </c>
      <c r="AI112" s="768">
        <v>718.87676899999985</v>
      </c>
      <c r="AJ112" s="768">
        <v>1381.5879709999999</v>
      </c>
      <c r="AK112" s="768">
        <v>1579.8021859999999</v>
      </c>
      <c r="AL112" s="768">
        <v>516.09880299999986</v>
      </c>
      <c r="AM112" s="768">
        <v>372.88891100000001</v>
      </c>
      <c r="AN112" s="489"/>
      <c r="AO112" s="769">
        <v>2035</v>
      </c>
      <c r="AP112" s="770">
        <v>8589.5459320000009</v>
      </c>
      <c r="AQ112" s="770">
        <v>1088.023242</v>
      </c>
      <c r="AR112" s="770">
        <v>400.61936400000002</v>
      </c>
      <c r="AS112" s="770">
        <v>4360.0125020000014</v>
      </c>
      <c r="AT112" s="770">
        <v>2022.0140549999996</v>
      </c>
      <c r="AU112" s="770">
        <v>718.87676899999985</v>
      </c>
      <c r="AV112" s="770">
        <v>1381.5879709999999</v>
      </c>
      <c r="AW112" s="770">
        <v>1579.8021859999999</v>
      </c>
      <c r="AX112" s="770">
        <v>516.09880299999986</v>
      </c>
      <c r="AY112" s="770">
        <v>372.88891100000001</v>
      </c>
      <c r="AZ112" s="776"/>
      <c r="BA112" s="484">
        <v>2035</v>
      </c>
      <c r="BB112" s="485">
        <v>8722.4880750000011</v>
      </c>
      <c r="BC112" s="485">
        <v>1092.5992239999998</v>
      </c>
      <c r="BD112" s="485">
        <v>395.852487</v>
      </c>
      <c r="BE112" s="485">
        <v>4377.7741820000001</v>
      </c>
      <c r="BF112" s="485">
        <v>2118.7944730000008</v>
      </c>
      <c r="BG112" s="485">
        <v>737.4677089999999</v>
      </c>
      <c r="BH112" s="485">
        <v>1448.5892900000001</v>
      </c>
      <c r="BI112" s="485">
        <v>1525.369019</v>
      </c>
      <c r="BJ112" s="485">
        <v>513.74291199999993</v>
      </c>
      <c r="BK112" s="485">
        <v>373.46849099999997</v>
      </c>
      <c r="BL112" s="492"/>
      <c r="BM112" s="486">
        <v>2035</v>
      </c>
      <c r="BN112" s="487">
        <v>8722.4880750000011</v>
      </c>
      <c r="BO112" s="488">
        <v>1092.5992239999998</v>
      </c>
      <c r="BP112" s="488">
        <v>395.852487</v>
      </c>
      <c r="BQ112" s="488">
        <v>4377.7741820000001</v>
      </c>
      <c r="BR112" s="488">
        <v>2118.7944730000008</v>
      </c>
      <c r="BS112" s="488">
        <v>737.4677089999999</v>
      </c>
      <c r="BT112" s="488">
        <v>1448.5892900000001</v>
      </c>
      <c r="BU112" s="488">
        <v>1525.369019</v>
      </c>
      <c r="BV112" s="488">
        <v>513.74291199999993</v>
      </c>
      <c r="BW112" s="488">
        <v>373.46849099999997</v>
      </c>
      <c r="BX112" s="491"/>
      <c r="BY112" s="769">
        <v>2035</v>
      </c>
      <c r="BZ112" s="770">
        <v>8817.4459339999994</v>
      </c>
      <c r="CA112" s="770">
        <v>1078.9554869999997</v>
      </c>
      <c r="CB112" s="770">
        <v>400.90413699999999</v>
      </c>
      <c r="CC112" s="770">
        <v>4417.4965709999997</v>
      </c>
      <c r="CD112" s="770">
        <v>2178.6948219999995</v>
      </c>
      <c r="CE112" s="770">
        <v>741.39491699999996</v>
      </c>
      <c r="CF112" s="770">
        <v>1408.3160519999999</v>
      </c>
      <c r="CG112" s="770">
        <v>1585.3498520000001</v>
      </c>
      <c r="CH112" s="770">
        <v>504.41578399999997</v>
      </c>
      <c r="CI112" s="770">
        <v>365.26621999999998</v>
      </c>
      <c r="CJ112" s="777"/>
      <c r="CK112" s="766"/>
      <c r="CL112" s="773"/>
      <c r="CM112" s="774"/>
      <c r="CN112" s="774"/>
      <c r="CO112" s="774"/>
      <c r="CP112" s="774"/>
      <c r="CQ112" s="774"/>
      <c r="CR112" s="774"/>
      <c r="CS112" s="774"/>
      <c r="CT112" s="774"/>
      <c r="CU112" s="774"/>
      <c r="CV112" s="451"/>
      <c r="CW112" s="451"/>
      <c r="CX112" s="451"/>
      <c r="CY112" s="451"/>
      <c r="CZ112" s="451"/>
      <c r="DA112" s="451"/>
      <c r="DB112" s="451"/>
      <c r="DC112" s="451"/>
      <c r="DD112" s="451"/>
      <c r="DE112" s="451"/>
      <c r="DF112" s="451"/>
      <c r="DG112" s="451"/>
      <c r="DH112" s="451"/>
      <c r="DI112" s="766"/>
      <c r="DJ112" s="775"/>
      <c r="DK112" s="775"/>
      <c r="DL112" s="775"/>
      <c r="DM112" s="775"/>
      <c r="DN112" s="775"/>
      <c r="DO112" s="775"/>
      <c r="DP112" s="775"/>
      <c r="DQ112" s="775"/>
      <c r="DR112" s="775"/>
      <c r="DS112" s="775"/>
      <c r="DT112" s="451"/>
      <c r="DU112" s="766"/>
      <c r="DV112" s="775"/>
      <c r="DW112" s="775"/>
      <c r="DX112" s="775"/>
      <c r="DY112" s="775"/>
      <c r="DZ112" s="775"/>
      <c r="EA112" s="775"/>
      <c r="EB112" s="775"/>
      <c r="EC112" s="775"/>
      <c r="ED112" s="775"/>
      <c r="EE112" s="775"/>
      <c r="EF112" s="479"/>
      <c r="EG112" s="479"/>
      <c r="EH112" s="479"/>
      <c r="EI112" s="479"/>
      <c r="EJ112" s="479"/>
      <c r="EK112" s="479"/>
      <c r="EL112" s="479"/>
      <c r="EM112" s="479"/>
      <c r="EN112" s="479"/>
      <c r="EO112" s="479"/>
    </row>
    <row r="113" spans="5:145" s="746" customFormat="1" ht="14.4" hidden="1" x14ac:dyDescent="0.55000000000000004">
      <c r="E113" s="767">
        <v>2036</v>
      </c>
      <c r="F113" s="768">
        <v>8644.0602999999992</v>
      </c>
      <c r="G113" s="768">
        <v>1090.7072910000002</v>
      </c>
      <c r="H113" s="768">
        <v>399.78977500000002</v>
      </c>
      <c r="I113" s="768">
        <v>4374.9744040000005</v>
      </c>
      <c r="J113" s="768">
        <v>2056.4877549999992</v>
      </c>
      <c r="K113" s="768">
        <v>722.10107500000004</v>
      </c>
      <c r="L113" s="768">
        <v>1378.172734</v>
      </c>
      <c r="M113" s="768">
        <v>1589.9995449999999</v>
      </c>
      <c r="N113" s="768">
        <v>516.02151300000003</v>
      </c>
      <c r="O113" s="768">
        <v>375.05260600000003</v>
      </c>
      <c r="P113" s="489"/>
      <c r="Q113" s="767">
        <v>2036</v>
      </c>
      <c r="R113" s="768">
        <v>8644.0602999999992</v>
      </c>
      <c r="S113" s="768">
        <v>1090.7072910000002</v>
      </c>
      <c r="T113" s="768">
        <v>399.78977500000002</v>
      </c>
      <c r="U113" s="768">
        <v>4374.9744040000005</v>
      </c>
      <c r="V113" s="768">
        <v>2056.4877549999992</v>
      </c>
      <c r="W113" s="768">
        <v>722.10107500000004</v>
      </c>
      <c r="X113" s="768">
        <v>1378.172734</v>
      </c>
      <c r="Y113" s="768">
        <v>1589.9995449999999</v>
      </c>
      <c r="Z113" s="768">
        <v>516.02151300000003</v>
      </c>
      <c r="AA113" s="768">
        <v>375.05260600000003</v>
      </c>
      <c r="AB113" s="490"/>
      <c r="AC113" s="767">
        <v>2036</v>
      </c>
      <c r="AD113" s="768">
        <v>8644.0602999999992</v>
      </c>
      <c r="AE113" s="768">
        <v>1090.7072910000002</v>
      </c>
      <c r="AF113" s="768">
        <v>399.78977500000002</v>
      </c>
      <c r="AG113" s="768">
        <v>4374.9744040000005</v>
      </c>
      <c r="AH113" s="768">
        <v>2056.4877549999992</v>
      </c>
      <c r="AI113" s="768">
        <v>722.10107500000004</v>
      </c>
      <c r="AJ113" s="768">
        <v>1378.172734</v>
      </c>
      <c r="AK113" s="768">
        <v>1589.9995449999999</v>
      </c>
      <c r="AL113" s="768">
        <v>516.02151300000003</v>
      </c>
      <c r="AM113" s="768">
        <v>375.05260600000003</v>
      </c>
      <c r="AN113" s="489"/>
      <c r="AO113" s="769">
        <v>2036</v>
      </c>
      <c r="AP113" s="770">
        <v>8644.0602999999992</v>
      </c>
      <c r="AQ113" s="770">
        <v>1090.7072910000002</v>
      </c>
      <c r="AR113" s="770">
        <v>399.78977500000002</v>
      </c>
      <c r="AS113" s="770">
        <v>4374.9744040000005</v>
      </c>
      <c r="AT113" s="770">
        <v>2056.4877549999992</v>
      </c>
      <c r="AU113" s="770">
        <v>722.10107500000004</v>
      </c>
      <c r="AV113" s="770">
        <v>1378.172734</v>
      </c>
      <c r="AW113" s="770">
        <v>1589.9995449999999</v>
      </c>
      <c r="AX113" s="770">
        <v>516.02151300000003</v>
      </c>
      <c r="AY113" s="770">
        <v>375.05260600000003</v>
      </c>
      <c r="AZ113" s="776"/>
      <c r="BA113" s="484">
        <v>2036</v>
      </c>
      <c r="BB113" s="485">
        <v>8783.2670249999992</v>
      </c>
      <c r="BC113" s="485">
        <v>1095.3990679999999</v>
      </c>
      <c r="BD113" s="485">
        <v>394.72082200000011</v>
      </c>
      <c r="BE113" s="485">
        <v>4393.0564249999998</v>
      </c>
      <c r="BF113" s="485">
        <v>2158.6729599999994</v>
      </c>
      <c r="BG113" s="485">
        <v>741.41774999999996</v>
      </c>
      <c r="BH113" s="485">
        <v>1446.6346080000001</v>
      </c>
      <c r="BI113" s="485">
        <v>1534.1072830000001</v>
      </c>
      <c r="BJ113" s="485">
        <v>513.55589299999997</v>
      </c>
      <c r="BK113" s="485">
        <v>375.49151899999998</v>
      </c>
      <c r="BL113" s="492"/>
      <c r="BM113" s="486">
        <v>2036</v>
      </c>
      <c r="BN113" s="487">
        <v>8783.2670249999992</v>
      </c>
      <c r="BO113" s="488">
        <v>1095.3990679999999</v>
      </c>
      <c r="BP113" s="488">
        <v>394.72082200000011</v>
      </c>
      <c r="BQ113" s="488">
        <v>4393.0564249999998</v>
      </c>
      <c r="BR113" s="488">
        <v>2158.6729599999994</v>
      </c>
      <c r="BS113" s="488">
        <v>741.41774999999996</v>
      </c>
      <c r="BT113" s="488">
        <v>1446.6346080000001</v>
      </c>
      <c r="BU113" s="488">
        <v>1534.1072830000001</v>
      </c>
      <c r="BV113" s="488">
        <v>513.55589299999997</v>
      </c>
      <c r="BW113" s="488">
        <v>375.49151899999998</v>
      </c>
      <c r="BX113" s="491"/>
      <c r="BY113" s="769">
        <v>2036</v>
      </c>
      <c r="BZ113" s="770">
        <v>8882.5087440000007</v>
      </c>
      <c r="CA113" s="770">
        <v>1081.3893399999999</v>
      </c>
      <c r="CB113" s="770">
        <v>399.84415800000005</v>
      </c>
      <c r="CC113" s="770">
        <v>4435.201704000001</v>
      </c>
      <c r="CD113" s="770">
        <v>2220.8248030000004</v>
      </c>
      <c r="CE113" s="770">
        <v>745.24873900000023</v>
      </c>
      <c r="CF113" s="770">
        <v>1406.0894029999999</v>
      </c>
      <c r="CG113" s="770">
        <v>1595.763733</v>
      </c>
      <c r="CH113" s="770">
        <v>504.12579600000009</v>
      </c>
      <c r="CI113" s="770">
        <v>367.04078499999997</v>
      </c>
      <c r="CJ113" s="777"/>
      <c r="CK113" s="766"/>
      <c r="CL113" s="773"/>
      <c r="CM113" s="774"/>
      <c r="CN113" s="774"/>
      <c r="CO113" s="774"/>
      <c r="CP113" s="774"/>
      <c r="CQ113" s="774"/>
      <c r="CR113" s="774"/>
      <c r="CS113" s="774"/>
      <c r="CT113" s="774"/>
      <c r="CU113" s="774"/>
      <c r="CV113" s="451"/>
      <c r="CW113" s="451"/>
      <c r="CX113" s="451"/>
      <c r="CY113" s="451"/>
      <c r="CZ113" s="451"/>
      <c r="DA113" s="451"/>
      <c r="DB113" s="451"/>
      <c r="DC113" s="451"/>
      <c r="DD113" s="451"/>
      <c r="DE113" s="451"/>
      <c r="DF113" s="451"/>
      <c r="DG113" s="451"/>
      <c r="DH113" s="451"/>
      <c r="DI113" s="766"/>
      <c r="DJ113" s="775"/>
      <c r="DK113" s="775"/>
      <c r="DL113" s="775"/>
      <c r="DM113" s="775"/>
      <c r="DN113" s="775"/>
      <c r="DO113" s="775"/>
      <c r="DP113" s="775"/>
      <c r="DQ113" s="775"/>
      <c r="DR113" s="775"/>
      <c r="DS113" s="775"/>
      <c r="DT113" s="451"/>
      <c r="DU113" s="766"/>
      <c r="DV113" s="775"/>
      <c r="DW113" s="775"/>
      <c r="DX113" s="775"/>
      <c r="DY113" s="775"/>
      <c r="DZ113" s="775"/>
      <c r="EA113" s="775"/>
      <c r="EB113" s="775"/>
      <c r="EC113" s="775"/>
      <c r="ED113" s="775"/>
      <c r="EE113" s="775"/>
      <c r="EF113" s="479"/>
      <c r="EG113" s="479"/>
      <c r="EH113" s="479"/>
      <c r="EI113" s="479"/>
      <c r="EJ113" s="479"/>
      <c r="EK113" s="479"/>
      <c r="EL113" s="479"/>
      <c r="EM113" s="479"/>
      <c r="EN113" s="479"/>
      <c r="EO113" s="479"/>
    </row>
    <row r="114" spans="5:145" s="746" customFormat="1" ht="14.4" hidden="1" x14ac:dyDescent="0.55000000000000004">
      <c r="E114" s="767">
        <v>2037</v>
      </c>
      <c r="F114" s="768">
        <v>8697.4453359999989</v>
      </c>
      <c r="G114" s="768">
        <v>1093.2963540000001</v>
      </c>
      <c r="H114" s="768">
        <v>398.96203600000007</v>
      </c>
      <c r="I114" s="768">
        <v>4388.8813779999991</v>
      </c>
      <c r="J114" s="768">
        <v>2091.1513500000005</v>
      </c>
      <c r="K114" s="768">
        <v>725.15421800000013</v>
      </c>
      <c r="L114" s="768">
        <v>1374.391912</v>
      </c>
      <c r="M114" s="768">
        <v>1599.826941</v>
      </c>
      <c r="N114" s="768">
        <v>515.90886500000011</v>
      </c>
      <c r="O114" s="768">
        <v>377.19200000000001</v>
      </c>
      <c r="P114" s="489"/>
      <c r="Q114" s="767">
        <v>2037</v>
      </c>
      <c r="R114" s="768">
        <v>8697.4453359999989</v>
      </c>
      <c r="S114" s="768">
        <v>1093.2963540000001</v>
      </c>
      <c r="T114" s="768">
        <v>398.96203600000007</v>
      </c>
      <c r="U114" s="768">
        <v>4388.8813779999991</v>
      </c>
      <c r="V114" s="768">
        <v>2091.1513500000005</v>
      </c>
      <c r="W114" s="768">
        <v>725.15421800000013</v>
      </c>
      <c r="X114" s="768">
        <v>1374.391912</v>
      </c>
      <c r="Y114" s="768">
        <v>1599.826941</v>
      </c>
      <c r="Z114" s="768">
        <v>515.90886500000011</v>
      </c>
      <c r="AA114" s="768">
        <v>377.19200000000001</v>
      </c>
      <c r="AB114" s="490"/>
      <c r="AC114" s="767">
        <v>2037</v>
      </c>
      <c r="AD114" s="768">
        <v>8697.4453359999989</v>
      </c>
      <c r="AE114" s="768">
        <v>1093.2963540000001</v>
      </c>
      <c r="AF114" s="768">
        <v>398.96203600000007</v>
      </c>
      <c r="AG114" s="768">
        <v>4388.8813779999991</v>
      </c>
      <c r="AH114" s="768">
        <v>2091.1513500000005</v>
      </c>
      <c r="AI114" s="768">
        <v>725.15421800000013</v>
      </c>
      <c r="AJ114" s="768">
        <v>1374.391912</v>
      </c>
      <c r="AK114" s="768">
        <v>1599.826941</v>
      </c>
      <c r="AL114" s="768">
        <v>515.90886500000011</v>
      </c>
      <c r="AM114" s="768">
        <v>377.19200000000001</v>
      </c>
      <c r="AN114" s="489"/>
      <c r="AO114" s="769">
        <v>2037</v>
      </c>
      <c r="AP114" s="770">
        <v>8697.4453359999989</v>
      </c>
      <c r="AQ114" s="770">
        <v>1093.2963540000001</v>
      </c>
      <c r="AR114" s="770">
        <v>398.96203600000007</v>
      </c>
      <c r="AS114" s="770">
        <v>4388.8813779999991</v>
      </c>
      <c r="AT114" s="770">
        <v>2091.1513500000005</v>
      </c>
      <c r="AU114" s="770">
        <v>725.15421800000013</v>
      </c>
      <c r="AV114" s="770">
        <v>1374.391912</v>
      </c>
      <c r="AW114" s="770">
        <v>1599.826941</v>
      </c>
      <c r="AX114" s="770">
        <v>515.90886500000011</v>
      </c>
      <c r="AY114" s="770">
        <v>377.19200000000001</v>
      </c>
      <c r="AZ114" s="776"/>
      <c r="BA114" s="484">
        <v>2037</v>
      </c>
      <c r="BB114" s="485">
        <v>8843.121658</v>
      </c>
      <c r="BC114" s="485">
        <v>1098.0956550000003</v>
      </c>
      <c r="BD114" s="485">
        <v>393.58982600000002</v>
      </c>
      <c r="BE114" s="485">
        <v>4407.317982999999</v>
      </c>
      <c r="BF114" s="485">
        <v>2198.9072090000004</v>
      </c>
      <c r="BG114" s="485">
        <v>745.21098499999982</v>
      </c>
      <c r="BH114" s="485">
        <v>1444.3525849999999</v>
      </c>
      <c r="BI114" s="485">
        <v>1542.49099</v>
      </c>
      <c r="BJ114" s="485">
        <v>513.34092399999997</v>
      </c>
      <c r="BK114" s="485">
        <v>377.468886</v>
      </c>
      <c r="BL114" s="492"/>
      <c r="BM114" s="486">
        <v>2037</v>
      </c>
      <c r="BN114" s="487">
        <v>8843.121658</v>
      </c>
      <c r="BO114" s="488">
        <v>1098.0956550000003</v>
      </c>
      <c r="BP114" s="488">
        <v>393.58982600000002</v>
      </c>
      <c r="BQ114" s="488">
        <v>4407.317982999999</v>
      </c>
      <c r="BR114" s="488">
        <v>2198.9072090000004</v>
      </c>
      <c r="BS114" s="488">
        <v>745.21098499999982</v>
      </c>
      <c r="BT114" s="488">
        <v>1444.3525849999999</v>
      </c>
      <c r="BU114" s="488">
        <v>1542.49099</v>
      </c>
      <c r="BV114" s="488">
        <v>513.34092399999997</v>
      </c>
      <c r="BW114" s="488">
        <v>377.468886</v>
      </c>
      <c r="BX114" s="491"/>
      <c r="BY114" s="769">
        <v>2037</v>
      </c>
      <c r="BZ114" s="770">
        <v>8946.7897250000005</v>
      </c>
      <c r="CA114" s="770">
        <v>1083.7115209999999</v>
      </c>
      <c r="CB114" s="770">
        <v>398.78724900000003</v>
      </c>
      <c r="CC114" s="770">
        <v>4451.9876110000005</v>
      </c>
      <c r="CD114" s="770">
        <v>2263.3597370000002</v>
      </c>
      <c r="CE114" s="770">
        <v>748.94360700000004</v>
      </c>
      <c r="CF114" s="770">
        <v>1403.622846</v>
      </c>
      <c r="CG114" s="770">
        <v>1605.792496</v>
      </c>
      <c r="CH114" s="770">
        <v>503.79999499999997</v>
      </c>
      <c r="CI114" s="770">
        <v>368.77757700000001</v>
      </c>
      <c r="CJ114" s="777"/>
      <c r="CK114" s="766"/>
      <c r="CL114" s="773"/>
      <c r="CM114" s="774"/>
      <c r="CN114" s="774"/>
      <c r="CO114" s="774"/>
      <c r="CP114" s="774"/>
      <c r="CQ114" s="774"/>
      <c r="CR114" s="774"/>
      <c r="CS114" s="774"/>
      <c r="CT114" s="774"/>
      <c r="CU114" s="774"/>
      <c r="CV114" s="451"/>
      <c r="CW114" s="451"/>
      <c r="CX114" s="451"/>
      <c r="CY114" s="451"/>
      <c r="CZ114" s="451"/>
      <c r="DA114" s="451"/>
      <c r="DB114" s="451"/>
      <c r="DC114" s="451"/>
      <c r="DD114" s="451"/>
      <c r="DE114" s="451"/>
      <c r="DF114" s="451"/>
      <c r="DG114" s="451"/>
      <c r="DH114" s="451"/>
      <c r="DI114" s="766"/>
      <c r="DJ114" s="775"/>
      <c r="DK114" s="775"/>
      <c r="DL114" s="775"/>
      <c r="DM114" s="775"/>
      <c r="DN114" s="775"/>
      <c r="DO114" s="775"/>
      <c r="DP114" s="775"/>
      <c r="DQ114" s="775"/>
      <c r="DR114" s="775"/>
      <c r="DS114" s="775"/>
      <c r="DT114" s="451"/>
      <c r="DU114" s="766"/>
      <c r="DV114" s="775"/>
      <c r="DW114" s="775"/>
      <c r="DX114" s="775"/>
      <c r="DY114" s="775"/>
      <c r="DZ114" s="775"/>
      <c r="EA114" s="775"/>
      <c r="EB114" s="775"/>
      <c r="EC114" s="775"/>
      <c r="ED114" s="775"/>
      <c r="EE114" s="775"/>
      <c r="EF114" s="479"/>
      <c r="EG114" s="479"/>
      <c r="EH114" s="479"/>
      <c r="EI114" s="479"/>
      <c r="EJ114" s="479"/>
      <c r="EK114" s="479"/>
      <c r="EL114" s="479"/>
      <c r="EM114" s="479"/>
      <c r="EN114" s="479"/>
      <c r="EO114" s="479"/>
    </row>
    <row r="115" spans="5:145" s="746" customFormat="1" ht="14.4" hidden="1" x14ac:dyDescent="0.55000000000000004">
      <c r="E115" s="767">
        <v>2038</v>
      </c>
      <c r="F115" s="768">
        <v>8749.6806869999982</v>
      </c>
      <c r="G115" s="768">
        <v>1095.792336</v>
      </c>
      <c r="H115" s="768">
        <v>398.13516599999997</v>
      </c>
      <c r="I115" s="768">
        <v>4401.729226999998</v>
      </c>
      <c r="J115" s="768">
        <v>2125.9878400000002</v>
      </c>
      <c r="K115" s="768">
        <v>728.03611799999999</v>
      </c>
      <c r="L115" s="768">
        <v>1370.250088</v>
      </c>
      <c r="M115" s="768">
        <v>1609.278231</v>
      </c>
      <c r="N115" s="768">
        <v>515.76282900000001</v>
      </c>
      <c r="O115" s="768">
        <v>379.306782</v>
      </c>
      <c r="P115" s="489"/>
      <c r="Q115" s="767">
        <v>2038</v>
      </c>
      <c r="R115" s="768">
        <v>8749.6806869999982</v>
      </c>
      <c r="S115" s="768">
        <v>1095.792336</v>
      </c>
      <c r="T115" s="768">
        <v>398.13516599999997</v>
      </c>
      <c r="U115" s="768">
        <v>4401.729226999998</v>
      </c>
      <c r="V115" s="768">
        <v>2125.9878400000002</v>
      </c>
      <c r="W115" s="768">
        <v>728.03611799999999</v>
      </c>
      <c r="X115" s="768">
        <v>1370.250088</v>
      </c>
      <c r="Y115" s="768">
        <v>1609.278231</v>
      </c>
      <c r="Z115" s="768">
        <v>515.76282900000001</v>
      </c>
      <c r="AA115" s="768">
        <v>379.306782</v>
      </c>
      <c r="AB115" s="490"/>
      <c r="AC115" s="767">
        <v>2038</v>
      </c>
      <c r="AD115" s="768">
        <v>8749.6806869999982</v>
      </c>
      <c r="AE115" s="768">
        <v>1095.792336</v>
      </c>
      <c r="AF115" s="768">
        <v>398.13516599999997</v>
      </c>
      <c r="AG115" s="768">
        <v>4401.729226999998</v>
      </c>
      <c r="AH115" s="768">
        <v>2125.9878400000002</v>
      </c>
      <c r="AI115" s="768">
        <v>728.03611799999999</v>
      </c>
      <c r="AJ115" s="768">
        <v>1370.250088</v>
      </c>
      <c r="AK115" s="768">
        <v>1609.278231</v>
      </c>
      <c r="AL115" s="768">
        <v>515.76282900000001</v>
      </c>
      <c r="AM115" s="768">
        <v>379.306782</v>
      </c>
      <c r="AN115" s="489"/>
      <c r="AO115" s="769">
        <v>2038</v>
      </c>
      <c r="AP115" s="770">
        <v>8749.6806869999982</v>
      </c>
      <c r="AQ115" s="770">
        <v>1095.792336</v>
      </c>
      <c r="AR115" s="770">
        <v>398.13516599999997</v>
      </c>
      <c r="AS115" s="770">
        <v>4401.729226999998</v>
      </c>
      <c r="AT115" s="770">
        <v>2125.9878400000002</v>
      </c>
      <c r="AU115" s="770">
        <v>728.03611799999999</v>
      </c>
      <c r="AV115" s="770">
        <v>1370.250088</v>
      </c>
      <c r="AW115" s="770">
        <v>1609.278231</v>
      </c>
      <c r="AX115" s="770">
        <v>515.76282900000001</v>
      </c>
      <c r="AY115" s="770">
        <v>379.306782</v>
      </c>
      <c r="AZ115" s="776"/>
      <c r="BA115" s="484">
        <v>2038</v>
      </c>
      <c r="BB115" s="485">
        <v>8902.0265560000007</v>
      </c>
      <c r="BC115" s="485">
        <v>1100.6936070000004</v>
      </c>
      <c r="BD115" s="485">
        <v>392.459834</v>
      </c>
      <c r="BE115" s="485">
        <v>4420.551336999999</v>
      </c>
      <c r="BF115" s="485">
        <v>2239.4746949999999</v>
      </c>
      <c r="BG115" s="485">
        <v>748.84708300000011</v>
      </c>
      <c r="BH115" s="485">
        <v>1441.7397579999999</v>
      </c>
      <c r="BI115" s="485">
        <v>1550.5193980000001</v>
      </c>
      <c r="BJ115" s="485">
        <v>513.09874300000001</v>
      </c>
      <c r="BK115" s="485">
        <v>379.40404899999999</v>
      </c>
      <c r="BL115" s="492"/>
      <c r="BM115" s="486">
        <v>2038</v>
      </c>
      <c r="BN115" s="487">
        <v>8902.0265560000007</v>
      </c>
      <c r="BO115" s="488">
        <v>1100.6936070000004</v>
      </c>
      <c r="BP115" s="488">
        <v>392.459834</v>
      </c>
      <c r="BQ115" s="488">
        <v>4420.551336999999</v>
      </c>
      <c r="BR115" s="488">
        <v>2239.4746949999999</v>
      </c>
      <c r="BS115" s="488">
        <v>748.84708300000011</v>
      </c>
      <c r="BT115" s="488">
        <v>1441.7397579999999</v>
      </c>
      <c r="BU115" s="488">
        <v>1550.5193980000001</v>
      </c>
      <c r="BV115" s="488">
        <v>513.09874300000001</v>
      </c>
      <c r="BW115" s="488">
        <v>379.40404899999999</v>
      </c>
      <c r="BX115" s="491"/>
      <c r="BY115" s="769">
        <v>2038</v>
      </c>
      <c r="BZ115" s="770">
        <v>9010.2736670000013</v>
      </c>
      <c r="CA115" s="770">
        <v>1085.9268199999999</v>
      </c>
      <c r="CB115" s="770">
        <v>397.73812700000002</v>
      </c>
      <c r="CC115" s="770">
        <v>4467.8600059999999</v>
      </c>
      <c r="CD115" s="770">
        <v>2306.2685489999994</v>
      </c>
      <c r="CE115" s="770">
        <v>752.48016499999994</v>
      </c>
      <c r="CF115" s="770">
        <v>1400.9113519999999</v>
      </c>
      <c r="CG115" s="770">
        <v>1615.4498500000002</v>
      </c>
      <c r="CH115" s="770">
        <v>503.43905600000005</v>
      </c>
      <c r="CI115" s="770">
        <v>370.47718800000001</v>
      </c>
      <c r="CJ115" s="777"/>
      <c r="CK115" s="766"/>
      <c r="CL115" s="773"/>
      <c r="CM115" s="774"/>
      <c r="CN115" s="774"/>
      <c r="CO115" s="774"/>
      <c r="CP115" s="774"/>
      <c r="CQ115" s="774"/>
      <c r="CR115" s="774"/>
      <c r="CS115" s="774"/>
      <c r="CT115" s="774"/>
      <c r="CU115" s="774"/>
      <c r="CV115" s="451"/>
      <c r="CW115" s="451"/>
      <c r="CX115" s="451"/>
      <c r="CY115" s="451"/>
      <c r="CZ115" s="451"/>
      <c r="DA115" s="451"/>
      <c r="DB115" s="451"/>
      <c r="DC115" s="451"/>
      <c r="DD115" s="451"/>
      <c r="DE115" s="451"/>
      <c r="DF115" s="451"/>
      <c r="DG115" s="451"/>
      <c r="DH115" s="451"/>
      <c r="DI115" s="766"/>
      <c r="DJ115" s="775"/>
      <c r="DK115" s="775"/>
      <c r="DL115" s="775"/>
      <c r="DM115" s="775"/>
      <c r="DN115" s="775"/>
      <c r="DO115" s="775"/>
      <c r="DP115" s="775"/>
      <c r="DQ115" s="775"/>
      <c r="DR115" s="775"/>
      <c r="DS115" s="775"/>
      <c r="DT115" s="451"/>
      <c r="DU115" s="766"/>
      <c r="DV115" s="775"/>
      <c r="DW115" s="775"/>
      <c r="DX115" s="775"/>
      <c r="DY115" s="775"/>
      <c r="DZ115" s="775"/>
      <c r="EA115" s="775"/>
      <c r="EB115" s="775"/>
      <c r="EC115" s="775"/>
      <c r="ED115" s="775"/>
      <c r="EE115" s="775"/>
      <c r="EF115" s="479"/>
      <c r="EG115" s="479"/>
      <c r="EH115" s="479"/>
      <c r="EI115" s="479"/>
      <c r="EJ115" s="479"/>
      <c r="EK115" s="479"/>
      <c r="EL115" s="479"/>
      <c r="EM115" s="479"/>
      <c r="EN115" s="479"/>
      <c r="EO115" s="479"/>
    </row>
    <row r="116" spans="5:145" s="746" customFormat="1" ht="14.4" hidden="1" x14ac:dyDescent="0.55000000000000004">
      <c r="E116" s="767">
        <v>2039</v>
      </c>
      <c r="F116" s="768">
        <v>8800.7407180000009</v>
      </c>
      <c r="G116" s="768">
        <v>1098.1963890000002</v>
      </c>
      <c r="H116" s="768">
        <v>397.30598800000007</v>
      </c>
      <c r="I116" s="768">
        <v>4413.5145390000007</v>
      </c>
      <c r="J116" s="768">
        <v>2160.9768509999999</v>
      </c>
      <c r="K116" s="768">
        <v>730.74695099999985</v>
      </c>
      <c r="L116" s="768">
        <v>1365.7527190000001</v>
      </c>
      <c r="M116" s="768">
        <v>1618.3474269999999</v>
      </c>
      <c r="N116" s="768">
        <v>515.58490600000016</v>
      </c>
      <c r="O116" s="768">
        <v>381.39629400000001</v>
      </c>
      <c r="P116" s="489"/>
      <c r="Q116" s="767">
        <v>2039</v>
      </c>
      <c r="R116" s="768">
        <v>8800.7407180000009</v>
      </c>
      <c r="S116" s="768">
        <v>1098.1963890000002</v>
      </c>
      <c r="T116" s="768">
        <v>397.30598800000007</v>
      </c>
      <c r="U116" s="768">
        <v>4413.5145390000007</v>
      </c>
      <c r="V116" s="768">
        <v>2160.9768509999999</v>
      </c>
      <c r="W116" s="768">
        <v>730.74695099999985</v>
      </c>
      <c r="X116" s="768">
        <v>1365.7527190000001</v>
      </c>
      <c r="Y116" s="768">
        <v>1618.3474269999999</v>
      </c>
      <c r="Z116" s="768">
        <v>515.58490600000016</v>
      </c>
      <c r="AA116" s="768">
        <v>381.39629400000001</v>
      </c>
      <c r="AB116" s="490"/>
      <c r="AC116" s="767">
        <v>2039</v>
      </c>
      <c r="AD116" s="768">
        <v>8800.7407180000009</v>
      </c>
      <c r="AE116" s="768">
        <v>1098.1963890000002</v>
      </c>
      <c r="AF116" s="768">
        <v>397.30598800000007</v>
      </c>
      <c r="AG116" s="768">
        <v>4413.5145390000007</v>
      </c>
      <c r="AH116" s="768">
        <v>2160.9768509999999</v>
      </c>
      <c r="AI116" s="768">
        <v>730.74695099999985</v>
      </c>
      <c r="AJ116" s="768">
        <v>1365.7527190000001</v>
      </c>
      <c r="AK116" s="768">
        <v>1618.3474269999999</v>
      </c>
      <c r="AL116" s="768">
        <v>515.58490600000016</v>
      </c>
      <c r="AM116" s="768">
        <v>381.39629400000001</v>
      </c>
      <c r="AN116" s="489"/>
      <c r="AO116" s="769">
        <v>2039</v>
      </c>
      <c r="AP116" s="770">
        <v>8800.7407180000009</v>
      </c>
      <c r="AQ116" s="770">
        <v>1098.1963890000002</v>
      </c>
      <c r="AR116" s="770">
        <v>397.30598800000007</v>
      </c>
      <c r="AS116" s="770">
        <v>4413.5145390000007</v>
      </c>
      <c r="AT116" s="770">
        <v>2160.9768509999999</v>
      </c>
      <c r="AU116" s="770">
        <v>730.74695099999985</v>
      </c>
      <c r="AV116" s="770">
        <v>1365.7527190000001</v>
      </c>
      <c r="AW116" s="770">
        <v>1618.3474269999999</v>
      </c>
      <c r="AX116" s="770">
        <v>515.58490600000016</v>
      </c>
      <c r="AY116" s="770">
        <v>381.39629400000001</v>
      </c>
      <c r="AZ116" s="776"/>
      <c r="BA116" s="484">
        <v>2039</v>
      </c>
      <c r="BB116" s="485">
        <v>8959.948930999999</v>
      </c>
      <c r="BC116" s="485">
        <v>1103.1981529999998</v>
      </c>
      <c r="BD116" s="485">
        <v>391.32946299999992</v>
      </c>
      <c r="BE116" s="485">
        <v>4432.7468990000016</v>
      </c>
      <c r="BF116" s="485">
        <v>2280.3483829999996</v>
      </c>
      <c r="BG116" s="485">
        <v>752.32603299999994</v>
      </c>
      <c r="BH116" s="485">
        <v>1438.7898130000001</v>
      </c>
      <c r="BI116" s="485">
        <v>1558.1918640000001</v>
      </c>
      <c r="BJ116" s="485">
        <v>512.82937900000002</v>
      </c>
      <c r="BK116" s="485">
        <v>381.30142700000005</v>
      </c>
      <c r="BL116" s="492"/>
      <c r="BM116" s="486">
        <v>2039</v>
      </c>
      <c r="BN116" s="487">
        <v>8959.948930999999</v>
      </c>
      <c r="BO116" s="488">
        <v>1103.1981529999998</v>
      </c>
      <c r="BP116" s="488">
        <v>391.32946299999992</v>
      </c>
      <c r="BQ116" s="488">
        <v>4432.7468990000016</v>
      </c>
      <c r="BR116" s="488">
        <v>2280.3483829999996</v>
      </c>
      <c r="BS116" s="488">
        <v>752.32603299999994</v>
      </c>
      <c r="BT116" s="488">
        <v>1438.7898130000001</v>
      </c>
      <c r="BU116" s="488">
        <v>1558.1918640000001</v>
      </c>
      <c r="BV116" s="488">
        <v>512.82937900000002</v>
      </c>
      <c r="BW116" s="488">
        <v>381.30142700000005</v>
      </c>
      <c r="BX116" s="491"/>
      <c r="BY116" s="769">
        <v>2039</v>
      </c>
      <c r="BZ116" s="770">
        <v>9072.9385649999986</v>
      </c>
      <c r="CA116" s="770">
        <v>1088.0415889999997</v>
      </c>
      <c r="CB116" s="770">
        <v>396.70015800000004</v>
      </c>
      <c r="CC116" s="770">
        <v>4482.8262509999995</v>
      </c>
      <c r="CD116" s="770">
        <v>2349.5109739999994</v>
      </c>
      <c r="CE116" s="770">
        <v>755.85959299999979</v>
      </c>
      <c r="CF116" s="770">
        <v>1397.9445719999999</v>
      </c>
      <c r="CG116" s="770">
        <v>1624.756322</v>
      </c>
      <c r="CH116" s="770">
        <v>503.04362400000002</v>
      </c>
      <c r="CI116" s="770">
        <v>372.13985700000001</v>
      </c>
      <c r="CJ116" s="777"/>
      <c r="CK116" s="766"/>
      <c r="CL116" s="773"/>
      <c r="CM116" s="774"/>
      <c r="CN116" s="774"/>
      <c r="CO116" s="774"/>
      <c r="CP116" s="774"/>
      <c r="CQ116" s="774"/>
      <c r="CR116" s="774"/>
      <c r="CS116" s="774"/>
      <c r="CT116" s="774"/>
      <c r="CU116" s="774"/>
      <c r="CV116" s="451"/>
      <c r="CW116" s="451"/>
      <c r="CX116" s="451"/>
      <c r="CY116" s="451"/>
      <c r="CZ116" s="451"/>
      <c r="DA116" s="451"/>
      <c r="DB116" s="451"/>
      <c r="DC116" s="451"/>
      <c r="DD116" s="451"/>
      <c r="DE116" s="451"/>
      <c r="DF116" s="451"/>
      <c r="DG116" s="451"/>
      <c r="DH116" s="451"/>
      <c r="DI116" s="766"/>
      <c r="DJ116" s="775"/>
      <c r="DK116" s="775"/>
      <c r="DL116" s="775"/>
      <c r="DM116" s="775"/>
      <c r="DN116" s="775"/>
      <c r="DO116" s="775"/>
      <c r="DP116" s="775"/>
      <c r="DQ116" s="775"/>
      <c r="DR116" s="775"/>
      <c r="DS116" s="775"/>
      <c r="DT116" s="451"/>
      <c r="DU116" s="766"/>
      <c r="DV116" s="775"/>
      <c r="DW116" s="775"/>
      <c r="DX116" s="775"/>
      <c r="DY116" s="775"/>
      <c r="DZ116" s="775"/>
      <c r="EA116" s="775"/>
      <c r="EB116" s="775"/>
      <c r="EC116" s="775"/>
      <c r="ED116" s="775"/>
      <c r="EE116" s="775"/>
      <c r="EF116" s="479"/>
      <c r="EG116" s="479"/>
      <c r="EH116" s="479"/>
      <c r="EI116" s="479"/>
      <c r="EJ116" s="479"/>
      <c r="EK116" s="479"/>
      <c r="EL116" s="479"/>
      <c r="EM116" s="479"/>
      <c r="EN116" s="479"/>
      <c r="EO116" s="479"/>
    </row>
    <row r="117" spans="5:145" s="746" customFormat="1" ht="14.4" hidden="1" x14ac:dyDescent="0.55000000000000004">
      <c r="E117" s="767">
        <v>2040</v>
      </c>
      <c r="F117" s="768">
        <v>8850.6030040000005</v>
      </c>
      <c r="G117" s="768">
        <v>1100.5101380000001</v>
      </c>
      <c r="H117" s="768">
        <v>396.47144999999995</v>
      </c>
      <c r="I117" s="768">
        <v>4424.2364590000007</v>
      </c>
      <c r="J117" s="768">
        <v>2196.0979270000003</v>
      </c>
      <c r="K117" s="768">
        <v>733.28703000000019</v>
      </c>
      <c r="L117" s="768">
        <v>1360.9064969999999</v>
      </c>
      <c r="M117" s="768">
        <v>1627.0293859999999</v>
      </c>
      <c r="N117" s="768">
        <v>515.37628399999994</v>
      </c>
      <c r="O117" s="768">
        <v>383.46047499999997</v>
      </c>
      <c r="P117" s="489"/>
      <c r="Q117" s="767">
        <v>2040</v>
      </c>
      <c r="R117" s="768">
        <v>8850.6030040000005</v>
      </c>
      <c r="S117" s="768">
        <v>1100.5101380000001</v>
      </c>
      <c r="T117" s="768">
        <v>396.47144999999995</v>
      </c>
      <c r="U117" s="768">
        <v>4424.2364590000007</v>
      </c>
      <c r="V117" s="768">
        <v>2196.0979270000003</v>
      </c>
      <c r="W117" s="768">
        <v>733.28703000000019</v>
      </c>
      <c r="X117" s="768">
        <v>1360.9064969999999</v>
      </c>
      <c r="Y117" s="768">
        <v>1627.0293859999999</v>
      </c>
      <c r="Z117" s="768">
        <v>515.37628399999994</v>
      </c>
      <c r="AA117" s="768">
        <v>383.46047499999997</v>
      </c>
      <c r="AB117" s="490"/>
      <c r="AC117" s="767">
        <v>2040</v>
      </c>
      <c r="AD117" s="768">
        <v>8850.6030040000005</v>
      </c>
      <c r="AE117" s="768">
        <v>1100.5101380000001</v>
      </c>
      <c r="AF117" s="768">
        <v>396.47144999999995</v>
      </c>
      <c r="AG117" s="768">
        <v>4424.2364590000007</v>
      </c>
      <c r="AH117" s="768">
        <v>2196.0979270000003</v>
      </c>
      <c r="AI117" s="768">
        <v>733.28703000000019</v>
      </c>
      <c r="AJ117" s="768">
        <v>1360.9064969999999</v>
      </c>
      <c r="AK117" s="768">
        <v>1627.0293859999999</v>
      </c>
      <c r="AL117" s="768">
        <v>515.37628399999994</v>
      </c>
      <c r="AM117" s="768">
        <v>383.46047499999997</v>
      </c>
      <c r="AN117" s="489"/>
      <c r="AO117" s="769">
        <v>2040</v>
      </c>
      <c r="AP117" s="770">
        <v>8850.6030040000005</v>
      </c>
      <c r="AQ117" s="770">
        <v>1100.5101380000001</v>
      </c>
      <c r="AR117" s="770">
        <v>396.47144999999995</v>
      </c>
      <c r="AS117" s="770">
        <v>4424.2364590000007</v>
      </c>
      <c r="AT117" s="770">
        <v>2196.0979270000003</v>
      </c>
      <c r="AU117" s="770">
        <v>733.28703000000019</v>
      </c>
      <c r="AV117" s="770">
        <v>1360.9064969999999</v>
      </c>
      <c r="AW117" s="770">
        <v>1627.0293859999999</v>
      </c>
      <c r="AX117" s="770">
        <v>515.37628399999994</v>
      </c>
      <c r="AY117" s="770">
        <v>383.46047499999997</v>
      </c>
      <c r="AZ117" s="776"/>
      <c r="BA117" s="484">
        <v>2040</v>
      </c>
      <c r="BB117" s="485">
        <v>9016.8609490000017</v>
      </c>
      <c r="BC117" s="485">
        <v>1105.6143729999999</v>
      </c>
      <c r="BD117" s="485">
        <v>390.19711700000005</v>
      </c>
      <c r="BE117" s="485">
        <v>4443.8998350000011</v>
      </c>
      <c r="BF117" s="485">
        <v>2321.5018850000001</v>
      </c>
      <c r="BG117" s="485">
        <v>755.64773900000012</v>
      </c>
      <c r="BH117" s="485">
        <v>1435.4992549999999</v>
      </c>
      <c r="BI117" s="485">
        <v>1565.508908</v>
      </c>
      <c r="BJ117" s="485">
        <v>512.53275900000006</v>
      </c>
      <c r="BK117" s="485">
        <v>383.165322</v>
      </c>
      <c r="BL117" s="492"/>
      <c r="BM117" s="486">
        <v>2040</v>
      </c>
      <c r="BN117" s="487">
        <v>9016.8609490000017</v>
      </c>
      <c r="BO117" s="488">
        <v>1105.6143729999999</v>
      </c>
      <c r="BP117" s="488">
        <v>390.19711700000005</v>
      </c>
      <c r="BQ117" s="488">
        <v>4443.8998350000011</v>
      </c>
      <c r="BR117" s="488">
        <v>2321.5018850000001</v>
      </c>
      <c r="BS117" s="488">
        <v>755.64773900000012</v>
      </c>
      <c r="BT117" s="488">
        <v>1435.4992549999999</v>
      </c>
      <c r="BU117" s="488">
        <v>1565.508908</v>
      </c>
      <c r="BV117" s="488">
        <v>512.53275900000006</v>
      </c>
      <c r="BW117" s="488">
        <v>383.165322</v>
      </c>
      <c r="BX117" s="491"/>
      <c r="BY117" s="769">
        <v>2040</v>
      </c>
      <c r="BZ117" s="770">
        <v>9134.7613899999997</v>
      </c>
      <c r="CA117" s="770">
        <v>1090.0615870000001</v>
      </c>
      <c r="CB117" s="770">
        <v>395.67533199999997</v>
      </c>
      <c r="CC117" s="770">
        <v>4496.8911619999999</v>
      </c>
      <c r="CD117" s="770">
        <v>2393.050490000001</v>
      </c>
      <c r="CE117" s="770">
        <v>759.0828190000002</v>
      </c>
      <c r="CF117" s="770">
        <v>1394.7148910000001</v>
      </c>
      <c r="CG117" s="770">
        <v>1633.727672</v>
      </c>
      <c r="CH117" s="770">
        <v>502.61403000000007</v>
      </c>
      <c r="CI117" s="770">
        <v>373.76665300000002</v>
      </c>
      <c r="CJ117" s="777"/>
      <c r="CK117" s="766"/>
      <c r="CL117" s="773"/>
      <c r="CM117" s="774"/>
      <c r="CN117" s="774"/>
      <c r="CO117" s="774"/>
      <c r="CP117" s="774"/>
      <c r="CQ117" s="774"/>
      <c r="CR117" s="774"/>
      <c r="CS117" s="774"/>
      <c r="CT117" s="774"/>
      <c r="CU117" s="774"/>
      <c r="CV117" s="451"/>
      <c r="CW117" s="451"/>
      <c r="CX117" s="451"/>
      <c r="CY117" s="451"/>
      <c r="CZ117" s="451"/>
      <c r="DA117" s="451"/>
      <c r="DB117" s="451"/>
      <c r="DC117" s="451"/>
      <c r="DD117" s="451"/>
      <c r="DE117" s="451"/>
      <c r="DF117" s="451"/>
      <c r="DG117" s="451"/>
      <c r="DH117" s="451"/>
      <c r="DI117" s="766"/>
      <c r="DJ117" s="775"/>
      <c r="DK117" s="775"/>
      <c r="DL117" s="775"/>
      <c r="DM117" s="775"/>
      <c r="DN117" s="775"/>
      <c r="DO117" s="775"/>
      <c r="DP117" s="775"/>
      <c r="DQ117" s="775"/>
      <c r="DR117" s="775"/>
      <c r="DS117" s="775"/>
      <c r="DT117" s="451"/>
      <c r="DU117" s="766"/>
      <c r="DV117" s="775"/>
      <c r="DW117" s="775"/>
      <c r="DX117" s="775"/>
      <c r="DY117" s="775"/>
      <c r="DZ117" s="775"/>
      <c r="EA117" s="775"/>
      <c r="EB117" s="775"/>
      <c r="EC117" s="775"/>
      <c r="ED117" s="775"/>
      <c r="EE117" s="775"/>
      <c r="EF117" s="479"/>
      <c r="EG117" s="479"/>
      <c r="EH117" s="479"/>
      <c r="EI117" s="479"/>
      <c r="EJ117" s="479"/>
      <c r="EK117" s="479"/>
      <c r="EL117" s="479"/>
      <c r="EM117" s="479"/>
      <c r="EN117" s="479"/>
      <c r="EO117" s="479"/>
    </row>
    <row r="118" spans="5:145" s="746" customFormat="1" ht="14.4" hidden="1" x14ac:dyDescent="0.55000000000000004">
      <c r="E118" s="767">
        <v>2041</v>
      </c>
      <c r="F118" s="768">
        <v>8899.2595169999986</v>
      </c>
      <c r="G118" s="768">
        <v>1102.7339699999998</v>
      </c>
      <c r="H118" s="768">
        <v>395.63233799999995</v>
      </c>
      <c r="I118" s="768">
        <v>4433.8995110000005</v>
      </c>
      <c r="J118" s="768">
        <v>2231.3358829999997</v>
      </c>
      <c r="K118" s="768">
        <v>735.65781500000026</v>
      </c>
      <c r="L118" s="768">
        <v>1355.7204299999999</v>
      </c>
      <c r="M118" s="768">
        <v>1635.3205740000001</v>
      </c>
      <c r="N118" s="768">
        <v>515.13730399999997</v>
      </c>
      <c r="O118" s="768">
        <v>385.49889000000002</v>
      </c>
      <c r="P118" s="489"/>
      <c r="Q118" s="767">
        <v>2041</v>
      </c>
      <c r="R118" s="768">
        <v>8899.2595169999986</v>
      </c>
      <c r="S118" s="768">
        <v>1102.7339699999998</v>
      </c>
      <c r="T118" s="768">
        <v>395.63233799999995</v>
      </c>
      <c r="U118" s="768">
        <v>4433.8995110000005</v>
      </c>
      <c r="V118" s="768">
        <v>2231.3358829999997</v>
      </c>
      <c r="W118" s="768">
        <v>735.65781500000026</v>
      </c>
      <c r="X118" s="768">
        <v>1355.7204299999999</v>
      </c>
      <c r="Y118" s="768">
        <v>1635.3205740000001</v>
      </c>
      <c r="Z118" s="768">
        <v>515.13730399999997</v>
      </c>
      <c r="AA118" s="768">
        <v>385.49889000000002</v>
      </c>
      <c r="AB118" s="490"/>
      <c r="AC118" s="767">
        <v>2041</v>
      </c>
      <c r="AD118" s="768">
        <v>8899.2595169999986</v>
      </c>
      <c r="AE118" s="768">
        <v>1102.7339699999998</v>
      </c>
      <c r="AF118" s="768">
        <v>395.63233799999995</v>
      </c>
      <c r="AG118" s="768">
        <v>4433.8995110000005</v>
      </c>
      <c r="AH118" s="768">
        <v>2231.3358829999997</v>
      </c>
      <c r="AI118" s="768">
        <v>735.65781500000026</v>
      </c>
      <c r="AJ118" s="768">
        <v>1355.7204299999999</v>
      </c>
      <c r="AK118" s="768">
        <v>1635.3205740000001</v>
      </c>
      <c r="AL118" s="768">
        <v>515.13730399999997</v>
      </c>
      <c r="AM118" s="768">
        <v>385.49889000000002</v>
      </c>
      <c r="AN118" s="489"/>
      <c r="AO118" s="769">
        <v>2041</v>
      </c>
      <c r="AP118" s="770">
        <v>8899.2595169999986</v>
      </c>
      <c r="AQ118" s="770">
        <v>1102.7339699999998</v>
      </c>
      <c r="AR118" s="770">
        <v>395.63233799999995</v>
      </c>
      <c r="AS118" s="770">
        <v>4433.8995110000005</v>
      </c>
      <c r="AT118" s="770">
        <v>2231.3358829999997</v>
      </c>
      <c r="AU118" s="770">
        <v>735.65781500000026</v>
      </c>
      <c r="AV118" s="770">
        <v>1355.7204299999999</v>
      </c>
      <c r="AW118" s="770">
        <v>1635.3205740000001</v>
      </c>
      <c r="AX118" s="770">
        <v>515.13730399999997</v>
      </c>
      <c r="AY118" s="770">
        <v>385.49889000000002</v>
      </c>
      <c r="AZ118" s="776"/>
      <c r="BA118" s="484">
        <v>2041</v>
      </c>
      <c r="BB118" s="485">
        <v>9072.7519230000016</v>
      </c>
      <c r="BC118" s="485">
        <v>1107.9436849999997</v>
      </c>
      <c r="BD118" s="485">
        <v>389.063897</v>
      </c>
      <c r="BE118" s="485">
        <v>4454.0165400000024</v>
      </c>
      <c r="BF118" s="485">
        <v>2362.9152320000003</v>
      </c>
      <c r="BG118" s="485">
        <v>758.81256899999983</v>
      </c>
      <c r="BH118" s="485">
        <v>1431.874053</v>
      </c>
      <c r="BI118" s="485">
        <v>1572.4711089999998</v>
      </c>
      <c r="BJ118" s="485">
        <v>512.20889800000009</v>
      </c>
      <c r="BK118" s="485">
        <v>384.99727799999999</v>
      </c>
      <c r="BL118" s="492"/>
      <c r="BM118" s="486">
        <v>2041</v>
      </c>
      <c r="BN118" s="487">
        <v>9072.7519230000016</v>
      </c>
      <c r="BO118" s="488">
        <v>1107.9436849999997</v>
      </c>
      <c r="BP118" s="488">
        <v>389.063897</v>
      </c>
      <c r="BQ118" s="488">
        <v>4454.0165400000024</v>
      </c>
      <c r="BR118" s="488">
        <v>2362.9152320000003</v>
      </c>
      <c r="BS118" s="488">
        <v>758.81256899999983</v>
      </c>
      <c r="BT118" s="488">
        <v>1431.874053</v>
      </c>
      <c r="BU118" s="488">
        <v>1572.4711089999998</v>
      </c>
      <c r="BV118" s="488">
        <v>512.20889800000009</v>
      </c>
      <c r="BW118" s="488">
        <v>384.99727799999999</v>
      </c>
      <c r="BX118" s="491"/>
      <c r="BY118" s="769">
        <v>2041</v>
      </c>
      <c r="BZ118" s="770">
        <v>9195.7311310000005</v>
      </c>
      <c r="CA118" s="770">
        <v>1091.9892679999998</v>
      </c>
      <c r="CB118" s="770">
        <v>394.66641000000004</v>
      </c>
      <c r="CC118" s="770">
        <v>4510.0598579999987</v>
      </c>
      <c r="CD118" s="770">
        <v>2436.8653400000007</v>
      </c>
      <c r="CE118" s="770">
        <v>762.15025500000002</v>
      </c>
      <c r="CF118" s="770">
        <v>1391.223467</v>
      </c>
      <c r="CG118" s="770">
        <v>1642.3693430000001</v>
      </c>
      <c r="CH118" s="770">
        <v>502.15073799999999</v>
      </c>
      <c r="CI118" s="770">
        <v>375.35873700000002</v>
      </c>
      <c r="CJ118" s="777"/>
      <c r="CK118" s="766"/>
      <c r="CL118" s="773"/>
      <c r="CM118" s="774"/>
      <c r="CN118" s="774"/>
      <c r="CO118" s="774"/>
      <c r="CP118" s="774"/>
      <c r="CQ118" s="774"/>
      <c r="CR118" s="774"/>
      <c r="CS118" s="774"/>
      <c r="CT118" s="774"/>
      <c r="CU118" s="774"/>
      <c r="CV118" s="451"/>
      <c r="CW118" s="451"/>
      <c r="CX118" s="451"/>
      <c r="CY118" s="451"/>
      <c r="CZ118" s="451"/>
      <c r="DA118" s="451"/>
      <c r="DB118" s="451"/>
      <c r="DC118" s="451"/>
      <c r="DD118" s="451"/>
      <c r="DE118" s="451"/>
      <c r="DF118" s="451"/>
      <c r="DG118" s="451"/>
      <c r="DH118" s="451"/>
      <c r="DI118" s="766"/>
      <c r="DJ118" s="775"/>
      <c r="DK118" s="775"/>
      <c r="DL118" s="775"/>
      <c r="DM118" s="775"/>
      <c r="DN118" s="775"/>
      <c r="DO118" s="775"/>
      <c r="DP118" s="775"/>
      <c r="DQ118" s="775"/>
      <c r="DR118" s="775"/>
      <c r="DS118" s="775"/>
      <c r="DT118" s="451"/>
      <c r="DU118" s="766"/>
      <c r="DV118" s="775"/>
      <c r="DW118" s="775"/>
      <c r="DX118" s="775"/>
      <c r="DY118" s="775"/>
      <c r="DZ118" s="775"/>
      <c r="EA118" s="775"/>
      <c r="EB118" s="775"/>
      <c r="EC118" s="775"/>
      <c r="ED118" s="775"/>
      <c r="EE118" s="775"/>
      <c r="EF118" s="479"/>
      <c r="EG118" s="479"/>
      <c r="EH118" s="479"/>
      <c r="EI118" s="479"/>
      <c r="EJ118" s="479"/>
      <c r="EK118" s="479"/>
      <c r="EL118" s="479"/>
      <c r="EM118" s="479"/>
      <c r="EN118" s="479"/>
      <c r="EO118" s="479"/>
    </row>
    <row r="119" spans="5:145" s="746" customFormat="1" ht="14.4" hidden="1" x14ac:dyDescent="0.55000000000000004">
      <c r="E119" s="767">
        <v>2042</v>
      </c>
      <c r="F119" s="768">
        <v>8946.7019089999994</v>
      </c>
      <c r="G119" s="768">
        <v>1104.870876</v>
      </c>
      <c r="H119" s="768">
        <v>394.78814300000005</v>
      </c>
      <c r="I119" s="768">
        <v>4442.5096550000007</v>
      </c>
      <c r="J119" s="768">
        <v>2266.6732329999995</v>
      </c>
      <c r="K119" s="768">
        <v>737.86000200000001</v>
      </c>
      <c r="L119" s="768">
        <v>1350.2041270000002</v>
      </c>
      <c r="M119" s="768">
        <v>1643.218108</v>
      </c>
      <c r="N119" s="768">
        <v>514.86859700000002</v>
      </c>
      <c r="O119" s="768">
        <v>387.51299999999998</v>
      </c>
      <c r="P119" s="489"/>
      <c r="Q119" s="767">
        <v>2042</v>
      </c>
      <c r="R119" s="768">
        <v>8946.7019089999994</v>
      </c>
      <c r="S119" s="768">
        <v>1104.870876</v>
      </c>
      <c r="T119" s="768">
        <v>394.78814300000005</v>
      </c>
      <c r="U119" s="768">
        <v>4442.5096550000007</v>
      </c>
      <c r="V119" s="768">
        <v>2266.6732329999995</v>
      </c>
      <c r="W119" s="768">
        <v>737.86000200000001</v>
      </c>
      <c r="X119" s="768">
        <v>1350.2041270000002</v>
      </c>
      <c r="Y119" s="768">
        <v>1643.218108</v>
      </c>
      <c r="Z119" s="768">
        <v>514.86859700000002</v>
      </c>
      <c r="AA119" s="768">
        <v>387.51299999999998</v>
      </c>
      <c r="AB119" s="490"/>
      <c r="AC119" s="767">
        <v>2042</v>
      </c>
      <c r="AD119" s="768">
        <v>8946.7019089999994</v>
      </c>
      <c r="AE119" s="768">
        <v>1104.870876</v>
      </c>
      <c r="AF119" s="768">
        <v>394.78814300000005</v>
      </c>
      <c r="AG119" s="768">
        <v>4442.5096550000007</v>
      </c>
      <c r="AH119" s="768">
        <v>2266.6732329999995</v>
      </c>
      <c r="AI119" s="768">
        <v>737.86000200000001</v>
      </c>
      <c r="AJ119" s="768">
        <v>1350.2041270000002</v>
      </c>
      <c r="AK119" s="768">
        <v>1643.218108</v>
      </c>
      <c r="AL119" s="768">
        <v>514.86859700000002</v>
      </c>
      <c r="AM119" s="768">
        <v>387.51299999999998</v>
      </c>
      <c r="AN119" s="489"/>
      <c r="AO119" s="769">
        <v>2042</v>
      </c>
      <c r="AP119" s="770">
        <v>8946.7019089999994</v>
      </c>
      <c r="AQ119" s="770">
        <v>1104.870876</v>
      </c>
      <c r="AR119" s="770">
        <v>394.78814300000005</v>
      </c>
      <c r="AS119" s="770">
        <v>4442.5096550000007</v>
      </c>
      <c r="AT119" s="770">
        <v>2266.6732329999995</v>
      </c>
      <c r="AU119" s="770">
        <v>737.86000200000001</v>
      </c>
      <c r="AV119" s="770">
        <v>1350.2041270000002</v>
      </c>
      <c r="AW119" s="770">
        <v>1643.218108</v>
      </c>
      <c r="AX119" s="770">
        <v>514.86859700000002</v>
      </c>
      <c r="AY119" s="770">
        <v>387.51299999999998</v>
      </c>
      <c r="AZ119" s="776"/>
      <c r="BA119" s="484">
        <v>2042</v>
      </c>
      <c r="BB119" s="485">
        <v>9127.6138379999975</v>
      </c>
      <c r="BC119" s="485">
        <v>1110.1896430000002</v>
      </c>
      <c r="BD119" s="485">
        <v>387.92919700000004</v>
      </c>
      <c r="BE119" s="485">
        <v>4463.1070989999998</v>
      </c>
      <c r="BF119" s="485">
        <v>2404.567689</v>
      </c>
      <c r="BG119" s="485">
        <v>761.82020999999975</v>
      </c>
      <c r="BH119" s="485">
        <v>1427.9211070000001</v>
      </c>
      <c r="BI119" s="485">
        <v>1579.081678</v>
      </c>
      <c r="BJ119" s="485">
        <v>511.85785399999992</v>
      </c>
      <c r="BK119" s="485">
        <v>386.800164</v>
      </c>
      <c r="BL119" s="492"/>
      <c r="BM119" s="486">
        <v>2042</v>
      </c>
      <c r="BN119" s="487">
        <v>9127.6138379999975</v>
      </c>
      <c r="BO119" s="488">
        <v>1110.1896430000002</v>
      </c>
      <c r="BP119" s="488">
        <v>387.92919700000004</v>
      </c>
      <c r="BQ119" s="488">
        <v>4463.1070989999998</v>
      </c>
      <c r="BR119" s="488">
        <v>2404.567689</v>
      </c>
      <c r="BS119" s="488">
        <v>761.82020999999975</v>
      </c>
      <c r="BT119" s="488">
        <v>1427.9211070000001</v>
      </c>
      <c r="BU119" s="488">
        <v>1579.081678</v>
      </c>
      <c r="BV119" s="488">
        <v>511.85785399999992</v>
      </c>
      <c r="BW119" s="488">
        <v>386.800164</v>
      </c>
      <c r="BX119" s="491"/>
      <c r="BY119" s="769">
        <v>2042</v>
      </c>
      <c r="BZ119" s="770">
        <v>9255.8290099999995</v>
      </c>
      <c r="CA119" s="770">
        <v>1093.8273440000003</v>
      </c>
      <c r="CB119" s="770">
        <v>393.67316800000003</v>
      </c>
      <c r="CC119" s="770">
        <v>4522.3303210000004</v>
      </c>
      <c r="CD119" s="770">
        <v>2480.9363859999989</v>
      </c>
      <c r="CE119" s="770">
        <v>765.0617910000002</v>
      </c>
      <c r="CF119" s="770">
        <v>1387.4741640000002</v>
      </c>
      <c r="CG119" s="770">
        <v>1650.679623</v>
      </c>
      <c r="CH119" s="770">
        <v>501.65342399999997</v>
      </c>
      <c r="CI119" s="770">
        <v>376.91936700000002</v>
      </c>
      <c r="CJ119" s="777"/>
      <c r="CK119" s="766"/>
      <c r="CL119" s="773"/>
      <c r="CM119" s="774"/>
      <c r="CN119" s="774"/>
      <c r="CO119" s="774"/>
      <c r="CP119" s="774"/>
      <c r="CQ119" s="774"/>
      <c r="CR119" s="774"/>
      <c r="CS119" s="774"/>
      <c r="CT119" s="774"/>
      <c r="CU119" s="774"/>
      <c r="CV119" s="451"/>
      <c r="CW119" s="451"/>
      <c r="CX119" s="451"/>
      <c r="CY119" s="451"/>
      <c r="CZ119" s="451"/>
      <c r="DA119" s="451"/>
      <c r="DB119" s="451"/>
      <c r="DC119" s="451"/>
      <c r="DD119" s="451"/>
      <c r="DE119" s="451"/>
      <c r="DF119" s="451"/>
      <c r="DG119" s="451"/>
      <c r="DH119" s="451"/>
      <c r="DI119" s="766"/>
      <c r="DJ119" s="775"/>
      <c r="DK119" s="775"/>
      <c r="DL119" s="775"/>
      <c r="DM119" s="775"/>
      <c r="DN119" s="775"/>
      <c r="DO119" s="775"/>
      <c r="DP119" s="775"/>
      <c r="DQ119" s="775"/>
      <c r="DR119" s="775"/>
      <c r="DS119" s="775"/>
      <c r="DT119" s="451"/>
      <c r="DU119" s="766"/>
      <c r="DV119" s="775"/>
      <c r="DW119" s="775"/>
      <c r="DX119" s="775"/>
      <c r="DY119" s="775"/>
      <c r="DZ119" s="775"/>
      <c r="EA119" s="775"/>
      <c r="EB119" s="775"/>
      <c r="EC119" s="775"/>
      <c r="ED119" s="775"/>
      <c r="EE119" s="775"/>
      <c r="EF119" s="479"/>
      <c r="EG119" s="479"/>
      <c r="EH119" s="479"/>
      <c r="EI119" s="479"/>
      <c r="EJ119" s="479"/>
      <c r="EK119" s="479"/>
      <c r="EL119" s="479"/>
      <c r="EM119" s="479"/>
      <c r="EN119" s="479"/>
      <c r="EO119" s="479"/>
    </row>
    <row r="120" spans="5:145" s="746" customFormat="1" ht="14.4" hidden="1" x14ac:dyDescent="0.55000000000000004">
      <c r="E120" s="767">
        <v>2043</v>
      </c>
      <c r="F120" s="768">
        <v>8992.907545</v>
      </c>
      <c r="G120" s="768">
        <v>1106.9279340000001</v>
      </c>
      <c r="H120" s="768">
        <v>393.93255900000003</v>
      </c>
      <c r="I120" s="768">
        <v>4450.0708709999981</v>
      </c>
      <c r="J120" s="768">
        <v>2302.083747000001</v>
      </c>
      <c r="K120" s="768">
        <v>739.89243399999987</v>
      </c>
      <c r="L120" s="768">
        <v>1344.3665719999999</v>
      </c>
      <c r="M120" s="768">
        <v>1650.718754</v>
      </c>
      <c r="N120" s="768">
        <v>514.57163300000002</v>
      </c>
      <c r="O120" s="768">
        <v>389.506889</v>
      </c>
      <c r="P120" s="489"/>
      <c r="Q120" s="767">
        <v>2043</v>
      </c>
      <c r="R120" s="768">
        <v>8992.907545</v>
      </c>
      <c r="S120" s="768">
        <v>1106.9279340000001</v>
      </c>
      <c r="T120" s="768">
        <v>393.93255900000003</v>
      </c>
      <c r="U120" s="768">
        <v>4450.0708709999981</v>
      </c>
      <c r="V120" s="768">
        <v>2302.083747000001</v>
      </c>
      <c r="W120" s="768">
        <v>739.89243399999987</v>
      </c>
      <c r="X120" s="768">
        <v>1344.3665719999999</v>
      </c>
      <c r="Y120" s="768">
        <v>1650.718754</v>
      </c>
      <c r="Z120" s="768">
        <v>514.57163300000002</v>
      </c>
      <c r="AA120" s="768">
        <v>389.506889</v>
      </c>
      <c r="AB120" s="490"/>
      <c r="AC120" s="767">
        <v>2043</v>
      </c>
      <c r="AD120" s="768">
        <v>8992.907545</v>
      </c>
      <c r="AE120" s="768">
        <v>1106.9279340000001</v>
      </c>
      <c r="AF120" s="768">
        <v>393.93255900000003</v>
      </c>
      <c r="AG120" s="768">
        <v>4450.0708709999981</v>
      </c>
      <c r="AH120" s="768">
        <v>2302.083747000001</v>
      </c>
      <c r="AI120" s="768">
        <v>739.89243399999987</v>
      </c>
      <c r="AJ120" s="768">
        <v>1344.3665719999999</v>
      </c>
      <c r="AK120" s="768">
        <v>1650.718754</v>
      </c>
      <c r="AL120" s="768">
        <v>514.57163300000002</v>
      </c>
      <c r="AM120" s="768">
        <v>389.506889</v>
      </c>
      <c r="AN120" s="489"/>
      <c r="AO120" s="769">
        <v>2043</v>
      </c>
      <c r="AP120" s="770">
        <v>8992.907545</v>
      </c>
      <c r="AQ120" s="770">
        <v>1106.9279340000001</v>
      </c>
      <c r="AR120" s="770">
        <v>393.93255900000003</v>
      </c>
      <c r="AS120" s="770">
        <v>4450.0708709999981</v>
      </c>
      <c r="AT120" s="770">
        <v>2302.083747000001</v>
      </c>
      <c r="AU120" s="770">
        <v>739.89243399999987</v>
      </c>
      <c r="AV120" s="770">
        <v>1344.3665719999999</v>
      </c>
      <c r="AW120" s="770">
        <v>1650.718754</v>
      </c>
      <c r="AX120" s="770">
        <v>514.57163300000002</v>
      </c>
      <c r="AY120" s="770">
        <v>389.506889</v>
      </c>
      <c r="AZ120" s="776"/>
      <c r="BA120" s="484">
        <v>2043</v>
      </c>
      <c r="BB120" s="485">
        <v>9181.4250809999994</v>
      </c>
      <c r="BC120" s="485">
        <v>1112.3618079999999</v>
      </c>
      <c r="BD120" s="485">
        <v>386.78719700000005</v>
      </c>
      <c r="BE120" s="485">
        <v>4471.1765320000013</v>
      </c>
      <c r="BF120" s="485">
        <v>2446.4302819999994</v>
      </c>
      <c r="BG120" s="485">
        <v>764.66926200000034</v>
      </c>
      <c r="BH120" s="485">
        <v>1423.639678</v>
      </c>
      <c r="BI120" s="485">
        <v>1585.347278</v>
      </c>
      <c r="BJ120" s="485">
        <v>511.47932700000007</v>
      </c>
      <c r="BK120" s="485">
        <v>388.58123799999998</v>
      </c>
      <c r="BL120" s="492"/>
      <c r="BM120" s="486">
        <v>2043</v>
      </c>
      <c r="BN120" s="487">
        <v>9181.4250809999994</v>
      </c>
      <c r="BO120" s="488">
        <v>1112.3618079999999</v>
      </c>
      <c r="BP120" s="488">
        <v>386.78719700000005</v>
      </c>
      <c r="BQ120" s="488">
        <v>4471.1765320000013</v>
      </c>
      <c r="BR120" s="488">
        <v>2446.4302819999994</v>
      </c>
      <c r="BS120" s="488">
        <v>764.66926200000034</v>
      </c>
      <c r="BT120" s="488">
        <v>1423.639678</v>
      </c>
      <c r="BU120" s="488">
        <v>1585.347278</v>
      </c>
      <c r="BV120" s="488">
        <v>511.47932700000007</v>
      </c>
      <c r="BW120" s="488">
        <v>388.58123799999998</v>
      </c>
      <c r="BX120" s="491"/>
      <c r="BY120" s="769">
        <v>2043</v>
      </c>
      <c r="BZ120" s="770">
        <v>9315.0132699999995</v>
      </c>
      <c r="CA120" s="770">
        <v>1095.582236</v>
      </c>
      <c r="CB120" s="770">
        <v>392.690202</v>
      </c>
      <c r="CC120" s="770">
        <v>4533.6917530000001</v>
      </c>
      <c r="CD120" s="770">
        <v>2525.2317709999998</v>
      </c>
      <c r="CE120" s="770">
        <v>767.81730800000014</v>
      </c>
      <c r="CF120" s="770">
        <v>1383.464905</v>
      </c>
      <c r="CG120" s="770">
        <v>1658.6588340000001</v>
      </c>
      <c r="CH120" s="770">
        <v>501.12065699999999</v>
      </c>
      <c r="CI120" s="770">
        <v>378.45431000000002</v>
      </c>
      <c r="CJ120" s="777"/>
      <c r="CK120" s="766"/>
      <c r="CL120" s="773"/>
      <c r="CM120" s="774"/>
      <c r="CN120" s="774"/>
      <c r="CO120" s="774"/>
      <c r="CP120" s="774"/>
      <c r="CQ120" s="774"/>
      <c r="CR120" s="774"/>
      <c r="CS120" s="774"/>
      <c r="CT120" s="774"/>
      <c r="CU120" s="774"/>
      <c r="CV120" s="451"/>
      <c r="CW120" s="451"/>
      <c r="CX120" s="451"/>
      <c r="CY120" s="451"/>
      <c r="CZ120" s="451"/>
      <c r="DA120" s="451"/>
      <c r="DB120" s="451"/>
      <c r="DC120" s="451"/>
      <c r="DD120" s="451"/>
      <c r="DE120" s="451"/>
      <c r="DF120" s="451"/>
      <c r="DG120" s="451"/>
      <c r="DH120" s="451"/>
      <c r="DI120" s="766"/>
      <c r="DJ120" s="775"/>
      <c r="DK120" s="775"/>
      <c r="DL120" s="775"/>
      <c r="DM120" s="775"/>
      <c r="DN120" s="775"/>
      <c r="DO120" s="775"/>
      <c r="DP120" s="775"/>
      <c r="DQ120" s="775"/>
      <c r="DR120" s="775"/>
      <c r="DS120" s="775"/>
      <c r="DT120" s="451"/>
      <c r="DU120" s="766"/>
      <c r="DV120" s="775"/>
      <c r="DW120" s="775"/>
      <c r="DX120" s="775"/>
      <c r="DY120" s="775"/>
      <c r="DZ120" s="775"/>
      <c r="EA120" s="775"/>
      <c r="EB120" s="775"/>
      <c r="EC120" s="775"/>
      <c r="ED120" s="775"/>
      <c r="EE120" s="775"/>
      <c r="EF120" s="479"/>
      <c r="EG120" s="479"/>
      <c r="EH120" s="479"/>
      <c r="EI120" s="479"/>
      <c r="EJ120" s="479"/>
      <c r="EK120" s="479"/>
      <c r="EL120" s="479"/>
      <c r="EM120" s="479"/>
      <c r="EN120" s="479"/>
      <c r="EO120" s="479"/>
    </row>
    <row r="121" spans="5:145" s="746" customFormat="1" ht="14.4" hidden="1" x14ac:dyDescent="0.55000000000000004">
      <c r="E121" s="767">
        <v>2044</v>
      </c>
      <c r="F121" s="768">
        <v>9037.8506279999983</v>
      </c>
      <c r="G121" s="768">
        <v>1108.9139339999999</v>
      </c>
      <c r="H121" s="768">
        <v>393.05729400000007</v>
      </c>
      <c r="I121" s="768">
        <v>4456.5880470000002</v>
      </c>
      <c r="J121" s="768">
        <v>2337.5379559999988</v>
      </c>
      <c r="K121" s="768">
        <v>741.75339699999995</v>
      </c>
      <c r="L121" s="768">
        <v>1338.2173230000001</v>
      </c>
      <c r="M121" s="768">
        <v>1657.8196829999999</v>
      </c>
      <c r="N121" s="768">
        <v>514.24798400000009</v>
      </c>
      <c r="O121" s="768">
        <v>391.48590899999999</v>
      </c>
      <c r="P121" s="489"/>
      <c r="Q121" s="767">
        <v>2044</v>
      </c>
      <c r="R121" s="768">
        <v>9037.8506279999983</v>
      </c>
      <c r="S121" s="768">
        <v>1108.9139339999999</v>
      </c>
      <c r="T121" s="768">
        <v>393.05729400000007</v>
      </c>
      <c r="U121" s="768">
        <v>4456.5880470000002</v>
      </c>
      <c r="V121" s="768">
        <v>2337.5379559999988</v>
      </c>
      <c r="W121" s="768">
        <v>741.75339699999995</v>
      </c>
      <c r="X121" s="768">
        <v>1338.2173230000001</v>
      </c>
      <c r="Y121" s="768">
        <v>1657.8196829999999</v>
      </c>
      <c r="Z121" s="768">
        <v>514.24798400000009</v>
      </c>
      <c r="AA121" s="768">
        <v>391.48590899999999</v>
      </c>
      <c r="AB121" s="490"/>
      <c r="AC121" s="767">
        <v>2044</v>
      </c>
      <c r="AD121" s="768">
        <v>9037.8506279999983</v>
      </c>
      <c r="AE121" s="768">
        <v>1108.9139339999999</v>
      </c>
      <c r="AF121" s="768">
        <v>393.05729400000007</v>
      </c>
      <c r="AG121" s="768">
        <v>4456.5880470000002</v>
      </c>
      <c r="AH121" s="768">
        <v>2337.5379559999988</v>
      </c>
      <c r="AI121" s="768">
        <v>741.75339699999995</v>
      </c>
      <c r="AJ121" s="768">
        <v>1338.2173230000001</v>
      </c>
      <c r="AK121" s="768">
        <v>1657.8196829999999</v>
      </c>
      <c r="AL121" s="768">
        <v>514.24798400000009</v>
      </c>
      <c r="AM121" s="768">
        <v>391.48590899999999</v>
      </c>
      <c r="AN121" s="489"/>
      <c r="AO121" s="769">
        <v>2044</v>
      </c>
      <c r="AP121" s="770">
        <v>9037.8506279999983</v>
      </c>
      <c r="AQ121" s="770">
        <v>1108.9139339999999</v>
      </c>
      <c r="AR121" s="770">
        <v>393.05729400000007</v>
      </c>
      <c r="AS121" s="770">
        <v>4456.5880470000002</v>
      </c>
      <c r="AT121" s="770">
        <v>2337.5379559999988</v>
      </c>
      <c r="AU121" s="770">
        <v>741.75339699999995</v>
      </c>
      <c r="AV121" s="770">
        <v>1338.2173230000001</v>
      </c>
      <c r="AW121" s="770">
        <v>1657.8196829999999</v>
      </c>
      <c r="AX121" s="770">
        <v>514.24798400000009</v>
      </c>
      <c r="AY121" s="770">
        <v>391.48590899999999</v>
      </c>
      <c r="AZ121" s="776"/>
      <c r="BA121" s="484">
        <v>2044</v>
      </c>
      <c r="BB121" s="485">
        <v>9234.1620989999992</v>
      </c>
      <c r="BC121" s="485">
        <v>1114.4717539999999</v>
      </c>
      <c r="BD121" s="485">
        <v>385.63008200000002</v>
      </c>
      <c r="BE121" s="485">
        <v>4478.2309720000003</v>
      </c>
      <c r="BF121" s="485">
        <v>2488.4714160000003</v>
      </c>
      <c r="BG121" s="485">
        <v>767.35787499999981</v>
      </c>
      <c r="BH121" s="485">
        <v>1419.0280220000002</v>
      </c>
      <c r="BI121" s="485">
        <v>1591.2764930000001</v>
      </c>
      <c r="BJ121" s="485">
        <v>511.07280199999997</v>
      </c>
      <c r="BK121" s="485">
        <v>390.34924699999999</v>
      </c>
      <c r="BL121" s="492"/>
      <c r="BM121" s="486">
        <v>2044</v>
      </c>
      <c r="BN121" s="487">
        <v>9234.1620989999992</v>
      </c>
      <c r="BO121" s="488">
        <v>1114.4717539999999</v>
      </c>
      <c r="BP121" s="488">
        <v>385.63008200000002</v>
      </c>
      <c r="BQ121" s="488">
        <v>4478.2309720000003</v>
      </c>
      <c r="BR121" s="488">
        <v>2488.4714160000003</v>
      </c>
      <c r="BS121" s="488">
        <v>767.35787499999981</v>
      </c>
      <c r="BT121" s="488">
        <v>1419.0280220000002</v>
      </c>
      <c r="BU121" s="488">
        <v>1591.2764930000001</v>
      </c>
      <c r="BV121" s="488">
        <v>511.07280199999997</v>
      </c>
      <c r="BW121" s="488">
        <v>390.34924699999999</v>
      </c>
      <c r="BX121" s="491"/>
      <c r="BY121" s="769">
        <v>2044</v>
      </c>
      <c r="BZ121" s="770">
        <v>9373.2334109999993</v>
      </c>
      <c r="CA121" s="770">
        <v>1097.261354</v>
      </c>
      <c r="CB121" s="770">
        <v>391.70943699999998</v>
      </c>
      <c r="CC121" s="770">
        <v>4544.1287970000003</v>
      </c>
      <c r="CD121" s="770">
        <v>2569.7172609999998</v>
      </c>
      <c r="CE121" s="770">
        <v>770.41656199999989</v>
      </c>
      <c r="CF121" s="770">
        <v>1379.1930589999999</v>
      </c>
      <c r="CG121" s="770">
        <v>1666.3052909999999</v>
      </c>
      <c r="CH121" s="770">
        <v>500.55041299999999</v>
      </c>
      <c r="CI121" s="770">
        <v>379.970709</v>
      </c>
      <c r="CJ121" s="777"/>
      <c r="CK121" s="766"/>
      <c r="CL121" s="773"/>
      <c r="CM121" s="774"/>
      <c r="CN121" s="774"/>
      <c r="CO121" s="774"/>
      <c r="CP121" s="774"/>
      <c r="CQ121" s="774"/>
      <c r="CR121" s="774"/>
      <c r="CS121" s="774"/>
      <c r="CT121" s="774"/>
      <c r="CU121" s="774"/>
      <c r="CV121" s="451"/>
      <c r="CW121" s="451"/>
      <c r="CX121" s="451"/>
      <c r="CY121" s="451"/>
      <c r="CZ121" s="451"/>
      <c r="DA121" s="451"/>
      <c r="DB121" s="451"/>
      <c r="DC121" s="451"/>
      <c r="DD121" s="451"/>
      <c r="DE121" s="451"/>
      <c r="DF121" s="451"/>
      <c r="DG121" s="451"/>
      <c r="DH121" s="451"/>
      <c r="DI121" s="766"/>
      <c r="DJ121" s="775"/>
      <c r="DK121" s="775"/>
      <c r="DL121" s="775"/>
      <c r="DM121" s="775"/>
      <c r="DN121" s="775"/>
      <c r="DO121" s="775"/>
      <c r="DP121" s="775"/>
      <c r="DQ121" s="775"/>
      <c r="DR121" s="775"/>
      <c r="DS121" s="775"/>
      <c r="DT121" s="451"/>
      <c r="DU121" s="766"/>
      <c r="DV121" s="775"/>
      <c r="DW121" s="775"/>
      <c r="DX121" s="775"/>
      <c r="DY121" s="775"/>
      <c r="DZ121" s="775"/>
      <c r="EA121" s="775"/>
      <c r="EB121" s="775"/>
      <c r="EC121" s="775"/>
      <c r="ED121" s="775"/>
      <c r="EE121" s="775"/>
      <c r="EF121" s="479"/>
      <c r="EG121" s="479"/>
      <c r="EH121" s="479"/>
      <c r="EI121" s="479"/>
      <c r="EJ121" s="479"/>
      <c r="EK121" s="479"/>
      <c r="EL121" s="479"/>
      <c r="EM121" s="479"/>
      <c r="EN121" s="479"/>
      <c r="EO121" s="479"/>
    </row>
    <row r="122" spans="5:145" s="746" customFormat="1" ht="14.4" hidden="1" x14ac:dyDescent="0.55000000000000004">
      <c r="E122" s="767">
        <v>2045</v>
      </c>
      <c r="F122" s="768">
        <v>9081.5125059999991</v>
      </c>
      <c r="G122" s="768">
        <v>1110.8345550000001</v>
      </c>
      <c r="H122" s="768">
        <v>392.15601700000008</v>
      </c>
      <c r="I122" s="768">
        <v>4462.0700559999996</v>
      </c>
      <c r="J122" s="768">
        <v>2373.0091079999997</v>
      </c>
      <c r="K122" s="768">
        <v>743.44277</v>
      </c>
      <c r="L122" s="768">
        <v>1331.768088</v>
      </c>
      <c r="M122" s="768">
        <v>1664.5190730000002</v>
      </c>
      <c r="N122" s="768">
        <v>513.89799900000003</v>
      </c>
      <c r="O122" s="768">
        <v>393.45376400000004</v>
      </c>
      <c r="P122" s="489"/>
      <c r="Q122" s="767">
        <v>2045</v>
      </c>
      <c r="R122" s="768">
        <v>9081.5125059999991</v>
      </c>
      <c r="S122" s="768">
        <v>1110.8345550000001</v>
      </c>
      <c r="T122" s="768">
        <v>392.15601700000008</v>
      </c>
      <c r="U122" s="768">
        <v>4462.0700559999996</v>
      </c>
      <c r="V122" s="768">
        <v>2373.0091079999997</v>
      </c>
      <c r="W122" s="768">
        <v>743.44277</v>
      </c>
      <c r="X122" s="768">
        <v>1331.768088</v>
      </c>
      <c r="Y122" s="768">
        <v>1664.5190730000002</v>
      </c>
      <c r="Z122" s="768">
        <v>513.89799900000003</v>
      </c>
      <c r="AA122" s="768">
        <v>393.45376400000004</v>
      </c>
      <c r="AB122" s="490"/>
      <c r="AC122" s="767">
        <v>2045</v>
      </c>
      <c r="AD122" s="768">
        <v>9081.5125059999991</v>
      </c>
      <c r="AE122" s="768">
        <v>1110.8345550000001</v>
      </c>
      <c r="AF122" s="768">
        <v>392.15601700000008</v>
      </c>
      <c r="AG122" s="768">
        <v>4462.0700559999996</v>
      </c>
      <c r="AH122" s="768">
        <v>2373.0091079999997</v>
      </c>
      <c r="AI122" s="768">
        <v>743.44277</v>
      </c>
      <c r="AJ122" s="768">
        <v>1331.768088</v>
      </c>
      <c r="AK122" s="768">
        <v>1664.5190730000002</v>
      </c>
      <c r="AL122" s="768">
        <v>513.89799900000003</v>
      </c>
      <c r="AM122" s="768">
        <v>393.45376400000004</v>
      </c>
      <c r="AN122" s="489"/>
      <c r="AO122" s="769">
        <v>2045</v>
      </c>
      <c r="AP122" s="770">
        <v>9081.5125059999991</v>
      </c>
      <c r="AQ122" s="770">
        <v>1110.8345550000001</v>
      </c>
      <c r="AR122" s="770">
        <v>392.15601700000008</v>
      </c>
      <c r="AS122" s="770">
        <v>4462.0700559999996</v>
      </c>
      <c r="AT122" s="770">
        <v>2373.0091079999997</v>
      </c>
      <c r="AU122" s="770">
        <v>743.44277</v>
      </c>
      <c r="AV122" s="770">
        <v>1331.768088</v>
      </c>
      <c r="AW122" s="770">
        <v>1664.5190730000002</v>
      </c>
      <c r="AX122" s="770">
        <v>513.89799900000003</v>
      </c>
      <c r="AY122" s="770">
        <v>393.45376400000004</v>
      </c>
      <c r="AZ122" s="776"/>
      <c r="BA122" s="484">
        <v>2045</v>
      </c>
      <c r="BB122" s="485">
        <v>9285.8073410000015</v>
      </c>
      <c r="BC122" s="485">
        <v>1116.5274529999999</v>
      </c>
      <c r="BD122" s="485">
        <v>384.45177200000001</v>
      </c>
      <c r="BE122" s="485">
        <v>4484.2815330000003</v>
      </c>
      <c r="BF122" s="485">
        <v>2530.6613670000002</v>
      </c>
      <c r="BG122" s="485">
        <v>769.88521600000001</v>
      </c>
      <c r="BH122" s="485">
        <v>1414.0889669999999</v>
      </c>
      <c r="BI122" s="485">
        <v>1596.8765309999999</v>
      </c>
      <c r="BJ122" s="485">
        <v>510.63725900000003</v>
      </c>
      <c r="BK122" s="485">
        <v>392.11078700000002</v>
      </c>
      <c r="BL122" s="492"/>
      <c r="BM122" s="486">
        <v>2045</v>
      </c>
      <c r="BN122" s="487">
        <v>9285.8073410000015</v>
      </c>
      <c r="BO122" s="488">
        <v>1116.5274529999999</v>
      </c>
      <c r="BP122" s="488">
        <v>384.45177200000001</v>
      </c>
      <c r="BQ122" s="488">
        <v>4484.2815330000003</v>
      </c>
      <c r="BR122" s="488">
        <v>2530.6613670000002</v>
      </c>
      <c r="BS122" s="488">
        <v>769.88521600000001</v>
      </c>
      <c r="BT122" s="488">
        <v>1414.0889669999999</v>
      </c>
      <c r="BU122" s="488">
        <v>1596.8765309999999</v>
      </c>
      <c r="BV122" s="488">
        <v>510.63725900000003</v>
      </c>
      <c r="BW122" s="488">
        <v>392.11078700000002</v>
      </c>
      <c r="BX122" s="491"/>
      <c r="BY122" s="769">
        <v>2045</v>
      </c>
      <c r="BZ122" s="770">
        <v>9430.447240999998</v>
      </c>
      <c r="CA122" s="770">
        <v>1098.8706179999999</v>
      </c>
      <c r="CB122" s="770">
        <v>390.72402799999992</v>
      </c>
      <c r="CC122" s="770">
        <v>4553.6316609999985</v>
      </c>
      <c r="CD122" s="770">
        <v>2614.3613159999995</v>
      </c>
      <c r="CE122" s="770">
        <v>772.85961799999984</v>
      </c>
      <c r="CF122" s="770">
        <v>1374.6570609999999</v>
      </c>
      <c r="CG122" s="770">
        <v>1673.6187669999999</v>
      </c>
      <c r="CH122" s="770">
        <v>499.94118800000001</v>
      </c>
      <c r="CI122" s="770">
        <v>381.47429700000004</v>
      </c>
      <c r="CJ122" s="777"/>
      <c r="CK122" s="766"/>
      <c r="CL122" s="773"/>
      <c r="CM122" s="774"/>
      <c r="CN122" s="774"/>
      <c r="CO122" s="774"/>
      <c r="CP122" s="774"/>
      <c r="CQ122" s="774"/>
      <c r="CR122" s="774"/>
      <c r="CS122" s="774"/>
      <c r="CT122" s="774"/>
      <c r="CU122" s="774"/>
      <c r="CV122" s="451"/>
      <c r="CW122" s="451"/>
      <c r="CX122" s="451"/>
      <c r="CY122" s="451"/>
      <c r="CZ122" s="451"/>
      <c r="DA122" s="451"/>
      <c r="DB122" s="451"/>
      <c r="DC122" s="451"/>
      <c r="DD122" s="451"/>
      <c r="DE122" s="451"/>
      <c r="DF122" s="451"/>
      <c r="DG122" s="451"/>
      <c r="DH122" s="451"/>
      <c r="DI122" s="766"/>
      <c r="DJ122" s="775"/>
      <c r="DK122" s="775"/>
      <c r="DL122" s="775"/>
      <c r="DM122" s="775"/>
      <c r="DN122" s="775"/>
      <c r="DO122" s="775"/>
      <c r="DP122" s="775"/>
      <c r="DQ122" s="775"/>
      <c r="DR122" s="775"/>
      <c r="DS122" s="775"/>
      <c r="DT122" s="451"/>
      <c r="DU122" s="766"/>
      <c r="DV122" s="775"/>
      <c r="DW122" s="775"/>
      <c r="DX122" s="775"/>
      <c r="DY122" s="775"/>
      <c r="DZ122" s="775"/>
      <c r="EA122" s="775"/>
      <c r="EB122" s="775"/>
      <c r="EC122" s="775"/>
      <c r="ED122" s="775"/>
      <c r="EE122" s="775"/>
      <c r="EF122" s="479"/>
      <c r="EG122" s="479"/>
      <c r="EH122" s="479"/>
      <c r="EI122" s="479"/>
      <c r="EJ122" s="479"/>
      <c r="EK122" s="479"/>
      <c r="EL122" s="479"/>
      <c r="EM122" s="479"/>
      <c r="EN122" s="479"/>
      <c r="EO122" s="479"/>
    </row>
    <row r="123" spans="5:145" s="746" customFormat="1" ht="14.4" hidden="1" x14ac:dyDescent="0.55000000000000004">
      <c r="E123" s="767">
        <v>2046</v>
      </c>
      <c r="F123" s="768">
        <v>9123.8881149999979</v>
      </c>
      <c r="G123" s="768">
        <v>1112.6954720000001</v>
      </c>
      <c r="H123" s="768">
        <v>391.22630199999998</v>
      </c>
      <c r="I123" s="768">
        <v>4466.5262929999999</v>
      </c>
      <c r="J123" s="768">
        <v>2408.4777509999994</v>
      </c>
      <c r="K123" s="768">
        <v>744.96229700000004</v>
      </c>
      <c r="L123" s="768">
        <v>1325.029871</v>
      </c>
      <c r="M123" s="768">
        <v>1670.8152379999999</v>
      </c>
      <c r="N123" s="768">
        <v>513.52396799999997</v>
      </c>
      <c r="O123" s="768">
        <v>395.41285999999997</v>
      </c>
      <c r="P123" s="489"/>
      <c r="Q123" s="767">
        <v>2046</v>
      </c>
      <c r="R123" s="768">
        <v>9123.8881149999979</v>
      </c>
      <c r="S123" s="768">
        <v>1112.6954720000001</v>
      </c>
      <c r="T123" s="768">
        <v>391.22630199999998</v>
      </c>
      <c r="U123" s="768">
        <v>4466.5262929999999</v>
      </c>
      <c r="V123" s="768">
        <v>2408.4777509999994</v>
      </c>
      <c r="W123" s="768">
        <v>744.96229700000004</v>
      </c>
      <c r="X123" s="768">
        <v>1325.029871</v>
      </c>
      <c r="Y123" s="768">
        <v>1670.8152379999999</v>
      </c>
      <c r="Z123" s="768">
        <v>513.52396799999997</v>
      </c>
      <c r="AA123" s="768">
        <v>395.41285999999997</v>
      </c>
      <c r="AB123" s="490"/>
      <c r="AC123" s="767">
        <v>2046</v>
      </c>
      <c r="AD123" s="768">
        <v>9123.8881149999979</v>
      </c>
      <c r="AE123" s="768">
        <v>1112.6954720000001</v>
      </c>
      <c r="AF123" s="768">
        <v>391.22630199999998</v>
      </c>
      <c r="AG123" s="768">
        <v>4466.5262929999999</v>
      </c>
      <c r="AH123" s="768">
        <v>2408.4777509999994</v>
      </c>
      <c r="AI123" s="768">
        <v>744.96229700000004</v>
      </c>
      <c r="AJ123" s="768">
        <v>1325.029871</v>
      </c>
      <c r="AK123" s="768">
        <v>1670.8152379999999</v>
      </c>
      <c r="AL123" s="768">
        <v>513.52396799999997</v>
      </c>
      <c r="AM123" s="768">
        <v>395.41285999999997</v>
      </c>
      <c r="AN123" s="489"/>
      <c r="AO123" s="769">
        <v>2046</v>
      </c>
      <c r="AP123" s="770">
        <v>9123.8881149999979</v>
      </c>
      <c r="AQ123" s="770">
        <v>1112.6954720000001</v>
      </c>
      <c r="AR123" s="770">
        <v>391.22630199999998</v>
      </c>
      <c r="AS123" s="770">
        <v>4466.5262929999999</v>
      </c>
      <c r="AT123" s="770">
        <v>2408.4777509999994</v>
      </c>
      <c r="AU123" s="770">
        <v>744.96229700000004</v>
      </c>
      <c r="AV123" s="770">
        <v>1325.029871</v>
      </c>
      <c r="AW123" s="770">
        <v>1670.8152379999999</v>
      </c>
      <c r="AX123" s="770">
        <v>513.52396799999997</v>
      </c>
      <c r="AY123" s="770">
        <v>395.41285999999997</v>
      </c>
      <c r="AZ123" s="776"/>
      <c r="BA123" s="484">
        <v>2046</v>
      </c>
      <c r="BB123" s="485">
        <v>9336.3543080000018</v>
      </c>
      <c r="BC123" s="485">
        <v>1118.5347769999998</v>
      </c>
      <c r="BD123" s="485">
        <v>383.25025300000004</v>
      </c>
      <c r="BE123" s="485">
        <v>4489.341131000001</v>
      </c>
      <c r="BF123" s="485">
        <v>2572.9770290000006</v>
      </c>
      <c r="BG123" s="485">
        <v>772.25111800000013</v>
      </c>
      <c r="BH123" s="485">
        <v>1408.830287</v>
      </c>
      <c r="BI123" s="485">
        <v>1602.1515979999999</v>
      </c>
      <c r="BJ123" s="485">
        <v>510.17341900000014</v>
      </c>
      <c r="BK123" s="485">
        <v>393.86985499999997</v>
      </c>
      <c r="BL123" s="492"/>
      <c r="BM123" s="486">
        <v>2046</v>
      </c>
      <c r="BN123" s="487">
        <v>9336.3543080000018</v>
      </c>
      <c r="BO123" s="488">
        <v>1118.5347769999998</v>
      </c>
      <c r="BP123" s="488">
        <v>383.25025300000004</v>
      </c>
      <c r="BQ123" s="488">
        <v>4489.341131000001</v>
      </c>
      <c r="BR123" s="488">
        <v>2572.9770290000006</v>
      </c>
      <c r="BS123" s="488">
        <v>772.25111800000013</v>
      </c>
      <c r="BT123" s="488">
        <v>1408.830287</v>
      </c>
      <c r="BU123" s="488">
        <v>1602.1515979999999</v>
      </c>
      <c r="BV123" s="488">
        <v>510.17341900000014</v>
      </c>
      <c r="BW123" s="488">
        <v>393.86985499999997</v>
      </c>
      <c r="BX123" s="491"/>
      <c r="BY123" s="769">
        <v>2046</v>
      </c>
      <c r="BZ123" s="770">
        <v>9486.6319550000026</v>
      </c>
      <c r="CA123" s="770">
        <v>1100.4148370000003</v>
      </c>
      <c r="CB123" s="770">
        <v>389.73192499999999</v>
      </c>
      <c r="CC123" s="770">
        <v>4562.1997529999999</v>
      </c>
      <c r="CD123" s="770">
        <v>2659.1388170000014</v>
      </c>
      <c r="CE123" s="770">
        <v>775.14662300000009</v>
      </c>
      <c r="CF123" s="770">
        <v>1369.8581669999999</v>
      </c>
      <c r="CG123" s="770">
        <v>1680.5995789999999</v>
      </c>
      <c r="CH123" s="770">
        <v>499.29337299999997</v>
      </c>
      <c r="CI123" s="770">
        <v>382.968569</v>
      </c>
      <c r="CJ123" s="777"/>
      <c r="CK123" s="766"/>
      <c r="CL123" s="773"/>
      <c r="CM123" s="774"/>
      <c r="CN123" s="774"/>
      <c r="CO123" s="774"/>
      <c r="CP123" s="774"/>
      <c r="CQ123" s="774"/>
      <c r="CR123" s="774"/>
      <c r="CS123" s="774"/>
      <c r="CT123" s="774"/>
      <c r="CU123" s="774"/>
      <c r="CV123" s="451"/>
      <c r="CW123" s="451"/>
      <c r="CX123" s="451"/>
      <c r="CY123" s="451"/>
      <c r="CZ123" s="451"/>
      <c r="DA123" s="451"/>
      <c r="DB123" s="451"/>
      <c r="DC123" s="451"/>
      <c r="DD123" s="451"/>
      <c r="DE123" s="451"/>
      <c r="DF123" s="451"/>
      <c r="DG123" s="451"/>
      <c r="DH123" s="451"/>
      <c r="DI123" s="766"/>
      <c r="DJ123" s="775"/>
      <c r="DK123" s="775"/>
      <c r="DL123" s="775"/>
      <c r="DM123" s="775"/>
      <c r="DN123" s="775"/>
      <c r="DO123" s="775"/>
      <c r="DP123" s="775"/>
      <c r="DQ123" s="775"/>
      <c r="DR123" s="775"/>
      <c r="DS123" s="775"/>
      <c r="DT123" s="451"/>
      <c r="DU123" s="766"/>
      <c r="DV123" s="775"/>
      <c r="DW123" s="775"/>
      <c r="DX123" s="775"/>
      <c r="DY123" s="775"/>
      <c r="DZ123" s="775"/>
      <c r="EA123" s="775"/>
      <c r="EB123" s="775"/>
      <c r="EC123" s="775"/>
      <c r="ED123" s="775"/>
      <c r="EE123" s="775"/>
      <c r="EF123" s="479"/>
      <c r="EG123" s="479"/>
      <c r="EH123" s="479"/>
      <c r="EI123" s="479"/>
      <c r="EJ123" s="479"/>
      <c r="EK123" s="479"/>
      <c r="EL123" s="479"/>
      <c r="EM123" s="479"/>
      <c r="EN123" s="479"/>
      <c r="EO123" s="479"/>
    </row>
    <row r="124" spans="5:145" s="746" customFormat="1" ht="14.4" hidden="1" x14ac:dyDescent="0.55000000000000004">
      <c r="E124" s="767">
        <v>2047</v>
      </c>
      <c r="F124" s="768">
        <v>9164.980348000001</v>
      </c>
      <c r="G124" s="768">
        <v>1114.4940750000003</v>
      </c>
      <c r="H124" s="768">
        <v>390.26843699999995</v>
      </c>
      <c r="I124" s="768">
        <v>4469.9745430000003</v>
      </c>
      <c r="J124" s="768">
        <v>2443.926997</v>
      </c>
      <c r="K124" s="768">
        <v>746.31629600000008</v>
      </c>
      <c r="L124" s="768">
        <v>1318.018957</v>
      </c>
      <c r="M124" s="768">
        <v>1676.7085199999999</v>
      </c>
      <c r="N124" s="768">
        <v>513.12372100000005</v>
      </c>
      <c r="O124" s="768">
        <v>397.36200000000002</v>
      </c>
      <c r="P124" s="489"/>
      <c r="Q124" s="767">
        <v>2047</v>
      </c>
      <c r="R124" s="768">
        <v>9164.980348000001</v>
      </c>
      <c r="S124" s="768">
        <v>1114.4940750000003</v>
      </c>
      <c r="T124" s="768">
        <v>390.26843699999995</v>
      </c>
      <c r="U124" s="768">
        <v>4469.9745430000003</v>
      </c>
      <c r="V124" s="768">
        <v>2443.926997</v>
      </c>
      <c r="W124" s="768">
        <v>746.31629600000008</v>
      </c>
      <c r="X124" s="768">
        <v>1318.018957</v>
      </c>
      <c r="Y124" s="768">
        <v>1676.7085199999999</v>
      </c>
      <c r="Z124" s="768">
        <v>513.12372100000005</v>
      </c>
      <c r="AA124" s="768">
        <v>397.36200000000002</v>
      </c>
      <c r="AB124" s="490"/>
      <c r="AC124" s="767">
        <v>2047</v>
      </c>
      <c r="AD124" s="768">
        <v>9164.980348000001</v>
      </c>
      <c r="AE124" s="768">
        <v>1114.4940750000003</v>
      </c>
      <c r="AF124" s="768">
        <v>390.26843699999995</v>
      </c>
      <c r="AG124" s="768">
        <v>4469.9745430000003</v>
      </c>
      <c r="AH124" s="768">
        <v>2443.926997</v>
      </c>
      <c r="AI124" s="768">
        <v>746.31629600000008</v>
      </c>
      <c r="AJ124" s="768">
        <v>1318.018957</v>
      </c>
      <c r="AK124" s="768">
        <v>1676.7085199999999</v>
      </c>
      <c r="AL124" s="768">
        <v>513.12372100000005</v>
      </c>
      <c r="AM124" s="768">
        <v>397.36200000000002</v>
      </c>
      <c r="AN124" s="489"/>
      <c r="AO124" s="769">
        <v>2047</v>
      </c>
      <c r="AP124" s="770">
        <v>9164.980348000001</v>
      </c>
      <c r="AQ124" s="770">
        <v>1114.4940750000003</v>
      </c>
      <c r="AR124" s="770">
        <v>390.26843699999995</v>
      </c>
      <c r="AS124" s="770">
        <v>4469.9745430000003</v>
      </c>
      <c r="AT124" s="770">
        <v>2443.926997</v>
      </c>
      <c r="AU124" s="770">
        <v>746.31629600000008</v>
      </c>
      <c r="AV124" s="770">
        <v>1318.018957</v>
      </c>
      <c r="AW124" s="770">
        <v>1676.7085199999999</v>
      </c>
      <c r="AX124" s="770">
        <v>513.12372100000005</v>
      </c>
      <c r="AY124" s="770">
        <v>397.36200000000002</v>
      </c>
      <c r="AZ124" s="776"/>
      <c r="BA124" s="484">
        <v>2047</v>
      </c>
      <c r="BB124" s="485">
        <v>9385.8030090000011</v>
      </c>
      <c r="BC124" s="485">
        <v>1120.49162</v>
      </c>
      <c r="BD124" s="485">
        <v>382.02566100000001</v>
      </c>
      <c r="BE124" s="485">
        <v>4493.4323619999996</v>
      </c>
      <c r="BF124" s="485">
        <v>2615.3959790000004</v>
      </c>
      <c r="BG124" s="485">
        <v>774.45738699999993</v>
      </c>
      <c r="BH124" s="485">
        <v>1403.2672579999999</v>
      </c>
      <c r="BI124" s="485">
        <v>1607.1038899999999</v>
      </c>
      <c r="BJ124" s="485">
        <v>509.6796159999999</v>
      </c>
      <c r="BK124" s="485">
        <v>395.626554</v>
      </c>
      <c r="BL124" s="492"/>
      <c r="BM124" s="486">
        <v>2047</v>
      </c>
      <c r="BN124" s="487">
        <v>9385.8030090000011</v>
      </c>
      <c r="BO124" s="488">
        <v>1120.49162</v>
      </c>
      <c r="BP124" s="488">
        <v>382.02566100000001</v>
      </c>
      <c r="BQ124" s="488">
        <v>4493.4323619999996</v>
      </c>
      <c r="BR124" s="488">
        <v>2615.3959790000004</v>
      </c>
      <c r="BS124" s="488">
        <v>774.45738699999993</v>
      </c>
      <c r="BT124" s="488">
        <v>1403.2672579999999</v>
      </c>
      <c r="BU124" s="488">
        <v>1607.1038899999999</v>
      </c>
      <c r="BV124" s="488">
        <v>509.6796159999999</v>
      </c>
      <c r="BW124" s="488">
        <v>395.626554</v>
      </c>
      <c r="BX124" s="491"/>
      <c r="BY124" s="769">
        <v>2047</v>
      </c>
      <c r="BZ124" s="770">
        <v>9541.7744910000001</v>
      </c>
      <c r="CA124" s="770">
        <v>1101.8956559999999</v>
      </c>
      <c r="CB124" s="770">
        <v>388.73172899999992</v>
      </c>
      <c r="CC124" s="770">
        <v>4569.841109</v>
      </c>
      <c r="CD124" s="770">
        <v>2704.0275030000003</v>
      </c>
      <c r="CE124" s="770">
        <v>777.2784939999998</v>
      </c>
      <c r="CF124" s="770">
        <v>1364.798264</v>
      </c>
      <c r="CG124" s="770">
        <v>1687.252221</v>
      </c>
      <c r="CH124" s="770">
        <v>498.60739899999999</v>
      </c>
      <c r="CI124" s="770">
        <v>384.45465100000001</v>
      </c>
      <c r="CJ124" s="777"/>
      <c r="CK124" s="766"/>
      <c r="CL124" s="773"/>
      <c r="CM124" s="774"/>
      <c r="CN124" s="774"/>
      <c r="CO124" s="774"/>
      <c r="CP124" s="774"/>
      <c r="CQ124" s="774"/>
      <c r="CR124" s="774"/>
      <c r="CS124" s="774"/>
      <c r="CT124" s="774"/>
      <c r="CU124" s="774"/>
      <c r="CV124" s="451"/>
      <c r="CW124" s="451"/>
      <c r="CX124" s="451"/>
      <c r="CY124" s="451"/>
      <c r="CZ124" s="451"/>
      <c r="DA124" s="451"/>
      <c r="DB124" s="451"/>
      <c r="DC124" s="451"/>
      <c r="DD124" s="451"/>
      <c r="DE124" s="451"/>
      <c r="DF124" s="451"/>
      <c r="DG124" s="451"/>
      <c r="DH124" s="451"/>
      <c r="DI124" s="766"/>
      <c r="DJ124" s="775"/>
      <c r="DK124" s="775"/>
      <c r="DL124" s="775"/>
      <c r="DM124" s="775"/>
      <c r="DN124" s="775"/>
      <c r="DO124" s="775"/>
      <c r="DP124" s="775"/>
      <c r="DQ124" s="775"/>
      <c r="DR124" s="775"/>
      <c r="DS124" s="775"/>
      <c r="DT124" s="451"/>
      <c r="DU124" s="766"/>
      <c r="DV124" s="775"/>
      <c r="DW124" s="775"/>
      <c r="DX124" s="775"/>
      <c r="DY124" s="775"/>
      <c r="DZ124" s="775"/>
      <c r="EA124" s="775"/>
      <c r="EB124" s="775"/>
      <c r="EC124" s="775"/>
      <c r="ED124" s="775"/>
      <c r="EE124" s="775"/>
      <c r="EF124" s="479"/>
      <c r="EG124" s="479"/>
      <c r="EH124" s="479"/>
      <c r="EI124" s="479"/>
      <c r="EJ124" s="479"/>
      <c r="EK124" s="479"/>
      <c r="EL124" s="479"/>
      <c r="EM124" s="479"/>
      <c r="EN124" s="479"/>
      <c r="EO124" s="479"/>
    </row>
    <row r="125" spans="5:145" s="746" customFormat="1" ht="14.4" hidden="1" x14ac:dyDescent="0.55000000000000004">
      <c r="E125" s="767">
        <v>2048</v>
      </c>
      <c r="F125" s="768">
        <v>9204.7901710000006</v>
      </c>
      <c r="G125" s="768">
        <v>1116.2177029999998</v>
      </c>
      <c r="H125" s="768">
        <v>389.28216000000003</v>
      </c>
      <c r="I125" s="768">
        <v>4472.4436409999998</v>
      </c>
      <c r="J125" s="768">
        <v>2479.3360240000002</v>
      </c>
      <c r="K125" s="768">
        <v>747.51064300000019</v>
      </c>
      <c r="L125" s="768">
        <v>1310.7594099999999</v>
      </c>
      <c r="M125" s="768">
        <v>1682.2020120000002</v>
      </c>
      <c r="N125" s="768">
        <v>512.68771300000003</v>
      </c>
      <c r="O125" s="768">
        <v>399.29688199999998</v>
      </c>
      <c r="P125" s="489"/>
      <c r="Q125" s="767">
        <v>2048</v>
      </c>
      <c r="R125" s="768">
        <v>9204.7901710000006</v>
      </c>
      <c r="S125" s="768">
        <v>1116.2177029999998</v>
      </c>
      <c r="T125" s="768">
        <v>389.28216000000003</v>
      </c>
      <c r="U125" s="768">
        <v>4472.4436409999998</v>
      </c>
      <c r="V125" s="768">
        <v>2479.3360240000002</v>
      </c>
      <c r="W125" s="768">
        <v>747.51064300000019</v>
      </c>
      <c r="X125" s="768">
        <v>1310.7594099999999</v>
      </c>
      <c r="Y125" s="768">
        <v>1682.2020120000002</v>
      </c>
      <c r="Z125" s="768">
        <v>512.68771300000003</v>
      </c>
      <c r="AA125" s="768">
        <v>399.29688199999998</v>
      </c>
      <c r="AB125" s="490"/>
      <c r="AC125" s="767">
        <v>2048</v>
      </c>
      <c r="AD125" s="768">
        <v>9204.7901710000006</v>
      </c>
      <c r="AE125" s="768">
        <v>1116.2177029999998</v>
      </c>
      <c r="AF125" s="768">
        <v>389.28216000000003</v>
      </c>
      <c r="AG125" s="768">
        <v>4472.4436409999998</v>
      </c>
      <c r="AH125" s="768">
        <v>2479.3360240000002</v>
      </c>
      <c r="AI125" s="768">
        <v>747.51064300000019</v>
      </c>
      <c r="AJ125" s="768">
        <v>1310.7594099999999</v>
      </c>
      <c r="AK125" s="768">
        <v>1682.2020120000002</v>
      </c>
      <c r="AL125" s="768">
        <v>512.68771300000003</v>
      </c>
      <c r="AM125" s="768">
        <v>399.29688199999998</v>
      </c>
      <c r="AN125" s="489"/>
      <c r="AO125" s="769">
        <v>2048</v>
      </c>
      <c r="AP125" s="770">
        <v>9204.7901710000006</v>
      </c>
      <c r="AQ125" s="770">
        <v>1116.2177029999998</v>
      </c>
      <c r="AR125" s="770">
        <v>389.28216000000003</v>
      </c>
      <c r="AS125" s="770">
        <v>4472.4436409999998</v>
      </c>
      <c r="AT125" s="770">
        <v>2479.3360240000002</v>
      </c>
      <c r="AU125" s="770">
        <v>747.51064300000019</v>
      </c>
      <c r="AV125" s="770">
        <v>1310.7594099999999</v>
      </c>
      <c r="AW125" s="770">
        <v>1682.2020120000002</v>
      </c>
      <c r="AX125" s="770">
        <v>512.68771300000003</v>
      </c>
      <c r="AY125" s="770">
        <v>399.29688199999998</v>
      </c>
      <c r="AZ125" s="776"/>
      <c r="BA125" s="484">
        <v>2048</v>
      </c>
      <c r="BB125" s="485">
        <v>9434.152243999999</v>
      </c>
      <c r="BC125" s="485">
        <v>1122.3880489999999</v>
      </c>
      <c r="BD125" s="485">
        <v>380.77678399999996</v>
      </c>
      <c r="BE125" s="485">
        <v>4496.5896659999999</v>
      </c>
      <c r="BF125" s="485">
        <v>2657.8900880000001</v>
      </c>
      <c r="BG125" s="485">
        <v>776.50765699999977</v>
      </c>
      <c r="BH125" s="485">
        <v>1397.4206180000001</v>
      </c>
      <c r="BI125" s="485">
        <v>1611.7362700000001</v>
      </c>
      <c r="BJ125" s="485">
        <v>509.14958700000005</v>
      </c>
      <c r="BK125" s="485">
        <v>397.37864299999995</v>
      </c>
      <c r="BL125" s="492"/>
      <c r="BM125" s="486">
        <v>2048</v>
      </c>
      <c r="BN125" s="487">
        <v>9434.152243999999</v>
      </c>
      <c r="BO125" s="488">
        <v>1122.3880489999999</v>
      </c>
      <c r="BP125" s="488">
        <v>380.77678399999996</v>
      </c>
      <c r="BQ125" s="488">
        <v>4496.5896659999999</v>
      </c>
      <c r="BR125" s="488">
        <v>2657.8900880000001</v>
      </c>
      <c r="BS125" s="488">
        <v>776.50765699999977</v>
      </c>
      <c r="BT125" s="488">
        <v>1397.4206180000001</v>
      </c>
      <c r="BU125" s="488">
        <v>1611.7362700000001</v>
      </c>
      <c r="BV125" s="488">
        <v>509.14958700000005</v>
      </c>
      <c r="BW125" s="488">
        <v>397.37864299999995</v>
      </c>
      <c r="BX125" s="491"/>
      <c r="BY125" s="769">
        <v>2048</v>
      </c>
      <c r="BZ125" s="770">
        <v>9595.8548529999989</v>
      </c>
      <c r="CA125" s="770">
        <v>1103.3118800000002</v>
      </c>
      <c r="CB125" s="770">
        <v>387.71776399999999</v>
      </c>
      <c r="CC125" s="770">
        <v>4576.5656039999994</v>
      </c>
      <c r="CD125" s="770">
        <v>2749.0025809999993</v>
      </c>
      <c r="CE125" s="770">
        <v>779.25702399999989</v>
      </c>
      <c r="CF125" s="770">
        <v>1359.477572</v>
      </c>
      <c r="CG125" s="770">
        <v>1693.585288</v>
      </c>
      <c r="CH125" s="770">
        <v>497.88191299999994</v>
      </c>
      <c r="CI125" s="770">
        <v>385.932997</v>
      </c>
      <c r="CJ125" s="777"/>
      <c r="CK125" s="766"/>
      <c r="CL125" s="773"/>
      <c r="CM125" s="774"/>
      <c r="CN125" s="774"/>
      <c r="CO125" s="774"/>
      <c r="CP125" s="774"/>
      <c r="CQ125" s="774"/>
      <c r="CR125" s="774"/>
      <c r="CS125" s="774"/>
      <c r="CT125" s="774"/>
      <c r="CU125" s="774"/>
      <c r="CV125" s="451"/>
      <c r="CW125" s="451"/>
      <c r="CX125" s="451"/>
      <c r="CY125" s="451"/>
      <c r="CZ125" s="451"/>
      <c r="DA125" s="451"/>
      <c r="DB125" s="451"/>
      <c r="DC125" s="451"/>
      <c r="DD125" s="451"/>
      <c r="DE125" s="451"/>
      <c r="DF125" s="451"/>
      <c r="DG125" s="451"/>
      <c r="DH125" s="451"/>
      <c r="DI125" s="766"/>
      <c r="DJ125" s="775"/>
      <c r="DK125" s="775"/>
      <c r="DL125" s="775"/>
      <c r="DM125" s="775"/>
      <c r="DN125" s="775"/>
      <c r="DO125" s="775"/>
      <c r="DP125" s="775"/>
      <c r="DQ125" s="775"/>
      <c r="DR125" s="775"/>
      <c r="DS125" s="775"/>
      <c r="DT125" s="451"/>
      <c r="DU125" s="766"/>
      <c r="DV125" s="775"/>
      <c r="DW125" s="775"/>
      <c r="DX125" s="775"/>
      <c r="DY125" s="775"/>
      <c r="DZ125" s="775"/>
      <c r="EA125" s="775"/>
      <c r="EB125" s="775"/>
      <c r="EC125" s="775"/>
      <c r="ED125" s="775"/>
      <c r="EE125" s="775"/>
      <c r="EF125" s="479"/>
      <c r="EG125" s="479"/>
      <c r="EH125" s="479"/>
      <c r="EI125" s="479"/>
      <c r="EJ125" s="479"/>
      <c r="EK125" s="479"/>
      <c r="EL125" s="479"/>
      <c r="EM125" s="479"/>
      <c r="EN125" s="479"/>
      <c r="EO125" s="479"/>
    </row>
    <row r="126" spans="5:145" s="746" customFormat="1" ht="14.4" hidden="1" x14ac:dyDescent="0.55000000000000004">
      <c r="E126" s="767">
        <v>2049</v>
      </c>
      <c r="F126" s="768">
        <v>9243.3222210000022</v>
      </c>
      <c r="G126" s="768">
        <v>1117.848311</v>
      </c>
      <c r="H126" s="768">
        <v>388.26817400000004</v>
      </c>
      <c r="I126" s="768">
        <v>4473.9687470000017</v>
      </c>
      <c r="J126" s="768">
        <v>2514.6842119999997</v>
      </c>
      <c r="K126" s="768">
        <v>748.55277699999988</v>
      </c>
      <c r="L126" s="768">
        <v>1303.279344</v>
      </c>
      <c r="M126" s="768">
        <v>1687.3003970000002</v>
      </c>
      <c r="N126" s="768">
        <v>512.20307600000001</v>
      </c>
      <c r="O126" s="768">
        <v>401.21115800000001</v>
      </c>
      <c r="P126" s="489"/>
      <c r="Q126" s="767">
        <v>2049</v>
      </c>
      <c r="R126" s="768">
        <v>9243.3222210000022</v>
      </c>
      <c r="S126" s="768">
        <v>1117.848311</v>
      </c>
      <c r="T126" s="768">
        <v>388.26817400000004</v>
      </c>
      <c r="U126" s="768">
        <v>4473.9687470000017</v>
      </c>
      <c r="V126" s="768">
        <v>2514.6842119999997</v>
      </c>
      <c r="W126" s="768">
        <v>748.55277699999988</v>
      </c>
      <c r="X126" s="768">
        <v>1303.279344</v>
      </c>
      <c r="Y126" s="768">
        <v>1687.3003970000002</v>
      </c>
      <c r="Z126" s="768">
        <v>512.20307600000001</v>
      </c>
      <c r="AA126" s="768">
        <v>401.21115800000001</v>
      </c>
      <c r="AB126" s="490"/>
      <c r="AC126" s="767">
        <v>2049</v>
      </c>
      <c r="AD126" s="768">
        <v>9243.3222210000022</v>
      </c>
      <c r="AE126" s="768">
        <v>1117.848311</v>
      </c>
      <c r="AF126" s="768">
        <v>388.26817400000004</v>
      </c>
      <c r="AG126" s="768">
        <v>4473.9687470000017</v>
      </c>
      <c r="AH126" s="768">
        <v>2514.6842119999997</v>
      </c>
      <c r="AI126" s="768">
        <v>748.55277699999988</v>
      </c>
      <c r="AJ126" s="768">
        <v>1303.279344</v>
      </c>
      <c r="AK126" s="768">
        <v>1687.3003970000002</v>
      </c>
      <c r="AL126" s="768">
        <v>512.20307600000001</v>
      </c>
      <c r="AM126" s="768">
        <v>401.21115800000001</v>
      </c>
      <c r="AN126" s="489"/>
      <c r="AO126" s="769">
        <v>2049</v>
      </c>
      <c r="AP126" s="770">
        <v>9243.3222210000022</v>
      </c>
      <c r="AQ126" s="770">
        <v>1117.848311</v>
      </c>
      <c r="AR126" s="770">
        <v>388.26817400000004</v>
      </c>
      <c r="AS126" s="770">
        <v>4473.9687470000017</v>
      </c>
      <c r="AT126" s="770">
        <v>2514.6842119999997</v>
      </c>
      <c r="AU126" s="770">
        <v>748.55277699999988</v>
      </c>
      <c r="AV126" s="770">
        <v>1303.279344</v>
      </c>
      <c r="AW126" s="770">
        <v>1687.3003970000002</v>
      </c>
      <c r="AX126" s="770">
        <v>512.20307600000001</v>
      </c>
      <c r="AY126" s="770">
        <v>401.21115800000001</v>
      </c>
      <c r="AZ126" s="776"/>
      <c r="BA126" s="484">
        <v>2049</v>
      </c>
      <c r="BB126" s="485">
        <v>9481.4040509999977</v>
      </c>
      <c r="BC126" s="485">
        <v>1124.2092460000001</v>
      </c>
      <c r="BD126" s="485">
        <v>379.50296299999997</v>
      </c>
      <c r="BE126" s="485">
        <v>4498.8547169999983</v>
      </c>
      <c r="BF126" s="485">
        <v>2700.4303309999996</v>
      </c>
      <c r="BG126" s="485">
        <v>778.40679399999999</v>
      </c>
      <c r="BH126" s="485">
        <v>1391.315793</v>
      </c>
      <c r="BI126" s="485">
        <v>1616.0510449999999</v>
      </c>
      <c r="BJ126" s="485">
        <v>508.57514400000008</v>
      </c>
      <c r="BK126" s="485">
        <v>399.12179100000003</v>
      </c>
      <c r="BL126" s="492"/>
      <c r="BM126" s="486">
        <v>2049</v>
      </c>
      <c r="BN126" s="487">
        <v>9481.4040509999977</v>
      </c>
      <c r="BO126" s="488">
        <v>1124.2092460000001</v>
      </c>
      <c r="BP126" s="488">
        <v>379.50296299999997</v>
      </c>
      <c r="BQ126" s="488">
        <v>4498.8547169999983</v>
      </c>
      <c r="BR126" s="488">
        <v>2700.4303309999996</v>
      </c>
      <c r="BS126" s="488">
        <v>778.40679399999999</v>
      </c>
      <c r="BT126" s="488">
        <v>1391.315793</v>
      </c>
      <c r="BU126" s="488">
        <v>1616.0510449999999</v>
      </c>
      <c r="BV126" s="488">
        <v>508.57514400000008</v>
      </c>
      <c r="BW126" s="488">
        <v>399.12179100000003</v>
      </c>
      <c r="BX126" s="491"/>
      <c r="BY126" s="769">
        <v>2049</v>
      </c>
      <c r="BZ126" s="770">
        <v>9648.8555790000009</v>
      </c>
      <c r="CA126" s="770">
        <v>1104.660472</v>
      </c>
      <c r="CB126" s="770">
        <v>386.68351999999999</v>
      </c>
      <c r="CC126" s="770">
        <v>4582.3870680000009</v>
      </c>
      <c r="CD126" s="770">
        <v>2794.0400009999998</v>
      </c>
      <c r="CE126" s="770">
        <v>781.08451799999989</v>
      </c>
      <c r="CF126" s="770">
        <v>1353.896369</v>
      </c>
      <c r="CG126" s="770">
        <v>1699.6096299999999</v>
      </c>
      <c r="CH126" s="770">
        <v>497.11524599999996</v>
      </c>
      <c r="CI126" s="770">
        <v>387.40299900000002</v>
      </c>
      <c r="CJ126" s="777"/>
      <c r="CK126" s="766"/>
      <c r="CL126" s="773"/>
      <c r="CM126" s="774"/>
      <c r="CN126" s="774"/>
      <c r="CO126" s="774"/>
      <c r="CP126" s="774"/>
      <c r="CQ126" s="774"/>
      <c r="CR126" s="774"/>
      <c r="CS126" s="774"/>
      <c r="CT126" s="774"/>
      <c r="CU126" s="774"/>
      <c r="CV126" s="451"/>
      <c r="CW126" s="451"/>
      <c r="CX126" s="451"/>
      <c r="CY126" s="451"/>
      <c r="CZ126" s="451"/>
      <c r="DA126" s="451"/>
      <c r="DB126" s="451"/>
      <c r="DC126" s="451"/>
      <c r="DD126" s="451"/>
      <c r="DE126" s="451"/>
      <c r="DF126" s="451"/>
      <c r="DG126" s="451"/>
      <c r="DH126" s="451"/>
      <c r="DI126" s="766"/>
      <c r="DJ126" s="775"/>
      <c r="DK126" s="775"/>
      <c r="DL126" s="775"/>
      <c r="DM126" s="775"/>
      <c r="DN126" s="775"/>
      <c r="DO126" s="775"/>
      <c r="DP126" s="775"/>
      <c r="DQ126" s="775"/>
      <c r="DR126" s="775"/>
      <c r="DS126" s="775"/>
      <c r="DT126" s="451"/>
      <c r="DU126" s="766"/>
      <c r="DV126" s="775"/>
      <c r="DW126" s="775"/>
      <c r="DX126" s="775"/>
      <c r="DY126" s="775"/>
      <c r="DZ126" s="775"/>
      <c r="EA126" s="775"/>
      <c r="EB126" s="775"/>
      <c r="EC126" s="775"/>
      <c r="ED126" s="775"/>
      <c r="EE126" s="775"/>
      <c r="EF126" s="479"/>
      <c r="EG126" s="479"/>
      <c r="EH126" s="479"/>
      <c r="EI126" s="479"/>
      <c r="EJ126" s="479"/>
      <c r="EK126" s="479"/>
      <c r="EL126" s="479"/>
      <c r="EM126" s="479"/>
      <c r="EN126" s="479"/>
      <c r="EO126" s="479"/>
    </row>
    <row r="127" spans="5:145" s="746" customFormat="1" ht="14.4" hidden="1" x14ac:dyDescent="0.55000000000000004">
      <c r="E127" s="767">
        <v>2050</v>
      </c>
      <c r="F127" s="768">
        <v>9280.5847580000009</v>
      </c>
      <c r="G127" s="768">
        <v>1119.3739540000001</v>
      </c>
      <c r="H127" s="768">
        <v>387.22714500000001</v>
      </c>
      <c r="I127" s="768">
        <v>4474.5813800000005</v>
      </c>
      <c r="J127" s="768">
        <v>2549.9526149999988</v>
      </c>
      <c r="K127" s="768">
        <v>749.44966399999998</v>
      </c>
      <c r="L127" s="768">
        <v>1295.6037630000001</v>
      </c>
      <c r="M127" s="768">
        <v>1692.0076309999999</v>
      </c>
      <c r="N127" s="768">
        <v>511.66111800000004</v>
      </c>
      <c r="O127" s="768">
        <v>403.100526</v>
      </c>
      <c r="P127" s="489"/>
      <c r="Q127" s="767">
        <v>2050</v>
      </c>
      <c r="R127" s="768">
        <v>9280.5847580000009</v>
      </c>
      <c r="S127" s="768">
        <v>1119.3739540000001</v>
      </c>
      <c r="T127" s="768">
        <v>387.22714500000001</v>
      </c>
      <c r="U127" s="768">
        <v>4474.5813800000005</v>
      </c>
      <c r="V127" s="768">
        <v>2549.9526149999988</v>
      </c>
      <c r="W127" s="768">
        <v>749.44966399999998</v>
      </c>
      <c r="X127" s="768">
        <v>1295.6037630000001</v>
      </c>
      <c r="Y127" s="768">
        <v>1692.0076309999999</v>
      </c>
      <c r="Z127" s="768">
        <v>511.66111800000004</v>
      </c>
      <c r="AA127" s="768">
        <v>403.100526</v>
      </c>
      <c r="AB127" s="490"/>
      <c r="AC127" s="767">
        <v>2050</v>
      </c>
      <c r="AD127" s="768">
        <v>9280.5847580000009</v>
      </c>
      <c r="AE127" s="768">
        <v>1119.3739540000001</v>
      </c>
      <c r="AF127" s="768">
        <v>387.22714500000001</v>
      </c>
      <c r="AG127" s="768">
        <v>4474.5813800000005</v>
      </c>
      <c r="AH127" s="768">
        <v>2549.9526149999988</v>
      </c>
      <c r="AI127" s="768">
        <v>749.44966399999998</v>
      </c>
      <c r="AJ127" s="768">
        <v>1295.6037630000001</v>
      </c>
      <c r="AK127" s="768">
        <v>1692.0076309999999</v>
      </c>
      <c r="AL127" s="768">
        <v>511.66111800000004</v>
      </c>
      <c r="AM127" s="768">
        <v>403.100526</v>
      </c>
      <c r="AN127" s="489"/>
      <c r="AO127" s="769">
        <v>2050</v>
      </c>
      <c r="AP127" s="770">
        <v>9280.5847580000009</v>
      </c>
      <c r="AQ127" s="770">
        <v>1119.3739540000001</v>
      </c>
      <c r="AR127" s="770">
        <v>387.22714500000001</v>
      </c>
      <c r="AS127" s="770">
        <v>4474.5813800000005</v>
      </c>
      <c r="AT127" s="770">
        <v>2549.9526149999988</v>
      </c>
      <c r="AU127" s="770">
        <v>749.44966399999998</v>
      </c>
      <c r="AV127" s="770">
        <v>1295.6037630000001</v>
      </c>
      <c r="AW127" s="770">
        <v>1692.0076309999999</v>
      </c>
      <c r="AX127" s="770">
        <v>511.66111800000004</v>
      </c>
      <c r="AY127" s="770">
        <v>403.100526</v>
      </c>
      <c r="AZ127" s="776"/>
      <c r="BA127" s="484">
        <v>2050</v>
      </c>
      <c r="BB127" s="485">
        <v>9527.5638900000031</v>
      </c>
      <c r="BC127" s="485">
        <v>1125.9449180000001</v>
      </c>
      <c r="BD127" s="485">
        <v>378.20387099999999</v>
      </c>
      <c r="BE127" s="485">
        <v>4500.2659240000012</v>
      </c>
      <c r="BF127" s="485">
        <v>2742.9904380000007</v>
      </c>
      <c r="BG127" s="485">
        <v>780.15873900000031</v>
      </c>
      <c r="BH127" s="485">
        <v>1384.9769759999999</v>
      </c>
      <c r="BI127" s="485">
        <v>1620.050849</v>
      </c>
      <c r="BJ127" s="485">
        <v>507.95064500000001</v>
      </c>
      <c r="BK127" s="485">
        <v>400.85304200000002</v>
      </c>
      <c r="BL127" s="492"/>
      <c r="BM127" s="486">
        <v>2050</v>
      </c>
      <c r="BN127" s="487">
        <v>9527.5638900000031</v>
      </c>
      <c r="BO127" s="488">
        <v>1125.9449180000001</v>
      </c>
      <c r="BP127" s="488">
        <v>378.20387099999999</v>
      </c>
      <c r="BQ127" s="488">
        <v>4500.2659240000012</v>
      </c>
      <c r="BR127" s="488">
        <v>2742.9904380000007</v>
      </c>
      <c r="BS127" s="488">
        <v>780.15873900000031</v>
      </c>
      <c r="BT127" s="488">
        <v>1384.9769759999999</v>
      </c>
      <c r="BU127" s="488">
        <v>1620.050849</v>
      </c>
      <c r="BV127" s="488">
        <v>507.95064500000001</v>
      </c>
      <c r="BW127" s="488">
        <v>400.85304200000002</v>
      </c>
      <c r="BX127" s="491"/>
      <c r="BY127" s="769">
        <v>2050</v>
      </c>
      <c r="BZ127" s="770">
        <v>9700.761771999998</v>
      </c>
      <c r="CA127" s="770">
        <v>1105.9401059999998</v>
      </c>
      <c r="CB127" s="770">
        <v>385.62376799999987</v>
      </c>
      <c r="CC127" s="770">
        <v>4587.3179599999994</v>
      </c>
      <c r="CD127" s="770">
        <v>2839.1171730000001</v>
      </c>
      <c r="CE127" s="770">
        <v>782.76276500000017</v>
      </c>
      <c r="CF127" s="770">
        <v>1348.0563300000001</v>
      </c>
      <c r="CG127" s="770">
        <v>1705.3325440000001</v>
      </c>
      <c r="CH127" s="770">
        <v>496.30675999999994</v>
      </c>
      <c r="CI127" s="770">
        <v>388.86474699999997</v>
      </c>
      <c r="CJ127" s="777"/>
      <c r="CK127" s="766"/>
      <c r="CL127" s="773"/>
      <c r="CM127" s="774"/>
      <c r="CN127" s="774"/>
      <c r="CO127" s="774"/>
      <c r="CP127" s="774"/>
      <c r="CQ127" s="774"/>
      <c r="CR127" s="774"/>
      <c r="CS127" s="774"/>
      <c r="CT127" s="774"/>
      <c r="CU127" s="774"/>
      <c r="CV127" s="451"/>
      <c r="CW127" s="451"/>
      <c r="CX127" s="451"/>
      <c r="CY127" s="451"/>
      <c r="CZ127" s="451"/>
      <c r="DA127" s="451"/>
      <c r="DB127" s="451"/>
      <c r="DC127" s="451"/>
      <c r="DD127" s="451"/>
      <c r="DE127" s="451"/>
      <c r="DF127" s="451"/>
      <c r="DG127" s="451"/>
      <c r="DH127" s="451"/>
      <c r="DI127" s="766"/>
      <c r="DJ127" s="775"/>
      <c r="DK127" s="775"/>
      <c r="DL127" s="775"/>
      <c r="DM127" s="775"/>
      <c r="DN127" s="775"/>
      <c r="DO127" s="775"/>
      <c r="DP127" s="775"/>
      <c r="DQ127" s="775"/>
      <c r="DR127" s="775"/>
      <c r="DS127" s="775"/>
      <c r="DT127" s="451"/>
      <c r="DU127" s="766"/>
      <c r="DV127" s="775"/>
      <c r="DW127" s="775"/>
      <c r="DX127" s="775"/>
      <c r="DY127" s="775"/>
      <c r="DZ127" s="775"/>
      <c r="EA127" s="775"/>
      <c r="EB127" s="775"/>
      <c r="EC127" s="775"/>
      <c r="ED127" s="775"/>
      <c r="EE127" s="775"/>
      <c r="EF127" s="479"/>
      <c r="EG127" s="479"/>
      <c r="EH127" s="479"/>
      <c r="EI127" s="479"/>
      <c r="EJ127" s="479"/>
      <c r="EK127" s="479"/>
      <c r="EL127" s="479"/>
      <c r="EM127" s="479"/>
      <c r="EN127" s="479"/>
      <c r="EO127" s="479"/>
    </row>
    <row r="128" spans="5:145" s="746" customFormat="1" ht="14.4" hidden="1" x14ac:dyDescent="0.55000000000000004">
      <c r="E128" s="767">
        <v>2051</v>
      </c>
      <c r="F128" s="768">
        <v>9316.5872929999969</v>
      </c>
      <c r="G128" s="768">
        <v>1120.7929859999999</v>
      </c>
      <c r="H128" s="768">
        <v>386.15933699999994</v>
      </c>
      <c r="I128" s="768">
        <v>4474.3057329999992</v>
      </c>
      <c r="J128" s="768">
        <v>2585.1247759999997</v>
      </c>
      <c r="K128" s="768">
        <v>750.20446099999992</v>
      </c>
      <c r="L128" s="768">
        <v>1287.751696</v>
      </c>
      <c r="M128" s="768">
        <v>1696.325912</v>
      </c>
      <c r="N128" s="768">
        <v>511.05998999999986</v>
      </c>
      <c r="O128" s="768">
        <v>404.96411800000004</v>
      </c>
      <c r="P128" s="489"/>
      <c r="Q128" s="767">
        <v>2051</v>
      </c>
      <c r="R128" s="768">
        <v>9316.5872929999969</v>
      </c>
      <c r="S128" s="768">
        <v>1120.7929859999999</v>
      </c>
      <c r="T128" s="768">
        <v>386.15933699999994</v>
      </c>
      <c r="U128" s="768">
        <v>4474.3057329999992</v>
      </c>
      <c r="V128" s="768">
        <v>2585.1247759999997</v>
      </c>
      <c r="W128" s="768">
        <v>750.20446099999992</v>
      </c>
      <c r="X128" s="768">
        <v>1287.751696</v>
      </c>
      <c r="Y128" s="768">
        <v>1696.325912</v>
      </c>
      <c r="Z128" s="768">
        <v>511.05998999999986</v>
      </c>
      <c r="AA128" s="768">
        <v>404.96411800000004</v>
      </c>
      <c r="AB128" s="490"/>
      <c r="AC128" s="767">
        <v>2051</v>
      </c>
      <c r="AD128" s="768">
        <v>9316.5872929999969</v>
      </c>
      <c r="AE128" s="768">
        <v>1120.7929859999999</v>
      </c>
      <c r="AF128" s="768">
        <v>386.15933699999994</v>
      </c>
      <c r="AG128" s="768">
        <v>4474.3057329999992</v>
      </c>
      <c r="AH128" s="768">
        <v>2585.1247759999997</v>
      </c>
      <c r="AI128" s="768">
        <v>750.20446099999992</v>
      </c>
      <c r="AJ128" s="768">
        <v>1287.751696</v>
      </c>
      <c r="AK128" s="768">
        <v>1696.325912</v>
      </c>
      <c r="AL128" s="768">
        <v>511.05998999999986</v>
      </c>
      <c r="AM128" s="768">
        <v>404.96411800000004</v>
      </c>
      <c r="AN128" s="489"/>
      <c r="AO128" s="769">
        <v>2051</v>
      </c>
      <c r="AP128" s="770">
        <v>9316.5872929999969</v>
      </c>
      <c r="AQ128" s="770">
        <v>1120.7929859999999</v>
      </c>
      <c r="AR128" s="770">
        <v>386.15933699999994</v>
      </c>
      <c r="AS128" s="770">
        <v>4474.3057329999992</v>
      </c>
      <c r="AT128" s="770">
        <v>2585.1247759999997</v>
      </c>
      <c r="AU128" s="770">
        <v>750.20446099999992</v>
      </c>
      <c r="AV128" s="770">
        <v>1287.751696</v>
      </c>
      <c r="AW128" s="770">
        <v>1696.325912</v>
      </c>
      <c r="AX128" s="770">
        <v>511.05998999999986</v>
      </c>
      <c r="AY128" s="770">
        <v>404.96411800000004</v>
      </c>
      <c r="AZ128" s="776"/>
      <c r="BA128" s="484">
        <v>2051</v>
      </c>
      <c r="BB128" s="485">
        <v>9572.6375779999998</v>
      </c>
      <c r="BC128" s="485">
        <v>1127.5932639999999</v>
      </c>
      <c r="BD128" s="485">
        <v>376.879367</v>
      </c>
      <c r="BE128" s="485">
        <v>4500.8516229999996</v>
      </c>
      <c r="BF128" s="485">
        <v>2785.5475670000005</v>
      </c>
      <c r="BG128" s="485">
        <v>781.76575700000001</v>
      </c>
      <c r="BH128" s="485">
        <v>1378.422149</v>
      </c>
      <c r="BI128" s="485">
        <v>1623.7393259999999</v>
      </c>
      <c r="BJ128" s="485">
        <v>507.27506</v>
      </c>
      <c r="BK128" s="485">
        <v>402.57208900000001</v>
      </c>
      <c r="BL128" s="492"/>
      <c r="BM128" s="486">
        <v>2051</v>
      </c>
      <c r="BN128" s="485">
        <v>9572.6375779999998</v>
      </c>
      <c r="BO128" s="485">
        <v>1127.5932639999999</v>
      </c>
      <c r="BP128" s="485">
        <v>376.879367</v>
      </c>
      <c r="BQ128" s="485">
        <v>4500.8516229999996</v>
      </c>
      <c r="BR128" s="485">
        <v>2785.5475670000005</v>
      </c>
      <c r="BS128" s="485">
        <v>781.76575700000001</v>
      </c>
      <c r="BT128" s="485">
        <v>1378.422149</v>
      </c>
      <c r="BU128" s="485">
        <v>1623.7393259999999</v>
      </c>
      <c r="BV128" s="485">
        <v>507.27506</v>
      </c>
      <c r="BW128" s="485">
        <v>402.57208900000001</v>
      </c>
      <c r="BX128" s="491"/>
      <c r="BY128" s="769">
        <v>2051</v>
      </c>
      <c r="BZ128" s="770">
        <v>9751.569580000003</v>
      </c>
      <c r="CA128" s="770">
        <v>1107.1525150000002</v>
      </c>
      <c r="CB128" s="770">
        <v>384.53622799999994</v>
      </c>
      <c r="CC128" s="770">
        <v>4591.3748380000015</v>
      </c>
      <c r="CD128" s="770">
        <v>2884.213013</v>
      </c>
      <c r="CE128" s="770">
        <v>784.29298600000016</v>
      </c>
      <c r="CF128" s="770">
        <v>1341.967778</v>
      </c>
      <c r="CG128" s="770">
        <v>1710.758143</v>
      </c>
      <c r="CH128" s="770">
        <v>495.45734300000004</v>
      </c>
      <c r="CI128" s="770">
        <v>390.31902000000002</v>
      </c>
      <c r="CJ128" s="777"/>
      <c r="CK128" s="451"/>
      <c r="CL128" s="451"/>
      <c r="CM128" s="451"/>
      <c r="CN128" s="451"/>
      <c r="CO128" s="451"/>
      <c r="CP128" s="451"/>
      <c r="CQ128" s="451"/>
      <c r="CR128" s="451"/>
      <c r="CS128" s="451"/>
      <c r="CT128" s="451"/>
      <c r="CU128" s="451"/>
      <c r="CV128" s="451"/>
      <c r="CW128" s="451"/>
      <c r="CX128" s="451"/>
      <c r="CY128" s="451"/>
      <c r="CZ128" s="451"/>
      <c r="DA128" s="451"/>
      <c r="DB128" s="451"/>
      <c r="DC128" s="451"/>
      <c r="DD128" s="451"/>
      <c r="DE128" s="451"/>
      <c r="DF128" s="451"/>
      <c r="DG128" s="451"/>
      <c r="DH128" s="451"/>
      <c r="DI128" s="766"/>
      <c r="DJ128" s="775"/>
      <c r="DK128" s="775"/>
      <c r="DL128" s="775"/>
      <c r="DM128" s="775"/>
      <c r="DN128" s="775"/>
      <c r="DO128" s="775"/>
      <c r="DP128" s="775"/>
      <c r="DQ128" s="775"/>
      <c r="DR128" s="775"/>
      <c r="DS128" s="775"/>
      <c r="DT128" s="451"/>
      <c r="DU128" s="766"/>
      <c r="DV128" s="775"/>
      <c r="DW128" s="775"/>
      <c r="DX128" s="775"/>
      <c r="DY128" s="775"/>
      <c r="DZ128" s="775"/>
      <c r="EA128" s="775"/>
      <c r="EB128" s="775"/>
      <c r="EC128" s="775"/>
      <c r="ED128" s="775"/>
      <c r="EE128" s="775"/>
      <c r="EF128" s="479"/>
      <c r="EG128" s="479"/>
      <c r="EH128" s="479"/>
      <c r="EI128" s="479"/>
      <c r="EJ128" s="479"/>
      <c r="EK128" s="479"/>
      <c r="EL128" s="479"/>
      <c r="EM128" s="479"/>
      <c r="EN128" s="479"/>
      <c r="EO128" s="479"/>
    </row>
    <row r="129" spans="1:145" s="746" customFormat="1" ht="14.4" hidden="1" x14ac:dyDescent="0.55000000000000004">
      <c r="E129" s="767">
        <v>2052</v>
      </c>
      <c r="F129" s="768">
        <v>9351.344771</v>
      </c>
      <c r="G129" s="768">
        <v>1122.11313</v>
      </c>
      <c r="H129" s="768">
        <v>385.06463099999996</v>
      </c>
      <c r="I129" s="768">
        <v>4473.1594650000006</v>
      </c>
      <c r="J129" s="768">
        <v>2620.1861249999997</v>
      </c>
      <c r="K129" s="768">
        <v>750.8214200000001</v>
      </c>
      <c r="L129" s="768">
        <v>1279.7371599999999</v>
      </c>
      <c r="M129" s="768">
        <v>1700.256169</v>
      </c>
      <c r="N129" s="768">
        <v>510.40420499999993</v>
      </c>
      <c r="O129" s="768">
        <v>406.80440999999996</v>
      </c>
      <c r="P129" s="489"/>
      <c r="Q129" s="767">
        <v>2052</v>
      </c>
      <c r="R129" s="768">
        <v>9351.344771</v>
      </c>
      <c r="S129" s="768">
        <v>1122.11313</v>
      </c>
      <c r="T129" s="768">
        <v>385.06463099999996</v>
      </c>
      <c r="U129" s="768">
        <v>4473.1594650000006</v>
      </c>
      <c r="V129" s="768">
        <v>2620.1861249999997</v>
      </c>
      <c r="W129" s="768">
        <v>750.8214200000001</v>
      </c>
      <c r="X129" s="768">
        <v>1279.7371599999999</v>
      </c>
      <c r="Y129" s="768">
        <v>1700.256169</v>
      </c>
      <c r="Z129" s="768">
        <v>510.40420499999993</v>
      </c>
      <c r="AA129" s="768">
        <v>406.80440999999996</v>
      </c>
      <c r="AB129" s="490"/>
      <c r="AC129" s="767">
        <v>2052</v>
      </c>
      <c r="AD129" s="768">
        <v>9351.344771</v>
      </c>
      <c r="AE129" s="768">
        <v>1122.11313</v>
      </c>
      <c r="AF129" s="768">
        <v>385.06463099999996</v>
      </c>
      <c r="AG129" s="768">
        <v>4473.1594650000006</v>
      </c>
      <c r="AH129" s="768">
        <v>2620.1861249999997</v>
      </c>
      <c r="AI129" s="768">
        <v>750.8214200000001</v>
      </c>
      <c r="AJ129" s="768">
        <v>1279.7371599999999</v>
      </c>
      <c r="AK129" s="768">
        <v>1700.256169</v>
      </c>
      <c r="AL129" s="768">
        <v>510.40420499999993</v>
      </c>
      <c r="AM129" s="768">
        <v>406.80440999999996</v>
      </c>
      <c r="AN129" s="489"/>
      <c r="AO129" s="769">
        <v>2052</v>
      </c>
      <c r="AP129" s="770">
        <v>9351.344771</v>
      </c>
      <c r="AQ129" s="770">
        <v>1122.11313</v>
      </c>
      <c r="AR129" s="770">
        <v>385.06463099999996</v>
      </c>
      <c r="AS129" s="770">
        <v>4473.1594650000006</v>
      </c>
      <c r="AT129" s="770">
        <v>2620.1861249999997</v>
      </c>
      <c r="AU129" s="770">
        <v>750.8214200000001</v>
      </c>
      <c r="AV129" s="770">
        <v>1279.7371599999999</v>
      </c>
      <c r="AW129" s="770">
        <v>1700.256169</v>
      </c>
      <c r="AX129" s="770">
        <v>510.40420499999993</v>
      </c>
      <c r="AY129" s="770">
        <v>406.80440999999996</v>
      </c>
      <c r="AZ129" s="776"/>
      <c r="BA129" s="484">
        <v>2052</v>
      </c>
      <c r="BB129" s="485">
        <v>9616.6368589999984</v>
      </c>
      <c r="BC129" s="485">
        <v>1129.1592490000003</v>
      </c>
      <c r="BD129" s="485">
        <v>375.52963499999998</v>
      </c>
      <c r="BE129" s="485">
        <v>4500.6361619999998</v>
      </c>
      <c r="BF129" s="485">
        <v>2828.0832309999996</v>
      </c>
      <c r="BG129" s="485">
        <v>783.22858199999985</v>
      </c>
      <c r="BH129" s="485">
        <v>1371.6685199999999</v>
      </c>
      <c r="BI129" s="485">
        <v>1627.1204250000001</v>
      </c>
      <c r="BJ129" s="485">
        <v>506.55082699999997</v>
      </c>
      <c r="BK129" s="485">
        <v>404.28101000000004</v>
      </c>
      <c r="BL129" s="492"/>
      <c r="BM129" s="486">
        <v>2052</v>
      </c>
      <c r="BN129" s="485">
        <v>9616.6368589999984</v>
      </c>
      <c r="BO129" s="485">
        <v>1129.1592490000003</v>
      </c>
      <c r="BP129" s="485">
        <v>375.52963499999998</v>
      </c>
      <c r="BQ129" s="485">
        <v>4500.6361619999998</v>
      </c>
      <c r="BR129" s="485">
        <v>2828.0832309999996</v>
      </c>
      <c r="BS129" s="485">
        <v>783.22858199999985</v>
      </c>
      <c r="BT129" s="485">
        <v>1371.6685199999999</v>
      </c>
      <c r="BU129" s="485">
        <v>1627.1204250000001</v>
      </c>
      <c r="BV129" s="485">
        <v>506.55082699999997</v>
      </c>
      <c r="BW129" s="485">
        <v>404.28101000000004</v>
      </c>
      <c r="BX129" s="491"/>
      <c r="BY129" s="769">
        <v>2052</v>
      </c>
      <c r="BZ129" s="770">
        <v>9801.2712240000001</v>
      </c>
      <c r="CA129" s="770">
        <v>1108.302169</v>
      </c>
      <c r="CB129" s="770">
        <v>383.41983400000004</v>
      </c>
      <c r="CC129" s="770">
        <v>4594.5655580000002</v>
      </c>
      <c r="CD129" s="770">
        <v>2929.3082589999999</v>
      </c>
      <c r="CE129" s="770">
        <v>785.67540399999984</v>
      </c>
      <c r="CF129" s="770">
        <v>1335.637565</v>
      </c>
      <c r="CG129" s="770">
        <v>1715.8833459999998</v>
      </c>
      <c r="CH129" s="770">
        <v>494.56930199999994</v>
      </c>
      <c r="CI129" s="770">
        <v>391.76830800000005</v>
      </c>
      <c r="CJ129" s="777"/>
      <c r="CK129" s="451"/>
      <c r="CL129" s="451"/>
      <c r="CM129" s="451"/>
      <c r="CN129" s="451"/>
      <c r="CO129" s="451"/>
      <c r="CP129" s="451"/>
      <c r="CQ129" s="451"/>
      <c r="CR129" s="451"/>
      <c r="CS129" s="451"/>
      <c r="CT129" s="451"/>
      <c r="CU129" s="451"/>
      <c r="CV129" s="451"/>
      <c r="CW129" s="451"/>
      <c r="CX129" s="451"/>
      <c r="CY129" s="451"/>
      <c r="CZ129" s="451"/>
      <c r="DA129" s="451"/>
      <c r="DB129" s="451"/>
      <c r="DC129" s="451"/>
      <c r="DD129" s="451"/>
      <c r="DE129" s="451"/>
      <c r="DF129" s="451"/>
      <c r="DG129" s="451"/>
      <c r="DH129" s="451"/>
      <c r="DI129" s="766"/>
      <c r="DJ129" s="775"/>
      <c r="DK129" s="775"/>
      <c r="DL129" s="775"/>
      <c r="DM129" s="775"/>
      <c r="DN129" s="775"/>
      <c r="DO129" s="775"/>
      <c r="DP129" s="775"/>
      <c r="DQ129" s="775"/>
      <c r="DR129" s="775"/>
      <c r="DS129" s="775"/>
      <c r="DT129" s="451"/>
      <c r="DU129" s="766"/>
      <c r="DV129" s="775"/>
      <c r="DW129" s="775"/>
      <c r="DX129" s="775"/>
      <c r="DY129" s="775"/>
      <c r="DZ129" s="775"/>
      <c r="EA129" s="775"/>
      <c r="EB129" s="775"/>
      <c r="EC129" s="775"/>
      <c r="ED129" s="775"/>
      <c r="EE129" s="775"/>
      <c r="EF129" s="479"/>
      <c r="EG129" s="479"/>
      <c r="EH129" s="479"/>
      <c r="EI129" s="479"/>
      <c r="EJ129" s="479"/>
      <c r="EK129" s="479"/>
      <c r="EL129" s="479"/>
      <c r="EM129" s="479"/>
      <c r="EN129" s="479"/>
      <c r="EO129" s="479"/>
    </row>
    <row r="130" spans="1:145" s="746" customFormat="1" ht="14.4" hidden="1" x14ac:dyDescent="0.55000000000000004">
      <c r="E130" s="767">
        <v>2053</v>
      </c>
      <c r="F130" s="768">
        <v>9384.8799709999985</v>
      </c>
      <c r="G130" s="768">
        <v>1123.343736</v>
      </c>
      <c r="H130" s="768">
        <v>383.94316600000002</v>
      </c>
      <c r="I130" s="768">
        <v>4471.1604699999998</v>
      </c>
      <c r="J130" s="768">
        <v>2655.1226230000002</v>
      </c>
      <c r="K130" s="768">
        <v>751.30997600000001</v>
      </c>
      <c r="L130" s="768">
        <v>1271.5742499999999</v>
      </c>
      <c r="M130" s="768">
        <v>1703.7998130000001</v>
      </c>
      <c r="N130" s="768">
        <v>509.69957800000009</v>
      </c>
      <c r="O130" s="768">
        <v>408.62457900000004</v>
      </c>
      <c r="P130" s="489"/>
      <c r="Q130" s="767">
        <v>2053</v>
      </c>
      <c r="R130" s="768">
        <v>9384.8799709999985</v>
      </c>
      <c r="S130" s="768">
        <v>1123.343736</v>
      </c>
      <c r="T130" s="768">
        <v>383.94316600000002</v>
      </c>
      <c r="U130" s="768">
        <v>4471.1604699999998</v>
      </c>
      <c r="V130" s="768">
        <v>2655.1226230000002</v>
      </c>
      <c r="W130" s="768">
        <v>751.30997600000001</v>
      </c>
      <c r="X130" s="768">
        <v>1271.5742499999999</v>
      </c>
      <c r="Y130" s="768">
        <v>1703.7998130000001</v>
      </c>
      <c r="Z130" s="768">
        <v>509.69957800000009</v>
      </c>
      <c r="AA130" s="768">
        <v>408.62457900000004</v>
      </c>
      <c r="AB130" s="490"/>
      <c r="AC130" s="767">
        <v>2053</v>
      </c>
      <c r="AD130" s="768">
        <v>9384.8799709999985</v>
      </c>
      <c r="AE130" s="768">
        <v>1123.343736</v>
      </c>
      <c r="AF130" s="768">
        <v>383.94316600000002</v>
      </c>
      <c r="AG130" s="768">
        <v>4471.1604699999998</v>
      </c>
      <c r="AH130" s="768">
        <v>2655.1226230000002</v>
      </c>
      <c r="AI130" s="768">
        <v>751.30997600000001</v>
      </c>
      <c r="AJ130" s="768">
        <v>1271.5742499999999</v>
      </c>
      <c r="AK130" s="768">
        <v>1703.7998130000001</v>
      </c>
      <c r="AL130" s="768">
        <v>509.69957800000009</v>
      </c>
      <c r="AM130" s="768">
        <v>408.62457900000004</v>
      </c>
      <c r="AN130" s="489"/>
      <c r="AO130" s="769">
        <v>2053</v>
      </c>
      <c r="AP130" s="770">
        <v>9384.8799709999985</v>
      </c>
      <c r="AQ130" s="770">
        <v>1123.343736</v>
      </c>
      <c r="AR130" s="770">
        <v>383.94316600000002</v>
      </c>
      <c r="AS130" s="770">
        <v>4471.1604699999998</v>
      </c>
      <c r="AT130" s="770">
        <v>2655.1226230000002</v>
      </c>
      <c r="AU130" s="770">
        <v>751.30997600000001</v>
      </c>
      <c r="AV130" s="770">
        <v>1271.5742499999999</v>
      </c>
      <c r="AW130" s="770">
        <v>1703.7998130000001</v>
      </c>
      <c r="AX130" s="770">
        <v>509.69957800000009</v>
      </c>
      <c r="AY130" s="770">
        <v>408.62457900000004</v>
      </c>
      <c r="AZ130" s="776"/>
      <c r="BA130" s="484">
        <v>2053</v>
      </c>
      <c r="BB130" s="485">
        <v>9659.5825139999997</v>
      </c>
      <c r="BC130" s="485">
        <v>1130.6476639999998</v>
      </c>
      <c r="BD130" s="485">
        <v>374.15533999999991</v>
      </c>
      <c r="BE130" s="485">
        <v>4499.6501360000011</v>
      </c>
      <c r="BF130" s="485">
        <v>2870.5814759999998</v>
      </c>
      <c r="BG130" s="485">
        <v>784.54789800000003</v>
      </c>
      <c r="BH130" s="485">
        <v>1364.73946</v>
      </c>
      <c r="BI130" s="485">
        <v>1630.1974339999999</v>
      </c>
      <c r="BJ130" s="485">
        <v>505.78036300000008</v>
      </c>
      <c r="BK130" s="485">
        <v>405.98191800000001</v>
      </c>
      <c r="BL130" s="492"/>
      <c r="BM130" s="486">
        <v>2053</v>
      </c>
      <c r="BN130" s="485">
        <v>9659.5825139999997</v>
      </c>
      <c r="BO130" s="485">
        <v>1130.6476639999998</v>
      </c>
      <c r="BP130" s="485">
        <v>374.15533999999991</v>
      </c>
      <c r="BQ130" s="485">
        <v>4499.6501360000011</v>
      </c>
      <c r="BR130" s="485">
        <v>2870.5814759999998</v>
      </c>
      <c r="BS130" s="485">
        <v>784.54789800000003</v>
      </c>
      <c r="BT130" s="485">
        <v>1364.73946</v>
      </c>
      <c r="BU130" s="485">
        <v>1630.1974339999999</v>
      </c>
      <c r="BV130" s="485">
        <v>505.78036300000008</v>
      </c>
      <c r="BW130" s="485">
        <v>405.98191800000001</v>
      </c>
      <c r="BX130" s="491"/>
      <c r="BY130" s="769">
        <v>2053</v>
      </c>
      <c r="BZ130" s="770">
        <v>9849.8462490000002</v>
      </c>
      <c r="CA130" s="770">
        <v>1109.3938010000002</v>
      </c>
      <c r="CB130" s="770">
        <v>382.27234199999998</v>
      </c>
      <c r="CC130" s="770">
        <v>4596.8851439999989</v>
      </c>
      <c r="CD130" s="770">
        <v>2974.3852250000004</v>
      </c>
      <c r="CE130" s="770">
        <v>786.90973699999995</v>
      </c>
      <c r="CF130" s="770">
        <v>1329.0611669999998</v>
      </c>
      <c r="CG130" s="770">
        <v>1720.69922</v>
      </c>
      <c r="CH130" s="770">
        <v>493.64538599999997</v>
      </c>
      <c r="CI130" s="770">
        <v>393.21628800000002</v>
      </c>
      <c r="CJ130" s="777"/>
      <c r="CK130" s="451"/>
      <c r="CL130" s="451"/>
      <c r="CM130" s="451"/>
      <c r="CN130" s="451"/>
      <c r="CO130" s="451"/>
      <c r="CP130" s="451"/>
      <c r="CQ130" s="451"/>
      <c r="CR130" s="451"/>
      <c r="CS130" s="451"/>
      <c r="CT130" s="451"/>
      <c r="CU130" s="451"/>
      <c r="CV130" s="451"/>
      <c r="CW130" s="451"/>
      <c r="CX130" s="451"/>
      <c r="CY130" s="451"/>
      <c r="CZ130" s="451"/>
      <c r="DA130" s="451"/>
      <c r="DB130" s="451"/>
      <c r="DC130" s="451"/>
      <c r="DD130" s="451"/>
      <c r="DE130" s="451"/>
      <c r="DF130" s="451"/>
      <c r="DG130" s="451"/>
      <c r="DH130" s="451"/>
      <c r="DI130" s="766"/>
      <c r="DJ130" s="775"/>
      <c r="DK130" s="775"/>
      <c r="DL130" s="775"/>
      <c r="DM130" s="775"/>
      <c r="DN130" s="775"/>
      <c r="DO130" s="775"/>
      <c r="DP130" s="775"/>
      <c r="DQ130" s="775"/>
      <c r="DR130" s="775"/>
      <c r="DS130" s="775"/>
      <c r="DT130" s="451"/>
      <c r="DU130" s="766"/>
      <c r="DV130" s="775"/>
      <c r="DW130" s="775"/>
      <c r="DX130" s="775"/>
      <c r="DY130" s="775"/>
      <c r="DZ130" s="775"/>
      <c r="EA130" s="775"/>
      <c r="EB130" s="775"/>
      <c r="EC130" s="775"/>
      <c r="ED130" s="775"/>
      <c r="EE130" s="775"/>
      <c r="EF130" s="479"/>
      <c r="EG130" s="479"/>
      <c r="EH130" s="479"/>
      <c r="EI130" s="479"/>
      <c r="EJ130" s="479"/>
      <c r="EK130" s="479"/>
      <c r="EL130" s="479"/>
      <c r="EM130" s="479"/>
      <c r="EN130" s="479"/>
      <c r="EO130" s="479"/>
    </row>
    <row r="131" spans="1:145" s="746" customFormat="1" ht="14.4" hidden="1" x14ac:dyDescent="0.55000000000000004">
      <c r="E131" s="767">
        <v>2054</v>
      </c>
      <c r="F131" s="768">
        <v>9417.2207469999994</v>
      </c>
      <c r="G131" s="768">
        <v>1124.498257</v>
      </c>
      <c r="H131" s="768">
        <v>382.79516499999994</v>
      </c>
      <c r="I131" s="768">
        <v>4468.3246680000002</v>
      </c>
      <c r="J131" s="768">
        <v>2689.9215179999992</v>
      </c>
      <c r="K131" s="768">
        <v>751.68113900000003</v>
      </c>
      <c r="L131" s="768">
        <v>1263.2753070000001</v>
      </c>
      <c r="M131" s="768">
        <v>1706.9580209999999</v>
      </c>
      <c r="N131" s="768">
        <v>508.95483099999996</v>
      </c>
      <c r="O131" s="768">
        <v>410.429237</v>
      </c>
      <c r="P131" s="489"/>
      <c r="Q131" s="767">
        <v>2054</v>
      </c>
      <c r="R131" s="768">
        <v>9417.2207469999994</v>
      </c>
      <c r="S131" s="768">
        <v>1124.498257</v>
      </c>
      <c r="T131" s="768">
        <v>382.79516499999994</v>
      </c>
      <c r="U131" s="768">
        <v>4468.3246680000002</v>
      </c>
      <c r="V131" s="768">
        <v>2689.9215179999992</v>
      </c>
      <c r="W131" s="768">
        <v>751.68113900000003</v>
      </c>
      <c r="X131" s="768">
        <v>1263.2753070000001</v>
      </c>
      <c r="Y131" s="768">
        <v>1706.9580209999999</v>
      </c>
      <c r="Z131" s="768">
        <v>508.95483099999996</v>
      </c>
      <c r="AA131" s="768">
        <v>410.429237</v>
      </c>
      <c r="AB131" s="490"/>
      <c r="AC131" s="767">
        <v>2054</v>
      </c>
      <c r="AD131" s="768">
        <v>9417.2207469999994</v>
      </c>
      <c r="AE131" s="768">
        <v>1124.498257</v>
      </c>
      <c r="AF131" s="768">
        <v>382.79516499999994</v>
      </c>
      <c r="AG131" s="768">
        <v>4468.3246680000002</v>
      </c>
      <c r="AH131" s="768">
        <v>2689.9215179999992</v>
      </c>
      <c r="AI131" s="768">
        <v>751.68113900000003</v>
      </c>
      <c r="AJ131" s="768">
        <v>1263.2753070000001</v>
      </c>
      <c r="AK131" s="768">
        <v>1706.9580209999999</v>
      </c>
      <c r="AL131" s="768">
        <v>508.95483099999996</v>
      </c>
      <c r="AM131" s="768">
        <v>410.429237</v>
      </c>
      <c r="AN131" s="489"/>
      <c r="AO131" s="769">
        <v>2054</v>
      </c>
      <c r="AP131" s="770">
        <v>9417.2207469999994</v>
      </c>
      <c r="AQ131" s="770">
        <v>1124.498257</v>
      </c>
      <c r="AR131" s="770">
        <v>382.79516499999994</v>
      </c>
      <c r="AS131" s="770">
        <v>4468.3246680000002</v>
      </c>
      <c r="AT131" s="770">
        <v>2689.9215179999992</v>
      </c>
      <c r="AU131" s="770">
        <v>751.68113900000003</v>
      </c>
      <c r="AV131" s="770">
        <v>1263.2753070000001</v>
      </c>
      <c r="AW131" s="770">
        <v>1706.9580209999999</v>
      </c>
      <c r="AX131" s="770">
        <v>508.95483099999996</v>
      </c>
      <c r="AY131" s="770">
        <v>410.429237</v>
      </c>
      <c r="AZ131" s="776"/>
      <c r="BA131" s="484">
        <v>2054</v>
      </c>
      <c r="BB131" s="485">
        <v>9701.5007050000004</v>
      </c>
      <c r="BC131" s="485">
        <v>1132.0658389999999</v>
      </c>
      <c r="BD131" s="485">
        <v>372.757565</v>
      </c>
      <c r="BE131" s="485">
        <v>4497.9245339999998</v>
      </c>
      <c r="BF131" s="485">
        <v>2913.0289160000007</v>
      </c>
      <c r="BG131" s="485">
        <v>785.72385099999997</v>
      </c>
      <c r="BH131" s="485">
        <v>1357.659872</v>
      </c>
      <c r="BI131" s="485">
        <v>1632.9735920000001</v>
      </c>
      <c r="BJ131" s="485">
        <v>504.96756999999997</v>
      </c>
      <c r="BK131" s="485">
        <v>407.67771299999998</v>
      </c>
      <c r="BL131" s="492"/>
      <c r="BM131" s="486">
        <v>2054</v>
      </c>
      <c r="BN131" s="485">
        <v>9701.5007050000004</v>
      </c>
      <c r="BO131" s="485">
        <v>1132.0658389999999</v>
      </c>
      <c r="BP131" s="485">
        <v>372.757565</v>
      </c>
      <c r="BQ131" s="485">
        <v>4497.9245339999998</v>
      </c>
      <c r="BR131" s="485">
        <v>2913.0289160000007</v>
      </c>
      <c r="BS131" s="485">
        <v>785.72385099999997</v>
      </c>
      <c r="BT131" s="485">
        <v>1357.659872</v>
      </c>
      <c r="BU131" s="485">
        <v>1632.9735920000001</v>
      </c>
      <c r="BV131" s="485">
        <v>504.96756999999997</v>
      </c>
      <c r="BW131" s="485">
        <v>407.67771299999998</v>
      </c>
      <c r="BX131" s="491"/>
      <c r="BY131" s="769">
        <v>2054</v>
      </c>
      <c r="BZ131" s="770">
        <v>9897.2714760000035</v>
      </c>
      <c r="CA131" s="770">
        <v>1110.4332419999998</v>
      </c>
      <c r="CB131" s="770">
        <v>381.09187600000001</v>
      </c>
      <c r="CC131" s="770">
        <v>4598.3234650000022</v>
      </c>
      <c r="CD131" s="770">
        <v>3019.427692000002</v>
      </c>
      <c r="CE131" s="770">
        <v>787.99520099999984</v>
      </c>
      <c r="CF131" s="770">
        <v>1322.2309750000002</v>
      </c>
      <c r="CG131" s="770">
        <v>1725.192681</v>
      </c>
      <c r="CH131" s="770">
        <v>492.68913600000019</v>
      </c>
      <c r="CI131" s="770">
        <v>394.66744699999998</v>
      </c>
      <c r="CJ131" s="777"/>
      <c r="CK131" s="451"/>
      <c r="CL131" s="451"/>
      <c r="CM131" s="451"/>
      <c r="CN131" s="451"/>
      <c r="CO131" s="451"/>
      <c r="CP131" s="451"/>
      <c r="CQ131" s="451"/>
      <c r="CR131" s="451"/>
      <c r="CS131" s="451"/>
      <c r="CT131" s="451"/>
      <c r="CU131" s="451"/>
      <c r="CV131" s="451"/>
      <c r="CW131" s="451"/>
      <c r="CX131" s="451"/>
      <c r="CY131" s="451"/>
      <c r="CZ131" s="451"/>
      <c r="DA131" s="451"/>
      <c r="DB131" s="451"/>
      <c r="DC131" s="451"/>
      <c r="DD131" s="451"/>
      <c r="DE131" s="451"/>
      <c r="DF131" s="451"/>
      <c r="DG131" s="451"/>
      <c r="DH131" s="451"/>
      <c r="DI131" s="766"/>
      <c r="DJ131" s="775"/>
      <c r="DK131" s="775"/>
      <c r="DL131" s="775"/>
      <c r="DM131" s="775"/>
      <c r="DN131" s="775"/>
      <c r="DO131" s="775"/>
      <c r="DP131" s="775"/>
      <c r="DQ131" s="775"/>
      <c r="DR131" s="775"/>
      <c r="DS131" s="775"/>
      <c r="DT131" s="451"/>
      <c r="DU131" s="766"/>
      <c r="DV131" s="775"/>
      <c r="DW131" s="775"/>
      <c r="DX131" s="775"/>
      <c r="DY131" s="775"/>
      <c r="DZ131" s="775"/>
      <c r="EA131" s="775"/>
      <c r="EB131" s="775"/>
      <c r="EC131" s="775"/>
      <c r="ED131" s="775"/>
      <c r="EE131" s="775"/>
      <c r="EF131" s="479"/>
      <c r="EG131" s="479"/>
      <c r="EH131" s="479"/>
      <c r="EI131" s="479"/>
      <c r="EJ131" s="479"/>
      <c r="EK131" s="479"/>
      <c r="EL131" s="479"/>
      <c r="EM131" s="479"/>
      <c r="EN131" s="479"/>
      <c r="EO131" s="479"/>
    </row>
    <row r="132" spans="1:145" s="746" customFormat="1" ht="14.4" hidden="1" x14ac:dyDescent="0.55000000000000004">
      <c r="E132" s="767">
        <v>2055</v>
      </c>
      <c r="F132" s="768">
        <v>9448.3957579999988</v>
      </c>
      <c r="G132" s="768">
        <v>1125.588565</v>
      </c>
      <c r="H132" s="768">
        <v>381.62152899999995</v>
      </c>
      <c r="I132" s="768">
        <v>4464.6710429999994</v>
      </c>
      <c r="J132" s="768">
        <v>2724.5710700000009</v>
      </c>
      <c r="K132" s="768">
        <v>751.94355099999984</v>
      </c>
      <c r="L132" s="768">
        <v>1254.8540909999999</v>
      </c>
      <c r="M132" s="768">
        <v>1709.7325970000002</v>
      </c>
      <c r="N132" s="768">
        <v>508.17776299999991</v>
      </c>
      <c r="O132" s="768">
        <v>412.22213599999998</v>
      </c>
      <c r="P132" s="493"/>
      <c r="Q132" s="767">
        <v>2055</v>
      </c>
      <c r="R132" s="768">
        <v>9448.3957579999988</v>
      </c>
      <c r="S132" s="768">
        <v>1125.588565</v>
      </c>
      <c r="T132" s="768">
        <v>381.62152899999995</v>
      </c>
      <c r="U132" s="768">
        <v>4464.6710429999994</v>
      </c>
      <c r="V132" s="768">
        <v>2724.5710700000009</v>
      </c>
      <c r="W132" s="768">
        <v>751.94355099999984</v>
      </c>
      <c r="X132" s="768">
        <v>1254.8540909999999</v>
      </c>
      <c r="Y132" s="768">
        <v>1709.7325970000002</v>
      </c>
      <c r="Z132" s="768">
        <v>508.17776299999991</v>
      </c>
      <c r="AA132" s="768">
        <v>412.22213599999998</v>
      </c>
      <c r="AB132" s="494"/>
      <c r="AC132" s="767">
        <v>2055</v>
      </c>
      <c r="AD132" s="768">
        <v>9448.3957579999988</v>
      </c>
      <c r="AE132" s="768">
        <v>1125.588565</v>
      </c>
      <c r="AF132" s="768">
        <v>381.62152899999995</v>
      </c>
      <c r="AG132" s="768">
        <v>4464.6710429999994</v>
      </c>
      <c r="AH132" s="768">
        <v>2724.5710700000009</v>
      </c>
      <c r="AI132" s="768">
        <v>751.94355099999984</v>
      </c>
      <c r="AJ132" s="768">
        <v>1254.8540909999999</v>
      </c>
      <c r="AK132" s="768">
        <v>1709.7325970000002</v>
      </c>
      <c r="AL132" s="768">
        <v>508.17776299999991</v>
      </c>
      <c r="AM132" s="768">
        <v>412.22213599999998</v>
      </c>
      <c r="AN132" s="493"/>
      <c r="AO132" s="769">
        <v>2055</v>
      </c>
      <c r="AP132" s="770">
        <v>9448.3957579999988</v>
      </c>
      <c r="AQ132" s="770">
        <v>1125.588565</v>
      </c>
      <c r="AR132" s="770">
        <v>381.62152899999995</v>
      </c>
      <c r="AS132" s="770">
        <v>4464.6710429999994</v>
      </c>
      <c r="AT132" s="770">
        <v>2724.5710700000009</v>
      </c>
      <c r="AU132" s="770">
        <v>751.94355099999984</v>
      </c>
      <c r="AV132" s="770">
        <v>1254.8540909999999</v>
      </c>
      <c r="AW132" s="770">
        <v>1709.7325970000002</v>
      </c>
      <c r="AX132" s="770">
        <v>508.17776299999991</v>
      </c>
      <c r="AY132" s="770">
        <v>412.22213599999998</v>
      </c>
      <c r="AZ132" s="778"/>
      <c r="BA132" s="484">
        <v>2055</v>
      </c>
      <c r="BB132" s="485">
        <v>9742.4170099999992</v>
      </c>
      <c r="BC132" s="485">
        <v>1133.420016</v>
      </c>
      <c r="BD132" s="485">
        <v>371.33780899999994</v>
      </c>
      <c r="BE132" s="485">
        <v>4495.490499999999</v>
      </c>
      <c r="BF132" s="485">
        <v>2955.4115940000006</v>
      </c>
      <c r="BG132" s="485">
        <v>786.75709100000006</v>
      </c>
      <c r="BH132" s="485">
        <v>1350.45398</v>
      </c>
      <c r="BI132" s="485">
        <v>1635.452313</v>
      </c>
      <c r="BJ132" s="485">
        <v>504.11646899999994</v>
      </c>
      <c r="BK132" s="485">
        <v>409.37034299999999</v>
      </c>
      <c r="BL132" s="477"/>
      <c r="BM132" s="486">
        <v>2055</v>
      </c>
      <c r="BN132" s="485">
        <v>9742.4170099999992</v>
      </c>
      <c r="BO132" s="485">
        <v>1133.420016</v>
      </c>
      <c r="BP132" s="485">
        <v>371.33780899999994</v>
      </c>
      <c r="BQ132" s="485">
        <v>4495.490499999999</v>
      </c>
      <c r="BR132" s="485">
        <v>2955.4115940000006</v>
      </c>
      <c r="BS132" s="485">
        <v>786.75709100000006</v>
      </c>
      <c r="BT132" s="485">
        <v>1350.45398</v>
      </c>
      <c r="BU132" s="485">
        <v>1635.452313</v>
      </c>
      <c r="BV132" s="485">
        <v>504.11646899999994</v>
      </c>
      <c r="BW132" s="485">
        <v>409.37034299999999</v>
      </c>
      <c r="BX132" s="476"/>
      <c r="BY132" s="769">
        <v>2055</v>
      </c>
      <c r="BZ132" s="770">
        <v>9943.5364840000002</v>
      </c>
      <c r="CA132" s="770">
        <v>1111.425677</v>
      </c>
      <c r="CB132" s="770">
        <v>379.87751200000002</v>
      </c>
      <c r="CC132" s="770">
        <v>4598.8816760000009</v>
      </c>
      <c r="CD132" s="770">
        <v>3064.4201269999985</v>
      </c>
      <c r="CE132" s="770">
        <v>788.93149200000016</v>
      </c>
      <c r="CF132" s="770">
        <v>1315.1481370000001</v>
      </c>
      <c r="CG132" s="770">
        <v>1729.3540600000001</v>
      </c>
      <c r="CH132" s="770">
        <v>491.70424300000002</v>
      </c>
      <c r="CI132" s="770">
        <v>396.12499600000001</v>
      </c>
      <c r="CJ132" s="779"/>
      <c r="CK132" s="495"/>
      <c r="CL132" s="495"/>
      <c r="CM132" s="495"/>
      <c r="CN132" s="495"/>
      <c r="CO132" s="495"/>
      <c r="CP132" s="495"/>
      <c r="CQ132" s="495"/>
      <c r="CR132" s="495"/>
      <c r="CS132" s="495"/>
      <c r="CT132" s="495"/>
      <c r="CU132" s="495"/>
      <c r="CV132" s="495"/>
      <c r="CW132" s="495"/>
      <c r="CX132" s="495"/>
      <c r="CY132" s="495"/>
      <c r="CZ132" s="495"/>
      <c r="DA132" s="495"/>
      <c r="DB132" s="495"/>
      <c r="DC132" s="495"/>
      <c r="DD132" s="495"/>
      <c r="DE132" s="495"/>
      <c r="DF132" s="495"/>
      <c r="DG132" s="495"/>
      <c r="DH132" s="495"/>
      <c r="DI132" s="766"/>
      <c r="DJ132" s="775"/>
      <c r="DK132" s="775"/>
      <c r="DL132" s="775"/>
      <c r="DM132" s="775"/>
      <c r="DN132" s="775"/>
      <c r="DO132" s="775"/>
      <c r="DP132" s="775"/>
      <c r="DQ132" s="775"/>
      <c r="DR132" s="775"/>
      <c r="DS132" s="775"/>
      <c r="DT132" s="495"/>
      <c r="DU132" s="766"/>
      <c r="DV132" s="775"/>
      <c r="DW132" s="775"/>
      <c r="DX132" s="775"/>
      <c r="DY132" s="775"/>
      <c r="DZ132" s="775"/>
      <c r="EA132" s="775"/>
      <c r="EB132" s="775"/>
      <c r="EC132" s="775"/>
      <c r="ED132" s="775"/>
      <c r="EE132" s="775"/>
      <c r="EF132" s="479"/>
      <c r="EG132" s="479"/>
      <c r="EH132" s="479"/>
      <c r="EI132" s="479"/>
      <c r="EJ132" s="479"/>
      <c r="EK132" s="479"/>
      <c r="EL132" s="479"/>
      <c r="EM132" s="479"/>
      <c r="EN132" s="479"/>
      <c r="EO132" s="479"/>
    </row>
    <row r="133" spans="1:145" s="746" customFormat="1" ht="14.4" hidden="1" x14ac:dyDescent="0.55000000000000004">
      <c r="E133" s="767">
        <v>2056</v>
      </c>
      <c r="F133" s="768">
        <v>9478.4276659999996</v>
      </c>
      <c r="G133" s="768">
        <v>1126.6198880000002</v>
      </c>
      <c r="H133" s="768">
        <v>380.42358800000011</v>
      </c>
      <c r="I133" s="768">
        <v>4460.2228609999993</v>
      </c>
      <c r="J133" s="768">
        <v>2759.0583650000012</v>
      </c>
      <c r="K133" s="768">
        <v>752.10296399999993</v>
      </c>
      <c r="L133" s="768">
        <v>1246.32662</v>
      </c>
      <c r="M133" s="768">
        <v>1712.1267479999999</v>
      </c>
      <c r="N133" s="768">
        <v>507.37201400000021</v>
      </c>
      <c r="O133" s="768">
        <v>414.00416300000001</v>
      </c>
      <c r="P133" s="496"/>
      <c r="Q133" s="767">
        <v>2056</v>
      </c>
      <c r="R133" s="768">
        <v>9478.4276659999996</v>
      </c>
      <c r="S133" s="768">
        <v>1126.6198880000002</v>
      </c>
      <c r="T133" s="768">
        <v>380.42358800000011</v>
      </c>
      <c r="U133" s="768">
        <v>4460.2228609999993</v>
      </c>
      <c r="V133" s="768">
        <v>2759.0583650000012</v>
      </c>
      <c r="W133" s="768">
        <v>752.10296399999993</v>
      </c>
      <c r="X133" s="768">
        <v>1246.32662</v>
      </c>
      <c r="Y133" s="768">
        <v>1712.1267479999999</v>
      </c>
      <c r="Z133" s="768">
        <v>507.37201400000021</v>
      </c>
      <c r="AA133" s="768">
        <v>414.00416300000001</v>
      </c>
      <c r="AB133" s="497"/>
      <c r="AC133" s="767">
        <v>2056</v>
      </c>
      <c r="AD133" s="768">
        <v>9478.4276659999996</v>
      </c>
      <c r="AE133" s="768">
        <v>1126.6198880000002</v>
      </c>
      <c r="AF133" s="768">
        <v>380.42358800000011</v>
      </c>
      <c r="AG133" s="768">
        <v>4460.2228609999993</v>
      </c>
      <c r="AH133" s="768">
        <v>2759.0583650000012</v>
      </c>
      <c r="AI133" s="768">
        <v>752.10296399999993</v>
      </c>
      <c r="AJ133" s="768">
        <v>1246.32662</v>
      </c>
      <c r="AK133" s="768">
        <v>1712.1267479999999</v>
      </c>
      <c r="AL133" s="768">
        <v>507.37201400000021</v>
      </c>
      <c r="AM133" s="768">
        <v>414.00416300000001</v>
      </c>
      <c r="AN133" s="496"/>
      <c r="AO133" s="769">
        <v>2056</v>
      </c>
      <c r="AP133" s="770">
        <v>9478.4276659999996</v>
      </c>
      <c r="AQ133" s="770">
        <v>1126.6198880000002</v>
      </c>
      <c r="AR133" s="770">
        <v>380.42358800000011</v>
      </c>
      <c r="AS133" s="770">
        <v>4460.2228609999993</v>
      </c>
      <c r="AT133" s="770">
        <v>2759.0583650000012</v>
      </c>
      <c r="AU133" s="770">
        <v>752.10296399999993</v>
      </c>
      <c r="AV133" s="770">
        <v>1246.32662</v>
      </c>
      <c r="AW133" s="770">
        <v>1712.1267479999999</v>
      </c>
      <c r="AX133" s="770">
        <v>507.37201400000021</v>
      </c>
      <c r="AY133" s="770">
        <v>414.00416300000001</v>
      </c>
      <c r="AZ133" s="780"/>
      <c r="BA133" s="484">
        <v>2056</v>
      </c>
      <c r="BB133" s="485">
        <v>9782.3468249999987</v>
      </c>
      <c r="BC133" s="485">
        <v>1134.7124260000001</v>
      </c>
      <c r="BD133" s="485">
        <v>369.89734799999997</v>
      </c>
      <c r="BE133" s="485">
        <v>4492.3755800000008</v>
      </c>
      <c r="BF133" s="485">
        <v>2997.7119399999992</v>
      </c>
      <c r="BG133" s="485">
        <v>787.64953100000002</v>
      </c>
      <c r="BH133" s="485">
        <v>1343.1389920000001</v>
      </c>
      <c r="BI133" s="485">
        <v>1637.6384580000001</v>
      </c>
      <c r="BJ133" s="485">
        <v>503.22927799999991</v>
      </c>
      <c r="BK133" s="485">
        <v>411.05977399999995</v>
      </c>
      <c r="BL133" s="499"/>
      <c r="BM133" s="486">
        <v>2056</v>
      </c>
      <c r="BN133" s="485">
        <v>9782.3468249999987</v>
      </c>
      <c r="BO133" s="485">
        <v>1134.7124260000001</v>
      </c>
      <c r="BP133" s="485">
        <v>369.89734799999997</v>
      </c>
      <c r="BQ133" s="485">
        <v>4492.3755800000008</v>
      </c>
      <c r="BR133" s="485">
        <v>2997.7119399999992</v>
      </c>
      <c r="BS133" s="485">
        <v>787.64953100000002</v>
      </c>
      <c r="BT133" s="485">
        <v>1343.1389920000001</v>
      </c>
      <c r="BU133" s="485">
        <v>1637.6384580000001</v>
      </c>
      <c r="BV133" s="485">
        <v>503.22927799999991</v>
      </c>
      <c r="BW133" s="485">
        <v>411.05977399999995</v>
      </c>
      <c r="BX133" s="498"/>
      <c r="BY133" s="769">
        <v>2056</v>
      </c>
      <c r="BZ133" s="770">
        <v>9988.6429629999984</v>
      </c>
      <c r="CA133" s="770">
        <v>1112.3746570000001</v>
      </c>
      <c r="CB133" s="770">
        <v>378.62938100000008</v>
      </c>
      <c r="CC133" s="770">
        <v>4598.5732649999982</v>
      </c>
      <c r="CD133" s="770">
        <v>3109.3460780000009</v>
      </c>
      <c r="CE133" s="770">
        <v>789.71958200000017</v>
      </c>
      <c r="CF133" s="770">
        <v>1307.8191320000001</v>
      </c>
      <c r="CG133" s="770">
        <v>1733.1838720000001</v>
      </c>
      <c r="CH133" s="770">
        <v>490.69370000000004</v>
      </c>
      <c r="CI133" s="770">
        <v>397.590014</v>
      </c>
      <c r="CJ133" s="781"/>
      <c r="CK133" s="479"/>
      <c r="CL133" s="479"/>
      <c r="CM133" s="479"/>
      <c r="CN133" s="479"/>
      <c r="CO133" s="479"/>
      <c r="CP133" s="479"/>
      <c r="CQ133" s="479"/>
      <c r="CR133" s="479"/>
      <c r="CS133" s="479"/>
      <c r="CT133" s="479"/>
      <c r="CU133" s="479"/>
      <c r="CV133" s="479"/>
      <c r="CW133" s="479"/>
      <c r="CX133" s="479"/>
      <c r="CY133" s="479"/>
      <c r="CZ133" s="479"/>
      <c r="DA133" s="479"/>
      <c r="DB133" s="479"/>
      <c r="DC133" s="479"/>
      <c r="DD133" s="479"/>
      <c r="DE133" s="479"/>
      <c r="DF133" s="479"/>
      <c r="DG133" s="479"/>
      <c r="DH133" s="479"/>
      <c r="DI133" s="766"/>
      <c r="DJ133" s="775"/>
      <c r="DK133" s="775"/>
      <c r="DL133" s="775"/>
      <c r="DM133" s="775"/>
      <c r="DN133" s="775"/>
      <c r="DO133" s="775"/>
      <c r="DP133" s="775"/>
      <c r="DQ133" s="775"/>
      <c r="DR133" s="775"/>
      <c r="DS133" s="775"/>
      <c r="DT133" s="479"/>
      <c r="DU133" s="766"/>
      <c r="DV133" s="775"/>
      <c r="DW133" s="775"/>
      <c r="DX133" s="775"/>
      <c r="DY133" s="775"/>
      <c r="DZ133" s="775"/>
      <c r="EA133" s="775"/>
      <c r="EB133" s="775"/>
      <c r="EC133" s="775"/>
      <c r="ED133" s="775"/>
      <c r="EE133" s="775"/>
      <c r="EF133" s="479"/>
      <c r="EG133" s="479"/>
      <c r="EH133" s="479"/>
      <c r="EI133" s="479"/>
      <c r="EJ133" s="479"/>
      <c r="EK133" s="479"/>
      <c r="EL133" s="479"/>
      <c r="EM133" s="479"/>
      <c r="EN133" s="479"/>
      <c r="EO133" s="479"/>
    </row>
    <row r="134" spans="1:145" s="746" customFormat="1" ht="14.4" hidden="1" x14ac:dyDescent="0.55000000000000004">
      <c r="E134" s="767">
        <v>2057</v>
      </c>
      <c r="F134" s="768">
        <v>9507.3426790000012</v>
      </c>
      <c r="G134" s="768">
        <v>1127.5965420000002</v>
      </c>
      <c r="H134" s="768">
        <v>379.20388700000007</v>
      </c>
      <c r="I134" s="768">
        <v>4455.0083509999995</v>
      </c>
      <c r="J134" s="768">
        <v>2793.3731180000013</v>
      </c>
      <c r="K134" s="768">
        <v>752.16078100000016</v>
      </c>
      <c r="L134" s="768">
        <v>1237.711515</v>
      </c>
      <c r="M134" s="768">
        <v>1714.1441810000001</v>
      </c>
      <c r="N134" s="768">
        <v>506.54067500000008</v>
      </c>
      <c r="O134" s="768">
        <v>415.77556500000003</v>
      </c>
      <c r="P134" s="496"/>
      <c r="Q134" s="767">
        <v>2057</v>
      </c>
      <c r="R134" s="768">
        <v>9507.3426790000012</v>
      </c>
      <c r="S134" s="768">
        <v>1127.5965420000002</v>
      </c>
      <c r="T134" s="768">
        <v>379.20388700000007</v>
      </c>
      <c r="U134" s="768">
        <v>4455.0083509999995</v>
      </c>
      <c r="V134" s="768">
        <v>2793.3731180000013</v>
      </c>
      <c r="W134" s="768">
        <v>752.16078100000016</v>
      </c>
      <c r="X134" s="768">
        <v>1237.711515</v>
      </c>
      <c r="Y134" s="768">
        <v>1714.1441810000001</v>
      </c>
      <c r="Z134" s="768">
        <v>506.54067500000008</v>
      </c>
      <c r="AA134" s="768">
        <v>415.77556500000003</v>
      </c>
      <c r="AB134" s="497"/>
      <c r="AC134" s="767">
        <v>2057</v>
      </c>
      <c r="AD134" s="768">
        <v>9507.3426790000012</v>
      </c>
      <c r="AE134" s="768">
        <v>1127.5965420000002</v>
      </c>
      <c r="AF134" s="768">
        <v>379.20388700000007</v>
      </c>
      <c r="AG134" s="768">
        <v>4455.0083509999995</v>
      </c>
      <c r="AH134" s="768">
        <v>2793.3731180000013</v>
      </c>
      <c r="AI134" s="768">
        <v>752.16078100000016</v>
      </c>
      <c r="AJ134" s="768">
        <v>1237.711515</v>
      </c>
      <c r="AK134" s="768">
        <v>1714.1441810000001</v>
      </c>
      <c r="AL134" s="768">
        <v>506.54067500000008</v>
      </c>
      <c r="AM134" s="768">
        <v>415.77556500000003</v>
      </c>
      <c r="AN134" s="496"/>
      <c r="AO134" s="769">
        <v>2057</v>
      </c>
      <c r="AP134" s="770">
        <v>9507.3426790000012</v>
      </c>
      <c r="AQ134" s="770">
        <v>1127.5965420000002</v>
      </c>
      <c r="AR134" s="770">
        <v>379.20388700000007</v>
      </c>
      <c r="AS134" s="770">
        <v>4455.0083509999995</v>
      </c>
      <c r="AT134" s="770">
        <v>2793.3731180000013</v>
      </c>
      <c r="AU134" s="770">
        <v>752.16078100000016</v>
      </c>
      <c r="AV134" s="770">
        <v>1237.711515</v>
      </c>
      <c r="AW134" s="770">
        <v>1714.1441810000001</v>
      </c>
      <c r="AX134" s="770">
        <v>506.54067500000008</v>
      </c>
      <c r="AY134" s="770">
        <v>415.77556500000003</v>
      </c>
      <c r="AZ134" s="780"/>
      <c r="BA134" s="484">
        <v>2057</v>
      </c>
      <c r="BB134" s="485">
        <v>9821.3090970000012</v>
      </c>
      <c r="BC134" s="485">
        <v>1135.9443930000002</v>
      </c>
      <c r="BD134" s="485">
        <v>368.43838799999997</v>
      </c>
      <c r="BE134" s="485">
        <v>4488.6102010000004</v>
      </c>
      <c r="BF134" s="485">
        <v>3039.9125069999991</v>
      </c>
      <c r="BG134" s="485">
        <v>788.40360800000008</v>
      </c>
      <c r="BH134" s="485">
        <v>1335.7350649999998</v>
      </c>
      <c r="BI134" s="485">
        <v>1639.5361950000001</v>
      </c>
      <c r="BJ134" s="485">
        <v>502.30901399999999</v>
      </c>
      <c r="BK134" s="485">
        <v>412.74481300000002</v>
      </c>
      <c r="BL134" s="499"/>
      <c r="BM134" s="486">
        <v>2057</v>
      </c>
      <c r="BN134" s="485">
        <v>9821.3090970000012</v>
      </c>
      <c r="BO134" s="485">
        <v>1135.9443930000002</v>
      </c>
      <c r="BP134" s="485">
        <v>368.43838799999997</v>
      </c>
      <c r="BQ134" s="485">
        <v>4488.6102010000004</v>
      </c>
      <c r="BR134" s="485">
        <v>3039.9125069999991</v>
      </c>
      <c r="BS134" s="485">
        <v>788.40360800000008</v>
      </c>
      <c r="BT134" s="485">
        <v>1335.7350649999998</v>
      </c>
      <c r="BU134" s="485">
        <v>1639.5361950000001</v>
      </c>
      <c r="BV134" s="485">
        <v>502.30901399999999</v>
      </c>
      <c r="BW134" s="485">
        <v>412.74481300000002</v>
      </c>
      <c r="BX134" s="498"/>
      <c r="BY134" s="769">
        <v>2057</v>
      </c>
      <c r="BZ134" s="770">
        <v>10032.614915</v>
      </c>
      <c r="CA134" s="770">
        <v>1113.2828500000001</v>
      </c>
      <c r="CB134" s="770">
        <v>377.34885100000002</v>
      </c>
      <c r="CC134" s="770">
        <v>4597.4317249999995</v>
      </c>
      <c r="CD134" s="770">
        <v>3154.1906460000005</v>
      </c>
      <c r="CE134" s="770">
        <v>790.36084299999982</v>
      </c>
      <c r="CF134" s="770">
        <v>1300.2686939999999</v>
      </c>
      <c r="CG134" s="770">
        <v>1736.685152</v>
      </c>
      <c r="CH134" s="770">
        <v>489.66093399999994</v>
      </c>
      <c r="CI134" s="770">
        <v>399.06177100000002</v>
      </c>
      <c r="CJ134" s="781"/>
      <c r="CK134" s="479"/>
      <c r="CL134" s="479"/>
      <c r="CM134" s="479"/>
      <c r="CN134" s="479"/>
      <c r="CO134" s="479"/>
      <c r="CP134" s="479"/>
      <c r="CQ134" s="479"/>
      <c r="CR134" s="479"/>
      <c r="CS134" s="479"/>
      <c r="CT134" s="479"/>
      <c r="CU134" s="479"/>
      <c r="CV134" s="479"/>
      <c r="CW134" s="479"/>
      <c r="CX134" s="479"/>
      <c r="CY134" s="479"/>
      <c r="CZ134" s="479"/>
      <c r="DA134" s="479"/>
      <c r="DB134" s="479"/>
      <c r="DC134" s="479"/>
      <c r="DD134" s="479"/>
      <c r="DE134" s="479"/>
      <c r="DF134" s="479"/>
      <c r="DG134" s="479"/>
      <c r="DH134" s="479"/>
      <c r="DI134" s="766"/>
      <c r="DJ134" s="775"/>
      <c r="DK134" s="775"/>
      <c r="DL134" s="775"/>
      <c r="DM134" s="775"/>
      <c r="DN134" s="775"/>
      <c r="DO134" s="775"/>
      <c r="DP134" s="775"/>
      <c r="DQ134" s="775"/>
      <c r="DR134" s="775"/>
      <c r="DS134" s="775"/>
      <c r="DT134" s="479"/>
      <c r="DU134" s="766"/>
      <c r="DV134" s="775"/>
      <c r="DW134" s="775"/>
      <c r="DX134" s="775"/>
      <c r="DY134" s="775"/>
      <c r="DZ134" s="775"/>
      <c r="EA134" s="775"/>
      <c r="EB134" s="775"/>
      <c r="EC134" s="775"/>
      <c r="ED134" s="775"/>
      <c r="EE134" s="775"/>
      <c r="EF134" s="479"/>
      <c r="EG134" s="479"/>
      <c r="EH134" s="479"/>
      <c r="EI134" s="479"/>
      <c r="EJ134" s="479"/>
      <c r="EK134" s="479"/>
      <c r="EL134" s="479"/>
      <c r="EM134" s="479"/>
      <c r="EN134" s="479"/>
      <c r="EO134" s="479"/>
    </row>
    <row r="135" spans="1:145" s="746" customFormat="1" ht="14.4" hidden="1" x14ac:dyDescent="0.55000000000000004">
      <c r="E135" s="767">
        <v>2058</v>
      </c>
      <c r="F135" s="768">
        <v>9535.1789040000003</v>
      </c>
      <c r="G135" s="768">
        <v>1128.528959</v>
      </c>
      <c r="H135" s="768">
        <v>377.96630600000009</v>
      </c>
      <c r="I135" s="768">
        <v>4449.0579150000003</v>
      </c>
      <c r="J135" s="768">
        <v>2827.5100760000005</v>
      </c>
      <c r="K135" s="768">
        <v>752.11564799999996</v>
      </c>
      <c r="L135" s="768">
        <v>1229.0281929999999</v>
      </c>
      <c r="M135" s="768">
        <v>1715.7880249999998</v>
      </c>
      <c r="N135" s="768">
        <v>505.69091500000002</v>
      </c>
      <c r="O135" s="768">
        <v>417.538703</v>
      </c>
      <c r="P135" s="496"/>
      <c r="Q135" s="767">
        <v>2058</v>
      </c>
      <c r="R135" s="768">
        <v>9535.1789040000003</v>
      </c>
      <c r="S135" s="768">
        <v>1128.528959</v>
      </c>
      <c r="T135" s="768">
        <v>377.96630600000009</v>
      </c>
      <c r="U135" s="768">
        <v>4449.0579150000003</v>
      </c>
      <c r="V135" s="768">
        <v>2827.5100760000005</v>
      </c>
      <c r="W135" s="768">
        <v>752.11564799999996</v>
      </c>
      <c r="X135" s="768">
        <v>1229.0281929999999</v>
      </c>
      <c r="Y135" s="768">
        <v>1715.7880249999998</v>
      </c>
      <c r="Z135" s="768">
        <v>505.69091500000002</v>
      </c>
      <c r="AA135" s="768">
        <v>417.538703</v>
      </c>
      <c r="AB135" s="497"/>
      <c r="AC135" s="767">
        <v>2058</v>
      </c>
      <c r="AD135" s="768">
        <v>9535.1789040000003</v>
      </c>
      <c r="AE135" s="768">
        <v>1128.528959</v>
      </c>
      <c r="AF135" s="768">
        <v>377.96630600000009</v>
      </c>
      <c r="AG135" s="768">
        <v>4449.0579150000003</v>
      </c>
      <c r="AH135" s="768">
        <v>2827.5100760000005</v>
      </c>
      <c r="AI135" s="768">
        <v>752.11564799999996</v>
      </c>
      <c r="AJ135" s="768">
        <v>1229.0281929999999</v>
      </c>
      <c r="AK135" s="768">
        <v>1715.7880249999998</v>
      </c>
      <c r="AL135" s="768">
        <v>505.69091500000002</v>
      </c>
      <c r="AM135" s="768">
        <v>417.538703</v>
      </c>
      <c r="AN135" s="496"/>
      <c r="AO135" s="769">
        <v>2058</v>
      </c>
      <c r="AP135" s="770">
        <v>9535.1789040000003</v>
      </c>
      <c r="AQ135" s="770">
        <v>1128.528959</v>
      </c>
      <c r="AR135" s="770">
        <v>377.96630600000009</v>
      </c>
      <c r="AS135" s="770">
        <v>4449.0579150000003</v>
      </c>
      <c r="AT135" s="770">
        <v>2827.5100760000005</v>
      </c>
      <c r="AU135" s="770">
        <v>752.11564799999996</v>
      </c>
      <c r="AV135" s="770">
        <v>1229.0281929999999</v>
      </c>
      <c r="AW135" s="770">
        <v>1715.7880249999998</v>
      </c>
      <c r="AX135" s="770">
        <v>505.69091500000002</v>
      </c>
      <c r="AY135" s="770">
        <v>417.538703</v>
      </c>
      <c r="AZ135" s="780"/>
      <c r="BA135" s="484">
        <v>2058</v>
      </c>
      <c r="BB135" s="485">
        <v>9859.3379750000004</v>
      </c>
      <c r="BC135" s="485">
        <v>1137.1204229999998</v>
      </c>
      <c r="BD135" s="485">
        <v>366.96467199999995</v>
      </c>
      <c r="BE135" s="485">
        <v>4484.2315920000001</v>
      </c>
      <c r="BF135" s="485">
        <v>3082.0001089999992</v>
      </c>
      <c r="BG135" s="485">
        <v>789.02117900000007</v>
      </c>
      <c r="BH135" s="485">
        <v>1328.2725290000001</v>
      </c>
      <c r="BI135" s="485">
        <v>1641.147614</v>
      </c>
      <c r="BJ135" s="485">
        <v>501.36182399999996</v>
      </c>
      <c r="BK135" s="485">
        <v>414.42468400000001</v>
      </c>
      <c r="BL135" s="499"/>
      <c r="BM135" s="486">
        <v>2058</v>
      </c>
      <c r="BN135" s="485">
        <v>9859.3379750000004</v>
      </c>
      <c r="BO135" s="485">
        <v>1137.1204229999998</v>
      </c>
      <c r="BP135" s="485">
        <v>366.96467199999995</v>
      </c>
      <c r="BQ135" s="485">
        <v>4484.2315920000001</v>
      </c>
      <c r="BR135" s="485">
        <v>3082.0001089999992</v>
      </c>
      <c r="BS135" s="485">
        <v>789.02117900000007</v>
      </c>
      <c r="BT135" s="485">
        <v>1328.2725290000001</v>
      </c>
      <c r="BU135" s="485">
        <v>1641.147614</v>
      </c>
      <c r="BV135" s="485">
        <v>501.36182399999996</v>
      </c>
      <c r="BW135" s="485">
        <v>414.42468400000001</v>
      </c>
      <c r="BX135" s="498"/>
      <c r="BY135" s="769">
        <v>2058</v>
      </c>
      <c r="BZ135" s="770">
        <v>10075.494779000001</v>
      </c>
      <c r="CA135" s="770">
        <v>1114.1535839999999</v>
      </c>
      <c r="CB135" s="770">
        <v>376.03825499999999</v>
      </c>
      <c r="CC135" s="770">
        <v>4595.5045570000011</v>
      </c>
      <c r="CD135" s="770">
        <v>3198.9424490000006</v>
      </c>
      <c r="CE135" s="770">
        <v>790.85593400000016</v>
      </c>
      <c r="CF135" s="770">
        <v>1292.539859</v>
      </c>
      <c r="CG135" s="770">
        <v>1739.854188</v>
      </c>
      <c r="CH135" s="770">
        <v>488.61086499999999</v>
      </c>
      <c r="CI135" s="770">
        <v>400.53923300000002</v>
      </c>
      <c r="CJ135" s="781"/>
      <c r="CK135" s="479"/>
      <c r="CL135" s="479"/>
      <c r="CM135" s="479"/>
      <c r="CN135" s="479"/>
      <c r="CO135" s="479"/>
      <c r="CP135" s="479"/>
      <c r="CQ135" s="479"/>
      <c r="CR135" s="479"/>
      <c r="CS135" s="479"/>
      <c r="CT135" s="479"/>
      <c r="CU135" s="479"/>
      <c r="CV135" s="479"/>
      <c r="CW135" s="479"/>
      <c r="CX135" s="479"/>
      <c r="CY135" s="479"/>
      <c r="CZ135" s="479"/>
      <c r="DA135" s="479"/>
      <c r="DB135" s="479"/>
      <c r="DC135" s="479"/>
      <c r="DD135" s="479"/>
      <c r="DE135" s="479"/>
      <c r="DF135" s="479"/>
      <c r="DG135" s="479"/>
      <c r="DH135" s="479"/>
      <c r="DI135" s="766"/>
      <c r="DJ135" s="775"/>
      <c r="DK135" s="775"/>
      <c r="DL135" s="775"/>
      <c r="DM135" s="775"/>
      <c r="DN135" s="775"/>
      <c r="DO135" s="775"/>
      <c r="DP135" s="775"/>
      <c r="DQ135" s="775"/>
      <c r="DR135" s="775"/>
      <c r="DS135" s="775"/>
      <c r="DT135" s="479"/>
      <c r="DU135" s="766"/>
      <c r="DV135" s="775"/>
      <c r="DW135" s="775"/>
      <c r="DX135" s="775"/>
      <c r="DY135" s="775"/>
      <c r="DZ135" s="775"/>
      <c r="EA135" s="775"/>
      <c r="EB135" s="775"/>
      <c r="EC135" s="775"/>
      <c r="ED135" s="775"/>
      <c r="EE135" s="775"/>
      <c r="EF135" s="479"/>
      <c r="EG135" s="479"/>
      <c r="EH135" s="479"/>
      <c r="EI135" s="479"/>
      <c r="EJ135" s="479"/>
      <c r="EK135" s="479"/>
      <c r="EL135" s="479"/>
      <c r="EM135" s="479"/>
      <c r="EN135" s="479"/>
      <c r="EO135" s="479"/>
    </row>
    <row r="136" spans="1:145" s="746" customFormat="1" ht="14.4" hidden="1" x14ac:dyDescent="0.55000000000000004">
      <c r="E136" s="767">
        <v>2059</v>
      </c>
      <c r="F136" s="768">
        <v>9561.9791710000009</v>
      </c>
      <c r="G136" s="768">
        <v>1129.4288549999999</v>
      </c>
      <c r="H136" s="768">
        <v>376.71558299999998</v>
      </c>
      <c r="I136" s="768">
        <v>4442.404512000001</v>
      </c>
      <c r="J136" s="768">
        <v>2861.4663719999994</v>
      </c>
      <c r="K136" s="768">
        <v>751.96384899999998</v>
      </c>
      <c r="L136" s="768">
        <v>1220.2971649999999</v>
      </c>
      <c r="M136" s="768">
        <v>1717.0615849999999</v>
      </c>
      <c r="N136" s="768">
        <v>504.83083699999992</v>
      </c>
      <c r="O136" s="768">
        <v>419.29618499999998</v>
      </c>
      <c r="P136" s="496"/>
      <c r="Q136" s="767">
        <v>2059</v>
      </c>
      <c r="R136" s="768">
        <v>9561.9791710000009</v>
      </c>
      <c r="S136" s="768">
        <v>1129.4288549999999</v>
      </c>
      <c r="T136" s="768">
        <v>376.71558299999998</v>
      </c>
      <c r="U136" s="768">
        <v>4442.404512000001</v>
      </c>
      <c r="V136" s="768">
        <v>2861.4663719999994</v>
      </c>
      <c r="W136" s="768">
        <v>751.96384899999998</v>
      </c>
      <c r="X136" s="768">
        <v>1220.2971649999999</v>
      </c>
      <c r="Y136" s="768">
        <v>1717.0615849999999</v>
      </c>
      <c r="Z136" s="768">
        <v>504.83083699999992</v>
      </c>
      <c r="AA136" s="768">
        <v>419.29618499999998</v>
      </c>
      <c r="AB136" s="497"/>
      <c r="AC136" s="767">
        <v>2059</v>
      </c>
      <c r="AD136" s="768">
        <v>9561.9791710000009</v>
      </c>
      <c r="AE136" s="768">
        <v>1129.4288549999999</v>
      </c>
      <c r="AF136" s="768">
        <v>376.71558299999998</v>
      </c>
      <c r="AG136" s="768">
        <v>4442.404512000001</v>
      </c>
      <c r="AH136" s="768">
        <v>2861.4663719999994</v>
      </c>
      <c r="AI136" s="768">
        <v>751.96384899999998</v>
      </c>
      <c r="AJ136" s="768">
        <v>1220.2971649999999</v>
      </c>
      <c r="AK136" s="768">
        <v>1717.0615849999999</v>
      </c>
      <c r="AL136" s="768">
        <v>504.83083699999992</v>
      </c>
      <c r="AM136" s="768">
        <v>419.29618499999998</v>
      </c>
      <c r="AN136" s="496"/>
      <c r="AO136" s="769">
        <v>2059</v>
      </c>
      <c r="AP136" s="770">
        <v>9561.9791710000009</v>
      </c>
      <c r="AQ136" s="770">
        <v>1129.4288549999999</v>
      </c>
      <c r="AR136" s="770">
        <v>376.71558299999998</v>
      </c>
      <c r="AS136" s="770">
        <v>4442.404512000001</v>
      </c>
      <c r="AT136" s="770">
        <v>2861.4663719999994</v>
      </c>
      <c r="AU136" s="770">
        <v>751.96384899999998</v>
      </c>
      <c r="AV136" s="770">
        <v>1220.2971649999999</v>
      </c>
      <c r="AW136" s="770">
        <v>1717.0615849999999</v>
      </c>
      <c r="AX136" s="770">
        <v>504.83083699999992</v>
      </c>
      <c r="AY136" s="770">
        <v>419.29618499999998</v>
      </c>
      <c r="AZ136" s="780"/>
      <c r="BA136" s="484">
        <v>2059</v>
      </c>
      <c r="BB136" s="485">
        <v>9896.4728070000001</v>
      </c>
      <c r="BC136" s="485">
        <v>1138.2455629999999</v>
      </c>
      <c r="BD136" s="485">
        <v>365.4807800000001</v>
      </c>
      <c r="BE136" s="485">
        <v>4479.2794469999999</v>
      </c>
      <c r="BF136" s="485">
        <v>3123.9628250000005</v>
      </c>
      <c r="BG136" s="485">
        <v>789.50419199999999</v>
      </c>
      <c r="BH136" s="485">
        <v>1320.784866</v>
      </c>
      <c r="BI136" s="485">
        <v>1642.4741939999999</v>
      </c>
      <c r="BJ136" s="485">
        <v>500.39509600000008</v>
      </c>
      <c r="BK136" s="485">
        <v>416.09819699999997</v>
      </c>
      <c r="BL136" s="499"/>
      <c r="BM136" s="486">
        <v>2059</v>
      </c>
      <c r="BN136" s="485">
        <v>9896.4728070000001</v>
      </c>
      <c r="BO136" s="485">
        <v>1138.2455629999999</v>
      </c>
      <c r="BP136" s="485">
        <v>365.4807800000001</v>
      </c>
      <c r="BQ136" s="485">
        <v>4479.2794469999999</v>
      </c>
      <c r="BR136" s="485">
        <v>3123.9628250000005</v>
      </c>
      <c r="BS136" s="485">
        <v>789.50419199999999</v>
      </c>
      <c r="BT136" s="485">
        <v>1320.784866</v>
      </c>
      <c r="BU136" s="485">
        <v>1642.4741939999999</v>
      </c>
      <c r="BV136" s="485">
        <v>500.39509600000008</v>
      </c>
      <c r="BW136" s="485">
        <v>416.09819699999997</v>
      </c>
      <c r="BX136" s="498"/>
      <c r="BY136" s="769">
        <v>2059</v>
      </c>
      <c r="BZ136" s="770">
        <v>10117.339215</v>
      </c>
      <c r="CA136" s="770">
        <v>1114.9900609999997</v>
      </c>
      <c r="CB136" s="770">
        <v>374.70085099999994</v>
      </c>
      <c r="CC136" s="770">
        <v>4592.8509439999998</v>
      </c>
      <c r="CD136" s="770">
        <v>3243.5918099999999</v>
      </c>
      <c r="CE136" s="770">
        <v>791.20554900000002</v>
      </c>
      <c r="CF136" s="770">
        <v>1284.687318</v>
      </c>
      <c r="CG136" s="770">
        <v>1742.6868999999999</v>
      </c>
      <c r="CH136" s="770">
        <v>487.54902600000003</v>
      </c>
      <c r="CI136" s="770">
        <v>402.02050000000003</v>
      </c>
      <c r="CJ136" s="781"/>
      <c r="CK136" s="479"/>
      <c r="CL136" s="479"/>
      <c r="CM136" s="479"/>
      <c r="CN136" s="479"/>
      <c r="CO136" s="479"/>
      <c r="CP136" s="479"/>
      <c r="CQ136" s="479"/>
      <c r="CR136" s="479"/>
      <c r="CS136" s="479"/>
      <c r="CT136" s="479"/>
      <c r="CU136" s="479"/>
      <c r="CV136" s="479"/>
      <c r="CW136" s="479"/>
      <c r="CX136" s="479"/>
      <c r="CY136" s="479"/>
      <c r="CZ136" s="479"/>
      <c r="DA136" s="479"/>
      <c r="DB136" s="479"/>
      <c r="DC136" s="479"/>
      <c r="DD136" s="479"/>
      <c r="DE136" s="479"/>
      <c r="DF136" s="479"/>
      <c r="DG136" s="479"/>
      <c r="DH136" s="479"/>
      <c r="DI136" s="766"/>
      <c r="DJ136" s="775"/>
      <c r="DK136" s="775"/>
      <c r="DL136" s="775"/>
      <c r="DM136" s="775"/>
      <c r="DN136" s="775"/>
      <c r="DO136" s="775"/>
      <c r="DP136" s="775"/>
      <c r="DQ136" s="775"/>
      <c r="DR136" s="775"/>
      <c r="DS136" s="775"/>
      <c r="DT136" s="479"/>
      <c r="DU136" s="766"/>
      <c r="DV136" s="775"/>
      <c r="DW136" s="775"/>
      <c r="DX136" s="775"/>
      <c r="DY136" s="775"/>
      <c r="DZ136" s="775"/>
      <c r="EA136" s="775"/>
      <c r="EB136" s="775"/>
      <c r="EC136" s="775"/>
      <c r="ED136" s="775"/>
      <c r="EE136" s="775"/>
      <c r="EF136" s="479"/>
      <c r="EG136" s="479"/>
      <c r="EH136" s="479"/>
      <c r="EI136" s="479"/>
      <c r="EJ136" s="479"/>
      <c r="EK136" s="479"/>
      <c r="EL136" s="479"/>
      <c r="EM136" s="479"/>
      <c r="EN136" s="479"/>
      <c r="EO136" s="479"/>
    </row>
    <row r="137" spans="1:145" s="746" customFormat="1" ht="14.4" hidden="1" x14ac:dyDescent="0.55000000000000004">
      <c r="E137" s="767">
        <v>2060</v>
      </c>
      <c r="F137" s="768">
        <v>9587.7837080000008</v>
      </c>
      <c r="G137" s="768">
        <v>1130.306527</v>
      </c>
      <c r="H137" s="768">
        <v>375.45617900000002</v>
      </c>
      <c r="I137" s="768">
        <v>4435.080081000001</v>
      </c>
      <c r="J137" s="768">
        <v>2895.2377330000004</v>
      </c>
      <c r="K137" s="768">
        <v>751.70318799999995</v>
      </c>
      <c r="L137" s="768">
        <v>1211.537822</v>
      </c>
      <c r="M137" s="768">
        <v>1717.9688000000001</v>
      </c>
      <c r="N137" s="768">
        <v>503.9678770000001</v>
      </c>
      <c r="O137" s="768">
        <v>421.04989799999998</v>
      </c>
      <c r="P137" s="496"/>
      <c r="Q137" s="767">
        <v>2060</v>
      </c>
      <c r="R137" s="768">
        <v>9587.7837080000008</v>
      </c>
      <c r="S137" s="768">
        <v>1130.306527</v>
      </c>
      <c r="T137" s="768">
        <v>375.45617900000002</v>
      </c>
      <c r="U137" s="768">
        <v>4435.080081000001</v>
      </c>
      <c r="V137" s="768">
        <v>2895.2377330000004</v>
      </c>
      <c r="W137" s="768">
        <v>751.70318799999995</v>
      </c>
      <c r="X137" s="768">
        <v>1211.537822</v>
      </c>
      <c r="Y137" s="768">
        <v>1717.9688000000001</v>
      </c>
      <c r="Z137" s="768">
        <v>503.9678770000001</v>
      </c>
      <c r="AA137" s="768">
        <v>421.04989799999998</v>
      </c>
      <c r="AB137" s="497"/>
      <c r="AC137" s="767">
        <v>2060</v>
      </c>
      <c r="AD137" s="768">
        <v>9587.7837080000008</v>
      </c>
      <c r="AE137" s="768">
        <v>1130.306527</v>
      </c>
      <c r="AF137" s="768">
        <v>375.45617900000002</v>
      </c>
      <c r="AG137" s="768">
        <v>4435.080081000001</v>
      </c>
      <c r="AH137" s="768">
        <v>2895.2377330000004</v>
      </c>
      <c r="AI137" s="768">
        <v>751.70318799999995</v>
      </c>
      <c r="AJ137" s="768">
        <v>1211.537822</v>
      </c>
      <c r="AK137" s="768">
        <v>1717.9688000000001</v>
      </c>
      <c r="AL137" s="768">
        <v>503.9678770000001</v>
      </c>
      <c r="AM137" s="768">
        <v>421.04989799999998</v>
      </c>
      <c r="AN137" s="496"/>
      <c r="AO137" s="769">
        <v>2060</v>
      </c>
      <c r="AP137" s="770">
        <v>9587.7837080000008</v>
      </c>
      <c r="AQ137" s="770">
        <v>1130.306527</v>
      </c>
      <c r="AR137" s="770">
        <v>375.45617900000002</v>
      </c>
      <c r="AS137" s="770">
        <v>4435.080081000001</v>
      </c>
      <c r="AT137" s="770">
        <v>2895.2377330000004</v>
      </c>
      <c r="AU137" s="770">
        <v>751.70318799999995</v>
      </c>
      <c r="AV137" s="770">
        <v>1211.537822</v>
      </c>
      <c r="AW137" s="770">
        <v>1717.9688000000001</v>
      </c>
      <c r="AX137" s="770">
        <v>503.9678770000001</v>
      </c>
      <c r="AY137" s="770">
        <v>421.04989799999998</v>
      </c>
      <c r="AZ137" s="780"/>
      <c r="BA137" s="484">
        <v>2060</v>
      </c>
      <c r="BB137" s="485">
        <v>9932.747202999999</v>
      </c>
      <c r="BC137" s="485">
        <v>1139.3242539999999</v>
      </c>
      <c r="BD137" s="485">
        <v>363.99089599999996</v>
      </c>
      <c r="BE137" s="485">
        <v>4473.7893530000001</v>
      </c>
      <c r="BF137" s="485">
        <v>3165.7878409999994</v>
      </c>
      <c r="BG137" s="485">
        <v>789.85485899999969</v>
      </c>
      <c r="BH137" s="485">
        <v>1313.2996370000001</v>
      </c>
      <c r="BI137" s="485">
        <v>1643.5188910000002</v>
      </c>
      <c r="BJ137" s="485">
        <v>499.41553900000008</v>
      </c>
      <c r="BK137" s="485">
        <v>417.76390600000002</v>
      </c>
      <c r="BL137" s="499"/>
      <c r="BM137" s="486">
        <v>2060</v>
      </c>
      <c r="BN137" s="485">
        <v>9932.747202999999</v>
      </c>
      <c r="BO137" s="485">
        <v>1139.3242539999999</v>
      </c>
      <c r="BP137" s="485">
        <v>363.99089599999996</v>
      </c>
      <c r="BQ137" s="485">
        <v>4473.7893530000001</v>
      </c>
      <c r="BR137" s="485">
        <v>3165.7878409999994</v>
      </c>
      <c r="BS137" s="485">
        <v>789.85485899999969</v>
      </c>
      <c r="BT137" s="485">
        <v>1313.2996370000001</v>
      </c>
      <c r="BU137" s="485">
        <v>1643.5188910000002</v>
      </c>
      <c r="BV137" s="485">
        <v>499.41553900000008</v>
      </c>
      <c r="BW137" s="485">
        <v>417.76390600000002</v>
      </c>
      <c r="BX137" s="498"/>
      <c r="BY137" s="769">
        <v>2060</v>
      </c>
      <c r="BZ137" s="770">
        <v>10158.199411</v>
      </c>
      <c r="CA137" s="770">
        <v>1115.7955620000002</v>
      </c>
      <c r="CB137" s="770">
        <v>373.34031300000009</v>
      </c>
      <c r="CC137" s="770">
        <v>4589.5241779999997</v>
      </c>
      <c r="CD137" s="770">
        <v>3288.1285910000001</v>
      </c>
      <c r="CE137" s="770">
        <v>791.41076699999996</v>
      </c>
      <c r="CF137" s="770">
        <v>1276.7570470000001</v>
      </c>
      <c r="CG137" s="770">
        <v>1745.1824059999999</v>
      </c>
      <c r="CH137" s="770">
        <v>486.48079800000005</v>
      </c>
      <c r="CI137" s="770">
        <v>403.50368400000002</v>
      </c>
      <c r="CJ137" s="781"/>
      <c r="CK137" s="479"/>
      <c r="CL137" s="479"/>
      <c r="CM137" s="479"/>
      <c r="CN137" s="479"/>
      <c r="CO137" s="479"/>
      <c r="CP137" s="479"/>
      <c r="CQ137" s="479"/>
      <c r="CR137" s="479"/>
      <c r="CS137" s="479"/>
      <c r="CT137" s="479"/>
      <c r="CU137" s="479"/>
      <c r="CV137" s="479"/>
      <c r="CW137" s="479"/>
      <c r="CX137" s="479"/>
      <c r="CY137" s="479"/>
      <c r="CZ137" s="479"/>
      <c r="DA137" s="479"/>
      <c r="DB137" s="479"/>
      <c r="DC137" s="479"/>
      <c r="DD137" s="479"/>
      <c r="DE137" s="479"/>
      <c r="DF137" s="479"/>
      <c r="DG137" s="479"/>
      <c r="DH137" s="479"/>
      <c r="DI137" s="766"/>
      <c r="DJ137" s="775"/>
      <c r="DK137" s="775"/>
      <c r="DL137" s="775"/>
      <c r="DM137" s="775"/>
      <c r="DN137" s="775"/>
      <c r="DO137" s="775"/>
      <c r="DP137" s="775"/>
      <c r="DQ137" s="775"/>
      <c r="DR137" s="775"/>
      <c r="DS137" s="775"/>
      <c r="DT137" s="479"/>
      <c r="DU137" s="766"/>
      <c r="DV137" s="775"/>
      <c r="DW137" s="775"/>
      <c r="DX137" s="775"/>
      <c r="DY137" s="775"/>
      <c r="DZ137" s="775"/>
      <c r="EA137" s="775"/>
      <c r="EB137" s="775"/>
      <c r="EC137" s="775"/>
      <c r="ED137" s="775"/>
      <c r="EE137" s="775"/>
      <c r="EF137" s="479"/>
      <c r="EG137" s="479"/>
      <c r="EH137" s="479"/>
      <c r="EI137" s="479"/>
      <c r="EJ137" s="479"/>
      <c r="EK137" s="479"/>
      <c r="EL137" s="479"/>
      <c r="EM137" s="479"/>
      <c r="EN137" s="479"/>
      <c r="EO137" s="479"/>
    </row>
    <row r="138" spans="1:145" s="746" customFormat="1" ht="14.4" hidden="1" x14ac:dyDescent="0.55000000000000004">
      <c r="E138" s="500"/>
      <c r="F138" s="501"/>
      <c r="G138" s="502"/>
      <c r="H138" s="502"/>
      <c r="I138" s="502"/>
      <c r="J138" s="502"/>
      <c r="K138" s="502"/>
      <c r="L138" s="502"/>
      <c r="M138" s="502"/>
      <c r="N138" s="502"/>
      <c r="O138" s="502"/>
      <c r="P138" s="503"/>
      <c r="Q138" s="502"/>
      <c r="R138" s="502"/>
      <c r="S138" s="502"/>
      <c r="T138" s="502"/>
      <c r="U138" s="502"/>
      <c r="V138" s="502"/>
      <c r="W138" s="502"/>
      <c r="X138" s="502"/>
      <c r="Y138" s="502"/>
      <c r="Z138" s="502"/>
      <c r="AA138" s="502"/>
      <c r="AB138" s="502"/>
      <c r="AC138" s="500"/>
      <c r="AD138" s="502"/>
      <c r="AE138" s="502"/>
      <c r="AF138" s="502"/>
      <c r="AG138" s="502"/>
      <c r="AH138" s="502"/>
      <c r="AI138" s="502"/>
      <c r="AJ138" s="502"/>
      <c r="AK138" s="502"/>
      <c r="AL138" s="502"/>
      <c r="AM138" s="502"/>
      <c r="AN138" s="503"/>
      <c r="AO138" s="782"/>
      <c r="AP138" s="783"/>
      <c r="AQ138" s="783"/>
      <c r="AR138" s="783"/>
      <c r="AS138" s="783"/>
      <c r="AT138" s="783"/>
      <c r="AU138" s="783"/>
      <c r="AV138" s="783"/>
      <c r="AW138" s="784"/>
      <c r="AX138" s="784"/>
      <c r="AY138" s="784"/>
      <c r="AZ138" s="785"/>
      <c r="BA138" s="505"/>
      <c r="BB138" s="505"/>
      <c r="BC138" s="505"/>
      <c r="BD138" s="505"/>
      <c r="BE138" s="505"/>
      <c r="BF138" s="505"/>
      <c r="BG138" s="505"/>
      <c r="BH138" s="505"/>
      <c r="BI138" s="505"/>
      <c r="BJ138" s="505"/>
      <c r="BK138" s="505"/>
      <c r="BL138" s="505"/>
      <c r="BM138" s="504"/>
      <c r="BN138" s="505"/>
      <c r="BO138" s="505"/>
      <c r="BP138" s="505"/>
      <c r="BQ138" s="505"/>
      <c r="BR138" s="505"/>
      <c r="BS138" s="505"/>
      <c r="BT138" s="505"/>
      <c r="BU138" s="505"/>
      <c r="BV138" s="505"/>
      <c r="BW138" s="505"/>
      <c r="BX138" s="506"/>
      <c r="BY138" s="782"/>
      <c r="BZ138" s="783"/>
      <c r="CA138" s="783"/>
      <c r="CB138" s="783"/>
      <c r="CC138" s="783"/>
      <c r="CD138" s="783"/>
      <c r="CE138" s="783"/>
      <c r="CF138" s="783"/>
      <c r="CG138" s="783"/>
      <c r="CH138" s="783"/>
      <c r="CI138" s="783"/>
      <c r="CJ138" s="785"/>
      <c r="CK138" s="479"/>
      <c r="CL138" s="479"/>
      <c r="CM138" s="479"/>
      <c r="CN138" s="479"/>
      <c r="CO138" s="479"/>
      <c r="CP138" s="479"/>
      <c r="CQ138" s="479"/>
      <c r="CR138" s="479"/>
      <c r="CS138" s="479"/>
      <c r="CT138" s="479"/>
      <c r="CU138" s="479"/>
      <c r="CV138" s="479"/>
      <c r="CW138" s="479"/>
      <c r="CX138" s="479"/>
      <c r="CY138" s="479"/>
      <c r="CZ138" s="479"/>
      <c r="DA138" s="479"/>
      <c r="DB138" s="479"/>
      <c r="DC138" s="479"/>
      <c r="DD138" s="479"/>
      <c r="DE138" s="479"/>
      <c r="DF138" s="479"/>
      <c r="DG138" s="479"/>
      <c r="DH138" s="479"/>
      <c r="DI138" s="479"/>
      <c r="DJ138" s="479"/>
      <c r="DK138" s="479"/>
      <c r="DL138" s="479"/>
      <c r="DM138" s="479"/>
      <c r="DN138" s="479"/>
      <c r="DO138" s="479"/>
      <c r="DP138" s="479"/>
      <c r="DQ138" s="479"/>
      <c r="DR138" s="479"/>
      <c r="DS138" s="479"/>
      <c r="DT138" s="479"/>
      <c r="DU138" s="479"/>
      <c r="DV138" s="479"/>
      <c r="DW138" s="479"/>
      <c r="DX138" s="479"/>
      <c r="DY138" s="479"/>
      <c r="DZ138" s="479"/>
      <c r="EA138" s="479"/>
      <c r="EB138" s="479"/>
      <c r="EC138" s="479"/>
      <c r="ED138" s="479"/>
      <c r="EE138" s="479"/>
      <c r="EF138" s="479"/>
      <c r="EG138" s="479"/>
      <c r="EH138" s="479"/>
      <c r="EI138" s="479"/>
      <c r="EJ138" s="479"/>
      <c r="EK138" s="479"/>
      <c r="EL138" s="479"/>
      <c r="EM138" s="479"/>
      <c r="EN138" s="479"/>
      <c r="EO138" s="479"/>
    </row>
    <row r="139" spans="1:145" s="746" customFormat="1" hidden="1" x14ac:dyDescent="0.4">
      <c r="E139" s="507" t="s">
        <v>259</v>
      </c>
      <c r="F139" s="507"/>
      <c r="G139" s="507"/>
      <c r="H139" s="507"/>
      <c r="I139" s="507"/>
      <c r="J139" s="507"/>
      <c r="K139" s="507"/>
      <c r="L139" s="507"/>
      <c r="M139" s="507"/>
      <c r="N139" s="507"/>
      <c r="O139" s="507"/>
      <c r="P139" s="507"/>
      <c r="Q139" s="507" t="s">
        <v>259</v>
      </c>
      <c r="R139" s="507"/>
      <c r="S139" s="507"/>
      <c r="T139" s="507"/>
      <c r="U139" s="507"/>
      <c r="V139" s="507"/>
      <c r="W139" s="507"/>
      <c r="X139" s="507"/>
      <c r="Y139" s="507"/>
      <c r="Z139" s="507"/>
      <c r="AA139" s="507"/>
      <c r="AB139" s="507"/>
      <c r="AC139" s="507" t="s">
        <v>259</v>
      </c>
      <c r="AD139" s="507"/>
      <c r="AE139" s="507"/>
      <c r="AF139" s="507"/>
      <c r="AG139" s="507"/>
      <c r="AH139" s="507"/>
      <c r="AI139" s="507"/>
      <c r="AJ139" s="507"/>
      <c r="AK139" s="507"/>
      <c r="AL139" s="507"/>
      <c r="AM139" s="507"/>
      <c r="AN139" s="507"/>
      <c r="AO139" s="507" t="s">
        <v>259</v>
      </c>
      <c r="AP139" s="507"/>
      <c r="AQ139" s="507"/>
      <c r="AR139" s="507"/>
      <c r="AS139" s="507"/>
      <c r="AT139" s="507"/>
      <c r="AU139" s="507"/>
      <c r="AV139" s="507"/>
      <c r="AW139" s="507"/>
      <c r="AX139" s="507"/>
      <c r="AY139" s="507"/>
      <c r="AZ139" s="507"/>
      <c r="BA139" s="507" t="s">
        <v>259</v>
      </c>
      <c r="BB139" s="507"/>
      <c r="BC139" s="507"/>
      <c r="BD139" s="507"/>
      <c r="BE139" s="507"/>
      <c r="BF139" s="507"/>
      <c r="BG139" s="507"/>
      <c r="BH139" s="507"/>
      <c r="BI139" s="507"/>
      <c r="BJ139" s="507"/>
      <c r="BK139" s="507"/>
      <c r="BL139" s="507"/>
      <c r="BM139" s="507" t="s">
        <v>259</v>
      </c>
      <c r="BN139" s="507"/>
      <c r="BO139" s="507"/>
      <c r="BP139" s="507"/>
      <c r="BQ139" s="507"/>
      <c r="BR139" s="507"/>
      <c r="BS139" s="507"/>
      <c r="BT139" s="507"/>
      <c r="BU139" s="507"/>
      <c r="BV139" s="507"/>
      <c r="BW139" s="507"/>
      <c r="BX139" s="507"/>
      <c r="BY139" s="507" t="s">
        <v>259</v>
      </c>
      <c r="BZ139" s="507"/>
      <c r="CA139" s="507"/>
      <c r="CB139" s="507"/>
      <c r="CC139" s="507"/>
      <c r="CD139" s="507"/>
      <c r="CE139" s="507"/>
      <c r="CF139" s="507"/>
      <c r="CG139" s="507"/>
      <c r="CH139" s="507"/>
      <c r="CI139" s="507"/>
      <c r="CJ139" s="507"/>
      <c r="CK139" s="479"/>
      <c r="CL139" s="479"/>
      <c r="CM139" s="479"/>
      <c r="CN139" s="479"/>
      <c r="CO139" s="479"/>
      <c r="CP139" s="479"/>
      <c r="CQ139" s="479"/>
      <c r="CR139" s="479"/>
      <c r="CS139" s="479"/>
      <c r="CT139" s="479"/>
      <c r="CU139" s="479"/>
      <c r="CV139" s="786"/>
      <c r="CW139" s="479"/>
      <c r="CX139" s="479"/>
      <c r="CY139" s="479"/>
      <c r="CZ139" s="479"/>
      <c r="DA139" s="479"/>
      <c r="DB139" s="479"/>
      <c r="DC139" s="479"/>
      <c r="DD139" s="479"/>
      <c r="DE139" s="479"/>
    </row>
    <row r="140" spans="1:145" s="787" customFormat="1" ht="15" hidden="1" x14ac:dyDescent="0.5">
      <c r="A140" s="508">
        <v>0</v>
      </c>
      <c r="B140" s="509" t="str">
        <f>CONCATENATE("Interpolation for ",A142,"-",A148)</f>
        <v>Interpolation for Adoption Data-Drawdown (2017), Format Template Layout Structure, Pergamon, NYC.</v>
      </c>
      <c r="AI140" s="455"/>
      <c r="AJ140" s="455"/>
      <c r="AK140" s="455"/>
    </row>
    <row r="141" spans="1:145" s="746" customFormat="1" ht="31.5" hidden="1" customHeight="1" x14ac:dyDescent="0.5">
      <c r="A141" s="510" t="s">
        <v>260</v>
      </c>
      <c r="B141" s="511"/>
      <c r="C141" s="511"/>
      <c r="D141" s="223"/>
      <c r="E141" s="512"/>
      <c r="F141" s="1309"/>
      <c r="G141" s="512" t="s">
        <v>261</v>
      </c>
      <c r="H141" s="513"/>
      <c r="AI141" s="455"/>
      <c r="AJ141" s="455"/>
      <c r="AK141" s="455"/>
    </row>
    <row r="142" spans="1:145" s="746" customFormat="1" ht="15.3" hidden="1" thickBot="1" x14ac:dyDescent="0.5">
      <c r="A142" s="872" t="s">
        <v>262</v>
      </c>
      <c r="B142" s="514"/>
      <c r="C142" s="514"/>
      <c r="D142" s="515"/>
      <c r="E142" s="516" t="s">
        <v>222</v>
      </c>
      <c r="F142" s="1310"/>
      <c r="G142" s="873" t="s">
        <v>663</v>
      </c>
      <c r="H142" s="513"/>
      <c r="AI142" s="455"/>
      <c r="AJ142" s="455"/>
      <c r="AK142" s="455"/>
    </row>
    <row r="143" spans="1:145" s="746" customFormat="1" ht="39" hidden="1" customHeight="1" thickBot="1" x14ac:dyDescent="0.5">
      <c r="A143" s="517"/>
      <c r="B143" s="517"/>
      <c r="C143" s="517"/>
      <c r="D143" s="518"/>
      <c r="E143" s="873" t="s">
        <v>263</v>
      </c>
      <c r="F143" s="873" t="s">
        <v>264</v>
      </c>
      <c r="G143" s="874" t="s">
        <v>22</v>
      </c>
      <c r="H143" s="873" t="s">
        <v>265</v>
      </c>
      <c r="I143" s="873" t="s">
        <v>266</v>
      </c>
      <c r="J143" s="1297" t="s">
        <v>267</v>
      </c>
      <c r="K143" s="1298"/>
      <c r="AI143" s="455"/>
      <c r="AJ143" s="455"/>
      <c r="AK143" s="455"/>
    </row>
    <row r="144" spans="1:145" s="746" customFormat="1" ht="15" hidden="1" x14ac:dyDescent="0.5">
      <c r="A144" s="510" t="s">
        <v>268</v>
      </c>
      <c r="B144" s="517"/>
      <c r="C144" s="788">
        <v>2005</v>
      </c>
      <c r="D144" s="519">
        <v>-9</v>
      </c>
      <c r="E144" s="875"/>
      <c r="F144" s="876"/>
      <c r="G144" s="877">
        <v>0</v>
      </c>
      <c r="H144" s="878">
        <v>0</v>
      </c>
      <c r="I144" s="1303" t="s">
        <v>269</v>
      </c>
      <c r="J144" s="1299"/>
      <c r="K144" s="1300"/>
      <c r="AI144" s="455"/>
      <c r="AJ144" s="455"/>
      <c r="AK144" s="455"/>
    </row>
    <row r="145" spans="1:37" s="746" customFormat="1" ht="15" hidden="1" customHeight="1" x14ac:dyDescent="0.45">
      <c r="A145" s="872" t="s">
        <v>211</v>
      </c>
      <c r="B145" s="517"/>
      <c r="C145" s="836">
        <v>2006</v>
      </c>
      <c r="D145" s="520">
        <v>-8</v>
      </c>
      <c r="E145" s="837"/>
      <c r="F145" s="876"/>
      <c r="G145" s="838">
        <v>0</v>
      </c>
      <c r="H145" s="839">
        <v>0</v>
      </c>
      <c r="I145" s="1304"/>
      <c r="J145" s="1299"/>
      <c r="K145" s="1300"/>
      <c r="AI145" s="455"/>
      <c r="AJ145" s="455"/>
      <c r="AK145" s="455"/>
    </row>
    <row r="146" spans="1:37" s="746" customFormat="1" ht="15" hidden="1" customHeight="1" x14ac:dyDescent="0.45">
      <c r="A146" s="517"/>
      <c r="B146" s="517"/>
      <c r="C146" s="836">
        <v>2007</v>
      </c>
      <c r="D146" s="520">
        <v>-7</v>
      </c>
      <c r="E146" s="837"/>
      <c r="F146" s="876"/>
      <c r="G146" s="838">
        <v>0</v>
      </c>
      <c r="H146" s="839">
        <v>0</v>
      </c>
      <c r="I146" s="1304"/>
      <c r="J146" s="1299"/>
      <c r="K146" s="1300"/>
      <c r="AI146" s="455"/>
      <c r="AJ146" s="455"/>
      <c r="AK146" s="455"/>
    </row>
    <row r="147" spans="1:37" s="746" customFormat="1" ht="15" hidden="1" customHeight="1" x14ac:dyDescent="0.45">
      <c r="A147" s="676" t="s">
        <v>270</v>
      </c>
      <c r="B147" s="517"/>
      <c r="C147" s="836">
        <v>2008</v>
      </c>
      <c r="D147" s="520">
        <v>-6</v>
      </c>
      <c r="E147" s="837"/>
      <c r="F147" s="876"/>
      <c r="G147" s="838">
        <v>0</v>
      </c>
      <c r="H147" s="839">
        <v>0</v>
      </c>
      <c r="I147" s="1304"/>
      <c r="J147" s="1301"/>
      <c r="K147" s="1302"/>
      <c r="AI147" s="455"/>
      <c r="AJ147" s="455"/>
      <c r="AK147" s="455"/>
    </row>
    <row r="148" spans="1:37" s="746" customFormat="1" ht="15" hidden="1" customHeight="1" x14ac:dyDescent="0.45">
      <c r="A148" s="1306" t="s">
        <v>271</v>
      </c>
      <c r="B148" s="517"/>
      <c r="C148" s="836">
        <v>2009</v>
      </c>
      <c r="D148" s="520">
        <v>-5</v>
      </c>
      <c r="E148" s="837"/>
      <c r="F148" s="876"/>
      <c r="G148" s="838">
        <v>0</v>
      </c>
      <c r="H148" s="839">
        <v>0</v>
      </c>
      <c r="I148" s="1304"/>
      <c r="AI148" s="455"/>
      <c r="AJ148" s="455"/>
      <c r="AK148" s="455"/>
    </row>
    <row r="149" spans="1:37" s="746" customFormat="1" ht="14.1" hidden="1" x14ac:dyDescent="0.45">
      <c r="A149" s="1307"/>
      <c r="B149" s="517"/>
      <c r="C149" s="836">
        <v>2010</v>
      </c>
      <c r="D149" s="520">
        <v>-4</v>
      </c>
      <c r="E149" s="837"/>
      <c r="F149" s="876"/>
      <c r="G149" s="838">
        <v>0</v>
      </c>
      <c r="H149" s="839">
        <v>0</v>
      </c>
      <c r="I149" s="1304"/>
      <c r="AI149" s="455"/>
      <c r="AJ149" s="455"/>
      <c r="AK149" s="455"/>
    </row>
    <row r="150" spans="1:37" s="746" customFormat="1" ht="14.1" hidden="1" x14ac:dyDescent="0.45">
      <c r="A150" s="1307"/>
      <c r="B150" s="517"/>
      <c r="C150" s="836">
        <v>2011</v>
      </c>
      <c r="D150" s="520">
        <v>-3</v>
      </c>
      <c r="E150" s="837"/>
      <c r="F150" s="876"/>
      <c r="G150" s="838">
        <v>0</v>
      </c>
      <c r="H150" s="839">
        <v>0</v>
      </c>
      <c r="I150" s="1305"/>
      <c r="AI150" s="455"/>
      <c r="AJ150" s="455"/>
      <c r="AK150" s="455"/>
    </row>
    <row r="151" spans="1:37" s="746" customFormat="1" ht="14.1" hidden="1" x14ac:dyDescent="0.45">
      <c r="A151" s="1308"/>
      <c r="B151" s="517"/>
      <c r="C151" s="836">
        <v>2012</v>
      </c>
      <c r="D151" s="520">
        <v>-2</v>
      </c>
      <c r="E151" s="837"/>
      <c r="F151" s="876"/>
      <c r="G151" s="840">
        <v>0</v>
      </c>
      <c r="H151" s="841">
        <v>0</v>
      </c>
      <c r="I151" s="789" t="s">
        <v>272</v>
      </c>
      <c r="AI151" s="455"/>
      <c r="AJ151" s="455"/>
      <c r="AK151" s="455"/>
    </row>
    <row r="152" spans="1:37" s="746" customFormat="1" ht="14.1" hidden="1" x14ac:dyDescent="0.45">
      <c r="A152" s="517"/>
      <c r="B152" s="517"/>
      <c r="C152" s="836">
        <v>2013</v>
      </c>
      <c r="D152" s="520">
        <v>-1</v>
      </c>
      <c r="E152" s="837"/>
      <c r="F152" s="876"/>
      <c r="G152" s="840">
        <v>0</v>
      </c>
      <c r="H152" s="841">
        <v>0</v>
      </c>
      <c r="AI152" s="455"/>
      <c r="AJ152" s="455"/>
      <c r="AK152" s="455"/>
    </row>
    <row r="153" spans="1:37" s="746" customFormat="1" ht="15" hidden="1" customHeight="1" x14ac:dyDescent="0.5">
      <c r="A153" s="521" t="s">
        <v>273</v>
      </c>
      <c r="B153" s="517"/>
      <c r="C153" s="836">
        <v>2014</v>
      </c>
      <c r="D153" s="520">
        <v>0</v>
      </c>
      <c r="E153" s="837"/>
      <c r="F153" s="876"/>
      <c r="G153" s="840">
        <v>0</v>
      </c>
      <c r="H153" s="841">
        <v>0</v>
      </c>
      <c r="AI153" s="455"/>
      <c r="AJ153" s="455"/>
      <c r="AK153" s="455"/>
    </row>
    <row r="154" spans="1:37" s="746" customFormat="1" ht="15" hidden="1" customHeight="1" x14ac:dyDescent="0.45">
      <c r="A154" s="842"/>
      <c r="B154" s="514"/>
      <c r="C154" s="836">
        <v>2015</v>
      </c>
      <c r="D154" s="520">
        <v>1</v>
      </c>
      <c r="E154" s="837">
        <v>45</v>
      </c>
      <c r="F154" s="876">
        <v>45</v>
      </c>
      <c r="G154" s="840">
        <v>45</v>
      </c>
      <c r="H154" s="841">
        <v>45</v>
      </c>
      <c r="AI154" s="455"/>
      <c r="AJ154" s="455"/>
      <c r="AK154" s="455"/>
    </row>
    <row r="155" spans="1:37" s="746" customFormat="1" ht="15" hidden="1" customHeight="1" x14ac:dyDescent="0.45">
      <c r="B155" s="514"/>
      <c r="C155" s="836">
        <v>2016</v>
      </c>
      <c r="D155" s="520">
        <v>2</v>
      </c>
      <c r="E155" s="837"/>
      <c r="F155" s="876"/>
      <c r="G155" s="840">
        <v>0</v>
      </c>
      <c r="H155" s="841">
        <v>0</v>
      </c>
      <c r="AI155" s="455"/>
      <c r="AJ155" s="455"/>
      <c r="AK155" s="455"/>
    </row>
    <row r="156" spans="1:37" s="746" customFormat="1" ht="15" hidden="1" customHeight="1" x14ac:dyDescent="0.5">
      <c r="A156" s="521" t="s">
        <v>274</v>
      </c>
      <c r="B156" s="514"/>
      <c r="C156" s="836">
        <v>2017</v>
      </c>
      <c r="D156" s="520">
        <v>3</v>
      </c>
      <c r="E156" s="837"/>
      <c r="F156" s="876"/>
      <c r="G156" s="840">
        <v>0</v>
      </c>
      <c r="H156" s="841">
        <v>0</v>
      </c>
      <c r="AI156" s="455"/>
      <c r="AJ156" s="455"/>
      <c r="AK156" s="455"/>
    </row>
    <row r="157" spans="1:37" s="746" customFormat="1" ht="15.75" hidden="1" customHeight="1" x14ac:dyDescent="0.45">
      <c r="A157" s="842"/>
      <c r="B157" s="514"/>
      <c r="C157" s="836">
        <v>2018</v>
      </c>
      <c r="D157" s="520">
        <v>4</v>
      </c>
      <c r="E157" s="837"/>
      <c r="F157" s="876"/>
      <c r="G157" s="840">
        <v>0</v>
      </c>
      <c r="H157" s="841">
        <v>0</v>
      </c>
      <c r="AI157" s="455"/>
      <c r="AJ157" s="455"/>
      <c r="AK157" s="455"/>
    </row>
    <row r="158" spans="1:37" s="746" customFormat="1" ht="15" hidden="1" customHeight="1" x14ac:dyDescent="0.5">
      <c r="A158" s="790"/>
      <c r="B158" s="522"/>
      <c r="C158" s="836">
        <v>2019</v>
      </c>
      <c r="D158" s="520">
        <v>5</v>
      </c>
      <c r="E158" s="837"/>
      <c r="F158" s="876"/>
      <c r="G158" s="840">
        <v>0</v>
      </c>
      <c r="H158" s="841">
        <v>0</v>
      </c>
      <c r="AI158" s="455"/>
      <c r="AJ158" s="455"/>
      <c r="AK158" s="455"/>
    </row>
    <row r="159" spans="1:37" s="746" customFormat="1" ht="15" hidden="1" customHeight="1" x14ac:dyDescent="0.45">
      <c r="A159" s="879" t="s">
        <v>275</v>
      </c>
      <c r="B159" s="514"/>
      <c r="C159" s="836">
        <v>2020</v>
      </c>
      <c r="D159" s="520">
        <v>6</v>
      </c>
      <c r="E159" s="837"/>
      <c r="F159" s="876"/>
      <c r="G159" s="840">
        <v>0</v>
      </c>
      <c r="H159" s="841">
        <v>0</v>
      </c>
      <c r="AI159" s="455"/>
      <c r="AJ159" s="455"/>
      <c r="AK159" s="455"/>
    </row>
    <row r="160" spans="1:37" s="746" customFormat="1" ht="15" hidden="1" customHeight="1" x14ac:dyDescent="0.45">
      <c r="A160" s="791"/>
      <c r="B160" s="514"/>
      <c r="C160" s="836">
        <v>2021</v>
      </c>
      <c r="D160" s="520">
        <v>7</v>
      </c>
      <c r="E160" s="837"/>
      <c r="F160" s="876"/>
      <c r="G160" s="840">
        <v>0</v>
      </c>
      <c r="H160" s="841">
        <v>0</v>
      </c>
      <c r="AI160" s="455"/>
      <c r="AJ160" s="455"/>
      <c r="AK160" s="455"/>
    </row>
    <row r="161" spans="1:37" s="746" customFormat="1" ht="15" hidden="1" customHeight="1" x14ac:dyDescent="0.45">
      <c r="A161" s="892"/>
      <c r="B161" s="514"/>
      <c r="C161" s="836">
        <v>2022</v>
      </c>
      <c r="D161" s="520">
        <v>8</v>
      </c>
      <c r="E161" s="837"/>
      <c r="F161" s="876"/>
      <c r="G161" s="840">
        <v>0</v>
      </c>
      <c r="H161" s="841">
        <v>0</v>
      </c>
      <c r="AI161" s="455"/>
      <c r="AJ161" s="455"/>
      <c r="AK161" s="455"/>
    </row>
    <row r="162" spans="1:37" s="746" customFormat="1" ht="15" hidden="1" x14ac:dyDescent="0.45">
      <c r="A162" s="842">
        <v>10</v>
      </c>
      <c r="B162" s="514"/>
      <c r="C162" s="836">
        <v>2023</v>
      </c>
      <c r="D162" s="520">
        <v>9</v>
      </c>
      <c r="E162" s="837"/>
      <c r="F162" s="876"/>
      <c r="G162" s="840">
        <v>0</v>
      </c>
      <c r="H162" s="841">
        <v>0</v>
      </c>
      <c r="AI162" s="455"/>
      <c r="AJ162" s="455"/>
      <c r="AK162" s="455"/>
    </row>
    <row r="163" spans="1:37" s="746" customFormat="1" ht="14.1" hidden="1" x14ac:dyDescent="0.45">
      <c r="A163" s="514"/>
      <c r="B163" s="514"/>
      <c r="C163" s="836">
        <v>2024</v>
      </c>
      <c r="D163" s="520">
        <v>10</v>
      </c>
      <c r="E163" s="837"/>
      <c r="F163" s="876"/>
      <c r="G163" s="840">
        <v>0</v>
      </c>
      <c r="H163" s="841">
        <v>0</v>
      </c>
      <c r="AI163" s="455"/>
      <c r="AJ163" s="455"/>
      <c r="AK163" s="455"/>
    </row>
    <row r="164" spans="1:37" s="746" customFormat="1" ht="14.1" hidden="1" x14ac:dyDescent="0.45">
      <c r="A164" s="514"/>
      <c r="B164" s="514"/>
      <c r="C164" s="836">
        <v>2025</v>
      </c>
      <c r="D164" s="520">
        <v>11</v>
      </c>
      <c r="E164" s="837">
        <v>57</v>
      </c>
      <c r="F164" s="876">
        <v>57</v>
      </c>
      <c r="G164" s="840">
        <v>57</v>
      </c>
      <c r="H164" s="841">
        <v>57</v>
      </c>
      <c r="AI164" s="455"/>
      <c r="AJ164" s="455"/>
      <c r="AK164" s="455"/>
    </row>
    <row r="165" spans="1:37" s="746" customFormat="1" ht="14.1" hidden="1" x14ac:dyDescent="0.45">
      <c r="A165" s="514"/>
      <c r="B165" s="514"/>
      <c r="C165" s="836">
        <v>2026</v>
      </c>
      <c r="D165" s="520">
        <v>12</v>
      </c>
      <c r="E165" s="837"/>
      <c r="F165" s="876"/>
      <c r="G165" s="840">
        <v>0</v>
      </c>
      <c r="H165" s="841">
        <v>0</v>
      </c>
      <c r="AI165" s="455"/>
      <c r="AJ165" s="455"/>
      <c r="AK165" s="455"/>
    </row>
    <row r="166" spans="1:37" s="746" customFormat="1" ht="14.1" hidden="1" x14ac:dyDescent="0.45">
      <c r="A166" s="514"/>
      <c r="B166" s="514"/>
      <c r="C166" s="836">
        <v>2027</v>
      </c>
      <c r="D166" s="520">
        <v>13</v>
      </c>
      <c r="E166" s="837"/>
      <c r="F166" s="876"/>
      <c r="G166" s="840">
        <v>0</v>
      </c>
      <c r="H166" s="841">
        <v>0</v>
      </c>
      <c r="AI166" s="455"/>
      <c r="AJ166" s="455"/>
      <c r="AK166" s="455"/>
    </row>
    <row r="167" spans="1:37" s="746" customFormat="1" ht="14.1" hidden="1" x14ac:dyDescent="0.45">
      <c r="A167" s="514"/>
      <c r="B167" s="514"/>
      <c r="C167" s="836">
        <v>2028</v>
      </c>
      <c r="D167" s="520">
        <v>14</v>
      </c>
      <c r="E167" s="837"/>
      <c r="F167" s="876"/>
      <c r="G167" s="840">
        <v>0</v>
      </c>
      <c r="H167" s="841">
        <v>0</v>
      </c>
      <c r="AI167" s="455"/>
      <c r="AJ167" s="455"/>
      <c r="AK167" s="455"/>
    </row>
    <row r="168" spans="1:37" s="746" customFormat="1" ht="14.1" hidden="1" x14ac:dyDescent="0.45">
      <c r="A168" s="514"/>
      <c r="B168" s="514"/>
      <c r="C168" s="836">
        <v>2029</v>
      </c>
      <c r="D168" s="520">
        <v>15</v>
      </c>
      <c r="E168" s="837"/>
      <c r="F168" s="876"/>
      <c r="G168" s="840">
        <v>0</v>
      </c>
      <c r="H168" s="841">
        <v>0</v>
      </c>
      <c r="AI168" s="455"/>
      <c r="AJ168" s="455"/>
      <c r="AK168" s="455"/>
    </row>
    <row r="169" spans="1:37" s="746" customFormat="1" ht="14.1" hidden="1" x14ac:dyDescent="0.45">
      <c r="A169" s="514"/>
      <c r="B169" s="514"/>
      <c r="C169" s="836">
        <v>2030</v>
      </c>
      <c r="D169" s="520">
        <v>16</v>
      </c>
      <c r="E169" s="837"/>
      <c r="F169" s="876"/>
      <c r="G169" s="840">
        <v>0</v>
      </c>
      <c r="H169" s="841">
        <v>0</v>
      </c>
      <c r="AI169" s="455"/>
      <c r="AJ169" s="455"/>
      <c r="AK169" s="455"/>
    </row>
    <row r="170" spans="1:37" s="746" customFormat="1" ht="14.1" hidden="1" x14ac:dyDescent="0.45">
      <c r="A170" s="514"/>
      <c r="B170" s="514"/>
      <c r="C170" s="836">
        <v>2031</v>
      </c>
      <c r="D170" s="520">
        <v>17</v>
      </c>
      <c r="E170" s="837"/>
      <c r="F170" s="876"/>
      <c r="G170" s="840">
        <v>0</v>
      </c>
      <c r="H170" s="841">
        <v>0</v>
      </c>
      <c r="AI170" s="455"/>
      <c r="AJ170" s="455"/>
      <c r="AK170" s="455"/>
    </row>
    <row r="171" spans="1:37" s="746" customFormat="1" ht="14.1" hidden="1" x14ac:dyDescent="0.45">
      <c r="A171" s="514"/>
      <c r="B171" s="514"/>
      <c r="C171" s="836">
        <v>2032</v>
      </c>
      <c r="D171" s="520">
        <v>18</v>
      </c>
      <c r="E171" s="837"/>
      <c r="F171" s="876"/>
      <c r="G171" s="840">
        <v>0</v>
      </c>
      <c r="H171" s="841">
        <v>0</v>
      </c>
      <c r="AI171" s="455"/>
      <c r="AJ171" s="455"/>
      <c r="AK171" s="455"/>
    </row>
    <row r="172" spans="1:37" s="746" customFormat="1" ht="14.1" hidden="1" x14ac:dyDescent="0.45">
      <c r="A172" s="522"/>
      <c r="B172" s="522"/>
      <c r="C172" s="836">
        <v>2033</v>
      </c>
      <c r="D172" s="520">
        <v>19</v>
      </c>
      <c r="E172" s="837"/>
      <c r="F172" s="876"/>
      <c r="G172" s="840">
        <v>0</v>
      </c>
      <c r="H172" s="841">
        <v>0</v>
      </c>
      <c r="AI172" s="455"/>
      <c r="AJ172" s="455"/>
      <c r="AK172" s="455"/>
    </row>
    <row r="173" spans="1:37" s="746" customFormat="1" ht="14.1" hidden="1" x14ac:dyDescent="0.45">
      <c r="A173" s="522"/>
      <c r="B173" s="522"/>
      <c r="C173" s="836">
        <v>2034</v>
      </c>
      <c r="D173" s="520">
        <v>20</v>
      </c>
      <c r="E173" s="837"/>
      <c r="F173" s="876"/>
      <c r="G173" s="840">
        <v>0</v>
      </c>
      <c r="H173" s="841">
        <v>0</v>
      </c>
      <c r="AI173" s="455"/>
      <c r="AJ173" s="455"/>
      <c r="AK173" s="455"/>
    </row>
    <row r="174" spans="1:37" s="746" customFormat="1" ht="14.1" hidden="1" x14ac:dyDescent="0.45">
      <c r="A174" s="522"/>
      <c r="B174" s="522"/>
      <c r="C174" s="836">
        <v>2035</v>
      </c>
      <c r="D174" s="520">
        <v>21</v>
      </c>
      <c r="E174" s="837">
        <v>780</v>
      </c>
      <c r="F174" s="876">
        <v>780</v>
      </c>
      <c r="G174" s="840">
        <v>780</v>
      </c>
      <c r="H174" s="841">
        <v>780</v>
      </c>
      <c r="AI174" s="455"/>
      <c r="AJ174" s="455"/>
      <c r="AK174" s="455"/>
    </row>
    <row r="175" spans="1:37" s="746" customFormat="1" ht="14.1" hidden="1" x14ac:dyDescent="0.45">
      <c r="A175" s="522"/>
      <c r="B175" s="522"/>
      <c r="C175" s="836">
        <v>2036</v>
      </c>
      <c r="D175" s="520">
        <v>22</v>
      </c>
      <c r="E175" s="837"/>
      <c r="F175" s="876"/>
      <c r="G175" s="840">
        <v>0</v>
      </c>
      <c r="H175" s="841">
        <v>0</v>
      </c>
      <c r="AI175" s="455"/>
      <c r="AJ175" s="455"/>
      <c r="AK175" s="455"/>
    </row>
    <row r="176" spans="1:37" s="746" customFormat="1" ht="14.1" hidden="1" x14ac:dyDescent="0.45">
      <c r="A176" s="522"/>
      <c r="B176" s="522"/>
      <c r="C176" s="836">
        <v>2037</v>
      </c>
      <c r="D176" s="520">
        <v>23</v>
      </c>
      <c r="E176" s="837"/>
      <c r="F176" s="876"/>
      <c r="G176" s="840">
        <v>0</v>
      </c>
      <c r="H176" s="841">
        <v>0</v>
      </c>
      <c r="AI176" s="455"/>
      <c r="AJ176" s="455"/>
      <c r="AK176" s="455"/>
    </row>
    <row r="177" spans="1:37" s="746" customFormat="1" ht="14.1" hidden="1" x14ac:dyDescent="0.45">
      <c r="A177" s="522"/>
      <c r="B177" s="522"/>
      <c r="C177" s="836">
        <v>2038</v>
      </c>
      <c r="D177" s="520">
        <v>24</v>
      </c>
      <c r="E177" s="837"/>
      <c r="F177" s="876"/>
      <c r="G177" s="840">
        <v>0</v>
      </c>
      <c r="H177" s="841">
        <v>0</v>
      </c>
      <c r="AI177" s="455"/>
      <c r="AJ177" s="455"/>
      <c r="AK177" s="455"/>
    </row>
    <row r="178" spans="1:37" s="746" customFormat="1" ht="14.1" hidden="1" x14ac:dyDescent="0.45">
      <c r="A178" s="522"/>
      <c r="B178" s="522"/>
      <c r="C178" s="836">
        <v>2039</v>
      </c>
      <c r="D178" s="520">
        <v>25</v>
      </c>
      <c r="E178" s="837"/>
      <c r="F178" s="876"/>
      <c r="G178" s="840">
        <v>0</v>
      </c>
      <c r="H178" s="841">
        <v>0</v>
      </c>
      <c r="AI178" s="455"/>
      <c r="AJ178" s="455"/>
      <c r="AK178" s="455"/>
    </row>
    <row r="179" spans="1:37" s="746" customFormat="1" ht="14.1" hidden="1" x14ac:dyDescent="0.45">
      <c r="A179" s="522"/>
      <c r="B179" s="522"/>
      <c r="C179" s="836">
        <v>2040</v>
      </c>
      <c r="D179" s="520">
        <v>26</v>
      </c>
      <c r="E179" s="837"/>
      <c r="F179" s="876"/>
      <c r="G179" s="840">
        <v>0</v>
      </c>
      <c r="H179" s="841">
        <v>0</v>
      </c>
      <c r="AI179" s="455"/>
      <c r="AJ179" s="455"/>
      <c r="AK179" s="455"/>
    </row>
    <row r="180" spans="1:37" s="746" customFormat="1" ht="14.1" hidden="1" x14ac:dyDescent="0.45">
      <c r="A180" s="522"/>
      <c r="B180" s="522"/>
      <c r="C180" s="836">
        <v>2041</v>
      </c>
      <c r="D180" s="520">
        <v>27</v>
      </c>
      <c r="E180" s="837"/>
      <c r="F180" s="876"/>
      <c r="G180" s="840">
        <v>0</v>
      </c>
      <c r="H180" s="841">
        <v>0</v>
      </c>
      <c r="AI180" s="455"/>
      <c r="AJ180" s="455"/>
      <c r="AK180" s="455"/>
    </row>
    <row r="181" spans="1:37" s="746" customFormat="1" ht="14.1" hidden="1" x14ac:dyDescent="0.45">
      <c r="A181" s="522"/>
      <c r="B181" s="522"/>
      <c r="C181" s="836">
        <v>2042</v>
      </c>
      <c r="D181" s="520">
        <v>28</v>
      </c>
      <c r="E181" s="837"/>
      <c r="F181" s="876"/>
      <c r="G181" s="840">
        <v>0</v>
      </c>
      <c r="H181" s="841">
        <v>0</v>
      </c>
      <c r="AI181" s="455"/>
      <c r="AJ181" s="455"/>
      <c r="AK181" s="455"/>
    </row>
    <row r="182" spans="1:37" s="746" customFormat="1" ht="14.1" hidden="1" x14ac:dyDescent="0.45">
      <c r="A182" s="522"/>
      <c r="B182" s="522"/>
      <c r="C182" s="836">
        <v>2043</v>
      </c>
      <c r="D182" s="520">
        <v>29</v>
      </c>
      <c r="E182" s="837"/>
      <c r="F182" s="876"/>
      <c r="G182" s="840">
        <v>0</v>
      </c>
      <c r="H182" s="841">
        <v>0</v>
      </c>
      <c r="AI182" s="455"/>
      <c r="AJ182" s="455"/>
      <c r="AK182" s="455"/>
    </row>
    <row r="183" spans="1:37" s="746" customFormat="1" ht="14.1" hidden="1" x14ac:dyDescent="0.45">
      <c r="A183" s="522"/>
      <c r="B183" s="522"/>
      <c r="C183" s="836">
        <v>2044</v>
      </c>
      <c r="D183" s="520">
        <v>30</v>
      </c>
      <c r="E183" s="837"/>
      <c r="F183" s="876"/>
      <c r="G183" s="840">
        <v>0</v>
      </c>
      <c r="H183" s="841">
        <v>0</v>
      </c>
      <c r="AI183" s="455"/>
      <c r="AJ183" s="455"/>
      <c r="AK183" s="455"/>
    </row>
    <row r="184" spans="1:37" s="746" customFormat="1" ht="14.1" hidden="1" x14ac:dyDescent="0.45">
      <c r="A184" s="522"/>
      <c r="B184" s="522"/>
      <c r="C184" s="836">
        <v>2045</v>
      </c>
      <c r="D184" s="520">
        <v>31</v>
      </c>
      <c r="E184" s="837">
        <v>1020</v>
      </c>
      <c r="F184" s="876">
        <v>1020</v>
      </c>
      <c r="G184" s="840">
        <v>1020</v>
      </c>
      <c r="H184" s="841">
        <v>1020</v>
      </c>
      <c r="AI184" s="455"/>
      <c r="AJ184" s="455"/>
      <c r="AK184" s="455"/>
    </row>
    <row r="185" spans="1:37" s="746" customFormat="1" ht="14.1" hidden="1" x14ac:dyDescent="0.45">
      <c r="A185" s="522"/>
      <c r="B185" s="522"/>
      <c r="C185" s="836">
        <v>2046</v>
      </c>
      <c r="D185" s="520">
        <v>32</v>
      </c>
      <c r="E185" s="837"/>
      <c r="F185" s="876"/>
      <c r="G185" s="840">
        <v>408</v>
      </c>
      <c r="H185" s="841">
        <v>408</v>
      </c>
      <c r="AI185" s="455"/>
      <c r="AJ185" s="455"/>
      <c r="AK185" s="455"/>
    </row>
    <row r="186" spans="1:37" s="746" customFormat="1" ht="14.1" hidden="1" x14ac:dyDescent="0.45">
      <c r="A186" s="523"/>
      <c r="B186" s="524"/>
      <c r="C186" s="836">
        <v>2047</v>
      </c>
      <c r="D186" s="520">
        <v>33</v>
      </c>
      <c r="E186" s="837"/>
      <c r="F186" s="876"/>
      <c r="G186" s="840">
        <v>463.63636363636402</v>
      </c>
      <c r="H186" s="841">
        <v>463.63636363636402</v>
      </c>
      <c r="AI186" s="455"/>
      <c r="AJ186" s="455"/>
      <c r="AK186" s="455"/>
    </row>
    <row r="187" spans="1:37" s="746" customFormat="1" ht="14.1" hidden="1" x14ac:dyDescent="0.45">
      <c r="B187" s="524"/>
      <c r="C187" s="836">
        <v>2048</v>
      </c>
      <c r="D187" s="520">
        <v>34</v>
      </c>
      <c r="E187" s="837"/>
      <c r="F187" s="876"/>
      <c r="G187" s="840">
        <v>519.27272727272805</v>
      </c>
      <c r="H187" s="841">
        <v>519.27272727272805</v>
      </c>
      <c r="AI187" s="455"/>
      <c r="AJ187" s="455"/>
      <c r="AK187" s="455"/>
    </row>
    <row r="188" spans="1:37" s="746" customFormat="1" ht="14.1" hidden="1" x14ac:dyDescent="0.45">
      <c r="C188" s="836">
        <v>2049</v>
      </c>
      <c r="D188" s="520">
        <v>35</v>
      </c>
      <c r="E188" s="837"/>
      <c r="F188" s="876"/>
      <c r="G188" s="840">
        <v>574.90909090909099</v>
      </c>
      <c r="H188" s="841">
        <v>574.90909090909099</v>
      </c>
      <c r="AI188" s="455"/>
      <c r="AJ188" s="455"/>
      <c r="AK188" s="455"/>
    </row>
    <row r="189" spans="1:37" s="746" customFormat="1" ht="14.1" hidden="1" x14ac:dyDescent="0.45">
      <c r="C189" s="836">
        <v>2050</v>
      </c>
      <c r="D189" s="520">
        <v>36</v>
      </c>
      <c r="E189" s="837"/>
      <c r="F189" s="876"/>
      <c r="G189" s="840">
        <v>630.54545454545496</v>
      </c>
      <c r="H189" s="841">
        <v>630.54545454545496</v>
      </c>
      <c r="AI189" s="455"/>
      <c r="AJ189" s="455"/>
      <c r="AK189" s="455"/>
    </row>
    <row r="190" spans="1:37" ht="14.1" hidden="1" x14ac:dyDescent="0.4">
      <c r="C190" s="836">
        <v>2051</v>
      </c>
      <c r="D190" s="520">
        <v>37</v>
      </c>
      <c r="E190" s="837"/>
      <c r="F190" s="876"/>
      <c r="G190" s="840">
        <v>686.18181818181904</v>
      </c>
      <c r="H190" s="841">
        <v>686.18181818181904</v>
      </c>
    </row>
    <row r="191" spans="1:37" ht="14.1" hidden="1" x14ac:dyDescent="0.4">
      <c r="C191" s="836">
        <v>2052</v>
      </c>
      <c r="D191" s="520">
        <v>38</v>
      </c>
      <c r="E191" s="837"/>
      <c r="F191" s="876"/>
      <c r="G191" s="840">
        <v>741.81818181818198</v>
      </c>
      <c r="H191" s="841">
        <v>741.81818181818198</v>
      </c>
    </row>
    <row r="192" spans="1:37" ht="14.1" hidden="1" x14ac:dyDescent="0.4">
      <c r="C192" s="836">
        <v>2053</v>
      </c>
      <c r="D192" s="520">
        <v>39</v>
      </c>
      <c r="E192" s="837"/>
      <c r="F192" s="876"/>
      <c r="G192" s="840">
        <v>797.45454545454595</v>
      </c>
      <c r="H192" s="841">
        <v>797.45454545454595</v>
      </c>
    </row>
    <row r="193" spans="1:11" ht="14.1" hidden="1" x14ac:dyDescent="0.4">
      <c r="C193" s="836">
        <v>2054</v>
      </c>
      <c r="D193" s="520">
        <v>40</v>
      </c>
      <c r="E193" s="837"/>
      <c r="F193" s="876"/>
      <c r="G193" s="840">
        <v>853.09090909091401</v>
      </c>
      <c r="H193" s="841">
        <v>853.09090909091401</v>
      </c>
    </row>
    <row r="194" spans="1:11" ht="14.1" hidden="1" x14ac:dyDescent="0.4">
      <c r="C194" s="836">
        <v>2055</v>
      </c>
      <c r="D194" s="520">
        <v>41</v>
      </c>
      <c r="E194" s="837">
        <v>1020</v>
      </c>
      <c r="F194" s="876">
        <v>1020</v>
      </c>
      <c r="G194" s="840">
        <v>908.727272727274</v>
      </c>
      <c r="H194" s="841">
        <v>908.727272727274</v>
      </c>
    </row>
    <row r="195" spans="1:11" ht="14.1" hidden="1" x14ac:dyDescent="0.4">
      <c r="C195" s="836">
        <v>2056</v>
      </c>
      <c r="D195" s="520">
        <v>42</v>
      </c>
      <c r="E195" s="837"/>
      <c r="F195" s="876"/>
      <c r="G195" s="840">
        <v>964.36363636363399</v>
      </c>
      <c r="H195" s="841">
        <v>964.36363636363399</v>
      </c>
    </row>
    <row r="196" spans="1:11" ht="14.1" hidden="1" x14ac:dyDescent="0.4">
      <c r="C196" s="836">
        <v>2057</v>
      </c>
      <c r="D196" s="520">
        <v>43</v>
      </c>
      <c r="E196" s="837"/>
      <c r="F196" s="876"/>
      <c r="G196" s="840">
        <v>1020</v>
      </c>
      <c r="H196" s="841">
        <v>1020</v>
      </c>
    </row>
    <row r="197" spans="1:11" ht="14.1" hidden="1" x14ac:dyDescent="0.4">
      <c r="C197" s="836">
        <v>2058</v>
      </c>
      <c r="D197" s="520">
        <v>44</v>
      </c>
      <c r="E197" s="837"/>
      <c r="F197" s="876"/>
      <c r="G197" s="840">
        <v>1075.6363636363601</v>
      </c>
      <c r="H197" s="841">
        <v>1075.6363636363601</v>
      </c>
    </row>
    <row r="198" spans="1:11" ht="14.1" hidden="1" x14ac:dyDescent="0.4">
      <c r="C198" s="836">
        <v>2059</v>
      </c>
      <c r="D198" s="520">
        <v>45</v>
      </c>
      <c r="E198" s="837"/>
      <c r="F198" s="876"/>
      <c r="G198" s="840">
        <v>1131.27272727272</v>
      </c>
      <c r="H198" s="841">
        <v>1131.27272727272</v>
      </c>
    </row>
    <row r="199" spans="1:11" ht="14.1" hidden="1" x14ac:dyDescent="0.4">
      <c r="C199" s="843">
        <v>2060</v>
      </c>
      <c r="D199" s="520">
        <v>46</v>
      </c>
      <c r="E199" s="837"/>
      <c r="F199" s="876"/>
      <c r="G199" s="840">
        <v>1186.9090909090901</v>
      </c>
      <c r="H199" s="841">
        <v>1186.9090909090901</v>
      </c>
    </row>
    <row r="200" spans="1:11" hidden="1" x14ac:dyDescent="0.4"/>
    <row r="201" spans="1:11" hidden="1" x14ac:dyDescent="0.4"/>
    <row r="202" spans="1:11" ht="13.8" hidden="1" x14ac:dyDescent="0.45">
      <c r="A202" s="525" t="str">
        <f ca="1">HYPERLINK("#"&amp;"'"&amp;A$1&amp;"'!a1","Back to top")</f>
        <v>Back to top</v>
      </c>
    </row>
    <row r="203" spans="1:11" hidden="1" x14ac:dyDescent="0.4"/>
    <row r="204" spans="1:11" hidden="1" x14ac:dyDescent="0.4">
      <c r="A204" s="793"/>
      <c r="B204" s="793"/>
      <c r="C204" s="793"/>
      <c r="D204" s="794"/>
      <c r="E204" s="793"/>
      <c r="F204" s="793"/>
      <c r="G204" s="793"/>
      <c r="H204" s="793"/>
      <c r="I204" s="793"/>
    </row>
    <row r="205" spans="1:11" ht="15" x14ac:dyDescent="0.5">
      <c r="A205" s="508">
        <v>1</v>
      </c>
      <c r="B205" s="509" t="s">
        <v>605</v>
      </c>
      <c r="C205" s="787"/>
      <c r="D205" s="787"/>
      <c r="E205" s="787"/>
      <c r="F205" s="787"/>
      <c r="G205" s="787"/>
      <c r="H205" s="787"/>
      <c r="I205" s="787"/>
      <c r="J205" s="787"/>
      <c r="K205" s="787"/>
    </row>
    <row r="206" spans="1:11" ht="15" x14ac:dyDescent="0.5">
      <c r="A206" s="510" t="s">
        <v>260</v>
      </c>
      <c r="B206" s="511"/>
      <c r="C206" s="511"/>
      <c r="D206" s="223"/>
      <c r="E206" s="512"/>
      <c r="F206" s="1309"/>
      <c r="G206" s="512"/>
      <c r="H206" s="513"/>
      <c r="I206" s="746"/>
      <c r="J206" s="746"/>
      <c r="K206" s="746"/>
    </row>
    <row r="207" spans="1:11" ht="15.3" thickBot="1" x14ac:dyDescent="0.5">
      <c r="A207" s="872" t="s">
        <v>603</v>
      </c>
      <c r="B207" s="514"/>
      <c r="C207" s="514"/>
      <c r="D207" s="515"/>
      <c r="E207" s="516" t="s">
        <v>222</v>
      </c>
      <c r="F207" s="1310"/>
      <c r="G207" s="873" t="s">
        <v>665</v>
      </c>
      <c r="H207" s="513"/>
      <c r="I207" s="746"/>
      <c r="J207" s="746"/>
      <c r="K207" s="746"/>
    </row>
    <row r="208" spans="1:11" ht="37.200000000000003" thickBot="1" x14ac:dyDescent="0.5">
      <c r="A208" s="517"/>
      <c r="B208" s="517"/>
      <c r="C208" s="517"/>
      <c r="D208" s="518"/>
      <c r="E208" s="873" t="s">
        <v>724</v>
      </c>
      <c r="F208" s="873" t="s">
        <v>664</v>
      </c>
      <c r="G208" s="874" t="s">
        <v>723</v>
      </c>
      <c r="H208" s="873" t="s">
        <v>667</v>
      </c>
      <c r="I208" s="873" t="s">
        <v>666</v>
      </c>
      <c r="J208" s="1297" t="s">
        <v>668</v>
      </c>
      <c r="K208" s="1298"/>
    </row>
    <row r="209" spans="1:11" ht="15" x14ac:dyDescent="0.5">
      <c r="A209" s="510" t="s">
        <v>268</v>
      </c>
      <c r="B209" s="517"/>
      <c r="C209" s="788">
        <v>2005</v>
      </c>
      <c r="D209" s="519">
        <v>-9</v>
      </c>
      <c r="E209" s="875"/>
      <c r="F209" s="876"/>
      <c r="G209" s="877">
        <v>1546.7752100840335</v>
      </c>
      <c r="H209" s="878">
        <v>1546.7752100840335</v>
      </c>
      <c r="I209" s="1303" t="s">
        <v>269</v>
      </c>
      <c r="J209" s="1299"/>
      <c r="K209" s="1300"/>
    </row>
    <row r="210" spans="1:11" ht="15" x14ac:dyDescent="0.45">
      <c r="A210" s="872" t="s">
        <v>211</v>
      </c>
      <c r="B210" s="517"/>
      <c r="C210" s="836">
        <v>2006</v>
      </c>
      <c r="D210" s="520">
        <v>-8</v>
      </c>
      <c r="E210" s="837"/>
      <c r="F210" s="876"/>
      <c r="G210" s="838">
        <v>1589.159663865546</v>
      </c>
      <c r="H210" s="839">
        <v>1589.159663865546</v>
      </c>
      <c r="I210" s="1304"/>
      <c r="J210" s="1299"/>
      <c r="K210" s="1300"/>
    </row>
    <row r="211" spans="1:11" ht="14.05" customHeight="1" x14ac:dyDescent="0.45">
      <c r="A211" s="517"/>
      <c r="B211" s="517"/>
      <c r="C211" s="836">
        <v>2007</v>
      </c>
      <c r="D211" s="520">
        <v>-7</v>
      </c>
      <c r="E211" s="837"/>
      <c r="F211" s="876"/>
      <c r="G211" s="838">
        <v>1631.489495798319</v>
      </c>
      <c r="H211" s="839">
        <v>1631.489495798319</v>
      </c>
      <c r="I211" s="1304"/>
      <c r="J211" s="1299"/>
      <c r="K211" s="1300"/>
    </row>
    <row r="212" spans="1:11" ht="15" x14ac:dyDescent="0.45">
      <c r="A212" s="676" t="s">
        <v>270</v>
      </c>
      <c r="B212" s="517"/>
      <c r="C212" s="836">
        <v>2008</v>
      </c>
      <c r="D212" s="520">
        <v>-6</v>
      </c>
      <c r="E212" s="837"/>
      <c r="F212" s="876"/>
      <c r="G212" s="838">
        <v>1673.7647058823527</v>
      </c>
      <c r="H212" s="839">
        <v>1673.7647058823527</v>
      </c>
      <c r="I212" s="1304"/>
      <c r="J212" s="1301"/>
      <c r="K212" s="1302"/>
    </row>
    <row r="213" spans="1:11" ht="14.1" x14ac:dyDescent="0.45">
      <c r="A213" s="1306" t="s">
        <v>604</v>
      </c>
      <c r="B213" s="517"/>
      <c r="C213" s="836">
        <v>2009</v>
      </c>
      <c r="D213" s="520">
        <v>-5</v>
      </c>
      <c r="E213" s="837"/>
      <c r="F213" s="876"/>
      <c r="G213" s="838">
        <v>1715.9852941176468</v>
      </c>
      <c r="H213" s="839">
        <v>1715.9852941176468</v>
      </c>
      <c r="I213" s="1304"/>
      <c r="J213" s="746"/>
      <c r="K213" s="746"/>
    </row>
    <row r="214" spans="1:11" ht="14.1" x14ac:dyDescent="0.45">
      <c r="A214" s="1307"/>
      <c r="B214" s="517"/>
      <c r="C214" s="836">
        <v>2010</v>
      </c>
      <c r="D214" s="520">
        <v>-4</v>
      </c>
      <c r="E214" s="837"/>
      <c r="F214" s="876"/>
      <c r="G214" s="838">
        <v>1758.1512605042014</v>
      </c>
      <c r="H214" s="839">
        <v>1758.1512605042014</v>
      </c>
      <c r="I214" s="1304"/>
      <c r="J214" s="746"/>
      <c r="K214" s="746"/>
    </row>
    <row r="215" spans="1:11" ht="14.1" x14ac:dyDescent="0.45">
      <c r="A215" s="1307"/>
      <c r="B215" s="517"/>
      <c r="C215" s="836">
        <v>2011</v>
      </c>
      <c r="D215" s="520">
        <v>-3</v>
      </c>
      <c r="E215" s="837"/>
      <c r="F215" s="876"/>
      <c r="G215" s="838">
        <v>1800.2626050420165</v>
      </c>
      <c r="H215" s="839">
        <v>1800.2626050420165</v>
      </c>
      <c r="I215" s="1305"/>
      <c r="J215" s="746"/>
      <c r="K215" s="746"/>
    </row>
    <row r="216" spans="1:11" ht="14.1" x14ac:dyDescent="0.45">
      <c r="A216" s="1308"/>
      <c r="B216" s="517"/>
      <c r="C216" s="836">
        <v>2012</v>
      </c>
      <c r="D216" s="520">
        <v>-2</v>
      </c>
      <c r="E216" s="837"/>
      <c r="F216" s="876"/>
      <c r="G216" s="840">
        <v>1842.319327731092</v>
      </c>
      <c r="H216" s="841">
        <v>1842.319327731092</v>
      </c>
      <c r="I216" s="789" t="s">
        <v>272</v>
      </c>
      <c r="J216" s="746"/>
      <c r="K216" s="746"/>
    </row>
    <row r="217" spans="1:11" ht="14.1" x14ac:dyDescent="0.45">
      <c r="A217" s="517"/>
      <c r="B217" s="517"/>
      <c r="C217" s="836">
        <v>2013</v>
      </c>
      <c r="D217" s="520">
        <v>-1</v>
      </c>
      <c r="E217" s="837"/>
      <c r="F217" s="876"/>
      <c r="G217" s="840">
        <v>1884.3214285714282</v>
      </c>
      <c r="H217" s="841">
        <v>1884.3214285714282</v>
      </c>
      <c r="I217" s="746"/>
      <c r="J217" s="746"/>
      <c r="K217" s="746"/>
    </row>
    <row r="218" spans="1:11" ht="15" x14ac:dyDescent="0.5">
      <c r="A218" s="521" t="s">
        <v>273</v>
      </c>
      <c r="B218" s="517"/>
      <c r="C218" s="836">
        <v>2014</v>
      </c>
      <c r="D218" s="520">
        <v>0</v>
      </c>
      <c r="E218" s="837"/>
      <c r="F218" s="876"/>
      <c r="G218" s="840">
        <v>1926.2689075630249</v>
      </c>
      <c r="H218" s="841">
        <v>1926.2689075630249</v>
      </c>
      <c r="I218" s="746"/>
      <c r="J218" s="746"/>
      <c r="K218" s="746"/>
    </row>
    <row r="219" spans="1:11" ht="15" x14ac:dyDescent="0.45">
      <c r="A219" s="842">
        <v>2018</v>
      </c>
      <c r="B219" s="514"/>
      <c r="C219" s="836">
        <v>2015</v>
      </c>
      <c r="D219" s="520">
        <v>1</v>
      </c>
      <c r="E219" s="837"/>
      <c r="F219" s="876"/>
      <c r="G219" s="840">
        <v>1968.161764705882</v>
      </c>
      <c r="H219" s="841">
        <v>1968.161764705882</v>
      </c>
      <c r="I219" s="746"/>
      <c r="J219" s="746"/>
      <c r="K219" s="746"/>
    </row>
    <row r="220" spans="1:11" ht="14.1" x14ac:dyDescent="0.45">
      <c r="A220" s="746"/>
      <c r="B220" s="514"/>
      <c r="C220" s="836">
        <v>2016</v>
      </c>
      <c r="D220" s="520">
        <v>2</v>
      </c>
      <c r="E220" s="837">
        <v>2.0099999999999998</v>
      </c>
      <c r="F220" s="876">
        <v>2009.9999999999998</v>
      </c>
      <c r="G220" s="840">
        <v>2009.9999999999998</v>
      </c>
      <c r="H220" s="841">
        <v>2009.9999999999998</v>
      </c>
      <c r="I220" s="746"/>
      <c r="J220" s="746"/>
      <c r="K220" s="746"/>
    </row>
    <row r="221" spans="1:11" ht="15" x14ac:dyDescent="0.5">
      <c r="A221" s="521" t="s">
        <v>274</v>
      </c>
      <c r="B221" s="514"/>
      <c r="C221" s="836">
        <v>2017</v>
      </c>
      <c r="D221" s="520">
        <v>3</v>
      </c>
      <c r="E221" s="837"/>
      <c r="F221" s="876"/>
      <c r="G221" s="840">
        <v>2051.7836134453778</v>
      </c>
      <c r="H221" s="841">
        <v>2051.7836134453778</v>
      </c>
      <c r="I221" s="746"/>
      <c r="J221" s="746"/>
      <c r="K221" s="746"/>
    </row>
    <row r="222" spans="1:11" ht="15" x14ac:dyDescent="0.45">
      <c r="A222" s="842" t="s">
        <v>722</v>
      </c>
      <c r="B222" s="514"/>
      <c r="C222" s="836">
        <v>2018</v>
      </c>
      <c r="D222" s="520">
        <v>4</v>
      </c>
      <c r="E222" s="837"/>
      <c r="F222" s="876"/>
      <c r="G222" s="840">
        <v>2093.5126050420163</v>
      </c>
      <c r="H222" s="841">
        <v>2093.5126050420163</v>
      </c>
      <c r="I222" s="746"/>
      <c r="J222" s="746"/>
      <c r="K222" s="746"/>
    </row>
    <row r="223" spans="1:11" ht="15" x14ac:dyDescent="0.5">
      <c r="A223" s="790"/>
      <c r="B223" s="522"/>
      <c r="C223" s="836">
        <v>2019</v>
      </c>
      <c r="D223" s="520">
        <v>5</v>
      </c>
      <c r="E223" s="837"/>
      <c r="F223" s="876"/>
      <c r="G223" s="840">
        <v>2135.1869747899154</v>
      </c>
      <c r="H223" s="841">
        <v>2135.1869747899154</v>
      </c>
      <c r="I223" s="746"/>
      <c r="J223" s="746"/>
      <c r="K223" s="746"/>
    </row>
    <row r="224" spans="1:11" ht="15" x14ac:dyDescent="0.45">
      <c r="A224" s="879" t="s">
        <v>275</v>
      </c>
      <c r="B224" s="514"/>
      <c r="C224" s="836">
        <v>2020</v>
      </c>
      <c r="D224" s="520">
        <v>6</v>
      </c>
      <c r="E224" s="837"/>
      <c r="F224" s="876"/>
      <c r="G224" s="840">
        <v>2176.8067226890753</v>
      </c>
      <c r="H224" s="841">
        <v>2176.8067226890753</v>
      </c>
      <c r="I224" s="746"/>
      <c r="J224" s="746"/>
      <c r="K224" s="746"/>
    </row>
    <row r="225" spans="1:11" ht="15" x14ac:dyDescent="0.45">
      <c r="A225" s="791"/>
      <c r="B225" s="514"/>
      <c r="C225" s="836">
        <v>2021</v>
      </c>
      <c r="D225" s="520">
        <v>7</v>
      </c>
      <c r="E225" s="837"/>
      <c r="F225" s="876"/>
      <c r="G225" s="840">
        <v>2218.3718487394954</v>
      </c>
      <c r="H225" s="841">
        <v>2218.3718487394954</v>
      </c>
      <c r="I225" s="746"/>
      <c r="J225" s="746"/>
      <c r="K225" s="746"/>
    </row>
    <row r="226" spans="1:11" ht="15" x14ac:dyDescent="0.45">
      <c r="A226" s="892"/>
      <c r="B226" s="514"/>
      <c r="C226" s="836">
        <v>2022</v>
      </c>
      <c r="D226" s="520">
        <v>8</v>
      </c>
      <c r="E226" s="837"/>
      <c r="F226" s="876"/>
      <c r="G226" s="840">
        <v>2259.8823529411761</v>
      </c>
      <c r="H226" s="841">
        <v>2259.8823529411761</v>
      </c>
      <c r="I226" s="746"/>
      <c r="J226" s="746"/>
      <c r="K226" s="746"/>
    </row>
    <row r="227" spans="1:11" ht="15" x14ac:dyDescent="0.45">
      <c r="A227" s="842">
        <v>1000</v>
      </c>
      <c r="B227" s="514"/>
      <c r="C227" s="836">
        <v>2023</v>
      </c>
      <c r="D227" s="520">
        <v>9</v>
      </c>
      <c r="E227" s="837"/>
      <c r="F227" s="876"/>
      <c r="G227" s="840">
        <v>2301.3382352941171</v>
      </c>
      <c r="H227" s="841">
        <v>2301.3382352941171</v>
      </c>
      <c r="I227" s="746"/>
      <c r="J227" s="746"/>
      <c r="K227" s="746"/>
    </row>
    <row r="228" spans="1:11" ht="14.1" x14ac:dyDescent="0.45">
      <c r="A228" s="514"/>
      <c r="B228" s="514"/>
      <c r="C228" s="836">
        <v>2024</v>
      </c>
      <c r="D228" s="520">
        <v>10</v>
      </c>
      <c r="E228" s="837"/>
      <c r="F228" s="876"/>
      <c r="G228" s="840">
        <v>2342.7394957983188</v>
      </c>
      <c r="H228" s="841">
        <v>2342.7394957983188</v>
      </c>
      <c r="I228" s="746"/>
      <c r="J228" s="746"/>
      <c r="K228" s="746"/>
    </row>
    <row r="229" spans="1:11" ht="14.1" x14ac:dyDescent="0.45">
      <c r="A229" s="514"/>
      <c r="B229" s="514"/>
      <c r="C229" s="836">
        <v>2025</v>
      </c>
      <c r="D229" s="520">
        <v>11</v>
      </c>
      <c r="E229" s="837"/>
      <c r="F229" s="876"/>
      <c r="G229" s="840">
        <v>2384.0861344537811</v>
      </c>
      <c r="H229" s="841">
        <v>2384.0861344537811</v>
      </c>
      <c r="I229" s="746"/>
      <c r="J229" s="746"/>
      <c r="K229" s="746"/>
    </row>
    <row r="230" spans="1:11" ht="14.1" x14ac:dyDescent="0.45">
      <c r="A230" s="514"/>
      <c r="B230" s="514"/>
      <c r="C230" s="836">
        <v>2026</v>
      </c>
      <c r="D230" s="520">
        <v>12</v>
      </c>
      <c r="E230" s="837"/>
      <c r="F230" s="876"/>
      <c r="G230" s="840">
        <v>2425.3781512605037</v>
      </c>
      <c r="H230" s="841">
        <v>2425.3781512605037</v>
      </c>
      <c r="I230" s="746"/>
      <c r="J230" s="746"/>
      <c r="K230" s="746"/>
    </row>
    <row r="231" spans="1:11" ht="14.1" x14ac:dyDescent="0.45">
      <c r="A231" s="514"/>
      <c r="B231" s="514"/>
      <c r="C231" s="836">
        <v>2027</v>
      </c>
      <c r="D231" s="520">
        <v>13</v>
      </c>
      <c r="E231" s="837"/>
      <c r="F231" s="876"/>
      <c r="G231" s="840">
        <v>2466.615546218487</v>
      </c>
      <c r="H231" s="841">
        <v>2466.615546218487</v>
      </c>
      <c r="I231" s="746"/>
      <c r="J231" s="746"/>
      <c r="K231" s="746"/>
    </row>
    <row r="232" spans="1:11" ht="14.1" x14ac:dyDescent="0.45">
      <c r="A232" s="514"/>
      <c r="B232" s="514"/>
      <c r="C232" s="836">
        <v>2028</v>
      </c>
      <c r="D232" s="520">
        <v>14</v>
      </c>
      <c r="E232" s="837"/>
      <c r="F232" s="876"/>
      <c r="G232" s="840">
        <v>2507.7983193277305</v>
      </c>
      <c r="H232" s="841">
        <v>2507.7983193277305</v>
      </c>
      <c r="I232" s="746"/>
      <c r="J232" s="746"/>
      <c r="K232" s="746"/>
    </row>
    <row r="233" spans="1:11" ht="14.1" x14ac:dyDescent="0.45">
      <c r="A233" s="514"/>
      <c r="B233" s="514"/>
      <c r="C233" s="836">
        <v>2029</v>
      </c>
      <c r="D233" s="520">
        <v>15</v>
      </c>
      <c r="E233" s="837"/>
      <c r="F233" s="876"/>
      <c r="G233" s="840">
        <v>2548.9264705882351</v>
      </c>
      <c r="H233" s="841">
        <v>2548.9264705882351</v>
      </c>
      <c r="I233" s="746"/>
      <c r="J233" s="746"/>
      <c r="K233" s="746"/>
    </row>
    <row r="234" spans="1:11" ht="14.1" x14ac:dyDescent="0.45">
      <c r="A234" s="514"/>
      <c r="B234" s="514"/>
      <c r="C234" s="836">
        <v>2030</v>
      </c>
      <c r="D234" s="520">
        <v>16</v>
      </c>
      <c r="E234" s="837">
        <v>2.59</v>
      </c>
      <c r="F234" s="876">
        <v>2590</v>
      </c>
      <c r="G234" s="840">
        <v>2590</v>
      </c>
      <c r="H234" s="841">
        <v>2590</v>
      </c>
      <c r="I234" s="746"/>
      <c r="J234" s="746"/>
      <c r="K234" s="746"/>
    </row>
    <row r="235" spans="1:11" ht="14.1" x14ac:dyDescent="0.45">
      <c r="A235" s="514"/>
      <c r="B235" s="514"/>
      <c r="C235" s="836">
        <v>2031</v>
      </c>
      <c r="D235" s="520">
        <v>17</v>
      </c>
      <c r="E235" s="837"/>
      <c r="F235" s="876"/>
      <c r="G235" s="840">
        <v>2631.0189075630251</v>
      </c>
      <c r="H235" s="841">
        <v>2631.0189075630251</v>
      </c>
      <c r="I235" s="746"/>
      <c r="J235" s="746"/>
      <c r="K235" s="746"/>
    </row>
    <row r="236" spans="1:11" ht="14.1" x14ac:dyDescent="0.45">
      <c r="A236" s="514"/>
      <c r="B236" s="514"/>
      <c r="C236" s="836">
        <v>2032</v>
      </c>
      <c r="D236" s="520">
        <v>18</v>
      </c>
      <c r="E236" s="837"/>
      <c r="F236" s="876"/>
      <c r="G236" s="840">
        <v>2671.9831932773104</v>
      </c>
      <c r="H236" s="841">
        <v>2671.9831932773104</v>
      </c>
      <c r="I236" s="746"/>
      <c r="J236" s="746"/>
      <c r="K236" s="746"/>
    </row>
    <row r="237" spans="1:11" ht="14.1" x14ac:dyDescent="0.45">
      <c r="A237" s="522"/>
      <c r="B237" s="522"/>
      <c r="C237" s="836">
        <v>2033</v>
      </c>
      <c r="D237" s="520">
        <v>19</v>
      </c>
      <c r="E237" s="837"/>
      <c r="F237" s="876"/>
      <c r="G237" s="840">
        <v>2712.8928571428569</v>
      </c>
      <c r="H237" s="841">
        <v>2712.8928571428569</v>
      </c>
      <c r="I237" s="746"/>
      <c r="J237" s="746"/>
      <c r="K237" s="746"/>
    </row>
    <row r="238" spans="1:11" ht="14.1" x14ac:dyDescent="0.45">
      <c r="A238" s="522"/>
      <c r="B238" s="522"/>
      <c r="C238" s="836">
        <v>2034</v>
      </c>
      <c r="D238" s="520">
        <v>20</v>
      </c>
      <c r="E238" s="837"/>
      <c r="F238" s="876"/>
      <c r="G238" s="840">
        <v>2753.7478991596636</v>
      </c>
      <c r="H238" s="841">
        <v>2753.7478991596636</v>
      </c>
      <c r="I238" s="746"/>
      <c r="J238" s="746"/>
      <c r="K238" s="746"/>
    </row>
    <row r="239" spans="1:11" ht="14.1" x14ac:dyDescent="0.45">
      <c r="A239" s="522"/>
      <c r="B239" s="522"/>
      <c r="C239" s="836">
        <v>2035</v>
      </c>
      <c r="D239" s="520">
        <v>21</v>
      </c>
      <c r="E239" s="837"/>
      <c r="F239" s="876"/>
      <c r="G239" s="840">
        <v>2794.548319327731</v>
      </c>
      <c r="H239" s="841">
        <v>2794.548319327731</v>
      </c>
      <c r="I239" s="746"/>
      <c r="J239" s="746"/>
      <c r="K239" s="746"/>
    </row>
    <row r="240" spans="1:11" ht="14.1" x14ac:dyDescent="0.45">
      <c r="A240" s="522"/>
      <c r="B240" s="522"/>
      <c r="C240" s="836">
        <v>2036</v>
      </c>
      <c r="D240" s="520">
        <v>22</v>
      </c>
      <c r="E240" s="837"/>
      <c r="F240" s="876"/>
      <c r="G240" s="840">
        <v>2835.2941176470586</v>
      </c>
      <c r="H240" s="841">
        <v>2835.2941176470586</v>
      </c>
      <c r="I240" s="746"/>
      <c r="J240" s="746"/>
      <c r="K240" s="746"/>
    </row>
    <row r="241" spans="1:11" ht="14.1" x14ac:dyDescent="0.45">
      <c r="A241" s="522"/>
      <c r="B241" s="522"/>
      <c r="C241" s="836">
        <v>2037</v>
      </c>
      <c r="D241" s="520">
        <v>23</v>
      </c>
      <c r="E241" s="837"/>
      <c r="F241" s="876"/>
      <c r="G241" s="840">
        <v>2875.9852941176468</v>
      </c>
      <c r="H241" s="841">
        <v>2875.9852941176468</v>
      </c>
      <c r="I241" s="746"/>
      <c r="J241" s="746"/>
      <c r="K241" s="746"/>
    </row>
    <row r="242" spans="1:11" ht="14.1" x14ac:dyDescent="0.45">
      <c r="A242" s="522"/>
      <c r="B242" s="522"/>
      <c r="C242" s="836">
        <v>2038</v>
      </c>
      <c r="D242" s="520">
        <v>24</v>
      </c>
      <c r="E242" s="837"/>
      <c r="F242" s="876"/>
      <c r="G242" s="840">
        <v>2916.6218487394954</v>
      </c>
      <c r="H242" s="841">
        <v>2916.6218487394954</v>
      </c>
      <c r="I242" s="746"/>
      <c r="J242" s="746"/>
      <c r="K242" s="746"/>
    </row>
    <row r="243" spans="1:11" ht="14.1" x14ac:dyDescent="0.45">
      <c r="A243" s="522"/>
      <c r="B243" s="522"/>
      <c r="C243" s="836">
        <v>2039</v>
      </c>
      <c r="D243" s="520">
        <v>25</v>
      </c>
      <c r="E243" s="837"/>
      <c r="F243" s="876"/>
      <c r="G243" s="840">
        <v>2957.203781512605</v>
      </c>
      <c r="H243" s="841">
        <v>2957.203781512605</v>
      </c>
      <c r="I243" s="746"/>
      <c r="J243" s="746"/>
      <c r="K243" s="746"/>
    </row>
    <row r="244" spans="1:11" ht="14.1" x14ac:dyDescent="0.45">
      <c r="A244" s="522"/>
      <c r="B244" s="522"/>
      <c r="C244" s="836">
        <v>2040</v>
      </c>
      <c r="D244" s="520">
        <v>26</v>
      </c>
      <c r="E244" s="837"/>
      <c r="F244" s="876"/>
      <c r="G244" s="840">
        <v>2997.7310924369749</v>
      </c>
      <c r="H244" s="841">
        <v>2997.7310924369749</v>
      </c>
      <c r="I244" s="746"/>
      <c r="J244" s="746"/>
      <c r="K244" s="746"/>
    </row>
    <row r="245" spans="1:11" ht="14.1" x14ac:dyDescent="0.45">
      <c r="A245" s="522"/>
      <c r="B245" s="522"/>
      <c r="C245" s="836">
        <v>2041</v>
      </c>
      <c r="D245" s="520">
        <v>27</v>
      </c>
      <c r="E245" s="837"/>
      <c r="F245" s="876"/>
      <c r="G245" s="840">
        <v>3038.203781512605</v>
      </c>
      <c r="H245" s="841">
        <v>3038.203781512605</v>
      </c>
      <c r="I245" s="746"/>
      <c r="J245" s="746"/>
      <c r="K245" s="746"/>
    </row>
    <row r="246" spans="1:11" ht="14.1" x14ac:dyDescent="0.45">
      <c r="A246" s="522"/>
      <c r="B246" s="522"/>
      <c r="C246" s="836">
        <v>2042</v>
      </c>
      <c r="D246" s="520">
        <v>28</v>
      </c>
      <c r="E246" s="837"/>
      <c r="F246" s="876"/>
      <c r="G246" s="840">
        <v>3078.6218487394954</v>
      </c>
      <c r="H246" s="841">
        <v>3078.6218487394954</v>
      </c>
      <c r="I246" s="746"/>
      <c r="J246" s="746"/>
      <c r="K246" s="746"/>
    </row>
    <row r="247" spans="1:11" ht="14.1" x14ac:dyDescent="0.45">
      <c r="A247" s="522"/>
      <c r="B247" s="522"/>
      <c r="C247" s="836">
        <v>2043</v>
      </c>
      <c r="D247" s="520">
        <v>29</v>
      </c>
      <c r="E247" s="837"/>
      <c r="F247" s="876"/>
      <c r="G247" s="840">
        <v>3118.9852941176468</v>
      </c>
      <c r="H247" s="841">
        <v>3118.9852941176468</v>
      </c>
      <c r="I247" s="746"/>
      <c r="J247" s="746"/>
      <c r="K247" s="746"/>
    </row>
    <row r="248" spans="1:11" ht="14.1" x14ac:dyDescent="0.45">
      <c r="A248" s="522"/>
      <c r="B248" s="522"/>
      <c r="C248" s="836">
        <v>2044</v>
      </c>
      <c r="D248" s="520">
        <v>30</v>
      </c>
      <c r="E248" s="837"/>
      <c r="F248" s="876"/>
      <c r="G248" s="840">
        <v>3159.2941176470586</v>
      </c>
      <c r="H248" s="841">
        <v>3159.2941176470586</v>
      </c>
      <c r="I248" s="746"/>
      <c r="J248" s="746"/>
      <c r="K248" s="746"/>
    </row>
    <row r="249" spans="1:11" ht="14.1" x14ac:dyDescent="0.45">
      <c r="A249" s="522"/>
      <c r="B249" s="522"/>
      <c r="C249" s="836">
        <v>2045</v>
      </c>
      <c r="D249" s="520">
        <v>31</v>
      </c>
      <c r="E249" s="837"/>
      <c r="F249" s="876"/>
      <c r="G249" s="840">
        <v>3199.5483193277314</v>
      </c>
      <c r="H249" s="841">
        <v>3199.5483193277314</v>
      </c>
      <c r="I249" s="746"/>
      <c r="J249" s="746"/>
      <c r="K249" s="746"/>
    </row>
    <row r="250" spans="1:11" ht="14.1" x14ac:dyDescent="0.45">
      <c r="A250" s="522"/>
      <c r="B250" s="522"/>
      <c r="C250" s="836">
        <v>2046</v>
      </c>
      <c r="D250" s="520">
        <v>32</v>
      </c>
      <c r="E250" s="837"/>
      <c r="F250" s="876"/>
      <c r="G250" s="840">
        <v>3239.7478991596636</v>
      </c>
      <c r="H250" s="841">
        <v>3239.7478991596636</v>
      </c>
      <c r="I250" s="746"/>
      <c r="J250" s="746"/>
      <c r="K250" s="746"/>
    </row>
    <row r="251" spans="1:11" ht="14.1" x14ac:dyDescent="0.45">
      <c r="A251" s="523"/>
      <c r="B251" s="524"/>
      <c r="C251" s="836">
        <v>2047</v>
      </c>
      <c r="D251" s="520">
        <v>33</v>
      </c>
      <c r="E251" s="837"/>
      <c r="F251" s="876"/>
      <c r="G251" s="840">
        <v>3279.8928571428569</v>
      </c>
      <c r="H251" s="841">
        <v>3279.8928571428569</v>
      </c>
      <c r="I251" s="746"/>
      <c r="J251" s="746"/>
      <c r="K251" s="746"/>
    </row>
    <row r="252" spans="1:11" ht="14.1" x14ac:dyDescent="0.45">
      <c r="A252" s="746"/>
      <c r="B252" s="524"/>
      <c r="C252" s="836">
        <v>2048</v>
      </c>
      <c r="D252" s="520">
        <v>34</v>
      </c>
      <c r="E252" s="837"/>
      <c r="F252" s="876"/>
      <c r="G252" s="840">
        <v>3319.9831932773109</v>
      </c>
      <c r="H252" s="841">
        <v>3319.9831932773109</v>
      </c>
      <c r="I252" s="746"/>
      <c r="J252" s="746"/>
      <c r="K252" s="746"/>
    </row>
    <row r="253" spans="1:11" ht="14.1" x14ac:dyDescent="0.4">
      <c r="A253" s="746"/>
      <c r="B253" s="746"/>
      <c r="C253" s="836">
        <v>2049</v>
      </c>
      <c r="D253" s="520">
        <v>35</v>
      </c>
      <c r="E253" s="837"/>
      <c r="F253" s="876"/>
      <c r="G253" s="840">
        <v>3360.0189075630251</v>
      </c>
      <c r="H253" s="841">
        <v>3360.0189075630251</v>
      </c>
      <c r="I253" s="746"/>
      <c r="J253" s="746"/>
      <c r="K253" s="746"/>
    </row>
    <row r="254" spans="1:11" ht="14.1" x14ac:dyDescent="0.4">
      <c r="A254" s="746"/>
      <c r="B254" s="746"/>
      <c r="C254" s="836">
        <v>2050</v>
      </c>
      <c r="D254" s="520">
        <v>36</v>
      </c>
      <c r="E254" s="837">
        <v>3.4</v>
      </c>
      <c r="F254" s="876">
        <v>3400</v>
      </c>
      <c r="G254" s="840">
        <v>3400</v>
      </c>
      <c r="H254" s="841">
        <v>3400</v>
      </c>
      <c r="I254" s="746"/>
      <c r="J254" s="746"/>
      <c r="K254" s="746"/>
    </row>
    <row r="255" spans="1:11" ht="14.1" x14ac:dyDescent="0.4">
      <c r="C255" s="836">
        <v>2051</v>
      </c>
      <c r="D255" s="520">
        <v>37</v>
      </c>
      <c r="E255" s="837"/>
      <c r="F255" s="876"/>
      <c r="G255" s="840">
        <v>3439.9264705882351</v>
      </c>
      <c r="H255" s="841">
        <v>3439.9264705882351</v>
      </c>
    </row>
    <row r="256" spans="1:11" ht="14.1" x14ac:dyDescent="0.4">
      <c r="C256" s="836">
        <v>2052</v>
      </c>
      <c r="D256" s="520">
        <v>38</v>
      </c>
      <c r="E256" s="837"/>
      <c r="F256" s="876"/>
      <c r="G256" s="840">
        <v>3479.7983193277314</v>
      </c>
      <c r="H256" s="841">
        <v>3479.7983193277314</v>
      </c>
    </row>
    <row r="257" spans="1:11" ht="14.1" x14ac:dyDescent="0.4">
      <c r="C257" s="836">
        <v>2053</v>
      </c>
      <c r="D257" s="520">
        <v>39</v>
      </c>
      <c r="E257" s="837"/>
      <c r="F257" s="876"/>
      <c r="G257" s="840">
        <v>3519.6155462184879</v>
      </c>
      <c r="H257" s="841">
        <v>3519.6155462184879</v>
      </c>
    </row>
    <row r="258" spans="1:11" ht="14.1" x14ac:dyDescent="0.4">
      <c r="C258" s="836">
        <v>2054</v>
      </c>
      <c r="D258" s="520">
        <v>40</v>
      </c>
      <c r="E258" s="837"/>
      <c r="F258" s="876"/>
      <c r="G258" s="840">
        <v>3559.3781512605046</v>
      </c>
      <c r="H258" s="841">
        <v>3559.3781512605046</v>
      </c>
    </row>
    <row r="259" spans="1:11" ht="14.1" x14ac:dyDescent="0.4">
      <c r="C259" s="836">
        <v>2055</v>
      </c>
      <c r="D259" s="520">
        <v>41</v>
      </c>
      <c r="E259" s="837"/>
      <c r="F259" s="876"/>
      <c r="G259" s="840">
        <v>3599.0861344537816</v>
      </c>
      <c r="H259" s="841">
        <v>3599.0861344537816</v>
      </c>
    </row>
    <row r="260" spans="1:11" ht="14.1" x14ac:dyDescent="0.4">
      <c r="C260" s="836">
        <v>2056</v>
      </c>
      <c r="D260" s="520">
        <v>42</v>
      </c>
      <c r="E260" s="837"/>
      <c r="F260" s="876"/>
      <c r="G260" s="840">
        <v>3638.7394957983197</v>
      </c>
      <c r="H260" s="841">
        <v>3638.7394957983197</v>
      </c>
    </row>
    <row r="261" spans="1:11" ht="14.1" x14ac:dyDescent="0.4">
      <c r="C261" s="836">
        <v>2057</v>
      </c>
      <c r="D261" s="520">
        <v>43</v>
      </c>
      <c r="E261" s="837"/>
      <c r="F261" s="876"/>
      <c r="G261" s="840">
        <v>3678.338235294118</v>
      </c>
      <c r="H261" s="841">
        <v>3678.338235294118</v>
      </c>
    </row>
    <row r="262" spans="1:11" ht="14.1" x14ac:dyDescent="0.4">
      <c r="C262" s="836">
        <v>2058</v>
      </c>
      <c r="D262" s="520">
        <v>44</v>
      </c>
      <c r="E262" s="837"/>
      <c r="F262" s="876"/>
      <c r="G262" s="840">
        <v>3717.8823529411766</v>
      </c>
      <c r="H262" s="841">
        <v>3717.8823529411766</v>
      </c>
    </row>
    <row r="263" spans="1:11" ht="14.1" x14ac:dyDescent="0.4">
      <c r="C263" s="836">
        <v>2059</v>
      </c>
      <c r="D263" s="520">
        <v>45</v>
      </c>
      <c r="E263" s="837"/>
      <c r="F263" s="876"/>
      <c r="G263" s="840">
        <v>3757.3718487394963</v>
      </c>
      <c r="H263" s="841">
        <v>3757.3718487394963</v>
      </c>
    </row>
    <row r="264" spans="1:11" ht="14.1" x14ac:dyDescent="0.4">
      <c r="C264" s="843">
        <v>2060</v>
      </c>
      <c r="D264" s="520">
        <v>46</v>
      </c>
      <c r="E264" s="837"/>
      <c r="F264" s="876"/>
      <c r="G264" s="840">
        <v>3796.8067226890762</v>
      </c>
      <c r="H264" s="841">
        <v>3796.8067226890762</v>
      </c>
    </row>
    <row r="267" spans="1:11" ht="15" x14ac:dyDescent="0.5">
      <c r="A267" s="621" t="str">
        <f ca="1">HYPERLINK("#"&amp;"'"&amp;A$1&amp;"'!a1","Back to top")</f>
        <v>Back to top</v>
      </c>
    </row>
    <row r="270" spans="1:11" ht="15" x14ac:dyDescent="0.5">
      <c r="A270" s="508">
        <v>2</v>
      </c>
      <c r="B270" s="509" t="s">
        <v>605</v>
      </c>
      <c r="C270" s="787"/>
      <c r="D270" s="787"/>
      <c r="E270" s="787"/>
      <c r="F270" s="787"/>
      <c r="G270" s="787"/>
      <c r="H270" s="787"/>
      <c r="I270" s="787"/>
      <c r="J270" s="787"/>
      <c r="K270" s="787"/>
    </row>
    <row r="271" spans="1:11" ht="15" x14ac:dyDescent="0.5">
      <c r="A271" s="510" t="s">
        <v>260</v>
      </c>
      <c r="B271" s="511"/>
      <c r="C271" s="511"/>
      <c r="D271" s="223"/>
      <c r="E271" s="512"/>
      <c r="F271" s="1309"/>
      <c r="G271" s="512"/>
      <c r="H271" s="513"/>
      <c r="I271" s="746"/>
      <c r="J271" s="746"/>
      <c r="K271" s="746"/>
    </row>
    <row r="272" spans="1:11" ht="15.3" thickBot="1" x14ac:dyDescent="0.5">
      <c r="A272" s="872" t="s">
        <v>603</v>
      </c>
      <c r="B272" s="514"/>
      <c r="C272" s="514"/>
      <c r="D272" s="515"/>
      <c r="E272" s="516" t="s">
        <v>222</v>
      </c>
      <c r="F272" s="1310"/>
      <c r="G272" s="873" t="s">
        <v>665</v>
      </c>
      <c r="H272" s="513"/>
      <c r="I272" s="746"/>
      <c r="J272" s="746"/>
      <c r="K272" s="746"/>
    </row>
    <row r="273" spans="1:11" ht="37.200000000000003" thickBot="1" x14ac:dyDescent="0.5">
      <c r="A273" s="517"/>
      <c r="B273" s="517"/>
      <c r="C273" s="517"/>
      <c r="D273" s="518"/>
      <c r="E273" s="873" t="s">
        <v>724</v>
      </c>
      <c r="F273" s="873" t="s">
        <v>664</v>
      </c>
      <c r="G273" s="874" t="s">
        <v>738</v>
      </c>
      <c r="H273" s="873" t="s">
        <v>667</v>
      </c>
      <c r="I273" s="873" t="s">
        <v>666</v>
      </c>
      <c r="J273" s="1297" t="s">
        <v>668</v>
      </c>
      <c r="K273" s="1298"/>
    </row>
    <row r="274" spans="1:11" ht="15" x14ac:dyDescent="0.5">
      <c r="A274" s="510" t="s">
        <v>268</v>
      </c>
      <c r="B274" s="517"/>
      <c r="C274" s="788">
        <v>2005</v>
      </c>
      <c r="D274" s="519">
        <v>-9</v>
      </c>
      <c r="E274" s="875"/>
      <c r="F274" s="876"/>
      <c r="G274" s="877">
        <v>1563.5502283105022</v>
      </c>
      <c r="H274" s="878">
        <v>1563.5502283105022</v>
      </c>
      <c r="I274" s="1303" t="s">
        <v>269</v>
      </c>
      <c r="J274" s="1299"/>
      <c r="K274" s="1300"/>
    </row>
    <row r="275" spans="1:11" ht="15" x14ac:dyDescent="0.45">
      <c r="A275" s="872" t="s">
        <v>211</v>
      </c>
      <c r="B275" s="517"/>
      <c r="C275" s="836">
        <v>2006</v>
      </c>
      <c r="D275" s="520">
        <v>-8</v>
      </c>
      <c r="E275" s="837"/>
      <c r="F275" s="876"/>
      <c r="G275" s="838">
        <v>1604.4063926940639</v>
      </c>
      <c r="H275" s="839">
        <v>1604.4063926940639</v>
      </c>
      <c r="I275" s="1304"/>
      <c r="J275" s="1299"/>
      <c r="K275" s="1300"/>
    </row>
    <row r="276" spans="1:11" ht="14.05" customHeight="1" x14ac:dyDescent="0.45">
      <c r="A276" s="517"/>
      <c r="B276" s="517"/>
      <c r="C276" s="836">
        <v>2007</v>
      </c>
      <c r="D276" s="520">
        <v>-7</v>
      </c>
      <c r="E276" s="837"/>
      <c r="F276" s="876"/>
      <c r="G276" s="838">
        <v>1645.2625570776254</v>
      </c>
      <c r="H276" s="839">
        <v>1645.2625570776254</v>
      </c>
      <c r="I276" s="1304"/>
      <c r="J276" s="1299"/>
      <c r="K276" s="1300"/>
    </row>
    <row r="277" spans="1:11" ht="15" x14ac:dyDescent="0.45">
      <c r="A277" s="676" t="s">
        <v>270</v>
      </c>
      <c r="B277" s="517"/>
      <c r="C277" s="836">
        <v>2008</v>
      </c>
      <c r="D277" s="520">
        <v>-6</v>
      </c>
      <c r="E277" s="837"/>
      <c r="F277" s="876"/>
      <c r="G277" s="838">
        <v>1686.1187214611871</v>
      </c>
      <c r="H277" s="839">
        <v>1686.1187214611871</v>
      </c>
      <c r="I277" s="1304"/>
      <c r="J277" s="1301"/>
      <c r="K277" s="1302"/>
    </row>
    <row r="278" spans="1:11" ht="14.1" x14ac:dyDescent="0.45">
      <c r="A278" s="1306" t="s">
        <v>604</v>
      </c>
      <c r="B278" s="517"/>
      <c r="C278" s="836">
        <v>2009</v>
      </c>
      <c r="D278" s="520">
        <v>-5</v>
      </c>
      <c r="E278" s="837"/>
      <c r="F278" s="876"/>
      <c r="G278" s="838">
        <v>1726.9748858447488</v>
      </c>
      <c r="H278" s="839">
        <v>1726.9748858447488</v>
      </c>
      <c r="I278" s="1304"/>
      <c r="J278" s="746"/>
      <c r="K278" s="746"/>
    </row>
    <row r="279" spans="1:11" ht="14.1" x14ac:dyDescent="0.45">
      <c r="A279" s="1307"/>
      <c r="B279" s="517"/>
      <c r="C279" s="836">
        <v>2010</v>
      </c>
      <c r="D279" s="520">
        <v>-4</v>
      </c>
      <c r="E279" s="837"/>
      <c r="F279" s="876"/>
      <c r="G279" s="838">
        <v>1767.8310502283105</v>
      </c>
      <c r="H279" s="839">
        <v>1767.8310502283105</v>
      </c>
      <c r="I279" s="1304"/>
      <c r="J279" s="746"/>
      <c r="K279" s="746"/>
    </row>
    <row r="280" spans="1:11" ht="14.1" x14ac:dyDescent="0.45">
      <c r="A280" s="1307"/>
      <c r="B280" s="517"/>
      <c r="C280" s="836">
        <v>2011</v>
      </c>
      <c r="D280" s="520">
        <v>-3</v>
      </c>
      <c r="E280" s="837"/>
      <c r="F280" s="876"/>
      <c r="G280" s="838">
        <v>1808.6872146118722</v>
      </c>
      <c r="H280" s="839">
        <v>1808.6872146118722</v>
      </c>
      <c r="I280" s="1305"/>
      <c r="J280" s="746"/>
      <c r="K280" s="746"/>
    </row>
    <row r="281" spans="1:11" ht="14.1" x14ac:dyDescent="0.45">
      <c r="A281" s="1308"/>
      <c r="B281" s="517"/>
      <c r="C281" s="836">
        <v>2012</v>
      </c>
      <c r="D281" s="520">
        <v>-2</v>
      </c>
      <c r="E281" s="837"/>
      <c r="F281" s="876"/>
      <c r="G281" s="840">
        <v>1849.5433789954336</v>
      </c>
      <c r="H281" s="841">
        <v>1849.5433789954336</v>
      </c>
      <c r="I281" s="789" t="s">
        <v>272</v>
      </c>
      <c r="J281" s="746"/>
      <c r="K281" s="746"/>
    </row>
    <row r="282" spans="1:11" ht="14.1" x14ac:dyDescent="0.45">
      <c r="A282" s="517"/>
      <c r="B282" s="517"/>
      <c r="C282" s="836">
        <v>2013</v>
      </c>
      <c r="D282" s="520">
        <v>-1</v>
      </c>
      <c r="E282" s="837"/>
      <c r="F282" s="876"/>
      <c r="G282" s="840">
        <v>1890.3995433789953</v>
      </c>
      <c r="H282" s="841">
        <v>1890.3995433789953</v>
      </c>
      <c r="I282" s="746"/>
      <c r="J282" s="746"/>
      <c r="K282" s="746"/>
    </row>
    <row r="283" spans="1:11" ht="15" x14ac:dyDescent="0.5">
      <c r="A283" s="521" t="s">
        <v>273</v>
      </c>
      <c r="B283" s="517"/>
      <c r="C283" s="836">
        <v>2014</v>
      </c>
      <c r="D283" s="520">
        <v>0</v>
      </c>
      <c r="E283" s="837"/>
      <c r="F283" s="876"/>
      <c r="G283" s="840">
        <v>1931.255707762557</v>
      </c>
      <c r="H283" s="841">
        <v>1931.255707762557</v>
      </c>
      <c r="I283" s="746"/>
      <c r="J283" s="746"/>
      <c r="K283" s="746"/>
    </row>
    <row r="284" spans="1:11" ht="15" x14ac:dyDescent="0.45">
      <c r="A284" s="842">
        <v>2018</v>
      </c>
      <c r="B284" s="514"/>
      <c r="C284" s="836">
        <v>2015</v>
      </c>
      <c r="D284" s="520">
        <v>1</v>
      </c>
      <c r="E284" s="837"/>
      <c r="F284" s="876"/>
      <c r="G284" s="840">
        <v>1972.1118721461187</v>
      </c>
      <c r="H284" s="841">
        <v>1972.1118721461187</v>
      </c>
      <c r="I284" s="746"/>
      <c r="J284" s="746"/>
      <c r="K284" s="746"/>
    </row>
    <row r="285" spans="1:11" ht="14.1" x14ac:dyDescent="0.45">
      <c r="A285" s="746"/>
      <c r="B285" s="514"/>
      <c r="C285" s="836">
        <v>2016</v>
      </c>
      <c r="D285" s="520">
        <v>2</v>
      </c>
      <c r="E285" s="837">
        <v>2.0099999999999998</v>
      </c>
      <c r="F285" s="876">
        <v>2009.9999999999998</v>
      </c>
      <c r="G285" s="840">
        <v>2009.9999999999998</v>
      </c>
      <c r="H285" s="841">
        <v>2009.9999999999998</v>
      </c>
      <c r="I285" s="746"/>
      <c r="J285" s="746"/>
      <c r="K285" s="746"/>
    </row>
    <row r="286" spans="1:11" ht="15" x14ac:dyDescent="0.5">
      <c r="A286" s="521" t="s">
        <v>274</v>
      </c>
      <c r="B286" s="514"/>
      <c r="C286" s="836">
        <v>2017</v>
      </c>
      <c r="D286" s="520">
        <v>3</v>
      </c>
      <c r="E286" s="837"/>
      <c r="F286" s="876"/>
      <c r="G286" s="840">
        <v>2053.8242009132418</v>
      </c>
      <c r="H286" s="841">
        <v>2053.8242009132418</v>
      </c>
      <c r="I286" s="746"/>
      <c r="J286" s="746"/>
      <c r="K286" s="746"/>
    </row>
    <row r="287" spans="1:11" ht="15" x14ac:dyDescent="0.45">
      <c r="A287" s="842" t="s">
        <v>722</v>
      </c>
      <c r="B287" s="514"/>
      <c r="C287" s="836">
        <v>2018</v>
      </c>
      <c r="D287" s="520">
        <v>4</v>
      </c>
      <c r="E287" s="837"/>
      <c r="F287" s="876"/>
      <c r="G287" s="840">
        <v>2094.6803652968038</v>
      </c>
      <c r="H287" s="841">
        <v>2094.6803652968038</v>
      </c>
      <c r="I287" s="746"/>
      <c r="J287" s="746"/>
      <c r="K287" s="746"/>
    </row>
    <row r="288" spans="1:11" ht="15" x14ac:dyDescent="0.5">
      <c r="A288" s="790"/>
      <c r="B288" s="522"/>
      <c r="C288" s="836">
        <v>2019</v>
      </c>
      <c r="D288" s="520">
        <v>5</v>
      </c>
      <c r="E288" s="837"/>
      <c r="F288" s="876"/>
      <c r="G288" s="840">
        <v>2135.5365296803652</v>
      </c>
      <c r="H288" s="841">
        <v>2135.5365296803652</v>
      </c>
      <c r="I288" s="746"/>
      <c r="J288" s="746"/>
      <c r="K288" s="746"/>
    </row>
    <row r="289" spans="1:11" ht="15" x14ac:dyDescent="0.45">
      <c r="A289" s="879" t="s">
        <v>275</v>
      </c>
      <c r="B289" s="514"/>
      <c r="C289" s="836">
        <v>2020</v>
      </c>
      <c r="D289" s="520">
        <v>6</v>
      </c>
      <c r="E289" s="837"/>
      <c r="F289" s="876"/>
      <c r="G289" s="840">
        <v>2176.3926940639267</v>
      </c>
      <c r="H289" s="841">
        <v>2176.3926940639267</v>
      </c>
      <c r="I289" s="746"/>
      <c r="J289" s="746"/>
      <c r="K289" s="746"/>
    </row>
    <row r="290" spans="1:11" ht="15" x14ac:dyDescent="0.45">
      <c r="A290" s="791"/>
      <c r="B290" s="514"/>
      <c r="C290" s="836">
        <v>2021</v>
      </c>
      <c r="D290" s="520">
        <v>7</v>
      </c>
      <c r="E290" s="837"/>
      <c r="F290" s="876"/>
      <c r="G290" s="840">
        <v>2217.2488584474886</v>
      </c>
      <c r="H290" s="841">
        <v>2217.2488584474886</v>
      </c>
      <c r="I290" s="746"/>
      <c r="J290" s="746"/>
      <c r="K290" s="746"/>
    </row>
    <row r="291" spans="1:11" ht="15" x14ac:dyDescent="0.45">
      <c r="A291" s="892"/>
      <c r="B291" s="514"/>
      <c r="C291" s="836">
        <v>2022</v>
      </c>
      <c r="D291" s="520">
        <v>8</v>
      </c>
      <c r="E291" s="837"/>
      <c r="F291" s="876"/>
      <c r="G291" s="840">
        <v>2258.1050228310501</v>
      </c>
      <c r="H291" s="841">
        <v>2258.1050228310501</v>
      </c>
      <c r="I291" s="746"/>
      <c r="J291" s="746"/>
      <c r="K291" s="746"/>
    </row>
    <row r="292" spans="1:11" ht="15" x14ac:dyDescent="0.45">
      <c r="A292" s="842">
        <v>1000</v>
      </c>
      <c r="B292" s="514"/>
      <c r="C292" s="836">
        <v>2023</v>
      </c>
      <c r="D292" s="520">
        <v>9</v>
      </c>
      <c r="E292" s="837"/>
      <c r="F292" s="876"/>
      <c r="G292" s="840">
        <v>2298.961187214612</v>
      </c>
      <c r="H292" s="841">
        <v>2298.961187214612</v>
      </c>
      <c r="I292" s="746"/>
      <c r="J292" s="746"/>
      <c r="K292" s="746"/>
    </row>
    <row r="293" spans="1:11" ht="14.1" x14ac:dyDescent="0.45">
      <c r="A293" s="514"/>
      <c r="B293" s="514"/>
      <c r="C293" s="836">
        <v>2024</v>
      </c>
      <c r="D293" s="520">
        <v>10</v>
      </c>
      <c r="E293" s="837"/>
      <c r="F293" s="876"/>
      <c r="G293" s="840">
        <v>2339.8173515981734</v>
      </c>
      <c r="H293" s="841">
        <v>2339.8173515981734</v>
      </c>
      <c r="I293" s="746"/>
      <c r="J293" s="746"/>
      <c r="K293" s="746"/>
    </row>
    <row r="294" spans="1:11" ht="14.1" x14ac:dyDescent="0.45">
      <c r="A294" s="514"/>
      <c r="B294" s="514"/>
      <c r="C294" s="836">
        <v>2025</v>
      </c>
      <c r="D294" s="520">
        <v>11</v>
      </c>
      <c r="E294" s="837"/>
      <c r="F294" s="876"/>
      <c r="G294" s="840">
        <v>2380.6735159817354</v>
      </c>
      <c r="H294" s="841">
        <v>2380.6735159817354</v>
      </c>
      <c r="I294" s="746"/>
      <c r="J294" s="746"/>
      <c r="K294" s="746"/>
    </row>
    <row r="295" spans="1:11" ht="14.1" x14ac:dyDescent="0.45">
      <c r="A295" s="514"/>
      <c r="B295" s="514"/>
      <c r="C295" s="836">
        <v>2026</v>
      </c>
      <c r="D295" s="520">
        <v>12</v>
      </c>
      <c r="E295" s="837"/>
      <c r="F295" s="876"/>
      <c r="G295" s="840">
        <v>2421.5296803652968</v>
      </c>
      <c r="H295" s="841">
        <v>2421.5296803652968</v>
      </c>
      <c r="I295" s="746"/>
      <c r="J295" s="746"/>
      <c r="K295" s="746"/>
    </row>
    <row r="296" spans="1:11" ht="14.1" x14ac:dyDescent="0.45">
      <c r="A296" s="514"/>
      <c r="B296" s="514"/>
      <c r="C296" s="836">
        <v>2027</v>
      </c>
      <c r="D296" s="520">
        <v>13</v>
      </c>
      <c r="E296" s="837"/>
      <c r="F296" s="876"/>
      <c r="G296" s="840">
        <v>2462.3858447488583</v>
      </c>
      <c r="H296" s="841">
        <v>2462.3858447488583</v>
      </c>
      <c r="I296" s="746"/>
      <c r="J296" s="746"/>
      <c r="K296" s="746"/>
    </row>
    <row r="297" spans="1:11" ht="14.1" x14ac:dyDescent="0.45">
      <c r="A297" s="514"/>
      <c r="B297" s="514"/>
      <c r="C297" s="836">
        <v>2028</v>
      </c>
      <c r="D297" s="520">
        <v>14</v>
      </c>
      <c r="E297" s="837"/>
      <c r="F297" s="876"/>
      <c r="G297" s="840">
        <v>2503.2420091324202</v>
      </c>
      <c r="H297" s="841">
        <v>2503.2420091324202</v>
      </c>
      <c r="I297" s="746"/>
      <c r="J297" s="746"/>
      <c r="K297" s="746"/>
    </row>
    <row r="298" spans="1:11" ht="14.1" x14ac:dyDescent="0.45">
      <c r="A298" s="514"/>
      <c r="B298" s="514"/>
      <c r="C298" s="836">
        <v>2029</v>
      </c>
      <c r="D298" s="520">
        <v>15</v>
      </c>
      <c r="E298" s="837"/>
      <c r="F298" s="876"/>
      <c r="G298" s="840">
        <v>2544.0981735159817</v>
      </c>
      <c r="H298" s="841">
        <v>2544.0981735159817</v>
      </c>
      <c r="I298" s="746"/>
      <c r="J298" s="746"/>
      <c r="K298" s="746"/>
    </row>
    <row r="299" spans="1:11" ht="14.1" x14ac:dyDescent="0.45">
      <c r="A299" s="514"/>
      <c r="B299" s="514"/>
      <c r="C299" s="836">
        <v>2030</v>
      </c>
      <c r="D299" s="520">
        <v>16</v>
      </c>
      <c r="E299" s="837">
        <v>2.59</v>
      </c>
      <c r="F299" s="876">
        <v>2590</v>
      </c>
      <c r="G299" s="840">
        <v>2590</v>
      </c>
      <c r="H299" s="841">
        <v>2590</v>
      </c>
      <c r="I299" s="746"/>
      <c r="J299" s="746"/>
      <c r="K299" s="746"/>
    </row>
    <row r="300" spans="1:11" ht="14.1" x14ac:dyDescent="0.45">
      <c r="A300" s="514"/>
      <c r="B300" s="514"/>
      <c r="C300" s="836">
        <v>2031</v>
      </c>
      <c r="D300" s="520">
        <v>17</v>
      </c>
      <c r="E300" s="837"/>
      <c r="F300" s="876"/>
      <c r="G300" s="840">
        <v>2625.8105022831051</v>
      </c>
      <c r="H300" s="841">
        <v>2625.8105022831051</v>
      </c>
      <c r="I300" s="746"/>
      <c r="J300" s="746"/>
      <c r="K300" s="746"/>
    </row>
    <row r="301" spans="1:11" ht="14.1" x14ac:dyDescent="0.45">
      <c r="A301" s="514"/>
      <c r="B301" s="514"/>
      <c r="C301" s="836">
        <v>2032</v>
      </c>
      <c r="D301" s="520">
        <v>18</v>
      </c>
      <c r="E301" s="837"/>
      <c r="F301" s="876"/>
      <c r="G301" s="840">
        <v>2666.6666666666665</v>
      </c>
      <c r="H301" s="841">
        <v>2666.6666666666665</v>
      </c>
      <c r="I301" s="746"/>
      <c r="J301" s="746"/>
      <c r="K301" s="746"/>
    </row>
    <row r="302" spans="1:11" ht="14.1" x14ac:dyDescent="0.45">
      <c r="A302" s="522"/>
      <c r="B302" s="522"/>
      <c r="C302" s="836">
        <v>2033</v>
      </c>
      <c r="D302" s="520">
        <v>19</v>
      </c>
      <c r="E302" s="837"/>
      <c r="F302" s="876"/>
      <c r="G302" s="840">
        <v>2707.5228310502284</v>
      </c>
      <c r="H302" s="841">
        <v>2707.5228310502284</v>
      </c>
      <c r="I302" s="746"/>
      <c r="J302" s="746"/>
      <c r="K302" s="746"/>
    </row>
    <row r="303" spans="1:11" ht="14.1" x14ac:dyDescent="0.45">
      <c r="A303" s="522"/>
      <c r="B303" s="522"/>
      <c r="C303" s="836">
        <v>2034</v>
      </c>
      <c r="D303" s="520">
        <v>20</v>
      </c>
      <c r="E303" s="837"/>
      <c r="F303" s="876"/>
      <c r="G303" s="840">
        <v>2748.3789954337899</v>
      </c>
      <c r="H303" s="841">
        <v>2748.3789954337899</v>
      </c>
      <c r="I303" s="746"/>
      <c r="J303" s="746"/>
      <c r="K303" s="746"/>
    </row>
    <row r="304" spans="1:11" ht="14.1" x14ac:dyDescent="0.45">
      <c r="A304" s="522"/>
      <c r="B304" s="522"/>
      <c r="C304" s="836">
        <v>2035</v>
      </c>
      <c r="D304" s="520">
        <v>21</v>
      </c>
      <c r="E304" s="837"/>
      <c r="F304" s="876"/>
      <c r="G304" s="840">
        <v>2789.2351598173518</v>
      </c>
      <c r="H304" s="841">
        <v>2789.2351598173518</v>
      </c>
      <c r="I304" s="746"/>
      <c r="J304" s="746"/>
      <c r="K304" s="746"/>
    </row>
    <row r="305" spans="1:11" ht="14.1" x14ac:dyDescent="0.45">
      <c r="A305" s="522"/>
      <c r="B305" s="522"/>
      <c r="C305" s="836">
        <v>2036</v>
      </c>
      <c r="D305" s="520">
        <v>22</v>
      </c>
      <c r="E305" s="837"/>
      <c r="F305" s="876"/>
      <c r="G305" s="840">
        <v>2830.0913242009133</v>
      </c>
      <c r="H305" s="841">
        <v>2830.0913242009133</v>
      </c>
      <c r="I305" s="746"/>
      <c r="J305" s="746"/>
      <c r="K305" s="746"/>
    </row>
    <row r="306" spans="1:11" ht="14.1" x14ac:dyDescent="0.45">
      <c r="A306" s="522"/>
      <c r="B306" s="522"/>
      <c r="C306" s="836">
        <v>2037</v>
      </c>
      <c r="D306" s="520">
        <v>23</v>
      </c>
      <c r="E306" s="837"/>
      <c r="F306" s="876"/>
      <c r="G306" s="840">
        <v>2870.9474885844747</v>
      </c>
      <c r="H306" s="841">
        <v>2870.9474885844747</v>
      </c>
      <c r="I306" s="746"/>
      <c r="J306" s="746"/>
      <c r="K306" s="746"/>
    </row>
    <row r="307" spans="1:11" ht="14.1" x14ac:dyDescent="0.45">
      <c r="A307" s="522"/>
      <c r="B307" s="522"/>
      <c r="C307" s="836">
        <v>2038</v>
      </c>
      <c r="D307" s="520">
        <v>24</v>
      </c>
      <c r="E307" s="837"/>
      <c r="F307" s="876"/>
      <c r="G307" s="840">
        <v>2911.8036529680367</v>
      </c>
      <c r="H307" s="841">
        <v>2911.8036529680367</v>
      </c>
      <c r="I307" s="746"/>
      <c r="J307" s="746"/>
      <c r="K307" s="746"/>
    </row>
    <row r="308" spans="1:11" ht="14.1" x14ac:dyDescent="0.45">
      <c r="A308" s="522"/>
      <c r="B308" s="522"/>
      <c r="C308" s="836">
        <v>2039</v>
      </c>
      <c r="D308" s="520">
        <v>25</v>
      </c>
      <c r="E308" s="837"/>
      <c r="F308" s="876"/>
      <c r="G308" s="840">
        <v>2952.6598173515981</v>
      </c>
      <c r="H308" s="841">
        <v>2952.6598173515981</v>
      </c>
      <c r="I308" s="746"/>
      <c r="J308" s="746"/>
      <c r="K308" s="746"/>
    </row>
    <row r="309" spans="1:11" ht="14.1" x14ac:dyDescent="0.45">
      <c r="A309" s="522"/>
      <c r="B309" s="522"/>
      <c r="C309" s="836">
        <v>2040</v>
      </c>
      <c r="D309" s="520">
        <v>26</v>
      </c>
      <c r="E309" s="837"/>
      <c r="F309" s="876"/>
      <c r="G309" s="840">
        <v>2993.5159817351596</v>
      </c>
      <c r="H309" s="841">
        <v>2993.5159817351596</v>
      </c>
      <c r="I309" s="746"/>
      <c r="J309" s="746"/>
      <c r="K309" s="746"/>
    </row>
    <row r="310" spans="1:11" ht="14.1" x14ac:dyDescent="0.45">
      <c r="A310" s="522"/>
      <c r="B310" s="522"/>
      <c r="C310" s="836">
        <v>2041</v>
      </c>
      <c r="D310" s="520">
        <v>27</v>
      </c>
      <c r="E310" s="837"/>
      <c r="F310" s="876"/>
      <c r="G310" s="840">
        <v>3034.3721461187215</v>
      </c>
      <c r="H310" s="841">
        <v>3034.3721461187215</v>
      </c>
      <c r="I310" s="746"/>
      <c r="J310" s="746"/>
      <c r="K310" s="746"/>
    </row>
    <row r="311" spans="1:11" ht="14.1" x14ac:dyDescent="0.45">
      <c r="A311" s="522"/>
      <c r="B311" s="522"/>
      <c r="C311" s="836">
        <v>2042</v>
      </c>
      <c r="D311" s="520">
        <v>28</v>
      </c>
      <c r="E311" s="837"/>
      <c r="F311" s="876"/>
      <c r="G311" s="840">
        <v>3075.2283105022834</v>
      </c>
      <c r="H311" s="841">
        <v>3075.2283105022834</v>
      </c>
      <c r="I311" s="746"/>
      <c r="J311" s="746"/>
      <c r="K311" s="746"/>
    </row>
    <row r="312" spans="1:11" ht="14.1" x14ac:dyDescent="0.45">
      <c r="A312" s="522"/>
      <c r="B312" s="522"/>
      <c r="C312" s="836">
        <v>2043</v>
      </c>
      <c r="D312" s="520">
        <v>29</v>
      </c>
      <c r="E312" s="837"/>
      <c r="F312" s="876"/>
      <c r="G312" s="840">
        <v>3116.0844748858449</v>
      </c>
      <c r="H312" s="841">
        <v>3116.0844748858449</v>
      </c>
      <c r="I312" s="746"/>
      <c r="J312" s="746"/>
      <c r="K312" s="746"/>
    </row>
    <row r="313" spans="1:11" ht="14.1" x14ac:dyDescent="0.45">
      <c r="A313" s="522"/>
      <c r="B313" s="522"/>
      <c r="C313" s="836">
        <v>2044</v>
      </c>
      <c r="D313" s="520">
        <v>30</v>
      </c>
      <c r="E313" s="837"/>
      <c r="F313" s="876"/>
      <c r="G313" s="840">
        <v>3156.9406392694063</v>
      </c>
      <c r="H313" s="841">
        <v>3156.9406392694063</v>
      </c>
      <c r="I313" s="746"/>
      <c r="J313" s="746"/>
      <c r="K313" s="746"/>
    </row>
    <row r="314" spans="1:11" ht="14.1" x14ac:dyDescent="0.45">
      <c r="A314" s="522"/>
      <c r="B314" s="522"/>
      <c r="C314" s="836">
        <v>2045</v>
      </c>
      <c r="D314" s="520">
        <v>31</v>
      </c>
      <c r="E314" s="837"/>
      <c r="F314" s="876"/>
      <c r="G314" s="840">
        <v>3197.7968036529683</v>
      </c>
      <c r="H314" s="841">
        <v>3197.7968036529683</v>
      </c>
      <c r="I314" s="746"/>
      <c r="J314" s="746"/>
      <c r="K314" s="746"/>
    </row>
    <row r="315" spans="1:11" ht="14.1" x14ac:dyDescent="0.45">
      <c r="A315" s="522"/>
      <c r="B315" s="522"/>
      <c r="C315" s="836">
        <v>2046</v>
      </c>
      <c r="D315" s="520">
        <v>32</v>
      </c>
      <c r="E315" s="837"/>
      <c r="F315" s="876"/>
      <c r="G315" s="840">
        <v>3238.6529680365297</v>
      </c>
      <c r="H315" s="841">
        <v>3238.6529680365297</v>
      </c>
      <c r="I315" s="746"/>
      <c r="J315" s="746"/>
      <c r="K315" s="746"/>
    </row>
    <row r="316" spans="1:11" ht="14.1" x14ac:dyDescent="0.45">
      <c r="A316" s="523"/>
      <c r="B316" s="524"/>
      <c r="C316" s="836">
        <v>2047</v>
      </c>
      <c r="D316" s="520">
        <v>33</v>
      </c>
      <c r="E316" s="837"/>
      <c r="F316" s="876"/>
      <c r="G316" s="840">
        <v>3279.5091324200912</v>
      </c>
      <c r="H316" s="841">
        <v>3279.5091324200912</v>
      </c>
      <c r="I316" s="746"/>
      <c r="J316" s="746"/>
      <c r="K316" s="746"/>
    </row>
    <row r="317" spans="1:11" ht="14.1" x14ac:dyDescent="0.45">
      <c r="A317" s="746"/>
      <c r="B317" s="524"/>
      <c r="C317" s="836">
        <v>2048</v>
      </c>
      <c r="D317" s="520">
        <v>34</v>
      </c>
      <c r="E317" s="837"/>
      <c r="F317" s="876"/>
      <c r="G317" s="840">
        <v>3320.3652968036531</v>
      </c>
      <c r="H317" s="841">
        <v>3320.3652968036531</v>
      </c>
      <c r="I317" s="746"/>
      <c r="J317" s="746"/>
      <c r="K317" s="746"/>
    </row>
    <row r="318" spans="1:11" ht="14.1" x14ac:dyDescent="0.4">
      <c r="A318" s="746"/>
      <c r="B318" s="746"/>
      <c r="C318" s="836">
        <v>2049</v>
      </c>
      <c r="D318" s="520">
        <v>35</v>
      </c>
      <c r="E318" s="837"/>
      <c r="F318" s="876"/>
      <c r="G318" s="840">
        <v>3361.2214611872146</v>
      </c>
      <c r="H318" s="841">
        <v>3361.2214611872146</v>
      </c>
      <c r="I318" s="746"/>
      <c r="J318" s="746"/>
      <c r="K318" s="746"/>
    </row>
    <row r="319" spans="1:11" ht="14.1" x14ac:dyDescent="0.4">
      <c r="A319" s="746"/>
      <c r="B319" s="746"/>
      <c r="C319" s="836">
        <v>2050</v>
      </c>
      <c r="D319" s="520">
        <v>36</v>
      </c>
      <c r="E319" s="837">
        <v>3.4</v>
      </c>
      <c r="F319" s="876">
        <v>3400</v>
      </c>
      <c r="G319" s="840">
        <v>3400</v>
      </c>
      <c r="H319" s="841">
        <v>3400</v>
      </c>
      <c r="I319" s="746"/>
      <c r="J319" s="746"/>
      <c r="K319" s="746"/>
    </row>
    <row r="320" spans="1:11" ht="14.1" x14ac:dyDescent="0.4">
      <c r="C320" s="836">
        <v>2051</v>
      </c>
      <c r="D320" s="520">
        <v>37</v>
      </c>
      <c r="E320" s="837"/>
      <c r="F320" s="876"/>
      <c r="G320" s="840">
        <v>3442.933789954338</v>
      </c>
      <c r="H320" s="841">
        <v>3442.933789954338</v>
      </c>
    </row>
    <row r="321" spans="1:11" ht="14.1" x14ac:dyDescent="0.4">
      <c r="C321" s="836">
        <v>2052</v>
      </c>
      <c r="D321" s="520">
        <v>38</v>
      </c>
      <c r="E321" s="837"/>
      <c r="F321" s="876"/>
      <c r="G321" s="840">
        <v>3483.7899543378999</v>
      </c>
      <c r="H321" s="841">
        <v>3483.7899543378999</v>
      </c>
    </row>
    <row r="322" spans="1:11" ht="14.1" x14ac:dyDescent="0.4">
      <c r="C322" s="836">
        <v>2053</v>
      </c>
      <c r="D322" s="520">
        <v>39</v>
      </c>
      <c r="E322" s="837"/>
      <c r="F322" s="876"/>
      <c r="G322" s="840">
        <v>3524.6461187214613</v>
      </c>
      <c r="H322" s="841">
        <v>3524.6461187214613</v>
      </c>
    </row>
    <row r="323" spans="1:11" ht="14.1" x14ac:dyDescent="0.4">
      <c r="C323" s="836">
        <v>2054</v>
      </c>
      <c r="D323" s="520">
        <v>40</v>
      </c>
      <c r="E323" s="837"/>
      <c r="F323" s="876"/>
      <c r="G323" s="840">
        <v>3565.5022831050228</v>
      </c>
      <c r="H323" s="841">
        <v>3565.5022831050228</v>
      </c>
    </row>
    <row r="324" spans="1:11" ht="14.1" x14ac:dyDescent="0.4">
      <c r="C324" s="836">
        <v>2055</v>
      </c>
      <c r="D324" s="520">
        <v>41</v>
      </c>
      <c r="E324" s="837"/>
      <c r="F324" s="876"/>
      <c r="G324" s="840">
        <v>3606.3584474885847</v>
      </c>
      <c r="H324" s="841">
        <v>3606.3584474885847</v>
      </c>
    </row>
    <row r="325" spans="1:11" ht="14.1" x14ac:dyDescent="0.4">
      <c r="C325" s="836">
        <v>2056</v>
      </c>
      <c r="D325" s="520">
        <v>42</v>
      </c>
      <c r="E325" s="837"/>
      <c r="F325" s="876"/>
      <c r="G325" s="840">
        <v>3647.2146118721462</v>
      </c>
      <c r="H325" s="841">
        <v>3647.2146118721462</v>
      </c>
    </row>
    <row r="326" spans="1:11" ht="14.1" x14ac:dyDescent="0.4">
      <c r="C326" s="836">
        <v>2057</v>
      </c>
      <c r="D326" s="520">
        <v>43</v>
      </c>
      <c r="E326" s="837"/>
      <c r="F326" s="876"/>
      <c r="G326" s="840">
        <v>3688.0707762557076</v>
      </c>
      <c r="H326" s="841">
        <v>3688.0707762557076</v>
      </c>
    </row>
    <row r="327" spans="1:11" ht="14.1" x14ac:dyDescent="0.4">
      <c r="C327" s="836">
        <v>2058</v>
      </c>
      <c r="D327" s="520">
        <v>44</v>
      </c>
      <c r="E327" s="837"/>
      <c r="F327" s="876"/>
      <c r="G327" s="840">
        <v>3728.9269406392696</v>
      </c>
      <c r="H327" s="841">
        <v>3728.9269406392696</v>
      </c>
    </row>
    <row r="328" spans="1:11" ht="14.1" x14ac:dyDescent="0.4">
      <c r="C328" s="836">
        <v>2059</v>
      </c>
      <c r="D328" s="520">
        <v>45</v>
      </c>
      <c r="E328" s="837"/>
      <c r="F328" s="876"/>
      <c r="G328" s="840">
        <v>3769.7831050228315</v>
      </c>
      <c r="H328" s="841">
        <v>3769.7831050228315</v>
      </c>
    </row>
    <row r="329" spans="1:11" ht="14.1" x14ac:dyDescent="0.4">
      <c r="C329" s="843">
        <v>2060</v>
      </c>
      <c r="D329" s="520">
        <v>46</v>
      </c>
      <c r="E329" s="837"/>
      <c r="F329" s="876"/>
      <c r="G329" s="840">
        <v>3810.6392694063925</v>
      </c>
      <c r="H329" s="841">
        <v>3810.6392694063925</v>
      </c>
    </row>
    <row r="332" spans="1:11" ht="15" x14ac:dyDescent="0.5">
      <c r="A332" s="621" t="str">
        <f ca="1">HYPERLINK("#"&amp;"'"&amp;A$1&amp;"'!a1","Back to top")</f>
        <v>Back to top</v>
      </c>
    </row>
    <row r="335" spans="1:11" ht="15" x14ac:dyDescent="0.5">
      <c r="A335" s="508">
        <v>3</v>
      </c>
      <c r="B335" s="509" t="s">
        <v>737</v>
      </c>
      <c r="C335" s="787"/>
      <c r="D335" s="787"/>
      <c r="E335" s="787"/>
      <c r="F335" s="787"/>
      <c r="G335" s="787"/>
      <c r="H335" s="787"/>
      <c r="I335" s="787"/>
      <c r="J335" s="787"/>
      <c r="K335" s="787"/>
    </row>
    <row r="336" spans="1:11" ht="15" x14ac:dyDescent="0.5">
      <c r="A336" s="510" t="s">
        <v>260</v>
      </c>
      <c r="B336" s="511"/>
      <c r="C336" s="511"/>
      <c r="D336" s="223"/>
      <c r="E336" s="512"/>
      <c r="F336" s="1309"/>
      <c r="G336" s="512"/>
      <c r="H336" s="513"/>
      <c r="I336" s="746"/>
      <c r="J336" s="746"/>
      <c r="K336" s="746"/>
    </row>
    <row r="337" spans="1:11" ht="15.3" thickBot="1" x14ac:dyDescent="0.5">
      <c r="A337" s="872" t="s">
        <v>603</v>
      </c>
      <c r="B337" s="514"/>
      <c r="C337" s="514"/>
      <c r="D337" s="515"/>
      <c r="E337" s="516" t="s">
        <v>222</v>
      </c>
      <c r="F337" s="1310"/>
      <c r="G337" s="873" t="e">
        <v>#DIV/0!</v>
      </c>
      <c r="H337" s="513"/>
      <c r="I337" s="746"/>
      <c r="J337" s="746"/>
      <c r="K337" s="746"/>
    </row>
    <row r="338" spans="1:11" ht="37.200000000000003" thickBot="1" x14ac:dyDescent="0.5">
      <c r="A338" s="517"/>
      <c r="B338" s="517"/>
      <c r="C338" s="517"/>
      <c r="D338" s="518"/>
      <c r="E338" s="873" t="s">
        <v>724</v>
      </c>
      <c r="F338" s="873" t="s">
        <v>664</v>
      </c>
      <c r="G338" s="874" t="s">
        <v>738</v>
      </c>
      <c r="H338" s="873" t="s">
        <v>667</v>
      </c>
      <c r="I338" s="873" t="s">
        <v>666</v>
      </c>
      <c r="J338" s="1297" t="s">
        <v>668</v>
      </c>
      <c r="K338" s="1298"/>
    </row>
    <row r="339" spans="1:11" ht="15" x14ac:dyDescent="0.5">
      <c r="A339" s="510" t="s">
        <v>268</v>
      </c>
      <c r="B339" s="517"/>
      <c r="C339" s="788">
        <v>2000</v>
      </c>
      <c r="D339" s="519">
        <v>-14</v>
      </c>
      <c r="E339" s="875">
        <v>997.7</v>
      </c>
      <c r="F339" s="876">
        <v>997.7</v>
      </c>
      <c r="G339" s="877">
        <v>997.7</v>
      </c>
      <c r="H339" s="878">
        <v>997.7</v>
      </c>
      <c r="I339" s="1303" t="s">
        <v>269</v>
      </c>
      <c r="J339" s="1299"/>
      <c r="K339" s="1300"/>
    </row>
    <row r="340" spans="1:11" ht="15" x14ac:dyDescent="0.45">
      <c r="A340" s="872" t="s">
        <v>211</v>
      </c>
      <c r="B340" s="517"/>
      <c r="C340" s="836">
        <v>2001</v>
      </c>
      <c r="D340" s="520">
        <v>-13</v>
      </c>
      <c r="E340" s="837"/>
      <c r="F340" s="876"/>
      <c r="G340" s="838">
        <v>1482.8</v>
      </c>
      <c r="H340" s="839">
        <v>1482.8</v>
      </c>
      <c r="I340" s="1304"/>
      <c r="J340" s="1299"/>
      <c r="K340" s="1300"/>
    </row>
    <row r="341" spans="1:11" ht="14.05" customHeight="1" x14ac:dyDescent="0.45">
      <c r="A341" s="517"/>
      <c r="B341" s="517"/>
      <c r="C341" s="836">
        <v>2002</v>
      </c>
      <c r="D341" s="520">
        <v>-12</v>
      </c>
      <c r="E341" s="837"/>
      <c r="F341" s="876"/>
      <c r="G341" s="838">
        <v>1563.65</v>
      </c>
      <c r="H341" s="839">
        <v>1563.65</v>
      </c>
      <c r="I341" s="1304"/>
      <c r="J341" s="1299"/>
      <c r="K341" s="1300"/>
    </row>
    <row r="342" spans="1:11" ht="15" x14ac:dyDescent="0.45">
      <c r="A342" s="676" t="s">
        <v>270</v>
      </c>
      <c r="B342" s="517"/>
      <c r="C342" s="836">
        <v>2003</v>
      </c>
      <c r="D342" s="520">
        <v>-11</v>
      </c>
      <c r="E342" s="837"/>
      <c r="F342" s="876"/>
      <c r="G342" s="838">
        <v>1644.5</v>
      </c>
      <c r="H342" s="839">
        <v>1644.5</v>
      </c>
      <c r="I342" s="1304"/>
      <c r="J342" s="1301"/>
      <c r="K342" s="1302"/>
    </row>
    <row r="343" spans="1:11" ht="14.1" x14ac:dyDescent="0.45">
      <c r="A343" s="1306" t="s">
        <v>725</v>
      </c>
      <c r="B343" s="517"/>
      <c r="C343" s="836">
        <v>2004</v>
      </c>
      <c r="D343" s="520">
        <v>-10</v>
      </c>
      <c r="E343" s="837"/>
      <c r="F343" s="876"/>
      <c r="G343" s="838">
        <v>1725.35</v>
      </c>
      <c r="H343" s="839">
        <v>1725.35</v>
      </c>
      <c r="I343" s="1304"/>
      <c r="J343" s="746"/>
      <c r="K343" s="746"/>
    </row>
    <row r="344" spans="1:11" ht="14.1" x14ac:dyDescent="0.45">
      <c r="A344" s="1307"/>
      <c r="B344" s="517"/>
      <c r="C344" s="836">
        <v>2005</v>
      </c>
      <c r="D344" s="520">
        <v>-9</v>
      </c>
      <c r="E344" s="837"/>
      <c r="F344" s="876"/>
      <c r="G344" s="838">
        <v>1806.1999999999998</v>
      </c>
      <c r="H344" s="839">
        <v>1806.1999999999998</v>
      </c>
      <c r="I344" s="1304"/>
      <c r="J344" s="746"/>
      <c r="K344" s="746"/>
    </row>
    <row r="345" spans="1:11" ht="14.1" x14ac:dyDescent="0.45">
      <c r="A345" s="1307"/>
      <c r="B345" s="517"/>
      <c r="C345" s="836">
        <v>2006</v>
      </c>
      <c r="D345" s="520">
        <v>-8</v>
      </c>
      <c r="E345" s="837"/>
      <c r="F345" s="876"/>
      <c r="G345" s="838">
        <v>1887.05</v>
      </c>
      <c r="H345" s="839">
        <v>1887.05</v>
      </c>
      <c r="I345" s="1305"/>
      <c r="J345" s="746"/>
      <c r="K345" s="746"/>
    </row>
    <row r="346" spans="1:11" ht="14.1" x14ac:dyDescent="0.45">
      <c r="A346" s="1308"/>
      <c r="B346" s="517"/>
      <c r="C346" s="836">
        <v>2007</v>
      </c>
      <c r="D346" s="520">
        <v>-7</v>
      </c>
      <c r="E346" s="837"/>
      <c r="F346" s="876"/>
      <c r="G346" s="840">
        <v>1967.8999999999999</v>
      </c>
      <c r="H346" s="841">
        <v>1967.8999999999999</v>
      </c>
      <c r="I346" s="789" t="s">
        <v>272</v>
      </c>
      <c r="J346" s="746"/>
      <c r="K346" s="746"/>
    </row>
    <row r="347" spans="1:11" ht="14.1" x14ac:dyDescent="0.45">
      <c r="A347" s="517"/>
      <c r="B347" s="517"/>
      <c r="C347" s="836">
        <v>2008</v>
      </c>
      <c r="D347" s="520">
        <v>-6</v>
      </c>
      <c r="E347" s="837"/>
      <c r="F347" s="876"/>
      <c r="G347" s="840">
        <v>2048.75</v>
      </c>
      <c r="H347" s="841">
        <v>2048.75</v>
      </c>
      <c r="I347" s="746"/>
      <c r="J347" s="746"/>
      <c r="K347" s="746"/>
    </row>
    <row r="348" spans="1:11" ht="15" x14ac:dyDescent="0.5">
      <c r="A348" s="521" t="s">
        <v>273</v>
      </c>
      <c r="B348" s="517"/>
      <c r="C348" s="836">
        <v>2009</v>
      </c>
      <c r="D348" s="520">
        <v>-5</v>
      </c>
      <c r="E348" s="837"/>
      <c r="F348" s="876"/>
      <c r="G348" s="840">
        <v>2129.6</v>
      </c>
      <c r="H348" s="841">
        <v>2129.6</v>
      </c>
      <c r="I348" s="746"/>
      <c r="J348" s="746"/>
      <c r="K348" s="746"/>
    </row>
    <row r="349" spans="1:11" ht="15" x14ac:dyDescent="0.45">
      <c r="A349" s="842">
        <v>2019</v>
      </c>
      <c r="B349" s="514"/>
      <c r="C349" s="836">
        <v>2010</v>
      </c>
      <c r="D349" s="520">
        <v>-4</v>
      </c>
      <c r="E349" s="837">
        <v>1806.2</v>
      </c>
      <c r="F349" s="876">
        <v>1806.2</v>
      </c>
      <c r="G349" s="840">
        <v>1806.2</v>
      </c>
      <c r="H349" s="841">
        <v>1806.2</v>
      </c>
      <c r="I349" s="746"/>
      <c r="J349" s="746"/>
      <c r="K349" s="746"/>
    </row>
    <row r="350" spans="1:11" ht="14.1" x14ac:dyDescent="0.45">
      <c r="A350" s="746"/>
      <c r="B350" s="514"/>
      <c r="C350" s="836">
        <v>2011</v>
      </c>
      <c r="D350" s="520">
        <v>-3</v>
      </c>
      <c r="E350" s="837"/>
      <c r="F350" s="876"/>
      <c r="G350" s="840">
        <v>2291.2999999999997</v>
      </c>
      <c r="H350" s="841">
        <v>2291.2999999999997</v>
      </c>
      <c r="I350" s="746"/>
      <c r="J350" s="746"/>
      <c r="K350" s="746"/>
    </row>
    <row r="351" spans="1:11" ht="15" x14ac:dyDescent="0.5">
      <c r="A351" s="521" t="s">
        <v>274</v>
      </c>
      <c r="B351" s="514"/>
      <c r="C351" s="836">
        <v>2012</v>
      </c>
      <c r="D351" s="520">
        <v>-2</v>
      </c>
      <c r="E351" s="837"/>
      <c r="F351" s="876"/>
      <c r="G351" s="840">
        <v>2372.15</v>
      </c>
      <c r="H351" s="841">
        <v>2372.15</v>
      </c>
      <c r="I351" s="746"/>
      <c r="J351" s="746"/>
      <c r="K351" s="746"/>
    </row>
    <row r="352" spans="1:11" ht="15" x14ac:dyDescent="0.45">
      <c r="A352" s="842" t="s">
        <v>724</v>
      </c>
      <c r="B352" s="514"/>
      <c r="C352" s="836">
        <v>2013</v>
      </c>
      <c r="D352" s="520">
        <v>-1</v>
      </c>
      <c r="E352" s="837"/>
      <c r="F352" s="876"/>
      <c r="G352" s="840">
        <v>2453</v>
      </c>
      <c r="H352" s="841">
        <v>2453</v>
      </c>
      <c r="I352" s="746"/>
      <c r="J352" s="746"/>
      <c r="K352" s="746"/>
    </row>
    <row r="353" spans="1:11" ht="15" x14ac:dyDescent="0.5">
      <c r="A353" s="790"/>
      <c r="B353" s="522"/>
      <c r="C353" s="836">
        <v>2014</v>
      </c>
      <c r="D353" s="520">
        <v>0</v>
      </c>
      <c r="E353" s="837"/>
      <c r="F353" s="876"/>
      <c r="G353" s="840">
        <v>2533.85</v>
      </c>
      <c r="H353" s="841">
        <v>2533.85</v>
      </c>
      <c r="I353" s="746"/>
      <c r="J353" s="746"/>
      <c r="K353" s="746"/>
    </row>
    <row r="354" spans="1:11" ht="15" x14ac:dyDescent="0.45">
      <c r="A354" s="879" t="s">
        <v>275</v>
      </c>
      <c r="B354" s="514"/>
      <c r="C354" s="836">
        <v>2015</v>
      </c>
      <c r="D354" s="520">
        <v>1</v>
      </c>
      <c r="E354" s="837"/>
      <c r="F354" s="876"/>
      <c r="G354" s="840">
        <v>2614.6999999999998</v>
      </c>
      <c r="H354" s="841">
        <v>2614.6999999999998</v>
      </c>
      <c r="I354" s="746"/>
      <c r="J354" s="746"/>
      <c r="K354" s="746"/>
    </row>
    <row r="355" spans="1:11" ht="15" x14ac:dyDescent="0.45">
      <c r="A355" s="791"/>
      <c r="B355" s="514"/>
      <c r="C355" s="836">
        <v>2016</v>
      </c>
      <c r="D355" s="520">
        <v>2</v>
      </c>
      <c r="E355" s="837"/>
      <c r="F355" s="876"/>
      <c r="G355" s="840">
        <v>2695.5499999999997</v>
      </c>
      <c r="H355" s="841">
        <v>2695.5499999999997</v>
      </c>
      <c r="I355" s="746"/>
      <c r="J355" s="746"/>
      <c r="K355" s="746"/>
    </row>
    <row r="356" spans="1:11" ht="15" x14ac:dyDescent="0.45">
      <c r="A356" s="892"/>
      <c r="B356" s="514"/>
      <c r="C356" s="836">
        <v>2017</v>
      </c>
      <c r="D356" s="520">
        <v>3</v>
      </c>
      <c r="E356" s="837"/>
      <c r="F356" s="876"/>
      <c r="G356" s="840">
        <v>2776.3999999999996</v>
      </c>
      <c r="H356" s="841">
        <v>2776.3999999999996</v>
      </c>
      <c r="I356" s="746"/>
      <c r="J356" s="746"/>
      <c r="K356" s="746"/>
    </row>
    <row r="357" spans="1:11" ht="15" x14ac:dyDescent="0.45">
      <c r="A357" s="842"/>
      <c r="B357" s="514"/>
      <c r="C357" s="836">
        <v>2018</v>
      </c>
      <c r="D357" s="520">
        <v>4</v>
      </c>
      <c r="E357" s="837"/>
      <c r="F357" s="876"/>
      <c r="G357" s="840">
        <v>2857.25</v>
      </c>
      <c r="H357" s="841">
        <v>2857.25</v>
      </c>
      <c r="I357" s="746"/>
      <c r="J357" s="746"/>
      <c r="K357" s="746"/>
    </row>
    <row r="358" spans="1:11" ht="14.1" x14ac:dyDescent="0.45">
      <c r="A358" s="514"/>
      <c r="B358" s="514"/>
      <c r="C358" s="836">
        <v>2019</v>
      </c>
      <c r="D358" s="520">
        <v>5</v>
      </c>
      <c r="E358" s="837"/>
      <c r="F358" s="876"/>
      <c r="G358" s="840">
        <v>2938.1</v>
      </c>
      <c r="H358" s="841">
        <v>2938.1</v>
      </c>
      <c r="I358" s="746"/>
      <c r="J358" s="746"/>
      <c r="K358" s="746"/>
    </row>
    <row r="359" spans="1:11" ht="14.1" x14ac:dyDescent="0.45">
      <c r="A359" s="514"/>
      <c r="B359" s="514"/>
      <c r="C359" s="836">
        <v>2020</v>
      </c>
      <c r="D359" s="520">
        <v>6</v>
      </c>
      <c r="E359" s="837"/>
      <c r="F359" s="876"/>
      <c r="G359" s="840">
        <v>3018.95</v>
      </c>
      <c r="H359" s="841">
        <v>3018.95</v>
      </c>
      <c r="I359" s="746"/>
      <c r="J359" s="746"/>
      <c r="K359" s="746"/>
    </row>
    <row r="360" spans="1:11" ht="14.1" x14ac:dyDescent="0.45">
      <c r="A360" s="514"/>
      <c r="B360" s="514"/>
      <c r="C360" s="836">
        <v>2021</v>
      </c>
      <c r="D360" s="520">
        <v>7</v>
      </c>
      <c r="E360" s="837"/>
      <c r="F360" s="876"/>
      <c r="G360" s="840">
        <v>3099.7999999999997</v>
      </c>
      <c r="H360" s="841">
        <v>3099.7999999999997</v>
      </c>
      <c r="I360" s="746"/>
      <c r="J360" s="746"/>
      <c r="K360" s="746"/>
    </row>
    <row r="361" spans="1:11" ht="14.1" x14ac:dyDescent="0.45">
      <c r="A361" s="514"/>
      <c r="B361" s="514"/>
      <c r="C361" s="836">
        <v>2022</v>
      </c>
      <c r="D361" s="520">
        <v>8</v>
      </c>
      <c r="E361" s="837"/>
      <c r="F361" s="876"/>
      <c r="G361" s="840">
        <v>3180.6499999999996</v>
      </c>
      <c r="H361" s="841">
        <v>3180.6499999999996</v>
      </c>
      <c r="I361" s="746"/>
      <c r="J361" s="746"/>
      <c r="K361" s="746"/>
    </row>
    <row r="362" spans="1:11" ht="14.1" x14ac:dyDescent="0.45">
      <c r="A362" s="514"/>
      <c r="B362" s="514"/>
      <c r="C362" s="836">
        <v>2023</v>
      </c>
      <c r="D362" s="520">
        <v>9</v>
      </c>
      <c r="E362" s="837"/>
      <c r="F362" s="876"/>
      <c r="G362" s="840">
        <v>3261.5</v>
      </c>
      <c r="H362" s="841">
        <v>3261.5</v>
      </c>
      <c r="I362" s="746"/>
      <c r="J362" s="746"/>
      <c r="K362" s="746"/>
    </row>
    <row r="363" spans="1:11" ht="14.1" x14ac:dyDescent="0.45">
      <c r="A363" s="514"/>
      <c r="B363" s="514"/>
      <c r="C363" s="836">
        <v>2024</v>
      </c>
      <c r="D363" s="520">
        <v>10</v>
      </c>
      <c r="E363" s="837"/>
      <c r="F363" s="876"/>
      <c r="G363" s="840">
        <v>3342.35</v>
      </c>
      <c r="H363" s="841">
        <v>3342.35</v>
      </c>
      <c r="I363" s="746"/>
      <c r="J363" s="746"/>
      <c r="K363" s="746"/>
    </row>
    <row r="364" spans="1:11" ht="14.1" x14ac:dyDescent="0.45">
      <c r="A364" s="514"/>
      <c r="B364" s="514"/>
      <c r="C364" s="836">
        <v>2025</v>
      </c>
      <c r="D364" s="520">
        <v>11</v>
      </c>
      <c r="E364" s="837"/>
      <c r="F364" s="876"/>
      <c r="G364" s="840">
        <v>3423.2</v>
      </c>
      <c r="H364" s="841">
        <v>3423.2</v>
      </c>
      <c r="I364" s="746"/>
      <c r="J364" s="746"/>
      <c r="K364" s="746"/>
    </row>
    <row r="365" spans="1:11" ht="14.1" x14ac:dyDescent="0.45">
      <c r="A365" s="514"/>
      <c r="B365" s="514"/>
      <c r="C365" s="836">
        <v>2026</v>
      </c>
      <c r="D365" s="520">
        <v>12</v>
      </c>
      <c r="E365" s="837"/>
      <c r="F365" s="876"/>
      <c r="G365" s="840">
        <v>3504.0499999999997</v>
      </c>
      <c r="H365" s="841">
        <v>3504.0499999999997</v>
      </c>
      <c r="I365" s="746"/>
      <c r="J365" s="746"/>
      <c r="K365" s="746"/>
    </row>
    <row r="366" spans="1:11" ht="14.1" x14ac:dyDescent="0.45">
      <c r="A366" s="514"/>
      <c r="B366" s="514"/>
      <c r="C366" s="836">
        <v>2027</v>
      </c>
      <c r="D366" s="520">
        <v>13</v>
      </c>
      <c r="E366" s="837"/>
      <c r="F366" s="876"/>
      <c r="G366" s="840">
        <v>3584.8999999999996</v>
      </c>
      <c r="H366" s="841">
        <v>3584.8999999999996</v>
      </c>
      <c r="I366" s="746"/>
      <c r="J366" s="746"/>
      <c r="K366" s="746"/>
    </row>
    <row r="367" spans="1:11" ht="14.1" x14ac:dyDescent="0.45">
      <c r="A367" s="522"/>
      <c r="B367" s="522"/>
      <c r="C367" s="836">
        <v>2028</v>
      </c>
      <c r="D367" s="520">
        <v>14</v>
      </c>
      <c r="E367" s="837"/>
      <c r="F367" s="876"/>
      <c r="G367" s="840">
        <v>3665.75</v>
      </c>
      <c r="H367" s="841">
        <v>3665.75</v>
      </c>
      <c r="I367" s="746"/>
      <c r="J367" s="746"/>
      <c r="K367" s="746"/>
    </row>
    <row r="368" spans="1:11" ht="14.1" x14ac:dyDescent="0.45">
      <c r="A368" s="522"/>
      <c r="B368" s="522"/>
      <c r="C368" s="836">
        <v>2029</v>
      </c>
      <c r="D368" s="520">
        <v>15</v>
      </c>
      <c r="E368" s="837"/>
      <c r="F368" s="876"/>
      <c r="G368" s="840">
        <v>3746.6</v>
      </c>
      <c r="H368" s="841">
        <v>3746.6</v>
      </c>
      <c r="I368" s="746"/>
      <c r="J368" s="746"/>
      <c r="K368" s="746"/>
    </row>
    <row r="369" spans="1:11" ht="14.1" x14ac:dyDescent="0.45">
      <c r="A369" s="522"/>
      <c r="B369" s="522"/>
      <c r="C369" s="836">
        <v>2030</v>
      </c>
      <c r="D369" s="520">
        <v>16</v>
      </c>
      <c r="E369" s="837"/>
      <c r="F369" s="876"/>
      <c r="G369" s="840">
        <v>3827.45</v>
      </c>
      <c r="H369" s="841">
        <v>3827.45</v>
      </c>
      <c r="I369" s="746"/>
      <c r="J369" s="746"/>
      <c r="K369" s="746"/>
    </row>
    <row r="370" spans="1:11" ht="14.1" x14ac:dyDescent="0.45">
      <c r="A370" s="522"/>
      <c r="B370" s="522"/>
      <c r="C370" s="836">
        <v>2031</v>
      </c>
      <c r="D370" s="520">
        <v>17</v>
      </c>
      <c r="E370" s="837"/>
      <c r="F370" s="876"/>
      <c r="G370" s="840">
        <v>3908.2999999999997</v>
      </c>
      <c r="H370" s="841">
        <v>3908.2999999999997</v>
      </c>
      <c r="I370" s="746"/>
      <c r="J370" s="746"/>
      <c r="K370" s="746"/>
    </row>
    <row r="371" spans="1:11" ht="14.1" x14ac:dyDescent="0.45">
      <c r="A371" s="522"/>
      <c r="B371" s="522"/>
      <c r="C371" s="836">
        <v>2032</v>
      </c>
      <c r="D371" s="520">
        <v>18</v>
      </c>
      <c r="E371" s="837"/>
      <c r="F371" s="876"/>
      <c r="G371" s="840">
        <v>3989.1499999999996</v>
      </c>
      <c r="H371" s="841">
        <v>3989.1499999999996</v>
      </c>
      <c r="I371" s="746"/>
      <c r="J371" s="746"/>
      <c r="K371" s="746"/>
    </row>
    <row r="372" spans="1:11" ht="14.1" x14ac:dyDescent="0.45">
      <c r="A372" s="522"/>
      <c r="B372" s="522"/>
      <c r="C372" s="836">
        <v>2033</v>
      </c>
      <c r="D372" s="520">
        <v>19</v>
      </c>
      <c r="E372" s="837"/>
      <c r="F372" s="876"/>
      <c r="G372" s="840">
        <v>4070</v>
      </c>
      <c r="H372" s="841">
        <v>4070</v>
      </c>
      <c r="I372" s="746"/>
      <c r="J372" s="746"/>
      <c r="K372" s="746"/>
    </row>
    <row r="373" spans="1:11" ht="14.1" x14ac:dyDescent="0.45">
      <c r="A373" s="522"/>
      <c r="B373" s="522"/>
      <c r="C373" s="836">
        <v>2034</v>
      </c>
      <c r="D373" s="520">
        <v>20</v>
      </c>
      <c r="E373" s="837"/>
      <c r="F373" s="876"/>
      <c r="G373" s="840">
        <v>4150.8499999999995</v>
      </c>
      <c r="H373" s="841">
        <v>4150.8499999999995</v>
      </c>
      <c r="I373" s="746"/>
      <c r="J373" s="746"/>
      <c r="K373" s="746"/>
    </row>
    <row r="374" spans="1:11" ht="14.1" x14ac:dyDescent="0.45">
      <c r="A374" s="522"/>
      <c r="B374" s="522"/>
      <c r="C374" s="836">
        <v>2035</v>
      </c>
      <c r="D374" s="520">
        <v>21</v>
      </c>
      <c r="E374" s="837"/>
      <c r="F374" s="876"/>
      <c r="G374" s="840">
        <v>4231.7</v>
      </c>
      <c r="H374" s="841">
        <v>4231.7</v>
      </c>
      <c r="I374" s="746"/>
      <c r="J374" s="746"/>
      <c r="K374" s="746"/>
    </row>
    <row r="375" spans="1:11" ht="14.1" x14ac:dyDescent="0.45">
      <c r="A375" s="522"/>
      <c r="B375" s="522"/>
      <c r="C375" s="836">
        <v>2036</v>
      </c>
      <c r="D375" s="520">
        <v>22</v>
      </c>
      <c r="E375" s="837"/>
      <c r="F375" s="876"/>
      <c r="G375" s="840">
        <v>4312.5499999999993</v>
      </c>
      <c r="H375" s="841">
        <v>4312.5499999999993</v>
      </c>
      <c r="I375" s="746"/>
      <c r="J375" s="746"/>
      <c r="K375" s="746"/>
    </row>
    <row r="376" spans="1:11" ht="14.1" x14ac:dyDescent="0.45">
      <c r="A376" s="522"/>
      <c r="B376" s="522"/>
      <c r="C376" s="836">
        <v>2037</v>
      </c>
      <c r="D376" s="520">
        <v>23</v>
      </c>
      <c r="E376" s="837"/>
      <c r="F376" s="876"/>
      <c r="G376" s="840">
        <v>4393.3999999999996</v>
      </c>
      <c r="H376" s="841">
        <v>4393.3999999999996</v>
      </c>
      <c r="I376" s="746"/>
      <c r="J376" s="746"/>
      <c r="K376" s="746"/>
    </row>
    <row r="377" spans="1:11" ht="14.1" x14ac:dyDescent="0.45">
      <c r="A377" s="522"/>
      <c r="B377" s="522"/>
      <c r="C377" s="836">
        <v>2038</v>
      </c>
      <c r="D377" s="520">
        <v>24</v>
      </c>
      <c r="E377" s="837"/>
      <c r="F377" s="876"/>
      <c r="G377" s="840">
        <v>4474.25</v>
      </c>
      <c r="H377" s="841">
        <v>4474.25</v>
      </c>
      <c r="I377" s="746"/>
      <c r="J377" s="746"/>
      <c r="K377" s="746"/>
    </row>
    <row r="378" spans="1:11" ht="14.1" x14ac:dyDescent="0.45">
      <c r="A378" s="522"/>
      <c r="B378" s="522"/>
      <c r="C378" s="836">
        <v>2039</v>
      </c>
      <c r="D378" s="520">
        <v>25</v>
      </c>
      <c r="E378" s="837"/>
      <c r="F378" s="876"/>
      <c r="G378" s="840">
        <v>4555.1000000000004</v>
      </c>
      <c r="H378" s="841">
        <v>4555.1000000000004</v>
      </c>
      <c r="I378" s="746"/>
      <c r="J378" s="746"/>
      <c r="K378" s="746"/>
    </row>
    <row r="379" spans="1:11" ht="14.1" x14ac:dyDescent="0.45">
      <c r="A379" s="522"/>
      <c r="B379" s="522"/>
      <c r="C379" s="836">
        <v>2040</v>
      </c>
      <c r="D379" s="520">
        <v>26</v>
      </c>
      <c r="E379" s="837"/>
      <c r="F379" s="876"/>
      <c r="G379" s="840">
        <v>4635.95</v>
      </c>
      <c r="H379" s="841">
        <v>4635.95</v>
      </c>
      <c r="I379" s="746"/>
      <c r="J379" s="746"/>
      <c r="K379" s="746"/>
    </row>
    <row r="380" spans="1:11" ht="14.1" x14ac:dyDescent="0.45">
      <c r="A380" s="522"/>
      <c r="B380" s="522"/>
      <c r="C380" s="836">
        <v>2041</v>
      </c>
      <c r="D380" s="520">
        <v>27</v>
      </c>
      <c r="E380" s="837"/>
      <c r="F380" s="876"/>
      <c r="G380" s="840">
        <v>4716.7999999999993</v>
      </c>
      <c r="H380" s="841">
        <v>4716.7999999999993</v>
      </c>
      <c r="I380" s="746"/>
      <c r="J380" s="746"/>
      <c r="K380" s="746"/>
    </row>
    <row r="381" spans="1:11" ht="14.1" x14ac:dyDescent="0.45">
      <c r="A381" s="523"/>
      <c r="B381" s="524"/>
      <c r="C381" s="836">
        <v>2042</v>
      </c>
      <c r="D381" s="520">
        <v>28</v>
      </c>
      <c r="E381" s="837"/>
      <c r="F381" s="876"/>
      <c r="G381" s="840">
        <v>4797.6499999999996</v>
      </c>
      <c r="H381" s="841">
        <v>4797.6499999999996</v>
      </c>
      <c r="I381" s="746"/>
      <c r="J381" s="746"/>
      <c r="K381" s="746"/>
    </row>
    <row r="382" spans="1:11" ht="14.1" x14ac:dyDescent="0.45">
      <c r="A382" s="746"/>
      <c r="B382" s="524"/>
      <c r="C382" s="836">
        <v>2043</v>
      </c>
      <c r="D382" s="520">
        <v>29</v>
      </c>
      <c r="E382" s="837"/>
      <c r="F382" s="876"/>
      <c r="G382" s="840">
        <v>4878.5</v>
      </c>
      <c r="H382" s="841">
        <v>4878.5</v>
      </c>
      <c r="I382" s="746"/>
      <c r="J382" s="746"/>
      <c r="K382" s="746"/>
    </row>
    <row r="383" spans="1:11" ht="14.1" x14ac:dyDescent="0.4">
      <c r="A383" s="746"/>
      <c r="B383" s="746"/>
      <c r="C383" s="836">
        <v>2044</v>
      </c>
      <c r="D383" s="520">
        <v>30</v>
      </c>
      <c r="E383" s="837"/>
      <c r="F383" s="876"/>
      <c r="G383" s="840">
        <v>4959.3500000000004</v>
      </c>
      <c r="H383" s="841">
        <v>4959.3500000000004</v>
      </c>
      <c r="I383" s="746"/>
      <c r="J383" s="746"/>
      <c r="K383" s="746"/>
    </row>
    <row r="384" spans="1:11" ht="14.1" x14ac:dyDescent="0.4">
      <c r="A384" s="746"/>
      <c r="B384" s="746"/>
      <c r="C384" s="836">
        <v>2045</v>
      </c>
      <c r="D384" s="520">
        <v>31</v>
      </c>
      <c r="E384" s="837"/>
      <c r="F384" s="876"/>
      <c r="G384" s="840">
        <v>5040.2</v>
      </c>
      <c r="H384" s="841">
        <v>5040.2</v>
      </c>
      <c r="I384" s="746"/>
      <c r="J384" s="746"/>
      <c r="K384" s="746"/>
    </row>
    <row r="385" spans="1:11" ht="14.1" x14ac:dyDescent="0.4">
      <c r="C385" s="836">
        <v>2046</v>
      </c>
      <c r="D385" s="520">
        <v>32</v>
      </c>
      <c r="E385" s="837"/>
      <c r="F385" s="876"/>
      <c r="G385" s="840">
        <v>5121.0499999999993</v>
      </c>
      <c r="H385" s="841">
        <v>5121.0499999999993</v>
      </c>
    </row>
    <row r="386" spans="1:11" ht="14.1" x14ac:dyDescent="0.4">
      <c r="C386" s="836">
        <v>2047</v>
      </c>
      <c r="D386" s="520">
        <v>33</v>
      </c>
      <c r="E386" s="837"/>
      <c r="F386" s="876"/>
      <c r="G386" s="840">
        <v>5201.8999999999996</v>
      </c>
      <c r="H386" s="841">
        <v>5201.8999999999996</v>
      </c>
    </row>
    <row r="387" spans="1:11" ht="14.1" x14ac:dyDescent="0.4">
      <c r="C387" s="836">
        <v>2048</v>
      </c>
      <c r="D387" s="520">
        <v>34</v>
      </c>
      <c r="E387" s="837"/>
      <c r="F387" s="876"/>
      <c r="G387" s="840">
        <v>5282.75</v>
      </c>
      <c r="H387" s="841">
        <v>5282.75</v>
      </c>
    </row>
    <row r="388" spans="1:11" ht="14.1" x14ac:dyDescent="0.4">
      <c r="C388" s="836">
        <v>2049</v>
      </c>
      <c r="D388" s="520">
        <v>35</v>
      </c>
      <c r="E388" s="837"/>
      <c r="F388" s="876"/>
      <c r="G388" s="840">
        <v>5363.6</v>
      </c>
      <c r="H388" s="841">
        <v>5363.6</v>
      </c>
    </row>
    <row r="389" spans="1:11" ht="14.1" x14ac:dyDescent="0.4">
      <c r="C389" s="836">
        <v>2050</v>
      </c>
      <c r="D389" s="520">
        <v>36</v>
      </c>
      <c r="E389" s="837"/>
      <c r="F389" s="876"/>
      <c r="G389" s="840">
        <v>5444.45</v>
      </c>
      <c r="H389" s="841">
        <v>5444.45</v>
      </c>
    </row>
    <row r="390" spans="1:11" ht="14.1" x14ac:dyDescent="0.4">
      <c r="C390" s="836">
        <v>2051</v>
      </c>
      <c r="D390" s="520">
        <v>37</v>
      </c>
      <c r="E390" s="837"/>
      <c r="F390" s="876"/>
      <c r="G390" s="840">
        <v>5525.2999999999993</v>
      </c>
      <c r="H390" s="841">
        <v>5525.2999999999993</v>
      </c>
    </row>
    <row r="391" spans="1:11" ht="14.1" x14ac:dyDescent="0.4">
      <c r="C391" s="836">
        <v>2052</v>
      </c>
      <c r="D391" s="520">
        <v>38</v>
      </c>
      <c r="E391" s="837"/>
      <c r="F391" s="876"/>
      <c r="G391" s="840">
        <v>5606.15</v>
      </c>
      <c r="H391" s="841">
        <v>5606.15</v>
      </c>
    </row>
    <row r="392" spans="1:11" ht="14.1" x14ac:dyDescent="0.4">
      <c r="C392" s="836">
        <v>2053</v>
      </c>
      <c r="D392" s="520">
        <v>39</v>
      </c>
      <c r="E392" s="837"/>
      <c r="F392" s="876"/>
      <c r="G392" s="840">
        <v>5687</v>
      </c>
      <c r="H392" s="841">
        <v>5687</v>
      </c>
    </row>
    <row r="393" spans="1:11" ht="14.1" x14ac:dyDescent="0.4">
      <c r="C393" s="836">
        <v>2054</v>
      </c>
      <c r="D393" s="520">
        <v>40</v>
      </c>
      <c r="E393" s="837"/>
      <c r="F393" s="876"/>
      <c r="G393" s="840">
        <v>5767.8499999999995</v>
      </c>
      <c r="H393" s="841">
        <v>5767.8499999999995</v>
      </c>
    </row>
    <row r="394" spans="1:11" ht="14.1" x14ac:dyDescent="0.4">
      <c r="C394" s="843">
        <v>2055</v>
      </c>
      <c r="D394" s="520">
        <v>41</v>
      </c>
      <c r="E394" s="837"/>
      <c r="F394" s="876"/>
      <c r="G394" s="840">
        <v>5848.7</v>
      </c>
      <c r="H394" s="841">
        <v>5848.7</v>
      </c>
    </row>
    <row r="397" spans="1:11" ht="15" x14ac:dyDescent="0.5">
      <c r="A397" s="621" t="str">
        <f ca="1">HYPERLINK("#"&amp;"'"&amp;A$1&amp;"'!a1","Back to top")</f>
        <v>Back to top</v>
      </c>
    </row>
    <row r="400" spans="1:11" ht="15" x14ac:dyDescent="0.5">
      <c r="A400" s="508">
        <v>4</v>
      </c>
      <c r="B400" s="509" t="s">
        <v>752</v>
      </c>
      <c r="C400" s="787"/>
      <c r="D400" s="787"/>
      <c r="E400" s="787"/>
      <c r="F400" s="787"/>
      <c r="G400" s="787"/>
      <c r="H400" s="787"/>
      <c r="I400" s="787"/>
      <c r="J400" s="787"/>
      <c r="K400" s="787"/>
    </row>
    <row r="401" spans="1:11" ht="15" x14ac:dyDescent="0.5">
      <c r="A401" s="510" t="s">
        <v>260</v>
      </c>
      <c r="B401" s="511"/>
      <c r="C401" s="511"/>
      <c r="D401" s="223"/>
      <c r="E401" s="512"/>
      <c r="F401" s="1309"/>
      <c r="G401" s="512"/>
      <c r="H401" s="513"/>
      <c r="I401" s="746"/>
      <c r="J401" s="746"/>
      <c r="K401" s="746"/>
    </row>
    <row r="402" spans="1:11" ht="15.3" thickBot="1" x14ac:dyDescent="0.5">
      <c r="A402" s="872" t="s">
        <v>603</v>
      </c>
      <c r="B402" s="514"/>
      <c r="C402" s="514"/>
      <c r="D402" s="515"/>
      <c r="E402" s="516" t="s">
        <v>222</v>
      </c>
      <c r="F402" s="1310"/>
      <c r="G402" s="873" t="s">
        <v>753</v>
      </c>
      <c r="H402" s="513"/>
      <c r="I402" s="746"/>
      <c r="J402" s="746"/>
      <c r="K402" s="746"/>
    </row>
    <row r="403" spans="1:11" ht="37.200000000000003" thickBot="1" x14ac:dyDescent="0.5">
      <c r="A403" s="517"/>
      <c r="B403" s="517"/>
      <c r="C403" s="517"/>
      <c r="D403" s="518"/>
      <c r="E403" s="873" t="s">
        <v>724</v>
      </c>
      <c r="F403" s="873" t="s">
        <v>664</v>
      </c>
      <c r="G403" s="874" t="s">
        <v>738</v>
      </c>
      <c r="H403" s="873" t="s">
        <v>667</v>
      </c>
      <c r="I403" s="873" t="s">
        <v>666</v>
      </c>
      <c r="J403" s="1297" t="s">
        <v>668</v>
      </c>
      <c r="K403" s="1298"/>
    </row>
    <row r="404" spans="1:11" ht="15" x14ac:dyDescent="0.5">
      <c r="A404" s="510" t="s">
        <v>268</v>
      </c>
      <c r="B404" s="517"/>
      <c r="C404" s="788">
        <v>2005</v>
      </c>
      <c r="D404" s="519">
        <v>-9</v>
      </c>
      <c r="E404" s="875">
        <v>1155.953688709888</v>
      </c>
      <c r="F404" s="876">
        <v>1155.953688709888</v>
      </c>
      <c r="G404" s="877">
        <v>1155.953688709888</v>
      </c>
      <c r="H404" s="878">
        <v>1155.953688709888</v>
      </c>
      <c r="I404" s="1303" t="s">
        <v>269</v>
      </c>
      <c r="J404" s="1299"/>
      <c r="K404" s="1300"/>
    </row>
    <row r="405" spans="1:11" ht="15" x14ac:dyDescent="0.45">
      <c r="A405" s="872" t="s">
        <v>211</v>
      </c>
      <c r="B405" s="517"/>
      <c r="C405" s="836">
        <v>2006</v>
      </c>
      <c r="D405" s="520">
        <v>-8</v>
      </c>
      <c r="E405" s="837">
        <v>1212.1520836436816</v>
      </c>
      <c r="F405" s="876">
        <v>1212.1520836436816</v>
      </c>
      <c r="G405" s="838">
        <v>1212.1520836436816</v>
      </c>
      <c r="H405" s="839">
        <v>1212.1520836436816</v>
      </c>
      <c r="I405" s="1304"/>
      <c r="J405" s="1299"/>
      <c r="K405" s="1300"/>
    </row>
    <row r="406" spans="1:11" ht="14.05" customHeight="1" x14ac:dyDescent="0.45">
      <c r="A406" s="517"/>
      <c r="B406" s="517"/>
      <c r="C406" s="836">
        <v>2007</v>
      </c>
      <c r="D406" s="520">
        <v>-7</v>
      </c>
      <c r="E406" s="837">
        <v>1263.5592053557461</v>
      </c>
      <c r="F406" s="876">
        <v>1263.5592053557461</v>
      </c>
      <c r="G406" s="838">
        <v>1263.5592053557461</v>
      </c>
      <c r="H406" s="839">
        <v>1263.5592053557461</v>
      </c>
      <c r="I406" s="1304"/>
      <c r="J406" s="1299"/>
      <c r="K406" s="1300"/>
    </row>
    <row r="407" spans="1:11" ht="15" x14ac:dyDescent="0.45">
      <c r="A407" s="676" t="s">
        <v>270</v>
      </c>
      <c r="B407" s="517"/>
      <c r="C407" s="836">
        <v>2008</v>
      </c>
      <c r="D407" s="520">
        <v>-6</v>
      </c>
      <c r="E407" s="837">
        <v>1308.1434112083723</v>
      </c>
      <c r="F407" s="876">
        <v>1308.1434112083723</v>
      </c>
      <c r="G407" s="838">
        <v>1308.1434112083723</v>
      </c>
      <c r="H407" s="839">
        <v>1308.1434112083723</v>
      </c>
      <c r="I407" s="1304"/>
      <c r="J407" s="1301"/>
      <c r="K407" s="1302"/>
    </row>
    <row r="408" spans="1:11" ht="14.1" x14ac:dyDescent="0.45">
      <c r="A408" s="1306" t="s">
        <v>755</v>
      </c>
      <c r="B408" s="517"/>
      <c r="C408" s="836">
        <v>2009</v>
      </c>
      <c r="D408" s="520">
        <v>-5</v>
      </c>
      <c r="E408" s="837">
        <v>1336.3665783049403</v>
      </c>
      <c r="F408" s="876">
        <v>1336.3665783049403</v>
      </c>
      <c r="G408" s="838">
        <v>1336.3665783049403</v>
      </c>
      <c r="H408" s="839">
        <v>1336.3665783049403</v>
      </c>
      <c r="I408" s="1304"/>
      <c r="J408" s="746"/>
      <c r="K408" s="746"/>
    </row>
    <row r="409" spans="1:11" ht="14.1" x14ac:dyDescent="0.45">
      <c r="A409" s="1307"/>
      <c r="B409" s="517"/>
      <c r="C409" s="836">
        <v>2010</v>
      </c>
      <c r="D409" s="520">
        <v>-4</v>
      </c>
      <c r="E409" s="837">
        <v>1386.8972311026359</v>
      </c>
      <c r="F409" s="876">
        <v>1386.8972311026359</v>
      </c>
      <c r="G409" s="838">
        <v>1386.8972311026359</v>
      </c>
      <c r="H409" s="839">
        <v>1386.8972311026359</v>
      </c>
      <c r="I409" s="1304"/>
      <c r="J409" s="746"/>
      <c r="K409" s="746"/>
    </row>
    <row r="410" spans="1:11" ht="14.1" x14ac:dyDescent="0.45">
      <c r="A410" s="1307"/>
      <c r="B410" s="517"/>
      <c r="C410" s="836">
        <v>2011</v>
      </c>
      <c r="D410" s="520">
        <v>-3</v>
      </c>
      <c r="E410" s="837">
        <v>1438.5524184464962</v>
      </c>
      <c r="F410" s="876">
        <v>1438.5524184464962</v>
      </c>
      <c r="G410" s="838">
        <v>1438.5524184464962</v>
      </c>
      <c r="H410" s="839">
        <v>1438.5524184464962</v>
      </c>
      <c r="I410" s="1305"/>
      <c r="J410" s="746"/>
      <c r="K410" s="746"/>
    </row>
    <row r="411" spans="1:11" ht="14.1" x14ac:dyDescent="0.45">
      <c r="A411" s="1308"/>
      <c r="B411" s="517"/>
      <c r="C411" s="836">
        <v>2012</v>
      </c>
      <c r="D411" s="520">
        <v>-2</v>
      </c>
      <c r="E411" s="837">
        <v>1486.2673251365438</v>
      </c>
      <c r="F411" s="876">
        <v>1486.2673251365438</v>
      </c>
      <c r="G411" s="840">
        <v>1486.2673251365438</v>
      </c>
      <c r="H411" s="841">
        <v>1486.2673251365438</v>
      </c>
      <c r="I411" s="789" t="s">
        <v>272</v>
      </c>
      <c r="J411" s="746"/>
      <c r="K411" s="746"/>
    </row>
    <row r="412" spans="1:11" ht="14.1" x14ac:dyDescent="0.45">
      <c r="A412" s="517"/>
      <c r="B412" s="517"/>
      <c r="C412" s="836">
        <v>2013</v>
      </c>
      <c r="D412" s="520">
        <v>-1</v>
      </c>
      <c r="E412" s="837">
        <v>1533.7019675037075</v>
      </c>
      <c r="F412" s="876">
        <v>1533.7019675037075</v>
      </c>
      <c r="G412" s="840">
        <v>1533.7019675037075</v>
      </c>
      <c r="H412" s="841">
        <v>1533.7019675037075</v>
      </c>
      <c r="I412" s="746"/>
      <c r="J412" s="746"/>
      <c r="K412" s="746"/>
    </row>
    <row r="413" spans="1:11" ht="15" x14ac:dyDescent="0.5">
      <c r="A413" s="521" t="s">
        <v>273</v>
      </c>
      <c r="B413" s="517"/>
      <c r="C413" s="836">
        <v>2014</v>
      </c>
      <c r="D413" s="520">
        <v>0</v>
      </c>
      <c r="E413" s="837">
        <v>1582.8611387154083</v>
      </c>
      <c r="F413" s="876">
        <v>1582.8611387154083</v>
      </c>
      <c r="G413" s="840">
        <v>1582.8611387154083</v>
      </c>
      <c r="H413" s="841">
        <v>1582.8611387154083</v>
      </c>
      <c r="I413" s="746"/>
      <c r="J413" s="746"/>
      <c r="K413" s="746"/>
    </row>
    <row r="414" spans="1:11" ht="15" x14ac:dyDescent="0.45">
      <c r="A414" s="842">
        <v>2015</v>
      </c>
      <c r="B414" s="514"/>
      <c r="C414" s="836">
        <v>2015</v>
      </c>
      <c r="D414" s="520">
        <v>1</v>
      </c>
      <c r="E414" s="837">
        <v>1627.7214294544435</v>
      </c>
      <c r="F414" s="876">
        <v>1627.7214294544435</v>
      </c>
      <c r="G414" s="840">
        <v>1627.7214294544435</v>
      </c>
      <c r="H414" s="841">
        <v>1627.7214294544435</v>
      </c>
      <c r="I414" s="746"/>
      <c r="J414" s="746"/>
      <c r="K414" s="746"/>
    </row>
    <row r="415" spans="1:11" ht="14.1" x14ac:dyDescent="0.45">
      <c r="A415" s="746"/>
      <c r="B415" s="514"/>
      <c r="C415" s="836">
        <v>2016</v>
      </c>
      <c r="D415" s="520">
        <v>2</v>
      </c>
      <c r="E415" s="837">
        <v>1674.6272875888531</v>
      </c>
      <c r="F415" s="876">
        <v>1674.6272875888531</v>
      </c>
      <c r="G415" s="840">
        <v>1674.6272875888531</v>
      </c>
      <c r="H415" s="841">
        <v>1674.6272875888531</v>
      </c>
      <c r="I415" s="746"/>
      <c r="J415" s="746"/>
      <c r="K415" s="746"/>
    </row>
    <row r="416" spans="1:11" ht="15" x14ac:dyDescent="0.5">
      <c r="A416" s="521" t="s">
        <v>274</v>
      </c>
      <c r="B416" s="514"/>
      <c r="C416" s="836">
        <v>2017</v>
      </c>
      <c r="D416" s="520">
        <v>3</v>
      </c>
      <c r="E416" s="837">
        <v>1729.0875899394905</v>
      </c>
      <c r="F416" s="876">
        <v>1729.0875899394905</v>
      </c>
      <c r="G416" s="840">
        <v>1729.0875899394905</v>
      </c>
      <c r="H416" s="841">
        <v>1729.0875899394905</v>
      </c>
      <c r="I416" s="746"/>
      <c r="J416" s="746"/>
      <c r="K416" s="746"/>
    </row>
    <row r="417" spans="1:11" ht="15" x14ac:dyDescent="0.45">
      <c r="A417" s="842" t="s">
        <v>724</v>
      </c>
      <c r="B417" s="514"/>
      <c r="C417" s="836">
        <v>2018</v>
      </c>
      <c r="D417" s="520">
        <v>4</v>
      </c>
      <c r="E417" s="837">
        <v>1782.7707004450785</v>
      </c>
      <c r="F417" s="876">
        <v>1782.7707004450785</v>
      </c>
      <c r="G417" s="840">
        <v>1782.7707004450785</v>
      </c>
      <c r="H417" s="841">
        <v>1782.7707004450785</v>
      </c>
      <c r="I417" s="746"/>
      <c r="J417" s="746"/>
      <c r="K417" s="746"/>
    </row>
    <row r="418" spans="1:11" ht="15" x14ac:dyDescent="0.5">
      <c r="A418" s="790"/>
      <c r="B418" s="522"/>
      <c r="C418" s="836">
        <v>2019</v>
      </c>
      <c r="D418" s="520">
        <v>5</v>
      </c>
      <c r="E418" s="837"/>
      <c r="F418" s="876"/>
      <c r="G418" s="840">
        <v>1819.8852980491815</v>
      </c>
      <c r="H418" s="841">
        <v>1819.8852980491815</v>
      </c>
      <c r="I418" s="746"/>
      <c r="J418" s="746"/>
      <c r="K418" s="746"/>
    </row>
    <row r="419" spans="1:11" ht="15" x14ac:dyDescent="0.45">
      <c r="A419" s="879" t="s">
        <v>275</v>
      </c>
      <c r="B419" s="514"/>
      <c r="C419" s="836">
        <v>2020</v>
      </c>
      <c r="D419" s="520">
        <v>6</v>
      </c>
      <c r="E419" s="837"/>
      <c r="F419" s="876"/>
      <c r="G419" s="840">
        <v>1867.1208420218791</v>
      </c>
      <c r="H419" s="841">
        <v>1867.1208420218791</v>
      </c>
      <c r="I419" s="746"/>
      <c r="J419" s="746"/>
      <c r="K419" s="746"/>
    </row>
    <row r="420" spans="1:11" ht="15" x14ac:dyDescent="0.45">
      <c r="A420" s="791"/>
      <c r="B420" s="514"/>
      <c r="C420" s="836">
        <v>2021</v>
      </c>
      <c r="D420" s="520">
        <v>7</v>
      </c>
      <c r="E420" s="837"/>
      <c r="F420" s="876"/>
      <c r="G420" s="840">
        <v>1914.3563859945768</v>
      </c>
      <c r="H420" s="841">
        <v>1914.3563859945768</v>
      </c>
      <c r="I420" s="746"/>
      <c r="J420" s="746"/>
      <c r="K420" s="746"/>
    </row>
    <row r="421" spans="1:11" ht="15" x14ac:dyDescent="0.45">
      <c r="A421" s="892"/>
      <c r="B421" s="514"/>
      <c r="C421" s="836">
        <v>2022</v>
      </c>
      <c r="D421" s="520">
        <v>8</v>
      </c>
      <c r="E421" s="837"/>
      <c r="F421" s="876"/>
      <c r="G421" s="840">
        <v>1961.5919299672744</v>
      </c>
      <c r="H421" s="841">
        <v>1961.5919299672744</v>
      </c>
      <c r="I421" s="746"/>
      <c r="J421" s="746"/>
      <c r="K421" s="746"/>
    </row>
    <row r="422" spans="1:11" ht="15" x14ac:dyDescent="0.45">
      <c r="A422" s="842"/>
      <c r="B422" s="514"/>
      <c r="C422" s="836">
        <v>2023</v>
      </c>
      <c r="D422" s="520">
        <v>9</v>
      </c>
      <c r="E422" s="837"/>
      <c r="F422" s="876"/>
      <c r="G422" s="840">
        <v>2008.8274739399722</v>
      </c>
      <c r="H422" s="841">
        <v>2008.8274739399722</v>
      </c>
      <c r="I422" s="746"/>
      <c r="J422" s="746"/>
      <c r="K422" s="746"/>
    </row>
    <row r="423" spans="1:11" ht="14.1" x14ac:dyDescent="0.45">
      <c r="A423" s="514"/>
      <c r="B423" s="514"/>
      <c r="C423" s="836">
        <v>2024</v>
      </c>
      <c r="D423" s="520">
        <v>10</v>
      </c>
      <c r="E423" s="837"/>
      <c r="F423" s="876"/>
      <c r="G423" s="840">
        <v>2056.0630179126697</v>
      </c>
      <c r="H423" s="841">
        <v>2056.0630179126697</v>
      </c>
      <c r="I423" s="746"/>
      <c r="J423" s="746"/>
      <c r="K423" s="746"/>
    </row>
    <row r="424" spans="1:11" ht="14.1" x14ac:dyDescent="0.45">
      <c r="A424" s="514"/>
      <c r="B424" s="514"/>
      <c r="C424" s="836">
        <v>2025</v>
      </c>
      <c r="D424" s="520">
        <v>11</v>
      </c>
      <c r="E424" s="837"/>
      <c r="F424" s="876"/>
      <c r="G424" s="840">
        <v>2103.2985618853672</v>
      </c>
      <c r="H424" s="841">
        <v>2103.2985618853672</v>
      </c>
      <c r="I424" s="746"/>
      <c r="J424" s="746"/>
      <c r="K424" s="746"/>
    </row>
    <row r="425" spans="1:11" ht="14.1" x14ac:dyDescent="0.45">
      <c r="A425" s="514"/>
      <c r="B425" s="514"/>
      <c r="C425" s="836">
        <v>2026</v>
      </c>
      <c r="D425" s="520">
        <v>12</v>
      </c>
      <c r="E425" s="837"/>
      <c r="F425" s="876"/>
      <c r="G425" s="840">
        <v>2150.5341058580652</v>
      </c>
      <c r="H425" s="841">
        <v>2150.5341058580652</v>
      </c>
      <c r="I425" s="746"/>
      <c r="J425" s="746"/>
      <c r="K425" s="746"/>
    </row>
    <row r="426" spans="1:11" ht="14.1" x14ac:dyDescent="0.45">
      <c r="A426" s="514"/>
      <c r="B426" s="514"/>
      <c r="C426" s="836">
        <v>2027</v>
      </c>
      <c r="D426" s="520">
        <v>13</v>
      </c>
      <c r="E426" s="837"/>
      <c r="F426" s="876"/>
      <c r="G426" s="840">
        <v>2197.7696498307628</v>
      </c>
      <c r="H426" s="841">
        <v>2197.7696498307628</v>
      </c>
      <c r="I426" s="746"/>
      <c r="J426" s="746"/>
      <c r="K426" s="746"/>
    </row>
    <row r="427" spans="1:11" ht="14.1" x14ac:dyDescent="0.45">
      <c r="A427" s="514"/>
      <c r="B427" s="514"/>
      <c r="C427" s="836">
        <v>2028</v>
      </c>
      <c r="D427" s="520">
        <v>14</v>
      </c>
      <c r="E427" s="837"/>
      <c r="F427" s="876"/>
      <c r="G427" s="840">
        <v>2245.0051938034603</v>
      </c>
      <c r="H427" s="841">
        <v>2245.0051938034603</v>
      </c>
      <c r="I427" s="746"/>
      <c r="J427" s="746"/>
      <c r="K427" s="746"/>
    </row>
    <row r="428" spans="1:11" ht="14.1" x14ac:dyDescent="0.45">
      <c r="A428" s="514"/>
      <c r="B428" s="514"/>
      <c r="C428" s="836">
        <v>2029</v>
      </c>
      <c r="D428" s="520">
        <v>15</v>
      </c>
      <c r="E428" s="837"/>
      <c r="F428" s="876"/>
      <c r="G428" s="840">
        <v>2292.2407377761583</v>
      </c>
      <c r="H428" s="841">
        <v>2292.2407377761583</v>
      </c>
      <c r="I428" s="746"/>
      <c r="J428" s="746"/>
      <c r="K428" s="746"/>
    </row>
    <row r="429" spans="1:11" ht="14.1" x14ac:dyDescent="0.45">
      <c r="A429" s="514"/>
      <c r="B429" s="514"/>
      <c r="C429" s="836">
        <v>2030</v>
      </c>
      <c r="D429" s="520">
        <v>16</v>
      </c>
      <c r="E429" s="837"/>
      <c r="F429" s="876"/>
      <c r="G429" s="840">
        <v>2339.4762817488559</v>
      </c>
      <c r="H429" s="841">
        <v>2339.4762817488559</v>
      </c>
      <c r="I429" s="746"/>
      <c r="J429" s="746"/>
      <c r="K429" s="746"/>
    </row>
    <row r="430" spans="1:11" ht="14.1" x14ac:dyDescent="0.45">
      <c r="A430" s="514"/>
      <c r="B430" s="514"/>
      <c r="C430" s="836">
        <v>2031</v>
      </c>
      <c r="D430" s="520">
        <v>17</v>
      </c>
      <c r="E430" s="837"/>
      <c r="F430" s="876"/>
      <c r="G430" s="840">
        <v>2386.7118257215534</v>
      </c>
      <c r="H430" s="841">
        <v>2386.7118257215534</v>
      </c>
      <c r="I430" s="746"/>
      <c r="J430" s="746"/>
      <c r="K430" s="746"/>
    </row>
    <row r="431" spans="1:11" ht="14.1" x14ac:dyDescent="0.45">
      <c r="A431" s="514"/>
      <c r="B431" s="514"/>
      <c r="C431" s="836">
        <v>2032</v>
      </c>
      <c r="D431" s="520">
        <v>18</v>
      </c>
      <c r="E431" s="837"/>
      <c r="F431" s="876"/>
      <c r="G431" s="840">
        <v>2433.9473696942509</v>
      </c>
      <c r="H431" s="841">
        <v>2433.9473696942509</v>
      </c>
      <c r="I431" s="746"/>
      <c r="J431" s="746"/>
      <c r="K431" s="746"/>
    </row>
    <row r="432" spans="1:11" ht="14.1" x14ac:dyDescent="0.45">
      <c r="A432" s="522"/>
      <c r="B432" s="522"/>
      <c r="C432" s="836">
        <v>2033</v>
      </c>
      <c r="D432" s="520">
        <v>19</v>
      </c>
      <c r="E432" s="837"/>
      <c r="F432" s="876"/>
      <c r="G432" s="840">
        <v>2481.1829136669485</v>
      </c>
      <c r="H432" s="841">
        <v>2481.1829136669485</v>
      </c>
      <c r="I432" s="746"/>
      <c r="J432" s="746"/>
      <c r="K432" s="746"/>
    </row>
    <row r="433" spans="1:11" ht="14.1" x14ac:dyDescent="0.45">
      <c r="A433" s="522"/>
      <c r="B433" s="522"/>
      <c r="C433" s="836">
        <v>2034</v>
      </c>
      <c r="D433" s="520">
        <v>20</v>
      </c>
      <c r="E433" s="837"/>
      <c r="F433" s="876"/>
      <c r="G433" s="840">
        <v>2528.4184576396465</v>
      </c>
      <c r="H433" s="841">
        <v>2528.4184576396465</v>
      </c>
      <c r="I433" s="746"/>
      <c r="J433" s="746"/>
      <c r="K433" s="746"/>
    </row>
    <row r="434" spans="1:11" ht="14.1" x14ac:dyDescent="0.45">
      <c r="A434" s="522"/>
      <c r="B434" s="522"/>
      <c r="C434" s="836">
        <v>2035</v>
      </c>
      <c r="D434" s="520">
        <v>21</v>
      </c>
      <c r="E434" s="837"/>
      <c r="F434" s="876"/>
      <c r="G434" s="840">
        <v>2575.654001612344</v>
      </c>
      <c r="H434" s="841">
        <v>2575.654001612344</v>
      </c>
      <c r="I434" s="746"/>
      <c r="J434" s="746"/>
      <c r="K434" s="746"/>
    </row>
    <row r="435" spans="1:11" ht="14.1" x14ac:dyDescent="0.45">
      <c r="A435" s="522"/>
      <c r="B435" s="522"/>
      <c r="C435" s="836">
        <v>2036</v>
      </c>
      <c r="D435" s="520">
        <v>22</v>
      </c>
      <c r="E435" s="837"/>
      <c r="F435" s="876"/>
      <c r="G435" s="840">
        <v>2622.8895455850416</v>
      </c>
      <c r="H435" s="841">
        <v>2622.8895455850416</v>
      </c>
      <c r="I435" s="746"/>
      <c r="J435" s="746"/>
      <c r="K435" s="746"/>
    </row>
    <row r="436" spans="1:11" ht="14.1" x14ac:dyDescent="0.45">
      <c r="A436" s="522"/>
      <c r="B436" s="522"/>
      <c r="C436" s="836">
        <v>2037</v>
      </c>
      <c r="D436" s="520">
        <v>23</v>
      </c>
      <c r="E436" s="837"/>
      <c r="F436" s="876"/>
      <c r="G436" s="840">
        <v>2670.1250895577396</v>
      </c>
      <c r="H436" s="841">
        <v>2670.1250895577396</v>
      </c>
      <c r="I436" s="746"/>
      <c r="J436" s="746"/>
      <c r="K436" s="746"/>
    </row>
    <row r="437" spans="1:11" ht="14.1" x14ac:dyDescent="0.45">
      <c r="A437" s="522"/>
      <c r="B437" s="522"/>
      <c r="C437" s="836">
        <v>2038</v>
      </c>
      <c r="D437" s="520">
        <v>24</v>
      </c>
      <c r="E437" s="837"/>
      <c r="F437" s="876"/>
      <c r="G437" s="840">
        <v>2717.3606335304371</v>
      </c>
      <c r="H437" s="841">
        <v>2717.3606335304371</v>
      </c>
      <c r="I437" s="746"/>
      <c r="J437" s="746"/>
      <c r="K437" s="746"/>
    </row>
    <row r="438" spans="1:11" ht="14.1" x14ac:dyDescent="0.45">
      <c r="A438" s="522"/>
      <c r="B438" s="522"/>
      <c r="C438" s="836">
        <v>2039</v>
      </c>
      <c r="D438" s="520">
        <v>25</v>
      </c>
      <c r="E438" s="837"/>
      <c r="F438" s="876"/>
      <c r="G438" s="840">
        <v>2764.5961775031346</v>
      </c>
      <c r="H438" s="841">
        <v>2764.5961775031346</v>
      </c>
      <c r="I438" s="746"/>
      <c r="J438" s="746"/>
      <c r="K438" s="746"/>
    </row>
    <row r="439" spans="1:11" ht="14.1" x14ac:dyDescent="0.45">
      <c r="A439" s="522"/>
      <c r="B439" s="522"/>
      <c r="C439" s="836">
        <v>2040</v>
      </c>
      <c r="D439" s="520">
        <v>26</v>
      </c>
      <c r="E439" s="837"/>
      <c r="F439" s="876"/>
      <c r="G439" s="840">
        <v>2811.8317214758326</v>
      </c>
      <c r="H439" s="841">
        <v>2811.8317214758326</v>
      </c>
      <c r="I439" s="746"/>
      <c r="J439" s="746"/>
      <c r="K439" s="746"/>
    </row>
    <row r="440" spans="1:11" ht="14.1" x14ac:dyDescent="0.45">
      <c r="A440" s="522"/>
      <c r="B440" s="522"/>
      <c r="C440" s="836">
        <v>2041</v>
      </c>
      <c r="D440" s="520">
        <v>27</v>
      </c>
      <c r="E440" s="837"/>
      <c r="F440" s="876"/>
      <c r="G440" s="840">
        <v>2859.0672654485297</v>
      </c>
      <c r="H440" s="841">
        <v>2859.0672654485297</v>
      </c>
      <c r="I440" s="746"/>
      <c r="J440" s="746"/>
      <c r="K440" s="746"/>
    </row>
    <row r="441" spans="1:11" ht="14.1" x14ac:dyDescent="0.45">
      <c r="A441" s="522"/>
      <c r="B441" s="522"/>
      <c r="C441" s="836">
        <v>2042</v>
      </c>
      <c r="D441" s="520">
        <v>28</v>
      </c>
      <c r="E441" s="837"/>
      <c r="F441" s="876"/>
      <c r="G441" s="840">
        <v>2906.3028094212277</v>
      </c>
      <c r="H441" s="841">
        <v>2906.3028094212277</v>
      </c>
      <c r="I441" s="746"/>
      <c r="J441" s="746"/>
      <c r="K441" s="746"/>
    </row>
    <row r="442" spans="1:11" ht="14.1" x14ac:dyDescent="0.45">
      <c r="A442" s="522"/>
      <c r="B442" s="522"/>
      <c r="C442" s="836">
        <v>2043</v>
      </c>
      <c r="D442" s="520">
        <v>29</v>
      </c>
      <c r="E442" s="837"/>
      <c r="F442" s="876"/>
      <c r="G442" s="840">
        <v>2953.5383533939253</v>
      </c>
      <c r="H442" s="841">
        <v>2953.5383533939253</v>
      </c>
      <c r="I442" s="746"/>
      <c r="J442" s="746"/>
      <c r="K442" s="746"/>
    </row>
    <row r="443" spans="1:11" ht="14.1" x14ac:dyDescent="0.45">
      <c r="A443" s="522"/>
      <c r="B443" s="522"/>
      <c r="C443" s="836">
        <v>2044</v>
      </c>
      <c r="D443" s="520">
        <v>30</v>
      </c>
      <c r="E443" s="837"/>
      <c r="F443" s="876"/>
      <c r="G443" s="840">
        <v>3000.7738973666228</v>
      </c>
      <c r="H443" s="841">
        <v>3000.7738973666228</v>
      </c>
      <c r="I443" s="746"/>
      <c r="J443" s="746"/>
      <c r="K443" s="746"/>
    </row>
    <row r="444" spans="1:11" ht="14.1" x14ac:dyDescent="0.45">
      <c r="A444" s="522"/>
      <c r="B444" s="522"/>
      <c r="C444" s="836">
        <v>2045</v>
      </c>
      <c r="D444" s="520">
        <v>31</v>
      </c>
      <c r="E444" s="837"/>
      <c r="F444" s="876"/>
      <c r="G444" s="840">
        <v>3048.0094413393208</v>
      </c>
      <c r="H444" s="841">
        <v>3048.0094413393208</v>
      </c>
      <c r="I444" s="746"/>
      <c r="J444" s="746"/>
      <c r="K444" s="746"/>
    </row>
    <row r="445" spans="1:11" ht="14.1" x14ac:dyDescent="0.45">
      <c r="A445" s="522"/>
      <c r="B445" s="522"/>
      <c r="C445" s="836">
        <v>2046</v>
      </c>
      <c r="D445" s="520">
        <v>32</v>
      </c>
      <c r="E445" s="837"/>
      <c r="F445" s="876"/>
      <c r="G445" s="840">
        <v>3095.2449853120183</v>
      </c>
      <c r="H445" s="841">
        <v>3095.2449853120183</v>
      </c>
      <c r="I445" s="746"/>
      <c r="J445" s="746"/>
      <c r="K445" s="746"/>
    </row>
    <row r="446" spans="1:11" ht="14.1" x14ac:dyDescent="0.45">
      <c r="A446" s="523"/>
      <c r="B446" s="524"/>
      <c r="C446" s="836">
        <v>2047</v>
      </c>
      <c r="D446" s="520">
        <v>33</v>
      </c>
      <c r="E446" s="837"/>
      <c r="F446" s="876"/>
      <c r="G446" s="840">
        <v>3142.4805292847159</v>
      </c>
      <c r="H446" s="841">
        <v>3142.4805292847159</v>
      </c>
      <c r="I446" s="746"/>
      <c r="J446" s="746"/>
      <c r="K446" s="746"/>
    </row>
    <row r="447" spans="1:11" ht="14.1" x14ac:dyDescent="0.45">
      <c r="A447" s="746"/>
      <c r="B447" s="524"/>
      <c r="C447" s="836">
        <v>2048</v>
      </c>
      <c r="D447" s="520">
        <v>34</v>
      </c>
      <c r="E447" s="837"/>
      <c r="F447" s="876"/>
      <c r="G447" s="840">
        <v>3189.7160732574139</v>
      </c>
      <c r="H447" s="841">
        <v>3189.7160732574139</v>
      </c>
      <c r="I447" s="746"/>
      <c r="J447" s="746"/>
      <c r="K447" s="746"/>
    </row>
    <row r="448" spans="1:11" ht="14.1" x14ac:dyDescent="0.4">
      <c r="A448" s="746"/>
      <c r="B448" s="746"/>
      <c r="C448" s="836">
        <v>2049</v>
      </c>
      <c r="D448" s="520">
        <v>35</v>
      </c>
      <c r="E448" s="837"/>
      <c r="F448" s="876"/>
      <c r="G448" s="840">
        <v>3236.9516172301114</v>
      </c>
      <c r="H448" s="841">
        <v>3236.9516172301114</v>
      </c>
      <c r="I448" s="746"/>
      <c r="J448" s="746"/>
      <c r="K448" s="746"/>
    </row>
    <row r="449" spans="1:11" ht="14.1" x14ac:dyDescent="0.4">
      <c r="A449" s="746"/>
      <c r="B449" s="746"/>
      <c r="C449" s="836">
        <v>2050</v>
      </c>
      <c r="D449" s="520">
        <v>36</v>
      </c>
      <c r="E449" s="837"/>
      <c r="F449" s="876"/>
      <c r="G449" s="840">
        <v>3284.187161202809</v>
      </c>
      <c r="H449" s="841">
        <v>3284.187161202809</v>
      </c>
      <c r="I449" s="746"/>
      <c r="J449" s="746"/>
      <c r="K449" s="746"/>
    </row>
    <row r="450" spans="1:11" ht="14.1" x14ac:dyDescent="0.4">
      <c r="C450" s="836">
        <v>2051</v>
      </c>
      <c r="D450" s="520">
        <v>37</v>
      </c>
      <c r="E450" s="837"/>
      <c r="F450" s="876"/>
      <c r="G450" s="840">
        <v>3331.422705175507</v>
      </c>
      <c r="H450" s="841">
        <v>3331.422705175507</v>
      </c>
    </row>
    <row r="451" spans="1:11" ht="14.1" x14ac:dyDescent="0.4">
      <c r="C451" s="836">
        <v>2052</v>
      </c>
      <c r="D451" s="520">
        <v>38</v>
      </c>
      <c r="E451" s="837"/>
      <c r="F451" s="876"/>
      <c r="G451" s="840">
        <v>3378.658249148204</v>
      </c>
      <c r="H451" s="841">
        <v>3378.658249148204</v>
      </c>
    </row>
    <row r="452" spans="1:11" ht="14.1" x14ac:dyDescent="0.4">
      <c r="C452" s="836">
        <v>2053</v>
      </c>
      <c r="D452" s="520">
        <v>39</v>
      </c>
      <c r="E452" s="837"/>
      <c r="F452" s="876"/>
      <c r="G452" s="840">
        <v>3425.893793120902</v>
      </c>
      <c r="H452" s="841">
        <v>3425.893793120902</v>
      </c>
    </row>
    <row r="453" spans="1:11" ht="14.1" x14ac:dyDescent="0.4">
      <c r="C453" s="836">
        <v>2054</v>
      </c>
      <c r="D453" s="520">
        <v>40</v>
      </c>
      <c r="E453" s="837"/>
      <c r="F453" s="876"/>
      <c r="G453" s="840">
        <v>3473.1293370935996</v>
      </c>
      <c r="H453" s="841">
        <v>3473.1293370935996</v>
      </c>
    </row>
    <row r="454" spans="1:11" ht="14.1" x14ac:dyDescent="0.4">
      <c r="C454" s="836">
        <v>2055</v>
      </c>
      <c r="D454" s="520">
        <v>41</v>
      </c>
      <c r="E454" s="837"/>
      <c r="F454" s="876"/>
      <c r="G454" s="840">
        <v>3520.3648810662971</v>
      </c>
      <c r="H454" s="841">
        <v>3520.3648810662971</v>
      </c>
    </row>
    <row r="455" spans="1:11" ht="14.1" x14ac:dyDescent="0.4">
      <c r="C455" s="836">
        <v>2056</v>
      </c>
      <c r="D455" s="520">
        <v>42</v>
      </c>
      <c r="E455" s="837"/>
      <c r="F455" s="876"/>
      <c r="G455" s="840">
        <v>3567.6004250389951</v>
      </c>
      <c r="H455" s="841">
        <v>3567.6004250389951</v>
      </c>
    </row>
    <row r="456" spans="1:11" ht="14.1" x14ac:dyDescent="0.4">
      <c r="C456" s="836">
        <v>2057</v>
      </c>
      <c r="D456" s="520">
        <v>43</v>
      </c>
      <c r="E456" s="837"/>
      <c r="F456" s="876"/>
      <c r="G456" s="840">
        <v>3614.8359690116927</v>
      </c>
      <c r="H456" s="841">
        <v>3614.8359690116927</v>
      </c>
    </row>
    <row r="457" spans="1:11" ht="14.1" x14ac:dyDescent="0.4">
      <c r="C457" s="836">
        <v>2058</v>
      </c>
      <c r="D457" s="520">
        <v>44</v>
      </c>
      <c r="E457" s="837"/>
      <c r="F457" s="876"/>
      <c r="G457" s="840">
        <v>3662.0715129843902</v>
      </c>
      <c r="H457" s="841">
        <v>3662.0715129843902</v>
      </c>
    </row>
    <row r="458" spans="1:11" ht="14.1" x14ac:dyDescent="0.4">
      <c r="C458" s="836">
        <v>2059</v>
      </c>
      <c r="D458" s="520">
        <v>45</v>
      </c>
      <c r="E458" s="837"/>
      <c r="F458" s="876"/>
      <c r="G458" s="840">
        <v>3709.3070569570882</v>
      </c>
      <c r="H458" s="841">
        <v>3709.3070569570882</v>
      </c>
    </row>
    <row r="459" spans="1:11" ht="14.1" x14ac:dyDescent="0.4">
      <c r="C459" s="843">
        <v>2060</v>
      </c>
      <c r="D459" s="520">
        <v>46</v>
      </c>
      <c r="E459" s="837"/>
      <c r="F459" s="876"/>
      <c r="G459" s="840">
        <v>3756.5426009297853</v>
      </c>
      <c r="H459" s="841">
        <v>3756.5426009297853</v>
      </c>
    </row>
    <row r="462" spans="1:11" ht="15" x14ac:dyDescent="0.5">
      <c r="A462" s="621" t="str">
        <f ca="1">HYPERLINK("#"&amp;"'"&amp;A$1&amp;"'!a1","Back to top")</f>
        <v>Back to top</v>
      </c>
    </row>
    <row r="465" spans="1:11" ht="15" x14ac:dyDescent="0.5">
      <c r="A465" s="508">
        <v>5</v>
      </c>
      <c r="B465" s="509" t="s">
        <v>756</v>
      </c>
      <c r="C465" s="787"/>
      <c r="D465" s="787"/>
      <c r="E465" s="787"/>
      <c r="F465" s="787"/>
      <c r="G465" s="787"/>
      <c r="H465" s="787"/>
      <c r="I465" s="787"/>
      <c r="J465" s="787"/>
      <c r="K465" s="787"/>
    </row>
    <row r="466" spans="1:11" ht="15" x14ac:dyDescent="0.5">
      <c r="A466" s="510" t="s">
        <v>260</v>
      </c>
      <c r="B466" s="511"/>
      <c r="C466" s="511"/>
      <c r="D466" s="223"/>
      <c r="E466" s="512"/>
      <c r="F466" s="1309"/>
      <c r="G466" s="512"/>
      <c r="H466" s="513"/>
      <c r="I466" s="746"/>
      <c r="J466" s="746"/>
      <c r="K466" s="746"/>
    </row>
    <row r="467" spans="1:11" ht="15.3" thickBot="1" x14ac:dyDescent="0.5">
      <c r="A467" s="872" t="s">
        <v>603</v>
      </c>
      <c r="B467" s="514"/>
      <c r="C467" s="514"/>
      <c r="D467" s="515"/>
      <c r="E467" s="516" t="s">
        <v>222</v>
      </c>
      <c r="F467" s="1310"/>
      <c r="G467" s="873" t="s">
        <v>757</v>
      </c>
      <c r="H467" s="513"/>
      <c r="I467" s="746"/>
      <c r="J467" s="746"/>
      <c r="K467" s="746"/>
    </row>
    <row r="468" spans="1:11" ht="37.200000000000003" thickBot="1" x14ac:dyDescent="0.5">
      <c r="A468" s="517"/>
      <c r="B468" s="517"/>
      <c r="C468" s="517"/>
      <c r="D468" s="518"/>
      <c r="E468" s="873" t="s">
        <v>724</v>
      </c>
      <c r="F468" s="873" t="s">
        <v>664</v>
      </c>
      <c r="G468" s="874" t="s">
        <v>738</v>
      </c>
      <c r="H468" s="873" t="s">
        <v>667</v>
      </c>
      <c r="I468" s="873" t="s">
        <v>666</v>
      </c>
      <c r="J468" s="1297" t="s">
        <v>668</v>
      </c>
      <c r="K468" s="1298"/>
    </row>
    <row r="469" spans="1:11" ht="15" x14ac:dyDescent="0.5">
      <c r="A469" s="510" t="s">
        <v>268</v>
      </c>
      <c r="B469" s="517"/>
      <c r="C469" s="788">
        <v>2005</v>
      </c>
      <c r="D469" s="519">
        <v>-9</v>
      </c>
      <c r="E469" s="875">
        <v>2351.571478823259</v>
      </c>
      <c r="F469" s="876">
        <v>2351.571478823259</v>
      </c>
      <c r="G469" s="877">
        <v>2351.571478823259</v>
      </c>
      <c r="H469" s="878">
        <v>2351.571478823259</v>
      </c>
      <c r="I469" s="1303" t="s">
        <v>269</v>
      </c>
      <c r="J469" s="1299"/>
      <c r="K469" s="1300"/>
    </row>
    <row r="470" spans="1:11" ht="15" x14ac:dyDescent="0.45">
      <c r="A470" s="872" t="s">
        <v>211</v>
      </c>
      <c r="B470" s="517"/>
      <c r="C470" s="836">
        <v>2006</v>
      </c>
      <c r="D470" s="520">
        <v>-8</v>
      </c>
      <c r="E470" s="837">
        <v>2440.8703334661927</v>
      </c>
      <c r="F470" s="876">
        <v>2440.8703334661927</v>
      </c>
      <c r="G470" s="838">
        <v>2440.8703334661927</v>
      </c>
      <c r="H470" s="839">
        <v>2440.8703334661927</v>
      </c>
      <c r="I470" s="1304"/>
      <c r="J470" s="1299"/>
      <c r="K470" s="1300"/>
    </row>
    <row r="471" spans="1:11" ht="14.05" customHeight="1" x14ac:dyDescent="0.45">
      <c r="A471" s="517"/>
      <c r="B471" s="517"/>
      <c r="C471" s="836">
        <v>2007</v>
      </c>
      <c r="D471" s="520">
        <v>-7</v>
      </c>
      <c r="E471" s="837">
        <v>2519.3043968898523</v>
      </c>
      <c r="F471" s="876">
        <v>2519.3043968898523</v>
      </c>
      <c r="G471" s="838">
        <v>2519.3043968898523</v>
      </c>
      <c r="H471" s="839">
        <v>2519.3043968898523</v>
      </c>
      <c r="I471" s="1304"/>
      <c r="J471" s="1299"/>
      <c r="K471" s="1300"/>
    </row>
    <row r="472" spans="1:11" ht="15" x14ac:dyDescent="0.45">
      <c r="A472" s="676" t="s">
        <v>270</v>
      </c>
      <c r="B472" s="517"/>
      <c r="C472" s="836">
        <v>2008</v>
      </c>
      <c r="D472" s="520">
        <v>-6</v>
      </c>
      <c r="E472" s="837">
        <v>2582.1859859086403</v>
      </c>
      <c r="F472" s="876">
        <v>2582.1859859086403</v>
      </c>
      <c r="G472" s="838">
        <v>2582.1859859086403</v>
      </c>
      <c r="H472" s="839">
        <v>2582.1859859086403</v>
      </c>
      <c r="I472" s="1304"/>
      <c r="J472" s="1301"/>
      <c r="K472" s="1302"/>
    </row>
    <row r="473" spans="1:11" ht="14.1" x14ac:dyDescent="0.45">
      <c r="A473" s="1306" t="s">
        <v>754</v>
      </c>
      <c r="B473" s="517"/>
      <c r="C473" s="836">
        <v>2009</v>
      </c>
      <c r="D473" s="520">
        <v>-5</v>
      </c>
      <c r="E473" s="837">
        <v>2611.9652472039816</v>
      </c>
      <c r="F473" s="876">
        <v>2611.9652472039816</v>
      </c>
      <c r="G473" s="838">
        <v>2611.9652472039816</v>
      </c>
      <c r="H473" s="839">
        <v>2611.9652472039816</v>
      </c>
      <c r="I473" s="1304"/>
      <c r="J473" s="746"/>
      <c r="K473" s="746"/>
    </row>
    <row r="474" spans="1:11" ht="14.1" x14ac:dyDescent="0.45">
      <c r="A474" s="1307"/>
      <c r="B474" s="517"/>
      <c r="C474" s="836">
        <v>2010</v>
      </c>
      <c r="D474" s="520">
        <v>-4</v>
      </c>
      <c r="E474" s="837">
        <v>2684.4560967591015</v>
      </c>
      <c r="F474" s="876">
        <v>2684.4560967591015</v>
      </c>
      <c r="G474" s="838">
        <v>2684.4560967591015</v>
      </c>
      <c r="H474" s="839">
        <v>2684.4560967591015</v>
      </c>
      <c r="I474" s="1304"/>
      <c r="J474" s="746"/>
      <c r="K474" s="746"/>
    </row>
    <row r="475" spans="1:11" ht="14.1" x14ac:dyDescent="0.45">
      <c r="A475" s="1307"/>
      <c r="B475" s="517"/>
      <c r="C475" s="836">
        <v>2011</v>
      </c>
      <c r="D475" s="520">
        <v>-3</v>
      </c>
      <c r="E475" s="837">
        <v>2759.6206894356078</v>
      </c>
      <c r="F475" s="876">
        <v>2759.6206894356078</v>
      </c>
      <c r="G475" s="838">
        <v>2759.6206894356078</v>
      </c>
      <c r="H475" s="839">
        <v>2759.6206894356078</v>
      </c>
      <c r="I475" s="1305"/>
      <c r="J475" s="746"/>
      <c r="K475" s="746"/>
    </row>
    <row r="476" spans="1:11" ht="14.1" x14ac:dyDescent="0.45">
      <c r="A476" s="1308"/>
      <c r="B476" s="517"/>
      <c r="C476" s="836">
        <v>2012</v>
      </c>
      <c r="D476" s="520">
        <v>-2</v>
      </c>
      <c r="E476" s="837">
        <v>2826.7930548024115</v>
      </c>
      <c r="F476" s="876">
        <v>2826.7930548024115</v>
      </c>
      <c r="G476" s="840">
        <v>2826.7930548024115</v>
      </c>
      <c r="H476" s="841">
        <v>2826.7930548024115</v>
      </c>
      <c r="I476" s="789" t="s">
        <v>272</v>
      </c>
      <c r="J476" s="746"/>
      <c r="K476" s="746"/>
    </row>
    <row r="477" spans="1:11" ht="14.1" x14ac:dyDescent="0.45">
      <c r="A477" s="517"/>
      <c r="B477" s="517"/>
      <c r="C477" s="836">
        <v>2013</v>
      </c>
      <c r="D477" s="520">
        <v>-1</v>
      </c>
      <c r="E477" s="837">
        <v>2892.3593652904706</v>
      </c>
      <c r="F477" s="876">
        <v>2892.3593652904706</v>
      </c>
      <c r="G477" s="840">
        <v>2892.3593652904706</v>
      </c>
      <c r="H477" s="841">
        <v>2892.3593652904706</v>
      </c>
      <c r="I477" s="746"/>
      <c r="J477" s="746"/>
      <c r="K477" s="746"/>
    </row>
    <row r="478" spans="1:11" ht="15" x14ac:dyDescent="0.5">
      <c r="A478" s="521" t="s">
        <v>273</v>
      </c>
      <c r="B478" s="517"/>
      <c r="C478" s="836">
        <v>2014</v>
      </c>
      <c r="D478" s="520">
        <v>0</v>
      </c>
      <c r="E478" s="837">
        <v>2960.0140683587933</v>
      </c>
      <c r="F478" s="876">
        <v>2960.0140683587933</v>
      </c>
      <c r="G478" s="840">
        <v>2960.0140683587933</v>
      </c>
      <c r="H478" s="841">
        <v>2960.0140683587933</v>
      </c>
      <c r="I478" s="746"/>
      <c r="J478" s="746"/>
      <c r="K478" s="746"/>
    </row>
    <row r="479" spans="1:11" ht="15" x14ac:dyDescent="0.45">
      <c r="A479" s="842">
        <v>2015</v>
      </c>
      <c r="B479" s="514"/>
      <c r="C479" s="836">
        <v>2015</v>
      </c>
      <c r="D479" s="520">
        <v>1</v>
      </c>
      <c r="E479" s="837">
        <v>3018.331784457765</v>
      </c>
      <c r="F479" s="876">
        <v>3018.331784457765</v>
      </c>
      <c r="G479" s="840">
        <v>3018.331784457765</v>
      </c>
      <c r="H479" s="841">
        <v>3018.331784457765</v>
      </c>
      <c r="I479" s="746"/>
      <c r="J479" s="746"/>
      <c r="K479" s="746"/>
    </row>
    <row r="480" spans="1:11" ht="14.1" x14ac:dyDescent="0.45">
      <c r="A480" s="746"/>
      <c r="B480" s="514"/>
      <c r="C480" s="836">
        <v>2016</v>
      </c>
      <c r="D480" s="520">
        <v>2</v>
      </c>
      <c r="E480" s="837">
        <v>3079.40167993759</v>
      </c>
      <c r="F480" s="876">
        <v>3079.40167993759</v>
      </c>
      <c r="G480" s="840">
        <v>3079.40167993759</v>
      </c>
      <c r="H480" s="841">
        <v>3079.40167993759</v>
      </c>
      <c r="I480" s="746"/>
      <c r="J480" s="746"/>
      <c r="K480" s="746"/>
    </row>
    <row r="481" spans="1:11" ht="15" x14ac:dyDescent="0.5">
      <c r="A481" s="521" t="s">
        <v>274</v>
      </c>
      <c r="B481" s="514"/>
      <c r="C481" s="836">
        <v>2017</v>
      </c>
      <c r="D481" s="520">
        <v>3</v>
      </c>
      <c r="E481" s="837">
        <v>3153.2532270849756</v>
      </c>
      <c r="F481" s="876">
        <v>3153.2532270849756</v>
      </c>
      <c r="G481" s="840">
        <v>3153.2532270849756</v>
      </c>
      <c r="H481" s="841">
        <v>3153.2532270849756</v>
      </c>
      <c r="I481" s="746"/>
      <c r="J481" s="746"/>
      <c r="K481" s="746"/>
    </row>
    <row r="482" spans="1:11" ht="15" x14ac:dyDescent="0.45">
      <c r="A482" s="842" t="s">
        <v>724</v>
      </c>
      <c r="B482" s="514"/>
      <c r="C482" s="836">
        <v>2018</v>
      </c>
      <c r="D482" s="520">
        <v>4</v>
      </c>
      <c r="E482" s="837">
        <v>3224.6815620204634</v>
      </c>
      <c r="F482" s="876">
        <v>3224.6815620204634</v>
      </c>
      <c r="G482" s="840">
        <v>3224.6815620204634</v>
      </c>
      <c r="H482" s="841">
        <v>3224.6815620204634</v>
      </c>
      <c r="I482" s="746"/>
      <c r="J482" s="746"/>
      <c r="K482" s="746"/>
    </row>
    <row r="483" spans="1:11" ht="15" x14ac:dyDescent="0.5">
      <c r="A483" s="790"/>
      <c r="B483" s="522"/>
      <c r="C483" s="836">
        <v>2019</v>
      </c>
      <c r="D483" s="520">
        <v>5</v>
      </c>
      <c r="E483" s="837"/>
      <c r="F483" s="876"/>
      <c r="G483" s="840">
        <v>3282.953365889256</v>
      </c>
      <c r="H483" s="841">
        <v>3282.953365889256</v>
      </c>
      <c r="I483" s="746"/>
      <c r="J483" s="746"/>
      <c r="K483" s="746"/>
    </row>
    <row r="484" spans="1:11" ht="15" x14ac:dyDescent="0.45">
      <c r="A484" s="879" t="s">
        <v>275</v>
      </c>
      <c r="B484" s="514"/>
      <c r="C484" s="836">
        <v>2020</v>
      </c>
      <c r="D484" s="520">
        <v>6</v>
      </c>
      <c r="E484" s="837"/>
      <c r="F484" s="876"/>
      <c r="G484" s="840">
        <v>3348.2537292417369</v>
      </c>
      <c r="H484" s="841">
        <v>3348.2537292417369</v>
      </c>
      <c r="I484" s="746"/>
      <c r="J484" s="746"/>
      <c r="K484" s="746"/>
    </row>
    <row r="485" spans="1:11" ht="15" x14ac:dyDescent="0.45">
      <c r="A485" s="791"/>
      <c r="B485" s="514"/>
      <c r="C485" s="836">
        <v>2021</v>
      </c>
      <c r="D485" s="520">
        <v>7</v>
      </c>
      <c r="E485" s="837"/>
      <c r="F485" s="876"/>
      <c r="G485" s="840">
        <v>3413.5540925942178</v>
      </c>
      <c r="H485" s="841">
        <v>3413.5540925942178</v>
      </c>
      <c r="I485" s="746"/>
      <c r="J485" s="746"/>
      <c r="K485" s="746"/>
    </row>
    <row r="486" spans="1:11" ht="15" x14ac:dyDescent="0.45">
      <c r="A486" s="892"/>
      <c r="B486" s="514"/>
      <c r="C486" s="836">
        <v>2022</v>
      </c>
      <c r="D486" s="520">
        <v>8</v>
      </c>
      <c r="E486" s="837"/>
      <c r="F486" s="876"/>
      <c r="G486" s="840">
        <v>3478.8544559466982</v>
      </c>
      <c r="H486" s="841">
        <v>3478.8544559466982</v>
      </c>
      <c r="I486" s="746"/>
      <c r="J486" s="746"/>
      <c r="K486" s="746"/>
    </row>
    <row r="487" spans="1:11" ht="15" x14ac:dyDescent="0.45">
      <c r="A487" s="842"/>
      <c r="B487" s="514"/>
      <c r="C487" s="836">
        <v>2023</v>
      </c>
      <c r="D487" s="520">
        <v>9</v>
      </c>
      <c r="E487" s="837"/>
      <c r="F487" s="876"/>
      <c r="G487" s="840">
        <v>3544.1548192991791</v>
      </c>
      <c r="H487" s="841">
        <v>3544.1548192991791</v>
      </c>
      <c r="I487" s="746"/>
      <c r="J487" s="746"/>
      <c r="K487" s="746"/>
    </row>
    <row r="488" spans="1:11" ht="14.1" x14ac:dyDescent="0.45">
      <c r="A488" s="514"/>
      <c r="B488" s="514"/>
      <c r="C488" s="836">
        <v>2024</v>
      </c>
      <c r="D488" s="520">
        <v>10</v>
      </c>
      <c r="E488" s="837"/>
      <c r="F488" s="876"/>
      <c r="G488" s="840">
        <v>3609.4551826516599</v>
      </c>
      <c r="H488" s="841">
        <v>3609.4551826516599</v>
      </c>
      <c r="I488" s="746"/>
      <c r="J488" s="746"/>
      <c r="K488" s="746"/>
    </row>
    <row r="489" spans="1:11" ht="14.1" x14ac:dyDescent="0.45">
      <c r="A489" s="514"/>
      <c r="B489" s="514"/>
      <c r="C489" s="836">
        <v>2025</v>
      </c>
      <c r="D489" s="520">
        <v>11</v>
      </c>
      <c r="E489" s="837"/>
      <c r="F489" s="876"/>
      <c r="G489" s="840">
        <v>3674.7555460041403</v>
      </c>
      <c r="H489" s="841">
        <v>3674.7555460041403</v>
      </c>
      <c r="I489" s="746"/>
      <c r="J489" s="746"/>
      <c r="K489" s="746"/>
    </row>
    <row r="490" spans="1:11" ht="14.1" x14ac:dyDescent="0.45">
      <c r="A490" s="514"/>
      <c r="B490" s="514"/>
      <c r="C490" s="836">
        <v>2026</v>
      </c>
      <c r="D490" s="520">
        <v>12</v>
      </c>
      <c r="E490" s="837"/>
      <c r="F490" s="876"/>
      <c r="G490" s="840">
        <v>3740.0559093566217</v>
      </c>
      <c r="H490" s="841">
        <v>3740.0559093566217</v>
      </c>
      <c r="I490" s="746"/>
      <c r="J490" s="746"/>
      <c r="K490" s="746"/>
    </row>
    <row r="491" spans="1:11" ht="14.1" x14ac:dyDescent="0.45">
      <c r="A491" s="514"/>
      <c r="B491" s="514"/>
      <c r="C491" s="836">
        <v>2027</v>
      </c>
      <c r="D491" s="520">
        <v>13</v>
      </c>
      <c r="E491" s="837"/>
      <c r="F491" s="876"/>
      <c r="G491" s="840">
        <v>3805.3562727091021</v>
      </c>
      <c r="H491" s="841">
        <v>3805.3562727091021</v>
      </c>
      <c r="I491" s="746"/>
      <c r="J491" s="746"/>
      <c r="K491" s="746"/>
    </row>
    <row r="492" spans="1:11" ht="14.1" x14ac:dyDescent="0.45">
      <c r="A492" s="514"/>
      <c r="B492" s="514"/>
      <c r="C492" s="836">
        <v>2028</v>
      </c>
      <c r="D492" s="520">
        <v>14</v>
      </c>
      <c r="E492" s="837"/>
      <c r="F492" s="876"/>
      <c r="G492" s="840">
        <v>3870.656636061583</v>
      </c>
      <c r="H492" s="841">
        <v>3870.656636061583</v>
      </c>
      <c r="I492" s="746"/>
      <c r="J492" s="746"/>
      <c r="K492" s="746"/>
    </row>
    <row r="493" spans="1:11" ht="14.1" x14ac:dyDescent="0.45">
      <c r="A493" s="514"/>
      <c r="B493" s="514"/>
      <c r="C493" s="836">
        <v>2029</v>
      </c>
      <c r="D493" s="520">
        <v>15</v>
      </c>
      <c r="E493" s="837"/>
      <c r="F493" s="876"/>
      <c r="G493" s="840">
        <v>3935.9569994140638</v>
      </c>
      <c r="H493" s="841">
        <v>3935.9569994140638</v>
      </c>
      <c r="I493" s="746"/>
      <c r="J493" s="746"/>
      <c r="K493" s="746"/>
    </row>
    <row r="494" spans="1:11" ht="14.1" x14ac:dyDescent="0.45">
      <c r="A494" s="514"/>
      <c r="B494" s="514"/>
      <c r="C494" s="836">
        <v>2030</v>
      </c>
      <c r="D494" s="520">
        <v>16</v>
      </c>
      <c r="E494" s="837"/>
      <c r="F494" s="876"/>
      <c r="G494" s="840">
        <v>4001.2573627665442</v>
      </c>
      <c r="H494" s="841">
        <v>4001.2573627665442</v>
      </c>
      <c r="I494" s="746"/>
      <c r="J494" s="746"/>
      <c r="K494" s="746"/>
    </row>
    <row r="495" spans="1:11" ht="14.1" x14ac:dyDescent="0.45">
      <c r="A495" s="514"/>
      <c r="B495" s="514"/>
      <c r="C495" s="836">
        <v>2031</v>
      </c>
      <c r="D495" s="520">
        <v>17</v>
      </c>
      <c r="E495" s="837"/>
      <c r="F495" s="876"/>
      <c r="G495" s="840">
        <v>4066.5577261190256</v>
      </c>
      <c r="H495" s="841">
        <v>4066.5577261190256</v>
      </c>
      <c r="I495" s="746"/>
      <c r="J495" s="746"/>
      <c r="K495" s="746"/>
    </row>
    <row r="496" spans="1:11" ht="14.1" x14ac:dyDescent="0.45">
      <c r="A496" s="514"/>
      <c r="B496" s="514"/>
      <c r="C496" s="836">
        <v>2032</v>
      </c>
      <c r="D496" s="520">
        <v>18</v>
      </c>
      <c r="E496" s="837"/>
      <c r="F496" s="876"/>
      <c r="G496" s="840">
        <v>4131.858089471506</v>
      </c>
      <c r="H496" s="841">
        <v>4131.858089471506</v>
      </c>
      <c r="I496" s="746"/>
      <c r="J496" s="746"/>
      <c r="K496" s="746"/>
    </row>
    <row r="497" spans="1:11" ht="14.1" x14ac:dyDescent="0.45">
      <c r="A497" s="522"/>
      <c r="B497" s="522"/>
      <c r="C497" s="836">
        <v>2033</v>
      </c>
      <c r="D497" s="520">
        <v>19</v>
      </c>
      <c r="E497" s="837"/>
      <c r="F497" s="876"/>
      <c r="G497" s="840">
        <v>4197.1584528239873</v>
      </c>
      <c r="H497" s="841">
        <v>4197.1584528239873</v>
      </c>
      <c r="I497" s="746"/>
      <c r="J497" s="746"/>
      <c r="K497" s="746"/>
    </row>
    <row r="498" spans="1:11" ht="14.1" x14ac:dyDescent="0.45">
      <c r="A498" s="522"/>
      <c r="B498" s="522"/>
      <c r="C498" s="836">
        <v>2034</v>
      </c>
      <c r="D498" s="520">
        <v>20</v>
      </c>
      <c r="E498" s="837"/>
      <c r="F498" s="876"/>
      <c r="G498" s="840">
        <v>4262.4588161764677</v>
      </c>
      <c r="H498" s="841">
        <v>4262.4588161764677</v>
      </c>
      <c r="I498" s="746"/>
      <c r="J498" s="746"/>
      <c r="K498" s="746"/>
    </row>
    <row r="499" spans="1:11" ht="14.1" x14ac:dyDescent="0.45">
      <c r="A499" s="522"/>
      <c r="B499" s="522"/>
      <c r="C499" s="836">
        <v>2035</v>
      </c>
      <c r="D499" s="520">
        <v>21</v>
      </c>
      <c r="E499" s="837"/>
      <c r="F499" s="876"/>
      <c r="G499" s="840">
        <v>4327.7591795289482</v>
      </c>
      <c r="H499" s="841">
        <v>4327.7591795289482</v>
      </c>
      <c r="I499" s="746"/>
      <c r="J499" s="746"/>
      <c r="K499" s="746"/>
    </row>
    <row r="500" spans="1:11" ht="14.1" x14ac:dyDescent="0.45">
      <c r="A500" s="522"/>
      <c r="B500" s="522"/>
      <c r="C500" s="836">
        <v>2036</v>
      </c>
      <c r="D500" s="520">
        <v>22</v>
      </c>
      <c r="E500" s="837"/>
      <c r="F500" s="876"/>
      <c r="G500" s="840">
        <v>4393.0595428814286</v>
      </c>
      <c r="H500" s="841">
        <v>4393.0595428814286</v>
      </c>
      <c r="I500" s="746"/>
      <c r="J500" s="746"/>
      <c r="K500" s="746"/>
    </row>
    <row r="501" spans="1:11" ht="14.1" x14ac:dyDescent="0.45">
      <c r="A501" s="522"/>
      <c r="B501" s="522"/>
      <c r="C501" s="836">
        <v>2037</v>
      </c>
      <c r="D501" s="520">
        <v>23</v>
      </c>
      <c r="E501" s="837"/>
      <c r="F501" s="876"/>
      <c r="G501" s="840">
        <v>4458.3599062339099</v>
      </c>
      <c r="H501" s="841">
        <v>4458.3599062339099</v>
      </c>
      <c r="I501" s="746"/>
      <c r="J501" s="746"/>
      <c r="K501" s="746"/>
    </row>
    <row r="502" spans="1:11" ht="14.1" x14ac:dyDescent="0.45">
      <c r="A502" s="522"/>
      <c r="B502" s="522"/>
      <c r="C502" s="836">
        <v>2038</v>
      </c>
      <c r="D502" s="520">
        <v>24</v>
      </c>
      <c r="E502" s="837"/>
      <c r="F502" s="876"/>
      <c r="G502" s="840">
        <v>4523.6602695863912</v>
      </c>
      <c r="H502" s="841">
        <v>4523.6602695863912</v>
      </c>
      <c r="I502" s="746"/>
      <c r="J502" s="746"/>
      <c r="K502" s="746"/>
    </row>
    <row r="503" spans="1:11" ht="14.1" x14ac:dyDescent="0.45">
      <c r="A503" s="522"/>
      <c r="B503" s="522"/>
      <c r="C503" s="836">
        <v>2039</v>
      </c>
      <c r="D503" s="520">
        <v>25</v>
      </c>
      <c r="E503" s="837"/>
      <c r="F503" s="876"/>
      <c r="G503" s="840">
        <v>4588.9606329388716</v>
      </c>
      <c r="H503" s="841">
        <v>4588.9606329388716</v>
      </c>
      <c r="I503" s="746"/>
      <c r="J503" s="746"/>
      <c r="K503" s="746"/>
    </row>
    <row r="504" spans="1:11" ht="14.1" x14ac:dyDescent="0.45">
      <c r="A504" s="522"/>
      <c r="B504" s="522"/>
      <c r="C504" s="836">
        <v>2040</v>
      </c>
      <c r="D504" s="520">
        <v>26</v>
      </c>
      <c r="E504" s="837"/>
      <c r="F504" s="876"/>
      <c r="G504" s="840">
        <v>4654.2609962913521</v>
      </c>
      <c r="H504" s="841">
        <v>4654.2609962913521</v>
      </c>
      <c r="I504" s="746"/>
      <c r="J504" s="746"/>
      <c r="K504" s="746"/>
    </row>
    <row r="505" spans="1:11" ht="14.1" x14ac:dyDescent="0.45">
      <c r="A505" s="522"/>
      <c r="B505" s="522"/>
      <c r="C505" s="836">
        <v>2041</v>
      </c>
      <c r="D505" s="520">
        <v>27</v>
      </c>
      <c r="E505" s="837"/>
      <c r="F505" s="876"/>
      <c r="G505" s="840">
        <v>4719.5613596438325</v>
      </c>
      <c r="H505" s="841">
        <v>4719.5613596438325</v>
      </c>
      <c r="I505" s="746"/>
      <c r="J505" s="746"/>
      <c r="K505" s="746"/>
    </row>
    <row r="506" spans="1:11" ht="14.1" x14ac:dyDescent="0.45">
      <c r="A506" s="522"/>
      <c r="B506" s="522"/>
      <c r="C506" s="836">
        <v>2042</v>
      </c>
      <c r="D506" s="520">
        <v>28</v>
      </c>
      <c r="E506" s="837"/>
      <c r="F506" s="876"/>
      <c r="G506" s="840">
        <v>4784.8617229963138</v>
      </c>
      <c r="H506" s="841">
        <v>4784.8617229963138</v>
      </c>
      <c r="I506" s="746"/>
      <c r="J506" s="746"/>
      <c r="K506" s="746"/>
    </row>
    <row r="507" spans="1:11" ht="14.1" x14ac:dyDescent="0.45">
      <c r="A507" s="522"/>
      <c r="B507" s="522"/>
      <c r="C507" s="836">
        <v>2043</v>
      </c>
      <c r="D507" s="520">
        <v>29</v>
      </c>
      <c r="E507" s="837"/>
      <c r="F507" s="876"/>
      <c r="G507" s="840">
        <v>4850.1620863487942</v>
      </c>
      <c r="H507" s="841">
        <v>4850.1620863487942</v>
      </c>
      <c r="I507" s="746"/>
      <c r="J507" s="746"/>
      <c r="K507" s="746"/>
    </row>
    <row r="508" spans="1:11" ht="14.1" x14ac:dyDescent="0.45">
      <c r="A508" s="522"/>
      <c r="B508" s="522"/>
      <c r="C508" s="836">
        <v>2044</v>
      </c>
      <c r="D508" s="520">
        <v>30</v>
      </c>
      <c r="E508" s="837"/>
      <c r="F508" s="876"/>
      <c r="G508" s="840">
        <v>4915.4624497012755</v>
      </c>
      <c r="H508" s="841">
        <v>4915.4624497012755</v>
      </c>
      <c r="I508" s="746"/>
      <c r="J508" s="746"/>
      <c r="K508" s="746"/>
    </row>
    <row r="509" spans="1:11" ht="14.1" x14ac:dyDescent="0.45">
      <c r="A509" s="522"/>
      <c r="B509" s="522"/>
      <c r="C509" s="836">
        <v>2045</v>
      </c>
      <c r="D509" s="520">
        <v>31</v>
      </c>
      <c r="E509" s="837"/>
      <c r="F509" s="876"/>
      <c r="G509" s="840">
        <v>4980.762813053756</v>
      </c>
      <c r="H509" s="841">
        <v>4980.762813053756</v>
      </c>
      <c r="I509" s="746"/>
      <c r="J509" s="746"/>
      <c r="K509" s="746"/>
    </row>
    <row r="510" spans="1:11" ht="14.1" x14ac:dyDescent="0.45">
      <c r="A510" s="522"/>
      <c r="B510" s="522"/>
      <c r="C510" s="836">
        <v>2046</v>
      </c>
      <c r="D510" s="520">
        <v>32</v>
      </c>
      <c r="E510" s="837"/>
      <c r="F510" s="876"/>
      <c r="G510" s="840">
        <v>5046.0631764062364</v>
      </c>
      <c r="H510" s="841">
        <v>5046.0631764062364</v>
      </c>
      <c r="I510" s="746"/>
      <c r="J510" s="746"/>
      <c r="K510" s="746"/>
    </row>
    <row r="511" spans="1:11" ht="14.1" x14ac:dyDescent="0.45">
      <c r="A511" s="523"/>
      <c r="B511" s="524"/>
      <c r="C511" s="836">
        <v>2047</v>
      </c>
      <c r="D511" s="520">
        <v>33</v>
      </c>
      <c r="E511" s="837"/>
      <c r="F511" s="876"/>
      <c r="G511" s="840">
        <v>5111.3635397587177</v>
      </c>
      <c r="H511" s="841">
        <v>5111.3635397587177</v>
      </c>
      <c r="I511" s="746"/>
      <c r="J511" s="746"/>
      <c r="K511" s="746"/>
    </row>
    <row r="512" spans="1:11" ht="14.1" x14ac:dyDescent="0.45">
      <c r="A512" s="746"/>
      <c r="B512" s="524"/>
      <c r="C512" s="836">
        <v>2048</v>
      </c>
      <c r="D512" s="520">
        <v>34</v>
      </c>
      <c r="E512" s="837"/>
      <c r="F512" s="876"/>
      <c r="G512" s="840">
        <v>5176.663903111199</v>
      </c>
      <c r="H512" s="841">
        <v>5176.663903111199</v>
      </c>
      <c r="I512" s="746"/>
      <c r="J512" s="746"/>
      <c r="K512" s="746"/>
    </row>
    <row r="513" spans="1:11" ht="14.1" x14ac:dyDescent="0.4">
      <c r="A513" s="746"/>
      <c r="B513" s="746"/>
      <c r="C513" s="836">
        <v>2049</v>
      </c>
      <c r="D513" s="520">
        <v>35</v>
      </c>
      <c r="E513" s="837"/>
      <c r="F513" s="876"/>
      <c r="G513" s="840">
        <v>5241.9642664636795</v>
      </c>
      <c r="H513" s="841">
        <v>5241.9642664636795</v>
      </c>
      <c r="I513" s="746"/>
      <c r="J513" s="746"/>
      <c r="K513" s="746"/>
    </row>
    <row r="514" spans="1:11" ht="14.1" x14ac:dyDescent="0.4">
      <c r="A514" s="746"/>
      <c r="B514" s="746"/>
      <c r="C514" s="836">
        <v>2050</v>
      </c>
      <c r="D514" s="520">
        <v>36</v>
      </c>
      <c r="E514" s="837"/>
      <c r="F514" s="876"/>
      <c r="G514" s="840">
        <v>5307.2646298161599</v>
      </c>
      <c r="H514" s="841">
        <v>5307.2646298161599</v>
      </c>
      <c r="I514" s="746"/>
      <c r="J514" s="746"/>
      <c r="K514" s="746"/>
    </row>
    <row r="515" spans="1:11" ht="14.1" x14ac:dyDescent="0.4">
      <c r="C515" s="836">
        <v>2051</v>
      </c>
      <c r="D515" s="520">
        <v>37</v>
      </c>
      <c r="E515" s="837"/>
      <c r="F515" s="876"/>
      <c r="G515" s="840">
        <v>5372.5649931686403</v>
      </c>
      <c r="H515" s="841">
        <v>5372.5649931686403</v>
      </c>
    </row>
    <row r="516" spans="1:11" ht="14.1" x14ac:dyDescent="0.4">
      <c r="C516" s="836">
        <v>2052</v>
      </c>
      <c r="D516" s="520">
        <v>38</v>
      </c>
      <c r="E516" s="837"/>
      <c r="F516" s="876"/>
      <c r="G516" s="840">
        <v>5437.8653565211216</v>
      </c>
      <c r="H516" s="841">
        <v>5437.8653565211216</v>
      </c>
    </row>
    <row r="517" spans="1:11" ht="14.1" x14ac:dyDescent="0.4">
      <c r="C517" s="836">
        <v>2053</v>
      </c>
      <c r="D517" s="520">
        <v>39</v>
      </c>
      <c r="E517" s="837"/>
      <c r="F517" s="876"/>
      <c r="G517" s="840">
        <v>5503.165719873602</v>
      </c>
      <c r="H517" s="841">
        <v>5503.165719873602</v>
      </c>
    </row>
    <row r="518" spans="1:11" ht="14.1" x14ac:dyDescent="0.4">
      <c r="C518" s="836">
        <v>2054</v>
      </c>
      <c r="D518" s="520">
        <v>40</v>
      </c>
      <c r="E518" s="837"/>
      <c r="F518" s="876"/>
      <c r="G518" s="840">
        <v>5568.4660832260834</v>
      </c>
      <c r="H518" s="841">
        <v>5568.4660832260834</v>
      </c>
    </row>
    <row r="519" spans="1:11" ht="14.1" x14ac:dyDescent="0.4">
      <c r="C519" s="836">
        <v>2055</v>
      </c>
      <c r="D519" s="520">
        <v>41</v>
      </c>
      <c r="E519" s="837"/>
      <c r="F519" s="876"/>
      <c r="G519" s="840">
        <v>5633.7664465785638</v>
      </c>
      <c r="H519" s="841">
        <v>5633.7664465785638</v>
      </c>
    </row>
    <row r="520" spans="1:11" ht="14.1" x14ac:dyDescent="0.4">
      <c r="C520" s="836">
        <v>2056</v>
      </c>
      <c r="D520" s="520">
        <v>42</v>
      </c>
      <c r="E520" s="837"/>
      <c r="F520" s="876"/>
      <c r="G520" s="840">
        <v>5699.0668099310442</v>
      </c>
      <c r="H520" s="841">
        <v>5699.0668099310442</v>
      </c>
    </row>
    <row r="521" spans="1:11" ht="14.1" x14ac:dyDescent="0.4">
      <c r="C521" s="836">
        <v>2057</v>
      </c>
      <c r="D521" s="520">
        <v>43</v>
      </c>
      <c r="E521" s="837"/>
      <c r="F521" s="876"/>
      <c r="G521" s="840">
        <v>5764.3671732835255</v>
      </c>
      <c r="H521" s="841">
        <v>5764.3671732835255</v>
      </c>
    </row>
    <row r="522" spans="1:11" ht="14.1" x14ac:dyDescent="0.4">
      <c r="C522" s="836">
        <v>2058</v>
      </c>
      <c r="D522" s="520">
        <v>44</v>
      </c>
      <c r="E522" s="837"/>
      <c r="F522" s="876"/>
      <c r="G522" s="840">
        <v>5829.6675366360059</v>
      </c>
      <c r="H522" s="841">
        <v>5829.6675366360059</v>
      </c>
    </row>
    <row r="523" spans="1:11" ht="14.1" x14ac:dyDescent="0.4">
      <c r="C523" s="836">
        <v>2059</v>
      </c>
      <c r="D523" s="520">
        <v>45</v>
      </c>
      <c r="E523" s="837"/>
      <c r="F523" s="876"/>
      <c r="G523" s="840">
        <v>5894.9678999884873</v>
      </c>
      <c r="H523" s="841">
        <v>5894.9678999884873</v>
      </c>
    </row>
    <row r="524" spans="1:11" ht="14.1" x14ac:dyDescent="0.4">
      <c r="C524" s="843">
        <v>2060</v>
      </c>
      <c r="D524" s="520">
        <v>46</v>
      </c>
      <c r="E524" s="837"/>
      <c r="F524" s="876"/>
      <c r="G524" s="840">
        <v>5960.2682633409677</v>
      </c>
      <c r="H524" s="841">
        <v>5960.2682633409677</v>
      </c>
    </row>
    <row r="527" spans="1:11" ht="15" x14ac:dyDescent="0.5">
      <c r="A527" s="621" t="str">
        <f ca="1">HYPERLINK("#"&amp;"'"&amp;A$1&amp;"'!a1","Back to top")</f>
        <v>Back to top</v>
      </c>
    </row>
    <row r="530" spans="1:11" ht="15" x14ac:dyDescent="0.5">
      <c r="A530" s="508">
        <v>6</v>
      </c>
      <c r="B530" s="509" t="s">
        <v>967</v>
      </c>
      <c r="C530" s="787"/>
      <c r="D530" s="787"/>
      <c r="E530" s="787"/>
      <c r="F530" s="787"/>
      <c r="G530" s="787"/>
      <c r="H530" s="787"/>
      <c r="I530" s="787"/>
      <c r="J530" s="787"/>
      <c r="K530" s="787"/>
    </row>
    <row r="531" spans="1:11" ht="15" x14ac:dyDescent="0.5">
      <c r="A531" s="510" t="s">
        <v>260</v>
      </c>
      <c r="B531" s="511"/>
      <c r="C531" s="511"/>
      <c r="D531" s="223"/>
      <c r="E531" s="512"/>
      <c r="F531" s="1309"/>
      <c r="G531" s="512"/>
      <c r="H531" s="513"/>
      <c r="I531" s="746"/>
      <c r="J531" s="746"/>
      <c r="K531" s="746"/>
    </row>
    <row r="532" spans="1:11" ht="15.3" thickBot="1" x14ac:dyDescent="0.5">
      <c r="A532" s="872" t="s">
        <v>603</v>
      </c>
      <c r="B532" s="514"/>
      <c r="C532" s="514"/>
      <c r="D532" s="515"/>
      <c r="E532" s="516" t="s">
        <v>222</v>
      </c>
      <c r="F532" s="1310"/>
      <c r="G532" s="873" t="s">
        <v>968</v>
      </c>
      <c r="H532" s="513"/>
      <c r="I532" s="746"/>
      <c r="J532" s="746"/>
      <c r="K532" s="746"/>
    </row>
    <row r="533" spans="1:11" ht="37.200000000000003" thickBot="1" x14ac:dyDescent="0.5">
      <c r="A533" s="517"/>
      <c r="B533" s="517"/>
      <c r="C533" s="517"/>
      <c r="D533" s="518"/>
      <c r="E533" s="873" t="s">
        <v>724</v>
      </c>
      <c r="F533" s="873" t="s">
        <v>664</v>
      </c>
      <c r="G533" s="874" t="s">
        <v>738</v>
      </c>
      <c r="H533" s="873" t="s">
        <v>667</v>
      </c>
      <c r="I533" s="873" t="s">
        <v>666</v>
      </c>
      <c r="J533" s="1297" t="s">
        <v>668</v>
      </c>
      <c r="K533" s="1298"/>
    </row>
    <row r="534" spans="1:11" ht="15" x14ac:dyDescent="0.5">
      <c r="A534" s="510" t="s">
        <v>268</v>
      </c>
      <c r="B534" s="517"/>
      <c r="C534" s="788">
        <v>2005</v>
      </c>
      <c r="D534" s="519">
        <v>-9</v>
      </c>
      <c r="E534" s="875"/>
      <c r="F534" s="876"/>
      <c r="G534" s="877">
        <v>673.58446539994088</v>
      </c>
      <c r="H534" s="878">
        <v>673.58446539994088</v>
      </c>
      <c r="I534" s="1303" t="s">
        <v>269</v>
      </c>
      <c r="J534" s="1299"/>
      <c r="K534" s="1300"/>
    </row>
    <row r="535" spans="1:11" ht="15" x14ac:dyDescent="0.45">
      <c r="A535" s="872" t="s">
        <v>36</v>
      </c>
      <c r="B535" s="517"/>
      <c r="C535" s="836">
        <v>2006</v>
      </c>
      <c r="D535" s="520">
        <v>-8</v>
      </c>
      <c r="E535" s="837"/>
      <c r="F535" s="876"/>
      <c r="G535" s="838">
        <v>681.13721135705759</v>
      </c>
      <c r="H535" s="839">
        <v>681.13721135705759</v>
      </c>
      <c r="I535" s="1304"/>
      <c r="J535" s="1299"/>
      <c r="K535" s="1300"/>
    </row>
    <row r="536" spans="1:11" ht="14.05" customHeight="1" x14ac:dyDescent="0.45">
      <c r="A536" s="517"/>
      <c r="B536" s="517"/>
      <c r="C536" s="836">
        <v>2007</v>
      </c>
      <c r="D536" s="520">
        <v>-7</v>
      </c>
      <c r="E536" s="837"/>
      <c r="F536" s="876"/>
      <c r="G536" s="838">
        <v>688.68995731417431</v>
      </c>
      <c r="H536" s="839">
        <v>688.68995731417431</v>
      </c>
      <c r="I536" s="1304"/>
      <c r="J536" s="1299"/>
      <c r="K536" s="1300"/>
    </row>
    <row r="537" spans="1:11" ht="15" x14ac:dyDescent="0.45">
      <c r="A537" s="676" t="s">
        <v>270</v>
      </c>
      <c r="B537" s="517"/>
      <c r="C537" s="836">
        <v>2008</v>
      </c>
      <c r="D537" s="520">
        <v>-6</v>
      </c>
      <c r="E537" s="837"/>
      <c r="F537" s="876"/>
      <c r="G537" s="838">
        <v>696.24270327129091</v>
      </c>
      <c r="H537" s="839">
        <v>696.24270327129091</v>
      </c>
      <c r="I537" s="1304"/>
      <c r="J537" s="1301"/>
      <c r="K537" s="1302"/>
    </row>
    <row r="538" spans="1:11" ht="14.1" x14ac:dyDescent="0.45">
      <c r="A538" s="1306" t="s">
        <v>604</v>
      </c>
      <c r="B538" s="517"/>
      <c r="C538" s="836">
        <v>2009</v>
      </c>
      <c r="D538" s="520">
        <v>-5</v>
      </c>
      <c r="E538" s="837"/>
      <c r="F538" s="876"/>
      <c r="G538" s="838">
        <v>703.79544922840762</v>
      </c>
      <c r="H538" s="839">
        <v>703.79544922840762</v>
      </c>
      <c r="I538" s="1304"/>
      <c r="J538" s="746"/>
      <c r="K538" s="746"/>
    </row>
    <row r="539" spans="1:11" ht="14.1" x14ac:dyDescent="0.45">
      <c r="A539" s="1307"/>
      <c r="B539" s="517"/>
      <c r="C539" s="836">
        <v>2010</v>
      </c>
      <c r="D539" s="520">
        <v>-4</v>
      </c>
      <c r="E539" s="837"/>
      <c r="F539" s="876"/>
      <c r="G539" s="838">
        <v>711.34819518552433</v>
      </c>
      <c r="H539" s="839">
        <v>711.34819518552433</v>
      </c>
      <c r="I539" s="1304"/>
      <c r="J539" s="746"/>
      <c r="K539" s="746"/>
    </row>
    <row r="540" spans="1:11" ht="14.1" x14ac:dyDescent="0.45">
      <c r="A540" s="1307"/>
      <c r="B540" s="517"/>
      <c r="C540" s="836">
        <v>2011</v>
      </c>
      <c r="D540" s="520">
        <v>-3</v>
      </c>
      <c r="E540" s="837"/>
      <c r="F540" s="876"/>
      <c r="G540" s="838">
        <v>718.90094114264105</v>
      </c>
      <c r="H540" s="839">
        <v>718.90094114264105</v>
      </c>
      <c r="I540" s="1305"/>
      <c r="J540" s="746"/>
      <c r="K540" s="746"/>
    </row>
    <row r="541" spans="1:11" ht="14.1" x14ac:dyDescent="0.45">
      <c r="A541" s="1308"/>
      <c r="B541" s="517"/>
      <c r="C541" s="836">
        <v>2012</v>
      </c>
      <c r="D541" s="520">
        <v>-2</v>
      </c>
      <c r="E541" s="837"/>
      <c r="F541" s="876"/>
      <c r="G541" s="840">
        <v>726.45368709975764</v>
      </c>
      <c r="H541" s="841">
        <v>726.45368709975764</v>
      </c>
      <c r="I541" s="789" t="s">
        <v>272</v>
      </c>
      <c r="J541" s="746"/>
      <c r="K541" s="746"/>
    </row>
    <row r="542" spans="1:11" ht="14.1" x14ac:dyDescent="0.45">
      <c r="A542" s="517"/>
      <c r="B542" s="517"/>
      <c r="C542" s="836">
        <v>2013</v>
      </c>
      <c r="D542" s="520">
        <v>-1</v>
      </c>
      <c r="E542" s="837"/>
      <c r="F542" s="876"/>
      <c r="G542" s="840">
        <v>734.00643305687436</v>
      </c>
      <c r="H542" s="841">
        <v>734.00643305687436</v>
      </c>
      <c r="I542" s="746"/>
      <c r="J542" s="746"/>
      <c r="K542" s="746"/>
    </row>
    <row r="543" spans="1:11" ht="15" x14ac:dyDescent="0.5">
      <c r="A543" s="521" t="s">
        <v>273</v>
      </c>
      <c r="B543" s="517"/>
      <c r="C543" s="836">
        <v>2014</v>
      </c>
      <c r="D543" s="520">
        <v>0</v>
      </c>
      <c r="E543" s="837"/>
      <c r="F543" s="876"/>
      <c r="G543" s="840">
        <v>741.55917901399107</v>
      </c>
      <c r="H543" s="841">
        <v>741.55917901399107</v>
      </c>
      <c r="I543" s="746"/>
      <c r="J543" s="746"/>
      <c r="K543" s="746"/>
    </row>
    <row r="544" spans="1:11" ht="15" x14ac:dyDescent="0.45">
      <c r="A544" s="842">
        <v>2018</v>
      </c>
      <c r="B544" s="514"/>
      <c r="C544" s="836">
        <v>2015</v>
      </c>
      <c r="D544" s="520">
        <v>1</v>
      </c>
      <c r="E544" s="837"/>
      <c r="F544" s="876"/>
      <c r="G544" s="840">
        <v>749.11192497110778</v>
      </c>
      <c r="H544" s="841">
        <v>749.11192497110778</v>
      </c>
      <c r="I544" s="746"/>
      <c r="J544" s="746"/>
      <c r="K544" s="746"/>
    </row>
    <row r="545" spans="1:11" ht="14.1" x14ac:dyDescent="0.45">
      <c r="A545" s="746"/>
      <c r="B545" s="514"/>
      <c r="C545" s="836">
        <v>2016</v>
      </c>
      <c r="D545" s="520">
        <v>2</v>
      </c>
      <c r="E545" s="837">
        <v>747.0179622933357</v>
      </c>
      <c r="F545" s="876">
        <v>747.0179622933357</v>
      </c>
      <c r="G545" s="840">
        <v>747.0179622933357</v>
      </c>
      <c r="H545" s="841">
        <v>747.0179622933357</v>
      </c>
      <c r="I545" s="746"/>
      <c r="J545" s="746"/>
      <c r="K545" s="746"/>
    </row>
    <row r="546" spans="1:11" ht="15" x14ac:dyDescent="0.5">
      <c r="A546" s="521" t="s">
        <v>274</v>
      </c>
      <c r="B546" s="514"/>
      <c r="C546" s="836">
        <v>2017</v>
      </c>
      <c r="D546" s="520">
        <v>3</v>
      </c>
      <c r="E546" s="837"/>
      <c r="F546" s="876"/>
      <c r="G546" s="840">
        <v>764.21741688534109</v>
      </c>
      <c r="H546" s="841">
        <v>764.21741688534109</v>
      </c>
      <c r="I546" s="746"/>
      <c r="J546" s="746"/>
      <c r="K546" s="746"/>
    </row>
    <row r="547" spans="1:11" ht="15" x14ac:dyDescent="0.45">
      <c r="A547" s="842" t="s">
        <v>724</v>
      </c>
      <c r="B547" s="514"/>
      <c r="C547" s="836">
        <v>2018</v>
      </c>
      <c r="D547" s="520">
        <v>4</v>
      </c>
      <c r="E547" s="837"/>
      <c r="F547" s="876"/>
      <c r="G547" s="840">
        <v>771.77016284245781</v>
      </c>
      <c r="H547" s="841">
        <v>771.77016284245781</v>
      </c>
      <c r="I547" s="746"/>
      <c r="J547" s="746"/>
      <c r="K547" s="746"/>
    </row>
    <row r="548" spans="1:11" ht="15" x14ac:dyDescent="0.5">
      <c r="A548" s="790"/>
      <c r="B548" s="522"/>
      <c r="C548" s="836">
        <v>2019</v>
      </c>
      <c r="D548" s="520">
        <v>5</v>
      </c>
      <c r="E548" s="837"/>
      <c r="F548" s="876"/>
      <c r="G548" s="840">
        <v>779.32290879957452</v>
      </c>
      <c r="H548" s="841">
        <v>779.32290879957452</v>
      </c>
      <c r="I548" s="746"/>
      <c r="J548" s="746"/>
      <c r="K548" s="746"/>
    </row>
    <row r="549" spans="1:11" ht="15" x14ac:dyDescent="0.45">
      <c r="A549" s="895" t="s">
        <v>275</v>
      </c>
      <c r="B549" s="514"/>
      <c r="C549" s="836">
        <v>2020</v>
      </c>
      <c r="D549" s="520">
        <v>6</v>
      </c>
      <c r="E549" s="837"/>
      <c r="F549" s="876"/>
      <c r="G549" s="840">
        <v>786.87565475669123</v>
      </c>
      <c r="H549" s="841">
        <v>786.87565475669123</v>
      </c>
      <c r="I549" s="746"/>
      <c r="J549" s="746"/>
      <c r="K549" s="746"/>
    </row>
    <row r="550" spans="1:11" ht="15" x14ac:dyDescent="0.45">
      <c r="A550" s="791"/>
      <c r="B550" s="514"/>
      <c r="C550" s="836">
        <v>2021</v>
      </c>
      <c r="D550" s="520">
        <v>7</v>
      </c>
      <c r="E550" s="837"/>
      <c r="F550" s="876"/>
      <c r="G550" s="840">
        <v>794.42840071380783</v>
      </c>
      <c r="H550" s="841">
        <v>794.42840071380783</v>
      </c>
      <c r="I550" s="746"/>
      <c r="J550" s="746"/>
      <c r="K550" s="746"/>
    </row>
    <row r="551" spans="1:11" ht="15" x14ac:dyDescent="0.45">
      <c r="A551" s="892"/>
      <c r="B551" s="514"/>
      <c r="C551" s="836">
        <v>2022</v>
      </c>
      <c r="D551" s="520">
        <v>8</v>
      </c>
      <c r="E551" s="837"/>
      <c r="F551" s="876"/>
      <c r="G551" s="840">
        <v>801.98114667092455</v>
      </c>
      <c r="H551" s="841">
        <v>801.98114667092455</v>
      </c>
      <c r="I551" s="746"/>
      <c r="J551" s="746"/>
      <c r="K551" s="746"/>
    </row>
    <row r="552" spans="1:11" ht="15" x14ac:dyDescent="0.45">
      <c r="A552" s="842"/>
      <c r="B552" s="514"/>
      <c r="C552" s="836">
        <v>2023</v>
      </c>
      <c r="D552" s="520">
        <v>9</v>
      </c>
      <c r="E552" s="837"/>
      <c r="F552" s="876"/>
      <c r="G552" s="840">
        <v>809.53389262804126</v>
      </c>
      <c r="H552" s="841">
        <v>809.53389262804126</v>
      </c>
      <c r="I552" s="746"/>
      <c r="J552" s="746"/>
      <c r="K552" s="746"/>
    </row>
    <row r="553" spans="1:11" ht="14.1" x14ac:dyDescent="0.45">
      <c r="A553" s="514"/>
      <c r="B553" s="514"/>
      <c r="C553" s="836">
        <v>2024</v>
      </c>
      <c r="D553" s="520">
        <v>10</v>
      </c>
      <c r="E553" s="837"/>
      <c r="F553" s="876"/>
      <c r="G553" s="840">
        <v>817.08663858515797</v>
      </c>
      <c r="H553" s="841">
        <v>817.08663858515797</v>
      </c>
      <c r="I553" s="746"/>
      <c r="J553" s="746"/>
      <c r="K553" s="746"/>
    </row>
    <row r="554" spans="1:11" ht="14.1" x14ac:dyDescent="0.45">
      <c r="A554" s="514"/>
      <c r="B554" s="514"/>
      <c r="C554" s="836">
        <v>2025</v>
      </c>
      <c r="D554" s="520">
        <v>11</v>
      </c>
      <c r="E554" s="837"/>
      <c r="F554" s="876"/>
      <c r="G554" s="840">
        <v>824.63938454227468</v>
      </c>
      <c r="H554" s="841">
        <v>824.63938454227468</v>
      </c>
      <c r="I554" s="746"/>
      <c r="J554" s="746"/>
      <c r="K554" s="746"/>
    </row>
    <row r="555" spans="1:11" ht="14.1" x14ac:dyDescent="0.45">
      <c r="A555" s="514"/>
      <c r="B555" s="514"/>
      <c r="C555" s="836">
        <v>2026</v>
      </c>
      <c r="D555" s="520">
        <v>12</v>
      </c>
      <c r="E555" s="837"/>
      <c r="F555" s="876"/>
      <c r="G555" s="840">
        <v>832.19213049939128</v>
      </c>
      <c r="H555" s="841">
        <v>832.19213049939128</v>
      </c>
      <c r="I555" s="746"/>
      <c r="J555" s="746"/>
      <c r="K555" s="746"/>
    </row>
    <row r="556" spans="1:11" ht="14.1" x14ac:dyDescent="0.45">
      <c r="A556" s="514"/>
      <c r="B556" s="514"/>
      <c r="C556" s="836">
        <v>2027</v>
      </c>
      <c r="D556" s="520">
        <v>13</v>
      </c>
      <c r="E556" s="837"/>
      <c r="F556" s="876"/>
      <c r="G556" s="840">
        <v>839.744876456508</v>
      </c>
      <c r="H556" s="841">
        <v>839.744876456508</v>
      </c>
      <c r="I556" s="746"/>
      <c r="J556" s="746"/>
      <c r="K556" s="746"/>
    </row>
    <row r="557" spans="1:11" ht="14.1" x14ac:dyDescent="0.45">
      <c r="A557" s="514"/>
      <c r="B557" s="514"/>
      <c r="C557" s="836">
        <v>2028</v>
      </c>
      <c r="D557" s="520">
        <v>14</v>
      </c>
      <c r="E557" s="837"/>
      <c r="F557" s="876"/>
      <c r="G557" s="840">
        <v>847.29762241362471</v>
      </c>
      <c r="H557" s="841">
        <v>847.29762241362471</v>
      </c>
      <c r="I557" s="746"/>
      <c r="J557" s="746"/>
      <c r="K557" s="746"/>
    </row>
    <row r="558" spans="1:11" ht="14.1" x14ac:dyDescent="0.45">
      <c r="A558" s="514"/>
      <c r="B558" s="514"/>
      <c r="C558" s="836">
        <v>2029</v>
      </c>
      <c r="D558" s="520">
        <v>15</v>
      </c>
      <c r="E558" s="837"/>
      <c r="F558" s="876"/>
      <c r="G558" s="840">
        <v>854.85036837074142</v>
      </c>
      <c r="H558" s="841">
        <v>854.85036837074142</v>
      </c>
      <c r="I558" s="746"/>
      <c r="J558" s="746"/>
      <c r="K558" s="746"/>
    </row>
    <row r="559" spans="1:11" ht="14.1" x14ac:dyDescent="0.45">
      <c r="A559" s="514"/>
      <c r="B559" s="514"/>
      <c r="C559" s="836">
        <v>2030</v>
      </c>
      <c r="D559" s="520">
        <v>16</v>
      </c>
      <c r="E559" s="837">
        <v>878.80251900716871</v>
      </c>
      <c r="F559" s="876">
        <v>878.80251900716871</v>
      </c>
      <c r="G559" s="840">
        <v>878.80251900716871</v>
      </c>
      <c r="H559" s="841">
        <v>878.80251900716871</v>
      </c>
      <c r="I559" s="746"/>
      <c r="J559" s="746"/>
      <c r="K559" s="746"/>
    </row>
    <row r="560" spans="1:11" ht="14.1" x14ac:dyDescent="0.45">
      <c r="A560" s="514"/>
      <c r="B560" s="514"/>
      <c r="C560" s="836">
        <v>2031</v>
      </c>
      <c r="D560" s="520">
        <v>17</v>
      </c>
      <c r="E560" s="837"/>
      <c r="F560" s="876"/>
      <c r="G560" s="840">
        <v>869.95586028497473</v>
      </c>
      <c r="H560" s="841">
        <v>869.95586028497473</v>
      </c>
      <c r="I560" s="746"/>
      <c r="J560" s="746"/>
      <c r="K560" s="746"/>
    </row>
    <row r="561" spans="1:11" ht="14.1" x14ac:dyDescent="0.45">
      <c r="A561" s="514"/>
      <c r="B561" s="514"/>
      <c r="C561" s="836">
        <v>2032</v>
      </c>
      <c r="D561" s="520">
        <v>18</v>
      </c>
      <c r="E561" s="837"/>
      <c r="F561" s="876"/>
      <c r="G561" s="840">
        <v>877.50860624209145</v>
      </c>
      <c r="H561" s="841">
        <v>877.50860624209145</v>
      </c>
      <c r="I561" s="746"/>
      <c r="J561" s="746"/>
      <c r="K561" s="746"/>
    </row>
    <row r="562" spans="1:11" ht="14.1" x14ac:dyDescent="0.45">
      <c r="A562" s="522"/>
      <c r="B562" s="522"/>
      <c r="C562" s="836">
        <v>2033</v>
      </c>
      <c r="D562" s="520">
        <v>19</v>
      </c>
      <c r="E562" s="837"/>
      <c r="F562" s="876"/>
      <c r="G562" s="840">
        <v>885.06135219920816</v>
      </c>
      <c r="H562" s="841">
        <v>885.06135219920816</v>
      </c>
      <c r="I562" s="746"/>
      <c r="J562" s="746"/>
      <c r="K562" s="746"/>
    </row>
    <row r="563" spans="1:11" ht="14.1" x14ac:dyDescent="0.45">
      <c r="A563" s="522"/>
      <c r="B563" s="522"/>
      <c r="C563" s="836">
        <v>2034</v>
      </c>
      <c r="D563" s="520">
        <v>20</v>
      </c>
      <c r="E563" s="837"/>
      <c r="F563" s="876"/>
      <c r="G563" s="840">
        <v>892.61409815632487</v>
      </c>
      <c r="H563" s="841">
        <v>892.61409815632487</v>
      </c>
      <c r="I563" s="746"/>
      <c r="J563" s="746"/>
      <c r="K563" s="746"/>
    </row>
    <row r="564" spans="1:11" ht="14.1" x14ac:dyDescent="0.45">
      <c r="A564" s="522"/>
      <c r="B564" s="522"/>
      <c r="C564" s="836">
        <v>2035</v>
      </c>
      <c r="D564" s="520">
        <v>21</v>
      </c>
      <c r="E564" s="837"/>
      <c r="F564" s="876"/>
      <c r="G564" s="840">
        <v>900.16684411344158</v>
      </c>
      <c r="H564" s="841">
        <v>900.16684411344158</v>
      </c>
      <c r="I564" s="746"/>
      <c r="J564" s="746"/>
      <c r="K564" s="746"/>
    </row>
    <row r="565" spans="1:11" ht="14.1" x14ac:dyDescent="0.45">
      <c r="A565" s="522"/>
      <c r="B565" s="522"/>
      <c r="C565" s="836">
        <v>2036</v>
      </c>
      <c r="D565" s="520">
        <v>22</v>
      </c>
      <c r="E565" s="837"/>
      <c r="F565" s="876"/>
      <c r="G565" s="840">
        <v>907.71959007055818</v>
      </c>
      <c r="H565" s="841">
        <v>907.71959007055818</v>
      </c>
      <c r="I565" s="746"/>
      <c r="J565" s="746"/>
      <c r="K565" s="746"/>
    </row>
    <row r="566" spans="1:11" ht="14.1" x14ac:dyDescent="0.45">
      <c r="A566" s="522"/>
      <c r="B566" s="522"/>
      <c r="C566" s="836">
        <v>2037</v>
      </c>
      <c r="D566" s="520">
        <v>23</v>
      </c>
      <c r="E566" s="837"/>
      <c r="F566" s="876"/>
      <c r="G566" s="840">
        <v>915.2723360276749</v>
      </c>
      <c r="H566" s="841">
        <v>915.2723360276749</v>
      </c>
      <c r="I566" s="746"/>
      <c r="J566" s="746"/>
      <c r="K566" s="746"/>
    </row>
    <row r="567" spans="1:11" ht="14.1" x14ac:dyDescent="0.45">
      <c r="A567" s="522"/>
      <c r="B567" s="522"/>
      <c r="C567" s="836">
        <v>2038</v>
      </c>
      <c r="D567" s="520">
        <v>24</v>
      </c>
      <c r="E567" s="837"/>
      <c r="F567" s="876"/>
      <c r="G567" s="840">
        <v>922.82508198479161</v>
      </c>
      <c r="H567" s="841">
        <v>922.82508198479161</v>
      </c>
      <c r="I567" s="746"/>
      <c r="J567" s="746"/>
      <c r="K567" s="746"/>
    </row>
    <row r="568" spans="1:11" ht="14.1" x14ac:dyDescent="0.45">
      <c r="A568" s="522"/>
      <c r="B568" s="522"/>
      <c r="C568" s="836">
        <v>2039</v>
      </c>
      <c r="D568" s="520">
        <v>25</v>
      </c>
      <c r="E568" s="837"/>
      <c r="F568" s="876"/>
      <c r="G568" s="840">
        <v>930.37782794190821</v>
      </c>
      <c r="H568" s="841">
        <v>930.37782794190821</v>
      </c>
      <c r="I568" s="746"/>
      <c r="J568" s="746"/>
      <c r="K568" s="746"/>
    </row>
    <row r="569" spans="1:11" ht="14.1" x14ac:dyDescent="0.45">
      <c r="A569" s="522"/>
      <c r="B569" s="522"/>
      <c r="C569" s="836">
        <v>2040</v>
      </c>
      <c r="D569" s="520">
        <v>26</v>
      </c>
      <c r="E569" s="837"/>
      <c r="F569" s="876"/>
      <c r="G569" s="840">
        <v>937.93057389902492</v>
      </c>
      <c r="H569" s="841">
        <v>937.93057389902492</v>
      </c>
      <c r="I569" s="746"/>
      <c r="J569" s="746"/>
      <c r="K569" s="746"/>
    </row>
    <row r="570" spans="1:11" ht="14.1" x14ac:dyDescent="0.45">
      <c r="A570" s="522"/>
      <c r="B570" s="522"/>
      <c r="C570" s="836">
        <v>2041</v>
      </c>
      <c r="D570" s="520">
        <v>27</v>
      </c>
      <c r="E570" s="837"/>
      <c r="F570" s="876"/>
      <c r="G570" s="840">
        <v>945.48331985614163</v>
      </c>
      <c r="H570" s="841">
        <v>945.48331985614163</v>
      </c>
      <c r="I570" s="746"/>
      <c r="J570" s="746"/>
      <c r="K570" s="746"/>
    </row>
    <row r="571" spans="1:11" ht="14.1" x14ac:dyDescent="0.45">
      <c r="A571" s="522"/>
      <c r="B571" s="522"/>
      <c r="C571" s="836">
        <v>2042</v>
      </c>
      <c r="D571" s="520">
        <v>28</v>
      </c>
      <c r="E571" s="837"/>
      <c r="F571" s="876"/>
      <c r="G571" s="840">
        <v>953.03606581325835</v>
      </c>
      <c r="H571" s="841">
        <v>953.03606581325835</v>
      </c>
      <c r="I571" s="746"/>
      <c r="J571" s="746"/>
      <c r="K571" s="746"/>
    </row>
    <row r="572" spans="1:11" ht="14.1" x14ac:dyDescent="0.45">
      <c r="A572" s="522"/>
      <c r="B572" s="522"/>
      <c r="C572" s="836">
        <v>2043</v>
      </c>
      <c r="D572" s="520">
        <v>29</v>
      </c>
      <c r="E572" s="837"/>
      <c r="F572" s="876"/>
      <c r="G572" s="840">
        <v>960.58881177037506</v>
      </c>
      <c r="H572" s="841">
        <v>960.58881177037506</v>
      </c>
      <c r="I572" s="746"/>
      <c r="J572" s="746"/>
      <c r="K572" s="746"/>
    </row>
    <row r="573" spans="1:11" ht="14.1" x14ac:dyDescent="0.45">
      <c r="A573" s="522"/>
      <c r="B573" s="522"/>
      <c r="C573" s="836">
        <v>2044</v>
      </c>
      <c r="D573" s="520">
        <v>30</v>
      </c>
      <c r="E573" s="837"/>
      <c r="F573" s="876"/>
      <c r="G573" s="840">
        <v>968.14155772749177</v>
      </c>
      <c r="H573" s="841">
        <v>968.14155772749177</v>
      </c>
      <c r="I573" s="746"/>
      <c r="J573" s="746"/>
      <c r="K573" s="746"/>
    </row>
    <row r="574" spans="1:11" ht="14.1" x14ac:dyDescent="0.45">
      <c r="A574" s="522"/>
      <c r="B574" s="522"/>
      <c r="C574" s="836">
        <v>2045</v>
      </c>
      <c r="D574" s="520">
        <v>31</v>
      </c>
      <c r="E574" s="837"/>
      <c r="F574" s="876"/>
      <c r="G574" s="840">
        <v>975.69430368460837</v>
      </c>
      <c r="H574" s="841">
        <v>975.69430368460837</v>
      </c>
      <c r="I574" s="746"/>
      <c r="J574" s="746"/>
      <c r="K574" s="746"/>
    </row>
    <row r="575" spans="1:11" ht="14.1" x14ac:dyDescent="0.45">
      <c r="A575" s="522"/>
      <c r="B575" s="522"/>
      <c r="C575" s="836">
        <v>2046</v>
      </c>
      <c r="D575" s="520">
        <v>32</v>
      </c>
      <c r="E575" s="837"/>
      <c r="F575" s="876"/>
      <c r="G575" s="840">
        <v>983.24704964172508</v>
      </c>
      <c r="H575" s="841">
        <v>983.24704964172508</v>
      </c>
      <c r="I575" s="746"/>
      <c r="J575" s="746"/>
      <c r="K575" s="746"/>
    </row>
    <row r="576" spans="1:11" ht="14.1" x14ac:dyDescent="0.45">
      <c r="A576" s="523"/>
      <c r="B576" s="524"/>
      <c r="C576" s="836">
        <v>2047</v>
      </c>
      <c r="D576" s="520">
        <v>33</v>
      </c>
      <c r="E576" s="837"/>
      <c r="F576" s="876"/>
      <c r="G576" s="840">
        <v>990.7997955988418</v>
      </c>
      <c r="H576" s="841">
        <v>990.7997955988418</v>
      </c>
      <c r="I576" s="746"/>
      <c r="J576" s="746"/>
      <c r="K576" s="746"/>
    </row>
    <row r="577" spans="1:11" ht="14.1" x14ac:dyDescent="0.45">
      <c r="A577" s="746"/>
      <c r="B577" s="524"/>
      <c r="C577" s="836">
        <v>2048</v>
      </c>
      <c r="D577" s="520">
        <v>34</v>
      </c>
      <c r="E577" s="837"/>
      <c r="F577" s="876"/>
      <c r="G577" s="840">
        <v>998.3525415559584</v>
      </c>
      <c r="H577" s="841">
        <v>998.3525415559584</v>
      </c>
      <c r="I577" s="746"/>
      <c r="J577" s="746"/>
      <c r="K577" s="746"/>
    </row>
    <row r="578" spans="1:11" ht="14.1" x14ac:dyDescent="0.4">
      <c r="A578" s="746"/>
      <c r="B578" s="746"/>
      <c r="C578" s="836">
        <v>2049</v>
      </c>
      <c r="D578" s="520">
        <v>35</v>
      </c>
      <c r="E578" s="837"/>
      <c r="F578" s="876"/>
      <c r="G578" s="840">
        <v>1005.9052875130751</v>
      </c>
      <c r="H578" s="841">
        <v>1005.9052875130751</v>
      </c>
      <c r="I578" s="746"/>
      <c r="J578" s="746"/>
      <c r="K578" s="746"/>
    </row>
    <row r="579" spans="1:11" ht="14.1" x14ac:dyDescent="0.4">
      <c r="A579" s="746"/>
      <c r="B579" s="746"/>
      <c r="C579" s="836">
        <v>2050</v>
      </c>
      <c r="D579" s="520">
        <v>36</v>
      </c>
      <c r="E579" s="837">
        <v>1006.7053374257697</v>
      </c>
      <c r="F579" s="876">
        <v>1006.7053374257697</v>
      </c>
      <c r="G579" s="840">
        <v>1006.7053374257697</v>
      </c>
      <c r="H579" s="841">
        <v>1006.7053374257697</v>
      </c>
      <c r="I579" s="746"/>
      <c r="J579" s="746"/>
      <c r="K579" s="746"/>
    </row>
    <row r="580" spans="1:11" ht="14.1" x14ac:dyDescent="0.4">
      <c r="C580" s="836">
        <v>2051</v>
      </c>
      <c r="D580" s="520">
        <v>37</v>
      </c>
      <c r="E580" s="837"/>
      <c r="F580" s="876"/>
      <c r="G580" s="840">
        <v>1021.0107794273085</v>
      </c>
      <c r="H580" s="841">
        <v>1021.0107794273085</v>
      </c>
    </row>
    <row r="581" spans="1:11" ht="14.1" x14ac:dyDescent="0.4">
      <c r="C581" s="836">
        <v>2052</v>
      </c>
      <c r="D581" s="520">
        <v>38</v>
      </c>
      <c r="E581" s="837"/>
      <c r="F581" s="876"/>
      <c r="G581" s="840">
        <v>1028.5635253844252</v>
      </c>
      <c r="H581" s="841">
        <v>1028.5635253844252</v>
      </c>
    </row>
    <row r="582" spans="1:11" ht="14.1" x14ac:dyDescent="0.4">
      <c r="C582" s="836">
        <v>2053</v>
      </c>
      <c r="D582" s="520">
        <v>39</v>
      </c>
      <c r="E582" s="837"/>
      <c r="F582" s="876"/>
      <c r="G582" s="840">
        <v>1036.116271341542</v>
      </c>
      <c r="H582" s="841">
        <v>1036.116271341542</v>
      </c>
    </row>
    <row r="583" spans="1:11" ht="14.1" x14ac:dyDescent="0.4">
      <c r="C583" s="836">
        <v>2054</v>
      </c>
      <c r="D583" s="520">
        <v>40</v>
      </c>
      <c r="E583" s="837"/>
      <c r="F583" s="876"/>
      <c r="G583" s="840">
        <v>1043.6690172986587</v>
      </c>
      <c r="H583" s="841">
        <v>1043.6690172986587</v>
      </c>
    </row>
    <row r="584" spans="1:11" ht="14.1" x14ac:dyDescent="0.4">
      <c r="C584" s="836">
        <v>2055</v>
      </c>
      <c r="D584" s="520">
        <v>41</v>
      </c>
      <c r="E584" s="837"/>
      <c r="F584" s="876"/>
      <c r="G584" s="840">
        <v>1051.2217632557754</v>
      </c>
      <c r="H584" s="841">
        <v>1051.2217632557754</v>
      </c>
    </row>
    <row r="585" spans="1:11" ht="14.1" x14ac:dyDescent="0.4">
      <c r="C585" s="836">
        <v>2056</v>
      </c>
      <c r="D585" s="520">
        <v>42</v>
      </c>
      <c r="E585" s="837"/>
      <c r="F585" s="876"/>
      <c r="G585" s="840">
        <v>1058.7745092128921</v>
      </c>
      <c r="H585" s="841">
        <v>1058.7745092128921</v>
      </c>
    </row>
    <row r="586" spans="1:11" ht="14.1" x14ac:dyDescent="0.4">
      <c r="C586" s="836">
        <v>2057</v>
      </c>
      <c r="D586" s="520">
        <v>43</v>
      </c>
      <c r="E586" s="837"/>
      <c r="F586" s="876"/>
      <c r="G586" s="840">
        <v>1066.3272551700086</v>
      </c>
      <c r="H586" s="841">
        <v>1066.3272551700086</v>
      </c>
    </row>
    <row r="587" spans="1:11" ht="14.1" x14ac:dyDescent="0.4">
      <c r="C587" s="836">
        <v>2058</v>
      </c>
      <c r="D587" s="520">
        <v>44</v>
      </c>
      <c r="E587" s="837"/>
      <c r="F587" s="876"/>
      <c r="G587" s="840">
        <v>1073.8800011271253</v>
      </c>
      <c r="H587" s="841">
        <v>1073.8800011271253</v>
      </c>
    </row>
    <row r="588" spans="1:11" ht="14.1" x14ac:dyDescent="0.4">
      <c r="C588" s="836">
        <v>2059</v>
      </c>
      <c r="D588" s="520">
        <v>45</v>
      </c>
      <c r="E588" s="837"/>
      <c r="F588" s="876"/>
      <c r="G588" s="840">
        <v>1081.432747084242</v>
      </c>
      <c r="H588" s="841">
        <v>1081.432747084242</v>
      </c>
    </row>
    <row r="589" spans="1:11" ht="14.1" x14ac:dyDescent="0.4">
      <c r="C589" s="843">
        <v>2060</v>
      </c>
      <c r="D589" s="520">
        <v>46</v>
      </c>
      <c r="E589" s="837"/>
      <c r="F589" s="876"/>
      <c r="G589" s="840">
        <v>1088.9854930413587</v>
      </c>
      <c r="H589" s="841">
        <v>1088.9854930413587</v>
      </c>
    </row>
    <row r="592" spans="1:11" ht="15" x14ac:dyDescent="0.5">
      <c r="A592" s="621" t="str">
        <f ca="1">HYPERLINK("#"&amp;"'"&amp;A$1&amp;"'!a1","Back to top")</f>
        <v>Back to top</v>
      </c>
    </row>
    <row r="595" spans="1:11" ht="15" x14ac:dyDescent="0.5">
      <c r="A595" s="508">
        <v>7</v>
      </c>
      <c r="B595" s="509" t="s">
        <v>969</v>
      </c>
      <c r="C595" s="787"/>
      <c r="D595" s="787"/>
      <c r="E595" s="787"/>
      <c r="F595" s="787"/>
      <c r="G595" s="787"/>
      <c r="H595" s="787"/>
      <c r="I595" s="787"/>
      <c r="J595" s="787"/>
      <c r="K595" s="787"/>
    </row>
    <row r="596" spans="1:11" ht="15" x14ac:dyDescent="0.5">
      <c r="A596" s="510" t="s">
        <v>260</v>
      </c>
      <c r="B596" s="511"/>
      <c r="C596" s="511"/>
      <c r="D596" s="223"/>
      <c r="E596" s="512"/>
      <c r="F596" s="1309"/>
      <c r="G596" s="512"/>
      <c r="H596" s="513"/>
      <c r="I596" s="746"/>
      <c r="J596" s="746"/>
      <c r="K596" s="746"/>
    </row>
    <row r="597" spans="1:11" ht="15.3" thickBot="1" x14ac:dyDescent="0.5">
      <c r="A597" s="872" t="s">
        <v>603</v>
      </c>
      <c r="B597" s="514"/>
      <c r="C597" s="514"/>
      <c r="D597" s="515"/>
      <c r="E597" s="516" t="s">
        <v>222</v>
      </c>
      <c r="F597" s="1310"/>
      <c r="G597" s="873" t="s">
        <v>970</v>
      </c>
      <c r="H597" s="513"/>
      <c r="I597" s="746"/>
      <c r="J597" s="746"/>
      <c r="K597" s="746"/>
    </row>
    <row r="598" spans="1:11" ht="37.200000000000003" thickBot="1" x14ac:dyDescent="0.5">
      <c r="A598" s="517"/>
      <c r="B598" s="517"/>
      <c r="C598" s="517"/>
      <c r="D598" s="518"/>
      <c r="E598" s="873" t="s">
        <v>724</v>
      </c>
      <c r="F598" s="873" t="s">
        <v>664</v>
      </c>
      <c r="G598" s="874" t="s">
        <v>738</v>
      </c>
      <c r="H598" s="873" t="s">
        <v>667</v>
      </c>
      <c r="I598" s="873" t="s">
        <v>666</v>
      </c>
      <c r="J598" s="1297" t="s">
        <v>668</v>
      </c>
      <c r="K598" s="1298"/>
    </row>
    <row r="599" spans="1:11" ht="15" x14ac:dyDescent="0.5">
      <c r="A599" s="510" t="s">
        <v>268</v>
      </c>
      <c r="B599" s="517"/>
      <c r="C599" s="788">
        <v>2005</v>
      </c>
      <c r="D599" s="519">
        <v>-9</v>
      </c>
      <c r="E599" s="875"/>
      <c r="F599" s="876"/>
      <c r="G599" s="877">
        <v>67.275503185015694</v>
      </c>
      <c r="H599" s="878">
        <v>67.275503185015694</v>
      </c>
      <c r="I599" s="1303" t="s">
        <v>269</v>
      </c>
      <c r="J599" s="1299"/>
      <c r="K599" s="1300"/>
    </row>
    <row r="600" spans="1:11" ht="15" x14ac:dyDescent="0.45">
      <c r="A600" s="872" t="s">
        <v>44</v>
      </c>
      <c r="B600" s="517"/>
      <c r="C600" s="836">
        <v>2006</v>
      </c>
      <c r="D600" s="520">
        <v>-8</v>
      </c>
      <c r="E600" s="837"/>
      <c r="F600" s="876"/>
      <c r="G600" s="838">
        <v>67.813282605726229</v>
      </c>
      <c r="H600" s="839">
        <v>67.813282605726229</v>
      </c>
      <c r="I600" s="1304"/>
      <c r="J600" s="1299"/>
      <c r="K600" s="1300"/>
    </row>
    <row r="601" spans="1:11" ht="14.05" customHeight="1" x14ac:dyDescent="0.45">
      <c r="A601" s="517"/>
      <c r="B601" s="517"/>
      <c r="C601" s="836">
        <v>2007</v>
      </c>
      <c r="D601" s="520">
        <v>-7</v>
      </c>
      <c r="E601" s="837"/>
      <c r="F601" s="876"/>
      <c r="G601" s="838">
        <v>68.351062026436765</v>
      </c>
      <c r="H601" s="839">
        <v>68.351062026436765</v>
      </c>
      <c r="I601" s="1304"/>
      <c r="J601" s="1299"/>
      <c r="K601" s="1300"/>
    </row>
    <row r="602" spans="1:11" ht="15" x14ac:dyDescent="0.45">
      <c r="A602" s="676" t="s">
        <v>270</v>
      </c>
      <c r="B602" s="517"/>
      <c r="C602" s="836">
        <v>2008</v>
      </c>
      <c r="D602" s="520">
        <v>-6</v>
      </c>
      <c r="E602" s="837"/>
      <c r="F602" s="876"/>
      <c r="G602" s="838">
        <v>68.8888414471473</v>
      </c>
      <c r="H602" s="839">
        <v>68.8888414471473</v>
      </c>
      <c r="I602" s="1304"/>
      <c r="J602" s="1301"/>
      <c r="K602" s="1302"/>
    </row>
    <row r="603" spans="1:11" ht="14.1" x14ac:dyDescent="0.45">
      <c r="A603" s="1306" t="s">
        <v>604</v>
      </c>
      <c r="B603" s="517"/>
      <c r="C603" s="836">
        <v>2009</v>
      </c>
      <c r="D603" s="520">
        <v>-5</v>
      </c>
      <c r="E603" s="837"/>
      <c r="F603" s="876"/>
      <c r="G603" s="838">
        <v>69.426620867857835</v>
      </c>
      <c r="H603" s="839">
        <v>69.426620867857835</v>
      </c>
      <c r="I603" s="1304"/>
      <c r="J603" s="746"/>
      <c r="K603" s="746"/>
    </row>
    <row r="604" spans="1:11" ht="14.1" x14ac:dyDescent="0.45">
      <c r="A604" s="1307"/>
      <c r="B604" s="517"/>
      <c r="C604" s="836">
        <v>2010</v>
      </c>
      <c r="D604" s="520">
        <v>-4</v>
      </c>
      <c r="E604" s="837"/>
      <c r="F604" s="876"/>
      <c r="G604" s="838">
        <v>69.96440028856837</v>
      </c>
      <c r="H604" s="839">
        <v>69.96440028856837</v>
      </c>
      <c r="I604" s="1304"/>
      <c r="J604" s="746"/>
      <c r="K604" s="746"/>
    </row>
    <row r="605" spans="1:11" ht="14.1" x14ac:dyDescent="0.45">
      <c r="A605" s="1307"/>
      <c r="B605" s="517"/>
      <c r="C605" s="836">
        <v>2011</v>
      </c>
      <c r="D605" s="520">
        <v>-3</v>
      </c>
      <c r="E605" s="837"/>
      <c r="F605" s="876"/>
      <c r="G605" s="838">
        <v>70.50217970927892</v>
      </c>
      <c r="H605" s="839">
        <v>70.50217970927892</v>
      </c>
      <c r="I605" s="1305"/>
      <c r="J605" s="746"/>
      <c r="K605" s="746"/>
    </row>
    <row r="606" spans="1:11" ht="14.1" x14ac:dyDescent="0.45">
      <c r="A606" s="1308"/>
      <c r="B606" s="517"/>
      <c r="C606" s="836">
        <v>2012</v>
      </c>
      <c r="D606" s="520">
        <v>-2</v>
      </c>
      <c r="E606" s="837"/>
      <c r="F606" s="876"/>
      <c r="G606" s="840">
        <v>71.039959129989455</v>
      </c>
      <c r="H606" s="841">
        <v>71.039959129989455</v>
      </c>
      <c r="I606" s="789" t="s">
        <v>272</v>
      </c>
      <c r="J606" s="746"/>
      <c r="K606" s="746"/>
    </row>
    <row r="607" spans="1:11" ht="14.1" x14ac:dyDescent="0.45">
      <c r="A607" s="517"/>
      <c r="B607" s="517"/>
      <c r="C607" s="836">
        <v>2013</v>
      </c>
      <c r="D607" s="520">
        <v>-1</v>
      </c>
      <c r="E607" s="837"/>
      <c r="F607" s="876"/>
      <c r="G607" s="840">
        <v>71.577738550699991</v>
      </c>
      <c r="H607" s="841">
        <v>71.577738550699991</v>
      </c>
      <c r="I607" s="746"/>
      <c r="J607" s="746"/>
      <c r="K607" s="746"/>
    </row>
    <row r="608" spans="1:11" ht="15" x14ac:dyDescent="0.5">
      <c r="A608" s="521" t="s">
        <v>273</v>
      </c>
      <c r="B608" s="517"/>
      <c r="C608" s="836">
        <v>2014</v>
      </c>
      <c r="D608" s="520">
        <v>0</v>
      </c>
      <c r="E608" s="837"/>
      <c r="F608" s="876"/>
      <c r="G608" s="840">
        <v>72.115517971410526</v>
      </c>
      <c r="H608" s="841">
        <v>72.115517971410526</v>
      </c>
      <c r="I608" s="746"/>
      <c r="J608" s="746"/>
      <c r="K608" s="746"/>
    </row>
    <row r="609" spans="1:11" ht="15" x14ac:dyDescent="0.45">
      <c r="A609" s="842">
        <v>2018</v>
      </c>
      <c r="B609" s="514"/>
      <c r="C609" s="836">
        <v>2015</v>
      </c>
      <c r="D609" s="520">
        <v>1</v>
      </c>
      <c r="E609" s="837"/>
      <c r="F609" s="876"/>
      <c r="G609" s="840">
        <v>72.653297392121061</v>
      </c>
      <c r="H609" s="841">
        <v>72.653297392121061</v>
      </c>
      <c r="I609" s="746"/>
      <c r="J609" s="746"/>
      <c r="K609" s="746"/>
    </row>
    <row r="610" spans="1:11" ht="14.1" x14ac:dyDescent="0.45">
      <c r="A610" s="746"/>
      <c r="B610" s="514"/>
      <c r="C610" s="836">
        <v>2016</v>
      </c>
      <c r="D610" s="520">
        <v>2</v>
      </c>
      <c r="E610" s="837">
        <v>72.648569573654726</v>
      </c>
      <c r="F610" s="876">
        <v>72.648569573654726</v>
      </c>
      <c r="G610" s="840">
        <v>72.648569573654726</v>
      </c>
      <c r="H610" s="841">
        <v>72.648569573654726</v>
      </c>
      <c r="I610" s="746"/>
      <c r="J610" s="746"/>
      <c r="K610" s="746"/>
    </row>
    <row r="611" spans="1:11" ht="15" x14ac:dyDescent="0.5">
      <c r="A611" s="521" t="s">
        <v>274</v>
      </c>
      <c r="B611" s="514"/>
      <c r="C611" s="836">
        <v>2017</v>
      </c>
      <c r="D611" s="520">
        <v>3</v>
      </c>
      <c r="E611" s="837"/>
      <c r="F611" s="876"/>
      <c r="G611" s="840">
        <v>73.728856233542132</v>
      </c>
      <c r="H611" s="841">
        <v>73.728856233542132</v>
      </c>
      <c r="I611" s="746"/>
      <c r="J611" s="746"/>
      <c r="K611" s="746"/>
    </row>
    <row r="612" spans="1:11" ht="15" x14ac:dyDescent="0.45">
      <c r="A612" s="842" t="s">
        <v>724</v>
      </c>
      <c r="B612" s="514"/>
      <c r="C612" s="836">
        <v>2018</v>
      </c>
      <c r="D612" s="520">
        <v>4</v>
      </c>
      <c r="E612" s="837"/>
      <c r="F612" s="876"/>
      <c r="G612" s="840">
        <v>74.266635654252681</v>
      </c>
      <c r="H612" s="841">
        <v>74.266635654252681</v>
      </c>
      <c r="I612" s="746"/>
      <c r="J612" s="746"/>
      <c r="K612" s="746"/>
    </row>
    <row r="613" spans="1:11" ht="15" x14ac:dyDescent="0.5">
      <c r="A613" s="790"/>
      <c r="B613" s="522"/>
      <c r="C613" s="836">
        <v>2019</v>
      </c>
      <c r="D613" s="520">
        <v>5</v>
      </c>
      <c r="E613" s="837"/>
      <c r="F613" s="876"/>
      <c r="G613" s="840">
        <v>74.804415074963217</v>
      </c>
      <c r="H613" s="841">
        <v>74.804415074963217</v>
      </c>
      <c r="I613" s="746"/>
      <c r="J613" s="746"/>
      <c r="K613" s="746"/>
    </row>
    <row r="614" spans="1:11" ht="15" x14ac:dyDescent="0.45">
      <c r="A614" s="895" t="s">
        <v>275</v>
      </c>
      <c r="B614" s="514"/>
      <c r="C614" s="836">
        <v>2020</v>
      </c>
      <c r="D614" s="520">
        <v>6</v>
      </c>
      <c r="E614" s="837"/>
      <c r="F614" s="876"/>
      <c r="G614" s="840">
        <v>75.342194495673752</v>
      </c>
      <c r="H614" s="841">
        <v>75.342194495673752</v>
      </c>
      <c r="I614" s="746"/>
      <c r="J614" s="746"/>
      <c r="K614" s="746"/>
    </row>
    <row r="615" spans="1:11" ht="15" x14ac:dyDescent="0.45">
      <c r="A615" s="791"/>
      <c r="B615" s="514"/>
      <c r="C615" s="836">
        <v>2021</v>
      </c>
      <c r="D615" s="520">
        <v>7</v>
      </c>
      <c r="E615" s="837"/>
      <c r="F615" s="876"/>
      <c r="G615" s="840">
        <v>75.879973916384287</v>
      </c>
      <c r="H615" s="841">
        <v>75.879973916384287</v>
      </c>
      <c r="I615" s="746"/>
      <c r="J615" s="746"/>
      <c r="K615" s="746"/>
    </row>
    <row r="616" spans="1:11" ht="15" x14ac:dyDescent="0.45">
      <c r="A616" s="892"/>
      <c r="B616" s="514"/>
      <c r="C616" s="836">
        <v>2022</v>
      </c>
      <c r="D616" s="520">
        <v>8</v>
      </c>
      <c r="E616" s="837"/>
      <c r="F616" s="876"/>
      <c r="G616" s="840">
        <v>76.417753337094823</v>
      </c>
      <c r="H616" s="841">
        <v>76.417753337094823</v>
      </c>
      <c r="I616" s="746"/>
      <c r="J616" s="746"/>
      <c r="K616" s="746"/>
    </row>
    <row r="617" spans="1:11" ht="15" x14ac:dyDescent="0.45">
      <c r="A617" s="842"/>
      <c r="B617" s="514"/>
      <c r="C617" s="836">
        <v>2023</v>
      </c>
      <c r="D617" s="520">
        <v>9</v>
      </c>
      <c r="E617" s="837"/>
      <c r="F617" s="876"/>
      <c r="G617" s="840">
        <v>76.955532757805358</v>
      </c>
      <c r="H617" s="841">
        <v>76.955532757805358</v>
      </c>
      <c r="I617" s="746"/>
      <c r="J617" s="746"/>
      <c r="K617" s="746"/>
    </row>
    <row r="618" spans="1:11" ht="14.1" x14ac:dyDescent="0.45">
      <c r="A618" s="514"/>
      <c r="B618" s="514"/>
      <c r="C618" s="836">
        <v>2024</v>
      </c>
      <c r="D618" s="520">
        <v>10</v>
      </c>
      <c r="E618" s="837"/>
      <c r="F618" s="876"/>
      <c r="G618" s="840">
        <v>77.493312178515893</v>
      </c>
      <c r="H618" s="841">
        <v>77.493312178515893</v>
      </c>
      <c r="I618" s="746"/>
      <c r="J618" s="746"/>
      <c r="K618" s="746"/>
    </row>
    <row r="619" spans="1:11" ht="14.1" x14ac:dyDescent="0.45">
      <c r="A619" s="514"/>
      <c r="B619" s="514"/>
      <c r="C619" s="836">
        <v>2025</v>
      </c>
      <c r="D619" s="520">
        <v>11</v>
      </c>
      <c r="E619" s="837"/>
      <c r="F619" s="876"/>
      <c r="G619" s="840">
        <v>78.031091599226443</v>
      </c>
      <c r="H619" s="841">
        <v>78.031091599226443</v>
      </c>
      <c r="I619" s="746"/>
      <c r="J619" s="746"/>
      <c r="K619" s="746"/>
    </row>
    <row r="620" spans="1:11" ht="14.1" x14ac:dyDescent="0.45">
      <c r="A620" s="514"/>
      <c r="B620" s="514"/>
      <c r="C620" s="836">
        <v>2026</v>
      </c>
      <c r="D620" s="520">
        <v>12</v>
      </c>
      <c r="E620" s="837"/>
      <c r="F620" s="876"/>
      <c r="G620" s="840">
        <v>78.568871019936978</v>
      </c>
      <c r="H620" s="841">
        <v>78.568871019936978</v>
      </c>
      <c r="I620" s="746"/>
      <c r="J620" s="746"/>
      <c r="K620" s="746"/>
    </row>
    <row r="621" spans="1:11" ht="14.1" x14ac:dyDescent="0.45">
      <c r="A621" s="514"/>
      <c r="B621" s="514"/>
      <c r="C621" s="836">
        <v>2027</v>
      </c>
      <c r="D621" s="520">
        <v>13</v>
      </c>
      <c r="E621" s="837"/>
      <c r="F621" s="876"/>
      <c r="G621" s="840">
        <v>79.106650440647513</v>
      </c>
      <c r="H621" s="841">
        <v>79.106650440647513</v>
      </c>
      <c r="I621" s="746"/>
      <c r="J621" s="746"/>
      <c r="K621" s="746"/>
    </row>
    <row r="622" spans="1:11" ht="14.1" x14ac:dyDescent="0.45">
      <c r="A622" s="514"/>
      <c r="B622" s="514"/>
      <c r="C622" s="836">
        <v>2028</v>
      </c>
      <c r="D622" s="520">
        <v>14</v>
      </c>
      <c r="E622" s="837"/>
      <c r="F622" s="876"/>
      <c r="G622" s="840">
        <v>79.644429861358049</v>
      </c>
      <c r="H622" s="841">
        <v>79.644429861358049</v>
      </c>
      <c r="I622" s="746"/>
      <c r="J622" s="746"/>
      <c r="K622" s="746"/>
    </row>
    <row r="623" spans="1:11" ht="14.1" x14ac:dyDescent="0.45">
      <c r="A623" s="514"/>
      <c r="B623" s="514"/>
      <c r="C623" s="836">
        <v>2029</v>
      </c>
      <c r="D623" s="520">
        <v>15</v>
      </c>
      <c r="E623" s="837"/>
      <c r="F623" s="876"/>
      <c r="G623" s="840">
        <v>80.182209282068584</v>
      </c>
      <c r="H623" s="841">
        <v>80.182209282068584</v>
      </c>
      <c r="I623" s="746"/>
      <c r="J623" s="746"/>
      <c r="K623" s="746"/>
    </row>
    <row r="624" spans="1:11" ht="14.1" x14ac:dyDescent="0.45">
      <c r="A624" s="514"/>
      <c r="B624" s="514"/>
      <c r="C624" s="836">
        <v>2030</v>
      </c>
      <c r="D624" s="520">
        <v>16</v>
      </c>
      <c r="E624" s="837">
        <v>81.642251009379791</v>
      </c>
      <c r="F624" s="876">
        <v>81.642251009379791</v>
      </c>
      <c r="G624" s="840">
        <v>81.642251009379791</v>
      </c>
      <c r="H624" s="841">
        <v>81.642251009379791</v>
      </c>
      <c r="I624" s="746"/>
      <c r="J624" s="746"/>
      <c r="K624" s="746"/>
    </row>
    <row r="625" spans="1:11" ht="14.1" x14ac:dyDescent="0.45">
      <c r="A625" s="514"/>
      <c r="B625" s="514"/>
      <c r="C625" s="836">
        <v>2031</v>
      </c>
      <c r="D625" s="520">
        <v>17</v>
      </c>
      <c r="E625" s="837"/>
      <c r="F625" s="876"/>
      <c r="G625" s="840">
        <v>81.257768123489654</v>
      </c>
      <c r="H625" s="841">
        <v>81.257768123489654</v>
      </c>
      <c r="I625" s="746"/>
      <c r="J625" s="746"/>
      <c r="K625" s="746"/>
    </row>
    <row r="626" spans="1:11" ht="14.1" x14ac:dyDescent="0.45">
      <c r="A626" s="514"/>
      <c r="B626" s="514"/>
      <c r="C626" s="836">
        <v>2032</v>
      </c>
      <c r="D626" s="520">
        <v>18</v>
      </c>
      <c r="E626" s="837"/>
      <c r="F626" s="876"/>
      <c r="G626" s="840">
        <v>81.79554754420019</v>
      </c>
      <c r="H626" s="841">
        <v>81.79554754420019</v>
      </c>
      <c r="I626" s="746"/>
      <c r="J626" s="746"/>
      <c r="K626" s="746"/>
    </row>
    <row r="627" spans="1:11" ht="14.1" x14ac:dyDescent="0.45">
      <c r="A627" s="522"/>
      <c r="B627" s="522"/>
      <c r="C627" s="836">
        <v>2033</v>
      </c>
      <c r="D627" s="520">
        <v>19</v>
      </c>
      <c r="E627" s="837"/>
      <c r="F627" s="876"/>
      <c r="G627" s="840">
        <v>82.333326964910739</v>
      </c>
      <c r="H627" s="841">
        <v>82.333326964910739</v>
      </c>
      <c r="I627" s="746"/>
      <c r="J627" s="746"/>
      <c r="K627" s="746"/>
    </row>
    <row r="628" spans="1:11" ht="14.1" x14ac:dyDescent="0.45">
      <c r="A628" s="522"/>
      <c r="B628" s="522"/>
      <c r="C628" s="836">
        <v>2034</v>
      </c>
      <c r="D628" s="520">
        <v>20</v>
      </c>
      <c r="E628" s="837"/>
      <c r="F628" s="876"/>
      <c r="G628" s="840">
        <v>82.871106385621275</v>
      </c>
      <c r="H628" s="841">
        <v>82.871106385621275</v>
      </c>
      <c r="I628" s="746"/>
      <c r="J628" s="746"/>
      <c r="K628" s="746"/>
    </row>
    <row r="629" spans="1:11" ht="14.1" x14ac:dyDescent="0.45">
      <c r="A629" s="522"/>
      <c r="B629" s="522"/>
      <c r="C629" s="836">
        <v>2035</v>
      </c>
      <c r="D629" s="520">
        <v>21</v>
      </c>
      <c r="E629" s="837"/>
      <c r="F629" s="876"/>
      <c r="G629" s="840">
        <v>83.40888580633181</v>
      </c>
      <c r="H629" s="841">
        <v>83.40888580633181</v>
      </c>
      <c r="I629" s="746"/>
      <c r="J629" s="746"/>
      <c r="K629" s="746"/>
    </row>
    <row r="630" spans="1:11" ht="14.1" x14ac:dyDescent="0.45">
      <c r="A630" s="522"/>
      <c r="B630" s="522"/>
      <c r="C630" s="836">
        <v>2036</v>
      </c>
      <c r="D630" s="520">
        <v>22</v>
      </c>
      <c r="E630" s="837"/>
      <c r="F630" s="876"/>
      <c r="G630" s="840">
        <v>83.946665227042345</v>
      </c>
      <c r="H630" s="841">
        <v>83.946665227042345</v>
      </c>
      <c r="I630" s="746"/>
      <c r="J630" s="746"/>
      <c r="K630" s="746"/>
    </row>
    <row r="631" spans="1:11" ht="14.1" x14ac:dyDescent="0.45">
      <c r="A631" s="522"/>
      <c r="B631" s="522"/>
      <c r="C631" s="836">
        <v>2037</v>
      </c>
      <c r="D631" s="520">
        <v>23</v>
      </c>
      <c r="E631" s="837"/>
      <c r="F631" s="876"/>
      <c r="G631" s="840">
        <v>84.484444647752881</v>
      </c>
      <c r="H631" s="841">
        <v>84.484444647752881</v>
      </c>
      <c r="I631" s="746"/>
      <c r="J631" s="746"/>
      <c r="K631" s="746"/>
    </row>
    <row r="632" spans="1:11" ht="14.1" x14ac:dyDescent="0.45">
      <c r="A632" s="522"/>
      <c r="B632" s="522"/>
      <c r="C632" s="836">
        <v>2038</v>
      </c>
      <c r="D632" s="520">
        <v>24</v>
      </c>
      <c r="E632" s="837"/>
      <c r="F632" s="876"/>
      <c r="G632" s="840">
        <v>85.022224068463416</v>
      </c>
      <c r="H632" s="841">
        <v>85.022224068463416</v>
      </c>
      <c r="I632" s="746"/>
      <c r="J632" s="746"/>
      <c r="K632" s="746"/>
    </row>
    <row r="633" spans="1:11" ht="14.1" x14ac:dyDescent="0.45">
      <c r="A633" s="522"/>
      <c r="B633" s="522"/>
      <c r="C633" s="836">
        <v>2039</v>
      </c>
      <c r="D633" s="520">
        <v>25</v>
      </c>
      <c r="E633" s="837"/>
      <c r="F633" s="876"/>
      <c r="G633" s="840">
        <v>85.560003489173965</v>
      </c>
      <c r="H633" s="841">
        <v>85.560003489173965</v>
      </c>
      <c r="I633" s="746"/>
      <c r="J633" s="746"/>
      <c r="K633" s="746"/>
    </row>
    <row r="634" spans="1:11" ht="14.1" x14ac:dyDescent="0.45">
      <c r="A634" s="522"/>
      <c r="B634" s="522"/>
      <c r="C634" s="836">
        <v>2040</v>
      </c>
      <c r="D634" s="520">
        <v>26</v>
      </c>
      <c r="E634" s="837"/>
      <c r="F634" s="876"/>
      <c r="G634" s="840">
        <v>86.097782909884501</v>
      </c>
      <c r="H634" s="841">
        <v>86.097782909884501</v>
      </c>
      <c r="I634" s="746"/>
      <c r="J634" s="746"/>
      <c r="K634" s="746"/>
    </row>
    <row r="635" spans="1:11" ht="14.1" x14ac:dyDescent="0.45">
      <c r="A635" s="522"/>
      <c r="B635" s="522"/>
      <c r="C635" s="836">
        <v>2041</v>
      </c>
      <c r="D635" s="520">
        <v>27</v>
      </c>
      <c r="E635" s="837"/>
      <c r="F635" s="876"/>
      <c r="G635" s="840">
        <v>86.635562330595036</v>
      </c>
      <c r="H635" s="841">
        <v>86.635562330595036</v>
      </c>
      <c r="I635" s="746"/>
      <c r="J635" s="746"/>
      <c r="K635" s="746"/>
    </row>
    <row r="636" spans="1:11" ht="14.1" x14ac:dyDescent="0.45">
      <c r="A636" s="522"/>
      <c r="B636" s="522"/>
      <c r="C636" s="836">
        <v>2042</v>
      </c>
      <c r="D636" s="520">
        <v>28</v>
      </c>
      <c r="E636" s="837"/>
      <c r="F636" s="876"/>
      <c r="G636" s="840">
        <v>87.173341751305571</v>
      </c>
      <c r="H636" s="841">
        <v>87.173341751305571</v>
      </c>
      <c r="I636" s="746"/>
      <c r="J636" s="746"/>
      <c r="K636" s="746"/>
    </row>
    <row r="637" spans="1:11" ht="14.1" x14ac:dyDescent="0.45">
      <c r="A637" s="522"/>
      <c r="B637" s="522"/>
      <c r="C637" s="836">
        <v>2043</v>
      </c>
      <c r="D637" s="520">
        <v>29</v>
      </c>
      <c r="E637" s="837"/>
      <c r="F637" s="876"/>
      <c r="G637" s="840">
        <v>87.711121172016107</v>
      </c>
      <c r="H637" s="841">
        <v>87.711121172016107</v>
      </c>
      <c r="I637" s="746"/>
      <c r="J637" s="746"/>
      <c r="K637" s="746"/>
    </row>
    <row r="638" spans="1:11" ht="14.1" x14ac:dyDescent="0.45">
      <c r="A638" s="522"/>
      <c r="B638" s="522"/>
      <c r="C638" s="836">
        <v>2044</v>
      </c>
      <c r="D638" s="520">
        <v>30</v>
      </c>
      <c r="E638" s="837"/>
      <c r="F638" s="876"/>
      <c r="G638" s="840">
        <v>88.248900592726642</v>
      </c>
      <c r="H638" s="841">
        <v>88.248900592726642</v>
      </c>
      <c r="I638" s="746"/>
      <c r="J638" s="746"/>
      <c r="K638" s="746"/>
    </row>
    <row r="639" spans="1:11" ht="14.1" x14ac:dyDescent="0.45">
      <c r="A639" s="522"/>
      <c r="B639" s="522"/>
      <c r="C639" s="836">
        <v>2045</v>
      </c>
      <c r="D639" s="520">
        <v>31</v>
      </c>
      <c r="E639" s="837"/>
      <c r="F639" s="876"/>
      <c r="G639" s="840">
        <v>88.786680013437177</v>
      </c>
      <c r="H639" s="841">
        <v>88.786680013437177</v>
      </c>
      <c r="I639" s="746"/>
      <c r="J639" s="746"/>
      <c r="K639" s="746"/>
    </row>
    <row r="640" spans="1:11" ht="14.1" x14ac:dyDescent="0.45">
      <c r="A640" s="522"/>
      <c r="B640" s="522"/>
      <c r="C640" s="836">
        <v>2046</v>
      </c>
      <c r="D640" s="520">
        <v>32</v>
      </c>
      <c r="E640" s="837"/>
      <c r="F640" s="876"/>
      <c r="G640" s="840">
        <v>89.324459434147712</v>
      </c>
      <c r="H640" s="841">
        <v>89.324459434147712</v>
      </c>
      <c r="I640" s="746"/>
      <c r="J640" s="746"/>
      <c r="K640" s="746"/>
    </row>
    <row r="641" spans="1:11" ht="14.1" x14ac:dyDescent="0.45">
      <c r="A641" s="523"/>
      <c r="B641" s="524"/>
      <c r="C641" s="836">
        <v>2047</v>
      </c>
      <c r="D641" s="520">
        <v>33</v>
      </c>
      <c r="E641" s="837"/>
      <c r="F641" s="876"/>
      <c r="G641" s="840">
        <v>89.862238854858262</v>
      </c>
      <c r="H641" s="841">
        <v>89.862238854858262</v>
      </c>
      <c r="I641" s="746"/>
      <c r="J641" s="746"/>
      <c r="K641" s="746"/>
    </row>
    <row r="642" spans="1:11" ht="14.1" x14ac:dyDescent="0.45">
      <c r="A642" s="746"/>
      <c r="B642" s="524"/>
      <c r="C642" s="836">
        <v>2048</v>
      </c>
      <c r="D642" s="520">
        <v>34</v>
      </c>
      <c r="E642" s="837"/>
      <c r="F642" s="876"/>
      <c r="G642" s="840">
        <v>90.400018275568797</v>
      </c>
      <c r="H642" s="841">
        <v>90.400018275568797</v>
      </c>
      <c r="I642" s="746"/>
      <c r="J642" s="746"/>
      <c r="K642" s="746"/>
    </row>
    <row r="643" spans="1:11" ht="14.1" x14ac:dyDescent="0.4">
      <c r="A643" s="746"/>
      <c r="B643" s="746"/>
      <c r="C643" s="836">
        <v>2049</v>
      </c>
      <c r="D643" s="520">
        <v>35</v>
      </c>
      <c r="E643" s="837"/>
      <c r="F643" s="876"/>
      <c r="G643" s="840">
        <v>90.937797696279333</v>
      </c>
      <c r="H643" s="841">
        <v>90.937797696279333</v>
      </c>
      <c r="I643" s="746"/>
      <c r="J643" s="746"/>
      <c r="K643" s="746"/>
    </row>
    <row r="644" spans="1:11" ht="14.1" x14ac:dyDescent="0.4">
      <c r="A644" s="746"/>
      <c r="B644" s="746"/>
      <c r="C644" s="836">
        <v>2050</v>
      </c>
      <c r="D644" s="520">
        <v>36</v>
      </c>
      <c r="E644" s="837">
        <v>91.095822049566053</v>
      </c>
      <c r="F644" s="876">
        <v>91.095822049566053</v>
      </c>
      <c r="G644" s="840">
        <v>91.095822049566053</v>
      </c>
      <c r="H644" s="841">
        <v>91.095822049566053</v>
      </c>
      <c r="I644" s="746"/>
      <c r="J644" s="746"/>
      <c r="K644" s="746"/>
    </row>
    <row r="645" spans="1:11" ht="14.1" x14ac:dyDescent="0.4">
      <c r="C645" s="836">
        <v>2051</v>
      </c>
      <c r="D645" s="520">
        <v>37</v>
      </c>
      <c r="E645" s="837"/>
      <c r="F645" s="876"/>
      <c r="G645" s="840">
        <v>92.013356537700403</v>
      </c>
      <c r="H645" s="841">
        <v>92.013356537700403</v>
      </c>
    </row>
    <row r="646" spans="1:11" ht="14.1" x14ac:dyDescent="0.4">
      <c r="C646" s="836">
        <v>2052</v>
      </c>
      <c r="D646" s="520">
        <v>38</v>
      </c>
      <c r="E646" s="837"/>
      <c r="F646" s="876"/>
      <c r="G646" s="840">
        <v>92.551135958410939</v>
      </c>
      <c r="H646" s="841">
        <v>92.551135958410939</v>
      </c>
    </row>
    <row r="647" spans="1:11" ht="14.1" x14ac:dyDescent="0.4">
      <c r="C647" s="836">
        <v>2053</v>
      </c>
      <c r="D647" s="520">
        <v>39</v>
      </c>
      <c r="E647" s="837"/>
      <c r="F647" s="876"/>
      <c r="G647" s="840">
        <v>93.088915379121488</v>
      </c>
      <c r="H647" s="841">
        <v>93.088915379121488</v>
      </c>
    </row>
    <row r="648" spans="1:11" ht="14.1" x14ac:dyDescent="0.4">
      <c r="C648" s="836">
        <v>2054</v>
      </c>
      <c r="D648" s="520">
        <v>40</v>
      </c>
      <c r="E648" s="837"/>
      <c r="F648" s="876"/>
      <c r="G648" s="840">
        <v>93.626694799832023</v>
      </c>
      <c r="H648" s="841">
        <v>93.626694799832023</v>
      </c>
    </row>
    <row r="649" spans="1:11" ht="14.1" x14ac:dyDescent="0.4">
      <c r="C649" s="836">
        <v>2055</v>
      </c>
      <c r="D649" s="520">
        <v>41</v>
      </c>
      <c r="E649" s="837"/>
      <c r="F649" s="876"/>
      <c r="G649" s="840">
        <v>94.164474220542559</v>
      </c>
      <c r="H649" s="841">
        <v>94.164474220542559</v>
      </c>
    </row>
    <row r="650" spans="1:11" ht="14.1" x14ac:dyDescent="0.4">
      <c r="C650" s="836">
        <v>2056</v>
      </c>
      <c r="D650" s="520">
        <v>42</v>
      </c>
      <c r="E650" s="837"/>
      <c r="F650" s="876"/>
      <c r="G650" s="840">
        <v>94.702253641253094</v>
      </c>
      <c r="H650" s="841">
        <v>94.702253641253094</v>
      </c>
    </row>
    <row r="651" spans="1:11" ht="14.1" x14ac:dyDescent="0.4">
      <c r="C651" s="836">
        <v>2057</v>
      </c>
      <c r="D651" s="520">
        <v>43</v>
      </c>
      <c r="E651" s="837"/>
      <c r="F651" s="876"/>
      <c r="G651" s="840">
        <v>95.240033061963629</v>
      </c>
      <c r="H651" s="841">
        <v>95.240033061963629</v>
      </c>
    </row>
    <row r="652" spans="1:11" ht="14.1" x14ac:dyDescent="0.4">
      <c r="C652" s="836">
        <v>2058</v>
      </c>
      <c r="D652" s="520">
        <v>44</v>
      </c>
      <c r="E652" s="837"/>
      <c r="F652" s="876"/>
      <c r="G652" s="840">
        <v>95.777812482674165</v>
      </c>
      <c r="H652" s="841">
        <v>95.777812482674165</v>
      </c>
    </row>
    <row r="653" spans="1:11" ht="14.1" x14ac:dyDescent="0.4">
      <c r="C653" s="836">
        <v>2059</v>
      </c>
      <c r="D653" s="520">
        <v>45</v>
      </c>
      <c r="E653" s="837"/>
      <c r="F653" s="876"/>
      <c r="G653" s="840">
        <v>96.3155919033847</v>
      </c>
      <c r="H653" s="841">
        <v>96.3155919033847</v>
      </c>
    </row>
    <row r="654" spans="1:11" ht="14.1" x14ac:dyDescent="0.4">
      <c r="C654" s="843">
        <v>2060</v>
      </c>
      <c r="D654" s="520">
        <v>46</v>
      </c>
      <c r="E654" s="837"/>
      <c r="F654" s="876"/>
      <c r="G654" s="840">
        <v>96.853371324095235</v>
      </c>
      <c r="H654" s="841">
        <v>96.853371324095235</v>
      </c>
    </row>
    <row r="657" spans="1:11" ht="15" x14ac:dyDescent="0.5">
      <c r="A657" s="621" t="str">
        <f ca="1">HYPERLINK("#"&amp;"'"&amp;A$1&amp;"'!a1","Back to top")</f>
        <v>Back to top</v>
      </c>
    </row>
    <row r="660" spans="1:11" ht="15" x14ac:dyDescent="0.5">
      <c r="A660" s="508">
        <v>8</v>
      </c>
      <c r="B660" s="509" t="s">
        <v>971</v>
      </c>
      <c r="C660" s="787"/>
      <c r="D660" s="787"/>
      <c r="E660" s="787"/>
      <c r="F660" s="787"/>
      <c r="G660" s="787"/>
      <c r="H660" s="787"/>
      <c r="I660" s="787"/>
      <c r="J660" s="787"/>
      <c r="K660" s="787"/>
    </row>
    <row r="661" spans="1:11" ht="15" x14ac:dyDescent="0.5">
      <c r="A661" s="510" t="s">
        <v>260</v>
      </c>
      <c r="B661" s="511"/>
      <c r="C661" s="511"/>
      <c r="D661" s="223"/>
      <c r="E661" s="512"/>
      <c r="F661" s="1309"/>
      <c r="G661" s="512"/>
      <c r="H661" s="513"/>
      <c r="I661" s="746"/>
      <c r="J661" s="746"/>
      <c r="K661" s="746"/>
    </row>
    <row r="662" spans="1:11" ht="15.3" thickBot="1" x14ac:dyDescent="0.5">
      <c r="A662" s="872" t="s">
        <v>603</v>
      </c>
      <c r="B662" s="514"/>
      <c r="C662" s="514"/>
      <c r="D662" s="515"/>
      <c r="E662" s="516" t="s">
        <v>222</v>
      </c>
      <c r="F662" s="1310"/>
      <c r="G662" s="873" t="s">
        <v>972</v>
      </c>
      <c r="H662" s="513"/>
      <c r="I662" s="746"/>
      <c r="J662" s="746"/>
      <c r="K662" s="746"/>
    </row>
    <row r="663" spans="1:11" ht="37.200000000000003" thickBot="1" x14ac:dyDescent="0.5">
      <c r="A663" s="517"/>
      <c r="B663" s="517"/>
      <c r="C663" s="517"/>
      <c r="D663" s="518"/>
      <c r="E663" s="873" t="s">
        <v>724</v>
      </c>
      <c r="F663" s="873" t="s">
        <v>664</v>
      </c>
      <c r="G663" s="874" t="s">
        <v>738</v>
      </c>
      <c r="H663" s="873" t="s">
        <v>667</v>
      </c>
      <c r="I663" s="873" t="s">
        <v>666</v>
      </c>
      <c r="J663" s="1297" t="s">
        <v>668</v>
      </c>
      <c r="K663" s="1298"/>
    </row>
    <row r="664" spans="1:11" ht="15" x14ac:dyDescent="0.5">
      <c r="A664" s="510" t="s">
        <v>268</v>
      </c>
      <c r="B664" s="517"/>
      <c r="C664" s="788">
        <v>2005</v>
      </c>
      <c r="D664" s="519">
        <v>-9</v>
      </c>
      <c r="E664" s="875"/>
      <c r="F664" s="876"/>
      <c r="G664" s="877">
        <v>510.29811562163377</v>
      </c>
      <c r="H664" s="878">
        <v>510.29811562163377</v>
      </c>
      <c r="I664" s="1303" t="s">
        <v>269</v>
      </c>
      <c r="J664" s="1299"/>
      <c r="K664" s="1300"/>
    </row>
    <row r="665" spans="1:11" ht="15" x14ac:dyDescent="0.45">
      <c r="A665" s="872" t="s">
        <v>46</v>
      </c>
      <c r="B665" s="517"/>
      <c r="C665" s="836">
        <v>2006</v>
      </c>
      <c r="D665" s="520">
        <v>-8</v>
      </c>
      <c r="E665" s="837"/>
      <c r="F665" s="876"/>
      <c r="G665" s="838">
        <v>524.93915271498929</v>
      </c>
      <c r="H665" s="839">
        <v>524.93915271498929</v>
      </c>
      <c r="I665" s="1304"/>
      <c r="J665" s="1299"/>
      <c r="K665" s="1300"/>
    </row>
    <row r="666" spans="1:11" ht="14.05" customHeight="1" x14ac:dyDescent="0.45">
      <c r="A666" s="517"/>
      <c r="B666" s="517"/>
      <c r="C666" s="836">
        <v>2007</v>
      </c>
      <c r="D666" s="520">
        <v>-7</v>
      </c>
      <c r="E666" s="837"/>
      <c r="F666" s="876"/>
      <c r="G666" s="838">
        <v>539.58018980834493</v>
      </c>
      <c r="H666" s="839">
        <v>539.58018980834493</v>
      </c>
      <c r="I666" s="1304"/>
      <c r="J666" s="1299"/>
      <c r="K666" s="1300"/>
    </row>
    <row r="667" spans="1:11" ht="15" x14ac:dyDescent="0.45">
      <c r="A667" s="676" t="s">
        <v>270</v>
      </c>
      <c r="B667" s="517"/>
      <c r="C667" s="836">
        <v>2008</v>
      </c>
      <c r="D667" s="520">
        <v>-6</v>
      </c>
      <c r="E667" s="837"/>
      <c r="F667" s="876"/>
      <c r="G667" s="838">
        <v>554.22122690170045</v>
      </c>
      <c r="H667" s="839">
        <v>554.22122690170045</v>
      </c>
      <c r="I667" s="1304"/>
      <c r="J667" s="1301"/>
      <c r="K667" s="1302"/>
    </row>
    <row r="668" spans="1:11" ht="14.1" x14ac:dyDescent="0.45">
      <c r="A668" s="1306" t="s">
        <v>604</v>
      </c>
      <c r="B668" s="517"/>
      <c r="C668" s="836">
        <v>2009</v>
      </c>
      <c r="D668" s="520">
        <v>-5</v>
      </c>
      <c r="E668" s="837"/>
      <c r="F668" s="876"/>
      <c r="G668" s="838">
        <v>568.86226399505608</v>
      </c>
      <c r="H668" s="839">
        <v>568.86226399505608</v>
      </c>
      <c r="I668" s="1304"/>
      <c r="J668" s="746"/>
      <c r="K668" s="746"/>
    </row>
    <row r="669" spans="1:11" ht="14.1" x14ac:dyDescent="0.45">
      <c r="A669" s="1307"/>
      <c r="B669" s="517"/>
      <c r="C669" s="836">
        <v>2010</v>
      </c>
      <c r="D669" s="520">
        <v>-4</v>
      </c>
      <c r="E669" s="837"/>
      <c r="F669" s="876"/>
      <c r="G669" s="838">
        <v>583.50330108841172</v>
      </c>
      <c r="H669" s="839">
        <v>583.50330108841172</v>
      </c>
      <c r="I669" s="1304"/>
      <c r="J669" s="746"/>
      <c r="K669" s="746"/>
    </row>
    <row r="670" spans="1:11" ht="14.1" x14ac:dyDescent="0.45">
      <c r="A670" s="1307"/>
      <c r="B670" s="517"/>
      <c r="C670" s="836">
        <v>2011</v>
      </c>
      <c r="D670" s="520">
        <v>-3</v>
      </c>
      <c r="E670" s="837"/>
      <c r="F670" s="876"/>
      <c r="G670" s="838">
        <v>598.14433818176724</v>
      </c>
      <c r="H670" s="839">
        <v>598.14433818176724</v>
      </c>
      <c r="I670" s="1305"/>
      <c r="J670" s="746"/>
      <c r="K670" s="746"/>
    </row>
    <row r="671" spans="1:11" ht="14.1" x14ac:dyDescent="0.45">
      <c r="A671" s="1308"/>
      <c r="B671" s="517"/>
      <c r="C671" s="836">
        <v>2012</v>
      </c>
      <c r="D671" s="520">
        <v>-2</v>
      </c>
      <c r="E671" s="837"/>
      <c r="F671" s="876"/>
      <c r="G671" s="840">
        <v>612.78537527512287</v>
      </c>
      <c r="H671" s="841">
        <v>612.78537527512287</v>
      </c>
      <c r="I671" s="789" t="s">
        <v>272</v>
      </c>
      <c r="J671" s="746"/>
      <c r="K671" s="746"/>
    </row>
    <row r="672" spans="1:11" ht="14.1" x14ac:dyDescent="0.45">
      <c r="A672" s="517"/>
      <c r="B672" s="517"/>
      <c r="C672" s="836">
        <v>2013</v>
      </c>
      <c r="D672" s="520">
        <v>-1</v>
      </c>
      <c r="E672" s="837"/>
      <c r="F672" s="876"/>
      <c r="G672" s="840">
        <v>627.4264123684784</v>
      </c>
      <c r="H672" s="841">
        <v>627.4264123684784</v>
      </c>
      <c r="I672" s="746"/>
      <c r="J672" s="746"/>
      <c r="K672" s="746"/>
    </row>
    <row r="673" spans="1:11" ht="15" x14ac:dyDescent="0.5">
      <c r="A673" s="521" t="s">
        <v>273</v>
      </c>
      <c r="B673" s="517"/>
      <c r="C673" s="836">
        <v>2014</v>
      </c>
      <c r="D673" s="520">
        <v>0</v>
      </c>
      <c r="E673" s="837"/>
      <c r="F673" s="876"/>
      <c r="G673" s="840">
        <v>642.06744946183403</v>
      </c>
      <c r="H673" s="841">
        <v>642.06744946183403</v>
      </c>
      <c r="I673" s="746"/>
      <c r="J673" s="746"/>
      <c r="K673" s="746"/>
    </row>
    <row r="674" spans="1:11" ht="15" x14ac:dyDescent="0.45">
      <c r="A674" s="842">
        <v>2018</v>
      </c>
      <c r="B674" s="514"/>
      <c r="C674" s="836">
        <v>2015</v>
      </c>
      <c r="D674" s="520">
        <v>1</v>
      </c>
      <c r="E674" s="837"/>
      <c r="F674" s="876"/>
      <c r="G674" s="840">
        <v>656.70848655518967</v>
      </c>
      <c r="H674" s="841">
        <v>656.70848655518967</v>
      </c>
      <c r="I674" s="746"/>
      <c r="J674" s="746"/>
      <c r="K674" s="746"/>
    </row>
    <row r="675" spans="1:11" ht="14.1" x14ac:dyDescent="0.45">
      <c r="A675" s="746"/>
      <c r="B675" s="514"/>
      <c r="C675" s="836">
        <v>2016</v>
      </c>
      <c r="D675" s="520">
        <v>2</v>
      </c>
      <c r="E675" s="837">
        <v>663.44113703346272</v>
      </c>
      <c r="F675" s="876">
        <v>663.44113703346272</v>
      </c>
      <c r="G675" s="840">
        <v>663.44113703346272</v>
      </c>
      <c r="H675" s="841">
        <v>663.44113703346272</v>
      </c>
      <c r="I675" s="746"/>
      <c r="J675" s="746"/>
      <c r="K675" s="746"/>
    </row>
    <row r="676" spans="1:11" ht="15" x14ac:dyDescent="0.5">
      <c r="A676" s="521" t="s">
        <v>274</v>
      </c>
      <c r="B676" s="514"/>
      <c r="C676" s="836">
        <v>2017</v>
      </c>
      <c r="D676" s="520">
        <v>3</v>
      </c>
      <c r="E676" s="837"/>
      <c r="F676" s="876"/>
      <c r="G676" s="840">
        <v>685.99056074190082</v>
      </c>
      <c r="H676" s="841">
        <v>685.99056074190082</v>
      </c>
      <c r="I676" s="746"/>
      <c r="J676" s="746"/>
      <c r="K676" s="746"/>
    </row>
    <row r="677" spans="1:11" ht="15" x14ac:dyDescent="0.45">
      <c r="A677" s="842" t="s">
        <v>724</v>
      </c>
      <c r="B677" s="514"/>
      <c r="C677" s="836">
        <v>2018</v>
      </c>
      <c r="D677" s="520">
        <v>4</v>
      </c>
      <c r="E677" s="837"/>
      <c r="F677" s="876"/>
      <c r="G677" s="840">
        <v>700.63159783525634</v>
      </c>
      <c r="H677" s="841">
        <v>700.63159783525634</v>
      </c>
      <c r="I677" s="746"/>
      <c r="J677" s="746"/>
      <c r="K677" s="746"/>
    </row>
    <row r="678" spans="1:11" ht="15" x14ac:dyDescent="0.5">
      <c r="A678" s="790"/>
      <c r="B678" s="522"/>
      <c r="C678" s="836">
        <v>2019</v>
      </c>
      <c r="D678" s="520">
        <v>5</v>
      </c>
      <c r="E678" s="837"/>
      <c r="F678" s="876"/>
      <c r="G678" s="840">
        <v>715.27263492861198</v>
      </c>
      <c r="H678" s="841">
        <v>715.27263492861198</v>
      </c>
      <c r="I678" s="746"/>
      <c r="J678" s="746"/>
      <c r="K678" s="746"/>
    </row>
    <row r="679" spans="1:11" ht="15" x14ac:dyDescent="0.45">
      <c r="A679" s="895" t="s">
        <v>275</v>
      </c>
      <c r="B679" s="514"/>
      <c r="C679" s="836">
        <v>2020</v>
      </c>
      <c r="D679" s="520">
        <v>6</v>
      </c>
      <c r="E679" s="837"/>
      <c r="F679" s="876"/>
      <c r="G679" s="840">
        <v>729.91367202196761</v>
      </c>
      <c r="H679" s="841">
        <v>729.91367202196761</v>
      </c>
      <c r="I679" s="746"/>
      <c r="J679" s="746"/>
      <c r="K679" s="746"/>
    </row>
    <row r="680" spans="1:11" ht="15" x14ac:dyDescent="0.45">
      <c r="A680" s="791"/>
      <c r="B680" s="514"/>
      <c r="C680" s="836">
        <v>2021</v>
      </c>
      <c r="D680" s="520">
        <v>7</v>
      </c>
      <c r="E680" s="837"/>
      <c r="F680" s="876"/>
      <c r="G680" s="840">
        <v>744.55470911532313</v>
      </c>
      <c r="H680" s="841">
        <v>744.55470911532313</v>
      </c>
      <c r="I680" s="746"/>
      <c r="J680" s="746"/>
      <c r="K680" s="746"/>
    </row>
    <row r="681" spans="1:11" ht="15" x14ac:dyDescent="0.45">
      <c r="A681" s="892"/>
      <c r="B681" s="514"/>
      <c r="C681" s="836">
        <v>2022</v>
      </c>
      <c r="D681" s="520">
        <v>8</v>
      </c>
      <c r="E681" s="837"/>
      <c r="F681" s="876"/>
      <c r="G681" s="840">
        <v>759.19574620867877</v>
      </c>
      <c r="H681" s="841">
        <v>759.19574620867877</v>
      </c>
      <c r="I681" s="746"/>
      <c r="J681" s="746"/>
      <c r="K681" s="746"/>
    </row>
    <row r="682" spans="1:11" ht="15" x14ac:dyDescent="0.45">
      <c r="A682" s="842"/>
      <c r="B682" s="514"/>
      <c r="C682" s="836">
        <v>2023</v>
      </c>
      <c r="D682" s="520">
        <v>9</v>
      </c>
      <c r="E682" s="837"/>
      <c r="F682" s="876"/>
      <c r="G682" s="840">
        <v>773.83678330203429</v>
      </c>
      <c r="H682" s="841">
        <v>773.83678330203429</v>
      </c>
      <c r="I682" s="746"/>
      <c r="J682" s="746"/>
      <c r="K682" s="746"/>
    </row>
    <row r="683" spans="1:11" ht="14.1" x14ac:dyDescent="0.45">
      <c r="A683" s="514"/>
      <c r="B683" s="514"/>
      <c r="C683" s="836">
        <v>2024</v>
      </c>
      <c r="D683" s="520">
        <v>10</v>
      </c>
      <c r="E683" s="837"/>
      <c r="F683" s="876"/>
      <c r="G683" s="840">
        <v>788.47782039538993</v>
      </c>
      <c r="H683" s="841">
        <v>788.47782039538993</v>
      </c>
      <c r="I683" s="746"/>
      <c r="J683" s="746"/>
      <c r="K683" s="746"/>
    </row>
    <row r="684" spans="1:11" ht="14.1" x14ac:dyDescent="0.45">
      <c r="A684" s="514"/>
      <c r="B684" s="514"/>
      <c r="C684" s="836">
        <v>2025</v>
      </c>
      <c r="D684" s="520">
        <v>11</v>
      </c>
      <c r="E684" s="837"/>
      <c r="F684" s="876"/>
      <c r="G684" s="840">
        <v>803.11885748874556</v>
      </c>
      <c r="H684" s="841">
        <v>803.11885748874556</v>
      </c>
      <c r="I684" s="746"/>
      <c r="J684" s="746"/>
      <c r="K684" s="746"/>
    </row>
    <row r="685" spans="1:11" ht="14.1" x14ac:dyDescent="0.45">
      <c r="A685" s="514"/>
      <c r="B685" s="514"/>
      <c r="C685" s="836">
        <v>2026</v>
      </c>
      <c r="D685" s="520">
        <v>12</v>
      </c>
      <c r="E685" s="837"/>
      <c r="F685" s="876"/>
      <c r="G685" s="840">
        <v>817.75989458210108</v>
      </c>
      <c r="H685" s="841">
        <v>817.75989458210108</v>
      </c>
      <c r="I685" s="746"/>
      <c r="J685" s="746"/>
      <c r="K685" s="746"/>
    </row>
    <row r="686" spans="1:11" ht="14.1" x14ac:dyDescent="0.45">
      <c r="A686" s="514"/>
      <c r="B686" s="514"/>
      <c r="C686" s="836">
        <v>2027</v>
      </c>
      <c r="D686" s="520">
        <v>13</v>
      </c>
      <c r="E686" s="837"/>
      <c r="F686" s="876"/>
      <c r="G686" s="840">
        <v>832.40093167545672</v>
      </c>
      <c r="H686" s="841">
        <v>832.40093167545672</v>
      </c>
      <c r="I686" s="746"/>
      <c r="J686" s="746"/>
      <c r="K686" s="746"/>
    </row>
    <row r="687" spans="1:11" ht="14.1" x14ac:dyDescent="0.45">
      <c r="A687" s="514"/>
      <c r="B687" s="514"/>
      <c r="C687" s="836">
        <v>2028</v>
      </c>
      <c r="D687" s="520">
        <v>14</v>
      </c>
      <c r="E687" s="837"/>
      <c r="F687" s="876"/>
      <c r="G687" s="840">
        <v>847.04196876881224</v>
      </c>
      <c r="H687" s="841">
        <v>847.04196876881224</v>
      </c>
      <c r="I687" s="746"/>
      <c r="J687" s="746"/>
      <c r="K687" s="746"/>
    </row>
    <row r="688" spans="1:11" ht="14.1" x14ac:dyDescent="0.45">
      <c r="A688" s="514"/>
      <c r="B688" s="514"/>
      <c r="C688" s="836">
        <v>2029</v>
      </c>
      <c r="D688" s="520">
        <v>15</v>
      </c>
      <c r="E688" s="837"/>
      <c r="F688" s="876"/>
      <c r="G688" s="840">
        <v>861.68300586216787</v>
      </c>
      <c r="H688" s="841">
        <v>861.68300586216787</v>
      </c>
      <c r="I688" s="746"/>
      <c r="J688" s="746"/>
      <c r="K688" s="746"/>
    </row>
    <row r="689" spans="1:11" ht="14.1" x14ac:dyDescent="0.45">
      <c r="A689" s="514"/>
      <c r="B689" s="514"/>
      <c r="C689" s="836">
        <v>2030</v>
      </c>
      <c r="D689" s="520">
        <v>16</v>
      </c>
      <c r="E689" s="837">
        <v>889.76830020116347</v>
      </c>
      <c r="F689" s="876">
        <v>889.76830020116347</v>
      </c>
      <c r="G689" s="840">
        <v>889.76830020116347</v>
      </c>
      <c r="H689" s="841">
        <v>889.76830020116347</v>
      </c>
      <c r="I689" s="746"/>
      <c r="J689" s="746"/>
      <c r="K689" s="746"/>
    </row>
    <row r="690" spans="1:11" ht="14.1" x14ac:dyDescent="0.45">
      <c r="A690" s="514"/>
      <c r="B690" s="514"/>
      <c r="C690" s="836">
        <v>2031</v>
      </c>
      <c r="D690" s="520">
        <v>17</v>
      </c>
      <c r="E690" s="837"/>
      <c r="F690" s="876"/>
      <c r="G690" s="840">
        <v>890.96508004887903</v>
      </c>
      <c r="H690" s="841">
        <v>890.96508004887903</v>
      </c>
      <c r="I690" s="746"/>
      <c r="J690" s="746"/>
      <c r="K690" s="746"/>
    </row>
    <row r="691" spans="1:11" ht="14.1" x14ac:dyDescent="0.45">
      <c r="A691" s="514"/>
      <c r="B691" s="514"/>
      <c r="C691" s="836">
        <v>2032</v>
      </c>
      <c r="D691" s="520">
        <v>18</v>
      </c>
      <c r="E691" s="837"/>
      <c r="F691" s="876"/>
      <c r="G691" s="840">
        <v>905.60611714223455</v>
      </c>
      <c r="H691" s="841">
        <v>905.60611714223455</v>
      </c>
      <c r="I691" s="746"/>
      <c r="J691" s="746"/>
      <c r="K691" s="746"/>
    </row>
    <row r="692" spans="1:11" ht="14.1" x14ac:dyDescent="0.45">
      <c r="A692" s="522"/>
      <c r="B692" s="522"/>
      <c r="C692" s="836">
        <v>2033</v>
      </c>
      <c r="D692" s="520">
        <v>19</v>
      </c>
      <c r="E692" s="837"/>
      <c r="F692" s="876"/>
      <c r="G692" s="840">
        <v>920.24715423559019</v>
      </c>
      <c r="H692" s="841">
        <v>920.24715423559019</v>
      </c>
      <c r="I692" s="746"/>
      <c r="J692" s="746"/>
      <c r="K692" s="746"/>
    </row>
    <row r="693" spans="1:11" ht="14.1" x14ac:dyDescent="0.45">
      <c r="A693" s="522"/>
      <c r="B693" s="522"/>
      <c r="C693" s="836">
        <v>2034</v>
      </c>
      <c r="D693" s="520">
        <v>20</v>
      </c>
      <c r="E693" s="837"/>
      <c r="F693" s="876"/>
      <c r="G693" s="840">
        <v>934.88819132894582</v>
      </c>
      <c r="H693" s="841">
        <v>934.88819132894582</v>
      </c>
      <c r="I693" s="746"/>
      <c r="J693" s="746"/>
      <c r="K693" s="746"/>
    </row>
    <row r="694" spans="1:11" ht="14.1" x14ac:dyDescent="0.45">
      <c r="A694" s="522"/>
      <c r="B694" s="522"/>
      <c r="C694" s="836">
        <v>2035</v>
      </c>
      <c r="D694" s="520">
        <v>21</v>
      </c>
      <c r="E694" s="837"/>
      <c r="F694" s="876"/>
      <c r="G694" s="840">
        <v>949.52922842230146</v>
      </c>
      <c r="H694" s="841">
        <v>949.52922842230146</v>
      </c>
      <c r="I694" s="746"/>
      <c r="J694" s="746"/>
      <c r="K694" s="746"/>
    </row>
    <row r="695" spans="1:11" ht="14.1" x14ac:dyDescent="0.45">
      <c r="A695" s="522"/>
      <c r="B695" s="522"/>
      <c r="C695" s="836">
        <v>2036</v>
      </c>
      <c r="D695" s="520">
        <v>22</v>
      </c>
      <c r="E695" s="837"/>
      <c r="F695" s="876"/>
      <c r="G695" s="840">
        <v>964.17026551565698</v>
      </c>
      <c r="H695" s="841">
        <v>964.17026551565698</v>
      </c>
      <c r="I695" s="746"/>
      <c r="J695" s="746"/>
      <c r="K695" s="746"/>
    </row>
    <row r="696" spans="1:11" ht="14.1" x14ac:dyDescent="0.45">
      <c r="A696" s="522"/>
      <c r="B696" s="522"/>
      <c r="C696" s="836">
        <v>2037</v>
      </c>
      <c r="D696" s="520">
        <v>23</v>
      </c>
      <c r="E696" s="837"/>
      <c r="F696" s="876"/>
      <c r="G696" s="840">
        <v>978.8113026090125</v>
      </c>
      <c r="H696" s="841">
        <v>978.8113026090125</v>
      </c>
      <c r="I696" s="746"/>
      <c r="J696" s="746"/>
      <c r="K696" s="746"/>
    </row>
    <row r="697" spans="1:11" ht="14.1" x14ac:dyDescent="0.45">
      <c r="A697" s="522"/>
      <c r="B697" s="522"/>
      <c r="C697" s="836">
        <v>2038</v>
      </c>
      <c r="D697" s="520">
        <v>24</v>
      </c>
      <c r="E697" s="837"/>
      <c r="F697" s="876"/>
      <c r="G697" s="840">
        <v>993.45233970236814</v>
      </c>
      <c r="H697" s="841">
        <v>993.45233970236814</v>
      </c>
      <c r="I697" s="746"/>
      <c r="J697" s="746"/>
      <c r="K697" s="746"/>
    </row>
    <row r="698" spans="1:11" ht="14.1" x14ac:dyDescent="0.45">
      <c r="A698" s="522"/>
      <c r="B698" s="522"/>
      <c r="C698" s="836">
        <v>2039</v>
      </c>
      <c r="D698" s="520">
        <v>25</v>
      </c>
      <c r="E698" s="837"/>
      <c r="F698" s="876"/>
      <c r="G698" s="840">
        <v>1008.0933767957238</v>
      </c>
      <c r="H698" s="841">
        <v>1008.0933767957238</v>
      </c>
      <c r="I698" s="746"/>
      <c r="J698" s="746"/>
      <c r="K698" s="746"/>
    </row>
    <row r="699" spans="1:11" ht="14.1" x14ac:dyDescent="0.45">
      <c r="A699" s="522"/>
      <c r="B699" s="522"/>
      <c r="C699" s="836">
        <v>2040</v>
      </c>
      <c r="D699" s="520">
        <v>26</v>
      </c>
      <c r="E699" s="837"/>
      <c r="F699" s="876"/>
      <c r="G699" s="840">
        <v>1022.7344138890794</v>
      </c>
      <c r="H699" s="841">
        <v>1022.7344138890794</v>
      </c>
      <c r="I699" s="746"/>
      <c r="J699" s="746"/>
      <c r="K699" s="746"/>
    </row>
    <row r="700" spans="1:11" ht="14.1" x14ac:dyDescent="0.45">
      <c r="A700" s="522"/>
      <c r="B700" s="522"/>
      <c r="C700" s="836">
        <v>2041</v>
      </c>
      <c r="D700" s="520">
        <v>27</v>
      </c>
      <c r="E700" s="837"/>
      <c r="F700" s="876"/>
      <c r="G700" s="840">
        <v>1037.3754509824348</v>
      </c>
      <c r="H700" s="841">
        <v>1037.3754509824348</v>
      </c>
      <c r="I700" s="746"/>
      <c r="J700" s="746"/>
      <c r="K700" s="746"/>
    </row>
    <row r="701" spans="1:11" ht="14.1" x14ac:dyDescent="0.45">
      <c r="A701" s="522"/>
      <c r="B701" s="522"/>
      <c r="C701" s="836">
        <v>2042</v>
      </c>
      <c r="D701" s="520">
        <v>28</v>
      </c>
      <c r="E701" s="837"/>
      <c r="F701" s="876"/>
      <c r="G701" s="840">
        <v>1052.0164880757904</v>
      </c>
      <c r="H701" s="841">
        <v>1052.0164880757904</v>
      </c>
      <c r="I701" s="746"/>
      <c r="J701" s="746"/>
      <c r="K701" s="746"/>
    </row>
    <row r="702" spans="1:11" ht="14.1" x14ac:dyDescent="0.45">
      <c r="A702" s="522"/>
      <c r="B702" s="522"/>
      <c r="C702" s="836">
        <v>2043</v>
      </c>
      <c r="D702" s="520">
        <v>29</v>
      </c>
      <c r="E702" s="837"/>
      <c r="F702" s="876"/>
      <c r="G702" s="840">
        <v>1066.6575251691461</v>
      </c>
      <c r="H702" s="841">
        <v>1066.6575251691461</v>
      </c>
      <c r="I702" s="746"/>
      <c r="J702" s="746"/>
      <c r="K702" s="746"/>
    </row>
    <row r="703" spans="1:11" ht="14.1" x14ac:dyDescent="0.45">
      <c r="A703" s="522"/>
      <c r="B703" s="522"/>
      <c r="C703" s="836">
        <v>2044</v>
      </c>
      <c r="D703" s="520">
        <v>30</v>
      </c>
      <c r="E703" s="837"/>
      <c r="F703" s="876"/>
      <c r="G703" s="840">
        <v>1081.2985622625017</v>
      </c>
      <c r="H703" s="841">
        <v>1081.2985622625017</v>
      </c>
      <c r="I703" s="746"/>
      <c r="J703" s="746"/>
      <c r="K703" s="746"/>
    </row>
    <row r="704" spans="1:11" ht="14.1" x14ac:dyDescent="0.45">
      <c r="A704" s="522"/>
      <c r="B704" s="522"/>
      <c r="C704" s="836">
        <v>2045</v>
      </c>
      <c r="D704" s="520">
        <v>31</v>
      </c>
      <c r="E704" s="837"/>
      <c r="F704" s="876"/>
      <c r="G704" s="840">
        <v>1095.9395993558574</v>
      </c>
      <c r="H704" s="841">
        <v>1095.9395993558574</v>
      </c>
      <c r="I704" s="746"/>
      <c r="J704" s="746"/>
      <c r="K704" s="746"/>
    </row>
    <row r="705" spans="1:11" ht="14.1" x14ac:dyDescent="0.45">
      <c r="A705" s="522"/>
      <c r="B705" s="522"/>
      <c r="C705" s="836">
        <v>2046</v>
      </c>
      <c r="D705" s="520">
        <v>32</v>
      </c>
      <c r="E705" s="837"/>
      <c r="F705" s="876"/>
      <c r="G705" s="840">
        <v>1110.5806364492128</v>
      </c>
      <c r="H705" s="841">
        <v>1110.5806364492128</v>
      </c>
      <c r="I705" s="746"/>
      <c r="J705" s="746"/>
      <c r="K705" s="746"/>
    </row>
    <row r="706" spans="1:11" ht="14.1" x14ac:dyDescent="0.45">
      <c r="A706" s="523"/>
      <c r="B706" s="524"/>
      <c r="C706" s="836">
        <v>2047</v>
      </c>
      <c r="D706" s="520">
        <v>33</v>
      </c>
      <c r="E706" s="837"/>
      <c r="F706" s="876"/>
      <c r="G706" s="840">
        <v>1125.2216735425684</v>
      </c>
      <c r="H706" s="841">
        <v>1125.2216735425684</v>
      </c>
      <c r="I706" s="746"/>
      <c r="J706" s="746"/>
      <c r="K706" s="746"/>
    </row>
    <row r="707" spans="1:11" ht="14.1" x14ac:dyDescent="0.45">
      <c r="A707" s="746"/>
      <c r="B707" s="524"/>
      <c r="C707" s="836">
        <v>2048</v>
      </c>
      <c r="D707" s="520">
        <v>34</v>
      </c>
      <c r="E707" s="837"/>
      <c r="F707" s="876"/>
      <c r="G707" s="840">
        <v>1139.862710635924</v>
      </c>
      <c r="H707" s="841">
        <v>1139.862710635924</v>
      </c>
      <c r="I707" s="746"/>
      <c r="J707" s="746"/>
      <c r="K707" s="746"/>
    </row>
    <row r="708" spans="1:11" ht="14.1" x14ac:dyDescent="0.4">
      <c r="A708" s="746"/>
      <c r="B708" s="746"/>
      <c r="C708" s="836">
        <v>2049</v>
      </c>
      <c r="D708" s="520">
        <v>35</v>
      </c>
      <c r="E708" s="837"/>
      <c r="F708" s="876"/>
      <c r="G708" s="840">
        <v>1154.5037477292797</v>
      </c>
      <c r="H708" s="841">
        <v>1154.5037477292797</v>
      </c>
      <c r="I708" s="746"/>
      <c r="J708" s="746"/>
      <c r="K708" s="746"/>
    </row>
    <row r="709" spans="1:11" ht="14.1" x14ac:dyDescent="0.4">
      <c r="A709" s="746"/>
      <c r="B709" s="746"/>
      <c r="C709" s="836">
        <v>2050</v>
      </c>
      <c r="D709" s="520">
        <v>36</v>
      </c>
      <c r="E709" s="837">
        <v>1163.6089141920775</v>
      </c>
      <c r="F709" s="876">
        <v>1163.6089141920775</v>
      </c>
      <c r="G709" s="840">
        <v>1163.6089141920775</v>
      </c>
      <c r="H709" s="841">
        <v>1163.6089141920775</v>
      </c>
      <c r="I709" s="746"/>
      <c r="J709" s="746"/>
      <c r="K709" s="746"/>
    </row>
    <row r="710" spans="1:11" ht="14.1" x14ac:dyDescent="0.4">
      <c r="C710" s="836">
        <v>2051</v>
      </c>
      <c r="D710" s="520">
        <v>37</v>
      </c>
      <c r="E710" s="837"/>
      <c r="F710" s="876"/>
      <c r="G710" s="840">
        <v>1183.7858219159907</v>
      </c>
      <c r="H710" s="841">
        <v>1183.7858219159907</v>
      </c>
    </row>
    <row r="711" spans="1:11" ht="14.1" x14ac:dyDescent="0.4">
      <c r="C711" s="836">
        <v>2052</v>
      </c>
      <c r="D711" s="520">
        <v>38</v>
      </c>
      <c r="E711" s="837"/>
      <c r="F711" s="876"/>
      <c r="G711" s="840">
        <v>1198.4268590093466</v>
      </c>
      <c r="H711" s="841">
        <v>1198.4268590093466</v>
      </c>
    </row>
    <row r="712" spans="1:11" ht="14.1" x14ac:dyDescent="0.4">
      <c r="C712" s="836">
        <v>2053</v>
      </c>
      <c r="D712" s="520">
        <v>39</v>
      </c>
      <c r="E712" s="837"/>
      <c r="F712" s="876"/>
      <c r="G712" s="840">
        <v>1213.067896102702</v>
      </c>
      <c r="H712" s="841">
        <v>1213.067896102702</v>
      </c>
    </row>
    <row r="713" spans="1:11" ht="14.1" x14ac:dyDescent="0.4">
      <c r="C713" s="836">
        <v>2054</v>
      </c>
      <c r="D713" s="520">
        <v>40</v>
      </c>
      <c r="E713" s="837"/>
      <c r="F713" s="876"/>
      <c r="G713" s="840">
        <v>1227.7089331960576</v>
      </c>
      <c r="H713" s="841">
        <v>1227.7089331960576</v>
      </c>
    </row>
    <row r="714" spans="1:11" ht="14.1" x14ac:dyDescent="0.4">
      <c r="C714" s="836">
        <v>2055</v>
      </c>
      <c r="D714" s="520">
        <v>41</v>
      </c>
      <c r="E714" s="837"/>
      <c r="F714" s="876"/>
      <c r="G714" s="840">
        <v>1242.3499702894132</v>
      </c>
      <c r="H714" s="841">
        <v>1242.3499702894132</v>
      </c>
    </row>
    <row r="715" spans="1:11" ht="14.1" x14ac:dyDescent="0.4">
      <c r="C715" s="836">
        <v>2056</v>
      </c>
      <c r="D715" s="520">
        <v>42</v>
      </c>
      <c r="E715" s="837"/>
      <c r="F715" s="876"/>
      <c r="G715" s="840">
        <v>1256.9910073827687</v>
      </c>
      <c r="H715" s="841">
        <v>1256.9910073827687</v>
      </c>
    </row>
    <row r="716" spans="1:11" ht="14.1" x14ac:dyDescent="0.4">
      <c r="C716" s="836">
        <v>2057</v>
      </c>
      <c r="D716" s="520">
        <v>43</v>
      </c>
      <c r="E716" s="837"/>
      <c r="F716" s="876"/>
      <c r="G716" s="840">
        <v>1271.6320444761245</v>
      </c>
      <c r="H716" s="841">
        <v>1271.6320444761245</v>
      </c>
    </row>
    <row r="717" spans="1:11" ht="14.1" x14ac:dyDescent="0.4">
      <c r="C717" s="836">
        <v>2058</v>
      </c>
      <c r="D717" s="520">
        <v>44</v>
      </c>
      <c r="E717" s="837"/>
      <c r="F717" s="876"/>
      <c r="G717" s="840">
        <v>1286.2730815694799</v>
      </c>
      <c r="H717" s="841">
        <v>1286.2730815694799</v>
      </c>
    </row>
    <row r="718" spans="1:11" ht="14.1" x14ac:dyDescent="0.4">
      <c r="C718" s="836">
        <v>2059</v>
      </c>
      <c r="D718" s="520">
        <v>45</v>
      </c>
      <c r="E718" s="837"/>
      <c r="F718" s="876"/>
      <c r="G718" s="840">
        <v>1300.9141186628356</v>
      </c>
      <c r="H718" s="841">
        <v>1300.9141186628356</v>
      </c>
    </row>
    <row r="719" spans="1:11" ht="14.1" x14ac:dyDescent="0.4">
      <c r="C719" s="843">
        <v>2060</v>
      </c>
      <c r="D719" s="520">
        <v>46</v>
      </c>
      <c r="E719" s="837"/>
      <c r="F719" s="876"/>
      <c r="G719" s="840">
        <v>1315.5551557561912</v>
      </c>
      <c r="H719" s="841">
        <v>1315.5551557561912</v>
      </c>
    </row>
    <row r="722" spans="1:11" ht="15" x14ac:dyDescent="0.5">
      <c r="A722" s="621" t="str">
        <f ca="1">HYPERLINK("#"&amp;"'"&amp;A$1&amp;"'!a1","Back to top")</f>
        <v>Back to top</v>
      </c>
    </row>
    <row r="725" spans="1:11" ht="15" x14ac:dyDescent="0.5">
      <c r="A725" s="508">
        <v>9</v>
      </c>
      <c r="B725" s="509" t="s">
        <v>973</v>
      </c>
      <c r="C725" s="787"/>
      <c r="D725" s="787"/>
      <c r="E725" s="787"/>
      <c r="F725" s="787"/>
      <c r="G725" s="787"/>
      <c r="H725" s="787"/>
      <c r="I725" s="787"/>
      <c r="J725" s="787"/>
      <c r="K725" s="787"/>
    </row>
    <row r="726" spans="1:11" ht="15" x14ac:dyDescent="0.5">
      <c r="A726" s="510" t="s">
        <v>260</v>
      </c>
      <c r="B726" s="511"/>
      <c r="C726" s="511"/>
      <c r="D726" s="223"/>
      <c r="E726" s="512"/>
      <c r="F726" s="1309"/>
      <c r="G726" s="512"/>
      <c r="H726" s="513"/>
      <c r="I726" s="746"/>
      <c r="J726" s="746"/>
      <c r="K726" s="746"/>
    </row>
    <row r="727" spans="1:11" ht="15.3" thickBot="1" x14ac:dyDescent="0.5">
      <c r="A727" s="872" t="s">
        <v>603</v>
      </c>
      <c r="B727" s="514"/>
      <c r="C727" s="514"/>
      <c r="D727" s="515"/>
      <c r="E727" s="516" t="s">
        <v>222</v>
      </c>
      <c r="F727" s="1310"/>
      <c r="G727" s="873" t="s">
        <v>976</v>
      </c>
      <c r="H727" s="513"/>
      <c r="I727" s="746"/>
      <c r="J727" s="746"/>
      <c r="K727" s="746"/>
    </row>
    <row r="728" spans="1:11" ht="37.200000000000003" thickBot="1" x14ac:dyDescent="0.5">
      <c r="A728" s="517"/>
      <c r="B728" s="517"/>
      <c r="C728" s="517"/>
      <c r="D728" s="518"/>
      <c r="E728" s="873" t="s">
        <v>724</v>
      </c>
      <c r="F728" s="873" t="s">
        <v>664</v>
      </c>
      <c r="G728" s="874" t="s">
        <v>738</v>
      </c>
      <c r="H728" s="873" t="s">
        <v>667</v>
      </c>
      <c r="I728" s="873" t="s">
        <v>666</v>
      </c>
      <c r="J728" s="1297" t="s">
        <v>668</v>
      </c>
      <c r="K728" s="1298"/>
    </row>
    <row r="729" spans="1:11" ht="15" x14ac:dyDescent="0.5">
      <c r="A729" s="510" t="s">
        <v>268</v>
      </c>
      <c r="B729" s="517"/>
      <c r="C729" s="788">
        <v>2005</v>
      </c>
      <c r="D729" s="519">
        <v>-9</v>
      </c>
      <c r="E729" s="875"/>
      <c r="F729" s="876"/>
      <c r="G729" s="877">
        <v>130.08755707762549</v>
      </c>
      <c r="H729" s="878">
        <v>130.08755707762549</v>
      </c>
      <c r="I729" s="1303" t="s">
        <v>269</v>
      </c>
      <c r="J729" s="1299"/>
      <c r="K729" s="1300"/>
    </row>
    <row r="730" spans="1:11" ht="15" x14ac:dyDescent="0.45">
      <c r="A730" s="872" t="s">
        <v>49</v>
      </c>
      <c r="B730" s="517"/>
      <c r="C730" s="836">
        <v>2006</v>
      </c>
      <c r="D730" s="520">
        <v>-8</v>
      </c>
      <c r="E730" s="837"/>
      <c r="F730" s="876"/>
      <c r="G730" s="838">
        <v>144.0015981735159</v>
      </c>
      <c r="H730" s="839">
        <v>144.0015981735159</v>
      </c>
      <c r="I730" s="1304"/>
      <c r="J730" s="1299"/>
      <c r="K730" s="1300"/>
    </row>
    <row r="731" spans="1:11" ht="14.05" customHeight="1" x14ac:dyDescent="0.45">
      <c r="A731" s="517"/>
      <c r="B731" s="517"/>
      <c r="C731" s="836">
        <v>2007</v>
      </c>
      <c r="D731" s="520">
        <v>-7</v>
      </c>
      <c r="E731" s="837"/>
      <c r="F731" s="876"/>
      <c r="G731" s="838">
        <v>157.91563926940631</v>
      </c>
      <c r="H731" s="839">
        <v>157.91563926940631</v>
      </c>
      <c r="I731" s="1304"/>
      <c r="J731" s="1299"/>
      <c r="K731" s="1300"/>
    </row>
    <row r="732" spans="1:11" ht="15" x14ac:dyDescent="0.45">
      <c r="A732" s="676" t="s">
        <v>270</v>
      </c>
      <c r="B732" s="517"/>
      <c r="C732" s="836">
        <v>2008</v>
      </c>
      <c r="D732" s="520">
        <v>-6</v>
      </c>
      <c r="E732" s="837"/>
      <c r="F732" s="876"/>
      <c r="G732" s="838">
        <v>171.82968036529672</v>
      </c>
      <c r="H732" s="839">
        <v>171.82968036529672</v>
      </c>
      <c r="I732" s="1304"/>
      <c r="J732" s="1301"/>
      <c r="K732" s="1302"/>
    </row>
    <row r="733" spans="1:11" ht="14.1" x14ac:dyDescent="0.45">
      <c r="A733" s="1306" t="s">
        <v>604</v>
      </c>
      <c r="B733" s="517"/>
      <c r="C733" s="836">
        <v>2009</v>
      </c>
      <c r="D733" s="520">
        <v>-5</v>
      </c>
      <c r="E733" s="837"/>
      <c r="F733" s="876"/>
      <c r="G733" s="838">
        <v>185.74372146118714</v>
      </c>
      <c r="H733" s="839">
        <v>185.74372146118714</v>
      </c>
      <c r="I733" s="1304"/>
      <c r="J733" s="746"/>
      <c r="K733" s="746"/>
    </row>
    <row r="734" spans="1:11" ht="14.1" x14ac:dyDescent="0.45">
      <c r="A734" s="1307"/>
      <c r="B734" s="517"/>
      <c r="C734" s="836">
        <v>2010</v>
      </c>
      <c r="D734" s="520">
        <v>-4</v>
      </c>
      <c r="E734" s="837"/>
      <c r="F734" s="876"/>
      <c r="G734" s="838">
        <v>199.65776255707758</v>
      </c>
      <c r="H734" s="839">
        <v>199.65776255707758</v>
      </c>
      <c r="I734" s="1304"/>
      <c r="J734" s="746"/>
      <c r="K734" s="746"/>
    </row>
    <row r="735" spans="1:11" ht="14.1" x14ac:dyDescent="0.45">
      <c r="A735" s="1307"/>
      <c r="B735" s="517"/>
      <c r="C735" s="836">
        <v>2011</v>
      </c>
      <c r="D735" s="520">
        <v>-3</v>
      </c>
      <c r="E735" s="837"/>
      <c r="F735" s="876"/>
      <c r="G735" s="838">
        <v>213.57180365296799</v>
      </c>
      <c r="H735" s="839">
        <v>213.57180365296799</v>
      </c>
      <c r="I735" s="1305"/>
      <c r="J735" s="746"/>
      <c r="K735" s="746"/>
    </row>
    <row r="736" spans="1:11" ht="14.1" x14ac:dyDescent="0.45">
      <c r="A736" s="1308"/>
      <c r="B736" s="517"/>
      <c r="C736" s="836">
        <v>2012</v>
      </c>
      <c r="D736" s="520">
        <v>-2</v>
      </c>
      <c r="E736" s="837"/>
      <c r="F736" s="876"/>
      <c r="G736" s="840">
        <v>227.4858447488584</v>
      </c>
      <c r="H736" s="841">
        <v>227.4858447488584</v>
      </c>
      <c r="I736" s="789" t="s">
        <v>272</v>
      </c>
      <c r="J736" s="746"/>
      <c r="K736" s="746"/>
    </row>
    <row r="737" spans="1:11" ht="14.1" x14ac:dyDescent="0.45">
      <c r="A737" s="517"/>
      <c r="B737" s="517"/>
      <c r="C737" s="836">
        <v>2013</v>
      </c>
      <c r="D737" s="520">
        <v>-1</v>
      </c>
      <c r="E737" s="837"/>
      <c r="F737" s="876"/>
      <c r="G737" s="840">
        <v>241.39988584474881</v>
      </c>
      <c r="H737" s="841">
        <v>241.39988584474881</v>
      </c>
      <c r="I737" s="746"/>
      <c r="J737" s="746"/>
      <c r="K737" s="746"/>
    </row>
    <row r="738" spans="1:11" ht="15" x14ac:dyDescent="0.5">
      <c r="A738" s="521" t="s">
        <v>273</v>
      </c>
      <c r="B738" s="517"/>
      <c r="C738" s="836">
        <v>2014</v>
      </c>
      <c r="D738" s="520">
        <v>0</v>
      </c>
      <c r="E738" s="837"/>
      <c r="F738" s="876"/>
      <c r="G738" s="840">
        <v>255.31392694063922</v>
      </c>
      <c r="H738" s="841">
        <v>255.31392694063922</v>
      </c>
      <c r="I738" s="746"/>
      <c r="J738" s="746"/>
      <c r="K738" s="746"/>
    </row>
    <row r="739" spans="1:11" ht="15" x14ac:dyDescent="0.45">
      <c r="A739" s="842">
        <v>2018</v>
      </c>
      <c r="B739" s="514"/>
      <c r="C739" s="836">
        <v>2015</v>
      </c>
      <c r="D739" s="520">
        <v>1</v>
      </c>
      <c r="E739" s="837"/>
      <c r="F739" s="876"/>
      <c r="G739" s="840">
        <v>269.22796803652966</v>
      </c>
      <c r="H739" s="841">
        <v>269.22796803652966</v>
      </c>
      <c r="I739" s="746"/>
      <c r="J739" s="746"/>
      <c r="K739" s="746"/>
    </row>
    <row r="740" spans="1:11" ht="14.1" x14ac:dyDescent="0.45">
      <c r="A740" s="746"/>
      <c r="B740" s="514"/>
      <c r="C740" s="836">
        <v>2016</v>
      </c>
      <c r="D740" s="520">
        <v>2</v>
      </c>
      <c r="E740" s="837">
        <v>302.39999999999998</v>
      </c>
      <c r="F740" s="876">
        <v>302.39999999999998</v>
      </c>
      <c r="G740" s="840">
        <v>302.39999999999998</v>
      </c>
      <c r="H740" s="841">
        <v>302.39999999999998</v>
      </c>
      <c r="I740" s="746"/>
      <c r="J740" s="746"/>
      <c r="K740" s="746"/>
    </row>
    <row r="741" spans="1:11" ht="15" x14ac:dyDescent="0.5">
      <c r="A741" s="521" t="s">
        <v>274</v>
      </c>
      <c r="B741" s="514"/>
      <c r="C741" s="836">
        <v>2017</v>
      </c>
      <c r="D741" s="520">
        <v>3</v>
      </c>
      <c r="E741" s="837"/>
      <c r="F741" s="876"/>
      <c r="G741" s="840">
        <v>297.05605022831048</v>
      </c>
      <c r="H741" s="841">
        <v>297.05605022831048</v>
      </c>
      <c r="I741" s="746"/>
      <c r="J741" s="746"/>
      <c r="K741" s="746"/>
    </row>
    <row r="742" spans="1:11" ht="15" x14ac:dyDescent="0.45">
      <c r="A742" s="842" t="s">
        <v>724</v>
      </c>
      <c r="B742" s="514"/>
      <c r="C742" s="836">
        <v>2018</v>
      </c>
      <c r="D742" s="520">
        <v>4</v>
      </c>
      <c r="E742" s="837"/>
      <c r="F742" s="876"/>
      <c r="G742" s="840">
        <v>310.97009132420089</v>
      </c>
      <c r="H742" s="841">
        <v>310.97009132420089</v>
      </c>
      <c r="I742" s="746"/>
      <c r="J742" s="746"/>
      <c r="K742" s="746"/>
    </row>
    <row r="743" spans="1:11" ht="15" x14ac:dyDescent="0.5">
      <c r="A743" s="790"/>
      <c r="B743" s="522"/>
      <c r="C743" s="836">
        <v>2019</v>
      </c>
      <c r="D743" s="520">
        <v>5</v>
      </c>
      <c r="E743" s="837"/>
      <c r="F743" s="876"/>
      <c r="G743" s="840">
        <v>324.8841324200913</v>
      </c>
      <c r="H743" s="841">
        <v>324.8841324200913</v>
      </c>
      <c r="I743" s="746"/>
      <c r="J743" s="746"/>
      <c r="K743" s="746"/>
    </row>
    <row r="744" spans="1:11" ht="15" x14ac:dyDescent="0.45">
      <c r="A744" s="895" t="s">
        <v>275</v>
      </c>
      <c r="B744" s="514"/>
      <c r="C744" s="836">
        <v>2020</v>
      </c>
      <c r="D744" s="520">
        <v>6</v>
      </c>
      <c r="E744" s="837"/>
      <c r="F744" s="876"/>
      <c r="G744" s="840">
        <v>338.79817351598172</v>
      </c>
      <c r="H744" s="841">
        <v>338.79817351598172</v>
      </c>
      <c r="I744" s="746"/>
      <c r="J744" s="746"/>
      <c r="K744" s="746"/>
    </row>
    <row r="745" spans="1:11" ht="15" x14ac:dyDescent="0.45">
      <c r="A745" s="791"/>
      <c r="B745" s="514"/>
      <c r="C745" s="836">
        <v>2021</v>
      </c>
      <c r="D745" s="520">
        <v>7</v>
      </c>
      <c r="E745" s="837"/>
      <c r="F745" s="876"/>
      <c r="G745" s="840">
        <v>352.71221461187213</v>
      </c>
      <c r="H745" s="841">
        <v>352.71221461187213</v>
      </c>
      <c r="I745" s="746"/>
      <c r="J745" s="746"/>
      <c r="K745" s="746"/>
    </row>
    <row r="746" spans="1:11" ht="15" x14ac:dyDescent="0.45">
      <c r="A746" s="892"/>
      <c r="B746" s="514"/>
      <c r="C746" s="836">
        <v>2022</v>
      </c>
      <c r="D746" s="520">
        <v>8</v>
      </c>
      <c r="E746" s="837"/>
      <c r="F746" s="876"/>
      <c r="G746" s="840">
        <v>366.62625570776254</v>
      </c>
      <c r="H746" s="841">
        <v>366.62625570776254</v>
      </c>
      <c r="I746" s="746"/>
      <c r="J746" s="746"/>
      <c r="K746" s="746"/>
    </row>
    <row r="747" spans="1:11" ht="15" x14ac:dyDescent="0.45">
      <c r="A747" s="842"/>
      <c r="B747" s="514"/>
      <c r="C747" s="836">
        <v>2023</v>
      </c>
      <c r="D747" s="520">
        <v>9</v>
      </c>
      <c r="E747" s="837"/>
      <c r="F747" s="876"/>
      <c r="G747" s="840">
        <v>380.54029680365295</v>
      </c>
      <c r="H747" s="841">
        <v>380.54029680365295</v>
      </c>
      <c r="I747" s="746"/>
      <c r="J747" s="746"/>
      <c r="K747" s="746"/>
    </row>
    <row r="748" spans="1:11" ht="14.1" x14ac:dyDescent="0.45">
      <c r="A748" s="514"/>
      <c r="B748" s="514"/>
      <c r="C748" s="836">
        <v>2024</v>
      </c>
      <c r="D748" s="520">
        <v>10</v>
      </c>
      <c r="E748" s="837"/>
      <c r="F748" s="876"/>
      <c r="G748" s="840">
        <v>394.45433789954336</v>
      </c>
      <c r="H748" s="841">
        <v>394.45433789954336</v>
      </c>
      <c r="I748" s="746"/>
      <c r="J748" s="746"/>
      <c r="K748" s="746"/>
    </row>
    <row r="749" spans="1:11" ht="14.1" x14ac:dyDescent="0.45">
      <c r="A749" s="514"/>
      <c r="B749" s="514"/>
      <c r="C749" s="836">
        <v>2025</v>
      </c>
      <c r="D749" s="520">
        <v>11</v>
      </c>
      <c r="E749" s="837"/>
      <c r="F749" s="876"/>
      <c r="G749" s="840">
        <v>408.36837899543377</v>
      </c>
      <c r="H749" s="841">
        <v>408.36837899543377</v>
      </c>
      <c r="I749" s="746"/>
      <c r="J749" s="746"/>
      <c r="K749" s="746"/>
    </row>
    <row r="750" spans="1:11" ht="14.1" x14ac:dyDescent="0.45">
      <c r="A750" s="514"/>
      <c r="B750" s="514"/>
      <c r="C750" s="836">
        <v>2026</v>
      </c>
      <c r="D750" s="520">
        <v>12</v>
      </c>
      <c r="E750" s="837"/>
      <c r="F750" s="876"/>
      <c r="G750" s="840">
        <v>422.28242009132418</v>
      </c>
      <c r="H750" s="841">
        <v>422.28242009132418</v>
      </c>
      <c r="I750" s="746"/>
      <c r="J750" s="746"/>
      <c r="K750" s="746"/>
    </row>
    <row r="751" spans="1:11" ht="14.1" x14ac:dyDescent="0.45">
      <c r="A751" s="514"/>
      <c r="B751" s="514"/>
      <c r="C751" s="836">
        <v>2027</v>
      </c>
      <c r="D751" s="520">
        <v>13</v>
      </c>
      <c r="E751" s="837"/>
      <c r="F751" s="876"/>
      <c r="G751" s="840">
        <v>436.1964611872146</v>
      </c>
      <c r="H751" s="841">
        <v>436.1964611872146</v>
      </c>
      <c r="I751" s="746"/>
      <c r="J751" s="746"/>
      <c r="K751" s="746"/>
    </row>
    <row r="752" spans="1:11" ht="14.1" x14ac:dyDescent="0.45">
      <c r="A752" s="514"/>
      <c r="B752" s="514"/>
      <c r="C752" s="836">
        <v>2028</v>
      </c>
      <c r="D752" s="520">
        <v>14</v>
      </c>
      <c r="E752" s="837"/>
      <c r="F752" s="876"/>
      <c r="G752" s="840">
        <v>450.11050228310501</v>
      </c>
      <c r="H752" s="841">
        <v>450.11050228310501</v>
      </c>
      <c r="I752" s="746"/>
      <c r="J752" s="746"/>
      <c r="K752" s="746"/>
    </row>
    <row r="753" spans="1:11" ht="14.1" x14ac:dyDescent="0.45">
      <c r="A753" s="514"/>
      <c r="B753" s="514"/>
      <c r="C753" s="836">
        <v>2029</v>
      </c>
      <c r="D753" s="520">
        <v>15</v>
      </c>
      <c r="E753" s="837"/>
      <c r="F753" s="876"/>
      <c r="G753" s="840">
        <v>464.02454337899542</v>
      </c>
      <c r="H753" s="841">
        <v>464.02454337899542</v>
      </c>
      <c r="I753" s="746"/>
      <c r="J753" s="746"/>
      <c r="K753" s="746"/>
    </row>
    <row r="754" spans="1:11" ht="14.1" x14ac:dyDescent="0.45">
      <c r="A754" s="514"/>
      <c r="B754" s="514"/>
      <c r="C754" s="836">
        <v>2030</v>
      </c>
      <c r="D754" s="520">
        <v>16</v>
      </c>
      <c r="E754" s="837">
        <v>445.2</v>
      </c>
      <c r="F754" s="876">
        <v>445.2</v>
      </c>
      <c r="G754" s="840">
        <v>445.2</v>
      </c>
      <c r="H754" s="841">
        <v>445.2</v>
      </c>
      <c r="I754" s="746"/>
      <c r="J754" s="746"/>
      <c r="K754" s="746"/>
    </row>
    <row r="755" spans="1:11" ht="14.1" x14ac:dyDescent="0.45">
      <c r="A755" s="514"/>
      <c r="B755" s="514"/>
      <c r="C755" s="836">
        <v>2031</v>
      </c>
      <c r="D755" s="520">
        <v>17</v>
      </c>
      <c r="E755" s="837"/>
      <c r="F755" s="876"/>
      <c r="G755" s="840">
        <v>491.85262557077624</v>
      </c>
      <c r="H755" s="841">
        <v>491.85262557077624</v>
      </c>
      <c r="I755" s="746"/>
      <c r="J755" s="746"/>
      <c r="K755" s="746"/>
    </row>
    <row r="756" spans="1:11" ht="14.1" x14ac:dyDescent="0.45">
      <c r="A756" s="514"/>
      <c r="B756" s="514"/>
      <c r="C756" s="836">
        <v>2032</v>
      </c>
      <c r="D756" s="520">
        <v>18</v>
      </c>
      <c r="E756" s="837"/>
      <c r="F756" s="876"/>
      <c r="G756" s="840">
        <v>505.76666666666665</v>
      </c>
      <c r="H756" s="841">
        <v>505.76666666666665</v>
      </c>
      <c r="I756" s="746"/>
      <c r="J756" s="746"/>
      <c r="K756" s="746"/>
    </row>
    <row r="757" spans="1:11" ht="14.1" x14ac:dyDescent="0.45">
      <c r="A757" s="522"/>
      <c r="B757" s="522"/>
      <c r="C757" s="836">
        <v>2033</v>
      </c>
      <c r="D757" s="520">
        <v>19</v>
      </c>
      <c r="E757" s="837"/>
      <c r="F757" s="876"/>
      <c r="G757" s="840">
        <v>519.68070776255706</v>
      </c>
      <c r="H757" s="841">
        <v>519.68070776255706</v>
      </c>
      <c r="I757" s="746"/>
      <c r="J757" s="746"/>
      <c r="K757" s="746"/>
    </row>
    <row r="758" spans="1:11" ht="14.1" x14ac:dyDescent="0.45">
      <c r="A758" s="522"/>
      <c r="B758" s="522"/>
      <c r="C758" s="836">
        <v>2034</v>
      </c>
      <c r="D758" s="520">
        <v>20</v>
      </c>
      <c r="E758" s="837"/>
      <c r="F758" s="876"/>
      <c r="G758" s="840">
        <v>533.59474885844747</v>
      </c>
      <c r="H758" s="841">
        <v>533.59474885844747</v>
      </c>
      <c r="I758" s="746"/>
      <c r="J758" s="746"/>
      <c r="K758" s="746"/>
    </row>
    <row r="759" spans="1:11" ht="14.1" x14ac:dyDescent="0.45">
      <c r="A759" s="522"/>
      <c r="B759" s="522"/>
      <c r="C759" s="836">
        <v>2035</v>
      </c>
      <c r="D759" s="520">
        <v>21</v>
      </c>
      <c r="E759" s="837"/>
      <c r="F759" s="876"/>
      <c r="G759" s="840">
        <v>547.50878995433789</v>
      </c>
      <c r="H759" s="841">
        <v>547.50878995433789</v>
      </c>
      <c r="I759" s="746"/>
      <c r="J759" s="746"/>
      <c r="K759" s="746"/>
    </row>
    <row r="760" spans="1:11" ht="14.1" x14ac:dyDescent="0.45">
      <c r="A760" s="522"/>
      <c r="B760" s="522"/>
      <c r="C760" s="836">
        <v>2036</v>
      </c>
      <c r="D760" s="520">
        <v>22</v>
      </c>
      <c r="E760" s="837"/>
      <c r="F760" s="876"/>
      <c r="G760" s="840">
        <v>561.4228310502283</v>
      </c>
      <c r="H760" s="841">
        <v>561.4228310502283</v>
      </c>
      <c r="I760" s="746"/>
      <c r="J760" s="746"/>
      <c r="K760" s="746"/>
    </row>
    <row r="761" spans="1:11" ht="14.1" x14ac:dyDescent="0.45">
      <c r="A761" s="522"/>
      <c r="B761" s="522"/>
      <c r="C761" s="836">
        <v>2037</v>
      </c>
      <c r="D761" s="520">
        <v>23</v>
      </c>
      <c r="E761" s="837"/>
      <c r="F761" s="876"/>
      <c r="G761" s="840">
        <v>575.33687214611871</v>
      </c>
      <c r="H761" s="841">
        <v>575.33687214611871</v>
      </c>
      <c r="I761" s="746"/>
      <c r="J761" s="746"/>
      <c r="K761" s="746"/>
    </row>
    <row r="762" spans="1:11" ht="14.1" x14ac:dyDescent="0.45">
      <c r="A762" s="522"/>
      <c r="B762" s="522"/>
      <c r="C762" s="836">
        <v>2038</v>
      </c>
      <c r="D762" s="520">
        <v>24</v>
      </c>
      <c r="E762" s="837"/>
      <c r="F762" s="876"/>
      <c r="G762" s="840">
        <v>589.25091324200912</v>
      </c>
      <c r="H762" s="841">
        <v>589.25091324200912</v>
      </c>
      <c r="I762" s="746"/>
      <c r="J762" s="746"/>
      <c r="K762" s="746"/>
    </row>
    <row r="763" spans="1:11" ht="14.1" x14ac:dyDescent="0.45">
      <c r="A763" s="522"/>
      <c r="B763" s="522"/>
      <c r="C763" s="836">
        <v>2039</v>
      </c>
      <c r="D763" s="520">
        <v>25</v>
      </c>
      <c r="E763" s="837"/>
      <c r="F763" s="876"/>
      <c r="G763" s="840">
        <v>603.16495433789953</v>
      </c>
      <c r="H763" s="841">
        <v>603.16495433789953</v>
      </c>
      <c r="I763" s="746"/>
      <c r="J763" s="746"/>
      <c r="K763" s="746"/>
    </row>
    <row r="764" spans="1:11" ht="14.1" x14ac:dyDescent="0.45">
      <c r="A764" s="522"/>
      <c r="B764" s="522"/>
      <c r="C764" s="836">
        <v>2040</v>
      </c>
      <c r="D764" s="520">
        <v>26</v>
      </c>
      <c r="E764" s="837"/>
      <c r="F764" s="876"/>
      <c r="G764" s="840">
        <v>617.07899543378994</v>
      </c>
      <c r="H764" s="841">
        <v>617.07899543378994</v>
      </c>
      <c r="I764" s="746"/>
      <c r="J764" s="746"/>
      <c r="K764" s="746"/>
    </row>
    <row r="765" spans="1:11" ht="14.1" x14ac:dyDescent="0.45">
      <c r="A765" s="522"/>
      <c r="B765" s="522"/>
      <c r="C765" s="836">
        <v>2041</v>
      </c>
      <c r="D765" s="520">
        <v>27</v>
      </c>
      <c r="E765" s="837"/>
      <c r="F765" s="876"/>
      <c r="G765" s="840">
        <v>630.99303652968035</v>
      </c>
      <c r="H765" s="841">
        <v>630.99303652968035</v>
      </c>
      <c r="I765" s="746"/>
      <c r="J765" s="746"/>
      <c r="K765" s="746"/>
    </row>
    <row r="766" spans="1:11" ht="14.1" x14ac:dyDescent="0.45">
      <c r="A766" s="522"/>
      <c r="B766" s="522"/>
      <c r="C766" s="836">
        <v>2042</v>
      </c>
      <c r="D766" s="520">
        <v>28</v>
      </c>
      <c r="E766" s="837"/>
      <c r="F766" s="876"/>
      <c r="G766" s="840">
        <v>644.90707762557076</v>
      </c>
      <c r="H766" s="841">
        <v>644.90707762557076</v>
      </c>
      <c r="I766" s="746"/>
      <c r="J766" s="746"/>
      <c r="K766" s="746"/>
    </row>
    <row r="767" spans="1:11" ht="14.1" x14ac:dyDescent="0.45">
      <c r="A767" s="522"/>
      <c r="B767" s="522"/>
      <c r="C767" s="836">
        <v>2043</v>
      </c>
      <c r="D767" s="520">
        <v>29</v>
      </c>
      <c r="E767" s="837"/>
      <c r="F767" s="876"/>
      <c r="G767" s="840">
        <v>658.82111872146118</v>
      </c>
      <c r="H767" s="841">
        <v>658.82111872146118</v>
      </c>
      <c r="I767" s="746"/>
      <c r="J767" s="746"/>
      <c r="K767" s="746"/>
    </row>
    <row r="768" spans="1:11" ht="14.1" x14ac:dyDescent="0.45">
      <c r="A768" s="522"/>
      <c r="B768" s="522"/>
      <c r="C768" s="836">
        <v>2044</v>
      </c>
      <c r="D768" s="520">
        <v>30</v>
      </c>
      <c r="E768" s="837"/>
      <c r="F768" s="876"/>
      <c r="G768" s="840">
        <v>672.73515981735159</v>
      </c>
      <c r="H768" s="841">
        <v>672.73515981735159</v>
      </c>
      <c r="I768" s="746"/>
      <c r="J768" s="746"/>
      <c r="K768" s="746"/>
    </row>
    <row r="769" spans="1:11" ht="14.1" x14ac:dyDescent="0.45">
      <c r="A769" s="522"/>
      <c r="B769" s="522"/>
      <c r="C769" s="836">
        <v>2045</v>
      </c>
      <c r="D769" s="520">
        <v>31</v>
      </c>
      <c r="E769" s="837"/>
      <c r="F769" s="876"/>
      <c r="G769" s="840">
        <v>686.649200913242</v>
      </c>
      <c r="H769" s="841">
        <v>686.649200913242</v>
      </c>
      <c r="I769" s="746"/>
      <c r="J769" s="746"/>
      <c r="K769" s="746"/>
    </row>
    <row r="770" spans="1:11" ht="14.1" x14ac:dyDescent="0.45">
      <c r="A770" s="522"/>
      <c r="B770" s="522"/>
      <c r="C770" s="836">
        <v>2046</v>
      </c>
      <c r="D770" s="520">
        <v>32</v>
      </c>
      <c r="E770" s="837"/>
      <c r="F770" s="876"/>
      <c r="G770" s="840">
        <v>700.56324200913241</v>
      </c>
      <c r="H770" s="841">
        <v>700.56324200913241</v>
      </c>
      <c r="I770" s="746"/>
      <c r="J770" s="746"/>
      <c r="K770" s="746"/>
    </row>
    <row r="771" spans="1:11" ht="14.1" x14ac:dyDescent="0.45">
      <c r="A771" s="523"/>
      <c r="B771" s="524"/>
      <c r="C771" s="836">
        <v>2047</v>
      </c>
      <c r="D771" s="520">
        <v>33</v>
      </c>
      <c r="E771" s="837"/>
      <c r="F771" s="876"/>
      <c r="G771" s="840">
        <v>714.47728310502282</v>
      </c>
      <c r="H771" s="841">
        <v>714.47728310502282</v>
      </c>
      <c r="I771" s="746"/>
      <c r="J771" s="746"/>
      <c r="K771" s="746"/>
    </row>
    <row r="772" spans="1:11" ht="14.1" x14ac:dyDescent="0.45">
      <c r="A772" s="746"/>
      <c r="B772" s="524"/>
      <c r="C772" s="836">
        <v>2048</v>
      </c>
      <c r="D772" s="520">
        <v>34</v>
      </c>
      <c r="E772" s="837"/>
      <c r="F772" s="876"/>
      <c r="G772" s="840">
        <v>728.39132420091323</v>
      </c>
      <c r="H772" s="841">
        <v>728.39132420091323</v>
      </c>
      <c r="I772" s="746"/>
      <c r="J772" s="746"/>
      <c r="K772" s="746"/>
    </row>
    <row r="773" spans="1:11" ht="14.1" x14ac:dyDescent="0.4">
      <c r="A773" s="746"/>
      <c r="B773" s="746"/>
      <c r="C773" s="836">
        <v>2049</v>
      </c>
      <c r="D773" s="520">
        <v>35</v>
      </c>
      <c r="E773" s="837"/>
      <c r="F773" s="876"/>
      <c r="G773" s="840">
        <v>742.30536529680364</v>
      </c>
      <c r="H773" s="841">
        <v>742.30536529680364</v>
      </c>
      <c r="I773" s="746"/>
      <c r="J773" s="746"/>
      <c r="K773" s="746"/>
    </row>
    <row r="774" spans="1:11" ht="14.1" x14ac:dyDescent="0.4">
      <c r="A774" s="746"/>
      <c r="B774" s="746"/>
      <c r="C774" s="836">
        <v>2050</v>
      </c>
      <c r="D774" s="520">
        <v>36</v>
      </c>
      <c r="E774" s="837">
        <v>769.7</v>
      </c>
      <c r="F774" s="876">
        <v>769.7</v>
      </c>
      <c r="G774" s="840">
        <v>769.7</v>
      </c>
      <c r="H774" s="841">
        <v>769.7</v>
      </c>
      <c r="I774" s="746"/>
      <c r="J774" s="746"/>
      <c r="K774" s="746"/>
    </row>
    <row r="775" spans="1:11" ht="14.1" x14ac:dyDescent="0.4">
      <c r="C775" s="836">
        <v>2051</v>
      </c>
      <c r="D775" s="520">
        <v>37</v>
      </c>
      <c r="E775" s="837"/>
      <c r="F775" s="876"/>
      <c r="G775" s="840">
        <v>770.13344748858458</v>
      </c>
      <c r="H775" s="841">
        <v>770.13344748858458</v>
      </c>
    </row>
    <row r="776" spans="1:11" ht="14.1" x14ac:dyDescent="0.4">
      <c r="C776" s="836">
        <v>2052</v>
      </c>
      <c r="D776" s="520">
        <v>38</v>
      </c>
      <c r="E776" s="837"/>
      <c r="F776" s="876"/>
      <c r="G776" s="840">
        <v>784.04748858447499</v>
      </c>
      <c r="H776" s="841">
        <v>784.04748858447499</v>
      </c>
    </row>
    <row r="777" spans="1:11" ht="14.1" x14ac:dyDescent="0.4">
      <c r="C777" s="836">
        <v>2053</v>
      </c>
      <c r="D777" s="520">
        <v>39</v>
      </c>
      <c r="E777" s="837"/>
      <c r="F777" s="876"/>
      <c r="G777" s="840">
        <v>797.9615296803654</v>
      </c>
      <c r="H777" s="841">
        <v>797.9615296803654</v>
      </c>
    </row>
    <row r="778" spans="1:11" ht="14.1" x14ac:dyDescent="0.4">
      <c r="C778" s="836">
        <v>2054</v>
      </c>
      <c r="D778" s="520">
        <v>40</v>
      </c>
      <c r="E778" s="837"/>
      <c r="F778" s="876"/>
      <c r="G778" s="840">
        <v>811.87557077625581</v>
      </c>
      <c r="H778" s="841">
        <v>811.87557077625581</v>
      </c>
    </row>
    <row r="779" spans="1:11" ht="14.1" x14ac:dyDescent="0.4">
      <c r="C779" s="836">
        <v>2055</v>
      </c>
      <c r="D779" s="520">
        <v>41</v>
      </c>
      <c r="E779" s="837"/>
      <c r="F779" s="876"/>
      <c r="G779" s="840">
        <v>825.78961187214622</v>
      </c>
      <c r="H779" s="841">
        <v>825.78961187214622</v>
      </c>
    </row>
    <row r="780" spans="1:11" ht="14.1" x14ac:dyDescent="0.4">
      <c r="C780" s="836">
        <v>2056</v>
      </c>
      <c r="D780" s="520">
        <v>42</v>
      </c>
      <c r="E780" s="837"/>
      <c r="F780" s="876"/>
      <c r="G780" s="840">
        <v>839.70365296803664</v>
      </c>
      <c r="H780" s="841">
        <v>839.70365296803664</v>
      </c>
    </row>
    <row r="781" spans="1:11" ht="14.1" x14ac:dyDescent="0.4">
      <c r="C781" s="836">
        <v>2057</v>
      </c>
      <c r="D781" s="520">
        <v>43</v>
      </c>
      <c r="E781" s="837"/>
      <c r="F781" s="876"/>
      <c r="G781" s="840">
        <v>853.61769406392705</v>
      </c>
      <c r="H781" s="841">
        <v>853.61769406392705</v>
      </c>
    </row>
    <row r="782" spans="1:11" ht="14.1" x14ac:dyDescent="0.4">
      <c r="C782" s="836">
        <v>2058</v>
      </c>
      <c r="D782" s="520">
        <v>44</v>
      </c>
      <c r="E782" s="837"/>
      <c r="F782" s="876"/>
      <c r="G782" s="840">
        <v>867.53173515981746</v>
      </c>
      <c r="H782" s="841">
        <v>867.53173515981746</v>
      </c>
    </row>
    <row r="783" spans="1:11" ht="14.1" x14ac:dyDescent="0.4">
      <c r="C783" s="836">
        <v>2059</v>
      </c>
      <c r="D783" s="520">
        <v>45</v>
      </c>
      <c r="E783" s="837"/>
      <c r="F783" s="876"/>
      <c r="G783" s="840">
        <v>881.44577625570787</v>
      </c>
      <c r="H783" s="841">
        <v>881.44577625570787</v>
      </c>
    </row>
    <row r="784" spans="1:11" ht="14.1" x14ac:dyDescent="0.4">
      <c r="C784" s="843">
        <v>2060</v>
      </c>
      <c r="D784" s="520">
        <v>46</v>
      </c>
      <c r="E784" s="837"/>
      <c r="F784" s="876"/>
      <c r="G784" s="840">
        <v>895.35981735159828</v>
      </c>
      <c r="H784" s="841">
        <v>895.35981735159828</v>
      </c>
    </row>
    <row r="787" spans="1:11" ht="15" x14ac:dyDescent="0.5">
      <c r="A787" s="621" t="str">
        <f ca="1">HYPERLINK("#"&amp;"'"&amp;A$1&amp;"'!a1","Back to top")</f>
        <v>Back to top</v>
      </c>
    </row>
    <row r="790" spans="1:11" ht="15" x14ac:dyDescent="0.5">
      <c r="A790" s="508">
        <v>10</v>
      </c>
      <c r="B790" s="509" t="s">
        <v>974</v>
      </c>
      <c r="C790" s="787"/>
      <c r="D790" s="787"/>
      <c r="E790" s="787"/>
      <c r="F790" s="787"/>
      <c r="G790" s="787"/>
      <c r="H790" s="787"/>
      <c r="I790" s="787"/>
      <c r="J790" s="787"/>
      <c r="K790" s="787"/>
    </row>
    <row r="791" spans="1:11" ht="15" x14ac:dyDescent="0.5">
      <c r="A791" s="510" t="s">
        <v>260</v>
      </c>
      <c r="B791" s="511"/>
      <c r="C791" s="511"/>
      <c r="D791" s="223"/>
      <c r="E791" s="512"/>
      <c r="F791" s="1309"/>
      <c r="G791" s="512"/>
      <c r="H791" s="513"/>
      <c r="I791" s="746"/>
      <c r="J791" s="746"/>
      <c r="K791" s="746"/>
    </row>
    <row r="792" spans="1:11" ht="15.3" thickBot="1" x14ac:dyDescent="0.5">
      <c r="A792" s="872" t="s">
        <v>603</v>
      </c>
      <c r="B792" s="514"/>
      <c r="C792" s="514"/>
      <c r="D792" s="515"/>
      <c r="E792" s="516" t="s">
        <v>222</v>
      </c>
      <c r="F792" s="1310"/>
      <c r="G792" s="873" t="s">
        <v>975</v>
      </c>
      <c r="H792" s="513"/>
      <c r="I792" s="746"/>
      <c r="J792" s="746"/>
      <c r="K792" s="746"/>
    </row>
    <row r="793" spans="1:11" ht="37.200000000000003" thickBot="1" x14ac:dyDescent="0.5">
      <c r="A793" s="517"/>
      <c r="B793" s="517"/>
      <c r="C793" s="517"/>
      <c r="D793" s="518"/>
      <c r="E793" s="873" t="s">
        <v>724</v>
      </c>
      <c r="F793" s="873" t="s">
        <v>664</v>
      </c>
      <c r="G793" s="874" t="s">
        <v>738</v>
      </c>
      <c r="H793" s="873" t="s">
        <v>667</v>
      </c>
      <c r="I793" s="873" t="s">
        <v>666</v>
      </c>
      <c r="J793" s="1297" t="s">
        <v>668</v>
      </c>
      <c r="K793" s="1298"/>
    </row>
    <row r="794" spans="1:11" ht="15" x14ac:dyDescent="0.5">
      <c r="A794" s="510" t="s">
        <v>268</v>
      </c>
      <c r="B794" s="517"/>
      <c r="C794" s="788">
        <v>2005</v>
      </c>
      <c r="D794" s="519">
        <v>-9</v>
      </c>
      <c r="E794" s="875"/>
      <c r="F794" s="876"/>
      <c r="G794" s="877">
        <v>187.14820183326879</v>
      </c>
      <c r="H794" s="878">
        <v>187.14820183326879</v>
      </c>
      <c r="I794" s="1303" t="s">
        <v>269</v>
      </c>
      <c r="J794" s="1299"/>
      <c r="K794" s="1300"/>
    </row>
    <row r="795" spans="1:11" ht="15" x14ac:dyDescent="0.45">
      <c r="A795" s="872" t="s">
        <v>52</v>
      </c>
      <c r="B795" s="517"/>
      <c r="C795" s="836">
        <v>2006</v>
      </c>
      <c r="D795" s="520">
        <v>-8</v>
      </c>
      <c r="E795" s="837"/>
      <c r="F795" s="876"/>
      <c r="G795" s="838">
        <v>191.19672745732788</v>
      </c>
      <c r="H795" s="839">
        <v>191.19672745732788</v>
      </c>
      <c r="I795" s="1304"/>
      <c r="J795" s="1299"/>
      <c r="K795" s="1300"/>
    </row>
    <row r="796" spans="1:11" ht="14.05" customHeight="1" x14ac:dyDescent="0.45">
      <c r="A796" s="517"/>
      <c r="B796" s="517"/>
      <c r="C796" s="836">
        <v>2007</v>
      </c>
      <c r="D796" s="520">
        <v>-7</v>
      </c>
      <c r="E796" s="837"/>
      <c r="F796" s="876"/>
      <c r="G796" s="838">
        <v>195.24525308138698</v>
      </c>
      <c r="H796" s="839">
        <v>195.24525308138698</v>
      </c>
      <c r="I796" s="1304"/>
      <c r="J796" s="1299"/>
      <c r="K796" s="1300"/>
    </row>
    <row r="797" spans="1:11" ht="15" x14ac:dyDescent="0.45">
      <c r="A797" s="676" t="s">
        <v>270</v>
      </c>
      <c r="B797" s="517"/>
      <c r="C797" s="836">
        <v>2008</v>
      </c>
      <c r="D797" s="520">
        <v>-6</v>
      </c>
      <c r="E797" s="837"/>
      <c r="F797" s="876"/>
      <c r="G797" s="838">
        <v>199.2937787054461</v>
      </c>
      <c r="H797" s="839">
        <v>199.2937787054461</v>
      </c>
      <c r="I797" s="1304"/>
      <c r="J797" s="1301"/>
      <c r="K797" s="1302"/>
    </row>
    <row r="798" spans="1:11" ht="14.1" x14ac:dyDescent="0.45">
      <c r="A798" s="1306" t="s">
        <v>604</v>
      </c>
      <c r="B798" s="517"/>
      <c r="C798" s="836">
        <v>2009</v>
      </c>
      <c r="D798" s="520">
        <v>-5</v>
      </c>
      <c r="E798" s="837"/>
      <c r="F798" s="876"/>
      <c r="G798" s="838">
        <v>203.3423043295052</v>
      </c>
      <c r="H798" s="839">
        <v>203.3423043295052</v>
      </c>
      <c r="I798" s="1304"/>
      <c r="J798" s="746"/>
      <c r="K798" s="746"/>
    </row>
    <row r="799" spans="1:11" ht="14.1" x14ac:dyDescent="0.45">
      <c r="A799" s="1307"/>
      <c r="B799" s="517"/>
      <c r="C799" s="836">
        <v>2010</v>
      </c>
      <c r="D799" s="520">
        <v>-4</v>
      </c>
      <c r="E799" s="837"/>
      <c r="F799" s="876"/>
      <c r="G799" s="838">
        <v>207.39082995356432</v>
      </c>
      <c r="H799" s="839">
        <v>207.39082995356432</v>
      </c>
      <c r="I799" s="1304"/>
      <c r="J799" s="746"/>
      <c r="K799" s="746"/>
    </row>
    <row r="800" spans="1:11" ht="14.1" x14ac:dyDescent="0.45">
      <c r="A800" s="1307"/>
      <c r="B800" s="517"/>
      <c r="C800" s="836">
        <v>2011</v>
      </c>
      <c r="D800" s="520">
        <v>-3</v>
      </c>
      <c r="E800" s="837"/>
      <c r="F800" s="876"/>
      <c r="G800" s="838">
        <v>211.43935557762342</v>
      </c>
      <c r="H800" s="839">
        <v>211.43935557762342</v>
      </c>
      <c r="I800" s="1305"/>
      <c r="J800" s="746"/>
      <c r="K800" s="746"/>
    </row>
    <row r="801" spans="1:11" ht="14.1" x14ac:dyDescent="0.45">
      <c r="A801" s="1308"/>
      <c r="B801" s="517"/>
      <c r="C801" s="836">
        <v>2012</v>
      </c>
      <c r="D801" s="520">
        <v>-2</v>
      </c>
      <c r="E801" s="837"/>
      <c r="F801" s="876"/>
      <c r="G801" s="840">
        <v>215.48788120168251</v>
      </c>
      <c r="H801" s="841">
        <v>215.48788120168251</v>
      </c>
      <c r="I801" s="789" t="s">
        <v>272</v>
      </c>
      <c r="J801" s="746"/>
      <c r="K801" s="746"/>
    </row>
    <row r="802" spans="1:11" ht="14.1" x14ac:dyDescent="0.45">
      <c r="A802" s="517"/>
      <c r="B802" s="517"/>
      <c r="C802" s="836">
        <v>2013</v>
      </c>
      <c r="D802" s="520">
        <v>-1</v>
      </c>
      <c r="E802" s="837"/>
      <c r="F802" s="876"/>
      <c r="G802" s="840">
        <v>219.53640682574164</v>
      </c>
      <c r="H802" s="841">
        <v>219.53640682574164</v>
      </c>
      <c r="I802" s="746"/>
      <c r="J802" s="746"/>
      <c r="K802" s="746"/>
    </row>
    <row r="803" spans="1:11" ht="15" x14ac:dyDescent="0.5">
      <c r="A803" s="521" t="s">
        <v>273</v>
      </c>
      <c r="B803" s="517"/>
      <c r="C803" s="836">
        <v>2014</v>
      </c>
      <c r="D803" s="520">
        <v>0</v>
      </c>
      <c r="E803" s="837"/>
      <c r="F803" s="876"/>
      <c r="G803" s="840">
        <v>223.58493244980073</v>
      </c>
      <c r="H803" s="841">
        <v>223.58493244980073</v>
      </c>
      <c r="I803" s="746"/>
      <c r="J803" s="746"/>
      <c r="K803" s="746"/>
    </row>
    <row r="804" spans="1:11" ht="15" x14ac:dyDescent="0.45">
      <c r="A804" s="842">
        <v>2018</v>
      </c>
      <c r="B804" s="514"/>
      <c r="C804" s="836">
        <v>2015</v>
      </c>
      <c r="D804" s="520">
        <v>1</v>
      </c>
      <c r="E804" s="837"/>
      <c r="F804" s="876"/>
      <c r="G804" s="840">
        <v>227.63345807385983</v>
      </c>
      <c r="H804" s="841">
        <v>227.63345807385983</v>
      </c>
      <c r="I804" s="746"/>
      <c r="J804" s="746"/>
      <c r="K804" s="746"/>
    </row>
    <row r="805" spans="1:11" ht="14.1" x14ac:dyDescent="0.45">
      <c r="A805" s="746"/>
      <c r="B805" s="514"/>
      <c r="C805" s="836">
        <v>2016</v>
      </c>
      <c r="D805" s="520">
        <v>2</v>
      </c>
      <c r="E805" s="837">
        <v>230.837827890141</v>
      </c>
      <c r="F805" s="876">
        <v>230.837827890141</v>
      </c>
      <c r="G805" s="840">
        <v>230.837827890141</v>
      </c>
      <c r="H805" s="841">
        <v>230.837827890141</v>
      </c>
      <c r="I805" s="746"/>
      <c r="J805" s="746"/>
      <c r="K805" s="746"/>
    </row>
    <row r="806" spans="1:11" ht="15" x14ac:dyDescent="0.5">
      <c r="A806" s="521" t="s">
        <v>274</v>
      </c>
      <c r="B806" s="514"/>
      <c r="C806" s="836">
        <v>2017</v>
      </c>
      <c r="D806" s="520">
        <v>3</v>
      </c>
      <c r="E806" s="837"/>
      <c r="F806" s="876"/>
      <c r="G806" s="840">
        <v>235.73050932197805</v>
      </c>
      <c r="H806" s="841">
        <v>235.73050932197805</v>
      </c>
      <c r="I806" s="746"/>
      <c r="J806" s="746"/>
      <c r="K806" s="746"/>
    </row>
    <row r="807" spans="1:11" ht="15" x14ac:dyDescent="0.45">
      <c r="A807" s="842" t="s">
        <v>724</v>
      </c>
      <c r="B807" s="514"/>
      <c r="C807" s="836">
        <v>2018</v>
      </c>
      <c r="D807" s="520">
        <v>4</v>
      </c>
      <c r="E807" s="837"/>
      <c r="F807" s="876"/>
      <c r="G807" s="840">
        <v>239.77903494603714</v>
      </c>
      <c r="H807" s="841">
        <v>239.77903494603714</v>
      </c>
      <c r="I807" s="746"/>
      <c r="J807" s="746"/>
      <c r="K807" s="746"/>
    </row>
    <row r="808" spans="1:11" ht="15" x14ac:dyDescent="0.5">
      <c r="A808" s="790"/>
      <c r="B808" s="522"/>
      <c r="C808" s="836">
        <v>2019</v>
      </c>
      <c r="D808" s="520">
        <v>5</v>
      </c>
      <c r="E808" s="837"/>
      <c r="F808" s="876"/>
      <c r="G808" s="840">
        <v>243.82756057009627</v>
      </c>
      <c r="H808" s="841">
        <v>243.82756057009627</v>
      </c>
      <c r="I808" s="746"/>
      <c r="J808" s="746"/>
      <c r="K808" s="746"/>
    </row>
    <row r="809" spans="1:11" ht="15" x14ac:dyDescent="0.45">
      <c r="A809" s="895" t="s">
        <v>275</v>
      </c>
      <c r="B809" s="514"/>
      <c r="C809" s="836">
        <v>2020</v>
      </c>
      <c r="D809" s="520">
        <v>6</v>
      </c>
      <c r="E809" s="837"/>
      <c r="F809" s="876"/>
      <c r="G809" s="840">
        <v>247.87608619415536</v>
      </c>
      <c r="H809" s="841">
        <v>247.87608619415536</v>
      </c>
      <c r="I809" s="746"/>
      <c r="J809" s="746"/>
      <c r="K809" s="746"/>
    </row>
    <row r="810" spans="1:11" ht="15" x14ac:dyDescent="0.45">
      <c r="A810" s="791"/>
      <c r="B810" s="514"/>
      <c r="C810" s="836">
        <v>2021</v>
      </c>
      <c r="D810" s="520">
        <v>7</v>
      </c>
      <c r="E810" s="837"/>
      <c r="F810" s="876"/>
      <c r="G810" s="840">
        <v>251.92461181821449</v>
      </c>
      <c r="H810" s="841">
        <v>251.92461181821449</v>
      </c>
      <c r="I810" s="746"/>
      <c r="J810" s="746"/>
      <c r="K810" s="746"/>
    </row>
    <row r="811" spans="1:11" ht="15" x14ac:dyDescent="0.45">
      <c r="A811" s="892"/>
      <c r="B811" s="514"/>
      <c r="C811" s="836">
        <v>2022</v>
      </c>
      <c r="D811" s="520">
        <v>8</v>
      </c>
      <c r="E811" s="837"/>
      <c r="F811" s="876"/>
      <c r="G811" s="840">
        <v>255.97313744227358</v>
      </c>
      <c r="H811" s="841">
        <v>255.97313744227358</v>
      </c>
      <c r="I811" s="746"/>
      <c r="J811" s="746"/>
      <c r="K811" s="746"/>
    </row>
    <row r="812" spans="1:11" ht="15" x14ac:dyDescent="0.45">
      <c r="A812" s="842"/>
      <c r="B812" s="514"/>
      <c r="C812" s="836">
        <v>2023</v>
      </c>
      <c r="D812" s="520">
        <v>9</v>
      </c>
      <c r="E812" s="837"/>
      <c r="F812" s="876"/>
      <c r="G812" s="840">
        <v>260.02166306633268</v>
      </c>
      <c r="H812" s="841">
        <v>260.02166306633268</v>
      </c>
      <c r="I812" s="746"/>
      <c r="J812" s="746"/>
      <c r="K812" s="746"/>
    </row>
    <row r="813" spans="1:11" ht="14.1" x14ac:dyDescent="0.45">
      <c r="A813" s="514"/>
      <c r="B813" s="514"/>
      <c r="C813" s="836">
        <v>2024</v>
      </c>
      <c r="D813" s="520">
        <v>10</v>
      </c>
      <c r="E813" s="837"/>
      <c r="F813" s="876"/>
      <c r="G813" s="840">
        <v>264.07018869039177</v>
      </c>
      <c r="H813" s="841">
        <v>264.07018869039177</v>
      </c>
      <c r="I813" s="746"/>
      <c r="J813" s="746"/>
      <c r="K813" s="746"/>
    </row>
    <row r="814" spans="1:11" ht="14.1" x14ac:dyDescent="0.45">
      <c r="A814" s="514"/>
      <c r="B814" s="514"/>
      <c r="C814" s="836">
        <v>2025</v>
      </c>
      <c r="D814" s="520">
        <v>11</v>
      </c>
      <c r="E814" s="837"/>
      <c r="F814" s="876"/>
      <c r="G814" s="840">
        <v>268.11871431445093</v>
      </c>
      <c r="H814" s="841">
        <v>268.11871431445093</v>
      </c>
      <c r="I814" s="746"/>
      <c r="J814" s="746"/>
      <c r="K814" s="746"/>
    </row>
    <row r="815" spans="1:11" ht="14.1" x14ac:dyDescent="0.45">
      <c r="A815" s="514"/>
      <c r="B815" s="514"/>
      <c r="C815" s="836">
        <v>2026</v>
      </c>
      <c r="D815" s="520">
        <v>12</v>
      </c>
      <c r="E815" s="837"/>
      <c r="F815" s="876"/>
      <c r="G815" s="840">
        <v>272.16723993851002</v>
      </c>
      <c r="H815" s="841">
        <v>272.16723993851002</v>
      </c>
      <c r="I815" s="746"/>
      <c r="J815" s="746"/>
      <c r="K815" s="746"/>
    </row>
    <row r="816" spans="1:11" ht="14.1" x14ac:dyDescent="0.45">
      <c r="A816" s="514"/>
      <c r="B816" s="514"/>
      <c r="C816" s="836">
        <v>2027</v>
      </c>
      <c r="D816" s="520">
        <v>13</v>
      </c>
      <c r="E816" s="837"/>
      <c r="F816" s="876"/>
      <c r="G816" s="840">
        <v>276.21576556256912</v>
      </c>
      <c r="H816" s="841">
        <v>276.21576556256912</v>
      </c>
      <c r="I816" s="746"/>
      <c r="J816" s="746"/>
      <c r="K816" s="746"/>
    </row>
    <row r="817" spans="1:11" ht="14.1" x14ac:dyDescent="0.45">
      <c r="A817" s="514"/>
      <c r="B817" s="514"/>
      <c r="C817" s="836">
        <v>2028</v>
      </c>
      <c r="D817" s="520">
        <v>14</v>
      </c>
      <c r="E817" s="837"/>
      <c r="F817" s="876"/>
      <c r="G817" s="840">
        <v>280.26429118662821</v>
      </c>
      <c r="H817" s="841">
        <v>280.26429118662821</v>
      </c>
      <c r="I817" s="746"/>
      <c r="J817" s="746"/>
      <c r="K817" s="746"/>
    </row>
    <row r="818" spans="1:11" ht="14.1" x14ac:dyDescent="0.45">
      <c r="A818" s="514"/>
      <c r="B818" s="514"/>
      <c r="C818" s="836">
        <v>2029</v>
      </c>
      <c r="D818" s="520">
        <v>15</v>
      </c>
      <c r="E818" s="837"/>
      <c r="F818" s="876"/>
      <c r="G818" s="840">
        <v>284.31281681068731</v>
      </c>
      <c r="H818" s="841">
        <v>284.31281681068731</v>
      </c>
      <c r="I818" s="746"/>
      <c r="J818" s="746"/>
      <c r="K818" s="746"/>
    </row>
    <row r="819" spans="1:11" ht="14.1" x14ac:dyDescent="0.45">
      <c r="A819" s="514"/>
      <c r="B819" s="514"/>
      <c r="C819" s="836">
        <v>2030</v>
      </c>
      <c r="D819" s="520">
        <v>16</v>
      </c>
      <c r="E819" s="837">
        <v>289.79640730796899</v>
      </c>
      <c r="F819" s="876">
        <v>289.79640730796899</v>
      </c>
      <c r="G819" s="840">
        <v>289.79640730796899</v>
      </c>
      <c r="H819" s="841">
        <v>289.79640730796899</v>
      </c>
      <c r="I819" s="746"/>
      <c r="J819" s="746"/>
      <c r="K819" s="746"/>
    </row>
    <row r="820" spans="1:11" ht="14.1" x14ac:dyDescent="0.45">
      <c r="A820" s="514"/>
      <c r="B820" s="514"/>
      <c r="C820" s="836">
        <v>2031</v>
      </c>
      <c r="D820" s="520">
        <v>17</v>
      </c>
      <c r="E820" s="837"/>
      <c r="F820" s="876"/>
      <c r="G820" s="840">
        <v>292.40986805880556</v>
      </c>
      <c r="H820" s="841">
        <v>292.40986805880556</v>
      </c>
      <c r="I820" s="746"/>
      <c r="J820" s="746"/>
      <c r="K820" s="746"/>
    </row>
    <row r="821" spans="1:11" ht="14.1" x14ac:dyDescent="0.45">
      <c r="A821" s="514"/>
      <c r="B821" s="514"/>
      <c r="C821" s="836">
        <v>2032</v>
      </c>
      <c r="D821" s="520">
        <v>18</v>
      </c>
      <c r="E821" s="837"/>
      <c r="F821" s="876"/>
      <c r="G821" s="840">
        <v>296.45839368286465</v>
      </c>
      <c r="H821" s="841">
        <v>296.45839368286465</v>
      </c>
      <c r="I821" s="746"/>
      <c r="J821" s="746"/>
      <c r="K821" s="746"/>
    </row>
    <row r="822" spans="1:11" ht="14.1" x14ac:dyDescent="0.45">
      <c r="A822" s="522"/>
      <c r="B822" s="522"/>
      <c r="C822" s="836">
        <v>2033</v>
      </c>
      <c r="D822" s="520">
        <v>19</v>
      </c>
      <c r="E822" s="837"/>
      <c r="F822" s="876"/>
      <c r="G822" s="840">
        <v>300.50691930692375</v>
      </c>
      <c r="H822" s="841">
        <v>300.50691930692375</v>
      </c>
      <c r="I822" s="746"/>
      <c r="J822" s="746"/>
      <c r="K822" s="746"/>
    </row>
    <row r="823" spans="1:11" ht="14.1" x14ac:dyDescent="0.45">
      <c r="A823" s="522"/>
      <c r="B823" s="522"/>
      <c r="C823" s="836">
        <v>2034</v>
      </c>
      <c r="D823" s="520">
        <v>20</v>
      </c>
      <c r="E823" s="837"/>
      <c r="F823" s="876"/>
      <c r="G823" s="840">
        <v>304.55544493098284</v>
      </c>
      <c r="H823" s="841">
        <v>304.55544493098284</v>
      </c>
      <c r="I823" s="746"/>
      <c r="J823" s="746"/>
      <c r="K823" s="746"/>
    </row>
    <row r="824" spans="1:11" ht="14.1" x14ac:dyDescent="0.45">
      <c r="A824" s="522"/>
      <c r="B824" s="522"/>
      <c r="C824" s="836">
        <v>2035</v>
      </c>
      <c r="D824" s="520">
        <v>21</v>
      </c>
      <c r="E824" s="837"/>
      <c r="F824" s="876"/>
      <c r="G824" s="840">
        <v>308.603970555042</v>
      </c>
      <c r="H824" s="841">
        <v>308.603970555042</v>
      </c>
      <c r="I824" s="746"/>
      <c r="J824" s="746"/>
      <c r="K824" s="746"/>
    </row>
    <row r="825" spans="1:11" ht="14.1" x14ac:dyDescent="0.45">
      <c r="A825" s="522"/>
      <c r="B825" s="522"/>
      <c r="C825" s="836">
        <v>2036</v>
      </c>
      <c r="D825" s="520">
        <v>22</v>
      </c>
      <c r="E825" s="837"/>
      <c r="F825" s="876"/>
      <c r="G825" s="840">
        <v>312.65249617910104</v>
      </c>
      <c r="H825" s="841">
        <v>312.65249617910104</v>
      </c>
      <c r="I825" s="746"/>
      <c r="J825" s="746"/>
      <c r="K825" s="746"/>
    </row>
    <row r="826" spans="1:11" ht="14.1" x14ac:dyDescent="0.45">
      <c r="A826" s="522"/>
      <c r="B826" s="522"/>
      <c r="C826" s="836">
        <v>2037</v>
      </c>
      <c r="D826" s="520">
        <v>23</v>
      </c>
      <c r="E826" s="837"/>
      <c r="F826" s="876"/>
      <c r="G826" s="840">
        <v>316.70102180316019</v>
      </c>
      <c r="H826" s="841">
        <v>316.70102180316019</v>
      </c>
      <c r="I826" s="746"/>
      <c r="J826" s="746"/>
      <c r="K826" s="746"/>
    </row>
    <row r="827" spans="1:11" ht="14.1" x14ac:dyDescent="0.45">
      <c r="A827" s="522"/>
      <c r="B827" s="522"/>
      <c r="C827" s="836">
        <v>2038</v>
      </c>
      <c r="D827" s="520">
        <v>24</v>
      </c>
      <c r="E827" s="837"/>
      <c r="F827" s="876"/>
      <c r="G827" s="840">
        <v>320.74954742721928</v>
      </c>
      <c r="H827" s="841">
        <v>320.74954742721928</v>
      </c>
      <c r="I827" s="746"/>
      <c r="J827" s="746"/>
      <c r="K827" s="746"/>
    </row>
    <row r="828" spans="1:11" ht="14.1" x14ac:dyDescent="0.45">
      <c r="A828" s="522"/>
      <c r="B828" s="522"/>
      <c r="C828" s="836">
        <v>2039</v>
      </c>
      <c r="D828" s="520">
        <v>25</v>
      </c>
      <c r="E828" s="837"/>
      <c r="F828" s="876"/>
      <c r="G828" s="840">
        <v>324.79807305127838</v>
      </c>
      <c r="H828" s="841">
        <v>324.79807305127838</v>
      </c>
      <c r="I828" s="746"/>
      <c r="J828" s="746"/>
      <c r="K828" s="746"/>
    </row>
    <row r="829" spans="1:11" ht="14.1" x14ac:dyDescent="0.45">
      <c r="A829" s="522"/>
      <c r="B829" s="522"/>
      <c r="C829" s="836">
        <v>2040</v>
      </c>
      <c r="D829" s="520">
        <v>26</v>
      </c>
      <c r="E829" s="837"/>
      <c r="F829" s="876"/>
      <c r="G829" s="840">
        <v>328.84659867533753</v>
      </c>
      <c r="H829" s="841">
        <v>328.84659867533753</v>
      </c>
      <c r="I829" s="746"/>
      <c r="J829" s="746"/>
      <c r="K829" s="746"/>
    </row>
    <row r="830" spans="1:11" ht="14.1" x14ac:dyDescent="0.45">
      <c r="A830" s="522"/>
      <c r="B830" s="522"/>
      <c r="C830" s="836">
        <v>2041</v>
      </c>
      <c r="D830" s="520">
        <v>27</v>
      </c>
      <c r="E830" s="837"/>
      <c r="F830" s="876"/>
      <c r="G830" s="840">
        <v>332.89512429939657</v>
      </c>
      <c r="H830" s="841">
        <v>332.89512429939657</v>
      </c>
      <c r="I830" s="746"/>
      <c r="J830" s="746"/>
      <c r="K830" s="746"/>
    </row>
    <row r="831" spans="1:11" ht="14.1" x14ac:dyDescent="0.45">
      <c r="A831" s="522"/>
      <c r="B831" s="522"/>
      <c r="C831" s="836">
        <v>2042</v>
      </c>
      <c r="D831" s="520">
        <v>28</v>
      </c>
      <c r="E831" s="837"/>
      <c r="F831" s="876"/>
      <c r="G831" s="840">
        <v>336.94364992345572</v>
      </c>
      <c r="H831" s="841">
        <v>336.94364992345572</v>
      </c>
      <c r="I831" s="746"/>
      <c r="J831" s="746"/>
      <c r="K831" s="746"/>
    </row>
    <row r="832" spans="1:11" ht="14.1" x14ac:dyDescent="0.45">
      <c r="A832" s="522"/>
      <c r="B832" s="522"/>
      <c r="C832" s="836">
        <v>2043</v>
      </c>
      <c r="D832" s="520">
        <v>29</v>
      </c>
      <c r="E832" s="837"/>
      <c r="F832" s="876"/>
      <c r="G832" s="840">
        <v>340.99217554751482</v>
      </c>
      <c r="H832" s="841">
        <v>340.99217554751482</v>
      </c>
      <c r="I832" s="746"/>
      <c r="J832" s="746"/>
      <c r="K832" s="746"/>
    </row>
    <row r="833" spans="1:11" ht="14.1" x14ac:dyDescent="0.45">
      <c r="A833" s="522"/>
      <c r="B833" s="522"/>
      <c r="C833" s="836">
        <v>2044</v>
      </c>
      <c r="D833" s="520">
        <v>30</v>
      </c>
      <c r="E833" s="837"/>
      <c r="F833" s="876"/>
      <c r="G833" s="840">
        <v>345.04070117157391</v>
      </c>
      <c r="H833" s="841">
        <v>345.04070117157391</v>
      </c>
      <c r="I833" s="746"/>
      <c r="J833" s="746"/>
      <c r="K833" s="746"/>
    </row>
    <row r="834" spans="1:11" ht="14.1" x14ac:dyDescent="0.45">
      <c r="A834" s="522"/>
      <c r="B834" s="522"/>
      <c r="C834" s="836">
        <v>2045</v>
      </c>
      <c r="D834" s="520">
        <v>31</v>
      </c>
      <c r="E834" s="837"/>
      <c r="F834" s="876"/>
      <c r="G834" s="840">
        <v>349.08922679563301</v>
      </c>
      <c r="H834" s="841">
        <v>349.08922679563301</v>
      </c>
      <c r="I834" s="746"/>
      <c r="J834" s="746"/>
      <c r="K834" s="746"/>
    </row>
    <row r="835" spans="1:11" ht="14.1" x14ac:dyDescent="0.45">
      <c r="A835" s="522"/>
      <c r="B835" s="522"/>
      <c r="C835" s="836">
        <v>2046</v>
      </c>
      <c r="D835" s="520">
        <v>32</v>
      </c>
      <c r="E835" s="837"/>
      <c r="F835" s="876"/>
      <c r="G835" s="840">
        <v>353.13775241969211</v>
      </c>
      <c r="H835" s="841">
        <v>353.13775241969211</v>
      </c>
      <c r="I835" s="746"/>
      <c r="J835" s="746"/>
      <c r="K835" s="746"/>
    </row>
    <row r="836" spans="1:11" ht="14.1" x14ac:dyDescent="0.45">
      <c r="A836" s="523"/>
      <c r="B836" s="524"/>
      <c r="C836" s="836">
        <v>2047</v>
      </c>
      <c r="D836" s="520">
        <v>33</v>
      </c>
      <c r="E836" s="837"/>
      <c r="F836" s="876"/>
      <c r="G836" s="840">
        <v>357.18627804375126</v>
      </c>
      <c r="H836" s="841">
        <v>357.18627804375126</v>
      </c>
      <c r="I836" s="746"/>
      <c r="J836" s="746"/>
      <c r="K836" s="746"/>
    </row>
    <row r="837" spans="1:11" ht="14.1" x14ac:dyDescent="0.45">
      <c r="A837" s="746"/>
      <c r="B837" s="524"/>
      <c r="C837" s="836">
        <v>2048</v>
      </c>
      <c r="D837" s="520">
        <v>34</v>
      </c>
      <c r="E837" s="837"/>
      <c r="F837" s="876"/>
      <c r="G837" s="840">
        <v>361.23480366781035</v>
      </c>
      <c r="H837" s="841">
        <v>361.23480366781035</v>
      </c>
      <c r="I837" s="746"/>
      <c r="J837" s="746"/>
      <c r="K837" s="746"/>
    </row>
    <row r="838" spans="1:11" ht="14.1" x14ac:dyDescent="0.4">
      <c r="A838" s="746"/>
      <c r="B838" s="746"/>
      <c r="C838" s="836">
        <v>2049</v>
      </c>
      <c r="D838" s="520">
        <v>35</v>
      </c>
      <c r="E838" s="837"/>
      <c r="F838" s="876"/>
      <c r="G838" s="840">
        <v>365.28332929186945</v>
      </c>
      <c r="H838" s="841">
        <v>365.28332929186945</v>
      </c>
      <c r="I838" s="746"/>
      <c r="J838" s="746"/>
      <c r="K838" s="746"/>
    </row>
    <row r="839" spans="1:11" ht="14.1" x14ac:dyDescent="0.4">
      <c r="A839" s="746"/>
      <c r="B839" s="746"/>
      <c r="C839" s="836">
        <v>2050</v>
      </c>
      <c r="D839" s="520">
        <v>36</v>
      </c>
      <c r="E839" s="837">
        <v>368.74094585048402</v>
      </c>
      <c r="F839" s="876">
        <v>368.74094585048402</v>
      </c>
      <c r="G839" s="840">
        <v>368.74094585048402</v>
      </c>
      <c r="H839" s="841">
        <v>368.74094585048402</v>
      </c>
      <c r="I839" s="746"/>
      <c r="J839" s="746"/>
      <c r="K839" s="746"/>
    </row>
    <row r="840" spans="1:11" ht="14.1" x14ac:dyDescent="0.4">
      <c r="C840" s="836">
        <v>2051</v>
      </c>
      <c r="D840" s="520">
        <v>37</v>
      </c>
      <c r="E840" s="837"/>
      <c r="F840" s="876"/>
      <c r="G840" s="840">
        <v>373.38038053998764</v>
      </c>
      <c r="H840" s="841">
        <v>373.38038053998764</v>
      </c>
    </row>
    <row r="841" spans="1:11" ht="14.1" x14ac:dyDescent="0.4">
      <c r="C841" s="836">
        <v>2052</v>
      </c>
      <c r="D841" s="520">
        <v>38</v>
      </c>
      <c r="E841" s="837"/>
      <c r="F841" s="876"/>
      <c r="G841" s="840">
        <v>377.42890616404679</v>
      </c>
      <c r="H841" s="841">
        <v>377.42890616404679</v>
      </c>
    </row>
    <row r="842" spans="1:11" ht="14.1" x14ac:dyDescent="0.4">
      <c r="C842" s="836">
        <v>2053</v>
      </c>
      <c r="D842" s="520">
        <v>39</v>
      </c>
      <c r="E842" s="837"/>
      <c r="F842" s="876"/>
      <c r="G842" s="840">
        <v>381.47743178810589</v>
      </c>
      <c r="H842" s="841">
        <v>381.47743178810589</v>
      </c>
    </row>
    <row r="843" spans="1:11" ht="14.1" x14ac:dyDescent="0.4">
      <c r="C843" s="836">
        <v>2054</v>
      </c>
      <c r="D843" s="520">
        <v>40</v>
      </c>
      <c r="E843" s="837"/>
      <c r="F843" s="876"/>
      <c r="G843" s="840">
        <v>385.52595741216498</v>
      </c>
      <c r="H843" s="841">
        <v>385.52595741216498</v>
      </c>
    </row>
    <row r="844" spans="1:11" ht="14.1" x14ac:dyDescent="0.4">
      <c r="C844" s="836">
        <v>2055</v>
      </c>
      <c r="D844" s="520">
        <v>41</v>
      </c>
      <c r="E844" s="837"/>
      <c r="F844" s="876"/>
      <c r="G844" s="840">
        <v>389.57448303622408</v>
      </c>
      <c r="H844" s="841">
        <v>389.57448303622408</v>
      </c>
    </row>
    <row r="845" spans="1:11" ht="14.1" x14ac:dyDescent="0.4">
      <c r="C845" s="836">
        <v>2056</v>
      </c>
      <c r="D845" s="520">
        <v>42</v>
      </c>
      <c r="E845" s="837"/>
      <c r="F845" s="876"/>
      <c r="G845" s="840">
        <v>393.62300866028318</v>
      </c>
      <c r="H845" s="841">
        <v>393.62300866028318</v>
      </c>
    </row>
    <row r="846" spans="1:11" ht="14.1" x14ac:dyDescent="0.4">
      <c r="C846" s="836">
        <v>2057</v>
      </c>
      <c r="D846" s="520">
        <v>43</v>
      </c>
      <c r="E846" s="837"/>
      <c r="F846" s="876"/>
      <c r="G846" s="840">
        <v>397.67153428434233</v>
      </c>
      <c r="H846" s="841">
        <v>397.67153428434233</v>
      </c>
    </row>
    <row r="847" spans="1:11" ht="14.1" x14ac:dyDescent="0.4">
      <c r="C847" s="836">
        <v>2058</v>
      </c>
      <c r="D847" s="520">
        <v>44</v>
      </c>
      <c r="E847" s="837"/>
      <c r="F847" s="876"/>
      <c r="G847" s="840">
        <v>401.72005990840137</v>
      </c>
      <c r="H847" s="841">
        <v>401.72005990840137</v>
      </c>
    </row>
    <row r="848" spans="1:11" ht="14.1" x14ac:dyDescent="0.4">
      <c r="C848" s="836">
        <v>2059</v>
      </c>
      <c r="D848" s="520">
        <v>45</v>
      </c>
      <c r="E848" s="837"/>
      <c r="F848" s="876"/>
      <c r="G848" s="840">
        <v>405.76858553246052</v>
      </c>
      <c r="H848" s="841">
        <v>405.76858553246052</v>
      </c>
    </row>
    <row r="849" spans="1:11" ht="14.1" x14ac:dyDescent="0.4">
      <c r="C849" s="843">
        <v>2060</v>
      </c>
      <c r="D849" s="520">
        <v>46</v>
      </c>
      <c r="E849" s="837"/>
      <c r="F849" s="876"/>
      <c r="G849" s="840">
        <v>409.81711115651962</v>
      </c>
      <c r="H849" s="841">
        <v>409.81711115651962</v>
      </c>
    </row>
    <row r="852" spans="1:11" ht="15" x14ac:dyDescent="0.5">
      <c r="A852" s="621" t="str">
        <f ca="1">HYPERLINK("#"&amp;"'"&amp;A$1&amp;"'!a1","Back to top")</f>
        <v>Back to top</v>
      </c>
    </row>
    <row r="855" spans="1:11" ht="15" hidden="1" x14ac:dyDescent="0.5">
      <c r="A855" s="508">
        <v>11</v>
      </c>
      <c r="B855" s="509" t="s">
        <v>978</v>
      </c>
      <c r="C855" s="787"/>
      <c r="D855" s="787"/>
      <c r="E855" s="787"/>
      <c r="F855" s="787"/>
      <c r="G855" s="787"/>
      <c r="H855" s="787"/>
      <c r="I855" s="787"/>
      <c r="J855" s="787"/>
      <c r="K855" s="787"/>
    </row>
    <row r="856" spans="1:11" ht="15" hidden="1" x14ac:dyDescent="0.5">
      <c r="A856" s="510" t="s">
        <v>260</v>
      </c>
      <c r="B856" s="511"/>
      <c r="C856" s="511"/>
      <c r="D856" s="223"/>
      <c r="E856" s="512"/>
      <c r="F856" s="1309"/>
      <c r="G856" s="512"/>
      <c r="H856" s="513"/>
      <c r="I856" s="746"/>
      <c r="J856" s="746"/>
      <c r="K856" s="746"/>
    </row>
    <row r="857" spans="1:11" ht="15.3" hidden="1" thickBot="1" x14ac:dyDescent="0.5">
      <c r="A857" s="872" t="s">
        <v>603</v>
      </c>
      <c r="B857" s="514"/>
      <c r="C857" s="514"/>
      <c r="D857" s="515"/>
      <c r="E857" s="516" t="s">
        <v>222</v>
      </c>
      <c r="F857" s="1310"/>
      <c r="G857" s="873" t="e">
        <v>#DIV/0!</v>
      </c>
      <c r="H857" s="513"/>
      <c r="I857" s="746"/>
      <c r="J857" s="746"/>
      <c r="K857" s="746"/>
    </row>
    <row r="858" spans="1:11" ht="37.200000000000003" hidden="1" thickBot="1" x14ac:dyDescent="0.5">
      <c r="A858" s="517"/>
      <c r="B858" s="517"/>
      <c r="C858" s="517"/>
      <c r="D858" s="518"/>
      <c r="E858" s="873" t="s">
        <v>977</v>
      </c>
      <c r="F858" s="873" t="s">
        <v>664</v>
      </c>
      <c r="G858" s="874" t="s">
        <v>738</v>
      </c>
      <c r="H858" s="873" t="s">
        <v>667</v>
      </c>
      <c r="I858" s="873" t="s">
        <v>666</v>
      </c>
      <c r="J858" s="1297" t="s">
        <v>668</v>
      </c>
      <c r="K858" s="1298"/>
    </row>
    <row r="859" spans="1:11" ht="15" hidden="1" x14ac:dyDescent="0.5">
      <c r="A859" s="510" t="s">
        <v>268</v>
      </c>
      <c r="B859" s="517"/>
      <c r="C859" s="788">
        <v>2000</v>
      </c>
      <c r="D859" s="519">
        <v>-14</v>
      </c>
      <c r="E859" s="875">
        <v>409.4</v>
      </c>
      <c r="F859" s="876">
        <v>409.4</v>
      </c>
      <c r="G859" s="877">
        <v>409.4</v>
      </c>
      <c r="H859" s="878">
        <v>409.4</v>
      </c>
      <c r="I859" s="1303" t="s">
        <v>269</v>
      </c>
      <c r="J859" s="1299"/>
      <c r="K859" s="1300"/>
    </row>
    <row r="860" spans="1:11" ht="15" hidden="1" x14ac:dyDescent="0.45">
      <c r="A860" s="872" t="s">
        <v>36</v>
      </c>
      <c r="B860" s="517"/>
      <c r="C860" s="836">
        <v>2001</v>
      </c>
      <c r="D860" s="520">
        <v>-13</v>
      </c>
      <c r="E860" s="837"/>
      <c r="F860" s="876"/>
      <c r="G860" s="838">
        <v>519.13999999999987</v>
      </c>
      <c r="H860" s="839">
        <v>519.13999999999987</v>
      </c>
      <c r="I860" s="1304"/>
      <c r="J860" s="1299"/>
      <c r="K860" s="1300"/>
    </row>
    <row r="861" spans="1:11" ht="14.05" hidden="1" customHeight="1" x14ac:dyDescent="0.45">
      <c r="A861" s="517"/>
      <c r="B861" s="517"/>
      <c r="C861" s="836">
        <v>2002</v>
      </c>
      <c r="D861" s="520">
        <v>-12</v>
      </c>
      <c r="E861" s="837"/>
      <c r="F861" s="876"/>
      <c r="G861" s="838">
        <v>537.42999999999995</v>
      </c>
      <c r="H861" s="839">
        <v>537.42999999999995</v>
      </c>
      <c r="I861" s="1304"/>
      <c r="J861" s="1299"/>
      <c r="K861" s="1300"/>
    </row>
    <row r="862" spans="1:11" ht="15" hidden="1" x14ac:dyDescent="0.45">
      <c r="A862" s="676" t="s">
        <v>270</v>
      </c>
      <c r="B862" s="517"/>
      <c r="C862" s="836">
        <v>2003</v>
      </c>
      <c r="D862" s="520">
        <v>-11</v>
      </c>
      <c r="E862" s="837"/>
      <c r="F862" s="876"/>
      <c r="G862" s="838">
        <v>555.71999999999991</v>
      </c>
      <c r="H862" s="839">
        <v>555.71999999999991</v>
      </c>
      <c r="I862" s="1304"/>
      <c r="J862" s="1301"/>
      <c r="K862" s="1302"/>
    </row>
    <row r="863" spans="1:11" ht="14.1" hidden="1" x14ac:dyDescent="0.45">
      <c r="A863" s="1306" t="s">
        <v>725</v>
      </c>
      <c r="B863" s="517"/>
      <c r="C863" s="836">
        <v>2004</v>
      </c>
      <c r="D863" s="520">
        <v>-10</v>
      </c>
      <c r="E863" s="837"/>
      <c r="F863" s="876"/>
      <c r="G863" s="838">
        <v>574.01</v>
      </c>
      <c r="H863" s="839">
        <v>574.01</v>
      </c>
      <c r="I863" s="1304"/>
      <c r="J863" s="746"/>
      <c r="K863" s="746"/>
    </row>
    <row r="864" spans="1:11" ht="14.1" hidden="1" x14ac:dyDescent="0.45">
      <c r="A864" s="1307"/>
      <c r="B864" s="517"/>
      <c r="C864" s="836">
        <v>2005</v>
      </c>
      <c r="D864" s="520">
        <v>-9</v>
      </c>
      <c r="E864" s="837"/>
      <c r="F864" s="876"/>
      <c r="G864" s="838">
        <v>592.29999999999995</v>
      </c>
      <c r="H864" s="839">
        <v>592.29999999999995</v>
      </c>
      <c r="I864" s="1304"/>
      <c r="J864" s="746"/>
      <c r="K864" s="746"/>
    </row>
    <row r="865" spans="1:11" ht="14.1" hidden="1" x14ac:dyDescent="0.45">
      <c r="A865" s="1307"/>
      <c r="B865" s="517"/>
      <c r="C865" s="836">
        <v>2006</v>
      </c>
      <c r="D865" s="520">
        <v>-8</v>
      </c>
      <c r="E865" s="837"/>
      <c r="F865" s="876"/>
      <c r="G865" s="838">
        <v>610.58999999999992</v>
      </c>
      <c r="H865" s="839">
        <v>610.58999999999992</v>
      </c>
      <c r="I865" s="1305"/>
      <c r="J865" s="746"/>
      <c r="K865" s="746"/>
    </row>
    <row r="866" spans="1:11" ht="14.1" hidden="1" x14ac:dyDescent="0.45">
      <c r="A866" s="1308"/>
      <c r="B866" s="517"/>
      <c r="C866" s="836">
        <v>2007</v>
      </c>
      <c r="D866" s="520">
        <v>-7</v>
      </c>
      <c r="E866" s="837"/>
      <c r="F866" s="876"/>
      <c r="G866" s="840">
        <v>628.87999999999988</v>
      </c>
      <c r="H866" s="841">
        <v>628.87999999999988</v>
      </c>
      <c r="I866" s="789" t="s">
        <v>272</v>
      </c>
      <c r="J866" s="746"/>
      <c r="K866" s="746"/>
    </row>
    <row r="867" spans="1:11" ht="14.1" hidden="1" x14ac:dyDescent="0.45">
      <c r="A867" s="517"/>
      <c r="B867" s="517"/>
      <c r="C867" s="836">
        <v>2008</v>
      </c>
      <c r="D867" s="520">
        <v>-6</v>
      </c>
      <c r="E867" s="837"/>
      <c r="F867" s="876"/>
      <c r="G867" s="840">
        <v>647.16999999999996</v>
      </c>
      <c r="H867" s="841">
        <v>647.16999999999996</v>
      </c>
      <c r="I867" s="746"/>
      <c r="J867" s="746"/>
      <c r="K867" s="746"/>
    </row>
    <row r="868" spans="1:11" ht="15" hidden="1" x14ac:dyDescent="0.5">
      <c r="A868" s="521" t="s">
        <v>273</v>
      </c>
      <c r="B868" s="517"/>
      <c r="C868" s="836">
        <v>2009</v>
      </c>
      <c r="D868" s="520">
        <v>-5</v>
      </c>
      <c r="E868" s="837"/>
      <c r="F868" s="876"/>
      <c r="G868" s="840">
        <v>665.45999999999992</v>
      </c>
      <c r="H868" s="841">
        <v>665.45999999999992</v>
      </c>
      <c r="I868" s="746"/>
      <c r="J868" s="746"/>
      <c r="K868" s="746"/>
    </row>
    <row r="869" spans="1:11" ht="15" hidden="1" x14ac:dyDescent="0.45">
      <c r="A869" s="842">
        <v>2019</v>
      </c>
      <c r="B869" s="514"/>
      <c r="C869" s="836">
        <v>2010</v>
      </c>
      <c r="D869" s="520">
        <v>-4</v>
      </c>
      <c r="E869" s="837">
        <v>592.29999999999995</v>
      </c>
      <c r="F869" s="876">
        <v>592.29999999999995</v>
      </c>
      <c r="G869" s="840">
        <v>592.29999999999995</v>
      </c>
      <c r="H869" s="841">
        <v>592.29999999999995</v>
      </c>
      <c r="I869" s="746"/>
      <c r="J869" s="746"/>
      <c r="K869" s="746"/>
    </row>
    <row r="870" spans="1:11" ht="14.1" hidden="1" x14ac:dyDescent="0.45">
      <c r="A870" s="746"/>
      <c r="B870" s="514"/>
      <c r="C870" s="836">
        <v>2011</v>
      </c>
      <c r="D870" s="520">
        <v>-3</v>
      </c>
      <c r="E870" s="837"/>
      <c r="F870" s="876"/>
      <c r="G870" s="840">
        <v>702.04</v>
      </c>
      <c r="H870" s="841">
        <v>702.04</v>
      </c>
      <c r="I870" s="746"/>
      <c r="J870" s="746"/>
      <c r="K870" s="746"/>
    </row>
    <row r="871" spans="1:11" ht="15" hidden="1" x14ac:dyDescent="0.5">
      <c r="A871" s="521" t="s">
        <v>274</v>
      </c>
      <c r="B871" s="514"/>
      <c r="C871" s="836">
        <v>2012</v>
      </c>
      <c r="D871" s="520">
        <v>-2</v>
      </c>
      <c r="E871" s="837"/>
      <c r="F871" s="876"/>
      <c r="G871" s="840">
        <v>720.32999999999993</v>
      </c>
      <c r="H871" s="841">
        <v>720.32999999999993</v>
      </c>
      <c r="I871" s="746"/>
      <c r="J871" s="746"/>
      <c r="K871" s="746"/>
    </row>
    <row r="872" spans="1:11" ht="15" hidden="1" x14ac:dyDescent="0.45">
      <c r="A872" s="842" t="s">
        <v>977</v>
      </c>
      <c r="B872" s="514"/>
      <c r="C872" s="836">
        <v>2013</v>
      </c>
      <c r="D872" s="520">
        <v>-1</v>
      </c>
      <c r="E872" s="837"/>
      <c r="F872" s="876"/>
      <c r="G872" s="840">
        <v>738.61999999999989</v>
      </c>
      <c r="H872" s="841">
        <v>738.61999999999989</v>
      </c>
      <c r="I872" s="746"/>
      <c r="J872" s="746"/>
      <c r="K872" s="746"/>
    </row>
    <row r="873" spans="1:11" ht="15" hidden="1" x14ac:dyDescent="0.5">
      <c r="A873" s="790"/>
      <c r="B873" s="522"/>
      <c r="C873" s="836">
        <v>2014</v>
      </c>
      <c r="D873" s="520">
        <v>0</v>
      </c>
      <c r="E873" s="837"/>
      <c r="F873" s="876"/>
      <c r="G873" s="840">
        <v>756.90999999999985</v>
      </c>
      <c r="H873" s="841">
        <v>756.90999999999985</v>
      </c>
      <c r="I873" s="746"/>
      <c r="J873" s="746"/>
      <c r="K873" s="746"/>
    </row>
    <row r="874" spans="1:11" ht="15" hidden="1" x14ac:dyDescent="0.45">
      <c r="A874" s="895" t="s">
        <v>275</v>
      </c>
      <c r="B874" s="514"/>
      <c r="C874" s="836">
        <v>2015</v>
      </c>
      <c r="D874" s="520">
        <v>1</v>
      </c>
      <c r="E874" s="837"/>
      <c r="F874" s="876"/>
      <c r="G874" s="840">
        <v>775.19999999999993</v>
      </c>
      <c r="H874" s="841">
        <v>775.19999999999993</v>
      </c>
      <c r="I874" s="746"/>
      <c r="J874" s="746"/>
      <c r="K874" s="746"/>
    </row>
    <row r="875" spans="1:11" ht="15" hidden="1" x14ac:dyDescent="0.45">
      <c r="A875" s="791"/>
      <c r="B875" s="514"/>
      <c r="C875" s="836">
        <v>2016</v>
      </c>
      <c r="D875" s="520">
        <v>2</v>
      </c>
      <c r="E875" s="837"/>
      <c r="F875" s="876"/>
      <c r="G875" s="840">
        <v>793.4899999999999</v>
      </c>
      <c r="H875" s="841">
        <v>793.4899999999999</v>
      </c>
      <c r="I875" s="746"/>
      <c r="J875" s="746"/>
      <c r="K875" s="746"/>
    </row>
    <row r="876" spans="1:11" ht="15" hidden="1" x14ac:dyDescent="0.45">
      <c r="A876" s="892"/>
      <c r="B876" s="514"/>
      <c r="C876" s="836">
        <v>2017</v>
      </c>
      <c r="D876" s="520">
        <v>3</v>
      </c>
      <c r="E876" s="837"/>
      <c r="F876" s="876"/>
      <c r="G876" s="840">
        <v>811.78</v>
      </c>
      <c r="H876" s="841">
        <v>811.78</v>
      </c>
      <c r="I876" s="746"/>
      <c r="J876" s="746"/>
      <c r="K876" s="746"/>
    </row>
    <row r="877" spans="1:11" ht="15" hidden="1" x14ac:dyDescent="0.45">
      <c r="A877" s="842"/>
      <c r="B877" s="514"/>
      <c r="C877" s="836">
        <v>2018</v>
      </c>
      <c r="D877" s="520">
        <v>4</v>
      </c>
      <c r="E877" s="837"/>
      <c r="F877" s="876"/>
      <c r="G877" s="840">
        <v>830.06999999999994</v>
      </c>
      <c r="H877" s="841">
        <v>830.06999999999994</v>
      </c>
      <c r="I877" s="746"/>
      <c r="J877" s="746"/>
      <c r="K877" s="746"/>
    </row>
    <row r="878" spans="1:11" ht="14.1" hidden="1" x14ac:dyDescent="0.45">
      <c r="A878" s="514"/>
      <c r="B878" s="514"/>
      <c r="C878" s="836">
        <v>2019</v>
      </c>
      <c r="D878" s="520">
        <v>5</v>
      </c>
      <c r="E878" s="837"/>
      <c r="F878" s="876"/>
      <c r="G878" s="840">
        <v>848.3599999999999</v>
      </c>
      <c r="H878" s="841">
        <v>848.3599999999999</v>
      </c>
      <c r="I878" s="746"/>
      <c r="J878" s="746"/>
      <c r="K878" s="746"/>
    </row>
    <row r="879" spans="1:11" ht="14.1" hidden="1" x14ac:dyDescent="0.45">
      <c r="A879" s="514"/>
      <c r="B879" s="514"/>
      <c r="C879" s="836">
        <v>2020</v>
      </c>
      <c r="D879" s="520">
        <v>6</v>
      </c>
      <c r="E879" s="837"/>
      <c r="F879" s="876"/>
      <c r="G879" s="840">
        <v>866.64999999999986</v>
      </c>
      <c r="H879" s="841">
        <v>866.64999999999986</v>
      </c>
      <c r="I879" s="746"/>
      <c r="J879" s="746"/>
      <c r="K879" s="746"/>
    </row>
    <row r="880" spans="1:11" ht="14.1" hidden="1" x14ac:dyDescent="0.45">
      <c r="A880" s="514"/>
      <c r="B880" s="514"/>
      <c r="C880" s="836">
        <v>2021</v>
      </c>
      <c r="D880" s="520">
        <v>7</v>
      </c>
      <c r="E880" s="837"/>
      <c r="F880" s="876"/>
      <c r="G880" s="840">
        <v>884.93999999999994</v>
      </c>
      <c r="H880" s="841">
        <v>884.93999999999994</v>
      </c>
      <c r="I880" s="746"/>
      <c r="J880" s="746"/>
      <c r="K880" s="746"/>
    </row>
    <row r="881" spans="1:11" ht="14.1" hidden="1" x14ac:dyDescent="0.45">
      <c r="A881" s="514"/>
      <c r="B881" s="514"/>
      <c r="C881" s="836">
        <v>2022</v>
      </c>
      <c r="D881" s="520">
        <v>8</v>
      </c>
      <c r="E881" s="837"/>
      <c r="F881" s="876"/>
      <c r="G881" s="840">
        <v>903.2299999999999</v>
      </c>
      <c r="H881" s="841">
        <v>903.2299999999999</v>
      </c>
      <c r="I881" s="746"/>
      <c r="J881" s="746"/>
      <c r="K881" s="746"/>
    </row>
    <row r="882" spans="1:11" ht="14.1" hidden="1" x14ac:dyDescent="0.45">
      <c r="A882" s="514"/>
      <c r="B882" s="514"/>
      <c r="C882" s="836">
        <v>2023</v>
      </c>
      <c r="D882" s="520">
        <v>9</v>
      </c>
      <c r="E882" s="837"/>
      <c r="F882" s="876"/>
      <c r="G882" s="840">
        <v>921.52</v>
      </c>
      <c r="H882" s="841">
        <v>921.52</v>
      </c>
      <c r="I882" s="746"/>
      <c r="J882" s="746"/>
      <c r="K882" s="746"/>
    </row>
    <row r="883" spans="1:11" ht="14.1" hidden="1" x14ac:dyDescent="0.45">
      <c r="A883" s="514"/>
      <c r="B883" s="514"/>
      <c r="C883" s="836">
        <v>2024</v>
      </c>
      <c r="D883" s="520">
        <v>10</v>
      </c>
      <c r="E883" s="837"/>
      <c r="F883" s="876"/>
      <c r="G883" s="840">
        <v>939.81</v>
      </c>
      <c r="H883" s="841">
        <v>939.81</v>
      </c>
      <c r="I883" s="746"/>
      <c r="J883" s="746"/>
      <c r="K883" s="746"/>
    </row>
    <row r="884" spans="1:11" ht="14.1" hidden="1" x14ac:dyDescent="0.45">
      <c r="A884" s="514"/>
      <c r="B884" s="514"/>
      <c r="C884" s="836">
        <v>2025</v>
      </c>
      <c r="D884" s="520">
        <v>11</v>
      </c>
      <c r="E884" s="837"/>
      <c r="F884" s="876"/>
      <c r="G884" s="840">
        <v>958.09999999999991</v>
      </c>
      <c r="H884" s="841">
        <v>958.09999999999991</v>
      </c>
      <c r="I884" s="746"/>
      <c r="J884" s="746"/>
      <c r="K884" s="746"/>
    </row>
    <row r="885" spans="1:11" ht="14.1" hidden="1" x14ac:dyDescent="0.45">
      <c r="A885" s="514"/>
      <c r="B885" s="514"/>
      <c r="C885" s="836">
        <v>2026</v>
      </c>
      <c r="D885" s="520">
        <v>12</v>
      </c>
      <c r="E885" s="837"/>
      <c r="F885" s="876"/>
      <c r="G885" s="840">
        <v>976.38999999999987</v>
      </c>
      <c r="H885" s="841">
        <v>976.38999999999987</v>
      </c>
      <c r="I885" s="746"/>
      <c r="J885" s="746"/>
      <c r="K885" s="746"/>
    </row>
    <row r="886" spans="1:11" ht="14.1" hidden="1" x14ac:dyDescent="0.45">
      <c r="A886" s="514"/>
      <c r="B886" s="514"/>
      <c r="C886" s="836">
        <v>2027</v>
      </c>
      <c r="D886" s="520">
        <v>13</v>
      </c>
      <c r="E886" s="837"/>
      <c r="F886" s="876"/>
      <c r="G886" s="840">
        <v>994.67999999999984</v>
      </c>
      <c r="H886" s="841">
        <v>994.67999999999984</v>
      </c>
      <c r="I886" s="746"/>
      <c r="J886" s="746"/>
      <c r="K886" s="746"/>
    </row>
    <row r="887" spans="1:11" ht="14.1" hidden="1" x14ac:dyDescent="0.45">
      <c r="A887" s="522"/>
      <c r="B887" s="522"/>
      <c r="C887" s="836">
        <v>2028</v>
      </c>
      <c r="D887" s="520">
        <v>14</v>
      </c>
      <c r="E887" s="837"/>
      <c r="F887" s="876"/>
      <c r="G887" s="840">
        <v>1012.9699999999999</v>
      </c>
      <c r="H887" s="841">
        <v>1012.9699999999999</v>
      </c>
      <c r="I887" s="746"/>
      <c r="J887" s="746"/>
      <c r="K887" s="746"/>
    </row>
    <row r="888" spans="1:11" ht="14.1" hidden="1" x14ac:dyDescent="0.45">
      <c r="A888" s="522"/>
      <c r="B888" s="522"/>
      <c r="C888" s="836">
        <v>2029</v>
      </c>
      <c r="D888" s="520">
        <v>15</v>
      </c>
      <c r="E888" s="837"/>
      <c r="F888" s="876"/>
      <c r="G888" s="840">
        <v>1031.2599999999998</v>
      </c>
      <c r="H888" s="841">
        <v>1031.2599999999998</v>
      </c>
      <c r="I888" s="746"/>
      <c r="J888" s="746"/>
      <c r="K888" s="746"/>
    </row>
    <row r="889" spans="1:11" ht="14.1" hidden="1" x14ac:dyDescent="0.45">
      <c r="A889" s="522"/>
      <c r="B889" s="522"/>
      <c r="C889" s="836">
        <v>2030</v>
      </c>
      <c r="D889" s="520">
        <v>16</v>
      </c>
      <c r="E889" s="837"/>
      <c r="F889" s="876"/>
      <c r="G889" s="840">
        <v>1049.55</v>
      </c>
      <c r="H889" s="841">
        <v>1049.55</v>
      </c>
      <c r="I889" s="746"/>
      <c r="J889" s="746"/>
      <c r="K889" s="746"/>
    </row>
    <row r="890" spans="1:11" ht="14.1" hidden="1" x14ac:dyDescent="0.45">
      <c r="A890" s="522"/>
      <c r="B890" s="522"/>
      <c r="C890" s="836">
        <v>2031</v>
      </c>
      <c r="D890" s="520">
        <v>17</v>
      </c>
      <c r="E890" s="837"/>
      <c r="F890" s="876"/>
      <c r="G890" s="840">
        <v>1067.8399999999999</v>
      </c>
      <c r="H890" s="841">
        <v>1067.8399999999999</v>
      </c>
      <c r="I890" s="746"/>
      <c r="J890" s="746"/>
      <c r="K890" s="746"/>
    </row>
    <row r="891" spans="1:11" ht="14.1" hidden="1" x14ac:dyDescent="0.45">
      <c r="A891" s="522"/>
      <c r="B891" s="522"/>
      <c r="C891" s="836">
        <v>2032</v>
      </c>
      <c r="D891" s="520">
        <v>18</v>
      </c>
      <c r="E891" s="837"/>
      <c r="F891" s="876"/>
      <c r="G891" s="840">
        <v>1086.1299999999999</v>
      </c>
      <c r="H891" s="841">
        <v>1086.1299999999999</v>
      </c>
      <c r="I891" s="746"/>
      <c r="J891" s="746"/>
      <c r="K891" s="746"/>
    </row>
    <row r="892" spans="1:11" ht="14.1" hidden="1" x14ac:dyDescent="0.45">
      <c r="A892" s="522"/>
      <c r="B892" s="522"/>
      <c r="C892" s="836">
        <v>2033</v>
      </c>
      <c r="D892" s="520">
        <v>19</v>
      </c>
      <c r="E892" s="837"/>
      <c r="F892" s="876"/>
      <c r="G892" s="840">
        <v>1104.4199999999998</v>
      </c>
      <c r="H892" s="841">
        <v>1104.4199999999998</v>
      </c>
      <c r="I892" s="746"/>
      <c r="J892" s="746"/>
      <c r="K892" s="746"/>
    </row>
    <row r="893" spans="1:11" ht="14.1" hidden="1" x14ac:dyDescent="0.45">
      <c r="A893" s="522"/>
      <c r="B893" s="522"/>
      <c r="C893" s="836">
        <v>2034</v>
      </c>
      <c r="D893" s="520">
        <v>20</v>
      </c>
      <c r="E893" s="837"/>
      <c r="F893" s="876"/>
      <c r="G893" s="840">
        <v>1122.71</v>
      </c>
      <c r="H893" s="841">
        <v>1122.71</v>
      </c>
      <c r="I893" s="746"/>
      <c r="J893" s="746"/>
      <c r="K893" s="746"/>
    </row>
    <row r="894" spans="1:11" ht="14.1" hidden="1" x14ac:dyDescent="0.45">
      <c r="A894" s="522"/>
      <c r="B894" s="522"/>
      <c r="C894" s="836">
        <v>2035</v>
      </c>
      <c r="D894" s="520">
        <v>21</v>
      </c>
      <c r="E894" s="837"/>
      <c r="F894" s="876"/>
      <c r="G894" s="840">
        <v>1141</v>
      </c>
      <c r="H894" s="841">
        <v>1141</v>
      </c>
      <c r="I894" s="746"/>
      <c r="J894" s="746"/>
      <c r="K894" s="746"/>
    </row>
    <row r="895" spans="1:11" ht="14.1" hidden="1" x14ac:dyDescent="0.45">
      <c r="A895" s="522"/>
      <c r="B895" s="522"/>
      <c r="C895" s="836">
        <v>2036</v>
      </c>
      <c r="D895" s="520">
        <v>22</v>
      </c>
      <c r="E895" s="837"/>
      <c r="F895" s="876"/>
      <c r="G895" s="840">
        <v>1159.29</v>
      </c>
      <c r="H895" s="841">
        <v>1159.29</v>
      </c>
      <c r="I895" s="746"/>
      <c r="J895" s="746"/>
      <c r="K895" s="746"/>
    </row>
    <row r="896" spans="1:11" ht="14.1" hidden="1" x14ac:dyDescent="0.45">
      <c r="A896" s="522"/>
      <c r="B896" s="522"/>
      <c r="C896" s="836">
        <v>2037</v>
      </c>
      <c r="D896" s="520">
        <v>23</v>
      </c>
      <c r="E896" s="837"/>
      <c r="F896" s="876"/>
      <c r="G896" s="840">
        <v>1177.58</v>
      </c>
      <c r="H896" s="841">
        <v>1177.58</v>
      </c>
      <c r="I896" s="746"/>
      <c r="J896" s="746"/>
      <c r="K896" s="746"/>
    </row>
    <row r="897" spans="1:11" ht="14.1" hidden="1" x14ac:dyDescent="0.45">
      <c r="A897" s="522"/>
      <c r="B897" s="522"/>
      <c r="C897" s="836">
        <v>2038</v>
      </c>
      <c r="D897" s="520">
        <v>24</v>
      </c>
      <c r="E897" s="837"/>
      <c r="F897" s="876"/>
      <c r="G897" s="840">
        <v>1195.8699999999999</v>
      </c>
      <c r="H897" s="841">
        <v>1195.8699999999999</v>
      </c>
      <c r="I897" s="746"/>
      <c r="J897" s="746"/>
      <c r="K897" s="746"/>
    </row>
    <row r="898" spans="1:11" ht="14.1" hidden="1" x14ac:dyDescent="0.45">
      <c r="A898" s="522"/>
      <c r="B898" s="522"/>
      <c r="C898" s="836">
        <v>2039</v>
      </c>
      <c r="D898" s="520">
        <v>25</v>
      </c>
      <c r="E898" s="837"/>
      <c r="F898" s="876"/>
      <c r="G898" s="840">
        <v>1214.1599999999999</v>
      </c>
      <c r="H898" s="841">
        <v>1214.1599999999999</v>
      </c>
      <c r="I898" s="746"/>
      <c r="J898" s="746"/>
      <c r="K898" s="746"/>
    </row>
    <row r="899" spans="1:11" ht="14.1" hidden="1" x14ac:dyDescent="0.45">
      <c r="A899" s="522"/>
      <c r="B899" s="522"/>
      <c r="C899" s="836">
        <v>2040</v>
      </c>
      <c r="D899" s="520">
        <v>26</v>
      </c>
      <c r="E899" s="837"/>
      <c r="F899" s="876"/>
      <c r="G899" s="840">
        <v>1232.4499999999998</v>
      </c>
      <c r="H899" s="841">
        <v>1232.4499999999998</v>
      </c>
      <c r="I899" s="746"/>
      <c r="J899" s="746"/>
      <c r="K899" s="746"/>
    </row>
    <row r="900" spans="1:11" ht="14.1" hidden="1" x14ac:dyDescent="0.45">
      <c r="A900" s="522"/>
      <c r="B900" s="522"/>
      <c r="C900" s="836">
        <v>2041</v>
      </c>
      <c r="D900" s="520">
        <v>27</v>
      </c>
      <c r="E900" s="837"/>
      <c r="F900" s="876"/>
      <c r="G900" s="840">
        <v>1250.7399999999998</v>
      </c>
      <c r="H900" s="841">
        <v>1250.7399999999998</v>
      </c>
      <c r="I900" s="746"/>
      <c r="J900" s="746"/>
      <c r="K900" s="746"/>
    </row>
    <row r="901" spans="1:11" ht="14.1" hidden="1" x14ac:dyDescent="0.45">
      <c r="A901" s="523"/>
      <c r="B901" s="524"/>
      <c r="C901" s="836">
        <v>2042</v>
      </c>
      <c r="D901" s="520">
        <v>28</v>
      </c>
      <c r="E901" s="837"/>
      <c r="F901" s="876"/>
      <c r="G901" s="840">
        <v>1269.0299999999997</v>
      </c>
      <c r="H901" s="841">
        <v>1269.0299999999997</v>
      </c>
      <c r="I901" s="746"/>
      <c r="J901" s="746"/>
      <c r="K901" s="746"/>
    </row>
    <row r="902" spans="1:11" ht="14.1" hidden="1" x14ac:dyDescent="0.45">
      <c r="A902" s="746"/>
      <c r="B902" s="524"/>
      <c r="C902" s="836">
        <v>2043</v>
      </c>
      <c r="D902" s="520">
        <v>29</v>
      </c>
      <c r="E902" s="837"/>
      <c r="F902" s="876"/>
      <c r="G902" s="840">
        <v>1287.32</v>
      </c>
      <c r="H902" s="841">
        <v>1287.32</v>
      </c>
      <c r="I902" s="746"/>
      <c r="J902" s="746"/>
      <c r="K902" s="746"/>
    </row>
    <row r="903" spans="1:11" ht="14.1" hidden="1" x14ac:dyDescent="0.4">
      <c r="A903" s="746"/>
      <c r="B903" s="746"/>
      <c r="C903" s="836">
        <v>2044</v>
      </c>
      <c r="D903" s="520">
        <v>30</v>
      </c>
      <c r="E903" s="837"/>
      <c r="F903" s="876"/>
      <c r="G903" s="840">
        <v>1305.6099999999999</v>
      </c>
      <c r="H903" s="841">
        <v>1305.6099999999999</v>
      </c>
      <c r="I903" s="746"/>
      <c r="J903" s="746"/>
      <c r="K903" s="746"/>
    </row>
    <row r="904" spans="1:11" ht="14.1" hidden="1" x14ac:dyDescent="0.4">
      <c r="A904" s="746"/>
      <c r="B904" s="746"/>
      <c r="C904" s="836">
        <v>2045</v>
      </c>
      <c r="D904" s="520">
        <v>31</v>
      </c>
      <c r="E904" s="837"/>
      <c r="F904" s="876"/>
      <c r="G904" s="840">
        <v>1323.8999999999999</v>
      </c>
      <c r="H904" s="841">
        <v>1323.8999999999999</v>
      </c>
      <c r="I904" s="746"/>
      <c r="J904" s="746"/>
      <c r="K904" s="746"/>
    </row>
    <row r="905" spans="1:11" ht="14.1" hidden="1" x14ac:dyDescent="0.4">
      <c r="C905" s="836">
        <v>2046</v>
      </c>
      <c r="D905" s="520">
        <v>32</v>
      </c>
      <c r="E905" s="837"/>
      <c r="F905" s="876"/>
      <c r="G905" s="840">
        <v>1342.19</v>
      </c>
      <c r="H905" s="841">
        <v>1342.19</v>
      </c>
    </row>
    <row r="906" spans="1:11" ht="14.1" hidden="1" x14ac:dyDescent="0.4">
      <c r="C906" s="836">
        <v>2047</v>
      </c>
      <c r="D906" s="520">
        <v>33</v>
      </c>
      <c r="E906" s="837"/>
      <c r="F906" s="876"/>
      <c r="G906" s="840">
        <v>1360.48</v>
      </c>
      <c r="H906" s="841">
        <v>1360.48</v>
      </c>
    </row>
    <row r="907" spans="1:11" ht="14.1" hidden="1" x14ac:dyDescent="0.4">
      <c r="C907" s="836">
        <v>2048</v>
      </c>
      <c r="D907" s="520">
        <v>34</v>
      </c>
      <c r="E907" s="837"/>
      <c r="F907" s="876"/>
      <c r="G907" s="840">
        <v>1378.77</v>
      </c>
      <c r="H907" s="841">
        <v>1378.77</v>
      </c>
    </row>
    <row r="908" spans="1:11" ht="14.1" hidden="1" x14ac:dyDescent="0.4">
      <c r="C908" s="836">
        <v>2049</v>
      </c>
      <c r="D908" s="520">
        <v>35</v>
      </c>
      <c r="E908" s="837"/>
      <c r="F908" s="876"/>
      <c r="G908" s="840">
        <v>1397.06</v>
      </c>
      <c r="H908" s="841">
        <v>1397.06</v>
      </c>
    </row>
    <row r="909" spans="1:11" ht="14.1" hidden="1" x14ac:dyDescent="0.4">
      <c r="C909" s="836">
        <v>2050</v>
      </c>
      <c r="D909" s="520">
        <v>36</v>
      </c>
      <c r="E909" s="837"/>
      <c r="F909" s="876"/>
      <c r="G909" s="840">
        <v>1415.35</v>
      </c>
      <c r="H909" s="841">
        <v>1415.35</v>
      </c>
    </row>
    <row r="910" spans="1:11" ht="14.1" hidden="1" x14ac:dyDescent="0.4">
      <c r="C910" s="836">
        <v>2051</v>
      </c>
      <c r="D910" s="520">
        <v>37</v>
      </c>
      <c r="E910" s="837"/>
      <c r="F910" s="876"/>
      <c r="G910" s="840">
        <v>1433.6399999999999</v>
      </c>
      <c r="H910" s="841">
        <v>1433.6399999999999</v>
      </c>
    </row>
    <row r="911" spans="1:11" ht="14.1" hidden="1" x14ac:dyDescent="0.4">
      <c r="C911" s="836">
        <v>2052</v>
      </c>
      <c r="D911" s="520">
        <v>38</v>
      </c>
      <c r="E911" s="837"/>
      <c r="F911" s="876"/>
      <c r="G911" s="840">
        <v>1451.9299999999998</v>
      </c>
      <c r="H911" s="841">
        <v>1451.9299999999998</v>
      </c>
    </row>
    <row r="912" spans="1:11" ht="14.1" hidden="1" x14ac:dyDescent="0.4">
      <c r="C912" s="836">
        <v>2053</v>
      </c>
      <c r="D912" s="520">
        <v>39</v>
      </c>
      <c r="E912" s="837"/>
      <c r="F912" s="876"/>
      <c r="G912" s="840">
        <v>1470.2199999999998</v>
      </c>
      <c r="H912" s="841">
        <v>1470.2199999999998</v>
      </c>
    </row>
    <row r="913" spans="1:11" ht="14.1" hidden="1" x14ac:dyDescent="0.4">
      <c r="C913" s="836">
        <v>2054</v>
      </c>
      <c r="D913" s="520">
        <v>40</v>
      </c>
      <c r="E913" s="837"/>
      <c r="F913" s="876"/>
      <c r="G913" s="840">
        <v>1488.5099999999998</v>
      </c>
      <c r="H913" s="841">
        <v>1488.5099999999998</v>
      </c>
    </row>
    <row r="914" spans="1:11" ht="14.1" hidden="1" x14ac:dyDescent="0.4">
      <c r="C914" s="843">
        <v>2055</v>
      </c>
      <c r="D914" s="520">
        <v>41</v>
      </c>
      <c r="E914" s="837"/>
      <c r="F914" s="876"/>
      <c r="G914" s="840">
        <v>1506.7999999999997</v>
      </c>
      <c r="H914" s="841">
        <v>1506.7999999999997</v>
      </c>
    </row>
    <row r="915" spans="1:11" hidden="1" x14ac:dyDescent="0.4"/>
    <row r="916" spans="1:11" hidden="1" x14ac:dyDescent="0.4"/>
    <row r="917" spans="1:11" ht="15" hidden="1" x14ac:dyDescent="0.5">
      <c r="A917" s="621" t="str">
        <f ca="1">HYPERLINK("#"&amp;"'"&amp;A$1&amp;"'!a1","Back to top")</f>
        <v>Back to top</v>
      </c>
    </row>
    <row r="918" spans="1:11" hidden="1" x14ac:dyDescent="0.4"/>
    <row r="919" spans="1:11" hidden="1" x14ac:dyDescent="0.4"/>
    <row r="920" spans="1:11" ht="15" hidden="1" x14ac:dyDescent="0.5">
      <c r="A920" s="508">
        <v>12</v>
      </c>
      <c r="B920" s="509" t="s">
        <v>979</v>
      </c>
      <c r="C920" s="787"/>
      <c r="D920" s="787"/>
      <c r="E920" s="787"/>
      <c r="F920" s="787"/>
      <c r="G920" s="787"/>
      <c r="H920" s="787"/>
      <c r="I920" s="787"/>
      <c r="J920" s="787"/>
      <c r="K920" s="787"/>
    </row>
    <row r="921" spans="1:11" ht="15" hidden="1" x14ac:dyDescent="0.5">
      <c r="A921" s="510" t="s">
        <v>260</v>
      </c>
      <c r="B921" s="511"/>
      <c r="C921" s="511"/>
      <c r="D921" s="223"/>
      <c r="E921" s="512"/>
      <c r="F921" s="1309"/>
      <c r="G921" s="512"/>
      <c r="H921" s="513"/>
      <c r="I921" s="746"/>
      <c r="J921" s="746"/>
      <c r="K921" s="746"/>
    </row>
    <row r="922" spans="1:11" ht="15.3" hidden="1" thickBot="1" x14ac:dyDescent="0.5">
      <c r="A922" s="872" t="s">
        <v>603</v>
      </c>
      <c r="B922" s="514"/>
      <c r="C922" s="514"/>
      <c r="D922" s="515"/>
      <c r="E922" s="516" t="s">
        <v>222</v>
      </c>
      <c r="F922" s="1310"/>
      <c r="G922" s="873" t="e">
        <v>#DIV/0!</v>
      </c>
      <c r="H922" s="513"/>
      <c r="I922" s="746"/>
      <c r="J922" s="746"/>
      <c r="K922" s="746"/>
    </row>
    <row r="923" spans="1:11" ht="37.200000000000003" hidden="1" thickBot="1" x14ac:dyDescent="0.5">
      <c r="A923" s="517"/>
      <c r="B923" s="517"/>
      <c r="C923" s="517"/>
      <c r="D923" s="518"/>
      <c r="E923" s="873" t="s">
        <v>724</v>
      </c>
      <c r="F923" s="873" t="s">
        <v>664</v>
      </c>
      <c r="G923" s="874" t="s">
        <v>738</v>
      </c>
      <c r="H923" s="873" t="s">
        <v>667</v>
      </c>
      <c r="I923" s="873" t="s">
        <v>666</v>
      </c>
      <c r="J923" s="1297" t="s">
        <v>668</v>
      </c>
      <c r="K923" s="1298"/>
    </row>
    <row r="924" spans="1:11" ht="15" hidden="1" x14ac:dyDescent="0.5">
      <c r="A924" s="510" t="s">
        <v>268</v>
      </c>
      <c r="B924" s="517"/>
      <c r="C924" s="788">
        <v>2000</v>
      </c>
      <c r="D924" s="519">
        <v>-14</v>
      </c>
      <c r="E924" s="875">
        <v>87.7</v>
      </c>
      <c r="F924" s="876">
        <v>87.7</v>
      </c>
      <c r="G924" s="877">
        <v>87.7</v>
      </c>
      <c r="H924" s="878">
        <v>87.7</v>
      </c>
      <c r="I924" s="1303" t="s">
        <v>269</v>
      </c>
      <c r="J924" s="1299"/>
      <c r="K924" s="1300"/>
    </row>
    <row r="925" spans="1:11" ht="15" hidden="1" x14ac:dyDescent="0.45">
      <c r="A925" s="872" t="s">
        <v>44</v>
      </c>
      <c r="B925" s="517"/>
      <c r="C925" s="836">
        <v>2001</v>
      </c>
      <c r="D925" s="520">
        <v>-13</v>
      </c>
      <c r="E925" s="837"/>
      <c r="F925" s="876"/>
      <c r="G925" s="838">
        <v>91.179999999999993</v>
      </c>
      <c r="H925" s="839">
        <v>91.179999999999993</v>
      </c>
      <c r="I925" s="1304"/>
      <c r="J925" s="1299"/>
      <c r="K925" s="1300"/>
    </row>
    <row r="926" spans="1:11" ht="14.05" hidden="1" customHeight="1" x14ac:dyDescent="0.45">
      <c r="A926" s="517"/>
      <c r="B926" s="517"/>
      <c r="C926" s="836">
        <v>2002</v>
      </c>
      <c r="D926" s="520">
        <v>-12</v>
      </c>
      <c r="E926" s="837"/>
      <c r="F926" s="876"/>
      <c r="G926" s="838">
        <v>91.759999999999991</v>
      </c>
      <c r="H926" s="839">
        <v>91.759999999999991</v>
      </c>
      <c r="I926" s="1304"/>
      <c r="J926" s="1299"/>
      <c r="K926" s="1300"/>
    </row>
    <row r="927" spans="1:11" ht="15" hidden="1" x14ac:dyDescent="0.45">
      <c r="A927" s="676" t="s">
        <v>270</v>
      </c>
      <c r="B927" s="517"/>
      <c r="C927" s="836">
        <v>2003</v>
      </c>
      <c r="D927" s="520">
        <v>-11</v>
      </c>
      <c r="E927" s="837"/>
      <c r="F927" s="876"/>
      <c r="G927" s="838">
        <v>92.339999999999989</v>
      </c>
      <c r="H927" s="839">
        <v>92.339999999999989</v>
      </c>
      <c r="I927" s="1304"/>
      <c r="J927" s="1301"/>
      <c r="K927" s="1302"/>
    </row>
    <row r="928" spans="1:11" ht="14.1" hidden="1" x14ac:dyDescent="0.45">
      <c r="A928" s="1306" t="s">
        <v>725</v>
      </c>
      <c r="B928" s="517"/>
      <c r="C928" s="836">
        <v>2004</v>
      </c>
      <c r="D928" s="520">
        <v>-10</v>
      </c>
      <c r="E928" s="837"/>
      <c r="F928" s="876"/>
      <c r="G928" s="838">
        <v>92.919999999999987</v>
      </c>
      <c r="H928" s="839">
        <v>92.919999999999987</v>
      </c>
      <c r="I928" s="1304"/>
      <c r="J928" s="746"/>
      <c r="K928" s="746"/>
    </row>
    <row r="929" spans="1:11" ht="14.1" hidden="1" x14ac:dyDescent="0.45">
      <c r="A929" s="1307"/>
      <c r="B929" s="517"/>
      <c r="C929" s="836">
        <v>2005</v>
      </c>
      <c r="D929" s="520">
        <v>-9</v>
      </c>
      <c r="E929" s="837"/>
      <c r="F929" s="876"/>
      <c r="G929" s="838">
        <v>93.5</v>
      </c>
      <c r="H929" s="839">
        <v>93.5</v>
      </c>
      <c r="I929" s="1304"/>
      <c r="J929" s="746"/>
      <c r="K929" s="746"/>
    </row>
    <row r="930" spans="1:11" ht="14.1" hidden="1" x14ac:dyDescent="0.45">
      <c r="A930" s="1307"/>
      <c r="B930" s="517"/>
      <c r="C930" s="836">
        <v>2006</v>
      </c>
      <c r="D930" s="520">
        <v>-8</v>
      </c>
      <c r="E930" s="837"/>
      <c r="F930" s="876"/>
      <c r="G930" s="838">
        <v>94.08</v>
      </c>
      <c r="H930" s="839">
        <v>94.08</v>
      </c>
      <c r="I930" s="1305"/>
      <c r="J930" s="746"/>
      <c r="K930" s="746"/>
    </row>
    <row r="931" spans="1:11" ht="14.1" hidden="1" x14ac:dyDescent="0.45">
      <c r="A931" s="1308"/>
      <c r="B931" s="517"/>
      <c r="C931" s="836">
        <v>2007</v>
      </c>
      <c r="D931" s="520">
        <v>-7</v>
      </c>
      <c r="E931" s="837"/>
      <c r="F931" s="876"/>
      <c r="G931" s="840">
        <v>94.66</v>
      </c>
      <c r="H931" s="841">
        <v>94.66</v>
      </c>
      <c r="I931" s="789" t="s">
        <v>272</v>
      </c>
      <c r="J931" s="746"/>
      <c r="K931" s="746"/>
    </row>
    <row r="932" spans="1:11" ht="14.1" hidden="1" x14ac:dyDescent="0.45">
      <c r="A932" s="517"/>
      <c r="B932" s="517"/>
      <c r="C932" s="836">
        <v>2008</v>
      </c>
      <c r="D932" s="520">
        <v>-6</v>
      </c>
      <c r="E932" s="837"/>
      <c r="F932" s="876"/>
      <c r="G932" s="840">
        <v>95.24</v>
      </c>
      <c r="H932" s="841">
        <v>95.24</v>
      </c>
      <c r="I932" s="746"/>
      <c r="J932" s="746"/>
      <c r="K932" s="746"/>
    </row>
    <row r="933" spans="1:11" ht="15" hidden="1" x14ac:dyDescent="0.5">
      <c r="A933" s="521" t="s">
        <v>273</v>
      </c>
      <c r="B933" s="517"/>
      <c r="C933" s="836">
        <v>2009</v>
      </c>
      <c r="D933" s="520">
        <v>-5</v>
      </c>
      <c r="E933" s="837"/>
      <c r="F933" s="876"/>
      <c r="G933" s="840">
        <v>95.82</v>
      </c>
      <c r="H933" s="841">
        <v>95.82</v>
      </c>
      <c r="I933" s="746"/>
      <c r="J933" s="746"/>
      <c r="K933" s="746"/>
    </row>
    <row r="934" spans="1:11" ht="15" hidden="1" x14ac:dyDescent="0.45">
      <c r="A934" s="842">
        <v>2019</v>
      </c>
      <c r="B934" s="514"/>
      <c r="C934" s="836">
        <v>2010</v>
      </c>
      <c r="D934" s="520">
        <v>-4</v>
      </c>
      <c r="E934" s="837">
        <v>93.5</v>
      </c>
      <c r="F934" s="876">
        <v>93.5</v>
      </c>
      <c r="G934" s="840">
        <v>93.5</v>
      </c>
      <c r="H934" s="841">
        <v>93.5</v>
      </c>
      <c r="I934" s="746"/>
      <c r="J934" s="746"/>
      <c r="K934" s="746"/>
    </row>
    <row r="935" spans="1:11" ht="14.1" hidden="1" x14ac:dyDescent="0.45">
      <c r="A935" s="746"/>
      <c r="B935" s="514"/>
      <c r="C935" s="836">
        <v>2011</v>
      </c>
      <c r="D935" s="520">
        <v>-3</v>
      </c>
      <c r="E935" s="837"/>
      <c r="F935" s="876"/>
      <c r="G935" s="840">
        <v>96.97999999999999</v>
      </c>
      <c r="H935" s="841">
        <v>96.97999999999999</v>
      </c>
      <c r="I935" s="746"/>
      <c r="J935" s="746"/>
      <c r="K935" s="746"/>
    </row>
    <row r="936" spans="1:11" ht="15" hidden="1" x14ac:dyDescent="0.5">
      <c r="A936" s="521" t="s">
        <v>274</v>
      </c>
      <c r="B936" s="514"/>
      <c r="C936" s="836">
        <v>2012</v>
      </c>
      <c r="D936" s="520">
        <v>-2</v>
      </c>
      <c r="E936" s="837"/>
      <c r="F936" s="876"/>
      <c r="G936" s="840">
        <v>97.559999999999988</v>
      </c>
      <c r="H936" s="841">
        <v>97.559999999999988</v>
      </c>
      <c r="I936" s="746"/>
      <c r="J936" s="746"/>
      <c r="K936" s="746"/>
    </row>
    <row r="937" spans="1:11" ht="15" hidden="1" x14ac:dyDescent="0.45">
      <c r="A937" s="842" t="s">
        <v>724</v>
      </c>
      <c r="B937" s="514"/>
      <c r="C937" s="836">
        <v>2013</v>
      </c>
      <c r="D937" s="520">
        <v>-1</v>
      </c>
      <c r="E937" s="837"/>
      <c r="F937" s="876"/>
      <c r="G937" s="840">
        <v>98.139999999999986</v>
      </c>
      <c r="H937" s="841">
        <v>98.139999999999986</v>
      </c>
      <c r="I937" s="746"/>
      <c r="J937" s="746"/>
      <c r="K937" s="746"/>
    </row>
    <row r="938" spans="1:11" ht="15" hidden="1" x14ac:dyDescent="0.5">
      <c r="A938" s="790"/>
      <c r="B938" s="522"/>
      <c r="C938" s="836">
        <v>2014</v>
      </c>
      <c r="D938" s="520">
        <v>0</v>
      </c>
      <c r="E938" s="837"/>
      <c r="F938" s="876"/>
      <c r="G938" s="840">
        <v>98.72</v>
      </c>
      <c r="H938" s="841">
        <v>98.72</v>
      </c>
      <c r="I938" s="746"/>
      <c r="J938" s="746"/>
      <c r="K938" s="746"/>
    </row>
    <row r="939" spans="1:11" ht="15" hidden="1" x14ac:dyDescent="0.45">
      <c r="A939" s="895" t="s">
        <v>275</v>
      </c>
      <c r="B939" s="514"/>
      <c r="C939" s="836">
        <v>2015</v>
      </c>
      <c r="D939" s="520">
        <v>1</v>
      </c>
      <c r="E939" s="837"/>
      <c r="F939" s="876"/>
      <c r="G939" s="840">
        <v>99.3</v>
      </c>
      <c r="H939" s="841">
        <v>99.3</v>
      </c>
      <c r="I939" s="746"/>
      <c r="J939" s="746"/>
      <c r="K939" s="746"/>
    </row>
    <row r="940" spans="1:11" ht="15" hidden="1" x14ac:dyDescent="0.45">
      <c r="A940" s="791"/>
      <c r="B940" s="514"/>
      <c r="C940" s="836">
        <v>2016</v>
      </c>
      <c r="D940" s="520">
        <v>2</v>
      </c>
      <c r="E940" s="837"/>
      <c r="F940" s="876"/>
      <c r="G940" s="840">
        <v>99.88</v>
      </c>
      <c r="H940" s="841">
        <v>99.88</v>
      </c>
      <c r="I940" s="746"/>
      <c r="J940" s="746"/>
      <c r="K940" s="746"/>
    </row>
    <row r="941" spans="1:11" ht="15" hidden="1" x14ac:dyDescent="0.45">
      <c r="A941" s="892"/>
      <c r="B941" s="514"/>
      <c r="C941" s="836">
        <v>2017</v>
      </c>
      <c r="D941" s="520">
        <v>3</v>
      </c>
      <c r="E941" s="837"/>
      <c r="F941" s="876"/>
      <c r="G941" s="840">
        <v>100.46</v>
      </c>
      <c r="H941" s="841">
        <v>100.46</v>
      </c>
      <c r="I941" s="746"/>
      <c r="J941" s="746"/>
      <c r="K941" s="746"/>
    </row>
    <row r="942" spans="1:11" ht="15" hidden="1" x14ac:dyDescent="0.45">
      <c r="A942" s="842"/>
      <c r="B942" s="514"/>
      <c r="C942" s="836">
        <v>2018</v>
      </c>
      <c r="D942" s="520">
        <v>4</v>
      </c>
      <c r="E942" s="837"/>
      <c r="F942" s="876"/>
      <c r="G942" s="840">
        <v>101.03999999999999</v>
      </c>
      <c r="H942" s="841">
        <v>101.03999999999999</v>
      </c>
      <c r="I942" s="746"/>
      <c r="J942" s="746"/>
      <c r="K942" s="746"/>
    </row>
    <row r="943" spans="1:11" ht="14.1" hidden="1" x14ac:dyDescent="0.45">
      <c r="A943" s="514"/>
      <c r="B943" s="514"/>
      <c r="C943" s="836">
        <v>2019</v>
      </c>
      <c r="D943" s="520">
        <v>5</v>
      </c>
      <c r="E943" s="837"/>
      <c r="F943" s="876"/>
      <c r="G943" s="840">
        <v>101.61999999999999</v>
      </c>
      <c r="H943" s="841">
        <v>101.61999999999999</v>
      </c>
      <c r="I943" s="746"/>
      <c r="J943" s="746"/>
      <c r="K943" s="746"/>
    </row>
    <row r="944" spans="1:11" ht="14.1" hidden="1" x14ac:dyDescent="0.45">
      <c r="A944" s="514"/>
      <c r="B944" s="514"/>
      <c r="C944" s="836">
        <v>2020</v>
      </c>
      <c r="D944" s="520">
        <v>6</v>
      </c>
      <c r="E944" s="837"/>
      <c r="F944" s="876"/>
      <c r="G944" s="840">
        <v>102.19999999999999</v>
      </c>
      <c r="H944" s="841">
        <v>102.19999999999999</v>
      </c>
      <c r="I944" s="746"/>
      <c r="J944" s="746"/>
      <c r="K944" s="746"/>
    </row>
    <row r="945" spans="1:11" ht="14.1" hidden="1" x14ac:dyDescent="0.45">
      <c r="A945" s="514"/>
      <c r="B945" s="514"/>
      <c r="C945" s="836">
        <v>2021</v>
      </c>
      <c r="D945" s="520">
        <v>7</v>
      </c>
      <c r="E945" s="837"/>
      <c r="F945" s="876"/>
      <c r="G945" s="840">
        <v>102.77999999999999</v>
      </c>
      <c r="H945" s="841">
        <v>102.77999999999999</v>
      </c>
      <c r="I945" s="746"/>
      <c r="J945" s="746"/>
      <c r="K945" s="746"/>
    </row>
    <row r="946" spans="1:11" ht="14.1" hidden="1" x14ac:dyDescent="0.45">
      <c r="A946" s="514"/>
      <c r="B946" s="514"/>
      <c r="C946" s="836">
        <v>2022</v>
      </c>
      <c r="D946" s="520">
        <v>8</v>
      </c>
      <c r="E946" s="837"/>
      <c r="F946" s="876"/>
      <c r="G946" s="840">
        <v>103.35999999999999</v>
      </c>
      <c r="H946" s="841">
        <v>103.35999999999999</v>
      </c>
      <c r="I946" s="746"/>
      <c r="J946" s="746"/>
      <c r="K946" s="746"/>
    </row>
    <row r="947" spans="1:11" ht="14.1" hidden="1" x14ac:dyDescent="0.45">
      <c r="A947" s="514"/>
      <c r="B947" s="514"/>
      <c r="C947" s="836">
        <v>2023</v>
      </c>
      <c r="D947" s="520">
        <v>9</v>
      </c>
      <c r="E947" s="837"/>
      <c r="F947" s="876"/>
      <c r="G947" s="840">
        <v>103.93999999999998</v>
      </c>
      <c r="H947" s="841">
        <v>103.93999999999998</v>
      </c>
      <c r="I947" s="746"/>
      <c r="J947" s="746"/>
      <c r="K947" s="746"/>
    </row>
    <row r="948" spans="1:11" ht="14.1" hidden="1" x14ac:dyDescent="0.45">
      <c r="A948" s="514"/>
      <c r="B948" s="514"/>
      <c r="C948" s="836">
        <v>2024</v>
      </c>
      <c r="D948" s="520">
        <v>10</v>
      </c>
      <c r="E948" s="837"/>
      <c r="F948" s="876"/>
      <c r="G948" s="840">
        <v>104.51999999999998</v>
      </c>
      <c r="H948" s="841">
        <v>104.51999999999998</v>
      </c>
      <c r="I948" s="746"/>
      <c r="J948" s="746"/>
      <c r="K948" s="746"/>
    </row>
    <row r="949" spans="1:11" ht="14.1" hidden="1" x14ac:dyDescent="0.45">
      <c r="A949" s="514"/>
      <c r="B949" s="514"/>
      <c r="C949" s="836">
        <v>2025</v>
      </c>
      <c r="D949" s="520">
        <v>11</v>
      </c>
      <c r="E949" s="837"/>
      <c r="F949" s="876"/>
      <c r="G949" s="840">
        <v>105.1</v>
      </c>
      <c r="H949" s="841">
        <v>105.1</v>
      </c>
      <c r="I949" s="746"/>
      <c r="J949" s="746"/>
      <c r="K949" s="746"/>
    </row>
    <row r="950" spans="1:11" ht="14.1" hidden="1" x14ac:dyDescent="0.45">
      <c r="A950" s="514"/>
      <c r="B950" s="514"/>
      <c r="C950" s="836">
        <v>2026</v>
      </c>
      <c r="D950" s="520">
        <v>12</v>
      </c>
      <c r="E950" s="837"/>
      <c r="F950" s="876"/>
      <c r="G950" s="840">
        <v>105.67999999999999</v>
      </c>
      <c r="H950" s="841">
        <v>105.67999999999999</v>
      </c>
      <c r="I950" s="746"/>
      <c r="J950" s="746"/>
      <c r="K950" s="746"/>
    </row>
    <row r="951" spans="1:11" ht="14.1" hidden="1" x14ac:dyDescent="0.45">
      <c r="A951" s="514"/>
      <c r="B951" s="514"/>
      <c r="C951" s="836">
        <v>2027</v>
      </c>
      <c r="D951" s="520">
        <v>13</v>
      </c>
      <c r="E951" s="837"/>
      <c r="F951" s="876"/>
      <c r="G951" s="840">
        <v>106.25999999999999</v>
      </c>
      <c r="H951" s="841">
        <v>106.25999999999999</v>
      </c>
      <c r="I951" s="746"/>
      <c r="J951" s="746"/>
      <c r="K951" s="746"/>
    </row>
    <row r="952" spans="1:11" ht="14.1" hidden="1" x14ac:dyDescent="0.45">
      <c r="A952" s="522"/>
      <c r="B952" s="522"/>
      <c r="C952" s="836">
        <v>2028</v>
      </c>
      <c r="D952" s="520">
        <v>14</v>
      </c>
      <c r="E952" s="837"/>
      <c r="F952" s="876"/>
      <c r="G952" s="840">
        <v>106.83999999999999</v>
      </c>
      <c r="H952" s="841">
        <v>106.83999999999999</v>
      </c>
      <c r="I952" s="746"/>
      <c r="J952" s="746"/>
      <c r="K952" s="746"/>
    </row>
    <row r="953" spans="1:11" ht="14.1" hidden="1" x14ac:dyDescent="0.45">
      <c r="A953" s="522"/>
      <c r="B953" s="522"/>
      <c r="C953" s="836">
        <v>2029</v>
      </c>
      <c r="D953" s="520">
        <v>15</v>
      </c>
      <c r="E953" s="837"/>
      <c r="F953" s="876"/>
      <c r="G953" s="840">
        <v>107.41999999999999</v>
      </c>
      <c r="H953" s="841">
        <v>107.41999999999999</v>
      </c>
      <c r="I953" s="746"/>
      <c r="J953" s="746"/>
      <c r="K953" s="746"/>
    </row>
    <row r="954" spans="1:11" ht="14.1" hidden="1" x14ac:dyDescent="0.45">
      <c r="A954" s="522"/>
      <c r="B954" s="522"/>
      <c r="C954" s="836">
        <v>2030</v>
      </c>
      <c r="D954" s="520">
        <v>16</v>
      </c>
      <c r="E954" s="837"/>
      <c r="F954" s="876"/>
      <c r="G954" s="840">
        <v>107.99999999999999</v>
      </c>
      <c r="H954" s="841">
        <v>107.99999999999999</v>
      </c>
      <c r="I954" s="746"/>
      <c r="J954" s="746"/>
      <c r="K954" s="746"/>
    </row>
    <row r="955" spans="1:11" ht="14.1" hidden="1" x14ac:dyDescent="0.45">
      <c r="A955" s="522"/>
      <c r="B955" s="522"/>
      <c r="C955" s="836">
        <v>2031</v>
      </c>
      <c r="D955" s="520">
        <v>17</v>
      </c>
      <c r="E955" s="837"/>
      <c r="F955" s="876"/>
      <c r="G955" s="840">
        <v>108.57999999999998</v>
      </c>
      <c r="H955" s="841">
        <v>108.57999999999998</v>
      </c>
      <c r="I955" s="746"/>
      <c r="J955" s="746"/>
      <c r="K955" s="746"/>
    </row>
    <row r="956" spans="1:11" ht="14.1" hidden="1" x14ac:dyDescent="0.45">
      <c r="A956" s="522"/>
      <c r="B956" s="522"/>
      <c r="C956" s="836">
        <v>2032</v>
      </c>
      <c r="D956" s="520">
        <v>18</v>
      </c>
      <c r="E956" s="837"/>
      <c r="F956" s="876"/>
      <c r="G956" s="840">
        <v>109.15999999999998</v>
      </c>
      <c r="H956" s="841">
        <v>109.15999999999998</v>
      </c>
      <c r="I956" s="746"/>
      <c r="J956" s="746"/>
      <c r="K956" s="746"/>
    </row>
    <row r="957" spans="1:11" ht="14.1" hidden="1" x14ac:dyDescent="0.45">
      <c r="A957" s="522"/>
      <c r="B957" s="522"/>
      <c r="C957" s="836">
        <v>2033</v>
      </c>
      <c r="D957" s="520">
        <v>19</v>
      </c>
      <c r="E957" s="837"/>
      <c r="F957" s="876"/>
      <c r="G957" s="840">
        <v>109.73999999999998</v>
      </c>
      <c r="H957" s="841">
        <v>109.73999999999998</v>
      </c>
      <c r="I957" s="746"/>
      <c r="J957" s="746"/>
      <c r="K957" s="746"/>
    </row>
    <row r="958" spans="1:11" ht="14.1" hidden="1" x14ac:dyDescent="0.45">
      <c r="A958" s="522"/>
      <c r="B958" s="522"/>
      <c r="C958" s="836">
        <v>2034</v>
      </c>
      <c r="D958" s="520">
        <v>20</v>
      </c>
      <c r="E958" s="837"/>
      <c r="F958" s="876"/>
      <c r="G958" s="840">
        <v>110.32</v>
      </c>
      <c r="H958" s="841">
        <v>110.32</v>
      </c>
      <c r="I958" s="746"/>
      <c r="J958" s="746"/>
      <c r="K958" s="746"/>
    </row>
    <row r="959" spans="1:11" ht="14.1" hidden="1" x14ac:dyDescent="0.45">
      <c r="A959" s="522"/>
      <c r="B959" s="522"/>
      <c r="C959" s="836">
        <v>2035</v>
      </c>
      <c r="D959" s="520">
        <v>21</v>
      </c>
      <c r="E959" s="837"/>
      <c r="F959" s="876"/>
      <c r="G959" s="840">
        <v>110.89999999999999</v>
      </c>
      <c r="H959" s="841">
        <v>110.89999999999999</v>
      </c>
      <c r="I959" s="746"/>
      <c r="J959" s="746"/>
      <c r="K959" s="746"/>
    </row>
    <row r="960" spans="1:11" ht="14.1" hidden="1" x14ac:dyDescent="0.45">
      <c r="A960" s="522"/>
      <c r="B960" s="522"/>
      <c r="C960" s="836">
        <v>2036</v>
      </c>
      <c r="D960" s="520">
        <v>22</v>
      </c>
      <c r="E960" s="837"/>
      <c r="F960" s="876"/>
      <c r="G960" s="840">
        <v>111.47999999999999</v>
      </c>
      <c r="H960" s="841">
        <v>111.47999999999999</v>
      </c>
      <c r="I960" s="746"/>
      <c r="J960" s="746"/>
      <c r="K960" s="746"/>
    </row>
    <row r="961" spans="1:11" ht="14.1" hidden="1" x14ac:dyDescent="0.45">
      <c r="A961" s="522"/>
      <c r="B961" s="522"/>
      <c r="C961" s="836">
        <v>2037</v>
      </c>
      <c r="D961" s="520">
        <v>23</v>
      </c>
      <c r="E961" s="837"/>
      <c r="F961" s="876"/>
      <c r="G961" s="840">
        <v>112.05999999999999</v>
      </c>
      <c r="H961" s="841">
        <v>112.05999999999999</v>
      </c>
      <c r="I961" s="746"/>
      <c r="J961" s="746"/>
      <c r="K961" s="746"/>
    </row>
    <row r="962" spans="1:11" ht="14.1" hidden="1" x14ac:dyDescent="0.45">
      <c r="A962" s="522"/>
      <c r="B962" s="522"/>
      <c r="C962" s="836">
        <v>2038</v>
      </c>
      <c r="D962" s="520">
        <v>24</v>
      </c>
      <c r="E962" s="837"/>
      <c r="F962" s="876"/>
      <c r="G962" s="840">
        <v>112.63999999999999</v>
      </c>
      <c r="H962" s="841">
        <v>112.63999999999999</v>
      </c>
      <c r="I962" s="746"/>
      <c r="J962" s="746"/>
      <c r="K962" s="746"/>
    </row>
    <row r="963" spans="1:11" ht="14.1" hidden="1" x14ac:dyDescent="0.45">
      <c r="A963" s="522"/>
      <c r="B963" s="522"/>
      <c r="C963" s="836">
        <v>2039</v>
      </c>
      <c r="D963" s="520">
        <v>25</v>
      </c>
      <c r="E963" s="837"/>
      <c r="F963" s="876"/>
      <c r="G963" s="840">
        <v>113.21999999999998</v>
      </c>
      <c r="H963" s="841">
        <v>113.21999999999998</v>
      </c>
      <c r="I963" s="746"/>
      <c r="J963" s="746"/>
      <c r="K963" s="746"/>
    </row>
    <row r="964" spans="1:11" ht="14.1" hidden="1" x14ac:dyDescent="0.45">
      <c r="A964" s="522"/>
      <c r="B964" s="522"/>
      <c r="C964" s="836">
        <v>2040</v>
      </c>
      <c r="D964" s="520">
        <v>26</v>
      </c>
      <c r="E964" s="837"/>
      <c r="F964" s="876"/>
      <c r="G964" s="840">
        <v>113.79999999999998</v>
      </c>
      <c r="H964" s="841">
        <v>113.79999999999998</v>
      </c>
      <c r="I964" s="746"/>
      <c r="J964" s="746"/>
      <c r="K964" s="746"/>
    </row>
    <row r="965" spans="1:11" ht="14.1" hidden="1" x14ac:dyDescent="0.45">
      <c r="A965" s="522"/>
      <c r="B965" s="522"/>
      <c r="C965" s="836">
        <v>2041</v>
      </c>
      <c r="D965" s="520">
        <v>27</v>
      </c>
      <c r="E965" s="837"/>
      <c r="F965" s="876"/>
      <c r="G965" s="840">
        <v>114.37999999999998</v>
      </c>
      <c r="H965" s="841">
        <v>114.37999999999998</v>
      </c>
      <c r="I965" s="746"/>
      <c r="J965" s="746"/>
      <c r="K965" s="746"/>
    </row>
    <row r="966" spans="1:11" ht="14.1" hidden="1" x14ac:dyDescent="0.45">
      <c r="A966" s="523"/>
      <c r="B966" s="524"/>
      <c r="C966" s="836">
        <v>2042</v>
      </c>
      <c r="D966" s="520">
        <v>28</v>
      </c>
      <c r="E966" s="837"/>
      <c r="F966" s="876"/>
      <c r="G966" s="840">
        <v>114.95999999999998</v>
      </c>
      <c r="H966" s="841">
        <v>114.95999999999998</v>
      </c>
      <c r="I966" s="746"/>
      <c r="J966" s="746"/>
      <c r="K966" s="746"/>
    </row>
    <row r="967" spans="1:11" ht="14.1" hidden="1" x14ac:dyDescent="0.45">
      <c r="A967" s="746"/>
      <c r="B967" s="524"/>
      <c r="C967" s="836">
        <v>2043</v>
      </c>
      <c r="D967" s="520">
        <v>29</v>
      </c>
      <c r="E967" s="837"/>
      <c r="F967" s="876"/>
      <c r="G967" s="840">
        <v>115.53999999999999</v>
      </c>
      <c r="H967" s="841">
        <v>115.53999999999999</v>
      </c>
      <c r="I967" s="746"/>
      <c r="J967" s="746"/>
      <c r="K967" s="746"/>
    </row>
    <row r="968" spans="1:11" ht="14.1" hidden="1" x14ac:dyDescent="0.4">
      <c r="A968" s="746"/>
      <c r="B968" s="746"/>
      <c r="C968" s="836">
        <v>2044</v>
      </c>
      <c r="D968" s="520">
        <v>30</v>
      </c>
      <c r="E968" s="837"/>
      <c r="F968" s="876"/>
      <c r="G968" s="840">
        <v>116.11999999999998</v>
      </c>
      <c r="H968" s="841">
        <v>116.11999999999998</v>
      </c>
      <c r="I968" s="746"/>
      <c r="J968" s="746"/>
      <c r="K968" s="746"/>
    </row>
    <row r="969" spans="1:11" ht="14.1" hidden="1" x14ac:dyDescent="0.4">
      <c r="A969" s="746"/>
      <c r="B969" s="746"/>
      <c r="C969" s="836">
        <v>2045</v>
      </c>
      <c r="D969" s="520">
        <v>31</v>
      </c>
      <c r="E969" s="837"/>
      <c r="F969" s="876"/>
      <c r="G969" s="840">
        <v>116.69999999999999</v>
      </c>
      <c r="H969" s="841">
        <v>116.69999999999999</v>
      </c>
      <c r="I969" s="746"/>
      <c r="J969" s="746"/>
      <c r="K969" s="746"/>
    </row>
    <row r="970" spans="1:11" ht="14.1" hidden="1" x14ac:dyDescent="0.4">
      <c r="C970" s="836">
        <v>2046</v>
      </c>
      <c r="D970" s="520">
        <v>32</v>
      </c>
      <c r="E970" s="837"/>
      <c r="F970" s="876"/>
      <c r="G970" s="840">
        <v>117.27999999999999</v>
      </c>
      <c r="H970" s="841">
        <v>117.27999999999999</v>
      </c>
    </row>
    <row r="971" spans="1:11" ht="14.1" hidden="1" x14ac:dyDescent="0.4">
      <c r="C971" s="836">
        <v>2047</v>
      </c>
      <c r="D971" s="520">
        <v>33</v>
      </c>
      <c r="E971" s="837"/>
      <c r="F971" s="876"/>
      <c r="G971" s="840">
        <v>117.85999999999999</v>
      </c>
      <c r="H971" s="841">
        <v>117.85999999999999</v>
      </c>
    </row>
    <row r="972" spans="1:11" ht="14.1" hidden="1" x14ac:dyDescent="0.4">
      <c r="C972" s="836">
        <v>2048</v>
      </c>
      <c r="D972" s="520">
        <v>34</v>
      </c>
      <c r="E972" s="837"/>
      <c r="F972" s="876"/>
      <c r="G972" s="840">
        <v>118.43999999999998</v>
      </c>
      <c r="H972" s="841">
        <v>118.43999999999998</v>
      </c>
    </row>
    <row r="973" spans="1:11" ht="14.1" hidden="1" x14ac:dyDescent="0.4">
      <c r="C973" s="836">
        <v>2049</v>
      </c>
      <c r="D973" s="520">
        <v>35</v>
      </c>
      <c r="E973" s="837"/>
      <c r="F973" s="876"/>
      <c r="G973" s="840">
        <v>119.01999999999998</v>
      </c>
      <c r="H973" s="841">
        <v>119.01999999999998</v>
      </c>
    </row>
    <row r="974" spans="1:11" ht="14.1" hidden="1" x14ac:dyDescent="0.4">
      <c r="C974" s="836">
        <v>2050</v>
      </c>
      <c r="D974" s="520">
        <v>36</v>
      </c>
      <c r="E974" s="837"/>
      <c r="F974" s="876"/>
      <c r="G974" s="840">
        <v>119.59999999999998</v>
      </c>
      <c r="H974" s="841">
        <v>119.59999999999998</v>
      </c>
    </row>
    <row r="975" spans="1:11" ht="14.1" hidden="1" x14ac:dyDescent="0.4">
      <c r="C975" s="836">
        <v>2051</v>
      </c>
      <c r="D975" s="520">
        <v>37</v>
      </c>
      <c r="E975" s="837"/>
      <c r="F975" s="876"/>
      <c r="G975" s="840">
        <v>120.17999999999998</v>
      </c>
      <c r="H975" s="841">
        <v>120.17999999999998</v>
      </c>
    </row>
    <row r="976" spans="1:11" ht="14.1" hidden="1" x14ac:dyDescent="0.4">
      <c r="C976" s="836">
        <v>2052</v>
      </c>
      <c r="D976" s="520">
        <v>38</v>
      </c>
      <c r="E976" s="837"/>
      <c r="F976" s="876"/>
      <c r="G976" s="840">
        <v>120.75999999999998</v>
      </c>
      <c r="H976" s="841">
        <v>120.75999999999998</v>
      </c>
    </row>
    <row r="977" spans="1:11" ht="14.1" hidden="1" x14ac:dyDescent="0.4">
      <c r="C977" s="836">
        <v>2053</v>
      </c>
      <c r="D977" s="520">
        <v>39</v>
      </c>
      <c r="E977" s="837"/>
      <c r="F977" s="876"/>
      <c r="G977" s="840">
        <v>121.33999999999997</v>
      </c>
      <c r="H977" s="841">
        <v>121.33999999999997</v>
      </c>
    </row>
    <row r="978" spans="1:11" ht="14.1" hidden="1" x14ac:dyDescent="0.4">
      <c r="C978" s="836">
        <v>2054</v>
      </c>
      <c r="D978" s="520">
        <v>40</v>
      </c>
      <c r="E978" s="837"/>
      <c r="F978" s="876"/>
      <c r="G978" s="840">
        <v>121.91999999999999</v>
      </c>
      <c r="H978" s="841">
        <v>121.91999999999999</v>
      </c>
    </row>
    <row r="979" spans="1:11" ht="14.1" hidden="1" x14ac:dyDescent="0.4">
      <c r="C979" s="843">
        <v>2055</v>
      </c>
      <c r="D979" s="520">
        <v>41</v>
      </c>
      <c r="E979" s="837"/>
      <c r="F979" s="876"/>
      <c r="G979" s="840">
        <v>122.49999999999999</v>
      </c>
      <c r="H979" s="841">
        <v>122.49999999999999</v>
      </c>
    </row>
    <row r="980" spans="1:11" hidden="1" x14ac:dyDescent="0.4"/>
    <row r="981" spans="1:11" hidden="1" x14ac:dyDescent="0.4"/>
    <row r="982" spans="1:11" ht="15" hidden="1" x14ac:dyDescent="0.5">
      <c r="A982" s="621" t="str">
        <f ca="1">HYPERLINK("#"&amp;"'"&amp;A$1&amp;"'!a1","Back to top")</f>
        <v>Back to top</v>
      </c>
    </row>
    <row r="983" spans="1:11" hidden="1" x14ac:dyDescent="0.4"/>
    <row r="984" spans="1:11" hidden="1" x14ac:dyDescent="0.4"/>
    <row r="985" spans="1:11" ht="15" hidden="1" x14ac:dyDescent="0.5">
      <c r="A985" s="508">
        <v>13</v>
      </c>
      <c r="B985" s="509" t="s">
        <v>980</v>
      </c>
      <c r="C985" s="787"/>
      <c r="D985" s="787"/>
      <c r="E985" s="787"/>
      <c r="F985" s="787"/>
      <c r="G985" s="787"/>
      <c r="H985" s="787"/>
      <c r="I985" s="787"/>
      <c r="J985" s="787"/>
      <c r="K985" s="787"/>
    </row>
    <row r="986" spans="1:11" ht="15" hidden="1" x14ac:dyDescent="0.5">
      <c r="A986" s="510" t="s">
        <v>260</v>
      </c>
      <c r="B986" s="511"/>
      <c r="C986" s="511"/>
      <c r="D986" s="223"/>
      <c r="E986" s="512"/>
      <c r="F986" s="1309"/>
      <c r="G986" s="512"/>
      <c r="H986" s="513"/>
      <c r="I986" s="746"/>
      <c r="J986" s="746"/>
      <c r="K986" s="746"/>
    </row>
    <row r="987" spans="1:11" ht="15.3" hidden="1" thickBot="1" x14ac:dyDescent="0.5">
      <c r="A987" s="872" t="s">
        <v>603</v>
      </c>
      <c r="B987" s="514"/>
      <c r="C987" s="514"/>
      <c r="D987" s="515"/>
      <c r="E987" s="516" t="s">
        <v>222</v>
      </c>
      <c r="F987" s="1310"/>
      <c r="G987" s="873" t="e">
        <v>#DIV/0!</v>
      </c>
      <c r="H987" s="513"/>
      <c r="I987" s="746"/>
      <c r="J987" s="746"/>
      <c r="K987" s="746"/>
    </row>
    <row r="988" spans="1:11" ht="37.200000000000003" hidden="1" thickBot="1" x14ac:dyDescent="0.5">
      <c r="A988" s="517"/>
      <c r="B988" s="517"/>
      <c r="C988" s="517"/>
      <c r="D988" s="518"/>
      <c r="E988" s="873" t="s">
        <v>724</v>
      </c>
      <c r="F988" s="873" t="s">
        <v>664</v>
      </c>
      <c r="G988" s="874" t="s">
        <v>738</v>
      </c>
      <c r="H988" s="873" t="s">
        <v>667</v>
      </c>
      <c r="I988" s="873" t="s">
        <v>666</v>
      </c>
      <c r="J988" s="1297" t="s">
        <v>668</v>
      </c>
      <c r="K988" s="1298"/>
    </row>
    <row r="989" spans="1:11" ht="15" hidden="1" x14ac:dyDescent="0.5">
      <c r="A989" s="510" t="s">
        <v>268</v>
      </c>
      <c r="B989" s="517"/>
      <c r="C989" s="788">
        <v>2000</v>
      </c>
      <c r="D989" s="519">
        <v>-14</v>
      </c>
      <c r="E989" s="875">
        <v>301.3</v>
      </c>
      <c r="F989" s="876">
        <v>301.3</v>
      </c>
      <c r="G989" s="877">
        <v>301.3</v>
      </c>
      <c r="H989" s="878">
        <v>301.3</v>
      </c>
      <c r="I989" s="1303" t="s">
        <v>269</v>
      </c>
      <c r="J989" s="1299"/>
      <c r="K989" s="1300"/>
    </row>
    <row r="990" spans="1:11" ht="15" hidden="1" x14ac:dyDescent="0.45">
      <c r="A990" s="872" t="s">
        <v>46</v>
      </c>
      <c r="B990" s="517"/>
      <c r="C990" s="836">
        <v>2001</v>
      </c>
      <c r="D990" s="520">
        <v>-13</v>
      </c>
      <c r="E990" s="837"/>
      <c r="F990" s="876"/>
      <c r="G990" s="838">
        <v>519.76</v>
      </c>
      <c r="H990" s="839">
        <v>519.76</v>
      </c>
      <c r="I990" s="1304"/>
      <c r="J990" s="1299"/>
      <c r="K990" s="1300"/>
    </row>
    <row r="991" spans="1:11" ht="14.05" hidden="1" customHeight="1" x14ac:dyDescent="0.45">
      <c r="A991" s="517"/>
      <c r="B991" s="517"/>
      <c r="C991" s="836">
        <v>2002</v>
      </c>
      <c r="D991" s="520">
        <v>-12</v>
      </c>
      <c r="E991" s="837"/>
      <c r="F991" s="876"/>
      <c r="G991" s="838">
        <v>556.16999999999996</v>
      </c>
      <c r="H991" s="839">
        <v>556.16999999999996</v>
      </c>
      <c r="I991" s="1304"/>
      <c r="J991" s="1299"/>
      <c r="K991" s="1300"/>
    </row>
    <row r="992" spans="1:11" ht="15" hidden="1" x14ac:dyDescent="0.45">
      <c r="A992" s="676" t="s">
        <v>270</v>
      </c>
      <c r="B992" s="517"/>
      <c r="C992" s="836">
        <v>2003</v>
      </c>
      <c r="D992" s="520">
        <v>-11</v>
      </c>
      <c r="E992" s="837"/>
      <c r="F992" s="876"/>
      <c r="G992" s="838">
        <v>592.57999999999993</v>
      </c>
      <c r="H992" s="839">
        <v>592.57999999999993</v>
      </c>
      <c r="I992" s="1304"/>
      <c r="J992" s="1301"/>
      <c r="K992" s="1302"/>
    </row>
    <row r="993" spans="1:11" ht="14.1" hidden="1" x14ac:dyDescent="0.45">
      <c r="A993" s="1306" t="s">
        <v>725</v>
      </c>
      <c r="B993" s="517"/>
      <c r="C993" s="836">
        <v>2004</v>
      </c>
      <c r="D993" s="520">
        <v>-10</v>
      </c>
      <c r="E993" s="837"/>
      <c r="F993" s="876"/>
      <c r="G993" s="838">
        <v>628.99</v>
      </c>
      <c r="H993" s="839">
        <v>628.99</v>
      </c>
      <c r="I993" s="1304"/>
      <c r="J993" s="746"/>
      <c r="K993" s="746"/>
    </row>
    <row r="994" spans="1:11" ht="14.1" hidden="1" x14ac:dyDescent="0.45">
      <c r="A994" s="1307"/>
      <c r="B994" s="517"/>
      <c r="C994" s="836">
        <v>2005</v>
      </c>
      <c r="D994" s="520">
        <v>-9</v>
      </c>
      <c r="E994" s="837"/>
      <c r="F994" s="876"/>
      <c r="G994" s="838">
        <v>665.4</v>
      </c>
      <c r="H994" s="839">
        <v>665.4</v>
      </c>
      <c r="I994" s="1304"/>
      <c r="J994" s="746"/>
      <c r="K994" s="746"/>
    </row>
    <row r="995" spans="1:11" ht="14.1" hidden="1" x14ac:dyDescent="0.45">
      <c r="A995" s="1307"/>
      <c r="B995" s="517"/>
      <c r="C995" s="836">
        <v>2006</v>
      </c>
      <c r="D995" s="520">
        <v>-8</v>
      </c>
      <c r="E995" s="837"/>
      <c r="F995" s="876"/>
      <c r="G995" s="838">
        <v>701.81</v>
      </c>
      <c r="H995" s="839">
        <v>701.81</v>
      </c>
      <c r="I995" s="1305"/>
      <c r="J995" s="746"/>
      <c r="K995" s="746"/>
    </row>
    <row r="996" spans="1:11" ht="14.1" hidden="1" x14ac:dyDescent="0.45">
      <c r="A996" s="1308"/>
      <c r="B996" s="517"/>
      <c r="C996" s="836">
        <v>2007</v>
      </c>
      <c r="D996" s="520">
        <v>-7</v>
      </c>
      <c r="E996" s="837"/>
      <c r="F996" s="876"/>
      <c r="G996" s="840">
        <v>738.22</v>
      </c>
      <c r="H996" s="841">
        <v>738.22</v>
      </c>
      <c r="I996" s="789" t="s">
        <v>272</v>
      </c>
      <c r="J996" s="746"/>
      <c r="K996" s="746"/>
    </row>
    <row r="997" spans="1:11" ht="14.1" hidden="1" x14ac:dyDescent="0.45">
      <c r="A997" s="517"/>
      <c r="B997" s="517"/>
      <c r="C997" s="836">
        <v>2008</v>
      </c>
      <c r="D997" s="520">
        <v>-6</v>
      </c>
      <c r="E997" s="837"/>
      <c r="F997" s="876"/>
      <c r="G997" s="840">
        <v>774.63</v>
      </c>
      <c r="H997" s="841">
        <v>774.63</v>
      </c>
      <c r="I997" s="746"/>
      <c r="J997" s="746"/>
      <c r="K997" s="746"/>
    </row>
    <row r="998" spans="1:11" ht="15" hidden="1" x14ac:dyDescent="0.5">
      <c r="A998" s="521" t="s">
        <v>273</v>
      </c>
      <c r="B998" s="517"/>
      <c r="C998" s="836">
        <v>2009</v>
      </c>
      <c r="D998" s="520">
        <v>-5</v>
      </c>
      <c r="E998" s="837"/>
      <c r="F998" s="876"/>
      <c r="G998" s="840">
        <v>811.04</v>
      </c>
      <c r="H998" s="841">
        <v>811.04</v>
      </c>
      <c r="I998" s="746"/>
      <c r="J998" s="746"/>
      <c r="K998" s="746"/>
    </row>
    <row r="999" spans="1:11" ht="15" hidden="1" x14ac:dyDescent="0.45">
      <c r="A999" s="842">
        <v>2019</v>
      </c>
      <c r="B999" s="514"/>
      <c r="C999" s="836">
        <v>2010</v>
      </c>
      <c r="D999" s="520">
        <v>-4</v>
      </c>
      <c r="E999" s="837">
        <v>665.4</v>
      </c>
      <c r="F999" s="876">
        <v>665.4</v>
      </c>
      <c r="G999" s="840">
        <v>665.4</v>
      </c>
      <c r="H999" s="841">
        <v>665.4</v>
      </c>
      <c r="I999" s="746"/>
      <c r="J999" s="746"/>
      <c r="K999" s="746"/>
    </row>
    <row r="1000" spans="1:11" ht="14.1" hidden="1" x14ac:dyDescent="0.45">
      <c r="A1000" s="746"/>
      <c r="B1000" s="514"/>
      <c r="C1000" s="836">
        <v>2011</v>
      </c>
      <c r="D1000" s="520">
        <v>-3</v>
      </c>
      <c r="E1000" s="837"/>
      <c r="F1000" s="876"/>
      <c r="G1000" s="840">
        <v>883.8599999999999</v>
      </c>
      <c r="H1000" s="841">
        <v>883.8599999999999</v>
      </c>
      <c r="I1000" s="746"/>
      <c r="J1000" s="746"/>
      <c r="K1000" s="746"/>
    </row>
    <row r="1001" spans="1:11" ht="15" hidden="1" x14ac:dyDescent="0.5">
      <c r="A1001" s="521" t="s">
        <v>274</v>
      </c>
      <c r="B1001" s="514"/>
      <c r="C1001" s="836">
        <v>2012</v>
      </c>
      <c r="D1001" s="520">
        <v>-2</v>
      </c>
      <c r="E1001" s="837"/>
      <c r="F1001" s="876"/>
      <c r="G1001" s="840">
        <v>920.27</v>
      </c>
      <c r="H1001" s="841">
        <v>920.27</v>
      </c>
      <c r="I1001" s="746"/>
      <c r="J1001" s="746"/>
      <c r="K1001" s="746"/>
    </row>
    <row r="1002" spans="1:11" ht="15" hidden="1" x14ac:dyDescent="0.45">
      <c r="A1002" s="842" t="s">
        <v>724</v>
      </c>
      <c r="B1002" s="514"/>
      <c r="C1002" s="836">
        <v>2013</v>
      </c>
      <c r="D1002" s="520">
        <v>-1</v>
      </c>
      <c r="E1002" s="837"/>
      <c r="F1002" s="876"/>
      <c r="G1002" s="840">
        <v>956.68</v>
      </c>
      <c r="H1002" s="841">
        <v>956.68</v>
      </c>
      <c r="I1002" s="746"/>
      <c r="J1002" s="746"/>
      <c r="K1002" s="746"/>
    </row>
    <row r="1003" spans="1:11" ht="15" hidden="1" x14ac:dyDescent="0.5">
      <c r="A1003" s="790"/>
      <c r="B1003" s="522"/>
      <c r="C1003" s="836">
        <v>2014</v>
      </c>
      <c r="D1003" s="520">
        <v>0</v>
      </c>
      <c r="E1003" s="837"/>
      <c r="F1003" s="876"/>
      <c r="G1003" s="840">
        <v>993.08999999999992</v>
      </c>
      <c r="H1003" s="841">
        <v>993.08999999999992</v>
      </c>
      <c r="I1003" s="746"/>
      <c r="J1003" s="746"/>
      <c r="K1003" s="746"/>
    </row>
    <row r="1004" spans="1:11" ht="15" hidden="1" x14ac:dyDescent="0.45">
      <c r="A1004" s="895" t="s">
        <v>275</v>
      </c>
      <c r="B1004" s="514"/>
      <c r="C1004" s="836">
        <v>2015</v>
      </c>
      <c r="D1004" s="520">
        <v>1</v>
      </c>
      <c r="E1004" s="837"/>
      <c r="F1004" s="876"/>
      <c r="G1004" s="840">
        <v>1029.5</v>
      </c>
      <c r="H1004" s="841">
        <v>1029.5</v>
      </c>
      <c r="I1004" s="746"/>
      <c r="J1004" s="746"/>
      <c r="K1004" s="746"/>
    </row>
    <row r="1005" spans="1:11" ht="15" hidden="1" x14ac:dyDescent="0.45">
      <c r="A1005" s="791"/>
      <c r="B1005" s="514"/>
      <c r="C1005" s="836">
        <v>2016</v>
      </c>
      <c r="D1005" s="520">
        <v>2</v>
      </c>
      <c r="E1005" s="837"/>
      <c r="F1005" s="876"/>
      <c r="G1005" s="840">
        <v>1065.9099999999999</v>
      </c>
      <c r="H1005" s="841">
        <v>1065.9099999999999</v>
      </c>
      <c r="I1005" s="746"/>
      <c r="J1005" s="746"/>
      <c r="K1005" s="746"/>
    </row>
    <row r="1006" spans="1:11" ht="15" hidden="1" x14ac:dyDescent="0.45">
      <c r="A1006" s="892"/>
      <c r="B1006" s="514"/>
      <c r="C1006" s="836">
        <v>2017</v>
      </c>
      <c r="D1006" s="520">
        <v>3</v>
      </c>
      <c r="E1006" s="837"/>
      <c r="F1006" s="876"/>
      <c r="G1006" s="840">
        <v>1102.32</v>
      </c>
      <c r="H1006" s="841">
        <v>1102.32</v>
      </c>
      <c r="I1006" s="746"/>
      <c r="J1006" s="746"/>
      <c r="K1006" s="746"/>
    </row>
    <row r="1007" spans="1:11" ht="15" hidden="1" x14ac:dyDescent="0.45">
      <c r="A1007" s="842"/>
      <c r="B1007" s="514"/>
      <c r="C1007" s="836">
        <v>2018</v>
      </c>
      <c r="D1007" s="520">
        <v>4</v>
      </c>
      <c r="E1007" s="837"/>
      <c r="F1007" s="876"/>
      <c r="G1007" s="840">
        <v>1138.73</v>
      </c>
      <c r="H1007" s="841">
        <v>1138.73</v>
      </c>
      <c r="I1007" s="746"/>
      <c r="J1007" s="746"/>
      <c r="K1007" s="746"/>
    </row>
    <row r="1008" spans="1:11" ht="14.1" hidden="1" x14ac:dyDescent="0.45">
      <c r="A1008" s="514"/>
      <c r="B1008" s="514"/>
      <c r="C1008" s="836">
        <v>2019</v>
      </c>
      <c r="D1008" s="520">
        <v>5</v>
      </c>
      <c r="E1008" s="837"/>
      <c r="F1008" s="876"/>
      <c r="G1008" s="840">
        <v>1175.1399999999999</v>
      </c>
      <c r="H1008" s="841">
        <v>1175.1399999999999</v>
      </c>
      <c r="I1008" s="746"/>
      <c r="J1008" s="746"/>
      <c r="K1008" s="746"/>
    </row>
    <row r="1009" spans="1:11" ht="14.1" hidden="1" x14ac:dyDescent="0.45">
      <c r="A1009" s="514"/>
      <c r="B1009" s="514"/>
      <c r="C1009" s="836">
        <v>2020</v>
      </c>
      <c r="D1009" s="520">
        <v>6</v>
      </c>
      <c r="E1009" s="837"/>
      <c r="F1009" s="876"/>
      <c r="G1009" s="840">
        <v>1211.55</v>
      </c>
      <c r="H1009" s="841">
        <v>1211.55</v>
      </c>
      <c r="I1009" s="746"/>
      <c r="J1009" s="746"/>
      <c r="K1009" s="746"/>
    </row>
    <row r="1010" spans="1:11" ht="14.1" hidden="1" x14ac:dyDescent="0.45">
      <c r="A1010" s="514"/>
      <c r="B1010" s="514"/>
      <c r="C1010" s="836">
        <v>2021</v>
      </c>
      <c r="D1010" s="520">
        <v>7</v>
      </c>
      <c r="E1010" s="837"/>
      <c r="F1010" s="876"/>
      <c r="G1010" s="840">
        <v>1247.96</v>
      </c>
      <c r="H1010" s="841">
        <v>1247.96</v>
      </c>
      <c r="I1010" s="746"/>
      <c r="J1010" s="746"/>
      <c r="K1010" s="746"/>
    </row>
    <row r="1011" spans="1:11" ht="14.1" hidden="1" x14ac:dyDescent="0.45">
      <c r="A1011" s="514"/>
      <c r="B1011" s="514"/>
      <c r="C1011" s="836">
        <v>2022</v>
      </c>
      <c r="D1011" s="520">
        <v>8</v>
      </c>
      <c r="E1011" s="837"/>
      <c r="F1011" s="876"/>
      <c r="G1011" s="840">
        <v>1284.3699999999999</v>
      </c>
      <c r="H1011" s="841">
        <v>1284.3699999999999</v>
      </c>
      <c r="I1011" s="746"/>
      <c r="J1011" s="746"/>
      <c r="K1011" s="746"/>
    </row>
    <row r="1012" spans="1:11" ht="14.1" hidden="1" x14ac:dyDescent="0.45">
      <c r="A1012" s="514"/>
      <c r="B1012" s="514"/>
      <c r="C1012" s="836">
        <v>2023</v>
      </c>
      <c r="D1012" s="520">
        <v>9</v>
      </c>
      <c r="E1012" s="837"/>
      <c r="F1012" s="876"/>
      <c r="G1012" s="840">
        <v>1320.78</v>
      </c>
      <c r="H1012" s="841">
        <v>1320.78</v>
      </c>
      <c r="I1012" s="746"/>
      <c r="J1012" s="746"/>
      <c r="K1012" s="746"/>
    </row>
    <row r="1013" spans="1:11" ht="14.1" hidden="1" x14ac:dyDescent="0.45">
      <c r="A1013" s="514"/>
      <c r="B1013" s="514"/>
      <c r="C1013" s="836">
        <v>2024</v>
      </c>
      <c r="D1013" s="520">
        <v>10</v>
      </c>
      <c r="E1013" s="837"/>
      <c r="F1013" s="876"/>
      <c r="G1013" s="840">
        <v>1357.19</v>
      </c>
      <c r="H1013" s="841">
        <v>1357.19</v>
      </c>
      <c r="I1013" s="746"/>
      <c r="J1013" s="746"/>
      <c r="K1013" s="746"/>
    </row>
    <row r="1014" spans="1:11" ht="14.1" hidden="1" x14ac:dyDescent="0.45">
      <c r="A1014" s="514"/>
      <c r="B1014" s="514"/>
      <c r="C1014" s="836">
        <v>2025</v>
      </c>
      <c r="D1014" s="520">
        <v>11</v>
      </c>
      <c r="E1014" s="837"/>
      <c r="F1014" s="876"/>
      <c r="G1014" s="840">
        <v>1393.6</v>
      </c>
      <c r="H1014" s="841">
        <v>1393.6</v>
      </c>
      <c r="I1014" s="746"/>
      <c r="J1014" s="746"/>
      <c r="K1014" s="746"/>
    </row>
    <row r="1015" spans="1:11" ht="14.1" hidden="1" x14ac:dyDescent="0.45">
      <c r="A1015" s="514"/>
      <c r="B1015" s="514"/>
      <c r="C1015" s="836">
        <v>2026</v>
      </c>
      <c r="D1015" s="520">
        <v>12</v>
      </c>
      <c r="E1015" s="837"/>
      <c r="F1015" s="876"/>
      <c r="G1015" s="840">
        <v>1430.0099999999998</v>
      </c>
      <c r="H1015" s="841">
        <v>1430.0099999999998</v>
      </c>
      <c r="I1015" s="746"/>
      <c r="J1015" s="746"/>
      <c r="K1015" s="746"/>
    </row>
    <row r="1016" spans="1:11" ht="14.1" hidden="1" x14ac:dyDescent="0.45">
      <c r="A1016" s="514"/>
      <c r="B1016" s="514"/>
      <c r="C1016" s="836">
        <v>2027</v>
      </c>
      <c r="D1016" s="520">
        <v>13</v>
      </c>
      <c r="E1016" s="837"/>
      <c r="F1016" s="876"/>
      <c r="G1016" s="840">
        <v>1466.4199999999998</v>
      </c>
      <c r="H1016" s="841">
        <v>1466.4199999999998</v>
      </c>
      <c r="I1016" s="746"/>
      <c r="J1016" s="746"/>
      <c r="K1016" s="746"/>
    </row>
    <row r="1017" spans="1:11" ht="14.1" hidden="1" x14ac:dyDescent="0.45">
      <c r="A1017" s="522"/>
      <c r="B1017" s="522"/>
      <c r="C1017" s="836">
        <v>2028</v>
      </c>
      <c r="D1017" s="520">
        <v>14</v>
      </c>
      <c r="E1017" s="837"/>
      <c r="F1017" s="876"/>
      <c r="G1017" s="840">
        <v>1502.83</v>
      </c>
      <c r="H1017" s="841">
        <v>1502.83</v>
      </c>
      <c r="I1017" s="746"/>
      <c r="J1017" s="746"/>
      <c r="K1017" s="746"/>
    </row>
    <row r="1018" spans="1:11" ht="14.1" hidden="1" x14ac:dyDescent="0.45">
      <c r="A1018" s="522"/>
      <c r="B1018" s="522"/>
      <c r="C1018" s="836">
        <v>2029</v>
      </c>
      <c r="D1018" s="520">
        <v>15</v>
      </c>
      <c r="E1018" s="837"/>
      <c r="F1018" s="876"/>
      <c r="G1018" s="840">
        <v>1539.2399999999998</v>
      </c>
      <c r="H1018" s="841">
        <v>1539.2399999999998</v>
      </c>
      <c r="I1018" s="746"/>
      <c r="J1018" s="746"/>
      <c r="K1018" s="746"/>
    </row>
    <row r="1019" spans="1:11" ht="14.1" hidden="1" x14ac:dyDescent="0.45">
      <c r="A1019" s="522"/>
      <c r="B1019" s="522"/>
      <c r="C1019" s="836">
        <v>2030</v>
      </c>
      <c r="D1019" s="520">
        <v>16</v>
      </c>
      <c r="E1019" s="837"/>
      <c r="F1019" s="876"/>
      <c r="G1019" s="840">
        <v>1575.6499999999999</v>
      </c>
      <c r="H1019" s="841">
        <v>1575.6499999999999</v>
      </c>
      <c r="I1019" s="746"/>
      <c r="J1019" s="746"/>
      <c r="K1019" s="746"/>
    </row>
    <row r="1020" spans="1:11" ht="14.1" hidden="1" x14ac:dyDescent="0.45">
      <c r="A1020" s="522"/>
      <c r="B1020" s="522"/>
      <c r="C1020" s="836">
        <v>2031</v>
      </c>
      <c r="D1020" s="520">
        <v>17</v>
      </c>
      <c r="E1020" s="837"/>
      <c r="F1020" s="876"/>
      <c r="G1020" s="840">
        <v>1612.06</v>
      </c>
      <c r="H1020" s="841">
        <v>1612.06</v>
      </c>
      <c r="I1020" s="746"/>
      <c r="J1020" s="746"/>
      <c r="K1020" s="746"/>
    </row>
    <row r="1021" spans="1:11" ht="14.1" hidden="1" x14ac:dyDescent="0.45">
      <c r="A1021" s="522"/>
      <c r="B1021" s="522"/>
      <c r="C1021" s="836">
        <v>2032</v>
      </c>
      <c r="D1021" s="520">
        <v>18</v>
      </c>
      <c r="E1021" s="837"/>
      <c r="F1021" s="876"/>
      <c r="G1021" s="840">
        <v>1648.4699999999998</v>
      </c>
      <c r="H1021" s="841">
        <v>1648.4699999999998</v>
      </c>
      <c r="I1021" s="746"/>
      <c r="J1021" s="746"/>
      <c r="K1021" s="746"/>
    </row>
    <row r="1022" spans="1:11" ht="14.1" hidden="1" x14ac:dyDescent="0.45">
      <c r="A1022" s="522"/>
      <c r="B1022" s="522"/>
      <c r="C1022" s="836">
        <v>2033</v>
      </c>
      <c r="D1022" s="520">
        <v>19</v>
      </c>
      <c r="E1022" s="837"/>
      <c r="F1022" s="876"/>
      <c r="G1022" s="840">
        <v>1684.8799999999999</v>
      </c>
      <c r="H1022" s="841">
        <v>1684.8799999999999</v>
      </c>
      <c r="I1022" s="746"/>
      <c r="J1022" s="746"/>
      <c r="K1022" s="746"/>
    </row>
    <row r="1023" spans="1:11" ht="14.1" hidden="1" x14ac:dyDescent="0.45">
      <c r="A1023" s="522"/>
      <c r="B1023" s="522"/>
      <c r="C1023" s="836">
        <v>2034</v>
      </c>
      <c r="D1023" s="520">
        <v>20</v>
      </c>
      <c r="E1023" s="837"/>
      <c r="F1023" s="876"/>
      <c r="G1023" s="840">
        <v>1721.29</v>
      </c>
      <c r="H1023" s="841">
        <v>1721.29</v>
      </c>
      <c r="I1023" s="746"/>
      <c r="J1023" s="746"/>
      <c r="K1023" s="746"/>
    </row>
    <row r="1024" spans="1:11" ht="14.1" hidden="1" x14ac:dyDescent="0.45">
      <c r="A1024" s="522"/>
      <c r="B1024" s="522"/>
      <c r="C1024" s="836">
        <v>2035</v>
      </c>
      <c r="D1024" s="520">
        <v>21</v>
      </c>
      <c r="E1024" s="837"/>
      <c r="F1024" s="876"/>
      <c r="G1024" s="840">
        <v>1757.6999999999998</v>
      </c>
      <c r="H1024" s="841">
        <v>1757.6999999999998</v>
      </c>
      <c r="I1024" s="746"/>
      <c r="J1024" s="746"/>
      <c r="K1024" s="746"/>
    </row>
    <row r="1025" spans="1:11" ht="14.1" hidden="1" x14ac:dyDescent="0.45">
      <c r="A1025" s="522"/>
      <c r="B1025" s="522"/>
      <c r="C1025" s="836">
        <v>2036</v>
      </c>
      <c r="D1025" s="520">
        <v>22</v>
      </c>
      <c r="E1025" s="837"/>
      <c r="F1025" s="876"/>
      <c r="G1025" s="840">
        <v>1794.11</v>
      </c>
      <c r="H1025" s="841">
        <v>1794.11</v>
      </c>
      <c r="I1025" s="746"/>
      <c r="J1025" s="746"/>
      <c r="K1025" s="746"/>
    </row>
    <row r="1026" spans="1:11" ht="14.1" hidden="1" x14ac:dyDescent="0.45">
      <c r="A1026" s="522"/>
      <c r="B1026" s="522"/>
      <c r="C1026" s="836">
        <v>2037</v>
      </c>
      <c r="D1026" s="520">
        <v>23</v>
      </c>
      <c r="E1026" s="837"/>
      <c r="F1026" s="876"/>
      <c r="G1026" s="840">
        <v>1830.52</v>
      </c>
      <c r="H1026" s="841">
        <v>1830.52</v>
      </c>
      <c r="I1026" s="746"/>
      <c r="J1026" s="746"/>
      <c r="K1026" s="746"/>
    </row>
    <row r="1027" spans="1:11" ht="14.1" hidden="1" x14ac:dyDescent="0.45">
      <c r="A1027" s="522"/>
      <c r="B1027" s="522"/>
      <c r="C1027" s="836">
        <v>2038</v>
      </c>
      <c r="D1027" s="520">
        <v>24</v>
      </c>
      <c r="E1027" s="837"/>
      <c r="F1027" s="876"/>
      <c r="G1027" s="840">
        <v>1866.9299999999998</v>
      </c>
      <c r="H1027" s="841">
        <v>1866.9299999999998</v>
      </c>
      <c r="I1027" s="746"/>
      <c r="J1027" s="746"/>
      <c r="K1027" s="746"/>
    </row>
    <row r="1028" spans="1:11" ht="14.1" hidden="1" x14ac:dyDescent="0.45">
      <c r="A1028" s="522"/>
      <c r="B1028" s="522"/>
      <c r="C1028" s="836">
        <v>2039</v>
      </c>
      <c r="D1028" s="520">
        <v>25</v>
      </c>
      <c r="E1028" s="837"/>
      <c r="F1028" s="876"/>
      <c r="G1028" s="840">
        <v>1903.34</v>
      </c>
      <c r="H1028" s="841">
        <v>1903.34</v>
      </c>
      <c r="I1028" s="746"/>
      <c r="J1028" s="746"/>
      <c r="K1028" s="746"/>
    </row>
    <row r="1029" spans="1:11" ht="14.1" hidden="1" x14ac:dyDescent="0.45">
      <c r="A1029" s="522"/>
      <c r="B1029" s="522"/>
      <c r="C1029" s="836">
        <v>2040</v>
      </c>
      <c r="D1029" s="520">
        <v>26</v>
      </c>
      <c r="E1029" s="837"/>
      <c r="F1029" s="876"/>
      <c r="G1029" s="840">
        <v>1939.7499999999998</v>
      </c>
      <c r="H1029" s="841">
        <v>1939.7499999999998</v>
      </c>
      <c r="I1029" s="746"/>
      <c r="J1029" s="746"/>
      <c r="K1029" s="746"/>
    </row>
    <row r="1030" spans="1:11" ht="14.1" hidden="1" x14ac:dyDescent="0.45">
      <c r="A1030" s="522"/>
      <c r="B1030" s="522"/>
      <c r="C1030" s="836">
        <v>2041</v>
      </c>
      <c r="D1030" s="520">
        <v>27</v>
      </c>
      <c r="E1030" s="837"/>
      <c r="F1030" s="876"/>
      <c r="G1030" s="840">
        <v>1976.1599999999999</v>
      </c>
      <c r="H1030" s="841">
        <v>1976.1599999999999</v>
      </c>
      <c r="I1030" s="746"/>
      <c r="J1030" s="746"/>
      <c r="K1030" s="746"/>
    </row>
    <row r="1031" spans="1:11" ht="14.1" hidden="1" x14ac:dyDescent="0.45">
      <c r="A1031" s="523"/>
      <c r="B1031" s="524"/>
      <c r="C1031" s="836">
        <v>2042</v>
      </c>
      <c r="D1031" s="520">
        <v>28</v>
      </c>
      <c r="E1031" s="837"/>
      <c r="F1031" s="876"/>
      <c r="G1031" s="840">
        <v>2012.57</v>
      </c>
      <c r="H1031" s="841">
        <v>2012.57</v>
      </c>
      <c r="I1031" s="746"/>
      <c r="J1031" s="746"/>
      <c r="K1031" s="746"/>
    </row>
    <row r="1032" spans="1:11" ht="14.1" hidden="1" x14ac:dyDescent="0.45">
      <c r="A1032" s="746"/>
      <c r="B1032" s="524"/>
      <c r="C1032" s="836">
        <v>2043</v>
      </c>
      <c r="D1032" s="520">
        <v>29</v>
      </c>
      <c r="E1032" s="837"/>
      <c r="F1032" s="876"/>
      <c r="G1032" s="840">
        <v>2048.9799999999996</v>
      </c>
      <c r="H1032" s="841">
        <v>2048.9799999999996</v>
      </c>
      <c r="I1032" s="746"/>
      <c r="J1032" s="746"/>
      <c r="K1032" s="746"/>
    </row>
    <row r="1033" spans="1:11" ht="14.1" hidden="1" x14ac:dyDescent="0.4">
      <c r="A1033" s="746"/>
      <c r="B1033" s="746"/>
      <c r="C1033" s="836">
        <v>2044</v>
      </c>
      <c r="D1033" s="520">
        <v>30</v>
      </c>
      <c r="E1033" s="837"/>
      <c r="F1033" s="876"/>
      <c r="G1033" s="840">
        <v>2085.39</v>
      </c>
      <c r="H1033" s="841">
        <v>2085.39</v>
      </c>
      <c r="I1033" s="746"/>
      <c r="J1033" s="746"/>
      <c r="K1033" s="746"/>
    </row>
    <row r="1034" spans="1:11" ht="14.1" hidden="1" x14ac:dyDescent="0.4">
      <c r="A1034" s="746"/>
      <c r="B1034" s="746"/>
      <c r="C1034" s="836">
        <v>2045</v>
      </c>
      <c r="D1034" s="520">
        <v>31</v>
      </c>
      <c r="E1034" s="837"/>
      <c r="F1034" s="876"/>
      <c r="G1034" s="840">
        <v>2121.7999999999997</v>
      </c>
      <c r="H1034" s="841">
        <v>2121.7999999999997</v>
      </c>
      <c r="I1034" s="746"/>
      <c r="J1034" s="746"/>
      <c r="K1034" s="746"/>
    </row>
    <row r="1035" spans="1:11" ht="14.1" hidden="1" x14ac:dyDescent="0.4">
      <c r="C1035" s="836">
        <v>2046</v>
      </c>
      <c r="D1035" s="520">
        <v>32</v>
      </c>
      <c r="E1035" s="837"/>
      <c r="F1035" s="876"/>
      <c r="G1035" s="840">
        <v>2158.21</v>
      </c>
      <c r="H1035" s="841">
        <v>2158.21</v>
      </c>
    </row>
    <row r="1036" spans="1:11" ht="14.1" hidden="1" x14ac:dyDescent="0.4">
      <c r="C1036" s="836">
        <v>2047</v>
      </c>
      <c r="D1036" s="520">
        <v>33</v>
      </c>
      <c r="E1036" s="837"/>
      <c r="F1036" s="876"/>
      <c r="G1036" s="840">
        <v>2194.62</v>
      </c>
      <c r="H1036" s="841">
        <v>2194.62</v>
      </c>
    </row>
    <row r="1037" spans="1:11" ht="14.1" hidden="1" x14ac:dyDescent="0.4">
      <c r="C1037" s="836">
        <v>2048</v>
      </c>
      <c r="D1037" s="520">
        <v>34</v>
      </c>
      <c r="E1037" s="837"/>
      <c r="F1037" s="876"/>
      <c r="G1037" s="840">
        <v>2231.0299999999997</v>
      </c>
      <c r="H1037" s="841">
        <v>2231.0299999999997</v>
      </c>
    </row>
    <row r="1038" spans="1:11" ht="14.1" hidden="1" x14ac:dyDescent="0.4">
      <c r="C1038" s="836">
        <v>2049</v>
      </c>
      <c r="D1038" s="520">
        <v>35</v>
      </c>
      <c r="E1038" s="837"/>
      <c r="F1038" s="876"/>
      <c r="G1038" s="840">
        <v>2267.4399999999996</v>
      </c>
      <c r="H1038" s="841">
        <v>2267.4399999999996</v>
      </c>
    </row>
    <row r="1039" spans="1:11" ht="14.1" hidden="1" x14ac:dyDescent="0.4">
      <c r="C1039" s="836">
        <v>2050</v>
      </c>
      <c r="D1039" s="520">
        <v>36</v>
      </c>
      <c r="E1039" s="837"/>
      <c r="F1039" s="876"/>
      <c r="G1039" s="840">
        <v>2303.85</v>
      </c>
      <c r="H1039" s="841">
        <v>2303.85</v>
      </c>
    </row>
    <row r="1040" spans="1:11" ht="14.1" hidden="1" x14ac:dyDescent="0.4">
      <c r="C1040" s="836">
        <v>2051</v>
      </c>
      <c r="D1040" s="520">
        <v>37</v>
      </c>
      <c r="E1040" s="837"/>
      <c r="F1040" s="876"/>
      <c r="G1040" s="840">
        <v>2340.2599999999998</v>
      </c>
      <c r="H1040" s="841">
        <v>2340.2599999999998</v>
      </c>
    </row>
    <row r="1041" spans="1:11" ht="14.1" hidden="1" x14ac:dyDescent="0.4">
      <c r="C1041" s="836">
        <v>2052</v>
      </c>
      <c r="D1041" s="520">
        <v>38</v>
      </c>
      <c r="E1041" s="837"/>
      <c r="F1041" s="876"/>
      <c r="G1041" s="840">
        <v>2376.67</v>
      </c>
      <c r="H1041" s="841">
        <v>2376.67</v>
      </c>
    </row>
    <row r="1042" spans="1:11" ht="14.1" hidden="1" x14ac:dyDescent="0.4">
      <c r="C1042" s="836">
        <v>2053</v>
      </c>
      <c r="D1042" s="520">
        <v>39</v>
      </c>
      <c r="E1042" s="837"/>
      <c r="F1042" s="876"/>
      <c r="G1042" s="840">
        <v>2413.08</v>
      </c>
      <c r="H1042" s="841">
        <v>2413.08</v>
      </c>
    </row>
    <row r="1043" spans="1:11" ht="14.1" hidden="1" x14ac:dyDescent="0.4">
      <c r="C1043" s="836">
        <v>2054</v>
      </c>
      <c r="D1043" s="520">
        <v>40</v>
      </c>
      <c r="E1043" s="837"/>
      <c r="F1043" s="876"/>
      <c r="G1043" s="840">
        <v>2449.4899999999998</v>
      </c>
      <c r="H1043" s="841">
        <v>2449.4899999999998</v>
      </c>
    </row>
    <row r="1044" spans="1:11" ht="14.1" hidden="1" x14ac:dyDescent="0.4">
      <c r="C1044" s="843">
        <v>2055</v>
      </c>
      <c r="D1044" s="520">
        <v>41</v>
      </c>
      <c r="E1044" s="837"/>
      <c r="F1044" s="876"/>
      <c r="G1044" s="840">
        <v>2485.8999999999996</v>
      </c>
      <c r="H1044" s="841">
        <v>2485.8999999999996</v>
      </c>
    </row>
    <row r="1045" spans="1:11" hidden="1" x14ac:dyDescent="0.4"/>
    <row r="1046" spans="1:11" hidden="1" x14ac:dyDescent="0.4"/>
    <row r="1047" spans="1:11" ht="15" hidden="1" x14ac:dyDescent="0.5">
      <c r="A1047" s="621" t="str">
        <f ca="1">HYPERLINK("#"&amp;"'"&amp;A$1&amp;"'!a1","Back to top")</f>
        <v>Back to top</v>
      </c>
    </row>
    <row r="1048" spans="1:11" hidden="1" x14ac:dyDescent="0.4"/>
    <row r="1049" spans="1:11" hidden="1" x14ac:dyDescent="0.4"/>
    <row r="1050" spans="1:11" ht="15" hidden="1" x14ac:dyDescent="0.5">
      <c r="A1050" s="508">
        <v>14</v>
      </c>
      <c r="B1050" s="509" t="s">
        <v>981</v>
      </c>
      <c r="C1050" s="787"/>
      <c r="D1050" s="787"/>
      <c r="E1050" s="787"/>
      <c r="F1050" s="787"/>
      <c r="G1050" s="787"/>
      <c r="H1050" s="787"/>
      <c r="I1050" s="787"/>
      <c r="J1050" s="787"/>
      <c r="K1050" s="787"/>
    </row>
    <row r="1051" spans="1:11" ht="15" hidden="1" x14ac:dyDescent="0.5">
      <c r="A1051" s="510" t="s">
        <v>260</v>
      </c>
      <c r="B1051" s="511"/>
      <c r="C1051" s="511"/>
      <c r="D1051" s="223"/>
      <c r="E1051" s="512"/>
      <c r="F1051" s="1309"/>
      <c r="G1051" s="512"/>
      <c r="H1051" s="513"/>
      <c r="I1051" s="746"/>
      <c r="J1051" s="746"/>
      <c r="K1051" s="746"/>
    </row>
    <row r="1052" spans="1:11" ht="15.3" hidden="1" thickBot="1" x14ac:dyDescent="0.5">
      <c r="A1052" s="872" t="s">
        <v>603</v>
      </c>
      <c r="B1052" s="514"/>
      <c r="C1052" s="514"/>
      <c r="D1052" s="515"/>
      <c r="E1052" s="516" t="s">
        <v>222</v>
      </c>
      <c r="F1052" s="1310"/>
      <c r="G1052" s="873" t="e">
        <v>#DIV/0!</v>
      </c>
      <c r="H1052" s="513"/>
      <c r="I1052" s="746"/>
      <c r="J1052" s="746"/>
      <c r="K1052" s="746"/>
    </row>
    <row r="1053" spans="1:11" ht="37.200000000000003" hidden="1" thickBot="1" x14ac:dyDescent="0.5">
      <c r="A1053" s="517"/>
      <c r="B1053" s="517"/>
      <c r="C1053" s="517"/>
      <c r="D1053" s="518"/>
      <c r="E1053" s="873" t="s">
        <v>724</v>
      </c>
      <c r="F1053" s="873" t="s">
        <v>664</v>
      </c>
      <c r="G1053" s="874" t="s">
        <v>738</v>
      </c>
      <c r="H1053" s="873" t="s">
        <v>667</v>
      </c>
      <c r="I1053" s="873" t="s">
        <v>666</v>
      </c>
      <c r="J1053" s="1297" t="s">
        <v>668</v>
      </c>
      <c r="K1053" s="1298"/>
    </row>
    <row r="1054" spans="1:11" ht="15" hidden="1" x14ac:dyDescent="0.5">
      <c r="A1054" s="510" t="s">
        <v>268</v>
      </c>
      <c r="B1054" s="517"/>
      <c r="C1054" s="788">
        <v>2000</v>
      </c>
      <c r="D1054" s="519">
        <v>-14</v>
      </c>
      <c r="E1054" s="875">
        <v>95.4</v>
      </c>
      <c r="F1054" s="876">
        <v>95.4</v>
      </c>
      <c r="G1054" s="877">
        <v>95.4</v>
      </c>
      <c r="H1054" s="878">
        <v>95.4</v>
      </c>
      <c r="I1054" s="1303" t="s">
        <v>269</v>
      </c>
      <c r="J1054" s="1299"/>
      <c r="K1054" s="1300"/>
    </row>
    <row r="1055" spans="1:11" ht="15" hidden="1" x14ac:dyDescent="0.45">
      <c r="A1055" s="872" t="s">
        <v>49</v>
      </c>
      <c r="B1055" s="517"/>
      <c r="C1055" s="836">
        <v>2001</v>
      </c>
      <c r="D1055" s="520">
        <v>-13</v>
      </c>
      <c r="E1055" s="837"/>
      <c r="F1055" s="876"/>
      <c r="G1055" s="838">
        <v>217.85999999999999</v>
      </c>
      <c r="H1055" s="839">
        <v>217.85999999999999</v>
      </c>
      <c r="I1055" s="1304"/>
      <c r="J1055" s="1299"/>
      <c r="K1055" s="1300"/>
    </row>
    <row r="1056" spans="1:11" ht="14.05" hidden="1" customHeight="1" x14ac:dyDescent="0.45">
      <c r="A1056" s="517"/>
      <c r="B1056" s="517"/>
      <c r="C1056" s="836">
        <v>2002</v>
      </c>
      <c r="D1056" s="520">
        <v>-12</v>
      </c>
      <c r="E1056" s="837"/>
      <c r="F1056" s="876"/>
      <c r="G1056" s="838">
        <v>238.26999999999998</v>
      </c>
      <c r="H1056" s="839">
        <v>238.26999999999998</v>
      </c>
      <c r="I1056" s="1304"/>
      <c r="J1056" s="1299"/>
      <c r="K1056" s="1300"/>
    </row>
    <row r="1057" spans="1:11" ht="15" hidden="1" x14ac:dyDescent="0.45">
      <c r="A1057" s="676" t="s">
        <v>270</v>
      </c>
      <c r="B1057" s="517"/>
      <c r="C1057" s="836">
        <v>2003</v>
      </c>
      <c r="D1057" s="520">
        <v>-11</v>
      </c>
      <c r="E1057" s="837"/>
      <c r="F1057" s="876"/>
      <c r="G1057" s="838">
        <v>258.67999999999995</v>
      </c>
      <c r="H1057" s="839">
        <v>258.67999999999995</v>
      </c>
      <c r="I1057" s="1304"/>
      <c r="J1057" s="1301"/>
      <c r="K1057" s="1302"/>
    </row>
    <row r="1058" spans="1:11" ht="14.1" hidden="1" x14ac:dyDescent="0.45">
      <c r="A1058" s="1306" t="s">
        <v>725</v>
      </c>
      <c r="B1058" s="517"/>
      <c r="C1058" s="836">
        <v>2004</v>
      </c>
      <c r="D1058" s="520">
        <v>-10</v>
      </c>
      <c r="E1058" s="837"/>
      <c r="F1058" s="876"/>
      <c r="G1058" s="838">
        <v>279.08999999999997</v>
      </c>
      <c r="H1058" s="839">
        <v>279.08999999999997</v>
      </c>
      <c r="I1058" s="1304"/>
      <c r="J1058" s="746"/>
      <c r="K1058" s="746"/>
    </row>
    <row r="1059" spans="1:11" ht="14.1" hidden="1" x14ac:dyDescent="0.45">
      <c r="A1059" s="1307"/>
      <c r="B1059" s="517"/>
      <c r="C1059" s="836">
        <v>2005</v>
      </c>
      <c r="D1059" s="520">
        <v>-9</v>
      </c>
      <c r="E1059" s="837"/>
      <c r="F1059" s="876"/>
      <c r="G1059" s="838">
        <v>299.5</v>
      </c>
      <c r="H1059" s="839">
        <v>299.5</v>
      </c>
      <c r="I1059" s="1304"/>
      <c r="J1059" s="746"/>
      <c r="K1059" s="746"/>
    </row>
    <row r="1060" spans="1:11" ht="14.1" hidden="1" x14ac:dyDescent="0.45">
      <c r="A1060" s="1307"/>
      <c r="B1060" s="517"/>
      <c r="C1060" s="836">
        <v>2006</v>
      </c>
      <c r="D1060" s="520">
        <v>-8</v>
      </c>
      <c r="E1060" s="837"/>
      <c r="F1060" s="876"/>
      <c r="G1060" s="838">
        <v>319.90999999999997</v>
      </c>
      <c r="H1060" s="839">
        <v>319.90999999999997</v>
      </c>
      <c r="I1060" s="1305"/>
      <c r="J1060" s="746"/>
      <c r="K1060" s="746"/>
    </row>
    <row r="1061" spans="1:11" ht="14.1" hidden="1" x14ac:dyDescent="0.45">
      <c r="A1061" s="1308"/>
      <c r="B1061" s="517"/>
      <c r="C1061" s="836">
        <v>2007</v>
      </c>
      <c r="D1061" s="520">
        <v>-7</v>
      </c>
      <c r="E1061" s="837"/>
      <c r="F1061" s="876"/>
      <c r="G1061" s="840">
        <v>340.32</v>
      </c>
      <c r="H1061" s="841">
        <v>340.32</v>
      </c>
      <c r="I1061" s="789" t="s">
        <v>272</v>
      </c>
      <c r="J1061" s="746"/>
      <c r="K1061" s="746"/>
    </row>
    <row r="1062" spans="1:11" ht="14.1" hidden="1" x14ac:dyDescent="0.45">
      <c r="A1062" s="517"/>
      <c r="B1062" s="517"/>
      <c r="C1062" s="836">
        <v>2008</v>
      </c>
      <c r="D1062" s="520">
        <v>-6</v>
      </c>
      <c r="E1062" s="837"/>
      <c r="F1062" s="876"/>
      <c r="G1062" s="840">
        <v>360.72999999999996</v>
      </c>
      <c r="H1062" s="841">
        <v>360.72999999999996</v>
      </c>
      <c r="I1062" s="746"/>
      <c r="J1062" s="746"/>
      <c r="K1062" s="746"/>
    </row>
    <row r="1063" spans="1:11" ht="15" hidden="1" x14ac:dyDescent="0.5">
      <c r="A1063" s="521" t="s">
        <v>273</v>
      </c>
      <c r="B1063" s="517"/>
      <c r="C1063" s="836">
        <v>2009</v>
      </c>
      <c r="D1063" s="520">
        <v>-5</v>
      </c>
      <c r="E1063" s="837"/>
      <c r="F1063" s="876"/>
      <c r="G1063" s="840">
        <v>381.14</v>
      </c>
      <c r="H1063" s="841">
        <v>381.14</v>
      </c>
      <c r="I1063" s="746"/>
      <c r="J1063" s="746"/>
      <c r="K1063" s="746"/>
    </row>
    <row r="1064" spans="1:11" ht="15" hidden="1" x14ac:dyDescent="0.45">
      <c r="A1064" s="842">
        <v>2019</v>
      </c>
      <c r="B1064" s="514"/>
      <c r="C1064" s="836">
        <v>2010</v>
      </c>
      <c r="D1064" s="520">
        <v>-4</v>
      </c>
      <c r="E1064" s="837">
        <v>299.5</v>
      </c>
      <c r="F1064" s="876">
        <v>299.5</v>
      </c>
      <c r="G1064" s="840">
        <v>299.5</v>
      </c>
      <c r="H1064" s="841">
        <v>299.5</v>
      </c>
      <c r="I1064" s="746"/>
      <c r="J1064" s="746"/>
      <c r="K1064" s="746"/>
    </row>
    <row r="1065" spans="1:11" ht="14.1" hidden="1" x14ac:dyDescent="0.45">
      <c r="A1065" s="746"/>
      <c r="B1065" s="514"/>
      <c r="C1065" s="836">
        <v>2011</v>
      </c>
      <c r="D1065" s="520">
        <v>-3</v>
      </c>
      <c r="E1065" s="837"/>
      <c r="F1065" s="876"/>
      <c r="G1065" s="840">
        <v>421.96</v>
      </c>
      <c r="H1065" s="841">
        <v>421.96</v>
      </c>
      <c r="I1065" s="746"/>
      <c r="J1065" s="746"/>
      <c r="K1065" s="746"/>
    </row>
    <row r="1066" spans="1:11" ht="15" hidden="1" x14ac:dyDescent="0.5">
      <c r="A1066" s="521" t="s">
        <v>274</v>
      </c>
      <c r="B1066" s="514"/>
      <c r="C1066" s="836">
        <v>2012</v>
      </c>
      <c r="D1066" s="520">
        <v>-2</v>
      </c>
      <c r="E1066" s="837"/>
      <c r="F1066" s="876"/>
      <c r="G1066" s="840">
        <v>442.37</v>
      </c>
      <c r="H1066" s="841">
        <v>442.37</v>
      </c>
      <c r="I1066" s="746"/>
      <c r="J1066" s="746"/>
      <c r="K1066" s="746"/>
    </row>
    <row r="1067" spans="1:11" ht="15" hidden="1" x14ac:dyDescent="0.45">
      <c r="A1067" s="842" t="s">
        <v>724</v>
      </c>
      <c r="B1067" s="514"/>
      <c r="C1067" s="836">
        <v>2013</v>
      </c>
      <c r="D1067" s="520">
        <v>-1</v>
      </c>
      <c r="E1067" s="837"/>
      <c r="F1067" s="876"/>
      <c r="G1067" s="840">
        <v>462.78</v>
      </c>
      <c r="H1067" s="841">
        <v>462.78</v>
      </c>
      <c r="I1067" s="746"/>
      <c r="J1067" s="746"/>
      <c r="K1067" s="746"/>
    </row>
    <row r="1068" spans="1:11" ht="15" hidden="1" x14ac:dyDescent="0.5">
      <c r="A1068" s="790"/>
      <c r="B1068" s="522"/>
      <c r="C1068" s="836">
        <v>2014</v>
      </c>
      <c r="D1068" s="520">
        <v>0</v>
      </c>
      <c r="E1068" s="837"/>
      <c r="F1068" s="876"/>
      <c r="G1068" s="840">
        <v>483.19</v>
      </c>
      <c r="H1068" s="841">
        <v>483.19</v>
      </c>
      <c r="I1068" s="746"/>
      <c r="J1068" s="746"/>
      <c r="K1068" s="746"/>
    </row>
    <row r="1069" spans="1:11" ht="15" hidden="1" x14ac:dyDescent="0.45">
      <c r="A1069" s="895" t="s">
        <v>275</v>
      </c>
      <c r="B1069" s="514"/>
      <c r="C1069" s="836">
        <v>2015</v>
      </c>
      <c r="D1069" s="520">
        <v>1</v>
      </c>
      <c r="E1069" s="837"/>
      <c r="F1069" s="876"/>
      <c r="G1069" s="840">
        <v>503.6</v>
      </c>
      <c r="H1069" s="841">
        <v>503.6</v>
      </c>
      <c r="I1069" s="746"/>
      <c r="J1069" s="746"/>
      <c r="K1069" s="746"/>
    </row>
    <row r="1070" spans="1:11" ht="15" hidden="1" x14ac:dyDescent="0.45">
      <c r="A1070" s="791"/>
      <c r="B1070" s="514"/>
      <c r="C1070" s="836">
        <v>2016</v>
      </c>
      <c r="D1070" s="520">
        <v>2</v>
      </c>
      <c r="E1070" s="837"/>
      <c r="F1070" s="876"/>
      <c r="G1070" s="840">
        <v>524.01</v>
      </c>
      <c r="H1070" s="841">
        <v>524.01</v>
      </c>
      <c r="I1070" s="746"/>
      <c r="J1070" s="746"/>
      <c r="K1070" s="746"/>
    </row>
    <row r="1071" spans="1:11" ht="15" hidden="1" x14ac:dyDescent="0.45">
      <c r="A1071" s="892"/>
      <c r="B1071" s="514"/>
      <c r="C1071" s="836">
        <v>2017</v>
      </c>
      <c r="D1071" s="520">
        <v>3</v>
      </c>
      <c r="E1071" s="837"/>
      <c r="F1071" s="876"/>
      <c r="G1071" s="840">
        <v>544.41999999999996</v>
      </c>
      <c r="H1071" s="841">
        <v>544.41999999999996</v>
      </c>
      <c r="I1071" s="746"/>
      <c r="J1071" s="746"/>
      <c r="K1071" s="746"/>
    </row>
    <row r="1072" spans="1:11" ht="15" hidden="1" x14ac:dyDescent="0.45">
      <c r="A1072" s="842"/>
      <c r="B1072" s="514"/>
      <c r="C1072" s="836">
        <v>2018</v>
      </c>
      <c r="D1072" s="520">
        <v>4</v>
      </c>
      <c r="E1072" s="837"/>
      <c r="F1072" s="876"/>
      <c r="G1072" s="840">
        <v>564.82999999999993</v>
      </c>
      <c r="H1072" s="841">
        <v>564.82999999999993</v>
      </c>
      <c r="I1072" s="746"/>
      <c r="J1072" s="746"/>
      <c r="K1072" s="746"/>
    </row>
    <row r="1073" spans="1:11" ht="14.1" hidden="1" x14ac:dyDescent="0.45">
      <c r="A1073" s="514"/>
      <c r="B1073" s="514"/>
      <c r="C1073" s="836">
        <v>2019</v>
      </c>
      <c r="D1073" s="520">
        <v>5</v>
      </c>
      <c r="E1073" s="837"/>
      <c r="F1073" s="876"/>
      <c r="G1073" s="840">
        <v>585.24</v>
      </c>
      <c r="H1073" s="841">
        <v>585.24</v>
      </c>
      <c r="I1073" s="746"/>
      <c r="J1073" s="746"/>
      <c r="K1073" s="746"/>
    </row>
    <row r="1074" spans="1:11" ht="14.1" hidden="1" x14ac:dyDescent="0.45">
      <c r="A1074" s="514"/>
      <c r="B1074" s="514"/>
      <c r="C1074" s="836">
        <v>2020</v>
      </c>
      <c r="D1074" s="520">
        <v>6</v>
      </c>
      <c r="E1074" s="837"/>
      <c r="F1074" s="876"/>
      <c r="G1074" s="840">
        <v>605.65</v>
      </c>
      <c r="H1074" s="841">
        <v>605.65</v>
      </c>
      <c r="I1074" s="746"/>
      <c r="J1074" s="746"/>
      <c r="K1074" s="746"/>
    </row>
    <row r="1075" spans="1:11" ht="14.1" hidden="1" x14ac:dyDescent="0.45">
      <c r="A1075" s="514"/>
      <c r="B1075" s="514"/>
      <c r="C1075" s="836">
        <v>2021</v>
      </c>
      <c r="D1075" s="520">
        <v>7</v>
      </c>
      <c r="E1075" s="837"/>
      <c r="F1075" s="876"/>
      <c r="G1075" s="840">
        <v>626.05999999999995</v>
      </c>
      <c r="H1075" s="841">
        <v>626.05999999999995</v>
      </c>
      <c r="I1075" s="746"/>
      <c r="J1075" s="746"/>
      <c r="K1075" s="746"/>
    </row>
    <row r="1076" spans="1:11" ht="14.1" hidden="1" x14ac:dyDescent="0.45">
      <c r="A1076" s="514"/>
      <c r="B1076" s="514"/>
      <c r="C1076" s="836">
        <v>2022</v>
      </c>
      <c r="D1076" s="520">
        <v>8</v>
      </c>
      <c r="E1076" s="837"/>
      <c r="F1076" s="876"/>
      <c r="G1076" s="840">
        <v>646.47</v>
      </c>
      <c r="H1076" s="841">
        <v>646.47</v>
      </c>
      <c r="I1076" s="746"/>
      <c r="J1076" s="746"/>
      <c r="K1076" s="746"/>
    </row>
    <row r="1077" spans="1:11" ht="14.1" hidden="1" x14ac:dyDescent="0.45">
      <c r="A1077" s="514"/>
      <c r="B1077" s="514"/>
      <c r="C1077" s="836">
        <v>2023</v>
      </c>
      <c r="D1077" s="520">
        <v>9</v>
      </c>
      <c r="E1077" s="837"/>
      <c r="F1077" s="876"/>
      <c r="G1077" s="840">
        <v>666.88</v>
      </c>
      <c r="H1077" s="841">
        <v>666.88</v>
      </c>
      <c r="I1077" s="746"/>
      <c r="J1077" s="746"/>
      <c r="K1077" s="746"/>
    </row>
    <row r="1078" spans="1:11" ht="14.1" hidden="1" x14ac:dyDescent="0.45">
      <c r="A1078" s="514"/>
      <c r="B1078" s="514"/>
      <c r="C1078" s="836">
        <v>2024</v>
      </c>
      <c r="D1078" s="520">
        <v>10</v>
      </c>
      <c r="E1078" s="837"/>
      <c r="F1078" s="876"/>
      <c r="G1078" s="840">
        <v>687.29</v>
      </c>
      <c r="H1078" s="841">
        <v>687.29</v>
      </c>
      <c r="I1078" s="746"/>
      <c r="J1078" s="746"/>
      <c r="K1078" s="746"/>
    </row>
    <row r="1079" spans="1:11" ht="14.1" hidden="1" x14ac:dyDescent="0.45">
      <c r="A1079" s="514"/>
      <c r="B1079" s="514"/>
      <c r="C1079" s="836">
        <v>2025</v>
      </c>
      <c r="D1079" s="520">
        <v>11</v>
      </c>
      <c r="E1079" s="837"/>
      <c r="F1079" s="876"/>
      <c r="G1079" s="840">
        <v>707.7</v>
      </c>
      <c r="H1079" s="841">
        <v>707.7</v>
      </c>
      <c r="I1079" s="746"/>
      <c r="J1079" s="746"/>
      <c r="K1079" s="746"/>
    </row>
    <row r="1080" spans="1:11" ht="14.1" hidden="1" x14ac:dyDescent="0.45">
      <c r="A1080" s="514"/>
      <c r="B1080" s="514"/>
      <c r="C1080" s="836">
        <v>2026</v>
      </c>
      <c r="D1080" s="520">
        <v>12</v>
      </c>
      <c r="E1080" s="837"/>
      <c r="F1080" s="876"/>
      <c r="G1080" s="840">
        <v>728.11</v>
      </c>
      <c r="H1080" s="841">
        <v>728.11</v>
      </c>
      <c r="I1080" s="746"/>
      <c r="J1080" s="746"/>
      <c r="K1080" s="746"/>
    </row>
    <row r="1081" spans="1:11" ht="14.1" hidden="1" x14ac:dyDescent="0.45">
      <c r="A1081" s="514"/>
      <c r="B1081" s="514"/>
      <c r="C1081" s="836">
        <v>2027</v>
      </c>
      <c r="D1081" s="520">
        <v>13</v>
      </c>
      <c r="E1081" s="837"/>
      <c r="F1081" s="876"/>
      <c r="G1081" s="840">
        <v>748.52</v>
      </c>
      <c r="H1081" s="841">
        <v>748.52</v>
      </c>
      <c r="I1081" s="746"/>
      <c r="J1081" s="746"/>
      <c r="K1081" s="746"/>
    </row>
    <row r="1082" spans="1:11" ht="14.1" hidden="1" x14ac:dyDescent="0.45">
      <c r="A1082" s="522"/>
      <c r="B1082" s="522"/>
      <c r="C1082" s="836">
        <v>2028</v>
      </c>
      <c r="D1082" s="520">
        <v>14</v>
      </c>
      <c r="E1082" s="837"/>
      <c r="F1082" s="876"/>
      <c r="G1082" s="840">
        <v>768.93000000000006</v>
      </c>
      <c r="H1082" s="841">
        <v>768.93000000000006</v>
      </c>
      <c r="I1082" s="746"/>
      <c r="J1082" s="746"/>
      <c r="K1082" s="746"/>
    </row>
    <row r="1083" spans="1:11" ht="14.1" hidden="1" x14ac:dyDescent="0.45">
      <c r="A1083" s="522"/>
      <c r="B1083" s="522"/>
      <c r="C1083" s="836">
        <v>2029</v>
      </c>
      <c r="D1083" s="520">
        <v>15</v>
      </c>
      <c r="E1083" s="837"/>
      <c r="F1083" s="876"/>
      <c r="G1083" s="840">
        <v>789.33999999999992</v>
      </c>
      <c r="H1083" s="841">
        <v>789.33999999999992</v>
      </c>
      <c r="I1083" s="746"/>
      <c r="J1083" s="746"/>
      <c r="K1083" s="746"/>
    </row>
    <row r="1084" spans="1:11" ht="14.1" hidden="1" x14ac:dyDescent="0.45">
      <c r="A1084" s="522"/>
      <c r="B1084" s="522"/>
      <c r="C1084" s="836">
        <v>2030</v>
      </c>
      <c r="D1084" s="520">
        <v>16</v>
      </c>
      <c r="E1084" s="837"/>
      <c r="F1084" s="876"/>
      <c r="G1084" s="840">
        <v>809.75</v>
      </c>
      <c r="H1084" s="841">
        <v>809.75</v>
      </c>
      <c r="I1084" s="746"/>
      <c r="J1084" s="746"/>
      <c r="K1084" s="746"/>
    </row>
    <row r="1085" spans="1:11" ht="14.1" hidden="1" x14ac:dyDescent="0.45">
      <c r="A1085" s="522"/>
      <c r="B1085" s="522"/>
      <c r="C1085" s="836">
        <v>2031</v>
      </c>
      <c r="D1085" s="520">
        <v>17</v>
      </c>
      <c r="E1085" s="837"/>
      <c r="F1085" s="876"/>
      <c r="G1085" s="840">
        <v>830.16</v>
      </c>
      <c r="H1085" s="841">
        <v>830.16</v>
      </c>
      <c r="I1085" s="746"/>
      <c r="J1085" s="746"/>
      <c r="K1085" s="746"/>
    </row>
    <row r="1086" spans="1:11" ht="14.1" hidden="1" x14ac:dyDescent="0.45">
      <c r="A1086" s="522"/>
      <c r="B1086" s="522"/>
      <c r="C1086" s="836">
        <v>2032</v>
      </c>
      <c r="D1086" s="520">
        <v>18</v>
      </c>
      <c r="E1086" s="837"/>
      <c r="F1086" s="876"/>
      <c r="G1086" s="840">
        <v>850.56999999999994</v>
      </c>
      <c r="H1086" s="841">
        <v>850.56999999999994</v>
      </c>
      <c r="I1086" s="746"/>
      <c r="J1086" s="746"/>
      <c r="K1086" s="746"/>
    </row>
    <row r="1087" spans="1:11" ht="14.1" hidden="1" x14ac:dyDescent="0.45">
      <c r="A1087" s="522"/>
      <c r="B1087" s="522"/>
      <c r="C1087" s="836">
        <v>2033</v>
      </c>
      <c r="D1087" s="520">
        <v>19</v>
      </c>
      <c r="E1087" s="837"/>
      <c r="F1087" s="876"/>
      <c r="G1087" s="840">
        <v>870.98</v>
      </c>
      <c r="H1087" s="841">
        <v>870.98</v>
      </c>
      <c r="I1087" s="746"/>
      <c r="J1087" s="746"/>
      <c r="K1087" s="746"/>
    </row>
    <row r="1088" spans="1:11" ht="14.1" hidden="1" x14ac:dyDescent="0.45">
      <c r="A1088" s="522"/>
      <c r="B1088" s="522"/>
      <c r="C1088" s="836">
        <v>2034</v>
      </c>
      <c r="D1088" s="520">
        <v>20</v>
      </c>
      <c r="E1088" s="837"/>
      <c r="F1088" s="876"/>
      <c r="G1088" s="840">
        <v>891.39</v>
      </c>
      <c r="H1088" s="841">
        <v>891.39</v>
      </c>
      <c r="I1088" s="746"/>
      <c r="J1088" s="746"/>
      <c r="K1088" s="746"/>
    </row>
    <row r="1089" spans="1:11" ht="14.1" hidden="1" x14ac:dyDescent="0.45">
      <c r="A1089" s="522"/>
      <c r="B1089" s="522"/>
      <c r="C1089" s="836">
        <v>2035</v>
      </c>
      <c r="D1089" s="520">
        <v>21</v>
      </c>
      <c r="E1089" s="837"/>
      <c r="F1089" s="876"/>
      <c r="G1089" s="840">
        <v>911.8</v>
      </c>
      <c r="H1089" s="841">
        <v>911.8</v>
      </c>
      <c r="I1089" s="746"/>
      <c r="J1089" s="746"/>
      <c r="K1089" s="746"/>
    </row>
    <row r="1090" spans="1:11" ht="14.1" hidden="1" x14ac:dyDescent="0.45">
      <c r="A1090" s="522"/>
      <c r="B1090" s="522"/>
      <c r="C1090" s="836">
        <v>2036</v>
      </c>
      <c r="D1090" s="520">
        <v>22</v>
      </c>
      <c r="E1090" s="837"/>
      <c r="F1090" s="876"/>
      <c r="G1090" s="840">
        <v>932.21</v>
      </c>
      <c r="H1090" s="841">
        <v>932.21</v>
      </c>
      <c r="I1090" s="746"/>
      <c r="J1090" s="746"/>
      <c r="K1090" s="746"/>
    </row>
    <row r="1091" spans="1:11" ht="14.1" hidden="1" x14ac:dyDescent="0.45">
      <c r="A1091" s="522"/>
      <c r="B1091" s="522"/>
      <c r="C1091" s="836">
        <v>2037</v>
      </c>
      <c r="D1091" s="520">
        <v>23</v>
      </c>
      <c r="E1091" s="837"/>
      <c r="F1091" s="876"/>
      <c r="G1091" s="840">
        <v>952.62</v>
      </c>
      <c r="H1091" s="841">
        <v>952.62</v>
      </c>
      <c r="I1091" s="746"/>
      <c r="J1091" s="746"/>
      <c r="K1091" s="746"/>
    </row>
    <row r="1092" spans="1:11" ht="14.1" hidden="1" x14ac:dyDescent="0.45">
      <c r="A1092" s="522"/>
      <c r="B1092" s="522"/>
      <c r="C1092" s="836">
        <v>2038</v>
      </c>
      <c r="D1092" s="520">
        <v>24</v>
      </c>
      <c r="E1092" s="837"/>
      <c r="F1092" s="876"/>
      <c r="G1092" s="840">
        <v>973.03</v>
      </c>
      <c r="H1092" s="841">
        <v>973.03</v>
      </c>
      <c r="I1092" s="746"/>
      <c r="J1092" s="746"/>
      <c r="K1092" s="746"/>
    </row>
    <row r="1093" spans="1:11" ht="14.1" hidden="1" x14ac:dyDescent="0.45">
      <c r="A1093" s="522"/>
      <c r="B1093" s="522"/>
      <c r="C1093" s="836">
        <v>2039</v>
      </c>
      <c r="D1093" s="520">
        <v>25</v>
      </c>
      <c r="E1093" s="837"/>
      <c r="F1093" s="876"/>
      <c r="G1093" s="840">
        <v>993.43999999999994</v>
      </c>
      <c r="H1093" s="841">
        <v>993.43999999999994</v>
      </c>
      <c r="I1093" s="746"/>
      <c r="J1093" s="746"/>
      <c r="K1093" s="746"/>
    </row>
    <row r="1094" spans="1:11" ht="14.1" hidden="1" x14ac:dyDescent="0.45">
      <c r="A1094" s="522"/>
      <c r="B1094" s="522"/>
      <c r="C1094" s="836">
        <v>2040</v>
      </c>
      <c r="D1094" s="520">
        <v>26</v>
      </c>
      <c r="E1094" s="837"/>
      <c r="F1094" s="876"/>
      <c r="G1094" s="840">
        <v>1013.85</v>
      </c>
      <c r="H1094" s="841">
        <v>1013.85</v>
      </c>
      <c r="I1094" s="746"/>
      <c r="J1094" s="746"/>
      <c r="K1094" s="746"/>
    </row>
    <row r="1095" spans="1:11" ht="14.1" hidden="1" x14ac:dyDescent="0.45">
      <c r="A1095" s="522"/>
      <c r="B1095" s="522"/>
      <c r="C1095" s="836">
        <v>2041</v>
      </c>
      <c r="D1095" s="520">
        <v>27</v>
      </c>
      <c r="E1095" s="837"/>
      <c r="F1095" s="876"/>
      <c r="G1095" s="840">
        <v>1034.26</v>
      </c>
      <c r="H1095" s="841">
        <v>1034.26</v>
      </c>
      <c r="I1095" s="746"/>
      <c r="J1095" s="746"/>
      <c r="K1095" s="746"/>
    </row>
    <row r="1096" spans="1:11" ht="14.1" hidden="1" x14ac:dyDescent="0.45">
      <c r="A1096" s="523"/>
      <c r="B1096" s="524"/>
      <c r="C1096" s="836">
        <v>2042</v>
      </c>
      <c r="D1096" s="520">
        <v>28</v>
      </c>
      <c r="E1096" s="837"/>
      <c r="F1096" s="876"/>
      <c r="G1096" s="840">
        <v>1054.67</v>
      </c>
      <c r="H1096" s="841">
        <v>1054.67</v>
      </c>
      <c r="I1096" s="746"/>
      <c r="J1096" s="746"/>
      <c r="K1096" s="746"/>
    </row>
    <row r="1097" spans="1:11" ht="14.1" hidden="1" x14ac:dyDescent="0.45">
      <c r="A1097" s="746"/>
      <c r="B1097" s="524"/>
      <c r="C1097" s="836">
        <v>2043</v>
      </c>
      <c r="D1097" s="520">
        <v>29</v>
      </c>
      <c r="E1097" s="837"/>
      <c r="F1097" s="876"/>
      <c r="G1097" s="840">
        <v>1075.08</v>
      </c>
      <c r="H1097" s="841">
        <v>1075.08</v>
      </c>
      <c r="I1097" s="746"/>
      <c r="J1097" s="746"/>
      <c r="K1097" s="746"/>
    </row>
    <row r="1098" spans="1:11" ht="14.1" hidden="1" x14ac:dyDescent="0.4">
      <c r="A1098" s="746"/>
      <c r="B1098" s="746"/>
      <c r="C1098" s="836">
        <v>2044</v>
      </c>
      <c r="D1098" s="520">
        <v>30</v>
      </c>
      <c r="E1098" s="837"/>
      <c r="F1098" s="876"/>
      <c r="G1098" s="840">
        <v>1095.49</v>
      </c>
      <c r="H1098" s="841">
        <v>1095.49</v>
      </c>
      <c r="I1098" s="746"/>
      <c r="J1098" s="746"/>
      <c r="K1098" s="746"/>
    </row>
    <row r="1099" spans="1:11" ht="14.1" hidden="1" x14ac:dyDescent="0.4">
      <c r="A1099" s="746"/>
      <c r="B1099" s="746"/>
      <c r="C1099" s="836">
        <v>2045</v>
      </c>
      <c r="D1099" s="520">
        <v>31</v>
      </c>
      <c r="E1099" s="837"/>
      <c r="F1099" s="876"/>
      <c r="G1099" s="840">
        <v>1115.9000000000001</v>
      </c>
      <c r="H1099" s="841">
        <v>1115.9000000000001</v>
      </c>
      <c r="I1099" s="746"/>
      <c r="J1099" s="746"/>
      <c r="K1099" s="746"/>
    </row>
    <row r="1100" spans="1:11" ht="14.1" hidden="1" x14ac:dyDescent="0.4">
      <c r="C1100" s="836">
        <v>2046</v>
      </c>
      <c r="D1100" s="520">
        <v>32</v>
      </c>
      <c r="E1100" s="837"/>
      <c r="F1100" s="876"/>
      <c r="G1100" s="840">
        <v>1136.31</v>
      </c>
      <c r="H1100" s="841">
        <v>1136.31</v>
      </c>
    </row>
    <row r="1101" spans="1:11" ht="14.1" hidden="1" x14ac:dyDescent="0.4">
      <c r="C1101" s="836">
        <v>2047</v>
      </c>
      <c r="D1101" s="520">
        <v>33</v>
      </c>
      <c r="E1101" s="837"/>
      <c r="F1101" s="876"/>
      <c r="G1101" s="840">
        <v>1156.72</v>
      </c>
      <c r="H1101" s="841">
        <v>1156.72</v>
      </c>
    </row>
    <row r="1102" spans="1:11" ht="14.1" hidden="1" x14ac:dyDescent="0.4">
      <c r="C1102" s="836">
        <v>2048</v>
      </c>
      <c r="D1102" s="520">
        <v>34</v>
      </c>
      <c r="E1102" s="837"/>
      <c r="F1102" s="876"/>
      <c r="G1102" s="840">
        <v>1177.1300000000001</v>
      </c>
      <c r="H1102" s="841">
        <v>1177.1300000000001</v>
      </c>
    </row>
    <row r="1103" spans="1:11" ht="14.1" hidden="1" x14ac:dyDescent="0.4">
      <c r="C1103" s="836">
        <v>2049</v>
      </c>
      <c r="D1103" s="520">
        <v>35</v>
      </c>
      <c r="E1103" s="837"/>
      <c r="F1103" s="876"/>
      <c r="G1103" s="840">
        <v>1197.54</v>
      </c>
      <c r="H1103" s="841">
        <v>1197.54</v>
      </c>
    </row>
    <row r="1104" spans="1:11" ht="14.1" hidden="1" x14ac:dyDescent="0.4">
      <c r="C1104" s="836">
        <v>2050</v>
      </c>
      <c r="D1104" s="520">
        <v>36</v>
      </c>
      <c r="E1104" s="837"/>
      <c r="F1104" s="876"/>
      <c r="G1104" s="840">
        <v>1217.95</v>
      </c>
      <c r="H1104" s="841">
        <v>1217.95</v>
      </c>
    </row>
    <row r="1105" spans="1:11" ht="14.1" hidden="1" x14ac:dyDescent="0.4">
      <c r="C1105" s="836">
        <v>2051</v>
      </c>
      <c r="D1105" s="520">
        <v>37</v>
      </c>
      <c r="E1105" s="837"/>
      <c r="F1105" s="876"/>
      <c r="G1105" s="840">
        <v>1238.3600000000001</v>
      </c>
      <c r="H1105" s="841">
        <v>1238.3600000000001</v>
      </c>
    </row>
    <row r="1106" spans="1:11" ht="14.1" hidden="1" x14ac:dyDescent="0.4">
      <c r="C1106" s="836">
        <v>2052</v>
      </c>
      <c r="D1106" s="520">
        <v>38</v>
      </c>
      <c r="E1106" s="837"/>
      <c r="F1106" s="876"/>
      <c r="G1106" s="840">
        <v>1258.77</v>
      </c>
      <c r="H1106" s="841">
        <v>1258.77</v>
      </c>
    </row>
    <row r="1107" spans="1:11" ht="14.1" hidden="1" x14ac:dyDescent="0.4">
      <c r="C1107" s="836">
        <v>2053</v>
      </c>
      <c r="D1107" s="520">
        <v>39</v>
      </c>
      <c r="E1107" s="837"/>
      <c r="F1107" s="876"/>
      <c r="G1107" s="840">
        <v>1279.1799999999998</v>
      </c>
      <c r="H1107" s="841">
        <v>1279.1799999999998</v>
      </c>
    </row>
    <row r="1108" spans="1:11" ht="14.1" hidden="1" x14ac:dyDescent="0.4">
      <c r="C1108" s="836">
        <v>2054</v>
      </c>
      <c r="D1108" s="520">
        <v>40</v>
      </c>
      <c r="E1108" s="837"/>
      <c r="F1108" s="876"/>
      <c r="G1108" s="840">
        <v>1299.5900000000001</v>
      </c>
      <c r="H1108" s="841">
        <v>1299.5900000000001</v>
      </c>
    </row>
    <row r="1109" spans="1:11" ht="14.1" hidden="1" x14ac:dyDescent="0.4">
      <c r="C1109" s="843">
        <v>2055</v>
      </c>
      <c r="D1109" s="520">
        <v>41</v>
      </c>
      <c r="E1109" s="837"/>
      <c r="F1109" s="876"/>
      <c r="G1109" s="840">
        <v>1320</v>
      </c>
      <c r="H1109" s="841">
        <v>1320</v>
      </c>
    </row>
    <row r="1110" spans="1:11" hidden="1" x14ac:dyDescent="0.4"/>
    <row r="1111" spans="1:11" hidden="1" x14ac:dyDescent="0.4"/>
    <row r="1112" spans="1:11" ht="15" hidden="1" x14ac:dyDescent="0.5">
      <c r="A1112" s="621" t="str">
        <f ca="1">HYPERLINK("#"&amp;"'"&amp;A$1&amp;"'!a1","Back to top")</f>
        <v>Back to top</v>
      </c>
    </row>
    <row r="1113" spans="1:11" hidden="1" x14ac:dyDescent="0.4"/>
    <row r="1114" spans="1:11" hidden="1" x14ac:dyDescent="0.4"/>
    <row r="1115" spans="1:11" ht="15" hidden="1" x14ac:dyDescent="0.5">
      <c r="A1115" s="508">
        <v>15</v>
      </c>
      <c r="B1115" s="509" t="s">
        <v>982</v>
      </c>
      <c r="C1115" s="787"/>
      <c r="D1115" s="787"/>
      <c r="E1115" s="787"/>
      <c r="F1115" s="787"/>
      <c r="G1115" s="787"/>
      <c r="H1115" s="787"/>
      <c r="I1115" s="787"/>
      <c r="J1115" s="787"/>
      <c r="K1115" s="787"/>
    </row>
    <row r="1116" spans="1:11" ht="15" hidden="1" x14ac:dyDescent="0.5">
      <c r="A1116" s="510" t="s">
        <v>260</v>
      </c>
      <c r="B1116" s="511"/>
      <c r="C1116" s="511"/>
      <c r="D1116" s="223"/>
      <c r="E1116" s="512"/>
      <c r="F1116" s="1309"/>
      <c r="G1116" s="512"/>
      <c r="H1116" s="513"/>
      <c r="I1116" s="746"/>
      <c r="J1116" s="746"/>
      <c r="K1116" s="746"/>
    </row>
    <row r="1117" spans="1:11" ht="15.3" hidden="1" thickBot="1" x14ac:dyDescent="0.5">
      <c r="A1117" s="872" t="s">
        <v>603</v>
      </c>
      <c r="B1117" s="514"/>
      <c r="C1117" s="514"/>
      <c r="D1117" s="515"/>
      <c r="E1117" s="516" t="s">
        <v>222</v>
      </c>
      <c r="F1117" s="1310"/>
      <c r="G1117" s="873" t="e">
        <v>#DIV/0!</v>
      </c>
      <c r="H1117" s="513"/>
      <c r="I1117" s="746"/>
      <c r="J1117" s="746"/>
      <c r="K1117" s="746"/>
    </row>
    <row r="1118" spans="1:11" ht="37.200000000000003" hidden="1" thickBot="1" x14ac:dyDescent="0.5">
      <c r="A1118" s="517"/>
      <c r="B1118" s="517"/>
      <c r="C1118" s="517"/>
      <c r="D1118" s="518"/>
      <c r="E1118" s="873" t="s">
        <v>724</v>
      </c>
      <c r="F1118" s="873" t="s">
        <v>664</v>
      </c>
      <c r="G1118" s="874" t="s">
        <v>738</v>
      </c>
      <c r="H1118" s="873" t="s">
        <v>667</v>
      </c>
      <c r="I1118" s="873" t="s">
        <v>666</v>
      </c>
      <c r="J1118" s="1297" t="s">
        <v>668</v>
      </c>
      <c r="K1118" s="1298"/>
    </row>
    <row r="1119" spans="1:11" ht="15" hidden="1" x14ac:dyDescent="0.5">
      <c r="A1119" s="510" t="s">
        <v>268</v>
      </c>
      <c r="B1119" s="517"/>
      <c r="C1119" s="788">
        <v>2000</v>
      </c>
      <c r="D1119" s="519">
        <v>-14</v>
      </c>
      <c r="E1119" s="875">
        <v>103.9</v>
      </c>
      <c r="F1119" s="876">
        <v>103.9</v>
      </c>
      <c r="G1119" s="877">
        <v>103.9</v>
      </c>
      <c r="H1119" s="878">
        <v>103.9</v>
      </c>
      <c r="I1119" s="1303" t="s">
        <v>269</v>
      </c>
      <c r="J1119" s="1299"/>
      <c r="K1119" s="1300"/>
    </row>
    <row r="1120" spans="1:11" ht="15" hidden="1" x14ac:dyDescent="0.45">
      <c r="A1120" s="872" t="s">
        <v>52</v>
      </c>
      <c r="B1120" s="517"/>
      <c r="C1120" s="836">
        <v>2001</v>
      </c>
      <c r="D1120" s="520">
        <v>-13</v>
      </c>
      <c r="E1120" s="837"/>
      <c r="F1120" s="876"/>
      <c r="G1120" s="838">
        <v>176.8</v>
      </c>
      <c r="H1120" s="839">
        <v>176.8</v>
      </c>
      <c r="I1120" s="1304"/>
      <c r="J1120" s="1299"/>
      <c r="K1120" s="1300"/>
    </row>
    <row r="1121" spans="1:11" ht="14.05" hidden="1" customHeight="1" x14ac:dyDescent="0.45">
      <c r="A1121" s="517"/>
      <c r="B1121" s="517"/>
      <c r="C1121" s="836">
        <v>2002</v>
      </c>
      <c r="D1121" s="520">
        <v>-12</v>
      </c>
      <c r="E1121" s="837"/>
      <c r="F1121" s="876"/>
      <c r="G1121" s="838">
        <v>188.95</v>
      </c>
      <c r="H1121" s="839">
        <v>188.95</v>
      </c>
      <c r="I1121" s="1304"/>
      <c r="J1121" s="1299"/>
      <c r="K1121" s="1300"/>
    </row>
    <row r="1122" spans="1:11" ht="15" hidden="1" x14ac:dyDescent="0.45">
      <c r="A1122" s="676" t="s">
        <v>270</v>
      </c>
      <c r="B1122" s="517"/>
      <c r="C1122" s="836">
        <v>2003</v>
      </c>
      <c r="D1122" s="520">
        <v>-11</v>
      </c>
      <c r="E1122" s="837"/>
      <c r="F1122" s="876"/>
      <c r="G1122" s="838">
        <v>201.1</v>
      </c>
      <c r="H1122" s="839">
        <v>201.1</v>
      </c>
      <c r="I1122" s="1304"/>
      <c r="J1122" s="1301"/>
      <c r="K1122" s="1302"/>
    </row>
    <row r="1123" spans="1:11" ht="14.1" hidden="1" x14ac:dyDescent="0.45">
      <c r="A1123" s="1306" t="s">
        <v>725</v>
      </c>
      <c r="B1123" s="517"/>
      <c r="C1123" s="836">
        <v>2004</v>
      </c>
      <c r="D1123" s="520">
        <v>-10</v>
      </c>
      <c r="E1123" s="837"/>
      <c r="F1123" s="876"/>
      <c r="G1123" s="838">
        <v>213.25</v>
      </c>
      <c r="H1123" s="839">
        <v>213.25</v>
      </c>
      <c r="I1123" s="1304"/>
      <c r="J1123" s="746"/>
      <c r="K1123" s="746"/>
    </row>
    <row r="1124" spans="1:11" ht="14.1" hidden="1" x14ac:dyDescent="0.45">
      <c r="A1124" s="1307"/>
      <c r="B1124" s="517"/>
      <c r="C1124" s="836">
        <v>2005</v>
      </c>
      <c r="D1124" s="520">
        <v>-9</v>
      </c>
      <c r="E1124" s="837"/>
      <c r="F1124" s="876"/>
      <c r="G1124" s="838">
        <v>225.4</v>
      </c>
      <c r="H1124" s="839">
        <v>225.4</v>
      </c>
      <c r="I1124" s="1304"/>
      <c r="J1124" s="746"/>
      <c r="K1124" s="746"/>
    </row>
    <row r="1125" spans="1:11" ht="14.1" hidden="1" x14ac:dyDescent="0.45">
      <c r="A1125" s="1307"/>
      <c r="B1125" s="517"/>
      <c r="C1125" s="836">
        <v>2006</v>
      </c>
      <c r="D1125" s="520">
        <v>-8</v>
      </c>
      <c r="E1125" s="837"/>
      <c r="F1125" s="876"/>
      <c r="G1125" s="838">
        <v>237.55</v>
      </c>
      <c r="H1125" s="839">
        <v>237.55</v>
      </c>
      <c r="I1125" s="1305"/>
      <c r="J1125" s="746"/>
      <c r="K1125" s="746"/>
    </row>
    <row r="1126" spans="1:11" ht="14.1" hidden="1" x14ac:dyDescent="0.45">
      <c r="A1126" s="1308"/>
      <c r="B1126" s="517"/>
      <c r="C1126" s="836">
        <v>2007</v>
      </c>
      <c r="D1126" s="520">
        <v>-7</v>
      </c>
      <c r="E1126" s="837"/>
      <c r="F1126" s="876"/>
      <c r="G1126" s="840">
        <v>249.7</v>
      </c>
      <c r="H1126" s="841">
        <v>249.7</v>
      </c>
      <c r="I1126" s="789" t="s">
        <v>272</v>
      </c>
      <c r="J1126" s="746"/>
      <c r="K1126" s="746"/>
    </row>
    <row r="1127" spans="1:11" ht="14.1" hidden="1" x14ac:dyDescent="0.45">
      <c r="A1127" s="517"/>
      <c r="B1127" s="517"/>
      <c r="C1127" s="836">
        <v>2008</v>
      </c>
      <c r="D1127" s="520">
        <v>-6</v>
      </c>
      <c r="E1127" s="837"/>
      <c r="F1127" s="876"/>
      <c r="G1127" s="840">
        <v>261.85000000000002</v>
      </c>
      <c r="H1127" s="841">
        <v>261.85000000000002</v>
      </c>
      <c r="I1127" s="746"/>
      <c r="J1127" s="746"/>
      <c r="K1127" s="746"/>
    </row>
    <row r="1128" spans="1:11" ht="15" hidden="1" x14ac:dyDescent="0.5">
      <c r="A1128" s="521" t="s">
        <v>273</v>
      </c>
      <c r="B1128" s="517"/>
      <c r="C1128" s="836">
        <v>2009</v>
      </c>
      <c r="D1128" s="520">
        <v>-5</v>
      </c>
      <c r="E1128" s="837"/>
      <c r="F1128" s="876"/>
      <c r="G1128" s="840">
        <v>274</v>
      </c>
      <c r="H1128" s="841">
        <v>274</v>
      </c>
      <c r="I1128" s="746"/>
      <c r="J1128" s="746"/>
      <c r="K1128" s="746"/>
    </row>
    <row r="1129" spans="1:11" ht="15" hidden="1" x14ac:dyDescent="0.45">
      <c r="A1129" s="842">
        <v>2019</v>
      </c>
      <c r="B1129" s="514"/>
      <c r="C1129" s="836">
        <v>2010</v>
      </c>
      <c r="D1129" s="520">
        <v>-4</v>
      </c>
      <c r="E1129" s="837">
        <v>225.4</v>
      </c>
      <c r="F1129" s="876">
        <v>225.4</v>
      </c>
      <c r="G1129" s="840">
        <v>225.4</v>
      </c>
      <c r="H1129" s="841">
        <v>225.4</v>
      </c>
      <c r="I1129" s="746"/>
      <c r="J1129" s="746"/>
      <c r="K1129" s="746"/>
    </row>
    <row r="1130" spans="1:11" ht="14.1" hidden="1" x14ac:dyDescent="0.45">
      <c r="A1130" s="746"/>
      <c r="B1130" s="514"/>
      <c r="C1130" s="836">
        <v>2011</v>
      </c>
      <c r="D1130" s="520">
        <v>-3</v>
      </c>
      <c r="E1130" s="837"/>
      <c r="F1130" s="876"/>
      <c r="G1130" s="840">
        <v>298.3</v>
      </c>
      <c r="H1130" s="841">
        <v>298.3</v>
      </c>
      <c r="I1130" s="746"/>
      <c r="J1130" s="746"/>
      <c r="K1130" s="746"/>
    </row>
    <row r="1131" spans="1:11" ht="15" hidden="1" x14ac:dyDescent="0.5">
      <c r="A1131" s="521" t="s">
        <v>274</v>
      </c>
      <c r="B1131" s="514"/>
      <c r="C1131" s="836">
        <v>2012</v>
      </c>
      <c r="D1131" s="520">
        <v>-2</v>
      </c>
      <c r="E1131" s="837"/>
      <c r="F1131" s="876"/>
      <c r="G1131" s="840">
        <v>310.45</v>
      </c>
      <c r="H1131" s="841">
        <v>310.45</v>
      </c>
      <c r="I1131" s="746"/>
      <c r="J1131" s="746"/>
      <c r="K1131" s="746"/>
    </row>
    <row r="1132" spans="1:11" ht="15" hidden="1" x14ac:dyDescent="0.45">
      <c r="A1132" s="842" t="s">
        <v>724</v>
      </c>
      <c r="B1132" s="514"/>
      <c r="C1132" s="836">
        <v>2013</v>
      </c>
      <c r="D1132" s="520">
        <v>-1</v>
      </c>
      <c r="E1132" s="837"/>
      <c r="F1132" s="876"/>
      <c r="G1132" s="840">
        <v>322.60000000000002</v>
      </c>
      <c r="H1132" s="841">
        <v>322.60000000000002</v>
      </c>
      <c r="I1132" s="746"/>
      <c r="J1132" s="746"/>
      <c r="K1132" s="746"/>
    </row>
    <row r="1133" spans="1:11" ht="15" hidden="1" x14ac:dyDescent="0.5">
      <c r="A1133" s="790"/>
      <c r="B1133" s="522"/>
      <c r="C1133" s="836">
        <v>2014</v>
      </c>
      <c r="D1133" s="520">
        <v>0</v>
      </c>
      <c r="E1133" s="837"/>
      <c r="F1133" s="876"/>
      <c r="G1133" s="840">
        <v>334.75</v>
      </c>
      <c r="H1133" s="841">
        <v>334.75</v>
      </c>
      <c r="I1133" s="746"/>
      <c r="J1133" s="746"/>
      <c r="K1133" s="746"/>
    </row>
    <row r="1134" spans="1:11" ht="15" hidden="1" x14ac:dyDescent="0.45">
      <c r="A1134" s="895" t="s">
        <v>275</v>
      </c>
      <c r="B1134" s="514"/>
      <c r="C1134" s="836">
        <v>2015</v>
      </c>
      <c r="D1134" s="520">
        <v>1</v>
      </c>
      <c r="E1134" s="837"/>
      <c r="F1134" s="876"/>
      <c r="G1134" s="840">
        <v>346.9</v>
      </c>
      <c r="H1134" s="841">
        <v>346.9</v>
      </c>
      <c r="I1134" s="746"/>
      <c r="J1134" s="746"/>
      <c r="K1134" s="746"/>
    </row>
    <row r="1135" spans="1:11" ht="15" hidden="1" x14ac:dyDescent="0.45">
      <c r="A1135" s="791"/>
      <c r="B1135" s="514"/>
      <c r="C1135" s="836">
        <v>2016</v>
      </c>
      <c r="D1135" s="520">
        <v>2</v>
      </c>
      <c r="E1135" s="837"/>
      <c r="F1135" s="876"/>
      <c r="G1135" s="840">
        <v>359.05</v>
      </c>
      <c r="H1135" s="841">
        <v>359.05</v>
      </c>
      <c r="I1135" s="746"/>
      <c r="J1135" s="746"/>
      <c r="K1135" s="746"/>
    </row>
    <row r="1136" spans="1:11" ht="15" hidden="1" x14ac:dyDescent="0.45">
      <c r="A1136" s="892"/>
      <c r="B1136" s="514"/>
      <c r="C1136" s="836">
        <v>2017</v>
      </c>
      <c r="D1136" s="520">
        <v>3</v>
      </c>
      <c r="E1136" s="837"/>
      <c r="F1136" s="876"/>
      <c r="G1136" s="840">
        <v>371.2</v>
      </c>
      <c r="H1136" s="841">
        <v>371.2</v>
      </c>
      <c r="I1136" s="746"/>
      <c r="J1136" s="746"/>
      <c r="K1136" s="746"/>
    </row>
    <row r="1137" spans="1:11" ht="15" hidden="1" x14ac:dyDescent="0.45">
      <c r="A1137" s="842"/>
      <c r="B1137" s="514"/>
      <c r="C1137" s="836">
        <v>2018</v>
      </c>
      <c r="D1137" s="520">
        <v>4</v>
      </c>
      <c r="E1137" s="837"/>
      <c r="F1137" s="876"/>
      <c r="G1137" s="840">
        <v>383.35</v>
      </c>
      <c r="H1137" s="841">
        <v>383.35</v>
      </c>
      <c r="I1137" s="746"/>
      <c r="J1137" s="746"/>
      <c r="K1137" s="746"/>
    </row>
    <row r="1138" spans="1:11" ht="14.1" hidden="1" x14ac:dyDescent="0.45">
      <c r="A1138" s="514"/>
      <c r="B1138" s="514"/>
      <c r="C1138" s="836">
        <v>2019</v>
      </c>
      <c r="D1138" s="520">
        <v>5</v>
      </c>
      <c r="E1138" s="837"/>
      <c r="F1138" s="876"/>
      <c r="G1138" s="840">
        <v>395.5</v>
      </c>
      <c r="H1138" s="841">
        <v>395.5</v>
      </c>
      <c r="I1138" s="746"/>
      <c r="J1138" s="746"/>
      <c r="K1138" s="746"/>
    </row>
    <row r="1139" spans="1:11" ht="14.1" hidden="1" x14ac:dyDescent="0.45">
      <c r="A1139" s="514"/>
      <c r="B1139" s="514"/>
      <c r="C1139" s="836">
        <v>2020</v>
      </c>
      <c r="D1139" s="520">
        <v>6</v>
      </c>
      <c r="E1139" s="837"/>
      <c r="F1139" s="876"/>
      <c r="G1139" s="840">
        <v>407.65</v>
      </c>
      <c r="H1139" s="841">
        <v>407.65</v>
      </c>
      <c r="I1139" s="746"/>
      <c r="J1139" s="746"/>
      <c r="K1139" s="746"/>
    </row>
    <row r="1140" spans="1:11" ht="14.1" hidden="1" x14ac:dyDescent="0.45">
      <c r="A1140" s="514"/>
      <c r="B1140" s="514"/>
      <c r="C1140" s="836">
        <v>2021</v>
      </c>
      <c r="D1140" s="520">
        <v>7</v>
      </c>
      <c r="E1140" s="837"/>
      <c r="F1140" s="876"/>
      <c r="G1140" s="840">
        <v>419.8</v>
      </c>
      <c r="H1140" s="841">
        <v>419.8</v>
      </c>
      <c r="I1140" s="746"/>
      <c r="J1140" s="746"/>
      <c r="K1140" s="746"/>
    </row>
    <row r="1141" spans="1:11" ht="14.1" hidden="1" x14ac:dyDescent="0.45">
      <c r="A1141" s="514"/>
      <c r="B1141" s="514"/>
      <c r="C1141" s="836">
        <v>2022</v>
      </c>
      <c r="D1141" s="520">
        <v>8</v>
      </c>
      <c r="E1141" s="837"/>
      <c r="F1141" s="876"/>
      <c r="G1141" s="840">
        <v>431.95000000000005</v>
      </c>
      <c r="H1141" s="841">
        <v>431.95000000000005</v>
      </c>
      <c r="I1141" s="746"/>
      <c r="J1141" s="746"/>
      <c r="K1141" s="746"/>
    </row>
    <row r="1142" spans="1:11" ht="14.1" hidden="1" x14ac:dyDescent="0.45">
      <c r="A1142" s="514"/>
      <c r="B1142" s="514"/>
      <c r="C1142" s="836">
        <v>2023</v>
      </c>
      <c r="D1142" s="520">
        <v>9</v>
      </c>
      <c r="E1142" s="837"/>
      <c r="F1142" s="876"/>
      <c r="G1142" s="840">
        <v>444.1</v>
      </c>
      <c r="H1142" s="841">
        <v>444.1</v>
      </c>
      <c r="I1142" s="746"/>
      <c r="J1142" s="746"/>
      <c r="K1142" s="746"/>
    </row>
    <row r="1143" spans="1:11" ht="14.1" hidden="1" x14ac:dyDescent="0.45">
      <c r="A1143" s="514"/>
      <c r="B1143" s="514"/>
      <c r="C1143" s="836">
        <v>2024</v>
      </c>
      <c r="D1143" s="520">
        <v>10</v>
      </c>
      <c r="E1143" s="837"/>
      <c r="F1143" s="876"/>
      <c r="G1143" s="840">
        <v>456.25</v>
      </c>
      <c r="H1143" s="841">
        <v>456.25</v>
      </c>
      <c r="I1143" s="746"/>
      <c r="J1143" s="746"/>
      <c r="K1143" s="746"/>
    </row>
    <row r="1144" spans="1:11" ht="14.1" hidden="1" x14ac:dyDescent="0.45">
      <c r="A1144" s="514"/>
      <c r="B1144" s="514"/>
      <c r="C1144" s="836">
        <v>2025</v>
      </c>
      <c r="D1144" s="520">
        <v>11</v>
      </c>
      <c r="E1144" s="837"/>
      <c r="F1144" s="876"/>
      <c r="G1144" s="840">
        <v>468.4</v>
      </c>
      <c r="H1144" s="841">
        <v>468.4</v>
      </c>
      <c r="I1144" s="746"/>
      <c r="J1144" s="746"/>
      <c r="K1144" s="746"/>
    </row>
    <row r="1145" spans="1:11" ht="14.1" hidden="1" x14ac:dyDescent="0.45">
      <c r="A1145" s="514"/>
      <c r="B1145" s="514"/>
      <c r="C1145" s="836">
        <v>2026</v>
      </c>
      <c r="D1145" s="520">
        <v>12</v>
      </c>
      <c r="E1145" s="837"/>
      <c r="F1145" s="876"/>
      <c r="G1145" s="840">
        <v>480.55</v>
      </c>
      <c r="H1145" s="841">
        <v>480.55</v>
      </c>
      <c r="I1145" s="746"/>
      <c r="J1145" s="746"/>
      <c r="K1145" s="746"/>
    </row>
    <row r="1146" spans="1:11" ht="14.1" hidden="1" x14ac:dyDescent="0.45">
      <c r="A1146" s="514"/>
      <c r="B1146" s="514"/>
      <c r="C1146" s="836">
        <v>2027</v>
      </c>
      <c r="D1146" s="520">
        <v>13</v>
      </c>
      <c r="E1146" s="837"/>
      <c r="F1146" s="876"/>
      <c r="G1146" s="840">
        <v>492.70000000000005</v>
      </c>
      <c r="H1146" s="841">
        <v>492.70000000000005</v>
      </c>
      <c r="I1146" s="746"/>
      <c r="J1146" s="746"/>
      <c r="K1146" s="746"/>
    </row>
    <row r="1147" spans="1:11" ht="14.1" hidden="1" x14ac:dyDescent="0.45">
      <c r="A1147" s="522"/>
      <c r="B1147" s="522"/>
      <c r="C1147" s="836">
        <v>2028</v>
      </c>
      <c r="D1147" s="520">
        <v>14</v>
      </c>
      <c r="E1147" s="837"/>
      <c r="F1147" s="876"/>
      <c r="G1147" s="840">
        <v>504.85</v>
      </c>
      <c r="H1147" s="841">
        <v>504.85</v>
      </c>
      <c r="I1147" s="746"/>
      <c r="J1147" s="746"/>
      <c r="K1147" s="746"/>
    </row>
    <row r="1148" spans="1:11" ht="14.1" hidden="1" x14ac:dyDescent="0.45">
      <c r="A1148" s="522"/>
      <c r="B1148" s="522"/>
      <c r="C1148" s="836">
        <v>2029</v>
      </c>
      <c r="D1148" s="520">
        <v>15</v>
      </c>
      <c r="E1148" s="837"/>
      <c r="F1148" s="876"/>
      <c r="G1148" s="840">
        <v>517</v>
      </c>
      <c r="H1148" s="841">
        <v>517</v>
      </c>
      <c r="I1148" s="746"/>
      <c r="J1148" s="746"/>
      <c r="K1148" s="746"/>
    </row>
    <row r="1149" spans="1:11" ht="14.1" hidden="1" x14ac:dyDescent="0.45">
      <c r="A1149" s="522"/>
      <c r="B1149" s="522"/>
      <c r="C1149" s="836">
        <v>2030</v>
      </c>
      <c r="D1149" s="520">
        <v>16</v>
      </c>
      <c r="E1149" s="837"/>
      <c r="F1149" s="876"/>
      <c r="G1149" s="840">
        <v>529.15</v>
      </c>
      <c r="H1149" s="841">
        <v>529.15</v>
      </c>
      <c r="I1149" s="746"/>
      <c r="J1149" s="746"/>
      <c r="K1149" s="746"/>
    </row>
    <row r="1150" spans="1:11" ht="14.1" hidden="1" x14ac:dyDescent="0.45">
      <c r="A1150" s="522"/>
      <c r="B1150" s="522"/>
      <c r="C1150" s="836">
        <v>2031</v>
      </c>
      <c r="D1150" s="520">
        <v>17</v>
      </c>
      <c r="E1150" s="837"/>
      <c r="F1150" s="876"/>
      <c r="G1150" s="840">
        <v>541.29999999999995</v>
      </c>
      <c r="H1150" s="841">
        <v>541.29999999999995</v>
      </c>
      <c r="I1150" s="746"/>
      <c r="J1150" s="746"/>
      <c r="K1150" s="746"/>
    </row>
    <row r="1151" spans="1:11" ht="14.1" hidden="1" x14ac:dyDescent="0.45">
      <c r="A1151" s="522"/>
      <c r="B1151" s="522"/>
      <c r="C1151" s="836">
        <v>2032</v>
      </c>
      <c r="D1151" s="520">
        <v>18</v>
      </c>
      <c r="E1151" s="837"/>
      <c r="F1151" s="876"/>
      <c r="G1151" s="840">
        <v>553.45000000000005</v>
      </c>
      <c r="H1151" s="841">
        <v>553.45000000000005</v>
      </c>
      <c r="I1151" s="746"/>
      <c r="J1151" s="746"/>
      <c r="K1151" s="746"/>
    </row>
    <row r="1152" spans="1:11" ht="14.1" hidden="1" x14ac:dyDescent="0.45">
      <c r="A1152" s="522"/>
      <c r="B1152" s="522"/>
      <c r="C1152" s="836">
        <v>2033</v>
      </c>
      <c r="D1152" s="520">
        <v>19</v>
      </c>
      <c r="E1152" s="837"/>
      <c r="F1152" s="876"/>
      <c r="G1152" s="840">
        <v>565.6</v>
      </c>
      <c r="H1152" s="841">
        <v>565.6</v>
      </c>
      <c r="I1152" s="746"/>
      <c r="J1152" s="746"/>
      <c r="K1152" s="746"/>
    </row>
    <row r="1153" spans="1:11" ht="14.1" hidden="1" x14ac:dyDescent="0.45">
      <c r="A1153" s="522"/>
      <c r="B1153" s="522"/>
      <c r="C1153" s="836">
        <v>2034</v>
      </c>
      <c r="D1153" s="520">
        <v>20</v>
      </c>
      <c r="E1153" s="837"/>
      <c r="F1153" s="876"/>
      <c r="G1153" s="840">
        <v>577.75</v>
      </c>
      <c r="H1153" s="841">
        <v>577.75</v>
      </c>
      <c r="I1153" s="746"/>
      <c r="J1153" s="746"/>
      <c r="K1153" s="746"/>
    </row>
    <row r="1154" spans="1:11" ht="14.1" hidden="1" x14ac:dyDescent="0.45">
      <c r="A1154" s="522"/>
      <c r="B1154" s="522"/>
      <c r="C1154" s="836">
        <v>2035</v>
      </c>
      <c r="D1154" s="520">
        <v>21</v>
      </c>
      <c r="E1154" s="837"/>
      <c r="F1154" s="876"/>
      <c r="G1154" s="840">
        <v>589.90000000000009</v>
      </c>
      <c r="H1154" s="841">
        <v>589.90000000000009</v>
      </c>
      <c r="I1154" s="746"/>
      <c r="J1154" s="746"/>
      <c r="K1154" s="746"/>
    </row>
    <row r="1155" spans="1:11" ht="14.1" hidden="1" x14ac:dyDescent="0.45">
      <c r="A1155" s="522"/>
      <c r="B1155" s="522"/>
      <c r="C1155" s="836">
        <v>2036</v>
      </c>
      <c r="D1155" s="520">
        <v>22</v>
      </c>
      <c r="E1155" s="837"/>
      <c r="F1155" s="876"/>
      <c r="G1155" s="840">
        <v>602.04999999999995</v>
      </c>
      <c r="H1155" s="841">
        <v>602.04999999999995</v>
      </c>
      <c r="I1155" s="746"/>
      <c r="J1155" s="746"/>
      <c r="K1155" s="746"/>
    </row>
    <row r="1156" spans="1:11" ht="14.1" hidden="1" x14ac:dyDescent="0.45">
      <c r="A1156" s="522"/>
      <c r="B1156" s="522"/>
      <c r="C1156" s="836">
        <v>2037</v>
      </c>
      <c r="D1156" s="520">
        <v>23</v>
      </c>
      <c r="E1156" s="837"/>
      <c r="F1156" s="876"/>
      <c r="G1156" s="840">
        <v>614.20000000000005</v>
      </c>
      <c r="H1156" s="841">
        <v>614.20000000000005</v>
      </c>
      <c r="I1156" s="746"/>
      <c r="J1156" s="746"/>
      <c r="K1156" s="746"/>
    </row>
    <row r="1157" spans="1:11" ht="14.1" hidden="1" x14ac:dyDescent="0.45">
      <c r="A1157" s="522"/>
      <c r="B1157" s="522"/>
      <c r="C1157" s="836">
        <v>2038</v>
      </c>
      <c r="D1157" s="520">
        <v>24</v>
      </c>
      <c r="E1157" s="837"/>
      <c r="F1157" s="876"/>
      <c r="G1157" s="840">
        <v>626.35</v>
      </c>
      <c r="H1157" s="841">
        <v>626.35</v>
      </c>
      <c r="I1157" s="746"/>
      <c r="J1157" s="746"/>
      <c r="K1157" s="746"/>
    </row>
    <row r="1158" spans="1:11" ht="14.1" hidden="1" x14ac:dyDescent="0.45">
      <c r="A1158" s="522"/>
      <c r="B1158" s="522"/>
      <c r="C1158" s="836">
        <v>2039</v>
      </c>
      <c r="D1158" s="520">
        <v>25</v>
      </c>
      <c r="E1158" s="837"/>
      <c r="F1158" s="876"/>
      <c r="G1158" s="840">
        <v>638.5</v>
      </c>
      <c r="H1158" s="841">
        <v>638.5</v>
      </c>
      <c r="I1158" s="746"/>
      <c r="J1158" s="746"/>
      <c r="K1158" s="746"/>
    </row>
    <row r="1159" spans="1:11" ht="14.1" hidden="1" x14ac:dyDescent="0.45">
      <c r="A1159" s="522"/>
      <c r="B1159" s="522"/>
      <c r="C1159" s="836">
        <v>2040</v>
      </c>
      <c r="D1159" s="520">
        <v>26</v>
      </c>
      <c r="E1159" s="837"/>
      <c r="F1159" s="876"/>
      <c r="G1159" s="840">
        <v>650.65000000000009</v>
      </c>
      <c r="H1159" s="841">
        <v>650.65000000000009</v>
      </c>
      <c r="I1159" s="746"/>
      <c r="J1159" s="746"/>
      <c r="K1159" s="746"/>
    </row>
    <row r="1160" spans="1:11" ht="14.1" hidden="1" x14ac:dyDescent="0.45">
      <c r="A1160" s="522"/>
      <c r="B1160" s="522"/>
      <c r="C1160" s="836">
        <v>2041</v>
      </c>
      <c r="D1160" s="520">
        <v>27</v>
      </c>
      <c r="E1160" s="837"/>
      <c r="F1160" s="876"/>
      <c r="G1160" s="840">
        <v>662.8</v>
      </c>
      <c r="H1160" s="841">
        <v>662.8</v>
      </c>
      <c r="I1160" s="746"/>
      <c r="J1160" s="746"/>
      <c r="K1160" s="746"/>
    </row>
    <row r="1161" spans="1:11" ht="14.1" hidden="1" x14ac:dyDescent="0.45">
      <c r="A1161" s="523"/>
      <c r="B1161" s="524"/>
      <c r="C1161" s="836">
        <v>2042</v>
      </c>
      <c r="D1161" s="520">
        <v>28</v>
      </c>
      <c r="E1161" s="837"/>
      <c r="F1161" s="876"/>
      <c r="G1161" s="840">
        <v>674.95</v>
      </c>
      <c r="H1161" s="841">
        <v>674.95</v>
      </c>
      <c r="I1161" s="746"/>
      <c r="J1161" s="746"/>
      <c r="K1161" s="746"/>
    </row>
    <row r="1162" spans="1:11" ht="14.1" hidden="1" x14ac:dyDescent="0.45">
      <c r="A1162" s="746"/>
      <c r="B1162" s="524"/>
      <c r="C1162" s="836">
        <v>2043</v>
      </c>
      <c r="D1162" s="520">
        <v>29</v>
      </c>
      <c r="E1162" s="837"/>
      <c r="F1162" s="876"/>
      <c r="G1162" s="840">
        <v>687.1</v>
      </c>
      <c r="H1162" s="841">
        <v>687.1</v>
      </c>
      <c r="I1162" s="746"/>
      <c r="J1162" s="746"/>
      <c r="K1162" s="746"/>
    </row>
    <row r="1163" spans="1:11" ht="14.1" hidden="1" x14ac:dyDescent="0.4">
      <c r="A1163" s="746"/>
      <c r="B1163" s="746"/>
      <c r="C1163" s="836">
        <v>2044</v>
      </c>
      <c r="D1163" s="520">
        <v>30</v>
      </c>
      <c r="E1163" s="837"/>
      <c r="F1163" s="876"/>
      <c r="G1163" s="840">
        <v>699.25</v>
      </c>
      <c r="H1163" s="841">
        <v>699.25</v>
      </c>
      <c r="I1163" s="746"/>
      <c r="J1163" s="746"/>
      <c r="K1163" s="746"/>
    </row>
    <row r="1164" spans="1:11" ht="14.1" hidden="1" x14ac:dyDescent="0.4">
      <c r="A1164" s="746"/>
      <c r="B1164" s="746"/>
      <c r="C1164" s="836">
        <v>2045</v>
      </c>
      <c r="D1164" s="520">
        <v>31</v>
      </c>
      <c r="E1164" s="837"/>
      <c r="F1164" s="876"/>
      <c r="G1164" s="840">
        <v>711.40000000000009</v>
      </c>
      <c r="H1164" s="841">
        <v>711.40000000000009</v>
      </c>
      <c r="I1164" s="746"/>
      <c r="J1164" s="746"/>
      <c r="K1164" s="746"/>
    </row>
    <row r="1165" spans="1:11" ht="14.1" hidden="1" x14ac:dyDescent="0.4">
      <c r="C1165" s="836">
        <v>2046</v>
      </c>
      <c r="D1165" s="520">
        <v>32</v>
      </c>
      <c r="E1165" s="837"/>
      <c r="F1165" s="876"/>
      <c r="G1165" s="840">
        <v>723.55</v>
      </c>
      <c r="H1165" s="841">
        <v>723.55</v>
      </c>
    </row>
    <row r="1166" spans="1:11" ht="14.1" hidden="1" x14ac:dyDescent="0.4">
      <c r="C1166" s="836">
        <v>2047</v>
      </c>
      <c r="D1166" s="520">
        <v>33</v>
      </c>
      <c r="E1166" s="837"/>
      <c r="F1166" s="876"/>
      <c r="G1166" s="840">
        <v>735.7</v>
      </c>
      <c r="H1166" s="841">
        <v>735.7</v>
      </c>
    </row>
    <row r="1167" spans="1:11" ht="14.1" hidden="1" x14ac:dyDescent="0.4">
      <c r="C1167" s="836">
        <v>2048</v>
      </c>
      <c r="D1167" s="520">
        <v>34</v>
      </c>
      <c r="E1167" s="837"/>
      <c r="F1167" s="876"/>
      <c r="G1167" s="840">
        <v>747.85</v>
      </c>
      <c r="H1167" s="841">
        <v>747.85</v>
      </c>
    </row>
    <row r="1168" spans="1:11" ht="14.1" hidden="1" x14ac:dyDescent="0.4">
      <c r="C1168" s="836">
        <v>2049</v>
      </c>
      <c r="D1168" s="520">
        <v>35</v>
      </c>
      <c r="E1168" s="837"/>
      <c r="F1168" s="876"/>
      <c r="G1168" s="840">
        <v>760</v>
      </c>
      <c r="H1168" s="841">
        <v>760</v>
      </c>
    </row>
    <row r="1169" spans="1:11" ht="14.1" hidden="1" x14ac:dyDescent="0.4">
      <c r="C1169" s="836">
        <v>2050</v>
      </c>
      <c r="D1169" s="520">
        <v>36</v>
      </c>
      <c r="E1169" s="837"/>
      <c r="F1169" s="876"/>
      <c r="G1169" s="840">
        <v>772.15000000000009</v>
      </c>
      <c r="H1169" s="841">
        <v>772.15000000000009</v>
      </c>
    </row>
    <row r="1170" spans="1:11" ht="14.1" hidden="1" x14ac:dyDescent="0.4">
      <c r="C1170" s="836">
        <v>2051</v>
      </c>
      <c r="D1170" s="520">
        <v>37</v>
      </c>
      <c r="E1170" s="837"/>
      <c r="F1170" s="876"/>
      <c r="G1170" s="840">
        <v>784.3</v>
      </c>
      <c r="H1170" s="841">
        <v>784.3</v>
      </c>
    </row>
    <row r="1171" spans="1:11" ht="14.1" hidden="1" x14ac:dyDescent="0.4">
      <c r="C1171" s="836">
        <v>2052</v>
      </c>
      <c r="D1171" s="520">
        <v>38</v>
      </c>
      <c r="E1171" s="837"/>
      <c r="F1171" s="876"/>
      <c r="G1171" s="840">
        <v>796.45</v>
      </c>
      <c r="H1171" s="841">
        <v>796.45</v>
      </c>
    </row>
    <row r="1172" spans="1:11" ht="14.1" hidden="1" x14ac:dyDescent="0.4">
      <c r="C1172" s="836">
        <v>2053</v>
      </c>
      <c r="D1172" s="520">
        <v>39</v>
      </c>
      <c r="E1172" s="837"/>
      <c r="F1172" s="876"/>
      <c r="G1172" s="840">
        <v>808.6</v>
      </c>
      <c r="H1172" s="841">
        <v>808.6</v>
      </c>
    </row>
    <row r="1173" spans="1:11" ht="14.1" hidden="1" x14ac:dyDescent="0.4">
      <c r="C1173" s="836">
        <v>2054</v>
      </c>
      <c r="D1173" s="520">
        <v>40</v>
      </c>
      <c r="E1173" s="837"/>
      <c r="F1173" s="876"/>
      <c r="G1173" s="840">
        <v>820.75</v>
      </c>
      <c r="H1173" s="841">
        <v>820.75</v>
      </c>
    </row>
    <row r="1174" spans="1:11" ht="14.1" hidden="1" x14ac:dyDescent="0.4">
      <c r="C1174" s="843">
        <v>2055</v>
      </c>
      <c r="D1174" s="520">
        <v>41</v>
      </c>
      <c r="E1174" s="837"/>
      <c r="F1174" s="876"/>
      <c r="G1174" s="840">
        <v>832.9</v>
      </c>
      <c r="H1174" s="841">
        <v>832.9</v>
      </c>
    </row>
    <row r="1175" spans="1:11" hidden="1" x14ac:dyDescent="0.4"/>
    <row r="1176" spans="1:11" hidden="1" x14ac:dyDescent="0.4"/>
    <row r="1177" spans="1:11" ht="15" hidden="1" x14ac:dyDescent="0.5">
      <c r="A1177" s="621" t="str">
        <f ca="1">HYPERLINK("#"&amp;"'"&amp;A$1&amp;"'!a1","Back to top")</f>
        <v>Back to top</v>
      </c>
    </row>
    <row r="1178" spans="1:11" hidden="1" x14ac:dyDescent="0.4"/>
    <row r="1180" spans="1:11" ht="15" x14ac:dyDescent="0.5">
      <c r="A1180" s="508">
        <v>16</v>
      </c>
      <c r="B1180" s="509" t="s">
        <v>985</v>
      </c>
      <c r="C1180" s="787"/>
      <c r="D1180" s="787"/>
      <c r="E1180" s="787"/>
      <c r="F1180" s="787"/>
      <c r="G1180" s="787"/>
      <c r="H1180" s="787"/>
      <c r="I1180" s="787"/>
      <c r="J1180" s="787"/>
      <c r="K1180" s="787"/>
    </row>
    <row r="1181" spans="1:11" ht="15" x14ac:dyDescent="0.5">
      <c r="A1181" s="510" t="s">
        <v>260</v>
      </c>
      <c r="B1181" s="511"/>
      <c r="C1181" s="511"/>
      <c r="D1181" s="223"/>
      <c r="E1181" s="512"/>
      <c r="F1181" s="1309"/>
      <c r="G1181" s="512"/>
      <c r="H1181" s="513"/>
      <c r="I1181" s="746"/>
      <c r="J1181" s="746"/>
      <c r="K1181" s="746"/>
    </row>
    <row r="1182" spans="1:11" ht="15.3" thickBot="1" x14ac:dyDescent="0.5">
      <c r="A1182" s="872" t="s">
        <v>603</v>
      </c>
      <c r="B1182" s="514"/>
      <c r="C1182" s="514"/>
      <c r="D1182" s="515"/>
      <c r="E1182" s="516" t="s">
        <v>222</v>
      </c>
      <c r="F1182" s="1310"/>
      <c r="G1182" s="873" t="s">
        <v>986</v>
      </c>
      <c r="H1182" s="513"/>
      <c r="I1182" s="746"/>
      <c r="J1182" s="746"/>
      <c r="K1182" s="746"/>
    </row>
    <row r="1183" spans="1:11" ht="37.200000000000003" thickBot="1" x14ac:dyDescent="0.5">
      <c r="A1183" s="517"/>
      <c r="B1183" s="517"/>
      <c r="C1183" s="517"/>
      <c r="D1183" s="518"/>
      <c r="E1183" s="873" t="s">
        <v>983</v>
      </c>
      <c r="F1183" s="873" t="s">
        <v>664</v>
      </c>
      <c r="G1183" s="874" t="s">
        <v>723</v>
      </c>
      <c r="H1183" s="873" t="s">
        <v>667</v>
      </c>
      <c r="I1183" s="873" t="s">
        <v>666</v>
      </c>
      <c r="J1183" s="1297" t="s">
        <v>668</v>
      </c>
      <c r="K1183" s="1298"/>
    </row>
    <row r="1184" spans="1:11" ht="15" x14ac:dyDescent="0.5">
      <c r="A1184" s="510" t="s">
        <v>268</v>
      </c>
      <c r="B1184" s="517"/>
      <c r="C1184" s="788">
        <v>2005</v>
      </c>
      <c r="D1184" s="519">
        <v>-9</v>
      </c>
      <c r="E1184" s="875">
        <v>253730000</v>
      </c>
      <c r="F1184" s="876">
        <v>253.73</v>
      </c>
      <c r="G1184" s="877">
        <v>253.73</v>
      </c>
      <c r="H1184" s="878">
        <v>253.73</v>
      </c>
      <c r="I1184" s="1303" t="s">
        <v>269</v>
      </c>
      <c r="J1184" s="1299"/>
      <c r="K1184" s="1300"/>
    </row>
    <row r="1185" spans="1:11" ht="15" x14ac:dyDescent="0.45">
      <c r="A1185" s="872" t="s">
        <v>61</v>
      </c>
      <c r="B1185" s="517"/>
      <c r="C1185" s="836">
        <v>2006</v>
      </c>
      <c r="D1185" s="520">
        <v>-8</v>
      </c>
      <c r="E1185" s="837"/>
      <c r="F1185" s="876"/>
      <c r="G1185" s="838">
        <v>252.00604892289104</v>
      </c>
      <c r="H1185" s="839">
        <v>252.00604892289104</v>
      </c>
      <c r="I1185" s="1304"/>
      <c r="J1185" s="1299"/>
      <c r="K1185" s="1300"/>
    </row>
    <row r="1186" spans="1:11" ht="14.05" customHeight="1" x14ac:dyDescent="0.45">
      <c r="A1186" s="517"/>
      <c r="B1186" s="517"/>
      <c r="C1186" s="836">
        <v>2007</v>
      </c>
      <c r="D1186" s="520">
        <v>-7</v>
      </c>
      <c r="E1186" s="837"/>
      <c r="F1186" s="876"/>
      <c r="G1186" s="838">
        <v>250.89537614925169</v>
      </c>
      <c r="H1186" s="839">
        <v>250.89537614925169</v>
      </c>
      <c r="I1186" s="1304"/>
      <c r="J1186" s="1299"/>
      <c r="K1186" s="1300"/>
    </row>
    <row r="1187" spans="1:11" ht="15" x14ac:dyDescent="0.45">
      <c r="A1187" s="676" t="s">
        <v>270</v>
      </c>
      <c r="B1187" s="517"/>
      <c r="C1187" s="836">
        <v>2008</v>
      </c>
      <c r="D1187" s="520">
        <v>-6</v>
      </c>
      <c r="E1187" s="837"/>
      <c r="F1187" s="876"/>
      <c r="G1187" s="838">
        <v>250.32251560297962</v>
      </c>
      <c r="H1187" s="839">
        <v>250.32251560297962</v>
      </c>
      <c r="I1187" s="1304"/>
      <c r="J1187" s="1301"/>
      <c r="K1187" s="1302"/>
    </row>
    <row r="1188" spans="1:11" ht="14.1" x14ac:dyDescent="0.45">
      <c r="A1188" s="1306" t="s">
        <v>984</v>
      </c>
      <c r="B1188" s="517"/>
      <c r="C1188" s="836">
        <v>2009</v>
      </c>
      <c r="D1188" s="520">
        <v>-5</v>
      </c>
      <c r="E1188" s="837"/>
      <c r="F1188" s="876"/>
      <c r="G1188" s="838">
        <v>250.28746728407486</v>
      </c>
      <c r="H1188" s="839">
        <v>250.28746728407486</v>
      </c>
      <c r="I1188" s="1304"/>
      <c r="J1188" s="746"/>
      <c r="K1188" s="746"/>
    </row>
    <row r="1189" spans="1:11" ht="14.1" x14ac:dyDescent="0.45">
      <c r="A1189" s="1307"/>
      <c r="B1189" s="517"/>
      <c r="C1189" s="836">
        <v>2010</v>
      </c>
      <c r="D1189" s="520">
        <v>-4</v>
      </c>
      <c r="E1189" s="837">
        <v>251050000</v>
      </c>
      <c r="F1189" s="876">
        <v>251.04999999999998</v>
      </c>
      <c r="G1189" s="838">
        <v>251.04999999999998</v>
      </c>
      <c r="H1189" s="839">
        <v>251.04999999999998</v>
      </c>
      <c r="I1189" s="1304"/>
      <c r="J1189" s="746"/>
      <c r="K1189" s="746"/>
    </row>
    <row r="1190" spans="1:11" ht="14.1" x14ac:dyDescent="0.45">
      <c r="A1190" s="1307"/>
      <c r="B1190" s="517"/>
      <c r="C1190" s="836">
        <v>2011</v>
      </c>
      <c r="D1190" s="520">
        <v>-3</v>
      </c>
      <c r="E1190" s="837">
        <v>251970000</v>
      </c>
      <c r="F1190" s="876">
        <v>251.97</v>
      </c>
      <c r="G1190" s="838">
        <v>251.97</v>
      </c>
      <c r="H1190" s="839">
        <v>251.97</v>
      </c>
      <c r="I1190" s="1305"/>
      <c r="J1190" s="746"/>
      <c r="K1190" s="746"/>
    </row>
    <row r="1191" spans="1:11" ht="14.1" x14ac:dyDescent="0.45">
      <c r="A1191" s="1308"/>
      <c r="B1191" s="517"/>
      <c r="C1191" s="836">
        <v>2012</v>
      </c>
      <c r="D1191" s="520">
        <v>-2</v>
      </c>
      <c r="E1191" s="837">
        <v>252290000</v>
      </c>
      <c r="F1191" s="876">
        <v>252.29</v>
      </c>
      <c r="G1191" s="840">
        <v>252.29</v>
      </c>
      <c r="H1191" s="841">
        <v>252.29</v>
      </c>
      <c r="I1191" s="789" t="s">
        <v>272</v>
      </c>
      <c r="J1191" s="746"/>
      <c r="K1191" s="746"/>
    </row>
    <row r="1192" spans="1:11" ht="14.1" x14ac:dyDescent="0.45">
      <c r="A1192" s="517"/>
      <c r="B1192" s="517"/>
      <c r="C1192" s="836">
        <v>2013</v>
      </c>
      <c r="D1192" s="520">
        <v>-1</v>
      </c>
      <c r="E1192" s="837">
        <v>255070000</v>
      </c>
      <c r="F1192" s="876">
        <v>255.07</v>
      </c>
      <c r="G1192" s="840">
        <v>255.07</v>
      </c>
      <c r="H1192" s="841">
        <v>255.07</v>
      </c>
      <c r="I1192" s="746"/>
      <c r="J1192" s="746"/>
      <c r="K1192" s="746"/>
    </row>
    <row r="1193" spans="1:11" ht="15" x14ac:dyDescent="0.5">
      <c r="A1193" s="521" t="s">
        <v>273</v>
      </c>
      <c r="B1193" s="517"/>
      <c r="C1193" s="836">
        <v>2014</v>
      </c>
      <c r="D1193" s="520">
        <v>0</v>
      </c>
      <c r="E1193" s="837">
        <v>258400000</v>
      </c>
      <c r="F1193" s="876">
        <v>258.39999999999998</v>
      </c>
      <c r="G1193" s="840">
        <v>258.39999999999998</v>
      </c>
      <c r="H1193" s="841">
        <v>258.39999999999998</v>
      </c>
      <c r="I1193" s="746"/>
      <c r="J1193" s="746"/>
      <c r="K1193" s="746"/>
    </row>
    <row r="1194" spans="1:11" ht="15" x14ac:dyDescent="0.45">
      <c r="A1194" s="842">
        <v>2019</v>
      </c>
      <c r="B1194" s="514"/>
      <c r="C1194" s="836">
        <v>2015</v>
      </c>
      <c r="D1194" s="520">
        <v>1</v>
      </c>
      <c r="E1194" s="837">
        <v>262110000</v>
      </c>
      <c r="F1194" s="876">
        <v>262.11</v>
      </c>
      <c r="G1194" s="840">
        <v>262.11</v>
      </c>
      <c r="H1194" s="841">
        <v>262.11</v>
      </c>
      <c r="I1194" s="746"/>
      <c r="J1194" s="746"/>
      <c r="K1194" s="746"/>
    </row>
    <row r="1195" spans="1:11" ht="14.1" x14ac:dyDescent="0.45">
      <c r="A1195" s="746"/>
      <c r="B1195" s="514"/>
      <c r="C1195" s="836">
        <v>2016</v>
      </c>
      <c r="D1195" s="520">
        <v>2</v>
      </c>
      <c r="E1195" s="837">
        <v>266820000</v>
      </c>
      <c r="F1195" s="876">
        <v>266.82</v>
      </c>
      <c r="G1195" s="840">
        <v>266.82</v>
      </c>
      <c r="H1195" s="841">
        <v>266.82</v>
      </c>
      <c r="I1195" s="746"/>
      <c r="J1195" s="746"/>
      <c r="K1195" s="746"/>
    </row>
    <row r="1196" spans="1:11" ht="15" x14ac:dyDescent="0.5">
      <c r="A1196" s="521" t="s">
        <v>274</v>
      </c>
      <c r="B1196" s="514"/>
      <c r="C1196" s="836">
        <v>2017</v>
      </c>
      <c r="D1196" s="520">
        <v>3</v>
      </c>
      <c r="E1196" s="837">
        <v>267790000</v>
      </c>
      <c r="F1196" s="876">
        <v>267.78999999999996</v>
      </c>
      <c r="G1196" s="840">
        <v>267.78999999999996</v>
      </c>
      <c r="H1196" s="841">
        <v>267.78999999999996</v>
      </c>
      <c r="I1196" s="746"/>
      <c r="J1196" s="746"/>
      <c r="K1196" s="746"/>
    </row>
    <row r="1197" spans="1:11" ht="15" x14ac:dyDescent="0.45">
      <c r="A1197" s="842" t="s">
        <v>983</v>
      </c>
      <c r="B1197" s="514"/>
      <c r="C1197" s="836">
        <v>2018</v>
      </c>
      <c r="D1197" s="520">
        <v>4</v>
      </c>
      <c r="E1197" s="837"/>
      <c r="F1197" s="876"/>
      <c r="G1197" s="840">
        <v>274.17358264545999</v>
      </c>
      <c r="H1197" s="841">
        <v>274.17358264545999</v>
      </c>
      <c r="I1197" s="746"/>
      <c r="J1197" s="746"/>
      <c r="K1197" s="746"/>
    </row>
    <row r="1198" spans="1:11" ht="15" x14ac:dyDescent="0.5">
      <c r="A1198" s="790"/>
      <c r="B1198" s="522"/>
      <c r="C1198" s="836">
        <v>2019</v>
      </c>
      <c r="D1198" s="520">
        <v>5</v>
      </c>
      <c r="E1198" s="837"/>
      <c r="F1198" s="876"/>
      <c r="G1198" s="840">
        <v>279.51665660022809</v>
      </c>
      <c r="H1198" s="841">
        <v>279.51665660022809</v>
      </c>
      <c r="I1198" s="746"/>
      <c r="J1198" s="746"/>
      <c r="K1198" s="746"/>
    </row>
    <row r="1199" spans="1:11" ht="15" x14ac:dyDescent="0.45">
      <c r="A1199" s="895" t="s">
        <v>275</v>
      </c>
      <c r="B1199" s="514"/>
      <c r="C1199" s="836">
        <v>2020</v>
      </c>
      <c r="D1199" s="520">
        <v>6</v>
      </c>
      <c r="E1199" s="837"/>
      <c r="F1199" s="876"/>
      <c r="G1199" s="840">
        <v>285.39754278236353</v>
      </c>
      <c r="H1199" s="841">
        <v>285.39754278236353</v>
      </c>
      <c r="I1199" s="746"/>
      <c r="J1199" s="746"/>
      <c r="K1199" s="746"/>
    </row>
    <row r="1200" spans="1:11" ht="15" x14ac:dyDescent="0.45">
      <c r="A1200" s="791"/>
      <c r="B1200" s="514"/>
      <c r="C1200" s="836">
        <v>2021</v>
      </c>
      <c r="D1200" s="520">
        <v>7</v>
      </c>
      <c r="E1200" s="837"/>
      <c r="F1200" s="876"/>
      <c r="G1200" s="840">
        <v>291.81624119186625</v>
      </c>
      <c r="H1200" s="841">
        <v>291.81624119186625</v>
      </c>
      <c r="I1200" s="746"/>
      <c r="J1200" s="746"/>
      <c r="K1200" s="746"/>
    </row>
    <row r="1201" spans="1:11" ht="15" x14ac:dyDescent="0.45">
      <c r="A1201" s="892"/>
      <c r="B1201" s="514"/>
      <c r="C1201" s="836">
        <v>2022</v>
      </c>
      <c r="D1201" s="520">
        <v>8</v>
      </c>
      <c r="E1201" s="837"/>
      <c r="F1201" s="876"/>
      <c r="G1201" s="840">
        <v>298.77275182873626</v>
      </c>
      <c r="H1201" s="841">
        <v>298.77275182873626</v>
      </c>
      <c r="I1201" s="746"/>
      <c r="J1201" s="746"/>
      <c r="K1201" s="746"/>
    </row>
    <row r="1202" spans="1:11" ht="15" x14ac:dyDescent="0.45">
      <c r="A1202" s="842">
        <v>9.9999999999999995E-7</v>
      </c>
      <c r="B1202" s="514"/>
      <c r="C1202" s="836">
        <v>2023</v>
      </c>
      <c r="D1202" s="520">
        <v>9</v>
      </c>
      <c r="E1202" s="837"/>
      <c r="F1202" s="876"/>
      <c r="G1202" s="840">
        <v>306.26707469297355</v>
      </c>
      <c r="H1202" s="841">
        <v>306.26707469297355</v>
      </c>
      <c r="I1202" s="746"/>
      <c r="J1202" s="746"/>
      <c r="K1202" s="746"/>
    </row>
    <row r="1203" spans="1:11" ht="14.1" x14ac:dyDescent="0.45">
      <c r="A1203" s="514"/>
      <c r="B1203" s="514"/>
      <c r="C1203" s="836">
        <v>2024</v>
      </c>
      <c r="D1203" s="520">
        <v>10</v>
      </c>
      <c r="E1203" s="837"/>
      <c r="F1203" s="876"/>
      <c r="G1203" s="840">
        <v>314.29920978457812</v>
      </c>
      <c r="H1203" s="841">
        <v>314.29920978457812</v>
      </c>
      <c r="I1203" s="746"/>
      <c r="J1203" s="746"/>
      <c r="K1203" s="746"/>
    </row>
    <row r="1204" spans="1:11" ht="14.1" x14ac:dyDescent="0.45">
      <c r="A1204" s="514"/>
      <c r="B1204" s="514"/>
      <c r="C1204" s="836">
        <v>2025</v>
      </c>
      <c r="D1204" s="520">
        <v>11</v>
      </c>
      <c r="E1204" s="837"/>
      <c r="F1204" s="876"/>
      <c r="G1204" s="840">
        <v>322.86915710355004</v>
      </c>
      <c r="H1204" s="841">
        <v>322.86915710355004</v>
      </c>
      <c r="I1204" s="746"/>
      <c r="J1204" s="746"/>
      <c r="K1204" s="746"/>
    </row>
    <row r="1205" spans="1:11" ht="14.1" x14ac:dyDescent="0.45">
      <c r="A1205" s="514"/>
      <c r="B1205" s="514"/>
      <c r="C1205" s="836">
        <v>2026</v>
      </c>
      <c r="D1205" s="520">
        <v>12</v>
      </c>
      <c r="E1205" s="837"/>
      <c r="F1205" s="876"/>
      <c r="G1205" s="840">
        <v>331.97691664988918</v>
      </c>
      <c r="H1205" s="841">
        <v>331.97691664988918</v>
      </c>
      <c r="I1205" s="746"/>
      <c r="J1205" s="746"/>
      <c r="K1205" s="746"/>
    </row>
    <row r="1206" spans="1:11" ht="14.1" x14ac:dyDescent="0.45">
      <c r="A1206" s="514"/>
      <c r="B1206" s="514"/>
      <c r="C1206" s="836">
        <v>2027</v>
      </c>
      <c r="D1206" s="520">
        <v>13</v>
      </c>
      <c r="E1206" s="837"/>
      <c r="F1206" s="876"/>
      <c r="G1206" s="840">
        <v>341.62248842359566</v>
      </c>
      <c r="H1206" s="841">
        <v>341.62248842359566</v>
      </c>
      <c r="I1206" s="746"/>
      <c r="J1206" s="746"/>
      <c r="K1206" s="746"/>
    </row>
    <row r="1207" spans="1:11" ht="14.1" x14ac:dyDescent="0.45">
      <c r="A1207" s="514"/>
      <c r="B1207" s="514"/>
      <c r="C1207" s="836">
        <v>2028</v>
      </c>
      <c r="D1207" s="520">
        <v>14</v>
      </c>
      <c r="E1207" s="837"/>
      <c r="F1207" s="876"/>
      <c r="G1207" s="840">
        <v>351.80587242466936</v>
      </c>
      <c r="H1207" s="841">
        <v>351.80587242466936</v>
      </c>
      <c r="I1207" s="746"/>
      <c r="J1207" s="746"/>
      <c r="K1207" s="746"/>
    </row>
    <row r="1208" spans="1:11" ht="14.1" x14ac:dyDescent="0.45">
      <c r="A1208" s="514"/>
      <c r="B1208" s="514"/>
      <c r="C1208" s="836">
        <v>2029</v>
      </c>
      <c r="D1208" s="520">
        <v>15</v>
      </c>
      <c r="E1208" s="837"/>
      <c r="F1208" s="876"/>
      <c r="G1208" s="840">
        <v>362.5270686531104</v>
      </c>
      <c r="H1208" s="841">
        <v>362.5270686531104</v>
      </c>
      <c r="I1208" s="746"/>
      <c r="J1208" s="746"/>
      <c r="K1208" s="746"/>
    </row>
    <row r="1209" spans="1:11" ht="14.1" x14ac:dyDescent="0.45">
      <c r="A1209" s="514"/>
      <c r="B1209" s="514"/>
      <c r="C1209" s="836">
        <v>2030</v>
      </c>
      <c r="D1209" s="520">
        <v>16</v>
      </c>
      <c r="E1209" s="837"/>
      <c r="F1209" s="876"/>
      <c r="G1209" s="840">
        <v>373.78607710891879</v>
      </c>
      <c r="H1209" s="841">
        <v>373.78607710891879</v>
      </c>
      <c r="I1209" s="746"/>
      <c r="J1209" s="746"/>
      <c r="K1209" s="746"/>
    </row>
    <row r="1210" spans="1:11" ht="14.1" x14ac:dyDescent="0.45">
      <c r="A1210" s="514"/>
      <c r="B1210" s="514"/>
      <c r="C1210" s="836">
        <v>2031</v>
      </c>
      <c r="D1210" s="520">
        <v>17</v>
      </c>
      <c r="E1210" s="837"/>
      <c r="F1210" s="876"/>
      <c r="G1210" s="840">
        <v>385.5828977920944</v>
      </c>
      <c r="H1210" s="841">
        <v>385.5828977920944</v>
      </c>
      <c r="I1210" s="746"/>
      <c r="J1210" s="746"/>
      <c r="K1210" s="746"/>
    </row>
    <row r="1211" spans="1:11" ht="14.1" x14ac:dyDescent="0.45">
      <c r="A1211" s="514"/>
      <c r="B1211" s="514"/>
      <c r="C1211" s="836">
        <v>2032</v>
      </c>
      <c r="D1211" s="520">
        <v>18</v>
      </c>
      <c r="E1211" s="837"/>
      <c r="F1211" s="876"/>
      <c r="G1211" s="840">
        <v>397.91753070263729</v>
      </c>
      <c r="H1211" s="841">
        <v>397.91753070263729</v>
      </c>
      <c r="I1211" s="746"/>
      <c r="J1211" s="746"/>
      <c r="K1211" s="746"/>
    </row>
    <row r="1212" spans="1:11" ht="14.1" x14ac:dyDescent="0.45">
      <c r="A1212" s="522"/>
      <c r="B1212" s="522"/>
      <c r="C1212" s="836">
        <v>2033</v>
      </c>
      <c r="D1212" s="520">
        <v>19</v>
      </c>
      <c r="E1212" s="837"/>
      <c r="F1212" s="876"/>
      <c r="G1212" s="840">
        <v>410.78997584054753</v>
      </c>
      <c r="H1212" s="841">
        <v>410.78997584054753</v>
      </c>
      <c r="I1212" s="746"/>
      <c r="J1212" s="746"/>
      <c r="K1212" s="746"/>
    </row>
    <row r="1213" spans="1:11" ht="14.1" x14ac:dyDescent="0.45">
      <c r="A1213" s="522"/>
      <c r="B1213" s="522"/>
      <c r="C1213" s="836">
        <v>2034</v>
      </c>
      <c r="D1213" s="520">
        <v>20</v>
      </c>
      <c r="E1213" s="837"/>
      <c r="F1213" s="876"/>
      <c r="G1213" s="840">
        <v>424.20023320582499</v>
      </c>
      <c r="H1213" s="841">
        <v>424.20023320582499</v>
      </c>
      <c r="I1213" s="746"/>
      <c r="J1213" s="746"/>
      <c r="K1213" s="746"/>
    </row>
    <row r="1214" spans="1:11" ht="14.1" x14ac:dyDescent="0.45">
      <c r="A1214" s="522"/>
      <c r="B1214" s="522"/>
      <c r="C1214" s="836">
        <v>2035</v>
      </c>
      <c r="D1214" s="520">
        <v>21</v>
      </c>
      <c r="E1214" s="837"/>
      <c r="F1214" s="876"/>
      <c r="G1214" s="840">
        <v>438.14830279846979</v>
      </c>
      <c r="H1214" s="841">
        <v>438.14830279846979</v>
      </c>
      <c r="I1214" s="746"/>
      <c r="J1214" s="746"/>
      <c r="K1214" s="746"/>
    </row>
    <row r="1215" spans="1:11" ht="14.1" x14ac:dyDescent="0.45">
      <c r="A1215" s="522"/>
      <c r="B1215" s="522"/>
      <c r="C1215" s="836">
        <v>2036</v>
      </c>
      <c r="D1215" s="520">
        <v>22</v>
      </c>
      <c r="E1215" s="837"/>
      <c r="F1215" s="876"/>
      <c r="G1215" s="840">
        <v>452.63418461848181</v>
      </c>
      <c r="H1215" s="841">
        <v>452.63418461848181</v>
      </c>
      <c r="I1215" s="746"/>
      <c r="J1215" s="746"/>
      <c r="K1215" s="746"/>
    </row>
    <row r="1216" spans="1:11" ht="14.1" x14ac:dyDescent="0.45">
      <c r="A1216" s="522"/>
      <c r="B1216" s="522"/>
      <c r="C1216" s="836">
        <v>2037</v>
      </c>
      <c r="D1216" s="520">
        <v>23</v>
      </c>
      <c r="E1216" s="837"/>
      <c r="F1216" s="876"/>
      <c r="G1216" s="840">
        <v>467.65787866586118</v>
      </c>
      <c r="H1216" s="841">
        <v>467.65787866586118</v>
      </c>
      <c r="I1216" s="746"/>
      <c r="J1216" s="746"/>
      <c r="K1216" s="746"/>
    </row>
    <row r="1217" spans="1:11" ht="14.1" x14ac:dyDescent="0.45">
      <c r="A1217" s="522"/>
      <c r="B1217" s="522"/>
      <c r="C1217" s="836">
        <v>2038</v>
      </c>
      <c r="D1217" s="520">
        <v>24</v>
      </c>
      <c r="E1217" s="837"/>
      <c r="F1217" s="876"/>
      <c r="G1217" s="840">
        <v>483.21938494060782</v>
      </c>
      <c r="H1217" s="841">
        <v>483.21938494060782</v>
      </c>
      <c r="I1217" s="746"/>
      <c r="J1217" s="746"/>
      <c r="K1217" s="746"/>
    </row>
    <row r="1218" spans="1:11" ht="14.1" x14ac:dyDescent="0.45">
      <c r="A1218" s="522"/>
      <c r="B1218" s="522"/>
      <c r="C1218" s="836">
        <v>2039</v>
      </c>
      <c r="D1218" s="520">
        <v>25</v>
      </c>
      <c r="E1218" s="837"/>
      <c r="F1218" s="876"/>
      <c r="G1218" s="840">
        <v>499.31870344272181</v>
      </c>
      <c r="H1218" s="841">
        <v>499.31870344272181</v>
      </c>
      <c r="I1218" s="746"/>
      <c r="J1218" s="746"/>
      <c r="K1218" s="746"/>
    </row>
    <row r="1219" spans="1:11" ht="14.1" x14ac:dyDescent="0.45">
      <c r="A1219" s="522"/>
      <c r="B1219" s="522"/>
      <c r="C1219" s="836">
        <v>2040</v>
      </c>
      <c r="D1219" s="520">
        <v>26</v>
      </c>
      <c r="E1219" s="837"/>
      <c r="F1219" s="876"/>
      <c r="G1219" s="840">
        <v>515.95583417220303</v>
      </c>
      <c r="H1219" s="841">
        <v>515.95583417220303</v>
      </c>
      <c r="I1219" s="746"/>
      <c r="J1219" s="746"/>
      <c r="K1219" s="746"/>
    </row>
    <row r="1220" spans="1:11" ht="14.1" x14ac:dyDescent="0.45">
      <c r="A1220" s="522"/>
      <c r="B1220" s="522"/>
      <c r="C1220" s="836">
        <v>2041</v>
      </c>
      <c r="D1220" s="520">
        <v>27</v>
      </c>
      <c r="E1220" s="837"/>
      <c r="F1220" s="876"/>
      <c r="G1220" s="840">
        <v>533.13077712905158</v>
      </c>
      <c r="H1220" s="841">
        <v>533.13077712905158</v>
      </c>
      <c r="I1220" s="746"/>
      <c r="J1220" s="746"/>
      <c r="K1220" s="746"/>
    </row>
    <row r="1221" spans="1:11" ht="14.1" x14ac:dyDescent="0.45">
      <c r="A1221" s="522"/>
      <c r="B1221" s="522"/>
      <c r="C1221" s="836">
        <v>2042</v>
      </c>
      <c r="D1221" s="520">
        <v>28</v>
      </c>
      <c r="E1221" s="837"/>
      <c r="F1221" s="876"/>
      <c r="G1221" s="840">
        <v>550.84353231326736</v>
      </c>
      <c r="H1221" s="841">
        <v>550.84353231326736</v>
      </c>
      <c r="I1221" s="746"/>
      <c r="J1221" s="746"/>
      <c r="K1221" s="746"/>
    </row>
    <row r="1222" spans="1:11" ht="14.1" x14ac:dyDescent="0.45">
      <c r="A1222" s="522"/>
      <c r="B1222" s="522"/>
      <c r="C1222" s="836">
        <v>2043</v>
      </c>
      <c r="D1222" s="520">
        <v>29</v>
      </c>
      <c r="E1222" s="837"/>
      <c r="F1222" s="876"/>
      <c r="G1222" s="840">
        <v>569.09409972485048</v>
      </c>
      <c r="H1222" s="841">
        <v>569.09409972485048</v>
      </c>
      <c r="I1222" s="746"/>
      <c r="J1222" s="746"/>
      <c r="K1222" s="746"/>
    </row>
    <row r="1223" spans="1:11" ht="14.1" x14ac:dyDescent="0.45">
      <c r="A1223" s="522"/>
      <c r="B1223" s="522"/>
      <c r="C1223" s="836">
        <v>2044</v>
      </c>
      <c r="D1223" s="520">
        <v>30</v>
      </c>
      <c r="E1223" s="837"/>
      <c r="F1223" s="876"/>
      <c r="G1223" s="840">
        <v>587.88247936380094</v>
      </c>
      <c r="H1223" s="841">
        <v>587.88247936380094</v>
      </c>
      <c r="I1223" s="746"/>
      <c r="J1223" s="746"/>
      <c r="K1223" s="746"/>
    </row>
    <row r="1224" spans="1:11" ht="14.1" x14ac:dyDescent="0.45">
      <c r="A1224" s="522"/>
      <c r="B1224" s="522"/>
      <c r="C1224" s="836">
        <v>2045</v>
      </c>
      <c r="D1224" s="520">
        <v>31</v>
      </c>
      <c r="E1224" s="837"/>
      <c r="F1224" s="876"/>
      <c r="G1224" s="840">
        <v>607.20867123011863</v>
      </c>
      <c r="H1224" s="841">
        <v>607.20867123011863</v>
      </c>
      <c r="I1224" s="746"/>
      <c r="J1224" s="746"/>
      <c r="K1224" s="746"/>
    </row>
    <row r="1225" spans="1:11" ht="14.1" x14ac:dyDescent="0.45">
      <c r="A1225" s="522"/>
      <c r="B1225" s="522"/>
      <c r="C1225" s="836">
        <v>2046</v>
      </c>
      <c r="D1225" s="520">
        <v>32</v>
      </c>
      <c r="E1225" s="837"/>
      <c r="F1225" s="876"/>
      <c r="G1225" s="840">
        <v>627.07267532380354</v>
      </c>
      <c r="H1225" s="841">
        <v>627.07267532380354</v>
      </c>
      <c r="I1225" s="746"/>
      <c r="J1225" s="746"/>
      <c r="K1225" s="746"/>
    </row>
    <row r="1226" spans="1:11" ht="14.1" x14ac:dyDescent="0.45">
      <c r="A1226" s="523"/>
      <c r="B1226" s="524"/>
      <c r="C1226" s="836">
        <v>2047</v>
      </c>
      <c r="D1226" s="520">
        <v>33</v>
      </c>
      <c r="E1226" s="837"/>
      <c r="F1226" s="876"/>
      <c r="G1226" s="840">
        <v>647.47449164485579</v>
      </c>
      <c r="H1226" s="841">
        <v>647.47449164485579</v>
      </c>
      <c r="I1226" s="746"/>
      <c r="J1226" s="746"/>
      <c r="K1226" s="746"/>
    </row>
    <row r="1227" spans="1:11" ht="14.1" x14ac:dyDescent="0.45">
      <c r="A1227" s="746"/>
      <c r="B1227" s="524"/>
      <c r="C1227" s="836">
        <v>2048</v>
      </c>
      <c r="D1227" s="520">
        <v>34</v>
      </c>
      <c r="E1227" s="837"/>
      <c r="F1227" s="876"/>
      <c r="G1227" s="840">
        <v>668.41412019327538</v>
      </c>
      <c r="H1227" s="841">
        <v>668.41412019327538</v>
      </c>
      <c r="I1227" s="746"/>
      <c r="J1227" s="746"/>
      <c r="K1227" s="746"/>
    </row>
    <row r="1228" spans="1:11" ht="14.1" x14ac:dyDescent="0.4">
      <c r="A1228" s="746"/>
      <c r="B1228" s="746"/>
      <c r="C1228" s="836">
        <v>2049</v>
      </c>
      <c r="D1228" s="520">
        <v>35</v>
      </c>
      <c r="E1228" s="837"/>
      <c r="F1228" s="876"/>
      <c r="G1228" s="840">
        <v>689.89156096906231</v>
      </c>
      <c r="H1228" s="841">
        <v>689.89156096906231</v>
      </c>
      <c r="I1228" s="746"/>
      <c r="J1228" s="746"/>
      <c r="K1228" s="746"/>
    </row>
    <row r="1229" spans="1:11" ht="14.1" x14ac:dyDescent="0.4">
      <c r="A1229" s="746"/>
      <c r="B1229" s="746"/>
      <c r="C1229" s="836">
        <v>2050</v>
      </c>
      <c r="D1229" s="520">
        <v>36</v>
      </c>
      <c r="E1229" s="837"/>
      <c r="F1229" s="876"/>
      <c r="G1229" s="840">
        <v>711.90681397221636</v>
      </c>
      <c r="H1229" s="841">
        <v>711.90681397221636</v>
      </c>
      <c r="I1229" s="746"/>
      <c r="J1229" s="746"/>
      <c r="K1229" s="746"/>
    </row>
    <row r="1230" spans="1:11" ht="14.1" x14ac:dyDescent="0.4">
      <c r="C1230" s="836">
        <v>2051</v>
      </c>
      <c r="D1230" s="520">
        <v>37</v>
      </c>
      <c r="E1230" s="837"/>
      <c r="F1230" s="876"/>
      <c r="G1230" s="840">
        <v>734.45987920273774</v>
      </c>
      <c r="H1230" s="841">
        <v>734.45987920273774</v>
      </c>
    </row>
    <row r="1231" spans="1:11" ht="14.1" x14ac:dyDescent="0.4">
      <c r="C1231" s="836">
        <v>2052</v>
      </c>
      <c r="D1231" s="520">
        <v>38</v>
      </c>
      <c r="E1231" s="837"/>
      <c r="F1231" s="876"/>
      <c r="G1231" s="840">
        <v>757.55075666062658</v>
      </c>
      <c r="H1231" s="841">
        <v>757.55075666062658</v>
      </c>
    </row>
    <row r="1232" spans="1:11" ht="14.1" x14ac:dyDescent="0.4">
      <c r="C1232" s="836">
        <v>2053</v>
      </c>
      <c r="D1232" s="520">
        <v>39</v>
      </c>
      <c r="E1232" s="837"/>
      <c r="F1232" s="876"/>
      <c r="G1232" s="840">
        <v>781.17944634588252</v>
      </c>
      <c r="H1232" s="841">
        <v>781.17944634588252</v>
      </c>
    </row>
    <row r="1233" spans="1:11" ht="14.1" x14ac:dyDescent="0.4">
      <c r="C1233" s="836">
        <v>2054</v>
      </c>
      <c r="D1233" s="520">
        <v>40</v>
      </c>
      <c r="E1233" s="837"/>
      <c r="F1233" s="876"/>
      <c r="G1233" s="840">
        <v>805.34594825850581</v>
      </c>
      <c r="H1233" s="841">
        <v>805.34594825850581</v>
      </c>
    </row>
    <row r="1234" spans="1:11" ht="14.1" x14ac:dyDescent="0.4">
      <c r="C1234" s="836">
        <v>2055</v>
      </c>
      <c r="D1234" s="520">
        <v>41</v>
      </c>
      <c r="E1234" s="837"/>
      <c r="F1234" s="876"/>
      <c r="G1234" s="840">
        <v>830.05026239849644</v>
      </c>
      <c r="H1234" s="841">
        <v>830.05026239849644</v>
      </c>
    </row>
    <row r="1235" spans="1:11" ht="14.1" x14ac:dyDescent="0.4">
      <c r="C1235" s="836">
        <v>2056</v>
      </c>
      <c r="D1235" s="520">
        <v>42</v>
      </c>
      <c r="E1235" s="837"/>
      <c r="F1235" s="876"/>
      <c r="G1235" s="840">
        <v>855.29238876585418</v>
      </c>
      <c r="H1235" s="841">
        <v>855.29238876585418</v>
      </c>
    </row>
    <row r="1236" spans="1:11" ht="14.1" x14ac:dyDescent="0.4">
      <c r="C1236" s="836">
        <v>2057</v>
      </c>
      <c r="D1236" s="520">
        <v>43</v>
      </c>
      <c r="E1236" s="837"/>
      <c r="F1236" s="876"/>
      <c r="G1236" s="840">
        <v>881.07232736057949</v>
      </c>
      <c r="H1236" s="841">
        <v>881.07232736057949</v>
      </c>
    </row>
    <row r="1237" spans="1:11" ht="14.1" x14ac:dyDescent="0.4">
      <c r="C1237" s="836">
        <v>2058</v>
      </c>
      <c r="D1237" s="520">
        <v>44</v>
      </c>
      <c r="E1237" s="837"/>
      <c r="F1237" s="876"/>
      <c r="G1237" s="840">
        <v>907.39007818267191</v>
      </c>
      <c r="H1237" s="841">
        <v>907.39007818267191</v>
      </c>
    </row>
    <row r="1238" spans="1:11" ht="14.1" x14ac:dyDescent="0.4">
      <c r="C1238" s="836">
        <v>2059</v>
      </c>
      <c r="D1238" s="520">
        <v>45</v>
      </c>
      <c r="E1238" s="837"/>
      <c r="F1238" s="876"/>
      <c r="G1238" s="840">
        <v>934.24564123213167</v>
      </c>
      <c r="H1238" s="841">
        <v>934.24564123213167</v>
      </c>
    </row>
    <row r="1239" spans="1:11" ht="14.1" x14ac:dyDescent="0.4">
      <c r="C1239" s="843">
        <v>2060</v>
      </c>
      <c r="D1239" s="520">
        <v>46</v>
      </c>
      <c r="E1239" s="837"/>
      <c r="F1239" s="876"/>
      <c r="G1239" s="840">
        <v>961.63901650895878</v>
      </c>
      <c r="H1239" s="841">
        <v>961.63901650895878</v>
      </c>
    </row>
    <row r="1242" spans="1:11" ht="15" x14ac:dyDescent="0.5">
      <c r="A1242" s="621" t="str">
        <f ca="1">HYPERLINK("#"&amp;"'"&amp;A$1&amp;"'!a1","Back to top")</f>
        <v>Back to top</v>
      </c>
    </row>
    <row r="1245" spans="1:11" ht="15" x14ac:dyDescent="0.5">
      <c r="A1245" s="508">
        <v>17</v>
      </c>
      <c r="B1245" s="509" t="s">
        <v>989</v>
      </c>
      <c r="C1245" s="787"/>
      <c r="D1245" s="787"/>
      <c r="E1245" s="787"/>
      <c r="F1245" s="787"/>
      <c r="G1245" s="787"/>
      <c r="H1245" s="787"/>
      <c r="I1245" s="787"/>
      <c r="J1245" s="787"/>
      <c r="K1245" s="787"/>
    </row>
    <row r="1246" spans="1:11" ht="15" x14ac:dyDescent="0.5">
      <c r="A1246" s="510" t="s">
        <v>260</v>
      </c>
      <c r="B1246" s="511"/>
      <c r="C1246" s="511"/>
      <c r="D1246" s="223"/>
      <c r="E1246" s="512"/>
      <c r="F1246" s="1309"/>
      <c r="G1246" s="512"/>
      <c r="H1246" s="513"/>
      <c r="I1246" s="746"/>
      <c r="J1246" s="746"/>
      <c r="K1246" s="746"/>
    </row>
    <row r="1247" spans="1:11" ht="15.3" thickBot="1" x14ac:dyDescent="0.5">
      <c r="A1247" s="872" t="s">
        <v>603</v>
      </c>
      <c r="B1247" s="514"/>
      <c r="C1247" s="514"/>
      <c r="D1247" s="515"/>
      <c r="E1247" s="516" t="s">
        <v>222</v>
      </c>
      <c r="F1247" s="1310"/>
      <c r="G1247" s="873" t="s">
        <v>990</v>
      </c>
      <c r="H1247" s="513"/>
      <c r="I1247" s="746"/>
      <c r="J1247" s="746"/>
      <c r="K1247" s="746"/>
    </row>
    <row r="1248" spans="1:11" ht="37.200000000000003" thickBot="1" x14ac:dyDescent="0.5">
      <c r="A1248" s="517"/>
      <c r="B1248" s="517"/>
      <c r="C1248" s="517"/>
      <c r="D1248" s="518"/>
      <c r="E1248" s="873" t="s">
        <v>724</v>
      </c>
      <c r="F1248" s="873" t="s">
        <v>664</v>
      </c>
      <c r="G1248" s="874" t="s">
        <v>991</v>
      </c>
      <c r="H1248" s="873" t="s">
        <v>667</v>
      </c>
      <c r="I1248" s="873" t="s">
        <v>666</v>
      </c>
      <c r="J1248" s="1297" t="s">
        <v>668</v>
      </c>
      <c r="K1248" s="1298"/>
    </row>
    <row r="1249" spans="1:11" ht="15" x14ac:dyDescent="0.5">
      <c r="A1249" s="510" t="s">
        <v>268</v>
      </c>
      <c r="B1249" s="517"/>
      <c r="C1249" s="788">
        <v>2005</v>
      </c>
      <c r="D1249" s="519">
        <v>-9</v>
      </c>
      <c r="E1249" s="875"/>
      <c r="F1249" s="876"/>
      <c r="G1249" s="877">
        <v>0</v>
      </c>
      <c r="H1249" s="878">
        <v>0</v>
      </c>
      <c r="I1249" s="1303" t="s">
        <v>269</v>
      </c>
      <c r="J1249" s="1299"/>
      <c r="K1249" s="1300"/>
    </row>
    <row r="1250" spans="1:11" ht="15" x14ac:dyDescent="0.45">
      <c r="A1250" s="872" t="s">
        <v>58</v>
      </c>
      <c r="B1250" s="517"/>
      <c r="C1250" s="836">
        <v>2006</v>
      </c>
      <c r="D1250" s="520">
        <v>-8</v>
      </c>
      <c r="E1250" s="837"/>
      <c r="F1250" s="876"/>
      <c r="G1250" s="838">
        <v>0</v>
      </c>
      <c r="H1250" s="839">
        <v>0</v>
      </c>
      <c r="I1250" s="1304"/>
      <c r="J1250" s="1299"/>
      <c r="K1250" s="1300"/>
    </row>
    <row r="1251" spans="1:11" ht="14.05" customHeight="1" x14ac:dyDescent="0.45">
      <c r="A1251" s="517"/>
      <c r="B1251" s="517"/>
      <c r="C1251" s="836">
        <v>2007</v>
      </c>
      <c r="D1251" s="520">
        <v>-7</v>
      </c>
      <c r="E1251" s="837"/>
      <c r="F1251" s="876"/>
      <c r="G1251" s="838">
        <v>0</v>
      </c>
      <c r="H1251" s="839">
        <v>0</v>
      </c>
      <c r="I1251" s="1304"/>
      <c r="J1251" s="1299"/>
      <c r="K1251" s="1300"/>
    </row>
    <row r="1252" spans="1:11" ht="15" x14ac:dyDescent="0.45">
      <c r="A1252" s="676" t="s">
        <v>270</v>
      </c>
      <c r="B1252" s="517"/>
      <c r="C1252" s="836">
        <v>2008</v>
      </c>
      <c r="D1252" s="520">
        <v>-6</v>
      </c>
      <c r="E1252" s="837"/>
      <c r="F1252" s="876"/>
      <c r="G1252" s="838">
        <v>0</v>
      </c>
      <c r="H1252" s="839">
        <v>0</v>
      </c>
      <c r="I1252" s="1304"/>
      <c r="J1252" s="1301"/>
      <c r="K1252" s="1302"/>
    </row>
    <row r="1253" spans="1:11" ht="14.1" x14ac:dyDescent="0.45">
      <c r="A1253" s="1306" t="s">
        <v>988</v>
      </c>
      <c r="B1253" s="517"/>
      <c r="C1253" s="836">
        <v>2009</v>
      </c>
      <c r="D1253" s="520">
        <v>-5</v>
      </c>
      <c r="E1253" s="837"/>
      <c r="F1253" s="876"/>
      <c r="G1253" s="838">
        <v>9.8211587985732507</v>
      </c>
      <c r="H1253" s="839">
        <v>9.8211587985732507</v>
      </c>
      <c r="I1253" s="1304"/>
      <c r="J1253" s="746"/>
      <c r="K1253" s="746"/>
    </row>
    <row r="1254" spans="1:11" ht="14.1" x14ac:dyDescent="0.45">
      <c r="A1254" s="1307"/>
      <c r="B1254" s="517"/>
      <c r="C1254" s="836">
        <v>2010</v>
      </c>
      <c r="D1254" s="520">
        <v>-4</v>
      </c>
      <c r="E1254" s="837"/>
      <c r="F1254" s="876"/>
      <c r="G1254" s="838">
        <v>24.382894199928195</v>
      </c>
      <c r="H1254" s="839">
        <v>24.382894199928195</v>
      </c>
      <c r="I1254" s="1304"/>
      <c r="J1254" s="746"/>
      <c r="K1254" s="746"/>
    </row>
    <row r="1255" spans="1:11" ht="14.1" x14ac:dyDescent="0.45">
      <c r="A1255" s="1307"/>
      <c r="B1255" s="517"/>
      <c r="C1255" s="836">
        <v>2011</v>
      </c>
      <c r="D1255" s="520">
        <v>-3</v>
      </c>
      <c r="E1255" s="837">
        <v>48</v>
      </c>
      <c r="F1255" s="876">
        <v>48</v>
      </c>
      <c r="G1255" s="838">
        <v>48</v>
      </c>
      <c r="H1255" s="839">
        <v>48</v>
      </c>
      <c r="I1255" s="1305"/>
      <c r="J1255" s="746"/>
      <c r="K1255" s="746"/>
    </row>
    <row r="1256" spans="1:11" ht="14.1" x14ac:dyDescent="0.45">
      <c r="A1256" s="1308"/>
      <c r="B1256" s="517"/>
      <c r="C1256" s="836">
        <v>2012</v>
      </c>
      <c r="D1256" s="520">
        <v>-2</v>
      </c>
      <c r="E1256" s="837"/>
      <c r="F1256" s="876"/>
      <c r="G1256" s="840">
        <v>49.593226002275131</v>
      </c>
      <c r="H1256" s="841">
        <v>49.593226002275131</v>
      </c>
      <c r="I1256" s="789" t="s">
        <v>272</v>
      </c>
      <c r="J1256" s="746"/>
      <c r="K1256" s="746"/>
    </row>
    <row r="1257" spans="1:11" ht="14.1" x14ac:dyDescent="0.45">
      <c r="A1257" s="517"/>
      <c r="B1257" s="517"/>
      <c r="C1257" s="836">
        <v>2013</v>
      </c>
      <c r="D1257" s="520">
        <v>-1</v>
      </c>
      <c r="E1257" s="837"/>
      <c r="F1257" s="876"/>
      <c r="G1257" s="840">
        <v>60.414154761222335</v>
      </c>
      <c r="H1257" s="841">
        <v>60.414154761222335</v>
      </c>
      <c r="I1257" s="746"/>
      <c r="J1257" s="746"/>
      <c r="K1257" s="746"/>
    </row>
    <row r="1258" spans="1:11" ht="15" x14ac:dyDescent="0.5">
      <c r="A1258" s="521" t="s">
        <v>273</v>
      </c>
      <c r="B1258" s="517"/>
      <c r="C1258" s="836">
        <v>2014</v>
      </c>
      <c r="D1258" s="520">
        <v>0</v>
      </c>
      <c r="E1258" s="837"/>
      <c r="F1258" s="876"/>
      <c r="G1258" s="840">
        <v>70.160480330655503</v>
      </c>
      <c r="H1258" s="841">
        <v>70.160480330655503</v>
      </c>
      <c r="I1258" s="746"/>
      <c r="J1258" s="746"/>
      <c r="K1258" s="746"/>
    </row>
    <row r="1259" spans="1:11" ht="15" x14ac:dyDescent="0.45">
      <c r="A1259" s="842">
        <v>2019</v>
      </c>
      <c r="B1259" s="514"/>
      <c r="C1259" s="836">
        <v>2015</v>
      </c>
      <c r="D1259" s="520">
        <v>1</v>
      </c>
      <c r="E1259" s="837">
        <v>62</v>
      </c>
      <c r="F1259" s="876">
        <v>62</v>
      </c>
      <c r="G1259" s="840">
        <v>62</v>
      </c>
      <c r="H1259" s="841">
        <v>62</v>
      </c>
      <c r="I1259" s="746"/>
      <c r="J1259" s="746"/>
      <c r="K1259" s="746"/>
    </row>
    <row r="1260" spans="1:11" ht="14.1" x14ac:dyDescent="0.45">
      <c r="A1260" s="746"/>
      <c r="B1260" s="514"/>
      <c r="C1260" s="836">
        <v>2016</v>
      </c>
      <c r="D1260" s="520">
        <v>2</v>
      </c>
      <c r="E1260" s="837"/>
      <c r="F1260" s="876"/>
      <c r="G1260" s="840">
        <v>86.773986616890156</v>
      </c>
      <c r="H1260" s="841">
        <v>86.773986616890156</v>
      </c>
      <c r="I1260" s="746"/>
      <c r="J1260" s="746"/>
      <c r="K1260" s="746"/>
    </row>
    <row r="1261" spans="1:11" ht="15" x14ac:dyDescent="0.5">
      <c r="A1261" s="521" t="s">
        <v>274</v>
      </c>
      <c r="B1261" s="514"/>
      <c r="C1261" s="836">
        <v>2017</v>
      </c>
      <c r="D1261" s="520">
        <v>3</v>
      </c>
      <c r="E1261" s="837"/>
      <c r="F1261" s="876"/>
      <c r="G1261" s="840">
        <v>93.813499691646854</v>
      </c>
      <c r="H1261" s="841">
        <v>93.813499691646854</v>
      </c>
      <c r="I1261" s="746"/>
      <c r="J1261" s="746"/>
      <c r="K1261" s="746"/>
    </row>
    <row r="1262" spans="1:11" ht="15" x14ac:dyDescent="0.45">
      <c r="A1262" s="842" t="s">
        <v>724</v>
      </c>
      <c r="B1262" s="514"/>
      <c r="C1262" s="836">
        <v>2018</v>
      </c>
      <c r="D1262" s="520">
        <v>4</v>
      </c>
      <c r="E1262" s="837"/>
      <c r="F1262" s="876"/>
      <c r="G1262" s="840">
        <v>100.12307429279994</v>
      </c>
      <c r="H1262" s="841">
        <v>100.12307429279994</v>
      </c>
      <c r="I1262" s="746"/>
      <c r="J1262" s="746"/>
      <c r="K1262" s="746"/>
    </row>
    <row r="1263" spans="1:11" ht="15" x14ac:dyDescent="0.5">
      <c r="A1263" s="790"/>
      <c r="B1263" s="522"/>
      <c r="C1263" s="836">
        <v>2019</v>
      </c>
      <c r="D1263" s="520">
        <v>5</v>
      </c>
      <c r="E1263" s="837"/>
      <c r="F1263" s="876"/>
      <c r="G1263" s="840">
        <v>105.78887659932703</v>
      </c>
      <c r="H1263" s="841">
        <v>105.78887659932703</v>
      </c>
      <c r="I1263" s="746"/>
      <c r="J1263" s="746"/>
      <c r="K1263" s="746"/>
    </row>
    <row r="1264" spans="1:11" ht="15" x14ac:dyDescent="0.45">
      <c r="A1264" s="895" t="s">
        <v>275</v>
      </c>
      <c r="B1264" s="514"/>
      <c r="C1264" s="836">
        <v>2020</v>
      </c>
      <c r="D1264" s="520">
        <v>6</v>
      </c>
      <c r="E1264" s="837"/>
      <c r="F1264" s="876"/>
      <c r="G1264" s="840">
        <v>110.89707279020571</v>
      </c>
      <c r="H1264" s="841">
        <v>110.89707279020571</v>
      </c>
      <c r="I1264" s="746"/>
      <c r="J1264" s="746"/>
      <c r="K1264" s="746"/>
    </row>
    <row r="1265" spans="1:11" ht="15" x14ac:dyDescent="0.45">
      <c r="A1265" s="791"/>
      <c r="B1265" s="514"/>
      <c r="C1265" s="836">
        <v>2021</v>
      </c>
      <c r="D1265" s="520">
        <v>7</v>
      </c>
      <c r="E1265" s="837"/>
      <c r="F1265" s="876"/>
      <c r="G1265" s="840">
        <v>115.53382904441362</v>
      </c>
      <c r="H1265" s="841">
        <v>115.53382904441362</v>
      </c>
      <c r="I1265" s="746"/>
      <c r="J1265" s="746"/>
      <c r="K1265" s="746"/>
    </row>
    <row r="1266" spans="1:11" ht="15" x14ac:dyDescent="0.45">
      <c r="A1266" s="892"/>
      <c r="B1266" s="514"/>
      <c r="C1266" s="836">
        <v>2022</v>
      </c>
      <c r="D1266" s="520">
        <v>8</v>
      </c>
      <c r="E1266" s="837"/>
      <c r="F1266" s="876"/>
      <c r="G1266" s="840">
        <v>119.78531154092832</v>
      </c>
      <c r="H1266" s="841">
        <v>119.78531154092832</v>
      </c>
      <c r="I1266" s="746"/>
      <c r="J1266" s="746"/>
      <c r="K1266" s="746"/>
    </row>
    <row r="1267" spans="1:11" ht="15" x14ac:dyDescent="0.45">
      <c r="A1267" s="842"/>
      <c r="B1267" s="514"/>
      <c r="C1267" s="836">
        <v>2023</v>
      </c>
      <c r="D1267" s="520">
        <v>9</v>
      </c>
      <c r="E1267" s="837"/>
      <c r="F1267" s="876"/>
      <c r="G1267" s="840">
        <v>123.73768645872744</v>
      </c>
      <c r="H1267" s="841">
        <v>123.73768645872744</v>
      </c>
      <c r="I1267" s="746"/>
      <c r="J1267" s="746"/>
      <c r="K1267" s="746"/>
    </row>
    <row r="1268" spans="1:11" ht="14.1" x14ac:dyDescent="0.45">
      <c r="A1268" s="514"/>
      <c r="B1268" s="514"/>
      <c r="C1268" s="836">
        <v>2024</v>
      </c>
      <c r="D1268" s="520">
        <v>10</v>
      </c>
      <c r="E1268" s="837"/>
      <c r="F1268" s="876"/>
      <c r="G1268" s="840">
        <v>127.47711997678861</v>
      </c>
      <c r="H1268" s="841">
        <v>127.47711997678861</v>
      </c>
      <c r="I1268" s="746"/>
      <c r="J1268" s="746"/>
      <c r="K1268" s="746"/>
    </row>
    <row r="1269" spans="1:11" ht="14.1" x14ac:dyDescent="0.45">
      <c r="A1269" s="514"/>
      <c r="B1269" s="514"/>
      <c r="C1269" s="836">
        <v>2025</v>
      </c>
      <c r="D1269" s="520">
        <v>11</v>
      </c>
      <c r="E1269" s="837"/>
      <c r="F1269" s="876"/>
      <c r="G1269" s="840">
        <v>131.08977827408941</v>
      </c>
      <c r="H1269" s="841">
        <v>131.08977827408941</v>
      </c>
      <c r="I1269" s="746"/>
      <c r="J1269" s="746"/>
      <c r="K1269" s="746"/>
    </row>
    <row r="1270" spans="1:11" ht="14.1" x14ac:dyDescent="0.45">
      <c r="A1270" s="514"/>
      <c r="B1270" s="514"/>
      <c r="C1270" s="836">
        <v>2026</v>
      </c>
      <c r="D1270" s="520">
        <v>12</v>
      </c>
      <c r="E1270" s="837"/>
      <c r="F1270" s="876"/>
      <c r="G1270" s="840">
        <v>134.66182752960742</v>
      </c>
      <c r="H1270" s="841">
        <v>134.66182752960742</v>
      </c>
      <c r="I1270" s="746"/>
      <c r="J1270" s="746"/>
      <c r="K1270" s="746"/>
    </row>
    <row r="1271" spans="1:11" ht="14.1" x14ac:dyDescent="0.45">
      <c r="A1271" s="514"/>
      <c r="B1271" s="514"/>
      <c r="C1271" s="836">
        <v>2027</v>
      </c>
      <c r="D1271" s="520">
        <v>13</v>
      </c>
      <c r="E1271" s="837"/>
      <c r="F1271" s="876"/>
      <c r="G1271" s="840">
        <v>138.27943392232029</v>
      </c>
      <c r="H1271" s="841">
        <v>138.27943392232029</v>
      </c>
      <c r="I1271" s="746"/>
      <c r="J1271" s="746"/>
      <c r="K1271" s="746"/>
    </row>
    <row r="1272" spans="1:11" ht="14.1" x14ac:dyDescent="0.45">
      <c r="A1272" s="514"/>
      <c r="B1272" s="514"/>
      <c r="C1272" s="836">
        <v>2028</v>
      </c>
      <c r="D1272" s="520">
        <v>14</v>
      </c>
      <c r="E1272" s="837"/>
      <c r="F1272" s="876"/>
      <c r="G1272" s="840">
        <v>142.02876363120566</v>
      </c>
      <c r="H1272" s="841">
        <v>142.02876363120566</v>
      </c>
      <c r="I1272" s="746"/>
      <c r="J1272" s="746"/>
      <c r="K1272" s="746"/>
    </row>
    <row r="1273" spans="1:11" ht="14.1" x14ac:dyDescent="0.45">
      <c r="A1273" s="514"/>
      <c r="B1273" s="514"/>
      <c r="C1273" s="836">
        <v>2029</v>
      </c>
      <c r="D1273" s="520">
        <v>15</v>
      </c>
      <c r="E1273" s="837"/>
      <c r="F1273" s="876"/>
      <c r="G1273" s="840">
        <v>145.99598283524105</v>
      </c>
      <c r="H1273" s="841">
        <v>145.99598283524105</v>
      </c>
      <c r="I1273" s="746"/>
      <c r="J1273" s="746"/>
      <c r="K1273" s="746"/>
    </row>
    <row r="1274" spans="1:11" ht="14.1" x14ac:dyDescent="0.45">
      <c r="A1274" s="514"/>
      <c r="B1274" s="514"/>
      <c r="C1274" s="836">
        <v>2030</v>
      </c>
      <c r="D1274" s="520">
        <v>16</v>
      </c>
      <c r="E1274" s="837">
        <v>165</v>
      </c>
      <c r="F1274" s="876">
        <v>165</v>
      </c>
      <c r="G1274" s="840">
        <v>165</v>
      </c>
      <c r="H1274" s="841">
        <v>165</v>
      </c>
      <c r="I1274" s="746"/>
      <c r="J1274" s="746"/>
      <c r="K1274" s="746"/>
    </row>
    <row r="1275" spans="1:11" ht="14.1" x14ac:dyDescent="0.45">
      <c r="A1275" s="514"/>
      <c r="B1275" s="514"/>
      <c r="C1275" s="836">
        <v>2031</v>
      </c>
      <c r="D1275" s="520">
        <v>17</v>
      </c>
      <c r="E1275" s="837"/>
      <c r="F1275" s="876"/>
      <c r="G1275" s="840">
        <v>154.92875444467239</v>
      </c>
      <c r="H1275" s="841">
        <v>154.92875444467239</v>
      </c>
      <c r="I1275" s="746"/>
      <c r="J1275" s="746"/>
      <c r="K1275" s="746"/>
    </row>
    <row r="1276" spans="1:11" ht="14.1" x14ac:dyDescent="0.45">
      <c r="A1276" s="514"/>
      <c r="B1276" s="514"/>
      <c r="C1276" s="836">
        <v>2032</v>
      </c>
      <c r="D1276" s="520">
        <v>18</v>
      </c>
      <c r="E1276" s="837"/>
      <c r="F1276" s="876"/>
      <c r="G1276" s="840">
        <v>160.06663920802362</v>
      </c>
      <c r="H1276" s="841">
        <v>160.06663920802362</v>
      </c>
      <c r="I1276" s="746"/>
      <c r="J1276" s="746"/>
      <c r="K1276" s="746"/>
    </row>
    <row r="1277" spans="1:11" ht="14.1" x14ac:dyDescent="0.45">
      <c r="A1277" s="522"/>
      <c r="B1277" s="522"/>
      <c r="C1277" s="836">
        <v>2033</v>
      </c>
      <c r="D1277" s="520">
        <v>19</v>
      </c>
      <c r="E1277" s="837"/>
      <c r="F1277" s="876"/>
      <c r="G1277" s="840">
        <v>165.76707818243528</v>
      </c>
      <c r="H1277" s="841">
        <v>165.76707818243528</v>
      </c>
      <c r="I1277" s="746"/>
      <c r="J1277" s="746"/>
      <c r="K1277" s="746"/>
    </row>
    <row r="1278" spans="1:11" ht="14.1" x14ac:dyDescent="0.45">
      <c r="A1278" s="522"/>
      <c r="B1278" s="522"/>
      <c r="C1278" s="836">
        <v>2034</v>
      </c>
      <c r="D1278" s="520">
        <v>20</v>
      </c>
      <c r="E1278" s="837"/>
      <c r="F1278" s="876"/>
      <c r="G1278" s="840">
        <v>172.11623754688509</v>
      </c>
      <c r="H1278" s="841">
        <v>172.11623754688509</v>
      </c>
      <c r="I1278" s="746"/>
      <c r="J1278" s="746"/>
      <c r="K1278" s="746"/>
    </row>
    <row r="1279" spans="1:11" ht="14.1" x14ac:dyDescent="0.45">
      <c r="A1279" s="522"/>
      <c r="B1279" s="522"/>
      <c r="C1279" s="836">
        <v>2035</v>
      </c>
      <c r="D1279" s="520">
        <v>21</v>
      </c>
      <c r="E1279" s="837"/>
      <c r="F1279" s="876"/>
      <c r="G1279" s="840">
        <v>179.20028348035055</v>
      </c>
      <c r="H1279" s="841">
        <v>179.20028348035055</v>
      </c>
      <c r="I1279" s="746"/>
      <c r="J1279" s="746"/>
      <c r="K1279" s="746"/>
    </row>
    <row r="1280" spans="1:11" ht="14.1" x14ac:dyDescent="0.45">
      <c r="A1280" s="522"/>
      <c r="B1280" s="522"/>
      <c r="C1280" s="836">
        <v>2036</v>
      </c>
      <c r="D1280" s="520">
        <v>22</v>
      </c>
      <c r="E1280" s="837"/>
      <c r="F1280" s="876"/>
      <c r="G1280" s="840">
        <v>187.10538216180933</v>
      </c>
      <c r="H1280" s="841">
        <v>187.10538216180933</v>
      </c>
      <c r="I1280" s="746"/>
      <c r="J1280" s="746"/>
      <c r="K1280" s="746"/>
    </row>
    <row r="1281" spans="1:11" ht="14.1" x14ac:dyDescent="0.45">
      <c r="A1281" s="522"/>
      <c r="B1281" s="522"/>
      <c r="C1281" s="836">
        <v>2037</v>
      </c>
      <c r="D1281" s="520">
        <v>23</v>
      </c>
      <c r="E1281" s="837"/>
      <c r="F1281" s="876"/>
      <c r="G1281" s="840">
        <v>195.91769977023898</v>
      </c>
      <c r="H1281" s="841">
        <v>195.91769977023898</v>
      </c>
      <c r="I1281" s="746"/>
      <c r="J1281" s="746"/>
      <c r="K1281" s="746"/>
    </row>
    <row r="1282" spans="1:11" ht="14.1" x14ac:dyDescent="0.45">
      <c r="A1282" s="522"/>
      <c r="B1282" s="522"/>
      <c r="C1282" s="836">
        <v>2038</v>
      </c>
      <c r="D1282" s="520">
        <v>24</v>
      </c>
      <c r="E1282" s="837"/>
      <c r="F1282" s="876"/>
      <c r="G1282" s="840">
        <v>205.72340248461717</v>
      </c>
      <c r="H1282" s="841">
        <v>205.72340248461717</v>
      </c>
      <c r="I1282" s="746"/>
      <c r="J1282" s="746"/>
      <c r="K1282" s="746"/>
    </row>
    <row r="1283" spans="1:11" ht="14.1" x14ac:dyDescent="0.45">
      <c r="A1283" s="522"/>
      <c r="B1283" s="522"/>
      <c r="C1283" s="836">
        <v>2039</v>
      </c>
      <c r="D1283" s="520">
        <v>25</v>
      </c>
      <c r="E1283" s="837"/>
      <c r="F1283" s="876"/>
      <c r="G1283" s="840">
        <v>216.60865648392149</v>
      </c>
      <c r="H1283" s="841">
        <v>216.60865648392149</v>
      </c>
      <c r="I1283" s="746"/>
      <c r="J1283" s="746"/>
      <c r="K1283" s="746"/>
    </row>
    <row r="1284" spans="1:11" ht="14.1" x14ac:dyDescent="0.45">
      <c r="A1284" s="522"/>
      <c r="B1284" s="522"/>
      <c r="C1284" s="836">
        <v>2040</v>
      </c>
      <c r="D1284" s="520">
        <v>26</v>
      </c>
      <c r="E1284" s="837"/>
      <c r="F1284" s="876"/>
      <c r="G1284" s="840">
        <v>228.65962794712951</v>
      </c>
      <c r="H1284" s="841">
        <v>228.65962794712951</v>
      </c>
      <c r="I1284" s="746"/>
      <c r="J1284" s="746"/>
      <c r="K1284" s="746"/>
    </row>
    <row r="1285" spans="1:11" ht="14.1" x14ac:dyDescent="0.45">
      <c r="A1285" s="522"/>
      <c r="B1285" s="522"/>
      <c r="C1285" s="836">
        <v>2041</v>
      </c>
      <c r="D1285" s="520">
        <v>27</v>
      </c>
      <c r="E1285" s="837">
        <v>230</v>
      </c>
      <c r="F1285" s="876">
        <v>230</v>
      </c>
      <c r="G1285" s="840">
        <v>230</v>
      </c>
      <c r="H1285" s="841">
        <v>230</v>
      </c>
      <c r="I1285" s="746"/>
      <c r="J1285" s="746"/>
      <c r="K1285" s="746"/>
    </row>
    <row r="1286" spans="1:11" ht="14.1" x14ac:dyDescent="0.45">
      <c r="A1286" s="522"/>
      <c r="B1286" s="522"/>
      <c r="C1286" s="836">
        <v>2042</v>
      </c>
      <c r="D1286" s="520">
        <v>28</v>
      </c>
      <c r="E1286" s="837"/>
      <c r="F1286" s="876"/>
      <c r="G1286" s="840">
        <v>256.60338798116732</v>
      </c>
      <c r="H1286" s="841">
        <v>256.60338798116732</v>
      </c>
      <c r="I1286" s="746"/>
      <c r="J1286" s="746"/>
      <c r="K1286" s="746"/>
    </row>
    <row r="1287" spans="1:11" ht="14.1" x14ac:dyDescent="0.45">
      <c r="A1287" s="522"/>
      <c r="B1287" s="522"/>
      <c r="C1287" s="836">
        <v>2043</v>
      </c>
      <c r="D1287" s="520">
        <v>29</v>
      </c>
      <c r="E1287" s="837"/>
      <c r="F1287" s="876"/>
      <c r="G1287" s="840">
        <v>272.6685089099521</v>
      </c>
      <c r="H1287" s="841">
        <v>272.6685089099521</v>
      </c>
      <c r="I1287" s="746"/>
      <c r="J1287" s="746"/>
      <c r="K1287" s="746"/>
    </row>
    <row r="1288" spans="1:11" ht="14.1" x14ac:dyDescent="0.45">
      <c r="A1288" s="522"/>
      <c r="B1288" s="522"/>
      <c r="C1288" s="836">
        <v>2044</v>
      </c>
      <c r="D1288" s="520">
        <v>30</v>
      </c>
      <c r="E1288" s="837"/>
      <c r="F1288" s="876"/>
      <c r="G1288" s="840">
        <v>290.24401201855119</v>
      </c>
      <c r="H1288" s="841">
        <v>290.24401201855119</v>
      </c>
      <c r="I1288" s="746"/>
      <c r="J1288" s="746"/>
      <c r="K1288" s="746"/>
    </row>
    <row r="1289" spans="1:11" ht="14.1" x14ac:dyDescent="0.45">
      <c r="A1289" s="522"/>
      <c r="B1289" s="522"/>
      <c r="C1289" s="836">
        <v>2045</v>
      </c>
      <c r="D1289" s="520">
        <v>31</v>
      </c>
      <c r="E1289" s="837"/>
      <c r="F1289" s="876"/>
      <c r="G1289" s="840">
        <v>309.41606348594189</v>
      </c>
      <c r="H1289" s="841">
        <v>309.41606348594189</v>
      </c>
      <c r="I1289" s="746"/>
      <c r="J1289" s="746"/>
      <c r="K1289" s="746"/>
    </row>
    <row r="1290" spans="1:11" ht="14.1" x14ac:dyDescent="0.45">
      <c r="A1290" s="522"/>
      <c r="B1290" s="522"/>
      <c r="C1290" s="836">
        <v>2046</v>
      </c>
      <c r="D1290" s="520">
        <v>32</v>
      </c>
      <c r="E1290" s="837"/>
      <c r="F1290" s="876"/>
      <c r="G1290" s="840">
        <v>330.27082949110206</v>
      </c>
      <c r="H1290" s="841">
        <v>330.27082949110206</v>
      </c>
      <c r="I1290" s="746"/>
      <c r="J1290" s="746"/>
      <c r="K1290" s="746"/>
    </row>
    <row r="1291" spans="1:11" ht="14.1" x14ac:dyDescent="0.45">
      <c r="A1291" s="523"/>
      <c r="B1291" s="524"/>
      <c r="C1291" s="836">
        <v>2047</v>
      </c>
      <c r="D1291" s="520">
        <v>33</v>
      </c>
      <c r="E1291" s="837"/>
      <c r="F1291" s="876"/>
      <c r="G1291" s="840">
        <v>352.89447621300911</v>
      </c>
      <c r="H1291" s="841">
        <v>352.89447621300911</v>
      </c>
      <c r="I1291" s="746"/>
      <c r="J1291" s="746"/>
      <c r="K1291" s="746"/>
    </row>
    <row r="1292" spans="1:11" ht="14.1" x14ac:dyDescent="0.45">
      <c r="A1292" s="746"/>
      <c r="B1292" s="524"/>
      <c r="C1292" s="836">
        <v>2048</v>
      </c>
      <c r="D1292" s="520">
        <v>34</v>
      </c>
      <c r="E1292" s="837"/>
      <c r="F1292" s="876"/>
      <c r="G1292" s="840">
        <v>377.37316983064079</v>
      </c>
      <c r="H1292" s="841">
        <v>377.37316983064079</v>
      </c>
      <c r="I1292" s="746"/>
      <c r="J1292" s="746"/>
      <c r="K1292" s="746"/>
    </row>
    <row r="1293" spans="1:11" ht="14.1" x14ac:dyDescent="0.4">
      <c r="A1293" s="746"/>
      <c r="B1293" s="746"/>
      <c r="C1293" s="836">
        <v>2049</v>
      </c>
      <c r="D1293" s="520">
        <v>35</v>
      </c>
      <c r="E1293" s="837"/>
      <c r="F1293" s="876"/>
      <c r="G1293" s="840">
        <v>403.79307652297473</v>
      </c>
      <c r="H1293" s="841">
        <v>403.79307652297473</v>
      </c>
      <c r="I1293" s="746"/>
      <c r="J1293" s="746"/>
      <c r="K1293" s="746"/>
    </row>
    <row r="1294" spans="1:11" ht="14.1" x14ac:dyDescent="0.4">
      <c r="A1294" s="746"/>
      <c r="B1294" s="746"/>
      <c r="C1294" s="836">
        <v>2050</v>
      </c>
      <c r="D1294" s="520">
        <v>36</v>
      </c>
      <c r="E1294" s="837">
        <v>436</v>
      </c>
      <c r="F1294" s="876">
        <v>436</v>
      </c>
      <c r="G1294" s="840">
        <v>436</v>
      </c>
      <c r="H1294" s="841">
        <v>436</v>
      </c>
      <c r="I1294" s="746"/>
      <c r="J1294" s="746"/>
      <c r="K1294" s="746"/>
    </row>
    <row r="1295" spans="1:11" ht="14.1" x14ac:dyDescent="0.4">
      <c r="C1295" s="836">
        <v>2051</v>
      </c>
      <c r="D1295" s="520">
        <v>37</v>
      </c>
      <c r="E1295" s="837"/>
      <c r="F1295" s="876"/>
      <c r="G1295" s="840">
        <v>462.80119384765948</v>
      </c>
      <c r="H1295" s="841">
        <v>462.80119384765948</v>
      </c>
    </row>
    <row r="1296" spans="1:11" ht="14.1" x14ac:dyDescent="0.4">
      <c r="C1296" s="836">
        <v>2052</v>
      </c>
      <c r="D1296" s="520">
        <v>38</v>
      </c>
      <c r="E1296" s="837"/>
      <c r="F1296" s="876"/>
      <c r="G1296" s="840">
        <v>495.5617368379655</v>
      </c>
      <c r="H1296" s="841">
        <v>495.5617368379655</v>
      </c>
    </row>
    <row r="1297" spans="1:11" ht="14.1" x14ac:dyDescent="0.4">
      <c r="C1297" s="836">
        <v>2053</v>
      </c>
      <c r="D1297" s="520">
        <v>39</v>
      </c>
      <c r="E1297" s="837"/>
      <c r="F1297" s="876"/>
      <c r="G1297" s="840">
        <v>530.60815761888421</v>
      </c>
      <c r="H1297" s="841">
        <v>530.60815761888421</v>
      </c>
    </row>
    <row r="1298" spans="1:11" ht="14.1" x14ac:dyDescent="0.4">
      <c r="C1298" s="836">
        <v>2054</v>
      </c>
      <c r="D1298" s="520">
        <v>40</v>
      </c>
      <c r="E1298" s="837"/>
      <c r="F1298" s="876"/>
      <c r="G1298" s="840">
        <v>568.02662236939307</v>
      </c>
      <c r="H1298" s="841">
        <v>568.02662236939307</v>
      </c>
    </row>
    <row r="1299" spans="1:11" ht="14.1" x14ac:dyDescent="0.4">
      <c r="C1299" s="836">
        <v>2055</v>
      </c>
      <c r="D1299" s="520">
        <v>41</v>
      </c>
      <c r="E1299" s="837"/>
      <c r="F1299" s="876"/>
      <c r="G1299" s="840">
        <v>607.90329726846971</v>
      </c>
      <c r="H1299" s="841">
        <v>607.90329726846971</v>
      </c>
    </row>
    <row r="1300" spans="1:11" ht="14.1" x14ac:dyDescent="0.4">
      <c r="C1300" s="836">
        <v>2056</v>
      </c>
      <c r="D1300" s="520">
        <v>42</v>
      </c>
      <c r="E1300" s="837"/>
      <c r="F1300" s="876"/>
      <c r="G1300" s="840">
        <v>650.32434849509195</v>
      </c>
      <c r="H1300" s="841">
        <v>650.32434849509195</v>
      </c>
    </row>
    <row r="1301" spans="1:11" ht="14.1" x14ac:dyDescent="0.4">
      <c r="C1301" s="836">
        <v>2057</v>
      </c>
      <c r="D1301" s="520">
        <v>43</v>
      </c>
      <c r="E1301" s="837"/>
      <c r="F1301" s="876"/>
      <c r="G1301" s="840">
        <v>695.37594222823714</v>
      </c>
      <c r="H1301" s="841">
        <v>695.37594222823714</v>
      </c>
    </row>
    <row r="1302" spans="1:11" ht="14.1" x14ac:dyDescent="0.4">
      <c r="C1302" s="836">
        <v>2058</v>
      </c>
      <c r="D1302" s="520">
        <v>44</v>
      </c>
      <c r="E1302" s="837"/>
      <c r="F1302" s="876"/>
      <c r="G1302" s="840">
        <v>743.14424464688295</v>
      </c>
      <c r="H1302" s="841">
        <v>743.14424464688295</v>
      </c>
    </row>
    <row r="1303" spans="1:11" ht="14.1" x14ac:dyDescent="0.4">
      <c r="C1303" s="836">
        <v>2059</v>
      </c>
      <c r="D1303" s="520">
        <v>45</v>
      </c>
      <c r="E1303" s="837"/>
      <c r="F1303" s="876"/>
      <c r="G1303" s="840">
        <v>793.71542193000687</v>
      </c>
      <c r="H1303" s="841">
        <v>793.71542193000687</v>
      </c>
    </row>
    <row r="1304" spans="1:11" ht="14.1" x14ac:dyDescent="0.4">
      <c r="C1304" s="843">
        <v>2060</v>
      </c>
      <c r="D1304" s="520">
        <v>46</v>
      </c>
      <c r="E1304" s="837"/>
      <c r="F1304" s="876"/>
      <c r="G1304" s="840">
        <v>847.1756402565868</v>
      </c>
      <c r="H1304" s="841">
        <v>847.1756402565868</v>
      </c>
    </row>
    <row r="1307" spans="1:11" ht="15" x14ac:dyDescent="0.5">
      <c r="A1307" s="621" t="str">
        <f ca="1">HYPERLINK("#"&amp;"'"&amp;A$1&amp;"'!a1","Back to top")</f>
        <v>Back to top</v>
      </c>
    </row>
    <row r="1310" spans="1:11" ht="15" x14ac:dyDescent="0.5">
      <c r="A1310" s="508">
        <v>18</v>
      </c>
      <c r="B1310" s="509" t="s">
        <v>995</v>
      </c>
      <c r="C1310" s="787"/>
      <c r="D1310" s="787"/>
      <c r="E1310" s="787"/>
      <c r="F1310" s="787"/>
      <c r="G1310" s="787"/>
      <c r="H1310" s="787"/>
      <c r="I1310" s="787"/>
      <c r="J1310" s="787"/>
      <c r="K1310" s="787"/>
    </row>
    <row r="1311" spans="1:11" ht="15" x14ac:dyDescent="0.5">
      <c r="A1311" s="510" t="s">
        <v>260</v>
      </c>
      <c r="B1311" s="511"/>
      <c r="C1311" s="511"/>
      <c r="D1311" s="223"/>
      <c r="E1311" s="512"/>
      <c r="F1311" s="1309"/>
      <c r="G1311" s="512"/>
      <c r="H1311" s="513"/>
      <c r="I1311" s="746"/>
      <c r="J1311" s="746"/>
      <c r="K1311" s="746"/>
    </row>
    <row r="1312" spans="1:11" ht="15.3" thickBot="1" x14ac:dyDescent="0.5">
      <c r="A1312" s="872" t="s">
        <v>603</v>
      </c>
      <c r="B1312" s="514"/>
      <c r="C1312" s="514"/>
      <c r="D1312" s="515"/>
      <c r="E1312" s="516" t="s">
        <v>222</v>
      </c>
      <c r="F1312" s="1310"/>
      <c r="G1312" s="873" t="e">
        <v>#DIV/0!</v>
      </c>
      <c r="H1312" s="513"/>
      <c r="I1312" s="746"/>
      <c r="J1312" s="746"/>
      <c r="K1312" s="746"/>
    </row>
    <row r="1313" spans="1:11" ht="37.200000000000003" thickBot="1" x14ac:dyDescent="0.5">
      <c r="A1313" s="517"/>
      <c r="B1313" s="517"/>
      <c r="C1313" s="517"/>
      <c r="D1313" s="518"/>
      <c r="E1313" s="873" t="s">
        <v>724</v>
      </c>
      <c r="F1313" s="873" t="s">
        <v>664</v>
      </c>
      <c r="G1313" s="874" t="s">
        <v>738</v>
      </c>
      <c r="H1313" s="873" t="s">
        <v>667</v>
      </c>
      <c r="I1313" s="873" t="s">
        <v>666</v>
      </c>
      <c r="J1313" s="1297" t="s">
        <v>668</v>
      </c>
      <c r="K1313" s="1298"/>
    </row>
    <row r="1314" spans="1:11" ht="15" x14ac:dyDescent="0.5">
      <c r="A1314" s="510" t="s">
        <v>268</v>
      </c>
      <c r="B1314" s="517"/>
      <c r="C1314" s="788">
        <v>1997</v>
      </c>
      <c r="D1314" s="519">
        <v>-17</v>
      </c>
      <c r="E1314" s="875">
        <v>48</v>
      </c>
      <c r="F1314" s="876">
        <v>48</v>
      </c>
      <c r="G1314" s="877">
        <v>48</v>
      </c>
      <c r="H1314" s="878">
        <v>48</v>
      </c>
      <c r="I1314" s="1303" t="s">
        <v>269</v>
      </c>
      <c r="J1314" s="1299"/>
      <c r="K1314" s="1300"/>
    </row>
    <row r="1315" spans="1:11" ht="15" x14ac:dyDescent="0.45">
      <c r="A1315" s="872" t="s">
        <v>58</v>
      </c>
      <c r="B1315" s="517"/>
      <c r="C1315" s="836">
        <v>1998</v>
      </c>
      <c r="D1315" s="520">
        <v>-16</v>
      </c>
      <c r="E1315" s="837"/>
      <c r="F1315" s="876"/>
      <c r="G1315" s="838">
        <v>93.360000000000014</v>
      </c>
      <c r="H1315" s="839">
        <v>93.360000000000014</v>
      </c>
      <c r="I1315" s="1304"/>
      <c r="J1315" s="1299"/>
      <c r="K1315" s="1300"/>
    </row>
    <row r="1316" spans="1:11" ht="14.05" customHeight="1" x14ac:dyDescent="0.45">
      <c r="A1316" s="517"/>
      <c r="B1316" s="517"/>
      <c r="C1316" s="836">
        <v>1999</v>
      </c>
      <c r="D1316" s="520">
        <v>-15</v>
      </c>
      <c r="E1316" s="837"/>
      <c r="F1316" s="876"/>
      <c r="G1316" s="838">
        <v>98.4</v>
      </c>
      <c r="H1316" s="839">
        <v>98.4</v>
      </c>
      <c r="I1316" s="1304"/>
      <c r="J1316" s="1299"/>
      <c r="K1316" s="1300"/>
    </row>
    <row r="1317" spans="1:11" ht="15" x14ac:dyDescent="0.45">
      <c r="A1317" s="676" t="s">
        <v>270</v>
      </c>
      <c r="B1317" s="517"/>
      <c r="C1317" s="836">
        <v>2000</v>
      </c>
      <c r="D1317" s="520">
        <v>-14</v>
      </c>
      <c r="E1317" s="837"/>
      <c r="F1317" s="876"/>
      <c r="G1317" s="838">
        <v>103.44</v>
      </c>
      <c r="H1317" s="839">
        <v>103.44</v>
      </c>
      <c r="I1317" s="1304"/>
      <c r="J1317" s="1301"/>
      <c r="K1317" s="1302"/>
    </row>
    <row r="1318" spans="1:11" ht="14.1" x14ac:dyDescent="0.45">
      <c r="A1318" s="1306" t="s">
        <v>994</v>
      </c>
      <c r="B1318" s="517"/>
      <c r="C1318" s="836">
        <v>2001</v>
      </c>
      <c r="D1318" s="520">
        <v>-13</v>
      </c>
      <c r="E1318" s="837"/>
      <c r="F1318" s="876"/>
      <c r="G1318" s="838">
        <v>108.48</v>
      </c>
      <c r="H1318" s="839">
        <v>108.48</v>
      </c>
      <c r="I1318" s="1304"/>
      <c r="J1318" s="746"/>
      <c r="K1318" s="746"/>
    </row>
    <row r="1319" spans="1:11" ht="14.1" x14ac:dyDescent="0.45">
      <c r="A1319" s="1307"/>
      <c r="B1319" s="517"/>
      <c r="C1319" s="836">
        <v>2002</v>
      </c>
      <c r="D1319" s="520">
        <v>-12</v>
      </c>
      <c r="E1319" s="837"/>
      <c r="F1319" s="876"/>
      <c r="G1319" s="838">
        <v>113.52000000000001</v>
      </c>
      <c r="H1319" s="839">
        <v>113.52000000000001</v>
      </c>
      <c r="I1319" s="1304"/>
      <c r="J1319" s="746"/>
      <c r="K1319" s="746"/>
    </row>
    <row r="1320" spans="1:11" ht="14.1" x14ac:dyDescent="0.45">
      <c r="A1320" s="1307"/>
      <c r="B1320" s="517"/>
      <c r="C1320" s="836">
        <v>2003</v>
      </c>
      <c r="D1320" s="520">
        <v>-11</v>
      </c>
      <c r="E1320" s="837"/>
      <c r="F1320" s="876"/>
      <c r="G1320" s="838">
        <v>118.56</v>
      </c>
      <c r="H1320" s="839">
        <v>118.56</v>
      </c>
      <c r="I1320" s="1305"/>
      <c r="J1320" s="746"/>
      <c r="K1320" s="746"/>
    </row>
    <row r="1321" spans="1:11" ht="14.1" x14ac:dyDescent="0.45">
      <c r="A1321" s="1308"/>
      <c r="B1321" s="517"/>
      <c r="C1321" s="836">
        <v>2004</v>
      </c>
      <c r="D1321" s="520">
        <v>-10</v>
      </c>
      <c r="E1321" s="837"/>
      <c r="F1321" s="876"/>
      <c r="G1321" s="840">
        <v>123.60000000000001</v>
      </c>
      <c r="H1321" s="841">
        <v>123.60000000000001</v>
      </c>
      <c r="I1321" s="789" t="s">
        <v>272</v>
      </c>
      <c r="J1321" s="746"/>
      <c r="K1321" s="746"/>
    </row>
    <row r="1322" spans="1:11" ht="14.1" x14ac:dyDescent="0.45">
      <c r="A1322" s="517"/>
      <c r="B1322" s="517"/>
      <c r="C1322" s="836">
        <v>2005</v>
      </c>
      <c r="D1322" s="520">
        <v>-9</v>
      </c>
      <c r="E1322" s="837"/>
      <c r="F1322" s="876"/>
      <c r="G1322" s="840">
        <v>128.64000000000001</v>
      </c>
      <c r="H1322" s="841">
        <v>128.64000000000001</v>
      </c>
      <c r="I1322" s="746"/>
      <c r="J1322" s="746"/>
      <c r="K1322" s="746"/>
    </row>
    <row r="1323" spans="1:11" ht="15" x14ac:dyDescent="0.5">
      <c r="A1323" s="521" t="s">
        <v>273</v>
      </c>
      <c r="B1323" s="517"/>
      <c r="C1323" s="836">
        <v>2006</v>
      </c>
      <c r="D1323" s="520">
        <v>-8</v>
      </c>
      <c r="E1323" s="837"/>
      <c r="F1323" s="876"/>
      <c r="G1323" s="840">
        <v>133.68</v>
      </c>
      <c r="H1323" s="841">
        <v>133.68</v>
      </c>
      <c r="I1323" s="746"/>
      <c r="J1323" s="746"/>
      <c r="K1323" s="746"/>
    </row>
    <row r="1324" spans="1:11" ht="15" x14ac:dyDescent="0.45">
      <c r="A1324" s="842">
        <v>2018</v>
      </c>
      <c r="B1324" s="514"/>
      <c r="C1324" s="836">
        <v>2007</v>
      </c>
      <c r="D1324" s="520">
        <v>-7</v>
      </c>
      <c r="E1324" s="837"/>
      <c r="F1324" s="876"/>
      <c r="G1324" s="840">
        <v>138.72</v>
      </c>
      <c r="H1324" s="841">
        <v>138.72</v>
      </c>
      <c r="I1324" s="746"/>
      <c r="J1324" s="746"/>
      <c r="K1324" s="746"/>
    </row>
    <row r="1325" spans="1:11" ht="14.1" x14ac:dyDescent="0.45">
      <c r="A1325" s="746"/>
      <c r="B1325" s="514"/>
      <c r="C1325" s="836">
        <v>2008</v>
      </c>
      <c r="D1325" s="520">
        <v>-6</v>
      </c>
      <c r="E1325" s="837"/>
      <c r="F1325" s="876"/>
      <c r="G1325" s="840">
        <v>143.76000000000002</v>
      </c>
      <c r="H1325" s="841">
        <v>143.76000000000002</v>
      </c>
      <c r="I1325" s="746"/>
      <c r="J1325" s="746"/>
      <c r="K1325" s="746"/>
    </row>
    <row r="1326" spans="1:11" ht="15" x14ac:dyDescent="0.5">
      <c r="A1326" s="521" t="s">
        <v>274</v>
      </c>
      <c r="B1326" s="514"/>
      <c r="C1326" s="836">
        <v>2009</v>
      </c>
      <c r="D1326" s="520">
        <v>-5</v>
      </c>
      <c r="E1326" s="837"/>
      <c r="F1326" s="876"/>
      <c r="G1326" s="840">
        <v>148.80000000000001</v>
      </c>
      <c r="H1326" s="841">
        <v>148.80000000000001</v>
      </c>
      <c r="I1326" s="746"/>
      <c r="J1326" s="746"/>
      <c r="K1326" s="746"/>
    </row>
    <row r="1327" spans="1:11" ht="15" x14ac:dyDescent="0.45">
      <c r="A1327" s="842" t="s">
        <v>724</v>
      </c>
      <c r="B1327" s="514"/>
      <c r="C1327" s="836">
        <v>2010</v>
      </c>
      <c r="D1327" s="520">
        <v>-4</v>
      </c>
      <c r="E1327" s="837"/>
      <c r="F1327" s="876"/>
      <c r="G1327" s="840">
        <v>153.84</v>
      </c>
      <c r="H1327" s="841">
        <v>153.84</v>
      </c>
      <c r="I1327" s="746"/>
      <c r="J1327" s="746"/>
      <c r="K1327" s="746"/>
    </row>
    <row r="1328" spans="1:11" ht="15" x14ac:dyDescent="0.5">
      <c r="A1328" s="790"/>
      <c r="B1328" s="522"/>
      <c r="C1328" s="836">
        <v>2011</v>
      </c>
      <c r="D1328" s="520">
        <v>-3</v>
      </c>
      <c r="E1328" s="837"/>
      <c r="F1328" s="876"/>
      <c r="G1328" s="840">
        <v>158.88</v>
      </c>
      <c r="H1328" s="841">
        <v>158.88</v>
      </c>
      <c r="I1328" s="746"/>
      <c r="J1328" s="746"/>
      <c r="K1328" s="746"/>
    </row>
    <row r="1329" spans="1:11" ht="15" x14ac:dyDescent="0.45">
      <c r="A1329" s="895" t="s">
        <v>275</v>
      </c>
      <c r="B1329" s="514"/>
      <c r="C1329" s="836">
        <v>2012</v>
      </c>
      <c r="D1329" s="520">
        <v>-2</v>
      </c>
      <c r="E1329" s="837"/>
      <c r="F1329" s="876"/>
      <c r="G1329" s="840">
        <v>163.92000000000002</v>
      </c>
      <c r="H1329" s="841">
        <v>163.92000000000002</v>
      </c>
      <c r="I1329" s="746"/>
      <c r="J1329" s="746"/>
      <c r="K1329" s="746"/>
    </row>
    <row r="1330" spans="1:11" ht="15" x14ac:dyDescent="0.45">
      <c r="A1330" s="791"/>
      <c r="B1330" s="514"/>
      <c r="C1330" s="836">
        <v>2013</v>
      </c>
      <c r="D1330" s="520">
        <v>-1</v>
      </c>
      <c r="E1330" s="837"/>
      <c r="F1330" s="876"/>
      <c r="G1330" s="840">
        <v>168.96</v>
      </c>
      <c r="H1330" s="841">
        <v>168.96</v>
      </c>
      <c r="I1330" s="746"/>
      <c r="J1330" s="746"/>
      <c r="K1330" s="746"/>
    </row>
    <row r="1331" spans="1:11" ht="15" x14ac:dyDescent="0.45">
      <c r="A1331" s="892"/>
      <c r="B1331" s="514"/>
      <c r="C1331" s="836">
        <v>2014</v>
      </c>
      <c r="D1331" s="520">
        <v>0</v>
      </c>
      <c r="E1331" s="837"/>
      <c r="F1331" s="876"/>
      <c r="G1331" s="840">
        <v>174</v>
      </c>
      <c r="H1331" s="841">
        <v>174</v>
      </c>
      <c r="I1331" s="746"/>
      <c r="J1331" s="746"/>
      <c r="K1331" s="746"/>
    </row>
    <row r="1332" spans="1:11" ht="15" x14ac:dyDescent="0.45">
      <c r="A1332" s="842"/>
      <c r="B1332" s="514"/>
      <c r="C1332" s="836">
        <v>2015</v>
      </c>
      <c r="D1332" s="520">
        <v>1</v>
      </c>
      <c r="E1332" s="837"/>
      <c r="F1332" s="876"/>
      <c r="G1332" s="840">
        <v>179.04000000000002</v>
      </c>
      <c r="H1332" s="841">
        <v>179.04000000000002</v>
      </c>
      <c r="I1332" s="746"/>
      <c r="J1332" s="746"/>
      <c r="K1332" s="746"/>
    </row>
    <row r="1333" spans="1:11" ht="14.1" x14ac:dyDescent="0.45">
      <c r="A1333" s="514"/>
      <c r="B1333" s="514"/>
      <c r="C1333" s="836">
        <v>2016</v>
      </c>
      <c r="D1333" s="520">
        <v>2</v>
      </c>
      <c r="E1333" s="837"/>
      <c r="F1333" s="876"/>
      <c r="G1333" s="840">
        <v>184.08</v>
      </c>
      <c r="H1333" s="841">
        <v>184.08</v>
      </c>
      <c r="I1333" s="746"/>
      <c r="J1333" s="746"/>
      <c r="K1333" s="746"/>
    </row>
    <row r="1334" spans="1:11" ht="14.1" x14ac:dyDescent="0.45">
      <c r="A1334" s="514"/>
      <c r="B1334" s="514"/>
      <c r="C1334" s="836">
        <v>2017</v>
      </c>
      <c r="D1334" s="520">
        <v>3</v>
      </c>
      <c r="E1334" s="837"/>
      <c r="F1334" s="876"/>
      <c r="G1334" s="840">
        <v>189.12</v>
      </c>
      <c r="H1334" s="841">
        <v>189.12</v>
      </c>
      <c r="I1334" s="746"/>
      <c r="J1334" s="746"/>
      <c r="K1334" s="746"/>
    </row>
    <row r="1335" spans="1:11" ht="14.1" x14ac:dyDescent="0.45">
      <c r="A1335" s="514"/>
      <c r="B1335" s="514"/>
      <c r="C1335" s="836">
        <v>2018</v>
      </c>
      <c r="D1335" s="520">
        <v>4</v>
      </c>
      <c r="E1335" s="837"/>
      <c r="F1335" s="876"/>
      <c r="G1335" s="840">
        <v>194.16000000000003</v>
      </c>
      <c r="H1335" s="841">
        <v>194.16000000000003</v>
      </c>
      <c r="I1335" s="746"/>
      <c r="J1335" s="746"/>
      <c r="K1335" s="746"/>
    </row>
    <row r="1336" spans="1:11" ht="14.1" x14ac:dyDescent="0.45">
      <c r="A1336" s="514"/>
      <c r="B1336" s="514"/>
      <c r="C1336" s="836">
        <v>2019</v>
      </c>
      <c r="D1336" s="520">
        <v>5</v>
      </c>
      <c r="E1336" s="837"/>
      <c r="F1336" s="876"/>
      <c r="G1336" s="840">
        <v>199.2</v>
      </c>
      <c r="H1336" s="841">
        <v>199.2</v>
      </c>
      <c r="I1336" s="746"/>
      <c r="J1336" s="746"/>
      <c r="K1336" s="746"/>
    </row>
    <row r="1337" spans="1:11" ht="14.1" x14ac:dyDescent="0.45">
      <c r="A1337" s="514"/>
      <c r="B1337" s="514"/>
      <c r="C1337" s="836">
        <v>2020</v>
      </c>
      <c r="D1337" s="520">
        <v>6</v>
      </c>
      <c r="E1337" s="837"/>
      <c r="F1337" s="876"/>
      <c r="G1337" s="840">
        <v>204.24</v>
      </c>
      <c r="H1337" s="841">
        <v>204.24</v>
      </c>
      <c r="I1337" s="746"/>
      <c r="J1337" s="746"/>
      <c r="K1337" s="746"/>
    </row>
    <row r="1338" spans="1:11" ht="14.1" x14ac:dyDescent="0.45">
      <c r="A1338" s="514"/>
      <c r="B1338" s="514"/>
      <c r="C1338" s="836">
        <v>2021</v>
      </c>
      <c r="D1338" s="520">
        <v>7</v>
      </c>
      <c r="E1338" s="837"/>
      <c r="F1338" s="876"/>
      <c r="G1338" s="840">
        <v>209.28</v>
      </c>
      <c r="H1338" s="841">
        <v>209.28</v>
      </c>
      <c r="I1338" s="746"/>
      <c r="J1338" s="746"/>
      <c r="K1338" s="746"/>
    </row>
    <row r="1339" spans="1:11" ht="14.1" x14ac:dyDescent="0.45">
      <c r="A1339" s="514"/>
      <c r="B1339" s="514"/>
      <c r="C1339" s="836">
        <v>2022</v>
      </c>
      <c r="D1339" s="520">
        <v>8</v>
      </c>
      <c r="E1339" s="837"/>
      <c r="F1339" s="876"/>
      <c r="G1339" s="840">
        <v>214.32</v>
      </c>
      <c r="H1339" s="841">
        <v>214.32</v>
      </c>
      <c r="I1339" s="746"/>
      <c r="J1339" s="746"/>
      <c r="K1339" s="746"/>
    </row>
    <row r="1340" spans="1:11" ht="14.1" x14ac:dyDescent="0.45">
      <c r="A1340" s="514"/>
      <c r="B1340" s="514"/>
      <c r="C1340" s="836">
        <v>2023</v>
      </c>
      <c r="D1340" s="520">
        <v>9</v>
      </c>
      <c r="E1340" s="837"/>
      <c r="F1340" s="876"/>
      <c r="G1340" s="840">
        <v>219.36</v>
      </c>
      <c r="H1340" s="841">
        <v>219.36</v>
      </c>
      <c r="I1340" s="746"/>
      <c r="J1340" s="746"/>
      <c r="K1340" s="746"/>
    </row>
    <row r="1341" spans="1:11" ht="14.1" x14ac:dyDescent="0.45">
      <c r="A1341" s="514"/>
      <c r="B1341" s="514"/>
      <c r="C1341" s="836">
        <v>2024</v>
      </c>
      <c r="D1341" s="520">
        <v>10</v>
      </c>
      <c r="E1341" s="837"/>
      <c r="F1341" s="876"/>
      <c r="G1341" s="840">
        <v>224.4</v>
      </c>
      <c r="H1341" s="841">
        <v>224.4</v>
      </c>
      <c r="I1341" s="746"/>
      <c r="J1341" s="746"/>
      <c r="K1341" s="746"/>
    </row>
    <row r="1342" spans="1:11" ht="14.1" x14ac:dyDescent="0.45">
      <c r="A1342" s="522"/>
      <c r="B1342" s="522"/>
      <c r="C1342" s="836">
        <v>2025</v>
      </c>
      <c r="D1342" s="520">
        <v>11</v>
      </c>
      <c r="E1342" s="837"/>
      <c r="F1342" s="876"/>
      <c r="G1342" s="840">
        <v>229.44</v>
      </c>
      <c r="H1342" s="841">
        <v>229.44</v>
      </c>
      <c r="I1342" s="746"/>
      <c r="J1342" s="746"/>
      <c r="K1342" s="746"/>
    </row>
    <row r="1343" spans="1:11" ht="14.1" x14ac:dyDescent="0.45">
      <c r="A1343" s="522"/>
      <c r="B1343" s="522"/>
      <c r="C1343" s="836">
        <v>2026</v>
      </c>
      <c r="D1343" s="520">
        <v>12</v>
      </c>
      <c r="E1343" s="837"/>
      <c r="F1343" s="876"/>
      <c r="G1343" s="840">
        <v>234.48000000000002</v>
      </c>
      <c r="H1343" s="841">
        <v>234.48000000000002</v>
      </c>
      <c r="I1343" s="746"/>
      <c r="J1343" s="746"/>
      <c r="K1343" s="746"/>
    </row>
    <row r="1344" spans="1:11" ht="14.1" x14ac:dyDescent="0.45">
      <c r="A1344" s="522"/>
      <c r="B1344" s="522"/>
      <c r="C1344" s="836">
        <v>2027</v>
      </c>
      <c r="D1344" s="520">
        <v>13</v>
      </c>
      <c r="E1344" s="837"/>
      <c r="F1344" s="876"/>
      <c r="G1344" s="840">
        <v>239.52</v>
      </c>
      <c r="H1344" s="841">
        <v>239.52</v>
      </c>
      <c r="I1344" s="746"/>
      <c r="J1344" s="746"/>
      <c r="K1344" s="746"/>
    </row>
    <row r="1345" spans="1:11" ht="14.1" x14ac:dyDescent="0.45">
      <c r="A1345" s="522"/>
      <c r="B1345" s="522"/>
      <c r="C1345" s="836">
        <v>2028</v>
      </c>
      <c r="D1345" s="520">
        <v>14</v>
      </c>
      <c r="E1345" s="837"/>
      <c r="F1345" s="876"/>
      <c r="G1345" s="840">
        <v>244.56</v>
      </c>
      <c r="H1345" s="841">
        <v>244.56</v>
      </c>
      <c r="I1345" s="746"/>
      <c r="J1345" s="746"/>
      <c r="K1345" s="746"/>
    </row>
    <row r="1346" spans="1:11" ht="14.1" x14ac:dyDescent="0.45">
      <c r="A1346" s="522"/>
      <c r="B1346" s="522"/>
      <c r="C1346" s="836">
        <v>2029</v>
      </c>
      <c r="D1346" s="520">
        <v>15</v>
      </c>
      <c r="E1346" s="837"/>
      <c r="F1346" s="876"/>
      <c r="G1346" s="840">
        <v>249.60000000000002</v>
      </c>
      <c r="H1346" s="841">
        <v>249.60000000000002</v>
      </c>
      <c r="I1346" s="746"/>
      <c r="J1346" s="746"/>
      <c r="K1346" s="746"/>
    </row>
    <row r="1347" spans="1:11" ht="14.1" x14ac:dyDescent="0.45">
      <c r="A1347" s="522"/>
      <c r="B1347" s="522"/>
      <c r="C1347" s="836">
        <v>2030</v>
      </c>
      <c r="D1347" s="520">
        <v>16</v>
      </c>
      <c r="E1347" s="837"/>
      <c r="F1347" s="876"/>
      <c r="G1347" s="840">
        <v>254.64000000000001</v>
      </c>
      <c r="H1347" s="841">
        <v>254.64000000000001</v>
      </c>
      <c r="I1347" s="746"/>
      <c r="J1347" s="746"/>
      <c r="K1347" s="746"/>
    </row>
    <row r="1348" spans="1:11" ht="14.1" x14ac:dyDescent="0.45">
      <c r="A1348" s="522"/>
      <c r="B1348" s="522"/>
      <c r="C1348" s="836">
        <v>2031</v>
      </c>
      <c r="D1348" s="520">
        <v>17</v>
      </c>
      <c r="E1348" s="837"/>
      <c r="F1348" s="876"/>
      <c r="G1348" s="840">
        <v>259.68</v>
      </c>
      <c r="H1348" s="841">
        <v>259.68</v>
      </c>
      <c r="I1348" s="746"/>
      <c r="J1348" s="746"/>
      <c r="K1348" s="746"/>
    </row>
    <row r="1349" spans="1:11" ht="14.1" x14ac:dyDescent="0.45">
      <c r="A1349" s="522"/>
      <c r="B1349" s="522"/>
      <c r="C1349" s="836">
        <v>2032</v>
      </c>
      <c r="D1349" s="520">
        <v>18</v>
      </c>
      <c r="E1349" s="837"/>
      <c r="F1349" s="876"/>
      <c r="G1349" s="840">
        <v>264.72000000000003</v>
      </c>
      <c r="H1349" s="841">
        <v>264.72000000000003</v>
      </c>
      <c r="I1349" s="746"/>
      <c r="J1349" s="746"/>
      <c r="K1349" s="746"/>
    </row>
    <row r="1350" spans="1:11" ht="14.1" x14ac:dyDescent="0.45">
      <c r="A1350" s="522"/>
      <c r="B1350" s="522"/>
      <c r="C1350" s="836">
        <v>2033</v>
      </c>
      <c r="D1350" s="520">
        <v>19</v>
      </c>
      <c r="E1350" s="837"/>
      <c r="F1350" s="876"/>
      <c r="G1350" s="840">
        <v>269.76</v>
      </c>
      <c r="H1350" s="841">
        <v>269.76</v>
      </c>
      <c r="I1350" s="746"/>
      <c r="J1350" s="746"/>
      <c r="K1350" s="746"/>
    </row>
    <row r="1351" spans="1:11" ht="14.1" x14ac:dyDescent="0.45">
      <c r="A1351" s="522"/>
      <c r="B1351" s="522"/>
      <c r="C1351" s="836">
        <v>2034</v>
      </c>
      <c r="D1351" s="520">
        <v>20</v>
      </c>
      <c r="E1351" s="837"/>
      <c r="F1351" s="876"/>
      <c r="G1351" s="840">
        <v>274.8</v>
      </c>
      <c r="H1351" s="841">
        <v>274.8</v>
      </c>
      <c r="I1351" s="746"/>
      <c r="J1351" s="746"/>
      <c r="K1351" s="746"/>
    </row>
    <row r="1352" spans="1:11" ht="14.1" x14ac:dyDescent="0.45">
      <c r="A1352" s="522"/>
      <c r="B1352" s="522"/>
      <c r="C1352" s="836">
        <v>2035</v>
      </c>
      <c r="D1352" s="520">
        <v>21</v>
      </c>
      <c r="E1352" s="837"/>
      <c r="F1352" s="876"/>
      <c r="G1352" s="840">
        <v>279.84000000000003</v>
      </c>
      <c r="H1352" s="841">
        <v>279.84000000000003</v>
      </c>
      <c r="I1352" s="746"/>
      <c r="J1352" s="746"/>
      <c r="K1352" s="746"/>
    </row>
    <row r="1353" spans="1:11" ht="14.1" x14ac:dyDescent="0.45">
      <c r="A1353" s="522"/>
      <c r="B1353" s="522"/>
      <c r="C1353" s="836">
        <v>2036</v>
      </c>
      <c r="D1353" s="520">
        <v>22</v>
      </c>
      <c r="E1353" s="837"/>
      <c r="F1353" s="876"/>
      <c r="G1353" s="840">
        <v>284.88</v>
      </c>
      <c r="H1353" s="841">
        <v>284.88</v>
      </c>
      <c r="I1353" s="746"/>
      <c r="J1353" s="746"/>
      <c r="K1353" s="746"/>
    </row>
    <row r="1354" spans="1:11" ht="14.1" x14ac:dyDescent="0.45">
      <c r="A1354" s="522"/>
      <c r="B1354" s="522"/>
      <c r="C1354" s="836">
        <v>2037</v>
      </c>
      <c r="D1354" s="520">
        <v>23</v>
      </c>
      <c r="E1354" s="837"/>
      <c r="F1354" s="876"/>
      <c r="G1354" s="840">
        <v>289.92</v>
      </c>
      <c r="H1354" s="841">
        <v>289.92</v>
      </c>
      <c r="I1354" s="746"/>
      <c r="J1354" s="746"/>
      <c r="K1354" s="746"/>
    </row>
    <row r="1355" spans="1:11" ht="14.1" x14ac:dyDescent="0.45">
      <c r="A1355" s="522"/>
      <c r="B1355" s="522"/>
      <c r="C1355" s="836">
        <v>2038</v>
      </c>
      <c r="D1355" s="520">
        <v>24</v>
      </c>
      <c r="E1355" s="837"/>
      <c r="F1355" s="876"/>
      <c r="G1355" s="840">
        <v>294.96000000000004</v>
      </c>
      <c r="H1355" s="841">
        <v>294.96000000000004</v>
      </c>
      <c r="I1355" s="746"/>
      <c r="J1355" s="746"/>
      <c r="K1355" s="746"/>
    </row>
    <row r="1356" spans="1:11" ht="14.1" x14ac:dyDescent="0.45">
      <c r="A1356" s="523"/>
      <c r="B1356" s="524"/>
      <c r="C1356" s="836">
        <v>2039</v>
      </c>
      <c r="D1356" s="520">
        <v>25</v>
      </c>
      <c r="E1356" s="837"/>
      <c r="F1356" s="876"/>
      <c r="G1356" s="840">
        <v>300</v>
      </c>
      <c r="H1356" s="841">
        <v>300</v>
      </c>
      <c r="I1356" s="746"/>
      <c r="J1356" s="746"/>
      <c r="K1356" s="746"/>
    </row>
    <row r="1357" spans="1:11" ht="14.1" x14ac:dyDescent="0.45">
      <c r="A1357" s="746"/>
      <c r="B1357" s="524"/>
      <c r="C1357" s="836">
        <v>2040</v>
      </c>
      <c r="D1357" s="520">
        <v>26</v>
      </c>
      <c r="E1357" s="837"/>
      <c r="F1357" s="876"/>
      <c r="G1357" s="840">
        <v>305.04000000000002</v>
      </c>
      <c r="H1357" s="841">
        <v>305.04000000000002</v>
      </c>
      <c r="I1357" s="746"/>
      <c r="J1357" s="746"/>
      <c r="K1357" s="746"/>
    </row>
    <row r="1358" spans="1:11" ht="14.1" x14ac:dyDescent="0.4">
      <c r="A1358" s="746"/>
      <c r="B1358" s="746"/>
      <c r="C1358" s="836">
        <v>2041</v>
      </c>
      <c r="D1358" s="520">
        <v>27</v>
      </c>
      <c r="E1358" s="837"/>
      <c r="F1358" s="876"/>
      <c r="G1358" s="840">
        <v>310.08000000000004</v>
      </c>
      <c r="H1358" s="841">
        <v>310.08000000000004</v>
      </c>
      <c r="I1358" s="746"/>
      <c r="J1358" s="746"/>
      <c r="K1358" s="746"/>
    </row>
    <row r="1359" spans="1:11" ht="14.1" x14ac:dyDescent="0.4">
      <c r="A1359" s="746"/>
      <c r="B1359" s="746"/>
      <c r="C1359" s="836">
        <v>2042</v>
      </c>
      <c r="D1359" s="520">
        <v>28</v>
      </c>
      <c r="E1359" s="837"/>
      <c r="F1359" s="876"/>
      <c r="G1359" s="840">
        <v>315.12</v>
      </c>
      <c r="H1359" s="841">
        <v>315.12</v>
      </c>
      <c r="I1359" s="746"/>
      <c r="J1359" s="746"/>
      <c r="K1359" s="746"/>
    </row>
    <row r="1360" spans="1:11" ht="14.1" x14ac:dyDescent="0.4">
      <c r="C1360" s="836">
        <v>2043</v>
      </c>
      <c r="D1360" s="520">
        <v>29</v>
      </c>
      <c r="E1360" s="837"/>
      <c r="F1360" s="876"/>
      <c r="G1360" s="840">
        <v>320.15999999999997</v>
      </c>
      <c r="H1360" s="841">
        <v>320.15999999999997</v>
      </c>
    </row>
    <row r="1361" spans="1:11" ht="14.1" x14ac:dyDescent="0.4">
      <c r="C1361" s="836">
        <v>2044</v>
      </c>
      <c r="D1361" s="520">
        <v>30</v>
      </c>
      <c r="E1361" s="837"/>
      <c r="F1361" s="876"/>
      <c r="G1361" s="840">
        <v>325.20000000000005</v>
      </c>
      <c r="H1361" s="841">
        <v>325.20000000000005</v>
      </c>
    </row>
    <row r="1362" spans="1:11" ht="14.1" x14ac:dyDescent="0.4">
      <c r="C1362" s="836">
        <v>2045</v>
      </c>
      <c r="D1362" s="520">
        <v>31</v>
      </c>
      <c r="E1362" s="837"/>
      <c r="F1362" s="876"/>
      <c r="G1362" s="840">
        <v>330.24</v>
      </c>
      <c r="H1362" s="841">
        <v>330.24</v>
      </c>
    </row>
    <row r="1363" spans="1:11" ht="14.1" x14ac:dyDescent="0.4">
      <c r="C1363" s="836">
        <v>2046</v>
      </c>
      <c r="D1363" s="520">
        <v>32</v>
      </c>
      <c r="E1363" s="837"/>
      <c r="F1363" s="876"/>
      <c r="G1363" s="840">
        <v>335.28</v>
      </c>
      <c r="H1363" s="841">
        <v>335.28</v>
      </c>
    </row>
    <row r="1364" spans="1:11" ht="14.1" x14ac:dyDescent="0.4">
      <c r="C1364" s="836">
        <v>2047</v>
      </c>
      <c r="D1364" s="520">
        <v>33</v>
      </c>
      <c r="E1364" s="837">
        <v>300</v>
      </c>
      <c r="F1364" s="876">
        <v>300</v>
      </c>
      <c r="G1364" s="840">
        <v>300</v>
      </c>
      <c r="H1364" s="841">
        <v>300</v>
      </c>
    </row>
    <row r="1365" spans="1:11" ht="14.1" x14ac:dyDescent="0.4">
      <c r="C1365" s="836">
        <v>2048</v>
      </c>
      <c r="D1365" s="520">
        <v>34</v>
      </c>
      <c r="E1365" s="837"/>
      <c r="F1365" s="876"/>
      <c r="G1365" s="840">
        <v>345.36</v>
      </c>
      <c r="H1365" s="841">
        <v>345.36</v>
      </c>
    </row>
    <row r="1366" spans="1:11" ht="14.1" x14ac:dyDescent="0.4">
      <c r="C1366" s="836">
        <v>2049</v>
      </c>
      <c r="D1366" s="520">
        <v>35</v>
      </c>
      <c r="E1366" s="837"/>
      <c r="F1366" s="876"/>
      <c r="G1366" s="840">
        <v>350.4</v>
      </c>
      <c r="H1366" s="841">
        <v>350.4</v>
      </c>
    </row>
    <row r="1367" spans="1:11" ht="14.1" x14ac:dyDescent="0.4">
      <c r="C1367" s="836">
        <v>2050</v>
      </c>
      <c r="D1367" s="520">
        <v>36</v>
      </c>
      <c r="E1367" s="837"/>
      <c r="F1367" s="876"/>
      <c r="G1367" s="840">
        <v>355.44</v>
      </c>
      <c r="H1367" s="841">
        <v>355.44</v>
      </c>
    </row>
    <row r="1368" spans="1:11" ht="14.1" x14ac:dyDescent="0.4">
      <c r="C1368" s="836">
        <v>2051</v>
      </c>
      <c r="D1368" s="520">
        <v>37</v>
      </c>
      <c r="E1368" s="837"/>
      <c r="F1368" s="876"/>
      <c r="G1368" s="840">
        <v>360.48</v>
      </c>
      <c r="H1368" s="841">
        <v>360.48</v>
      </c>
    </row>
    <row r="1369" spans="1:11" ht="14.1" x14ac:dyDescent="0.4">
      <c r="C1369" s="843">
        <v>2052</v>
      </c>
      <c r="D1369" s="520">
        <v>38</v>
      </c>
      <c r="E1369" s="837"/>
      <c r="F1369" s="876"/>
      <c r="G1369" s="840">
        <v>365.52</v>
      </c>
      <c r="H1369" s="841">
        <v>365.52</v>
      </c>
    </row>
    <row r="1372" spans="1:11" ht="15" x14ac:dyDescent="0.5">
      <c r="A1372" s="621" t="str">
        <f ca="1">HYPERLINK("#"&amp;"'"&amp;A$1&amp;"'!a1","Back to top")</f>
        <v>Back to top</v>
      </c>
    </row>
    <row r="1375" spans="1:11" ht="15" x14ac:dyDescent="0.5">
      <c r="A1375" s="508">
        <v>19</v>
      </c>
      <c r="B1375" s="509" t="s">
        <v>1000</v>
      </c>
      <c r="C1375" s="787"/>
      <c r="D1375" s="787"/>
      <c r="E1375" s="787"/>
      <c r="F1375" s="787"/>
      <c r="G1375" s="787"/>
      <c r="H1375" s="787"/>
      <c r="I1375" s="787"/>
      <c r="J1375" s="787"/>
      <c r="K1375" s="787"/>
    </row>
    <row r="1376" spans="1:11" ht="15" x14ac:dyDescent="0.5">
      <c r="A1376" s="510" t="s">
        <v>260</v>
      </c>
      <c r="B1376" s="511"/>
      <c r="C1376" s="511"/>
      <c r="D1376" s="223"/>
      <c r="E1376" s="512"/>
      <c r="F1376" s="1309"/>
      <c r="G1376" s="512"/>
      <c r="H1376" s="513"/>
      <c r="I1376" s="746"/>
      <c r="J1376" s="746"/>
      <c r="K1376" s="746"/>
    </row>
    <row r="1377" spans="1:11" ht="15.3" thickBot="1" x14ac:dyDescent="0.5">
      <c r="A1377" s="872" t="s">
        <v>603</v>
      </c>
      <c r="B1377" s="514"/>
      <c r="C1377" s="514"/>
      <c r="D1377" s="515"/>
      <c r="E1377" s="516" t="s">
        <v>222</v>
      </c>
      <c r="F1377" s="1310"/>
      <c r="G1377" s="873" t="s">
        <v>665</v>
      </c>
      <c r="H1377" s="513"/>
      <c r="I1377" s="746"/>
      <c r="J1377" s="746"/>
      <c r="K1377" s="746"/>
    </row>
    <row r="1378" spans="1:11" ht="37.200000000000003" thickBot="1" x14ac:dyDescent="0.5">
      <c r="A1378" s="517"/>
      <c r="B1378" s="517"/>
      <c r="C1378" s="517"/>
      <c r="D1378" s="518"/>
      <c r="E1378" s="873" t="s">
        <v>999</v>
      </c>
      <c r="F1378" s="873" t="s">
        <v>664</v>
      </c>
      <c r="G1378" s="874" t="s">
        <v>991</v>
      </c>
      <c r="H1378" s="873" t="s">
        <v>1001</v>
      </c>
      <c r="I1378" s="873" t="s">
        <v>666</v>
      </c>
      <c r="J1378" s="1297" t="s">
        <v>668</v>
      </c>
      <c r="K1378" s="1298"/>
    </row>
    <row r="1379" spans="1:11" ht="15" x14ac:dyDescent="0.5">
      <c r="A1379" s="510" t="s">
        <v>268</v>
      </c>
      <c r="B1379" s="517"/>
      <c r="C1379" s="788">
        <v>2005</v>
      </c>
      <c r="D1379" s="519">
        <v>-9</v>
      </c>
      <c r="E1379" s="875"/>
      <c r="F1379" s="876"/>
      <c r="G1379" s="877">
        <v>36.099534736842102</v>
      </c>
      <c r="H1379" s="878">
        <v>36.099534736842102</v>
      </c>
      <c r="I1379" s="1303" t="s">
        <v>269</v>
      </c>
      <c r="J1379" s="1299"/>
      <c r="K1379" s="1300"/>
    </row>
    <row r="1380" spans="1:11" ht="15" x14ac:dyDescent="0.45">
      <c r="A1380" s="872" t="s">
        <v>58</v>
      </c>
      <c r="B1380" s="517"/>
      <c r="C1380" s="836">
        <v>2006</v>
      </c>
      <c r="D1380" s="520">
        <v>-8</v>
      </c>
      <c r="E1380" s="837"/>
      <c r="F1380" s="876"/>
      <c r="G1380" s="838">
        <v>37.881240601503748</v>
      </c>
      <c r="H1380" s="839">
        <v>37.881240601503748</v>
      </c>
      <c r="I1380" s="1304"/>
      <c r="J1380" s="1299"/>
      <c r="K1380" s="1300"/>
    </row>
    <row r="1381" spans="1:11" ht="14.05" customHeight="1" x14ac:dyDescent="0.45">
      <c r="A1381" s="517"/>
      <c r="B1381" s="517"/>
      <c r="C1381" s="836">
        <v>2007</v>
      </c>
      <c r="D1381" s="520">
        <v>-7</v>
      </c>
      <c r="E1381" s="837"/>
      <c r="F1381" s="876"/>
      <c r="G1381" s="838">
        <v>39.688414135338334</v>
      </c>
      <c r="H1381" s="839">
        <v>39.688414135338334</v>
      </c>
      <c r="I1381" s="1304"/>
      <c r="J1381" s="1299"/>
      <c r="K1381" s="1300"/>
    </row>
    <row r="1382" spans="1:11" ht="15" x14ac:dyDescent="0.45">
      <c r="A1382" s="676" t="s">
        <v>270</v>
      </c>
      <c r="B1382" s="517"/>
      <c r="C1382" s="836">
        <v>2008</v>
      </c>
      <c r="D1382" s="520">
        <v>-6</v>
      </c>
      <c r="E1382" s="837"/>
      <c r="F1382" s="876"/>
      <c r="G1382" s="838">
        <v>41.527310075187962</v>
      </c>
      <c r="H1382" s="839">
        <v>41.527310075187962</v>
      </c>
      <c r="I1382" s="1304"/>
      <c r="J1382" s="1301"/>
      <c r="K1382" s="1302"/>
    </row>
    <row r="1383" spans="1:11" ht="14.1" x14ac:dyDescent="0.45">
      <c r="A1383" s="1306" t="s">
        <v>997</v>
      </c>
      <c r="B1383" s="517"/>
      <c r="C1383" s="836">
        <v>2009</v>
      </c>
      <c r="D1383" s="520">
        <v>-5</v>
      </c>
      <c r="E1383" s="837"/>
      <c r="F1383" s="876"/>
      <c r="G1383" s="838">
        <v>43.404183157894735</v>
      </c>
      <c r="H1383" s="839">
        <v>43.404183157894735</v>
      </c>
      <c r="I1383" s="1304"/>
      <c r="J1383" s="746"/>
      <c r="K1383" s="746"/>
    </row>
    <row r="1384" spans="1:11" ht="14.1" x14ac:dyDescent="0.45">
      <c r="A1384" s="1307"/>
      <c r="B1384" s="517"/>
      <c r="C1384" s="836">
        <v>2010</v>
      </c>
      <c r="D1384" s="520">
        <v>-4</v>
      </c>
      <c r="E1384" s="837"/>
      <c r="F1384" s="876"/>
      <c r="G1384" s="838">
        <v>45.325288120300748</v>
      </c>
      <c r="H1384" s="839">
        <v>45.325288120300748</v>
      </c>
      <c r="I1384" s="1304"/>
      <c r="J1384" s="746"/>
      <c r="K1384" s="746"/>
    </row>
    <row r="1385" spans="1:11" ht="14.1" x14ac:dyDescent="0.45">
      <c r="A1385" s="1307"/>
      <c r="B1385" s="517"/>
      <c r="C1385" s="836">
        <v>2011</v>
      </c>
      <c r="D1385" s="520">
        <v>-3</v>
      </c>
      <c r="E1385" s="837">
        <v>47.3</v>
      </c>
      <c r="F1385" s="876">
        <v>47.3</v>
      </c>
      <c r="G1385" s="838">
        <v>47.3</v>
      </c>
      <c r="H1385" s="839">
        <v>47.3</v>
      </c>
      <c r="I1385" s="1305"/>
      <c r="J1385" s="746"/>
      <c r="K1385" s="746"/>
    </row>
    <row r="1386" spans="1:11" ht="14.1" x14ac:dyDescent="0.45">
      <c r="A1386" s="1308"/>
      <c r="B1386" s="517"/>
      <c r="C1386" s="836">
        <v>2012</v>
      </c>
      <c r="D1386" s="520">
        <v>-2</v>
      </c>
      <c r="E1386" s="837"/>
      <c r="F1386" s="876"/>
      <c r="G1386" s="840">
        <v>49.325212631578943</v>
      </c>
      <c r="H1386" s="841">
        <v>49.325212631578943</v>
      </c>
      <c r="I1386" s="789" t="s">
        <v>272</v>
      </c>
      <c r="J1386" s="746"/>
      <c r="K1386" s="746"/>
    </row>
    <row r="1387" spans="1:11" ht="14.1" x14ac:dyDescent="0.45">
      <c r="A1387" s="517"/>
      <c r="B1387" s="517"/>
      <c r="C1387" s="836">
        <v>2013</v>
      </c>
      <c r="D1387" s="520">
        <v>-1</v>
      </c>
      <c r="E1387" s="837"/>
      <c r="F1387" s="876"/>
      <c r="G1387" s="840">
        <v>51.41654165413533</v>
      </c>
      <c r="H1387" s="841">
        <v>51.41654165413533</v>
      </c>
      <c r="I1387" s="746"/>
      <c r="J1387" s="746"/>
      <c r="K1387" s="746"/>
    </row>
    <row r="1388" spans="1:11" ht="15" x14ac:dyDescent="0.5">
      <c r="A1388" s="521" t="s">
        <v>273</v>
      </c>
      <c r="B1388" s="517"/>
      <c r="C1388" s="836">
        <v>2014</v>
      </c>
      <c r="D1388" s="520">
        <v>0</v>
      </c>
      <c r="E1388" s="837"/>
      <c r="F1388" s="876"/>
      <c r="G1388" s="840">
        <v>53.577121503759393</v>
      </c>
      <c r="H1388" s="841">
        <v>54.756107888637764</v>
      </c>
      <c r="I1388" s="746"/>
      <c r="J1388" s="746"/>
      <c r="K1388" s="746"/>
    </row>
    <row r="1389" spans="1:11" ht="15" x14ac:dyDescent="0.45">
      <c r="A1389" s="842">
        <v>2012</v>
      </c>
      <c r="B1389" s="514"/>
      <c r="C1389" s="836">
        <v>2015</v>
      </c>
      <c r="D1389" s="520">
        <v>1</v>
      </c>
      <c r="E1389" s="837"/>
      <c r="F1389" s="876"/>
      <c r="G1389" s="840">
        <v>55.813206917293229</v>
      </c>
      <c r="H1389" s="841">
        <v>57.060579896226287</v>
      </c>
      <c r="I1389" s="746"/>
      <c r="J1389" s="746"/>
      <c r="K1389" s="746"/>
    </row>
    <row r="1390" spans="1:11" ht="14.1" x14ac:dyDescent="0.45">
      <c r="A1390" s="746"/>
      <c r="B1390" s="514"/>
      <c r="C1390" s="836">
        <v>2016</v>
      </c>
      <c r="D1390" s="520">
        <v>2</v>
      </c>
      <c r="E1390" s="837"/>
      <c r="F1390" s="876"/>
      <c r="G1390" s="840">
        <v>58.131052631578939</v>
      </c>
      <c r="H1390" s="841">
        <v>59.463317398257736</v>
      </c>
      <c r="I1390" s="746"/>
      <c r="J1390" s="746"/>
      <c r="K1390" s="746"/>
    </row>
    <row r="1391" spans="1:11" ht="15" x14ac:dyDescent="0.5">
      <c r="A1391" s="521" t="s">
        <v>274</v>
      </c>
      <c r="B1391" s="514"/>
      <c r="C1391" s="836">
        <v>2017</v>
      </c>
      <c r="D1391" s="520">
        <v>3</v>
      </c>
      <c r="E1391" s="837"/>
      <c r="F1391" s="876"/>
      <c r="G1391" s="840">
        <v>60.536913383458639</v>
      </c>
      <c r="H1391" s="841">
        <v>61.969564515786587</v>
      </c>
      <c r="I1391" s="746"/>
      <c r="J1391" s="746"/>
      <c r="K1391" s="746"/>
    </row>
    <row r="1392" spans="1:11" ht="15" x14ac:dyDescent="0.45">
      <c r="A1392" s="842" t="s">
        <v>999</v>
      </c>
      <c r="B1392" s="514"/>
      <c r="C1392" s="836">
        <v>2018</v>
      </c>
      <c r="D1392" s="520">
        <v>4</v>
      </c>
      <c r="E1392" s="837"/>
      <c r="F1392" s="876"/>
      <c r="G1392" s="840">
        <v>63.037043909774432</v>
      </c>
      <c r="H1392" s="841">
        <v>64.583375052031826</v>
      </c>
      <c r="I1392" s="746"/>
      <c r="J1392" s="746"/>
      <c r="K1392" s="746"/>
    </row>
    <row r="1393" spans="1:11" ht="15" x14ac:dyDescent="0.5">
      <c r="A1393" s="790"/>
      <c r="B1393" s="522"/>
      <c r="C1393" s="836">
        <v>2019</v>
      </c>
      <c r="D1393" s="520">
        <v>5</v>
      </c>
      <c r="E1393" s="837"/>
      <c r="F1393" s="876"/>
      <c r="G1393" s="840">
        <v>65.63769894736842</v>
      </c>
      <c r="H1393" s="841">
        <v>67.306245334703618</v>
      </c>
      <c r="I1393" s="746"/>
      <c r="J1393" s="746"/>
      <c r="K1393" s="746"/>
    </row>
    <row r="1394" spans="1:11" ht="15" x14ac:dyDescent="0.45">
      <c r="A1394" s="895" t="s">
        <v>275</v>
      </c>
      <c r="B1394" s="514"/>
      <c r="C1394" s="836">
        <v>2020</v>
      </c>
      <c r="D1394" s="520">
        <v>6</v>
      </c>
      <c r="E1394" s="837"/>
      <c r="F1394" s="876"/>
      <c r="G1394" s="840">
        <v>68.345133233082706</v>
      </c>
      <c r="H1394" s="841">
        <v>70.140676510625369</v>
      </c>
      <c r="I1394" s="746"/>
      <c r="J1394" s="746"/>
      <c r="K1394" s="746"/>
    </row>
    <row r="1395" spans="1:11" ht="15" x14ac:dyDescent="0.45">
      <c r="A1395" s="791"/>
      <c r="B1395" s="514"/>
      <c r="C1395" s="836">
        <v>2021</v>
      </c>
      <c r="D1395" s="520">
        <v>7</v>
      </c>
      <c r="E1395" s="837">
        <v>71.150000000000006</v>
      </c>
      <c r="F1395" s="876">
        <v>71.150000000000006</v>
      </c>
      <c r="G1395" s="840">
        <v>71.150000000000006</v>
      </c>
      <c r="H1395" s="841">
        <v>73.076198505546017</v>
      </c>
      <c r="I1395" s="746"/>
      <c r="J1395" s="746"/>
      <c r="K1395" s="746"/>
    </row>
    <row r="1396" spans="1:11" ht="15" x14ac:dyDescent="0.45">
      <c r="A1396" s="892"/>
      <c r="B1396" s="514"/>
      <c r="C1396" s="836">
        <v>2022</v>
      </c>
      <c r="D1396" s="520">
        <v>8</v>
      </c>
      <c r="E1396" s="837"/>
      <c r="F1396" s="876"/>
      <c r="G1396" s="840">
        <v>74.105358496240598</v>
      </c>
      <c r="H1396" s="841">
        <v>76.169019640741141</v>
      </c>
      <c r="I1396" s="746"/>
      <c r="J1396" s="746"/>
      <c r="K1396" s="746"/>
    </row>
    <row r="1397" spans="1:11" ht="15" x14ac:dyDescent="0.45">
      <c r="A1397" s="842"/>
      <c r="B1397" s="514"/>
      <c r="C1397" s="836">
        <v>2023</v>
      </c>
      <c r="D1397" s="520">
        <v>9</v>
      </c>
      <c r="E1397" s="837"/>
      <c r="F1397" s="876"/>
      <c r="G1397" s="840">
        <v>77.170658947368423</v>
      </c>
      <c r="H1397" s="841">
        <v>79.378875634832255</v>
      </c>
      <c r="I1397" s="746"/>
      <c r="J1397" s="746"/>
      <c r="K1397" s="746"/>
    </row>
    <row r="1398" spans="1:11" ht="14.1" x14ac:dyDescent="0.45">
      <c r="A1398" s="514"/>
      <c r="B1398" s="514"/>
      <c r="C1398" s="836">
        <v>2024</v>
      </c>
      <c r="D1398" s="520">
        <v>10</v>
      </c>
      <c r="E1398" s="837"/>
      <c r="F1398" s="876"/>
      <c r="G1398" s="840">
        <v>80.367757593984962</v>
      </c>
      <c r="H1398" s="841">
        <v>82.730641304601662</v>
      </c>
      <c r="I1398" s="746"/>
      <c r="J1398" s="746"/>
      <c r="K1398" s="746"/>
    </row>
    <row r="1399" spans="1:11" ht="14.1" x14ac:dyDescent="0.45">
      <c r="A1399" s="514"/>
      <c r="B1399" s="514"/>
      <c r="C1399" s="836">
        <v>2025</v>
      </c>
      <c r="D1399" s="520">
        <v>11</v>
      </c>
      <c r="E1399" s="837"/>
      <c r="F1399" s="876"/>
      <c r="G1399" s="840">
        <v>83.702909172932323</v>
      </c>
      <c r="H1399" s="841">
        <v>86.232799971973492</v>
      </c>
      <c r="I1399" s="746"/>
      <c r="J1399" s="746"/>
      <c r="K1399" s="746"/>
    </row>
    <row r="1400" spans="1:11" ht="14.1" x14ac:dyDescent="0.45">
      <c r="A1400" s="514"/>
      <c r="B1400" s="514"/>
      <c r="C1400" s="836">
        <v>2026</v>
      </c>
      <c r="D1400" s="520">
        <v>12</v>
      </c>
      <c r="E1400" s="837"/>
      <c r="F1400" s="876"/>
      <c r="G1400" s="840">
        <v>87.18236842105263</v>
      </c>
      <c r="H1400" s="841">
        <v>89.892584155450081</v>
      </c>
      <c r="I1400" s="746"/>
      <c r="J1400" s="746"/>
      <c r="K1400" s="746"/>
    </row>
    <row r="1401" spans="1:11" ht="14.1" x14ac:dyDescent="0.45">
      <c r="A1401" s="514"/>
      <c r="B1401" s="514"/>
      <c r="C1401" s="836">
        <v>2027</v>
      </c>
      <c r="D1401" s="520">
        <v>13</v>
      </c>
      <c r="E1401" s="837"/>
      <c r="F1401" s="876"/>
      <c r="G1401" s="840">
        <v>90.812390075187977</v>
      </c>
      <c r="H1401" s="841">
        <v>93.716253704543746</v>
      </c>
      <c r="I1401" s="746"/>
      <c r="J1401" s="746"/>
      <c r="K1401" s="746"/>
    </row>
    <row r="1402" spans="1:11" ht="14.1" x14ac:dyDescent="0.45">
      <c r="A1402" s="514"/>
      <c r="B1402" s="514"/>
      <c r="C1402" s="836">
        <v>2028</v>
      </c>
      <c r="D1402" s="520">
        <v>14</v>
      </c>
      <c r="E1402" s="837"/>
      <c r="F1402" s="876"/>
      <c r="G1402" s="840">
        <v>94.599228872180447</v>
      </c>
      <c r="H1402" s="841">
        <v>97.710327920616223</v>
      </c>
      <c r="I1402" s="746"/>
      <c r="J1402" s="746"/>
      <c r="K1402" s="746"/>
    </row>
    <row r="1403" spans="1:11" ht="14.1" x14ac:dyDescent="0.45">
      <c r="A1403" s="514"/>
      <c r="B1403" s="514"/>
      <c r="C1403" s="836">
        <v>2029</v>
      </c>
      <c r="D1403" s="520">
        <v>15</v>
      </c>
      <c r="E1403" s="837"/>
      <c r="F1403" s="876"/>
      <c r="G1403" s="840">
        <v>98.549139548872176</v>
      </c>
      <c r="H1403" s="841">
        <v>101.88097109312487</v>
      </c>
      <c r="I1403" s="746"/>
      <c r="J1403" s="746"/>
      <c r="K1403" s="746"/>
    </row>
    <row r="1404" spans="1:11" ht="14.1" x14ac:dyDescent="0.45">
      <c r="A1404" s="514"/>
      <c r="B1404" s="514"/>
      <c r="C1404" s="836">
        <v>2030</v>
      </c>
      <c r="D1404" s="520">
        <v>16</v>
      </c>
      <c r="E1404" s="837"/>
      <c r="F1404" s="876"/>
      <c r="G1404" s="840">
        <v>102.66837684210526</v>
      </c>
      <c r="H1404" s="841">
        <v>106.23443068277642</v>
      </c>
      <c r="I1404" s="746"/>
      <c r="J1404" s="746"/>
      <c r="K1404" s="746"/>
    </row>
    <row r="1405" spans="1:11" ht="14.1" x14ac:dyDescent="0.45">
      <c r="A1405" s="514"/>
      <c r="B1405" s="514"/>
      <c r="C1405" s="836">
        <v>2031</v>
      </c>
      <c r="D1405" s="520">
        <v>17</v>
      </c>
      <c r="E1405" s="837">
        <v>107.01</v>
      </c>
      <c r="F1405" s="876">
        <v>107.01</v>
      </c>
      <c r="G1405" s="840">
        <v>107.01</v>
      </c>
      <c r="H1405" s="841">
        <v>110.82615556255884</v>
      </c>
      <c r="I1405" s="746"/>
      <c r="J1405" s="746"/>
      <c r="K1405" s="746"/>
    </row>
    <row r="1406" spans="1:11" ht="14.1" x14ac:dyDescent="0.45">
      <c r="A1406" s="514"/>
      <c r="B1406" s="514"/>
      <c r="C1406" s="836">
        <v>2032</v>
      </c>
      <c r="D1406" s="520">
        <v>18</v>
      </c>
      <c r="E1406" s="837"/>
      <c r="F1406" s="876"/>
      <c r="G1406" s="840">
        <v>111.43985022556392</v>
      </c>
      <c r="H1406" s="841">
        <v>115.51771315642438</v>
      </c>
      <c r="I1406" s="746"/>
      <c r="J1406" s="746"/>
      <c r="K1406" s="746"/>
    </row>
    <row r="1407" spans="1:11" ht="14.1" x14ac:dyDescent="0.45">
      <c r="A1407" s="522"/>
      <c r="B1407" s="522"/>
      <c r="C1407" s="836">
        <v>2033</v>
      </c>
      <c r="D1407" s="520">
        <v>19</v>
      </c>
      <c r="E1407" s="837"/>
      <c r="F1407" s="876"/>
      <c r="G1407" s="840">
        <v>116.10459578947369</v>
      </c>
      <c r="H1407" s="841">
        <v>120.46066143382457</v>
      </c>
      <c r="I1407" s="746"/>
      <c r="J1407" s="746"/>
      <c r="K1407" s="746"/>
    </row>
    <row r="1408" spans="1:11" ht="14.1" x14ac:dyDescent="0.45">
      <c r="A1408" s="522"/>
      <c r="B1408" s="522"/>
      <c r="C1408" s="836">
        <v>2034</v>
      </c>
      <c r="D1408" s="520">
        <v>20</v>
      </c>
      <c r="E1408" s="837"/>
      <c r="F1408" s="876"/>
      <c r="G1408" s="840">
        <v>120.96368691729324</v>
      </c>
      <c r="H1408" s="841">
        <v>125.61235516143287</v>
      </c>
      <c r="I1408" s="746"/>
      <c r="J1408" s="746"/>
      <c r="K1408" s="746"/>
    </row>
    <row r="1409" spans="1:11" ht="14.1" x14ac:dyDescent="0.45">
      <c r="A1409" s="522"/>
      <c r="B1409" s="522"/>
      <c r="C1409" s="836">
        <v>2035</v>
      </c>
      <c r="D1409" s="520">
        <v>21</v>
      </c>
      <c r="E1409" s="837"/>
      <c r="F1409" s="876"/>
      <c r="G1409" s="840">
        <v>126.02337834586467</v>
      </c>
      <c r="H1409" s="841">
        <v>130.97889213728456</v>
      </c>
      <c r="I1409" s="746"/>
      <c r="J1409" s="746"/>
      <c r="K1409" s="746"/>
    </row>
    <row r="1410" spans="1:11" ht="14.1" x14ac:dyDescent="0.45">
      <c r="A1410" s="522"/>
      <c r="B1410" s="522"/>
      <c r="C1410" s="836">
        <v>2036</v>
      </c>
      <c r="D1410" s="520">
        <v>22</v>
      </c>
      <c r="E1410" s="837">
        <v>131.24</v>
      </c>
      <c r="F1410" s="876">
        <v>131.24</v>
      </c>
      <c r="G1410" s="840">
        <v>131.24</v>
      </c>
      <c r="H1410" s="841">
        <v>136.51459362696997</v>
      </c>
      <c r="I1410" s="746"/>
      <c r="J1410" s="746"/>
      <c r="K1410" s="746"/>
    </row>
    <row r="1411" spans="1:11" ht="14.1" x14ac:dyDescent="0.45">
      <c r="A1411" s="522"/>
      <c r="B1411" s="522"/>
      <c r="C1411" s="836">
        <v>2037</v>
      </c>
      <c r="D1411" s="520">
        <v>23</v>
      </c>
      <c r="E1411" s="837"/>
      <c r="F1411" s="876"/>
      <c r="G1411" s="840">
        <v>136.76958105263159</v>
      </c>
      <c r="H1411" s="841">
        <v>142.38239857425657</v>
      </c>
      <c r="I1411" s="746"/>
      <c r="J1411" s="746"/>
      <c r="K1411" s="746"/>
    </row>
    <row r="1412" spans="1:11" ht="14.1" x14ac:dyDescent="0.45">
      <c r="A1412" s="522"/>
      <c r="B1412" s="522"/>
      <c r="C1412" s="836">
        <v>2038</v>
      </c>
      <c r="D1412" s="520">
        <v>24</v>
      </c>
      <c r="E1412" s="837"/>
      <c r="F1412" s="876"/>
      <c r="G1412" s="840">
        <v>142.46860180451131</v>
      </c>
      <c r="H1412" s="841">
        <v>148.4346998248954</v>
      </c>
      <c r="I1412" s="746"/>
      <c r="J1412" s="746"/>
      <c r="K1412" s="746"/>
    </row>
    <row r="1413" spans="1:11" ht="14.1" x14ac:dyDescent="0.45">
      <c r="A1413" s="522"/>
      <c r="B1413" s="522"/>
      <c r="C1413" s="836">
        <v>2039</v>
      </c>
      <c r="D1413" s="520">
        <v>25</v>
      </c>
      <c r="E1413" s="837"/>
      <c r="F1413" s="876"/>
      <c r="G1413" s="840">
        <v>148.39324180451129</v>
      </c>
      <c r="H1413" s="841">
        <v>154.73245839252718</v>
      </c>
      <c r="I1413" s="746"/>
      <c r="J1413" s="746"/>
      <c r="K1413" s="746"/>
    </row>
    <row r="1414" spans="1:11" ht="14.1" x14ac:dyDescent="0.45">
      <c r="A1414" s="522"/>
      <c r="B1414" s="522"/>
      <c r="C1414" s="836">
        <v>2040</v>
      </c>
      <c r="D1414" s="520">
        <v>26</v>
      </c>
      <c r="E1414" s="837"/>
      <c r="F1414" s="876"/>
      <c r="G1414" s="840">
        <v>154.54975578947372</v>
      </c>
      <c r="H1414" s="841">
        <v>161.28443054129554</v>
      </c>
      <c r="I1414" s="746"/>
      <c r="J1414" s="746"/>
      <c r="K1414" s="746"/>
    </row>
    <row r="1415" spans="1:11" ht="14.1" x14ac:dyDescent="0.45">
      <c r="A1415" s="522"/>
      <c r="B1415" s="522"/>
      <c r="C1415" s="836">
        <v>2041</v>
      </c>
      <c r="D1415" s="520">
        <v>27</v>
      </c>
      <c r="E1415" s="837">
        <v>160.96</v>
      </c>
      <c r="F1415" s="876">
        <v>160.96</v>
      </c>
      <c r="G1415" s="840">
        <v>160.96</v>
      </c>
      <c r="H1415" s="841">
        <v>168.11486579069484</v>
      </c>
      <c r="I1415" s="746"/>
      <c r="J1415" s="746"/>
      <c r="K1415" s="746"/>
    </row>
    <row r="1416" spans="1:11" ht="14.1" x14ac:dyDescent="0.45">
      <c r="A1416" s="522"/>
      <c r="B1416" s="522"/>
      <c r="C1416" s="836">
        <v>2042</v>
      </c>
      <c r="D1416" s="520">
        <v>28</v>
      </c>
      <c r="E1416" s="837"/>
      <c r="F1416" s="876"/>
      <c r="G1416" s="840">
        <v>167.58342466165416</v>
      </c>
      <c r="H1416" s="841">
        <v>175.18190990089377</v>
      </c>
      <c r="I1416" s="746"/>
      <c r="J1416" s="746"/>
      <c r="K1416" s="746"/>
    </row>
    <row r="1417" spans="1:11" ht="14.1" x14ac:dyDescent="0.45">
      <c r="A1417" s="522"/>
      <c r="B1417" s="522"/>
      <c r="C1417" s="836">
        <v>2043</v>
      </c>
      <c r="D1417" s="520">
        <v>29</v>
      </c>
      <c r="E1417" s="837"/>
      <c r="F1417" s="876"/>
      <c r="G1417" s="840">
        <v>174.47308902255642</v>
      </c>
      <c r="H1417" s="841">
        <v>182.54128569710872</v>
      </c>
      <c r="I1417" s="746"/>
      <c r="J1417" s="746"/>
      <c r="K1417" s="746"/>
    </row>
    <row r="1418" spans="1:11" ht="14.1" x14ac:dyDescent="0.45">
      <c r="A1418" s="522"/>
      <c r="B1418" s="522"/>
      <c r="C1418" s="836">
        <v>2044</v>
      </c>
      <c r="D1418" s="520">
        <v>30</v>
      </c>
      <c r="E1418" s="837"/>
      <c r="F1418" s="876"/>
      <c r="G1418" s="840">
        <v>181.61964631578954</v>
      </c>
      <c r="H1418" s="841">
        <v>190.1830253490389</v>
      </c>
      <c r="I1418" s="746"/>
      <c r="J1418" s="746"/>
      <c r="K1418" s="746"/>
    </row>
    <row r="1419" spans="1:11" ht="14.1" x14ac:dyDescent="0.45">
      <c r="A1419" s="522"/>
      <c r="B1419" s="522"/>
      <c r="C1419" s="836">
        <v>2045</v>
      </c>
      <c r="D1419" s="520">
        <v>31</v>
      </c>
      <c r="E1419" s="837"/>
      <c r="F1419" s="876"/>
      <c r="G1419" s="840">
        <v>189.02935127819555</v>
      </c>
      <c r="H1419" s="841">
        <v>198.11366982449783</v>
      </c>
      <c r="I1419" s="746"/>
      <c r="J1419" s="746"/>
      <c r="K1419" s="746"/>
    </row>
    <row r="1420" spans="1:11" ht="14.1" x14ac:dyDescent="0.45">
      <c r="A1420" s="522"/>
      <c r="B1420" s="522"/>
      <c r="C1420" s="836">
        <v>2046</v>
      </c>
      <c r="D1420" s="520">
        <v>32</v>
      </c>
      <c r="E1420" s="837"/>
      <c r="F1420" s="876"/>
      <c r="G1420" s="840">
        <v>196.70845864661661</v>
      </c>
      <c r="H1420" s="841">
        <v>206.34011987375166</v>
      </c>
      <c r="I1420" s="746"/>
      <c r="J1420" s="746"/>
      <c r="K1420" s="746"/>
    </row>
    <row r="1421" spans="1:11" ht="14.1" x14ac:dyDescent="0.45">
      <c r="A1421" s="523"/>
      <c r="B1421" s="524"/>
      <c r="C1421" s="836">
        <v>2047</v>
      </c>
      <c r="D1421" s="520">
        <v>33</v>
      </c>
      <c r="E1421" s="837"/>
      <c r="F1421" s="876"/>
      <c r="G1421" s="840">
        <v>204.66322315789481</v>
      </c>
      <c r="H1421" s="841">
        <v>214.87004043663703</v>
      </c>
      <c r="I1421" s="746"/>
      <c r="J1421" s="746"/>
      <c r="K1421" s="746"/>
    </row>
    <row r="1422" spans="1:11" ht="14.1" x14ac:dyDescent="0.45">
      <c r="A1422" s="746"/>
      <c r="B1422" s="524"/>
      <c r="C1422" s="836">
        <v>2048</v>
      </c>
      <c r="D1422" s="520">
        <v>34</v>
      </c>
      <c r="E1422" s="837"/>
      <c r="F1422" s="876"/>
      <c r="G1422" s="840">
        <v>212.89989954887224</v>
      </c>
      <c r="H1422" s="841">
        <v>223.71162354784497</v>
      </c>
      <c r="I1422" s="746"/>
      <c r="J1422" s="746"/>
      <c r="K1422" s="746"/>
    </row>
    <row r="1423" spans="1:11" ht="14.1" x14ac:dyDescent="0.4">
      <c r="A1423" s="746"/>
      <c r="B1423" s="746"/>
      <c r="C1423" s="836">
        <v>2049</v>
      </c>
      <c r="D1423" s="520">
        <v>35</v>
      </c>
      <c r="E1423" s="837"/>
      <c r="F1423" s="876"/>
      <c r="G1423" s="840">
        <v>221.42474255639104</v>
      </c>
      <c r="H1423" s="841">
        <v>232.87360008428016</v>
      </c>
      <c r="I1423" s="746"/>
      <c r="J1423" s="746"/>
      <c r="K1423" s="746"/>
    </row>
    <row r="1424" spans="1:11" ht="14.1" x14ac:dyDescent="0.4">
      <c r="A1424" s="746"/>
      <c r="B1424" s="746"/>
      <c r="C1424" s="836">
        <v>2050</v>
      </c>
      <c r="D1424" s="520">
        <v>36</v>
      </c>
      <c r="E1424" s="837"/>
      <c r="F1424" s="876"/>
      <c r="G1424" s="840">
        <v>230.24400691729329</v>
      </c>
      <c r="H1424" s="841">
        <v>242.3643667107028</v>
      </c>
      <c r="I1424" s="746"/>
      <c r="J1424" s="746"/>
      <c r="K1424" s="746"/>
    </row>
    <row r="1425" spans="1:11" ht="14.1" x14ac:dyDescent="0.4">
      <c r="C1425" s="836">
        <v>2051</v>
      </c>
      <c r="D1425" s="520">
        <v>37</v>
      </c>
      <c r="E1425" s="837"/>
      <c r="F1425" s="876"/>
      <c r="G1425" s="840">
        <v>239.36394736842109</v>
      </c>
      <c r="H1425" s="841">
        <v>252.19184849696114</v>
      </c>
    </row>
    <row r="1426" spans="1:11" ht="14.1" x14ac:dyDescent="0.4">
      <c r="C1426" s="836">
        <v>2052</v>
      </c>
      <c r="D1426" s="520">
        <v>38</v>
      </c>
      <c r="E1426" s="837"/>
      <c r="F1426" s="876"/>
      <c r="G1426" s="840">
        <v>248.7908186466166</v>
      </c>
      <c r="H1426" s="841">
        <v>262.36289324033015</v>
      </c>
    </row>
    <row r="1427" spans="1:11" ht="14.1" x14ac:dyDescent="0.4">
      <c r="C1427" s="836">
        <v>2053</v>
      </c>
      <c r="D1427" s="520">
        <v>39</v>
      </c>
      <c r="E1427" s="837"/>
      <c r="F1427" s="876"/>
      <c r="G1427" s="840">
        <v>258.53087548872185</v>
      </c>
      <c r="H1427" s="841">
        <v>272.88343517252821</v>
      </c>
    </row>
    <row r="1428" spans="1:11" ht="14.1" x14ac:dyDescent="0.4">
      <c r="C1428" s="836">
        <v>2054</v>
      </c>
      <c r="D1428" s="520">
        <v>40</v>
      </c>
      <c r="E1428" s="837"/>
      <c r="F1428" s="876"/>
      <c r="G1428" s="840">
        <v>268.59037263157899</v>
      </c>
      <c r="H1428" s="841">
        <v>283.75850492692035</v>
      </c>
    </row>
    <row r="1429" spans="1:11" ht="14.1" x14ac:dyDescent="0.4">
      <c r="C1429" s="836">
        <v>2055</v>
      </c>
      <c r="D1429" s="520">
        <v>41</v>
      </c>
      <c r="E1429" s="837"/>
      <c r="F1429" s="876"/>
      <c r="G1429" s="840">
        <v>278.97556481203014</v>
      </c>
      <c r="H1429" s="841">
        <v>294.99333108863169</v>
      </c>
    </row>
    <row r="1430" spans="1:11" ht="14.1" x14ac:dyDescent="0.4">
      <c r="C1430" s="836">
        <v>2056</v>
      </c>
      <c r="D1430" s="520">
        <v>42</v>
      </c>
      <c r="E1430" s="837"/>
      <c r="F1430" s="876"/>
      <c r="G1430" s="840">
        <v>289.69270676691735</v>
      </c>
      <c r="H1430" s="841">
        <v>306.59436748794667</v>
      </c>
    </row>
    <row r="1431" spans="1:11" ht="14.1" x14ac:dyDescent="0.4">
      <c r="C1431" s="836">
        <v>2057</v>
      </c>
      <c r="D1431" s="520">
        <v>43</v>
      </c>
      <c r="E1431" s="837"/>
      <c r="F1431" s="876"/>
      <c r="G1431" s="840">
        <v>300.74805323308283</v>
      </c>
      <c r="H1431" s="841">
        <v>318.56855623904079</v>
      </c>
    </row>
    <row r="1432" spans="1:11" ht="14.1" x14ac:dyDescent="0.4">
      <c r="C1432" s="836">
        <v>2058</v>
      </c>
      <c r="D1432" s="520">
        <v>44</v>
      </c>
      <c r="E1432" s="837"/>
      <c r="F1432" s="876"/>
      <c r="G1432" s="840">
        <v>312.14785894736849</v>
      </c>
      <c r="H1432" s="841">
        <v>330.92194451730307</v>
      </c>
    </row>
    <row r="1433" spans="1:11" ht="14.1" x14ac:dyDescent="0.4">
      <c r="C1433" s="836">
        <v>2059</v>
      </c>
      <c r="D1433" s="520">
        <v>45</v>
      </c>
      <c r="E1433" s="837"/>
      <c r="F1433" s="876"/>
      <c r="G1433" s="840">
        <v>323.89837864661661</v>
      </c>
      <c r="H1433" s="841">
        <v>343.6604748255171</v>
      </c>
    </row>
    <row r="1434" spans="1:11" ht="14.1" x14ac:dyDescent="0.4">
      <c r="C1434" s="843">
        <v>2060</v>
      </c>
      <c r="D1434" s="520">
        <v>46</v>
      </c>
      <c r="E1434" s="837"/>
      <c r="F1434" s="876"/>
      <c r="G1434" s="840">
        <v>336.00586706766927</v>
      </c>
      <c r="H1434" s="841">
        <v>356.79025700914269</v>
      </c>
    </row>
    <row r="1437" spans="1:11" ht="15" x14ac:dyDescent="0.5">
      <c r="A1437" s="621" t="str">
        <f ca="1">HYPERLINK("#"&amp;"'"&amp;A$1&amp;"'!a1","Back to top")</f>
        <v>Back to top</v>
      </c>
    </row>
    <row r="1440" spans="1:11" ht="15" x14ac:dyDescent="0.5">
      <c r="A1440" s="508">
        <v>20</v>
      </c>
      <c r="B1440" s="509" t="s">
        <v>1017</v>
      </c>
      <c r="C1440" s="787"/>
      <c r="D1440" s="787"/>
      <c r="E1440" s="787"/>
      <c r="F1440" s="787"/>
      <c r="G1440" s="787"/>
      <c r="H1440" s="787"/>
      <c r="I1440" s="787"/>
      <c r="J1440" s="787"/>
      <c r="K1440" s="787"/>
    </row>
    <row r="1441" spans="1:11" ht="15" x14ac:dyDescent="0.5">
      <c r="A1441" s="510" t="s">
        <v>260</v>
      </c>
      <c r="B1441" s="511"/>
      <c r="C1441" s="511"/>
      <c r="D1441" s="223"/>
      <c r="E1441" s="512"/>
      <c r="F1441" s="1309"/>
      <c r="G1441" s="512"/>
      <c r="H1441" s="513"/>
      <c r="I1441" s="746"/>
      <c r="J1441" s="746"/>
      <c r="K1441" s="746"/>
    </row>
    <row r="1442" spans="1:11" ht="15.3" thickBot="1" x14ac:dyDescent="0.5">
      <c r="A1442" s="872" t="s">
        <v>603</v>
      </c>
      <c r="B1442" s="514"/>
      <c r="C1442" s="514"/>
      <c r="D1442" s="515"/>
      <c r="E1442" s="516" t="s">
        <v>222</v>
      </c>
      <c r="F1442" s="1310"/>
      <c r="G1442" s="873" t="e">
        <v>#DIV/0!</v>
      </c>
      <c r="H1442" s="513"/>
      <c r="I1442" s="746"/>
      <c r="J1442" s="746"/>
      <c r="K1442" s="746"/>
    </row>
    <row r="1443" spans="1:11" ht="37.200000000000003" thickBot="1" x14ac:dyDescent="0.5">
      <c r="A1443" s="517"/>
      <c r="B1443" s="517"/>
      <c r="C1443" s="517"/>
      <c r="D1443" s="518"/>
      <c r="E1443" s="873" t="s">
        <v>1008</v>
      </c>
      <c r="F1443" s="873" t="s">
        <v>664</v>
      </c>
      <c r="G1443" s="874" t="s">
        <v>723</v>
      </c>
      <c r="H1443" s="873" t="s">
        <v>667</v>
      </c>
      <c r="I1443" s="873" t="s">
        <v>1018</v>
      </c>
      <c r="J1443" s="1297" t="s">
        <v>668</v>
      </c>
      <c r="K1443" s="1298"/>
    </row>
    <row r="1444" spans="1:11" ht="15" x14ac:dyDescent="0.5">
      <c r="A1444" s="510" t="s">
        <v>268</v>
      </c>
      <c r="B1444" s="517"/>
      <c r="C1444" s="788">
        <v>2000</v>
      </c>
      <c r="D1444" s="519">
        <v>-14</v>
      </c>
      <c r="E1444" s="875">
        <v>998.07</v>
      </c>
      <c r="F1444" s="876">
        <v>998.07</v>
      </c>
      <c r="G1444" s="877">
        <v>1423.0183749999997</v>
      </c>
      <c r="H1444" s="878">
        <v>1423.0183749999997</v>
      </c>
      <c r="I1444" s="1303" t="s">
        <v>269</v>
      </c>
      <c r="J1444" s="1299"/>
      <c r="K1444" s="1300"/>
    </row>
    <row r="1445" spans="1:11" ht="15" x14ac:dyDescent="0.45">
      <c r="A1445" s="872" t="s">
        <v>211</v>
      </c>
      <c r="B1445" s="517"/>
      <c r="C1445" s="836">
        <v>2001</v>
      </c>
      <c r="D1445" s="520">
        <v>-13</v>
      </c>
      <c r="E1445" s="837"/>
      <c r="F1445" s="876"/>
      <c r="G1445" s="838">
        <v>1503.0812399999995</v>
      </c>
      <c r="H1445" s="839">
        <v>1503.0812399999995</v>
      </c>
      <c r="I1445" s="1304"/>
      <c r="J1445" s="1299"/>
      <c r="K1445" s="1300"/>
    </row>
    <row r="1446" spans="1:11" ht="14.05" customHeight="1" x14ac:dyDescent="0.45">
      <c r="A1446" s="517"/>
      <c r="B1446" s="517"/>
      <c r="C1446" s="836">
        <v>2002</v>
      </c>
      <c r="D1446" s="520">
        <v>-12</v>
      </c>
      <c r="E1446" s="837"/>
      <c r="F1446" s="876"/>
      <c r="G1446" s="838">
        <v>1581.5018349999996</v>
      </c>
      <c r="H1446" s="839">
        <v>1581.5018349999996</v>
      </c>
      <c r="I1446" s="1304"/>
      <c r="J1446" s="1299"/>
      <c r="K1446" s="1300"/>
    </row>
    <row r="1447" spans="1:11" ht="15" x14ac:dyDescent="0.45">
      <c r="A1447" s="676" t="s">
        <v>270</v>
      </c>
      <c r="B1447" s="517"/>
      <c r="C1447" s="836">
        <v>2003</v>
      </c>
      <c r="D1447" s="520">
        <v>-11</v>
      </c>
      <c r="E1447" s="837"/>
      <c r="F1447" s="876"/>
      <c r="G1447" s="838">
        <v>1658.2801599999996</v>
      </c>
      <c r="H1447" s="839">
        <v>1658.2801599999996</v>
      </c>
      <c r="I1447" s="1304"/>
      <c r="J1447" s="1301"/>
      <c r="K1447" s="1302"/>
    </row>
    <row r="1448" spans="1:11" ht="14.1" x14ac:dyDescent="0.45">
      <c r="A1448" s="1306" t="s">
        <v>1016</v>
      </c>
      <c r="B1448" s="517"/>
      <c r="C1448" s="836">
        <v>2004</v>
      </c>
      <c r="D1448" s="520">
        <v>-10</v>
      </c>
      <c r="E1448" s="837"/>
      <c r="F1448" s="876"/>
      <c r="G1448" s="838">
        <v>1733.4162149999997</v>
      </c>
      <c r="H1448" s="839">
        <v>1733.4162149999997</v>
      </c>
      <c r="I1448" s="1304"/>
      <c r="J1448" s="746"/>
      <c r="K1448" s="746"/>
    </row>
    <row r="1449" spans="1:11" ht="14.1" x14ac:dyDescent="0.45">
      <c r="A1449" s="1307"/>
      <c r="B1449" s="517"/>
      <c r="C1449" s="836">
        <v>2005</v>
      </c>
      <c r="D1449" s="520">
        <v>-9</v>
      </c>
      <c r="E1449" s="837"/>
      <c r="F1449" s="876"/>
      <c r="G1449" s="838">
        <v>1806.9099999999996</v>
      </c>
      <c r="H1449" s="839">
        <v>1806.9099999999996</v>
      </c>
      <c r="I1449" s="1304"/>
      <c r="J1449" s="746"/>
      <c r="K1449" s="746"/>
    </row>
    <row r="1450" spans="1:11" ht="14.1" x14ac:dyDescent="0.45">
      <c r="A1450" s="1307"/>
      <c r="B1450" s="517"/>
      <c r="C1450" s="836">
        <v>2006</v>
      </c>
      <c r="D1450" s="520">
        <v>-8</v>
      </c>
      <c r="E1450" s="837"/>
      <c r="F1450" s="876"/>
      <c r="G1450" s="838">
        <v>1878.7615149999997</v>
      </c>
      <c r="H1450" s="839">
        <v>1878.7615149999997</v>
      </c>
      <c r="I1450" s="1305"/>
      <c r="J1450" s="746"/>
      <c r="K1450" s="746"/>
    </row>
    <row r="1451" spans="1:11" ht="14.1" x14ac:dyDescent="0.45">
      <c r="A1451" s="1308"/>
      <c r="B1451" s="517"/>
      <c r="C1451" s="836">
        <v>2007</v>
      </c>
      <c r="D1451" s="520">
        <v>-7</v>
      </c>
      <c r="E1451" s="837"/>
      <c r="F1451" s="876"/>
      <c r="G1451" s="840">
        <v>1948.9707599999997</v>
      </c>
      <c r="H1451" s="841">
        <v>1948.9707599999997</v>
      </c>
      <c r="I1451" s="789" t="s">
        <v>272</v>
      </c>
      <c r="J1451" s="746"/>
      <c r="K1451" s="746"/>
    </row>
    <row r="1452" spans="1:11" ht="14.1" x14ac:dyDescent="0.45">
      <c r="A1452" s="517"/>
      <c r="B1452" s="517"/>
      <c r="C1452" s="836">
        <v>2008</v>
      </c>
      <c r="D1452" s="520">
        <v>-6</v>
      </c>
      <c r="E1452" s="837"/>
      <c r="F1452" s="876"/>
      <c r="G1452" s="840">
        <v>2017.5377349999999</v>
      </c>
      <c r="H1452" s="841">
        <v>2017.5377349999999</v>
      </c>
      <c r="I1452" s="746"/>
      <c r="J1452" s="746"/>
      <c r="K1452" s="746"/>
    </row>
    <row r="1453" spans="1:11" ht="15" x14ac:dyDescent="0.5">
      <c r="A1453" s="521" t="s">
        <v>273</v>
      </c>
      <c r="B1453" s="517"/>
      <c r="C1453" s="836">
        <v>2009</v>
      </c>
      <c r="D1453" s="520">
        <v>-5</v>
      </c>
      <c r="E1453" s="837"/>
      <c r="F1453" s="876"/>
      <c r="G1453" s="840">
        <v>2084.4624399999998</v>
      </c>
      <c r="H1453" s="841">
        <v>2084.4624399999998</v>
      </c>
      <c r="I1453" s="746"/>
      <c r="J1453" s="746"/>
      <c r="K1453" s="746"/>
    </row>
    <row r="1454" spans="1:11" ht="15" x14ac:dyDescent="0.45">
      <c r="A1454" s="842">
        <v>2019</v>
      </c>
      <c r="B1454" s="514"/>
      <c r="C1454" s="836">
        <v>2010</v>
      </c>
      <c r="D1454" s="520">
        <v>-4</v>
      </c>
      <c r="E1454" s="837">
        <v>1806.91</v>
      </c>
      <c r="F1454" s="876">
        <v>1806.91</v>
      </c>
      <c r="G1454" s="840">
        <v>2149.7448749999999</v>
      </c>
      <c r="H1454" s="841">
        <v>2149.7448749999999</v>
      </c>
      <c r="I1454" s="746"/>
      <c r="J1454" s="746"/>
      <c r="K1454" s="746"/>
    </row>
    <row r="1455" spans="1:11" ht="14.1" x14ac:dyDescent="0.45">
      <c r="A1455" s="746"/>
      <c r="B1455" s="514"/>
      <c r="C1455" s="836">
        <v>2011</v>
      </c>
      <c r="D1455" s="520">
        <v>-3</v>
      </c>
      <c r="E1455" s="837"/>
      <c r="F1455" s="876"/>
      <c r="G1455" s="840">
        <v>2213.3850399999997</v>
      </c>
      <c r="H1455" s="841">
        <v>2213.3850399999997</v>
      </c>
      <c r="I1455" s="746"/>
      <c r="J1455" s="746"/>
      <c r="K1455" s="746"/>
    </row>
    <row r="1456" spans="1:11" ht="15" x14ac:dyDescent="0.5">
      <c r="A1456" s="521" t="s">
        <v>274</v>
      </c>
      <c r="B1456" s="514"/>
      <c r="C1456" s="836">
        <v>2012</v>
      </c>
      <c r="D1456" s="520">
        <v>-2</v>
      </c>
      <c r="E1456" s="837"/>
      <c r="F1456" s="876"/>
      <c r="G1456" s="840">
        <v>2275.3829349999996</v>
      </c>
      <c r="H1456" s="841">
        <v>2275.3829349999996</v>
      </c>
      <c r="I1456" s="746"/>
      <c r="J1456" s="746"/>
      <c r="K1456" s="746"/>
    </row>
    <row r="1457" spans="1:11" ht="15" x14ac:dyDescent="0.45">
      <c r="A1457" s="842" t="s">
        <v>1008</v>
      </c>
      <c r="B1457" s="514"/>
      <c r="C1457" s="836">
        <v>2013</v>
      </c>
      <c r="D1457" s="520">
        <v>-1</v>
      </c>
      <c r="E1457" s="837"/>
      <c r="F1457" s="876"/>
      <c r="G1457" s="840">
        <v>2335.7385599999998</v>
      </c>
      <c r="H1457" s="841">
        <v>2335.7385599999998</v>
      </c>
      <c r="I1457" s="746"/>
      <c r="J1457" s="746"/>
      <c r="K1457" s="746"/>
    </row>
    <row r="1458" spans="1:11" ht="15" x14ac:dyDescent="0.5">
      <c r="A1458" s="790"/>
      <c r="B1458" s="522"/>
      <c r="C1458" s="836">
        <v>2014</v>
      </c>
      <c r="D1458" s="520">
        <v>0</v>
      </c>
      <c r="E1458" s="837"/>
      <c r="F1458" s="876"/>
      <c r="G1458" s="840">
        <v>2394.4519149999996</v>
      </c>
      <c r="H1458" s="841">
        <v>2394.4519149999996</v>
      </c>
      <c r="I1458" s="746"/>
      <c r="J1458" s="746"/>
      <c r="K1458" s="746"/>
    </row>
    <row r="1459" spans="1:11" ht="15" x14ac:dyDescent="0.45">
      <c r="A1459" s="924" t="s">
        <v>275</v>
      </c>
      <c r="B1459" s="514"/>
      <c r="C1459" s="836">
        <v>2015</v>
      </c>
      <c r="D1459" s="520">
        <v>1</v>
      </c>
      <c r="E1459" s="837"/>
      <c r="F1459" s="876"/>
      <c r="G1459" s="840">
        <v>2451.5229999999997</v>
      </c>
      <c r="H1459" s="841">
        <v>2451.5229999999997</v>
      </c>
      <c r="I1459" s="746"/>
      <c r="J1459" s="746"/>
      <c r="K1459" s="746"/>
    </row>
    <row r="1460" spans="1:11" ht="15" x14ac:dyDescent="0.45">
      <c r="A1460" s="791"/>
      <c r="B1460" s="514"/>
      <c r="C1460" s="836">
        <v>2016</v>
      </c>
      <c r="D1460" s="520">
        <v>2</v>
      </c>
      <c r="E1460" s="837"/>
      <c r="F1460" s="876"/>
      <c r="G1460" s="840">
        <v>2506.9518149999999</v>
      </c>
      <c r="H1460" s="841">
        <v>2506.9518149999999</v>
      </c>
      <c r="I1460" s="746"/>
      <c r="J1460" s="746"/>
      <c r="K1460" s="746"/>
    </row>
    <row r="1461" spans="1:11" ht="15" x14ac:dyDescent="0.45">
      <c r="A1461" s="892"/>
      <c r="B1461" s="514"/>
      <c r="C1461" s="836">
        <v>2017</v>
      </c>
      <c r="D1461" s="520">
        <v>3</v>
      </c>
      <c r="E1461" s="837"/>
      <c r="F1461" s="876"/>
      <c r="G1461" s="840">
        <v>2560.7383599999998</v>
      </c>
      <c r="H1461" s="841">
        <v>2560.7383599999998</v>
      </c>
      <c r="I1461" s="746"/>
      <c r="J1461" s="746"/>
      <c r="K1461" s="746"/>
    </row>
    <row r="1462" spans="1:11" ht="15" x14ac:dyDescent="0.45">
      <c r="A1462" s="842"/>
      <c r="B1462" s="514"/>
      <c r="C1462" s="836">
        <v>2018</v>
      </c>
      <c r="D1462" s="520">
        <v>4</v>
      </c>
      <c r="E1462" s="837"/>
      <c r="F1462" s="876"/>
      <c r="G1462" s="840">
        <v>2612.8826349999999</v>
      </c>
      <c r="H1462" s="841">
        <v>2612.8826349999999</v>
      </c>
      <c r="I1462" s="746"/>
      <c r="J1462" s="746"/>
      <c r="K1462" s="746"/>
    </row>
    <row r="1463" spans="1:11" ht="14.1" x14ac:dyDescent="0.45">
      <c r="A1463" s="514"/>
      <c r="B1463" s="514"/>
      <c r="C1463" s="836">
        <v>2019</v>
      </c>
      <c r="D1463" s="520">
        <v>5</v>
      </c>
      <c r="E1463" s="837"/>
      <c r="F1463" s="876"/>
      <c r="G1463" s="840">
        <v>2663.3846399999998</v>
      </c>
      <c r="H1463" s="841">
        <v>2663.3846399999998</v>
      </c>
      <c r="I1463" s="746"/>
      <c r="J1463" s="746"/>
      <c r="K1463" s="746"/>
    </row>
    <row r="1464" spans="1:11" ht="14.1" x14ac:dyDescent="0.45">
      <c r="A1464" s="514"/>
      <c r="B1464" s="514"/>
      <c r="C1464" s="836">
        <v>2020</v>
      </c>
      <c r="D1464" s="520">
        <v>6</v>
      </c>
      <c r="E1464" s="837"/>
      <c r="F1464" s="876"/>
      <c r="G1464" s="840">
        <v>2712.2443750000002</v>
      </c>
      <c r="H1464" s="841">
        <v>2712.2443750000002</v>
      </c>
      <c r="I1464" s="746"/>
      <c r="J1464" s="746"/>
      <c r="K1464" s="746"/>
    </row>
    <row r="1465" spans="1:11" ht="14.1" x14ac:dyDescent="0.45">
      <c r="A1465" s="514"/>
      <c r="B1465" s="514"/>
      <c r="C1465" s="836">
        <v>2021</v>
      </c>
      <c r="D1465" s="520">
        <v>7</v>
      </c>
      <c r="E1465" s="837"/>
      <c r="F1465" s="876"/>
      <c r="G1465" s="840">
        <v>2759.4618399999999</v>
      </c>
      <c r="H1465" s="841">
        <v>2759.4618399999999</v>
      </c>
      <c r="I1465" s="746"/>
      <c r="J1465" s="746"/>
      <c r="K1465" s="746"/>
    </row>
    <row r="1466" spans="1:11" ht="14.1" x14ac:dyDescent="0.45">
      <c r="A1466" s="514"/>
      <c r="B1466" s="514"/>
      <c r="C1466" s="836">
        <v>2022</v>
      </c>
      <c r="D1466" s="520">
        <v>8</v>
      </c>
      <c r="E1466" s="837"/>
      <c r="F1466" s="876"/>
      <c r="G1466" s="840">
        <v>2805.0370349999998</v>
      </c>
      <c r="H1466" s="841">
        <v>2805.0370349999998</v>
      </c>
      <c r="I1466" s="746"/>
      <c r="J1466" s="746"/>
      <c r="K1466" s="746"/>
    </row>
    <row r="1467" spans="1:11" ht="14.1" x14ac:dyDescent="0.45">
      <c r="A1467" s="514"/>
      <c r="B1467" s="514"/>
      <c r="C1467" s="836">
        <v>2023</v>
      </c>
      <c r="D1467" s="520">
        <v>9</v>
      </c>
      <c r="E1467" s="837"/>
      <c r="F1467" s="876"/>
      <c r="G1467" s="840">
        <v>2848.9699599999999</v>
      </c>
      <c r="H1467" s="841">
        <v>2848.9699599999999</v>
      </c>
      <c r="I1467" s="746"/>
      <c r="J1467" s="746"/>
      <c r="K1467" s="746"/>
    </row>
    <row r="1468" spans="1:11" ht="14.1" x14ac:dyDescent="0.45">
      <c r="A1468" s="514"/>
      <c r="B1468" s="514"/>
      <c r="C1468" s="836">
        <v>2024</v>
      </c>
      <c r="D1468" s="520">
        <v>10</v>
      </c>
      <c r="E1468" s="837"/>
      <c r="F1468" s="876"/>
      <c r="G1468" s="840">
        <v>2891.2606150000001</v>
      </c>
      <c r="H1468" s="841">
        <v>2891.2606150000001</v>
      </c>
      <c r="I1468" s="746"/>
      <c r="J1468" s="746"/>
      <c r="K1468" s="746"/>
    </row>
    <row r="1469" spans="1:11" ht="14.1" x14ac:dyDescent="0.45">
      <c r="A1469" s="514"/>
      <c r="B1469" s="514"/>
      <c r="C1469" s="836">
        <v>2025</v>
      </c>
      <c r="D1469" s="520">
        <v>11</v>
      </c>
      <c r="E1469" s="837"/>
      <c r="F1469" s="876"/>
      <c r="G1469" s="840">
        <v>2931.9089999999997</v>
      </c>
      <c r="H1469" s="841">
        <v>2931.9089999999997</v>
      </c>
      <c r="I1469" s="746"/>
      <c r="J1469" s="746"/>
      <c r="K1469" s="746"/>
    </row>
    <row r="1470" spans="1:11" ht="14.1" x14ac:dyDescent="0.45">
      <c r="A1470" s="514"/>
      <c r="B1470" s="514"/>
      <c r="C1470" s="836">
        <v>2026</v>
      </c>
      <c r="D1470" s="520">
        <v>12</v>
      </c>
      <c r="E1470" s="837"/>
      <c r="F1470" s="876"/>
      <c r="G1470" s="840">
        <v>2970.9151149999998</v>
      </c>
      <c r="H1470" s="841">
        <v>2970.9151149999998</v>
      </c>
      <c r="I1470" s="746"/>
      <c r="J1470" s="746"/>
      <c r="K1470" s="746"/>
    </row>
    <row r="1471" spans="1:11" ht="14.1" x14ac:dyDescent="0.45">
      <c r="A1471" s="514"/>
      <c r="B1471" s="514"/>
      <c r="C1471" s="836">
        <v>2027</v>
      </c>
      <c r="D1471" s="520">
        <v>13</v>
      </c>
      <c r="E1471" s="837"/>
      <c r="F1471" s="876"/>
      <c r="G1471" s="840">
        <v>3008.2789599999996</v>
      </c>
      <c r="H1471" s="841">
        <v>3008.2789599999996</v>
      </c>
      <c r="I1471" s="746"/>
      <c r="J1471" s="746"/>
      <c r="K1471" s="746"/>
    </row>
    <row r="1472" spans="1:11" ht="14.1" x14ac:dyDescent="0.45">
      <c r="A1472" s="522"/>
      <c r="B1472" s="522"/>
      <c r="C1472" s="836">
        <v>2028</v>
      </c>
      <c r="D1472" s="520">
        <v>14</v>
      </c>
      <c r="E1472" s="837"/>
      <c r="F1472" s="876"/>
      <c r="G1472" s="840">
        <v>3044.0005350000001</v>
      </c>
      <c r="H1472" s="841">
        <v>3044.0005350000001</v>
      </c>
      <c r="I1472" s="746"/>
      <c r="J1472" s="746"/>
      <c r="K1472" s="746"/>
    </row>
    <row r="1473" spans="1:11" ht="14.1" x14ac:dyDescent="0.45">
      <c r="A1473" s="522"/>
      <c r="B1473" s="522"/>
      <c r="C1473" s="836">
        <v>2029</v>
      </c>
      <c r="D1473" s="520">
        <v>15</v>
      </c>
      <c r="E1473" s="837"/>
      <c r="F1473" s="876"/>
      <c r="G1473" s="840">
        <v>3078.0798399999999</v>
      </c>
      <c r="H1473" s="841">
        <v>3078.0798399999999</v>
      </c>
      <c r="I1473" s="746"/>
      <c r="J1473" s="746"/>
      <c r="K1473" s="746"/>
    </row>
    <row r="1474" spans="1:11" ht="14.1" x14ac:dyDescent="0.45">
      <c r="A1474" s="522"/>
      <c r="B1474" s="522"/>
      <c r="C1474" s="836">
        <v>2030</v>
      </c>
      <c r="D1474" s="520">
        <v>16</v>
      </c>
      <c r="E1474" s="837"/>
      <c r="F1474" s="876"/>
      <c r="G1474" s="840">
        <v>3110.5168750000003</v>
      </c>
      <c r="H1474" s="841">
        <v>3110.5168750000003</v>
      </c>
      <c r="I1474" s="746"/>
      <c r="J1474" s="746"/>
      <c r="K1474" s="746"/>
    </row>
    <row r="1475" spans="1:11" ht="14.1" x14ac:dyDescent="0.45">
      <c r="A1475" s="522"/>
      <c r="B1475" s="522"/>
      <c r="C1475" s="836">
        <v>2031</v>
      </c>
      <c r="D1475" s="520">
        <v>17</v>
      </c>
      <c r="E1475" s="837"/>
      <c r="F1475" s="876"/>
      <c r="G1475" s="840">
        <v>3141.3116399999999</v>
      </c>
      <c r="H1475" s="841">
        <v>3141.3116399999999</v>
      </c>
      <c r="I1475" s="746"/>
      <c r="J1475" s="746"/>
      <c r="K1475" s="746"/>
    </row>
    <row r="1476" spans="1:11" ht="14.1" x14ac:dyDescent="0.45">
      <c r="A1476" s="522"/>
      <c r="B1476" s="522"/>
      <c r="C1476" s="836">
        <v>2032</v>
      </c>
      <c r="D1476" s="520">
        <v>18</v>
      </c>
      <c r="E1476" s="837"/>
      <c r="F1476" s="876"/>
      <c r="G1476" s="840">
        <v>3170.4641350000002</v>
      </c>
      <c r="H1476" s="841">
        <v>3170.4641350000002</v>
      </c>
      <c r="I1476" s="746"/>
      <c r="J1476" s="746"/>
      <c r="K1476" s="746"/>
    </row>
    <row r="1477" spans="1:11" ht="14.1" x14ac:dyDescent="0.45">
      <c r="A1477" s="522"/>
      <c r="B1477" s="522"/>
      <c r="C1477" s="836">
        <v>2033</v>
      </c>
      <c r="D1477" s="520">
        <v>19</v>
      </c>
      <c r="E1477" s="837"/>
      <c r="F1477" s="876"/>
      <c r="G1477" s="840">
        <v>3197.9743600000002</v>
      </c>
      <c r="H1477" s="841">
        <v>3197.9743600000002</v>
      </c>
      <c r="I1477" s="746"/>
      <c r="J1477" s="746"/>
      <c r="K1477" s="746"/>
    </row>
    <row r="1478" spans="1:11" ht="14.1" x14ac:dyDescent="0.45">
      <c r="A1478" s="522"/>
      <c r="B1478" s="522"/>
      <c r="C1478" s="836">
        <v>2034</v>
      </c>
      <c r="D1478" s="520">
        <v>20</v>
      </c>
      <c r="E1478" s="837"/>
      <c r="F1478" s="876"/>
      <c r="G1478" s="840">
        <v>3223.8423149999999</v>
      </c>
      <c r="H1478" s="841">
        <v>3223.8423149999999</v>
      </c>
      <c r="I1478" s="746"/>
      <c r="J1478" s="746"/>
      <c r="K1478" s="746"/>
    </row>
    <row r="1479" spans="1:11" ht="14.1" x14ac:dyDescent="0.45">
      <c r="A1479" s="522"/>
      <c r="B1479" s="522"/>
      <c r="C1479" s="836">
        <v>2035</v>
      </c>
      <c r="D1479" s="520">
        <v>21</v>
      </c>
      <c r="E1479" s="837"/>
      <c r="F1479" s="876"/>
      <c r="G1479" s="840">
        <v>3248.0679999999998</v>
      </c>
      <c r="H1479" s="841">
        <v>3248.0679999999998</v>
      </c>
      <c r="I1479" s="746"/>
      <c r="J1479" s="746"/>
      <c r="K1479" s="746"/>
    </row>
    <row r="1480" spans="1:11" ht="14.1" x14ac:dyDescent="0.45">
      <c r="A1480" s="522"/>
      <c r="B1480" s="522"/>
      <c r="C1480" s="836">
        <v>2036</v>
      </c>
      <c r="D1480" s="520">
        <v>22</v>
      </c>
      <c r="E1480" s="837"/>
      <c r="F1480" s="876"/>
      <c r="G1480" s="840">
        <v>3270.6514149999998</v>
      </c>
      <c r="H1480" s="841">
        <v>3270.6514149999998</v>
      </c>
      <c r="I1480" s="746"/>
      <c r="J1480" s="746"/>
      <c r="K1480" s="746"/>
    </row>
    <row r="1481" spans="1:11" ht="14.1" x14ac:dyDescent="0.45">
      <c r="A1481" s="522"/>
      <c r="B1481" s="522"/>
      <c r="C1481" s="836">
        <v>2037</v>
      </c>
      <c r="D1481" s="520">
        <v>23</v>
      </c>
      <c r="E1481" s="837"/>
      <c r="F1481" s="876"/>
      <c r="G1481" s="840">
        <v>3291.59256</v>
      </c>
      <c r="H1481" s="841">
        <v>3291.59256</v>
      </c>
      <c r="I1481" s="746"/>
      <c r="J1481" s="746"/>
      <c r="K1481" s="746"/>
    </row>
    <row r="1482" spans="1:11" ht="14.1" x14ac:dyDescent="0.45">
      <c r="A1482" s="522"/>
      <c r="B1482" s="522"/>
      <c r="C1482" s="836">
        <v>2038</v>
      </c>
      <c r="D1482" s="520">
        <v>24</v>
      </c>
      <c r="E1482" s="837"/>
      <c r="F1482" s="876"/>
      <c r="G1482" s="840">
        <v>3310.891435</v>
      </c>
      <c r="H1482" s="841">
        <v>3310.891435</v>
      </c>
      <c r="I1482" s="746"/>
      <c r="J1482" s="746"/>
      <c r="K1482" s="746"/>
    </row>
    <row r="1483" spans="1:11" ht="14.1" x14ac:dyDescent="0.45">
      <c r="A1483" s="522"/>
      <c r="B1483" s="522"/>
      <c r="C1483" s="836">
        <v>2039</v>
      </c>
      <c r="D1483" s="520">
        <v>25</v>
      </c>
      <c r="E1483" s="837"/>
      <c r="F1483" s="876"/>
      <c r="G1483" s="840">
        <v>3328.5480399999997</v>
      </c>
      <c r="H1483" s="841">
        <v>3328.5480399999997</v>
      </c>
      <c r="I1483" s="746"/>
      <c r="J1483" s="746"/>
      <c r="K1483" s="746"/>
    </row>
    <row r="1484" spans="1:11" ht="14.1" x14ac:dyDescent="0.45">
      <c r="A1484" s="522"/>
      <c r="B1484" s="522"/>
      <c r="C1484" s="836">
        <v>2040</v>
      </c>
      <c r="D1484" s="520">
        <v>26</v>
      </c>
      <c r="E1484" s="837"/>
      <c r="F1484" s="876"/>
      <c r="G1484" s="840">
        <v>3344.5623749999995</v>
      </c>
      <c r="H1484" s="841">
        <v>3344.5623749999995</v>
      </c>
      <c r="I1484" s="746"/>
      <c r="J1484" s="746"/>
      <c r="K1484" s="746"/>
    </row>
    <row r="1485" spans="1:11" ht="14.1" x14ac:dyDescent="0.45">
      <c r="A1485" s="522"/>
      <c r="B1485" s="522"/>
      <c r="C1485" s="836">
        <v>2041</v>
      </c>
      <c r="D1485" s="520">
        <v>27</v>
      </c>
      <c r="E1485" s="837"/>
      <c r="F1485" s="876"/>
      <c r="G1485" s="840">
        <v>3358.93444</v>
      </c>
      <c r="H1485" s="841">
        <v>3358.93444</v>
      </c>
      <c r="I1485" s="746"/>
      <c r="J1485" s="746"/>
      <c r="K1485" s="746"/>
    </row>
    <row r="1486" spans="1:11" ht="14.1" x14ac:dyDescent="0.45">
      <c r="A1486" s="523"/>
      <c r="B1486" s="524"/>
      <c r="C1486" s="836">
        <v>2042</v>
      </c>
      <c r="D1486" s="520">
        <v>28</v>
      </c>
      <c r="E1486" s="837"/>
      <c r="F1486" s="876"/>
      <c r="G1486" s="840">
        <v>3371.6642350000002</v>
      </c>
      <c r="H1486" s="841">
        <v>3371.6642350000002</v>
      </c>
      <c r="I1486" s="746"/>
      <c r="J1486" s="746"/>
      <c r="K1486" s="746"/>
    </row>
    <row r="1487" spans="1:11" ht="14.1" x14ac:dyDescent="0.45">
      <c r="A1487" s="746"/>
      <c r="B1487" s="524"/>
      <c r="C1487" s="836">
        <v>2043</v>
      </c>
      <c r="D1487" s="520">
        <v>29</v>
      </c>
      <c r="E1487" s="837"/>
      <c r="F1487" s="876"/>
      <c r="G1487" s="840">
        <v>3382.7517599999996</v>
      </c>
      <c r="H1487" s="841">
        <v>3382.7517599999996</v>
      </c>
      <c r="I1487" s="746"/>
      <c r="J1487" s="746"/>
      <c r="K1487" s="746"/>
    </row>
    <row r="1488" spans="1:11" ht="14.1" x14ac:dyDescent="0.4">
      <c r="A1488" s="746"/>
      <c r="B1488" s="746"/>
      <c r="C1488" s="836">
        <v>2044</v>
      </c>
      <c r="D1488" s="520">
        <v>30</v>
      </c>
      <c r="E1488" s="837"/>
      <c r="F1488" s="876"/>
      <c r="G1488" s="840">
        <v>3392.1970149999997</v>
      </c>
      <c r="H1488" s="841">
        <v>3392.1970149999997</v>
      </c>
      <c r="I1488" s="746"/>
      <c r="J1488" s="746"/>
      <c r="K1488" s="746"/>
    </row>
    <row r="1489" spans="1:11" ht="14.1" x14ac:dyDescent="0.4">
      <c r="A1489" s="746"/>
      <c r="B1489" s="746"/>
      <c r="C1489" s="836">
        <v>2045</v>
      </c>
      <c r="D1489" s="520">
        <v>31</v>
      </c>
      <c r="E1489" s="837"/>
      <c r="F1489" s="876"/>
      <c r="G1489" s="840">
        <v>3399.9999999999995</v>
      </c>
      <c r="H1489" s="841">
        <v>3399.9999999999995</v>
      </c>
      <c r="I1489" s="746"/>
      <c r="J1489" s="746"/>
      <c r="K1489" s="746"/>
    </row>
    <row r="1490" spans="1:11" ht="14.1" x14ac:dyDescent="0.4">
      <c r="C1490" s="836">
        <v>2046</v>
      </c>
      <c r="D1490" s="520">
        <v>32</v>
      </c>
      <c r="E1490" s="837"/>
      <c r="F1490" s="876"/>
      <c r="G1490" s="840">
        <v>3406.160715</v>
      </c>
      <c r="H1490" s="841">
        <v>3406.160715</v>
      </c>
    </row>
    <row r="1491" spans="1:11" ht="14.1" x14ac:dyDescent="0.4">
      <c r="C1491" s="836">
        <v>2047</v>
      </c>
      <c r="D1491" s="520">
        <v>33</v>
      </c>
      <c r="E1491" s="837"/>
      <c r="F1491" s="876"/>
      <c r="G1491" s="840">
        <v>3410.6791599999997</v>
      </c>
      <c r="H1491" s="841">
        <v>3410.6791599999997</v>
      </c>
    </row>
    <row r="1492" spans="1:11" ht="14.1" x14ac:dyDescent="0.4">
      <c r="C1492" s="836">
        <v>2048</v>
      </c>
      <c r="D1492" s="520">
        <v>34</v>
      </c>
      <c r="E1492" s="837"/>
      <c r="F1492" s="876"/>
      <c r="G1492" s="840">
        <v>3413.5553349999996</v>
      </c>
      <c r="H1492" s="841">
        <v>3413.5553349999996</v>
      </c>
    </row>
    <row r="1493" spans="1:11" ht="14.1" x14ac:dyDescent="0.4">
      <c r="C1493" s="836">
        <v>2049</v>
      </c>
      <c r="D1493" s="520">
        <v>35</v>
      </c>
      <c r="E1493" s="837"/>
      <c r="F1493" s="876"/>
      <c r="G1493" s="840">
        <v>3414.7892399999992</v>
      </c>
      <c r="H1493" s="841">
        <v>3414.7892399999992</v>
      </c>
    </row>
    <row r="1494" spans="1:11" ht="14.1" x14ac:dyDescent="0.4">
      <c r="C1494" s="836">
        <v>2050</v>
      </c>
      <c r="D1494" s="520">
        <v>36</v>
      </c>
      <c r="E1494" s="837">
        <v>3400</v>
      </c>
      <c r="F1494" s="876">
        <v>3400</v>
      </c>
      <c r="G1494" s="840">
        <v>3414.3808749999998</v>
      </c>
      <c r="H1494" s="841">
        <v>3414.3808749999998</v>
      </c>
    </row>
    <row r="1495" spans="1:11" ht="14.1" x14ac:dyDescent="0.4">
      <c r="C1495" s="836">
        <v>2051</v>
      </c>
      <c r="D1495" s="520">
        <v>37</v>
      </c>
      <c r="E1495" s="837"/>
      <c r="F1495" s="876"/>
      <c r="G1495" s="840">
        <v>3412.3302399999998</v>
      </c>
      <c r="H1495" s="841">
        <v>3412.3302399999998</v>
      </c>
    </row>
    <row r="1496" spans="1:11" ht="14.1" x14ac:dyDescent="0.4">
      <c r="C1496" s="836">
        <v>2052</v>
      </c>
      <c r="D1496" s="520">
        <v>38</v>
      </c>
      <c r="E1496" s="837"/>
      <c r="F1496" s="876"/>
      <c r="G1496" s="840">
        <v>3408.6373349999994</v>
      </c>
      <c r="H1496" s="841">
        <v>3408.6373349999994</v>
      </c>
    </row>
    <row r="1497" spans="1:11" ht="14.1" x14ac:dyDescent="0.4">
      <c r="C1497" s="836">
        <v>2053</v>
      </c>
      <c r="D1497" s="520">
        <v>39</v>
      </c>
      <c r="E1497" s="837"/>
      <c r="F1497" s="876"/>
      <c r="G1497" s="840">
        <v>3403.3021599999993</v>
      </c>
      <c r="H1497" s="841">
        <v>3403.3021599999993</v>
      </c>
    </row>
    <row r="1498" spans="1:11" ht="14.1" x14ac:dyDescent="0.4">
      <c r="C1498" s="836">
        <v>2054</v>
      </c>
      <c r="D1498" s="520">
        <v>40</v>
      </c>
      <c r="E1498" s="837"/>
      <c r="F1498" s="876"/>
      <c r="G1498" s="840">
        <v>3396.3247149999993</v>
      </c>
      <c r="H1498" s="841">
        <v>3396.3247149999993</v>
      </c>
    </row>
    <row r="1499" spans="1:11" ht="14.1" x14ac:dyDescent="0.4">
      <c r="C1499" s="843">
        <v>2055</v>
      </c>
      <c r="D1499" s="520">
        <v>41</v>
      </c>
      <c r="E1499" s="837"/>
      <c r="F1499" s="876"/>
      <c r="G1499" s="840">
        <v>3387.7049999999995</v>
      </c>
      <c r="H1499" s="841">
        <v>3387.7049999999995</v>
      </c>
    </row>
    <row r="1502" spans="1:11" ht="15" x14ac:dyDescent="0.5">
      <c r="A1502" s="621" t="str">
        <f ca="1">HYPERLINK("#"&amp;"'"&amp;A$1&amp;"'!a1","Back to top")</f>
        <v>Back to top</v>
      </c>
    </row>
    <row r="1505" spans="1:11" ht="15" x14ac:dyDescent="0.5">
      <c r="A1505" s="508">
        <v>21</v>
      </c>
      <c r="B1505" s="509" t="s">
        <v>1021</v>
      </c>
      <c r="C1505" s="787"/>
      <c r="D1505" s="787"/>
      <c r="E1505" s="787"/>
      <c r="F1505" s="787"/>
      <c r="G1505" s="787"/>
      <c r="H1505" s="787"/>
      <c r="I1505" s="787"/>
      <c r="J1505" s="787"/>
      <c r="K1505" s="787"/>
    </row>
    <row r="1506" spans="1:11" ht="15" x14ac:dyDescent="0.5">
      <c r="A1506" s="510" t="s">
        <v>260</v>
      </c>
      <c r="B1506" s="511"/>
      <c r="C1506" s="511"/>
      <c r="D1506" s="223"/>
      <c r="E1506" s="512"/>
      <c r="F1506" s="1309"/>
      <c r="G1506" s="512"/>
      <c r="H1506" s="513"/>
      <c r="I1506" s="746"/>
      <c r="J1506" s="746"/>
      <c r="K1506" s="746"/>
    </row>
    <row r="1507" spans="1:11" ht="15.3" thickBot="1" x14ac:dyDescent="0.5">
      <c r="A1507" s="872" t="s">
        <v>603</v>
      </c>
      <c r="B1507" s="514"/>
      <c r="C1507" s="514"/>
      <c r="D1507" s="515"/>
      <c r="E1507" s="516" t="s">
        <v>222</v>
      </c>
      <c r="F1507" s="1310"/>
      <c r="G1507" s="873" t="e">
        <v>#DIV/0!</v>
      </c>
      <c r="H1507" s="513"/>
      <c r="I1507" s="746"/>
      <c r="J1507" s="746"/>
      <c r="K1507" s="746"/>
    </row>
    <row r="1508" spans="1:11" ht="37.200000000000003" thickBot="1" x14ac:dyDescent="0.5">
      <c r="A1508" s="517"/>
      <c r="B1508" s="517"/>
      <c r="C1508" s="517"/>
      <c r="D1508" s="518"/>
      <c r="E1508" s="873" t="s">
        <v>724</v>
      </c>
      <c r="F1508" s="873" t="s">
        <v>664</v>
      </c>
      <c r="G1508" s="874" t="s">
        <v>723</v>
      </c>
      <c r="H1508" s="873" t="s">
        <v>667</v>
      </c>
      <c r="I1508" s="873" t="s">
        <v>1018</v>
      </c>
      <c r="J1508" s="1297" t="s">
        <v>668</v>
      </c>
      <c r="K1508" s="1298"/>
    </row>
    <row r="1509" spans="1:11" ht="15" x14ac:dyDescent="0.5">
      <c r="A1509" s="510" t="s">
        <v>268</v>
      </c>
      <c r="B1509" s="517"/>
      <c r="C1509" s="788">
        <v>2000</v>
      </c>
      <c r="D1509" s="519">
        <v>-14</v>
      </c>
      <c r="E1509" s="875">
        <v>409.4</v>
      </c>
      <c r="F1509" s="876">
        <v>409.4</v>
      </c>
      <c r="G1509" s="877">
        <v>504.81500000000005</v>
      </c>
      <c r="H1509" s="878">
        <v>504.81500000000005</v>
      </c>
      <c r="I1509" s="1303" t="s">
        <v>269</v>
      </c>
      <c r="J1509" s="1299"/>
      <c r="K1509" s="1300"/>
    </row>
    <row r="1510" spans="1:11" ht="15" x14ac:dyDescent="0.45">
      <c r="A1510" s="872" t="s">
        <v>36</v>
      </c>
      <c r="B1510" s="517"/>
      <c r="C1510" s="836">
        <v>2001</v>
      </c>
      <c r="D1510" s="520">
        <v>-13</v>
      </c>
      <c r="E1510" s="837"/>
      <c r="F1510" s="876"/>
      <c r="G1510" s="838">
        <v>522.94640000000004</v>
      </c>
      <c r="H1510" s="839">
        <v>522.94640000000004</v>
      </c>
      <c r="I1510" s="1304"/>
      <c r="J1510" s="1299"/>
      <c r="K1510" s="1300"/>
    </row>
    <row r="1511" spans="1:11" ht="14.05" customHeight="1" x14ac:dyDescent="0.45">
      <c r="A1511" s="517"/>
      <c r="B1511" s="517"/>
      <c r="C1511" s="836">
        <v>2002</v>
      </c>
      <c r="D1511" s="520">
        <v>-12</v>
      </c>
      <c r="E1511" s="837"/>
      <c r="F1511" s="876"/>
      <c r="G1511" s="838">
        <v>540.76060000000007</v>
      </c>
      <c r="H1511" s="839">
        <v>540.76060000000007</v>
      </c>
      <c r="I1511" s="1304"/>
      <c r="J1511" s="1299"/>
      <c r="K1511" s="1300"/>
    </row>
    <row r="1512" spans="1:11" ht="15" x14ac:dyDescent="0.45">
      <c r="A1512" s="676" t="s">
        <v>270</v>
      </c>
      <c r="B1512" s="517"/>
      <c r="C1512" s="836">
        <v>2003</v>
      </c>
      <c r="D1512" s="520">
        <v>-11</v>
      </c>
      <c r="E1512" s="837"/>
      <c r="F1512" s="876"/>
      <c r="G1512" s="838">
        <v>558.25760000000014</v>
      </c>
      <c r="H1512" s="839">
        <v>558.25760000000014</v>
      </c>
      <c r="I1512" s="1304"/>
      <c r="J1512" s="1301"/>
      <c r="K1512" s="1302"/>
    </row>
    <row r="1513" spans="1:11" ht="14.1" x14ac:dyDescent="0.45">
      <c r="A1513" s="1306" t="s">
        <v>1019</v>
      </c>
      <c r="B1513" s="517"/>
      <c r="C1513" s="836">
        <v>2004</v>
      </c>
      <c r="D1513" s="520">
        <v>-10</v>
      </c>
      <c r="E1513" s="837"/>
      <c r="F1513" s="876"/>
      <c r="G1513" s="838">
        <v>575.43740000000014</v>
      </c>
      <c r="H1513" s="839">
        <v>575.43740000000014</v>
      </c>
      <c r="I1513" s="1304"/>
      <c r="J1513" s="746"/>
      <c r="K1513" s="746"/>
    </row>
    <row r="1514" spans="1:11" ht="14.1" x14ac:dyDescent="0.45">
      <c r="A1514" s="1307"/>
      <c r="B1514" s="517"/>
      <c r="C1514" s="836">
        <v>2005</v>
      </c>
      <c r="D1514" s="520">
        <v>-9</v>
      </c>
      <c r="E1514" s="837"/>
      <c r="F1514" s="876"/>
      <c r="G1514" s="838">
        <v>592.30000000000018</v>
      </c>
      <c r="H1514" s="839">
        <v>592.30000000000018</v>
      </c>
      <c r="I1514" s="1304"/>
      <c r="J1514" s="746"/>
      <c r="K1514" s="746"/>
    </row>
    <row r="1515" spans="1:11" ht="14.1" x14ac:dyDescent="0.45">
      <c r="A1515" s="1307"/>
      <c r="B1515" s="517"/>
      <c r="C1515" s="836">
        <v>2006</v>
      </c>
      <c r="D1515" s="520">
        <v>-8</v>
      </c>
      <c r="E1515" s="837"/>
      <c r="F1515" s="876"/>
      <c r="G1515" s="838">
        <v>608.84540000000015</v>
      </c>
      <c r="H1515" s="839">
        <v>608.84540000000015</v>
      </c>
      <c r="I1515" s="1305"/>
      <c r="J1515" s="746"/>
      <c r="K1515" s="746"/>
    </row>
    <row r="1516" spans="1:11" ht="14.1" x14ac:dyDescent="0.45">
      <c r="A1516" s="1308"/>
      <c r="B1516" s="517"/>
      <c r="C1516" s="836">
        <v>2007</v>
      </c>
      <c r="D1516" s="520">
        <v>-7</v>
      </c>
      <c r="E1516" s="837"/>
      <c r="F1516" s="876"/>
      <c r="G1516" s="840">
        <v>625.07360000000017</v>
      </c>
      <c r="H1516" s="841">
        <v>625.07360000000017</v>
      </c>
      <c r="I1516" s="789" t="s">
        <v>272</v>
      </c>
      <c r="J1516" s="746"/>
      <c r="K1516" s="746"/>
    </row>
    <row r="1517" spans="1:11" ht="14.1" x14ac:dyDescent="0.45">
      <c r="A1517" s="517"/>
      <c r="B1517" s="517"/>
      <c r="C1517" s="836">
        <v>2008</v>
      </c>
      <c r="D1517" s="520">
        <v>-6</v>
      </c>
      <c r="E1517" s="837"/>
      <c r="F1517" s="876"/>
      <c r="G1517" s="840">
        <v>640.98460000000023</v>
      </c>
      <c r="H1517" s="841">
        <v>640.98460000000023</v>
      </c>
      <c r="I1517" s="746"/>
      <c r="J1517" s="746"/>
      <c r="K1517" s="746"/>
    </row>
    <row r="1518" spans="1:11" ht="15" x14ac:dyDescent="0.5">
      <c r="A1518" s="521" t="s">
        <v>273</v>
      </c>
      <c r="B1518" s="517"/>
      <c r="C1518" s="836">
        <v>2009</v>
      </c>
      <c r="D1518" s="520">
        <v>-5</v>
      </c>
      <c r="E1518" s="837"/>
      <c r="F1518" s="876"/>
      <c r="G1518" s="840">
        <v>656.57840000000022</v>
      </c>
      <c r="H1518" s="841">
        <v>656.57840000000022</v>
      </c>
      <c r="I1518" s="746"/>
      <c r="J1518" s="746"/>
      <c r="K1518" s="746"/>
    </row>
    <row r="1519" spans="1:11" ht="15" x14ac:dyDescent="0.45">
      <c r="A1519" s="842">
        <v>2019</v>
      </c>
      <c r="B1519" s="514"/>
      <c r="C1519" s="836">
        <v>2010</v>
      </c>
      <c r="D1519" s="520">
        <v>-4</v>
      </c>
      <c r="E1519" s="837">
        <v>592.29999999999995</v>
      </c>
      <c r="F1519" s="876">
        <v>592.29999999999995</v>
      </c>
      <c r="G1519" s="840">
        <v>671.85500000000025</v>
      </c>
      <c r="H1519" s="841">
        <v>671.85500000000025</v>
      </c>
      <c r="I1519" s="746"/>
      <c r="J1519" s="746"/>
      <c r="K1519" s="746"/>
    </row>
    <row r="1520" spans="1:11" ht="14.1" x14ac:dyDescent="0.45">
      <c r="A1520" s="746"/>
      <c r="B1520" s="514"/>
      <c r="C1520" s="836">
        <v>2011</v>
      </c>
      <c r="D1520" s="520">
        <v>-3</v>
      </c>
      <c r="E1520" s="837"/>
      <c r="F1520" s="876"/>
      <c r="G1520" s="840">
        <v>686.81440000000021</v>
      </c>
      <c r="H1520" s="841">
        <v>686.81440000000021</v>
      </c>
      <c r="I1520" s="746"/>
      <c r="J1520" s="746"/>
      <c r="K1520" s="746"/>
    </row>
    <row r="1521" spans="1:11" ht="15" x14ac:dyDescent="0.5">
      <c r="A1521" s="521" t="s">
        <v>274</v>
      </c>
      <c r="B1521" s="514"/>
      <c r="C1521" s="836">
        <v>2012</v>
      </c>
      <c r="D1521" s="520">
        <v>-2</v>
      </c>
      <c r="E1521" s="837"/>
      <c r="F1521" s="876"/>
      <c r="G1521" s="840">
        <v>701.45660000000021</v>
      </c>
      <c r="H1521" s="841">
        <v>701.45660000000021</v>
      </c>
      <c r="I1521" s="746"/>
      <c r="J1521" s="746"/>
      <c r="K1521" s="746"/>
    </row>
    <row r="1522" spans="1:11" ht="15" x14ac:dyDescent="0.45">
      <c r="A1522" s="842" t="s">
        <v>724</v>
      </c>
      <c r="B1522" s="514"/>
      <c r="C1522" s="836">
        <v>2013</v>
      </c>
      <c r="D1522" s="520">
        <v>-1</v>
      </c>
      <c r="E1522" s="837"/>
      <c r="F1522" s="876"/>
      <c r="G1522" s="840">
        <v>715.78160000000025</v>
      </c>
      <c r="H1522" s="841">
        <v>715.78160000000025</v>
      </c>
      <c r="I1522" s="746"/>
      <c r="J1522" s="746"/>
      <c r="K1522" s="746"/>
    </row>
    <row r="1523" spans="1:11" ht="15" x14ac:dyDescent="0.5">
      <c r="A1523" s="790"/>
      <c r="B1523" s="522"/>
      <c r="C1523" s="836">
        <v>2014</v>
      </c>
      <c r="D1523" s="520">
        <v>0</v>
      </c>
      <c r="E1523" s="837"/>
      <c r="F1523" s="876"/>
      <c r="G1523" s="840">
        <v>729.78940000000023</v>
      </c>
      <c r="H1523" s="841">
        <v>729.78940000000023</v>
      </c>
      <c r="I1523" s="746"/>
      <c r="J1523" s="746"/>
      <c r="K1523" s="746"/>
    </row>
    <row r="1524" spans="1:11" ht="15" x14ac:dyDescent="0.45">
      <c r="A1524" s="943" t="s">
        <v>275</v>
      </c>
      <c r="B1524" s="514"/>
      <c r="C1524" s="836">
        <v>2015</v>
      </c>
      <c r="D1524" s="520">
        <v>1</v>
      </c>
      <c r="E1524" s="837"/>
      <c r="F1524" s="876"/>
      <c r="G1524" s="840">
        <v>743.48000000000025</v>
      </c>
      <c r="H1524" s="841">
        <v>743.48000000000025</v>
      </c>
      <c r="I1524" s="746"/>
      <c r="J1524" s="746"/>
      <c r="K1524" s="746"/>
    </row>
    <row r="1525" spans="1:11" ht="15" x14ac:dyDescent="0.45">
      <c r="A1525" s="791"/>
      <c r="B1525" s="514"/>
      <c r="C1525" s="836">
        <v>2016</v>
      </c>
      <c r="D1525" s="520">
        <v>2</v>
      </c>
      <c r="E1525" s="837"/>
      <c r="F1525" s="876"/>
      <c r="G1525" s="840">
        <v>756.85340000000031</v>
      </c>
      <c r="H1525" s="841">
        <v>756.85340000000031</v>
      </c>
      <c r="I1525" s="746"/>
      <c r="J1525" s="746"/>
      <c r="K1525" s="746"/>
    </row>
    <row r="1526" spans="1:11" ht="15" x14ac:dyDescent="0.45">
      <c r="A1526" s="892"/>
      <c r="B1526" s="514"/>
      <c r="C1526" s="836">
        <v>2017</v>
      </c>
      <c r="D1526" s="520">
        <v>3</v>
      </c>
      <c r="E1526" s="837"/>
      <c r="F1526" s="876"/>
      <c r="G1526" s="840">
        <v>769.9096000000003</v>
      </c>
      <c r="H1526" s="841">
        <v>769.9096000000003</v>
      </c>
      <c r="I1526" s="746"/>
      <c r="J1526" s="746"/>
      <c r="K1526" s="746"/>
    </row>
    <row r="1527" spans="1:11" ht="15" x14ac:dyDescent="0.45">
      <c r="A1527" s="842"/>
      <c r="B1527" s="514"/>
      <c r="C1527" s="836">
        <v>2018</v>
      </c>
      <c r="D1527" s="520">
        <v>4</v>
      </c>
      <c r="E1527" s="837"/>
      <c r="F1527" s="876"/>
      <c r="G1527" s="840">
        <v>782.64860000000033</v>
      </c>
      <c r="H1527" s="841">
        <v>782.64860000000033</v>
      </c>
      <c r="I1527" s="746"/>
      <c r="J1527" s="746"/>
      <c r="K1527" s="746"/>
    </row>
    <row r="1528" spans="1:11" ht="14.1" x14ac:dyDescent="0.45">
      <c r="A1528" s="514"/>
      <c r="B1528" s="514"/>
      <c r="C1528" s="836">
        <v>2019</v>
      </c>
      <c r="D1528" s="520">
        <v>5</v>
      </c>
      <c r="E1528" s="837"/>
      <c r="F1528" s="876"/>
      <c r="G1528" s="840">
        <v>795.07040000000029</v>
      </c>
      <c r="H1528" s="841">
        <v>795.07040000000029</v>
      </c>
      <c r="I1528" s="746"/>
      <c r="J1528" s="746"/>
      <c r="K1528" s="746"/>
    </row>
    <row r="1529" spans="1:11" ht="14.1" x14ac:dyDescent="0.45">
      <c r="A1529" s="514"/>
      <c r="B1529" s="514"/>
      <c r="C1529" s="836">
        <v>2020</v>
      </c>
      <c r="D1529" s="520">
        <v>6</v>
      </c>
      <c r="E1529" s="837"/>
      <c r="F1529" s="876"/>
      <c r="G1529" s="840">
        <v>807.1750000000003</v>
      </c>
      <c r="H1529" s="841">
        <v>807.1750000000003</v>
      </c>
      <c r="I1529" s="746"/>
      <c r="J1529" s="746"/>
      <c r="K1529" s="746"/>
    </row>
    <row r="1530" spans="1:11" ht="14.1" x14ac:dyDescent="0.45">
      <c r="A1530" s="514"/>
      <c r="B1530" s="514"/>
      <c r="C1530" s="836">
        <v>2021</v>
      </c>
      <c r="D1530" s="520">
        <v>7</v>
      </c>
      <c r="E1530" s="837"/>
      <c r="F1530" s="876"/>
      <c r="G1530" s="840">
        <v>818.96240000000034</v>
      </c>
      <c r="H1530" s="841">
        <v>818.96240000000034</v>
      </c>
      <c r="I1530" s="746"/>
      <c r="J1530" s="746"/>
      <c r="K1530" s="746"/>
    </row>
    <row r="1531" spans="1:11" ht="14.1" x14ac:dyDescent="0.45">
      <c r="A1531" s="514"/>
      <c r="B1531" s="514"/>
      <c r="C1531" s="836">
        <v>2022</v>
      </c>
      <c r="D1531" s="520">
        <v>8</v>
      </c>
      <c r="E1531" s="837"/>
      <c r="F1531" s="876"/>
      <c r="G1531" s="840">
        <v>830.43260000000032</v>
      </c>
      <c r="H1531" s="841">
        <v>830.43260000000032</v>
      </c>
      <c r="I1531" s="746"/>
      <c r="J1531" s="746"/>
      <c r="K1531" s="746"/>
    </row>
    <row r="1532" spans="1:11" ht="14.1" x14ac:dyDescent="0.45">
      <c r="A1532" s="514"/>
      <c r="B1532" s="514"/>
      <c r="C1532" s="836">
        <v>2023</v>
      </c>
      <c r="D1532" s="520">
        <v>9</v>
      </c>
      <c r="E1532" s="837"/>
      <c r="F1532" s="876"/>
      <c r="G1532" s="840">
        <v>841.58560000000034</v>
      </c>
      <c r="H1532" s="841">
        <v>841.58560000000034</v>
      </c>
      <c r="I1532" s="746"/>
      <c r="J1532" s="746"/>
      <c r="K1532" s="746"/>
    </row>
    <row r="1533" spans="1:11" ht="14.1" x14ac:dyDescent="0.45">
      <c r="A1533" s="514"/>
      <c r="B1533" s="514"/>
      <c r="C1533" s="836">
        <v>2024</v>
      </c>
      <c r="D1533" s="520">
        <v>10</v>
      </c>
      <c r="E1533" s="837"/>
      <c r="F1533" s="876"/>
      <c r="G1533" s="840">
        <v>852.42140000000029</v>
      </c>
      <c r="H1533" s="841">
        <v>852.42140000000029</v>
      </c>
      <c r="I1533" s="746"/>
      <c r="J1533" s="746"/>
      <c r="K1533" s="746"/>
    </row>
    <row r="1534" spans="1:11" ht="14.1" x14ac:dyDescent="0.45">
      <c r="A1534" s="514"/>
      <c r="B1534" s="514"/>
      <c r="C1534" s="836">
        <v>2025</v>
      </c>
      <c r="D1534" s="520">
        <v>11</v>
      </c>
      <c r="E1534" s="837"/>
      <c r="F1534" s="876"/>
      <c r="G1534" s="840">
        <v>862.94000000000028</v>
      </c>
      <c r="H1534" s="841">
        <v>862.94000000000028</v>
      </c>
      <c r="I1534" s="746"/>
      <c r="J1534" s="746"/>
      <c r="K1534" s="746"/>
    </row>
    <row r="1535" spans="1:11" ht="14.1" x14ac:dyDescent="0.45">
      <c r="A1535" s="514"/>
      <c r="B1535" s="514"/>
      <c r="C1535" s="836">
        <v>2026</v>
      </c>
      <c r="D1535" s="520">
        <v>12</v>
      </c>
      <c r="E1535" s="837"/>
      <c r="F1535" s="876"/>
      <c r="G1535" s="840">
        <v>873.14140000000032</v>
      </c>
      <c r="H1535" s="841">
        <v>873.14140000000032</v>
      </c>
      <c r="I1535" s="746"/>
      <c r="J1535" s="746"/>
      <c r="K1535" s="746"/>
    </row>
    <row r="1536" spans="1:11" ht="14.1" x14ac:dyDescent="0.45">
      <c r="A1536" s="514"/>
      <c r="B1536" s="514"/>
      <c r="C1536" s="836">
        <v>2027</v>
      </c>
      <c r="D1536" s="520">
        <v>13</v>
      </c>
      <c r="E1536" s="837"/>
      <c r="F1536" s="876"/>
      <c r="G1536" s="840">
        <v>883.02560000000028</v>
      </c>
      <c r="H1536" s="841">
        <v>883.02560000000028</v>
      </c>
      <c r="I1536" s="746"/>
      <c r="J1536" s="746"/>
      <c r="K1536" s="746"/>
    </row>
    <row r="1537" spans="1:11" ht="14.1" x14ac:dyDescent="0.45">
      <c r="A1537" s="522"/>
      <c r="B1537" s="522"/>
      <c r="C1537" s="836">
        <v>2028</v>
      </c>
      <c r="D1537" s="520">
        <v>14</v>
      </c>
      <c r="E1537" s="837"/>
      <c r="F1537" s="876"/>
      <c r="G1537" s="840">
        <v>892.59260000000029</v>
      </c>
      <c r="H1537" s="841">
        <v>892.59260000000029</v>
      </c>
      <c r="I1537" s="746"/>
      <c r="J1537" s="746"/>
      <c r="K1537" s="746"/>
    </row>
    <row r="1538" spans="1:11" ht="14.1" x14ac:dyDescent="0.45">
      <c r="A1538" s="522"/>
      <c r="B1538" s="522"/>
      <c r="C1538" s="836">
        <v>2029</v>
      </c>
      <c r="D1538" s="520">
        <v>15</v>
      </c>
      <c r="E1538" s="837"/>
      <c r="F1538" s="876"/>
      <c r="G1538" s="840">
        <v>901.84240000000023</v>
      </c>
      <c r="H1538" s="841">
        <v>901.84240000000023</v>
      </c>
      <c r="I1538" s="746"/>
      <c r="J1538" s="746"/>
      <c r="K1538" s="746"/>
    </row>
    <row r="1539" spans="1:11" ht="14.1" x14ac:dyDescent="0.45">
      <c r="A1539" s="522"/>
      <c r="B1539" s="522"/>
      <c r="C1539" s="836">
        <v>2030</v>
      </c>
      <c r="D1539" s="520">
        <v>16</v>
      </c>
      <c r="E1539" s="837"/>
      <c r="F1539" s="876"/>
      <c r="G1539" s="840">
        <v>910.77500000000032</v>
      </c>
      <c r="H1539" s="841">
        <v>910.77500000000032</v>
      </c>
      <c r="I1539" s="746"/>
      <c r="J1539" s="746"/>
      <c r="K1539" s="746"/>
    </row>
    <row r="1540" spans="1:11" ht="14.1" x14ac:dyDescent="0.45">
      <c r="A1540" s="522"/>
      <c r="B1540" s="522"/>
      <c r="C1540" s="836">
        <v>2031</v>
      </c>
      <c r="D1540" s="520">
        <v>17</v>
      </c>
      <c r="E1540" s="837"/>
      <c r="F1540" s="876"/>
      <c r="G1540" s="840">
        <v>919.39040000000023</v>
      </c>
      <c r="H1540" s="841">
        <v>919.39040000000023</v>
      </c>
      <c r="I1540" s="746"/>
      <c r="J1540" s="746"/>
      <c r="K1540" s="746"/>
    </row>
    <row r="1541" spans="1:11" ht="14.1" x14ac:dyDescent="0.45">
      <c r="A1541" s="522"/>
      <c r="B1541" s="522"/>
      <c r="C1541" s="836">
        <v>2032</v>
      </c>
      <c r="D1541" s="520">
        <v>18</v>
      </c>
      <c r="E1541" s="837"/>
      <c r="F1541" s="876"/>
      <c r="G1541" s="840">
        <v>927.68860000000029</v>
      </c>
      <c r="H1541" s="841">
        <v>927.68860000000029</v>
      </c>
      <c r="I1541" s="746"/>
      <c r="J1541" s="746"/>
      <c r="K1541" s="746"/>
    </row>
    <row r="1542" spans="1:11" ht="14.1" x14ac:dyDescent="0.45">
      <c r="A1542" s="522"/>
      <c r="B1542" s="522"/>
      <c r="C1542" s="836">
        <v>2033</v>
      </c>
      <c r="D1542" s="520">
        <v>19</v>
      </c>
      <c r="E1542" s="837"/>
      <c r="F1542" s="876"/>
      <c r="G1542" s="840">
        <v>935.6696000000004</v>
      </c>
      <c r="H1542" s="841">
        <v>935.6696000000004</v>
      </c>
      <c r="I1542" s="746"/>
      <c r="J1542" s="746"/>
      <c r="K1542" s="746"/>
    </row>
    <row r="1543" spans="1:11" ht="14.1" x14ac:dyDescent="0.45">
      <c r="A1543" s="522"/>
      <c r="B1543" s="522"/>
      <c r="C1543" s="836">
        <v>2034</v>
      </c>
      <c r="D1543" s="520">
        <v>20</v>
      </c>
      <c r="E1543" s="837"/>
      <c r="F1543" s="876"/>
      <c r="G1543" s="840">
        <v>943.33340000000032</v>
      </c>
      <c r="H1543" s="841">
        <v>943.33340000000032</v>
      </c>
      <c r="I1543" s="746"/>
      <c r="J1543" s="746"/>
      <c r="K1543" s="746"/>
    </row>
    <row r="1544" spans="1:11" ht="14.1" x14ac:dyDescent="0.45">
      <c r="A1544" s="522"/>
      <c r="B1544" s="522"/>
      <c r="C1544" s="836">
        <v>2035</v>
      </c>
      <c r="D1544" s="520">
        <v>21</v>
      </c>
      <c r="E1544" s="837"/>
      <c r="F1544" s="876"/>
      <c r="G1544" s="840">
        <v>950.68000000000029</v>
      </c>
      <c r="H1544" s="841">
        <v>950.68000000000029</v>
      </c>
      <c r="I1544" s="746"/>
      <c r="J1544" s="746"/>
      <c r="K1544" s="746"/>
    </row>
    <row r="1545" spans="1:11" ht="14.1" x14ac:dyDescent="0.45">
      <c r="A1545" s="522"/>
      <c r="B1545" s="522"/>
      <c r="C1545" s="836">
        <v>2036</v>
      </c>
      <c r="D1545" s="520">
        <v>22</v>
      </c>
      <c r="E1545" s="837"/>
      <c r="F1545" s="876"/>
      <c r="G1545" s="840">
        <v>957.7094000000003</v>
      </c>
      <c r="H1545" s="841">
        <v>957.7094000000003</v>
      </c>
      <c r="I1545" s="746"/>
      <c r="J1545" s="746"/>
      <c r="K1545" s="746"/>
    </row>
    <row r="1546" spans="1:11" ht="14.1" x14ac:dyDescent="0.45">
      <c r="A1546" s="522"/>
      <c r="B1546" s="522"/>
      <c r="C1546" s="836">
        <v>2037</v>
      </c>
      <c r="D1546" s="520">
        <v>23</v>
      </c>
      <c r="E1546" s="837"/>
      <c r="F1546" s="876"/>
      <c r="G1546" s="840">
        <v>964.42160000000035</v>
      </c>
      <c r="H1546" s="841">
        <v>964.42160000000035</v>
      </c>
      <c r="I1546" s="746"/>
      <c r="J1546" s="746"/>
      <c r="K1546" s="746"/>
    </row>
    <row r="1547" spans="1:11" ht="14.1" x14ac:dyDescent="0.45">
      <c r="A1547" s="522"/>
      <c r="B1547" s="522"/>
      <c r="C1547" s="836">
        <v>2038</v>
      </c>
      <c r="D1547" s="520">
        <v>24</v>
      </c>
      <c r="E1547" s="837"/>
      <c r="F1547" s="876"/>
      <c r="G1547" s="840">
        <v>970.81660000000034</v>
      </c>
      <c r="H1547" s="841">
        <v>970.81660000000034</v>
      </c>
      <c r="I1547" s="746"/>
      <c r="J1547" s="746"/>
      <c r="K1547" s="746"/>
    </row>
    <row r="1548" spans="1:11" ht="14.1" x14ac:dyDescent="0.45">
      <c r="A1548" s="522"/>
      <c r="B1548" s="522"/>
      <c r="C1548" s="836">
        <v>2039</v>
      </c>
      <c r="D1548" s="520">
        <v>25</v>
      </c>
      <c r="E1548" s="837"/>
      <c r="F1548" s="876"/>
      <c r="G1548" s="840">
        <v>976.89440000000025</v>
      </c>
      <c r="H1548" s="841">
        <v>976.89440000000025</v>
      </c>
      <c r="I1548" s="746"/>
      <c r="J1548" s="746"/>
      <c r="K1548" s="746"/>
    </row>
    <row r="1549" spans="1:11" ht="14.1" x14ac:dyDescent="0.45">
      <c r="A1549" s="522"/>
      <c r="B1549" s="522"/>
      <c r="C1549" s="836">
        <v>2040</v>
      </c>
      <c r="D1549" s="520">
        <v>26</v>
      </c>
      <c r="E1549" s="837"/>
      <c r="F1549" s="876"/>
      <c r="G1549" s="840">
        <v>982.6550000000002</v>
      </c>
      <c r="H1549" s="841">
        <v>982.6550000000002</v>
      </c>
      <c r="I1549" s="746"/>
      <c r="J1549" s="746"/>
      <c r="K1549" s="746"/>
    </row>
    <row r="1550" spans="1:11" ht="14.1" x14ac:dyDescent="0.45">
      <c r="A1550" s="522"/>
      <c r="B1550" s="522"/>
      <c r="C1550" s="836">
        <v>2041</v>
      </c>
      <c r="D1550" s="520">
        <v>27</v>
      </c>
      <c r="E1550" s="837"/>
      <c r="F1550" s="876"/>
      <c r="G1550" s="840">
        <v>988.0984000000002</v>
      </c>
      <c r="H1550" s="841">
        <v>988.0984000000002</v>
      </c>
      <c r="I1550" s="746"/>
      <c r="J1550" s="746"/>
      <c r="K1550" s="746"/>
    </row>
    <row r="1551" spans="1:11" ht="14.1" x14ac:dyDescent="0.45">
      <c r="A1551" s="523"/>
      <c r="B1551" s="524"/>
      <c r="C1551" s="836">
        <v>2042</v>
      </c>
      <c r="D1551" s="520">
        <v>28</v>
      </c>
      <c r="E1551" s="837"/>
      <c r="F1551" s="876"/>
      <c r="G1551" s="840">
        <v>993.22460000000024</v>
      </c>
      <c r="H1551" s="841">
        <v>993.22460000000024</v>
      </c>
      <c r="I1551" s="746"/>
      <c r="J1551" s="746"/>
      <c r="K1551" s="746"/>
    </row>
    <row r="1552" spans="1:11" ht="14.1" x14ac:dyDescent="0.45">
      <c r="A1552" s="746"/>
      <c r="B1552" s="524"/>
      <c r="C1552" s="836">
        <v>2043</v>
      </c>
      <c r="D1552" s="520">
        <v>29</v>
      </c>
      <c r="E1552" s="837"/>
      <c r="F1552" s="876"/>
      <c r="G1552" s="840">
        <v>998.03360000000021</v>
      </c>
      <c r="H1552" s="841">
        <v>998.03360000000021</v>
      </c>
      <c r="I1552" s="746"/>
      <c r="J1552" s="746"/>
      <c r="K1552" s="746"/>
    </row>
    <row r="1553" spans="1:11" ht="14.1" x14ac:dyDescent="0.4">
      <c r="A1553" s="746"/>
      <c r="B1553" s="746"/>
      <c r="C1553" s="836">
        <v>2044</v>
      </c>
      <c r="D1553" s="520">
        <v>30</v>
      </c>
      <c r="E1553" s="837"/>
      <c r="F1553" s="876"/>
      <c r="G1553" s="840">
        <v>1002.5254000000002</v>
      </c>
      <c r="H1553" s="841">
        <v>1002.5254000000002</v>
      </c>
      <c r="I1553" s="746"/>
      <c r="J1553" s="746"/>
      <c r="K1553" s="746"/>
    </row>
    <row r="1554" spans="1:11" ht="14.1" x14ac:dyDescent="0.4">
      <c r="A1554" s="746"/>
      <c r="B1554" s="746"/>
      <c r="C1554" s="836">
        <v>2045</v>
      </c>
      <c r="D1554" s="520">
        <v>31</v>
      </c>
      <c r="E1554" s="837"/>
      <c r="F1554" s="876"/>
      <c r="G1554" s="840">
        <v>1006.7000000000002</v>
      </c>
      <c r="H1554" s="841">
        <v>1006.7000000000002</v>
      </c>
      <c r="I1554" s="746"/>
      <c r="J1554" s="746"/>
      <c r="K1554" s="746"/>
    </row>
    <row r="1555" spans="1:11" ht="14.1" x14ac:dyDescent="0.4">
      <c r="C1555" s="836">
        <v>2046</v>
      </c>
      <c r="D1555" s="520">
        <v>32</v>
      </c>
      <c r="E1555" s="837"/>
      <c r="F1555" s="876"/>
      <c r="G1555" s="840">
        <v>1010.5574000000001</v>
      </c>
      <c r="H1555" s="841">
        <v>1010.5574000000001</v>
      </c>
    </row>
    <row r="1556" spans="1:11" ht="14.1" x14ac:dyDescent="0.4">
      <c r="C1556" s="836">
        <v>2047</v>
      </c>
      <c r="D1556" s="520">
        <v>33</v>
      </c>
      <c r="E1556" s="837"/>
      <c r="F1556" s="876"/>
      <c r="G1556" s="840">
        <v>1014.0976000000001</v>
      </c>
      <c r="H1556" s="841">
        <v>1014.0976000000001</v>
      </c>
    </row>
    <row r="1557" spans="1:11" ht="14.1" x14ac:dyDescent="0.4">
      <c r="C1557" s="836">
        <v>2048</v>
      </c>
      <c r="D1557" s="520">
        <v>34</v>
      </c>
      <c r="E1557" s="837"/>
      <c r="F1557" s="876"/>
      <c r="G1557" s="840">
        <v>1017.3206000000001</v>
      </c>
      <c r="H1557" s="841">
        <v>1017.3206000000001</v>
      </c>
    </row>
    <row r="1558" spans="1:11" ht="14.1" x14ac:dyDescent="0.4">
      <c r="C1558" s="836">
        <v>2049</v>
      </c>
      <c r="D1558" s="520">
        <v>35</v>
      </c>
      <c r="E1558" s="837"/>
      <c r="F1558" s="876"/>
      <c r="G1558" s="840">
        <v>1020.2264</v>
      </c>
      <c r="H1558" s="841">
        <v>1020.2264</v>
      </c>
    </row>
    <row r="1559" spans="1:11" ht="14.1" x14ac:dyDescent="0.4">
      <c r="C1559" s="836">
        <v>2050</v>
      </c>
      <c r="D1559" s="520">
        <v>36</v>
      </c>
      <c r="E1559" s="837">
        <v>1006.7</v>
      </c>
      <c r="F1559" s="876">
        <v>1006.7</v>
      </c>
      <c r="G1559" s="840">
        <v>1022.8150000000001</v>
      </c>
      <c r="H1559" s="841">
        <v>1022.8150000000001</v>
      </c>
    </row>
    <row r="1560" spans="1:11" ht="14.1" x14ac:dyDescent="0.4">
      <c r="C1560" s="836">
        <v>2051</v>
      </c>
      <c r="D1560" s="520">
        <v>37</v>
      </c>
      <c r="E1560" s="837"/>
      <c r="F1560" s="876"/>
      <c r="G1560" s="840">
        <v>1025.0864000000001</v>
      </c>
      <c r="H1560" s="841">
        <v>1025.0864000000001</v>
      </c>
    </row>
    <row r="1561" spans="1:11" ht="14.1" x14ac:dyDescent="0.4">
      <c r="C1561" s="836">
        <v>2052</v>
      </c>
      <c r="D1561" s="520">
        <v>38</v>
      </c>
      <c r="E1561" s="837"/>
      <c r="F1561" s="876"/>
      <c r="G1561" s="840">
        <v>1027.0406</v>
      </c>
      <c r="H1561" s="841">
        <v>1027.0406</v>
      </c>
    </row>
    <row r="1562" spans="1:11" ht="14.1" x14ac:dyDescent="0.4">
      <c r="C1562" s="836">
        <v>2053</v>
      </c>
      <c r="D1562" s="520">
        <v>39</v>
      </c>
      <c r="E1562" s="837"/>
      <c r="F1562" s="876"/>
      <c r="G1562" s="840">
        <v>1028.6776</v>
      </c>
      <c r="H1562" s="841">
        <v>1028.6776</v>
      </c>
    </row>
    <row r="1563" spans="1:11" ht="14.1" x14ac:dyDescent="0.4">
      <c r="C1563" s="836">
        <v>2054</v>
      </c>
      <c r="D1563" s="520">
        <v>40</v>
      </c>
      <c r="E1563" s="837"/>
      <c r="F1563" s="876"/>
      <c r="G1563" s="840">
        <v>1029.9974</v>
      </c>
      <c r="H1563" s="841">
        <v>1029.9974</v>
      </c>
    </row>
    <row r="1564" spans="1:11" ht="14.1" x14ac:dyDescent="0.4">
      <c r="C1564" s="843">
        <v>2055</v>
      </c>
      <c r="D1564" s="520">
        <v>41</v>
      </c>
      <c r="E1564" s="837"/>
      <c r="F1564" s="876"/>
      <c r="G1564" s="840">
        <v>1031</v>
      </c>
      <c r="H1564" s="841">
        <v>1031</v>
      </c>
    </row>
    <row r="1567" spans="1:11" ht="15" x14ac:dyDescent="0.5">
      <c r="A1567" s="621" t="str">
        <f ca="1">HYPERLINK("#"&amp;"'"&amp;A$1&amp;"'!a1","Back to top")</f>
        <v>Back to top</v>
      </c>
    </row>
    <row r="1570" spans="1:11" ht="15" x14ac:dyDescent="0.5">
      <c r="A1570" s="508">
        <v>22</v>
      </c>
      <c r="B1570" s="509" t="s">
        <v>1022</v>
      </c>
      <c r="C1570" s="787"/>
      <c r="D1570" s="787"/>
      <c r="E1570" s="787"/>
      <c r="F1570" s="787"/>
      <c r="G1570" s="787"/>
      <c r="H1570" s="787"/>
      <c r="I1570" s="787"/>
      <c r="J1570" s="787"/>
      <c r="K1570" s="787"/>
    </row>
    <row r="1571" spans="1:11" ht="15" x14ac:dyDescent="0.5">
      <c r="A1571" s="510" t="s">
        <v>260</v>
      </c>
      <c r="B1571" s="511"/>
      <c r="C1571" s="511"/>
      <c r="D1571" s="223"/>
      <c r="E1571" s="512"/>
      <c r="F1571" s="1309"/>
      <c r="G1571" s="512"/>
      <c r="H1571" s="513"/>
      <c r="I1571" s="746"/>
      <c r="J1571" s="746"/>
      <c r="K1571" s="746"/>
    </row>
    <row r="1572" spans="1:11" ht="15.3" thickBot="1" x14ac:dyDescent="0.5">
      <c r="A1572" s="872" t="s">
        <v>603</v>
      </c>
      <c r="B1572" s="514"/>
      <c r="C1572" s="514"/>
      <c r="D1572" s="515"/>
      <c r="E1572" s="516" t="s">
        <v>222</v>
      </c>
      <c r="F1572" s="1310"/>
      <c r="G1572" s="873" t="e">
        <v>#DIV/0!</v>
      </c>
      <c r="H1572" s="513"/>
      <c r="I1572" s="746"/>
      <c r="J1572" s="746"/>
      <c r="K1572" s="746"/>
    </row>
    <row r="1573" spans="1:11" ht="37.200000000000003" thickBot="1" x14ac:dyDescent="0.5">
      <c r="A1573" s="517"/>
      <c r="B1573" s="517"/>
      <c r="C1573" s="517"/>
      <c r="D1573" s="518"/>
      <c r="E1573" s="873" t="s">
        <v>724</v>
      </c>
      <c r="F1573" s="873" t="s">
        <v>664</v>
      </c>
      <c r="G1573" s="874" t="s">
        <v>723</v>
      </c>
      <c r="H1573" s="873" t="s">
        <v>667</v>
      </c>
      <c r="I1573" s="873" t="s">
        <v>1018</v>
      </c>
      <c r="J1573" s="1297" t="s">
        <v>668</v>
      </c>
      <c r="K1573" s="1298"/>
    </row>
    <row r="1574" spans="1:11" ht="15" x14ac:dyDescent="0.5">
      <c r="A1574" s="510" t="s">
        <v>268</v>
      </c>
      <c r="B1574" s="517"/>
      <c r="C1574" s="788">
        <v>2000</v>
      </c>
      <c r="D1574" s="519">
        <v>-14</v>
      </c>
      <c r="E1574" s="875">
        <v>87.7</v>
      </c>
      <c r="F1574" s="876">
        <v>87.7</v>
      </c>
      <c r="G1574" s="877">
        <v>90.919999999999987</v>
      </c>
      <c r="H1574" s="878">
        <v>90.919999999999987</v>
      </c>
      <c r="I1574" s="1303" t="s">
        <v>269</v>
      </c>
      <c r="J1574" s="1299"/>
      <c r="K1574" s="1300"/>
    </row>
    <row r="1575" spans="1:11" ht="15" x14ac:dyDescent="0.45">
      <c r="A1575" s="872" t="s">
        <v>44</v>
      </c>
      <c r="B1575" s="517"/>
      <c r="C1575" s="836">
        <v>2001</v>
      </c>
      <c r="D1575" s="520">
        <v>-13</v>
      </c>
      <c r="E1575" s="837"/>
      <c r="F1575" s="876"/>
      <c r="G1575" s="838">
        <v>91.487199999999987</v>
      </c>
      <c r="H1575" s="839">
        <v>91.487199999999987</v>
      </c>
      <c r="I1575" s="1304"/>
      <c r="J1575" s="1299"/>
      <c r="K1575" s="1300"/>
    </row>
    <row r="1576" spans="1:11" ht="14.05" customHeight="1" x14ac:dyDescent="0.45">
      <c r="A1576" s="517"/>
      <c r="B1576" s="517"/>
      <c r="C1576" s="836">
        <v>2002</v>
      </c>
      <c r="D1576" s="520">
        <v>-12</v>
      </c>
      <c r="E1576" s="837"/>
      <c r="F1576" s="876"/>
      <c r="G1576" s="838">
        <v>92.02879999999999</v>
      </c>
      <c r="H1576" s="839">
        <v>92.02879999999999</v>
      </c>
      <c r="I1576" s="1304"/>
      <c r="J1576" s="1299"/>
      <c r="K1576" s="1300"/>
    </row>
    <row r="1577" spans="1:11" ht="15" x14ac:dyDescent="0.45">
      <c r="A1577" s="676" t="s">
        <v>270</v>
      </c>
      <c r="B1577" s="517"/>
      <c r="C1577" s="836">
        <v>2003</v>
      </c>
      <c r="D1577" s="520">
        <v>-11</v>
      </c>
      <c r="E1577" s="837"/>
      <c r="F1577" s="876"/>
      <c r="G1577" s="838">
        <v>92.544799999999981</v>
      </c>
      <c r="H1577" s="839">
        <v>92.544799999999981</v>
      </c>
      <c r="I1577" s="1304"/>
      <c r="J1577" s="1301"/>
      <c r="K1577" s="1302"/>
    </row>
    <row r="1578" spans="1:11" ht="14.1" x14ac:dyDescent="0.45">
      <c r="A1578" s="1306" t="s">
        <v>1019</v>
      </c>
      <c r="B1578" s="517"/>
      <c r="C1578" s="836">
        <v>2004</v>
      </c>
      <c r="D1578" s="520">
        <v>-10</v>
      </c>
      <c r="E1578" s="837"/>
      <c r="F1578" s="876"/>
      <c r="G1578" s="838">
        <v>93.035199999999989</v>
      </c>
      <c r="H1578" s="839">
        <v>93.035199999999989</v>
      </c>
      <c r="I1578" s="1304"/>
      <c r="J1578" s="746"/>
      <c r="K1578" s="746"/>
    </row>
    <row r="1579" spans="1:11" ht="14.1" x14ac:dyDescent="0.45">
      <c r="A1579" s="1307"/>
      <c r="B1579" s="517"/>
      <c r="C1579" s="836">
        <v>2005</v>
      </c>
      <c r="D1579" s="520">
        <v>-9</v>
      </c>
      <c r="E1579" s="837"/>
      <c r="F1579" s="876"/>
      <c r="G1579" s="838">
        <v>93.499999999999986</v>
      </c>
      <c r="H1579" s="839">
        <v>93.499999999999986</v>
      </c>
      <c r="I1579" s="1304"/>
      <c r="J1579" s="746"/>
      <c r="K1579" s="746"/>
    </row>
    <row r="1580" spans="1:11" ht="14.1" x14ac:dyDescent="0.45">
      <c r="A1580" s="1307"/>
      <c r="B1580" s="517"/>
      <c r="C1580" s="836">
        <v>2006</v>
      </c>
      <c r="D1580" s="520">
        <v>-8</v>
      </c>
      <c r="E1580" s="837"/>
      <c r="F1580" s="876"/>
      <c r="G1580" s="838">
        <v>93.939199999999985</v>
      </c>
      <c r="H1580" s="839">
        <v>93.939199999999985</v>
      </c>
      <c r="I1580" s="1305"/>
      <c r="J1580" s="746"/>
      <c r="K1580" s="746"/>
    </row>
    <row r="1581" spans="1:11" ht="14.1" x14ac:dyDescent="0.45">
      <c r="A1581" s="1308"/>
      <c r="B1581" s="517"/>
      <c r="C1581" s="836">
        <v>2007</v>
      </c>
      <c r="D1581" s="520">
        <v>-7</v>
      </c>
      <c r="E1581" s="837"/>
      <c r="F1581" s="876"/>
      <c r="G1581" s="840">
        <v>94.352799999999988</v>
      </c>
      <c r="H1581" s="841">
        <v>94.352799999999988</v>
      </c>
      <c r="I1581" s="789" t="s">
        <v>272</v>
      </c>
      <c r="J1581" s="746"/>
      <c r="K1581" s="746"/>
    </row>
    <row r="1582" spans="1:11" ht="14.1" x14ac:dyDescent="0.45">
      <c r="A1582" s="517"/>
      <c r="B1582" s="517"/>
      <c r="C1582" s="836">
        <v>2008</v>
      </c>
      <c r="D1582" s="520">
        <v>-6</v>
      </c>
      <c r="E1582" s="837"/>
      <c r="F1582" s="876"/>
      <c r="G1582" s="840">
        <v>94.740799999999993</v>
      </c>
      <c r="H1582" s="841">
        <v>94.740799999999993</v>
      </c>
      <c r="I1582" s="746"/>
      <c r="J1582" s="746"/>
      <c r="K1582" s="746"/>
    </row>
    <row r="1583" spans="1:11" ht="15" x14ac:dyDescent="0.5">
      <c r="A1583" s="521" t="s">
        <v>273</v>
      </c>
      <c r="B1583" s="517"/>
      <c r="C1583" s="836">
        <v>2009</v>
      </c>
      <c r="D1583" s="520">
        <v>-5</v>
      </c>
      <c r="E1583" s="837"/>
      <c r="F1583" s="876"/>
      <c r="G1583" s="840">
        <v>95.103199999999987</v>
      </c>
      <c r="H1583" s="841">
        <v>95.103199999999987</v>
      </c>
      <c r="I1583" s="746"/>
      <c r="J1583" s="746"/>
      <c r="K1583" s="746"/>
    </row>
    <row r="1584" spans="1:11" ht="15" x14ac:dyDescent="0.45">
      <c r="A1584" s="842">
        <v>2019</v>
      </c>
      <c r="B1584" s="514"/>
      <c r="C1584" s="836">
        <v>2010</v>
      </c>
      <c r="D1584" s="520">
        <v>-4</v>
      </c>
      <c r="E1584" s="837">
        <v>93.5</v>
      </c>
      <c r="F1584" s="876">
        <v>93.5</v>
      </c>
      <c r="G1584" s="840">
        <v>95.439999999999984</v>
      </c>
      <c r="H1584" s="841">
        <v>95.439999999999984</v>
      </c>
      <c r="I1584" s="746"/>
      <c r="J1584" s="746"/>
      <c r="K1584" s="746"/>
    </row>
    <row r="1585" spans="1:11" ht="14.1" x14ac:dyDescent="0.45">
      <c r="A1585" s="746"/>
      <c r="B1585" s="514"/>
      <c r="C1585" s="836">
        <v>2011</v>
      </c>
      <c r="D1585" s="520">
        <v>-3</v>
      </c>
      <c r="E1585" s="837"/>
      <c r="F1585" s="876"/>
      <c r="G1585" s="840">
        <v>95.751199999999983</v>
      </c>
      <c r="H1585" s="841">
        <v>95.751199999999983</v>
      </c>
      <c r="I1585" s="746"/>
      <c r="J1585" s="746"/>
      <c r="K1585" s="746"/>
    </row>
    <row r="1586" spans="1:11" ht="15" x14ac:dyDescent="0.5">
      <c r="A1586" s="521" t="s">
        <v>274</v>
      </c>
      <c r="B1586" s="514"/>
      <c r="C1586" s="836">
        <v>2012</v>
      </c>
      <c r="D1586" s="520">
        <v>-2</v>
      </c>
      <c r="E1586" s="837"/>
      <c r="F1586" s="876"/>
      <c r="G1586" s="840">
        <v>96.036799999999985</v>
      </c>
      <c r="H1586" s="841">
        <v>96.036799999999985</v>
      </c>
      <c r="I1586" s="746"/>
      <c r="J1586" s="746"/>
      <c r="K1586" s="746"/>
    </row>
    <row r="1587" spans="1:11" ht="15" x14ac:dyDescent="0.45">
      <c r="A1587" s="842" t="s">
        <v>724</v>
      </c>
      <c r="B1587" s="514"/>
      <c r="C1587" s="836">
        <v>2013</v>
      </c>
      <c r="D1587" s="520">
        <v>-1</v>
      </c>
      <c r="E1587" s="837"/>
      <c r="F1587" s="876"/>
      <c r="G1587" s="840">
        <v>96.29679999999999</v>
      </c>
      <c r="H1587" s="841">
        <v>96.29679999999999</v>
      </c>
      <c r="I1587" s="746"/>
      <c r="J1587" s="746"/>
      <c r="K1587" s="746"/>
    </row>
    <row r="1588" spans="1:11" ht="15" x14ac:dyDescent="0.5">
      <c r="A1588" s="790"/>
      <c r="B1588" s="522"/>
      <c r="C1588" s="836">
        <v>2014</v>
      </c>
      <c r="D1588" s="520">
        <v>0</v>
      </c>
      <c r="E1588" s="837"/>
      <c r="F1588" s="876"/>
      <c r="G1588" s="840">
        <v>96.531199999999984</v>
      </c>
      <c r="H1588" s="841">
        <v>96.531199999999984</v>
      </c>
      <c r="I1588" s="746"/>
      <c r="J1588" s="746"/>
      <c r="K1588" s="746"/>
    </row>
    <row r="1589" spans="1:11" ht="15" x14ac:dyDescent="0.45">
      <c r="A1589" s="943" t="s">
        <v>275</v>
      </c>
      <c r="B1589" s="514"/>
      <c r="C1589" s="836">
        <v>2015</v>
      </c>
      <c r="D1589" s="520">
        <v>1</v>
      </c>
      <c r="E1589" s="837"/>
      <c r="F1589" s="876"/>
      <c r="G1589" s="840">
        <v>96.739999999999981</v>
      </c>
      <c r="H1589" s="841">
        <v>96.739999999999981</v>
      </c>
      <c r="I1589" s="746"/>
      <c r="J1589" s="746"/>
      <c r="K1589" s="746"/>
    </row>
    <row r="1590" spans="1:11" ht="15" x14ac:dyDescent="0.45">
      <c r="A1590" s="791"/>
      <c r="B1590" s="514"/>
      <c r="C1590" s="836">
        <v>2016</v>
      </c>
      <c r="D1590" s="520">
        <v>2</v>
      </c>
      <c r="E1590" s="837"/>
      <c r="F1590" s="876"/>
      <c r="G1590" s="840">
        <v>96.92319999999998</v>
      </c>
      <c r="H1590" s="841">
        <v>96.92319999999998</v>
      </c>
      <c r="I1590" s="746"/>
      <c r="J1590" s="746"/>
      <c r="K1590" s="746"/>
    </row>
    <row r="1591" spans="1:11" ht="15" x14ac:dyDescent="0.45">
      <c r="A1591" s="892"/>
      <c r="B1591" s="514"/>
      <c r="C1591" s="836">
        <v>2017</v>
      </c>
      <c r="D1591" s="520">
        <v>3</v>
      </c>
      <c r="E1591" s="837"/>
      <c r="F1591" s="876"/>
      <c r="G1591" s="840">
        <v>97.080799999999982</v>
      </c>
      <c r="H1591" s="841">
        <v>97.080799999999982</v>
      </c>
      <c r="I1591" s="746"/>
      <c r="J1591" s="746"/>
      <c r="K1591" s="746"/>
    </row>
    <row r="1592" spans="1:11" ht="15" x14ac:dyDescent="0.45">
      <c r="A1592" s="842"/>
      <c r="B1592" s="514"/>
      <c r="C1592" s="836">
        <v>2018</v>
      </c>
      <c r="D1592" s="520">
        <v>4</v>
      </c>
      <c r="E1592" s="837"/>
      <c r="F1592" s="876"/>
      <c r="G1592" s="840">
        <v>97.212799999999987</v>
      </c>
      <c r="H1592" s="841">
        <v>97.212799999999987</v>
      </c>
      <c r="I1592" s="746"/>
      <c r="J1592" s="746"/>
      <c r="K1592" s="746"/>
    </row>
    <row r="1593" spans="1:11" ht="14.1" x14ac:dyDescent="0.45">
      <c r="A1593" s="514"/>
      <c r="B1593" s="514"/>
      <c r="C1593" s="836">
        <v>2019</v>
      </c>
      <c r="D1593" s="520">
        <v>5</v>
      </c>
      <c r="E1593" s="837"/>
      <c r="F1593" s="876"/>
      <c r="G1593" s="840">
        <v>97.319199999999981</v>
      </c>
      <c r="H1593" s="841">
        <v>97.319199999999981</v>
      </c>
      <c r="I1593" s="746"/>
      <c r="J1593" s="746"/>
      <c r="K1593" s="746"/>
    </row>
    <row r="1594" spans="1:11" ht="14.1" x14ac:dyDescent="0.45">
      <c r="A1594" s="514"/>
      <c r="B1594" s="514"/>
      <c r="C1594" s="836">
        <v>2020</v>
      </c>
      <c r="D1594" s="520">
        <v>6</v>
      </c>
      <c r="E1594" s="837"/>
      <c r="F1594" s="876"/>
      <c r="G1594" s="840">
        <v>97.399999999999991</v>
      </c>
      <c r="H1594" s="841">
        <v>97.399999999999991</v>
      </c>
      <c r="I1594" s="746"/>
      <c r="J1594" s="746"/>
      <c r="K1594" s="746"/>
    </row>
    <row r="1595" spans="1:11" ht="14.1" x14ac:dyDescent="0.45">
      <c r="A1595" s="514"/>
      <c r="B1595" s="514"/>
      <c r="C1595" s="836">
        <v>2021</v>
      </c>
      <c r="D1595" s="520">
        <v>7</v>
      </c>
      <c r="E1595" s="837"/>
      <c r="F1595" s="876"/>
      <c r="G1595" s="840">
        <v>97.455199999999991</v>
      </c>
      <c r="H1595" s="841">
        <v>97.455199999999991</v>
      </c>
      <c r="I1595" s="746"/>
      <c r="J1595" s="746"/>
      <c r="K1595" s="746"/>
    </row>
    <row r="1596" spans="1:11" ht="14.1" x14ac:dyDescent="0.45">
      <c r="A1596" s="514"/>
      <c r="B1596" s="514"/>
      <c r="C1596" s="836">
        <v>2022</v>
      </c>
      <c r="D1596" s="520">
        <v>8</v>
      </c>
      <c r="E1596" s="837"/>
      <c r="F1596" s="876"/>
      <c r="G1596" s="840">
        <v>97.484799999999979</v>
      </c>
      <c r="H1596" s="841">
        <v>97.484799999999979</v>
      </c>
      <c r="I1596" s="746"/>
      <c r="J1596" s="746"/>
      <c r="K1596" s="746"/>
    </row>
    <row r="1597" spans="1:11" ht="14.1" x14ac:dyDescent="0.45">
      <c r="A1597" s="514"/>
      <c r="B1597" s="514"/>
      <c r="C1597" s="836">
        <v>2023</v>
      </c>
      <c r="D1597" s="520">
        <v>9</v>
      </c>
      <c r="E1597" s="837"/>
      <c r="F1597" s="876"/>
      <c r="G1597" s="840">
        <v>97.488799999999983</v>
      </c>
      <c r="H1597" s="841">
        <v>97.488799999999983</v>
      </c>
      <c r="I1597" s="746"/>
      <c r="J1597" s="746"/>
      <c r="K1597" s="746"/>
    </row>
    <row r="1598" spans="1:11" ht="14.1" x14ac:dyDescent="0.45">
      <c r="A1598" s="514"/>
      <c r="B1598" s="514"/>
      <c r="C1598" s="836">
        <v>2024</v>
      </c>
      <c r="D1598" s="520">
        <v>10</v>
      </c>
      <c r="E1598" s="837"/>
      <c r="F1598" s="876"/>
      <c r="G1598" s="840">
        <v>97.467199999999991</v>
      </c>
      <c r="H1598" s="841">
        <v>97.467199999999991</v>
      </c>
      <c r="I1598" s="746"/>
      <c r="J1598" s="746"/>
      <c r="K1598" s="746"/>
    </row>
    <row r="1599" spans="1:11" ht="14.1" x14ac:dyDescent="0.45">
      <c r="A1599" s="514"/>
      <c r="B1599" s="514"/>
      <c r="C1599" s="836">
        <v>2025</v>
      </c>
      <c r="D1599" s="520">
        <v>11</v>
      </c>
      <c r="E1599" s="837"/>
      <c r="F1599" s="876"/>
      <c r="G1599" s="840">
        <v>97.419999999999987</v>
      </c>
      <c r="H1599" s="841">
        <v>97.419999999999987</v>
      </c>
      <c r="I1599" s="746"/>
      <c r="J1599" s="746"/>
      <c r="K1599" s="746"/>
    </row>
    <row r="1600" spans="1:11" ht="14.1" x14ac:dyDescent="0.45">
      <c r="A1600" s="514"/>
      <c r="B1600" s="514"/>
      <c r="C1600" s="836">
        <v>2026</v>
      </c>
      <c r="D1600" s="520">
        <v>12</v>
      </c>
      <c r="E1600" s="837"/>
      <c r="F1600" s="876"/>
      <c r="G1600" s="840">
        <v>97.347199999999987</v>
      </c>
      <c r="H1600" s="841">
        <v>97.347199999999987</v>
      </c>
      <c r="I1600" s="746"/>
      <c r="J1600" s="746"/>
      <c r="K1600" s="746"/>
    </row>
    <row r="1601" spans="1:11" ht="14.1" x14ac:dyDescent="0.45">
      <c r="A1601" s="514"/>
      <c r="B1601" s="514"/>
      <c r="C1601" s="836">
        <v>2027</v>
      </c>
      <c r="D1601" s="520">
        <v>13</v>
      </c>
      <c r="E1601" s="837"/>
      <c r="F1601" s="876"/>
      <c r="G1601" s="840">
        <v>97.248799999999989</v>
      </c>
      <c r="H1601" s="841">
        <v>97.248799999999989</v>
      </c>
      <c r="I1601" s="746"/>
      <c r="J1601" s="746"/>
      <c r="K1601" s="746"/>
    </row>
    <row r="1602" spans="1:11" ht="14.1" x14ac:dyDescent="0.45">
      <c r="A1602" s="522"/>
      <c r="B1602" s="522"/>
      <c r="C1602" s="836">
        <v>2028</v>
      </c>
      <c r="D1602" s="520">
        <v>14</v>
      </c>
      <c r="E1602" s="837"/>
      <c r="F1602" s="876"/>
      <c r="G1602" s="840">
        <v>97.124799999999979</v>
      </c>
      <c r="H1602" s="841">
        <v>97.124799999999979</v>
      </c>
      <c r="I1602" s="746"/>
      <c r="J1602" s="746"/>
      <c r="K1602" s="746"/>
    </row>
    <row r="1603" spans="1:11" ht="14.1" x14ac:dyDescent="0.45">
      <c r="A1603" s="522"/>
      <c r="B1603" s="522"/>
      <c r="C1603" s="836">
        <v>2029</v>
      </c>
      <c r="D1603" s="520">
        <v>15</v>
      </c>
      <c r="E1603" s="837"/>
      <c r="F1603" s="876"/>
      <c r="G1603" s="840">
        <v>96.975199999999987</v>
      </c>
      <c r="H1603" s="841">
        <v>96.975199999999987</v>
      </c>
      <c r="I1603" s="746"/>
      <c r="J1603" s="746"/>
      <c r="K1603" s="746"/>
    </row>
    <row r="1604" spans="1:11" ht="14.1" x14ac:dyDescent="0.45">
      <c r="A1604" s="522"/>
      <c r="B1604" s="522"/>
      <c r="C1604" s="836">
        <v>2030</v>
      </c>
      <c r="D1604" s="520">
        <v>16</v>
      </c>
      <c r="E1604" s="837"/>
      <c r="F1604" s="876"/>
      <c r="G1604" s="840">
        <v>96.799999999999983</v>
      </c>
      <c r="H1604" s="841">
        <v>96.799999999999983</v>
      </c>
      <c r="I1604" s="746"/>
      <c r="J1604" s="746"/>
      <c r="K1604" s="746"/>
    </row>
    <row r="1605" spans="1:11" ht="14.1" x14ac:dyDescent="0.45">
      <c r="A1605" s="522"/>
      <c r="B1605" s="522"/>
      <c r="C1605" s="836">
        <v>2031</v>
      </c>
      <c r="D1605" s="520">
        <v>17</v>
      </c>
      <c r="E1605" s="837"/>
      <c r="F1605" s="876"/>
      <c r="G1605" s="840">
        <v>96.599199999999982</v>
      </c>
      <c r="H1605" s="841">
        <v>96.599199999999982</v>
      </c>
      <c r="I1605" s="746"/>
      <c r="J1605" s="746"/>
      <c r="K1605" s="746"/>
    </row>
    <row r="1606" spans="1:11" ht="14.1" x14ac:dyDescent="0.45">
      <c r="A1606" s="522"/>
      <c r="B1606" s="522"/>
      <c r="C1606" s="836">
        <v>2032</v>
      </c>
      <c r="D1606" s="520">
        <v>18</v>
      </c>
      <c r="E1606" s="837"/>
      <c r="F1606" s="876"/>
      <c r="G1606" s="840">
        <v>96.372799999999984</v>
      </c>
      <c r="H1606" s="841">
        <v>96.372799999999984</v>
      </c>
      <c r="I1606" s="746"/>
      <c r="J1606" s="746"/>
      <c r="K1606" s="746"/>
    </row>
    <row r="1607" spans="1:11" ht="14.1" x14ac:dyDescent="0.45">
      <c r="A1607" s="522"/>
      <c r="B1607" s="522"/>
      <c r="C1607" s="836">
        <v>2033</v>
      </c>
      <c r="D1607" s="520">
        <v>19</v>
      </c>
      <c r="E1607" s="837"/>
      <c r="F1607" s="876"/>
      <c r="G1607" s="840">
        <v>96.120799999999988</v>
      </c>
      <c r="H1607" s="841">
        <v>96.120799999999988</v>
      </c>
      <c r="I1607" s="746"/>
      <c r="J1607" s="746"/>
      <c r="K1607" s="746"/>
    </row>
    <row r="1608" spans="1:11" ht="14.1" x14ac:dyDescent="0.45">
      <c r="A1608" s="522"/>
      <c r="B1608" s="522"/>
      <c r="C1608" s="836">
        <v>2034</v>
      </c>
      <c r="D1608" s="520">
        <v>20</v>
      </c>
      <c r="E1608" s="837"/>
      <c r="F1608" s="876"/>
      <c r="G1608" s="840">
        <v>95.843199999999982</v>
      </c>
      <c r="H1608" s="841">
        <v>95.843199999999982</v>
      </c>
      <c r="I1608" s="746"/>
      <c r="J1608" s="746"/>
      <c r="K1608" s="746"/>
    </row>
    <row r="1609" spans="1:11" ht="14.1" x14ac:dyDescent="0.45">
      <c r="A1609" s="522"/>
      <c r="B1609" s="522"/>
      <c r="C1609" s="836">
        <v>2035</v>
      </c>
      <c r="D1609" s="520">
        <v>21</v>
      </c>
      <c r="E1609" s="837"/>
      <c r="F1609" s="876"/>
      <c r="G1609" s="840">
        <v>95.539999999999978</v>
      </c>
      <c r="H1609" s="841">
        <v>95.539999999999978</v>
      </c>
      <c r="I1609" s="746"/>
      <c r="J1609" s="746"/>
      <c r="K1609" s="746"/>
    </row>
    <row r="1610" spans="1:11" ht="14.1" x14ac:dyDescent="0.45">
      <c r="A1610" s="522"/>
      <c r="B1610" s="522"/>
      <c r="C1610" s="836">
        <v>2036</v>
      </c>
      <c r="D1610" s="520">
        <v>22</v>
      </c>
      <c r="E1610" s="837"/>
      <c r="F1610" s="876"/>
      <c r="G1610" s="840">
        <v>95.211199999999991</v>
      </c>
      <c r="H1610" s="841">
        <v>95.211199999999991</v>
      </c>
      <c r="I1610" s="746"/>
      <c r="J1610" s="746"/>
      <c r="K1610" s="746"/>
    </row>
    <row r="1611" spans="1:11" ht="14.1" x14ac:dyDescent="0.45">
      <c r="A1611" s="522"/>
      <c r="B1611" s="522"/>
      <c r="C1611" s="836">
        <v>2037</v>
      </c>
      <c r="D1611" s="520">
        <v>23</v>
      </c>
      <c r="E1611" s="837"/>
      <c r="F1611" s="876"/>
      <c r="G1611" s="840">
        <v>94.856799999999978</v>
      </c>
      <c r="H1611" s="841">
        <v>94.856799999999978</v>
      </c>
      <c r="I1611" s="746"/>
      <c r="J1611" s="746"/>
      <c r="K1611" s="746"/>
    </row>
    <row r="1612" spans="1:11" ht="14.1" x14ac:dyDescent="0.45">
      <c r="A1612" s="522"/>
      <c r="B1612" s="522"/>
      <c r="C1612" s="836">
        <v>2038</v>
      </c>
      <c r="D1612" s="520">
        <v>24</v>
      </c>
      <c r="E1612" s="837"/>
      <c r="F1612" s="876"/>
      <c r="G1612" s="840">
        <v>94.476799999999983</v>
      </c>
      <c r="H1612" s="841">
        <v>94.476799999999983</v>
      </c>
      <c r="I1612" s="746"/>
      <c r="J1612" s="746"/>
      <c r="K1612" s="746"/>
    </row>
    <row r="1613" spans="1:11" ht="14.1" x14ac:dyDescent="0.45">
      <c r="A1613" s="522"/>
      <c r="B1613" s="522"/>
      <c r="C1613" s="836">
        <v>2039</v>
      </c>
      <c r="D1613" s="520">
        <v>25</v>
      </c>
      <c r="E1613" s="837"/>
      <c r="F1613" s="876"/>
      <c r="G1613" s="840">
        <v>94.071199999999976</v>
      </c>
      <c r="H1613" s="841">
        <v>94.071199999999976</v>
      </c>
      <c r="I1613" s="746"/>
      <c r="J1613" s="746"/>
      <c r="K1613" s="746"/>
    </row>
    <row r="1614" spans="1:11" ht="14.1" x14ac:dyDescent="0.45">
      <c r="A1614" s="522"/>
      <c r="B1614" s="522"/>
      <c r="C1614" s="836">
        <v>2040</v>
      </c>
      <c r="D1614" s="520">
        <v>26</v>
      </c>
      <c r="E1614" s="837"/>
      <c r="F1614" s="876"/>
      <c r="G1614" s="840">
        <v>93.639999999999986</v>
      </c>
      <c r="H1614" s="841">
        <v>93.639999999999986</v>
      </c>
      <c r="I1614" s="746"/>
      <c r="J1614" s="746"/>
      <c r="K1614" s="746"/>
    </row>
    <row r="1615" spans="1:11" ht="14.1" x14ac:dyDescent="0.45">
      <c r="A1615" s="522"/>
      <c r="B1615" s="522"/>
      <c r="C1615" s="836">
        <v>2041</v>
      </c>
      <c r="D1615" s="520">
        <v>27</v>
      </c>
      <c r="E1615" s="837"/>
      <c r="F1615" s="876"/>
      <c r="G1615" s="840">
        <v>93.183199999999985</v>
      </c>
      <c r="H1615" s="841">
        <v>93.183199999999985</v>
      </c>
      <c r="I1615" s="746"/>
      <c r="J1615" s="746"/>
      <c r="K1615" s="746"/>
    </row>
    <row r="1616" spans="1:11" ht="14.1" x14ac:dyDescent="0.45">
      <c r="A1616" s="523"/>
      <c r="B1616" s="524"/>
      <c r="C1616" s="836">
        <v>2042</v>
      </c>
      <c r="D1616" s="520">
        <v>28</v>
      </c>
      <c r="E1616" s="837"/>
      <c r="F1616" s="876"/>
      <c r="G1616" s="840">
        <v>92.700799999999987</v>
      </c>
      <c r="H1616" s="841">
        <v>92.700799999999987</v>
      </c>
      <c r="I1616" s="746"/>
      <c r="J1616" s="746"/>
      <c r="K1616" s="746"/>
    </row>
    <row r="1617" spans="1:11" ht="14.1" x14ac:dyDescent="0.45">
      <c r="A1617" s="746"/>
      <c r="B1617" s="524"/>
      <c r="C1617" s="836">
        <v>2043</v>
      </c>
      <c r="D1617" s="520">
        <v>29</v>
      </c>
      <c r="E1617" s="837"/>
      <c r="F1617" s="876"/>
      <c r="G1617" s="840">
        <v>92.192799999999977</v>
      </c>
      <c r="H1617" s="841">
        <v>92.192799999999977</v>
      </c>
      <c r="I1617" s="746"/>
      <c r="J1617" s="746"/>
      <c r="K1617" s="746"/>
    </row>
    <row r="1618" spans="1:11" ht="14.1" x14ac:dyDescent="0.4">
      <c r="A1618" s="746"/>
      <c r="B1618" s="746"/>
      <c r="C1618" s="836">
        <v>2044</v>
      </c>
      <c r="D1618" s="520">
        <v>30</v>
      </c>
      <c r="E1618" s="837"/>
      <c r="F1618" s="876"/>
      <c r="G1618" s="840">
        <v>91.659199999999984</v>
      </c>
      <c r="H1618" s="841">
        <v>91.659199999999984</v>
      </c>
      <c r="I1618" s="746"/>
      <c r="J1618" s="746"/>
      <c r="K1618" s="746"/>
    </row>
    <row r="1619" spans="1:11" ht="14.1" x14ac:dyDescent="0.4">
      <c r="A1619" s="746"/>
      <c r="B1619" s="746"/>
      <c r="C1619" s="836">
        <v>2045</v>
      </c>
      <c r="D1619" s="520">
        <v>31</v>
      </c>
      <c r="E1619" s="837"/>
      <c r="F1619" s="876"/>
      <c r="G1619" s="840">
        <v>91.09999999999998</v>
      </c>
      <c r="H1619" s="841">
        <v>91.09999999999998</v>
      </c>
      <c r="I1619" s="746"/>
      <c r="J1619" s="746"/>
      <c r="K1619" s="746"/>
    </row>
    <row r="1620" spans="1:11" ht="14.1" x14ac:dyDescent="0.4">
      <c r="C1620" s="836">
        <v>2046</v>
      </c>
      <c r="D1620" s="520">
        <v>32</v>
      </c>
      <c r="E1620" s="837"/>
      <c r="F1620" s="876"/>
      <c r="G1620" s="840">
        <v>90.515199999999979</v>
      </c>
      <c r="H1620" s="841">
        <v>90.515199999999979</v>
      </c>
    </row>
    <row r="1621" spans="1:11" ht="14.1" x14ac:dyDescent="0.4">
      <c r="C1621" s="836">
        <v>2047</v>
      </c>
      <c r="D1621" s="520">
        <v>33</v>
      </c>
      <c r="E1621" s="837"/>
      <c r="F1621" s="876"/>
      <c r="G1621" s="840">
        <v>89.90479999999998</v>
      </c>
      <c r="H1621" s="841">
        <v>89.90479999999998</v>
      </c>
    </row>
    <row r="1622" spans="1:11" ht="14.1" x14ac:dyDescent="0.4">
      <c r="C1622" s="836">
        <v>2048</v>
      </c>
      <c r="D1622" s="520">
        <v>34</v>
      </c>
      <c r="E1622" s="837"/>
      <c r="F1622" s="876"/>
      <c r="G1622" s="840">
        <v>89.268799999999985</v>
      </c>
      <c r="H1622" s="841">
        <v>89.268799999999985</v>
      </c>
    </row>
    <row r="1623" spans="1:11" ht="14.1" x14ac:dyDescent="0.4">
      <c r="C1623" s="836">
        <v>2049</v>
      </c>
      <c r="D1623" s="520">
        <v>35</v>
      </c>
      <c r="E1623" s="837"/>
      <c r="F1623" s="876"/>
      <c r="G1623" s="840">
        <v>88.607199999999978</v>
      </c>
      <c r="H1623" s="841">
        <v>88.607199999999978</v>
      </c>
    </row>
    <row r="1624" spans="1:11" ht="14.1" x14ac:dyDescent="0.4">
      <c r="C1624" s="836">
        <v>2050</v>
      </c>
      <c r="D1624" s="520">
        <v>36</v>
      </c>
      <c r="E1624" s="837">
        <v>91.1</v>
      </c>
      <c r="F1624" s="876">
        <v>91.1</v>
      </c>
      <c r="G1624" s="840">
        <v>87.919999999999987</v>
      </c>
      <c r="H1624" s="841">
        <v>87.919999999999987</v>
      </c>
    </row>
    <row r="1625" spans="1:11" ht="14.1" x14ac:dyDescent="0.4">
      <c r="C1625" s="836">
        <v>2051</v>
      </c>
      <c r="D1625" s="520">
        <v>37</v>
      </c>
      <c r="E1625" s="837"/>
      <c r="F1625" s="876"/>
      <c r="G1625" s="840">
        <v>87.207199999999986</v>
      </c>
      <c r="H1625" s="841">
        <v>87.207199999999986</v>
      </c>
    </row>
    <row r="1626" spans="1:11" ht="14.1" x14ac:dyDescent="0.4">
      <c r="C1626" s="836">
        <v>2052</v>
      </c>
      <c r="D1626" s="520">
        <v>38</v>
      </c>
      <c r="E1626" s="837"/>
      <c r="F1626" s="876"/>
      <c r="G1626" s="840">
        <v>86.468799999999987</v>
      </c>
      <c r="H1626" s="841">
        <v>86.468799999999987</v>
      </c>
    </row>
    <row r="1627" spans="1:11" ht="14.1" x14ac:dyDescent="0.4">
      <c r="C1627" s="836">
        <v>2053</v>
      </c>
      <c r="D1627" s="520">
        <v>39</v>
      </c>
      <c r="E1627" s="837"/>
      <c r="F1627" s="876"/>
      <c r="G1627" s="840">
        <v>85.704799999999977</v>
      </c>
      <c r="H1627" s="841">
        <v>85.704799999999977</v>
      </c>
    </row>
    <row r="1628" spans="1:11" ht="14.1" x14ac:dyDescent="0.4">
      <c r="C1628" s="836">
        <v>2054</v>
      </c>
      <c r="D1628" s="520">
        <v>40</v>
      </c>
      <c r="E1628" s="837"/>
      <c r="F1628" s="876"/>
      <c r="G1628" s="840">
        <v>84.915199999999984</v>
      </c>
      <c r="H1628" s="841">
        <v>84.915199999999984</v>
      </c>
    </row>
    <row r="1629" spans="1:11" ht="14.1" x14ac:dyDescent="0.4">
      <c r="C1629" s="843">
        <v>2055</v>
      </c>
      <c r="D1629" s="520">
        <v>41</v>
      </c>
      <c r="E1629" s="837"/>
      <c r="F1629" s="876"/>
      <c r="G1629" s="840">
        <v>84.09999999999998</v>
      </c>
      <c r="H1629" s="841">
        <v>84.09999999999998</v>
      </c>
    </row>
    <row r="1632" spans="1:11" ht="15" x14ac:dyDescent="0.5">
      <c r="A1632" s="621" t="str">
        <f ca="1">HYPERLINK("#"&amp;"'"&amp;A$1&amp;"'!a1","Back to top")</f>
        <v>Back to top</v>
      </c>
    </row>
    <row r="1635" spans="1:11" ht="15" x14ac:dyDescent="0.5">
      <c r="A1635" s="508">
        <v>23</v>
      </c>
      <c r="B1635" s="509" t="s">
        <v>1023</v>
      </c>
      <c r="C1635" s="787"/>
      <c r="D1635" s="787"/>
      <c r="E1635" s="787"/>
      <c r="F1635" s="787"/>
      <c r="G1635" s="787"/>
      <c r="H1635" s="787"/>
      <c r="I1635" s="787"/>
      <c r="J1635" s="787"/>
      <c r="K1635" s="787"/>
    </row>
    <row r="1636" spans="1:11" ht="15" x14ac:dyDescent="0.5">
      <c r="A1636" s="510" t="s">
        <v>260</v>
      </c>
      <c r="B1636" s="511"/>
      <c r="C1636" s="511"/>
      <c r="D1636" s="223"/>
      <c r="E1636" s="512"/>
      <c r="F1636" s="1309"/>
      <c r="G1636" s="512"/>
      <c r="H1636" s="513"/>
      <c r="I1636" s="746"/>
      <c r="J1636" s="746"/>
      <c r="K1636" s="746"/>
    </row>
    <row r="1637" spans="1:11" ht="15.3" thickBot="1" x14ac:dyDescent="0.5">
      <c r="A1637" s="872" t="s">
        <v>603</v>
      </c>
      <c r="B1637" s="514"/>
      <c r="C1637" s="514"/>
      <c r="D1637" s="515"/>
      <c r="E1637" s="516" t="s">
        <v>222</v>
      </c>
      <c r="F1637" s="1310"/>
      <c r="G1637" s="873" t="e">
        <v>#DIV/0!</v>
      </c>
      <c r="H1637" s="513"/>
      <c r="I1637" s="746"/>
      <c r="J1637" s="746"/>
      <c r="K1637" s="746"/>
    </row>
    <row r="1638" spans="1:11" ht="37.200000000000003" thickBot="1" x14ac:dyDescent="0.5">
      <c r="A1638" s="517"/>
      <c r="B1638" s="517"/>
      <c r="C1638" s="517"/>
      <c r="D1638" s="518"/>
      <c r="E1638" s="873" t="s">
        <v>724</v>
      </c>
      <c r="F1638" s="873" t="s">
        <v>664</v>
      </c>
      <c r="G1638" s="874" t="s">
        <v>723</v>
      </c>
      <c r="H1638" s="873" t="s">
        <v>667</v>
      </c>
      <c r="I1638" s="873" t="s">
        <v>1018</v>
      </c>
      <c r="J1638" s="1297" t="s">
        <v>668</v>
      </c>
      <c r="K1638" s="1298"/>
    </row>
    <row r="1639" spans="1:11" ht="15" x14ac:dyDescent="0.5">
      <c r="A1639" s="510" t="s">
        <v>268</v>
      </c>
      <c r="B1639" s="517"/>
      <c r="C1639" s="788">
        <v>2000</v>
      </c>
      <c r="D1639" s="519">
        <v>-14</v>
      </c>
      <c r="E1639" s="875">
        <v>301.3</v>
      </c>
      <c r="F1639" s="876">
        <v>301.3</v>
      </c>
      <c r="G1639" s="877">
        <v>495.32749999999999</v>
      </c>
      <c r="H1639" s="878">
        <v>495.32749999999999</v>
      </c>
      <c r="I1639" s="1303" t="s">
        <v>269</v>
      </c>
      <c r="J1639" s="1299"/>
      <c r="K1639" s="1300"/>
    </row>
    <row r="1640" spans="1:11" ht="15" x14ac:dyDescent="0.45">
      <c r="A1640" s="872" t="s">
        <v>46</v>
      </c>
      <c r="B1640" s="517"/>
      <c r="C1640" s="836">
        <v>2001</v>
      </c>
      <c r="D1640" s="520">
        <v>-13</v>
      </c>
      <c r="E1640" s="837"/>
      <c r="F1640" s="876"/>
      <c r="G1640" s="838">
        <v>531.25839999999994</v>
      </c>
      <c r="H1640" s="839">
        <v>531.25839999999994</v>
      </c>
      <c r="I1640" s="1304"/>
      <c r="J1640" s="1299"/>
      <c r="K1640" s="1300"/>
    </row>
    <row r="1641" spans="1:11" ht="14.05" customHeight="1" x14ac:dyDescent="0.45">
      <c r="A1641" s="517"/>
      <c r="B1641" s="517"/>
      <c r="C1641" s="836">
        <v>2002</v>
      </c>
      <c r="D1641" s="520">
        <v>-12</v>
      </c>
      <c r="E1641" s="837"/>
      <c r="F1641" s="876"/>
      <c r="G1641" s="838">
        <v>566.23109999999997</v>
      </c>
      <c r="H1641" s="839">
        <v>566.23109999999997</v>
      </c>
      <c r="I1641" s="1304"/>
      <c r="J1641" s="1299"/>
      <c r="K1641" s="1300"/>
    </row>
    <row r="1642" spans="1:11" ht="15" x14ac:dyDescent="0.45">
      <c r="A1642" s="676" t="s">
        <v>270</v>
      </c>
      <c r="B1642" s="517"/>
      <c r="C1642" s="836">
        <v>2003</v>
      </c>
      <c r="D1642" s="520">
        <v>-11</v>
      </c>
      <c r="E1642" s="837"/>
      <c r="F1642" s="876"/>
      <c r="G1642" s="838">
        <v>600.24559999999997</v>
      </c>
      <c r="H1642" s="839">
        <v>600.24559999999997</v>
      </c>
      <c r="I1642" s="1304"/>
      <c r="J1642" s="1301"/>
      <c r="K1642" s="1302"/>
    </row>
    <row r="1643" spans="1:11" ht="14.1" x14ac:dyDescent="0.45">
      <c r="A1643" s="1306" t="s">
        <v>1019</v>
      </c>
      <c r="B1643" s="517"/>
      <c r="C1643" s="836">
        <v>2004</v>
      </c>
      <c r="D1643" s="520">
        <v>-10</v>
      </c>
      <c r="E1643" s="837"/>
      <c r="F1643" s="876"/>
      <c r="G1643" s="838">
        <v>633.30190000000005</v>
      </c>
      <c r="H1643" s="839">
        <v>633.30190000000005</v>
      </c>
      <c r="I1643" s="1304"/>
      <c r="J1643" s="746"/>
      <c r="K1643" s="746"/>
    </row>
    <row r="1644" spans="1:11" ht="14.1" x14ac:dyDescent="0.45">
      <c r="A1644" s="1307"/>
      <c r="B1644" s="517"/>
      <c r="C1644" s="836">
        <v>2005</v>
      </c>
      <c r="D1644" s="520">
        <v>-9</v>
      </c>
      <c r="E1644" s="837"/>
      <c r="F1644" s="876"/>
      <c r="G1644" s="838">
        <v>665.40000000000009</v>
      </c>
      <c r="H1644" s="839">
        <v>665.40000000000009</v>
      </c>
      <c r="I1644" s="1304"/>
      <c r="J1644" s="746"/>
      <c r="K1644" s="746"/>
    </row>
    <row r="1645" spans="1:11" ht="14.1" x14ac:dyDescent="0.45">
      <c r="A1645" s="1307"/>
      <c r="B1645" s="517"/>
      <c r="C1645" s="836">
        <v>2006</v>
      </c>
      <c r="D1645" s="520">
        <v>-8</v>
      </c>
      <c r="E1645" s="837"/>
      <c r="F1645" s="876"/>
      <c r="G1645" s="838">
        <v>696.53989999999999</v>
      </c>
      <c r="H1645" s="839">
        <v>696.53989999999999</v>
      </c>
      <c r="I1645" s="1305"/>
      <c r="J1645" s="746"/>
      <c r="K1645" s="746"/>
    </row>
    <row r="1646" spans="1:11" ht="14.1" x14ac:dyDescent="0.45">
      <c r="A1646" s="1308"/>
      <c r="B1646" s="517"/>
      <c r="C1646" s="836">
        <v>2007</v>
      </c>
      <c r="D1646" s="520">
        <v>-7</v>
      </c>
      <c r="E1646" s="837"/>
      <c r="F1646" s="876"/>
      <c r="G1646" s="840">
        <v>726.72160000000008</v>
      </c>
      <c r="H1646" s="841">
        <v>726.72160000000008</v>
      </c>
      <c r="I1646" s="789" t="s">
        <v>272</v>
      </c>
      <c r="J1646" s="746"/>
      <c r="K1646" s="746"/>
    </row>
    <row r="1647" spans="1:11" ht="14.1" x14ac:dyDescent="0.45">
      <c r="A1647" s="517"/>
      <c r="B1647" s="517"/>
      <c r="C1647" s="836">
        <v>2008</v>
      </c>
      <c r="D1647" s="520">
        <v>-6</v>
      </c>
      <c r="E1647" s="837"/>
      <c r="F1647" s="876"/>
      <c r="G1647" s="840">
        <v>755.94510000000002</v>
      </c>
      <c r="H1647" s="841">
        <v>755.94510000000002</v>
      </c>
      <c r="I1647" s="746"/>
      <c r="J1647" s="746"/>
      <c r="K1647" s="746"/>
    </row>
    <row r="1648" spans="1:11" ht="15" x14ac:dyDescent="0.5">
      <c r="A1648" s="521" t="s">
        <v>273</v>
      </c>
      <c r="B1648" s="517"/>
      <c r="C1648" s="836">
        <v>2009</v>
      </c>
      <c r="D1648" s="520">
        <v>-5</v>
      </c>
      <c r="E1648" s="837"/>
      <c r="F1648" s="876"/>
      <c r="G1648" s="840">
        <v>784.21040000000005</v>
      </c>
      <c r="H1648" s="841">
        <v>784.21040000000005</v>
      </c>
      <c r="I1648" s="746"/>
      <c r="J1648" s="746"/>
      <c r="K1648" s="746"/>
    </row>
    <row r="1649" spans="1:11" ht="15" x14ac:dyDescent="0.45">
      <c r="A1649" s="842">
        <v>2019</v>
      </c>
      <c r="B1649" s="514"/>
      <c r="C1649" s="836">
        <v>2010</v>
      </c>
      <c r="D1649" s="520">
        <v>-4</v>
      </c>
      <c r="E1649" s="837">
        <v>665.4</v>
      </c>
      <c r="F1649" s="876">
        <v>665.4</v>
      </c>
      <c r="G1649" s="840">
        <v>811.51750000000004</v>
      </c>
      <c r="H1649" s="841">
        <v>811.51750000000004</v>
      </c>
      <c r="I1649" s="746"/>
      <c r="J1649" s="746"/>
      <c r="K1649" s="746"/>
    </row>
    <row r="1650" spans="1:11" ht="14.1" x14ac:dyDescent="0.45">
      <c r="A1650" s="746"/>
      <c r="B1650" s="514"/>
      <c r="C1650" s="836">
        <v>2011</v>
      </c>
      <c r="D1650" s="520">
        <v>-3</v>
      </c>
      <c r="E1650" s="837"/>
      <c r="F1650" s="876"/>
      <c r="G1650" s="840">
        <v>837.86640000000011</v>
      </c>
      <c r="H1650" s="841">
        <v>837.86640000000011</v>
      </c>
      <c r="I1650" s="746"/>
      <c r="J1650" s="746"/>
      <c r="K1650" s="746"/>
    </row>
    <row r="1651" spans="1:11" ht="15" x14ac:dyDescent="0.5">
      <c r="A1651" s="521" t="s">
        <v>274</v>
      </c>
      <c r="B1651" s="514"/>
      <c r="C1651" s="836">
        <v>2012</v>
      </c>
      <c r="D1651" s="520">
        <v>-2</v>
      </c>
      <c r="E1651" s="837"/>
      <c r="F1651" s="876"/>
      <c r="G1651" s="840">
        <v>863.25710000000004</v>
      </c>
      <c r="H1651" s="841">
        <v>863.25710000000004</v>
      </c>
      <c r="I1651" s="746"/>
      <c r="J1651" s="746"/>
      <c r="K1651" s="746"/>
    </row>
    <row r="1652" spans="1:11" ht="15" x14ac:dyDescent="0.45">
      <c r="A1652" s="842" t="s">
        <v>724</v>
      </c>
      <c r="B1652" s="514"/>
      <c r="C1652" s="836">
        <v>2013</v>
      </c>
      <c r="D1652" s="520">
        <v>-1</v>
      </c>
      <c r="E1652" s="837"/>
      <c r="F1652" s="876"/>
      <c r="G1652" s="840">
        <v>887.68960000000004</v>
      </c>
      <c r="H1652" s="841">
        <v>887.68960000000004</v>
      </c>
      <c r="I1652" s="746"/>
      <c r="J1652" s="746"/>
      <c r="K1652" s="746"/>
    </row>
    <row r="1653" spans="1:11" ht="15" x14ac:dyDescent="0.5">
      <c r="A1653" s="790"/>
      <c r="B1653" s="522"/>
      <c r="C1653" s="836">
        <v>2014</v>
      </c>
      <c r="D1653" s="520">
        <v>0</v>
      </c>
      <c r="E1653" s="837"/>
      <c r="F1653" s="876"/>
      <c r="G1653" s="840">
        <v>911.16390000000001</v>
      </c>
      <c r="H1653" s="841">
        <v>911.16390000000001</v>
      </c>
      <c r="I1653" s="746"/>
      <c r="J1653" s="746"/>
      <c r="K1653" s="746"/>
    </row>
    <row r="1654" spans="1:11" ht="15" x14ac:dyDescent="0.45">
      <c r="A1654" s="943" t="s">
        <v>275</v>
      </c>
      <c r="B1654" s="514"/>
      <c r="C1654" s="836">
        <v>2015</v>
      </c>
      <c r="D1654" s="520">
        <v>1</v>
      </c>
      <c r="E1654" s="837"/>
      <c r="F1654" s="876"/>
      <c r="G1654" s="840">
        <v>933.68000000000006</v>
      </c>
      <c r="H1654" s="841">
        <v>933.68000000000006</v>
      </c>
      <c r="I1654" s="746"/>
      <c r="J1654" s="746"/>
      <c r="K1654" s="746"/>
    </row>
    <row r="1655" spans="1:11" ht="15" x14ac:dyDescent="0.45">
      <c r="A1655" s="791"/>
      <c r="B1655" s="514"/>
      <c r="C1655" s="836">
        <v>2016</v>
      </c>
      <c r="D1655" s="520">
        <v>2</v>
      </c>
      <c r="E1655" s="837"/>
      <c r="F1655" s="876"/>
      <c r="G1655" s="840">
        <v>955.23790000000008</v>
      </c>
      <c r="H1655" s="841">
        <v>955.23790000000008</v>
      </c>
      <c r="I1655" s="746"/>
      <c r="J1655" s="746"/>
      <c r="K1655" s="746"/>
    </row>
    <row r="1656" spans="1:11" ht="15" x14ac:dyDescent="0.45">
      <c r="A1656" s="892"/>
      <c r="B1656" s="514"/>
      <c r="C1656" s="836">
        <v>2017</v>
      </c>
      <c r="D1656" s="520">
        <v>3</v>
      </c>
      <c r="E1656" s="837"/>
      <c r="F1656" s="876"/>
      <c r="G1656" s="840">
        <v>975.83760000000007</v>
      </c>
      <c r="H1656" s="841">
        <v>975.83760000000007</v>
      </c>
      <c r="I1656" s="746"/>
      <c r="J1656" s="746"/>
      <c r="K1656" s="746"/>
    </row>
    <row r="1657" spans="1:11" ht="15" x14ac:dyDescent="0.45">
      <c r="A1657" s="842"/>
      <c r="B1657" s="514"/>
      <c r="C1657" s="836">
        <v>2018</v>
      </c>
      <c r="D1657" s="520">
        <v>4</v>
      </c>
      <c r="E1657" s="837"/>
      <c r="F1657" s="876"/>
      <c r="G1657" s="840">
        <v>995.47910000000002</v>
      </c>
      <c r="H1657" s="841">
        <v>995.47910000000002</v>
      </c>
      <c r="I1657" s="746"/>
      <c r="J1657" s="746"/>
      <c r="K1657" s="746"/>
    </row>
    <row r="1658" spans="1:11" ht="14.1" x14ac:dyDescent="0.45">
      <c r="A1658" s="514"/>
      <c r="B1658" s="514"/>
      <c r="C1658" s="836">
        <v>2019</v>
      </c>
      <c r="D1658" s="520">
        <v>5</v>
      </c>
      <c r="E1658" s="837"/>
      <c r="F1658" s="876"/>
      <c r="G1658" s="840">
        <v>1014.1624</v>
      </c>
      <c r="H1658" s="841">
        <v>1014.1624</v>
      </c>
      <c r="I1658" s="746"/>
      <c r="J1658" s="746"/>
      <c r="K1658" s="746"/>
    </row>
    <row r="1659" spans="1:11" ht="14.1" x14ac:dyDescent="0.45">
      <c r="A1659" s="514"/>
      <c r="B1659" s="514"/>
      <c r="C1659" s="836">
        <v>2020</v>
      </c>
      <c r="D1659" s="520">
        <v>6</v>
      </c>
      <c r="E1659" s="837"/>
      <c r="F1659" s="876"/>
      <c r="G1659" s="840">
        <v>1031.8875</v>
      </c>
      <c r="H1659" s="841">
        <v>1031.8875</v>
      </c>
      <c r="I1659" s="746"/>
      <c r="J1659" s="746"/>
      <c r="K1659" s="746"/>
    </row>
    <row r="1660" spans="1:11" ht="14.1" x14ac:dyDescent="0.45">
      <c r="A1660" s="514"/>
      <c r="B1660" s="514"/>
      <c r="C1660" s="836">
        <v>2021</v>
      </c>
      <c r="D1660" s="520">
        <v>7</v>
      </c>
      <c r="E1660" s="837"/>
      <c r="F1660" s="876"/>
      <c r="G1660" s="840">
        <v>1048.6544000000001</v>
      </c>
      <c r="H1660" s="841">
        <v>1048.6544000000001</v>
      </c>
      <c r="I1660" s="746"/>
      <c r="J1660" s="746"/>
      <c r="K1660" s="746"/>
    </row>
    <row r="1661" spans="1:11" ht="14.1" x14ac:dyDescent="0.45">
      <c r="A1661" s="514"/>
      <c r="B1661" s="514"/>
      <c r="C1661" s="836">
        <v>2022</v>
      </c>
      <c r="D1661" s="520">
        <v>8</v>
      </c>
      <c r="E1661" s="837"/>
      <c r="F1661" s="876"/>
      <c r="G1661" s="840">
        <v>1064.4630999999999</v>
      </c>
      <c r="H1661" s="841">
        <v>1064.4630999999999</v>
      </c>
      <c r="I1661" s="746"/>
      <c r="J1661" s="746"/>
      <c r="K1661" s="746"/>
    </row>
    <row r="1662" spans="1:11" ht="14.1" x14ac:dyDescent="0.45">
      <c r="A1662" s="514"/>
      <c r="B1662" s="514"/>
      <c r="C1662" s="836">
        <v>2023</v>
      </c>
      <c r="D1662" s="520">
        <v>9</v>
      </c>
      <c r="E1662" s="837"/>
      <c r="F1662" s="876"/>
      <c r="G1662" s="840">
        <v>1079.3136</v>
      </c>
      <c r="H1662" s="841">
        <v>1079.3136</v>
      </c>
      <c r="I1662" s="746"/>
      <c r="J1662" s="746"/>
      <c r="K1662" s="746"/>
    </row>
    <row r="1663" spans="1:11" ht="14.1" x14ac:dyDescent="0.45">
      <c r="A1663" s="514"/>
      <c r="B1663" s="514"/>
      <c r="C1663" s="836">
        <v>2024</v>
      </c>
      <c r="D1663" s="520">
        <v>10</v>
      </c>
      <c r="E1663" s="837"/>
      <c r="F1663" s="876"/>
      <c r="G1663" s="840">
        <v>1093.2059000000002</v>
      </c>
      <c r="H1663" s="841">
        <v>1093.2059000000002</v>
      </c>
      <c r="I1663" s="746"/>
      <c r="J1663" s="746"/>
      <c r="K1663" s="746"/>
    </row>
    <row r="1664" spans="1:11" ht="14.1" x14ac:dyDescent="0.45">
      <c r="A1664" s="514"/>
      <c r="B1664" s="514"/>
      <c r="C1664" s="836">
        <v>2025</v>
      </c>
      <c r="D1664" s="520">
        <v>11</v>
      </c>
      <c r="E1664" s="837"/>
      <c r="F1664" s="876"/>
      <c r="G1664" s="840">
        <v>1106.1400000000001</v>
      </c>
      <c r="H1664" s="841">
        <v>1106.1400000000001</v>
      </c>
      <c r="I1664" s="746"/>
      <c r="J1664" s="746"/>
      <c r="K1664" s="746"/>
    </row>
    <row r="1665" spans="1:11" ht="14.1" x14ac:dyDescent="0.45">
      <c r="A1665" s="514"/>
      <c r="B1665" s="514"/>
      <c r="C1665" s="836">
        <v>2026</v>
      </c>
      <c r="D1665" s="520">
        <v>12</v>
      </c>
      <c r="E1665" s="837"/>
      <c r="F1665" s="876"/>
      <c r="G1665" s="840">
        <v>1118.1159000000002</v>
      </c>
      <c r="H1665" s="841">
        <v>1118.1159000000002</v>
      </c>
      <c r="I1665" s="746"/>
      <c r="J1665" s="746"/>
      <c r="K1665" s="746"/>
    </row>
    <row r="1666" spans="1:11" ht="14.1" x14ac:dyDescent="0.45">
      <c r="A1666" s="514"/>
      <c r="B1666" s="514"/>
      <c r="C1666" s="836">
        <v>2027</v>
      </c>
      <c r="D1666" s="520">
        <v>13</v>
      </c>
      <c r="E1666" s="837"/>
      <c r="F1666" s="876"/>
      <c r="G1666" s="840">
        <v>1129.1336000000001</v>
      </c>
      <c r="H1666" s="841">
        <v>1129.1336000000001</v>
      </c>
      <c r="I1666" s="746"/>
      <c r="J1666" s="746"/>
      <c r="K1666" s="746"/>
    </row>
    <row r="1667" spans="1:11" ht="14.1" x14ac:dyDescent="0.45">
      <c r="A1667" s="522"/>
      <c r="B1667" s="522"/>
      <c r="C1667" s="836">
        <v>2028</v>
      </c>
      <c r="D1667" s="520">
        <v>14</v>
      </c>
      <c r="E1667" s="837"/>
      <c r="F1667" s="876"/>
      <c r="G1667" s="840">
        <v>1139.1931</v>
      </c>
      <c r="H1667" s="841">
        <v>1139.1931</v>
      </c>
      <c r="I1667" s="746"/>
      <c r="J1667" s="746"/>
      <c r="K1667" s="746"/>
    </row>
    <row r="1668" spans="1:11" ht="14.1" x14ac:dyDescent="0.45">
      <c r="A1668" s="522"/>
      <c r="B1668" s="522"/>
      <c r="C1668" s="836">
        <v>2029</v>
      </c>
      <c r="D1668" s="520">
        <v>15</v>
      </c>
      <c r="E1668" s="837"/>
      <c r="F1668" s="876"/>
      <c r="G1668" s="840">
        <v>1148.2944</v>
      </c>
      <c r="H1668" s="841">
        <v>1148.2944</v>
      </c>
      <c r="I1668" s="746"/>
      <c r="J1668" s="746"/>
      <c r="K1668" s="746"/>
    </row>
    <row r="1669" spans="1:11" ht="14.1" x14ac:dyDescent="0.45">
      <c r="A1669" s="522"/>
      <c r="B1669" s="522"/>
      <c r="C1669" s="836">
        <v>2030</v>
      </c>
      <c r="D1669" s="520">
        <v>16</v>
      </c>
      <c r="E1669" s="837"/>
      <c r="F1669" s="876"/>
      <c r="G1669" s="840">
        <v>1156.4375</v>
      </c>
      <c r="H1669" s="841">
        <v>1156.4375</v>
      </c>
      <c r="I1669" s="746"/>
      <c r="J1669" s="746"/>
      <c r="K1669" s="746"/>
    </row>
    <row r="1670" spans="1:11" ht="14.1" x14ac:dyDescent="0.45">
      <c r="A1670" s="522"/>
      <c r="B1670" s="522"/>
      <c r="C1670" s="836">
        <v>2031</v>
      </c>
      <c r="D1670" s="520">
        <v>17</v>
      </c>
      <c r="E1670" s="837"/>
      <c r="F1670" s="876"/>
      <c r="G1670" s="840">
        <v>1163.6224000000002</v>
      </c>
      <c r="H1670" s="841">
        <v>1163.6224000000002</v>
      </c>
      <c r="I1670" s="746"/>
      <c r="J1670" s="746"/>
      <c r="K1670" s="746"/>
    </row>
    <row r="1671" spans="1:11" ht="14.1" x14ac:dyDescent="0.45">
      <c r="A1671" s="522"/>
      <c r="B1671" s="522"/>
      <c r="C1671" s="836">
        <v>2032</v>
      </c>
      <c r="D1671" s="520">
        <v>18</v>
      </c>
      <c r="E1671" s="837"/>
      <c r="F1671" s="876"/>
      <c r="G1671" s="840">
        <v>1169.8491000000001</v>
      </c>
      <c r="H1671" s="841">
        <v>1169.8491000000001</v>
      </c>
      <c r="I1671" s="746"/>
      <c r="J1671" s="746"/>
      <c r="K1671" s="746"/>
    </row>
    <row r="1672" spans="1:11" ht="14.1" x14ac:dyDescent="0.45">
      <c r="A1672" s="522"/>
      <c r="B1672" s="522"/>
      <c r="C1672" s="836">
        <v>2033</v>
      </c>
      <c r="D1672" s="520">
        <v>19</v>
      </c>
      <c r="E1672" s="837"/>
      <c r="F1672" s="876"/>
      <c r="G1672" s="840">
        <v>1175.1176</v>
      </c>
      <c r="H1672" s="841">
        <v>1175.1176</v>
      </c>
      <c r="I1672" s="746"/>
      <c r="J1672" s="746"/>
      <c r="K1672" s="746"/>
    </row>
    <row r="1673" spans="1:11" ht="14.1" x14ac:dyDescent="0.45">
      <c r="A1673" s="522"/>
      <c r="B1673" s="522"/>
      <c r="C1673" s="836">
        <v>2034</v>
      </c>
      <c r="D1673" s="520">
        <v>20</v>
      </c>
      <c r="E1673" s="837"/>
      <c r="F1673" s="876"/>
      <c r="G1673" s="840">
        <v>1179.4279000000001</v>
      </c>
      <c r="H1673" s="841">
        <v>1179.4279000000001</v>
      </c>
      <c r="I1673" s="746"/>
      <c r="J1673" s="746"/>
      <c r="K1673" s="746"/>
    </row>
    <row r="1674" spans="1:11" ht="14.1" x14ac:dyDescent="0.45">
      <c r="A1674" s="522"/>
      <c r="B1674" s="522"/>
      <c r="C1674" s="836">
        <v>2035</v>
      </c>
      <c r="D1674" s="520">
        <v>21</v>
      </c>
      <c r="E1674" s="837"/>
      <c r="F1674" s="876"/>
      <c r="G1674" s="840">
        <v>1182.7800000000002</v>
      </c>
      <c r="H1674" s="841">
        <v>1182.7800000000002</v>
      </c>
      <c r="I1674" s="746"/>
      <c r="J1674" s="746"/>
      <c r="K1674" s="746"/>
    </row>
    <row r="1675" spans="1:11" ht="14.1" x14ac:dyDescent="0.45">
      <c r="A1675" s="522"/>
      <c r="B1675" s="522"/>
      <c r="C1675" s="836">
        <v>2036</v>
      </c>
      <c r="D1675" s="520">
        <v>22</v>
      </c>
      <c r="E1675" s="837"/>
      <c r="F1675" s="876"/>
      <c r="G1675" s="840">
        <v>1185.1739000000002</v>
      </c>
      <c r="H1675" s="841">
        <v>1185.1739000000002</v>
      </c>
      <c r="I1675" s="746"/>
      <c r="J1675" s="746"/>
      <c r="K1675" s="746"/>
    </row>
    <row r="1676" spans="1:11" ht="14.1" x14ac:dyDescent="0.45">
      <c r="A1676" s="522"/>
      <c r="B1676" s="522"/>
      <c r="C1676" s="836">
        <v>2037</v>
      </c>
      <c r="D1676" s="520">
        <v>23</v>
      </c>
      <c r="E1676" s="837"/>
      <c r="F1676" s="876"/>
      <c r="G1676" s="840">
        <v>1186.6096000000002</v>
      </c>
      <c r="H1676" s="841">
        <v>1186.6096000000002</v>
      </c>
      <c r="I1676" s="746"/>
      <c r="J1676" s="746"/>
      <c r="K1676" s="746"/>
    </row>
    <row r="1677" spans="1:11" ht="14.1" x14ac:dyDescent="0.45">
      <c r="A1677" s="522"/>
      <c r="B1677" s="522"/>
      <c r="C1677" s="836">
        <v>2038</v>
      </c>
      <c r="D1677" s="520">
        <v>24</v>
      </c>
      <c r="E1677" s="837"/>
      <c r="F1677" s="876"/>
      <c r="G1677" s="840">
        <v>1187.0871000000002</v>
      </c>
      <c r="H1677" s="841">
        <v>1187.0871000000002</v>
      </c>
      <c r="I1677" s="746"/>
      <c r="J1677" s="746"/>
      <c r="K1677" s="746"/>
    </row>
    <row r="1678" spans="1:11" ht="14.1" x14ac:dyDescent="0.45">
      <c r="A1678" s="522"/>
      <c r="B1678" s="522"/>
      <c r="C1678" s="836">
        <v>2039</v>
      </c>
      <c r="D1678" s="520">
        <v>25</v>
      </c>
      <c r="E1678" s="837"/>
      <c r="F1678" s="876"/>
      <c r="G1678" s="840">
        <v>1186.6064000000001</v>
      </c>
      <c r="H1678" s="841">
        <v>1186.6064000000001</v>
      </c>
      <c r="I1678" s="746"/>
      <c r="J1678" s="746"/>
      <c r="K1678" s="746"/>
    </row>
    <row r="1679" spans="1:11" ht="14.1" x14ac:dyDescent="0.45">
      <c r="A1679" s="522"/>
      <c r="B1679" s="522"/>
      <c r="C1679" s="836">
        <v>2040</v>
      </c>
      <c r="D1679" s="520">
        <v>26</v>
      </c>
      <c r="E1679" s="837"/>
      <c r="F1679" s="876"/>
      <c r="G1679" s="840">
        <v>1185.1675</v>
      </c>
      <c r="H1679" s="841">
        <v>1185.1675</v>
      </c>
      <c r="I1679" s="746"/>
      <c r="J1679" s="746"/>
      <c r="K1679" s="746"/>
    </row>
    <row r="1680" spans="1:11" ht="14.1" x14ac:dyDescent="0.45">
      <c r="A1680" s="522"/>
      <c r="B1680" s="522"/>
      <c r="C1680" s="836">
        <v>2041</v>
      </c>
      <c r="D1680" s="520">
        <v>27</v>
      </c>
      <c r="E1680" s="837"/>
      <c r="F1680" s="876"/>
      <c r="G1680" s="840">
        <v>1182.7704000000001</v>
      </c>
      <c r="H1680" s="841">
        <v>1182.7704000000001</v>
      </c>
      <c r="I1680" s="746"/>
      <c r="J1680" s="746"/>
      <c r="K1680" s="746"/>
    </row>
    <row r="1681" spans="1:11" ht="14.1" x14ac:dyDescent="0.45">
      <c r="A1681" s="523"/>
      <c r="B1681" s="524"/>
      <c r="C1681" s="836">
        <v>2042</v>
      </c>
      <c r="D1681" s="520">
        <v>28</v>
      </c>
      <c r="E1681" s="837"/>
      <c r="F1681" s="876"/>
      <c r="G1681" s="840">
        <v>1179.4151000000002</v>
      </c>
      <c r="H1681" s="841">
        <v>1179.4151000000002</v>
      </c>
      <c r="I1681" s="746"/>
      <c r="J1681" s="746"/>
      <c r="K1681" s="746"/>
    </row>
    <row r="1682" spans="1:11" ht="14.1" x14ac:dyDescent="0.45">
      <c r="A1682" s="746"/>
      <c r="B1682" s="524"/>
      <c r="C1682" s="836">
        <v>2043</v>
      </c>
      <c r="D1682" s="520">
        <v>29</v>
      </c>
      <c r="E1682" s="837"/>
      <c r="F1682" s="876"/>
      <c r="G1682" s="840">
        <v>1175.1016</v>
      </c>
      <c r="H1682" s="841">
        <v>1175.1016</v>
      </c>
      <c r="I1682" s="746"/>
      <c r="J1682" s="746"/>
      <c r="K1682" s="746"/>
    </row>
    <row r="1683" spans="1:11" ht="14.1" x14ac:dyDescent="0.4">
      <c r="A1683" s="746"/>
      <c r="B1683" s="746"/>
      <c r="C1683" s="836">
        <v>2044</v>
      </c>
      <c r="D1683" s="520">
        <v>30</v>
      </c>
      <c r="E1683" s="837"/>
      <c r="F1683" s="876"/>
      <c r="G1683" s="840">
        <v>1169.8299000000002</v>
      </c>
      <c r="H1683" s="841">
        <v>1169.8299000000002</v>
      </c>
      <c r="I1683" s="746"/>
      <c r="J1683" s="746"/>
      <c r="K1683" s="746"/>
    </row>
    <row r="1684" spans="1:11" ht="14.1" x14ac:dyDescent="0.4">
      <c r="A1684" s="746"/>
      <c r="B1684" s="746"/>
      <c r="C1684" s="836">
        <v>2045</v>
      </c>
      <c r="D1684" s="520">
        <v>31</v>
      </c>
      <c r="E1684" s="837"/>
      <c r="F1684" s="876"/>
      <c r="G1684" s="840">
        <v>1163.6000000000001</v>
      </c>
      <c r="H1684" s="841">
        <v>1163.6000000000001</v>
      </c>
      <c r="I1684" s="746"/>
      <c r="J1684" s="746"/>
      <c r="K1684" s="746"/>
    </row>
    <row r="1685" spans="1:11" ht="14.1" x14ac:dyDescent="0.4">
      <c r="C1685" s="836">
        <v>2046</v>
      </c>
      <c r="D1685" s="520">
        <v>32</v>
      </c>
      <c r="E1685" s="837"/>
      <c r="F1685" s="876"/>
      <c r="G1685" s="840">
        <v>1156.4119000000001</v>
      </c>
      <c r="H1685" s="841">
        <v>1156.4119000000001</v>
      </c>
    </row>
    <row r="1686" spans="1:11" ht="14.1" x14ac:dyDescent="0.4">
      <c r="C1686" s="836">
        <v>2047</v>
      </c>
      <c r="D1686" s="520">
        <v>33</v>
      </c>
      <c r="E1686" s="837"/>
      <c r="F1686" s="876"/>
      <c r="G1686" s="840">
        <v>1148.2656000000002</v>
      </c>
      <c r="H1686" s="841">
        <v>1148.2656000000002</v>
      </c>
    </row>
    <row r="1687" spans="1:11" ht="14.1" x14ac:dyDescent="0.4">
      <c r="C1687" s="836">
        <v>2048</v>
      </c>
      <c r="D1687" s="520">
        <v>34</v>
      </c>
      <c r="E1687" s="837"/>
      <c r="F1687" s="876"/>
      <c r="G1687" s="840">
        <v>1139.1611</v>
      </c>
      <c r="H1687" s="841">
        <v>1139.1611</v>
      </c>
    </row>
    <row r="1688" spans="1:11" ht="14.1" x14ac:dyDescent="0.4">
      <c r="C1688" s="836">
        <v>2049</v>
      </c>
      <c r="D1688" s="520">
        <v>35</v>
      </c>
      <c r="E1688" s="837"/>
      <c r="F1688" s="876"/>
      <c r="G1688" s="840">
        <v>1129.0983999999999</v>
      </c>
      <c r="H1688" s="841">
        <v>1129.0983999999999</v>
      </c>
    </row>
    <row r="1689" spans="1:11" ht="14.1" x14ac:dyDescent="0.4">
      <c r="C1689" s="836">
        <v>2050</v>
      </c>
      <c r="D1689" s="520">
        <v>36</v>
      </c>
      <c r="E1689" s="837">
        <v>1163.5999999999999</v>
      </c>
      <c r="F1689" s="876">
        <v>1163.5999999999999</v>
      </c>
      <c r="G1689" s="840">
        <v>1118.0774999999999</v>
      </c>
      <c r="H1689" s="841">
        <v>1118.0774999999999</v>
      </c>
    </row>
    <row r="1690" spans="1:11" ht="14.1" x14ac:dyDescent="0.4">
      <c r="C1690" s="836">
        <v>2051</v>
      </c>
      <c r="D1690" s="520">
        <v>37</v>
      </c>
      <c r="E1690" s="837"/>
      <c r="F1690" s="876"/>
      <c r="G1690" s="840">
        <v>1106.0983999999999</v>
      </c>
      <c r="H1690" s="841">
        <v>1106.0983999999999</v>
      </c>
    </row>
    <row r="1691" spans="1:11" ht="14.1" x14ac:dyDescent="0.4">
      <c r="C1691" s="836">
        <v>2052</v>
      </c>
      <c r="D1691" s="520">
        <v>38</v>
      </c>
      <c r="E1691" s="837"/>
      <c r="F1691" s="876"/>
      <c r="G1691" s="840">
        <v>1093.1611</v>
      </c>
      <c r="H1691" s="841">
        <v>1093.1611</v>
      </c>
    </row>
    <row r="1692" spans="1:11" ht="14.1" x14ac:dyDescent="0.4">
      <c r="C1692" s="836">
        <v>2053</v>
      </c>
      <c r="D1692" s="520">
        <v>39</v>
      </c>
      <c r="E1692" s="837"/>
      <c r="F1692" s="876"/>
      <c r="G1692" s="840">
        <v>1079.2656000000002</v>
      </c>
      <c r="H1692" s="841">
        <v>1079.2656000000002</v>
      </c>
    </row>
    <row r="1693" spans="1:11" ht="14.1" x14ac:dyDescent="0.4">
      <c r="C1693" s="836">
        <v>2054</v>
      </c>
      <c r="D1693" s="520">
        <v>40</v>
      </c>
      <c r="E1693" s="837"/>
      <c r="F1693" s="876"/>
      <c r="G1693" s="840">
        <v>1064.4119000000001</v>
      </c>
      <c r="H1693" s="841">
        <v>1064.4119000000001</v>
      </c>
    </row>
    <row r="1694" spans="1:11" ht="14.1" x14ac:dyDescent="0.4">
      <c r="C1694" s="843">
        <v>2055</v>
      </c>
      <c r="D1694" s="520">
        <v>41</v>
      </c>
      <c r="E1694" s="837"/>
      <c r="F1694" s="876"/>
      <c r="G1694" s="840">
        <v>1048.5999999999999</v>
      </c>
      <c r="H1694" s="841">
        <v>1048.5999999999999</v>
      </c>
    </row>
    <row r="1697" spans="1:11" ht="15" x14ac:dyDescent="0.5">
      <c r="A1697" s="621" t="str">
        <f ca="1">HYPERLINK("#"&amp;"'"&amp;A$1&amp;"'!a1","Back to top")</f>
        <v>Back to top</v>
      </c>
    </row>
    <row r="1700" spans="1:11" ht="15" x14ac:dyDescent="0.5">
      <c r="A1700" s="508">
        <v>24</v>
      </c>
      <c r="B1700" s="509" t="s">
        <v>1024</v>
      </c>
      <c r="C1700" s="787"/>
      <c r="D1700" s="787"/>
      <c r="E1700" s="787"/>
      <c r="F1700" s="787"/>
      <c r="G1700" s="787"/>
      <c r="H1700" s="787"/>
      <c r="I1700" s="787"/>
      <c r="J1700" s="787"/>
      <c r="K1700" s="787"/>
    </row>
    <row r="1701" spans="1:11" ht="15" x14ac:dyDescent="0.5">
      <c r="A1701" s="510" t="s">
        <v>260</v>
      </c>
      <c r="B1701" s="511"/>
      <c r="C1701" s="511"/>
      <c r="D1701" s="223"/>
      <c r="E1701" s="512"/>
      <c r="F1701" s="1309"/>
      <c r="G1701" s="512"/>
      <c r="H1701" s="513"/>
      <c r="I1701" s="746"/>
      <c r="J1701" s="746"/>
      <c r="K1701" s="746"/>
    </row>
    <row r="1702" spans="1:11" ht="15.3" thickBot="1" x14ac:dyDescent="0.5">
      <c r="A1702" s="872" t="s">
        <v>603</v>
      </c>
      <c r="B1702" s="514"/>
      <c r="C1702" s="514"/>
      <c r="D1702" s="515"/>
      <c r="E1702" s="516" t="s">
        <v>222</v>
      </c>
      <c r="F1702" s="1310"/>
      <c r="G1702" s="873" t="e">
        <v>#DIV/0!</v>
      </c>
      <c r="H1702" s="513"/>
      <c r="I1702" s="746"/>
      <c r="J1702" s="746"/>
      <c r="K1702" s="746"/>
    </row>
    <row r="1703" spans="1:11" ht="37.200000000000003" thickBot="1" x14ac:dyDescent="0.5">
      <c r="A1703" s="517"/>
      <c r="B1703" s="517"/>
      <c r="C1703" s="517"/>
      <c r="D1703" s="518"/>
      <c r="E1703" s="873" t="s">
        <v>724</v>
      </c>
      <c r="F1703" s="873" t="s">
        <v>664</v>
      </c>
      <c r="G1703" s="874" t="s">
        <v>723</v>
      </c>
      <c r="H1703" s="873" t="s">
        <v>667</v>
      </c>
      <c r="I1703" s="873" t="s">
        <v>1018</v>
      </c>
      <c r="J1703" s="1297" t="s">
        <v>668</v>
      </c>
      <c r="K1703" s="1298"/>
    </row>
    <row r="1704" spans="1:11" ht="15" x14ac:dyDescent="0.5">
      <c r="A1704" s="510" t="s">
        <v>268</v>
      </c>
      <c r="B1704" s="517"/>
      <c r="C1704" s="788">
        <v>2000</v>
      </c>
      <c r="D1704" s="519">
        <v>-14</v>
      </c>
      <c r="E1704" s="875">
        <v>95.4</v>
      </c>
      <c r="F1704" s="876">
        <v>95.4</v>
      </c>
      <c r="G1704" s="877">
        <v>162.40249999999997</v>
      </c>
      <c r="H1704" s="878">
        <v>162.40249999999997</v>
      </c>
      <c r="I1704" s="1303" t="s">
        <v>269</v>
      </c>
      <c r="J1704" s="1299"/>
      <c r="K1704" s="1300"/>
    </row>
    <row r="1705" spans="1:11" ht="15" x14ac:dyDescent="0.45">
      <c r="A1705" s="872" t="s">
        <v>49</v>
      </c>
      <c r="B1705" s="517"/>
      <c r="C1705" s="836">
        <v>2001</v>
      </c>
      <c r="D1705" s="520">
        <v>-13</v>
      </c>
      <c r="E1705" s="837"/>
      <c r="F1705" s="876"/>
      <c r="G1705" s="838">
        <v>175.81439999999998</v>
      </c>
      <c r="H1705" s="839">
        <v>175.81439999999998</v>
      </c>
      <c r="I1705" s="1304"/>
      <c r="J1705" s="1299"/>
      <c r="K1705" s="1300"/>
    </row>
    <row r="1706" spans="1:11" ht="14.05" customHeight="1" x14ac:dyDescent="0.45">
      <c r="A1706" s="517"/>
      <c r="B1706" s="517"/>
      <c r="C1706" s="836">
        <v>2002</v>
      </c>
      <c r="D1706" s="520">
        <v>-12</v>
      </c>
      <c r="E1706" s="837"/>
      <c r="F1706" s="876"/>
      <c r="G1706" s="838">
        <v>189.23009999999999</v>
      </c>
      <c r="H1706" s="839">
        <v>189.23009999999999</v>
      </c>
      <c r="I1706" s="1304"/>
      <c r="J1706" s="1299"/>
      <c r="K1706" s="1300"/>
    </row>
    <row r="1707" spans="1:11" ht="15" x14ac:dyDescent="0.45">
      <c r="A1707" s="676" t="s">
        <v>270</v>
      </c>
      <c r="B1707" s="517"/>
      <c r="C1707" s="836">
        <v>2003</v>
      </c>
      <c r="D1707" s="520">
        <v>-11</v>
      </c>
      <c r="E1707" s="837"/>
      <c r="F1707" s="876"/>
      <c r="G1707" s="838">
        <v>202.64960000000002</v>
      </c>
      <c r="H1707" s="839">
        <v>202.64960000000002</v>
      </c>
      <c r="I1707" s="1304"/>
      <c r="J1707" s="1301"/>
      <c r="K1707" s="1302"/>
    </row>
    <row r="1708" spans="1:11" ht="14.1" x14ac:dyDescent="0.45">
      <c r="A1708" s="1306" t="s">
        <v>1019</v>
      </c>
      <c r="B1708" s="517"/>
      <c r="C1708" s="836">
        <v>2004</v>
      </c>
      <c r="D1708" s="520">
        <v>-10</v>
      </c>
      <c r="E1708" s="837"/>
      <c r="F1708" s="876"/>
      <c r="G1708" s="838">
        <v>216.0729</v>
      </c>
      <c r="H1708" s="839">
        <v>216.0729</v>
      </c>
      <c r="I1708" s="1304"/>
      <c r="J1708" s="746"/>
      <c r="K1708" s="746"/>
    </row>
    <row r="1709" spans="1:11" ht="14.1" x14ac:dyDescent="0.45">
      <c r="A1709" s="1307"/>
      <c r="B1709" s="517"/>
      <c r="C1709" s="836">
        <v>2005</v>
      </c>
      <c r="D1709" s="520">
        <v>-9</v>
      </c>
      <c r="E1709" s="837"/>
      <c r="F1709" s="876"/>
      <c r="G1709" s="838">
        <v>229.5</v>
      </c>
      <c r="H1709" s="839">
        <v>229.5</v>
      </c>
      <c r="I1709" s="1304"/>
      <c r="J1709" s="746"/>
      <c r="K1709" s="746"/>
    </row>
    <row r="1710" spans="1:11" ht="14.1" x14ac:dyDescent="0.45">
      <c r="A1710" s="1307"/>
      <c r="B1710" s="517"/>
      <c r="C1710" s="836">
        <v>2006</v>
      </c>
      <c r="D1710" s="520">
        <v>-8</v>
      </c>
      <c r="E1710" s="837"/>
      <c r="F1710" s="876"/>
      <c r="G1710" s="838">
        <v>242.93090000000004</v>
      </c>
      <c r="H1710" s="839">
        <v>242.93090000000004</v>
      </c>
      <c r="I1710" s="1305"/>
      <c r="J1710" s="746"/>
      <c r="K1710" s="746"/>
    </row>
    <row r="1711" spans="1:11" ht="14.1" x14ac:dyDescent="0.45">
      <c r="A1711" s="1308"/>
      <c r="B1711" s="517"/>
      <c r="C1711" s="836">
        <v>2007</v>
      </c>
      <c r="D1711" s="520">
        <v>-7</v>
      </c>
      <c r="E1711" s="837"/>
      <c r="F1711" s="876"/>
      <c r="G1711" s="840">
        <v>256.36560000000003</v>
      </c>
      <c r="H1711" s="841">
        <v>256.36560000000003</v>
      </c>
      <c r="I1711" s="789" t="s">
        <v>272</v>
      </c>
      <c r="J1711" s="746"/>
      <c r="K1711" s="746"/>
    </row>
    <row r="1712" spans="1:11" ht="14.1" x14ac:dyDescent="0.45">
      <c r="A1712" s="517"/>
      <c r="B1712" s="517"/>
      <c r="C1712" s="836">
        <v>2008</v>
      </c>
      <c r="D1712" s="520">
        <v>-6</v>
      </c>
      <c r="E1712" s="837"/>
      <c r="F1712" s="876"/>
      <c r="G1712" s="840">
        <v>269.80410000000006</v>
      </c>
      <c r="H1712" s="841">
        <v>269.80410000000006</v>
      </c>
      <c r="I1712" s="746"/>
      <c r="J1712" s="746"/>
      <c r="K1712" s="746"/>
    </row>
    <row r="1713" spans="1:11" ht="15" x14ac:dyDescent="0.5">
      <c r="A1713" s="521" t="s">
        <v>273</v>
      </c>
      <c r="B1713" s="517"/>
      <c r="C1713" s="836">
        <v>2009</v>
      </c>
      <c r="D1713" s="520">
        <v>-5</v>
      </c>
      <c r="E1713" s="837"/>
      <c r="F1713" s="876"/>
      <c r="G1713" s="840">
        <v>283.24640000000005</v>
      </c>
      <c r="H1713" s="841">
        <v>283.24640000000005</v>
      </c>
      <c r="I1713" s="746"/>
      <c r="J1713" s="746"/>
      <c r="K1713" s="746"/>
    </row>
    <row r="1714" spans="1:11" ht="15" x14ac:dyDescent="0.45">
      <c r="A1714" s="842">
        <v>2019</v>
      </c>
      <c r="B1714" s="514"/>
      <c r="C1714" s="836">
        <v>2010</v>
      </c>
      <c r="D1714" s="520">
        <v>-4</v>
      </c>
      <c r="E1714" s="837">
        <v>229.5</v>
      </c>
      <c r="F1714" s="876">
        <v>229.5</v>
      </c>
      <c r="G1714" s="840">
        <v>296.69250000000005</v>
      </c>
      <c r="H1714" s="841">
        <v>296.69250000000005</v>
      </c>
      <c r="I1714" s="746"/>
      <c r="J1714" s="746"/>
      <c r="K1714" s="746"/>
    </row>
    <row r="1715" spans="1:11" ht="14.1" x14ac:dyDescent="0.45">
      <c r="A1715" s="746"/>
      <c r="B1715" s="514"/>
      <c r="C1715" s="836">
        <v>2011</v>
      </c>
      <c r="D1715" s="520">
        <v>-3</v>
      </c>
      <c r="E1715" s="837"/>
      <c r="F1715" s="876"/>
      <c r="G1715" s="840">
        <v>310.14240000000007</v>
      </c>
      <c r="H1715" s="841">
        <v>310.14240000000007</v>
      </c>
      <c r="I1715" s="746"/>
      <c r="J1715" s="746"/>
      <c r="K1715" s="746"/>
    </row>
    <row r="1716" spans="1:11" ht="15" x14ac:dyDescent="0.5">
      <c r="A1716" s="521" t="s">
        <v>274</v>
      </c>
      <c r="B1716" s="514"/>
      <c r="C1716" s="836">
        <v>2012</v>
      </c>
      <c r="D1716" s="520">
        <v>-2</v>
      </c>
      <c r="E1716" s="837"/>
      <c r="F1716" s="876"/>
      <c r="G1716" s="840">
        <v>323.59610000000009</v>
      </c>
      <c r="H1716" s="841">
        <v>323.59610000000009</v>
      </c>
      <c r="I1716" s="746"/>
      <c r="J1716" s="746"/>
      <c r="K1716" s="746"/>
    </row>
    <row r="1717" spans="1:11" ht="15" x14ac:dyDescent="0.45">
      <c r="A1717" s="842" t="s">
        <v>724</v>
      </c>
      <c r="B1717" s="514"/>
      <c r="C1717" s="836">
        <v>2013</v>
      </c>
      <c r="D1717" s="520">
        <v>-1</v>
      </c>
      <c r="E1717" s="837"/>
      <c r="F1717" s="876"/>
      <c r="G1717" s="840">
        <v>337.05360000000007</v>
      </c>
      <c r="H1717" s="841">
        <v>337.05360000000007</v>
      </c>
      <c r="I1717" s="746"/>
      <c r="J1717" s="746"/>
      <c r="K1717" s="746"/>
    </row>
    <row r="1718" spans="1:11" ht="15" x14ac:dyDescent="0.5">
      <c r="A1718" s="790"/>
      <c r="B1718" s="522"/>
      <c r="C1718" s="836">
        <v>2014</v>
      </c>
      <c r="D1718" s="520">
        <v>0</v>
      </c>
      <c r="E1718" s="837"/>
      <c r="F1718" s="876"/>
      <c r="G1718" s="840">
        <v>350.51490000000007</v>
      </c>
      <c r="H1718" s="841">
        <v>350.51490000000007</v>
      </c>
      <c r="I1718" s="746"/>
      <c r="J1718" s="746"/>
      <c r="K1718" s="746"/>
    </row>
    <row r="1719" spans="1:11" ht="15" x14ac:dyDescent="0.45">
      <c r="A1719" s="943" t="s">
        <v>275</v>
      </c>
      <c r="B1719" s="514"/>
      <c r="C1719" s="836">
        <v>2015</v>
      </c>
      <c r="D1719" s="520">
        <v>1</v>
      </c>
      <c r="E1719" s="837"/>
      <c r="F1719" s="876"/>
      <c r="G1719" s="840">
        <v>363.98000000000008</v>
      </c>
      <c r="H1719" s="841">
        <v>363.98000000000008</v>
      </c>
      <c r="I1719" s="746"/>
      <c r="J1719" s="746"/>
      <c r="K1719" s="746"/>
    </row>
    <row r="1720" spans="1:11" ht="15" x14ac:dyDescent="0.45">
      <c r="A1720" s="791"/>
      <c r="B1720" s="514"/>
      <c r="C1720" s="836">
        <v>2016</v>
      </c>
      <c r="D1720" s="520">
        <v>2</v>
      </c>
      <c r="E1720" s="837"/>
      <c r="F1720" s="876"/>
      <c r="G1720" s="840">
        <v>377.44890000000009</v>
      </c>
      <c r="H1720" s="841">
        <v>377.44890000000009</v>
      </c>
      <c r="I1720" s="746"/>
      <c r="J1720" s="746"/>
      <c r="K1720" s="746"/>
    </row>
    <row r="1721" spans="1:11" ht="15" x14ac:dyDescent="0.45">
      <c r="A1721" s="892"/>
      <c r="B1721" s="514"/>
      <c r="C1721" s="836">
        <v>2017</v>
      </c>
      <c r="D1721" s="520">
        <v>3</v>
      </c>
      <c r="E1721" s="837"/>
      <c r="F1721" s="876"/>
      <c r="G1721" s="840">
        <v>390.92160000000013</v>
      </c>
      <c r="H1721" s="841">
        <v>390.92160000000013</v>
      </c>
      <c r="I1721" s="746"/>
      <c r="J1721" s="746"/>
      <c r="K1721" s="746"/>
    </row>
    <row r="1722" spans="1:11" ht="15" x14ac:dyDescent="0.45">
      <c r="A1722" s="842"/>
      <c r="B1722" s="514"/>
      <c r="C1722" s="836">
        <v>2018</v>
      </c>
      <c r="D1722" s="520">
        <v>4</v>
      </c>
      <c r="E1722" s="837"/>
      <c r="F1722" s="876"/>
      <c r="G1722" s="840">
        <v>404.39810000000011</v>
      </c>
      <c r="H1722" s="841">
        <v>404.39810000000011</v>
      </c>
      <c r="I1722" s="746"/>
      <c r="J1722" s="746"/>
      <c r="K1722" s="746"/>
    </row>
    <row r="1723" spans="1:11" ht="14.1" x14ac:dyDescent="0.45">
      <c r="A1723" s="514"/>
      <c r="B1723" s="514"/>
      <c r="C1723" s="836">
        <v>2019</v>
      </c>
      <c r="D1723" s="520">
        <v>5</v>
      </c>
      <c r="E1723" s="837"/>
      <c r="F1723" s="876"/>
      <c r="G1723" s="840">
        <v>417.87840000000006</v>
      </c>
      <c r="H1723" s="841">
        <v>417.87840000000006</v>
      </c>
      <c r="I1723" s="746"/>
      <c r="J1723" s="746"/>
      <c r="K1723" s="746"/>
    </row>
    <row r="1724" spans="1:11" ht="14.1" x14ac:dyDescent="0.45">
      <c r="A1724" s="514"/>
      <c r="B1724" s="514"/>
      <c r="C1724" s="836">
        <v>2020</v>
      </c>
      <c r="D1724" s="520">
        <v>6</v>
      </c>
      <c r="E1724" s="837"/>
      <c r="F1724" s="876"/>
      <c r="G1724" s="840">
        <v>431.36250000000007</v>
      </c>
      <c r="H1724" s="841">
        <v>431.36250000000007</v>
      </c>
      <c r="I1724" s="746"/>
      <c r="J1724" s="746"/>
      <c r="K1724" s="746"/>
    </row>
    <row r="1725" spans="1:11" ht="14.1" x14ac:dyDescent="0.45">
      <c r="A1725" s="514"/>
      <c r="B1725" s="514"/>
      <c r="C1725" s="836">
        <v>2021</v>
      </c>
      <c r="D1725" s="520">
        <v>7</v>
      </c>
      <c r="E1725" s="837"/>
      <c r="F1725" s="876"/>
      <c r="G1725" s="840">
        <v>444.85040000000009</v>
      </c>
      <c r="H1725" s="841">
        <v>444.85040000000009</v>
      </c>
      <c r="I1725" s="746"/>
      <c r="J1725" s="746"/>
      <c r="K1725" s="746"/>
    </row>
    <row r="1726" spans="1:11" ht="14.1" x14ac:dyDescent="0.45">
      <c r="A1726" s="514"/>
      <c r="B1726" s="514"/>
      <c r="C1726" s="836">
        <v>2022</v>
      </c>
      <c r="D1726" s="520">
        <v>8</v>
      </c>
      <c r="E1726" s="837"/>
      <c r="F1726" s="876"/>
      <c r="G1726" s="840">
        <v>458.34210000000013</v>
      </c>
      <c r="H1726" s="841">
        <v>458.34210000000013</v>
      </c>
      <c r="I1726" s="746"/>
      <c r="J1726" s="746"/>
      <c r="K1726" s="746"/>
    </row>
    <row r="1727" spans="1:11" ht="14.1" x14ac:dyDescent="0.45">
      <c r="A1727" s="514"/>
      <c r="B1727" s="514"/>
      <c r="C1727" s="836">
        <v>2023</v>
      </c>
      <c r="D1727" s="520">
        <v>9</v>
      </c>
      <c r="E1727" s="837"/>
      <c r="F1727" s="876"/>
      <c r="G1727" s="840">
        <v>471.83760000000007</v>
      </c>
      <c r="H1727" s="841">
        <v>471.83760000000007</v>
      </c>
      <c r="I1727" s="746"/>
      <c r="J1727" s="746"/>
      <c r="K1727" s="746"/>
    </row>
    <row r="1728" spans="1:11" ht="14.1" x14ac:dyDescent="0.45">
      <c r="A1728" s="514"/>
      <c r="B1728" s="514"/>
      <c r="C1728" s="836">
        <v>2024</v>
      </c>
      <c r="D1728" s="520">
        <v>10</v>
      </c>
      <c r="E1728" s="837"/>
      <c r="F1728" s="876"/>
      <c r="G1728" s="840">
        <v>485.33690000000013</v>
      </c>
      <c r="H1728" s="841">
        <v>485.33690000000013</v>
      </c>
      <c r="I1728" s="746"/>
      <c r="J1728" s="746"/>
      <c r="K1728" s="746"/>
    </row>
    <row r="1729" spans="1:11" ht="14.1" x14ac:dyDescent="0.45">
      <c r="A1729" s="514"/>
      <c r="B1729" s="514"/>
      <c r="C1729" s="836">
        <v>2025</v>
      </c>
      <c r="D1729" s="520">
        <v>11</v>
      </c>
      <c r="E1729" s="837"/>
      <c r="F1729" s="876"/>
      <c r="G1729" s="840">
        <v>498.84000000000015</v>
      </c>
      <c r="H1729" s="841">
        <v>498.84000000000015</v>
      </c>
      <c r="I1729" s="746"/>
      <c r="J1729" s="746"/>
      <c r="K1729" s="746"/>
    </row>
    <row r="1730" spans="1:11" ht="14.1" x14ac:dyDescent="0.45">
      <c r="A1730" s="514"/>
      <c r="B1730" s="514"/>
      <c r="C1730" s="836">
        <v>2026</v>
      </c>
      <c r="D1730" s="520">
        <v>12</v>
      </c>
      <c r="E1730" s="837"/>
      <c r="F1730" s="876"/>
      <c r="G1730" s="840">
        <v>512.34690000000012</v>
      </c>
      <c r="H1730" s="841">
        <v>512.34690000000012</v>
      </c>
      <c r="I1730" s="746"/>
      <c r="J1730" s="746"/>
      <c r="K1730" s="746"/>
    </row>
    <row r="1731" spans="1:11" ht="14.1" x14ac:dyDescent="0.45">
      <c r="A1731" s="514"/>
      <c r="B1731" s="514"/>
      <c r="C1731" s="836">
        <v>2027</v>
      </c>
      <c r="D1731" s="520">
        <v>13</v>
      </c>
      <c r="E1731" s="837"/>
      <c r="F1731" s="876"/>
      <c r="G1731" s="840">
        <v>525.85760000000005</v>
      </c>
      <c r="H1731" s="841">
        <v>525.85760000000005</v>
      </c>
      <c r="I1731" s="746"/>
      <c r="J1731" s="746"/>
      <c r="K1731" s="746"/>
    </row>
    <row r="1732" spans="1:11" ht="14.1" x14ac:dyDescent="0.45">
      <c r="A1732" s="522"/>
      <c r="B1732" s="522"/>
      <c r="C1732" s="836">
        <v>2028</v>
      </c>
      <c r="D1732" s="520">
        <v>14</v>
      </c>
      <c r="E1732" s="837"/>
      <c r="F1732" s="876"/>
      <c r="G1732" s="840">
        <v>539.37210000000005</v>
      </c>
      <c r="H1732" s="841">
        <v>539.37210000000005</v>
      </c>
      <c r="I1732" s="746"/>
      <c r="J1732" s="746"/>
      <c r="K1732" s="746"/>
    </row>
    <row r="1733" spans="1:11" ht="14.1" x14ac:dyDescent="0.45">
      <c r="A1733" s="522"/>
      <c r="B1733" s="522"/>
      <c r="C1733" s="836">
        <v>2029</v>
      </c>
      <c r="D1733" s="520">
        <v>15</v>
      </c>
      <c r="E1733" s="837"/>
      <c r="F1733" s="876"/>
      <c r="G1733" s="840">
        <v>552.89040000000011</v>
      </c>
      <c r="H1733" s="841">
        <v>552.89040000000011</v>
      </c>
      <c r="I1733" s="746"/>
      <c r="J1733" s="746"/>
      <c r="K1733" s="746"/>
    </row>
    <row r="1734" spans="1:11" ht="14.1" x14ac:dyDescent="0.45">
      <c r="A1734" s="522"/>
      <c r="B1734" s="522"/>
      <c r="C1734" s="836">
        <v>2030</v>
      </c>
      <c r="D1734" s="520">
        <v>16</v>
      </c>
      <c r="E1734" s="837"/>
      <c r="F1734" s="876"/>
      <c r="G1734" s="840">
        <v>566.41250000000014</v>
      </c>
      <c r="H1734" s="841">
        <v>566.41250000000014</v>
      </c>
      <c r="I1734" s="746"/>
      <c r="J1734" s="746"/>
      <c r="K1734" s="746"/>
    </row>
    <row r="1735" spans="1:11" ht="14.1" x14ac:dyDescent="0.45">
      <c r="A1735" s="522"/>
      <c r="B1735" s="522"/>
      <c r="C1735" s="836">
        <v>2031</v>
      </c>
      <c r="D1735" s="520">
        <v>17</v>
      </c>
      <c r="E1735" s="837"/>
      <c r="F1735" s="876"/>
      <c r="G1735" s="840">
        <v>579.93840000000012</v>
      </c>
      <c r="H1735" s="841">
        <v>579.93840000000012</v>
      </c>
      <c r="I1735" s="746"/>
      <c r="J1735" s="746"/>
      <c r="K1735" s="746"/>
    </row>
    <row r="1736" spans="1:11" ht="14.1" x14ac:dyDescent="0.45">
      <c r="A1736" s="522"/>
      <c r="B1736" s="522"/>
      <c r="C1736" s="836">
        <v>2032</v>
      </c>
      <c r="D1736" s="520">
        <v>18</v>
      </c>
      <c r="E1736" s="837"/>
      <c r="F1736" s="876"/>
      <c r="G1736" s="840">
        <v>593.46810000000005</v>
      </c>
      <c r="H1736" s="841">
        <v>593.46810000000005</v>
      </c>
      <c r="I1736" s="746"/>
      <c r="J1736" s="746"/>
      <c r="K1736" s="746"/>
    </row>
    <row r="1737" spans="1:11" ht="14.1" x14ac:dyDescent="0.45">
      <c r="A1737" s="522"/>
      <c r="B1737" s="522"/>
      <c r="C1737" s="836">
        <v>2033</v>
      </c>
      <c r="D1737" s="520">
        <v>19</v>
      </c>
      <c r="E1737" s="837"/>
      <c r="F1737" s="876"/>
      <c r="G1737" s="840">
        <v>607.00160000000005</v>
      </c>
      <c r="H1737" s="841">
        <v>607.00160000000005</v>
      </c>
      <c r="I1737" s="746"/>
      <c r="J1737" s="746"/>
      <c r="K1737" s="746"/>
    </row>
    <row r="1738" spans="1:11" ht="14.1" x14ac:dyDescent="0.45">
      <c r="A1738" s="522"/>
      <c r="B1738" s="522"/>
      <c r="C1738" s="836">
        <v>2034</v>
      </c>
      <c r="D1738" s="520">
        <v>20</v>
      </c>
      <c r="E1738" s="837"/>
      <c r="F1738" s="876"/>
      <c r="G1738" s="840">
        <v>620.53890000000001</v>
      </c>
      <c r="H1738" s="841">
        <v>620.53890000000001</v>
      </c>
      <c r="I1738" s="746"/>
      <c r="J1738" s="746"/>
      <c r="K1738" s="746"/>
    </row>
    <row r="1739" spans="1:11" ht="14.1" x14ac:dyDescent="0.45">
      <c r="A1739" s="522"/>
      <c r="B1739" s="522"/>
      <c r="C1739" s="836">
        <v>2035</v>
      </c>
      <c r="D1739" s="520">
        <v>21</v>
      </c>
      <c r="E1739" s="837"/>
      <c r="F1739" s="876"/>
      <c r="G1739" s="840">
        <v>634.08000000000015</v>
      </c>
      <c r="H1739" s="841">
        <v>634.08000000000015</v>
      </c>
      <c r="I1739" s="746"/>
      <c r="J1739" s="746"/>
      <c r="K1739" s="746"/>
    </row>
    <row r="1740" spans="1:11" ht="14.1" x14ac:dyDescent="0.45">
      <c r="A1740" s="522"/>
      <c r="B1740" s="522"/>
      <c r="C1740" s="836">
        <v>2036</v>
      </c>
      <c r="D1740" s="520">
        <v>22</v>
      </c>
      <c r="E1740" s="837"/>
      <c r="F1740" s="876"/>
      <c r="G1740" s="840">
        <v>647.62490000000003</v>
      </c>
      <c r="H1740" s="841">
        <v>647.62490000000003</v>
      </c>
      <c r="I1740" s="746"/>
      <c r="J1740" s="746"/>
      <c r="K1740" s="746"/>
    </row>
    <row r="1741" spans="1:11" ht="14.1" x14ac:dyDescent="0.45">
      <c r="A1741" s="522"/>
      <c r="B1741" s="522"/>
      <c r="C1741" s="836">
        <v>2037</v>
      </c>
      <c r="D1741" s="520">
        <v>23</v>
      </c>
      <c r="E1741" s="837"/>
      <c r="F1741" s="876"/>
      <c r="G1741" s="840">
        <v>661.17360000000008</v>
      </c>
      <c r="H1741" s="841">
        <v>661.17360000000008</v>
      </c>
      <c r="I1741" s="746"/>
      <c r="J1741" s="746"/>
      <c r="K1741" s="746"/>
    </row>
    <row r="1742" spans="1:11" ht="14.1" x14ac:dyDescent="0.45">
      <c r="A1742" s="522"/>
      <c r="B1742" s="522"/>
      <c r="C1742" s="836">
        <v>2038</v>
      </c>
      <c r="D1742" s="520">
        <v>24</v>
      </c>
      <c r="E1742" s="837"/>
      <c r="F1742" s="876"/>
      <c r="G1742" s="840">
        <v>674.72610000000009</v>
      </c>
      <c r="H1742" s="841">
        <v>674.72610000000009</v>
      </c>
      <c r="I1742" s="746"/>
      <c r="J1742" s="746"/>
      <c r="K1742" s="746"/>
    </row>
    <row r="1743" spans="1:11" ht="14.1" x14ac:dyDescent="0.45">
      <c r="A1743" s="522"/>
      <c r="B1743" s="522"/>
      <c r="C1743" s="836">
        <v>2039</v>
      </c>
      <c r="D1743" s="520">
        <v>25</v>
      </c>
      <c r="E1743" s="837"/>
      <c r="F1743" s="876"/>
      <c r="G1743" s="840">
        <v>688.28240000000005</v>
      </c>
      <c r="H1743" s="841">
        <v>688.28240000000005</v>
      </c>
      <c r="I1743" s="746"/>
      <c r="J1743" s="746"/>
      <c r="K1743" s="746"/>
    </row>
    <row r="1744" spans="1:11" ht="14.1" x14ac:dyDescent="0.45">
      <c r="A1744" s="522"/>
      <c r="B1744" s="522"/>
      <c r="C1744" s="836">
        <v>2040</v>
      </c>
      <c r="D1744" s="520">
        <v>26</v>
      </c>
      <c r="E1744" s="837"/>
      <c r="F1744" s="876"/>
      <c r="G1744" s="840">
        <v>701.84249999999997</v>
      </c>
      <c r="H1744" s="841">
        <v>701.84249999999997</v>
      </c>
      <c r="I1744" s="746"/>
      <c r="J1744" s="746"/>
      <c r="K1744" s="746"/>
    </row>
    <row r="1745" spans="1:11" ht="14.1" x14ac:dyDescent="0.45">
      <c r="A1745" s="522"/>
      <c r="B1745" s="522"/>
      <c r="C1745" s="836">
        <v>2041</v>
      </c>
      <c r="D1745" s="520">
        <v>27</v>
      </c>
      <c r="E1745" s="837"/>
      <c r="F1745" s="876"/>
      <c r="G1745" s="840">
        <v>715.40640000000008</v>
      </c>
      <c r="H1745" s="841">
        <v>715.40640000000008</v>
      </c>
      <c r="I1745" s="746"/>
      <c r="J1745" s="746"/>
      <c r="K1745" s="746"/>
    </row>
    <row r="1746" spans="1:11" ht="14.1" x14ac:dyDescent="0.45">
      <c r="A1746" s="523"/>
      <c r="B1746" s="524"/>
      <c r="C1746" s="836">
        <v>2042</v>
      </c>
      <c r="D1746" s="520">
        <v>28</v>
      </c>
      <c r="E1746" s="837"/>
      <c r="F1746" s="876"/>
      <c r="G1746" s="840">
        <v>728.97410000000013</v>
      </c>
      <c r="H1746" s="841">
        <v>728.97410000000013</v>
      </c>
      <c r="I1746" s="746"/>
      <c r="J1746" s="746"/>
      <c r="K1746" s="746"/>
    </row>
    <row r="1747" spans="1:11" ht="14.1" x14ac:dyDescent="0.45">
      <c r="A1747" s="746"/>
      <c r="B1747" s="524"/>
      <c r="C1747" s="836">
        <v>2043</v>
      </c>
      <c r="D1747" s="520">
        <v>29</v>
      </c>
      <c r="E1747" s="837"/>
      <c r="F1747" s="876"/>
      <c r="G1747" s="840">
        <v>742.54560000000004</v>
      </c>
      <c r="H1747" s="841">
        <v>742.54560000000004</v>
      </c>
      <c r="I1747" s="746"/>
      <c r="J1747" s="746"/>
      <c r="K1747" s="746"/>
    </row>
    <row r="1748" spans="1:11" ht="14.1" x14ac:dyDescent="0.4">
      <c r="A1748" s="746"/>
      <c r="B1748" s="746"/>
      <c r="C1748" s="836">
        <v>2044</v>
      </c>
      <c r="D1748" s="520">
        <v>30</v>
      </c>
      <c r="E1748" s="837"/>
      <c r="F1748" s="876"/>
      <c r="G1748" s="840">
        <v>756.12090000000001</v>
      </c>
      <c r="H1748" s="841">
        <v>756.12090000000001</v>
      </c>
      <c r="I1748" s="746"/>
      <c r="J1748" s="746"/>
      <c r="K1748" s="746"/>
    </row>
    <row r="1749" spans="1:11" ht="14.1" x14ac:dyDescent="0.4">
      <c r="A1749" s="746"/>
      <c r="B1749" s="746"/>
      <c r="C1749" s="836">
        <v>2045</v>
      </c>
      <c r="D1749" s="520">
        <v>31</v>
      </c>
      <c r="E1749" s="837"/>
      <c r="F1749" s="876"/>
      <c r="G1749" s="840">
        <v>769.7</v>
      </c>
      <c r="H1749" s="841">
        <v>769.7</v>
      </c>
      <c r="I1749" s="746"/>
      <c r="J1749" s="746"/>
      <c r="K1749" s="746"/>
    </row>
    <row r="1750" spans="1:11" ht="14.1" x14ac:dyDescent="0.4">
      <c r="C1750" s="836">
        <v>2046</v>
      </c>
      <c r="D1750" s="520">
        <v>32</v>
      </c>
      <c r="E1750" s="837"/>
      <c r="F1750" s="876"/>
      <c r="G1750" s="840">
        <v>783.28290000000004</v>
      </c>
      <c r="H1750" s="841">
        <v>783.28290000000004</v>
      </c>
    </row>
    <row r="1751" spans="1:11" ht="14.1" x14ac:dyDescent="0.4">
      <c r="C1751" s="836">
        <v>2047</v>
      </c>
      <c r="D1751" s="520">
        <v>33</v>
      </c>
      <c r="E1751" s="837"/>
      <c r="F1751" s="876"/>
      <c r="G1751" s="840">
        <v>796.86959999999999</v>
      </c>
      <c r="H1751" s="841">
        <v>796.86959999999999</v>
      </c>
    </row>
    <row r="1752" spans="1:11" ht="14.1" x14ac:dyDescent="0.4">
      <c r="C1752" s="836">
        <v>2048</v>
      </c>
      <c r="D1752" s="520">
        <v>34</v>
      </c>
      <c r="E1752" s="837"/>
      <c r="F1752" s="876"/>
      <c r="G1752" s="840">
        <v>810.46010000000001</v>
      </c>
      <c r="H1752" s="841">
        <v>810.46010000000001</v>
      </c>
    </row>
    <row r="1753" spans="1:11" ht="14.1" x14ac:dyDescent="0.4">
      <c r="C1753" s="836">
        <v>2049</v>
      </c>
      <c r="D1753" s="520">
        <v>35</v>
      </c>
      <c r="E1753" s="837"/>
      <c r="F1753" s="876"/>
      <c r="G1753" s="840">
        <v>824.05439999999999</v>
      </c>
      <c r="H1753" s="841">
        <v>824.05439999999999</v>
      </c>
    </row>
    <row r="1754" spans="1:11" ht="14.1" x14ac:dyDescent="0.4">
      <c r="C1754" s="836">
        <v>2050</v>
      </c>
      <c r="D1754" s="520">
        <v>36</v>
      </c>
      <c r="E1754" s="837">
        <v>769.7</v>
      </c>
      <c r="F1754" s="876">
        <v>769.7</v>
      </c>
      <c r="G1754" s="840">
        <v>837.65249999999992</v>
      </c>
      <c r="H1754" s="841">
        <v>837.65249999999992</v>
      </c>
    </row>
    <row r="1755" spans="1:11" ht="14.1" x14ac:dyDescent="0.4">
      <c r="C1755" s="836">
        <v>2051</v>
      </c>
      <c r="D1755" s="520">
        <v>37</v>
      </c>
      <c r="E1755" s="837"/>
      <c r="F1755" s="876"/>
      <c r="G1755" s="840">
        <v>851.25440000000003</v>
      </c>
      <c r="H1755" s="841">
        <v>851.25440000000003</v>
      </c>
    </row>
    <row r="1756" spans="1:11" ht="14.1" x14ac:dyDescent="0.4">
      <c r="C1756" s="836">
        <v>2052</v>
      </c>
      <c r="D1756" s="520">
        <v>38</v>
      </c>
      <c r="E1756" s="837"/>
      <c r="F1756" s="876"/>
      <c r="G1756" s="840">
        <v>864.86009999999987</v>
      </c>
      <c r="H1756" s="841">
        <v>864.86009999999987</v>
      </c>
    </row>
    <row r="1757" spans="1:11" ht="14.1" x14ac:dyDescent="0.4">
      <c r="C1757" s="836">
        <v>2053</v>
      </c>
      <c r="D1757" s="520">
        <v>39</v>
      </c>
      <c r="E1757" s="837"/>
      <c r="F1757" s="876"/>
      <c r="G1757" s="840">
        <v>878.4695999999999</v>
      </c>
      <c r="H1757" s="841">
        <v>878.4695999999999</v>
      </c>
    </row>
    <row r="1758" spans="1:11" ht="14.1" x14ac:dyDescent="0.4">
      <c r="C1758" s="836">
        <v>2054</v>
      </c>
      <c r="D1758" s="520">
        <v>40</v>
      </c>
      <c r="E1758" s="837"/>
      <c r="F1758" s="876"/>
      <c r="G1758" s="840">
        <v>892.08289999999988</v>
      </c>
      <c r="H1758" s="841">
        <v>892.08289999999988</v>
      </c>
    </row>
    <row r="1759" spans="1:11" ht="14.1" x14ac:dyDescent="0.4">
      <c r="C1759" s="843">
        <v>2055</v>
      </c>
      <c r="D1759" s="520">
        <v>41</v>
      </c>
      <c r="E1759" s="837"/>
      <c r="F1759" s="876"/>
      <c r="G1759" s="840">
        <v>905.7</v>
      </c>
      <c r="H1759" s="841">
        <v>905.7</v>
      </c>
    </row>
    <row r="1762" spans="1:11" ht="15" x14ac:dyDescent="0.5">
      <c r="A1762" s="621" t="str">
        <f ca="1">HYPERLINK("#"&amp;"'"&amp;A$1&amp;"'!a1","Back to top")</f>
        <v>Back to top</v>
      </c>
    </row>
    <row r="1765" spans="1:11" ht="15" x14ac:dyDescent="0.5">
      <c r="A1765" s="508">
        <v>25</v>
      </c>
      <c r="B1765" s="509" t="s">
        <v>1025</v>
      </c>
      <c r="C1765" s="787"/>
      <c r="D1765" s="787"/>
      <c r="E1765" s="787"/>
      <c r="F1765" s="787"/>
      <c r="G1765" s="787"/>
      <c r="H1765" s="787"/>
      <c r="I1765" s="787"/>
      <c r="J1765" s="787"/>
      <c r="K1765" s="787"/>
    </row>
    <row r="1766" spans="1:11" ht="15" x14ac:dyDescent="0.5">
      <c r="A1766" s="510" t="s">
        <v>260</v>
      </c>
      <c r="B1766" s="511"/>
      <c r="C1766" s="511"/>
      <c r="D1766" s="223"/>
      <c r="E1766" s="512"/>
      <c r="F1766" s="1309"/>
      <c r="G1766" s="512"/>
      <c r="H1766" s="513"/>
      <c r="I1766" s="746"/>
      <c r="J1766" s="746"/>
      <c r="K1766" s="746"/>
    </row>
    <row r="1767" spans="1:11" ht="15.3" thickBot="1" x14ac:dyDescent="0.5">
      <c r="A1767" s="872" t="s">
        <v>603</v>
      </c>
      <c r="B1767" s="514"/>
      <c r="C1767" s="514"/>
      <c r="D1767" s="515"/>
      <c r="E1767" s="516" t="s">
        <v>222</v>
      </c>
      <c r="F1767" s="1310"/>
      <c r="G1767" s="873" t="e">
        <v>#DIV/0!</v>
      </c>
      <c r="H1767" s="513"/>
      <c r="I1767" s="746"/>
      <c r="J1767" s="746"/>
      <c r="K1767" s="746"/>
    </row>
    <row r="1768" spans="1:11" ht="37.200000000000003" thickBot="1" x14ac:dyDescent="0.5">
      <c r="A1768" s="517"/>
      <c r="B1768" s="517"/>
      <c r="C1768" s="517"/>
      <c r="D1768" s="518"/>
      <c r="E1768" s="873" t="s">
        <v>724</v>
      </c>
      <c r="F1768" s="873" t="s">
        <v>664</v>
      </c>
      <c r="G1768" s="874" t="s">
        <v>723</v>
      </c>
      <c r="H1768" s="873" t="s">
        <v>667</v>
      </c>
      <c r="I1768" s="873" t="s">
        <v>1018</v>
      </c>
      <c r="J1768" s="1297" t="s">
        <v>668</v>
      </c>
      <c r="K1768" s="1298"/>
    </row>
    <row r="1769" spans="1:11" ht="15" x14ac:dyDescent="0.5">
      <c r="A1769" s="510" t="s">
        <v>268</v>
      </c>
      <c r="B1769" s="517"/>
      <c r="C1769" s="788">
        <v>2000</v>
      </c>
      <c r="D1769" s="519">
        <v>-14</v>
      </c>
      <c r="E1769" s="875">
        <v>103.9</v>
      </c>
      <c r="F1769" s="876">
        <v>103.9</v>
      </c>
      <c r="G1769" s="877">
        <v>168.93374999999997</v>
      </c>
      <c r="H1769" s="878">
        <v>168.93374999999997</v>
      </c>
      <c r="I1769" s="1303" t="s">
        <v>269</v>
      </c>
      <c r="J1769" s="1299"/>
      <c r="K1769" s="1300"/>
    </row>
    <row r="1770" spans="1:11" ht="15" x14ac:dyDescent="0.45">
      <c r="A1770" s="872" t="s">
        <v>52</v>
      </c>
      <c r="B1770" s="517"/>
      <c r="C1770" s="836">
        <v>2001</v>
      </c>
      <c r="D1770" s="520">
        <v>-13</v>
      </c>
      <c r="E1770" s="837"/>
      <c r="F1770" s="876"/>
      <c r="G1770" s="838">
        <v>180.91239999999999</v>
      </c>
      <c r="H1770" s="839">
        <v>180.91239999999999</v>
      </c>
      <c r="I1770" s="1304"/>
      <c r="J1770" s="1299"/>
      <c r="K1770" s="1300"/>
    </row>
    <row r="1771" spans="1:11" ht="14.05" customHeight="1" x14ac:dyDescent="0.45">
      <c r="A1771" s="517"/>
      <c r="B1771" s="517"/>
      <c r="C1771" s="836">
        <v>2002</v>
      </c>
      <c r="D1771" s="520">
        <v>-12</v>
      </c>
      <c r="E1771" s="837"/>
      <c r="F1771" s="876"/>
      <c r="G1771" s="838">
        <v>192.54834999999997</v>
      </c>
      <c r="H1771" s="839">
        <v>192.54834999999997</v>
      </c>
      <c r="I1771" s="1304"/>
      <c r="J1771" s="1299"/>
      <c r="K1771" s="1300"/>
    </row>
    <row r="1772" spans="1:11" ht="15" x14ac:dyDescent="0.45">
      <c r="A1772" s="676" t="s">
        <v>270</v>
      </c>
      <c r="B1772" s="517"/>
      <c r="C1772" s="836">
        <v>2003</v>
      </c>
      <c r="D1772" s="520">
        <v>-11</v>
      </c>
      <c r="E1772" s="837"/>
      <c r="F1772" s="876"/>
      <c r="G1772" s="838">
        <v>203.84159999999997</v>
      </c>
      <c r="H1772" s="839">
        <v>203.84159999999997</v>
      </c>
      <c r="I1772" s="1304"/>
      <c r="J1772" s="1301"/>
      <c r="K1772" s="1302"/>
    </row>
    <row r="1773" spans="1:11" ht="14.1" x14ac:dyDescent="0.45">
      <c r="A1773" s="1306" t="s">
        <v>1019</v>
      </c>
      <c r="B1773" s="517"/>
      <c r="C1773" s="836">
        <v>2004</v>
      </c>
      <c r="D1773" s="520">
        <v>-10</v>
      </c>
      <c r="E1773" s="837"/>
      <c r="F1773" s="876"/>
      <c r="G1773" s="838">
        <v>214.79214999999999</v>
      </c>
      <c r="H1773" s="839">
        <v>214.79214999999999</v>
      </c>
      <c r="I1773" s="1304"/>
      <c r="J1773" s="746"/>
      <c r="K1773" s="746"/>
    </row>
    <row r="1774" spans="1:11" ht="14.1" x14ac:dyDescent="0.45">
      <c r="A1774" s="1307"/>
      <c r="B1774" s="517"/>
      <c r="C1774" s="836">
        <v>2005</v>
      </c>
      <c r="D1774" s="520">
        <v>-9</v>
      </c>
      <c r="E1774" s="837"/>
      <c r="F1774" s="876"/>
      <c r="G1774" s="838">
        <v>225.39999999999998</v>
      </c>
      <c r="H1774" s="839">
        <v>225.39999999999998</v>
      </c>
      <c r="I1774" s="1304"/>
      <c r="J1774" s="746"/>
      <c r="K1774" s="746"/>
    </row>
    <row r="1775" spans="1:11" ht="14.1" x14ac:dyDescent="0.45">
      <c r="A1775" s="1307"/>
      <c r="B1775" s="517"/>
      <c r="C1775" s="836">
        <v>2006</v>
      </c>
      <c r="D1775" s="520">
        <v>-8</v>
      </c>
      <c r="E1775" s="837"/>
      <c r="F1775" s="876"/>
      <c r="G1775" s="838">
        <v>235.66515000000001</v>
      </c>
      <c r="H1775" s="839">
        <v>235.66515000000001</v>
      </c>
      <c r="I1775" s="1305"/>
      <c r="J1775" s="746"/>
      <c r="K1775" s="746"/>
    </row>
    <row r="1776" spans="1:11" ht="14.1" x14ac:dyDescent="0.45">
      <c r="A1776" s="1308"/>
      <c r="B1776" s="517"/>
      <c r="C1776" s="836">
        <v>2007</v>
      </c>
      <c r="D1776" s="520">
        <v>-7</v>
      </c>
      <c r="E1776" s="837"/>
      <c r="F1776" s="876"/>
      <c r="G1776" s="840">
        <v>245.58760000000001</v>
      </c>
      <c r="H1776" s="841">
        <v>245.58760000000001</v>
      </c>
      <c r="I1776" s="789" t="s">
        <v>272</v>
      </c>
      <c r="J1776" s="746"/>
      <c r="K1776" s="746"/>
    </row>
    <row r="1777" spans="1:11" ht="14.1" x14ac:dyDescent="0.45">
      <c r="A1777" s="517"/>
      <c r="B1777" s="517"/>
      <c r="C1777" s="836">
        <v>2008</v>
      </c>
      <c r="D1777" s="520">
        <v>-6</v>
      </c>
      <c r="E1777" s="837"/>
      <c r="F1777" s="876"/>
      <c r="G1777" s="840">
        <v>255.16735</v>
      </c>
      <c r="H1777" s="841">
        <v>255.16735</v>
      </c>
      <c r="I1777" s="746"/>
      <c r="J1777" s="746"/>
      <c r="K1777" s="746"/>
    </row>
    <row r="1778" spans="1:11" ht="15" x14ac:dyDescent="0.5">
      <c r="A1778" s="521" t="s">
        <v>273</v>
      </c>
      <c r="B1778" s="517"/>
      <c r="C1778" s="836">
        <v>2009</v>
      </c>
      <c r="D1778" s="520">
        <v>-5</v>
      </c>
      <c r="E1778" s="837"/>
      <c r="F1778" s="876"/>
      <c r="G1778" s="840">
        <v>264.40440000000001</v>
      </c>
      <c r="H1778" s="841">
        <v>264.40440000000001</v>
      </c>
      <c r="I1778" s="746"/>
      <c r="J1778" s="746"/>
      <c r="K1778" s="746"/>
    </row>
    <row r="1779" spans="1:11" ht="15" x14ac:dyDescent="0.45">
      <c r="A1779" s="842">
        <v>2019</v>
      </c>
      <c r="B1779" s="514"/>
      <c r="C1779" s="836">
        <v>2010</v>
      </c>
      <c r="D1779" s="520">
        <v>-4</v>
      </c>
      <c r="E1779" s="837">
        <v>225.4</v>
      </c>
      <c r="F1779" s="876">
        <v>225.4</v>
      </c>
      <c r="G1779" s="840">
        <v>273.29875000000004</v>
      </c>
      <c r="H1779" s="841">
        <v>273.29875000000004</v>
      </c>
      <c r="I1779" s="746"/>
      <c r="J1779" s="746"/>
      <c r="K1779" s="746"/>
    </row>
    <row r="1780" spans="1:11" ht="14.1" x14ac:dyDescent="0.45">
      <c r="A1780" s="746"/>
      <c r="B1780" s="514"/>
      <c r="C1780" s="836">
        <v>2011</v>
      </c>
      <c r="D1780" s="520">
        <v>-3</v>
      </c>
      <c r="E1780" s="837"/>
      <c r="F1780" s="876"/>
      <c r="G1780" s="840">
        <v>281.85040000000004</v>
      </c>
      <c r="H1780" s="841">
        <v>281.85040000000004</v>
      </c>
      <c r="I1780" s="746"/>
      <c r="J1780" s="746"/>
      <c r="K1780" s="746"/>
    </row>
    <row r="1781" spans="1:11" ht="15" x14ac:dyDescent="0.5">
      <c r="A1781" s="521" t="s">
        <v>274</v>
      </c>
      <c r="B1781" s="514"/>
      <c r="C1781" s="836">
        <v>2012</v>
      </c>
      <c r="D1781" s="520">
        <v>-2</v>
      </c>
      <c r="E1781" s="837"/>
      <c r="F1781" s="876"/>
      <c r="G1781" s="840">
        <v>290.05934999999999</v>
      </c>
      <c r="H1781" s="841">
        <v>290.05934999999999</v>
      </c>
      <c r="I1781" s="746"/>
      <c r="J1781" s="746"/>
      <c r="K1781" s="746"/>
    </row>
    <row r="1782" spans="1:11" ht="15" x14ac:dyDescent="0.45">
      <c r="A1782" s="842" t="s">
        <v>724</v>
      </c>
      <c r="B1782" s="514"/>
      <c r="C1782" s="836">
        <v>2013</v>
      </c>
      <c r="D1782" s="520">
        <v>-1</v>
      </c>
      <c r="E1782" s="837"/>
      <c r="F1782" s="876"/>
      <c r="G1782" s="840">
        <v>297.92560000000003</v>
      </c>
      <c r="H1782" s="841">
        <v>297.92560000000003</v>
      </c>
      <c r="I1782" s="746"/>
      <c r="J1782" s="746"/>
      <c r="K1782" s="746"/>
    </row>
    <row r="1783" spans="1:11" ht="15" x14ac:dyDescent="0.5">
      <c r="A1783" s="790"/>
      <c r="B1783" s="522"/>
      <c r="C1783" s="836">
        <v>2014</v>
      </c>
      <c r="D1783" s="520">
        <v>0</v>
      </c>
      <c r="E1783" s="837"/>
      <c r="F1783" s="876"/>
      <c r="G1783" s="840">
        <v>305.44915000000003</v>
      </c>
      <c r="H1783" s="841">
        <v>305.44915000000003</v>
      </c>
      <c r="I1783" s="746"/>
      <c r="J1783" s="746"/>
      <c r="K1783" s="746"/>
    </row>
    <row r="1784" spans="1:11" ht="15" x14ac:dyDescent="0.45">
      <c r="A1784" s="943" t="s">
        <v>275</v>
      </c>
      <c r="B1784" s="514"/>
      <c r="C1784" s="836">
        <v>2015</v>
      </c>
      <c r="D1784" s="520">
        <v>1</v>
      </c>
      <c r="E1784" s="837"/>
      <c r="F1784" s="876"/>
      <c r="G1784" s="840">
        <v>312.63</v>
      </c>
      <c r="H1784" s="841">
        <v>312.63</v>
      </c>
      <c r="I1784" s="746"/>
      <c r="J1784" s="746"/>
      <c r="K1784" s="746"/>
    </row>
    <row r="1785" spans="1:11" ht="15" x14ac:dyDescent="0.45">
      <c r="A1785" s="791"/>
      <c r="B1785" s="514"/>
      <c r="C1785" s="836">
        <v>2016</v>
      </c>
      <c r="D1785" s="520">
        <v>2</v>
      </c>
      <c r="E1785" s="837"/>
      <c r="F1785" s="876"/>
      <c r="G1785" s="840">
        <v>319.46815000000004</v>
      </c>
      <c r="H1785" s="841">
        <v>319.46815000000004</v>
      </c>
      <c r="I1785" s="746"/>
      <c r="J1785" s="746"/>
      <c r="K1785" s="746"/>
    </row>
    <row r="1786" spans="1:11" ht="15" x14ac:dyDescent="0.45">
      <c r="A1786" s="892"/>
      <c r="B1786" s="514"/>
      <c r="C1786" s="836">
        <v>2017</v>
      </c>
      <c r="D1786" s="520">
        <v>3</v>
      </c>
      <c r="E1786" s="837"/>
      <c r="F1786" s="876"/>
      <c r="G1786" s="840">
        <v>325.96360000000004</v>
      </c>
      <c r="H1786" s="841">
        <v>325.96360000000004</v>
      </c>
      <c r="I1786" s="746"/>
      <c r="J1786" s="746"/>
      <c r="K1786" s="746"/>
    </row>
    <row r="1787" spans="1:11" ht="15" x14ac:dyDescent="0.45">
      <c r="A1787" s="842"/>
      <c r="B1787" s="514"/>
      <c r="C1787" s="836">
        <v>2018</v>
      </c>
      <c r="D1787" s="520">
        <v>4</v>
      </c>
      <c r="E1787" s="837"/>
      <c r="F1787" s="876"/>
      <c r="G1787" s="840">
        <v>332.11635000000001</v>
      </c>
      <c r="H1787" s="841">
        <v>332.11635000000001</v>
      </c>
      <c r="I1787" s="746"/>
      <c r="J1787" s="746"/>
      <c r="K1787" s="746"/>
    </row>
    <row r="1788" spans="1:11" ht="14.1" x14ac:dyDescent="0.45">
      <c r="A1788" s="514"/>
      <c r="B1788" s="514"/>
      <c r="C1788" s="836">
        <v>2019</v>
      </c>
      <c r="D1788" s="520">
        <v>5</v>
      </c>
      <c r="E1788" s="837"/>
      <c r="F1788" s="876"/>
      <c r="G1788" s="840">
        <v>337.92640000000006</v>
      </c>
      <c r="H1788" s="841">
        <v>337.92640000000006</v>
      </c>
      <c r="I1788" s="746"/>
      <c r="J1788" s="746"/>
      <c r="K1788" s="746"/>
    </row>
    <row r="1789" spans="1:11" ht="14.1" x14ac:dyDescent="0.45">
      <c r="A1789" s="514"/>
      <c r="B1789" s="514"/>
      <c r="C1789" s="836">
        <v>2020</v>
      </c>
      <c r="D1789" s="520">
        <v>6</v>
      </c>
      <c r="E1789" s="837"/>
      <c r="F1789" s="876"/>
      <c r="G1789" s="840">
        <v>343.39375000000001</v>
      </c>
      <c r="H1789" s="841">
        <v>343.39375000000001</v>
      </c>
      <c r="I1789" s="746"/>
      <c r="J1789" s="746"/>
      <c r="K1789" s="746"/>
    </row>
    <row r="1790" spans="1:11" ht="14.1" x14ac:dyDescent="0.45">
      <c r="A1790" s="514"/>
      <c r="B1790" s="514"/>
      <c r="C1790" s="836">
        <v>2021</v>
      </c>
      <c r="D1790" s="520">
        <v>7</v>
      </c>
      <c r="E1790" s="837"/>
      <c r="F1790" s="876"/>
      <c r="G1790" s="840">
        <v>348.51840000000004</v>
      </c>
      <c r="H1790" s="841">
        <v>348.51840000000004</v>
      </c>
      <c r="I1790" s="746"/>
      <c r="J1790" s="746"/>
      <c r="K1790" s="746"/>
    </row>
    <row r="1791" spans="1:11" ht="14.1" x14ac:dyDescent="0.45">
      <c r="A1791" s="514"/>
      <c r="B1791" s="514"/>
      <c r="C1791" s="836">
        <v>2022</v>
      </c>
      <c r="D1791" s="520">
        <v>8</v>
      </c>
      <c r="E1791" s="837"/>
      <c r="F1791" s="876"/>
      <c r="G1791" s="840">
        <v>353.30035000000004</v>
      </c>
      <c r="H1791" s="841">
        <v>353.30035000000004</v>
      </c>
      <c r="I1791" s="746"/>
      <c r="J1791" s="746"/>
      <c r="K1791" s="746"/>
    </row>
    <row r="1792" spans="1:11" ht="14.1" x14ac:dyDescent="0.45">
      <c r="A1792" s="514"/>
      <c r="B1792" s="514"/>
      <c r="C1792" s="836">
        <v>2023</v>
      </c>
      <c r="D1792" s="520">
        <v>9</v>
      </c>
      <c r="E1792" s="837"/>
      <c r="F1792" s="876"/>
      <c r="G1792" s="840">
        <v>357.7396</v>
      </c>
      <c r="H1792" s="841">
        <v>357.7396</v>
      </c>
      <c r="I1792" s="746"/>
      <c r="J1792" s="746"/>
      <c r="K1792" s="746"/>
    </row>
    <row r="1793" spans="1:11" ht="14.1" x14ac:dyDescent="0.45">
      <c r="A1793" s="514"/>
      <c r="B1793" s="514"/>
      <c r="C1793" s="836">
        <v>2024</v>
      </c>
      <c r="D1793" s="520">
        <v>10</v>
      </c>
      <c r="E1793" s="837"/>
      <c r="F1793" s="876"/>
      <c r="G1793" s="840">
        <v>361.83615000000003</v>
      </c>
      <c r="H1793" s="841">
        <v>361.83615000000003</v>
      </c>
      <c r="I1793" s="746"/>
      <c r="J1793" s="746"/>
      <c r="K1793" s="746"/>
    </row>
    <row r="1794" spans="1:11" ht="14.1" x14ac:dyDescent="0.45">
      <c r="A1794" s="514"/>
      <c r="B1794" s="514"/>
      <c r="C1794" s="836">
        <v>2025</v>
      </c>
      <c r="D1794" s="520">
        <v>11</v>
      </c>
      <c r="E1794" s="837"/>
      <c r="F1794" s="876"/>
      <c r="G1794" s="840">
        <v>365.59000000000003</v>
      </c>
      <c r="H1794" s="841">
        <v>365.59000000000003</v>
      </c>
      <c r="I1794" s="746"/>
      <c r="J1794" s="746"/>
      <c r="K1794" s="746"/>
    </row>
    <row r="1795" spans="1:11" ht="14.1" x14ac:dyDescent="0.45">
      <c r="A1795" s="514"/>
      <c r="B1795" s="514"/>
      <c r="C1795" s="836">
        <v>2026</v>
      </c>
      <c r="D1795" s="520">
        <v>12</v>
      </c>
      <c r="E1795" s="837"/>
      <c r="F1795" s="876"/>
      <c r="G1795" s="840">
        <v>369.00115000000005</v>
      </c>
      <c r="H1795" s="841">
        <v>369.00115000000005</v>
      </c>
      <c r="I1795" s="746"/>
      <c r="J1795" s="746"/>
      <c r="K1795" s="746"/>
    </row>
    <row r="1796" spans="1:11" ht="14.1" x14ac:dyDescent="0.45">
      <c r="A1796" s="514"/>
      <c r="B1796" s="514"/>
      <c r="C1796" s="836">
        <v>2027</v>
      </c>
      <c r="D1796" s="520">
        <v>13</v>
      </c>
      <c r="E1796" s="837"/>
      <c r="F1796" s="876"/>
      <c r="G1796" s="840">
        <v>372.06960000000004</v>
      </c>
      <c r="H1796" s="841">
        <v>372.06960000000004</v>
      </c>
      <c r="I1796" s="746"/>
      <c r="J1796" s="746"/>
      <c r="K1796" s="746"/>
    </row>
    <row r="1797" spans="1:11" ht="14.1" x14ac:dyDescent="0.45">
      <c r="A1797" s="522"/>
      <c r="B1797" s="522"/>
      <c r="C1797" s="836">
        <v>2028</v>
      </c>
      <c r="D1797" s="520">
        <v>14</v>
      </c>
      <c r="E1797" s="837"/>
      <c r="F1797" s="876"/>
      <c r="G1797" s="840">
        <v>374.79535000000004</v>
      </c>
      <c r="H1797" s="841">
        <v>374.79535000000004</v>
      </c>
      <c r="I1797" s="746"/>
      <c r="J1797" s="746"/>
      <c r="K1797" s="746"/>
    </row>
    <row r="1798" spans="1:11" ht="14.1" x14ac:dyDescent="0.45">
      <c r="A1798" s="522"/>
      <c r="B1798" s="522"/>
      <c r="C1798" s="836">
        <v>2029</v>
      </c>
      <c r="D1798" s="520">
        <v>15</v>
      </c>
      <c r="E1798" s="837"/>
      <c r="F1798" s="876"/>
      <c r="G1798" s="840">
        <v>377.17840000000001</v>
      </c>
      <c r="H1798" s="841">
        <v>377.17840000000001</v>
      </c>
      <c r="I1798" s="746"/>
      <c r="J1798" s="746"/>
      <c r="K1798" s="746"/>
    </row>
    <row r="1799" spans="1:11" ht="14.1" x14ac:dyDescent="0.45">
      <c r="A1799" s="522"/>
      <c r="B1799" s="522"/>
      <c r="C1799" s="836">
        <v>2030</v>
      </c>
      <c r="D1799" s="520">
        <v>16</v>
      </c>
      <c r="E1799" s="837"/>
      <c r="F1799" s="876"/>
      <c r="G1799" s="840">
        <v>379.21875</v>
      </c>
      <c r="H1799" s="841">
        <v>379.21875</v>
      </c>
      <c r="I1799" s="746"/>
      <c r="J1799" s="746"/>
      <c r="K1799" s="746"/>
    </row>
    <row r="1800" spans="1:11" ht="14.1" x14ac:dyDescent="0.45">
      <c r="A1800" s="522"/>
      <c r="B1800" s="522"/>
      <c r="C1800" s="836">
        <v>2031</v>
      </c>
      <c r="D1800" s="520">
        <v>17</v>
      </c>
      <c r="E1800" s="837"/>
      <c r="F1800" s="876"/>
      <c r="G1800" s="840">
        <v>380.91640000000001</v>
      </c>
      <c r="H1800" s="841">
        <v>380.91640000000001</v>
      </c>
      <c r="I1800" s="746"/>
      <c r="J1800" s="746"/>
      <c r="K1800" s="746"/>
    </row>
    <row r="1801" spans="1:11" ht="14.1" x14ac:dyDescent="0.45">
      <c r="A1801" s="522"/>
      <c r="B1801" s="522"/>
      <c r="C1801" s="836">
        <v>2032</v>
      </c>
      <c r="D1801" s="520">
        <v>18</v>
      </c>
      <c r="E1801" s="837"/>
      <c r="F1801" s="876"/>
      <c r="G1801" s="840">
        <v>382.27135000000004</v>
      </c>
      <c r="H1801" s="841">
        <v>382.27135000000004</v>
      </c>
      <c r="I1801" s="746"/>
      <c r="J1801" s="746"/>
      <c r="K1801" s="746"/>
    </row>
    <row r="1802" spans="1:11" ht="14.1" x14ac:dyDescent="0.45">
      <c r="A1802" s="522"/>
      <c r="B1802" s="522"/>
      <c r="C1802" s="836">
        <v>2033</v>
      </c>
      <c r="D1802" s="520">
        <v>19</v>
      </c>
      <c r="E1802" s="837"/>
      <c r="F1802" s="876"/>
      <c r="G1802" s="840">
        <v>383.28360000000004</v>
      </c>
      <c r="H1802" s="841">
        <v>383.28360000000004</v>
      </c>
      <c r="I1802" s="746"/>
      <c r="J1802" s="746"/>
      <c r="K1802" s="746"/>
    </row>
    <row r="1803" spans="1:11" ht="14.1" x14ac:dyDescent="0.45">
      <c r="A1803" s="522"/>
      <c r="B1803" s="522"/>
      <c r="C1803" s="836">
        <v>2034</v>
      </c>
      <c r="D1803" s="520">
        <v>20</v>
      </c>
      <c r="E1803" s="837"/>
      <c r="F1803" s="876"/>
      <c r="G1803" s="840">
        <v>383.95314999999999</v>
      </c>
      <c r="H1803" s="841">
        <v>383.95314999999999</v>
      </c>
      <c r="I1803" s="746"/>
      <c r="J1803" s="746"/>
      <c r="K1803" s="746"/>
    </row>
    <row r="1804" spans="1:11" ht="14.1" x14ac:dyDescent="0.45">
      <c r="A1804" s="522"/>
      <c r="B1804" s="522"/>
      <c r="C1804" s="836">
        <v>2035</v>
      </c>
      <c r="D1804" s="520">
        <v>21</v>
      </c>
      <c r="E1804" s="837"/>
      <c r="F1804" s="876"/>
      <c r="G1804" s="840">
        <v>384.28000000000003</v>
      </c>
      <c r="H1804" s="841">
        <v>384.28000000000003</v>
      </c>
      <c r="I1804" s="746"/>
      <c r="J1804" s="746"/>
      <c r="K1804" s="746"/>
    </row>
    <row r="1805" spans="1:11" ht="14.1" x14ac:dyDescent="0.45">
      <c r="A1805" s="522"/>
      <c r="B1805" s="522"/>
      <c r="C1805" s="836">
        <v>2036</v>
      </c>
      <c r="D1805" s="520">
        <v>22</v>
      </c>
      <c r="E1805" s="837"/>
      <c r="F1805" s="876"/>
      <c r="G1805" s="840">
        <v>384.26415000000003</v>
      </c>
      <c r="H1805" s="841">
        <v>384.26415000000003</v>
      </c>
      <c r="I1805" s="746"/>
      <c r="J1805" s="746"/>
      <c r="K1805" s="746"/>
    </row>
    <row r="1806" spans="1:11" ht="14.1" x14ac:dyDescent="0.45">
      <c r="A1806" s="522"/>
      <c r="B1806" s="522"/>
      <c r="C1806" s="836">
        <v>2037</v>
      </c>
      <c r="D1806" s="520">
        <v>23</v>
      </c>
      <c r="E1806" s="837"/>
      <c r="F1806" s="876"/>
      <c r="G1806" s="840">
        <v>383.90559999999999</v>
      </c>
      <c r="H1806" s="841">
        <v>383.90559999999999</v>
      </c>
      <c r="I1806" s="746"/>
      <c r="J1806" s="746"/>
      <c r="K1806" s="746"/>
    </row>
    <row r="1807" spans="1:11" ht="14.1" x14ac:dyDescent="0.45">
      <c r="A1807" s="522"/>
      <c r="B1807" s="522"/>
      <c r="C1807" s="836">
        <v>2038</v>
      </c>
      <c r="D1807" s="520">
        <v>24</v>
      </c>
      <c r="E1807" s="837"/>
      <c r="F1807" s="876"/>
      <c r="G1807" s="840">
        <v>383.20434999999998</v>
      </c>
      <c r="H1807" s="841">
        <v>383.20434999999998</v>
      </c>
      <c r="I1807" s="746"/>
      <c r="J1807" s="746"/>
      <c r="K1807" s="746"/>
    </row>
    <row r="1808" spans="1:11" ht="14.1" x14ac:dyDescent="0.45">
      <c r="A1808" s="522"/>
      <c r="B1808" s="522"/>
      <c r="C1808" s="836">
        <v>2039</v>
      </c>
      <c r="D1808" s="520">
        <v>25</v>
      </c>
      <c r="E1808" s="837"/>
      <c r="F1808" s="876"/>
      <c r="G1808" s="840">
        <v>382.16040000000004</v>
      </c>
      <c r="H1808" s="841">
        <v>382.16040000000004</v>
      </c>
      <c r="I1808" s="746"/>
      <c r="J1808" s="746"/>
      <c r="K1808" s="746"/>
    </row>
    <row r="1809" spans="1:11" ht="14.1" x14ac:dyDescent="0.45">
      <c r="A1809" s="522"/>
      <c r="B1809" s="522"/>
      <c r="C1809" s="836">
        <v>2040</v>
      </c>
      <c r="D1809" s="520">
        <v>26</v>
      </c>
      <c r="E1809" s="837"/>
      <c r="F1809" s="876"/>
      <c r="G1809" s="840">
        <v>380.77375000000001</v>
      </c>
      <c r="H1809" s="841">
        <v>380.77375000000001</v>
      </c>
      <c r="I1809" s="746"/>
      <c r="J1809" s="746"/>
      <c r="K1809" s="746"/>
    </row>
    <row r="1810" spans="1:11" ht="14.1" x14ac:dyDescent="0.45">
      <c r="A1810" s="522"/>
      <c r="B1810" s="522"/>
      <c r="C1810" s="836">
        <v>2041</v>
      </c>
      <c r="D1810" s="520">
        <v>27</v>
      </c>
      <c r="E1810" s="837"/>
      <c r="F1810" s="876"/>
      <c r="G1810" s="840">
        <v>379.0444</v>
      </c>
      <c r="H1810" s="841">
        <v>379.0444</v>
      </c>
      <c r="I1810" s="746"/>
      <c r="J1810" s="746"/>
      <c r="K1810" s="746"/>
    </row>
    <row r="1811" spans="1:11" ht="14.1" x14ac:dyDescent="0.45">
      <c r="A1811" s="523"/>
      <c r="B1811" s="524"/>
      <c r="C1811" s="836">
        <v>2042</v>
      </c>
      <c r="D1811" s="520">
        <v>28</v>
      </c>
      <c r="E1811" s="837"/>
      <c r="F1811" s="876"/>
      <c r="G1811" s="840">
        <v>376.97235000000001</v>
      </c>
      <c r="H1811" s="841">
        <v>376.97235000000001</v>
      </c>
      <c r="I1811" s="746"/>
      <c r="J1811" s="746"/>
      <c r="K1811" s="746"/>
    </row>
    <row r="1812" spans="1:11" ht="14.1" x14ac:dyDescent="0.45">
      <c r="A1812" s="746"/>
      <c r="B1812" s="524"/>
      <c r="C1812" s="836">
        <v>2043</v>
      </c>
      <c r="D1812" s="520">
        <v>29</v>
      </c>
      <c r="E1812" s="837"/>
      <c r="F1812" s="876"/>
      <c r="G1812" s="840">
        <v>374.55759999999998</v>
      </c>
      <c r="H1812" s="841">
        <v>374.55759999999998</v>
      </c>
      <c r="I1812" s="746"/>
      <c r="J1812" s="746"/>
      <c r="K1812" s="746"/>
    </row>
    <row r="1813" spans="1:11" ht="14.1" x14ac:dyDescent="0.4">
      <c r="A1813" s="746"/>
      <c r="B1813" s="746"/>
      <c r="C1813" s="836">
        <v>2044</v>
      </c>
      <c r="D1813" s="520">
        <v>30</v>
      </c>
      <c r="E1813" s="837"/>
      <c r="F1813" s="876"/>
      <c r="G1813" s="840">
        <v>371.80015000000003</v>
      </c>
      <c r="H1813" s="841">
        <v>371.80015000000003</v>
      </c>
      <c r="I1813" s="746"/>
      <c r="J1813" s="746"/>
      <c r="K1813" s="746"/>
    </row>
    <row r="1814" spans="1:11" ht="14.1" x14ac:dyDescent="0.4">
      <c r="A1814" s="746"/>
      <c r="B1814" s="746"/>
      <c r="C1814" s="836">
        <v>2045</v>
      </c>
      <c r="D1814" s="520">
        <v>31</v>
      </c>
      <c r="E1814" s="837"/>
      <c r="F1814" s="876"/>
      <c r="G1814" s="840">
        <v>368.7</v>
      </c>
      <c r="H1814" s="841">
        <v>368.7</v>
      </c>
      <c r="I1814" s="746"/>
      <c r="J1814" s="746"/>
      <c r="K1814" s="746"/>
    </row>
    <row r="1815" spans="1:11" ht="14.1" x14ac:dyDescent="0.4">
      <c r="C1815" s="836">
        <v>2046</v>
      </c>
      <c r="D1815" s="520">
        <v>32</v>
      </c>
      <c r="E1815" s="837"/>
      <c r="F1815" s="876"/>
      <c r="G1815" s="840">
        <v>365.25714999999997</v>
      </c>
      <c r="H1815" s="841">
        <v>365.25714999999997</v>
      </c>
    </row>
    <row r="1816" spans="1:11" ht="14.1" x14ac:dyDescent="0.4">
      <c r="C1816" s="836">
        <v>2047</v>
      </c>
      <c r="D1816" s="520">
        <v>33</v>
      </c>
      <c r="E1816" s="837"/>
      <c r="F1816" s="876"/>
      <c r="G1816" s="840">
        <v>361.47159999999997</v>
      </c>
      <c r="H1816" s="841">
        <v>361.47159999999997</v>
      </c>
    </row>
    <row r="1817" spans="1:11" ht="14.1" x14ac:dyDescent="0.4">
      <c r="C1817" s="836">
        <v>2048</v>
      </c>
      <c r="D1817" s="520">
        <v>34</v>
      </c>
      <c r="E1817" s="837"/>
      <c r="F1817" s="876"/>
      <c r="G1817" s="840">
        <v>357.34334999999993</v>
      </c>
      <c r="H1817" s="841">
        <v>357.34334999999993</v>
      </c>
    </row>
    <row r="1818" spans="1:11" ht="14.1" x14ac:dyDescent="0.4">
      <c r="C1818" s="836">
        <v>2049</v>
      </c>
      <c r="D1818" s="520">
        <v>35</v>
      </c>
      <c r="E1818" s="837"/>
      <c r="F1818" s="876"/>
      <c r="G1818" s="840">
        <v>352.87239999999997</v>
      </c>
      <c r="H1818" s="841">
        <v>352.87239999999997</v>
      </c>
    </row>
    <row r="1819" spans="1:11" ht="14.1" x14ac:dyDescent="0.4">
      <c r="C1819" s="836">
        <v>2050</v>
      </c>
      <c r="D1819" s="520">
        <v>36</v>
      </c>
      <c r="E1819" s="837">
        <v>368.7</v>
      </c>
      <c r="F1819" s="876">
        <v>368.7</v>
      </c>
      <c r="G1819" s="840">
        <v>348.05874999999997</v>
      </c>
      <c r="H1819" s="841">
        <v>348.05874999999997</v>
      </c>
    </row>
    <row r="1820" spans="1:11" ht="14.1" x14ac:dyDescent="0.4">
      <c r="C1820" s="836">
        <v>2051</v>
      </c>
      <c r="D1820" s="520">
        <v>37</v>
      </c>
      <c r="E1820" s="837"/>
      <c r="F1820" s="876"/>
      <c r="G1820" s="840">
        <v>342.90239999999994</v>
      </c>
      <c r="H1820" s="841">
        <v>342.90239999999994</v>
      </c>
    </row>
    <row r="1821" spans="1:11" ht="14.1" x14ac:dyDescent="0.4">
      <c r="C1821" s="836">
        <v>2052</v>
      </c>
      <c r="D1821" s="520">
        <v>38</v>
      </c>
      <c r="E1821" s="837"/>
      <c r="F1821" s="876"/>
      <c r="G1821" s="840">
        <v>337.40334999999993</v>
      </c>
      <c r="H1821" s="841">
        <v>337.40334999999993</v>
      </c>
    </row>
    <row r="1822" spans="1:11" ht="14.1" x14ac:dyDescent="0.4">
      <c r="C1822" s="836">
        <v>2053</v>
      </c>
      <c r="D1822" s="520">
        <v>39</v>
      </c>
      <c r="E1822" s="837"/>
      <c r="F1822" s="876"/>
      <c r="G1822" s="840">
        <v>331.56159999999994</v>
      </c>
      <c r="H1822" s="841">
        <v>331.56159999999994</v>
      </c>
    </row>
    <row r="1823" spans="1:11" ht="14.1" x14ac:dyDescent="0.4">
      <c r="C1823" s="836">
        <v>2054</v>
      </c>
      <c r="D1823" s="520">
        <v>40</v>
      </c>
      <c r="E1823" s="837"/>
      <c r="F1823" s="876"/>
      <c r="G1823" s="840">
        <v>325.37714999999992</v>
      </c>
      <c r="H1823" s="841">
        <v>325.37714999999992</v>
      </c>
    </row>
    <row r="1824" spans="1:11" ht="14.1" x14ac:dyDescent="0.4">
      <c r="C1824" s="843">
        <v>2055</v>
      </c>
      <c r="D1824" s="520">
        <v>41</v>
      </c>
      <c r="E1824" s="837"/>
      <c r="F1824" s="876"/>
      <c r="G1824" s="840">
        <v>318.84999999999997</v>
      </c>
      <c r="H1824" s="841">
        <v>318.84999999999997</v>
      </c>
    </row>
    <row r="1827" spans="1:1" ht="15" x14ac:dyDescent="0.5">
      <c r="A1827" s="621" t="str">
        <f ca="1">HYPERLINK("#"&amp;"'"&amp;A$1&amp;"'!a1","Back to top")</f>
        <v>Back to top</v>
      </c>
    </row>
  </sheetData>
  <mergeCells count="117">
    <mergeCell ref="J1768:K1772"/>
    <mergeCell ref="I1769:I1775"/>
    <mergeCell ref="A1773:A1776"/>
    <mergeCell ref="F1701:F1702"/>
    <mergeCell ref="J1703:K1707"/>
    <mergeCell ref="I1704:I1710"/>
    <mergeCell ref="A1708:A1711"/>
    <mergeCell ref="F1766:F1767"/>
    <mergeCell ref="J1573:K1577"/>
    <mergeCell ref="I1574:I1580"/>
    <mergeCell ref="A1578:A1581"/>
    <mergeCell ref="F1636:F1637"/>
    <mergeCell ref="J1638:K1642"/>
    <mergeCell ref="I1639:I1645"/>
    <mergeCell ref="A1643:A1646"/>
    <mergeCell ref="F1506:F1507"/>
    <mergeCell ref="J1508:K1512"/>
    <mergeCell ref="I1509:I1515"/>
    <mergeCell ref="A1513:A1516"/>
    <mergeCell ref="F1571:F1572"/>
    <mergeCell ref="CQ17:CS17"/>
    <mergeCell ref="C1:M1"/>
    <mergeCell ref="F16:F17"/>
    <mergeCell ref="H16:H17"/>
    <mergeCell ref="J17:J18"/>
    <mergeCell ref="CN17:CP17"/>
    <mergeCell ref="F206:F207"/>
    <mergeCell ref="J208:K212"/>
    <mergeCell ref="I209:I215"/>
    <mergeCell ref="A213:A216"/>
    <mergeCell ref="F271:F272"/>
    <mergeCell ref="J273:K277"/>
    <mergeCell ref="I274:I280"/>
    <mergeCell ref="A278:A281"/>
    <mergeCell ref="F466:F467"/>
    <mergeCell ref="J468:K472"/>
    <mergeCell ref="I469:I475"/>
    <mergeCell ref="A473:A476"/>
    <mergeCell ref="F336:F337"/>
    <mergeCell ref="CX19:CY20"/>
    <mergeCell ref="A23:A26"/>
    <mergeCell ref="I26:I28"/>
    <mergeCell ref="J26:J28"/>
    <mergeCell ref="CX27:CX30"/>
    <mergeCell ref="A34:A36"/>
    <mergeCell ref="A38:A43"/>
    <mergeCell ref="F141:F142"/>
    <mergeCell ref="J143:K147"/>
    <mergeCell ref="I144:I150"/>
    <mergeCell ref="A148:A151"/>
    <mergeCell ref="J338:K342"/>
    <mergeCell ref="I339:I345"/>
    <mergeCell ref="A343:A346"/>
    <mergeCell ref="F401:F402"/>
    <mergeCell ref="J403:K407"/>
    <mergeCell ref="I404:I410"/>
    <mergeCell ref="A408:A411"/>
    <mergeCell ref="F531:F532"/>
    <mergeCell ref="J533:K537"/>
    <mergeCell ref="I534:I540"/>
    <mergeCell ref="A538:A541"/>
    <mergeCell ref="F596:F597"/>
    <mergeCell ref="F726:F727"/>
    <mergeCell ref="J728:K732"/>
    <mergeCell ref="I729:I735"/>
    <mergeCell ref="A733:A736"/>
    <mergeCell ref="J598:K602"/>
    <mergeCell ref="I599:I605"/>
    <mergeCell ref="A603:A606"/>
    <mergeCell ref="F661:F662"/>
    <mergeCell ref="J663:K667"/>
    <mergeCell ref="I664:I670"/>
    <mergeCell ref="A668:A671"/>
    <mergeCell ref="J793:K797"/>
    <mergeCell ref="I794:I800"/>
    <mergeCell ref="A798:A801"/>
    <mergeCell ref="F791:F792"/>
    <mergeCell ref="F856:F857"/>
    <mergeCell ref="J858:K862"/>
    <mergeCell ref="I859:I865"/>
    <mergeCell ref="A863:A866"/>
    <mergeCell ref="F921:F922"/>
    <mergeCell ref="J923:K927"/>
    <mergeCell ref="I924:I930"/>
    <mergeCell ref="A928:A931"/>
    <mergeCell ref="F986:F987"/>
    <mergeCell ref="J988:K992"/>
    <mergeCell ref="I989:I995"/>
    <mergeCell ref="A993:A996"/>
    <mergeCell ref="F1051:F1052"/>
    <mergeCell ref="J1053:K1057"/>
    <mergeCell ref="I1054:I1060"/>
    <mergeCell ref="A1058:A1061"/>
    <mergeCell ref="F1116:F1117"/>
    <mergeCell ref="J1118:K1122"/>
    <mergeCell ref="I1119:I1125"/>
    <mergeCell ref="A1123:A1126"/>
    <mergeCell ref="F1181:F1182"/>
    <mergeCell ref="J1183:K1187"/>
    <mergeCell ref="I1184:I1190"/>
    <mergeCell ref="A1188:A1191"/>
    <mergeCell ref="F1246:F1247"/>
    <mergeCell ref="J1248:K1252"/>
    <mergeCell ref="I1249:I1255"/>
    <mergeCell ref="A1253:A1256"/>
    <mergeCell ref="F1311:F1312"/>
    <mergeCell ref="J1313:K1317"/>
    <mergeCell ref="I1314:I1320"/>
    <mergeCell ref="A1318:A1321"/>
    <mergeCell ref="F1441:F1442"/>
    <mergeCell ref="J1443:K1447"/>
    <mergeCell ref="I1444:I1450"/>
    <mergeCell ref="A1448:A1451"/>
    <mergeCell ref="F1376:F1377"/>
    <mergeCell ref="J1378:K1382"/>
    <mergeCell ref="I1379:I1385"/>
    <mergeCell ref="A1383:A1386"/>
  </mergeCells>
  <conditionalFormatting sqref="F19:F74">
    <cfRule type="containsErrors" dxfId="27" priority="29">
      <formula>ISERROR(F19)</formula>
    </cfRule>
  </conditionalFormatting>
  <conditionalFormatting sqref="A148">
    <cfRule type="cellIs" dxfId="26" priority="30" operator="equal">
      <formula>#REF!</formula>
    </cfRule>
  </conditionalFormatting>
  <conditionalFormatting sqref="A213">
    <cfRule type="cellIs" dxfId="25" priority="28" operator="equal">
      <formula>#REF!</formula>
    </cfRule>
  </conditionalFormatting>
  <conditionalFormatting sqref="A278">
    <cfRule type="cellIs" dxfId="24" priority="27" operator="equal">
      <formula>#REF!</formula>
    </cfRule>
  </conditionalFormatting>
  <conditionalFormatting sqref="A343">
    <cfRule type="cellIs" dxfId="23" priority="26" operator="equal">
      <formula>#REF!</formula>
    </cfRule>
  </conditionalFormatting>
  <conditionalFormatting sqref="A408">
    <cfRule type="cellIs" dxfId="22" priority="25" operator="equal">
      <formula>#REF!</formula>
    </cfRule>
  </conditionalFormatting>
  <conditionalFormatting sqref="A23">
    <cfRule type="cellIs" dxfId="21" priority="24" operator="equal">
      <formula>#REF!</formula>
    </cfRule>
  </conditionalFormatting>
  <conditionalFormatting sqref="A473">
    <cfRule type="cellIs" dxfId="20" priority="23" operator="equal">
      <formula>#REF!</formula>
    </cfRule>
  </conditionalFormatting>
  <conditionalFormatting sqref="A538">
    <cfRule type="cellIs" dxfId="19" priority="22" operator="equal">
      <formula>#REF!</formula>
    </cfRule>
  </conditionalFormatting>
  <conditionalFormatting sqref="A603">
    <cfRule type="cellIs" dxfId="18" priority="21" operator="equal">
      <formula>#REF!</formula>
    </cfRule>
  </conditionalFormatting>
  <conditionalFormatting sqref="A668">
    <cfRule type="cellIs" dxfId="17" priority="20" operator="equal">
      <formula>#REF!</formula>
    </cfRule>
  </conditionalFormatting>
  <conditionalFormatting sqref="A733">
    <cfRule type="cellIs" dxfId="16" priority="17" operator="equal">
      <formula>#REF!</formula>
    </cfRule>
  </conditionalFormatting>
  <conditionalFormatting sqref="A798">
    <cfRule type="cellIs" dxfId="15" priority="16" operator="equal">
      <formula>#REF!</formula>
    </cfRule>
  </conditionalFormatting>
  <conditionalFormatting sqref="A863">
    <cfRule type="cellIs" dxfId="14" priority="15" operator="equal">
      <formula>#REF!</formula>
    </cfRule>
  </conditionalFormatting>
  <conditionalFormatting sqref="A928">
    <cfRule type="cellIs" dxfId="13" priority="14" operator="equal">
      <formula>#REF!</formula>
    </cfRule>
  </conditionalFormatting>
  <conditionalFormatting sqref="A993">
    <cfRule type="cellIs" dxfId="12" priority="13" operator="equal">
      <formula>#REF!</formula>
    </cfRule>
  </conditionalFormatting>
  <conditionalFormatting sqref="A1058">
    <cfRule type="cellIs" dxfId="11" priority="12" operator="equal">
      <formula>#REF!</formula>
    </cfRule>
  </conditionalFormatting>
  <conditionalFormatting sqref="A1123">
    <cfRule type="cellIs" dxfId="10" priority="11" operator="equal">
      <formula>#REF!</formula>
    </cfRule>
  </conditionalFormatting>
  <conditionalFormatting sqref="A1188">
    <cfRule type="cellIs" dxfId="9" priority="10" operator="equal">
      <formula>#REF!</formula>
    </cfRule>
  </conditionalFormatting>
  <conditionalFormatting sqref="A1253">
    <cfRule type="cellIs" dxfId="8" priority="9" operator="equal">
      <formula>#REF!</formula>
    </cfRule>
  </conditionalFormatting>
  <conditionalFormatting sqref="A1318">
    <cfRule type="cellIs" dxfId="7" priority="8" operator="equal">
      <formula>#REF!</formula>
    </cfRule>
  </conditionalFormatting>
  <conditionalFormatting sqref="A1383">
    <cfRule type="cellIs" dxfId="6" priority="7" operator="equal">
      <formula>#REF!</formula>
    </cfRule>
  </conditionalFormatting>
  <conditionalFormatting sqref="A1448">
    <cfRule type="cellIs" dxfId="5" priority="6" operator="equal">
      <formula>#REF!</formula>
    </cfRule>
  </conditionalFormatting>
  <conditionalFormatting sqref="A1513">
    <cfRule type="cellIs" dxfId="4" priority="5" operator="equal">
      <formula>#REF!</formula>
    </cfRule>
  </conditionalFormatting>
  <conditionalFormatting sqref="A1578">
    <cfRule type="cellIs" dxfId="3" priority="4" operator="equal">
      <formula>#REF!</formula>
    </cfRule>
  </conditionalFormatting>
  <conditionalFormatting sqref="A1643">
    <cfRule type="cellIs" dxfId="2" priority="3" operator="equal">
      <formula>#REF!</formula>
    </cfRule>
  </conditionalFormatting>
  <conditionalFormatting sqref="A1708">
    <cfRule type="cellIs" dxfId="1" priority="2" operator="equal">
      <formula>#REF!</formula>
    </cfRule>
  </conditionalFormatting>
  <conditionalFormatting sqref="A1773">
    <cfRule type="cellIs" dxfId="0" priority="1" operator="equal">
      <formula>#REF!</formula>
    </cfRule>
  </conditionalFormatting>
  <dataValidations count="7">
    <dataValidation type="list" allowBlank="1" showInputMessage="1" showErrorMessage="1" sqref="H18 I29:J29" xr:uid="{459A3BA5-DD9E-1E4F-8004-6E8FBEB3D282}">
      <formula1>"Yes,No"</formula1>
    </dataValidation>
    <dataValidation type="list" allowBlank="1" showInputMessage="1" showErrorMessage="1" sqref="A17" xr:uid="{1783A7EA-26B5-3248-BDF7-20585A9EF853}">
      <formula1>"[Choose Variable],TAM,Adoption Data, GDP"</formula1>
    </dataValidation>
    <dataValidation type="list" allowBlank="1" showInputMessage="1" showErrorMessage="1" sqref="A20" xr:uid="{BC381BDF-5C0F-6248-AFD6-8A6FB5B0B47F}">
      <formula1>$CH$2:$CH$12</formula1>
    </dataValidation>
    <dataValidation type="list" allowBlank="1" showInputMessage="1" showErrorMessage="1" sqref="G18" xr:uid="{F9EAA322-259C-6341-86E2-23D0B56F1398}">
      <formula1>$CE$2:$CE$7</formula1>
    </dataValidation>
    <dataValidation type="list" allowBlank="1" showInputMessage="1" showErrorMessage="1" sqref="A145" xr:uid="{D5EBD491-F1B1-0E4E-A815-3436269B0BB7}">
      <formula1>$CH$2:$CH$8</formula1>
    </dataValidation>
    <dataValidation type="list" allowBlank="1" showInputMessage="1" showErrorMessage="1" sqref="G143" xr:uid="{1895D1D5-2E36-6A41-A263-7EAA48522172}">
      <formula1>$CE$2:$CE$6</formula1>
    </dataValidation>
    <dataValidation type="list" allowBlank="1" showInputMessage="1" showErrorMessage="1" sqref="A142" xr:uid="{5B79AA9B-CC78-1D43-8393-07DC5A2B800B}">
      <formula1>"[Choose Variable],TAM,Adoption Data"</formula1>
    </dataValidation>
  </dataValidations>
  <pageMargins left="0.7" right="0.7" top="0.75" bottom="0.75" header="0.3" footer="0.3"/>
  <pageSetup orientation="portrait" horizontalDpi="4294967292" verticalDpi="4294967292" r:id="rId1"/>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Z172"/>
    <cellWatch r="AZ173"/>
    <cellWatch r="AZ174"/>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322"/>
    <cellWatch r="AZ323"/>
    <cellWatch r="AZ175"/>
    <cellWatch r="AZ176"/>
    <cellWatch r="AZ177"/>
    <cellWatch r="AZ178"/>
    <cellWatch r="AY183"/>
    <cellWatch r="AY184"/>
    <cellWatch r="AY185"/>
    <cellWatch r="AY186"/>
    <cellWatch r="AY187"/>
    <cellWatch r="AZ242"/>
    <cellWatch r="AZ243"/>
    <cellWatch r="AZ244"/>
    <cellWatch r="AZ245"/>
    <cellWatch r="AZ246"/>
    <cellWatch r="AZ247"/>
    <cellWatch r="BA172"/>
    <cellWatch r="BB172"/>
    <cellWatch r="BB173"/>
    <cellWatch r="AZ179"/>
    <cellWatch r="AY188"/>
    <cellWatch r="AZ180"/>
    <cellWatch r="AZ181"/>
    <cellWatch r="AZ182"/>
    <cellWatch r="AY135"/>
    <cellWatch r="AY136"/>
    <cellWatch r="AY137"/>
    <cellWatch r="AY138"/>
    <cellWatch r="AY139"/>
    <cellWatch r="AY140"/>
    <cellWatch r="AY141"/>
    <cellWatch r="AY142"/>
    <cellWatch r="AY143"/>
    <cellWatch r="AY144"/>
    <cellWatch r="AY145"/>
    <cellWatch r="AY146"/>
    <cellWatch r="AY147"/>
  </cellWatches>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2]!Macr_CopyInterpolations">
                <anchor moveWithCells="1" sizeWithCells="1">
                  <from>
                    <xdr:col>8</xdr:col>
                    <xdr:colOff>102870</xdr:colOff>
                    <xdr:row>19</xdr:row>
                    <xdr:rowOff>190500</xdr:rowOff>
                  </from>
                  <to>
                    <xdr:col>10</xdr:col>
                    <xdr:colOff>152400</xdr:colOff>
                    <xdr:row>25</xdr:row>
                    <xdr:rowOff>0</xdr:rowOff>
                  </to>
                </anchor>
              </controlPr>
            </control>
          </mc:Choice>
        </mc:AlternateContent>
        <mc:AlternateContent xmlns:mc="http://schemas.openxmlformats.org/markup-compatibility/2006">
          <mc:Choice Requires="x14">
            <control shapeId="27650" r:id="rId5" name="Button 2">
              <controlPr defaultSize="0" print="0" autoFill="0" autoPict="0" macro="[2]!delete_LastInterpolation">
                <anchor moveWithCells="1" sizeWithCells="1">
                  <from>
                    <xdr:col>8</xdr:col>
                    <xdr:colOff>64770</xdr:colOff>
                    <xdr:row>30</xdr:row>
                    <xdr:rowOff>102870</xdr:rowOff>
                  </from>
                  <to>
                    <xdr:col>10</xdr:col>
                    <xdr:colOff>140970</xdr:colOff>
                    <xdr:row>35</xdr:row>
                    <xdr:rowOff>49530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4B60D-1781-6E44-BCAA-ABEC08924952}">
  <dimension ref="A1:AF112"/>
  <sheetViews>
    <sheetView workbookViewId="0">
      <selection activeCell="AG84" sqref="AG84"/>
    </sheetView>
  </sheetViews>
  <sheetFormatPr defaultColWidth="10.6640625" defaultRowHeight="12.3" x14ac:dyDescent="0.4"/>
  <cols>
    <col min="9" max="9" width="25.33203125" bestFit="1" customWidth="1"/>
    <col min="10" max="10" width="10.83203125" customWidth="1"/>
  </cols>
  <sheetData>
    <row r="1" spans="1:16" s="609" customFormat="1" x14ac:dyDescent="0.4">
      <c r="A1" s="1" t="s">
        <v>932</v>
      </c>
    </row>
    <row r="2" spans="1:16" s="609" customFormat="1" x14ac:dyDescent="0.4">
      <c r="A2" s="609" t="s">
        <v>938</v>
      </c>
    </row>
    <row r="3" spans="1:16" x14ac:dyDescent="0.4">
      <c r="B3" s="1288" t="s">
        <v>923</v>
      </c>
      <c r="C3" s="1288"/>
      <c r="D3" s="1288"/>
      <c r="E3" s="1288"/>
      <c r="F3" s="1"/>
      <c r="J3" s="1288" t="s">
        <v>931</v>
      </c>
      <c r="K3" s="1288"/>
      <c r="L3" s="1288"/>
      <c r="M3" s="1288"/>
      <c r="N3" s="1288"/>
      <c r="O3" s="1288"/>
      <c r="P3" s="1288"/>
    </row>
    <row r="4" spans="1:16" x14ac:dyDescent="0.4">
      <c r="B4" s="903">
        <v>2004</v>
      </c>
      <c r="C4" s="619">
        <v>2010</v>
      </c>
      <c r="D4" s="903">
        <v>2012</v>
      </c>
      <c r="E4" s="619">
        <v>2014</v>
      </c>
      <c r="F4" s="619">
        <v>2016</v>
      </c>
      <c r="J4">
        <v>2004</v>
      </c>
      <c r="K4">
        <v>2006</v>
      </c>
      <c r="L4">
        <v>2008</v>
      </c>
      <c r="M4">
        <v>2010</v>
      </c>
      <c r="N4">
        <v>2012</v>
      </c>
      <c r="O4">
        <v>2014</v>
      </c>
      <c r="P4">
        <v>2016</v>
      </c>
    </row>
    <row r="5" spans="1:16" ht="15.6" x14ac:dyDescent="0.6">
      <c r="A5" t="s">
        <v>888</v>
      </c>
      <c r="B5" s="904">
        <v>192</v>
      </c>
      <c r="C5" s="891"/>
      <c r="D5" s="904">
        <v>262</v>
      </c>
      <c r="E5" s="891">
        <v>425</v>
      </c>
      <c r="F5" s="891">
        <v>425</v>
      </c>
      <c r="G5" s="609"/>
      <c r="I5" s="609" t="s">
        <v>924</v>
      </c>
      <c r="J5" s="609">
        <v>63.1</v>
      </c>
      <c r="K5" s="902">
        <v>57.4</v>
      </c>
      <c r="L5" s="902">
        <v>46.2</v>
      </c>
      <c r="M5" s="902">
        <v>20.8</v>
      </c>
      <c r="N5" s="609">
        <v>21.3</v>
      </c>
      <c r="O5" s="609">
        <v>18.3</v>
      </c>
      <c r="P5" s="609">
        <v>20.3</v>
      </c>
    </row>
    <row r="6" spans="1:16" ht="15.6" x14ac:dyDescent="0.6">
      <c r="A6" t="s">
        <v>889</v>
      </c>
      <c r="B6" s="904">
        <v>618</v>
      </c>
      <c r="C6" s="891">
        <v>1903</v>
      </c>
      <c r="D6" s="904">
        <v>552</v>
      </c>
      <c r="E6" s="891">
        <v>1838</v>
      </c>
      <c r="F6" s="891">
        <v>1886</v>
      </c>
      <c r="G6" s="796" t="s">
        <v>936</v>
      </c>
      <c r="I6" s="609" t="s">
        <v>925</v>
      </c>
      <c r="J6" s="609">
        <v>39.299999999999997</v>
      </c>
      <c r="K6" s="902">
        <v>45.2</v>
      </c>
      <c r="L6" s="902">
        <v>38.700000000000003</v>
      </c>
      <c r="M6" s="902">
        <v>43.1</v>
      </c>
      <c r="N6" s="609">
        <v>43.2</v>
      </c>
      <c r="O6" s="609">
        <v>42.2</v>
      </c>
      <c r="P6" s="609">
        <v>40.9</v>
      </c>
    </row>
    <row r="7" spans="1:16" ht="15.6" x14ac:dyDescent="0.6">
      <c r="A7" t="s">
        <v>890</v>
      </c>
      <c r="B7" s="904">
        <v>488</v>
      </c>
      <c r="C7" s="891">
        <v>3619</v>
      </c>
      <c r="D7" s="904">
        <v>456</v>
      </c>
      <c r="E7" s="891">
        <v>3125</v>
      </c>
      <c r="F7" s="891">
        <v>3383</v>
      </c>
      <c r="G7" s="796"/>
      <c r="I7" s="609" t="s">
        <v>926</v>
      </c>
      <c r="J7" s="609">
        <v>102.6</v>
      </c>
      <c r="K7" s="902">
        <v>107.1</v>
      </c>
      <c r="L7" s="902">
        <v>98.9</v>
      </c>
      <c r="M7" s="902">
        <v>89.9</v>
      </c>
      <c r="N7" s="609">
        <v>101.4</v>
      </c>
      <c r="O7" s="609">
        <v>98.6</v>
      </c>
      <c r="P7" s="609">
        <v>91.6</v>
      </c>
    </row>
    <row r="8" spans="1:16" ht="15.6" x14ac:dyDescent="0.6">
      <c r="A8" t="s">
        <v>885</v>
      </c>
      <c r="B8" s="904">
        <v>356</v>
      </c>
      <c r="C8" s="891"/>
      <c r="D8" s="904">
        <v>340</v>
      </c>
      <c r="E8" s="891"/>
      <c r="F8" s="891"/>
      <c r="G8" s="796"/>
      <c r="I8" s="609" t="s">
        <v>927</v>
      </c>
      <c r="J8" s="609">
        <v>205</v>
      </c>
      <c r="K8" s="902">
        <v>211</v>
      </c>
      <c r="L8" s="902">
        <v>212.3</v>
      </c>
      <c r="M8" s="902">
        <v>214.4</v>
      </c>
      <c r="N8" s="609">
        <v>209.3</v>
      </c>
      <c r="O8" s="609">
        <v>203.6</v>
      </c>
      <c r="P8" s="609">
        <v>208.4</v>
      </c>
    </row>
    <row r="9" spans="1:16" ht="15.6" x14ac:dyDescent="0.6">
      <c r="A9" t="s">
        <v>891</v>
      </c>
      <c r="B9" s="904">
        <v>594</v>
      </c>
      <c r="C9" s="891">
        <v>2002</v>
      </c>
      <c r="D9" s="904">
        <v>460</v>
      </c>
      <c r="E9" s="891">
        <v>2474</v>
      </c>
      <c r="F9" s="891">
        <v>2527</v>
      </c>
      <c r="G9" s="796"/>
      <c r="I9" s="609" t="s">
        <v>928</v>
      </c>
      <c r="J9" s="609">
        <v>271.39999999999998</v>
      </c>
      <c r="K9" s="902">
        <v>250.5</v>
      </c>
      <c r="L9" s="902">
        <v>236.6</v>
      </c>
      <c r="M9" s="902">
        <v>202.7</v>
      </c>
      <c r="N9" s="609">
        <v>186.9</v>
      </c>
      <c r="O9" s="609">
        <v>183.9</v>
      </c>
      <c r="P9" s="609">
        <v>190.2</v>
      </c>
    </row>
    <row r="10" spans="1:16" ht="15.6" x14ac:dyDescent="0.6">
      <c r="A10" t="s">
        <v>892</v>
      </c>
      <c r="B10" s="904">
        <v>304</v>
      </c>
      <c r="C10" s="891">
        <v>674</v>
      </c>
      <c r="D10" s="904">
        <v>391</v>
      </c>
      <c r="E10" s="891">
        <v>723</v>
      </c>
      <c r="F10" s="891">
        <v>828</v>
      </c>
      <c r="G10" s="796"/>
      <c r="I10" s="609" t="s">
        <v>929</v>
      </c>
      <c r="J10" s="609">
        <v>131.80000000000001</v>
      </c>
      <c r="K10" s="902">
        <v>142.9</v>
      </c>
      <c r="L10" s="902">
        <v>118.3</v>
      </c>
      <c r="M10" s="902">
        <v>112.7</v>
      </c>
      <c r="N10" s="609">
        <v>96.2</v>
      </c>
      <c r="O10" s="609">
        <v>91.4</v>
      </c>
      <c r="P10" s="609">
        <v>106.1</v>
      </c>
    </row>
    <row r="11" spans="1:16" ht="15.6" x14ac:dyDescent="0.6">
      <c r="A11" t="s">
        <v>893</v>
      </c>
      <c r="B11" s="904">
        <v>684</v>
      </c>
      <c r="C11" s="891">
        <v>1042</v>
      </c>
      <c r="D11" s="904">
        <v>663</v>
      </c>
      <c r="E11" s="891">
        <v>792</v>
      </c>
      <c r="F11" s="891">
        <v>839</v>
      </c>
      <c r="G11" s="796"/>
      <c r="I11" s="609" t="s">
        <v>930</v>
      </c>
      <c r="J11" s="609">
        <v>126.8</v>
      </c>
      <c r="K11" s="902">
        <v>128.19999999999999</v>
      </c>
      <c r="L11" s="902">
        <v>152.4</v>
      </c>
      <c r="M11" s="902">
        <v>183.1</v>
      </c>
      <c r="N11" s="609">
        <v>203.8</v>
      </c>
      <c r="O11" s="609">
        <v>233.5</v>
      </c>
      <c r="P11" s="609">
        <v>253.5</v>
      </c>
    </row>
    <row r="12" spans="1:16" ht="12.6" x14ac:dyDescent="0.45">
      <c r="A12" t="s">
        <v>894</v>
      </c>
      <c r="B12" s="904">
        <v>279</v>
      </c>
      <c r="C12" s="891">
        <v>1182</v>
      </c>
      <c r="D12" s="904">
        <v>308</v>
      </c>
      <c r="E12" s="891">
        <v>1118</v>
      </c>
      <c r="F12" s="891">
        <v>1214</v>
      </c>
      <c r="G12" s="796"/>
    </row>
    <row r="13" spans="1:16" ht="12.6" x14ac:dyDescent="0.45">
      <c r="A13" t="s">
        <v>895</v>
      </c>
      <c r="B13" s="904">
        <v>620</v>
      </c>
      <c r="C13" s="891">
        <v>1915</v>
      </c>
      <c r="D13" s="904">
        <v>668</v>
      </c>
      <c r="E13" s="891">
        <v>1778</v>
      </c>
      <c r="F13" s="891">
        <v>1657</v>
      </c>
      <c r="G13" s="796"/>
    </row>
    <row r="14" spans="1:16" ht="12.6" x14ac:dyDescent="0.45">
      <c r="A14" t="s">
        <v>896</v>
      </c>
      <c r="B14" s="904">
        <v>445</v>
      </c>
      <c r="C14" s="891">
        <v>8612</v>
      </c>
      <c r="D14" s="904">
        <v>280</v>
      </c>
      <c r="E14" s="891">
        <v>9514</v>
      </c>
      <c r="F14" s="891">
        <v>8965</v>
      </c>
      <c r="G14" s="796"/>
    </row>
    <row r="15" spans="1:16" ht="12.6" x14ac:dyDescent="0.45">
      <c r="A15" t="s">
        <v>897</v>
      </c>
      <c r="B15" s="904">
        <v>514</v>
      </c>
      <c r="C15" s="891">
        <v>1720</v>
      </c>
      <c r="D15" s="904">
        <v>488</v>
      </c>
      <c r="E15" s="891">
        <v>1717</v>
      </c>
      <c r="F15" s="891">
        <v>1783</v>
      </c>
      <c r="G15" s="796"/>
    </row>
    <row r="16" spans="1:16" ht="12.6" x14ac:dyDescent="0.45">
      <c r="A16" t="s">
        <v>898</v>
      </c>
      <c r="B16" s="904">
        <v>469</v>
      </c>
      <c r="C16" s="891">
        <v>4517</v>
      </c>
      <c r="D16" s="904">
        <v>506</v>
      </c>
      <c r="E16" s="891">
        <v>2508</v>
      </c>
      <c r="F16" s="891">
        <v>2595</v>
      </c>
      <c r="G16" s="796"/>
    </row>
    <row r="17" spans="1:7" ht="12.6" x14ac:dyDescent="0.45">
      <c r="A17" t="s">
        <v>886</v>
      </c>
      <c r="B17" s="904">
        <v>349</v>
      </c>
      <c r="C17" s="891">
        <v>714</v>
      </c>
      <c r="D17" s="904">
        <v>381</v>
      </c>
      <c r="E17" s="891">
        <v>1000</v>
      </c>
      <c r="F17" s="891">
        <v>336</v>
      </c>
      <c r="G17" s="796"/>
    </row>
    <row r="18" spans="1:7" ht="12.6" x14ac:dyDescent="0.45">
      <c r="A18" t="s">
        <v>899</v>
      </c>
      <c r="B18" s="904">
        <v>519</v>
      </c>
      <c r="C18" s="891">
        <v>1505</v>
      </c>
      <c r="D18" s="904">
        <v>534</v>
      </c>
      <c r="E18" s="891">
        <v>1444</v>
      </c>
      <c r="F18" s="891">
        <v>1452</v>
      </c>
      <c r="G18" s="796"/>
    </row>
    <row r="19" spans="1:7" ht="12.6" x14ac:dyDescent="0.45">
      <c r="A19" t="s">
        <v>900</v>
      </c>
      <c r="B19" s="904">
        <v>587</v>
      </c>
      <c r="C19" s="891">
        <v>1713</v>
      </c>
      <c r="D19" s="904">
        <v>611</v>
      </c>
      <c r="E19" s="891">
        <v>1908</v>
      </c>
      <c r="F19" s="891">
        <v>1897</v>
      </c>
      <c r="G19" s="796"/>
    </row>
    <row r="20" spans="1:7" ht="12.6" x14ac:dyDescent="0.45">
      <c r="A20" t="s">
        <v>901</v>
      </c>
      <c r="B20" s="904">
        <v>432</v>
      </c>
      <c r="C20" s="891">
        <v>2016</v>
      </c>
      <c r="D20" s="904">
        <v>503</v>
      </c>
      <c r="E20" s="891">
        <v>1928</v>
      </c>
      <c r="F20" s="891">
        <v>1928</v>
      </c>
      <c r="G20" s="796"/>
    </row>
    <row r="21" spans="1:7" ht="12.6" x14ac:dyDescent="0.45">
      <c r="A21" t="s">
        <v>902</v>
      </c>
      <c r="B21" s="904">
        <v>454</v>
      </c>
      <c r="C21" s="891">
        <v>1156</v>
      </c>
      <c r="D21" s="904">
        <v>402</v>
      </c>
      <c r="E21" s="891">
        <v>1214</v>
      </c>
      <c r="F21" s="891">
        <v>1116</v>
      </c>
      <c r="G21" s="796"/>
    </row>
    <row r="22" spans="1:7" ht="12.6" x14ac:dyDescent="0.45">
      <c r="A22" t="s">
        <v>903</v>
      </c>
      <c r="B22" s="904">
        <v>503</v>
      </c>
      <c r="C22" s="891">
        <v>1517</v>
      </c>
      <c r="D22" s="904">
        <v>338</v>
      </c>
      <c r="E22" s="891">
        <v>1254</v>
      </c>
      <c r="F22" s="891">
        <v>1467</v>
      </c>
      <c r="G22" s="796"/>
    </row>
    <row r="23" spans="1:7" ht="12.6" x14ac:dyDescent="0.45">
      <c r="A23" t="s">
        <v>904</v>
      </c>
      <c r="B23" s="904">
        <v>737</v>
      </c>
      <c r="C23" s="891">
        <v>2704</v>
      </c>
      <c r="D23" s="904">
        <v>587</v>
      </c>
      <c r="E23" s="891">
        <v>1666</v>
      </c>
      <c r="F23" s="891">
        <v>1666</v>
      </c>
      <c r="G23" s="796"/>
    </row>
    <row r="24" spans="1:7" ht="12.6" x14ac:dyDescent="0.45">
      <c r="A24" t="s">
        <v>905</v>
      </c>
      <c r="B24" s="904">
        <v>540</v>
      </c>
      <c r="C24" s="891">
        <v>1674</v>
      </c>
      <c r="D24" s="904">
        <v>529</v>
      </c>
      <c r="E24" s="891">
        <v>1772</v>
      </c>
      <c r="F24" s="891">
        <v>1799</v>
      </c>
      <c r="G24" s="796"/>
    </row>
    <row r="25" spans="1:7" ht="12.6" x14ac:dyDescent="0.45">
      <c r="A25" t="s">
        <v>921</v>
      </c>
      <c r="B25" s="904"/>
      <c r="C25" s="891"/>
      <c r="D25" s="904">
        <v>417</v>
      </c>
      <c r="E25" s="891">
        <v>454</v>
      </c>
      <c r="F25" s="891">
        <v>1397</v>
      </c>
      <c r="G25" s="796"/>
    </row>
    <row r="26" spans="1:7" ht="12.6" x14ac:dyDescent="0.45">
      <c r="A26" t="s">
        <v>906</v>
      </c>
      <c r="B26" s="904">
        <v>318</v>
      </c>
      <c r="C26" s="891">
        <v>627</v>
      </c>
      <c r="D26" s="904">
        <v>301</v>
      </c>
      <c r="E26" s="891">
        <v>1001</v>
      </c>
      <c r="F26" s="891">
        <v>1065</v>
      </c>
      <c r="G26" s="796"/>
    </row>
    <row r="27" spans="1:7" ht="12.6" x14ac:dyDescent="0.45">
      <c r="A27" s="609" t="s">
        <v>935</v>
      </c>
      <c r="B27" s="891"/>
      <c r="C27" s="891">
        <v>1836</v>
      </c>
      <c r="D27" s="891"/>
      <c r="E27" s="891">
        <v>1149</v>
      </c>
      <c r="F27" s="891">
        <v>1217</v>
      </c>
      <c r="G27" s="796"/>
    </row>
    <row r="28" spans="1:7" ht="12.6" x14ac:dyDescent="0.45">
      <c r="A28" t="s">
        <v>907</v>
      </c>
      <c r="B28" s="904">
        <v>373</v>
      </c>
      <c r="C28" s="891">
        <v>983</v>
      </c>
      <c r="D28" s="904">
        <v>469</v>
      </c>
      <c r="E28" s="891">
        <v>1119</v>
      </c>
      <c r="F28" s="891">
        <v>1223</v>
      </c>
      <c r="G28" s="796" t="s">
        <v>936</v>
      </c>
    </row>
    <row r="29" spans="1:7" ht="12.6" x14ac:dyDescent="0.45">
      <c r="A29" t="s">
        <v>908</v>
      </c>
      <c r="B29" s="904">
        <v>679</v>
      </c>
      <c r="C29" s="891">
        <v>3008</v>
      </c>
      <c r="D29" s="904">
        <v>662</v>
      </c>
      <c r="E29" s="891">
        <v>1617</v>
      </c>
      <c r="F29" s="891">
        <v>2697</v>
      </c>
      <c r="G29" s="796"/>
    </row>
    <row r="30" spans="1:7" ht="12.6" x14ac:dyDescent="0.45">
      <c r="A30" t="s">
        <v>909</v>
      </c>
      <c r="B30" s="904">
        <v>622</v>
      </c>
      <c r="C30" s="891">
        <v>814</v>
      </c>
      <c r="D30" s="904">
        <v>589</v>
      </c>
      <c r="E30" s="891">
        <v>946</v>
      </c>
      <c r="F30" s="891">
        <v>1289</v>
      </c>
      <c r="G30" s="796"/>
    </row>
    <row r="31" spans="1:7" ht="12.6" x14ac:dyDescent="0.45">
      <c r="A31" t="s">
        <v>922</v>
      </c>
      <c r="B31" s="904"/>
      <c r="C31" s="891"/>
      <c r="D31" s="904">
        <v>513</v>
      </c>
      <c r="E31" s="891">
        <v>1245</v>
      </c>
      <c r="F31" s="891">
        <v>1170</v>
      </c>
      <c r="G31" s="796"/>
    </row>
    <row r="32" spans="1:7" ht="12.6" x14ac:dyDescent="0.45">
      <c r="A32" t="s">
        <v>910</v>
      </c>
      <c r="B32" s="904">
        <v>599</v>
      </c>
      <c r="C32" s="891">
        <v>2624</v>
      </c>
      <c r="D32" s="904">
        <v>551</v>
      </c>
      <c r="E32" s="891">
        <v>2581</v>
      </c>
      <c r="F32" s="891">
        <v>2539</v>
      </c>
      <c r="G32" s="796"/>
    </row>
    <row r="33" spans="1:7" ht="12.6" x14ac:dyDescent="0.45">
      <c r="A33" t="s">
        <v>911</v>
      </c>
      <c r="B33" s="904">
        <v>414</v>
      </c>
      <c r="C33" s="891">
        <v>1688</v>
      </c>
      <c r="D33" s="904">
        <v>477</v>
      </c>
      <c r="E33" s="891">
        <v>1879</v>
      </c>
      <c r="F33" s="891">
        <v>1673</v>
      </c>
      <c r="G33" s="796"/>
    </row>
    <row r="34" spans="1:7" ht="12.6" x14ac:dyDescent="0.45">
      <c r="A34" t="s">
        <v>884</v>
      </c>
      <c r="B34" s="904">
        <v>319</v>
      </c>
      <c r="C34" s="891">
        <v>1754</v>
      </c>
      <c r="D34" s="904">
        <v>314</v>
      </c>
      <c r="E34" s="891">
        <v>1979</v>
      </c>
      <c r="F34" s="891">
        <v>2090</v>
      </c>
      <c r="G34" s="796"/>
    </row>
    <row r="35" spans="1:7" ht="12.6" x14ac:dyDescent="0.45">
      <c r="A35" t="s">
        <v>912</v>
      </c>
      <c r="B35" s="904">
        <v>445</v>
      </c>
      <c r="C35" s="891">
        <v>1371</v>
      </c>
      <c r="D35" s="904">
        <v>453</v>
      </c>
      <c r="E35" s="891">
        <v>1184</v>
      </c>
      <c r="F35" s="891">
        <v>1148</v>
      </c>
      <c r="G35" s="796" t="s">
        <v>937</v>
      </c>
    </row>
    <row r="36" spans="1:7" ht="12.6" x14ac:dyDescent="0.45">
      <c r="A36" t="s">
        <v>913</v>
      </c>
      <c r="B36" s="904">
        <v>349</v>
      </c>
      <c r="C36" s="891">
        <v>1168</v>
      </c>
      <c r="D36" s="904">
        <v>271</v>
      </c>
      <c r="E36" s="891">
        <v>1046</v>
      </c>
      <c r="F36" s="891">
        <v>1084</v>
      </c>
      <c r="G36" s="609"/>
    </row>
    <row r="37" spans="1:7" ht="12.6" x14ac:dyDescent="0.45">
      <c r="A37" t="s">
        <v>887</v>
      </c>
      <c r="B37" s="904">
        <v>233</v>
      </c>
      <c r="C37" s="891">
        <v>963</v>
      </c>
      <c r="D37" s="904">
        <v>364</v>
      </c>
      <c r="E37" s="891">
        <v>1034</v>
      </c>
      <c r="F37" s="891">
        <v>1378</v>
      </c>
      <c r="G37" s="609"/>
    </row>
    <row r="38" spans="1:7" ht="12.6" x14ac:dyDescent="0.45">
      <c r="A38" t="s">
        <v>914</v>
      </c>
      <c r="B38" s="904">
        <v>275</v>
      </c>
      <c r="C38" s="891">
        <v>1230</v>
      </c>
      <c r="D38" s="904">
        <v>324</v>
      </c>
      <c r="E38" s="891">
        <v>1166</v>
      </c>
      <c r="F38" s="891">
        <v>1459</v>
      </c>
      <c r="G38" s="609"/>
    </row>
    <row r="39" spans="1:7" ht="12.6" x14ac:dyDescent="0.45">
      <c r="A39" t="s">
        <v>915</v>
      </c>
      <c r="B39" s="904">
        <v>485</v>
      </c>
      <c r="C39" s="891">
        <v>1865</v>
      </c>
      <c r="D39" s="904">
        <v>362</v>
      </c>
      <c r="E39" s="891">
        <v>1604</v>
      </c>
      <c r="F39" s="891">
        <v>1468</v>
      </c>
      <c r="G39" s="609"/>
    </row>
    <row r="40" spans="1:7" ht="12.6" x14ac:dyDescent="0.45">
      <c r="A40" t="s">
        <v>916</v>
      </c>
      <c r="B40" s="904">
        <v>600</v>
      </c>
      <c r="C40" s="891">
        <v>1332</v>
      </c>
      <c r="D40" s="904">
        <v>463</v>
      </c>
      <c r="E40" s="891">
        <v>1428</v>
      </c>
      <c r="F40" s="891">
        <v>1480</v>
      </c>
      <c r="G40" s="609"/>
    </row>
    <row r="41" spans="1:7" ht="12.6" x14ac:dyDescent="0.45">
      <c r="A41" t="s">
        <v>917</v>
      </c>
      <c r="B41" s="904">
        <v>464</v>
      </c>
      <c r="C41" s="891">
        <v>1969</v>
      </c>
      <c r="D41" s="904">
        <v>462</v>
      </c>
      <c r="E41" s="891">
        <v>1901</v>
      </c>
      <c r="F41" s="891">
        <v>2136</v>
      </c>
      <c r="G41" s="609"/>
    </row>
    <row r="42" spans="1:7" ht="12.6" x14ac:dyDescent="0.45">
      <c r="A42" t="s">
        <v>918</v>
      </c>
      <c r="B42" s="904">
        <v>660</v>
      </c>
      <c r="C42" s="891"/>
      <c r="D42" s="904">
        <v>694</v>
      </c>
      <c r="E42" s="891"/>
      <c r="F42" s="891"/>
    </row>
    <row r="43" spans="1:7" ht="12.6" x14ac:dyDescent="0.45">
      <c r="A43" t="s">
        <v>919</v>
      </c>
      <c r="B43" s="904">
        <v>418</v>
      </c>
      <c r="C43" s="891">
        <v>763</v>
      </c>
      <c r="D43" s="904">
        <v>390</v>
      </c>
      <c r="E43" s="891">
        <v>844</v>
      </c>
      <c r="F43" s="891">
        <v>953</v>
      </c>
      <c r="G43" s="609"/>
    </row>
    <row r="44" spans="1:7" ht="12.6" x14ac:dyDescent="0.45">
      <c r="A44" t="s">
        <v>920</v>
      </c>
      <c r="B44" s="904">
        <v>602</v>
      </c>
      <c r="C44" s="891">
        <v>1676</v>
      </c>
      <c r="D44" s="904">
        <v>472</v>
      </c>
      <c r="E44" s="891">
        <v>1544</v>
      </c>
      <c r="F44" s="891">
        <v>1814</v>
      </c>
      <c r="G44" s="609"/>
    </row>
    <row r="51" spans="1:32" x14ac:dyDescent="0.4">
      <c r="A51" s="1" t="s">
        <v>944</v>
      </c>
      <c r="J51" t="s">
        <v>946</v>
      </c>
    </row>
    <row r="52" spans="1:32" x14ac:dyDescent="0.4">
      <c r="A52" t="s">
        <v>945</v>
      </c>
      <c r="J52" t="s">
        <v>947</v>
      </c>
    </row>
    <row r="53" spans="1:32" ht="15" x14ac:dyDescent="0.5">
      <c r="A53" s="621" t="s">
        <v>939</v>
      </c>
      <c r="K53" s="1324" t="s">
        <v>965</v>
      </c>
      <c r="L53" s="1324"/>
      <c r="M53" s="1324"/>
      <c r="N53" s="1324"/>
      <c r="O53" s="1324"/>
      <c r="P53" s="1324"/>
      <c r="Q53" s="1324"/>
      <c r="R53" s="1324"/>
      <c r="S53" s="1324"/>
      <c r="T53" s="1324"/>
      <c r="W53" s="1324" t="s">
        <v>966</v>
      </c>
      <c r="X53" s="1324"/>
      <c r="Y53" s="1324"/>
      <c r="Z53" s="1324"/>
      <c r="AA53" s="1324"/>
      <c r="AB53" s="1324"/>
      <c r="AC53" s="1324"/>
      <c r="AD53" s="1324"/>
      <c r="AE53" s="1324"/>
      <c r="AF53" s="1324"/>
    </row>
    <row r="54" spans="1:32" ht="15" x14ac:dyDescent="0.5">
      <c r="A54" s="621" t="s">
        <v>940</v>
      </c>
      <c r="J54" s="909" t="s">
        <v>948</v>
      </c>
      <c r="K54" s="909" t="s">
        <v>949</v>
      </c>
      <c r="L54" s="909" t="s">
        <v>950</v>
      </c>
      <c r="M54" s="909" t="s">
        <v>951</v>
      </c>
      <c r="N54" s="909" t="s">
        <v>952</v>
      </c>
      <c r="O54" s="909" t="s">
        <v>953</v>
      </c>
      <c r="P54" s="909" t="s">
        <v>954</v>
      </c>
      <c r="Q54" s="909" t="s">
        <v>955</v>
      </c>
      <c r="R54" s="909" t="s">
        <v>956</v>
      </c>
      <c r="S54" s="909" t="s">
        <v>957</v>
      </c>
      <c r="T54" s="909" t="s">
        <v>958</v>
      </c>
      <c r="V54" s="909" t="s">
        <v>948</v>
      </c>
      <c r="W54" s="909" t="s">
        <v>949</v>
      </c>
      <c r="X54" s="909" t="s">
        <v>950</v>
      </c>
      <c r="Y54" s="909" t="s">
        <v>951</v>
      </c>
      <c r="Z54" s="909" t="s">
        <v>952</v>
      </c>
      <c r="AA54" s="909" t="s">
        <v>953</v>
      </c>
      <c r="AB54" s="909" t="s">
        <v>954</v>
      </c>
      <c r="AC54" s="909" t="s">
        <v>955</v>
      </c>
      <c r="AD54" s="909" t="s">
        <v>956</v>
      </c>
      <c r="AE54" s="909" t="s">
        <v>957</v>
      </c>
      <c r="AF54" s="909" t="s">
        <v>958</v>
      </c>
    </row>
    <row r="55" spans="1:32" ht="15" customHeight="1" x14ac:dyDescent="0.7">
      <c r="A55" s="905"/>
      <c r="J55" s="909" t="s">
        <v>959</v>
      </c>
      <c r="K55" s="910">
        <v>510</v>
      </c>
      <c r="L55" s="910">
        <v>494</v>
      </c>
      <c r="M55" s="910">
        <v>499</v>
      </c>
      <c r="N55" s="910">
        <v>487</v>
      </c>
      <c r="O55" s="910">
        <v>478</v>
      </c>
      <c r="P55" s="910">
        <v>477</v>
      </c>
      <c r="Q55" s="910">
        <v>480</v>
      </c>
      <c r="R55" s="910">
        <v>488</v>
      </c>
      <c r="S55" s="910">
        <v>490</v>
      </c>
      <c r="T55" s="910">
        <v>492</v>
      </c>
      <c r="V55" s="909" t="s">
        <v>959</v>
      </c>
      <c r="W55" s="910">
        <v>224534</v>
      </c>
      <c r="X55" s="910">
        <v>217789</v>
      </c>
      <c r="Y55" s="910">
        <v>219640</v>
      </c>
      <c r="Z55" s="910">
        <v>214801</v>
      </c>
      <c r="AA55" s="910">
        <v>211279</v>
      </c>
      <c r="AB55" s="910">
        <v>211659</v>
      </c>
      <c r="AC55" s="910">
        <v>213178</v>
      </c>
      <c r="AD55" s="910">
        <v>217024</v>
      </c>
      <c r="AE55" s="910">
        <v>218465</v>
      </c>
      <c r="AF55" s="910">
        <v>219688</v>
      </c>
    </row>
    <row r="56" spans="1:32" ht="12.6" x14ac:dyDescent="0.45">
      <c r="A56" s="906"/>
      <c r="B56" s="906" t="s">
        <v>941</v>
      </c>
      <c r="C56" s="906" t="s">
        <v>540</v>
      </c>
      <c r="D56" s="906" t="s">
        <v>534</v>
      </c>
      <c r="E56" s="906" t="s">
        <v>611</v>
      </c>
      <c r="F56" s="906" t="s">
        <v>578</v>
      </c>
      <c r="J56" s="909" t="s">
        <v>960</v>
      </c>
      <c r="K56" s="910">
        <v>511</v>
      </c>
      <c r="L56" s="910">
        <v>496</v>
      </c>
      <c r="M56" s="910">
        <v>498</v>
      </c>
      <c r="N56" s="922">
        <v>486</v>
      </c>
      <c r="O56" s="910">
        <v>479</v>
      </c>
      <c r="P56" s="910">
        <v>478</v>
      </c>
      <c r="Q56" s="910">
        <v>480</v>
      </c>
      <c r="R56" s="910">
        <v>487</v>
      </c>
      <c r="S56" s="910">
        <v>487</v>
      </c>
      <c r="T56" s="910">
        <v>488</v>
      </c>
      <c r="V56" s="909" t="s">
        <v>960</v>
      </c>
      <c r="W56" s="922">
        <v>257042</v>
      </c>
      <c r="X56" s="922">
        <v>249744</v>
      </c>
      <c r="Y56" s="922">
        <v>250706</v>
      </c>
      <c r="Z56" s="922">
        <v>245214</v>
      </c>
      <c r="AA56" s="922">
        <v>242170</v>
      </c>
      <c r="AB56" s="922">
        <v>242788</v>
      </c>
      <c r="AC56" s="922">
        <v>244653</v>
      </c>
      <c r="AD56" s="922">
        <v>248734</v>
      </c>
      <c r="AE56" s="922">
        <v>249377</v>
      </c>
      <c r="AF56" s="922">
        <v>250474</v>
      </c>
    </row>
    <row r="57" spans="1:32" ht="12.6" x14ac:dyDescent="0.45">
      <c r="A57" s="907" t="s">
        <v>890</v>
      </c>
      <c r="B57" s="907">
        <v>4708</v>
      </c>
      <c r="C57" s="907">
        <v>901</v>
      </c>
      <c r="D57" s="907">
        <v>1615</v>
      </c>
      <c r="E57" s="907">
        <v>2043</v>
      </c>
      <c r="F57" s="907">
        <v>43</v>
      </c>
      <c r="J57" s="909" t="s">
        <v>961</v>
      </c>
      <c r="K57" s="910">
        <v>512</v>
      </c>
      <c r="L57" s="910">
        <v>505</v>
      </c>
      <c r="M57" s="910">
        <v>499</v>
      </c>
      <c r="N57" s="910">
        <v>487</v>
      </c>
      <c r="O57" s="910">
        <v>479</v>
      </c>
      <c r="P57" s="910">
        <v>479</v>
      </c>
      <c r="Q57" s="910">
        <v>481</v>
      </c>
      <c r="R57" s="910">
        <v>488</v>
      </c>
      <c r="S57" s="910">
        <v>488</v>
      </c>
      <c r="T57" s="910">
        <v>489</v>
      </c>
      <c r="V57" s="909" t="s">
        <v>961</v>
      </c>
      <c r="W57" s="910">
        <v>255298</v>
      </c>
      <c r="X57" s="910">
        <v>252320</v>
      </c>
      <c r="Y57" s="910">
        <v>249060</v>
      </c>
      <c r="Z57" s="910">
        <v>243544</v>
      </c>
      <c r="AA57" s="910">
        <v>240449</v>
      </c>
      <c r="AB57" s="910">
        <v>241151</v>
      </c>
      <c r="AC57" s="910">
        <v>243000</v>
      </c>
      <c r="AD57" s="910">
        <v>247054</v>
      </c>
      <c r="AE57" s="910">
        <v>247661</v>
      </c>
      <c r="AF57" s="910">
        <v>248706</v>
      </c>
    </row>
    <row r="58" spans="1:32" ht="12.6" x14ac:dyDescent="0.45">
      <c r="A58" s="907" t="s">
        <v>891</v>
      </c>
      <c r="B58" s="907">
        <v>3011</v>
      </c>
      <c r="C58" s="907">
        <v>311</v>
      </c>
      <c r="D58" s="907">
        <v>573</v>
      </c>
      <c r="E58" s="907">
        <v>82</v>
      </c>
      <c r="F58" s="907">
        <v>1994</v>
      </c>
      <c r="J58" s="909" t="s">
        <v>890</v>
      </c>
      <c r="K58" s="910">
        <v>467</v>
      </c>
      <c r="L58" s="910">
        <v>456</v>
      </c>
      <c r="M58" s="910">
        <v>455</v>
      </c>
      <c r="N58" s="910">
        <v>445</v>
      </c>
      <c r="O58" s="910">
        <v>436</v>
      </c>
      <c r="P58" s="910">
        <v>425</v>
      </c>
      <c r="Q58" s="910">
        <v>412</v>
      </c>
      <c r="R58" s="910">
        <v>419</v>
      </c>
      <c r="S58" s="910">
        <v>411</v>
      </c>
      <c r="T58" s="910">
        <v>411</v>
      </c>
      <c r="V58" s="909" t="s">
        <v>890</v>
      </c>
      <c r="W58" s="910">
        <v>5042</v>
      </c>
      <c r="X58" s="910">
        <v>4972</v>
      </c>
      <c r="Y58" s="910">
        <v>5023</v>
      </c>
      <c r="Z58" s="910">
        <v>4944</v>
      </c>
      <c r="AA58" s="910">
        <v>4867</v>
      </c>
      <c r="AB58" s="910">
        <v>4762</v>
      </c>
      <c r="AC58" s="910">
        <v>4643</v>
      </c>
      <c r="AD58" s="910">
        <v>4746</v>
      </c>
      <c r="AE58" s="910">
        <v>4672</v>
      </c>
      <c r="AF58" s="910">
        <v>4698</v>
      </c>
    </row>
    <row r="59" spans="1:32" ht="12.6" x14ac:dyDescent="0.45">
      <c r="A59" s="907" t="s">
        <v>894</v>
      </c>
      <c r="B59" s="907">
        <v>3337</v>
      </c>
      <c r="C59" s="907">
        <v>141</v>
      </c>
      <c r="D59" s="907">
        <v>851</v>
      </c>
      <c r="E59" s="907">
        <v>590</v>
      </c>
      <c r="F59" s="907">
        <v>1755</v>
      </c>
      <c r="J59" s="909" t="s">
        <v>891</v>
      </c>
      <c r="K59" s="910">
        <v>598</v>
      </c>
      <c r="L59" s="910">
        <v>554</v>
      </c>
      <c r="M59" s="910">
        <v>508</v>
      </c>
      <c r="N59" s="910">
        <v>460</v>
      </c>
      <c r="O59" s="910">
        <v>432</v>
      </c>
      <c r="P59" s="910">
        <v>442</v>
      </c>
      <c r="Q59" s="910">
        <v>419</v>
      </c>
      <c r="R59" s="910">
        <v>404</v>
      </c>
      <c r="S59" s="910">
        <v>435</v>
      </c>
      <c r="T59" s="910">
        <v>423</v>
      </c>
      <c r="V59" s="909" t="s">
        <v>891</v>
      </c>
      <c r="W59" s="910">
        <v>4449</v>
      </c>
      <c r="X59" s="910">
        <v>4094</v>
      </c>
      <c r="Y59" s="910">
        <v>3732</v>
      </c>
      <c r="Z59" s="910">
        <v>3364</v>
      </c>
      <c r="AA59" s="910">
        <v>3135</v>
      </c>
      <c r="AB59" s="910">
        <v>3192</v>
      </c>
      <c r="AC59" s="910">
        <v>3011</v>
      </c>
      <c r="AD59" s="910">
        <v>2881</v>
      </c>
      <c r="AE59" s="910">
        <v>3080</v>
      </c>
      <c r="AF59" s="910">
        <v>2973</v>
      </c>
    </row>
    <row r="60" spans="1:32" ht="12.6" x14ac:dyDescent="0.45">
      <c r="A60" s="907" t="s">
        <v>895</v>
      </c>
      <c r="B60" s="907">
        <v>4485</v>
      </c>
      <c r="C60" s="907">
        <v>852</v>
      </c>
      <c r="D60" s="907">
        <v>1223</v>
      </c>
      <c r="E60" s="907">
        <v>2359</v>
      </c>
      <c r="F60" s="907">
        <v>51</v>
      </c>
      <c r="J60" s="909" t="s">
        <v>933</v>
      </c>
      <c r="K60" s="910">
        <v>317</v>
      </c>
      <c r="L60" s="910">
        <v>318</v>
      </c>
      <c r="M60" s="910">
        <v>320</v>
      </c>
      <c r="N60" s="910">
        <v>308</v>
      </c>
      <c r="O60" s="910">
        <v>307</v>
      </c>
      <c r="P60" s="910">
        <v>310</v>
      </c>
      <c r="Q60" s="910">
        <v>316</v>
      </c>
      <c r="R60" s="910">
        <v>339</v>
      </c>
      <c r="S60" s="910">
        <v>344</v>
      </c>
      <c r="T60" s="910">
        <v>351</v>
      </c>
      <c r="V60" s="909" t="s">
        <v>933</v>
      </c>
      <c r="W60" s="910">
        <v>3310</v>
      </c>
      <c r="X60" s="910">
        <v>3334</v>
      </c>
      <c r="Y60" s="910">
        <v>3358</v>
      </c>
      <c r="Z60" s="910">
        <v>3233</v>
      </c>
      <c r="AA60" s="910">
        <v>3228</v>
      </c>
      <c r="AB60" s="910">
        <v>3261</v>
      </c>
      <c r="AC60" s="910">
        <v>3337</v>
      </c>
      <c r="AD60" s="910">
        <v>3580</v>
      </c>
      <c r="AE60" s="910">
        <v>3643</v>
      </c>
      <c r="AF60" s="910">
        <v>3732</v>
      </c>
    </row>
    <row r="61" spans="1:32" ht="12.6" x14ac:dyDescent="0.45">
      <c r="A61" s="907" t="s">
        <v>900</v>
      </c>
      <c r="B61" s="908">
        <v>51046</v>
      </c>
      <c r="C61" s="907">
        <v>9304</v>
      </c>
      <c r="D61" s="908">
        <v>24414</v>
      </c>
      <c r="E61" s="908">
        <v>15973</v>
      </c>
      <c r="F61" s="907">
        <v>106</v>
      </c>
      <c r="J61" s="909" t="s">
        <v>895</v>
      </c>
      <c r="K61" s="910">
        <v>762</v>
      </c>
      <c r="L61" s="911" t="s">
        <v>962</v>
      </c>
      <c r="M61" s="910">
        <v>829</v>
      </c>
      <c r="N61" s="910">
        <v>778</v>
      </c>
      <c r="O61" s="910">
        <v>778</v>
      </c>
      <c r="P61" s="910">
        <v>773</v>
      </c>
      <c r="Q61" s="910">
        <v>781</v>
      </c>
      <c r="R61" s="910">
        <v>782</v>
      </c>
      <c r="S61" s="910">
        <v>782</v>
      </c>
      <c r="T61" s="910">
        <v>766</v>
      </c>
      <c r="V61" s="909" t="s">
        <v>895</v>
      </c>
      <c r="W61" s="910">
        <v>4206</v>
      </c>
      <c r="X61" s="911" t="s">
        <v>962</v>
      </c>
      <c r="Y61" s="910">
        <v>4620</v>
      </c>
      <c r="Z61" s="910">
        <v>4350</v>
      </c>
      <c r="AA61" s="910">
        <v>4366</v>
      </c>
      <c r="AB61" s="910">
        <v>4361</v>
      </c>
      <c r="AC61" s="910">
        <v>4440</v>
      </c>
      <c r="AD61" s="910">
        <v>4481</v>
      </c>
      <c r="AE61" s="910">
        <v>4509</v>
      </c>
      <c r="AF61" s="910">
        <v>4436</v>
      </c>
    </row>
    <row r="62" spans="1:32" ht="12.6" x14ac:dyDescent="0.45">
      <c r="A62" s="907" t="s">
        <v>896</v>
      </c>
      <c r="B62" s="907">
        <v>473</v>
      </c>
      <c r="C62" s="907">
        <v>17</v>
      </c>
      <c r="D62" s="907">
        <v>117</v>
      </c>
      <c r="E62" s="907">
        <v>243</v>
      </c>
      <c r="F62" s="907">
        <v>35</v>
      </c>
      <c r="J62" s="909" t="s">
        <v>963</v>
      </c>
      <c r="K62" s="910">
        <v>592</v>
      </c>
      <c r="L62" s="910">
        <v>602</v>
      </c>
      <c r="M62" s="910">
        <v>626</v>
      </c>
      <c r="N62" s="910">
        <v>619</v>
      </c>
      <c r="O62" s="910">
        <v>615</v>
      </c>
      <c r="P62" s="910">
        <v>631</v>
      </c>
      <c r="Q62" s="910">
        <v>632</v>
      </c>
      <c r="R62" s="910">
        <v>633</v>
      </c>
      <c r="S62" s="910">
        <v>627</v>
      </c>
      <c r="T62" s="910">
        <v>615</v>
      </c>
      <c r="V62" s="909" t="s">
        <v>963</v>
      </c>
      <c r="W62" s="910">
        <v>48466</v>
      </c>
      <c r="X62" s="910">
        <v>49237</v>
      </c>
      <c r="Y62" s="910">
        <v>50237</v>
      </c>
      <c r="Z62" s="910">
        <v>49759</v>
      </c>
      <c r="AA62" s="910">
        <v>49570</v>
      </c>
      <c r="AB62" s="910">
        <v>51102</v>
      </c>
      <c r="AC62" s="910">
        <v>51625</v>
      </c>
      <c r="AD62" s="910">
        <v>52133</v>
      </c>
      <c r="AE62" s="910">
        <v>51790</v>
      </c>
      <c r="AF62" s="910">
        <v>51013</v>
      </c>
    </row>
    <row r="63" spans="1:32" ht="12.6" x14ac:dyDescent="0.45">
      <c r="A63" s="907" t="s">
        <v>904</v>
      </c>
      <c r="B63" s="907">
        <v>2693</v>
      </c>
      <c r="C63" s="907">
        <v>156</v>
      </c>
      <c r="D63" s="907">
        <v>829</v>
      </c>
      <c r="E63" s="907">
        <v>427</v>
      </c>
      <c r="F63" s="907">
        <v>1028</v>
      </c>
      <c r="J63" s="909" t="s">
        <v>896</v>
      </c>
      <c r="K63" s="910">
        <v>339</v>
      </c>
      <c r="L63" s="910">
        <v>305</v>
      </c>
      <c r="M63" s="910">
        <v>301</v>
      </c>
      <c r="N63" s="910">
        <v>280</v>
      </c>
      <c r="O63" s="910">
        <v>293</v>
      </c>
      <c r="P63" s="910">
        <v>357</v>
      </c>
      <c r="Q63" s="910">
        <v>359</v>
      </c>
      <c r="R63" s="910">
        <v>376</v>
      </c>
      <c r="S63" s="910">
        <v>390</v>
      </c>
      <c r="T63" s="910">
        <v>405</v>
      </c>
      <c r="V63" s="909" t="s">
        <v>896</v>
      </c>
      <c r="W63" s="910">
        <v>452</v>
      </c>
      <c r="X63" s="910">
        <v>406</v>
      </c>
      <c r="Y63" s="910">
        <v>399</v>
      </c>
      <c r="Z63" s="910">
        <v>371</v>
      </c>
      <c r="AA63" s="910">
        <v>386</v>
      </c>
      <c r="AB63" s="910">
        <v>470</v>
      </c>
      <c r="AC63" s="910">
        <v>473</v>
      </c>
      <c r="AD63" s="910">
        <v>494</v>
      </c>
      <c r="AE63" s="910">
        <v>514</v>
      </c>
      <c r="AF63" s="910">
        <v>535</v>
      </c>
    </row>
    <row r="64" spans="1:32" ht="12.6" x14ac:dyDescent="0.45">
      <c r="A64" s="907" t="s">
        <v>901</v>
      </c>
      <c r="B64" s="907">
        <v>5585</v>
      </c>
      <c r="C64" s="907">
        <v>209</v>
      </c>
      <c r="D64" s="907">
        <v>869</v>
      </c>
      <c r="E64" s="907">
        <v>0</v>
      </c>
      <c r="F64" s="907">
        <v>4507</v>
      </c>
      <c r="J64" s="909" t="s">
        <v>904</v>
      </c>
      <c r="K64" s="910">
        <v>651</v>
      </c>
      <c r="L64" s="910">
        <v>624</v>
      </c>
      <c r="M64" s="910">
        <v>616</v>
      </c>
      <c r="N64" s="910">
        <v>585</v>
      </c>
      <c r="O64" s="911" t="s">
        <v>962</v>
      </c>
      <c r="P64" s="910">
        <v>562</v>
      </c>
      <c r="Q64" s="911" t="s">
        <v>962</v>
      </c>
      <c r="R64" s="910">
        <v>581</v>
      </c>
      <c r="S64" s="910">
        <v>576</v>
      </c>
      <c r="T64" s="911" t="s">
        <v>962</v>
      </c>
      <c r="V64" s="909" t="s">
        <v>904</v>
      </c>
      <c r="W64" s="910">
        <v>2953</v>
      </c>
      <c r="X64" s="910">
        <v>2846</v>
      </c>
      <c r="Y64" s="910">
        <v>2823</v>
      </c>
      <c r="Z64" s="910">
        <v>2693</v>
      </c>
      <c r="AA64" s="911" t="s">
        <v>962</v>
      </c>
      <c r="AB64" s="910">
        <v>2619</v>
      </c>
      <c r="AC64" s="911" t="s">
        <v>962</v>
      </c>
      <c r="AD64" s="910">
        <v>2763</v>
      </c>
      <c r="AE64" s="910">
        <v>2768</v>
      </c>
      <c r="AF64" s="911" t="s">
        <v>962</v>
      </c>
    </row>
    <row r="65" spans="1:32" ht="12.6" x14ac:dyDescent="0.45">
      <c r="A65" s="907" t="s">
        <v>916</v>
      </c>
      <c r="B65" s="908">
        <v>20151</v>
      </c>
      <c r="C65" s="907">
        <v>3316</v>
      </c>
      <c r="D65" s="907">
        <v>3393</v>
      </c>
      <c r="E65" s="907">
        <v>2342</v>
      </c>
      <c r="F65" s="908">
        <v>11101</v>
      </c>
      <c r="J65" s="909" t="s">
        <v>901</v>
      </c>
      <c r="K65" s="910">
        <v>464</v>
      </c>
      <c r="L65" s="910">
        <v>532</v>
      </c>
      <c r="M65" s="910">
        <v>503</v>
      </c>
      <c r="N65" s="910">
        <v>495</v>
      </c>
      <c r="O65" s="910">
        <v>482</v>
      </c>
      <c r="P65" s="910">
        <v>488</v>
      </c>
      <c r="Q65" s="910">
        <v>488</v>
      </c>
      <c r="R65" s="910">
        <v>498</v>
      </c>
      <c r="S65" s="910">
        <v>504</v>
      </c>
      <c r="T65" s="911" t="s">
        <v>962</v>
      </c>
      <c r="V65" s="909" t="s">
        <v>901</v>
      </c>
      <c r="W65" s="910">
        <v>5154</v>
      </c>
      <c r="X65" s="910">
        <v>5917</v>
      </c>
      <c r="Y65" s="910">
        <v>5586</v>
      </c>
      <c r="Z65" s="910">
        <v>5463</v>
      </c>
      <c r="AA65" s="910">
        <v>5284</v>
      </c>
      <c r="AB65" s="910">
        <v>5315</v>
      </c>
      <c r="AC65" s="910">
        <v>5277</v>
      </c>
      <c r="AD65" s="910">
        <v>5367</v>
      </c>
      <c r="AE65" s="910">
        <v>5415</v>
      </c>
      <c r="AF65" s="911" t="s">
        <v>962</v>
      </c>
    </row>
    <row r="66" spans="1:32" ht="12.6" x14ac:dyDescent="0.45">
      <c r="A66" s="907" t="s">
        <v>899</v>
      </c>
      <c r="B66" s="908">
        <v>33399</v>
      </c>
      <c r="C66" s="907">
        <v>5764</v>
      </c>
      <c r="D66" s="907">
        <v>7433</v>
      </c>
      <c r="E66" s="908">
        <v>11600</v>
      </c>
      <c r="F66" s="907">
        <v>8603</v>
      </c>
      <c r="J66" s="909" t="s">
        <v>916</v>
      </c>
      <c r="K66" s="910">
        <v>542</v>
      </c>
      <c r="L66" s="910">
        <v>510</v>
      </c>
      <c r="M66" s="910">
        <v>485</v>
      </c>
      <c r="N66" s="910">
        <v>468</v>
      </c>
      <c r="O66" s="910">
        <v>454</v>
      </c>
      <c r="P66" s="910">
        <v>448</v>
      </c>
      <c r="Q66" s="910">
        <v>456</v>
      </c>
      <c r="R66" s="910">
        <v>463</v>
      </c>
      <c r="S66" s="910">
        <v>473</v>
      </c>
      <c r="T66" s="910">
        <v>475</v>
      </c>
      <c r="V66" s="909" t="s">
        <v>916</v>
      </c>
      <c r="W66" s="910">
        <v>25108</v>
      </c>
      <c r="X66" s="910">
        <v>23774</v>
      </c>
      <c r="Y66" s="910">
        <v>22672</v>
      </c>
      <c r="Z66" s="910">
        <v>21896</v>
      </c>
      <c r="AA66" s="910">
        <v>21184</v>
      </c>
      <c r="AB66" s="910">
        <v>20836</v>
      </c>
      <c r="AC66" s="910">
        <v>21158</v>
      </c>
      <c r="AD66" s="910">
        <v>21542</v>
      </c>
      <c r="AE66" s="910">
        <v>22018</v>
      </c>
      <c r="AF66" s="910">
        <v>22222</v>
      </c>
    </row>
    <row r="67" spans="1:32" ht="12.6" x14ac:dyDescent="0.45">
      <c r="A67" s="907" t="s">
        <v>892</v>
      </c>
      <c r="B67" s="907">
        <v>1654</v>
      </c>
      <c r="C67" s="907">
        <v>28</v>
      </c>
      <c r="D67" s="907">
        <v>270</v>
      </c>
      <c r="E67" s="907">
        <v>0</v>
      </c>
      <c r="F67" s="907">
        <v>1319</v>
      </c>
      <c r="J67" s="909" t="s">
        <v>899</v>
      </c>
      <c r="K67" s="910">
        <v>534</v>
      </c>
      <c r="L67" s="910">
        <v>534</v>
      </c>
      <c r="M67" s="910">
        <v>534</v>
      </c>
      <c r="N67" s="910">
        <v>527</v>
      </c>
      <c r="O67" s="910">
        <v>520</v>
      </c>
      <c r="P67" s="910">
        <v>517</v>
      </c>
      <c r="Q67" s="910">
        <v>516</v>
      </c>
      <c r="R67" s="910">
        <v>521</v>
      </c>
      <c r="S67" s="910">
        <v>526</v>
      </c>
      <c r="T67" s="910">
        <v>527</v>
      </c>
      <c r="V67" s="909" t="s">
        <v>899</v>
      </c>
      <c r="W67" s="910">
        <v>34426</v>
      </c>
      <c r="X67" s="910">
        <v>34609</v>
      </c>
      <c r="Y67" s="910">
        <v>34790</v>
      </c>
      <c r="Z67" s="910">
        <v>34484</v>
      </c>
      <c r="AA67" s="910">
        <v>34176</v>
      </c>
      <c r="AB67" s="910">
        <v>34260</v>
      </c>
      <c r="AC67" s="910">
        <v>34344</v>
      </c>
      <c r="AD67" s="910">
        <v>34766</v>
      </c>
      <c r="AE67" s="910">
        <v>35188</v>
      </c>
      <c r="AF67" s="910">
        <v>35272</v>
      </c>
    </row>
    <row r="68" spans="1:32" ht="12.6" x14ac:dyDescent="0.45">
      <c r="A68" s="907" t="s">
        <v>905</v>
      </c>
      <c r="B68" s="908">
        <v>29524</v>
      </c>
      <c r="C68" s="907">
        <v>5203</v>
      </c>
      <c r="D68" s="907">
        <v>7649</v>
      </c>
      <c r="E68" s="907">
        <v>5582</v>
      </c>
      <c r="F68" s="907">
        <v>7819</v>
      </c>
      <c r="J68" s="909" t="s">
        <v>892</v>
      </c>
      <c r="K68" s="910">
        <v>405</v>
      </c>
      <c r="L68" s="910">
        <v>379</v>
      </c>
      <c r="M68" s="910">
        <v>384</v>
      </c>
      <c r="N68" s="910">
        <v>391</v>
      </c>
      <c r="O68" s="910">
        <v>404</v>
      </c>
      <c r="P68" s="910">
        <v>387</v>
      </c>
      <c r="Q68" s="910">
        <v>393</v>
      </c>
      <c r="R68" s="910">
        <v>403</v>
      </c>
      <c r="S68" s="910">
        <v>416</v>
      </c>
      <c r="T68" s="910">
        <v>432</v>
      </c>
      <c r="V68" s="909" t="s">
        <v>892</v>
      </c>
      <c r="W68" s="910">
        <v>1743</v>
      </c>
      <c r="X68" s="910">
        <v>1630</v>
      </c>
      <c r="Y68" s="910">
        <v>1645</v>
      </c>
      <c r="Z68" s="910">
        <v>1670</v>
      </c>
      <c r="AA68" s="910">
        <v>1721</v>
      </c>
      <c r="AB68" s="910">
        <v>1637</v>
      </c>
      <c r="AC68" s="910">
        <v>1654</v>
      </c>
      <c r="AD68" s="910">
        <v>1680</v>
      </c>
      <c r="AE68" s="910">
        <v>1716</v>
      </c>
      <c r="AF68" s="910">
        <v>1768</v>
      </c>
    </row>
    <row r="69" spans="1:32" ht="12.6" x14ac:dyDescent="0.45">
      <c r="A69" s="907" t="s">
        <v>893</v>
      </c>
      <c r="B69" s="907">
        <v>541</v>
      </c>
      <c r="C69" s="907">
        <v>25</v>
      </c>
      <c r="D69" s="907">
        <v>72</v>
      </c>
      <c r="E69" s="907">
        <v>0</v>
      </c>
      <c r="F69" s="907">
        <v>403</v>
      </c>
      <c r="J69" s="909" t="s">
        <v>905</v>
      </c>
      <c r="K69" s="910">
        <v>543</v>
      </c>
      <c r="L69" s="910">
        <v>547</v>
      </c>
      <c r="M69" s="910">
        <v>529</v>
      </c>
      <c r="N69" s="910">
        <v>504</v>
      </c>
      <c r="O69" s="910">
        <v>491</v>
      </c>
      <c r="P69" s="910">
        <v>488</v>
      </c>
      <c r="Q69" s="910">
        <v>486</v>
      </c>
      <c r="R69" s="910">
        <v>497</v>
      </c>
      <c r="S69" s="910">
        <v>488</v>
      </c>
      <c r="T69" s="910">
        <v>499</v>
      </c>
      <c r="V69" s="909" t="s">
        <v>905</v>
      </c>
      <c r="W69" s="910">
        <v>32107</v>
      </c>
      <c r="X69" s="910">
        <v>32440</v>
      </c>
      <c r="Y69" s="910">
        <v>31386</v>
      </c>
      <c r="Z69" s="910">
        <v>29994</v>
      </c>
      <c r="AA69" s="910">
        <v>29573</v>
      </c>
      <c r="AB69" s="910">
        <v>29652</v>
      </c>
      <c r="AC69" s="910">
        <v>29524</v>
      </c>
      <c r="AD69" s="910">
        <v>30112</v>
      </c>
      <c r="AE69" s="910">
        <v>29572</v>
      </c>
      <c r="AF69" s="910">
        <v>30165</v>
      </c>
    </row>
    <row r="70" spans="1:32" ht="12.6" x14ac:dyDescent="0.45">
      <c r="A70" s="907" t="s">
        <v>906</v>
      </c>
      <c r="B70" s="907">
        <v>857</v>
      </c>
      <c r="C70" s="907">
        <v>47</v>
      </c>
      <c r="D70" s="907">
        <v>182</v>
      </c>
      <c r="E70" s="907">
        <v>0</v>
      </c>
      <c r="F70" s="907">
        <v>494</v>
      </c>
      <c r="J70" s="909" t="s">
        <v>893</v>
      </c>
      <c r="K70" s="910">
        <v>729</v>
      </c>
      <c r="L70" s="910">
        <v>689</v>
      </c>
      <c r="M70" s="910">
        <v>672</v>
      </c>
      <c r="N70" s="910">
        <v>657</v>
      </c>
      <c r="O70" s="910">
        <v>618</v>
      </c>
      <c r="P70" s="910">
        <v>614</v>
      </c>
      <c r="Q70" s="910">
        <v>638</v>
      </c>
      <c r="R70" s="910">
        <v>640</v>
      </c>
      <c r="S70" s="910">
        <v>637</v>
      </c>
      <c r="T70" s="911" t="s">
        <v>962</v>
      </c>
      <c r="V70" s="909" t="s">
        <v>893</v>
      </c>
      <c r="W70" s="910">
        <v>589</v>
      </c>
      <c r="X70" s="910">
        <v>571</v>
      </c>
      <c r="Y70" s="910">
        <v>572</v>
      </c>
      <c r="Z70" s="910">
        <v>568</v>
      </c>
      <c r="AA70" s="910">
        <v>533</v>
      </c>
      <c r="AB70" s="910">
        <v>523</v>
      </c>
      <c r="AC70" s="910">
        <v>541</v>
      </c>
      <c r="AD70" s="910">
        <v>545</v>
      </c>
      <c r="AE70" s="910">
        <v>547</v>
      </c>
      <c r="AF70" s="911" t="s">
        <v>962</v>
      </c>
    </row>
    <row r="71" spans="1:32" ht="12.6" x14ac:dyDescent="0.45">
      <c r="A71" s="907" t="s">
        <v>907</v>
      </c>
      <c r="B71" s="907">
        <v>1300</v>
      </c>
      <c r="C71" s="907">
        <v>132</v>
      </c>
      <c r="D71" s="907">
        <v>298</v>
      </c>
      <c r="E71" s="907">
        <v>150</v>
      </c>
      <c r="F71" s="907">
        <v>702</v>
      </c>
      <c r="J71" s="909" t="s">
        <v>906</v>
      </c>
      <c r="K71" s="910">
        <v>352</v>
      </c>
      <c r="L71" s="910">
        <v>324</v>
      </c>
      <c r="M71" s="910">
        <v>350</v>
      </c>
      <c r="N71" s="910">
        <v>323</v>
      </c>
      <c r="O71" s="910">
        <v>350</v>
      </c>
      <c r="P71" s="910">
        <v>364</v>
      </c>
      <c r="Q71" s="910">
        <v>404</v>
      </c>
      <c r="R71" s="910">
        <v>410</v>
      </c>
      <c r="S71" s="910">
        <v>411</v>
      </c>
      <c r="T71" s="910">
        <v>407</v>
      </c>
      <c r="V71" s="909" t="s">
        <v>906</v>
      </c>
      <c r="W71" s="910">
        <v>753</v>
      </c>
      <c r="X71" s="910">
        <v>680</v>
      </c>
      <c r="Y71" s="910">
        <v>721</v>
      </c>
      <c r="Z71" s="910">
        <v>658</v>
      </c>
      <c r="AA71" s="910">
        <v>704</v>
      </c>
      <c r="AB71" s="910">
        <v>726</v>
      </c>
      <c r="AC71" s="910">
        <v>798</v>
      </c>
      <c r="AD71" s="910">
        <v>802</v>
      </c>
      <c r="AE71" s="910">
        <v>798</v>
      </c>
      <c r="AF71" s="910">
        <v>785</v>
      </c>
    </row>
    <row r="72" spans="1:32" ht="12.6" x14ac:dyDescent="0.45">
      <c r="A72" s="907" t="s">
        <v>908</v>
      </c>
      <c r="B72" s="907">
        <v>356</v>
      </c>
      <c r="C72" s="907">
        <v>70</v>
      </c>
      <c r="D72" s="907">
        <v>101</v>
      </c>
      <c r="E72" s="907">
        <v>121</v>
      </c>
      <c r="F72" s="907">
        <v>63</v>
      </c>
      <c r="J72" s="909" t="s">
        <v>907</v>
      </c>
      <c r="K72" s="910">
        <v>381</v>
      </c>
      <c r="L72" s="910">
        <v>404</v>
      </c>
      <c r="M72" s="910">
        <v>442</v>
      </c>
      <c r="N72" s="910">
        <v>445</v>
      </c>
      <c r="O72" s="910">
        <v>433</v>
      </c>
      <c r="P72" s="910">
        <v>433</v>
      </c>
      <c r="Q72" s="910">
        <v>448</v>
      </c>
      <c r="R72" s="910">
        <v>444</v>
      </c>
      <c r="S72" s="910">
        <v>455</v>
      </c>
      <c r="T72" s="910">
        <v>464</v>
      </c>
      <c r="V72" s="909" t="s">
        <v>907</v>
      </c>
      <c r="W72" s="910">
        <v>1206</v>
      </c>
      <c r="X72" s="910">
        <v>1253</v>
      </c>
      <c r="Y72" s="910">
        <v>1339</v>
      </c>
      <c r="Z72" s="910">
        <v>1330</v>
      </c>
      <c r="AA72" s="910">
        <v>1280</v>
      </c>
      <c r="AB72" s="910">
        <v>1270</v>
      </c>
      <c r="AC72" s="910">
        <v>1300</v>
      </c>
      <c r="AD72" s="910">
        <v>1272</v>
      </c>
      <c r="AE72" s="910">
        <v>1286</v>
      </c>
      <c r="AF72" s="910">
        <v>1301</v>
      </c>
    </row>
    <row r="73" spans="1:32" ht="12.6" x14ac:dyDescent="0.45">
      <c r="A73" s="907" t="s">
        <v>902</v>
      </c>
      <c r="B73" s="907">
        <v>3712</v>
      </c>
      <c r="C73" s="907">
        <v>231</v>
      </c>
      <c r="D73" s="907">
        <v>963</v>
      </c>
      <c r="E73" s="907">
        <v>525</v>
      </c>
      <c r="F73" s="907">
        <v>1991</v>
      </c>
      <c r="J73" s="909" t="s">
        <v>908</v>
      </c>
      <c r="K73" s="910">
        <v>679</v>
      </c>
      <c r="L73" s="910">
        <v>679</v>
      </c>
      <c r="M73" s="910">
        <v>666</v>
      </c>
      <c r="N73" s="910">
        <v>652</v>
      </c>
      <c r="O73" s="910">
        <v>616</v>
      </c>
      <c r="P73" s="910">
        <v>626</v>
      </c>
      <c r="Q73" s="910">
        <v>607</v>
      </c>
      <c r="R73" s="910">
        <v>609</v>
      </c>
      <c r="S73" s="910">
        <v>615</v>
      </c>
      <c r="T73" s="910">
        <v>610</v>
      </c>
      <c r="V73" s="909" t="s">
        <v>908</v>
      </c>
      <c r="W73" s="910">
        <v>338</v>
      </c>
      <c r="X73" s="910">
        <v>344</v>
      </c>
      <c r="Y73" s="910">
        <v>345</v>
      </c>
      <c r="Z73" s="910">
        <v>346</v>
      </c>
      <c r="AA73" s="910">
        <v>335</v>
      </c>
      <c r="AB73" s="910">
        <v>348</v>
      </c>
      <c r="AC73" s="910">
        <v>346</v>
      </c>
      <c r="AD73" s="910">
        <v>355</v>
      </c>
      <c r="AE73" s="910">
        <v>367</v>
      </c>
      <c r="AF73" s="910">
        <v>371</v>
      </c>
    </row>
    <row r="74" spans="1:32" ht="12.6" x14ac:dyDescent="0.45">
      <c r="A74" s="907" t="s">
        <v>909</v>
      </c>
      <c r="B74" s="907">
        <v>269</v>
      </c>
      <c r="C74" s="907">
        <v>0</v>
      </c>
      <c r="D74" s="907">
        <v>17</v>
      </c>
      <c r="E74" s="907">
        <v>1</v>
      </c>
      <c r="F74" s="907">
        <v>241</v>
      </c>
      <c r="J74" s="909" t="s">
        <v>902</v>
      </c>
      <c r="K74" s="910">
        <v>430</v>
      </c>
      <c r="L74" s="910">
        <v>403</v>
      </c>
      <c r="M74" s="910">
        <v>382</v>
      </c>
      <c r="N74" s="910">
        <v>402</v>
      </c>
      <c r="O74" s="910">
        <v>378</v>
      </c>
      <c r="P74" s="910">
        <v>385</v>
      </c>
      <c r="Q74" s="910">
        <v>377</v>
      </c>
      <c r="R74" s="910">
        <v>379</v>
      </c>
      <c r="S74" s="910">
        <v>385</v>
      </c>
      <c r="T74" s="910">
        <v>381</v>
      </c>
      <c r="V74" s="909" t="s">
        <v>902</v>
      </c>
      <c r="W74" s="910">
        <v>4312</v>
      </c>
      <c r="X74" s="910">
        <v>4033</v>
      </c>
      <c r="Y74" s="910">
        <v>3809</v>
      </c>
      <c r="Z74" s="910">
        <v>3988</v>
      </c>
      <c r="AA74" s="910">
        <v>3738</v>
      </c>
      <c r="AB74" s="910">
        <v>3795</v>
      </c>
      <c r="AC74" s="910">
        <v>3712</v>
      </c>
      <c r="AD74" s="910">
        <v>3721</v>
      </c>
      <c r="AE74" s="910">
        <v>3768</v>
      </c>
      <c r="AF74" s="910">
        <v>3729</v>
      </c>
    </row>
    <row r="75" spans="1:32" ht="12.6" x14ac:dyDescent="0.45">
      <c r="A75" s="907" t="s">
        <v>910</v>
      </c>
      <c r="B75" s="907">
        <v>8855</v>
      </c>
      <c r="C75" s="907">
        <v>2400</v>
      </c>
      <c r="D75" s="907">
        <v>2179</v>
      </c>
      <c r="E75" s="907">
        <v>4152</v>
      </c>
      <c r="F75" s="907">
        <v>125</v>
      </c>
      <c r="J75" s="909" t="s">
        <v>909</v>
      </c>
      <c r="K75" s="910">
        <v>649</v>
      </c>
      <c r="L75" s="910">
        <v>601</v>
      </c>
      <c r="M75" s="910">
        <v>589</v>
      </c>
      <c r="N75" s="910">
        <v>590</v>
      </c>
      <c r="O75" s="910">
        <v>579</v>
      </c>
      <c r="P75" s="910">
        <v>591</v>
      </c>
      <c r="Q75" s="910">
        <v>606</v>
      </c>
      <c r="R75" s="910">
        <v>593</v>
      </c>
      <c r="S75" s="910">
        <v>631</v>
      </c>
      <c r="T75" s="910">
        <v>640</v>
      </c>
      <c r="V75" s="909" t="s">
        <v>909</v>
      </c>
      <c r="W75" s="910">
        <v>268</v>
      </c>
      <c r="X75" s="910">
        <v>249</v>
      </c>
      <c r="Y75" s="910">
        <v>245</v>
      </c>
      <c r="Z75" s="910">
        <v>248</v>
      </c>
      <c r="AA75" s="910">
        <v>247</v>
      </c>
      <c r="AB75" s="910">
        <v>257</v>
      </c>
      <c r="AC75" s="910">
        <v>270</v>
      </c>
      <c r="AD75" s="910">
        <v>270</v>
      </c>
      <c r="AE75" s="910">
        <v>295</v>
      </c>
      <c r="AF75" s="910">
        <v>310</v>
      </c>
    </row>
    <row r="76" spans="1:32" ht="12.6" x14ac:dyDescent="0.45">
      <c r="A76" s="907" t="s">
        <v>889</v>
      </c>
      <c r="B76" s="907">
        <v>4836</v>
      </c>
      <c r="C76" s="907">
        <v>1511</v>
      </c>
      <c r="D76" s="907">
        <v>1196</v>
      </c>
      <c r="E76" s="907">
        <v>1854</v>
      </c>
      <c r="F76" s="907">
        <v>121</v>
      </c>
      <c r="J76" s="909" t="s">
        <v>910</v>
      </c>
      <c r="K76" s="910">
        <v>589</v>
      </c>
      <c r="L76" s="910">
        <v>571</v>
      </c>
      <c r="M76" s="910">
        <v>568</v>
      </c>
      <c r="N76" s="910">
        <v>549</v>
      </c>
      <c r="O76" s="910">
        <v>526</v>
      </c>
      <c r="P76" s="910">
        <v>527</v>
      </c>
      <c r="Q76" s="910">
        <v>523</v>
      </c>
      <c r="R76" s="910">
        <v>520</v>
      </c>
      <c r="S76" s="910">
        <v>513</v>
      </c>
      <c r="T76" s="910">
        <v>511</v>
      </c>
      <c r="V76" s="909" t="s">
        <v>910</v>
      </c>
      <c r="W76" s="910">
        <v>9738</v>
      </c>
      <c r="X76" s="910">
        <v>9484</v>
      </c>
      <c r="Y76" s="910">
        <v>9479</v>
      </c>
      <c r="Z76" s="910">
        <v>9203</v>
      </c>
      <c r="AA76" s="910">
        <v>8840</v>
      </c>
      <c r="AB76" s="910">
        <v>8894</v>
      </c>
      <c r="AC76" s="910">
        <v>8866</v>
      </c>
      <c r="AD76" s="910">
        <v>8859</v>
      </c>
      <c r="AE76" s="910">
        <v>8792</v>
      </c>
      <c r="AF76" s="910">
        <v>8806</v>
      </c>
    </row>
    <row r="77" spans="1:32" ht="12.6" x14ac:dyDescent="0.45">
      <c r="A77" s="907" t="s">
        <v>884</v>
      </c>
      <c r="B77" s="908">
        <v>10863</v>
      </c>
      <c r="C77" s="907">
        <v>1750</v>
      </c>
      <c r="D77" s="907">
        <v>2867</v>
      </c>
      <c r="E77" s="907">
        <v>1439</v>
      </c>
      <c r="F77" s="907">
        <v>4808</v>
      </c>
      <c r="J77" s="909" t="s">
        <v>889</v>
      </c>
      <c r="K77" s="910">
        <v>590</v>
      </c>
      <c r="L77" s="910">
        <v>562</v>
      </c>
      <c r="M77" s="910">
        <v>573</v>
      </c>
      <c r="N77" s="910">
        <v>579</v>
      </c>
      <c r="O77" s="910">
        <v>578</v>
      </c>
      <c r="P77" s="910">
        <v>565</v>
      </c>
      <c r="Q77" s="910">
        <v>560</v>
      </c>
      <c r="R77" s="910">
        <v>564</v>
      </c>
      <c r="S77" s="910">
        <v>570</v>
      </c>
      <c r="T77" s="910">
        <v>579</v>
      </c>
      <c r="V77" s="909" t="s">
        <v>889</v>
      </c>
      <c r="W77" s="910">
        <v>4921</v>
      </c>
      <c r="X77" s="910">
        <v>4701</v>
      </c>
      <c r="Y77" s="910">
        <v>4807</v>
      </c>
      <c r="Z77" s="910">
        <v>4883</v>
      </c>
      <c r="AA77" s="910">
        <v>4905</v>
      </c>
      <c r="AB77" s="910">
        <v>4833</v>
      </c>
      <c r="AC77" s="910">
        <v>4836</v>
      </c>
      <c r="AD77" s="910">
        <v>4928</v>
      </c>
      <c r="AE77" s="910">
        <v>5018</v>
      </c>
      <c r="AF77" s="910">
        <v>5119</v>
      </c>
    </row>
    <row r="78" spans="1:32" ht="12.6" x14ac:dyDescent="0.45">
      <c r="A78" s="907" t="s">
        <v>912</v>
      </c>
      <c r="B78" s="907">
        <v>4710</v>
      </c>
      <c r="C78" s="907">
        <v>665</v>
      </c>
      <c r="D78" s="907">
        <v>765</v>
      </c>
      <c r="E78" s="907">
        <v>974</v>
      </c>
      <c r="F78" s="907">
        <v>2307</v>
      </c>
      <c r="J78" s="909" t="s">
        <v>884</v>
      </c>
      <c r="K78" s="910">
        <v>316</v>
      </c>
      <c r="L78" s="910">
        <v>316</v>
      </c>
      <c r="M78" s="910">
        <v>319</v>
      </c>
      <c r="N78" s="910">
        <v>317</v>
      </c>
      <c r="O78" s="910">
        <v>297</v>
      </c>
      <c r="P78" s="910">
        <v>272</v>
      </c>
      <c r="Q78" s="910">
        <v>286</v>
      </c>
      <c r="R78" s="910">
        <v>307</v>
      </c>
      <c r="S78" s="910">
        <v>315</v>
      </c>
      <c r="T78" s="910">
        <v>329</v>
      </c>
      <c r="V78" s="909" t="s">
        <v>884</v>
      </c>
      <c r="W78" s="910">
        <v>12053</v>
      </c>
      <c r="X78" s="910">
        <v>12032</v>
      </c>
      <c r="Y78" s="910">
        <v>12129</v>
      </c>
      <c r="Z78" s="910">
        <v>12084</v>
      </c>
      <c r="AA78" s="910">
        <v>11295</v>
      </c>
      <c r="AB78" s="910">
        <v>10330</v>
      </c>
      <c r="AC78" s="910">
        <v>10863</v>
      </c>
      <c r="AD78" s="910">
        <v>11654</v>
      </c>
      <c r="AE78" s="910">
        <v>11969</v>
      </c>
      <c r="AF78" s="910">
        <v>12485</v>
      </c>
    </row>
    <row r="79" spans="1:32" ht="12.6" x14ac:dyDescent="0.45">
      <c r="A79" s="907" t="s">
        <v>913</v>
      </c>
      <c r="B79" s="907">
        <v>4953</v>
      </c>
      <c r="C79" s="907">
        <v>391</v>
      </c>
      <c r="D79" s="907">
        <v>253</v>
      </c>
      <c r="E79" s="907">
        <v>133</v>
      </c>
      <c r="F79" s="907">
        <v>3558</v>
      </c>
      <c r="J79" s="909" t="s">
        <v>912</v>
      </c>
      <c r="K79" s="910">
        <v>520</v>
      </c>
      <c r="L79" s="910">
        <v>516</v>
      </c>
      <c r="M79" s="910">
        <v>490</v>
      </c>
      <c r="N79" s="910">
        <v>453</v>
      </c>
      <c r="O79" s="910">
        <v>440</v>
      </c>
      <c r="P79" s="910">
        <v>453</v>
      </c>
      <c r="Q79" s="910">
        <v>460</v>
      </c>
      <c r="R79" s="910">
        <v>474</v>
      </c>
      <c r="S79" s="910">
        <v>487</v>
      </c>
      <c r="T79" s="910">
        <v>508</v>
      </c>
      <c r="V79" s="909" t="s">
        <v>912</v>
      </c>
      <c r="W79" s="910">
        <v>5496</v>
      </c>
      <c r="X79" s="910">
        <v>5457</v>
      </c>
      <c r="Y79" s="910">
        <v>5178</v>
      </c>
      <c r="Z79" s="910">
        <v>4766</v>
      </c>
      <c r="AA79" s="910">
        <v>4598</v>
      </c>
      <c r="AB79" s="910">
        <v>4710</v>
      </c>
      <c r="AC79" s="910">
        <v>4769</v>
      </c>
      <c r="AD79" s="910">
        <v>4897</v>
      </c>
      <c r="AE79" s="910">
        <v>5012</v>
      </c>
      <c r="AF79" s="910">
        <v>5222</v>
      </c>
    </row>
    <row r="80" spans="1:32" ht="12.6" x14ac:dyDescent="0.45">
      <c r="A80" s="907" t="s">
        <v>915</v>
      </c>
      <c r="B80" s="907">
        <v>926</v>
      </c>
      <c r="C80" s="907">
        <v>71</v>
      </c>
      <c r="D80" s="907">
        <v>430</v>
      </c>
      <c r="E80" s="907">
        <v>158</v>
      </c>
      <c r="F80" s="907">
        <v>210</v>
      </c>
      <c r="J80" s="909" t="s">
        <v>913</v>
      </c>
      <c r="K80" s="910">
        <v>381</v>
      </c>
      <c r="L80" s="910">
        <v>313</v>
      </c>
      <c r="M80" s="910">
        <v>259</v>
      </c>
      <c r="N80" s="910">
        <v>251</v>
      </c>
      <c r="O80" s="910">
        <v>254</v>
      </c>
      <c r="P80" s="910">
        <v>249</v>
      </c>
      <c r="Q80" s="910">
        <v>247</v>
      </c>
      <c r="R80" s="910">
        <v>261</v>
      </c>
      <c r="S80" s="910">
        <v>272</v>
      </c>
      <c r="T80" s="910">
        <v>272</v>
      </c>
      <c r="V80" s="909" t="s">
        <v>913</v>
      </c>
      <c r="W80" s="910">
        <v>7768</v>
      </c>
      <c r="X80" s="910">
        <v>6343</v>
      </c>
      <c r="Y80" s="910">
        <v>5216</v>
      </c>
      <c r="Z80" s="910">
        <v>5044</v>
      </c>
      <c r="AA80" s="910">
        <v>5071</v>
      </c>
      <c r="AB80" s="910">
        <v>4956</v>
      </c>
      <c r="AC80" s="910">
        <v>4904</v>
      </c>
      <c r="AD80" s="910">
        <v>5136</v>
      </c>
      <c r="AE80" s="910">
        <v>5333</v>
      </c>
      <c r="AF80" s="910">
        <v>5296</v>
      </c>
    </row>
    <row r="81" spans="1:32" ht="12.6" x14ac:dyDescent="0.45">
      <c r="A81" s="907" t="s">
        <v>914</v>
      </c>
      <c r="B81" s="907">
        <v>1784</v>
      </c>
      <c r="C81" s="907">
        <v>130</v>
      </c>
      <c r="D81" s="907">
        <v>136</v>
      </c>
      <c r="E81" s="907">
        <v>191</v>
      </c>
      <c r="F81" s="907">
        <v>1226</v>
      </c>
      <c r="J81" s="909" t="s">
        <v>915</v>
      </c>
      <c r="K81" s="910">
        <v>524</v>
      </c>
      <c r="L81" s="910">
        <v>490</v>
      </c>
      <c r="M81" s="910">
        <v>415</v>
      </c>
      <c r="N81" s="910">
        <v>362</v>
      </c>
      <c r="O81" s="910">
        <v>414</v>
      </c>
      <c r="P81" s="910">
        <v>432</v>
      </c>
      <c r="Q81" s="910">
        <v>449</v>
      </c>
      <c r="R81" s="910">
        <v>457</v>
      </c>
      <c r="S81" s="910">
        <v>471</v>
      </c>
      <c r="T81" s="910">
        <v>486</v>
      </c>
      <c r="V81" s="909" t="s">
        <v>915</v>
      </c>
      <c r="W81" s="910">
        <v>1069</v>
      </c>
      <c r="X81" s="910">
        <v>1004</v>
      </c>
      <c r="Y81" s="910">
        <v>852</v>
      </c>
      <c r="Z81" s="910">
        <v>744</v>
      </c>
      <c r="AA81" s="910">
        <v>853</v>
      </c>
      <c r="AB81" s="910">
        <v>892</v>
      </c>
      <c r="AC81" s="910">
        <v>926</v>
      </c>
      <c r="AD81" s="910">
        <v>943</v>
      </c>
      <c r="AE81" s="910">
        <v>974</v>
      </c>
      <c r="AF81" s="910">
        <v>1009</v>
      </c>
    </row>
    <row r="82" spans="1:32" ht="12.6" x14ac:dyDescent="0.45">
      <c r="A82" s="907" t="s">
        <v>898</v>
      </c>
      <c r="B82" s="907">
        <v>2738</v>
      </c>
      <c r="C82" s="907">
        <v>341</v>
      </c>
      <c r="D82" s="907">
        <v>770</v>
      </c>
      <c r="E82" s="907">
        <v>1312</v>
      </c>
      <c r="F82" s="907">
        <v>315</v>
      </c>
      <c r="J82" s="909" t="s">
        <v>914</v>
      </c>
      <c r="K82" s="910">
        <v>307</v>
      </c>
      <c r="L82" s="910">
        <v>319</v>
      </c>
      <c r="M82" s="910">
        <v>311</v>
      </c>
      <c r="N82" s="910">
        <v>306</v>
      </c>
      <c r="O82" s="910">
        <v>304</v>
      </c>
      <c r="P82" s="910">
        <v>320</v>
      </c>
      <c r="Q82" s="910">
        <v>329</v>
      </c>
      <c r="R82" s="910">
        <v>348</v>
      </c>
      <c r="S82" s="910">
        <v>378</v>
      </c>
      <c r="T82" s="910">
        <v>414</v>
      </c>
      <c r="V82" s="909" t="s">
        <v>914</v>
      </c>
      <c r="W82" s="910">
        <v>1654</v>
      </c>
      <c r="X82" s="910">
        <v>1719</v>
      </c>
      <c r="Y82" s="910">
        <v>1679</v>
      </c>
      <c r="Z82" s="910">
        <v>1657</v>
      </c>
      <c r="AA82" s="910">
        <v>1645</v>
      </c>
      <c r="AB82" s="910">
        <v>1733</v>
      </c>
      <c r="AC82" s="910">
        <v>1784</v>
      </c>
      <c r="AD82" s="910">
        <v>1890</v>
      </c>
      <c r="AE82" s="910">
        <v>2058</v>
      </c>
      <c r="AF82" s="910">
        <v>2254</v>
      </c>
    </row>
    <row r="83" spans="1:32" ht="12.6" x14ac:dyDescent="0.45">
      <c r="A83" s="907" t="s">
        <v>917</v>
      </c>
      <c r="B83" s="907">
        <v>4377</v>
      </c>
      <c r="C83" s="907">
        <v>684</v>
      </c>
      <c r="D83" s="907">
        <v>1417</v>
      </c>
      <c r="E83" s="907">
        <v>2241</v>
      </c>
      <c r="F83" s="907">
        <v>35</v>
      </c>
      <c r="J83" s="909" t="s">
        <v>898</v>
      </c>
      <c r="K83" s="910">
        <v>480</v>
      </c>
      <c r="L83" s="910">
        <v>470</v>
      </c>
      <c r="M83" s="910">
        <v>505</v>
      </c>
      <c r="N83" s="910">
        <v>506</v>
      </c>
      <c r="O83" s="910">
        <v>493</v>
      </c>
      <c r="P83" s="910">
        <v>482</v>
      </c>
      <c r="Q83" s="910">
        <v>500</v>
      </c>
      <c r="R83" s="910">
        <v>504</v>
      </c>
      <c r="S83" s="910">
        <v>510</v>
      </c>
      <c r="T83" s="910">
        <v>551</v>
      </c>
      <c r="V83" s="909" t="s">
        <v>898</v>
      </c>
      <c r="W83" s="910">
        <v>2562</v>
      </c>
      <c r="X83" s="910">
        <v>2519</v>
      </c>
      <c r="Y83" s="910">
        <v>2719</v>
      </c>
      <c r="Z83" s="910">
        <v>2738</v>
      </c>
      <c r="AA83" s="910">
        <v>2682</v>
      </c>
      <c r="AB83" s="910">
        <v>2630</v>
      </c>
      <c r="AC83" s="910">
        <v>2738</v>
      </c>
      <c r="AD83" s="910">
        <v>2768</v>
      </c>
      <c r="AE83" s="910">
        <v>2812</v>
      </c>
      <c r="AF83" s="910">
        <v>3041</v>
      </c>
    </row>
    <row r="84" spans="1:32" ht="12.6" x14ac:dyDescent="0.45">
      <c r="A84" s="907" t="s">
        <v>920</v>
      </c>
      <c r="B84" s="908">
        <v>31567</v>
      </c>
      <c r="C84" s="907">
        <v>5124</v>
      </c>
      <c r="D84" s="907">
        <v>8602</v>
      </c>
      <c r="E84" s="907">
        <v>9907</v>
      </c>
      <c r="F84" s="907">
        <v>7124</v>
      </c>
      <c r="J84" s="909" t="s">
        <v>917</v>
      </c>
      <c r="K84" s="910">
        <v>472</v>
      </c>
      <c r="L84" s="910">
        <v>441</v>
      </c>
      <c r="M84" s="910">
        <v>453</v>
      </c>
      <c r="N84" s="910">
        <v>454</v>
      </c>
      <c r="O84" s="910">
        <v>455</v>
      </c>
      <c r="P84" s="910">
        <v>443</v>
      </c>
      <c r="Q84" s="910">
        <v>451</v>
      </c>
      <c r="R84" s="910">
        <v>447</v>
      </c>
      <c r="S84" s="910">
        <v>452</v>
      </c>
      <c r="T84" s="910">
        <v>434</v>
      </c>
      <c r="V84" s="909" t="s">
        <v>917</v>
      </c>
      <c r="W84" s="910">
        <v>4390</v>
      </c>
      <c r="X84" s="910">
        <v>4140</v>
      </c>
      <c r="Y84" s="910">
        <v>4278</v>
      </c>
      <c r="Z84" s="910">
        <v>4324</v>
      </c>
      <c r="AA84" s="910">
        <v>4371</v>
      </c>
      <c r="AB84" s="910">
        <v>4295</v>
      </c>
      <c r="AC84" s="910">
        <v>4422</v>
      </c>
      <c r="AD84" s="910">
        <v>4439</v>
      </c>
      <c r="AE84" s="910">
        <v>4551</v>
      </c>
      <c r="AF84" s="910">
        <v>4416</v>
      </c>
    </row>
    <row r="85" spans="1:32" ht="12.6" x14ac:dyDescent="0.45">
      <c r="A85" s="907" t="s">
        <v>903</v>
      </c>
      <c r="B85" s="907">
        <v>175</v>
      </c>
      <c r="C85" s="907">
        <v>15</v>
      </c>
      <c r="D85" s="907">
        <v>37</v>
      </c>
      <c r="E85" s="907">
        <v>7</v>
      </c>
      <c r="F85" s="907">
        <v>116</v>
      </c>
      <c r="J85" s="909" t="s">
        <v>920</v>
      </c>
      <c r="K85" s="910">
        <v>522</v>
      </c>
      <c r="L85" s="910">
        <v>509</v>
      </c>
      <c r="M85" s="910">
        <v>491</v>
      </c>
      <c r="N85" s="910">
        <v>477</v>
      </c>
      <c r="O85" s="910">
        <v>482</v>
      </c>
      <c r="P85" s="910">
        <v>482</v>
      </c>
      <c r="Q85" s="910">
        <v>483</v>
      </c>
      <c r="R85" s="910">
        <v>483</v>
      </c>
      <c r="S85" s="910">
        <v>468</v>
      </c>
      <c r="T85" s="910">
        <v>463</v>
      </c>
      <c r="V85" s="909" t="s">
        <v>920</v>
      </c>
      <c r="W85" s="910">
        <v>32507</v>
      </c>
      <c r="X85" s="910">
        <v>31955</v>
      </c>
      <c r="Y85" s="910">
        <v>31066</v>
      </c>
      <c r="Z85" s="910">
        <v>30413</v>
      </c>
      <c r="AA85" s="910">
        <v>30890</v>
      </c>
      <c r="AB85" s="910">
        <v>31129</v>
      </c>
      <c r="AC85" s="910">
        <v>31475</v>
      </c>
      <c r="AD85" s="910">
        <v>31710</v>
      </c>
      <c r="AE85" s="910">
        <v>30912</v>
      </c>
      <c r="AF85" s="910">
        <v>30786</v>
      </c>
    </row>
    <row r="86" spans="1:32" ht="12.6" x14ac:dyDescent="0.45">
      <c r="A86" s="907" t="s">
        <v>911</v>
      </c>
      <c r="B86" s="907">
        <v>2187</v>
      </c>
      <c r="C86" s="907">
        <v>365</v>
      </c>
      <c r="D86" s="907">
        <v>572</v>
      </c>
      <c r="E86" s="907">
        <v>1145</v>
      </c>
      <c r="F86" s="907">
        <v>74</v>
      </c>
      <c r="J86" s="909" t="s">
        <v>903</v>
      </c>
      <c r="K86" s="910">
        <v>414</v>
      </c>
      <c r="L86" s="910">
        <v>484</v>
      </c>
      <c r="M86" s="910">
        <v>495</v>
      </c>
      <c r="N86" s="910">
        <v>511</v>
      </c>
      <c r="O86" s="910">
        <v>516</v>
      </c>
      <c r="P86" s="910">
        <v>535</v>
      </c>
      <c r="Q86" s="910">
        <v>588</v>
      </c>
      <c r="R86" s="910">
        <v>656</v>
      </c>
      <c r="S86" s="910">
        <v>656</v>
      </c>
      <c r="T86" s="911" t="s">
        <v>962</v>
      </c>
      <c r="V86" s="909" t="s">
        <v>903</v>
      </c>
      <c r="W86" s="910">
        <v>132</v>
      </c>
      <c r="X86" s="910">
        <v>154</v>
      </c>
      <c r="Y86" s="910">
        <v>158</v>
      </c>
      <c r="Z86" s="910">
        <v>164</v>
      </c>
      <c r="AA86" s="910">
        <v>167</v>
      </c>
      <c r="AB86" s="910">
        <v>175</v>
      </c>
      <c r="AC86" s="910">
        <v>195</v>
      </c>
      <c r="AD86" s="910">
        <v>220</v>
      </c>
      <c r="AE86" s="910">
        <v>225</v>
      </c>
      <c r="AF86" s="911" t="s">
        <v>962</v>
      </c>
    </row>
    <row r="87" spans="1:32" ht="12.6" x14ac:dyDescent="0.45">
      <c r="A87" s="907" t="s">
        <v>918</v>
      </c>
      <c r="B87" s="907">
        <v>6030</v>
      </c>
      <c r="C87" s="907">
        <v>1256</v>
      </c>
      <c r="D87" s="907">
        <v>1924</v>
      </c>
      <c r="E87" s="907">
        <v>2850</v>
      </c>
      <c r="F87" s="907">
        <v>0</v>
      </c>
      <c r="J87" s="909" t="s">
        <v>911</v>
      </c>
      <c r="K87" s="910">
        <v>470</v>
      </c>
      <c r="L87" s="910">
        <v>469</v>
      </c>
      <c r="M87" s="910">
        <v>485</v>
      </c>
      <c r="N87" s="910">
        <v>477</v>
      </c>
      <c r="O87" s="910">
        <v>496</v>
      </c>
      <c r="P87" s="910">
        <v>423</v>
      </c>
      <c r="Q87" s="910">
        <v>422</v>
      </c>
      <c r="R87" s="910">
        <v>754</v>
      </c>
      <c r="S87" s="910">
        <v>748</v>
      </c>
      <c r="T87" s="910">
        <v>739</v>
      </c>
      <c r="V87" s="909" t="s">
        <v>911</v>
      </c>
      <c r="W87" s="910">
        <v>2269</v>
      </c>
      <c r="X87" s="910">
        <v>2295</v>
      </c>
      <c r="Y87" s="910">
        <v>2403</v>
      </c>
      <c r="Z87" s="910">
        <v>2392</v>
      </c>
      <c r="AA87" s="910">
        <v>2518</v>
      </c>
      <c r="AB87" s="910">
        <v>2175</v>
      </c>
      <c r="AC87" s="910">
        <v>2187</v>
      </c>
      <c r="AD87" s="910">
        <v>3946</v>
      </c>
      <c r="AE87" s="910">
        <v>3949</v>
      </c>
      <c r="AF87" s="910">
        <v>3927</v>
      </c>
    </row>
    <row r="88" spans="1:32" ht="12.6" x14ac:dyDescent="0.45">
      <c r="A88" s="907" t="s">
        <v>922</v>
      </c>
      <c r="B88" s="907">
        <v>332</v>
      </c>
      <c r="C88" s="907">
        <v>0</v>
      </c>
      <c r="D88" s="907">
        <v>18</v>
      </c>
      <c r="E88" s="907">
        <v>0</v>
      </c>
      <c r="F88" s="907">
        <v>304</v>
      </c>
      <c r="J88" s="909" t="s">
        <v>918</v>
      </c>
      <c r="K88" s="910">
        <v>702</v>
      </c>
      <c r="L88" s="910">
        <v>708</v>
      </c>
      <c r="M88" s="910">
        <v>689</v>
      </c>
      <c r="N88" s="910">
        <v>694</v>
      </c>
      <c r="O88" s="910">
        <v>702</v>
      </c>
      <c r="P88" s="910">
        <v>730</v>
      </c>
      <c r="Q88" s="910">
        <v>725</v>
      </c>
      <c r="R88" s="910">
        <v>720</v>
      </c>
      <c r="S88" s="910">
        <v>706</v>
      </c>
      <c r="T88" s="910">
        <v>703</v>
      </c>
      <c r="V88" s="909" t="s">
        <v>918</v>
      </c>
      <c r="W88" s="910">
        <v>5461</v>
      </c>
      <c r="X88" s="910">
        <v>5565</v>
      </c>
      <c r="Y88" s="910">
        <v>5478</v>
      </c>
      <c r="Z88" s="910">
        <v>5576</v>
      </c>
      <c r="AA88" s="910">
        <v>5708</v>
      </c>
      <c r="AB88" s="910">
        <v>6006</v>
      </c>
      <c r="AC88" s="910">
        <v>6030</v>
      </c>
      <c r="AD88" s="910">
        <v>6056</v>
      </c>
      <c r="AE88" s="910">
        <v>5992</v>
      </c>
      <c r="AF88" s="910">
        <v>6012</v>
      </c>
    </row>
    <row r="89" spans="1:32" ht="12.6" x14ac:dyDescent="0.45">
      <c r="A89" s="907" t="s">
        <v>942</v>
      </c>
      <c r="B89" s="907">
        <v>765</v>
      </c>
      <c r="C89" s="907">
        <v>0</v>
      </c>
      <c r="D89" s="907">
        <v>0</v>
      </c>
      <c r="E89" s="907">
        <v>0</v>
      </c>
      <c r="F89" s="907">
        <v>765</v>
      </c>
      <c r="J89" s="909" t="s">
        <v>922</v>
      </c>
      <c r="K89" s="911" t="s">
        <v>962</v>
      </c>
      <c r="L89" s="911" t="s">
        <v>962</v>
      </c>
      <c r="M89" s="910">
        <v>524</v>
      </c>
      <c r="N89" s="910">
        <v>494</v>
      </c>
      <c r="O89" s="910">
        <v>497</v>
      </c>
      <c r="P89" s="910">
        <v>484</v>
      </c>
      <c r="Q89" s="910">
        <v>503</v>
      </c>
      <c r="R89" s="910">
        <v>518</v>
      </c>
      <c r="S89" s="910">
        <v>509</v>
      </c>
      <c r="T89" s="910">
        <v>530</v>
      </c>
      <c r="V89" s="909" t="s">
        <v>922</v>
      </c>
      <c r="W89" s="911" t="s">
        <v>962</v>
      </c>
      <c r="X89" s="911" t="s">
        <v>962</v>
      </c>
      <c r="Y89" s="910">
        <v>325</v>
      </c>
      <c r="Z89" s="910">
        <v>307</v>
      </c>
      <c r="AA89" s="910">
        <v>309</v>
      </c>
      <c r="AB89" s="910">
        <v>301</v>
      </c>
      <c r="AC89" s="910">
        <v>313</v>
      </c>
      <c r="AD89" s="910">
        <v>322</v>
      </c>
      <c r="AE89" s="910">
        <v>317</v>
      </c>
      <c r="AF89" s="910">
        <v>330</v>
      </c>
    </row>
    <row r="90" spans="1:32" ht="12.6" x14ac:dyDescent="0.45">
      <c r="A90" s="907" t="s">
        <v>887</v>
      </c>
      <c r="B90" s="907">
        <v>1840</v>
      </c>
      <c r="C90" s="907">
        <v>0</v>
      </c>
      <c r="D90" s="907">
        <v>14</v>
      </c>
      <c r="E90" s="907">
        <v>0</v>
      </c>
      <c r="F90" s="907">
        <v>1360</v>
      </c>
      <c r="J90" s="909" t="s">
        <v>964</v>
      </c>
      <c r="K90" s="910">
        <v>354</v>
      </c>
      <c r="L90" s="910">
        <v>351</v>
      </c>
      <c r="M90" s="910">
        <v>357</v>
      </c>
      <c r="N90" s="910">
        <v>381</v>
      </c>
      <c r="O90" s="910">
        <v>384</v>
      </c>
      <c r="P90" s="910">
        <v>370</v>
      </c>
      <c r="Q90" s="910">
        <v>380</v>
      </c>
      <c r="R90" s="910">
        <v>385</v>
      </c>
      <c r="S90" s="910">
        <v>344</v>
      </c>
      <c r="T90" s="910">
        <v>301</v>
      </c>
      <c r="V90" s="909" t="s">
        <v>964</v>
      </c>
      <c r="W90" s="910">
        <v>726</v>
      </c>
      <c r="X90" s="910">
        <v>721</v>
      </c>
      <c r="Y90" s="910">
        <v>735</v>
      </c>
      <c r="Z90" s="910">
        <v>786</v>
      </c>
      <c r="AA90" s="910">
        <v>793</v>
      </c>
      <c r="AB90" s="910">
        <v>765</v>
      </c>
      <c r="AC90" s="910">
        <v>786</v>
      </c>
      <c r="AD90" s="910">
        <v>797</v>
      </c>
      <c r="AE90" s="910">
        <v>714</v>
      </c>
      <c r="AF90" s="910">
        <v>625</v>
      </c>
    </row>
    <row r="91" spans="1:32" ht="12.6" x14ac:dyDescent="0.45">
      <c r="A91" s="907" t="s">
        <v>885</v>
      </c>
      <c r="B91" s="907">
        <v>1249</v>
      </c>
      <c r="C91" s="907">
        <v>0</v>
      </c>
      <c r="D91" s="907">
        <v>0</v>
      </c>
      <c r="E91" s="907">
        <v>0</v>
      </c>
      <c r="F91" s="907">
        <v>942</v>
      </c>
      <c r="J91" s="909" t="s">
        <v>888</v>
      </c>
      <c r="K91" s="911" t="s">
        <v>962</v>
      </c>
      <c r="L91" s="911" t="s">
        <v>962</v>
      </c>
      <c r="M91" s="911" t="s">
        <v>962</v>
      </c>
      <c r="N91" s="911" t="s">
        <v>962</v>
      </c>
      <c r="O91" s="910">
        <v>325</v>
      </c>
      <c r="P91" s="910">
        <v>425</v>
      </c>
      <c r="Q91" s="910">
        <v>491</v>
      </c>
      <c r="R91" s="910">
        <v>452</v>
      </c>
      <c r="S91" s="910">
        <v>436</v>
      </c>
      <c r="T91" s="910">
        <v>462</v>
      </c>
      <c r="V91" s="909" t="s">
        <v>888</v>
      </c>
      <c r="W91" s="911" t="s">
        <v>962</v>
      </c>
      <c r="X91" s="911" t="s">
        <v>962</v>
      </c>
      <c r="Y91" s="911" t="s">
        <v>962</v>
      </c>
      <c r="Z91" s="911" t="s">
        <v>962</v>
      </c>
      <c r="AA91" s="910">
        <v>940</v>
      </c>
      <c r="AB91" s="910">
        <v>1229</v>
      </c>
      <c r="AC91" s="910">
        <v>1413</v>
      </c>
      <c r="AD91" s="910">
        <v>1300</v>
      </c>
      <c r="AE91" s="910">
        <v>1254</v>
      </c>
      <c r="AF91" s="910">
        <v>1325</v>
      </c>
    </row>
    <row r="92" spans="1:32" ht="12.6" x14ac:dyDescent="0.45">
      <c r="A92" s="907" t="s">
        <v>934</v>
      </c>
      <c r="B92" s="908">
        <v>242710</v>
      </c>
      <c r="C92" s="908">
        <v>39774</v>
      </c>
      <c r="D92" s="908">
        <v>69484</v>
      </c>
      <c r="E92" s="908">
        <v>64399</v>
      </c>
      <c r="F92" s="908">
        <v>62084</v>
      </c>
      <c r="J92" s="909" t="s">
        <v>887</v>
      </c>
      <c r="K92" s="910">
        <v>360</v>
      </c>
      <c r="L92" s="910">
        <v>363</v>
      </c>
      <c r="M92" s="910">
        <v>375</v>
      </c>
      <c r="N92" s="910">
        <v>364</v>
      </c>
      <c r="O92" s="910">
        <v>336</v>
      </c>
      <c r="P92" s="910">
        <v>299</v>
      </c>
      <c r="Q92" s="910">
        <v>259</v>
      </c>
      <c r="R92" s="910">
        <v>268</v>
      </c>
      <c r="S92" s="910">
        <v>306</v>
      </c>
      <c r="T92" s="910">
        <v>319</v>
      </c>
      <c r="V92" s="909" t="s">
        <v>887</v>
      </c>
      <c r="W92" s="910">
        <v>2636</v>
      </c>
      <c r="X92" s="910">
        <v>2650</v>
      </c>
      <c r="Y92" s="910">
        <v>2710</v>
      </c>
      <c r="Z92" s="910">
        <v>2620</v>
      </c>
      <c r="AA92" s="910">
        <v>2410</v>
      </c>
      <c r="AB92" s="910">
        <v>2130</v>
      </c>
      <c r="AC92" s="910">
        <v>1840</v>
      </c>
      <c r="AD92" s="910">
        <v>1890</v>
      </c>
      <c r="AE92" s="910">
        <v>2150</v>
      </c>
      <c r="AF92" s="910">
        <v>2230</v>
      </c>
    </row>
    <row r="93" spans="1:32" ht="12.6" x14ac:dyDescent="0.45">
      <c r="A93" s="907" t="s">
        <v>943</v>
      </c>
      <c r="B93" s="908">
        <v>251102</v>
      </c>
      <c r="C93" s="908">
        <v>41410</v>
      </c>
      <c r="D93" s="908">
        <v>72017</v>
      </c>
      <c r="E93" s="908">
        <v>68401</v>
      </c>
      <c r="F93" s="908">
        <v>62274</v>
      </c>
      <c r="J93" s="909" t="s">
        <v>919</v>
      </c>
      <c r="K93" s="910">
        <v>419</v>
      </c>
      <c r="L93" s="910">
        <v>407</v>
      </c>
      <c r="M93" s="910">
        <v>416</v>
      </c>
      <c r="N93" s="910">
        <v>410</v>
      </c>
      <c r="O93" s="910">
        <v>406</v>
      </c>
      <c r="P93" s="910">
        <v>405</v>
      </c>
      <c r="Q93" s="910">
        <v>400</v>
      </c>
      <c r="R93" s="910">
        <v>426</v>
      </c>
      <c r="S93" s="910">
        <v>425</v>
      </c>
      <c r="T93" s="910">
        <v>424</v>
      </c>
      <c r="V93" s="909" t="s">
        <v>919</v>
      </c>
      <c r="W93" s="910">
        <v>30196</v>
      </c>
      <c r="X93" s="910">
        <v>29733</v>
      </c>
      <c r="Y93" s="910">
        <v>30862</v>
      </c>
      <c r="Z93" s="910">
        <v>30786</v>
      </c>
      <c r="AA93" s="910">
        <v>30920</v>
      </c>
      <c r="AB93" s="910">
        <v>31230</v>
      </c>
      <c r="AC93" s="910">
        <v>31283</v>
      </c>
      <c r="AD93" s="910">
        <v>33763</v>
      </c>
      <c r="AE93" s="910">
        <v>34173</v>
      </c>
      <c r="AF93" s="910">
        <v>34533</v>
      </c>
    </row>
    <row r="94" spans="1:32" ht="12.6" x14ac:dyDescent="0.45">
      <c r="A94" s="907" t="s">
        <v>682</v>
      </c>
      <c r="B94" s="908">
        <v>255288</v>
      </c>
      <c r="C94" s="908">
        <v>41410</v>
      </c>
      <c r="D94" s="908">
        <v>72049</v>
      </c>
      <c r="E94" s="908">
        <v>68401</v>
      </c>
      <c r="F94" s="908">
        <v>65645</v>
      </c>
      <c r="J94" s="909" t="s">
        <v>885</v>
      </c>
      <c r="K94" s="910">
        <v>354</v>
      </c>
      <c r="L94" s="910">
        <v>332</v>
      </c>
      <c r="M94" s="910">
        <v>340</v>
      </c>
      <c r="N94" s="910">
        <v>340</v>
      </c>
      <c r="O94" s="910">
        <v>311</v>
      </c>
      <c r="P94" s="910">
        <v>349</v>
      </c>
      <c r="Q94" s="910">
        <v>340</v>
      </c>
      <c r="R94" s="910">
        <v>354</v>
      </c>
      <c r="S94" s="910">
        <v>352</v>
      </c>
      <c r="T94" s="911" t="s">
        <v>962</v>
      </c>
      <c r="V94" s="909" t="s">
        <v>885</v>
      </c>
      <c r="W94" s="910">
        <v>1362</v>
      </c>
      <c r="X94" s="910">
        <v>1276</v>
      </c>
      <c r="Y94" s="910">
        <v>1307</v>
      </c>
      <c r="Z94" s="910">
        <v>1303</v>
      </c>
      <c r="AA94" s="910">
        <v>1192</v>
      </c>
      <c r="AB94" s="910">
        <v>1335</v>
      </c>
      <c r="AC94" s="910">
        <v>1249</v>
      </c>
      <c r="AD94" s="910">
        <v>1244</v>
      </c>
      <c r="AE94" s="910">
        <v>1235</v>
      </c>
      <c r="AF94" s="910">
        <v>1244</v>
      </c>
    </row>
    <row r="95" spans="1:32" x14ac:dyDescent="0.4">
      <c r="J95" s="909" t="s">
        <v>921</v>
      </c>
      <c r="K95" s="911" t="s">
        <v>962</v>
      </c>
      <c r="L95" s="911" t="s">
        <v>962</v>
      </c>
      <c r="M95" s="911" t="s">
        <v>962</v>
      </c>
      <c r="N95" s="911" t="s">
        <v>962</v>
      </c>
      <c r="O95" s="911" t="s">
        <v>962</v>
      </c>
      <c r="P95" s="911" t="s">
        <v>962</v>
      </c>
      <c r="Q95" s="910">
        <v>178</v>
      </c>
      <c r="R95" s="910">
        <v>222</v>
      </c>
      <c r="S95" s="910">
        <v>228</v>
      </c>
      <c r="T95" s="910">
        <v>226</v>
      </c>
      <c r="V95" s="909" t="s">
        <v>921</v>
      </c>
      <c r="W95" s="911" t="s">
        <v>962</v>
      </c>
      <c r="X95" s="911" t="s">
        <v>962</v>
      </c>
      <c r="Y95" s="911" t="s">
        <v>962</v>
      </c>
      <c r="Z95" s="911" t="s">
        <v>962</v>
      </c>
      <c r="AA95" s="911" t="s">
        <v>962</v>
      </c>
      <c r="AB95" s="911" t="s">
        <v>962</v>
      </c>
      <c r="AC95" s="910">
        <v>319</v>
      </c>
      <c r="AD95" s="910">
        <v>395</v>
      </c>
      <c r="AE95" s="910">
        <v>409</v>
      </c>
      <c r="AF95" s="910">
        <v>407</v>
      </c>
    </row>
    <row r="100" spans="1:2" x14ac:dyDescent="0.4">
      <c r="A100" t="s">
        <v>1002</v>
      </c>
    </row>
    <row r="101" spans="1:2" x14ac:dyDescent="0.4">
      <c r="A101" t="s">
        <v>1003</v>
      </c>
    </row>
    <row r="102" spans="1:2" x14ac:dyDescent="0.4">
      <c r="A102" s="737">
        <v>42979</v>
      </c>
    </row>
    <row r="103" spans="1:2" ht="15" x14ac:dyDescent="0.5">
      <c r="A103" s="621" t="s">
        <v>1004</v>
      </c>
    </row>
    <row r="106" spans="1:2" x14ac:dyDescent="0.4">
      <c r="A106" t="s">
        <v>1005</v>
      </c>
    </row>
    <row r="107" spans="1:2" x14ac:dyDescent="0.4">
      <c r="A107" t="s">
        <v>1006</v>
      </c>
    </row>
    <row r="109" spans="1:2" x14ac:dyDescent="0.4">
      <c r="A109" t="s">
        <v>114</v>
      </c>
      <c r="B109" t="s">
        <v>1007</v>
      </c>
    </row>
    <row r="110" spans="1:2" x14ac:dyDescent="0.4">
      <c r="A110">
        <v>1995</v>
      </c>
      <c r="B110">
        <v>468</v>
      </c>
    </row>
    <row r="111" spans="1:2" x14ac:dyDescent="0.4">
      <c r="A111">
        <v>2008</v>
      </c>
      <c r="B111">
        <v>524</v>
      </c>
    </row>
    <row r="112" spans="1:2" x14ac:dyDescent="0.4">
      <c r="A112">
        <v>2020</v>
      </c>
      <c r="B112">
        <v>558</v>
      </c>
    </row>
  </sheetData>
  <sortState xmlns:xlrd2="http://schemas.microsoft.com/office/spreadsheetml/2017/richdata2" ref="A5:D43">
    <sortCondition ref="A5"/>
  </sortState>
  <mergeCells count="4">
    <mergeCell ref="B3:E3"/>
    <mergeCell ref="J3:P3"/>
    <mergeCell ref="K53:T53"/>
    <mergeCell ref="W53:AF53"/>
  </mergeCells>
  <hyperlinks>
    <hyperlink ref="A53" r:id="rId1" location="ref-CR31" tooltip="Eurostat: Environmental Data Centre on Waste. European Commission, Luxembourg (2015)" display="https://link.springer.com/article/10.1007/s12649-018-0297-7?shared-article-renderer - ref-CR31" xr:uid="{EB85D3A8-B275-364C-B6C6-F428AFDA2DB2}"/>
    <hyperlink ref="A54" r:id="rId2" display="https://link.springer.com/article/10.1007/s12649-018-0297-7?shared-article-renderer" xr:uid="{91726737-A31C-DA4D-A7B7-F378AFF6F9F7}"/>
    <hyperlink ref="A103" r:id="rId3" xr:uid="{62AEFBB7-02C2-064C-9309-C8F613C2BCF4}"/>
  </hyperlinks>
  <pageMargins left="0.7" right="0.7" top="0.75" bottom="0.75" header="0.3" footer="0.3"/>
  <cellWatches>
    <cellWatch r="AZ137"/>
    <cellWatch r="AZ138"/>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AZ242"/>
    <cellWatch r="AZ243"/>
    <cellWatch r="AZ244"/>
    <cellWatch r="AZ245"/>
    <cellWatch r="AZ246"/>
    <cellWatch r="AZ247"/>
    <cellWatch r="AZ173"/>
    <cellWatch r="AZ174"/>
    <cellWatch r="AZ175"/>
    <cellWatch r="AZ176"/>
    <cellWatch r="AZ177"/>
    <cellWatch r="AZ213"/>
    <cellWatch r="AZ214"/>
    <cellWatch r="AZ215"/>
    <cellWatch r="AZ216"/>
    <cellWatch r="AZ21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BA172"/>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Y183"/>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322"/>
    <cellWatch r="BB138"/>
    <cellWatch r="BB139"/>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BB172"/>
    <cellWatch r="BB173"/>
    <cellWatch r="AZ178"/>
    <cellWatch r="AZ179"/>
    <cellWatch r="AY184"/>
    <cellWatch r="AY185"/>
    <cellWatch r="AY186"/>
    <cellWatch r="AY187"/>
    <cellWatch r="AY188"/>
    <cellWatch r="BB137"/>
    <cellWatch r="BB140"/>
    <cellWatch r="BB174"/>
    <cellWatch r="BB175"/>
    <cellWatch r="AZ323"/>
    <cellWatch r="AZ324"/>
    <cellWatch r="AZ325"/>
    <cellWatch r="BA137"/>
    <cellWatch r="BA173"/>
    <cellWatch r="BA174"/>
    <cellWatch r="BA175"/>
    <cellWatch r="AZ180"/>
    <cellWatch r="AZ181"/>
    <cellWatch r="AZ182"/>
    <cellWatch r="AY189"/>
    <cellWatch r="AY190"/>
    <cellWatch r="AY191"/>
    <cellWatch r="AZ296"/>
    <cellWatch r="AZ212"/>
    <cellWatch r="AY148"/>
    <cellWatch r="AY137"/>
    <cellWatch r="AY138"/>
    <cellWatch r="AY139"/>
    <cellWatch r="AY140"/>
    <cellWatch r="AY141"/>
    <cellWatch r="AY142"/>
    <cellWatch r="AY143"/>
    <cellWatch r="AY144"/>
    <cellWatch r="AY145"/>
    <cellWatch r="AY146"/>
    <cellWatch r="AY147"/>
    <cellWatch r="AZ248"/>
    <cellWatch r="AZ249"/>
    <cellWatch r="AZ250"/>
    <cellWatch r="AZ251"/>
    <cellWatch r="BA176"/>
    <cellWatch r="AZ326"/>
    <cellWatch r="BB176"/>
    <cellWatch r="BB177"/>
    <cellWatch r="AZ183"/>
    <cellWatch r="AY192"/>
    <cellWatch r="AZ184"/>
  </cellWatch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2:BH41"/>
  <sheetViews>
    <sheetView topLeftCell="AT1" workbookViewId="0">
      <selection activeCell="AW38" sqref="AW38"/>
    </sheetView>
  </sheetViews>
  <sheetFormatPr defaultColWidth="10.6640625" defaultRowHeight="12.3" x14ac:dyDescent="0.4"/>
  <sheetData>
    <row r="2" spans="2:60" x14ac:dyDescent="0.4">
      <c r="P2">
        <f>P6/$O$6</f>
        <v>0.35923478916042767</v>
      </c>
      <c r="Q2" s="609">
        <f>Q6/$O$6</f>
        <v>6.678546933489006E-2</v>
      </c>
      <c r="R2" s="609">
        <f>R6/$O$6</f>
        <v>0.31640053624268294</v>
      </c>
      <c r="S2" s="609">
        <f>S6/$O$6</f>
        <v>0.12354998129472067</v>
      </c>
      <c r="T2" s="609">
        <f>T6/$O$6</f>
        <v>0.13402922396727859</v>
      </c>
    </row>
    <row r="3" spans="2:60" x14ac:dyDescent="0.4">
      <c r="B3" s="1" t="s">
        <v>0</v>
      </c>
      <c r="D3">
        <f>D6/$C$6</f>
        <v>0.2261435793203285</v>
      </c>
      <c r="E3" s="609">
        <f>E6/$C$6</f>
        <v>4.3046266430313972E-2</v>
      </c>
      <c r="F3" s="609">
        <f>F6/$C$6</f>
        <v>0.44875286413310123</v>
      </c>
      <c r="G3" s="609">
        <f>G6/$C$6</f>
        <v>0.19904950828121845</v>
      </c>
      <c r="H3" s="609">
        <f>H6/$C$6</f>
        <v>8.3007781835037819E-2</v>
      </c>
      <c r="N3" s="1" t="s">
        <v>1</v>
      </c>
      <c r="Z3" s="1" t="s">
        <v>2</v>
      </c>
      <c r="AL3" s="808" t="s">
        <v>3</v>
      </c>
      <c r="AX3" s="1" t="s">
        <v>112</v>
      </c>
      <c r="BD3" s="807" t="s">
        <v>709</v>
      </c>
    </row>
    <row r="4" spans="2:60" x14ac:dyDescent="0.4">
      <c r="B4" s="1" t="s">
        <v>113</v>
      </c>
      <c r="N4" s="1" t="s">
        <v>118</v>
      </c>
      <c r="Z4" s="1" t="s">
        <v>4</v>
      </c>
      <c r="AL4" s="1" t="s">
        <v>5</v>
      </c>
      <c r="AX4" s="1" t="s">
        <v>113</v>
      </c>
    </row>
    <row r="5" spans="2:60" x14ac:dyDescent="0.4">
      <c r="B5" s="2" t="s">
        <v>114</v>
      </c>
      <c r="C5" s="2" t="s">
        <v>115</v>
      </c>
      <c r="D5" s="2" t="s">
        <v>36</v>
      </c>
      <c r="E5" s="2" t="s">
        <v>44</v>
      </c>
      <c r="F5" s="2" t="s">
        <v>46</v>
      </c>
      <c r="G5" s="2" t="s">
        <v>49</v>
      </c>
      <c r="H5" s="2" t="s">
        <v>52</v>
      </c>
      <c r="I5" s="2" t="s">
        <v>55</v>
      </c>
      <c r="J5" s="2" t="s">
        <v>58</v>
      </c>
      <c r="K5" s="2" t="s">
        <v>60</v>
      </c>
      <c r="L5" s="2" t="s">
        <v>61</v>
      </c>
      <c r="N5" s="2" t="s">
        <v>114</v>
      </c>
      <c r="O5" s="2" t="s">
        <v>115</v>
      </c>
      <c r="P5" s="2" t="s">
        <v>36</v>
      </c>
      <c r="Q5" s="2" t="s">
        <v>44</v>
      </c>
      <c r="R5" s="2" t="s">
        <v>46</v>
      </c>
      <c r="S5" s="2" t="s">
        <v>49</v>
      </c>
      <c r="T5" s="2" t="s">
        <v>52</v>
      </c>
      <c r="U5" s="2" t="s">
        <v>55</v>
      </c>
      <c r="V5" s="2" t="s">
        <v>58</v>
      </c>
      <c r="W5" s="2" t="s">
        <v>60</v>
      </c>
      <c r="X5" s="2"/>
      <c r="Z5" s="2" t="s">
        <v>114</v>
      </c>
      <c r="AA5" s="2" t="s">
        <v>115</v>
      </c>
      <c r="AB5" s="2" t="s">
        <v>36</v>
      </c>
      <c r="AC5" s="2" t="s">
        <v>44</v>
      </c>
      <c r="AD5" s="2" t="s">
        <v>46</v>
      </c>
      <c r="AE5" s="2" t="s">
        <v>49</v>
      </c>
      <c r="AF5" s="2" t="s">
        <v>52</v>
      </c>
      <c r="AG5" s="2" t="s">
        <v>55</v>
      </c>
      <c r="AH5" s="2" t="s">
        <v>58</v>
      </c>
      <c r="AI5" s="2" t="s">
        <v>60</v>
      </c>
      <c r="AJ5" s="2"/>
      <c r="AL5" s="2" t="str">
        <f>Z5</f>
        <v>Year</v>
      </c>
      <c r="AM5" s="2" t="str">
        <f t="shared" ref="AM5:AU5" si="0">AA5</f>
        <v>World</v>
      </c>
      <c r="AN5" s="2" t="str">
        <f t="shared" si="0"/>
        <v>OECD90</v>
      </c>
      <c r="AO5" s="2" t="str">
        <f t="shared" si="0"/>
        <v>Eastern Europe</v>
      </c>
      <c r="AP5" s="2" t="str">
        <f t="shared" si="0"/>
        <v>Asia (sans Japan)</v>
      </c>
      <c r="AQ5" s="2" t="str">
        <f t="shared" si="0"/>
        <v>Middle East &amp; Africa</v>
      </c>
      <c r="AR5" s="2" t="str">
        <f t="shared" si="0"/>
        <v>Latin America</v>
      </c>
      <c r="AS5" s="2" t="str">
        <f t="shared" si="0"/>
        <v>China</v>
      </c>
      <c r="AT5" s="2" t="str">
        <f t="shared" si="0"/>
        <v>India</v>
      </c>
      <c r="AU5" s="2" t="str">
        <f t="shared" si="0"/>
        <v>EU</v>
      </c>
      <c r="AV5" s="2"/>
      <c r="AX5" s="2" t="s">
        <v>114</v>
      </c>
      <c r="AY5" s="2" t="s">
        <v>115</v>
      </c>
      <c r="AZ5" s="2" t="s">
        <v>36</v>
      </c>
      <c r="BA5" s="2" t="s">
        <v>44</v>
      </c>
      <c r="BB5" s="2" t="s">
        <v>46</v>
      </c>
      <c r="BC5" s="2" t="s">
        <v>49</v>
      </c>
      <c r="BD5" s="2" t="s">
        <v>52</v>
      </c>
      <c r="BE5" s="2" t="s">
        <v>55</v>
      </c>
      <c r="BF5" s="2" t="s">
        <v>58</v>
      </c>
      <c r="BG5" s="2" t="s">
        <v>60</v>
      </c>
      <c r="BH5" s="2" t="s">
        <v>61</v>
      </c>
    </row>
    <row r="6" spans="2:60" ht="14.4" x14ac:dyDescent="0.55000000000000004">
      <c r="B6" s="3">
        <v>2015</v>
      </c>
      <c r="C6" s="709">
        <v>2287.3596722145717</v>
      </c>
      <c r="D6" s="709">
        <v>517.27170346757657</v>
      </c>
      <c r="E6" s="709">
        <v>98.462293872104084</v>
      </c>
      <c r="F6" s="709">
        <v>1026.4592042088407</v>
      </c>
      <c r="G6" s="709">
        <v>455.29781801659954</v>
      </c>
      <c r="H6" s="709">
        <v>189.86865264945078</v>
      </c>
      <c r="I6" s="709">
        <v>563.58403107788854</v>
      </c>
      <c r="J6" s="709">
        <v>387.49895278935367</v>
      </c>
      <c r="K6" s="709">
        <v>138.78472460966842</v>
      </c>
      <c r="L6" s="709">
        <v>160.28560077689434</v>
      </c>
      <c r="N6" s="3">
        <v>2015</v>
      </c>
      <c r="O6" s="709">
        <v>1746.5366527598558</v>
      </c>
      <c r="P6" s="709">
        <v>627.4167262151459</v>
      </c>
      <c r="Q6" s="709">
        <v>116.64327006515488</v>
      </c>
      <c r="R6" s="709">
        <v>552.60513350071892</v>
      </c>
      <c r="S6" s="709">
        <v>215.78457077902422</v>
      </c>
      <c r="T6" s="709">
        <v>234.08695219981178</v>
      </c>
      <c r="U6" s="2">
        <v>0</v>
      </c>
      <c r="V6" s="2">
        <v>0</v>
      </c>
      <c r="W6" s="2">
        <v>0</v>
      </c>
      <c r="X6" s="2"/>
      <c r="Z6" s="3">
        <v>2015</v>
      </c>
      <c r="AA6" s="709">
        <v>2480.3520000000008</v>
      </c>
      <c r="AB6" s="709">
        <v>672.74599999999987</v>
      </c>
      <c r="AC6" s="709">
        <v>138.59399999999997</v>
      </c>
      <c r="AD6" s="709">
        <v>1091.6920000000002</v>
      </c>
      <c r="AE6" s="709">
        <v>407.03999999999974</v>
      </c>
      <c r="AF6" s="709">
        <v>170.24599999999998</v>
      </c>
      <c r="AG6" s="709"/>
      <c r="AH6" s="709"/>
      <c r="AI6" s="709">
        <v>269.12000000000006</v>
      </c>
      <c r="AJ6" s="2"/>
      <c r="AL6" s="3">
        <f t="shared" ref="AL6:AL36" si="1">Z6</f>
        <v>2015</v>
      </c>
      <c r="AM6" s="709">
        <v>2128.9225674649192</v>
      </c>
      <c r="AN6" s="709">
        <v>674.01531596056736</v>
      </c>
      <c r="AO6" s="709">
        <v>106.87934980552757</v>
      </c>
      <c r="AP6" s="709">
        <v>873.82950722001328</v>
      </c>
      <c r="AQ6" s="709">
        <v>216.10797077393727</v>
      </c>
      <c r="AR6" s="709">
        <v>258.0904237048739</v>
      </c>
      <c r="AS6" s="2"/>
      <c r="AT6" s="2"/>
      <c r="AU6" s="2"/>
      <c r="AV6" s="2"/>
      <c r="AX6" s="3">
        <v>2015</v>
      </c>
      <c r="AY6" s="709">
        <v>1391.8918918918921</v>
      </c>
      <c r="AZ6" s="709">
        <v>475.27027027027032</v>
      </c>
      <c r="BA6" s="709">
        <v>69.649105429461343</v>
      </c>
      <c r="BB6" s="709">
        <v>544.45900267864681</v>
      </c>
      <c r="BC6" s="709">
        <v>172.70270270270271</v>
      </c>
      <c r="BD6" s="709">
        <v>128.91891891891891</v>
      </c>
      <c r="BE6" s="709">
        <v>278.91891891891896</v>
      </c>
      <c r="BF6" s="709">
        <v>122.16216216216216</v>
      </c>
      <c r="BG6" s="709">
        <v>173.70270270270271</v>
      </c>
      <c r="BH6" s="709">
        <v>132.62162162162161</v>
      </c>
    </row>
    <row r="7" spans="2:60" ht="14.4" x14ac:dyDescent="0.55000000000000004">
      <c r="B7" s="3">
        <v>2016</v>
      </c>
      <c r="C7" s="709">
        <v>2334.8334030460014</v>
      </c>
      <c r="D7" s="709">
        <v>521.57775228129731</v>
      </c>
      <c r="E7" s="709">
        <v>98.835941796104507</v>
      </c>
      <c r="F7" s="709">
        <v>1051.3620817636311</v>
      </c>
      <c r="G7" s="709">
        <v>470.50864759694917</v>
      </c>
      <c r="H7" s="709">
        <v>192.54897960801938</v>
      </c>
      <c r="I7" s="709">
        <v>574.40475152494184</v>
      </c>
      <c r="J7" s="709">
        <v>397.86951980580687</v>
      </c>
      <c r="K7" s="709">
        <v>140.20672676652046</v>
      </c>
      <c r="L7" s="709">
        <v>162.0259120293029</v>
      </c>
      <c r="N7" s="3">
        <v>2016</v>
      </c>
      <c r="O7" s="709">
        <v>1805.1364321330068</v>
      </c>
      <c r="P7" s="709">
        <v>630.69309800394922</v>
      </c>
      <c r="Q7" s="709">
        <v>119.61749903165385</v>
      </c>
      <c r="R7" s="709">
        <v>584.5500159799866</v>
      </c>
      <c r="S7" s="709">
        <v>226.63717692006992</v>
      </c>
      <c r="T7" s="709">
        <v>243.6386421973472</v>
      </c>
      <c r="U7" s="2">
        <v>0</v>
      </c>
      <c r="V7" s="2">
        <v>0</v>
      </c>
      <c r="W7" s="2">
        <v>0</v>
      </c>
      <c r="X7" s="2"/>
      <c r="Z7" s="3">
        <v>2016</v>
      </c>
      <c r="AA7" s="709">
        <v>2542.4840000000008</v>
      </c>
      <c r="AB7" s="709">
        <v>680.23199999999986</v>
      </c>
      <c r="AC7" s="709">
        <v>141.24799999999996</v>
      </c>
      <c r="AD7" s="709">
        <v>1122.3640000000003</v>
      </c>
      <c r="AE7" s="709">
        <v>420.87999999999971</v>
      </c>
      <c r="AF7" s="709">
        <v>177.73199999999997</v>
      </c>
      <c r="AG7" s="709"/>
      <c r="AH7" s="709"/>
      <c r="AI7" s="709">
        <v>272.24000000000007</v>
      </c>
      <c r="AJ7" s="2"/>
      <c r="AL7" s="3">
        <f t="shared" si="1"/>
        <v>2016</v>
      </c>
      <c r="AM7" s="709">
        <v>2200.0695386429793</v>
      </c>
      <c r="AN7" s="709">
        <v>674.78613766647084</v>
      </c>
      <c r="AO7" s="709">
        <v>112.26059075378939</v>
      </c>
      <c r="AP7" s="709">
        <v>913.50795063944724</v>
      </c>
      <c r="AQ7" s="709">
        <v>232.0434024279844</v>
      </c>
      <c r="AR7" s="709">
        <v>267.47145715528728</v>
      </c>
      <c r="AS7" s="2"/>
      <c r="AT7" s="2"/>
      <c r="AU7" s="2"/>
      <c r="AV7" s="2"/>
      <c r="AX7" s="3">
        <v>2016</v>
      </c>
      <c r="AY7" s="709">
        <v>1429.8378378378382</v>
      </c>
      <c r="AZ7" s="709">
        <v>480.40540540540547</v>
      </c>
      <c r="BA7" s="709">
        <v>70.491568353454412</v>
      </c>
      <c r="BB7" s="709">
        <v>564.67059380870785</v>
      </c>
      <c r="BC7" s="709">
        <v>182.05405405405406</v>
      </c>
      <c r="BD7" s="709">
        <v>131.37837837837836</v>
      </c>
      <c r="BE7" s="709">
        <v>286.37837837837844</v>
      </c>
      <c r="BF7" s="709">
        <v>129.24324324324323</v>
      </c>
      <c r="BG7" s="709">
        <v>175.05405405405406</v>
      </c>
      <c r="BH7" s="709">
        <v>134.43243243243242</v>
      </c>
    </row>
    <row r="8" spans="2:60" ht="14.4" x14ac:dyDescent="0.55000000000000004">
      <c r="B8" s="3">
        <v>2017</v>
      </c>
      <c r="C8" s="709">
        <v>2382.6530321706559</v>
      </c>
      <c r="D8" s="709">
        <v>525.812796106468</v>
      </c>
      <c r="E8" s="709">
        <v>99.183462824641055</v>
      </c>
      <c r="F8" s="709">
        <v>1076.3703473757512</v>
      </c>
      <c r="G8" s="709">
        <v>486.07541128206293</v>
      </c>
      <c r="H8" s="709">
        <v>195.21101458173294</v>
      </c>
      <c r="I8" s="709">
        <v>585.13900663794925</v>
      </c>
      <c r="J8" s="709">
        <v>408.35839920571681</v>
      </c>
      <c r="K8" s="709">
        <v>141.64655531433951</v>
      </c>
      <c r="L8" s="709">
        <v>163.7795540737639</v>
      </c>
      <c r="N8" s="3">
        <v>2017</v>
      </c>
      <c r="O8" s="709">
        <v>1865.1039520915517</v>
      </c>
      <c r="P8" s="709">
        <v>633.85173412036852</v>
      </c>
      <c r="Q8" s="709">
        <v>122.57857962599721</v>
      </c>
      <c r="R8" s="709">
        <v>617.43355237971957</v>
      </c>
      <c r="S8" s="709">
        <v>237.89956926383979</v>
      </c>
      <c r="T8" s="709">
        <v>253.34051670162677</v>
      </c>
      <c r="U8" s="2">
        <v>0</v>
      </c>
      <c r="V8" s="2">
        <v>0</v>
      </c>
      <c r="W8" s="2">
        <v>0</v>
      </c>
      <c r="X8" s="2"/>
      <c r="Z8" s="3">
        <v>2017</v>
      </c>
      <c r="AA8" s="709">
        <v>2604.6160000000009</v>
      </c>
      <c r="AB8" s="709">
        <v>687.71799999999985</v>
      </c>
      <c r="AC8" s="709">
        <v>143.90199999999996</v>
      </c>
      <c r="AD8" s="709">
        <v>1153.0360000000003</v>
      </c>
      <c r="AE8" s="709">
        <v>434.71999999999969</v>
      </c>
      <c r="AF8" s="709">
        <v>185.21799999999996</v>
      </c>
      <c r="AG8" s="709"/>
      <c r="AH8" s="709"/>
      <c r="AI8" s="709">
        <v>275.36000000000007</v>
      </c>
      <c r="AJ8" s="2"/>
      <c r="AL8" s="3">
        <f t="shared" si="1"/>
        <v>2017</v>
      </c>
      <c r="AM8" s="709">
        <v>2257.7852102784937</v>
      </c>
      <c r="AN8" s="709">
        <v>678.02825394397598</v>
      </c>
      <c r="AO8" s="709">
        <v>115.10929669972121</v>
      </c>
      <c r="AP8" s="709">
        <v>944.87466977884446</v>
      </c>
      <c r="AQ8" s="709">
        <v>244.94271401559939</v>
      </c>
      <c r="AR8" s="709">
        <v>274.83027584035256</v>
      </c>
      <c r="AS8" s="2"/>
      <c r="AT8" s="2"/>
      <c r="AU8" s="2"/>
      <c r="AV8" s="2"/>
      <c r="AX8" s="3">
        <v>2017</v>
      </c>
      <c r="AY8" s="709">
        <v>1467.7837837837842</v>
      </c>
      <c r="AZ8" s="709">
        <v>485.54054054054063</v>
      </c>
      <c r="BA8" s="709">
        <v>71.33403127744748</v>
      </c>
      <c r="BB8" s="709">
        <v>584.88218493876889</v>
      </c>
      <c r="BC8" s="709">
        <v>191.40540540540542</v>
      </c>
      <c r="BD8" s="709">
        <v>133.83783783783781</v>
      </c>
      <c r="BE8" s="709">
        <v>293.83783783783792</v>
      </c>
      <c r="BF8" s="709">
        <v>136.32432432432432</v>
      </c>
      <c r="BG8" s="709">
        <v>176.40540540540542</v>
      </c>
      <c r="BH8" s="709">
        <v>136.24324324324323</v>
      </c>
    </row>
    <row r="9" spans="2:60" ht="14.4" x14ac:dyDescent="0.55000000000000004">
      <c r="B9" s="3">
        <v>2018</v>
      </c>
      <c r="C9" s="709">
        <v>2430.7716918161991</v>
      </c>
      <c r="D9" s="709">
        <v>529.9805273193648</v>
      </c>
      <c r="E9" s="709">
        <v>99.50373665317602</v>
      </c>
      <c r="F9" s="709">
        <v>1101.4346491823837</v>
      </c>
      <c r="G9" s="709">
        <v>501.9993817443073</v>
      </c>
      <c r="H9" s="709">
        <v>197.85339691696689</v>
      </c>
      <c r="I9" s="709">
        <v>595.74168663143757</v>
      </c>
      <c r="J9" s="709">
        <v>418.95079239618474</v>
      </c>
      <c r="K9" s="709">
        <v>143.09619334823242</v>
      </c>
      <c r="L9" s="709">
        <v>165.54479508308575</v>
      </c>
      <c r="N9" s="3">
        <v>2018</v>
      </c>
      <c r="O9" s="709">
        <v>1926.4227303585685</v>
      </c>
      <c r="P9" s="709">
        <v>636.89786682868055</v>
      </c>
      <c r="Q9" s="709">
        <v>125.52309094818635</v>
      </c>
      <c r="R9" s="709">
        <v>651.23213778112768</v>
      </c>
      <c r="S9" s="709">
        <v>249.58064947947091</v>
      </c>
      <c r="T9" s="709">
        <v>263.18898532110302</v>
      </c>
      <c r="U9" s="2">
        <v>0</v>
      </c>
      <c r="V9" s="2">
        <v>0</v>
      </c>
      <c r="W9" s="2">
        <v>0</v>
      </c>
      <c r="X9" s="2"/>
      <c r="Z9" s="3">
        <v>2018</v>
      </c>
      <c r="AA9" s="709">
        <v>2666.748000000001</v>
      </c>
      <c r="AB9" s="709">
        <v>695.20399999999984</v>
      </c>
      <c r="AC9" s="709">
        <v>146.55599999999995</v>
      </c>
      <c r="AD9" s="709">
        <v>1183.7080000000003</v>
      </c>
      <c r="AE9" s="709">
        <v>448.55999999999966</v>
      </c>
      <c r="AF9" s="709">
        <v>192.70399999999995</v>
      </c>
      <c r="AG9" s="709"/>
      <c r="AH9" s="709"/>
      <c r="AI9" s="709">
        <v>278.48000000000008</v>
      </c>
      <c r="AJ9" s="2"/>
      <c r="AL9" s="3">
        <f t="shared" si="1"/>
        <v>2018</v>
      </c>
      <c r="AM9" s="709">
        <v>2314.9722954908048</v>
      </c>
      <c r="AN9" s="709">
        <v>681.27354569498641</v>
      </c>
      <c r="AO9" s="709">
        <v>117.77601295843974</v>
      </c>
      <c r="AP9" s="709">
        <v>975.85965828389897</v>
      </c>
      <c r="AQ9" s="709">
        <v>258.04535055145624</v>
      </c>
      <c r="AR9" s="709">
        <v>282.01772800202298</v>
      </c>
      <c r="AS9" s="2"/>
      <c r="AT9" s="2"/>
      <c r="AU9" s="2"/>
      <c r="AV9" s="2"/>
      <c r="AX9" s="3">
        <v>2018</v>
      </c>
      <c r="AY9" s="709">
        <v>1505.7297297297303</v>
      </c>
      <c r="AZ9" s="709">
        <v>490.67567567567579</v>
      </c>
      <c r="BA9" s="709">
        <v>72.176494201440548</v>
      </c>
      <c r="BB9" s="709">
        <v>605.09377606882992</v>
      </c>
      <c r="BC9" s="709">
        <v>200.75675675675677</v>
      </c>
      <c r="BD9" s="709">
        <v>136.29729729729726</v>
      </c>
      <c r="BE9" s="709">
        <v>301.2972972972974</v>
      </c>
      <c r="BF9" s="709">
        <v>143.40540540540542</v>
      </c>
      <c r="BG9" s="709">
        <v>177.75675675675677</v>
      </c>
      <c r="BH9" s="709">
        <v>138.05405405405403</v>
      </c>
    </row>
    <row r="10" spans="2:60" ht="14.4" x14ac:dyDescent="0.55000000000000004">
      <c r="B10" s="3">
        <v>2019</v>
      </c>
      <c r="C10" s="709">
        <v>2479.1388986008014</v>
      </c>
      <c r="D10" s="709">
        <v>534.08447042138516</v>
      </c>
      <c r="E10" s="709">
        <v>99.797863301597175</v>
      </c>
      <c r="F10" s="709">
        <v>1126.4979888300531</v>
      </c>
      <c r="G10" s="709">
        <v>518.28337671891711</v>
      </c>
      <c r="H10" s="709">
        <v>200.47519932884853</v>
      </c>
      <c r="I10" s="709">
        <v>606.16037432047904</v>
      </c>
      <c r="J10" s="709">
        <v>429.62318091735318</v>
      </c>
      <c r="K10" s="709">
        <v>144.54160221645171</v>
      </c>
      <c r="L10" s="709">
        <v>167.31728807333167</v>
      </c>
      <c r="N10" s="3">
        <v>2019</v>
      </c>
      <c r="O10" s="709">
        <v>1989.0718682689533</v>
      </c>
      <c r="P10" s="709">
        <v>639.83647215666258</v>
      </c>
      <c r="Q10" s="709">
        <v>128.45035510739788</v>
      </c>
      <c r="R10" s="709">
        <v>685.91403059967797</v>
      </c>
      <c r="S10" s="709">
        <v>261.69013878643733</v>
      </c>
      <c r="T10" s="709">
        <v>273.18087161877764</v>
      </c>
      <c r="U10" s="2">
        <v>0</v>
      </c>
      <c r="V10" s="2">
        <v>0</v>
      </c>
      <c r="W10" s="2">
        <v>0</v>
      </c>
      <c r="X10" s="2"/>
      <c r="Z10" s="3">
        <v>2019</v>
      </c>
      <c r="AA10" s="709">
        <v>2728.880000000001</v>
      </c>
      <c r="AB10" s="709">
        <v>702.68999999999983</v>
      </c>
      <c r="AC10" s="709">
        <v>149.20999999999995</v>
      </c>
      <c r="AD10" s="709">
        <v>1214.3800000000003</v>
      </c>
      <c r="AE10" s="709">
        <v>462.39999999999964</v>
      </c>
      <c r="AF10" s="709">
        <v>200.18999999999994</v>
      </c>
      <c r="AG10" s="709"/>
      <c r="AH10" s="709"/>
      <c r="AI10" s="709">
        <v>281.60000000000008</v>
      </c>
      <c r="AJ10" s="2"/>
      <c r="AL10" s="3">
        <f t="shared" si="1"/>
        <v>2019</v>
      </c>
      <c r="AM10" s="709">
        <v>2371.5574644498547</v>
      </c>
      <c r="AN10" s="709">
        <v>684.52447551892806</v>
      </c>
      <c r="AO10" s="709">
        <v>120.26486955345442</v>
      </c>
      <c r="AP10" s="709">
        <v>1006.3913738723721</v>
      </c>
      <c r="AQ10" s="709">
        <v>271.34594996939586</v>
      </c>
      <c r="AR10" s="709">
        <v>289.03079553570433</v>
      </c>
      <c r="AS10" s="2"/>
      <c r="AT10" s="2"/>
      <c r="AU10" s="2"/>
      <c r="AV10" s="2"/>
      <c r="AX10" s="3">
        <v>2019</v>
      </c>
      <c r="AY10" s="709">
        <v>1543.6756756756763</v>
      </c>
      <c r="AZ10" s="709">
        <v>495.81081081081095</v>
      </c>
      <c r="BA10" s="709">
        <v>73.018957125433616</v>
      </c>
      <c r="BB10" s="709">
        <v>625.30536719889096</v>
      </c>
      <c r="BC10" s="709">
        <v>210.10810810810813</v>
      </c>
      <c r="BD10" s="709">
        <v>138.75675675675672</v>
      </c>
      <c r="BE10" s="709">
        <v>308.75675675675689</v>
      </c>
      <c r="BF10" s="709">
        <v>150.48648648648651</v>
      </c>
      <c r="BG10" s="709">
        <v>179.10810810810813</v>
      </c>
      <c r="BH10" s="709">
        <v>139.86486486486484</v>
      </c>
    </row>
    <row r="11" spans="2:60" ht="14.4" x14ac:dyDescent="0.55000000000000004">
      <c r="B11" s="3">
        <v>2020</v>
      </c>
      <c r="C11" s="709">
        <v>2527.7123923666627</v>
      </c>
      <c r="D11" s="709">
        <v>538.12821512918492</v>
      </c>
      <c r="E11" s="709">
        <v>100.06655969579043</v>
      </c>
      <c r="F11" s="709">
        <v>1151.5126749959634</v>
      </c>
      <c r="G11" s="709">
        <v>534.92968661700377</v>
      </c>
      <c r="H11" s="709">
        <v>203.07525592872037</v>
      </c>
      <c r="I11" s="709">
        <v>616.35347913747125</v>
      </c>
      <c r="J11" s="709">
        <v>440.35580098878222</v>
      </c>
      <c r="K11" s="709">
        <v>145.97206403780706</v>
      </c>
      <c r="L11" s="709">
        <v>169.09332797404781</v>
      </c>
      <c r="N11" s="3">
        <v>2020</v>
      </c>
      <c r="O11" s="709">
        <v>2053.0312769315669</v>
      </c>
      <c r="P11" s="709">
        <v>642.67255140172597</v>
      </c>
      <c r="Q11" s="709">
        <v>131.35930402171084</v>
      </c>
      <c r="R11" s="709">
        <v>721.44930022373808</v>
      </c>
      <c r="S11" s="709">
        <v>274.23757534650144</v>
      </c>
      <c r="T11" s="709">
        <v>283.31254593789038</v>
      </c>
      <c r="U11" s="2">
        <v>0</v>
      </c>
      <c r="V11" s="2">
        <v>0</v>
      </c>
      <c r="W11" s="2">
        <v>0</v>
      </c>
      <c r="X11" s="2"/>
      <c r="Z11" s="3">
        <v>2020</v>
      </c>
      <c r="AA11" s="709">
        <v>2791.0120000000011</v>
      </c>
      <c r="AB11" s="709">
        <v>710.17599999999982</v>
      </c>
      <c r="AC11" s="709">
        <v>151.86399999999995</v>
      </c>
      <c r="AD11" s="709">
        <v>1245.0520000000004</v>
      </c>
      <c r="AE11" s="709">
        <v>476.23999999999961</v>
      </c>
      <c r="AF11" s="709">
        <v>207.67599999999993</v>
      </c>
      <c r="AG11" s="709"/>
      <c r="AH11" s="709"/>
      <c r="AI11" s="709">
        <v>284.72000000000008</v>
      </c>
      <c r="AJ11" s="2"/>
      <c r="AL11" s="3">
        <f t="shared" si="1"/>
        <v>2020</v>
      </c>
      <c r="AM11" s="709">
        <v>2428.7958724065325</v>
      </c>
      <c r="AN11" s="709">
        <v>687.97064120712525</v>
      </c>
      <c r="AO11" s="709">
        <v>123.3847427102001</v>
      </c>
      <c r="AP11" s="709">
        <v>1036.0067641822277</v>
      </c>
      <c r="AQ11" s="709">
        <v>284.94385065104797</v>
      </c>
      <c r="AR11" s="709">
        <v>296.48987365593172</v>
      </c>
      <c r="AS11" s="2"/>
      <c r="AT11" s="2"/>
      <c r="AU11" s="2"/>
      <c r="AV11" s="2"/>
      <c r="AX11" s="3">
        <v>2020</v>
      </c>
      <c r="AY11" s="709">
        <v>1581.6216216216224</v>
      </c>
      <c r="AZ11" s="709">
        <v>500.94594594594611</v>
      </c>
      <c r="BA11" s="709">
        <v>73.861420049426684</v>
      </c>
      <c r="BB11" s="709">
        <v>645.516958328952</v>
      </c>
      <c r="BC11" s="709">
        <v>219.45945945945948</v>
      </c>
      <c r="BD11" s="709">
        <v>141.21621621621617</v>
      </c>
      <c r="BE11" s="709">
        <v>316.21621621621637</v>
      </c>
      <c r="BF11" s="709">
        <v>157.56756756756761</v>
      </c>
      <c r="BG11" s="709">
        <v>180.45945945945948</v>
      </c>
      <c r="BH11" s="709">
        <v>141.67567567567565</v>
      </c>
    </row>
    <row r="12" spans="2:60" ht="14.4" x14ac:dyDescent="0.55000000000000004">
      <c r="B12" s="3">
        <v>2021</v>
      </c>
      <c r="C12" s="709">
        <v>2576.4566624225181</v>
      </c>
      <c r="D12" s="709">
        <v>542.11365814263638</v>
      </c>
      <c r="E12" s="709">
        <v>100.30809499682719</v>
      </c>
      <c r="F12" s="709">
        <v>1176.4427164212343</v>
      </c>
      <c r="G12" s="709">
        <v>551.94015557608554</v>
      </c>
      <c r="H12" s="709">
        <v>205.65203728573502</v>
      </c>
      <c r="I12" s="709">
        <v>626.29124278380618</v>
      </c>
      <c r="J12" s="709">
        <v>451.14055310842861</v>
      </c>
      <c r="K12" s="709">
        <v>147.38578300837375</v>
      </c>
      <c r="L12" s="709">
        <v>170.87311155331037</v>
      </c>
      <c r="N12" s="3">
        <v>2021</v>
      </c>
      <c r="O12" s="709">
        <v>2118.2789371982303</v>
      </c>
      <c r="P12" s="709">
        <v>645.40903666500901</v>
      </c>
      <c r="Q12" s="709">
        <v>134.24566713742041</v>
      </c>
      <c r="R12" s="709">
        <v>757.81218903209594</v>
      </c>
      <c r="S12" s="709">
        <v>287.23233602513551</v>
      </c>
      <c r="T12" s="709">
        <v>293.57970833856928</v>
      </c>
      <c r="U12" s="2">
        <v>0</v>
      </c>
      <c r="V12" s="2">
        <v>0</v>
      </c>
      <c r="W12" s="2">
        <v>0</v>
      </c>
      <c r="X12" s="2"/>
      <c r="Z12" s="3">
        <v>2021</v>
      </c>
      <c r="AA12" s="709">
        <v>2853.1440000000011</v>
      </c>
      <c r="AB12" s="709">
        <v>717.66199999999981</v>
      </c>
      <c r="AC12" s="709">
        <v>154.51799999999994</v>
      </c>
      <c r="AD12" s="709">
        <v>1275.7240000000004</v>
      </c>
      <c r="AE12" s="709">
        <v>490.07999999999959</v>
      </c>
      <c r="AF12" s="709">
        <v>215.16199999999992</v>
      </c>
      <c r="AG12" s="709"/>
      <c r="AH12" s="709"/>
      <c r="AI12" s="709">
        <v>287.84000000000009</v>
      </c>
      <c r="AJ12" s="2"/>
      <c r="AL12" s="3">
        <f t="shared" si="1"/>
        <v>2021</v>
      </c>
      <c r="AM12" s="709">
        <v>2482.6765131546908</v>
      </c>
      <c r="AN12" s="709">
        <v>691.0496768795706</v>
      </c>
      <c r="AO12" s="709">
        <v>124.72268580355063</v>
      </c>
      <c r="AP12" s="709">
        <v>1065.8616275521215</v>
      </c>
      <c r="AQ12" s="709">
        <v>298.51995158261752</v>
      </c>
      <c r="AR12" s="709">
        <v>302.52257133683094</v>
      </c>
      <c r="AS12" s="2"/>
      <c r="AT12" s="2"/>
      <c r="AU12" s="2"/>
      <c r="AV12" s="2"/>
      <c r="AX12" s="3">
        <v>2021</v>
      </c>
      <c r="AY12" s="709">
        <v>1619.5675675675684</v>
      </c>
      <c r="AZ12" s="709">
        <v>506.08108108108127</v>
      </c>
      <c r="BA12" s="709">
        <v>74.703882973419752</v>
      </c>
      <c r="BB12" s="709">
        <v>665.72854945901304</v>
      </c>
      <c r="BC12" s="709">
        <v>228.81081081081084</v>
      </c>
      <c r="BD12" s="709">
        <v>143.67567567567562</v>
      </c>
      <c r="BE12" s="709">
        <v>323.67567567567585</v>
      </c>
      <c r="BF12" s="709">
        <v>164.6486486486487</v>
      </c>
      <c r="BG12" s="709">
        <v>181.81081081081084</v>
      </c>
      <c r="BH12" s="709">
        <v>143.48648648648646</v>
      </c>
    </row>
    <row r="13" spans="2:60" ht="14.4" x14ac:dyDescent="0.55000000000000004">
      <c r="B13" s="3">
        <v>2022</v>
      </c>
      <c r="C13" s="709">
        <v>2626.6705640379591</v>
      </c>
      <c r="D13" s="709">
        <v>545.9230211071565</v>
      </c>
      <c r="E13" s="709">
        <v>100.80042410948352</v>
      </c>
      <c r="F13" s="709">
        <v>1201.9952159123341</v>
      </c>
      <c r="G13" s="709">
        <v>569.87740054160861</v>
      </c>
      <c r="H13" s="709">
        <v>208.07450236737674</v>
      </c>
      <c r="I13" s="709">
        <v>636.35023627228554</v>
      </c>
      <c r="J13" s="709">
        <v>462.25400888495125</v>
      </c>
      <c r="K13" s="709">
        <v>148.93323533092274</v>
      </c>
      <c r="L13" s="709">
        <v>172.5499858294572</v>
      </c>
      <c r="N13" s="3">
        <v>2022</v>
      </c>
      <c r="O13" s="709">
        <v>2185.6282448914194</v>
      </c>
      <c r="P13" s="709">
        <v>647.90680020355501</v>
      </c>
      <c r="Q13" s="709">
        <v>137.48647319985602</v>
      </c>
      <c r="R13" s="709">
        <v>795.46617177350731</v>
      </c>
      <c r="S13" s="709">
        <v>300.98002625813092</v>
      </c>
      <c r="T13" s="709">
        <v>303.78877345637005</v>
      </c>
      <c r="U13" s="2">
        <v>0</v>
      </c>
      <c r="V13" s="2">
        <v>0</v>
      </c>
      <c r="W13" s="2">
        <v>0</v>
      </c>
      <c r="X13" s="2"/>
      <c r="Z13" s="3">
        <v>2022</v>
      </c>
      <c r="AA13" s="709">
        <v>2915.2760000000012</v>
      </c>
      <c r="AB13" s="709">
        <v>725.1479999999998</v>
      </c>
      <c r="AC13" s="709">
        <v>157.17199999999994</v>
      </c>
      <c r="AD13" s="709">
        <v>1306.3960000000004</v>
      </c>
      <c r="AE13" s="709">
        <v>503.91999999999956</v>
      </c>
      <c r="AF13" s="709">
        <v>222.64799999999991</v>
      </c>
      <c r="AG13" s="709"/>
      <c r="AH13" s="709"/>
      <c r="AI13" s="709">
        <v>290.96000000000009</v>
      </c>
      <c r="AJ13" s="2"/>
      <c r="AL13" s="3">
        <f t="shared" si="1"/>
        <v>2022</v>
      </c>
      <c r="AM13" s="709">
        <v>2538.0961270540024</v>
      </c>
      <c r="AN13" s="709">
        <v>694.17101526405872</v>
      </c>
      <c r="AO13" s="709">
        <v>127.04715707798537</v>
      </c>
      <c r="AP13" s="709">
        <v>1095.3827631791894</v>
      </c>
      <c r="AQ13" s="709">
        <v>312.69116981501389</v>
      </c>
      <c r="AR13" s="709">
        <v>308.80402171775478</v>
      </c>
      <c r="AS13" s="2"/>
      <c r="AT13" s="2"/>
      <c r="AU13" s="2"/>
      <c r="AV13" s="2"/>
      <c r="AX13" s="3">
        <v>2022</v>
      </c>
      <c r="AY13" s="709">
        <v>1657.5135135135145</v>
      </c>
      <c r="AZ13" s="709">
        <v>511.21621621621642</v>
      </c>
      <c r="BA13" s="709">
        <v>75.54634589741282</v>
      </c>
      <c r="BB13" s="709">
        <v>685.94014058907408</v>
      </c>
      <c r="BC13" s="709">
        <v>238.16216216216219</v>
      </c>
      <c r="BD13" s="709">
        <v>146.13513513513507</v>
      </c>
      <c r="BE13" s="709">
        <v>331.13513513513533</v>
      </c>
      <c r="BF13" s="709">
        <v>171.7297297297298</v>
      </c>
      <c r="BG13" s="709">
        <v>183.16216216216219</v>
      </c>
      <c r="BH13" s="709">
        <v>145.29729729729726</v>
      </c>
    </row>
    <row r="14" spans="2:60" ht="14.4" x14ac:dyDescent="0.55000000000000004">
      <c r="B14" s="3">
        <v>2023</v>
      </c>
      <c r="C14" s="709">
        <v>2677.0943089563343</v>
      </c>
      <c r="D14" s="709">
        <v>549.68237391151752</v>
      </c>
      <c r="E14" s="709">
        <v>101.26378381256443</v>
      </c>
      <c r="F14" s="709">
        <v>1227.472859148204</v>
      </c>
      <c r="G14" s="709">
        <v>588.20821948396247</v>
      </c>
      <c r="H14" s="709">
        <v>210.46707260008574</v>
      </c>
      <c r="I14" s="709">
        <v>646.17081872221831</v>
      </c>
      <c r="J14" s="709">
        <v>473.423728874196</v>
      </c>
      <c r="K14" s="709">
        <v>150.46928095721654</v>
      </c>
      <c r="L14" s="709">
        <v>174.22543320034941</v>
      </c>
      <c r="N14" s="3">
        <v>2023</v>
      </c>
      <c r="O14" s="709">
        <v>2254.3264654798309</v>
      </c>
      <c r="P14" s="709">
        <v>650.31696394102369</v>
      </c>
      <c r="Q14" s="709">
        <v>140.71224555919594</v>
      </c>
      <c r="R14" s="709">
        <v>833.97040520044482</v>
      </c>
      <c r="S14" s="709">
        <v>315.21643753868256</v>
      </c>
      <c r="T14" s="709">
        <v>314.11041324048352</v>
      </c>
      <c r="U14" s="2">
        <v>0</v>
      </c>
      <c r="V14" s="2">
        <v>0</v>
      </c>
      <c r="W14" s="2">
        <v>0</v>
      </c>
      <c r="X14" s="2"/>
      <c r="Z14" s="3">
        <v>2023</v>
      </c>
      <c r="AA14" s="709">
        <v>2977.4080000000013</v>
      </c>
      <c r="AB14" s="709">
        <v>732.63399999999979</v>
      </c>
      <c r="AC14" s="709">
        <v>159.82599999999994</v>
      </c>
      <c r="AD14" s="709">
        <v>1337.0680000000004</v>
      </c>
      <c r="AE14" s="709">
        <v>517.75999999999954</v>
      </c>
      <c r="AF14" s="709">
        <v>230.1339999999999</v>
      </c>
      <c r="AG14" s="709"/>
      <c r="AH14" s="709"/>
      <c r="AI14" s="709">
        <v>294.0800000000001</v>
      </c>
      <c r="AJ14" s="2"/>
      <c r="AL14" s="3">
        <f t="shared" si="1"/>
        <v>2023</v>
      </c>
      <c r="AM14" s="709">
        <v>2592.808605567217</v>
      </c>
      <c r="AN14" s="709">
        <v>697.30509873480696</v>
      </c>
      <c r="AO14" s="709">
        <v>129.21347776167846</v>
      </c>
      <c r="AP14" s="709">
        <v>1124.3334672495189</v>
      </c>
      <c r="AQ14" s="709">
        <v>327.06350010066643</v>
      </c>
      <c r="AR14" s="709">
        <v>314.89306172054654</v>
      </c>
      <c r="AS14" s="2"/>
      <c r="AT14" s="2"/>
      <c r="AU14" s="2"/>
      <c r="AV14" s="2"/>
      <c r="AX14" s="3">
        <v>2023</v>
      </c>
      <c r="AY14" s="709">
        <v>1695.4594594594605</v>
      </c>
      <c r="AZ14" s="709">
        <v>516.35135135135158</v>
      </c>
      <c r="BA14" s="709">
        <v>76.388808821405888</v>
      </c>
      <c r="BB14" s="709">
        <v>706.15173171913511</v>
      </c>
      <c r="BC14" s="709">
        <v>247.51351351351354</v>
      </c>
      <c r="BD14" s="709">
        <v>148.59459459459453</v>
      </c>
      <c r="BE14" s="709">
        <v>338.59459459459481</v>
      </c>
      <c r="BF14" s="709">
        <v>178.81081081081089</v>
      </c>
      <c r="BG14" s="709">
        <v>184.51351351351354</v>
      </c>
      <c r="BH14" s="709">
        <v>147.10810810810807</v>
      </c>
    </row>
    <row r="15" spans="2:60" ht="14.4" x14ac:dyDescent="0.55000000000000004">
      <c r="B15" s="3">
        <v>2024</v>
      </c>
      <c r="C15" s="709">
        <v>2727.7434878871036</v>
      </c>
      <c r="D15" s="709">
        <v>553.39965847830251</v>
      </c>
      <c r="E15" s="709">
        <v>101.69927426193844</v>
      </c>
      <c r="F15" s="709">
        <v>1252.886753190659</v>
      </c>
      <c r="G15" s="709">
        <v>606.93051518797165</v>
      </c>
      <c r="H15" s="709">
        <v>212.8272867682324</v>
      </c>
      <c r="I15" s="709">
        <v>655.78189554995492</v>
      </c>
      <c r="J15" s="709">
        <v>484.64404589495575</v>
      </c>
      <c r="K15" s="709">
        <v>151.99504741860039</v>
      </c>
      <c r="L15" s="709">
        <v>175.89428060429526</v>
      </c>
      <c r="N15" s="3">
        <v>2024</v>
      </c>
      <c r="O15" s="709">
        <v>2324.3879789064722</v>
      </c>
      <c r="P15" s="709">
        <v>652.64945407860341</v>
      </c>
      <c r="Q15" s="709">
        <v>143.92231505858356</v>
      </c>
      <c r="R15" s="709">
        <v>873.32867181372433</v>
      </c>
      <c r="S15" s="709">
        <v>329.94957311031419</v>
      </c>
      <c r="T15" s="709">
        <v>324.53796484524679</v>
      </c>
      <c r="U15" s="2">
        <v>0</v>
      </c>
      <c r="V15" s="2">
        <v>0</v>
      </c>
      <c r="W15" s="2">
        <v>0</v>
      </c>
      <c r="X15" s="2"/>
      <c r="Z15" s="3">
        <v>2024</v>
      </c>
      <c r="AA15" s="709">
        <v>3039.5400000000013</v>
      </c>
      <c r="AB15" s="709">
        <v>740.11999999999978</v>
      </c>
      <c r="AC15" s="709">
        <v>162.47999999999993</v>
      </c>
      <c r="AD15" s="709">
        <v>1367.7400000000005</v>
      </c>
      <c r="AE15" s="709">
        <v>531.59999999999957</v>
      </c>
      <c r="AF15" s="709">
        <v>237.61999999999989</v>
      </c>
      <c r="AG15" s="709"/>
      <c r="AH15" s="709"/>
      <c r="AI15" s="709">
        <v>297.2000000000001</v>
      </c>
      <c r="AJ15" s="2"/>
      <c r="AL15" s="3">
        <f t="shared" si="1"/>
        <v>2024</v>
      </c>
      <c r="AM15" s="709">
        <v>2646.8199823467448</v>
      </c>
      <c r="AN15" s="709">
        <v>700.45844587228885</v>
      </c>
      <c r="AO15" s="709">
        <v>131.22623812618059</v>
      </c>
      <c r="AP15" s="709">
        <v>1152.7170947974053</v>
      </c>
      <c r="AQ15" s="709">
        <v>341.63084175461802</v>
      </c>
      <c r="AR15" s="709">
        <v>320.78736179625207</v>
      </c>
      <c r="AS15" s="2"/>
      <c r="AT15" s="2"/>
      <c r="AU15" s="2"/>
      <c r="AV15" s="2"/>
      <c r="AX15" s="3">
        <v>2024</v>
      </c>
      <c r="AY15" s="709">
        <v>1733.4054054054066</v>
      </c>
      <c r="AZ15" s="709">
        <v>521.48648648648668</v>
      </c>
      <c r="BA15" s="709">
        <v>77.231271745398956</v>
      </c>
      <c r="BB15" s="709">
        <v>726.36332284919615</v>
      </c>
      <c r="BC15" s="709">
        <v>256.8648648648649</v>
      </c>
      <c r="BD15" s="709">
        <v>151.05405405405398</v>
      </c>
      <c r="BE15" s="709">
        <v>346.05405405405429</v>
      </c>
      <c r="BF15" s="709">
        <v>185.89189189189199</v>
      </c>
      <c r="BG15" s="709">
        <v>185.8648648648649</v>
      </c>
      <c r="BH15" s="709">
        <v>148.91891891891888</v>
      </c>
    </row>
    <row r="16" spans="2:60" ht="14.4" x14ac:dyDescent="0.55000000000000004">
      <c r="B16" s="3">
        <v>2025</v>
      </c>
      <c r="C16" s="709">
        <v>2778.629076779855</v>
      </c>
      <c r="D16" s="709">
        <v>557.08051369944155</v>
      </c>
      <c r="E16" s="709">
        <v>102.10804936217879</v>
      </c>
      <c r="F16" s="709">
        <v>1278.2433600800591</v>
      </c>
      <c r="G16" s="709">
        <v>626.04410615821439</v>
      </c>
      <c r="H16" s="709">
        <v>215.1530474799616</v>
      </c>
      <c r="I16" s="709">
        <v>665.2066421597001</v>
      </c>
      <c r="J16" s="709">
        <v>495.90862067329795</v>
      </c>
      <c r="K16" s="709">
        <v>153.51134742044997</v>
      </c>
      <c r="L16" s="709">
        <v>177.55226822494618</v>
      </c>
      <c r="N16" s="3">
        <v>2025</v>
      </c>
      <c r="O16" s="709">
        <v>2395.8232314014331</v>
      </c>
      <c r="P16" s="709">
        <v>654.91137078316251</v>
      </c>
      <c r="Q16" s="709">
        <v>147.11620269945496</v>
      </c>
      <c r="R16" s="709">
        <v>913.54221776552731</v>
      </c>
      <c r="S16" s="709">
        <v>345.18842754449463</v>
      </c>
      <c r="T16" s="709">
        <v>335.0650126087935</v>
      </c>
      <c r="U16" s="2">
        <v>0</v>
      </c>
      <c r="V16" s="2">
        <v>0</v>
      </c>
      <c r="W16" s="2">
        <v>0</v>
      </c>
      <c r="X16" s="2"/>
      <c r="Z16" s="3">
        <v>2025</v>
      </c>
      <c r="AA16" s="709">
        <v>3101.6720000000014</v>
      </c>
      <c r="AB16" s="709">
        <v>747.60599999999977</v>
      </c>
      <c r="AC16" s="709">
        <v>165.13399999999993</v>
      </c>
      <c r="AD16" s="709">
        <v>1398.4120000000005</v>
      </c>
      <c r="AE16" s="709">
        <v>545.4399999999996</v>
      </c>
      <c r="AF16" s="709">
        <v>245.10599999999988</v>
      </c>
      <c r="AG16" s="709"/>
      <c r="AH16" s="709"/>
      <c r="AI16" s="709">
        <v>300.32000000000011</v>
      </c>
      <c r="AJ16" s="2"/>
      <c r="AL16" s="3">
        <f t="shared" si="1"/>
        <v>2025</v>
      </c>
      <c r="AM16" s="709">
        <v>2697.0513841095999</v>
      </c>
      <c r="AN16" s="709">
        <v>702.42397358964251</v>
      </c>
      <c r="AO16" s="709">
        <v>133.89572889365175</v>
      </c>
      <c r="AP16" s="709">
        <v>1183.4101993170696</v>
      </c>
      <c r="AQ16" s="709">
        <v>350.06852622482461</v>
      </c>
      <c r="AR16" s="709">
        <v>327.25295608441138</v>
      </c>
      <c r="AS16" s="2"/>
      <c r="AT16" s="2"/>
      <c r="AU16" s="2"/>
      <c r="AV16" s="2"/>
      <c r="AX16" s="3">
        <v>2025</v>
      </c>
      <c r="AY16" s="709">
        <v>1771.3513513513526</v>
      </c>
      <c r="AZ16" s="709">
        <v>526.62162162162178</v>
      </c>
      <c r="BA16" s="709">
        <v>78.073734669392024</v>
      </c>
      <c r="BB16" s="709">
        <v>746.57491397925719</v>
      </c>
      <c r="BC16" s="709">
        <v>266.21621621621625</v>
      </c>
      <c r="BD16" s="709">
        <v>153.51351351351343</v>
      </c>
      <c r="BE16" s="709">
        <v>353.51351351351377</v>
      </c>
      <c r="BF16" s="709">
        <v>192.97297297297308</v>
      </c>
      <c r="BG16" s="709">
        <v>187.21621621621625</v>
      </c>
      <c r="BH16" s="709">
        <v>150.72972972972968</v>
      </c>
    </row>
    <row r="17" spans="2:60" ht="14.4" x14ac:dyDescent="0.55000000000000004">
      <c r="B17" s="3">
        <v>2026</v>
      </c>
      <c r="C17" s="709">
        <v>2829.7411224639714</v>
      </c>
      <c r="D17" s="709">
        <v>560.72855631895254</v>
      </c>
      <c r="E17" s="709">
        <v>102.49055529508102</v>
      </c>
      <c r="F17" s="709">
        <v>1303.5296866976403</v>
      </c>
      <c r="G17" s="709">
        <v>645.54959391576642</v>
      </c>
      <c r="H17" s="709">
        <v>217.44273023653122</v>
      </c>
      <c r="I17" s="709">
        <v>674.44440116008991</v>
      </c>
      <c r="J17" s="709">
        <v>507.20980721353203</v>
      </c>
      <c r="K17" s="709">
        <v>155.01745132784174</v>
      </c>
      <c r="L17" s="709">
        <v>179.19769465001579</v>
      </c>
      <c r="N17" s="3">
        <v>2026</v>
      </c>
      <c r="O17" s="709">
        <v>2468.6264158978438</v>
      </c>
      <c r="P17" s="709">
        <v>657.10736032428588</v>
      </c>
      <c r="Q17" s="709">
        <v>150.29250990069031</v>
      </c>
      <c r="R17" s="709">
        <v>954.59849760921702</v>
      </c>
      <c r="S17" s="709">
        <v>360.94242759428505</v>
      </c>
      <c r="T17" s="709">
        <v>345.6856204693654</v>
      </c>
      <c r="U17" s="2">
        <v>0</v>
      </c>
      <c r="V17" s="2">
        <v>0</v>
      </c>
      <c r="W17" s="2">
        <v>0</v>
      </c>
      <c r="X17" s="2"/>
      <c r="Z17" s="3">
        <v>2026</v>
      </c>
      <c r="AA17" s="709">
        <v>3163.8040000000015</v>
      </c>
      <c r="AB17" s="709">
        <v>755.09199999999976</v>
      </c>
      <c r="AC17" s="709">
        <v>167.78799999999993</v>
      </c>
      <c r="AD17" s="709">
        <v>1429.0840000000005</v>
      </c>
      <c r="AE17" s="709">
        <v>559.27999999999963</v>
      </c>
      <c r="AF17" s="709">
        <v>252.59199999999987</v>
      </c>
      <c r="AG17" s="709"/>
      <c r="AH17" s="709"/>
      <c r="AI17" s="709">
        <v>303.44000000000011</v>
      </c>
      <c r="AJ17" s="2"/>
      <c r="AL17" s="3">
        <f t="shared" si="1"/>
        <v>2026</v>
      </c>
      <c r="AM17" s="709">
        <v>2740.6560723706311</v>
      </c>
      <c r="AN17" s="709">
        <v>706.83336532360624</v>
      </c>
      <c r="AO17" s="709">
        <v>134.81074299762668</v>
      </c>
      <c r="AP17" s="709">
        <v>1205.3033878408166</v>
      </c>
      <c r="AQ17" s="709">
        <v>361.72068673545971</v>
      </c>
      <c r="AR17" s="709">
        <v>331.98788947312192</v>
      </c>
      <c r="AS17" s="2"/>
      <c r="AT17" s="2"/>
      <c r="AU17" s="2"/>
      <c r="AV17" s="2"/>
      <c r="AX17" s="3">
        <v>2026</v>
      </c>
      <c r="AY17" s="709">
        <v>1809.2972972972987</v>
      </c>
      <c r="AZ17" s="709">
        <v>531.75675675675689</v>
      </c>
      <c r="BA17" s="709">
        <v>78.916197593385093</v>
      </c>
      <c r="BB17" s="709">
        <v>766.78650510931823</v>
      </c>
      <c r="BC17" s="709">
        <v>275.56756756756761</v>
      </c>
      <c r="BD17" s="709">
        <v>155.97297297297288</v>
      </c>
      <c r="BE17" s="709">
        <v>360.97297297297325</v>
      </c>
      <c r="BF17" s="709">
        <v>200.05405405405418</v>
      </c>
      <c r="BG17" s="709">
        <v>188.56756756756761</v>
      </c>
      <c r="BH17" s="709">
        <v>152.54054054054049</v>
      </c>
    </row>
    <row r="18" spans="2:60" ht="14.4" x14ac:dyDescent="0.55000000000000004">
      <c r="B18" s="3">
        <v>2027</v>
      </c>
      <c r="C18" s="709">
        <v>2881.0646742995841</v>
      </c>
      <c r="D18" s="709">
        <v>564.34272853761468</v>
      </c>
      <c r="E18" s="709">
        <v>102.84746076791807</v>
      </c>
      <c r="F18" s="709">
        <v>1328.726763262388</v>
      </c>
      <c r="G18" s="709">
        <v>665.45236364180948</v>
      </c>
      <c r="H18" s="709">
        <v>219.69535808985378</v>
      </c>
      <c r="I18" s="709">
        <v>683.48689227664954</v>
      </c>
      <c r="J18" s="709">
        <v>518.53864196131769</v>
      </c>
      <c r="K18" s="709">
        <v>156.51231637945057</v>
      </c>
      <c r="L18" s="709">
        <v>180.82977702180088</v>
      </c>
      <c r="N18" s="3">
        <v>2027</v>
      </c>
      <c r="O18" s="709">
        <v>2542.7847598748453</v>
      </c>
      <c r="P18" s="709">
        <v>659.23655441492645</v>
      </c>
      <c r="Q18" s="709">
        <v>153.45021580715073</v>
      </c>
      <c r="R18" s="709">
        <v>996.47956729075815</v>
      </c>
      <c r="S18" s="709">
        <v>377.22373034958065</v>
      </c>
      <c r="T18" s="709">
        <v>356.3946920124294</v>
      </c>
      <c r="U18" s="2">
        <v>0</v>
      </c>
      <c r="V18" s="2">
        <v>0</v>
      </c>
      <c r="W18" s="2">
        <v>0</v>
      </c>
      <c r="X18" s="2"/>
      <c r="Z18" s="3">
        <v>2027</v>
      </c>
      <c r="AA18" s="709">
        <v>3225.9360000000015</v>
      </c>
      <c r="AB18" s="709">
        <v>762.57799999999975</v>
      </c>
      <c r="AC18" s="709">
        <v>170.44199999999992</v>
      </c>
      <c r="AD18" s="709">
        <v>1459.7560000000005</v>
      </c>
      <c r="AE18" s="709">
        <v>573.11999999999966</v>
      </c>
      <c r="AF18" s="709">
        <v>260.07799999999986</v>
      </c>
      <c r="AG18" s="709"/>
      <c r="AH18" s="709"/>
      <c r="AI18" s="709">
        <v>306.56000000000012</v>
      </c>
      <c r="AJ18" s="2"/>
      <c r="AL18" s="3">
        <f t="shared" si="1"/>
        <v>2027</v>
      </c>
      <c r="AM18" s="709">
        <v>2792.0695704303453</v>
      </c>
      <c r="AN18" s="709">
        <v>710.04983459013715</v>
      </c>
      <c r="AO18" s="709">
        <v>136.3920779035532</v>
      </c>
      <c r="AP18" s="709">
        <v>1231.8039985565115</v>
      </c>
      <c r="AQ18" s="709">
        <v>376.52806261852828</v>
      </c>
      <c r="AR18" s="709">
        <v>337.29559676161529</v>
      </c>
      <c r="AS18" s="2"/>
      <c r="AT18" s="2"/>
      <c r="AU18" s="2"/>
      <c r="AV18" s="2"/>
      <c r="AX18" s="3">
        <v>2027</v>
      </c>
      <c r="AY18" s="709">
        <v>1847.2432432432447</v>
      </c>
      <c r="AZ18" s="709">
        <v>536.89189189189199</v>
      </c>
      <c r="BA18" s="709">
        <v>79.758660517378161</v>
      </c>
      <c r="BB18" s="709">
        <v>786.99809623937927</v>
      </c>
      <c r="BC18" s="709">
        <v>284.91891891891896</v>
      </c>
      <c r="BD18" s="709">
        <v>158.43243243243234</v>
      </c>
      <c r="BE18" s="709">
        <v>368.43243243243273</v>
      </c>
      <c r="BF18" s="709">
        <v>207.13513513513527</v>
      </c>
      <c r="BG18" s="709">
        <v>189.91891891891896</v>
      </c>
      <c r="BH18" s="709">
        <v>154.3513513513513</v>
      </c>
    </row>
    <row r="19" spans="2:60" ht="14.4" x14ac:dyDescent="0.55000000000000004">
      <c r="B19" s="3">
        <v>2028</v>
      </c>
      <c r="C19" s="709">
        <v>2932.6026410686659</v>
      </c>
      <c r="D19" s="709">
        <v>567.91796781482321</v>
      </c>
      <c r="E19" s="709">
        <v>103.18069485317118</v>
      </c>
      <c r="F19" s="709">
        <v>1353.8303961493241</v>
      </c>
      <c r="G19" s="709">
        <v>685.76325881350522</v>
      </c>
      <c r="H19" s="709">
        <v>221.91032343784238</v>
      </c>
      <c r="I19" s="709">
        <v>692.34355793258146</v>
      </c>
      <c r="J19" s="709">
        <v>529.88593735767051</v>
      </c>
      <c r="K19" s="709">
        <v>157.99629884899267</v>
      </c>
      <c r="L19" s="709">
        <v>182.44633392021822</v>
      </c>
      <c r="N19" s="3">
        <v>2028</v>
      </c>
      <c r="O19" s="709">
        <v>2618.2966162555426</v>
      </c>
      <c r="P19" s="709">
        <v>661.29343736965313</v>
      </c>
      <c r="Q19" s="709">
        <v>156.59028084690476</v>
      </c>
      <c r="R19" s="709">
        <v>1039.1774867457975</v>
      </c>
      <c r="S19" s="709">
        <v>394.04779611137081</v>
      </c>
      <c r="T19" s="709">
        <v>367.18761518181651</v>
      </c>
      <c r="U19" s="2">
        <v>0</v>
      </c>
      <c r="V19" s="2">
        <v>0</v>
      </c>
      <c r="W19" s="2">
        <v>0</v>
      </c>
      <c r="X19" s="2"/>
      <c r="Z19" s="3">
        <v>2028</v>
      </c>
      <c r="AA19" s="709">
        <v>3288.0680000000016</v>
      </c>
      <c r="AB19" s="709">
        <v>770.06399999999974</v>
      </c>
      <c r="AC19" s="709">
        <v>173.09599999999992</v>
      </c>
      <c r="AD19" s="709">
        <v>1490.4280000000006</v>
      </c>
      <c r="AE19" s="709">
        <v>586.9599999999997</v>
      </c>
      <c r="AF19" s="709">
        <v>267.56399999999985</v>
      </c>
      <c r="AG19" s="709"/>
      <c r="AH19" s="709"/>
      <c r="AI19" s="709">
        <v>309.68000000000012</v>
      </c>
      <c r="AJ19" s="2"/>
      <c r="AL19" s="3">
        <f t="shared" si="1"/>
        <v>2028</v>
      </c>
      <c r="AM19" s="709">
        <v>2842.7785177919823</v>
      </c>
      <c r="AN19" s="709">
        <v>713.27296296209602</v>
      </c>
      <c r="AO19" s="709">
        <v>137.84157410179878</v>
      </c>
      <c r="AP19" s="709">
        <v>1257.7244277350524</v>
      </c>
      <c r="AQ19" s="709">
        <v>391.52814598449805</v>
      </c>
      <c r="AR19" s="709">
        <v>342.41140700853708</v>
      </c>
      <c r="AS19" s="2"/>
      <c r="AT19" s="2"/>
      <c r="AU19" s="2"/>
      <c r="AV19" s="2"/>
      <c r="AX19" s="3">
        <v>2028</v>
      </c>
      <c r="AY19" s="709">
        <v>1885.1891891891908</v>
      </c>
      <c r="AZ19" s="709">
        <v>542.02702702702709</v>
      </c>
      <c r="BA19" s="709">
        <v>80.601123441371229</v>
      </c>
      <c r="BB19" s="709">
        <v>807.2096873694403</v>
      </c>
      <c r="BC19" s="709">
        <v>294.27027027027032</v>
      </c>
      <c r="BD19" s="709">
        <v>160.89189189189179</v>
      </c>
      <c r="BE19" s="709">
        <v>375.89189189189221</v>
      </c>
      <c r="BF19" s="709">
        <v>214.21621621621637</v>
      </c>
      <c r="BG19" s="709">
        <v>191.27027027027032</v>
      </c>
      <c r="BH19" s="709">
        <v>156.1621621621621</v>
      </c>
    </row>
    <row r="20" spans="2:60" ht="14.4" x14ac:dyDescent="0.55000000000000004">
      <c r="B20" s="3">
        <v>2029</v>
      </c>
      <c r="C20" s="709">
        <v>2984.3617283302801</v>
      </c>
      <c r="D20" s="709">
        <v>571.44627238248449</v>
      </c>
      <c r="E20" s="709">
        <v>103.49271080034625</v>
      </c>
      <c r="F20" s="709">
        <v>1378.8387143349623</v>
      </c>
      <c r="G20" s="709">
        <v>706.496644776827</v>
      </c>
      <c r="H20" s="709">
        <v>224.08738603565993</v>
      </c>
      <c r="I20" s="709">
        <v>701.0263930782304</v>
      </c>
      <c r="J20" s="709">
        <v>541.24194312132715</v>
      </c>
      <c r="K20" s="709">
        <v>159.47006436788209</v>
      </c>
      <c r="L20" s="709">
        <v>184.04524206311038</v>
      </c>
      <c r="N20" s="3">
        <v>2029</v>
      </c>
      <c r="O20" s="709">
        <v>2695.1624643496639</v>
      </c>
      <c r="P20" s="709">
        <v>663.26915756132655</v>
      </c>
      <c r="Q20" s="709">
        <v>159.71467202723605</v>
      </c>
      <c r="R20" s="709">
        <v>1082.6858438766108</v>
      </c>
      <c r="S20" s="709">
        <v>411.4324720438841</v>
      </c>
      <c r="T20" s="709">
        <v>378.06031884060667</v>
      </c>
      <c r="U20" s="2">
        <v>0</v>
      </c>
      <c r="V20" s="2">
        <v>0</v>
      </c>
      <c r="W20" s="2">
        <v>0</v>
      </c>
      <c r="X20" s="2"/>
      <c r="Z20" s="3">
        <v>2029</v>
      </c>
      <c r="AA20" s="709">
        <v>3350.2000000000016</v>
      </c>
      <c r="AB20" s="709">
        <v>777.54999999999973</v>
      </c>
      <c r="AC20" s="709">
        <v>175.74999999999991</v>
      </c>
      <c r="AD20" s="709">
        <v>1521.1000000000006</v>
      </c>
      <c r="AE20" s="709">
        <v>600.79999999999973</v>
      </c>
      <c r="AF20" s="709">
        <v>275.04999999999984</v>
      </c>
      <c r="AG20" s="709"/>
      <c r="AH20" s="709"/>
      <c r="AI20" s="709">
        <v>312.80000000000013</v>
      </c>
      <c r="AJ20" s="2"/>
      <c r="AL20" s="3">
        <f t="shared" si="1"/>
        <v>2029</v>
      </c>
      <c r="AM20" s="709">
        <v>2892.7975883199579</v>
      </c>
      <c r="AN20" s="709">
        <v>716.48811315974376</v>
      </c>
      <c r="AO20" s="709">
        <v>139.16732599467858</v>
      </c>
      <c r="AP20" s="709">
        <v>1283.074314579834</v>
      </c>
      <c r="AQ20" s="709">
        <v>406.72874626205515</v>
      </c>
      <c r="AR20" s="709">
        <v>347.33908832364591</v>
      </c>
      <c r="AS20" s="2"/>
      <c r="AT20" s="2"/>
      <c r="AU20" s="2"/>
      <c r="AV20" s="2"/>
      <c r="AX20" s="3">
        <v>2029</v>
      </c>
      <c r="AY20" s="709">
        <v>1923.1351351351368</v>
      </c>
      <c r="AZ20" s="709">
        <v>547.16216216216219</v>
      </c>
      <c r="BA20" s="709">
        <v>81.443586365364297</v>
      </c>
      <c r="BB20" s="709">
        <v>827.42127849950134</v>
      </c>
      <c r="BC20" s="709">
        <v>303.62162162162167</v>
      </c>
      <c r="BD20" s="709">
        <v>163.35135135135124</v>
      </c>
      <c r="BE20" s="709">
        <v>383.3513513513517</v>
      </c>
      <c r="BF20" s="709">
        <v>221.29729729729746</v>
      </c>
      <c r="BG20" s="709">
        <v>192.62162162162167</v>
      </c>
      <c r="BH20" s="709">
        <v>157.97297297297291</v>
      </c>
    </row>
    <row r="21" spans="2:60" ht="14.4" x14ac:dyDescent="0.55000000000000004">
      <c r="B21" s="3">
        <v>2030</v>
      </c>
      <c r="C21" s="709">
        <v>3036.3460790870231</v>
      </c>
      <c r="D21" s="709">
        <v>574.92151400908517</v>
      </c>
      <c r="E21" s="709">
        <v>103.78592349790023</v>
      </c>
      <c r="F21" s="709">
        <v>1403.7479735842278</v>
      </c>
      <c r="G21" s="709">
        <v>727.66451308696583</v>
      </c>
      <c r="H21" s="709">
        <v>226.22615490884436</v>
      </c>
      <c r="I21" s="709">
        <v>709.54516903264948</v>
      </c>
      <c r="J21" s="709">
        <v>552.59732084361031</v>
      </c>
      <c r="K21" s="709">
        <v>160.93409365917339</v>
      </c>
      <c r="L21" s="709">
        <v>185.62494666972563</v>
      </c>
      <c r="N21" s="3">
        <v>2030</v>
      </c>
      <c r="O21" s="709">
        <v>2773.3823796479655</v>
      </c>
      <c r="P21" s="709">
        <v>665.1571504103066</v>
      </c>
      <c r="Q21" s="709">
        <v>162.82554752280222</v>
      </c>
      <c r="R21" s="709">
        <v>1126.996590717459</v>
      </c>
      <c r="S21" s="709">
        <v>429.39464951192264</v>
      </c>
      <c r="T21" s="709">
        <v>389.00844148547503</v>
      </c>
      <c r="U21" s="2">
        <v>0</v>
      </c>
      <c r="V21" s="2">
        <v>0</v>
      </c>
      <c r="W21" s="2">
        <v>0</v>
      </c>
      <c r="X21" s="2"/>
      <c r="Z21" s="3">
        <v>2030</v>
      </c>
      <c r="AA21" s="709">
        <v>3412.3320000000017</v>
      </c>
      <c r="AB21" s="709">
        <v>785.03599999999972</v>
      </c>
      <c r="AC21" s="709">
        <v>178.40399999999991</v>
      </c>
      <c r="AD21" s="709">
        <v>1551.7720000000006</v>
      </c>
      <c r="AE21" s="709">
        <v>614.63999999999976</v>
      </c>
      <c r="AF21" s="709">
        <v>282.53599999999983</v>
      </c>
      <c r="AG21" s="709"/>
      <c r="AH21" s="709"/>
      <c r="AI21" s="709">
        <v>315.92000000000013</v>
      </c>
      <c r="AJ21" s="2"/>
      <c r="AL21" s="3">
        <f t="shared" si="1"/>
        <v>2030</v>
      </c>
      <c r="AM21" s="709">
        <v>2946.1929449831373</v>
      </c>
      <c r="AN21" s="709">
        <v>717.85718351238677</v>
      </c>
      <c r="AO21" s="709">
        <v>140.78352471183331</v>
      </c>
      <c r="AP21" s="709">
        <v>1311.7946664500628</v>
      </c>
      <c r="AQ21" s="709">
        <v>423.37901223527342</v>
      </c>
      <c r="AR21" s="709">
        <v>352.37855807358102</v>
      </c>
      <c r="AS21" s="2"/>
      <c r="AT21" s="2"/>
      <c r="AU21" s="2"/>
      <c r="AV21" s="2"/>
      <c r="AX21" s="3">
        <v>2030</v>
      </c>
      <c r="AY21" s="709">
        <v>1961.0810810810829</v>
      </c>
      <c r="AZ21" s="709">
        <v>552.29729729729729</v>
      </c>
      <c r="BA21" s="709">
        <v>82.286049289357365</v>
      </c>
      <c r="BB21" s="709">
        <v>847.63286962956238</v>
      </c>
      <c r="BC21" s="709">
        <v>312.97297297297303</v>
      </c>
      <c r="BD21" s="709">
        <v>165.81081081081069</v>
      </c>
      <c r="BE21" s="709">
        <v>390.81081081081118</v>
      </c>
      <c r="BF21" s="709">
        <v>228.37837837837856</v>
      </c>
      <c r="BG21" s="709">
        <v>193.97297297297303</v>
      </c>
      <c r="BH21" s="709">
        <v>159.78378378378372</v>
      </c>
    </row>
    <row r="22" spans="2:60" ht="14.4" x14ac:dyDescent="0.55000000000000004">
      <c r="B22" s="3">
        <v>2031</v>
      </c>
      <c r="C22" s="709">
        <v>3088.5521510941921</v>
      </c>
      <c r="D22" s="709">
        <v>578.34278469937749</v>
      </c>
      <c r="E22" s="709">
        <v>104.06157230088672</v>
      </c>
      <c r="F22" s="709">
        <v>1428.5513044725662</v>
      </c>
      <c r="G22" s="709">
        <v>749.27064515898405</v>
      </c>
      <c r="H22" s="709">
        <v>228.32584446237749</v>
      </c>
      <c r="I22" s="709">
        <v>717.904491076976</v>
      </c>
      <c r="J22" s="709">
        <v>563.94498685764381</v>
      </c>
      <c r="K22" s="709">
        <v>162.38837605880721</v>
      </c>
      <c r="L22" s="709">
        <v>187.18412852037983</v>
      </c>
      <c r="N22" s="3">
        <v>2031</v>
      </c>
      <c r="O22" s="709">
        <v>2852.9528149851085</v>
      </c>
      <c r="P22" s="709">
        <v>666.95696290715034</v>
      </c>
      <c r="Q22" s="709">
        <v>165.92343857133488</v>
      </c>
      <c r="R22" s="709">
        <v>1172.0988510636862</v>
      </c>
      <c r="S22" s="709">
        <v>447.94668294485155</v>
      </c>
      <c r="T22" s="709">
        <v>400.02687949808546</v>
      </c>
      <c r="U22" s="2">
        <v>0</v>
      </c>
      <c r="V22" s="2">
        <v>0</v>
      </c>
      <c r="W22" s="2">
        <v>0</v>
      </c>
      <c r="X22" s="2"/>
      <c r="Z22" s="3">
        <v>2031</v>
      </c>
      <c r="AA22" s="709">
        <v>3474.4640000000018</v>
      </c>
      <c r="AB22" s="709">
        <v>792.52199999999971</v>
      </c>
      <c r="AC22" s="709">
        <v>181.05799999999991</v>
      </c>
      <c r="AD22" s="709">
        <v>1582.4440000000006</v>
      </c>
      <c r="AE22" s="709">
        <v>628.47999999999979</v>
      </c>
      <c r="AF22" s="709">
        <v>290.02199999999982</v>
      </c>
      <c r="AG22" s="709"/>
      <c r="AH22" s="709"/>
      <c r="AI22" s="709">
        <v>319.04000000000013</v>
      </c>
      <c r="AJ22" s="2"/>
      <c r="AL22" s="3">
        <f t="shared" si="1"/>
        <v>2031</v>
      </c>
      <c r="AM22" s="709">
        <v>2990.8450283776297</v>
      </c>
      <c r="AN22" s="709">
        <v>722.85122811076747</v>
      </c>
      <c r="AO22" s="709">
        <v>141.47962117139656</v>
      </c>
      <c r="AP22" s="709">
        <v>1332.1089934814472</v>
      </c>
      <c r="AQ22" s="709">
        <v>437.75883556632976</v>
      </c>
      <c r="AR22" s="709">
        <v>356.64635004768826</v>
      </c>
      <c r="AS22" s="2"/>
      <c r="AT22" s="2"/>
      <c r="AU22" s="2"/>
      <c r="AV22" s="2"/>
      <c r="AX22" s="3">
        <v>2031</v>
      </c>
      <c r="AY22" s="709">
        <v>1999.0270270270289</v>
      </c>
      <c r="AZ22" s="709">
        <v>557.43243243243239</v>
      </c>
      <c r="BA22" s="709">
        <v>83.128512213350433</v>
      </c>
      <c r="BB22" s="709">
        <v>867.84446075962342</v>
      </c>
      <c r="BC22" s="709">
        <v>322.32432432432438</v>
      </c>
      <c r="BD22" s="709">
        <v>168.27027027027015</v>
      </c>
      <c r="BE22" s="709">
        <v>398.27027027027066</v>
      </c>
      <c r="BF22" s="709">
        <v>235.45945945945965</v>
      </c>
      <c r="BG22" s="709">
        <v>195.32432432432438</v>
      </c>
      <c r="BH22" s="709">
        <v>161.59459459459453</v>
      </c>
    </row>
    <row r="23" spans="2:60" ht="14.4" x14ac:dyDescent="0.55000000000000004">
      <c r="B23" s="3">
        <v>2032</v>
      </c>
      <c r="C23" s="709">
        <v>3137.9304083319485</v>
      </c>
      <c r="D23" s="709">
        <v>581.40124192170242</v>
      </c>
      <c r="E23" s="709">
        <v>104.29733072460931</v>
      </c>
      <c r="F23" s="709">
        <v>1451.2270076375701</v>
      </c>
      <c r="G23" s="709">
        <v>770.73459896994075</v>
      </c>
      <c r="H23" s="709">
        <v>230.27022907812602</v>
      </c>
      <c r="I23" s="709">
        <v>725.10072968302495</v>
      </c>
      <c r="J23" s="709">
        <v>574.48157822205258</v>
      </c>
      <c r="K23" s="709">
        <v>163.70890561082132</v>
      </c>
      <c r="L23" s="709">
        <v>188.62826965540754</v>
      </c>
      <c r="N23" s="3">
        <v>2032</v>
      </c>
      <c r="O23" s="709">
        <v>2931.2292979683743</v>
      </c>
      <c r="P23" s="709">
        <v>668.31418831122494</v>
      </c>
      <c r="Q23" s="709">
        <v>168.97082466252715</v>
      </c>
      <c r="R23" s="709">
        <v>1216.2926085081253</v>
      </c>
      <c r="S23" s="709">
        <v>466.74724548708514</v>
      </c>
      <c r="T23" s="709">
        <v>410.90443099941155</v>
      </c>
      <c r="U23" s="2">
        <v>0</v>
      </c>
      <c r="V23" s="2">
        <v>0</v>
      </c>
      <c r="W23" s="2">
        <v>0</v>
      </c>
      <c r="X23" s="2"/>
      <c r="Z23" s="3">
        <v>2032</v>
      </c>
      <c r="AA23" s="709">
        <v>3536.5960000000018</v>
      </c>
      <c r="AB23" s="709">
        <v>800.0079999999997</v>
      </c>
      <c r="AC23" s="709">
        <v>183.7119999999999</v>
      </c>
      <c r="AD23" s="709">
        <v>1613.1160000000007</v>
      </c>
      <c r="AE23" s="709">
        <v>642.31999999999982</v>
      </c>
      <c r="AF23" s="709">
        <v>297.50799999999981</v>
      </c>
      <c r="AG23" s="709"/>
      <c r="AH23" s="709"/>
      <c r="AI23" s="709">
        <v>322.16000000000014</v>
      </c>
      <c r="AJ23" s="2"/>
      <c r="AL23" s="3">
        <f t="shared" si="1"/>
        <v>2032</v>
      </c>
      <c r="AM23" s="709">
        <v>3036.1005730355682</v>
      </c>
      <c r="AN23" s="709">
        <v>725.60266672672617</v>
      </c>
      <c r="AO23" s="709">
        <v>142.44818369868574</v>
      </c>
      <c r="AP23" s="709">
        <v>1353.9417659518137</v>
      </c>
      <c r="AQ23" s="709">
        <v>453.25438920222382</v>
      </c>
      <c r="AR23" s="709">
        <v>360.85356745611898</v>
      </c>
      <c r="AS23" s="2"/>
      <c r="AT23" s="2"/>
      <c r="AU23" s="2"/>
      <c r="AV23" s="2"/>
      <c r="AX23" s="3">
        <v>2032</v>
      </c>
      <c r="AY23" s="709">
        <v>2036.972972972975</v>
      </c>
      <c r="AZ23" s="709">
        <v>562.56756756756749</v>
      </c>
      <c r="BA23" s="709">
        <v>83.970975137343501</v>
      </c>
      <c r="BB23" s="709">
        <v>888.05605188968445</v>
      </c>
      <c r="BC23" s="709">
        <v>331.67567567567573</v>
      </c>
      <c r="BD23" s="709">
        <v>170.7297297297296</v>
      </c>
      <c r="BE23" s="709">
        <v>405.72972972973014</v>
      </c>
      <c r="BF23" s="709">
        <v>242.54054054054075</v>
      </c>
      <c r="BG23" s="709">
        <v>196.67567567567573</v>
      </c>
      <c r="BH23" s="709">
        <v>163.40540540540533</v>
      </c>
    </row>
    <row r="24" spans="2:60" ht="14.4" x14ac:dyDescent="0.55000000000000004">
      <c r="B24" s="3">
        <v>2033</v>
      </c>
      <c r="C24" s="709">
        <v>3187.4884366674446</v>
      </c>
      <c r="D24" s="709">
        <v>584.4044155198003</v>
      </c>
      <c r="E24" s="709">
        <v>104.5209577126177</v>
      </c>
      <c r="F24" s="709">
        <v>1473.761455628312</v>
      </c>
      <c r="G24" s="709">
        <v>792.62946557942678</v>
      </c>
      <c r="H24" s="709">
        <v>232.17214222728748</v>
      </c>
      <c r="I24" s="709">
        <v>732.14592536484622</v>
      </c>
      <c r="J24" s="709">
        <v>584.98422979252268</v>
      </c>
      <c r="K24" s="709">
        <v>165.02054282511688</v>
      </c>
      <c r="L24" s="709">
        <v>190.05188345342316</v>
      </c>
      <c r="N24" s="3">
        <v>2033</v>
      </c>
      <c r="O24" s="709">
        <v>3010.7362277053089</v>
      </c>
      <c r="P24" s="709">
        <v>669.5852431602375</v>
      </c>
      <c r="Q24" s="709">
        <v>172.01032347775623</v>
      </c>
      <c r="R24" s="709">
        <v>1261.1651467056158</v>
      </c>
      <c r="S24" s="709">
        <v>486.1445288394101</v>
      </c>
      <c r="T24" s="709">
        <v>421.83098552228944</v>
      </c>
      <c r="U24" s="2">
        <v>0</v>
      </c>
      <c r="V24" s="2">
        <v>0</v>
      </c>
      <c r="W24" s="2">
        <v>0</v>
      </c>
      <c r="X24" s="2"/>
      <c r="Z24" s="3">
        <v>2033</v>
      </c>
      <c r="AA24" s="709">
        <v>3598.7280000000019</v>
      </c>
      <c r="AB24" s="709">
        <v>807.49399999999969</v>
      </c>
      <c r="AC24" s="709">
        <v>186.3659999999999</v>
      </c>
      <c r="AD24" s="709">
        <v>1643.7880000000007</v>
      </c>
      <c r="AE24" s="709">
        <v>656.15999999999985</v>
      </c>
      <c r="AF24" s="709">
        <v>304.9939999999998</v>
      </c>
      <c r="AG24" s="709"/>
      <c r="AH24" s="709"/>
      <c r="AI24" s="709">
        <v>325.28000000000014</v>
      </c>
      <c r="AJ24" s="2"/>
      <c r="AL24" s="3">
        <f t="shared" si="1"/>
        <v>2033</v>
      </c>
      <c r="AM24" s="709">
        <v>3080.7329995652221</v>
      </c>
      <c r="AN24" s="709">
        <v>728.31685300324853</v>
      </c>
      <c r="AO24" s="709">
        <v>143.32671985253569</v>
      </c>
      <c r="AP24" s="709">
        <v>1375.2414581338576</v>
      </c>
      <c r="AQ24" s="709">
        <v>468.96155737285454</v>
      </c>
      <c r="AR24" s="709">
        <v>364.88641120272581</v>
      </c>
      <c r="AS24" s="2"/>
      <c r="AT24" s="2"/>
      <c r="AU24" s="2"/>
      <c r="AV24" s="2"/>
      <c r="AX24" s="3">
        <v>2033</v>
      </c>
      <c r="AY24" s="709">
        <v>2074.918918918921</v>
      </c>
      <c r="AZ24" s="709">
        <v>567.7027027027026</v>
      </c>
      <c r="BA24" s="709">
        <v>84.813438061336569</v>
      </c>
      <c r="BB24" s="709">
        <v>908.26764301974549</v>
      </c>
      <c r="BC24" s="709">
        <v>341.02702702702709</v>
      </c>
      <c r="BD24" s="709">
        <v>173.18918918918905</v>
      </c>
      <c r="BE24" s="709">
        <v>413.18918918918962</v>
      </c>
      <c r="BF24" s="709">
        <v>249.62162162162184</v>
      </c>
      <c r="BG24" s="709">
        <v>198.02702702702709</v>
      </c>
      <c r="BH24" s="709">
        <v>165.21621621621614</v>
      </c>
    </row>
    <row r="25" spans="2:60" ht="14.4" x14ac:dyDescent="0.55000000000000004">
      <c r="B25" s="3">
        <v>2034</v>
      </c>
      <c r="C25" s="709">
        <v>3237.2230828404349</v>
      </c>
      <c r="D25" s="709">
        <v>587.35109033037872</v>
      </c>
      <c r="E25" s="709">
        <v>104.73669596166179</v>
      </c>
      <c r="F25" s="709">
        <v>1496.1413797475832</v>
      </c>
      <c r="G25" s="709">
        <v>814.96325118526761</v>
      </c>
      <c r="H25" s="709">
        <v>234.030665615544</v>
      </c>
      <c r="I25" s="709">
        <v>739.04087127117464</v>
      </c>
      <c r="J25" s="709">
        <v>595.44314712952337</v>
      </c>
      <c r="K25" s="709">
        <v>166.32296562944731</v>
      </c>
      <c r="L25" s="709">
        <v>191.45703576281406</v>
      </c>
      <c r="N25" s="3">
        <v>2034</v>
      </c>
      <c r="O25" s="709">
        <v>3091.4690845981409</v>
      </c>
      <c r="P25" s="709">
        <v>670.76935868098178</v>
      </c>
      <c r="Q25" s="709">
        <v>175.04809369802999</v>
      </c>
      <c r="R25" s="709">
        <v>1306.6974050128435</v>
      </c>
      <c r="S25" s="709">
        <v>506.15351626127261</v>
      </c>
      <c r="T25" s="709">
        <v>432.80071094501267</v>
      </c>
      <c r="U25" s="2">
        <v>0</v>
      </c>
      <c r="V25" s="2">
        <v>0</v>
      </c>
      <c r="W25" s="2">
        <v>0</v>
      </c>
      <c r="X25" s="2"/>
      <c r="Z25" s="3">
        <v>2034</v>
      </c>
      <c r="AA25" s="709">
        <v>3660.8600000000019</v>
      </c>
      <c r="AB25" s="709">
        <v>814.97999999999968</v>
      </c>
      <c r="AC25" s="709">
        <v>189.0199999999999</v>
      </c>
      <c r="AD25" s="709">
        <v>1674.4600000000007</v>
      </c>
      <c r="AE25" s="709">
        <v>669.99999999999989</v>
      </c>
      <c r="AF25" s="709">
        <v>312.47999999999979</v>
      </c>
      <c r="AG25" s="709"/>
      <c r="AH25" s="709"/>
      <c r="AI25" s="709">
        <v>328.40000000000015</v>
      </c>
      <c r="AJ25" s="2"/>
      <c r="AL25" s="3">
        <f t="shared" si="1"/>
        <v>2034</v>
      </c>
      <c r="AM25" s="709">
        <v>3124.7817048359166</v>
      </c>
      <c r="AN25" s="709">
        <v>730.98681600425755</v>
      </c>
      <c r="AO25" s="709">
        <v>144.12699148794184</v>
      </c>
      <c r="AP25" s="709">
        <v>1396.0262710549221</v>
      </c>
      <c r="AQ25" s="709">
        <v>484.89128202128057</v>
      </c>
      <c r="AR25" s="709">
        <v>368.75034426751472</v>
      </c>
      <c r="AS25" s="2"/>
      <c r="AT25" s="2"/>
      <c r="AU25" s="2"/>
      <c r="AV25" s="2"/>
      <c r="AX25" s="3">
        <v>2034</v>
      </c>
      <c r="AY25" s="709">
        <v>2112.8648648648668</v>
      </c>
      <c r="AZ25" s="709">
        <v>572.8378378378377</v>
      </c>
      <c r="BA25" s="709">
        <v>85.655900985329637</v>
      </c>
      <c r="BB25" s="709">
        <v>928.47923414980653</v>
      </c>
      <c r="BC25" s="709">
        <v>350.37837837837844</v>
      </c>
      <c r="BD25" s="709">
        <v>175.6486486486485</v>
      </c>
      <c r="BE25" s="709">
        <v>420.6486486486491</v>
      </c>
      <c r="BF25" s="709">
        <v>256.70270270270294</v>
      </c>
      <c r="BG25" s="709">
        <v>199.37837837837844</v>
      </c>
      <c r="BH25" s="709">
        <v>167.02702702702695</v>
      </c>
    </row>
    <row r="26" spans="2:60" ht="14.4" x14ac:dyDescent="0.55000000000000004">
      <c r="B26" s="3">
        <v>2035</v>
      </c>
      <c r="C26" s="709">
        <v>3287.1293424274895</v>
      </c>
      <c r="D26" s="709">
        <v>590.24063677540914</v>
      </c>
      <c r="E26" s="709">
        <v>104.94802165332794</v>
      </c>
      <c r="F26" s="709">
        <v>1518.3545730504015</v>
      </c>
      <c r="G26" s="709">
        <v>837.74109095110794</v>
      </c>
      <c r="H26" s="709">
        <v>235.84501999724253</v>
      </c>
      <c r="I26" s="709">
        <v>745.78549047391311</v>
      </c>
      <c r="J26" s="709">
        <v>605.85015384427561</v>
      </c>
      <c r="K26" s="709">
        <v>167.61586261953559</v>
      </c>
      <c r="L26" s="709">
        <v>192.84541291719438</v>
      </c>
      <c r="N26" s="3">
        <v>2035</v>
      </c>
      <c r="O26" s="709">
        <v>3173.4217630348376</v>
      </c>
      <c r="P26" s="709">
        <v>671.86645080800031</v>
      </c>
      <c r="Q26" s="709">
        <v>178.08942797224816</v>
      </c>
      <c r="R26" s="709">
        <v>1352.8703329772864</v>
      </c>
      <c r="S26" s="709">
        <v>526.78763364693566</v>
      </c>
      <c r="T26" s="709">
        <v>443.80791763036655</v>
      </c>
      <c r="U26" s="2">
        <v>0</v>
      </c>
      <c r="V26" s="2">
        <v>0</v>
      </c>
      <c r="W26" s="2">
        <v>0</v>
      </c>
      <c r="X26" s="2"/>
      <c r="Z26" s="3">
        <v>2035</v>
      </c>
      <c r="AA26" s="709">
        <v>3722.992000000002</v>
      </c>
      <c r="AB26" s="709">
        <v>822.46599999999967</v>
      </c>
      <c r="AC26" s="709">
        <v>191.67399999999989</v>
      </c>
      <c r="AD26" s="709">
        <v>1705.1320000000007</v>
      </c>
      <c r="AE26" s="709">
        <v>683.83999999999992</v>
      </c>
      <c r="AF26" s="709">
        <v>319.96599999999978</v>
      </c>
      <c r="AG26" s="709"/>
      <c r="AH26" s="709"/>
      <c r="AI26" s="709">
        <v>331.52000000000015</v>
      </c>
      <c r="AJ26" s="2"/>
      <c r="AL26" s="3">
        <f t="shared" si="1"/>
        <v>2035</v>
      </c>
      <c r="AM26" s="709">
        <v>3168.6563383823504</v>
      </c>
      <c r="AN26" s="709">
        <v>734.91327434340235</v>
      </c>
      <c r="AO26" s="709">
        <v>144.57191689354096</v>
      </c>
      <c r="AP26" s="709">
        <v>1416.8446882860253</v>
      </c>
      <c r="AQ26" s="709">
        <v>499.92791160981898</v>
      </c>
      <c r="AR26" s="709">
        <v>372.39854724956302</v>
      </c>
      <c r="AS26" s="2"/>
      <c r="AT26" s="2"/>
      <c r="AU26" s="2"/>
      <c r="AV26" s="2"/>
      <c r="AX26" s="3">
        <v>2035</v>
      </c>
      <c r="AY26" s="709">
        <v>2150.8108108108127</v>
      </c>
      <c r="AZ26" s="709">
        <v>577.9729729729728</v>
      </c>
      <c r="BA26" s="709">
        <v>86.498363909322705</v>
      </c>
      <c r="BB26" s="709">
        <v>948.69082527986757</v>
      </c>
      <c r="BC26" s="709">
        <v>359.7297297297298</v>
      </c>
      <c r="BD26" s="709">
        <v>178.10810810810796</v>
      </c>
      <c r="BE26" s="709">
        <v>428.10810810810858</v>
      </c>
      <c r="BF26" s="709">
        <v>263.78378378378403</v>
      </c>
      <c r="BG26" s="709">
        <v>200.7297297297298</v>
      </c>
      <c r="BH26" s="709">
        <v>168.83783783783775</v>
      </c>
    </row>
    <row r="27" spans="2:60" ht="14.4" x14ac:dyDescent="0.55000000000000004">
      <c r="B27" s="3">
        <v>2036</v>
      </c>
      <c r="C27" s="709">
        <v>3337.2007897353892</v>
      </c>
      <c r="D27" s="709">
        <v>593.07268890717944</v>
      </c>
      <c r="E27" s="709">
        <v>105.1567032075571</v>
      </c>
      <c r="F27" s="709">
        <v>1540.3912409449911</v>
      </c>
      <c r="G27" s="709">
        <v>860.96559371872127</v>
      </c>
      <c r="H27" s="709">
        <v>237.61456295694006</v>
      </c>
      <c r="I27" s="709">
        <v>752.38163931462225</v>
      </c>
      <c r="J27" s="709">
        <v>616.197809198134</v>
      </c>
      <c r="K27" s="709">
        <v>168.89895198725651</v>
      </c>
      <c r="L27" s="709">
        <v>194.21786958698198</v>
      </c>
      <c r="N27" s="3">
        <v>2036</v>
      </c>
      <c r="O27" s="709">
        <v>3256.5859230763363</v>
      </c>
      <c r="P27" s="709">
        <v>672.87674397894307</v>
      </c>
      <c r="Q27" s="709">
        <v>181.13703341112267</v>
      </c>
      <c r="R27" s="709">
        <v>1399.6662111585717</v>
      </c>
      <c r="S27" s="709">
        <v>548.05885779190237</v>
      </c>
      <c r="T27" s="709">
        <v>454.84707673579601</v>
      </c>
      <c r="U27" s="2">
        <v>0</v>
      </c>
      <c r="V27" s="2">
        <v>0</v>
      </c>
      <c r="W27" s="2">
        <v>0</v>
      </c>
      <c r="X27" s="2"/>
      <c r="Z27" s="3">
        <v>2036</v>
      </c>
      <c r="AA27" s="709">
        <v>3785.1240000000021</v>
      </c>
      <c r="AB27" s="709">
        <v>829.95199999999966</v>
      </c>
      <c r="AC27" s="709">
        <v>194.32799999999989</v>
      </c>
      <c r="AD27" s="709">
        <v>1735.8040000000008</v>
      </c>
      <c r="AE27" s="709">
        <v>697.68</v>
      </c>
      <c r="AF27" s="709">
        <v>327.45199999999977</v>
      </c>
      <c r="AG27" s="709"/>
      <c r="AH27" s="709"/>
      <c r="AI27" s="709">
        <v>334.64000000000016</v>
      </c>
      <c r="AJ27" s="2"/>
      <c r="AL27" s="3">
        <f t="shared" si="1"/>
        <v>2036</v>
      </c>
      <c r="AM27" s="709">
        <v>3211.3073020777806</v>
      </c>
      <c r="AN27" s="709">
        <v>736.16871544381502</v>
      </c>
      <c r="AO27" s="709">
        <v>145.53402610057523</v>
      </c>
      <c r="AP27" s="709">
        <v>1436.1464290922665</v>
      </c>
      <c r="AQ27" s="709">
        <v>517.46143804552003</v>
      </c>
      <c r="AR27" s="709">
        <v>375.99669339560387</v>
      </c>
      <c r="AS27" s="2"/>
      <c r="AT27" s="2"/>
      <c r="AU27" s="2"/>
      <c r="AV27" s="2"/>
      <c r="AX27" s="3">
        <v>2036</v>
      </c>
      <c r="AY27" s="709">
        <v>2188.7567567567585</v>
      </c>
      <c r="AZ27" s="709">
        <v>583.1081081081079</v>
      </c>
      <c r="BA27" s="709">
        <v>87.340826833315774</v>
      </c>
      <c r="BB27" s="709">
        <v>968.90241640992861</v>
      </c>
      <c r="BC27" s="709">
        <v>369.08108108108115</v>
      </c>
      <c r="BD27" s="709">
        <v>180.56756756756741</v>
      </c>
      <c r="BE27" s="709">
        <v>435.56756756756806</v>
      </c>
      <c r="BF27" s="709">
        <v>270.86486486486513</v>
      </c>
      <c r="BG27" s="709">
        <v>202.08108108108115</v>
      </c>
      <c r="BH27" s="709">
        <v>170.64864864864856</v>
      </c>
    </row>
    <row r="28" spans="2:60" ht="14.4" x14ac:dyDescent="0.55000000000000004">
      <c r="B28" s="3">
        <v>2037</v>
      </c>
      <c r="C28" s="709">
        <v>3387.4280983534882</v>
      </c>
      <c r="D28" s="709">
        <v>595.84803543121325</v>
      </c>
      <c r="E28" s="709">
        <v>105.36356972676829</v>
      </c>
      <c r="F28" s="709">
        <v>1562.2437227858125</v>
      </c>
      <c r="G28" s="709">
        <v>884.63385450202782</v>
      </c>
      <c r="H28" s="709">
        <v>239.33891590766618</v>
      </c>
      <c r="I28" s="709">
        <v>758.82854425087123</v>
      </c>
      <c r="J28" s="709">
        <v>626.48252375696029</v>
      </c>
      <c r="K28" s="709">
        <v>170.17201329398776</v>
      </c>
      <c r="L28" s="709">
        <v>195.57450571225476</v>
      </c>
      <c r="N28" s="3">
        <v>2037</v>
      </c>
      <c r="O28" s="709">
        <v>3340.9513193086896</v>
      </c>
      <c r="P28" s="709">
        <v>673.80177380894736</v>
      </c>
      <c r="Q28" s="709">
        <v>184.19215623550571</v>
      </c>
      <c r="R28" s="709">
        <v>1447.0686059260793</v>
      </c>
      <c r="S28" s="709">
        <v>569.97569370456722</v>
      </c>
      <c r="T28" s="709">
        <v>465.91308963359018</v>
      </c>
      <c r="U28" s="2">
        <v>0</v>
      </c>
      <c r="V28" s="2">
        <v>0</v>
      </c>
      <c r="W28" s="2">
        <v>0</v>
      </c>
      <c r="X28" s="2"/>
      <c r="Z28" s="3">
        <v>2037</v>
      </c>
      <c r="AA28" s="709">
        <v>3847.2560000000021</v>
      </c>
      <c r="AB28" s="709">
        <v>837.43799999999965</v>
      </c>
      <c r="AC28" s="709">
        <v>196.98199999999989</v>
      </c>
      <c r="AD28" s="709">
        <v>1766.4760000000008</v>
      </c>
      <c r="AE28" s="709">
        <v>711.52</v>
      </c>
      <c r="AF28" s="709">
        <v>334.93799999999976</v>
      </c>
      <c r="AG28" s="709"/>
      <c r="AH28" s="709"/>
      <c r="AI28" s="709">
        <v>337.76000000000016</v>
      </c>
      <c r="AJ28" s="2"/>
      <c r="AL28" s="3">
        <f t="shared" si="1"/>
        <v>2037</v>
      </c>
      <c r="AM28" s="709">
        <v>3253.8844575884582</v>
      </c>
      <c r="AN28" s="709">
        <v>738.66954786819213</v>
      </c>
      <c r="AO28" s="709">
        <v>146.1568727069662</v>
      </c>
      <c r="AP28" s="709">
        <v>1455.5427105359022</v>
      </c>
      <c r="AQ28" s="709">
        <v>534.1217751233828</v>
      </c>
      <c r="AR28" s="709">
        <v>379.39355135401496</v>
      </c>
      <c r="AS28" s="2"/>
      <c r="AT28" s="2"/>
      <c r="AU28" s="2"/>
      <c r="AV28" s="2"/>
      <c r="AX28" s="3">
        <v>2037</v>
      </c>
      <c r="AY28" s="709">
        <v>2226.7027027027043</v>
      </c>
      <c r="AZ28" s="709">
        <v>588.243243243243</v>
      </c>
      <c r="BA28" s="709">
        <v>88.183289757308842</v>
      </c>
      <c r="BB28" s="709">
        <v>989.11400753998964</v>
      </c>
      <c r="BC28" s="709">
        <v>378.43243243243251</v>
      </c>
      <c r="BD28" s="709">
        <v>183.02702702702686</v>
      </c>
      <c r="BE28" s="709">
        <v>443.02702702702754</v>
      </c>
      <c r="BF28" s="709">
        <v>277.94594594594622</v>
      </c>
      <c r="BG28" s="709">
        <v>203.43243243243251</v>
      </c>
      <c r="BH28" s="709">
        <v>172.45945945945937</v>
      </c>
    </row>
    <row r="29" spans="2:60" ht="14.4" x14ac:dyDescent="0.55000000000000004">
      <c r="B29" s="3">
        <v>2038</v>
      </c>
      <c r="C29" s="709">
        <v>3437.7986652472755</v>
      </c>
      <c r="D29" s="709">
        <v>598.56888431478228</v>
      </c>
      <c r="E29" s="709">
        <v>105.56988528429302</v>
      </c>
      <c r="F29" s="709">
        <v>1583.9042154775987</v>
      </c>
      <c r="G29" s="709">
        <v>908.73774942500552</v>
      </c>
      <c r="H29" s="709">
        <v>241.01793074559603</v>
      </c>
      <c r="I29" s="709">
        <v>765.11938980754519</v>
      </c>
      <c r="J29" s="709">
        <v>636.70511623050754</v>
      </c>
      <c r="K29" s="709">
        <v>171.43482277624256</v>
      </c>
      <c r="L29" s="709">
        <v>196.91550147860929</v>
      </c>
      <c r="N29" s="3">
        <v>2038</v>
      </c>
      <c r="O29" s="709">
        <v>3426.5063899637489</v>
      </c>
      <c r="P29" s="709">
        <v>674.6446637834199</v>
      </c>
      <c r="Q29" s="709">
        <v>187.25689915207795</v>
      </c>
      <c r="R29" s="709">
        <v>1495.0604088839659</v>
      </c>
      <c r="S29" s="709">
        <v>592.54315342866789</v>
      </c>
      <c r="T29" s="709">
        <v>477.00126471561737</v>
      </c>
      <c r="U29" s="2">
        <v>0</v>
      </c>
      <c r="V29" s="2">
        <v>0</v>
      </c>
      <c r="W29" s="2">
        <v>0</v>
      </c>
      <c r="X29" s="2"/>
      <c r="Z29" s="3">
        <v>2038</v>
      </c>
      <c r="AA29" s="709">
        <v>3909.3880000000022</v>
      </c>
      <c r="AB29" s="709">
        <v>844.92399999999964</v>
      </c>
      <c r="AC29" s="709">
        <v>199.63599999999988</v>
      </c>
      <c r="AD29" s="709">
        <v>1797.1480000000008</v>
      </c>
      <c r="AE29" s="709">
        <v>725.36</v>
      </c>
      <c r="AF29" s="709">
        <v>342.42399999999975</v>
      </c>
      <c r="AG29" s="709"/>
      <c r="AH29" s="709"/>
      <c r="AI29" s="709">
        <v>340.88000000000017</v>
      </c>
      <c r="AJ29" s="2"/>
      <c r="AL29" s="3">
        <f t="shared" si="1"/>
        <v>2038</v>
      </c>
      <c r="AM29" s="709">
        <v>3296.0788634214973</v>
      </c>
      <c r="AN29" s="709">
        <v>741.10538222765774</v>
      </c>
      <c r="AO29" s="709">
        <v>146.73652617575218</v>
      </c>
      <c r="AP29" s="709">
        <v>1474.5435141803939</v>
      </c>
      <c r="AQ29" s="709">
        <v>551.04293966971829</v>
      </c>
      <c r="AR29" s="709">
        <v>382.65050116797516</v>
      </c>
      <c r="AS29" s="2"/>
      <c r="AT29" s="2"/>
      <c r="AU29" s="2"/>
      <c r="AV29" s="2"/>
      <c r="AX29" s="3">
        <v>2038</v>
      </c>
      <c r="AY29" s="709">
        <v>2264.6486486486501</v>
      </c>
      <c r="AZ29" s="709">
        <v>593.3783783783781</v>
      </c>
      <c r="BA29" s="709">
        <v>89.02575268130191</v>
      </c>
      <c r="BB29" s="709">
        <v>1009.3255986700507</v>
      </c>
      <c r="BC29" s="709">
        <v>387.78378378378386</v>
      </c>
      <c r="BD29" s="709">
        <v>185.48648648648631</v>
      </c>
      <c r="BE29" s="709">
        <v>450.48648648648702</v>
      </c>
      <c r="BF29" s="709">
        <v>285.02702702702732</v>
      </c>
      <c r="BG29" s="709">
        <v>204.78378378378386</v>
      </c>
      <c r="BH29" s="709">
        <v>174.27027027027017</v>
      </c>
    </row>
    <row r="30" spans="2:60" ht="14.4" x14ac:dyDescent="0.55000000000000004">
      <c r="B30" s="3">
        <v>2039</v>
      </c>
      <c r="C30" s="709">
        <v>3488.2972901554922</v>
      </c>
      <c r="D30" s="709">
        <v>601.23834967353139</v>
      </c>
      <c r="E30" s="709">
        <v>105.77657272520278</v>
      </c>
      <c r="F30" s="709">
        <v>1605.3656240099144</v>
      </c>
      <c r="G30" s="709">
        <v>933.26511414921856</v>
      </c>
      <c r="H30" s="709">
        <v>242.6516295976252</v>
      </c>
      <c r="I30" s="709">
        <v>771.24431023956868</v>
      </c>
      <c r="J30" s="709">
        <v>646.86933265560322</v>
      </c>
      <c r="K30" s="709">
        <v>172.68716102177777</v>
      </c>
      <c r="L30" s="709">
        <v>198.24085183675069</v>
      </c>
      <c r="N30" s="3">
        <v>2039</v>
      </c>
      <c r="O30" s="709">
        <v>3513.2376099481321</v>
      </c>
      <c r="P30" s="709">
        <v>675.40952236076214</v>
      </c>
      <c r="Q30" s="709">
        <v>190.33288037825307</v>
      </c>
      <c r="R30" s="709">
        <v>1543.6246421361654</v>
      </c>
      <c r="S30" s="709">
        <v>615.76333149123934</v>
      </c>
      <c r="T30" s="709">
        <v>488.10723358171197</v>
      </c>
      <c r="U30" s="2">
        <v>0</v>
      </c>
      <c r="V30" s="2">
        <v>0</v>
      </c>
      <c r="W30" s="2">
        <v>0</v>
      </c>
      <c r="X30" s="2"/>
      <c r="Z30" s="3">
        <v>2039</v>
      </c>
      <c r="AA30" s="709">
        <v>3971.5200000000023</v>
      </c>
      <c r="AB30" s="709">
        <v>852.40999999999963</v>
      </c>
      <c r="AC30" s="709">
        <v>202.28999999999988</v>
      </c>
      <c r="AD30" s="709">
        <v>1827.8200000000008</v>
      </c>
      <c r="AE30" s="709">
        <v>739.2</v>
      </c>
      <c r="AF30" s="709">
        <v>349.90999999999974</v>
      </c>
      <c r="AG30" s="709"/>
      <c r="AH30" s="709"/>
      <c r="AI30" s="709">
        <v>344.00000000000017</v>
      </c>
      <c r="AJ30" s="2"/>
      <c r="AL30" s="3">
        <f t="shared" si="1"/>
        <v>2039</v>
      </c>
      <c r="AM30" s="709">
        <v>3337.9516624658163</v>
      </c>
      <c r="AN30" s="709">
        <v>743.47391388667688</v>
      </c>
      <c r="AO30" s="709">
        <v>147.28068913401398</v>
      </c>
      <c r="AP30" s="709">
        <v>1493.1886063550071</v>
      </c>
      <c r="AQ30" s="709">
        <v>568.23182318433999</v>
      </c>
      <c r="AR30" s="709">
        <v>385.77662990577835</v>
      </c>
      <c r="AS30" s="2"/>
      <c r="AT30" s="2"/>
      <c r="AU30" s="2"/>
      <c r="AV30" s="2"/>
      <c r="AX30" s="3">
        <v>2039</v>
      </c>
      <c r="AY30" s="709">
        <v>2302.5945945945959</v>
      </c>
      <c r="AZ30" s="709">
        <v>598.5135135135132</v>
      </c>
      <c r="BA30" s="709">
        <v>89.868215605294978</v>
      </c>
      <c r="BB30" s="709">
        <v>1029.5371898001117</v>
      </c>
      <c r="BC30" s="709">
        <v>397.13513513513522</v>
      </c>
      <c r="BD30" s="709">
        <v>187.94594594594577</v>
      </c>
      <c r="BE30" s="709">
        <v>457.94594594594651</v>
      </c>
      <c r="BF30" s="709">
        <v>292.10810810810841</v>
      </c>
      <c r="BG30" s="709">
        <v>206.13513513513522</v>
      </c>
      <c r="BH30" s="709">
        <v>176.08108108108098</v>
      </c>
    </row>
    <row r="31" spans="2:60" ht="14.4" x14ac:dyDescent="0.55000000000000004">
      <c r="B31" s="3">
        <v>2040</v>
      </c>
      <c r="C31" s="709">
        <v>3538.9081814341116</v>
      </c>
      <c r="D31" s="709">
        <v>603.85923818776575</v>
      </c>
      <c r="E31" s="709">
        <v>105.98420315966061</v>
      </c>
      <c r="F31" s="709">
        <v>1626.6200119038158</v>
      </c>
      <c r="G31" s="709">
        <v>958.20477110058187</v>
      </c>
      <c r="H31" s="709">
        <v>244.23995708228702</v>
      </c>
      <c r="I31" s="709">
        <v>777.19472999350626</v>
      </c>
      <c r="J31" s="709">
        <v>656.97732453139042</v>
      </c>
      <c r="K31" s="709">
        <v>173.92871383507457</v>
      </c>
      <c r="L31" s="709">
        <v>199.55099600214376</v>
      </c>
      <c r="N31" s="3">
        <v>2040</v>
      </c>
      <c r="O31" s="709">
        <v>3601.129318096228</v>
      </c>
      <c r="P31" s="709">
        <v>676.10006729611825</v>
      </c>
      <c r="Q31" s="709">
        <v>193.42117076638061</v>
      </c>
      <c r="R31" s="709">
        <v>1592.7430034315896</v>
      </c>
      <c r="S31" s="709">
        <v>639.63860432594493</v>
      </c>
      <c r="T31" s="709">
        <v>499.22647227619461</v>
      </c>
      <c r="U31" s="2">
        <v>0</v>
      </c>
      <c r="V31" s="2">
        <v>0</v>
      </c>
      <c r="W31" s="2">
        <v>0</v>
      </c>
      <c r="X31" s="2"/>
      <c r="Z31" s="3">
        <v>2040</v>
      </c>
      <c r="AA31" s="709">
        <v>4033.6520000000023</v>
      </c>
      <c r="AB31" s="709">
        <v>859.89599999999962</v>
      </c>
      <c r="AC31" s="709">
        <v>204.94399999999987</v>
      </c>
      <c r="AD31" s="709">
        <v>1858.4920000000009</v>
      </c>
      <c r="AE31" s="709">
        <v>753.04000000000008</v>
      </c>
      <c r="AF31" s="709">
        <v>357.39599999999973</v>
      </c>
      <c r="AG31" s="709"/>
      <c r="AH31" s="709"/>
      <c r="AI31" s="709">
        <v>347.12000000000018</v>
      </c>
      <c r="AJ31" s="2"/>
      <c r="AL31" s="3">
        <f t="shared" si="1"/>
        <v>2040</v>
      </c>
      <c r="AM31" s="709">
        <v>3369.0887879842435</v>
      </c>
      <c r="AN31" s="709">
        <v>745.51159458121913</v>
      </c>
      <c r="AO31" s="709">
        <v>147.27581308147904</v>
      </c>
      <c r="AP31" s="709">
        <v>1505.9921505358254</v>
      </c>
      <c r="AQ31" s="709">
        <v>582.41942709911052</v>
      </c>
      <c r="AR31" s="709">
        <v>387.88980268660896</v>
      </c>
      <c r="AS31" s="2"/>
      <c r="AT31" s="2"/>
      <c r="AU31" s="2"/>
      <c r="AV31" s="2"/>
      <c r="AX31" s="3">
        <v>2040</v>
      </c>
      <c r="AY31" s="709">
        <v>2340.5405405405418</v>
      </c>
      <c r="AZ31" s="709">
        <v>603.6486486486483</v>
      </c>
      <c r="BA31" s="709">
        <v>90.710678529288046</v>
      </c>
      <c r="BB31" s="709">
        <v>1049.7487809301726</v>
      </c>
      <c r="BC31" s="709">
        <v>406.48648648648657</v>
      </c>
      <c r="BD31" s="709">
        <v>190.40540540540522</v>
      </c>
      <c r="BE31" s="709">
        <v>465.40540540540599</v>
      </c>
      <c r="BF31" s="709">
        <v>299.18918918918951</v>
      </c>
      <c r="BG31" s="709">
        <v>207.48648648648657</v>
      </c>
      <c r="BH31" s="709">
        <v>177.89189189189179</v>
      </c>
    </row>
    <row r="32" spans="2:60" ht="14.4" x14ac:dyDescent="0.55000000000000004">
      <c r="B32" s="3">
        <v>2041</v>
      </c>
      <c r="C32" s="709">
        <v>3589.6193598194022</v>
      </c>
      <c r="D32" s="709">
        <v>606.43254242883302</v>
      </c>
      <c r="E32" s="709">
        <v>106.19356896965566</v>
      </c>
      <c r="F32" s="709">
        <v>1647.6595125306669</v>
      </c>
      <c r="G32" s="709">
        <v>983.55103447401905</v>
      </c>
      <c r="H32" s="709">
        <v>245.7827014162275</v>
      </c>
      <c r="I32" s="709">
        <v>782.96683794662204</v>
      </c>
      <c r="J32" s="709">
        <v>667.02729996848223</v>
      </c>
      <c r="K32" s="709">
        <v>175.1592234016548</v>
      </c>
      <c r="L32" s="709">
        <v>200.84642749172821</v>
      </c>
      <c r="N32" s="3">
        <v>2041</v>
      </c>
      <c r="O32" s="709">
        <v>3690.166795165524</v>
      </c>
      <c r="P32" s="709">
        <v>676.71795008149991</v>
      </c>
      <c r="Q32" s="709">
        <v>196.52330917130047</v>
      </c>
      <c r="R32" s="709">
        <v>1642.3967003860703</v>
      </c>
      <c r="S32" s="709">
        <v>664.17471063038022</v>
      </c>
      <c r="T32" s="709">
        <v>510.35412489627328</v>
      </c>
      <c r="U32" s="2">
        <v>0</v>
      </c>
      <c r="V32" s="2">
        <v>0</v>
      </c>
      <c r="W32" s="2">
        <v>0</v>
      </c>
      <c r="X32" s="2"/>
      <c r="Z32" s="3">
        <v>2041</v>
      </c>
      <c r="AA32" s="709">
        <v>4095.7840000000024</v>
      </c>
      <c r="AB32" s="709">
        <v>867.38199999999961</v>
      </c>
      <c r="AC32" s="709">
        <v>207.59799999999987</v>
      </c>
      <c r="AD32" s="709">
        <v>1889.1640000000009</v>
      </c>
      <c r="AE32" s="709">
        <v>766.88000000000011</v>
      </c>
      <c r="AF32" s="709">
        <v>364.88199999999972</v>
      </c>
      <c r="AG32" s="709"/>
      <c r="AH32" s="709"/>
      <c r="AI32" s="709">
        <v>350.24000000000018</v>
      </c>
      <c r="AJ32" s="2"/>
      <c r="AL32" s="3">
        <f t="shared" si="1"/>
        <v>2041</v>
      </c>
      <c r="AM32" s="709">
        <v>3420.9991778965214</v>
      </c>
      <c r="AN32" s="709">
        <v>747.99540328884825</v>
      </c>
      <c r="AO32" s="709">
        <v>148.29200140159796</v>
      </c>
      <c r="AP32" s="709">
        <v>1529.5826486353606</v>
      </c>
      <c r="AQ32" s="709">
        <v>603.45523641603427</v>
      </c>
      <c r="AR32" s="709">
        <v>391.67388815467962</v>
      </c>
      <c r="AS32" s="2"/>
      <c r="AT32" s="2"/>
      <c r="AU32" s="2"/>
      <c r="AV32" s="2"/>
      <c r="AX32" s="3">
        <v>2041</v>
      </c>
      <c r="AY32" s="709">
        <v>2378.4864864864876</v>
      </c>
      <c r="AZ32" s="709">
        <v>608.78378378378341</v>
      </c>
      <c r="BA32" s="709">
        <v>91.553141453281114</v>
      </c>
      <c r="BB32" s="709">
        <v>1069.9603720602336</v>
      </c>
      <c r="BC32" s="709">
        <v>415.83783783783792</v>
      </c>
      <c r="BD32" s="709">
        <v>192.86486486486467</v>
      </c>
      <c r="BE32" s="709">
        <v>472.86486486486547</v>
      </c>
      <c r="BF32" s="709">
        <v>306.2702702702706</v>
      </c>
      <c r="BG32" s="709">
        <v>208.83783783783792</v>
      </c>
      <c r="BH32" s="709">
        <v>179.7027027027026</v>
      </c>
    </row>
    <row r="33" spans="2:60" ht="14.4" x14ac:dyDescent="0.55000000000000004">
      <c r="B33" s="3">
        <v>2042</v>
      </c>
      <c r="C33" s="709">
        <v>3636.5866957961161</v>
      </c>
      <c r="D33" s="709">
        <v>608.67985512701216</v>
      </c>
      <c r="E33" s="709">
        <v>106.32549962473598</v>
      </c>
      <c r="F33" s="709">
        <v>1665.9712224770883</v>
      </c>
      <c r="G33" s="709">
        <v>1008.4395577494223</v>
      </c>
      <c r="H33" s="709">
        <v>247.17056081785731</v>
      </c>
      <c r="I33" s="709">
        <v>787.37565420450005</v>
      </c>
      <c r="J33" s="709">
        <v>675.99918624737825</v>
      </c>
      <c r="K33" s="709">
        <v>176.2279747365566</v>
      </c>
      <c r="L33" s="709">
        <v>202.03973398880501</v>
      </c>
      <c r="N33" s="3">
        <v>2042</v>
      </c>
      <c r="O33" s="709">
        <v>3776.5161096747238</v>
      </c>
      <c r="P33" s="709">
        <v>676.95406791579876</v>
      </c>
      <c r="Q33" s="709">
        <v>199.4908869713577</v>
      </c>
      <c r="R33" s="709">
        <v>1690.0251802755033</v>
      </c>
      <c r="S33" s="709">
        <v>688.79072514284917</v>
      </c>
      <c r="T33" s="709">
        <v>521.25524936921465</v>
      </c>
      <c r="U33" s="2">
        <v>0</v>
      </c>
      <c r="V33" s="2">
        <v>0</v>
      </c>
      <c r="W33" s="2">
        <v>0</v>
      </c>
      <c r="X33" s="2"/>
      <c r="Z33" s="3">
        <v>2042</v>
      </c>
      <c r="AA33" s="709">
        <v>4157.916000000002</v>
      </c>
      <c r="AB33" s="709">
        <v>874.8679999999996</v>
      </c>
      <c r="AC33" s="709">
        <v>210.25199999999987</v>
      </c>
      <c r="AD33" s="709">
        <v>1919.8360000000009</v>
      </c>
      <c r="AE33" s="709">
        <v>780.72000000000014</v>
      </c>
      <c r="AF33" s="709">
        <v>372.36799999999971</v>
      </c>
      <c r="AG33" s="709"/>
      <c r="AH33" s="709"/>
      <c r="AI33" s="709">
        <v>353.36000000000018</v>
      </c>
      <c r="AJ33" s="2"/>
      <c r="AL33" s="3">
        <f t="shared" si="1"/>
        <v>2042</v>
      </c>
      <c r="AM33" s="709">
        <v>3458.8400597978816</v>
      </c>
      <c r="AN33" s="709">
        <v>749.79368295356608</v>
      </c>
      <c r="AO33" s="709">
        <v>148.6626810381845</v>
      </c>
      <c r="AP33" s="709">
        <v>1545.1012088385505</v>
      </c>
      <c r="AQ33" s="709">
        <v>620.9922677625807</v>
      </c>
      <c r="AR33" s="709">
        <v>394.29021920499969</v>
      </c>
      <c r="AS33" s="2"/>
      <c r="AT33" s="2"/>
      <c r="AU33" s="2"/>
      <c r="AV33" s="2"/>
      <c r="AX33" s="3">
        <v>2042</v>
      </c>
      <c r="AY33" s="709">
        <v>2416.4324324324334</v>
      </c>
      <c r="AZ33" s="709">
        <v>613.91891891891851</v>
      </c>
      <c r="BA33" s="709">
        <v>92.395604377274182</v>
      </c>
      <c r="BB33" s="709">
        <v>1090.1719631902945</v>
      </c>
      <c r="BC33" s="709">
        <v>425.18918918918928</v>
      </c>
      <c r="BD33" s="709">
        <v>195.32432432432412</v>
      </c>
      <c r="BE33" s="709">
        <v>480.32432432432495</v>
      </c>
      <c r="BF33" s="709">
        <v>313.3513513513517</v>
      </c>
      <c r="BG33" s="709">
        <v>210.18918918918928</v>
      </c>
      <c r="BH33" s="709">
        <v>181.5135135135134</v>
      </c>
    </row>
    <row r="34" spans="2:60" ht="14.4" x14ac:dyDescent="0.55000000000000004">
      <c r="B34" s="3">
        <v>2043</v>
      </c>
      <c r="C34" s="709">
        <v>3683.5828856065023</v>
      </c>
      <c r="D34" s="709">
        <v>610.88350788141065</v>
      </c>
      <c r="E34" s="709">
        <v>106.45819214425346</v>
      </c>
      <c r="F34" s="709">
        <v>1684.0372210000171</v>
      </c>
      <c r="G34" s="709">
        <v>1033.6926760496237</v>
      </c>
      <c r="H34" s="709">
        <v>248.51128853119798</v>
      </c>
      <c r="I34" s="709">
        <v>791.60793782489498</v>
      </c>
      <c r="J34" s="709">
        <v>684.89716039800305</v>
      </c>
      <c r="K34" s="709">
        <v>177.28523770557518</v>
      </c>
      <c r="L34" s="709">
        <v>203.22221372573122</v>
      </c>
      <c r="N34" s="3">
        <v>2043</v>
      </c>
      <c r="O34" s="709">
        <v>3863.8270850746271</v>
      </c>
      <c r="P34" s="709">
        <v>677.12501709493176</v>
      </c>
      <c r="Q34" s="709">
        <v>202.46667227013677</v>
      </c>
      <c r="R34" s="709">
        <v>1738.0458314878499</v>
      </c>
      <c r="S34" s="709">
        <v>714.04405838023661</v>
      </c>
      <c r="T34" s="709">
        <v>532.14550584147207</v>
      </c>
      <c r="U34" s="2">
        <v>0</v>
      </c>
      <c r="V34" s="2">
        <v>0</v>
      </c>
      <c r="W34" s="2">
        <v>0</v>
      </c>
      <c r="X34" s="2"/>
      <c r="Z34" s="3">
        <v>2043</v>
      </c>
      <c r="AA34" s="709">
        <v>4220.0480000000016</v>
      </c>
      <c r="AB34" s="709">
        <v>882.35399999999959</v>
      </c>
      <c r="AC34" s="709">
        <v>212.90599999999986</v>
      </c>
      <c r="AD34" s="709">
        <v>1950.5080000000009</v>
      </c>
      <c r="AE34" s="709">
        <v>794.56000000000017</v>
      </c>
      <c r="AF34" s="709">
        <v>379.8539999999997</v>
      </c>
      <c r="AG34" s="709"/>
      <c r="AH34" s="709"/>
      <c r="AI34" s="709">
        <v>356.48000000000019</v>
      </c>
      <c r="AJ34" s="2"/>
      <c r="AL34" s="3">
        <f t="shared" si="1"/>
        <v>2043</v>
      </c>
      <c r="AM34" s="709">
        <v>3496.6194084398057</v>
      </c>
      <c r="AN34" s="709">
        <v>751.50921173644122</v>
      </c>
      <c r="AO34" s="709">
        <v>149.02438250815572</v>
      </c>
      <c r="AP34" s="709">
        <v>1560.4398843255683</v>
      </c>
      <c r="AQ34" s="709">
        <v>638.83367903698525</v>
      </c>
      <c r="AR34" s="709">
        <v>396.81225083265497</v>
      </c>
      <c r="AS34" s="2"/>
      <c r="AT34" s="2"/>
      <c r="AU34" s="2"/>
      <c r="AV34" s="2"/>
      <c r="AX34" s="3">
        <v>2043</v>
      </c>
      <c r="AY34" s="709">
        <v>2454.3783783783792</v>
      </c>
      <c r="AZ34" s="709">
        <v>619.05405405405361</v>
      </c>
      <c r="BA34" s="709">
        <v>93.23806730126725</v>
      </c>
      <c r="BB34" s="709">
        <v>1110.3835543203554</v>
      </c>
      <c r="BC34" s="709">
        <v>434.54054054054063</v>
      </c>
      <c r="BD34" s="709">
        <v>197.78378378378358</v>
      </c>
      <c r="BE34" s="709">
        <v>487.78378378378443</v>
      </c>
      <c r="BF34" s="709">
        <v>320.43243243243279</v>
      </c>
      <c r="BG34" s="709">
        <v>211.54054054054063</v>
      </c>
      <c r="BH34" s="709">
        <v>183.32432432432421</v>
      </c>
    </row>
    <row r="35" spans="2:60" ht="14.4" x14ac:dyDescent="0.55000000000000004">
      <c r="B35" s="3">
        <v>2044</v>
      </c>
      <c r="C35" s="709">
        <v>3730.5835728635643</v>
      </c>
      <c r="D35" s="709">
        <v>613.04737380083236</v>
      </c>
      <c r="E35" s="709">
        <v>106.58946510371005</v>
      </c>
      <c r="F35" s="709">
        <v>1701.8436477727005</v>
      </c>
      <c r="G35" s="709">
        <v>1059.2985566857872</v>
      </c>
      <c r="H35" s="709">
        <v>249.8045295005347</v>
      </c>
      <c r="I35" s="709">
        <v>795.65839740837737</v>
      </c>
      <c r="J35" s="709">
        <v>693.71720707620136</v>
      </c>
      <c r="K35" s="709">
        <v>178.32989182210946</v>
      </c>
      <c r="L35" s="709">
        <v>204.39763589295583</v>
      </c>
      <c r="N35" s="3">
        <v>2044</v>
      </c>
      <c r="O35" s="709">
        <v>3952.0676415556154</v>
      </c>
      <c r="P35" s="709">
        <v>677.23556508631827</v>
      </c>
      <c r="Q35" s="709">
        <v>205.44651901086146</v>
      </c>
      <c r="R35" s="709">
        <v>1786.4311072608548</v>
      </c>
      <c r="S35" s="709">
        <v>739.93491518108476</v>
      </c>
      <c r="T35" s="709">
        <v>543.01953501649575</v>
      </c>
      <c r="U35" s="2">
        <v>0</v>
      </c>
      <c r="V35" s="2">
        <v>0</v>
      </c>
      <c r="W35" s="2">
        <v>0</v>
      </c>
      <c r="X35" s="2"/>
      <c r="Z35" s="3">
        <v>2044</v>
      </c>
      <c r="AA35" s="709">
        <v>4282.1800000000012</v>
      </c>
      <c r="AB35" s="709">
        <v>889.83999999999958</v>
      </c>
      <c r="AC35" s="709">
        <v>215.55999999999986</v>
      </c>
      <c r="AD35" s="709">
        <v>1981.180000000001</v>
      </c>
      <c r="AE35" s="709">
        <v>808.4000000000002</v>
      </c>
      <c r="AF35" s="709">
        <v>387.33999999999969</v>
      </c>
      <c r="AG35" s="709"/>
      <c r="AH35" s="709"/>
      <c r="AI35" s="709">
        <v>359.60000000000019</v>
      </c>
      <c r="AJ35" s="2"/>
      <c r="AL35" s="3">
        <f t="shared" si="1"/>
        <v>2044</v>
      </c>
      <c r="AM35" s="709">
        <v>3534.4134931625713</v>
      </c>
      <c r="AN35" s="709">
        <v>753.14003148147185</v>
      </c>
      <c r="AO35" s="709">
        <v>149.38074341907657</v>
      </c>
      <c r="AP35" s="709">
        <v>1575.6459817712016</v>
      </c>
      <c r="AQ35" s="709">
        <v>656.99658767717381</v>
      </c>
      <c r="AR35" s="709">
        <v>399.25014881364723</v>
      </c>
      <c r="AS35" s="2"/>
      <c r="AT35" s="2"/>
      <c r="AU35" s="2"/>
      <c r="AV35" s="2"/>
      <c r="AX35" s="3">
        <v>2044</v>
      </c>
      <c r="AY35" s="709">
        <v>2492.3243243243251</v>
      </c>
      <c r="AZ35" s="709">
        <v>624.18918918918871</v>
      </c>
      <c r="BA35" s="709">
        <v>94.080530225260318</v>
      </c>
      <c r="BB35" s="709">
        <v>1130.5951454504163</v>
      </c>
      <c r="BC35" s="709">
        <v>443.89189189189199</v>
      </c>
      <c r="BD35" s="709">
        <v>200.24324324324303</v>
      </c>
      <c r="BE35" s="709">
        <v>495.24324324324391</v>
      </c>
      <c r="BF35" s="709">
        <v>327.51351351351389</v>
      </c>
      <c r="BG35" s="709">
        <v>212.89189189189199</v>
      </c>
      <c r="BH35" s="709">
        <v>185.13513513513502</v>
      </c>
    </row>
    <row r="36" spans="2:60" ht="14.4" x14ac:dyDescent="0.55000000000000004">
      <c r="B36" s="3">
        <v>2045</v>
      </c>
      <c r="C36" s="709">
        <v>3777.5665635388659</v>
      </c>
      <c r="D36" s="709">
        <v>615.17452387699575</v>
      </c>
      <c r="E36" s="709">
        <v>106.71744278072782</v>
      </c>
      <c r="F36" s="709">
        <v>1719.3784853315371</v>
      </c>
      <c r="G36" s="709">
        <v>1085.2460804977227</v>
      </c>
      <c r="H36" s="709">
        <v>251.05003105188297</v>
      </c>
      <c r="I36" s="709">
        <v>799.52230437975606</v>
      </c>
      <c r="J36" s="709">
        <v>702.45589188904023</v>
      </c>
      <c r="K36" s="709">
        <v>179.3609878176394</v>
      </c>
      <c r="L36" s="709">
        <v>205.56903701605069</v>
      </c>
      <c r="N36" s="3">
        <v>2045</v>
      </c>
      <c r="O36" s="709">
        <v>4041.2064385327394</v>
      </c>
      <c r="P36" s="709">
        <v>677.28953843001557</v>
      </c>
      <c r="Q36" s="709">
        <v>208.42665469411449</v>
      </c>
      <c r="R36" s="709">
        <v>1835.1544502167546</v>
      </c>
      <c r="S36" s="709">
        <v>766.46363779561159</v>
      </c>
      <c r="T36" s="709">
        <v>553.87215739624298</v>
      </c>
      <c r="U36" s="2">
        <v>0</v>
      </c>
      <c r="V36" s="2">
        <v>0</v>
      </c>
      <c r="W36" s="2">
        <v>0</v>
      </c>
      <c r="X36" s="2"/>
      <c r="Z36" s="3">
        <v>2045</v>
      </c>
      <c r="AA36" s="709">
        <v>4344.3120000000008</v>
      </c>
      <c r="AB36" s="709">
        <v>897.32599999999957</v>
      </c>
      <c r="AC36" s="709">
        <v>218.21399999999986</v>
      </c>
      <c r="AD36" s="709">
        <v>2011.852000000001</v>
      </c>
      <c r="AE36" s="709">
        <v>822.24000000000024</v>
      </c>
      <c r="AF36" s="709">
        <v>394.82599999999968</v>
      </c>
      <c r="AG36" s="709"/>
      <c r="AH36" s="709"/>
      <c r="AI36" s="709">
        <v>362.7200000000002</v>
      </c>
      <c r="AJ36" s="2"/>
      <c r="AL36" s="3">
        <f t="shared" si="1"/>
        <v>2045</v>
      </c>
      <c r="AM36" s="709">
        <v>3572.6159297953818</v>
      </c>
      <c r="AN36" s="709">
        <v>756.24247649470078</v>
      </c>
      <c r="AO36" s="709">
        <v>149.58005204806545</v>
      </c>
      <c r="AP36" s="709">
        <v>1587.9680125296024</v>
      </c>
      <c r="AQ36" s="709">
        <v>677.0561467614674</v>
      </c>
      <c r="AR36" s="709">
        <v>401.76924196154545</v>
      </c>
      <c r="AS36" s="2"/>
      <c r="AT36" s="2"/>
      <c r="AU36" s="2"/>
      <c r="AV36" s="2"/>
      <c r="AX36" s="3">
        <v>2045</v>
      </c>
      <c r="AY36" s="709">
        <v>2530.2702702702709</v>
      </c>
      <c r="AZ36" s="709">
        <v>629.32432432432381</v>
      </c>
      <c r="BA36" s="709">
        <v>94.922993149253386</v>
      </c>
      <c r="BB36" s="709">
        <v>1150.8067365804773</v>
      </c>
      <c r="BC36" s="709">
        <v>453.24324324324334</v>
      </c>
      <c r="BD36" s="709">
        <v>202.70270270270248</v>
      </c>
      <c r="BE36" s="709">
        <v>502.70270270270339</v>
      </c>
      <c r="BF36" s="709">
        <v>334.59459459459498</v>
      </c>
      <c r="BG36" s="709">
        <v>214.24324324324334</v>
      </c>
      <c r="BH36" s="709">
        <v>186.94594594594582</v>
      </c>
    </row>
    <row r="38" spans="2:60" ht="409" customHeight="1" x14ac:dyDescent="0.4">
      <c r="B38" s="655" t="s">
        <v>6</v>
      </c>
      <c r="C38" s="655"/>
      <c r="D38" s="655"/>
      <c r="E38" s="655"/>
      <c r="F38" s="655"/>
      <c r="G38" s="655"/>
      <c r="H38" s="655"/>
      <c r="I38" s="655"/>
      <c r="J38" s="655"/>
      <c r="K38" s="655"/>
      <c r="L38" s="655"/>
      <c r="N38" s="655" t="s">
        <v>7</v>
      </c>
      <c r="O38" s="655"/>
      <c r="P38" s="655"/>
      <c r="Q38" s="655"/>
      <c r="R38" s="655"/>
      <c r="S38" s="655"/>
      <c r="T38" s="655"/>
      <c r="U38" s="655"/>
      <c r="V38" s="655"/>
      <c r="W38" s="655"/>
      <c r="X38" s="655"/>
      <c r="Z38" s="655" t="s">
        <v>8</v>
      </c>
      <c r="AA38" s="655"/>
      <c r="AB38" s="655"/>
      <c r="AC38" s="655"/>
      <c r="AD38" s="655"/>
      <c r="AE38" s="655"/>
      <c r="AF38" s="655"/>
      <c r="AG38" s="655"/>
      <c r="AH38" s="655"/>
      <c r="AI38" s="655"/>
      <c r="AJ38" s="655"/>
      <c r="AX38" s="655" t="s">
        <v>9</v>
      </c>
      <c r="AY38" s="655"/>
      <c r="AZ38" s="655"/>
      <c r="BA38" s="655"/>
      <c r="BB38" s="655"/>
      <c r="BC38" s="655"/>
      <c r="BD38" s="655"/>
      <c r="BE38" s="655"/>
      <c r="BF38" s="655"/>
      <c r="BG38" s="655"/>
      <c r="BH38" s="655"/>
    </row>
    <row r="39" spans="2:60" x14ac:dyDescent="0.4">
      <c r="B39" s="655"/>
      <c r="C39" s="655"/>
      <c r="D39" s="655"/>
      <c r="E39" s="655"/>
      <c r="F39" s="655"/>
      <c r="G39" s="655"/>
      <c r="H39" s="655"/>
      <c r="I39" s="655"/>
      <c r="J39" s="655"/>
      <c r="K39" s="655"/>
      <c r="L39" s="655"/>
      <c r="N39" s="655"/>
      <c r="O39" s="655"/>
      <c r="P39" s="655"/>
      <c r="Q39" s="655"/>
      <c r="R39" s="655"/>
      <c r="S39" s="655"/>
      <c r="T39" s="655"/>
      <c r="U39" s="655"/>
      <c r="V39" s="655"/>
      <c r="W39" s="655"/>
      <c r="X39" s="655"/>
      <c r="Z39" s="655"/>
      <c r="AA39" s="655"/>
      <c r="AB39" s="655"/>
      <c r="AC39" s="655"/>
      <c r="AD39" s="655"/>
      <c r="AE39" s="655"/>
      <c r="AF39" s="655"/>
      <c r="AG39" s="655"/>
      <c r="AH39" s="655"/>
      <c r="AI39" s="655"/>
      <c r="AJ39" s="655"/>
      <c r="AX39" s="655"/>
      <c r="AY39" s="655"/>
      <c r="AZ39" s="655"/>
      <c r="BA39" s="655"/>
      <c r="BB39" s="655"/>
      <c r="BC39" s="655"/>
      <c r="BD39" s="655"/>
      <c r="BE39" s="655"/>
      <c r="BF39" s="655"/>
      <c r="BG39" s="655"/>
      <c r="BH39" s="655"/>
    </row>
    <row r="40" spans="2:60" x14ac:dyDescent="0.4">
      <c r="B40" s="655"/>
      <c r="C40" s="655"/>
      <c r="D40" s="655"/>
      <c r="E40" s="655"/>
      <c r="F40" s="655"/>
      <c r="G40" s="655"/>
      <c r="H40" s="655"/>
      <c r="I40" s="655"/>
      <c r="J40" s="655"/>
      <c r="K40" s="655"/>
      <c r="L40" s="655"/>
      <c r="N40" s="655"/>
      <c r="O40" s="655"/>
      <c r="P40" s="655"/>
      <c r="Q40" s="655"/>
      <c r="R40" s="655"/>
      <c r="S40" s="655"/>
      <c r="T40" s="655"/>
      <c r="U40" s="655"/>
      <c r="V40" s="655"/>
      <c r="W40" s="655"/>
      <c r="X40" s="655"/>
      <c r="Z40" s="655"/>
      <c r="AA40" s="655"/>
      <c r="AB40" s="655"/>
      <c r="AC40" s="655"/>
      <c r="AD40" s="655"/>
      <c r="AE40" s="655"/>
      <c r="AF40" s="655"/>
      <c r="AG40" s="655"/>
      <c r="AH40" s="655"/>
      <c r="AI40" s="655"/>
      <c r="AJ40" s="655"/>
      <c r="AX40" s="655"/>
      <c r="AY40" s="655"/>
      <c r="AZ40" s="655"/>
      <c r="BA40" s="655"/>
      <c r="BB40" s="655"/>
      <c r="BC40" s="655"/>
      <c r="BD40" s="655"/>
      <c r="BE40" s="655"/>
      <c r="BF40" s="655"/>
      <c r="BG40" s="655"/>
      <c r="BH40" s="655"/>
    </row>
    <row r="41" spans="2:60" x14ac:dyDescent="0.4">
      <c r="Z41" t="s">
        <v>10</v>
      </c>
    </row>
  </sheetData>
  <pageMargins left="0.7" right="0.7" top="0.75" bottom="0.75" header="0.3" footer="0.3"/>
  <cellWatches>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Z174"/>
    <cellWatch r="AZ175"/>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Y183"/>
    <cellWatch r="AY184"/>
    <cellWatch r="AY18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AZ242"/>
    <cellWatch r="AZ243"/>
    <cellWatch r="AZ244"/>
    <cellWatch r="AZ245"/>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BB172"/>
    <cellWatch r="BB173"/>
    <cellWatch r="BB174"/>
    <cellWatch r="BB175"/>
    <cellWatch r="AZ176"/>
    <cellWatch r="AZ177"/>
    <cellWatch r="AY186"/>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AZ322"/>
    <cellWatch r="AZ323"/>
    <cellWatch r="AZ324"/>
    <cellWatch r="AZ325"/>
    <cellWatch r="AZ246"/>
    <cellWatch r="AZ247"/>
    <cellWatch r="AZ248"/>
    <cellWatch r="AZ249"/>
    <cellWatch r="AZ250"/>
    <cellWatch r="AZ251"/>
    <cellWatch r="AZ178"/>
    <cellWatch r="AZ179"/>
    <cellWatch r="AZ180"/>
    <cellWatch r="AZ181"/>
    <cellWatch r="AY143"/>
    <cellWatch r="AY144"/>
    <cellWatch r="AY145"/>
    <cellWatch r="AY146"/>
    <cellWatch r="AY147"/>
    <cellWatch r="AY148"/>
    <cellWatch r="AY149"/>
    <cellWatch r="AY150"/>
    <cellWatch r="AZ182"/>
    <cellWatch r="AZ212"/>
    <cellWatch r="AZ213"/>
    <cellWatch r="AZ214"/>
    <cellWatch r="AZ215"/>
    <cellWatch r="AZ137"/>
    <cellWatch r="AZ138"/>
    <cellWatch r="AZ139"/>
    <cellWatch r="AZ140"/>
    <cellWatch r="AY135"/>
    <cellWatch r="AY136"/>
    <cellWatch r="AY137"/>
    <cellWatch r="AY138"/>
    <cellWatch r="AY139"/>
    <cellWatch r="AY140"/>
    <cellWatch r="AY141"/>
    <cellWatch r="AY142"/>
    <cellWatch r="BB137"/>
    <cellWatch r="BB138"/>
    <cellWatch r="BB139"/>
    <cellWatch r="BB140"/>
    <cellWatch r="AZ296"/>
    <cellWatch r="AZ297"/>
    <cellWatch r="AZ298"/>
    <cellWatch r="AZ299"/>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Y187"/>
    <cellWatch r="BA172"/>
    <cellWatch r="AY188"/>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AZ183"/>
    <cellWatch r="AZ184"/>
    <cellWatch r="AZ185"/>
    <cellWatch r="AZ186"/>
    <cellWatch r="BB176"/>
    <cellWatch r="AY189"/>
    <cellWatch r="AY190"/>
    <cellWatch r="AY191"/>
    <cellWatch r="AZ326"/>
    <cellWatch r="BB177"/>
    <cellWatch r="AY192"/>
    <cellWatch r="AY330"/>
    <cellWatch r="AY331"/>
    <cellWatch r="AY332"/>
    <cellWatch r="AY333"/>
    <cellWatch r="BA181"/>
    <cellWatch r="BA182"/>
    <cellWatch r="BA183"/>
    <cellWatch r="BA184"/>
    <cellWatch r="AY255"/>
    <cellWatch r="AY256"/>
    <cellWatch r="AY257"/>
    <cellWatch r="AY258"/>
    <cellWatch r="AX196"/>
    <cellWatch r="AX197"/>
    <cellWatch r="AX198"/>
    <cellWatch r="AX199"/>
    <cellWatch r="BA216"/>
    <cellWatch r="BA217"/>
    <cellWatch r="BA218"/>
    <cellWatch r="BA219"/>
    <cellWatch r="BA220"/>
    <cellWatch r="BA221"/>
    <cellWatch r="BA222"/>
    <cellWatch r="BA223"/>
    <cellWatch r="BA224"/>
    <cellWatch r="BA225"/>
    <cellWatch r="BA226"/>
    <cellWatch r="BA227"/>
    <cellWatch r="BA228"/>
    <cellWatch r="BA229"/>
    <cellWatch r="BA230"/>
    <cellWatch r="BA231"/>
    <cellWatch r="BA232"/>
    <cellWatch r="BA233"/>
    <cellWatch r="BA234"/>
    <cellWatch r="BA235"/>
    <cellWatch r="BA236"/>
    <cellWatch r="BA237"/>
    <cellWatch r="BA238"/>
    <cellWatch r="BA239"/>
    <cellWatch r="BA240"/>
    <cellWatch r="BA241"/>
    <cellWatch r="BA242"/>
    <cellWatch r="BA243"/>
    <cellWatch r="BA244"/>
    <cellWatch r="BA245"/>
    <cellWatch r="BC141"/>
    <cellWatch r="BC142"/>
    <cellWatch r="BC143"/>
    <cellWatch r="BC144"/>
    <cellWatch r="BC145"/>
    <cellWatch r="BC146"/>
    <cellWatch r="BC147"/>
    <cellWatch r="BC148"/>
    <cellWatch r="BC149"/>
    <cellWatch r="BC150"/>
    <cellWatch r="BC151"/>
    <cellWatch r="BC152"/>
    <cellWatch r="BC153"/>
    <cellWatch r="BC154"/>
    <cellWatch r="BC155"/>
    <cellWatch r="BC156"/>
    <cellWatch r="BC157"/>
    <cellWatch r="BC158"/>
    <cellWatch r="BC159"/>
    <cellWatch r="BC160"/>
    <cellWatch r="BC161"/>
    <cellWatch r="BC162"/>
    <cellWatch r="BC163"/>
    <cellWatch r="BC164"/>
    <cellWatch r="BC165"/>
    <cellWatch r="BC166"/>
    <cellWatch r="BC167"/>
    <cellWatch r="BC168"/>
    <cellWatch r="BC169"/>
    <cellWatch r="BC170"/>
    <cellWatch r="BC171"/>
    <cellWatch r="BC172"/>
    <cellWatch r="BC173"/>
    <cellWatch r="BC174"/>
    <cellWatch r="BC175"/>
    <cellWatch r="AZ187"/>
    <cellWatch r="AZ188"/>
    <cellWatch r="AZ189"/>
    <cellWatch r="AZ190"/>
    <cellWatch r="AZ191"/>
    <cellWatch r="AZ123"/>
    <cellWatch r="AZ124"/>
    <cellWatch r="AZ125"/>
    <cellWatch r="AZ126"/>
    <cellWatch r="AZ127"/>
    <cellWatch r="AZ128"/>
    <cellWatch r="AZ129"/>
    <cellWatch r="AZ130"/>
    <cellWatch r="AZ131"/>
    <cellWatch r="AZ132"/>
    <cellWatch r="AZ133"/>
    <cellWatch r="AZ134"/>
    <cellWatch r="AZ135"/>
    <cellWatch r="AZ136"/>
    <cellWatch r="AY132"/>
    <cellWatch r="AY133"/>
    <cellWatch r="AY134"/>
    <cellWatch r="AZ121"/>
    <cellWatch r="AZ122"/>
    <cellWatch r="AZ196"/>
    <cellWatch r="AZ197"/>
    <cellWatch r="AZ198"/>
    <cellWatch r="AZ199"/>
    <cellWatch r="AZ200"/>
    <cellWatch r="AZ201"/>
    <cellWatch r="AZ202"/>
    <cellWatch r="AZ203"/>
    <cellWatch r="AZ204"/>
    <cellWatch r="AZ205"/>
    <cellWatch r="AZ206"/>
    <cellWatch r="AZ207"/>
    <cellWatch r="AZ208"/>
    <cellWatch r="AZ209"/>
    <cellWatch r="AZ210"/>
    <cellWatch r="AZ211"/>
    <cellWatch r="BA121"/>
    <cellWatch r="BA122"/>
    <cellWatch r="BA123"/>
    <cellWatch r="BA124"/>
    <cellWatch r="BA125"/>
    <cellWatch r="BA126"/>
    <cellWatch r="BA127"/>
    <cellWatch r="BA128"/>
    <cellWatch r="BA129"/>
    <cellWatch r="BA130"/>
    <cellWatch r="BA131"/>
    <cellWatch r="BA132"/>
    <cellWatch r="BA133"/>
    <cellWatch r="BA134"/>
    <cellWatch r="BA135"/>
    <cellWatch r="BA136"/>
    <cellWatch r="AY123"/>
    <cellWatch r="AY124"/>
    <cellWatch r="AY125"/>
    <cellWatch r="AY126"/>
    <cellWatch r="AY127"/>
    <cellWatch r="AY128"/>
    <cellWatch r="AY129"/>
    <cellWatch r="AY130"/>
    <cellWatch r="AY131"/>
    <cellWatch r="AZ280"/>
    <cellWatch r="AZ281"/>
    <cellWatch r="AZ282"/>
    <cellWatch r="AZ283"/>
    <cellWatch r="AZ284"/>
    <cellWatch r="AZ285"/>
    <cellWatch r="AZ286"/>
    <cellWatch r="AZ287"/>
    <cellWatch r="AZ288"/>
    <cellWatch r="AZ289"/>
    <cellWatch r="AZ290"/>
    <cellWatch r="AZ291"/>
    <cellWatch r="AZ292"/>
    <cellWatch r="AZ293"/>
    <cellWatch r="AZ294"/>
    <cellWatch r="AZ295"/>
    <cellWatch r="BB121"/>
    <cellWatch r="BB122"/>
    <cellWatch r="BB123"/>
    <cellWatch r="BB124"/>
    <cellWatch r="BB125"/>
    <cellWatch r="BB126"/>
    <cellWatch r="BB127"/>
    <cellWatch r="BB128"/>
    <cellWatch r="BB129"/>
    <cellWatch r="BB130"/>
    <cellWatch r="BB131"/>
    <cellWatch r="BB132"/>
    <cellWatch r="BB133"/>
    <cellWatch r="BB134"/>
    <cellWatch r="BB135"/>
    <cellWatch r="BB136"/>
    <cellWatch r="AY119"/>
    <cellWatch r="AY120"/>
    <cellWatch r="AY121"/>
    <cellWatch r="AY122"/>
  </cellWatch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EV707"/>
  <sheetViews>
    <sheetView topLeftCell="A74" workbookViewId="0">
      <selection activeCell="G46" sqref="G46"/>
    </sheetView>
  </sheetViews>
  <sheetFormatPr defaultColWidth="10.6640625" defaultRowHeight="12.3" x14ac:dyDescent="0.4"/>
  <sheetData>
    <row r="1" spans="1:135" ht="60.3" x14ac:dyDescent="0.7">
      <c r="A1" s="4" t="str">
        <f ca="1">MID(CELL("filename",A1),FIND("]",CELL("filename",A1))+1,256)</f>
        <v>Total MSW TAM Data (Archive)</v>
      </c>
      <c r="B1" s="4"/>
      <c r="C1" s="670" t="s">
        <v>280</v>
      </c>
      <c r="D1" s="670"/>
      <c r="E1" s="670"/>
      <c r="F1" s="670"/>
      <c r="G1" s="670"/>
      <c r="H1" s="670"/>
      <c r="I1" s="670"/>
      <c r="J1" s="670"/>
      <c r="K1" s="670"/>
      <c r="L1" s="670"/>
      <c r="M1" s="670"/>
      <c r="N1" s="5"/>
      <c r="O1" s="5"/>
      <c r="P1" s="5"/>
      <c r="Q1" s="6"/>
      <c r="S1" s="4"/>
      <c r="T1" s="4"/>
      <c r="U1" s="6"/>
      <c r="V1" s="7"/>
      <c r="W1" s="7"/>
      <c r="X1" s="8"/>
      <c r="Y1" s="8"/>
      <c r="Z1" s="8"/>
      <c r="AA1" s="8"/>
      <c r="AB1" s="8"/>
      <c r="AC1" s="8"/>
      <c r="AD1" s="8"/>
      <c r="AE1" s="8"/>
      <c r="AF1" s="9"/>
      <c r="AG1" s="671" t="s">
        <v>11</v>
      </c>
      <c r="AH1" s="671"/>
      <c r="AI1" s="671"/>
      <c r="AJ1" s="671"/>
      <c r="AK1" s="671"/>
      <c r="DW1" s="10"/>
      <c r="EA1" s="11"/>
      <c r="EB1" s="11"/>
      <c r="EC1" s="11"/>
      <c r="ED1" s="11"/>
      <c r="EE1" s="11"/>
    </row>
    <row r="2" spans="1:135" ht="17.7" x14ac:dyDescent="0.5">
      <c r="A2" s="12" t="s">
        <v>12</v>
      </c>
      <c r="B2" s="13"/>
      <c r="C2" s="14"/>
      <c r="D2" s="15"/>
      <c r="E2" s="15"/>
      <c r="F2" s="15"/>
      <c r="G2" s="15"/>
      <c r="H2" s="15"/>
      <c r="I2" s="15"/>
      <c r="J2" s="15"/>
      <c r="K2" s="15"/>
      <c r="L2" s="15"/>
      <c r="M2" s="15"/>
      <c r="N2" s="16"/>
      <c r="O2" s="16"/>
      <c r="P2" s="16"/>
      <c r="Q2" s="16"/>
      <c r="R2" s="16"/>
      <c r="S2" s="16"/>
      <c r="T2" s="16"/>
      <c r="U2" s="17"/>
      <c r="V2" s="18"/>
      <c r="W2" s="17"/>
      <c r="X2" s="17"/>
      <c r="Y2" s="17"/>
      <c r="Z2" s="17"/>
      <c r="AA2" s="17"/>
      <c r="AB2" s="17"/>
      <c r="AC2" s="17"/>
      <c r="AD2" s="17"/>
      <c r="AE2" s="17"/>
      <c r="AF2" s="17"/>
      <c r="AG2" s="19" t="s">
        <v>13</v>
      </c>
      <c r="AH2" s="19"/>
      <c r="AI2" s="19" t="s">
        <v>14</v>
      </c>
      <c r="AJ2" s="19" t="s">
        <v>15</v>
      </c>
      <c r="AK2" s="19" t="s">
        <v>16</v>
      </c>
      <c r="DW2" s="21"/>
      <c r="EA2" s="22"/>
      <c r="EB2" s="22"/>
      <c r="EC2" s="22"/>
      <c r="ED2" s="22"/>
      <c r="EE2" s="22"/>
    </row>
    <row r="3" spans="1:135" ht="17.7" x14ac:dyDescent="0.5">
      <c r="A3" s="23" t="str">
        <f ca="1">HYPERLINK("#"&amp;"'"&amp;A$1&amp;"'!TAMInputGlobalData","Input Global Data")</f>
        <v>Input Global Data</v>
      </c>
      <c r="B3" s="24"/>
      <c r="C3" s="14"/>
      <c r="G3" s="26"/>
      <c r="H3" s="27"/>
      <c r="I3" s="28"/>
      <c r="U3" s="17"/>
      <c r="V3" s="30" t="s">
        <v>17</v>
      </c>
      <c r="W3" s="19"/>
      <c r="X3" s="19"/>
      <c r="Y3" s="19"/>
      <c r="Z3" s="19"/>
      <c r="AA3" s="19"/>
      <c r="AB3" s="31" t="s">
        <v>18</v>
      </c>
      <c r="AC3" s="19" t="s">
        <v>14</v>
      </c>
      <c r="AD3" s="19"/>
      <c r="AE3" s="19"/>
      <c r="AF3" s="32"/>
      <c r="AG3" s="32" t="s">
        <v>19</v>
      </c>
      <c r="AH3" s="32"/>
      <c r="AI3" s="32" t="s">
        <v>20</v>
      </c>
      <c r="AJ3" s="32" t="s">
        <v>21</v>
      </c>
      <c r="AK3" s="32" t="s">
        <v>22</v>
      </c>
    </row>
    <row r="4" spans="1:135" ht="15" x14ac:dyDescent="0.5">
      <c r="A4" s="34" t="str">
        <f ca="1">HYPERLINK("#"&amp;"'"&amp;A$1&amp;"'!TAMInputOECD90","Input OECD90 Data")</f>
        <v>Input OECD90 Data</v>
      </c>
      <c r="B4" s="24"/>
      <c r="C4" s="14"/>
      <c r="D4" s="35"/>
      <c r="O4" s="36"/>
      <c r="P4" s="36"/>
      <c r="Q4" s="36"/>
      <c r="R4" s="36"/>
      <c r="U4" s="19" t="s">
        <v>23</v>
      </c>
      <c r="V4" s="19" t="str">
        <f>$B$19</f>
        <v>3rd Poly</v>
      </c>
      <c r="W4" s="19"/>
      <c r="X4" s="19"/>
      <c r="Y4" s="19"/>
      <c r="Z4" s="19"/>
      <c r="AA4" s="19"/>
      <c r="AB4" s="19" t="s">
        <v>23</v>
      </c>
      <c r="AC4" s="19"/>
      <c r="AD4" s="19"/>
      <c r="AE4" s="19"/>
      <c r="AF4" s="32"/>
      <c r="AG4" s="32" t="s">
        <v>24</v>
      </c>
      <c r="AH4" s="32"/>
      <c r="AI4" s="32"/>
      <c r="AJ4" s="32" t="s">
        <v>25</v>
      </c>
      <c r="AK4" s="32" t="s">
        <v>26</v>
      </c>
    </row>
    <row r="5" spans="1:135" ht="15" x14ac:dyDescent="0.5">
      <c r="A5" s="34" t="str">
        <f ca="1">HYPERLINK("#"&amp;"'"&amp;A$1&amp;"'!TAMInputEasternEurope","Input Eastern Europe Data")</f>
        <v>Input Eastern Europe Data</v>
      </c>
      <c r="B5" s="24"/>
      <c r="C5" s="37"/>
      <c r="D5" s="35"/>
      <c r="O5" s="36"/>
      <c r="P5" s="36"/>
      <c r="Q5" s="36"/>
      <c r="R5" s="36"/>
      <c r="U5" s="19" t="s">
        <v>27</v>
      </c>
      <c r="V5" s="19" t="str">
        <f>$C$19</f>
        <v>Medium</v>
      </c>
      <c r="W5" s="19"/>
      <c r="X5" s="19"/>
      <c r="Y5" s="19"/>
      <c r="Z5" s="19"/>
      <c r="AA5" s="19"/>
      <c r="AB5" s="19" t="s">
        <v>27</v>
      </c>
      <c r="AC5" s="19"/>
      <c r="AD5" s="19"/>
      <c r="AE5" s="19"/>
      <c r="AF5" s="32"/>
      <c r="AG5" s="32"/>
      <c r="AH5" s="32"/>
      <c r="AI5" s="32"/>
      <c r="AJ5" s="32"/>
      <c r="AK5" s="32" t="s">
        <v>28</v>
      </c>
    </row>
    <row r="6" spans="1:135" ht="15" x14ac:dyDescent="0.5">
      <c r="A6" s="34" t="str">
        <f ca="1">HYPERLINK("#"&amp;"'"&amp;A$1&amp;"'!TAMInputAsia","Input Asia (sans Japan) Data")</f>
        <v>Input Asia (sans Japan) Data</v>
      </c>
      <c r="B6" s="24"/>
      <c r="C6" s="37"/>
      <c r="U6" s="19"/>
      <c r="V6" s="19"/>
      <c r="W6" s="19"/>
      <c r="X6" s="19"/>
      <c r="Y6" s="19"/>
      <c r="Z6" s="19"/>
      <c r="AA6" s="19"/>
      <c r="AB6" s="19"/>
      <c r="AC6" s="19"/>
      <c r="AD6" s="19"/>
      <c r="AE6" s="19"/>
      <c r="AF6" s="32"/>
      <c r="AG6" s="32" t="s">
        <v>29</v>
      </c>
      <c r="AH6" s="32"/>
      <c r="AI6" s="32"/>
      <c r="AJ6" s="32"/>
      <c r="AK6" s="32"/>
    </row>
    <row r="7" spans="1:135" ht="15" x14ac:dyDescent="0.5">
      <c r="A7" s="34" t="str">
        <f ca="1">HYPERLINK("#"&amp;"'"&amp;A$1&amp;"'!TAMInputMiddleEastAfrica","Input Middle East &amp; Africa Data")</f>
        <v>Input Middle East &amp; Africa Data</v>
      </c>
      <c r="B7" s="24"/>
      <c r="C7" s="38"/>
      <c r="D7" s="35"/>
      <c r="U7" s="19"/>
      <c r="V7" s="19"/>
      <c r="W7" s="19"/>
      <c r="X7" s="39"/>
      <c r="Y7" s="19"/>
      <c r="Z7" s="19"/>
      <c r="AA7" s="32"/>
      <c r="AB7" s="31" t="s">
        <v>30</v>
      </c>
      <c r="AC7" s="19" t="s">
        <v>281</v>
      </c>
      <c r="AD7" s="19"/>
      <c r="AE7" s="19"/>
      <c r="AF7" s="32"/>
      <c r="AG7" s="32" t="s">
        <v>31</v>
      </c>
      <c r="AH7" s="32"/>
      <c r="AI7" s="32"/>
      <c r="AJ7" s="32"/>
      <c r="AK7" s="32"/>
    </row>
    <row r="8" spans="1:135" ht="15" x14ac:dyDescent="0.5">
      <c r="A8" s="34" t="str">
        <f ca="1">HYPERLINK("#"&amp;"'"&amp;A$1&amp;"'!TAMInputLatinAmerica","Input Latin America Data")</f>
        <v>Input Latin America Data</v>
      </c>
      <c r="B8" s="24"/>
      <c r="C8" s="37"/>
      <c r="U8" s="19"/>
      <c r="V8" s="19"/>
      <c r="W8" s="32"/>
      <c r="X8" s="32"/>
      <c r="Y8" s="19"/>
      <c r="Z8" s="19"/>
      <c r="AA8" s="19"/>
      <c r="AB8" s="19"/>
      <c r="AC8" s="19"/>
      <c r="AD8" s="19"/>
      <c r="AE8" s="19"/>
      <c r="AF8" s="32"/>
      <c r="AG8" s="32"/>
      <c r="AH8" s="32"/>
      <c r="AI8" s="32"/>
      <c r="AJ8" s="32"/>
      <c r="AK8" s="32"/>
    </row>
    <row r="9" spans="1:135" ht="15" x14ac:dyDescent="0.5">
      <c r="A9" s="34" t="str">
        <f ca="1">HYPERLINK("#"&amp;"'"&amp;A$1&amp;"'!TAMInputChina","Input China Data")</f>
        <v>Input China Data</v>
      </c>
      <c r="B9" s="24"/>
      <c r="C9" s="37"/>
      <c r="U9" s="32"/>
      <c r="V9" s="32"/>
      <c r="W9" s="32"/>
      <c r="X9" s="32"/>
      <c r="Y9" s="40"/>
      <c r="Z9" s="41"/>
      <c r="AA9" s="41"/>
      <c r="AB9" s="41"/>
      <c r="AC9" s="19"/>
      <c r="AD9" s="19"/>
      <c r="AE9" s="19"/>
      <c r="AF9" s="32"/>
      <c r="AG9" s="32"/>
      <c r="AH9" s="32"/>
      <c r="AI9" s="32"/>
      <c r="AJ9" s="32"/>
      <c r="AK9" s="32"/>
    </row>
    <row r="10" spans="1:135" ht="15" x14ac:dyDescent="0.5">
      <c r="A10" s="34" t="str">
        <f ca="1">HYPERLINK("#"&amp;"'"&amp;A$1&amp;"'!TAMInputIndia","Input India Data")</f>
        <v>Input India Data</v>
      </c>
      <c r="U10" s="32"/>
      <c r="V10" s="32"/>
      <c r="W10" s="32"/>
      <c r="X10" s="32"/>
      <c r="Y10" s="32"/>
      <c r="Z10" s="32"/>
      <c r="AA10" s="32"/>
      <c r="AB10" s="32"/>
      <c r="AC10" s="32"/>
      <c r="AD10" s="32"/>
      <c r="AE10" s="32"/>
      <c r="AF10" s="32"/>
      <c r="AG10" s="32"/>
      <c r="AH10" s="32"/>
      <c r="AI10" s="32"/>
      <c r="AJ10" s="32"/>
      <c r="AK10" s="32"/>
    </row>
    <row r="11" spans="1:135" ht="15" x14ac:dyDescent="0.5">
      <c r="A11" s="34" t="str">
        <f ca="1">HYPERLINK("#"&amp;"'"&amp;A$1&amp;"'!TAMInputEU","Input EU Data")</f>
        <v>Input EU Data</v>
      </c>
      <c r="U11" s="32"/>
      <c r="V11" s="32"/>
      <c r="W11" s="32"/>
      <c r="X11" s="32"/>
      <c r="Y11" s="32"/>
      <c r="Z11" s="32"/>
      <c r="AA11" s="32"/>
      <c r="AB11" s="32"/>
      <c r="AC11" s="32"/>
      <c r="AD11" s="32"/>
      <c r="AE11" s="32"/>
      <c r="AF11" s="19"/>
      <c r="AG11" s="32"/>
      <c r="AH11" s="32"/>
      <c r="AI11" s="32"/>
      <c r="AJ11" s="32"/>
      <c r="AK11" s="32"/>
    </row>
    <row r="12" spans="1:135" ht="15" x14ac:dyDescent="0.5">
      <c r="A12" s="34" t="str">
        <f ca="1">HYPERLINK("#"&amp;"'"&amp;A$1&amp;"'!TAMInputUSA","Input USA Data")</f>
        <v>Input USA Data</v>
      </c>
      <c r="U12" s="32"/>
      <c r="V12" s="32"/>
      <c r="W12" s="32"/>
      <c r="X12" s="32"/>
      <c r="Y12" s="32"/>
      <c r="Z12" s="32"/>
      <c r="AA12" s="32"/>
      <c r="AB12" s="32"/>
      <c r="AC12" s="32"/>
      <c r="AD12" s="32"/>
      <c r="AE12" s="32"/>
      <c r="AF12" s="19"/>
      <c r="AG12" s="32"/>
      <c r="AH12" s="32"/>
      <c r="AI12" s="32"/>
      <c r="AJ12" s="32"/>
      <c r="AK12" s="32"/>
    </row>
    <row r="13" spans="1:135" ht="15" x14ac:dyDescent="0.5">
      <c r="A13" s="34" t="str">
        <f ca="1">HYPERLINK("#"&amp;"'"&amp;A$1&amp;"'!TAMFactoring","TAM Calculations/Factoring")</f>
        <v>TAM Calculations/Factoring</v>
      </c>
      <c r="U13" s="32"/>
      <c r="V13" s="32"/>
      <c r="W13" s="32"/>
      <c r="X13" s="32"/>
      <c r="Y13" s="32"/>
      <c r="Z13" s="32"/>
      <c r="AA13" s="32"/>
      <c r="AB13" s="32"/>
      <c r="AC13" s="32"/>
      <c r="AD13" s="32"/>
      <c r="AE13" s="32"/>
      <c r="AF13" s="19"/>
      <c r="AG13" s="32"/>
      <c r="AH13" s="32"/>
      <c r="AI13" s="32"/>
      <c r="AJ13" s="32"/>
      <c r="AK13" s="32"/>
    </row>
    <row r="14" spans="1:135" ht="17.7" x14ac:dyDescent="0.4">
      <c r="A14" s="672" t="s">
        <v>32</v>
      </c>
      <c r="B14" s="672"/>
      <c r="C14" s="672"/>
      <c r="D14" s="672"/>
      <c r="E14" s="672"/>
      <c r="F14" s="42"/>
      <c r="G14" s="672" t="s">
        <v>33</v>
      </c>
      <c r="H14" s="672"/>
      <c r="I14" s="672"/>
      <c r="J14" s="672"/>
      <c r="K14" s="672"/>
      <c r="L14" s="672"/>
      <c r="M14" s="672"/>
      <c r="N14" s="672"/>
      <c r="O14" s="672"/>
      <c r="P14" s="672"/>
      <c r="Q14" s="672"/>
      <c r="R14" s="672"/>
      <c r="S14" s="672"/>
      <c r="T14" s="672"/>
      <c r="U14" s="43"/>
      <c r="V14" s="44"/>
      <c r="W14" s="45"/>
      <c r="X14" s="32"/>
      <c r="Y14" s="32"/>
      <c r="Z14" s="32"/>
      <c r="AA14" s="32"/>
      <c r="AB14" s="32"/>
      <c r="AC14" s="32"/>
      <c r="AD14" s="32"/>
      <c r="AE14" s="32"/>
      <c r="AF14" s="19"/>
      <c r="AG14" s="32"/>
      <c r="AH14" s="32"/>
      <c r="AI14" s="32"/>
      <c r="AJ14" s="32"/>
      <c r="AK14" s="32"/>
      <c r="DW14" s="47"/>
      <c r="EA14" s="48"/>
      <c r="EB14" s="48"/>
      <c r="EC14" s="48"/>
      <c r="ED14" s="48"/>
      <c r="EE14" s="48"/>
    </row>
    <row r="15" spans="1:135" ht="60" x14ac:dyDescent="0.5">
      <c r="C15" s="50"/>
      <c r="D15" s="50"/>
      <c r="E15" s="50"/>
      <c r="F15" s="42"/>
      <c r="G15" s="50"/>
      <c r="H15" s="673" t="s">
        <v>34</v>
      </c>
      <c r="I15" s="673"/>
      <c r="J15" s="673"/>
      <c r="K15" s="673"/>
      <c r="L15" s="673"/>
      <c r="M15" s="673"/>
      <c r="N15" s="51"/>
      <c r="O15" s="52"/>
      <c r="Q15" s="53" t="s">
        <v>35</v>
      </c>
      <c r="U15" s="46"/>
      <c r="DW15" s="54"/>
      <c r="EA15" s="55"/>
      <c r="EB15" s="55"/>
      <c r="EC15" s="55"/>
      <c r="ED15" s="55"/>
      <c r="EE15" s="55"/>
    </row>
    <row r="16" spans="1:135" ht="15" x14ac:dyDescent="0.5">
      <c r="F16" s="42"/>
      <c r="H16" s="664" t="s">
        <v>36</v>
      </c>
      <c r="I16" s="665"/>
      <c r="J16" s="56" t="s">
        <v>37</v>
      </c>
      <c r="K16" s="57"/>
      <c r="L16" s="56" t="s">
        <v>23</v>
      </c>
      <c r="M16" s="58" t="s">
        <v>38</v>
      </c>
      <c r="N16" s="59" t="s">
        <v>39</v>
      </c>
      <c r="O16" s="60"/>
      <c r="P16" s="61" t="s">
        <v>40</v>
      </c>
      <c r="Q16" s="62">
        <v>1</v>
      </c>
      <c r="R16" s="63" t="s">
        <v>41</v>
      </c>
      <c r="S16" s="64" t="s">
        <v>39</v>
      </c>
      <c r="U16" s="46"/>
      <c r="AH16" s="65"/>
    </row>
    <row r="17" spans="1:34" ht="15" x14ac:dyDescent="0.5">
      <c r="A17" s="668" t="s">
        <v>34</v>
      </c>
      <c r="B17" s="668"/>
      <c r="D17" s="669" t="str">
        <f>IF(C19="Medium","","**Adjust global sensitivity analysis below as necessary**")</f>
        <v/>
      </c>
      <c r="E17" s="66"/>
      <c r="F17" s="42"/>
      <c r="H17" s="666"/>
      <c r="I17" s="667"/>
      <c r="J17" s="67" t="s">
        <v>14</v>
      </c>
      <c r="K17" s="68"/>
      <c r="L17" s="67" t="s">
        <v>26</v>
      </c>
      <c r="M17" s="67" t="s">
        <v>21</v>
      </c>
      <c r="N17" s="59" t="s">
        <v>39</v>
      </c>
      <c r="O17" s="69"/>
      <c r="P17" s="70" t="s">
        <v>42</v>
      </c>
      <c r="Q17" s="62">
        <v>1</v>
      </c>
      <c r="R17" s="71" t="s">
        <v>41</v>
      </c>
      <c r="S17" s="64" t="s">
        <v>39</v>
      </c>
      <c r="U17" s="46"/>
      <c r="AH17" s="65"/>
    </row>
    <row r="18" spans="1:34" ht="15" x14ac:dyDescent="0.5">
      <c r="B18" s="72" t="s">
        <v>23</v>
      </c>
      <c r="C18" s="73" t="s">
        <v>38</v>
      </c>
      <c r="D18" s="669"/>
      <c r="E18" s="66"/>
      <c r="F18" s="74"/>
      <c r="H18" s="75"/>
      <c r="I18" s="76"/>
      <c r="J18" s="77"/>
      <c r="K18" s="77"/>
      <c r="L18" s="78"/>
      <c r="M18" s="78"/>
      <c r="N18" s="79"/>
      <c r="O18" s="51"/>
      <c r="P18" s="80"/>
      <c r="Q18" s="81"/>
      <c r="R18" s="82"/>
      <c r="S18" s="83"/>
      <c r="U18" s="46"/>
      <c r="AH18" s="65"/>
    </row>
    <row r="19" spans="1:34" ht="90" x14ac:dyDescent="0.5">
      <c r="A19" s="84" t="s">
        <v>43</v>
      </c>
      <c r="B19" s="85" t="s">
        <v>26</v>
      </c>
      <c r="C19" s="86" t="s">
        <v>21</v>
      </c>
      <c r="D19" s="669"/>
      <c r="E19" s="66"/>
      <c r="F19" s="74"/>
      <c r="H19" s="664" t="s">
        <v>44</v>
      </c>
      <c r="I19" s="665"/>
      <c r="J19" s="56" t="s">
        <v>37</v>
      </c>
      <c r="K19" s="57"/>
      <c r="L19" s="56" t="s">
        <v>23</v>
      </c>
      <c r="M19" s="58" t="s">
        <v>38</v>
      </c>
      <c r="N19" s="59" t="s">
        <v>39</v>
      </c>
      <c r="O19" s="60"/>
      <c r="P19" s="61" t="s">
        <v>40</v>
      </c>
      <c r="Q19" s="62">
        <v>1</v>
      </c>
      <c r="R19" s="63" t="s">
        <v>41</v>
      </c>
      <c r="S19" s="64" t="s">
        <v>39</v>
      </c>
      <c r="U19" s="46"/>
      <c r="AH19" s="65"/>
    </row>
    <row r="20" spans="1:34" ht="15" x14ac:dyDescent="0.5">
      <c r="D20" s="669"/>
      <c r="E20" s="66"/>
      <c r="F20" s="87"/>
      <c r="H20" s="666"/>
      <c r="I20" s="667"/>
      <c r="J20" s="67" t="s">
        <v>14</v>
      </c>
      <c r="K20" s="68"/>
      <c r="L20" s="67" t="s">
        <v>26</v>
      </c>
      <c r="M20" s="67" t="s">
        <v>21</v>
      </c>
      <c r="N20" s="59" t="s">
        <v>39</v>
      </c>
      <c r="O20" s="69"/>
      <c r="P20" s="70" t="s">
        <v>42</v>
      </c>
      <c r="Q20" s="62">
        <v>1</v>
      </c>
      <c r="R20" s="71" t="s">
        <v>41</v>
      </c>
      <c r="S20" s="64" t="s">
        <v>39</v>
      </c>
      <c r="U20" s="46"/>
      <c r="AH20" s="65"/>
    </row>
    <row r="21" spans="1:34" ht="15" x14ac:dyDescent="0.5">
      <c r="A21" s="668" t="s">
        <v>45</v>
      </c>
      <c r="B21" s="668"/>
      <c r="F21" s="74"/>
      <c r="H21" s="75"/>
      <c r="I21" s="76"/>
      <c r="J21" s="77"/>
      <c r="K21" s="77"/>
      <c r="L21" s="78"/>
      <c r="M21" s="78"/>
      <c r="N21" s="79"/>
      <c r="O21" s="88"/>
      <c r="P21" s="80"/>
      <c r="Q21" s="81"/>
      <c r="R21" s="82"/>
      <c r="S21" s="83"/>
      <c r="U21" s="46"/>
      <c r="AB21" s="89"/>
      <c r="AC21" s="89"/>
      <c r="AD21" s="89"/>
      <c r="AE21" s="89"/>
      <c r="AF21" s="89"/>
      <c r="AG21" s="65"/>
      <c r="AH21" s="65"/>
    </row>
    <row r="22" spans="1:34" ht="45" x14ac:dyDescent="0.5">
      <c r="F22" s="74"/>
      <c r="H22" s="664" t="s">
        <v>46</v>
      </c>
      <c r="I22" s="665"/>
      <c r="J22" s="56" t="s">
        <v>37</v>
      </c>
      <c r="K22" s="57"/>
      <c r="L22" s="56" t="s">
        <v>23</v>
      </c>
      <c r="M22" s="58" t="s">
        <v>38</v>
      </c>
      <c r="N22" s="59" t="s">
        <v>39</v>
      </c>
      <c r="O22" s="60"/>
      <c r="P22" s="61" t="s">
        <v>40</v>
      </c>
      <c r="Q22" s="62">
        <v>1</v>
      </c>
      <c r="R22" s="63" t="s">
        <v>41</v>
      </c>
      <c r="S22" s="64" t="s">
        <v>39</v>
      </c>
      <c r="U22" s="46"/>
      <c r="AB22" s="90"/>
      <c r="AC22" s="89"/>
      <c r="AD22" s="89"/>
      <c r="AE22" s="89"/>
      <c r="AF22" s="89"/>
      <c r="AG22" s="65"/>
      <c r="AH22" s="65"/>
    </row>
    <row r="23" spans="1:34" ht="225" x14ac:dyDescent="0.5">
      <c r="A23" s="91" t="s">
        <v>47</v>
      </c>
      <c r="B23" s="676" t="s">
        <v>48</v>
      </c>
      <c r="C23" s="676"/>
      <c r="F23" s="74"/>
      <c r="H23" s="666"/>
      <c r="I23" s="667"/>
      <c r="J23" s="67" t="s">
        <v>14</v>
      </c>
      <c r="K23" s="68"/>
      <c r="L23" s="67" t="s">
        <v>26</v>
      </c>
      <c r="M23" s="67" t="s">
        <v>21</v>
      </c>
      <c r="N23" s="59" t="s">
        <v>39</v>
      </c>
      <c r="O23" s="69"/>
      <c r="P23" s="70" t="s">
        <v>42</v>
      </c>
      <c r="Q23" s="62">
        <v>1</v>
      </c>
      <c r="R23" s="71" t="s">
        <v>41</v>
      </c>
      <c r="S23" s="64" t="s">
        <v>39</v>
      </c>
      <c r="U23" s="46"/>
      <c r="AB23" s="89"/>
      <c r="AC23" s="92"/>
      <c r="AD23" s="89"/>
      <c r="AE23" s="89"/>
      <c r="AF23" s="89"/>
    </row>
    <row r="24" spans="1:34" ht="15" x14ac:dyDescent="0.5">
      <c r="A24" s="93" t="s">
        <v>40</v>
      </c>
      <c r="B24" s="62">
        <v>1</v>
      </c>
      <c r="C24" s="94" t="s">
        <v>41</v>
      </c>
      <c r="D24" s="59" t="s">
        <v>39</v>
      </c>
      <c r="F24" s="74"/>
      <c r="H24" s="75"/>
      <c r="I24" s="76"/>
      <c r="J24" s="77"/>
      <c r="K24" s="77"/>
      <c r="L24" s="78"/>
      <c r="M24" s="78"/>
      <c r="N24" s="79"/>
      <c r="O24" s="51"/>
      <c r="P24" s="80"/>
      <c r="Q24" s="81"/>
      <c r="R24" s="82"/>
      <c r="S24" s="83"/>
      <c r="U24" s="46"/>
      <c r="AB24" s="89"/>
      <c r="AC24" s="89"/>
      <c r="AD24" s="89"/>
      <c r="AE24" s="89"/>
      <c r="AF24" s="89"/>
    </row>
    <row r="25" spans="1:34" ht="45" x14ac:dyDescent="0.5">
      <c r="A25" s="93" t="s">
        <v>42</v>
      </c>
      <c r="B25" s="62">
        <v>1</v>
      </c>
      <c r="C25" s="94" t="s">
        <v>41</v>
      </c>
      <c r="D25" s="59" t="s">
        <v>39</v>
      </c>
      <c r="F25" s="74"/>
      <c r="H25" s="664" t="s">
        <v>49</v>
      </c>
      <c r="I25" s="665"/>
      <c r="J25" s="56" t="s">
        <v>37</v>
      </c>
      <c r="K25" s="57"/>
      <c r="L25" s="56" t="s">
        <v>23</v>
      </c>
      <c r="M25" s="58" t="s">
        <v>38</v>
      </c>
      <c r="N25" s="59" t="s">
        <v>39</v>
      </c>
      <c r="O25" s="60"/>
      <c r="P25" s="61" t="s">
        <v>40</v>
      </c>
      <c r="Q25" s="62">
        <v>1</v>
      </c>
      <c r="R25" s="63" t="s">
        <v>41</v>
      </c>
      <c r="S25" s="64" t="s">
        <v>39</v>
      </c>
      <c r="U25" s="46"/>
      <c r="AB25" s="90"/>
      <c r="AC25" s="89"/>
      <c r="AD25" s="89"/>
      <c r="AE25" s="89"/>
      <c r="AF25" s="89"/>
    </row>
    <row r="26" spans="1:34" ht="15" x14ac:dyDescent="0.5">
      <c r="F26" s="74"/>
      <c r="H26" s="666"/>
      <c r="I26" s="667"/>
      <c r="J26" s="67" t="s">
        <v>14</v>
      </c>
      <c r="K26" s="68"/>
      <c r="L26" s="67" t="s">
        <v>26</v>
      </c>
      <c r="M26" s="67" t="s">
        <v>21</v>
      </c>
      <c r="N26" s="59" t="s">
        <v>39</v>
      </c>
      <c r="O26" s="69"/>
      <c r="P26" s="70" t="s">
        <v>42</v>
      </c>
      <c r="Q26" s="62">
        <v>1</v>
      </c>
      <c r="R26" s="71" t="s">
        <v>41</v>
      </c>
      <c r="S26" s="64" t="s">
        <v>39</v>
      </c>
      <c r="U26" s="46"/>
      <c r="AB26" s="89"/>
      <c r="AC26" s="92"/>
      <c r="AD26" s="89"/>
      <c r="AE26" s="89"/>
      <c r="AF26" s="89"/>
    </row>
    <row r="27" spans="1:34" ht="15" x14ac:dyDescent="0.5">
      <c r="A27" s="668" t="s">
        <v>50</v>
      </c>
      <c r="B27" s="668"/>
      <c r="F27" s="74"/>
      <c r="H27" s="75"/>
      <c r="I27" s="76"/>
      <c r="J27" s="77"/>
      <c r="K27" s="77"/>
      <c r="L27" s="78"/>
      <c r="M27" s="78"/>
      <c r="N27" s="79"/>
      <c r="O27" s="51"/>
      <c r="P27" s="80"/>
      <c r="Q27" s="81"/>
      <c r="R27" s="82"/>
      <c r="S27" s="83"/>
      <c r="U27" s="46"/>
      <c r="AB27" s="89"/>
      <c r="AC27" s="89"/>
      <c r="AD27" s="89"/>
      <c r="AE27" s="89"/>
      <c r="AF27" s="89"/>
      <c r="AG27" s="49"/>
      <c r="AH27" s="49"/>
    </row>
    <row r="28" spans="1:34" ht="30" x14ac:dyDescent="0.5">
      <c r="B28" s="95" t="s">
        <v>51</v>
      </c>
      <c r="F28" s="74"/>
      <c r="H28" s="664" t="s">
        <v>52</v>
      </c>
      <c r="I28" s="665"/>
      <c r="J28" s="56" t="s">
        <v>37</v>
      </c>
      <c r="K28" s="57"/>
      <c r="L28" s="56" t="s">
        <v>23</v>
      </c>
      <c r="M28" s="58" t="s">
        <v>38</v>
      </c>
      <c r="N28" s="59" t="s">
        <v>39</v>
      </c>
      <c r="O28" s="60"/>
      <c r="P28" s="61" t="s">
        <v>40</v>
      </c>
      <c r="Q28" s="62">
        <v>1</v>
      </c>
      <c r="R28" s="63" t="s">
        <v>41</v>
      </c>
      <c r="S28" s="64" t="s">
        <v>39</v>
      </c>
      <c r="U28" s="46"/>
      <c r="AB28" s="89"/>
      <c r="AC28" s="89"/>
      <c r="AD28" s="89"/>
      <c r="AE28" s="89"/>
      <c r="AF28" s="89"/>
    </row>
    <row r="29" spans="1:34" ht="15" x14ac:dyDescent="0.5">
      <c r="A29" s="96" t="s">
        <v>53</v>
      </c>
      <c r="B29" s="97" t="s">
        <v>14</v>
      </c>
      <c r="F29" s="74"/>
      <c r="H29" s="666"/>
      <c r="I29" s="667"/>
      <c r="J29" s="67" t="s">
        <v>14</v>
      </c>
      <c r="K29" s="68"/>
      <c r="L29" s="98" t="s">
        <v>26</v>
      </c>
      <c r="M29" s="98" t="s">
        <v>21</v>
      </c>
      <c r="N29" s="59" t="s">
        <v>39</v>
      </c>
      <c r="O29" s="69"/>
      <c r="P29" s="70" t="s">
        <v>42</v>
      </c>
      <c r="Q29" s="62">
        <v>1</v>
      </c>
      <c r="R29" s="71" t="s">
        <v>41</v>
      </c>
      <c r="S29" s="64" t="s">
        <v>39</v>
      </c>
      <c r="U29" s="46"/>
      <c r="AB29" s="90"/>
      <c r="AC29" s="92"/>
      <c r="AD29" s="89"/>
      <c r="AE29" s="89"/>
      <c r="AF29" s="89"/>
    </row>
    <row r="30" spans="1:34" ht="15" x14ac:dyDescent="0.5">
      <c r="A30" s="99" t="s">
        <v>54</v>
      </c>
      <c r="B30" s="97" t="s">
        <v>14</v>
      </c>
      <c r="F30" s="74"/>
      <c r="H30" s="75"/>
      <c r="I30" s="76"/>
      <c r="J30" s="77"/>
      <c r="K30" s="77"/>
      <c r="L30" s="78"/>
      <c r="M30" s="78"/>
      <c r="N30" s="79"/>
      <c r="O30" s="51"/>
      <c r="P30" s="80"/>
      <c r="Q30" s="81"/>
      <c r="R30" s="82"/>
      <c r="S30" s="83"/>
      <c r="U30" s="46"/>
      <c r="AB30" s="89"/>
      <c r="AC30" s="89"/>
      <c r="AD30" s="89"/>
      <c r="AE30" s="89"/>
      <c r="AF30" s="89"/>
    </row>
    <row r="31" spans="1:34" ht="15" x14ac:dyDescent="0.5">
      <c r="F31" s="74"/>
      <c r="H31" s="664" t="s">
        <v>55</v>
      </c>
      <c r="I31" s="665"/>
      <c r="J31" s="56" t="s">
        <v>37</v>
      </c>
      <c r="K31" s="57"/>
      <c r="L31" s="56" t="s">
        <v>23</v>
      </c>
      <c r="M31" s="58" t="s">
        <v>38</v>
      </c>
      <c r="N31" s="59" t="s">
        <v>39</v>
      </c>
      <c r="O31" s="60"/>
      <c r="P31" s="61" t="s">
        <v>40</v>
      </c>
      <c r="Q31" s="62">
        <v>1</v>
      </c>
      <c r="R31" s="63" t="s">
        <v>41</v>
      </c>
      <c r="S31" s="64" t="s">
        <v>39</v>
      </c>
      <c r="U31" s="46"/>
      <c r="AB31" s="90"/>
      <c r="AC31" s="89"/>
      <c r="AD31" s="89"/>
      <c r="AE31" s="89"/>
      <c r="AF31" s="89"/>
    </row>
    <row r="32" spans="1:34" ht="15" x14ac:dyDescent="0.5">
      <c r="A32" s="674" t="s">
        <v>56</v>
      </c>
      <c r="B32" s="674"/>
      <c r="C32" s="100"/>
      <c r="D32" s="100"/>
      <c r="E32" s="100"/>
      <c r="F32" s="101"/>
      <c r="H32" s="666"/>
      <c r="I32" s="667"/>
      <c r="J32" s="67" t="s">
        <v>14</v>
      </c>
      <c r="K32" s="68"/>
      <c r="L32" s="67" t="s">
        <v>26</v>
      </c>
      <c r="M32" s="67" t="s">
        <v>21</v>
      </c>
      <c r="N32" s="59" t="s">
        <v>39</v>
      </c>
      <c r="O32" s="69"/>
      <c r="P32" s="70" t="s">
        <v>42</v>
      </c>
      <c r="Q32" s="62">
        <v>1</v>
      </c>
      <c r="R32" s="71" t="s">
        <v>41</v>
      </c>
      <c r="S32" s="64" t="s">
        <v>39</v>
      </c>
      <c r="U32" s="46"/>
      <c r="AB32" s="89"/>
      <c r="AC32" s="92"/>
      <c r="AD32" s="89"/>
      <c r="AE32" s="89"/>
      <c r="AF32" s="89"/>
    </row>
    <row r="33" spans="1:152" ht="15" x14ac:dyDescent="0.5">
      <c r="A33" s="102"/>
      <c r="B33" s="102"/>
      <c r="C33" s="100"/>
      <c r="D33" s="103"/>
      <c r="E33" s="103"/>
      <c r="F33" s="101"/>
      <c r="H33" s="75"/>
      <c r="I33" s="76"/>
      <c r="J33" s="77"/>
      <c r="K33" s="77"/>
      <c r="L33" s="78"/>
      <c r="M33" s="78"/>
      <c r="N33" s="79"/>
      <c r="O33" s="51"/>
      <c r="P33" s="80"/>
      <c r="Q33" s="81"/>
      <c r="R33" s="82"/>
      <c r="S33" s="83"/>
      <c r="U33" s="46"/>
      <c r="AB33" s="89"/>
      <c r="AC33" s="89"/>
      <c r="AD33" s="89"/>
      <c r="AE33" s="89"/>
      <c r="AF33" s="89"/>
    </row>
    <row r="34" spans="1:152" ht="15" x14ac:dyDescent="0.5">
      <c r="A34" s="104" t="s">
        <v>57</v>
      </c>
      <c r="B34" s="677" t="s">
        <v>73</v>
      </c>
      <c r="C34" s="677"/>
      <c r="D34" s="677"/>
      <c r="E34" s="677"/>
      <c r="F34" s="101"/>
      <c r="H34" s="664" t="s">
        <v>58</v>
      </c>
      <c r="I34" s="665"/>
      <c r="J34" s="56" t="s">
        <v>37</v>
      </c>
      <c r="K34" s="57"/>
      <c r="L34" s="56" t="s">
        <v>23</v>
      </c>
      <c r="M34" s="58" t="s">
        <v>38</v>
      </c>
      <c r="N34" s="59" t="s">
        <v>39</v>
      </c>
      <c r="O34" s="60"/>
      <c r="P34" s="61" t="s">
        <v>40</v>
      </c>
      <c r="Q34" s="62">
        <v>1</v>
      </c>
      <c r="R34" s="63" t="s">
        <v>41</v>
      </c>
      <c r="S34" s="64" t="s">
        <v>39</v>
      </c>
      <c r="U34" s="46"/>
      <c r="AB34" s="90"/>
      <c r="AC34" s="89"/>
      <c r="AD34" s="89"/>
      <c r="AE34" s="89"/>
      <c r="AF34" s="89"/>
    </row>
    <row r="35" spans="1:152" ht="15" x14ac:dyDescent="0.5">
      <c r="A35" s="105"/>
      <c r="B35" s="105"/>
      <c r="C35" s="103"/>
      <c r="D35" s="103"/>
      <c r="E35" s="103"/>
      <c r="F35" s="101"/>
      <c r="H35" s="666"/>
      <c r="I35" s="667"/>
      <c r="J35" s="67" t="s">
        <v>14</v>
      </c>
      <c r="K35" s="68"/>
      <c r="L35" s="67" t="s">
        <v>26</v>
      </c>
      <c r="M35" s="67" t="s">
        <v>21</v>
      </c>
      <c r="N35" s="59" t="s">
        <v>39</v>
      </c>
      <c r="O35" s="69"/>
      <c r="P35" s="70" t="s">
        <v>42</v>
      </c>
      <c r="Q35" s="62">
        <v>1</v>
      </c>
      <c r="R35" s="71" t="s">
        <v>41</v>
      </c>
      <c r="S35" s="64" t="s">
        <v>39</v>
      </c>
      <c r="U35" s="46"/>
      <c r="AB35" s="89"/>
      <c r="AC35" s="92"/>
      <c r="AD35" s="89"/>
      <c r="AE35" s="89"/>
      <c r="AF35" s="89"/>
    </row>
    <row r="36" spans="1:152" ht="15" x14ac:dyDescent="0.5">
      <c r="A36" s="104" t="s">
        <v>59</v>
      </c>
      <c r="B36" s="678" t="s">
        <v>73</v>
      </c>
      <c r="C36" s="678"/>
      <c r="D36" s="678"/>
      <c r="E36" s="678"/>
      <c r="F36" s="101"/>
      <c r="H36" s="75"/>
      <c r="I36" s="76"/>
      <c r="J36" s="77"/>
      <c r="K36" s="77"/>
      <c r="L36" s="78"/>
      <c r="M36" s="78"/>
      <c r="N36" s="79"/>
      <c r="O36" s="51"/>
      <c r="P36" s="80"/>
      <c r="Q36" s="81"/>
      <c r="R36" s="82"/>
      <c r="S36" s="83"/>
      <c r="U36" s="46"/>
      <c r="AB36" s="89"/>
      <c r="AC36" s="89"/>
      <c r="AD36" s="89"/>
      <c r="AE36" s="89"/>
      <c r="AF36" s="89"/>
    </row>
    <row r="37" spans="1:152" ht="15" x14ac:dyDescent="0.5">
      <c r="A37" s="674"/>
      <c r="B37" s="674"/>
      <c r="C37" s="103"/>
      <c r="D37" s="103"/>
      <c r="E37" s="103"/>
      <c r="F37" s="101"/>
      <c r="H37" s="664" t="s">
        <v>60</v>
      </c>
      <c r="I37" s="665"/>
      <c r="J37" s="56" t="s">
        <v>37</v>
      </c>
      <c r="K37" s="57"/>
      <c r="L37" s="56" t="s">
        <v>23</v>
      </c>
      <c r="M37" s="58" t="s">
        <v>38</v>
      </c>
      <c r="N37" s="59" t="s">
        <v>39</v>
      </c>
      <c r="O37" s="60"/>
      <c r="P37" s="61" t="s">
        <v>40</v>
      </c>
      <c r="Q37" s="62">
        <v>1</v>
      </c>
      <c r="R37" s="63" t="s">
        <v>41</v>
      </c>
      <c r="S37" s="64" t="s">
        <v>39</v>
      </c>
      <c r="U37" s="46"/>
      <c r="AB37" s="90"/>
      <c r="AC37" s="89"/>
      <c r="AD37" s="89"/>
      <c r="AE37" s="89"/>
      <c r="AF37" s="89"/>
    </row>
    <row r="38" spans="1:152" ht="165" x14ac:dyDescent="0.5">
      <c r="A38" s="675" t="str">
        <f>IF(OR(B36="ALL SOURCES",B34="ALL SOURCES"),"* If you chose 'ALL SOURCES', an average of all source prognositcations is used.","")</f>
        <v>* If you chose 'ALL SOURCES', an average of all source prognositcations is used.</v>
      </c>
      <c r="B38" s="675"/>
      <c r="C38" s="675"/>
      <c r="D38" s="675"/>
      <c r="E38" s="103"/>
      <c r="F38" s="101"/>
      <c r="H38" s="666"/>
      <c r="I38" s="667"/>
      <c r="J38" s="67" t="s">
        <v>14</v>
      </c>
      <c r="K38" s="68"/>
      <c r="L38" s="67" t="s">
        <v>26</v>
      </c>
      <c r="M38" s="67" t="s">
        <v>21</v>
      </c>
      <c r="N38" s="59" t="s">
        <v>39</v>
      </c>
      <c r="O38" s="69"/>
      <c r="P38" s="70" t="s">
        <v>42</v>
      </c>
      <c r="Q38" s="62">
        <v>1</v>
      </c>
      <c r="R38" s="71" t="s">
        <v>41</v>
      </c>
      <c r="S38" s="64" t="s">
        <v>39</v>
      </c>
      <c r="U38" s="46"/>
      <c r="AB38" s="89"/>
      <c r="AC38" s="92"/>
      <c r="AD38" s="89"/>
      <c r="AE38" s="89"/>
      <c r="AF38" s="89"/>
    </row>
    <row r="39" spans="1:152" ht="15" x14ac:dyDescent="0.5">
      <c r="A39" s="102"/>
      <c r="B39" s="102"/>
      <c r="C39" s="103"/>
      <c r="D39" s="103"/>
      <c r="E39" s="103"/>
      <c r="F39" s="101"/>
      <c r="H39" s="75"/>
      <c r="I39" s="76"/>
      <c r="J39" s="77"/>
      <c r="K39" s="77"/>
      <c r="L39" s="78"/>
      <c r="M39" s="78"/>
      <c r="N39" s="79"/>
      <c r="O39" s="51"/>
      <c r="P39" s="80"/>
      <c r="Q39" s="81"/>
      <c r="R39" s="82"/>
      <c r="S39" s="83"/>
      <c r="U39" s="46"/>
      <c r="AB39" s="49"/>
      <c r="AC39" s="49"/>
      <c r="AD39" s="49"/>
      <c r="AE39" s="89"/>
      <c r="AF39" s="89"/>
    </row>
    <row r="40" spans="1:152" ht="15" x14ac:dyDescent="0.5">
      <c r="A40" s="105"/>
      <c r="B40" s="105"/>
      <c r="C40" s="103"/>
      <c r="D40" s="103"/>
      <c r="E40" s="103"/>
      <c r="F40" s="101"/>
      <c r="H40" s="664" t="s">
        <v>61</v>
      </c>
      <c r="I40" s="665"/>
      <c r="J40" s="56" t="s">
        <v>37</v>
      </c>
      <c r="K40" s="57"/>
      <c r="L40" s="56" t="s">
        <v>23</v>
      </c>
      <c r="M40" s="58" t="s">
        <v>38</v>
      </c>
      <c r="N40" s="59" t="s">
        <v>39</v>
      </c>
      <c r="O40" s="60"/>
      <c r="P40" s="61" t="s">
        <v>40</v>
      </c>
      <c r="Q40" s="62">
        <v>1</v>
      </c>
      <c r="R40" s="63" t="s">
        <v>41</v>
      </c>
      <c r="S40" s="64" t="s">
        <v>39</v>
      </c>
      <c r="U40" s="46"/>
      <c r="AB40" s="90"/>
      <c r="AC40" s="92"/>
      <c r="AD40" s="89"/>
      <c r="AE40" s="89"/>
      <c r="AF40" s="89"/>
    </row>
    <row r="41" spans="1:152" ht="15" x14ac:dyDescent="0.5">
      <c r="A41" s="102"/>
      <c r="B41" s="102"/>
      <c r="C41" s="103"/>
      <c r="D41" s="103"/>
      <c r="E41" s="103"/>
      <c r="F41" s="101"/>
      <c r="G41" s="106"/>
      <c r="H41" s="666"/>
      <c r="I41" s="667"/>
      <c r="J41" s="67" t="s">
        <v>14</v>
      </c>
      <c r="K41" s="68"/>
      <c r="L41" s="67" t="s">
        <v>26</v>
      </c>
      <c r="M41" s="67" t="s">
        <v>21</v>
      </c>
      <c r="N41" s="59" t="s">
        <v>39</v>
      </c>
      <c r="O41" s="69"/>
      <c r="P41" s="70" t="s">
        <v>42</v>
      </c>
      <c r="Q41" s="62">
        <v>1</v>
      </c>
      <c r="R41" s="71" t="s">
        <v>41</v>
      </c>
      <c r="S41" s="64" t="s">
        <v>39</v>
      </c>
      <c r="U41" s="46"/>
      <c r="X41" s="49"/>
      <c r="Y41" s="107"/>
      <c r="Z41" s="108"/>
      <c r="AA41" s="89"/>
      <c r="AB41" s="89"/>
      <c r="AC41" s="89"/>
      <c r="AD41" s="89"/>
      <c r="AE41" s="89"/>
      <c r="AF41" s="89"/>
      <c r="AG41" s="49"/>
      <c r="AH41" s="49"/>
    </row>
    <row r="42" spans="1:152" ht="15" x14ac:dyDescent="0.4">
      <c r="A42" s="109" t="s">
        <v>62</v>
      </c>
      <c r="C42" s="110"/>
      <c r="D42" s="110"/>
      <c r="E42" s="110"/>
      <c r="F42" s="110"/>
      <c r="G42" s="110"/>
      <c r="H42" s="110"/>
      <c r="I42" s="110"/>
      <c r="J42" s="110"/>
      <c r="K42" s="110"/>
      <c r="L42" s="110"/>
      <c r="M42" s="110"/>
      <c r="AE42" s="111"/>
      <c r="AF42" s="111"/>
      <c r="DW42" s="47"/>
      <c r="EA42" s="48"/>
      <c r="EB42" s="48"/>
      <c r="EC42" s="48"/>
      <c r="ED42" s="48"/>
      <c r="EE42" s="48"/>
    </row>
    <row r="43" spans="1:152" ht="17.399999999999999" x14ac:dyDescent="0.55000000000000004">
      <c r="A43" s="112" t="s">
        <v>63</v>
      </c>
      <c r="B43" s="679"/>
      <c r="C43" s="679"/>
      <c r="D43" s="113"/>
      <c r="E43" s="113"/>
      <c r="F43" s="113"/>
      <c r="G43" s="25"/>
      <c r="H43" s="25"/>
      <c r="I43" s="25"/>
      <c r="J43" s="25"/>
      <c r="K43" s="25"/>
      <c r="L43" s="25"/>
      <c r="M43" s="25"/>
      <c r="N43" s="29"/>
      <c r="O43" s="29"/>
      <c r="P43" s="29"/>
      <c r="Q43" s="29"/>
      <c r="R43" s="29"/>
      <c r="S43" s="29"/>
      <c r="T43" s="29"/>
      <c r="U43" s="29"/>
      <c r="V43" s="29"/>
      <c r="W43" s="29"/>
      <c r="X43" s="89"/>
      <c r="Y43" s="89"/>
      <c r="Z43" s="89"/>
      <c r="AA43" s="89"/>
      <c r="AB43" s="89"/>
      <c r="AC43" s="89"/>
      <c r="AD43" s="89"/>
      <c r="AE43" s="89"/>
      <c r="AF43" s="89"/>
      <c r="AG43" s="49"/>
      <c r="AH43" s="49"/>
      <c r="AI43" s="114"/>
      <c r="AJ43" s="114"/>
      <c r="AK43" s="114"/>
      <c r="AL43" s="114"/>
      <c r="AM43" s="114"/>
      <c r="AN43" s="115" t="s">
        <v>64</v>
      </c>
      <c r="AZ43" s="115" t="s">
        <v>64</v>
      </c>
      <c r="BJ43" s="115" t="s">
        <v>64</v>
      </c>
      <c r="BR43" s="115" t="s">
        <v>64</v>
      </c>
      <c r="BY43" s="115" t="s">
        <v>64</v>
      </c>
      <c r="CG43" s="115" t="s">
        <v>64</v>
      </c>
      <c r="CP43" s="115" t="s">
        <v>64</v>
      </c>
      <c r="CZ43" s="116"/>
      <c r="DA43" s="116"/>
      <c r="DB43" s="116"/>
      <c r="DC43" s="116"/>
      <c r="DD43" s="116"/>
      <c r="DE43" s="116"/>
      <c r="DF43" s="116"/>
      <c r="DG43" s="116"/>
      <c r="DH43" s="116"/>
      <c r="DI43" s="117" t="str">
        <f ca="1">"DJ"&amp;MIN(DK46:DK94)</f>
        <v>DJ46</v>
      </c>
      <c r="DJ43" s="118" t="str">
        <f ca="1">"DJ"&amp;MAX(DK46:DK94)</f>
        <v>DJ92</v>
      </c>
      <c r="DK43" s="116"/>
      <c r="DL43" s="117" t="str">
        <f ca="1">"DM"&amp;MIN(DN46:DN94)</f>
        <v>DM46</v>
      </c>
      <c r="DM43" s="118" t="str">
        <f ca="1">"DM"&amp;MAX(DN46:DN94)</f>
        <v>DM92</v>
      </c>
      <c r="DN43" s="116"/>
      <c r="DO43" s="117" t="str">
        <f ca="1">"DP"&amp;MIN(DQ46:DQ94)</f>
        <v>DP46</v>
      </c>
      <c r="DP43" s="118" t="str">
        <f ca="1">"DP"&amp;MAX(DQ46:DQ94)</f>
        <v>DP92</v>
      </c>
      <c r="DQ43" s="116"/>
      <c r="DV43" s="115" t="s">
        <v>64</v>
      </c>
      <c r="DW43" s="119"/>
      <c r="EA43" s="33"/>
      <c r="EB43" s="33"/>
      <c r="EC43" s="33"/>
      <c r="ED43" s="33"/>
      <c r="EE43" s="33"/>
      <c r="EF43" s="115"/>
      <c r="EU43" s="115"/>
    </row>
    <row r="44" spans="1:152" ht="24.6" x14ac:dyDescent="0.45">
      <c r="A44" s="95" t="s">
        <v>65</v>
      </c>
      <c r="C44" s="680" t="str">
        <f>A62</f>
        <v>Base Cases</v>
      </c>
      <c r="D44" s="681"/>
      <c r="E44" s="682"/>
      <c r="F44" s="683" t="str">
        <f>A63</f>
        <v>Conservative Cases</v>
      </c>
      <c r="G44" s="684"/>
      <c r="H44" s="685"/>
      <c r="I44" s="686" t="str">
        <f>A64</f>
        <v>Ambitious Cases</v>
      </c>
      <c r="J44" s="687"/>
      <c r="K44" s="688"/>
      <c r="L44" s="692" t="str">
        <f>A65</f>
        <v>Maximum Cases</v>
      </c>
      <c r="M44" s="693"/>
      <c r="Q44" s="65"/>
      <c r="W44" s="689" t="s">
        <v>66</v>
      </c>
      <c r="X44" s="689"/>
      <c r="Y44" s="689"/>
      <c r="Z44" s="120"/>
      <c r="AA44" s="120"/>
      <c r="AB44" s="120"/>
      <c r="AC44" s="120"/>
      <c r="AD44" s="120"/>
      <c r="AE44" s="120"/>
      <c r="AF44" s="120"/>
      <c r="AG44" s="120"/>
      <c r="AH44" s="120"/>
      <c r="AI44" s="120"/>
      <c r="AJ44" s="120"/>
      <c r="AK44" s="120"/>
      <c r="AL44" s="120"/>
      <c r="AM44" s="120"/>
      <c r="AN44" s="120"/>
      <c r="BR44" s="121" t="s">
        <v>67</v>
      </c>
      <c r="BS44" s="121"/>
      <c r="BT44" s="121"/>
      <c r="BU44" s="121"/>
      <c r="BV44" s="121"/>
      <c r="BW44" s="122"/>
      <c r="BY44" s="121" t="s">
        <v>68</v>
      </c>
      <c r="BZ44" s="121"/>
      <c r="CA44" s="121"/>
      <c r="CB44" s="121"/>
      <c r="CC44" s="121"/>
      <c r="CD44" s="121"/>
      <c r="CG44" s="121" t="s">
        <v>69</v>
      </c>
      <c r="CH44" s="121"/>
      <c r="CI44" s="121"/>
      <c r="CJ44" s="121"/>
      <c r="CK44" s="121"/>
      <c r="CL44" s="121"/>
      <c r="CM44" s="121"/>
      <c r="CP44" s="121" t="s">
        <v>70</v>
      </c>
      <c r="CQ44" s="121"/>
      <c r="CR44" s="121"/>
      <c r="CS44" s="121"/>
      <c r="CT44" s="121"/>
      <c r="CU44" s="121"/>
      <c r="CZ44" s="123"/>
      <c r="DA44" s="123"/>
      <c r="DB44" s="123"/>
      <c r="DC44" s="123"/>
      <c r="DD44" s="123"/>
      <c r="DE44" s="123"/>
      <c r="DF44" s="123"/>
      <c r="DG44" s="123"/>
      <c r="DH44" s="123"/>
      <c r="DI44" s="124" t="str">
        <f ca="1">"DI"&amp;MIN(DK46:DK94)</f>
        <v>DI46</v>
      </c>
      <c r="DJ44" s="125" t="str">
        <f ca="1">"DI"&amp;MAX(DK46:DK94)</f>
        <v>DI92</v>
      </c>
      <c r="DK44" s="123"/>
      <c r="DL44" s="124" t="str">
        <f ca="1">"DL"&amp;MIN(DN46:DN94)</f>
        <v>DL46</v>
      </c>
      <c r="DM44" s="125" t="str">
        <f ca="1">"DL"&amp;MAX(DN46:DN94)</f>
        <v>DL92</v>
      </c>
      <c r="DN44" s="123"/>
      <c r="DO44" s="124" t="str">
        <f ca="1">"DO"&amp;MIN(DQ46:DQ94)</f>
        <v>DO46</v>
      </c>
      <c r="DP44" s="125" t="str">
        <f ca="1">"DO"&amp;MAX(DQ46:DQ94)</f>
        <v>DO92</v>
      </c>
      <c r="DQ44" s="123"/>
      <c r="DV44" s="126" t="s">
        <v>71</v>
      </c>
      <c r="DZ44" s="127" t="s">
        <v>72</v>
      </c>
      <c r="EA44" s="33" t="str">
        <f>$V$4</f>
        <v>3rd Poly</v>
      </c>
      <c r="EU44" s="126"/>
    </row>
    <row r="45" spans="1:152" ht="73.8" x14ac:dyDescent="0.45">
      <c r="A45" s="95" t="s">
        <v>73</v>
      </c>
      <c r="B45" s="128"/>
      <c r="C45" s="129" t="str">
        <f>A46</f>
        <v>IPCC</v>
      </c>
      <c r="D45" s="130" t="str">
        <f>A47</f>
        <v>World Bank, What a Waste</v>
      </c>
      <c r="E45" s="131" t="str">
        <f>A48</f>
        <v>Bahor et al (2009)</v>
      </c>
      <c r="F45" s="129" t="str">
        <f>A49</f>
        <v>Hoornweg et al (2014)</v>
      </c>
      <c r="G45" s="130" t="str">
        <f>A50</f>
        <v xml:space="preserve"> IEA Annex I – Municipal solid waste potential in cities; Table I.1</v>
      </c>
      <c r="H45" s="131" t="str">
        <f>A51</f>
        <v>[Source 3]</v>
      </c>
      <c r="I45" s="129" t="str">
        <f>A52</f>
        <v>[Source 1]</v>
      </c>
      <c r="J45" s="130" t="str">
        <f>A53</f>
        <v>[Source 2]</v>
      </c>
      <c r="K45" s="131" t="str">
        <f>A54</f>
        <v>[Source 3]</v>
      </c>
      <c r="L45" s="129" t="str">
        <f>A55</f>
        <v>[Source 1]</v>
      </c>
      <c r="M45" s="131" t="str">
        <f>A56</f>
        <v>[Source 2]</v>
      </c>
      <c r="N45" s="132" t="s">
        <v>74</v>
      </c>
      <c r="P45" s="133"/>
      <c r="Q45" s="134" t="s">
        <v>75</v>
      </c>
      <c r="R45" s="135" t="s">
        <v>76</v>
      </c>
      <c r="S45" s="134" t="s">
        <v>77</v>
      </c>
      <c r="T45" s="134" t="s">
        <v>78</v>
      </c>
      <c r="U45" s="136" t="s">
        <v>79</v>
      </c>
      <c r="V45" s="137"/>
      <c r="W45" s="136" t="s">
        <v>15</v>
      </c>
      <c r="X45" s="134" t="s">
        <v>21</v>
      </c>
      <c r="Y45" s="136" t="s">
        <v>25</v>
      </c>
      <c r="AA45" s="138" t="s">
        <v>387</v>
      </c>
      <c r="AB45" s="138" t="s">
        <v>388</v>
      </c>
      <c r="AC45" s="138" t="s">
        <v>389</v>
      </c>
      <c r="AD45" s="138"/>
      <c r="AE45" s="138"/>
      <c r="AF45" s="138"/>
      <c r="AG45" s="138"/>
      <c r="AH45" s="138"/>
      <c r="AI45" s="138"/>
      <c r="AJ45" s="138"/>
      <c r="AK45" s="138"/>
      <c r="AL45" s="138"/>
      <c r="AM45" s="138"/>
      <c r="AN45" s="138"/>
      <c r="BR45" s="139"/>
      <c r="BS45" s="139"/>
      <c r="BT45" s="139"/>
      <c r="BU45" s="139"/>
      <c r="BV45" s="139"/>
      <c r="BW45" s="122"/>
      <c r="BZ45" s="139"/>
      <c r="CA45" s="139"/>
      <c r="CB45" s="139"/>
      <c r="CC45" s="139"/>
      <c r="CD45" s="139"/>
      <c r="CH45" s="139"/>
      <c r="CI45" s="139"/>
      <c r="CJ45" s="139"/>
      <c r="CK45" s="139"/>
      <c r="CL45" s="139"/>
      <c r="CM45" s="139"/>
      <c r="CQ45" s="139"/>
      <c r="CR45" s="139"/>
      <c r="CS45" s="139"/>
      <c r="CT45" s="139"/>
      <c r="CU45" s="139"/>
      <c r="CZ45" s="140"/>
      <c r="DA45" s="140"/>
      <c r="DB45" s="140"/>
      <c r="DC45" s="140"/>
      <c r="DD45" s="141"/>
      <c r="DE45" s="141"/>
      <c r="DF45" s="141"/>
      <c r="DG45" s="141"/>
      <c r="DH45" s="140"/>
      <c r="DI45" s="142"/>
      <c r="DJ45" s="143"/>
      <c r="DK45" s="144"/>
      <c r="DL45" s="142"/>
      <c r="DM45" s="143"/>
      <c r="DN45" s="140"/>
      <c r="DO45" s="142"/>
      <c r="DP45" s="143"/>
      <c r="DQ45" s="140"/>
      <c r="DV45" s="145">
        <v>2014</v>
      </c>
      <c r="DW45" s="146">
        <f ca="1">IF($B$34=$A$46,IF(C55="",IF($B$19="Linear",BV50,IF($B$19="2nd Poly",CD50,IF($B$19="3rd Poly",CM50,IF($B$19="Exp",CT50)))),C55),IF($B$34=$A$47,IF(D55="",IF($B$19="Linear",BV50,IF($B$19="2nd Poly",CD50,IF($B$19="3rd Poly",CM50,IF($B$19="Exp",CT50)))),D55),IF($B$34=$A$48,IF(E55="",IF($B$19="Linear",BV50,IF($B$19="2nd Poly",CD50,IF($B$19="3rd Poly",CM50,IF($B$19="Exp",CT50)))),E55),IF($B$34=$A$49,IF(F55="",IF($B$19="Linear",BV50,IF($B$19="2nd Poly",CD50,IF($B$19="3rd Poly",CM50,IF($B$19="Exp",CT50)))),F55),IF($B$34=$A$50,IF(G55="",IF($B$19="Linear",BV50,IF($B$19="2nd Poly",CD50,IF($B$19="3rd Poly",CM50,IF($B$19="Exp",CT50)))),G55),IF($B$34=$A$51,IF(H55="",IF($B$19="Linear",BV50,IF($B$19="2nd Poly",CD50,IF($B$19="3rd Poly",CM50,IF($B$19="Exp",CT50)))),H55),IF($B$34=$A$52,IF(I55="",IF($B$19="Linear",BV50,IF($B$19="2nd Poly",CD50,IF($B$19="3rd Poly",CM50,IF($B$19="Exp",CT50)))),I55),IF($B$34=$A$53,IF(J55="",IF($B$19="Linear",BV50,IF($B$19="2nd Poly",CD50,IF($B$19="3rd Poly",CM50,IF($B$19="Exp",CT50)))),J55),IF($B$34=$A$54,IF(K55="",IF($B$19="Linear",BV50,IF($B$19="2nd Poly",CD50,IF($B$19="3rd Poly",CM50,IF($B$19="Exp",CT50)))),K55),IF($B$34=$A$55,IF(L55="",IF($B$19="Linear",BV50,IF($B$19="2nd Poly",CD50,IF($B$19="3rd Poly",CM50,IF($B$19="Exp",CT50)))),L55),IF($B$34=$A$56,IF(M55="",IF($B$19="Linear",BV50,IF($B$19="2nd Poly",CD50,IF($B$19="3rd Poly",CM50,IF($B$19="Exp",CT50)))),M55),IF($B$19="Linear",BV50,IF($B$19="2nd Poly",CD50,IF($B$19="3rd Poly",CM50,IF($B$19="Exp",CT50)))))))))))))))</f>
        <v>1955.2513850856349</v>
      </c>
      <c r="EA45" s="33" t="str">
        <f>IF($B$36="ALL SOURCES",$V$5,"Medium")</f>
        <v>Medium</v>
      </c>
      <c r="EB45" s="33"/>
      <c r="EC45" s="33"/>
      <c r="ED45" s="33"/>
      <c r="EE45" s="33"/>
      <c r="EV45" s="147"/>
    </row>
    <row r="46" spans="1:152" ht="13.8" x14ac:dyDescent="0.45">
      <c r="A46" s="148" t="s">
        <v>108</v>
      </c>
      <c r="B46" s="128">
        <v>2012</v>
      </c>
      <c r="C46" s="149"/>
      <c r="D46" s="150"/>
      <c r="E46" s="151"/>
      <c r="F46" s="152"/>
      <c r="G46" s="150"/>
      <c r="H46" s="151"/>
      <c r="I46" s="152"/>
      <c r="J46" s="150"/>
      <c r="K46" s="151"/>
      <c r="L46" s="152"/>
      <c r="M46" s="151"/>
      <c r="N46" s="29" t="s">
        <v>119</v>
      </c>
      <c r="P46" s="153"/>
      <c r="Q46" s="153"/>
      <c r="R46" s="29">
        <v>-2</v>
      </c>
      <c r="S46" s="154" t="str">
        <f t="shared" ref="S46:S94" si="0">IF(MIN(C46:Q46)=0,"",MIN(C46:Q46))</f>
        <v/>
      </c>
      <c r="T46" s="154" t="str">
        <f t="shared" ref="T46:T94" si="1">IF(MAX(C46:Q46)=0,"",MAX(C46:Q46))</f>
        <v/>
      </c>
      <c r="U46" s="154" t="str">
        <f>IF(T46="","",IF($B$36=$A$45,_xlfn.STDEV.P(C46:Q46),IF($B$36=$A$62,_xlfn.STDEV.P(C46:E46),IF($B$36=$A$63,_xlfn.STDEV.P(F46:H46),IF($B$36=$A$64,_xlfn.STDEV.P(I46:K46),IF($B$36=$A$65,_xlfn.STDEV.P(L46:M46)))))))</f>
        <v/>
      </c>
      <c r="V46" s="29"/>
      <c r="W46" s="154" t="e">
        <f t="shared" ref="W46:W94" si="2">IF(U46="",#N/A,X46-(U46*$B$25))</f>
        <v>#N/A</v>
      </c>
      <c r="X46" s="154" t="e">
        <f>IF(U46="",#N/A,IF($B$36=$A$62,(SUM(C46:E46)/COUNTIF(C46:E46,"&gt;0")),IF($B$36=$A$63,(SUM(F46:H46)/COUNTIF(F46:H46,"&gt;0")),IF($B$36=$A$64,(SUM(I46:K46)/COUNTIF(I46:K46,"&gt;0")),IF($B$36=$A$65,(SUM(L46:M46)/COUNTIF(L46:M46,"&gt;0")),(IF($B$36=$A$46,IF(C46="",#N/A,C46),IF($B$36=$A$47,IF(D46="",#N/A,D46),IF($B$36=$A$48,IF(E46="",#N/A,E46),IF($B$36=$A$49,IF(F46="",#N/A,F46),IF($B$36=$A$50,IF(G46="",#N/A,G46),IF($B$36=$A$51,IF(H46="",#N/A,H46),IF($B$36=$A$52,IF(I46="",#N/A,I46),IF($B$36=$A$53,IF(J46="",#N/A,J46),IF($B$36=$A$54,IF(K46="",#N/A,K46),IF($B$36=$A$55,IF(L46="",#N/A,L46),IF($B$36=$A$56,IF(M46="",#N/A,M46),IF(U46="",#N/A,(SUM(C46:Q46)/COUNTIFS(C46:Q46,"&gt;0"))))))))))))))))))))</f>
        <v>#N/A</v>
      </c>
      <c r="Y46" s="154" t="e">
        <f t="shared" ref="Y46:Y94" si="3">IF(U46="",#N/A,X46+(U46*$B$24))</f>
        <v>#N/A</v>
      </c>
      <c r="AA46" s="966"/>
      <c r="AB46" s="138"/>
      <c r="AC46" s="138"/>
      <c r="AD46" s="138"/>
      <c r="AE46" s="138"/>
      <c r="AF46" s="138"/>
      <c r="AG46" s="138"/>
      <c r="AH46" s="138"/>
      <c r="AI46" s="138"/>
      <c r="AJ46" s="138"/>
      <c r="AK46" s="138"/>
      <c r="AL46" s="138"/>
      <c r="AM46" s="138"/>
      <c r="AN46" s="138"/>
      <c r="BR46" s="137" t="s">
        <v>81</v>
      </c>
      <c r="BS46" s="65" t="str">
        <f>IF($AC$3="N",$V$5,$C$19)</f>
        <v>Medium</v>
      </c>
      <c r="BT46" s="137" t="s">
        <v>82</v>
      </c>
      <c r="BU46" s="137" t="s">
        <v>83</v>
      </c>
      <c r="BW46" s="133"/>
      <c r="BY46" s="137" t="s">
        <v>81</v>
      </c>
      <c r="BZ46" s="65" t="str">
        <f>IF($AC$3="N",$V$5,$C$19)</f>
        <v>Medium</v>
      </c>
      <c r="CA46" s="137" t="s">
        <v>84</v>
      </c>
      <c r="CB46" s="137" t="s">
        <v>82</v>
      </c>
      <c r="CC46" s="137" t="s">
        <v>83</v>
      </c>
      <c r="CG46" s="137" t="s">
        <v>81</v>
      </c>
      <c r="CH46" s="65" t="str">
        <f>IF($AC$3="N",$V$5,$C$19)</f>
        <v>Medium</v>
      </c>
      <c r="CI46" s="137" t="s">
        <v>85</v>
      </c>
      <c r="CJ46" s="137" t="s">
        <v>84</v>
      </c>
      <c r="CK46" s="137" t="s">
        <v>82</v>
      </c>
      <c r="CL46" s="137" t="s">
        <v>83</v>
      </c>
      <c r="CP46" s="137" t="s">
        <v>81</v>
      </c>
      <c r="CQ46" s="65" t="str">
        <f>IF($AC$3="N",$V$5,$C$19)</f>
        <v>Medium</v>
      </c>
      <c r="CR46" s="137" t="s">
        <v>86</v>
      </c>
      <c r="CS46" s="137" t="s">
        <v>87</v>
      </c>
      <c r="CZ46" s="155" t="b">
        <f t="shared" ref="CZ46:DB85" si="4">ISNUMBER(W46)</f>
        <v>0</v>
      </c>
      <c r="DA46" s="156" t="b">
        <f t="shared" si="4"/>
        <v>0</v>
      </c>
      <c r="DB46" s="157" t="b">
        <f t="shared" si="4"/>
        <v>0</v>
      </c>
      <c r="DC46" s="155" t="str">
        <f>IF(CZ46=TRUE,$R46,"")</f>
        <v/>
      </c>
      <c r="DD46" s="157" t="str">
        <f t="shared" ref="DD46:DD94" si="5">IF(CZ46=TRUE,W46,"")</f>
        <v/>
      </c>
      <c r="DE46" s="155" t="str">
        <f t="shared" ref="DE46:DE94" si="6">IF(DA46=TRUE,$R46,"")</f>
        <v/>
      </c>
      <c r="DF46" s="157" t="str">
        <f t="shared" ref="DF46:DF94" si="7">IF(DA46=TRUE,X46,"")</f>
        <v/>
      </c>
      <c r="DG46" s="155" t="str">
        <f t="shared" ref="DG46:DG94" si="8">IF(DB46=TRUE,$R46,"")</f>
        <v/>
      </c>
      <c r="DH46" s="157" t="str">
        <f t="shared" ref="DH46:DH94" si="9">IF(DB46=TRUE,Y46,"")</f>
        <v/>
      </c>
      <c r="DI46" s="155">
        <f ca="1">IFERROR(INDEX(DC$46:DC$94,_xlfn.AGGREGATE(15,6,(ROW(DC$46:DC$94)-ROW(DC$46)+1)/(DC$46:DC$94&lt;&gt;""),ROWS(DI$1:DI1))),"")</f>
        <v>0</v>
      </c>
      <c r="DJ46" s="156">
        <f ca="1">IFERROR(INDEX(DD$46:DD$94,_xlfn.AGGREGATE(15,6,(ROW(DD$46:DD$94)-ROW(DD$46)+1)/(DD$46:DD$94&lt;&gt;""),ROWS(DJ$1:DJ1))),"")</f>
        <v>1955.1140630153241</v>
      </c>
      <c r="DK46" s="157">
        <f t="shared" ref="DK46:DK94" ca="1" si="10">IF(ISNUMBER(DI46),ROW(DI46),"")</f>
        <v>46</v>
      </c>
      <c r="DL46" s="155">
        <f ca="1">IFERROR(INDEX(DE$46:DE$94,_xlfn.AGGREGATE(15,6,(ROW(DE$46:DE$94)-ROW(DE$46)+1)/(DE$46:DE$94&lt;&gt;""),ROWS(DL$1:DL1))),"")</f>
        <v>0</v>
      </c>
      <c r="DM46" s="156">
        <f ca="1">IFERROR(INDEX(DF$46:DF$94,_xlfn.AGGREGATE(15,6,(ROW(DF$46:DF$94)-ROW(DF$46)+1)/(DF$46:DF$94&lt;&gt;""),ROWS(DM$1:DM1))),"")</f>
        <v>1955.1140630153241</v>
      </c>
      <c r="DN46" s="157">
        <f t="shared" ref="DN46:DN94" ca="1" si="11">IF(ISNUMBER(DI46),ROW(DI46),"")</f>
        <v>46</v>
      </c>
      <c r="DO46" s="155">
        <f ca="1">IFERROR(INDEX(DG$46:DG$94,_xlfn.AGGREGATE(15,6,(ROW(DG$46:DG$94)-ROW(DG$46)+1)/(DG$46:DG$94&lt;&gt;""),ROWS(DO$1:DO1))),"")</f>
        <v>0</v>
      </c>
      <c r="DP46" s="156">
        <f ca="1">IFERROR(INDEX(DH$46:DH$94,_xlfn.AGGREGATE(15,6,(ROW(DH$46:DH$94)-ROW(DH$46)+1)/(DH$46:DH$94&lt;&gt;""),ROWS(DP$1:DP1))),"")</f>
        <v>1955.1140630153241</v>
      </c>
      <c r="DQ46" s="157">
        <f t="shared" ref="DQ46:DQ94" ca="1" si="12">IF(ISNUMBER(DL46),ROW(DL46),"")</f>
        <v>46</v>
      </c>
      <c r="DV46" s="145">
        <v>2015</v>
      </c>
      <c r="DW46" s="146">
        <f t="shared" ref="DW46:DW91" ca="1" si="13">IF($AC$3="N",IF($V$4="Linear",BV51,IF($V$4="2nd Poly",CD51,IF($V$4="3rd Poly",CM51,IF($V$4="Exp",CT51)))),IF($B$19="Linear",BV51,IF($B$19="2nd Poly",CD51,IF($B$19="3rd Poly",CM51,IF($B$19="Exp",CT51)))))</f>
        <v>2008.2243020919529</v>
      </c>
      <c r="EA46" s="33"/>
      <c r="EB46" s="33"/>
      <c r="EC46" s="33"/>
      <c r="ED46" s="33"/>
      <c r="EE46" s="33"/>
      <c r="EV46" s="147"/>
    </row>
    <row r="47" spans="1:152" ht="13.8" x14ac:dyDescent="0.45">
      <c r="A47" s="148" t="s">
        <v>109</v>
      </c>
      <c r="B47" s="128">
        <v>2013</v>
      </c>
      <c r="C47" s="158"/>
      <c r="D47" s="159"/>
      <c r="E47" s="151"/>
      <c r="F47" s="152"/>
      <c r="G47" s="159"/>
      <c r="H47" s="151"/>
      <c r="I47" s="152"/>
      <c r="J47" s="159"/>
      <c r="K47" s="151"/>
      <c r="L47" s="152"/>
      <c r="M47" s="151"/>
      <c r="N47" s="29" t="s">
        <v>119</v>
      </c>
      <c r="P47" s="153"/>
      <c r="Q47" s="153"/>
      <c r="R47" s="29">
        <v>-1</v>
      </c>
      <c r="S47" s="154" t="str">
        <f t="shared" si="0"/>
        <v/>
      </c>
      <c r="T47" s="154" t="str">
        <f t="shared" si="1"/>
        <v/>
      </c>
      <c r="U47" s="154" t="str">
        <f t="shared" ref="U47:U93" si="14">IF(T47="","",IF($B$36=$A$45,_xlfn.STDEV.P(C47:Q47),IF($B$36=$A$62,_xlfn.STDEV.P(C47:E47),IF($B$36=$A$63,_xlfn.STDEV.P(F47:H47),IF($B$36=$A$64,_xlfn.STDEV.P(I47:K47),IF($B$36=$A$65,_xlfn.STDEV.P(L47:M47)))))))</f>
        <v/>
      </c>
      <c r="V47" s="29"/>
      <c r="W47" s="154" t="e">
        <f t="shared" si="2"/>
        <v>#N/A</v>
      </c>
      <c r="X47" s="154" t="e">
        <f t="shared" ref="X47:X93" si="15">IF(U47="",#N/A,IF($B$36=$A$62,(SUM(C47:E47)/COUNTIF(C47:E47,"&gt;0")),IF($B$36=$A$63,(SUM(F47:H47)/COUNTIF(F47:H47,"&gt;0")),IF($B$36=$A$64,(SUM(I47:K47)/COUNTIF(I47:K47,"&gt;0")),IF($B$36=$A$65,(SUM(L47:M47)/COUNTIF(L47:M47,"&gt;0")),(IF($B$36=$A$46,IF(C47="",#N/A,C47),IF($B$36=$A$47,IF(D47="",#N/A,D47),IF($B$36=$A$48,IF(E47="",#N/A,E47),IF($B$36=$A$49,IF(F47="",#N/A,F47),IF($B$36=$A$50,IF(G47="",#N/A,G47),IF($B$36=$A$51,IF(H47="",#N/A,H47),IF($B$36=$A$52,IF(I47="",#N/A,I47),IF($B$36=$A$53,IF(J47="",#N/A,J47),IF($B$36=$A$54,IF(K47="",#N/A,K47),IF($B$36=$A$55,IF(L47="",#N/A,L47),IF($B$36=$A$56,IF(M47="",#N/A,M47),IF(U47="",#N/A,(SUM(C47:Q47)/COUNTIFS(C47:Q47,"&gt;0"))))))))))))))))))))</f>
        <v>#N/A</v>
      </c>
      <c r="Y47" s="154" t="e">
        <f t="shared" si="3"/>
        <v>#N/A</v>
      </c>
      <c r="AA47" s="966"/>
      <c r="AB47" s="138"/>
      <c r="AC47" s="138"/>
      <c r="AD47" s="138"/>
      <c r="AE47" s="138"/>
      <c r="AF47" s="138"/>
      <c r="AG47" s="138"/>
      <c r="AH47" s="138"/>
      <c r="AI47" s="138"/>
      <c r="AJ47" s="138"/>
      <c r="AK47" s="138"/>
      <c r="AL47" s="138"/>
      <c r="AM47" s="138"/>
      <c r="AN47" s="138"/>
      <c r="BS47" s="160" t="s">
        <v>25</v>
      </c>
      <c r="BT47" s="161">
        <f ca="1">SLOPE((DH46:DH94),($B$46:$B$94))</f>
        <v>45.472052186348492</v>
      </c>
      <c r="BU47" s="162">
        <f ca="1">INTERCEPT(DP46:DP94,DO46:DO94)</f>
        <v>2458.5470700266569</v>
      </c>
      <c r="BW47" s="133"/>
      <c r="BZ47" s="160" t="s">
        <v>25</v>
      </c>
      <c r="CA47" s="161">
        <f ca="1">INDEX(LINEST((INDIRECT(DO43):INDIRECT(DP43)),(INDIRECT(DO44):INDIRECT(DP44))^{1,2}),1)</f>
        <v>-0.77806934468082911</v>
      </c>
      <c r="CB47" s="163">
        <f ca="1">INDEX(LINEST((INDIRECT(DO43):INDIRECT(DP43)),(INDIRECT(DO44):INDIRECT(DP44))^{1,2}),1,2)</f>
        <v>81.263242041666615</v>
      </c>
      <c r="CC47" s="162">
        <f ca="1">INDEX(LINEST((INDIRECT(DO43):INDIRECT(DP43)),(INDIRECT(DO44):INDIRECT(DP44))^{1,2}),1,3)</f>
        <v>2190.1131461117711</v>
      </c>
      <c r="CH47" s="160" t="s">
        <v>25</v>
      </c>
      <c r="CI47" s="161">
        <f ca="1">INDEX(LINEST((INDIRECT(DO43):INDIRECT(DP43)),(INDIRECT(DO44):INDIRECT(DP44))^{1,2,3}),1)</f>
        <v>1.5343145122527655E-2</v>
      </c>
      <c r="CJ47" s="163">
        <f ca="1">INDEX(LINEST((INDIRECT(DO43):INDIRECT(DP43)),(INDIRECT(DO44):INDIRECT(DP44))^{1,2,3}),1,2)</f>
        <v>-1.8367463581352363</v>
      </c>
      <c r="CK47" s="163">
        <f ca="1">INDEX(LINEST((INDIRECT(DO43):INDIRECT(DP43)),(INDIRECT(DO44):INDIRECT(DP44))^{1,2,3}),1,3)</f>
        <v>100.5342323155613</v>
      </c>
      <c r="CL47" s="162">
        <f ca="1">INDEX(LINEST((INDIRECT(DO43):INDIRECT(DP43)),(INDIRECT(DO44):INDIRECT(DP44))^{1,2,3}),1,4)</f>
        <v>2120.2404632237804</v>
      </c>
      <c r="CQ47" s="160" t="s">
        <v>25</v>
      </c>
      <c r="CR47" s="161">
        <f ca="1">EXP(INDEX(LINEST(LN(INDIRECT(DO43):INDIRECT(DP43)),(INDIRECT(DO44):INDIRECT(DP44))),1,2))</f>
        <v>2507.2618285216049</v>
      </c>
      <c r="CS47" s="162">
        <f ca="1">INDEX(LINEST(LN(INDIRECT(DO43):INDIRECT(DP43)),(INDIRECT(DO44):INDIRECT(DP44))),1)</f>
        <v>1.3751524741225284E-2</v>
      </c>
      <c r="CZ47" s="164" t="b">
        <f t="shared" si="4"/>
        <v>0</v>
      </c>
      <c r="DA47" s="165" t="b">
        <f t="shared" si="4"/>
        <v>0</v>
      </c>
      <c r="DB47" s="166" t="b">
        <f t="shared" si="4"/>
        <v>0</v>
      </c>
      <c r="DC47" s="164" t="str">
        <f t="shared" ref="DC47:DC94" si="16">IF(CZ47=TRUE,R47,"")</f>
        <v/>
      </c>
      <c r="DD47" s="166" t="str">
        <f t="shared" si="5"/>
        <v/>
      </c>
      <c r="DE47" s="164" t="str">
        <f t="shared" si="6"/>
        <v/>
      </c>
      <c r="DF47" s="166" t="str">
        <f t="shared" si="7"/>
        <v/>
      </c>
      <c r="DG47" s="164" t="str">
        <f t="shared" si="8"/>
        <v/>
      </c>
      <c r="DH47" s="166" t="str">
        <f t="shared" si="9"/>
        <v/>
      </c>
      <c r="DI47" s="164">
        <f ca="1">IFERROR(INDEX(DC$46:DC$94,_xlfn.AGGREGATE(15,6,(ROW(DC$46:DC$94)-ROW(DC$46)+1)/(DC$46:DC$94&lt;&gt;""),ROWS(DI$1:DI2))),"")</f>
        <v>1</v>
      </c>
      <c r="DJ47" s="165">
        <f ca="1">IFERROR(INDEX(DD$46:DD$94,_xlfn.AGGREGATE(15,6,(ROW(DD$46:DD$94)-ROW(DD$46)+1)/(DD$46:DD$94&lt;&gt;""),ROWS(DJ$1:DJ2))),"")</f>
        <v>1650.4183441281684</v>
      </c>
      <c r="DK47" s="166">
        <f t="shared" ca="1" si="10"/>
        <v>47</v>
      </c>
      <c r="DL47" s="164">
        <f ca="1">IFERROR(INDEX(DE$46:DE$94,_xlfn.AGGREGATE(15,6,(ROW(DE$46:DE$94)-ROW(DE$46)+1)/(DE$46:DE$94&lt;&gt;""),ROWS(DL$1:DL2))),"")</f>
        <v>1</v>
      </c>
      <c r="DM47" s="165">
        <f ca="1">IFERROR(INDEX(DF$46:DF$94,_xlfn.AGGREGATE(15,6,(ROW(DF$46:DF$94)-ROW(DF$46)+1)/(DF$46:DF$94&lt;&gt;""),ROWS(DM$1:DM2))),"")</f>
        <v>2007.1929905513791</v>
      </c>
      <c r="DN47" s="166">
        <f t="shared" ca="1" si="11"/>
        <v>47</v>
      </c>
      <c r="DO47" s="164">
        <f ca="1">IFERROR(INDEX(DG$46:DG$94,_xlfn.AGGREGATE(15,6,(ROW(DG$46:DG$94)-ROW(DG$46)+1)/(DG$46:DG$94&lt;&gt;""),ROWS(DO$1:DO2))),"")</f>
        <v>1</v>
      </c>
      <c r="DP47" s="165">
        <f ca="1">IFERROR(INDEX(DH$46:DH$94,_xlfn.AGGREGATE(15,6,(ROW(DH$46:DH$94)-ROW(DH$46)+1)/(DH$46:DH$94&lt;&gt;""),ROWS(DP$1:DP2))),"")</f>
        <v>2363.9676369745898</v>
      </c>
      <c r="DQ47" s="166">
        <f t="shared" ca="1" si="12"/>
        <v>47</v>
      </c>
      <c r="DV47" s="145">
        <v>2016</v>
      </c>
      <c r="DW47" s="146">
        <f t="shared" ca="1" si="13"/>
        <v>2061.4299027184256</v>
      </c>
      <c r="DZ47" s="65" t="s">
        <v>89</v>
      </c>
      <c r="EA47" s="33"/>
      <c r="EB47" s="33"/>
      <c r="EC47" s="33"/>
      <c r="ED47" s="33"/>
      <c r="EE47" s="33"/>
      <c r="EV47" s="147"/>
    </row>
    <row r="48" spans="1:152" ht="13.8" x14ac:dyDescent="0.45">
      <c r="A48" s="148" t="s">
        <v>110</v>
      </c>
      <c r="B48" s="128">
        <v>2014</v>
      </c>
      <c r="C48" s="167"/>
      <c r="D48" s="168"/>
      <c r="E48" s="169"/>
      <c r="F48" s="170"/>
      <c r="G48" s="168"/>
      <c r="H48" s="169"/>
      <c r="I48" s="170"/>
      <c r="J48" s="168"/>
      <c r="K48" s="169"/>
      <c r="L48" s="170"/>
      <c r="M48" s="169"/>
      <c r="N48" s="29" t="s">
        <v>119</v>
      </c>
      <c r="P48" s="153"/>
      <c r="Q48" s="171">
        <f ca="1">(IF($B$29="N","",IF($B$30="N","",SUM(DW105,DW169,DW232,DW295,DW358))))</f>
        <v>1955.1140630153241</v>
      </c>
      <c r="R48" s="29">
        <v>0</v>
      </c>
      <c r="S48" s="154">
        <f ca="1">IF(MIN(C48:Q48)=0,"",MIN(C48:Q48))</f>
        <v>1955.1140630153241</v>
      </c>
      <c r="T48" s="154">
        <f ca="1">IF(MAX(C48:Q48)=0,"",MAX(C48:Q48))</f>
        <v>1955.1140630153241</v>
      </c>
      <c r="U48" s="154">
        <f t="shared" ca="1" si="14"/>
        <v>0</v>
      </c>
      <c r="V48" s="29"/>
      <c r="W48" s="154">
        <f ca="1">IF(U48="",#N/A,X48-(U48*$B$25))</f>
        <v>1955.1140630153241</v>
      </c>
      <c r="X48" s="154">
        <f t="shared" ca="1" si="15"/>
        <v>1955.1140630153241</v>
      </c>
      <c r="Y48" s="154">
        <f ca="1">IF(U48="",#N/A,X48+(U48*$B$24))</f>
        <v>1955.1140630153241</v>
      </c>
      <c r="AA48" s="138">
        <v>1955.2513850856349</v>
      </c>
      <c r="AB48" s="138">
        <v>1955.2513850856349</v>
      </c>
      <c r="AC48" s="138">
        <v>1955.2513850856349</v>
      </c>
      <c r="AD48" s="138"/>
      <c r="AE48" s="138"/>
      <c r="AF48" s="138"/>
      <c r="AG48" s="138"/>
      <c r="AH48" s="138"/>
      <c r="AI48" s="138"/>
      <c r="AJ48" s="138"/>
      <c r="AK48" s="138"/>
      <c r="AL48" s="138"/>
      <c r="AM48" s="138"/>
      <c r="AN48" s="138"/>
      <c r="BS48" s="160" t="s">
        <v>91</v>
      </c>
      <c r="BT48" s="172">
        <f ca="1">SLOPE((DF46:DF94),($B$46:$B$94))</f>
        <v>54.77141706806794</v>
      </c>
      <c r="BU48" s="173">
        <f ca="1">INTERCEPT(DM46:DM94,DL46:DL94)</f>
        <v>1950.2460259466402</v>
      </c>
      <c r="BZ48" s="160" t="s">
        <v>91</v>
      </c>
      <c r="CA48" s="172">
        <f ca="1">INDEX(LINEST((INDIRECT(DL43):INDIRECT(DM43)),(INDIRECT(DL44):INDIRECT(DM44))^{1,2}),1)</f>
        <v>-1.0950093320073129E-2</v>
      </c>
      <c r="CB48" s="174">
        <f ca="1">INDEX(LINEST((INDIRECT(DL43):INDIRECT(DM43)),(INDIRECT(DL44):INDIRECT(DM44))^{1,2}),1,2)</f>
        <v>55.275121360791324</v>
      </c>
      <c r="CC48" s="173">
        <f ca="1">INDEX(LINEST((INDIRECT(DL43):INDIRECT(DM43)),(INDIRECT(DL44):INDIRECT(DM44))^{1,2}),1,3)</f>
        <v>1946.4682437512145</v>
      </c>
      <c r="CH48" s="160" t="s">
        <v>91</v>
      </c>
      <c r="CI48" s="172">
        <f ca="1">INDEX(LINEST((INDIRECT(DL43):INDIRECT(DM43)),(INDIRECT(DL44):INDIRECT(DM44))^{1,2,3}),1)</f>
        <v>-1.9286652029908444E-3</v>
      </c>
      <c r="CJ48" s="174">
        <f ca="1">INDEX(LINEST((INDIRECT(DL43):INDIRECT(DM43)),(INDIRECT(DL44):INDIRECT(DM44))^{1,2,3}),1,2)</f>
        <v>0.12212780568629529</v>
      </c>
      <c r="CK48" s="174">
        <f ca="1">INDEX(LINEST((INDIRECT(DL43):INDIRECT(DM43)),(INDIRECT(DL44):INDIRECT(DM44))^{1,2,3}),1,3)</f>
        <v>52.852717865834805</v>
      </c>
      <c r="CL48" s="173">
        <f ca="1">INDEX(LINEST((INDIRECT(DL43):INDIRECT(DM43)),(INDIRECT(DL44):INDIRECT(DM44))^{1,2,3}),1,4)</f>
        <v>1955.2513850856349</v>
      </c>
      <c r="CQ48" s="160" t="s">
        <v>91</v>
      </c>
      <c r="CR48" s="172">
        <f ca="1">EXP(INDEX(LINEST(LN(INDIRECT(DL43):INDIRECT(DM43)),(INDIRECT(DL44):INDIRECT(DM44))),1,2))</f>
        <v>2079.0972973977018</v>
      </c>
      <c r="CS48" s="173">
        <f ca="1">INDEX(LINEST(LN(INDIRECT(DL43):INDIRECT(DM43)),(INDIRECT(DL44):INDIRECT(DM44))),1)</f>
        <v>1.7657873470591307E-2</v>
      </c>
      <c r="CZ48" s="164" t="b">
        <f t="shared" ca="1" si="4"/>
        <v>1</v>
      </c>
      <c r="DA48" s="165" t="b">
        <f t="shared" ca="1" si="4"/>
        <v>1</v>
      </c>
      <c r="DB48" s="166" t="b">
        <f t="shared" ca="1" si="4"/>
        <v>1</v>
      </c>
      <c r="DC48" s="164">
        <f t="shared" ca="1" si="16"/>
        <v>0</v>
      </c>
      <c r="DD48" s="166">
        <f t="shared" ca="1" si="5"/>
        <v>1955.1140630153241</v>
      </c>
      <c r="DE48" s="164">
        <f t="shared" ca="1" si="6"/>
        <v>0</v>
      </c>
      <c r="DF48" s="166">
        <f t="shared" ca="1" si="7"/>
        <v>1955.1140630153241</v>
      </c>
      <c r="DG48" s="164">
        <f t="shared" ca="1" si="8"/>
        <v>0</v>
      </c>
      <c r="DH48" s="166">
        <f t="shared" ca="1" si="9"/>
        <v>1955.1140630153241</v>
      </c>
      <c r="DI48" s="164">
        <f ca="1">IFERROR(INDEX(DC$46:DC$94,_xlfn.AGGREGATE(15,6,(ROW(DC$46:DC$94)-ROW(DC$46)+1)/(DC$46:DC$94&lt;&gt;""),ROWS(DI$1:DI3))),"")</f>
        <v>2</v>
      </c>
      <c r="DJ48" s="165">
        <f ca="1">IFERROR(INDEX(DD$46:DD$94,_xlfn.AGGREGATE(15,6,(ROW(DD$46:DD$94)-ROW(DD$46)+1)/(DD$46:DD$94&lt;&gt;""),ROWS(DJ$1:DJ3))),"")</f>
        <v>1699.4253398631236</v>
      </c>
      <c r="DK48" s="166">
        <f t="shared" ca="1" si="10"/>
        <v>48</v>
      </c>
      <c r="DL48" s="164">
        <f ca="1">IFERROR(INDEX(DE$46:DE$94,_xlfn.AGGREGATE(15,6,(ROW(DE$46:DE$94)-ROW(DE$46)+1)/(DE$46:DE$94&lt;&gt;""),ROWS(DL$1:DL3))),"")</f>
        <v>2</v>
      </c>
      <c r="DM48" s="165">
        <f ca="1">IFERROR(INDEX(DF$46:DF$94,_xlfn.AGGREGATE(15,6,(ROW(DF$46:DF$94)-ROW(DF$46)+1)/(DF$46:DF$94&lt;&gt;""),ROWS(DM$1:DM3))),"")</f>
        <v>2062.2783958814302</v>
      </c>
      <c r="DN48" s="166">
        <f t="shared" ca="1" si="11"/>
        <v>48</v>
      </c>
      <c r="DO48" s="164">
        <f ca="1">IFERROR(INDEX(DG$46:DG$94,_xlfn.AGGREGATE(15,6,(ROW(DG$46:DG$94)-ROW(DG$46)+1)/(DG$46:DG$94&lt;&gt;""),ROWS(DO$1:DO3))),"")</f>
        <v>2</v>
      </c>
      <c r="DP48" s="165">
        <f ca="1">IFERROR(INDEX(DH$46:DH$94,_xlfn.AGGREGATE(15,6,(ROW(DH$46:DH$94)-ROW(DH$46)+1)/(DH$46:DH$94&lt;&gt;""),ROWS(DP$1:DP3))),"")</f>
        <v>2425.1314518997369</v>
      </c>
      <c r="DQ48" s="166">
        <f t="shared" ca="1" si="12"/>
        <v>48</v>
      </c>
      <c r="DV48" s="145">
        <v>2017</v>
      </c>
      <c r="DW48" s="146">
        <f t="shared" ca="1" si="13"/>
        <v>2114.8566149738353</v>
      </c>
      <c r="EA48" s="33" t="s">
        <v>85</v>
      </c>
      <c r="EB48" s="33" t="s">
        <v>84</v>
      </c>
      <c r="EC48" s="33" t="s">
        <v>82</v>
      </c>
      <c r="ED48" s="33" t="s">
        <v>83</v>
      </c>
      <c r="EE48" s="33"/>
      <c r="EV48" s="147"/>
    </row>
    <row r="49" spans="1:152" ht="13.8" x14ac:dyDescent="0.45">
      <c r="A49" s="148" t="s">
        <v>111</v>
      </c>
      <c r="B49" s="128">
        <v>2015</v>
      </c>
      <c r="C49" s="175">
        <f>'Total MSW Summaries (Archive)'!C6</f>
        <v>2287.3596722145717</v>
      </c>
      <c r="D49" s="159">
        <f>'Total MSW Summaries (Archive)'!O6</f>
        <v>1746.5366527598558</v>
      </c>
      <c r="E49" s="151">
        <f>'Total MSW Summaries (Archive)'!AA6</f>
        <v>2480.3520000000008</v>
      </c>
      <c r="F49" s="152">
        <f>'Total MSW Summaries (Archive)'!AM6</f>
        <v>2128.9225674649192</v>
      </c>
      <c r="G49" s="159">
        <f>'Total MSW Summaries (Archive)'!AY6</f>
        <v>1391.8918918918921</v>
      </c>
      <c r="H49" s="151"/>
      <c r="I49" s="152"/>
      <c r="J49" s="159"/>
      <c r="K49" s="151"/>
      <c r="L49" s="152"/>
      <c r="M49" s="151"/>
      <c r="N49" s="29" t="s">
        <v>119</v>
      </c>
      <c r="P49" s="153"/>
      <c r="Q49" s="176">
        <f t="shared" ref="Q49:Q94" ca="1" si="17">(IF($B$29="N","",IF($B$30="N","",SUM(DW106,DW170,DW233,DW296,DW359))))</f>
        <v>2008.0951589770364</v>
      </c>
      <c r="R49" s="29">
        <v>1</v>
      </c>
      <c r="S49" s="154">
        <f t="shared" ref="S49:S55" ca="1" si="18">IF(MIN(C49:Q49)=0,"",MIN(C49:Q49))</f>
        <v>1391.8918918918921</v>
      </c>
      <c r="T49" s="154">
        <f t="shared" ref="T49:T55" ca="1" si="19">IF(MAX(C49:Q49)=0,"",MAX(C49:Q49))</f>
        <v>2480.3520000000008</v>
      </c>
      <c r="U49" s="154">
        <f ca="1">IF(T49="","",IF($B$36=$A$45,_xlfn.STDEV.P(C49:Q49),IF($B$36=$A$62,_xlfn.STDEV.P(C49:E49),IF($B$36=$A$63,_xlfn.STDEV.P(F49:H49),IF($B$36=$A$64,_xlfn.STDEV.P(I49:K49),IF($B$36=$A$65,_xlfn.STDEV.P(L49:M49)))))))</f>
        <v>356.7746464232107</v>
      </c>
      <c r="V49" s="29"/>
      <c r="W49" s="154">
        <f t="shared" ca="1" si="2"/>
        <v>1650.4183441281684</v>
      </c>
      <c r="X49" s="154">
        <f ca="1">IF(U49="",#N/A,IF($B$36=$A$62,(SUM(C49:E49)/COUNTIF(C49:E49,"&gt;0")),IF($B$36=$A$63,(SUM(F49:H49)/COUNTIF(F49:H49,"&gt;0")),IF($B$36=$A$64,(SUM(I49:K49)/COUNTIF(I49:K49,"&gt;0")),IF($B$36=$A$65,(SUM(L49:M49)/COUNTIF(L49:M49,"&gt;0")),(IF($B$36=$A$46,IF(C49="",#N/A,C49),IF($B$36=$A$47,IF(D49="",#N/A,D49),IF($B$36=$A$48,IF(E49="",#N/A,E49),IF($B$36=$A$49,IF(F49="",#N/A,F49),IF($B$36=$A$50,IF(G49="",#N/A,G49),IF($B$36=$A$51,IF(H49="",#N/A,H49),IF($B$36=$A$52,IF(I49="",#N/A,I49),IF($B$36=$A$53,IF(J49="",#N/A,J49),IF($B$36=$A$54,IF(K49="",#N/A,K49),IF($B$36=$A$55,IF(L49="",#N/A,L49),IF($B$36=$A$56,IF(M49="",#N/A,M49),IF(U49="",#N/A,(SUM(C49:Q49)/COUNTIFS(C49:Q49,"&gt;0"))))))))))))))))))))</f>
        <v>2007.1929905513791</v>
      </c>
      <c r="Y49" s="154">
        <f t="shared" ca="1" si="3"/>
        <v>2363.9676369745898</v>
      </c>
      <c r="AA49" s="138">
        <v>2008.2243020919529</v>
      </c>
      <c r="AB49" s="138">
        <v>2008.2243020919529</v>
      </c>
      <c r="AC49" s="138">
        <v>2008.2243020919529</v>
      </c>
      <c r="AD49" s="138"/>
      <c r="AE49" s="138"/>
      <c r="AF49" s="138"/>
      <c r="AG49" s="138"/>
      <c r="AH49" s="138"/>
      <c r="AI49" s="138"/>
      <c r="AJ49" s="138"/>
      <c r="AK49" s="138"/>
      <c r="AL49" s="138"/>
      <c r="AM49" s="138"/>
      <c r="AN49" s="138"/>
      <c r="BR49" s="29"/>
      <c r="BS49" s="160" t="s">
        <v>15</v>
      </c>
      <c r="BT49" s="177">
        <f ca="1">SLOPE((DD46:DD94),($B$46:$B$94))</f>
        <v>64.070781949787417</v>
      </c>
      <c r="BU49" s="178">
        <f ca="1">INTERCEPT(DJ46:DJ94,DI46:DI94)</f>
        <v>1441.9449818666224</v>
      </c>
      <c r="BV49" s="137" t="s">
        <v>71</v>
      </c>
      <c r="BY49" s="29"/>
      <c r="BZ49" s="160" t="s">
        <v>15</v>
      </c>
      <c r="CA49" s="177">
        <f ca="1">INDEX(LINEST((INDIRECT(DI43):INDIRECT(DJ43)),(INDIRECT(DI44):INDIRECT(DJ44))^{1,2}),1)</f>
        <v>0.75616915804068374</v>
      </c>
      <c r="CB49" s="179">
        <f ca="1">INDEX(LINEST((INDIRECT(DI43):INDIRECT(DJ43)),(INDIRECT(DI44):INDIRECT(DJ44))^{1,2}),1,2)</f>
        <v>29.287000679915955</v>
      </c>
      <c r="CC49" s="178">
        <f ca="1">INDEX(LINEST((INDIRECT(DI43):INDIRECT(DJ43)),(INDIRECT(DI44):INDIRECT(DJ44))^{1,2}),1,3)</f>
        <v>1702.8233413906582</v>
      </c>
      <c r="CD49" s="137" t="s">
        <v>71</v>
      </c>
      <c r="CG49" s="29"/>
      <c r="CH49" s="160" t="s">
        <v>15</v>
      </c>
      <c r="CI49" s="177">
        <f ca="1">INDEX(LINEST((INDIRECT(DI43):INDIRECT(DJ43)),(INDIRECT(DI44):INDIRECT(DJ44))^{1,2,3}),1)</f>
        <v>-1.9200475528509363E-2</v>
      </c>
      <c r="CJ49" s="179">
        <f ca="1">INDEX(LINEST((INDIRECT(DI43):INDIRECT(DJ43)),(INDIRECT(DI44):INDIRECT(DJ44))^{1,2,3}),1,2)</f>
        <v>2.0810019695078301</v>
      </c>
      <c r="CK49" s="179">
        <f ca="1">INDEX(LINEST((INDIRECT(DI43):INDIRECT(DJ43)),(INDIRECT(DI44):INDIRECT(DJ44))^{1,2,3}),1,3)</f>
        <v>5.1712034161082281</v>
      </c>
      <c r="CL49" s="178">
        <f ca="1">INDEX(LINEST((INDIRECT(DI43):INDIRECT(DJ43)),(INDIRECT(DI44):INDIRECT(DJ44))^{1,2,3}),1,4)</f>
        <v>1790.2623069474892</v>
      </c>
      <c r="CM49" s="137" t="s">
        <v>71</v>
      </c>
      <c r="CP49" s="29"/>
      <c r="CQ49" s="160" t="s">
        <v>15</v>
      </c>
      <c r="CR49" s="177">
        <f ca="1">EXP(INDEX(LINEST(LN(INDIRECT(DI43):INDIRECT(DJ43)),(INDIRECT(DI44):INDIRECT(DJ44))),1,2))</f>
        <v>1667.0630392365374</v>
      </c>
      <c r="CS49" s="178">
        <f ca="1">INDEX(LINEST(LN(INDIRECT(DI43):INDIRECT(DJ43)),(INDIRECT(DI44):INDIRECT(DJ44))),1)</f>
        <v>2.2287636709161718E-2</v>
      </c>
      <c r="CT49" s="137" t="s">
        <v>71</v>
      </c>
      <c r="CZ49" s="164" t="b">
        <f t="shared" ca="1" si="4"/>
        <v>1</v>
      </c>
      <c r="DA49" s="165" t="b">
        <f t="shared" ca="1" si="4"/>
        <v>1</v>
      </c>
      <c r="DB49" s="166" t="b">
        <f t="shared" ca="1" si="4"/>
        <v>1</v>
      </c>
      <c r="DC49" s="164">
        <f t="shared" ca="1" si="16"/>
        <v>1</v>
      </c>
      <c r="DD49" s="166">
        <f t="shared" ca="1" si="5"/>
        <v>1650.4183441281684</v>
      </c>
      <c r="DE49" s="164">
        <f t="shared" ca="1" si="6"/>
        <v>1</v>
      </c>
      <c r="DF49" s="166">
        <f t="shared" ca="1" si="7"/>
        <v>2007.1929905513791</v>
      </c>
      <c r="DG49" s="164">
        <f t="shared" ca="1" si="8"/>
        <v>1</v>
      </c>
      <c r="DH49" s="166">
        <f t="shared" ca="1" si="9"/>
        <v>2363.9676369745898</v>
      </c>
      <c r="DI49" s="164">
        <f ca="1">IFERROR(INDEX(DC$46:DC$94,_xlfn.AGGREGATE(15,6,(ROW(DC$46:DC$94)-ROW(DC$46)+1)/(DC$46:DC$94&lt;&gt;""),ROWS(DI$1:DI4))),"")</f>
        <v>3</v>
      </c>
      <c r="DJ49" s="165">
        <f ca="1">IFERROR(INDEX(DD$46:DD$94,_xlfn.AGGREGATE(15,6,(ROW(DD$46:DD$94)-ROW(DD$46)+1)/(DD$46:DD$94&lt;&gt;""),ROWS(DJ$1:DJ4))),"")</f>
        <v>1747.32518099598</v>
      </c>
      <c r="DK49" s="166">
        <f t="shared" ca="1" si="10"/>
        <v>49</v>
      </c>
      <c r="DL49" s="164">
        <f ca="1">IFERROR(INDEX(DE$46:DE$94,_xlfn.AGGREGATE(15,6,(ROW(DE$46:DE$94)-ROW(DE$46)+1)/(DE$46:DE$94&lt;&gt;""),ROWS(DL$1:DL4))),"")</f>
        <v>3</v>
      </c>
      <c r="DM49" s="165">
        <f ca="1">IFERROR(INDEX(DF$46:DF$94,_xlfn.AGGREGATE(15,6,(ROW(DF$46:DF$94)-ROW(DF$46)+1)/(DF$46:DF$94&lt;&gt;""),ROWS(DM$1:DM4))),"")</f>
        <v>2115.4477414553171</v>
      </c>
      <c r="DN49" s="166">
        <f t="shared" ca="1" si="11"/>
        <v>49</v>
      </c>
      <c r="DO49" s="164">
        <f ca="1">IFERROR(INDEX(DG$46:DG$94,_xlfn.AGGREGATE(15,6,(ROW(DG$46:DG$94)-ROW(DG$46)+1)/(DG$46:DG$94&lt;&gt;""),ROWS(DO$1:DO4))),"")</f>
        <v>3</v>
      </c>
      <c r="DP49" s="165">
        <f ca="1">IFERROR(INDEX(DH$46:DH$94,_xlfn.AGGREGATE(15,6,(ROW(DH$46:DH$94)-ROW(DH$46)+1)/(DH$46:DH$94&lt;&gt;""),ROWS(DP$1:DP4))),"")</f>
        <v>2483.570301914654</v>
      </c>
      <c r="DQ49" s="166">
        <f t="shared" ca="1" si="12"/>
        <v>49</v>
      </c>
      <c r="DV49" s="145">
        <v>2018</v>
      </c>
      <c r="DW49" s="146">
        <f t="shared" ca="1" si="13"/>
        <v>2168.4928668669636</v>
      </c>
      <c r="DZ49" s="135" t="s">
        <v>92</v>
      </c>
      <c r="EA49" s="33">
        <f ca="1">IF($V$4="Linear",0,IF($V$4="2nd Poly",0,IF($V$4="3rd Poly",CI47,IF($V$4="Exp",0))))</f>
        <v>1.5343145122527655E-2</v>
      </c>
      <c r="EB49" s="33">
        <f ca="1">IF($V$4="Linear",0,IF($V$4="2nd Poly",CA47,IF($V$4="3rd Poly",CJ47,IF($V$4="Exp",0))))</f>
        <v>-1.8367463581352363</v>
      </c>
      <c r="EC49" s="33">
        <f t="shared" ref="EC49:ED51" ca="1" si="20">IF($V$4="Linear",BT47,IF($V$4="2nd Poly",CB47,IF($V$4="3rd Poly",CK47,IF($V$4="Exp",0))))</f>
        <v>100.5342323155613</v>
      </c>
      <c r="ED49" s="33">
        <f t="shared" ca="1" si="20"/>
        <v>2120.2404632237804</v>
      </c>
      <c r="EE49" s="33" t="str">
        <f>IF($EA$44="Linear","High",IF($EA$44="2nd Poly","High",IF($EA$44="3rd Poly","High","N/A")))</f>
        <v>High</v>
      </c>
      <c r="EV49" s="147"/>
    </row>
    <row r="50" spans="1:152" ht="13.8" x14ac:dyDescent="0.45">
      <c r="A50" s="148" t="s">
        <v>116</v>
      </c>
      <c r="B50" s="128">
        <v>2016</v>
      </c>
      <c r="C50" s="175">
        <f>'Total MSW Summaries (Archive)'!C7</f>
        <v>2334.8334030460014</v>
      </c>
      <c r="D50" s="159">
        <f>'Total MSW Summaries (Archive)'!O7</f>
        <v>1805.1364321330068</v>
      </c>
      <c r="E50" s="151">
        <f>'Total MSW Summaries (Archive)'!AA7</f>
        <v>2542.4840000000008</v>
      </c>
      <c r="F50" s="152">
        <f>'Total MSW Summaries (Archive)'!AM7</f>
        <v>2200.0695386429793</v>
      </c>
      <c r="G50" s="159">
        <f>'Total MSW Summaries (Archive)'!AY7</f>
        <v>1429.8378378378382</v>
      </c>
      <c r="H50" s="151"/>
      <c r="I50" s="152"/>
      <c r="J50" s="159"/>
      <c r="K50" s="151"/>
      <c r="L50" s="152"/>
      <c r="M50" s="151"/>
      <c r="N50" s="29" t="s">
        <v>119</v>
      </c>
      <c r="P50" s="153"/>
      <c r="Q50" s="176">
        <f t="shared" ca="1" si="17"/>
        <v>2061.309163628754</v>
      </c>
      <c r="R50" s="29">
        <v>2</v>
      </c>
      <c r="S50" s="154">
        <f t="shared" ca="1" si="18"/>
        <v>1429.8378378378382</v>
      </c>
      <c r="T50" s="154">
        <f t="shared" ca="1" si="19"/>
        <v>2542.4840000000008</v>
      </c>
      <c r="U50" s="154">
        <f t="shared" ca="1" si="14"/>
        <v>362.85305601830669</v>
      </c>
      <c r="V50" s="29"/>
      <c r="W50" s="154">
        <f t="shared" ca="1" si="2"/>
        <v>1699.4253398631236</v>
      </c>
      <c r="X50" s="154">
        <f t="shared" ca="1" si="15"/>
        <v>2062.2783958814302</v>
      </c>
      <c r="Y50" s="154">
        <f t="shared" ca="1" si="3"/>
        <v>2425.1314518997369</v>
      </c>
      <c r="AA50" s="138">
        <v>2061.4299027184256</v>
      </c>
      <c r="AB50" s="138">
        <v>2061.4299027184256</v>
      </c>
      <c r="AC50" s="138">
        <v>2061.4299027184256</v>
      </c>
      <c r="AD50" s="138"/>
      <c r="AE50" s="138"/>
      <c r="AF50" s="138"/>
      <c r="AG50" s="138"/>
      <c r="AH50" s="138"/>
      <c r="AI50" s="138"/>
      <c r="AJ50" s="138"/>
      <c r="AK50" s="138"/>
      <c r="AL50" s="138"/>
      <c r="AM50" s="138"/>
      <c r="AN50" s="138"/>
      <c r="BR50" s="180">
        <v>2014</v>
      </c>
      <c r="BS50" s="22">
        <v>0</v>
      </c>
      <c r="BT50" s="181">
        <f t="shared" ref="BT50:BT95" ca="1" si="21">IF($BS$46="High",BS50*$BT$47,IF($BS$46="Medium",$BT$48*BS50,IF($BS$46="Low",$BT$49*BS50)))</f>
        <v>0</v>
      </c>
      <c r="BU50" s="182">
        <f t="shared" ref="BU50:BU96" ca="1" si="22">IF($BS$46="High",$BU$47,IF($BS$46="Medium",$BU$48,IF($BS$46="Low",BU49)))</f>
        <v>1950.2460259466402</v>
      </c>
      <c r="BV50" s="183">
        <f t="shared" ref="BV50:BV96" ca="1" si="23">BT50+BU50</f>
        <v>1950.2460259466402</v>
      </c>
      <c r="BY50" s="180">
        <v>2014</v>
      </c>
      <c r="BZ50" s="22">
        <v>0</v>
      </c>
      <c r="CA50" s="181">
        <f t="shared" ref="CA50:CA96" ca="1" si="24">IF($BZ$46="High",BZ50^2*$CA$47,IF($BZ$46="Medium",BZ50^2*$CA$48,IF($BZ$46="Low",BZ50^2*$CA$49)))</f>
        <v>0</v>
      </c>
      <c r="CB50" s="181">
        <f t="shared" ref="CB50:CB96" ca="1" si="25">IF($BZ$46="High",BZ50*$CB$47,IF($BZ$46="Medium",BZ50*$CB$48,IF($BZ$46="Low",BZ50*$CB$49)))</f>
        <v>0</v>
      </c>
      <c r="CC50" s="182">
        <f ca="1">IF($BZ$46="High",$CC$47,IF($BZ$46="Medium",$CC$48,IF($BZ$46="Low",$CC$49)))</f>
        <v>1946.4682437512145</v>
      </c>
      <c r="CD50" s="183">
        <f t="shared" ref="CD50:CD96" ca="1" si="26">CA50+CB50+CC50</f>
        <v>1946.4682437512145</v>
      </c>
      <c r="CG50" s="180">
        <v>2014</v>
      </c>
      <c r="CH50" s="22">
        <v>0</v>
      </c>
      <c r="CI50" s="181">
        <f t="shared" ref="CI50:CI96" ca="1" si="27">IF($CH$46="High",CH50^3*$CI$47,IF($CH$46="Medium",CH50^3*$CI$48,IF($CH$46="Low",CH50^3*$CI$49)))</f>
        <v>0</v>
      </c>
      <c r="CJ50" s="181">
        <f t="shared" ref="CJ50:CJ96" ca="1" si="28">IF($CH$46="High",CH50^2*$CJ$47,IF($CH$46="Medium",CH50^2*$CJ$48,IF($CH$46="Low",CH50^2*$CJ$49)))</f>
        <v>0</v>
      </c>
      <c r="CK50" s="181">
        <f t="shared" ref="CK50:CK96" ca="1" si="29">IF($CH$46="High",CH50*$CK$47,IF($CH$46="Medium",CH50*$CK$48,IF($CH$46="Low",CH50*$CK$49)))</f>
        <v>0</v>
      </c>
      <c r="CL50" s="182">
        <f t="shared" ref="CL50:CL96" ca="1" si="30">IF($CH$46="High",$CL$47,IF($CH$46="Medium",$CL$48,IF($CH$46="Low",$CL$49)))</f>
        <v>1955.2513850856349</v>
      </c>
      <c r="CM50" s="183">
        <f t="shared" ref="CM50:CM96" ca="1" si="31">CI50+CJ50+CK50+CL50</f>
        <v>1955.2513850856349</v>
      </c>
      <c r="CP50" s="180">
        <v>2014</v>
      </c>
      <c r="CQ50" s="22">
        <v>0</v>
      </c>
      <c r="CR50" s="181">
        <f t="shared" ref="CR50:CR96" ca="1" si="32">IF($CQ$46="High",$CR$47,IF($CQ$46="Medium",$CR$48,IF($CQ$46="Low",$CR$49)))</f>
        <v>2079.0972973977018</v>
      </c>
      <c r="CS50" s="182">
        <f t="shared" ref="CS50:CS96" ca="1" si="33">IF($CQ$46="High",EXP(1)^($CS$47*CQ50),IF($CQ$46="Medium",EXP(1)^($CS$48*CQ50),IF($CQ$46="Low",EXP(1)^($CS$49*CQ50))))</f>
        <v>1</v>
      </c>
      <c r="CT50" s="183">
        <f t="shared" ref="CT50:CT96" ca="1" si="34">(CR50*CS50)</f>
        <v>2079.0972973977018</v>
      </c>
      <c r="CZ50" s="164" t="b">
        <f t="shared" ca="1" si="4"/>
        <v>1</v>
      </c>
      <c r="DA50" s="165" t="b">
        <f t="shared" ca="1" si="4"/>
        <v>1</v>
      </c>
      <c r="DB50" s="166" t="b">
        <f t="shared" ca="1" si="4"/>
        <v>1</v>
      </c>
      <c r="DC50" s="164">
        <f t="shared" ca="1" si="16"/>
        <v>2</v>
      </c>
      <c r="DD50" s="166">
        <f t="shared" ca="1" si="5"/>
        <v>1699.4253398631236</v>
      </c>
      <c r="DE50" s="164">
        <f t="shared" ca="1" si="6"/>
        <v>2</v>
      </c>
      <c r="DF50" s="166">
        <f t="shared" ca="1" si="7"/>
        <v>2062.2783958814302</v>
      </c>
      <c r="DG50" s="164">
        <f t="shared" ca="1" si="8"/>
        <v>2</v>
      </c>
      <c r="DH50" s="166">
        <f t="shared" ca="1" si="9"/>
        <v>2425.1314518997369</v>
      </c>
      <c r="DI50" s="164">
        <f ca="1">IFERROR(INDEX(DC$46:DC$94,_xlfn.AGGREGATE(15,6,(ROW(DC$46:DC$94)-ROW(DC$46)+1)/(DC$46:DC$94&lt;&gt;""),ROWS(DI$1:DI5))),"")</f>
        <v>4</v>
      </c>
      <c r="DJ50" s="165">
        <f ca="1">IFERROR(INDEX(DD$46:DD$94,_xlfn.AGGREGATE(15,6,(ROW(DD$46:DD$94)-ROW(DD$46)+1)/(DD$46:DD$94&lt;&gt;""),ROWS(DJ$1:DJ5))),"")</f>
        <v>1795.4855345051365</v>
      </c>
      <c r="DK50" s="166">
        <f t="shared" ca="1" si="10"/>
        <v>50</v>
      </c>
      <c r="DL50" s="164">
        <f ca="1">IFERROR(INDEX(DE$46:DE$94,_xlfn.AGGREGATE(15,6,(ROW(DE$46:DE$94)-ROW(DE$46)+1)/(DE$46:DE$94&lt;&gt;""),ROWS(DL$1:DL5))),"")</f>
        <v>4</v>
      </c>
      <c r="DM50" s="165">
        <f ca="1">IFERROR(INDEX(DF$46:DF$94,_xlfn.AGGREGATE(15,6,(ROW(DF$46:DF$94)-ROW(DF$46)+1)/(DF$46:DF$94&lt;&gt;""),ROWS(DM$1:DM5))),"")</f>
        <v>2168.8389866908778</v>
      </c>
      <c r="DN50" s="166">
        <f t="shared" ca="1" si="11"/>
        <v>50</v>
      </c>
      <c r="DO50" s="164">
        <f ca="1">IFERROR(INDEX(DG$46:DG$94,_xlfn.AGGREGATE(15,6,(ROW(DG$46:DG$94)-ROW(DG$46)+1)/(DG$46:DG$94&lt;&gt;""),ROWS(DO$1:DO5))),"")</f>
        <v>4</v>
      </c>
      <c r="DP50" s="165">
        <f ca="1">IFERROR(INDEX(DH$46:DH$94,_xlfn.AGGREGATE(15,6,(ROW(DH$46:DH$94)-ROW(DH$46)+1)/(DH$46:DH$94&lt;&gt;""),ROWS(DP$1:DP5))),"")</f>
        <v>2542.1924388766192</v>
      </c>
      <c r="DQ50" s="166">
        <f t="shared" ca="1" si="12"/>
        <v>50</v>
      </c>
      <c r="DV50" s="145">
        <v>2019</v>
      </c>
      <c r="DW50" s="146">
        <f t="shared" ca="1" si="13"/>
        <v>2222.3270864065926</v>
      </c>
      <c r="DZ50" s="135" t="s">
        <v>92</v>
      </c>
      <c r="EA50" s="33">
        <f ca="1">IF($V$4="Linear",0,IF($V$4="2nd Poly",0,IF($V$4="3rd Poly",CI48,IF($V$4="Exp",0))))</f>
        <v>-1.9286652029908444E-3</v>
      </c>
      <c r="EB50" s="33">
        <f ca="1">IF($V$4="Linear",0,IF($V$4="2nd Poly",CA48,IF($V$4="3rd Poly",CJ48,IF($V$4="Exp",0))))</f>
        <v>0.12212780568629529</v>
      </c>
      <c r="EC50" s="33">
        <f t="shared" ca="1" si="20"/>
        <v>52.852717865834805</v>
      </c>
      <c r="ED50" s="33">
        <f t="shared" ca="1" si="20"/>
        <v>1955.2513850856349</v>
      </c>
      <c r="EE50" s="33" t="str">
        <f>IF($EA$44="Linear","Medium",IF($EA$44="2nd Poly","Medium",IF($EA$44="3rd Poly","Medium","N/A")))</f>
        <v>Medium</v>
      </c>
      <c r="EV50" s="147"/>
    </row>
    <row r="51" spans="1:152" ht="13.8" x14ac:dyDescent="0.45">
      <c r="A51" s="184" t="s">
        <v>90</v>
      </c>
      <c r="B51" s="128">
        <v>2017</v>
      </c>
      <c r="C51" s="175">
        <f>'Total MSW Summaries (Archive)'!C8</f>
        <v>2382.6530321706559</v>
      </c>
      <c r="D51" s="159">
        <f>'Total MSW Summaries (Archive)'!O8</f>
        <v>1865.1039520915517</v>
      </c>
      <c r="E51" s="151">
        <f>'Total MSW Summaries (Archive)'!AA8</f>
        <v>2604.6160000000009</v>
      </c>
      <c r="F51" s="152">
        <f>'Total MSW Summaries (Archive)'!AM8</f>
        <v>2257.7852102784937</v>
      </c>
      <c r="G51" s="159">
        <f>'Total MSW Summaries (Archive)'!AY8</f>
        <v>1467.7837837837842</v>
      </c>
      <c r="H51" s="169"/>
      <c r="I51" s="170"/>
      <c r="J51" s="168"/>
      <c r="K51" s="169"/>
      <c r="L51" s="170"/>
      <c r="M51" s="169"/>
      <c r="N51" s="29" t="s">
        <v>119</v>
      </c>
      <c r="P51" s="153"/>
      <c r="Q51" s="176">
        <f t="shared" ca="1" si="17"/>
        <v>2114.7444704074169</v>
      </c>
      <c r="R51" s="29">
        <v>3</v>
      </c>
      <c r="S51" s="154">
        <f t="shared" ca="1" si="18"/>
        <v>1467.7837837837842</v>
      </c>
      <c r="T51" s="154">
        <f t="shared" ca="1" si="19"/>
        <v>2604.6160000000009</v>
      </c>
      <c r="U51" s="154">
        <f t="shared" ca="1" si="14"/>
        <v>368.12256045933714</v>
      </c>
      <c r="V51" s="29"/>
      <c r="W51" s="154">
        <f t="shared" ca="1" si="2"/>
        <v>1747.32518099598</v>
      </c>
      <c r="X51" s="154">
        <f t="shared" ca="1" si="15"/>
        <v>2115.4477414553171</v>
      </c>
      <c r="Y51" s="154">
        <f t="shared" ca="1" si="3"/>
        <v>2483.570301914654</v>
      </c>
      <c r="AA51" s="138">
        <v>2114.8566149738353</v>
      </c>
      <c r="AB51" s="138">
        <v>2114.8566149738353</v>
      </c>
      <c r="AC51" s="138">
        <v>2114.8566149738353</v>
      </c>
      <c r="AD51" s="138"/>
      <c r="AE51" s="138"/>
      <c r="AF51" s="138"/>
      <c r="AG51" s="138"/>
      <c r="AH51" s="138"/>
      <c r="AI51" s="138"/>
      <c r="AJ51" s="138"/>
      <c r="AK51" s="138"/>
      <c r="AL51" s="138"/>
      <c r="AM51" s="138"/>
      <c r="AN51" s="138"/>
      <c r="BR51" s="180">
        <v>2015</v>
      </c>
      <c r="BS51" s="22">
        <v>1</v>
      </c>
      <c r="BT51" s="181">
        <f t="shared" ca="1" si="21"/>
        <v>54.77141706806794</v>
      </c>
      <c r="BU51" s="182">
        <f t="shared" ca="1" si="22"/>
        <v>1950.2460259466402</v>
      </c>
      <c r="BV51" s="183">
        <f t="shared" ca="1" si="23"/>
        <v>2005.0174430147081</v>
      </c>
      <c r="BY51" s="180">
        <v>2015</v>
      </c>
      <c r="BZ51" s="22">
        <v>1</v>
      </c>
      <c r="CA51" s="185">
        <f t="shared" ca="1" si="24"/>
        <v>-1.0950093320073129E-2</v>
      </c>
      <c r="CB51" s="185">
        <f t="shared" ca="1" si="25"/>
        <v>55.275121360791324</v>
      </c>
      <c r="CC51" s="186">
        <f t="shared" ref="CC51:CC96" ca="1" si="35">CC50</f>
        <v>1946.4682437512145</v>
      </c>
      <c r="CD51" s="183">
        <f t="shared" ca="1" si="26"/>
        <v>2001.7324150186857</v>
      </c>
      <c r="CG51" s="180">
        <v>2015</v>
      </c>
      <c r="CH51" s="22">
        <v>1</v>
      </c>
      <c r="CI51" s="185">
        <f t="shared" ca="1" si="27"/>
        <v>-1.9286652029908444E-3</v>
      </c>
      <c r="CJ51" s="185">
        <f t="shared" ca="1" si="28"/>
        <v>0.12212780568629529</v>
      </c>
      <c r="CK51" s="185">
        <f t="shared" ca="1" si="29"/>
        <v>52.852717865834805</v>
      </c>
      <c r="CL51" s="186">
        <f t="shared" ca="1" si="30"/>
        <v>1955.2513850856349</v>
      </c>
      <c r="CM51" s="183">
        <f t="shared" ca="1" si="31"/>
        <v>2008.2243020919529</v>
      </c>
      <c r="CP51" s="180">
        <v>2015</v>
      </c>
      <c r="CQ51" s="22">
        <v>1</v>
      </c>
      <c r="CR51" s="181">
        <f t="shared" ca="1" si="32"/>
        <v>2079.0972973977018</v>
      </c>
      <c r="CS51" s="182">
        <f t="shared" ca="1" si="33"/>
        <v>1.0178146954057885</v>
      </c>
      <c r="CT51" s="183">
        <f t="shared" ca="1" si="34"/>
        <v>2116.1357824698398</v>
      </c>
      <c r="CZ51" s="164" t="b">
        <f t="shared" ca="1" si="4"/>
        <v>1</v>
      </c>
      <c r="DA51" s="165" t="b">
        <f t="shared" ca="1" si="4"/>
        <v>1</v>
      </c>
      <c r="DB51" s="166" t="b">
        <f t="shared" ca="1" si="4"/>
        <v>1</v>
      </c>
      <c r="DC51" s="164">
        <f t="shared" ca="1" si="16"/>
        <v>3</v>
      </c>
      <c r="DD51" s="166">
        <f t="shared" ca="1" si="5"/>
        <v>1747.32518099598</v>
      </c>
      <c r="DE51" s="164">
        <f t="shared" ca="1" si="6"/>
        <v>3</v>
      </c>
      <c r="DF51" s="166">
        <f t="shared" ca="1" si="7"/>
        <v>2115.4477414553171</v>
      </c>
      <c r="DG51" s="164">
        <f t="shared" ca="1" si="8"/>
        <v>3</v>
      </c>
      <c r="DH51" s="166">
        <f t="shared" ca="1" si="9"/>
        <v>2483.570301914654</v>
      </c>
      <c r="DI51" s="164">
        <f ca="1">IFERROR(INDEX(DC$46:DC$94,_xlfn.AGGREGATE(15,6,(ROW(DC$46:DC$94)-ROW(DC$46)+1)/(DC$46:DC$94&lt;&gt;""),ROWS(DI$1:DI6))),"")</f>
        <v>5</v>
      </c>
      <c r="DJ51" s="165">
        <f ca="1">IFERROR(INDEX(DD$46:DD$94,_xlfn.AGGREGATE(15,6,(ROW(DD$46:DD$94)-ROW(DD$46)+1)/(DD$46:DD$94&lt;&gt;""),ROWS(DJ$1:DJ6))),"")</f>
        <v>1843.8776335532475</v>
      </c>
      <c r="DK51" s="166">
        <f t="shared" ca="1" si="10"/>
        <v>51</v>
      </c>
      <c r="DL51" s="164">
        <f ca="1">IFERROR(INDEX(DE$46:DE$94,_xlfn.AGGREGATE(15,6,(ROW(DE$46:DE$94)-ROW(DE$46)+1)/(DE$46:DE$94&lt;&gt;""),ROWS(DL$1:DL6))),"")</f>
        <v>5</v>
      </c>
      <c r="DM51" s="165">
        <f ca="1">IFERROR(INDEX(DF$46:DF$94,_xlfn.AGGREGATE(15,6,(ROW(DF$46:DF$94)-ROW(DF$46)+1)/(DF$46:DF$94&lt;&gt;""),ROWS(DM$1:DM6))),"")</f>
        <v>2222.4260785147703</v>
      </c>
      <c r="DN51" s="166">
        <f t="shared" ca="1" si="11"/>
        <v>51</v>
      </c>
      <c r="DO51" s="164">
        <f ca="1">IFERROR(INDEX(DG$46:DG$94,_xlfn.AGGREGATE(15,6,(ROW(DG$46:DG$94)-ROW(DG$46)+1)/(DG$46:DG$94&lt;&gt;""),ROWS(DO$1:DO6))),"")</f>
        <v>5</v>
      </c>
      <c r="DP51" s="165">
        <f ca="1">IFERROR(INDEX(DH$46:DH$94,_xlfn.AGGREGATE(15,6,(ROW(DH$46:DH$94)-ROW(DH$46)+1)/(DH$46:DH$94&lt;&gt;""),ROWS(DP$1:DP6))),"")</f>
        <v>2600.9745234762931</v>
      </c>
      <c r="DQ51" s="166">
        <f t="shared" ca="1" si="12"/>
        <v>51</v>
      </c>
      <c r="DV51" s="145">
        <v>2020</v>
      </c>
      <c r="DW51" s="146">
        <f t="shared" ca="1" si="13"/>
        <v>2276.3477016015045</v>
      </c>
      <c r="DZ51" s="135" t="s">
        <v>92</v>
      </c>
      <c r="EA51" s="33">
        <f ca="1">IF($V$4="Linear",0,IF($V$4="2nd Poly",0,IF($V$4="3rd Poly",CI49,IF($V$4="Exp",0))))</f>
        <v>-1.9200475528509363E-2</v>
      </c>
      <c r="EB51" s="33">
        <f ca="1">IF($V$4="Linear",0,IF($V$4="2nd Poly",CA49,IF($V$4="3rd Poly",CJ49,IF($V$4="Exp",0))))</f>
        <v>2.0810019695078301</v>
      </c>
      <c r="EC51" s="33">
        <f t="shared" ca="1" si="20"/>
        <v>5.1712034161082281</v>
      </c>
      <c r="ED51" s="33">
        <f t="shared" ca="1" si="20"/>
        <v>1790.2623069474892</v>
      </c>
      <c r="EE51" s="33" t="str">
        <f>IF($EA$44="Linear","Low",IF($EA$44="2nd Poly","Low",IF($EA$44="3rd Poly","Low","N/A")))</f>
        <v>Low</v>
      </c>
      <c r="EV51" s="147"/>
    </row>
    <row r="52" spans="1:152" ht="13.8" x14ac:dyDescent="0.45">
      <c r="A52" s="184" t="s">
        <v>80</v>
      </c>
      <c r="B52" s="128">
        <v>2018</v>
      </c>
      <c r="C52" s="175">
        <f>'Total MSW Summaries (Archive)'!C9</f>
        <v>2430.7716918161991</v>
      </c>
      <c r="D52" s="159">
        <f>'Total MSW Summaries (Archive)'!O9</f>
        <v>1926.4227303585685</v>
      </c>
      <c r="E52" s="151">
        <f>'Total MSW Summaries (Archive)'!AA9</f>
        <v>2666.748000000001</v>
      </c>
      <c r="F52" s="152">
        <f>'Total MSW Summaries (Archive)'!AM9</f>
        <v>2314.9722954908048</v>
      </c>
      <c r="G52" s="159">
        <f>'Total MSW Summaries (Archive)'!AY9</f>
        <v>1505.7297297297303</v>
      </c>
      <c r="H52" s="151"/>
      <c r="I52" s="152"/>
      <c r="J52" s="159"/>
      <c r="K52" s="151"/>
      <c r="L52" s="152"/>
      <c r="M52" s="151"/>
      <c r="N52" s="29" t="s">
        <v>119</v>
      </c>
      <c r="P52" s="153"/>
      <c r="Q52" s="176">
        <f t="shared" ca="1" si="17"/>
        <v>2168.3894727499642</v>
      </c>
      <c r="R52" s="29">
        <v>4</v>
      </c>
      <c r="S52" s="154">
        <f t="shared" ca="1" si="18"/>
        <v>1505.7297297297303</v>
      </c>
      <c r="T52" s="154">
        <f t="shared" ca="1" si="19"/>
        <v>2666.748000000001</v>
      </c>
      <c r="U52" s="154">
        <f t="shared" ca="1" si="14"/>
        <v>373.35345218574139</v>
      </c>
      <c r="V52" s="20"/>
      <c r="W52" s="154">
        <f t="shared" ca="1" si="2"/>
        <v>1795.4855345051365</v>
      </c>
      <c r="X52" s="154">
        <f t="shared" ca="1" si="15"/>
        <v>2168.8389866908778</v>
      </c>
      <c r="Y52" s="154">
        <f t="shared" ca="1" si="3"/>
        <v>2542.1924388766192</v>
      </c>
      <c r="AA52" s="138">
        <v>2168.4928668669636</v>
      </c>
      <c r="AB52" s="138">
        <v>2168.4928668669636</v>
      </c>
      <c r="AC52" s="138">
        <v>2168.4928668669636</v>
      </c>
      <c r="AD52" s="138"/>
      <c r="AE52" s="138"/>
      <c r="AF52" s="138"/>
      <c r="AG52" s="138"/>
      <c r="AH52" s="138"/>
      <c r="AI52" s="138"/>
      <c r="AJ52" s="138"/>
      <c r="AK52" s="138"/>
      <c r="AL52" s="138"/>
      <c r="AM52" s="138"/>
      <c r="AN52" s="138"/>
      <c r="BR52" s="180">
        <v>2016</v>
      </c>
      <c r="BS52" s="22">
        <v>2</v>
      </c>
      <c r="BT52" s="181">
        <f t="shared" ca="1" si="21"/>
        <v>109.54283413613588</v>
      </c>
      <c r="BU52" s="182">
        <f t="shared" ca="1" si="22"/>
        <v>1950.2460259466402</v>
      </c>
      <c r="BV52" s="183">
        <f t="shared" ca="1" si="23"/>
        <v>2059.788860082776</v>
      </c>
      <c r="BY52" s="180">
        <v>2016</v>
      </c>
      <c r="BZ52" s="22">
        <v>2</v>
      </c>
      <c r="CA52" s="185">
        <f t="shared" ca="1" si="24"/>
        <v>-4.3800373280292515E-2</v>
      </c>
      <c r="CB52" s="185">
        <f t="shared" ca="1" si="25"/>
        <v>110.55024272158265</v>
      </c>
      <c r="CC52" s="186">
        <f t="shared" ca="1" si="35"/>
        <v>1946.4682437512145</v>
      </c>
      <c r="CD52" s="183">
        <f t="shared" ca="1" si="26"/>
        <v>2056.9746860995169</v>
      </c>
      <c r="CG52" s="180">
        <v>2016</v>
      </c>
      <c r="CH52" s="22">
        <v>2</v>
      </c>
      <c r="CI52" s="185">
        <f t="shared" ca="1" si="27"/>
        <v>-1.5429321623926755E-2</v>
      </c>
      <c r="CJ52" s="185">
        <f t="shared" ca="1" si="28"/>
        <v>0.48851122274518116</v>
      </c>
      <c r="CK52" s="185">
        <f t="shared" ca="1" si="29"/>
        <v>105.70543573166961</v>
      </c>
      <c r="CL52" s="186">
        <f t="shared" ca="1" si="30"/>
        <v>1955.2513850856349</v>
      </c>
      <c r="CM52" s="183">
        <f t="shared" ca="1" si="31"/>
        <v>2061.4299027184256</v>
      </c>
      <c r="CP52" s="180">
        <v>2016</v>
      </c>
      <c r="CQ52" s="22">
        <v>2</v>
      </c>
      <c r="CR52" s="181">
        <f t="shared" ca="1" si="32"/>
        <v>2079.0972973977018</v>
      </c>
      <c r="CS52" s="182">
        <f t="shared" ca="1" si="33"/>
        <v>1.035946754183978</v>
      </c>
      <c r="CT52" s="183">
        <f t="shared" ca="1" si="34"/>
        <v>2153.8340968718298</v>
      </c>
      <c r="CZ52" s="164" t="b">
        <f t="shared" ca="1" si="4"/>
        <v>1</v>
      </c>
      <c r="DA52" s="165" t="b">
        <f t="shared" ca="1" si="4"/>
        <v>1</v>
      </c>
      <c r="DB52" s="166" t="b">
        <f t="shared" ca="1" si="4"/>
        <v>1</v>
      </c>
      <c r="DC52" s="164">
        <f t="shared" ca="1" si="16"/>
        <v>4</v>
      </c>
      <c r="DD52" s="166">
        <f t="shared" ca="1" si="5"/>
        <v>1795.4855345051365</v>
      </c>
      <c r="DE52" s="164">
        <f t="shared" ca="1" si="6"/>
        <v>4</v>
      </c>
      <c r="DF52" s="166">
        <f t="shared" ca="1" si="7"/>
        <v>2168.8389866908778</v>
      </c>
      <c r="DG52" s="164">
        <f t="shared" ca="1" si="8"/>
        <v>4</v>
      </c>
      <c r="DH52" s="166">
        <f t="shared" ca="1" si="9"/>
        <v>2542.1924388766192</v>
      </c>
      <c r="DI52" s="164">
        <f ca="1">IFERROR(INDEX(DC$46:DC$94,_xlfn.AGGREGATE(15,6,(ROW(DC$46:DC$94)-ROW(DC$46)+1)/(DC$46:DC$94&lt;&gt;""),ROWS(DI$1:DI7))),"")</f>
        <v>6</v>
      </c>
      <c r="DJ52" s="165">
        <f ca="1">IFERROR(INDEX(DD$46:DD$94,_xlfn.AGGREGATE(15,6,(ROW(DD$46:DD$94)-ROW(DD$46)+1)/(DD$46:DD$94&lt;&gt;""),ROWS(DJ$1:DJ7))),"")</f>
        <v>1892.6050386209986</v>
      </c>
      <c r="DK52" s="166">
        <f t="shared" ca="1" si="10"/>
        <v>52</v>
      </c>
      <c r="DL52" s="164">
        <f ca="1">IFERROR(INDEX(DE$46:DE$94,_xlfn.AGGREGATE(15,6,(ROW(DE$46:DE$94)-ROW(DE$46)+1)/(DE$46:DE$94&lt;&gt;""),ROWS(DL$1:DL7))),"")</f>
        <v>6</v>
      </c>
      <c r="DM52" s="165">
        <f ca="1">IFERROR(INDEX(DF$46:DF$94,_xlfn.AGGREGATE(15,6,(ROW(DF$46:DF$94)-ROW(DF$46)+1)/(DF$46:DF$94&lt;&gt;""),ROWS(DM$1:DM7))),"")</f>
        <v>2276.4058835334758</v>
      </c>
      <c r="DN52" s="166">
        <f t="shared" ca="1" si="11"/>
        <v>52</v>
      </c>
      <c r="DO52" s="164">
        <f ca="1">IFERROR(INDEX(DG$46:DG$94,_xlfn.AGGREGATE(15,6,(ROW(DG$46:DG$94)-ROW(DG$46)+1)/(DG$46:DG$94&lt;&gt;""),ROWS(DO$1:DO7))),"")</f>
        <v>6</v>
      </c>
      <c r="DP52" s="165">
        <f ca="1">IFERROR(INDEX(DH$46:DH$94,_xlfn.AGGREGATE(15,6,(ROW(DH$46:DH$94)-ROW(DH$46)+1)/(DH$46:DH$94&lt;&gt;""),ROWS(DP$1:DP7))),"")</f>
        <v>2660.2067284459531</v>
      </c>
      <c r="DQ52" s="166">
        <f t="shared" ca="1" si="12"/>
        <v>52</v>
      </c>
      <c r="DV52" s="145">
        <v>2021</v>
      </c>
      <c r="DW52" s="146">
        <f t="shared" ca="1" si="13"/>
        <v>2330.543140460481</v>
      </c>
      <c r="DZ52" s="135"/>
      <c r="EA52" s="33"/>
      <c r="EB52" s="33"/>
      <c r="EC52" s="33"/>
      <c r="ED52" s="33"/>
      <c r="EE52" s="33"/>
      <c r="EV52" s="147"/>
    </row>
    <row r="53" spans="1:152" ht="13.8" x14ac:dyDescent="0.45">
      <c r="A53" s="184" t="s">
        <v>88</v>
      </c>
      <c r="B53" s="128">
        <v>2019</v>
      </c>
      <c r="C53" s="175">
        <f>'Total MSW Summaries (Archive)'!C10</f>
        <v>2479.1388986008014</v>
      </c>
      <c r="D53" s="159">
        <f>'Total MSW Summaries (Archive)'!O10</f>
        <v>1989.0718682689533</v>
      </c>
      <c r="E53" s="151">
        <f>'Total MSW Summaries (Archive)'!AA10</f>
        <v>2728.880000000001</v>
      </c>
      <c r="F53" s="152">
        <f>'Total MSW Summaries (Archive)'!AM10</f>
        <v>2371.5574644498547</v>
      </c>
      <c r="G53" s="159">
        <f>'Total MSW Summaries (Archive)'!AY10</f>
        <v>1543.6756756756763</v>
      </c>
      <c r="H53" s="189"/>
      <c r="I53" s="190"/>
      <c r="J53" s="188"/>
      <c r="K53" s="189"/>
      <c r="L53" s="190"/>
      <c r="M53" s="189"/>
      <c r="N53" s="29" t="s">
        <v>119</v>
      </c>
      <c r="P53" s="153"/>
      <c r="Q53" s="176">
        <f t="shared" ca="1" si="17"/>
        <v>2222.2325640933354</v>
      </c>
      <c r="R53" s="29">
        <v>5</v>
      </c>
      <c r="S53" s="191">
        <f t="shared" ca="1" si="18"/>
        <v>1543.6756756756763</v>
      </c>
      <c r="T53" s="191">
        <f t="shared" ca="1" si="19"/>
        <v>2728.880000000001</v>
      </c>
      <c r="U53" s="191">
        <f t="shared" ca="1" si="14"/>
        <v>378.54844496152282</v>
      </c>
      <c r="V53" s="20"/>
      <c r="W53" s="191">
        <f t="shared" ca="1" si="2"/>
        <v>1843.8776335532475</v>
      </c>
      <c r="X53" s="191">
        <f t="shared" ca="1" si="15"/>
        <v>2222.4260785147703</v>
      </c>
      <c r="Y53" s="191">
        <f t="shared" ca="1" si="3"/>
        <v>2600.9745234762931</v>
      </c>
      <c r="AA53" s="138">
        <v>2222.3270864065926</v>
      </c>
      <c r="AB53" s="138">
        <v>2222.3270864065926</v>
      </c>
      <c r="AC53" s="138">
        <v>2222.3270864065926</v>
      </c>
      <c r="AD53" s="138"/>
      <c r="AE53" s="138"/>
      <c r="AF53" s="138"/>
      <c r="AG53" s="138"/>
      <c r="AH53" s="138"/>
      <c r="AI53" s="138"/>
      <c r="AJ53" s="138"/>
      <c r="AK53" s="138"/>
      <c r="AL53" s="138"/>
      <c r="AM53" s="138"/>
      <c r="AN53" s="138"/>
      <c r="BR53" s="180">
        <v>2017</v>
      </c>
      <c r="BS53" s="22">
        <v>3</v>
      </c>
      <c r="BT53" s="181">
        <f t="shared" ca="1" si="21"/>
        <v>164.31425120420383</v>
      </c>
      <c r="BU53" s="182">
        <f t="shared" ca="1" si="22"/>
        <v>1950.2460259466402</v>
      </c>
      <c r="BV53" s="192">
        <f t="shared" ca="1" si="23"/>
        <v>2114.5602771508438</v>
      </c>
      <c r="BY53" s="180">
        <v>2017</v>
      </c>
      <c r="BZ53" s="22">
        <v>3</v>
      </c>
      <c r="CA53" s="193">
        <f t="shared" ca="1" si="24"/>
        <v>-9.8550839880658159E-2</v>
      </c>
      <c r="CB53" s="193">
        <f t="shared" ca="1" si="25"/>
        <v>165.82536408237397</v>
      </c>
      <c r="CC53" s="186">
        <f t="shared" ca="1" si="35"/>
        <v>1946.4682437512145</v>
      </c>
      <c r="CD53" s="192">
        <f t="shared" ca="1" si="26"/>
        <v>2112.1950569937076</v>
      </c>
      <c r="CG53" s="180">
        <v>2017</v>
      </c>
      <c r="CH53" s="22">
        <v>3</v>
      </c>
      <c r="CI53" s="193">
        <f t="shared" ca="1" si="27"/>
        <v>-5.2073960480752801E-2</v>
      </c>
      <c r="CJ53" s="193">
        <f t="shared" ca="1" si="28"/>
        <v>1.0991502511766575</v>
      </c>
      <c r="CK53" s="193">
        <f t="shared" ca="1" si="29"/>
        <v>158.55815359750443</v>
      </c>
      <c r="CL53" s="186">
        <f t="shared" ca="1" si="30"/>
        <v>1955.2513850856349</v>
      </c>
      <c r="CM53" s="192">
        <f t="shared" ca="1" si="31"/>
        <v>2114.8566149738353</v>
      </c>
      <c r="CP53" s="180">
        <v>2017</v>
      </c>
      <c r="CQ53" s="22">
        <v>3</v>
      </c>
      <c r="CR53" s="181">
        <f t="shared" ca="1" si="32"/>
        <v>2079.0972973977018</v>
      </c>
      <c r="CS53" s="182">
        <f t="shared" ca="1" si="33"/>
        <v>1.0544018300663807</v>
      </c>
      <c r="CT53" s="192">
        <f t="shared" ca="1" si="34"/>
        <v>2192.2039952622031</v>
      </c>
      <c r="CZ53" s="164" t="b">
        <f t="shared" ca="1" si="4"/>
        <v>1</v>
      </c>
      <c r="DA53" s="165" t="b">
        <f t="shared" ca="1" si="4"/>
        <v>1</v>
      </c>
      <c r="DB53" s="166" t="b">
        <f t="shared" ca="1" si="4"/>
        <v>1</v>
      </c>
      <c r="DC53" s="164">
        <f t="shared" ca="1" si="16"/>
        <v>5</v>
      </c>
      <c r="DD53" s="166">
        <f t="shared" ca="1" si="5"/>
        <v>1843.8776335532475</v>
      </c>
      <c r="DE53" s="164">
        <f t="shared" ca="1" si="6"/>
        <v>5</v>
      </c>
      <c r="DF53" s="166">
        <f t="shared" ca="1" si="7"/>
        <v>2222.4260785147703</v>
      </c>
      <c r="DG53" s="164">
        <f t="shared" ca="1" si="8"/>
        <v>5</v>
      </c>
      <c r="DH53" s="166">
        <f t="shared" ca="1" si="9"/>
        <v>2600.9745234762931</v>
      </c>
      <c r="DI53" s="164">
        <f ca="1">IFERROR(INDEX(DC$46:DC$94,_xlfn.AGGREGATE(15,6,(ROW(DC$46:DC$94)-ROW(DC$46)+1)/(DC$46:DC$94&lt;&gt;""),ROWS(DI$1:DI8))),"")</f>
        <v>7</v>
      </c>
      <c r="DJ53" s="165">
        <f ca="1">IFERROR(INDEX(DD$46:DD$94,_xlfn.AGGREGATE(15,6,(ROW(DD$46:DD$94)-ROW(DD$46)+1)/(DD$46:DD$94&lt;&gt;""),ROWS(DJ$1:DJ8))),"")</f>
        <v>1941.2387507829335</v>
      </c>
      <c r="DK53" s="166">
        <f t="shared" ca="1" si="10"/>
        <v>53</v>
      </c>
      <c r="DL53" s="164">
        <f ca="1">IFERROR(INDEX(DE$46:DE$94,_xlfn.AGGREGATE(15,6,(ROW(DE$46:DE$94)-ROW(DE$46)+1)/(DE$46:DE$94&lt;&gt;""),ROWS(DL$1:DL8))),"")</f>
        <v>7</v>
      </c>
      <c r="DM53" s="165">
        <f ca="1">IFERROR(INDEX(DF$46:DF$94,_xlfn.AGGREGATE(15,6,(ROW(DF$46:DF$94)-ROW(DF$46)+1)/(DF$46:DF$94&lt;&gt;""),ROWS(DM$1:DM8))),"")</f>
        <v>2330.0983779788862</v>
      </c>
      <c r="DN53" s="166">
        <f t="shared" ca="1" si="11"/>
        <v>53</v>
      </c>
      <c r="DO53" s="164">
        <f ca="1">IFERROR(INDEX(DG$46:DG$94,_xlfn.AGGREGATE(15,6,(ROW(DG$46:DG$94)-ROW(DG$46)+1)/(DG$46:DG$94&lt;&gt;""),ROWS(DO$1:DO8))),"")</f>
        <v>7</v>
      </c>
      <c r="DP53" s="165">
        <f ca="1">IFERROR(INDEX(DH$46:DH$94,_xlfn.AGGREGATE(15,6,(ROW(DH$46:DH$94)-ROW(DH$46)+1)/(DH$46:DH$94&lt;&gt;""),ROWS(DP$1:DP8))),"")</f>
        <v>2718.9580051748389</v>
      </c>
      <c r="DQ53" s="166">
        <f t="shared" ca="1" si="12"/>
        <v>53</v>
      </c>
      <c r="DV53" s="145">
        <v>2022</v>
      </c>
      <c r="DW53" s="146">
        <f t="shared" ca="1" si="13"/>
        <v>2384.9018309923049</v>
      </c>
      <c r="DZ53" s="135"/>
      <c r="EA53" s="33" t="s">
        <v>86</v>
      </c>
      <c r="EB53" s="33" t="s">
        <v>87</v>
      </c>
      <c r="EC53" s="33"/>
      <c r="ED53" s="33"/>
      <c r="EE53" s="33"/>
      <c r="EV53" s="147"/>
    </row>
    <row r="54" spans="1:152" ht="13.8" x14ac:dyDescent="0.45">
      <c r="A54" s="194" t="s">
        <v>90</v>
      </c>
      <c r="B54" s="128">
        <v>2020</v>
      </c>
      <c r="C54" s="175">
        <f>'Total MSW Summaries (Archive)'!C11</f>
        <v>2527.7123923666627</v>
      </c>
      <c r="D54" s="159">
        <f>'Total MSW Summaries (Archive)'!O11</f>
        <v>2053.0312769315669</v>
      </c>
      <c r="E54" s="151">
        <f>'Total MSW Summaries (Archive)'!AA11</f>
        <v>2791.0120000000011</v>
      </c>
      <c r="F54" s="152">
        <f>'Total MSW Summaries (Archive)'!AM11</f>
        <v>2428.7958724065325</v>
      </c>
      <c r="G54" s="159">
        <f>'Total MSW Summaries (Archive)'!AY11</f>
        <v>1581.6216216216224</v>
      </c>
      <c r="H54" s="169"/>
      <c r="I54" s="170"/>
      <c r="J54" s="168"/>
      <c r="K54" s="169"/>
      <c r="L54" s="170"/>
      <c r="M54" s="169"/>
      <c r="N54" s="29" t="s">
        <v>119</v>
      </c>
      <c r="P54" s="153"/>
      <c r="Q54" s="176">
        <f t="shared" ca="1" si="17"/>
        <v>2276.2621378744698</v>
      </c>
      <c r="R54" s="29">
        <v>6</v>
      </c>
      <c r="S54" s="195">
        <f t="shared" ca="1" si="18"/>
        <v>1581.6216216216224</v>
      </c>
      <c r="T54" s="195">
        <f t="shared" ca="1" si="19"/>
        <v>2791.0120000000011</v>
      </c>
      <c r="U54" s="154">
        <f t="shared" ca="1" si="14"/>
        <v>383.8008449124772</v>
      </c>
      <c r="V54" s="20"/>
      <c r="W54" s="154">
        <f t="shared" ca="1" si="2"/>
        <v>1892.6050386209986</v>
      </c>
      <c r="X54" s="154">
        <f t="shared" ca="1" si="15"/>
        <v>2276.4058835334758</v>
      </c>
      <c r="Y54" s="154">
        <f t="shared" ca="1" si="3"/>
        <v>2660.2067284459531</v>
      </c>
      <c r="AA54" s="138">
        <v>2276.3477016015045</v>
      </c>
      <c r="AB54" s="138">
        <v>2276.3477016015045</v>
      </c>
      <c r="AC54" s="138">
        <v>2276.3477016015045</v>
      </c>
      <c r="AD54" s="138"/>
      <c r="AE54" s="138"/>
      <c r="AF54" s="138"/>
      <c r="AG54" s="138"/>
      <c r="AH54" s="138"/>
      <c r="AI54" s="138"/>
      <c r="AJ54" s="138"/>
      <c r="AK54" s="138"/>
      <c r="AL54" s="138"/>
      <c r="AM54" s="138"/>
      <c r="AN54" s="138"/>
      <c r="BR54" s="180">
        <v>2018</v>
      </c>
      <c r="BS54" s="22">
        <v>4</v>
      </c>
      <c r="BT54" s="181">
        <f t="shared" ca="1" si="21"/>
        <v>219.08566827227176</v>
      </c>
      <c r="BU54" s="182">
        <f t="shared" ca="1" si="22"/>
        <v>1950.2460259466402</v>
      </c>
      <c r="BV54" s="183">
        <f t="shared" ca="1" si="23"/>
        <v>2169.3316942189122</v>
      </c>
      <c r="BY54" s="180">
        <v>2018</v>
      </c>
      <c r="BZ54" s="22">
        <v>4</v>
      </c>
      <c r="CA54" s="185">
        <f t="shared" ca="1" si="24"/>
        <v>-0.17520149312117006</v>
      </c>
      <c r="CB54" s="185">
        <f t="shared" ca="1" si="25"/>
        <v>221.1004854431653</v>
      </c>
      <c r="CC54" s="186">
        <f t="shared" ca="1" si="35"/>
        <v>1946.4682437512145</v>
      </c>
      <c r="CD54" s="183">
        <f t="shared" ca="1" si="26"/>
        <v>2167.3935277012588</v>
      </c>
      <c r="CG54" s="180">
        <v>2018</v>
      </c>
      <c r="CH54" s="22">
        <v>4</v>
      </c>
      <c r="CI54" s="185">
        <f t="shared" ca="1" si="27"/>
        <v>-0.12343457299141404</v>
      </c>
      <c r="CJ54" s="185">
        <f t="shared" ca="1" si="28"/>
        <v>1.9540448909807246</v>
      </c>
      <c r="CK54" s="185">
        <f t="shared" ca="1" si="29"/>
        <v>211.41087146333922</v>
      </c>
      <c r="CL54" s="186">
        <f t="shared" ca="1" si="30"/>
        <v>1955.2513850856349</v>
      </c>
      <c r="CM54" s="183">
        <f t="shared" ca="1" si="31"/>
        <v>2168.4928668669636</v>
      </c>
      <c r="CP54" s="180">
        <v>2018</v>
      </c>
      <c r="CQ54" s="22">
        <v>4</v>
      </c>
      <c r="CR54" s="181">
        <f t="shared" ca="1" si="32"/>
        <v>2079.0972973977018</v>
      </c>
      <c r="CS54" s="182">
        <f t="shared" ca="1" si="33"/>
        <v>1.0731856775043191</v>
      </c>
      <c r="CT54" s="183">
        <f t="shared" ca="1" si="34"/>
        <v>2231.2574417051515</v>
      </c>
      <c r="CZ54" s="164" t="b">
        <f t="shared" ca="1" si="4"/>
        <v>1</v>
      </c>
      <c r="DA54" s="165" t="b">
        <f t="shared" ca="1" si="4"/>
        <v>1</v>
      </c>
      <c r="DB54" s="166" t="b">
        <f t="shared" ca="1" si="4"/>
        <v>1</v>
      </c>
      <c r="DC54" s="164">
        <f t="shared" ca="1" si="16"/>
        <v>6</v>
      </c>
      <c r="DD54" s="166">
        <f t="shared" ca="1" si="5"/>
        <v>1892.6050386209986</v>
      </c>
      <c r="DE54" s="164">
        <f t="shared" ca="1" si="6"/>
        <v>6</v>
      </c>
      <c r="DF54" s="166">
        <f t="shared" ca="1" si="7"/>
        <v>2276.4058835334758</v>
      </c>
      <c r="DG54" s="164">
        <f t="shared" ca="1" si="8"/>
        <v>6</v>
      </c>
      <c r="DH54" s="166">
        <f t="shared" ca="1" si="9"/>
        <v>2660.2067284459531</v>
      </c>
      <c r="DI54" s="164">
        <f ca="1">IFERROR(INDEX(DC$46:DC$94,_xlfn.AGGREGATE(15,6,(ROW(DC$46:DC$94)-ROW(DC$46)+1)/(DC$46:DC$94&lt;&gt;""),ROWS(DI$1:DI9))),"")</f>
        <v>8</v>
      </c>
      <c r="DJ54" s="165">
        <f ca="1">IFERROR(INDEX(DD$46:DD$94,_xlfn.AGGREGATE(15,6,(ROW(DD$46:DD$94)-ROW(DD$46)+1)/(DD$46:DD$94&lt;&gt;""),ROWS(DJ$1:DJ9))),"")</f>
        <v>1990.5418989125978</v>
      </c>
      <c r="DK54" s="166">
        <f t="shared" ca="1" si="10"/>
        <v>54</v>
      </c>
      <c r="DL54" s="164">
        <f ca="1">IFERROR(INDEX(DE$46:DE$94,_xlfn.AGGREGATE(15,6,(ROW(DE$46:DE$94)-ROW(DE$46)+1)/(DE$46:DE$94&lt;&gt;""),ROWS(DL$1:DL9))),"")</f>
        <v>8</v>
      </c>
      <c r="DM54" s="165">
        <f ca="1">IFERROR(INDEX(DF$46:DF$94,_xlfn.AGGREGATE(15,6,(ROW(DF$46:DF$94)-ROW(DF$46)+1)/(DF$46:DF$94&lt;&gt;""),ROWS(DM$1:DM9))),"")</f>
        <v>2384.6697926657812</v>
      </c>
      <c r="DN54" s="166">
        <f t="shared" ca="1" si="11"/>
        <v>54</v>
      </c>
      <c r="DO54" s="164">
        <f ca="1">IFERROR(INDEX(DG$46:DG$94,_xlfn.AGGREGATE(15,6,(ROW(DG$46:DG$94)-ROW(DG$46)+1)/(DG$46:DG$94&lt;&gt;""),ROWS(DO$1:DO9))),"")</f>
        <v>8</v>
      </c>
      <c r="DP54" s="165">
        <f ca="1">IFERROR(INDEX(DH$46:DH$94,_xlfn.AGGREGATE(15,6,(ROW(DH$46:DH$94)-ROW(DH$46)+1)/(DH$46:DH$94&lt;&gt;""),ROWS(DP$1:DP9))),"")</f>
        <v>2778.7976864189645</v>
      </c>
      <c r="DQ54" s="166">
        <f t="shared" ca="1" si="12"/>
        <v>54</v>
      </c>
      <c r="DV54" s="145">
        <v>2023</v>
      </c>
      <c r="DW54" s="146">
        <f t="shared" ca="1" si="13"/>
        <v>2439.4122012057578</v>
      </c>
      <c r="DZ54" s="135" t="s">
        <v>92</v>
      </c>
      <c r="EA54" s="33">
        <f>IF($V$4="Linear",0,IF($V$4="2nd Poly",0,IF($V$4="3rd Poly",0,IF($V$4="Exp",CR47))))</f>
        <v>0</v>
      </c>
      <c r="EB54" s="33">
        <f>IF($V$4="Linear",0,IF($V$4="2nd Poly",CA52,IF($V$4="3rd Poly",0,IF($V$4="Exp",CS47))))</f>
        <v>0</v>
      </c>
      <c r="EC54" s="33" t="str">
        <f>IF($EA$44="Linear","N/A",IF($EA$44="2nd Poly","N/A",IF($EA$44="3rd Poly","N/A","High")))</f>
        <v>N/A</v>
      </c>
      <c r="ED54" s="33"/>
      <c r="EE54" s="33"/>
      <c r="EV54" s="147"/>
    </row>
    <row r="55" spans="1:152" ht="13.8" x14ac:dyDescent="0.45">
      <c r="A55" s="184" t="s">
        <v>80</v>
      </c>
      <c r="B55" s="128">
        <v>2021</v>
      </c>
      <c r="C55" s="175">
        <f>'Total MSW Summaries (Archive)'!C12</f>
        <v>2576.4566624225181</v>
      </c>
      <c r="D55" s="159">
        <f>'Total MSW Summaries (Archive)'!O12</f>
        <v>2118.2789371982303</v>
      </c>
      <c r="E55" s="151">
        <f>'Total MSW Summaries (Archive)'!AA12</f>
        <v>2853.1440000000011</v>
      </c>
      <c r="F55" s="152">
        <f>'Total MSW Summaries (Archive)'!AM12</f>
        <v>2482.6765131546908</v>
      </c>
      <c r="G55" s="159">
        <f>'Total MSW Summaries (Archive)'!AY12</f>
        <v>1619.5675675675684</v>
      </c>
      <c r="H55" s="151"/>
      <c r="I55" s="152"/>
      <c r="J55" s="159"/>
      <c r="K55" s="151"/>
      <c r="L55" s="152"/>
      <c r="M55" s="151"/>
      <c r="N55" s="29" t="s">
        <v>119</v>
      </c>
      <c r="P55" s="153"/>
      <c r="Q55" s="176">
        <f t="shared" ca="1" si="17"/>
        <v>2330.4665875303081</v>
      </c>
      <c r="R55" s="29">
        <v>7</v>
      </c>
      <c r="S55" s="196">
        <f t="shared" ca="1" si="18"/>
        <v>1619.5675675675684</v>
      </c>
      <c r="T55" s="196">
        <f t="shared" ca="1" si="19"/>
        <v>2853.1440000000011</v>
      </c>
      <c r="U55" s="154">
        <f t="shared" ca="1" si="14"/>
        <v>388.85962719595278</v>
      </c>
      <c r="V55" s="20"/>
      <c r="W55" s="154">
        <f t="shared" ca="1" si="2"/>
        <v>1941.2387507829335</v>
      </c>
      <c r="X55" s="154">
        <f t="shared" ca="1" si="15"/>
        <v>2330.0983779788862</v>
      </c>
      <c r="Y55" s="154">
        <f t="shared" ca="1" si="3"/>
        <v>2718.9580051748389</v>
      </c>
      <c r="AA55" s="138">
        <v>2330.543140460481</v>
      </c>
      <c r="AB55" s="138">
        <v>2330.543140460481</v>
      </c>
      <c r="AC55" s="138">
        <v>2330.543140460481</v>
      </c>
      <c r="AD55" s="138"/>
      <c r="AE55" s="138"/>
      <c r="AF55" s="138"/>
      <c r="AG55" s="138"/>
      <c r="AH55" s="138"/>
      <c r="AI55" s="138"/>
      <c r="AJ55" s="138"/>
      <c r="AK55" s="138"/>
      <c r="AL55" s="138"/>
      <c r="AM55" s="138"/>
      <c r="AN55" s="138"/>
      <c r="BR55" s="180">
        <v>2019</v>
      </c>
      <c r="BS55" s="22">
        <v>5</v>
      </c>
      <c r="BT55" s="181">
        <f t="shared" ca="1" si="21"/>
        <v>273.85708534033972</v>
      </c>
      <c r="BU55" s="182">
        <f t="shared" ca="1" si="22"/>
        <v>1950.2460259466402</v>
      </c>
      <c r="BV55" s="197">
        <f t="shared" ca="1" si="23"/>
        <v>2224.10311128698</v>
      </c>
      <c r="BY55" s="180">
        <v>2019</v>
      </c>
      <c r="BZ55" s="22">
        <v>5</v>
      </c>
      <c r="CA55" s="198">
        <f t="shared" ca="1" si="24"/>
        <v>-0.27375233300182822</v>
      </c>
      <c r="CB55" s="198">
        <f t="shared" ca="1" si="25"/>
        <v>276.3756068039566</v>
      </c>
      <c r="CC55" s="186">
        <f t="shared" ca="1" si="35"/>
        <v>1946.4682437512145</v>
      </c>
      <c r="CD55" s="197">
        <f t="shared" ca="1" si="26"/>
        <v>2222.5700982221692</v>
      </c>
      <c r="CG55" s="180">
        <v>2019</v>
      </c>
      <c r="CH55" s="22">
        <v>5</v>
      </c>
      <c r="CI55" s="198">
        <f t="shared" ca="1" si="27"/>
        <v>-0.24108315037385555</v>
      </c>
      <c r="CJ55" s="198">
        <f t="shared" ca="1" si="28"/>
        <v>3.0531951421573824</v>
      </c>
      <c r="CK55" s="198">
        <f t="shared" ca="1" si="29"/>
        <v>264.26358932917401</v>
      </c>
      <c r="CL55" s="186">
        <f t="shared" ca="1" si="30"/>
        <v>1955.2513850856349</v>
      </c>
      <c r="CM55" s="197">
        <f t="shared" ca="1" si="31"/>
        <v>2222.3270864065926</v>
      </c>
      <c r="CP55" s="180">
        <v>2019</v>
      </c>
      <c r="CQ55" s="22">
        <v>5</v>
      </c>
      <c r="CR55" s="181">
        <f t="shared" ca="1" si="32"/>
        <v>2079.0972973977018</v>
      </c>
      <c r="CS55" s="182">
        <f t="shared" ca="1" si="33"/>
        <v>1.0923041534629134</v>
      </c>
      <c r="CT55" s="197">
        <f t="shared" ca="1" si="34"/>
        <v>2271.0066134010281</v>
      </c>
      <c r="CZ55" s="164" t="b">
        <f t="shared" ca="1" si="4"/>
        <v>1</v>
      </c>
      <c r="DA55" s="165" t="b">
        <f t="shared" ca="1" si="4"/>
        <v>1</v>
      </c>
      <c r="DB55" s="166" t="b">
        <f t="shared" ca="1" si="4"/>
        <v>1</v>
      </c>
      <c r="DC55" s="164">
        <f t="shared" ca="1" si="16"/>
        <v>7</v>
      </c>
      <c r="DD55" s="166">
        <f t="shared" ca="1" si="5"/>
        <v>1941.2387507829335</v>
      </c>
      <c r="DE55" s="164">
        <f t="shared" ca="1" si="6"/>
        <v>7</v>
      </c>
      <c r="DF55" s="166">
        <f t="shared" ca="1" si="7"/>
        <v>2330.0983779788862</v>
      </c>
      <c r="DG55" s="164">
        <f t="shared" ca="1" si="8"/>
        <v>7</v>
      </c>
      <c r="DH55" s="166">
        <f t="shared" ca="1" si="9"/>
        <v>2718.9580051748389</v>
      </c>
      <c r="DI55" s="164">
        <f ca="1">IFERROR(INDEX(DC$46:DC$94,_xlfn.AGGREGATE(15,6,(ROW(DC$46:DC$94)-ROW(DC$46)+1)/(DC$46:DC$94&lt;&gt;""),ROWS(DI$1:DI10))),"")</f>
        <v>9</v>
      </c>
      <c r="DJ55" s="165">
        <f ca="1">IFERROR(INDEX(DD$46:DD$94,_xlfn.AGGREGATE(15,6,(ROW(DD$46:DD$94)-ROW(DD$46)+1)/(DD$46:DD$94&lt;&gt;""),ROWS(DJ$1:DJ10))),"")</f>
        <v>2039.9952818704912</v>
      </c>
      <c r="DK55" s="166">
        <f t="shared" ca="1" si="10"/>
        <v>55</v>
      </c>
      <c r="DL55" s="164">
        <f ca="1">IFERROR(INDEX(DE$46:DE$94,_xlfn.AGGREGATE(15,6,(ROW(DE$46:DE$94)-ROW(DE$46)+1)/(DE$46:DE$94&lt;&gt;""),ROWS(DL$1:DL10))),"")</f>
        <v>9</v>
      </c>
      <c r="DM55" s="165">
        <f ca="1">IFERROR(INDEX(DF$46:DF$94,_xlfn.AGGREGATE(15,6,(ROW(DF$46:DF$94)-ROW(DF$46)+1)/(DF$46:DF$94&lt;&gt;""),ROWS(DM$1:DM10))),"")</f>
        <v>2439.4084212794492</v>
      </c>
      <c r="DN55" s="166">
        <f t="shared" ca="1" si="11"/>
        <v>55</v>
      </c>
      <c r="DO55" s="164">
        <f ca="1">IFERROR(INDEX(DG$46:DG$94,_xlfn.AGGREGATE(15,6,(ROW(DG$46:DG$94)-ROW(DG$46)+1)/(DG$46:DG$94&lt;&gt;""),ROWS(DO$1:DO10))),"")</f>
        <v>9</v>
      </c>
      <c r="DP55" s="165">
        <f ca="1">IFERROR(INDEX(DH$46:DH$94,_xlfn.AGGREGATE(15,6,(ROW(DH$46:DH$94)-ROW(DH$46)+1)/(DH$46:DH$94&lt;&gt;""),ROWS(DP$1:DP10))),"")</f>
        <v>2838.8215606884069</v>
      </c>
      <c r="DQ55" s="166">
        <f t="shared" ca="1" si="12"/>
        <v>55</v>
      </c>
      <c r="DV55" s="145">
        <v>2024</v>
      </c>
      <c r="DW55" s="146">
        <f t="shared" ca="1" si="13"/>
        <v>2494.0626791096215</v>
      </c>
      <c r="DZ55" s="135" t="s">
        <v>92</v>
      </c>
      <c r="EA55" s="33">
        <f>IF($V$4="Linear",0,IF($V$4="2nd Poly",0,IF($V$4="3rd Poly",0,IF($V$4="Exp",CR48))))</f>
        <v>0</v>
      </c>
      <c r="EB55" s="33">
        <f>IF($V$4="Linear",0,IF($V$4="2nd Poly",CA53,IF($V$4="3rd Poly",0,IF($V$4="Exp",CS48))))</f>
        <v>0</v>
      </c>
      <c r="EC55" s="33" t="str">
        <f>IF($EA$44="Linear","N/A",IF($EA$44="2nd Poly","N/A",IF($EA$44="3rd Poly","N/A","Medium")))</f>
        <v>N/A</v>
      </c>
      <c r="ED55" s="33"/>
      <c r="EE55" s="33"/>
      <c r="EV55" s="147"/>
    </row>
    <row r="56" spans="1:152" ht="13.8" x14ac:dyDescent="0.45">
      <c r="A56" s="148" t="s">
        <v>88</v>
      </c>
      <c r="B56" s="128">
        <v>2022</v>
      </c>
      <c r="C56" s="175">
        <f>'Total MSW Summaries (Archive)'!C13</f>
        <v>2626.6705640379591</v>
      </c>
      <c r="D56" s="159">
        <f>'Total MSW Summaries (Archive)'!O13</f>
        <v>2185.6282448914194</v>
      </c>
      <c r="E56" s="151">
        <f>'Total MSW Summaries (Archive)'!AA13</f>
        <v>2915.2760000000012</v>
      </c>
      <c r="F56" s="152">
        <f>'Total MSW Summaries (Archive)'!AM13</f>
        <v>2538.0961270540024</v>
      </c>
      <c r="G56" s="159">
        <f>'Total MSW Summaries (Archive)'!AY13</f>
        <v>1657.5135135135145</v>
      </c>
      <c r="H56" s="200"/>
      <c r="I56" s="201"/>
      <c r="J56" s="199"/>
      <c r="K56" s="200"/>
      <c r="L56" s="201"/>
      <c r="M56" s="200"/>
      <c r="N56" s="29" t="s">
        <v>119</v>
      </c>
      <c r="P56" s="153"/>
      <c r="Q56" s="176">
        <f t="shared" ca="1" si="17"/>
        <v>2384.8343064977885</v>
      </c>
      <c r="R56" s="29">
        <v>8</v>
      </c>
      <c r="S56" s="202">
        <f t="shared" ca="1" si="0"/>
        <v>1657.5135135135145</v>
      </c>
      <c r="T56" s="202">
        <f t="shared" ca="1" si="1"/>
        <v>2915.2760000000012</v>
      </c>
      <c r="U56" s="154">
        <f t="shared" ca="1" si="14"/>
        <v>394.12789375318334</v>
      </c>
      <c r="V56" s="20"/>
      <c r="W56" s="154">
        <f t="shared" ca="1" si="2"/>
        <v>1990.5418989125978</v>
      </c>
      <c r="X56" s="154">
        <f t="shared" ca="1" si="15"/>
        <v>2384.6697926657812</v>
      </c>
      <c r="Y56" s="154">
        <f t="shared" ca="1" si="3"/>
        <v>2778.7976864189645</v>
      </c>
      <c r="AA56" s="138">
        <v>2384.9018309923049</v>
      </c>
      <c r="AB56" s="138">
        <v>2384.9018309923049</v>
      </c>
      <c r="AC56" s="138">
        <v>2384.9018309923049</v>
      </c>
      <c r="AD56" s="120"/>
      <c r="AE56" s="120"/>
      <c r="AF56" s="120"/>
      <c r="AG56" s="120"/>
      <c r="AH56" s="120"/>
      <c r="AI56" s="120"/>
      <c r="AJ56" s="120"/>
      <c r="AK56" s="120"/>
      <c r="AL56" s="120"/>
      <c r="AM56" s="120"/>
      <c r="AN56" s="120"/>
      <c r="BR56" s="180">
        <v>2020</v>
      </c>
      <c r="BS56" s="22">
        <v>6</v>
      </c>
      <c r="BT56" s="181">
        <f t="shared" ca="1" si="21"/>
        <v>328.62850240840766</v>
      </c>
      <c r="BU56" s="182">
        <f t="shared" ca="1" si="22"/>
        <v>1950.2460259466402</v>
      </c>
      <c r="BV56" s="203">
        <f t="shared" ca="1" si="23"/>
        <v>2278.8745283550479</v>
      </c>
      <c r="BY56" s="180">
        <v>2020</v>
      </c>
      <c r="BZ56" s="22">
        <v>6</v>
      </c>
      <c r="CA56" s="198">
        <f t="shared" ca="1" si="24"/>
        <v>-0.39420335952263263</v>
      </c>
      <c r="CB56" s="198">
        <f t="shared" ca="1" si="25"/>
        <v>331.65072816474793</v>
      </c>
      <c r="CC56" s="186">
        <f t="shared" ca="1" si="35"/>
        <v>1946.4682437512145</v>
      </c>
      <c r="CD56" s="203">
        <f t="shared" ca="1" si="26"/>
        <v>2277.7247685564398</v>
      </c>
      <c r="CG56" s="180">
        <v>2020</v>
      </c>
      <c r="CH56" s="22">
        <v>6</v>
      </c>
      <c r="CI56" s="198">
        <f t="shared" ca="1" si="27"/>
        <v>-0.41659168384602241</v>
      </c>
      <c r="CJ56" s="198">
        <f t="shared" ca="1" si="28"/>
        <v>4.3966010047066302</v>
      </c>
      <c r="CK56" s="198">
        <f t="shared" ca="1" si="29"/>
        <v>317.11630719500886</v>
      </c>
      <c r="CL56" s="186">
        <f t="shared" ca="1" si="30"/>
        <v>1955.2513850856349</v>
      </c>
      <c r="CM56" s="203">
        <f t="shared" ca="1" si="31"/>
        <v>2276.3477016015045</v>
      </c>
      <c r="CP56" s="180">
        <v>2020</v>
      </c>
      <c r="CQ56" s="22">
        <v>6</v>
      </c>
      <c r="CR56" s="181">
        <f t="shared" ca="1" si="32"/>
        <v>2079.0972973977018</v>
      </c>
      <c r="CS56" s="182">
        <f t="shared" ca="1" si="33"/>
        <v>1.1117632192473328</v>
      </c>
      <c r="CT56" s="203">
        <f t="shared" ca="1" si="34"/>
        <v>2311.4639044832984</v>
      </c>
      <c r="CZ56" s="164" t="b">
        <f t="shared" ca="1" si="4"/>
        <v>1</v>
      </c>
      <c r="DA56" s="165" t="b">
        <f t="shared" ca="1" si="4"/>
        <v>1</v>
      </c>
      <c r="DB56" s="166" t="b">
        <f t="shared" ca="1" si="4"/>
        <v>1</v>
      </c>
      <c r="DC56" s="164">
        <f t="shared" ca="1" si="16"/>
        <v>8</v>
      </c>
      <c r="DD56" s="166">
        <f t="shared" ca="1" si="5"/>
        <v>1990.5418989125978</v>
      </c>
      <c r="DE56" s="164">
        <f t="shared" ca="1" si="6"/>
        <v>8</v>
      </c>
      <c r="DF56" s="166">
        <f t="shared" ca="1" si="7"/>
        <v>2384.6697926657812</v>
      </c>
      <c r="DG56" s="164">
        <f t="shared" ca="1" si="8"/>
        <v>8</v>
      </c>
      <c r="DH56" s="166">
        <f t="shared" ca="1" si="9"/>
        <v>2778.7976864189645</v>
      </c>
      <c r="DI56" s="164">
        <f ca="1">IFERROR(INDEX(DC$46:DC$94,_xlfn.AGGREGATE(15,6,(ROW(DC$46:DC$94)-ROW(DC$46)+1)/(DC$46:DC$94&lt;&gt;""),ROWS(DI$1:DI11))),"")</f>
        <v>10</v>
      </c>
      <c r="DJ56" s="165">
        <f ca="1">IFERROR(INDEX(DD$46:DD$94,_xlfn.AGGREGATE(15,6,(ROW(DD$46:DD$94)-ROW(DD$46)+1)/(DD$46:DD$94&lt;&gt;""),ROWS(DJ$1:DJ11))),"")</f>
        <v>2089.5806323502784</v>
      </c>
      <c r="DK56" s="166">
        <f t="shared" ca="1" si="10"/>
        <v>56</v>
      </c>
      <c r="DL56" s="164">
        <f ca="1">IFERROR(INDEX(DE$46:DE$94,_xlfn.AGGREGATE(15,6,(ROW(DE$46:DE$94)-ROW(DE$46)+1)/(DE$46:DE$94&lt;&gt;""),ROWS(DL$1:DL11))),"")</f>
        <v>10</v>
      </c>
      <c r="DM56" s="165">
        <f ca="1">IFERROR(INDEX(DF$46:DF$94,_xlfn.AGGREGATE(15,6,(ROW(DF$46:DF$94)-ROW(DF$46)+1)/(DF$46:DF$94&lt;&gt;""),ROWS(DM$1:DM11))),"")</f>
        <v>2494.318330110194</v>
      </c>
      <c r="DN56" s="166">
        <f t="shared" ca="1" si="11"/>
        <v>56</v>
      </c>
      <c r="DO56" s="164">
        <f ca="1">IFERROR(INDEX(DG$46:DG$94,_xlfn.AGGREGATE(15,6,(ROW(DG$46:DG$94)-ROW(DG$46)+1)/(DG$46:DG$94&lt;&gt;""),ROWS(DO$1:DO11))),"")</f>
        <v>10</v>
      </c>
      <c r="DP56" s="165">
        <f ca="1">IFERROR(INDEX(DH$46:DH$94,_xlfn.AGGREGATE(15,6,(ROW(DH$46:DH$94)-ROW(DH$46)+1)/(DH$46:DH$94&lt;&gt;""),ROWS(DP$1:DP11))),"")</f>
        <v>2899.0560278701096</v>
      </c>
      <c r="DQ56" s="166">
        <f t="shared" ca="1" si="12"/>
        <v>56</v>
      </c>
      <c r="DV56" s="145">
        <v>2025</v>
      </c>
      <c r="DW56" s="146">
        <f t="shared" ca="1" si="13"/>
        <v>2548.8416927126787</v>
      </c>
      <c r="DZ56" s="135" t="s">
        <v>92</v>
      </c>
      <c r="EA56" s="33">
        <f>IF($V$4="Linear",0,IF($V$4="2nd Poly",0,IF($V$4="3rd Poly",0,IF($V$4="Exp",CR49))))</f>
        <v>0</v>
      </c>
      <c r="EB56" s="33">
        <f>IF($V$4="Linear",0,IF($V$4="2nd Poly",CA54,IF($V$4="3rd Poly",0,IF($V$4="Exp",CS49))))</f>
        <v>0</v>
      </c>
      <c r="EC56" s="33" t="str">
        <f>IF($EA$44="Linear","N/A",IF($EA$44="2nd Poly","N/A",IF($EA$44="3rd Poly","N/A","Low")))</f>
        <v>N/A</v>
      </c>
      <c r="EU56" s="65"/>
      <c r="EV56" s="147"/>
    </row>
    <row r="57" spans="1:152" ht="13.8" x14ac:dyDescent="0.45">
      <c r="B57" s="128">
        <v>2023</v>
      </c>
      <c r="C57" s="175">
        <f>'Total MSW Summaries (Archive)'!C14</f>
        <v>2677.0943089563343</v>
      </c>
      <c r="D57" s="159">
        <f>'Total MSW Summaries (Archive)'!O14</f>
        <v>2254.3264654798309</v>
      </c>
      <c r="E57" s="151">
        <f>'Total MSW Summaries (Archive)'!AA14</f>
        <v>2977.4080000000013</v>
      </c>
      <c r="F57" s="152">
        <f>'Total MSW Summaries (Archive)'!AM14</f>
        <v>2592.808605567217</v>
      </c>
      <c r="G57" s="159">
        <f>'Total MSW Summaries (Archive)'!AY14</f>
        <v>1695.4594594594605</v>
      </c>
      <c r="H57" s="200"/>
      <c r="I57" s="201"/>
      <c r="J57" s="199"/>
      <c r="K57" s="200"/>
      <c r="L57" s="201"/>
      <c r="M57" s="200"/>
      <c r="N57" s="29" t="s">
        <v>119</v>
      </c>
      <c r="P57" s="153"/>
      <c r="Q57" s="176">
        <f t="shared" ca="1" si="17"/>
        <v>2439.353688213851</v>
      </c>
      <c r="R57" s="29">
        <v>9</v>
      </c>
      <c r="S57" s="202">
        <f t="shared" ca="1" si="0"/>
        <v>1695.4594594594605</v>
      </c>
      <c r="T57" s="202">
        <f t="shared" ca="1" si="1"/>
        <v>2977.4080000000013</v>
      </c>
      <c r="U57" s="154">
        <f t="shared" ca="1" si="14"/>
        <v>399.41313940895793</v>
      </c>
      <c r="V57" s="20"/>
      <c r="W57" s="154">
        <f t="shared" ca="1" si="2"/>
        <v>2039.9952818704912</v>
      </c>
      <c r="X57" s="154">
        <f t="shared" ca="1" si="15"/>
        <v>2439.4084212794492</v>
      </c>
      <c r="Y57" s="154">
        <f t="shared" ca="1" si="3"/>
        <v>2838.8215606884069</v>
      </c>
      <c r="AA57" s="138">
        <v>2439.4122012057578</v>
      </c>
      <c r="AB57" s="138">
        <v>2439.4122012057578</v>
      </c>
      <c r="AC57" s="138">
        <v>2439.4122012057578</v>
      </c>
      <c r="AD57" s="120"/>
      <c r="AE57" s="120"/>
      <c r="AF57" s="120"/>
      <c r="AG57" s="120"/>
      <c r="AH57" s="120"/>
      <c r="AI57" s="120"/>
      <c r="AJ57" s="120"/>
      <c r="AK57" s="120"/>
      <c r="AL57" s="120"/>
      <c r="AM57" s="120"/>
      <c r="AN57" s="120"/>
      <c r="BR57" s="180">
        <v>2021</v>
      </c>
      <c r="BS57" s="22">
        <v>7</v>
      </c>
      <c r="BT57" s="181">
        <f t="shared" ca="1" si="21"/>
        <v>383.39991947647559</v>
      </c>
      <c r="BU57" s="182">
        <f t="shared" ca="1" si="22"/>
        <v>1950.2460259466402</v>
      </c>
      <c r="BV57" s="205">
        <f t="shared" ca="1" si="23"/>
        <v>2333.6459454231158</v>
      </c>
      <c r="BY57" s="180">
        <v>2021</v>
      </c>
      <c r="BZ57" s="22">
        <v>7</v>
      </c>
      <c r="CA57" s="198">
        <f t="shared" ca="1" si="24"/>
        <v>-0.53655457268358331</v>
      </c>
      <c r="CB57" s="198">
        <f t="shared" ca="1" si="25"/>
        <v>386.92584952553926</v>
      </c>
      <c r="CC57" s="186">
        <f t="shared" ca="1" si="35"/>
        <v>1946.4682437512145</v>
      </c>
      <c r="CD57" s="205">
        <f t="shared" ca="1" si="26"/>
        <v>2332.8575387040701</v>
      </c>
      <c r="CG57" s="180">
        <v>2021</v>
      </c>
      <c r="CH57" s="22">
        <v>7</v>
      </c>
      <c r="CI57" s="198">
        <f t="shared" ca="1" si="27"/>
        <v>-0.66153216462585962</v>
      </c>
      <c r="CJ57" s="198">
        <f t="shared" ca="1" si="28"/>
        <v>5.9842624786284695</v>
      </c>
      <c r="CK57" s="198">
        <f t="shared" ca="1" si="29"/>
        <v>369.96902506084365</v>
      </c>
      <c r="CL57" s="186">
        <f t="shared" ca="1" si="30"/>
        <v>1955.2513850856349</v>
      </c>
      <c r="CM57" s="205">
        <f t="shared" ca="1" si="31"/>
        <v>2330.543140460481</v>
      </c>
      <c r="CP57" s="180">
        <v>2021</v>
      </c>
      <c r="CQ57" s="22">
        <v>7</v>
      </c>
      <c r="CR57" s="181">
        <f t="shared" ca="1" si="32"/>
        <v>2079.0972973977018</v>
      </c>
      <c r="CS57" s="182">
        <f t="shared" ca="1" si="33"/>
        <v>1.1315689423615829</v>
      </c>
      <c r="CT57" s="205">
        <f t="shared" ca="1" si="34"/>
        <v>2352.6419298831429</v>
      </c>
      <c r="CZ57" s="164" t="b">
        <f t="shared" ca="1" si="4"/>
        <v>1</v>
      </c>
      <c r="DA57" s="165" t="b">
        <f t="shared" ca="1" si="4"/>
        <v>1</v>
      </c>
      <c r="DB57" s="166" t="b">
        <f t="shared" ca="1" si="4"/>
        <v>1</v>
      </c>
      <c r="DC57" s="164">
        <f t="shared" ca="1" si="16"/>
        <v>9</v>
      </c>
      <c r="DD57" s="166">
        <f t="shared" ca="1" si="5"/>
        <v>2039.9952818704912</v>
      </c>
      <c r="DE57" s="164">
        <f t="shared" ca="1" si="6"/>
        <v>9</v>
      </c>
      <c r="DF57" s="166">
        <f t="shared" ca="1" si="7"/>
        <v>2439.4084212794492</v>
      </c>
      <c r="DG57" s="164">
        <f t="shared" ca="1" si="8"/>
        <v>9</v>
      </c>
      <c r="DH57" s="166">
        <f t="shared" ca="1" si="9"/>
        <v>2838.8215606884069</v>
      </c>
      <c r="DI57" s="164">
        <f ca="1">IFERROR(INDEX(DC$46:DC$94,_xlfn.AGGREGATE(15,6,(ROW(DC$46:DC$94)-ROW(DC$46)+1)/(DC$46:DC$94&lt;&gt;""),ROWS(DI$1:DI12))),"")</f>
        <v>11</v>
      </c>
      <c r="DJ57" s="165">
        <f ca="1">IFERROR(INDEX(DD$46:DD$94,_xlfn.AGGREGATE(15,6,(ROW(DD$46:DD$94)-ROW(DD$46)+1)/(DD$46:DD$94&lt;&gt;""),ROWS(DJ$1:DJ12))),"")</f>
        <v>2138.9498897550166</v>
      </c>
      <c r="DK57" s="166">
        <f t="shared" ca="1" si="10"/>
        <v>57</v>
      </c>
      <c r="DL57" s="164">
        <f ca="1">IFERROR(INDEX(DE$46:DE$94,_xlfn.AGGREGATE(15,6,(ROW(DE$46:DE$94)-ROW(DE$46)+1)/(DE$46:DE$94&lt;&gt;""),ROWS(DL$1:DL12))),"")</f>
        <v>11</v>
      </c>
      <c r="DM57" s="165">
        <f ca="1">IFERROR(INDEX(DF$46:DF$94,_xlfn.AGGREGATE(15,6,(ROW(DF$46:DF$94)-ROW(DF$46)+1)/(DF$46:DF$94&lt;&gt;""),ROWS(DM$1:DM12))),"")</f>
        <v>2548.888009546954</v>
      </c>
      <c r="DN57" s="166">
        <f t="shared" ca="1" si="11"/>
        <v>57</v>
      </c>
      <c r="DO57" s="164">
        <f ca="1">IFERROR(INDEX(DG$46:DG$94,_xlfn.AGGREGATE(15,6,(ROW(DG$46:DG$94)-ROW(DG$46)+1)/(DG$46:DG$94&lt;&gt;""),ROWS(DO$1:DO12))),"")</f>
        <v>11</v>
      </c>
      <c r="DP57" s="165">
        <f ca="1">IFERROR(INDEX(DH$46:DH$94,_xlfn.AGGREGATE(15,6,(ROW(DH$46:DH$94)-ROW(DH$46)+1)/(DH$46:DH$94&lt;&gt;""),ROWS(DP$1:DP12))),"")</f>
        <v>2958.8261293388914</v>
      </c>
      <c r="DQ57" s="166">
        <f t="shared" ca="1" si="12"/>
        <v>57</v>
      </c>
      <c r="DV57" s="145">
        <v>2026</v>
      </c>
      <c r="DW57" s="146">
        <f t="shared" ca="1" si="13"/>
        <v>2603.737670023711</v>
      </c>
      <c r="EU57" s="65"/>
      <c r="EV57" s="147"/>
    </row>
    <row r="58" spans="1:152" ht="13.8" x14ac:dyDescent="0.45">
      <c r="B58" s="128">
        <v>2024</v>
      </c>
      <c r="C58" s="175">
        <f>'Total MSW Summaries (Archive)'!C15</f>
        <v>2727.7434878871036</v>
      </c>
      <c r="D58" s="159">
        <f>'Total MSW Summaries (Archive)'!O15</f>
        <v>2324.3879789064722</v>
      </c>
      <c r="E58" s="151">
        <f>'Total MSW Summaries (Archive)'!AA15</f>
        <v>3039.5400000000013</v>
      </c>
      <c r="F58" s="152">
        <f>'Total MSW Summaries (Archive)'!AM15</f>
        <v>2646.8199823467448</v>
      </c>
      <c r="G58" s="159">
        <f>'Total MSW Summaries (Archive)'!AY15</f>
        <v>1733.4054054054066</v>
      </c>
      <c r="H58" s="204"/>
      <c r="I58" s="206"/>
      <c r="J58" s="207"/>
      <c r="K58" s="204"/>
      <c r="L58" s="206"/>
      <c r="M58" s="204"/>
      <c r="N58" s="29" t="s">
        <v>119</v>
      </c>
      <c r="P58" s="128"/>
      <c r="Q58" s="176">
        <f t="shared" ca="1" si="17"/>
        <v>2494.0131261154352</v>
      </c>
      <c r="R58" s="29">
        <v>10</v>
      </c>
      <c r="S58" s="154">
        <f t="shared" ca="1" si="0"/>
        <v>1733.4054054054066</v>
      </c>
      <c r="T58" s="154">
        <f t="shared" ca="1" si="1"/>
        <v>3039.5400000000013</v>
      </c>
      <c r="U58" s="154">
        <f t="shared" ca="1" si="14"/>
        <v>404.73769775991559</v>
      </c>
      <c r="V58" s="20"/>
      <c r="W58" s="154">
        <f t="shared" ca="1" si="2"/>
        <v>2089.5806323502784</v>
      </c>
      <c r="X58" s="154">
        <f t="shared" ca="1" si="15"/>
        <v>2494.318330110194</v>
      </c>
      <c r="Y58" s="154">
        <f t="shared" ca="1" si="3"/>
        <v>2899.0560278701096</v>
      </c>
      <c r="AA58" s="138">
        <v>2494.0626791096215</v>
      </c>
      <c r="AB58" s="138">
        <v>2494.0626791096215</v>
      </c>
      <c r="AC58" s="138">
        <v>2494.0626791096215</v>
      </c>
      <c r="AD58" s="120"/>
      <c r="AE58" s="120"/>
      <c r="AF58" s="120"/>
      <c r="AG58" s="120"/>
      <c r="AH58" s="120"/>
      <c r="AI58" s="120"/>
      <c r="AJ58" s="120"/>
      <c r="AK58" s="120"/>
      <c r="AL58" s="120"/>
      <c r="AM58" s="120"/>
      <c r="AN58" s="120"/>
      <c r="BR58" s="180">
        <v>2022</v>
      </c>
      <c r="BS58" s="22">
        <v>8</v>
      </c>
      <c r="BT58" s="181">
        <f t="shared" ca="1" si="21"/>
        <v>438.17133654454352</v>
      </c>
      <c r="BU58" s="182">
        <f t="shared" ca="1" si="22"/>
        <v>1950.2460259466402</v>
      </c>
      <c r="BV58" s="205">
        <f t="shared" ca="1" si="23"/>
        <v>2388.4173624911837</v>
      </c>
      <c r="BY58" s="180">
        <v>2022</v>
      </c>
      <c r="BZ58" s="22">
        <v>8</v>
      </c>
      <c r="CA58" s="198">
        <f t="shared" ca="1" si="24"/>
        <v>-0.70080597248468024</v>
      </c>
      <c r="CB58" s="198">
        <f t="shared" ca="1" si="25"/>
        <v>442.20097088633059</v>
      </c>
      <c r="CC58" s="186">
        <f t="shared" ca="1" si="35"/>
        <v>1946.4682437512145</v>
      </c>
      <c r="CD58" s="205">
        <f t="shared" ca="1" si="26"/>
        <v>2387.9684086650605</v>
      </c>
      <c r="CG58" s="180">
        <v>2022</v>
      </c>
      <c r="CH58" s="22">
        <v>8</v>
      </c>
      <c r="CI58" s="198">
        <f t="shared" ca="1" si="27"/>
        <v>-0.98747658393131232</v>
      </c>
      <c r="CJ58" s="198">
        <f t="shared" ca="1" si="28"/>
        <v>7.8161795639228986</v>
      </c>
      <c r="CK58" s="198">
        <f t="shared" ca="1" si="29"/>
        <v>422.82174292667844</v>
      </c>
      <c r="CL58" s="186">
        <f t="shared" ca="1" si="30"/>
        <v>1955.2513850856349</v>
      </c>
      <c r="CM58" s="205">
        <f t="shared" ca="1" si="31"/>
        <v>2384.9018309923049</v>
      </c>
      <c r="CP58" s="180">
        <v>2022</v>
      </c>
      <c r="CQ58" s="22">
        <v>8</v>
      </c>
      <c r="CR58" s="181">
        <f t="shared" ca="1" si="32"/>
        <v>2079.0972973977018</v>
      </c>
      <c r="CS58" s="182">
        <f t="shared" ca="1" si="33"/>
        <v>1.1517274984004047</v>
      </c>
      <c r="CT58" s="205">
        <f t="shared" ca="1" si="34"/>
        <v>2394.5535292628974</v>
      </c>
      <c r="CZ58" s="164" t="b">
        <f t="shared" ca="1" si="4"/>
        <v>1</v>
      </c>
      <c r="DA58" s="165" t="b">
        <f t="shared" ca="1" si="4"/>
        <v>1</v>
      </c>
      <c r="DB58" s="166" t="b">
        <f t="shared" ca="1" si="4"/>
        <v>1</v>
      </c>
      <c r="DC58" s="164">
        <f t="shared" ca="1" si="16"/>
        <v>10</v>
      </c>
      <c r="DD58" s="166">
        <f t="shared" ca="1" si="5"/>
        <v>2089.5806323502784</v>
      </c>
      <c r="DE58" s="164">
        <f t="shared" ca="1" si="6"/>
        <v>10</v>
      </c>
      <c r="DF58" s="166">
        <f t="shared" ca="1" si="7"/>
        <v>2494.318330110194</v>
      </c>
      <c r="DG58" s="164">
        <f t="shared" ca="1" si="8"/>
        <v>10</v>
      </c>
      <c r="DH58" s="166">
        <f t="shared" ca="1" si="9"/>
        <v>2899.0560278701096</v>
      </c>
      <c r="DI58" s="164">
        <f ca="1">IFERROR(INDEX(DC$46:DC$94,_xlfn.AGGREGATE(15,6,(ROW(DC$46:DC$94)-ROW(DC$46)+1)/(DC$46:DC$94&lt;&gt;""),ROWS(DI$1:DI13))),"")</f>
        <v>12</v>
      </c>
      <c r="DJ58" s="165">
        <f ca="1">IFERROR(INDEX(DD$46:DD$94,_xlfn.AGGREGATE(15,6,(ROW(DD$46:DD$94)-ROW(DD$46)+1)/(DD$46:DD$94&lt;&gt;""),ROWS(DJ$1:DJ13))),"")</f>
        <v>2187.7324664675803</v>
      </c>
      <c r="DK58" s="166">
        <f t="shared" ca="1" si="10"/>
        <v>58</v>
      </c>
      <c r="DL58" s="164">
        <f ca="1">IFERROR(INDEX(DE$46:DE$94,_xlfn.AGGREGATE(15,6,(ROW(DE$46:DE$94)-ROW(DE$46)+1)/(DE$46:DE$94&lt;&gt;""),ROWS(DL$1:DL13))),"")</f>
        <v>12</v>
      </c>
      <c r="DM58" s="165">
        <f ca="1">IFERROR(INDEX(DF$46:DF$94,_xlfn.AGGREGATE(15,6,(ROW(DF$46:DF$94)-ROW(DF$46)+1)/(DF$46:DF$94&lt;&gt;""),ROWS(DM$1:DM13))),"")</f>
        <v>2602.6384420421123</v>
      </c>
      <c r="DN58" s="166">
        <f t="shared" ca="1" si="11"/>
        <v>58</v>
      </c>
      <c r="DO58" s="164">
        <f ca="1">IFERROR(INDEX(DG$46:DG$94,_xlfn.AGGREGATE(15,6,(ROW(DG$46:DG$94)-ROW(DG$46)+1)/(DG$46:DG$94&lt;&gt;""),ROWS(DO$1:DO13))),"")</f>
        <v>12</v>
      </c>
      <c r="DP58" s="165">
        <f ca="1">IFERROR(INDEX(DH$46:DH$94,_xlfn.AGGREGATE(15,6,(ROW(DH$46:DH$94)-ROW(DH$46)+1)/(DH$46:DH$94&lt;&gt;""),ROWS(DP$1:DP13))),"")</f>
        <v>3017.5444176166443</v>
      </c>
      <c r="DQ58" s="166">
        <f t="shared" ca="1" si="12"/>
        <v>58</v>
      </c>
      <c r="DV58" s="145">
        <v>2027</v>
      </c>
      <c r="DW58" s="146">
        <f t="shared" ca="1" si="13"/>
        <v>2658.7390390515002</v>
      </c>
      <c r="EU58" s="65"/>
      <c r="EV58" s="147"/>
    </row>
    <row r="59" spans="1:152" ht="13.8" x14ac:dyDescent="0.45">
      <c r="B59" s="128">
        <v>2025</v>
      </c>
      <c r="C59" s="175">
        <f>'Total MSW Summaries (Archive)'!C16</f>
        <v>2778.629076779855</v>
      </c>
      <c r="D59" s="159">
        <f>'Total MSW Summaries (Archive)'!O16</f>
        <v>2395.8232314014331</v>
      </c>
      <c r="E59" s="151">
        <f>'Total MSW Summaries (Archive)'!AA16</f>
        <v>3101.6720000000014</v>
      </c>
      <c r="F59" s="152">
        <f>'Total MSW Summaries (Archive)'!AM16</f>
        <v>2697.0513841095999</v>
      </c>
      <c r="G59" s="159">
        <f>'Total MSW Summaries (Archive)'!AY16</f>
        <v>1771.3513513513526</v>
      </c>
      <c r="H59" s="204"/>
      <c r="I59" s="206"/>
      <c r="J59" s="207"/>
      <c r="K59" s="204"/>
      <c r="L59" s="206"/>
      <c r="M59" s="204"/>
      <c r="N59" s="29" t="s">
        <v>119</v>
      </c>
      <c r="P59" s="128"/>
      <c r="Q59" s="176">
        <f t="shared" ca="1" si="17"/>
        <v>2548.8010136394805</v>
      </c>
      <c r="R59" s="29">
        <v>11</v>
      </c>
      <c r="S59" s="154">
        <f t="shared" ca="1" si="0"/>
        <v>1771.3513513513526</v>
      </c>
      <c r="T59" s="154">
        <f t="shared" ca="1" si="1"/>
        <v>3101.6720000000014</v>
      </c>
      <c r="U59" s="154">
        <f t="shared" ca="1" si="14"/>
        <v>409.9381197919372</v>
      </c>
      <c r="W59" s="154">
        <f t="shared" ca="1" si="2"/>
        <v>2138.9498897550166</v>
      </c>
      <c r="X59" s="154">
        <f t="shared" ca="1" si="15"/>
        <v>2548.888009546954</v>
      </c>
      <c r="Y59" s="154">
        <f t="shared" ca="1" si="3"/>
        <v>2958.8261293388914</v>
      </c>
      <c r="AA59" s="138">
        <v>2548.8416927126787</v>
      </c>
      <c r="AB59" s="138">
        <v>2548.8416927126787</v>
      </c>
      <c r="AC59" s="138">
        <v>2548.8416927126787</v>
      </c>
      <c r="AD59" s="120"/>
      <c r="AE59" s="120"/>
      <c r="AF59" s="120"/>
      <c r="AG59" s="120"/>
      <c r="AH59" s="120"/>
      <c r="AI59" s="120"/>
      <c r="AJ59" s="120"/>
      <c r="AK59" s="120"/>
      <c r="AL59" s="120"/>
      <c r="AM59" s="120"/>
      <c r="AN59" s="120"/>
      <c r="BR59" s="180">
        <v>2023</v>
      </c>
      <c r="BS59" s="22">
        <v>9</v>
      </c>
      <c r="BT59" s="181">
        <f t="shared" ca="1" si="21"/>
        <v>492.94275361261145</v>
      </c>
      <c r="BU59" s="182">
        <f t="shared" ca="1" si="22"/>
        <v>1950.2460259466402</v>
      </c>
      <c r="BV59" s="205">
        <f t="shared" ca="1" si="23"/>
        <v>2443.1887795592515</v>
      </c>
      <c r="BY59" s="180">
        <v>2023</v>
      </c>
      <c r="BZ59" s="22">
        <v>9</v>
      </c>
      <c r="CA59" s="198">
        <f t="shared" ca="1" si="24"/>
        <v>-0.88695755892592343</v>
      </c>
      <c r="CB59" s="198">
        <f t="shared" ca="1" si="25"/>
        <v>497.47609224712193</v>
      </c>
      <c r="CC59" s="186">
        <f t="shared" ca="1" si="35"/>
        <v>1946.4682437512145</v>
      </c>
      <c r="CD59" s="205">
        <f t="shared" ca="1" si="26"/>
        <v>2443.0573784394105</v>
      </c>
      <c r="CG59" s="180">
        <v>2023</v>
      </c>
      <c r="CH59" s="22">
        <v>9</v>
      </c>
      <c r="CI59" s="198">
        <f t="shared" ca="1" si="27"/>
        <v>-1.4059969329803255</v>
      </c>
      <c r="CJ59" s="198">
        <f t="shared" ca="1" si="28"/>
        <v>9.8923522605899183</v>
      </c>
      <c r="CK59" s="198">
        <f t="shared" ca="1" si="29"/>
        <v>475.67446079251323</v>
      </c>
      <c r="CL59" s="186">
        <f t="shared" ca="1" si="30"/>
        <v>1955.2513850856349</v>
      </c>
      <c r="CM59" s="205">
        <f t="shared" ca="1" si="31"/>
        <v>2439.4122012057578</v>
      </c>
      <c r="CP59" s="180">
        <v>2023</v>
      </c>
      <c r="CQ59" s="22">
        <v>9</v>
      </c>
      <c r="CR59" s="181">
        <f t="shared" ca="1" si="32"/>
        <v>2079.0972973977018</v>
      </c>
      <c r="CS59" s="182">
        <f t="shared" ca="1" si="33"/>
        <v>1.1722451729748786</v>
      </c>
      <c r="CT59" s="205">
        <f t="shared" ca="1" si="34"/>
        <v>2437.2117710195716</v>
      </c>
      <c r="CZ59" s="164" t="b">
        <f t="shared" ca="1" si="4"/>
        <v>1</v>
      </c>
      <c r="DA59" s="165" t="b">
        <f t="shared" ca="1" si="4"/>
        <v>1</v>
      </c>
      <c r="DB59" s="166" t="b">
        <f t="shared" ca="1" si="4"/>
        <v>1</v>
      </c>
      <c r="DC59" s="164">
        <f t="shared" ca="1" si="16"/>
        <v>11</v>
      </c>
      <c r="DD59" s="166">
        <f t="shared" ca="1" si="5"/>
        <v>2138.9498897550166</v>
      </c>
      <c r="DE59" s="164">
        <f t="shared" ca="1" si="6"/>
        <v>11</v>
      </c>
      <c r="DF59" s="166">
        <f t="shared" ca="1" si="7"/>
        <v>2548.888009546954</v>
      </c>
      <c r="DG59" s="164">
        <f t="shared" ca="1" si="8"/>
        <v>11</v>
      </c>
      <c r="DH59" s="166">
        <f t="shared" ca="1" si="9"/>
        <v>2958.8261293388914</v>
      </c>
      <c r="DI59" s="164">
        <f ca="1">IFERROR(INDEX(DC$46:DC$94,_xlfn.AGGREGATE(15,6,(ROW(DC$46:DC$94)-ROW(DC$46)+1)/(DC$46:DC$94&lt;&gt;""),ROWS(DI$1:DI14))),"")</f>
        <v>13</v>
      </c>
      <c r="DJ59" s="165">
        <f ca="1">IFERROR(INDEX(DD$46:DD$94,_xlfn.AGGREGATE(15,6,(ROW(DD$46:DD$94)-ROW(DD$46)+1)/(DD$46:DD$94&lt;&gt;""),ROWS(DJ$1:DJ14))),"")</f>
        <v>2237.4761523114489</v>
      </c>
      <c r="DK59" s="166">
        <f t="shared" ca="1" si="10"/>
        <v>59</v>
      </c>
      <c r="DL59" s="164">
        <f ca="1">IFERROR(INDEX(DE$46:DE$94,_xlfn.AGGREGATE(15,6,(ROW(DE$46:DE$94)-ROW(DE$46)+1)/(DE$46:DE$94&lt;&gt;""),ROWS(DL$1:DL14))),"")</f>
        <v>13</v>
      </c>
      <c r="DM59" s="165">
        <f ca="1">IFERROR(INDEX(DF$46:DF$94,_xlfn.AGGREGATE(15,6,(ROW(DF$46:DF$94)-ROW(DF$46)+1)/(DF$46:DF$94&lt;&gt;""),ROWS(DM$1:DM14))),"")</f>
        <v>2657.9689931917892</v>
      </c>
      <c r="DN59" s="166">
        <f t="shared" ca="1" si="11"/>
        <v>59</v>
      </c>
      <c r="DO59" s="164">
        <f ca="1">IFERROR(INDEX(DG$46:DG$94,_xlfn.AGGREGATE(15,6,(ROW(DG$46:DG$94)-ROW(DG$46)+1)/(DG$46:DG$94&lt;&gt;""),ROWS(DO$1:DO14))),"")</f>
        <v>13</v>
      </c>
      <c r="DP59" s="165">
        <f ca="1">IFERROR(INDEX(DH$46:DH$94,_xlfn.AGGREGATE(15,6,(ROW(DH$46:DH$94)-ROW(DH$46)+1)/(DH$46:DH$94&lt;&gt;""),ROWS(DP$1:DP14))),"")</f>
        <v>3078.4618340721295</v>
      </c>
      <c r="DQ59" s="166">
        <f t="shared" ca="1" si="12"/>
        <v>59</v>
      </c>
      <c r="DV59" s="145">
        <v>2028</v>
      </c>
      <c r="DW59" s="146">
        <f t="shared" ca="1" si="13"/>
        <v>2713.8342278048294</v>
      </c>
      <c r="EU59" s="65"/>
      <c r="EV59" s="147"/>
    </row>
    <row r="60" spans="1:152" ht="13.8" x14ac:dyDescent="0.45">
      <c r="B60" s="128">
        <v>2026</v>
      </c>
      <c r="C60" s="175">
        <f>'Total MSW Summaries (Archive)'!C17</f>
        <v>2829.7411224639714</v>
      </c>
      <c r="D60" s="159">
        <f>'Total MSW Summaries (Archive)'!O17</f>
        <v>2468.6264158978438</v>
      </c>
      <c r="E60" s="151">
        <f>'Total MSW Summaries (Archive)'!AA17</f>
        <v>3163.8040000000015</v>
      </c>
      <c r="F60" s="152">
        <f>'Total MSW Summaries (Archive)'!AM17</f>
        <v>2740.6560723706311</v>
      </c>
      <c r="G60" s="159">
        <f>'Total MSW Summaries (Archive)'!AY17</f>
        <v>1809.2972972972987</v>
      </c>
      <c r="H60" s="204"/>
      <c r="I60" s="206"/>
      <c r="J60" s="207"/>
      <c r="K60" s="204"/>
      <c r="L60" s="206"/>
      <c r="M60" s="204"/>
      <c r="N60" s="29" t="s">
        <v>119</v>
      </c>
      <c r="P60" s="128"/>
      <c r="Q60" s="176">
        <f t="shared" ca="1" si="17"/>
        <v>2603.705744222927</v>
      </c>
      <c r="R60" s="29">
        <v>12</v>
      </c>
      <c r="S60" s="154">
        <f t="shared" ca="1" si="0"/>
        <v>1809.2972972972987</v>
      </c>
      <c r="T60" s="154">
        <f t="shared" ca="1" si="1"/>
        <v>3163.8040000000015</v>
      </c>
      <c r="U60" s="154">
        <f t="shared" ca="1" si="14"/>
        <v>414.90597557453202</v>
      </c>
      <c r="W60" s="154">
        <f t="shared" ca="1" si="2"/>
        <v>2187.7324664675803</v>
      </c>
      <c r="X60" s="154">
        <f t="shared" ca="1" si="15"/>
        <v>2602.6384420421123</v>
      </c>
      <c r="Y60" s="154">
        <f t="shared" ca="1" si="3"/>
        <v>3017.5444176166443</v>
      </c>
      <c r="AA60" s="138">
        <v>2603.737670023711</v>
      </c>
      <c r="AB60" s="138">
        <v>2603.737670023711</v>
      </c>
      <c r="AC60" s="138">
        <v>2603.737670023711</v>
      </c>
      <c r="AD60" s="120"/>
      <c r="AE60" s="120"/>
      <c r="AF60" s="120"/>
      <c r="AG60" s="120"/>
      <c r="AH60" s="120"/>
      <c r="AI60" s="120"/>
      <c r="AJ60" s="120"/>
      <c r="AK60" s="120"/>
      <c r="AL60" s="120"/>
      <c r="AM60" s="120"/>
      <c r="AN60" s="120"/>
      <c r="BR60" s="180">
        <v>2024</v>
      </c>
      <c r="BS60" s="22">
        <v>10</v>
      </c>
      <c r="BT60" s="181">
        <f t="shared" ca="1" si="21"/>
        <v>547.71417068067944</v>
      </c>
      <c r="BU60" s="182">
        <f t="shared" ca="1" si="22"/>
        <v>1950.2460259466402</v>
      </c>
      <c r="BV60" s="205">
        <f t="shared" ca="1" si="23"/>
        <v>2497.9601966273194</v>
      </c>
      <c r="BY60" s="180">
        <v>2024</v>
      </c>
      <c r="BZ60" s="22">
        <v>10</v>
      </c>
      <c r="CA60" s="198">
        <f t="shared" ca="1" si="24"/>
        <v>-1.0950093320073129</v>
      </c>
      <c r="CB60" s="198">
        <f t="shared" ca="1" si="25"/>
        <v>552.7512136079132</v>
      </c>
      <c r="CC60" s="186">
        <f t="shared" ca="1" si="35"/>
        <v>1946.4682437512145</v>
      </c>
      <c r="CD60" s="205">
        <f t="shared" ca="1" si="26"/>
        <v>2498.1244480271203</v>
      </c>
      <c r="CG60" s="180">
        <v>2024</v>
      </c>
      <c r="CH60" s="22">
        <v>10</v>
      </c>
      <c r="CI60" s="198">
        <f t="shared" ca="1" si="27"/>
        <v>-1.9286652029908444</v>
      </c>
      <c r="CJ60" s="198">
        <f t="shared" ca="1" si="28"/>
        <v>12.21278056862953</v>
      </c>
      <c r="CK60" s="198">
        <f t="shared" ca="1" si="29"/>
        <v>528.52717865834802</v>
      </c>
      <c r="CL60" s="186">
        <f t="shared" ca="1" si="30"/>
        <v>1955.2513850856349</v>
      </c>
      <c r="CM60" s="205">
        <f t="shared" ca="1" si="31"/>
        <v>2494.0626791096215</v>
      </c>
      <c r="CP60" s="180">
        <v>2024</v>
      </c>
      <c r="CQ60" s="22">
        <v>10</v>
      </c>
      <c r="CR60" s="181">
        <f t="shared" ca="1" si="32"/>
        <v>2079.0972973977018</v>
      </c>
      <c r="CS60" s="182">
        <f t="shared" ca="1" si="33"/>
        <v>1.1931283636723318</v>
      </c>
      <c r="CT60" s="205">
        <f t="shared" ca="1" si="34"/>
        <v>2480.6299563596872</v>
      </c>
      <c r="CZ60" s="164" t="b">
        <f t="shared" ca="1" si="4"/>
        <v>1</v>
      </c>
      <c r="DA60" s="165" t="b">
        <f t="shared" ca="1" si="4"/>
        <v>1</v>
      </c>
      <c r="DB60" s="166" t="b">
        <f t="shared" ca="1" si="4"/>
        <v>1</v>
      </c>
      <c r="DC60" s="164">
        <f t="shared" ca="1" si="16"/>
        <v>12</v>
      </c>
      <c r="DD60" s="166">
        <f t="shared" ca="1" si="5"/>
        <v>2187.7324664675803</v>
      </c>
      <c r="DE60" s="164">
        <f t="shared" ca="1" si="6"/>
        <v>12</v>
      </c>
      <c r="DF60" s="166">
        <f t="shared" ca="1" si="7"/>
        <v>2602.6384420421123</v>
      </c>
      <c r="DG60" s="164">
        <f t="shared" ca="1" si="8"/>
        <v>12</v>
      </c>
      <c r="DH60" s="166">
        <f t="shared" ca="1" si="9"/>
        <v>3017.5444176166443</v>
      </c>
      <c r="DI60" s="164">
        <f ca="1">IFERROR(INDEX(DC$46:DC$94,_xlfn.AGGREGATE(15,6,(ROW(DC$46:DC$94)-ROW(DC$46)+1)/(DC$46:DC$94&lt;&gt;""),ROWS(DI$1:DI15))),"")</f>
        <v>14</v>
      </c>
      <c r="DJ60" s="165">
        <f ca="1">IFERROR(INDEX(DD$46:DD$94,_xlfn.AGGREGATE(15,6,(ROW(DD$46:DD$94)-ROW(DD$46)+1)/(DD$46:DD$94&lt;&gt;""),ROWS(DJ$1:DJ15))),"")</f>
        <v>2287.23338834382</v>
      </c>
      <c r="DK60" s="166">
        <f t="shared" ca="1" si="10"/>
        <v>60</v>
      </c>
      <c r="DL60" s="164">
        <f ca="1">IFERROR(INDEX(DE$46:DE$94,_xlfn.AGGREGATE(15,6,(ROW(DE$46:DE$94)-ROW(DE$46)+1)/(DE$46:DE$94&lt;&gt;""),ROWS(DL$1:DL15))),"")</f>
        <v>14</v>
      </c>
      <c r="DM60" s="165">
        <f ca="1">IFERROR(INDEX(DF$46:DF$94,_xlfn.AGGREGATE(15,6,(ROW(DF$46:DF$94)-ROW(DF$46)+1)/(DF$46:DF$94&lt;&gt;""),ROWS(DM$1:DM15))),"")</f>
        <v>2713.4590454368604</v>
      </c>
      <c r="DN60" s="166">
        <f t="shared" ca="1" si="11"/>
        <v>60</v>
      </c>
      <c r="DO60" s="164">
        <f ca="1">IFERROR(INDEX(DG$46:DG$94,_xlfn.AGGREGATE(15,6,(ROW(DG$46:DG$94)-ROW(DG$46)+1)/(DG$46:DG$94&lt;&gt;""),ROWS(DO$1:DO15))),"")</f>
        <v>14</v>
      </c>
      <c r="DP60" s="165">
        <f ca="1">IFERROR(INDEX(DH$46:DH$94,_xlfn.AGGREGATE(15,6,(ROW(DH$46:DH$94)-ROW(DH$46)+1)/(DH$46:DH$94&lt;&gt;""),ROWS(DP$1:DP15))),"")</f>
        <v>3139.6847025299007</v>
      </c>
      <c r="DQ60" s="166">
        <f t="shared" ca="1" si="12"/>
        <v>60</v>
      </c>
      <c r="DV60" s="145">
        <v>2029</v>
      </c>
      <c r="DW60" s="146">
        <f t="shared" ca="1" si="13"/>
        <v>2769.0116642924795</v>
      </c>
      <c r="EA60" s="55"/>
      <c r="EB60" s="55"/>
      <c r="EC60" s="55"/>
      <c r="ED60" s="55"/>
      <c r="EE60" s="55"/>
      <c r="EU60" s="65"/>
      <c r="EV60" s="147"/>
    </row>
    <row r="61" spans="1:152" ht="13.8" x14ac:dyDescent="0.45">
      <c r="B61" s="128">
        <v>2027</v>
      </c>
      <c r="C61" s="175">
        <f>'Total MSW Summaries (Archive)'!C18</f>
        <v>2881.0646742995841</v>
      </c>
      <c r="D61" s="159">
        <f>'Total MSW Summaries (Archive)'!O18</f>
        <v>2542.7847598748453</v>
      </c>
      <c r="E61" s="151">
        <f>'Total MSW Summaries (Archive)'!AA18</f>
        <v>3225.9360000000015</v>
      </c>
      <c r="F61" s="152">
        <f>'Total MSW Summaries (Archive)'!AM18</f>
        <v>2792.0695704303453</v>
      </c>
      <c r="G61" s="159">
        <f>'Total MSW Summaries (Archive)'!AY18</f>
        <v>1847.2432432432447</v>
      </c>
      <c r="H61" s="204"/>
      <c r="I61" s="206"/>
      <c r="J61" s="207"/>
      <c r="K61" s="204"/>
      <c r="L61" s="206"/>
      <c r="M61" s="204"/>
      <c r="N61" s="29" t="s">
        <v>119</v>
      </c>
      <c r="P61" s="128"/>
      <c r="Q61" s="176">
        <f t="shared" ca="1" si="17"/>
        <v>2658.7157113027124</v>
      </c>
      <c r="R61" s="29">
        <v>13</v>
      </c>
      <c r="S61" s="154">
        <f t="shared" ca="1" si="0"/>
        <v>1847.2432432432447</v>
      </c>
      <c r="T61" s="154">
        <f t="shared" ca="1" si="1"/>
        <v>3225.9360000000015</v>
      </c>
      <c r="U61" s="154">
        <f t="shared" ca="1" si="14"/>
        <v>420.49284088034028</v>
      </c>
      <c r="W61" s="154">
        <f t="shared" ca="1" si="2"/>
        <v>2237.4761523114489</v>
      </c>
      <c r="X61" s="154">
        <f t="shared" ca="1" si="15"/>
        <v>2657.9689931917892</v>
      </c>
      <c r="Y61" s="154">
        <f t="shared" ca="1" si="3"/>
        <v>3078.4618340721295</v>
      </c>
      <c r="AA61" s="138">
        <v>2658.7390390515002</v>
      </c>
      <c r="AB61" s="133">
        <v>2658.7390390515002</v>
      </c>
      <c r="AC61" s="133">
        <v>2658.7390390515002</v>
      </c>
      <c r="AD61" s="89"/>
      <c r="AE61" s="89"/>
      <c r="AF61" s="89"/>
      <c r="AG61" s="89"/>
      <c r="AH61" s="89"/>
      <c r="AI61" s="89"/>
      <c r="AJ61" s="89"/>
      <c r="AK61" s="89"/>
      <c r="AL61" s="89"/>
      <c r="AM61" s="89"/>
      <c r="AN61" s="89"/>
      <c r="BR61" s="180">
        <v>2025</v>
      </c>
      <c r="BS61" s="22">
        <v>11</v>
      </c>
      <c r="BT61" s="181">
        <f t="shared" ca="1" si="21"/>
        <v>602.48558774874732</v>
      </c>
      <c r="BU61" s="182">
        <f t="shared" ca="1" si="22"/>
        <v>1950.2460259466402</v>
      </c>
      <c r="BV61" s="205">
        <f t="shared" ca="1" si="23"/>
        <v>2552.7316136953878</v>
      </c>
      <c r="BY61" s="180">
        <v>2025</v>
      </c>
      <c r="BZ61" s="22">
        <v>11</v>
      </c>
      <c r="CA61" s="198">
        <f t="shared" ca="1" si="24"/>
        <v>-1.3249612917288487</v>
      </c>
      <c r="CB61" s="198">
        <f t="shared" ca="1" si="25"/>
        <v>608.02633496870453</v>
      </c>
      <c r="CC61" s="186">
        <f t="shared" ca="1" si="35"/>
        <v>1946.4682437512145</v>
      </c>
      <c r="CD61" s="205">
        <f t="shared" ca="1" si="26"/>
        <v>2553.1696174281901</v>
      </c>
      <c r="CG61" s="180">
        <v>2025</v>
      </c>
      <c r="CH61" s="22">
        <v>11</v>
      </c>
      <c r="CI61" s="198">
        <f t="shared" ca="1" si="27"/>
        <v>-2.5670533851808139</v>
      </c>
      <c r="CJ61" s="198">
        <f t="shared" ca="1" si="28"/>
        <v>14.77746448804173</v>
      </c>
      <c r="CK61" s="198">
        <f t="shared" ca="1" si="29"/>
        <v>581.37989652418287</v>
      </c>
      <c r="CL61" s="186">
        <f t="shared" ca="1" si="30"/>
        <v>1955.2513850856349</v>
      </c>
      <c r="CM61" s="205">
        <f t="shared" ca="1" si="31"/>
        <v>2548.8416927126787</v>
      </c>
      <c r="CP61" s="180">
        <v>2025</v>
      </c>
      <c r="CQ61" s="22">
        <v>11</v>
      </c>
      <c r="CR61" s="181">
        <f t="shared" ca="1" si="32"/>
        <v>2079.0972973977018</v>
      </c>
      <c r="CS61" s="182">
        <f t="shared" ca="1" si="33"/>
        <v>1.2143835820511613</v>
      </c>
      <c r="CT61" s="205">
        <f t="shared" ca="1" si="34"/>
        <v>2524.8216234467095</v>
      </c>
      <c r="CZ61" s="164" t="b">
        <f t="shared" ca="1" si="4"/>
        <v>1</v>
      </c>
      <c r="DA61" s="165" t="b">
        <f t="shared" ca="1" si="4"/>
        <v>1</v>
      </c>
      <c r="DB61" s="166" t="b">
        <f t="shared" ca="1" si="4"/>
        <v>1</v>
      </c>
      <c r="DC61" s="164">
        <f t="shared" ca="1" si="16"/>
        <v>13</v>
      </c>
      <c r="DD61" s="166">
        <f t="shared" ca="1" si="5"/>
        <v>2237.4761523114489</v>
      </c>
      <c r="DE61" s="164">
        <f t="shared" ca="1" si="6"/>
        <v>13</v>
      </c>
      <c r="DF61" s="166">
        <f t="shared" ca="1" si="7"/>
        <v>2657.9689931917892</v>
      </c>
      <c r="DG61" s="164">
        <f t="shared" ca="1" si="8"/>
        <v>13</v>
      </c>
      <c r="DH61" s="166">
        <f t="shared" ca="1" si="9"/>
        <v>3078.4618340721295</v>
      </c>
      <c r="DI61" s="164">
        <f ca="1">IFERROR(INDEX(DC$46:DC$94,_xlfn.AGGREGATE(15,6,(ROW(DC$46:DC$94)-ROW(DC$46)+1)/(DC$46:DC$94&lt;&gt;""),ROWS(DI$1:DI16))),"")</f>
        <v>15</v>
      </c>
      <c r="DJ61" s="165">
        <f ca="1">IFERROR(INDEX(DD$46:DD$94,_xlfn.AGGREGATE(15,6,(ROW(DD$46:DD$94)-ROW(DD$46)+1)/(DD$46:DD$94&lt;&gt;""),ROWS(DJ$1:DJ16))),"")</f>
        <v>2336.9762165536358</v>
      </c>
      <c r="DK61" s="166">
        <f t="shared" ca="1" si="10"/>
        <v>61</v>
      </c>
      <c r="DL61" s="164">
        <f ca="1">IFERROR(INDEX(DE$46:DE$94,_xlfn.AGGREGATE(15,6,(ROW(DE$46:DE$94)-ROW(DE$46)+1)/(DE$46:DE$94&lt;&gt;""),ROWS(DL$1:DL16))),"")</f>
        <v>15</v>
      </c>
      <c r="DM61" s="165">
        <f ca="1">IFERROR(INDEX(DF$46:DF$94,_xlfn.AGGREGATE(15,6,(ROW(DF$46:DF$94)-ROW(DF$46)+1)/(DF$46:DF$94&lt;&gt;""),ROWS(DM$1:DM16))),"")</f>
        <v>2769.110307472351</v>
      </c>
      <c r="DN61" s="166">
        <f t="shared" ca="1" si="11"/>
        <v>61</v>
      </c>
      <c r="DO61" s="164">
        <f ca="1">IFERROR(INDEX(DG$46:DG$94,_xlfn.AGGREGATE(15,6,(ROW(DG$46:DG$94)-ROW(DG$46)+1)/(DG$46:DG$94&lt;&gt;""),ROWS(DO$1:DO16))),"")</f>
        <v>15</v>
      </c>
      <c r="DP61" s="165">
        <f ca="1">IFERROR(INDEX(DH$46:DH$94,_xlfn.AGGREGATE(15,6,(ROW(DH$46:DH$94)-ROW(DH$46)+1)/(DH$46:DH$94&lt;&gt;""),ROWS(DP$1:DP16))),"")</f>
        <v>3201.2443983910662</v>
      </c>
      <c r="DQ61" s="166">
        <f t="shared" ca="1" si="12"/>
        <v>61</v>
      </c>
      <c r="DV61" s="145">
        <v>2030</v>
      </c>
      <c r="DW61" s="146">
        <f t="shared" ca="1" si="13"/>
        <v>2824.2597765232331</v>
      </c>
      <c r="EU61" s="65"/>
      <c r="EV61" s="147"/>
    </row>
    <row r="62" spans="1:152" ht="13.8" x14ac:dyDescent="0.45">
      <c r="A62" s="208" t="s">
        <v>93</v>
      </c>
      <c r="B62" s="128">
        <v>2028</v>
      </c>
      <c r="C62" s="175">
        <f>'Total MSW Summaries (Archive)'!C19</f>
        <v>2932.6026410686659</v>
      </c>
      <c r="D62" s="159">
        <f>'Total MSW Summaries (Archive)'!O19</f>
        <v>2618.2966162555426</v>
      </c>
      <c r="E62" s="151">
        <f>'Total MSW Summaries (Archive)'!AA19</f>
        <v>3288.0680000000016</v>
      </c>
      <c r="F62" s="152">
        <f>'Total MSW Summaries (Archive)'!AM19</f>
        <v>2842.7785177919823</v>
      </c>
      <c r="G62" s="159">
        <f>'Total MSW Summaries (Archive)'!AY19</f>
        <v>1885.1891891891908</v>
      </c>
      <c r="H62" s="204"/>
      <c r="I62" s="206"/>
      <c r="J62" s="207"/>
      <c r="K62" s="204"/>
      <c r="L62" s="206"/>
      <c r="M62" s="204"/>
      <c r="N62" s="29" t="s">
        <v>119</v>
      </c>
      <c r="P62" s="128"/>
      <c r="Q62" s="176">
        <f t="shared" ca="1" si="17"/>
        <v>2713.8193083157785</v>
      </c>
      <c r="R62" s="29">
        <v>14</v>
      </c>
      <c r="S62" s="154">
        <f t="shared" ca="1" si="0"/>
        <v>1885.1891891891908</v>
      </c>
      <c r="T62" s="154">
        <f t="shared" ca="1" si="1"/>
        <v>3288.0680000000016</v>
      </c>
      <c r="U62" s="154">
        <f t="shared" ca="1" si="14"/>
        <v>426.22565709304018</v>
      </c>
      <c r="W62" s="154">
        <f t="shared" ca="1" si="2"/>
        <v>2287.23338834382</v>
      </c>
      <c r="X62" s="154">
        <f t="shared" ca="1" si="15"/>
        <v>2713.4590454368604</v>
      </c>
      <c r="Y62" s="154">
        <f t="shared" ca="1" si="3"/>
        <v>3139.6847025299007</v>
      </c>
      <c r="AA62" s="138">
        <v>2713.8342278048294</v>
      </c>
      <c r="AB62" s="114">
        <v>2713.8342278048294</v>
      </c>
      <c r="AC62" s="114">
        <v>2713.8342278048294</v>
      </c>
      <c r="AD62" s="114"/>
      <c r="AE62" s="114"/>
      <c r="AF62" s="114"/>
      <c r="AG62" s="114"/>
      <c r="AH62" s="114"/>
      <c r="AI62" s="114"/>
      <c r="AJ62" s="114"/>
      <c r="AK62" s="114"/>
      <c r="AL62" s="114"/>
      <c r="AM62" s="114"/>
      <c r="AN62" s="114"/>
      <c r="BR62" s="180">
        <v>2026</v>
      </c>
      <c r="BS62" s="22">
        <v>12</v>
      </c>
      <c r="BT62" s="181">
        <f t="shared" ca="1" si="21"/>
        <v>657.25700481681531</v>
      </c>
      <c r="BU62" s="182">
        <f t="shared" ca="1" si="22"/>
        <v>1950.2460259466402</v>
      </c>
      <c r="BV62" s="205">
        <f t="shared" ca="1" si="23"/>
        <v>2607.5030307634556</v>
      </c>
      <c r="BY62" s="180">
        <v>2026</v>
      </c>
      <c r="BZ62" s="22">
        <v>12</v>
      </c>
      <c r="CA62" s="198">
        <f t="shared" ca="1" si="24"/>
        <v>-1.5768134380905305</v>
      </c>
      <c r="CB62" s="198">
        <f t="shared" ca="1" si="25"/>
        <v>663.30145632949586</v>
      </c>
      <c r="CC62" s="186">
        <f t="shared" ca="1" si="35"/>
        <v>1946.4682437512145</v>
      </c>
      <c r="CD62" s="205">
        <f t="shared" ca="1" si="26"/>
        <v>2608.1928866426197</v>
      </c>
      <c r="CG62" s="180">
        <v>2026</v>
      </c>
      <c r="CH62" s="22">
        <v>12</v>
      </c>
      <c r="CI62" s="198">
        <f t="shared" ca="1" si="27"/>
        <v>-3.3327334707681793</v>
      </c>
      <c r="CJ62" s="198">
        <f t="shared" ca="1" si="28"/>
        <v>17.586404018826521</v>
      </c>
      <c r="CK62" s="198">
        <f t="shared" ca="1" si="29"/>
        <v>634.23261439001772</v>
      </c>
      <c r="CL62" s="186">
        <f t="shared" ca="1" si="30"/>
        <v>1955.2513850856349</v>
      </c>
      <c r="CM62" s="205">
        <f t="shared" ca="1" si="31"/>
        <v>2603.737670023711</v>
      </c>
      <c r="CP62" s="180">
        <v>2026</v>
      </c>
      <c r="CQ62" s="22">
        <v>12</v>
      </c>
      <c r="CR62" s="181">
        <f t="shared" ca="1" si="32"/>
        <v>2079.0972973977018</v>
      </c>
      <c r="CS62" s="182">
        <f t="shared" ca="1" si="33"/>
        <v>1.2360174556711929</v>
      </c>
      <c r="CT62" s="205">
        <f t="shared" ca="1" si="34"/>
        <v>2569.8005516223611</v>
      </c>
      <c r="CZ62" s="164" t="b">
        <f t="shared" ca="1" si="4"/>
        <v>1</v>
      </c>
      <c r="DA62" s="165" t="b">
        <f t="shared" ca="1" si="4"/>
        <v>1</v>
      </c>
      <c r="DB62" s="166" t="b">
        <f t="shared" ca="1" si="4"/>
        <v>1</v>
      </c>
      <c r="DC62" s="164">
        <f t="shared" ca="1" si="16"/>
        <v>14</v>
      </c>
      <c r="DD62" s="166">
        <f t="shared" ca="1" si="5"/>
        <v>2287.23338834382</v>
      </c>
      <c r="DE62" s="164">
        <f t="shared" ca="1" si="6"/>
        <v>14</v>
      </c>
      <c r="DF62" s="166">
        <f t="shared" ca="1" si="7"/>
        <v>2713.4590454368604</v>
      </c>
      <c r="DG62" s="164">
        <f t="shared" ca="1" si="8"/>
        <v>14</v>
      </c>
      <c r="DH62" s="166">
        <f t="shared" ca="1" si="9"/>
        <v>3139.6847025299007</v>
      </c>
      <c r="DI62" s="164">
        <f ca="1">IFERROR(INDEX(DC$46:DC$94,_xlfn.AGGREGATE(15,6,(ROW(DC$46:DC$94)-ROW(DC$46)+1)/(DC$46:DC$94&lt;&gt;""),ROWS(DI$1:DI17))),"")</f>
        <v>16</v>
      </c>
      <c r="DJ62" s="165">
        <f ca="1">IFERROR(INDEX(DD$46:DD$94,_xlfn.AGGREGATE(15,6,(ROW(DD$46:DD$94)-ROW(DD$46)+1)/(DD$46:DD$94&lt;&gt;""),ROWS(DJ$1:DJ17))),"")</f>
        <v>2387.1678632459739</v>
      </c>
      <c r="DK62" s="166">
        <f t="shared" ca="1" si="10"/>
        <v>62</v>
      </c>
      <c r="DL62" s="164">
        <f ca="1">IFERROR(INDEX(DE$46:DE$94,_xlfn.AGGREGATE(15,6,(ROW(DE$46:DE$94)-ROW(DE$46)+1)/(DE$46:DE$94&lt;&gt;""),ROWS(DL$1:DL17))),"")</f>
        <v>16</v>
      </c>
      <c r="DM62" s="165">
        <f ca="1">IFERROR(INDEX(DF$46:DF$94,_xlfn.AGGREGATE(15,6,(ROW(DF$46:DF$94)-ROW(DF$46)+1)/(DF$46:DF$94&lt;&gt;""),ROWS(DM$1:DM17))),"")</f>
        <v>2825.5992417814527</v>
      </c>
      <c r="DN62" s="166">
        <f t="shared" ca="1" si="11"/>
        <v>62</v>
      </c>
      <c r="DO62" s="164">
        <f ca="1">IFERROR(INDEX(DG$46:DG$94,_xlfn.AGGREGATE(15,6,(ROW(DG$46:DG$94)-ROW(DG$46)+1)/(DG$46:DG$94&lt;&gt;""),ROWS(DO$1:DO17))),"")</f>
        <v>16</v>
      </c>
      <c r="DP62" s="165">
        <f ca="1">IFERROR(INDEX(DH$46:DH$94,_xlfn.AGGREGATE(15,6,(ROW(DH$46:DH$94)-ROW(DH$46)+1)/(DH$46:DH$94&lt;&gt;""),ROWS(DP$1:DP17))),"")</f>
        <v>3264.0306203169316</v>
      </c>
      <c r="DQ62" s="166">
        <f t="shared" ca="1" si="12"/>
        <v>62</v>
      </c>
      <c r="DV62" s="145">
        <v>2031</v>
      </c>
      <c r="DW62" s="146">
        <f t="shared" ca="1" si="13"/>
        <v>2879.5669925058719</v>
      </c>
      <c r="EU62" s="65"/>
      <c r="EV62" s="147"/>
    </row>
    <row r="63" spans="1:152" ht="13.8" x14ac:dyDescent="0.45">
      <c r="A63" s="209" t="s">
        <v>94</v>
      </c>
      <c r="B63" s="128">
        <v>2029</v>
      </c>
      <c r="C63" s="175">
        <f>'Total MSW Summaries (Archive)'!C20</f>
        <v>2984.3617283302801</v>
      </c>
      <c r="D63" s="159">
        <f>'Total MSW Summaries (Archive)'!O20</f>
        <v>2695.1624643496639</v>
      </c>
      <c r="E63" s="151">
        <f>'Total MSW Summaries (Archive)'!AA20</f>
        <v>3350.2000000000016</v>
      </c>
      <c r="F63" s="152">
        <f>'Total MSW Summaries (Archive)'!AM20</f>
        <v>2892.7975883199579</v>
      </c>
      <c r="G63" s="159">
        <f>'Total MSW Summaries (Archive)'!AY20</f>
        <v>1923.1351351351368</v>
      </c>
      <c r="H63" s="204"/>
      <c r="I63" s="206"/>
      <c r="J63" s="207"/>
      <c r="K63" s="204"/>
      <c r="L63" s="206"/>
      <c r="M63" s="204"/>
      <c r="N63" s="29" t="s">
        <v>119</v>
      </c>
      <c r="P63" s="128"/>
      <c r="Q63" s="176">
        <f t="shared" ca="1" si="17"/>
        <v>2769.0049286990638</v>
      </c>
      <c r="R63" s="29">
        <v>15</v>
      </c>
      <c r="S63" s="154">
        <f t="shared" ca="1" si="0"/>
        <v>1923.1351351351368</v>
      </c>
      <c r="T63" s="154">
        <f t="shared" ca="1" si="1"/>
        <v>3350.2000000000016</v>
      </c>
      <c r="U63" s="154">
        <f t="shared" ca="1" si="14"/>
        <v>432.134090918715</v>
      </c>
      <c r="W63" s="154">
        <f t="shared" ca="1" si="2"/>
        <v>2336.9762165536358</v>
      </c>
      <c r="X63" s="154">
        <f t="shared" ca="1" si="15"/>
        <v>2769.110307472351</v>
      </c>
      <c r="Y63" s="154">
        <f t="shared" ca="1" si="3"/>
        <v>3201.2443983910662</v>
      </c>
      <c r="AA63" s="133">
        <v>2769.0116642924795</v>
      </c>
      <c r="AB63" s="133">
        <v>2769.0116642924795</v>
      </c>
      <c r="AC63" s="133">
        <v>2769.0116642924795</v>
      </c>
      <c r="AD63" s="89"/>
      <c r="AE63" s="89"/>
      <c r="AF63" s="89"/>
      <c r="AG63" s="89"/>
      <c r="AH63" s="89"/>
      <c r="AI63" s="89"/>
      <c r="AJ63" s="89"/>
      <c r="AK63" s="89"/>
      <c r="AL63" s="89"/>
      <c r="AM63" s="89"/>
      <c r="AN63" s="89"/>
      <c r="BR63" s="180">
        <v>2027</v>
      </c>
      <c r="BS63" s="22">
        <v>13</v>
      </c>
      <c r="BT63" s="181">
        <f t="shared" ca="1" si="21"/>
        <v>712.02842188488319</v>
      </c>
      <c r="BU63" s="182">
        <f t="shared" ca="1" si="22"/>
        <v>1950.2460259466402</v>
      </c>
      <c r="BV63" s="205">
        <f t="shared" ca="1" si="23"/>
        <v>2662.2744478315235</v>
      </c>
      <c r="BY63" s="180">
        <v>2027</v>
      </c>
      <c r="BZ63" s="22">
        <v>13</v>
      </c>
      <c r="CA63" s="198">
        <f t="shared" ca="1" si="24"/>
        <v>-1.8505657710923589</v>
      </c>
      <c r="CB63" s="198">
        <f t="shared" ca="1" si="25"/>
        <v>718.57657769028719</v>
      </c>
      <c r="CC63" s="186">
        <f t="shared" ca="1" si="35"/>
        <v>1946.4682437512145</v>
      </c>
      <c r="CD63" s="205">
        <f t="shared" ca="1" si="26"/>
        <v>2663.1942556704093</v>
      </c>
      <c r="CG63" s="180">
        <v>2027</v>
      </c>
      <c r="CH63" s="22">
        <v>13</v>
      </c>
      <c r="CI63" s="198">
        <f t="shared" ca="1" si="27"/>
        <v>-4.2372774509708853</v>
      </c>
      <c r="CJ63" s="198">
        <f t="shared" ca="1" si="28"/>
        <v>20.639599160983906</v>
      </c>
      <c r="CK63" s="198">
        <f t="shared" ca="1" si="29"/>
        <v>687.08533225585245</v>
      </c>
      <c r="CL63" s="186">
        <f t="shared" ca="1" si="30"/>
        <v>1955.2513850856349</v>
      </c>
      <c r="CM63" s="205">
        <f t="shared" ca="1" si="31"/>
        <v>2658.7390390515002</v>
      </c>
      <c r="CP63" s="180">
        <v>2027</v>
      </c>
      <c r="CQ63" s="22">
        <v>13</v>
      </c>
      <c r="CR63" s="181">
        <f t="shared" ca="1" si="32"/>
        <v>2079.0972973977018</v>
      </c>
      <c r="CS63" s="182">
        <f t="shared" ca="1" si="33"/>
        <v>1.2580367301602129</v>
      </c>
      <c r="CT63" s="205">
        <f t="shared" ca="1" si="34"/>
        <v>2615.5807657031405</v>
      </c>
      <c r="CZ63" s="164" t="b">
        <f t="shared" ca="1" si="4"/>
        <v>1</v>
      </c>
      <c r="DA63" s="165" t="b">
        <f t="shared" ca="1" si="4"/>
        <v>1</v>
      </c>
      <c r="DB63" s="166" t="b">
        <f t="shared" ca="1" si="4"/>
        <v>1</v>
      </c>
      <c r="DC63" s="164">
        <f t="shared" ca="1" si="16"/>
        <v>15</v>
      </c>
      <c r="DD63" s="166">
        <f t="shared" ca="1" si="5"/>
        <v>2336.9762165536358</v>
      </c>
      <c r="DE63" s="164">
        <f t="shared" ca="1" si="6"/>
        <v>15</v>
      </c>
      <c r="DF63" s="166">
        <f t="shared" ca="1" si="7"/>
        <v>2769.110307472351</v>
      </c>
      <c r="DG63" s="164">
        <f t="shared" ca="1" si="8"/>
        <v>15</v>
      </c>
      <c r="DH63" s="166">
        <f t="shared" ca="1" si="9"/>
        <v>3201.2443983910662</v>
      </c>
      <c r="DI63" s="164">
        <f ca="1">IFERROR(INDEX(DC$46:DC$94,_xlfn.AGGREGATE(15,6,(ROW(DC$46:DC$94)-ROW(DC$46)+1)/(DC$46:DC$94&lt;&gt;""),ROWS(DI$1:DI18))),"")</f>
        <v>17</v>
      </c>
      <c r="DJ63" s="165">
        <f ca="1">IFERROR(INDEX(DD$46:DD$94,_xlfn.AGGREGATE(15,6,(ROW(DD$46:DD$94)-ROW(DD$46)+1)/(DD$46:DD$94&lt;&gt;""),ROWS(DJ$1:DJ18))),"")</f>
        <v>2436.3040566936752</v>
      </c>
      <c r="DK63" s="166">
        <f t="shared" ca="1" si="10"/>
        <v>63</v>
      </c>
      <c r="DL63" s="164">
        <f ca="1">IFERROR(INDEX(DE$46:DE$94,_xlfn.AGGREGATE(15,6,(ROW(DE$46:DE$94)-ROW(DE$46)+1)/(DE$46:DE$94&lt;&gt;""),ROWS(DL$1:DL18))),"")</f>
        <v>17</v>
      </c>
      <c r="DM63" s="165">
        <f ca="1">IFERROR(INDEX(DF$46:DF$94,_xlfn.AGGREGATE(15,6,(ROW(DF$46:DF$94)-ROW(DF$46)+1)/(DF$46:DF$94&lt;&gt;""),ROWS(DM$1:DM18))),"")</f>
        <v>2880.902805801335</v>
      </c>
      <c r="DN63" s="166">
        <f t="shared" ca="1" si="11"/>
        <v>63</v>
      </c>
      <c r="DO63" s="164">
        <f ca="1">IFERROR(INDEX(DG$46:DG$94,_xlfn.AGGREGATE(15,6,(ROW(DG$46:DG$94)-ROW(DG$46)+1)/(DG$46:DG$94&lt;&gt;""),ROWS(DO$1:DO18))),"")</f>
        <v>17</v>
      </c>
      <c r="DP63" s="165">
        <f ca="1">IFERROR(INDEX(DH$46:DH$94,_xlfn.AGGREGATE(15,6,(ROW(DH$46:DH$94)-ROW(DH$46)+1)/(DH$46:DH$94&lt;&gt;""),ROWS(DP$1:DP18))),"")</f>
        <v>3325.5015549089949</v>
      </c>
      <c r="DQ63" s="166">
        <f t="shared" ca="1" si="12"/>
        <v>63</v>
      </c>
      <c r="DV63" s="145">
        <v>2032</v>
      </c>
      <c r="DW63" s="146">
        <f t="shared" ca="1" si="13"/>
        <v>2934.9217402491786</v>
      </c>
      <c r="EU63" s="65"/>
      <c r="EV63" s="147"/>
    </row>
    <row r="64" spans="1:152" ht="13.8" x14ac:dyDescent="0.45">
      <c r="A64" s="210" t="s">
        <v>95</v>
      </c>
      <c r="B64" s="128">
        <v>2030</v>
      </c>
      <c r="C64" s="175">
        <f>'Total MSW Summaries (Archive)'!C21</f>
        <v>3036.3460790870231</v>
      </c>
      <c r="D64" s="159">
        <f>'Total MSW Summaries (Archive)'!O21</f>
        <v>2773.3823796479655</v>
      </c>
      <c r="E64" s="151">
        <f>'Total MSW Summaries (Archive)'!AA21</f>
        <v>3412.3320000000017</v>
      </c>
      <c r="F64" s="152">
        <f>'Total MSW Summaries (Archive)'!AM21</f>
        <v>2946.1929449831373</v>
      </c>
      <c r="G64" s="159">
        <f>'Total MSW Summaries (Archive)'!AY21</f>
        <v>1961.0810810810829</v>
      </c>
      <c r="H64" s="204"/>
      <c r="I64" s="206"/>
      <c r="J64" s="207"/>
      <c r="K64" s="204"/>
      <c r="L64" s="206"/>
      <c r="M64" s="204"/>
      <c r="N64" s="29" t="s">
        <v>119</v>
      </c>
      <c r="P64" s="128"/>
      <c r="Q64" s="176">
        <f t="shared" ca="1" si="17"/>
        <v>2824.2609658895076</v>
      </c>
      <c r="R64" s="29">
        <v>16</v>
      </c>
      <c r="S64" s="154">
        <f t="shared" ca="1" si="0"/>
        <v>1961.0810810810829</v>
      </c>
      <c r="T64" s="154">
        <f t="shared" ca="1" si="1"/>
        <v>3412.3320000000017</v>
      </c>
      <c r="U64" s="154">
        <f t="shared" ca="1" si="14"/>
        <v>438.4313785354787</v>
      </c>
      <c r="W64" s="154">
        <f t="shared" ca="1" si="2"/>
        <v>2387.1678632459739</v>
      </c>
      <c r="X64" s="154">
        <f t="shared" ca="1" si="15"/>
        <v>2825.5992417814527</v>
      </c>
      <c r="Y64" s="154">
        <f t="shared" ca="1" si="3"/>
        <v>3264.0306203169316</v>
      </c>
      <c r="AA64" s="114">
        <v>2824.2597765232331</v>
      </c>
      <c r="AB64" s="133">
        <v>2824.2597765232331</v>
      </c>
      <c r="AC64" s="133">
        <v>2824.2597765232331</v>
      </c>
      <c r="AD64" s="89"/>
      <c r="AE64" s="89"/>
      <c r="AF64" s="89"/>
      <c r="AG64" s="89"/>
      <c r="AH64" s="89"/>
      <c r="AI64" s="89"/>
      <c r="AJ64" s="89"/>
      <c r="AK64" s="89"/>
      <c r="AL64" s="89"/>
      <c r="AM64" s="89"/>
      <c r="AN64" s="89"/>
      <c r="BR64" s="180">
        <v>2028</v>
      </c>
      <c r="BS64" s="22">
        <v>14</v>
      </c>
      <c r="BT64" s="181">
        <f t="shared" ca="1" si="21"/>
        <v>766.79983895295118</v>
      </c>
      <c r="BU64" s="182">
        <f t="shared" ca="1" si="22"/>
        <v>1950.2460259466402</v>
      </c>
      <c r="BV64" s="205">
        <f t="shared" ca="1" si="23"/>
        <v>2717.0458648995914</v>
      </c>
      <c r="BY64" s="180">
        <v>2028</v>
      </c>
      <c r="BZ64" s="22">
        <v>14</v>
      </c>
      <c r="CA64" s="198">
        <f t="shared" ca="1" si="24"/>
        <v>-2.1462182907343332</v>
      </c>
      <c r="CB64" s="198">
        <f t="shared" ca="1" si="25"/>
        <v>773.85169905107853</v>
      </c>
      <c r="CC64" s="186">
        <f t="shared" ca="1" si="35"/>
        <v>1946.4682437512145</v>
      </c>
      <c r="CD64" s="205">
        <f t="shared" ca="1" si="26"/>
        <v>2718.1737245115587</v>
      </c>
      <c r="CG64" s="180">
        <v>2028</v>
      </c>
      <c r="CH64" s="22">
        <v>14</v>
      </c>
      <c r="CI64" s="198">
        <f t="shared" ca="1" si="27"/>
        <v>-5.292257317006877</v>
      </c>
      <c r="CJ64" s="198">
        <f t="shared" ca="1" si="28"/>
        <v>23.937049914513878</v>
      </c>
      <c r="CK64" s="198">
        <f t="shared" ca="1" si="29"/>
        <v>739.9380501216873</v>
      </c>
      <c r="CL64" s="186">
        <f t="shared" ca="1" si="30"/>
        <v>1955.2513850856349</v>
      </c>
      <c r="CM64" s="205">
        <f t="shared" ca="1" si="31"/>
        <v>2713.8342278048294</v>
      </c>
      <c r="CP64" s="180">
        <v>2028</v>
      </c>
      <c r="CQ64" s="22">
        <v>14</v>
      </c>
      <c r="CR64" s="181">
        <f t="shared" ca="1" si="32"/>
        <v>2079.0972973977018</v>
      </c>
      <c r="CS64" s="182">
        <f t="shared" ca="1" si="33"/>
        <v>1.2804482713173113</v>
      </c>
      <c r="CT64" s="205">
        <f t="shared" ca="1" si="34"/>
        <v>2662.1765403533814</v>
      </c>
      <c r="CZ64" s="164" t="b">
        <f t="shared" ca="1" si="4"/>
        <v>1</v>
      </c>
      <c r="DA64" s="165" t="b">
        <f t="shared" ca="1" si="4"/>
        <v>1</v>
      </c>
      <c r="DB64" s="166" t="b">
        <f t="shared" ca="1" si="4"/>
        <v>1</v>
      </c>
      <c r="DC64" s="164">
        <f t="shared" ca="1" si="16"/>
        <v>16</v>
      </c>
      <c r="DD64" s="166">
        <f t="shared" ca="1" si="5"/>
        <v>2387.1678632459739</v>
      </c>
      <c r="DE64" s="164">
        <f t="shared" ca="1" si="6"/>
        <v>16</v>
      </c>
      <c r="DF64" s="166">
        <f t="shared" ca="1" si="7"/>
        <v>2825.5992417814527</v>
      </c>
      <c r="DG64" s="164">
        <f t="shared" ca="1" si="8"/>
        <v>16</v>
      </c>
      <c r="DH64" s="166">
        <f t="shared" ca="1" si="9"/>
        <v>3264.0306203169316</v>
      </c>
      <c r="DI64" s="164">
        <f ca="1">IFERROR(INDEX(DC$46:DC$94,_xlfn.AGGREGATE(15,6,(ROW(DC$46:DC$94)-ROW(DC$46)+1)/(DC$46:DC$94&lt;&gt;""),ROWS(DI$1:DI19))),"")</f>
        <v>18</v>
      </c>
      <c r="DJ64" s="165">
        <f ca="1">IFERROR(INDEX(DD$46:DD$94,_xlfn.AGGREGATE(15,6,(ROW(DD$46:DD$94)-ROW(DD$46)+1)/(DD$46:DD$94&lt;&gt;""),ROWS(DJ$1:DJ19))),"")</f>
        <v>2484.7427562237935</v>
      </c>
      <c r="DK64" s="166">
        <f t="shared" ca="1" si="10"/>
        <v>64</v>
      </c>
      <c r="DL64" s="164">
        <f ca="1">IFERROR(INDEX(DE$46:DE$94,_xlfn.AGGREGATE(15,6,(ROW(DE$46:DE$94)-ROW(DE$46)+1)/(DE$46:DE$94&lt;&gt;""),ROWS(DL$1:DL19))),"")</f>
        <v>18</v>
      </c>
      <c r="DM64" s="165">
        <f ca="1">IFERROR(INDEX(DF$46:DF$94,_xlfn.AGGREGATE(15,6,(ROW(DF$46:DF$94)-ROW(DF$46)+1)/(DF$46:DF$94&lt;&gt;""),ROWS(DM$1:DM19))),"")</f>
        <v>2935.6278527914164</v>
      </c>
      <c r="DN64" s="166">
        <f t="shared" ca="1" si="11"/>
        <v>64</v>
      </c>
      <c r="DO64" s="164">
        <f ca="1">IFERROR(INDEX(DG$46:DG$94,_xlfn.AGGREGATE(15,6,(ROW(DG$46:DG$94)-ROW(DG$46)+1)/(DG$46:DG$94&lt;&gt;""),ROWS(DO$1:DO19))),"")</f>
        <v>18</v>
      </c>
      <c r="DP64" s="165">
        <f ca="1">IFERROR(INDEX(DH$46:DH$94,_xlfn.AGGREGATE(15,6,(ROW(DH$46:DH$94)-ROW(DH$46)+1)/(DH$46:DH$94&lt;&gt;""),ROWS(DP$1:DP19))),"")</f>
        <v>3386.5129493590393</v>
      </c>
      <c r="DQ64" s="166">
        <f t="shared" ca="1" si="12"/>
        <v>64</v>
      </c>
      <c r="DV64" s="145">
        <v>2033</v>
      </c>
      <c r="DW64" s="146">
        <f t="shared" ca="1" si="13"/>
        <v>2990.3124477619349</v>
      </c>
      <c r="EU64" s="65"/>
      <c r="EV64" s="147"/>
    </row>
    <row r="65" spans="1:152" ht="13.8" x14ac:dyDescent="0.45">
      <c r="A65" s="211" t="s">
        <v>96</v>
      </c>
      <c r="B65" s="128">
        <v>2031</v>
      </c>
      <c r="C65" s="175">
        <f>'Total MSW Summaries (Archive)'!C22</f>
        <v>3088.5521510941921</v>
      </c>
      <c r="D65" s="159">
        <f>'Total MSW Summaries (Archive)'!O22</f>
        <v>2852.9528149851085</v>
      </c>
      <c r="E65" s="151">
        <f>'Total MSW Summaries (Archive)'!AA22</f>
        <v>3474.4640000000018</v>
      </c>
      <c r="F65" s="152">
        <f>'Total MSW Summaries (Archive)'!AM22</f>
        <v>2990.8450283776297</v>
      </c>
      <c r="G65" s="159">
        <f>'Total MSW Summaries (Archive)'!AY22</f>
        <v>1999.0270270270289</v>
      </c>
      <c r="H65" s="204"/>
      <c r="I65" s="206"/>
      <c r="J65" s="207"/>
      <c r="K65" s="204"/>
      <c r="L65" s="206"/>
      <c r="M65" s="204"/>
      <c r="N65" s="29" t="s">
        <v>119</v>
      </c>
      <c r="P65" s="128"/>
      <c r="Q65" s="176">
        <f t="shared" ca="1" si="17"/>
        <v>2879.5758133240497</v>
      </c>
      <c r="R65" s="29">
        <v>17</v>
      </c>
      <c r="S65" s="154">
        <f t="shared" ca="1" si="0"/>
        <v>1999.0270270270289</v>
      </c>
      <c r="T65" s="154">
        <f t="shared" ca="1" si="1"/>
        <v>3474.4640000000018</v>
      </c>
      <c r="U65" s="154">
        <f t="shared" ca="1" si="14"/>
        <v>444.59874910765973</v>
      </c>
      <c r="W65" s="154">
        <f t="shared" ca="1" si="2"/>
        <v>2436.3040566936752</v>
      </c>
      <c r="X65" s="154">
        <f t="shared" ca="1" si="15"/>
        <v>2880.902805801335</v>
      </c>
      <c r="Y65" s="154">
        <f t="shared" ca="1" si="3"/>
        <v>3325.5015549089949</v>
      </c>
      <c r="AA65" s="133">
        <v>2879.5669925058719</v>
      </c>
      <c r="AB65" s="133">
        <v>2879.5669925058719</v>
      </c>
      <c r="AC65" s="133">
        <v>2879.5669925058719</v>
      </c>
      <c r="AD65" s="89"/>
      <c r="AE65" s="89"/>
      <c r="AF65" s="89"/>
      <c r="AG65" s="89"/>
      <c r="AH65" s="89"/>
      <c r="AI65" s="89"/>
      <c r="AJ65" s="89"/>
      <c r="AK65" s="89"/>
      <c r="AL65" s="89"/>
      <c r="AM65" s="89"/>
      <c r="AN65" s="89"/>
      <c r="BR65" s="180">
        <v>2029</v>
      </c>
      <c r="BS65" s="22">
        <v>15</v>
      </c>
      <c r="BT65" s="181">
        <f t="shared" ca="1" si="21"/>
        <v>821.57125602101905</v>
      </c>
      <c r="BU65" s="182">
        <f t="shared" ca="1" si="22"/>
        <v>1950.2460259466402</v>
      </c>
      <c r="BV65" s="205">
        <f t="shared" ca="1" si="23"/>
        <v>2771.8172819676593</v>
      </c>
      <c r="BY65" s="180">
        <v>2029</v>
      </c>
      <c r="BZ65" s="22">
        <v>15</v>
      </c>
      <c r="CA65" s="198">
        <f t="shared" ca="1" si="24"/>
        <v>-2.4637709970164541</v>
      </c>
      <c r="CB65" s="198">
        <f t="shared" ca="1" si="25"/>
        <v>829.12682041186986</v>
      </c>
      <c r="CC65" s="186">
        <f t="shared" ca="1" si="35"/>
        <v>1946.4682437512145</v>
      </c>
      <c r="CD65" s="205">
        <f t="shared" ca="1" si="26"/>
        <v>2773.1312931660677</v>
      </c>
      <c r="CG65" s="180">
        <v>2029</v>
      </c>
      <c r="CH65" s="22">
        <v>15</v>
      </c>
      <c r="CI65" s="198">
        <f t="shared" ca="1" si="27"/>
        <v>-6.5092450600940994</v>
      </c>
      <c r="CJ65" s="198">
        <f t="shared" ca="1" si="28"/>
        <v>27.478756279416441</v>
      </c>
      <c r="CK65" s="198">
        <f t="shared" ca="1" si="29"/>
        <v>792.79076798752203</v>
      </c>
      <c r="CL65" s="186">
        <f t="shared" ca="1" si="30"/>
        <v>1955.2513850856349</v>
      </c>
      <c r="CM65" s="205">
        <f t="shared" ca="1" si="31"/>
        <v>2769.0116642924795</v>
      </c>
      <c r="CP65" s="180">
        <v>2029</v>
      </c>
      <c r="CQ65" s="22">
        <v>15</v>
      </c>
      <c r="CR65" s="181">
        <f t="shared" ca="1" si="32"/>
        <v>2079.0972973977018</v>
      </c>
      <c r="CS65" s="182">
        <f t="shared" ca="1" si="33"/>
        <v>1.3032590672536974</v>
      </c>
      <c r="CT65" s="205">
        <f t="shared" ca="1" si="34"/>
        <v>2709.6024045362119</v>
      </c>
      <c r="CZ65" s="164" t="b">
        <f t="shared" ca="1" si="4"/>
        <v>1</v>
      </c>
      <c r="DA65" s="165" t="b">
        <f t="shared" ca="1" si="4"/>
        <v>1</v>
      </c>
      <c r="DB65" s="166" t="b">
        <f t="shared" ca="1" si="4"/>
        <v>1</v>
      </c>
      <c r="DC65" s="164">
        <f t="shared" ca="1" si="16"/>
        <v>17</v>
      </c>
      <c r="DD65" s="166">
        <f t="shared" ca="1" si="5"/>
        <v>2436.3040566936752</v>
      </c>
      <c r="DE65" s="164">
        <f t="shared" ca="1" si="6"/>
        <v>17</v>
      </c>
      <c r="DF65" s="166">
        <f t="shared" ca="1" si="7"/>
        <v>2880.902805801335</v>
      </c>
      <c r="DG65" s="164">
        <f t="shared" ca="1" si="8"/>
        <v>17</v>
      </c>
      <c r="DH65" s="166">
        <f t="shared" ca="1" si="9"/>
        <v>3325.5015549089949</v>
      </c>
      <c r="DI65" s="164">
        <f ca="1">IFERROR(INDEX(DC$46:DC$94,_xlfn.AGGREGATE(15,6,(ROW(DC$46:DC$94)-ROW(DC$46)+1)/(DC$46:DC$94&lt;&gt;""),ROWS(DI$1:DI20))),"")</f>
        <v>19</v>
      </c>
      <c r="DJ65" s="165">
        <f ca="1">IFERROR(INDEX(DD$46:DD$94,_xlfn.AGGREGATE(15,6,(ROW(DD$46:DD$94)-ROW(DD$46)+1)/(DD$46:DD$94&lt;&gt;""),ROWS(DJ$1:DJ20))),"")</f>
        <v>2533.0358313708198</v>
      </c>
      <c r="DK65" s="166">
        <f t="shared" ca="1" si="10"/>
        <v>65</v>
      </c>
      <c r="DL65" s="164">
        <f ca="1">IFERROR(INDEX(DE$46:DE$94,_xlfn.AGGREGATE(15,6,(ROW(DE$46:DE$94)-ROW(DE$46)+1)/(DE$46:DE$94&lt;&gt;""),ROWS(DL$1:DL20))),"")</f>
        <v>19</v>
      </c>
      <c r="DM65" s="165">
        <f ca="1">IFERROR(INDEX(DF$46:DF$94,_xlfn.AGGREGATE(15,6,(ROW(DF$46:DF$94)-ROW(DF$46)+1)/(DF$46:DF$94&lt;&gt;""),ROWS(DM$1:DM20))),"")</f>
        <v>2990.4900159216809</v>
      </c>
      <c r="DN65" s="166">
        <f t="shared" ca="1" si="11"/>
        <v>65</v>
      </c>
      <c r="DO65" s="164">
        <f ca="1">IFERROR(INDEX(DG$46:DG$94,_xlfn.AGGREGATE(15,6,(ROW(DG$46:DG$94)-ROW(DG$46)+1)/(DG$46:DG$94&lt;&gt;""),ROWS(DO$1:DO20))),"")</f>
        <v>19</v>
      </c>
      <c r="DP65" s="165">
        <f ca="1">IFERROR(INDEX(DH$46:DH$94,_xlfn.AGGREGATE(15,6,(ROW(DH$46:DH$94)-ROW(DH$46)+1)/(DH$46:DH$94&lt;&gt;""),ROWS(DP$1:DP20))),"")</f>
        <v>3447.944200472542</v>
      </c>
      <c r="DQ65" s="166">
        <f t="shared" ca="1" si="12"/>
        <v>65</v>
      </c>
      <c r="DV65" s="145">
        <v>2034</v>
      </c>
      <c r="DW65" s="146">
        <f t="shared" ca="1" si="13"/>
        <v>3045.7275430529226</v>
      </c>
      <c r="EU65" s="65"/>
      <c r="EV65" s="147"/>
    </row>
    <row r="66" spans="1:152" ht="13.8" x14ac:dyDescent="0.45">
      <c r="B66" s="128">
        <v>2032</v>
      </c>
      <c r="C66" s="175">
        <f>'Total MSW Summaries (Archive)'!C23</f>
        <v>3137.9304083319485</v>
      </c>
      <c r="D66" s="159">
        <f>'Total MSW Summaries (Archive)'!O23</f>
        <v>2931.2292979683743</v>
      </c>
      <c r="E66" s="151">
        <f>'Total MSW Summaries (Archive)'!AA23</f>
        <v>3536.5960000000018</v>
      </c>
      <c r="F66" s="152">
        <f>'Total MSW Summaries (Archive)'!AM23</f>
        <v>3036.1005730355682</v>
      </c>
      <c r="G66" s="159">
        <f>'Total MSW Summaries (Archive)'!AY23</f>
        <v>2036.972972972975</v>
      </c>
      <c r="H66" s="204"/>
      <c r="I66" s="206"/>
      <c r="J66" s="207"/>
      <c r="K66" s="204"/>
      <c r="L66" s="206"/>
      <c r="M66" s="204"/>
      <c r="N66" s="29" t="s">
        <v>119</v>
      </c>
      <c r="P66" s="128"/>
      <c r="Q66" s="176">
        <f t="shared" ca="1" si="17"/>
        <v>2934.9378644396306</v>
      </c>
      <c r="R66" s="29">
        <v>18</v>
      </c>
      <c r="S66" s="154">
        <f t="shared" ca="1" si="0"/>
        <v>2036.972972972975</v>
      </c>
      <c r="T66" s="154">
        <f t="shared" ca="1" si="1"/>
        <v>3536.5960000000018</v>
      </c>
      <c r="U66" s="154">
        <f t="shared" ca="1" si="14"/>
        <v>450.88509656762312</v>
      </c>
      <c r="W66" s="154">
        <f t="shared" ca="1" si="2"/>
        <v>2484.7427562237935</v>
      </c>
      <c r="X66" s="154">
        <f t="shared" ca="1" si="15"/>
        <v>2935.6278527914164</v>
      </c>
      <c r="Y66" s="154">
        <f t="shared" ca="1" si="3"/>
        <v>3386.5129493590393</v>
      </c>
      <c r="AA66" s="133">
        <v>2934.9217402491786</v>
      </c>
      <c r="AB66" s="133">
        <v>2934.9217402491786</v>
      </c>
      <c r="AC66" s="133">
        <v>2934.9217402491786</v>
      </c>
      <c r="AD66" s="89"/>
      <c r="AE66" s="89"/>
      <c r="AF66" s="89"/>
      <c r="AG66" s="89"/>
      <c r="AH66" s="89"/>
      <c r="AI66" s="89"/>
      <c r="AJ66" s="89"/>
      <c r="AK66" s="89"/>
      <c r="AL66" s="89"/>
      <c r="AM66" s="89"/>
      <c r="AN66" s="89"/>
      <c r="BR66" s="180">
        <v>2030</v>
      </c>
      <c r="BS66" s="22">
        <v>16</v>
      </c>
      <c r="BT66" s="181">
        <f t="shared" ca="1" si="21"/>
        <v>876.34267308908704</v>
      </c>
      <c r="BU66" s="182">
        <f t="shared" ca="1" si="22"/>
        <v>1950.2460259466402</v>
      </c>
      <c r="BV66" s="205">
        <f t="shared" ca="1" si="23"/>
        <v>2826.5886990357271</v>
      </c>
      <c r="BY66" s="180">
        <v>2030</v>
      </c>
      <c r="BZ66" s="22">
        <v>16</v>
      </c>
      <c r="CA66" s="198">
        <f t="shared" ca="1" si="24"/>
        <v>-2.803223889938721</v>
      </c>
      <c r="CB66" s="198">
        <f t="shared" ca="1" si="25"/>
        <v>884.40194177266119</v>
      </c>
      <c r="CC66" s="186">
        <f t="shared" ca="1" si="35"/>
        <v>1946.4682437512145</v>
      </c>
      <c r="CD66" s="205">
        <f t="shared" ca="1" si="26"/>
        <v>2828.0669616339369</v>
      </c>
      <c r="CG66" s="180">
        <v>2030</v>
      </c>
      <c r="CH66" s="22">
        <v>16</v>
      </c>
      <c r="CI66" s="198">
        <f t="shared" ca="1" si="27"/>
        <v>-7.8998126714504986</v>
      </c>
      <c r="CJ66" s="198">
        <f t="shared" ca="1" si="28"/>
        <v>31.264718255691594</v>
      </c>
      <c r="CK66" s="198">
        <f t="shared" ca="1" si="29"/>
        <v>845.64348585335688</v>
      </c>
      <c r="CL66" s="186">
        <f t="shared" ca="1" si="30"/>
        <v>1955.2513850856349</v>
      </c>
      <c r="CM66" s="205">
        <f t="shared" ca="1" si="31"/>
        <v>2824.2597765232331</v>
      </c>
      <c r="CP66" s="180">
        <v>2030</v>
      </c>
      <c r="CQ66" s="22">
        <v>16</v>
      </c>
      <c r="CR66" s="181">
        <f t="shared" ca="1" si="32"/>
        <v>2079.0972973977018</v>
      </c>
      <c r="CS66" s="182">
        <f t="shared" ca="1" si="33"/>
        <v>1.3264762305716542</v>
      </c>
      <c r="CT66" s="205">
        <f t="shared" ca="1" si="34"/>
        <v>2757.8731460438171</v>
      </c>
      <c r="CZ66" s="164" t="b">
        <f t="shared" ca="1" si="4"/>
        <v>1</v>
      </c>
      <c r="DA66" s="165" t="b">
        <f t="shared" ca="1" si="4"/>
        <v>1</v>
      </c>
      <c r="DB66" s="166" t="b">
        <f t="shared" ca="1" si="4"/>
        <v>1</v>
      </c>
      <c r="DC66" s="164">
        <f t="shared" ca="1" si="16"/>
        <v>18</v>
      </c>
      <c r="DD66" s="166">
        <f t="shared" ca="1" si="5"/>
        <v>2484.7427562237935</v>
      </c>
      <c r="DE66" s="164">
        <f t="shared" ca="1" si="6"/>
        <v>18</v>
      </c>
      <c r="DF66" s="166">
        <f t="shared" ca="1" si="7"/>
        <v>2935.6278527914164</v>
      </c>
      <c r="DG66" s="164">
        <f t="shared" ca="1" si="8"/>
        <v>18</v>
      </c>
      <c r="DH66" s="166">
        <f t="shared" ca="1" si="9"/>
        <v>3386.5129493590393</v>
      </c>
      <c r="DI66" s="164">
        <f ca="1">IFERROR(INDEX(DC$46:DC$94,_xlfn.AGGREGATE(15,6,(ROW(DC$46:DC$94)-ROW(DC$46)+1)/(DC$46:DC$94&lt;&gt;""),ROWS(DI$1:DI21))),"")</f>
        <v>20</v>
      </c>
      <c r="DJ66" s="165">
        <f ca="1">IFERROR(INDEX(DD$46:DD$94,_xlfn.AGGREGATE(15,6,(ROW(DD$46:DD$94)-ROW(DD$46)+1)/(DD$46:DD$94&lt;&gt;""),ROWS(DJ$1:DJ21))),"")</f>
        <v>2581.1592950290856</v>
      </c>
      <c r="DK66" s="166">
        <f t="shared" ca="1" si="10"/>
        <v>66</v>
      </c>
      <c r="DL66" s="164">
        <f ca="1">IFERROR(INDEX(DE$46:DE$94,_xlfn.AGGREGATE(15,6,(ROW(DE$46:DE$94)-ROW(DE$46)+1)/(DE$46:DE$94&lt;&gt;""),ROWS(DL$1:DL21))),"")</f>
        <v>20</v>
      </c>
      <c r="DM66" s="165">
        <f ca="1">IFERROR(INDEX(DF$46:DF$94,_xlfn.AGGREGATE(15,6,(ROW(DF$46:DF$94)-ROW(DF$46)+1)/(DF$46:DF$94&lt;&gt;""),ROWS(DM$1:DM21))),"")</f>
        <v>3045.4926481001708</v>
      </c>
      <c r="DN66" s="166">
        <f t="shared" ca="1" si="11"/>
        <v>66</v>
      </c>
      <c r="DO66" s="164">
        <f ca="1">IFERROR(INDEX(DG$46:DG$94,_xlfn.AGGREGATE(15,6,(ROW(DG$46:DG$94)-ROW(DG$46)+1)/(DG$46:DG$94&lt;&gt;""),ROWS(DO$1:DO21))),"")</f>
        <v>20</v>
      </c>
      <c r="DP66" s="165">
        <f ca="1">IFERROR(INDEX(DH$46:DH$94,_xlfn.AGGREGATE(15,6,(ROW(DH$46:DH$94)-ROW(DH$46)+1)/(DH$46:DH$94&lt;&gt;""),ROWS(DP$1:DP21))),"")</f>
        <v>3509.8260011712559</v>
      </c>
      <c r="DQ66" s="166">
        <f t="shared" ca="1" si="12"/>
        <v>66</v>
      </c>
      <c r="DV66" s="145">
        <v>2035</v>
      </c>
      <c r="DW66" s="146">
        <f t="shared" ca="1" si="13"/>
        <v>3101.1554541309238</v>
      </c>
      <c r="EU66" s="65"/>
      <c r="EV66" s="147"/>
    </row>
    <row r="67" spans="1:152" ht="13.8" x14ac:dyDescent="0.45">
      <c r="B67" s="128">
        <v>2033</v>
      </c>
      <c r="C67" s="175">
        <f>'Total MSW Summaries (Archive)'!C24</f>
        <v>3187.4884366674446</v>
      </c>
      <c r="D67" s="159">
        <f>'Total MSW Summaries (Archive)'!O24</f>
        <v>3010.7362277053089</v>
      </c>
      <c r="E67" s="151">
        <f>'Total MSW Summaries (Archive)'!AA24</f>
        <v>3598.7280000000019</v>
      </c>
      <c r="F67" s="152">
        <f>'Total MSW Summaries (Archive)'!AM24</f>
        <v>3080.7329995652221</v>
      </c>
      <c r="G67" s="159">
        <f>'Total MSW Summaries (Archive)'!AY24</f>
        <v>2074.918918918921</v>
      </c>
      <c r="H67" s="204"/>
      <c r="I67" s="206"/>
      <c r="J67" s="207"/>
      <c r="K67" s="204"/>
      <c r="L67" s="206"/>
      <c r="M67" s="204"/>
      <c r="N67" s="29" t="s">
        <v>119</v>
      </c>
      <c r="P67" s="128"/>
      <c r="Q67" s="176">
        <f t="shared" ca="1" si="17"/>
        <v>2990.3355126731885</v>
      </c>
      <c r="R67" s="29">
        <v>19</v>
      </c>
      <c r="S67" s="154">
        <f t="shared" ca="1" si="0"/>
        <v>2074.918918918921</v>
      </c>
      <c r="T67" s="154">
        <f t="shared" ca="1" si="1"/>
        <v>3598.7280000000019</v>
      </c>
      <c r="U67" s="154">
        <f t="shared" ca="1" si="14"/>
        <v>457.45418455086121</v>
      </c>
      <c r="W67" s="154">
        <f t="shared" ca="1" si="2"/>
        <v>2533.0358313708198</v>
      </c>
      <c r="X67" s="154">
        <f t="shared" ca="1" si="15"/>
        <v>2990.4900159216809</v>
      </c>
      <c r="Y67" s="154">
        <f t="shared" ca="1" si="3"/>
        <v>3447.944200472542</v>
      </c>
      <c r="AA67" s="133">
        <v>2990.3124477619349</v>
      </c>
      <c r="AB67" s="133">
        <v>2990.3124477619349</v>
      </c>
      <c r="AC67" s="133">
        <v>2990.3124477619349</v>
      </c>
      <c r="AD67" s="89"/>
      <c r="AE67" s="89"/>
      <c r="AF67" s="89"/>
      <c r="AG67" s="89"/>
      <c r="AH67" s="89"/>
      <c r="AI67" s="89"/>
      <c r="AJ67" s="89"/>
      <c r="AK67" s="89"/>
      <c r="AL67" s="89"/>
      <c r="AM67" s="89"/>
      <c r="AN67" s="89"/>
      <c r="BR67" s="180">
        <v>2031</v>
      </c>
      <c r="BS67" s="22">
        <v>17</v>
      </c>
      <c r="BT67" s="181">
        <f t="shared" ca="1" si="21"/>
        <v>931.11409015715503</v>
      </c>
      <c r="BU67" s="182">
        <f t="shared" ca="1" si="22"/>
        <v>1950.2460259466402</v>
      </c>
      <c r="BV67" s="205">
        <f t="shared" ca="1" si="23"/>
        <v>2881.360116103795</v>
      </c>
      <c r="BY67" s="180">
        <v>2031</v>
      </c>
      <c r="BZ67" s="22">
        <v>17</v>
      </c>
      <c r="CA67" s="198">
        <f t="shared" ca="1" si="24"/>
        <v>-3.1645769695011343</v>
      </c>
      <c r="CB67" s="198">
        <f t="shared" ca="1" si="25"/>
        <v>939.67706313345252</v>
      </c>
      <c r="CC67" s="186">
        <f t="shared" ca="1" si="35"/>
        <v>1946.4682437512145</v>
      </c>
      <c r="CD67" s="205">
        <f t="shared" ca="1" si="26"/>
        <v>2882.9807299151657</v>
      </c>
      <c r="CG67" s="180">
        <v>2031</v>
      </c>
      <c r="CH67" s="22">
        <v>17</v>
      </c>
      <c r="CI67" s="198">
        <f t="shared" ca="1" si="27"/>
        <v>-9.4755321422940177</v>
      </c>
      <c r="CJ67" s="198">
        <f t="shared" ca="1" si="28"/>
        <v>35.294935843339339</v>
      </c>
      <c r="CK67" s="198">
        <f t="shared" ca="1" si="29"/>
        <v>898.49620371919173</v>
      </c>
      <c r="CL67" s="186">
        <f t="shared" ca="1" si="30"/>
        <v>1955.2513850856349</v>
      </c>
      <c r="CM67" s="205">
        <f t="shared" ca="1" si="31"/>
        <v>2879.5669925058719</v>
      </c>
      <c r="CP67" s="180">
        <v>2031</v>
      </c>
      <c r="CQ67" s="22">
        <v>17</v>
      </c>
      <c r="CR67" s="181">
        <f t="shared" ca="1" si="32"/>
        <v>2079.0972973977018</v>
      </c>
      <c r="CS67" s="182">
        <f t="shared" ca="1" si="33"/>
        <v>1.3501070005823066</v>
      </c>
      <c r="CT67" s="205">
        <f t="shared" ca="1" si="34"/>
        <v>2807.0038161083912</v>
      </c>
      <c r="CZ67" s="164" t="b">
        <f t="shared" ca="1" si="4"/>
        <v>1</v>
      </c>
      <c r="DA67" s="165" t="b">
        <f t="shared" ca="1" si="4"/>
        <v>1</v>
      </c>
      <c r="DB67" s="166" t="b">
        <f t="shared" ca="1" si="4"/>
        <v>1</v>
      </c>
      <c r="DC67" s="164">
        <f t="shared" ca="1" si="16"/>
        <v>19</v>
      </c>
      <c r="DD67" s="166">
        <f t="shared" ca="1" si="5"/>
        <v>2533.0358313708198</v>
      </c>
      <c r="DE67" s="164">
        <f t="shared" ca="1" si="6"/>
        <v>19</v>
      </c>
      <c r="DF67" s="166">
        <f t="shared" ca="1" si="7"/>
        <v>2990.4900159216809</v>
      </c>
      <c r="DG67" s="164">
        <f t="shared" ca="1" si="8"/>
        <v>19</v>
      </c>
      <c r="DH67" s="166">
        <f t="shared" ca="1" si="9"/>
        <v>3447.944200472542</v>
      </c>
      <c r="DI67" s="164">
        <f ca="1">IFERROR(INDEX(DC$46:DC$94,_xlfn.AGGREGATE(15,6,(ROW(DC$46:DC$94)-ROW(DC$46)+1)/(DC$46:DC$94&lt;&gt;""),ROWS(DI$1:DI22))),"")</f>
        <v>21</v>
      </c>
      <c r="DJ67" s="165">
        <f ca="1">IFERROR(INDEX(DD$46:DD$94,_xlfn.AGGREGATE(15,6,(ROW(DD$46:DD$94)-ROW(DD$46)+1)/(DD$46:DD$94&lt;&gt;""),ROWS(DJ$1:DJ22))),"")</f>
        <v>2629.1426303720054</v>
      </c>
      <c r="DK67" s="166">
        <f t="shared" ca="1" si="10"/>
        <v>67</v>
      </c>
      <c r="DL67" s="164">
        <f ca="1">IFERROR(INDEX(DE$46:DE$94,_xlfn.AGGREGATE(15,6,(ROW(DE$46:DE$94)-ROW(DE$46)+1)/(DE$46:DE$94&lt;&gt;""),ROWS(DL$1:DL22))),"")</f>
        <v>21</v>
      </c>
      <c r="DM67" s="165">
        <f ca="1">IFERROR(INDEX(DF$46:DF$94,_xlfn.AGGREGATE(15,6,(ROW(DF$46:DF$94)-ROW(DF$46)+1)/(DF$46:DF$94&lt;&gt;""),ROWS(DM$1:DM22))),"")</f>
        <v>3100.7002381495809</v>
      </c>
      <c r="DN67" s="166">
        <f t="shared" ca="1" si="11"/>
        <v>67</v>
      </c>
      <c r="DO67" s="164">
        <f ca="1">IFERROR(INDEX(DG$46:DG$94,_xlfn.AGGREGATE(15,6,(ROW(DG$46:DG$94)-ROW(DG$46)+1)/(DG$46:DG$94&lt;&gt;""),ROWS(DO$1:DO22))),"")</f>
        <v>21</v>
      </c>
      <c r="DP67" s="165">
        <f ca="1">IFERROR(INDEX(DH$46:DH$94,_xlfn.AGGREGATE(15,6,(ROW(DH$46:DH$94)-ROW(DH$46)+1)/(DH$46:DH$94&lt;&gt;""),ROWS(DP$1:DP22))),"")</f>
        <v>3572.2578459271563</v>
      </c>
      <c r="DQ67" s="166">
        <f t="shared" ca="1" si="12"/>
        <v>67</v>
      </c>
      <c r="DV67" s="145">
        <v>2036</v>
      </c>
      <c r="DW67" s="146">
        <f t="shared" ca="1" si="13"/>
        <v>3156.5846090047207</v>
      </c>
      <c r="EU67" s="65"/>
      <c r="EV67" s="147"/>
    </row>
    <row r="68" spans="1:152" ht="13.8" x14ac:dyDescent="0.45">
      <c r="B68" s="128">
        <v>2034</v>
      </c>
      <c r="C68" s="175">
        <f>'Total MSW Summaries (Archive)'!C25</f>
        <v>3237.2230828404349</v>
      </c>
      <c r="D68" s="159">
        <f>'Total MSW Summaries (Archive)'!O25</f>
        <v>3091.4690845981409</v>
      </c>
      <c r="E68" s="151">
        <f>'Total MSW Summaries (Archive)'!AA25</f>
        <v>3660.8600000000019</v>
      </c>
      <c r="F68" s="152">
        <f>'Total MSW Summaries (Archive)'!AM25</f>
        <v>3124.7817048359166</v>
      </c>
      <c r="G68" s="159">
        <f>'Total MSW Summaries (Archive)'!AY25</f>
        <v>2112.8648648648668</v>
      </c>
      <c r="H68" s="204"/>
      <c r="I68" s="206"/>
      <c r="J68" s="207"/>
      <c r="K68" s="204"/>
      <c r="L68" s="206"/>
      <c r="M68" s="204"/>
      <c r="N68" s="29" t="s">
        <v>119</v>
      </c>
      <c r="P68" s="128"/>
      <c r="Q68" s="176">
        <f t="shared" ca="1" si="17"/>
        <v>3045.7571514616625</v>
      </c>
      <c r="R68" s="29">
        <v>20</v>
      </c>
      <c r="S68" s="154">
        <f t="shared" ca="1" si="0"/>
        <v>2112.8648648648668</v>
      </c>
      <c r="T68" s="154">
        <f t="shared" ca="1" si="1"/>
        <v>3660.8600000000019</v>
      </c>
      <c r="U68" s="154">
        <f t="shared" ca="1" si="14"/>
        <v>464.33335307108513</v>
      </c>
      <c r="W68" s="154">
        <f t="shared" ca="1" si="2"/>
        <v>2581.1592950290856</v>
      </c>
      <c r="X68" s="154">
        <f t="shared" ca="1" si="15"/>
        <v>3045.4926481001708</v>
      </c>
      <c r="Y68" s="154">
        <f t="shared" ca="1" si="3"/>
        <v>3509.8260011712559</v>
      </c>
      <c r="AA68" s="133">
        <v>3045.7275430529226</v>
      </c>
      <c r="AB68" s="133">
        <v>3045.7275430529226</v>
      </c>
      <c r="AC68" s="133">
        <v>3045.7275430529226</v>
      </c>
      <c r="AD68" s="89"/>
      <c r="AE68" s="89"/>
      <c r="AF68" s="89"/>
      <c r="AG68" s="89"/>
      <c r="AH68" s="89"/>
      <c r="AI68" s="89"/>
      <c r="AJ68" s="89"/>
      <c r="AK68" s="89"/>
      <c r="AL68" s="89"/>
      <c r="AM68" s="89"/>
      <c r="AN68" s="89"/>
      <c r="BR68" s="180">
        <v>2032</v>
      </c>
      <c r="BS68" s="22">
        <v>18</v>
      </c>
      <c r="BT68" s="181">
        <f t="shared" ca="1" si="21"/>
        <v>985.88550722522291</v>
      </c>
      <c r="BU68" s="182">
        <f t="shared" ca="1" si="22"/>
        <v>1950.2460259466402</v>
      </c>
      <c r="BV68" s="205">
        <f t="shared" ca="1" si="23"/>
        <v>2936.1315331718633</v>
      </c>
      <c r="BY68" s="180">
        <v>2032</v>
      </c>
      <c r="BZ68" s="22">
        <v>18</v>
      </c>
      <c r="CA68" s="198">
        <f t="shared" ca="1" si="24"/>
        <v>-3.5478302357036937</v>
      </c>
      <c r="CB68" s="198">
        <f t="shared" ca="1" si="25"/>
        <v>994.95218449424385</v>
      </c>
      <c r="CC68" s="186">
        <f t="shared" ca="1" si="35"/>
        <v>1946.4682437512145</v>
      </c>
      <c r="CD68" s="205">
        <f t="shared" ca="1" si="26"/>
        <v>2937.8725980097547</v>
      </c>
      <c r="CG68" s="180">
        <v>2032</v>
      </c>
      <c r="CH68" s="22">
        <v>18</v>
      </c>
      <c r="CI68" s="198">
        <f t="shared" ca="1" si="27"/>
        <v>-11.247975463842604</v>
      </c>
      <c r="CJ68" s="198">
        <f t="shared" ca="1" si="28"/>
        <v>39.569409042359673</v>
      </c>
      <c r="CK68" s="198">
        <f t="shared" ca="1" si="29"/>
        <v>951.34892158502646</v>
      </c>
      <c r="CL68" s="186">
        <f t="shared" ca="1" si="30"/>
        <v>1955.2513850856349</v>
      </c>
      <c r="CM68" s="205">
        <f t="shared" ca="1" si="31"/>
        <v>2934.9217402491786</v>
      </c>
      <c r="CP68" s="180">
        <v>2032</v>
      </c>
      <c r="CQ68" s="22">
        <v>18</v>
      </c>
      <c r="CR68" s="181">
        <f t="shared" ca="1" si="32"/>
        <v>2079.0972973977018</v>
      </c>
      <c r="CS68" s="182">
        <f t="shared" ca="1" si="33"/>
        <v>1.374158745562903</v>
      </c>
      <c r="CT68" s="205">
        <f t="shared" ca="1" si="34"/>
        <v>2857.0097340952479</v>
      </c>
      <c r="CZ68" s="164" t="b">
        <f t="shared" ca="1" si="4"/>
        <v>1</v>
      </c>
      <c r="DA68" s="165" t="b">
        <f t="shared" ca="1" si="4"/>
        <v>1</v>
      </c>
      <c r="DB68" s="166" t="b">
        <f t="shared" ca="1" si="4"/>
        <v>1</v>
      </c>
      <c r="DC68" s="164">
        <f t="shared" ca="1" si="16"/>
        <v>20</v>
      </c>
      <c r="DD68" s="166">
        <f t="shared" ca="1" si="5"/>
        <v>2581.1592950290856</v>
      </c>
      <c r="DE68" s="164">
        <f t="shared" ca="1" si="6"/>
        <v>20</v>
      </c>
      <c r="DF68" s="166">
        <f t="shared" ca="1" si="7"/>
        <v>3045.4926481001708</v>
      </c>
      <c r="DG68" s="164">
        <f t="shared" ca="1" si="8"/>
        <v>20</v>
      </c>
      <c r="DH68" s="166">
        <f t="shared" ca="1" si="9"/>
        <v>3509.8260011712559</v>
      </c>
      <c r="DI68" s="164">
        <f ca="1">IFERROR(INDEX(DC$46:DC$94,_xlfn.AGGREGATE(15,6,(ROW(DC$46:DC$94)-ROW(DC$46)+1)/(DC$46:DC$94&lt;&gt;""),ROWS(DI$1:DI23))),"")</f>
        <v>22</v>
      </c>
      <c r="DJ68" s="165">
        <f ca="1">IFERROR(INDEX(DD$46:DD$94,_xlfn.AGGREGATE(15,6,(ROW(DD$46:DD$94)-ROW(DD$46)+1)/(DD$46:DD$94&lt;&gt;""),ROWS(DJ$1:DJ23))),"")</f>
        <v>2676.8080363790709</v>
      </c>
      <c r="DK68" s="166">
        <f t="shared" ca="1" si="10"/>
        <v>68</v>
      </c>
      <c r="DL68" s="164">
        <f ca="1">IFERROR(INDEX(DE$46:DE$94,_xlfn.AGGREGATE(15,6,(ROW(DE$46:DE$94)-ROW(DE$46)+1)/(DE$46:DE$94&lt;&gt;""),ROWS(DL$1:DL23))),"")</f>
        <v>22</v>
      </c>
      <c r="DM68" s="165">
        <f ca="1">IFERROR(INDEX(DF$46:DF$94,_xlfn.AGGREGATE(15,6,(ROW(DF$46:DF$94)-ROW(DF$46)+1)/(DF$46:DF$94&lt;&gt;""),ROWS(DM$1:DM23))),"")</f>
        <v>3155.9334576828974</v>
      </c>
      <c r="DN68" s="166">
        <f t="shared" ca="1" si="11"/>
        <v>68</v>
      </c>
      <c r="DO68" s="164">
        <f ca="1">IFERROR(INDEX(DG$46:DG$94,_xlfn.AGGREGATE(15,6,(ROW(DG$46:DG$94)-ROW(DG$46)+1)/(DG$46:DG$94&lt;&gt;""),ROWS(DO$1:DO23))),"")</f>
        <v>22</v>
      </c>
      <c r="DP68" s="165">
        <f ca="1">IFERROR(INDEX(DH$46:DH$94,_xlfn.AGGREGATE(15,6,(ROW(DH$46:DH$94)-ROW(DH$46)+1)/(DH$46:DH$94&lt;&gt;""),ROWS(DP$1:DP23))),"")</f>
        <v>3635.0588789867238</v>
      </c>
      <c r="DQ68" s="166">
        <f t="shared" ca="1" si="12"/>
        <v>68</v>
      </c>
      <c r="DV68" s="145">
        <v>2037</v>
      </c>
      <c r="DW68" s="146">
        <f t="shared" ca="1" si="13"/>
        <v>3212.0034356830961</v>
      </c>
      <c r="EU68" s="65"/>
      <c r="EV68" s="147"/>
    </row>
    <row r="69" spans="1:152" ht="13.8" x14ac:dyDescent="0.45">
      <c r="B69" s="128">
        <v>2035</v>
      </c>
      <c r="C69" s="175">
        <f>'Total MSW Summaries (Archive)'!C26</f>
        <v>3287.1293424274895</v>
      </c>
      <c r="D69" s="159">
        <f>'Total MSW Summaries (Archive)'!O26</f>
        <v>3173.4217630348376</v>
      </c>
      <c r="E69" s="151">
        <f>'Total MSW Summaries (Archive)'!AA26</f>
        <v>3722.992000000002</v>
      </c>
      <c r="F69" s="152">
        <f>'Total MSW Summaries (Archive)'!AM26</f>
        <v>3168.6563383823504</v>
      </c>
      <c r="G69" s="159">
        <f>'Total MSW Summaries (Archive)'!AY26</f>
        <v>2150.8108108108127</v>
      </c>
      <c r="H69" s="204"/>
      <c r="I69" s="206"/>
      <c r="J69" s="207"/>
      <c r="K69" s="204"/>
      <c r="L69" s="206"/>
      <c r="M69" s="204"/>
      <c r="N69" s="29" t="s">
        <v>119</v>
      </c>
      <c r="P69" s="128"/>
      <c r="Q69" s="176">
        <f t="shared" ca="1" si="17"/>
        <v>3101.1911742419929</v>
      </c>
      <c r="R69" s="29">
        <v>21</v>
      </c>
      <c r="S69" s="154">
        <f t="shared" ca="1" si="0"/>
        <v>2150.8108108108127</v>
      </c>
      <c r="T69" s="154">
        <f t="shared" ca="1" si="1"/>
        <v>3722.992000000002</v>
      </c>
      <c r="U69" s="154">
        <f t="shared" ca="1" si="14"/>
        <v>471.55760777757536</v>
      </c>
      <c r="W69" s="154">
        <f t="shared" ca="1" si="2"/>
        <v>2629.1426303720054</v>
      </c>
      <c r="X69" s="154">
        <f t="shared" ca="1" si="15"/>
        <v>3100.7002381495809</v>
      </c>
      <c r="Y69" s="154">
        <f t="shared" ca="1" si="3"/>
        <v>3572.2578459271563</v>
      </c>
      <c r="AA69" s="133">
        <v>3101.1554541309238</v>
      </c>
      <c r="AB69" s="133">
        <v>3101.1554541309238</v>
      </c>
      <c r="AC69" s="133">
        <v>3101.1554541309238</v>
      </c>
      <c r="AD69" s="89"/>
      <c r="AE69" s="89"/>
      <c r="AF69" s="89"/>
      <c r="AG69" s="89"/>
      <c r="AH69" s="89"/>
      <c r="AI69" s="89"/>
      <c r="AJ69" s="89"/>
      <c r="AK69" s="89"/>
      <c r="AL69" s="89"/>
      <c r="AM69" s="89"/>
      <c r="AN69" s="89"/>
      <c r="BR69" s="180">
        <v>2033</v>
      </c>
      <c r="BS69" s="22">
        <v>19</v>
      </c>
      <c r="BT69" s="181">
        <f t="shared" ca="1" si="21"/>
        <v>1040.6569242932908</v>
      </c>
      <c r="BU69" s="182">
        <f t="shared" ca="1" si="22"/>
        <v>1950.2460259466402</v>
      </c>
      <c r="BV69" s="205">
        <f t="shared" ca="1" si="23"/>
        <v>2990.9029502399308</v>
      </c>
      <c r="BY69" s="180">
        <v>2033</v>
      </c>
      <c r="BZ69" s="22">
        <v>19</v>
      </c>
      <c r="CA69" s="198">
        <f t="shared" ca="1" si="24"/>
        <v>-3.9529836885463996</v>
      </c>
      <c r="CB69" s="198">
        <f t="shared" ca="1" si="25"/>
        <v>1050.2273058550352</v>
      </c>
      <c r="CC69" s="186">
        <f t="shared" ca="1" si="35"/>
        <v>1946.4682437512145</v>
      </c>
      <c r="CD69" s="205">
        <f t="shared" ca="1" si="26"/>
        <v>2992.7425659177034</v>
      </c>
      <c r="CG69" s="180">
        <v>2033</v>
      </c>
      <c r="CH69" s="22">
        <v>19</v>
      </c>
      <c r="CI69" s="198">
        <f t="shared" ca="1" si="27"/>
        <v>-13.228714627314202</v>
      </c>
      <c r="CJ69" s="198">
        <f t="shared" ca="1" si="28"/>
        <v>44.088137852752602</v>
      </c>
      <c r="CK69" s="198">
        <f t="shared" ca="1" si="29"/>
        <v>1004.2016394508613</v>
      </c>
      <c r="CL69" s="186">
        <f t="shared" ca="1" si="30"/>
        <v>1955.2513850856349</v>
      </c>
      <c r="CM69" s="205">
        <f t="shared" ca="1" si="31"/>
        <v>2990.3124477619349</v>
      </c>
      <c r="CP69" s="180">
        <v>2033</v>
      </c>
      <c r="CQ69" s="22">
        <v>19</v>
      </c>
      <c r="CR69" s="181">
        <f t="shared" ca="1" si="32"/>
        <v>2079.0972973977018</v>
      </c>
      <c r="CS69" s="182">
        <f t="shared" ca="1" si="33"/>
        <v>1.3986389650543065</v>
      </c>
      <c r="CT69" s="205">
        <f t="shared" ca="1" si="34"/>
        <v>2907.9064922795274</v>
      </c>
      <c r="CZ69" s="164" t="b">
        <f t="shared" ca="1" si="4"/>
        <v>1</v>
      </c>
      <c r="DA69" s="165" t="b">
        <f t="shared" ca="1" si="4"/>
        <v>1</v>
      </c>
      <c r="DB69" s="166" t="b">
        <f t="shared" ca="1" si="4"/>
        <v>1</v>
      </c>
      <c r="DC69" s="164">
        <f t="shared" ca="1" si="16"/>
        <v>21</v>
      </c>
      <c r="DD69" s="166">
        <f t="shared" ca="1" si="5"/>
        <v>2629.1426303720054</v>
      </c>
      <c r="DE69" s="164">
        <f t="shared" ca="1" si="6"/>
        <v>21</v>
      </c>
      <c r="DF69" s="166">
        <f t="shared" ca="1" si="7"/>
        <v>3100.7002381495809</v>
      </c>
      <c r="DG69" s="164">
        <f t="shared" ca="1" si="8"/>
        <v>21</v>
      </c>
      <c r="DH69" s="166">
        <f t="shared" ca="1" si="9"/>
        <v>3572.2578459271563</v>
      </c>
      <c r="DI69" s="164">
        <f ca="1">IFERROR(INDEX(DC$46:DC$94,_xlfn.AGGREGATE(15,6,(ROW(DC$46:DC$94)-ROW(DC$46)+1)/(DC$46:DC$94&lt;&gt;""),ROWS(DI$1:DI24))),"")</f>
        <v>23</v>
      </c>
      <c r="DJ69" s="165">
        <f ca="1">IFERROR(INDEX(DD$46:DD$94,_xlfn.AGGREGATE(15,6,(ROW(DD$46:DD$94)-ROW(DD$46)+1)/(DD$46:DD$94&lt;&gt;""),ROWS(DJ$1:DJ24))),"")</f>
        <v>2724.2927921907553</v>
      </c>
      <c r="DK69" s="166">
        <f t="shared" ca="1" si="10"/>
        <v>69</v>
      </c>
      <c r="DL69" s="164">
        <f ca="1">IFERROR(INDEX(DE$46:DE$94,_xlfn.AGGREGATE(15,6,(ROW(DE$46:DE$94)-ROW(DE$46)+1)/(DE$46:DE$94&lt;&gt;""),ROWS(DL$1:DL24))),"")</f>
        <v>23</v>
      </c>
      <c r="DM69" s="165">
        <f ca="1">IFERROR(INDEX(DF$46:DF$94,_xlfn.AGGREGATE(15,6,(ROW(DF$46:DF$94)-ROW(DF$46)+1)/(DF$46:DF$94&lt;&gt;""),ROWS(DM$1:DM24))),"")</f>
        <v>3211.3787539132204</v>
      </c>
      <c r="DN69" s="166">
        <f t="shared" ca="1" si="11"/>
        <v>69</v>
      </c>
      <c r="DO69" s="164">
        <f ca="1">IFERROR(INDEX(DG$46:DG$94,_xlfn.AGGREGATE(15,6,(ROW(DG$46:DG$94)-ROW(DG$46)+1)/(DG$46:DG$94&lt;&gt;""),ROWS(DO$1:DO24))),"")</f>
        <v>23</v>
      </c>
      <c r="DP69" s="165">
        <f ca="1">IFERROR(INDEX(DH$46:DH$94,_xlfn.AGGREGATE(15,6,(ROW(DH$46:DH$94)-ROW(DH$46)+1)/(DH$46:DH$94&lt;&gt;""),ROWS(DP$1:DP24))),"")</f>
        <v>3698.4647156356855</v>
      </c>
      <c r="DQ69" s="166">
        <f t="shared" ca="1" si="12"/>
        <v>69</v>
      </c>
      <c r="DV69" s="145">
        <v>2038</v>
      </c>
      <c r="DW69" s="146">
        <f t="shared" ca="1" si="13"/>
        <v>3267.4003621748307</v>
      </c>
      <c r="EU69" s="65"/>
      <c r="EV69" s="147"/>
    </row>
    <row r="70" spans="1:152" ht="13.8" x14ac:dyDescent="0.45">
      <c r="B70" s="128">
        <v>2036</v>
      </c>
      <c r="C70" s="175">
        <f>'Total MSW Summaries (Archive)'!C27</f>
        <v>3337.2007897353892</v>
      </c>
      <c r="D70" s="159">
        <f>'Total MSW Summaries (Archive)'!O27</f>
        <v>3256.5859230763363</v>
      </c>
      <c r="E70" s="151">
        <f>'Total MSW Summaries (Archive)'!AA27</f>
        <v>3785.1240000000021</v>
      </c>
      <c r="F70" s="152">
        <f>'Total MSW Summaries (Archive)'!AM27</f>
        <v>3211.3073020777806</v>
      </c>
      <c r="G70" s="159">
        <f>'Total MSW Summaries (Archive)'!AY27</f>
        <v>2188.7567567567585</v>
      </c>
      <c r="H70" s="204"/>
      <c r="I70" s="206"/>
      <c r="J70" s="207"/>
      <c r="K70" s="204"/>
      <c r="L70" s="206"/>
      <c r="M70" s="204"/>
      <c r="N70" s="29" t="s">
        <v>119</v>
      </c>
      <c r="P70" s="128"/>
      <c r="Q70" s="176">
        <f t="shared" ca="1" si="17"/>
        <v>3156.6259744511203</v>
      </c>
      <c r="R70" s="29">
        <v>22</v>
      </c>
      <c r="S70" s="154">
        <f t="shared" ca="1" si="0"/>
        <v>2188.7567567567585</v>
      </c>
      <c r="T70" s="154">
        <f t="shared" ca="1" si="1"/>
        <v>3785.1240000000021</v>
      </c>
      <c r="U70" s="154">
        <f t="shared" ca="1" si="14"/>
        <v>479.12542130382633</v>
      </c>
      <c r="W70" s="154">
        <f t="shared" ca="1" si="2"/>
        <v>2676.8080363790709</v>
      </c>
      <c r="X70" s="154">
        <f t="shared" ca="1" si="15"/>
        <v>3155.9334576828974</v>
      </c>
      <c r="Y70" s="154">
        <f t="shared" ca="1" si="3"/>
        <v>3635.0588789867238</v>
      </c>
      <c r="AA70" s="133">
        <v>3156.5846090047207</v>
      </c>
      <c r="AB70" s="133">
        <v>3156.5846090047207</v>
      </c>
      <c r="AC70" s="133">
        <v>3156.5846090047207</v>
      </c>
      <c r="AD70" s="89"/>
      <c r="AE70" s="89"/>
      <c r="AF70" s="89"/>
      <c r="AG70" s="89"/>
      <c r="AH70" s="89"/>
      <c r="AI70" s="89"/>
      <c r="AJ70" s="89"/>
      <c r="AK70" s="89"/>
      <c r="AL70" s="89"/>
      <c r="AM70" s="89"/>
      <c r="AN70" s="89"/>
      <c r="BR70" s="180">
        <v>2034</v>
      </c>
      <c r="BS70" s="22">
        <v>20</v>
      </c>
      <c r="BT70" s="181">
        <f t="shared" ca="1" si="21"/>
        <v>1095.4283413613589</v>
      </c>
      <c r="BU70" s="182">
        <f t="shared" ca="1" si="22"/>
        <v>1950.2460259466402</v>
      </c>
      <c r="BV70" s="205">
        <f t="shared" ca="1" si="23"/>
        <v>3045.6743673079991</v>
      </c>
      <c r="BY70" s="180">
        <v>2034</v>
      </c>
      <c r="BZ70" s="22">
        <v>20</v>
      </c>
      <c r="CA70" s="198">
        <f t="shared" ca="1" si="24"/>
        <v>-4.3800373280292515</v>
      </c>
      <c r="CB70" s="198">
        <f t="shared" ca="1" si="25"/>
        <v>1105.5024272158264</v>
      </c>
      <c r="CC70" s="186">
        <f t="shared" ca="1" si="35"/>
        <v>1946.4682437512145</v>
      </c>
      <c r="CD70" s="205">
        <f t="shared" ca="1" si="26"/>
        <v>3047.5906336390117</v>
      </c>
      <c r="CG70" s="180">
        <v>2034</v>
      </c>
      <c r="CH70" s="22">
        <v>20</v>
      </c>
      <c r="CI70" s="198">
        <f t="shared" ca="1" si="27"/>
        <v>-15.429321623926755</v>
      </c>
      <c r="CJ70" s="198">
        <f t="shared" ca="1" si="28"/>
        <v>48.851122274518119</v>
      </c>
      <c r="CK70" s="198">
        <f t="shared" ca="1" si="29"/>
        <v>1057.054357316696</v>
      </c>
      <c r="CL70" s="186">
        <f t="shared" ca="1" si="30"/>
        <v>1955.2513850856349</v>
      </c>
      <c r="CM70" s="205">
        <f t="shared" ca="1" si="31"/>
        <v>3045.7275430529226</v>
      </c>
      <c r="CP70" s="180">
        <v>2034</v>
      </c>
      <c r="CQ70" s="22">
        <v>20</v>
      </c>
      <c r="CR70" s="181">
        <f t="shared" ca="1" si="32"/>
        <v>2079.0972973977018</v>
      </c>
      <c r="CS70" s="182">
        <f t="shared" ca="1" si="33"/>
        <v>1.4235552921994161</v>
      </c>
      <c r="CT70" s="205">
        <f t="shared" ca="1" si="34"/>
        <v>2959.7099607080017</v>
      </c>
      <c r="CZ70" s="164" t="b">
        <f t="shared" ca="1" si="4"/>
        <v>1</v>
      </c>
      <c r="DA70" s="165" t="b">
        <f t="shared" ca="1" si="4"/>
        <v>1</v>
      </c>
      <c r="DB70" s="166" t="b">
        <f t="shared" ca="1" si="4"/>
        <v>1</v>
      </c>
      <c r="DC70" s="164">
        <f t="shared" ca="1" si="16"/>
        <v>22</v>
      </c>
      <c r="DD70" s="166">
        <f t="shared" ca="1" si="5"/>
        <v>2676.8080363790709</v>
      </c>
      <c r="DE70" s="164">
        <f t="shared" ca="1" si="6"/>
        <v>22</v>
      </c>
      <c r="DF70" s="166">
        <f t="shared" ca="1" si="7"/>
        <v>3155.9334576828974</v>
      </c>
      <c r="DG70" s="164">
        <f t="shared" ca="1" si="8"/>
        <v>22</v>
      </c>
      <c r="DH70" s="166">
        <f t="shared" ca="1" si="9"/>
        <v>3635.0588789867238</v>
      </c>
      <c r="DI70" s="164">
        <f ca="1">IFERROR(INDEX(DC$46:DC$94,_xlfn.AGGREGATE(15,6,(ROW(DC$46:DC$94)-ROW(DC$46)+1)/(DC$46:DC$94&lt;&gt;""),ROWS(DI$1:DI25))),"")</f>
        <v>24</v>
      </c>
      <c r="DJ70" s="165">
        <f ca="1">IFERROR(INDEX(DD$46:DD$94,_xlfn.AGGREGATE(15,6,(ROW(DD$46:DD$94)-ROW(DD$46)+1)/(DD$46:DD$94&lt;&gt;""),ROWS(DJ$1:DJ25))),"")</f>
        <v>2771.5275624112687</v>
      </c>
      <c r="DK70" s="166">
        <f t="shared" ca="1" si="10"/>
        <v>70</v>
      </c>
      <c r="DL70" s="164">
        <f ca="1">IFERROR(INDEX(DE$46:DE$94,_xlfn.AGGREGATE(15,6,(ROW(DE$46:DE$94)-ROW(DE$46)+1)/(DE$46:DE$94&lt;&gt;""),ROWS(DL$1:DL25))),"")</f>
        <v>24</v>
      </c>
      <c r="DM70" s="165">
        <f ca="1">IFERROR(INDEX(DF$46:DF$94,_xlfn.AGGREGATE(15,6,(ROW(DF$46:DF$94)-ROW(DF$46)+1)/(DF$46:DF$94&lt;&gt;""),ROWS(DM$1:DM25))),"")</f>
        <v>3266.9786746974492</v>
      </c>
      <c r="DN70" s="166">
        <f t="shared" ca="1" si="11"/>
        <v>70</v>
      </c>
      <c r="DO70" s="164">
        <f ca="1">IFERROR(INDEX(DG$46:DG$94,_xlfn.AGGREGATE(15,6,(ROW(DG$46:DG$94)-ROW(DG$46)+1)/(DG$46:DG$94&lt;&gt;""),ROWS(DO$1:DO25))),"")</f>
        <v>24</v>
      </c>
      <c r="DP70" s="165">
        <f ca="1">IFERROR(INDEX(DH$46:DH$94,_xlfn.AGGREGATE(15,6,(ROW(DH$46:DH$94)-ROW(DH$46)+1)/(DH$46:DH$94&lt;&gt;""),ROWS(DP$1:DP25))),"")</f>
        <v>3762.4297869836296</v>
      </c>
      <c r="DQ70" s="166">
        <f t="shared" ca="1" si="12"/>
        <v>70</v>
      </c>
      <c r="DV70" s="145">
        <v>2039</v>
      </c>
      <c r="DW70" s="146">
        <f t="shared" ca="1" si="13"/>
        <v>3322.7638164887076</v>
      </c>
      <c r="EU70" s="65"/>
      <c r="EV70" s="147"/>
    </row>
    <row r="71" spans="1:152" ht="13.8" x14ac:dyDescent="0.45">
      <c r="B71" s="128">
        <v>2037</v>
      </c>
      <c r="C71" s="175">
        <f>'Total MSW Summaries (Archive)'!C28</f>
        <v>3387.4280983534882</v>
      </c>
      <c r="D71" s="159">
        <f>'Total MSW Summaries (Archive)'!O28</f>
        <v>3340.9513193086896</v>
      </c>
      <c r="E71" s="151">
        <f>'Total MSW Summaries (Archive)'!AA28</f>
        <v>3847.2560000000021</v>
      </c>
      <c r="F71" s="152">
        <f>'Total MSW Summaries (Archive)'!AM28</f>
        <v>3253.8844575884582</v>
      </c>
      <c r="G71" s="159">
        <f>'Total MSW Summaries (Archive)'!AY28</f>
        <v>2226.7027027027043</v>
      </c>
      <c r="H71" s="204"/>
      <c r="I71" s="206"/>
      <c r="J71" s="207"/>
      <c r="K71" s="204"/>
      <c r="L71" s="206"/>
      <c r="M71" s="204"/>
      <c r="N71" s="29" t="s">
        <v>119</v>
      </c>
      <c r="P71" s="128"/>
      <c r="Q71" s="176">
        <f t="shared" ca="1" si="17"/>
        <v>3212.0499455259824</v>
      </c>
      <c r="R71" s="29">
        <v>23</v>
      </c>
      <c r="S71" s="154">
        <f t="shared" ca="1" si="0"/>
        <v>2226.7027027027043</v>
      </c>
      <c r="T71" s="154">
        <f t="shared" ca="1" si="1"/>
        <v>3847.2560000000021</v>
      </c>
      <c r="U71" s="154">
        <f t="shared" ca="1" si="14"/>
        <v>487.08596172246502</v>
      </c>
      <c r="W71" s="154">
        <f t="shared" ca="1" si="2"/>
        <v>2724.2927921907553</v>
      </c>
      <c r="X71" s="154">
        <f t="shared" ca="1" si="15"/>
        <v>3211.3787539132204</v>
      </c>
      <c r="Y71" s="154">
        <f t="shared" ca="1" si="3"/>
        <v>3698.4647156356855</v>
      </c>
      <c r="AA71" s="133">
        <v>3212.0034356830961</v>
      </c>
      <c r="AB71" s="133">
        <v>3212.0034356830961</v>
      </c>
      <c r="AC71" s="133">
        <v>3212.0034356830961</v>
      </c>
      <c r="AD71" s="89"/>
      <c r="AE71" s="89"/>
      <c r="AF71" s="89"/>
      <c r="AG71" s="89"/>
      <c r="AH71" s="89"/>
      <c r="AI71" s="89"/>
      <c r="AJ71" s="89"/>
      <c r="AK71" s="89"/>
      <c r="AL71" s="89"/>
      <c r="AM71" s="89"/>
      <c r="AN71" s="89"/>
      <c r="BR71" s="180">
        <v>2035</v>
      </c>
      <c r="BS71" s="22">
        <v>21</v>
      </c>
      <c r="BT71" s="181">
        <f t="shared" ca="1" si="21"/>
        <v>1150.1997584294268</v>
      </c>
      <c r="BU71" s="182">
        <f t="shared" ca="1" si="22"/>
        <v>1950.2460259466402</v>
      </c>
      <c r="BV71" s="205">
        <f t="shared" ca="1" si="23"/>
        <v>3100.445784376067</v>
      </c>
      <c r="BY71" s="180">
        <v>2035</v>
      </c>
      <c r="BZ71" s="22">
        <v>21</v>
      </c>
      <c r="CA71" s="198">
        <f t="shared" ca="1" si="24"/>
        <v>-4.8289911541522494</v>
      </c>
      <c r="CB71" s="198">
        <f t="shared" ca="1" si="25"/>
        <v>1160.7775485766178</v>
      </c>
      <c r="CC71" s="186">
        <f t="shared" ca="1" si="35"/>
        <v>1946.4682437512145</v>
      </c>
      <c r="CD71" s="205">
        <f t="shared" ca="1" si="26"/>
        <v>3102.4168011736801</v>
      </c>
      <c r="CG71" s="180">
        <v>2035</v>
      </c>
      <c r="CH71" s="22">
        <v>21</v>
      </c>
      <c r="CI71" s="198">
        <f t="shared" ca="1" si="27"/>
        <v>-17.861368444898211</v>
      </c>
      <c r="CJ71" s="198">
        <f t="shared" ca="1" si="28"/>
        <v>53.858362307656222</v>
      </c>
      <c r="CK71" s="198">
        <f t="shared" ca="1" si="29"/>
        <v>1109.9070751825309</v>
      </c>
      <c r="CL71" s="186">
        <f t="shared" ca="1" si="30"/>
        <v>1955.2513850856349</v>
      </c>
      <c r="CM71" s="205">
        <f t="shared" ca="1" si="31"/>
        <v>3101.1554541309238</v>
      </c>
      <c r="CP71" s="180">
        <v>2035</v>
      </c>
      <c r="CQ71" s="22">
        <v>21</v>
      </c>
      <c r="CR71" s="181">
        <f t="shared" ca="1" si="32"/>
        <v>2079.0972973977018</v>
      </c>
      <c r="CS71" s="182">
        <f t="shared" ca="1" si="33"/>
        <v>1.4489154961232471</v>
      </c>
      <c r="CT71" s="205">
        <f t="shared" ca="1" si="34"/>
        <v>3012.4362921474935</v>
      </c>
      <c r="CZ71" s="164" t="b">
        <f t="shared" ca="1" si="4"/>
        <v>1</v>
      </c>
      <c r="DA71" s="165" t="b">
        <f t="shared" ca="1" si="4"/>
        <v>1</v>
      </c>
      <c r="DB71" s="166" t="b">
        <f t="shared" ca="1" si="4"/>
        <v>1</v>
      </c>
      <c r="DC71" s="164">
        <f t="shared" ca="1" si="16"/>
        <v>23</v>
      </c>
      <c r="DD71" s="166">
        <f t="shared" ca="1" si="5"/>
        <v>2724.2927921907553</v>
      </c>
      <c r="DE71" s="164">
        <f t="shared" ca="1" si="6"/>
        <v>23</v>
      </c>
      <c r="DF71" s="166">
        <f t="shared" ca="1" si="7"/>
        <v>3211.3787539132204</v>
      </c>
      <c r="DG71" s="164">
        <f t="shared" ca="1" si="8"/>
        <v>23</v>
      </c>
      <c r="DH71" s="166">
        <f t="shared" ca="1" si="9"/>
        <v>3698.4647156356855</v>
      </c>
      <c r="DI71" s="164">
        <f ca="1">IFERROR(INDEX(DC$46:DC$94,_xlfn.AGGREGATE(15,6,(ROW(DC$46:DC$94)-ROW(DC$46)+1)/(DC$46:DC$94&lt;&gt;""),ROWS(DI$1:DI26))),"")</f>
        <v>25</v>
      </c>
      <c r="DJ71" s="165">
        <f ca="1">IFERROR(INDEX(DD$46:DD$94,_xlfn.AGGREGATE(15,6,(ROW(DD$46:DD$94)-ROW(DD$46)+1)/(DD$46:DD$94&lt;&gt;""),ROWS(DJ$1:DJ26))),"")</f>
        <v>2818.4976425193072</v>
      </c>
      <c r="DK71" s="166">
        <f t="shared" ca="1" si="10"/>
        <v>71</v>
      </c>
      <c r="DL71" s="164">
        <f ca="1">IFERROR(INDEX(DE$46:DE$94,_xlfn.AGGREGATE(15,6,(ROW(DE$46:DE$94)-ROW(DE$46)+1)/(DE$46:DE$94&lt;&gt;""),ROWS(DL$1:DL26))),"")</f>
        <v>25</v>
      </c>
      <c r="DM71" s="165">
        <f ca="1">IFERROR(INDEX(DF$46:DF$94,_xlfn.AGGREGATE(15,6,(ROW(DF$46:DF$94)-ROW(DF$46)+1)/(DF$46:DF$94&lt;&gt;""),ROWS(DM$1:DM26))),"")</f>
        <v>3322.7366885307856</v>
      </c>
      <c r="DN71" s="166">
        <f t="shared" ca="1" si="11"/>
        <v>71</v>
      </c>
      <c r="DO71" s="164">
        <f ca="1">IFERROR(INDEX(DG$46:DG$94,_xlfn.AGGREGATE(15,6,(ROW(DG$46:DG$94)-ROW(DG$46)+1)/(DG$46:DG$94&lt;&gt;""),ROWS(DO$1:DO26))),"")</f>
        <v>25</v>
      </c>
      <c r="DP71" s="165">
        <f ca="1">IFERROR(INDEX(DH$46:DH$94,_xlfn.AGGREGATE(15,6,(ROW(DH$46:DH$94)-ROW(DH$46)+1)/(DH$46:DH$94&lt;&gt;""),ROWS(DP$1:DP26))),"")</f>
        <v>3826.975734542264</v>
      </c>
      <c r="DQ71" s="166">
        <f t="shared" ca="1" si="12"/>
        <v>71</v>
      </c>
      <c r="DV71" s="145">
        <v>2040</v>
      </c>
      <c r="DW71" s="146">
        <f t="shared" ca="1" si="13"/>
        <v>3378.0822266335081</v>
      </c>
      <c r="EU71" s="65"/>
      <c r="EV71" s="147"/>
    </row>
    <row r="72" spans="1:152" ht="13.8" x14ac:dyDescent="0.45">
      <c r="B72" s="128">
        <v>2038</v>
      </c>
      <c r="C72" s="175">
        <f>'Total MSW Summaries (Archive)'!C29</f>
        <v>3437.7986652472755</v>
      </c>
      <c r="D72" s="159">
        <f>'Total MSW Summaries (Archive)'!O29</f>
        <v>3426.5063899637489</v>
      </c>
      <c r="E72" s="151">
        <f>'Total MSW Summaries (Archive)'!AA29</f>
        <v>3909.3880000000022</v>
      </c>
      <c r="F72" s="152">
        <f>'Total MSW Summaries (Archive)'!AM29</f>
        <v>3296.0788634214973</v>
      </c>
      <c r="G72" s="159">
        <f>'Total MSW Summaries (Archive)'!AY29</f>
        <v>2264.6486486486501</v>
      </c>
      <c r="H72" s="204"/>
      <c r="I72" s="206"/>
      <c r="J72" s="207"/>
      <c r="K72" s="204"/>
      <c r="L72" s="206"/>
      <c r="M72" s="204"/>
      <c r="N72" s="29" t="s">
        <v>119</v>
      </c>
      <c r="P72" s="128"/>
      <c r="Q72" s="176">
        <f t="shared" ca="1" si="17"/>
        <v>3267.45148090352</v>
      </c>
      <c r="R72" s="29">
        <v>24</v>
      </c>
      <c r="S72" s="154">
        <f t="shared" ca="1" si="0"/>
        <v>2264.6486486486501</v>
      </c>
      <c r="T72" s="154">
        <f t="shared" ca="1" si="1"/>
        <v>3909.3880000000022</v>
      </c>
      <c r="U72" s="154">
        <f t="shared" ca="1" si="14"/>
        <v>495.4511122861806</v>
      </c>
      <c r="W72" s="154">
        <f t="shared" ca="1" si="2"/>
        <v>2771.5275624112687</v>
      </c>
      <c r="X72" s="154">
        <f t="shared" ca="1" si="15"/>
        <v>3266.9786746974492</v>
      </c>
      <c r="Y72" s="154">
        <f t="shared" ca="1" si="3"/>
        <v>3762.4297869836296</v>
      </c>
      <c r="AA72" s="133">
        <v>3267.4003621748307</v>
      </c>
      <c r="AB72" s="133">
        <v>3267.4003621748307</v>
      </c>
      <c r="AC72" s="133">
        <v>3267.4003621748307</v>
      </c>
      <c r="AD72" s="89"/>
      <c r="AE72" s="89"/>
      <c r="AF72" s="89"/>
      <c r="AG72" s="89"/>
      <c r="AH72" s="89"/>
      <c r="AI72" s="89"/>
      <c r="AJ72" s="89"/>
      <c r="AK72" s="89"/>
      <c r="AL72" s="89"/>
      <c r="AM72" s="89"/>
      <c r="AN72" s="89"/>
      <c r="BR72" s="180">
        <v>2036</v>
      </c>
      <c r="BS72" s="22">
        <v>22</v>
      </c>
      <c r="BT72" s="181">
        <f t="shared" ca="1" si="21"/>
        <v>1204.9711754974946</v>
      </c>
      <c r="BU72" s="182">
        <f t="shared" ca="1" si="22"/>
        <v>1950.2460259466402</v>
      </c>
      <c r="BV72" s="205">
        <f t="shared" ca="1" si="23"/>
        <v>3155.2172014441348</v>
      </c>
      <c r="BY72" s="180">
        <v>2036</v>
      </c>
      <c r="BZ72" s="22">
        <v>22</v>
      </c>
      <c r="CA72" s="198">
        <f t="shared" ca="1" si="24"/>
        <v>-5.2998451669153948</v>
      </c>
      <c r="CB72" s="198">
        <f t="shared" ca="1" si="25"/>
        <v>1216.0526699374091</v>
      </c>
      <c r="CC72" s="186">
        <f t="shared" ca="1" si="35"/>
        <v>1946.4682437512145</v>
      </c>
      <c r="CD72" s="205">
        <f t="shared" ca="1" si="26"/>
        <v>3157.2210685217078</v>
      </c>
      <c r="CG72" s="180">
        <v>2036</v>
      </c>
      <c r="CH72" s="22">
        <v>22</v>
      </c>
      <c r="CI72" s="198">
        <f t="shared" ca="1" si="27"/>
        <v>-20.536427081446512</v>
      </c>
      <c r="CJ72" s="198">
        <f t="shared" ca="1" si="28"/>
        <v>59.109857952166919</v>
      </c>
      <c r="CK72" s="198">
        <f t="shared" ca="1" si="29"/>
        <v>1162.7597930483657</v>
      </c>
      <c r="CL72" s="186">
        <f t="shared" ca="1" si="30"/>
        <v>1955.2513850856349</v>
      </c>
      <c r="CM72" s="205">
        <f t="shared" ca="1" si="31"/>
        <v>3156.5846090047207</v>
      </c>
      <c r="CP72" s="180">
        <v>2036</v>
      </c>
      <c r="CQ72" s="22">
        <v>22</v>
      </c>
      <c r="CR72" s="181">
        <f t="shared" ca="1" si="32"/>
        <v>2079.0972973977018</v>
      </c>
      <c r="CS72" s="182">
        <f t="shared" ca="1" si="33"/>
        <v>1.4747274843554095</v>
      </c>
      <c r="CT72" s="205">
        <f t="shared" ca="1" si="34"/>
        <v>3066.1019271214436</v>
      </c>
      <c r="CZ72" s="164" t="b">
        <f t="shared" ca="1" si="4"/>
        <v>1</v>
      </c>
      <c r="DA72" s="165" t="b">
        <f t="shared" ca="1" si="4"/>
        <v>1</v>
      </c>
      <c r="DB72" s="166" t="b">
        <f t="shared" ca="1" si="4"/>
        <v>1</v>
      </c>
      <c r="DC72" s="164">
        <f t="shared" ca="1" si="16"/>
        <v>24</v>
      </c>
      <c r="DD72" s="166">
        <f t="shared" ca="1" si="5"/>
        <v>2771.5275624112687</v>
      </c>
      <c r="DE72" s="164">
        <f t="shared" ca="1" si="6"/>
        <v>24</v>
      </c>
      <c r="DF72" s="166">
        <f t="shared" ca="1" si="7"/>
        <v>3266.9786746974492</v>
      </c>
      <c r="DG72" s="164">
        <f t="shared" ca="1" si="8"/>
        <v>24</v>
      </c>
      <c r="DH72" s="166">
        <f t="shared" ca="1" si="9"/>
        <v>3762.4297869836296</v>
      </c>
      <c r="DI72" s="164">
        <f ca="1">IFERROR(INDEX(DC$46:DC$94,_xlfn.AGGREGATE(15,6,(ROW(DC$46:DC$94)-ROW(DC$46)+1)/(DC$46:DC$94&lt;&gt;""),ROWS(DI$1:DI27))),"")</f>
        <v>26</v>
      </c>
      <c r="DJ72" s="165">
        <f ca="1">IFERROR(INDEX(DD$46:DD$94,_xlfn.AGGREGATE(15,6,(ROW(DD$46:DD$94)-ROW(DD$46)+1)/(DD$46:DD$94&lt;&gt;""),ROWS(DJ$1:DJ27))),"")</f>
        <v>2863.4328869278906</v>
      </c>
      <c r="DK72" s="166">
        <f t="shared" ca="1" si="10"/>
        <v>72</v>
      </c>
      <c r="DL72" s="164">
        <f ca="1">IFERROR(INDEX(DE$46:DE$94,_xlfn.AGGREGATE(15,6,(ROW(DE$46:DE$94)-ROW(DE$46)+1)/(DE$46:DE$94&lt;&gt;""),ROWS(DL$1:DL27))),"")</f>
        <v>26</v>
      </c>
      <c r="DM72" s="165">
        <f ca="1">IFERROR(INDEX(DF$46:DF$94,_xlfn.AGGREGATE(15,6,(ROW(DF$46:DF$94)-ROW(DF$46)+1)/(DF$46:DF$94&lt;&gt;""),ROWS(DM$1:DM27))),"")</f>
        <v>3376.909941061584</v>
      </c>
      <c r="DN72" s="166">
        <f t="shared" ca="1" si="11"/>
        <v>72</v>
      </c>
      <c r="DO72" s="164">
        <f ca="1">IFERROR(INDEX(DG$46:DG$94,_xlfn.AGGREGATE(15,6,(ROW(DG$46:DG$94)-ROW(DG$46)+1)/(DG$46:DG$94&lt;&gt;""),ROWS(DO$1:DO27))),"")</f>
        <v>26</v>
      </c>
      <c r="DP72" s="165">
        <f ca="1">IFERROR(INDEX(DH$46:DH$94,_xlfn.AGGREGATE(15,6,(ROW(DH$46:DH$94)-ROW(DH$46)+1)/(DH$46:DH$94&lt;&gt;""),ROWS(DP$1:DP27))),"")</f>
        <v>3890.3869951952774</v>
      </c>
      <c r="DQ72" s="166">
        <f t="shared" ca="1" si="12"/>
        <v>72</v>
      </c>
      <c r="DV72" s="145">
        <v>2041</v>
      </c>
      <c r="DW72" s="146">
        <f t="shared" ca="1" si="13"/>
        <v>3433.3440206180148</v>
      </c>
      <c r="EU72" s="65"/>
      <c r="EV72" s="147"/>
    </row>
    <row r="73" spans="1:152" ht="13.8" x14ac:dyDescent="0.45">
      <c r="B73" s="128">
        <v>2039</v>
      </c>
      <c r="C73" s="175">
        <f>'Total MSW Summaries (Archive)'!C30</f>
        <v>3488.2972901554922</v>
      </c>
      <c r="D73" s="159">
        <f>'Total MSW Summaries (Archive)'!O30</f>
        <v>3513.2376099481321</v>
      </c>
      <c r="E73" s="151">
        <f>'Total MSW Summaries (Archive)'!AA30</f>
        <v>3971.5200000000023</v>
      </c>
      <c r="F73" s="152">
        <f>'Total MSW Summaries (Archive)'!AM30</f>
        <v>3337.9516624658163</v>
      </c>
      <c r="G73" s="159">
        <f>'Total MSW Summaries (Archive)'!AY30</f>
        <v>2302.5945945945959</v>
      </c>
      <c r="H73" s="204"/>
      <c r="I73" s="206"/>
      <c r="J73" s="207"/>
      <c r="K73" s="204"/>
      <c r="L73" s="206"/>
      <c r="M73" s="204"/>
      <c r="N73" s="29" t="s">
        <v>119</v>
      </c>
      <c r="P73" s="128"/>
      <c r="Q73" s="176">
        <f t="shared" ca="1" si="17"/>
        <v>3322.8189740206722</v>
      </c>
      <c r="R73" s="29">
        <v>25</v>
      </c>
      <c r="S73" s="154">
        <f t="shared" ca="1" si="0"/>
        <v>2302.5945945945959</v>
      </c>
      <c r="T73" s="154">
        <f t="shared" ca="1" si="1"/>
        <v>3971.5200000000023</v>
      </c>
      <c r="U73" s="154">
        <f t="shared" ca="1" si="14"/>
        <v>504.23904601147865</v>
      </c>
      <c r="W73" s="154">
        <f t="shared" ca="1" si="2"/>
        <v>2818.4976425193072</v>
      </c>
      <c r="X73" s="154">
        <f t="shared" ca="1" si="15"/>
        <v>3322.7366885307856</v>
      </c>
      <c r="Y73" s="154">
        <f t="shared" ca="1" si="3"/>
        <v>3826.975734542264</v>
      </c>
      <c r="AA73" s="133">
        <v>3322.7638164887076</v>
      </c>
      <c r="AB73" s="133">
        <v>3322.7638164887076</v>
      </c>
      <c r="AC73" s="133">
        <v>3322.7638164887076</v>
      </c>
      <c r="AD73" s="89"/>
      <c r="AE73" s="89"/>
      <c r="AF73" s="89"/>
      <c r="AG73" s="89"/>
      <c r="AH73" s="89"/>
      <c r="AI73" s="89"/>
      <c r="AJ73" s="89"/>
      <c r="AK73" s="89"/>
      <c r="AL73" s="89"/>
      <c r="AM73" s="89"/>
      <c r="AN73" s="89"/>
      <c r="BR73" s="180">
        <v>2037</v>
      </c>
      <c r="BS73" s="22">
        <v>23</v>
      </c>
      <c r="BT73" s="181">
        <f t="shared" ca="1" si="21"/>
        <v>1259.7425925655625</v>
      </c>
      <c r="BU73" s="182">
        <f t="shared" ca="1" si="22"/>
        <v>1950.2460259466402</v>
      </c>
      <c r="BV73" s="205">
        <f t="shared" ca="1" si="23"/>
        <v>3209.9886185122027</v>
      </c>
      <c r="BY73" s="180">
        <v>2037</v>
      </c>
      <c r="BZ73" s="22">
        <v>23</v>
      </c>
      <c r="CA73" s="198">
        <f t="shared" ca="1" si="24"/>
        <v>-5.7925993663186848</v>
      </c>
      <c r="CB73" s="198">
        <f t="shared" ca="1" si="25"/>
        <v>1271.3277912982005</v>
      </c>
      <c r="CC73" s="186">
        <f t="shared" ca="1" si="35"/>
        <v>1946.4682437512145</v>
      </c>
      <c r="CD73" s="205">
        <f t="shared" ca="1" si="26"/>
        <v>3212.0034356830965</v>
      </c>
      <c r="CG73" s="180">
        <v>2037</v>
      </c>
      <c r="CH73" s="22">
        <v>23</v>
      </c>
      <c r="CI73" s="198">
        <f t="shared" ca="1" si="27"/>
        <v>-23.466069524789603</v>
      </c>
      <c r="CJ73" s="198">
        <f t="shared" ca="1" si="28"/>
        <v>64.605609208050211</v>
      </c>
      <c r="CK73" s="198">
        <f t="shared" ca="1" si="29"/>
        <v>1215.6125109142006</v>
      </c>
      <c r="CL73" s="186">
        <f t="shared" ca="1" si="30"/>
        <v>1955.2513850856349</v>
      </c>
      <c r="CM73" s="205">
        <f t="shared" ca="1" si="31"/>
        <v>3212.0034356830961</v>
      </c>
      <c r="CP73" s="180">
        <v>2037</v>
      </c>
      <c r="CQ73" s="22">
        <v>23</v>
      </c>
      <c r="CR73" s="181">
        <f t="shared" ca="1" si="32"/>
        <v>2079.0972973977018</v>
      </c>
      <c r="CS73" s="182">
        <f t="shared" ca="1" si="33"/>
        <v>1.5009993052957458</v>
      </c>
      <c r="CT73" s="205">
        <f t="shared" ca="1" si="34"/>
        <v>3120.7235990362128</v>
      </c>
      <c r="CZ73" s="164" t="b">
        <f t="shared" ca="1" si="4"/>
        <v>1</v>
      </c>
      <c r="DA73" s="165" t="b">
        <f t="shared" ca="1" si="4"/>
        <v>1</v>
      </c>
      <c r="DB73" s="166" t="b">
        <f t="shared" ca="1" si="4"/>
        <v>1</v>
      </c>
      <c r="DC73" s="164">
        <f t="shared" ca="1" si="16"/>
        <v>25</v>
      </c>
      <c r="DD73" s="166">
        <f t="shared" ca="1" si="5"/>
        <v>2818.4976425193072</v>
      </c>
      <c r="DE73" s="164">
        <f t="shared" ca="1" si="6"/>
        <v>25</v>
      </c>
      <c r="DF73" s="166">
        <f t="shared" ca="1" si="7"/>
        <v>3322.7366885307856</v>
      </c>
      <c r="DG73" s="164">
        <f t="shared" ca="1" si="8"/>
        <v>25</v>
      </c>
      <c r="DH73" s="166">
        <f t="shared" ca="1" si="9"/>
        <v>3826.975734542264</v>
      </c>
      <c r="DI73" s="164">
        <f ca="1">IFERROR(INDEX(DC$46:DC$94,_xlfn.AGGREGATE(15,6,(ROW(DC$46:DC$94)-ROW(DC$46)+1)/(DC$46:DC$94&lt;&gt;""),ROWS(DI$1:DI28))),"")</f>
        <v>27</v>
      </c>
      <c r="DJ73" s="165">
        <f ca="1">IFERROR(INDEX(DD$46:DD$94,_xlfn.AGGREGATE(15,6,(ROW(DD$46:DD$94)-ROW(DD$46)+1)/(DD$46:DD$94&lt;&gt;""),ROWS(DJ$1:DJ28))),"")</f>
        <v>2911.600518794151</v>
      </c>
      <c r="DK73" s="166">
        <f t="shared" ca="1" si="10"/>
        <v>73</v>
      </c>
      <c r="DL73" s="164">
        <f ca="1">IFERROR(INDEX(DE$46:DE$94,_xlfn.AGGREGATE(15,6,(ROW(DE$46:DE$94)-ROW(DE$46)+1)/(DE$46:DE$94&lt;&gt;""),ROWS(DL$1:DL28))),"")</f>
        <v>27</v>
      </c>
      <c r="DM73" s="165">
        <f ca="1">IFERROR(INDEX(DF$46:DF$94,_xlfn.AGGREGATE(15,6,(ROW(DF$46:DF$94)-ROW(DF$46)+1)/(DF$46:DF$94&lt;&gt;""),ROWS(DM$1:DM28))),"")</f>
        <v>3434.7435377649194</v>
      </c>
      <c r="DN73" s="166">
        <f t="shared" ca="1" si="11"/>
        <v>73</v>
      </c>
      <c r="DO73" s="164">
        <f ca="1">IFERROR(INDEX(DG$46:DG$94,_xlfn.AGGREGATE(15,6,(ROW(DG$46:DG$94)-ROW(DG$46)+1)/(DG$46:DG$94&lt;&gt;""),ROWS(DO$1:DO28))),"")</f>
        <v>27</v>
      </c>
      <c r="DP73" s="165">
        <f ca="1">IFERROR(INDEX(DH$46:DH$94,_xlfn.AGGREGATE(15,6,(ROW(DH$46:DH$94)-ROW(DH$46)+1)/(DH$46:DH$94&lt;&gt;""),ROWS(DP$1:DP28))),"")</f>
        <v>3957.8865567356879</v>
      </c>
      <c r="DQ73" s="166">
        <f t="shared" ca="1" si="12"/>
        <v>73</v>
      </c>
      <c r="DV73" s="145">
        <v>2042</v>
      </c>
      <c r="DW73" s="146">
        <f t="shared" ca="1" si="13"/>
        <v>3488.5376264510101</v>
      </c>
      <c r="EU73" s="65"/>
      <c r="EV73" s="147"/>
    </row>
    <row r="74" spans="1:152" ht="13.8" x14ac:dyDescent="0.45">
      <c r="B74" s="128">
        <v>2040</v>
      </c>
      <c r="C74" s="175">
        <f>'Total MSW Summaries (Archive)'!C31</f>
        <v>3538.9081814341116</v>
      </c>
      <c r="D74" s="159">
        <f>'Total MSW Summaries (Archive)'!O31</f>
        <v>3601.129318096228</v>
      </c>
      <c r="E74" s="151">
        <f>'Total MSW Summaries (Archive)'!AA31</f>
        <v>4033.6520000000023</v>
      </c>
      <c r="F74" s="152">
        <f>'Total MSW Summaries (Archive)'!AM31</f>
        <v>3369.0887879842435</v>
      </c>
      <c r="G74" s="159">
        <f>'Total MSW Summaries (Archive)'!AY31</f>
        <v>2340.5405405405418</v>
      </c>
      <c r="H74" s="204"/>
      <c r="I74" s="206"/>
      <c r="J74" s="207"/>
      <c r="K74" s="204"/>
      <c r="L74" s="206"/>
      <c r="M74" s="204"/>
      <c r="N74" s="29" t="s">
        <v>119</v>
      </c>
      <c r="P74" s="128"/>
      <c r="Q74" s="176">
        <f t="shared" ca="1" si="17"/>
        <v>3378.1408183143781</v>
      </c>
      <c r="R74" s="29">
        <v>26</v>
      </c>
      <c r="S74" s="154">
        <f t="shared" ca="1" si="0"/>
        <v>2340.5405405405418</v>
      </c>
      <c r="T74" s="154">
        <f t="shared" ca="1" si="1"/>
        <v>4033.6520000000023</v>
      </c>
      <c r="U74" s="154">
        <f t="shared" ca="1" si="14"/>
        <v>513.47705413369351</v>
      </c>
      <c r="W74" s="154">
        <f t="shared" ca="1" si="2"/>
        <v>2863.4328869278906</v>
      </c>
      <c r="X74" s="154">
        <f t="shared" ca="1" si="15"/>
        <v>3376.909941061584</v>
      </c>
      <c r="Y74" s="154">
        <f t="shared" ca="1" si="3"/>
        <v>3890.3869951952774</v>
      </c>
      <c r="AA74" s="133">
        <v>3378.0822266335081</v>
      </c>
      <c r="AB74" s="133">
        <v>3378.0822266335081</v>
      </c>
      <c r="AC74" s="133">
        <v>3378.0822266335081</v>
      </c>
      <c r="AD74" s="89"/>
      <c r="AE74" s="89"/>
      <c r="AF74" s="89"/>
      <c r="AG74" s="89"/>
      <c r="AH74" s="89"/>
      <c r="AI74" s="89"/>
      <c r="AJ74" s="89"/>
      <c r="AK74" s="89"/>
      <c r="AL74" s="89"/>
      <c r="AM74" s="89"/>
      <c r="AN74" s="89"/>
      <c r="BR74" s="180">
        <v>2038</v>
      </c>
      <c r="BS74" s="22">
        <v>24</v>
      </c>
      <c r="BT74" s="181">
        <f t="shared" ca="1" si="21"/>
        <v>1314.5140096336306</v>
      </c>
      <c r="BU74" s="182">
        <f t="shared" ca="1" si="22"/>
        <v>1950.2460259466402</v>
      </c>
      <c r="BV74" s="205">
        <f t="shared" ca="1" si="23"/>
        <v>3264.7600355802706</v>
      </c>
      <c r="BY74" s="180">
        <v>2038</v>
      </c>
      <c r="BZ74" s="22">
        <v>24</v>
      </c>
      <c r="CA74" s="198">
        <f t="shared" ca="1" si="24"/>
        <v>-6.3072537523621222</v>
      </c>
      <c r="CB74" s="198">
        <f t="shared" ca="1" si="25"/>
        <v>1326.6029126589917</v>
      </c>
      <c r="CC74" s="186">
        <f t="shared" ca="1" si="35"/>
        <v>1946.4682437512145</v>
      </c>
      <c r="CD74" s="205">
        <f t="shared" ca="1" si="26"/>
        <v>3266.763902657844</v>
      </c>
      <c r="CG74" s="180">
        <v>2038</v>
      </c>
      <c r="CH74" s="22">
        <v>24</v>
      </c>
      <c r="CI74" s="198">
        <f t="shared" ca="1" si="27"/>
        <v>-26.661867766145434</v>
      </c>
      <c r="CJ74" s="198">
        <f t="shared" ca="1" si="28"/>
        <v>70.345616075306083</v>
      </c>
      <c r="CK74" s="198">
        <f t="shared" ca="1" si="29"/>
        <v>1268.4652287800354</v>
      </c>
      <c r="CL74" s="186">
        <f t="shared" ca="1" si="30"/>
        <v>1955.2513850856349</v>
      </c>
      <c r="CM74" s="205">
        <f t="shared" ca="1" si="31"/>
        <v>3267.4003621748307</v>
      </c>
      <c r="CP74" s="180">
        <v>2038</v>
      </c>
      <c r="CQ74" s="22">
        <v>24</v>
      </c>
      <c r="CR74" s="181">
        <f t="shared" ca="1" si="32"/>
        <v>2079.0972973977018</v>
      </c>
      <c r="CS74" s="182">
        <f t="shared" ca="1" si="33"/>
        <v>1.5277391507238895</v>
      </c>
      <c r="CT74" s="205">
        <f t="shared" ca="1" si="34"/>
        <v>3176.3183393986992</v>
      </c>
      <c r="CZ74" s="164" t="b">
        <f t="shared" ca="1" si="4"/>
        <v>1</v>
      </c>
      <c r="DA74" s="165" t="b">
        <f t="shared" ca="1" si="4"/>
        <v>1</v>
      </c>
      <c r="DB74" s="166" t="b">
        <f t="shared" ca="1" si="4"/>
        <v>1</v>
      </c>
      <c r="DC74" s="164">
        <f t="shared" ca="1" si="16"/>
        <v>26</v>
      </c>
      <c r="DD74" s="166">
        <f t="shared" ca="1" si="5"/>
        <v>2863.4328869278906</v>
      </c>
      <c r="DE74" s="164">
        <f t="shared" ca="1" si="6"/>
        <v>26</v>
      </c>
      <c r="DF74" s="166">
        <f t="shared" ca="1" si="7"/>
        <v>3376.909941061584</v>
      </c>
      <c r="DG74" s="164">
        <f t="shared" ca="1" si="8"/>
        <v>26</v>
      </c>
      <c r="DH74" s="166">
        <f t="shared" ca="1" si="9"/>
        <v>3890.3869951952774</v>
      </c>
      <c r="DI74" s="164">
        <f ca="1">IFERROR(INDEX(DC$46:DC$94,_xlfn.AGGREGATE(15,6,(ROW(DC$46:DC$94)-ROW(DC$46)+1)/(DC$46:DC$94&lt;&gt;""),ROWS(DI$1:DI29))),"")</f>
        <v>28</v>
      </c>
      <c r="DJ74" s="165">
        <f ca="1">IFERROR(INDEX(DD$46:DD$94,_xlfn.AGGREGATE(15,6,(ROW(DD$46:DD$94)-ROW(DD$46)+1)/(DD$46:DD$94&lt;&gt;""),ROWS(DJ$1:DJ29))),"")</f>
        <v>2956.3562842926094</v>
      </c>
      <c r="DK74" s="166">
        <f t="shared" ca="1" si="10"/>
        <v>74</v>
      </c>
      <c r="DL74" s="164">
        <f ca="1">IFERROR(INDEX(DE$46:DE$94,_xlfn.AGGREGATE(15,6,(ROW(DE$46:DE$94)-ROW(DE$46)+1)/(DE$46:DE$94&lt;&gt;""),ROWS(DL$1:DL29))),"")</f>
        <v>28</v>
      </c>
      <c r="DM74" s="165">
        <f ca="1">IFERROR(INDEX(DF$46:DF$94,_xlfn.AGGREGATE(15,6,(ROW(DF$46:DF$94)-ROW(DF$46)+1)/(DF$46:DF$94&lt;&gt;""),ROWS(DM$1:DM29))),"")</f>
        <v>3489.1487386467284</v>
      </c>
      <c r="DN74" s="166">
        <f t="shared" ca="1" si="11"/>
        <v>74</v>
      </c>
      <c r="DO74" s="164">
        <f ca="1">IFERROR(INDEX(DG$46:DG$94,_xlfn.AGGREGATE(15,6,(ROW(DG$46:DG$94)-ROW(DG$46)+1)/(DG$46:DG$94&lt;&gt;""),ROWS(DO$1:DO29))),"")</f>
        <v>28</v>
      </c>
      <c r="DP74" s="165">
        <f ca="1">IFERROR(INDEX(DH$46:DH$94,_xlfn.AGGREGATE(15,6,(ROW(DH$46:DH$94)-ROW(DH$46)+1)/(DH$46:DH$94&lt;&gt;""),ROWS(DP$1:DP29))),"")</f>
        <v>4021.9411930008473</v>
      </c>
      <c r="DQ74" s="166">
        <f t="shared" ca="1" si="12"/>
        <v>74</v>
      </c>
      <c r="DV74" s="145">
        <v>2043</v>
      </c>
      <c r="DW74" s="146">
        <f t="shared" ca="1" si="13"/>
        <v>3543.651472141275</v>
      </c>
      <c r="EA74" s="55"/>
      <c r="EB74" s="55"/>
      <c r="EC74" s="55"/>
      <c r="ED74" s="55"/>
      <c r="EE74" s="55"/>
      <c r="EU74" s="65"/>
      <c r="EV74" s="147"/>
    </row>
    <row r="75" spans="1:152" ht="13.8" x14ac:dyDescent="0.45">
      <c r="B75" s="128">
        <v>2041</v>
      </c>
      <c r="C75" s="175">
        <f>'Total MSW Summaries (Archive)'!C32</f>
        <v>3589.6193598194022</v>
      </c>
      <c r="D75" s="159">
        <f>'Total MSW Summaries (Archive)'!O32</f>
        <v>3690.166795165524</v>
      </c>
      <c r="E75" s="151">
        <f>'Total MSW Summaries (Archive)'!AA32</f>
        <v>4095.7840000000024</v>
      </c>
      <c r="F75" s="152">
        <f>'Total MSW Summaries (Archive)'!AM32</f>
        <v>3420.9991778965214</v>
      </c>
      <c r="G75" s="159">
        <f>'Total MSW Summaries (Archive)'!AY32</f>
        <v>2378.4864864864876</v>
      </c>
      <c r="H75" s="204"/>
      <c r="I75" s="206"/>
      <c r="J75" s="207"/>
      <c r="K75" s="204"/>
      <c r="L75" s="206"/>
      <c r="M75" s="204"/>
      <c r="N75" s="29" t="s">
        <v>119</v>
      </c>
      <c r="P75" s="128"/>
      <c r="Q75" s="176">
        <f t="shared" ca="1" si="17"/>
        <v>3433.4054072215777</v>
      </c>
      <c r="R75" s="29">
        <v>27</v>
      </c>
      <c r="S75" s="154">
        <f t="shared" ca="1" si="0"/>
        <v>2378.4864864864876</v>
      </c>
      <c r="T75" s="154">
        <f t="shared" ca="1" si="1"/>
        <v>4095.7840000000024</v>
      </c>
      <c r="U75" s="154">
        <f t="shared" ca="1" si="14"/>
        <v>523.14301897076871</v>
      </c>
      <c r="W75" s="154">
        <f t="shared" ca="1" si="2"/>
        <v>2911.600518794151</v>
      </c>
      <c r="X75" s="154">
        <f t="shared" ca="1" si="15"/>
        <v>3434.7435377649194</v>
      </c>
      <c r="Y75" s="154">
        <f t="shared" ca="1" si="3"/>
        <v>3957.8865567356879</v>
      </c>
      <c r="AA75" s="133">
        <v>3433.3440206180148</v>
      </c>
      <c r="AB75" s="133">
        <v>3433.3440206180148</v>
      </c>
      <c r="AC75" s="133">
        <v>3433.3440206180148</v>
      </c>
      <c r="AD75" s="89"/>
      <c r="AE75" s="89"/>
      <c r="AF75" s="89"/>
      <c r="AG75" s="89"/>
      <c r="AH75" s="89"/>
      <c r="AI75" s="89"/>
      <c r="AJ75" s="89"/>
      <c r="AK75" s="89"/>
      <c r="AL75" s="89"/>
      <c r="AM75" s="89"/>
      <c r="AN75" s="89"/>
      <c r="BR75" s="180">
        <v>2039</v>
      </c>
      <c r="BS75" s="22">
        <v>25</v>
      </c>
      <c r="BT75" s="181">
        <f t="shared" ca="1" si="21"/>
        <v>1369.2854267016985</v>
      </c>
      <c r="BU75" s="182">
        <f t="shared" ca="1" si="22"/>
        <v>1950.2460259466402</v>
      </c>
      <c r="BV75" s="205">
        <f t="shared" ca="1" si="23"/>
        <v>3319.5314526483389</v>
      </c>
      <c r="BY75" s="180">
        <v>2039</v>
      </c>
      <c r="BZ75" s="22">
        <v>25</v>
      </c>
      <c r="CA75" s="198">
        <f t="shared" ca="1" si="24"/>
        <v>-6.8438083250457051</v>
      </c>
      <c r="CB75" s="198">
        <f t="shared" ca="1" si="25"/>
        <v>1381.8780340197832</v>
      </c>
      <c r="CC75" s="186">
        <f t="shared" ca="1" si="35"/>
        <v>1946.4682437512145</v>
      </c>
      <c r="CD75" s="205">
        <f t="shared" ca="1" si="26"/>
        <v>3321.5024694459516</v>
      </c>
      <c r="CG75" s="180">
        <v>2039</v>
      </c>
      <c r="CH75" s="22">
        <v>25</v>
      </c>
      <c r="CI75" s="198">
        <f t="shared" ca="1" si="27"/>
        <v>-30.135393796731943</v>
      </c>
      <c r="CJ75" s="198">
        <f t="shared" ca="1" si="28"/>
        <v>76.329878553934563</v>
      </c>
      <c r="CK75" s="198">
        <f t="shared" ca="1" si="29"/>
        <v>1321.3179466458701</v>
      </c>
      <c r="CL75" s="186">
        <f t="shared" ca="1" si="30"/>
        <v>1955.2513850856349</v>
      </c>
      <c r="CM75" s="205">
        <f t="shared" ca="1" si="31"/>
        <v>3322.7638164887076</v>
      </c>
      <c r="CP75" s="180">
        <v>2039</v>
      </c>
      <c r="CQ75" s="22">
        <v>25</v>
      </c>
      <c r="CR75" s="181">
        <f t="shared" ca="1" si="32"/>
        <v>2079.0972973977018</v>
      </c>
      <c r="CS75" s="182">
        <f t="shared" ca="1" si="33"/>
        <v>1.5549553583535336</v>
      </c>
      <c r="CT75" s="205">
        <f t="shared" ca="1" si="34"/>
        <v>3232.9034831269068</v>
      </c>
      <c r="CZ75" s="164" t="b">
        <f t="shared" ca="1" si="4"/>
        <v>1</v>
      </c>
      <c r="DA75" s="165" t="b">
        <f t="shared" ca="1" si="4"/>
        <v>1</v>
      </c>
      <c r="DB75" s="166" t="b">
        <f t="shared" ca="1" si="4"/>
        <v>1</v>
      </c>
      <c r="DC75" s="164">
        <f t="shared" ca="1" si="16"/>
        <v>27</v>
      </c>
      <c r="DD75" s="166">
        <f t="shared" ca="1" si="5"/>
        <v>2911.600518794151</v>
      </c>
      <c r="DE75" s="164">
        <f t="shared" ca="1" si="6"/>
        <v>27</v>
      </c>
      <c r="DF75" s="166">
        <f t="shared" ca="1" si="7"/>
        <v>3434.7435377649194</v>
      </c>
      <c r="DG75" s="164">
        <f t="shared" ca="1" si="8"/>
        <v>27</v>
      </c>
      <c r="DH75" s="166">
        <f t="shared" ca="1" si="9"/>
        <v>3957.8865567356879</v>
      </c>
      <c r="DI75" s="164">
        <f ca="1">IFERROR(INDEX(DC$46:DC$94,_xlfn.AGGREGATE(15,6,(ROW(DC$46:DC$94)-ROW(DC$46)+1)/(DC$46:DC$94&lt;&gt;""),ROWS(DI$1:DI30))),"")</f>
        <v>29</v>
      </c>
      <c r="DJ75" s="165">
        <f ca="1">IFERROR(INDEX(DD$46:DD$94,_xlfn.AGGREGATE(15,6,(ROW(DD$46:DD$94)-ROW(DD$46)+1)/(DD$46:DD$94&lt;&gt;""),ROWS(DJ$1:DJ30))),"")</f>
        <v>3000.8121040285464</v>
      </c>
      <c r="DK75" s="166">
        <f t="shared" ca="1" si="10"/>
        <v>75</v>
      </c>
      <c r="DL75" s="164">
        <f ca="1">IFERROR(INDEX(DE$46:DE$94,_xlfn.AGGREGATE(15,6,(ROW(DE$46:DE$94)-ROW(DE$46)+1)/(DE$46:DE$94&lt;&gt;""),ROWS(DL$1:DL30))),"")</f>
        <v>29</v>
      </c>
      <c r="DM75" s="165">
        <f ca="1">IFERROR(INDEX(DF$46:DF$94,_xlfn.AGGREGATE(15,6,(ROW(DF$46:DF$94)-ROW(DF$46)+1)/(DF$46:DF$94&lt;&gt;""),ROWS(DM$1:DM30))),"")</f>
        <v>3543.6953583539216</v>
      </c>
      <c r="DN75" s="166">
        <f t="shared" ca="1" si="11"/>
        <v>75</v>
      </c>
      <c r="DO75" s="164">
        <f ca="1">IFERROR(INDEX(DG$46:DG$94,_xlfn.AGGREGATE(15,6,(ROW(DG$46:DG$94)-ROW(DG$46)+1)/(DG$46:DG$94&lt;&gt;""),ROWS(DO$1:DO30))),"")</f>
        <v>29</v>
      </c>
      <c r="DP75" s="165">
        <f ca="1">IFERROR(INDEX(DH$46:DH$94,_xlfn.AGGREGATE(15,6,(ROW(DH$46:DH$94)-ROW(DH$46)+1)/(DH$46:DH$94&lt;&gt;""),ROWS(DP$1:DP30))),"")</f>
        <v>4086.5786126792968</v>
      </c>
      <c r="DQ75" s="166">
        <f t="shared" ca="1" si="12"/>
        <v>75</v>
      </c>
      <c r="DV75" s="145">
        <v>2044</v>
      </c>
      <c r="DW75" s="146">
        <f t="shared" ca="1" si="13"/>
        <v>3598.6739856975919</v>
      </c>
      <c r="EA75" s="55"/>
      <c r="EB75" s="55"/>
      <c r="EC75" s="55"/>
      <c r="ED75" s="55"/>
      <c r="EE75" s="55"/>
      <c r="EU75" s="65"/>
      <c r="EV75" s="147"/>
    </row>
    <row r="76" spans="1:152" ht="13.8" x14ac:dyDescent="0.45">
      <c r="B76" s="128">
        <v>2042</v>
      </c>
      <c r="C76" s="175">
        <f>'Total MSW Summaries (Archive)'!C33</f>
        <v>3636.5866957961161</v>
      </c>
      <c r="D76" s="159">
        <f>'Total MSW Summaries (Archive)'!O33</f>
        <v>3776.5161096747238</v>
      </c>
      <c r="E76" s="151">
        <f>'Total MSW Summaries (Archive)'!AA33</f>
        <v>4157.916000000002</v>
      </c>
      <c r="F76" s="152">
        <f>'Total MSW Summaries (Archive)'!AM33</f>
        <v>3458.8400597978816</v>
      </c>
      <c r="G76" s="159">
        <f>'Total MSW Summaries (Archive)'!AY33</f>
        <v>2416.4324324324334</v>
      </c>
      <c r="H76" s="204"/>
      <c r="I76" s="206"/>
      <c r="J76" s="207"/>
      <c r="K76" s="204"/>
      <c r="L76" s="206"/>
      <c r="M76" s="204"/>
      <c r="N76" s="29" t="s">
        <v>119</v>
      </c>
      <c r="P76" s="128"/>
      <c r="Q76" s="176">
        <f t="shared" ca="1" si="17"/>
        <v>3488.60113417921</v>
      </c>
      <c r="R76" s="29">
        <v>28</v>
      </c>
      <c r="S76" s="154">
        <f t="shared" ca="1" si="0"/>
        <v>2416.4324324324334</v>
      </c>
      <c r="T76" s="154">
        <f t="shared" ca="1" si="1"/>
        <v>4157.916000000002</v>
      </c>
      <c r="U76" s="154">
        <f t="shared" ca="1" si="14"/>
        <v>532.79245435411917</v>
      </c>
      <c r="W76" s="154">
        <f t="shared" ca="1" si="2"/>
        <v>2956.3562842926094</v>
      </c>
      <c r="X76" s="154">
        <f t="shared" ca="1" si="15"/>
        <v>3489.1487386467284</v>
      </c>
      <c r="Y76" s="154">
        <f t="shared" ca="1" si="3"/>
        <v>4021.9411930008473</v>
      </c>
      <c r="AA76" s="133">
        <v>3488.5376264510101</v>
      </c>
      <c r="AB76" s="133">
        <v>3488.5376264510101</v>
      </c>
      <c r="AC76" s="133">
        <v>3488.5376264510101</v>
      </c>
      <c r="AD76" s="89"/>
      <c r="AE76" s="89"/>
      <c r="AF76" s="89"/>
      <c r="AG76" s="89"/>
      <c r="AH76" s="89"/>
      <c r="AI76" s="89"/>
      <c r="AJ76" s="89"/>
      <c r="AK76" s="89"/>
      <c r="AL76" s="89"/>
      <c r="AM76" s="89"/>
      <c r="AN76" s="89"/>
      <c r="BR76" s="180">
        <v>2040</v>
      </c>
      <c r="BS76" s="22">
        <v>26</v>
      </c>
      <c r="BT76" s="181">
        <f t="shared" ca="1" si="21"/>
        <v>1424.0568437697664</v>
      </c>
      <c r="BU76" s="182">
        <f t="shared" ca="1" si="22"/>
        <v>1950.2460259466402</v>
      </c>
      <c r="BV76" s="205">
        <f t="shared" ca="1" si="23"/>
        <v>3374.3028697164063</v>
      </c>
      <c r="BY76" s="180">
        <v>2040</v>
      </c>
      <c r="BZ76" s="22">
        <v>26</v>
      </c>
      <c r="CA76" s="198">
        <f t="shared" ca="1" si="24"/>
        <v>-7.4022630843694355</v>
      </c>
      <c r="CB76" s="198">
        <f t="shared" ca="1" si="25"/>
        <v>1437.1531553805744</v>
      </c>
      <c r="CC76" s="186">
        <f t="shared" ca="1" si="35"/>
        <v>1946.4682437512145</v>
      </c>
      <c r="CD76" s="205">
        <f t="shared" ca="1" si="26"/>
        <v>3376.2191360474194</v>
      </c>
      <c r="CG76" s="180">
        <v>2040</v>
      </c>
      <c r="CH76" s="22">
        <v>26</v>
      </c>
      <c r="CI76" s="198">
        <f t="shared" ca="1" si="27"/>
        <v>-33.898219607767082</v>
      </c>
      <c r="CJ76" s="198">
        <f t="shared" ca="1" si="28"/>
        <v>82.558396643935623</v>
      </c>
      <c r="CK76" s="198">
        <f t="shared" ca="1" si="29"/>
        <v>1374.1706645117049</v>
      </c>
      <c r="CL76" s="186">
        <f t="shared" ca="1" si="30"/>
        <v>1955.2513850856349</v>
      </c>
      <c r="CM76" s="205">
        <f t="shared" ca="1" si="31"/>
        <v>3378.0822266335081</v>
      </c>
      <c r="CP76" s="180">
        <v>2040</v>
      </c>
      <c r="CQ76" s="22">
        <v>26</v>
      </c>
      <c r="CR76" s="181">
        <f t="shared" ca="1" si="32"/>
        <v>2079.0972973977018</v>
      </c>
      <c r="CS76" s="182">
        <f t="shared" ca="1" si="33"/>
        <v>1.5826564144322004</v>
      </c>
      <c r="CT76" s="205">
        <f t="shared" ca="1" si="34"/>
        <v>3290.4966739551251</v>
      </c>
      <c r="CZ76" s="164" t="b">
        <f t="shared" ca="1" si="4"/>
        <v>1</v>
      </c>
      <c r="DA76" s="165" t="b">
        <f t="shared" ca="1" si="4"/>
        <v>1</v>
      </c>
      <c r="DB76" s="166" t="b">
        <f t="shared" ca="1" si="4"/>
        <v>1</v>
      </c>
      <c r="DC76" s="164">
        <f t="shared" ca="1" si="16"/>
        <v>28</v>
      </c>
      <c r="DD76" s="166">
        <f t="shared" ca="1" si="5"/>
        <v>2956.3562842926094</v>
      </c>
      <c r="DE76" s="164">
        <f t="shared" ca="1" si="6"/>
        <v>28</v>
      </c>
      <c r="DF76" s="166">
        <f t="shared" ca="1" si="7"/>
        <v>3489.1487386467284</v>
      </c>
      <c r="DG76" s="164">
        <f t="shared" ca="1" si="8"/>
        <v>28</v>
      </c>
      <c r="DH76" s="166">
        <f t="shared" ca="1" si="9"/>
        <v>4021.9411930008473</v>
      </c>
      <c r="DI76" s="164">
        <f ca="1">IFERROR(INDEX(DC$46:DC$94,_xlfn.AGGREGATE(15,6,(ROW(DC$46:DC$94)-ROW(DC$46)+1)/(DC$46:DC$94&lt;&gt;""),ROWS(DI$1:DI31))),"")</f>
        <v>30</v>
      </c>
      <c r="DJ76" s="165">
        <f ca="1">IFERROR(INDEX(DD$46:DD$94,_xlfn.AGGREGATE(15,6,(ROW(DD$46:DD$94)-ROW(DD$46)+1)/(DD$46:DD$94&lt;&gt;""),ROWS(DJ$1:DJ31))),"")</f>
        <v>3044.9701896129263</v>
      </c>
      <c r="DK76" s="166">
        <f t="shared" ca="1" si="10"/>
        <v>76</v>
      </c>
      <c r="DL76" s="164">
        <f ca="1">IFERROR(INDEX(DE$46:DE$94,_xlfn.AGGREGATE(15,6,(ROW(DE$46:DE$94)-ROW(DE$46)+1)/(DE$46:DE$94&lt;&gt;""),ROWS(DL$1:DL31))),"")</f>
        <v>30</v>
      </c>
      <c r="DM76" s="165">
        <f ca="1">IFERROR(INDEX(DF$46:DF$94,_xlfn.AGGREGATE(15,6,(ROW(DF$46:DF$94)-ROW(DF$46)+1)/(DF$46:DF$94&lt;&gt;""),ROWS(DM$1:DM31))),"")</f>
        <v>3598.3847679832675</v>
      </c>
      <c r="DN76" s="166">
        <f t="shared" ca="1" si="11"/>
        <v>76</v>
      </c>
      <c r="DO76" s="164">
        <f ca="1">IFERROR(INDEX(DG$46:DG$94,_xlfn.AGGREGATE(15,6,(ROW(DG$46:DG$94)-ROW(DG$46)+1)/(DG$46:DG$94&lt;&gt;""),ROWS(DO$1:DO31))),"")</f>
        <v>30</v>
      </c>
      <c r="DP76" s="165">
        <f ca="1">IFERROR(INDEX(DH$46:DH$94,_xlfn.AGGREGATE(15,6,(ROW(DH$46:DH$94)-ROW(DH$46)+1)/(DH$46:DH$94&lt;&gt;""),ROWS(DP$1:DP31))),"")</f>
        <v>4151.7993463536086</v>
      </c>
      <c r="DQ76" s="166">
        <f t="shared" ca="1" si="12"/>
        <v>76</v>
      </c>
      <c r="DV76" s="145">
        <v>2045</v>
      </c>
      <c r="DW76" s="146">
        <f t="shared" ca="1" si="13"/>
        <v>3653.5935951287433</v>
      </c>
      <c r="EA76" s="55"/>
      <c r="EB76" s="55"/>
      <c r="EC76" s="55"/>
      <c r="ED76" s="55"/>
      <c r="EE76" s="55"/>
      <c r="EU76" s="65"/>
      <c r="EV76" s="147"/>
    </row>
    <row r="77" spans="1:152" ht="13.8" x14ac:dyDescent="0.45">
      <c r="B77" s="128">
        <v>2043</v>
      </c>
      <c r="C77" s="175">
        <f>'Total MSW Summaries (Archive)'!C34</f>
        <v>3683.5828856065023</v>
      </c>
      <c r="D77" s="159">
        <f>'Total MSW Summaries (Archive)'!O34</f>
        <v>3863.8270850746271</v>
      </c>
      <c r="E77" s="151">
        <f>'Total MSW Summaries (Archive)'!AA34</f>
        <v>4220.0480000000016</v>
      </c>
      <c r="F77" s="152">
        <f>'Total MSW Summaries (Archive)'!AM34</f>
        <v>3496.6194084398057</v>
      </c>
      <c r="G77" s="159">
        <f>'Total MSW Summaries (Archive)'!AY34</f>
        <v>2454.3783783783792</v>
      </c>
      <c r="H77" s="204"/>
      <c r="I77" s="206"/>
      <c r="J77" s="207"/>
      <c r="K77" s="204"/>
      <c r="L77" s="206"/>
      <c r="M77" s="204"/>
      <c r="N77" s="29" t="s">
        <v>119</v>
      </c>
      <c r="P77" s="128"/>
      <c r="Q77" s="176">
        <f t="shared" ca="1" si="17"/>
        <v>3543.7163926242156</v>
      </c>
      <c r="R77" s="29">
        <v>29</v>
      </c>
      <c r="S77" s="154">
        <f t="shared" ca="1" si="0"/>
        <v>2454.3783783783792</v>
      </c>
      <c r="T77" s="154">
        <f t="shared" ca="1" si="1"/>
        <v>4220.0480000000016</v>
      </c>
      <c r="U77" s="154">
        <f t="shared" ca="1" si="14"/>
        <v>542.88325432537511</v>
      </c>
      <c r="W77" s="154">
        <f t="shared" ca="1" si="2"/>
        <v>3000.8121040285464</v>
      </c>
      <c r="X77" s="154">
        <f t="shared" ca="1" si="15"/>
        <v>3543.6953583539216</v>
      </c>
      <c r="Y77" s="154">
        <f t="shared" ca="1" si="3"/>
        <v>4086.5786126792968</v>
      </c>
      <c r="AA77" s="133">
        <v>3543.651472141275</v>
      </c>
      <c r="AB77" s="133">
        <v>3543.651472141275</v>
      </c>
      <c r="AC77" s="133">
        <v>3543.651472141275</v>
      </c>
      <c r="AD77" s="89"/>
      <c r="AE77" s="89"/>
      <c r="AF77" s="89"/>
      <c r="AG77" s="89"/>
      <c r="AH77" s="89"/>
      <c r="AI77" s="89"/>
      <c r="AJ77" s="89"/>
      <c r="AK77" s="89"/>
      <c r="AL77" s="89"/>
      <c r="AM77" s="89"/>
      <c r="AN77" s="89"/>
      <c r="BR77" s="180">
        <v>2041</v>
      </c>
      <c r="BS77" s="22">
        <v>27</v>
      </c>
      <c r="BT77" s="181">
        <f t="shared" ca="1" si="21"/>
        <v>1478.8282608378345</v>
      </c>
      <c r="BU77" s="182">
        <f t="shared" ca="1" si="22"/>
        <v>1950.2460259466402</v>
      </c>
      <c r="BV77" s="205">
        <f t="shared" ca="1" si="23"/>
        <v>3429.0742867844747</v>
      </c>
      <c r="BY77" s="180">
        <v>2041</v>
      </c>
      <c r="BZ77" s="22">
        <v>27</v>
      </c>
      <c r="CA77" s="198">
        <f t="shared" ca="1" si="24"/>
        <v>-7.9826180303333105</v>
      </c>
      <c r="CB77" s="198">
        <f t="shared" ca="1" si="25"/>
        <v>1492.4282767413658</v>
      </c>
      <c r="CC77" s="186">
        <f t="shared" ca="1" si="35"/>
        <v>1946.4682437512145</v>
      </c>
      <c r="CD77" s="205">
        <f t="shared" ca="1" si="26"/>
        <v>3430.9139024622473</v>
      </c>
      <c r="CG77" s="180">
        <v>2041</v>
      </c>
      <c r="CH77" s="22">
        <v>27</v>
      </c>
      <c r="CI77" s="198">
        <f t="shared" ca="1" si="27"/>
        <v>-37.961917190468789</v>
      </c>
      <c r="CJ77" s="198">
        <f t="shared" ca="1" si="28"/>
        <v>89.031170345309263</v>
      </c>
      <c r="CK77" s="198">
        <f t="shared" ca="1" si="29"/>
        <v>1427.0233823775397</v>
      </c>
      <c r="CL77" s="186">
        <f t="shared" ca="1" si="30"/>
        <v>1955.2513850856349</v>
      </c>
      <c r="CM77" s="205">
        <f t="shared" ca="1" si="31"/>
        <v>3433.3440206180148</v>
      </c>
      <c r="CP77" s="180">
        <v>2041</v>
      </c>
      <c r="CQ77" s="22">
        <v>27</v>
      </c>
      <c r="CR77" s="181">
        <f t="shared" ca="1" si="32"/>
        <v>2079.0972973977018</v>
      </c>
      <c r="CS77" s="182">
        <f t="shared" ca="1" si="33"/>
        <v>1.6108509563873274</v>
      </c>
      <c r="CT77" s="205">
        <f t="shared" ca="1" si="34"/>
        <v>3349.1158699353959</v>
      </c>
      <c r="CZ77" s="164" t="b">
        <f t="shared" ca="1" si="4"/>
        <v>1</v>
      </c>
      <c r="DA77" s="165" t="b">
        <f t="shared" ca="1" si="4"/>
        <v>1</v>
      </c>
      <c r="DB77" s="166" t="b">
        <f t="shared" ca="1" si="4"/>
        <v>1</v>
      </c>
      <c r="DC77" s="164">
        <f t="shared" ca="1" si="16"/>
        <v>29</v>
      </c>
      <c r="DD77" s="166">
        <f t="shared" ca="1" si="5"/>
        <v>3000.8121040285464</v>
      </c>
      <c r="DE77" s="164">
        <f t="shared" ca="1" si="6"/>
        <v>29</v>
      </c>
      <c r="DF77" s="166">
        <f t="shared" ca="1" si="7"/>
        <v>3543.6953583539216</v>
      </c>
      <c r="DG77" s="164">
        <f t="shared" ca="1" si="8"/>
        <v>29</v>
      </c>
      <c r="DH77" s="166">
        <f t="shared" ca="1" si="9"/>
        <v>4086.5786126792968</v>
      </c>
      <c r="DI77" s="164">
        <f ca="1">IFERROR(INDEX(DC$46:DC$94,_xlfn.AGGREGATE(15,6,(ROW(DC$46:DC$94)-ROW(DC$46)+1)/(DC$46:DC$94&lt;&gt;""),ROWS(DI$1:DI32))),"")</f>
        <v>31</v>
      </c>
      <c r="DJ77" s="165">
        <f ca="1">IFERROR(INDEX(DD$46:DD$94,_xlfn.AGGREGATE(15,6,(ROW(DD$46:DD$94)-ROW(DD$46)+1)/(DD$46:DD$94&lt;&gt;""),ROWS(DJ$1:DJ32))),"")</f>
        <v>3088.8963971138564</v>
      </c>
      <c r="DK77" s="166">
        <f t="shared" ca="1" si="10"/>
        <v>77</v>
      </c>
      <c r="DL77" s="164">
        <f ca="1">IFERROR(INDEX(DE$46:DE$94,_xlfn.AGGREGATE(15,6,(ROW(DE$46:DE$94)-ROW(DE$46)+1)/(DE$46:DE$94&lt;&gt;""),ROWS(DL$1:DL32))),"")</f>
        <v>31</v>
      </c>
      <c r="DM77" s="165">
        <f ca="1">IFERROR(INDEX(DF$46:DF$94,_xlfn.AGGREGATE(15,6,(ROW(DF$46:DF$94)-ROW(DF$46)+1)/(DF$46:DF$94&lt;&gt;""),ROWS(DM$1:DM32))),"")</f>
        <v>3653.2717133102269</v>
      </c>
      <c r="DN77" s="166">
        <f t="shared" ca="1" si="11"/>
        <v>77</v>
      </c>
      <c r="DO77" s="164">
        <f ca="1">IFERROR(INDEX(DG$46:DG$94,_xlfn.AGGREGATE(15,6,(ROW(DG$46:DG$94)-ROW(DG$46)+1)/(DG$46:DG$94&lt;&gt;""),ROWS(DO$1:DO32))),"")</f>
        <v>31</v>
      </c>
      <c r="DP77" s="165">
        <f ca="1">IFERROR(INDEX(DH$46:DH$94,_xlfn.AGGREGATE(15,6,(ROW(DH$46:DH$94)-ROW(DH$46)+1)/(DH$46:DH$94&lt;&gt;""),ROWS(DP$1:DP32))),"")</f>
        <v>4217.6470295065974</v>
      </c>
      <c r="DQ77" s="166">
        <f t="shared" ca="1" si="12"/>
        <v>77</v>
      </c>
      <c r="DV77" s="145">
        <v>2046</v>
      </c>
      <c r="DW77" s="146">
        <f t="shared" ca="1" si="13"/>
        <v>3708.3987284435111</v>
      </c>
      <c r="EA77" s="55"/>
      <c r="EB77" s="55"/>
      <c r="EC77" s="55"/>
      <c r="ED77" s="55"/>
      <c r="EE77" s="55"/>
      <c r="EU77" s="65"/>
      <c r="EV77" s="147"/>
    </row>
    <row r="78" spans="1:152" ht="13.8" x14ac:dyDescent="0.45">
      <c r="B78" s="128">
        <v>2044</v>
      </c>
      <c r="C78" s="175">
        <f>'Total MSW Summaries (Archive)'!C35</f>
        <v>3730.5835728635643</v>
      </c>
      <c r="D78" s="159">
        <f>'Total MSW Summaries (Archive)'!O35</f>
        <v>3952.0676415556154</v>
      </c>
      <c r="E78" s="151">
        <f>'Total MSW Summaries (Archive)'!AA35</f>
        <v>4282.1800000000012</v>
      </c>
      <c r="F78" s="152">
        <f>'Total MSW Summaries (Archive)'!AM35</f>
        <v>3534.4134931625713</v>
      </c>
      <c r="G78" s="159">
        <f>'Total MSW Summaries (Archive)'!AY35</f>
        <v>2492.3243243243251</v>
      </c>
      <c r="H78" s="204"/>
      <c r="I78" s="206"/>
      <c r="J78" s="207"/>
      <c r="K78" s="204"/>
      <c r="L78" s="206"/>
      <c r="M78" s="204"/>
      <c r="N78" s="29" t="s">
        <v>119</v>
      </c>
      <c r="P78" s="128"/>
      <c r="Q78" s="176">
        <f t="shared" ca="1" si="17"/>
        <v>3598.739575993533</v>
      </c>
      <c r="R78" s="29">
        <v>30</v>
      </c>
      <c r="S78" s="154">
        <f t="shared" ca="1" si="0"/>
        <v>2492.3243243243251</v>
      </c>
      <c r="T78" s="154">
        <f t="shared" ca="1" si="1"/>
        <v>4282.1800000000012</v>
      </c>
      <c r="U78" s="154">
        <f t="shared" ca="1" si="14"/>
        <v>553.41457837034125</v>
      </c>
      <c r="W78" s="154">
        <f t="shared" ca="1" si="2"/>
        <v>3044.9701896129263</v>
      </c>
      <c r="X78" s="154">
        <f t="shared" ca="1" si="15"/>
        <v>3598.3847679832675</v>
      </c>
      <c r="Y78" s="154">
        <f t="shared" ca="1" si="3"/>
        <v>4151.7993463536086</v>
      </c>
      <c r="AA78" s="133">
        <v>3598.6739856975919</v>
      </c>
      <c r="AB78" s="133">
        <v>3598.6739856975919</v>
      </c>
      <c r="AC78" s="133">
        <v>3598.6739856975919</v>
      </c>
      <c r="AD78" s="89"/>
      <c r="AE78" s="89"/>
      <c r="AF78" s="89"/>
      <c r="AG78" s="89"/>
      <c r="AH78" s="89"/>
      <c r="AI78" s="89"/>
      <c r="AJ78" s="89"/>
      <c r="AK78" s="89"/>
      <c r="AL78" s="89"/>
      <c r="AM78" s="89"/>
      <c r="AN78" s="89"/>
      <c r="BR78" s="180">
        <v>2042</v>
      </c>
      <c r="BS78" s="22">
        <v>28</v>
      </c>
      <c r="BT78" s="181">
        <f t="shared" ca="1" si="21"/>
        <v>1533.5996779059024</v>
      </c>
      <c r="BU78" s="182">
        <f t="shared" ca="1" si="22"/>
        <v>1950.2460259466402</v>
      </c>
      <c r="BV78" s="205">
        <f t="shared" ca="1" si="23"/>
        <v>3483.8457038525426</v>
      </c>
      <c r="BY78" s="180">
        <v>2042</v>
      </c>
      <c r="BZ78" s="22">
        <v>28</v>
      </c>
      <c r="CA78" s="198">
        <f t="shared" ca="1" si="24"/>
        <v>-8.5848731629373329</v>
      </c>
      <c r="CB78" s="198">
        <f t="shared" ca="1" si="25"/>
        <v>1547.7033981021571</v>
      </c>
      <c r="CC78" s="186">
        <f t="shared" ca="1" si="35"/>
        <v>1946.4682437512145</v>
      </c>
      <c r="CD78" s="205">
        <f t="shared" ca="1" si="26"/>
        <v>3485.5867686904339</v>
      </c>
      <c r="CG78" s="180">
        <v>2042</v>
      </c>
      <c r="CH78" s="22">
        <v>28</v>
      </c>
      <c r="CI78" s="198">
        <f t="shared" ca="1" si="27"/>
        <v>-42.338058536055016</v>
      </c>
      <c r="CJ78" s="198">
        <f t="shared" ca="1" si="28"/>
        <v>95.748199658055512</v>
      </c>
      <c r="CK78" s="198">
        <f t="shared" ca="1" si="29"/>
        <v>1479.8761002433746</v>
      </c>
      <c r="CL78" s="186">
        <f t="shared" ca="1" si="30"/>
        <v>1955.2513850856349</v>
      </c>
      <c r="CM78" s="205">
        <f t="shared" ca="1" si="31"/>
        <v>3488.5376264510101</v>
      </c>
      <c r="CP78" s="180">
        <v>2042</v>
      </c>
      <c r="CQ78" s="22">
        <v>28</v>
      </c>
      <c r="CR78" s="181">
        <f t="shared" ca="1" si="32"/>
        <v>2079.0972973977018</v>
      </c>
      <c r="CS78" s="182">
        <f t="shared" ca="1" si="33"/>
        <v>1.6395477755194907</v>
      </c>
      <c r="CT78" s="205">
        <f t="shared" ca="1" si="34"/>
        <v>3408.7793490369872</v>
      </c>
      <c r="CZ78" s="164" t="b">
        <f t="shared" ca="1" si="4"/>
        <v>1</v>
      </c>
      <c r="DA78" s="165" t="b">
        <f t="shared" ca="1" si="4"/>
        <v>1</v>
      </c>
      <c r="DB78" s="166" t="b">
        <f t="shared" ca="1" si="4"/>
        <v>1</v>
      </c>
      <c r="DC78" s="164">
        <f t="shared" ca="1" si="16"/>
        <v>30</v>
      </c>
      <c r="DD78" s="166">
        <f t="shared" ca="1" si="5"/>
        <v>3044.9701896129263</v>
      </c>
      <c r="DE78" s="164">
        <f t="shared" ca="1" si="6"/>
        <v>30</v>
      </c>
      <c r="DF78" s="166">
        <f t="shared" ca="1" si="7"/>
        <v>3598.3847679832675</v>
      </c>
      <c r="DG78" s="164">
        <f t="shared" ca="1" si="8"/>
        <v>30</v>
      </c>
      <c r="DH78" s="166">
        <f t="shared" ca="1" si="9"/>
        <v>4151.7993463536086</v>
      </c>
      <c r="DI78" s="164">
        <f ca="1">IFERROR(INDEX(DC$46:DC$94,_xlfn.AGGREGATE(15,6,(ROW(DC$46:DC$94)-ROW(DC$46)+1)/(DC$46:DC$94&lt;&gt;""),ROWS(DI$1:DI33))),"")</f>
        <v>32</v>
      </c>
      <c r="DJ78" s="165">
        <f ca="1">IFERROR(INDEX(DD$46:DD$94,_xlfn.AGGREGATE(15,6,(ROW(DD$46:DD$94)-ROW(DD$46)+1)/(DD$46:DD$94&lt;&gt;""),ROWS(DJ$1:DJ33))),"")</f>
        <v>3708.4632912528627</v>
      </c>
      <c r="DK78" s="166">
        <f t="shared" ca="1" si="10"/>
        <v>78</v>
      </c>
      <c r="DL78" s="164">
        <f ca="1">IFERROR(INDEX(DE$46:DE$94,_xlfn.AGGREGATE(15,6,(ROW(DE$46:DE$94)-ROW(DE$46)+1)/(DE$46:DE$94&lt;&gt;""),ROWS(DL$1:DL33))),"")</f>
        <v>32</v>
      </c>
      <c r="DM78" s="165">
        <f ca="1">IFERROR(INDEX(DF$46:DF$94,_xlfn.AGGREGATE(15,6,(ROW(DF$46:DF$94)-ROW(DF$46)+1)/(DF$46:DF$94&lt;&gt;""),ROWS(DM$1:DM33))),"")</f>
        <v>3708.4632912528627</v>
      </c>
      <c r="DN78" s="166">
        <f t="shared" ca="1" si="11"/>
        <v>78</v>
      </c>
      <c r="DO78" s="164">
        <f ca="1">IFERROR(INDEX(DG$46:DG$94,_xlfn.AGGREGATE(15,6,(ROW(DG$46:DG$94)-ROW(DG$46)+1)/(DG$46:DG$94&lt;&gt;""),ROWS(DO$1:DO33))),"")</f>
        <v>32</v>
      </c>
      <c r="DP78" s="165">
        <f ca="1">IFERROR(INDEX(DH$46:DH$94,_xlfn.AGGREGATE(15,6,(ROW(DH$46:DH$94)-ROW(DH$46)+1)/(DH$46:DH$94&lt;&gt;""),ROWS(DP$1:DP33))),"")</f>
        <v>3708.4632912528627</v>
      </c>
      <c r="DQ78" s="166">
        <f t="shared" ca="1" si="12"/>
        <v>78</v>
      </c>
      <c r="DV78" s="145">
        <v>2047</v>
      </c>
      <c r="DW78" s="146">
        <f t="shared" ca="1" si="13"/>
        <v>3763.0778136506769</v>
      </c>
      <c r="EA78" s="55"/>
      <c r="EB78" s="55"/>
      <c r="EC78" s="55"/>
      <c r="ED78" s="55"/>
      <c r="EE78" s="55"/>
      <c r="EU78" s="65"/>
      <c r="EV78" s="147"/>
    </row>
    <row r="79" spans="1:152" ht="13.8" x14ac:dyDescent="0.45">
      <c r="B79" s="128">
        <v>2045</v>
      </c>
      <c r="C79" s="175">
        <f>'Total MSW Summaries (Archive)'!C36</f>
        <v>3777.5665635388659</v>
      </c>
      <c r="D79" s="159">
        <f>'Total MSW Summaries (Archive)'!O36</f>
        <v>4041.2064385327394</v>
      </c>
      <c r="E79" s="151">
        <f>'Total MSW Summaries (Archive)'!AA36</f>
        <v>4344.3120000000008</v>
      </c>
      <c r="F79" s="152">
        <f>'Total MSW Summaries (Archive)'!AM36</f>
        <v>3572.6159297953818</v>
      </c>
      <c r="G79" s="159">
        <f>'Total MSW Summaries (Archive)'!AY36</f>
        <v>2530.2702702702709</v>
      </c>
      <c r="H79" s="204"/>
      <c r="I79" s="206"/>
      <c r="J79" s="207"/>
      <c r="K79" s="204"/>
      <c r="L79" s="206"/>
      <c r="M79" s="204"/>
      <c r="N79" s="29" t="s">
        <v>119</v>
      </c>
      <c r="P79" s="128"/>
      <c r="Q79" s="176">
        <f t="shared" ca="1" si="17"/>
        <v>3653.6590777241026</v>
      </c>
      <c r="R79" s="29">
        <v>31</v>
      </c>
      <c r="S79" s="154">
        <f t="shared" ca="1" si="0"/>
        <v>2530.2702702702709</v>
      </c>
      <c r="T79" s="154">
        <f t="shared" ca="1" si="1"/>
        <v>4344.3120000000008</v>
      </c>
      <c r="U79" s="154">
        <f t="shared" ca="1" si="14"/>
        <v>564.3753161963707</v>
      </c>
      <c r="W79" s="154">
        <f t="shared" ca="1" si="2"/>
        <v>3088.8963971138564</v>
      </c>
      <c r="X79" s="154">
        <f t="shared" ca="1" si="15"/>
        <v>3653.2717133102269</v>
      </c>
      <c r="Y79" s="154">
        <f t="shared" ca="1" si="3"/>
        <v>4217.6470295065974</v>
      </c>
      <c r="AA79" s="133">
        <v>3653.5935951287433</v>
      </c>
      <c r="AB79" s="133">
        <v>3653.5935951287433</v>
      </c>
      <c r="AC79" s="133">
        <v>3653.5935951287433</v>
      </c>
      <c r="AD79" s="89"/>
      <c r="AE79" s="89"/>
      <c r="AF79" s="89"/>
      <c r="AG79" s="89"/>
      <c r="AH79" s="89"/>
      <c r="AI79" s="89"/>
      <c r="AJ79" s="89"/>
      <c r="AK79" s="89"/>
      <c r="AL79" s="89"/>
      <c r="AM79" s="89"/>
      <c r="AN79" s="89"/>
      <c r="BR79" s="180">
        <v>2043</v>
      </c>
      <c r="BS79" s="22">
        <v>29</v>
      </c>
      <c r="BT79" s="181">
        <f t="shared" ca="1" si="21"/>
        <v>1588.3710949739702</v>
      </c>
      <c r="BU79" s="182">
        <f t="shared" ca="1" si="22"/>
        <v>1950.2460259466402</v>
      </c>
      <c r="BV79" s="205">
        <f t="shared" ca="1" si="23"/>
        <v>3538.6171209206104</v>
      </c>
      <c r="BY79" s="180">
        <v>2043</v>
      </c>
      <c r="BZ79" s="22">
        <v>29</v>
      </c>
      <c r="CA79" s="198">
        <f t="shared" ca="1" si="24"/>
        <v>-9.2090284821815018</v>
      </c>
      <c r="CB79" s="198">
        <f t="shared" ca="1" si="25"/>
        <v>1602.9785194629485</v>
      </c>
      <c r="CC79" s="186">
        <f t="shared" ca="1" si="35"/>
        <v>1946.4682437512145</v>
      </c>
      <c r="CD79" s="205">
        <f t="shared" ca="1" si="26"/>
        <v>3540.2377347319816</v>
      </c>
      <c r="CG79" s="180">
        <v>2043</v>
      </c>
      <c r="CH79" s="22">
        <v>29</v>
      </c>
      <c r="CI79" s="198">
        <f t="shared" ca="1" si="27"/>
        <v>-47.038215635743704</v>
      </c>
      <c r="CJ79" s="198">
        <f t="shared" ca="1" si="28"/>
        <v>102.70948458217434</v>
      </c>
      <c r="CK79" s="198">
        <f t="shared" ca="1" si="29"/>
        <v>1532.7288181092094</v>
      </c>
      <c r="CL79" s="186">
        <f t="shared" ca="1" si="30"/>
        <v>1955.2513850856349</v>
      </c>
      <c r="CM79" s="205">
        <f t="shared" ca="1" si="31"/>
        <v>3543.651472141275</v>
      </c>
      <c r="CP79" s="180">
        <v>2043</v>
      </c>
      <c r="CQ79" s="22">
        <v>29</v>
      </c>
      <c r="CR79" s="181">
        <f t="shared" ca="1" si="32"/>
        <v>2079.0972973977018</v>
      </c>
      <c r="CS79" s="182">
        <f t="shared" ca="1" si="33"/>
        <v>1.6687558197436085</v>
      </c>
      <c r="CT79" s="205">
        <f t="shared" ca="1" si="34"/>
        <v>3469.5057148456231</v>
      </c>
      <c r="CZ79" s="164" t="b">
        <f t="shared" ca="1" si="4"/>
        <v>1</v>
      </c>
      <c r="DA79" s="165" t="b">
        <f t="shared" ca="1" si="4"/>
        <v>1</v>
      </c>
      <c r="DB79" s="166" t="b">
        <f t="shared" ca="1" si="4"/>
        <v>1</v>
      </c>
      <c r="DC79" s="164">
        <f t="shared" ca="1" si="16"/>
        <v>31</v>
      </c>
      <c r="DD79" s="166">
        <f t="shared" ca="1" si="5"/>
        <v>3088.8963971138564</v>
      </c>
      <c r="DE79" s="164">
        <f t="shared" ca="1" si="6"/>
        <v>31</v>
      </c>
      <c r="DF79" s="166">
        <f t="shared" ca="1" si="7"/>
        <v>3653.2717133102269</v>
      </c>
      <c r="DG79" s="164">
        <f t="shared" ca="1" si="8"/>
        <v>31</v>
      </c>
      <c r="DH79" s="166">
        <f t="shared" ca="1" si="9"/>
        <v>4217.6470295065974</v>
      </c>
      <c r="DI79" s="164">
        <f ca="1">IFERROR(INDEX(DC$46:DC$94,_xlfn.AGGREGATE(15,6,(ROW(DC$46:DC$94)-ROW(DC$46)+1)/(DC$46:DC$94&lt;&gt;""),ROWS(DI$1:DI34))),"")</f>
        <v>33</v>
      </c>
      <c r="DJ79" s="165">
        <f ca="1">IFERROR(INDEX(DD$46:DD$94,_xlfn.AGGREGATE(15,6,(ROW(DD$46:DD$94)-ROW(DD$46)+1)/(DD$46:DD$94&lt;&gt;""),ROWS(DJ$1:DJ34))),"")</f>
        <v>3763.1406100167542</v>
      </c>
      <c r="DK79" s="166">
        <f t="shared" ca="1" si="10"/>
        <v>79</v>
      </c>
      <c r="DL79" s="164">
        <f ca="1">IFERROR(INDEX(DE$46:DE$94,_xlfn.AGGREGATE(15,6,(ROW(DE$46:DE$94)-ROW(DE$46)+1)/(DE$46:DE$94&lt;&gt;""),ROWS(DL$1:DL34))),"")</f>
        <v>33</v>
      </c>
      <c r="DM79" s="165">
        <f ca="1">IFERROR(INDEX(DF$46:DF$94,_xlfn.AGGREGATE(15,6,(ROW(DF$46:DF$94)-ROW(DF$46)+1)/(DF$46:DF$94&lt;&gt;""),ROWS(DM$1:DM34))),"")</f>
        <v>3763.1406100167542</v>
      </c>
      <c r="DN79" s="166">
        <f t="shared" ca="1" si="11"/>
        <v>79</v>
      </c>
      <c r="DO79" s="164">
        <f ca="1">IFERROR(INDEX(DG$46:DG$94,_xlfn.AGGREGATE(15,6,(ROW(DG$46:DG$94)-ROW(DG$46)+1)/(DG$46:DG$94&lt;&gt;""),ROWS(DO$1:DO34))),"")</f>
        <v>33</v>
      </c>
      <c r="DP79" s="165">
        <f ca="1">IFERROR(INDEX(DH$46:DH$94,_xlfn.AGGREGATE(15,6,(ROW(DH$46:DH$94)-ROW(DH$46)+1)/(DH$46:DH$94&lt;&gt;""),ROWS(DP$1:DP34))),"")</f>
        <v>3763.1406100167542</v>
      </c>
      <c r="DQ79" s="166">
        <f t="shared" ca="1" si="12"/>
        <v>79</v>
      </c>
      <c r="DV79" s="145">
        <v>2048</v>
      </c>
      <c r="DW79" s="146">
        <f t="shared" ca="1" si="13"/>
        <v>3817.6192787590235</v>
      </c>
      <c r="EA79" s="55"/>
      <c r="EB79" s="55"/>
      <c r="EC79" s="55"/>
      <c r="ED79" s="55"/>
      <c r="EE79" s="55"/>
      <c r="EU79" s="65"/>
      <c r="EV79" s="147"/>
    </row>
    <row r="80" spans="1:152" ht="13.8" x14ac:dyDescent="0.45">
      <c r="B80" s="128">
        <v>2046</v>
      </c>
      <c r="C80" s="175"/>
      <c r="D80" s="159"/>
      <c r="E80" s="151"/>
      <c r="F80" s="152"/>
      <c r="G80" s="159"/>
      <c r="H80" s="204"/>
      <c r="I80" s="206"/>
      <c r="J80" s="207"/>
      <c r="K80" s="204"/>
      <c r="L80" s="206"/>
      <c r="M80" s="204"/>
      <c r="N80" s="29" t="s">
        <v>119</v>
      </c>
      <c r="P80" s="128"/>
      <c r="Q80" s="176">
        <f t="shared" ca="1" si="17"/>
        <v>3708.4632912528627</v>
      </c>
      <c r="R80" s="29">
        <v>32</v>
      </c>
      <c r="S80" s="154">
        <f t="shared" ca="1" si="0"/>
        <v>3708.4632912528627</v>
      </c>
      <c r="T80" s="154">
        <f t="shared" ca="1" si="1"/>
        <v>3708.4632912528627</v>
      </c>
      <c r="U80" s="154">
        <f t="shared" ca="1" si="14"/>
        <v>0</v>
      </c>
      <c r="W80" s="154">
        <f t="shared" ca="1" si="2"/>
        <v>3708.4632912528627</v>
      </c>
      <c r="X80" s="154">
        <f t="shared" ca="1" si="15"/>
        <v>3708.4632912528627</v>
      </c>
      <c r="Y80" s="154">
        <f t="shared" ca="1" si="3"/>
        <v>3708.4632912528627</v>
      </c>
      <c r="AA80" s="133">
        <v>3708.3987284435111</v>
      </c>
      <c r="AB80" s="133">
        <v>3708.3987284435111</v>
      </c>
      <c r="AC80" s="133">
        <v>3708.3987284435111</v>
      </c>
      <c r="AD80" s="89"/>
      <c r="AE80" s="89"/>
      <c r="AF80" s="89"/>
      <c r="AG80" s="89"/>
      <c r="AH80" s="89"/>
      <c r="AI80" s="89"/>
      <c r="AJ80" s="89"/>
      <c r="AK80" s="89"/>
      <c r="AL80" s="89"/>
      <c r="AM80" s="89"/>
      <c r="AN80" s="89"/>
      <c r="BR80" s="180">
        <v>2044</v>
      </c>
      <c r="BS80" s="22">
        <v>30</v>
      </c>
      <c r="BT80" s="181">
        <f t="shared" ca="1" si="21"/>
        <v>1643.1425120420381</v>
      </c>
      <c r="BU80" s="182">
        <f t="shared" ca="1" si="22"/>
        <v>1950.2460259466402</v>
      </c>
      <c r="BV80" s="205">
        <f t="shared" ca="1" si="23"/>
        <v>3593.3885379886783</v>
      </c>
      <c r="BY80" s="180">
        <v>2044</v>
      </c>
      <c r="BZ80" s="22">
        <v>30</v>
      </c>
      <c r="CA80" s="198">
        <f t="shared" ca="1" si="24"/>
        <v>-9.8550839880658163</v>
      </c>
      <c r="CB80" s="198">
        <f t="shared" ca="1" si="25"/>
        <v>1658.2536408237397</v>
      </c>
      <c r="CC80" s="186">
        <f t="shared" ca="1" si="35"/>
        <v>1946.4682437512145</v>
      </c>
      <c r="CD80" s="205">
        <f t="shared" ca="1" si="26"/>
        <v>3594.8668005868885</v>
      </c>
      <c r="CG80" s="180">
        <v>2044</v>
      </c>
      <c r="CH80" s="22">
        <v>30</v>
      </c>
      <c r="CI80" s="198">
        <f t="shared" ca="1" si="27"/>
        <v>-52.073960480752795</v>
      </c>
      <c r="CJ80" s="198">
        <f t="shared" ca="1" si="28"/>
        <v>109.91502511766576</v>
      </c>
      <c r="CK80" s="198">
        <f t="shared" ca="1" si="29"/>
        <v>1585.5815359750441</v>
      </c>
      <c r="CL80" s="186">
        <f t="shared" ca="1" si="30"/>
        <v>1955.2513850856349</v>
      </c>
      <c r="CM80" s="205">
        <f t="shared" ca="1" si="31"/>
        <v>3598.6739856975919</v>
      </c>
      <c r="CP80" s="180">
        <v>2044</v>
      </c>
      <c r="CQ80" s="22">
        <v>30</v>
      </c>
      <c r="CR80" s="181">
        <f t="shared" ca="1" si="32"/>
        <v>2079.0972973977018</v>
      </c>
      <c r="CS80" s="182">
        <f t="shared" ca="1" si="33"/>
        <v>1.6984841963789776</v>
      </c>
      <c r="CT80" s="205">
        <f t="shared" ca="1" si="34"/>
        <v>3531.3139023642398</v>
      </c>
      <c r="CZ80" s="164" t="b">
        <f t="shared" ca="1" si="4"/>
        <v>1</v>
      </c>
      <c r="DA80" s="165" t="b">
        <f t="shared" ca="1" si="4"/>
        <v>1</v>
      </c>
      <c r="DB80" s="166" t="b">
        <f t="shared" ca="1" si="4"/>
        <v>1</v>
      </c>
      <c r="DC80" s="164">
        <f t="shared" ca="1" si="16"/>
        <v>32</v>
      </c>
      <c r="DD80" s="166">
        <f t="shared" ca="1" si="5"/>
        <v>3708.4632912528627</v>
      </c>
      <c r="DE80" s="164">
        <f t="shared" ca="1" si="6"/>
        <v>32</v>
      </c>
      <c r="DF80" s="166">
        <f t="shared" ca="1" si="7"/>
        <v>3708.4632912528627</v>
      </c>
      <c r="DG80" s="164">
        <f t="shared" ca="1" si="8"/>
        <v>32</v>
      </c>
      <c r="DH80" s="166">
        <f t="shared" ca="1" si="9"/>
        <v>3708.4632912528627</v>
      </c>
      <c r="DI80" s="164">
        <f ca="1">IFERROR(INDEX(DC$46:DC$94,_xlfn.AGGREGATE(15,6,(ROW(DC$46:DC$94)-ROW(DC$46)+1)/(DC$46:DC$94&lt;&gt;""),ROWS(DI$1:DI35))),"")</f>
        <v>34</v>
      </c>
      <c r="DJ80" s="165">
        <f ca="1">IFERROR(INDEX(DD$46:DD$94,_xlfn.AGGREGATE(15,6,(ROW(DD$46:DD$94)-ROW(DD$46)+1)/(DD$46:DD$94&lt;&gt;""),ROWS(DJ$1:DJ35))),"")</f>
        <v>3817.6794274527156</v>
      </c>
      <c r="DK80" s="166">
        <f t="shared" ca="1" si="10"/>
        <v>80</v>
      </c>
      <c r="DL80" s="164">
        <f ca="1">IFERROR(INDEX(DE$46:DE$94,_xlfn.AGGREGATE(15,6,(ROW(DE$46:DE$94)-ROW(DE$46)+1)/(DE$46:DE$94&lt;&gt;""),ROWS(DL$1:DL35))),"")</f>
        <v>34</v>
      </c>
      <c r="DM80" s="165">
        <f ca="1">IFERROR(INDEX(DF$46:DF$94,_xlfn.AGGREGATE(15,6,(ROW(DF$46:DF$94)-ROW(DF$46)+1)/(DF$46:DF$94&lt;&gt;""),ROWS(DM$1:DM35))),"")</f>
        <v>3817.6794274527156</v>
      </c>
      <c r="DN80" s="166">
        <f t="shared" ca="1" si="11"/>
        <v>80</v>
      </c>
      <c r="DO80" s="164">
        <f ca="1">IFERROR(INDEX(DG$46:DG$94,_xlfn.AGGREGATE(15,6,(ROW(DG$46:DG$94)-ROW(DG$46)+1)/(DG$46:DG$94&lt;&gt;""),ROWS(DO$1:DO35))),"")</f>
        <v>34</v>
      </c>
      <c r="DP80" s="165">
        <f ca="1">IFERROR(INDEX(DH$46:DH$94,_xlfn.AGGREGATE(15,6,(ROW(DH$46:DH$94)-ROW(DH$46)+1)/(DH$46:DH$94&lt;&gt;""),ROWS(DP$1:DP35))),"")</f>
        <v>3817.6794274527156</v>
      </c>
      <c r="DQ80" s="166">
        <f t="shared" ca="1" si="12"/>
        <v>80</v>
      </c>
      <c r="DV80" s="145">
        <v>2049</v>
      </c>
      <c r="DW80" s="146">
        <f t="shared" ca="1" si="13"/>
        <v>3872.011551777332</v>
      </c>
      <c r="EA80" s="55"/>
      <c r="EB80" s="55"/>
      <c r="EC80" s="55"/>
      <c r="ED80" s="55"/>
      <c r="EE80" s="55"/>
      <c r="EU80" s="65"/>
      <c r="EV80" s="147"/>
    </row>
    <row r="81" spans="1:152" ht="13.8" x14ac:dyDescent="0.45">
      <c r="B81" s="128">
        <v>2047</v>
      </c>
      <c r="C81" s="175"/>
      <c r="D81" s="159"/>
      <c r="E81" s="151"/>
      <c r="F81" s="152"/>
      <c r="G81" s="159"/>
      <c r="H81" s="204"/>
      <c r="I81" s="206"/>
      <c r="J81" s="207"/>
      <c r="K81" s="204"/>
      <c r="L81" s="206"/>
      <c r="M81" s="204"/>
      <c r="N81" s="29" t="s">
        <v>119</v>
      </c>
      <c r="P81" s="128"/>
      <c r="Q81" s="176">
        <f t="shared" ca="1" si="17"/>
        <v>3763.1406100167542</v>
      </c>
      <c r="R81" s="29">
        <v>33</v>
      </c>
      <c r="S81" s="154">
        <f t="shared" ca="1" si="0"/>
        <v>3763.1406100167542</v>
      </c>
      <c r="T81" s="154">
        <f t="shared" ca="1" si="1"/>
        <v>3763.1406100167542</v>
      </c>
      <c r="U81" s="154">
        <f t="shared" ca="1" si="14"/>
        <v>0</v>
      </c>
      <c r="W81" s="154">
        <f t="shared" ca="1" si="2"/>
        <v>3763.1406100167542</v>
      </c>
      <c r="X81" s="154">
        <f t="shared" ca="1" si="15"/>
        <v>3763.1406100167542</v>
      </c>
      <c r="Y81" s="154">
        <f t="shared" ca="1" si="3"/>
        <v>3763.1406100167542</v>
      </c>
      <c r="AA81" s="133">
        <v>3763.0778136506769</v>
      </c>
      <c r="AB81" s="133">
        <v>3763.0778136506769</v>
      </c>
      <c r="AC81" s="133">
        <v>3763.0778136506769</v>
      </c>
      <c r="AD81" s="89"/>
      <c r="AE81" s="89"/>
      <c r="AF81" s="89"/>
      <c r="AG81" s="89"/>
      <c r="AH81" s="89"/>
      <c r="AI81" s="89"/>
      <c r="AJ81" s="89"/>
      <c r="AK81" s="89"/>
      <c r="AL81" s="89"/>
      <c r="AM81" s="89"/>
      <c r="AN81" s="89"/>
      <c r="BR81" s="180">
        <v>2045</v>
      </c>
      <c r="BS81" s="22">
        <v>31</v>
      </c>
      <c r="BT81" s="181">
        <f t="shared" ca="1" si="21"/>
        <v>1697.9139291101062</v>
      </c>
      <c r="BU81" s="182">
        <f t="shared" ca="1" si="22"/>
        <v>1950.2460259466402</v>
      </c>
      <c r="BV81" s="205">
        <f t="shared" ca="1" si="23"/>
        <v>3648.1599550567462</v>
      </c>
      <c r="BY81" s="180">
        <v>2045</v>
      </c>
      <c r="BZ81" s="22">
        <v>31</v>
      </c>
      <c r="CA81" s="198">
        <f t="shared" ca="1" si="24"/>
        <v>-10.523039680590276</v>
      </c>
      <c r="CB81" s="198">
        <f t="shared" ca="1" si="25"/>
        <v>1713.5287621845312</v>
      </c>
      <c r="CC81" s="198">
        <f t="shared" ca="1" si="35"/>
        <v>1946.4682437512145</v>
      </c>
      <c r="CD81" s="205">
        <f t="shared" ca="1" si="26"/>
        <v>3649.4739662551556</v>
      </c>
      <c r="CG81" s="180">
        <v>2045</v>
      </c>
      <c r="CH81" s="22">
        <v>31</v>
      </c>
      <c r="CI81" s="198">
        <f t="shared" ca="1" si="27"/>
        <v>-57.456865062300245</v>
      </c>
      <c r="CJ81" s="198">
        <f t="shared" ca="1" si="28"/>
        <v>117.36482126452978</v>
      </c>
      <c r="CK81" s="198">
        <f t="shared" ca="1" si="29"/>
        <v>1638.4342538408789</v>
      </c>
      <c r="CL81" s="198">
        <f t="shared" ca="1" si="30"/>
        <v>1955.2513850856349</v>
      </c>
      <c r="CM81" s="205">
        <f t="shared" ca="1" si="31"/>
        <v>3653.5935951287433</v>
      </c>
      <c r="CP81" s="180">
        <v>2045</v>
      </c>
      <c r="CQ81" s="22">
        <v>31</v>
      </c>
      <c r="CR81" s="181">
        <f t="shared" ca="1" si="32"/>
        <v>2079.0972973977018</v>
      </c>
      <c r="CS81" s="182">
        <f t="shared" ca="1" si="33"/>
        <v>1.7287421749890144</v>
      </c>
      <c r="CT81" s="205">
        <f t="shared" ca="1" si="34"/>
        <v>3594.223183917085</v>
      </c>
      <c r="CZ81" s="164" t="b">
        <f t="shared" ca="1" si="4"/>
        <v>1</v>
      </c>
      <c r="DA81" s="165" t="b">
        <f t="shared" ca="1" si="4"/>
        <v>1</v>
      </c>
      <c r="DB81" s="166" t="b">
        <f t="shared" ca="1" si="4"/>
        <v>1</v>
      </c>
      <c r="DC81" s="164">
        <f t="shared" ca="1" si="16"/>
        <v>33</v>
      </c>
      <c r="DD81" s="166">
        <f t="shared" ca="1" si="5"/>
        <v>3763.1406100167542</v>
      </c>
      <c r="DE81" s="164">
        <f t="shared" ca="1" si="6"/>
        <v>33</v>
      </c>
      <c r="DF81" s="166">
        <f t="shared" ca="1" si="7"/>
        <v>3763.1406100167542</v>
      </c>
      <c r="DG81" s="164">
        <f t="shared" ca="1" si="8"/>
        <v>33</v>
      </c>
      <c r="DH81" s="166">
        <f t="shared" ca="1" si="9"/>
        <v>3763.1406100167542</v>
      </c>
      <c r="DI81" s="164">
        <f ca="1">IFERROR(INDEX(DC$46:DC$94,_xlfn.AGGREGATE(15,6,(ROW(DC$46:DC$94)-ROW(DC$46)+1)/(DC$46:DC$94&lt;&gt;""),ROWS(DI$1:DI36))),"")</f>
        <v>35</v>
      </c>
      <c r="DJ81" s="165">
        <f ca="1">IFERROR(INDEX(DD$46:DD$94,_xlfn.AGGREGATE(15,6,(ROW(DD$46:DD$94)-ROW(DD$46)+1)/(DD$46:DD$94&lt;&gt;""),ROWS(DJ$1:DJ36))),"")</f>
        <v>3872.0681369976869</v>
      </c>
      <c r="DK81" s="166">
        <f t="shared" ca="1" si="10"/>
        <v>81</v>
      </c>
      <c r="DL81" s="164">
        <f ca="1">IFERROR(INDEX(DE$46:DE$94,_xlfn.AGGREGATE(15,6,(ROW(DE$46:DE$94)-ROW(DE$46)+1)/(DE$46:DE$94&lt;&gt;""),ROWS(DL$1:DL36))),"")</f>
        <v>35</v>
      </c>
      <c r="DM81" s="165">
        <f ca="1">IFERROR(INDEX(DF$46:DF$94,_xlfn.AGGREGATE(15,6,(ROW(DF$46:DF$94)-ROW(DF$46)+1)/(DF$46:DF$94&lt;&gt;""),ROWS(DM$1:DM36))),"")</f>
        <v>3872.0681369976869</v>
      </c>
      <c r="DN81" s="166">
        <f t="shared" ca="1" si="11"/>
        <v>81</v>
      </c>
      <c r="DO81" s="164">
        <f ca="1">IFERROR(INDEX(DG$46:DG$94,_xlfn.AGGREGATE(15,6,(ROW(DG$46:DG$94)-ROW(DG$46)+1)/(DG$46:DG$94&lt;&gt;""),ROWS(DO$1:DO36))),"")</f>
        <v>35</v>
      </c>
      <c r="DP81" s="165">
        <f ca="1">IFERROR(INDEX(DH$46:DH$94,_xlfn.AGGREGATE(15,6,(ROW(DH$46:DH$94)-ROW(DH$46)+1)/(DH$46:DH$94&lt;&gt;""),ROWS(DP$1:DP36))),"")</f>
        <v>3872.0681369976869</v>
      </c>
      <c r="DQ81" s="166">
        <f t="shared" ca="1" si="12"/>
        <v>81</v>
      </c>
      <c r="DV81" s="145">
        <v>2050</v>
      </c>
      <c r="DW81" s="146">
        <f t="shared" ca="1" si="13"/>
        <v>3926.2430607143856</v>
      </c>
      <c r="EA81" s="55"/>
      <c r="EB81" s="55"/>
      <c r="EC81" s="55"/>
      <c r="ED81" s="55"/>
      <c r="EE81" s="55"/>
      <c r="EU81" s="65"/>
      <c r="EV81" s="147"/>
    </row>
    <row r="82" spans="1:152" ht="13.8" x14ac:dyDescent="0.45">
      <c r="B82" s="128">
        <v>2048</v>
      </c>
      <c r="C82" s="175"/>
      <c r="D82" s="159"/>
      <c r="E82" s="151"/>
      <c r="F82" s="152"/>
      <c r="G82" s="159"/>
      <c r="H82" s="204"/>
      <c r="I82" s="206"/>
      <c r="J82" s="207"/>
      <c r="K82" s="204"/>
      <c r="L82" s="206"/>
      <c r="M82" s="204"/>
      <c r="N82" s="29" t="s">
        <v>119</v>
      </c>
      <c r="P82" s="128"/>
      <c r="Q82" s="176">
        <f t="shared" ca="1" si="17"/>
        <v>3817.6794274527156</v>
      </c>
      <c r="R82" s="29">
        <v>34</v>
      </c>
      <c r="S82" s="154">
        <f t="shared" ca="1" si="0"/>
        <v>3817.6794274527156</v>
      </c>
      <c r="T82" s="154">
        <f t="shared" ca="1" si="1"/>
        <v>3817.6794274527156</v>
      </c>
      <c r="U82" s="154">
        <f t="shared" ca="1" si="14"/>
        <v>0</v>
      </c>
      <c r="W82" s="154">
        <f t="shared" ca="1" si="2"/>
        <v>3817.6794274527156</v>
      </c>
      <c r="X82" s="154">
        <f t="shared" ca="1" si="15"/>
        <v>3817.6794274527156</v>
      </c>
      <c r="Y82" s="154">
        <f t="shared" ca="1" si="3"/>
        <v>3817.6794274527156</v>
      </c>
      <c r="AA82" s="133">
        <v>3817.6192787590235</v>
      </c>
      <c r="AB82" s="133">
        <v>3817.6192787590235</v>
      </c>
      <c r="AC82" s="133">
        <v>3817.6192787590235</v>
      </c>
      <c r="AD82" s="89"/>
      <c r="AE82" s="89"/>
      <c r="AF82" s="89"/>
      <c r="AG82" s="89"/>
      <c r="AH82" s="89"/>
      <c r="AI82" s="89"/>
      <c r="AJ82" s="89"/>
      <c r="AK82" s="89"/>
      <c r="AL82" s="89"/>
      <c r="AM82" s="89"/>
      <c r="AN82" s="89"/>
      <c r="BR82" s="180">
        <v>2046</v>
      </c>
      <c r="BS82" s="22">
        <v>32</v>
      </c>
      <c r="BT82" s="181">
        <f t="shared" ca="1" si="21"/>
        <v>1752.6853461781741</v>
      </c>
      <c r="BU82" s="182">
        <f t="shared" ca="1" si="22"/>
        <v>1950.2460259466402</v>
      </c>
      <c r="BV82" s="205">
        <f t="shared" ca="1" si="23"/>
        <v>3702.9313721248145</v>
      </c>
      <c r="BY82" s="180">
        <v>2046</v>
      </c>
      <c r="BZ82" s="22">
        <v>32</v>
      </c>
      <c r="CA82" s="198">
        <f t="shared" ca="1" si="24"/>
        <v>-11.212895559754884</v>
      </c>
      <c r="CB82" s="198">
        <f t="shared" ca="1" si="25"/>
        <v>1768.8038835453224</v>
      </c>
      <c r="CC82" s="198">
        <f t="shared" ca="1" si="35"/>
        <v>1946.4682437512145</v>
      </c>
      <c r="CD82" s="205">
        <f t="shared" ca="1" si="26"/>
        <v>3704.0592317367818</v>
      </c>
      <c r="CG82" s="180">
        <v>2046</v>
      </c>
      <c r="CH82" s="22">
        <v>32</v>
      </c>
      <c r="CI82" s="198">
        <f t="shared" ca="1" si="27"/>
        <v>-63.198501371603989</v>
      </c>
      <c r="CJ82" s="198">
        <f t="shared" ca="1" si="28"/>
        <v>125.05887302276638</v>
      </c>
      <c r="CK82" s="198">
        <f t="shared" ca="1" si="29"/>
        <v>1691.2869717067138</v>
      </c>
      <c r="CL82" s="198">
        <f t="shared" ca="1" si="30"/>
        <v>1955.2513850856349</v>
      </c>
      <c r="CM82" s="205">
        <f t="shared" ca="1" si="31"/>
        <v>3708.3987284435111</v>
      </c>
      <c r="CP82" s="180">
        <v>2046</v>
      </c>
      <c r="CQ82" s="22">
        <v>32</v>
      </c>
      <c r="CR82" s="181">
        <f t="shared" ca="1" si="32"/>
        <v>2079.0972973977018</v>
      </c>
      <c r="CS82" s="182">
        <f t="shared" ca="1" si="33"/>
        <v>1.759539190271584</v>
      </c>
      <c r="CT82" s="205">
        <f t="shared" ca="1" si="34"/>
        <v>3658.2531751589909</v>
      </c>
      <c r="CZ82" s="164" t="b">
        <f t="shared" ca="1" si="4"/>
        <v>1</v>
      </c>
      <c r="DA82" s="165" t="b">
        <f t="shared" ca="1" si="4"/>
        <v>1</v>
      </c>
      <c r="DB82" s="166" t="b">
        <f t="shared" ca="1" si="4"/>
        <v>1</v>
      </c>
      <c r="DC82" s="164">
        <f t="shared" ca="1" si="16"/>
        <v>34</v>
      </c>
      <c r="DD82" s="166">
        <f t="shared" ca="1" si="5"/>
        <v>3817.6794274527156</v>
      </c>
      <c r="DE82" s="164">
        <f t="shared" ca="1" si="6"/>
        <v>34</v>
      </c>
      <c r="DF82" s="166">
        <f t="shared" ca="1" si="7"/>
        <v>3817.6794274527156</v>
      </c>
      <c r="DG82" s="164">
        <f t="shared" ca="1" si="8"/>
        <v>34</v>
      </c>
      <c r="DH82" s="166">
        <f t="shared" ca="1" si="9"/>
        <v>3817.6794274527156</v>
      </c>
      <c r="DI82" s="164">
        <f ca="1">IFERROR(INDEX(DC$46:DC$94,_xlfn.AGGREGATE(15,6,(ROW(DC$46:DC$94)-ROW(DC$46)+1)/(DC$46:DC$94&lt;&gt;""),ROWS(DI$1:DI37))),"")</f>
        <v>36</v>
      </c>
      <c r="DJ82" s="165">
        <f ca="1">IFERROR(INDEX(DD$46:DD$94,_xlfn.AGGREGATE(15,6,(ROW(DD$46:DD$94)-ROW(DD$46)+1)/(DD$46:DD$94&lt;&gt;""),ROWS(DJ$1:DJ37))),"")</f>
        <v>3926.2951320886077</v>
      </c>
      <c r="DK82" s="166">
        <f t="shared" ca="1" si="10"/>
        <v>82</v>
      </c>
      <c r="DL82" s="164">
        <f ca="1">IFERROR(INDEX(DE$46:DE$94,_xlfn.AGGREGATE(15,6,(ROW(DE$46:DE$94)-ROW(DE$46)+1)/(DE$46:DE$94&lt;&gt;""),ROWS(DL$1:DL37))),"")</f>
        <v>36</v>
      </c>
      <c r="DM82" s="165">
        <f ca="1">IFERROR(INDEX(DF$46:DF$94,_xlfn.AGGREGATE(15,6,(ROW(DF$46:DF$94)-ROW(DF$46)+1)/(DF$46:DF$94&lt;&gt;""),ROWS(DM$1:DM37))),"")</f>
        <v>3926.2951320886077</v>
      </c>
      <c r="DN82" s="166">
        <f t="shared" ca="1" si="11"/>
        <v>82</v>
      </c>
      <c r="DO82" s="164">
        <f ca="1">IFERROR(INDEX(DG$46:DG$94,_xlfn.AGGREGATE(15,6,(ROW(DG$46:DG$94)-ROW(DG$46)+1)/(DG$46:DG$94&lt;&gt;""),ROWS(DO$1:DO37))),"")</f>
        <v>36</v>
      </c>
      <c r="DP82" s="165">
        <f ca="1">IFERROR(INDEX(DH$46:DH$94,_xlfn.AGGREGATE(15,6,(ROW(DH$46:DH$94)-ROW(DH$46)+1)/(DH$46:DH$94&lt;&gt;""),ROWS(DP$1:DP37))),"")</f>
        <v>3926.2951320886077</v>
      </c>
      <c r="DQ82" s="166">
        <f t="shared" ca="1" si="12"/>
        <v>82</v>
      </c>
      <c r="DV82" s="145">
        <v>2051</v>
      </c>
      <c r="DW82" s="146">
        <f t="shared" ca="1" si="13"/>
        <v>3980.3022335789656</v>
      </c>
      <c r="EA82" s="55"/>
      <c r="EB82" s="55"/>
      <c r="EC82" s="55"/>
      <c r="ED82" s="55"/>
      <c r="EE82" s="55"/>
      <c r="EU82" s="65"/>
      <c r="EV82" s="147"/>
    </row>
    <row r="83" spans="1:152" ht="13.8" x14ac:dyDescent="0.45">
      <c r="B83" s="128">
        <v>2049</v>
      </c>
      <c r="C83" s="175"/>
      <c r="D83" s="159"/>
      <c r="E83" s="151"/>
      <c r="F83" s="152"/>
      <c r="G83" s="159"/>
      <c r="H83" s="204"/>
      <c r="I83" s="206"/>
      <c r="J83" s="207"/>
      <c r="K83" s="204"/>
      <c r="L83" s="206"/>
      <c r="M83" s="204"/>
      <c r="N83" s="29" t="s">
        <v>119</v>
      </c>
      <c r="P83" s="128"/>
      <c r="Q83" s="176">
        <f t="shared" ca="1" si="17"/>
        <v>3872.0681369976869</v>
      </c>
      <c r="R83" s="29">
        <v>35</v>
      </c>
      <c r="S83" s="154">
        <f t="shared" ca="1" si="0"/>
        <v>3872.0681369976869</v>
      </c>
      <c r="T83" s="154">
        <f t="shared" ca="1" si="1"/>
        <v>3872.0681369976869</v>
      </c>
      <c r="U83" s="154">
        <f t="shared" ca="1" si="14"/>
        <v>0</v>
      </c>
      <c r="W83" s="154">
        <f t="shared" ca="1" si="2"/>
        <v>3872.0681369976869</v>
      </c>
      <c r="X83" s="154">
        <f t="shared" ca="1" si="15"/>
        <v>3872.0681369976869</v>
      </c>
      <c r="Y83" s="154">
        <f t="shared" ca="1" si="3"/>
        <v>3872.0681369976869</v>
      </c>
      <c r="AA83" s="133">
        <v>3872.011551777332</v>
      </c>
      <c r="AB83" s="133">
        <v>3872.011551777332</v>
      </c>
      <c r="AC83" s="133">
        <v>3872.011551777332</v>
      </c>
      <c r="AD83" s="89"/>
      <c r="AE83" s="89"/>
      <c r="AF83" s="89"/>
      <c r="AG83" s="89"/>
      <c r="AH83" s="89"/>
      <c r="AI83" s="89"/>
      <c r="AJ83" s="89"/>
      <c r="AK83" s="89"/>
      <c r="AL83" s="89"/>
      <c r="AM83" s="89"/>
      <c r="AN83" s="89"/>
      <c r="BR83" s="180">
        <v>2047</v>
      </c>
      <c r="BS83" s="22">
        <v>33</v>
      </c>
      <c r="BT83" s="181">
        <f t="shared" ca="1" si="21"/>
        <v>1807.456763246242</v>
      </c>
      <c r="BU83" s="182">
        <f t="shared" ca="1" si="22"/>
        <v>1950.2460259466402</v>
      </c>
      <c r="BV83" s="205">
        <f t="shared" ca="1" si="23"/>
        <v>3757.7027891928819</v>
      </c>
      <c r="BY83" s="180">
        <v>2047</v>
      </c>
      <c r="BZ83" s="22">
        <v>33</v>
      </c>
      <c r="CA83" s="198">
        <f t="shared" ca="1" si="24"/>
        <v>-11.924651625559637</v>
      </c>
      <c r="CB83" s="198">
        <f t="shared" ca="1" si="25"/>
        <v>1824.0790049061136</v>
      </c>
      <c r="CC83" s="198">
        <f t="shared" ca="1" si="35"/>
        <v>1946.4682437512145</v>
      </c>
      <c r="CD83" s="205">
        <f t="shared" ca="1" si="26"/>
        <v>3758.6225970317682</v>
      </c>
      <c r="CG83" s="180">
        <v>2047</v>
      </c>
      <c r="CH83" s="22">
        <v>33</v>
      </c>
      <c r="CI83" s="198">
        <f t="shared" ca="1" si="27"/>
        <v>-69.310441399881981</v>
      </c>
      <c r="CJ83" s="198">
        <f t="shared" ca="1" si="28"/>
        <v>132.99718039237558</v>
      </c>
      <c r="CK83" s="198">
        <f t="shared" ca="1" si="29"/>
        <v>1744.1396895725486</v>
      </c>
      <c r="CL83" s="198">
        <f t="shared" ca="1" si="30"/>
        <v>1955.2513850856349</v>
      </c>
      <c r="CM83" s="205">
        <f t="shared" ca="1" si="31"/>
        <v>3763.0778136506769</v>
      </c>
      <c r="CP83" s="180">
        <v>2047</v>
      </c>
      <c r="CQ83" s="22">
        <v>33</v>
      </c>
      <c r="CR83" s="181">
        <f t="shared" ca="1" si="32"/>
        <v>2079.0972973977018</v>
      </c>
      <c r="CS83" s="182">
        <f t="shared" ca="1" si="33"/>
        <v>1.7908848450008201</v>
      </c>
      <c r="CT83" s="205">
        <f t="shared" ca="1" si="34"/>
        <v>3723.4238411917072</v>
      </c>
      <c r="CZ83" s="164" t="b">
        <f t="shared" ca="1" si="4"/>
        <v>1</v>
      </c>
      <c r="DA83" s="165" t="b">
        <f t="shared" ca="1" si="4"/>
        <v>1</v>
      </c>
      <c r="DB83" s="166" t="b">
        <f t="shared" ca="1" si="4"/>
        <v>1</v>
      </c>
      <c r="DC83" s="164">
        <f t="shared" ca="1" si="16"/>
        <v>35</v>
      </c>
      <c r="DD83" s="166">
        <f t="shared" ca="1" si="5"/>
        <v>3872.0681369976869</v>
      </c>
      <c r="DE83" s="164">
        <f t="shared" ca="1" si="6"/>
        <v>35</v>
      </c>
      <c r="DF83" s="166">
        <f t="shared" ca="1" si="7"/>
        <v>3872.0681369976869</v>
      </c>
      <c r="DG83" s="164">
        <f t="shared" ca="1" si="8"/>
        <v>35</v>
      </c>
      <c r="DH83" s="166">
        <f t="shared" ca="1" si="9"/>
        <v>3872.0681369976869</v>
      </c>
      <c r="DI83" s="164">
        <f ca="1">IFERROR(INDEX(DC$46:DC$94,_xlfn.AGGREGATE(15,6,(ROW(DC$46:DC$94)-ROW(DC$46)+1)/(DC$46:DC$94&lt;&gt;""),ROWS(DI$1:DI38))),"")</f>
        <v>37</v>
      </c>
      <c r="DJ83" s="165">
        <f ca="1">IFERROR(INDEX(DD$46:DD$94,_xlfn.AGGREGATE(15,6,(ROW(DD$46:DD$94)-ROW(DD$46)+1)/(DD$46:DD$94&lt;&gt;""),ROWS(DJ$1:DJ38))),"")</f>
        <v>3980.3488061624171</v>
      </c>
      <c r="DK83" s="166">
        <f t="shared" ca="1" si="10"/>
        <v>83</v>
      </c>
      <c r="DL83" s="164">
        <f ca="1">IFERROR(INDEX(DE$46:DE$94,_xlfn.AGGREGATE(15,6,(ROW(DE$46:DE$94)-ROW(DE$46)+1)/(DE$46:DE$94&lt;&gt;""),ROWS(DL$1:DL38))),"")</f>
        <v>37</v>
      </c>
      <c r="DM83" s="165">
        <f ca="1">IFERROR(INDEX(DF$46:DF$94,_xlfn.AGGREGATE(15,6,(ROW(DF$46:DF$94)-ROW(DF$46)+1)/(DF$46:DF$94&lt;&gt;""),ROWS(DM$1:DM38))),"")</f>
        <v>3980.3488061624171</v>
      </c>
      <c r="DN83" s="166">
        <f t="shared" ca="1" si="11"/>
        <v>83</v>
      </c>
      <c r="DO83" s="164">
        <f ca="1">IFERROR(INDEX(DG$46:DG$94,_xlfn.AGGREGATE(15,6,(ROW(DG$46:DG$94)-ROW(DG$46)+1)/(DG$46:DG$94&lt;&gt;""),ROWS(DO$1:DO38))),"")</f>
        <v>37</v>
      </c>
      <c r="DP83" s="165">
        <f ca="1">IFERROR(INDEX(DH$46:DH$94,_xlfn.AGGREGATE(15,6,(ROW(DH$46:DH$94)-ROW(DH$46)+1)/(DH$46:DH$94&lt;&gt;""),ROWS(DP$1:DP38))),"")</f>
        <v>3980.3488061624171</v>
      </c>
      <c r="DQ83" s="166">
        <f t="shared" ca="1" si="12"/>
        <v>83</v>
      </c>
      <c r="DV83" s="145">
        <v>2052</v>
      </c>
      <c r="DW83" s="146">
        <f t="shared" ca="1" si="13"/>
        <v>4034.1774983798541</v>
      </c>
      <c r="EA83" s="55"/>
      <c r="EB83" s="55"/>
      <c r="EC83" s="55"/>
      <c r="ED83" s="55"/>
      <c r="EE83" s="55"/>
      <c r="EU83" s="65"/>
      <c r="EV83" s="147"/>
    </row>
    <row r="84" spans="1:152" ht="13.8" x14ac:dyDescent="0.45">
      <c r="B84" s="128">
        <v>2050</v>
      </c>
      <c r="C84" s="175"/>
      <c r="D84" s="159"/>
      <c r="E84" s="151"/>
      <c r="F84" s="152"/>
      <c r="G84" s="159"/>
      <c r="H84" s="204"/>
      <c r="I84" s="206"/>
      <c r="J84" s="207"/>
      <c r="K84" s="204"/>
      <c r="L84" s="206"/>
      <c r="M84" s="204"/>
      <c r="N84" s="29" t="s">
        <v>119</v>
      </c>
      <c r="P84" s="128"/>
      <c r="Q84" s="176">
        <f t="shared" ca="1" si="17"/>
        <v>3926.2951320886077</v>
      </c>
      <c r="R84" s="29">
        <v>36</v>
      </c>
      <c r="S84" s="154">
        <f t="shared" ca="1" si="0"/>
        <v>3926.2951320886077</v>
      </c>
      <c r="T84" s="154">
        <f t="shared" ca="1" si="1"/>
        <v>3926.2951320886077</v>
      </c>
      <c r="U84" s="154">
        <f t="shared" ca="1" si="14"/>
        <v>0</v>
      </c>
      <c r="W84" s="154">
        <f t="shared" ca="1" si="2"/>
        <v>3926.2951320886077</v>
      </c>
      <c r="X84" s="154">
        <f t="shared" ca="1" si="15"/>
        <v>3926.2951320886077</v>
      </c>
      <c r="Y84" s="154">
        <f t="shared" ca="1" si="3"/>
        <v>3926.2951320886077</v>
      </c>
      <c r="AA84" s="133">
        <v>3926.2430607143856</v>
      </c>
      <c r="AB84" s="133">
        <v>3926.2430607143856</v>
      </c>
      <c r="AC84" s="133">
        <v>3926.2430607143856</v>
      </c>
      <c r="AD84" s="89"/>
      <c r="AE84" s="89"/>
      <c r="AF84" s="89"/>
      <c r="AG84" s="89"/>
      <c r="AH84" s="89"/>
      <c r="AI84" s="89"/>
      <c r="AJ84" s="89"/>
      <c r="AK84" s="89"/>
      <c r="AL84" s="89"/>
      <c r="AM84" s="89"/>
      <c r="AN84" s="89"/>
      <c r="BR84" s="180">
        <v>2048</v>
      </c>
      <c r="BS84" s="22">
        <v>34</v>
      </c>
      <c r="BT84" s="181">
        <f t="shared" ca="1" si="21"/>
        <v>1862.2281803143101</v>
      </c>
      <c r="BU84" s="182">
        <f t="shared" ca="1" si="22"/>
        <v>1950.2460259466402</v>
      </c>
      <c r="BV84" s="205">
        <f t="shared" ca="1" si="23"/>
        <v>3812.4742062609503</v>
      </c>
      <c r="BY84" s="180">
        <v>2048</v>
      </c>
      <c r="BZ84" s="22">
        <v>34</v>
      </c>
      <c r="CA84" s="198">
        <f t="shared" ca="1" si="24"/>
        <v>-12.658307878004537</v>
      </c>
      <c r="CB84" s="198">
        <f t="shared" ca="1" si="25"/>
        <v>1879.354126266905</v>
      </c>
      <c r="CC84" s="198">
        <f t="shared" ca="1" si="35"/>
        <v>1946.4682437512145</v>
      </c>
      <c r="CD84" s="205">
        <f t="shared" ca="1" si="26"/>
        <v>3813.1640621401148</v>
      </c>
      <c r="CG84" s="180">
        <v>2048</v>
      </c>
      <c r="CH84" s="22">
        <v>34</v>
      </c>
      <c r="CI84" s="198">
        <f t="shared" ca="1" si="27"/>
        <v>-75.804257138352142</v>
      </c>
      <c r="CJ84" s="198">
        <f t="shared" ca="1" si="28"/>
        <v>141.17974337335735</v>
      </c>
      <c r="CK84" s="198">
        <f t="shared" ca="1" si="29"/>
        <v>1796.9924074383835</v>
      </c>
      <c r="CL84" s="198">
        <f t="shared" ca="1" si="30"/>
        <v>1955.2513850856349</v>
      </c>
      <c r="CM84" s="205">
        <f t="shared" ca="1" si="31"/>
        <v>3817.6192787590235</v>
      </c>
      <c r="CP84" s="180">
        <v>2048</v>
      </c>
      <c r="CQ84" s="22">
        <v>34</v>
      </c>
      <c r="CR84" s="181">
        <f t="shared" ca="1" si="32"/>
        <v>2079.0972973977018</v>
      </c>
      <c r="CS84" s="182">
        <f t="shared" ca="1" si="33"/>
        <v>1.8227889130213524</v>
      </c>
      <c r="CT84" s="205">
        <f t="shared" ca="1" si="34"/>
        <v>3789.7555027891881</v>
      </c>
      <c r="CZ84" s="164" t="b">
        <f t="shared" ca="1" si="4"/>
        <v>1</v>
      </c>
      <c r="DA84" s="165" t="b">
        <f t="shared" ca="1" si="4"/>
        <v>1</v>
      </c>
      <c r="DB84" s="166" t="b">
        <f t="shared" ca="1" si="4"/>
        <v>1</v>
      </c>
      <c r="DC84" s="164">
        <f t="shared" ca="1" si="16"/>
        <v>36</v>
      </c>
      <c r="DD84" s="166">
        <f t="shared" ca="1" si="5"/>
        <v>3926.2951320886077</v>
      </c>
      <c r="DE84" s="164">
        <f t="shared" ca="1" si="6"/>
        <v>36</v>
      </c>
      <c r="DF84" s="166">
        <f t="shared" ca="1" si="7"/>
        <v>3926.2951320886077</v>
      </c>
      <c r="DG84" s="164">
        <f t="shared" ca="1" si="8"/>
        <v>36</v>
      </c>
      <c r="DH84" s="166">
        <f t="shared" ca="1" si="9"/>
        <v>3926.2951320886077</v>
      </c>
      <c r="DI84" s="164">
        <f ca="1">IFERROR(INDEX(DC$46:DC$94,_xlfn.AGGREGATE(15,6,(ROW(DC$46:DC$94)-ROW(DC$46)+1)/(DC$46:DC$94&lt;&gt;""),ROWS(DI$1:DI39))),"")</f>
        <v>38</v>
      </c>
      <c r="DJ84" s="165">
        <f ca="1">IFERROR(INDEX(DD$46:DD$94,_xlfn.AGGREGATE(15,6,(ROW(DD$46:DD$94)-ROW(DD$46)+1)/(DD$46:DD$94&lt;&gt;""),ROWS(DJ$1:DJ39))),"")</f>
        <v>4034.217552656055</v>
      </c>
      <c r="DK84" s="166">
        <f t="shared" ca="1" si="10"/>
        <v>84</v>
      </c>
      <c r="DL84" s="164">
        <f ca="1">IFERROR(INDEX(DE$46:DE$94,_xlfn.AGGREGATE(15,6,(ROW(DE$46:DE$94)-ROW(DE$46)+1)/(DE$46:DE$94&lt;&gt;""),ROWS(DL$1:DL39))),"")</f>
        <v>38</v>
      </c>
      <c r="DM84" s="165">
        <f ca="1">IFERROR(INDEX(DF$46:DF$94,_xlfn.AGGREGATE(15,6,(ROW(DF$46:DF$94)-ROW(DF$46)+1)/(DF$46:DF$94&lt;&gt;""),ROWS(DM$1:DM39))),"")</f>
        <v>4034.217552656055</v>
      </c>
      <c r="DN84" s="166">
        <f t="shared" ca="1" si="11"/>
        <v>84</v>
      </c>
      <c r="DO84" s="164">
        <f ca="1">IFERROR(INDEX(DG$46:DG$94,_xlfn.AGGREGATE(15,6,(ROW(DG$46:DG$94)-ROW(DG$46)+1)/(DG$46:DG$94&lt;&gt;""),ROWS(DO$1:DO39))),"")</f>
        <v>38</v>
      </c>
      <c r="DP84" s="165">
        <f ca="1">IFERROR(INDEX(DH$46:DH$94,_xlfn.AGGREGATE(15,6,(ROW(DH$46:DH$94)-ROW(DH$46)+1)/(DH$46:DH$94&lt;&gt;""),ROWS(DP$1:DP39))),"")</f>
        <v>4034.217552656055</v>
      </c>
      <c r="DQ84" s="166">
        <f t="shared" ca="1" si="12"/>
        <v>84</v>
      </c>
      <c r="DV84" s="145">
        <v>2053</v>
      </c>
      <c r="DW84" s="146">
        <f t="shared" ca="1" si="13"/>
        <v>4087.8572831258334</v>
      </c>
      <c r="EA84" s="55"/>
      <c r="EB84" s="55"/>
      <c r="EC84" s="55"/>
      <c r="ED84" s="55"/>
      <c r="EE84" s="55"/>
      <c r="EU84" s="65"/>
      <c r="EV84" s="147"/>
    </row>
    <row r="85" spans="1:152" ht="13.8" x14ac:dyDescent="0.45">
      <c r="B85" s="128">
        <v>2051</v>
      </c>
      <c r="C85" s="175"/>
      <c r="D85" s="159"/>
      <c r="E85" s="151"/>
      <c r="F85" s="152"/>
      <c r="G85" s="159"/>
      <c r="H85" s="204"/>
      <c r="I85" s="206"/>
      <c r="J85" s="207"/>
      <c r="K85" s="204"/>
      <c r="L85" s="206"/>
      <c r="M85" s="204"/>
      <c r="N85" s="29" t="s">
        <v>119</v>
      </c>
      <c r="P85" s="128"/>
      <c r="Q85" s="176">
        <f t="shared" ca="1" si="17"/>
        <v>3980.3488061624171</v>
      </c>
      <c r="R85" s="29">
        <v>37</v>
      </c>
      <c r="S85" s="154">
        <f t="shared" ca="1" si="0"/>
        <v>3980.3488061624171</v>
      </c>
      <c r="T85" s="154">
        <f t="shared" ca="1" si="1"/>
        <v>3980.3488061624171</v>
      </c>
      <c r="U85" s="154">
        <f t="shared" ca="1" si="14"/>
        <v>0</v>
      </c>
      <c r="W85" s="154">
        <f t="shared" ca="1" si="2"/>
        <v>3980.3488061624171</v>
      </c>
      <c r="X85" s="154">
        <f t="shared" ca="1" si="15"/>
        <v>3980.3488061624171</v>
      </c>
      <c r="Y85" s="154">
        <f t="shared" ca="1" si="3"/>
        <v>3980.3488061624171</v>
      </c>
      <c r="AA85" s="133">
        <v>3980.3022335789656</v>
      </c>
      <c r="AB85" s="133">
        <v>3980.3022335789656</v>
      </c>
      <c r="AC85" s="133">
        <v>3980.3022335789656</v>
      </c>
      <c r="AD85" s="89"/>
      <c r="AE85" s="89"/>
      <c r="AF85" s="89"/>
      <c r="AG85" s="89"/>
      <c r="AH85" s="89"/>
      <c r="AI85" s="89"/>
      <c r="AJ85" s="89"/>
      <c r="AK85" s="89"/>
      <c r="AL85" s="89"/>
      <c r="AM85" s="89"/>
      <c r="AN85" s="89"/>
      <c r="BR85" s="180">
        <v>2049</v>
      </c>
      <c r="BS85" s="22">
        <v>35</v>
      </c>
      <c r="BT85" s="181">
        <f t="shared" ca="1" si="21"/>
        <v>1916.9995973823779</v>
      </c>
      <c r="BU85" s="182">
        <f t="shared" ca="1" si="22"/>
        <v>1950.2460259466402</v>
      </c>
      <c r="BV85" s="205">
        <f t="shared" ca="1" si="23"/>
        <v>3867.2456233290181</v>
      </c>
      <c r="BY85" s="180">
        <v>2049</v>
      </c>
      <c r="BZ85" s="22">
        <v>35</v>
      </c>
      <c r="CA85" s="198">
        <f t="shared" ca="1" si="24"/>
        <v>-13.413864317089583</v>
      </c>
      <c r="CB85" s="198">
        <f t="shared" ca="1" si="25"/>
        <v>1934.6292476276963</v>
      </c>
      <c r="CC85" s="198">
        <f t="shared" ca="1" si="35"/>
        <v>1946.4682437512145</v>
      </c>
      <c r="CD85" s="205">
        <f t="shared" ca="1" si="26"/>
        <v>3867.6836270618214</v>
      </c>
      <c r="CG85" s="180">
        <v>2049</v>
      </c>
      <c r="CH85" s="22">
        <v>35</v>
      </c>
      <c r="CI85" s="198">
        <f t="shared" ca="1" si="27"/>
        <v>-82.691520578232456</v>
      </c>
      <c r="CJ85" s="198">
        <f t="shared" ca="1" si="28"/>
        <v>149.60656196571173</v>
      </c>
      <c r="CK85" s="198">
        <f t="shared" ca="1" si="29"/>
        <v>1849.8451253042181</v>
      </c>
      <c r="CL85" s="198">
        <f t="shared" ca="1" si="30"/>
        <v>1955.2513850856349</v>
      </c>
      <c r="CM85" s="205">
        <f t="shared" ca="1" si="31"/>
        <v>3872.011551777332</v>
      </c>
      <c r="CP85" s="180">
        <v>2049</v>
      </c>
      <c r="CQ85" s="22">
        <v>35</v>
      </c>
      <c r="CR85" s="181">
        <f t="shared" ca="1" si="32"/>
        <v>2079.0972973977018</v>
      </c>
      <c r="CS85" s="182">
        <f t="shared" ca="1" si="33"/>
        <v>1.8552613422958759</v>
      </c>
      <c r="CT85" s="205">
        <f t="shared" ca="1" si="34"/>
        <v>3857.268842733788</v>
      </c>
      <c r="CZ85" s="164" t="b">
        <f t="shared" ca="1" si="4"/>
        <v>1</v>
      </c>
      <c r="DA85" s="165" t="b">
        <f t="shared" ca="1" si="4"/>
        <v>1</v>
      </c>
      <c r="DB85" s="166" t="b">
        <f t="shared" ca="1" si="4"/>
        <v>1</v>
      </c>
      <c r="DC85" s="164">
        <f t="shared" ca="1" si="16"/>
        <v>37</v>
      </c>
      <c r="DD85" s="166">
        <f t="shared" ca="1" si="5"/>
        <v>3980.3488061624171</v>
      </c>
      <c r="DE85" s="164">
        <f t="shared" ca="1" si="6"/>
        <v>37</v>
      </c>
      <c r="DF85" s="166">
        <f t="shared" ca="1" si="7"/>
        <v>3980.3488061624171</v>
      </c>
      <c r="DG85" s="164">
        <f t="shared" ca="1" si="8"/>
        <v>37</v>
      </c>
      <c r="DH85" s="166">
        <f t="shared" ca="1" si="9"/>
        <v>3980.3488061624171</v>
      </c>
      <c r="DI85" s="164">
        <f ca="1">IFERROR(INDEX(DC$46:DC$94,_xlfn.AGGREGATE(15,6,(ROW(DC$46:DC$94)-ROW(DC$46)+1)/(DC$46:DC$94&lt;&gt;""),ROWS(DI$1:DI40))),"")</f>
        <v>39</v>
      </c>
      <c r="DJ85" s="165">
        <f ca="1">IFERROR(INDEX(DD$46:DD$94,_xlfn.AGGREGATE(15,6,(ROW(DD$46:DD$94)-ROW(DD$46)+1)/(DD$46:DD$94&lt;&gt;""),ROWS(DJ$1:DJ40))),"")</f>
        <v>4087.8897650064609</v>
      </c>
      <c r="DK85" s="166">
        <f t="shared" ca="1" si="10"/>
        <v>85</v>
      </c>
      <c r="DL85" s="164">
        <f ca="1">IFERROR(INDEX(DE$46:DE$94,_xlfn.AGGREGATE(15,6,(ROW(DE$46:DE$94)-ROW(DE$46)+1)/(DE$46:DE$94&lt;&gt;""),ROWS(DL$1:DL40))),"")</f>
        <v>39</v>
      </c>
      <c r="DM85" s="165">
        <f ca="1">IFERROR(INDEX(DF$46:DF$94,_xlfn.AGGREGATE(15,6,(ROW(DF$46:DF$94)-ROW(DF$46)+1)/(DF$46:DF$94&lt;&gt;""),ROWS(DM$1:DM40))),"")</f>
        <v>4087.8897650064609</v>
      </c>
      <c r="DN85" s="166">
        <f t="shared" ca="1" si="11"/>
        <v>85</v>
      </c>
      <c r="DO85" s="164">
        <f ca="1">IFERROR(INDEX(DG$46:DG$94,_xlfn.AGGREGATE(15,6,(ROW(DG$46:DG$94)-ROW(DG$46)+1)/(DG$46:DG$94&lt;&gt;""),ROWS(DO$1:DO40))),"")</f>
        <v>39</v>
      </c>
      <c r="DP85" s="165">
        <f ca="1">IFERROR(INDEX(DH$46:DH$94,_xlfn.AGGREGATE(15,6,(ROW(DH$46:DH$94)-ROW(DH$46)+1)/(DH$46:DH$94&lt;&gt;""),ROWS(DP$1:DP40))),"")</f>
        <v>4087.8897650064609</v>
      </c>
      <c r="DQ85" s="166">
        <f t="shared" ca="1" si="12"/>
        <v>85</v>
      </c>
      <c r="DV85" s="145">
        <v>2054</v>
      </c>
      <c r="DW85" s="146">
        <f t="shared" ca="1" si="13"/>
        <v>4141.3300158256852</v>
      </c>
      <c r="EA85" s="55"/>
      <c r="EB85" s="55"/>
      <c r="EC85" s="55"/>
      <c r="ED85" s="55"/>
      <c r="EE85" s="55"/>
      <c r="EU85" s="65"/>
      <c r="EV85" s="147"/>
    </row>
    <row r="86" spans="1:152" ht="13.8" x14ac:dyDescent="0.45">
      <c r="B86" s="128">
        <v>2052</v>
      </c>
      <c r="C86" s="175"/>
      <c r="D86" s="159"/>
      <c r="E86" s="151"/>
      <c r="F86" s="152"/>
      <c r="G86" s="159"/>
      <c r="H86" s="204"/>
      <c r="I86" s="206"/>
      <c r="J86" s="207"/>
      <c r="K86" s="204"/>
      <c r="L86" s="206"/>
      <c r="M86" s="204"/>
      <c r="N86" s="29" t="s">
        <v>119</v>
      </c>
      <c r="P86" s="128"/>
      <c r="Q86" s="176">
        <f t="shared" ca="1" si="17"/>
        <v>4034.217552656055</v>
      </c>
      <c r="R86" s="29">
        <v>38</v>
      </c>
      <c r="S86" s="154">
        <f t="shared" ca="1" si="0"/>
        <v>4034.217552656055</v>
      </c>
      <c r="T86" s="154">
        <f t="shared" ca="1" si="1"/>
        <v>4034.217552656055</v>
      </c>
      <c r="U86" s="154">
        <f t="shared" ca="1" si="14"/>
        <v>0</v>
      </c>
      <c r="W86" s="154">
        <f t="shared" ca="1" si="2"/>
        <v>4034.217552656055</v>
      </c>
      <c r="X86" s="154">
        <f t="shared" ca="1" si="15"/>
        <v>4034.217552656055</v>
      </c>
      <c r="Y86" s="154">
        <f t="shared" ca="1" si="3"/>
        <v>4034.217552656055</v>
      </c>
      <c r="AA86" s="133">
        <v>4034.1774983798541</v>
      </c>
      <c r="AB86" s="133">
        <v>4034.1774983798541</v>
      </c>
      <c r="AC86" s="133">
        <v>4034.1774983798541</v>
      </c>
      <c r="AD86" s="89"/>
      <c r="AE86" s="89"/>
      <c r="AF86" s="89"/>
      <c r="AG86" s="89"/>
      <c r="AH86" s="89"/>
      <c r="AI86" s="89"/>
      <c r="AJ86" s="89"/>
      <c r="AK86" s="89"/>
      <c r="AL86" s="89"/>
      <c r="AM86" s="89"/>
      <c r="AN86" s="89"/>
      <c r="BR86" s="180">
        <v>2050</v>
      </c>
      <c r="BS86" s="22">
        <v>36</v>
      </c>
      <c r="BT86" s="181">
        <f t="shared" ca="1" si="21"/>
        <v>1971.7710144504458</v>
      </c>
      <c r="BU86" s="182">
        <f t="shared" ca="1" si="22"/>
        <v>1950.2460259466402</v>
      </c>
      <c r="BV86" s="212">
        <f t="shared" ca="1" si="23"/>
        <v>3922.017040397086</v>
      </c>
      <c r="BY86" s="180">
        <v>2050</v>
      </c>
      <c r="BZ86" s="22">
        <v>36</v>
      </c>
      <c r="CA86" s="198">
        <f t="shared" ca="1" si="24"/>
        <v>-14.191320942814775</v>
      </c>
      <c r="CB86" s="198">
        <f t="shared" ca="1" si="25"/>
        <v>1989.9043689884877</v>
      </c>
      <c r="CC86" s="198">
        <f t="shared" ca="1" si="35"/>
        <v>1946.4682437512145</v>
      </c>
      <c r="CD86" s="212">
        <f t="shared" ca="1" si="26"/>
        <v>3922.1812917968873</v>
      </c>
      <c r="CG86" s="180">
        <v>2050</v>
      </c>
      <c r="CH86" s="22">
        <v>36</v>
      </c>
      <c r="CI86" s="198">
        <f t="shared" ca="1" si="27"/>
        <v>-89.98380371074083</v>
      </c>
      <c r="CJ86" s="198">
        <f t="shared" ca="1" si="28"/>
        <v>158.27763616943869</v>
      </c>
      <c r="CK86" s="198">
        <f t="shared" ca="1" si="29"/>
        <v>1902.6978431700529</v>
      </c>
      <c r="CL86" s="198">
        <f t="shared" ca="1" si="30"/>
        <v>1955.2513850856349</v>
      </c>
      <c r="CM86" s="212">
        <f t="shared" ca="1" si="31"/>
        <v>3926.2430607143856</v>
      </c>
      <c r="CP86" s="180">
        <v>2050</v>
      </c>
      <c r="CQ86" s="22">
        <v>36</v>
      </c>
      <c r="CR86" s="181">
        <f t="shared" ca="1" si="32"/>
        <v>2079.0972973977018</v>
      </c>
      <c r="CS86" s="182">
        <f t="shared" ca="1" si="33"/>
        <v>1.8883122580070113</v>
      </c>
      <c r="CT86" s="212">
        <f t="shared" ca="1" si="34"/>
        <v>3925.9849122653291</v>
      </c>
      <c r="CZ86" s="164" t="b">
        <f t="shared" ref="CZ86:DB94" ca="1" si="36">ISNUMBER(W86)</f>
        <v>1</v>
      </c>
      <c r="DA86" s="165" t="b">
        <f t="shared" ca="1" si="36"/>
        <v>1</v>
      </c>
      <c r="DB86" s="166" t="b">
        <f t="shared" ca="1" si="36"/>
        <v>1</v>
      </c>
      <c r="DC86" s="164">
        <f t="shared" ca="1" si="16"/>
        <v>38</v>
      </c>
      <c r="DD86" s="166">
        <f t="shared" ca="1" si="5"/>
        <v>4034.217552656055</v>
      </c>
      <c r="DE86" s="164">
        <f t="shared" ca="1" si="6"/>
        <v>38</v>
      </c>
      <c r="DF86" s="166">
        <f t="shared" ca="1" si="7"/>
        <v>4034.217552656055</v>
      </c>
      <c r="DG86" s="164">
        <f t="shared" ca="1" si="8"/>
        <v>38</v>
      </c>
      <c r="DH86" s="166">
        <f t="shared" ca="1" si="9"/>
        <v>4034.217552656055</v>
      </c>
      <c r="DI86" s="164">
        <f ca="1">IFERROR(INDEX(DC$46:DC$94,_xlfn.AGGREGATE(15,6,(ROW(DC$46:DC$94)-ROW(DC$46)+1)/(DC$46:DC$94&lt;&gt;""),ROWS(DI$1:DI41))),"")</f>
        <v>40</v>
      </c>
      <c r="DJ86" s="165">
        <f ca="1">IFERROR(INDEX(DD$46:DD$94,_xlfn.AGGREGATE(15,6,(ROW(DD$46:DD$94)-ROW(DD$46)+1)/(DD$46:DD$94&lt;&gt;""),ROWS(DJ$1:DJ41))),"")</f>
        <v>4141.3538366505745</v>
      </c>
      <c r="DK86" s="166">
        <f t="shared" ca="1" si="10"/>
        <v>86</v>
      </c>
      <c r="DL86" s="164">
        <f ca="1">IFERROR(INDEX(DE$46:DE$94,_xlfn.AGGREGATE(15,6,(ROW(DE$46:DE$94)-ROW(DE$46)+1)/(DE$46:DE$94&lt;&gt;""),ROWS(DL$1:DL41))),"")</f>
        <v>40</v>
      </c>
      <c r="DM86" s="165">
        <f ca="1">IFERROR(INDEX(DF$46:DF$94,_xlfn.AGGREGATE(15,6,(ROW(DF$46:DF$94)-ROW(DF$46)+1)/(DF$46:DF$94&lt;&gt;""),ROWS(DM$1:DM41))),"")</f>
        <v>4141.3538366505745</v>
      </c>
      <c r="DN86" s="166">
        <f t="shared" ca="1" si="11"/>
        <v>86</v>
      </c>
      <c r="DO86" s="164">
        <f ca="1">IFERROR(INDEX(DG$46:DG$94,_xlfn.AGGREGATE(15,6,(ROW(DG$46:DG$94)-ROW(DG$46)+1)/(DG$46:DG$94&lt;&gt;""),ROWS(DO$1:DO41))),"")</f>
        <v>40</v>
      </c>
      <c r="DP86" s="165">
        <f ca="1">IFERROR(INDEX(DH$46:DH$94,_xlfn.AGGREGATE(15,6,(ROW(DH$46:DH$94)-ROW(DH$46)+1)/(DH$46:DH$94&lt;&gt;""),ROWS(DP$1:DP41))),"")</f>
        <v>4141.3538366505745</v>
      </c>
      <c r="DQ86" s="166">
        <f t="shared" ca="1" si="12"/>
        <v>86</v>
      </c>
      <c r="DV86" s="145">
        <v>2055</v>
      </c>
      <c r="DW86" s="146">
        <f t="shared" ca="1" si="13"/>
        <v>4194.5841244881922</v>
      </c>
      <c r="EA86" s="55"/>
      <c r="EB86" s="55"/>
      <c r="EC86" s="55"/>
      <c r="ED86" s="55"/>
      <c r="EE86" s="55"/>
    </row>
    <row r="87" spans="1:152" ht="13.8" x14ac:dyDescent="0.45">
      <c r="B87" s="128">
        <v>2053</v>
      </c>
      <c r="C87" s="175"/>
      <c r="D87" s="159"/>
      <c r="E87" s="151"/>
      <c r="F87" s="152"/>
      <c r="G87" s="159"/>
      <c r="H87" s="204"/>
      <c r="I87" s="206"/>
      <c r="J87" s="207"/>
      <c r="K87" s="204"/>
      <c r="L87" s="206"/>
      <c r="M87" s="204"/>
      <c r="N87" s="29" t="s">
        <v>119</v>
      </c>
      <c r="P87" s="128"/>
      <c r="Q87" s="176">
        <f t="shared" ca="1" si="17"/>
        <v>4087.8897650064609</v>
      </c>
      <c r="R87" s="29">
        <v>39</v>
      </c>
      <c r="S87" s="154">
        <f t="shared" ca="1" si="0"/>
        <v>4087.8897650064609</v>
      </c>
      <c r="T87" s="154">
        <f t="shared" ca="1" si="1"/>
        <v>4087.8897650064609</v>
      </c>
      <c r="U87" s="154">
        <f t="shared" ca="1" si="14"/>
        <v>0</v>
      </c>
      <c r="W87" s="154">
        <f t="shared" ca="1" si="2"/>
        <v>4087.8897650064609</v>
      </c>
      <c r="X87" s="154">
        <f t="shared" ca="1" si="15"/>
        <v>4087.8897650064609</v>
      </c>
      <c r="Y87" s="154">
        <f t="shared" ca="1" si="3"/>
        <v>4087.8897650064609</v>
      </c>
      <c r="AA87" s="133">
        <v>4087.8572831258334</v>
      </c>
      <c r="AB87" s="133">
        <v>4087.8572831258334</v>
      </c>
      <c r="AC87" s="133">
        <v>4087.8572831258334</v>
      </c>
      <c r="AD87" s="89"/>
      <c r="AE87" s="89"/>
      <c r="AF87" s="89"/>
      <c r="AG87" s="89"/>
      <c r="AH87" s="89"/>
      <c r="AI87" s="89"/>
      <c r="AJ87" s="89"/>
      <c r="AK87" s="89"/>
      <c r="AL87" s="89"/>
      <c r="AM87" s="89"/>
      <c r="AN87" s="89"/>
      <c r="BR87" s="180">
        <v>2051</v>
      </c>
      <c r="BS87" s="22">
        <v>37</v>
      </c>
      <c r="BT87" s="181">
        <f t="shared" ca="1" si="21"/>
        <v>2026.5424315185137</v>
      </c>
      <c r="BU87" s="182">
        <f t="shared" ca="1" si="22"/>
        <v>1950.2460259466402</v>
      </c>
      <c r="BV87" s="213">
        <f t="shared" ca="1" si="23"/>
        <v>3976.7884574651539</v>
      </c>
      <c r="BY87" s="180">
        <v>2051</v>
      </c>
      <c r="BZ87" s="22">
        <v>37</v>
      </c>
      <c r="CA87" s="198">
        <f t="shared" ca="1" si="24"/>
        <v>-14.990677755180114</v>
      </c>
      <c r="CB87" s="198">
        <f t="shared" ca="1" si="25"/>
        <v>2045.1794903492789</v>
      </c>
      <c r="CC87" s="198">
        <f t="shared" ca="1" si="35"/>
        <v>1946.4682437512145</v>
      </c>
      <c r="CD87" s="213">
        <f t="shared" ca="1" si="26"/>
        <v>3976.6570563453133</v>
      </c>
      <c r="CG87" s="180">
        <v>2051</v>
      </c>
      <c r="CH87" s="22">
        <v>37</v>
      </c>
      <c r="CI87" s="198">
        <f t="shared" ca="1" si="27"/>
        <v>-97.692678527095239</v>
      </c>
      <c r="CJ87" s="198">
        <f t="shared" ca="1" si="28"/>
        <v>167.19296598453826</v>
      </c>
      <c r="CK87" s="198">
        <f t="shared" ca="1" si="29"/>
        <v>1955.5505610358878</v>
      </c>
      <c r="CL87" s="198">
        <f t="shared" ca="1" si="30"/>
        <v>1955.2513850856349</v>
      </c>
      <c r="CM87" s="213">
        <f t="shared" ca="1" si="31"/>
        <v>3980.3022335789656</v>
      </c>
      <c r="CP87" s="180">
        <v>2051</v>
      </c>
      <c r="CQ87" s="22">
        <v>37</v>
      </c>
      <c r="CR87" s="181">
        <f t="shared" ca="1" si="32"/>
        <v>2079.0972973977018</v>
      </c>
      <c r="CS87" s="182">
        <f t="shared" ca="1" si="33"/>
        <v>1.9219519657144228</v>
      </c>
      <c r="CT87" s="213">
        <f t="shared" ca="1" si="34"/>
        <v>3995.925137645057</v>
      </c>
      <c r="CZ87" s="164" t="b">
        <f t="shared" ca="1" si="36"/>
        <v>1</v>
      </c>
      <c r="DA87" s="165" t="b">
        <f t="shared" ca="1" si="36"/>
        <v>1</v>
      </c>
      <c r="DB87" s="166" t="b">
        <f t="shared" ca="1" si="36"/>
        <v>1</v>
      </c>
      <c r="DC87" s="164">
        <f t="shared" ca="1" si="16"/>
        <v>39</v>
      </c>
      <c r="DD87" s="166">
        <f t="shared" ca="1" si="5"/>
        <v>4087.8897650064609</v>
      </c>
      <c r="DE87" s="164">
        <f t="shared" ca="1" si="6"/>
        <v>39</v>
      </c>
      <c r="DF87" s="166">
        <f t="shared" ca="1" si="7"/>
        <v>4087.8897650064609</v>
      </c>
      <c r="DG87" s="164">
        <f t="shared" ca="1" si="8"/>
        <v>39</v>
      </c>
      <c r="DH87" s="166">
        <f t="shared" ca="1" si="9"/>
        <v>4087.8897650064609</v>
      </c>
      <c r="DI87" s="164">
        <f ca="1">IFERROR(INDEX(DC$46:DC$94,_xlfn.AGGREGATE(15,6,(ROW(DC$46:DC$94)-ROW(DC$46)+1)/(DC$46:DC$94&lt;&gt;""),ROWS(DI$1:DI42))),"")</f>
        <v>41</v>
      </c>
      <c r="DJ87" s="165">
        <f ca="1">IFERROR(INDEX(DD$46:DD$94,_xlfn.AGGREGATE(15,6,(ROW(DD$46:DD$94)-ROW(DD$46)+1)/(DD$46:DD$94&lt;&gt;""),ROWS(DJ$1:DJ42))),"")</f>
        <v>4194.5981610253348</v>
      </c>
      <c r="DK87" s="166">
        <f t="shared" ca="1" si="10"/>
        <v>87</v>
      </c>
      <c r="DL87" s="164">
        <f ca="1">IFERROR(INDEX(DE$46:DE$94,_xlfn.AGGREGATE(15,6,(ROW(DE$46:DE$94)-ROW(DE$46)+1)/(DE$46:DE$94&lt;&gt;""),ROWS(DL$1:DL42))),"")</f>
        <v>41</v>
      </c>
      <c r="DM87" s="165">
        <f ca="1">IFERROR(INDEX(DF$46:DF$94,_xlfn.AGGREGATE(15,6,(ROW(DF$46:DF$94)-ROW(DF$46)+1)/(DF$46:DF$94&lt;&gt;""),ROWS(DM$1:DM42))),"")</f>
        <v>4194.5981610253348</v>
      </c>
      <c r="DN87" s="166">
        <f t="shared" ca="1" si="11"/>
        <v>87</v>
      </c>
      <c r="DO87" s="164">
        <f ca="1">IFERROR(INDEX(DG$46:DG$94,_xlfn.AGGREGATE(15,6,(ROW(DG$46:DG$94)-ROW(DG$46)+1)/(DG$46:DG$94&lt;&gt;""),ROWS(DO$1:DO42))),"")</f>
        <v>41</v>
      </c>
      <c r="DP87" s="165">
        <f ca="1">IFERROR(INDEX(DH$46:DH$94,_xlfn.AGGREGATE(15,6,(ROW(DH$46:DH$94)-ROW(DH$46)+1)/(DH$46:DH$94&lt;&gt;""),ROWS(DP$1:DP42))),"")</f>
        <v>4194.5981610253348</v>
      </c>
      <c r="DQ87" s="166">
        <f t="shared" ca="1" si="12"/>
        <v>87</v>
      </c>
      <c r="DV87" s="145">
        <v>2056</v>
      </c>
      <c r="DW87" s="146">
        <f t="shared" ca="1" si="13"/>
        <v>4247.608037122136</v>
      </c>
      <c r="EA87" s="55"/>
      <c r="EB87" s="55"/>
      <c r="EC87" s="55"/>
      <c r="ED87" s="55"/>
      <c r="EE87" s="55"/>
    </row>
    <row r="88" spans="1:152" ht="13.8" x14ac:dyDescent="0.45">
      <c r="B88" s="128">
        <v>2054</v>
      </c>
      <c r="C88" s="175"/>
      <c r="D88" s="159"/>
      <c r="E88" s="151"/>
      <c r="F88" s="152"/>
      <c r="G88" s="159"/>
      <c r="H88" s="204"/>
      <c r="I88" s="206"/>
      <c r="J88" s="207"/>
      <c r="K88" s="204"/>
      <c r="L88" s="206"/>
      <c r="M88" s="204"/>
      <c r="N88" s="29" t="s">
        <v>119</v>
      </c>
      <c r="P88" s="128"/>
      <c r="Q88" s="176">
        <f t="shared" ca="1" si="17"/>
        <v>4141.3538366505745</v>
      </c>
      <c r="R88" s="29">
        <v>40</v>
      </c>
      <c r="S88" s="154">
        <f t="shared" ca="1" si="0"/>
        <v>4141.3538366505745</v>
      </c>
      <c r="T88" s="154">
        <f t="shared" ca="1" si="1"/>
        <v>4141.3538366505745</v>
      </c>
      <c r="U88" s="154">
        <f t="shared" ca="1" si="14"/>
        <v>0</v>
      </c>
      <c r="W88" s="154">
        <f t="shared" ca="1" si="2"/>
        <v>4141.3538366505745</v>
      </c>
      <c r="X88" s="154">
        <f t="shared" ca="1" si="15"/>
        <v>4141.3538366505745</v>
      </c>
      <c r="Y88" s="154">
        <f t="shared" ca="1" si="3"/>
        <v>4141.3538366505745</v>
      </c>
      <c r="AA88" s="133">
        <v>4141.3300158256852</v>
      </c>
      <c r="AB88" s="133">
        <v>4141.3300158256852</v>
      </c>
      <c r="AC88" s="133">
        <v>4141.3300158256852</v>
      </c>
      <c r="AD88" s="89"/>
      <c r="AE88" s="89"/>
      <c r="AF88" s="89"/>
      <c r="AG88" s="89"/>
      <c r="AH88" s="89"/>
      <c r="AI88" s="89"/>
      <c r="AJ88" s="89"/>
      <c r="AK88" s="89"/>
      <c r="AL88" s="89"/>
      <c r="AM88" s="89"/>
      <c r="AN88" s="89"/>
      <c r="BR88" s="180">
        <v>2052</v>
      </c>
      <c r="BS88" s="22">
        <v>38</v>
      </c>
      <c r="BT88" s="181">
        <f t="shared" ca="1" si="21"/>
        <v>2081.3138485865816</v>
      </c>
      <c r="BU88" s="182">
        <f t="shared" ca="1" si="22"/>
        <v>1950.2460259466402</v>
      </c>
      <c r="BV88" s="183">
        <f t="shared" ca="1" si="23"/>
        <v>4031.5598745332218</v>
      </c>
      <c r="BY88" s="180">
        <v>2052</v>
      </c>
      <c r="BZ88" s="22">
        <v>38</v>
      </c>
      <c r="CA88" s="185">
        <f t="shared" ca="1" si="24"/>
        <v>-15.811934754185598</v>
      </c>
      <c r="CB88" s="185">
        <f t="shared" ca="1" si="25"/>
        <v>2100.4546117100704</v>
      </c>
      <c r="CC88" s="185">
        <f t="shared" ca="1" si="35"/>
        <v>1946.4682437512145</v>
      </c>
      <c r="CD88" s="183">
        <f t="shared" ca="1" si="26"/>
        <v>4031.1109207070995</v>
      </c>
      <c r="CG88" s="180">
        <v>2052</v>
      </c>
      <c r="CH88" s="22">
        <v>38</v>
      </c>
      <c r="CI88" s="185">
        <f t="shared" ca="1" si="27"/>
        <v>-105.82971701851362</v>
      </c>
      <c r="CJ88" s="185">
        <f t="shared" ca="1" si="28"/>
        <v>176.35255141101041</v>
      </c>
      <c r="CK88" s="185">
        <f t="shared" ca="1" si="29"/>
        <v>2008.4032789017226</v>
      </c>
      <c r="CL88" s="185">
        <f t="shared" ca="1" si="30"/>
        <v>1955.2513850856349</v>
      </c>
      <c r="CM88" s="183">
        <f t="shared" ca="1" si="31"/>
        <v>4034.1774983798541</v>
      </c>
      <c r="CP88" s="180">
        <v>2052</v>
      </c>
      <c r="CQ88" s="22">
        <v>38</v>
      </c>
      <c r="CR88" s="181">
        <f t="shared" ca="1" si="32"/>
        <v>2079.0972973977018</v>
      </c>
      <c r="CS88" s="182">
        <f t="shared" ca="1" si="33"/>
        <v>1.9561909545681815</v>
      </c>
      <c r="CT88" s="183">
        <f t="shared" ca="1" si="34"/>
        <v>4067.1113268365366</v>
      </c>
      <c r="CZ88" s="164" t="b">
        <f t="shared" ca="1" si="36"/>
        <v>1</v>
      </c>
      <c r="DA88" s="165" t="b">
        <f t="shared" ca="1" si="36"/>
        <v>1</v>
      </c>
      <c r="DB88" s="166" t="b">
        <f t="shared" ca="1" si="36"/>
        <v>1</v>
      </c>
      <c r="DC88" s="164">
        <f t="shared" ca="1" si="16"/>
        <v>40</v>
      </c>
      <c r="DD88" s="166">
        <f t="shared" ca="1" si="5"/>
        <v>4141.3538366505745</v>
      </c>
      <c r="DE88" s="164">
        <f t="shared" ca="1" si="6"/>
        <v>40</v>
      </c>
      <c r="DF88" s="166">
        <f t="shared" ca="1" si="7"/>
        <v>4141.3538366505745</v>
      </c>
      <c r="DG88" s="164">
        <f t="shared" ca="1" si="8"/>
        <v>40</v>
      </c>
      <c r="DH88" s="166">
        <f t="shared" ca="1" si="9"/>
        <v>4141.3538366505745</v>
      </c>
      <c r="DI88" s="164">
        <f ca="1">IFERROR(INDEX(DC$46:DC$94,_xlfn.AGGREGATE(15,6,(ROW(DC$46:DC$94)-ROW(DC$46)+1)/(DC$46:DC$94&lt;&gt;""),ROWS(DI$1:DI43))),"")</f>
        <v>42</v>
      </c>
      <c r="DJ88" s="165">
        <f ca="1">IFERROR(INDEX(DD$46:DD$94,_xlfn.AGGREGATE(15,6,(ROW(DD$46:DD$94)-ROW(DD$46)+1)/(DD$46:DD$94&lt;&gt;""),ROWS(DJ$1:DJ43))),"")</f>
        <v>4247.6111315676808</v>
      </c>
      <c r="DK88" s="166">
        <f t="shared" ca="1" si="10"/>
        <v>88</v>
      </c>
      <c r="DL88" s="164">
        <f ca="1">IFERROR(INDEX(DE$46:DE$94,_xlfn.AGGREGATE(15,6,(ROW(DE$46:DE$94)-ROW(DE$46)+1)/(DE$46:DE$94&lt;&gt;""),ROWS(DL$1:DL43))),"")</f>
        <v>42</v>
      </c>
      <c r="DM88" s="165">
        <f ca="1">IFERROR(INDEX(DF$46:DF$94,_xlfn.AGGREGATE(15,6,(ROW(DF$46:DF$94)-ROW(DF$46)+1)/(DF$46:DF$94&lt;&gt;""),ROWS(DM$1:DM43))),"")</f>
        <v>4247.6111315676808</v>
      </c>
      <c r="DN88" s="166">
        <f t="shared" ca="1" si="11"/>
        <v>88</v>
      </c>
      <c r="DO88" s="164">
        <f ca="1">IFERROR(INDEX(DG$46:DG$94,_xlfn.AGGREGATE(15,6,(ROW(DG$46:DG$94)-ROW(DG$46)+1)/(DG$46:DG$94&lt;&gt;""),ROWS(DO$1:DO43))),"")</f>
        <v>42</v>
      </c>
      <c r="DP88" s="165">
        <f ca="1">IFERROR(INDEX(DH$46:DH$94,_xlfn.AGGREGATE(15,6,(ROW(DH$46:DH$94)-ROW(DH$46)+1)/(DH$46:DH$94&lt;&gt;""),ROWS(DP$1:DP43))),"")</f>
        <v>4247.6111315676808</v>
      </c>
      <c r="DQ88" s="166">
        <f t="shared" ca="1" si="12"/>
        <v>88</v>
      </c>
      <c r="DV88" s="145">
        <v>2057</v>
      </c>
      <c r="DW88" s="146">
        <f t="shared" ca="1" si="13"/>
        <v>4300.3901817362985</v>
      </c>
      <c r="EA88" s="55"/>
      <c r="EB88" s="55"/>
      <c r="EC88" s="55"/>
      <c r="ED88" s="55"/>
      <c r="EE88" s="55"/>
    </row>
    <row r="89" spans="1:152" ht="13.8" x14ac:dyDescent="0.45">
      <c r="B89" s="128">
        <v>2055</v>
      </c>
      <c r="C89" s="175"/>
      <c r="D89" s="159"/>
      <c r="E89" s="151"/>
      <c r="F89" s="152"/>
      <c r="G89" s="159"/>
      <c r="H89" s="204"/>
      <c r="I89" s="206"/>
      <c r="J89" s="207"/>
      <c r="K89" s="204"/>
      <c r="L89" s="206"/>
      <c r="M89" s="204"/>
      <c r="N89" s="29" t="s">
        <v>119</v>
      </c>
      <c r="P89" s="128"/>
      <c r="Q89" s="176">
        <f t="shared" ca="1" si="17"/>
        <v>4194.5981610253348</v>
      </c>
      <c r="R89" s="29">
        <v>41</v>
      </c>
      <c r="S89" s="154">
        <f t="shared" ca="1" si="0"/>
        <v>4194.5981610253348</v>
      </c>
      <c r="T89" s="154">
        <f t="shared" ca="1" si="1"/>
        <v>4194.5981610253348</v>
      </c>
      <c r="U89" s="154">
        <f t="shared" ca="1" si="14"/>
        <v>0</v>
      </c>
      <c r="W89" s="154">
        <f t="shared" ca="1" si="2"/>
        <v>4194.5981610253348</v>
      </c>
      <c r="X89" s="154">
        <f t="shared" ca="1" si="15"/>
        <v>4194.5981610253348</v>
      </c>
      <c r="Y89" s="154">
        <f t="shared" ca="1" si="3"/>
        <v>4194.5981610253348</v>
      </c>
      <c r="AA89" s="133">
        <v>4194.5841244881922</v>
      </c>
      <c r="AB89" s="133">
        <v>4194.5841244881922</v>
      </c>
      <c r="AC89" s="133">
        <v>4194.5841244881922</v>
      </c>
      <c r="AD89" s="89"/>
      <c r="AE89" s="89"/>
      <c r="AF89" s="89"/>
      <c r="AG89" s="89"/>
      <c r="AH89" s="89"/>
      <c r="AI89" s="89"/>
      <c r="AJ89" s="89"/>
      <c r="AK89" s="89"/>
      <c r="AL89" s="89"/>
      <c r="AM89" s="89"/>
      <c r="AN89" s="89"/>
      <c r="BR89" s="180">
        <v>2053</v>
      </c>
      <c r="BS89" s="22">
        <v>39</v>
      </c>
      <c r="BT89" s="181">
        <f t="shared" ca="1" si="21"/>
        <v>2136.0852656546494</v>
      </c>
      <c r="BU89" s="182">
        <f t="shared" ca="1" si="22"/>
        <v>1950.2460259466402</v>
      </c>
      <c r="BV89" s="183">
        <f t="shared" ca="1" si="23"/>
        <v>4086.3312916012896</v>
      </c>
      <c r="BY89" s="180">
        <v>2053</v>
      </c>
      <c r="BZ89" s="22">
        <v>39</v>
      </c>
      <c r="CA89" s="185">
        <f t="shared" ca="1" si="24"/>
        <v>-16.65509193983123</v>
      </c>
      <c r="CB89" s="185">
        <f t="shared" ca="1" si="25"/>
        <v>2155.7297330708616</v>
      </c>
      <c r="CC89" s="185">
        <f t="shared" ca="1" si="35"/>
        <v>1946.4682437512145</v>
      </c>
      <c r="CD89" s="183">
        <f t="shared" ca="1" si="26"/>
        <v>4085.5428848822448</v>
      </c>
      <c r="CG89" s="180">
        <v>2053</v>
      </c>
      <c r="CH89" s="22">
        <v>39</v>
      </c>
      <c r="CI89" s="185">
        <f t="shared" ca="1" si="27"/>
        <v>-114.4064911762139</v>
      </c>
      <c r="CJ89" s="185">
        <f t="shared" ca="1" si="28"/>
        <v>185.75639244885514</v>
      </c>
      <c r="CK89" s="185">
        <f t="shared" ca="1" si="29"/>
        <v>2061.2559967675575</v>
      </c>
      <c r="CL89" s="185">
        <f t="shared" ca="1" si="30"/>
        <v>1955.2513850856349</v>
      </c>
      <c r="CM89" s="183">
        <f t="shared" ca="1" si="31"/>
        <v>4087.8572831258334</v>
      </c>
      <c r="CP89" s="180">
        <v>2053</v>
      </c>
      <c r="CQ89" s="22">
        <v>39</v>
      </c>
      <c r="CR89" s="181">
        <f t="shared" ca="1" si="32"/>
        <v>2079.0972973977018</v>
      </c>
      <c r="CS89" s="182">
        <f t="shared" ca="1" si="33"/>
        <v>1.9910399005793722</v>
      </c>
      <c r="CT89" s="183">
        <f t="shared" ca="1" si="34"/>
        <v>4139.5656763055613</v>
      </c>
      <c r="CZ89" s="164" t="b">
        <f t="shared" ca="1" si="36"/>
        <v>1</v>
      </c>
      <c r="DA89" s="165" t="b">
        <f t="shared" ca="1" si="36"/>
        <v>1</v>
      </c>
      <c r="DB89" s="166" t="b">
        <f t="shared" ca="1" si="36"/>
        <v>1</v>
      </c>
      <c r="DC89" s="164">
        <f t="shared" ca="1" si="16"/>
        <v>41</v>
      </c>
      <c r="DD89" s="166">
        <f t="shared" ca="1" si="5"/>
        <v>4194.5981610253348</v>
      </c>
      <c r="DE89" s="164">
        <f t="shared" ca="1" si="6"/>
        <v>41</v>
      </c>
      <c r="DF89" s="166">
        <f t="shared" ca="1" si="7"/>
        <v>4194.5981610253348</v>
      </c>
      <c r="DG89" s="164">
        <f t="shared" ca="1" si="8"/>
        <v>41</v>
      </c>
      <c r="DH89" s="166">
        <f t="shared" ca="1" si="9"/>
        <v>4194.5981610253348</v>
      </c>
      <c r="DI89" s="164">
        <f ca="1">IFERROR(INDEX(DC$46:DC$94,_xlfn.AGGREGATE(15,6,(ROW(DC$46:DC$94)-ROW(DC$46)+1)/(DC$46:DC$94&lt;&gt;""),ROWS(DI$1:DI44))),"")</f>
        <v>43</v>
      </c>
      <c r="DJ89" s="165">
        <f ca="1">IFERROR(INDEX(DD$46:DD$94,_xlfn.AGGREGATE(15,6,(ROW(DD$46:DD$94)-ROW(DD$46)+1)/(DD$46:DD$94&lt;&gt;""),ROWS(DJ$1:DJ44))),"")</f>
        <v>4300.3811417145535</v>
      </c>
      <c r="DK89" s="166">
        <f t="shared" ca="1" si="10"/>
        <v>89</v>
      </c>
      <c r="DL89" s="164">
        <f ca="1">IFERROR(INDEX(DE$46:DE$94,_xlfn.AGGREGATE(15,6,(ROW(DE$46:DE$94)-ROW(DE$46)+1)/(DE$46:DE$94&lt;&gt;""),ROWS(DL$1:DL44))),"")</f>
        <v>43</v>
      </c>
      <c r="DM89" s="165">
        <f ca="1">IFERROR(INDEX(DF$46:DF$94,_xlfn.AGGREGATE(15,6,(ROW(DF$46:DF$94)-ROW(DF$46)+1)/(DF$46:DF$94&lt;&gt;""),ROWS(DM$1:DM44))),"")</f>
        <v>4300.3811417145535</v>
      </c>
      <c r="DN89" s="166">
        <f t="shared" ca="1" si="11"/>
        <v>89</v>
      </c>
      <c r="DO89" s="164">
        <f ca="1">IFERROR(INDEX(DG$46:DG$94,_xlfn.AGGREGATE(15,6,(ROW(DG$46:DG$94)-ROW(DG$46)+1)/(DG$46:DG$94&lt;&gt;""),ROWS(DO$1:DO44))),"")</f>
        <v>43</v>
      </c>
      <c r="DP89" s="165">
        <f ca="1">IFERROR(INDEX(DH$46:DH$94,_xlfn.AGGREGATE(15,6,(ROW(DH$46:DH$94)-ROW(DH$46)+1)/(DH$46:DH$94&lt;&gt;""),ROWS(DP$1:DP44))),"")</f>
        <v>4300.3811417145535</v>
      </c>
      <c r="DQ89" s="166">
        <f t="shared" ca="1" si="12"/>
        <v>89</v>
      </c>
      <c r="DV89" s="145">
        <v>2058</v>
      </c>
      <c r="DW89" s="146">
        <f t="shared" ca="1" si="13"/>
        <v>4352.9189863394622</v>
      </c>
      <c r="EA89" s="55"/>
      <c r="EB89" s="55"/>
      <c r="EC89" s="55"/>
      <c r="ED89" s="55"/>
      <c r="EE89" s="55"/>
    </row>
    <row r="90" spans="1:152" ht="13.8" x14ac:dyDescent="0.45">
      <c r="B90" s="128">
        <v>2056</v>
      </c>
      <c r="C90" s="175"/>
      <c r="D90" s="159"/>
      <c r="E90" s="151"/>
      <c r="F90" s="152"/>
      <c r="G90" s="159"/>
      <c r="H90" s="204"/>
      <c r="I90" s="206"/>
      <c r="J90" s="207"/>
      <c r="K90" s="204"/>
      <c r="L90" s="206"/>
      <c r="M90" s="204"/>
      <c r="N90" s="29" t="s">
        <v>119</v>
      </c>
      <c r="P90" s="128"/>
      <c r="Q90" s="176">
        <f t="shared" ca="1" si="17"/>
        <v>4247.6111315676808</v>
      </c>
      <c r="R90" s="29">
        <v>42</v>
      </c>
      <c r="S90" s="154">
        <f t="shared" ca="1" si="0"/>
        <v>4247.6111315676808</v>
      </c>
      <c r="T90" s="154">
        <f t="shared" ca="1" si="1"/>
        <v>4247.6111315676808</v>
      </c>
      <c r="U90" s="154">
        <f t="shared" ca="1" si="14"/>
        <v>0</v>
      </c>
      <c r="W90" s="154">
        <f t="shared" ca="1" si="2"/>
        <v>4247.6111315676808</v>
      </c>
      <c r="X90" s="154">
        <f t="shared" ca="1" si="15"/>
        <v>4247.6111315676808</v>
      </c>
      <c r="Y90" s="154">
        <f t="shared" ca="1" si="3"/>
        <v>4247.6111315676808</v>
      </c>
      <c r="AA90" s="133">
        <v>4247.608037122136</v>
      </c>
      <c r="AB90" s="133">
        <v>4247.608037122136</v>
      </c>
      <c r="AC90" s="133">
        <v>4247.608037122136</v>
      </c>
      <c r="AD90" s="89"/>
      <c r="AE90" s="89"/>
      <c r="AF90" s="89"/>
      <c r="AG90" s="89"/>
      <c r="AH90" s="89"/>
      <c r="AI90" s="89"/>
      <c r="AJ90" s="89"/>
      <c r="AK90" s="89"/>
      <c r="AL90" s="89"/>
      <c r="AM90" s="89"/>
      <c r="AN90" s="89"/>
      <c r="BR90" s="180">
        <v>2054</v>
      </c>
      <c r="BS90" s="22">
        <v>40</v>
      </c>
      <c r="BT90" s="181">
        <f t="shared" ca="1" si="21"/>
        <v>2190.8566827227178</v>
      </c>
      <c r="BU90" s="182">
        <f t="shared" ca="1" si="22"/>
        <v>1950.2460259466402</v>
      </c>
      <c r="BV90" s="183">
        <f t="shared" ca="1" si="23"/>
        <v>4141.1027086693575</v>
      </c>
      <c r="BY90" s="180">
        <v>2054</v>
      </c>
      <c r="BZ90" s="22">
        <v>40</v>
      </c>
      <c r="CA90" s="185">
        <f t="shared" ca="1" si="24"/>
        <v>-17.520149312117006</v>
      </c>
      <c r="CB90" s="185">
        <f t="shared" ca="1" si="25"/>
        <v>2211.0048544316528</v>
      </c>
      <c r="CC90" s="185">
        <f t="shared" ca="1" si="35"/>
        <v>1946.4682437512145</v>
      </c>
      <c r="CD90" s="183">
        <f t="shared" ca="1" si="26"/>
        <v>4139.9529488707503</v>
      </c>
      <c r="CG90" s="180">
        <v>2054</v>
      </c>
      <c r="CH90" s="22">
        <v>40</v>
      </c>
      <c r="CI90" s="185">
        <f t="shared" ca="1" si="27"/>
        <v>-123.43457299141404</v>
      </c>
      <c r="CJ90" s="185">
        <f t="shared" ca="1" si="28"/>
        <v>195.40448909807247</v>
      </c>
      <c r="CK90" s="185">
        <f t="shared" ca="1" si="29"/>
        <v>2114.1087146333921</v>
      </c>
      <c r="CL90" s="185">
        <f t="shared" ca="1" si="30"/>
        <v>1955.2513850856349</v>
      </c>
      <c r="CM90" s="183">
        <f t="shared" ca="1" si="31"/>
        <v>4141.3300158256852</v>
      </c>
      <c r="CP90" s="180">
        <v>2054</v>
      </c>
      <c r="CQ90" s="22">
        <v>40</v>
      </c>
      <c r="CR90" s="181">
        <f t="shared" ca="1" si="32"/>
        <v>2079.0972973977018</v>
      </c>
      <c r="CS90" s="182">
        <f t="shared" ca="1" si="33"/>
        <v>2.0265096699489651</v>
      </c>
      <c r="CT90" s="183">
        <f t="shared" ca="1" si="34"/>
        <v>4213.3107779412021</v>
      </c>
      <c r="CZ90" s="164" t="b">
        <f t="shared" ca="1" si="36"/>
        <v>1</v>
      </c>
      <c r="DA90" s="165" t="b">
        <f t="shared" ca="1" si="36"/>
        <v>1</v>
      </c>
      <c r="DB90" s="166" t="b">
        <f t="shared" ca="1" si="36"/>
        <v>1</v>
      </c>
      <c r="DC90" s="164">
        <f t="shared" ca="1" si="16"/>
        <v>42</v>
      </c>
      <c r="DD90" s="166">
        <f t="shared" ca="1" si="5"/>
        <v>4247.6111315676808</v>
      </c>
      <c r="DE90" s="164">
        <f t="shared" ca="1" si="6"/>
        <v>42</v>
      </c>
      <c r="DF90" s="166">
        <f t="shared" ca="1" si="7"/>
        <v>4247.6111315676808</v>
      </c>
      <c r="DG90" s="164">
        <f t="shared" ca="1" si="8"/>
        <v>42</v>
      </c>
      <c r="DH90" s="166">
        <f t="shared" ca="1" si="9"/>
        <v>4247.6111315676808</v>
      </c>
      <c r="DI90" s="164">
        <f ca="1">IFERROR(INDEX(DC$46:DC$94,_xlfn.AGGREGATE(15,6,(ROW(DC$46:DC$94)-ROW(DC$46)+1)/(DC$46:DC$94&lt;&gt;""),ROWS(DI$1:DI45))),"")</f>
        <v>44</v>
      </c>
      <c r="DJ90" s="165">
        <f ca="1">IFERROR(INDEX(DD$46:DD$94,_xlfn.AGGREGATE(15,6,(ROW(DD$46:DD$94)-ROW(DD$46)+1)/(DD$46:DD$94&lt;&gt;""),ROWS(DJ$1:DJ45))),"")</f>
        <v>4352.8965849028918</v>
      </c>
      <c r="DK90" s="166">
        <f t="shared" ca="1" si="10"/>
        <v>90</v>
      </c>
      <c r="DL90" s="164">
        <f ca="1">IFERROR(INDEX(DE$46:DE$94,_xlfn.AGGREGATE(15,6,(ROW(DE$46:DE$94)-ROW(DE$46)+1)/(DE$46:DE$94&lt;&gt;""),ROWS(DL$1:DL45))),"")</f>
        <v>44</v>
      </c>
      <c r="DM90" s="165">
        <f ca="1">IFERROR(INDEX(DF$46:DF$94,_xlfn.AGGREGATE(15,6,(ROW(DF$46:DF$94)-ROW(DF$46)+1)/(DF$46:DF$94&lt;&gt;""),ROWS(DM$1:DM45))),"")</f>
        <v>4352.8965849028918</v>
      </c>
      <c r="DN90" s="166">
        <f t="shared" ca="1" si="11"/>
        <v>90</v>
      </c>
      <c r="DO90" s="164">
        <f ca="1">IFERROR(INDEX(DG$46:DG$94,_xlfn.AGGREGATE(15,6,(ROW(DG$46:DG$94)-ROW(DG$46)+1)/(DG$46:DG$94&lt;&gt;""),ROWS(DO$1:DO45))),"")</f>
        <v>44</v>
      </c>
      <c r="DP90" s="165">
        <f ca="1">IFERROR(INDEX(DH$46:DH$94,_xlfn.AGGREGATE(15,6,(ROW(DH$46:DH$94)-ROW(DH$46)+1)/(DH$46:DH$94&lt;&gt;""),ROWS(DP$1:DP45))),"")</f>
        <v>4352.8965849028918</v>
      </c>
      <c r="DQ90" s="166">
        <f t="shared" ca="1" si="12"/>
        <v>90</v>
      </c>
      <c r="DV90" s="145">
        <v>2059</v>
      </c>
      <c r="DW90" s="146">
        <f t="shared" ca="1" si="13"/>
        <v>4405.182878940408</v>
      </c>
      <c r="EA90" s="55"/>
      <c r="EB90" s="55"/>
      <c r="EC90" s="55"/>
      <c r="ED90" s="55"/>
      <c r="EE90" s="55"/>
    </row>
    <row r="91" spans="1:152" ht="13.8" x14ac:dyDescent="0.45">
      <c r="B91" s="128">
        <v>2057</v>
      </c>
      <c r="C91" s="175"/>
      <c r="D91" s="159"/>
      <c r="E91" s="151"/>
      <c r="F91" s="152"/>
      <c r="G91" s="159"/>
      <c r="H91" s="204"/>
      <c r="I91" s="206"/>
      <c r="J91" s="207"/>
      <c r="K91" s="204"/>
      <c r="L91" s="206"/>
      <c r="M91" s="204"/>
      <c r="N91" s="29" t="s">
        <v>119</v>
      </c>
      <c r="P91" s="128"/>
      <c r="Q91" s="176">
        <f t="shared" ca="1" si="17"/>
        <v>4300.3811417145535</v>
      </c>
      <c r="R91" s="29">
        <v>43</v>
      </c>
      <c r="S91" s="154">
        <f t="shared" ca="1" si="0"/>
        <v>4300.3811417145535</v>
      </c>
      <c r="T91" s="154">
        <f t="shared" ca="1" si="1"/>
        <v>4300.3811417145535</v>
      </c>
      <c r="U91" s="154">
        <f ca="1">IF(T91="","",IF($B$36=$A$45,_xlfn.STDEV.P(C91:Q91),IF($B$36=$A$62,_xlfn.STDEV.P(C91:E91),IF($B$36=$A$63,_xlfn.STDEV.P(F91:H91),IF($B$36=$A$64,_xlfn.STDEV.P(I91:K91),IF($B$36=$A$65,_xlfn.STDEV.P(L91:M91)))))))</f>
        <v>0</v>
      </c>
      <c r="W91" s="154">
        <f t="shared" ca="1" si="2"/>
        <v>4300.3811417145535</v>
      </c>
      <c r="X91" s="154">
        <f t="shared" ca="1" si="15"/>
        <v>4300.3811417145535</v>
      </c>
      <c r="Y91" s="154">
        <f t="shared" ca="1" si="3"/>
        <v>4300.3811417145535</v>
      </c>
      <c r="AA91" s="133">
        <v>4300.3901817362985</v>
      </c>
      <c r="AB91" s="133">
        <v>4300.3901817362985</v>
      </c>
      <c r="AC91" s="133">
        <v>4300.3901817362985</v>
      </c>
      <c r="AD91" s="89"/>
      <c r="AE91" s="89"/>
      <c r="AF91" s="89"/>
      <c r="AG91" s="89"/>
      <c r="AH91" s="89"/>
      <c r="AI91" s="89"/>
      <c r="AJ91" s="89"/>
      <c r="AK91" s="89"/>
      <c r="AL91" s="89"/>
      <c r="AM91" s="89"/>
      <c r="AN91" s="89"/>
      <c r="BR91" s="180">
        <v>2055</v>
      </c>
      <c r="BS91" s="22">
        <v>41</v>
      </c>
      <c r="BT91" s="181">
        <f t="shared" ca="1" si="21"/>
        <v>2245.6280997907857</v>
      </c>
      <c r="BU91" s="182">
        <f t="shared" ca="1" si="22"/>
        <v>1950.2460259466402</v>
      </c>
      <c r="BV91" s="183">
        <f t="shared" ca="1" si="23"/>
        <v>4195.8741257374259</v>
      </c>
      <c r="BX91" s="29"/>
      <c r="BY91" s="180">
        <v>2055</v>
      </c>
      <c r="BZ91" s="22">
        <v>41</v>
      </c>
      <c r="CA91" s="185">
        <f t="shared" ca="1" si="24"/>
        <v>-18.407106871042931</v>
      </c>
      <c r="CB91" s="185">
        <f t="shared" ca="1" si="25"/>
        <v>2266.2799757924445</v>
      </c>
      <c r="CC91" s="185">
        <f t="shared" ca="1" si="35"/>
        <v>1946.4682437512145</v>
      </c>
      <c r="CD91" s="183">
        <f t="shared" ca="1" si="26"/>
        <v>4194.341112672616</v>
      </c>
      <c r="CG91" s="180">
        <v>2055</v>
      </c>
      <c r="CH91" s="22">
        <v>41</v>
      </c>
      <c r="CI91" s="185">
        <f t="shared" ca="1" si="27"/>
        <v>-132.92553445533198</v>
      </c>
      <c r="CJ91" s="185">
        <f t="shared" ca="1" si="28"/>
        <v>205.29684135866239</v>
      </c>
      <c r="CK91" s="185">
        <f t="shared" ca="1" si="29"/>
        <v>2166.9614324992272</v>
      </c>
      <c r="CL91" s="185">
        <f t="shared" ca="1" si="30"/>
        <v>1955.2513850856349</v>
      </c>
      <c r="CM91" s="183">
        <f t="shared" ca="1" si="31"/>
        <v>4194.5841244881922</v>
      </c>
      <c r="CP91" s="180">
        <v>2055</v>
      </c>
      <c r="CQ91" s="22">
        <v>41</v>
      </c>
      <c r="CR91" s="181">
        <f t="shared" ca="1" si="32"/>
        <v>2079.0972973977018</v>
      </c>
      <c r="CS91" s="182">
        <f t="shared" ca="1" si="33"/>
        <v>2.0626113224559908</v>
      </c>
      <c r="CT91" s="183">
        <f t="shared" ca="1" si="34"/>
        <v>4288.3696261001505</v>
      </c>
      <c r="CZ91" s="164" t="b">
        <f t="shared" ca="1" si="36"/>
        <v>1</v>
      </c>
      <c r="DA91" s="165" t="b">
        <f t="shared" ca="1" si="36"/>
        <v>1</v>
      </c>
      <c r="DB91" s="166" t="b">
        <f t="shared" ca="1" si="36"/>
        <v>1</v>
      </c>
      <c r="DC91" s="164">
        <f t="shared" ca="1" si="16"/>
        <v>43</v>
      </c>
      <c r="DD91" s="166">
        <f t="shared" ca="1" si="5"/>
        <v>4300.3811417145535</v>
      </c>
      <c r="DE91" s="164">
        <f t="shared" ca="1" si="6"/>
        <v>43</v>
      </c>
      <c r="DF91" s="166">
        <f t="shared" ca="1" si="7"/>
        <v>4300.3811417145535</v>
      </c>
      <c r="DG91" s="164">
        <f t="shared" ca="1" si="8"/>
        <v>43</v>
      </c>
      <c r="DH91" s="166">
        <f t="shared" ca="1" si="9"/>
        <v>4300.3811417145535</v>
      </c>
      <c r="DI91" s="164">
        <f ca="1">IFERROR(INDEX(DC$46:DC$94,_xlfn.AGGREGATE(15,6,(ROW(DC$46:DC$94)-ROW(DC$46)+1)/(DC$46:DC$94&lt;&gt;""),ROWS(DI$1:DI46))),"")</f>
        <v>45</v>
      </c>
      <c r="DJ91" s="165">
        <f ca="1">IFERROR(INDEX(DD$46:DD$94,_xlfn.AGGREGATE(15,6,(ROW(DD$46:DD$94)-ROW(DD$46)+1)/(DD$46:DD$94&lt;&gt;""),ROWS(DJ$1:DJ46))),"")</f>
        <v>4405.145854569636</v>
      </c>
      <c r="DK91" s="166">
        <f t="shared" ca="1" si="10"/>
        <v>91</v>
      </c>
      <c r="DL91" s="164">
        <f ca="1">IFERROR(INDEX(DE$46:DE$94,_xlfn.AGGREGATE(15,6,(ROW(DE$46:DE$94)-ROW(DE$46)+1)/(DE$46:DE$94&lt;&gt;""),ROWS(DL$1:DL46))),"")</f>
        <v>45</v>
      </c>
      <c r="DM91" s="165">
        <f ca="1">IFERROR(INDEX(DF$46:DF$94,_xlfn.AGGREGATE(15,6,(ROW(DF$46:DF$94)-ROW(DF$46)+1)/(DF$46:DF$94&lt;&gt;""),ROWS(DM$1:DM46))),"")</f>
        <v>4405.145854569636</v>
      </c>
      <c r="DN91" s="166">
        <f t="shared" ca="1" si="11"/>
        <v>91</v>
      </c>
      <c r="DO91" s="164">
        <f ca="1">IFERROR(INDEX(DG$46:DG$94,_xlfn.AGGREGATE(15,6,(ROW(DG$46:DG$94)-ROW(DG$46)+1)/(DG$46:DG$94&lt;&gt;""),ROWS(DO$1:DO46))),"")</f>
        <v>45</v>
      </c>
      <c r="DP91" s="165">
        <f ca="1">IFERROR(INDEX(DH$46:DH$94,_xlfn.AGGREGATE(15,6,(ROW(DH$46:DH$94)-ROW(DH$46)+1)/(DH$46:DH$94&lt;&gt;""),ROWS(DP$1:DP46))),"")</f>
        <v>4405.145854569636</v>
      </c>
      <c r="DQ91" s="166">
        <f t="shared" ca="1" si="12"/>
        <v>91</v>
      </c>
      <c r="DV91" s="145">
        <v>2060</v>
      </c>
      <c r="DW91" s="146">
        <f t="shared" ca="1" si="13"/>
        <v>4457.1702875479205</v>
      </c>
      <c r="EA91" s="55"/>
      <c r="EB91" s="55"/>
      <c r="EC91" s="55"/>
      <c r="ED91" s="55"/>
      <c r="EE91" s="55"/>
    </row>
    <row r="92" spans="1:152" ht="13.8" x14ac:dyDescent="0.45">
      <c r="A92" s="214"/>
      <c r="B92" s="128">
        <v>2058</v>
      </c>
      <c r="C92" s="175"/>
      <c r="D92" s="159"/>
      <c r="E92" s="151"/>
      <c r="F92" s="152"/>
      <c r="G92" s="159"/>
      <c r="H92" s="204"/>
      <c r="I92" s="206"/>
      <c r="J92" s="207"/>
      <c r="K92" s="204"/>
      <c r="L92" s="206"/>
      <c r="M92" s="204"/>
      <c r="N92" s="29" t="s">
        <v>119</v>
      </c>
      <c r="Q92" s="176">
        <f t="shared" ca="1" si="17"/>
        <v>4352.8965849028918</v>
      </c>
      <c r="R92" s="29">
        <v>44</v>
      </c>
      <c r="S92" s="154">
        <f t="shared" ca="1" si="0"/>
        <v>4352.8965849028918</v>
      </c>
      <c r="T92" s="154">
        <f t="shared" ca="1" si="1"/>
        <v>4352.8965849028918</v>
      </c>
      <c r="U92" s="154">
        <f t="shared" ca="1" si="14"/>
        <v>0</v>
      </c>
      <c r="W92" s="154">
        <f t="shared" ca="1" si="2"/>
        <v>4352.8965849028918</v>
      </c>
      <c r="X92" s="154">
        <f t="shared" ca="1" si="15"/>
        <v>4352.8965849028918</v>
      </c>
      <c r="Y92" s="154">
        <f t="shared" ca="1" si="3"/>
        <v>4352.8965849028918</v>
      </c>
      <c r="AA92" s="133">
        <v>4352.9189863394622</v>
      </c>
      <c r="AB92" s="133">
        <v>4352.9189863394622</v>
      </c>
      <c r="AC92" s="133">
        <v>4352.9189863394622</v>
      </c>
      <c r="AD92" s="89"/>
      <c r="AE92" s="89"/>
      <c r="AF92" s="89"/>
      <c r="AG92" s="89"/>
      <c r="AH92" s="89"/>
      <c r="AI92" s="89"/>
      <c r="AJ92" s="89"/>
      <c r="AK92" s="89"/>
      <c r="AL92" s="89"/>
      <c r="AM92" s="89"/>
      <c r="AN92" s="89"/>
      <c r="BR92" s="180">
        <v>2056</v>
      </c>
      <c r="BS92" s="22">
        <v>42</v>
      </c>
      <c r="BT92" s="181">
        <f t="shared" ca="1" si="21"/>
        <v>2300.3995168588535</v>
      </c>
      <c r="BU92" s="182">
        <f t="shared" ca="1" si="22"/>
        <v>1950.2460259466402</v>
      </c>
      <c r="BV92" s="183">
        <f t="shared" ca="1" si="23"/>
        <v>4250.6455428054942</v>
      </c>
      <c r="BY92" s="180">
        <v>2056</v>
      </c>
      <c r="BZ92" s="22">
        <v>42</v>
      </c>
      <c r="CA92" s="185">
        <f t="shared" ca="1" si="24"/>
        <v>-19.315964616608998</v>
      </c>
      <c r="CB92" s="185">
        <f t="shared" ca="1" si="25"/>
        <v>2321.5550971532357</v>
      </c>
      <c r="CC92" s="185">
        <f t="shared" ca="1" si="35"/>
        <v>1946.4682437512145</v>
      </c>
      <c r="CD92" s="183">
        <f t="shared" ca="1" si="26"/>
        <v>4248.7073762878408</v>
      </c>
      <c r="CG92" s="180">
        <v>2056</v>
      </c>
      <c r="CH92" s="22">
        <v>42</v>
      </c>
      <c r="CI92" s="185">
        <f t="shared" ca="1" si="27"/>
        <v>-142.89094755918569</v>
      </c>
      <c r="CJ92" s="185">
        <f t="shared" ca="1" si="28"/>
        <v>215.43344923062489</v>
      </c>
      <c r="CK92" s="185">
        <f t="shared" ca="1" si="29"/>
        <v>2219.8141503650618</v>
      </c>
      <c r="CL92" s="185">
        <f t="shared" ca="1" si="30"/>
        <v>1955.2513850856349</v>
      </c>
      <c r="CM92" s="183">
        <f t="shared" ca="1" si="31"/>
        <v>4247.608037122136</v>
      </c>
      <c r="CP92" s="180">
        <v>2056</v>
      </c>
      <c r="CQ92" s="22">
        <v>42</v>
      </c>
      <c r="CR92" s="181">
        <f t="shared" ca="1" si="32"/>
        <v>2079.0972973977018</v>
      </c>
      <c r="CS92" s="182">
        <f t="shared" ca="1" si="33"/>
        <v>2.0993561149060751</v>
      </c>
      <c r="CT92" s="183">
        <f t="shared" ca="1" si="34"/>
        <v>4364.7656247765599</v>
      </c>
      <c r="CZ92" s="164" t="b">
        <f t="shared" ca="1" si="36"/>
        <v>1</v>
      </c>
      <c r="DA92" s="165" t="b">
        <f t="shared" ca="1" si="36"/>
        <v>1</v>
      </c>
      <c r="DB92" s="166" t="b">
        <f t="shared" ca="1" si="36"/>
        <v>1</v>
      </c>
      <c r="DC92" s="164">
        <f t="shared" ca="1" si="16"/>
        <v>44</v>
      </c>
      <c r="DD92" s="166">
        <f t="shared" ca="1" si="5"/>
        <v>4352.8965849028918</v>
      </c>
      <c r="DE92" s="164">
        <f t="shared" ca="1" si="6"/>
        <v>44</v>
      </c>
      <c r="DF92" s="166">
        <f t="shared" ca="1" si="7"/>
        <v>4352.8965849028918</v>
      </c>
      <c r="DG92" s="164">
        <f t="shared" ca="1" si="8"/>
        <v>44</v>
      </c>
      <c r="DH92" s="166">
        <f t="shared" ca="1" si="9"/>
        <v>4352.8965849028918</v>
      </c>
      <c r="DI92" s="164">
        <f ca="1">IFERROR(INDEX(DC$46:DC$94,_xlfn.AGGREGATE(15,6,(ROW(DC$46:DC$94)-ROW(DC$46)+1)/(DC$46:DC$94&lt;&gt;""),ROWS(DI$1:DI47))),"")</f>
        <v>46</v>
      </c>
      <c r="DJ92" s="165">
        <f ca="1">IFERROR(INDEX(DD$46:DD$94,_xlfn.AGGREGATE(15,6,(ROW(DD$46:DD$94)-ROW(DD$46)+1)/(DD$46:DD$94&lt;&gt;""),ROWS(DJ$1:DJ47))),"")</f>
        <v>4457.117344151724</v>
      </c>
      <c r="DK92" s="166">
        <f t="shared" ca="1" si="10"/>
        <v>92</v>
      </c>
      <c r="DL92" s="164">
        <f ca="1">IFERROR(INDEX(DE$46:DE$94,_xlfn.AGGREGATE(15,6,(ROW(DE$46:DE$94)-ROW(DE$46)+1)/(DE$46:DE$94&lt;&gt;""),ROWS(DL$1:DL47))),"")</f>
        <v>46</v>
      </c>
      <c r="DM92" s="165">
        <f ca="1">IFERROR(INDEX(DF$46:DF$94,_xlfn.AGGREGATE(15,6,(ROW(DF$46:DF$94)-ROW(DF$46)+1)/(DF$46:DF$94&lt;&gt;""),ROWS(DM$1:DM47))),"")</f>
        <v>4457.117344151724</v>
      </c>
      <c r="DN92" s="166">
        <f t="shared" ca="1" si="11"/>
        <v>92</v>
      </c>
      <c r="DO92" s="164">
        <f ca="1">IFERROR(INDEX(DG$46:DG$94,_xlfn.AGGREGATE(15,6,(ROW(DG$46:DG$94)-ROW(DG$46)+1)/(DG$46:DG$94&lt;&gt;""),ROWS(DO$1:DO47))),"")</f>
        <v>46</v>
      </c>
      <c r="DP92" s="165">
        <f ca="1">IFERROR(INDEX(DH$46:DH$94,_xlfn.AGGREGATE(15,6,(ROW(DH$46:DH$94)-ROW(DH$46)+1)/(DH$46:DH$94&lt;&gt;""),ROWS(DP$1:DP47))),"")</f>
        <v>4457.117344151724</v>
      </c>
      <c r="DQ92" s="166">
        <f t="shared" ca="1" si="12"/>
        <v>92</v>
      </c>
      <c r="DW92" s="54"/>
      <c r="EA92" s="55"/>
      <c r="EB92" s="55"/>
      <c r="EC92" s="55"/>
      <c r="ED92" s="55"/>
      <c r="EE92" s="55"/>
    </row>
    <row r="93" spans="1:152" ht="13.8" x14ac:dyDescent="0.45">
      <c r="A93" s="214"/>
      <c r="B93" s="128">
        <v>2059</v>
      </c>
      <c r="C93" s="175"/>
      <c r="D93" s="159"/>
      <c r="E93" s="151"/>
      <c r="F93" s="152"/>
      <c r="G93" s="159"/>
      <c r="H93" s="204"/>
      <c r="I93" s="206"/>
      <c r="J93" s="207"/>
      <c r="K93" s="204"/>
      <c r="L93" s="206"/>
      <c r="M93" s="204"/>
      <c r="N93" s="29" t="s">
        <v>119</v>
      </c>
      <c r="Q93" s="176">
        <f t="shared" ca="1" si="17"/>
        <v>4405.145854569636</v>
      </c>
      <c r="R93" s="29">
        <v>45</v>
      </c>
      <c r="S93" s="154">
        <f t="shared" ca="1" si="0"/>
        <v>4405.145854569636</v>
      </c>
      <c r="T93" s="154">
        <f t="shared" ca="1" si="1"/>
        <v>4405.145854569636</v>
      </c>
      <c r="U93" s="154">
        <f t="shared" ca="1" si="14"/>
        <v>0</v>
      </c>
      <c r="W93" s="154">
        <f t="shared" ca="1" si="2"/>
        <v>4405.145854569636</v>
      </c>
      <c r="X93" s="154">
        <f t="shared" ca="1" si="15"/>
        <v>4405.145854569636</v>
      </c>
      <c r="Y93" s="154">
        <f t="shared" ca="1" si="3"/>
        <v>4405.145854569636</v>
      </c>
      <c r="AA93" s="133">
        <v>4405.182878940408</v>
      </c>
      <c r="AB93" s="133">
        <v>4405.182878940408</v>
      </c>
      <c r="AC93" s="133">
        <v>4405.182878940408</v>
      </c>
      <c r="AD93" s="89"/>
      <c r="AE93" s="89"/>
      <c r="AF93" s="89"/>
      <c r="AG93" s="89"/>
      <c r="AH93" s="89"/>
      <c r="AI93" s="89"/>
      <c r="AJ93" s="89"/>
      <c r="AK93" s="89"/>
      <c r="AL93" s="89"/>
      <c r="AM93" s="89"/>
      <c r="AN93" s="89"/>
      <c r="BR93" s="180">
        <v>2057</v>
      </c>
      <c r="BS93" s="22">
        <v>43</v>
      </c>
      <c r="BT93" s="181">
        <f t="shared" ca="1" si="21"/>
        <v>2355.1709339269214</v>
      </c>
      <c r="BU93" s="182">
        <f t="shared" ca="1" si="22"/>
        <v>1950.2460259466402</v>
      </c>
      <c r="BV93" s="183">
        <f t="shared" ca="1" si="23"/>
        <v>4305.4169598735616</v>
      </c>
      <c r="BY93" s="180">
        <v>2057</v>
      </c>
      <c r="BZ93" s="22">
        <v>43</v>
      </c>
      <c r="CA93" s="185">
        <f t="shared" ca="1" si="24"/>
        <v>-20.246722548815214</v>
      </c>
      <c r="CB93" s="185">
        <f t="shared" ca="1" si="25"/>
        <v>2376.8302185140269</v>
      </c>
      <c r="CC93" s="185">
        <f t="shared" ca="1" si="35"/>
        <v>1946.4682437512145</v>
      </c>
      <c r="CD93" s="183">
        <f t="shared" ca="1" si="26"/>
        <v>4303.0517397164258</v>
      </c>
      <c r="CG93" s="180">
        <v>2057</v>
      </c>
      <c r="CH93" s="22">
        <v>43</v>
      </c>
      <c r="CI93" s="185">
        <f t="shared" ca="1" si="27"/>
        <v>-153.34238429419307</v>
      </c>
      <c r="CJ93" s="185">
        <f t="shared" ca="1" si="28"/>
        <v>225.81431271395999</v>
      </c>
      <c r="CK93" s="185">
        <f t="shared" ca="1" si="29"/>
        <v>2272.6668682308964</v>
      </c>
      <c r="CL93" s="185">
        <f t="shared" ca="1" si="30"/>
        <v>1955.2513850856349</v>
      </c>
      <c r="CM93" s="183">
        <f t="shared" ca="1" si="31"/>
        <v>4300.3901817362985</v>
      </c>
      <c r="CP93" s="180">
        <v>2057</v>
      </c>
      <c r="CQ93" s="22">
        <v>43</v>
      </c>
      <c r="CR93" s="181">
        <f t="shared" ca="1" si="32"/>
        <v>2079.0972973977018</v>
      </c>
      <c r="CS93" s="182">
        <f t="shared" ca="1" si="33"/>
        <v>2.136755504641406</v>
      </c>
      <c r="CT93" s="183">
        <f t="shared" ca="1" si="34"/>
        <v>4442.5225948996094</v>
      </c>
      <c r="CZ93" s="164" t="b">
        <f t="shared" ca="1" si="36"/>
        <v>1</v>
      </c>
      <c r="DA93" s="165" t="b">
        <f t="shared" ca="1" si="36"/>
        <v>1</v>
      </c>
      <c r="DB93" s="166" t="b">
        <f t="shared" ca="1" si="36"/>
        <v>1</v>
      </c>
      <c r="DC93" s="164">
        <f t="shared" ca="1" si="16"/>
        <v>45</v>
      </c>
      <c r="DD93" s="166">
        <f t="shared" ca="1" si="5"/>
        <v>4405.145854569636</v>
      </c>
      <c r="DE93" s="164">
        <f t="shared" ca="1" si="6"/>
        <v>45</v>
      </c>
      <c r="DF93" s="166">
        <f t="shared" ca="1" si="7"/>
        <v>4405.145854569636</v>
      </c>
      <c r="DG93" s="164">
        <f t="shared" ca="1" si="8"/>
        <v>45</v>
      </c>
      <c r="DH93" s="166">
        <f t="shared" ca="1" si="9"/>
        <v>4405.145854569636</v>
      </c>
      <c r="DI93" s="164" t="str">
        <f ca="1">IFERROR(INDEX(DC$46:DC$94,_xlfn.AGGREGATE(15,6,(ROW(DC$46:DC$94)-ROW(DC$46)+1)/(DC$46:DC$94&lt;&gt;""),ROWS(DI$1:DI48))),"")</f>
        <v/>
      </c>
      <c r="DJ93" s="165" t="str">
        <f ca="1">IFERROR(INDEX(DD$46:DD$94,_xlfn.AGGREGATE(15,6,(ROW(DD$46:DD$94)-ROW(DD$46)+1)/(DD$46:DD$94&lt;&gt;""),ROWS(DJ$1:DJ48))),"")</f>
        <v/>
      </c>
      <c r="DK93" s="166" t="str">
        <f t="shared" ca="1" si="10"/>
        <v/>
      </c>
      <c r="DL93" s="164" t="str">
        <f ca="1">IFERROR(INDEX(DE$46:DE$94,_xlfn.AGGREGATE(15,6,(ROW(DE$46:DE$94)-ROW(DE$46)+1)/(DE$46:DE$94&lt;&gt;""),ROWS(DL$1:DL48))),"")</f>
        <v/>
      </c>
      <c r="DM93" s="165" t="str">
        <f ca="1">IFERROR(INDEX(DF$46:DF$94,_xlfn.AGGREGATE(15,6,(ROW(DF$46:DF$94)-ROW(DF$46)+1)/(DF$46:DF$94&lt;&gt;""),ROWS(DM$1:DM48))),"")</f>
        <v/>
      </c>
      <c r="DN93" s="166" t="str">
        <f t="shared" ca="1" si="11"/>
        <v/>
      </c>
      <c r="DO93" s="164" t="str">
        <f ca="1">IFERROR(INDEX(DG$46:DG$94,_xlfn.AGGREGATE(15,6,(ROW(DG$46:DG$94)-ROW(DG$46)+1)/(DG$46:DG$94&lt;&gt;""),ROWS(DO$1:DO48))),"")</f>
        <v/>
      </c>
      <c r="DP93" s="165" t="str">
        <f ca="1">IFERROR(INDEX(DH$46:DH$94,_xlfn.AGGREGATE(15,6,(ROW(DH$46:DH$94)-ROW(DH$46)+1)/(DH$46:DH$94&lt;&gt;""),ROWS(DP$1:DP48))),"")</f>
        <v/>
      </c>
      <c r="DQ93" s="166" t="str">
        <f t="shared" ca="1" si="12"/>
        <v/>
      </c>
      <c r="DW93" s="54"/>
      <c r="EA93" s="55"/>
      <c r="EB93" s="55"/>
      <c r="EC93" s="55"/>
      <c r="ED93" s="55"/>
      <c r="EE93" s="55"/>
    </row>
    <row r="94" spans="1:152" ht="13.8" x14ac:dyDescent="0.45">
      <c r="A94" s="214"/>
      <c r="B94" s="128">
        <v>2060</v>
      </c>
      <c r="C94" s="175"/>
      <c r="D94" s="159"/>
      <c r="E94" s="151"/>
      <c r="F94" s="152"/>
      <c r="G94" s="159"/>
      <c r="H94" s="216"/>
      <c r="I94" s="217"/>
      <c r="J94" s="218"/>
      <c r="K94" s="216"/>
      <c r="L94" s="217"/>
      <c r="M94" s="216"/>
      <c r="N94" s="29" t="s">
        <v>119</v>
      </c>
      <c r="O94" s="219"/>
      <c r="P94" s="120"/>
      <c r="Q94" s="176">
        <f t="shared" ca="1" si="17"/>
        <v>4457.117344151724</v>
      </c>
      <c r="R94" s="29">
        <v>46</v>
      </c>
      <c r="S94" s="154">
        <f t="shared" ca="1" si="0"/>
        <v>4457.117344151724</v>
      </c>
      <c r="T94" s="154">
        <f t="shared" ca="1" si="1"/>
        <v>4457.117344151724</v>
      </c>
      <c r="U94" s="154">
        <f ca="1">IF(T94="","",IF($B$36=$A$45,_xlfn.STDEV.P(C94:Q94),IF($B$36=$A$62,_xlfn.STDEV.P(C94:E94),IF($B$36=$A$63,_xlfn.STDEV.P(F94:H94),IF($B$36=$A$64,_xlfn.STDEV.P(I94:K94),IF($B$36=$A$65,_xlfn.STDEV.P(L94:M94)))))))</f>
        <v>0</v>
      </c>
      <c r="W94" s="154">
        <f t="shared" ca="1" si="2"/>
        <v>4457.117344151724</v>
      </c>
      <c r="X94" s="154">
        <f ca="1">IF(U94="",#N/A,IF($B$36=$A$62,(SUM(C94:E94)/COUNTIF(C94:E94,"&gt;0")),IF($B$36=$A$63,(SUM(F94:H94)/COUNTIF(F94:H94,"&gt;0")),IF($B$36=$A$64,(SUM(I94:K94)/COUNTIF(I94:K94,"&gt;0")),IF($B$36=$A$65,(SUM(L94:M94)/COUNTIF(L94:M94,"&gt;0")),(IF($B$36=$A$46,IF(C94="",#N/A,C94),IF($B$36=$A$47,IF(D94="",#N/A,D94),IF($B$36=$A$48,IF(E94="",#N/A,E94),IF($B$36=$A$49,IF(F94="",#N/A,F94),IF($B$36=$A$50,IF(G94="",#N/A,G94),IF($B$36=$A$51,IF(H94="",#N/A,H94),IF($B$36=$A$52,IF(I94="",#N/A,I94),IF($B$36=$A$53,IF(J94="",#N/A,J94),IF($B$36=$A$54,IF(K94="",#N/A,K94),IF($B$36=$A$55,IF(L94="",#N/A,L94),IF($B$36=$A$56,IF(M94="",#N/A,M94),IF(U94="",#N/A,(SUM(C94:Q94)/COUNTIFS(C94:Q94,"&gt;0"))))))))))))))))))))</f>
        <v>4457.117344151724</v>
      </c>
      <c r="Y94" s="154">
        <f t="shared" ca="1" si="3"/>
        <v>4457.117344151724</v>
      </c>
      <c r="AA94" s="133">
        <v>4457.1702875479205</v>
      </c>
      <c r="AB94" s="133">
        <v>4457.1702875479205</v>
      </c>
      <c r="AC94" s="133">
        <v>4457.1702875479205</v>
      </c>
      <c r="AD94" s="89"/>
      <c r="AE94" s="89"/>
      <c r="AF94" s="89"/>
      <c r="AG94" s="89"/>
      <c r="AH94" s="89"/>
      <c r="AI94" s="89"/>
      <c r="AJ94" s="89"/>
      <c r="AK94" s="89"/>
      <c r="AL94" s="89"/>
      <c r="AM94" s="89"/>
      <c r="AN94" s="89"/>
      <c r="BR94" s="180">
        <v>2058</v>
      </c>
      <c r="BS94" s="22">
        <v>44</v>
      </c>
      <c r="BT94" s="181">
        <f t="shared" ca="1" si="21"/>
        <v>2409.9423509949893</v>
      </c>
      <c r="BU94" s="182">
        <f t="shared" ca="1" si="22"/>
        <v>1950.2460259466402</v>
      </c>
      <c r="BV94" s="183">
        <f t="shared" ca="1" si="23"/>
        <v>4360.188376941629</v>
      </c>
      <c r="BY94" s="180">
        <v>2058</v>
      </c>
      <c r="BZ94" s="22">
        <v>44</v>
      </c>
      <c r="CA94" s="185">
        <f t="shared" ca="1" si="24"/>
        <v>-21.199380667661579</v>
      </c>
      <c r="CB94" s="185">
        <f t="shared" ca="1" si="25"/>
        <v>2432.1053398748181</v>
      </c>
      <c r="CC94" s="185">
        <f t="shared" ca="1" si="35"/>
        <v>1946.4682437512145</v>
      </c>
      <c r="CD94" s="183">
        <f t="shared" ca="1" si="26"/>
        <v>4357.3742029583709</v>
      </c>
      <c r="CG94" s="180">
        <v>2058</v>
      </c>
      <c r="CH94" s="22">
        <v>44</v>
      </c>
      <c r="CI94" s="185">
        <f t="shared" ca="1" si="27"/>
        <v>-164.29141665157209</v>
      </c>
      <c r="CJ94" s="185">
        <f t="shared" ca="1" si="28"/>
        <v>236.43943180866768</v>
      </c>
      <c r="CK94" s="185">
        <f t="shared" ca="1" si="29"/>
        <v>2325.5195860967315</v>
      </c>
      <c r="CL94" s="185">
        <f t="shared" ca="1" si="30"/>
        <v>1955.2513850856349</v>
      </c>
      <c r="CM94" s="183">
        <f t="shared" ca="1" si="31"/>
        <v>4352.9189863394622</v>
      </c>
      <c r="CP94" s="180">
        <v>2058</v>
      </c>
      <c r="CQ94" s="22">
        <v>44</v>
      </c>
      <c r="CR94" s="181">
        <f t="shared" ca="1" si="32"/>
        <v>2079.0972973977018</v>
      </c>
      <c r="CS94" s="182">
        <f t="shared" ca="1" si="33"/>
        <v>2.1748211531132347</v>
      </c>
      <c r="CT94" s="183">
        <f t="shared" ca="1" si="34"/>
        <v>4521.6647817610792</v>
      </c>
      <c r="CZ94" s="164" t="b">
        <f t="shared" ca="1" si="36"/>
        <v>1</v>
      </c>
      <c r="DA94" s="165" t="b">
        <f t="shared" ca="1" si="36"/>
        <v>1</v>
      </c>
      <c r="DB94" s="166" t="b">
        <f t="shared" ca="1" si="36"/>
        <v>1</v>
      </c>
      <c r="DC94" s="164">
        <f t="shared" ca="1" si="16"/>
        <v>46</v>
      </c>
      <c r="DD94" s="166">
        <f t="shared" ca="1" si="5"/>
        <v>4457.117344151724</v>
      </c>
      <c r="DE94" s="164">
        <f t="shared" ca="1" si="6"/>
        <v>46</v>
      </c>
      <c r="DF94" s="166">
        <f t="shared" ca="1" si="7"/>
        <v>4457.117344151724</v>
      </c>
      <c r="DG94" s="164">
        <f t="shared" ca="1" si="8"/>
        <v>46</v>
      </c>
      <c r="DH94" s="166">
        <f t="shared" ca="1" si="9"/>
        <v>4457.117344151724</v>
      </c>
      <c r="DI94" s="164" t="str">
        <f ca="1">IFERROR(INDEX(DC$46:DC$94,_xlfn.AGGREGATE(15,6,(ROW(DC$46:DC$94)-ROW(DC$46)+1)/(DC$46:DC$94&lt;&gt;""),ROWS(DI$1:DI49))),"")</f>
        <v/>
      </c>
      <c r="DJ94" s="165" t="str">
        <f ca="1">IFERROR(INDEX(DD$46:DD$94,_xlfn.AGGREGATE(15,6,(ROW(DD$46:DD$94)-ROW(DD$46)+1)/(DD$46:DD$94&lt;&gt;""),ROWS(DJ$1:DJ49))),"")</f>
        <v/>
      </c>
      <c r="DK94" s="166" t="str">
        <f t="shared" ca="1" si="10"/>
        <v/>
      </c>
      <c r="DL94" s="164" t="str">
        <f ca="1">IFERROR(INDEX(DE$46:DE$94,_xlfn.AGGREGATE(15,6,(ROW(DE$46:DE$94)-ROW(DE$46)+1)/(DE$46:DE$94&lt;&gt;""),ROWS(DL$1:DL49))),"")</f>
        <v/>
      </c>
      <c r="DM94" s="165" t="str">
        <f ca="1">IFERROR(INDEX(DF$46:DF$94,_xlfn.AGGREGATE(15,6,(ROW(DF$46:DF$94)-ROW(DF$46)+1)/(DF$46:DF$94&lt;&gt;""),ROWS(DM$1:DM49))),"")</f>
        <v/>
      </c>
      <c r="DN94" s="166" t="str">
        <f t="shared" ca="1" si="11"/>
        <v/>
      </c>
      <c r="DO94" s="164" t="str">
        <f ca="1">IFERROR(INDEX(DG$46:DG$94,_xlfn.AGGREGATE(15,6,(ROW(DG$46:DG$94)-ROW(DG$46)+1)/(DG$46:DG$94&lt;&gt;""),ROWS(DO$1:DO49))),"")</f>
        <v/>
      </c>
      <c r="DP94" s="165" t="str">
        <f ca="1">IFERROR(INDEX(DH$46:DH$94,_xlfn.AGGREGATE(15,6,(ROW(DH$46:DH$94)-ROW(DH$46)+1)/(DH$46:DH$94&lt;&gt;""),ROWS(DP$1:DP49))),"")</f>
        <v/>
      </c>
      <c r="DQ94" s="166" t="str">
        <f t="shared" ca="1" si="12"/>
        <v/>
      </c>
      <c r="DW94" s="54"/>
      <c r="EA94" s="55"/>
      <c r="EB94" s="55"/>
      <c r="EC94" s="55"/>
      <c r="ED94" s="55"/>
      <c r="EE94" s="55"/>
    </row>
    <row r="95" spans="1:152" ht="13.8" x14ac:dyDescent="0.45">
      <c r="A95" s="214"/>
      <c r="B95" s="89"/>
      <c r="C95" s="14"/>
      <c r="D95" s="14"/>
      <c r="E95" s="14"/>
      <c r="F95" s="14"/>
      <c r="G95" s="14"/>
      <c r="H95" s="14"/>
      <c r="I95" s="14"/>
      <c r="J95" s="14"/>
      <c r="K95" s="14"/>
      <c r="L95" s="14"/>
      <c r="M95" s="50"/>
      <c r="N95" s="29"/>
      <c r="O95" s="220"/>
      <c r="P95" s="120"/>
      <c r="Q95" s="120"/>
      <c r="R95" s="120"/>
      <c r="S95" s="120"/>
      <c r="T95" s="120"/>
      <c r="U95" s="120"/>
      <c r="V95" s="120"/>
      <c r="W95" s="120"/>
      <c r="X95" s="120"/>
      <c r="Y95" s="120"/>
      <c r="AA95" s="89"/>
      <c r="AB95" s="89"/>
      <c r="AC95" s="89"/>
      <c r="AD95" s="89"/>
      <c r="AE95" s="89"/>
      <c r="AF95" s="89"/>
      <c r="AG95" s="89"/>
      <c r="AH95" s="89"/>
      <c r="AI95" s="89"/>
      <c r="AJ95" s="89"/>
      <c r="AK95" s="89"/>
      <c r="AL95" s="89"/>
      <c r="AM95" s="89"/>
      <c r="AN95" s="89"/>
      <c r="BR95" s="180">
        <v>2059</v>
      </c>
      <c r="BS95" s="22">
        <v>45</v>
      </c>
      <c r="BT95" s="181">
        <f t="shared" ca="1" si="21"/>
        <v>2464.7137680630572</v>
      </c>
      <c r="BU95" s="182">
        <f t="shared" ca="1" si="22"/>
        <v>1950.2460259466402</v>
      </c>
      <c r="BV95" s="183">
        <f t="shared" ca="1" si="23"/>
        <v>4414.9597940096974</v>
      </c>
      <c r="BX95" s="29"/>
      <c r="BY95" s="180">
        <v>2059</v>
      </c>
      <c r="BZ95" s="22">
        <v>45</v>
      </c>
      <c r="CA95" s="185">
        <f t="shared" ca="1" si="24"/>
        <v>-22.173938973148086</v>
      </c>
      <c r="CB95" s="185">
        <f t="shared" ca="1" si="25"/>
        <v>2487.3804612356098</v>
      </c>
      <c r="CC95" s="185">
        <f t="shared" ca="1" si="35"/>
        <v>1946.4682437512145</v>
      </c>
      <c r="CD95" s="183">
        <f t="shared" ca="1" si="26"/>
        <v>4411.6747660136762</v>
      </c>
      <c r="CG95" s="180">
        <v>2059</v>
      </c>
      <c r="CH95" s="22">
        <v>45</v>
      </c>
      <c r="CI95" s="185">
        <f t="shared" ca="1" si="27"/>
        <v>-175.74961662254069</v>
      </c>
      <c r="CJ95" s="185">
        <f t="shared" ca="1" si="28"/>
        <v>247.30880651474797</v>
      </c>
      <c r="CK95" s="185">
        <f t="shared" ca="1" si="29"/>
        <v>2378.3723039625661</v>
      </c>
      <c r="CL95" s="185">
        <f t="shared" ca="1" si="30"/>
        <v>1955.2513850856349</v>
      </c>
      <c r="CM95" s="183">
        <f t="shared" ca="1" si="31"/>
        <v>4405.182878940408</v>
      </c>
      <c r="CP95" s="180">
        <v>2059</v>
      </c>
      <c r="CQ95" s="22">
        <v>45</v>
      </c>
      <c r="CR95" s="181">
        <f t="shared" ca="1" si="32"/>
        <v>2079.0972973977018</v>
      </c>
      <c r="CS95" s="182">
        <f t="shared" ca="1" si="33"/>
        <v>2.2135649295180126</v>
      </c>
      <c r="CT95" s="183">
        <f t="shared" ca="1" si="34"/>
        <v>4602.2168625752347</v>
      </c>
      <c r="CZ95" s="156"/>
      <c r="DA95" s="156"/>
      <c r="DB95" s="156"/>
      <c r="DC95" s="156"/>
      <c r="DD95" s="156"/>
      <c r="DE95" s="156"/>
      <c r="DF95" s="156"/>
      <c r="DG95" s="156"/>
      <c r="DH95" s="156"/>
      <c r="DI95" s="156"/>
      <c r="DJ95" s="156"/>
      <c r="DK95" s="156"/>
      <c r="DL95" s="156"/>
      <c r="DM95" s="156"/>
      <c r="DN95" s="156"/>
      <c r="DO95" s="156"/>
      <c r="DP95" s="156"/>
      <c r="DQ95" s="156"/>
      <c r="DU95" s="65"/>
      <c r="DW95" s="54"/>
      <c r="EA95" s="55"/>
      <c r="EB95" s="55"/>
      <c r="EC95" s="55"/>
      <c r="ED95" s="55"/>
      <c r="EE95" s="55"/>
    </row>
    <row r="96" spans="1:152" ht="13.8" x14ac:dyDescent="0.45">
      <c r="A96" s="214"/>
      <c r="B96" s="89"/>
      <c r="C96" s="14"/>
      <c r="D96" s="14"/>
      <c r="E96" s="14"/>
      <c r="F96" s="14"/>
      <c r="G96" s="14"/>
      <c r="H96" s="14"/>
      <c r="I96" s="14"/>
      <c r="J96" s="14"/>
      <c r="K96" s="14"/>
      <c r="L96" s="14"/>
      <c r="M96" s="50"/>
      <c r="N96" s="29"/>
      <c r="O96" s="220"/>
      <c r="P96" s="120"/>
      <c r="Q96" s="120"/>
      <c r="R96" s="120"/>
      <c r="S96" s="120"/>
      <c r="T96" s="120"/>
      <c r="U96" s="120"/>
      <c r="V96" s="120"/>
      <c r="W96" s="120"/>
      <c r="X96" s="120"/>
      <c r="Y96" s="120"/>
      <c r="AA96" s="89"/>
      <c r="AB96" s="89"/>
      <c r="AC96" s="89"/>
      <c r="AD96" s="89"/>
      <c r="AE96" s="89"/>
      <c r="AF96" s="89"/>
      <c r="AG96" s="89"/>
      <c r="AH96" s="89"/>
      <c r="AI96" s="89"/>
      <c r="AJ96" s="89"/>
      <c r="AK96" s="89"/>
      <c r="AL96" s="89"/>
      <c r="AM96" s="89"/>
      <c r="AN96" s="89"/>
      <c r="BR96" s="180">
        <v>2060</v>
      </c>
      <c r="BS96" s="22">
        <v>46</v>
      </c>
      <c r="BT96" s="181">
        <f ca="1">IF($BS$46="High",BS96*$BT$47,IF($BS$46="Medium",$BT$48*BS96,IF($BS$46="Low",$BT$49*BS96)))</f>
        <v>2519.485185131125</v>
      </c>
      <c r="BU96" s="182">
        <f t="shared" ca="1" si="22"/>
        <v>1950.2460259466402</v>
      </c>
      <c r="BV96" s="183">
        <f t="shared" ca="1" si="23"/>
        <v>4469.7312110777657</v>
      </c>
      <c r="BY96" s="180">
        <v>2060</v>
      </c>
      <c r="BZ96" s="22">
        <v>46</v>
      </c>
      <c r="CA96" s="185">
        <f t="shared" ca="1" si="24"/>
        <v>-23.170397465274739</v>
      </c>
      <c r="CB96" s="185">
        <f t="shared" ca="1" si="25"/>
        <v>2542.655582596401</v>
      </c>
      <c r="CC96" s="185">
        <f t="shared" ca="1" si="35"/>
        <v>1946.4682437512145</v>
      </c>
      <c r="CD96" s="183">
        <f t="shared" ca="1" si="26"/>
        <v>4465.9534288823406</v>
      </c>
      <c r="CG96" s="180">
        <v>2060</v>
      </c>
      <c r="CH96" s="22">
        <v>46</v>
      </c>
      <c r="CI96" s="185">
        <f t="shared" ca="1" si="27"/>
        <v>-187.72855619831682</v>
      </c>
      <c r="CJ96" s="185">
        <f t="shared" ca="1" si="28"/>
        <v>258.42243683220084</v>
      </c>
      <c r="CK96" s="185">
        <f t="shared" ca="1" si="29"/>
        <v>2431.2250218284012</v>
      </c>
      <c r="CL96" s="185">
        <f t="shared" ca="1" si="30"/>
        <v>1955.2513850856349</v>
      </c>
      <c r="CM96" s="183">
        <f t="shared" ca="1" si="31"/>
        <v>4457.1702875479205</v>
      </c>
      <c r="CP96" s="180">
        <v>2060</v>
      </c>
      <c r="CQ96" s="22">
        <v>46</v>
      </c>
      <c r="CR96" s="181">
        <f t="shared" ca="1" si="32"/>
        <v>2079.0972973977018</v>
      </c>
      <c r="CS96" s="182">
        <f t="shared" ca="1" si="33"/>
        <v>2.2529989144983111</v>
      </c>
      <c r="CT96" s="183">
        <f t="shared" ca="1" si="34"/>
        <v>4684.2039541733948</v>
      </c>
      <c r="CZ96" s="165"/>
      <c r="DA96" s="165"/>
      <c r="DB96" s="165"/>
      <c r="DC96" s="165"/>
      <c r="DD96" s="165"/>
      <c r="DE96" s="165"/>
      <c r="DF96" s="165"/>
      <c r="DG96" s="165"/>
      <c r="DH96" s="165"/>
      <c r="DI96" s="165"/>
      <c r="DJ96" s="165"/>
      <c r="DK96" s="165"/>
      <c r="DL96" s="165"/>
      <c r="DM96" s="165"/>
      <c r="DN96" s="165"/>
      <c r="DO96" s="165"/>
      <c r="DP96" s="165"/>
      <c r="DQ96" s="165"/>
      <c r="DW96" s="54"/>
      <c r="EA96" s="55"/>
      <c r="EB96" s="55"/>
      <c r="EC96" s="55"/>
      <c r="ED96" s="55"/>
      <c r="EE96" s="55"/>
    </row>
    <row r="97" spans="1:135" x14ac:dyDescent="0.4">
      <c r="A97" s="221" t="str">
        <f ca="1">HYPERLINK("#"&amp;"'"&amp;A$1&amp;"'!a1","Back to top")</f>
        <v>Back to top</v>
      </c>
      <c r="C97" s="50"/>
      <c r="D97" s="14"/>
      <c r="E97" s="14"/>
      <c r="F97" s="14"/>
      <c r="G97" s="14"/>
      <c r="H97" s="14"/>
      <c r="I97" s="14"/>
      <c r="J97" s="14"/>
      <c r="K97" s="14"/>
      <c r="L97" s="14"/>
      <c r="M97" s="14"/>
      <c r="N97" s="29"/>
      <c r="O97" s="222"/>
      <c r="P97" s="223"/>
      <c r="Q97" s="223"/>
      <c r="R97" s="223"/>
      <c r="S97" s="223"/>
      <c r="T97" s="223"/>
      <c r="U97" s="223"/>
      <c r="V97" s="223"/>
      <c r="W97" s="223"/>
      <c r="X97" s="223"/>
      <c r="Y97" s="223"/>
      <c r="Z97" s="89"/>
      <c r="AA97" s="89"/>
      <c r="AB97" s="89"/>
      <c r="AC97" s="89"/>
      <c r="AD97" s="89"/>
      <c r="AE97" s="89"/>
      <c r="AF97" s="89"/>
      <c r="AG97" s="89"/>
      <c r="AH97" s="89"/>
      <c r="AI97" s="89"/>
      <c r="AJ97" s="89"/>
      <c r="AK97" s="89"/>
      <c r="AL97" s="89"/>
      <c r="AM97" s="89"/>
      <c r="AN97" s="89"/>
      <c r="CZ97" s="89"/>
      <c r="DA97" s="89"/>
      <c r="DB97" s="89"/>
      <c r="DC97" s="89"/>
      <c r="DD97" s="89"/>
      <c r="DE97" s="89"/>
      <c r="DF97" s="89"/>
      <c r="DG97" s="89"/>
      <c r="DH97" s="89"/>
      <c r="DI97" s="89"/>
      <c r="DJ97" s="89"/>
      <c r="DK97" s="89"/>
      <c r="DL97" s="89"/>
      <c r="DM97" s="89"/>
      <c r="DN97" s="89"/>
      <c r="DO97" s="89"/>
      <c r="DP97" s="89"/>
      <c r="DQ97" s="89"/>
      <c r="DW97" s="54"/>
      <c r="EA97" s="55"/>
      <c r="EB97" s="55"/>
      <c r="EC97" s="55"/>
      <c r="ED97" s="55"/>
      <c r="EE97" s="55"/>
    </row>
    <row r="98" spans="1:135" x14ac:dyDescent="0.4">
      <c r="A98" s="221"/>
      <c r="C98" s="50"/>
      <c r="D98" s="14"/>
      <c r="E98" s="14"/>
      <c r="F98" s="14"/>
      <c r="G98" s="14"/>
      <c r="H98" s="14"/>
      <c r="I98" s="14"/>
      <c r="J98" s="14"/>
      <c r="K98" s="14"/>
      <c r="L98" s="14"/>
      <c r="M98" s="14"/>
      <c r="N98" s="29"/>
      <c r="O98" s="224"/>
      <c r="P98" s="89"/>
      <c r="Q98" s="89"/>
      <c r="R98" s="89"/>
      <c r="S98" s="89"/>
      <c r="T98" s="89"/>
      <c r="U98" s="89"/>
      <c r="V98" s="89"/>
      <c r="W98" s="89"/>
      <c r="X98" s="89"/>
      <c r="Y98" s="89"/>
      <c r="Z98" s="89"/>
      <c r="AA98" s="89"/>
      <c r="AB98" s="89"/>
      <c r="AC98" s="89"/>
      <c r="AD98" s="89"/>
      <c r="AE98" s="89"/>
      <c r="AF98" s="89"/>
      <c r="AG98" s="89"/>
      <c r="AH98" s="89"/>
      <c r="AI98" s="89"/>
      <c r="AJ98" s="89"/>
      <c r="AK98" s="89"/>
      <c r="AL98" s="89"/>
      <c r="AM98" s="89"/>
      <c r="AN98" s="89"/>
      <c r="DW98" s="54"/>
      <c r="EA98" s="55"/>
      <c r="EB98" s="55"/>
      <c r="EC98" s="55"/>
      <c r="ED98" s="55"/>
      <c r="EE98" s="55"/>
    </row>
    <row r="99" spans="1:135" x14ac:dyDescent="0.4">
      <c r="A99" s="221"/>
      <c r="C99" s="50"/>
      <c r="D99" s="14"/>
      <c r="E99" s="14"/>
      <c r="F99" s="14"/>
      <c r="G99" s="14"/>
      <c r="H99" s="14"/>
      <c r="I99" s="14"/>
      <c r="J99" s="14"/>
      <c r="K99" s="14"/>
      <c r="L99" s="14"/>
      <c r="M99" s="14"/>
      <c r="Z99" s="89"/>
      <c r="AA99" s="89"/>
      <c r="AB99" s="89"/>
      <c r="AC99" s="89"/>
      <c r="AD99" s="89"/>
      <c r="AE99" s="89"/>
      <c r="AF99" s="89"/>
      <c r="AG99" s="89"/>
      <c r="AH99" s="89"/>
      <c r="AI99" s="89"/>
      <c r="AJ99" s="89"/>
      <c r="AK99" s="89"/>
      <c r="AL99" s="89"/>
      <c r="AM99" s="89"/>
      <c r="AN99" s="89"/>
      <c r="DW99" s="54"/>
      <c r="EA99" s="55"/>
      <c r="EB99" s="55"/>
      <c r="EC99" s="55"/>
      <c r="ED99" s="55"/>
      <c r="EE99" s="55"/>
    </row>
    <row r="100" spans="1:135" x14ac:dyDescent="0.4">
      <c r="A100" s="225" t="s">
        <v>97</v>
      </c>
      <c r="C100" s="226"/>
      <c r="D100" s="227"/>
      <c r="E100" s="227"/>
      <c r="F100" s="227"/>
      <c r="G100" s="227"/>
      <c r="H100" s="227"/>
      <c r="I100" s="227"/>
      <c r="J100" s="227"/>
      <c r="K100" s="227"/>
      <c r="L100" s="227"/>
      <c r="M100" s="227"/>
      <c r="N100" s="228"/>
      <c r="O100" s="228"/>
      <c r="P100" s="228"/>
      <c r="Q100" s="228"/>
      <c r="R100" s="228"/>
      <c r="S100" s="228"/>
      <c r="T100" s="228"/>
      <c r="U100" s="228"/>
      <c r="V100" s="228"/>
      <c r="W100" s="228"/>
      <c r="X100" s="228"/>
      <c r="Y100" s="228"/>
      <c r="Z100" s="228"/>
      <c r="AA100" s="228"/>
      <c r="AB100" s="228"/>
      <c r="AC100" s="228"/>
      <c r="AD100" s="228"/>
      <c r="AE100" s="228"/>
      <c r="AF100" s="228"/>
      <c r="AG100" s="228"/>
      <c r="AH100" s="228"/>
      <c r="AI100" s="228"/>
      <c r="AJ100" s="228"/>
      <c r="AK100" s="228"/>
      <c r="AL100" s="228"/>
      <c r="AM100" s="228"/>
      <c r="AN100" s="228"/>
      <c r="DW100" s="229"/>
      <c r="EA100" s="230"/>
      <c r="EB100" s="230"/>
      <c r="EC100" s="230"/>
      <c r="ED100" s="230"/>
      <c r="EE100" s="230"/>
    </row>
    <row r="101" spans="1:135" x14ac:dyDescent="0.4">
      <c r="C101" s="50"/>
      <c r="D101" s="14"/>
      <c r="E101" s="14"/>
      <c r="F101" s="14"/>
      <c r="G101" s="14"/>
      <c r="H101" s="14"/>
      <c r="I101" s="14"/>
      <c r="J101" s="14"/>
      <c r="K101" s="14"/>
      <c r="L101" s="14"/>
      <c r="M101" s="14"/>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DW101" s="54"/>
      <c r="EA101" s="55"/>
      <c r="EB101" s="55"/>
      <c r="EC101" s="55"/>
      <c r="ED101" s="55"/>
      <c r="EE101" s="55"/>
    </row>
    <row r="102" spans="1:135" x14ac:dyDescent="0.4">
      <c r="A102" s="231" t="s">
        <v>98</v>
      </c>
      <c r="B102" s="690"/>
      <c r="C102" s="690"/>
      <c r="D102" s="690"/>
      <c r="E102" s="690"/>
      <c r="F102" s="690"/>
      <c r="G102" s="690"/>
      <c r="H102" s="690"/>
      <c r="I102" s="690"/>
      <c r="J102" s="690"/>
      <c r="K102" s="690"/>
      <c r="L102" s="690"/>
      <c r="M102" s="25"/>
      <c r="N102" s="29"/>
      <c r="O102" s="29"/>
      <c r="P102" s="29"/>
      <c r="Q102" s="29"/>
      <c r="R102" s="29"/>
      <c r="S102" s="29"/>
      <c r="T102" s="29"/>
      <c r="U102" s="29"/>
      <c r="V102" s="29"/>
      <c r="W102" s="691"/>
      <c r="X102" s="691"/>
      <c r="Y102" s="691"/>
      <c r="Z102" s="89"/>
      <c r="AA102" s="89"/>
      <c r="AB102" s="232" t="s">
        <v>98</v>
      </c>
      <c r="AC102" s="89"/>
      <c r="AD102" s="89"/>
      <c r="AE102" s="89"/>
      <c r="AF102" s="89"/>
      <c r="AG102" s="89"/>
      <c r="AH102" s="89"/>
      <c r="AI102" s="89"/>
      <c r="AJ102" s="89"/>
      <c r="AK102" s="89"/>
      <c r="AL102" s="89"/>
      <c r="AM102" s="231" t="s">
        <v>98</v>
      </c>
      <c r="AN102" s="89"/>
      <c r="AZ102" s="231" t="s">
        <v>98</v>
      </c>
      <c r="BJ102" s="231" t="s">
        <v>98</v>
      </c>
      <c r="BR102" s="231" t="s">
        <v>98</v>
      </c>
      <c r="BY102" s="231" t="s">
        <v>98</v>
      </c>
      <c r="CG102" s="231" t="s">
        <v>98</v>
      </c>
      <c r="CP102" s="231" t="s">
        <v>98</v>
      </c>
      <c r="DV102" s="231" t="s">
        <v>98</v>
      </c>
      <c r="DW102" s="54"/>
      <c r="EA102" s="55"/>
      <c r="EB102" s="55"/>
      <c r="EC102" s="55"/>
      <c r="ED102" s="55"/>
      <c r="EE102" s="55"/>
    </row>
    <row r="103" spans="1:135" x14ac:dyDescent="0.4">
      <c r="A103" s="233"/>
      <c r="B103" s="679"/>
      <c r="C103" s="679"/>
      <c r="D103" s="113"/>
      <c r="E103" s="113"/>
      <c r="F103" s="113"/>
      <c r="G103" s="113"/>
      <c r="H103" s="113"/>
      <c r="I103" s="113"/>
      <c r="J103" s="113"/>
      <c r="K103" s="113"/>
      <c r="L103" s="113"/>
      <c r="M103" s="113"/>
      <c r="N103" s="114"/>
      <c r="O103" s="114"/>
      <c r="P103" s="114"/>
      <c r="Q103" s="114"/>
      <c r="R103" s="114"/>
      <c r="S103" s="114"/>
      <c r="T103" s="114"/>
      <c r="U103" s="114"/>
      <c r="V103" s="114"/>
      <c r="W103" s="114"/>
      <c r="X103" s="114"/>
      <c r="Y103" s="114"/>
      <c r="Z103" s="114"/>
      <c r="AA103" s="114"/>
      <c r="AB103" s="114"/>
      <c r="AC103" s="114"/>
      <c r="AD103" s="114"/>
      <c r="AE103" s="114"/>
      <c r="AF103" s="114"/>
      <c r="AG103" s="114"/>
      <c r="AH103" s="114"/>
      <c r="AI103" s="114"/>
      <c r="AJ103" s="114"/>
      <c r="AK103" s="114"/>
      <c r="AL103" s="114"/>
      <c r="AM103" s="114"/>
      <c r="CZ103" s="116"/>
      <c r="DA103" s="116"/>
      <c r="DB103" s="116"/>
      <c r="DC103" s="116"/>
      <c r="DD103" s="116"/>
      <c r="DE103" s="116"/>
      <c r="DF103" s="116"/>
      <c r="DG103" s="116"/>
      <c r="DH103" s="116"/>
      <c r="DI103" s="117" t="str">
        <f>"DJ"&amp;MIN(DK106:DK154)</f>
        <v>DJ106</v>
      </c>
      <c r="DJ103" s="118" t="str">
        <f>"DJ"&amp;MAX(DK106:DK154)</f>
        <v>DJ136</v>
      </c>
      <c r="DK103" s="116"/>
      <c r="DL103" s="117" t="str">
        <f>"DM"&amp;MIN(DN106:DN154)</f>
        <v>DM106</v>
      </c>
      <c r="DM103" s="118" t="str">
        <f>"DM"&amp;MAX(DN106:DN154)</f>
        <v>DM136</v>
      </c>
      <c r="DN103" s="116"/>
      <c r="DO103" s="117" t="str">
        <f>"DP"&amp;MIN(DQ106:DQ154)</f>
        <v>DP106</v>
      </c>
      <c r="DP103" s="118" t="str">
        <f>"DP"&amp;MAX(DQ106:DQ154)</f>
        <v>DP136</v>
      </c>
      <c r="DQ103" s="116"/>
      <c r="DW103" s="119"/>
      <c r="EA103" s="33"/>
      <c r="EB103" s="33"/>
      <c r="EC103" s="33"/>
      <c r="ED103" s="33"/>
      <c r="EE103" s="33"/>
    </row>
    <row r="104" spans="1:135" ht="24.6" x14ac:dyDescent="0.45">
      <c r="A104" s="95" t="s">
        <v>65</v>
      </c>
      <c r="C104" s="680" t="str">
        <f>A122</f>
        <v>Base Cases</v>
      </c>
      <c r="D104" s="681"/>
      <c r="E104" s="682"/>
      <c r="F104" s="683" t="str">
        <f>A123</f>
        <v>Conservative Cases</v>
      </c>
      <c r="G104" s="684"/>
      <c r="H104" s="685"/>
      <c r="I104" s="686" t="str">
        <f>A124</f>
        <v>Ambitious Cases</v>
      </c>
      <c r="J104" s="687"/>
      <c r="K104" s="688"/>
      <c r="L104" s="692" t="str">
        <f>A125</f>
        <v>Maximum Cases</v>
      </c>
      <c r="M104" s="693"/>
      <c r="O104" s="122"/>
      <c r="P104" s="122"/>
      <c r="Q104" s="122"/>
      <c r="W104" s="691" t="s">
        <v>66</v>
      </c>
      <c r="X104" s="691"/>
      <c r="Y104" s="691"/>
      <c r="Z104" s="120"/>
      <c r="AA104" s="120"/>
      <c r="AB104" s="120"/>
      <c r="AC104" s="120"/>
      <c r="AD104" s="120"/>
      <c r="AE104" s="120"/>
      <c r="AF104" s="120"/>
      <c r="AG104" s="120"/>
      <c r="AH104" s="120"/>
      <c r="AI104" s="120"/>
      <c r="AJ104" s="120"/>
      <c r="AK104" s="120"/>
      <c r="AL104" s="120"/>
      <c r="AM104" s="120"/>
      <c r="AN104" s="120"/>
      <c r="BR104" s="121" t="s">
        <v>67</v>
      </c>
      <c r="BS104" s="121"/>
      <c r="BT104" s="121"/>
      <c r="BU104" s="121"/>
      <c r="BV104" s="121"/>
      <c r="BW104" s="122"/>
      <c r="BY104" s="121" t="s">
        <v>68</v>
      </c>
      <c r="BZ104" s="121"/>
      <c r="CA104" s="121"/>
      <c r="CB104" s="121"/>
      <c r="CC104" s="121"/>
      <c r="CD104" s="121"/>
      <c r="CG104" s="121" t="s">
        <v>69</v>
      </c>
      <c r="CH104" s="121"/>
      <c r="CI104" s="121"/>
      <c r="CJ104" s="121"/>
      <c r="CK104" s="121"/>
      <c r="CL104" s="121"/>
      <c r="CM104" s="121"/>
      <c r="CP104" s="121" t="s">
        <v>70</v>
      </c>
      <c r="CQ104" s="121"/>
      <c r="CR104" s="121"/>
      <c r="CS104" s="121"/>
      <c r="CT104" s="121"/>
      <c r="CU104" s="121"/>
      <c r="CZ104" s="123"/>
      <c r="DA104" s="123"/>
      <c r="DB104" s="123"/>
      <c r="DC104" s="123"/>
      <c r="DD104" s="123"/>
      <c r="DE104" s="123"/>
      <c r="DF104" s="123"/>
      <c r="DG104" s="123"/>
      <c r="DH104" s="123"/>
      <c r="DI104" s="124" t="str">
        <f>"DI"&amp;MIN(DK106:DK154)</f>
        <v>DI106</v>
      </c>
      <c r="DJ104" s="125" t="str">
        <f>"DI"&amp;MAX(DK106:DK154)</f>
        <v>DI136</v>
      </c>
      <c r="DK104" s="123"/>
      <c r="DL104" s="124" t="str">
        <f>"DL"&amp;MIN(DN106:DN154)</f>
        <v>DL106</v>
      </c>
      <c r="DM104" s="125" t="str">
        <f>"DL"&amp;MAX(DN106:DN154)</f>
        <v>DL136</v>
      </c>
      <c r="DN104" s="123"/>
      <c r="DO104" s="124" t="str">
        <f>"DO"&amp;MIN(DQ106:DQ154)</f>
        <v>DO106</v>
      </c>
      <c r="DP104" s="125" t="str">
        <f>"DO"&amp;MAX(DQ106:DQ154)</f>
        <v>DO136</v>
      </c>
      <c r="DQ104" s="123"/>
      <c r="DV104" s="126" t="s">
        <v>71</v>
      </c>
      <c r="DZ104" s="127" t="s">
        <v>72</v>
      </c>
      <c r="EA104" s="33" t="str">
        <f>$L$17</f>
        <v>3rd Poly</v>
      </c>
    </row>
    <row r="105" spans="1:135" ht="73.8" x14ac:dyDescent="0.45">
      <c r="A105" s="95" t="s">
        <v>73</v>
      </c>
      <c r="B105" s="128"/>
      <c r="C105" s="129" t="str">
        <f>A106</f>
        <v>IPCC</v>
      </c>
      <c r="D105" s="130" t="str">
        <f>A107</f>
        <v>World Bank, What a Waste</v>
      </c>
      <c r="E105" s="131" t="str">
        <f>A108</f>
        <v>Bahor et al (2009)</v>
      </c>
      <c r="F105" s="129" t="str">
        <f>A109</f>
        <v>Hoornweg et al (2014)</v>
      </c>
      <c r="G105" s="130" t="str">
        <f>A110</f>
        <v xml:space="preserve"> IEA Annex I – Municipal solid waste potential in cities; Table I.1</v>
      </c>
      <c r="H105" s="131" t="str">
        <f>A111</f>
        <v>[Source 3]</v>
      </c>
      <c r="I105" s="129" t="str">
        <f>A112</f>
        <v>[Source 1]</v>
      </c>
      <c r="J105" s="130" t="str">
        <f>A113</f>
        <v>[Source 2]</v>
      </c>
      <c r="K105" s="131" t="str">
        <f>A114</f>
        <v>[Source 3]</v>
      </c>
      <c r="L105" s="129" t="str">
        <f>A115</f>
        <v>[Source 1]</v>
      </c>
      <c r="M105" s="131" t="str">
        <f>A116</f>
        <v>[Source 2]</v>
      </c>
      <c r="N105" s="234" t="s">
        <v>74</v>
      </c>
      <c r="O105" s="133"/>
      <c r="P105" s="133"/>
      <c r="Q105" s="133"/>
      <c r="R105" s="135" t="s">
        <v>76</v>
      </c>
      <c r="S105" s="134" t="s">
        <v>77</v>
      </c>
      <c r="T105" s="134" t="s">
        <v>78</v>
      </c>
      <c r="U105" s="136" t="s">
        <v>79</v>
      </c>
      <c r="V105" s="137"/>
      <c r="W105" s="136" t="s">
        <v>15</v>
      </c>
      <c r="X105" s="134" t="s">
        <v>21</v>
      </c>
      <c r="Y105" s="136" t="s">
        <v>25</v>
      </c>
      <c r="AA105" s="138"/>
      <c r="AB105" s="138"/>
      <c r="AC105" s="138"/>
      <c r="AD105" s="138"/>
      <c r="AE105" s="138"/>
      <c r="AF105" s="138"/>
      <c r="AG105" s="138"/>
      <c r="AH105" s="138"/>
      <c r="AI105" s="138"/>
      <c r="AJ105" s="138"/>
      <c r="AK105" s="138"/>
      <c r="AL105" s="138"/>
      <c r="AM105" s="138"/>
      <c r="AN105" s="138"/>
      <c r="BR105" s="139"/>
      <c r="BS105" s="139"/>
      <c r="BT105" s="139"/>
      <c r="BU105" s="139"/>
      <c r="BV105" s="139"/>
      <c r="BW105" s="122"/>
      <c r="BZ105" s="139"/>
      <c r="CA105" s="139"/>
      <c r="CB105" s="139"/>
      <c r="CC105" s="139"/>
      <c r="CD105" s="139"/>
      <c r="CH105" s="139"/>
      <c r="CI105" s="139"/>
      <c r="CJ105" s="139"/>
      <c r="CK105" s="139"/>
      <c r="CL105" s="139"/>
      <c r="CM105" s="139"/>
      <c r="CQ105" s="139"/>
      <c r="CR105" s="139"/>
      <c r="CS105" s="139"/>
      <c r="CT105" s="139"/>
      <c r="CU105" s="139"/>
      <c r="CZ105" s="140"/>
      <c r="DA105" s="140"/>
      <c r="DB105" s="140"/>
      <c r="DC105" s="140"/>
      <c r="DD105" s="141"/>
      <c r="DE105" s="141"/>
      <c r="DF105" s="141"/>
      <c r="DG105" s="141"/>
      <c r="DH105" s="140"/>
      <c r="DI105" s="142"/>
      <c r="DJ105" s="143"/>
      <c r="DK105" s="144"/>
      <c r="DL105" s="142"/>
      <c r="DM105" s="143"/>
      <c r="DN105" s="140"/>
      <c r="DO105" s="142"/>
      <c r="DP105" s="143"/>
      <c r="DQ105" s="140"/>
      <c r="DV105" s="145">
        <v>2014</v>
      </c>
      <c r="DW105" s="235">
        <f t="shared" ref="DW105:DW151" ca="1" si="37">IF($J$17="N","",IF($L$17="Linear",BV110,IF($L$17="2nd Poly",CD110,IF($L$17="3rd Poly",CM110,IF($L$17="Exp",CT110)))))</f>
        <v>588.49974751985019</v>
      </c>
      <c r="EA105" s="33" t="str">
        <f>$M$17</f>
        <v>Medium</v>
      </c>
      <c r="EB105" s="33"/>
      <c r="EC105" s="33"/>
      <c r="ED105" s="33"/>
      <c r="EE105" s="33"/>
    </row>
    <row r="106" spans="1:135" ht="13.8" x14ac:dyDescent="0.45">
      <c r="A106" s="148" t="s">
        <v>108</v>
      </c>
      <c r="B106" s="128">
        <v>2012</v>
      </c>
      <c r="C106" s="175"/>
      <c r="D106" s="188"/>
      <c r="E106" s="236"/>
      <c r="F106" s="190"/>
      <c r="G106" s="237"/>
      <c r="H106" s="236"/>
      <c r="I106" s="190"/>
      <c r="J106" s="237"/>
      <c r="K106" s="236"/>
      <c r="L106" s="190"/>
      <c r="M106" s="236"/>
      <c r="N106" s="29" t="s">
        <v>119</v>
      </c>
      <c r="O106" s="120"/>
      <c r="P106" s="120"/>
      <c r="Q106" s="120"/>
      <c r="R106" s="29">
        <v>-2</v>
      </c>
      <c r="S106" s="238" t="str">
        <f t="shared" ref="S106:S154" si="38">IF(MIN(C106:Q106)=0,"",MIN(C106:Q106))</f>
        <v/>
      </c>
      <c r="T106" s="238" t="str">
        <f t="shared" ref="T106:T154" si="39">IF(MAX(C106:Q106)=0,"",MAX(C106:Q106))</f>
        <v/>
      </c>
      <c r="U106" s="238" t="str">
        <f t="shared" ref="U106:U154" si="40">IF(T106="","",_xlfn.STDEV.P(C106:Q106))</f>
        <v/>
      </c>
      <c r="V106" s="29"/>
      <c r="W106" s="238" t="e">
        <f t="shared" ref="W106:W154" si="41">IF(U106="",#N/A,X106-(U106*$Q$17))</f>
        <v>#N/A</v>
      </c>
      <c r="X106" s="238" t="e">
        <f t="shared" ref="X106:X154" si="42">IF(U106="",#N/A,(SUM(C106:Q106)/COUNTIFS(C106:Q106,"&gt;0")))</f>
        <v>#N/A</v>
      </c>
      <c r="Y106" s="238" t="e">
        <f t="shared" ref="Y106:Y154" si="43">IF(U106="",#N/A,X106+(U106*$Q$16))</f>
        <v>#N/A</v>
      </c>
      <c r="AA106" s="138"/>
      <c r="AB106" s="138"/>
      <c r="AC106" s="138"/>
      <c r="AD106" s="138"/>
      <c r="AE106" s="138"/>
      <c r="AF106" s="138"/>
      <c r="AG106" s="138"/>
      <c r="AH106" s="138"/>
      <c r="AI106" s="138"/>
      <c r="AJ106" s="138"/>
      <c r="AK106" s="138"/>
      <c r="AL106" s="138"/>
      <c r="AM106" s="138"/>
      <c r="AN106" s="138"/>
      <c r="BR106" s="137"/>
      <c r="BS106" s="65" t="str">
        <f>M17</f>
        <v>Medium</v>
      </c>
      <c r="BT106" s="137" t="s">
        <v>82</v>
      </c>
      <c r="BU106" s="137" t="s">
        <v>83</v>
      </c>
      <c r="BW106" s="133"/>
      <c r="BY106" s="137"/>
      <c r="BZ106" s="65" t="str">
        <f>$M$17</f>
        <v>Medium</v>
      </c>
      <c r="CA106" s="137" t="s">
        <v>84</v>
      </c>
      <c r="CB106" s="137" t="s">
        <v>82</v>
      </c>
      <c r="CC106" s="137" t="s">
        <v>83</v>
      </c>
      <c r="CG106" s="137"/>
      <c r="CH106" s="65" t="str">
        <f>$M$17</f>
        <v>Medium</v>
      </c>
      <c r="CI106" s="137" t="s">
        <v>85</v>
      </c>
      <c r="CJ106" s="137" t="s">
        <v>84</v>
      </c>
      <c r="CK106" s="137" t="s">
        <v>82</v>
      </c>
      <c r="CL106" s="137" t="s">
        <v>83</v>
      </c>
      <c r="CP106" s="137"/>
      <c r="CQ106" s="65" t="str">
        <f>$M$17</f>
        <v>Medium</v>
      </c>
      <c r="CR106" s="137" t="s">
        <v>86</v>
      </c>
      <c r="CS106" s="137" t="s">
        <v>87</v>
      </c>
      <c r="CZ106" s="155" t="b">
        <f t="shared" ref="CZ106:DB145" si="44">ISNUMBER(W106)</f>
        <v>0</v>
      </c>
      <c r="DA106" s="156" t="b">
        <f t="shared" si="44"/>
        <v>0</v>
      </c>
      <c r="DB106" s="157" t="b">
        <f t="shared" si="44"/>
        <v>0</v>
      </c>
      <c r="DC106" s="155" t="str">
        <f>IF(CZ106=TRUE,$R106,"")</f>
        <v/>
      </c>
      <c r="DD106" s="157" t="str">
        <f t="shared" ref="DD106:DD154" si="45">IF(CZ106=TRUE,W106,"")</f>
        <v/>
      </c>
      <c r="DE106" s="155" t="str">
        <f t="shared" ref="DE106:DE154" si="46">IF(DA106=TRUE,$R106,"")</f>
        <v/>
      </c>
      <c r="DF106" s="157" t="str">
        <f t="shared" ref="DF106:DF154" si="47">IF(DA106=TRUE,X106,"")</f>
        <v/>
      </c>
      <c r="DG106" s="155" t="str">
        <f t="shared" ref="DG106:DG154" si="48">IF(DB106=TRUE,$R106,"")</f>
        <v/>
      </c>
      <c r="DH106" s="157" t="str">
        <f t="shared" ref="DH106:DH154" si="49">IF(DB106=TRUE,Y106,"")</f>
        <v/>
      </c>
      <c r="DI106" s="155">
        <f>IFERROR(INDEX(DC$106:DC$154,_xlfn.AGGREGATE(15,6,(ROW(DC$106:DC$154)-ROW(DC$106)+1)/(DC$106:DC$154&lt;&gt;""),ROWS(DI$1:DI1))),"")</f>
        <v>1</v>
      </c>
      <c r="DJ106" s="156">
        <f>IFERROR(INDEX(DD$106:DD$154,_xlfn.AGGREGATE(15,6,(ROW(DD$106:DD$154)-ROW(DD$106)+1)/(DD$106:DD$154&lt;&gt;""),ROWS(DJ$1:DJ1))),"")</f>
        <v>511.24419874135168</v>
      </c>
      <c r="DK106" s="157">
        <f t="shared" ref="DK106:DK154" si="50">IF(ISNUMBER(DI106),ROW(DI106),"")</f>
        <v>106</v>
      </c>
      <c r="DL106" s="155">
        <f>IFERROR(INDEX(DE$106:DE$154,_xlfn.AGGREGATE(15,6,(ROW(DE$106:DE$154)-ROW(DE$106)+1)/(DE$106:DE$154&lt;&gt;""),ROWS(DL$1:DL1))),"")</f>
        <v>1</v>
      </c>
      <c r="DM106" s="156">
        <f>IFERROR(INDEX(DF$106:DF$154,_xlfn.AGGREGATE(15,6,(ROW(DF$106:DF$154)-ROW(DF$106)+1)/(DF$106:DF$154&lt;&gt;""),ROWS(DM$1:DM1))),"")</f>
        <v>593.34400318271196</v>
      </c>
      <c r="DN106" s="157">
        <f t="shared" ref="DN106:DN154" si="51">IF(ISNUMBER(DI106),ROW(DI106),"")</f>
        <v>106</v>
      </c>
      <c r="DO106" s="155">
        <f>IFERROR(INDEX(DG$106:DG$154,_xlfn.AGGREGATE(15,6,(ROW(DG$106:DG$154)-ROW(DG$106)+1)/(DG$106:DG$154&lt;&gt;""),ROWS(DO$1:DO1))),"")</f>
        <v>1</v>
      </c>
      <c r="DP106" s="156">
        <f>IFERROR(INDEX(DH$106:DH$154,_xlfn.AGGREGATE(15,6,(ROW(DH$106:DH$154)-ROW(DH$106)+1)/(DH$106:DH$154&lt;&gt;""),ROWS(DP$1:DP1))),"")</f>
        <v>675.44380762407218</v>
      </c>
      <c r="DQ106" s="157">
        <f t="shared" ref="DQ106:DQ154" si="52">IF(ISNUMBER(DL106),ROW(DL106),"")</f>
        <v>106</v>
      </c>
      <c r="DV106" s="145">
        <v>2015</v>
      </c>
      <c r="DW106" s="235">
        <f t="shared" ca="1" si="37"/>
        <v>593.11288892089328</v>
      </c>
      <c r="EA106" s="33"/>
      <c r="EB106" s="33"/>
      <c r="EC106" s="33"/>
      <c r="ED106" s="33"/>
      <c r="EE106" s="33"/>
    </row>
    <row r="107" spans="1:135" ht="13.8" x14ac:dyDescent="0.45">
      <c r="A107" s="148" t="s">
        <v>109</v>
      </c>
      <c r="B107" s="128">
        <v>2013</v>
      </c>
      <c r="C107" s="187"/>
      <c r="D107" s="188"/>
      <c r="E107" s="239"/>
      <c r="F107" s="190"/>
      <c r="G107" s="188"/>
      <c r="H107" s="236"/>
      <c r="I107" s="240"/>
      <c r="J107" s="188"/>
      <c r="K107" s="236"/>
      <c r="L107" s="240"/>
      <c r="M107" s="236"/>
      <c r="N107" s="29" t="s">
        <v>119</v>
      </c>
      <c r="O107" s="120"/>
      <c r="P107" s="120"/>
      <c r="Q107" s="120"/>
      <c r="R107" s="29">
        <v>-1</v>
      </c>
      <c r="S107" s="238" t="str">
        <f t="shared" si="38"/>
        <v/>
      </c>
      <c r="T107" s="238" t="str">
        <f t="shared" si="39"/>
        <v/>
      </c>
      <c r="U107" s="238" t="str">
        <f t="shared" si="40"/>
        <v/>
      </c>
      <c r="V107" s="29"/>
      <c r="W107" s="238" t="e">
        <f t="shared" si="41"/>
        <v>#N/A</v>
      </c>
      <c r="X107" s="238" t="e">
        <f t="shared" si="42"/>
        <v>#N/A</v>
      </c>
      <c r="Y107" s="238" t="e">
        <f t="shared" si="43"/>
        <v>#N/A</v>
      </c>
      <c r="AA107" s="138"/>
      <c r="AB107" s="138"/>
      <c r="AC107" s="138"/>
      <c r="AD107" s="138"/>
      <c r="AE107" s="138"/>
      <c r="AF107" s="138"/>
      <c r="AG107" s="138"/>
      <c r="AH107" s="138"/>
      <c r="AI107" s="138"/>
      <c r="AJ107" s="138"/>
      <c r="AK107" s="138"/>
      <c r="AL107" s="138"/>
      <c r="AM107" s="138"/>
      <c r="AN107" s="138"/>
      <c r="BS107" s="160" t="s">
        <v>25</v>
      </c>
      <c r="BT107" s="161">
        <f>SLOPE((DH106:DH154),($B$46:$B$94))</f>
        <v>4.7992684998932891</v>
      </c>
      <c r="BU107" s="162">
        <f>INTERCEPT(DP106:DP154,DO106:DO154)</f>
        <v>669.71197304248892</v>
      </c>
      <c r="BW107" s="133"/>
      <c r="BZ107" s="160" t="s">
        <v>25</v>
      </c>
      <c r="CA107" s="161">
        <f ca="1">INDEX(LINEST((INDIRECT(DO103):INDIRECT(DP103)),(INDIRECT(DO104):INDIRECT(DP104))^{1,2}),1)</f>
        <v>8.5623848207103852E-4</v>
      </c>
      <c r="CB107" s="163">
        <f ca="1">INDEX(LINEST((INDIRECT(DO103):INDIRECT(DP103)),(INDIRECT(DO104):INDIRECT(DP104))^{1,2}),1,2)</f>
        <v>4.771868868467017</v>
      </c>
      <c r="CC107" s="162">
        <f ca="1">INDEX(LINEST((INDIRECT(DO103):INDIRECT(DP103)),(INDIRECT(DO104):INDIRECT(DP104))^{1,2}),1,3)</f>
        <v>669.86267101533338</v>
      </c>
      <c r="CH107" s="160" t="s">
        <v>25</v>
      </c>
      <c r="CI107" s="161">
        <f ca="1">INDEX(LINEST((INDIRECT(DO103):INDIRECT(DP103)),(INDIRECT(DO104):INDIRECT(DP104))^{1,2,3}),1)</f>
        <v>-2.5267117799469428E-4</v>
      </c>
      <c r="CJ107" s="163">
        <f ca="1">INDEX(LINEST((INDIRECT(DO103):INDIRECT(DP103)),(INDIRECT(DO104):INDIRECT(DP104))^{1,2,3}),1,2)</f>
        <v>1.2984455025816421E-2</v>
      </c>
      <c r="CK107" s="163">
        <f ca="1">INDEX(LINEST((INDIRECT(DO103):INDIRECT(DP103)),(INDIRECT(DO104):INDIRECT(DP104))^{1,2,3}),1,3)</f>
        <v>4.6141515191627249</v>
      </c>
      <c r="CL107" s="162">
        <f ca="1">INDEX(LINEST((INDIRECT(DO103):INDIRECT(DP103)),(INDIRECT(DO104):INDIRECT(DP104))^{1,2,3}),1,4)</f>
        <v>670.31626631406959</v>
      </c>
      <c r="CQ107" s="160" t="s">
        <v>25</v>
      </c>
      <c r="CR107" s="161">
        <f ca="1">EXP(INDEX(LINEST(LN(INDIRECT(DO103):INDIRECT(DP103)),(INDIRECT(DO104):INDIRECT(DP104))),1,2))</f>
        <v>672.28160267570206</v>
      </c>
      <c r="CS107" s="162">
        <f ca="1">INDEX(LINEST(LN(INDIRECT(DO103):INDIRECT(DP103)),(INDIRECT(DO104):INDIRECT(DP104))),1)</f>
        <v>6.4412905864251919E-3</v>
      </c>
      <c r="CZ107" s="164" t="b">
        <f t="shared" si="44"/>
        <v>0</v>
      </c>
      <c r="DA107" s="165" t="b">
        <f t="shared" si="44"/>
        <v>0</v>
      </c>
      <c r="DB107" s="166" t="b">
        <f t="shared" si="44"/>
        <v>0</v>
      </c>
      <c r="DC107" s="164" t="str">
        <f t="shared" ref="DC107:DC154" si="53">IF(CZ107=TRUE,R107,"")</f>
        <v/>
      </c>
      <c r="DD107" s="166" t="str">
        <f t="shared" si="45"/>
        <v/>
      </c>
      <c r="DE107" s="164" t="str">
        <f t="shared" si="46"/>
        <v/>
      </c>
      <c r="DF107" s="166" t="str">
        <f t="shared" si="47"/>
        <v/>
      </c>
      <c r="DG107" s="164" t="str">
        <f t="shared" si="48"/>
        <v/>
      </c>
      <c r="DH107" s="166" t="str">
        <f t="shared" si="49"/>
        <v/>
      </c>
      <c r="DI107" s="164">
        <f>IFERROR(INDEX(DC$106:DC$154,_xlfn.AGGREGATE(15,6,(ROW(DC$106:DC$154)-ROW(DC$106)+1)/(DC$106:DC$154&lt;&gt;""),ROWS(DI$1:DI2))),"")</f>
        <v>2</v>
      </c>
      <c r="DJ107" s="165">
        <f>IFERROR(INDEX(DD$106:DD$154,_xlfn.AGGREGATE(15,6,(ROW(DD$106:DD$154)-ROW(DD$106)+1)/(DD$106:DD$154&lt;&gt;""),ROWS(DJ$1:DJ2))),"")</f>
        <v>515.81392914109142</v>
      </c>
      <c r="DK107" s="166">
        <f t="shared" si="50"/>
        <v>107</v>
      </c>
      <c r="DL107" s="164">
        <f>IFERROR(INDEX(DE$106:DE$154,_xlfn.AGGREGATE(15,6,(ROW(DE$106:DE$154)-ROW(DE$106)+1)/(DE$106:DE$154&lt;&gt;""),ROWS(DL$1:DL2))),"")</f>
        <v>2</v>
      </c>
      <c r="DM107" s="165">
        <f>IFERROR(INDEX(DF$106:DF$154,_xlfn.AGGREGATE(15,6,(ROW(DF$106:DF$154)-ROW(DF$106)+1)/(DF$106:DF$154&lt;&gt;""),ROWS(DM$1:DM2))),"")</f>
        <v>597.53887867142453</v>
      </c>
      <c r="DN107" s="166">
        <f t="shared" si="51"/>
        <v>107</v>
      </c>
      <c r="DO107" s="164">
        <f>IFERROR(INDEX(DG$106:DG$154,_xlfn.AGGREGATE(15,6,(ROW(DG$106:DG$154)-ROW(DG$106)+1)/(DG$106:DG$154&lt;&gt;""),ROWS(DO$1:DO2))),"")</f>
        <v>2</v>
      </c>
      <c r="DP107" s="165">
        <f>IFERROR(INDEX(DH$106:DH$154,_xlfn.AGGREGATE(15,6,(ROW(DH$106:DH$154)-ROW(DH$106)+1)/(DH$106:DH$154&lt;&gt;""),ROWS(DP$1:DP2))),"")</f>
        <v>679.26382820175763</v>
      </c>
      <c r="DQ107" s="166">
        <f t="shared" si="52"/>
        <v>107</v>
      </c>
      <c r="DV107" s="145">
        <v>2016</v>
      </c>
      <c r="DW107" s="235">
        <f t="shared" ca="1" si="37"/>
        <v>597.70999840827449</v>
      </c>
      <c r="EA107" s="33"/>
      <c r="EB107" s="33"/>
      <c r="EC107" s="33"/>
      <c r="ED107" s="33"/>
      <c r="EE107" s="33"/>
    </row>
    <row r="108" spans="1:135" ht="13.8" x14ac:dyDescent="0.45">
      <c r="A108" s="148" t="s">
        <v>110</v>
      </c>
      <c r="B108" s="128">
        <v>2014</v>
      </c>
      <c r="C108" s="167"/>
      <c r="D108" s="168"/>
      <c r="E108" s="169"/>
      <c r="F108" s="170"/>
      <c r="G108" s="168"/>
      <c r="H108" s="169"/>
      <c r="I108" s="170"/>
      <c r="J108" s="168"/>
      <c r="K108" s="169"/>
      <c r="L108" s="170"/>
      <c r="M108" s="169"/>
      <c r="N108" s="29" t="s">
        <v>119</v>
      </c>
      <c r="O108" s="120"/>
      <c r="P108" s="120"/>
      <c r="Q108" s="120"/>
      <c r="R108" s="29">
        <v>0</v>
      </c>
      <c r="S108" s="154" t="str">
        <f t="shared" si="38"/>
        <v/>
      </c>
      <c r="T108" s="154" t="str">
        <f t="shared" si="39"/>
        <v/>
      </c>
      <c r="U108" s="154" t="str">
        <f t="shared" si="40"/>
        <v/>
      </c>
      <c r="V108" s="29"/>
      <c r="W108" s="154" t="e">
        <f t="shared" si="41"/>
        <v>#N/A</v>
      </c>
      <c r="X108" s="154" t="e">
        <f t="shared" si="42"/>
        <v>#N/A</v>
      </c>
      <c r="Y108" s="154" t="e">
        <f t="shared" si="43"/>
        <v>#N/A</v>
      </c>
      <c r="AA108" s="138"/>
      <c r="AB108" s="138"/>
      <c r="AC108" s="138"/>
      <c r="AD108" s="138"/>
      <c r="AE108" s="138"/>
      <c r="AF108" s="138"/>
      <c r="AG108" s="138"/>
      <c r="AH108" s="138"/>
      <c r="AI108" s="138"/>
      <c r="AJ108" s="138"/>
      <c r="AK108" s="138"/>
      <c r="AL108" s="138"/>
      <c r="AM108" s="138"/>
      <c r="AN108" s="138"/>
      <c r="BS108" s="160" t="s">
        <v>91</v>
      </c>
      <c r="BT108" s="172">
        <f>SLOPE((DF106:DF154),($B$46:$B$94))</f>
        <v>4.0848380908485797</v>
      </c>
      <c r="BU108" s="173">
        <f>INTERCEPT(DM106:DM154,DL106:DL154)</f>
        <v>592.00614409760874</v>
      </c>
      <c r="BZ108" s="160" t="s">
        <v>91</v>
      </c>
      <c r="CA108" s="172">
        <f ca="1">INDEX(LINEST((INDIRECT(DL103):INDIRECT(DM103)),(INDIRECT(DL104):INDIRECT(DM104))^{1,2}),1)</f>
        <v>-2.3412617603208657E-2</v>
      </c>
      <c r="CB108" s="174">
        <f ca="1">INDEX(LINEST((INDIRECT(DL103):INDIRECT(DM103)),(INDIRECT(DL104):INDIRECT(DM104))^{1,2}),1,2)</f>
        <v>4.8340418541512555</v>
      </c>
      <c r="CC108" s="173">
        <f ca="1">INDEX(LINEST((INDIRECT(DL103):INDIRECT(DM103)),(INDIRECT(DL104):INDIRECT(DM104))^{1,2}),1,3)</f>
        <v>587.88552339944408</v>
      </c>
      <c r="CH108" s="160" t="s">
        <v>91</v>
      </c>
      <c r="CI108" s="172">
        <f ca="1">INDEX(LINEST((INDIRECT(DL103):INDIRECT(DM103)),(INDIRECT(DL104):INDIRECT(DM104))^{1,2,3}),1)</f>
        <v>-3.4214801716031252E-4</v>
      </c>
      <c r="CJ108" s="174">
        <f ca="1">INDEX(LINEST((INDIRECT(DL103):INDIRECT(DM103)),(INDIRECT(DL104):INDIRECT(DM104))^{1,2,3}),1,2)</f>
        <v>-6.9895127795136375E-3</v>
      </c>
      <c r="CK108" s="174">
        <f ca="1">INDEX(LINEST((INDIRECT(DL103):INDIRECT(DM103)),(INDIRECT(DL104):INDIRECT(DM104))^{1,2,3}),1,3)</f>
        <v>4.6204730618397898</v>
      </c>
      <c r="CL108" s="173">
        <f ca="1">INDEX(LINEST((INDIRECT(DL103):INDIRECT(DM103)),(INDIRECT(DL104):INDIRECT(DM104))^{1,2,3}),1,4)</f>
        <v>588.49974751985019</v>
      </c>
      <c r="CQ108" s="160" t="s">
        <v>91</v>
      </c>
      <c r="CR108" s="172">
        <f ca="1">EXP(INDEX(LINEST(LN(INDIRECT(DL103):INDIRECT(DM103)),(INDIRECT(DL104):INDIRECT(DM104))),1,2))</f>
        <v>593.97870804003173</v>
      </c>
      <c r="CS108" s="173">
        <f ca="1">INDEX(LINEST(LN(INDIRECT(DL103):INDIRECT(DM103)),(INDIRECT(DL104):INDIRECT(DM104))),1)</f>
        <v>6.2396617171573462E-3</v>
      </c>
      <c r="CZ108" s="164" t="b">
        <f t="shared" si="44"/>
        <v>0</v>
      </c>
      <c r="DA108" s="165" t="b">
        <f t="shared" si="44"/>
        <v>0</v>
      </c>
      <c r="DB108" s="166" t="b">
        <f t="shared" si="44"/>
        <v>0</v>
      </c>
      <c r="DC108" s="164" t="str">
        <f t="shared" si="53"/>
        <v/>
      </c>
      <c r="DD108" s="166" t="str">
        <f t="shared" si="45"/>
        <v/>
      </c>
      <c r="DE108" s="164" t="str">
        <f t="shared" si="46"/>
        <v/>
      </c>
      <c r="DF108" s="166" t="str">
        <f t="shared" si="47"/>
        <v/>
      </c>
      <c r="DG108" s="164" t="str">
        <f t="shared" si="48"/>
        <v/>
      </c>
      <c r="DH108" s="166" t="str">
        <f t="shared" si="49"/>
        <v/>
      </c>
      <c r="DI108" s="164">
        <f>IFERROR(INDEX(DC$106:DC$154,_xlfn.AGGREGATE(15,6,(ROW(DC$106:DC$154)-ROW(DC$106)+1)/(DC$106:DC$154&lt;&gt;""),ROWS(DI$1:DI3))),"")</f>
        <v>3</v>
      </c>
      <c r="DJ108" s="165">
        <f>IFERROR(INDEX(DD$106:DD$154,_xlfn.AGGREGATE(15,6,(ROW(DD$106:DD$154)-ROW(DD$106)+1)/(DD$106:DD$154&lt;&gt;""),ROWS(DJ$1:DJ3))),"")</f>
        <v>520.32510920528159</v>
      </c>
      <c r="DK108" s="166">
        <f t="shared" si="50"/>
        <v>108</v>
      </c>
      <c r="DL108" s="164">
        <f>IFERROR(INDEX(DE$106:DE$154,_xlfn.AGGREGATE(15,6,(ROW(DE$106:DE$154)-ROW(DE$106)+1)/(DE$106:DE$154&lt;&gt;""),ROWS(DL$1:DL3))),"")</f>
        <v>3</v>
      </c>
      <c r="DM108" s="165">
        <f>IFERROR(INDEX(DF$106:DF$154,_xlfn.AGGREGATE(15,6,(ROW(DF$106:DF$154)-ROW(DF$106)+1)/(DF$106:DF$154&lt;&gt;""),ROWS(DM$1:DM3))),"")</f>
        <v>602.19026494227057</v>
      </c>
      <c r="DN108" s="166">
        <f t="shared" si="51"/>
        <v>108</v>
      </c>
      <c r="DO108" s="164">
        <f>IFERROR(INDEX(DG$106:DG$154,_xlfn.AGGREGATE(15,6,(ROW(DG$106:DG$154)-ROW(DG$106)+1)/(DG$106:DG$154&lt;&gt;""),ROWS(DO$1:DO3))),"")</f>
        <v>3</v>
      </c>
      <c r="DP108" s="165">
        <f>IFERROR(INDEX(DH$106:DH$154,_xlfn.AGGREGATE(15,6,(ROW(DH$106:DH$154)-ROW(DH$106)+1)/(DH$106:DH$154&lt;&gt;""),ROWS(DP$1:DP3))),"")</f>
        <v>684.05542067925956</v>
      </c>
      <c r="DQ108" s="166">
        <f t="shared" si="52"/>
        <v>108</v>
      </c>
      <c r="DV108" s="145">
        <v>2017</v>
      </c>
      <c r="DW108" s="235">
        <f t="shared" ca="1" si="37"/>
        <v>602.28902309389059</v>
      </c>
      <c r="DZ108" s="65" t="s">
        <v>89</v>
      </c>
      <c r="EA108" s="33"/>
      <c r="EB108" s="33"/>
      <c r="EC108" s="33"/>
      <c r="ED108" s="33"/>
      <c r="EE108" s="33"/>
    </row>
    <row r="109" spans="1:135" ht="13.8" x14ac:dyDescent="0.45">
      <c r="A109" s="148" t="s">
        <v>111</v>
      </c>
      <c r="B109" s="128">
        <v>2015</v>
      </c>
      <c r="C109" s="175">
        <f>'Total MSW Summaries (Archive)'!D6</f>
        <v>517.27170346757657</v>
      </c>
      <c r="D109" s="159">
        <f>'Total MSW Summaries (Archive)'!P6</f>
        <v>627.4167262151459</v>
      </c>
      <c r="E109" s="151">
        <f>'Total MSW Summaries (Archive)'!AB6</f>
        <v>672.74599999999987</v>
      </c>
      <c r="F109" s="152">
        <f>'Total MSW Summaries (Archive)'!AN6</f>
        <v>674.01531596056736</v>
      </c>
      <c r="G109" s="159">
        <f>'Total MSW Summaries (Archive)'!AZ6</f>
        <v>475.27027027027032</v>
      </c>
      <c r="H109" s="151"/>
      <c r="I109" s="152"/>
      <c r="J109" s="159"/>
      <c r="K109" s="151"/>
      <c r="L109" s="152"/>
      <c r="M109" s="151"/>
      <c r="N109" s="29" t="s">
        <v>119</v>
      </c>
      <c r="O109" s="120"/>
      <c r="P109" s="120"/>
      <c r="Q109" s="120"/>
      <c r="R109" s="29">
        <v>1</v>
      </c>
      <c r="S109" s="154">
        <f t="shared" si="38"/>
        <v>475.27027027027032</v>
      </c>
      <c r="T109" s="154">
        <f t="shared" si="39"/>
        <v>674.01531596056736</v>
      </c>
      <c r="U109" s="154">
        <f t="shared" si="40"/>
        <v>82.099804441360277</v>
      </c>
      <c r="V109" s="29"/>
      <c r="W109" s="154">
        <f t="shared" si="41"/>
        <v>511.24419874135168</v>
      </c>
      <c r="X109" s="154">
        <f t="shared" si="42"/>
        <v>593.34400318271196</v>
      </c>
      <c r="Y109" s="154">
        <f t="shared" si="43"/>
        <v>675.44380762407218</v>
      </c>
      <c r="AA109" s="138"/>
      <c r="AB109" s="138"/>
      <c r="AC109" s="138"/>
      <c r="AD109" s="138"/>
      <c r="AE109" s="138"/>
      <c r="AF109" s="138"/>
      <c r="AG109" s="138"/>
      <c r="AH109" s="138"/>
      <c r="AI109" s="138"/>
      <c r="AJ109" s="138"/>
      <c r="AK109" s="138"/>
      <c r="AL109" s="138"/>
      <c r="AM109" s="138"/>
      <c r="AN109" s="138"/>
      <c r="BR109" s="29"/>
      <c r="BS109" s="160" t="s">
        <v>15</v>
      </c>
      <c r="BT109" s="177">
        <f>SLOPE((DD106:DD154),($B$46:$B$94))</f>
        <v>3.3704076818038708</v>
      </c>
      <c r="BU109" s="178">
        <f>INTERCEPT(DJ106:DJ154,DI106:DI154)</f>
        <v>514.30031515272867</v>
      </c>
      <c r="BV109" s="137" t="s">
        <v>71</v>
      </c>
      <c r="BY109" s="29"/>
      <c r="BZ109" s="160" t="s">
        <v>15</v>
      </c>
      <c r="CA109" s="177">
        <f ca="1">INDEX(LINEST((INDIRECT(DI103):INDIRECT(DJ103)),(INDIRECT(DI104):INDIRECT(DJ104))^{1,2}),1)</f>
        <v>-4.7681473688488525E-2</v>
      </c>
      <c r="CB109" s="179">
        <f ca="1">INDEX(LINEST((INDIRECT(DI103):INDIRECT(DJ103)),(INDIRECT(DI104):INDIRECT(DJ104))^{1,2}),1,2)</f>
        <v>4.8962148398355048</v>
      </c>
      <c r="CC109" s="178">
        <f ca="1">INDEX(LINEST((INDIRECT(DI103):INDIRECT(DJ103)),(INDIRECT(DI104):INDIRECT(DJ104))^{1,2}),1,3)</f>
        <v>505.90837578355462</v>
      </c>
      <c r="CD109" s="137" t="s">
        <v>71</v>
      </c>
      <c r="CG109" s="29"/>
      <c r="CH109" s="160" t="s">
        <v>15</v>
      </c>
      <c r="CI109" s="177">
        <f ca="1">INDEX(LINEST((INDIRECT(DI103):INDIRECT(DJ103)),(INDIRECT(DI104):INDIRECT(DJ104))^{1,2,3}),1)</f>
        <v>-4.316248563259261E-4</v>
      </c>
      <c r="CJ109" s="179">
        <f ca="1">INDEX(LINEST((INDIRECT(DI103):INDIRECT(DJ103)),(INDIRECT(DI104):INDIRECT(DJ104))^{1,2,3}),1,2)</f>
        <v>-2.6963480584844012E-2</v>
      </c>
      <c r="CK109" s="179">
        <f ca="1">INDEX(LINEST((INDIRECT(DI103):INDIRECT(DJ103)),(INDIRECT(DI104):INDIRECT(DJ104))^{1,2,3}),1,3)</f>
        <v>4.6267946045168573</v>
      </c>
      <c r="CL109" s="178">
        <f ca="1">INDEX(LINEST((INDIRECT(DI103):INDIRECT(DJ103)),(INDIRECT(DI104):INDIRECT(DJ104))^{1,2,3}),1,4)</f>
        <v>506.68322872563101</v>
      </c>
      <c r="CM109" s="137" t="s">
        <v>71</v>
      </c>
      <c r="CP109" s="29"/>
      <c r="CQ109" s="160" t="s">
        <v>15</v>
      </c>
      <c r="CR109" s="177">
        <f ca="1">EXP(INDEX(LINEST(LN(INDIRECT(DI103):INDIRECT(DJ103)),(INDIRECT(DI104):INDIRECT(DJ104))),1,2))</f>
        <v>515.68770354612843</v>
      </c>
      <c r="CS109" s="178">
        <f ca="1">INDEX(LINEST(LN(INDIRECT(DI103):INDIRECT(DJ103)),(INDIRECT(DI104):INDIRECT(DJ104))),1)</f>
        <v>5.9734527007865978E-3</v>
      </c>
      <c r="CT109" s="137" t="s">
        <v>71</v>
      </c>
      <c r="CZ109" s="164" t="b">
        <f t="shared" si="44"/>
        <v>1</v>
      </c>
      <c r="DA109" s="165" t="b">
        <f t="shared" si="44"/>
        <v>1</v>
      </c>
      <c r="DB109" s="166" t="b">
        <f t="shared" si="44"/>
        <v>1</v>
      </c>
      <c r="DC109" s="164">
        <f t="shared" si="53"/>
        <v>1</v>
      </c>
      <c r="DD109" s="166">
        <f t="shared" si="45"/>
        <v>511.24419874135168</v>
      </c>
      <c r="DE109" s="164">
        <f t="shared" si="46"/>
        <v>1</v>
      </c>
      <c r="DF109" s="166">
        <f t="shared" si="47"/>
        <v>593.34400318271196</v>
      </c>
      <c r="DG109" s="164">
        <f t="shared" si="48"/>
        <v>1</v>
      </c>
      <c r="DH109" s="166">
        <f t="shared" si="49"/>
        <v>675.44380762407218</v>
      </c>
      <c r="DI109" s="164">
        <f>IFERROR(INDEX(DC$106:DC$154,_xlfn.AGGREGATE(15,6,(ROW(DC$106:DC$154)-ROW(DC$106)+1)/(DC$106:DC$154&lt;&gt;""),ROWS(DI$1:DI4))),"")</f>
        <v>4</v>
      </c>
      <c r="DJ109" s="165">
        <f>IFERROR(INDEX(DD$106:DD$154,_xlfn.AGGREGATE(15,6,(ROW(DD$106:DD$154)-ROW(DD$106)+1)/(DD$106:DD$154&lt;&gt;""),ROWS(DJ$1:DJ4))),"")</f>
        <v>524.76542148165606</v>
      </c>
      <c r="DK109" s="166">
        <f t="shared" si="50"/>
        <v>109</v>
      </c>
      <c r="DL109" s="164">
        <f>IFERROR(INDEX(DE$106:DE$154,_xlfn.AGGREGATE(15,6,(ROW(DE$106:DE$154)-ROW(DE$106)+1)/(DE$106:DE$154&lt;&gt;""),ROWS(DL$1:DL4))),"")</f>
        <v>4</v>
      </c>
      <c r="DM109" s="165">
        <f>IFERROR(INDEX(DF$106:DF$154,_xlfn.AGGREGATE(15,6,(ROW(DF$106:DF$154)-ROW(DF$106)+1)/(DF$106:DF$154&lt;&gt;""),ROWS(DM$1:DM4))),"")</f>
        <v>606.80632310374153</v>
      </c>
      <c r="DN109" s="166">
        <f t="shared" si="51"/>
        <v>109</v>
      </c>
      <c r="DO109" s="164">
        <f>IFERROR(INDEX(DG$106:DG$154,_xlfn.AGGREGATE(15,6,(ROW(DG$106:DG$154)-ROW(DG$106)+1)/(DG$106:DG$154&lt;&gt;""),ROWS(DO$1:DO4))),"")</f>
        <v>4</v>
      </c>
      <c r="DP109" s="165">
        <f>IFERROR(INDEX(DH$106:DH$154,_xlfn.AGGREGATE(15,6,(ROW(DH$106:DH$154)-ROW(DH$106)+1)/(DH$106:DH$154&lt;&gt;""),ROWS(DP$1:DP4))),"")</f>
        <v>688.847224725827</v>
      </c>
      <c r="DQ109" s="166">
        <f t="shared" si="52"/>
        <v>109</v>
      </c>
      <c r="DV109" s="145">
        <v>2018</v>
      </c>
      <c r="DW109" s="235">
        <f t="shared" ca="1" si="37"/>
        <v>606.84791008963884</v>
      </c>
      <c r="EA109" s="33" t="s">
        <v>85</v>
      </c>
      <c r="EB109" s="33" t="s">
        <v>84</v>
      </c>
      <c r="EC109" s="33" t="s">
        <v>82</v>
      </c>
      <c r="ED109" s="33" t="s">
        <v>83</v>
      </c>
      <c r="EE109" s="33"/>
    </row>
    <row r="110" spans="1:135" ht="13.8" x14ac:dyDescent="0.45">
      <c r="A110" s="148" t="s">
        <v>116</v>
      </c>
      <c r="B110" s="128">
        <v>2016</v>
      </c>
      <c r="C110" s="175">
        <f>'Total MSW Summaries (Archive)'!D7</f>
        <v>521.57775228129731</v>
      </c>
      <c r="D110" s="159">
        <f>'Total MSW Summaries (Archive)'!P7</f>
        <v>630.69309800394922</v>
      </c>
      <c r="E110" s="151">
        <f>'Total MSW Summaries (Archive)'!AB7</f>
        <v>680.23199999999986</v>
      </c>
      <c r="F110" s="152">
        <f>'Total MSW Summaries (Archive)'!AN7</f>
        <v>674.78613766647084</v>
      </c>
      <c r="G110" s="159">
        <f>'Total MSW Summaries (Archive)'!AZ7</f>
        <v>480.40540540540547</v>
      </c>
      <c r="H110" s="151"/>
      <c r="I110" s="152"/>
      <c r="J110" s="159"/>
      <c r="K110" s="151"/>
      <c r="L110" s="152"/>
      <c r="M110" s="151"/>
      <c r="N110" s="29" t="s">
        <v>119</v>
      </c>
      <c r="O110" s="120"/>
      <c r="P110" s="120"/>
      <c r="Q110" s="120"/>
      <c r="R110" s="29">
        <v>2</v>
      </c>
      <c r="S110" s="154">
        <f t="shared" si="38"/>
        <v>480.40540540540547</v>
      </c>
      <c r="T110" s="154">
        <f t="shared" si="39"/>
        <v>680.23199999999986</v>
      </c>
      <c r="U110" s="154">
        <f t="shared" si="40"/>
        <v>81.724949530333092</v>
      </c>
      <c r="V110" s="29"/>
      <c r="W110" s="154">
        <f t="shared" si="41"/>
        <v>515.81392914109142</v>
      </c>
      <c r="X110" s="154">
        <f t="shared" si="42"/>
        <v>597.53887867142453</v>
      </c>
      <c r="Y110" s="154">
        <f t="shared" si="43"/>
        <v>679.26382820175763</v>
      </c>
      <c r="AA110" s="138"/>
      <c r="AB110" s="138"/>
      <c r="AC110" s="138"/>
      <c r="AD110" s="138"/>
      <c r="AE110" s="138"/>
      <c r="AF110" s="138"/>
      <c r="AG110" s="138"/>
      <c r="AH110" s="138"/>
      <c r="AI110" s="138"/>
      <c r="AJ110" s="138"/>
      <c r="AK110" s="138"/>
      <c r="AL110" s="138"/>
      <c r="AM110" s="138"/>
      <c r="AN110" s="138"/>
      <c r="BR110" s="180">
        <v>2014</v>
      </c>
      <c r="BS110" s="22">
        <v>0</v>
      </c>
      <c r="BT110" s="181">
        <f t="shared" ref="BT110:BT156" si="54">IF($BS$106="High",BS110*$BT$107,IF($BS$106="Medium",$BT$108*BS110,IF($BS$106="Low",$BT$109*BS110)))</f>
        <v>0</v>
      </c>
      <c r="BU110" s="182">
        <f t="shared" ref="BU110:BU156" si="55">IF($BS$106="High",$BU$107,IF($BS$106="Medium",$BU$108,IF($BS$106="Low",BU109)))</f>
        <v>592.00614409760874</v>
      </c>
      <c r="BV110" s="241">
        <f t="shared" ref="BV110:BV156" si="56">BT110+BU110</f>
        <v>592.00614409760874</v>
      </c>
      <c r="BY110" s="180">
        <v>2014</v>
      </c>
      <c r="BZ110" s="22">
        <v>0</v>
      </c>
      <c r="CA110" s="181">
        <f t="shared" ref="CA110:CA156" ca="1" si="57">IF($BZ$106="High",BZ110^2*$CA$107,IF($BZ$106="Medium",BZ110^2*$CA$108,IF($BZ$106="Low",BZ110^2*$CA$109)))</f>
        <v>0</v>
      </c>
      <c r="CB110" s="181">
        <f t="shared" ref="CB110:CB156" ca="1" si="58">IF($BZ$106="High",BZ110*$CB$107,IF($BZ$106="Medium",BZ110*$CB$108,IF($BZ$106="Low",BZ110*$CB$109)))</f>
        <v>0</v>
      </c>
      <c r="CC110" s="182">
        <f ca="1">IF($BZ$106="High",$CC$107,IF($BZ$106="Medium",$CC$108,IF($BZ$106="Low",$CC$109)))</f>
        <v>587.88552339944408</v>
      </c>
      <c r="CD110" s="241">
        <f t="shared" ref="CD110:CD156" ca="1" si="59">CA110+CB110+CC110</f>
        <v>587.88552339944408</v>
      </c>
      <c r="CG110" s="180">
        <v>2014</v>
      </c>
      <c r="CH110" s="22">
        <v>0</v>
      </c>
      <c r="CI110" s="181">
        <f t="shared" ref="CI110:CI156" ca="1" si="60">IF($CH$106="High",CH110^3*$CI$107,IF($CH$106="Medium",CH110^3*$CI$108,IF($CH$106="Low",CH110^3*$CI$109)))</f>
        <v>0</v>
      </c>
      <c r="CJ110" s="181">
        <f t="shared" ref="CJ110:CJ156" ca="1" si="61">IF($CH$106="High",CH110^2*$CJ$107,IF($CH$106="Medium",CH110^2*$CJ$108,IF($CH$106="Low",CH110^2*$CJ$109)))</f>
        <v>0</v>
      </c>
      <c r="CK110" s="181">
        <f t="shared" ref="CK110:CK156" ca="1" si="62">IF($CH$106="High",CH110*$CK$107,IF($CH$106="Medium",CH110*$CK$108,IF($CH$106="Low",CH110*$CK$109)))</f>
        <v>0</v>
      </c>
      <c r="CL110" s="182">
        <f t="shared" ref="CL110:CL156" ca="1" si="63">IF($CH$106="High",$CL$107,IF($CH$106="Medium",$CL$108,IF($CH$106="Low",$CL$109)))</f>
        <v>588.49974751985019</v>
      </c>
      <c r="CM110" s="241">
        <f t="shared" ref="CM110:CM156" ca="1" si="64">CI110+CJ110+CK110+CL110</f>
        <v>588.49974751985019</v>
      </c>
      <c r="CP110" s="180">
        <v>2014</v>
      </c>
      <c r="CQ110" s="22">
        <v>0</v>
      </c>
      <c r="CR110" s="181">
        <f t="shared" ref="CR110:CR156" ca="1" si="65">IF($CQ$106="High",$CR$107,IF($CQ$106="Medium",$CR$108,IF($CQ$106="Low",$CR$109)))</f>
        <v>593.97870804003173</v>
      </c>
      <c r="CS110" s="182">
        <f t="shared" ref="CS110:CS156" ca="1" si="66">IF($CQ$106="High",EXP(1)^($CS$107*CQ110),IF($CQ$106="Medium",EXP(1)^($CS$108*CQ110),IF($CQ$106="Low",EXP(1)^($CS$109*CQ110))))</f>
        <v>1</v>
      </c>
      <c r="CT110" s="241">
        <f t="shared" ref="CT110:CT156" ca="1" si="67">(CR110*CS110)</f>
        <v>593.97870804003173</v>
      </c>
      <c r="CZ110" s="164" t="b">
        <f t="shared" si="44"/>
        <v>1</v>
      </c>
      <c r="DA110" s="165" t="b">
        <f t="shared" si="44"/>
        <v>1</v>
      </c>
      <c r="DB110" s="166" t="b">
        <f t="shared" si="44"/>
        <v>1</v>
      </c>
      <c r="DC110" s="164">
        <f t="shared" si="53"/>
        <v>2</v>
      </c>
      <c r="DD110" s="166">
        <f t="shared" si="45"/>
        <v>515.81392914109142</v>
      </c>
      <c r="DE110" s="164">
        <f t="shared" si="46"/>
        <v>2</v>
      </c>
      <c r="DF110" s="166">
        <f t="shared" si="47"/>
        <v>597.53887867142453</v>
      </c>
      <c r="DG110" s="164">
        <f t="shared" si="48"/>
        <v>2</v>
      </c>
      <c r="DH110" s="166">
        <f t="shared" si="49"/>
        <v>679.26382820175763</v>
      </c>
      <c r="DI110" s="164">
        <f>IFERROR(INDEX(DC$106:DC$154,_xlfn.AGGREGATE(15,6,(ROW(DC$106:DC$154)-ROW(DC$106)+1)/(DC$106:DC$154&lt;&gt;""),ROWS(DI$1:DI5))),"")</f>
        <v>5</v>
      </c>
      <c r="DJ110" s="165">
        <f>IFERROR(INDEX(DD$106:DD$154,_xlfn.AGGREGATE(15,6,(ROW(DD$106:DD$154)-ROW(DD$106)+1)/(DD$106:DD$154&lt;&gt;""),ROWS(DJ$1:DJ5))),"")</f>
        <v>529.13569003859243</v>
      </c>
      <c r="DK110" s="166">
        <f t="shared" si="50"/>
        <v>110</v>
      </c>
      <c r="DL110" s="164">
        <f>IFERROR(INDEX(DE$106:DE$154,_xlfn.AGGREGATE(15,6,(ROW(DE$106:DE$154)-ROW(DE$106)+1)/(DE$106:DE$154&lt;&gt;""),ROWS(DL$1:DL5))),"")</f>
        <v>5</v>
      </c>
      <c r="DM110" s="165">
        <f>IFERROR(INDEX(DF$106:DF$154,_xlfn.AGGREGATE(15,6,(ROW(DF$106:DF$154)-ROW(DF$106)+1)/(DF$106:DF$154&lt;&gt;""),ROWS(DM$1:DM5))),"")</f>
        <v>611.38924578155729</v>
      </c>
      <c r="DN110" s="166">
        <f t="shared" si="51"/>
        <v>110</v>
      </c>
      <c r="DO110" s="164">
        <f>IFERROR(INDEX(DG$106:DG$154,_xlfn.AGGREGATE(15,6,(ROW(DG$106:DG$154)-ROW(DG$106)+1)/(DG$106:DG$154&lt;&gt;""),ROWS(DO$1:DO5))),"")</f>
        <v>5</v>
      </c>
      <c r="DP110" s="165">
        <f>IFERROR(INDEX(DH$106:DH$154,_xlfn.AGGREGATE(15,6,(ROW(DH$106:DH$154)-ROW(DH$106)+1)/(DH$106:DH$154&lt;&gt;""),ROWS(DP$1:DP5))),"")</f>
        <v>693.64280152452216</v>
      </c>
      <c r="DQ110" s="166">
        <f t="shared" si="52"/>
        <v>110</v>
      </c>
      <c r="DV110" s="145">
        <v>2019</v>
      </c>
      <c r="DW110" s="235">
        <f t="shared" ca="1" si="37"/>
        <v>611.38460650741627</v>
      </c>
      <c r="DZ110" s="135" t="s">
        <v>92</v>
      </c>
      <c r="EA110" s="33">
        <f ca="1">IF($EA$104="Linear",0,IF($EA$104="2nd Poly",0,IF($EA$104="3rd Poly",CI107,IF($EA$104="Exp",0))))</f>
        <v>-2.5267117799469428E-4</v>
      </c>
      <c r="EB110" s="33">
        <f ca="1">IF($EA$104="Linear",0,IF($EA$104="2nd Poly",CA107,IF($EA$104="3rd Poly",CJ107,IF($EA$104="Exp",0))))</f>
        <v>1.2984455025816421E-2</v>
      </c>
      <c r="EC110" s="33">
        <f t="shared" ref="EC110:ED112" ca="1" si="68">IF($EA$104="Linear",BT107,IF($EA$104="2nd Poly",CB107,IF($EA$104="3rd Poly",CK107,IF($EA$104="Exp",0))))</f>
        <v>4.6141515191627249</v>
      </c>
      <c r="ED110" s="33">
        <f t="shared" ca="1" si="68"/>
        <v>670.31626631406959</v>
      </c>
      <c r="EE110" s="33" t="str">
        <f>IF($EA$104="Linear","High",IF($EA$104="2nd Poly","High",IF($EA$104="3rd Poly","High","N/A")))</f>
        <v>High</v>
      </c>
    </row>
    <row r="111" spans="1:135" ht="13.8" x14ac:dyDescent="0.45">
      <c r="A111" s="148" t="s">
        <v>90</v>
      </c>
      <c r="B111" s="128">
        <v>2017</v>
      </c>
      <c r="C111" s="175">
        <f>'Total MSW Summaries (Archive)'!D8</f>
        <v>525.812796106468</v>
      </c>
      <c r="D111" s="159">
        <f>'Total MSW Summaries (Archive)'!P8</f>
        <v>633.85173412036852</v>
      </c>
      <c r="E111" s="151">
        <f>'Total MSW Summaries (Archive)'!AB8</f>
        <v>687.71799999999985</v>
      </c>
      <c r="F111" s="152">
        <f>'Total MSW Summaries (Archive)'!AN8</f>
        <v>678.02825394397598</v>
      </c>
      <c r="G111" s="159">
        <f>'Total MSW Summaries (Archive)'!AZ8</f>
        <v>485.54054054054063</v>
      </c>
      <c r="H111" s="169"/>
      <c r="I111" s="170"/>
      <c r="J111" s="168"/>
      <c r="K111" s="169"/>
      <c r="L111" s="170"/>
      <c r="M111" s="169"/>
      <c r="N111" s="29" t="s">
        <v>119</v>
      </c>
      <c r="O111" s="120"/>
      <c r="P111" s="120"/>
      <c r="Q111" s="120"/>
      <c r="R111" s="29">
        <v>3</v>
      </c>
      <c r="S111" s="154">
        <f t="shared" si="38"/>
        <v>485.54054054054063</v>
      </c>
      <c r="T111" s="154">
        <f t="shared" si="39"/>
        <v>687.71799999999985</v>
      </c>
      <c r="U111" s="154">
        <f t="shared" si="40"/>
        <v>81.865155736988967</v>
      </c>
      <c r="V111" s="29"/>
      <c r="W111" s="154">
        <f t="shared" si="41"/>
        <v>520.32510920528159</v>
      </c>
      <c r="X111" s="154">
        <f t="shared" si="42"/>
        <v>602.19026494227057</v>
      </c>
      <c r="Y111" s="154">
        <f t="shared" si="43"/>
        <v>684.05542067925956</v>
      </c>
      <c r="AA111" s="138"/>
      <c r="AB111" s="138"/>
      <c r="AC111" s="138"/>
      <c r="AD111" s="138"/>
      <c r="AE111" s="138"/>
      <c r="AF111" s="138"/>
      <c r="AG111" s="138"/>
      <c r="AH111" s="138"/>
      <c r="AI111" s="138"/>
      <c r="AJ111" s="138"/>
      <c r="AK111" s="138"/>
      <c r="AL111" s="138"/>
      <c r="AM111" s="138"/>
      <c r="AN111" s="138"/>
      <c r="BR111" s="180">
        <v>2015</v>
      </c>
      <c r="BS111" s="22">
        <v>1</v>
      </c>
      <c r="BT111" s="181">
        <f t="shared" si="54"/>
        <v>4.0848380908485797</v>
      </c>
      <c r="BU111" s="182">
        <f t="shared" si="55"/>
        <v>592.00614409760874</v>
      </c>
      <c r="BV111" s="183">
        <f t="shared" si="56"/>
        <v>596.09098218845736</v>
      </c>
      <c r="BY111" s="180">
        <v>2015</v>
      </c>
      <c r="BZ111" s="22">
        <v>1</v>
      </c>
      <c r="CA111" s="185">
        <f t="shared" ca="1" si="57"/>
        <v>-2.3412617603208657E-2</v>
      </c>
      <c r="CB111" s="185">
        <f t="shared" ca="1" si="58"/>
        <v>4.8340418541512555</v>
      </c>
      <c r="CC111" s="186">
        <f t="shared" ref="CC111:CC156" ca="1" si="69">CC110</f>
        <v>587.88552339944408</v>
      </c>
      <c r="CD111" s="183">
        <f t="shared" ca="1" si="59"/>
        <v>592.69615263599212</v>
      </c>
      <c r="CG111" s="180">
        <v>2015</v>
      </c>
      <c r="CH111" s="22">
        <v>1</v>
      </c>
      <c r="CI111" s="185">
        <f t="shared" ca="1" si="60"/>
        <v>-3.4214801716031252E-4</v>
      </c>
      <c r="CJ111" s="185">
        <f t="shared" ca="1" si="61"/>
        <v>-6.9895127795136375E-3</v>
      </c>
      <c r="CK111" s="185">
        <f t="shared" ca="1" si="62"/>
        <v>4.6204730618397898</v>
      </c>
      <c r="CL111" s="186">
        <f t="shared" ca="1" si="63"/>
        <v>588.49974751985019</v>
      </c>
      <c r="CM111" s="183">
        <f t="shared" ca="1" si="64"/>
        <v>593.11288892089328</v>
      </c>
      <c r="CP111" s="180">
        <v>2015</v>
      </c>
      <c r="CQ111" s="22">
        <v>1</v>
      </c>
      <c r="CR111" s="185">
        <f t="shared" ca="1" si="65"/>
        <v>593.97870804003173</v>
      </c>
      <c r="CS111" s="186">
        <f t="shared" ca="1" si="66"/>
        <v>1.0062591689580855</v>
      </c>
      <c r="CT111" s="183">
        <f t="shared" ca="1" si="67"/>
        <v>597.69652113115967</v>
      </c>
      <c r="CZ111" s="164" t="b">
        <f t="shared" si="44"/>
        <v>1</v>
      </c>
      <c r="DA111" s="165" t="b">
        <f t="shared" si="44"/>
        <v>1</v>
      </c>
      <c r="DB111" s="166" t="b">
        <f t="shared" si="44"/>
        <v>1</v>
      </c>
      <c r="DC111" s="164">
        <f t="shared" si="53"/>
        <v>3</v>
      </c>
      <c r="DD111" s="166">
        <f t="shared" si="45"/>
        <v>520.32510920528159</v>
      </c>
      <c r="DE111" s="164">
        <f t="shared" si="46"/>
        <v>3</v>
      </c>
      <c r="DF111" s="166">
        <f t="shared" si="47"/>
        <v>602.19026494227057</v>
      </c>
      <c r="DG111" s="164">
        <f t="shared" si="48"/>
        <v>3</v>
      </c>
      <c r="DH111" s="166">
        <f t="shared" si="49"/>
        <v>684.05542067925956</v>
      </c>
      <c r="DI111" s="164">
        <f>IFERROR(INDEX(DC$106:DC$154,_xlfn.AGGREGATE(15,6,(ROW(DC$106:DC$154)-ROW(DC$106)+1)/(DC$106:DC$154&lt;&gt;""),ROWS(DI$1:DI6))),"")</f>
        <v>6</v>
      </c>
      <c r="DJ111" s="165">
        <f>IFERROR(INDEX(DD$106:DD$154,_xlfn.AGGREGATE(15,6,(ROW(DD$106:DD$154)-ROW(DD$106)+1)/(DD$106:DD$154&lt;&gt;""),ROWS(DJ$1:DJ6))),"")</f>
        <v>533.44169099002613</v>
      </c>
      <c r="DK111" s="166">
        <f t="shared" si="50"/>
        <v>111</v>
      </c>
      <c r="DL111" s="164">
        <f>IFERROR(INDEX(DE$106:DE$154,_xlfn.AGGREGATE(15,6,(ROW(DE$106:DE$154)-ROW(DE$106)+1)/(DE$106:DE$154&lt;&gt;""),ROWS(DL$1:DL6))),"")</f>
        <v>6</v>
      </c>
      <c r="DM111" s="165">
        <f>IFERROR(INDEX(DF$106:DF$154,_xlfn.AGGREGATE(15,6,(ROW(DF$106:DF$154)-ROW(DF$106)+1)/(DF$106:DF$154&lt;&gt;""),ROWS(DM$1:DM6))),"")</f>
        <v>615.97867073679652</v>
      </c>
      <c r="DN111" s="166">
        <f t="shared" si="51"/>
        <v>111</v>
      </c>
      <c r="DO111" s="164">
        <f>IFERROR(INDEX(DG$106:DG$154,_xlfn.AGGREGATE(15,6,(ROW(DG$106:DG$154)-ROW(DG$106)+1)/(DG$106:DG$154&lt;&gt;""),ROWS(DO$1:DO6))),"")</f>
        <v>6</v>
      </c>
      <c r="DP111" s="165">
        <f>IFERROR(INDEX(DH$106:DH$154,_xlfn.AGGREGATE(15,6,(ROW(DH$106:DH$154)-ROW(DH$106)+1)/(DH$106:DH$154&lt;&gt;""),ROWS(DP$1:DP6))),"")</f>
        <v>698.5156504835669</v>
      </c>
      <c r="DQ111" s="166">
        <f t="shared" si="52"/>
        <v>111</v>
      </c>
      <c r="DV111" s="145">
        <v>2020</v>
      </c>
      <c r="DW111" s="235">
        <f t="shared" ca="1" si="37"/>
        <v>615.89705945911976</v>
      </c>
      <c r="DZ111" s="135" t="s">
        <v>92</v>
      </c>
      <c r="EA111" s="33">
        <f ca="1">IF($EA$104="Linear",0,IF($EA$104="2nd Poly",0,IF($EA$104="3rd Poly",CI108,IF($EA$104="Exp",0))))</f>
        <v>-3.4214801716031252E-4</v>
      </c>
      <c r="EB111" s="33">
        <f ca="1">IF($EA$104="Linear",0,IF($EA$104="2nd Poly",CA108,IF($EA$104="3rd Poly",CJ108,IF($EA$104="Exp",0))))</f>
        <v>-6.9895127795136375E-3</v>
      </c>
      <c r="EC111" s="33">
        <f t="shared" ca="1" si="68"/>
        <v>4.6204730618397898</v>
      </c>
      <c r="ED111" s="33">
        <f t="shared" ca="1" si="68"/>
        <v>588.49974751985019</v>
      </c>
      <c r="EE111" s="33" t="str">
        <f>IF($EA$104="Linear","Medium",IF($EA$104="2nd Poly","Medium",IF($EA$104="3rd Poly","Medium","N/A")))</f>
        <v>Medium</v>
      </c>
    </row>
    <row r="112" spans="1:135" ht="13.8" x14ac:dyDescent="0.45">
      <c r="A112" s="184" t="s">
        <v>80</v>
      </c>
      <c r="B112" s="128">
        <v>2018</v>
      </c>
      <c r="C112" s="175">
        <f>'Total MSW Summaries (Archive)'!D9</f>
        <v>529.9805273193648</v>
      </c>
      <c r="D112" s="159">
        <f>'Total MSW Summaries (Archive)'!P9</f>
        <v>636.89786682868055</v>
      </c>
      <c r="E112" s="151">
        <f>'Total MSW Summaries (Archive)'!AB9</f>
        <v>695.20399999999984</v>
      </c>
      <c r="F112" s="152">
        <f>'Total MSW Summaries (Archive)'!AN9</f>
        <v>681.27354569498641</v>
      </c>
      <c r="G112" s="159">
        <f>'Total MSW Summaries (Archive)'!AZ9</f>
        <v>490.67567567567579</v>
      </c>
      <c r="H112" s="151"/>
      <c r="I112" s="152"/>
      <c r="J112" s="159"/>
      <c r="K112" s="151"/>
      <c r="L112" s="152"/>
      <c r="M112" s="151"/>
      <c r="N112" s="29" t="s">
        <v>119</v>
      </c>
      <c r="O112" s="120"/>
      <c r="P112" s="120"/>
      <c r="Q112" s="120"/>
      <c r="R112" s="29">
        <v>4</v>
      </c>
      <c r="S112" s="154">
        <f t="shared" si="38"/>
        <v>490.67567567567579</v>
      </c>
      <c r="T112" s="154">
        <f t="shared" si="39"/>
        <v>695.20399999999984</v>
      </c>
      <c r="U112" s="154">
        <f t="shared" si="40"/>
        <v>82.040901622085457</v>
      </c>
      <c r="V112" s="20"/>
      <c r="W112" s="154">
        <f t="shared" si="41"/>
        <v>524.76542148165606</v>
      </c>
      <c r="X112" s="154">
        <f t="shared" si="42"/>
        <v>606.80632310374153</v>
      </c>
      <c r="Y112" s="154">
        <f t="shared" si="43"/>
        <v>688.847224725827</v>
      </c>
      <c r="AA112" s="138"/>
      <c r="AB112" s="138"/>
      <c r="AC112" s="138"/>
      <c r="AD112" s="138"/>
      <c r="AE112" s="138"/>
      <c r="AF112" s="138"/>
      <c r="AG112" s="138"/>
      <c r="AH112" s="138"/>
      <c r="AI112" s="138"/>
      <c r="AJ112" s="138"/>
      <c r="AK112" s="138"/>
      <c r="AL112" s="138"/>
      <c r="AM112" s="138"/>
      <c r="AN112" s="138"/>
      <c r="BR112" s="180">
        <v>2016</v>
      </c>
      <c r="BS112" s="22">
        <v>2</v>
      </c>
      <c r="BT112" s="181">
        <f t="shared" si="54"/>
        <v>8.1696761816971595</v>
      </c>
      <c r="BU112" s="182">
        <f t="shared" si="55"/>
        <v>592.00614409760874</v>
      </c>
      <c r="BV112" s="183">
        <f t="shared" si="56"/>
        <v>600.17582027930587</v>
      </c>
      <c r="BY112" s="180">
        <v>2016</v>
      </c>
      <c r="BZ112" s="22">
        <v>2</v>
      </c>
      <c r="CA112" s="185">
        <f t="shared" ca="1" si="57"/>
        <v>-9.3650470412834627E-2</v>
      </c>
      <c r="CB112" s="185">
        <f t="shared" ca="1" si="58"/>
        <v>9.6680837083025111</v>
      </c>
      <c r="CC112" s="186">
        <f t="shared" ca="1" si="69"/>
        <v>587.88552339944408</v>
      </c>
      <c r="CD112" s="183">
        <f t="shared" ca="1" si="59"/>
        <v>597.45995663733379</v>
      </c>
      <c r="CG112" s="180">
        <v>2016</v>
      </c>
      <c r="CH112" s="22">
        <v>2</v>
      </c>
      <c r="CI112" s="185">
        <f t="shared" ca="1" si="60"/>
        <v>-2.7371841372825002E-3</v>
      </c>
      <c r="CJ112" s="185">
        <f t="shared" ca="1" si="61"/>
        <v>-2.795805111805455E-2</v>
      </c>
      <c r="CK112" s="185">
        <f t="shared" ca="1" si="62"/>
        <v>9.2409461236795796</v>
      </c>
      <c r="CL112" s="186">
        <f t="shared" ca="1" si="63"/>
        <v>588.49974751985019</v>
      </c>
      <c r="CM112" s="183">
        <f t="shared" ca="1" si="64"/>
        <v>597.70999840827449</v>
      </c>
      <c r="CP112" s="180">
        <v>2016</v>
      </c>
      <c r="CQ112" s="22">
        <v>2</v>
      </c>
      <c r="CR112" s="185">
        <f t="shared" ca="1" si="65"/>
        <v>593.97870804003173</v>
      </c>
      <c r="CS112" s="186">
        <f t="shared" ca="1" si="66"/>
        <v>1.012557515112217</v>
      </c>
      <c r="CT112" s="183">
        <f t="shared" ca="1" si="67"/>
        <v>601.43760464257957</v>
      </c>
      <c r="CZ112" s="164" t="b">
        <f t="shared" si="44"/>
        <v>1</v>
      </c>
      <c r="DA112" s="165" t="b">
        <f t="shared" si="44"/>
        <v>1</v>
      </c>
      <c r="DB112" s="166" t="b">
        <f t="shared" si="44"/>
        <v>1</v>
      </c>
      <c r="DC112" s="164">
        <f t="shared" si="53"/>
        <v>4</v>
      </c>
      <c r="DD112" s="166">
        <f t="shared" si="45"/>
        <v>524.76542148165606</v>
      </c>
      <c r="DE112" s="164">
        <f t="shared" si="46"/>
        <v>4</v>
      </c>
      <c r="DF112" s="166">
        <f t="shared" si="47"/>
        <v>606.80632310374153</v>
      </c>
      <c r="DG112" s="164">
        <f t="shared" si="48"/>
        <v>4</v>
      </c>
      <c r="DH112" s="166">
        <f t="shared" si="49"/>
        <v>688.847224725827</v>
      </c>
      <c r="DI112" s="164">
        <f>IFERROR(INDEX(DC$106:DC$154,_xlfn.AGGREGATE(15,6,(ROW(DC$106:DC$154)-ROW(DC$106)+1)/(DC$106:DC$154&lt;&gt;""),ROWS(DI$1:DI7))),"")</f>
        <v>7</v>
      </c>
      <c r="DJ112" s="165">
        <f>IFERROR(INDEX(DD$106:DD$154,_xlfn.AGGREGATE(15,6,(ROW(DD$106:DD$154)-ROW(DD$106)+1)/(DD$106:DD$154&lt;&gt;""),ROWS(DJ$1:DJ7))),"")</f>
        <v>537.66904240500571</v>
      </c>
      <c r="DK112" s="166">
        <f t="shared" si="50"/>
        <v>112</v>
      </c>
      <c r="DL112" s="164">
        <f>IFERROR(INDEX(DE$106:DE$154,_xlfn.AGGREGATE(15,6,(ROW(DE$106:DE$154)-ROW(DE$106)+1)/(DE$106:DE$154&lt;&gt;""),ROWS(DL$1:DL7))),"")</f>
        <v>7</v>
      </c>
      <c r="DM112" s="165">
        <f>IFERROR(INDEX(DF$106:DF$154,_xlfn.AGGREGATE(15,6,(ROW(DF$106:DF$154)-ROW(DF$106)+1)/(DF$106:DF$154&lt;&gt;""),ROWS(DM$1:DM7))),"")</f>
        <v>620.46309055365941</v>
      </c>
      <c r="DN112" s="166">
        <f t="shared" si="51"/>
        <v>112</v>
      </c>
      <c r="DO112" s="164">
        <f>IFERROR(INDEX(DG$106:DG$154,_xlfn.AGGREGATE(15,6,(ROW(DG$106:DG$154)-ROW(DG$106)+1)/(DG$106:DG$154&lt;&gt;""),ROWS(DO$1:DO7))),"")</f>
        <v>7</v>
      </c>
      <c r="DP112" s="165">
        <f>IFERROR(INDEX(DH$106:DH$154,_xlfn.AGGREGATE(15,6,(ROW(DH$106:DH$154)-ROW(DH$106)+1)/(DH$106:DH$154&lt;&gt;""),ROWS(DP$1:DP7))),"")</f>
        <v>703.25713870231311</v>
      </c>
      <c r="DQ112" s="166">
        <f t="shared" si="52"/>
        <v>112</v>
      </c>
      <c r="DV112" s="145">
        <v>2021</v>
      </c>
      <c r="DW112" s="235">
        <f t="shared" ca="1" si="37"/>
        <v>620.38321605664657</v>
      </c>
      <c r="DZ112" s="135" t="s">
        <v>92</v>
      </c>
      <c r="EA112" s="33">
        <f ca="1">IF($EA$104="Linear",0,IF($EA$104="2nd Poly",0,IF($EA$104="3rd Poly",CI109,IF($EA$104="Exp",0))))</f>
        <v>-4.316248563259261E-4</v>
      </c>
      <c r="EB112" s="33">
        <f ca="1">IF($EA$104="Linear",0,IF($EA$104="2nd Poly",CA109,IF($EA$104="3rd Poly",CJ109,IF($EA$104="Exp",0))))</f>
        <v>-2.6963480584844012E-2</v>
      </c>
      <c r="EC112" s="33">
        <f t="shared" ca="1" si="68"/>
        <v>4.6267946045168573</v>
      </c>
      <c r="ED112" s="33">
        <f t="shared" ca="1" si="68"/>
        <v>506.68322872563101</v>
      </c>
      <c r="EE112" s="33" t="str">
        <f>IF($EA$104="Linear","Low",IF($EA$104="2nd Poly","Low",IF($EA$104="3rd Poly","Low","N/A")))</f>
        <v>Low</v>
      </c>
    </row>
    <row r="113" spans="1:135" ht="13.8" x14ac:dyDescent="0.45">
      <c r="A113" s="184" t="s">
        <v>88</v>
      </c>
      <c r="B113" s="128">
        <v>2019</v>
      </c>
      <c r="C113" s="175">
        <f>'Total MSW Summaries (Archive)'!D10</f>
        <v>534.08447042138516</v>
      </c>
      <c r="D113" s="159">
        <f>'Total MSW Summaries (Archive)'!P10</f>
        <v>639.83647215666258</v>
      </c>
      <c r="E113" s="151">
        <f>'Total MSW Summaries (Archive)'!AB10</f>
        <v>702.68999999999983</v>
      </c>
      <c r="F113" s="152">
        <f>'Total MSW Summaries (Archive)'!AN10</f>
        <v>684.52447551892806</v>
      </c>
      <c r="G113" s="159">
        <f>'Total MSW Summaries (Archive)'!AZ10</f>
        <v>495.81081081081095</v>
      </c>
      <c r="H113" s="236"/>
      <c r="I113" s="240"/>
      <c r="J113" s="188"/>
      <c r="K113" s="236"/>
      <c r="L113" s="240"/>
      <c r="M113" s="236"/>
      <c r="N113" s="29" t="s">
        <v>119</v>
      </c>
      <c r="O113" s="120"/>
      <c r="P113" s="120"/>
      <c r="Q113" s="120"/>
      <c r="R113" s="29">
        <v>5</v>
      </c>
      <c r="S113" s="154">
        <f t="shared" si="38"/>
        <v>495.81081081081095</v>
      </c>
      <c r="T113" s="154">
        <f t="shared" si="39"/>
        <v>702.68999999999983</v>
      </c>
      <c r="U113" s="154">
        <f t="shared" si="40"/>
        <v>82.253555742964821</v>
      </c>
      <c r="V113" s="20"/>
      <c r="W113" s="154">
        <f t="shared" si="41"/>
        <v>529.13569003859243</v>
      </c>
      <c r="X113" s="154">
        <f t="shared" si="42"/>
        <v>611.38924578155729</v>
      </c>
      <c r="Y113" s="154">
        <f t="shared" si="43"/>
        <v>693.64280152452216</v>
      </c>
      <c r="AA113" s="138"/>
      <c r="AB113" s="138"/>
      <c r="AC113" s="138"/>
      <c r="AD113" s="138"/>
      <c r="AE113" s="138"/>
      <c r="AF113" s="138"/>
      <c r="AG113" s="138"/>
      <c r="AH113" s="138"/>
      <c r="AI113" s="138"/>
      <c r="AJ113" s="138"/>
      <c r="AK113" s="138"/>
      <c r="AL113" s="138"/>
      <c r="AM113" s="138"/>
      <c r="AN113" s="138"/>
      <c r="BR113" s="180">
        <v>2017</v>
      </c>
      <c r="BS113" s="22">
        <v>3</v>
      </c>
      <c r="BT113" s="181">
        <f t="shared" si="54"/>
        <v>12.254514272545739</v>
      </c>
      <c r="BU113" s="182">
        <f t="shared" si="55"/>
        <v>592.00614409760874</v>
      </c>
      <c r="BV113" s="183">
        <f t="shared" si="56"/>
        <v>604.26065837015449</v>
      </c>
      <c r="BY113" s="180">
        <v>2017</v>
      </c>
      <c r="BZ113" s="22">
        <v>3</v>
      </c>
      <c r="CA113" s="185">
        <f t="shared" ca="1" si="57"/>
        <v>-0.2107135584288779</v>
      </c>
      <c r="CB113" s="185">
        <f t="shared" ca="1" si="58"/>
        <v>14.502125562453767</v>
      </c>
      <c r="CC113" s="186">
        <f t="shared" ca="1" si="69"/>
        <v>587.88552339944408</v>
      </c>
      <c r="CD113" s="183">
        <f t="shared" ca="1" si="59"/>
        <v>602.17693540346897</v>
      </c>
      <c r="CG113" s="180">
        <v>2017</v>
      </c>
      <c r="CH113" s="22">
        <v>3</v>
      </c>
      <c r="CI113" s="185">
        <f t="shared" ca="1" si="60"/>
        <v>-9.2379964633284382E-3</v>
      </c>
      <c r="CJ113" s="185">
        <f t="shared" ca="1" si="61"/>
        <v>-6.2905615015622737E-2</v>
      </c>
      <c r="CK113" s="185">
        <f t="shared" ca="1" si="62"/>
        <v>13.86141918551937</v>
      </c>
      <c r="CL113" s="186">
        <f t="shared" ca="1" si="63"/>
        <v>588.49974751985019</v>
      </c>
      <c r="CM113" s="183">
        <f t="shared" ca="1" si="64"/>
        <v>602.28902309389059</v>
      </c>
      <c r="CP113" s="180">
        <v>2017</v>
      </c>
      <c r="CQ113" s="22">
        <v>3</v>
      </c>
      <c r="CR113" s="185">
        <f t="shared" ca="1" si="65"/>
        <v>593.97870804003173</v>
      </c>
      <c r="CS113" s="186">
        <f t="shared" ca="1" si="66"/>
        <v>1.0188952836790837</v>
      </c>
      <c r="CT113" s="183">
        <f t="shared" ca="1" si="67"/>
        <v>605.20210422778371</v>
      </c>
      <c r="CZ113" s="164" t="b">
        <f t="shared" si="44"/>
        <v>1</v>
      </c>
      <c r="DA113" s="165" t="b">
        <f t="shared" si="44"/>
        <v>1</v>
      </c>
      <c r="DB113" s="166" t="b">
        <f t="shared" si="44"/>
        <v>1</v>
      </c>
      <c r="DC113" s="164">
        <f t="shared" si="53"/>
        <v>5</v>
      </c>
      <c r="DD113" s="166">
        <f t="shared" si="45"/>
        <v>529.13569003859243</v>
      </c>
      <c r="DE113" s="164">
        <f t="shared" si="46"/>
        <v>5</v>
      </c>
      <c r="DF113" s="166">
        <f t="shared" si="47"/>
        <v>611.38924578155729</v>
      </c>
      <c r="DG113" s="164">
        <f t="shared" si="48"/>
        <v>5</v>
      </c>
      <c r="DH113" s="166">
        <f t="shared" si="49"/>
        <v>693.64280152452216</v>
      </c>
      <c r="DI113" s="164">
        <f>IFERROR(INDEX(DC$106:DC$154,_xlfn.AGGREGATE(15,6,(ROW(DC$106:DC$154)-ROW(DC$106)+1)/(DC$106:DC$154&lt;&gt;""),ROWS(DI$1:DI8))),"")</f>
        <v>8</v>
      </c>
      <c r="DJ113" s="165">
        <f>IFERROR(INDEX(DD$106:DD$154,_xlfn.AGGREGATE(15,6,(ROW(DD$106:DD$154)-ROW(DD$106)+1)/(DD$106:DD$154&lt;&gt;""),ROWS(DJ$1:DJ8))),"")</f>
        <v>541.76006311484332</v>
      </c>
      <c r="DK113" s="166">
        <f t="shared" si="50"/>
        <v>113</v>
      </c>
      <c r="DL113" s="164">
        <f>IFERROR(INDEX(DE$106:DE$154,_xlfn.AGGREGATE(15,6,(ROW(DE$106:DE$154)-ROW(DE$106)+1)/(DE$106:DE$154&lt;&gt;""),ROWS(DL$1:DL8))),"")</f>
        <v>8</v>
      </c>
      <c r="DM113" s="165">
        <f>IFERROR(INDEX(DF$106:DF$154,_xlfn.AGGREGATE(15,6,(ROW(DF$106:DF$154)-ROW(DF$106)+1)/(DF$106:DF$154&lt;&gt;""),ROWS(DM$1:DM8))),"")</f>
        <v>624.87301055819728</v>
      </c>
      <c r="DN113" s="166">
        <f t="shared" si="51"/>
        <v>113</v>
      </c>
      <c r="DO113" s="164">
        <f>IFERROR(INDEX(DG$106:DG$154,_xlfn.AGGREGATE(15,6,(ROW(DG$106:DG$154)-ROW(DG$106)+1)/(DG$106:DG$154&lt;&gt;""),ROWS(DO$1:DO8))),"")</f>
        <v>8</v>
      </c>
      <c r="DP113" s="165">
        <f>IFERROR(INDEX(DH$106:DH$154,_xlfn.AGGREGATE(15,6,(ROW(DH$106:DH$154)-ROW(DH$106)+1)/(DH$106:DH$154&lt;&gt;""),ROWS(DP$1:DP8))),"")</f>
        <v>707.98595800155124</v>
      </c>
      <c r="DQ113" s="166">
        <f t="shared" si="52"/>
        <v>113</v>
      </c>
      <c r="DV113" s="145">
        <v>2022</v>
      </c>
      <c r="DW113" s="235">
        <f t="shared" ca="1" si="37"/>
        <v>624.8410234118935</v>
      </c>
      <c r="DZ113" s="135"/>
      <c r="EA113" s="33"/>
      <c r="EB113" s="33"/>
      <c r="EC113" s="33"/>
      <c r="ED113" s="33"/>
      <c r="EE113" s="33"/>
    </row>
    <row r="114" spans="1:135" ht="13.8" x14ac:dyDescent="0.45">
      <c r="A114" s="184" t="s">
        <v>90</v>
      </c>
      <c r="B114" s="128">
        <v>2020</v>
      </c>
      <c r="C114" s="175">
        <f>'Total MSW Summaries (Archive)'!D11</f>
        <v>538.12821512918492</v>
      </c>
      <c r="D114" s="159">
        <f>'Total MSW Summaries (Archive)'!P11</f>
        <v>642.67255140172597</v>
      </c>
      <c r="E114" s="151">
        <f>'Total MSW Summaries (Archive)'!AB11</f>
        <v>710.17599999999982</v>
      </c>
      <c r="F114" s="152">
        <f>'Total MSW Summaries (Archive)'!AN11</f>
        <v>687.97064120712525</v>
      </c>
      <c r="G114" s="159">
        <f>'Total MSW Summaries (Archive)'!AZ11</f>
        <v>500.94594594594611</v>
      </c>
      <c r="H114" s="169"/>
      <c r="I114" s="170"/>
      <c r="J114" s="168"/>
      <c r="K114" s="169"/>
      <c r="L114" s="170"/>
      <c r="M114" s="169"/>
      <c r="N114" s="29" t="s">
        <v>119</v>
      </c>
      <c r="O114" s="120"/>
      <c r="P114" s="120"/>
      <c r="Q114" s="120"/>
      <c r="R114" s="29">
        <v>6</v>
      </c>
      <c r="S114" s="195">
        <f t="shared" si="38"/>
        <v>500.94594594594611</v>
      </c>
      <c r="T114" s="195">
        <f t="shared" si="39"/>
        <v>710.17599999999982</v>
      </c>
      <c r="U114" s="195">
        <f t="shared" si="40"/>
        <v>82.536979746770342</v>
      </c>
      <c r="V114" s="20"/>
      <c r="W114" s="154">
        <f t="shared" si="41"/>
        <v>533.44169099002613</v>
      </c>
      <c r="X114" s="154">
        <f t="shared" si="42"/>
        <v>615.97867073679652</v>
      </c>
      <c r="Y114" s="154">
        <f t="shared" si="43"/>
        <v>698.5156504835669</v>
      </c>
      <c r="AA114" s="138"/>
      <c r="AB114" s="138"/>
      <c r="AC114" s="138"/>
      <c r="AD114" s="138"/>
      <c r="AE114" s="138"/>
      <c r="AF114" s="138"/>
      <c r="AG114" s="138"/>
      <c r="AH114" s="138"/>
      <c r="AI114" s="138"/>
      <c r="AJ114" s="138"/>
      <c r="AK114" s="138"/>
      <c r="AL114" s="138"/>
      <c r="AM114" s="138"/>
      <c r="AN114" s="138"/>
      <c r="BR114" s="180">
        <v>2018</v>
      </c>
      <c r="BS114" s="22">
        <v>4</v>
      </c>
      <c r="BT114" s="181">
        <f t="shared" si="54"/>
        <v>16.339352363394319</v>
      </c>
      <c r="BU114" s="182">
        <f t="shared" si="55"/>
        <v>592.00614409760874</v>
      </c>
      <c r="BV114" s="183">
        <f t="shared" si="56"/>
        <v>608.34549646100311</v>
      </c>
      <c r="BY114" s="180">
        <v>2018</v>
      </c>
      <c r="BZ114" s="22">
        <v>4</v>
      </c>
      <c r="CA114" s="185">
        <f t="shared" ca="1" si="57"/>
        <v>-0.37460188165133851</v>
      </c>
      <c r="CB114" s="185">
        <f t="shared" ca="1" si="58"/>
        <v>19.336167416605022</v>
      </c>
      <c r="CC114" s="186">
        <f t="shared" ca="1" si="69"/>
        <v>587.88552339944408</v>
      </c>
      <c r="CD114" s="183">
        <f t="shared" ca="1" si="59"/>
        <v>606.84708893439779</v>
      </c>
      <c r="CG114" s="180">
        <v>2018</v>
      </c>
      <c r="CH114" s="22">
        <v>4</v>
      </c>
      <c r="CI114" s="185">
        <f t="shared" ca="1" si="60"/>
        <v>-2.1897473098260001E-2</v>
      </c>
      <c r="CJ114" s="185">
        <f t="shared" ca="1" si="61"/>
        <v>-0.1118322044722182</v>
      </c>
      <c r="CK114" s="185">
        <f t="shared" ca="1" si="62"/>
        <v>18.481892247359159</v>
      </c>
      <c r="CL114" s="186">
        <f t="shared" ca="1" si="63"/>
        <v>588.49974751985019</v>
      </c>
      <c r="CM114" s="183">
        <f t="shared" ca="1" si="64"/>
        <v>606.84791008963884</v>
      </c>
      <c r="CP114" s="180">
        <v>2018</v>
      </c>
      <c r="CQ114" s="22">
        <v>4</v>
      </c>
      <c r="CR114" s="185">
        <f t="shared" ca="1" si="65"/>
        <v>593.97870804003173</v>
      </c>
      <c r="CS114" s="186">
        <f t="shared" ca="1" si="66"/>
        <v>1.0252727214102277</v>
      </c>
      <c r="CT114" s="183">
        <f t="shared" ca="1" si="67"/>
        <v>608.99016645193444</v>
      </c>
      <c r="CZ114" s="164" t="b">
        <f t="shared" si="44"/>
        <v>1</v>
      </c>
      <c r="DA114" s="165" t="b">
        <f t="shared" si="44"/>
        <v>1</v>
      </c>
      <c r="DB114" s="166" t="b">
        <f t="shared" si="44"/>
        <v>1</v>
      </c>
      <c r="DC114" s="164">
        <f t="shared" si="53"/>
        <v>6</v>
      </c>
      <c r="DD114" s="166">
        <f t="shared" si="45"/>
        <v>533.44169099002613</v>
      </c>
      <c r="DE114" s="164">
        <f t="shared" si="46"/>
        <v>6</v>
      </c>
      <c r="DF114" s="166">
        <f t="shared" si="47"/>
        <v>615.97867073679652</v>
      </c>
      <c r="DG114" s="164">
        <f t="shared" si="48"/>
        <v>6</v>
      </c>
      <c r="DH114" s="166">
        <f t="shared" si="49"/>
        <v>698.5156504835669</v>
      </c>
      <c r="DI114" s="164">
        <f>IFERROR(INDEX(DC$106:DC$154,_xlfn.AGGREGATE(15,6,(ROW(DC$106:DC$154)-ROW(DC$106)+1)/(DC$106:DC$154&lt;&gt;""),ROWS(DI$1:DI9))),"")</f>
        <v>9</v>
      </c>
      <c r="DJ114" s="165">
        <f>IFERROR(INDEX(DD$106:DD$154,_xlfn.AGGREGATE(15,6,(ROW(DD$106:DD$154)-ROW(DD$106)+1)/(DD$106:DD$154&lt;&gt;""),ROWS(DJ$1:DJ9))),"")</f>
        <v>545.78260007316817</v>
      </c>
      <c r="DK114" s="166">
        <f t="shared" si="50"/>
        <v>114</v>
      </c>
      <c r="DL114" s="164">
        <f>IFERROR(INDEX(DE$106:DE$154,_xlfn.AGGREGATE(15,6,(ROW(DE$106:DE$154)-ROW(DE$106)+1)/(DE$106:DE$154&lt;&gt;""),ROWS(DL$1:DL9))),"")</f>
        <v>9</v>
      </c>
      <c r="DM114" s="165">
        <f>IFERROR(INDEX(DF$106:DF$154,_xlfn.AGGREGATE(15,6,(ROW(DF$106:DF$154)-ROW(DF$106)+1)/(DF$106:DF$154&lt;&gt;""),ROWS(DM$1:DM9))),"")</f>
        <v>629.25795758773995</v>
      </c>
      <c r="DN114" s="166">
        <f t="shared" si="51"/>
        <v>114</v>
      </c>
      <c r="DO114" s="164">
        <f>IFERROR(INDEX(DG$106:DG$154,_xlfn.AGGREGATE(15,6,(ROW(DG$106:DG$154)-ROW(DG$106)+1)/(DG$106:DG$154&lt;&gt;""),ROWS(DO$1:DO9))),"")</f>
        <v>9</v>
      </c>
      <c r="DP114" s="165">
        <f>IFERROR(INDEX(DH$106:DH$154,_xlfn.AGGREGATE(15,6,(ROW(DH$106:DH$154)-ROW(DH$106)+1)/(DH$106:DH$154&lt;&gt;""),ROWS(DP$1:DP9))),"")</f>
        <v>712.73331510231174</v>
      </c>
      <c r="DQ114" s="166">
        <f t="shared" si="52"/>
        <v>114</v>
      </c>
      <c r="DV114" s="145">
        <v>2023</v>
      </c>
      <c r="DW114" s="235">
        <f t="shared" ca="1" si="37"/>
        <v>629.26842863675779</v>
      </c>
      <c r="DZ114" s="135"/>
      <c r="EA114" s="33" t="s">
        <v>86</v>
      </c>
      <c r="EB114" s="33" t="s">
        <v>87</v>
      </c>
      <c r="EC114" s="33"/>
      <c r="ED114" s="33"/>
      <c r="EE114" s="33"/>
    </row>
    <row r="115" spans="1:135" ht="13.8" x14ac:dyDescent="0.45">
      <c r="A115" s="184" t="s">
        <v>80</v>
      </c>
      <c r="B115" s="128">
        <v>2021</v>
      </c>
      <c r="C115" s="175">
        <f>'Total MSW Summaries (Archive)'!D12</f>
        <v>542.11365814263638</v>
      </c>
      <c r="D115" s="159">
        <f>'Total MSW Summaries (Archive)'!P12</f>
        <v>645.40903666500901</v>
      </c>
      <c r="E115" s="151">
        <f>'Total MSW Summaries (Archive)'!AB12</f>
        <v>717.66199999999981</v>
      </c>
      <c r="F115" s="152">
        <f>'Total MSW Summaries (Archive)'!AN12</f>
        <v>691.0496768795706</v>
      </c>
      <c r="G115" s="159">
        <f>'Total MSW Summaries (Archive)'!AZ12</f>
        <v>506.08108108108127</v>
      </c>
      <c r="H115" s="151"/>
      <c r="I115" s="152"/>
      <c r="J115" s="159"/>
      <c r="K115" s="151"/>
      <c r="L115" s="152"/>
      <c r="M115" s="151"/>
      <c r="N115" s="29" t="s">
        <v>119</v>
      </c>
      <c r="O115" s="120"/>
      <c r="P115" s="120"/>
      <c r="Q115" s="120"/>
      <c r="R115" s="29">
        <v>7</v>
      </c>
      <c r="S115" s="196">
        <f t="shared" si="38"/>
        <v>506.08108108108127</v>
      </c>
      <c r="T115" s="196">
        <f t="shared" si="39"/>
        <v>717.66199999999981</v>
      </c>
      <c r="U115" s="196">
        <f t="shared" si="40"/>
        <v>82.794048148653658</v>
      </c>
      <c r="V115" s="20"/>
      <c r="W115" s="154">
        <f t="shared" si="41"/>
        <v>537.66904240500571</v>
      </c>
      <c r="X115" s="154">
        <f t="shared" si="42"/>
        <v>620.46309055365941</v>
      </c>
      <c r="Y115" s="154">
        <f t="shared" si="43"/>
        <v>703.25713870231311</v>
      </c>
      <c r="AA115" s="138"/>
      <c r="AB115" s="138"/>
      <c r="AC115" s="138"/>
      <c r="AD115" s="138"/>
      <c r="AE115" s="138"/>
      <c r="AF115" s="138"/>
      <c r="AG115" s="138"/>
      <c r="AH115" s="138"/>
      <c r="AI115" s="138"/>
      <c r="AJ115" s="138"/>
      <c r="AK115" s="138"/>
      <c r="AL115" s="138"/>
      <c r="AM115" s="138"/>
      <c r="AN115" s="138"/>
      <c r="BR115" s="180">
        <v>2019</v>
      </c>
      <c r="BS115" s="22">
        <v>5</v>
      </c>
      <c r="BT115" s="181">
        <f t="shared" si="54"/>
        <v>20.424190454242897</v>
      </c>
      <c r="BU115" s="182">
        <f t="shared" si="55"/>
        <v>592.00614409760874</v>
      </c>
      <c r="BV115" s="197">
        <f t="shared" si="56"/>
        <v>612.43033455185162</v>
      </c>
      <c r="BY115" s="180">
        <v>2019</v>
      </c>
      <c r="BZ115" s="22">
        <v>5</v>
      </c>
      <c r="CA115" s="198">
        <f t="shared" ca="1" si="57"/>
        <v>-0.58531544008021641</v>
      </c>
      <c r="CB115" s="198">
        <f t="shared" ca="1" si="58"/>
        <v>24.170209270756278</v>
      </c>
      <c r="CC115" s="186">
        <f t="shared" ca="1" si="69"/>
        <v>587.88552339944408</v>
      </c>
      <c r="CD115" s="197">
        <f t="shared" ca="1" si="59"/>
        <v>611.47041723012012</v>
      </c>
      <c r="CG115" s="180">
        <v>2019</v>
      </c>
      <c r="CH115" s="22">
        <v>5</v>
      </c>
      <c r="CI115" s="198">
        <f t="shared" ca="1" si="60"/>
        <v>-4.2768502145039064E-2</v>
      </c>
      <c r="CJ115" s="198">
        <f t="shared" ca="1" si="61"/>
        <v>-0.17473781948784095</v>
      </c>
      <c r="CK115" s="198">
        <f t="shared" ca="1" si="62"/>
        <v>23.102365309198948</v>
      </c>
      <c r="CL115" s="186">
        <f t="shared" ca="1" si="63"/>
        <v>588.49974751985019</v>
      </c>
      <c r="CM115" s="197">
        <f t="shared" ca="1" si="64"/>
        <v>611.38460650741627</v>
      </c>
      <c r="CP115" s="180">
        <v>2019</v>
      </c>
      <c r="CQ115" s="22">
        <v>5</v>
      </c>
      <c r="CR115" s="198">
        <f t="shared" ca="1" si="65"/>
        <v>593.97870804003173</v>
      </c>
      <c r="CS115" s="186">
        <f t="shared" ca="1" si="66"/>
        <v>1.0316900766016504</v>
      </c>
      <c r="CT115" s="197">
        <f t="shared" ca="1" si="67"/>
        <v>612.80193879756962</v>
      </c>
      <c r="CZ115" s="164" t="b">
        <f t="shared" si="44"/>
        <v>1</v>
      </c>
      <c r="DA115" s="165" t="b">
        <f t="shared" si="44"/>
        <v>1</v>
      </c>
      <c r="DB115" s="166" t="b">
        <f t="shared" si="44"/>
        <v>1</v>
      </c>
      <c r="DC115" s="164">
        <f t="shared" si="53"/>
        <v>7</v>
      </c>
      <c r="DD115" s="166">
        <f t="shared" si="45"/>
        <v>537.66904240500571</v>
      </c>
      <c r="DE115" s="164">
        <f t="shared" si="46"/>
        <v>7</v>
      </c>
      <c r="DF115" s="166">
        <f t="shared" si="47"/>
        <v>620.46309055365941</v>
      </c>
      <c r="DG115" s="164">
        <f t="shared" si="48"/>
        <v>7</v>
      </c>
      <c r="DH115" s="166">
        <f t="shared" si="49"/>
        <v>703.25713870231311</v>
      </c>
      <c r="DI115" s="164">
        <f>IFERROR(INDEX(DC$106:DC$154,_xlfn.AGGREGATE(15,6,(ROW(DC$106:DC$154)-ROW(DC$106)+1)/(DC$106:DC$154&lt;&gt;""),ROWS(DI$1:DI10))),"")</f>
        <v>10</v>
      </c>
      <c r="DJ115" s="165">
        <f>IFERROR(INDEX(DD$106:DD$154,_xlfn.AGGREGATE(15,6,(ROW(DD$106:DD$154)-ROW(DD$106)+1)/(DD$106:DD$154&lt;&gt;""),ROWS(DJ$1:DJ10))),"")</f>
        <v>549.74077756228519</v>
      </c>
      <c r="DK115" s="166">
        <f t="shared" si="50"/>
        <v>115</v>
      </c>
      <c r="DL115" s="164">
        <f>IFERROR(INDEX(DE$106:DE$154,_xlfn.AGGREGATE(15,6,(ROW(DE$106:DE$154)-ROW(DE$106)+1)/(DE$106:DE$154&lt;&gt;""),ROWS(DL$1:DL10))),"")</f>
        <v>10</v>
      </c>
      <c r="DM115" s="165">
        <f>IFERROR(INDEX(DF$106:DF$154,_xlfn.AGGREGATE(15,6,(ROW(DF$106:DF$154)-ROW(DF$106)+1)/(DF$106:DF$154&lt;&gt;""),ROWS(DM$1:DM10))),"")</f>
        <v>633.62280898313634</v>
      </c>
      <c r="DN115" s="166">
        <f t="shared" si="51"/>
        <v>115</v>
      </c>
      <c r="DO115" s="164">
        <f>IFERROR(INDEX(DG$106:DG$154,_xlfn.AGGREGATE(15,6,(ROW(DG$106:DG$154)-ROW(DG$106)+1)/(DG$106:DG$154&lt;&gt;""),ROWS(DO$1:DO10))),"")</f>
        <v>10</v>
      </c>
      <c r="DP115" s="165">
        <f>IFERROR(INDEX(DH$106:DH$154,_xlfn.AGGREGATE(15,6,(ROW(DH$106:DH$154)-ROW(DH$106)+1)/(DH$106:DH$154&lt;&gt;""),ROWS(DP$1:DP10))),"")</f>
        <v>717.50484040398749</v>
      </c>
      <c r="DQ115" s="166">
        <f t="shared" si="52"/>
        <v>115</v>
      </c>
      <c r="DV115" s="145">
        <v>2024</v>
      </c>
      <c r="DW115" s="235">
        <f t="shared" ca="1" si="37"/>
        <v>633.66337884313646</v>
      </c>
      <c r="DZ115" s="135" t="s">
        <v>92</v>
      </c>
      <c r="EA115" s="33">
        <f t="shared" ref="EA115:EB117" si="70">IF($EA$104="Linear",0,IF($EA$104="2nd Poly",0,IF($EA$104="3rd Poly",0,IF($EA$104="Exp",CR107))))</f>
        <v>0</v>
      </c>
      <c r="EB115" s="33">
        <f t="shared" si="70"/>
        <v>0</v>
      </c>
      <c r="EC115" s="33" t="str">
        <f>IF($EA$104="Linear","N/A",IF($EA$104="2nd Poly","N/A",IF($EA$104="3rd Poly","N/A","High")))</f>
        <v>N/A</v>
      </c>
      <c r="ED115" s="33"/>
      <c r="EE115" s="33"/>
    </row>
    <row r="116" spans="1:135" ht="13.8" x14ac:dyDescent="0.45">
      <c r="A116" s="148" t="s">
        <v>88</v>
      </c>
      <c r="B116" s="128">
        <v>2022</v>
      </c>
      <c r="C116" s="175">
        <f>'Total MSW Summaries (Archive)'!D13</f>
        <v>545.9230211071565</v>
      </c>
      <c r="D116" s="159">
        <f>'Total MSW Summaries (Archive)'!P13</f>
        <v>647.90680020355501</v>
      </c>
      <c r="E116" s="151">
        <f>'Total MSW Summaries (Archive)'!AB13</f>
        <v>725.1479999999998</v>
      </c>
      <c r="F116" s="152">
        <f>'Total MSW Summaries (Archive)'!AN13</f>
        <v>694.17101526405872</v>
      </c>
      <c r="G116" s="159">
        <f>'Total MSW Summaries (Archive)'!AZ13</f>
        <v>511.21621621621642</v>
      </c>
      <c r="H116" s="200"/>
      <c r="I116" s="201"/>
      <c r="J116" s="199"/>
      <c r="K116" s="200"/>
      <c r="L116" s="201"/>
      <c r="M116" s="200"/>
      <c r="N116" s="29" t="s">
        <v>119</v>
      </c>
      <c r="O116" s="120"/>
      <c r="P116" s="120"/>
      <c r="Q116" s="120"/>
      <c r="R116" s="29">
        <v>8</v>
      </c>
      <c r="S116" s="202">
        <f t="shared" si="38"/>
        <v>511.21621621621642</v>
      </c>
      <c r="T116" s="202">
        <f t="shared" si="39"/>
        <v>725.1479999999998</v>
      </c>
      <c r="U116" s="202">
        <f t="shared" si="40"/>
        <v>83.112947443353931</v>
      </c>
      <c r="V116" s="20"/>
      <c r="W116" s="154">
        <f t="shared" si="41"/>
        <v>541.76006311484332</v>
      </c>
      <c r="X116" s="154">
        <f t="shared" si="42"/>
        <v>624.87301055819728</v>
      </c>
      <c r="Y116" s="154">
        <f t="shared" si="43"/>
        <v>707.98595800155124</v>
      </c>
      <c r="AA116" s="120"/>
      <c r="AB116" s="120"/>
      <c r="AC116" s="120"/>
      <c r="AD116" s="120"/>
      <c r="AE116" s="120"/>
      <c r="AF116" s="120"/>
      <c r="AG116" s="120"/>
      <c r="AH116" s="120"/>
      <c r="AI116" s="120"/>
      <c r="AJ116" s="120"/>
      <c r="AK116" s="120"/>
      <c r="AL116" s="120"/>
      <c r="AM116" s="120"/>
      <c r="AN116" s="120"/>
      <c r="BR116" s="180">
        <v>2020</v>
      </c>
      <c r="BS116" s="22">
        <v>6</v>
      </c>
      <c r="BT116" s="181">
        <f t="shared" si="54"/>
        <v>24.509028545091478</v>
      </c>
      <c r="BU116" s="182">
        <f t="shared" si="55"/>
        <v>592.00614409760874</v>
      </c>
      <c r="BV116" s="203">
        <f t="shared" si="56"/>
        <v>616.51517264270024</v>
      </c>
      <c r="BY116" s="180">
        <v>2020</v>
      </c>
      <c r="BZ116" s="22">
        <v>6</v>
      </c>
      <c r="CA116" s="198">
        <f t="shared" ca="1" si="57"/>
        <v>-0.8428542337155116</v>
      </c>
      <c r="CB116" s="198">
        <f t="shared" ca="1" si="58"/>
        <v>29.004251124907533</v>
      </c>
      <c r="CC116" s="186">
        <f t="shared" ca="1" si="69"/>
        <v>587.88552339944408</v>
      </c>
      <c r="CD116" s="203">
        <f t="shared" ca="1" si="59"/>
        <v>616.04692029063608</v>
      </c>
      <c r="CG116" s="180">
        <v>2020</v>
      </c>
      <c r="CH116" s="22">
        <v>6</v>
      </c>
      <c r="CI116" s="198">
        <f t="shared" ca="1" si="60"/>
        <v>-7.3903971706627505E-2</v>
      </c>
      <c r="CJ116" s="198">
        <f t="shared" ca="1" si="61"/>
        <v>-0.25162246006249095</v>
      </c>
      <c r="CK116" s="198">
        <f t="shared" ca="1" si="62"/>
        <v>27.72283837103874</v>
      </c>
      <c r="CL116" s="186">
        <f t="shared" ca="1" si="63"/>
        <v>588.49974751985019</v>
      </c>
      <c r="CM116" s="203">
        <f t="shared" ca="1" si="64"/>
        <v>615.89705945911976</v>
      </c>
      <c r="CP116" s="180">
        <v>2020</v>
      </c>
      <c r="CQ116" s="22">
        <v>6</v>
      </c>
      <c r="CR116" s="198">
        <f t="shared" ca="1" si="65"/>
        <v>593.97870804003173</v>
      </c>
      <c r="CS116" s="186">
        <f t="shared" ca="1" si="66"/>
        <v>1.0381475991034805</v>
      </c>
      <c r="CT116" s="203">
        <f t="shared" ca="1" si="67"/>
        <v>616.63756967034612</v>
      </c>
      <c r="CZ116" s="164" t="b">
        <f t="shared" si="44"/>
        <v>1</v>
      </c>
      <c r="DA116" s="165" t="b">
        <f t="shared" si="44"/>
        <v>1</v>
      </c>
      <c r="DB116" s="166" t="b">
        <f t="shared" si="44"/>
        <v>1</v>
      </c>
      <c r="DC116" s="164">
        <f t="shared" si="53"/>
        <v>8</v>
      </c>
      <c r="DD116" s="166">
        <f t="shared" si="45"/>
        <v>541.76006311484332</v>
      </c>
      <c r="DE116" s="164">
        <f t="shared" si="46"/>
        <v>8</v>
      </c>
      <c r="DF116" s="166">
        <f t="shared" si="47"/>
        <v>624.87301055819728</v>
      </c>
      <c r="DG116" s="164">
        <f t="shared" si="48"/>
        <v>8</v>
      </c>
      <c r="DH116" s="166">
        <f t="shared" si="49"/>
        <v>707.98595800155124</v>
      </c>
      <c r="DI116" s="164">
        <f>IFERROR(INDEX(DC$106:DC$154,_xlfn.AGGREGATE(15,6,(ROW(DC$106:DC$154)-ROW(DC$106)+1)/(DC$106:DC$154&lt;&gt;""),ROWS(DI$1:DI11))),"")</f>
        <v>11</v>
      </c>
      <c r="DJ116" s="165">
        <f>IFERROR(INDEX(DD$106:DD$154,_xlfn.AGGREGATE(15,6,(ROW(DD$106:DD$154)-ROW(DD$106)+1)/(DD$106:DD$154&lt;&gt;""),ROWS(DJ$1:DJ11))),"")</f>
        <v>553.5828030209135</v>
      </c>
      <c r="DK116" s="166">
        <f t="shared" si="50"/>
        <v>116</v>
      </c>
      <c r="DL116" s="164">
        <f>IFERROR(INDEX(DE$106:DE$154,_xlfn.AGGREGATE(15,6,(ROW(DE$106:DE$154)-ROW(DE$106)+1)/(DE$106:DE$154&lt;&gt;""),ROWS(DL$1:DL11))),"")</f>
        <v>11</v>
      </c>
      <c r="DM116" s="165">
        <f>IFERROR(INDEX(DF$106:DF$154,_xlfn.AGGREGATE(15,6,(ROW(DF$106:DF$154)-ROW(DF$106)+1)/(DF$106:DF$154&lt;&gt;""),ROWS(DM$1:DM11))),"")</f>
        <v>637.72869593877363</v>
      </c>
      <c r="DN116" s="166">
        <f t="shared" si="51"/>
        <v>116</v>
      </c>
      <c r="DO116" s="164">
        <f>IFERROR(INDEX(DG$106:DG$154,_xlfn.AGGREGATE(15,6,(ROW(DG$106:DG$154)-ROW(DG$106)+1)/(DG$106:DG$154&lt;&gt;""),ROWS(DO$1:DO11))),"")</f>
        <v>11</v>
      </c>
      <c r="DP116" s="165">
        <f>IFERROR(INDEX(DH$106:DH$154,_xlfn.AGGREGATE(15,6,(ROW(DH$106:DH$154)-ROW(DH$106)+1)/(DH$106:DH$154&lt;&gt;""),ROWS(DP$1:DP11))),"")</f>
        <v>721.87458885663375</v>
      </c>
      <c r="DQ116" s="166">
        <f t="shared" si="52"/>
        <v>116</v>
      </c>
      <c r="DV116" s="145">
        <v>2025</v>
      </c>
      <c r="DW116" s="235">
        <f t="shared" ca="1" si="37"/>
        <v>638.02382114292629</v>
      </c>
      <c r="DZ116" s="135" t="s">
        <v>92</v>
      </c>
      <c r="EA116" s="33">
        <f t="shared" si="70"/>
        <v>0</v>
      </c>
      <c r="EB116" s="33">
        <f t="shared" si="70"/>
        <v>0</v>
      </c>
      <c r="EC116" s="33" t="str">
        <f>IF($EA$104="Linear","N/A",IF($EA$104="2nd Poly","N/A",IF($EA$104="3rd Poly","N/A","Medium")))</f>
        <v>N/A</v>
      </c>
    </row>
    <row r="117" spans="1:135" ht="13.8" x14ac:dyDescent="0.45">
      <c r="B117" s="128">
        <v>2023</v>
      </c>
      <c r="C117" s="175">
        <f>'Total MSW Summaries (Archive)'!D14</f>
        <v>549.68237391151752</v>
      </c>
      <c r="D117" s="159">
        <f>'Total MSW Summaries (Archive)'!P14</f>
        <v>650.31696394102369</v>
      </c>
      <c r="E117" s="151">
        <f>'Total MSW Summaries (Archive)'!AB14</f>
        <v>732.63399999999979</v>
      </c>
      <c r="F117" s="152">
        <f>'Total MSW Summaries (Archive)'!AN14</f>
        <v>697.30509873480696</v>
      </c>
      <c r="G117" s="159">
        <f>'Total MSW Summaries (Archive)'!AZ14</f>
        <v>516.35135135135158</v>
      </c>
      <c r="H117" s="200"/>
      <c r="I117" s="201"/>
      <c r="J117" s="199"/>
      <c r="K117" s="200"/>
      <c r="L117" s="201"/>
      <c r="M117" s="200"/>
      <c r="N117" s="29" t="s">
        <v>119</v>
      </c>
      <c r="O117" s="120"/>
      <c r="P117" s="120"/>
      <c r="Q117" s="120"/>
      <c r="R117" s="29">
        <v>9</v>
      </c>
      <c r="S117" s="202">
        <f t="shared" si="38"/>
        <v>516.35135135135158</v>
      </c>
      <c r="T117" s="202">
        <f t="shared" si="39"/>
        <v>732.63399999999979</v>
      </c>
      <c r="U117" s="202">
        <f t="shared" si="40"/>
        <v>83.47535751457184</v>
      </c>
      <c r="V117" s="20"/>
      <c r="W117" s="154">
        <f t="shared" si="41"/>
        <v>545.78260007316817</v>
      </c>
      <c r="X117" s="154">
        <f t="shared" si="42"/>
        <v>629.25795758773995</v>
      </c>
      <c r="Y117" s="154">
        <f t="shared" si="43"/>
        <v>712.73331510231174</v>
      </c>
      <c r="AA117" s="120"/>
      <c r="AB117" s="120"/>
      <c r="AC117" s="120"/>
      <c r="AD117" s="120"/>
      <c r="AE117" s="120"/>
      <c r="AF117" s="120"/>
      <c r="AG117" s="120"/>
      <c r="AH117" s="120"/>
      <c r="AI117" s="120"/>
      <c r="AJ117" s="120"/>
      <c r="AK117" s="120"/>
      <c r="AL117" s="120"/>
      <c r="AM117" s="120"/>
      <c r="AN117" s="120"/>
      <c r="BR117" s="180">
        <v>2021</v>
      </c>
      <c r="BS117" s="22">
        <v>7</v>
      </c>
      <c r="BT117" s="181">
        <f t="shared" si="54"/>
        <v>28.59386663594006</v>
      </c>
      <c r="BU117" s="182">
        <f t="shared" si="55"/>
        <v>592.00614409760874</v>
      </c>
      <c r="BV117" s="205">
        <f t="shared" si="56"/>
        <v>620.60001073354874</v>
      </c>
      <c r="BY117" s="180">
        <v>2021</v>
      </c>
      <c r="BZ117" s="22">
        <v>7</v>
      </c>
      <c r="CA117" s="198">
        <f t="shared" ca="1" si="57"/>
        <v>-1.1472182625572243</v>
      </c>
      <c r="CB117" s="198">
        <f t="shared" ca="1" si="58"/>
        <v>33.838292979058792</v>
      </c>
      <c r="CC117" s="186">
        <f t="shared" ca="1" si="69"/>
        <v>587.88552339944408</v>
      </c>
      <c r="CD117" s="205">
        <f t="shared" ca="1" si="59"/>
        <v>620.57659811594567</v>
      </c>
      <c r="CG117" s="180">
        <v>2021</v>
      </c>
      <c r="CH117" s="22">
        <v>7</v>
      </c>
      <c r="CI117" s="198">
        <f t="shared" ca="1" si="60"/>
        <v>-0.1173567698859872</v>
      </c>
      <c r="CJ117" s="198">
        <f t="shared" ca="1" si="61"/>
        <v>-0.34248612619616825</v>
      </c>
      <c r="CK117" s="198">
        <f t="shared" ca="1" si="62"/>
        <v>32.343311432878529</v>
      </c>
      <c r="CL117" s="186">
        <f t="shared" ca="1" si="63"/>
        <v>588.49974751985019</v>
      </c>
      <c r="CM117" s="205">
        <f t="shared" ca="1" si="64"/>
        <v>620.38321605664657</v>
      </c>
      <c r="CP117" s="180">
        <v>2021</v>
      </c>
      <c r="CQ117" s="22">
        <v>7</v>
      </c>
      <c r="CR117" s="198">
        <f t="shared" ca="1" si="65"/>
        <v>593.97870804003173</v>
      </c>
      <c r="CS117" s="186">
        <f t="shared" ca="1" si="66"/>
        <v>1.0446455403297001</v>
      </c>
      <c r="CT117" s="205">
        <f t="shared" ca="1" si="67"/>
        <v>620.49720840481621</v>
      </c>
      <c r="CZ117" s="164" t="b">
        <f t="shared" si="44"/>
        <v>1</v>
      </c>
      <c r="DA117" s="165" t="b">
        <f t="shared" si="44"/>
        <v>1</v>
      </c>
      <c r="DB117" s="166" t="b">
        <f t="shared" si="44"/>
        <v>1</v>
      </c>
      <c r="DC117" s="164">
        <f t="shared" si="53"/>
        <v>9</v>
      </c>
      <c r="DD117" s="166">
        <f t="shared" si="45"/>
        <v>545.78260007316817</v>
      </c>
      <c r="DE117" s="164">
        <f t="shared" si="46"/>
        <v>9</v>
      </c>
      <c r="DF117" s="166">
        <f t="shared" si="47"/>
        <v>629.25795758773995</v>
      </c>
      <c r="DG117" s="164">
        <f t="shared" si="48"/>
        <v>9</v>
      </c>
      <c r="DH117" s="166">
        <f t="shared" si="49"/>
        <v>712.73331510231174</v>
      </c>
      <c r="DI117" s="164">
        <f>IFERROR(INDEX(DC$106:DC$154,_xlfn.AGGREGATE(15,6,(ROW(DC$106:DC$154)-ROW(DC$106)+1)/(DC$106:DC$154&lt;&gt;""),ROWS(DI$1:DI12))),"")</f>
        <v>12</v>
      </c>
      <c r="DJ117" s="165">
        <f>IFERROR(INDEX(DD$106:DD$154,_xlfn.AGGREGATE(15,6,(ROW(DD$106:DD$154)-ROW(DD$106)+1)/(DD$106:DD$154&lt;&gt;""),ROWS(DJ$1:DJ12))),"")</f>
        <v>557.47488924723348</v>
      </c>
      <c r="DK117" s="166">
        <f t="shared" si="50"/>
        <v>117</v>
      </c>
      <c r="DL117" s="164">
        <f>IFERROR(INDEX(DE$106:DE$154,_xlfn.AGGREGATE(15,6,(ROW(DE$106:DE$154)-ROW(DE$106)+1)/(DE$106:DE$154&lt;&gt;""),ROWS(DL$1:DL12))),"")</f>
        <v>12</v>
      </c>
      <c r="DM117" s="165">
        <f>IFERROR(INDEX(DF$106:DF$154,_xlfn.AGGREGATE(15,6,(ROW(DF$106:DF$154)-ROW(DF$106)+1)/(DF$106:DF$154&lt;&gt;""),ROWS(DM$1:DM12))),"")</f>
        <v>642.30360774472024</v>
      </c>
      <c r="DN117" s="166">
        <f t="shared" si="51"/>
        <v>117</v>
      </c>
      <c r="DO117" s="164">
        <f>IFERROR(INDEX(DG$106:DG$154,_xlfn.AGGREGATE(15,6,(ROW(DG$106:DG$154)-ROW(DG$106)+1)/(DG$106:DG$154&lt;&gt;""),ROWS(DO$1:DO12))),"")</f>
        <v>12</v>
      </c>
      <c r="DP117" s="165">
        <f>IFERROR(INDEX(DH$106:DH$154,_xlfn.AGGREGATE(15,6,(ROW(DH$106:DH$154)-ROW(DH$106)+1)/(DH$106:DH$154&lt;&gt;""),ROWS(DP$1:DP12))),"")</f>
        <v>727.132326242207</v>
      </c>
      <c r="DQ117" s="166">
        <f t="shared" si="52"/>
        <v>117</v>
      </c>
      <c r="DV117" s="145">
        <v>2026</v>
      </c>
      <c r="DW117" s="235">
        <f t="shared" ca="1" si="37"/>
        <v>642.34770264802466</v>
      </c>
      <c r="DZ117" s="135" t="s">
        <v>92</v>
      </c>
      <c r="EA117" s="33">
        <f t="shared" si="70"/>
        <v>0</v>
      </c>
      <c r="EB117" s="33">
        <f t="shared" si="70"/>
        <v>0</v>
      </c>
      <c r="EC117" s="33" t="str">
        <f>IF($EA$104="Linear","N/A",IF($EA$104="2nd Poly","N/A",IF($EA$104="3rd Poly","N/A","Low")))</f>
        <v>N/A</v>
      </c>
    </row>
    <row r="118" spans="1:135" ht="13.8" x14ac:dyDescent="0.45">
      <c r="B118" s="128">
        <v>2024</v>
      </c>
      <c r="C118" s="175">
        <f>'Total MSW Summaries (Archive)'!D15</f>
        <v>553.39965847830251</v>
      </c>
      <c r="D118" s="159">
        <f>'Total MSW Summaries (Archive)'!P15</f>
        <v>652.64945407860341</v>
      </c>
      <c r="E118" s="151">
        <f>'Total MSW Summaries (Archive)'!AB15</f>
        <v>740.11999999999978</v>
      </c>
      <c r="F118" s="152">
        <f>'Total MSW Summaries (Archive)'!AN15</f>
        <v>700.45844587228885</v>
      </c>
      <c r="G118" s="159">
        <f>'Total MSW Summaries (Archive)'!AZ15</f>
        <v>521.48648648648668</v>
      </c>
      <c r="H118" s="204"/>
      <c r="I118" s="206"/>
      <c r="J118" s="207"/>
      <c r="K118" s="204"/>
      <c r="L118" s="206"/>
      <c r="M118" s="204"/>
      <c r="N118" s="29" t="s">
        <v>119</v>
      </c>
      <c r="O118" s="120"/>
      <c r="P118" s="120"/>
      <c r="Q118" s="120"/>
      <c r="R118" s="29">
        <v>10</v>
      </c>
      <c r="S118" s="154">
        <f t="shared" si="38"/>
        <v>521.48648648648668</v>
      </c>
      <c r="T118" s="154">
        <f t="shared" si="39"/>
        <v>740.11999999999978</v>
      </c>
      <c r="U118" s="154">
        <f t="shared" si="40"/>
        <v>83.882031420851149</v>
      </c>
      <c r="V118" s="20"/>
      <c r="W118" s="154">
        <f t="shared" si="41"/>
        <v>549.74077756228519</v>
      </c>
      <c r="X118" s="154">
        <f t="shared" si="42"/>
        <v>633.62280898313634</v>
      </c>
      <c r="Y118" s="154">
        <f t="shared" si="43"/>
        <v>717.50484040398749</v>
      </c>
      <c r="AA118" s="120"/>
      <c r="AB118" s="120"/>
      <c r="AC118" s="120"/>
      <c r="AD118" s="120"/>
      <c r="AE118" s="120"/>
      <c r="AF118" s="120"/>
      <c r="AG118" s="120"/>
      <c r="AH118" s="120"/>
      <c r="AI118" s="120"/>
      <c r="AJ118" s="120"/>
      <c r="AK118" s="120"/>
      <c r="AL118" s="120"/>
      <c r="AM118" s="120"/>
      <c r="AN118" s="120"/>
      <c r="BR118" s="180">
        <v>2022</v>
      </c>
      <c r="BS118" s="22">
        <v>8</v>
      </c>
      <c r="BT118" s="181">
        <f t="shared" si="54"/>
        <v>32.678704726788638</v>
      </c>
      <c r="BU118" s="182">
        <f t="shared" si="55"/>
        <v>592.00614409760874</v>
      </c>
      <c r="BV118" s="205">
        <f t="shared" si="56"/>
        <v>624.68484882439736</v>
      </c>
      <c r="BY118" s="180">
        <v>2022</v>
      </c>
      <c r="BZ118" s="22">
        <v>8</v>
      </c>
      <c r="CA118" s="198">
        <f t="shared" ca="1" si="57"/>
        <v>-1.498407526605354</v>
      </c>
      <c r="CB118" s="198">
        <f t="shared" ca="1" si="58"/>
        <v>38.672334833210044</v>
      </c>
      <c r="CC118" s="186">
        <f t="shared" ca="1" si="69"/>
        <v>587.88552339944408</v>
      </c>
      <c r="CD118" s="205">
        <f t="shared" ca="1" si="59"/>
        <v>625.05945070604878</v>
      </c>
      <c r="CG118" s="180">
        <v>2022</v>
      </c>
      <c r="CH118" s="22">
        <v>8</v>
      </c>
      <c r="CI118" s="198">
        <f t="shared" ca="1" si="60"/>
        <v>-0.17517978478608001</v>
      </c>
      <c r="CJ118" s="198">
        <f t="shared" ca="1" si="61"/>
        <v>-0.4473288178888728</v>
      </c>
      <c r="CK118" s="198">
        <f t="shared" ca="1" si="62"/>
        <v>36.963784494718318</v>
      </c>
      <c r="CL118" s="186">
        <f t="shared" ca="1" si="63"/>
        <v>588.49974751985019</v>
      </c>
      <c r="CM118" s="205">
        <f t="shared" ca="1" si="64"/>
        <v>624.8410234118935</v>
      </c>
      <c r="CP118" s="180">
        <v>2022</v>
      </c>
      <c r="CQ118" s="22">
        <v>8</v>
      </c>
      <c r="CR118" s="198">
        <f t="shared" ca="1" si="65"/>
        <v>593.97870804003173</v>
      </c>
      <c r="CS118" s="186">
        <f t="shared" ca="1" si="66"/>
        <v>1.0511841532679342</v>
      </c>
      <c r="CT118" s="205">
        <f t="shared" ca="1" si="67"/>
        <v>624.38100527024233</v>
      </c>
      <c r="CZ118" s="164" t="b">
        <f t="shared" si="44"/>
        <v>1</v>
      </c>
      <c r="DA118" s="165" t="b">
        <f t="shared" si="44"/>
        <v>1</v>
      </c>
      <c r="DB118" s="166" t="b">
        <f t="shared" si="44"/>
        <v>1</v>
      </c>
      <c r="DC118" s="164">
        <f t="shared" si="53"/>
        <v>10</v>
      </c>
      <c r="DD118" s="166">
        <f t="shared" si="45"/>
        <v>549.74077756228519</v>
      </c>
      <c r="DE118" s="164">
        <f t="shared" si="46"/>
        <v>10</v>
      </c>
      <c r="DF118" s="166">
        <f t="shared" si="47"/>
        <v>633.62280898313634</v>
      </c>
      <c r="DG118" s="164">
        <f t="shared" si="48"/>
        <v>10</v>
      </c>
      <c r="DH118" s="166">
        <f t="shared" si="49"/>
        <v>717.50484040398749</v>
      </c>
      <c r="DI118" s="164">
        <f>IFERROR(INDEX(DC$106:DC$154,_xlfn.AGGREGATE(15,6,(ROW(DC$106:DC$154)-ROW(DC$106)+1)/(DC$106:DC$154&lt;&gt;""),ROWS(DI$1:DI13))),"")</f>
        <v>13</v>
      </c>
      <c r="DJ118" s="165">
        <f>IFERROR(INDEX(DD$106:DD$154,_xlfn.AGGREGATE(15,6,(ROW(DD$106:DD$154)-ROW(DD$106)+1)/(DD$106:DD$154&lt;&gt;""),ROWS(DJ$1:DJ13))),"")</f>
        <v>561.25167407152833</v>
      </c>
      <c r="DK118" s="166">
        <f t="shared" si="50"/>
        <v>118</v>
      </c>
      <c r="DL118" s="164">
        <f>IFERROR(INDEX(DE$106:DE$154,_xlfn.AGGREGATE(15,6,(ROW(DE$106:DE$154)-ROW(DE$106)+1)/(DE$106:DE$154&lt;&gt;""),ROWS(DL$1:DL13))),"")</f>
        <v>13</v>
      </c>
      <c r="DM118" s="165">
        <f>IFERROR(INDEX(DF$106:DF$154,_xlfn.AGGREGATE(15,6,(ROW(DF$106:DF$154)-ROW(DF$106)+1)/(DF$106:DF$154&lt;&gt;""),ROWS(DM$1:DM13))),"")</f>
        <v>646.61980188691405</v>
      </c>
      <c r="DN118" s="166">
        <f t="shared" si="51"/>
        <v>118</v>
      </c>
      <c r="DO118" s="164">
        <f>IFERROR(INDEX(DG$106:DG$154,_xlfn.AGGREGATE(15,6,(ROW(DG$106:DG$154)-ROW(DG$106)+1)/(DG$106:DG$154&lt;&gt;""),ROWS(DO$1:DO13))),"")</f>
        <v>13</v>
      </c>
      <c r="DP118" s="165">
        <f>IFERROR(INDEX(DH$106:DH$154,_xlfn.AGGREGATE(15,6,(ROW(DH$106:DH$154)-ROW(DH$106)+1)/(DH$106:DH$154&lt;&gt;""),ROWS(DP$1:DP13))),"")</f>
        <v>731.98792970229977</v>
      </c>
      <c r="DQ118" s="166">
        <f t="shared" si="52"/>
        <v>118</v>
      </c>
      <c r="DV118" s="145">
        <v>2027</v>
      </c>
      <c r="DW118" s="235">
        <f t="shared" ca="1" si="37"/>
        <v>646.63297047032847</v>
      </c>
    </row>
    <row r="119" spans="1:135" ht="13.8" x14ac:dyDescent="0.45">
      <c r="B119" s="128">
        <v>2025</v>
      </c>
      <c r="C119" s="175">
        <f>'Total MSW Summaries (Archive)'!D16</f>
        <v>557.08051369944155</v>
      </c>
      <c r="D119" s="159">
        <f>'Total MSW Summaries (Archive)'!P16</f>
        <v>654.91137078316251</v>
      </c>
      <c r="E119" s="151">
        <f>'Total MSW Summaries (Archive)'!AB16</f>
        <v>747.60599999999977</v>
      </c>
      <c r="F119" s="152">
        <f>'Total MSW Summaries (Archive)'!AN16</f>
        <v>702.42397358964251</v>
      </c>
      <c r="G119" s="159">
        <f>'Total MSW Summaries (Archive)'!AZ16</f>
        <v>526.62162162162178</v>
      </c>
      <c r="H119" s="204"/>
      <c r="I119" s="206"/>
      <c r="J119" s="207"/>
      <c r="K119" s="204"/>
      <c r="L119" s="206"/>
      <c r="M119" s="204"/>
      <c r="N119" s="29" t="s">
        <v>119</v>
      </c>
      <c r="O119" s="120"/>
      <c r="P119" s="120"/>
      <c r="Q119" s="120"/>
      <c r="R119" s="29">
        <v>11</v>
      </c>
      <c r="S119" s="154">
        <f t="shared" si="38"/>
        <v>526.62162162162178</v>
      </c>
      <c r="T119" s="154">
        <f t="shared" si="39"/>
        <v>747.60599999999977</v>
      </c>
      <c r="U119" s="154">
        <f t="shared" si="40"/>
        <v>84.145892917860166</v>
      </c>
      <c r="W119" s="154">
        <f t="shared" si="41"/>
        <v>553.5828030209135</v>
      </c>
      <c r="X119" s="154">
        <f t="shared" si="42"/>
        <v>637.72869593877363</v>
      </c>
      <c r="Y119" s="154">
        <f t="shared" si="43"/>
        <v>721.87458885663375</v>
      </c>
      <c r="AA119" s="120"/>
      <c r="AB119" s="120"/>
      <c r="AC119" s="120"/>
      <c r="AD119" s="120"/>
      <c r="AE119" s="120"/>
      <c r="AF119" s="120"/>
      <c r="AG119" s="120"/>
      <c r="AH119" s="120"/>
      <c r="AI119" s="120"/>
      <c r="AJ119" s="120"/>
      <c r="AK119" s="120"/>
      <c r="AL119" s="120"/>
      <c r="AM119" s="120"/>
      <c r="AN119" s="120"/>
      <c r="BR119" s="180">
        <v>2023</v>
      </c>
      <c r="BS119" s="22">
        <v>9</v>
      </c>
      <c r="BT119" s="181">
        <f t="shared" si="54"/>
        <v>36.763542817637216</v>
      </c>
      <c r="BU119" s="182">
        <f t="shared" si="55"/>
        <v>592.00614409760874</v>
      </c>
      <c r="BV119" s="205">
        <f t="shared" si="56"/>
        <v>628.76968691524598</v>
      </c>
      <c r="BY119" s="180">
        <v>2023</v>
      </c>
      <c r="BZ119" s="22">
        <v>9</v>
      </c>
      <c r="CA119" s="198">
        <f t="shared" ca="1" si="57"/>
        <v>-1.8964220258599012</v>
      </c>
      <c r="CB119" s="198">
        <f t="shared" ca="1" si="58"/>
        <v>43.506376687361296</v>
      </c>
      <c r="CC119" s="186">
        <f t="shared" ca="1" si="69"/>
        <v>587.88552339944408</v>
      </c>
      <c r="CD119" s="205">
        <f t="shared" ca="1" si="59"/>
        <v>629.49547806094552</v>
      </c>
      <c r="CG119" s="180">
        <v>2023</v>
      </c>
      <c r="CH119" s="22">
        <v>9</v>
      </c>
      <c r="CI119" s="198">
        <f t="shared" ca="1" si="60"/>
        <v>-0.24942590450986782</v>
      </c>
      <c r="CJ119" s="198">
        <f t="shared" ca="1" si="61"/>
        <v>-0.56615053514060465</v>
      </c>
      <c r="CK119" s="198">
        <f t="shared" ca="1" si="62"/>
        <v>41.584257556558107</v>
      </c>
      <c r="CL119" s="186">
        <f t="shared" ca="1" si="63"/>
        <v>588.49974751985019</v>
      </c>
      <c r="CM119" s="205">
        <f t="shared" ca="1" si="64"/>
        <v>629.26842863675779</v>
      </c>
      <c r="CP119" s="180">
        <v>2023</v>
      </c>
      <c r="CQ119" s="22">
        <v>9</v>
      </c>
      <c r="CR119" s="198">
        <f t="shared" ca="1" si="65"/>
        <v>593.97870804003173</v>
      </c>
      <c r="CS119" s="186">
        <f t="shared" ca="1" si="66"/>
        <v>1.0577636924893004</v>
      </c>
      <c r="CT119" s="205">
        <f t="shared" ca="1" si="67"/>
        <v>628.28911147644806</v>
      </c>
      <c r="CZ119" s="164" t="b">
        <f t="shared" si="44"/>
        <v>1</v>
      </c>
      <c r="DA119" s="165" t="b">
        <f t="shared" si="44"/>
        <v>1</v>
      </c>
      <c r="DB119" s="166" t="b">
        <f t="shared" si="44"/>
        <v>1</v>
      </c>
      <c r="DC119" s="164">
        <f t="shared" si="53"/>
        <v>11</v>
      </c>
      <c r="DD119" s="166">
        <f t="shared" si="45"/>
        <v>553.5828030209135</v>
      </c>
      <c r="DE119" s="164">
        <f t="shared" si="46"/>
        <v>11</v>
      </c>
      <c r="DF119" s="166">
        <f t="shared" si="47"/>
        <v>637.72869593877363</v>
      </c>
      <c r="DG119" s="164">
        <f t="shared" si="48"/>
        <v>11</v>
      </c>
      <c r="DH119" s="166">
        <f t="shared" si="49"/>
        <v>721.87458885663375</v>
      </c>
      <c r="DI119" s="164">
        <f>IFERROR(INDEX(DC$106:DC$154,_xlfn.AGGREGATE(15,6,(ROW(DC$106:DC$154)-ROW(DC$106)+1)/(DC$106:DC$154&lt;&gt;""),ROWS(DI$1:DI14))),"")</f>
        <v>14</v>
      </c>
      <c r="DJ119" s="165">
        <f>IFERROR(INDEX(DD$106:DD$154,_xlfn.AGGREGATE(15,6,(ROW(DD$106:DD$154)-ROW(DD$106)+1)/(DD$106:DD$154&lt;&gt;""),ROWS(DJ$1:DJ14))),"")</f>
        <v>564.9641515031376</v>
      </c>
      <c r="DK119" s="166">
        <f t="shared" si="50"/>
        <v>119</v>
      </c>
      <c r="DL119" s="164">
        <f>IFERROR(INDEX(DE$106:DE$154,_xlfn.AGGREGATE(15,6,(ROW(DE$106:DE$154)-ROW(DE$106)+1)/(DE$106:DE$154&lt;&gt;""),ROWS(DL$1:DL14))),"")</f>
        <v>14</v>
      </c>
      <c r="DM119" s="165">
        <f>IFERROR(INDEX(DF$106:DF$154,_xlfn.AGGREGATE(15,6,(ROW(DF$106:DF$154)-ROW(DF$106)+1)/(DF$106:DF$154&lt;&gt;""),ROWS(DM$1:DM14))),"")</f>
        <v>650.91507903471984</v>
      </c>
      <c r="DN119" s="166">
        <f t="shared" si="51"/>
        <v>119</v>
      </c>
      <c r="DO119" s="164">
        <f>IFERROR(INDEX(DG$106:DG$154,_xlfn.AGGREGATE(15,6,(ROW(DG$106:DG$154)-ROW(DG$106)+1)/(DG$106:DG$154&lt;&gt;""),ROWS(DO$1:DO14))),"")</f>
        <v>14</v>
      </c>
      <c r="DP119" s="165">
        <f>IFERROR(INDEX(DH$106:DH$154,_xlfn.AGGREGATE(15,6,(ROW(DH$106:DH$154)-ROW(DH$106)+1)/(DH$106:DH$154&lt;&gt;""),ROWS(DP$1:DP14))),"")</f>
        <v>736.86600656630208</v>
      </c>
      <c r="DQ119" s="166">
        <f t="shared" si="52"/>
        <v>119</v>
      </c>
      <c r="DV119" s="145">
        <v>2028</v>
      </c>
      <c r="DW119" s="235">
        <f t="shared" ca="1" si="37"/>
        <v>650.87757172173463</v>
      </c>
    </row>
    <row r="120" spans="1:135" ht="13.8" x14ac:dyDescent="0.45">
      <c r="B120" s="128">
        <v>2026</v>
      </c>
      <c r="C120" s="175">
        <f>'Total MSW Summaries (Archive)'!D17</f>
        <v>560.72855631895254</v>
      </c>
      <c r="D120" s="159">
        <f>'Total MSW Summaries (Archive)'!P17</f>
        <v>657.10736032428588</v>
      </c>
      <c r="E120" s="151">
        <f>'Total MSW Summaries (Archive)'!AB17</f>
        <v>755.09199999999976</v>
      </c>
      <c r="F120" s="152">
        <f>'Total MSW Summaries (Archive)'!AN17</f>
        <v>706.83336532360624</v>
      </c>
      <c r="G120" s="159">
        <f>'Total MSW Summaries (Archive)'!AZ17</f>
        <v>531.75675675675689</v>
      </c>
      <c r="H120" s="204"/>
      <c r="I120" s="206"/>
      <c r="J120" s="207"/>
      <c r="K120" s="204"/>
      <c r="L120" s="206"/>
      <c r="M120" s="204"/>
      <c r="N120" s="29" t="s">
        <v>119</v>
      </c>
      <c r="O120" s="120"/>
      <c r="P120" s="120"/>
      <c r="Q120" s="120"/>
      <c r="R120" s="29">
        <v>12</v>
      </c>
      <c r="S120" s="154">
        <f t="shared" si="38"/>
        <v>531.75675675675689</v>
      </c>
      <c r="T120" s="154">
        <f t="shared" si="39"/>
        <v>755.09199999999976</v>
      </c>
      <c r="U120" s="154">
        <f t="shared" si="40"/>
        <v>84.828718497486719</v>
      </c>
      <c r="W120" s="154">
        <f t="shared" si="41"/>
        <v>557.47488924723348</v>
      </c>
      <c r="X120" s="154">
        <f t="shared" si="42"/>
        <v>642.30360774472024</v>
      </c>
      <c r="Y120" s="154">
        <f t="shared" si="43"/>
        <v>727.132326242207</v>
      </c>
      <c r="AA120" s="120"/>
      <c r="AB120" s="120"/>
      <c r="AC120" s="120"/>
      <c r="AD120" s="120"/>
      <c r="AE120" s="120"/>
      <c r="AF120" s="120"/>
      <c r="AG120" s="120"/>
      <c r="AH120" s="120"/>
      <c r="AI120" s="120"/>
      <c r="AJ120" s="120"/>
      <c r="AK120" s="120"/>
      <c r="AL120" s="120"/>
      <c r="AM120" s="120"/>
      <c r="AN120" s="120"/>
      <c r="BR120" s="180">
        <v>2024</v>
      </c>
      <c r="BS120" s="22">
        <v>10</v>
      </c>
      <c r="BT120" s="181">
        <f t="shared" si="54"/>
        <v>40.848380908485794</v>
      </c>
      <c r="BU120" s="182">
        <f t="shared" si="55"/>
        <v>592.00614409760874</v>
      </c>
      <c r="BV120" s="205">
        <f t="shared" si="56"/>
        <v>632.85452500609449</v>
      </c>
      <c r="BY120" s="180">
        <v>2024</v>
      </c>
      <c r="BZ120" s="22">
        <v>10</v>
      </c>
      <c r="CA120" s="198">
        <f t="shared" ca="1" si="57"/>
        <v>-2.3412617603208656</v>
      </c>
      <c r="CB120" s="198">
        <f t="shared" ca="1" si="58"/>
        <v>48.340418541512555</v>
      </c>
      <c r="CC120" s="186">
        <f t="shared" ca="1" si="69"/>
        <v>587.88552339944408</v>
      </c>
      <c r="CD120" s="205">
        <f t="shared" ca="1" si="59"/>
        <v>633.88468018063577</v>
      </c>
      <c r="CG120" s="180">
        <v>2024</v>
      </c>
      <c r="CH120" s="22">
        <v>10</v>
      </c>
      <c r="CI120" s="198">
        <f t="shared" ca="1" si="60"/>
        <v>-0.34214801716031251</v>
      </c>
      <c r="CJ120" s="198">
        <f t="shared" ca="1" si="61"/>
        <v>-0.6989512779513638</v>
      </c>
      <c r="CK120" s="198">
        <f t="shared" ca="1" si="62"/>
        <v>46.204730618397896</v>
      </c>
      <c r="CL120" s="186">
        <f t="shared" ca="1" si="63"/>
        <v>588.49974751985019</v>
      </c>
      <c r="CM120" s="205">
        <f t="shared" ca="1" si="64"/>
        <v>633.66337884313646</v>
      </c>
      <c r="CP120" s="180">
        <v>2024</v>
      </c>
      <c r="CQ120" s="22">
        <v>10</v>
      </c>
      <c r="CR120" s="198">
        <f t="shared" ca="1" si="65"/>
        <v>593.97870804003173</v>
      </c>
      <c r="CS120" s="186">
        <f t="shared" ca="1" si="66"/>
        <v>1.0643844141583194</v>
      </c>
      <c r="CT120" s="205">
        <f t="shared" ca="1" si="67"/>
        <v>632.22167917970467</v>
      </c>
      <c r="CZ120" s="164" t="b">
        <f t="shared" si="44"/>
        <v>1</v>
      </c>
      <c r="DA120" s="165" t="b">
        <f t="shared" si="44"/>
        <v>1</v>
      </c>
      <c r="DB120" s="166" t="b">
        <f t="shared" si="44"/>
        <v>1</v>
      </c>
      <c r="DC120" s="164">
        <f t="shared" si="53"/>
        <v>12</v>
      </c>
      <c r="DD120" s="166">
        <f t="shared" si="45"/>
        <v>557.47488924723348</v>
      </c>
      <c r="DE120" s="164">
        <f t="shared" si="46"/>
        <v>12</v>
      </c>
      <c r="DF120" s="166">
        <f t="shared" si="47"/>
        <v>642.30360774472024</v>
      </c>
      <c r="DG120" s="164">
        <f t="shared" si="48"/>
        <v>12</v>
      </c>
      <c r="DH120" s="166">
        <f t="shared" si="49"/>
        <v>727.132326242207</v>
      </c>
      <c r="DI120" s="164">
        <f>IFERROR(INDEX(DC$106:DC$154,_xlfn.AGGREGATE(15,6,(ROW(DC$106:DC$154)-ROW(DC$106)+1)/(DC$106:DC$154&lt;&gt;""),ROWS(DI$1:DI15))),"")</f>
        <v>15</v>
      </c>
      <c r="DJ120" s="165">
        <f>IFERROR(INDEX(DD$106:DD$154,_xlfn.AGGREGATE(15,6,(ROW(DD$106:DD$154)-ROW(DD$106)+1)/(DD$106:DD$154&lt;&gt;""),ROWS(DJ$1:DJ15))),"")</f>
        <v>568.6063237267781</v>
      </c>
      <c r="DK120" s="166">
        <f t="shared" si="50"/>
        <v>120</v>
      </c>
      <c r="DL120" s="164">
        <f>IFERROR(INDEX(DE$106:DE$154,_xlfn.AGGREGATE(15,6,(ROW(DE$106:DE$154)-ROW(DE$106)+1)/(DE$106:DE$154&lt;&gt;""),ROWS(DL$1:DL15))),"")</f>
        <v>15</v>
      </c>
      <c r="DM120" s="165">
        <f>IFERROR(INDEX(DF$106:DF$154,_xlfn.AGGREGATE(15,6,(ROW(DF$106:DF$154)-ROW(DF$106)+1)/(DF$106:DF$154&lt;&gt;""),ROWS(DM$1:DM15))),"")</f>
        <v>655.18314105314334</v>
      </c>
      <c r="DN120" s="166">
        <f t="shared" si="51"/>
        <v>120</v>
      </c>
      <c r="DO120" s="164">
        <f>IFERROR(INDEX(DG$106:DG$154,_xlfn.AGGREGATE(15,6,(ROW(DG$106:DG$154)-ROW(DG$106)+1)/(DG$106:DG$154&lt;&gt;""),ROWS(DO$1:DO15))),"")</f>
        <v>15</v>
      </c>
      <c r="DP120" s="165">
        <f>IFERROR(INDEX(DH$106:DH$154,_xlfn.AGGREGATE(15,6,(ROW(DH$106:DH$154)-ROW(DH$106)+1)/(DH$106:DH$154&lt;&gt;""),ROWS(DP$1:DP15))),"")</f>
        <v>741.75995837950859</v>
      </c>
      <c r="DQ120" s="166">
        <f t="shared" si="52"/>
        <v>120</v>
      </c>
      <c r="DV120" s="145">
        <v>2029</v>
      </c>
      <c r="DW120" s="235">
        <f t="shared" ca="1" si="37"/>
        <v>655.07945351414037</v>
      </c>
      <c r="EA120" s="55"/>
      <c r="EB120" s="55"/>
      <c r="EC120" s="55"/>
      <c r="ED120" s="55"/>
      <c r="EE120" s="55"/>
    </row>
    <row r="121" spans="1:135" ht="13.8" x14ac:dyDescent="0.45">
      <c r="B121" s="128">
        <v>2027</v>
      </c>
      <c r="C121" s="175">
        <f>'Total MSW Summaries (Archive)'!D18</f>
        <v>564.34272853761468</v>
      </c>
      <c r="D121" s="159">
        <f>'Total MSW Summaries (Archive)'!P18</f>
        <v>659.23655441492645</v>
      </c>
      <c r="E121" s="151">
        <f>'Total MSW Summaries (Archive)'!AB18</f>
        <v>762.57799999999975</v>
      </c>
      <c r="F121" s="152">
        <f>'Total MSW Summaries (Archive)'!AN18</f>
        <v>710.04983459013715</v>
      </c>
      <c r="G121" s="159">
        <f>'Total MSW Summaries (Archive)'!AZ18</f>
        <v>536.89189189189199</v>
      </c>
      <c r="H121" s="204"/>
      <c r="I121" s="206"/>
      <c r="J121" s="207"/>
      <c r="K121" s="204"/>
      <c r="L121" s="206"/>
      <c r="M121" s="204"/>
      <c r="N121" s="29" t="s">
        <v>119</v>
      </c>
      <c r="O121" s="120"/>
      <c r="P121" s="120"/>
      <c r="Q121" s="120"/>
      <c r="R121" s="29">
        <v>13</v>
      </c>
      <c r="S121" s="154">
        <f t="shared" si="38"/>
        <v>536.89189189189199</v>
      </c>
      <c r="T121" s="154">
        <f t="shared" si="39"/>
        <v>762.57799999999975</v>
      </c>
      <c r="U121" s="154">
        <f t="shared" si="40"/>
        <v>85.368127815385691</v>
      </c>
      <c r="W121" s="154">
        <f t="shared" si="41"/>
        <v>561.25167407152833</v>
      </c>
      <c r="X121" s="154">
        <f t="shared" si="42"/>
        <v>646.61980188691405</v>
      </c>
      <c r="Y121" s="154">
        <f t="shared" si="43"/>
        <v>731.98792970229977</v>
      </c>
      <c r="AA121" s="89"/>
      <c r="AB121" s="89"/>
      <c r="AC121" s="89"/>
      <c r="AD121" s="89"/>
      <c r="AE121" s="89"/>
      <c r="AF121" s="89"/>
      <c r="AG121" s="89"/>
      <c r="AH121" s="89"/>
      <c r="AI121" s="89"/>
      <c r="AJ121" s="89"/>
      <c r="AK121" s="89"/>
      <c r="AL121" s="89"/>
      <c r="AM121" s="89"/>
      <c r="AN121" s="89"/>
      <c r="BR121" s="180">
        <v>2025</v>
      </c>
      <c r="BS121" s="22">
        <v>11</v>
      </c>
      <c r="BT121" s="181">
        <f t="shared" si="54"/>
        <v>44.933218999334379</v>
      </c>
      <c r="BU121" s="182">
        <f t="shared" si="55"/>
        <v>592.00614409760874</v>
      </c>
      <c r="BV121" s="205">
        <f t="shared" si="56"/>
        <v>636.93936309694311</v>
      </c>
      <c r="BY121" s="180">
        <v>2025</v>
      </c>
      <c r="BZ121" s="22">
        <v>11</v>
      </c>
      <c r="CA121" s="198">
        <f t="shared" ca="1" si="57"/>
        <v>-2.8329267299882477</v>
      </c>
      <c r="CB121" s="198">
        <f t="shared" ca="1" si="58"/>
        <v>53.174460395663814</v>
      </c>
      <c r="CC121" s="186">
        <f t="shared" ca="1" si="69"/>
        <v>587.88552339944408</v>
      </c>
      <c r="CD121" s="205">
        <f t="shared" ca="1" si="59"/>
        <v>638.22705706511965</v>
      </c>
      <c r="CG121" s="180">
        <v>2025</v>
      </c>
      <c r="CH121" s="22">
        <v>11</v>
      </c>
      <c r="CI121" s="198">
        <f t="shared" ca="1" si="60"/>
        <v>-0.45539901084037598</v>
      </c>
      <c r="CJ121" s="198">
        <f t="shared" ca="1" si="61"/>
        <v>-0.84573104632115015</v>
      </c>
      <c r="CK121" s="198">
        <f t="shared" ca="1" si="62"/>
        <v>50.825203680237685</v>
      </c>
      <c r="CL121" s="186">
        <f t="shared" ca="1" si="63"/>
        <v>588.49974751985019</v>
      </c>
      <c r="CM121" s="205">
        <f t="shared" ca="1" si="64"/>
        <v>638.02382114292629</v>
      </c>
      <c r="CP121" s="180">
        <v>2025</v>
      </c>
      <c r="CQ121" s="22">
        <v>11</v>
      </c>
      <c r="CR121" s="198">
        <f t="shared" ca="1" si="65"/>
        <v>593.97870804003173</v>
      </c>
      <c r="CS121" s="186">
        <f t="shared" ca="1" si="66"/>
        <v>1.0710465760428893</v>
      </c>
      <c r="CT121" s="205">
        <f t="shared" ca="1" si="67"/>
        <v>636.178861488655</v>
      </c>
      <c r="CZ121" s="164" t="b">
        <f t="shared" si="44"/>
        <v>1</v>
      </c>
      <c r="DA121" s="165" t="b">
        <f t="shared" si="44"/>
        <v>1</v>
      </c>
      <c r="DB121" s="166" t="b">
        <f t="shared" si="44"/>
        <v>1</v>
      </c>
      <c r="DC121" s="164">
        <f t="shared" si="53"/>
        <v>13</v>
      </c>
      <c r="DD121" s="166">
        <f t="shared" si="45"/>
        <v>561.25167407152833</v>
      </c>
      <c r="DE121" s="164">
        <f t="shared" si="46"/>
        <v>13</v>
      </c>
      <c r="DF121" s="166">
        <f t="shared" si="47"/>
        <v>646.61980188691405</v>
      </c>
      <c r="DG121" s="164">
        <f t="shared" si="48"/>
        <v>13</v>
      </c>
      <c r="DH121" s="166">
        <f t="shared" si="49"/>
        <v>731.98792970229977</v>
      </c>
      <c r="DI121" s="164">
        <f>IFERROR(INDEX(DC$106:DC$154,_xlfn.AGGREGATE(15,6,(ROW(DC$106:DC$154)-ROW(DC$106)+1)/(DC$106:DC$154&lt;&gt;""),ROWS(DI$1:DI16))),"")</f>
        <v>16</v>
      </c>
      <c r="DJ121" s="165">
        <f>IFERROR(INDEX(DD$106:DD$154,_xlfn.AGGREGATE(15,6,(ROW(DD$106:DD$154)-ROW(DD$106)+1)/(DD$106:DD$154&lt;&gt;""),ROWS(DJ$1:DJ16))),"")</f>
        <v>572.05751196176755</v>
      </c>
      <c r="DK121" s="166">
        <f t="shared" si="50"/>
        <v>121</v>
      </c>
      <c r="DL121" s="164">
        <f>IFERROR(INDEX(DE$106:DE$154,_xlfn.AGGREGATE(15,6,(ROW(DE$106:DE$154)-ROW(DE$106)+1)/(DE$106:DE$154&lt;&gt;""),ROWS(DL$1:DL16))),"")</f>
        <v>16</v>
      </c>
      <c r="DM121" s="165">
        <f>IFERROR(INDEX(DF$106:DF$154,_xlfn.AGGREGATE(15,6,(ROW(DF$106:DF$154)-ROW(DF$106)+1)/(DF$106:DF$154&lt;&gt;""),ROWS(DM$1:DM16))),"")</f>
        <v>659.05382904581506</v>
      </c>
      <c r="DN121" s="166">
        <f t="shared" si="51"/>
        <v>121</v>
      </c>
      <c r="DO121" s="164">
        <f>IFERROR(INDEX(DG$106:DG$154,_xlfn.AGGREGATE(15,6,(ROW(DG$106:DG$154)-ROW(DG$106)+1)/(DG$106:DG$154&lt;&gt;""),ROWS(DO$1:DO16))),"")</f>
        <v>16</v>
      </c>
      <c r="DP121" s="165">
        <f>IFERROR(INDEX(DH$106:DH$154,_xlfn.AGGREGATE(15,6,(ROW(DH$106:DH$154)-ROW(DH$106)+1)/(DH$106:DH$154&lt;&gt;""),ROWS(DP$1:DP16))),"")</f>
        <v>746.05014612986258</v>
      </c>
      <c r="DQ121" s="166">
        <f t="shared" si="52"/>
        <v>121</v>
      </c>
      <c r="DV121" s="145">
        <v>2030</v>
      </c>
      <c r="DW121" s="235">
        <f t="shared" ca="1" si="37"/>
        <v>659.23656295944272</v>
      </c>
    </row>
    <row r="122" spans="1:135" ht="13.8" x14ac:dyDescent="0.45">
      <c r="A122" s="208" t="str">
        <f>$A$62</f>
        <v>Base Cases</v>
      </c>
      <c r="B122" s="128">
        <v>2028</v>
      </c>
      <c r="C122" s="175">
        <f>'Total MSW Summaries (Archive)'!D19</f>
        <v>567.91796781482321</v>
      </c>
      <c r="D122" s="159">
        <f>'Total MSW Summaries (Archive)'!P19</f>
        <v>661.29343736965313</v>
      </c>
      <c r="E122" s="151">
        <f>'Total MSW Summaries (Archive)'!AB19</f>
        <v>770.06399999999974</v>
      </c>
      <c r="F122" s="152">
        <f>'Total MSW Summaries (Archive)'!AN19</f>
        <v>713.27296296209602</v>
      </c>
      <c r="G122" s="159">
        <f>'Total MSW Summaries (Archive)'!AZ19</f>
        <v>542.02702702702709</v>
      </c>
      <c r="H122" s="204"/>
      <c r="I122" s="206"/>
      <c r="J122" s="207"/>
      <c r="K122" s="204"/>
      <c r="L122" s="206"/>
      <c r="M122" s="204"/>
      <c r="N122" s="29" t="s">
        <v>119</v>
      </c>
      <c r="O122" s="120"/>
      <c r="P122" s="120"/>
      <c r="Q122" s="120"/>
      <c r="R122" s="29">
        <v>14</v>
      </c>
      <c r="S122" s="154">
        <f t="shared" si="38"/>
        <v>542.02702702702709</v>
      </c>
      <c r="T122" s="154">
        <f t="shared" si="39"/>
        <v>770.06399999999974</v>
      </c>
      <c r="U122" s="154">
        <f t="shared" si="40"/>
        <v>85.950927531582266</v>
      </c>
      <c r="W122" s="154">
        <f t="shared" si="41"/>
        <v>564.9641515031376</v>
      </c>
      <c r="X122" s="154">
        <f t="shared" si="42"/>
        <v>650.91507903471984</v>
      </c>
      <c r="Y122" s="154">
        <f t="shared" si="43"/>
        <v>736.86600656630208</v>
      </c>
      <c r="AA122" s="114"/>
      <c r="AB122" s="114"/>
      <c r="AC122" s="114"/>
      <c r="AD122" s="114"/>
      <c r="AE122" s="114"/>
      <c r="AF122" s="114"/>
      <c r="AG122" s="114"/>
      <c r="AH122" s="114"/>
      <c r="AI122" s="114"/>
      <c r="AJ122" s="114"/>
      <c r="AK122" s="114"/>
      <c r="AL122" s="114"/>
      <c r="AM122" s="114"/>
      <c r="AN122" s="114"/>
      <c r="BR122" s="180">
        <v>2026</v>
      </c>
      <c r="BS122" s="22">
        <v>12</v>
      </c>
      <c r="BT122" s="181">
        <f t="shared" si="54"/>
        <v>49.018057090182957</v>
      </c>
      <c r="BU122" s="182">
        <f t="shared" si="55"/>
        <v>592.00614409760874</v>
      </c>
      <c r="BV122" s="205">
        <f t="shared" si="56"/>
        <v>641.02420118779173</v>
      </c>
      <c r="BY122" s="180">
        <v>2026</v>
      </c>
      <c r="BZ122" s="22">
        <v>12</v>
      </c>
      <c r="CA122" s="198">
        <f t="shared" ca="1" si="57"/>
        <v>-3.3714169348620464</v>
      </c>
      <c r="CB122" s="198">
        <f t="shared" ca="1" si="58"/>
        <v>58.008502249815066</v>
      </c>
      <c r="CC122" s="186">
        <f t="shared" ca="1" si="69"/>
        <v>587.88552339944408</v>
      </c>
      <c r="CD122" s="205">
        <f t="shared" ca="1" si="59"/>
        <v>642.52260871439705</v>
      </c>
      <c r="CG122" s="180">
        <v>2026</v>
      </c>
      <c r="CH122" s="22">
        <v>12</v>
      </c>
      <c r="CI122" s="198">
        <f t="shared" ca="1" si="60"/>
        <v>-0.59123177365302004</v>
      </c>
      <c r="CJ122" s="198">
        <f t="shared" ca="1" si="61"/>
        <v>-1.0064898402499638</v>
      </c>
      <c r="CK122" s="198">
        <f t="shared" ca="1" si="62"/>
        <v>55.445676742077481</v>
      </c>
      <c r="CL122" s="186">
        <f t="shared" ca="1" si="63"/>
        <v>588.49974751985019</v>
      </c>
      <c r="CM122" s="205">
        <f t="shared" ca="1" si="64"/>
        <v>642.34770264802466</v>
      </c>
      <c r="CP122" s="180">
        <v>2026</v>
      </c>
      <c r="CQ122" s="22">
        <v>12</v>
      </c>
      <c r="CR122" s="198">
        <f t="shared" ca="1" si="65"/>
        <v>593.97870804003173</v>
      </c>
      <c r="CS122" s="186">
        <f t="shared" ca="1" si="66"/>
        <v>1.0777504375243208</v>
      </c>
      <c r="CT122" s="205">
        <f t="shared" ca="1" si="67"/>
        <v>640.160812470275</v>
      </c>
      <c r="CZ122" s="164" t="b">
        <f t="shared" si="44"/>
        <v>1</v>
      </c>
      <c r="DA122" s="165" t="b">
        <f t="shared" si="44"/>
        <v>1</v>
      </c>
      <c r="DB122" s="166" t="b">
        <f t="shared" si="44"/>
        <v>1</v>
      </c>
      <c r="DC122" s="164">
        <f t="shared" si="53"/>
        <v>14</v>
      </c>
      <c r="DD122" s="166">
        <f t="shared" si="45"/>
        <v>564.9641515031376</v>
      </c>
      <c r="DE122" s="164">
        <f t="shared" si="46"/>
        <v>14</v>
      </c>
      <c r="DF122" s="166">
        <f t="shared" si="47"/>
        <v>650.91507903471984</v>
      </c>
      <c r="DG122" s="164">
        <f t="shared" si="48"/>
        <v>14</v>
      </c>
      <c r="DH122" s="166">
        <f t="shared" si="49"/>
        <v>736.86600656630208</v>
      </c>
      <c r="DI122" s="164">
        <f>IFERROR(INDEX(DC$106:DC$154,_xlfn.AGGREGATE(15,6,(ROW(DC$106:DC$154)-ROW(DC$106)+1)/(DC$106:DC$154&lt;&gt;""),ROWS(DI$1:DI17))),"")</f>
        <v>17</v>
      </c>
      <c r="DJ122" s="165">
        <f>IFERROR(INDEX(DD$106:DD$154,_xlfn.AGGREGATE(15,6,(ROW(DD$106:DD$154)-ROW(DD$106)+1)/(DD$106:DD$154&lt;&gt;""),ROWS(DJ$1:DJ17))),"")</f>
        <v>575.66290718498715</v>
      </c>
      <c r="DK122" s="166">
        <f t="shared" si="50"/>
        <v>122</v>
      </c>
      <c r="DL122" s="164">
        <f>IFERROR(INDEX(DE$106:DE$154,_xlfn.AGGREGATE(15,6,(ROW(DE$106:DE$154)-ROW(DE$106)+1)/(DE$106:DE$154&lt;&gt;""),ROWS(DL$1:DL17))),"")</f>
        <v>17</v>
      </c>
      <c r="DM122" s="165">
        <f>IFERROR(INDEX(DF$106:DF$154,_xlfn.AGGREGATE(15,6,(ROW(DF$106:DF$154)-ROW(DF$106)+1)/(DF$106:DF$154&lt;&gt;""),ROWS(DM$1:DM17))),"")</f>
        <v>663.62108162994559</v>
      </c>
      <c r="DN122" s="166">
        <f t="shared" si="51"/>
        <v>122</v>
      </c>
      <c r="DO122" s="164">
        <f>IFERROR(INDEX(DG$106:DG$154,_xlfn.AGGREGATE(15,6,(ROW(DG$106:DG$154)-ROW(DG$106)+1)/(DG$106:DG$154&lt;&gt;""),ROWS(DO$1:DO17))),"")</f>
        <v>17</v>
      </c>
      <c r="DP122" s="165">
        <f>IFERROR(INDEX(DH$106:DH$154,_xlfn.AGGREGATE(15,6,(ROW(DH$106:DH$154)-ROW(DH$106)+1)/(DH$106:DH$154&lt;&gt;""),ROWS(DP$1:DP17))),"")</f>
        <v>751.57925607490404</v>
      </c>
      <c r="DQ122" s="166">
        <f t="shared" si="52"/>
        <v>122</v>
      </c>
      <c r="DV122" s="145">
        <v>2031</v>
      </c>
      <c r="DW122" s="235">
        <f t="shared" ca="1" si="37"/>
        <v>663.34684716953859</v>
      </c>
    </row>
    <row r="123" spans="1:135" ht="13.8" x14ac:dyDescent="0.45">
      <c r="A123" s="209" t="str">
        <f>$A$63</f>
        <v>Conservative Cases</v>
      </c>
      <c r="B123" s="128">
        <v>2029</v>
      </c>
      <c r="C123" s="175">
        <f>'Total MSW Summaries (Archive)'!D20</f>
        <v>571.44627238248449</v>
      </c>
      <c r="D123" s="159">
        <f>'Total MSW Summaries (Archive)'!P20</f>
        <v>663.26915756132655</v>
      </c>
      <c r="E123" s="151">
        <f>'Total MSW Summaries (Archive)'!AB20</f>
        <v>777.54999999999973</v>
      </c>
      <c r="F123" s="152">
        <f>'Total MSW Summaries (Archive)'!AN20</f>
        <v>716.48811315974376</v>
      </c>
      <c r="G123" s="159">
        <f>'Total MSW Summaries (Archive)'!AZ20</f>
        <v>547.16216216216219</v>
      </c>
      <c r="H123" s="204"/>
      <c r="I123" s="206"/>
      <c r="J123" s="207"/>
      <c r="K123" s="204"/>
      <c r="L123" s="206"/>
      <c r="M123" s="204"/>
      <c r="N123" s="29" t="s">
        <v>119</v>
      </c>
      <c r="O123" s="120"/>
      <c r="P123" s="120"/>
      <c r="Q123" s="120"/>
      <c r="R123" s="29">
        <v>15</v>
      </c>
      <c r="S123" s="154">
        <f t="shared" si="38"/>
        <v>547.16216216216219</v>
      </c>
      <c r="T123" s="154">
        <f t="shared" si="39"/>
        <v>777.54999999999973</v>
      </c>
      <c r="U123" s="154">
        <f t="shared" si="40"/>
        <v>86.576817326365273</v>
      </c>
      <c r="W123" s="154">
        <f t="shared" si="41"/>
        <v>568.6063237267781</v>
      </c>
      <c r="X123" s="154">
        <f t="shared" si="42"/>
        <v>655.18314105314334</v>
      </c>
      <c r="Y123" s="154">
        <f t="shared" si="43"/>
        <v>741.75995837950859</v>
      </c>
      <c r="AA123" s="89"/>
      <c r="AB123" s="89"/>
      <c r="AC123" s="89"/>
      <c r="AD123" s="89"/>
      <c r="AE123" s="89"/>
      <c r="AF123" s="89"/>
      <c r="AG123" s="89"/>
      <c r="AH123" s="89"/>
      <c r="AI123" s="89"/>
      <c r="AJ123" s="89"/>
      <c r="AK123" s="89"/>
      <c r="AL123" s="89"/>
      <c r="AM123" s="89"/>
      <c r="AN123" s="89"/>
      <c r="BR123" s="180">
        <v>2027</v>
      </c>
      <c r="BS123" s="22">
        <v>13</v>
      </c>
      <c r="BT123" s="181">
        <f t="shared" si="54"/>
        <v>53.102895181031535</v>
      </c>
      <c r="BU123" s="182">
        <f t="shared" si="55"/>
        <v>592.00614409760874</v>
      </c>
      <c r="BV123" s="205">
        <f t="shared" si="56"/>
        <v>645.10903927864024</v>
      </c>
      <c r="BY123" s="180">
        <v>2027</v>
      </c>
      <c r="BZ123" s="22">
        <v>13</v>
      </c>
      <c r="CA123" s="198">
        <f t="shared" ca="1" si="57"/>
        <v>-3.9567323749422632</v>
      </c>
      <c r="CB123" s="198">
        <f t="shared" ca="1" si="58"/>
        <v>62.842544103966318</v>
      </c>
      <c r="CC123" s="186">
        <f t="shared" ca="1" si="69"/>
        <v>587.88552339944408</v>
      </c>
      <c r="CD123" s="205">
        <f t="shared" ca="1" si="59"/>
        <v>646.77133512846808</v>
      </c>
      <c r="CG123" s="180">
        <v>2027</v>
      </c>
      <c r="CH123" s="22">
        <v>13</v>
      </c>
      <c r="CI123" s="198">
        <f t="shared" ca="1" si="60"/>
        <v>-0.75169919370120664</v>
      </c>
      <c r="CJ123" s="198">
        <f t="shared" ca="1" si="61"/>
        <v>-1.1812276597378046</v>
      </c>
      <c r="CK123" s="198">
        <f t="shared" ca="1" si="62"/>
        <v>60.06614980391727</v>
      </c>
      <c r="CL123" s="186">
        <f t="shared" ca="1" si="63"/>
        <v>588.49974751985019</v>
      </c>
      <c r="CM123" s="205">
        <f t="shared" ca="1" si="64"/>
        <v>646.63297047032847</v>
      </c>
      <c r="CP123" s="180">
        <v>2027</v>
      </c>
      <c r="CQ123" s="22">
        <v>13</v>
      </c>
      <c r="CR123" s="198">
        <f t="shared" ca="1" si="65"/>
        <v>593.97870804003173</v>
      </c>
      <c r="CS123" s="186">
        <f t="shared" ca="1" si="66"/>
        <v>1.0844962596074361</v>
      </c>
      <c r="CT123" s="205">
        <f t="shared" ca="1" si="67"/>
        <v>644.1676871558717</v>
      </c>
      <c r="CZ123" s="164" t="b">
        <f t="shared" si="44"/>
        <v>1</v>
      </c>
      <c r="DA123" s="165" t="b">
        <f t="shared" si="44"/>
        <v>1</v>
      </c>
      <c r="DB123" s="166" t="b">
        <f t="shared" si="44"/>
        <v>1</v>
      </c>
      <c r="DC123" s="164">
        <f t="shared" si="53"/>
        <v>15</v>
      </c>
      <c r="DD123" s="166">
        <f t="shared" si="45"/>
        <v>568.6063237267781</v>
      </c>
      <c r="DE123" s="164">
        <f t="shared" si="46"/>
        <v>15</v>
      </c>
      <c r="DF123" s="166">
        <f t="shared" si="47"/>
        <v>655.18314105314334</v>
      </c>
      <c r="DG123" s="164">
        <f t="shared" si="48"/>
        <v>15</v>
      </c>
      <c r="DH123" s="166">
        <f t="shared" si="49"/>
        <v>741.75995837950859</v>
      </c>
      <c r="DI123" s="164">
        <f>IFERROR(INDEX(DC$106:DC$154,_xlfn.AGGREGATE(15,6,(ROW(DC$106:DC$154)-ROW(DC$106)+1)/(DC$106:DC$154&lt;&gt;""),ROWS(DI$1:DI18))),"")</f>
        <v>18</v>
      </c>
      <c r="DJ123" s="165">
        <f>IFERROR(INDEX(DD$106:DD$154,_xlfn.AGGREGATE(15,6,(ROW(DD$106:DD$154)-ROW(DD$106)+1)/(DD$106:DD$154&lt;&gt;""),ROWS(DJ$1:DJ18))),"")</f>
        <v>578.85586846586091</v>
      </c>
      <c r="DK123" s="166">
        <f t="shared" si="50"/>
        <v>123</v>
      </c>
      <c r="DL123" s="164">
        <f>IFERROR(INDEX(DE$106:DE$154,_xlfn.AGGREGATE(15,6,(ROW(DE$106:DE$154)-ROW(DE$106)+1)/(DE$106:DE$154&lt;&gt;""),ROWS(DL$1:DL18))),"")</f>
        <v>18</v>
      </c>
      <c r="DM123" s="165">
        <f>IFERROR(INDEX(DF$106:DF$154,_xlfn.AGGREGATE(15,6,(ROW(DF$106:DF$154)-ROW(DF$106)+1)/(DF$106:DF$154&lt;&gt;""),ROWS(DM$1:DM18))),"")</f>
        <v>667.5787329054441</v>
      </c>
      <c r="DN123" s="166">
        <f t="shared" si="51"/>
        <v>123</v>
      </c>
      <c r="DO123" s="164">
        <f>IFERROR(INDEX(DG$106:DG$154,_xlfn.AGGREGATE(15,6,(ROW(DG$106:DG$154)-ROW(DG$106)+1)/(DG$106:DG$154&lt;&gt;""),ROWS(DO$1:DO18))),"")</f>
        <v>18</v>
      </c>
      <c r="DP123" s="165">
        <f>IFERROR(INDEX(DH$106:DH$154,_xlfn.AGGREGATE(15,6,(ROW(DH$106:DH$154)-ROW(DH$106)+1)/(DH$106:DH$154&lt;&gt;""),ROWS(DP$1:DP18))),"")</f>
        <v>756.30159734502729</v>
      </c>
      <c r="DQ123" s="166">
        <f t="shared" si="52"/>
        <v>123</v>
      </c>
      <c r="DV123" s="145">
        <v>2032</v>
      </c>
      <c r="DW123" s="235">
        <f t="shared" ca="1" si="37"/>
        <v>667.408253256325</v>
      </c>
    </row>
    <row r="124" spans="1:135" ht="13.8" x14ac:dyDescent="0.45">
      <c r="A124" s="210" t="str">
        <f>$A$64</f>
        <v>Ambitious Cases</v>
      </c>
      <c r="B124" s="128">
        <v>2030</v>
      </c>
      <c r="C124" s="175">
        <f>'Total MSW Summaries (Archive)'!D21</f>
        <v>574.92151400908517</v>
      </c>
      <c r="D124" s="159">
        <f>'Total MSW Summaries (Archive)'!P21</f>
        <v>665.1571504103066</v>
      </c>
      <c r="E124" s="151">
        <f>'Total MSW Summaries (Archive)'!AB21</f>
        <v>785.03599999999972</v>
      </c>
      <c r="F124" s="152">
        <f>'Total MSW Summaries (Archive)'!AN21</f>
        <v>717.85718351238677</v>
      </c>
      <c r="G124" s="159">
        <f>'Total MSW Summaries (Archive)'!AZ21</f>
        <v>552.29729729729729</v>
      </c>
      <c r="H124" s="204"/>
      <c r="I124" s="206"/>
      <c r="J124" s="207"/>
      <c r="K124" s="204"/>
      <c r="L124" s="206"/>
      <c r="M124" s="204"/>
      <c r="N124" s="29" t="s">
        <v>119</v>
      </c>
      <c r="O124" s="120"/>
      <c r="P124" s="120"/>
      <c r="Q124" s="120"/>
      <c r="R124" s="29">
        <v>16</v>
      </c>
      <c r="S124" s="154">
        <f t="shared" si="38"/>
        <v>552.29729729729729</v>
      </c>
      <c r="T124" s="154">
        <f t="shared" si="39"/>
        <v>785.03599999999972</v>
      </c>
      <c r="U124" s="154">
        <f t="shared" si="40"/>
        <v>86.996317084047476</v>
      </c>
      <c r="W124" s="154">
        <f t="shared" si="41"/>
        <v>572.05751196176755</v>
      </c>
      <c r="X124" s="154">
        <f t="shared" si="42"/>
        <v>659.05382904581506</v>
      </c>
      <c r="Y124" s="154">
        <f t="shared" si="43"/>
        <v>746.05014612986258</v>
      </c>
      <c r="AA124" s="89"/>
      <c r="AB124" s="89"/>
      <c r="AC124" s="89"/>
      <c r="AD124" s="89"/>
      <c r="AE124" s="89"/>
      <c r="AF124" s="89"/>
      <c r="AG124" s="89"/>
      <c r="AH124" s="89"/>
      <c r="AI124" s="89"/>
      <c r="AJ124" s="89"/>
      <c r="AK124" s="89"/>
      <c r="AL124" s="89"/>
      <c r="AM124" s="89"/>
      <c r="AN124" s="89"/>
      <c r="BR124" s="180">
        <v>2028</v>
      </c>
      <c r="BS124" s="22">
        <v>14</v>
      </c>
      <c r="BT124" s="181">
        <f t="shared" si="54"/>
        <v>57.18773327188012</v>
      </c>
      <c r="BU124" s="182">
        <f t="shared" si="55"/>
        <v>592.00614409760874</v>
      </c>
      <c r="BV124" s="205">
        <f t="shared" si="56"/>
        <v>649.19387736948886</v>
      </c>
      <c r="BY124" s="180">
        <v>2028</v>
      </c>
      <c r="BZ124" s="22">
        <v>14</v>
      </c>
      <c r="CA124" s="198">
        <f t="shared" ca="1" si="57"/>
        <v>-4.588873050228897</v>
      </c>
      <c r="CB124" s="198">
        <f t="shared" ca="1" si="58"/>
        <v>67.676585958117585</v>
      </c>
      <c r="CC124" s="186">
        <f t="shared" ca="1" si="69"/>
        <v>587.88552339944408</v>
      </c>
      <c r="CD124" s="205">
        <f t="shared" ca="1" si="59"/>
        <v>650.97323630733274</v>
      </c>
      <c r="CG124" s="180">
        <v>2028</v>
      </c>
      <c r="CH124" s="22">
        <v>14</v>
      </c>
      <c r="CI124" s="198">
        <f t="shared" ca="1" si="60"/>
        <v>-0.9388541590878976</v>
      </c>
      <c r="CJ124" s="198">
        <f t="shared" ca="1" si="61"/>
        <v>-1.369944504784673</v>
      </c>
      <c r="CK124" s="198">
        <f t="shared" ca="1" si="62"/>
        <v>64.686622865757059</v>
      </c>
      <c r="CL124" s="186">
        <f t="shared" ca="1" si="63"/>
        <v>588.49974751985019</v>
      </c>
      <c r="CM124" s="205">
        <f t="shared" ca="1" si="64"/>
        <v>650.87757172173463</v>
      </c>
      <c r="CP124" s="180">
        <v>2028</v>
      </c>
      <c r="CQ124" s="22">
        <v>14</v>
      </c>
      <c r="CR124" s="198">
        <f t="shared" ca="1" si="65"/>
        <v>593.97870804003173</v>
      </c>
      <c r="CS124" s="186">
        <f t="shared" ca="1" si="66"/>
        <v>1.091284304930731</v>
      </c>
      <c r="CT124" s="205">
        <f t="shared" ca="1" si="67"/>
        <v>648.19964154711965</v>
      </c>
      <c r="CZ124" s="164" t="b">
        <f t="shared" si="44"/>
        <v>1</v>
      </c>
      <c r="DA124" s="165" t="b">
        <f t="shared" si="44"/>
        <v>1</v>
      </c>
      <c r="DB124" s="166" t="b">
        <f t="shared" si="44"/>
        <v>1</v>
      </c>
      <c r="DC124" s="164">
        <f t="shared" si="53"/>
        <v>16</v>
      </c>
      <c r="DD124" s="166">
        <f t="shared" si="45"/>
        <v>572.05751196176755</v>
      </c>
      <c r="DE124" s="164">
        <f t="shared" si="46"/>
        <v>16</v>
      </c>
      <c r="DF124" s="166">
        <f t="shared" si="47"/>
        <v>659.05382904581506</v>
      </c>
      <c r="DG124" s="164">
        <f t="shared" si="48"/>
        <v>16</v>
      </c>
      <c r="DH124" s="166">
        <f t="shared" si="49"/>
        <v>746.05014612986258</v>
      </c>
      <c r="DI124" s="164">
        <f>IFERROR(INDEX(DC$106:DC$154,_xlfn.AGGREGATE(15,6,(ROW(DC$106:DC$154)-ROW(DC$106)+1)/(DC$106:DC$154&lt;&gt;""),ROWS(DI$1:DI19))),"")</f>
        <v>19</v>
      </c>
      <c r="DJ124" s="165">
        <f>IFERROR(INDEX(DD$106:DD$154,_xlfn.AGGREGATE(15,6,(ROW(DD$106:DD$154)-ROW(DD$106)+1)/(DD$106:DD$154&lt;&gt;""),ROWS(DJ$1:DJ19))),"")</f>
        <v>581.96214961865223</v>
      </c>
      <c r="DK124" s="166">
        <f t="shared" si="50"/>
        <v>124</v>
      </c>
      <c r="DL124" s="164">
        <f>IFERROR(INDEX(DE$106:DE$154,_xlfn.AGGREGATE(15,6,(ROW(DE$106:DE$154)-ROW(DE$106)+1)/(DE$106:DE$154&lt;&gt;""),ROWS(DL$1:DL19))),"")</f>
        <v>19</v>
      </c>
      <c r="DM124" s="165">
        <f>IFERROR(INDEX(DF$106:DF$154,_xlfn.AGGREGATE(15,6,(ROW(DF$106:DF$154)-ROW(DF$106)+1)/(DF$106:DF$154&lt;&gt;""),ROWS(DM$1:DM19))),"")</f>
        <v>671.50064287719772</v>
      </c>
      <c r="DN124" s="166">
        <f t="shared" si="51"/>
        <v>124</v>
      </c>
      <c r="DO124" s="164">
        <f>IFERROR(INDEX(DG$106:DG$154,_xlfn.AGGREGATE(15,6,(ROW(DG$106:DG$154)-ROW(DG$106)+1)/(DG$106:DG$154&lt;&gt;""),ROWS(DO$1:DO19))),"")</f>
        <v>19</v>
      </c>
      <c r="DP124" s="165">
        <f>IFERROR(INDEX(DH$106:DH$154,_xlfn.AGGREGATE(15,6,(ROW(DH$106:DH$154)-ROW(DH$106)+1)/(DH$106:DH$154&lt;&gt;""),ROWS(DP$1:DP19))),"")</f>
        <v>761.03913613574321</v>
      </c>
      <c r="DQ124" s="166">
        <f t="shared" si="52"/>
        <v>124</v>
      </c>
      <c r="DV124" s="145">
        <v>2033</v>
      </c>
      <c r="DW124" s="235">
        <f t="shared" ca="1" si="37"/>
        <v>671.41872833169919</v>
      </c>
    </row>
    <row r="125" spans="1:135" ht="13.8" x14ac:dyDescent="0.45">
      <c r="A125" s="211" t="str">
        <f>$A$65</f>
        <v>Maximum Cases</v>
      </c>
      <c r="B125" s="128">
        <v>2031</v>
      </c>
      <c r="C125" s="175">
        <f>'Total MSW Summaries (Archive)'!D22</f>
        <v>578.34278469937749</v>
      </c>
      <c r="D125" s="159">
        <f>'Total MSW Summaries (Archive)'!P22</f>
        <v>666.95696290715034</v>
      </c>
      <c r="E125" s="151">
        <f>'Total MSW Summaries (Archive)'!AB22</f>
        <v>792.52199999999971</v>
      </c>
      <c r="F125" s="152">
        <f>'Total MSW Summaries (Archive)'!AN22</f>
        <v>722.85122811076747</v>
      </c>
      <c r="G125" s="159">
        <f>'Total MSW Summaries (Archive)'!AZ22</f>
        <v>557.43243243243239</v>
      </c>
      <c r="H125" s="204"/>
      <c r="I125" s="206"/>
      <c r="J125" s="207"/>
      <c r="K125" s="204"/>
      <c r="L125" s="206"/>
      <c r="M125" s="204"/>
      <c r="N125" s="29" t="s">
        <v>119</v>
      </c>
      <c r="O125" s="120"/>
      <c r="P125" s="120"/>
      <c r="Q125" s="120"/>
      <c r="R125" s="29">
        <v>17</v>
      </c>
      <c r="S125" s="154">
        <f t="shared" si="38"/>
        <v>557.43243243243239</v>
      </c>
      <c r="T125" s="154">
        <f t="shared" si="39"/>
        <v>792.52199999999971</v>
      </c>
      <c r="U125" s="154">
        <f t="shared" si="40"/>
        <v>87.958174444958416</v>
      </c>
      <c r="W125" s="154">
        <f t="shared" si="41"/>
        <v>575.66290718498715</v>
      </c>
      <c r="X125" s="154">
        <f t="shared" si="42"/>
        <v>663.62108162994559</v>
      </c>
      <c r="Y125" s="154">
        <f t="shared" si="43"/>
        <v>751.57925607490404</v>
      </c>
      <c r="AA125" s="89"/>
      <c r="AB125" s="89"/>
      <c r="AC125" s="89"/>
      <c r="AD125" s="89"/>
      <c r="AE125" s="89"/>
      <c r="AF125" s="89"/>
      <c r="AG125" s="89"/>
      <c r="AH125" s="89"/>
      <c r="AI125" s="89"/>
      <c r="AJ125" s="89"/>
      <c r="AK125" s="89"/>
      <c r="AL125" s="89"/>
      <c r="AM125" s="89"/>
      <c r="AN125" s="89"/>
      <c r="BR125" s="180">
        <v>2029</v>
      </c>
      <c r="BS125" s="22">
        <v>15</v>
      </c>
      <c r="BT125" s="181">
        <f t="shared" si="54"/>
        <v>61.272571362728698</v>
      </c>
      <c r="BU125" s="182">
        <f t="shared" si="55"/>
        <v>592.00614409760874</v>
      </c>
      <c r="BV125" s="205">
        <f t="shared" si="56"/>
        <v>653.27871546033748</v>
      </c>
      <c r="BY125" s="180">
        <v>2029</v>
      </c>
      <c r="BZ125" s="22">
        <v>15</v>
      </c>
      <c r="CA125" s="198">
        <f t="shared" ca="1" si="57"/>
        <v>-5.2678389607219476</v>
      </c>
      <c r="CB125" s="198">
        <f t="shared" ca="1" si="58"/>
        <v>72.510627812268837</v>
      </c>
      <c r="CC125" s="186">
        <f t="shared" ca="1" si="69"/>
        <v>587.88552339944408</v>
      </c>
      <c r="CD125" s="205">
        <f t="shared" ca="1" si="59"/>
        <v>655.12831225099103</v>
      </c>
      <c r="CG125" s="180">
        <v>2029</v>
      </c>
      <c r="CH125" s="22">
        <v>15</v>
      </c>
      <c r="CI125" s="198">
        <f t="shared" ca="1" si="60"/>
        <v>-1.1547495579160547</v>
      </c>
      <c r="CJ125" s="198">
        <f t="shared" ca="1" si="61"/>
        <v>-1.5726403753905684</v>
      </c>
      <c r="CK125" s="198">
        <f t="shared" ca="1" si="62"/>
        <v>69.307095927596848</v>
      </c>
      <c r="CL125" s="186">
        <f t="shared" ca="1" si="63"/>
        <v>588.49974751985019</v>
      </c>
      <c r="CM125" s="205">
        <f t="shared" ca="1" si="64"/>
        <v>655.07945351414037</v>
      </c>
      <c r="CP125" s="180">
        <v>2029</v>
      </c>
      <c r="CQ125" s="22">
        <v>15</v>
      </c>
      <c r="CR125" s="198">
        <f t="shared" ca="1" si="65"/>
        <v>593.97870804003173</v>
      </c>
      <c r="CS125" s="186">
        <f t="shared" ca="1" si="66"/>
        <v>1.0981148377765995</v>
      </c>
      <c r="CT125" s="205">
        <f t="shared" ca="1" si="67"/>
        <v>652.25683262213363</v>
      </c>
      <c r="CZ125" s="164" t="b">
        <f t="shared" si="44"/>
        <v>1</v>
      </c>
      <c r="DA125" s="165" t="b">
        <f t="shared" si="44"/>
        <v>1</v>
      </c>
      <c r="DB125" s="166" t="b">
        <f t="shared" si="44"/>
        <v>1</v>
      </c>
      <c r="DC125" s="164">
        <f t="shared" si="53"/>
        <v>17</v>
      </c>
      <c r="DD125" s="166">
        <f t="shared" si="45"/>
        <v>575.66290718498715</v>
      </c>
      <c r="DE125" s="164">
        <f t="shared" si="46"/>
        <v>17</v>
      </c>
      <c r="DF125" s="166">
        <f t="shared" si="47"/>
        <v>663.62108162994559</v>
      </c>
      <c r="DG125" s="164">
        <f t="shared" si="48"/>
        <v>17</v>
      </c>
      <c r="DH125" s="166">
        <f t="shared" si="49"/>
        <v>751.57925607490404</v>
      </c>
      <c r="DI125" s="164">
        <f>IFERROR(INDEX(DC$106:DC$154,_xlfn.AGGREGATE(15,6,(ROW(DC$106:DC$154)-ROW(DC$106)+1)/(DC$106:DC$154&lt;&gt;""),ROWS(DI$1:DI20))),"")</f>
        <v>20</v>
      </c>
      <c r="DJ125" s="165">
        <f>IFERROR(INDEX(DD$106:DD$154,_xlfn.AGGREGATE(15,6,(ROW(DD$106:DD$154)-ROW(DD$106)+1)/(DD$106:DD$154&lt;&gt;""),ROWS(DJ$1:DJ20))),"")</f>
        <v>584.97979966837067</v>
      </c>
      <c r="DK125" s="166">
        <f t="shared" si="50"/>
        <v>125</v>
      </c>
      <c r="DL125" s="164">
        <f>IFERROR(INDEX(DE$106:DE$154,_xlfn.AGGREGATE(15,6,(ROW(DE$106:DE$154)-ROW(DE$106)+1)/(DE$106:DE$154&lt;&gt;""),ROWS(DL$1:DL20))),"")</f>
        <v>20</v>
      </c>
      <c r="DM125" s="165">
        <f>IFERROR(INDEX(DF$106:DF$154,_xlfn.AGGREGATE(15,6,(ROW(DF$106:DF$154)-ROW(DF$106)+1)/(DF$106:DF$154&lt;&gt;""),ROWS(DM$1:DM20))),"")</f>
        <v>675.38502057069104</v>
      </c>
      <c r="DN125" s="166">
        <f t="shared" si="51"/>
        <v>125</v>
      </c>
      <c r="DO125" s="164">
        <f>IFERROR(INDEX(DG$106:DG$154,_xlfn.AGGREGATE(15,6,(ROW(DG$106:DG$154)-ROW(DG$106)+1)/(DG$106:DG$154&lt;&gt;""),ROWS(DO$1:DO20))),"")</f>
        <v>20</v>
      </c>
      <c r="DP125" s="165">
        <f>IFERROR(INDEX(DH$106:DH$154,_xlfn.AGGREGATE(15,6,(ROW(DH$106:DH$154)-ROW(DH$106)+1)/(DH$106:DH$154&lt;&gt;""),ROWS(DP$1:DP20))),"")</f>
        <v>765.79024147301141</v>
      </c>
      <c r="DQ125" s="166">
        <f t="shared" si="52"/>
        <v>125</v>
      </c>
      <c r="DV125" s="145">
        <v>2034</v>
      </c>
      <c r="DW125" s="235">
        <f t="shared" ca="1" si="37"/>
        <v>675.37621950755806</v>
      </c>
    </row>
    <row r="126" spans="1:135" ht="13.8" x14ac:dyDescent="0.45">
      <c r="B126" s="128">
        <v>2032</v>
      </c>
      <c r="C126" s="175">
        <f>'Total MSW Summaries (Archive)'!D23</f>
        <v>581.40124192170242</v>
      </c>
      <c r="D126" s="159">
        <f>'Total MSW Summaries (Archive)'!P23</f>
        <v>668.31418831122494</v>
      </c>
      <c r="E126" s="151">
        <f>'Total MSW Summaries (Archive)'!AB23</f>
        <v>800.0079999999997</v>
      </c>
      <c r="F126" s="152">
        <f>'Total MSW Summaries (Archive)'!AN23</f>
        <v>725.60266672672617</v>
      </c>
      <c r="G126" s="159">
        <f>'Total MSW Summaries (Archive)'!AZ23</f>
        <v>562.56756756756749</v>
      </c>
      <c r="H126" s="204"/>
      <c r="I126" s="206"/>
      <c r="J126" s="207"/>
      <c r="K126" s="204"/>
      <c r="L126" s="206"/>
      <c r="M126" s="204"/>
      <c r="N126" s="29" t="s">
        <v>119</v>
      </c>
      <c r="O126" s="120"/>
      <c r="P126" s="120"/>
      <c r="Q126" s="120"/>
      <c r="R126" s="29">
        <v>18</v>
      </c>
      <c r="S126" s="154">
        <f t="shared" si="38"/>
        <v>562.56756756756749</v>
      </c>
      <c r="T126" s="154">
        <f t="shared" si="39"/>
        <v>800.0079999999997</v>
      </c>
      <c r="U126" s="154">
        <f t="shared" si="40"/>
        <v>88.722864439583191</v>
      </c>
      <c r="W126" s="154">
        <f t="shared" si="41"/>
        <v>578.85586846586091</v>
      </c>
      <c r="X126" s="154">
        <f t="shared" si="42"/>
        <v>667.5787329054441</v>
      </c>
      <c r="Y126" s="154">
        <f t="shared" si="43"/>
        <v>756.30159734502729</v>
      </c>
      <c r="AA126" s="89"/>
      <c r="AB126" s="89"/>
      <c r="AC126" s="89"/>
      <c r="AD126" s="89"/>
      <c r="AE126" s="89"/>
      <c r="AF126" s="89"/>
      <c r="AG126" s="89"/>
      <c r="AH126" s="89"/>
      <c r="AI126" s="89"/>
      <c r="AJ126" s="89"/>
      <c r="AK126" s="89"/>
      <c r="AL126" s="89"/>
      <c r="AM126" s="89"/>
      <c r="AN126" s="89"/>
      <c r="BR126" s="180">
        <v>2030</v>
      </c>
      <c r="BS126" s="22">
        <v>16</v>
      </c>
      <c r="BT126" s="181">
        <f t="shared" si="54"/>
        <v>65.357409453577276</v>
      </c>
      <c r="BU126" s="182">
        <f t="shared" si="55"/>
        <v>592.00614409760874</v>
      </c>
      <c r="BV126" s="205">
        <f t="shared" si="56"/>
        <v>657.36355355118599</v>
      </c>
      <c r="BY126" s="180">
        <v>2030</v>
      </c>
      <c r="BZ126" s="22">
        <v>16</v>
      </c>
      <c r="CA126" s="198">
        <f t="shared" ca="1" si="57"/>
        <v>-5.9936301064214161</v>
      </c>
      <c r="CB126" s="198">
        <f t="shared" ca="1" si="58"/>
        <v>77.344669666420089</v>
      </c>
      <c r="CC126" s="186">
        <f t="shared" ca="1" si="69"/>
        <v>587.88552339944408</v>
      </c>
      <c r="CD126" s="205">
        <f t="shared" ca="1" si="59"/>
        <v>659.23656295944272</v>
      </c>
      <c r="CG126" s="180">
        <v>2030</v>
      </c>
      <c r="CH126" s="22">
        <v>16</v>
      </c>
      <c r="CI126" s="198">
        <f t="shared" ca="1" si="60"/>
        <v>-1.4014382782886401</v>
      </c>
      <c r="CJ126" s="198">
        <f t="shared" ca="1" si="61"/>
        <v>-1.7893152715554912</v>
      </c>
      <c r="CK126" s="198">
        <f t="shared" ca="1" si="62"/>
        <v>73.927568989436637</v>
      </c>
      <c r="CL126" s="186">
        <f t="shared" ca="1" si="63"/>
        <v>588.49974751985019</v>
      </c>
      <c r="CM126" s="205">
        <f t="shared" ca="1" si="64"/>
        <v>659.23656295944272</v>
      </c>
      <c r="CP126" s="180">
        <v>2030</v>
      </c>
      <c r="CQ126" s="22">
        <v>16</v>
      </c>
      <c r="CR126" s="198">
        <f t="shared" ca="1" si="65"/>
        <v>593.97870804003173</v>
      </c>
      <c r="CS126" s="186">
        <f t="shared" ca="1" si="66"/>
        <v>1.1049881240816239</v>
      </c>
      <c r="CT126" s="205">
        <f t="shared" ca="1" si="67"/>
        <v>656.33941834158122</v>
      </c>
      <c r="CZ126" s="164" t="b">
        <f t="shared" si="44"/>
        <v>1</v>
      </c>
      <c r="DA126" s="165" t="b">
        <f t="shared" si="44"/>
        <v>1</v>
      </c>
      <c r="DB126" s="166" t="b">
        <f t="shared" si="44"/>
        <v>1</v>
      </c>
      <c r="DC126" s="164">
        <f t="shared" si="53"/>
        <v>18</v>
      </c>
      <c r="DD126" s="166">
        <f t="shared" si="45"/>
        <v>578.85586846586091</v>
      </c>
      <c r="DE126" s="164">
        <f t="shared" si="46"/>
        <v>18</v>
      </c>
      <c r="DF126" s="166">
        <f t="shared" si="47"/>
        <v>667.5787329054441</v>
      </c>
      <c r="DG126" s="164">
        <f t="shared" si="48"/>
        <v>18</v>
      </c>
      <c r="DH126" s="166">
        <f t="shared" si="49"/>
        <v>756.30159734502729</v>
      </c>
      <c r="DI126" s="164">
        <f>IFERROR(INDEX(DC$106:DC$154,_xlfn.AGGREGATE(15,6,(ROW(DC$106:DC$154)-ROW(DC$106)+1)/(DC$106:DC$154&lt;&gt;""),ROWS(DI$1:DI21))),"")</f>
        <v>21</v>
      </c>
      <c r="DJ126" s="165">
        <f>IFERROR(INDEX(DD$106:DD$154,_xlfn.AGGREGATE(15,6,(ROW(DD$106:DD$154)-ROW(DD$106)+1)/(DD$106:DD$154&lt;&gt;""),ROWS(DJ$1:DJ21))),"")</f>
        <v>588.01165052612464</v>
      </c>
      <c r="DK126" s="166">
        <f t="shared" si="50"/>
        <v>126</v>
      </c>
      <c r="DL126" s="164">
        <f>IFERROR(INDEX(DE$106:DE$154,_xlfn.AGGREGATE(15,6,(ROW(DE$106:DE$154)-ROW(DE$106)+1)/(DE$106:DE$154&lt;&gt;""),ROWS(DL$1:DL21))),"")</f>
        <v>21</v>
      </c>
      <c r="DM126" s="165">
        <f>IFERROR(INDEX(DF$106:DF$154,_xlfn.AGGREGATE(15,6,(ROW(DF$106:DF$154)-ROW(DF$106)+1)/(DF$106:DF$154&lt;&gt;""),ROWS(DM$1:DM21))),"")</f>
        <v>679.49186697995685</v>
      </c>
      <c r="DN126" s="166">
        <f t="shared" si="51"/>
        <v>126</v>
      </c>
      <c r="DO126" s="164">
        <f>IFERROR(INDEX(DG$106:DG$154,_xlfn.AGGREGATE(15,6,(ROW(DG$106:DG$154)-ROW(DG$106)+1)/(DG$106:DG$154&lt;&gt;""),ROWS(DO$1:DO21))),"")</f>
        <v>21</v>
      </c>
      <c r="DP126" s="165">
        <f>IFERROR(INDEX(DH$106:DH$154,_xlfn.AGGREGATE(15,6,(ROW(DH$106:DH$154)-ROW(DH$106)+1)/(DH$106:DH$154&lt;&gt;""),ROWS(DP$1:DP21))),"")</f>
        <v>770.97208343378907</v>
      </c>
      <c r="DQ126" s="166">
        <f t="shared" si="52"/>
        <v>126</v>
      </c>
      <c r="DV126" s="145">
        <v>2035</v>
      </c>
      <c r="DW126" s="235">
        <f t="shared" ca="1" si="37"/>
        <v>679.27867389579865</v>
      </c>
    </row>
    <row r="127" spans="1:135" ht="13.8" x14ac:dyDescent="0.45">
      <c r="B127" s="128">
        <v>2033</v>
      </c>
      <c r="C127" s="175">
        <f>'Total MSW Summaries (Archive)'!D24</f>
        <v>584.4044155198003</v>
      </c>
      <c r="D127" s="159">
        <f>'Total MSW Summaries (Archive)'!P24</f>
        <v>669.5852431602375</v>
      </c>
      <c r="E127" s="151">
        <f>'Total MSW Summaries (Archive)'!AB24</f>
        <v>807.49399999999969</v>
      </c>
      <c r="F127" s="152">
        <f>'Total MSW Summaries (Archive)'!AN24</f>
        <v>728.31685300324853</v>
      </c>
      <c r="G127" s="159">
        <f>'Total MSW Summaries (Archive)'!AZ24</f>
        <v>567.7027027027026</v>
      </c>
      <c r="H127" s="204"/>
      <c r="I127" s="206"/>
      <c r="J127" s="207"/>
      <c r="K127" s="204"/>
      <c r="L127" s="206"/>
      <c r="M127" s="204"/>
      <c r="N127" s="29" t="s">
        <v>119</v>
      </c>
      <c r="O127" s="120"/>
      <c r="P127" s="120"/>
      <c r="Q127" s="120"/>
      <c r="R127" s="29">
        <v>19</v>
      </c>
      <c r="S127" s="154">
        <f t="shared" si="38"/>
        <v>567.7027027027026</v>
      </c>
      <c r="T127" s="154">
        <f t="shared" si="39"/>
        <v>807.49399999999969</v>
      </c>
      <c r="U127" s="154">
        <f t="shared" si="40"/>
        <v>89.538493258545515</v>
      </c>
      <c r="W127" s="154">
        <f t="shared" si="41"/>
        <v>581.96214961865223</v>
      </c>
      <c r="X127" s="154">
        <f t="shared" si="42"/>
        <v>671.50064287719772</v>
      </c>
      <c r="Y127" s="154">
        <f t="shared" si="43"/>
        <v>761.03913613574321</v>
      </c>
      <c r="AA127" s="89"/>
      <c r="AB127" s="89"/>
      <c r="AC127" s="89"/>
      <c r="AD127" s="89"/>
      <c r="AE127" s="89"/>
      <c r="AF127" s="89"/>
      <c r="AG127" s="89"/>
      <c r="AH127" s="89"/>
      <c r="AI127" s="89"/>
      <c r="AJ127" s="89"/>
      <c r="AK127" s="89"/>
      <c r="AL127" s="89"/>
      <c r="AM127" s="89"/>
      <c r="AN127" s="89"/>
      <c r="BR127" s="180">
        <v>2031</v>
      </c>
      <c r="BS127" s="22">
        <v>17</v>
      </c>
      <c r="BT127" s="181">
        <f t="shared" si="54"/>
        <v>69.442247544425854</v>
      </c>
      <c r="BU127" s="182">
        <f t="shared" si="55"/>
        <v>592.00614409760874</v>
      </c>
      <c r="BV127" s="205">
        <f t="shared" si="56"/>
        <v>661.44839164203461</v>
      </c>
      <c r="BY127" s="180">
        <v>2031</v>
      </c>
      <c r="BZ127" s="22">
        <v>17</v>
      </c>
      <c r="CA127" s="198">
        <f t="shared" ca="1" si="57"/>
        <v>-6.7662464873273018</v>
      </c>
      <c r="CB127" s="198">
        <f t="shared" ca="1" si="58"/>
        <v>82.178711520571341</v>
      </c>
      <c r="CC127" s="186">
        <f t="shared" ca="1" si="69"/>
        <v>587.88552339944408</v>
      </c>
      <c r="CD127" s="205">
        <f t="shared" ca="1" si="59"/>
        <v>663.29798843268816</v>
      </c>
      <c r="CG127" s="180">
        <v>2031</v>
      </c>
      <c r="CH127" s="22">
        <v>17</v>
      </c>
      <c r="CI127" s="198">
        <f t="shared" ca="1" si="60"/>
        <v>-1.6809732083086155</v>
      </c>
      <c r="CJ127" s="198">
        <f t="shared" ca="1" si="61"/>
        <v>-2.019969193279441</v>
      </c>
      <c r="CK127" s="198">
        <f t="shared" ca="1" si="62"/>
        <v>78.548042051276425</v>
      </c>
      <c r="CL127" s="186">
        <f t="shared" ca="1" si="63"/>
        <v>588.49974751985019</v>
      </c>
      <c r="CM127" s="205">
        <f t="shared" ca="1" si="64"/>
        <v>663.34684716953859</v>
      </c>
      <c r="CP127" s="180">
        <v>2031</v>
      </c>
      <c r="CQ127" s="22">
        <v>17</v>
      </c>
      <c r="CR127" s="198">
        <f t="shared" ca="1" si="65"/>
        <v>593.97870804003173</v>
      </c>
      <c r="CS127" s="186">
        <f t="shared" ca="1" si="66"/>
        <v>1.1119044314469289</v>
      </c>
      <c r="CT127" s="205">
        <f t="shared" ca="1" si="67"/>
        <v>660.44755765483285</v>
      </c>
      <c r="CZ127" s="164" t="b">
        <f t="shared" si="44"/>
        <v>1</v>
      </c>
      <c r="DA127" s="165" t="b">
        <f t="shared" si="44"/>
        <v>1</v>
      </c>
      <c r="DB127" s="166" t="b">
        <f t="shared" si="44"/>
        <v>1</v>
      </c>
      <c r="DC127" s="164">
        <f t="shared" si="53"/>
        <v>19</v>
      </c>
      <c r="DD127" s="166">
        <f t="shared" si="45"/>
        <v>581.96214961865223</v>
      </c>
      <c r="DE127" s="164">
        <f t="shared" si="46"/>
        <v>19</v>
      </c>
      <c r="DF127" s="166">
        <f t="shared" si="47"/>
        <v>671.50064287719772</v>
      </c>
      <c r="DG127" s="164">
        <f t="shared" si="48"/>
        <v>19</v>
      </c>
      <c r="DH127" s="166">
        <f t="shared" si="49"/>
        <v>761.03913613574321</v>
      </c>
      <c r="DI127" s="164">
        <f>IFERROR(INDEX(DC$106:DC$154,_xlfn.AGGREGATE(15,6,(ROW(DC$106:DC$154)-ROW(DC$106)+1)/(DC$106:DC$154&lt;&gt;""),ROWS(DI$1:DI22))),"")</f>
        <v>22</v>
      </c>
      <c r="DJ127" s="165">
        <f>IFERROR(INDEX(DD$106:DD$154,_xlfn.AGGREGATE(15,6,(ROW(DD$106:DD$154)-ROW(DD$106)+1)/(DD$106:DD$154&lt;&gt;""),ROWS(DJ$1:DJ22))),"")</f>
        <v>590.74308613800633</v>
      </c>
      <c r="DK127" s="166">
        <f t="shared" si="50"/>
        <v>127</v>
      </c>
      <c r="DL127" s="164">
        <f>IFERROR(INDEX(DE$106:DE$154,_xlfn.AGGREGATE(15,6,(ROW(DE$106:DE$154)-ROW(DE$106)+1)/(DE$106:DE$154&lt;&gt;""),ROWS(DL$1:DL22))),"")</f>
        <v>22</v>
      </c>
      <c r="DM127" s="165">
        <f>IFERROR(INDEX(DF$106:DF$154,_xlfn.AGGREGATE(15,6,(ROW(DF$106:DF$154)-ROW(DF$106)+1)/(DF$106:DF$154&lt;&gt;""),ROWS(DM$1:DM22))),"")</f>
        <v>683.03565128760897</v>
      </c>
      <c r="DN127" s="166">
        <f t="shared" si="51"/>
        <v>127</v>
      </c>
      <c r="DO127" s="164">
        <f>IFERROR(INDEX(DG$106:DG$154,_xlfn.AGGREGATE(15,6,(ROW(DG$106:DG$154)-ROW(DG$106)+1)/(DG$106:DG$154&lt;&gt;""),ROWS(DO$1:DO22))),"")</f>
        <v>22</v>
      </c>
      <c r="DP127" s="165">
        <f>IFERROR(INDEX(DH$106:DH$154,_xlfn.AGGREGATE(15,6,(ROW(DH$106:DH$154)-ROW(DH$106)+1)/(DH$106:DH$154&lt;&gt;""),ROWS(DP$1:DP22))),"")</f>
        <v>775.32821643721161</v>
      </c>
      <c r="DQ127" s="166">
        <f t="shared" si="52"/>
        <v>127</v>
      </c>
      <c r="DV127" s="145">
        <v>2036</v>
      </c>
      <c r="DW127" s="235">
        <f t="shared" ca="1" si="37"/>
        <v>683.12403860831796</v>
      </c>
    </row>
    <row r="128" spans="1:135" ht="13.8" x14ac:dyDescent="0.45">
      <c r="B128" s="128">
        <v>2034</v>
      </c>
      <c r="C128" s="175">
        <f>'Total MSW Summaries (Archive)'!D25</f>
        <v>587.35109033037872</v>
      </c>
      <c r="D128" s="159">
        <f>'Total MSW Summaries (Archive)'!P25</f>
        <v>670.76935868098178</v>
      </c>
      <c r="E128" s="151">
        <f>'Total MSW Summaries (Archive)'!AB25</f>
        <v>814.97999999999968</v>
      </c>
      <c r="F128" s="152">
        <f>'Total MSW Summaries (Archive)'!AN25</f>
        <v>730.98681600425755</v>
      </c>
      <c r="G128" s="159">
        <f>'Total MSW Summaries (Archive)'!AZ25</f>
        <v>572.8378378378377</v>
      </c>
      <c r="H128" s="204"/>
      <c r="I128" s="206"/>
      <c r="J128" s="207"/>
      <c r="K128" s="204"/>
      <c r="L128" s="206"/>
      <c r="M128" s="204"/>
      <c r="N128" s="29" t="s">
        <v>119</v>
      </c>
      <c r="O128" s="120"/>
      <c r="P128" s="120"/>
      <c r="Q128" s="120"/>
      <c r="R128" s="29">
        <v>20</v>
      </c>
      <c r="S128" s="154">
        <f t="shared" si="38"/>
        <v>572.8378378378377</v>
      </c>
      <c r="T128" s="154">
        <f t="shared" si="39"/>
        <v>814.97999999999968</v>
      </c>
      <c r="U128" s="154">
        <f t="shared" si="40"/>
        <v>90.40522090232038</v>
      </c>
      <c r="W128" s="154">
        <f t="shared" si="41"/>
        <v>584.97979966837067</v>
      </c>
      <c r="X128" s="154">
        <f t="shared" si="42"/>
        <v>675.38502057069104</v>
      </c>
      <c r="Y128" s="154">
        <f t="shared" si="43"/>
        <v>765.79024147301141</v>
      </c>
      <c r="AA128" s="89"/>
      <c r="AB128" s="89"/>
      <c r="AC128" s="89"/>
      <c r="AD128" s="89"/>
      <c r="AE128" s="89"/>
      <c r="AF128" s="89"/>
      <c r="AG128" s="89"/>
      <c r="AH128" s="89"/>
      <c r="AI128" s="89"/>
      <c r="AJ128" s="89"/>
      <c r="AK128" s="89"/>
      <c r="AL128" s="89"/>
      <c r="AM128" s="89"/>
      <c r="AN128" s="89"/>
      <c r="BR128" s="180">
        <v>2032</v>
      </c>
      <c r="BS128" s="22">
        <v>18</v>
      </c>
      <c r="BT128" s="181">
        <f t="shared" si="54"/>
        <v>73.527085635274432</v>
      </c>
      <c r="BU128" s="182">
        <f t="shared" si="55"/>
        <v>592.00614409760874</v>
      </c>
      <c r="BV128" s="205">
        <f t="shared" si="56"/>
        <v>665.53322973288323</v>
      </c>
      <c r="BY128" s="180">
        <v>2032</v>
      </c>
      <c r="BZ128" s="22">
        <v>18</v>
      </c>
      <c r="CA128" s="198">
        <f t="shared" ca="1" si="57"/>
        <v>-7.5856881034396046</v>
      </c>
      <c r="CB128" s="198">
        <f t="shared" ca="1" si="58"/>
        <v>87.012753374722593</v>
      </c>
      <c r="CC128" s="186">
        <f t="shared" ca="1" si="69"/>
        <v>587.88552339944408</v>
      </c>
      <c r="CD128" s="205">
        <f t="shared" ca="1" si="59"/>
        <v>667.31258867072711</v>
      </c>
      <c r="CG128" s="180">
        <v>2032</v>
      </c>
      <c r="CH128" s="22">
        <v>18</v>
      </c>
      <c r="CI128" s="198">
        <f t="shared" ca="1" si="60"/>
        <v>-1.9954072360789425</v>
      </c>
      <c r="CJ128" s="198">
        <f t="shared" ca="1" si="61"/>
        <v>-2.2646021405624186</v>
      </c>
      <c r="CK128" s="198">
        <f t="shared" ca="1" si="62"/>
        <v>83.168515113116214</v>
      </c>
      <c r="CL128" s="186">
        <f t="shared" ca="1" si="63"/>
        <v>588.49974751985019</v>
      </c>
      <c r="CM128" s="205">
        <f t="shared" ca="1" si="64"/>
        <v>667.408253256325</v>
      </c>
      <c r="CP128" s="180">
        <v>2032</v>
      </c>
      <c r="CQ128" s="22">
        <v>18</v>
      </c>
      <c r="CR128" s="198">
        <f t="shared" ca="1" si="65"/>
        <v>593.97870804003173</v>
      </c>
      <c r="CS128" s="186">
        <f t="shared" ca="1" si="66"/>
        <v>1.1188640291485992</v>
      </c>
      <c r="CT128" s="205">
        <f t="shared" ca="1" si="67"/>
        <v>664.58141050614938</v>
      </c>
      <c r="CZ128" s="164" t="b">
        <f t="shared" si="44"/>
        <v>1</v>
      </c>
      <c r="DA128" s="165" t="b">
        <f t="shared" si="44"/>
        <v>1</v>
      </c>
      <c r="DB128" s="166" t="b">
        <f t="shared" si="44"/>
        <v>1</v>
      </c>
      <c r="DC128" s="164">
        <f t="shared" si="53"/>
        <v>20</v>
      </c>
      <c r="DD128" s="166">
        <f t="shared" si="45"/>
        <v>584.97979966837067</v>
      </c>
      <c r="DE128" s="164">
        <f t="shared" si="46"/>
        <v>20</v>
      </c>
      <c r="DF128" s="166">
        <f t="shared" si="47"/>
        <v>675.38502057069104</v>
      </c>
      <c r="DG128" s="164">
        <f t="shared" si="48"/>
        <v>20</v>
      </c>
      <c r="DH128" s="166">
        <f t="shared" si="49"/>
        <v>765.79024147301141</v>
      </c>
      <c r="DI128" s="164">
        <f>IFERROR(INDEX(DC$106:DC$154,_xlfn.AGGREGATE(15,6,(ROW(DC$106:DC$154)-ROW(DC$106)+1)/(DC$106:DC$154&lt;&gt;""),ROWS(DI$1:DI23))),"")</f>
        <v>23</v>
      </c>
      <c r="DJ128" s="165">
        <f>IFERROR(INDEX(DD$106:DD$154,_xlfn.AGGREGATE(15,6,(ROW(DD$106:DD$154)-ROW(DD$106)+1)/(DD$106:DD$154&lt;&gt;""),ROWS(DJ$1:DJ23))),"")</f>
        <v>593.48677152315315</v>
      </c>
      <c r="DK128" s="166">
        <f t="shared" si="50"/>
        <v>128</v>
      </c>
      <c r="DL128" s="164">
        <f>IFERROR(INDEX(DE$106:DE$154,_xlfn.AGGREGATE(15,6,(ROW(DE$106:DE$154)-ROW(DE$106)+1)/(DE$106:DE$154&lt;&gt;""),ROWS(DL$1:DL23))),"")</f>
        <v>23</v>
      </c>
      <c r="DM128" s="165">
        <f>IFERROR(INDEX(DF$106:DF$154,_xlfn.AGGREGATE(15,6,(ROW(DF$106:DF$154)-ROW(DF$106)+1)/(DF$106:DF$154&lt;&gt;""),ROWS(DM$1:DM23))),"")</f>
        <v>686.80012007031905</v>
      </c>
      <c r="DN128" s="166">
        <f t="shared" si="51"/>
        <v>128</v>
      </c>
      <c r="DO128" s="164">
        <f>IFERROR(INDEX(DG$106:DG$154,_xlfn.AGGREGATE(15,6,(ROW(DG$106:DG$154)-ROW(DG$106)+1)/(DG$106:DG$154&lt;&gt;""),ROWS(DO$1:DO23))),"")</f>
        <v>23</v>
      </c>
      <c r="DP128" s="165">
        <f>IFERROR(INDEX(DH$106:DH$154,_xlfn.AGGREGATE(15,6,(ROW(DH$106:DH$154)-ROW(DH$106)+1)/(DH$106:DH$154&lt;&gt;""),ROWS(DP$1:DP23))),"")</f>
        <v>780.11346861748495</v>
      </c>
      <c r="DQ128" s="166">
        <f t="shared" si="52"/>
        <v>128</v>
      </c>
      <c r="DV128" s="145">
        <v>2037</v>
      </c>
      <c r="DW128" s="235">
        <f t="shared" ca="1" si="37"/>
        <v>686.91026075701313</v>
      </c>
    </row>
    <row r="129" spans="2:135" ht="13.8" x14ac:dyDescent="0.45">
      <c r="B129" s="128">
        <v>2035</v>
      </c>
      <c r="C129" s="175">
        <f>'Total MSW Summaries (Archive)'!D26</f>
        <v>590.24063677540914</v>
      </c>
      <c r="D129" s="159">
        <f>'Total MSW Summaries (Archive)'!P26</f>
        <v>671.86645080800031</v>
      </c>
      <c r="E129" s="151">
        <f>'Total MSW Summaries (Archive)'!AB26</f>
        <v>822.46599999999967</v>
      </c>
      <c r="F129" s="152">
        <f>'Total MSW Summaries (Archive)'!AN26</f>
        <v>734.91327434340235</v>
      </c>
      <c r="G129" s="159">
        <f>'Total MSW Summaries (Archive)'!AZ26</f>
        <v>577.9729729729728</v>
      </c>
      <c r="H129" s="204"/>
      <c r="I129" s="206"/>
      <c r="J129" s="207"/>
      <c r="K129" s="204"/>
      <c r="L129" s="206"/>
      <c r="M129" s="204"/>
      <c r="N129" s="29" t="s">
        <v>119</v>
      </c>
      <c r="O129" s="120"/>
      <c r="P129" s="120"/>
      <c r="Q129" s="120"/>
      <c r="R129" s="29">
        <v>21</v>
      </c>
      <c r="S129" s="154">
        <f t="shared" si="38"/>
        <v>577.9729729729728</v>
      </c>
      <c r="T129" s="154">
        <f t="shared" si="39"/>
        <v>822.46599999999967</v>
      </c>
      <c r="U129" s="154">
        <f t="shared" si="40"/>
        <v>91.480216453832185</v>
      </c>
      <c r="W129" s="154">
        <f t="shared" si="41"/>
        <v>588.01165052612464</v>
      </c>
      <c r="X129" s="154">
        <f t="shared" si="42"/>
        <v>679.49186697995685</v>
      </c>
      <c r="Y129" s="154">
        <f t="shared" si="43"/>
        <v>770.97208343378907</v>
      </c>
      <c r="AA129" s="89"/>
      <c r="AB129" s="89"/>
      <c r="AC129" s="89"/>
      <c r="AD129" s="89"/>
      <c r="AE129" s="89"/>
      <c r="AF129" s="89"/>
      <c r="AG129" s="89"/>
      <c r="AH129" s="89"/>
      <c r="AI129" s="89"/>
      <c r="AJ129" s="89"/>
      <c r="AK129" s="89"/>
      <c r="AL129" s="89"/>
      <c r="AM129" s="89"/>
      <c r="AN129" s="89"/>
      <c r="BR129" s="180">
        <v>2033</v>
      </c>
      <c r="BS129" s="22">
        <v>19</v>
      </c>
      <c r="BT129" s="181">
        <f t="shared" si="54"/>
        <v>77.61192372612301</v>
      </c>
      <c r="BU129" s="182">
        <f t="shared" si="55"/>
        <v>592.00614409760874</v>
      </c>
      <c r="BV129" s="205">
        <f t="shared" si="56"/>
        <v>669.61806782373174</v>
      </c>
      <c r="BY129" s="180">
        <v>2033</v>
      </c>
      <c r="BZ129" s="22">
        <v>19</v>
      </c>
      <c r="CA129" s="198">
        <f t="shared" ca="1" si="57"/>
        <v>-8.4519549547583246</v>
      </c>
      <c r="CB129" s="198">
        <f t="shared" ca="1" si="58"/>
        <v>91.846795228873859</v>
      </c>
      <c r="CC129" s="186">
        <f t="shared" ca="1" si="69"/>
        <v>587.88552339944408</v>
      </c>
      <c r="CD129" s="205">
        <f t="shared" ca="1" si="59"/>
        <v>671.28036367355958</v>
      </c>
      <c r="CG129" s="180">
        <v>2033</v>
      </c>
      <c r="CH129" s="22">
        <v>19</v>
      </c>
      <c r="CI129" s="198">
        <f t="shared" ca="1" si="60"/>
        <v>-2.3467932497025834</v>
      </c>
      <c r="CJ129" s="198">
        <f t="shared" ca="1" si="61"/>
        <v>-2.523214113404423</v>
      </c>
      <c r="CK129" s="198">
        <f t="shared" ca="1" si="62"/>
        <v>87.788988174956003</v>
      </c>
      <c r="CL129" s="186">
        <f t="shared" ca="1" si="63"/>
        <v>588.49974751985019</v>
      </c>
      <c r="CM129" s="205">
        <f t="shared" ca="1" si="64"/>
        <v>671.41872833169919</v>
      </c>
      <c r="CP129" s="180">
        <v>2033</v>
      </c>
      <c r="CQ129" s="22">
        <v>19</v>
      </c>
      <c r="CR129" s="198">
        <f t="shared" ca="1" si="65"/>
        <v>593.97870804003173</v>
      </c>
      <c r="CS129" s="186">
        <f t="shared" ca="1" si="66"/>
        <v>1.1258671881481648</v>
      </c>
      <c r="CT129" s="205">
        <f t="shared" ca="1" si="67"/>
        <v>668.74113784091026</v>
      </c>
      <c r="CZ129" s="164" t="b">
        <f t="shared" si="44"/>
        <v>1</v>
      </c>
      <c r="DA129" s="165" t="b">
        <f t="shared" si="44"/>
        <v>1</v>
      </c>
      <c r="DB129" s="166" t="b">
        <f t="shared" si="44"/>
        <v>1</v>
      </c>
      <c r="DC129" s="164">
        <f t="shared" si="53"/>
        <v>21</v>
      </c>
      <c r="DD129" s="166">
        <f t="shared" si="45"/>
        <v>588.01165052612464</v>
      </c>
      <c r="DE129" s="164">
        <f t="shared" si="46"/>
        <v>21</v>
      </c>
      <c r="DF129" s="166">
        <f t="shared" si="47"/>
        <v>679.49186697995685</v>
      </c>
      <c r="DG129" s="164">
        <f t="shared" si="48"/>
        <v>21</v>
      </c>
      <c r="DH129" s="166">
        <f t="shared" si="49"/>
        <v>770.97208343378907</v>
      </c>
      <c r="DI129" s="164">
        <f>IFERROR(INDEX(DC$106:DC$154,_xlfn.AGGREGATE(15,6,(ROW(DC$106:DC$154)-ROW(DC$106)+1)/(DC$106:DC$154&lt;&gt;""),ROWS(DI$1:DI24))),"")</f>
        <v>24</v>
      </c>
      <c r="DJ129" s="165">
        <f>IFERROR(INDEX(DD$106:DD$154,_xlfn.AGGREGATE(15,6,(ROW(DD$106:DD$154)-ROW(DD$106)+1)/(DD$106:DD$154&lt;&gt;""),ROWS(DJ$1:DJ24))),"")</f>
        <v>596.13887659322052</v>
      </c>
      <c r="DK129" s="166">
        <f t="shared" si="50"/>
        <v>129</v>
      </c>
      <c r="DL129" s="164">
        <f>IFERROR(INDEX(DE$106:DE$154,_xlfn.AGGREGATE(15,6,(ROW(DE$106:DE$154)-ROW(DE$106)+1)/(DE$106:DE$154&lt;&gt;""),ROWS(DL$1:DL24))),"")</f>
        <v>24</v>
      </c>
      <c r="DM129" s="165">
        <f>IFERROR(INDEX(DF$106:DF$154,_xlfn.AGGREGATE(15,6,(ROW(DF$106:DF$154)-ROW(DF$106)+1)/(DF$106:DF$154&lt;&gt;""),ROWS(DM$1:DM24))),"")</f>
        <v>690.52426174084758</v>
      </c>
      <c r="DN129" s="166">
        <f t="shared" si="51"/>
        <v>129</v>
      </c>
      <c r="DO129" s="164">
        <f>IFERROR(INDEX(DG$106:DG$154,_xlfn.AGGREGATE(15,6,(ROW(DG$106:DG$154)-ROW(DG$106)+1)/(DG$106:DG$154&lt;&gt;""),ROWS(DO$1:DO24))),"")</f>
        <v>24</v>
      </c>
      <c r="DP129" s="165">
        <f>IFERROR(INDEX(DH$106:DH$154,_xlfn.AGGREGATE(15,6,(ROW(DH$106:DH$154)-ROW(DH$106)+1)/(DH$106:DH$154&lt;&gt;""),ROWS(DP$1:DP24))),"")</f>
        <v>784.90964688847464</v>
      </c>
      <c r="DQ129" s="166">
        <f t="shared" si="52"/>
        <v>129</v>
      </c>
      <c r="DV129" s="145">
        <v>2038</v>
      </c>
      <c r="DW129" s="235">
        <f t="shared" ca="1" si="37"/>
        <v>690.63528745378107</v>
      </c>
    </row>
    <row r="130" spans="2:135" ht="13.8" x14ac:dyDescent="0.45">
      <c r="B130" s="128">
        <v>2036</v>
      </c>
      <c r="C130" s="175">
        <f>'Total MSW Summaries (Archive)'!D27</f>
        <v>593.07268890717944</v>
      </c>
      <c r="D130" s="159">
        <f>'Total MSW Summaries (Archive)'!P27</f>
        <v>672.87674397894307</v>
      </c>
      <c r="E130" s="151">
        <f>'Total MSW Summaries (Archive)'!AB27</f>
        <v>829.95199999999966</v>
      </c>
      <c r="F130" s="152">
        <f>'Total MSW Summaries (Archive)'!AN27</f>
        <v>736.16871544381502</v>
      </c>
      <c r="G130" s="159">
        <f>'Total MSW Summaries (Archive)'!AZ27</f>
        <v>583.1081081081079</v>
      </c>
      <c r="H130" s="204"/>
      <c r="I130" s="206"/>
      <c r="J130" s="207"/>
      <c r="K130" s="204"/>
      <c r="L130" s="206"/>
      <c r="M130" s="204"/>
      <c r="N130" s="29" t="s">
        <v>119</v>
      </c>
      <c r="O130" s="120"/>
      <c r="P130" s="120"/>
      <c r="Q130" s="120"/>
      <c r="R130" s="29">
        <v>22</v>
      </c>
      <c r="S130" s="154">
        <f t="shared" si="38"/>
        <v>583.1081081081079</v>
      </c>
      <c r="T130" s="154">
        <f t="shared" si="39"/>
        <v>829.95199999999966</v>
      </c>
      <c r="U130" s="154">
        <f t="shared" si="40"/>
        <v>92.292565149602666</v>
      </c>
      <c r="W130" s="154">
        <f t="shared" si="41"/>
        <v>590.74308613800633</v>
      </c>
      <c r="X130" s="154">
        <f t="shared" si="42"/>
        <v>683.03565128760897</v>
      </c>
      <c r="Y130" s="154">
        <f t="shared" si="43"/>
        <v>775.32821643721161</v>
      </c>
      <c r="AA130" s="89"/>
      <c r="AB130" s="89"/>
      <c r="AC130" s="89"/>
      <c r="AD130" s="89"/>
      <c r="AE130" s="89"/>
      <c r="AF130" s="89"/>
      <c r="AG130" s="89"/>
      <c r="AH130" s="89"/>
      <c r="AI130" s="89"/>
      <c r="AJ130" s="89"/>
      <c r="AK130" s="89"/>
      <c r="AL130" s="89"/>
      <c r="AM130" s="89"/>
      <c r="AN130" s="89"/>
      <c r="BR130" s="180">
        <v>2034</v>
      </c>
      <c r="BS130" s="22">
        <v>20</v>
      </c>
      <c r="BT130" s="181">
        <f t="shared" si="54"/>
        <v>81.696761816971588</v>
      </c>
      <c r="BU130" s="182">
        <f t="shared" si="55"/>
        <v>592.00614409760874</v>
      </c>
      <c r="BV130" s="205">
        <f t="shared" si="56"/>
        <v>673.70290591458036</v>
      </c>
      <c r="BY130" s="180">
        <v>2034</v>
      </c>
      <c r="BZ130" s="22">
        <v>20</v>
      </c>
      <c r="CA130" s="198">
        <f t="shared" ca="1" si="57"/>
        <v>-9.3650470412834625</v>
      </c>
      <c r="CB130" s="198">
        <f t="shared" ca="1" si="58"/>
        <v>96.680837083025111</v>
      </c>
      <c r="CC130" s="186">
        <f t="shared" ca="1" si="69"/>
        <v>587.88552339944408</v>
      </c>
      <c r="CD130" s="205">
        <f t="shared" ca="1" si="59"/>
        <v>675.20131344118568</v>
      </c>
      <c r="CG130" s="180">
        <v>2034</v>
      </c>
      <c r="CH130" s="22">
        <v>20</v>
      </c>
      <c r="CI130" s="198">
        <f t="shared" ca="1" si="60"/>
        <v>-2.7371841372825001</v>
      </c>
      <c r="CJ130" s="198">
        <f t="shared" ca="1" si="61"/>
        <v>-2.7958051118054552</v>
      </c>
      <c r="CK130" s="198">
        <f t="shared" ca="1" si="62"/>
        <v>92.409461236795792</v>
      </c>
      <c r="CL130" s="186">
        <f t="shared" ca="1" si="63"/>
        <v>588.49974751985019</v>
      </c>
      <c r="CM130" s="205">
        <f t="shared" ca="1" si="64"/>
        <v>675.37621950755806</v>
      </c>
      <c r="CP130" s="180">
        <v>2034</v>
      </c>
      <c r="CQ130" s="22">
        <v>20</v>
      </c>
      <c r="CR130" s="198">
        <f t="shared" ca="1" si="65"/>
        <v>593.97870804003173</v>
      </c>
      <c r="CS130" s="186">
        <f t="shared" ca="1" si="66"/>
        <v>1.1329141811031487</v>
      </c>
      <c r="CT130" s="205">
        <f t="shared" ca="1" si="67"/>
        <v>672.92690161187875</v>
      </c>
      <c r="CZ130" s="164" t="b">
        <f t="shared" si="44"/>
        <v>1</v>
      </c>
      <c r="DA130" s="165" t="b">
        <f t="shared" si="44"/>
        <v>1</v>
      </c>
      <c r="DB130" s="166" t="b">
        <f t="shared" si="44"/>
        <v>1</v>
      </c>
      <c r="DC130" s="164">
        <f t="shared" si="53"/>
        <v>22</v>
      </c>
      <c r="DD130" s="166">
        <f t="shared" si="45"/>
        <v>590.74308613800633</v>
      </c>
      <c r="DE130" s="164">
        <f t="shared" si="46"/>
        <v>22</v>
      </c>
      <c r="DF130" s="166">
        <f t="shared" si="47"/>
        <v>683.03565128760897</v>
      </c>
      <c r="DG130" s="164">
        <f t="shared" si="48"/>
        <v>22</v>
      </c>
      <c r="DH130" s="166">
        <f t="shared" si="49"/>
        <v>775.32821643721161</v>
      </c>
      <c r="DI130" s="164">
        <f>IFERROR(INDEX(DC$106:DC$154,_xlfn.AGGREGATE(15,6,(ROW(DC$106:DC$154)-ROW(DC$106)+1)/(DC$106:DC$154&lt;&gt;""),ROWS(DI$1:DI25))),"")</f>
        <v>25</v>
      </c>
      <c r="DJ130" s="165">
        <f>IFERROR(INDEX(DD$106:DD$154,_xlfn.AGGREGATE(15,6,(ROW(DD$106:DD$154)-ROW(DD$106)+1)/(DD$106:DD$154&lt;&gt;""),ROWS(DJ$1:DJ25))),"")</f>
        <v>598.70076029281574</v>
      </c>
      <c r="DK130" s="166">
        <f t="shared" si="50"/>
        <v>130</v>
      </c>
      <c r="DL130" s="164">
        <f>IFERROR(INDEX(DE$106:DE$154,_xlfn.AGGREGATE(15,6,(ROW(DE$106:DE$154)-ROW(DE$106)+1)/(DE$106:DE$154&lt;&gt;""),ROWS(DL$1:DL25))),"")</f>
        <v>25</v>
      </c>
      <c r="DM130" s="165">
        <f>IFERROR(INDEX(DF$106:DF$154,_xlfn.AGGREGATE(15,6,(ROW(DF$106:DF$154)-ROW(DF$106)+1)/(DF$106:DF$154&lt;&gt;""),ROWS(DM$1:DM25))),"")</f>
        <v>694.20905988689663</v>
      </c>
      <c r="DN130" s="166">
        <f t="shared" si="51"/>
        <v>130</v>
      </c>
      <c r="DO130" s="164">
        <f>IFERROR(INDEX(DG$106:DG$154,_xlfn.AGGREGATE(15,6,(ROW(DG$106:DG$154)-ROW(DG$106)+1)/(DG$106:DG$154&lt;&gt;""),ROWS(DO$1:DO25))),"")</f>
        <v>25</v>
      </c>
      <c r="DP130" s="165">
        <f>IFERROR(INDEX(DH$106:DH$154,_xlfn.AGGREGATE(15,6,(ROW(DH$106:DH$154)-ROW(DH$106)+1)/(DH$106:DH$154&lt;&gt;""),ROWS(DP$1:DP25))),"")</f>
        <v>789.71735948097751</v>
      </c>
      <c r="DQ130" s="166">
        <f t="shared" si="52"/>
        <v>130</v>
      </c>
      <c r="DV130" s="145">
        <v>2039</v>
      </c>
      <c r="DW130" s="235">
        <f t="shared" ca="1" si="37"/>
        <v>694.29706581051903</v>
      </c>
    </row>
    <row r="131" spans="2:135" ht="13.8" x14ac:dyDescent="0.45">
      <c r="B131" s="128">
        <v>2037</v>
      </c>
      <c r="C131" s="175">
        <f>'Total MSW Summaries (Archive)'!D28</f>
        <v>595.84803543121325</v>
      </c>
      <c r="D131" s="159">
        <f>'Total MSW Summaries (Archive)'!P28</f>
        <v>673.80177380894736</v>
      </c>
      <c r="E131" s="151">
        <f>'Total MSW Summaries (Archive)'!AB28</f>
        <v>837.43799999999965</v>
      </c>
      <c r="F131" s="152">
        <f>'Total MSW Summaries (Archive)'!AN28</f>
        <v>738.66954786819213</v>
      </c>
      <c r="G131" s="159">
        <f>'Total MSW Summaries (Archive)'!AZ28</f>
        <v>588.243243243243</v>
      </c>
      <c r="H131" s="204"/>
      <c r="I131" s="206"/>
      <c r="J131" s="207"/>
      <c r="K131" s="204"/>
      <c r="L131" s="206"/>
      <c r="M131" s="204"/>
      <c r="N131" s="29" t="s">
        <v>119</v>
      </c>
      <c r="O131" s="120"/>
      <c r="P131" s="120"/>
      <c r="Q131" s="120"/>
      <c r="R131" s="29">
        <v>23</v>
      </c>
      <c r="S131" s="154">
        <f t="shared" si="38"/>
        <v>588.243243243243</v>
      </c>
      <c r="T131" s="154">
        <f t="shared" si="39"/>
        <v>837.43799999999965</v>
      </c>
      <c r="U131" s="154">
        <f t="shared" si="40"/>
        <v>93.313348547165887</v>
      </c>
      <c r="W131" s="154">
        <f t="shared" si="41"/>
        <v>593.48677152315315</v>
      </c>
      <c r="X131" s="154">
        <f t="shared" si="42"/>
        <v>686.80012007031905</v>
      </c>
      <c r="Y131" s="154">
        <f t="shared" si="43"/>
        <v>780.11346861748495</v>
      </c>
      <c r="AA131" s="89"/>
      <c r="AB131" s="89"/>
      <c r="AC131" s="89"/>
      <c r="AD131" s="89"/>
      <c r="AE131" s="89"/>
      <c r="AF131" s="89"/>
      <c r="AG131" s="89"/>
      <c r="AH131" s="89"/>
      <c r="AI131" s="89"/>
      <c r="AJ131" s="89"/>
      <c r="AK131" s="89"/>
      <c r="AL131" s="89"/>
      <c r="AM131" s="89"/>
      <c r="AN131" s="89"/>
      <c r="BR131" s="180">
        <v>2035</v>
      </c>
      <c r="BS131" s="22">
        <v>21</v>
      </c>
      <c r="BT131" s="181">
        <f t="shared" si="54"/>
        <v>85.78159990782018</v>
      </c>
      <c r="BU131" s="182">
        <f t="shared" si="55"/>
        <v>592.00614409760874</v>
      </c>
      <c r="BV131" s="205">
        <f t="shared" si="56"/>
        <v>677.78774400542898</v>
      </c>
      <c r="BY131" s="180">
        <v>2035</v>
      </c>
      <c r="BZ131" s="22">
        <v>21</v>
      </c>
      <c r="CA131" s="198">
        <f t="shared" ca="1" si="57"/>
        <v>-10.324964363015019</v>
      </c>
      <c r="CB131" s="198">
        <f t="shared" ca="1" si="58"/>
        <v>101.51487893717636</v>
      </c>
      <c r="CC131" s="186">
        <f t="shared" ca="1" si="69"/>
        <v>587.88552339944408</v>
      </c>
      <c r="CD131" s="205">
        <f t="shared" ca="1" si="59"/>
        <v>679.0754379736054</v>
      </c>
      <c r="CG131" s="180">
        <v>2035</v>
      </c>
      <c r="CH131" s="22">
        <v>21</v>
      </c>
      <c r="CI131" s="198">
        <f t="shared" ca="1" si="60"/>
        <v>-3.1686327869216542</v>
      </c>
      <c r="CJ131" s="198">
        <f t="shared" ca="1" si="61"/>
        <v>-3.0823751357655143</v>
      </c>
      <c r="CK131" s="198">
        <f t="shared" ca="1" si="62"/>
        <v>97.029934298635581</v>
      </c>
      <c r="CL131" s="186">
        <f t="shared" ca="1" si="63"/>
        <v>588.49974751985019</v>
      </c>
      <c r="CM131" s="205">
        <f t="shared" ca="1" si="64"/>
        <v>679.27867389579865</v>
      </c>
      <c r="CP131" s="180">
        <v>2035</v>
      </c>
      <c r="CQ131" s="22">
        <v>21</v>
      </c>
      <c r="CR131" s="198">
        <f t="shared" ca="1" si="65"/>
        <v>593.97870804003173</v>
      </c>
      <c r="CS131" s="186">
        <f t="shared" ca="1" si="66"/>
        <v>1.1400052823776845</v>
      </c>
      <c r="CT131" s="205">
        <f t="shared" ca="1" si="67"/>
        <v>677.13886478550864</v>
      </c>
      <c r="CZ131" s="164" t="b">
        <f t="shared" si="44"/>
        <v>1</v>
      </c>
      <c r="DA131" s="165" t="b">
        <f t="shared" si="44"/>
        <v>1</v>
      </c>
      <c r="DB131" s="166" t="b">
        <f t="shared" si="44"/>
        <v>1</v>
      </c>
      <c r="DC131" s="164">
        <f t="shared" si="53"/>
        <v>23</v>
      </c>
      <c r="DD131" s="166">
        <f t="shared" si="45"/>
        <v>593.48677152315315</v>
      </c>
      <c r="DE131" s="164">
        <f t="shared" si="46"/>
        <v>23</v>
      </c>
      <c r="DF131" s="166">
        <f t="shared" si="47"/>
        <v>686.80012007031905</v>
      </c>
      <c r="DG131" s="164">
        <f t="shared" si="48"/>
        <v>23</v>
      </c>
      <c r="DH131" s="166">
        <f t="shared" si="49"/>
        <v>780.11346861748495</v>
      </c>
      <c r="DI131" s="164">
        <f>IFERROR(INDEX(DC$106:DC$154,_xlfn.AGGREGATE(15,6,(ROW(DC$106:DC$154)-ROW(DC$106)+1)/(DC$106:DC$154&lt;&gt;""),ROWS(DI$1:DI26))),"")</f>
        <v>26</v>
      </c>
      <c r="DJ131" s="165">
        <f>IFERROR(INDEX(DD$106:DD$154,_xlfn.AGGREGATE(15,6,(ROW(DD$106:DD$154)-ROW(DD$106)+1)/(DD$106:DD$154&lt;&gt;""),ROWS(DJ$1:DJ26))),"")</f>
        <v>601.14728716011257</v>
      </c>
      <c r="DK131" s="166">
        <f t="shared" si="50"/>
        <v>131</v>
      </c>
      <c r="DL131" s="164">
        <f>IFERROR(INDEX(DE$106:DE$154,_xlfn.AGGREGATE(15,6,(ROW(DE$106:DE$154)-ROW(DE$106)+1)/(DE$106:DE$154&lt;&gt;""),ROWS(DL$1:DL26))),"")</f>
        <v>26</v>
      </c>
      <c r="DM131" s="165">
        <f>IFERROR(INDEX(DF$106:DF$154,_xlfn.AGGREGATE(15,6,(ROW(DF$106:DF$154)-ROW(DF$106)+1)/(DF$106:DF$154&lt;&gt;""),ROWS(DM$1:DM26))),"")</f>
        <v>697.80310974275017</v>
      </c>
      <c r="DN131" s="166">
        <f t="shared" si="51"/>
        <v>131</v>
      </c>
      <c r="DO131" s="164">
        <f>IFERROR(INDEX(DG$106:DG$154,_xlfn.AGGREGATE(15,6,(ROW(DG$106:DG$154)-ROW(DG$106)+1)/(DG$106:DG$154&lt;&gt;""),ROWS(DO$1:DO26))),"")</f>
        <v>26</v>
      </c>
      <c r="DP131" s="165">
        <f>IFERROR(INDEX(DH$106:DH$154,_xlfn.AGGREGATE(15,6,(ROW(DH$106:DH$154)-ROW(DH$106)+1)/(DH$106:DH$154&lt;&gt;""),ROWS(DP$1:DP26))),"")</f>
        <v>794.45893232538776</v>
      </c>
      <c r="DQ131" s="166">
        <f t="shared" si="52"/>
        <v>131</v>
      </c>
      <c r="DV131" s="145">
        <v>2040</v>
      </c>
      <c r="DW131" s="235">
        <f t="shared" ca="1" si="37"/>
        <v>697.8935429391239</v>
      </c>
    </row>
    <row r="132" spans="2:135" ht="13.8" x14ac:dyDescent="0.45">
      <c r="B132" s="128">
        <v>2038</v>
      </c>
      <c r="C132" s="175">
        <f>'Total MSW Summaries (Archive)'!D29</f>
        <v>598.56888431478228</v>
      </c>
      <c r="D132" s="159">
        <f>'Total MSW Summaries (Archive)'!P29</f>
        <v>674.6446637834199</v>
      </c>
      <c r="E132" s="151">
        <f>'Total MSW Summaries (Archive)'!AB29</f>
        <v>844.92399999999964</v>
      </c>
      <c r="F132" s="152">
        <f>'Total MSW Summaries (Archive)'!AN29</f>
        <v>741.10538222765774</v>
      </c>
      <c r="G132" s="159">
        <f>'Total MSW Summaries (Archive)'!AZ29</f>
        <v>593.3783783783781</v>
      </c>
      <c r="H132" s="204"/>
      <c r="I132" s="206"/>
      <c r="J132" s="207"/>
      <c r="K132" s="204"/>
      <c r="L132" s="206"/>
      <c r="M132" s="204"/>
      <c r="N132" s="29" t="s">
        <v>119</v>
      </c>
      <c r="O132" s="120"/>
      <c r="P132" s="120"/>
      <c r="Q132" s="120"/>
      <c r="R132" s="29">
        <v>24</v>
      </c>
      <c r="S132" s="154">
        <f t="shared" si="38"/>
        <v>593.3783783783781</v>
      </c>
      <c r="T132" s="154">
        <f t="shared" si="39"/>
        <v>844.92399999999964</v>
      </c>
      <c r="U132" s="154">
        <f t="shared" si="40"/>
        <v>94.385385147627019</v>
      </c>
      <c r="W132" s="154">
        <f t="shared" si="41"/>
        <v>596.13887659322052</v>
      </c>
      <c r="X132" s="154">
        <f t="shared" si="42"/>
        <v>690.52426174084758</v>
      </c>
      <c r="Y132" s="154">
        <f t="shared" si="43"/>
        <v>784.90964688847464</v>
      </c>
      <c r="AA132" s="89"/>
      <c r="AB132" s="89"/>
      <c r="AC132" s="89"/>
      <c r="AD132" s="89"/>
      <c r="AE132" s="89"/>
      <c r="AF132" s="89"/>
      <c r="AG132" s="89"/>
      <c r="AH132" s="89"/>
      <c r="AI132" s="89"/>
      <c r="AJ132" s="89"/>
      <c r="AK132" s="89"/>
      <c r="AL132" s="89"/>
      <c r="AM132" s="89"/>
      <c r="AN132" s="89"/>
      <c r="BR132" s="180">
        <v>2036</v>
      </c>
      <c r="BS132" s="22">
        <v>22</v>
      </c>
      <c r="BT132" s="181">
        <f t="shared" si="54"/>
        <v>89.866437998668758</v>
      </c>
      <c r="BU132" s="182">
        <f t="shared" si="55"/>
        <v>592.00614409760874</v>
      </c>
      <c r="BV132" s="205">
        <f t="shared" si="56"/>
        <v>681.87258209627748</v>
      </c>
      <c r="BY132" s="180">
        <v>2036</v>
      </c>
      <c r="BZ132" s="22">
        <v>22</v>
      </c>
      <c r="CA132" s="198">
        <f t="shared" ca="1" si="57"/>
        <v>-11.331706919952991</v>
      </c>
      <c r="CB132" s="198">
        <f t="shared" ca="1" si="58"/>
        <v>106.34892079132763</v>
      </c>
      <c r="CC132" s="186">
        <f t="shared" ca="1" si="69"/>
        <v>587.88552339944408</v>
      </c>
      <c r="CD132" s="205">
        <f t="shared" ca="1" si="59"/>
        <v>682.90273727081876</v>
      </c>
      <c r="CG132" s="180">
        <v>2036</v>
      </c>
      <c r="CH132" s="22">
        <v>22</v>
      </c>
      <c r="CI132" s="198">
        <f t="shared" ca="1" si="60"/>
        <v>-3.6431920867230079</v>
      </c>
      <c r="CJ132" s="198">
        <f t="shared" ca="1" si="61"/>
        <v>-3.3829241852846006</v>
      </c>
      <c r="CK132" s="198">
        <f t="shared" ca="1" si="62"/>
        <v>101.65040736047537</v>
      </c>
      <c r="CL132" s="186">
        <f t="shared" ca="1" si="63"/>
        <v>588.49974751985019</v>
      </c>
      <c r="CM132" s="205">
        <f t="shared" ca="1" si="64"/>
        <v>683.12403860831796</v>
      </c>
      <c r="CP132" s="180">
        <v>2036</v>
      </c>
      <c r="CQ132" s="22">
        <v>22</v>
      </c>
      <c r="CR132" s="198">
        <f t="shared" ca="1" si="65"/>
        <v>593.97870804003173</v>
      </c>
      <c r="CS132" s="186">
        <f t="shared" ca="1" si="66"/>
        <v>1.1471407680531966</v>
      </c>
      <c r="CT132" s="205">
        <f t="shared" ca="1" si="67"/>
        <v>681.3771913482874</v>
      </c>
      <c r="CZ132" s="164" t="b">
        <f t="shared" si="44"/>
        <v>1</v>
      </c>
      <c r="DA132" s="165" t="b">
        <f t="shared" si="44"/>
        <v>1</v>
      </c>
      <c r="DB132" s="166" t="b">
        <f t="shared" si="44"/>
        <v>1</v>
      </c>
      <c r="DC132" s="164">
        <f t="shared" si="53"/>
        <v>24</v>
      </c>
      <c r="DD132" s="166">
        <f t="shared" si="45"/>
        <v>596.13887659322052</v>
      </c>
      <c r="DE132" s="164">
        <f t="shared" si="46"/>
        <v>24</v>
      </c>
      <c r="DF132" s="166">
        <f t="shared" si="47"/>
        <v>690.52426174084758</v>
      </c>
      <c r="DG132" s="164">
        <f t="shared" si="48"/>
        <v>24</v>
      </c>
      <c r="DH132" s="166">
        <f t="shared" si="49"/>
        <v>784.90964688847464</v>
      </c>
      <c r="DI132" s="164">
        <f>IFERROR(INDEX(DC$106:DC$154,_xlfn.AGGREGATE(15,6,(ROW(DC$106:DC$154)-ROW(DC$106)+1)/(DC$106:DC$154&lt;&gt;""),ROWS(DI$1:DI27))),"")</f>
        <v>27</v>
      </c>
      <c r="DJ132" s="165">
        <f>IFERROR(INDEX(DD$106:DD$154,_xlfn.AGGREGATE(15,6,(ROW(DD$106:DD$154)-ROW(DD$106)+1)/(DD$106:DD$154&lt;&gt;""),ROWS(DJ$1:DJ27))),"")</f>
        <v>603.55735995036503</v>
      </c>
      <c r="DK132" s="166">
        <f t="shared" si="50"/>
        <v>132</v>
      </c>
      <c r="DL132" s="164">
        <f>IFERROR(INDEX(DE$106:DE$154,_xlfn.AGGREGATE(15,6,(ROW(DE$106:DE$154)-ROW(DE$106)+1)/(DE$106:DE$154&lt;&gt;""),ROWS(DL$1:DL27))),"")</f>
        <v>27</v>
      </c>
      <c r="DM132" s="165">
        <f>IFERROR(INDEX(DF$106:DF$154,_xlfn.AGGREGATE(15,6,(ROW(DF$106:DF$154)-ROW(DF$106)+1)/(DF$106:DF$154&lt;&gt;""),ROWS(DM$1:DM27))),"")</f>
        <v>701.46233591659279</v>
      </c>
      <c r="DN132" s="166">
        <f t="shared" si="51"/>
        <v>132</v>
      </c>
      <c r="DO132" s="164">
        <f>IFERROR(INDEX(DG$106:DG$154,_xlfn.AGGREGATE(15,6,(ROW(DG$106:DG$154)-ROW(DG$106)+1)/(DG$106:DG$154&lt;&gt;""),ROWS(DO$1:DO27))),"")</f>
        <v>27</v>
      </c>
      <c r="DP132" s="165">
        <f>IFERROR(INDEX(DH$106:DH$154,_xlfn.AGGREGATE(15,6,(ROW(DH$106:DH$154)-ROW(DH$106)+1)/(DH$106:DH$154&lt;&gt;""),ROWS(DP$1:DP27))),"")</f>
        <v>799.36731188282056</v>
      </c>
      <c r="DQ132" s="166">
        <f t="shared" si="52"/>
        <v>132</v>
      </c>
      <c r="DV132" s="145">
        <v>2041</v>
      </c>
      <c r="DW132" s="235">
        <f t="shared" ca="1" si="37"/>
        <v>701.4226659514926</v>
      </c>
    </row>
    <row r="133" spans="2:135" ht="13.8" x14ac:dyDescent="0.45">
      <c r="B133" s="128">
        <v>2039</v>
      </c>
      <c r="C133" s="175">
        <f>'Total MSW Summaries (Archive)'!D30</f>
        <v>601.23834967353139</v>
      </c>
      <c r="D133" s="159">
        <f>'Total MSW Summaries (Archive)'!P30</f>
        <v>675.40952236076214</v>
      </c>
      <c r="E133" s="151">
        <f>'Total MSW Summaries (Archive)'!AB30</f>
        <v>852.40999999999963</v>
      </c>
      <c r="F133" s="152">
        <f>'Total MSW Summaries (Archive)'!AN30</f>
        <v>743.47391388667688</v>
      </c>
      <c r="G133" s="159">
        <f>'Total MSW Summaries (Archive)'!AZ30</f>
        <v>598.5135135135132</v>
      </c>
      <c r="H133" s="204"/>
      <c r="I133" s="206"/>
      <c r="J133" s="207"/>
      <c r="K133" s="204"/>
      <c r="L133" s="206"/>
      <c r="M133" s="204"/>
      <c r="N133" s="29" t="s">
        <v>119</v>
      </c>
      <c r="O133" s="120"/>
      <c r="P133" s="120"/>
      <c r="Q133" s="120"/>
      <c r="R133" s="29">
        <v>25</v>
      </c>
      <c r="S133" s="154">
        <f t="shared" si="38"/>
        <v>598.5135135135132</v>
      </c>
      <c r="T133" s="154">
        <f t="shared" si="39"/>
        <v>852.40999999999963</v>
      </c>
      <c r="U133" s="154">
        <f t="shared" si="40"/>
        <v>95.508299594080924</v>
      </c>
      <c r="W133" s="154">
        <f t="shared" si="41"/>
        <v>598.70076029281574</v>
      </c>
      <c r="X133" s="154">
        <f t="shared" si="42"/>
        <v>694.20905988689663</v>
      </c>
      <c r="Y133" s="154">
        <f t="shared" si="43"/>
        <v>789.71735948097751</v>
      </c>
      <c r="AA133" s="89"/>
      <c r="AB133" s="89"/>
      <c r="AC133" s="89"/>
      <c r="AD133" s="89"/>
      <c r="AE133" s="89"/>
      <c r="AF133" s="89"/>
      <c r="AG133" s="89"/>
      <c r="AH133" s="89"/>
      <c r="AI133" s="89"/>
      <c r="AJ133" s="89"/>
      <c r="AK133" s="89"/>
      <c r="AL133" s="89"/>
      <c r="AM133" s="89"/>
      <c r="AN133" s="89"/>
      <c r="BR133" s="180">
        <v>2037</v>
      </c>
      <c r="BS133" s="22">
        <v>23</v>
      </c>
      <c r="BT133" s="181">
        <f t="shared" si="54"/>
        <v>93.951276089517336</v>
      </c>
      <c r="BU133" s="182">
        <f t="shared" si="55"/>
        <v>592.00614409760874</v>
      </c>
      <c r="BV133" s="205">
        <f t="shared" si="56"/>
        <v>685.9574201871261</v>
      </c>
      <c r="BY133" s="180">
        <v>2037</v>
      </c>
      <c r="BZ133" s="22">
        <v>23</v>
      </c>
      <c r="CA133" s="198">
        <f t="shared" ca="1" si="57"/>
        <v>-12.385274712097379</v>
      </c>
      <c r="CB133" s="198">
        <f t="shared" ca="1" si="58"/>
        <v>111.18296264547888</v>
      </c>
      <c r="CC133" s="186">
        <f t="shared" ca="1" si="69"/>
        <v>587.88552339944408</v>
      </c>
      <c r="CD133" s="205">
        <f t="shared" ca="1" si="59"/>
        <v>686.68321133282552</v>
      </c>
      <c r="CG133" s="180">
        <v>2037</v>
      </c>
      <c r="CH133" s="22">
        <v>23</v>
      </c>
      <c r="CI133" s="198">
        <f t="shared" ca="1" si="60"/>
        <v>-4.1629149247895221</v>
      </c>
      <c r="CJ133" s="198">
        <f t="shared" ca="1" si="61"/>
        <v>-3.6974522603627142</v>
      </c>
      <c r="CK133" s="198">
        <f t="shared" ca="1" si="62"/>
        <v>106.27088042231516</v>
      </c>
      <c r="CL133" s="186">
        <f t="shared" ca="1" si="63"/>
        <v>588.49974751985019</v>
      </c>
      <c r="CM133" s="205">
        <f t="shared" ca="1" si="64"/>
        <v>686.91026075701313</v>
      </c>
      <c r="CP133" s="180">
        <v>2037</v>
      </c>
      <c r="CQ133" s="22">
        <v>23</v>
      </c>
      <c r="CR133" s="198">
        <f t="shared" ca="1" si="65"/>
        <v>593.97870804003173</v>
      </c>
      <c r="CS133" s="186">
        <f t="shared" ca="1" si="66"/>
        <v>1.1543209159391496</v>
      </c>
      <c r="CT133" s="205">
        <f t="shared" ca="1" si="67"/>
        <v>685.64204631312214</v>
      </c>
      <c r="CZ133" s="164" t="b">
        <f t="shared" si="44"/>
        <v>1</v>
      </c>
      <c r="DA133" s="165" t="b">
        <f t="shared" si="44"/>
        <v>1</v>
      </c>
      <c r="DB133" s="166" t="b">
        <f t="shared" si="44"/>
        <v>1</v>
      </c>
      <c r="DC133" s="164">
        <f t="shared" si="53"/>
        <v>25</v>
      </c>
      <c r="DD133" s="166">
        <f t="shared" si="45"/>
        <v>598.70076029281574</v>
      </c>
      <c r="DE133" s="164">
        <f t="shared" si="46"/>
        <v>25</v>
      </c>
      <c r="DF133" s="166">
        <f t="shared" si="47"/>
        <v>694.20905988689663</v>
      </c>
      <c r="DG133" s="164">
        <f t="shared" si="48"/>
        <v>25</v>
      </c>
      <c r="DH133" s="166">
        <f t="shared" si="49"/>
        <v>789.71735948097751</v>
      </c>
      <c r="DI133" s="164">
        <f>IFERROR(INDEX(DC$106:DC$154,_xlfn.AGGREGATE(15,6,(ROW(DC$106:DC$154)-ROW(DC$106)+1)/(DC$106:DC$154&lt;&gt;""),ROWS(DI$1:DI28))),"")</f>
        <v>28</v>
      </c>
      <c r="DJ133" s="165">
        <f>IFERROR(INDEX(DD$106:DD$154,_xlfn.AGGREGATE(15,6,(ROW(DD$106:DD$154)-ROW(DD$106)+1)/(DD$106:DD$154&lt;&gt;""),ROWS(DJ$1:DJ28))),"")</f>
        <v>605.62456392854881</v>
      </c>
      <c r="DK133" s="166">
        <f t="shared" si="50"/>
        <v>133</v>
      </c>
      <c r="DL133" s="164">
        <f>IFERROR(INDEX(DE$106:DE$154,_xlfn.AGGREGATE(15,6,(ROW(DE$106:DE$154)-ROW(DE$106)+1)/(DE$106:DE$154&lt;&gt;""),ROWS(DL$1:DL28))),"")</f>
        <v>28</v>
      </c>
      <c r="DM133" s="165">
        <f>IFERROR(INDEX(DF$106:DF$154,_xlfn.AGGREGATE(15,6,(ROW(DF$106:DF$154)-ROW(DF$106)+1)/(DF$106:DF$154&lt;&gt;""),ROWS(DM$1:DM28))),"")</f>
        <v>704.84290498305904</v>
      </c>
      <c r="DN133" s="166">
        <f t="shared" si="51"/>
        <v>133</v>
      </c>
      <c r="DO133" s="164">
        <f>IFERROR(INDEX(DG$106:DG$154,_xlfn.AGGREGATE(15,6,(ROW(DG$106:DG$154)-ROW(DG$106)+1)/(DG$106:DG$154&lt;&gt;""),ROWS(DO$1:DO28))),"")</f>
        <v>28</v>
      </c>
      <c r="DP133" s="165">
        <f>IFERROR(INDEX(DH$106:DH$154,_xlfn.AGGREGATE(15,6,(ROW(DH$106:DH$154)-ROW(DH$106)+1)/(DH$106:DH$154&lt;&gt;""),ROWS(DP$1:DP28))),"")</f>
        <v>804.06124603756928</v>
      </c>
      <c r="DQ133" s="166">
        <f t="shared" si="52"/>
        <v>133</v>
      </c>
      <c r="DV133" s="145">
        <v>2042</v>
      </c>
      <c r="DW133" s="235">
        <f t="shared" ca="1" si="37"/>
        <v>704.88238195952249</v>
      </c>
    </row>
    <row r="134" spans="2:135" ht="13.8" x14ac:dyDescent="0.45">
      <c r="B134" s="128">
        <v>2040</v>
      </c>
      <c r="C134" s="175">
        <f>'Total MSW Summaries (Archive)'!D31</f>
        <v>603.85923818776575</v>
      </c>
      <c r="D134" s="159">
        <f>'Total MSW Summaries (Archive)'!P31</f>
        <v>676.10006729611825</v>
      </c>
      <c r="E134" s="151">
        <f>'Total MSW Summaries (Archive)'!AB31</f>
        <v>859.89599999999962</v>
      </c>
      <c r="F134" s="152">
        <f>'Total MSW Summaries (Archive)'!AN31</f>
        <v>745.51159458121913</v>
      </c>
      <c r="G134" s="159">
        <f>'Total MSW Summaries (Archive)'!AZ31</f>
        <v>603.6486486486483</v>
      </c>
      <c r="H134" s="204"/>
      <c r="I134" s="206"/>
      <c r="J134" s="207"/>
      <c r="K134" s="204"/>
      <c r="L134" s="206"/>
      <c r="M134" s="204"/>
      <c r="N134" s="29" t="s">
        <v>119</v>
      </c>
      <c r="O134" s="120"/>
      <c r="P134" s="120"/>
      <c r="Q134" s="120"/>
      <c r="R134" s="29">
        <v>26</v>
      </c>
      <c r="S134" s="154">
        <f t="shared" si="38"/>
        <v>603.6486486486483</v>
      </c>
      <c r="T134" s="154">
        <f t="shared" si="39"/>
        <v>859.89599999999962</v>
      </c>
      <c r="U134" s="154">
        <f t="shared" si="40"/>
        <v>96.655822582637626</v>
      </c>
      <c r="W134" s="154">
        <f t="shared" si="41"/>
        <v>601.14728716011257</v>
      </c>
      <c r="X134" s="154">
        <f t="shared" si="42"/>
        <v>697.80310974275017</v>
      </c>
      <c r="Y134" s="154">
        <f t="shared" si="43"/>
        <v>794.45893232538776</v>
      </c>
      <c r="AA134" s="89"/>
      <c r="AB134" s="89"/>
      <c r="AC134" s="89"/>
      <c r="AD134" s="89"/>
      <c r="AE134" s="89"/>
      <c r="AF134" s="89"/>
      <c r="AG134" s="89"/>
      <c r="AH134" s="89"/>
      <c r="AI134" s="89"/>
      <c r="AJ134" s="89"/>
      <c r="AK134" s="89"/>
      <c r="AL134" s="89"/>
      <c r="AM134" s="89"/>
      <c r="AN134" s="89"/>
      <c r="BR134" s="180">
        <v>2038</v>
      </c>
      <c r="BS134" s="22">
        <v>24</v>
      </c>
      <c r="BT134" s="181">
        <f t="shared" si="54"/>
        <v>98.036114180365914</v>
      </c>
      <c r="BU134" s="182">
        <f t="shared" si="55"/>
        <v>592.00614409760874</v>
      </c>
      <c r="BV134" s="205">
        <f t="shared" si="56"/>
        <v>690.04225827797461</v>
      </c>
      <c r="BY134" s="180">
        <v>2038</v>
      </c>
      <c r="BZ134" s="22">
        <v>24</v>
      </c>
      <c r="CA134" s="198">
        <f t="shared" ca="1" si="57"/>
        <v>-13.485667739448186</v>
      </c>
      <c r="CB134" s="198">
        <f t="shared" ca="1" si="58"/>
        <v>116.01700449963013</v>
      </c>
      <c r="CC134" s="186">
        <f t="shared" ca="1" si="69"/>
        <v>587.88552339944408</v>
      </c>
      <c r="CD134" s="205">
        <f t="shared" ca="1" si="59"/>
        <v>690.41686015962603</v>
      </c>
      <c r="CG134" s="180">
        <v>2038</v>
      </c>
      <c r="CH134" s="22">
        <v>24</v>
      </c>
      <c r="CI134" s="198">
        <f t="shared" ca="1" si="60"/>
        <v>-4.7298541892241603</v>
      </c>
      <c r="CJ134" s="198">
        <f t="shared" ca="1" si="61"/>
        <v>-4.0259593609998552</v>
      </c>
      <c r="CK134" s="198">
        <f t="shared" ca="1" si="62"/>
        <v>110.89135348415496</v>
      </c>
      <c r="CL134" s="186">
        <f t="shared" ca="1" si="63"/>
        <v>588.49974751985019</v>
      </c>
      <c r="CM134" s="205">
        <f t="shared" ca="1" si="64"/>
        <v>690.63528745378107</v>
      </c>
      <c r="CP134" s="180">
        <v>2038</v>
      </c>
      <c r="CQ134" s="22">
        <v>24</v>
      </c>
      <c r="CR134" s="198">
        <f t="shared" ca="1" si="65"/>
        <v>593.97870804003173</v>
      </c>
      <c r="CS134" s="186">
        <f t="shared" ca="1" si="66"/>
        <v>1.1615460055838649</v>
      </c>
      <c r="CT134" s="205">
        <f t="shared" ca="1" si="67"/>
        <v>689.93359572576355</v>
      </c>
      <c r="CZ134" s="164" t="b">
        <f t="shared" si="44"/>
        <v>1</v>
      </c>
      <c r="DA134" s="165" t="b">
        <f t="shared" si="44"/>
        <v>1</v>
      </c>
      <c r="DB134" s="166" t="b">
        <f t="shared" si="44"/>
        <v>1</v>
      </c>
      <c r="DC134" s="164">
        <f t="shared" si="53"/>
        <v>26</v>
      </c>
      <c r="DD134" s="166">
        <f t="shared" si="45"/>
        <v>601.14728716011257</v>
      </c>
      <c r="DE134" s="164">
        <f t="shared" si="46"/>
        <v>26</v>
      </c>
      <c r="DF134" s="166">
        <f t="shared" si="47"/>
        <v>697.80310974275017</v>
      </c>
      <c r="DG134" s="164">
        <f t="shared" si="48"/>
        <v>26</v>
      </c>
      <c r="DH134" s="166">
        <f t="shared" si="49"/>
        <v>794.45893232538776</v>
      </c>
      <c r="DI134" s="164">
        <f>IFERROR(INDEX(DC$106:DC$154,_xlfn.AGGREGATE(15,6,(ROW(DC$106:DC$154)-ROW(DC$106)+1)/(DC$106:DC$154&lt;&gt;""),ROWS(DI$1:DI29))),"")</f>
        <v>29</v>
      </c>
      <c r="DJ134" s="165">
        <f>IFERROR(INDEX(DD$106:DD$154,_xlfn.AGGREGATE(15,6,(ROW(DD$106:DD$154)-ROW(DD$106)+1)/(DD$106:DD$154&lt;&gt;""),ROWS(DJ$1:DJ29))),"")</f>
        <v>607.59842312807177</v>
      </c>
      <c r="DK134" s="166">
        <f t="shared" si="50"/>
        <v>134</v>
      </c>
      <c r="DL134" s="164">
        <f>IFERROR(INDEX(DE$106:DE$154,_xlfn.AGGREGATE(15,6,(ROW(DE$106:DE$154)-ROW(DE$106)+1)/(DE$106:DE$154&lt;&gt;""),ROWS(DL$1:DL29))),"")</f>
        <v>29</v>
      </c>
      <c r="DM134" s="165">
        <f>IFERROR(INDEX(DF$106:DF$154,_xlfn.AGGREGATE(15,6,(ROW(DF$106:DF$154)-ROW(DF$106)+1)/(DF$106:DF$154&lt;&gt;""),ROWS(DM$1:DM29))),"")</f>
        <v>708.1851581533673</v>
      </c>
      <c r="DN134" s="166">
        <f t="shared" si="51"/>
        <v>134</v>
      </c>
      <c r="DO134" s="164">
        <f>IFERROR(INDEX(DG$106:DG$154,_xlfn.AGGREGATE(15,6,(ROW(DG$106:DG$154)-ROW(DG$106)+1)/(DG$106:DG$154&lt;&gt;""),ROWS(DO$1:DO29))),"")</f>
        <v>29</v>
      </c>
      <c r="DP134" s="165">
        <f>IFERROR(INDEX(DH$106:DH$154,_xlfn.AGGREGATE(15,6,(ROW(DH$106:DH$154)-ROW(DH$106)+1)/(DH$106:DH$154&lt;&gt;""),ROWS(DP$1:DP29))),"")</f>
        <v>808.77189317866282</v>
      </c>
      <c r="DQ134" s="166">
        <f t="shared" si="52"/>
        <v>134</v>
      </c>
      <c r="DV134" s="145">
        <v>2043</v>
      </c>
      <c r="DW134" s="235">
        <f t="shared" ca="1" si="37"/>
        <v>708.27063807511024</v>
      </c>
      <c r="EA134" s="55"/>
      <c r="EB134" s="55"/>
      <c r="EC134" s="55"/>
      <c r="ED134" s="55"/>
      <c r="EE134" s="55"/>
    </row>
    <row r="135" spans="2:135" ht="13.8" x14ac:dyDescent="0.45">
      <c r="B135" s="128">
        <v>2041</v>
      </c>
      <c r="C135" s="175">
        <f>'Total MSW Summaries (Archive)'!D32</f>
        <v>606.43254242883302</v>
      </c>
      <c r="D135" s="159">
        <f>'Total MSW Summaries (Archive)'!P32</f>
        <v>676.71795008149991</v>
      </c>
      <c r="E135" s="151">
        <f>'Total MSW Summaries (Archive)'!AB32</f>
        <v>867.38199999999961</v>
      </c>
      <c r="F135" s="152">
        <f>'Total MSW Summaries (Archive)'!AN32</f>
        <v>747.99540328884825</v>
      </c>
      <c r="G135" s="159">
        <f>'Total MSW Summaries (Archive)'!AZ32</f>
        <v>608.78378378378341</v>
      </c>
      <c r="H135" s="204"/>
      <c r="I135" s="206"/>
      <c r="J135" s="207"/>
      <c r="K135" s="204"/>
      <c r="L135" s="206"/>
      <c r="M135" s="204"/>
      <c r="N135" s="29" t="s">
        <v>119</v>
      </c>
      <c r="O135" s="120"/>
      <c r="P135" s="120"/>
      <c r="Q135" s="120"/>
      <c r="R135" s="29">
        <v>27</v>
      </c>
      <c r="S135" s="154">
        <f t="shared" si="38"/>
        <v>606.43254242883302</v>
      </c>
      <c r="T135" s="154">
        <f t="shared" si="39"/>
        <v>867.38199999999961</v>
      </c>
      <c r="U135" s="154">
        <f t="shared" si="40"/>
        <v>97.904975966227795</v>
      </c>
      <c r="W135" s="154">
        <f t="shared" si="41"/>
        <v>603.55735995036503</v>
      </c>
      <c r="X135" s="154">
        <f t="shared" si="42"/>
        <v>701.46233591659279</v>
      </c>
      <c r="Y135" s="154">
        <f t="shared" si="43"/>
        <v>799.36731188282056</v>
      </c>
      <c r="AA135" s="89"/>
      <c r="AB135" s="89"/>
      <c r="AC135" s="89"/>
      <c r="AD135" s="89"/>
      <c r="AE135" s="89"/>
      <c r="AF135" s="89"/>
      <c r="AG135" s="89"/>
      <c r="AH135" s="89"/>
      <c r="AI135" s="89"/>
      <c r="AJ135" s="89"/>
      <c r="AK135" s="89"/>
      <c r="AL135" s="89"/>
      <c r="AM135" s="89"/>
      <c r="AN135" s="89"/>
      <c r="BR135" s="180">
        <v>2039</v>
      </c>
      <c r="BS135" s="22">
        <v>25</v>
      </c>
      <c r="BT135" s="181">
        <f t="shared" si="54"/>
        <v>102.12095227121449</v>
      </c>
      <c r="BU135" s="182">
        <f t="shared" si="55"/>
        <v>592.00614409760874</v>
      </c>
      <c r="BV135" s="205">
        <f t="shared" si="56"/>
        <v>694.12709636882323</v>
      </c>
      <c r="BY135" s="180">
        <v>2039</v>
      </c>
      <c r="BZ135" s="22">
        <v>25</v>
      </c>
      <c r="CA135" s="198">
        <f t="shared" ca="1" si="57"/>
        <v>-14.63288600200541</v>
      </c>
      <c r="CB135" s="198">
        <f t="shared" ca="1" si="58"/>
        <v>120.85104635378138</v>
      </c>
      <c r="CC135" s="186">
        <f t="shared" ca="1" si="69"/>
        <v>587.88552339944408</v>
      </c>
      <c r="CD135" s="205">
        <f t="shared" ca="1" si="59"/>
        <v>694.10368375122005</v>
      </c>
      <c r="CG135" s="180">
        <v>2039</v>
      </c>
      <c r="CH135" s="22">
        <v>25</v>
      </c>
      <c r="CI135" s="198">
        <f t="shared" ca="1" si="60"/>
        <v>-5.3460627681298831</v>
      </c>
      <c r="CJ135" s="198">
        <f t="shared" ca="1" si="61"/>
        <v>-4.3684454871960234</v>
      </c>
      <c r="CK135" s="198">
        <f t="shared" ca="1" si="62"/>
        <v>115.51182654599475</v>
      </c>
      <c r="CL135" s="186">
        <f t="shared" ca="1" si="63"/>
        <v>588.49974751985019</v>
      </c>
      <c r="CM135" s="205">
        <f t="shared" ca="1" si="64"/>
        <v>694.29706581051903</v>
      </c>
      <c r="CP135" s="180">
        <v>2039</v>
      </c>
      <c r="CQ135" s="22">
        <v>25</v>
      </c>
      <c r="CR135" s="198">
        <f t="shared" ca="1" si="65"/>
        <v>593.97870804003173</v>
      </c>
      <c r="CS135" s="186">
        <f t="shared" ca="1" si="66"/>
        <v>1.1688163182854037</v>
      </c>
      <c r="CT135" s="205">
        <f t="shared" ca="1" si="67"/>
        <v>694.25200667127058</v>
      </c>
      <c r="CZ135" s="164" t="b">
        <f t="shared" si="44"/>
        <v>1</v>
      </c>
      <c r="DA135" s="165" t="b">
        <f t="shared" si="44"/>
        <v>1</v>
      </c>
      <c r="DB135" s="166" t="b">
        <f t="shared" si="44"/>
        <v>1</v>
      </c>
      <c r="DC135" s="164">
        <f t="shared" si="53"/>
        <v>27</v>
      </c>
      <c r="DD135" s="166">
        <f t="shared" si="45"/>
        <v>603.55735995036503</v>
      </c>
      <c r="DE135" s="164">
        <f t="shared" si="46"/>
        <v>27</v>
      </c>
      <c r="DF135" s="166">
        <f t="shared" si="47"/>
        <v>701.46233591659279</v>
      </c>
      <c r="DG135" s="164">
        <f t="shared" si="48"/>
        <v>27</v>
      </c>
      <c r="DH135" s="166">
        <f t="shared" si="49"/>
        <v>799.36731188282056</v>
      </c>
      <c r="DI135" s="164">
        <f>IFERROR(INDEX(DC$106:DC$154,_xlfn.AGGREGATE(15,6,(ROW(DC$106:DC$154)-ROW(DC$106)+1)/(DC$106:DC$154&lt;&gt;""),ROWS(DI$1:DI30))),"")</f>
        <v>30</v>
      </c>
      <c r="DJ135" s="165">
        <f>IFERROR(INDEX(DD$106:DD$154,_xlfn.AGGREGATE(15,6,(ROW(DD$106:DD$154)-ROW(DD$106)+1)/(DD$106:DD$154&lt;&gt;""),ROWS(DJ$1:DJ30))),"")</f>
        <v>609.48141647278408</v>
      </c>
      <c r="DK135" s="166">
        <f t="shared" si="50"/>
        <v>135</v>
      </c>
      <c r="DL135" s="164">
        <f>IFERROR(INDEX(DE$106:DE$154,_xlfn.AGGREGATE(15,6,(ROW(DE$106:DE$154)-ROW(DE$106)+1)/(DE$106:DE$154&lt;&gt;""),ROWS(DL$1:DL30))),"")</f>
        <v>30</v>
      </c>
      <c r="DM135" s="165">
        <f>IFERROR(INDEX(DF$106:DF$154,_xlfn.AGGREGATE(15,6,(ROW(DF$106:DF$154)-ROW(DF$106)+1)/(DF$106:DF$154&lt;&gt;""),ROWS(DM$1:DM30))),"")</f>
        <v>711.49043191156215</v>
      </c>
      <c r="DN135" s="166">
        <f t="shared" si="51"/>
        <v>135</v>
      </c>
      <c r="DO135" s="164">
        <f>IFERROR(INDEX(DG$106:DG$154,_xlfn.AGGREGATE(15,6,(ROW(DG$106:DG$154)-ROW(DG$106)+1)/(DG$106:DG$154&lt;&gt;""),ROWS(DO$1:DO30))),"")</f>
        <v>30</v>
      </c>
      <c r="DP135" s="165">
        <f>IFERROR(INDEX(DH$106:DH$154,_xlfn.AGGREGATE(15,6,(ROW(DH$106:DH$154)-ROW(DH$106)+1)/(DH$106:DH$154&lt;&gt;""),ROWS(DP$1:DP30))),"")</f>
        <v>813.49944735034023</v>
      </c>
      <c r="DQ135" s="166">
        <f t="shared" si="52"/>
        <v>135</v>
      </c>
      <c r="DV135" s="145">
        <v>2044</v>
      </c>
      <c r="DW135" s="235">
        <f t="shared" ca="1" si="37"/>
        <v>711.58538141015322</v>
      </c>
      <c r="EA135" s="55"/>
      <c r="EB135" s="55"/>
      <c r="EC135" s="55"/>
      <c r="ED135" s="55"/>
      <c r="EE135" s="55"/>
    </row>
    <row r="136" spans="2:135" ht="13.8" x14ac:dyDescent="0.45">
      <c r="B136" s="128">
        <v>2042</v>
      </c>
      <c r="C136" s="175">
        <f>'Total MSW Summaries (Archive)'!D33</f>
        <v>608.67985512701216</v>
      </c>
      <c r="D136" s="159">
        <f>'Total MSW Summaries (Archive)'!P33</f>
        <v>676.95406791579876</v>
      </c>
      <c r="E136" s="151">
        <f>'Total MSW Summaries (Archive)'!AB33</f>
        <v>874.8679999999996</v>
      </c>
      <c r="F136" s="152">
        <f>'Total MSW Summaries (Archive)'!AN33</f>
        <v>749.79368295356608</v>
      </c>
      <c r="G136" s="159">
        <f>'Total MSW Summaries (Archive)'!AZ33</f>
        <v>613.91891891891851</v>
      </c>
      <c r="H136" s="204"/>
      <c r="I136" s="206"/>
      <c r="J136" s="207"/>
      <c r="K136" s="204"/>
      <c r="L136" s="206"/>
      <c r="M136" s="204"/>
      <c r="N136" s="29" t="s">
        <v>119</v>
      </c>
      <c r="O136" s="120"/>
      <c r="P136" s="120"/>
      <c r="Q136" s="120"/>
      <c r="R136" s="29">
        <v>28</v>
      </c>
      <c r="S136" s="154">
        <f t="shared" si="38"/>
        <v>608.67985512701216</v>
      </c>
      <c r="T136" s="154">
        <f t="shared" si="39"/>
        <v>874.8679999999996</v>
      </c>
      <c r="U136" s="154">
        <f t="shared" si="40"/>
        <v>99.218341054510276</v>
      </c>
      <c r="W136" s="154">
        <f t="shared" si="41"/>
        <v>605.62456392854881</v>
      </c>
      <c r="X136" s="154">
        <f t="shared" si="42"/>
        <v>704.84290498305904</v>
      </c>
      <c r="Y136" s="154">
        <f t="shared" si="43"/>
        <v>804.06124603756928</v>
      </c>
      <c r="AA136" s="89"/>
      <c r="AB136" s="89"/>
      <c r="AC136" s="89"/>
      <c r="AD136" s="89"/>
      <c r="AE136" s="89"/>
      <c r="AF136" s="89"/>
      <c r="AG136" s="89"/>
      <c r="AH136" s="89"/>
      <c r="AI136" s="89"/>
      <c r="AJ136" s="89"/>
      <c r="AK136" s="89"/>
      <c r="AL136" s="89"/>
      <c r="AM136" s="89"/>
      <c r="AN136" s="89"/>
      <c r="BR136" s="180">
        <v>2040</v>
      </c>
      <c r="BS136" s="22">
        <v>26</v>
      </c>
      <c r="BT136" s="181">
        <f t="shared" si="54"/>
        <v>106.20579036206307</v>
      </c>
      <c r="BU136" s="182">
        <f t="shared" si="55"/>
        <v>592.00614409760874</v>
      </c>
      <c r="BV136" s="205">
        <f t="shared" si="56"/>
        <v>698.21193445967185</v>
      </c>
      <c r="BY136" s="180">
        <v>2040</v>
      </c>
      <c r="BZ136" s="22">
        <v>26</v>
      </c>
      <c r="CA136" s="198">
        <f t="shared" ca="1" si="57"/>
        <v>-15.826929499769053</v>
      </c>
      <c r="CB136" s="198">
        <f t="shared" ca="1" si="58"/>
        <v>125.68508820793264</v>
      </c>
      <c r="CC136" s="186">
        <f t="shared" ca="1" si="69"/>
        <v>587.88552339944408</v>
      </c>
      <c r="CD136" s="205">
        <f t="shared" ca="1" si="59"/>
        <v>697.7436821076077</v>
      </c>
      <c r="CG136" s="180">
        <v>2040</v>
      </c>
      <c r="CH136" s="22">
        <v>26</v>
      </c>
      <c r="CI136" s="198">
        <f t="shared" ca="1" si="60"/>
        <v>-6.0135935496096531</v>
      </c>
      <c r="CJ136" s="198">
        <f t="shared" ca="1" si="61"/>
        <v>-4.7249106389512185</v>
      </c>
      <c r="CK136" s="198">
        <f t="shared" ca="1" si="62"/>
        <v>120.13229960783454</v>
      </c>
      <c r="CL136" s="186">
        <f t="shared" ca="1" si="63"/>
        <v>588.49974751985019</v>
      </c>
      <c r="CM136" s="205">
        <f t="shared" ca="1" si="64"/>
        <v>697.8935429391239</v>
      </c>
      <c r="CP136" s="180">
        <v>2040</v>
      </c>
      <c r="CQ136" s="22">
        <v>26</v>
      </c>
      <c r="CR136" s="198">
        <f t="shared" ca="1" si="65"/>
        <v>593.97870804003173</v>
      </c>
      <c r="CS136" s="186">
        <f t="shared" ca="1" si="66"/>
        <v>1.1761321371025195</v>
      </c>
      <c r="CT136" s="205">
        <f t="shared" ca="1" si="67"/>
        <v>698.59744728051601</v>
      </c>
      <c r="CZ136" s="164" t="b">
        <f t="shared" si="44"/>
        <v>1</v>
      </c>
      <c r="DA136" s="165" t="b">
        <f t="shared" si="44"/>
        <v>1</v>
      </c>
      <c r="DB136" s="166" t="b">
        <f t="shared" si="44"/>
        <v>1</v>
      </c>
      <c r="DC136" s="164">
        <f t="shared" si="53"/>
        <v>28</v>
      </c>
      <c r="DD136" s="166">
        <f t="shared" si="45"/>
        <v>605.62456392854881</v>
      </c>
      <c r="DE136" s="164">
        <f t="shared" si="46"/>
        <v>28</v>
      </c>
      <c r="DF136" s="166">
        <f t="shared" si="47"/>
        <v>704.84290498305904</v>
      </c>
      <c r="DG136" s="164">
        <f t="shared" si="48"/>
        <v>28</v>
      </c>
      <c r="DH136" s="166">
        <f t="shared" si="49"/>
        <v>804.06124603756928</v>
      </c>
      <c r="DI136" s="164">
        <f>IFERROR(INDEX(DC$106:DC$154,_xlfn.AGGREGATE(15,6,(ROW(DC$106:DC$154)-ROW(DC$106)+1)/(DC$106:DC$154&lt;&gt;""),ROWS(DI$1:DI31))),"")</f>
        <v>31</v>
      </c>
      <c r="DJ136" s="165">
        <f>IFERROR(INDEX(DD$106:DD$154,_xlfn.AGGREGATE(15,6,(ROW(DD$106:DD$154)-ROW(DD$106)+1)/(DD$106:DD$154&lt;&gt;""),ROWS(DJ$1:DJ31))),"")</f>
        <v>611.46518297357773</v>
      </c>
      <c r="DK136" s="166">
        <f t="shared" si="50"/>
        <v>136</v>
      </c>
      <c r="DL136" s="164">
        <f>IFERROR(INDEX(DE$106:DE$154,_xlfn.AGGREGATE(15,6,(ROW(DE$106:DE$154)-ROW(DE$106)+1)/(DE$106:DE$154&lt;&gt;""),ROWS(DL$1:DL31))),"")</f>
        <v>31</v>
      </c>
      <c r="DM136" s="165">
        <f>IFERROR(INDEX(DF$106:DF$154,_xlfn.AGGREGATE(15,6,(ROW(DF$106:DF$154)-ROW(DF$106)+1)/(DF$106:DF$154&lt;&gt;""),ROWS(DM$1:DM31))),"")</f>
        <v>715.07137262520712</v>
      </c>
      <c r="DN136" s="166">
        <f t="shared" si="51"/>
        <v>136</v>
      </c>
      <c r="DO136" s="164">
        <f>IFERROR(INDEX(DG$106:DG$154,_xlfn.AGGREGATE(15,6,(ROW(DG$106:DG$154)-ROW(DG$106)+1)/(DG$106:DG$154&lt;&gt;""),ROWS(DO$1:DO31))),"")</f>
        <v>31</v>
      </c>
      <c r="DP136" s="165">
        <f>IFERROR(INDEX(DH$106:DH$154,_xlfn.AGGREGATE(15,6,(ROW(DH$106:DH$154)-ROW(DH$106)+1)/(DH$106:DH$154&lt;&gt;""),ROWS(DP$1:DP31))),"")</f>
        <v>818.67756227683651</v>
      </c>
      <c r="DQ136" s="166">
        <f t="shared" si="52"/>
        <v>136</v>
      </c>
      <c r="DV136" s="145">
        <v>2045</v>
      </c>
      <c r="DW136" s="235">
        <f t="shared" ca="1" si="37"/>
        <v>714.82455907654821</v>
      </c>
      <c r="EA136" s="55"/>
      <c r="EB136" s="55"/>
      <c r="EC136" s="55"/>
      <c r="ED136" s="55"/>
      <c r="EE136" s="55"/>
    </row>
    <row r="137" spans="2:135" ht="13.8" x14ac:dyDescent="0.45">
      <c r="B137" s="128">
        <v>2043</v>
      </c>
      <c r="C137" s="175">
        <f>'Total MSW Summaries (Archive)'!D34</f>
        <v>610.88350788141065</v>
      </c>
      <c r="D137" s="159">
        <f>'Total MSW Summaries (Archive)'!P34</f>
        <v>677.12501709493176</v>
      </c>
      <c r="E137" s="151">
        <f>'Total MSW Summaries (Archive)'!AB34</f>
        <v>882.35399999999959</v>
      </c>
      <c r="F137" s="152">
        <f>'Total MSW Summaries (Archive)'!AN34</f>
        <v>751.50921173644122</v>
      </c>
      <c r="G137" s="159">
        <f>'Total MSW Summaries (Archive)'!AZ34</f>
        <v>619.05405405405361</v>
      </c>
      <c r="H137" s="204"/>
      <c r="I137" s="206"/>
      <c r="J137" s="207"/>
      <c r="K137" s="204"/>
      <c r="L137" s="206"/>
      <c r="M137" s="204"/>
      <c r="N137" s="29" t="s">
        <v>119</v>
      </c>
      <c r="O137" s="120"/>
      <c r="P137" s="120"/>
      <c r="Q137" s="120"/>
      <c r="R137" s="29">
        <v>29</v>
      </c>
      <c r="S137" s="154">
        <f t="shared" si="38"/>
        <v>610.88350788141065</v>
      </c>
      <c r="T137" s="154">
        <f t="shared" si="39"/>
        <v>882.35399999999959</v>
      </c>
      <c r="U137" s="154">
        <f t="shared" si="40"/>
        <v>100.58673502529555</v>
      </c>
      <c r="W137" s="154">
        <f t="shared" si="41"/>
        <v>607.59842312807177</v>
      </c>
      <c r="X137" s="154">
        <f t="shared" si="42"/>
        <v>708.1851581533673</v>
      </c>
      <c r="Y137" s="154">
        <f t="shared" si="43"/>
        <v>808.77189317866282</v>
      </c>
      <c r="AA137" s="89"/>
      <c r="AB137" s="89"/>
      <c r="AC137" s="89"/>
      <c r="AD137" s="89"/>
      <c r="AE137" s="89"/>
      <c r="AF137" s="89"/>
      <c r="AG137" s="89"/>
      <c r="AH137" s="89"/>
      <c r="AI137" s="89"/>
      <c r="AJ137" s="89"/>
      <c r="AK137" s="89"/>
      <c r="AL137" s="89"/>
      <c r="AM137" s="89"/>
      <c r="AN137" s="89"/>
      <c r="BR137" s="180">
        <v>2041</v>
      </c>
      <c r="BS137" s="22">
        <v>27</v>
      </c>
      <c r="BT137" s="181">
        <f t="shared" si="54"/>
        <v>110.29062845291165</v>
      </c>
      <c r="BU137" s="182">
        <f t="shared" si="55"/>
        <v>592.00614409760874</v>
      </c>
      <c r="BV137" s="205">
        <f t="shared" si="56"/>
        <v>702.29677255052036</v>
      </c>
      <c r="BY137" s="180">
        <v>2041</v>
      </c>
      <c r="BZ137" s="22">
        <v>27</v>
      </c>
      <c r="CA137" s="198">
        <f t="shared" ca="1" si="57"/>
        <v>-17.067798232739111</v>
      </c>
      <c r="CB137" s="198">
        <f t="shared" ca="1" si="58"/>
        <v>130.51913006208389</v>
      </c>
      <c r="CC137" s="186">
        <f t="shared" ca="1" si="69"/>
        <v>587.88552339944408</v>
      </c>
      <c r="CD137" s="205">
        <f t="shared" ca="1" si="59"/>
        <v>701.33685522878886</v>
      </c>
      <c r="CG137" s="180">
        <v>2041</v>
      </c>
      <c r="CH137" s="22">
        <v>27</v>
      </c>
      <c r="CI137" s="198">
        <f t="shared" ca="1" si="60"/>
        <v>-6.7344994217664311</v>
      </c>
      <c r="CJ137" s="198">
        <f t="shared" ca="1" si="61"/>
        <v>-5.0953548162654414</v>
      </c>
      <c r="CK137" s="198">
        <f t="shared" ca="1" si="62"/>
        <v>124.75277266967433</v>
      </c>
      <c r="CL137" s="186">
        <f t="shared" ca="1" si="63"/>
        <v>588.49974751985019</v>
      </c>
      <c r="CM137" s="205">
        <f t="shared" ca="1" si="64"/>
        <v>701.4226659514926</v>
      </c>
      <c r="CP137" s="180">
        <v>2041</v>
      </c>
      <c r="CQ137" s="22">
        <v>27</v>
      </c>
      <c r="CR137" s="198">
        <f t="shared" ca="1" si="65"/>
        <v>593.97870804003173</v>
      </c>
      <c r="CS137" s="186">
        <f t="shared" ca="1" si="66"/>
        <v>1.1834937468656785</v>
      </c>
      <c r="CT137" s="205">
        <f t="shared" ca="1" si="67"/>
        <v>702.97008673673213</v>
      </c>
      <c r="CZ137" s="164" t="b">
        <f t="shared" si="44"/>
        <v>1</v>
      </c>
      <c r="DA137" s="165" t="b">
        <f t="shared" si="44"/>
        <v>1</v>
      </c>
      <c r="DB137" s="166" t="b">
        <f t="shared" si="44"/>
        <v>1</v>
      </c>
      <c r="DC137" s="164">
        <f t="shared" si="53"/>
        <v>29</v>
      </c>
      <c r="DD137" s="166">
        <f t="shared" si="45"/>
        <v>607.59842312807177</v>
      </c>
      <c r="DE137" s="164">
        <f t="shared" si="46"/>
        <v>29</v>
      </c>
      <c r="DF137" s="166">
        <f t="shared" si="47"/>
        <v>708.1851581533673</v>
      </c>
      <c r="DG137" s="164">
        <f t="shared" si="48"/>
        <v>29</v>
      </c>
      <c r="DH137" s="166">
        <f t="shared" si="49"/>
        <v>808.77189317866282</v>
      </c>
      <c r="DI137" s="164" t="str">
        <f>IFERROR(INDEX(DC$106:DC$154,_xlfn.AGGREGATE(15,6,(ROW(DC$106:DC$154)-ROW(DC$106)+1)/(DC$106:DC$154&lt;&gt;""),ROWS(DI$1:DI32))),"")</f>
        <v/>
      </c>
      <c r="DJ137" s="165" t="str">
        <f>IFERROR(INDEX(DD$106:DD$154,_xlfn.AGGREGATE(15,6,(ROW(DD$106:DD$154)-ROW(DD$106)+1)/(DD$106:DD$154&lt;&gt;""),ROWS(DJ$1:DJ32))),"")</f>
        <v/>
      </c>
      <c r="DK137" s="166" t="str">
        <f t="shared" si="50"/>
        <v/>
      </c>
      <c r="DL137" s="164" t="str">
        <f>IFERROR(INDEX(DE$106:DE$154,_xlfn.AGGREGATE(15,6,(ROW(DE$106:DE$154)-ROW(DE$106)+1)/(DE$106:DE$154&lt;&gt;""),ROWS(DL$1:DL32))),"")</f>
        <v/>
      </c>
      <c r="DM137" s="165" t="str">
        <f>IFERROR(INDEX(DF$106:DF$154,_xlfn.AGGREGATE(15,6,(ROW(DF$106:DF$154)-ROW(DF$106)+1)/(DF$106:DF$154&lt;&gt;""),ROWS(DM$1:DM32))),"")</f>
        <v/>
      </c>
      <c r="DN137" s="166" t="str">
        <f t="shared" si="51"/>
        <v/>
      </c>
      <c r="DO137" s="164" t="str">
        <f>IFERROR(INDEX(DG$106:DG$154,_xlfn.AGGREGATE(15,6,(ROW(DG$106:DG$154)-ROW(DG$106)+1)/(DG$106:DG$154&lt;&gt;""),ROWS(DO$1:DO32))),"")</f>
        <v/>
      </c>
      <c r="DP137" s="165" t="str">
        <f>IFERROR(INDEX(DH$106:DH$154,_xlfn.AGGREGATE(15,6,(ROW(DH$106:DH$154)-ROW(DH$106)+1)/(DH$106:DH$154&lt;&gt;""),ROWS(DP$1:DP32))),"")</f>
        <v/>
      </c>
      <c r="DQ137" s="166" t="str">
        <f t="shared" si="52"/>
        <v/>
      </c>
      <c r="DV137" s="145">
        <v>2046</v>
      </c>
      <c r="DW137" s="235">
        <f t="shared" ca="1" si="37"/>
        <v>717.98611818619236</v>
      </c>
      <c r="EA137" s="55"/>
      <c r="EB137" s="55"/>
      <c r="EC137" s="55"/>
      <c r="ED137" s="55"/>
      <c r="EE137" s="55"/>
    </row>
    <row r="138" spans="2:135" ht="13.8" x14ac:dyDescent="0.45">
      <c r="B138" s="128">
        <v>2044</v>
      </c>
      <c r="C138" s="175">
        <f>'Total MSW Summaries (Archive)'!D35</f>
        <v>613.04737380083236</v>
      </c>
      <c r="D138" s="159">
        <f>'Total MSW Summaries (Archive)'!P35</f>
        <v>677.23556508631827</v>
      </c>
      <c r="E138" s="151">
        <f>'Total MSW Summaries (Archive)'!AB35</f>
        <v>889.83999999999958</v>
      </c>
      <c r="F138" s="152">
        <f>'Total MSW Summaries (Archive)'!AN35</f>
        <v>753.14003148147185</v>
      </c>
      <c r="G138" s="159">
        <f>'Total MSW Summaries (Archive)'!AZ35</f>
        <v>624.18918918918871</v>
      </c>
      <c r="H138" s="204"/>
      <c r="I138" s="206"/>
      <c r="J138" s="207"/>
      <c r="K138" s="204"/>
      <c r="L138" s="206"/>
      <c r="M138" s="204"/>
      <c r="N138" s="29" t="s">
        <v>119</v>
      </c>
      <c r="O138" s="120"/>
      <c r="P138" s="120"/>
      <c r="Q138" s="120"/>
      <c r="R138" s="29">
        <v>30</v>
      </c>
      <c r="S138" s="154">
        <f t="shared" si="38"/>
        <v>613.04737380083236</v>
      </c>
      <c r="T138" s="154">
        <f t="shared" si="39"/>
        <v>889.83999999999958</v>
      </c>
      <c r="U138" s="154">
        <f t="shared" si="40"/>
        <v>102.00901543877812</v>
      </c>
      <c r="W138" s="154">
        <f t="shared" si="41"/>
        <v>609.48141647278408</v>
      </c>
      <c r="X138" s="154">
        <f t="shared" si="42"/>
        <v>711.49043191156215</v>
      </c>
      <c r="Y138" s="154">
        <f t="shared" si="43"/>
        <v>813.49944735034023</v>
      </c>
      <c r="AA138" s="89"/>
      <c r="AB138" s="89"/>
      <c r="AC138" s="89"/>
      <c r="AD138" s="89"/>
      <c r="AE138" s="89"/>
      <c r="AF138" s="89"/>
      <c r="AG138" s="89"/>
      <c r="AH138" s="89"/>
      <c r="AI138" s="89"/>
      <c r="AJ138" s="89"/>
      <c r="AK138" s="89"/>
      <c r="AL138" s="89"/>
      <c r="AM138" s="89"/>
      <c r="AN138" s="89"/>
      <c r="BR138" s="180">
        <v>2042</v>
      </c>
      <c r="BS138" s="22">
        <v>28</v>
      </c>
      <c r="BT138" s="181">
        <f t="shared" si="54"/>
        <v>114.37546654376024</v>
      </c>
      <c r="BU138" s="182">
        <f t="shared" si="55"/>
        <v>592.00614409760874</v>
      </c>
      <c r="BV138" s="205">
        <f t="shared" si="56"/>
        <v>706.38161064136898</v>
      </c>
      <c r="BY138" s="180">
        <v>2042</v>
      </c>
      <c r="BZ138" s="22">
        <v>28</v>
      </c>
      <c r="CA138" s="198">
        <f t="shared" ca="1" si="57"/>
        <v>-18.355492200915588</v>
      </c>
      <c r="CB138" s="198">
        <f t="shared" ca="1" si="58"/>
        <v>135.35317191623517</v>
      </c>
      <c r="CC138" s="186">
        <f t="shared" ca="1" si="69"/>
        <v>587.88552339944408</v>
      </c>
      <c r="CD138" s="205">
        <f t="shared" ca="1" si="59"/>
        <v>704.88320311476366</v>
      </c>
      <c r="CG138" s="180">
        <v>2042</v>
      </c>
      <c r="CH138" s="22">
        <v>28</v>
      </c>
      <c r="CI138" s="198">
        <f t="shared" ca="1" si="60"/>
        <v>-7.5108332727031808</v>
      </c>
      <c r="CJ138" s="198">
        <f t="shared" ca="1" si="61"/>
        <v>-5.479778019138692</v>
      </c>
      <c r="CK138" s="198">
        <f t="shared" ca="1" si="62"/>
        <v>129.37324573151412</v>
      </c>
      <c r="CL138" s="186">
        <f t="shared" ca="1" si="63"/>
        <v>588.49974751985019</v>
      </c>
      <c r="CM138" s="205">
        <f t="shared" ca="1" si="64"/>
        <v>704.88238195952249</v>
      </c>
      <c r="CP138" s="180">
        <v>2042</v>
      </c>
      <c r="CQ138" s="22">
        <v>28</v>
      </c>
      <c r="CR138" s="198">
        <f t="shared" ca="1" si="65"/>
        <v>593.97870804003173</v>
      </c>
      <c r="CS138" s="186">
        <f t="shared" ca="1" si="66"/>
        <v>1.1909014341881485</v>
      </c>
      <c r="CT138" s="205">
        <f t="shared" ca="1" si="67"/>
        <v>707.3700952820974</v>
      </c>
      <c r="CZ138" s="164" t="b">
        <f t="shared" si="44"/>
        <v>1</v>
      </c>
      <c r="DA138" s="165" t="b">
        <f t="shared" si="44"/>
        <v>1</v>
      </c>
      <c r="DB138" s="166" t="b">
        <f t="shared" si="44"/>
        <v>1</v>
      </c>
      <c r="DC138" s="164">
        <f t="shared" si="53"/>
        <v>30</v>
      </c>
      <c r="DD138" s="166">
        <f t="shared" si="45"/>
        <v>609.48141647278408</v>
      </c>
      <c r="DE138" s="164">
        <f t="shared" si="46"/>
        <v>30</v>
      </c>
      <c r="DF138" s="166">
        <f t="shared" si="47"/>
        <v>711.49043191156215</v>
      </c>
      <c r="DG138" s="164">
        <f t="shared" si="48"/>
        <v>30</v>
      </c>
      <c r="DH138" s="166">
        <f t="shared" si="49"/>
        <v>813.49944735034023</v>
      </c>
      <c r="DI138" s="164" t="str">
        <f>IFERROR(INDEX(DC$106:DC$154,_xlfn.AGGREGATE(15,6,(ROW(DC$106:DC$154)-ROW(DC$106)+1)/(DC$106:DC$154&lt;&gt;""),ROWS(DI$1:DI33))),"")</f>
        <v/>
      </c>
      <c r="DJ138" s="165" t="str">
        <f>IFERROR(INDEX(DD$106:DD$154,_xlfn.AGGREGATE(15,6,(ROW(DD$106:DD$154)-ROW(DD$106)+1)/(DD$106:DD$154&lt;&gt;""),ROWS(DJ$1:DJ33))),"")</f>
        <v/>
      </c>
      <c r="DK138" s="166" t="str">
        <f t="shared" si="50"/>
        <v/>
      </c>
      <c r="DL138" s="164" t="str">
        <f>IFERROR(INDEX(DE$106:DE$154,_xlfn.AGGREGATE(15,6,(ROW(DE$106:DE$154)-ROW(DE$106)+1)/(DE$106:DE$154&lt;&gt;""),ROWS(DL$1:DL33))),"")</f>
        <v/>
      </c>
      <c r="DM138" s="165" t="str">
        <f>IFERROR(INDEX(DF$106:DF$154,_xlfn.AGGREGATE(15,6,(ROW(DF$106:DF$154)-ROW(DF$106)+1)/(DF$106:DF$154&lt;&gt;""),ROWS(DM$1:DM33))),"")</f>
        <v/>
      </c>
      <c r="DN138" s="166" t="str">
        <f t="shared" si="51"/>
        <v/>
      </c>
      <c r="DO138" s="164" t="str">
        <f>IFERROR(INDEX(DG$106:DG$154,_xlfn.AGGREGATE(15,6,(ROW(DG$106:DG$154)-ROW(DG$106)+1)/(DG$106:DG$154&lt;&gt;""),ROWS(DO$1:DO33))),"")</f>
        <v/>
      </c>
      <c r="DP138" s="165" t="str">
        <f>IFERROR(INDEX(DH$106:DH$154,_xlfn.AGGREGATE(15,6,(ROW(DH$106:DH$154)-ROW(DH$106)+1)/(DH$106:DH$154&lt;&gt;""),ROWS(DP$1:DP33))),"")</f>
        <v/>
      </c>
      <c r="DQ138" s="166" t="str">
        <f t="shared" si="52"/>
        <v/>
      </c>
      <c r="DV138" s="145">
        <v>2047</v>
      </c>
      <c r="DW138" s="235">
        <f t="shared" ca="1" si="37"/>
        <v>721.06800585098279</v>
      </c>
      <c r="EA138" s="55"/>
      <c r="EB138" s="55"/>
      <c r="EC138" s="55"/>
      <c r="ED138" s="55"/>
      <c r="EE138" s="55"/>
    </row>
    <row r="139" spans="2:135" ht="13.8" x14ac:dyDescent="0.45">
      <c r="B139" s="128">
        <v>2045</v>
      </c>
      <c r="C139" s="175">
        <f>'Total MSW Summaries (Archive)'!D36</f>
        <v>615.17452387699575</v>
      </c>
      <c r="D139" s="159">
        <f>'Total MSW Summaries (Archive)'!P36</f>
        <v>677.28953843001557</v>
      </c>
      <c r="E139" s="151">
        <f>'Total MSW Summaries (Archive)'!AB36</f>
        <v>897.32599999999957</v>
      </c>
      <c r="F139" s="152">
        <f>'Total MSW Summaries (Archive)'!AN36</f>
        <v>756.24247649470078</v>
      </c>
      <c r="G139" s="159">
        <f>'Total MSW Summaries (Archive)'!AZ36</f>
        <v>629.32432432432381</v>
      </c>
      <c r="H139" s="204"/>
      <c r="I139" s="206"/>
      <c r="J139" s="207"/>
      <c r="K139" s="204"/>
      <c r="L139" s="206"/>
      <c r="M139" s="204"/>
      <c r="N139" s="29" t="s">
        <v>119</v>
      </c>
      <c r="O139" s="120"/>
      <c r="P139" s="120"/>
      <c r="Q139" s="120"/>
      <c r="R139" s="29">
        <v>31</v>
      </c>
      <c r="S139" s="154">
        <f t="shared" si="38"/>
        <v>615.17452387699575</v>
      </c>
      <c r="T139" s="154">
        <f t="shared" si="39"/>
        <v>897.32599999999957</v>
      </c>
      <c r="U139" s="154">
        <f t="shared" si="40"/>
        <v>103.60618965162939</v>
      </c>
      <c r="W139" s="154">
        <f t="shared" si="41"/>
        <v>611.46518297357773</v>
      </c>
      <c r="X139" s="154">
        <f t="shared" si="42"/>
        <v>715.07137262520712</v>
      </c>
      <c r="Y139" s="154">
        <f t="shared" si="43"/>
        <v>818.67756227683651</v>
      </c>
      <c r="AA139" s="89"/>
      <c r="AB139" s="89"/>
      <c r="AC139" s="89"/>
      <c r="AD139" s="89"/>
      <c r="AE139" s="89"/>
      <c r="AF139" s="89"/>
      <c r="AG139" s="89"/>
      <c r="AH139" s="89"/>
      <c r="AI139" s="89"/>
      <c r="AJ139" s="89"/>
      <c r="AK139" s="89"/>
      <c r="AL139" s="89"/>
      <c r="AM139" s="89"/>
      <c r="AN139" s="89"/>
      <c r="BR139" s="180">
        <v>2043</v>
      </c>
      <c r="BS139" s="22">
        <v>29</v>
      </c>
      <c r="BT139" s="181">
        <f t="shared" si="54"/>
        <v>118.46030463460882</v>
      </c>
      <c r="BU139" s="182">
        <f t="shared" si="55"/>
        <v>592.00614409760874</v>
      </c>
      <c r="BV139" s="205">
        <f t="shared" si="56"/>
        <v>710.4664487322176</v>
      </c>
      <c r="BY139" s="180">
        <v>2043</v>
      </c>
      <c r="BZ139" s="22">
        <v>29</v>
      </c>
      <c r="CA139" s="198">
        <f t="shared" ca="1" si="57"/>
        <v>-19.690011404298481</v>
      </c>
      <c r="CB139" s="198">
        <f t="shared" ca="1" si="58"/>
        <v>140.18721377038642</v>
      </c>
      <c r="CC139" s="186">
        <f t="shared" ca="1" si="69"/>
        <v>587.88552339944408</v>
      </c>
      <c r="CD139" s="205">
        <f t="shared" ca="1" si="59"/>
        <v>708.38272576553209</v>
      </c>
      <c r="CG139" s="180">
        <v>2043</v>
      </c>
      <c r="CH139" s="22">
        <v>29</v>
      </c>
      <c r="CI139" s="198">
        <f t="shared" ca="1" si="60"/>
        <v>-8.3446479905228621</v>
      </c>
      <c r="CJ139" s="198">
        <f t="shared" ca="1" si="61"/>
        <v>-5.8781802475709695</v>
      </c>
      <c r="CK139" s="198">
        <f t="shared" ca="1" si="62"/>
        <v>133.99371879335391</v>
      </c>
      <c r="CL139" s="186">
        <f t="shared" ca="1" si="63"/>
        <v>588.49974751985019</v>
      </c>
      <c r="CM139" s="205">
        <f t="shared" ca="1" si="64"/>
        <v>708.27063807511024</v>
      </c>
      <c r="CP139" s="180">
        <v>2043</v>
      </c>
      <c r="CQ139" s="22">
        <v>29</v>
      </c>
      <c r="CR139" s="198">
        <f t="shared" ca="1" si="65"/>
        <v>593.97870804003173</v>
      </c>
      <c r="CS139" s="186">
        <f t="shared" ca="1" si="66"/>
        <v>1.1983554874771585</v>
      </c>
      <c r="CT139" s="205">
        <f t="shared" ca="1" si="67"/>
        <v>711.79764422436506</v>
      </c>
      <c r="CZ139" s="164" t="b">
        <f t="shared" si="44"/>
        <v>1</v>
      </c>
      <c r="DA139" s="165" t="b">
        <f t="shared" si="44"/>
        <v>1</v>
      </c>
      <c r="DB139" s="166" t="b">
        <f t="shared" si="44"/>
        <v>1</v>
      </c>
      <c r="DC139" s="164">
        <f t="shared" si="53"/>
        <v>31</v>
      </c>
      <c r="DD139" s="166">
        <f t="shared" si="45"/>
        <v>611.46518297357773</v>
      </c>
      <c r="DE139" s="164">
        <f t="shared" si="46"/>
        <v>31</v>
      </c>
      <c r="DF139" s="166">
        <f t="shared" si="47"/>
        <v>715.07137262520712</v>
      </c>
      <c r="DG139" s="164">
        <f t="shared" si="48"/>
        <v>31</v>
      </c>
      <c r="DH139" s="166">
        <f t="shared" si="49"/>
        <v>818.67756227683651</v>
      </c>
      <c r="DI139" s="164" t="str">
        <f>IFERROR(INDEX(DC$106:DC$154,_xlfn.AGGREGATE(15,6,(ROW(DC$106:DC$154)-ROW(DC$106)+1)/(DC$106:DC$154&lt;&gt;""),ROWS(DI$1:DI34))),"")</f>
        <v/>
      </c>
      <c r="DJ139" s="165" t="str">
        <f>IFERROR(INDEX(DD$106:DD$154,_xlfn.AGGREGATE(15,6,(ROW(DD$106:DD$154)-ROW(DD$106)+1)/(DD$106:DD$154&lt;&gt;""),ROWS(DJ$1:DJ34))),"")</f>
        <v/>
      </c>
      <c r="DK139" s="166" t="str">
        <f t="shared" si="50"/>
        <v/>
      </c>
      <c r="DL139" s="164" t="str">
        <f>IFERROR(INDEX(DE$106:DE$154,_xlfn.AGGREGATE(15,6,(ROW(DE$106:DE$154)-ROW(DE$106)+1)/(DE$106:DE$154&lt;&gt;""),ROWS(DL$1:DL34))),"")</f>
        <v/>
      </c>
      <c r="DM139" s="165" t="str">
        <f>IFERROR(INDEX(DF$106:DF$154,_xlfn.AGGREGATE(15,6,(ROW(DF$106:DF$154)-ROW(DF$106)+1)/(DF$106:DF$154&lt;&gt;""),ROWS(DM$1:DM34))),"")</f>
        <v/>
      </c>
      <c r="DN139" s="166" t="str">
        <f t="shared" si="51"/>
        <v/>
      </c>
      <c r="DO139" s="164" t="str">
        <f>IFERROR(INDEX(DG$106:DG$154,_xlfn.AGGREGATE(15,6,(ROW(DG$106:DG$154)-ROW(DG$106)+1)/(DG$106:DG$154&lt;&gt;""),ROWS(DO$1:DO34))),"")</f>
        <v/>
      </c>
      <c r="DP139" s="165" t="str">
        <f>IFERROR(INDEX(DH$106:DH$154,_xlfn.AGGREGATE(15,6,(ROW(DH$106:DH$154)-ROW(DH$106)+1)/(DH$106:DH$154&lt;&gt;""),ROWS(DP$1:DP34))),"")</f>
        <v/>
      </c>
      <c r="DQ139" s="166" t="str">
        <f t="shared" si="52"/>
        <v/>
      </c>
      <c r="DV139" s="145">
        <v>2048</v>
      </c>
      <c r="DW139" s="235">
        <f t="shared" ca="1" si="37"/>
        <v>724.06816918281629</v>
      </c>
      <c r="EA139" s="55"/>
      <c r="EB139" s="55"/>
      <c r="EC139" s="55"/>
      <c r="ED139" s="55"/>
      <c r="EE139" s="55"/>
    </row>
    <row r="140" spans="2:135" ht="13.8" x14ac:dyDescent="0.45">
      <c r="B140" s="128">
        <v>2046</v>
      </c>
      <c r="C140" s="175"/>
      <c r="D140" s="199"/>
      <c r="E140" s="204"/>
      <c r="F140" s="206"/>
      <c r="G140" s="207"/>
      <c r="H140" s="204"/>
      <c r="I140" s="206"/>
      <c r="J140" s="207"/>
      <c r="K140" s="204"/>
      <c r="L140" s="206"/>
      <c r="M140" s="204"/>
      <c r="N140" s="29" t="s">
        <v>119</v>
      </c>
      <c r="O140" s="120"/>
      <c r="P140" s="120"/>
      <c r="Q140" s="120"/>
      <c r="R140" s="29">
        <v>32</v>
      </c>
      <c r="S140" s="154" t="str">
        <f t="shared" si="38"/>
        <v/>
      </c>
      <c r="T140" s="154" t="str">
        <f t="shared" si="39"/>
        <v/>
      </c>
      <c r="U140" s="154" t="str">
        <f t="shared" si="40"/>
        <v/>
      </c>
      <c r="W140" s="154" t="e">
        <f t="shared" si="41"/>
        <v>#N/A</v>
      </c>
      <c r="X140" s="154" t="e">
        <f t="shared" si="42"/>
        <v>#N/A</v>
      </c>
      <c r="Y140" s="154" t="e">
        <f t="shared" si="43"/>
        <v>#N/A</v>
      </c>
      <c r="AA140" s="89"/>
      <c r="AB140" s="89"/>
      <c r="AC140" s="89"/>
      <c r="AD140" s="89"/>
      <c r="AE140" s="89"/>
      <c r="AF140" s="89"/>
      <c r="AG140" s="89"/>
      <c r="AH140" s="89"/>
      <c r="AI140" s="89"/>
      <c r="AJ140" s="89"/>
      <c r="AK140" s="89"/>
      <c r="AL140" s="89"/>
      <c r="AM140" s="89"/>
      <c r="AN140" s="89"/>
      <c r="BR140" s="180">
        <v>2044</v>
      </c>
      <c r="BS140" s="22">
        <v>30</v>
      </c>
      <c r="BT140" s="181">
        <f t="shared" si="54"/>
        <v>122.5451427254574</v>
      </c>
      <c r="BU140" s="182">
        <f t="shared" si="55"/>
        <v>592.00614409760874</v>
      </c>
      <c r="BV140" s="205">
        <f t="shared" si="56"/>
        <v>714.55128682306611</v>
      </c>
      <c r="BY140" s="180">
        <v>2044</v>
      </c>
      <c r="BZ140" s="22">
        <v>30</v>
      </c>
      <c r="CA140" s="198">
        <f t="shared" ca="1" si="57"/>
        <v>-21.07135584288779</v>
      </c>
      <c r="CB140" s="198">
        <f t="shared" ca="1" si="58"/>
        <v>145.02125562453767</v>
      </c>
      <c r="CC140" s="186">
        <f t="shared" ca="1" si="69"/>
        <v>587.88552339944408</v>
      </c>
      <c r="CD140" s="205">
        <f t="shared" ca="1" si="59"/>
        <v>711.83542318109403</v>
      </c>
      <c r="CG140" s="180">
        <v>2044</v>
      </c>
      <c r="CH140" s="22">
        <v>30</v>
      </c>
      <c r="CI140" s="198">
        <f t="shared" ca="1" si="60"/>
        <v>-9.2379964633284377</v>
      </c>
      <c r="CJ140" s="198">
        <f t="shared" ca="1" si="61"/>
        <v>-6.2905615015622738</v>
      </c>
      <c r="CK140" s="198">
        <f t="shared" ca="1" si="62"/>
        <v>138.6141918551937</v>
      </c>
      <c r="CL140" s="186">
        <f t="shared" ca="1" si="63"/>
        <v>588.49974751985019</v>
      </c>
      <c r="CM140" s="205">
        <f t="shared" ca="1" si="64"/>
        <v>711.58538141015322</v>
      </c>
      <c r="CP140" s="180">
        <v>2044</v>
      </c>
      <c r="CQ140" s="22">
        <v>30</v>
      </c>
      <c r="CR140" s="198">
        <f t="shared" ca="1" si="65"/>
        <v>593.97870804003173</v>
      </c>
      <c r="CS140" s="186">
        <f t="shared" ca="1" si="66"/>
        <v>1.2058561969451271</v>
      </c>
      <c r="CT140" s="205">
        <f t="shared" ca="1" si="67"/>
        <v>716.25290594353271</v>
      </c>
      <c r="CZ140" s="164" t="b">
        <f t="shared" si="44"/>
        <v>0</v>
      </c>
      <c r="DA140" s="165" t="b">
        <f t="shared" si="44"/>
        <v>0</v>
      </c>
      <c r="DB140" s="166" t="b">
        <f t="shared" si="44"/>
        <v>0</v>
      </c>
      <c r="DC140" s="164" t="str">
        <f t="shared" si="53"/>
        <v/>
      </c>
      <c r="DD140" s="166" t="str">
        <f t="shared" si="45"/>
        <v/>
      </c>
      <c r="DE140" s="164" t="str">
        <f t="shared" si="46"/>
        <v/>
      </c>
      <c r="DF140" s="166" t="str">
        <f t="shared" si="47"/>
        <v/>
      </c>
      <c r="DG140" s="164" t="str">
        <f t="shared" si="48"/>
        <v/>
      </c>
      <c r="DH140" s="166" t="str">
        <f t="shared" si="49"/>
        <v/>
      </c>
      <c r="DI140" s="164" t="str">
        <f>IFERROR(INDEX(DC$106:DC$154,_xlfn.AGGREGATE(15,6,(ROW(DC$106:DC$154)-ROW(DC$106)+1)/(DC$106:DC$154&lt;&gt;""),ROWS(DI$1:DI35))),"")</f>
        <v/>
      </c>
      <c r="DJ140" s="165" t="str">
        <f>IFERROR(INDEX(DD$106:DD$154,_xlfn.AGGREGATE(15,6,(ROW(DD$106:DD$154)-ROW(DD$106)+1)/(DD$106:DD$154&lt;&gt;""),ROWS(DJ$1:DJ35))),"")</f>
        <v/>
      </c>
      <c r="DK140" s="166" t="str">
        <f t="shared" si="50"/>
        <v/>
      </c>
      <c r="DL140" s="164" t="str">
        <f>IFERROR(INDEX(DE$106:DE$154,_xlfn.AGGREGATE(15,6,(ROW(DE$106:DE$154)-ROW(DE$106)+1)/(DE$106:DE$154&lt;&gt;""),ROWS(DL$1:DL35))),"")</f>
        <v/>
      </c>
      <c r="DM140" s="165" t="str">
        <f>IFERROR(INDEX(DF$106:DF$154,_xlfn.AGGREGATE(15,6,(ROW(DF$106:DF$154)-ROW(DF$106)+1)/(DF$106:DF$154&lt;&gt;""),ROWS(DM$1:DM35))),"")</f>
        <v/>
      </c>
      <c r="DN140" s="166" t="str">
        <f t="shared" si="51"/>
        <v/>
      </c>
      <c r="DO140" s="164" t="str">
        <f>IFERROR(INDEX(DG$106:DG$154,_xlfn.AGGREGATE(15,6,(ROW(DG$106:DG$154)-ROW(DG$106)+1)/(DG$106:DG$154&lt;&gt;""),ROWS(DO$1:DO35))),"")</f>
        <v/>
      </c>
      <c r="DP140" s="165" t="str">
        <f>IFERROR(INDEX(DH$106:DH$154,_xlfn.AGGREGATE(15,6,(ROW(DH$106:DH$154)-ROW(DH$106)+1)/(DH$106:DH$154&lt;&gt;""),ROWS(DP$1:DP35))),"")</f>
        <v/>
      </c>
      <c r="DQ140" s="166" t="str">
        <f t="shared" si="52"/>
        <v/>
      </c>
      <c r="DV140" s="145">
        <v>2049</v>
      </c>
      <c r="DW140" s="235">
        <f t="shared" ca="1" si="37"/>
        <v>726.98455529359023</v>
      </c>
      <c r="EA140" s="55"/>
      <c r="EB140" s="55"/>
      <c r="EC140" s="55"/>
      <c r="ED140" s="55"/>
      <c r="EE140" s="55"/>
    </row>
    <row r="141" spans="2:135" ht="13.8" x14ac:dyDescent="0.45">
      <c r="B141" s="128">
        <v>2047</v>
      </c>
      <c r="C141" s="175"/>
      <c r="D141" s="199"/>
      <c r="E141" s="204"/>
      <c r="F141" s="206"/>
      <c r="G141" s="207"/>
      <c r="H141" s="204"/>
      <c r="I141" s="206"/>
      <c r="J141" s="207"/>
      <c r="K141" s="204"/>
      <c r="L141" s="206"/>
      <c r="M141" s="204"/>
      <c r="N141" s="29" t="s">
        <v>119</v>
      </c>
      <c r="O141" s="120"/>
      <c r="P141" s="120"/>
      <c r="Q141" s="120"/>
      <c r="R141" s="29">
        <v>33</v>
      </c>
      <c r="S141" s="154" t="str">
        <f t="shared" si="38"/>
        <v/>
      </c>
      <c r="T141" s="154" t="str">
        <f t="shared" si="39"/>
        <v/>
      </c>
      <c r="U141" s="154" t="str">
        <f t="shared" si="40"/>
        <v/>
      </c>
      <c r="W141" s="154" t="e">
        <f t="shared" si="41"/>
        <v>#N/A</v>
      </c>
      <c r="X141" s="154" t="e">
        <f t="shared" si="42"/>
        <v>#N/A</v>
      </c>
      <c r="Y141" s="154" t="e">
        <f t="shared" si="43"/>
        <v>#N/A</v>
      </c>
      <c r="AA141" s="89"/>
      <c r="AB141" s="89"/>
      <c r="AC141" s="89"/>
      <c r="AD141" s="89"/>
      <c r="AE141" s="89"/>
      <c r="AF141" s="89"/>
      <c r="AG141" s="89"/>
      <c r="AH141" s="89"/>
      <c r="AI141" s="89"/>
      <c r="AJ141" s="89"/>
      <c r="AK141" s="89"/>
      <c r="AL141" s="89"/>
      <c r="AM141" s="89"/>
      <c r="AN141" s="89"/>
      <c r="BR141" s="180">
        <v>2045</v>
      </c>
      <c r="BS141" s="22">
        <v>31</v>
      </c>
      <c r="BT141" s="181">
        <f t="shared" si="54"/>
        <v>126.62998081630597</v>
      </c>
      <c r="BU141" s="182">
        <f t="shared" si="55"/>
        <v>592.00614409760874</v>
      </c>
      <c r="BV141" s="205">
        <f t="shared" si="56"/>
        <v>718.63612491391473</v>
      </c>
      <c r="BY141" s="180">
        <v>2045</v>
      </c>
      <c r="BZ141" s="22">
        <v>31</v>
      </c>
      <c r="CA141" s="198">
        <f t="shared" ca="1" si="57"/>
        <v>-22.499525516683519</v>
      </c>
      <c r="CB141" s="198">
        <f t="shared" ca="1" si="58"/>
        <v>149.85529747868893</v>
      </c>
      <c r="CC141" s="198">
        <f t="shared" ca="1" si="69"/>
        <v>587.88552339944408</v>
      </c>
      <c r="CD141" s="205">
        <f t="shared" ca="1" si="59"/>
        <v>715.24129536144949</v>
      </c>
      <c r="CG141" s="180">
        <v>2045</v>
      </c>
      <c r="CH141" s="22">
        <v>31</v>
      </c>
      <c r="CI141" s="198">
        <f t="shared" ca="1" si="60"/>
        <v>-10.19293157922287</v>
      </c>
      <c r="CJ141" s="198">
        <f t="shared" ca="1" si="61"/>
        <v>-6.7169217811126058</v>
      </c>
      <c r="CK141" s="198">
        <f t="shared" ca="1" si="62"/>
        <v>143.23466491703348</v>
      </c>
      <c r="CL141" s="198">
        <f t="shared" ca="1" si="63"/>
        <v>588.49974751985019</v>
      </c>
      <c r="CM141" s="205">
        <f t="shared" ca="1" si="64"/>
        <v>714.82455907654821</v>
      </c>
      <c r="CP141" s="180">
        <v>2045</v>
      </c>
      <c r="CQ141" s="22">
        <v>31</v>
      </c>
      <c r="CR141" s="198">
        <f t="shared" ca="1" si="65"/>
        <v>593.97870804003173</v>
      </c>
      <c r="CS141" s="198">
        <f t="shared" ca="1" si="66"/>
        <v>1.2134038546209613</v>
      </c>
      <c r="CT141" s="205">
        <f t="shared" ca="1" si="67"/>
        <v>720.73605389855311</v>
      </c>
      <c r="CZ141" s="164" t="b">
        <f t="shared" si="44"/>
        <v>0</v>
      </c>
      <c r="DA141" s="165" t="b">
        <f t="shared" si="44"/>
        <v>0</v>
      </c>
      <c r="DB141" s="166" t="b">
        <f t="shared" si="44"/>
        <v>0</v>
      </c>
      <c r="DC141" s="164" t="str">
        <f t="shared" si="53"/>
        <v/>
      </c>
      <c r="DD141" s="166" t="str">
        <f t="shared" si="45"/>
        <v/>
      </c>
      <c r="DE141" s="164" t="str">
        <f t="shared" si="46"/>
        <v/>
      </c>
      <c r="DF141" s="166" t="str">
        <f t="shared" si="47"/>
        <v/>
      </c>
      <c r="DG141" s="164" t="str">
        <f t="shared" si="48"/>
        <v/>
      </c>
      <c r="DH141" s="166" t="str">
        <f t="shared" si="49"/>
        <v/>
      </c>
      <c r="DI141" s="164" t="str">
        <f>IFERROR(INDEX(DC$106:DC$154,_xlfn.AGGREGATE(15,6,(ROW(DC$106:DC$154)-ROW(DC$106)+1)/(DC$106:DC$154&lt;&gt;""),ROWS(DI$1:DI36))),"")</f>
        <v/>
      </c>
      <c r="DJ141" s="165" t="str">
        <f>IFERROR(INDEX(DD$106:DD$154,_xlfn.AGGREGATE(15,6,(ROW(DD$106:DD$154)-ROW(DD$106)+1)/(DD$106:DD$154&lt;&gt;""),ROWS(DJ$1:DJ36))),"")</f>
        <v/>
      </c>
      <c r="DK141" s="166" t="str">
        <f t="shared" si="50"/>
        <v/>
      </c>
      <c r="DL141" s="164" t="str">
        <f>IFERROR(INDEX(DE$106:DE$154,_xlfn.AGGREGATE(15,6,(ROW(DE$106:DE$154)-ROW(DE$106)+1)/(DE$106:DE$154&lt;&gt;""),ROWS(DL$1:DL36))),"")</f>
        <v/>
      </c>
      <c r="DM141" s="165" t="str">
        <f>IFERROR(INDEX(DF$106:DF$154,_xlfn.AGGREGATE(15,6,(ROW(DF$106:DF$154)-ROW(DF$106)+1)/(DF$106:DF$154&lt;&gt;""),ROWS(DM$1:DM36))),"")</f>
        <v/>
      </c>
      <c r="DN141" s="166" t="str">
        <f t="shared" si="51"/>
        <v/>
      </c>
      <c r="DO141" s="164" t="str">
        <f>IFERROR(INDEX(DG$106:DG$154,_xlfn.AGGREGATE(15,6,(ROW(DG$106:DG$154)-ROW(DG$106)+1)/(DG$106:DG$154&lt;&gt;""),ROWS(DO$1:DO36))),"")</f>
        <v/>
      </c>
      <c r="DP141" s="165" t="str">
        <f>IFERROR(INDEX(DH$106:DH$154,_xlfn.AGGREGATE(15,6,(ROW(DH$106:DH$154)-ROW(DH$106)+1)/(DH$106:DH$154&lt;&gt;""),ROWS(DP$1:DP36))),"")</f>
        <v/>
      </c>
      <c r="DQ141" s="166" t="str">
        <f t="shared" si="52"/>
        <v/>
      </c>
      <c r="DV141" s="145">
        <v>2050</v>
      </c>
      <c r="DW141" s="235">
        <f t="shared" ca="1" si="37"/>
        <v>729.8151112952014</v>
      </c>
      <c r="EA141" s="55"/>
      <c r="EB141" s="55"/>
      <c r="EC141" s="55"/>
      <c r="ED141" s="55"/>
      <c r="EE141" s="55"/>
    </row>
    <row r="142" spans="2:135" ht="13.8" x14ac:dyDescent="0.45">
      <c r="B142" s="128">
        <v>2048</v>
      </c>
      <c r="C142" s="175"/>
      <c r="D142" s="199"/>
      <c r="E142" s="204"/>
      <c r="F142" s="206"/>
      <c r="G142" s="207"/>
      <c r="H142" s="204"/>
      <c r="I142" s="206"/>
      <c r="J142" s="207"/>
      <c r="K142" s="204"/>
      <c r="L142" s="206"/>
      <c r="M142" s="204"/>
      <c r="N142" s="29" t="s">
        <v>119</v>
      </c>
      <c r="O142" s="120"/>
      <c r="P142" s="120"/>
      <c r="Q142" s="120"/>
      <c r="R142" s="29">
        <v>34</v>
      </c>
      <c r="S142" s="154" t="str">
        <f t="shared" si="38"/>
        <v/>
      </c>
      <c r="T142" s="154" t="str">
        <f t="shared" si="39"/>
        <v/>
      </c>
      <c r="U142" s="154" t="str">
        <f t="shared" si="40"/>
        <v/>
      </c>
      <c r="W142" s="154" t="e">
        <f t="shared" si="41"/>
        <v>#N/A</v>
      </c>
      <c r="X142" s="154" t="e">
        <f t="shared" si="42"/>
        <v>#N/A</v>
      </c>
      <c r="Y142" s="154" t="e">
        <f t="shared" si="43"/>
        <v>#N/A</v>
      </c>
      <c r="AA142" s="89"/>
      <c r="AB142" s="89"/>
      <c r="AC142" s="89"/>
      <c r="AD142" s="89"/>
      <c r="AE142" s="89"/>
      <c r="AF142" s="89"/>
      <c r="AG142" s="89"/>
      <c r="AH142" s="89"/>
      <c r="AI142" s="89"/>
      <c r="AJ142" s="89"/>
      <c r="AK142" s="89"/>
      <c r="AL142" s="89"/>
      <c r="AM142" s="89"/>
      <c r="AN142" s="89"/>
      <c r="BR142" s="180">
        <v>2046</v>
      </c>
      <c r="BS142" s="22">
        <v>32</v>
      </c>
      <c r="BT142" s="181">
        <f t="shared" si="54"/>
        <v>130.71481890715455</v>
      </c>
      <c r="BU142" s="182">
        <f t="shared" si="55"/>
        <v>592.00614409760874</v>
      </c>
      <c r="BV142" s="205">
        <f t="shared" si="56"/>
        <v>722.72096300476323</v>
      </c>
      <c r="BY142" s="180">
        <v>2046</v>
      </c>
      <c r="BZ142" s="22">
        <v>32</v>
      </c>
      <c r="CA142" s="198">
        <f t="shared" ca="1" si="57"/>
        <v>-23.974520425685665</v>
      </c>
      <c r="CB142" s="198">
        <f t="shared" ca="1" si="58"/>
        <v>154.68933933284018</v>
      </c>
      <c r="CC142" s="198">
        <f t="shared" ca="1" si="69"/>
        <v>587.88552339944408</v>
      </c>
      <c r="CD142" s="205">
        <f t="shared" ca="1" si="59"/>
        <v>718.60034230659858</v>
      </c>
      <c r="CG142" s="180">
        <v>2046</v>
      </c>
      <c r="CH142" s="22">
        <v>32</v>
      </c>
      <c r="CI142" s="198">
        <f t="shared" ca="1" si="60"/>
        <v>-11.211506226309121</v>
      </c>
      <c r="CJ142" s="198">
        <f t="shared" ca="1" si="61"/>
        <v>-7.1572610862219648</v>
      </c>
      <c r="CK142" s="198">
        <f t="shared" ca="1" si="62"/>
        <v>147.85513797887327</v>
      </c>
      <c r="CL142" s="198">
        <f t="shared" ca="1" si="63"/>
        <v>588.49974751985019</v>
      </c>
      <c r="CM142" s="205">
        <f t="shared" ca="1" si="64"/>
        <v>717.98611818619236</v>
      </c>
      <c r="CP142" s="180">
        <v>2046</v>
      </c>
      <c r="CQ142" s="22">
        <v>32</v>
      </c>
      <c r="CR142" s="198">
        <f t="shared" ca="1" si="65"/>
        <v>593.97870804003173</v>
      </c>
      <c r="CS142" s="198">
        <f t="shared" ca="1" si="66"/>
        <v>1.2209987543614262</v>
      </c>
      <c r="CT142" s="205">
        <f t="shared" ca="1" si="67"/>
        <v>725.24726263408797</v>
      </c>
      <c r="CZ142" s="164" t="b">
        <f t="shared" si="44"/>
        <v>0</v>
      </c>
      <c r="DA142" s="165" t="b">
        <f t="shared" si="44"/>
        <v>0</v>
      </c>
      <c r="DB142" s="166" t="b">
        <f t="shared" si="44"/>
        <v>0</v>
      </c>
      <c r="DC142" s="164" t="str">
        <f t="shared" si="53"/>
        <v/>
      </c>
      <c r="DD142" s="166" t="str">
        <f t="shared" si="45"/>
        <v/>
      </c>
      <c r="DE142" s="164" t="str">
        <f t="shared" si="46"/>
        <v/>
      </c>
      <c r="DF142" s="166" t="str">
        <f t="shared" si="47"/>
        <v/>
      </c>
      <c r="DG142" s="164" t="str">
        <f t="shared" si="48"/>
        <v/>
      </c>
      <c r="DH142" s="166" t="str">
        <f t="shared" si="49"/>
        <v/>
      </c>
      <c r="DI142" s="164" t="str">
        <f>IFERROR(INDEX(DC$106:DC$154,_xlfn.AGGREGATE(15,6,(ROW(DC$106:DC$154)-ROW(DC$106)+1)/(DC$106:DC$154&lt;&gt;""),ROWS(DI$1:DI37))),"")</f>
        <v/>
      </c>
      <c r="DJ142" s="165" t="str">
        <f>IFERROR(INDEX(DD$106:DD$154,_xlfn.AGGREGATE(15,6,(ROW(DD$106:DD$154)-ROW(DD$106)+1)/(DD$106:DD$154&lt;&gt;""),ROWS(DJ$1:DJ37))),"")</f>
        <v/>
      </c>
      <c r="DK142" s="166" t="str">
        <f t="shared" si="50"/>
        <v/>
      </c>
      <c r="DL142" s="164" t="str">
        <f>IFERROR(INDEX(DE$106:DE$154,_xlfn.AGGREGATE(15,6,(ROW(DE$106:DE$154)-ROW(DE$106)+1)/(DE$106:DE$154&lt;&gt;""),ROWS(DL$1:DL37))),"")</f>
        <v/>
      </c>
      <c r="DM142" s="165" t="str">
        <f>IFERROR(INDEX(DF$106:DF$154,_xlfn.AGGREGATE(15,6,(ROW(DF$106:DF$154)-ROW(DF$106)+1)/(DF$106:DF$154&lt;&gt;""),ROWS(DM$1:DM37))),"")</f>
        <v/>
      </c>
      <c r="DN142" s="166" t="str">
        <f t="shared" si="51"/>
        <v/>
      </c>
      <c r="DO142" s="164" t="str">
        <f>IFERROR(INDEX(DG$106:DG$154,_xlfn.AGGREGATE(15,6,(ROW(DG$106:DG$154)-ROW(DG$106)+1)/(DG$106:DG$154&lt;&gt;""),ROWS(DO$1:DO37))),"")</f>
        <v/>
      </c>
      <c r="DP142" s="165" t="str">
        <f>IFERROR(INDEX(DH$106:DH$154,_xlfn.AGGREGATE(15,6,(ROW(DH$106:DH$154)-ROW(DH$106)+1)/(DH$106:DH$154&lt;&gt;""),ROWS(DP$1:DP37))),"")</f>
        <v/>
      </c>
      <c r="DQ142" s="166" t="str">
        <f t="shared" si="52"/>
        <v/>
      </c>
      <c r="DV142" s="145">
        <v>2051</v>
      </c>
      <c r="DW142" s="235">
        <f t="shared" ca="1" si="37"/>
        <v>732.55778429954694</v>
      </c>
      <c r="EA142" s="55"/>
      <c r="EB142" s="55"/>
      <c r="EC142" s="55"/>
      <c r="ED142" s="55"/>
      <c r="EE142" s="55"/>
    </row>
    <row r="143" spans="2:135" ht="13.8" x14ac:dyDescent="0.45">
      <c r="B143" s="128">
        <v>2049</v>
      </c>
      <c r="C143" s="175"/>
      <c r="D143" s="199"/>
      <c r="E143" s="204"/>
      <c r="F143" s="206"/>
      <c r="G143" s="207"/>
      <c r="H143" s="204"/>
      <c r="I143" s="206"/>
      <c r="J143" s="207"/>
      <c r="K143" s="204"/>
      <c r="L143" s="206"/>
      <c r="M143" s="204"/>
      <c r="N143" s="29" t="s">
        <v>119</v>
      </c>
      <c r="O143" s="120"/>
      <c r="P143" s="120"/>
      <c r="Q143" s="120"/>
      <c r="R143" s="29">
        <v>35</v>
      </c>
      <c r="S143" s="154" t="str">
        <f t="shared" si="38"/>
        <v/>
      </c>
      <c r="T143" s="154" t="str">
        <f t="shared" si="39"/>
        <v/>
      </c>
      <c r="U143" s="154" t="str">
        <f t="shared" si="40"/>
        <v/>
      </c>
      <c r="W143" s="154" t="e">
        <f t="shared" si="41"/>
        <v>#N/A</v>
      </c>
      <c r="X143" s="154" t="e">
        <f t="shared" si="42"/>
        <v>#N/A</v>
      </c>
      <c r="Y143" s="154" t="e">
        <f t="shared" si="43"/>
        <v>#N/A</v>
      </c>
      <c r="AA143" s="89"/>
      <c r="AB143" s="89"/>
      <c r="AC143" s="89"/>
      <c r="AD143" s="89"/>
      <c r="AE143" s="89"/>
      <c r="AF143" s="89"/>
      <c r="AG143" s="89"/>
      <c r="AH143" s="89"/>
      <c r="AI143" s="89"/>
      <c r="AJ143" s="89"/>
      <c r="AK143" s="89"/>
      <c r="AL143" s="89"/>
      <c r="AM143" s="89"/>
      <c r="AN143" s="89"/>
      <c r="BR143" s="180">
        <v>2047</v>
      </c>
      <c r="BS143" s="22">
        <v>33</v>
      </c>
      <c r="BT143" s="181">
        <f t="shared" si="54"/>
        <v>134.79965699800314</v>
      </c>
      <c r="BU143" s="182">
        <f t="shared" si="55"/>
        <v>592.00614409760874</v>
      </c>
      <c r="BV143" s="205">
        <f t="shared" si="56"/>
        <v>726.80580109561186</v>
      </c>
      <c r="BY143" s="180">
        <v>2047</v>
      </c>
      <c r="BZ143" s="22">
        <v>33</v>
      </c>
      <c r="CA143" s="198">
        <f t="shared" ca="1" si="57"/>
        <v>-25.496340569894226</v>
      </c>
      <c r="CB143" s="198">
        <f t="shared" ca="1" si="58"/>
        <v>159.52338118699143</v>
      </c>
      <c r="CC143" s="198">
        <f t="shared" ca="1" si="69"/>
        <v>587.88552339944408</v>
      </c>
      <c r="CD143" s="205">
        <f t="shared" ca="1" si="59"/>
        <v>721.9125640165413</v>
      </c>
      <c r="CG143" s="180">
        <v>2047</v>
      </c>
      <c r="CH143" s="22">
        <v>33</v>
      </c>
      <c r="CI143" s="198">
        <f t="shared" ca="1" si="60"/>
        <v>-12.295773292690152</v>
      </c>
      <c r="CJ143" s="198">
        <f t="shared" ca="1" si="61"/>
        <v>-7.6115794168903514</v>
      </c>
      <c r="CK143" s="198">
        <f t="shared" ca="1" si="62"/>
        <v>152.47561104071306</v>
      </c>
      <c r="CL143" s="198">
        <f t="shared" ca="1" si="63"/>
        <v>588.49974751985019</v>
      </c>
      <c r="CM143" s="205">
        <f t="shared" ca="1" si="64"/>
        <v>721.06800585098279</v>
      </c>
      <c r="CP143" s="180">
        <v>2047</v>
      </c>
      <c r="CQ143" s="22">
        <v>33</v>
      </c>
      <c r="CR143" s="198">
        <f t="shared" ca="1" si="65"/>
        <v>593.97870804003173</v>
      </c>
      <c r="CS143" s="198">
        <f t="shared" ca="1" si="66"/>
        <v>1.2286411918625864</v>
      </c>
      <c r="CT143" s="205">
        <f t="shared" ca="1" si="67"/>
        <v>729.78670778730384</v>
      </c>
      <c r="CZ143" s="164" t="b">
        <f t="shared" si="44"/>
        <v>0</v>
      </c>
      <c r="DA143" s="165" t="b">
        <f t="shared" si="44"/>
        <v>0</v>
      </c>
      <c r="DB143" s="166" t="b">
        <f t="shared" si="44"/>
        <v>0</v>
      </c>
      <c r="DC143" s="164" t="str">
        <f t="shared" si="53"/>
        <v/>
      </c>
      <c r="DD143" s="166" t="str">
        <f t="shared" si="45"/>
        <v/>
      </c>
      <c r="DE143" s="164" t="str">
        <f t="shared" si="46"/>
        <v/>
      </c>
      <c r="DF143" s="166" t="str">
        <f t="shared" si="47"/>
        <v/>
      </c>
      <c r="DG143" s="164" t="str">
        <f t="shared" si="48"/>
        <v/>
      </c>
      <c r="DH143" s="166" t="str">
        <f t="shared" si="49"/>
        <v/>
      </c>
      <c r="DI143" s="164" t="str">
        <f>IFERROR(INDEX(DC$106:DC$154,_xlfn.AGGREGATE(15,6,(ROW(DC$106:DC$154)-ROW(DC$106)+1)/(DC$106:DC$154&lt;&gt;""),ROWS(DI$1:DI38))),"")</f>
        <v/>
      </c>
      <c r="DJ143" s="165" t="str">
        <f>IFERROR(INDEX(DD$106:DD$154,_xlfn.AGGREGATE(15,6,(ROW(DD$106:DD$154)-ROW(DD$106)+1)/(DD$106:DD$154&lt;&gt;""),ROWS(DJ$1:DJ38))),"")</f>
        <v/>
      </c>
      <c r="DK143" s="166" t="str">
        <f t="shared" si="50"/>
        <v/>
      </c>
      <c r="DL143" s="164" t="str">
        <f>IFERROR(INDEX(DE$106:DE$154,_xlfn.AGGREGATE(15,6,(ROW(DE$106:DE$154)-ROW(DE$106)+1)/(DE$106:DE$154&lt;&gt;""),ROWS(DL$1:DL38))),"")</f>
        <v/>
      </c>
      <c r="DM143" s="165" t="str">
        <f>IFERROR(INDEX(DF$106:DF$154,_xlfn.AGGREGATE(15,6,(ROW(DF$106:DF$154)-ROW(DF$106)+1)/(DF$106:DF$154&lt;&gt;""),ROWS(DM$1:DM38))),"")</f>
        <v/>
      </c>
      <c r="DN143" s="166" t="str">
        <f t="shared" si="51"/>
        <v/>
      </c>
      <c r="DO143" s="164" t="str">
        <f>IFERROR(INDEX(DG$106:DG$154,_xlfn.AGGREGATE(15,6,(ROW(DG$106:DG$154)-ROW(DG$106)+1)/(DG$106:DG$154&lt;&gt;""),ROWS(DO$1:DO38))),"")</f>
        <v/>
      </c>
      <c r="DP143" s="165" t="str">
        <f>IFERROR(INDEX(DH$106:DH$154,_xlfn.AGGREGATE(15,6,(ROW(DH$106:DH$154)-ROW(DH$106)+1)/(DH$106:DH$154&lt;&gt;""),ROWS(DP$1:DP38))),"")</f>
        <v/>
      </c>
      <c r="DQ143" s="166" t="str">
        <f t="shared" si="52"/>
        <v/>
      </c>
      <c r="DV143" s="145">
        <v>2052</v>
      </c>
      <c r="DW143" s="235">
        <f t="shared" ca="1" si="37"/>
        <v>735.21052141852385</v>
      </c>
      <c r="EA143" s="55"/>
      <c r="EB143" s="55"/>
      <c r="EC143" s="55"/>
      <c r="ED143" s="55"/>
      <c r="EE143" s="55"/>
    </row>
    <row r="144" spans="2:135" ht="13.8" x14ac:dyDescent="0.45">
      <c r="B144" s="128">
        <v>2050</v>
      </c>
      <c r="C144" s="175"/>
      <c r="D144" s="199"/>
      <c r="E144" s="204"/>
      <c r="F144" s="206"/>
      <c r="G144" s="207"/>
      <c r="H144" s="204"/>
      <c r="I144" s="206"/>
      <c r="J144" s="207"/>
      <c r="K144" s="204"/>
      <c r="L144" s="206"/>
      <c r="M144" s="204"/>
      <c r="N144" s="29" t="s">
        <v>119</v>
      </c>
      <c r="O144" s="120"/>
      <c r="P144" s="120"/>
      <c r="Q144" s="120"/>
      <c r="R144" s="29">
        <v>36</v>
      </c>
      <c r="S144" s="154" t="str">
        <f t="shared" si="38"/>
        <v/>
      </c>
      <c r="T144" s="154" t="str">
        <f t="shared" si="39"/>
        <v/>
      </c>
      <c r="U144" s="154" t="str">
        <f t="shared" si="40"/>
        <v/>
      </c>
      <c r="W144" s="154" t="e">
        <f t="shared" si="41"/>
        <v>#N/A</v>
      </c>
      <c r="X144" s="154" t="e">
        <f t="shared" si="42"/>
        <v>#N/A</v>
      </c>
      <c r="Y144" s="154" t="e">
        <f t="shared" si="43"/>
        <v>#N/A</v>
      </c>
      <c r="AA144" s="89"/>
      <c r="AB144" s="89"/>
      <c r="AC144" s="89"/>
      <c r="AD144" s="89"/>
      <c r="AE144" s="89"/>
      <c r="AF144" s="89"/>
      <c r="AG144" s="89"/>
      <c r="AH144" s="89"/>
      <c r="AI144" s="89"/>
      <c r="AJ144" s="89"/>
      <c r="AK144" s="89"/>
      <c r="AL144" s="89"/>
      <c r="AM144" s="89"/>
      <c r="AN144" s="89"/>
      <c r="BR144" s="180">
        <v>2048</v>
      </c>
      <c r="BS144" s="22">
        <v>34</v>
      </c>
      <c r="BT144" s="181">
        <f t="shared" si="54"/>
        <v>138.88449508885171</v>
      </c>
      <c r="BU144" s="182">
        <f t="shared" si="55"/>
        <v>592.00614409760874</v>
      </c>
      <c r="BV144" s="205">
        <f t="shared" si="56"/>
        <v>730.89063918646048</v>
      </c>
      <c r="BY144" s="180">
        <v>2048</v>
      </c>
      <c r="BZ144" s="22">
        <v>34</v>
      </c>
      <c r="CA144" s="198">
        <f t="shared" ca="1" si="57"/>
        <v>-27.064985949309207</v>
      </c>
      <c r="CB144" s="198">
        <f t="shared" ca="1" si="58"/>
        <v>164.35742304114268</v>
      </c>
      <c r="CC144" s="198">
        <f t="shared" ca="1" si="69"/>
        <v>587.88552339944408</v>
      </c>
      <c r="CD144" s="205">
        <f t="shared" ca="1" si="59"/>
        <v>725.17796049127753</v>
      </c>
      <c r="CG144" s="180">
        <v>2048</v>
      </c>
      <c r="CH144" s="22">
        <v>34</v>
      </c>
      <c r="CI144" s="198">
        <f t="shared" ca="1" si="60"/>
        <v>-13.447785666468924</v>
      </c>
      <c r="CJ144" s="198">
        <f t="shared" ca="1" si="61"/>
        <v>-8.0798767731177641</v>
      </c>
      <c r="CK144" s="198">
        <f t="shared" ca="1" si="62"/>
        <v>157.09608410255285</v>
      </c>
      <c r="CL144" s="198">
        <f t="shared" ca="1" si="63"/>
        <v>588.49974751985019</v>
      </c>
      <c r="CM144" s="205">
        <f t="shared" ca="1" si="64"/>
        <v>724.06816918281629</v>
      </c>
      <c r="CP144" s="180">
        <v>2048</v>
      </c>
      <c r="CQ144" s="22">
        <v>34</v>
      </c>
      <c r="CR144" s="198">
        <f t="shared" ca="1" si="65"/>
        <v>593.97870804003173</v>
      </c>
      <c r="CS144" s="198">
        <f t="shared" ca="1" si="66"/>
        <v>1.2363314646713179</v>
      </c>
      <c r="CT144" s="205">
        <f t="shared" ca="1" si="67"/>
        <v>734.35456609470953</v>
      </c>
      <c r="CZ144" s="164" t="b">
        <f t="shared" si="44"/>
        <v>0</v>
      </c>
      <c r="DA144" s="165" t="b">
        <f t="shared" si="44"/>
        <v>0</v>
      </c>
      <c r="DB144" s="166" t="b">
        <f t="shared" si="44"/>
        <v>0</v>
      </c>
      <c r="DC144" s="164" t="str">
        <f t="shared" si="53"/>
        <v/>
      </c>
      <c r="DD144" s="166" t="str">
        <f t="shared" si="45"/>
        <v/>
      </c>
      <c r="DE144" s="164" t="str">
        <f t="shared" si="46"/>
        <v/>
      </c>
      <c r="DF144" s="166" t="str">
        <f t="shared" si="47"/>
        <v/>
      </c>
      <c r="DG144" s="164" t="str">
        <f t="shared" si="48"/>
        <v/>
      </c>
      <c r="DH144" s="166" t="str">
        <f t="shared" si="49"/>
        <v/>
      </c>
      <c r="DI144" s="164" t="str">
        <f>IFERROR(INDEX(DC$106:DC$154,_xlfn.AGGREGATE(15,6,(ROW(DC$106:DC$154)-ROW(DC$106)+1)/(DC$106:DC$154&lt;&gt;""),ROWS(DI$1:DI39))),"")</f>
        <v/>
      </c>
      <c r="DJ144" s="165" t="str">
        <f>IFERROR(INDEX(DD$106:DD$154,_xlfn.AGGREGATE(15,6,(ROW(DD$106:DD$154)-ROW(DD$106)+1)/(DD$106:DD$154&lt;&gt;""),ROWS(DJ$1:DJ39))),"")</f>
        <v/>
      </c>
      <c r="DK144" s="166" t="str">
        <f t="shared" si="50"/>
        <v/>
      </c>
      <c r="DL144" s="164" t="str">
        <f>IFERROR(INDEX(DE$106:DE$154,_xlfn.AGGREGATE(15,6,(ROW(DE$106:DE$154)-ROW(DE$106)+1)/(DE$106:DE$154&lt;&gt;""),ROWS(DL$1:DL39))),"")</f>
        <v/>
      </c>
      <c r="DM144" s="165" t="str">
        <f>IFERROR(INDEX(DF$106:DF$154,_xlfn.AGGREGATE(15,6,(ROW(DF$106:DF$154)-ROW(DF$106)+1)/(DF$106:DF$154&lt;&gt;""),ROWS(DM$1:DM39))),"")</f>
        <v/>
      </c>
      <c r="DN144" s="166" t="str">
        <f t="shared" si="51"/>
        <v/>
      </c>
      <c r="DO144" s="164" t="str">
        <f>IFERROR(INDEX(DG$106:DG$154,_xlfn.AGGREGATE(15,6,(ROW(DG$106:DG$154)-ROW(DG$106)+1)/(DG$106:DG$154&lt;&gt;""),ROWS(DO$1:DO39))),"")</f>
        <v/>
      </c>
      <c r="DP144" s="165" t="str">
        <f>IFERROR(INDEX(DH$106:DH$154,_xlfn.AGGREGATE(15,6,(ROW(DH$106:DH$154)-ROW(DH$106)+1)/(DH$106:DH$154&lt;&gt;""),ROWS(DP$1:DP39))),"")</f>
        <v/>
      </c>
      <c r="DQ144" s="166" t="str">
        <f t="shared" si="52"/>
        <v/>
      </c>
      <c r="DV144" s="145">
        <v>2053</v>
      </c>
      <c r="DW144" s="235">
        <f t="shared" ca="1" si="37"/>
        <v>737.77126976402917</v>
      </c>
      <c r="EA144" s="55"/>
      <c r="EB144" s="55"/>
      <c r="EC144" s="55"/>
      <c r="ED144" s="55"/>
      <c r="EE144" s="55"/>
    </row>
    <row r="145" spans="1:135" ht="13.8" x14ac:dyDescent="0.45">
      <c r="B145" s="128">
        <v>2051</v>
      </c>
      <c r="C145" s="175"/>
      <c r="D145" s="199"/>
      <c r="E145" s="204"/>
      <c r="F145" s="206"/>
      <c r="G145" s="207"/>
      <c r="H145" s="204"/>
      <c r="I145" s="206"/>
      <c r="J145" s="207"/>
      <c r="K145" s="204"/>
      <c r="L145" s="206"/>
      <c r="M145" s="204"/>
      <c r="N145" s="29" t="s">
        <v>119</v>
      </c>
      <c r="O145" s="120"/>
      <c r="P145" s="120"/>
      <c r="Q145" s="120"/>
      <c r="R145" s="29">
        <v>37</v>
      </c>
      <c r="S145" s="154" t="str">
        <f t="shared" si="38"/>
        <v/>
      </c>
      <c r="T145" s="154" t="str">
        <f t="shared" si="39"/>
        <v/>
      </c>
      <c r="U145" s="154" t="str">
        <f t="shared" si="40"/>
        <v/>
      </c>
      <c r="W145" s="154" t="e">
        <f t="shared" si="41"/>
        <v>#N/A</v>
      </c>
      <c r="X145" s="154" t="e">
        <f t="shared" si="42"/>
        <v>#N/A</v>
      </c>
      <c r="Y145" s="154" t="e">
        <f t="shared" si="43"/>
        <v>#N/A</v>
      </c>
      <c r="AA145" s="89"/>
      <c r="AB145" s="89"/>
      <c r="AC145" s="89"/>
      <c r="AD145" s="89"/>
      <c r="AE145" s="89"/>
      <c r="AF145" s="89"/>
      <c r="AG145" s="89"/>
      <c r="AH145" s="89"/>
      <c r="AI145" s="89"/>
      <c r="AJ145" s="89"/>
      <c r="AK145" s="89"/>
      <c r="AL145" s="89"/>
      <c r="AM145" s="89"/>
      <c r="AN145" s="89"/>
      <c r="BR145" s="180">
        <v>2049</v>
      </c>
      <c r="BS145" s="22">
        <v>35</v>
      </c>
      <c r="BT145" s="181">
        <f t="shared" si="54"/>
        <v>142.9693331797003</v>
      </c>
      <c r="BU145" s="182">
        <f t="shared" si="55"/>
        <v>592.00614409760874</v>
      </c>
      <c r="BV145" s="205">
        <f t="shared" si="56"/>
        <v>734.97547727730898</v>
      </c>
      <c r="BY145" s="180">
        <v>2049</v>
      </c>
      <c r="BZ145" s="22">
        <v>35</v>
      </c>
      <c r="CA145" s="198">
        <f t="shared" ca="1" si="57"/>
        <v>-28.680456563930605</v>
      </c>
      <c r="CB145" s="198">
        <f t="shared" ca="1" si="58"/>
        <v>169.19146489529393</v>
      </c>
      <c r="CC145" s="198">
        <f t="shared" ca="1" si="69"/>
        <v>587.88552339944408</v>
      </c>
      <c r="CD145" s="205">
        <f t="shared" ca="1" si="59"/>
        <v>728.3965317308074</v>
      </c>
      <c r="CG145" s="180">
        <v>2049</v>
      </c>
      <c r="CH145" s="22">
        <v>35</v>
      </c>
      <c r="CI145" s="198">
        <f t="shared" ca="1" si="60"/>
        <v>-14.669596235748399</v>
      </c>
      <c r="CJ145" s="198">
        <f t="shared" ca="1" si="61"/>
        <v>-8.5621531549042054</v>
      </c>
      <c r="CK145" s="198">
        <f t="shared" ca="1" si="62"/>
        <v>161.71655716439264</v>
      </c>
      <c r="CL145" s="198">
        <f t="shared" ca="1" si="63"/>
        <v>588.49974751985019</v>
      </c>
      <c r="CM145" s="205">
        <f t="shared" ca="1" si="64"/>
        <v>726.98455529359023</v>
      </c>
      <c r="CP145" s="180">
        <v>2049</v>
      </c>
      <c r="CQ145" s="22">
        <v>35</v>
      </c>
      <c r="CR145" s="198">
        <f t="shared" ca="1" si="65"/>
        <v>593.97870804003173</v>
      </c>
      <c r="CS145" s="198">
        <f t="shared" ca="1" si="66"/>
        <v>1.2440698721968932</v>
      </c>
      <c r="CT145" s="205">
        <f t="shared" ca="1" si="67"/>
        <v>738.95101539903806</v>
      </c>
      <c r="CZ145" s="164" t="b">
        <f t="shared" si="44"/>
        <v>0</v>
      </c>
      <c r="DA145" s="165" t="b">
        <f t="shared" si="44"/>
        <v>0</v>
      </c>
      <c r="DB145" s="166" t="b">
        <f t="shared" si="44"/>
        <v>0</v>
      </c>
      <c r="DC145" s="164" t="str">
        <f t="shared" si="53"/>
        <v/>
      </c>
      <c r="DD145" s="166" t="str">
        <f t="shared" si="45"/>
        <v/>
      </c>
      <c r="DE145" s="164" t="str">
        <f t="shared" si="46"/>
        <v/>
      </c>
      <c r="DF145" s="166" t="str">
        <f t="shared" si="47"/>
        <v/>
      </c>
      <c r="DG145" s="164" t="str">
        <f t="shared" si="48"/>
        <v/>
      </c>
      <c r="DH145" s="166" t="str">
        <f t="shared" si="49"/>
        <v/>
      </c>
      <c r="DI145" s="164" t="str">
        <f>IFERROR(INDEX(DC$106:DC$154,_xlfn.AGGREGATE(15,6,(ROW(DC$106:DC$154)-ROW(DC$106)+1)/(DC$106:DC$154&lt;&gt;""),ROWS(DI$1:DI40))),"")</f>
        <v/>
      </c>
      <c r="DJ145" s="165" t="str">
        <f>IFERROR(INDEX(DD$106:DD$154,_xlfn.AGGREGATE(15,6,(ROW(DD$106:DD$154)-ROW(DD$106)+1)/(DD$106:DD$154&lt;&gt;""),ROWS(DJ$1:DJ40))),"")</f>
        <v/>
      </c>
      <c r="DK145" s="166" t="str">
        <f t="shared" si="50"/>
        <v/>
      </c>
      <c r="DL145" s="164" t="str">
        <f>IFERROR(INDEX(DE$106:DE$154,_xlfn.AGGREGATE(15,6,(ROW(DE$106:DE$154)-ROW(DE$106)+1)/(DE$106:DE$154&lt;&gt;""),ROWS(DL$1:DL40))),"")</f>
        <v/>
      </c>
      <c r="DM145" s="165" t="str">
        <f>IFERROR(INDEX(DF$106:DF$154,_xlfn.AGGREGATE(15,6,(ROW(DF$106:DF$154)-ROW(DF$106)+1)/(DF$106:DF$154&lt;&gt;""),ROWS(DM$1:DM40))),"")</f>
        <v/>
      </c>
      <c r="DN145" s="166" t="str">
        <f t="shared" si="51"/>
        <v/>
      </c>
      <c r="DO145" s="164" t="str">
        <f>IFERROR(INDEX(DG$106:DG$154,_xlfn.AGGREGATE(15,6,(ROW(DG$106:DG$154)-ROW(DG$106)+1)/(DG$106:DG$154&lt;&gt;""),ROWS(DO$1:DO40))),"")</f>
        <v/>
      </c>
      <c r="DP145" s="165" t="str">
        <f>IFERROR(INDEX(DH$106:DH$154,_xlfn.AGGREGATE(15,6,(ROW(DH$106:DH$154)-ROW(DH$106)+1)/(DH$106:DH$154&lt;&gt;""),ROWS(DP$1:DP40))),"")</f>
        <v/>
      </c>
      <c r="DQ145" s="166" t="str">
        <f t="shared" si="52"/>
        <v/>
      </c>
      <c r="DV145" s="145">
        <v>2054</v>
      </c>
      <c r="DW145" s="235">
        <f t="shared" ca="1" si="37"/>
        <v>740.23797644795991</v>
      </c>
      <c r="EA145" s="55"/>
      <c r="EB145" s="55"/>
      <c r="EC145" s="55"/>
      <c r="ED145" s="55"/>
      <c r="EE145" s="55"/>
    </row>
    <row r="146" spans="1:135" ht="13.8" x14ac:dyDescent="0.45">
      <c r="B146" s="128">
        <v>2052</v>
      </c>
      <c r="C146" s="175"/>
      <c r="D146" s="199"/>
      <c r="E146" s="204"/>
      <c r="F146" s="206"/>
      <c r="G146" s="207"/>
      <c r="H146" s="204"/>
      <c r="I146" s="206"/>
      <c r="J146" s="207"/>
      <c r="K146" s="204"/>
      <c r="L146" s="206"/>
      <c r="M146" s="204"/>
      <c r="N146" s="29" t="s">
        <v>119</v>
      </c>
      <c r="O146" s="120"/>
      <c r="P146" s="120"/>
      <c r="Q146" s="120"/>
      <c r="R146" s="29">
        <v>38</v>
      </c>
      <c r="S146" s="154" t="str">
        <f t="shared" si="38"/>
        <v/>
      </c>
      <c r="T146" s="154" t="str">
        <f t="shared" si="39"/>
        <v/>
      </c>
      <c r="U146" s="154" t="str">
        <f t="shared" si="40"/>
        <v/>
      </c>
      <c r="W146" s="154" t="e">
        <f t="shared" si="41"/>
        <v>#N/A</v>
      </c>
      <c r="X146" s="154" t="e">
        <f t="shared" si="42"/>
        <v>#N/A</v>
      </c>
      <c r="Y146" s="154" t="e">
        <f t="shared" si="43"/>
        <v>#N/A</v>
      </c>
      <c r="AA146" s="89"/>
      <c r="AB146" s="89"/>
      <c r="AC146" s="89"/>
      <c r="AD146" s="89"/>
      <c r="AE146" s="89"/>
      <c r="AF146" s="89"/>
      <c r="AG146" s="89"/>
      <c r="AH146" s="89"/>
      <c r="AI146" s="89"/>
      <c r="AJ146" s="89"/>
      <c r="AK146" s="89"/>
      <c r="AL146" s="89"/>
      <c r="AM146" s="89"/>
      <c r="AN146" s="89"/>
      <c r="BR146" s="180">
        <v>2050</v>
      </c>
      <c r="BS146" s="22">
        <v>36</v>
      </c>
      <c r="BT146" s="181">
        <f t="shared" si="54"/>
        <v>147.05417127054886</v>
      </c>
      <c r="BU146" s="182">
        <f t="shared" si="55"/>
        <v>592.00614409760874</v>
      </c>
      <c r="BV146" s="212">
        <f t="shared" si="56"/>
        <v>739.0603153681576</v>
      </c>
      <c r="BY146" s="180">
        <v>2050</v>
      </c>
      <c r="BZ146" s="22">
        <v>36</v>
      </c>
      <c r="CA146" s="198">
        <f t="shared" ca="1" si="57"/>
        <v>-30.342752413758419</v>
      </c>
      <c r="CB146" s="198">
        <f t="shared" ca="1" si="58"/>
        <v>174.02550674944519</v>
      </c>
      <c r="CC146" s="198">
        <f t="shared" ca="1" si="69"/>
        <v>587.88552339944408</v>
      </c>
      <c r="CD146" s="212">
        <f t="shared" ca="1" si="59"/>
        <v>731.56827773513078</v>
      </c>
      <c r="CG146" s="180">
        <v>2050</v>
      </c>
      <c r="CH146" s="22">
        <v>36</v>
      </c>
      <c r="CI146" s="198">
        <f t="shared" ca="1" si="60"/>
        <v>-15.96325788863154</v>
      </c>
      <c r="CJ146" s="198">
        <f t="shared" ca="1" si="61"/>
        <v>-9.0584085622496744</v>
      </c>
      <c r="CK146" s="198">
        <f t="shared" ca="1" si="62"/>
        <v>166.33703022623243</v>
      </c>
      <c r="CL146" s="198">
        <f t="shared" ca="1" si="63"/>
        <v>588.49974751985019</v>
      </c>
      <c r="CM146" s="212">
        <f t="shared" ca="1" si="64"/>
        <v>729.8151112952014</v>
      </c>
      <c r="CP146" s="180">
        <v>2050</v>
      </c>
      <c r="CQ146" s="22">
        <v>36</v>
      </c>
      <c r="CR146" s="198">
        <f t="shared" ca="1" si="65"/>
        <v>593.97870804003173</v>
      </c>
      <c r="CS146" s="198">
        <f t="shared" ca="1" si="66"/>
        <v>1.2518567157226375</v>
      </c>
      <c r="CT146" s="212">
        <f t="shared" ca="1" si="67"/>
        <v>743.5762346561695</v>
      </c>
      <c r="CZ146" s="164" t="b">
        <f t="shared" ref="CZ146:DB154" si="71">ISNUMBER(W146)</f>
        <v>0</v>
      </c>
      <c r="DA146" s="165" t="b">
        <f t="shared" si="71"/>
        <v>0</v>
      </c>
      <c r="DB146" s="166" t="b">
        <f t="shared" si="71"/>
        <v>0</v>
      </c>
      <c r="DC146" s="164" t="str">
        <f t="shared" si="53"/>
        <v/>
      </c>
      <c r="DD146" s="166" t="str">
        <f t="shared" si="45"/>
        <v/>
      </c>
      <c r="DE146" s="164" t="str">
        <f t="shared" si="46"/>
        <v/>
      </c>
      <c r="DF146" s="166" t="str">
        <f t="shared" si="47"/>
        <v/>
      </c>
      <c r="DG146" s="164" t="str">
        <f t="shared" si="48"/>
        <v/>
      </c>
      <c r="DH146" s="166" t="str">
        <f t="shared" si="49"/>
        <v/>
      </c>
      <c r="DI146" s="164" t="str">
        <f>IFERROR(INDEX(DC$106:DC$154,_xlfn.AGGREGATE(15,6,(ROW(DC$106:DC$154)-ROW(DC$106)+1)/(DC$106:DC$154&lt;&gt;""),ROWS(DI$1:DI41))),"")</f>
        <v/>
      </c>
      <c r="DJ146" s="165" t="str">
        <f>IFERROR(INDEX(DD$106:DD$154,_xlfn.AGGREGATE(15,6,(ROW(DD$106:DD$154)-ROW(DD$106)+1)/(DD$106:DD$154&lt;&gt;""),ROWS(DJ$1:DJ41))),"")</f>
        <v/>
      </c>
      <c r="DK146" s="166" t="str">
        <f t="shared" si="50"/>
        <v/>
      </c>
      <c r="DL146" s="164" t="str">
        <f>IFERROR(INDEX(DE$106:DE$154,_xlfn.AGGREGATE(15,6,(ROW(DE$106:DE$154)-ROW(DE$106)+1)/(DE$106:DE$154&lt;&gt;""),ROWS(DL$1:DL41))),"")</f>
        <v/>
      </c>
      <c r="DM146" s="165" t="str">
        <f>IFERROR(INDEX(DF$106:DF$154,_xlfn.AGGREGATE(15,6,(ROW(DF$106:DF$154)-ROW(DF$106)+1)/(DF$106:DF$154&lt;&gt;""),ROWS(DM$1:DM41))),"")</f>
        <v/>
      </c>
      <c r="DN146" s="166" t="str">
        <f t="shared" si="51"/>
        <v/>
      </c>
      <c r="DO146" s="164" t="str">
        <f>IFERROR(INDEX(DG$106:DG$154,_xlfn.AGGREGATE(15,6,(ROW(DG$106:DG$154)-ROW(DG$106)+1)/(DG$106:DG$154&lt;&gt;""),ROWS(DO$1:DO41))),"")</f>
        <v/>
      </c>
      <c r="DP146" s="165" t="str">
        <f>IFERROR(INDEX(DH$106:DH$154,_xlfn.AGGREGATE(15,6,(ROW(DH$106:DH$154)-ROW(DH$106)+1)/(DH$106:DH$154&lt;&gt;""),ROWS(DP$1:DP41))),"")</f>
        <v/>
      </c>
      <c r="DQ146" s="166" t="str">
        <f t="shared" si="52"/>
        <v/>
      </c>
      <c r="DV146" s="145">
        <v>2055</v>
      </c>
      <c r="DW146" s="235">
        <f t="shared" ca="1" si="37"/>
        <v>742.6085885822132</v>
      </c>
      <c r="EA146" s="55"/>
      <c r="EB146" s="55"/>
      <c r="EC146" s="55"/>
      <c r="ED146" s="55"/>
      <c r="EE146" s="55"/>
    </row>
    <row r="147" spans="1:135" ht="13.8" x14ac:dyDescent="0.45">
      <c r="B147" s="128">
        <v>2053</v>
      </c>
      <c r="C147" s="175"/>
      <c r="D147" s="199"/>
      <c r="E147" s="204"/>
      <c r="F147" s="206"/>
      <c r="G147" s="207"/>
      <c r="H147" s="204"/>
      <c r="I147" s="206"/>
      <c r="J147" s="207"/>
      <c r="K147" s="204"/>
      <c r="L147" s="206"/>
      <c r="M147" s="204"/>
      <c r="N147" s="29" t="s">
        <v>119</v>
      </c>
      <c r="O147" s="120"/>
      <c r="P147" s="120"/>
      <c r="Q147" s="120"/>
      <c r="R147" s="29">
        <v>39</v>
      </c>
      <c r="S147" s="154" t="str">
        <f t="shared" si="38"/>
        <v/>
      </c>
      <c r="T147" s="154" t="str">
        <f t="shared" si="39"/>
        <v/>
      </c>
      <c r="U147" s="154" t="str">
        <f t="shared" si="40"/>
        <v/>
      </c>
      <c r="W147" s="154" t="e">
        <f t="shared" si="41"/>
        <v>#N/A</v>
      </c>
      <c r="X147" s="154" t="e">
        <f t="shared" si="42"/>
        <v>#N/A</v>
      </c>
      <c r="Y147" s="154" t="e">
        <f t="shared" si="43"/>
        <v>#N/A</v>
      </c>
      <c r="AA147" s="89"/>
      <c r="AB147" s="89"/>
      <c r="AC147" s="89"/>
      <c r="AD147" s="89"/>
      <c r="AE147" s="89"/>
      <c r="AF147" s="89"/>
      <c r="AG147" s="89"/>
      <c r="AH147" s="89"/>
      <c r="AI147" s="89"/>
      <c r="AJ147" s="89"/>
      <c r="AK147" s="89"/>
      <c r="AL147" s="89"/>
      <c r="AM147" s="89"/>
      <c r="AN147" s="89"/>
      <c r="BR147" s="180">
        <v>2051</v>
      </c>
      <c r="BS147" s="22">
        <v>37</v>
      </c>
      <c r="BT147" s="181">
        <f t="shared" si="54"/>
        <v>151.13900936139746</v>
      </c>
      <c r="BU147" s="182">
        <f t="shared" si="55"/>
        <v>592.00614409760874</v>
      </c>
      <c r="BV147" s="213">
        <f t="shared" si="56"/>
        <v>743.14515345900622</v>
      </c>
      <c r="BY147" s="180">
        <v>2051</v>
      </c>
      <c r="BZ147" s="22">
        <v>37</v>
      </c>
      <c r="CA147" s="198">
        <f t="shared" ca="1" si="57"/>
        <v>-32.051873498792652</v>
      </c>
      <c r="CB147" s="198">
        <f t="shared" ca="1" si="58"/>
        <v>178.85954860359647</v>
      </c>
      <c r="CC147" s="198">
        <f t="shared" ca="1" si="69"/>
        <v>587.88552339944408</v>
      </c>
      <c r="CD147" s="213">
        <f t="shared" ca="1" si="59"/>
        <v>734.6931985042479</v>
      </c>
      <c r="CG147" s="180">
        <v>2051</v>
      </c>
      <c r="CH147" s="22">
        <v>37</v>
      </c>
      <c r="CI147" s="198">
        <f t="shared" ca="1" si="60"/>
        <v>-17.330823513221311</v>
      </c>
      <c r="CJ147" s="198">
        <f t="shared" ca="1" si="61"/>
        <v>-9.5686429951541694</v>
      </c>
      <c r="CK147" s="198">
        <f t="shared" ca="1" si="62"/>
        <v>170.95750328807222</v>
      </c>
      <c r="CL147" s="198">
        <f t="shared" ca="1" si="63"/>
        <v>588.49974751985019</v>
      </c>
      <c r="CM147" s="213">
        <f t="shared" ca="1" si="64"/>
        <v>732.55778429954694</v>
      </c>
      <c r="CP147" s="180">
        <v>2051</v>
      </c>
      <c r="CQ147" s="22">
        <v>37</v>
      </c>
      <c r="CR147" s="198">
        <f t="shared" ca="1" si="65"/>
        <v>593.97870804003173</v>
      </c>
      <c r="CS147" s="198">
        <f t="shared" ca="1" si="66"/>
        <v>1.2596922984176595</v>
      </c>
      <c r="CT147" s="213">
        <f t="shared" ca="1" si="67"/>
        <v>748.23040394209954</v>
      </c>
      <c r="CZ147" s="164" t="b">
        <f t="shared" si="71"/>
        <v>0</v>
      </c>
      <c r="DA147" s="165" t="b">
        <f t="shared" si="71"/>
        <v>0</v>
      </c>
      <c r="DB147" s="166" t="b">
        <f t="shared" si="71"/>
        <v>0</v>
      </c>
      <c r="DC147" s="164" t="str">
        <f t="shared" si="53"/>
        <v/>
      </c>
      <c r="DD147" s="166" t="str">
        <f t="shared" si="45"/>
        <v/>
      </c>
      <c r="DE147" s="164" t="str">
        <f t="shared" si="46"/>
        <v/>
      </c>
      <c r="DF147" s="166" t="str">
        <f t="shared" si="47"/>
        <v/>
      </c>
      <c r="DG147" s="164" t="str">
        <f t="shared" si="48"/>
        <v/>
      </c>
      <c r="DH147" s="166" t="str">
        <f t="shared" si="49"/>
        <v/>
      </c>
      <c r="DI147" s="164" t="str">
        <f>IFERROR(INDEX(DC$106:DC$154,_xlfn.AGGREGATE(15,6,(ROW(DC$106:DC$154)-ROW(DC$106)+1)/(DC$106:DC$154&lt;&gt;""),ROWS(DI$1:DI42))),"")</f>
        <v/>
      </c>
      <c r="DJ147" s="165" t="str">
        <f>IFERROR(INDEX(DD$106:DD$154,_xlfn.AGGREGATE(15,6,(ROW(DD$106:DD$154)-ROW(DD$106)+1)/(DD$106:DD$154&lt;&gt;""),ROWS(DJ$1:DJ42))),"")</f>
        <v/>
      </c>
      <c r="DK147" s="166" t="str">
        <f t="shared" si="50"/>
        <v/>
      </c>
      <c r="DL147" s="164" t="str">
        <f>IFERROR(INDEX(DE$106:DE$154,_xlfn.AGGREGATE(15,6,(ROW(DE$106:DE$154)-ROW(DE$106)+1)/(DE$106:DE$154&lt;&gt;""),ROWS(DL$1:DL42))),"")</f>
        <v/>
      </c>
      <c r="DM147" s="165" t="str">
        <f>IFERROR(INDEX(DF$106:DF$154,_xlfn.AGGREGATE(15,6,(ROW(DF$106:DF$154)-ROW(DF$106)+1)/(DF$106:DF$154&lt;&gt;""),ROWS(DM$1:DM42))),"")</f>
        <v/>
      </c>
      <c r="DN147" s="166" t="str">
        <f t="shared" si="51"/>
        <v/>
      </c>
      <c r="DO147" s="164" t="str">
        <f>IFERROR(INDEX(DG$106:DG$154,_xlfn.AGGREGATE(15,6,(ROW(DG$106:DG$154)-ROW(DG$106)+1)/(DG$106:DG$154&lt;&gt;""),ROWS(DO$1:DO42))),"")</f>
        <v/>
      </c>
      <c r="DP147" s="165" t="str">
        <f>IFERROR(INDEX(DH$106:DH$154,_xlfn.AGGREGATE(15,6,(ROW(DH$106:DH$154)-ROW(DH$106)+1)/(DH$106:DH$154&lt;&gt;""),ROWS(DP$1:DP42))),"")</f>
        <v/>
      </c>
      <c r="DQ147" s="166" t="str">
        <f t="shared" si="52"/>
        <v/>
      </c>
      <c r="DV147" s="145">
        <v>2056</v>
      </c>
      <c r="DW147" s="235">
        <f t="shared" ca="1" si="37"/>
        <v>744.88105327868607</v>
      </c>
      <c r="EA147" s="55"/>
      <c r="EB147" s="55"/>
      <c r="EC147" s="55"/>
      <c r="ED147" s="55"/>
      <c r="EE147" s="55"/>
    </row>
    <row r="148" spans="1:135" ht="13.8" x14ac:dyDescent="0.45">
      <c r="B148" s="128">
        <v>2054</v>
      </c>
      <c r="C148" s="175"/>
      <c r="D148" s="199"/>
      <c r="E148" s="204"/>
      <c r="F148" s="206"/>
      <c r="G148" s="207"/>
      <c r="H148" s="204"/>
      <c r="I148" s="206"/>
      <c r="J148" s="207"/>
      <c r="K148" s="204"/>
      <c r="L148" s="206"/>
      <c r="M148" s="204"/>
      <c r="N148" s="29" t="s">
        <v>119</v>
      </c>
      <c r="O148" s="120"/>
      <c r="P148" s="120"/>
      <c r="Q148" s="120"/>
      <c r="R148" s="29">
        <v>40</v>
      </c>
      <c r="S148" s="154" t="str">
        <f t="shared" si="38"/>
        <v/>
      </c>
      <c r="T148" s="154" t="str">
        <f t="shared" si="39"/>
        <v/>
      </c>
      <c r="U148" s="154" t="str">
        <f t="shared" si="40"/>
        <v/>
      </c>
      <c r="W148" s="154" t="e">
        <f t="shared" si="41"/>
        <v>#N/A</v>
      </c>
      <c r="X148" s="154" t="e">
        <f t="shared" si="42"/>
        <v>#N/A</v>
      </c>
      <c r="Y148" s="154" t="e">
        <f t="shared" si="43"/>
        <v>#N/A</v>
      </c>
      <c r="AA148" s="89"/>
      <c r="AB148" s="89"/>
      <c r="AC148" s="89"/>
      <c r="AD148" s="89"/>
      <c r="AE148" s="89"/>
      <c r="AF148" s="89"/>
      <c r="AG148" s="89"/>
      <c r="AH148" s="89"/>
      <c r="AI148" s="89"/>
      <c r="AJ148" s="89"/>
      <c r="AK148" s="89"/>
      <c r="AL148" s="89"/>
      <c r="AM148" s="89"/>
      <c r="AN148" s="89"/>
      <c r="BR148" s="180">
        <v>2052</v>
      </c>
      <c r="BS148" s="22">
        <v>38</v>
      </c>
      <c r="BT148" s="181">
        <f t="shared" si="54"/>
        <v>155.22384745224602</v>
      </c>
      <c r="BU148" s="182">
        <f t="shared" si="55"/>
        <v>592.00614409760874</v>
      </c>
      <c r="BV148" s="241">
        <f t="shared" si="56"/>
        <v>747.22999154985473</v>
      </c>
      <c r="BY148" s="180">
        <v>2052</v>
      </c>
      <c r="BZ148" s="22">
        <v>38</v>
      </c>
      <c r="CA148" s="198">
        <f t="shared" ca="1" si="57"/>
        <v>-33.807819819033298</v>
      </c>
      <c r="CB148" s="198">
        <f t="shared" ca="1" si="58"/>
        <v>183.69359045774772</v>
      </c>
      <c r="CC148" s="198">
        <f t="shared" ca="1" si="69"/>
        <v>587.88552339944408</v>
      </c>
      <c r="CD148" s="241">
        <f t="shared" ca="1" si="59"/>
        <v>737.77129403815843</v>
      </c>
      <c r="CG148" s="180">
        <v>2052</v>
      </c>
      <c r="CH148" s="22">
        <v>38</v>
      </c>
      <c r="CI148" s="198">
        <f t="shared" ca="1" si="60"/>
        <v>-18.774345997620667</v>
      </c>
      <c r="CJ148" s="198">
        <f t="shared" ca="1" si="61"/>
        <v>-10.092856453617692</v>
      </c>
      <c r="CK148" s="198">
        <f t="shared" ca="1" si="62"/>
        <v>175.57797634991201</v>
      </c>
      <c r="CL148" s="198">
        <f t="shared" ca="1" si="63"/>
        <v>588.49974751985019</v>
      </c>
      <c r="CM148" s="241">
        <f t="shared" ca="1" si="64"/>
        <v>735.21052141852385</v>
      </c>
      <c r="CP148" s="180">
        <v>2052</v>
      </c>
      <c r="CQ148" s="22">
        <v>38</v>
      </c>
      <c r="CR148" s="198">
        <f t="shared" ca="1" si="65"/>
        <v>593.97870804003173</v>
      </c>
      <c r="CS148" s="198">
        <f t="shared" ca="1" si="66"/>
        <v>1.2675769253486548</v>
      </c>
      <c r="CT148" s="241">
        <f t="shared" ca="1" si="67"/>
        <v>752.91370445994971</v>
      </c>
      <c r="CZ148" s="164" t="b">
        <f t="shared" si="71"/>
        <v>0</v>
      </c>
      <c r="DA148" s="165" t="b">
        <f t="shared" si="71"/>
        <v>0</v>
      </c>
      <c r="DB148" s="166" t="b">
        <f t="shared" si="71"/>
        <v>0</v>
      </c>
      <c r="DC148" s="164" t="str">
        <f t="shared" si="53"/>
        <v/>
      </c>
      <c r="DD148" s="166" t="str">
        <f t="shared" si="45"/>
        <v/>
      </c>
      <c r="DE148" s="164" t="str">
        <f t="shared" si="46"/>
        <v/>
      </c>
      <c r="DF148" s="166" t="str">
        <f t="shared" si="47"/>
        <v/>
      </c>
      <c r="DG148" s="164" t="str">
        <f t="shared" si="48"/>
        <v/>
      </c>
      <c r="DH148" s="166" t="str">
        <f t="shared" si="49"/>
        <v/>
      </c>
      <c r="DI148" s="164" t="str">
        <f>IFERROR(INDEX(DC$106:DC$154,_xlfn.AGGREGATE(15,6,(ROW(DC$106:DC$154)-ROW(DC$106)+1)/(DC$106:DC$154&lt;&gt;""),ROWS(DI$1:DI43))),"")</f>
        <v/>
      </c>
      <c r="DJ148" s="165" t="str">
        <f>IFERROR(INDEX(DD$106:DD$154,_xlfn.AGGREGATE(15,6,(ROW(DD$106:DD$154)-ROW(DD$106)+1)/(DD$106:DD$154&lt;&gt;""),ROWS(DJ$1:DJ43))),"")</f>
        <v/>
      </c>
      <c r="DK148" s="166" t="str">
        <f t="shared" si="50"/>
        <v/>
      </c>
      <c r="DL148" s="164" t="str">
        <f>IFERROR(INDEX(DE$106:DE$154,_xlfn.AGGREGATE(15,6,(ROW(DE$106:DE$154)-ROW(DE$106)+1)/(DE$106:DE$154&lt;&gt;""),ROWS(DL$1:DL43))),"")</f>
        <v/>
      </c>
      <c r="DM148" s="165" t="str">
        <f>IFERROR(INDEX(DF$106:DF$154,_xlfn.AGGREGATE(15,6,(ROW(DF$106:DF$154)-ROW(DF$106)+1)/(DF$106:DF$154&lt;&gt;""),ROWS(DM$1:DM43))),"")</f>
        <v/>
      </c>
      <c r="DN148" s="166" t="str">
        <f t="shared" si="51"/>
        <v/>
      </c>
      <c r="DO148" s="164" t="str">
        <f>IFERROR(INDEX(DG$106:DG$154,_xlfn.AGGREGATE(15,6,(ROW(DG$106:DG$154)-ROW(DG$106)+1)/(DG$106:DG$154&lt;&gt;""),ROWS(DO$1:DO43))),"")</f>
        <v/>
      </c>
      <c r="DP148" s="165" t="str">
        <f>IFERROR(INDEX(DH$106:DH$154,_xlfn.AGGREGATE(15,6,(ROW(DH$106:DH$154)-ROW(DH$106)+1)/(DH$106:DH$154&lt;&gt;""),ROWS(DP$1:DP43))),"")</f>
        <v/>
      </c>
      <c r="DQ148" s="166" t="str">
        <f t="shared" si="52"/>
        <v/>
      </c>
      <c r="DV148" s="145">
        <v>2057</v>
      </c>
      <c r="DW148" s="235">
        <f t="shared" ca="1" si="37"/>
        <v>747.05331764927541</v>
      </c>
      <c r="EA148" s="55"/>
      <c r="EB148" s="55"/>
      <c r="EC148" s="55"/>
      <c r="ED148" s="55"/>
      <c r="EE148" s="55"/>
    </row>
    <row r="149" spans="1:135" ht="13.8" x14ac:dyDescent="0.45">
      <c r="B149" s="128">
        <v>2055</v>
      </c>
      <c r="C149" s="175"/>
      <c r="D149" s="199"/>
      <c r="E149" s="204"/>
      <c r="F149" s="206"/>
      <c r="G149" s="207"/>
      <c r="H149" s="204"/>
      <c r="I149" s="206"/>
      <c r="J149" s="207"/>
      <c r="K149" s="204"/>
      <c r="L149" s="206"/>
      <c r="M149" s="204"/>
      <c r="N149" s="29" t="s">
        <v>119</v>
      </c>
      <c r="O149" s="120"/>
      <c r="P149" s="120"/>
      <c r="Q149" s="120"/>
      <c r="R149" s="29">
        <v>41</v>
      </c>
      <c r="S149" s="154" t="str">
        <f t="shared" si="38"/>
        <v/>
      </c>
      <c r="T149" s="154" t="str">
        <f t="shared" si="39"/>
        <v/>
      </c>
      <c r="U149" s="154" t="str">
        <f t="shared" si="40"/>
        <v/>
      </c>
      <c r="W149" s="154" t="e">
        <f t="shared" si="41"/>
        <v>#N/A</v>
      </c>
      <c r="X149" s="154" t="e">
        <f t="shared" si="42"/>
        <v>#N/A</v>
      </c>
      <c r="Y149" s="154" t="e">
        <f t="shared" si="43"/>
        <v>#N/A</v>
      </c>
      <c r="AA149" s="89"/>
      <c r="AB149" s="89"/>
      <c r="AC149" s="89"/>
      <c r="AD149" s="89"/>
      <c r="AE149" s="89"/>
      <c r="AF149" s="89"/>
      <c r="AG149" s="89"/>
      <c r="AH149" s="89"/>
      <c r="AI149" s="89"/>
      <c r="AJ149" s="89"/>
      <c r="AK149" s="89"/>
      <c r="AL149" s="89"/>
      <c r="AM149" s="89"/>
      <c r="AN149" s="89"/>
      <c r="BR149" s="180">
        <v>2053</v>
      </c>
      <c r="BS149" s="22">
        <v>39</v>
      </c>
      <c r="BT149" s="181">
        <f t="shared" si="54"/>
        <v>159.30868554309461</v>
      </c>
      <c r="BU149" s="182">
        <f t="shared" si="55"/>
        <v>592.00614409760874</v>
      </c>
      <c r="BV149" s="241">
        <f t="shared" si="56"/>
        <v>751.31482964070335</v>
      </c>
      <c r="BY149" s="180">
        <v>2053</v>
      </c>
      <c r="BZ149" s="22">
        <v>39</v>
      </c>
      <c r="CA149" s="198">
        <f t="shared" ca="1" si="57"/>
        <v>-35.610591374480364</v>
      </c>
      <c r="CB149" s="198">
        <f t="shared" ca="1" si="58"/>
        <v>188.52763231189897</v>
      </c>
      <c r="CC149" s="198">
        <f t="shared" ca="1" si="69"/>
        <v>587.88552339944408</v>
      </c>
      <c r="CD149" s="241">
        <f t="shared" ca="1" si="59"/>
        <v>740.8025643368627</v>
      </c>
      <c r="CG149" s="180">
        <v>2053</v>
      </c>
      <c r="CH149" s="22">
        <v>39</v>
      </c>
      <c r="CI149" s="198">
        <f t="shared" ca="1" si="60"/>
        <v>-20.29587822993258</v>
      </c>
      <c r="CJ149" s="198">
        <f t="shared" ca="1" si="61"/>
        <v>-10.631048937640243</v>
      </c>
      <c r="CK149" s="198">
        <f t="shared" ca="1" si="62"/>
        <v>180.1984494117518</v>
      </c>
      <c r="CL149" s="198">
        <f t="shared" ca="1" si="63"/>
        <v>588.49974751985019</v>
      </c>
      <c r="CM149" s="241">
        <f t="shared" ca="1" si="64"/>
        <v>737.77126976402917</v>
      </c>
      <c r="CP149" s="180">
        <v>2053</v>
      </c>
      <c r="CQ149" s="22">
        <v>39</v>
      </c>
      <c r="CR149" s="198">
        <f t="shared" ca="1" si="65"/>
        <v>593.97870804003173</v>
      </c>
      <c r="CS149" s="198">
        <f t="shared" ca="1" si="66"/>
        <v>1.2755109034917826</v>
      </c>
      <c r="CT149" s="241">
        <f t="shared" ca="1" si="67"/>
        <v>757.62631854702261</v>
      </c>
      <c r="CZ149" s="164" t="b">
        <f t="shared" si="71"/>
        <v>0</v>
      </c>
      <c r="DA149" s="165" t="b">
        <f t="shared" si="71"/>
        <v>0</v>
      </c>
      <c r="DB149" s="166" t="b">
        <f t="shared" si="71"/>
        <v>0</v>
      </c>
      <c r="DC149" s="164" t="str">
        <f t="shared" si="53"/>
        <v/>
      </c>
      <c r="DD149" s="166" t="str">
        <f t="shared" si="45"/>
        <v/>
      </c>
      <c r="DE149" s="164" t="str">
        <f t="shared" si="46"/>
        <v/>
      </c>
      <c r="DF149" s="166" t="str">
        <f t="shared" si="47"/>
        <v/>
      </c>
      <c r="DG149" s="164" t="str">
        <f t="shared" si="48"/>
        <v/>
      </c>
      <c r="DH149" s="166" t="str">
        <f t="shared" si="49"/>
        <v/>
      </c>
      <c r="DI149" s="164" t="str">
        <f>IFERROR(INDEX(DC$106:DC$154,_xlfn.AGGREGATE(15,6,(ROW(DC$106:DC$154)-ROW(DC$106)+1)/(DC$106:DC$154&lt;&gt;""),ROWS(DI$1:DI44))),"")</f>
        <v/>
      </c>
      <c r="DJ149" s="165" t="str">
        <f>IFERROR(INDEX(DD$106:DD$154,_xlfn.AGGREGATE(15,6,(ROW(DD$106:DD$154)-ROW(DD$106)+1)/(DD$106:DD$154&lt;&gt;""),ROWS(DJ$1:DJ44))),"")</f>
        <v/>
      </c>
      <c r="DK149" s="166" t="str">
        <f t="shared" si="50"/>
        <v/>
      </c>
      <c r="DL149" s="164" t="str">
        <f>IFERROR(INDEX(DE$106:DE$154,_xlfn.AGGREGATE(15,6,(ROW(DE$106:DE$154)-ROW(DE$106)+1)/(DE$106:DE$154&lt;&gt;""),ROWS(DL$1:DL44))),"")</f>
        <v/>
      </c>
      <c r="DM149" s="165" t="str">
        <f>IFERROR(INDEX(DF$106:DF$154,_xlfn.AGGREGATE(15,6,(ROW(DF$106:DF$154)-ROW(DF$106)+1)/(DF$106:DF$154&lt;&gt;""),ROWS(DM$1:DM44))),"")</f>
        <v/>
      </c>
      <c r="DN149" s="166" t="str">
        <f t="shared" si="51"/>
        <v/>
      </c>
      <c r="DO149" s="164" t="str">
        <f>IFERROR(INDEX(DG$106:DG$154,_xlfn.AGGREGATE(15,6,(ROW(DG$106:DG$154)-ROW(DG$106)+1)/(DG$106:DG$154&lt;&gt;""),ROWS(DO$1:DO44))),"")</f>
        <v/>
      </c>
      <c r="DP149" s="165" t="str">
        <f>IFERROR(INDEX(DH$106:DH$154,_xlfn.AGGREGATE(15,6,(ROW(DH$106:DH$154)-ROW(DH$106)+1)/(DH$106:DH$154&lt;&gt;""),ROWS(DP$1:DP44))),"")</f>
        <v/>
      </c>
      <c r="DQ149" s="166" t="str">
        <f t="shared" si="52"/>
        <v/>
      </c>
      <c r="DV149" s="145">
        <v>2058</v>
      </c>
      <c r="DW149" s="235">
        <f t="shared" ca="1" si="37"/>
        <v>749.12332880587849</v>
      </c>
      <c r="EA149" s="55"/>
      <c r="EB149" s="55"/>
      <c r="EC149" s="55"/>
      <c r="ED149" s="55"/>
      <c r="EE149" s="55"/>
    </row>
    <row r="150" spans="1:135" ht="13.8" x14ac:dyDescent="0.45">
      <c r="B150" s="128">
        <v>2056</v>
      </c>
      <c r="C150" s="175"/>
      <c r="D150" s="199"/>
      <c r="E150" s="204"/>
      <c r="F150" s="206"/>
      <c r="G150" s="207"/>
      <c r="H150" s="204"/>
      <c r="I150" s="206"/>
      <c r="J150" s="207"/>
      <c r="K150" s="204"/>
      <c r="L150" s="206"/>
      <c r="M150" s="204"/>
      <c r="N150" s="29" t="s">
        <v>119</v>
      </c>
      <c r="O150" s="120"/>
      <c r="P150" s="120"/>
      <c r="Q150" s="120"/>
      <c r="R150" s="29">
        <v>42</v>
      </c>
      <c r="S150" s="154" t="str">
        <f t="shared" si="38"/>
        <v/>
      </c>
      <c r="T150" s="154" t="str">
        <f t="shared" si="39"/>
        <v/>
      </c>
      <c r="U150" s="154" t="str">
        <f t="shared" si="40"/>
        <v/>
      </c>
      <c r="W150" s="154" t="e">
        <f t="shared" si="41"/>
        <v>#N/A</v>
      </c>
      <c r="X150" s="154" t="e">
        <f t="shared" si="42"/>
        <v>#N/A</v>
      </c>
      <c r="Y150" s="154" t="e">
        <f t="shared" si="43"/>
        <v>#N/A</v>
      </c>
      <c r="AA150" s="89"/>
      <c r="AB150" s="89"/>
      <c r="AC150" s="89"/>
      <c r="AD150" s="89"/>
      <c r="AE150" s="89"/>
      <c r="AF150" s="89"/>
      <c r="AG150" s="89"/>
      <c r="AH150" s="89"/>
      <c r="AI150" s="89"/>
      <c r="AJ150" s="89"/>
      <c r="AK150" s="89"/>
      <c r="AL150" s="89"/>
      <c r="AM150" s="89"/>
      <c r="AN150" s="89"/>
      <c r="BR150" s="180">
        <v>2054</v>
      </c>
      <c r="BS150" s="22">
        <v>40</v>
      </c>
      <c r="BT150" s="181">
        <f t="shared" si="54"/>
        <v>163.39352363394318</v>
      </c>
      <c r="BU150" s="182">
        <f t="shared" si="55"/>
        <v>592.00614409760874</v>
      </c>
      <c r="BV150" s="242">
        <f t="shared" si="56"/>
        <v>755.39966773155197</v>
      </c>
      <c r="BY150" s="180">
        <v>2054</v>
      </c>
      <c r="BZ150" s="22">
        <v>40</v>
      </c>
      <c r="CA150" s="243">
        <f t="shared" ca="1" si="57"/>
        <v>-37.46018816513385</v>
      </c>
      <c r="CB150" s="243">
        <f t="shared" ca="1" si="58"/>
        <v>193.36167416605022</v>
      </c>
      <c r="CC150" s="243">
        <f t="shared" ca="1" si="69"/>
        <v>587.88552339944408</v>
      </c>
      <c r="CD150" s="242">
        <f t="shared" ca="1" si="59"/>
        <v>743.78700940036049</v>
      </c>
      <c r="CG150" s="180">
        <v>2054</v>
      </c>
      <c r="CH150" s="22">
        <v>40</v>
      </c>
      <c r="CI150" s="243">
        <f t="shared" ca="1" si="60"/>
        <v>-21.897473098260001</v>
      </c>
      <c r="CJ150" s="243">
        <f t="shared" ca="1" si="61"/>
        <v>-11.183220447221821</v>
      </c>
      <c r="CK150" s="243">
        <f t="shared" ca="1" si="62"/>
        <v>184.81892247359158</v>
      </c>
      <c r="CL150" s="243">
        <f t="shared" ca="1" si="63"/>
        <v>588.49974751985019</v>
      </c>
      <c r="CM150" s="242">
        <f t="shared" ca="1" si="64"/>
        <v>740.23797644795991</v>
      </c>
      <c r="CP150" s="180">
        <v>2054</v>
      </c>
      <c r="CQ150" s="22">
        <v>40</v>
      </c>
      <c r="CR150" s="243">
        <f t="shared" ca="1" si="65"/>
        <v>593.97870804003173</v>
      </c>
      <c r="CS150" s="243">
        <f t="shared" ca="1" si="66"/>
        <v>1.2834945417446182</v>
      </c>
      <c r="CT150" s="242">
        <f t="shared" ca="1" si="67"/>
        <v>762.36842968190092</v>
      </c>
      <c r="CZ150" s="164" t="b">
        <f t="shared" si="71"/>
        <v>0</v>
      </c>
      <c r="DA150" s="165" t="b">
        <f t="shared" si="71"/>
        <v>0</v>
      </c>
      <c r="DB150" s="166" t="b">
        <f t="shared" si="71"/>
        <v>0</v>
      </c>
      <c r="DC150" s="164" t="str">
        <f t="shared" si="53"/>
        <v/>
      </c>
      <c r="DD150" s="166" t="str">
        <f t="shared" si="45"/>
        <v/>
      </c>
      <c r="DE150" s="164" t="str">
        <f t="shared" si="46"/>
        <v/>
      </c>
      <c r="DF150" s="166" t="str">
        <f t="shared" si="47"/>
        <v/>
      </c>
      <c r="DG150" s="164" t="str">
        <f t="shared" si="48"/>
        <v/>
      </c>
      <c r="DH150" s="166" t="str">
        <f t="shared" si="49"/>
        <v/>
      </c>
      <c r="DI150" s="164" t="str">
        <f>IFERROR(INDEX(DC$106:DC$154,_xlfn.AGGREGATE(15,6,(ROW(DC$106:DC$154)-ROW(DC$106)+1)/(DC$106:DC$154&lt;&gt;""),ROWS(DI$1:DI45))),"")</f>
        <v/>
      </c>
      <c r="DJ150" s="165" t="str">
        <f>IFERROR(INDEX(DD$106:DD$154,_xlfn.AGGREGATE(15,6,(ROW(DD$106:DD$154)-ROW(DD$106)+1)/(DD$106:DD$154&lt;&gt;""),ROWS(DJ$1:DJ45))),"")</f>
        <v/>
      </c>
      <c r="DK150" s="166" t="str">
        <f t="shared" si="50"/>
        <v/>
      </c>
      <c r="DL150" s="164" t="str">
        <f>IFERROR(INDEX(DE$106:DE$154,_xlfn.AGGREGATE(15,6,(ROW(DE$106:DE$154)-ROW(DE$106)+1)/(DE$106:DE$154&lt;&gt;""),ROWS(DL$1:DL45))),"")</f>
        <v/>
      </c>
      <c r="DM150" s="165" t="str">
        <f>IFERROR(INDEX(DF$106:DF$154,_xlfn.AGGREGATE(15,6,(ROW(DF$106:DF$154)-ROW(DF$106)+1)/(DF$106:DF$154&lt;&gt;""),ROWS(DM$1:DM45))),"")</f>
        <v/>
      </c>
      <c r="DN150" s="166" t="str">
        <f t="shared" si="51"/>
        <v/>
      </c>
      <c r="DO150" s="164" t="str">
        <f>IFERROR(INDEX(DG$106:DG$154,_xlfn.AGGREGATE(15,6,(ROW(DG$106:DG$154)-ROW(DG$106)+1)/(DG$106:DG$154&lt;&gt;""),ROWS(DO$1:DO45))),"")</f>
        <v/>
      </c>
      <c r="DP150" s="165" t="str">
        <f>IFERROR(INDEX(DH$106:DH$154,_xlfn.AGGREGATE(15,6,(ROW(DH$106:DH$154)-ROW(DH$106)+1)/(DH$106:DH$154&lt;&gt;""),ROWS(DP$1:DP45))),"")</f>
        <v/>
      </c>
      <c r="DQ150" s="166" t="str">
        <f t="shared" si="52"/>
        <v/>
      </c>
      <c r="DV150" s="145">
        <v>2059</v>
      </c>
      <c r="DW150" s="235">
        <f t="shared" ca="1" si="37"/>
        <v>751.08903386039219</v>
      </c>
      <c r="EA150" s="55"/>
      <c r="EB150" s="55"/>
      <c r="EC150" s="55"/>
      <c r="ED150" s="55"/>
      <c r="EE150" s="55"/>
    </row>
    <row r="151" spans="1:135" ht="13.8" x14ac:dyDescent="0.45">
      <c r="B151" s="128">
        <v>2057</v>
      </c>
      <c r="C151" s="244"/>
      <c r="D151" s="199"/>
      <c r="E151" s="245"/>
      <c r="F151" s="246"/>
      <c r="G151" s="247"/>
      <c r="H151" s="245"/>
      <c r="I151" s="246"/>
      <c r="J151" s="247"/>
      <c r="K151" s="245"/>
      <c r="L151" s="246"/>
      <c r="M151" s="245"/>
      <c r="N151" s="29" t="s">
        <v>119</v>
      </c>
      <c r="O151" s="120"/>
      <c r="P151" s="120"/>
      <c r="Q151" s="120"/>
      <c r="R151" s="29">
        <v>43</v>
      </c>
      <c r="S151" s="238" t="str">
        <f t="shared" si="38"/>
        <v/>
      </c>
      <c r="T151" s="238" t="str">
        <f t="shared" si="39"/>
        <v/>
      </c>
      <c r="U151" s="238" t="str">
        <f t="shared" si="40"/>
        <v/>
      </c>
      <c r="W151" s="238" t="e">
        <f t="shared" si="41"/>
        <v>#N/A</v>
      </c>
      <c r="X151" s="238" t="e">
        <f t="shared" si="42"/>
        <v>#N/A</v>
      </c>
      <c r="Y151" s="238" t="e">
        <f t="shared" si="43"/>
        <v>#N/A</v>
      </c>
      <c r="AA151" s="89"/>
      <c r="AB151" s="89"/>
      <c r="AC151" s="89"/>
      <c r="AD151" s="89"/>
      <c r="AE151" s="89"/>
      <c r="AF151" s="89"/>
      <c r="AG151" s="89"/>
      <c r="AH151" s="89"/>
      <c r="AI151" s="89"/>
      <c r="AJ151" s="89"/>
      <c r="AK151" s="89"/>
      <c r="AL151" s="89"/>
      <c r="AM151" s="89"/>
      <c r="AN151" s="89"/>
      <c r="BR151" s="180">
        <v>2055</v>
      </c>
      <c r="BS151" s="22">
        <v>41</v>
      </c>
      <c r="BT151" s="181">
        <f t="shared" si="54"/>
        <v>167.47836172479177</v>
      </c>
      <c r="BU151" s="182">
        <f t="shared" si="55"/>
        <v>592.00614409760874</v>
      </c>
      <c r="BV151" s="242">
        <f t="shared" si="56"/>
        <v>759.48450582240048</v>
      </c>
      <c r="BX151" s="29"/>
      <c r="BY151" s="180">
        <v>2055</v>
      </c>
      <c r="BZ151" s="22">
        <v>41</v>
      </c>
      <c r="CA151" s="243">
        <f t="shared" ca="1" si="57"/>
        <v>-39.356610190993749</v>
      </c>
      <c r="CB151" s="243">
        <f t="shared" ca="1" si="58"/>
        <v>198.19571602020147</v>
      </c>
      <c r="CC151" s="243">
        <f t="shared" ca="1" si="69"/>
        <v>587.88552339944408</v>
      </c>
      <c r="CD151" s="242">
        <f t="shared" ca="1" si="59"/>
        <v>746.72462922865179</v>
      </c>
      <c r="CG151" s="180">
        <v>2055</v>
      </c>
      <c r="CH151" s="22">
        <v>41</v>
      </c>
      <c r="CI151" s="243">
        <f t="shared" ca="1" si="60"/>
        <v>-23.5811834907059</v>
      </c>
      <c r="CJ151" s="243">
        <f t="shared" ca="1" si="61"/>
        <v>-11.749370982362425</v>
      </c>
      <c r="CK151" s="243">
        <f t="shared" ca="1" si="62"/>
        <v>189.43939553543137</v>
      </c>
      <c r="CL151" s="243">
        <f t="shared" ca="1" si="63"/>
        <v>588.49974751985019</v>
      </c>
      <c r="CM151" s="242">
        <f t="shared" ca="1" si="64"/>
        <v>742.6085885822132</v>
      </c>
      <c r="CP151" s="180">
        <v>2055</v>
      </c>
      <c r="CQ151" s="22">
        <v>41</v>
      </c>
      <c r="CR151" s="243">
        <f t="shared" ca="1" si="65"/>
        <v>593.97870804003173</v>
      </c>
      <c r="CS151" s="243">
        <f t="shared" ca="1" si="66"/>
        <v>1.2915281509381784</v>
      </c>
      <c r="CT151" s="242">
        <f t="shared" ca="1" si="67"/>
        <v>767.14022249159029</v>
      </c>
      <c r="CZ151" s="164" t="b">
        <f t="shared" si="71"/>
        <v>0</v>
      </c>
      <c r="DA151" s="165" t="b">
        <f t="shared" si="71"/>
        <v>0</v>
      </c>
      <c r="DB151" s="166" t="b">
        <f t="shared" si="71"/>
        <v>0</v>
      </c>
      <c r="DC151" s="164" t="str">
        <f t="shared" si="53"/>
        <v/>
      </c>
      <c r="DD151" s="166" t="str">
        <f t="shared" si="45"/>
        <v/>
      </c>
      <c r="DE151" s="164" t="str">
        <f t="shared" si="46"/>
        <v/>
      </c>
      <c r="DF151" s="166" t="str">
        <f t="shared" si="47"/>
        <v/>
      </c>
      <c r="DG151" s="164" t="str">
        <f t="shared" si="48"/>
        <v/>
      </c>
      <c r="DH151" s="166" t="str">
        <f t="shared" si="49"/>
        <v/>
      </c>
      <c r="DI151" s="164" t="str">
        <f>IFERROR(INDEX(DC$106:DC$154,_xlfn.AGGREGATE(15,6,(ROW(DC$106:DC$154)-ROW(DC$106)+1)/(DC$106:DC$154&lt;&gt;""),ROWS(DI$1:DI46))),"")</f>
        <v/>
      </c>
      <c r="DJ151" s="165" t="str">
        <f>IFERROR(INDEX(DD$106:DD$154,_xlfn.AGGREGATE(15,6,(ROW(DD$106:DD$154)-ROW(DD$106)+1)/(DD$106:DD$154&lt;&gt;""),ROWS(DJ$1:DJ46))),"")</f>
        <v/>
      </c>
      <c r="DK151" s="166" t="str">
        <f t="shared" si="50"/>
        <v/>
      </c>
      <c r="DL151" s="164" t="str">
        <f>IFERROR(INDEX(DE$106:DE$154,_xlfn.AGGREGATE(15,6,(ROW(DE$106:DE$154)-ROW(DE$106)+1)/(DE$106:DE$154&lt;&gt;""),ROWS(DL$1:DL46))),"")</f>
        <v/>
      </c>
      <c r="DM151" s="165" t="str">
        <f>IFERROR(INDEX(DF$106:DF$154,_xlfn.AGGREGATE(15,6,(ROW(DF$106:DF$154)-ROW(DF$106)+1)/(DF$106:DF$154&lt;&gt;""),ROWS(DM$1:DM46))),"")</f>
        <v/>
      </c>
      <c r="DN151" s="166" t="str">
        <f t="shared" si="51"/>
        <v/>
      </c>
      <c r="DO151" s="164" t="str">
        <f>IFERROR(INDEX(DG$106:DG$154,_xlfn.AGGREGATE(15,6,(ROW(DG$106:DG$154)-ROW(DG$106)+1)/(DG$106:DG$154&lt;&gt;""),ROWS(DO$1:DO46))),"")</f>
        <v/>
      </c>
      <c r="DP151" s="165" t="str">
        <f>IFERROR(INDEX(DH$106:DH$154,_xlfn.AGGREGATE(15,6,(ROW(DH$106:DH$154)-ROW(DH$106)+1)/(DH$106:DH$154&lt;&gt;""),ROWS(DP$1:DP46))),"")</f>
        <v/>
      </c>
      <c r="DQ151" s="166" t="str">
        <f t="shared" si="52"/>
        <v/>
      </c>
      <c r="DV151" s="145">
        <v>2060</v>
      </c>
      <c r="DW151" s="235">
        <f t="shared" ca="1" si="37"/>
        <v>752.94837992471344</v>
      </c>
      <c r="EA151" s="55"/>
      <c r="EB151" s="55"/>
      <c r="EC151" s="55"/>
      <c r="ED151" s="55"/>
      <c r="EE151" s="55"/>
    </row>
    <row r="152" spans="1:135" ht="13.8" x14ac:dyDescent="0.45">
      <c r="A152" s="214"/>
      <c r="B152" s="128">
        <v>2058</v>
      </c>
      <c r="C152" s="244"/>
      <c r="D152" s="199"/>
      <c r="E152" s="245"/>
      <c r="F152" s="246"/>
      <c r="G152" s="247"/>
      <c r="H152" s="245"/>
      <c r="I152" s="246"/>
      <c r="J152" s="247"/>
      <c r="K152" s="245"/>
      <c r="L152" s="246"/>
      <c r="M152" s="245"/>
      <c r="N152" s="29" t="s">
        <v>119</v>
      </c>
      <c r="R152" s="29">
        <v>44</v>
      </c>
      <c r="S152" s="238" t="str">
        <f t="shared" si="38"/>
        <v/>
      </c>
      <c r="T152" s="238" t="str">
        <f t="shared" si="39"/>
        <v/>
      </c>
      <c r="U152" s="238" t="str">
        <f t="shared" si="40"/>
        <v/>
      </c>
      <c r="W152" s="238" t="e">
        <f t="shared" si="41"/>
        <v>#N/A</v>
      </c>
      <c r="X152" s="238" t="e">
        <f t="shared" si="42"/>
        <v>#N/A</v>
      </c>
      <c r="Y152" s="238" t="e">
        <f t="shared" si="43"/>
        <v>#N/A</v>
      </c>
      <c r="AA152" s="89"/>
      <c r="AB152" s="89"/>
      <c r="AC152" s="89"/>
      <c r="AD152" s="89"/>
      <c r="AE152" s="89"/>
      <c r="AF152" s="89"/>
      <c r="AG152" s="89"/>
      <c r="AH152" s="89"/>
      <c r="AI152" s="89"/>
      <c r="AJ152" s="89"/>
      <c r="AK152" s="89"/>
      <c r="AL152" s="89"/>
      <c r="AM152" s="89"/>
      <c r="AN152" s="89"/>
      <c r="BR152" s="180">
        <v>2056</v>
      </c>
      <c r="BS152" s="22">
        <v>42</v>
      </c>
      <c r="BT152" s="181">
        <f t="shared" si="54"/>
        <v>171.56319981564036</v>
      </c>
      <c r="BU152" s="182">
        <f t="shared" si="55"/>
        <v>592.00614409760874</v>
      </c>
      <c r="BV152" s="242">
        <f t="shared" si="56"/>
        <v>763.5693439132491</v>
      </c>
      <c r="BY152" s="180">
        <v>2056</v>
      </c>
      <c r="BZ152" s="22">
        <v>42</v>
      </c>
      <c r="CA152" s="243">
        <f t="shared" ca="1" si="57"/>
        <v>-41.299857452060074</v>
      </c>
      <c r="CB152" s="243">
        <f t="shared" ca="1" si="58"/>
        <v>203.02975787435273</v>
      </c>
      <c r="CC152" s="243">
        <f t="shared" ca="1" si="69"/>
        <v>587.88552339944408</v>
      </c>
      <c r="CD152" s="242">
        <f t="shared" ca="1" si="59"/>
        <v>749.61542382173673</v>
      </c>
      <c r="CG152" s="180">
        <v>2056</v>
      </c>
      <c r="CH152" s="22">
        <v>42</v>
      </c>
      <c r="CI152" s="243">
        <f t="shared" ca="1" si="60"/>
        <v>-25.349062295373233</v>
      </c>
      <c r="CJ152" s="243">
        <f t="shared" ca="1" si="61"/>
        <v>-12.329500543062057</v>
      </c>
      <c r="CK152" s="243">
        <f t="shared" ca="1" si="62"/>
        <v>194.05986859727116</v>
      </c>
      <c r="CL152" s="243">
        <f t="shared" ca="1" si="63"/>
        <v>588.49974751985019</v>
      </c>
      <c r="CM152" s="242">
        <f t="shared" ca="1" si="64"/>
        <v>744.88105327868607</v>
      </c>
      <c r="CP152" s="180">
        <v>2056</v>
      </c>
      <c r="CQ152" s="22">
        <v>42</v>
      </c>
      <c r="CR152" s="243">
        <f t="shared" ca="1" si="65"/>
        <v>593.97870804003173</v>
      </c>
      <c r="CS152" s="243">
        <f t="shared" ca="1" si="66"/>
        <v>1.2996120438490242</v>
      </c>
      <c r="CT152" s="242">
        <f t="shared" ca="1" si="67"/>
        <v>771.9418827587084</v>
      </c>
      <c r="CZ152" s="164" t="b">
        <f t="shared" si="71"/>
        <v>0</v>
      </c>
      <c r="DA152" s="165" t="b">
        <f t="shared" si="71"/>
        <v>0</v>
      </c>
      <c r="DB152" s="166" t="b">
        <f t="shared" si="71"/>
        <v>0</v>
      </c>
      <c r="DC152" s="164" t="str">
        <f t="shared" si="53"/>
        <v/>
      </c>
      <c r="DD152" s="166" t="str">
        <f t="shared" si="45"/>
        <v/>
      </c>
      <c r="DE152" s="164" t="str">
        <f t="shared" si="46"/>
        <v/>
      </c>
      <c r="DF152" s="166" t="str">
        <f t="shared" si="47"/>
        <v/>
      </c>
      <c r="DG152" s="164" t="str">
        <f t="shared" si="48"/>
        <v/>
      </c>
      <c r="DH152" s="166" t="str">
        <f t="shared" si="49"/>
        <v/>
      </c>
      <c r="DI152" s="164" t="str">
        <f>IFERROR(INDEX(DC$106:DC$154,_xlfn.AGGREGATE(15,6,(ROW(DC$106:DC$154)-ROW(DC$106)+1)/(DC$106:DC$154&lt;&gt;""),ROWS(DI$1:DI47))),"")</f>
        <v/>
      </c>
      <c r="DJ152" s="165" t="str">
        <f>IFERROR(INDEX(DD$106:DD$154,_xlfn.AGGREGATE(15,6,(ROW(DD$106:DD$154)-ROW(DD$106)+1)/(DD$106:DD$154&lt;&gt;""),ROWS(DJ$1:DJ47))),"")</f>
        <v/>
      </c>
      <c r="DK152" s="166" t="str">
        <f t="shared" si="50"/>
        <v/>
      </c>
      <c r="DL152" s="164" t="str">
        <f>IFERROR(INDEX(DE$106:DE$154,_xlfn.AGGREGATE(15,6,(ROW(DE$106:DE$154)-ROW(DE$106)+1)/(DE$106:DE$154&lt;&gt;""),ROWS(DL$1:DL47))),"")</f>
        <v/>
      </c>
      <c r="DM152" s="165" t="str">
        <f>IFERROR(INDEX(DF$106:DF$154,_xlfn.AGGREGATE(15,6,(ROW(DF$106:DF$154)-ROW(DF$106)+1)/(DF$106:DF$154&lt;&gt;""),ROWS(DM$1:DM47))),"")</f>
        <v/>
      </c>
      <c r="DN152" s="166" t="str">
        <f t="shared" si="51"/>
        <v/>
      </c>
      <c r="DO152" s="164" t="str">
        <f>IFERROR(INDEX(DG$106:DG$154,_xlfn.AGGREGATE(15,6,(ROW(DG$106:DG$154)-ROW(DG$106)+1)/(DG$106:DG$154&lt;&gt;""),ROWS(DO$1:DO47))),"")</f>
        <v/>
      </c>
      <c r="DP152" s="165" t="str">
        <f>IFERROR(INDEX(DH$106:DH$154,_xlfn.AGGREGATE(15,6,(ROW(DH$106:DH$154)-ROW(DH$106)+1)/(DH$106:DH$154&lt;&gt;""),ROWS(DP$1:DP47))),"")</f>
        <v/>
      </c>
      <c r="DQ152" s="166" t="str">
        <f t="shared" si="52"/>
        <v/>
      </c>
      <c r="DW152" s="54"/>
      <c r="EA152" s="55"/>
      <c r="EB152" s="55"/>
      <c r="EC152" s="55"/>
      <c r="ED152" s="55"/>
      <c r="EE152" s="55"/>
    </row>
    <row r="153" spans="1:135" ht="13.8" x14ac:dyDescent="0.45">
      <c r="A153" s="214"/>
      <c r="B153" s="128">
        <v>2059</v>
      </c>
      <c r="C153" s="244"/>
      <c r="D153" s="199"/>
      <c r="E153" s="245"/>
      <c r="F153" s="246"/>
      <c r="G153" s="247"/>
      <c r="H153" s="245"/>
      <c r="I153" s="246"/>
      <c r="J153" s="247"/>
      <c r="K153" s="245"/>
      <c r="L153" s="246"/>
      <c r="M153" s="245"/>
      <c r="N153" s="29" t="s">
        <v>119</v>
      </c>
      <c r="R153" s="29">
        <v>45</v>
      </c>
      <c r="S153" s="238" t="str">
        <f t="shared" si="38"/>
        <v/>
      </c>
      <c r="T153" s="238" t="str">
        <f t="shared" si="39"/>
        <v/>
      </c>
      <c r="U153" s="238" t="str">
        <f t="shared" si="40"/>
        <v/>
      </c>
      <c r="W153" s="238" t="e">
        <f t="shared" si="41"/>
        <v>#N/A</v>
      </c>
      <c r="X153" s="238" t="e">
        <f t="shared" si="42"/>
        <v>#N/A</v>
      </c>
      <c r="Y153" s="238" t="e">
        <f t="shared" si="43"/>
        <v>#N/A</v>
      </c>
      <c r="AA153" s="89"/>
      <c r="AB153" s="89"/>
      <c r="AC153" s="89"/>
      <c r="AD153" s="89"/>
      <c r="AE153" s="89"/>
      <c r="AF153" s="89"/>
      <c r="AG153" s="89"/>
      <c r="AH153" s="89"/>
      <c r="AI153" s="89"/>
      <c r="AJ153" s="89"/>
      <c r="AK153" s="89"/>
      <c r="AL153" s="89"/>
      <c r="AM153" s="89"/>
      <c r="AN153" s="89"/>
      <c r="BR153" s="180">
        <v>2057</v>
      </c>
      <c r="BS153" s="22">
        <v>43</v>
      </c>
      <c r="BT153" s="181">
        <f t="shared" si="54"/>
        <v>175.64803790648892</v>
      </c>
      <c r="BU153" s="182">
        <f t="shared" si="55"/>
        <v>592.00614409760874</v>
      </c>
      <c r="BV153" s="242">
        <f t="shared" si="56"/>
        <v>767.65418200409772</v>
      </c>
      <c r="BY153" s="180">
        <v>2057</v>
      </c>
      <c r="BZ153" s="22">
        <v>43</v>
      </c>
      <c r="CA153" s="243">
        <f t="shared" ca="1" si="57"/>
        <v>-43.289929948332805</v>
      </c>
      <c r="CB153" s="243">
        <f t="shared" ca="1" si="58"/>
        <v>207.86379972850398</v>
      </c>
      <c r="CC153" s="243">
        <f t="shared" ca="1" si="69"/>
        <v>587.88552339944408</v>
      </c>
      <c r="CD153" s="242">
        <f t="shared" ca="1" si="59"/>
        <v>752.45939317961529</v>
      </c>
      <c r="CG153" s="180">
        <v>2057</v>
      </c>
      <c r="CH153" s="22">
        <v>43</v>
      </c>
      <c r="CI153" s="243">
        <f t="shared" ca="1" si="60"/>
        <v>-27.203162400364967</v>
      </c>
      <c r="CJ153" s="243">
        <f t="shared" ca="1" si="61"/>
        <v>-12.923609129320715</v>
      </c>
      <c r="CK153" s="243">
        <f t="shared" ca="1" si="62"/>
        <v>198.68034165911095</v>
      </c>
      <c r="CL153" s="243">
        <f t="shared" ca="1" si="63"/>
        <v>588.49974751985019</v>
      </c>
      <c r="CM153" s="242">
        <f t="shared" ca="1" si="64"/>
        <v>747.05331764927541</v>
      </c>
      <c r="CP153" s="180">
        <v>2057</v>
      </c>
      <c r="CQ153" s="22">
        <v>43</v>
      </c>
      <c r="CR153" s="243">
        <f t="shared" ca="1" si="65"/>
        <v>593.97870804003173</v>
      </c>
      <c r="CS153" s="243">
        <f t="shared" ca="1" si="66"/>
        <v>1.3077465352114384</v>
      </c>
      <c r="CT153" s="242">
        <f t="shared" ca="1" si="67"/>
        <v>776.77359742871806</v>
      </c>
      <c r="CZ153" s="164" t="b">
        <f t="shared" si="71"/>
        <v>0</v>
      </c>
      <c r="DA153" s="165" t="b">
        <f t="shared" si="71"/>
        <v>0</v>
      </c>
      <c r="DB153" s="166" t="b">
        <f t="shared" si="71"/>
        <v>0</v>
      </c>
      <c r="DC153" s="164" t="str">
        <f t="shared" si="53"/>
        <v/>
      </c>
      <c r="DD153" s="166" t="str">
        <f t="shared" si="45"/>
        <v/>
      </c>
      <c r="DE153" s="164" t="str">
        <f t="shared" si="46"/>
        <v/>
      </c>
      <c r="DF153" s="166" t="str">
        <f t="shared" si="47"/>
        <v/>
      </c>
      <c r="DG153" s="164" t="str">
        <f t="shared" si="48"/>
        <v/>
      </c>
      <c r="DH153" s="166" t="str">
        <f t="shared" si="49"/>
        <v/>
      </c>
      <c r="DI153" s="164" t="str">
        <f>IFERROR(INDEX(DC$106:DC$154,_xlfn.AGGREGATE(15,6,(ROW(DC$106:DC$154)-ROW(DC$106)+1)/(DC$106:DC$154&lt;&gt;""),ROWS(DI$1:DI48))),"")</f>
        <v/>
      </c>
      <c r="DJ153" s="165" t="str">
        <f>IFERROR(INDEX(DD$106:DD$154,_xlfn.AGGREGATE(15,6,(ROW(DD$106:DD$154)-ROW(DD$106)+1)/(DD$106:DD$154&lt;&gt;""),ROWS(DJ$1:DJ48))),"")</f>
        <v/>
      </c>
      <c r="DK153" s="166" t="str">
        <f t="shared" si="50"/>
        <v/>
      </c>
      <c r="DL153" s="164" t="str">
        <f>IFERROR(INDEX(DE$106:DE$154,_xlfn.AGGREGATE(15,6,(ROW(DE$106:DE$154)-ROW(DE$106)+1)/(DE$106:DE$154&lt;&gt;""),ROWS(DL$1:DL48))),"")</f>
        <v/>
      </c>
      <c r="DM153" s="165" t="str">
        <f>IFERROR(INDEX(DF$106:DF$154,_xlfn.AGGREGATE(15,6,(ROW(DF$106:DF$154)-ROW(DF$106)+1)/(DF$106:DF$154&lt;&gt;""),ROWS(DM$1:DM48))),"")</f>
        <v/>
      </c>
      <c r="DN153" s="166" t="str">
        <f t="shared" si="51"/>
        <v/>
      </c>
      <c r="DO153" s="164" t="str">
        <f>IFERROR(INDEX(DG$106:DG$154,_xlfn.AGGREGATE(15,6,(ROW(DG$106:DG$154)-ROW(DG$106)+1)/(DG$106:DG$154&lt;&gt;""),ROWS(DO$1:DO48))),"")</f>
        <v/>
      </c>
      <c r="DP153" s="165" t="str">
        <f>IFERROR(INDEX(DH$106:DH$154,_xlfn.AGGREGATE(15,6,(ROW(DH$106:DH$154)-ROW(DH$106)+1)/(DH$106:DH$154&lt;&gt;""),ROWS(DP$1:DP48))),"")</f>
        <v/>
      </c>
      <c r="DQ153" s="166" t="str">
        <f t="shared" si="52"/>
        <v/>
      </c>
      <c r="DW153" s="54"/>
      <c r="EA153" s="55"/>
      <c r="EB153" s="55"/>
      <c r="EC153" s="55"/>
      <c r="ED153" s="55"/>
      <c r="EE153" s="55"/>
    </row>
    <row r="154" spans="1:135" ht="13.8" x14ac:dyDescent="0.45">
      <c r="A154" s="214"/>
      <c r="B154" s="128">
        <v>2060</v>
      </c>
      <c r="C154" s="248"/>
      <c r="D154" s="215"/>
      <c r="E154" s="249"/>
      <c r="F154" s="250"/>
      <c r="G154" s="251"/>
      <c r="H154" s="249"/>
      <c r="I154" s="250"/>
      <c r="J154" s="251"/>
      <c r="K154" s="249"/>
      <c r="L154" s="250"/>
      <c r="M154" s="249"/>
      <c r="N154" s="29" t="s">
        <v>119</v>
      </c>
      <c r="R154" s="29">
        <v>46</v>
      </c>
      <c r="S154" s="238" t="str">
        <f t="shared" si="38"/>
        <v/>
      </c>
      <c r="T154" s="238" t="str">
        <f t="shared" si="39"/>
        <v/>
      </c>
      <c r="U154" s="238" t="str">
        <f t="shared" si="40"/>
        <v/>
      </c>
      <c r="W154" s="238" t="e">
        <f t="shared" si="41"/>
        <v>#N/A</v>
      </c>
      <c r="X154" s="238" t="e">
        <f t="shared" si="42"/>
        <v>#N/A</v>
      </c>
      <c r="Y154" s="238" t="e">
        <f t="shared" si="43"/>
        <v>#N/A</v>
      </c>
      <c r="AA154" s="89"/>
      <c r="AB154" s="89"/>
      <c r="AC154" s="89"/>
      <c r="AD154" s="89"/>
      <c r="AE154" s="89"/>
      <c r="AF154" s="89"/>
      <c r="AG154" s="89"/>
      <c r="AH154" s="89"/>
      <c r="AI154" s="89"/>
      <c r="AJ154" s="89"/>
      <c r="AK154" s="89"/>
      <c r="AL154" s="89"/>
      <c r="AM154" s="89"/>
      <c r="AN154" s="89"/>
      <c r="BR154" s="180">
        <v>2058</v>
      </c>
      <c r="BS154" s="22">
        <v>44</v>
      </c>
      <c r="BT154" s="181">
        <f t="shared" si="54"/>
        <v>179.73287599733752</v>
      </c>
      <c r="BU154" s="182">
        <f t="shared" si="55"/>
        <v>592.00614409760874</v>
      </c>
      <c r="BV154" s="242">
        <f t="shared" si="56"/>
        <v>771.73902009494623</v>
      </c>
      <c r="BY154" s="180">
        <v>2058</v>
      </c>
      <c r="BZ154" s="22">
        <v>44</v>
      </c>
      <c r="CA154" s="243">
        <f t="shared" ca="1" si="57"/>
        <v>-45.326827679811963</v>
      </c>
      <c r="CB154" s="243">
        <f t="shared" ca="1" si="58"/>
        <v>212.69784158265526</v>
      </c>
      <c r="CC154" s="243">
        <f t="shared" ca="1" si="69"/>
        <v>587.88552339944408</v>
      </c>
      <c r="CD154" s="242">
        <f t="shared" ca="1" si="59"/>
        <v>755.25653730228737</v>
      </c>
      <c r="CG154" s="180">
        <v>2058</v>
      </c>
      <c r="CH154" s="22">
        <v>44</v>
      </c>
      <c r="CI154" s="243">
        <f t="shared" ca="1" si="60"/>
        <v>-29.145536693784063</v>
      </c>
      <c r="CJ154" s="243">
        <f t="shared" ca="1" si="61"/>
        <v>-13.531696741138402</v>
      </c>
      <c r="CK154" s="243">
        <f t="shared" ca="1" si="62"/>
        <v>203.30081472095074</v>
      </c>
      <c r="CL154" s="243">
        <f t="shared" ca="1" si="63"/>
        <v>588.49974751985019</v>
      </c>
      <c r="CM154" s="242">
        <f t="shared" ca="1" si="64"/>
        <v>749.12332880587849</v>
      </c>
      <c r="CP154" s="180">
        <v>2058</v>
      </c>
      <c r="CQ154" s="22">
        <v>44</v>
      </c>
      <c r="CR154" s="243">
        <f t="shared" ca="1" si="65"/>
        <v>593.97870804003173</v>
      </c>
      <c r="CS154" s="243">
        <f t="shared" ca="1" si="66"/>
        <v>1.3159319417296778</v>
      </c>
      <c r="CT154" s="242">
        <f t="shared" ca="1" si="67"/>
        <v>781.63555461720432</v>
      </c>
      <c r="CZ154" s="164" t="b">
        <f t="shared" si="71"/>
        <v>0</v>
      </c>
      <c r="DA154" s="165" t="b">
        <f t="shared" si="71"/>
        <v>0</v>
      </c>
      <c r="DB154" s="166" t="b">
        <f t="shared" si="71"/>
        <v>0</v>
      </c>
      <c r="DC154" s="164" t="str">
        <f t="shared" si="53"/>
        <v/>
      </c>
      <c r="DD154" s="166" t="str">
        <f t="shared" si="45"/>
        <v/>
      </c>
      <c r="DE154" s="164" t="str">
        <f t="shared" si="46"/>
        <v/>
      </c>
      <c r="DF154" s="166" t="str">
        <f t="shared" si="47"/>
        <v/>
      </c>
      <c r="DG154" s="164" t="str">
        <f t="shared" si="48"/>
        <v/>
      </c>
      <c r="DH154" s="166" t="str">
        <f t="shared" si="49"/>
        <v/>
      </c>
      <c r="DI154" s="164" t="str">
        <f>IFERROR(INDEX(DC$106:DC$154,_xlfn.AGGREGATE(15,6,(ROW(DC$106:DC$154)-ROW(DC$106)+1)/(DC$106:DC$154&lt;&gt;""),ROWS(DI$1:DI49))),"")</f>
        <v/>
      </c>
      <c r="DJ154" s="165" t="str">
        <f>IFERROR(INDEX(DD$106:DD$154,_xlfn.AGGREGATE(15,6,(ROW(DD$106:DD$154)-ROW(DD$106)+1)/(DD$106:DD$154&lt;&gt;""),ROWS(DJ$1:DJ49))),"")</f>
        <v/>
      </c>
      <c r="DK154" s="166" t="str">
        <f t="shared" si="50"/>
        <v/>
      </c>
      <c r="DL154" s="164" t="str">
        <f>IFERROR(INDEX(DE$106:DE$154,_xlfn.AGGREGATE(15,6,(ROW(DE$106:DE$154)-ROW(DE$106)+1)/(DE$106:DE$154&lt;&gt;""),ROWS(DL$1:DL49))),"")</f>
        <v/>
      </c>
      <c r="DM154" s="165" t="str">
        <f>IFERROR(INDEX(DF$106:DF$154,_xlfn.AGGREGATE(15,6,(ROW(DF$106:DF$154)-ROW(DF$106)+1)/(DF$106:DF$154&lt;&gt;""),ROWS(DM$1:DM49))),"")</f>
        <v/>
      </c>
      <c r="DN154" s="166" t="str">
        <f t="shared" si="51"/>
        <v/>
      </c>
      <c r="DO154" s="164" t="str">
        <f>IFERROR(INDEX(DG$106:DG$154,_xlfn.AGGREGATE(15,6,(ROW(DG$106:DG$154)-ROW(DG$106)+1)/(DG$106:DG$154&lt;&gt;""),ROWS(DO$1:DO49))),"")</f>
        <v/>
      </c>
      <c r="DP154" s="165" t="str">
        <f>IFERROR(INDEX(DH$106:DH$154,_xlfn.AGGREGATE(15,6,(ROW(DH$106:DH$154)-ROW(DH$106)+1)/(DH$106:DH$154&lt;&gt;""),ROWS(DP$1:DP49))),"")</f>
        <v/>
      </c>
      <c r="DQ154" s="166" t="str">
        <f t="shared" si="52"/>
        <v/>
      </c>
      <c r="DW154" s="54"/>
      <c r="EA154" s="55"/>
      <c r="EB154" s="55"/>
      <c r="EC154" s="55"/>
      <c r="ED154" s="55"/>
      <c r="EE154" s="55"/>
    </row>
    <row r="155" spans="1:135" x14ac:dyDescent="0.4">
      <c r="A155" s="214"/>
      <c r="B155" s="89"/>
      <c r="C155" s="14"/>
      <c r="D155" s="14"/>
      <c r="E155" s="14"/>
      <c r="F155" s="14"/>
      <c r="G155" s="14"/>
      <c r="H155" s="14"/>
      <c r="I155" s="14"/>
      <c r="J155" s="14"/>
      <c r="K155" s="14"/>
      <c r="L155" s="14"/>
      <c r="M155" s="50"/>
      <c r="S155" s="120"/>
      <c r="T155" s="120"/>
      <c r="U155" s="120"/>
      <c r="W155" s="120"/>
      <c r="X155" s="120"/>
      <c r="Y155" s="120"/>
      <c r="AA155" s="89"/>
      <c r="AB155" s="89"/>
      <c r="AC155" s="89"/>
      <c r="AD155" s="89"/>
      <c r="AE155" s="89"/>
      <c r="AF155" s="89"/>
      <c r="AG155" s="89"/>
      <c r="AH155" s="89"/>
      <c r="AI155" s="89"/>
      <c r="AJ155" s="89"/>
      <c r="AK155" s="89"/>
      <c r="AL155" s="89"/>
      <c r="AM155" s="89"/>
      <c r="AN155" s="89"/>
      <c r="BR155" s="180">
        <v>2059</v>
      </c>
      <c r="BS155" s="22">
        <v>45</v>
      </c>
      <c r="BT155" s="181">
        <f t="shared" si="54"/>
        <v>183.81771408818608</v>
      </c>
      <c r="BU155" s="182">
        <f t="shared" si="55"/>
        <v>592.00614409760874</v>
      </c>
      <c r="BV155" s="242">
        <f t="shared" si="56"/>
        <v>775.82385818579485</v>
      </c>
      <c r="BY155" s="180">
        <v>2059</v>
      </c>
      <c r="BZ155" s="22">
        <v>45</v>
      </c>
      <c r="CA155" s="243">
        <f t="shared" ca="1" si="57"/>
        <v>-47.410550646497533</v>
      </c>
      <c r="CB155" s="243">
        <f t="shared" ca="1" si="58"/>
        <v>217.53188343680651</v>
      </c>
      <c r="CC155" s="243">
        <f t="shared" ca="1" si="69"/>
        <v>587.88552339944408</v>
      </c>
      <c r="CD155" s="242">
        <f t="shared" ca="1" si="59"/>
        <v>758.00685618975308</v>
      </c>
      <c r="CG155" s="180">
        <v>2059</v>
      </c>
      <c r="CH155" s="22">
        <v>45</v>
      </c>
      <c r="CI155" s="243">
        <f t="shared" ca="1" si="60"/>
        <v>-31.178238063733478</v>
      </c>
      <c r="CJ155" s="243">
        <f t="shared" ca="1" si="61"/>
        <v>-14.153763378515116</v>
      </c>
      <c r="CK155" s="243">
        <f t="shared" ca="1" si="62"/>
        <v>207.92128778279053</v>
      </c>
      <c r="CL155" s="243">
        <f t="shared" ca="1" si="63"/>
        <v>588.49974751985019</v>
      </c>
      <c r="CM155" s="242">
        <f t="shared" ca="1" si="64"/>
        <v>751.08903386039219</v>
      </c>
      <c r="CP155" s="180">
        <v>2059</v>
      </c>
      <c r="CQ155" s="22">
        <v>45</v>
      </c>
      <c r="CR155" s="243">
        <f t="shared" ca="1" si="65"/>
        <v>593.97870804003173</v>
      </c>
      <c r="CS155" s="243">
        <f t="shared" ca="1" si="66"/>
        <v>1.3241685820903053</v>
      </c>
      <c r="CT155" s="242">
        <f t="shared" ca="1" si="67"/>
        <v>786.52794361720021</v>
      </c>
      <c r="CZ155" s="252"/>
      <c r="DA155" s="252"/>
      <c r="DB155" s="252"/>
      <c r="DC155" s="252"/>
      <c r="DD155" s="252"/>
      <c r="DE155" s="252"/>
      <c r="DF155" s="252"/>
      <c r="DG155" s="252"/>
      <c r="DH155" s="252"/>
      <c r="DI155" s="252"/>
      <c r="DJ155" s="252"/>
      <c r="DK155" s="252"/>
      <c r="DL155" s="252"/>
      <c r="DM155" s="252"/>
      <c r="DN155" s="252"/>
      <c r="DO155" s="252"/>
      <c r="DP155" s="252"/>
      <c r="DQ155" s="252"/>
      <c r="DU155" s="65"/>
      <c r="DW155" s="54"/>
      <c r="EA155" s="55"/>
      <c r="EB155" s="55"/>
      <c r="EC155" s="55"/>
      <c r="ED155" s="55"/>
      <c r="EE155" s="55"/>
    </row>
    <row r="156" spans="1:135" x14ac:dyDescent="0.4">
      <c r="A156" s="214"/>
      <c r="B156" s="89"/>
      <c r="C156" s="14"/>
      <c r="D156" s="14"/>
      <c r="E156" s="14"/>
      <c r="F156" s="14"/>
      <c r="G156" s="14"/>
      <c r="H156" s="14"/>
      <c r="I156" s="14"/>
      <c r="J156" s="14"/>
      <c r="K156" s="14"/>
      <c r="L156" s="14"/>
      <c r="M156" s="50"/>
      <c r="S156" s="120"/>
      <c r="T156" s="120"/>
      <c r="U156" s="120"/>
      <c r="W156" s="120"/>
      <c r="X156" s="120"/>
      <c r="Y156" s="120"/>
      <c r="AA156" s="89"/>
      <c r="AB156" s="89"/>
      <c r="AC156" s="89"/>
      <c r="AD156" s="89"/>
      <c r="AE156" s="89"/>
      <c r="AF156" s="89"/>
      <c r="AG156" s="89"/>
      <c r="AH156" s="89"/>
      <c r="AI156" s="89"/>
      <c r="AJ156" s="89"/>
      <c r="AK156" s="89"/>
      <c r="AL156" s="89"/>
      <c r="AM156" s="89"/>
      <c r="AN156" s="89"/>
      <c r="BR156" s="180">
        <v>2060</v>
      </c>
      <c r="BS156" s="22">
        <v>46</v>
      </c>
      <c r="BT156" s="181">
        <f t="shared" si="54"/>
        <v>187.90255217903467</v>
      </c>
      <c r="BU156" s="182">
        <f t="shared" si="55"/>
        <v>592.00614409760874</v>
      </c>
      <c r="BV156" s="242">
        <f t="shared" si="56"/>
        <v>779.90869627664347</v>
      </c>
      <c r="BX156" s="29"/>
      <c r="BY156" s="180">
        <v>2060</v>
      </c>
      <c r="BZ156" s="22">
        <v>46</v>
      </c>
      <c r="CA156" s="243">
        <f t="shared" ca="1" si="57"/>
        <v>-49.541098848389517</v>
      </c>
      <c r="CB156" s="243">
        <f t="shared" ca="1" si="58"/>
        <v>222.36592529095776</v>
      </c>
      <c r="CC156" s="243">
        <f t="shared" ca="1" si="69"/>
        <v>587.88552339944408</v>
      </c>
      <c r="CD156" s="242">
        <f t="shared" ca="1" si="59"/>
        <v>760.71034984201231</v>
      </c>
      <c r="CG156" s="180">
        <v>2060</v>
      </c>
      <c r="CH156" s="22">
        <v>46</v>
      </c>
      <c r="CI156" s="243">
        <f t="shared" ca="1" si="60"/>
        <v>-33.303319398316177</v>
      </c>
      <c r="CJ156" s="243">
        <f t="shared" ca="1" si="61"/>
        <v>-14.789809041450857</v>
      </c>
      <c r="CK156" s="243">
        <f t="shared" ca="1" si="62"/>
        <v>212.54176084463032</v>
      </c>
      <c r="CL156" s="243">
        <f t="shared" ca="1" si="63"/>
        <v>588.49974751985019</v>
      </c>
      <c r="CM156" s="242">
        <f t="shared" ca="1" si="64"/>
        <v>752.94837992471344</v>
      </c>
      <c r="CP156" s="180">
        <v>2060</v>
      </c>
      <c r="CQ156" s="22">
        <v>46</v>
      </c>
      <c r="CR156" s="243">
        <f t="shared" ca="1" si="65"/>
        <v>593.97870804003173</v>
      </c>
      <c r="CS156" s="243">
        <f t="shared" ca="1" si="66"/>
        <v>1.3324567769745972</v>
      </c>
      <c r="CT156" s="242">
        <f t="shared" ca="1" si="67"/>
        <v>791.45095490655592</v>
      </c>
      <c r="DW156" s="54"/>
      <c r="EA156" s="55"/>
      <c r="EB156" s="55"/>
      <c r="EC156" s="55"/>
      <c r="ED156" s="55"/>
      <c r="EE156" s="55"/>
    </row>
    <row r="157" spans="1:135" x14ac:dyDescent="0.4">
      <c r="A157" s="221" t="str">
        <f ca="1">HYPERLINK("#"&amp;"'"&amp;A$1&amp;"'!a1","Back to top")</f>
        <v>Back to top</v>
      </c>
      <c r="C157" s="50"/>
      <c r="D157" s="14"/>
      <c r="E157" s="14"/>
      <c r="F157" s="14"/>
      <c r="G157" s="14"/>
      <c r="H157" s="14"/>
      <c r="I157" s="14"/>
      <c r="J157" s="14"/>
      <c r="K157" s="14"/>
      <c r="L157" s="14"/>
      <c r="M157" s="14"/>
      <c r="N157" s="89"/>
      <c r="O157" s="89"/>
      <c r="P157" s="89"/>
      <c r="Q157" s="89"/>
      <c r="R157" s="89"/>
      <c r="S157" s="89"/>
      <c r="T157" s="89"/>
      <c r="U157" s="89"/>
      <c r="V157" s="89"/>
      <c r="W157" s="89"/>
      <c r="X157" s="89"/>
      <c r="Y157" s="89"/>
      <c r="Z157" s="89"/>
      <c r="AA157" s="89"/>
      <c r="AB157" s="89"/>
      <c r="AC157" s="89"/>
      <c r="AD157" s="89"/>
      <c r="AE157" s="89"/>
      <c r="AF157" s="89"/>
      <c r="AG157" s="89"/>
      <c r="AH157" s="89"/>
      <c r="AI157" s="89"/>
      <c r="AJ157" s="89"/>
      <c r="AK157" s="89"/>
      <c r="AL157" s="89"/>
      <c r="AM157" s="89"/>
      <c r="AN157" s="89"/>
      <c r="DW157" s="54"/>
      <c r="EA157" s="55"/>
      <c r="EB157" s="55"/>
      <c r="EC157" s="55"/>
      <c r="ED157" s="55"/>
      <c r="EE157" s="55"/>
    </row>
    <row r="158" spans="1:135" x14ac:dyDescent="0.4">
      <c r="A158" s="221"/>
      <c r="C158" s="50"/>
      <c r="D158" s="14"/>
      <c r="E158" s="14"/>
      <c r="F158" s="14"/>
      <c r="G158" s="14"/>
      <c r="H158" s="14"/>
      <c r="I158" s="14"/>
      <c r="J158" s="14"/>
      <c r="K158" s="14"/>
      <c r="L158" s="14"/>
      <c r="M158" s="14"/>
      <c r="N158" s="89"/>
      <c r="O158" s="89"/>
      <c r="P158" s="89"/>
      <c r="Q158" s="89"/>
      <c r="R158" s="89"/>
      <c r="S158" s="89"/>
      <c r="T158" s="89"/>
      <c r="U158" s="89"/>
      <c r="V158" s="89"/>
      <c r="W158" s="89"/>
      <c r="X158" s="89"/>
      <c r="Y158" s="89"/>
      <c r="Z158" s="89"/>
      <c r="AA158" s="89"/>
      <c r="AB158" s="89"/>
      <c r="AC158" s="89"/>
      <c r="AD158" s="89"/>
      <c r="AE158" s="89"/>
      <c r="AF158" s="89"/>
      <c r="AG158" s="89"/>
      <c r="AH158" s="89"/>
      <c r="AI158" s="89"/>
      <c r="AJ158" s="89"/>
      <c r="AK158" s="89"/>
      <c r="AL158" s="89"/>
      <c r="AM158" s="89"/>
      <c r="AN158" s="89"/>
      <c r="DW158" s="54"/>
      <c r="EA158" s="55"/>
      <c r="EB158" s="55"/>
      <c r="EC158" s="55"/>
      <c r="ED158" s="55"/>
      <c r="EE158" s="55"/>
    </row>
    <row r="159" spans="1:135" x14ac:dyDescent="0.4">
      <c r="A159" s="214"/>
      <c r="B159" s="89"/>
      <c r="C159" s="14"/>
      <c r="D159" s="14"/>
      <c r="E159" s="14"/>
      <c r="F159" s="14"/>
      <c r="G159" s="14"/>
      <c r="H159" s="14"/>
      <c r="I159" s="14"/>
      <c r="J159" s="14"/>
      <c r="K159" s="14"/>
      <c r="L159" s="14"/>
      <c r="M159" s="50"/>
      <c r="N159" s="49"/>
      <c r="O159" s="49"/>
      <c r="P159" s="49"/>
      <c r="Q159" s="49"/>
      <c r="R159" s="49"/>
      <c r="S159" s="120"/>
      <c r="T159" s="120"/>
      <c r="U159" s="120"/>
      <c r="V159" s="49"/>
      <c r="W159" s="120"/>
      <c r="X159" s="120"/>
      <c r="Y159" s="120"/>
      <c r="Z159" s="89"/>
      <c r="AA159" s="89"/>
      <c r="AB159" s="89"/>
      <c r="AC159" s="89"/>
      <c r="AD159" s="89"/>
      <c r="AE159" s="89"/>
      <c r="AF159" s="89"/>
      <c r="AG159" s="89"/>
      <c r="AH159" s="89"/>
      <c r="AI159" s="89"/>
      <c r="AJ159" s="89"/>
      <c r="AK159" s="89"/>
      <c r="AL159" s="89"/>
      <c r="AM159" s="89"/>
      <c r="AN159" s="8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row>
    <row r="160" spans="1:135" x14ac:dyDescent="0.4">
      <c r="A160" s="253"/>
      <c r="B160" s="254"/>
      <c r="C160" s="255"/>
      <c r="D160" s="255"/>
      <c r="E160" s="255"/>
      <c r="F160" s="255"/>
      <c r="G160" s="255"/>
      <c r="H160" s="255"/>
      <c r="I160" s="255"/>
      <c r="J160" s="255"/>
      <c r="K160" s="255"/>
      <c r="L160" s="255"/>
      <c r="M160" s="256"/>
      <c r="S160" s="257"/>
      <c r="T160" s="257"/>
      <c r="U160" s="257"/>
      <c r="W160" s="257"/>
      <c r="X160" s="257"/>
      <c r="Y160" s="257"/>
      <c r="Z160" s="254"/>
      <c r="AA160" s="254"/>
      <c r="AB160" s="254"/>
      <c r="AC160" s="254"/>
      <c r="AD160" s="254"/>
      <c r="AE160" s="254"/>
      <c r="AF160" s="254"/>
      <c r="AG160" s="254"/>
      <c r="AH160" s="254"/>
      <c r="AI160" s="254"/>
      <c r="AJ160" s="254"/>
      <c r="AK160" s="254"/>
      <c r="AL160" s="254"/>
      <c r="AM160" s="254"/>
      <c r="AN160" s="254"/>
      <c r="DW160" s="258"/>
      <c r="EA160" s="259"/>
      <c r="EB160" s="259"/>
      <c r="EC160" s="259"/>
      <c r="ED160" s="259"/>
      <c r="EE160" s="259"/>
    </row>
    <row r="161" spans="1:135" x14ac:dyDescent="0.4">
      <c r="A161" s="253"/>
      <c r="B161" s="254"/>
      <c r="C161" s="255"/>
      <c r="D161" s="255"/>
      <c r="E161" s="255"/>
      <c r="F161" s="255"/>
      <c r="G161" s="255"/>
      <c r="H161" s="255"/>
      <c r="I161" s="255"/>
      <c r="J161" s="255"/>
      <c r="K161" s="255"/>
      <c r="L161" s="255"/>
      <c r="M161" s="256"/>
      <c r="S161" s="257"/>
      <c r="T161" s="257"/>
      <c r="U161" s="257"/>
      <c r="W161" s="257"/>
      <c r="X161" s="257"/>
      <c r="Y161" s="257"/>
      <c r="Z161" s="254"/>
      <c r="AA161" s="254"/>
      <c r="AB161" s="254"/>
      <c r="AC161" s="254"/>
      <c r="AD161" s="254"/>
      <c r="AE161" s="254"/>
      <c r="AF161" s="254"/>
      <c r="AG161" s="254"/>
      <c r="AH161" s="254"/>
      <c r="AI161" s="254"/>
      <c r="AJ161" s="254"/>
      <c r="AK161" s="254"/>
      <c r="AL161" s="254"/>
      <c r="AM161" s="254"/>
      <c r="AN161" s="254"/>
      <c r="DW161" s="258"/>
      <c r="EA161" s="259"/>
      <c r="EB161" s="259"/>
      <c r="EC161" s="259"/>
      <c r="ED161" s="259"/>
      <c r="EE161" s="259"/>
    </row>
    <row r="162" spans="1:135" x14ac:dyDescent="0.4">
      <c r="A162" s="214"/>
      <c r="B162" s="89"/>
      <c r="C162" s="14"/>
      <c r="D162" s="14"/>
      <c r="E162" s="14"/>
      <c r="F162" s="14"/>
      <c r="G162" s="14"/>
      <c r="H162" s="14"/>
      <c r="I162" s="14"/>
      <c r="J162" s="14"/>
      <c r="K162" s="14"/>
      <c r="L162" s="14"/>
      <c r="M162" s="50"/>
      <c r="N162" s="49"/>
      <c r="O162" s="49"/>
      <c r="P162" s="49"/>
      <c r="Q162" s="49"/>
      <c r="R162" s="49"/>
      <c r="S162" s="120"/>
      <c r="T162" s="120"/>
      <c r="U162" s="120"/>
      <c r="V162" s="49"/>
      <c r="W162" s="120"/>
      <c r="X162" s="120"/>
      <c r="Y162" s="120"/>
      <c r="Z162" s="89"/>
      <c r="AA162" s="89"/>
      <c r="AB162" s="89"/>
      <c r="AC162" s="89"/>
      <c r="AD162" s="89"/>
      <c r="AE162" s="89"/>
      <c r="AF162" s="89"/>
      <c r="AG162" s="89"/>
      <c r="AH162" s="89"/>
      <c r="AI162" s="89"/>
      <c r="AJ162" s="89"/>
      <c r="AK162" s="89"/>
      <c r="AL162" s="89"/>
      <c r="AM162" s="89"/>
      <c r="AN162" s="8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row>
    <row r="163" spans="1:135" x14ac:dyDescent="0.4">
      <c r="A163" s="214"/>
      <c r="B163" s="89"/>
      <c r="C163" s="14"/>
      <c r="D163" s="14"/>
      <c r="E163" s="14"/>
      <c r="F163" s="14"/>
      <c r="G163" s="14"/>
      <c r="H163" s="14"/>
      <c r="I163" s="14"/>
      <c r="J163" s="14"/>
      <c r="K163" s="14"/>
      <c r="L163" s="14"/>
      <c r="M163" s="50"/>
      <c r="N163" s="49"/>
      <c r="O163" s="49"/>
      <c r="P163" s="49"/>
      <c r="Q163" s="49"/>
      <c r="R163" s="49"/>
      <c r="S163" s="120"/>
      <c r="T163" s="120"/>
      <c r="U163" s="120"/>
      <c r="V163" s="49"/>
      <c r="W163" s="120"/>
      <c r="X163" s="120"/>
      <c r="Y163" s="120"/>
      <c r="Z163" s="89"/>
      <c r="AA163" s="89"/>
      <c r="AB163" s="89"/>
      <c r="AC163" s="89"/>
      <c r="AD163" s="89"/>
      <c r="AE163" s="89"/>
      <c r="AF163" s="89"/>
      <c r="AG163" s="89"/>
      <c r="AH163" s="89"/>
      <c r="AI163" s="89"/>
      <c r="AJ163" s="89"/>
      <c r="AK163" s="89"/>
      <c r="AL163" s="89"/>
      <c r="AM163" s="89"/>
      <c r="AN163" s="89"/>
      <c r="AO163" s="89"/>
    </row>
    <row r="164" spans="1:135" x14ac:dyDescent="0.4">
      <c r="A164" s="221"/>
      <c r="B164" s="49"/>
      <c r="C164" s="50"/>
      <c r="D164" s="14"/>
      <c r="E164" s="14"/>
      <c r="F164" s="14"/>
      <c r="G164" s="14"/>
      <c r="H164" s="14"/>
      <c r="I164" s="14"/>
      <c r="J164" s="14"/>
      <c r="K164" s="14"/>
      <c r="L164" s="14"/>
      <c r="M164" s="14"/>
      <c r="N164" s="89"/>
      <c r="O164" s="89"/>
      <c r="P164" s="89"/>
      <c r="Q164" s="89"/>
      <c r="R164" s="89"/>
      <c r="S164" s="89"/>
      <c r="T164" s="89"/>
      <c r="U164" s="89"/>
      <c r="V164" s="89"/>
      <c r="W164" s="89"/>
      <c r="X164" s="89"/>
      <c r="Y164" s="89"/>
      <c r="Z164" s="89"/>
      <c r="AA164" s="89"/>
      <c r="AB164" s="89"/>
      <c r="AC164" s="89"/>
      <c r="AD164" s="89"/>
      <c r="AE164" s="89"/>
      <c r="AF164" s="89"/>
      <c r="AG164" s="89"/>
      <c r="AH164" s="89"/>
      <c r="AI164" s="89"/>
      <c r="AJ164" s="89"/>
      <c r="AK164" s="89"/>
      <c r="AL164" s="89"/>
      <c r="AM164" s="89"/>
      <c r="AN164" s="89"/>
      <c r="AO164" s="89"/>
    </row>
    <row r="165" spans="1:135" x14ac:dyDescent="0.4">
      <c r="A165" s="260" t="s">
        <v>99</v>
      </c>
      <c r="B165" s="89"/>
      <c r="C165" s="14"/>
      <c r="D165" s="14"/>
      <c r="E165" s="14"/>
      <c r="F165" s="14"/>
      <c r="G165" s="14"/>
      <c r="H165" s="14"/>
      <c r="I165" s="14"/>
      <c r="J165" s="14"/>
      <c r="K165" s="14"/>
      <c r="L165" s="14"/>
      <c r="M165" s="14"/>
      <c r="N165" s="89"/>
      <c r="O165" s="89"/>
      <c r="P165" s="89"/>
      <c r="Q165" s="89"/>
      <c r="R165" s="89"/>
      <c r="S165" s="89"/>
      <c r="T165" s="89"/>
      <c r="U165" s="89"/>
      <c r="V165" s="89"/>
      <c r="W165" s="89"/>
      <c r="X165" s="89"/>
      <c r="Y165" s="89"/>
      <c r="Z165" s="89"/>
      <c r="AA165" s="261" t="s">
        <v>99</v>
      </c>
      <c r="AB165" s="89"/>
      <c r="AC165" s="89"/>
      <c r="AD165" s="89"/>
      <c r="AE165" s="89"/>
      <c r="AF165" s="89"/>
      <c r="AG165" s="89"/>
      <c r="AH165" s="89"/>
      <c r="AI165" s="89"/>
      <c r="AJ165" s="89"/>
      <c r="AK165" s="89"/>
      <c r="AL165" s="89"/>
      <c r="AM165" s="261" t="s">
        <v>99</v>
      </c>
      <c r="AN165" s="89"/>
      <c r="AO165" s="89"/>
      <c r="AZ165" s="261" t="s">
        <v>99</v>
      </c>
      <c r="BJ165" s="261" t="s">
        <v>99</v>
      </c>
      <c r="BR165" s="261" t="s">
        <v>99</v>
      </c>
      <c r="BY165" s="261" t="s">
        <v>99</v>
      </c>
      <c r="CG165" s="261" t="s">
        <v>99</v>
      </c>
      <c r="CP165" s="261" t="s">
        <v>99</v>
      </c>
      <c r="DV165" s="261" t="s">
        <v>99</v>
      </c>
    </row>
    <row r="166" spans="1:135" x14ac:dyDescent="0.4">
      <c r="B166" s="694"/>
      <c r="C166" s="694"/>
      <c r="D166" s="113"/>
      <c r="E166" s="113"/>
      <c r="F166" s="113"/>
      <c r="G166" s="113"/>
      <c r="H166" s="113"/>
      <c r="I166" s="113"/>
      <c r="J166" s="113"/>
      <c r="K166" s="113"/>
      <c r="L166" s="113"/>
      <c r="M166" s="113"/>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89"/>
      <c r="DW166" s="54"/>
      <c r="EA166" s="55"/>
      <c r="EB166" s="55"/>
      <c r="EC166" s="55"/>
      <c r="ED166" s="55"/>
      <c r="EE166" s="55"/>
    </row>
    <row r="167" spans="1:135" x14ac:dyDescent="0.4">
      <c r="A167" s="233"/>
      <c r="B167" s="679"/>
      <c r="C167" s="679"/>
      <c r="D167" s="113"/>
      <c r="E167" s="113"/>
      <c r="F167" s="113"/>
      <c r="G167" s="113"/>
      <c r="H167" s="113"/>
      <c r="I167" s="113"/>
      <c r="J167" s="113"/>
      <c r="K167" s="113"/>
      <c r="L167" s="113"/>
      <c r="M167" s="113"/>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CZ167" s="116"/>
      <c r="DA167" s="116"/>
      <c r="DB167" s="116"/>
      <c r="DC167" s="116"/>
      <c r="DD167" s="116"/>
      <c r="DE167" s="116"/>
      <c r="DF167" s="116"/>
      <c r="DG167" s="116"/>
      <c r="DH167" s="116"/>
      <c r="DI167" s="117" t="str">
        <f>"DJ"&amp;MIN(DK170:DK215)</f>
        <v>DJ170</v>
      </c>
      <c r="DJ167" s="118" t="str">
        <f>"DJ"&amp;MAX(DK170:DK215)</f>
        <v>DJ200</v>
      </c>
      <c r="DK167" s="116"/>
      <c r="DL167" s="117" t="str">
        <f>"DM"&amp;MIN(DN170:DN215)</f>
        <v>DM170</v>
      </c>
      <c r="DM167" s="118" t="str">
        <f>"DM"&amp;MAX(DN170:DN215)</f>
        <v>DM200</v>
      </c>
      <c r="DN167" s="116"/>
      <c r="DO167" s="117" t="str">
        <f>"DP"&amp;MIN(DQ170:DQ215)</f>
        <v>DP170</v>
      </c>
      <c r="DP167" s="118" t="str">
        <f>"DP"&amp;MAX(DQ170:DQ215)</f>
        <v>DP200</v>
      </c>
      <c r="DQ167" s="116"/>
      <c r="DW167" s="119"/>
      <c r="EA167" s="33"/>
      <c r="EB167" s="33"/>
      <c r="EC167" s="33"/>
      <c r="ED167" s="33"/>
      <c r="EE167" s="33"/>
    </row>
    <row r="168" spans="1:135" ht="24.6" x14ac:dyDescent="0.45">
      <c r="A168" s="95" t="s">
        <v>65</v>
      </c>
      <c r="C168" s="680" t="str">
        <f>A186</f>
        <v>Base Cases</v>
      </c>
      <c r="D168" s="681"/>
      <c r="E168" s="682"/>
      <c r="F168" s="683" t="str">
        <f>A187</f>
        <v>Conservative Cases</v>
      </c>
      <c r="G168" s="684"/>
      <c r="H168" s="685"/>
      <c r="I168" s="686" t="str">
        <f>A188</f>
        <v>Ambitious Cases</v>
      </c>
      <c r="J168" s="687"/>
      <c r="K168" s="688"/>
      <c r="L168" s="692" t="str">
        <f>A189</f>
        <v>Maximum Cases</v>
      </c>
      <c r="M168" s="693"/>
      <c r="O168" s="122"/>
      <c r="P168" s="122"/>
      <c r="Q168" s="122"/>
      <c r="W168" s="691" t="s">
        <v>66</v>
      </c>
      <c r="X168" s="691"/>
      <c r="Y168" s="691"/>
      <c r="Z168" s="120"/>
      <c r="AA168" s="120"/>
      <c r="AB168" s="120"/>
      <c r="AC168" s="120"/>
      <c r="AD168" s="120"/>
      <c r="AE168" s="120"/>
      <c r="AF168" s="120"/>
      <c r="AG168" s="120"/>
      <c r="AH168" s="120"/>
      <c r="AI168" s="120"/>
      <c r="AJ168" s="120"/>
      <c r="AK168" s="120"/>
      <c r="AL168" s="120"/>
      <c r="AM168" s="120"/>
      <c r="AN168" s="120"/>
      <c r="BR168" s="121" t="s">
        <v>67</v>
      </c>
      <c r="BS168" s="121"/>
      <c r="BT168" s="121"/>
      <c r="BU168" s="121"/>
      <c r="BV168" s="121"/>
      <c r="BW168" s="122"/>
      <c r="BY168" s="121" t="s">
        <v>68</v>
      </c>
      <c r="BZ168" s="121"/>
      <c r="CA168" s="121"/>
      <c r="CB168" s="121"/>
      <c r="CC168" s="121"/>
      <c r="CD168" s="121"/>
      <c r="CG168" s="121" t="s">
        <v>69</v>
      </c>
      <c r="CH168" s="121"/>
      <c r="CI168" s="121"/>
      <c r="CJ168" s="121"/>
      <c r="CK168" s="121"/>
      <c r="CL168" s="121"/>
      <c r="CM168" s="121"/>
      <c r="CP168" s="121" t="s">
        <v>70</v>
      </c>
      <c r="CQ168" s="121"/>
      <c r="CR168" s="121"/>
      <c r="CS168" s="121"/>
      <c r="CT168" s="121"/>
      <c r="CU168" s="121"/>
      <c r="CZ168" s="123"/>
      <c r="DA168" s="123"/>
      <c r="DB168" s="123"/>
      <c r="DC168" s="123"/>
      <c r="DD168" s="123"/>
      <c r="DE168" s="123"/>
      <c r="DF168" s="123"/>
      <c r="DG168" s="123"/>
      <c r="DH168" s="123"/>
      <c r="DI168" s="124" t="str">
        <f>"DI"&amp;MIN(DK170:DK215)</f>
        <v>DI170</v>
      </c>
      <c r="DJ168" s="125" t="str">
        <f>"DI"&amp;MAX(DK170:DK215)</f>
        <v>DI200</v>
      </c>
      <c r="DK168" s="123"/>
      <c r="DL168" s="124" t="str">
        <f>"DL"&amp;MIN(DN170:DN215)</f>
        <v>DL170</v>
      </c>
      <c r="DM168" s="125" t="str">
        <f>"DL"&amp;MAX(DN170:DN215)</f>
        <v>DL200</v>
      </c>
      <c r="DN168" s="123"/>
      <c r="DO168" s="124" t="str">
        <f>"DO"&amp;MIN(DQ170:DQ215)</f>
        <v>DO170</v>
      </c>
      <c r="DP168" s="125" t="str">
        <f>"DO"&amp;MAX(DQ170:DQ215)</f>
        <v>DO200</v>
      </c>
      <c r="DQ168" s="123"/>
      <c r="DV168" s="126" t="s">
        <v>71</v>
      </c>
      <c r="DZ168" s="127" t="s">
        <v>72</v>
      </c>
      <c r="EA168" s="33" t="str">
        <f>$L$20</f>
        <v>3rd Poly</v>
      </c>
    </row>
    <row r="169" spans="1:135" ht="73.8" x14ac:dyDescent="0.45">
      <c r="A169" s="95" t="s">
        <v>73</v>
      </c>
      <c r="B169" s="128"/>
      <c r="C169" s="129" t="str">
        <f>A170</f>
        <v>IPCC</v>
      </c>
      <c r="D169" s="130" t="str">
        <f>A171</f>
        <v>World Bank, What a Waste</v>
      </c>
      <c r="E169" s="131" t="str">
        <f>A172</f>
        <v>Bahor et al (2009)</v>
      </c>
      <c r="F169" s="129" t="str">
        <f>A173</f>
        <v>Hoornweg et al (2014)</v>
      </c>
      <c r="G169" s="130" t="str">
        <f>A174</f>
        <v xml:space="preserve"> IEA Annex I – Municipal solid waste potential in cities; Table I.1</v>
      </c>
      <c r="H169" s="131" t="str">
        <f>A175</f>
        <v>[Source 3]</v>
      </c>
      <c r="I169" s="129" t="str">
        <f>A176</f>
        <v>[Source 1]</v>
      </c>
      <c r="J169" s="130" t="str">
        <f>A177</f>
        <v>[Source 2]</v>
      </c>
      <c r="K169" s="131" t="str">
        <f>A178</f>
        <v>[Source 3]</v>
      </c>
      <c r="L169" s="129" t="str">
        <f>A179</f>
        <v>[Source 1]</v>
      </c>
      <c r="M169" s="131" t="str">
        <f>A180</f>
        <v>[Source 2]</v>
      </c>
      <c r="N169" s="234" t="s">
        <v>74</v>
      </c>
      <c r="O169" s="133"/>
      <c r="P169" s="133"/>
      <c r="Q169" s="133"/>
      <c r="R169" s="135" t="s">
        <v>76</v>
      </c>
      <c r="S169" s="134" t="s">
        <v>77</v>
      </c>
      <c r="T169" s="134" t="s">
        <v>78</v>
      </c>
      <c r="U169" s="136" t="s">
        <v>79</v>
      </c>
      <c r="V169" s="137"/>
      <c r="W169" s="136" t="s">
        <v>15</v>
      </c>
      <c r="X169" s="134" t="s">
        <v>21</v>
      </c>
      <c r="Y169" s="136" t="s">
        <v>25</v>
      </c>
      <c r="AA169" s="138"/>
      <c r="AB169" s="138"/>
      <c r="AC169" s="138"/>
      <c r="AD169" s="138"/>
      <c r="AE169" s="138"/>
      <c r="AF169" s="138"/>
      <c r="AG169" s="138"/>
      <c r="AH169" s="138"/>
      <c r="AI169" s="138"/>
      <c r="AJ169" s="138"/>
      <c r="AK169" s="138"/>
      <c r="AL169" s="138"/>
      <c r="AM169" s="138"/>
      <c r="AN169" s="138"/>
      <c r="BR169" s="139"/>
      <c r="BS169" s="139"/>
      <c r="BT169" s="139"/>
      <c r="BU169" s="139"/>
      <c r="BV169" s="139"/>
      <c r="BW169" s="122"/>
      <c r="BZ169" s="139"/>
      <c r="CA169" s="139"/>
      <c r="CB169" s="139"/>
      <c r="CC169" s="139"/>
      <c r="CD169" s="139"/>
      <c r="CH169" s="139"/>
      <c r="CI169" s="139"/>
      <c r="CJ169" s="139"/>
      <c r="CK169" s="139"/>
      <c r="CL169" s="139"/>
      <c r="CM169" s="139"/>
      <c r="CQ169" s="139"/>
      <c r="CR169" s="139"/>
      <c r="CS169" s="139"/>
      <c r="CT169" s="139"/>
      <c r="CU169" s="139"/>
      <c r="CZ169" s="140"/>
      <c r="DA169" s="140"/>
      <c r="DB169" s="140"/>
      <c r="DC169" s="140"/>
      <c r="DD169" s="141"/>
      <c r="DE169" s="141"/>
      <c r="DF169" s="141"/>
      <c r="DG169" s="141"/>
      <c r="DH169" s="140"/>
      <c r="DI169" s="142"/>
      <c r="DJ169" s="143"/>
      <c r="DK169" s="144"/>
      <c r="DL169" s="142"/>
      <c r="DM169" s="143"/>
      <c r="DN169" s="140"/>
      <c r="DO169" s="142"/>
      <c r="DP169" s="143"/>
      <c r="DQ169" s="140"/>
      <c r="DV169" s="145">
        <v>2014</v>
      </c>
      <c r="DW169" s="235">
        <f t="shared" ref="DW169:DW215" ca="1" si="72">IF($J$20="N","",IF($L$20="Linear",BV174,IF($L$20="2nd Poly",CD174,IF($L$20="3rd Poly",CM174,IF($L$20="Exp",CT174)))))</f>
        <v>104.15166209974525</v>
      </c>
      <c r="EA169" s="33" t="str">
        <f>$M$20</f>
        <v>Medium</v>
      </c>
      <c r="EB169" s="33"/>
      <c r="EC169" s="33"/>
      <c r="ED169" s="33"/>
      <c r="EE169" s="33"/>
    </row>
    <row r="170" spans="1:135" ht="13.8" x14ac:dyDescent="0.45">
      <c r="A170" s="148" t="s">
        <v>108</v>
      </c>
      <c r="B170" s="128">
        <v>2012</v>
      </c>
      <c r="C170" s="263"/>
      <c r="D170" s="264"/>
      <c r="E170" s="239"/>
      <c r="F170" s="190"/>
      <c r="G170" s="264"/>
      <c r="H170" s="239"/>
      <c r="I170" s="190"/>
      <c r="J170" s="264"/>
      <c r="K170" s="239"/>
      <c r="L170" s="190"/>
      <c r="M170" s="239"/>
      <c r="N170" s="29" t="s">
        <v>119</v>
      </c>
      <c r="O170" s="120"/>
      <c r="P170" s="120"/>
      <c r="Q170" s="120"/>
      <c r="R170" s="29">
        <v>-2</v>
      </c>
      <c r="S170" s="265" t="str">
        <f t="shared" ref="S170:S218" si="73">IF(MIN(C170:Q170)=0,"",MIN(C170:Q170))</f>
        <v/>
      </c>
      <c r="T170" s="265" t="str">
        <f t="shared" ref="T170:T218" si="74">IF(MAX(C170:Q170)=0,"",MAX(C170:Q170))</f>
        <v/>
      </c>
      <c r="U170" s="265" t="str">
        <f t="shared" ref="U170:U218" si="75">IF(T170="","",_xlfn.STDEV.P(C170:Q170))</f>
        <v/>
      </c>
      <c r="V170" s="29"/>
      <c r="W170" s="265" t="e">
        <f t="shared" ref="W170:W218" si="76">IF(U170="",#N/A,X170-(U170*$Q$20))</f>
        <v>#N/A</v>
      </c>
      <c r="X170" s="265" t="e">
        <f t="shared" ref="X170:X218" si="77">IF(U170="",#N/A,(SUM(C170:Q170)/COUNTIFS(C170:Q170,"&gt;0")))</f>
        <v>#N/A</v>
      </c>
      <c r="Y170" s="265" t="e">
        <f t="shared" ref="Y170:Y218" si="78">IF(U170="",#N/A,X170+(U170*$Q$19))</f>
        <v>#N/A</v>
      </c>
      <c r="AA170" s="138"/>
      <c r="AB170" s="138"/>
      <c r="AC170" s="138"/>
      <c r="AD170" s="138"/>
      <c r="AE170" s="138"/>
      <c r="AF170" s="138"/>
      <c r="AG170" s="138"/>
      <c r="AH170" s="138"/>
      <c r="AI170" s="138"/>
      <c r="AJ170" s="138"/>
      <c r="AK170" s="138"/>
      <c r="AL170" s="138"/>
      <c r="AM170" s="138"/>
      <c r="AN170" s="138"/>
      <c r="BR170" s="137"/>
      <c r="BS170" s="65" t="str">
        <f>$M$20</f>
        <v>Medium</v>
      </c>
      <c r="BT170" s="137" t="s">
        <v>82</v>
      </c>
      <c r="BU170" s="137" t="s">
        <v>83</v>
      </c>
      <c r="BW170" s="133"/>
      <c r="BY170" s="137"/>
      <c r="BZ170" s="65" t="str">
        <f>$M$20</f>
        <v>Medium</v>
      </c>
      <c r="CA170" s="137" t="s">
        <v>84</v>
      </c>
      <c r="CB170" s="137" t="s">
        <v>82</v>
      </c>
      <c r="CC170" s="137" t="s">
        <v>83</v>
      </c>
      <c r="CG170" s="137"/>
      <c r="CH170" s="65" t="str">
        <f>$M$20</f>
        <v>Medium</v>
      </c>
      <c r="CI170" s="137" t="s">
        <v>85</v>
      </c>
      <c r="CJ170" s="137" t="s">
        <v>84</v>
      </c>
      <c r="CK170" s="137" t="s">
        <v>82</v>
      </c>
      <c r="CL170" s="137" t="s">
        <v>83</v>
      </c>
      <c r="CP170" s="137"/>
      <c r="CQ170" s="65" t="str">
        <f>$M$20</f>
        <v>Medium</v>
      </c>
      <c r="CR170" s="137" t="s">
        <v>86</v>
      </c>
      <c r="CS170" s="137" t="s">
        <v>87</v>
      </c>
      <c r="CZ170" s="155" t="b">
        <f t="shared" ref="CZ170:DB209" si="79">ISNUMBER(W170)</f>
        <v>0</v>
      </c>
      <c r="DA170" s="156" t="b">
        <f t="shared" si="79"/>
        <v>0</v>
      </c>
      <c r="DB170" s="157" t="b">
        <f t="shared" si="79"/>
        <v>0</v>
      </c>
      <c r="DC170" s="155" t="str">
        <f t="shared" ref="DC170:DC218" si="80">IF(CZ170=TRUE,$R170,"")</f>
        <v/>
      </c>
      <c r="DD170" s="157" t="str">
        <f t="shared" ref="DD170:DD218" si="81">IF(CZ170=TRUE,W170,"")</f>
        <v/>
      </c>
      <c r="DE170" s="155" t="str">
        <f t="shared" ref="DE170:DE218" si="82">IF(DA170=TRUE,$R170,"")</f>
        <v/>
      </c>
      <c r="DF170" s="157" t="str">
        <f t="shared" ref="DF170:DF218" si="83">IF(DA170=TRUE,X170,"")</f>
        <v/>
      </c>
      <c r="DG170" s="155" t="str">
        <f t="shared" ref="DG170:DG218" si="84">IF(DB170=TRUE,$R170,"")</f>
        <v/>
      </c>
      <c r="DH170" s="157" t="str">
        <f t="shared" ref="DH170:DH218" si="85">IF(DB170=TRUE,Y170,"")</f>
        <v/>
      </c>
      <c r="DI170" s="155">
        <f>IFERROR(INDEX(DC$170:DC$218,_xlfn.AGGREGATE(15,6,(ROW(DC$170:DC$218)-ROW(DC$170)+1)/(DC$170:DC$218&lt;&gt;""),ROWS(DI$1:DI1))),"")</f>
        <v>1</v>
      </c>
      <c r="DJ170" s="156">
        <f>IFERROR(INDEX(DD$170:DD$218,_xlfn.AGGREGATE(15,6,(ROW(DD$170:DD$218)-ROW(DD$170)+1)/(DD$170:DD$218&lt;&gt;""),ROWS(DJ$1:DJ1))),"")</f>
        <v>83.441995976584764</v>
      </c>
      <c r="DK170" s="157">
        <f t="shared" ref="DK170:DK218" si="86">IF(ISNUMBER(DI170),ROW(DI170),"")</f>
        <v>170</v>
      </c>
      <c r="DL170" s="155">
        <f>IFERROR(INDEX(DE$170:DE$218,_xlfn.AGGREGATE(15,6,(ROW(DE$170:DE$218)-ROW(DE$170)+1)/(DE$170:DE$218&lt;&gt;""),ROWS(DL$1:DL1))),"")</f>
        <v>1</v>
      </c>
      <c r="DM170" s="156">
        <f>IFERROR(INDEX(DF$170:DF$218,_xlfn.AGGREGATE(15,6,(ROW(DF$170:DF$218)-ROW(DF$170)+1)/(DF$170:DF$218&lt;&gt;""),ROWS(DM$1:DM1))),"")</f>
        <v>106.04560383444957</v>
      </c>
      <c r="DN170" s="157">
        <f t="shared" ref="DN170:DN218" si="87">IF(ISNUMBER(DI170),ROW(DI170),"")</f>
        <v>170</v>
      </c>
      <c r="DO170" s="155">
        <f>IFERROR(INDEX(DG$170:DG$218,_xlfn.AGGREGATE(15,6,(ROW(DG$170:DG$218)-ROW(DG$170)+1)/(DG$170:DG$218&lt;&gt;""),ROWS(DO$1:DO1))),"")</f>
        <v>1</v>
      </c>
      <c r="DP170" s="156">
        <f>IFERROR(INDEX(DH$170:DH$218,_xlfn.AGGREGATE(15,6,(ROW(DH$170:DH$218)-ROW(DH$170)+1)/(DH$170:DH$218&lt;&gt;""),ROWS(DP$1:DP1))),"")</f>
        <v>128.64921169231437</v>
      </c>
      <c r="DQ170" s="157">
        <f t="shared" ref="DQ170:DQ218" si="88">IF(ISNUMBER(DL170),ROW(DL170),"")</f>
        <v>170</v>
      </c>
      <c r="DV170" s="145">
        <v>2015</v>
      </c>
      <c r="DW170" s="235">
        <f t="shared" ca="1" si="72"/>
        <v>106.22971502370696</v>
      </c>
      <c r="EA170" s="33"/>
      <c r="EB170" s="33"/>
      <c r="EC170" s="33"/>
      <c r="ED170" s="33"/>
      <c r="EE170" s="33"/>
    </row>
    <row r="171" spans="1:135" ht="13.8" x14ac:dyDescent="0.45">
      <c r="A171" s="148" t="s">
        <v>109</v>
      </c>
      <c r="B171" s="128">
        <v>2013</v>
      </c>
      <c r="C171" s="187"/>
      <c r="D171" s="267"/>
      <c r="E171" s="239"/>
      <c r="F171" s="190"/>
      <c r="G171" s="267"/>
      <c r="H171" s="239"/>
      <c r="I171" s="190"/>
      <c r="J171" s="267"/>
      <c r="K171" s="239"/>
      <c r="L171" s="190"/>
      <c r="M171" s="239"/>
      <c r="N171" s="29" t="s">
        <v>119</v>
      </c>
      <c r="O171" s="120"/>
      <c r="P171" s="120"/>
      <c r="Q171" s="120"/>
      <c r="R171" s="29">
        <v>-1</v>
      </c>
      <c r="S171" s="265" t="str">
        <f t="shared" si="73"/>
        <v/>
      </c>
      <c r="T171" s="265" t="str">
        <f t="shared" si="74"/>
        <v/>
      </c>
      <c r="U171" s="265" t="str">
        <f t="shared" si="75"/>
        <v/>
      </c>
      <c r="V171" s="29"/>
      <c r="W171" s="265" t="e">
        <f t="shared" si="76"/>
        <v>#N/A</v>
      </c>
      <c r="X171" s="265" t="e">
        <f t="shared" si="77"/>
        <v>#N/A</v>
      </c>
      <c r="Y171" s="265" t="e">
        <f t="shared" si="78"/>
        <v>#N/A</v>
      </c>
      <c r="AA171" s="138"/>
      <c r="AB171" s="138"/>
      <c r="AC171" s="138"/>
      <c r="AD171" s="138"/>
      <c r="AE171" s="138"/>
      <c r="AF171" s="138"/>
      <c r="AG171" s="138"/>
      <c r="AH171" s="138"/>
      <c r="AI171" s="138"/>
      <c r="AJ171" s="138"/>
      <c r="AK171" s="138"/>
      <c r="AL171" s="138"/>
      <c r="AM171" s="138"/>
      <c r="AN171" s="138"/>
      <c r="BS171" s="160" t="s">
        <v>25</v>
      </c>
      <c r="BT171" s="161">
        <f>SLOPE((DH170:DH218),($B$46:$B$94))</f>
        <v>2.5648118260146342</v>
      </c>
      <c r="BU171" s="162">
        <f>INTERCEPT(DP170:DP218,DO170:DO218)</f>
        <v>127.62854423543858</v>
      </c>
      <c r="BW171" s="133"/>
      <c r="BZ171" s="160" t="s">
        <v>25</v>
      </c>
      <c r="CA171" s="161">
        <f ca="1">INDEX(LINEST((INDIRECT(DO167):INDIRECT(DP167)),(INDIRECT(DO168):INDIRECT(DP168))^{1,2}),1)</f>
        <v>-8.0744147296908705E-3</v>
      </c>
      <c r="CB171" s="163">
        <f ca="1">INDEX(LINEST((INDIRECT(DO167):INDIRECT(DP167)),(INDIRECT(DO168):INDIRECT(DP168))^{1,2}),1,2)</f>
        <v>2.8231930973647419</v>
      </c>
      <c r="CC171" s="162">
        <f ca="1">INDEX(LINEST((INDIRECT(DO167):INDIRECT(DP167)),(INDIRECT(DO168):INDIRECT(DP168))^{1,2}),1,3)</f>
        <v>126.20744724301299</v>
      </c>
      <c r="CH171" s="160" t="s">
        <v>25</v>
      </c>
      <c r="CI171" s="161">
        <f ca="1">INDEX(LINEST((INDIRECT(DO167):INDIRECT(DP167)),(INDIRECT(DO168):INDIRECT(DP168))^{1,2,3}),1)</f>
        <v>1.7901115143253543E-4</v>
      </c>
      <c r="CJ171" s="163">
        <f ca="1">INDEX(LINEST((INDIRECT(DO167):INDIRECT(DP167)),(INDIRECT(DO168):INDIRECT(DP168))^{1,2,3}),1,2)</f>
        <v>-1.6666949998452495E-2</v>
      </c>
      <c r="CK171" s="163">
        <f ca="1">INDEX(LINEST((INDIRECT(DO167):INDIRECT(DP167)),(INDIRECT(DO168):INDIRECT(DP168))^{1,2,3}),1,3)</f>
        <v>2.9349318580889276</v>
      </c>
      <c r="CL171" s="162">
        <f ca="1">INDEX(LINEST((INDIRECT(DO167):INDIRECT(DP167)),(INDIRECT(DO168):INDIRECT(DP168))^{1,2,3}),1,4)</f>
        <v>125.88608642396132</v>
      </c>
      <c r="CQ171" s="160" t="s">
        <v>25</v>
      </c>
      <c r="CR171" s="161">
        <f ca="1">EXP(INDEX(LINEST(LN(INDIRECT(DO167):INDIRECT(DP167)),(INDIRECT(DO168):INDIRECT(DP168))),1,2))</f>
        <v>130.52587001504898</v>
      </c>
      <c r="CS171" s="162">
        <f ca="1">INDEX(LINEST(LN(INDIRECT(DO167):INDIRECT(DP167)),(INDIRECT(DO168):INDIRECT(DP168))),1)</f>
        <v>1.5429431338850677E-2</v>
      </c>
      <c r="CZ171" s="164" t="b">
        <f t="shared" si="79"/>
        <v>0</v>
      </c>
      <c r="DA171" s="165" t="b">
        <f t="shared" si="79"/>
        <v>0</v>
      </c>
      <c r="DB171" s="166" t="b">
        <f t="shared" si="79"/>
        <v>0</v>
      </c>
      <c r="DC171" s="164" t="str">
        <f t="shared" si="80"/>
        <v/>
      </c>
      <c r="DD171" s="166" t="str">
        <f t="shared" si="81"/>
        <v/>
      </c>
      <c r="DE171" s="164" t="str">
        <f t="shared" si="82"/>
        <v/>
      </c>
      <c r="DF171" s="166" t="str">
        <f t="shared" si="83"/>
        <v/>
      </c>
      <c r="DG171" s="164" t="str">
        <f t="shared" si="84"/>
        <v/>
      </c>
      <c r="DH171" s="166" t="str">
        <f t="shared" si="85"/>
        <v/>
      </c>
      <c r="DI171" s="164">
        <f>IFERROR(INDEX(DC$170:DC$218,_xlfn.AGGREGATE(15,6,(ROW(DC$170:DC$218)-ROW(DC$170)+1)/(DC$170:DC$218&lt;&gt;""),ROWS(DI$1:DI2))),"")</f>
        <v>2</v>
      </c>
      <c r="DJ171" s="165">
        <f>IFERROR(INDEX(DD$170:DD$218,_xlfn.AGGREGATE(15,6,(ROW(DD$170:DD$218)-ROW(DD$170)+1)/(DD$170:DD$218&lt;&gt;""),ROWS(DJ$1:DJ2))),"")</f>
        <v>85.046288673183156</v>
      </c>
      <c r="DK171" s="166">
        <f t="shared" si="86"/>
        <v>171</v>
      </c>
      <c r="DL171" s="164">
        <f>IFERROR(INDEX(DE$170:DE$218,_xlfn.AGGREGATE(15,6,(ROW(DE$170:DE$218)-ROW(DE$170)+1)/(DE$170:DE$218&lt;&gt;""),ROWS(DL$1:DL2))),"")</f>
        <v>2</v>
      </c>
      <c r="DM171" s="165">
        <f>IFERROR(INDEX(DF$170:DF$218,_xlfn.AGGREGATE(15,6,(ROW(DF$170:DF$218)-ROW(DF$170)+1)/(DF$170:DF$218&lt;&gt;""),ROWS(DM$1:DM2))),"")</f>
        <v>108.49071998700045</v>
      </c>
      <c r="DN171" s="166">
        <f t="shared" si="87"/>
        <v>171</v>
      </c>
      <c r="DO171" s="164">
        <f>IFERROR(INDEX(DG$170:DG$218,_xlfn.AGGREGATE(15,6,(ROW(DG$170:DG$218)-ROW(DG$170)+1)/(DG$170:DG$218&lt;&gt;""),ROWS(DO$1:DO2))),"")</f>
        <v>2</v>
      </c>
      <c r="DP171" s="165">
        <f>IFERROR(INDEX(DH$170:DH$218,_xlfn.AGGREGATE(15,6,(ROW(DH$170:DH$218)-ROW(DH$170)+1)/(DH$170:DH$218&lt;&gt;""),ROWS(DP$1:DP2))),"")</f>
        <v>131.93515130081775</v>
      </c>
      <c r="DQ171" s="166">
        <f t="shared" si="88"/>
        <v>171</v>
      </c>
      <c r="DV171" s="145">
        <v>2016</v>
      </c>
      <c r="DW171" s="235">
        <f t="shared" ca="1" si="72"/>
        <v>108.2705442055447</v>
      </c>
      <c r="EA171" s="33"/>
      <c r="EB171" s="33"/>
      <c r="EC171" s="33"/>
      <c r="ED171" s="33"/>
      <c r="EE171" s="33"/>
    </row>
    <row r="172" spans="1:135" ht="13.8" x14ac:dyDescent="0.45">
      <c r="A172" s="148" t="s">
        <v>110</v>
      </c>
      <c r="B172" s="128">
        <v>2014</v>
      </c>
      <c r="C172" s="167"/>
      <c r="D172" s="168"/>
      <c r="E172" s="169"/>
      <c r="F172" s="170"/>
      <c r="G172" s="168"/>
      <c r="H172" s="169"/>
      <c r="I172" s="170"/>
      <c r="J172" s="168"/>
      <c r="K172" s="169"/>
      <c r="L172" s="170"/>
      <c r="M172" s="169"/>
      <c r="N172" s="29" t="s">
        <v>119</v>
      </c>
      <c r="O172" s="120"/>
      <c r="P172" s="120"/>
      <c r="Q172" s="120"/>
      <c r="R172" s="29">
        <v>0</v>
      </c>
      <c r="S172" s="265" t="str">
        <f t="shared" si="73"/>
        <v/>
      </c>
      <c r="T172" s="265" t="str">
        <f t="shared" si="74"/>
        <v/>
      </c>
      <c r="U172" s="265" t="str">
        <f t="shared" si="75"/>
        <v/>
      </c>
      <c r="V172" s="29"/>
      <c r="W172" s="265" t="e">
        <f t="shared" si="76"/>
        <v>#N/A</v>
      </c>
      <c r="X172" s="265" t="e">
        <f t="shared" si="77"/>
        <v>#N/A</v>
      </c>
      <c r="Y172" s="265" t="e">
        <f t="shared" si="78"/>
        <v>#N/A</v>
      </c>
      <c r="AA172" s="138"/>
      <c r="AB172" s="138"/>
      <c r="AC172" s="138"/>
      <c r="AD172" s="138"/>
      <c r="AE172" s="138"/>
      <c r="AF172" s="138"/>
      <c r="AG172" s="138"/>
      <c r="AH172" s="138"/>
      <c r="AI172" s="138"/>
      <c r="AJ172" s="138"/>
      <c r="AK172" s="138"/>
      <c r="AL172" s="138"/>
      <c r="AM172" s="138"/>
      <c r="AN172" s="138"/>
      <c r="BS172" s="160" t="s">
        <v>91</v>
      </c>
      <c r="BT172" s="268">
        <f>SLOPE((DF170:DF218),($B$46:$B$94))</f>
        <v>1.6314000792455696</v>
      </c>
      <c r="BU172" s="269">
        <f>INTERCEPT(DM170:DM218,DL170:DL218)</f>
        <v>106.45137405158448</v>
      </c>
      <c r="BZ172" s="160" t="s">
        <v>91</v>
      </c>
      <c r="CA172" s="268">
        <f ca="1">INDEX(LINEST((INDIRECT(DL167):INDIRECT(DM167)),(INDIRECT(DL168):INDIRECT(DM168))^{1,2}),1)</f>
        <v>-1.1441191043346956E-2</v>
      </c>
      <c r="CB172" s="270">
        <f ca="1">INDEX(LINEST((INDIRECT(DL167):INDIRECT(DM167)),(INDIRECT(DL168):INDIRECT(DM168))^{1,2}),1,2)</f>
        <v>1.9975181926326724</v>
      </c>
      <c r="CC172" s="269">
        <f ca="1">INDEX(LINEST((INDIRECT(DL167):INDIRECT(DM167)),(INDIRECT(DL168):INDIRECT(DM168))^{1,2}),1,3)</f>
        <v>104.43772442795542</v>
      </c>
      <c r="CH172" s="160" t="s">
        <v>91</v>
      </c>
      <c r="CI172" s="268">
        <f ca="1">INDEX(LINEST((INDIRECT(DL167):INDIRECT(DM167)),(INDIRECT(DL168):INDIRECT(DM168))^{1,2,3}),1)</f>
        <v>1.5934844485859367E-4</v>
      </c>
      <c r="CJ172" s="270">
        <f ca="1">INDEX(LINEST((INDIRECT(DL167):INDIRECT(DM167)),(INDIRECT(DL168):INDIRECT(DM168))^{1,2,3}),1,2)</f>
        <v>-1.9089916396559419E-2</v>
      </c>
      <c r="CK172" s="270">
        <f ca="1">INDEX(LINEST((INDIRECT(DL167):INDIRECT(DM167)),(INDIRECT(DL168):INDIRECT(DM168))^{1,2,3}),1,3)</f>
        <v>2.0969834919134054</v>
      </c>
      <c r="CL172" s="269">
        <f ca="1">INDEX(LINEST((INDIRECT(DL167):INDIRECT(DM167)),(INDIRECT(DL168):INDIRECT(DM168))^{1,2,3}),1,4)</f>
        <v>104.15166209974525</v>
      </c>
      <c r="CQ172" s="160" t="s">
        <v>91</v>
      </c>
      <c r="CR172" s="268">
        <f ca="1">EXP(INDEX(LINEST(LN(INDIRECT(DL167):INDIRECT(DM167)),(INDIRECT(DL168):INDIRECT(DM168))),1,2))</f>
        <v>107.90475001670083</v>
      </c>
      <c r="CS172" s="269">
        <f ca="1">INDEX(LINEST(LN(INDIRECT(DL167):INDIRECT(DM167)),(INDIRECT(DL168):INDIRECT(DM168))),1)</f>
        <v>1.247014088459344E-2</v>
      </c>
      <c r="CZ172" s="164" t="b">
        <f t="shared" si="79"/>
        <v>0</v>
      </c>
      <c r="DA172" s="165" t="b">
        <f t="shared" si="79"/>
        <v>0</v>
      </c>
      <c r="DB172" s="166" t="b">
        <f t="shared" si="79"/>
        <v>0</v>
      </c>
      <c r="DC172" s="164" t="str">
        <f t="shared" si="80"/>
        <v/>
      </c>
      <c r="DD172" s="166" t="str">
        <f t="shared" si="81"/>
        <v/>
      </c>
      <c r="DE172" s="164" t="str">
        <f t="shared" si="82"/>
        <v/>
      </c>
      <c r="DF172" s="166" t="str">
        <f t="shared" si="83"/>
        <v/>
      </c>
      <c r="DG172" s="164" t="str">
        <f t="shared" si="84"/>
        <v/>
      </c>
      <c r="DH172" s="166" t="str">
        <f t="shared" si="85"/>
        <v/>
      </c>
      <c r="DI172" s="164">
        <f>IFERROR(INDEX(DC$170:DC$218,_xlfn.AGGREGATE(15,6,(ROW(DC$170:DC$218)-ROW(DC$170)+1)/(DC$170:DC$218&lt;&gt;""),ROWS(DI$1:DI3))),"")</f>
        <v>3</v>
      </c>
      <c r="DJ172" s="165">
        <f>IFERROR(INDEX(DD$170:DD$218,_xlfn.AGGREGATE(15,6,(ROW(DD$170:DD$218)-ROW(DD$170)+1)/(DD$170:DD$218&lt;&gt;""),ROWS(DJ$1:DJ3))),"")</f>
        <v>86.15282107857044</v>
      </c>
      <c r="DK172" s="166">
        <f t="shared" si="86"/>
        <v>172</v>
      </c>
      <c r="DL172" s="164">
        <f>IFERROR(INDEX(DE$170:DE$218,_xlfn.AGGREGATE(15,6,(ROW(DE$170:DE$218)-ROW(DE$170)+1)/(DE$170:DE$218&lt;&gt;""),ROWS(DL$1:DL3))),"")</f>
        <v>3</v>
      </c>
      <c r="DM172" s="165">
        <f>IFERROR(INDEX(DF$170:DF$218,_xlfn.AGGREGATE(15,6,(ROW(DF$170:DF$218)-ROW(DF$170)+1)/(DF$170:DF$218&lt;&gt;""),ROWS(DM$1:DM3))),"")</f>
        <v>110.42147408556139</v>
      </c>
      <c r="DN172" s="166">
        <f t="shared" si="87"/>
        <v>172</v>
      </c>
      <c r="DO172" s="164">
        <f>IFERROR(INDEX(DG$170:DG$218,_xlfn.AGGREGATE(15,6,(ROW(DG$170:DG$218)-ROW(DG$170)+1)/(DG$170:DG$218&lt;&gt;""),ROWS(DO$1:DO3))),"")</f>
        <v>3</v>
      </c>
      <c r="DP172" s="165">
        <f>IFERROR(INDEX(DH$170:DH$218,_xlfn.AGGREGATE(15,6,(ROW(DH$170:DH$218)-ROW(DH$170)+1)/(DH$170:DH$218&lt;&gt;""),ROWS(DP$1:DP3))),"")</f>
        <v>134.69012709255233</v>
      </c>
      <c r="DQ172" s="166">
        <f t="shared" si="88"/>
        <v>172</v>
      </c>
      <c r="DV172" s="145">
        <v>2017</v>
      </c>
      <c r="DW172" s="235">
        <f t="shared" ca="1" si="72"/>
        <v>110.27510573592761</v>
      </c>
      <c r="DZ172" s="65" t="s">
        <v>89</v>
      </c>
      <c r="EA172" s="33"/>
      <c r="EB172" s="33"/>
      <c r="EC172" s="33"/>
      <c r="ED172" s="33"/>
      <c r="EE172" s="33"/>
    </row>
    <row r="173" spans="1:135" ht="13.8" x14ac:dyDescent="0.45">
      <c r="A173" s="148" t="s">
        <v>111</v>
      </c>
      <c r="B173" s="128">
        <v>2015</v>
      </c>
      <c r="C173" s="263">
        <f>'Total MSW Summaries (Archive)'!E6</f>
        <v>98.462293872104084</v>
      </c>
      <c r="D173" s="267">
        <f>'Total MSW Summaries (Archive)'!Q6</f>
        <v>116.64327006515488</v>
      </c>
      <c r="E173" s="271">
        <f>'Total MSW Summaries (Archive)'!AC6</f>
        <v>138.59399999999997</v>
      </c>
      <c r="F173" s="271">
        <f>'Total MSW Summaries (Archive)'!AO6</f>
        <v>106.87934980552757</v>
      </c>
      <c r="G173" s="271">
        <f>'Total MSW Summaries (Archive)'!BA6</f>
        <v>69.649105429461343</v>
      </c>
      <c r="H173" s="271"/>
      <c r="I173" s="272"/>
      <c r="J173" s="267"/>
      <c r="K173" s="271"/>
      <c r="L173" s="272"/>
      <c r="M173" s="271"/>
      <c r="N173" s="29" t="s">
        <v>119</v>
      </c>
      <c r="O173" s="120"/>
      <c r="P173" s="120"/>
      <c r="Q173" s="120"/>
      <c r="R173" s="29">
        <v>1</v>
      </c>
      <c r="S173" s="265">
        <f t="shared" si="73"/>
        <v>69.649105429461343</v>
      </c>
      <c r="T173" s="265">
        <f t="shared" si="74"/>
        <v>138.59399999999997</v>
      </c>
      <c r="U173" s="265">
        <f t="shared" si="75"/>
        <v>22.603607857864798</v>
      </c>
      <c r="V173" s="29"/>
      <c r="W173" s="265">
        <f t="shared" si="76"/>
        <v>83.441995976584764</v>
      </c>
      <c r="X173" s="265">
        <f t="shared" si="77"/>
        <v>106.04560383444957</v>
      </c>
      <c r="Y173" s="265">
        <f t="shared" si="78"/>
        <v>128.64921169231437</v>
      </c>
      <c r="AA173" s="138"/>
      <c r="AB173" s="138"/>
      <c r="AC173" s="138"/>
      <c r="AD173" s="138"/>
      <c r="AE173" s="138"/>
      <c r="AF173" s="138"/>
      <c r="AG173" s="138"/>
      <c r="AH173" s="138"/>
      <c r="AI173" s="138"/>
      <c r="AJ173" s="138"/>
      <c r="AK173" s="138"/>
      <c r="AL173" s="138"/>
      <c r="AM173" s="138"/>
      <c r="AN173" s="138"/>
      <c r="BR173" s="29"/>
      <c r="BS173" s="160" t="s">
        <v>15</v>
      </c>
      <c r="BT173" s="273">
        <f>SLOPE((DD170:DD218),($B$46:$B$94))</f>
        <v>0.69798833247650471</v>
      </c>
      <c r="BU173" s="274">
        <f>INTERCEPT(DJ170:DJ218,DI170:DI218)</f>
        <v>85.274203867730407</v>
      </c>
      <c r="BV173" s="137" t="s">
        <v>71</v>
      </c>
      <c r="BY173" s="29"/>
      <c r="BZ173" s="160" t="s">
        <v>15</v>
      </c>
      <c r="CA173" s="273">
        <f ca="1">INDEX(LINEST((INDIRECT(DI167):INDIRECT(DJ167)),(INDIRECT(DI168):INDIRECT(DJ168))^{1,2}),1)</f>
        <v>-1.4807967357002986E-2</v>
      </c>
      <c r="CB173" s="275">
        <f ca="1">INDEX(LINEST((INDIRECT(DI167):INDIRECT(DJ167)),(INDIRECT(DI168):INDIRECT(DJ168))^{1,2}),1,2)</f>
        <v>1.1718432879006002</v>
      </c>
      <c r="CC173" s="274">
        <f ca="1">INDEX(LINEST((INDIRECT(DI167):INDIRECT(DJ167)),(INDIRECT(DI168):INDIRECT(DJ168))^{1,2}),1,3)</f>
        <v>82.668001612897882</v>
      </c>
      <c r="CD173" s="137" t="s">
        <v>71</v>
      </c>
      <c r="CG173" s="29"/>
      <c r="CH173" s="160" t="s">
        <v>15</v>
      </c>
      <c r="CI173" s="273">
        <f ca="1">INDEX(LINEST((INDIRECT(DI167):INDIRECT(DJ167)),(INDIRECT(DI168):INDIRECT(DJ168))^{1,2,3}),1)</f>
        <v>1.3968573828464643E-4</v>
      </c>
      <c r="CJ173" s="275">
        <f ca="1">INDEX(LINEST((INDIRECT(DI167):INDIRECT(DJ167)),(INDIRECT(DI168):INDIRECT(DJ168))^{1,2,3}),1,2)</f>
        <v>-2.151288279466599E-2</v>
      </c>
      <c r="CK173" s="275">
        <f ca="1">INDEX(LINEST((INDIRECT(DI167):INDIRECT(DJ167)),(INDIRECT(DI168):INDIRECT(DJ168))^{1,2,3}),1,3)</f>
        <v>1.2590351257378758</v>
      </c>
      <c r="CL173" s="274">
        <f ca="1">INDEX(LINEST((INDIRECT(DI167):INDIRECT(DJ167)),(INDIRECT(DI168):INDIRECT(DJ168))^{1,2,3}),1,4)</f>
        <v>82.417237775529273</v>
      </c>
      <c r="CM173" s="137" t="s">
        <v>71</v>
      </c>
      <c r="CP173" s="29"/>
      <c r="CQ173" s="160" t="s">
        <v>15</v>
      </c>
      <c r="CR173" s="273">
        <f ca="1">EXP(INDEX(LINEST(LN(INDIRECT(DI167):INDIRECT(DJ167)),(INDIRECT(DI168):INDIRECT(DJ168))),1,2))</f>
        <v>85.580193106987636</v>
      </c>
      <c r="CS173" s="274">
        <f ca="1">INDEX(LINEST(LN(INDIRECT(DI167):INDIRECT(DJ167)),(INDIRECT(DI168):INDIRECT(DJ168))),1)</f>
        <v>7.3299868907487804E-3</v>
      </c>
      <c r="CT173" s="137" t="s">
        <v>71</v>
      </c>
      <c r="CZ173" s="164" t="b">
        <f t="shared" si="79"/>
        <v>1</v>
      </c>
      <c r="DA173" s="165" t="b">
        <f t="shared" si="79"/>
        <v>1</v>
      </c>
      <c r="DB173" s="166" t="b">
        <f t="shared" si="79"/>
        <v>1</v>
      </c>
      <c r="DC173" s="164">
        <f t="shared" si="80"/>
        <v>1</v>
      </c>
      <c r="DD173" s="166">
        <f t="shared" si="81"/>
        <v>83.441995976584764</v>
      </c>
      <c r="DE173" s="164">
        <f t="shared" si="82"/>
        <v>1</v>
      </c>
      <c r="DF173" s="166">
        <f t="shared" si="83"/>
        <v>106.04560383444957</v>
      </c>
      <c r="DG173" s="164">
        <f t="shared" si="84"/>
        <v>1</v>
      </c>
      <c r="DH173" s="166">
        <f t="shared" si="85"/>
        <v>128.64921169231437</v>
      </c>
      <c r="DI173" s="164">
        <f>IFERROR(INDEX(DC$170:DC$218,_xlfn.AGGREGATE(15,6,(ROW(DC$170:DC$218)-ROW(DC$170)+1)/(DC$170:DC$218&lt;&gt;""),ROWS(DI$1:DI4))),"")</f>
        <v>4</v>
      </c>
      <c r="DJ173" s="165">
        <f>IFERROR(INDEX(DD$170:DD$218,_xlfn.AGGREGATE(15,6,(ROW(DD$170:DD$218)-ROW(DD$170)+1)/(DD$170:DD$218&lt;&gt;""),ROWS(DJ$1:DJ4))),"")</f>
        <v>87.199497529286617</v>
      </c>
      <c r="DK173" s="166">
        <f t="shared" si="86"/>
        <v>173</v>
      </c>
      <c r="DL173" s="164">
        <f>IFERROR(INDEX(DE$170:DE$218,_xlfn.AGGREGATE(15,6,(ROW(DE$170:DE$218)-ROW(DE$170)+1)/(DE$170:DE$218&lt;&gt;""),ROWS(DL$1:DL4))),"")</f>
        <v>4</v>
      </c>
      <c r="DM173" s="165">
        <f>IFERROR(INDEX(DF$170:DF$218,_xlfn.AGGREGATE(15,6,(ROW(DF$170:DF$218)-ROW(DF$170)+1)/(DF$170:DF$218&lt;&gt;""),ROWS(DM$1:DM4))),"")</f>
        <v>112.3070669522485</v>
      </c>
      <c r="DN173" s="166">
        <f t="shared" si="87"/>
        <v>173</v>
      </c>
      <c r="DO173" s="164">
        <f>IFERROR(INDEX(DG$170:DG$218,_xlfn.AGGREGATE(15,6,(ROW(DG$170:DG$218)-ROW(DG$170)+1)/(DG$170:DG$218&lt;&gt;""),ROWS(DO$1:DO4))),"")</f>
        <v>4</v>
      </c>
      <c r="DP173" s="165">
        <f>IFERROR(INDEX(DH$170:DH$218,_xlfn.AGGREGATE(15,6,(ROW(DH$170:DH$218)-ROW(DH$170)+1)/(DH$170:DH$218&lt;&gt;""),ROWS(DP$1:DP4))),"")</f>
        <v>137.41463637521039</v>
      </c>
      <c r="DQ173" s="166">
        <f t="shared" si="88"/>
        <v>173</v>
      </c>
      <c r="DV173" s="145">
        <v>2018</v>
      </c>
      <c r="DW173" s="235">
        <f t="shared" ca="1" si="72"/>
        <v>112.24435570552487</v>
      </c>
      <c r="EA173" s="33" t="s">
        <v>85</v>
      </c>
      <c r="EB173" s="33" t="s">
        <v>84</v>
      </c>
      <c r="EC173" s="33" t="s">
        <v>82</v>
      </c>
      <c r="ED173" s="33" t="s">
        <v>83</v>
      </c>
      <c r="EE173" s="33"/>
    </row>
    <row r="174" spans="1:135" ht="13.8" x14ac:dyDescent="0.45">
      <c r="A174" s="148" t="s">
        <v>116</v>
      </c>
      <c r="B174" s="128">
        <v>2016</v>
      </c>
      <c r="C174" s="263">
        <f>'Total MSW Summaries (Archive)'!E7</f>
        <v>98.835941796104507</v>
      </c>
      <c r="D174" s="267">
        <f>'Total MSW Summaries (Archive)'!Q7</f>
        <v>119.61749903165385</v>
      </c>
      <c r="E174" s="271">
        <f>'Total MSW Summaries (Archive)'!AC7</f>
        <v>141.24799999999996</v>
      </c>
      <c r="F174" s="271">
        <f>'Total MSW Summaries (Archive)'!AO7</f>
        <v>112.26059075378939</v>
      </c>
      <c r="G174" s="271">
        <f>'Total MSW Summaries (Archive)'!BA7</f>
        <v>70.491568353454412</v>
      </c>
      <c r="H174" s="271"/>
      <c r="I174" s="272"/>
      <c r="J174" s="267"/>
      <c r="K174" s="271"/>
      <c r="L174" s="272"/>
      <c r="M174" s="271"/>
      <c r="N174" s="29" t="s">
        <v>119</v>
      </c>
      <c r="O174" s="120"/>
      <c r="P174" s="120"/>
      <c r="Q174" s="120"/>
      <c r="R174" s="29">
        <v>2</v>
      </c>
      <c r="S174" s="265">
        <f t="shared" si="73"/>
        <v>70.491568353454412</v>
      </c>
      <c r="T174" s="265">
        <f t="shared" si="74"/>
        <v>141.24799999999996</v>
      </c>
      <c r="U174" s="265">
        <f t="shared" si="75"/>
        <v>23.444431313817294</v>
      </c>
      <c r="V174" s="29"/>
      <c r="W174" s="265">
        <f t="shared" si="76"/>
        <v>85.046288673183156</v>
      </c>
      <c r="X174" s="265">
        <f t="shared" si="77"/>
        <v>108.49071998700045</v>
      </c>
      <c r="Y174" s="265">
        <f t="shared" si="78"/>
        <v>131.93515130081775</v>
      </c>
      <c r="AA174" s="138"/>
      <c r="AB174" s="138"/>
      <c r="AC174" s="138"/>
      <c r="AD174" s="138"/>
      <c r="AE174" s="138"/>
      <c r="AF174" s="138"/>
      <c r="AG174" s="138"/>
      <c r="AH174" s="138"/>
      <c r="AI174" s="138"/>
      <c r="AJ174" s="138"/>
      <c r="AK174" s="138"/>
      <c r="AL174" s="138"/>
      <c r="AM174" s="138"/>
      <c r="AN174" s="138"/>
      <c r="BR174" s="180">
        <v>2014</v>
      </c>
      <c r="BS174" s="22">
        <v>0</v>
      </c>
      <c r="BT174" s="181">
        <f t="shared" ref="BT174:BT220" si="89">IF($BS$170="High",BS174*$BT$171,IF($BS$170="Medium",$BT$172*BS174,IF($BS$170="Low",$BT$173*BS174)))</f>
        <v>0</v>
      </c>
      <c r="BU174" s="182">
        <f t="shared" ref="BU174:BU220" si="90">IF($BS$170="High",$BU$171,IF($BS$170="Medium",$BU$172,IF($BS$170="Low",BU173)))</f>
        <v>106.45137405158448</v>
      </c>
      <c r="BV174" s="242">
        <f t="shared" ref="BV174:BV220" si="91">BT174+BU174</f>
        <v>106.45137405158448</v>
      </c>
      <c r="BY174" s="180">
        <v>2014</v>
      </c>
      <c r="BZ174" s="22">
        <v>0</v>
      </c>
      <c r="CA174" s="181">
        <f t="shared" ref="CA174:CA220" ca="1" si="92">IF($BZ$170="High",BZ174^2*$CA$171,IF($BZ$170="Medium",BZ174^2*$CA$172,IF($BZ$170="Low",BZ174^2*$CA$173)))</f>
        <v>0</v>
      </c>
      <c r="CB174" s="181">
        <f t="shared" ref="CB174:CB220" ca="1" si="93">IF($BZ$170="High",BZ174*$CB$171,IF($BZ$170="Medium",BZ174*$CB$172,IF($BZ$170="Low",BZ174*$CB$173)))</f>
        <v>0</v>
      </c>
      <c r="CC174" s="182">
        <f ca="1">IF($BZ$170="High",$CC$171,IF($BZ$170="Medium",$CC$172,IF($BZ$170="Low",$CC$173)))</f>
        <v>104.43772442795542</v>
      </c>
      <c r="CD174" s="242">
        <f t="shared" ref="CD174:CD220" ca="1" si="94">CA174+CB174+CC174</f>
        <v>104.43772442795542</v>
      </c>
      <c r="CG174" s="180">
        <v>2014</v>
      </c>
      <c r="CH174" s="22">
        <v>0</v>
      </c>
      <c r="CI174" s="181">
        <f t="shared" ref="CI174:CI220" ca="1" si="95">IF($CH$170="High",CH174^3*$CI$171,IF($CH$170="Medium",CH174^3*$CI$172,IF($CH$170="Low",CH174^3*$CI$173)))</f>
        <v>0</v>
      </c>
      <c r="CJ174" s="181">
        <f t="shared" ref="CJ174:CJ220" ca="1" si="96">IF($CH$170="High",CH174^2*$CJ$171,IF($CH$170="Medium",CH174^2*$CJ$172,IF($CH$170="Low",CH174^2*$CJ$173)))</f>
        <v>0</v>
      </c>
      <c r="CK174" s="181">
        <f t="shared" ref="CK174:CK220" ca="1" si="97">IF($CH$170="High",CH174*$CK$171,IF($CH$170="Medium",CH174*$CK$172,IF($CH$170="Low",CH174*$CK$173)))</f>
        <v>0</v>
      </c>
      <c r="CL174" s="182">
        <f t="shared" ref="CL174:CL220" ca="1" si="98">IF($CH$170="High",$CL$171,IF($CH$170="Medium",$CL$172,IF($CH$170="Low",$CL$173)))</f>
        <v>104.15166209974525</v>
      </c>
      <c r="CM174" s="242">
        <f t="shared" ref="CM174:CM220" ca="1" si="99">CI174+CJ174+CK174+CL174</f>
        <v>104.15166209974525</v>
      </c>
      <c r="CP174" s="180">
        <v>2014</v>
      </c>
      <c r="CQ174" s="22">
        <v>0</v>
      </c>
      <c r="CR174" s="181">
        <f t="shared" ref="CR174:CR220" ca="1" si="100">IF($CQ$170="High",$CR$171,IF($CQ$170="Medium",$CR$172,IF($CQ$170="Low",$CR$173)))</f>
        <v>107.90475001670083</v>
      </c>
      <c r="CS174" s="182">
        <f t="shared" ref="CS174:CS220" ca="1" si="101">IF($CQ$170="High",EXP(1)^($CS$171*CQ174),IF($CQ$170="Medium",EXP(1)^($CS$172*CQ174),IF($CQ$170="Low",EXP(1)^($CS$173*CQ174))))</f>
        <v>1</v>
      </c>
      <c r="CT174" s="242">
        <f t="shared" ref="CT174:CT220" ca="1" si="102">(CR174*CS174)</f>
        <v>107.90475001670083</v>
      </c>
      <c r="CZ174" s="164" t="b">
        <f t="shared" si="79"/>
        <v>1</v>
      </c>
      <c r="DA174" s="165" t="b">
        <f t="shared" si="79"/>
        <v>1</v>
      </c>
      <c r="DB174" s="166" t="b">
        <f t="shared" si="79"/>
        <v>1</v>
      </c>
      <c r="DC174" s="164">
        <f t="shared" si="80"/>
        <v>2</v>
      </c>
      <c r="DD174" s="166">
        <f t="shared" si="81"/>
        <v>85.046288673183156</v>
      </c>
      <c r="DE174" s="164">
        <f t="shared" si="82"/>
        <v>2</v>
      </c>
      <c r="DF174" s="166">
        <f t="shared" si="83"/>
        <v>108.49071998700045</v>
      </c>
      <c r="DG174" s="164">
        <f t="shared" si="84"/>
        <v>2</v>
      </c>
      <c r="DH174" s="166">
        <f t="shared" si="85"/>
        <v>131.93515130081775</v>
      </c>
      <c r="DI174" s="164">
        <f>IFERROR(INDEX(DC$170:DC$218,_xlfn.AGGREGATE(15,6,(ROW(DC$170:DC$218)-ROW(DC$170)+1)/(DC$170:DC$218&lt;&gt;""),ROWS(DI$1:DI5))),"")</f>
        <v>5</v>
      </c>
      <c r="DJ174" s="165">
        <f>IFERROR(INDEX(DD$170:DD$218,_xlfn.AGGREGATE(15,6,(ROW(DD$170:DD$218)-ROW(DD$170)+1)/(DD$170:DD$218&lt;&gt;""),ROWS(DJ$1:DJ5))),"")</f>
        <v>88.191360306460098</v>
      </c>
      <c r="DK174" s="166">
        <f t="shared" si="86"/>
        <v>174</v>
      </c>
      <c r="DL174" s="164">
        <f>IFERROR(INDEX(DE$170:DE$218,_xlfn.AGGREGATE(15,6,(ROW(DE$170:DE$218)-ROW(DE$170)+1)/(DE$170:DE$218&lt;&gt;""),ROWS(DL$1:DL5))),"")</f>
        <v>5</v>
      </c>
      <c r="DM174" s="165">
        <f>IFERROR(INDEX(DF$170:DF$218,_xlfn.AGGREGATE(15,6,(ROW(DF$170:DF$218)-ROW(DF$170)+1)/(DF$170:DF$218&lt;&gt;""),ROWS(DM$1:DM5))),"")</f>
        <v>114.14840901757661</v>
      </c>
      <c r="DN174" s="166">
        <f t="shared" si="87"/>
        <v>174</v>
      </c>
      <c r="DO174" s="164">
        <f>IFERROR(INDEX(DG$170:DG$218,_xlfn.AGGREGATE(15,6,(ROW(DG$170:DG$218)-ROW(DG$170)+1)/(DG$170:DG$218&lt;&gt;""),ROWS(DO$1:DO5))),"")</f>
        <v>5</v>
      </c>
      <c r="DP174" s="165">
        <f>IFERROR(INDEX(DH$170:DH$218,_xlfn.AGGREGATE(15,6,(ROW(DH$170:DH$218)-ROW(DH$170)+1)/(DH$170:DH$218&lt;&gt;""),ROWS(DP$1:DP5))),"")</f>
        <v>140.10545772869312</v>
      </c>
      <c r="DQ174" s="166">
        <f t="shared" si="88"/>
        <v>174</v>
      </c>
      <c r="DV174" s="145">
        <v>2019</v>
      </c>
      <c r="DW174" s="235">
        <f t="shared" ca="1" si="72"/>
        <v>114.17925020500562</v>
      </c>
      <c r="DZ174" s="135" t="s">
        <v>92</v>
      </c>
      <c r="EA174" s="33">
        <f ca="1">IF($EA$168="Linear",0,IF($EA$168="2nd Poly",0,IF($EA$168="3rd Poly",CI171,IF($EA$168="Exp",0))))</f>
        <v>1.7901115143253543E-4</v>
      </c>
      <c r="EB174" s="33">
        <f ca="1">IF($EA$168="Linear",0,IF($EA$168="2nd Poly",CA171,IF($EA$168="3rd Poly",CJ171,IF($EA$168="Exp",0))))</f>
        <v>-1.6666949998452495E-2</v>
      </c>
      <c r="EC174" s="33">
        <f t="shared" ref="EC174:ED176" ca="1" si="103">IF($EA$168="Linear",BT171,IF($EA$168="2nd Poly",CB171,IF($EA$168="3rd Poly",CK171,IF($EA$168="Exp",0))))</f>
        <v>2.9349318580889276</v>
      </c>
      <c r="ED174" s="33">
        <f t="shared" ca="1" si="103"/>
        <v>125.88608642396132</v>
      </c>
      <c r="EE174" s="33" t="str">
        <f>IF($EA$168="Linear","High",IF($EA$168="2nd Poly","High",IF($EA$168="3rd Poly","High","N/A")))</f>
        <v>High</v>
      </c>
    </row>
    <row r="175" spans="1:135" ht="13.8" x14ac:dyDescent="0.45">
      <c r="A175" s="262" t="s">
        <v>90</v>
      </c>
      <c r="B175" s="128">
        <v>2017</v>
      </c>
      <c r="C175" s="263">
        <f>'Total MSW Summaries (Archive)'!E8</f>
        <v>99.183462824641055</v>
      </c>
      <c r="D175" s="267">
        <f>'Total MSW Summaries (Archive)'!Q8</f>
        <v>122.57857962599721</v>
      </c>
      <c r="E175" s="271">
        <f>'Total MSW Summaries (Archive)'!AC8</f>
        <v>143.90199999999996</v>
      </c>
      <c r="F175" s="271">
        <f>'Total MSW Summaries (Archive)'!AO8</f>
        <v>115.10929669972121</v>
      </c>
      <c r="G175" s="271">
        <f>'Total MSW Summaries (Archive)'!BA8</f>
        <v>71.33403127744748</v>
      </c>
      <c r="H175" s="169"/>
      <c r="I175" s="170"/>
      <c r="J175" s="168"/>
      <c r="K175" s="169"/>
      <c r="L175" s="170"/>
      <c r="M175" s="169"/>
      <c r="N175" s="29" t="s">
        <v>119</v>
      </c>
      <c r="O175" s="120"/>
      <c r="P175" s="120"/>
      <c r="Q175" s="120"/>
      <c r="R175" s="29">
        <v>3</v>
      </c>
      <c r="S175" s="265">
        <f t="shared" si="73"/>
        <v>71.33403127744748</v>
      </c>
      <c r="T175" s="265">
        <f t="shared" si="74"/>
        <v>143.90199999999996</v>
      </c>
      <c r="U175" s="265">
        <f t="shared" si="75"/>
        <v>24.268653006990949</v>
      </c>
      <c r="V175" s="29"/>
      <c r="W175" s="265">
        <f t="shared" si="76"/>
        <v>86.15282107857044</v>
      </c>
      <c r="X175" s="265">
        <f t="shared" si="77"/>
        <v>110.42147408556139</v>
      </c>
      <c r="Y175" s="265">
        <f t="shared" si="78"/>
        <v>134.69012709255233</v>
      </c>
      <c r="AA175" s="138"/>
      <c r="AB175" s="138"/>
      <c r="AC175" s="138"/>
      <c r="AD175" s="138"/>
      <c r="AE175" s="138"/>
      <c r="AF175" s="138"/>
      <c r="AG175" s="138"/>
      <c r="AH175" s="138"/>
      <c r="AI175" s="138"/>
      <c r="AJ175" s="138"/>
      <c r="AK175" s="138"/>
      <c r="AL175" s="138"/>
      <c r="AM175" s="138"/>
      <c r="AN175" s="138"/>
      <c r="BR175" s="180">
        <v>2015</v>
      </c>
      <c r="BS175" s="22">
        <v>1</v>
      </c>
      <c r="BT175" s="181">
        <f t="shared" si="89"/>
        <v>1.6314000792455696</v>
      </c>
      <c r="BU175" s="182">
        <f t="shared" si="90"/>
        <v>106.45137405158448</v>
      </c>
      <c r="BV175" s="242">
        <f t="shared" si="91"/>
        <v>108.08277413083005</v>
      </c>
      <c r="BY175" s="180">
        <v>2015</v>
      </c>
      <c r="BZ175" s="22">
        <v>1</v>
      </c>
      <c r="CA175" s="243">
        <f t="shared" ca="1" si="92"/>
        <v>-1.1441191043346956E-2</v>
      </c>
      <c r="CB175" s="243">
        <f t="shared" ca="1" si="93"/>
        <v>1.9975181926326724</v>
      </c>
      <c r="CC175" s="276">
        <f t="shared" ref="CC175:CC220" ca="1" si="104">CC174</f>
        <v>104.43772442795542</v>
      </c>
      <c r="CD175" s="242">
        <f t="shared" ca="1" si="94"/>
        <v>106.42380142954474</v>
      </c>
      <c r="CG175" s="180">
        <v>2015</v>
      </c>
      <c r="CH175" s="22">
        <v>1</v>
      </c>
      <c r="CI175" s="243">
        <f t="shared" ca="1" si="95"/>
        <v>1.5934844485859367E-4</v>
      </c>
      <c r="CJ175" s="243">
        <f t="shared" ca="1" si="96"/>
        <v>-1.9089916396559419E-2</v>
      </c>
      <c r="CK175" s="243">
        <f t="shared" ca="1" si="97"/>
        <v>2.0969834919134054</v>
      </c>
      <c r="CL175" s="276">
        <f t="shared" ca="1" si="98"/>
        <v>104.15166209974525</v>
      </c>
      <c r="CM175" s="242">
        <f t="shared" ca="1" si="99"/>
        <v>106.22971502370696</v>
      </c>
      <c r="CP175" s="180">
        <v>2015</v>
      </c>
      <c r="CQ175" s="22">
        <v>1</v>
      </c>
      <c r="CR175" s="243">
        <f t="shared" ca="1" si="100"/>
        <v>107.90475001670083</v>
      </c>
      <c r="CS175" s="276">
        <f t="shared" ca="1" si="101"/>
        <v>1.0125482172951779</v>
      </c>
      <c r="CT175" s="242">
        <f t="shared" ca="1" si="102"/>
        <v>109.25876226709224</v>
      </c>
      <c r="CZ175" s="164" t="b">
        <f t="shared" si="79"/>
        <v>1</v>
      </c>
      <c r="DA175" s="165" t="b">
        <f t="shared" si="79"/>
        <v>1</v>
      </c>
      <c r="DB175" s="166" t="b">
        <f t="shared" si="79"/>
        <v>1</v>
      </c>
      <c r="DC175" s="164">
        <f t="shared" si="80"/>
        <v>3</v>
      </c>
      <c r="DD175" s="166">
        <f t="shared" si="81"/>
        <v>86.15282107857044</v>
      </c>
      <c r="DE175" s="164">
        <f t="shared" si="82"/>
        <v>3</v>
      </c>
      <c r="DF175" s="166">
        <f t="shared" si="83"/>
        <v>110.42147408556139</v>
      </c>
      <c r="DG175" s="164">
        <f t="shared" si="84"/>
        <v>3</v>
      </c>
      <c r="DH175" s="166">
        <f t="shared" si="85"/>
        <v>134.69012709255233</v>
      </c>
      <c r="DI175" s="164">
        <f>IFERROR(INDEX(DC$170:DC$218,_xlfn.AGGREGATE(15,6,(ROW(DC$170:DC$218)-ROW(DC$170)+1)/(DC$170:DC$218&lt;&gt;""),ROWS(DI$1:DI6))),"")</f>
        <v>6</v>
      </c>
      <c r="DJ175" s="165">
        <f>IFERROR(INDEX(DD$170:DD$218,_xlfn.AGGREGATE(15,6,(ROW(DD$170:DD$218)-ROW(DD$170)+1)/(DD$170:DD$218&lt;&gt;""),ROWS(DJ$1:DJ6))),"")</f>
        <v>89.251494110543518</v>
      </c>
      <c r="DK175" s="166">
        <f t="shared" si="86"/>
        <v>175</v>
      </c>
      <c r="DL175" s="164">
        <f>IFERROR(INDEX(DE$170:DE$218,_xlfn.AGGREGATE(15,6,(ROW(DE$170:DE$218)-ROW(DE$170)+1)/(DE$170:DE$218&lt;&gt;""),ROWS(DL$1:DL6))),"")</f>
        <v>6</v>
      </c>
      <c r="DM175" s="165">
        <f>IFERROR(INDEX(DF$170:DF$218,_xlfn.AGGREGATE(15,6,(ROW(DF$170:DF$218)-ROW(DF$170)+1)/(DF$170:DF$218&lt;&gt;""),ROWS(DM$1:DM6))),"")</f>
        <v>116.10720529542562</v>
      </c>
      <c r="DN175" s="166">
        <f t="shared" si="87"/>
        <v>175</v>
      </c>
      <c r="DO175" s="164">
        <f>IFERROR(INDEX(DG$170:DG$218,_xlfn.AGGREGATE(15,6,(ROW(DG$170:DG$218)-ROW(DG$170)+1)/(DG$170:DG$218&lt;&gt;""),ROWS(DO$1:DO6))),"")</f>
        <v>6</v>
      </c>
      <c r="DP175" s="165">
        <f>IFERROR(INDEX(DH$170:DH$218,_xlfn.AGGREGATE(15,6,(ROW(DH$170:DH$218)-ROW(DH$170)+1)/(DH$170:DH$218&lt;&gt;""),ROWS(DP$1:DP6))),"")</f>
        <v>142.96291648030771</v>
      </c>
      <c r="DQ175" s="166">
        <f t="shared" si="88"/>
        <v>175</v>
      </c>
      <c r="DV175" s="145">
        <v>2020</v>
      </c>
      <c r="DW175" s="235">
        <f t="shared" ca="1" si="72"/>
        <v>116.080745325039</v>
      </c>
      <c r="DZ175" s="135" t="s">
        <v>92</v>
      </c>
      <c r="EA175" s="33">
        <f ca="1">IF($EA$168="Linear",0,IF($EA$168="2nd Poly",0,IF($EA$168="3rd Poly",CI172,IF($EA$168="Exp",0))))</f>
        <v>1.5934844485859367E-4</v>
      </c>
      <c r="EB175" s="33">
        <f ca="1">IF($EA$168="Linear",0,IF($EA$168="2nd Poly",CA172,IF($EA$168="3rd Poly",CJ172,IF($EA$168="Exp",0))))</f>
        <v>-1.9089916396559419E-2</v>
      </c>
      <c r="EC175" s="33">
        <f t="shared" ca="1" si="103"/>
        <v>2.0969834919134054</v>
      </c>
      <c r="ED175" s="33">
        <f t="shared" ca="1" si="103"/>
        <v>104.15166209974525</v>
      </c>
      <c r="EE175" s="33" t="str">
        <f>IF($EA$168="Linear","Medium",IF($EA$168="2nd Poly","Medium",IF($EA$168="3rd Poly","Medium","N/A")))</f>
        <v>Medium</v>
      </c>
    </row>
    <row r="176" spans="1:135" ht="13.8" x14ac:dyDescent="0.45">
      <c r="A176" s="262" t="s">
        <v>80</v>
      </c>
      <c r="B176" s="128">
        <v>2018</v>
      </c>
      <c r="C176" s="263">
        <f>'Total MSW Summaries (Archive)'!E9</f>
        <v>99.50373665317602</v>
      </c>
      <c r="D176" s="267">
        <f>'Total MSW Summaries (Archive)'!Q9</f>
        <v>125.52309094818635</v>
      </c>
      <c r="E176" s="271">
        <f>'Total MSW Summaries (Archive)'!AC9</f>
        <v>146.55599999999995</v>
      </c>
      <c r="F176" s="271">
        <f>'Total MSW Summaries (Archive)'!AO9</f>
        <v>117.77601295843974</v>
      </c>
      <c r="G176" s="271">
        <f>'Total MSW Summaries (Archive)'!BA9</f>
        <v>72.176494201440548</v>
      </c>
      <c r="H176" s="271"/>
      <c r="I176" s="272"/>
      <c r="J176" s="267"/>
      <c r="K176" s="271"/>
      <c r="L176" s="272"/>
      <c r="M176" s="271"/>
      <c r="N176" s="29" t="s">
        <v>119</v>
      </c>
      <c r="O176" s="120"/>
      <c r="P176" s="120"/>
      <c r="Q176" s="120"/>
      <c r="R176" s="29">
        <v>4</v>
      </c>
      <c r="S176" s="265">
        <f t="shared" si="73"/>
        <v>72.176494201440548</v>
      </c>
      <c r="T176" s="265">
        <f t="shared" si="74"/>
        <v>146.55599999999995</v>
      </c>
      <c r="U176" s="265">
        <f t="shared" si="75"/>
        <v>25.107569422961891</v>
      </c>
      <c r="V176" s="20"/>
      <c r="W176" s="265">
        <f t="shared" si="76"/>
        <v>87.199497529286617</v>
      </c>
      <c r="X176" s="265">
        <f t="shared" si="77"/>
        <v>112.3070669522485</v>
      </c>
      <c r="Y176" s="265">
        <f t="shared" si="78"/>
        <v>137.41463637521039</v>
      </c>
      <c r="AA176" s="138"/>
      <c r="AB176" s="138"/>
      <c r="AC176" s="138"/>
      <c r="AD176" s="138"/>
      <c r="AE176" s="138"/>
      <c r="AF176" s="138"/>
      <c r="AG176" s="138"/>
      <c r="AH176" s="138"/>
      <c r="AI176" s="138"/>
      <c r="AJ176" s="138"/>
      <c r="AK176" s="138"/>
      <c r="AL176" s="138"/>
      <c r="AM176" s="138"/>
      <c r="AN176" s="138"/>
      <c r="BR176" s="180">
        <v>2016</v>
      </c>
      <c r="BS176" s="22">
        <v>2</v>
      </c>
      <c r="BT176" s="181">
        <f t="shared" si="89"/>
        <v>3.2628001584911392</v>
      </c>
      <c r="BU176" s="182">
        <f t="shared" si="90"/>
        <v>106.45137405158448</v>
      </c>
      <c r="BV176" s="277">
        <f t="shared" si="91"/>
        <v>109.71417421007563</v>
      </c>
      <c r="BY176" s="180">
        <v>2016</v>
      </c>
      <c r="BZ176" s="22">
        <v>2</v>
      </c>
      <c r="CA176" s="278">
        <f t="shared" ca="1" si="92"/>
        <v>-4.5764764173387824E-2</v>
      </c>
      <c r="CB176" s="278">
        <f t="shared" ca="1" si="93"/>
        <v>3.9950363852653448</v>
      </c>
      <c r="CC176" s="276">
        <f t="shared" ca="1" si="104"/>
        <v>104.43772442795542</v>
      </c>
      <c r="CD176" s="277">
        <f t="shared" ca="1" si="94"/>
        <v>108.38699604904737</v>
      </c>
      <c r="CG176" s="180">
        <v>2016</v>
      </c>
      <c r="CH176" s="22">
        <v>2</v>
      </c>
      <c r="CI176" s="278">
        <f t="shared" ca="1" si="95"/>
        <v>1.2747875588687493E-3</v>
      </c>
      <c r="CJ176" s="278">
        <f t="shared" ca="1" si="96"/>
        <v>-7.6359665586237677E-2</v>
      </c>
      <c r="CK176" s="278">
        <f t="shared" ca="1" si="97"/>
        <v>4.1939669838268108</v>
      </c>
      <c r="CL176" s="276">
        <f t="shared" ca="1" si="98"/>
        <v>104.15166209974525</v>
      </c>
      <c r="CM176" s="277">
        <f t="shared" ca="1" si="99"/>
        <v>108.2705442055447</v>
      </c>
      <c r="CP176" s="180">
        <v>2016</v>
      </c>
      <c r="CQ176" s="22">
        <v>2</v>
      </c>
      <c r="CR176" s="278">
        <f t="shared" ca="1" si="100"/>
        <v>107.90475001670083</v>
      </c>
      <c r="CS176" s="276">
        <f t="shared" ca="1" si="101"/>
        <v>1.0252538923476426</v>
      </c>
      <c r="CT176" s="277">
        <f t="shared" ca="1" si="102"/>
        <v>110.62976495742188</v>
      </c>
      <c r="CZ176" s="164" t="b">
        <f t="shared" si="79"/>
        <v>1</v>
      </c>
      <c r="DA176" s="165" t="b">
        <f t="shared" si="79"/>
        <v>1</v>
      </c>
      <c r="DB176" s="166" t="b">
        <f t="shared" si="79"/>
        <v>1</v>
      </c>
      <c r="DC176" s="164">
        <f t="shared" si="80"/>
        <v>4</v>
      </c>
      <c r="DD176" s="166">
        <f t="shared" si="81"/>
        <v>87.199497529286617</v>
      </c>
      <c r="DE176" s="164">
        <f t="shared" si="82"/>
        <v>4</v>
      </c>
      <c r="DF176" s="166">
        <f t="shared" si="83"/>
        <v>112.3070669522485</v>
      </c>
      <c r="DG176" s="164">
        <f t="shared" si="84"/>
        <v>4</v>
      </c>
      <c r="DH176" s="166">
        <f t="shared" si="85"/>
        <v>137.41463637521039</v>
      </c>
      <c r="DI176" s="164">
        <f>IFERROR(INDEX(DC$170:DC$218,_xlfn.AGGREGATE(15,6,(ROW(DC$170:DC$218)-ROW(DC$170)+1)/(DC$170:DC$218&lt;&gt;""),ROWS(DI$1:DI7))),"")</f>
        <v>7</v>
      </c>
      <c r="DJ176" s="165">
        <f>IFERROR(INDEX(DD$170:DD$218,_xlfn.AGGREGATE(15,6,(ROW(DD$170:DD$218)-ROW(DD$170)+1)/(DD$170:DD$218&lt;&gt;""),ROWS(DJ$1:DJ7))),"")</f>
        <v>90.023731584245496</v>
      </c>
      <c r="DK176" s="166">
        <f t="shared" si="86"/>
        <v>176</v>
      </c>
      <c r="DL176" s="164">
        <f>IFERROR(INDEX(DE$170:DE$218,_xlfn.AGGREGATE(15,6,(ROW(DE$170:DE$218)-ROW(DE$170)+1)/(DE$170:DE$218&lt;&gt;""),ROWS(DL$1:DL7))),"")</f>
        <v>7</v>
      </c>
      <c r="DM176" s="165">
        <f>IFERROR(INDEX(DF$170:DF$218,_xlfn.AGGREGATE(15,6,(ROW(DF$170:DF$218)-ROW(DF$170)+1)/(DF$170:DF$218&lt;&gt;""),ROWS(DM$1:DM7))),"")</f>
        <v>117.69966618224358</v>
      </c>
      <c r="DN176" s="166">
        <f t="shared" si="87"/>
        <v>176</v>
      </c>
      <c r="DO176" s="164">
        <f>IFERROR(INDEX(DG$170:DG$218,_xlfn.AGGREGATE(15,6,(ROW(DG$170:DG$218)-ROW(DG$170)+1)/(DG$170:DG$218&lt;&gt;""),ROWS(DO$1:DO7))),"")</f>
        <v>7</v>
      </c>
      <c r="DP176" s="165">
        <f>IFERROR(INDEX(DH$170:DH$218,_xlfn.AGGREGATE(15,6,(ROW(DH$170:DH$218)-ROW(DH$170)+1)/(DH$170:DH$218&lt;&gt;""),ROWS(DP$1:DP7))),"")</f>
        <v>145.37560078024165</v>
      </c>
      <c r="DQ176" s="166">
        <f t="shared" si="88"/>
        <v>176</v>
      </c>
      <c r="DV176" s="145">
        <v>2021</v>
      </c>
      <c r="DW176" s="235">
        <f t="shared" ca="1" si="72"/>
        <v>117.94979715629418</v>
      </c>
      <c r="DZ176" s="135" t="s">
        <v>92</v>
      </c>
      <c r="EA176" s="33">
        <f ca="1">IF($EA$168="Linear",0,IF($EA$168="2nd Poly",0,IF($EA$168="3rd Poly",CI173,IF($EA$168="Exp",0))))</f>
        <v>1.3968573828464643E-4</v>
      </c>
      <c r="EB176" s="33">
        <f ca="1">IF($EA$168="Linear",0,IF($EA$168="2nd Poly",CA173,IF($EA$168="3rd Poly",CJ173,IF($EA$168="Exp",0))))</f>
        <v>-2.151288279466599E-2</v>
      </c>
      <c r="EC176" s="33">
        <f t="shared" ca="1" si="103"/>
        <v>1.2590351257378758</v>
      </c>
      <c r="ED176" s="33">
        <f t="shared" ca="1" si="103"/>
        <v>82.417237775529273</v>
      </c>
      <c r="EE176" s="33" t="str">
        <f>IF($EA$168="Linear","Low",IF($EA$168="2nd Poly","Low",IF($EA$168="3rd Poly","Low","N/A")))</f>
        <v>Low</v>
      </c>
    </row>
    <row r="177" spans="1:135" ht="13.8" x14ac:dyDescent="0.45">
      <c r="A177" s="266" t="s">
        <v>88</v>
      </c>
      <c r="B177" s="128">
        <v>2019</v>
      </c>
      <c r="C177" s="263">
        <f>'Total MSW Summaries (Archive)'!E10</f>
        <v>99.797863301597175</v>
      </c>
      <c r="D177" s="267">
        <f>'Total MSW Summaries (Archive)'!Q10</f>
        <v>128.45035510739788</v>
      </c>
      <c r="E177" s="271">
        <f>'Total MSW Summaries (Archive)'!AC10</f>
        <v>149.20999999999995</v>
      </c>
      <c r="F177" s="271">
        <f>'Total MSW Summaries (Archive)'!AO10</f>
        <v>120.26486955345442</v>
      </c>
      <c r="G177" s="271">
        <f>'Total MSW Summaries (Archive)'!BA10</f>
        <v>73.018957125433616</v>
      </c>
      <c r="H177" s="271"/>
      <c r="I177" s="272"/>
      <c r="J177" s="267"/>
      <c r="K177" s="271"/>
      <c r="L177" s="272"/>
      <c r="M177" s="271"/>
      <c r="N177" s="29" t="s">
        <v>119</v>
      </c>
      <c r="O177" s="120"/>
      <c r="P177" s="120"/>
      <c r="Q177" s="120"/>
      <c r="R177" s="29">
        <v>5</v>
      </c>
      <c r="S177" s="265">
        <f t="shared" si="73"/>
        <v>73.018957125433616</v>
      </c>
      <c r="T177" s="265">
        <f t="shared" si="74"/>
        <v>149.20999999999995</v>
      </c>
      <c r="U177" s="265">
        <f t="shared" si="75"/>
        <v>25.95704871111651</v>
      </c>
      <c r="V177" s="20"/>
      <c r="W177" s="265">
        <f t="shared" si="76"/>
        <v>88.191360306460098</v>
      </c>
      <c r="X177" s="265">
        <f t="shared" si="77"/>
        <v>114.14840901757661</v>
      </c>
      <c r="Y177" s="265">
        <f t="shared" si="78"/>
        <v>140.10545772869312</v>
      </c>
      <c r="AA177" s="138"/>
      <c r="AB177" s="138"/>
      <c r="AC177" s="138"/>
      <c r="AD177" s="138"/>
      <c r="AE177" s="138"/>
      <c r="AF177" s="138"/>
      <c r="AG177" s="138"/>
      <c r="AH177" s="138"/>
      <c r="AI177" s="138"/>
      <c r="AJ177" s="138"/>
      <c r="AK177" s="138"/>
      <c r="AL177" s="138"/>
      <c r="AM177" s="138"/>
      <c r="AN177" s="138"/>
      <c r="BR177" s="180">
        <v>2017</v>
      </c>
      <c r="BS177" s="22">
        <v>3</v>
      </c>
      <c r="BT177" s="181">
        <f t="shared" si="89"/>
        <v>4.8942002377367091</v>
      </c>
      <c r="BU177" s="182">
        <f t="shared" si="90"/>
        <v>106.45137405158448</v>
      </c>
      <c r="BV177" s="277">
        <f t="shared" si="91"/>
        <v>111.34557428932119</v>
      </c>
      <c r="BY177" s="180">
        <v>2017</v>
      </c>
      <c r="BZ177" s="22">
        <v>3</v>
      </c>
      <c r="CA177" s="278">
        <f t="shared" ca="1" si="92"/>
        <v>-0.1029707193901226</v>
      </c>
      <c r="CB177" s="278">
        <f t="shared" ca="1" si="93"/>
        <v>5.9925545778980176</v>
      </c>
      <c r="CC177" s="276">
        <f t="shared" ca="1" si="104"/>
        <v>104.43772442795542</v>
      </c>
      <c r="CD177" s="277">
        <f t="shared" ca="1" si="94"/>
        <v>110.32730828646331</v>
      </c>
      <c r="CG177" s="180">
        <v>2017</v>
      </c>
      <c r="CH177" s="22">
        <v>3</v>
      </c>
      <c r="CI177" s="278">
        <f t="shared" ca="1" si="95"/>
        <v>4.302408011182029E-3</v>
      </c>
      <c r="CJ177" s="278">
        <f t="shared" ca="1" si="96"/>
        <v>-0.17180924756903476</v>
      </c>
      <c r="CK177" s="278">
        <f t="shared" ca="1" si="97"/>
        <v>6.2909504757402157</v>
      </c>
      <c r="CL177" s="276">
        <f t="shared" ca="1" si="98"/>
        <v>104.15166209974525</v>
      </c>
      <c r="CM177" s="277">
        <f t="shared" ca="1" si="99"/>
        <v>110.27510573592761</v>
      </c>
      <c r="CP177" s="180">
        <v>2017</v>
      </c>
      <c r="CQ177" s="22">
        <v>3</v>
      </c>
      <c r="CR177" s="278">
        <f t="shared" ca="1" si="100"/>
        <v>107.90475001670083</v>
      </c>
      <c r="CS177" s="276">
        <f t="shared" ca="1" si="101"/>
        <v>1.0381190009715475</v>
      </c>
      <c r="CT177" s="277">
        <f t="shared" ca="1" si="102"/>
        <v>112.01797128742204</v>
      </c>
      <c r="CZ177" s="164" t="b">
        <f t="shared" si="79"/>
        <v>1</v>
      </c>
      <c r="DA177" s="165" t="b">
        <f t="shared" si="79"/>
        <v>1</v>
      </c>
      <c r="DB177" s="166" t="b">
        <f t="shared" si="79"/>
        <v>1</v>
      </c>
      <c r="DC177" s="164">
        <f t="shared" si="80"/>
        <v>5</v>
      </c>
      <c r="DD177" s="166">
        <f t="shared" si="81"/>
        <v>88.191360306460098</v>
      </c>
      <c r="DE177" s="164">
        <f t="shared" si="82"/>
        <v>5</v>
      </c>
      <c r="DF177" s="166">
        <f t="shared" si="83"/>
        <v>114.14840901757661</v>
      </c>
      <c r="DG177" s="164">
        <f t="shared" si="84"/>
        <v>5</v>
      </c>
      <c r="DH177" s="166">
        <f t="shared" si="85"/>
        <v>140.10545772869312</v>
      </c>
      <c r="DI177" s="164">
        <f>IFERROR(INDEX(DC$170:DC$218,_xlfn.AGGREGATE(15,6,(ROW(DC$170:DC$218)-ROW(DC$170)+1)/(DC$170:DC$218&lt;&gt;""),ROWS(DI$1:DI8))),"")</f>
        <v>8</v>
      </c>
      <c r="DJ177" s="165">
        <f>IFERROR(INDEX(DD$170:DD$218,_xlfn.AGGREGATE(15,6,(ROW(DD$170:DD$218)-ROW(DD$170)+1)/(DD$170:DD$218&lt;&gt;""),ROWS(DJ$1:DJ8))),"")</f>
        <v>91.040603612100739</v>
      </c>
      <c r="DK177" s="166">
        <f t="shared" si="86"/>
        <v>177</v>
      </c>
      <c r="DL177" s="164">
        <f>IFERROR(INDEX(DE$170:DE$218,_xlfn.AGGREGATE(15,6,(ROW(DE$170:DE$218)-ROW(DE$170)+1)/(DE$170:DE$218&lt;&gt;""),ROWS(DL$1:DL8))),"")</f>
        <v>8</v>
      </c>
      <c r="DM177" s="165">
        <f>IFERROR(INDEX(DF$170:DF$218,_xlfn.AGGREGATE(15,6,(ROW(DF$170:DF$218)-ROW(DF$170)+1)/(DF$170:DF$218&lt;&gt;""),ROWS(DM$1:DM8))),"")</f>
        <v>119.61048005694754</v>
      </c>
      <c r="DN177" s="166">
        <f t="shared" si="87"/>
        <v>177</v>
      </c>
      <c r="DO177" s="164">
        <f>IFERROR(INDEX(DG$170:DG$218,_xlfn.AGGREGATE(15,6,(ROW(DG$170:DG$218)-ROW(DG$170)+1)/(DG$170:DG$218&lt;&gt;""),ROWS(DO$1:DO8))),"")</f>
        <v>8</v>
      </c>
      <c r="DP177" s="165">
        <f>IFERROR(INDEX(DH$170:DH$218,_xlfn.AGGREGATE(15,6,(ROW(DH$170:DH$218)-ROW(DH$170)+1)/(DH$170:DH$218&lt;&gt;""),ROWS(DP$1:DP8))),"")</f>
        <v>148.18035650179434</v>
      </c>
      <c r="DQ177" s="166">
        <f t="shared" si="88"/>
        <v>177</v>
      </c>
      <c r="DV177" s="145">
        <v>2022</v>
      </c>
      <c r="DW177" s="235">
        <f t="shared" ca="1" si="72"/>
        <v>119.7873617894403</v>
      </c>
      <c r="DZ177" s="135"/>
      <c r="EA177" s="33"/>
      <c r="EB177" s="33"/>
      <c r="EC177" s="33"/>
      <c r="ED177" s="33"/>
      <c r="EE177" s="33"/>
    </row>
    <row r="178" spans="1:135" ht="13.8" x14ac:dyDescent="0.45">
      <c r="A178" s="266" t="s">
        <v>90</v>
      </c>
      <c r="B178" s="128">
        <v>2020</v>
      </c>
      <c r="C178" s="263">
        <f>'Total MSW Summaries (Archive)'!E11</f>
        <v>100.06655969579043</v>
      </c>
      <c r="D178" s="267">
        <f>'Total MSW Summaries (Archive)'!Q11</f>
        <v>131.35930402171084</v>
      </c>
      <c r="E178" s="271">
        <f>'Total MSW Summaries (Archive)'!AC11</f>
        <v>151.86399999999995</v>
      </c>
      <c r="F178" s="271">
        <f>'Total MSW Summaries (Archive)'!AO11</f>
        <v>123.3847427102001</v>
      </c>
      <c r="G178" s="271">
        <f>'Total MSW Summaries (Archive)'!BA11</f>
        <v>73.861420049426684</v>
      </c>
      <c r="H178" s="169"/>
      <c r="I178" s="170"/>
      <c r="J178" s="168"/>
      <c r="K178" s="169"/>
      <c r="L178" s="170"/>
      <c r="M178" s="169"/>
      <c r="N178" s="29" t="s">
        <v>119</v>
      </c>
      <c r="O178" s="120"/>
      <c r="P178" s="120"/>
      <c r="Q178" s="120"/>
      <c r="R178" s="29">
        <v>6</v>
      </c>
      <c r="S178" s="279">
        <f t="shared" si="73"/>
        <v>73.861420049426684</v>
      </c>
      <c r="T178" s="279">
        <f t="shared" si="74"/>
        <v>151.86399999999995</v>
      </c>
      <c r="U178" s="279">
        <f t="shared" si="75"/>
        <v>26.8557111848821</v>
      </c>
      <c r="V178" s="20"/>
      <c r="W178" s="265">
        <f t="shared" si="76"/>
        <v>89.251494110543518</v>
      </c>
      <c r="X178" s="265">
        <f t="shared" si="77"/>
        <v>116.10720529542562</v>
      </c>
      <c r="Y178" s="265">
        <f t="shared" si="78"/>
        <v>142.96291648030771</v>
      </c>
      <c r="AA178" s="138"/>
      <c r="AB178" s="138"/>
      <c r="AC178" s="138"/>
      <c r="AD178" s="138"/>
      <c r="AE178" s="138"/>
      <c r="AF178" s="138"/>
      <c r="AG178" s="138"/>
      <c r="AH178" s="138"/>
      <c r="AI178" s="138"/>
      <c r="AJ178" s="138"/>
      <c r="AK178" s="138"/>
      <c r="AL178" s="138"/>
      <c r="AM178" s="138"/>
      <c r="AN178" s="138"/>
      <c r="BR178" s="180">
        <v>2018</v>
      </c>
      <c r="BS178" s="22">
        <v>4</v>
      </c>
      <c r="BT178" s="181">
        <f t="shared" si="89"/>
        <v>6.5256003169822785</v>
      </c>
      <c r="BU178" s="182">
        <f t="shared" si="90"/>
        <v>106.45137405158448</v>
      </c>
      <c r="BV178" s="242">
        <f t="shared" si="91"/>
        <v>112.97697436856676</v>
      </c>
      <c r="BY178" s="180">
        <v>2018</v>
      </c>
      <c r="BZ178" s="22">
        <v>4</v>
      </c>
      <c r="CA178" s="243">
        <f t="shared" ca="1" si="92"/>
        <v>-0.1830590566935513</v>
      </c>
      <c r="CB178" s="243">
        <f t="shared" ca="1" si="93"/>
        <v>7.9900727705306895</v>
      </c>
      <c r="CC178" s="276">
        <f t="shared" ca="1" si="104"/>
        <v>104.43772442795542</v>
      </c>
      <c r="CD178" s="242">
        <f t="shared" ca="1" si="94"/>
        <v>112.24473814179255</v>
      </c>
      <c r="CG178" s="180">
        <v>2018</v>
      </c>
      <c r="CH178" s="22">
        <v>4</v>
      </c>
      <c r="CI178" s="243">
        <f t="shared" ca="1" si="95"/>
        <v>1.0198300470949995E-2</v>
      </c>
      <c r="CJ178" s="243">
        <f t="shared" ca="1" si="96"/>
        <v>-0.30543866234495071</v>
      </c>
      <c r="CK178" s="243">
        <f t="shared" ca="1" si="97"/>
        <v>8.3879339676536215</v>
      </c>
      <c r="CL178" s="276">
        <f t="shared" ca="1" si="98"/>
        <v>104.15166209974525</v>
      </c>
      <c r="CM178" s="242">
        <f t="shared" ca="1" si="99"/>
        <v>112.24435570552487</v>
      </c>
      <c r="CP178" s="180">
        <v>2018</v>
      </c>
      <c r="CQ178" s="22">
        <v>4</v>
      </c>
      <c r="CR178" s="243">
        <f t="shared" ca="1" si="100"/>
        <v>107.90475001670083</v>
      </c>
      <c r="CS178" s="276">
        <f t="shared" ca="1" si="101"/>
        <v>1.0511455437739914</v>
      </c>
      <c r="CT178" s="242">
        <f t="shared" ca="1" si="102"/>
        <v>113.42359713210161</v>
      </c>
      <c r="CZ178" s="164" t="b">
        <f t="shared" si="79"/>
        <v>1</v>
      </c>
      <c r="DA178" s="165" t="b">
        <f t="shared" si="79"/>
        <v>1</v>
      </c>
      <c r="DB178" s="166" t="b">
        <f t="shared" si="79"/>
        <v>1</v>
      </c>
      <c r="DC178" s="164">
        <f t="shared" si="80"/>
        <v>6</v>
      </c>
      <c r="DD178" s="166">
        <f t="shared" si="81"/>
        <v>89.251494110543518</v>
      </c>
      <c r="DE178" s="164">
        <f t="shared" si="82"/>
        <v>6</v>
      </c>
      <c r="DF178" s="166">
        <f t="shared" si="83"/>
        <v>116.10720529542562</v>
      </c>
      <c r="DG178" s="164">
        <f t="shared" si="84"/>
        <v>6</v>
      </c>
      <c r="DH178" s="166">
        <f t="shared" si="85"/>
        <v>142.96291648030771</v>
      </c>
      <c r="DI178" s="164">
        <f>IFERROR(INDEX(DC$170:DC$218,_xlfn.AGGREGATE(15,6,(ROW(DC$170:DC$218)-ROW(DC$170)+1)/(DC$170:DC$218&lt;&gt;""),ROWS(DI$1:DI9))),"")</f>
        <v>9</v>
      </c>
      <c r="DJ178" s="165">
        <f>IFERROR(INDEX(DD$170:DD$218,_xlfn.AGGREGATE(15,6,(ROW(DD$170:DD$218)-ROW(DD$170)+1)/(DD$170:DD$218&lt;&gt;""),ROWS(DJ$1:DJ9))),"")</f>
        <v>92.012193120347433</v>
      </c>
      <c r="DK178" s="166">
        <f t="shared" si="86"/>
        <v>178</v>
      </c>
      <c r="DL178" s="164">
        <f>IFERROR(INDEX(DE$170:DE$218,_xlfn.AGGREGATE(15,6,(ROW(DE$170:DE$218)-ROW(DE$170)+1)/(DE$170:DE$218&lt;&gt;""),ROWS(DL$1:DL9))),"")</f>
        <v>9</v>
      </c>
      <c r="DM178" s="165">
        <f>IFERROR(INDEX(DF$170:DF$218,_xlfn.AGGREGATE(15,6,(ROW(DF$170:DF$218)-ROW(DF$170)+1)/(DF$170:DF$218&lt;&gt;""),ROWS(DM$1:DM9))),"")</f>
        <v>121.48086319096895</v>
      </c>
      <c r="DN178" s="166">
        <f t="shared" si="87"/>
        <v>178</v>
      </c>
      <c r="DO178" s="164">
        <f>IFERROR(INDEX(DG$170:DG$218,_xlfn.AGGREGATE(15,6,(ROW(DG$170:DG$218)-ROW(DG$170)+1)/(DG$170:DG$218&lt;&gt;""),ROWS(DO$1:DO9))),"")</f>
        <v>9</v>
      </c>
      <c r="DP178" s="165">
        <f>IFERROR(INDEX(DH$170:DH$218,_xlfn.AGGREGATE(15,6,(ROW(DH$170:DH$218)-ROW(DH$170)+1)/(DH$170:DH$218&lt;&gt;""),ROWS(DP$1:DP9))),"")</f>
        <v>150.94953326159046</v>
      </c>
      <c r="DQ178" s="166">
        <f t="shared" si="88"/>
        <v>178</v>
      </c>
      <c r="DV178" s="145">
        <v>2023</v>
      </c>
      <c r="DW178" s="235">
        <f t="shared" ca="1" si="72"/>
        <v>121.5943953151465</v>
      </c>
      <c r="DZ178" s="135"/>
      <c r="EA178" s="33" t="s">
        <v>86</v>
      </c>
      <c r="EB178" s="33" t="s">
        <v>87</v>
      </c>
      <c r="EC178" s="33"/>
      <c r="ED178" s="33"/>
      <c r="EE178" s="33"/>
    </row>
    <row r="179" spans="1:135" ht="13.8" x14ac:dyDescent="0.45">
      <c r="A179" s="262" t="s">
        <v>80</v>
      </c>
      <c r="B179" s="128">
        <v>2021</v>
      </c>
      <c r="C179" s="263">
        <f>'Total MSW Summaries (Archive)'!E12</f>
        <v>100.30809499682719</v>
      </c>
      <c r="D179" s="267">
        <f>'Total MSW Summaries (Archive)'!Q12</f>
        <v>134.24566713742041</v>
      </c>
      <c r="E179" s="271">
        <f>'Total MSW Summaries (Archive)'!AC12</f>
        <v>154.51799999999994</v>
      </c>
      <c r="F179" s="271">
        <f>'Total MSW Summaries (Archive)'!AO12</f>
        <v>124.72268580355063</v>
      </c>
      <c r="G179" s="271">
        <f>'Total MSW Summaries (Archive)'!BA12</f>
        <v>74.703882973419752</v>
      </c>
      <c r="H179" s="271"/>
      <c r="I179" s="272"/>
      <c r="J179" s="267"/>
      <c r="K179" s="271"/>
      <c r="L179" s="272"/>
      <c r="M179" s="271"/>
      <c r="N179" s="29" t="s">
        <v>119</v>
      </c>
      <c r="O179" s="120"/>
      <c r="P179" s="120"/>
      <c r="Q179" s="120"/>
      <c r="R179" s="29">
        <v>7</v>
      </c>
      <c r="S179" s="280">
        <f t="shared" si="73"/>
        <v>74.703882973419752</v>
      </c>
      <c r="T179" s="280">
        <f t="shared" si="74"/>
        <v>154.51799999999994</v>
      </c>
      <c r="U179" s="280">
        <f t="shared" si="75"/>
        <v>27.675934597998086</v>
      </c>
      <c r="V179" s="20"/>
      <c r="W179" s="265">
        <f t="shared" si="76"/>
        <v>90.023731584245496</v>
      </c>
      <c r="X179" s="265">
        <f t="shared" si="77"/>
        <v>117.69966618224358</v>
      </c>
      <c r="Y179" s="265">
        <f t="shared" si="78"/>
        <v>145.37560078024165</v>
      </c>
      <c r="AA179" s="138"/>
      <c r="AB179" s="138"/>
      <c r="AC179" s="138"/>
      <c r="AD179" s="138"/>
      <c r="AE179" s="138"/>
      <c r="AF179" s="138"/>
      <c r="AG179" s="138"/>
      <c r="AH179" s="138"/>
      <c r="AI179" s="138"/>
      <c r="AJ179" s="138"/>
      <c r="AK179" s="138"/>
      <c r="AL179" s="138"/>
      <c r="AM179" s="138"/>
      <c r="AN179" s="138"/>
      <c r="BR179" s="180">
        <v>2019</v>
      </c>
      <c r="BS179" s="22">
        <v>5</v>
      </c>
      <c r="BT179" s="181">
        <f t="shared" si="89"/>
        <v>8.1570003962278488</v>
      </c>
      <c r="BU179" s="182">
        <f t="shared" si="90"/>
        <v>106.45137405158448</v>
      </c>
      <c r="BV179" s="197">
        <f t="shared" si="91"/>
        <v>114.60837444781232</v>
      </c>
      <c r="BY179" s="180">
        <v>2019</v>
      </c>
      <c r="BZ179" s="22">
        <v>5</v>
      </c>
      <c r="CA179" s="243">
        <f t="shared" ca="1" si="92"/>
        <v>-0.28602977608367391</v>
      </c>
      <c r="CB179" s="243">
        <f t="shared" ca="1" si="93"/>
        <v>9.9875909631633615</v>
      </c>
      <c r="CC179" s="186">
        <f t="shared" ca="1" si="104"/>
        <v>104.43772442795542</v>
      </c>
      <c r="CD179" s="197">
        <f t="shared" ca="1" si="94"/>
        <v>114.13928561503511</v>
      </c>
      <c r="CG179" s="180">
        <v>2019</v>
      </c>
      <c r="CH179" s="22">
        <v>5</v>
      </c>
      <c r="CI179" s="243">
        <f t="shared" ca="1" si="95"/>
        <v>1.9918555607324209E-2</v>
      </c>
      <c r="CJ179" s="243">
        <f t="shared" ca="1" si="96"/>
        <v>-0.47724790991398547</v>
      </c>
      <c r="CK179" s="243">
        <f t="shared" ca="1" si="97"/>
        <v>10.484917459567027</v>
      </c>
      <c r="CL179" s="186">
        <f t="shared" ca="1" si="98"/>
        <v>104.15166209974525</v>
      </c>
      <c r="CM179" s="197">
        <f t="shared" ca="1" si="99"/>
        <v>114.17925020500562</v>
      </c>
      <c r="CP179" s="180">
        <v>2019</v>
      </c>
      <c r="CQ179" s="22">
        <v>5</v>
      </c>
      <c r="CR179" s="243">
        <f t="shared" ca="1" si="100"/>
        <v>107.90475001670083</v>
      </c>
      <c r="CS179" s="186">
        <f t="shared" ca="1" si="101"/>
        <v>1.0643355464661253</v>
      </c>
      <c r="CT179" s="197">
        <f t="shared" ca="1" si="102"/>
        <v>114.84686107531591</v>
      </c>
      <c r="CZ179" s="164" t="b">
        <f t="shared" si="79"/>
        <v>1</v>
      </c>
      <c r="DA179" s="165" t="b">
        <f t="shared" si="79"/>
        <v>1</v>
      </c>
      <c r="DB179" s="166" t="b">
        <f t="shared" si="79"/>
        <v>1</v>
      </c>
      <c r="DC179" s="164">
        <f t="shared" si="80"/>
        <v>7</v>
      </c>
      <c r="DD179" s="166">
        <f t="shared" si="81"/>
        <v>90.023731584245496</v>
      </c>
      <c r="DE179" s="164">
        <f t="shared" si="82"/>
        <v>7</v>
      </c>
      <c r="DF179" s="166">
        <f t="shared" si="83"/>
        <v>117.69966618224358</v>
      </c>
      <c r="DG179" s="164">
        <f t="shared" si="84"/>
        <v>7</v>
      </c>
      <c r="DH179" s="166">
        <f t="shared" si="85"/>
        <v>145.37560078024165</v>
      </c>
      <c r="DI179" s="164">
        <f>IFERROR(INDEX(DC$170:DC$218,_xlfn.AGGREGATE(15,6,(ROW(DC$170:DC$218)-ROW(DC$170)+1)/(DC$170:DC$218&lt;&gt;""),ROWS(DI$1:DI10))),"")</f>
        <v>10</v>
      </c>
      <c r="DJ179" s="165">
        <f>IFERROR(INDEX(DD$170:DD$218,_xlfn.AGGREGATE(15,6,(ROW(DD$170:DD$218)-ROW(DD$170)+1)/(DD$170:DD$218&lt;&gt;""),ROWS(DJ$1:DJ10))),"")</f>
        <v>92.94046522235908</v>
      </c>
      <c r="DK179" s="166">
        <f t="shared" si="86"/>
        <v>179</v>
      </c>
      <c r="DL179" s="164">
        <f>IFERROR(INDEX(DE$170:DE$218,_xlfn.AGGREGATE(15,6,(ROW(DE$170:DE$218)-ROW(DE$170)+1)/(DE$170:DE$218&lt;&gt;""),ROWS(DL$1:DL10))),"")</f>
        <v>10</v>
      </c>
      <c r="DM179" s="165">
        <f>IFERROR(INDEX(DF$170:DF$218,_xlfn.AGGREGATE(15,6,(ROW(DF$170:DF$218)-ROW(DF$170)+1)/(DF$170:DF$218&lt;&gt;""),ROWS(DM$1:DM10))),"")</f>
        <v>123.31181983842029</v>
      </c>
      <c r="DN179" s="166">
        <f t="shared" si="87"/>
        <v>179</v>
      </c>
      <c r="DO179" s="164">
        <f>IFERROR(INDEX(DG$170:DG$218,_xlfn.AGGREGATE(15,6,(ROW(DG$170:DG$218)-ROW(DG$170)+1)/(DG$170:DG$218&lt;&gt;""),ROWS(DO$1:DO10))),"")</f>
        <v>10</v>
      </c>
      <c r="DP179" s="165">
        <f>IFERROR(INDEX(DH$170:DH$218,_xlfn.AGGREGATE(15,6,(ROW(DH$170:DH$218)-ROW(DH$170)+1)/(DH$170:DH$218&lt;&gt;""),ROWS(DP$1:DP10))),"")</f>
        <v>153.6831744544815</v>
      </c>
      <c r="DQ179" s="166">
        <f t="shared" si="88"/>
        <v>179</v>
      </c>
      <c r="DV179" s="145">
        <v>2024</v>
      </c>
      <c r="DW179" s="235">
        <f t="shared" ca="1" si="72"/>
        <v>123.37185382408197</v>
      </c>
      <c r="DZ179" s="135" t="s">
        <v>92</v>
      </c>
      <c r="EA179" s="33">
        <f t="shared" ref="EA179:EB181" si="105">IF($EA$168="Linear",0,IF($EA$168="2nd Poly",0,IF($EA$168="3rd Poly",0,IF($EA$168="Exp",CR171))))</f>
        <v>0</v>
      </c>
      <c r="EB179" s="33">
        <f t="shared" si="105"/>
        <v>0</v>
      </c>
      <c r="EC179" s="33" t="str">
        <f>IF($EA$168="Linear","N/A",IF($EA$168="2nd Poly","N/A",IF($EA$168="3rd Poly","N/A","High")))</f>
        <v>N/A</v>
      </c>
      <c r="ED179" s="33"/>
      <c r="EE179" s="33"/>
    </row>
    <row r="180" spans="1:135" ht="13.8" x14ac:dyDescent="0.45">
      <c r="A180" s="262" t="s">
        <v>88</v>
      </c>
      <c r="B180" s="128">
        <v>2022</v>
      </c>
      <c r="C180" s="263">
        <f>'Total MSW Summaries (Archive)'!E13</f>
        <v>100.80042410948352</v>
      </c>
      <c r="D180" s="267">
        <f>'Total MSW Summaries (Archive)'!Q13</f>
        <v>137.48647319985602</v>
      </c>
      <c r="E180" s="271">
        <f>'Total MSW Summaries (Archive)'!AC13</f>
        <v>157.17199999999994</v>
      </c>
      <c r="F180" s="271">
        <f>'Total MSW Summaries (Archive)'!AO13</f>
        <v>127.04715707798537</v>
      </c>
      <c r="G180" s="271">
        <f>'Total MSW Summaries (Archive)'!BA13</f>
        <v>75.54634589741282</v>
      </c>
      <c r="H180" s="200"/>
      <c r="I180" s="201"/>
      <c r="J180" s="199"/>
      <c r="K180" s="200"/>
      <c r="L180" s="201"/>
      <c r="M180" s="200"/>
      <c r="N180" s="29" t="s">
        <v>119</v>
      </c>
      <c r="O180" s="120"/>
      <c r="P180" s="120"/>
      <c r="Q180" s="120"/>
      <c r="R180" s="29">
        <v>8</v>
      </c>
      <c r="S180" s="202">
        <f t="shared" si="73"/>
        <v>75.54634589741282</v>
      </c>
      <c r="T180" s="202">
        <f t="shared" si="74"/>
        <v>157.17199999999994</v>
      </c>
      <c r="U180" s="202">
        <f t="shared" si="75"/>
        <v>28.569876444846798</v>
      </c>
      <c r="V180" s="20"/>
      <c r="W180" s="265">
        <f t="shared" si="76"/>
        <v>91.040603612100739</v>
      </c>
      <c r="X180" s="265">
        <f t="shared" si="77"/>
        <v>119.61048005694754</v>
      </c>
      <c r="Y180" s="265">
        <f t="shared" si="78"/>
        <v>148.18035650179434</v>
      </c>
      <c r="AA180" s="120"/>
      <c r="AB180" s="120"/>
      <c r="AC180" s="120"/>
      <c r="AD180" s="120"/>
      <c r="AE180" s="120"/>
      <c r="AF180" s="120"/>
      <c r="AG180" s="120"/>
      <c r="AH180" s="120"/>
      <c r="AI180" s="120"/>
      <c r="AJ180" s="120"/>
      <c r="AK180" s="120"/>
      <c r="AL180" s="120"/>
      <c r="AM180" s="120"/>
      <c r="AN180" s="120"/>
      <c r="BR180" s="180">
        <v>2020</v>
      </c>
      <c r="BS180" s="22">
        <v>6</v>
      </c>
      <c r="BT180" s="181">
        <f t="shared" si="89"/>
        <v>9.7884004754734182</v>
      </c>
      <c r="BU180" s="182">
        <f t="shared" si="90"/>
        <v>106.45137405158448</v>
      </c>
      <c r="BV180" s="203">
        <f t="shared" si="91"/>
        <v>116.2397745270579</v>
      </c>
      <c r="BY180" s="180">
        <v>2020</v>
      </c>
      <c r="BZ180" s="22">
        <v>6</v>
      </c>
      <c r="CA180" s="278">
        <f t="shared" ca="1" si="92"/>
        <v>-0.41188287756049041</v>
      </c>
      <c r="CB180" s="278">
        <f t="shared" ca="1" si="93"/>
        <v>11.985109155796035</v>
      </c>
      <c r="CC180" s="276">
        <f t="shared" ca="1" si="104"/>
        <v>104.43772442795542</v>
      </c>
      <c r="CD180" s="203">
        <f t="shared" ca="1" si="94"/>
        <v>116.01095070619095</v>
      </c>
      <c r="CG180" s="180">
        <v>2020</v>
      </c>
      <c r="CH180" s="22">
        <v>6</v>
      </c>
      <c r="CI180" s="278">
        <f t="shared" ca="1" si="95"/>
        <v>3.4419264089456232E-2</v>
      </c>
      <c r="CJ180" s="278">
        <f t="shared" ca="1" si="96"/>
        <v>-0.68723699027613905</v>
      </c>
      <c r="CK180" s="278">
        <f t="shared" ca="1" si="97"/>
        <v>12.581900951480431</v>
      </c>
      <c r="CL180" s="276">
        <f t="shared" ca="1" si="98"/>
        <v>104.15166209974525</v>
      </c>
      <c r="CM180" s="203">
        <f t="shared" ca="1" si="99"/>
        <v>116.080745325039</v>
      </c>
      <c r="CP180" s="180">
        <v>2020</v>
      </c>
      <c r="CQ180" s="22">
        <v>6</v>
      </c>
      <c r="CR180" s="278">
        <f t="shared" ca="1" si="100"/>
        <v>107.90475001670083</v>
      </c>
      <c r="CS180" s="276">
        <f t="shared" ca="1" si="101"/>
        <v>1.077691060178164</v>
      </c>
      <c r="CT180" s="203">
        <f t="shared" ca="1" si="102"/>
        <v>116.28798444375808</v>
      </c>
      <c r="CZ180" s="164" t="b">
        <f t="shared" si="79"/>
        <v>1</v>
      </c>
      <c r="DA180" s="165" t="b">
        <f t="shared" si="79"/>
        <v>1</v>
      </c>
      <c r="DB180" s="166" t="b">
        <f t="shared" si="79"/>
        <v>1</v>
      </c>
      <c r="DC180" s="164">
        <f t="shared" si="80"/>
        <v>8</v>
      </c>
      <c r="DD180" s="166">
        <f t="shared" si="81"/>
        <v>91.040603612100739</v>
      </c>
      <c r="DE180" s="164">
        <f t="shared" si="82"/>
        <v>8</v>
      </c>
      <c r="DF180" s="166">
        <f t="shared" si="83"/>
        <v>119.61048005694754</v>
      </c>
      <c r="DG180" s="164">
        <f t="shared" si="84"/>
        <v>8</v>
      </c>
      <c r="DH180" s="166">
        <f t="shared" si="85"/>
        <v>148.18035650179434</v>
      </c>
      <c r="DI180" s="164">
        <f>IFERROR(INDEX(DC$170:DC$218,_xlfn.AGGREGATE(15,6,(ROW(DC$170:DC$218)-ROW(DC$170)+1)/(DC$170:DC$218&lt;&gt;""),ROWS(DI$1:DI11))),"")</f>
        <v>11</v>
      </c>
      <c r="DJ180" s="165">
        <f>IFERROR(INDEX(DD$170:DD$218,_xlfn.AGGREGATE(15,6,(ROW(DD$170:DD$218)-ROW(DD$170)+1)/(DD$170:DD$218&lt;&gt;""),ROWS(DJ$1:DJ11))),"")</f>
        <v>93.945384803114109</v>
      </c>
      <c r="DK180" s="166">
        <f t="shared" si="86"/>
        <v>180</v>
      </c>
      <c r="DL180" s="164">
        <f>IFERROR(INDEX(DE$170:DE$218,_xlfn.AGGREGATE(15,6,(ROW(DE$170:DE$218)-ROW(DE$170)+1)/(DE$170:DE$218&lt;&gt;""),ROWS(DL$1:DL11))),"")</f>
        <v>11</v>
      </c>
      <c r="DM180" s="165">
        <f>IFERROR(INDEX(DF$170:DF$218,_xlfn.AGGREGATE(15,6,(ROW(DF$170:DF$218)-ROW(DF$170)+1)/(DF$170:DF$218&lt;&gt;""),ROWS(DM$1:DM11))),"")</f>
        <v>125.26554312493549</v>
      </c>
      <c r="DN180" s="166">
        <f t="shared" si="87"/>
        <v>180</v>
      </c>
      <c r="DO180" s="164">
        <f>IFERROR(INDEX(DG$170:DG$218,_xlfn.AGGREGATE(15,6,(ROW(DG$170:DG$218)-ROW(DG$170)+1)/(DG$170:DG$218&lt;&gt;""),ROWS(DO$1:DO11))),"")</f>
        <v>11</v>
      </c>
      <c r="DP180" s="165">
        <f>IFERROR(INDEX(DH$170:DH$218,_xlfn.AGGREGATE(15,6,(ROW(DH$170:DH$218)-ROW(DH$170)+1)/(DH$170:DH$218&lt;&gt;""),ROWS(DP$1:DP11))),"")</f>
        <v>156.58570144675687</v>
      </c>
      <c r="DQ180" s="166">
        <f t="shared" si="88"/>
        <v>180</v>
      </c>
      <c r="DV180" s="145">
        <v>2025</v>
      </c>
      <c r="DW180" s="235">
        <f t="shared" ca="1" si="72"/>
        <v>125.12069340691582</v>
      </c>
      <c r="DZ180" s="135" t="s">
        <v>92</v>
      </c>
      <c r="EA180" s="33">
        <f t="shared" si="105"/>
        <v>0</v>
      </c>
      <c r="EB180" s="33">
        <f t="shared" si="105"/>
        <v>0</v>
      </c>
      <c r="EC180" s="33" t="str">
        <f>IF($EA$168="Linear","N/A",IF($EA$168="2nd Poly","N/A",IF($EA$168="3rd Poly","N/A","Medium")))</f>
        <v>N/A</v>
      </c>
    </row>
    <row r="181" spans="1:135" ht="13.8" x14ac:dyDescent="0.45">
      <c r="B181" s="128">
        <v>2023</v>
      </c>
      <c r="C181" s="263">
        <f>'Total MSW Summaries (Archive)'!E14</f>
        <v>101.26378381256443</v>
      </c>
      <c r="D181" s="267">
        <f>'Total MSW Summaries (Archive)'!Q14</f>
        <v>140.71224555919594</v>
      </c>
      <c r="E181" s="271">
        <f>'Total MSW Summaries (Archive)'!AC14</f>
        <v>159.82599999999994</v>
      </c>
      <c r="F181" s="271">
        <f>'Total MSW Summaries (Archive)'!AO14</f>
        <v>129.21347776167846</v>
      </c>
      <c r="G181" s="271">
        <f>'Total MSW Summaries (Archive)'!BA14</f>
        <v>76.388808821405888</v>
      </c>
      <c r="H181" s="200"/>
      <c r="I181" s="201"/>
      <c r="J181" s="199"/>
      <c r="K181" s="200"/>
      <c r="L181" s="201"/>
      <c r="M181" s="200"/>
      <c r="N181" s="29" t="s">
        <v>119</v>
      </c>
      <c r="O181" s="120"/>
      <c r="P181" s="120"/>
      <c r="Q181" s="120"/>
      <c r="R181" s="29">
        <v>9</v>
      </c>
      <c r="S181" s="202">
        <f t="shared" si="73"/>
        <v>76.388808821405888</v>
      </c>
      <c r="T181" s="202">
        <f t="shared" si="74"/>
        <v>159.82599999999994</v>
      </c>
      <c r="U181" s="202">
        <f t="shared" si="75"/>
        <v>29.468670070621517</v>
      </c>
      <c r="V181" s="20"/>
      <c r="W181" s="238">
        <f t="shared" si="76"/>
        <v>92.012193120347433</v>
      </c>
      <c r="X181" s="238">
        <f t="shared" si="77"/>
        <v>121.48086319096895</v>
      </c>
      <c r="Y181" s="238">
        <f t="shared" si="78"/>
        <v>150.94953326159046</v>
      </c>
      <c r="AA181" s="120"/>
      <c r="AB181" s="120"/>
      <c r="AC181" s="120"/>
      <c r="AD181" s="120"/>
      <c r="AE181" s="120"/>
      <c r="AF181" s="120"/>
      <c r="AG181" s="120"/>
      <c r="AH181" s="120"/>
      <c r="AI181" s="120"/>
      <c r="AJ181" s="120"/>
      <c r="AK181" s="120"/>
      <c r="AL181" s="120"/>
      <c r="AM181" s="120"/>
      <c r="AN181" s="120"/>
      <c r="BR181" s="180">
        <v>2021</v>
      </c>
      <c r="BS181" s="22">
        <v>7</v>
      </c>
      <c r="BT181" s="181">
        <f t="shared" si="89"/>
        <v>11.419800554718988</v>
      </c>
      <c r="BU181" s="182">
        <f t="shared" si="90"/>
        <v>106.45137405158448</v>
      </c>
      <c r="BV181" s="205">
        <f t="shared" si="91"/>
        <v>117.87117460630347</v>
      </c>
      <c r="BY181" s="180">
        <v>2021</v>
      </c>
      <c r="BZ181" s="22">
        <v>7</v>
      </c>
      <c r="CA181" s="198">
        <f t="shared" ca="1" si="92"/>
        <v>-0.56061836112400087</v>
      </c>
      <c r="CB181" s="198">
        <f t="shared" ca="1" si="93"/>
        <v>13.982627348428707</v>
      </c>
      <c r="CC181" s="186">
        <f t="shared" ca="1" si="104"/>
        <v>104.43772442795542</v>
      </c>
      <c r="CD181" s="205">
        <f t="shared" ca="1" si="94"/>
        <v>117.85973341526012</v>
      </c>
      <c r="CG181" s="180">
        <v>2021</v>
      </c>
      <c r="CH181" s="22">
        <v>7</v>
      </c>
      <c r="CI181" s="198">
        <f t="shared" ca="1" si="95"/>
        <v>5.465651658649763E-2</v>
      </c>
      <c r="CJ181" s="198">
        <f t="shared" ca="1" si="96"/>
        <v>-0.9354059034314115</v>
      </c>
      <c r="CK181" s="198">
        <f t="shared" ca="1" si="97"/>
        <v>14.678884443393837</v>
      </c>
      <c r="CL181" s="186">
        <f t="shared" ca="1" si="98"/>
        <v>104.15166209974525</v>
      </c>
      <c r="CM181" s="205">
        <f t="shared" ca="1" si="99"/>
        <v>117.94979715629418</v>
      </c>
      <c r="CP181" s="180">
        <v>2021</v>
      </c>
      <c r="CQ181" s="22">
        <v>7</v>
      </c>
      <c r="CR181" s="198">
        <f t="shared" ca="1" si="100"/>
        <v>107.90475001670083</v>
      </c>
      <c r="CS181" s="186">
        <f t="shared" ca="1" si="101"/>
        <v>1.0912141617783502</v>
      </c>
      <c r="CT181" s="205">
        <f t="shared" ca="1" si="102"/>
        <v>117.74719134137662</v>
      </c>
      <c r="CZ181" s="164" t="b">
        <f t="shared" si="79"/>
        <v>1</v>
      </c>
      <c r="DA181" s="165" t="b">
        <f t="shared" si="79"/>
        <v>1</v>
      </c>
      <c r="DB181" s="166" t="b">
        <f t="shared" si="79"/>
        <v>1</v>
      </c>
      <c r="DC181" s="164">
        <f t="shared" si="80"/>
        <v>9</v>
      </c>
      <c r="DD181" s="166">
        <f t="shared" si="81"/>
        <v>92.012193120347433</v>
      </c>
      <c r="DE181" s="164">
        <f t="shared" si="82"/>
        <v>9</v>
      </c>
      <c r="DF181" s="166">
        <f t="shared" si="83"/>
        <v>121.48086319096895</v>
      </c>
      <c r="DG181" s="164">
        <f t="shared" si="84"/>
        <v>9</v>
      </c>
      <c r="DH181" s="166">
        <f t="shared" si="85"/>
        <v>150.94953326159046</v>
      </c>
      <c r="DI181" s="164">
        <f>IFERROR(INDEX(DC$170:DC$218,_xlfn.AGGREGATE(15,6,(ROW(DC$170:DC$218)-ROW(DC$170)+1)/(DC$170:DC$218&lt;&gt;""),ROWS(DI$1:DI12))),"")</f>
        <v>12</v>
      </c>
      <c r="DJ181" s="165">
        <f>IFERROR(INDEX(DD$170:DD$218,_xlfn.AGGREGATE(15,6,(ROW(DD$170:DD$218)-ROW(DD$170)+1)/(DD$170:DD$218&lt;&gt;""),ROWS(DJ$1:DJ12))),"")</f>
        <v>94.673032399268891</v>
      </c>
      <c r="DK181" s="166">
        <f t="shared" si="86"/>
        <v>181</v>
      </c>
      <c r="DL181" s="164">
        <f>IFERROR(INDEX(DE$170:DE$218,_xlfn.AGGREGATE(15,6,(ROW(DE$170:DE$218)-ROW(DE$170)+1)/(DE$170:DE$218&lt;&gt;""),ROWS(DL$1:DL12))),"")</f>
        <v>12</v>
      </c>
      <c r="DM181" s="165">
        <f>IFERROR(INDEX(DF$170:DF$218,_xlfn.AGGREGATE(15,6,(ROW(DF$170:DF$218)-ROW(DF$170)+1)/(DF$170:DF$218&lt;&gt;""),ROWS(DM$1:DM12))),"")</f>
        <v>126.85960115735659</v>
      </c>
      <c r="DN181" s="166">
        <f t="shared" si="87"/>
        <v>181</v>
      </c>
      <c r="DO181" s="164">
        <f>IFERROR(INDEX(DG$170:DG$218,_xlfn.AGGREGATE(15,6,(ROW(DG$170:DG$218)-ROW(DG$170)+1)/(DG$170:DG$218&lt;&gt;""),ROWS(DO$1:DO12))),"")</f>
        <v>12</v>
      </c>
      <c r="DP181" s="165">
        <f>IFERROR(INDEX(DH$170:DH$218,_xlfn.AGGREGATE(15,6,(ROW(DH$170:DH$218)-ROW(DH$170)+1)/(DH$170:DH$218&lt;&gt;""),ROWS(DP$1:DP12))),"")</f>
        <v>159.0461699154443</v>
      </c>
      <c r="DQ181" s="166">
        <f t="shared" si="88"/>
        <v>181</v>
      </c>
      <c r="DV181" s="145">
        <v>2026</v>
      </c>
      <c r="DW181" s="235">
        <f t="shared" ca="1" si="72"/>
        <v>126.84187015431721</v>
      </c>
      <c r="DZ181" s="135" t="s">
        <v>92</v>
      </c>
      <c r="EA181" s="33">
        <f t="shared" si="105"/>
        <v>0</v>
      </c>
      <c r="EB181" s="33">
        <f t="shared" si="105"/>
        <v>0</v>
      </c>
      <c r="EC181" s="33" t="str">
        <f>IF($EA$168="Linear","N/A",IF($EA$168="2nd Poly","N/A",IF($EA$168="3rd Poly","N/A","Low")))</f>
        <v>N/A</v>
      </c>
    </row>
    <row r="182" spans="1:135" ht="13.8" x14ac:dyDescent="0.45">
      <c r="B182" s="128">
        <v>2024</v>
      </c>
      <c r="C182" s="263">
        <f>'Total MSW Summaries (Archive)'!E15</f>
        <v>101.69927426193844</v>
      </c>
      <c r="D182" s="267">
        <f>'Total MSW Summaries (Archive)'!Q15</f>
        <v>143.92231505858356</v>
      </c>
      <c r="E182" s="271">
        <f>'Total MSW Summaries (Archive)'!AC15</f>
        <v>162.47999999999993</v>
      </c>
      <c r="F182" s="271">
        <f>'Total MSW Summaries (Archive)'!AO15</f>
        <v>131.22623812618059</v>
      </c>
      <c r="G182" s="271">
        <f>'Total MSW Summaries (Archive)'!BA15</f>
        <v>77.231271745398956</v>
      </c>
      <c r="H182" s="245"/>
      <c r="I182" s="246"/>
      <c r="J182" s="247"/>
      <c r="K182" s="245"/>
      <c r="L182" s="246"/>
      <c r="M182" s="245"/>
      <c r="N182" s="29" t="s">
        <v>119</v>
      </c>
      <c r="O182" s="120"/>
      <c r="P182" s="120"/>
      <c r="Q182" s="120"/>
      <c r="R182" s="29">
        <v>10</v>
      </c>
      <c r="S182" s="238">
        <f t="shared" si="73"/>
        <v>77.231271745398956</v>
      </c>
      <c r="T182" s="238">
        <f t="shared" si="74"/>
        <v>162.47999999999993</v>
      </c>
      <c r="U182" s="238">
        <f t="shared" si="75"/>
        <v>30.371354616061218</v>
      </c>
      <c r="V182" s="20"/>
      <c r="W182" s="238">
        <f t="shared" si="76"/>
        <v>92.94046522235908</v>
      </c>
      <c r="X182" s="238">
        <f t="shared" si="77"/>
        <v>123.31181983842029</v>
      </c>
      <c r="Y182" s="238">
        <f t="shared" si="78"/>
        <v>153.6831744544815</v>
      </c>
      <c r="AA182" s="120"/>
      <c r="AB182" s="120"/>
      <c r="AC182" s="120"/>
      <c r="AD182" s="120"/>
      <c r="AE182" s="120"/>
      <c r="AF182" s="120"/>
      <c r="AG182" s="120"/>
      <c r="AH182" s="120"/>
      <c r="AI182" s="120"/>
      <c r="AJ182" s="120"/>
      <c r="AK182" s="120"/>
      <c r="AL182" s="120"/>
      <c r="AM182" s="120"/>
      <c r="AN182" s="120"/>
      <c r="BR182" s="180">
        <v>2022</v>
      </c>
      <c r="BS182" s="22">
        <v>8</v>
      </c>
      <c r="BT182" s="181">
        <f t="shared" si="89"/>
        <v>13.051200633964557</v>
      </c>
      <c r="BU182" s="182">
        <f t="shared" si="90"/>
        <v>106.45137405158448</v>
      </c>
      <c r="BV182" s="205">
        <f t="shared" si="91"/>
        <v>119.50257468554904</v>
      </c>
      <c r="BY182" s="180">
        <v>2022</v>
      </c>
      <c r="BZ182" s="22">
        <v>8</v>
      </c>
      <c r="CA182" s="198">
        <f t="shared" ca="1" si="92"/>
        <v>-0.73223622677420519</v>
      </c>
      <c r="CB182" s="198">
        <f t="shared" ca="1" si="93"/>
        <v>15.980145541061379</v>
      </c>
      <c r="CC182" s="186">
        <f t="shared" ca="1" si="104"/>
        <v>104.43772442795542</v>
      </c>
      <c r="CD182" s="205">
        <f t="shared" ca="1" si="94"/>
        <v>119.68563374224259</v>
      </c>
      <c r="CG182" s="180">
        <v>2022</v>
      </c>
      <c r="CH182" s="22">
        <v>8</v>
      </c>
      <c r="CI182" s="198">
        <f t="shared" ca="1" si="95"/>
        <v>8.1586403767599958E-2</v>
      </c>
      <c r="CJ182" s="198">
        <f t="shared" ca="1" si="96"/>
        <v>-1.2217546493798028</v>
      </c>
      <c r="CK182" s="198">
        <f t="shared" ca="1" si="97"/>
        <v>16.775867935307243</v>
      </c>
      <c r="CL182" s="186">
        <f t="shared" ca="1" si="98"/>
        <v>104.15166209974525</v>
      </c>
      <c r="CM182" s="205">
        <f t="shared" ca="1" si="99"/>
        <v>119.7873617894403</v>
      </c>
      <c r="CP182" s="180">
        <v>2022</v>
      </c>
      <c r="CQ182" s="22">
        <v>8</v>
      </c>
      <c r="CR182" s="198">
        <f t="shared" ca="1" si="100"/>
        <v>107.90475001670083</v>
      </c>
      <c r="CS182" s="186">
        <f t="shared" ca="1" si="101"/>
        <v>1.1049069541959202</v>
      </c>
      <c r="CT182" s="205">
        <f t="shared" ca="1" si="102"/>
        <v>119.22470868422509</v>
      </c>
      <c r="CZ182" s="164" t="b">
        <f t="shared" si="79"/>
        <v>1</v>
      </c>
      <c r="DA182" s="165" t="b">
        <f t="shared" si="79"/>
        <v>1</v>
      </c>
      <c r="DB182" s="166" t="b">
        <f t="shared" si="79"/>
        <v>1</v>
      </c>
      <c r="DC182" s="164">
        <f t="shared" si="80"/>
        <v>10</v>
      </c>
      <c r="DD182" s="166">
        <f t="shared" si="81"/>
        <v>92.94046522235908</v>
      </c>
      <c r="DE182" s="164">
        <f t="shared" si="82"/>
        <v>10</v>
      </c>
      <c r="DF182" s="166">
        <f t="shared" si="83"/>
        <v>123.31181983842029</v>
      </c>
      <c r="DG182" s="164">
        <f t="shared" si="84"/>
        <v>10</v>
      </c>
      <c r="DH182" s="166">
        <f t="shared" si="85"/>
        <v>153.6831744544815</v>
      </c>
      <c r="DI182" s="164">
        <f>IFERROR(INDEX(DC$170:DC$218,_xlfn.AGGREGATE(15,6,(ROW(DC$170:DC$218)-ROW(DC$170)+1)/(DC$170:DC$218&lt;&gt;""),ROWS(DI$1:DI13))),"")</f>
        <v>13</v>
      </c>
      <c r="DJ182" s="165">
        <f>IFERROR(INDEX(DD$170:DD$218,_xlfn.AGGREGATE(15,6,(ROW(DD$170:DD$218)-ROW(DD$170)+1)/(DD$170:DD$218&lt;&gt;""),ROWS(DJ$1:DJ13))),"")</f>
        <v>95.479231099779113</v>
      </c>
      <c r="DK182" s="166">
        <f t="shared" si="86"/>
        <v>182</v>
      </c>
      <c r="DL182" s="164">
        <f>IFERROR(INDEX(DE$170:DE$218,_xlfn.AGGREGATE(15,6,(ROW(DE$170:DE$218)-ROW(DE$170)+1)/(DE$170:DE$218&lt;&gt;""),ROWS(DL$1:DL13))),"")</f>
        <v>13</v>
      </c>
      <c r="DM182" s="165">
        <f>IFERROR(INDEX(DF$170:DF$218,_xlfn.AGGREGATE(15,6,(ROW(DF$170:DF$218)-ROW(DF$170)+1)/(DF$170:DF$218&lt;&gt;""),ROWS(DM$1:DM13))),"")</f>
        <v>128.57808299920003</v>
      </c>
      <c r="DN182" s="166">
        <f t="shared" si="87"/>
        <v>182</v>
      </c>
      <c r="DO182" s="164">
        <f>IFERROR(INDEX(DG$170:DG$218,_xlfn.AGGREGATE(15,6,(ROW(DG$170:DG$218)-ROW(DG$170)+1)/(DG$170:DG$218&lt;&gt;""),ROWS(DO$1:DO13))),"")</f>
        <v>13</v>
      </c>
      <c r="DP182" s="165">
        <f>IFERROR(INDEX(DH$170:DH$218,_xlfn.AGGREGATE(15,6,(ROW(DH$170:DH$218)-ROW(DH$170)+1)/(DH$170:DH$218&lt;&gt;""),ROWS(DP$1:DP13))),"")</f>
        <v>161.67693489862097</v>
      </c>
      <c r="DQ182" s="166">
        <f t="shared" si="88"/>
        <v>182</v>
      </c>
      <c r="DV182" s="145">
        <v>2027</v>
      </c>
      <c r="DW182" s="235">
        <f t="shared" ca="1" si="72"/>
        <v>128.5363401569553</v>
      </c>
    </row>
    <row r="183" spans="1:135" ht="13.8" x14ac:dyDescent="0.45">
      <c r="B183" s="128">
        <v>2025</v>
      </c>
      <c r="C183" s="263">
        <f>'Total MSW Summaries (Archive)'!E16</f>
        <v>102.10804936217879</v>
      </c>
      <c r="D183" s="267">
        <f>'Total MSW Summaries (Archive)'!Q16</f>
        <v>147.11620269945496</v>
      </c>
      <c r="E183" s="271">
        <f>'Total MSW Summaries (Archive)'!AC16</f>
        <v>165.13399999999993</v>
      </c>
      <c r="F183" s="271">
        <f>'Total MSW Summaries (Archive)'!AO16</f>
        <v>133.89572889365175</v>
      </c>
      <c r="G183" s="271">
        <f>'Total MSW Summaries (Archive)'!BA16</f>
        <v>78.073734669392024</v>
      </c>
      <c r="H183" s="245"/>
      <c r="I183" s="246"/>
      <c r="J183" s="247"/>
      <c r="K183" s="245"/>
      <c r="L183" s="246"/>
      <c r="M183" s="245"/>
      <c r="N183" s="29" t="s">
        <v>119</v>
      </c>
      <c r="O183" s="120"/>
      <c r="P183" s="120"/>
      <c r="Q183" s="120"/>
      <c r="R183" s="29">
        <v>11</v>
      </c>
      <c r="S183" s="238">
        <f t="shared" si="73"/>
        <v>78.073734669392024</v>
      </c>
      <c r="T183" s="238">
        <f t="shared" si="74"/>
        <v>165.13399999999993</v>
      </c>
      <c r="U183" s="238">
        <f t="shared" si="75"/>
        <v>31.320158321821378</v>
      </c>
      <c r="W183" s="238">
        <f t="shared" si="76"/>
        <v>93.945384803114109</v>
      </c>
      <c r="X183" s="238">
        <f t="shared" si="77"/>
        <v>125.26554312493549</v>
      </c>
      <c r="Y183" s="238">
        <f t="shared" si="78"/>
        <v>156.58570144675687</v>
      </c>
      <c r="AA183" s="120"/>
      <c r="AB183" s="120"/>
      <c r="AC183" s="120"/>
      <c r="AD183" s="120"/>
      <c r="AE183" s="120"/>
      <c r="AF183" s="120"/>
      <c r="AG183" s="120"/>
      <c r="AH183" s="120"/>
      <c r="AI183" s="120"/>
      <c r="AJ183" s="120"/>
      <c r="AK183" s="120"/>
      <c r="AL183" s="120"/>
      <c r="AM183" s="120"/>
      <c r="AN183" s="120"/>
      <c r="BR183" s="180">
        <v>2023</v>
      </c>
      <c r="BS183" s="22">
        <v>9</v>
      </c>
      <c r="BT183" s="181">
        <f t="shared" si="89"/>
        <v>14.682600713210126</v>
      </c>
      <c r="BU183" s="182">
        <f t="shared" si="90"/>
        <v>106.45137405158448</v>
      </c>
      <c r="BV183" s="205">
        <f t="shared" si="91"/>
        <v>121.1339747647946</v>
      </c>
      <c r="BY183" s="180">
        <v>2023</v>
      </c>
      <c r="BZ183" s="22">
        <v>9</v>
      </c>
      <c r="CA183" s="198">
        <f t="shared" ca="1" si="92"/>
        <v>-0.92673647451110341</v>
      </c>
      <c r="CB183" s="198">
        <f t="shared" ca="1" si="93"/>
        <v>17.977663733694051</v>
      </c>
      <c r="CC183" s="186">
        <f t="shared" ca="1" si="104"/>
        <v>104.43772442795542</v>
      </c>
      <c r="CD183" s="205">
        <f t="shared" ca="1" si="94"/>
        <v>121.48865168713837</v>
      </c>
      <c r="CG183" s="180">
        <v>2023</v>
      </c>
      <c r="CH183" s="22">
        <v>9</v>
      </c>
      <c r="CI183" s="198">
        <f t="shared" ca="1" si="95"/>
        <v>0.11616501630191478</v>
      </c>
      <c r="CJ183" s="198">
        <f t="shared" ca="1" si="96"/>
        <v>-1.546283228121313</v>
      </c>
      <c r="CK183" s="198">
        <f t="shared" ca="1" si="97"/>
        <v>18.872851427220649</v>
      </c>
      <c r="CL183" s="186">
        <f t="shared" ca="1" si="98"/>
        <v>104.15166209974525</v>
      </c>
      <c r="CM183" s="205">
        <f t="shared" ca="1" si="99"/>
        <v>121.5943953151465</v>
      </c>
      <c r="CP183" s="180">
        <v>2023</v>
      </c>
      <c r="CQ183" s="22">
        <v>9</v>
      </c>
      <c r="CR183" s="198">
        <f t="shared" ca="1" si="100"/>
        <v>107.90475001670083</v>
      </c>
      <c r="CS183" s="186">
        <f t="shared" ca="1" si="101"/>
        <v>1.1187715667481237</v>
      </c>
      <c r="CT183" s="205">
        <f t="shared" ca="1" si="102"/>
        <v>120.72076623574902</v>
      </c>
      <c r="CZ183" s="164" t="b">
        <f t="shared" si="79"/>
        <v>1</v>
      </c>
      <c r="DA183" s="165" t="b">
        <f t="shared" si="79"/>
        <v>1</v>
      </c>
      <c r="DB183" s="166" t="b">
        <f t="shared" si="79"/>
        <v>1</v>
      </c>
      <c r="DC183" s="164">
        <f t="shared" si="80"/>
        <v>11</v>
      </c>
      <c r="DD183" s="166">
        <f t="shared" si="81"/>
        <v>93.945384803114109</v>
      </c>
      <c r="DE183" s="164">
        <f t="shared" si="82"/>
        <v>11</v>
      </c>
      <c r="DF183" s="166">
        <f t="shared" si="83"/>
        <v>125.26554312493549</v>
      </c>
      <c r="DG183" s="164">
        <f t="shared" si="84"/>
        <v>11</v>
      </c>
      <c r="DH183" s="166">
        <f t="shared" si="85"/>
        <v>156.58570144675687</v>
      </c>
      <c r="DI183" s="164">
        <f>IFERROR(INDEX(DC$170:DC$218,_xlfn.AGGREGATE(15,6,(ROW(DC$170:DC$218)-ROW(DC$170)+1)/(DC$170:DC$218&lt;&gt;""),ROWS(DI$1:DI14))),"")</f>
        <v>14</v>
      </c>
      <c r="DJ183" s="165">
        <f>IFERROR(INDEX(DD$170:DD$218,_xlfn.AGGREGATE(15,6,(ROW(DD$170:DD$218)-ROW(DD$170)+1)/(DD$170:DD$218&lt;&gt;""),ROWS(DJ$1:DJ14))),"")</f>
        <v>96.247291857863218</v>
      </c>
      <c r="DK183" s="166">
        <f t="shared" si="86"/>
        <v>183</v>
      </c>
      <c r="DL183" s="164">
        <f>IFERROR(INDEX(DE$170:DE$218,_xlfn.AGGREGATE(15,6,(ROW(DE$170:DE$218)-ROW(DE$170)+1)/(DE$170:DE$218&lt;&gt;""),ROWS(DL$1:DL14))),"")</f>
        <v>14</v>
      </c>
      <c r="DM183" s="165">
        <f>IFERROR(INDEX(DF$170:DF$218,_xlfn.AGGREGATE(15,6,(ROW(DF$170:DF$218)-ROW(DF$170)+1)/(DF$170:DF$218&lt;&gt;""),ROWS(DM$1:DM14))),"")</f>
        <v>130.26193464864917</v>
      </c>
      <c r="DN183" s="166">
        <f t="shared" si="87"/>
        <v>183</v>
      </c>
      <c r="DO183" s="164">
        <f>IFERROR(INDEX(DG$170:DG$218,_xlfn.AGGREGATE(15,6,(ROW(DG$170:DG$218)-ROW(DG$170)+1)/(DG$170:DG$218&lt;&gt;""),ROWS(DO$1:DO14))),"")</f>
        <v>14</v>
      </c>
      <c r="DP183" s="165">
        <f>IFERROR(INDEX(DH$170:DH$218,_xlfn.AGGREGATE(15,6,(ROW(DH$170:DH$218)-ROW(DH$170)+1)/(DH$170:DH$218&lt;&gt;""),ROWS(DP$1:DP14))),"")</f>
        <v>164.27657743943513</v>
      </c>
      <c r="DQ183" s="166">
        <f t="shared" si="88"/>
        <v>183</v>
      </c>
      <c r="DV183" s="145">
        <v>2028</v>
      </c>
      <c r="DW183" s="235">
        <f t="shared" ca="1" si="72"/>
        <v>130.20505950549926</v>
      </c>
    </row>
    <row r="184" spans="1:135" ht="13.8" x14ac:dyDescent="0.45">
      <c r="B184" s="128">
        <v>2026</v>
      </c>
      <c r="C184" s="263">
        <f>'Total MSW Summaries (Archive)'!E17</f>
        <v>102.49055529508102</v>
      </c>
      <c r="D184" s="267">
        <f>'Total MSW Summaries (Archive)'!Q17</f>
        <v>150.29250990069031</v>
      </c>
      <c r="E184" s="271">
        <f>'Total MSW Summaries (Archive)'!AC17</f>
        <v>167.78799999999993</v>
      </c>
      <c r="F184" s="271">
        <f>'Total MSW Summaries (Archive)'!AO17</f>
        <v>134.81074299762668</v>
      </c>
      <c r="G184" s="271">
        <f>'Total MSW Summaries (Archive)'!BA17</f>
        <v>78.916197593385093</v>
      </c>
      <c r="H184" s="245"/>
      <c r="I184" s="246"/>
      <c r="J184" s="247"/>
      <c r="K184" s="245"/>
      <c r="L184" s="246"/>
      <c r="M184" s="245"/>
      <c r="N184" s="29" t="s">
        <v>119</v>
      </c>
      <c r="O184" s="120"/>
      <c r="P184" s="120"/>
      <c r="Q184" s="120"/>
      <c r="R184" s="29">
        <v>12</v>
      </c>
      <c r="S184" s="238">
        <f t="shared" si="73"/>
        <v>78.916197593385093</v>
      </c>
      <c r="T184" s="238">
        <f t="shared" si="74"/>
        <v>167.78799999999993</v>
      </c>
      <c r="U184" s="238">
        <f t="shared" si="75"/>
        <v>32.186568758087702</v>
      </c>
      <c r="W184" s="238">
        <f t="shared" si="76"/>
        <v>94.673032399268891</v>
      </c>
      <c r="X184" s="238">
        <f t="shared" si="77"/>
        <v>126.85960115735659</v>
      </c>
      <c r="Y184" s="238">
        <f t="shared" si="78"/>
        <v>159.0461699154443</v>
      </c>
      <c r="AA184" s="120"/>
      <c r="AB184" s="120"/>
      <c r="AC184" s="120"/>
      <c r="AD184" s="120"/>
      <c r="AE184" s="120"/>
      <c r="AF184" s="120"/>
      <c r="AG184" s="120"/>
      <c r="AH184" s="120"/>
      <c r="AI184" s="120"/>
      <c r="AJ184" s="120"/>
      <c r="AK184" s="120"/>
      <c r="AL184" s="120"/>
      <c r="AM184" s="120"/>
      <c r="AN184" s="120"/>
      <c r="BR184" s="180">
        <v>2024</v>
      </c>
      <c r="BS184" s="22">
        <v>10</v>
      </c>
      <c r="BT184" s="181">
        <f t="shared" si="89"/>
        <v>16.314000792455698</v>
      </c>
      <c r="BU184" s="182">
        <f t="shared" si="90"/>
        <v>106.45137405158448</v>
      </c>
      <c r="BV184" s="205">
        <f t="shared" si="91"/>
        <v>122.76537484404018</v>
      </c>
      <c r="BY184" s="180">
        <v>2024</v>
      </c>
      <c r="BZ184" s="22">
        <v>10</v>
      </c>
      <c r="CA184" s="198">
        <f t="shared" ca="1" si="92"/>
        <v>-1.1441191043346957</v>
      </c>
      <c r="CB184" s="198">
        <f t="shared" ca="1" si="93"/>
        <v>19.975181926326723</v>
      </c>
      <c r="CC184" s="186">
        <f t="shared" ca="1" si="104"/>
        <v>104.43772442795542</v>
      </c>
      <c r="CD184" s="205">
        <f t="shared" ca="1" si="94"/>
        <v>123.26878724994745</v>
      </c>
      <c r="CG184" s="180">
        <v>2024</v>
      </c>
      <c r="CH184" s="22">
        <v>10</v>
      </c>
      <c r="CI184" s="198">
        <f t="shared" ca="1" si="95"/>
        <v>0.15934844485859367</v>
      </c>
      <c r="CJ184" s="198">
        <f t="shared" ca="1" si="96"/>
        <v>-1.9089916396559419</v>
      </c>
      <c r="CK184" s="198">
        <f t="shared" ca="1" si="97"/>
        <v>20.969834919134055</v>
      </c>
      <c r="CL184" s="186">
        <f t="shared" ca="1" si="98"/>
        <v>104.15166209974525</v>
      </c>
      <c r="CM184" s="205">
        <f t="shared" ca="1" si="99"/>
        <v>123.37185382408197</v>
      </c>
      <c r="CP184" s="180">
        <v>2024</v>
      </c>
      <c r="CQ184" s="22">
        <v>10</v>
      </c>
      <c r="CR184" s="198">
        <f t="shared" ca="1" si="100"/>
        <v>107.90475001670083</v>
      </c>
      <c r="CS184" s="186">
        <f t="shared" ca="1" si="101"/>
        <v>1.1328101554713457</v>
      </c>
      <c r="CT184" s="205">
        <f t="shared" ca="1" si="102"/>
        <v>122.23559664251556</v>
      </c>
      <c r="CZ184" s="164" t="b">
        <f t="shared" si="79"/>
        <v>1</v>
      </c>
      <c r="DA184" s="165" t="b">
        <f t="shared" si="79"/>
        <v>1</v>
      </c>
      <c r="DB184" s="166" t="b">
        <f t="shared" si="79"/>
        <v>1</v>
      </c>
      <c r="DC184" s="164">
        <f t="shared" si="80"/>
        <v>12</v>
      </c>
      <c r="DD184" s="166">
        <f t="shared" si="81"/>
        <v>94.673032399268891</v>
      </c>
      <c r="DE184" s="164">
        <f t="shared" si="82"/>
        <v>12</v>
      </c>
      <c r="DF184" s="166">
        <f t="shared" si="83"/>
        <v>126.85960115735659</v>
      </c>
      <c r="DG184" s="164">
        <f t="shared" si="84"/>
        <v>12</v>
      </c>
      <c r="DH184" s="166">
        <f t="shared" si="85"/>
        <v>159.0461699154443</v>
      </c>
      <c r="DI184" s="164">
        <f>IFERROR(INDEX(DC$170:DC$218,_xlfn.AGGREGATE(15,6,(ROW(DC$170:DC$218)-ROW(DC$170)+1)/(DC$170:DC$218&lt;&gt;""),ROWS(DI$1:DI15))),"")</f>
        <v>15</v>
      </c>
      <c r="DJ184" s="165">
        <f>IFERROR(INDEX(DD$170:DD$218,_xlfn.AGGREGATE(15,6,(ROW(DD$170:DD$218)-ROW(DD$170)+1)/(DD$170:DD$218&lt;&gt;""),ROWS(DJ$1:DJ15))),"")</f>
        <v>96.979104994883244</v>
      </c>
      <c r="DK184" s="166">
        <f t="shared" si="86"/>
        <v>184</v>
      </c>
      <c r="DL184" s="164">
        <f>IFERROR(INDEX(DE$170:DE$218,_xlfn.AGGREGATE(15,6,(ROW(DE$170:DE$218)-ROW(DE$170)+1)/(DE$170:DE$218&lt;&gt;""),ROWS(DL$1:DL15))),"")</f>
        <v>15</v>
      </c>
      <c r="DM184" s="165">
        <f>IFERROR(INDEX(DF$170:DF$218,_xlfn.AGGREGATE(15,6,(ROW(DF$170:DF$218)-ROW(DF$170)+1)/(DF$170:DF$218&lt;&gt;""),ROWS(DM$1:DM15))),"")</f>
        <v>131.91365903752504</v>
      </c>
      <c r="DN184" s="166">
        <f t="shared" si="87"/>
        <v>184</v>
      </c>
      <c r="DO184" s="164">
        <f>IFERROR(INDEX(DG$170:DG$218,_xlfn.AGGREGATE(15,6,(ROW(DG$170:DG$218)-ROW(DG$170)+1)/(DG$170:DG$218&lt;&gt;""),ROWS(DO$1:DO15))),"")</f>
        <v>15</v>
      </c>
      <c r="DP184" s="165">
        <f>IFERROR(INDEX(DH$170:DH$218,_xlfn.AGGREGATE(15,6,(ROW(DH$170:DH$218)-ROW(DH$170)+1)/(DH$170:DH$218&lt;&gt;""),ROWS(DP$1:DP15))),"")</f>
        <v>166.84821308016683</v>
      </c>
      <c r="DQ184" s="166">
        <f t="shared" si="88"/>
        <v>184</v>
      </c>
      <c r="DV184" s="145">
        <v>2029</v>
      </c>
      <c r="DW184" s="235">
        <f t="shared" ca="1" si="72"/>
        <v>131.8489842906182</v>
      </c>
      <c r="EA184" s="55"/>
      <c r="EB184" s="55"/>
      <c r="EC184" s="55"/>
      <c r="ED184" s="55"/>
      <c r="EE184" s="55"/>
    </row>
    <row r="185" spans="1:135" ht="13.8" x14ac:dyDescent="0.45">
      <c r="B185" s="128">
        <v>2027</v>
      </c>
      <c r="C185" s="263">
        <f>'Total MSW Summaries (Archive)'!E18</f>
        <v>102.84746076791807</v>
      </c>
      <c r="D185" s="267">
        <f>'Total MSW Summaries (Archive)'!Q18</f>
        <v>153.45021580715073</v>
      </c>
      <c r="E185" s="271">
        <f>'Total MSW Summaries (Archive)'!AC18</f>
        <v>170.44199999999992</v>
      </c>
      <c r="F185" s="271">
        <f>'Total MSW Summaries (Archive)'!AO18</f>
        <v>136.3920779035532</v>
      </c>
      <c r="G185" s="271">
        <f>'Total MSW Summaries (Archive)'!BA18</f>
        <v>79.758660517378161</v>
      </c>
      <c r="H185" s="245"/>
      <c r="I185" s="246"/>
      <c r="J185" s="247"/>
      <c r="K185" s="245"/>
      <c r="L185" s="246"/>
      <c r="M185" s="245"/>
      <c r="N185" s="29" t="s">
        <v>119</v>
      </c>
      <c r="O185" s="120"/>
      <c r="P185" s="120"/>
      <c r="Q185" s="120"/>
      <c r="R185" s="29">
        <v>13</v>
      </c>
      <c r="S185" s="238">
        <f t="shared" si="73"/>
        <v>79.758660517378161</v>
      </c>
      <c r="T185" s="238">
        <f t="shared" si="74"/>
        <v>170.44199999999992</v>
      </c>
      <c r="U185" s="238">
        <f t="shared" si="75"/>
        <v>33.098851899420922</v>
      </c>
      <c r="W185" s="238">
        <f t="shared" si="76"/>
        <v>95.479231099779113</v>
      </c>
      <c r="X185" s="238">
        <f t="shared" si="77"/>
        <v>128.57808299920003</v>
      </c>
      <c r="Y185" s="238">
        <f t="shared" si="78"/>
        <v>161.67693489862097</v>
      </c>
      <c r="AA185" s="89"/>
      <c r="AB185" s="89"/>
      <c r="AC185" s="89"/>
      <c r="AD185" s="89"/>
      <c r="AE185" s="89"/>
      <c r="AF185" s="89"/>
      <c r="AG185" s="89"/>
      <c r="AH185" s="89"/>
      <c r="AI185" s="89"/>
      <c r="AJ185" s="89"/>
      <c r="AK185" s="89"/>
      <c r="AL185" s="89"/>
      <c r="AM185" s="89"/>
      <c r="AN185" s="89"/>
      <c r="BR185" s="180">
        <v>2025</v>
      </c>
      <c r="BS185" s="22">
        <v>11</v>
      </c>
      <c r="BT185" s="181">
        <f t="shared" si="89"/>
        <v>17.945400871701267</v>
      </c>
      <c r="BU185" s="182">
        <f t="shared" si="90"/>
        <v>106.45137405158448</v>
      </c>
      <c r="BV185" s="205">
        <f t="shared" si="91"/>
        <v>124.39677492328575</v>
      </c>
      <c r="BY185" s="180">
        <v>2025</v>
      </c>
      <c r="BZ185" s="22">
        <v>11</v>
      </c>
      <c r="CA185" s="198">
        <f t="shared" ca="1" si="92"/>
        <v>-1.3843841162449817</v>
      </c>
      <c r="CB185" s="198">
        <f t="shared" ca="1" si="93"/>
        <v>21.972700118959395</v>
      </c>
      <c r="CC185" s="186">
        <f t="shared" ca="1" si="104"/>
        <v>104.43772442795542</v>
      </c>
      <c r="CD185" s="205">
        <f t="shared" ca="1" si="94"/>
        <v>125.02604043066984</v>
      </c>
      <c r="CG185" s="180">
        <v>2025</v>
      </c>
      <c r="CH185" s="22">
        <v>11</v>
      </c>
      <c r="CI185" s="198">
        <f t="shared" ca="1" si="95"/>
        <v>0.21209278010678817</v>
      </c>
      <c r="CJ185" s="198">
        <f t="shared" ca="1" si="96"/>
        <v>-2.3098798839836898</v>
      </c>
      <c r="CK185" s="198">
        <f t="shared" ca="1" si="97"/>
        <v>23.066818411047461</v>
      </c>
      <c r="CL185" s="186">
        <f t="shared" ca="1" si="98"/>
        <v>104.15166209974525</v>
      </c>
      <c r="CM185" s="205">
        <f t="shared" ca="1" si="99"/>
        <v>125.12069340691582</v>
      </c>
      <c r="CP185" s="180">
        <v>2025</v>
      </c>
      <c r="CQ185" s="22">
        <v>11</v>
      </c>
      <c r="CR185" s="198">
        <f t="shared" ca="1" si="100"/>
        <v>107.90475001670083</v>
      </c>
      <c r="CS185" s="186">
        <f t="shared" ca="1" si="101"/>
        <v>1.1470249034563842</v>
      </c>
      <c r="CT185" s="205">
        <f t="shared" ca="1" si="102"/>
        <v>123.76943547039154</v>
      </c>
      <c r="CZ185" s="164" t="b">
        <f t="shared" si="79"/>
        <v>1</v>
      </c>
      <c r="DA185" s="165" t="b">
        <f t="shared" si="79"/>
        <v>1</v>
      </c>
      <c r="DB185" s="166" t="b">
        <f t="shared" si="79"/>
        <v>1</v>
      </c>
      <c r="DC185" s="164">
        <f t="shared" si="80"/>
        <v>13</v>
      </c>
      <c r="DD185" s="166">
        <f t="shared" si="81"/>
        <v>95.479231099779113</v>
      </c>
      <c r="DE185" s="164">
        <f t="shared" si="82"/>
        <v>13</v>
      </c>
      <c r="DF185" s="166">
        <f t="shared" si="83"/>
        <v>128.57808299920003</v>
      </c>
      <c r="DG185" s="164">
        <f t="shared" si="84"/>
        <v>13</v>
      </c>
      <c r="DH185" s="166">
        <f t="shared" si="85"/>
        <v>161.67693489862097</v>
      </c>
      <c r="DI185" s="164">
        <f>IFERROR(INDEX(DC$170:DC$218,_xlfn.AGGREGATE(15,6,(ROW(DC$170:DC$218)-ROW(DC$170)+1)/(DC$170:DC$218&lt;&gt;""),ROWS(DI$1:DI16))),"")</f>
        <v>16</v>
      </c>
      <c r="DJ185" s="165">
        <f>IFERROR(INDEX(DD$170:DD$218,_xlfn.AGGREGATE(15,6,(ROW(DD$170:DD$218)-ROW(DD$170)+1)/(DD$170:DD$218&lt;&gt;""),ROWS(DJ$1:DJ16))),"")</f>
        <v>97.741855151135567</v>
      </c>
      <c r="DK185" s="166">
        <f t="shared" si="86"/>
        <v>185</v>
      </c>
      <c r="DL185" s="164">
        <f>IFERROR(INDEX(DE$170:DE$218,_xlfn.AGGREGATE(15,6,(ROW(DE$170:DE$218)-ROW(DE$170)+1)/(DE$170:DE$218&lt;&gt;""),ROWS(DL$1:DL16))),"")</f>
        <v>16</v>
      </c>
      <c r="DM185" s="165">
        <f>IFERROR(INDEX(DF$170:DF$218,_xlfn.AGGREGATE(15,6,(ROW(DF$170:DF$218)-ROW(DF$170)+1)/(DF$170:DF$218&lt;&gt;""),ROWS(DM$1:DM16))),"")</f>
        <v>133.61700900437859</v>
      </c>
      <c r="DN185" s="166">
        <f t="shared" si="87"/>
        <v>185</v>
      </c>
      <c r="DO185" s="164">
        <f>IFERROR(INDEX(DG$170:DG$218,_xlfn.AGGREGATE(15,6,(ROW(DG$170:DG$218)-ROW(DG$170)+1)/(DG$170:DG$218&lt;&gt;""),ROWS(DO$1:DO16))),"")</f>
        <v>16</v>
      </c>
      <c r="DP185" s="165">
        <f>IFERROR(INDEX(DH$170:DH$218,_xlfn.AGGREGATE(15,6,(ROW(DH$170:DH$218)-ROW(DH$170)+1)/(DH$170:DH$218&lt;&gt;""),ROWS(DP$1:DP16))),"")</f>
        <v>169.49216285762162</v>
      </c>
      <c r="DQ185" s="166">
        <f t="shared" si="88"/>
        <v>185</v>
      </c>
      <c r="DV185" s="145">
        <v>2030</v>
      </c>
      <c r="DW185" s="235">
        <f t="shared" ca="1" si="72"/>
        <v>133.46907060298133</v>
      </c>
    </row>
    <row r="186" spans="1:135" ht="13.8" x14ac:dyDescent="0.45">
      <c r="A186" s="208" t="str">
        <f>$A$62</f>
        <v>Base Cases</v>
      </c>
      <c r="B186" s="128">
        <v>2028</v>
      </c>
      <c r="C186" s="263">
        <f>'Total MSW Summaries (Archive)'!E19</f>
        <v>103.18069485317118</v>
      </c>
      <c r="D186" s="267">
        <f>'Total MSW Summaries (Archive)'!Q19</f>
        <v>156.59028084690476</v>
      </c>
      <c r="E186" s="271">
        <f>'Total MSW Summaries (Archive)'!AC19</f>
        <v>173.09599999999992</v>
      </c>
      <c r="F186" s="271">
        <f>'Total MSW Summaries (Archive)'!AO19</f>
        <v>137.84157410179878</v>
      </c>
      <c r="G186" s="271">
        <f>'Total MSW Summaries (Archive)'!BA19</f>
        <v>80.601123441371229</v>
      </c>
      <c r="H186" s="245"/>
      <c r="I186" s="246"/>
      <c r="J186" s="247"/>
      <c r="K186" s="245"/>
      <c r="L186" s="246"/>
      <c r="M186" s="245"/>
      <c r="N186" s="29" t="s">
        <v>119</v>
      </c>
      <c r="O186" s="120"/>
      <c r="P186" s="120"/>
      <c r="Q186" s="120"/>
      <c r="R186" s="29">
        <v>14</v>
      </c>
      <c r="S186" s="238">
        <f t="shared" si="73"/>
        <v>80.601123441371229</v>
      </c>
      <c r="T186" s="238">
        <f t="shared" si="74"/>
        <v>173.09599999999992</v>
      </c>
      <c r="U186" s="238">
        <f t="shared" si="75"/>
        <v>34.014642790785956</v>
      </c>
      <c r="W186" s="238">
        <f t="shared" si="76"/>
        <v>96.247291857863218</v>
      </c>
      <c r="X186" s="238">
        <f t="shared" si="77"/>
        <v>130.26193464864917</v>
      </c>
      <c r="Y186" s="238">
        <f t="shared" si="78"/>
        <v>164.27657743943513</v>
      </c>
      <c r="AA186" s="114"/>
      <c r="AB186" s="114"/>
      <c r="AC186" s="114"/>
      <c r="AD186" s="114"/>
      <c r="AE186" s="114"/>
      <c r="AF186" s="114"/>
      <c r="AG186" s="114"/>
      <c r="AH186" s="114"/>
      <c r="AI186" s="114"/>
      <c r="AJ186" s="114"/>
      <c r="AK186" s="114"/>
      <c r="AL186" s="114"/>
      <c r="AM186" s="114"/>
      <c r="AN186" s="114"/>
      <c r="BR186" s="180">
        <v>2026</v>
      </c>
      <c r="BS186" s="22">
        <v>12</v>
      </c>
      <c r="BT186" s="181">
        <f t="shared" si="89"/>
        <v>19.576800950946836</v>
      </c>
      <c r="BU186" s="182">
        <f t="shared" si="90"/>
        <v>106.45137405158448</v>
      </c>
      <c r="BV186" s="205">
        <f t="shared" si="91"/>
        <v>126.02817500253131</v>
      </c>
      <c r="BY186" s="180">
        <v>2026</v>
      </c>
      <c r="BZ186" s="22">
        <v>12</v>
      </c>
      <c r="CA186" s="198">
        <f t="shared" ca="1" si="92"/>
        <v>-1.6475315102419616</v>
      </c>
      <c r="CB186" s="198">
        <f t="shared" ca="1" si="93"/>
        <v>23.97021831159207</v>
      </c>
      <c r="CC186" s="186">
        <f t="shared" ca="1" si="104"/>
        <v>104.43772442795542</v>
      </c>
      <c r="CD186" s="205">
        <f t="shared" ca="1" si="94"/>
        <v>126.76041122930553</v>
      </c>
      <c r="CG186" s="180">
        <v>2026</v>
      </c>
      <c r="CH186" s="22">
        <v>12</v>
      </c>
      <c r="CI186" s="198">
        <f t="shared" ca="1" si="95"/>
        <v>0.27535411271564986</v>
      </c>
      <c r="CJ186" s="198">
        <f t="shared" ca="1" si="96"/>
        <v>-2.7489479611045562</v>
      </c>
      <c r="CK186" s="198">
        <f t="shared" ca="1" si="97"/>
        <v>25.163801902960863</v>
      </c>
      <c r="CL186" s="186">
        <f t="shared" ca="1" si="98"/>
        <v>104.15166209974525</v>
      </c>
      <c r="CM186" s="205">
        <f t="shared" ca="1" si="99"/>
        <v>126.84187015431721</v>
      </c>
      <c r="CP186" s="180">
        <v>2026</v>
      </c>
      <c r="CQ186" s="22">
        <v>12</v>
      </c>
      <c r="CR186" s="198">
        <f t="shared" ca="1" si="100"/>
        <v>107.90475001670083</v>
      </c>
      <c r="CS186" s="186">
        <f t="shared" ca="1" si="101"/>
        <v>1.1614180211879352</v>
      </c>
      <c r="CT186" s="205">
        <f t="shared" ca="1" si="102"/>
        <v>125.32252124117551</v>
      </c>
      <c r="CZ186" s="164" t="b">
        <f t="shared" si="79"/>
        <v>1</v>
      </c>
      <c r="DA186" s="165" t="b">
        <f t="shared" si="79"/>
        <v>1</v>
      </c>
      <c r="DB186" s="166" t="b">
        <f t="shared" si="79"/>
        <v>1</v>
      </c>
      <c r="DC186" s="164">
        <f t="shared" si="80"/>
        <v>14</v>
      </c>
      <c r="DD186" s="166">
        <f t="shared" si="81"/>
        <v>96.247291857863218</v>
      </c>
      <c r="DE186" s="164">
        <f t="shared" si="82"/>
        <v>14</v>
      </c>
      <c r="DF186" s="166">
        <f t="shared" si="83"/>
        <v>130.26193464864917</v>
      </c>
      <c r="DG186" s="164">
        <f t="shared" si="84"/>
        <v>14</v>
      </c>
      <c r="DH186" s="166">
        <f t="shared" si="85"/>
        <v>164.27657743943513</v>
      </c>
      <c r="DI186" s="164">
        <f>IFERROR(INDEX(DC$170:DC$218,_xlfn.AGGREGATE(15,6,(ROW(DC$170:DC$218)-ROW(DC$170)+1)/(DC$170:DC$218&lt;&gt;""),ROWS(DI$1:DI17))),"")</f>
        <v>17</v>
      </c>
      <c r="DJ186" s="165">
        <f>IFERROR(INDEX(DD$170:DD$218,_xlfn.AGGREGATE(15,6,(ROW(DD$170:DD$218)-ROW(DD$170)+1)/(DD$170:DD$218&lt;&gt;""),ROWS(DJ$1:DJ17))),"")</f>
        <v>98.340728546211466</v>
      </c>
      <c r="DK186" s="166">
        <f t="shared" si="86"/>
        <v>186</v>
      </c>
      <c r="DL186" s="164">
        <f>IFERROR(INDEX(DE$170:DE$218,_xlfn.AGGREGATE(15,6,(ROW(DE$170:DE$218)-ROW(DE$170)+1)/(DE$170:DE$218&lt;&gt;""),ROWS(DL$1:DL17))),"")</f>
        <v>17</v>
      </c>
      <c r="DM186" s="165">
        <f>IFERROR(INDEX(DF$170:DF$218,_xlfn.AGGREGATE(15,6,(ROW(DF$170:DF$218)-ROW(DF$170)+1)/(DF$170:DF$218&lt;&gt;""),ROWS(DM$1:DM17))),"")</f>
        <v>135.13022885139372</v>
      </c>
      <c r="DN186" s="166">
        <f t="shared" si="87"/>
        <v>186</v>
      </c>
      <c r="DO186" s="164">
        <f>IFERROR(INDEX(DG$170:DG$218,_xlfn.AGGREGATE(15,6,(ROW(DG$170:DG$218)-ROW(DG$170)+1)/(DG$170:DG$218&lt;&gt;""),ROWS(DO$1:DO17))),"")</f>
        <v>17</v>
      </c>
      <c r="DP186" s="165">
        <f>IFERROR(INDEX(DH$170:DH$218,_xlfn.AGGREGATE(15,6,(ROW(DH$170:DH$218)-ROW(DH$170)+1)/(DH$170:DH$218&lt;&gt;""),ROWS(DP$1:DP17))),"")</f>
        <v>171.91972915657598</v>
      </c>
      <c r="DQ186" s="166">
        <f t="shared" si="88"/>
        <v>186</v>
      </c>
      <c r="DV186" s="145">
        <v>2031</v>
      </c>
      <c r="DW186" s="235">
        <f t="shared" ca="1" si="72"/>
        <v>135.06627453325774</v>
      </c>
    </row>
    <row r="187" spans="1:135" ht="13.8" x14ac:dyDescent="0.45">
      <c r="A187" s="209" t="str">
        <f>$A$63</f>
        <v>Conservative Cases</v>
      </c>
      <c r="B187" s="128">
        <v>2029</v>
      </c>
      <c r="C187" s="263">
        <f>'Total MSW Summaries (Archive)'!E20</f>
        <v>103.49271080034625</v>
      </c>
      <c r="D187" s="267">
        <f>'Total MSW Summaries (Archive)'!Q20</f>
        <v>159.71467202723605</v>
      </c>
      <c r="E187" s="271">
        <f>'Total MSW Summaries (Archive)'!AC20</f>
        <v>175.74999999999991</v>
      </c>
      <c r="F187" s="271">
        <f>'Total MSW Summaries (Archive)'!AO20</f>
        <v>139.16732599467858</v>
      </c>
      <c r="G187" s="271">
        <f>'Total MSW Summaries (Archive)'!BA20</f>
        <v>81.443586365364297</v>
      </c>
      <c r="H187" s="245"/>
      <c r="I187" s="246"/>
      <c r="J187" s="247"/>
      <c r="K187" s="245"/>
      <c r="L187" s="246"/>
      <c r="M187" s="245"/>
      <c r="N187" s="29" t="s">
        <v>119</v>
      </c>
      <c r="O187" s="120"/>
      <c r="P187" s="120"/>
      <c r="Q187" s="120"/>
      <c r="R187" s="29">
        <v>15</v>
      </c>
      <c r="S187" s="238">
        <f t="shared" si="73"/>
        <v>81.443586365364297</v>
      </c>
      <c r="T187" s="238">
        <f t="shared" si="74"/>
        <v>175.74999999999991</v>
      </c>
      <c r="U187" s="238">
        <f t="shared" si="75"/>
        <v>34.934554042641786</v>
      </c>
      <c r="W187" s="238">
        <f t="shared" si="76"/>
        <v>96.979104994883244</v>
      </c>
      <c r="X187" s="238">
        <f t="shared" si="77"/>
        <v>131.91365903752504</v>
      </c>
      <c r="Y187" s="238">
        <f t="shared" si="78"/>
        <v>166.84821308016683</v>
      </c>
      <c r="AA187" s="89"/>
      <c r="AB187" s="89"/>
      <c r="AC187" s="89"/>
      <c r="AD187" s="89"/>
      <c r="AE187" s="89"/>
      <c r="AF187" s="89"/>
      <c r="AG187" s="89"/>
      <c r="AH187" s="89"/>
      <c r="AI187" s="89"/>
      <c r="AJ187" s="89"/>
      <c r="AK187" s="89"/>
      <c r="AL187" s="89"/>
      <c r="AM187" s="89"/>
      <c r="AN187" s="89"/>
      <c r="BR187" s="180">
        <v>2027</v>
      </c>
      <c r="BS187" s="22">
        <v>13</v>
      </c>
      <c r="BT187" s="181">
        <f t="shared" si="89"/>
        <v>21.208201030192406</v>
      </c>
      <c r="BU187" s="182">
        <f t="shared" si="90"/>
        <v>106.45137405158448</v>
      </c>
      <c r="BV187" s="205">
        <f t="shared" si="91"/>
        <v>127.65957508177689</v>
      </c>
      <c r="BY187" s="180">
        <v>2027</v>
      </c>
      <c r="BZ187" s="22">
        <v>13</v>
      </c>
      <c r="CA187" s="198">
        <f t="shared" ca="1" si="92"/>
        <v>-1.9335612863256355</v>
      </c>
      <c r="CB187" s="198">
        <f t="shared" ca="1" si="93"/>
        <v>25.967736504224742</v>
      </c>
      <c r="CC187" s="186">
        <f t="shared" ca="1" si="104"/>
        <v>104.43772442795542</v>
      </c>
      <c r="CD187" s="205">
        <f t="shared" ca="1" si="94"/>
        <v>128.47189964585453</v>
      </c>
      <c r="CG187" s="180">
        <v>2027</v>
      </c>
      <c r="CH187" s="22">
        <v>13</v>
      </c>
      <c r="CI187" s="198">
        <f t="shared" ca="1" si="95"/>
        <v>0.35008853335433027</v>
      </c>
      <c r="CJ187" s="198">
        <f t="shared" ca="1" si="96"/>
        <v>-3.2261958710185419</v>
      </c>
      <c r="CK187" s="198">
        <f t="shared" ca="1" si="97"/>
        <v>27.260785394874269</v>
      </c>
      <c r="CL187" s="186">
        <f t="shared" ca="1" si="98"/>
        <v>104.15166209974525</v>
      </c>
      <c r="CM187" s="205">
        <f t="shared" ca="1" si="99"/>
        <v>128.5363401569553</v>
      </c>
      <c r="CP187" s="180">
        <v>2027</v>
      </c>
      <c r="CQ187" s="22">
        <v>13</v>
      </c>
      <c r="CR187" s="198">
        <f t="shared" ca="1" si="100"/>
        <v>107.90475001670083</v>
      </c>
      <c r="CS187" s="186">
        <f t="shared" ca="1" si="101"/>
        <v>1.175991746888337</v>
      </c>
      <c r="CT187" s="205">
        <f t="shared" ca="1" si="102"/>
        <v>126.89509546968932</v>
      </c>
      <c r="CZ187" s="164" t="b">
        <f t="shared" si="79"/>
        <v>1</v>
      </c>
      <c r="DA187" s="165" t="b">
        <f t="shared" si="79"/>
        <v>1</v>
      </c>
      <c r="DB187" s="166" t="b">
        <f t="shared" si="79"/>
        <v>1</v>
      </c>
      <c r="DC187" s="164">
        <f t="shared" si="80"/>
        <v>15</v>
      </c>
      <c r="DD187" s="166">
        <f t="shared" si="81"/>
        <v>96.979104994883244</v>
      </c>
      <c r="DE187" s="164">
        <f t="shared" si="82"/>
        <v>15</v>
      </c>
      <c r="DF187" s="166">
        <f t="shared" si="83"/>
        <v>131.91365903752504</v>
      </c>
      <c r="DG187" s="164">
        <f t="shared" si="84"/>
        <v>15</v>
      </c>
      <c r="DH187" s="166">
        <f t="shared" si="85"/>
        <v>166.84821308016683</v>
      </c>
      <c r="DI187" s="164">
        <f>IFERROR(INDEX(DC$170:DC$218,_xlfn.AGGREGATE(15,6,(ROW(DC$170:DC$218)-ROW(DC$170)+1)/(DC$170:DC$218&lt;&gt;""),ROWS(DI$1:DI18))),"")</f>
        <v>18</v>
      </c>
      <c r="DJ187" s="165">
        <f>IFERROR(INDEX(DD$170:DD$218,_xlfn.AGGREGATE(15,6,(ROW(DD$170:DD$218)-ROW(DD$170)+1)/(DD$170:DD$218&lt;&gt;""),ROWS(DJ$1:DJ18))),"")</f>
        <v>98.957569977297396</v>
      </c>
      <c r="DK187" s="166">
        <f t="shared" si="86"/>
        <v>187</v>
      </c>
      <c r="DL187" s="164">
        <f>IFERROR(INDEX(DE$170:DE$218,_xlfn.AGGREGATE(15,6,(ROW(DE$170:DE$218)-ROW(DE$170)+1)/(DE$170:DE$218&lt;&gt;""),ROWS(DL$1:DL18))),"")</f>
        <v>18</v>
      </c>
      <c r="DM187" s="165">
        <f>IFERROR(INDEX(DF$170:DF$218,_xlfn.AGGREGATE(15,6,(ROW(DF$170:DF$218)-ROW(DF$170)+1)/(DF$170:DF$218&lt;&gt;""),ROWS(DM$1:DM18))),"")</f>
        <v>136.67986284463313</v>
      </c>
      <c r="DN187" s="166">
        <f t="shared" si="87"/>
        <v>187</v>
      </c>
      <c r="DO187" s="164">
        <f>IFERROR(INDEX(DG$170:DG$218,_xlfn.AGGREGATE(15,6,(ROW(DG$170:DG$218)-ROW(DG$170)+1)/(DG$170:DG$218&lt;&gt;""),ROWS(DO$1:DO18))),"")</f>
        <v>18</v>
      </c>
      <c r="DP187" s="165">
        <f>IFERROR(INDEX(DH$170:DH$218,_xlfn.AGGREGATE(15,6,(ROW(DH$170:DH$218)-ROW(DH$170)+1)/(DH$170:DH$218&lt;&gt;""),ROWS(DP$1:DP18))),"")</f>
        <v>174.40215571196887</v>
      </c>
      <c r="DQ187" s="166">
        <f t="shared" si="88"/>
        <v>187</v>
      </c>
      <c r="DV187" s="145">
        <v>2032</v>
      </c>
      <c r="DW187" s="235">
        <f t="shared" ca="1" si="72"/>
        <v>136.64155217211663</v>
      </c>
    </row>
    <row r="188" spans="1:135" ht="13.8" x14ac:dyDescent="0.45">
      <c r="A188" s="210" t="str">
        <f>$A$64</f>
        <v>Ambitious Cases</v>
      </c>
      <c r="B188" s="128">
        <v>2030</v>
      </c>
      <c r="C188" s="263">
        <f>'Total MSW Summaries (Archive)'!E21</f>
        <v>103.78592349790023</v>
      </c>
      <c r="D188" s="267">
        <f>'Total MSW Summaries (Archive)'!Q21</f>
        <v>162.82554752280222</v>
      </c>
      <c r="E188" s="271">
        <f>'Total MSW Summaries (Archive)'!AC21</f>
        <v>178.40399999999991</v>
      </c>
      <c r="F188" s="271">
        <f>'Total MSW Summaries (Archive)'!AO21</f>
        <v>140.78352471183331</v>
      </c>
      <c r="G188" s="271">
        <f>'Total MSW Summaries (Archive)'!BA21</f>
        <v>82.286049289357365</v>
      </c>
      <c r="H188" s="245"/>
      <c r="I188" s="246"/>
      <c r="J188" s="247"/>
      <c r="K188" s="245"/>
      <c r="L188" s="246"/>
      <c r="M188" s="245"/>
      <c r="N188" s="29" t="s">
        <v>119</v>
      </c>
      <c r="O188" s="120"/>
      <c r="P188" s="120"/>
      <c r="Q188" s="120"/>
      <c r="R188" s="29">
        <v>16</v>
      </c>
      <c r="S188" s="238">
        <f t="shared" si="73"/>
        <v>82.286049289357365</v>
      </c>
      <c r="T188" s="238">
        <f t="shared" si="74"/>
        <v>178.40399999999991</v>
      </c>
      <c r="U188" s="238">
        <f t="shared" si="75"/>
        <v>35.87515385324302</v>
      </c>
      <c r="W188" s="238">
        <f t="shared" si="76"/>
        <v>97.741855151135567</v>
      </c>
      <c r="X188" s="238">
        <f t="shared" si="77"/>
        <v>133.61700900437859</v>
      </c>
      <c r="Y188" s="238">
        <f t="shared" si="78"/>
        <v>169.49216285762162</v>
      </c>
      <c r="AA188" s="89"/>
      <c r="AB188" s="89"/>
      <c r="AC188" s="89"/>
      <c r="AD188" s="89"/>
      <c r="AE188" s="89"/>
      <c r="AF188" s="89"/>
      <c r="AG188" s="89"/>
      <c r="AH188" s="89"/>
      <c r="AI188" s="89"/>
      <c r="AJ188" s="89"/>
      <c r="AK188" s="89"/>
      <c r="AL188" s="89"/>
      <c r="AM188" s="89"/>
      <c r="AN188" s="89"/>
      <c r="BR188" s="180">
        <v>2028</v>
      </c>
      <c r="BS188" s="22">
        <v>14</v>
      </c>
      <c r="BT188" s="181">
        <f t="shared" si="89"/>
        <v>22.839601109437975</v>
      </c>
      <c r="BU188" s="182">
        <f t="shared" si="90"/>
        <v>106.45137405158448</v>
      </c>
      <c r="BV188" s="205">
        <f t="shared" si="91"/>
        <v>129.29097516102246</v>
      </c>
      <c r="BY188" s="180">
        <v>2028</v>
      </c>
      <c r="BZ188" s="22">
        <v>14</v>
      </c>
      <c r="CA188" s="198">
        <f t="shared" ca="1" si="92"/>
        <v>-2.2424734444960035</v>
      </c>
      <c r="CB188" s="198">
        <f t="shared" ca="1" si="93"/>
        <v>27.965254696857414</v>
      </c>
      <c r="CC188" s="186">
        <f t="shared" ca="1" si="104"/>
        <v>104.43772442795542</v>
      </c>
      <c r="CD188" s="205">
        <f t="shared" ca="1" si="94"/>
        <v>130.16050568031682</v>
      </c>
      <c r="CG188" s="180">
        <v>2028</v>
      </c>
      <c r="CH188" s="22">
        <v>14</v>
      </c>
      <c r="CI188" s="198">
        <f t="shared" ca="1" si="95"/>
        <v>0.43725213269198104</v>
      </c>
      <c r="CJ188" s="198">
        <f t="shared" ca="1" si="96"/>
        <v>-3.741623613725646</v>
      </c>
      <c r="CK188" s="198">
        <f t="shared" ca="1" si="97"/>
        <v>29.357768886787674</v>
      </c>
      <c r="CL188" s="186">
        <f t="shared" ca="1" si="98"/>
        <v>104.15166209974525</v>
      </c>
      <c r="CM188" s="205">
        <f t="shared" ca="1" si="99"/>
        <v>130.20505950549926</v>
      </c>
      <c r="CP188" s="180">
        <v>2028</v>
      </c>
      <c r="CQ188" s="22">
        <v>14</v>
      </c>
      <c r="CR188" s="198">
        <f t="shared" ca="1" si="100"/>
        <v>107.90475001670083</v>
      </c>
      <c r="CS188" s="186">
        <f t="shared" ca="1" si="101"/>
        <v>1.1907483468656275</v>
      </c>
      <c r="CT188" s="205">
        <f t="shared" ca="1" si="102"/>
        <v>128.4874027013353</v>
      </c>
      <c r="CZ188" s="164" t="b">
        <f t="shared" si="79"/>
        <v>1</v>
      </c>
      <c r="DA188" s="165" t="b">
        <f t="shared" si="79"/>
        <v>1</v>
      </c>
      <c r="DB188" s="166" t="b">
        <f t="shared" si="79"/>
        <v>1</v>
      </c>
      <c r="DC188" s="164">
        <f t="shared" si="80"/>
        <v>16</v>
      </c>
      <c r="DD188" s="166">
        <f t="shared" si="81"/>
        <v>97.741855151135567</v>
      </c>
      <c r="DE188" s="164">
        <f t="shared" si="82"/>
        <v>16</v>
      </c>
      <c r="DF188" s="166">
        <f t="shared" si="83"/>
        <v>133.61700900437859</v>
      </c>
      <c r="DG188" s="164">
        <f t="shared" si="84"/>
        <v>16</v>
      </c>
      <c r="DH188" s="166">
        <f t="shared" si="85"/>
        <v>169.49216285762162</v>
      </c>
      <c r="DI188" s="164">
        <f>IFERROR(INDEX(DC$170:DC$218,_xlfn.AGGREGATE(15,6,(ROW(DC$170:DC$218)-ROW(DC$170)+1)/(DC$170:DC$218&lt;&gt;""),ROWS(DI$1:DI19))),"")</f>
        <v>19</v>
      </c>
      <c r="DJ188" s="165">
        <f>IFERROR(INDEX(DD$170:DD$218,_xlfn.AGGREGATE(15,6,(ROW(DD$170:DD$218)-ROW(DD$170)+1)/(DD$170:DD$218&lt;&gt;""),ROWS(DJ$1:DJ19))),"")</f>
        <v>99.545394264484202</v>
      </c>
      <c r="DK188" s="166">
        <f t="shared" si="86"/>
        <v>188</v>
      </c>
      <c r="DL188" s="164">
        <f>IFERROR(INDEX(DE$170:DE$218,_xlfn.AGGREGATE(15,6,(ROW(DE$170:DE$218)-ROW(DE$170)+1)/(DE$170:DE$218&lt;&gt;""),ROWS(DL$1:DL19))),"")</f>
        <v>19</v>
      </c>
      <c r="DM188" s="165">
        <f>IFERROR(INDEX(DF$170:DF$218,_xlfn.AGGREGATE(15,6,(ROW(DF$170:DF$218)-ROW(DF$170)+1)/(DF$170:DF$218&lt;&gt;""),ROWS(DM$1:DM19))),"")</f>
        <v>138.20748782084922</v>
      </c>
      <c r="DN188" s="166">
        <f t="shared" si="87"/>
        <v>188</v>
      </c>
      <c r="DO188" s="164">
        <f>IFERROR(INDEX(DG$170:DG$218,_xlfn.AGGREGATE(15,6,(ROW(DG$170:DG$218)-ROW(DG$170)+1)/(DG$170:DG$218&lt;&gt;""),ROWS(DO$1:DO19))),"")</f>
        <v>19</v>
      </c>
      <c r="DP188" s="165">
        <f>IFERROR(INDEX(DH$170:DH$218,_xlfn.AGGREGATE(15,6,(ROW(DH$170:DH$218)-ROW(DH$170)+1)/(DH$170:DH$218&lt;&gt;""),ROWS(DP$1:DP19))),"")</f>
        <v>176.86958137721425</v>
      </c>
      <c r="DQ188" s="166">
        <f t="shared" si="88"/>
        <v>188</v>
      </c>
      <c r="DV188" s="145">
        <v>2033</v>
      </c>
      <c r="DW188" s="235">
        <f t="shared" ca="1" si="72"/>
        <v>138.1958596102271</v>
      </c>
    </row>
    <row r="189" spans="1:135" ht="13.8" x14ac:dyDescent="0.45">
      <c r="A189" s="211" t="str">
        <f>$A$65</f>
        <v>Maximum Cases</v>
      </c>
      <c r="B189" s="128">
        <v>2031</v>
      </c>
      <c r="C189" s="263">
        <f>'Total MSW Summaries (Archive)'!E22</f>
        <v>104.06157230088672</v>
      </c>
      <c r="D189" s="267">
        <f>'Total MSW Summaries (Archive)'!Q22</f>
        <v>165.92343857133488</v>
      </c>
      <c r="E189" s="271">
        <f>'Total MSW Summaries (Archive)'!AC22</f>
        <v>181.05799999999991</v>
      </c>
      <c r="F189" s="271">
        <f>'Total MSW Summaries (Archive)'!AO22</f>
        <v>141.47962117139656</v>
      </c>
      <c r="G189" s="271">
        <f>'Total MSW Summaries (Archive)'!BA22</f>
        <v>83.128512213350433</v>
      </c>
      <c r="H189" s="245"/>
      <c r="I189" s="246"/>
      <c r="J189" s="247"/>
      <c r="K189" s="245"/>
      <c r="L189" s="246"/>
      <c r="M189" s="245"/>
      <c r="N189" s="29" t="s">
        <v>119</v>
      </c>
      <c r="O189" s="120"/>
      <c r="P189" s="120"/>
      <c r="Q189" s="120"/>
      <c r="R189" s="29">
        <v>17</v>
      </c>
      <c r="S189" s="238">
        <f t="shared" si="73"/>
        <v>83.128512213350433</v>
      </c>
      <c r="T189" s="238">
        <f t="shared" si="74"/>
        <v>181.05799999999991</v>
      </c>
      <c r="U189" s="238">
        <f t="shared" si="75"/>
        <v>36.789500305182258</v>
      </c>
      <c r="W189" s="238">
        <f t="shared" si="76"/>
        <v>98.340728546211466</v>
      </c>
      <c r="X189" s="238">
        <f t="shared" si="77"/>
        <v>135.13022885139372</v>
      </c>
      <c r="Y189" s="238">
        <f t="shared" si="78"/>
        <v>171.91972915657598</v>
      </c>
      <c r="AA189" s="89"/>
      <c r="AB189" s="89"/>
      <c r="AC189" s="89"/>
      <c r="AD189" s="89"/>
      <c r="AE189" s="89"/>
      <c r="AF189" s="89"/>
      <c r="AG189" s="89"/>
      <c r="AH189" s="89"/>
      <c r="AI189" s="89"/>
      <c r="AJ189" s="89"/>
      <c r="AK189" s="89"/>
      <c r="AL189" s="89"/>
      <c r="AM189" s="89"/>
      <c r="AN189" s="89"/>
      <c r="BR189" s="180">
        <v>2029</v>
      </c>
      <c r="BS189" s="22">
        <v>15</v>
      </c>
      <c r="BT189" s="181">
        <f t="shared" si="89"/>
        <v>24.471001188683545</v>
      </c>
      <c r="BU189" s="182">
        <f t="shared" si="90"/>
        <v>106.45137405158448</v>
      </c>
      <c r="BV189" s="205">
        <f t="shared" si="91"/>
        <v>130.92237524026802</v>
      </c>
      <c r="BY189" s="180">
        <v>2029</v>
      </c>
      <c r="BZ189" s="22">
        <v>15</v>
      </c>
      <c r="CA189" s="198">
        <f t="shared" ca="1" si="92"/>
        <v>-2.5742679847530652</v>
      </c>
      <c r="CB189" s="198">
        <f t="shared" ca="1" si="93"/>
        <v>29.962772889490086</v>
      </c>
      <c r="CC189" s="186">
        <f t="shared" ca="1" si="104"/>
        <v>104.43772442795542</v>
      </c>
      <c r="CD189" s="205">
        <f t="shared" ca="1" si="94"/>
        <v>131.82622933269244</v>
      </c>
      <c r="CG189" s="180">
        <v>2029</v>
      </c>
      <c r="CH189" s="22">
        <v>15</v>
      </c>
      <c r="CI189" s="198">
        <f t="shared" ca="1" si="95"/>
        <v>0.53780100139775366</v>
      </c>
      <c r="CJ189" s="198">
        <f t="shared" ca="1" si="96"/>
        <v>-4.295231189225869</v>
      </c>
      <c r="CK189" s="198">
        <f t="shared" ca="1" si="97"/>
        <v>31.45475237870108</v>
      </c>
      <c r="CL189" s="186">
        <f t="shared" ca="1" si="98"/>
        <v>104.15166209974525</v>
      </c>
      <c r="CM189" s="205">
        <f t="shared" ca="1" si="99"/>
        <v>131.8489842906182</v>
      </c>
      <c r="CP189" s="180">
        <v>2029</v>
      </c>
      <c r="CQ189" s="22">
        <v>15</v>
      </c>
      <c r="CR189" s="198">
        <f t="shared" ca="1" si="100"/>
        <v>107.90475001670083</v>
      </c>
      <c r="CS189" s="186">
        <f t="shared" ca="1" si="101"/>
        <v>1.205690115865971</v>
      </c>
      <c r="CT189" s="205">
        <f t="shared" ca="1" si="102"/>
        <v>130.09969055012465</v>
      </c>
      <c r="CZ189" s="164" t="b">
        <f t="shared" si="79"/>
        <v>1</v>
      </c>
      <c r="DA189" s="165" t="b">
        <f t="shared" si="79"/>
        <v>1</v>
      </c>
      <c r="DB189" s="166" t="b">
        <f t="shared" si="79"/>
        <v>1</v>
      </c>
      <c r="DC189" s="164">
        <f t="shared" si="80"/>
        <v>17</v>
      </c>
      <c r="DD189" s="166">
        <f t="shared" si="81"/>
        <v>98.340728546211466</v>
      </c>
      <c r="DE189" s="164">
        <f t="shared" si="82"/>
        <v>17</v>
      </c>
      <c r="DF189" s="166">
        <f t="shared" si="83"/>
        <v>135.13022885139372</v>
      </c>
      <c r="DG189" s="164">
        <f t="shared" si="84"/>
        <v>17</v>
      </c>
      <c r="DH189" s="166">
        <f t="shared" si="85"/>
        <v>171.91972915657598</v>
      </c>
      <c r="DI189" s="164">
        <f>IFERROR(INDEX(DC$170:DC$218,_xlfn.AGGREGATE(15,6,(ROW(DC$170:DC$218)-ROW(DC$170)+1)/(DC$170:DC$218&lt;&gt;""),ROWS(DI$1:DI20))),"")</f>
        <v>20</v>
      </c>
      <c r="DJ189" s="165">
        <f>IFERROR(INDEX(DD$170:DD$218,_xlfn.AGGREGATE(15,6,(ROW(DD$170:DD$218)-ROW(DD$170)+1)/(DD$170:DD$218&lt;&gt;""),ROWS(DJ$1:DJ20))),"")</f>
        <v>100.10757780083159</v>
      </c>
      <c r="DK189" s="166">
        <f t="shared" si="86"/>
        <v>189</v>
      </c>
      <c r="DL189" s="164">
        <f>IFERROR(INDEX(DE$170:DE$218,_xlfn.AGGREGATE(15,6,(ROW(DE$170:DE$218)-ROW(DE$170)+1)/(DE$170:DE$218&lt;&gt;""),ROWS(DL$1:DL20))),"")</f>
        <v>20</v>
      </c>
      <c r="DM189" s="165">
        <f>IFERROR(INDEX(DF$170:DF$218,_xlfn.AGGREGATE(15,6,(ROW(DF$170:DF$218)-ROW(DF$170)+1)/(DF$170:DF$218&lt;&gt;""),ROWS(DM$1:DM20))),"")</f>
        <v>139.71753642659263</v>
      </c>
      <c r="DN189" s="166">
        <f t="shared" si="87"/>
        <v>189</v>
      </c>
      <c r="DO189" s="164">
        <f>IFERROR(INDEX(DG$170:DG$218,_xlfn.AGGREGATE(15,6,(ROW(DG$170:DG$218)-ROW(DG$170)+1)/(DG$170:DG$218&lt;&gt;""),ROWS(DO$1:DO20))),"")</f>
        <v>20</v>
      </c>
      <c r="DP189" s="165">
        <f>IFERROR(INDEX(DH$170:DH$218,_xlfn.AGGREGATE(15,6,(ROW(DH$170:DH$218)-ROW(DH$170)+1)/(DH$170:DH$218&lt;&gt;""),ROWS(DP$1:DP20))),"")</f>
        <v>179.32749505235367</v>
      </c>
      <c r="DQ189" s="166">
        <f t="shared" si="88"/>
        <v>189</v>
      </c>
      <c r="DV189" s="145">
        <v>2034</v>
      </c>
      <c r="DW189" s="235">
        <f t="shared" ca="1" si="72"/>
        <v>139.73015293825836</v>
      </c>
    </row>
    <row r="190" spans="1:135" ht="13.8" x14ac:dyDescent="0.45">
      <c r="B190" s="128">
        <v>2032</v>
      </c>
      <c r="C190" s="263">
        <f>'Total MSW Summaries (Archive)'!E23</f>
        <v>104.29733072460931</v>
      </c>
      <c r="D190" s="267">
        <f>'Total MSW Summaries (Archive)'!Q23</f>
        <v>168.97082466252715</v>
      </c>
      <c r="E190" s="271">
        <f>'Total MSW Summaries (Archive)'!AC23</f>
        <v>183.7119999999999</v>
      </c>
      <c r="F190" s="271">
        <f>'Total MSW Summaries (Archive)'!AO23</f>
        <v>142.44818369868574</v>
      </c>
      <c r="G190" s="271">
        <f>'Total MSW Summaries (Archive)'!BA23</f>
        <v>83.970975137343501</v>
      </c>
      <c r="H190" s="245"/>
      <c r="I190" s="246"/>
      <c r="J190" s="247"/>
      <c r="K190" s="245"/>
      <c r="L190" s="246"/>
      <c r="M190" s="245"/>
      <c r="N190" s="29" t="s">
        <v>119</v>
      </c>
      <c r="O190" s="120"/>
      <c r="P190" s="120"/>
      <c r="Q190" s="120"/>
      <c r="R190" s="29">
        <v>18</v>
      </c>
      <c r="S190" s="238">
        <f t="shared" si="73"/>
        <v>83.970975137343501</v>
      </c>
      <c r="T190" s="238">
        <f t="shared" si="74"/>
        <v>183.7119999999999</v>
      </c>
      <c r="U190" s="238">
        <f t="shared" si="75"/>
        <v>37.722292867335739</v>
      </c>
      <c r="W190" s="238">
        <f t="shared" si="76"/>
        <v>98.957569977297396</v>
      </c>
      <c r="X190" s="238">
        <f t="shared" si="77"/>
        <v>136.67986284463313</v>
      </c>
      <c r="Y190" s="238">
        <f t="shared" si="78"/>
        <v>174.40215571196887</v>
      </c>
      <c r="AA190" s="89"/>
      <c r="AB190" s="89"/>
      <c r="AC190" s="89"/>
      <c r="AD190" s="89"/>
      <c r="AE190" s="89"/>
      <c r="AF190" s="89"/>
      <c r="AG190" s="89"/>
      <c r="AH190" s="89"/>
      <c r="AI190" s="89"/>
      <c r="AJ190" s="89"/>
      <c r="AK190" s="89"/>
      <c r="AL190" s="89"/>
      <c r="AM190" s="89"/>
      <c r="AN190" s="89"/>
      <c r="BR190" s="180">
        <v>2030</v>
      </c>
      <c r="BS190" s="22">
        <v>16</v>
      </c>
      <c r="BT190" s="181">
        <f t="shared" si="89"/>
        <v>26.102401267929114</v>
      </c>
      <c r="BU190" s="182">
        <f t="shared" si="90"/>
        <v>106.45137405158448</v>
      </c>
      <c r="BV190" s="205">
        <f t="shared" si="91"/>
        <v>132.55377531951359</v>
      </c>
      <c r="BY190" s="180">
        <v>2030</v>
      </c>
      <c r="BZ190" s="22">
        <v>16</v>
      </c>
      <c r="CA190" s="198">
        <f t="shared" ca="1" si="92"/>
        <v>-2.9289449070968208</v>
      </c>
      <c r="CB190" s="198">
        <f t="shared" ca="1" si="93"/>
        <v>31.960291082122758</v>
      </c>
      <c r="CC190" s="186">
        <f t="shared" ca="1" si="104"/>
        <v>104.43772442795542</v>
      </c>
      <c r="CD190" s="205">
        <f t="shared" ca="1" si="94"/>
        <v>133.46907060298136</v>
      </c>
      <c r="CG190" s="180">
        <v>2030</v>
      </c>
      <c r="CH190" s="22">
        <v>16</v>
      </c>
      <c r="CI190" s="198">
        <f t="shared" ca="1" si="95"/>
        <v>0.65269123014079966</v>
      </c>
      <c r="CJ190" s="198">
        <f t="shared" ca="1" si="96"/>
        <v>-4.8870185975192113</v>
      </c>
      <c r="CK190" s="198">
        <f t="shared" ca="1" si="97"/>
        <v>33.551735870614486</v>
      </c>
      <c r="CL190" s="186">
        <f t="shared" ca="1" si="98"/>
        <v>104.15166209974525</v>
      </c>
      <c r="CM190" s="205">
        <f t="shared" ca="1" si="99"/>
        <v>133.46907060298133</v>
      </c>
      <c r="CP190" s="180">
        <v>2030</v>
      </c>
      <c r="CQ190" s="22">
        <v>16</v>
      </c>
      <c r="CR190" s="198">
        <f t="shared" ca="1" si="100"/>
        <v>107.90475001670083</v>
      </c>
      <c r="CS190" s="186">
        <f t="shared" ca="1" si="101"/>
        <v>1.2208193774305054</v>
      </c>
      <c r="CT190" s="205">
        <f t="shared" ca="1" si="102"/>
        <v>131.73220973718301</v>
      </c>
      <c r="CZ190" s="164" t="b">
        <f t="shared" si="79"/>
        <v>1</v>
      </c>
      <c r="DA190" s="165" t="b">
        <f t="shared" si="79"/>
        <v>1</v>
      </c>
      <c r="DB190" s="166" t="b">
        <f t="shared" si="79"/>
        <v>1</v>
      </c>
      <c r="DC190" s="164">
        <f t="shared" si="80"/>
        <v>18</v>
      </c>
      <c r="DD190" s="166">
        <f t="shared" si="81"/>
        <v>98.957569977297396</v>
      </c>
      <c r="DE190" s="164">
        <f t="shared" si="82"/>
        <v>18</v>
      </c>
      <c r="DF190" s="166">
        <f t="shared" si="83"/>
        <v>136.67986284463313</v>
      </c>
      <c r="DG190" s="164">
        <f t="shared" si="84"/>
        <v>18</v>
      </c>
      <c r="DH190" s="166">
        <f t="shared" si="85"/>
        <v>174.40215571196887</v>
      </c>
      <c r="DI190" s="164">
        <f>IFERROR(INDEX(DC$170:DC$218,_xlfn.AGGREGATE(15,6,(ROW(DC$170:DC$218)-ROW(DC$170)+1)/(DC$170:DC$218&lt;&gt;""),ROWS(DI$1:DI21))),"")</f>
        <v>21</v>
      </c>
      <c r="DJ190" s="165">
        <f>IFERROR(INDEX(DD$170:DD$218,_xlfn.AGGREGATE(15,6,(ROW(DD$170:DD$218)-ROW(DD$170)+1)/(DD$170:DD$218&lt;&gt;""),ROWS(DJ$1:DJ21))),"")</f>
        <v>100.59456655771376</v>
      </c>
      <c r="DK190" s="166">
        <f t="shared" si="86"/>
        <v>190</v>
      </c>
      <c r="DL190" s="164">
        <f>IFERROR(INDEX(DE$170:DE$218,_xlfn.AGGREGATE(15,6,(ROW(DE$170:DE$218)-ROW(DE$170)+1)/(DE$170:DE$218&lt;&gt;""),ROWS(DL$1:DL21))),"")</f>
        <v>21</v>
      </c>
      <c r="DM190" s="165">
        <f>IFERROR(INDEX(DF$170:DF$218,_xlfn.AGGREGATE(15,6,(ROW(DF$170:DF$218)-ROW(DF$170)+1)/(DF$170:DF$218&lt;&gt;""),ROWS(DM$1:DM21))),"")</f>
        <v>141.15634608568794</v>
      </c>
      <c r="DN190" s="166">
        <f t="shared" si="87"/>
        <v>190</v>
      </c>
      <c r="DO190" s="164">
        <f>IFERROR(INDEX(DG$170:DG$218,_xlfn.AGGREGATE(15,6,(ROW(DG$170:DG$218)-ROW(DG$170)+1)/(DG$170:DG$218&lt;&gt;""),ROWS(DO$1:DO21))),"")</f>
        <v>21</v>
      </c>
      <c r="DP190" s="165">
        <f>IFERROR(INDEX(DH$170:DH$218,_xlfn.AGGREGATE(15,6,(ROW(DH$170:DH$218)-ROW(DH$170)+1)/(DH$170:DH$218&lt;&gt;""),ROWS(DP$1:DP21))),"")</f>
        <v>181.71812561366212</v>
      </c>
      <c r="DQ190" s="166">
        <f t="shared" si="88"/>
        <v>190</v>
      </c>
      <c r="DV190" s="145">
        <v>2035</v>
      </c>
      <c r="DW190" s="235">
        <f t="shared" ca="1" si="72"/>
        <v>141.24538824687949</v>
      </c>
    </row>
    <row r="191" spans="1:135" ht="13.8" x14ac:dyDescent="0.45">
      <c r="B191" s="128">
        <v>2033</v>
      </c>
      <c r="C191" s="263">
        <f>'Total MSW Summaries (Archive)'!E24</f>
        <v>104.5209577126177</v>
      </c>
      <c r="D191" s="267">
        <f>'Total MSW Summaries (Archive)'!Q24</f>
        <v>172.01032347775623</v>
      </c>
      <c r="E191" s="271">
        <f>'Total MSW Summaries (Archive)'!AC24</f>
        <v>186.3659999999999</v>
      </c>
      <c r="F191" s="271">
        <f>'Total MSW Summaries (Archive)'!AO24</f>
        <v>143.32671985253569</v>
      </c>
      <c r="G191" s="271">
        <f>'Total MSW Summaries (Archive)'!BA24</f>
        <v>84.813438061336569</v>
      </c>
      <c r="H191" s="245"/>
      <c r="I191" s="246"/>
      <c r="J191" s="247"/>
      <c r="K191" s="245"/>
      <c r="L191" s="246"/>
      <c r="M191" s="245"/>
      <c r="N191" s="29" t="s">
        <v>119</v>
      </c>
      <c r="O191" s="120"/>
      <c r="P191" s="120"/>
      <c r="Q191" s="120"/>
      <c r="R191" s="29">
        <v>19</v>
      </c>
      <c r="S191" s="238">
        <f t="shared" si="73"/>
        <v>84.813438061336569</v>
      </c>
      <c r="T191" s="238">
        <f t="shared" si="74"/>
        <v>186.3659999999999</v>
      </c>
      <c r="U191" s="238">
        <f t="shared" si="75"/>
        <v>38.662093556365015</v>
      </c>
      <c r="W191" s="238">
        <f t="shared" si="76"/>
        <v>99.545394264484202</v>
      </c>
      <c r="X191" s="238">
        <f t="shared" si="77"/>
        <v>138.20748782084922</v>
      </c>
      <c r="Y191" s="238">
        <f t="shared" si="78"/>
        <v>176.86958137721425</v>
      </c>
      <c r="AA191" s="89"/>
      <c r="AB191" s="89"/>
      <c r="AC191" s="89"/>
      <c r="AD191" s="89"/>
      <c r="AE191" s="89"/>
      <c r="AF191" s="89"/>
      <c r="AG191" s="89"/>
      <c r="AH191" s="89"/>
      <c r="AI191" s="89"/>
      <c r="AJ191" s="89"/>
      <c r="AK191" s="89"/>
      <c r="AL191" s="89"/>
      <c r="AM191" s="89"/>
      <c r="AN191" s="89"/>
      <c r="BR191" s="180">
        <v>2031</v>
      </c>
      <c r="BS191" s="22">
        <v>17</v>
      </c>
      <c r="BT191" s="181">
        <f t="shared" si="89"/>
        <v>27.733801347174683</v>
      </c>
      <c r="BU191" s="182">
        <f t="shared" si="90"/>
        <v>106.45137405158448</v>
      </c>
      <c r="BV191" s="205">
        <f t="shared" si="91"/>
        <v>134.18517539875916</v>
      </c>
      <c r="BY191" s="180">
        <v>2031</v>
      </c>
      <c r="BZ191" s="22">
        <v>17</v>
      </c>
      <c r="CA191" s="198">
        <f t="shared" ca="1" si="92"/>
        <v>-3.3065042115272703</v>
      </c>
      <c r="CB191" s="198">
        <f t="shared" ca="1" si="93"/>
        <v>33.957809274755434</v>
      </c>
      <c r="CC191" s="186">
        <f t="shared" ca="1" si="104"/>
        <v>104.43772442795542</v>
      </c>
      <c r="CD191" s="205">
        <f t="shared" ca="1" si="94"/>
        <v>135.08902949118357</v>
      </c>
      <c r="CG191" s="180">
        <v>2031</v>
      </c>
      <c r="CH191" s="22">
        <v>17</v>
      </c>
      <c r="CI191" s="198">
        <f t="shared" ca="1" si="95"/>
        <v>0.78287890959027073</v>
      </c>
      <c r="CJ191" s="198">
        <f t="shared" ca="1" si="96"/>
        <v>-5.516985838605672</v>
      </c>
      <c r="CK191" s="198">
        <f t="shared" ca="1" si="97"/>
        <v>35.648719362527892</v>
      </c>
      <c r="CL191" s="186">
        <f t="shared" ca="1" si="98"/>
        <v>104.15166209974525</v>
      </c>
      <c r="CM191" s="205">
        <f t="shared" ca="1" si="99"/>
        <v>135.06627453325774</v>
      </c>
      <c r="CP191" s="180">
        <v>2031</v>
      </c>
      <c r="CQ191" s="22">
        <v>17</v>
      </c>
      <c r="CR191" s="198">
        <f t="shared" ca="1" si="100"/>
        <v>107.90475001670083</v>
      </c>
      <c r="CS191" s="186">
        <f t="shared" ca="1" si="101"/>
        <v>1.2361384842566669</v>
      </c>
      <c r="CT191" s="205">
        <f t="shared" ca="1" si="102"/>
        <v>133.38521412973913</v>
      </c>
      <c r="CZ191" s="164" t="b">
        <f t="shared" si="79"/>
        <v>1</v>
      </c>
      <c r="DA191" s="165" t="b">
        <f t="shared" si="79"/>
        <v>1</v>
      </c>
      <c r="DB191" s="166" t="b">
        <f t="shared" si="79"/>
        <v>1</v>
      </c>
      <c r="DC191" s="164">
        <f t="shared" si="80"/>
        <v>19</v>
      </c>
      <c r="DD191" s="166">
        <f t="shared" si="81"/>
        <v>99.545394264484202</v>
      </c>
      <c r="DE191" s="164">
        <f t="shared" si="82"/>
        <v>19</v>
      </c>
      <c r="DF191" s="166">
        <f t="shared" si="83"/>
        <v>138.20748782084922</v>
      </c>
      <c r="DG191" s="164">
        <f t="shared" si="84"/>
        <v>19</v>
      </c>
      <c r="DH191" s="166">
        <f t="shared" si="85"/>
        <v>176.86958137721425</v>
      </c>
      <c r="DI191" s="164">
        <f>IFERROR(INDEX(DC$170:DC$218,_xlfn.AGGREGATE(15,6,(ROW(DC$170:DC$218)-ROW(DC$170)+1)/(DC$170:DC$218&lt;&gt;""),ROWS(DI$1:DI22))),"")</f>
        <v>22</v>
      </c>
      <c r="DJ191" s="165">
        <f>IFERROR(INDEX(DD$170:DD$218,_xlfn.AGGREGATE(15,6,(ROW(DD$170:DD$218)-ROW(DD$170)+1)/(DD$170:DD$218&lt;&gt;""),ROWS(DJ$1:DJ22))),"")</f>
        <v>101.16613885856906</v>
      </c>
      <c r="DK191" s="166">
        <f t="shared" si="86"/>
        <v>191</v>
      </c>
      <c r="DL191" s="164">
        <f>IFERROR(INDEX(DE$170:DE$218,_xlfn.AGGREGATE(15,6,(ROW(DE$170:DE$218)-ROW(DE$170)+1)/(DE$170:DE$218&lt;&gt;""),ROWS(DL$1:DL22))),"")</f>
        <v>22</v>
      </c>
      <c r="DM191" s="165">
        <f>IFERROR(INDEX(DF$170:DF$218,_xlfn.AGGREGATE(15,6,(ROW(DF$170:DF$218)-ROW(DF$170)+1)/(DF$170:DF$218&lt;&gt;""),ROWS(DM$1:DM22))),"")</f>
        <v>142.69931791051414</v>
      </c>
      <c r="DN191" s="166">
        <f t="shared" si="87"/>
        <v>191</v>
      </c>
      <c r="DO191" s="164">
        <f>IFERROR(INDEX(DG$170:DG$218,_xlfn.AGGREGATE(15,6,(ROW(DG$170:DG$218)-ROW(DG$170)+1)/(DG$170:DG$218&lt;&gt;""),ROWS(DO$1:DO22))),"")</f>
        <v>22</v>
      </c>
      <c r="DP191" s="165">
        <f>IFERROR(INDEX(DH$170:DH$218,_xlfn.AGGREGATE(15,6,(ROW(DH$170:DH$218)-ROW(DH$170)+1)/(DH$170:DH$218&lt;&gt;""),ROWS(DP$1:DP22))),"")</f>
        <v>184.23249696245921</v>
      </c>
      <c r="DQ191" s="166">
        <f t="shared" si="88"/>
        <v>191</v>
      </c>
      <c r="DV191" s="145">
        <v>2036</v>
      </c>
      <c r="DW191" s="235">
        <f t="shared" ca="1" si="72"/>
        <v>142.74252162675972</v>
      </c>
    </row>
    <row r="192" spans="1:135" ht="13.8" x14ac:dyDescent="0.45">
      <c r="B192" s="128">
        <v>2034</v>
      </c>
      <c r="C192" s="263">
        <f>'Total MSW Summaries (Archive)'!E25</f>
        <v>104.73669596166179</v>
      </c>
      <c r="D192" s="267">
        <f>'Total MSW Summaries (Archive)'!Q25</f>
        <v>175.04809369802999</v>
      </c>
      <c r="E192" s="271">
        <f>'Total MSW Summaries (Archive)'!AC25</f>
        <v>189.0199999999999</v>
      </c>
      <c r="F192" s="271">
        <f>'Total MSW Summaries (Archive)'!AO25</f>
        <v>144.12699148794184</v>
      </c>
      <c r="G192" s="271">
        <f>'Total MSW Summaries (Archive)'!BA25</f>
        <v>85.655900985329637</v>
      </c>
      <c r="H192" s="245"/>
      <c r="I192" s="246"/>
      <c r="J192" s="247"/>
      <c r="K192" s="245"/>
      <c r="L192" s="246"/>
      <c r="M192" s="245"/>
      <c r="N192" s="29" t="s">
        <v>119</v>
      </c>
      <c r="O192" s="120"/>
      <c r="P192" s="120"/>
      <c r="Q192" s="120"/>
      <c r="R192" s="29">
        <v>20</v>
      </c>
      <c r="S192" s="238">
        <f t="shared" si="73"/>
        <v>85.655900985329637</v>
      </c>
      <c r="T192" s="238">
        <f t="shared" si="74"/>
        <v>189.0199999999999</v>
      </c>
      <c r="U192" s="238">
        <f t="shared" si="75"/>
        <v>39.609958625761045</v>
      </c>
      <c r="W192" s="238">
        <f t="shared" si="76"/>
        <v>100.10757780083159</v>
      </c>
      <c r="X192" s="238">
        <f t="shared" si="77"/>
        <v>139.71753642659263</v>
      </c>
      <c r="Y192" s="238">
        <f t="shared" si="78"/>
        <v>179.32749505235367</v>
      </c>
      <c r="AA192" s="89"/>
      <c r="AB192" s="89"/>
      <c r="AC192" s="89"/>
      <c r="AD192" s="89"/>
      <c r="AE192" s="89"/>
      <c r="AF192" s="89"/>
      <c r="AG192" s="89"/>
      <c r="AH192" s="89"/>
      <c r="AI192" s="89"/>
      <c r="AJ192" s="89"/>
      <c r="AK192" s="89"/>
      <c r="AL192" s="89"/>
      <c r="AM192" s="89"/>
      <c r="AN192" s="89"/>
      <c r="BR192" s="180">
        <v>2032</v>
      </c>
      <c r="BS192" s="22">
        <v>18</v>
      </c>
      <c r="BT192" s="181">
        <f t="shared" si="89"/>
        <v>29.365201426420253</v>
      </c>
      <c r="BU192" s="182">
        <f t="shared" si="90"/>
        <v>106.45137405158448</v>
      </c>
      <c r="BV192" s="205">
        <f t="shared" si="91"/>
        <v>135.81657547800472</v>
      </c>
      <c r="BY192" s="180">
        <v>2032</v>
      </c>
      <c r="BZ192" s="22">
        <v>18</v>
      </c>
      <c r="CA192" s="198">
        <f t="shared" ca="1" si="92"/>
        <v>-3.7069458980444137</v>
      </c>
      <c r="CB192" s="198">
        <f t="shared" ca="1" si="93"/>
        <v>35.955327467388102</v>
      </c>
      <c r="CC192" s="186">
        <f t="shared" ca="1" si="104"/>
        <v>104.43772442795542</v>
      </c>
      <c r="CD192" s="205">
        <f t="shared" ca="1" si="94"/>
        <v>136.68610599729911</v>
      </c>
      <c r="CG192" s="180">
        <v>2032</v>
      </c>
      <c r="CH192" s="22">
        <v>18</v>
      </c>
      <c r="CI192" s="198">
        <f t="shared" ca="1" si="95"/>
        <v>0.92932013041531825</v>
      </c>
      <c r="CJ192" s="198">
        <f t="shared" ca="1" si="96"/>
        <v>-6.1851329124852521</v>
      </c>
      <c r="CK192" s="198">
        <f t="shared" ca="1" si="97"/>
        <v>37.745702854441298</v>
      </c>
      <c r="CL192" s="186">
        <f t="shared" ca="1" si="98"/>
        <v>104.15166209974525</v>
      </c>
      <c r="CM192" s="205">
        <f t="shared" ca="1" si="99"/>
        <v>136.64155217211663</v>
      </c>
      <c r="CP192" s="180">
        <v>2032</v>
      </c>
      <c r="CQ192" s="22">
        <v>18</v>
      </c>
      <c r="CR192" s="198">
        <f t="shared" ca="1" si="100"/>
        <v>107.90475001670083</v>
      </c>
      <c r="CS192" s="186">
        <f t="shared" ca="1" si="101"/>
        <v>1.2516498185640514</v>
      </c>
      <c r="CT192" s="205">
        <f t="shared" ca="1" si="102"/>
        <v>135.05896078060292</v>
      </c>
      <c r="CZ192" s="164" t="b">
        <f t="shared" si="79"/>
        <v>1</v>
      </c>
      <c r="DA192" s="165" t="b">
        <f t="shared" si="79"/>
        <v>1</v>
      </c>
      <c r="DB192" s="166" t="b">
        <f t="shared" si="79"/>
        <v>1</v>
      </c>
      <c r="DC192" s="164">
        <f t="shared" si="80"/>
        <v>20</v>
      </c>
      <c r="DD192" s="166">
        <f t="shared" si="81"/>
        <v>100.10757780083159</v>
      </c>
      <c r="DE192" s="164">
        <f t="shared" si="82"/>
        <v>20</v>
      </c>
      <c r="DF192" s="166">
        <f t="shared" si="83"/>
        <v>139.71753642659263</v>
      </c>
      <c r="DG192" s="164">
        <f t="shared" si="84"/>
        <v>20</v>
      </c>
      <c r="DH192" s="166">
        <f t="shared" si="85"/>
        <v>179.32749505235367</v>
      </c>
      <c r="DI192" s="164">
        <f>IFERROR(INDEX(DC$170:DC$218,_xlfn.AGGREGATE(15,6,(ROW(DC$170:DC$218)-ROW(DC$170)+1)/(DC$170:DC$218&lt;&gt;""),ROWS(DI$1:DI23))),"")</f>
        <v>23</v>
      </c>
      <c r="DJ192" s="165">
        <f>IFERROR(INDEX(DD$170:DD$218,_xlfn.AGGREGATE(15,6,(ROW(DD$170:DD$218)-ROW(DD$170)+1)/(DD$170:DD$218&lt;&gt;""),ROWS(DJ$1:DJ23))),"")</f>
        <v>101.66609969347768</v>
      </c>
      <c r="DK192" s="166">
        <f t="shared" si="86"/>
        <v>192</v>
      </c>
      <c r="DL192" s="164">
        <f>IFERROR(INDEX(DE$170:DE$218,_xlfn.AGGREGATE(15,6,(ROW(DE$170:DE$218)-ROW(DE$170)+1)/(DE$170:DE$218&lt;&gt;""),ROWS(DL$1:DL23))),"")</f>
        <v>23</v>
      </c>
      <c r="DM192" s="165">
        <f>IFERROR(INDEX(DF$170:DF$218,_xlfn.AGGREGATE(15,6,(ROW(DF$170:DF$218)-ROW(DF$170)+1)/(DF$170:DF$218&lt;&gt;""),ROWS(DM$1:DM23))),"")</f>
        <v>144.17557768530978</v>
      </c>
      <c r="DN192" s="166">
        <f t="shared" si="87"/>
        <v>192</v>
      </c>
      <c r="DO192" s="164">
        <f>IFERROR(INDEX(DG$170:DG$218,_xlfn.AGGREGATE(15,6,(ROW(DG$170:DG$218)-ROW(DG$170)+1)/(DG$170:DG$218&lt;&gt;""),ROWS(DO$1:DO23))),"")</f>
        <v>23</v>
      </c>
      <c r="DP192" s="165">
        <f>IFERROR(INDEX(DH$170:DH$218,_xlfn.AGGREGATE(15,6,(ROW(DH$170:DH$218)-ROW(DH$170)+1)/(DH$170:DH$218&lt;&gt;""),ROWS(DP$1:DP23))),"")</f>
        <v>186.68505567714186</v>
      </c>
      <c r="DQ192" s="166">
        <f t="shared" si="88"/>
        <v>192</v>
      </c>
      <c r="DV192" s="145">
        <v>2037</v>
      </c>
      <c r="DW192" s="235">
        <f t="shared" ca="1" si="72"/>
        <v>144.22250916856814</v>
      </c>
    </row>
    <row r="193" spans="2:135" ht="13.8" x14ac:dyDescent="0.45">
      <c r="B193" s="128">
        <v>2035</v>
      </c>
      <c r="C193" s="263">
        <f>'Total MSW Summaries (Archive)'!E26</f>
        <v>104.94802165332794</v>
      </c>
      <c r="D193" s="267">
        <f>'Total MSW Summaries (Archive)'!Q26</f>
        <v>178.08942797224816</v>
      </c>
      <c r="E193" s="271">
        <f>'Total MSW Summaries (Archive)'!AC26</f>
        <v>191.67399999999989</v>
      </c>
      <c r="F193" s="271">
        <f>'Total MSW Summaries (Archive)'!AO26</f>
        <v>144.57191689354096</v>
      </c>
      <c r="G193" s="271">
        <f>'Total MSW Summaries (Archive)'!BA26</f>
        <v>86.498363909322705</v>
      </c>
      <c r="H193" s="245"/>
      <c r="I193" s="246"/>
      <c r="J193" s="247"/>
      <c r="K193" s="245"/>
      <c r="L193" s="246"/>
      <c r="M193" s="245"/>
      <c r="N193" s="29" t="s">
        <v>119</v>
      </c>
      <c r="O193" s="120"/>
      <c r="P193" s="120"/>
      <c r="Q193" s="120"/>
      <c r="R193" s="29">
        <v>21</v>
      </c>
      <c r="S193" s="238">
        <f t="shared" si="73"/>
        <v>86.498363909322705</v>
      </c>
      <c r="T193" s="238">
        <f t="shared" si="74"/>
        <v>191.67399999999989</v>
      </c>
      <c r="U193" s="238">
        <f t="shared" si="75"/>
        <v>40.561779527974174</v>
      </c>
      <c r="W193" s="238">
        <f t="shared" si="76"/>
        <v>100.59456655771376</v>
      </c>
      <c r="X193" s="238">
        <f t="shared" si="77"/>
        <v>141.15634608568794</v>
      </c>
      <c r="Y193" s="238">
        <f t="shared" si="78"/>
        <v>181.71812561366212</v>
      </c>
      <c r="AA193" s="89"/>
      <c r="AB193" s="89"/>
      <c r="AC193" s="89"/>
      <c r="AD193" s="89"/>
      <c r="AE193" s="89"/>
      <c r="AF193" s="89"/>
      <c r="AG193" s="89"/>
      <c r="AH193" s="89"/>
      <c r="AI193" s="89"/>
      <c r="AJ193" s="89"/>
      <c r="AK193" s="89"/>
      <c r="AL193" s="89"/>
      <c r="AM193" s="89"/>
      <c r="AN193" s="89"/>
      <c r="BR193" s="180">
        <v>2033</v>
      </c>
      <c r="BS193" s="22">
        <v>19</v>
      </c>
      <c r="BT193" s="181">
        <f t="shared" si="89"/>
        <v>30.996601505665822</v>
      </c>
      <c r="BU193" s="182">
        <f t="shared" si="90"/>
        <v>106.45137405158448</v>
      </c>
      <c r="BV193" s="205">
        <f t="shared" si="91"/>
        <v>137.44797555725029</v>
      </c>
      <c r="BY193" s="180">
        <v>2033</v>
      </c>
      <c r="BZ193" s="22">
        <v>19</v>
      </c>
      <c r="CA193" s="198">
        <f t="shared" ca="1" si="92"/>
        <v>-4.1302699666482514</v>
      </c>
      <c r="CB193" s="198">
        <f t="shared" ca="1" si="93"/>
        <v>37.952845660020778</v>
      </c>
      <c r="CC193" s="186">
        <f t="shared" ca="1" si="104"/>
        <v>104.43772442795542</v>
      </c>
      <c r="CD193" s="205">
        <f t="shared" ca="1" si="94"/>
        <v>138.26030012132793</v>
      </c>
      <c r="CG193" s="180">
        <v>2033</v>
      </c>
      <c r="CH193" s="22">
        <v>19</v>
      </c>
      <c r="CI193" s="198">
        <f t="shared" ca="1" si="95"/>
        <v>1.092970983285094</v>
      </c>
      <c r="CJ193" s="198">
        <f t="shared" ca="1" si="96"/>
        <v>-6.8914598191579506</v>
      </c>
      <c r="CK193" s="198">
        <f t="shared" ca="1" si="97"/>
        <v>39.842686346354704</v>
      </c>
      <c r="CL193" s="186">
        <f t="shared" ca="1" si="98"/>
        <v>104.15166209974525</v>
      </c>
      <c r="CM193" s="205">
        <f t="shared" ca="1" si="99"/>
        <v>138.1958596102271</v>
      </c>
      <c r="CP193" s="180">
        <v>2033</v>
      </c>
      <c r="CQ193" s="22">
        <v>19</v>
      </c>
      <c r="CR193" s="198">
        <f t="shared" ca="1" si="100"/>
        <v>107.90475001670083</v>
      </c>
      <c r="CS193" s="186">
        <f t="shared" ca="1" si="101"/>
        <v>1.2673557924648629</v>
      </c>
      <c r="CT193" s="205">
        <f t="shared" ca="1" si="102"/>
        <v>136.75370996813879</v>
      </c>
      <c r="CZ193" s="164" t="b">
        <f t="shared" si="79"/>
        <v>1</v>
      </c>
      <c r="DA193" s="165" t="b">
        <f t="shared" si="79"/>
        <v>1</v>
      </c>
      <c r="DB193" s="166" t="b">
        <f t="shared" si="79"/>
        <v>1</v>
      </c>
      <c r="DC193" s="164">
        <f t="shared" si="80"/>
        <v>21</v>
      </c>
      <c r="DD193" s="166">
        <f t="shared" si="81"/>
        <v>100.59456655771376</v>
      </c>
      <c r="DE193" s="164">
        <f t="shared" si="82"/>
        <v>21</v>
      </c>
      <c r="DF193" s="166">
        <f t="shared" si="83"/>
        <v>141.15634608568794</v>
      </c>
      <c r="DG193" s="164">
        <f t="shared" si="84"/>
        <v>21</v>
      </c>
      <c r="DH193" s="166">
        <f t="shared" si="85"/>
        <v>181.71812561366212</v>
      </c>
      <c r="DI193" s="164">
        <f>IFERROR(INDEX(DC$170:DC$218,_xlfn.AGGREGATE(15,6,(ROW(DC$170:DC$218)-ROW(DC$170)+1)/(DC$170:DC$218&lt;&gt;""),ROWS(DI$1:DI24))),"")</f>
        <v>24</v>
      </c>
      <c r="DJ193" s="165">
        <f>IFERROR(INDEX(DD$170:DD$218,_xlfn.AGGREGATE(15,6,(ROW(DD$170:DD$218)-ROW(DD$170)+1)/(DD$170:DD$218&lt;&gt;""),ROWS(DJ$1:DJ24))),"")</f>
        <v>102.14898146537439</v>
      </c>
      <c r="DK193" s="166">
        <f t="shared" si="86"/>
        <v>193</v>
      </c>
      <c r="DL193" s="164">
        <f>IFERROR(INDEX(DE$170:DE$218,_xlfn.AGGREGATE(15,6,(ROW(DE$170:DE$218)-ROW(DE$170)+1)/(DE$170:DE$218&lt;&gt;""),ROWS(DL$1:DL24))),"")</f>
        <v>24</v>
      </c>
      <c r="DM193" s="165">
        <f>IFERROR(INDEX(DF$170:DF$218,_xlfn.AGGREGATE(15,6,(ROW(DF$170:DF$218)-ROW(DF$170)+1)/(DF$170:DF$218&lt;&gt;""),ROWS(DM$1:DM24))),"")</f>
        <v>145.64501265868498</v>
      </c>
      <c r="DN193" s="166">
        <f t="shared" si="87"/>
        <v>193</v>
      </c>
      <c r="DO193" s="164">
        <f>IFERROR(INDEX(DG$170:DG$218,_xlfn.AGGREGATE(15,6,(ROW(DG$170:DG$218)-ROW(DG$170)+1)/(DG$170:DG$218&lt;&gt;""),ROWS(DO$1:DO24))),"")</f>
        <v>24</v>
      </c>
      <c r="DP193" s="165">
        <f>IFERROR(INDEX(DH$170:DH$218,_xlfn.AGGREGATE(15,6,(ROW(DH$170:DH$218)-ROW(DH$170)+1)/(DH$170:DH$218&lt;&gt;""),ROWS(DP$1:DP24))),"")</f>
        <v>189.14104385199556</v>
      </c>
      <c r="DQ193" s="166">
        <f t="shared" si="88"/>
        <v>193</v>
      </c>
      <c r="DV193" s="145">
        <v>2038</v>
      </c>
      <c r="DW193" s="235">
        <f t="shared" ca="1" si="72"/>
        <v>145.68630696297396</v>
      </c>
    </row>
    <row r="194" spans="2:135" ht="13.8" x14ac:dyDescent="0.45">
      <c r="B194" s="128">
        <v>2036</v>
      </c>
      <c r="C194" s="263">
        <f>'Total MSW Summaries (Archive)'!E27</f>
        <v>105.1567032075571</v>
      </c>
      <c r="D194" s="267">
        <f>'Total MSW Summaries (Archive)'!Q27</f>
        <v>181.13703341112267</v>
      </c>
      <c r="E194" s="271">
        <f>'Total MSW Summaries (Archive)'!AC27</f>
        <v>194.32799999999989</v>
      </c>
      <c r="F194" s="271">
        <f>'Total MSW Summaries (Archive)'!AO27</f>
        <v>145.53402610057523</v>
      </c>
      <c r="G194" s="271">
        <f>'Total MSW Summaries (Archive)'!BA27</f>
        <v>87.340826833315774</v>
      </c>
      <c r="H194" s="245"/>
      <c r="I194" s="246"/>
      <c r="J194" s="247"/>
      <c r="K194" s="245"/>
      <c r="L194" s="246"/>
      <c r="M194" s="245"/>
      <c r="N194" s="29" t="s">
        <v>119</v>
      </c>
      <c r="O194" s="120"/>
      <c r="P194" s="120"/>
      <c r="Q194" s="120"/>
      <c r="R194" s="29">
        <v>22</v>
      </c>
      <c r="S194" s="238">
        <f t="shared" si="73"/>
        <v>87.340826833315774</v>
      </c>
      <c r="T194" s="238">
        <f t="shared" si="74"/>
        <v>194.32799999999989</v>
      </c>
      <c r="U194" s="238">
        <f t="shared" si="75"/>
        <v>41.533179051945083</v>
      </c>
      <c r="W194" s="238">
        <f t="shared" si="76"/>
        <v>101.16613885856906</v>
      </c>
      <c r="X194" s="238">
        <f t="shared" si="77"/>
        <v>142.69931791051414</v>
      </c>
      <c r="Y194" s="238">
        <f t="shared" si="78"/>
        <v>184.23249696245921</v>
      </c>
      <c r="AA194" s="89"/>
      <c r="AB194" s="89"/>
      <c r="AC194" s="89"/>
      <c r="AD194" s="89"/>
      <c r="AE194" s="89"/>
      <c r="AF194" s="89"/>
      <c r="AG194" s="89"/>
      <c r="AH194" s="89"/>
      <c r="AI194" s="89"/>
      <c r="AJ194" s="89"/>
      <c r="AK194" s="89"/>
      <c r="AL194" s="89"/>
      <c r="AM194" s="89"/>
      <c r="AN194" s="89"/>
      <c r="BR194" s="180">
        <v>2034</v>
      </c>
      <c r="BS194" s="22">
        <v>20</v>
      </c>
      <c r="BT194" s="181">
        <f t="shared" si="89"/>
        <v>32.628001584911395</v>
      </c>
      <c r="BU194" s="182">
        <f t="shared" si="90"/>
        <v>106.45137405158448</v>
      </c>
      <c r="BV194" s="205">
        <f t="shared" si="91"/>
        <v>139.07937563649588</v>
      </c>
      <c r="BY194" s="180">
        <v>2034</v>
      </c>
      <c r="BZ194" s="22">
        <v>20</v>
      </c>
      <c r="CA194" s="198">
        <f t="shared" ca="1" si="92"/>
        <v>-4.5764764173387826</v>
      </c>
      <c r="CB194" s="198">
        <f t="shared" ca="1" si="93"/>
        <v>39.950363852653446</v>
      </c>
      <c r="CC194" s="186">
        <f t="shared" ca="1" si="104"/>
        <v>104.43772442795542</v>
      </c>
      <c r="CD194" s="205">
        <f t="shared" ca="1" si="94"/>
        <v>139.81161186327009</v>
      </c>
      <c r="CG194" s="180">
        <v>2034</v>
      </c>
      <c r="CH194" s="22">
        <v>20</v>
      </c>
      <c r="CI194" s="198">
        <f t="shared" ca="1" si="95"/>
        <v>1.2747875588687494</v>
      </c>
      <c r="CJ194" s="198">
        <f t="shared" ca="1" si="96"/>
        <v>-7.6359665586237675</v>
      </c>
      <c r="CK194" s="198">
        <f t="shared" ca="1" si="97"/>
        <v>41.939669838268109</v>
      </c>
      <c r="CL194" s="186">
        <f t="shared" ca="1" si="98"/>
        <v>104.15166209974525</v>
      </c>
      <c r="CM194" s="205">
        <f t="shared" ca="1" si="99"/>
        <v>139.73015293825836</v>
      </c>
      <c r="CP194" s="180">
        <v>2034</v>
      </c>
      <c r="CQ194" s="22">
        <v>20</v>
      </c>
      <c r="CR194" s="198">
        <f t="shared" ca="1" si="100"/>
        <v>107.90475001670083</v>
      </c>
      <c r="CS194" s="186">
        <f t="shared" ca="1" si="101"/>
        <v>1.2832588483390142</v>
      </c>
      <c r="CT194" s="205">
        <f t="shared" ca="1" si="102"/>
        <v>138.46972523674071</v>
      </c>
      <c r="CZ194" s="164" t="b">
        <f t="shared" si="79"/>
        <v>1</v>
      </c>
      <c r="DA194" s="165" t="b">
        <f t="shared" si="79"/>
        <v>1</v>
      </c>
      <c r="DB194" s="166" t="b">
        <f t="shared" si="79"/>
        <v>1</v>
      </c>
      <c r="DC194" s="164">
        <f t="shared" si="80"/>
        <v>22</v>
      </c>
      <c r="DD194" s="166">
        <f t="shared" si="81"/>
        <v>101.16613885856906</v>
      </c>
      <c r="DE194" s="164">
        <f t="shared" si="82"/>
        <v>22</v>
      </c>
      <c r="DF194" s="166">
        <f t="shared" si="83"/>
        <v>142.69931791051414</v>
      </c>
      <c r="DG194" s="164">
        <f t="shared" si="84"/>
        <v>22</v>
      </c>
      <c r="DH194" s="166">
        <f t="shared" si="85"/>
        <v>184.23249696245921</v>
      </c>
      <c r="DI194" s="164">
        <f>IFERROR(INDEX(DC$170:DC$218,_xlfn.AGGREGATE(15,6,(ROW(DC$170:DC$218)-ROW(DC$170)+1)/(DC$170:DC$218&lt;&gt;""),ROWS(DI$1:DI25))),"")</f>
        <v>25</v>
      </c>
      <c r="DJ194" s="165">
        <f>IFERROR(INDEX(DD$170:DD$218,_xlfn.AGGREGATE(15,6,(ROW(DD$170:DD$218)-ROW(DD$170)+1)/(DD$170:DD$218&lt;&gt;""),ROWS(DJ$1:DJ25))),"")</f>
        <v>102.61663163328947</v>
      </c>
      <c r="DK194" s="166">
        <f t="shared" si="86"/>
        <v>194</v>
      </c>
      <c r="DL194" s="164">
        <f>IFERROR(INDEX(DE$170:DE$218,_xlfn.AGGREGATE(15,6,(ROW(DE$170:DE$218)-ROW(DE$170)+1)/(DE$170:DE$218&lt;&gt;""),ROWS(DL$1:DL25))),"")</f>
        <v>25</v>
      </c>
      <c r="DM194" s="165">
        <f>IFERROR(INDEX(DF$170:DF$218,_xlfn.AGGREGATE(15,6,(ROW(DF$170:DF$218)-ROW(DF$170)+1)/(DF$170:DF$218&lt;&gt;""),ROWS(DM$1:DM25))),"")</f>
        <v>147.10967156855293</v>
      </c>
      <c r="DN194" s="166">
        <f t="shared" si="87"/>
        <v>194</v>
      </c>
      <c r="DO194" s="164">
        <f>IFERROR(INDEX(DG$170:DG$218,_xlfn.AGGREGATE(15,6,(ROW(DG$170:DG$218)-ROW(DG$170)+1)/(DG$170:DG$218&lt;&gt;""),ROWS(DO$1:DO25))),"")</f>
        <v>25</v>
      </c>
      <c r="DP194" s="165">
        <f>IFERROR(INDEX(DH$170:DH$218,_xlfn.AGGREGATE(15,6,(ROW(DH$170:DH$218)-ROW(DH$170)+1)/(DH$170:DH$218&lt;&gt;""),ROWS(DP$1:DP25))),"")</f>
        <v>191.60271150381638</v>
      </c>
      <c r="DQ194" s="166">
        <f t="shared" si="88"/>
        <v>194</v>
      </c>
      <c r="DV194" s="145">
        <v>2039</v>
      </c>
      <c r="DW194" s="235">
        <f t="shared" ca="1" si="72"/>
        <v>147.13487110064628</v>
      </c>
    </row>
    <row r="195" spans="2:135" ht="13.8" x14ac:dyDescent="0.45">
      <c r="B195" s="128">
        <v>2037</v>
      </c>
      <c r="C195" s="263">
        <f>'Total MSW Summaries (Archive)'!E28</f>
        <v>105.36356972676829</v>
      </c>
      <c r="D195" s="267">
        <f>'Total MSW Summaries (Archive)'!Q28</f>
        <v>184.19215623550571</v>
      </c>
      <c r="E195" s="271">
        <f>'Total MSW Summaries (Archive)'!AC28</f>
        <v>196.98199999999989</v>
      </c>
      <c r="F195" s="271">
        <f>'Total MSW Summaries (Archive)'!AO28</f>
        <v>146.1568727069662</v>
      </c>
      <c r="G195" s="271">
        <f>'Total MSW Summaries (Archive)'!BA28</f>
        <v>88.183289757308842</v>
      </c>
      <c r="H195" s="245"/>
      <c r="I195" s="246"/>
      <c r="J195" s="247"/>
      <c r="K195" s="245"/>
      <c r="L195" s="246"/>
      <c r="M195" s="245"/>
      <c r="N195" s="29" t="s">
        <v>119</v>
      </c>
      <c r="O195" s="120"/>
      <c r="P195" s="120"/>
      <c r="Q195" s="120"/>
      <c r="R195" s="29">
        <v>23</v>
      </c>
      <c r="S195" s="238">
        <f t="shared" si="73"/>
        <v>88.183289757308842</v>
      </c>
      <c r="T195" s="238">
        <f t="shared" si="74"/>
        <v>196.98199999999989</v>
      </c>
      <c r="U195" s="238">
        <f t="shared" si="75"/>
        <v>42.5094779918321</v>
      </c>
      <c r="W195" s="238">
        <f t="shared" si="76"/>
        <v>101.66609969347768</v>
      </c>
      <c r="X195" s="238">
        <f t="shared" si="77"/>
        <v>144.17557768530978</v>
      </c>
      <c r="Y195" s="238">
        <f t="shared" si="78"/>
        <v>186.68505567714186</v>
      </c>
      <c r="AA195" s="89"/>
      <c r="AB195" s="89"/>
      <c r="AC195" s="89"/>
      <c r="AD195" s="89"/>
      <c r="AE195" s="89"/>
      <c r="AF195" s="89"/>
      <c r="AG195" s="89"/>
      <c r="AH195" s="89"/>
      <c r="AI195" s="89"/>
      <c r="AJ195" s="89"/>
      <c r="AK195" s="89"/>
      <c r="AL195" s="89"/>
      <c r="AM195" s="89"/>
      <c r="AN195" s="89"/>
      <c r="BR195" s="180">
        <v>2035</v>
      </c>
      <c r="BS195" s="22">
        <v>21</v>
      </c>
      <c r="BT195" s="181">
        <f t="shared" si="89"/>
        <v>34.259401664156961</v>
      </c>
      <c r="BU195" s="182">
        <f t="shared" si="90"/>
        <v>106.45137405158448</v>
      </c>
      <c r="BV195" s="205">
        <f t="shared" si="91"/>
        <v>140.71077571574145</v>
      </c>
      <c r="BY195" s="180">
        <v>2035</v>
      </c>
      <c r="BZ195" s="22">
        <v>21</v>
      </c>
      <c r="CA195" s="198">
        <f t="shared" ca="1" si="92"/>
        <v>-5.0455652501160078</v>
      </c>
      <c r="CB195" s="198">
        <f t="shared" ca="1" si="93"/>
        <v>41.947882045286121</v>
      </c>
      <c r="CC195" s="186">
        <f t="shared" ca="1" si="104"/>
        <v>104.43772442795542</v>
      </c>
      <c r="CD195" s="205">
        <f t="shared" ca="1" si="94"/>
        <v>141.34004122312552</v>
      </c>
      <c r="CG195" s="180">
        <v>2035</v>
      </c>
      <c r="CH195" s="22">
        <v>21</v>
      </c>
      <c r="CI195" s="198">
        <f t="shared" ca="1" si="95"/>
        <v>1.4757259478354359</v>
      </c>
      <c r="CJ195" s="198">
        <f t="shared" ca="1" si="96"/>
        <v>-8.4186531308827046</v>
      </c>
      <c r="CK195" s="198">
        <f t="shared" ca="1" si="97"/>
        <v>44.036653330181515</v>
      </c>
      <c r="CL195" s="186">
        <f t="shared" ca="1" si="98"/>
        <v>104.15166209974525</v>
      </c>
      <c r="CM195" s="205">
        <f t="shared" ca="1" si="99"/>
        <v>141.24538824687949</v>
      </c>
      <c r="CP195" s="180">
        <v>2035</v>
      </c>
      <c r="CQ195" s="22">
        <v>21</v>
      </c>
      <c r="CR195" s="198">
        <f t="shared" ca="1" si="100"/>
        <v>107.90475001670083</v>
      </c>
      <c r="CS195" s="186">
        <f t="shared" ca="1" si="101"/>
        <v>1.2993614592139318</v>
      </c>
      <c r="CT195" s="205">
        <f t="shared" ca="1" si="102"/>
        <v>140.20727343781491</v>
      </c>
      <c r="CZ195" s="164" t="b">
        <f t="shared" si="79"/>
        <v>1</v>
      </c>
      <c r="DA195" s="165" t="b">
        <f t="shared" si="79"/>
        <v>1</v>
      </c>
      <c r="DB195" s="166" t="b">
        <f t="shared" si="79"/>
        <v>1</v>
      </c>
      <c r="DC195" s="164">
        <f t="shared" si="80"/>
        <v>23</v>
      </c>
      <c r="DD195" s="166">
        <f t="shared" si="81"/>
        <v>101.66609969347768</v>
      </c>
      <c r="DE195" s="164">
        <f t="shared" si="82"/>
        <v>23</v>
      </c>
      <c r="DF195" s="166">
        <f t="shared" si="83"/>
        <v>144.17557768530978</v>
      </c>
      <c r="DG195" s="164">
        <f t="shared" si="84"/>
        <v>23</v>
      </c>
      <c r="DH195" s="166">
        <f t="shared" si="85"/>
        <v>186.68505567714186</v>
      </c>
      <c r="DI195" s="164">
        <f>IFERROR(INDEX(DC$170:DC$218,_xlfn.AGGREGATE(15,6,(ROW(DC$170:DC$218)-ROW(DC$170)+1)/(DC$170:DC$218&lt;&gt;""),ROWS(DI$1:DI26))),"")</f>
        <v>26</v>
      </c>
      <c r="DJ195" s="165">
        <f>IFERROR(INDEX(DD$170:DD$218,_xlfn.AGGREGATE(15,6,(ROW(DD$170:DD$218)-ROW(DD$170)+1)/(DD$170:DD$218&lt;&gt;""),ROWS(DJ$1:DJ26))),"")</f>
        <v>102.96436303672155</v>
      </c>
      <c r="DK195" s="166">
        <f t="shared" si="86"/>
        <v>195</v>
      </c>
      <c r="DL195" s="164">
        <f>IFERROR(INDEX(DE$170:DE$218,_xlfn.AGGREGATE(15,6,(ROW(DE$170:DE$218)-ROW(DE$170)+1)/(DE$170:DE$218&lt;&gt;""),ROWS(DL$1:DL26))),"")</f>
        <v>26</v>
      </c>
      <c r="DM195" s="165">
        <f>IFERROR(INDEX(DF$170:DF$218,_xlfn.AGGREGATE(15,6,(ROW(DF$170:DF$218)-ROW(DF$170)+1)/(DF$170:DF$218&lt;&gt;""),ROWS(DM$1:DM26))),"")</f>
        <v>148.46717310736162</v>
      </c>
      <c r="DN195" s="166">
        <f t="shared" si="87"/>
        <v>195</v>
      </c>
      <c r="DO195" s="164">
        <f>IFERROR(INDEX(DG$170:DG$218,_xlfn.AGGREGATE(15,6,(ROW(DG$170:DG$218)-ROW(DG$170)+1)/(DG$170:DG$218&lt;&gt;""),ROWS(DO$1:DO26))),"")</f>
        <v>26</v>
      </c>
      <c r="DP195" s="165">
        <f>IFERROR(INDEX(DH$170:DH$218,_xlfn.AGGREGATE(15,6,(ROW(DH$170:DH$218)-ROW(DH$170)+1)/(DH$170:DH$218&lt;&gt;""),ROWS(DP$1:DP26))),"")</f>
        <v>193.96998317800168</v>
      </c>
      <c r="DQ195" s="166">
        <f t="shared" si="88"/>
        <v>195</v>
      </c>
      <c r="DV195" s="145">
        <v>2040</v>
      </c>
      <c r="DW195" s="235">
        <f t="shared" ca="1" si="72"/>
        <v>148.56915767225428</v>
      </c>
    </row>
    <row r="196" spans="2:135" ht="13.8" x14ac:dyDescent="0.45">
      <c r="B196" s="128">
        <v>2038</v>
      </c>
      <c r="C196" s="263">
        <f>'Total MSW Summaries (Archive)'!E29</f>
        <v>105.56988528429302</v>
      </c>
      <c r="D196" s="267">
        <f>'Total MSW Summaries (Archive)'!Q29</f>
        <v>187.25689915207795</v>
      </c>
      <c r="E196" s="271">
        <f>'Total MSW Summaries (Archive)'!AC29</f>
        <v>199.63599999999988</v>
      </c>
      <c r="F196" s="271">
        <f>'Total MSW Summaries (Archive)'!AO29</f>
        <v>146.73652617575218</v>
      </c>
      <c r="G196" s="271">
        <f>'Total MSW Summaries (Archive)'!BA29</f>
        <v>89.02575268130191</v>
      </c>
      <c r="H196" s="245"/>
      <c r="I196" s="246"/>
      <c r="J196" s="247"/>
      <c r="K196" s="245"/>
      <c r="L196" s="246"/>
      <c r="M196" s="245"/>
      <c r="N196" s="29" t="s">
        <v>119</v>
      </c>
      <c r="O196" s="120"/>
      <c r="P196" s="120"/>
      <c r="Q196" s="120"/>
      <c r="R196" s="29">
        <v>24</v>
      </c>
      <c r="S196" s="238">
        <f t="shared" si="73"/>
        <v>89.02575268130191</v>
      </c>
      <c r="T196" s="238">
        <f t="shared" si="74"/>
        <v>199.63599999999988</v>
      </c>
      <c r="U196" s="238">
        <f t="shared" si="75"/>
        <v>43.496031193310586</v>
      </c>
      <c r="W196" s="238">
        <f t="shared" si="76"/>
        <v>102.14898146537439</v>
      </c>
      <c r="X196" s="238">
        <f t="shared" si="77"/>
        <v>145.64501265868498</v>
      </c>
      <c r="Y196" s="238">
        <f t="shared" si="78"/>
        <v>189.14104385199556</v>
      </c>
      <c r="AA196" s="89"/>
      <c r="AB196" s="89"/>
      <c r="AC196" s="89"/>
      <c r="AD196" s="89"/>
      <c r="AE196" s="89"/>
      <c r="AF196" s="89"/>
      <c r="AG196" s="89"/>
      <c r="AH196" s="89"/>
      <c r="AI196" s="89"/>
      <c r="AJ196" s="89"/>
      <c r="AK196" s="89"/>
      <c r="AL196" s="89"/>
      <c r="AM196" s="89"/>
      <c r="AN196" s="89"/>
      <c r="BR196" s="180">
        <v>2036</v>
      </c>
      <c r="BS196" s="22">
        <v>22</v>
      </c>
      <c r="BT196" s="181">
        <f t="shared" si="89"/>
        <v>35.890801743402534</v>
      </c>
      <c r="BU196" s="182">
        <f t="shared" si="90"/>
        <v>106.45137405158448</v>
      </c>
      <c r="BV196" s="205">
        <f t="shared" si="91"/>
        <v>142.34217579498701</v>
      </c>
      <c r="BY196" s="180">
        <v>2036</v>
      </c>
      <c r="BZ196" s="22">
        <v>22</v>
      </c>
      <c r="CA196" s="198">
        <f t="shared" ca="1" si="92"/>
        <v>-5.5375364649799268</v>
      </c>
      <c r="CB196" s="198">
        <f t="shared" ca="1" si="93"/>
        <v>43.94540023791879</v>
      </c>
      <c r="CC196" s="186">
        <f t="shared" ca="1" si="104"/>
        <v>104.43772442795542</v>
      </c>
      <c r="CD196" s="205">
        <f t="shared" ca="1" si="94"/>
        <v>142.84558820089427</v>
      </c>
      <c r="CG196" s="180">
        <v>2036</v>
      </c>
      <c r="CH196" s="22">
        <v>22</v>
      </c>
      <c r="CI196" s="198">
        <f t="shared" ca="1" si="95"/>
        <v>1.6967422408543054</v>
      </c>
      <c r="CJ196" s="198">
        <f t="shared" ca="1" si="96"/>
        <v>-9.2395195359347593</v>
      </c>
      <c r="CK196" s="198">
        <f t="shared" ca="1" si="97"/>
        <v>46.133636822094921</v>
      </c>
      <c r="CL196" s="186">
        <f t="shared" ca="1" si="98"/>
        <v>104.15166209974525</v>
      </c>
      <c r="CM196" s="205">
        <f t="shared" ca="1" si="99"/>
        <v>142.74252162675972</v>
      </c>
      <c r="CP196" s="180">
        <v>2036</v>
      </c>
      <c r="CQ196" s="22">
        <v>22</v>
      </c>
      <c r="CR196" s="198">
        <f t="shared" ca="1" si="100"/>
        <v>107.90475001670083</v>
      </c>
      <c r="CS196" s="186">
        <f t="shared" ca="1" si="101"/>
        <v>1.3156661291491274</v>
      </c>
      <c r="CT196" s="205">
        <f t="shared" ca="1" si="102"/>
        <v>141.96662477127703</v>
      </c>
      <c r="CZ196" s="164" t="b">
        <f t="shared" si="79"/>
        <v>1</v>
      </c>
      <c r="DA196" s="165" t="b">
        <f t="shared" si="79"/>
        <v>1</v>
      </c>
      <c r="DB196" s="166" t="b">
        <f t="shared" si="79"/>
        <v>1</v>
      </c>
      <c r="DC196" s="164">
        <f t="shared" si="80"/>
        <v>24</v>
      </c>
      <c r="DD196" s="166">
        <f t="shared" si="81"/>
        <v>102.14898146537439</v>
      </c>
      <c r="DE196" s="164">
        <f t="shared" si="82"/>
        <v>24</v>
      </c>
      <c r="DF196" s="166">
        <f t="shared" si="83"/>
        <v>145.64501265868498</v>
      </c>
      <c r="DG196" s="164">
        <f t="shared" si="84"/>
        <v>24</v>
      </c>
      <c r="DH196" s="166">
        <f t="shared" si="85"/>
        <v>189.14104385199556</v>
      </c>
      <c r="DI196" s="164">
        <f>IFERROR(INDEX(DC$170:DC$218,_xlfn.AGGREGATE(15,6,(ROW(DC$170:DC$218)-ROW(DC$170)+1)/(DC$170:DC$218&lt;&gt;""),ROWS(DI$1:DI27))),"")</f>
        <v>27</v>
      </c>
      <c r="DJ196" s="165">
        <f>IFERROR(INDEX(DD$170:DD$218,_xlfn.AGGREGATE(15,6,(ROW(DD$170:DD$218)-ROW(DD$170)+1)/(DD$170:DD$218&lt;&gt;""),ROWS(DJ$1:DJ27))),"")</f>
        <v>103.51340853740362</v>
      </c>
      <c r="DK196" s="166">
        <f t="shared" si="86"/>
        <v>196</v>
      </c>
      <c r="DL196" s="164">
        <f>IFERROR(INDEX(DE$170:DE$218,_xlfn.AGGREGATE(15,6,(ROW(DE$170:DE$218)-ROW(DE$170)+1)/(DE$170:DE$218&lt;&gt;""),ROWS(DL$1:DL27))),"")</f>
        <v>27</v>
      </c>
      <c r="DM196" s="165">
        <f>IFERROR(INDEX(DF$170:DF$218,_xlfn.AGGREGATE(15,6,(ROW(DF$170:DF$218)-ROW(DF$170)+1)/(DF$170:DF$218&lt;&gt;""),ROWS(DM$1:DM27))),"")</f>
        <v>150.03200419916703</v>
      </c>
      <c r="DN196" s="166">
        <f t="shared" si="87"/>
        <v>196</v>
      </c>
      <c r="DO196" s="164">
        <f>IFERROR(INDEX(DG$170:DG$218,_xlfn.AGGREGATE(15,6,(ROW(DG$170:DG$218)-ROW(DG$170)+1)/(DG$170:DG$218&lt;&gt;""),ROWS(DO$1:DO27))),"")</f>
        <v>27</v>
      </c>
      <c r="DP196" s="165">
        <f>IFERROR(INDEX(DH$170:DH$218,_xlfn.AGGREGATE(15,6,(ROW(DH$170:DH$218)-ROW(DH$170)+1)/(DH$170:DH$218&lt;&gt;""),ROWS(DP$1:DP27))),"")</f>
        <v>196.55059986093045</v>
      </c>
      <c r="DQ196" s="166">
        <f t="shared" si="88"/>
        <v>196</v>
      </c>
      <c r="DV196" s="145">
        <v>2041</v>
      </c>
      <c r="DW196" s="235">
        <f t="shared" ca="1" si="72"/>
        <v>149.99012276846707</v>
      </c>
    </row>
    <row r="197" spans="2:135" ht="13.8" x14ac:dyDescent="0.45">
      <c r="B197" s="128">
        <v>2039</v>
      </c>
      <c r="C197" s="263">
        <f>'Total MSW Summaries (Archive)'!E30</f>
        <v>105.77657272520278</v>
      </c>
      <c r="D197" s="267">
        <f>'Total MSW Summaries (Archive)'!Q30</f>
        <v>190.33288037825307</v>
      </c>
      <c r="E197" s="271">
        <f>'Total MSW Summaries (Archive)'!AC30</f>
        <v>202.28999999999988</v>
      </c>
      <c r="F197" s="271">
        <f>'Total MSW Summaries (Archive)'!AO30</f>
        <v>147.28068913401398</v>
      </c>
      <c r="G197" s="271">
        <f>'Total MSW Summaries (Archive)'!BA30</f>
        <v>89.868215605294978</v>
      </c>
      <c r="H197" s="245"/>
      <c r="I197" s="246"/>
      <c r="J197" s="247"/>
      <c r="K197" s="245"/>
      <c r="L197" s="246"/>
      <c r="M197" s="245"/>
      <c r="N197" s="29" t="s">
        <v>119</v>
      </c>
      <c r="O197" s="120"/>
      <c r="P197" s="120"/>
      <c r="Q197" s="120"/>
      <c r="R197" s="29">
        <v>25</v>
      </c>
      <c r="S197" s="238">
        <f t="shared" si="73"/>
        <v>89.868215605294978</v>
      </c>
      <c r="T197" s="238">
        <f t="shared" si="74"/>
        <v>202.28999999999988</v>
      </c>
      <c r="U197" s="238">
        <f t="shared" si="75"/>
        <v>44.493039935263447</v>
      </c>
      <c r="W197" s="238">
        <f t="shared" si="76"/>
        <v>102.61663163328947</v>
      </c>
      <c r="X197" s="238">
        <f t="shared" si="77"/>
        <v>147.10967156855293</v>
      </c>
      <c r="Y197" s="238">
        <f t="shared" si="78"/>
        <v>191.60271150381638</v>
      </c>
      <c r="AA197" s="89"/>
      <c r="AB197" s="89"/>
      <c r="AC197" s="89"/>
      <c r="AD197" s="89"/>
      <c r="AE197" s="89"/>
      <c r="AF197" s="89"/>
      <c r="AG197" s="89"/>
      <c r="AH197" s="89"/>
      <c r="AI197" s="89"/>
      <c r="AJ197" s="89"/>
      <c r="AK197" s="89"/>
      <c r="AL197" s="89"/>
      <c r="AM197" s="89"/>
      <c r="AN197" s="89"/>
      <c r="BR197" s="180">
        <v>2037</v>
      </c>
      <c r="BS197" s="22">
        <v>23</v>
      </c>
      <c r="BT197" s="181">
        <f t="shared" si="89"/>
        <v>37.5222018226481</v>
      </c>
      <c r="BU197" s="182">
        <f t="shared" si="90"/>
        <v>106.45137405158448</v>
      </c>
      <c r="BV197" s="205">
        <f t="shared" si="91"/>
        <v>143.97357587423258</v>
      </c>
      <c r="BY197" s="180">
        <v>2037</v>
      </c>
      <c r="BZ197" s="22">
        <v>23</v>
      </c>
      <c r="CA197" s="198">
        <f t="shared" ca="1" si="92"/>
        <v>-6.0523900619305397</v>
      </c>
      <c r="CB197" s="198">
        <f t="shared" ca="1" si="93"/>
        <v>45.942918430551465</v>
      </c>
      <c r="CC197" s="186">
        <f t="shared" ca="1" si="104"/>
        <v>104.43772442795542</v>
      </c>
      <c r="CD197" s="205">
        <f t="shared" ca="1" si="94"/>
        <v>144.32825279657635</v>
      </c>
      <c r="CG197" s="180">
        <v>2037</v>
      </c>
      <c r="CH197" s="22">
        <v>23</v>
      </c>
      <c r="CI197" s="198">
        <f t="shared" ca="1" si="95"/>
        <v>1.9387925285945091</v>
      </c>
      <c r="CJ197" s="198">
        <f t="shared" ca="1" si="96"/>
        <v>-10.098565773779933</v>
      </c>
      <c r="CK197" s="198">
        <f t="shared" ca="1" si="97"/>
        <v>48.230620314008327</v>
      </c>
      <c r="CL197" s="186">
        <f t="shared" ca="1" si="98"/>
        <v>104.15166209974525</v>
      </c>
      <c r="CM197" s="205">
        <f t="shared" ca="1" si="99"/>
        <v>144.22250916856814</v>
      </c>
      <c r="CP197" s="180">
        <v>2037</v>
      </c>
      <c r="CQ197" s="22">
        <v>23</v>
      </c>
      <c r="CR197" s="198">
        <f t="shared" ca="1" si="100"/>
        <v>107.90475001670083</v>
      </c>
      <c r="CS197" s="186">
        <f t="shared" ca="1" si="101"/>
        <v>1.3321753936255962</v>
      </c>
      <c r="CT197" s="205">
        <f t="shared" ca="1" si="102"/>
        <v>143.74805282756998</v>
      </c>
      <c r="CZ197" s="164" t="b">
        <f t="shared" si="79"/>
        <v>1</v>
      </c>
      <c r="DA197" s="165" t="b">
        <f t="shared" si="79"/>
        <v>1</v>
      </c>
      <c r="DB197" s="166" t="b">
        <f t="shared" si="79"/>
        <v>1</v>
      </c>
      <c r="DC197" s="164">
        <f t="shared" si="80"/>
        <v>25</v>
      </c>
      <c r="DD197" s="166">
        <f t="shared" si="81"/>
        <v>102.61663163328947</v>
      </c>
      <c r="DE197" s="164">
        <f t="shared" si="82"/>
        <v>25</v>
      </c>
      <c r="DF197" s="166">
        <f t="shared" si="83"/>
        <v>147.10967156855293</v>
      </c>
      <c r="DG197" s="164">
        <f t="shared" si="84"/>
        <v>25</v>
      </c>
      <c r="DH197" s="166">
        <f t="shared" si="85"/>
        <v>191.60271150381638</v>
      </c>
      <c r="DI197" s="164">
        <f>IFERROR(INDEX(DC$170:DC$218,_xlfn.AGGREGATE(15,6,(ROW(DC$170:DC$218)-ROW(DC$170)+1)/(DC$170:DC$218&lt;&gt;""),ROWS(DI$1:DI28))),"")</f>
        <v>28</v>
      </c>
      <c r="DJ197" s="165">
        <f>IFERROR(INDEX(DD$170:DD$218,_xlfn.AGGREGATE(15,6,(ROW(DD$170:DD$218)-ROW(DD$170)+1)/(DD$170:DD$218&lt;&gt;""),ROWS(DJ$1:DJ28))),"")</f>
        <v>103.89216638982938</v>
      </c>
      <c r="DK197" s="166">
        <f t="shared" si="86"/>
        <v>197</v>
      </c>
      <c r="DL197" s="164">
        <f>IFERROR(INDEX(DE$170:DE$218,_xlfn.AGGREGATE(15,6,(ROW(DE$170:DE$218)-ROW(DE$170)+1)/(DE$170:DE$218&lt;&gt;""),ROWS(DL$1:DL28))),"")</f>
        <v>28</v>
      </c>
      <c r="DM197" s="165">
        <f>IFERROR(INDEX(DF$170:DF$218,_xlfn.AGGREGATE(15,6,(ROW(DF$170:DF$218)-ROW(DF$170)+1)/(DF$170:DF$218&lt;&gt;""),ROWS(DM$1:DM28))),"")</f>
        <v>151.42533440231043</v>
      </c>
      <c r="DN197" s="166">
        <f t="shared" si="87"/>
        <v>197</v>
      </c>
      <c r="DO197" s="164">
        <f>IFERROR(INDEX(DG$170:DG$218,_xlfn.AGGREGATE(15,6,(ROW(DG$170:DG$218)-ROW(DG$170)+1)/(DG$170:DG$218&lt;&gt;""),ROWS(DO$1:DO28))),"")</f>
        <v>28</v>
      </c>
      <c r="DP197" s="165">
        <f>IFERROR(INDEX(DH$170:DH$218,_xlfn.AGGREGATE(15,6,(ROW(DH$170:DH$218)-ROW(DH$170)+1)/(DH$170:DH$218&lt;&gt;""),ROWS(DP$1:DP28))),"")</f>
        <v>198.95850241479147</v>
      </c>
      <c r="DQ197" s="166">
        <f t="shared" si="88"/>
        <v>197</v>
      </c>
      <c r="DV197" s="145">
        <v>2042</v>
      </c>
      <c r="DW197" s="235">
        <f t="shared" ca="1" si="72"/>
        <v>151.39872247995385</v>
      </c>
    </row>
    <row r="198" spans="2:135" ht="13.8" x14ac:dyDescent="0.45">
      <c r="B198" s="128">
        <v>2040</v>
      </c>
      <c r="C198" s="263">
        <f>'Total MSW Summaries (Archive)'!E31</f>
        <v>105.98420315966061</v>
      </c>
      <c r="D198" s="267">
        <f>'Total MSW Summaries (Archive)'!Q31</f>
        <v>193.42117076638061</v>
      </c>
      <c r="E198" s="271">
        <f>'Total MSW Summaries (Archive)'!AC31</f>
        <v>204.94399999999987</v>
      </c>
      <c r="F198" s="271">
        <f>'Total MSW Summaries (Archive)'!AO31</f>
        <v>147.27581308147904</v>
      </c>
      <c r="G198" s="271">
        <f>'Total MSW Summaries (Archive)'!BA31</f>
        <v>90.710678529288046</v>
      </c>
      <c r="H198" s="245"/>
      <c r="I198" s="246"/>
      <c r="J198" s="247"/>
      <c r="K198" s="245"/>
      <c r="L198" s="246"/>
      <c r="M198" s="245"/>
      <c r="N198" s="29" t="s">
        <v>119</v>
      </c>
      <c r="O198" s="120"/>
      <c r="P198" s="120"/>
      <c r="Q198" s="120"/>
      <c r="R198" s="29">
        <v>26</v>
      </c>
      <c r="S198" s="238">
        <f t="shared" si="73"/>
        <v>90.710678529288046</v>
      </c>
      <c r="T198" s="238">
        <f t="shared" si="74"/>
        <v>204.94399999999987</v>
      </c>
      <c r="U198" s="238">
        <f t="shared" si="75"/>
        <v>45.502810070640059</v>
      </c>
      <c r="W198" s="238">
        <f t="shared" si="76"/>
        <v>102.96436303672155</v>
      </c>
      <c r="X198" s="238">
        <f t="shared" si="77"/>
        <v>148.46717310736162</v>
      </c>
      <c r="Y198" s="238">
        <f t="shared" si="78"/>
        <v>193.96998317800168</v>
      </c>
      <c r="AA198" s="89"/>
      <c r="AB198" s="89"/>
      <c r="AC198" s="89"/>
      <c r="AD198" s="89"/>
      <c r="AE198" s="89"/>
      <c r="AF198" s="89"/>
      <c r="AG198" s="89"/>
      <c r="AH198" s="89"/>
      <c r="AI198" s="89"/>
      <c r="AJ198" s="89"/>
      <c r="AK198" s="89"/>
      <c r="AL198" s="89"/>
      <c r="AM198" s="89"/>
      <c r="AN198" s="89"/>
      <c r="BR198" s="180">
        <v>2038</v>
      </c>
      <c r="BS198" s="22">
        <v>24</v>
      </c>
      <c r="BT198" s="181">
        <f t="shared" si="89"/>
        <v>39.153601901893673</v>
      </c>
      <c r="BU198" s="182">
        <f t="shared" si="90"/>
        <v>106.45137405158448</v>
      </c>
      <c r="BV198" s="205">
        <f t="shared" si="91"/>
        <v>145.60497595347815</v>
      </c>
      <c r="BY198" s="180">
        <v>2038</v>
      </c>
      <c r="BZ198" s="22">
        <v>24</v>
      </c>
      <c r="CA198" s="198">
        <f t="shared" ca="1" si="92"/>
        <v>-6.5901260409678466</v>
      </c>
      <c r="CB198" s="198">
        <f t="shared" ca="1" si="93"/>
        <v>47.940436623184141</v>
      </c>
      <c r="CC198" s="186">
        <f t="shared" ca="1" si="104"/>
        <v>104.43772442795542</v>
      </c>
      <c r="CD198" s="205">
        <f t="shared" ca="1" si="94"/>
        <v>145.78803501017171</v>
      </c>
      <c r="CG198" s="180">
        <v>2038</v>
      </c>
      <c r="CH198" s="22">
        <v>24</v>
      </c>
      <c r="CI198" s="198">
        <f t="shared" ca="1" si="95"/>
        <v>2.2028329017251989</v>
      </c>
      <c r="CJ198" s="198">
        <f t="shared" ca="1" si="96"/>
        <v>-10.995791844418225</v>
      </c>
      <c r="CK198" s="198">
        <f t="shared" ca="1" si="97"/>
        <v>50.327603805921726</v>
      </c>
      <c r="CL198" s="186">
        <f t="shared" ca="1" si="98"/>
        <v>104.15166209974525</v>
      </c>
      <c r="CM198" s="205">
        <f t="shared" ca="1" si="99"/>
        <v>145.68630696297396</v>
      </c>
      <c r="CP198" s="180">
        <v>2038</v>
      </c>
      <c r="CQ198" s="22">
        <v>24</v>
      </c>
      <c r="CR198" s="198">
        <f t="shared" ca="1" si="100"/>
        <v>107.90475001670083</v>
      </c>
      <c r="CS198" s="186">
        <f t="shared" ca="1" si="101"/>
        <v>1.3488918199400992</v>
      </c>
      <c r="CT198" s="205">
        <f t="shared" ca="1" si="102"/>
        <v>145.55183463020904</v>
      </c>
      <c r="CZ198" s="164" t="b">
        <f t="shared" si="79"/>
        <v>1</v>
      </c>
      <c r="DA198" s="165" t="b">
        <f t="shared" si="79"/>
        <v>1</v>
      </c>
      <c r="DB198" s="166" t="b">
        <f t="shared" si="79"/>
        <v>1</v>
      </c>
      <c r="DC198" s="164">
        <f t="shared" si="80"/>
        <v>26</v>
      </c>
      <c r="DD198" s="166">
        <f t="shared" si="81"/>
        <v>102.96436303672155</v>
      </c>
      <c r="DE198" s="164">
        <f t="shared" si="82"/>
        <v>26</v>
      </c>
      <c r="DF198" s="166">
        <f t="shared" si="83"/>
        <v>148.46717310736162</v>
      </c>
      <c r="DG198" s="164">
        <f t="shared" si="84"/>
        <v>26</v>
      </c>
      <c r="DH198" s="166">
        <f t="shared" si="85"/>
        <v>193.96998317800168</v>
      </c>
      <c r="DI198" s="164">
        <f>IFERROR(INDEX(DC$170:DC$218,_xlfn.AGGREGATE(15,6,(ROW(DC$170:DC$218)-ROW(DC$170)+1)/(DC$170:DC$218&lt;&gt;""),ROWS(DI$1:DI29))),"")</f>
        <v>29</v>
      </c>
      <c r="DJ198" s="165">
        <f>IFERROR(INDEX(DD$170:DD$218,_xlfn.AGGREGATE(15,6,(ROW(DD$170:DD$218)-ROW(DD$170)+1)/(DD$170:DD$218&lt;&gt;""),ROWS(DJ$1:DJ29))),"")</f>
        <v>104.26158282861607</v>
      </c>
      <c r="DK198" s="166">
        <f t="shared" si="86"/>
        <v>198</v>
      </c>
      <c r="DL198" s="164">
        <f>IFERROR(INDEX(DE$170:DE$218,_xlfn.AGGREGATE(15,6,(ROW(DE$170:DE$218)-ROW(DE$170)+1)/(DE$170:DE$218&lt;&gt;""),ROWS(DL$1:DL29))),"")</f>
        <v>29</v>
      </c>
      <c r="DM198" s="165">
        <f>IFERROR(INDEX(DF$170:DF$218,_xlfn.AGGREGATE(15,6,(ROW(DF$170:DF$218)-ROW(DF$170)+1)/(DF$170:DF$218&lt;&gt;""),ROWS(DM$1:DM29))),"")</f>
        <v>152.81866284476263</v>
      </c>
      <c r="DN198" s="166">
        <f t="shared" si="87"/>
        <v>198</v>
      </c>
      <c r="DO198" s="164">
        <f>IFERROR(INDEX(DG$170:DG$218,_xlfn.AGGREGATE(15,6,(ROW(DG$170:DG$218)-ROW(DG$170)+1)/(DG$170:DG$218&lt;&gt;""),ROWS(DO$1:DO29))),"")</f>
        <v>29</v>
      </c>
      <c r="DP198" s="165">
        <f>IFERROR(INDEX(DH$170:DH$218,_xlfn.AGGREGATE(15,6,(ROW(DH$170:DH$218)-ROW(DH$170)+1)/(DH$170:DH$218&lt;&gt;""),ROWS(DP$1:DP29))),"")</f>
        <v>201.37574286090918</v>
      </c>
      <c r="DQ198" s="166">
        <f t="shared" si="88"/>
        <v>198</v>
      </c>
      <c r="DV198" s="145">
        <v>2043</v>
      </c>
      <c r="DW198" s="235">
        <f t="shared" ca="1" si="72"/>
        <v>152.79591289738377</v>
      </c>
      <c r="EA198" s="55"/>
      <c r="EB198" s="55"/>
      <c r="EC198" s="55"/>
      <c r="ED198" s="55"/>
      <c r="EE198" s="55"/>
    </row>
    <row r="199" spans="2:135" ht="13.8" x14ac:dyDescent="0.45">
      <c r="B199" s="128">
        <v>2041</v>
      </c>
      <c r="C199" s="263">
        <f>'Total MSW Summaries (Archive)'!E32</f>
        <v>106.19356896965566</v>
      </c>
      <c r="D199" s="267">
        <f>'Total MSW Summaries (Archive)'!Q32</f>
        <v>196.52330917130047</v>
      </c>
      <c r="E199" s="271">
        <f>'Total MSW Summaries (Archive)'!AC32</f>
        <v>207.59799999999987</v>
      </c>
      <c r="F199" s="271">
        <f>'Total MSW Summaries (Archive)'!AO32</f>
        <v>148.29200140159796</v>
      </c>
      <c r="G199" s="271">
        <f>'Total MSW Summaries (Archive)'!BA32</f>
        <v>91.553141453281114</v>
      </c>
      <c r="H199" s="245"/>
      <c r="I199" s="246"/>
      <c r="J199" s="247"/>
      <c r="K199" s="245"/>
      <c r="L199" s="246"/>
      <c r="M199" s="245"/>
      <c r="N199" s="29" t="s">
        <v>119</v>
      </c>
      <c r="O199" s="120"/>
      <c r="P199" s="120"/>
      <c r="Q199" s="120"/>
      <c r="R199" s="29">
        <v>27</v>
      </c>
      <c r="S199" s="238">
        <f t="shared" si="73"/>
        <v>91.553141453281114</v>
      </c>
      <c r="T199" s="238">
        <f t="shared" si="74"/>
        <v>207.59799999999987</v>
      </c>
      <c r="U199" s="238">
        <f t="shared" si="75"/>
        <v>46.518595661763413</v>
      </c>
      <c r="W199" s="238">
        <f t="shared" si="76"/>
        <v>103.51340853740362</v>
      </c>
      <c r="X199" s="238">
        <f t="shared" si="77"/>
        <v>150.03200419916703</v>
      </c>
      <c r="Y199" s="238">
        <f t="shared" si="78"/>
        <v>196.55059986093045</v>
      </c>
      <c r="AA199" s="89"/>
      <c r="AB199" s="89"/>
      <c r="AC199" s="89"/>
      <c r="AD199" s="89"/>
      <c r="AE199" s="89"/>
      <c r="AF199" s="89"/>
      <c r="AG199" s="89"/>
      <c r="AH199" s="89"/>
      <c r="AI199" s="89"/>
      <c r="AJ199" s="89"/>
      <c r="AK199" s="89"/>
      <c r="AL199" s="89"/>
      <c r="AM199" s="89"/>
      <c r="AN199" s="89"/>
      <c r="BR199" s="180">
        <v>2039</v>
      </c>
      <c r="BS199" s="22">
        <v>25</v>
      </c>
      <c r="BT199" s="181">
        <f t="shared" si="89"/>
        <v>40.785001981139239</v>
      </c>
      <c r="BU199" s="182">
        <f t="shared" si="90"/>
        <v>106.45137405158448</v>
      </c>
      <c r="BV199" s="205">
        <f t="shared" si="91"/>
        <v>147.23637603272371</v>
      </c>
      <c r="BY199" s="180">
        <v>2039</v>
      </c>
      <c r="BZ199" s="22">
        <v>25</v>
      </c>
      <c r="CA199" s="198">
        <f t="shared" ca="1" si="92"/>
        <v>-7.1507444020918474</v>
      </c>
      <c r="CB199" s="198">
        <f t="shared" ca="1" si="93"/>
        <v>49.937954815816809</v>
      </c>
      <c r="CC199" s="186">
        <f t="shared" ca="1" si="104"/>
        <v>104.43772442795542</v>
      </c>
      <c r="CD199" s="205">
        <f t="shared" ca="1" si="94"/>
        <v>147.22493484168038</v>
      </c>
      <c r="CG199" s="180">
        <v>2039</v>
      </c>
      <c r="CH199" s="22">
        <v>25</v>
      </c>
      <c r="CI199" s="198">
        <f t="shared" ca="1" si="95"/>
        <v>2.489819450915526</v>
      </c>
      <c r="CJ199" s="198">
        <f t="shared" ca="1" si="96"/>
        <v>-11.931197747849637</v>
      </c>
      <c r="CK199" s="198">
        <f t="shared" ca="1" si="97"/>
        <v>52.424587297835131</v>
      </c>
      <c r="CL199" s="186">
        <f t="shared" ca="1" si="98"/>
        <v>104.15166209974525</v>
      </c>
      <c r="CM199" s="205">
        <f t="shared" ca="1" si="99"/>
        <v>147.13487110064628</v>
      </c>
      <c r="CP199" s="180">
        <v>2039</v>
      </c>
      <c r="CQ199" s="22">
        <v>25</v>
      </c>
      <c r="CR199" s="198">
        <f t="shared" ca="1" si="100"/>
        <v>107.90475001670083</v>
      </c>
      <c r="CS199" s="186">
        <f t="shared" ca="1" si="101"/>
        <v>1.3658180076043953</v>
      </c>
      <c r="CT199" s="205">
        <f t="shared" ca="1" si="102"/>
        <v>147.37825067886067</v>
      </c>
      <c r="CZ199" s="164" t="b">
        <f t="shared" si="79"/>
        <v>1</v>
      </c>
      <c r="DA199" s="165" t="b">
        <f t="shared" si="79"/>
        <v>1</v>
      </c>
      <c r="DB199" s="166" t="b">
        <f t="shared" si="79"/>
        <v>1</v>
      </c>
      <c r="DC199" s="164">
        <f t="shared" si="80"/>
        <v>27</v>
      </c>
      <c r="DD199" s="166">
        <f t="shared" si="81"/>
        <v>103.51340853740362</v>
      </c>
      <c r="DE199" s="164">
        <f t="shared" si="82"/>
        <v>27</v>
      </c>
      <c r="DF199" s="166">
        <f t="shared" si="83"/>
        <v>150.03200419916703</v>
      </c>
      <c r="DG199" s="164">
        <f t="shared" si="84"/>
        <v>27</v>
      </c>
      <c r="DH199" s="166">
        <f t="shared" si="85"/>
        <v>196.55059986093045</v>
      </c>
      <c r="DI199" s="164">
        <f>IFERROR(INDEX(DC$170:DC$218,_xlfn.AGGREGATE(15,6,(ROW(DC$170:DC$218)-ROW(DC$170)+1)/(DC$170:DC$218&lt;&gt;""),ROWS(DI$1:DI30))),"")</f>
        <v>30</v>
      </c>
      <c r="DJ199" s="165">
        <f>IFERROR(INDEX(DD$170:DD$218,_xlfn.AGGREGATE(15,6,(ROW(DD$170:DD$218)-ROW(DD$170)+1)/(DD$170:DD$218&lt;&gt;""),ROWS(DJ$1:DJ30))),"")</f>
        <v>104.62194950116648</v>
      </c>
      <c r="DK199" s="166">
        <f t="shared" si="86"/>
        <v>199</v>
      </c>
      <c r="DL199" s="164">
        <f>IFERROR(INDEX(DE$170:DE$218,_xlfn.AGGREGATE(15,6,(ROW(DE$170:DE$218)-ROW(DE$170)+1)/(DE$170:DE$218&lt;&gt;""),ROWS(DL$1:DL30))),"")</f>
        <v>30</v>
      </c>
      <c r="DM199" s="165">
        <f>IFERROR(INDEX(DF$170:DF$218,_xlfn.AGGREGATE(15,6,(ROW(DF$170:DF$218)-ROW(DF$170)+1)/(DF$170:DF$218&lt;&gt;""),ROWS(DM$1:DM30))),"")</f>
        <v>154.21145155178164</v>
      </c>
      <c r="DN199" s="166">
        <f t="shared" si="87"/>
        <v>199</v>
      </c>
      <c r="DO199" s="164">
        <f>IFERROR(INDEX(DG$170:DG$218,_xlfn.AGGREGATE(15,6,(ROW(DG$170:DG$218)-ROW(DG$170)+1)/(DG$170:DG$218&lt;&gt;""),ROWS(DO$1:DO30))),"")</f>
        <v>30</v>
      </c>
      <c r="DP199" s="165">
        <f>IFERROR(INDEX(DH$170:DH$218,_xlfn.AGGREGATE(15,6,(ROW(DH$170:DH$218)-ROW(DH$170)+1)/(DH$170:DH$218&lt;&gt;""),ROWS(DP$1:DP30))),"")</f>
        <v>203.80095360239679</v>
      </c>
      <c r="DQ199" s="166">
        <f t="shared" si="88"/>
        <v>199</v>
      </c>
      <c r="DV199" s="145">
        <v>2044</v>
      </c>
      <c r="DW199" s="235">
        <f t="shared" ca="1" si="72"/>
        <v>154.18265011142597</v>
      </c>
      <c r="EA199" s="55"/>
      <c r="EB199" s="55"/>
      <c r="EC199" s="55"/>
      <c r="ED199" s="55"/>
      <c r="EE199" s="55"/>
    </row>
    <row r="200" spans="2:135" ht="13.8" x14ac:dyDescent="0.45">
      <c r="B200" s="128">
        <v>2042</v>
      </c>
      <c r="C200" s="263">
        <f>'Total MSW Summaries (Archive)'!E33</f>
        <v>106.32549962473598</v>
      </c>
      <c r="D200" s="267">
        <f>'Total MSW Summaries (Archive)'!Q33</f>
        <v>199.4908869713577</v>
      </c>
      <c r="E200" s="271">
        <f>'Total MSW Summaries (Archive)'!AC33</f>
        <v>210.25199999999987</v>
      </c>
      <c r="F200" s="271">
        <f>'Total MSW Summaries (Archive)'!AO33</f>
        <v>148.6626810381845</v>
      </c>
      <c r="G200" s="271">
        <f>'Total MSW Summaries (Archive)'!BA33</f>
        <v>92.395604377274182</v>
      </c>
      <c r="H200" s="245"/>
      <c r="I200" s="246"/>
      <c r="J200" s="247"/>
      <c r="K200" s="245"/>
      <c r="L200" s="246"/>
      <c r="M200" s="245"/>
      <c r="N200" s="29" t="s">
        <v>119</v>
      </c>
      <c r="O200" s="120"/>
      <c r="P200" s="120"/>
      <c r="Q200" s="120"/>
      <c r="R200" s="29">
        <v>28</v>
      </c>
      <c r="S200" s="238">
        <f t="shared" si="73"/>
        <v>92.395604377274182</v>
      </c>
      <c r="T200" s="238">
        <f t="shared" si="74"/>
        <v>210.25199999999987</v>
      </c>
      <c r="U200" s="238">
        <f t="shared" si="75"/>
        <v>47.533168012481035</v>
      </c>
      <c r="W200" s="238">
        <f t="shared" si="76"/>
        <v>103.89216638982938</v>
      </c>
      <c r="X200" s="238">
        <f t="shared" si="77"/>
        <v>151.42533440231043</v>
      </c>
      <c r="Y200" s="238">
        <f t="shared" si="78"/>
        <v>198.95850241479147</v>
      </c>
      <c r="AA200" s="89"/>
      <c r="AB200" s="89"/>
      <c r="AC200" s="89"/>
      <c r="AD200" s="89"/>
      <c r="AE200" s="89"/>
      <c r="AF200" s="89"/>
      <c r="AG200" s="89"/>
      <c r="AH200" s="89"/>
      <c r="AI200" s="89"/>
      <c r="AJ200" s="89"/>
      <c r="AK200" s="89"/>
      <c r="AL200" s="89"/>
      <c r="AM200" s="89"/>
      <c r="AN200" s="89"/>
      <c r="BR200" s="180">
        <v>2040</v>
      </c>
      <c r="BS200" s="22">
        <v>26</v>
      </c>
      <c r="BT200" s="181">
        <f t="shared" si="89"/>
        <v>42.416402060384812</v>
      </c>
      <c r="BU200" s="182">
        <f t="shared" si="90"/>
        <v>106.45137405158448</v>
      </c>
      <c r="BV200" s="205">
        <f t="shared" si="91"/>
        <v>148.86777611196931</v>
      </c>
      <c r="BY200" s="180">
        <v>2040</v>
      </c>
      <c r="BZ200" s="22">
        <v>26</v>
      </c>
      <c r="CA200" s="198">
        <f t="shared" ca="1" si="92"/>
        <v>-7.734245145302542</v>
      </c>
      <c r="CB200" s="198">
        <f t="shared" ca="1" si="93"/>
        <v>51.935473008449485</v>
      </c>
      <c r="CC200" s="186">
        <f t="shared" ca="1" si="104"/>
        <v>104.43772442795542</v>
      </c>
      <c r="CD200" s="205">
        <f t="shared" ca="1" si="94"/>
        <v>148.63895229110236</v>
      </c>
      <c r="CG200" s="180">
        <v>2040</v>
      </c>
      <c r="CH200" s="22">
        <v>26</v>
      </c>
      <c r="CI200" s="198">
        <f t="shared" ca="1" si="95"/>
        <v>2.8007082668346421</v>
      </c>
      <c r="CJ200" s="198">
        <f t="shared" ca="1" si="96"/>
        <v>-12.904783484074168</v>
      </c>
      <c r="CK200" s="198">
        <f t="shared" ca="1" si="97"/>
        <v>54.521570789748537</v>
      </c>
      <c r="CL200" s="186">
        <f t="shared" ca="1" si="98"/>
        <v>104.15166209974525</v>
      </c>
      <c r="CM200" s="205">
        <f t="shared" ca="1" si="99"/>
        <v>148.56915767225428</v>
      </c>
      <c r="CP200" s="180">
        <v>2040</v>
      </c>
      <c r="CQ200" s="22">
        <v>26</v>
      </c>
      <c r="CR200" s="198">
        <f t="shared" ca="1" si="100"/>
        <v>107.90475001670083</v>
      </c>
      <c r="CS200" s="186">
        <f t="shared" ca="1" si="101"/>
        <v>1.3829565887494821</v>
      </c>
      <c r="CT200" s="205">
        <f t="shared" ca="1" si="102"/>
        <v>149.22758499296219</v>
      </c>
      <c r="CZ200" s="164" t="b">
        <f t="shared" si="79"/>
        <v>1</v>
      </c>
      <c r="DA200" s="165" t="b">
        <f t="shared" si="79"/>
        <v>1</v>
      </c>
      <c r="DB200" s="166" t="b">
        <f t="shared" si="79"/>
        <v>1</v>
      </c>
      <c r="DC200" s="164">
        <f t="shared" si="80"/>
        <v>28</v>
      </c>
      <c r="DD200" s="166">
        <f t="shared" si="81"/>
        <v>103.89216638982938</v>
      </c>
      <c r="DE200" s="164">
        <f t="shared" si="82"/>
        <v>28</v>
      </c>
      <c r="DF200" s="166">
        <f t="shared" si="83"/>
        <v>151.42533440231043</v>
      </c>
      <c r="DG200" s="164">
        <f t="shared" si="84"/>
        <v>28</v>
      </c>
      <c r="DH200" s="166">
        <f t="shared" si="85"/>
        <v>198.95850241479147</v>
      </c>
      <c r="DI200" s="164">
        <f>IFERROR(INDEX(DC$170:DC$218,_xlfn.AGGREGATE(15,6,(ROW(DC$170:DC$218)-ROW(DC$170)+1)/(DC$170:DC$218&lt;&gt;""),ROWS(DI$1:DI31))),"")</f>
        <v>31</v>
      </c>
      <c r="DJ200" s="165">
        <f>IFERROR(INDEX(DD$170:DD$218,_xlfn.AGGREGATE(15,6,(ROW(DD$170:DD$218)-ROW(DD$170)+1)/(DD$170:DD$218&lt;&gt;""),ROWS(DJ$1:DJ31))),"")</f>
        <v>104.9390221972769</v>
      </c>
      <c r="DK200" s="166">
        <f t="shared" si="86"/>
        <v>200</v>
      </c>
      <c r="DL200" s="164">
        <f>IFERROR(INDEX(DE$170:DE$218,_xlfn.AGGREGATE(15,6,(ROW(DE$170:DE$218)-ROW(DE$170)+1)/(DE$170:DE$218&lt;&gt;""),ROWS(DL$1:DL31))),"")</f>
        <v>31</v>
      </c>
      <c r="DM200" s="165">
        <f>IFERROR(INDEX(DF$170:DF$218,_xlfn.AGGREGATE(15,6,(ROW(DF$170:DF$218)-ROW(DF$170)+1)/(DF$170:DF$218&lt;&gt;""),ROWS(DM$1:DM31))),"")</f>
        <v>155.57222853443218</v>
      </c>
      <c r="DN200" s="166">
        <f t="shared" si="87"/>
        <v>200</v>
      </c>
      <c r="DO200" s="164">
        <f>IFERROR(INDEX(DG$170:DG$218,_xlfn.AGGREGATE(15,6,(ROW(DG$170:DG$218)-ROW(DG$170)+1)/(DG$170:DG$218&lt;&gt;""),ROWS(DO$1:DO31))),"")</f>
        <v>31</v>
      </c>
      <c r="DP200" s="165">
        <f>IFERROR(INDEX(DH$170:DH$218,_xlfn.AGGREGATE(15,6,(ROW(DH$170:DH$218)-ROW(DH$170)+1)/(DH$170:DH$218&lt;&gt;""),ROWS(DP$1:DP31))),"")</f>
        <v>206.20543487158747</v>
      </c>
      <c r="DQ200" s="166">
        <f t="shared" si="88"/>
        <v>200</v>
      </c>
      <c r="DV200" s="145">
        <v>2045</v>
      </c>
      <c r="DW200" s="235">
        <f t="shared" ca="1" si="72"/>
        <v>155.55989021274956</v>
      </c>
      <c r="EA200" s="55"/>
      <c r="EB200" s="55"/>
      <c r="EC200" s="55"/>
      <c r="ED200" s="55"/>
      <c r="EE200" s="55"/>
    </row>
    <row r="201" spans="2:135" ht="13.8" x14ac:dyDescent="0.45">
      <c r="B201" s="128">
        <v>2043</v>
      </c>
      <c r="C201" s="263">
        <f>'Total MSW Summaries (Archive)'!E34</f>
        <v>106.45819214425346</v>
      </c>
      <c r="D201" s="267">
        <f>'Total MSW Summaries (Archive)'!Q34</f>
        <v>202.46667227013677</v>
      </c>
      <c r="E201" s="271">
        <f>'Total MSW Summaries (Archive)'!AC34</f>
        <v>212.90599999999986</v>
      </c>
      <c r="F201" s="271">
        <f>'Total MSW Summaries (Archive)'!AO34</f>
        <v>149.02438250815572</v>
      </c>
      <c r="G201" s="271">
        <f>'Total MSW Summaries (Archive)'!BA34</f>
        <v>93.23806730126725</v>
      </c>
      <c r="H201" s="245"/>
      <c r="I201" s="246"/>
      <c r="J201" s="247"/>
      <c r="K201" s="245"/>
      <c r="L201" s="246"/>
      <c r="M201" s="245"/>
      <c r="N201" s="29" t="s">
        <v>119</v>
      </c>
      <c r="O201" s="120"/>
      <c r="P201" s="120"/>
      <c r="Q201" s="120"/>
      <c r="R201" s="29">
        <v>29</v>
      </c>
      <c r="S201" s="238">
        <f t="shared" si="73"/>
        <v>93.23806730126725</v>
      </c>
      <c r="T201" s="238">
        <f t="shared" si="74"/>
        <v>212.90599999999986</v>
      </c>
      <c r="U201" s="238">
        <f t="shared" si="75"/>
        <v>48.557080016146564</v>
      </c>
      <c r="W201" s="238">
        <f t="shared" si="76"/>
        <v>104.26158282861607</v>
      </c>
      <c r="X201" s="238">
        <f t="shared" si="77"/>
        <v>152.81866284476263</v>
      </c>
      <c r="Y201" s="238">
        <f t="shared" si="78"/>
        <v>201.37574286090918</v>
      </c>
      <c r="AA201" s="89"/>
      <c r="AB201" s="89"/>
      <c r="AC201" s="89"/>
      <c r="AD201" s="89"/>
      <c r="AE201" s="89"/>
      <c r="AF201" s="89"/>
      <c r="AG201" s="89"/>
      <c r="AH201" s="89"/>
      <c r="AI201" s="89"/>
      <c r="AJ201" s="89"/>
      <c r="AK201" s="89"/>
      <c r="AL201" s="89"/>
      <c r="AM201" s="89"/>
      <c r="AN201" s="89"/>
      <c r="BR201" s="180">
        <v>2041</v>
      </c>
      <c r="BS201" s="22">
        <v>27</v>
      </c>
      <c r="BT201" s="181">
        <f t="shared" si="89"/>
        <v>44.047802139630377</v>
      </c>
      <c r="BU201" s="182">
        <f t="shared" si="90"/>
        <v>106.45137405158448</v>
      </c>
      <c r="BV201" s="205">
        <f t="shared" si="91"/>
        <v>150.49917619121487</v>
      </c>
      <c r="BY201" s="180">
        <v>2041</v>
      </c>
      <c r="BZ201" s="22">
        <v>27</v>
      </c>
      <c r="CA201" s="198">
        <f t="shared" ca="1" si="92"/>
        <v>-8.3406282705999306</v>
      </c>
      <c r="CB201" s="198">
        <f t="shared" ca="1" si="93"/>
        <v>53.932991201082153</v>
      </c>
      <c r="CC201" s="186">
        <f t="shared" ca="1" si="104"/>
        <v>104.43772442795542</v>
      </c>
      <c r="CD201" s="205">
        <f t="shared" ca="1" si="94"/>
        <v>150.03008735843764</v>
      </c>
      <c r="CG201" s="180">
        <v>2041</v>
      </c>
      <c r="CH201" s="22">
        <v>27</v>
      </c>
      <c r="CI201" s="198">
        <f t="shared" ca="1" si="95"/>
        <v>3.1364554401516993</v>
      </c>
      <c r="CJ201" s="198">
        <f t="shared" ca="1" si="96"/>
        <v>-13.916549053091817</v>
      </c>
      <c r="CK201" s="198">
        <f t="shared" ca="1" si="97"/>
        <v>56.618554281661943</v>
      </c>
      <c r="CL201" s="186">
        <f t="shared" ca="1" si="98"/>
        <v>104.15166209974525</v>
      </c>
      <c r="CM201" s="205">
        <f t="shared" ca="1" si="99"/>
        <v>149.99012276846707</v>
      </c>
      <c r="CP201" s="180">
        <v>2041</v>
      </c>
      <c r="CQ201" s="22">
        <v>27</v>
      </c>
      <c r="CR201" s="198">
        <f t="shared" ca="1" si="100"/>
        <v>107.90475001670083</v>
      </c>
      <c r="CS201" s="186">
        <f t="shared" ca="1" si="101"/>
        <v>1.4003102285349085</v>
      </c>
      <c r="CT201" s="205">
        <f t="shared" ca="1" si="102"/>
        <v>151.10012515588852</v>
      </c>
      <c r="CZ201" s="164" t="b">
        <f t="shared" si="79"/>
        <v>1</v>
      </c>
      <c r="DA201" s="165" t="b">
        <f t="shared" si="79"/>
        <v>1</v>
      </c>
      <c r="DB201" s="166" t="b">
        <f t="shared" si="79"/>
        <v>1</v>
      </c>
      <c r="DC201" s="164">
        <f t="shared" si="80"/>
        <v>29</v>
      </c>
      <c r="DD201" s="166">
        <f t="shared" si="81"/>
        <v>104.26158282861607</v>
      </c>
      <c r="DE201" s="164">
        <f t="shared" si="82"/>
        <v>29</v>
      </c>
      <c r="DF201" s="166">
        <f t="shared" si="83"/>
        <v>152.81866284476263</v>
      </c>
      <c r="DG201" s="164">
        <f t="shared" si="84"/>
        <v>29</v>
      </c>
      <c r="DH201" s="166">
        <f t="shared" si="85"/>
        <v>201.37574286090918</v>
      </c>
      <c r="DI201" s="164" t="str">
        <f>IFERROR(INDEX(DC$170:DC$218,_xlfn.AGGREGATE(15,6,(ROW(DC$170:DC$218)-ROW(DC$170)+1)/(DC$170:DC$218&lt;&gt;""),ROWS(DI$1:DI32))),"")</f>
        <v/>
      </c>
      <c r="DJ201" s="165" t="str">
        <f>IFERROR(INDEX(DD$170:DD$218,_xlfn.AGGREGATE(15,6,(ROW(DD$170:DD$218)-ROW(DD$170)+1)/(DD$170:DD$218&lt;&gt;""),ROWS(DJ$1:DJ32))),"")</f>
        <v/>
      </c>
      <c r="DK201" s="166" t="str">
        <f t="shared" si="86"/>
        <v/>
      </c>
      <c r="DL201" s="164" t="str">
        <f>IFERROR(INDEX(DE$170:DE$218,_xlfn.AGGREGATE(15,6,(ROW(DE$170:DE$218)-ROW(DE$170)+1)/(DE$170:DE$218&lt;&gt;""),ROWS(DL$1:DL32))),"")</f>
        <v/>
      </c>
      <c r="DM201" s="165" t="str">
        <f>IFERROR(INDEX(DF$170:DF$218,_xlfn.AGGREGATE(15,6,(ROW(DF$170:DF$218)-ROW(DF$170)+1)/(DF$170:DF$218&lt;&gt;""),ROWS(DM$1:DM32))),"")</f>
        <v/>
      </c>
      <c r="DN201" s="166" t="str">
        <f t="shared" si="87"/>
        <v/>
      </c>
      <c r="DO201" s="164" t="str">
        <f>IFERROR(INDEX(DG$170:DG$218,_xlfn.AGGREGATE(15,6,(ROW(DG$170:DG$218)-ROW(DG$170)+1)/(DG$170:DG$218&lt;&gt;""),ROWS(DO$1:DO32))),"")</f>
        <v/>
      </c>
      <c r="DP201" s="165" t="str">
        <f>IFERROR(INDEX(DH$170:DH$218,_xlfn.AGGREGATE(15,6,(ROW(DH$170:DH$218)-ROW(DH$170)+1)/(DH$170:DH$218&lt;&gt;""),ROWS(DP$1:DP32))),"")</f>
        <v/>
      </c>
      <c r="DQ201" s="166" t="str">
        <f t="shared" si="88"/>
        <v/>
      </c>
      <c r="DV201" s="145">
        <v>2046</v>
      </c>
      <c r="DW201" s="235">
        <f t="shared" ca="1" si="72"/>
        <v>156.92858929202379</v>
      </c>
      <c r="EA201" s="55"/>
      <c r="EB201" s="55"/>
      <c r="EC201" s="55"/>
      <c r="ED201" s="55"/>
      <c r="EE201" s="55"/>
    </row>
    <row r="202" spans="2:135" ht="13.8" x14ac:dyDescent="0.45">
      <c r="B202" s="128">
        <v>2044</v>
      </c>
      <c r="C202" s="263">
        <f>'Total MSW Summaries (Archive)'!E35</f>
        <v>106.58946510371005</v>
      </c>
      <c r="D202" s="267">
        <f>'Total MSW Summaries (Archive)'!Q35</f>
        <v>205.44651901086146</v>
      </c>
      <c r="E202" s="271">
        <f>'Total MSW Summaries (Archive)'!AC35</f>
        <v>215.55999999999986</v>
      </c>
      <c r="F202" s="271">
        <f>'Total MSW Summaries (Archive)'!AO35</f>
        <v>149.38074341907657</v>
      </c>
      <c r="G202" s="271">
        <f>'Total MSW Summaries (Archive)'!BA35</f>
        <v>94.080530225260318</v>
      </c>
      <c r="H202" s="245"/>
      <c r="I202" s="246"/>
      <c r="J202" s="247"/>
      <c r="K202" s="245"/>
      <c r="L202" s="246"/>
      <c r="M202" s="245"/>
      <c r="N202" s="29" t="s">
        <v>119</v>
      </c>
      <c r="O202" s="120"/>
      <c r="P202" s="120"/>
      <c r="Q202" s="120"/>
      <c r="R202" s="29">
        <v>30</v>
      </c>
      <c r="S202" s="238">
        <f t="shared" si="73"/>
        <v>94.080530225260318</v>
      </c>
      <c r="T202" s="238">
        <f t="shared" si="74"/>
        <v>215.55999999999986</v>
      </c>
      <c r="U202" s="238">
        <f t="shared" si="75"/>
        <v>49.58950205061516</v>
      </c>
      <c r="W202" s="238">
        <f t="shared" si="76"/>
        <v>104.62194950116648</v>
      </c>
      <c r="X202" s="238">
        <f t="shared" si="77"/>
        <v>154.21145155178164</v>
      </c>
      <c r="Y202" s="238">
        <f t="shared" si="78"/>
        <v>203.80095360239679</v>
      </c>
      <c r="AA202" s="89"/>
      <c r="AB202" s="89"/>
      <c r="AC202" s="89"/>
      <c r="AD202" s="89"/>
      <c r="AE202" s="89"/>
      <c r="AF202" s="89"/>
      <c r="AG202" s="89"/>
      <c r="AH202" s="89"/>
      <c r="AI202" s="89"/>
      <c r="AJ202" s="89"/>
      <c r="AK202" s="89"/>
      <c r="AL202" s="89"/>
      <c r="AM202" s="89"/>
      <c r="AN202" s="89"/>
      <c r="BR202" s="180">
        <v>2042</v>
      </c>
      <c r="BS202" s="22">
        <v>28</v>
      </c>
      <c r="BT202" s="181">
        <f t="shared" si="89"/>
        <v>45.67920221887595</v>
      </c>
      <c r="BU202" s="182">
        <f t="shared" si="90"/>
        <v>106.45137405158448</v>
      </c>
      <c r="BV202" s="205">
        <f t="shared" si="91"/>
        <v>152.13057627046044</v>
      </c>
      <c r="BY202" s="180">
        <v>2042</v>
      </c>
      <c r="BZ202" s="22">
        <v>28</v>
      </c>
      <c r="CA202" s="198">
        <f t="shared" ca="1" si="92"/>
        <v>-8.969893777984014</v>
      </c>
      <c r="CB202" s="198">
        <f t="shared" ca="1" si="93"/>
        <v>55.930509393714829</v>
      </c>
      <c r="CC202" s="186">
        <f t="shared" ca="1" si="104"/>
        <v>104.43772442795542</v>
      </c>
      <c r="CD202" s="205">
        <f t="shared" ca="1" si="94"/>
        <v>151.39834004368623</v>
      </c>
      <c r="CG202" s="180">
        <v>2042</v>
      </c>
      <c r="CH202" s="22">
        <v>28</v>
      </c>
      <c r="CI202" s="198">
        <f t="shared" ca="1" si="95"/>
        <v>3.4980170615358483</v>
      </c>
      <c r="CJ202" s="198">
        <f t="shared" ca="1" si="96"/>
        <v>-14.966494454902584</v>
      </c>
      <c r="CK202" s="198">
        <f t="shared" ca="1" si="97"/>
        <v>58.715537773575349</v>
      </c>
      <c r="CL202" s="186">
        <f t="shared" ca="1" si="98"/>
        <v>104.15166209974525</v>
      </c>
      <c r="CM202" s="205">
        <f t="shared" ca="1" si="99"/>
        <v>151.39872247995385</v>
      </c>
      <c r="CP202" s="180">
        <v>2042</v>
      </c>
      <c r="CQ202" s="22">
        <v>28</v>
      </c>
      <c r="CR202" s="198">
        <f t="shared" ca="1" si="100"/>
        <v>107.90475001670083</v>
      </c>
      <c r="CS202" s="186">
        <f t="shared" ca="1" si="101"/>
        <v>1.4178816255632245</v>
      </c>
      <c r="CT202" s="205">
        <f t="shared" ca="1" si="102"/>
        <v>152.99616235967315</v>
      </c>
      <c r="CZ202" s="164" t="b">
        <f t="shared" si="79"/>
        <v>1</v>
      </c>
      <c r="DA202" s="165" t="b">
        <f t="shared" si="79"/>
        <v>1</v>
      </c>
      <c r="DB202" s="166" t="b">
        <f t="shared" si="79"/>
        <v>1</v>
      </c>
      <c r="DC202" s="164">
        <f t="shared" si="80"/>
        <v>30</v>
      </c>
      <c r="DD202" s="166">
        <f t="shared" si="81"/>
        <v>104.62194950116648</v>
      </c>
      <c r="DE202" s="164">
        <f t="shared" si="82"/>
        <v>30</v>
      </c>
      <c r="DF202" s="166">
        <f t="shared" si="83"/>
        <v>154.21145155178164</v>
      </c>
      <c r="DG202" s="164">
        <f t="shared" si="84"/>
        <v>30</v>
      </c>
      <c r="DH202" s="166">
        <f t="shared" si="85"/>
        <v>203.80095360239679</v>
      </c>
      <c r="DI202" s="164" t="str">
        <f>IFERROR(INDEX(DC$170:DC$218,_xlfn.AGGREGATE(15,6,(ROW(DC$170:DC$218)-ROW(DC$170)+1)/(DC$170:DC$218&lt;&gt;""),ROWS(DI$1:DI33))),"")</f>
        <v/>
      </c>
      <c r="DJ202" s="165" t="str">
        <f>IFERROR(INDEX(DD$170:DD$218,_xlfn.AGGREGATE(15,6,(ROW(DD$170:DD$218)-ROW(DD$170)+1)/(DD$170:DD$218&lt;&gt;""),ROWS(DJ$1:DJ33))),"")</f>
        <v/>
      </c>
      <c r="DK202" s="166" t="str">
        <f t="shared" si="86"/>
        <v/>
      </c>
      <c r="DL202" s="164" t="str">
        <f>IFERROR(INDEX(DE$170:DE$218,_xlfn.AGGREGATE(15,6,(ROW(DE$170:DE$218)-ROW(DE$170)+1)/(DE$170:DE$218&lt;&gt;""),ROWS(DL$1:DL33))),"")</f>
        <v/>
      </c>
      <c r="DM202" s="165" t="str">
        <f>IFERROR(INDEX(DF$170:DF$218,_xlfn.AGGREGATE(15,6,(ROW(DF$170:DF$218)-ROW(DF$170)+1)/(DF$170:DF$218&lt;&gt;""),ROWS(DM$1:DM33))),"")</f>
        <v/>
      </c>
      <c r="DN202" s="166" t="str">
        <f t="shared" si="87"/>
        <v/>
      </c>
      <c r="DO202" s="164" t="str">
        <f>IFERROR(INDEX(DG$170:DG$218,_xlfn.AGGREGATE(15,6,(ROW(DG$170:DG$218)-ROW(DG$170)+1)/(DG$170:DG$218&lt;&gt;""),ROWS(DO$1:DO33))),"")</f>
        <v/>
      </c>
      <c r="DP202" s="165" t="str">
        <f>IFERROR(INDEX(DH$170:DH$218,_xlfn.AGGREGATE(15,6,(ROW(DH$170:DH$218)-ROW(DH$170)+1)/(DH$170:DH$218&lt;&gt;""),ROWS(DP$1:DP33))),"")</f>
        <v/>
      </c>
      <c r="DQ202" s="166" t="str">
        <f t="shared" si="88"/>
        <v/>
      </c>
      <c r="DV202" s="145">
        <v>2047</v>
      </c>
      <c r="DW202" s="235">
        <f t="shared" ca="1" si="72"/>
        <v>158.2897034399177</v>
      </c>
      <c r="EA202" s="55"/>
      <c r="EB202" s="55"/>
      <c r="EC202" s="55"/>
      <c r="ED202" s="55"/>
      <c r="EE202" s="55"/>
    </row>
    <row r="203" spans="2:135" ht="13.8" x14ac:dyDescent="0.45">
      <c r="B203" s="128">
        <v>2045</v>
      </c>
      <c r="C203" s="263">
        <f>'Total MSW Summaries (Archive)'!E36</f>
        <v>106.71744278072782</v>
      </c>
      <c r="D203" s="267">
        <f>'Total MSW Summaries (Archive)'!Q36</f>
        <v>208.42665469411449</v>
      </c>
      <c r="E203" s="271">
        <f>'Total MSW Summaries (Archive)'!AC36</f>
        <v>218.21399999999986</v>
      </c>
      <c r="F203" s="271">
        <f>'Total MSW Summaries (Archive)'!AO36</f>
        <v>149.58005204806545</v>
      </c>
      <c r="G203" s="271">
        <f>'Total MSW Summaries (Archive)'!BA36</f>
        <v>94.922993149253386</v>
      </c>
      <c r="H203" s="245"/>
      <c r="I203" s="246"/>
      <c r="J203" s="247"/>
      <c r="K203" s="245"/>
      <c r="L203" s="246"/>
      <c r="M203" s="245"/>
      <c r="N203" s="29" t="s">
        <v>119</v>
      </c>
      <c r="O203" s="120"/>
      <c r="P203" s="120"/>
      <c r="Q203" s="120"/>
      <c r="R203" s="29">
        <v>31</v>
      </c>
      <c r="S203" s="238">
        <f t="shared" si="73"/>
        <v>94.922993149253386</v>
      </c>
      <c r="T203" s="238">
        <f t="shared" si="74"/>
        <v>218.21399999999986</v>
      </c>
      <c r="U203" s="238">
        <f t="shared" si="75"/>
        <v>50.633206337155279</v>
      </c>
      <c r="W203" s="238">
        <f t="shared" si="76"/>
        <v>104.9390221972769</v>
      </c>
      <c r="X203" s="238">
        <f t="shared" si="77"/>
        <v>155.57222853443218</v>
      </c>
      <c r="Y203" s="238">
        <f t="shared" si="78"/>
        <v>206.20543487158747</v>
      </c>
      <c r="AA203" s="89"/>
      <c r="AB203" s="89"/>
      <c r="AC203" s="89"/>
      <c r="AD203" s="89"/>
      <c r="AE203" s="89"/>
      <c r="AF203" s="89"/>
      <c r="AG203" s="89"/>
      <c r="AH203" s="89"/>
      <c r="AI203" s="89"/>
      <c r="AJ203" s="89"/>
      <c r="AK203" s="89"/>
      <c r="AL203" s="89"/>
      <c r="AM203" s="89"/>
      <c r="AN203" s="89"/>
      <c r="BR203" s="180">
        <v>2043</v>
      </c>
      <c r="BS203" s="22">
        <v>29</v>
      </c>
      <c r="BT203" s="181">
        <f t="shared" si="89"/>
        <v>47.310602298121516</v>
      </c>
      <c r="BU203" s="182">
        <f t="shared" si="90"/>
        <v>106.45137405158448</v>
      </c>
      <c r="BV203" s="205">
        <f t="shared" si="91"/>
        <v>153.761976349706</v>
      </c>
      <c r="BY203" s="180">
        <v>2043</v>
      </c>
      <c r="BZ203" s="22">
        <v>29</v>
      </c>
      <c r="CA203" s="198">
        <f t="shared" ca="1" si="92"/>
        <v>-9.6220416674547895</v>
      </c>
      <c r="CB203" s="198">
        <f t="shared" ca="1" si="93"/>
        <v>57.928027586347497</v>
      </c>
      <c r="CC203" s="186">
        <f t="shared" ca="1" si="104"/>
        <v>104.43772442795542</v>
      </c>
      <c r="CD203" s="205">
        <f t="shared" ca="1" si="94"/>
        <v>152.74371034684813</v>
      </c>
      <c r="CG203" s="180">
        <v>2043</v>
      </c>
      <c r="CH203" s="22">
        <v>29</v>
      </c>
      <c r="CI203" s="198">
        <f t="shared" ca="1" si="95"/>
        <v>3.886349221656241</v>
      </c>
      <c r="CJ203" s="198">
        <f t="shared" ca="1" si="96"/>
        <v>-16.05461968950647</v>
      </c>
      <c r="CK203" s="198">
        <f t="shared" ca="1" si="97"/>
        <v>60.812521265488755</v>
      </c>
      <c r="CL203" s="186">
        <f t="shared" ca="1" si="98"/>
        <v>104.15166209974525</v>
      </c>
      <c r="CM203" s="205">
        <f t="shared" ca="1" si="99"/>
        <v>152.79591289738377</v>
      </c>
      <c r="CP203" s="180">
        <v>2043</v>
      </c>
      <c r="CQ203" s="22">
        <v>29</v>
      </c>
      <c r="CR203" s="198">
        <f t="shared" ca="1" si="100"/>
        <v>107.90475001670083</v>
      </c>
      <c r="CS203" s="186">
        <f t="shared" ca="1" si="101"/>
        <v>1.4356735122996318</v>
      </c>
      <c r="CT203" s="205">
        <f t="shared" ca="1" si="102"/>
        <v>154.91599145029065</v>
      </c>
      <c r="CZ203" s="164" t="b">
        <f t="shared" si="79"/>
        <v>1</v>
      </c>
      <c r="DA203" s="165" t="b">
        <f t="shared" si="79"/>
        <v>1</v>
      </c>
      <c r="DB203" s="166" t="b">
        <f t="shared" si="79"/>
        <v>1</v>
      </c>
      <c r="DC203" s="164">
        <f t="shared" si="80"/>
        <v>31</v>
      </c>
      <c r="DD203" s="166">
        <f t="shared" si="81"/>
        <v>104.9390221972769</v>
      </c>
      <c r="DE203" s="164">
        <f t="shared" si="82"/>
        <v>31</v>
      </c>
      <c r="DF203" s="166">
        <f t="shared" si="83"/>
        <v>155.57222853443218</v>
      </c>
      <c r="DG203" s="164">
        <f t="shared" si="84"/>
        <v>31</v>
      </c>
      <c r="DH203" s="166">
        <f t="shared" si="85"/>
        <v>206.20543487158747</v>
      </c>
      <c r="DI203" s="164" t="str">
        <f>IFERROR(INDEX(DC$170:DC$218,_xlfn.AGGREGATE(15,6,(ROW(DC$170:DC$218)-ROW(DC$170)+1)/(DC$170:DC$218&lt;&gt;""),ROWS(DI$1:DI34))),"")</f>
        <v/>
      </c>
      <c r="DJ203" s="165" t="str">
        <f>IFERROR(INDEX(DD$170:DD$218,_xlfn.AGGREGATE(15,6,(ROW(DD$170:DD$218)-ROW(DD$170)+1)/(DD$170:DD$218&lt;&gt;""),ROWS(DJ$1:DJ34))),"")</f>
        <v/>
      </c>
      <c r="DK203" s="166" t="str">
        <f t="shared" si="86"/>
        <v/>
      </c>
      <c r="DL203" s="164" t="str">
        <f>IFERROR(INDEX(DE$170:DE$218,_xlfn.AGGREGATE(15,6,(ROW(DE$170:DE$218)-ROW(DE$170)+1)/(DE$170:DE$218&lt;&gt;""),ROWS(DL$1:DL34))),"")</f>
        <v/>
      </c>
      <c r="DM203" s="165" t="str">
        <f>IFERROR(INDEX(DF$170:DF$218,_xlfn.AGGREGATE(15,6,(ROW(DF$170:DF$218)-ROW(DF$170)+1)/(DF$170:DF$218&lt;&gt;""),ROWS(DM$1:DM34))),"")</f>
        <v/>
      </c>
      <c r="DN203" s="166" t="str">
        <f t="shared" si="87"/>
        <v/>
      </c>
      <c r="DO203" s="164" t="str">
        <f>IFERROR(INDEX(DG$170:DG$218,_xlfn.AGGREGATE(15,6,(ROW(DG$170:DG$218)-ROW(DG$170)+1)/(DG$170:DG$218&lt;&gt;""),ROWS(DO$1:DO34))),"")</f>
        <v/>
      </c>
      <c r="DP203" s="165" t="str">
        <f>IFERROR(INDEX(DH$170:DH$218,_xlfn.AGGREGATE(15,6,(ROW(DH$170:DH$218)-ROW(DH$170)+1)/(DH$170:DH$218&lt;&gt;""),ROWS(DP$1:DP34))),"")</f>
        <v/>
      </c>
      <c r="DQ203" s="166" t="str">
        <f t="shared" si="88"/>
        <v/>
      </c>
      <c r="DV203" s="145">
        <v>2048</v>
      </c>
      <c r="DW203" s="235">
        <f t="shared" ca="1" si="72"/>
        <v>159.64418874710051</v>
      </c>
      <c r="EA203" s="55"/>
      <c r="EB203" s="55"/>
      <c r="EC203" s="55"/>
      <c r="ED203" s="55"/>
      <c r="EE203" s="55"/>
    </row>
    <row r="204" spans="2:135" ht="13.8" x14ac:dyDescent="0.45">
      <c r="B204" s="128">
        <v>2046</v>
      </c>
      <c r="C204" s="263"/>
      <c r="D204" s="267"/>
      <c r="E204" s="271"/>
      <c r="F204" s="271"/>
      <c r="G204" s="271"/>
      <c r="H204" s="245"/>
      <c r="I204" s="246"/>
      <c r="J204" s="247"/>
      <c r="K204" s="245"/>
      <c r="L204" s="246"/>
      <c r="M204" s="245"/>
      <c r="N204" s="29" t="s">
        <v>119</v>
      </c>
      <c r="O204" s="120"/>
      <c r="P204" s="120"/>
      <c r="Q204" s="120"/>
      <c r="R204" s="29">
        <v>32</v>
      </c>
      <c r="S204" s="238" t="str">
        <f t="shared" si="73"/>
        <v/>
      </c>
      <c r="T204" s="238" t="str">
        <f t="shared" si="74"/>
        <v/>
      </c>
      <c r="U204" s="238" t="str">
        <f t="shared" si="75"/>
        <v/>
      </c>
      <c r="W204" s="238" t="e">
        <f t="shared" si="76"/>
        <v>#N/A</v>
      </c>
      <c r="X204" s="238" t="e">
        <f t="shared" si="77"/>
        <v>#N/A</v>
      </c>
      <c r="Y204" s="238" t="e">
        <f t="shared" si="78"/>
        <v>#N/A</v>
      </c>
      <c r="AA204" s="89"/>
      <c r="AB204" s="89"/>
      <c r="AC204" s="89"/>
      <c r="AD204" s="89"/>
      <c r="AE204" s="89"/>
      <c r="AF204" s="89"/>
      <c r="AG204" s="89"/>
      <c r="AH204" s="89"/>
      <c r="AI204" s="89"/>
      <c r="AJ204" s="89"/>
      <c r="AK204" s="89"/>
      <c r="AL204" s="89"/>
      <c r="AM204" s="89"/>
      <c r="AN204" s="89"/>
      <c r="BR204" s="180">
        <v>2044</v>
      </c>
      <c r="BS204" s="22">
        <v>30</v>
      </c>
      <c r="BT204" s="181">
        <f t="shared" si="89"/>
        <v>48.942002377367089</v>
      </c>
      <c r="BU204" s="182">
        <f t="shared" si="90"/>
        <v>106.45137405158448</v>
      </c>
      <c r="BV204" s="205">
        <f t="shared" si="91"/>
        <v>155.39337642895157</v>
      </c>
      <c r="BY204" s="180">
        <v>2044</v>
      </c>
      <c r="BZ204" s="22">
        <v>30</v>
      </c>
      <c r="CA204" s="198">
        <f t="shared" ca="1" si="92"/>
        <v>-10.297071939012261</v>
      </c>
      <c r="CB204" s="198">
        <f t="shared" ca="1" si="93"/>
        <v>59.925545778980172</v>
      </c>
      <c r="CC204" s="186">
        <f t="shared" ca="1" si="104"/>
        <v>104.43772442795542</v>
      </c>
      <c r="CD204" s="205">
        <f t="shared" ca="1" si="94"/>
        <v>154.06619826792331</v>
      </c>
      <c r="CG204" s="180">
        <v>2044</v>
      </c>
      <c r="CH204" s="22">
        <v>30</v>
      </c>
      <c r="CI204" s="198">
        <f t="shared" ca="1" si="95"/>
        <v>4.3024080111820293</v>
      </c>
      <c r="CJ204" s="198">
        <f t="shared" ca="1" si="96"/>
        <v>-17.180924756903476</v>
      </c>
      <c r="CK204" s="198">
        <f t="shared" ca="1" si="97"/>
        <v>62.909504757402161</v>
      </c>
      <c r="CL204" s="186">
        <f t="shared" ca="1" si="98"/>
        <v>104.15166209974525</v>
      </c>
      <c r="CM204" s="205">
        <f t="shared" ca="1" si="99"/>
        <v>154.18265011142597</v>
      </c>
      <c r="CP204" s="180">
        <v>2044</v>
      </c>
      <c r="CQ204" s="22">
        <v>30</v>
      </c>
      <c r="CR204" s="198">
        <f t="shared" ca="1" si="100"/>
        <v>107.90475001670083</v>
      </c>
      <c r="CS204" s="186">
        <f t="shared" ca="1" si="101"/>
        <v>1.4536886554968986</v>
      </c>
      <c r="CT204" s="205">
        <f t="shared" ca="1" si="102"/>
        <v>156.85991097350677</v>
      </c>
      <c r="CZ204" s="164" t="b">
        <f t="shared" si="79"/>
        <v>0</v>
      </c>
      <c r="DA204" s="165" t="b">
        <f t="shared" si="79"/>
        <v>0</v>
      </c>
      <c r="DB204" s="166" t="b">
        <f t="shared" si="79"/>
        <v>0</v>
      </c>
      <c r="DC204" s="164" t="str">
        <f t="shared" si="80"/>
        <v/>
      </c>
      <c r="DD204" s="166" t="str">
        <f t="shared" si="81"/>
        <v/>
      </c>
      <c r="DE204" s="164" t="str">
        <f t="shared" si="82"/>
        <v/>
      </c>
      <c r="DF204" s="166" t="str">
        <f t="shared" si="83"/>
        <v/>
      </c>
      <c r="DG204" s="164" t="str">
        <f t="shared" si="84"/>
        <v/>
      </c>
      <c r="DH204" s="166" t="str">
        <f t="shared" si="85"/>
        <v/>
      </c>
      <c r="DI204" s="164" t="str">
        <f>IFERROR(INDEX(DC$170:DC$218,_xlfn.AGGREGATE(15,6,(ROW(DC$170:DC$218)-ROW(DC$170)+1)/(DC$170:DC$218&lt;&gt;""),ROWS(DI$1:DI35))),"")</f>
        <v/>
      </c>
      <c r="DJ204" s="165" t="str">
        <f>IFERROR(INDEX(DD$170:DD$218,_xlfn.AGGREGATE(15,6,(ROW(DD$170:DD$218)-ROW(DD$170)+1)/(DD$170:DD$218&lt;&gt;""),ROWS(DJ$1:DJ35))),"")</f>
        <v/>
      </c>
      <c r="DK204" s="166" t="str">
        <f t="shared" si="86"/>
        <v/>
      </c>
      <c r="DL204" s="164" t="str">
        <f>IFERROR(INDEX(DE$170:DE$218,_xlfn.AGGREGATE(15,6,(ROW(DE$170:DE$218)-ROW(DE$170)+1)/(DE$170:DE$218&lt;&gt;""),ROWS(DL$1:DL35))),"")</f>
        <v/>
      </c>
      <c r="DM204" s="165" t="str">
        <f>IFERROR(INDEX(DF$170:DF$218,_xlfn.AGGREGATE(15,6,(ROW(DF$170:DF$218)-ROW(DF$170)+1)/(DF$170:DF$218&lt;&gt;""),ROWS(DM$1:DM35))),"")</f>
        <v/>
      </c>
      <c r="DN204" s="166" t="str">
        <f t="shared" si="87"/>
        <v/>
      </c>
      <c r="DO204" s="164" t="str">
        <f>IFERROR(INDEX(DG$170:DG$218,_xlfn.AGGREGATE(15,6,(ROW(DG$170:DG$218)-ROW(DG$170)+1)/(DG$170:DG$218&lt;&gt;""),ROWS(DO$1:DO35))),"")</f>
        <v/>
      </c>
      <c r="DP204" s="165" t="str">
        <f>IFERROR(INDEX(DH$170:DH$218,_xlfn.AGGREGATE(15,6,(ROW(DH$170:DH$218)-ROW(DH$170)+1)/(DH$170:DH$218&lt;&gt;""),ROWS(DP$1:DP35))),"")</f>
        <v/>
      </c>
      <c r="DQ204" s="166" t="str">
        <f t="shared" si="88"/>
        <v/>
      </c>
      <c r="DV204" s="145">
        <v>2049</v>
      </c>
      <c r="DW204" s="235">
        <f t="shared" ca="1" si="72"/>
        <v>160.99300130424137</v>
      </c>
      <c r="EA204" s="55"/>
      <c r="EB204" s="55"/>
      <c r="EC204" s="55"/>
      <c r="ED204" s="55"/>
      <c r="EE204" s="55"/>
    </row>
    <row r="205" spans="2:135" ht="13.8" x14ac:dyDescent="0.45">
      <c r="B205" s="128">
        <v>2047</v>
      </c>
      <c r="C205" s="263"/>
      <c r="D205" s="267"/>
      <c r="E205" s="271"/>
      <c r="F205" s="271"/>
      <c r="G205" s="271"/>
      <c r="H205" s="245"/>
      <c r="I205" s="246"/>
      <c r="J205" s="247"/>
      <c r="K205" s="245"/>
      <c r="L205" s="246"/>
      <c r="M205" s="245"/>
      <c r="N205" s="29" t="s">
        <v>119</v>
      </c>
      <c r="O205" s="120"/>
      <c r="P205" s="120"/>
      <c r="Q205" s="120"/>
      <c r="R205" s="29">
        <v>33</v>
      </c>
      <c r="S205" s="238" t="str">
        <f t="shared" si="73"/>
        <v/>
      </c>
      <c r="T205" s="238" t="str">
        <f t="shared" si="74"/>
        <v/>
      </c>
      <c r="U205" s="238" t="str">
        <f t="shared" si="75"/>
        <v/>
      </c>
      <c r="W205" s="238" t="e">
        <f t="shared" si="76"/>
        <v>#N/A</v>
      </c>
      <c r="X205" s="238" t="e">
        <f t="shared" si="77"/>
        <v>#N/A</v>
      </c>
      <c r="Y205" s="238" t="e">
        <f t="shared" si="78"/>
        <v>#N/A</v>
      </c>
      <c r="AA205" s="89"/>
      <c r="AB205" s="89"/>
      <c r="AC205" s="89"/>
      <c r="AD205" s="89"/>
      <c r="AE205" s="89"/>
      <c r="AF205" s="89"/>
      <c r="AG205" s="89"/>
      <c r="AH205" s="89"/>
      <c r="AI205" s="89"/>
      <c r="AJ205" s="89"/>
      <c r="AK205" s="89"/>
      <c r="AL205" s="89"/>
      <c r="AM205" s="89"/>
      <c r="AN205" s="89"/>
      <c r="BR205" s="180">
        <v>2045</v>
      </c>
      <c r="BS205" s="22">
        <v>31</v>
      </c>
      <c r="BT205" s="181">
        <f t="shared" si="89"/>
        <v>50.573402456612655</v>
      </c>
      <c r="BU205" s="182">
        <f t="shared" si="90"/>
        <v>106.45137405158448</v>
      </c>
      <c r="BV205" s="205">
        <f t="shared" si="91"/>
        <v>157.02477650819714</v>
      </c>
      <c r="BY205" s="180">
        <v>2045</v>
      </c>
      <c r="BZ205" s="22">
        <v>31</v>
      </c>
      <c r="CA205" s="198">
        <f t="shared" ca="1" si="92"/>
        <v>-10.994984592656424</v>
      </c>
      <c r="CB205" s="198">
        <f t="shared" ca="1" si="93"/>
        <v>61.923063971612841</v>
      </c>
      <c r="CC205" s="198">
        <f t="shared" ca="1" si="104"/>
        <v>104.43772442795542</v>
      </c>
      <c r="CD205" s="205">
        <f t="shared" ca="1" si="94"/>
        <v>155.36580380691183</v>
      </c>
      <c r="CG205" s="180">
        <v>2045</v>
      </c>
      <c r="CH205" s="22">
        <v>31</v>
      </c>
      <c r="CI205" s="198">
        <f t="shared" ca="1" si="95"/>
        <v>4.7471495207823642</v>
      </c>
      <c r="CJ205" s="198">
        <f t="shared" ca="1" si="96"/>
        <v>-18.345409657093601</v>
      </c>
      <c r="CK205" s="198">
        <f t="shared" ca="1" si="97"/>
        <v>65.006488249315566</v>
      </c>
      <c r="CL205" s="198">
        <f t="shared" ca="1" si="98"/>
        <v>104.15166209974525</v>
      </c>
      <c r="CM205" s="205">
        <f t="shared" ca="1" si="99"/>
        <v>155.55989021274956</v>
      </c>
      <c r="CP205" s="180">
        <v>2045</v>
      </c>
      <c r="CQ205" s="22">
        <v>31</v>
      </c>
      <c r="CR205" s="198">
        <f t="shared" ca="1" si="100"/>
        <v>107.90475001670083</v>
      </c>
      <c r="CS205" s="198">
        <f t="shared" ca="1" si="101"/>
        <v>1.4719298566256087</v>
      </c>
      <c r="CT205" s="205">
        <f t="shared" ca="1" si="102"/>
        <v>158.8282232213046</v>
      </c>
      <c r="CZ205" s="164" t="b">
        <f t="shared" si="79"/>
        <v>0</v>
      </c>
      <c r="DA205" s="165" t="b">
        <f t="shared" si="79"/>
        <v>0</v>
      </c>
      <c r="DB205" s="166" t="b">
        <f t="shared" si="79"/>
        <v>0</v>
      </c>
      <c r="DC205" s="164" t="str">
        <f t="shared" si="80"/>
        <v/>
      </c>
      <c r="DD205" s="166" t="str">
        <f t="shared" si="81"/>
        <v/>
      </c>
      <c r="DE205" s="164" t="str">
        <f t="shared" si="82"/>
        <v/>
      </c>
      <c r="DF205" s="166" t="str">
        <f t="shared" si="83"/>
        <v/>
      </c>
      <c r="DG205" s="164" t="str">
        <f t="shared" si="84"/>
        <v/>
      </c>
      <c r="DH205" s="166" t="str">
        <f t="shared" si="85"/>
        <v/>
      </c>
      <c r="DI205" s="164" t="str">
        <f>IFERROR(INDEX(DC$170:DC$218,_xlfn.AGGREGATE(15,6,(ROW(DC$170:DC$218)-ROW(DC$170)+1)/(DC$170:DC$218&lt;&gt;""),ROWS(DI$1:DI36))),"")</f>
        <v/>
      </c>
      <c r="DJ205" s="165" t="str">
        <f>IFERROR(INDEX(DD$170:DD$218,_xlfn.AGGREGATE(15,6,(ROW(DD$170:DD$218)-ROW(DD$170)+1)/(DD$170:DD$218&lt;&gt;""),ROWS(DJ$1:DJ36))),"")</f>
        <v/>
      </c>
      <c r="DK205" s="166" t="str">
        <f t="shared" si="86"/>
        <v/>
      </c>
      <c r="DL205" s="164" t="str">
        <f>IFERROR(INDEX(DE$170:DE$218,_xlfn.AGGREGATE(15,6,(ROW(DE$170:DE$218)-ROW(DE$170)+1)/(DE$170:DE$218&lt;&gt;""),ROWS(DL$1:DL36))),"")</f>
        <v/>
      </c>
      <c r="DM205" s="165" t="str">
        <f>IFERROR(INDEX(DF$170:DF$218,_xlfn.AGGREGATE(15,6,(ROW(DF$170:DF$218)-ROW(DF$170)+1)/(DF$170:DF$218&lt;&gt;""),ROWS(DM$1:DM36))),"")</f>
        <v/>
      </c>
      <c r="DN205" s="166" t="str">
        <f t="shared" si="87"/>
        <v/>
      </c>
      <c r="DO205" s="164" t="str">
        <f>IFERROR(INDEX(DG$170:DG$218,_xlfn.AGGREGATE(15,6,(ROW(DG$170:DG$218)-ROW(DG$170)+1)/(DG$170:DG$218&lt;&gt;""),ROWS(DO$1:DO36))),"")</f>
        <v/>
      </c>
      <c r="DP205" s="165" t="str">
        <f>IFERROR(INDEX(DH$170:DH$218,_xlfn.AGGREGATE(15,6,(ROW(DH$170:DH$218)-ROW(DH$170)+1)/(DH$170:DH$218&lt;&gt;""),ROWS(DP$1:DP36))),"")</f>
        <v/>
      </c>
      <c r="DQ205" s="166" t="str">
        <f t="shared" si="88"/>
        <v/>
      </c>
      <c r="DV205" s="145">
        <v>2050</v>
      </c>
      <c r="DW205" s="235">
        <f t="shared" ca="1" si="72"/>
        <v>162.33709720200937</v>
      </c>
      <c r="EA205" s="55"/>
      <c r="EB205" s="55"/>
      <c r="EC205" s="55"/>
      <c r="ED205" s="55"/>
      <c r="EE205" s="55"/>
    </row>
    <row r="206" spans="2:135" ht="13.8" x14ac:dyDescent="0.45">
      <c r="B206" s="128">
        <v>2048</v>
      </c>
      <c r="C206" s="263"/>
      <c r="D206" s="267"/>
      <c r="E206" s="271"/>
      <c r="F206" s="271"/>
      <c r="G206" s="271"/>
      <c r="H206" s="245"/>
      <c r="I206" s="246"/>
      <c r="J206" s="247"/>
      <c r="K206" s="245"/>
      <c r="L206" s="246"/>
      <c r="M206" s="245"/>
      <c r="N206" s="29" t="s">
        <v>119</v>
      </c>
      <c r="O206" s="120"/>
      <c r="P206" s="120"/>
      <c r="Q206" s="120"/>
      <c r="R206" s="29">
        <v>34</v>
      </c>
      <c r="S206" s="238" t="str">
        <f t="shared" si="73"/>
        <v/>
      </c>
      <c r="T206" s="238" t="str">
        <f t="shared" si="74"/>
        <v/>
      </c>
      <c r="U206" s="238" t="str">
        <f t="shared" si="75"/>
        <v/>
      </c>
      <c r="W206" s="238" t="e">
        <f t="shared" si="76"/>
        <v>#N/A</v>
      </c>
      <c r="X206" s="238" t="e">
        <f t="shared" si="77"/>
        <v>#N/A</v>
      </c>
      <c r="Y206" s="238" t="e">
        <f t="shared" si="78"/>
        <v>#N/A</v>
      </c>
      <c r="AA206" s="89"/>
      <c r="AB206" s="89"/>
      <c r="AC206" s="89"/>
      <c r="AD206" s="89"/>
      <c r="AE206" s="89"/>
      <c r="AF206" s="89"/>
      <c r="AG206" s="89"/>
      <c r="AH206" s="89"/>
      <c r="AI206" s="89"/>
      <c r="AJ206" s="89"/>
      <c r="AK206" s="89"/>
      <c r="AL206" s="89"/>
      <c r="AM206" s="89"/>
      <c r="AN206" s="89"/>
      <c r="BR206" s="180">
        <v>2046</v>
      </c>
      <c r="BS206" s="22">
        <v>32</v>
      </c>
      <c r="BT206" s="181">
        <f t="shared" si="89"/>
        <v>52.204802535858228</v>
      </c>
      <c r="BU206" s="182">
        <f t="shared" si="90"/>
        <v>106.45137405158448</v>
      </c>
      <c r="BV206" s="205">
        <f t="shared" si="91"/>
        <v>158.6561765874427</v>
      </c>
      <c r="BY206" s="180">
        <v>2046</v>
      </c>
      <c r="BZ206" s="22">
        <v>32</v>
      </c>
      <c r="CA206" s="198">
        <f t="shared" ca="1" si="92"/>
        <v>-11.715779628387283</v>
      </c>
      <c r="CB206" s="198">
        <f t="shared" ca="1" si="93"/>
        <v>63.920582164245516</v>
      </c>
      <c r="CC206" s="198">
        <f t="shared" ca="1" si="104"/>
        <v>104.43772442795542</v>
      </c>
      <c r="CD206" s="205">
        <f t="shared" ca="1" si="94"/>
        <v>156.64252696381365</v>
      </c>
      <c r="CG206" s="180">
        <v>2046</v>
      </c>
      <c r="CH206" s="22">
        <v>32</v>
      </c>
      <c r="CI206" s="198">
        <f t="shared" ca="1" si="95"/>
        <v>5.2215298411263973</v>
      </c>
      <c r="CJ206" s="198">
        <f t="shared" ca="1" si="96"/>
        <v>-19.548074390076845</v>
      </c>
      <c r="CK206" s="198">
        <f t="shared" ca="1" si="97"/>
        <v>67.103471741228972</v>
      </c>
      <c r="CL206" s="198">
        <f t="shared" ca="1" si="98"/>
        <v>104.15166209974525</v>
      </c>
      <c r="CM206" s="205">
        <f t="shared" ca="1" si="99"/>
        <v>156.92858929202379</v>
      </c>
      <c r="CP206" s="180">
        <v>2046</v>
      </c>
      <c r="CQ206" s="22">
        <v>32</v>
      </c>
      <c r="CR206" s="198">
        <f t="shared" ca="1" si="100"/>
        <v>107.90475001670083</v>
      </c>
      <c r="CS206" s="198">
        <f t="shared" ca="1" si="101"/>
        <v>1.4903999523098066</v>
      </c>
      <c r="CT206" s="205">
        <f t="shared" ca="1" si="102"/>
        <v>160.82123427889252</v>
      </c>
      <c r="CZ206" s="164" t="b">
        <f t="shared" si="79"/>
        <v>0</v>
      </c>
      <c r="DA206" s="165" t="b">
        <f t="shared" si="79"/>
        <v>0</v>
      </c>
      <c r="DB206" s="166" t="b">
        <f t="shared" si="79"/>
        <v>0</v>
      </c>
      <c r="DC206" s="164" t="str">
        <f t="shared" si="80"/>
        <v/>
      </c>
      <c r="DD206" s="166" t="str">
        <f t="shared" si="81"/>
        <v/>
      </c>
      <c r="DE206" s="164" t="str">
        <f t="shared" si="82"/>
        <v/>
      </c>
      <c r="DF206" s="166" t="str">
        <f t="shared" si="83"/>
        <v/>
      </c>
      <c r="DG206" s="164" t="str">
        <f t="shared" si="84"/>
        <v/>
      </c>
      <c r="DH206" s="166" t="str">
        <f t="shared" si="85"/>
        <v/>
      </c>
      <c r="DI206" s="164" t="str">
        <f>IFERROR(INDEX(DC$170:DC$218,_xlfn.AGGREGATE(15,6,(ROW(DC$170:DC$218)-ROW(DC$170)+1)/(DC$170:DC$218&lt;&gt;""),ROWS(DI$1:DI37))),"")</f>
        <v/>
      </c>
      <c r="DJ206" s="165" t="str">
        <f>IFERROR(INDEX(DD$170:DD$218,_xlfn.AGGREGATE(15,6,(ROW(DD$170:DD$218)-ROW(DD$170)+1)/(DD$170:DD$218&lt;&gt;""),ROWS(DJ$1:DJ37))),"")</f>
        <v/>
      </c>
      <c r="DK206" s="166" t="str">
        <f t="shared" si="86"/>
        <v/>
      </c>
      <c r="DL206" s="164" t="str">
        <f>IFERROR(INDEX(DE$170:DE$218,_xlfn.AGGREGATE(15,6,(ROW(DE$170:DE$218)-ROW(DE$170)+1)/(DE$170:DE$218&lt;&gt;""),ROWS(DL$1:DL37))),"")</f>
        <v/>
      </c>
      <c r="DM206" s="165" t="str">
        <f>IFERROR(INDEX(DF$170:DF$218,_xlfn.AGGREGATE(15,6,(ROW(DF$170:DF$218)-ROW(DF$170)+1)/(DF$170:DF$218&lt;&gt;""),ROWS(DM$1:DM37))),"")</f>
        <v/>
      </c>
      <c r="DN206" s="166" t="str">
        <f t="shared" si="87"/>
        <v/>
      </c>
      <c r="DO206" s="164" t="str">
        <f>IFERROR(INDEX(DG$170:DG$218,_xlfn.AGGREGATE(15,6,(ROW(DG$170:DG$218)-ROW(DG$170)+1)/(DG$170:DG$218&lt;&gt;""),ROWS(DO$1:DO37))),"")</f>
        <v/>
      </c>
      <c r="DP206" s="165" t="str">
        <f>IFERROR(INDEX(DH$170:DH$218,_xlfn.AGGREGATE(15,6,(ROW(DH$170:DH$218)-ROW(DH$170)+1)/(DH$170:DH$218&lt;&gt;""),ROWS(DP$1:DP37))),"")</f>
        <v/>
      </c>
      <c r="DQ206" s="166" t="str">
        <f t="shared" si="88"/>
        <v/>
      </c>
      <c r="DV206" s="145">
        <v>2051</v>
      </c>
      <c r="DW206" s="235">
        <f t="shared" ca="1" si="72"/>
        <v>163.67743253107375</v>
      </c>
      <c r="EA206" s="55"/>
      <c r="EB206" s="55"/>
      <c r="EC206" s="55"/>
      <c r="ED206" s="55"/>
      <c r="EE206" s="55"/>
    </row>
    <row r="207" spans="2:135" ht="13.8" x14ac:dyDescent="0.45">
      <c r="B207" s="128">
        <v>2049</v>
      </c>
      <c r="C207" s="263"/>
      <c r="D207" s="267"/>
      <c r="E207" s="271"/>
      <c r="F207" s="271"/>
      <c r="G207" s="271"/>
      <c r="H207" s="245"/>
      <c r="I207" s="246"/>
      <c r="J207" s="247"/>
      <c r="K207" s="245"/>
      <c r="L207" s="246"/>
      <c r="M207" s="245"/>
      <c r="N207" s="29" t="s">
        <v>119</v>
      </c>
      <c r="O207" s="120"/>
      <c r="P207" s="120"/>
      <c r="Q207" s="120"/>
      <c r="R207" s="29">
        <v>35</v>
      </c>
      <c r="S207" s="238" t="str">
        <f t="shared" si="73"/>
        <v/>
      </c>
      <c r="T207" s="238" t="str">
        <f t="shared" si="74"/>
        <v/>
      </c>
      <c r="U207" s="238" t="str">
        <f t="shared" si="75"/>
        <v/>
      </c>
      <c r="W207" s="238" t="e">
        <f t="shared" si="76"/>
        <v>#N/A</v>
      </c>
      <c r="X207" s="238" t="e">
        <f t="shared" si="77"/>
        <v>#N/A</v>
      </c>
      <c r="Y207" s="238" t="e">
        <f t="shared" si="78"/>
        <v>#N/A</v>
      </c>
      <c r="AA207" s="89"/>
      <c r="AB207" s="89"/>
      <c r="AC207" s="89"/>
      <c r="AD207" s="89"/>
      <c r="AE207" s="89"/>
      <c r="AF207" s="89"/>
      <c r="AG207" s="89"/>
      <c r="AH207" s="89"/>
      <c r="AI207" s="89"/>
      <c r="AJ207" s="89"/>
      <c r="AK207" s="89"/>
      <c r="AL207" s="89"/>
      <c r="AM207" s="89"/>
      <c r="AN207" s="89"/>
      <c r="BR207" s="180">
        <v>2047</v>
      </c>
      <c r="BS207" s="22">
        <v>33</v>
      </c>
      <c r="BT207" s="181">
        <f t="shared" si="89"/>
        <v>53.836202615103801</v>
      </c>
      <c r="BU207" s="182">
        <f t="shared" si="90"/>
        <v>106.45137405158448</v>
      </c>
      <c r="BV207" s="205">
        <f t="shared" si="91"/>
        <v>160.28757666668827</v>
      </c>
      <c r="BY207" s="180">
        <v>2047</v>
      </c>
      <c r="BZ207" s="22">
        <v>33</v>
      </c>
      <c r="CA207" s="198">
        <f t="shared" ca="1" si="92"/>
        <v>-12.459457046204836</v>
      </c>
      <c r="CB207" s="198">
        <f t="shared" ca="1" si="93"/>
        <v>65.918100356878185</v>
      </c>
      <c r="CC207" s="198">
        <f t="shared" ca="1" si="104"/>
        <v>104.43772442795542</v>
      </c>
      <c r="CD207" s="205">
        <f t="shared" ca="1" si="94"/>
        <v>157.89636773862878</v>
      </c>
      <c r="CG207" s="180">
        <v>2047</v>
      </c>
      <c r="CH207" s="22">
        <v>33</v>
      </c>
      <c r="CI207" s="198">
        <f t="shared" ca="1" si="95"/>
        <v>5.7265050628832803</v>
      </c>
      <c r="CJ207" s="198">
        <f t="shared" ca="1" si="96"/>
        <v>-20.788918955853209</v>
      </c>
      <c r="CK207" s="198">
        <f t="shared" ca="1" si="97"/>
        <v>69.200455233142378</v>
      </c>
      <c r="CL207" s="198">
        <f t="shared" ca="1" si="98"/>
        <v>104.15166209974525</v>
      </c>
      <c r="CM207" s="205">
        <f t="shared" ca="1" si="99"/>
        <v>158.2897034399177</v>
      </c>
      <c r="CP207" s="180">
        <v>2047</v>
      </c>
      <c r="CQ207" s="22">
        <v>33</v>
      </c>
      <c r="CR207" s="198">
        <f t="shared" ca="1" si="100"/>
        <v>107.90475001670083</v>
      </c>
      <c r="CS207" s="198">
        <f t="shared" ca="1" si="101"/>
        <v>1.5091018147681126</v>
      </c>
      <c r="CT207" s="205">
        <f t="shared" ca="1" si="102"/>
        <v>162.83925407230274</v>
      </c>
      <c r="CZ207" s="164" t="b">
        <f t="shared" si="79"/>
        <v>0</v>
      </c>
      <c r="DA207" s="165" t="b">
        <f t="shared" si="79"/>
        <v>0</v>
      </c>
      <c r="DB207" s="166" t="b">
        <f t="shared" si="79"/>
        <v>0</v>
      </c>
      <c r="DC207" s="164" t="str">
        <f t="shared" si="80"/>
        <v/>
      </c>
      <c r="DD207" s="166" t="str">
        <f t="shared" si="81"/>
        <v/>
      </c>
      <c r="DE207" s="164" t="str">
        <f t="shared" si="82"/>
        <v/>
      </c>
      <c r="DF207" s="166" t="str">
        <f t="shared" si="83"/>
        <v/>
      </c>
      <c r="DG207" s="164" t="str">
        <f t="shared" si="84"/>
        <v/>
      </c>
      <c r="DH207" s="166" t="str">
        <f t="shared" si="85"/>
        <v/>
      </c>
      <c r="DI207" s="164" t="str">
        <f>IFERROR(INDEX(DC$170:DC$218,_xlfn.AGGREGATE(15,6,(ROW(DC$170:DC$218)-ROW(DC$170)+1)/(DC$170:DC$218&lt;&gt;""),ROWS(DI$1:DI38))),"")</f>
        <v/>
      </c>
      <c r="DJ207" s="165" t="str">
        <f>IFERROR(INDEX(DD$170:DD$218,_xlfn.AGGREGATE(15,6,(ROW(DD$170:DD$218)-ROW(DD$170)+1)/(DD$170:DD$218&lt;&gt;""),ROWS(DJ$1:DJ38))),"")</f>
        <v/>
      </c>
      <c r="DK207" s="166" t="str">
        <f t="shared" si="86"/>
        <v/>
      </c>
      <c r="DL207" s="164" t="str">
        <f>IFERROR(INDEX(DE$170:DE$218,_xlfn.AGGREGATE(15,6,(ROW(DE$170:DE$218)-ROW(DE$170)+1)/(DE$170:DE$218&lt;&gt;""),ROWS(DL$1:DL38))),"")</f>
        <v/>
      </c>
      <c r="DM207" s="165" t="str">
        <f>IFERROR(INDEX(DF$170:DF$218,_xlfn.AGGREGATE(15,6,(ROW(DF$170:DF$218)-ROW(DF$170)+1)/(DF$170:DF$218&lt;&gt;""),ROWS(DM$1:DM38))),"")</f>
        <v/>
      </c>
      <c r="DN207" s="166" t="str">
        <f t="shared" si="87"/>
        <v/>
      </c>
      <c r="DO207" s="164" t="str">
        <f>IFERROR(INDEX(DG$170:DG$218,_xlfn.AGGREGATE(15,6,(ROW(DG$170:DG$218)-ROW(DG$170)+1)/(DG$170:DG$218&lt;&gt;""),ROWS(DO$1:DO38))),"")</f>
        <v/>
      </c>
      <c r="DP207" s="165" t="str">
        <f>IFERROR(INDEX(DH$170:DH$218,_xlfn.AGGREGATE(15,6,(ROW(DH$170:DH$218)-ROW(DH$170)+1)/(DH$170:DH$218&lt;&gt;""),ROWS(DP$1:DP38))),"")</f>
        <v/>
      </c>
      <c r="DQ207" s="166" t="str">
        <f t="shared" si="88"/>
        <v/>
      </c>
      <c r="DV207" s="145">
        <v>2052</v>
      </c>
      <c r="DW207" s="235">
        <f t="shared" ca="1" si="72"/>
        <v>165.01496338210362</v>
      </c>
      <c r="EA207" s="55"/>
      <c r="EB207" s="55"/>
      <c r="EC207" s="55"/>
      <c r="ED207" s="55"/>
      <c r="EE207" s="55"/>
    </row>
    <row r="208" spans="2:135" ht="13.8" x14ac:dyDescent="0.45">
      <c r="B208" s="128">
        <v>2050</v>
      </c>
      <c r="C208" s="263"/>
      <c r="D208" s="267"/>
      <c r="E208" s="271"/>
      <c r="F208" s="271"/>
      <c r="G208" s="271"/>
      <c r="H208" s="245"/>
      <c r="I208" s="246"/>
      <c r="J208" s="247"/>
      <c r="K208" s="245"/>
      <c r="L208" s="246"/>
      <c r="M208" s="245"/>
      <c r="N208" s="29" t="s">
        <v>119</v>
      </c>
      <c r="O208" s="120"/>
      <c r="P208" s="120"/>
      <c r="Q208" s="120"/>
      <c r="R208" s="29">
        <v>36</v>
      </c>
      <c r="S208" s="238" t="str">
        <f t="shared" si="73"/>
        <v/>
      </c>
      <c r="T208" s="238" t="str">
        <f t="shared" si="74"/>
        <v/>
      </c>
      <c r="U208" s="238" t="str">
        <f t="shared" si="75"/>
        <v/>
      </c>
      <c r="W208" s="238" t="e">
        <f t="shared" si="76"/>
        <v>#N/A</v>
      </c>
      <c r="X208" s="238" t="e">
        <f t="shared" si="77"/>
        <v>#N/A</v>
      </c>
      <c r="Y208" s="238" t="e">
        <f t="shared" si="78"/>
        <v>#N/A</v>
      </c>
      <c r="AA208" s="89"/>
      <c r="AB208" s="89"/>
      <c r="AC208" s="89"/>
      <c r="AD208" s="89"/>
      <c r="AE208" s="89"/>
      <c r="AF208" s="89"/>
      <c r="AG208" s="89"/>
      <c r="AH208" s="89"/>
      <c r="AI208" s="89"/>
      <c r="AJ208" s="89"/>
      <c r="AK208" s="89"/>
      <c r="AL208" s="89"/>
      <c r="AM208" s="89"/>
      <c r="AN208" s="89"/>
      <c r="BR208" s="180">
        <v>2048</v>
      </c>
      <c r="BS208" s="22">
        <v>34</v>
      </c>
      <c r="BT208" s="181">
        <f t="shared" si="89"/>
        <v>55.467602694349367</v>
      </c>
      <c r="BU208" s="182">
        <f t="shared" si="90"/>
        <v>106.45137405158448</v>
      </c>
      <c r="BV208" s="205">
        <f t="shared" si="91"/>
        <v>161.91897674593383</v>
      </c>
      <c r="BY208" s="180">
        <v>2048</v>
      </c>
      <c r="BZ208" s="22">
        <v>34</v>
      </c>
      <c r="CA208" s="198">
        <f t="shared" ca="1" si="92"/>
        <v>-13.226016846109081</v>
      </c>
      <c r="CB208" s="198">
        <f t="shared" ca="1" si="93"/>
        <v>67.915618549510867</v>
      </c>
      <c r="CC208" s="198">
        <f t="shared" ca="1" si="104"/>
        <v>104.43772442795542</v>
      </c>
      <c r="CD208" s="205">
        <f t="shared" ca="1" si="94"/>
        <v>159.12732613135719</v>
      </c>
      <c r="CG208" s="180">
        <v>2048</v>
      </c>
      <c r="CH208" s="22">
        <v>34</v>
      </c>
      <c r="CI208" s="198">
        <f t="shared" ca="1" si="95"/>
        <v>6.2630312767221659</v>
      </c>
      <c r="CJ208" s="198">
        <f t="shared" ca="1" si="96"/>
        <v>-22.067943354422688</v>
      </c>
      <c r="CK208" s="198">
        <f t="shared" ca="1" si="97"/>
        <v>71.297438725055784</v>
      </c>
      <c r="CL208" s="198">
        <f t="shared" ca="1" si="98"/>
        <v>104.15166209974525</v>
      </c>
      <c r="CM208" s="205">
        <f t="shared" ca="1" si="99"/>
        <v>159.64418874710051</v>
      </c>
      <c r="CP208" s="180">
        <v>2048</v>
      </c>
      <c r="CQ208" s="22">
        <v>34</v>
      </c>
      <c r="CR208" s="198">
        <f t="shared" ca="1" si="100"/>
        <v>107.90475001670083</v>
      </c>
      <c r="CS208" s="198">
        <f t="shared" ca="1" si="101"/>
        <v>1.52803835226037</v>
      </c>
      <c r="CT208" s="205">
        <f t="shared" ca="1" si="102"/>
        <v>164.88259641658667</v>
      </c>
      <c r="CZ208" s="164" t="b">
        <f t="shared" si="79"/>
        <v>0</v>
      </c>
      <c r="DA208" s="165" t="b">
        <f t="shared" si="79"/>
        <v>0</v>
      </c>
      <c r="DB208" s="166" t="b">
        <f t="shared" si="79"/>
        <v>0</v>
      </c>
      <c r="DC208" s="164" t="str">
        <f t="shared" si="80"/>
        <v/>
      </c>
      <c r="DD208" s="166" t="str">
        <f t="shared" si="81"/>
        <v/>
      </c>
      <c r="DE208" s="164" t="str">
        <f t="shared" si="82"/>
        <v/>
      </c>
      <c r="DF208" s="166" t="str">
        <f t="shared" si="83"/>
        <v/>
      </c>
      <c r="DG208" s="164" t="str">
        <f t="shared" si="84"/>
        <v/>
      </c>
      <c r="DH208" s="166" t="str">
        <f t="shared" si="85"/>
        <v/>
      </c>
      <c r="DI208" s="164" t="str">
        <f>IFERROR(INDEX(DC$170:DC$218,_xlfn.AGGREGATE(15,6,(ROW(DC$170:DC$218)-ROW(DC$170)+1)/(DC$170:DC$218&lt;&gt;""),ROWS(DI$1:DI39))),"")</f>
        <v/>
      </c>
      <c r="DJ208" s="165" t="str">
        <f>IFERROR(INDEX(DD$170:DD$218,_xlfn.AGGREGATE(15,6,(ROW(DD$170:DD$218)-ROW(DD$170)+1)/(DD$170:DD$218&lt;&gt;""),ROWS(DJ$1:DJ39))),"")</f>
        <v/>
      </c>
      <c r="DK208" s="166" t="str">
        <f t="shared" si="86"/>
        <v/>
      </c>
      <c r="DL208" s="164" t="str">
        <f>IFERROR(INDEX(DE$170:DE$218,_xlfn.AGGREGATE(15,6,(ROW(DE$170:DE$218)-ROW(DE$170)+1)/(DE$170:DE$218&lt;&gt;""),ROWS(DL$1:DL39))),"")</f>
        <v/>
      </c>
      <c r="DM208" s="165" t="str">
        <f>IFERROR(INDEX(DF$170:DF$218,_xlfn.AGGREGATE(15,6,(ROW(DF$170:DF$218)-ROW(DF$170)+1)/(DF$170:DF$218&lt;&gt;""),ROWS(DM$1:DM39))),"")</f>
        <v/>
      </c>
      <c r="DN208" s="166" t="str">
        <f t="shared" si="87"/>
        <v/>
      </c>
      <c r="DO208" s="164" t="str">
        <f>IFERROR(INDEX(DG$170:DG$218,_xlfn.AGGREGATE(15,6,(ROW(DG$170:DG$218)-ROW(DG$170)+1)/(DG$170:DG$218&lt;&gt;""),ROWS(DO$1:DO39))),"")</f>
        <v/>
      </c>
      <c r="DP208" s="165" t="str">
        <f>IFERROR(INDEX(DH$170:DH$218,_xlfn.AGGREGATE(15,6,(ROW(DH$170:DH$218)-ROW(DH$170)+1)/(DH$170:DH$218&lt;&gt;""),ROWS(DP$1:DP39))),"")</f>
        <v/>
      </c>
      <c r="DQ208" s="166" t="str">
        <f t="shared" si="88"/>
        <v/>
      </c>
      <c r="DV208" s="145">
        <v>2053</v>
      </c>
      <c r="DW208" s="235">
        <f t="shared" ca="1" si="72"/>
        <v>166.3506458457681</v>
      </c>
      <c r="EA208" s="55"/>
      <c r="EB208" s="55"/>
      <c r="EC208" s="55"/>
      <c r="ED208" s="55"/>
      <c r="EE208" s="55"/>
    </row>
    <row r="209" spans="1:135" ht="13.8" x14ac:dyDescent="0.45">
      <c r="B209" s="128">
        <v>2051</v>
      </c>
      <c r="C209" s="263"/>
      <c r="D209" s="267"/>
      <c r="E209" s="271"/>
      <c r="F209" s="271"/>
      <c r="G209" s="271"/>
      <c r="H209" s="245"/>
      <c r="I209" s="246"/>
      <c r="J209" s="247"/>
      <c r="K209" s="245"/>
      <c r="L209" s="246"/>
      <c r="M209" s="245"/>
      <c r="N209" s="29" t="s">
        <v>119</v>
      </c>
      <c r="O209" s="120"/>
      <c r="P209" s="120"/>
      <c r="Q209" s="120"/>
      <c r="R209" s="29">
        <v>37</v>
      </c>
      <c r="S209" s="238" t="str">
        <f t="shared" si="73"/>
        <v/>
      </c>
      <c r="T209" s="238" t="str">
        <f t="shared" si="74"/>
        <v/>
      </c>
      <c r="U209" s="238" t="str">
        <f t="shared" si="75"/>
        <v/>
      </c>
      <c r="W209" s="238" t="e">
        <f t="shared" si="76"/>
        <v>#N/A</v>
      </c>
      <c r="X209" s="238" t="e">
        <f t="shared" si="77"/>
        <v>#N/A</v>
      </c>
      <c r="Y209" s="238" t="e">
        <f t="shared" si="78"/>
        <v>#N/A</v>
      </c>
      <c r="AA209" s="89"/>
      <c r="AB209" s="89"/>
      <c r="AC209" s="89"/>
      <c r="AD209" s="89"/>
      <c r="AE209" s="89"/>
      <c r="AF209" s="89"/>
      <c r="AG209" s="89"/>
      <c r="AH209" s="89"/>
      <c r="AI209" s="89"/>
      <c r="AJ209" s="89"/>
      <c r="AK209" s="89"/>
      <c r="AL209" s="89"/>
      <c r="AM209" s="89"/>
      <c r="AN209" s="89"/>
      <c r="BR209" s="180">
        <v>2049</v>
      </c>
      <c r="BS209" s="22">
        <v>35</v>
      </c>
      <c r="BT209" s="181">
        <f t="shared" si="89"/>
        <v>57.09900277359494</v>
      </c>
      <c r="BU209" s="182">
        <f t="shared" si="90"/>
        <v>106.45137405158448</v>
      </c>
      <c r="BV209" s="205">
        <f t="shared" si="91"/>
        <v>163.55037682517943</v>
      </c>
      <c r="BY209" s="180">
        <v>2049</v>
      </c>
      <c r="BZ209" s="22">
        <v>35</v>
      </c>
      <c r="CA209" s="198">
        <f t="shared" ca="1" si="92"/>
        <v>-14.015459028100022</v>
      </c>
      <c r="CB209" s="198">
        <f t="shared" ca="1" si="93"/>
        <v>69.913136742143536</v>
      </c>
      <c r="CC209" s="198">
        <f t="shared" ca="1" si="104"/>
        <v>104.43772442795542</v>
      </c>
      <c r="CD209" s="205">
        <f t="shared" ca="1" si="94"/>
        <v>160.33540214199894</v>
      </c>
      <c r="CG209" s="180">
        <v>2049</v>
      </c>
      <c r="CH209" s="22">
        <v>35</v>
      </c>
      <c r="CI209" s="198">
        <f t="shared" ca="1" si="95"/>
        <v>6.8320645733122038</v>
      </c>
      <c r="CJ209" s="198">
        <f t="shared" ca="1" si="96"/>
        <v>-23.385147585785287</v>
      </c>
      <c r="CK209" s="198">
        <f t="shared" ca="1" si="97"/>
        <v>73.39442221696919</v>
      </c>
      <c r="CL209" s="198">
        <f t="shared" ca="1" si="98"/>
        <v>104.15166209974525</v>
      </c>
      <c r="CM209" s="205">
        <f t="shared" ca="1" si="99"/>
        <v>160.99300130424137</v>
      </c>
      <c r="CP209" s="180">
        <v>2049</v>
      </c>
      <c r="CQ209" s="22">
        <v>35</v>
      </c>
      <c r="CR209" s="198">
        <f t="shared" ca="1" si="100"/>
        <v>107.90475001670083</v>
      </c>
      <c r="CS209" s="198">
        <f t="shared" ca="1" si="101"/>
        <v>1.5472125095398985</v>
      </c>
      <c r="CT209" s="205">
        <f t="shared" ca="1" si="102"/>
        <v>166.95157906461509</v>
      </c>
      <c r="CZ209" s="164" t="b">
        <f t="shared" si="79"/>
        <v>0</v>
      </c>
      <c r="DA209" s="165" t="b">
        <f t="shared" si="79"/>
        <v>0</v>
      </c>
      <c r="DB209" s="166" t="b">
        <f t="shared" si="79"/>
        <v>0</v>
      </c>
      <c r="DC209" s="164" t="str">
        <f t="shared" si="80"/>
        <v/>
      </c>
      <c r="DD209" s="166" t="str">
        <f t="shared" si="81"/>
        <v/>
      </c>
      <c r="DE209" s="164" t="str">
        <f t="shared" si="82"/>
        <v/>
      </c>
      <c r="DF209" s="166" t="str">
        <f t="shared" si="83"/>
        <v/>
      </c>
      <c r="DG209" s="164" t="str">
        <f t="shared" si="84"/>
        <v/>
      </c>
      <c r="DH209" s="166" t="str">
        <f t="shared" si="85"/>
        <v/>
      </c>
      <c r="DI209" s="164" t="str">
        <f>IFERROR(INDEX(DC$170:DC$218,_xlfn.AGGREGATE(15,6,(ROW(DC$170:DC$218)-ROW(DC$170)+1)/(DC$170:DC$218&lt;&gt;""),ROWS(DI$1:DI40))),"")</f>
        <v/>
      </c>
      <c r="DJ209" s="165" t="str">
        <f>IFERROR(INDEX(DD$170:DD$218,_xlfn.AGGREGATE(15,6,(ROW(DD$170:DD$218)-ROW(DD$170)+1)/(DD$170:DD$218&lt;&gt;""),ROWS(DJ$1:DJ40))),"")</f>
        <v/>
      </c>
      <c r="DK209" s="166" t="str">
        <f t="shared" si="86"/>
        <v/>
      </c>
      <c r="DL209" s="164" t="str">
        <f>IFERROR(INDEX(DE$170:DE$218,_xlfn.AGGREGATE(15,6,(ROW(DE$170:DE$218)-ROW(DE$170)+1)/(DE$170:DE$218&lt;&gt;""),ROWS(DL$1:DL40))),"")</f>
        <v/>
      </c>
      <c r="DM209" s="165" t="str">
        <f>IFERROR(INDEX(DF$170:DF$218,_xlfn.AGGREGATE(15,6,(ROW(DF$170:DF$218)-ROW(DF$170)+1)/(DF$170:DF$218&lt;&gt;""),ROWS(DM$1:DM40))),"")</f>
        <v/>
      </c>
      <c r="DN209" s="166" t="str">
        <f t="shared" si="87"/>
        <v/>
      </c>
      <c r="DO209" s="164" t="str">
        <f>IFERROR(INDEX(DG$170:DG$218,_xlfn.AGGREGATE(15,6,(ROW(DG$170:DG$218)-ROW(DG$170)+1)/(DG$170:DG$218&lt;&gt;""),ROWS(DO$1:DO40))),"")</f>
        <v/>
      </c>
      <c r="DP209" s="165" t="str">
        <f>IFERROR(INDEX(DH$170:DH$218,_xlfn.AGGREGATE(15,6,(ROW(DH$170:DH$218)-ROW(DH$170)+1)/(DH$170:DH$218&lt;&gt;""),ROWS(DP$1:DP40))),"")</f>
        <v/>
      </c>
      <c r="DQ209" s="166" t="str">
        <f t="shared" si="88"/>
        <v/>
      </c>
      <c r="DV209" s="145">
        <v>2054</v>
      </c>
      <c r="DW209" s="235">
        <f t="shared" ca="1" si="72"/>
        <v>167.6854360127364</v>
      </c>
      <c r="EA209" s="55"/>
      <c r="EB209" s="55"/>
      <c r="EC209" s="55"/>
      <c r="ED209" s="55"/>
      <c r="EE209" s="55"/>
    </row>
    <row r="210" spans="1:135" ht="13.8" x14ac:dyDescent="0.45">
      <c r="B210" s="128">
        <v>2052</v>
      </c>
      <c r="C210" s="263"/>
      <c r="D210" s="267"/>
      <c r="E210" s="271"/>
      <c r="F210" s="271"/>
      <c r="G210" s="271"/>
      <c r="H210" s="245"/>
      <c r="I210" s="246"/>
      <c r="J210" s="247"/>
      <c r="K210" s="245"/>
      <c r="L210" s="246"/>
      <c r="M210" s="245"/>
      <c r="N210" s="29" t="s">
        <v>119</v>
      </c>
      <c r="O210" s="120"/>
      <c r="P210" s="120"/>
      <c r="Q210" s="120"/>
      <c r="R210" s="29">
        <v>38</v>
      </c>
      <c r="S210" s="238" t="str">
        <f t="shared" si="73"/>
        <v/>
      </c>
      <c r="T210" s="238" t="str">
        <f t="shared" si="74"/>
        <v/>
      </c>
      <c r="U210" s="238" t="str">
        <f t="shared" si="75"/>
        <v/>
      </c>
      <c r="W210" s="238" t="e">
        <f t="shared" si="76"/>
        <v>#N/A</v>
      </c>
      <c r="X210" s="238" t="e">
        <f t="shared" si="77"/>
        <v>#N/A</v>
      </c>
      <c r="Y210" s="238" t="e">
        <f t="shared" si="78"/>
        <v>#N/A</v>
      </c>
      <c r="AA210" s="89"/>
      <c r="AB210" s="89"/>
      <c r="AC210" s="89"/>
      <c r="AD210" s="89"/>
      <c r="AE210" s="89"/>
      <c r="AF210" s="89"/>
      <c r="AG210" s="89"/>
      <c r="AH210" s="89"/>
      <c r="AI210" s="89"/>
      <c r="AJ210" s="89"/>
      <c r="AK210" s="89"/>
      <c r="AL210" s="89"/>
      <c r="AM210" s="89"/>
      <c r="AN210" s="89"/>
      <c r="BR210" s="180">
        <v>2050</v>
      </c>
      <c r="BS210" s="22">
        <v>36</v>
      </c>
      <c r="BT210" s="181">
        <f t="shared" si="89"/>
        <v>58.730402852840506</v>
      </c>
      <c r="BU210" s="182">
        <f t="shared" si="90"/>
        <v>106.45137405158448</v>
      </c>
      <c r="BV210" s="212">
        <f t="shared" si="91"/>
        <v>165.18177690442499</v>
      </c>
      <c r="BY210" s="180">
        <v>2050</v>
      </c>
      <c r="BZ210" s="22">
        <v>36</v>
      </c>
      <c r="CA210" s="198">
        <f t="shared" ca="1" si="92"/>
        <v>-14.827783592177655</v>
      </c>
      <c r="CB210" s="198">
        <f t="shared" ca="1" si="93"/>
        <v>71.910654934776204</v>
      </c>
      <c r="CC210" s="198">
        <f t="shared" ca="1" si="104"/>
        <v>104.43772442795542</v>
      </c>
      <c r="CD210" s="212">
        <f t="shared" ca="1" si="94"/>
        <v>161.52059577055397</v>
      </c>
      <c r="CG210" s="180">
        <v>2050</v>
      </c>
      <c r="CH210" s="22">
        <v>36</v>
      </c>
      <c r="CI210" s="198">
        <f t="shared" ca="1" si="95"/>
        <v>7.434561043322546</v>
      </c>
      <c r="CJ210" s="198">
        <f t="shared" ca="1" si="96"/>
        <v>-24.740531649941008</v>
      </c>
      <c r="CK210" s="198">
        <f t="shared" ca="1" si="97"/>
        <v>75.491405708882596</v>
      </c>
      <c r="CL210" s="198">
        <f t="shared" ca="1" si="98"/>
        <v>104.15166209974525</v>
      </c>
      <c r="CM210" s="212">
        <f t="shared" ca="1" si="99"/>
        <v>162.33709720200937</v>
      </c>
      <c r="CP210" s="180">
        <v>2050</v>
      </c>
      <c r="CQ210" s="22">
        <v>36</v>
      </c>
      <c r="CR210" s="198">
        <f t="shared" ca="1" si="100"/>
        <v>107.90475001670083</v>
      </c>
      <c r="CS210" s="198">
        <f t="shared" ca="1" si="101"/>
        <v>1.5666272683114226</v>
      </c>
      <c r="CT210" s="212">
        <f t="shared" ca="1" si="102"/>
        <v>169.04652375649096</v>
      </c>
      <c r="CZ210" s="164" t="b">
        <f t="shared" ref="CZ210:DB218" si="106">ISNUMBER(W210)</f>
        <v>0</v>
      </c>
      <c r="DA210" s="165" t="b">
        <f t="shared" si="106"/>
        <v>0</v>
      </c>
      <c r="DB210" s="166" t="b">
        <f t="shared" si="106"/>
        <v>0</v>
      </c>
      <c r="DC210" s="164" t="str">
        <f t="shared" si="80"/>
        <v/>
      </c>
      <c r="DD210" s="166" t="str">
        <f t="shared" si="81"/>
        <v/>
      </c>
      <c r="DE210" s="164" t="str">
        <f t="shared" si="82"/>
        <v/>
      </c>
      <c r="DF210" s="166" t="str">
        <f t="shared" si="83"/>
        <v/>
      </c>
      <c r="DG210" s="164" t="str">
        <f t="shared" si="84"/>
        <v/>
      </c>
      <c r="DH210" s="166" t="str">
        <f t="shared" si="85"/>
        <v/>
      </c>
      <c r="DI210" s="164" t="str">
        <f>IFERROR(INDEX(DC$170:DC$218,_xlfn.AGGREGATE(15,6,(ROW(DC$170:DC$218)-ROW(DC$170)+1)/(DC$170:DC$218&lt;&gt;""),ROWS(DI$1:DI41))),"")</f>
        <v/>
      </c>
      <c r="DJ210" s="165" t="str">
        <f>IFERROR(INDEX(DD$170:DD$218,_xlfn.AGGREGATE(15,6,(ROW(DD$170:DD$218)-ROW(DD$170)+1)/(DD$170:DD$218&lt;&gt;""),ROWS(DJ$1:DJ41))),"")</f>
        <v/>
      </c>
      <c r="DK210" s="166" t="str">
        <f t="shared" si="86"/>
        <v/>
      </c>
      <c r="DL210" s="164" t="str">
        <f>IFERROR(INDEX(DE$170:DE$218,_xlfn.AGGREGATE(15,6,(ROW(DE$170:DE$218)-ROW(DE$170)+1)/(DE$170:DE$218&lt;&gt;""),ROWS(DL$1:DL41))),"")</f>
        <v/>
      </c>
      <c r="DM210" s="165" t="str">
        <f>IFERROR(INDEX(DF$170:DF$218,_xlfn.AGGREGATE(15,6,(ROW(DF$170:DF$218)-ROW(DF$170)+1)/(DF$170:DF$218&lt;&gt;""),ROWS(DM$1:DM41))),"")</f>
        <v/>
      </c>
      <c r="DN210" s="166" t="str">
        <f t="shared" si="87"/>
        <v/>
      </c>
      <c r="DO210" s="164" t="str">
        <f>IFERROR(INDEX(DG$170:DG$218,_xlfn.AGGREGATE(15,6,(ROW(DG$170:DG$218)-ROW(DG$170)+1)/(DG$170:DG$218&lt;&gt;""),ROWS(DO$1:DO41))),"")</f>
        <v/>
      </c>
      <c r="DP210" s="165" t="str">
        <f>IFERROR(INDEX(DH$170:DH$218,_xlfn.AGGREGATE(15,6,(ROW(DH$170:DH$218)-ROW(DH$170)+1)/(DH$170:DH$218&lt;&gt;""),ROWS(DP$1:DP41))),"")</f>
        <v/>
      </c>
      <c r="DQ210" s="166" t="str">
        <f t="shared" si="88"/>
        <v/>
      </c>
      <c r="DV210" s="145">
        <v>2055</v>
      </c>
      <c r="DW210" s="235">
        <f t="shared" ca="1" si="72"/>
        <v>169.02028997367762</v>
      </c>
      <c r="EA210" s="55"/>
      <c r="EB210" s="55"/>
      <c r="EC210" s="55"/>
      <c r="ED210" s="55"/>
      <c r="EE210" s="55"/>
    </row>
    <row r="211" spans="1:135" ht="13.8" x14ac:dyDescent="0.45">
      <c r="B211" s="128">
        <v>2053</v>
      </c>
      <c r="C211" s="263"/>
      <c r="D211" s="267"/>
      <c r="E211" s="271"/>
      <c r="F211" s="271"/>
      <c r="G211" s="271"/>
      <c r="H211" s="245"/>
      <c r="I211" s="246"/>
      <c r="J211" s="247"/>
      <c r="K211" s="245"/>
      <c r="L211" s="246"/>
      <c r="M211" s="245"/>
      <c r="N211" s="29" t="s">
        <v>119</v>
      </c>
      <c r="O211" s="120"/>
      <c r="P211" s="120"/>
      <c r="Q211" s="120"/>
      <c r="R211" s="29">
        <v>39</v>
      </c>
      <c r="S211" s="238" t="str">
        <f t="shared" si="73"/>
        <v/>
      </c>
      <c r="T211" s="238" t="str">
        <f t="shared" si="74"/>
        <v/>
      </c>
      <c r="U211" s="238" t="str">
        <f t="shared" si="75"/>
        <v/>
      </c>
      <c r="W211" s="238" t="e">
        <f t="shared" si="76"/>
        <v>#N/A</v>
      </c>
      <c r="X211" s="238" t="e">
        <f t="shared" si="77"/>
        <v>#N/A</v>
      </c>
      <c r="Y211" s="238" t="e">
        <f t="shared" si="78"/>
        <v>#N/A</v>
      </c>
      <c r="AA211" s="89"/>
      <c r="AB211" s="89"/>
      <c r="AC211" s="89"/>
      <c r="AD211" s="89"/>
      <c r="AE211" s="89"/>
      <c r="AF211" s="89"/>
      <c r="AG211" s="89"/>
      <c r="AH211" s="89"/>
      <c r="AI211" s="89"/>
      <c r="AJ211" s="89"/>
      <c r="AK211" s="89"/>
      <c r="AL211" s="89"/>
      <c r="AM211" s="89"/>
      <c r="AN211" s="89"/>
      <c r="BR211" s="180">
        <v>2051</v>
      </c>
      <c r="BS211" s="22">
        <v>37</v>
      </c>
      <c r="BT211" s="181">
        <f t="shared" si="89"/>
        <v>60.361802932086078</v>
      </c>
      <c r="BU211" s="182">
        <f t="shared" si="90"/>
        <v>106.45137405158448</v>
      </c>
      <c r="BV211" s="213">
        <f t="shared" si="91"/>
        <v>166.81317698367056</v>
      </c>
      <c r="BY211" s="180">
        <v>2051</v>
      </c>
      <c r="BZ211" s="22">
        <v>37</v>
      </c>
      <c r="CA211" s="198">
        <f t="shared" ca="1" si="92"/>
        <v>-15.662990538341983</v>
      </c>
      <c r="CB211" s="198">
        <f t="shared" ca="1" si="93"/>
        <v>73.908173127408872</v>
      </c>
      <c r="CC211" s="198">
        <f t="shared" ca="1" si="104"/>
        <v>104.43772442795542</v>
      </c>
      <c r="CD211" s="213">
        <f t="shared" ca="1" si="94"/>
        <v>162.6829070170223</v>
      </c>
      <c r="CG211" s="180">
        <v>2051</v>
      </c>
      <c r="CH211" s="22">
        <v>37</v>
      </c>
      <c r="CI211" s="198">
        <f t="shared" ca="1" si="95"/>
        <v>8.0714767774223457</v>
      </c>
      <c r="CJ211" s="198">
        <f t="shared" ca="1" si="96"/>
        <v>-26.134095546889846</v>
      </c>
      <c r="CK211" s="198">
        <f t="shared" ca="1" si="97"/>
        <v>77.588389200796001</v>
      </c>
      <c r="CL211" s="198">
        <f t="shared" ca="1" si="98"/>
        <v>104.15166209974525</v>
      </c>
      <c r="CM211" s="213">
        <f t="shared" ca="1" si="99"/>
        <v>163.67743253107375</v>
      </c>
      <c r="CP211" s="180">
        <v>2051</v>
      </c>
      <c r="CQ211" s="22">
        <v>37</v>
      </c>
      <c r="CR211" s="198">
        <f t="shared" ca="1" si="100"/>
        <v>107.90475001670083</v>
      </c>
      <c r="CS211" s="198">
        <f t="shared" ca="1" si="101"/>
        <v>1.5862856476947451</v>
      </c>
      <c r="CT211" s="213">
        <f t="shared" ca="1" si="102"/>
        <v>171.16775626958184</v>
      </c>
      <c r="CZ211" s="164" t="b">
        <f t="shared" si="106"/>
        <v>0</v>
      </c>
      <c r="DA211" s="165" t="b">
        <f t="shared" si="106"/>
        <v>0</v>
      </c>
      <c r="DB211" s="166" t="b">
        <f t="shared" si="106"/>
        <v>0</v>
      </c>
      <c r="DC211" s="164" t="str">
        <f t="shared" si="80"/>
        <v/>
      </c>
      <c r="DD211" s="166" t="str">
        <f t="shared" si="81"/>
        <v/>
      </c>
      <c r="DE211" s="164" t="str">
        <f t="shared" si="82"/>
        <v/>
      </c>
      <c r="DF211" s="166" t="str">
        <f t="shared" si="83"/>
        <v/>
      </c>
      <c r="DG211" s="164" t="str">
        <f t="shared" si="84"/>
        <v/>
      </c>
      <c r="DH211" s="166" t="str">
        <f t="shared" si="85"/>
        <v/>
      </c>
      <c r="DI211" s="164" t="str">
        <f>IFERROR(INDEX(DC$170:DC$218,_xlfn.AGGREGATE(15,6,(ROW(DC$170:DC$218)-ROW(DC$170)+1)/(DC$170:DC$218&lt;&gt;""),ROWS(DI$1:DI42))),"")</f>
        <v/>
      </c>
      <c r="DJ211" s="165" t="str">
        <f>IFERROR(INDEX(DD$170:DD$218,_xlfn.AGGREGATE(15,6,(ROW(DD$170:DD$218)-ROW(DD$170)+1)/(DD$170:DD$218&lt;&gt;""),ROWS(DJ$1:DJ42))),"")</f>
        <v/>
      </c>
      <c r="DK211" s="166" t="str">
        <f t="shared" si="86"/>
        <v/>
      </c>
      <c r="DL211" s="164" t="str">
        <f>IFERROR(INDEX(DE$170:DE$218,_xlfn.AGGREGATE(15,6,(ROW(DE$170:DE$218)-ROW(DE$170)+1)/(DE$170:DE$218&lt;&gt;""),ROWS(DL$1:DL42))),"")</f>
        <v/>
      </c>
      <c r="DM211" s="165" t="str">
        <f>IFERROR(INDEX(DF$170:DF$218,_xlfn.AGGREGATE(15,6,(ROW(DF$170:DF$218)-ROW(DF$170)+1)/(DF$170:DF$218&lt;&gt;""),ROWS(DM$1:DM42))),"")</f>
        <v/>
      </c>
      <c r="DN211" s="166" t="str">
        <f t="shared" si="87"/>
        <v/>
      </c>
      <c r="DO211" s="164" t="str">
        <f>IFERROR(INDEX(DG$170:DG$218,_xlfn.AGGREGATE(15,6,(ROW(DG$170:DG$218)-ROW(DG$170)+1)/(DG$170:DG$218&lt;&gt;""),ROWS(DO$1:DO42))),"")</f>
        <v/>
      </c>
      <c r="DP211" s="165" t="str">
        <f>IFERROR(INDEX(DH$170:DH$218,_xlfn.AGGREGATE(15,6,(ROW(DH$170:DH$218)-ROW(DH$170)+1)/(DH$170:DH$218&lt;&gt;""),ROWS(DP$1:DP42))),"")</f>
        <v/>
      </c>
      <c r="DQ211" s="166" t="str">
        <f t="shared" si="88"/>
        <v/>
      </c>
      <c r="DV211" s="145">
        <v>2056</v>
      </c>
      <c r="DW211" s="235">
        <f t="shared" ca="1" si="72"/>
        <v>170.35616381926093</v>
      </c>
      <c r="EA211" s="55"/>
      <c r="EB211" s="55"/>
      <c r="EC211" s="55"/>
      <c r="ED211" s="55"/>
      <c r="EE211" s="55"/>
    </row>
    <row r="212" spans="1:135" ht="13.8" x14ac:dyDescent="0.45">
      <c r="B212" s="128">
        <v>2054</v>
      </c>
      <c r="C212" s="263"/>
      <c r="D212" s="267"/>
      <c r="E212" s="271"/>
      <c r="F212" s="271"/>
      <c r="G212" s="271"/>
      <c r="H212" s="245"/>
      <c r="I212" s="246"/>
      <c r="J212" s="247"/>
      <c r="K212" s="245"/>
      <c r="L212" s="246"/>
      <c r="M212" s="245"/>
      <c r="N212" s="29" t="s">
        <v>119</v>
      </c>
      <c r="O212" s="120"/>
      <c r="P212" s="120"/>
      <c r="Q212" s="120"/>
      <c r="R212" s="29">
        <v>40</v>
      </c>
      <c r="S212" s="238" t="str">
        <f t="shared" si="73"/>
        <v/>
      </c>
      <c r="T212" s="238" t="str">
        <f t="shared" si="74"/>
        <v/>
      </c>
      <c r="U212" s="238" t="str">
        <f t="shared" si="75"/>
        <v/>
      </c>
      <c r="W212" s="238" t="e">
        <f t="shared" si="76"/>
        <v>#N/A</v>
      </c>
      <c r="X212" s="238" t="e">
        <f t="shared" si="77"/>
        <v>#N/A</v>
      </c>
      <c r="Y212" s="238" t="e">
        <f t="shared" si="78"/>
        <v>#N/A</v>
      </c>
      <c r="AA212" s="89"/>
      <c r="AB212" s="89"/>
      <c r="AC212" s="89"/>
      <c r="AD212" s="89"/>
      <c r="AE212" s="89"/>
      <c r="AF212" s="89"/>
      <c r="AG212" s="89"/>
      <c r="AH212" s="89"/>
      <c r="AI212" s="89"/>
      <c r="AJ212" s="89"/>
      <c r="AK212" s="89"/>
      <c r="AL212" s="89"/>
      <c r="AM212" s="89"/>
      <c r="AN212" s="89"/>
      <c r="BR212" s="180">
        <v>2052</v>
      </c>
      <c r="BS212" s="22">
        <v>38</v>
      </c>
      <c r="BT212" s="181">
        <f t="shared" si="89"/>
        <v>61.993203011331644</v>
      </c>
      <c r="BU212" s="182">
        <f t="shared" si="90"/>
        <v>106.45137405158448</v>
      </c>
      <c r="BV212" s="241">
        <f t="shared" si="91"/>
        <v>168.44457706291612</v>
      </c>
      <c r="BY212" s="180">
        <v>2052</v>
      </c>
      <c r="BZ212" s="22">
        <v>38</v>
      </c>
      <c r="CA212" s="198">
        <f t="shared" ca="1" si="92"/>
        <v>-16.521079866593006</v>
      </c>
      <c r="CB212" s="198">
        <f t="shared" ca="1" si="93"/>
        <v>75.905691320041555</v>
      </c>
      <c r="CC212" s="198">
        <f t="shared" ca="1" si="104"/>
        <v>104.43772442795542</v>
      </c>
      <c r="CD212" s="241">
        <f t="shared" ca="1" si="94"/>
        <v>163.82233588140397</v>
      </c>
      <c r="CG212" s="180">
        <v>2052</v>
      </c>
      <c r="CH212" s="22">
        <v>38</v>
      </c>
      <c r="CI212" s="198">
        <f t="shared" ca="1" si="95"/>
        <v>8.7437678662807521</v>
      </c>
      <c r="CJ212" s="198">
        <f t="shared" ca="1" si="96"/>
        <v>-27.565839276631802</v>
      </c>
      <c r="CK212" s="198">
        <f t="shared" ca="1" si="97"/>
        <v>79.685372692709407</v>
      </c>
      <c r="CL212" s="198">
        <f t="shared" ca="1" si="98"/>
        <v>104.15166209974525</v>
      </c>
      <c r="CM212" s="241">
        <f t="shared" ca="1" si="99"/>
        <v>165.01496338210362</v>
      </c>
      <c r="CP212" s="180">
        <v>2052</v>
      </c>
      <c r="CQ212" s="22">
        <v>38</v>
      </c>
      <c r="CR212" s="198">
        <f t="shared" ca="1" si="100"/>
        <v>107.90475001670083</v>
      </c>
      <c r="CS212" s="198">
        <f t="shared" ca="1" si="101"/>
        <v>1.6061907046942405</v>
      </c>
      <c r="CT212" s="241">
        <f t="shared" ca="1" si="102"/>
        <v>173.31560646918058</v>
      </c>
      <c r="CZ212" s="164" t="b">
        <f t="shared" si="106"/>
        <v>0</v>
      </c>
      <c r="DA212" s="165" t="b">
        <f t="shared" si="106"/>
        <v>0</v>
      </c>
      <c r="DB212" s="166" t="b">
        <f t="shared" si="106"/>
        <v>0</v>
      </c>
      <c r="DC212" s="164" t="str">
        <f t="shared" si="80"/>
        <v/>
      </c>
      <c r="DD212" s="166" t="str">
        <f t="shared" si="81"/>
        <v/>
      </c>
      <c r="DE212" s="164" t="str">
        <f t="shared" si="82"/>
        <v/>
      </c>
      <c r="DF212" s="166" t="str">
        <f t="shared" si="83"/>
        <v/>
      </c>
      <c r="DG212" s="164" t="str">
        <f t="shared" si="84"/>
        <v/>
      </c>
      <c r="DH212" s="166" t="str">
        <f t="shared" si="85"/>
        <v/>
      </c>
      <c r="DI212" s="164" t="str">
        <f>IFERROR(INDEX(DC$170:DC$218,_xlfn.AGGREGATE(15,6,(ROW(DC$170:DC$218)-ROW(DC$170)+1)/(DC$170:DC$218&lt;&gt;""),ROWS(DI$1:DI43))),"")</f>
        <v/>
      </c>
      <c r="DJ212" s="165" t="str">
        <f>IFERROR(INDEX(DD$170:DD$218,_xlfn.AGGREGATE(15,6,(ROW(DD$170:DD$218)-ROW(DD$170)+1)/(DD$170:DD$218&lt;&gt;""),ROWS(DJ$1:DJ43))),"")</f>
        <v/>
      </c>
      <c r="DK212" s="166" t="str">
        <f t="shared" si="86"/>
        <v/>
      </c>
      <c r="DL212" s="164" t="str">
        <f>IFERROR(INDEX(DE$170:DE$218,_xlfn.AGGREGATE(15,6,(ROW(DE$170:DE$218)-ROW(DE$170)+1)/(DE$170:DE$218&lt;&gt;""),ROWS(DL$1:DL43))),"")</f>
        <v/>
      </c>
      <c r="DM212" s="165" t="str">
        <f>IFERROR(INDEX(DF$170:DF$218,_xlfn.AGGREGATE(15,6,(ROW(DF$170:DF$218)-ROW(DF$170)+1)/(DF$170:DF$218&lt;&gt;""),ROWS(DM$1:DM43))),"")</f>
        <v/>
      </c>
      <c r="DN212" s="166" t="str">
        <f t="shared" si="87"/>
        <v/>
      </c>
      <c r="DO212" s="164" t="str">
        <f>IFERROR(INDEX(DG$170:DG$218,_xlfn.AGGREGATE(15,6,(ROW(DG$170:DG$218)-ROW(DG$170)+1)/(DG$170:DG$218&lt;&gt;""),ROWS(DO$1:DO43))),"")</f>
        <v/>
      </c>
      <c r="DP212" s="165" t="str">
        <f>IFERROR(INDEX(DH$170:DH$218,_xlfn.AGGREGATE(15,6,(ROW(DH$170:DH$218)-ROW(DH$170)+1)/(DH$170:DH$218&lt;&gt;""),ROWS(DP$1:DP43))),"")</f>
        <v/>
      </c>
      <c r="DQ212" s="166" t="str">
        <f t="shared" si="88"/>
        <v/>
      </c>
      <c r="DV212" s="145">
        <v>2057</v>
      </c>
      <c r="DW212" s="235">
        <f t="shared" ca="1" si="72"/>
        <v>171.6940136401555</v>
      </c>
      <c r="EA212" s="55"/>
      <c r="EB212" s="55"/>
      <c r="EC212" s="55"/>
      <c r="ED212" s="55"/>
      <c r="EE212" s="55"/>
    </row>
    <row r="213" spans="1:135" ht="13.8" x14ac:dyDescent="0.45">
      <c r="B213" s="128">
        <v>2055</v>
      </c>
      <c r="C213" s="263"/>
      <c r="D213" s="267"/>
      <c r="E213" s="271"/>
      <c r="F213" s="271"/>
      <c r="G213" s="271"/>
      <c r="H213" s="245"/>
      <c r="I213" s="246"/>
      <c r="J213" s="247"/>
      <c r="K213" s="245"/>
      <c r="L213" s="246"/>
      <c r="M213" s="245"/>
      <c r="N213" s="29" t="s">
        <v>119</v>
      </c>
      <c r="O213" s="120"/>
      <c r="P213" s="120"/>
      <c r="Q213" s="120"/>
      <c r="R213" s="29">
        <v>41</v>
      </c>
      <c r="S213" s="238" t="str">
        <f t="shared" si="73"/>
        <v/>
      </c>
      <c r="T213" s="238" t="str">
        <f t="shared" si="74"/>
        <v/>
      </c>
      <c r="U213" s="238" t="str">
        <f t="shared" si="75"/>
        <v/>
      </c>
      <c r="W213" s="238" t="e">
        <f t="shared" si="76"/>
        <v>#N/A</v>
      </c>
      <c r="X213" s="238" t="e">
        <f t="shared" si="77"/>
        <v>#N/A</v>
      </c>
      <c r="Y213" s="238" t="e">
        <f t="shared" si="78"/>
        <v>#N/A</v>
      </c>
      <c r="AA213" s="89"/>
      <c r="AB213" s="89"/>
      <c r="AC213" s="89"/>
      <c r="AD213" s="89"/>
      <c r="AE213" s="89"/>
      <c r="AF213" s="89"/>
      <c r="AG213" s="89"/>
      <c r="AH213" s="89"/>
      <c r="AI213" s="89"/>
      <c r="AJ213" s="89"/>
      <c r="AK213" s="89"/>
      <c r="AL213" s="89"/>
      <c r="AM213" s="89"/>
      <c r="AN213" s="89"/>
      <c r="BR213" s="180">
        <v>2053</v>
      </c>
      <c r="BS213" s="22">
        <v>39</v>
      </c>
      <c r="BT213" s="181">
        <f t="shared" si="89"/>
        <v>63.624603090577217</v>
      </c>
      <c r="BU213" s="182">
        <f t="shared" si="90"/>
        <v>106.45137405158448</v>
      </c>
      <c r="BV213" s="241">
        <f t="shared" si="91"/>
        <v>170.07597714216169</v>
      </c>
      <c r="BY213" s="180">
        <v>2053</v>
      </c>
      <c r="BZ213" s="22">
        <v>39</v>
      </c>
      <c r="CA213" s="198">
        <f t="shared" ca="1" si="92"/>
        <v>-17.40205157693072</v>
      </c>
      <c r="CB213" s="198">
        <f t="shared" ca="1" si="93"/>
        <v>77.903209512674223</v>
      </c>
      <c r="CC213" s="198">
        <f t="shared" ca="1" si="104"/>
        <v>104.43772442795542</v>
      </c>
      <c r="CD213" s="241">
        <f t="shared" ca="1" si="94"/>
        <v>164.93888236369892</v>
      </c>
      <c r="CG213" s="180">
        <v>2053</v>
      </c>
      <c r="CH213" s="22">
        <v>39</v>
      </c>
      <c r="CI213" s="198">
        <f t="shared" ca="1" si="95"/>
        <v>9.4523904005669177</v>
      </c>
      <c r="CJ213" s="198">
        <f t="shared" ca="1" si="96"/>
        <v>-29.035762839166878</v>
      </c>
      <c r="CK213" s="198">
        <f t="shared" ca="1" si="97"/>
        <v>81.782356184622813</v>
      </c>
      <c r="CL213" s="198">
        <f t="shared" ca="1" si="98"/>
        <v>104.15166209974525</v>
      </c>
      <c r="CM213" s="241">
        <f t="shared" ca="1" si="99"/>
        <v>166.3506458457681</v>
      </c>
      <c r="CP213" s="180">
        <v>2053</v>
      </c>
      <c r="CQ213" s="22">
        <v>39</v>
      </c>
      <c r="CR213" s="198">
        <f t="shared" ca="1" si="100"/>
        <v>107.90475001670083</v>
      </c>
      <c r="CS213" s="198">
        <f t="shared" ca="1" si="101"/>
        <v>1.6263455346742388</v>
      </c>
      <c r="CT213" s="241">
        <f t="shared" ca="1" si="102"/>
        <v>175.49040835980139</v>
      </c>
      <c r="CZ213" s="164" t="b">
        <f t="shared" si="106"/>
        <v>0</v>
      </c>
      <c r="DA213" s="165" t="b">
        <f t="shared" si="106"/>
        <v>0</v>
      </c>
      <c r="DB213" s="166" t="b">
        <f t="shared" si="106"/>
        <v>0</v>
      </c>
      <c r="DC213" s="164" t="str">
        <f t="shared" si="80"/>
        <v/>
      </c>
      <c r="DD213" s="166" t="str">
        <f t="shared" si="81"/>
        <v/>
      </c>
      <c r="DE213" s="164" t="str">
        <f t="shared" si="82"/>
        <v/>
      </c>
      <c r="DF213" s="166" t="str">
        <f t="shared" si="83"/>
        <v/>
      </c>
      <c r="DG213" s="164" t="str">
        <f t="shared" si="84"/>
        <v/>
      </c>
      <c r="DH213" s="166" t="str">
        <f t="shared" si="85"/>
        <v/>
      </c>
      <c r="DI213" s="164" t="str">
        <f>IFERROR(INDEX(DC$170:DC$218,_xlfn.AGGREGATE(15,6,(ROW(DC$170:DC$218)-ROW(DC$170)+1)/(DC$170:DC$218&lt;&gt;""),ROWS(DI$1:DI44))),"")</f>
        <v/>
      </c>
      <c r="DJ213" s="165" t="str">
        <f>IFERROR(INDEX(DD$170:DD$218,_xlfn.AGGREGATE(15,6,(ROW(DD$170:DD$218)-ROW(DD$170)+1)/(DD$170:DD$218&lt;&gt;""),ROWS(DJ$1:DJ44))),"")</f>
        <v/>
      </c>
      <c r="DK213" s="166" t="str">
        <f t="shared" si="86"/>
        <v/>
      </c>
      <c r="DL213" s="164" t="str">
        <f>IFERROR(INDEX(DE$170:DE$218,_xlfn.AGGREGATE(15,6,(ROW(DE$170:DE$218)-ROW(DE$170)+1)/(DE$170:DE$218&lt;&gt;""),ROWS(DL$1:DL44))),"")</f>
        <v/>
      </c>
      <c r="DM213" s="165" t="str">
        <f>IFERROR(INDEX(DF$170:DF$218,_xlfn.AGGREGATE(15,6,(ROW(DF$170:DF$218)-ROW(DF$170)+1)/(DF$170:DF$218&lt;&gt;""),ROWS(DM$1:DM44))),"")</f>
        <v/>
      </c>
      <c r="DN213" s="166" t="str">
        <f t="shared" si="87"/>
        <v/>
      </c>
      <c r="DO213" s="164" t="str">
        <f>IFERROR(INDEX(DG$170:DG$218,_xlfn.AGGREGATE(15,6,(ROW(DG$170:DG$218)-ROW(DG$170)+1)/(DG$170:DG$218&lt;&gt;""),ROWS(DO$1:DO44))),"")</f>
        <v/>
      </c>
      <c r="DP213" s="165" t="str">
        <f>IFERROR(INDEX(DH$170:DH$218,_xlfn.AGGREGATE(15,6,(ROW(DH$170:DH$218)-ROW(DH$170)+1)/(DH$170:DH$218&lt;&gt;""),ROWS(DP$1:DP44))),"")</f>
        <v/>
      </c>
      <c r="DQ213" s="166" t="str">
        <f t="shared" si="88"/>
        <v/>
      </c>
      <c r="DV213" s="145">
        <v>2058</v>
      </c>
      <c r="DW213" s="235">
        <f t="shared" ca="1" si="72"/>
        <v>173.0347955270305</v>
      </c>
      <c r="EA213" s="55"/>
      <c r="EB213" s="55"/>
      <c r="EC213" s="55"/>
      <c r="ED213" s="55"/>
      <c r="EE213" s="55"/>
    </row>
    <row r="214" spans="1:135" ht="13.8" x14ac:dyDescent="0.45">
      <c r="B214" s="128">
        <v>2056</v>
      </c>
      <c r="C214" s="263"/>
      <c r="D214" s="267"/>
      <c r="E214" s="271"/>
      <c r="F214" s="271"/>
      <c r="G214" s="271"/>
      <c r="H214" s="245"/>
      <c r="I214" s="246"/>
      <c r="J214" s="247"/>
      <c r="K214" s="245"/>
      <c r="L214" s="246"/>
      <c r="M214" s="245"/>
      <c r="N214" s="29" t="s">
        <v>119</v>
      </c>
      <c r="O214" s="120"/>
      <c r="P214" s="120"/>
      <c r="Q214" s="120"/>
      <c r="R214" s="29">
        <v>42</v>
      </c>
      <c r="S214" s="238" t="str">
        <f t="shared" si="73"/>
        <v/>
      </c>
      <c r="T214" s="238" t="str">
        <f t="shared" si="74"/>
        <v/>
      </c>
      <c r="U214" s="238" t="str">
        <f t="shared" si="75"/>
        <v/>
      </c>
      <c r="W214" s="238" t="e">
        <f t="shared" si="76"/>
        <v>#N/A</v>
      </c>
      <c r="X214" s="238" t="e">
        <f t="shared" si="77"/>
        <v>#N/A</v>
      </c>
      <c r="Y214" s="238" t="e">
        <f t="shared" si="78"/>
        <v>#N/A</v>
      </c>
      <c r="AA214" s="89"/>
      <c r="AB214" s="89"/>
      <c r="AC214" s="89"/>
      <c r="AD214" s="89"/>
      <c r="AE214" s="89"/>
      <c r="AF214" s="89"/>
      <c r="AG214" s="89"/>
      <c r="AH214" s="89"/>
      <c r="AI214" s="89"/>
      <c r="AJ214" s="89"/>
      <c r="AK214" s="89"/>
      <c r="AL214" s="89"/>
      <c r="AM214" s="89"/>
      <c r="AN214" s="89"/>
      <c r="BR214" s="180">
        <v>2054</v>
      </c>
      <c r="BS214" s="22">
        <v>40</v>
      </c>
      <c r="BT214" s="181">
        <f t="shared" si="89"/>
        <v>65.25600316982279</v>
      </c>
      <c r="BU214" s="182">
        <f t="shared" si="90"/>
        <v>106.45137405158448</v>
      </c>
      <c r="BV214" s="242">
        <f t="shared" si="91"/>
        <v>171.70737722140728</v>
      </c>
      <c r="BY214" s="180">
        <v>2054</v>
      </c>
      <c r="BZ214" s="22">
        <v>40</v>
      </c>
      <c r="CA214" s="243">
        <f t="shared" ca="1" si="92"/>
        <v>-18.305905669355131</v>
      </c>
      <c r="CB214" s="243">
        <f t="shared" ca="1" si="93"/>
        <v>79.900727705306892</v>
      </c>
      <c r="CC214" s="243">
        <f t="shared" ca="1" si="104"/>
        <v>104.43772442795542</v>
      </c>
      <c r="CD214" s="242">
        <f t="shared" ca="1" si="94"/>
        <v>166.03254646390718</v>
      </c>
      <c r="CG214" s="180">
        <v>2054</v>
      </c>
      <c r="CH214" s="22">
        <v>40</v>
      </c>
      <c r="CI214" s="243">
        <f t="shared" ca="1" si="95"/>
        <v>10.198300470949995</v>
      </c>
      <c r="CJ214" s="243">
        <f t="shared" ca="1" si="96"/>
        <v>-30.54386623449507</v>
      </c>
      <c r="CK214" s="243">
        <f t="shared" ca="1" si="97"/>
        <v>83.879339676536219</v>
      </c>
      <c r="CL214" s="243">
        <f t="shared" ca="1" si="98"/>
        <v>104.15166209974525</v>
      </c>
      <c r="CM214" s="242">
        <f t="shared" ca="1" si="99"/>
        <v>167.6854360127364</v>
      </c>
      <c r="CP214" s="180">
        <v>2054</v>
      </c>
      <c r="CQ214" s="22">
        <v>40</v>
      </c>
      <c r="CR214" s="243">
        <f t="shared" ca="1" si="100"/>
        <v>107.90475001670083</v>
      </c>
      <c r="CS214" s="243">
        <f t="shared" ca="1" si="101"/>
        <v>1.6467532718403732</v>
      </c>
      <c r="CT214" s="242">
        <f t="shared" ca="1" si="102"/>
        <v>177.69250013711965</v>
      </c>
      <c r="CZ214" s="164" t="b">
        <f t="shared" si="106"/>
        <v>0</v>
      </c>
      <c r="DA214" s="165" t="b">
        <f t="shared" si="106"/>
        <v>0</v>
      </c>
      <c r="DB214" s="166" t="b">
        <f t="shared" si="106"/>
        <v>0</v>
      </c>
      <c r="DC214" s="164" t="str">
        <f t="shared" si="80"/>
        <v/>
      </c>
      <c r="DD214" s="166" t="str">
        <f t="shared" si="81"/>
        <v/>
      </c>
      <c r="DE214" s="164" t="str">
        <f t="shared" si="82"/>
        <v/>
      </c>
      <c r="DF214" s="166" t="str">
        <f t="shared" si="83"/>
        <v/>
      </c>
      <c r="DG214" s="164" t="str">
        <f t="shared" si="84"/>
        <v/>
      </c>
      <c r="DH214" s="166" t="str">
        <f t="shared" si="85"/>
        <v/>
      </c>
      <c r="DI214" s="164" t="str">
        <f>IFERROR(INDEX(DC$170:DC$218,_xlfn.AGGREGATE(15,6,(ROW(DC$170:DC$218)-ROW(DC$170)+1)/(DC$170:DC$218&lt;&gt;""),ROWS(DI$1:DI45))),"")</f>
        <v/>
      </c>
      <c r="DJ214" s="165" t="str">
        <f>IFERROR(INDEX(DD$170:DD$218,_xlfn.AGGREGATE(15,6,(ROW(DD$170:DD$218)-ROW(DD$170)+1)/(DD$170:DD$218&lt;&gt;""),ROWS(DJ$1:DJ45))),"")</f>
        <v/>
      </c>
      <c r="DK214" s="166" t="str">
        <f t="shared" si="86"/>
        <v/>
      </c>
      <c r="DL214" s="164" t="str">
        <f>IFERROR(INDEX(DE$170:DE$218,_xlfn.AGGREGATE(15,6,(ROW(DE$170:DE$218)-ROW(DE$170)+1)/(DE$170:DE$218&lt;&gt;""),ROWS(DL$1:DL45))),"")</f>
        <v/>
      </c>
      <c r="DM214" s="165" t="str">
        <f>IFERROR(INDEX(DF$170:DF$218,_xlfn.AGGREGATE(15,6,(ROW(DF$170:DF$218)-ROW(DF$170)+1)/(DF$170:DF$218&lt;&gt;""),ROWS(DM$1:DM45))),"")</f>
        <v/>
      </c>
      <c r="DN214" s="166" t="str">
        <f t="shared" si="87"/>
        <v/>
      </c>
      <c r="DO214" s="164" t="str">
        <f>IFERROR(INDEX(DG$170:DG$218,_xlfn.AGGREGATE(15,6,(ROW(DG$170:DG$218)-ROW(DG$170)+1)/(DG$170:DG$218&lt;&gt;""),ROWS(DO$1:DO45))),"")</f>
        <v/>
      </c>
      <c r="DP214" s="165" t="str">
        <f>IFERROR(INDEX(DH$170:DH$218,_xlfn.AGGREGATE(15,6,(ROW(DH$170:DH$218)-ROW(DH$170)+1)/(DH$170:DH$218&lt;&gt;""),ROWS(DP$1:DP45))),"")</f>
        <v/>
      </c>
      <c r="DQ214" s="166" t="str">
        <f t="shared" si="88"/>
        <v/>
      </c>
      <c r="DV214" s="145">
        <v>2059</v>
      </c>
      <c r="DW214" s="235">
        <f t="shared" ca="1" si="72"/>
        <v>174.37946557055503</v>
      </c>
      <c r="EA214" s="55"/>
      <c r="EB214" s="55"/>
      <c r="EC214" s="55"/>
      <c r="ED214" s="55"/>
      <c r="EE214" s="55"/>
    </row>
    <row r="215" spans="1:135" ht="13.8" x14ac:dyDescent="0.45">
      <c r="B215" s="128">
        <v>2057</v>
      </c>
      <c r="C215" s="263"/>
      <c r="D215" s="267"/>
      <c r="E215" s="271"/>
      <c r="F215" s="271"/>
      <c r="G215" s="271"/>
      <c r="H215" s="245"/>
      <c r="I215" s="246"/>
      <c r="J215" s="247"/>
      <c r="K215" s="245"/>
      <c r="L215" s="246"/>
      <c r="M215" s="245"/>
      <c r="N215" s="29" t="s">
        <v>119</v>
      </c>
      <c r="O215" s="120"/>
      <c r="P215" s="120"/>
      <c r="Q215" s="120"/>
      <c r="R215" s="29">
        <v>43</v>
      </c>
      <c r="S215" s="238" t="str">
        <f t="shared" si="73"/>
        <v/>
      </c>
      <c r="T215" s="238" t="str">
        <f t="shared" si="74"/>
        <v/>
      </c>
      <c r="U215" s="238" t="str">
        <f t="shared" si="75"/>
        <v/>
      </c>
      <c r="W215" s="238" t="e">
        <f t="shared" si="76"/>
        <v>#N/A</v>
      </c>
      <c r="X215" s="238" t="e">
        <f t="shared" si="77"/>
        <v>#N/A</v>
      </c>
      <c r="Y215" s="238" t="e">
        <f t="shared" si="78"/>
        <v>#N/A</v>
      </c>
      <c r="AA215" s="89"/>
      <c r="AB215" s="89"/>
      <c r="AC215" s="89"/>
      <c r="AD215" s="89"/>
      <c r="AE215" s="89"/>
      <c r="AF215" s="89"/>
      <c r="AG215" s="89"/>
      <c r="AH215" s="89"/>
      <c r="AI215" s="89"/>
      <c r="AJ215" s="89"/>
      <c r="AK215" s="89"/>
      <c r="AL215" s="89"/>
      <c r="AM215" s="89"/>
      <c r="AN215" s="89"/>
      <c r="BR215" s="180">
        <v>2055</v>
      </c>
      <c r="BS215" s="22">
        <v>41</v>
      </c>
      <c r="BT215" s="181">
        <f t="shared" si="89"/>
        <v>66.887403249068356</v>
      </c>
      <c r="BU215" s="182">
        <f t="shared" si="90"/>
        <v>106.45137405158448</v>
      </c>
      <c r="BV215" s="242">
        <f t="shared" si="91"/>
        <v>173.33877730065285</v>
      </c>
      <c r="BY215" s="180">
        <v>2055</v>
      </c>
      <c r="BZ215" s="22">
        <v>41</v>
      </c>
      <c r="CA215" s="243">
        <f t="shared" ca="1" si="92"/>
        <v>-19.232642143866233</v>
      </c>
      <c r="CB215" s="243">
        <f t="shared" ca="1" si="93"/>
        <v>81.898245897939574</v>
      </c>
      <c r="CC215" s="243">
        <f t="shared" ca="1" si="104"/>
        <v>104.43772442795542</v>
      </c>
      <c r="CD215" s="242">
        <f t="shared" ca="1" si="94"/>
        <v>167.10332818202875</v>
      </c>
      <c r="CG215" s="180">
        <v>2055</v>
      </c>
      <c r="CH215" s="22">
        <v>41</v>
      </c>
      <c r="CI215" s="243">
        <f t="shared" ca="1" si="95"/>
        <v>10.982454168099133</v>
      </c>
      <c r="CJ215" s="243">
        <f t="shared" ca="1" si="96"/>
        <v>-32.090149462616381</v>
      </c>
      <c r="CK215" s="243">
        <f t="shared" ca="1" si="97"/>
        <v>85.976323168449625</v>
      </c>
      <c r="CL215" s="243">
        <f t="shared" ca="1" si="98"/>
        <v>104.15166209974525</v>
      </c>
      <c r="CM215" s="242">
        <f t="shared" ca="1" si="99"/>
        <v>169.02028997367762</v>
      </c>
      <c r="CP215" s="180">
        <v>2055</v>
      </c>
      <c r="CQ215" s="22">
        <v>41</v>
      </c>
      <c r="CR215" s="243">
        <f t="shared" ca="1" si="100"/>
        <v>107.90475001670083</v>
      </c>
      <c r="CS215" s="243">
        <f t="shared" ca="1" si="101"/>
        <v>1.6674170897269711</v>
      </c>
      <c r="CT215" s="242">
        <f t="shared" ca="1" si="102"/>
        <v>179.92222424056365</v>
      </c>
      <c r="CZ215" s="164" t="b">
        <f t="shared" si="106"/>
        <v>0</v>
      </c>
      <c r="DA215" s="165" t="b">
        <f t="shared" si="106"/>
        <v>0</v>
      </c>
      <c r="DB215" s="166" t="b">
        <f t="shared" si="106"/>
        <v>0</v>
      </c>
      <c r="DC215" s="164" t="str">
        <f t="shared" si="80"/>
        <v/>
      </c>
      <c r="DD215" s="166" t="str">
        <f t="shared" si="81"/>
        <v/>
      </c>
      <c r="DE215" s="164" t="str">
        <f t="shared" si="82"/>
        <v/>
      </c>
      <c r="DF215" s="166" t="str">
        <f t="shared" si="83"/>
        <v/>
      </c>
      <c r="DG215" s="164" t="str">
        <f t="shared" si="84"/>
        <v/>
      </c>
      <c r="DH215" s="166" t="str">
        <f t="shared" si="85"/>
        <v/>
      </c>
      <c r="DI215" s="164" t="str">
        <f>IFERROR(INDEX(DC$170:DC$218,_xlfn.AGGREGATE(15,6,(ROW(DC$170:DC$218)-ROW(DC$170)+1)/(DC$170:DC$218&lt;&gt;""),ROWS(DI$1:DI46))),"")</f>
        <v/>
      </c>
      <c r="DJ215" s="165" t="str">
        <f>IFERROR(INDEX(DD$170:DD$218,_xlfn.AGGREGATE(15,6,(ROW(DD$170:DD$218)-ROW(DD$170)+1)/(DD$170:DD$218&lt;&gt;""),ROWS(DJ$1:DJ46))),"")</f>
        <v/>
      </c>
      <c r="DK215" s="166" t="str">
        <f t="shared" si="86"/>
        <v/>
      </c>
      <c r="DL215" s="164" t="str">
        <f>IFERROR(INDEX(DE$170:DE$218,_xlfn.AGGREGATE(15,6,(ROW(DE$170:DE$218)-ROW(DE$170)+1)/(DE$170:DE$218&lt;&gt;""),ROWS(DL$1:DL46))),"")</f>
        <v/>
      </c>
      <c r="DM215" s="165" t="str">
        <f>IFERROR(INDEX(DF$170:DF$218,_xlfn.AGGREGATE(15,6,(ROW(DF$170:DF$218)-ROW(DF$170)+1)/(DF$170:DF$218&lt;&gt;""),ROWS(DM$1:DM46))),"")</f>
        <v/>
      </c>
      <c r="DN215" s="166" t="str">
        <f t="shared" si="87"/>
        <v/>
      </c>
      <c r="DO215" s="164" t="str">
        <f>IFERROR(INDEX(DG$170:DG$218,_xlfn.AGGREGATE(15,6,(ROW(DG$170:DG$218)-ROW(DG$170)+1)/(DG$170:DG$218&lt;&gt;""),ROWS(DO$1:DO46))),"")</f>
        <v/>
      </c>
      <c r="DP215" s="165" t="str">
        <f>IFERROR(INDEX(DH$170:DH$218,_xlfn.AGGREGATE(15,6,(ROW(DH$170:DH$218)-ROW(DH$170)+1)/(DH$170:DH$218&lt;&gt;""),ROWS(DP$1:DP46))),"")</f>
        <v/>
      </c>
      <c r="DQ215" s="166" t="str">
        <f t="shared" si="88"/>
        <v/>
      </c>
      <c r="DV215" s="145">
        <v>2060</v>
      </c>
      <c r="DW215" s="235">
        <f t="shared" ca="1" si="72"/>
        <v>175.72897986139824</v>
      </c>
      <c r="EA215" s="55"/>
      <c r="EB215" s="55"/>
      <c r="EC215" s="55"/>
      <c r="ED215" s="55"/>
      <c r="EE215" s="55"/>
    </row>
    <row r="216" spans="1:135" ht="13.8" x14ac:dyDescent="0.45">
      <c r="A216" s="214"/>
      <c r="B216" s="128">
        <v>2058</v>
      </c>
      <c r="C216" s="263"/>
      <c r="D216" s="267"/>
      <c r="E216" s="271"/>
      <c r="F216" s="271"/>
      <c r="G216" s="271"/>
      <c r="H216" s="245"/>
      <c r="I216" s="246"/>
      <c r="J216" s="247"/>
      <c r="K216" s="245"/>
      <c r="L216" s="246"/>
      <c r="M216" s="245"/>
      <c r="N216" s="29" t="s">
        <v>119</v>
      </c>
      <c r="R216" s="29">
        <v>44</v>
      </c>
      <c r="S216" s="238" t="str">
        <f t="shared" si="73"/>
        <v/>
      </c>
      <c r="T216" s="238" t="str">
        <f t="shared" si="74"/>
        <v/>
      </c>
      <c r="U216" s="238" t="str">
        <f t="shared" si="75"/>
        <v/>
      </c>
      <c r="W216" s="238" t="e">
        <f t="shared" si="76"/>
        <v>#N/A</v>
      </c>
      <c r="X216" s="238" t="e">
        <f t="shared" si="77"/>
        <v>#N/A</v>
      </c>
      <c r="Y216" s="238" t="e">
        <f t="shared" si="78"/>
        <v>#N/A</v>
      </c>
      <c r="AA216" s="89"/>
      <c r="AB216" s="89"/>
      <c r="AC216" s="89"/>
      <c r="AD216" s="89"/>
      <c r="AE216" s="89"/>
      <c r="AF216" s="89"/>
      <c r="AG216" s="89"/>
      <c r="AH216" s="89"/>
      <c r="AI216" s="89"/>
      <c r="AJ216" s="89"/>
      <c r="AK216" s="89"/>
      <c r="AL216" s="89"/>
      <c r="AM216" s="89"/>
      <c r="AN216" s="89"/>
      <c r="BR216" s="180">
        <v>2056</v>
      </c>
      <c r="BS216" s="22">
        <v>42</v>
      </c>
      <c r="BT216" s="181">
        <f t="shared" si="89"/>
        <v>68.518803328313922</v>
      </c>
      <c r="BU216" s="182">
        <f t="shared" si="90"/>
        <v>106.45137405158448</v>
      </c>
      <c r="BV216" s="242">
        <f t="shared" si="91"/>
        <v>174.97017737989842</v>
      </c>
      <c r="BY216" s="180">
        <v>2056</v>
      </c>
      <c r="BZ216" s="22">
        <v>42</v>
      </c>
      <c r="CA216" s="243">
        <f t="shared" ca="1" si="92"/>
        <v>-20.182261000464031</v>
      </c>
      <c r="CB216" s="243">
        <f t="shared" ca="1" si="93"/>
        <v>83.895764090572243</v>
      </c>
      <c r="CC216" s="243">
        <f t="shared" ca="1" si="104"/>
        <v>104.43772442795542</v>
      </c>
      <c r="CD216" s="242">
        <f t="shared" ca="1" si="94"/>
        <v>168.15122751806362</v>
      </c>
      <c r="CG216" s="180">
        <v>2056</v>
      </c>
      <c r="CH216" s="22">
        <v>42</v>
      </c>
      <c r="CI216" s="243">
        <f t="shared" ca="1" si="95"/>
        <v>11.805807582683487</v>
      </c>
      <c r="CJ216" s="243">
        <f t="shared" ca="1" si="96"/>
        <v>-33.674612523530818</v>
      </c>
      <c r="CK216" s="243">
        <f t="shared" ca="1" si="97"/>
        <v>88.073306660363031</v>
      </c>
      <c r="CL216" s="243">
        <f t="shared" ca="1" si="98"/>
        <v>104.15166209974525</v>
      </c>
      <c r="CM216" s="242">
        <f t="shared" ca="1" si="99"/>
        <v>170.35616381926093</v>
      </c>
      <c r="CP216" s="180">
        <v>2056</v>
      </c>
      <c r="CQ216" s="22">
        <v>42</v>
      </c>
      <c r="CR216" s="243">
        <f t="shared" ca="1" si="100"/>
        <v>107.90475001670083</v>
      </c>
      <c r="CS216" s="243">
        <f t="shared" ca="1" si="101"/>
        <v>1.6883402016905582</v>
      </c>
      <c r="CT216" s="242">
        <f t="shared" ca="1" si="102"/>
        <v>182.17992740656595</v>
      </c>
      <c r="CZ216" s="164" t="b">
        <f t="shared" si="106"/>
        <v>0</v>
      </c>
      <c r="DA216" s="165" t="b">
        <f t="shared" si="106"/>
        <v>0</v>
      </c>
      <c r="DB216" s="166" t="b">
        <f t="shared" si="106"/>
        <v>0</v>
      </c>
      <c r="DC216" s="164" t="str">
        <f t="shared" si="80"/>
        <v/>
      </c>
      <c r="DD216" s="166" t="str">
        <f t="shared" si="81"/>
        <v/>
      </c>
      <c r="DE216" s="164" t="str">
        <f t="shared" si="82"/>
        <v/>
      </c>
      <c r="DF216" s="166" t="str">
        <f t="shared" si="83"/>
        <v/>
      </c>
      <c r="DG216" s="164" t="str">
        <f t="shared" si="84"/>
        <v/>
      </c>
      <c r="DH216" s="166" t="str">
        <f t="shared" si="85"/>
        <v/>
      </c>
      <c r="DI216" s="164" t="str">
        <f>IFERROR(INDEX(DC$170:DC$218,_xlfn.AGGREGATE(15,6,(ROW(DC$170:DC$218)-ROW(DC$170)+1)/(DC$170:DC$218&lt;&gt;""),ROWS(DI$1:DI47))),"")</f>
        <v/>
      </c>
      <c r="DJ216" s="165" t="str">
        <f>IFERROR(INDEX(DD$170:DD$218,_xlfn.AGGREGATE(15,6,(ROW(DD$170:DD$218)-ROW(DD$170)+1)/(DD$170:DD$218&lt;&gt;""),ROWS(DJ$1:DJ47))),"")</f>
        <v/>
      </c>
      <c r="DK216" s="166" t="str">
        <f t="shared" si="86"/>
        <v/>
      </c>
      <c r="DL216" s="164" t="str">
        <f>IFERROR(INDEX(DE$170:DE$218,_xlfn.AGGREGATE(15,6,(ROW(DE$170:DE$218)-ROW(DE$170)+1)/(DE$170:DE$218&lt;&gt;""),ROWS(DL$1:DL47))),"")</f>
        <v/>
      </c>
      <c r="DM216" s="165" t="str">
        <f>IFERROR(INDEX(DF$170:DF$218,_xlfn.AGGREGATE(15,6,(ROW(DF$170:DF$218)-ROW(DF$170)+1)/(DF$170:DF$218&lt;&gt;""),ROWS(DM$1:DM47))),"")</f>
        <v/>
      </c>
      <c r="DN216" s="166" t="str">
        <f t="shared" si="87"/>
        <v/>
      </c>
      <c r="DO216" s="164" t="str">
        <f>IFERROR(INDEX(DG$170:DG$218,_xlfn.AGGREGATE(15,6,(ROW(DG$170:DG$218)-ROW(DG$170)+1)/(DG$170:DG$218&lt;&gt;""),ROWS(DO$1:DO47))),"")</f>
        <v/>
      </c>
      <c r="DP216" s="165" t="str">
        <f>IFERROR(INDEX(DH$170:DH$218,_xlfn.AGGREGATE(15,6,(ROW(DH$170:DH$218)-ROW(DH$170)+1)/(DH$170:DH$218&lt;&gt;""),ROWS(DP$1:DP47))),"")</f>
        <v/>
      </c>
      <c r="DQ216" s="166" t="str">
        <f t="shared" si="88"/>
        <v/>
      </c>
      <c r="DW216" s="54"/>
      <c r="EA216" s="55"/>
      <c r="EB216" s="55"/>
      <c r="EC216" s="55"/>
      <c r="ED216" s="55"/>
      <c r="EE216" s="55"/>
    </row>
    <row r="217" spans="1:135" ht="13.8" x14ac:dyDescent="0.45">
      <c r="A217" s="214"/>
      <c r="B217" s="128">
        <v>2059</v>
      </c>
      <c r="C217" s="263"/>
      <c r="D217" s="267"/>
      <c r="E217" s="271"/>
      <c r="F217" s="271"/>
      <c r="G217" s="271"/>
      <c r="H217" s="245"/>
      <c r="I217" s="246"/>
      <c r="J217" s="247"/>
      <c r="K217" s="245"/>
      <c r="L217" s="246"/>
      <c r="M217" s="245"/>
      <c r="N217" s="29" t="s">
        <v>119</v>
      </c>
      <c r="R217" s="29">
        <v>45</v>
      </c>
      <c r="S217" s="238" t="str">
        <f t="shared" si="73"/>
        <v/>
      </c>
      <c r="T217" s="238" t="str">
        <f t="shared" si="74"/>
        <v/>
      </c>
      <c r="U217" s="238" t="str">
        <f t="shared" si="75"/>
        <v/>
      </c>
      <c r="W217" s="238" t="e">
        <f t="shared" si="76"/>
        <v>#N/A</v>
      </c>
      <c r="X217" s="238" t="e">
        <f t="shared" si="77"/>
        <v>#N/A</v>
      </c>
      <c r="Y217" s="238" t="e">
        <f t="shared" si="78"/>
        <v>#N/A</v>
      </c>
      <c r="AA217" s="89"/>
      <c r="AB217" s="89"/>
      <c r="AC217" s="89"/>
      <c r="AD217" s="89"/>
      <c r="AE217" s="89"/>
      <c r="AF217" s="89"/>
      <c r="AG217" s="89"/>
      <c r="AH217" s="89"/>
      <c r="AI217" s="89"/>
      <c r="AJ217" s="89"/>
      <c r="AK217" s="89"/>
      <c r="AL217" s="89"/>
      <c r="AM217" s="89"/>
      <c r="AN217" s="89"/>
      <c r="BR217" s="180">
        <v>2057</v>
      </c>
      <c r="BS217" s="22">
        <v>43</v>
      </c>
      <c r="BT217" s="181">
        <f t="shared" si="89"/>
        <v>70.150203407559488</v>
      </c>
      <c r="BU217" s="182">
        <f t="shared" si="90"/>
        <v>106.45137405158448</v>
      </c>
      <c r="BV217" s="242">
        <f t="shared" si="91"/>
        <v>176.60157745914398</v>
      </c>
      <c r="BY217" s="180">
        <v>2057</v>
      </c>
      <c r="BZ217" s="22">
        <v>43</v>
      </c>
      <c r="CA217" s="243">
        <f t="shared" ca="1" si="92"/>
        <v>-21.154762239148521</v>
      </c>
      <c r="CB217" s="243">
        <f t="shared" ca="1" si="93"/>
        <v>85.893282283204911</v>
      </c>
      <c r="CC217" s="243">
        <f t="shared" ca="1" si="104"/>
        <v>104.43772442795542</v>
      </c>
      <c r="CD217" s="242">
        <f t="shared" ca="1" si="94"/>
        <v>169.1762444720118</v>
      </c>
      <c r="CG217" s="180">
        <v>2057</v>
      </c>
      <c r="CH217" s="22">
        <v>43</v>
      </c>
      <c r="CI217" s="243">
        <f t="shared" ca="1" si="95"/>
        <v>12.669316805372207</v>
      </c>
      <c r="CJ217" s="243">
        <f t="shared" ca="1" si="96"/>
        <v>-35.297255417238368</v>
      </c>
      <c r="CK217" s="243">
        <f t="shared" ca="1" si="97"/>
        <v>90.170290152276436</v>
      </c>
      <c r="CL217" s="243">
        <f t="shared" ca="1" si="98"/>
        <v>104.15166209974525</v>
      </c>
      <c r="CM217" s="242">
        <f t="shared" ca="1" si="99"/>
        <v>171.6940136401555</v>
      </c>
      <c r="CP217" s="180">
        <v>2057</v>
      </c>
      <c r="CQ217" s="22">
        <v>43</v>
      </c>
      <c r="CR217" s="243">
        <f t="shared" ca="1" si="100"/>
        <v>107.90475001670083</v>
      </c>
      <c r="CS217" s="243">
        <f t="shared" ca="1" si="101"/>
        <v>1.7095258614095556</v>
      </c>
      <c r="CT217" s="242">
        <f t="shared" ca="1" si="102"/>
        <v>184.46596072248326</v>
      </c>
      <c r="CZ217" s="164" t="b">
        <f t="shared" si="106"/>
        <v>0</v>
      </c>
      <c r="DA217" s="165" t="b">
        <f t="shared" si="106"/>
        <v>0</v>
      </c>
      <c r="DB217" s="166" t="b">
        <f t="shared" si="106"/>
        <v>0</v>
      </c>
      <c r="DC217" s="164" t="str">
        <f t="shared" si="80"/>
        <v/>
      </c>
      <c r="DD217" s="166" t="str">
        <f t="shared" si="81"/>
        <v/>
      </c>
      <c r="DE217" s="164" t="str">
        <f t="shared" si="82"/>
        <v/>
      </c>
      <c r="DF217" s="166" t="str">
        <f t="shared" si="83"/>
        <v/>
      </c>
      <c r="DG217" s="164" t="str">
        <f t="shared" si="84"/>
        <v/>
      </c>
      <c r="DH217" s="166" t="str">
        <f t="shared" si="85"/>
        <v/>
      </c>
      <c r="DI217" s="164" t="str">
        <f>IFERROR(INDEX(DC$170:DC$218,_xlfn.AGGREGATE(15,6,(ROW(DC$170:DC$218)-ROW(DC$170)+1)/(DC$170:DC$218&lt;&gt;""),ROWS(DI$1:DI48))),"")</f>
        <v/>
      </c>
      <c r="DJ217" s="165" t="str">
        <f>IFERROR(INDEX(DD$170:DD$218,_xlfn.AGGREGATE(15,6,(ROW(DD$170:DD$218)-ROW(DD$170)+1)/(DD$170:DD$218&lt;&gt;""),ROWS(DJ$1:DJ48))),"")</f>
        <v/>
      </c>
      <c r="DK217" s="166" t="str">
        <f t="shared" si="86"/>
        <v/>
      </c>
      <c r="DL217" s="164" t="str">
        <f>IFERROR(INDEX(DE$170:DE$218,_xlfn.AGGREGATE(15,6,(ROW(DE$170:DE$218)-ROW(DE$170)+1)/(DE$170:DE$218&lt;&gt;""),ROWS(DL$1:DL48))),"")</f>
        <v/>
      </c>
      <c r="DM217" s="165" t="str">
        <f>IFERROR(INDEX(DF$170:DF$218,_xlfn.AGGREGATE(15,6,(ROW(DF$170:DF$218)-ROW(DF$170)+1)/(DF$170:DF$218&lt;&gt;""),ROWS(DM$1:DM48))),"")</f>
        <v/>
      </c>
      <c r="DN217" s="166" t="str">
        <f t="shared" si="87"/>
        <v/>
      </c>
      <c r="DO217" s="164" t="str">
        <f>IFERROR(INDEX(DG$170:DG$218,_xlfn.AGGREGATE(15,6,(ROW(DG$170:DG$218)-ROW(DG$170)+1)/(DG$170:DG$218&lt;&gt;""),ROWS(DO$1:DO48))),"")</f>
        <v/>
      </c>
      <c r="DP217" s="165" t="str">
        <f>IFERROR(INDEX(DH$170:DH$218,_xlfn.AGGREGATE(15,6,(ROW(DH$170:DH$218)-ROW(DH$170)+1)/(DH$170:DH$218&lt;&gt;""),ROWS(DP$1:DP48))),"")</f>
        <v/>
      </c>
      <c r="DQ217" s="166" t="str">
        <f t="shared" si="88"/>
        <v/>
      </c>
      <c r="DW217" s="54"/>
      <c r="EA217" s="55"/>
      <c r="EB217" s="55"/>
      <c r="EC217" s="55"/>
      <c r="ED217" s="55"/>
      <c r="EE217" s="55"/>
    </row>
    <row r="218" spans="1:135" ht="13.8" x14ac:dyDescent="0.45">
      <c r="A218" s="214"/>
      <c r="B218" s="128">
        <v>2060</v>
      </c>
      <c r="C218" s="263"/>
      <c r="D218" s="267"/>
      <c r="E218" s="271"/>
      <c r="F218" s="271"/>
      <c r="G218" s="271"/>
      <c r="H218" s="249"/>
      <c r="I218" s="250"/>
      <c r="J218" s="251"/>
      <c r="K218" s="249"/>
      <c r="L218" s="250"/>
      <c r="M218" s="249"/>
      <c r="N218" s="29" t="s">
        <v>119</v>
      </c>
      <c r="R218" s="29">
        <v>46</v>
      </c>
      <c r="S218" s="238" t="str">
        <f t="shared" si="73"/>
        <v/>
      </c>
      <c r="T218" s="238" t="str">
        <f t="shared" si="74"/>
        <v/>
      </c>
      <c r="U218" s="238" t="str">
        <f t="shared" si="75"/>
        <v/>
      </c>
      <c r="W218" s="238" t="e">
        <f t="shared" si="76"/>
        <v>#N/A</v>
      </c>
      <c r="X218" s="238" t="e">
        <f t="shared" si="77"/>
        <v>#N/A</v>
      </c>
      <c r="Y218" s="238" t="e">
        <f t="shared" si="78"/>
        <v>#N/A</v>
      </c>
      <c r="AA218" s="89"/>
      <c r="AB218" s="89"/>
      <c r="AC218" s="89"/>
      <c r="AD218" s="89"/>
      <c r="AE218" s="89"/>
      <c r="AF218" s="89"/>
      <c r="AG218" s="89"/>
      <c r="AH218" s="89"/>
      <c r="AI218" s="89"/>
      <c r="AJ218" s="89"/>
      <c r="AK218" s="89"/>
      <c r="AL218" s="89"/>
      <c r="AM218" s="89"/>
      <c r="AN218" s="89"/>
      <c r="BR218" s="180">
        <v>2058</v>
      </c>
      <c r="BS218" s="22">
        <v>44</v>
      </c>
      <c r="BT218" s="181">
        <f t="shared" si="89"/>
        <v>71.781603486805068</v>
      </c>
      <c r="BU218" s="182">
        <f t="shared" si="90"/>
        <v>106.45137405158448</v>
      </c>
      <c r="BV218" s="242">
        <f t="shared" si="91"/>
        <v>178.23297753838955</v>
      </c>
      <c r="BY218" s="180">
        <v>2058</v>
      </c>
      <c r="BZ218" s="22">
        <v>44</v>
      </c>
      <c r="CA218" s="243">
        <f t="shared" ca="1" si="92"/>
        <v>-22.150145859919707</v>
      </c>
      <c r="CB218" s="243">
        <f t="shared" ca="1" si="93"/>
        <v>87.89080047583758</v>
      </c>
      <c r="CC218" s="243">
        <f t="shared" ca="1" si="104"/>
        <v>104.43772442795542</v>
      </c>
      <c r="CD218" s="242">
        <f t="shared" ca="1" si="94"/>
        <v>170.17837904387329</v>
      </c>
      <c r="CG218" s="180">
        <v>2058</v>
      </c>
      <c r="CH218" s="22">
        <v>44</v>
      </c>
      <c r="CI218" s="243">
        <f t="shared" ca="1" si="95"/>
        <v>13.573937926834443</v>
      </c>
      <c r="CJ218" s="243">
        <f t="shared" ca="1" si="96"/>
        <v>-36.958078143739037</v>
      </c>
      <c r="CK218" s="243">
        <f t="shared" ca="1" si="97"/>
        <v>92.267273644189842</v>
      </c>
      <c r="CL218" s="243">
        <f t="shared" ca="1" si="98"/>
        <v>104.15166209974525</v>
      </c>
      <c r="CM218" s="242">
        <f t="shared" ca="1" si="99"/>
        <v>173.0347955270305</v>
      </c>
      <c r="CP218" s="180">
        <v>2058</v>
      </c>
      <c r="CQ218" s="22">
        <v>44</v>
      </c>
      <c r="CR218" s="243">
        <f t="shared" ca="1" si="100"/>
        <v>107.90475001670083</v>
      </c>
      <c r="CS218" s="243">
        <f t="shared" ca="1" si="101"/>
        <v>1.7309773633902485</v>
      </c>
      <c r="CT218" s="242">
        <f t="shared" ca="1" si="102"/>
        <v>186.78067968119268</v>
      </c>
      <c r="CZ218" s="164" t="b">
        <f t="shared" si="106"/>
        <v>0</v>
      </c>
      <c r="DA218" s="165" t="b">
        <f t="shared" si="106"/>
        <v>0</v>
      </c>
      <c r="DB218" s="166" t="b">
        <f t="shared" si="106"/>
        <v>0</v>
      </c>
      <c r="DC218" s="164" t="str">
        <f t="shared" si="80"/>
        <v/>
      </c>
      <c r="DD218" s="166" t="str">
        <f t="shared" si="81"/>
        <v/>
      </c>
      <c r="DE218" s="164" t="str">
        <f t="shared" si="82"/>
        <v/>
      </c>
      <c r="DF218" s="166" t="str">
        <f t="shared" si="83"/>
        <v/>
      </c>
      <c r="DG218" s="164" t="str">
        <f t="shared" si="84"/>
        <v/>
      </c>
      <c r="DH218" s="166" t="str">
        <f t="shared" si="85"/>
        <v/>
      </c>
      <c r="DI218" s="164" t="str">
        <f>IFERROR(INDEX(DC$170:DC$218,_xlfn.AGGREGATE(15,6,(ROW(DC$170:DC$218)-ROW(DC$170)+1)/(DC$170:DC$218&lt;&gt;""),ROWS(DI$1:DI49))),"")</f>
        <v/>
      </c>
      <c r="DJ218" s="165" t="str">
        <f>IFERROR(INDEX(DD$170:DD$218,_xlfn.AGGREGATE(15,6,(ROW(DD$170:DD$218)-ROW(DD$170)+1)/(DD$170:DD$218&lt;&gt;""),ROWS(DJ$1:DJ49))),"")</f>
        <v/>
      </c>
      <c r="DK218" s="166" t="str">
        <f t="shared" si="86"/>
        <v/>
      </c>
      <c r="DL218" s="164" t="str">
        <f>IFERROR(INDEX(DE$170:DE$218,_xlfn.AGGREGATE(15,6,(ROW(DE$170:DE$218)-ROW(DE$170)+1)/(DE$170:DE$218&lt;&gt;""),ROWS(DL$1:DL49))),"")</f>
        <v/>
      </c>
      <c r="DM218" s="165" t="str">
        <f>IFERROR(INDEX(DF$170:DF$218,_xlfn.AGGREGATE(15,6,(ROW(DF$170:DF$218)-ROW(DF$170)+1)/(DF$170:DF$218&lt;&gt;""),ROWS(DM$1:DM49))),"")</f>
        <v/>
      </c>
      <c r="DN218" s="166" t="str">
        <f t="shared" si="87"/>
        <v/>
      </c>
      <c r="DO218" s="164" t="str">
        <f>IFERROR(INDEX(DG$170:DG$218,_xlfn.AGGREGATE(15,6,(ROW(DG$170:DG$218)-ROW(DG$170)+1)/(DG$170:DG$218&lt;&gt;""),ROWS(DO$1:DO49))),"")</f>
        <v/>
      </c>
      <c r="DP218" s="165" t="str">
        <f>IFERROR(INDEX(DH$170:DH$218,_xlfn.AGGREGATE(15,6,(ROW(DH$170:DH$218)-ROW(DH$170)+1)/(DH$170:DH$218&lt;&gt;""),ROWS(DP$1:DP49))),"")</f>
        <v/>
      </c>
      <c r="DQ218" s="166" t="str">
        <f t="shared" si="88"/>
        <v/>
      </c>
      <c r="DW218" s="54"/>
      <c r="EA218" s="55"/>
      <c r="EB218" s="55"/>
      <c r="EC218" s="55"/>
      <c r="ED218" s="55"/>
      <c r="EE218" s="55"/>
    </row>
    <row r="219" spans="1:135" x14ac:dyDescent="0.4">
      <c r="A219" s="214"/>
      <c r="B219" s="89"/>
      <c r="C219" s="14"/>
      <c r="D219" s="14"/>
      <c r="E219" s="14"/>
      <c r="F219" s="14"/>
      <c r="G219" s="14"/>
      <c r="H219" s="14"/>
      <c r="I219" s="14"/>
      <c r="J219" s="14"/>
      <c r="K219" s="14"/>
      <c r="L219" s="14"/>
      <c r="M219" s="50"/>
      <c r="S219" s="120"/>
      <c r="T219" s="120"/>
      <c r="U219" s="120"/>
      <c r="W219" s="120"/>
      <c r="X219" s="120"/>
      <c r="Y219" s="120"/>
      <c r="AA219" s="89"/>
      <c r="AB219" s="89"/>
      <c r="AC219" s="89"/>
      <c r="AD219" s="89"/>
      <c r="AE219" s="89"/>
      <c r="AF219" s="89"/>
      <c r="AG219" s="89"/>
      <c r="AH219" s="89"/>
      <c r="AI219" s="89"/>
      <c r="AJ219" s="89"/>
      <c r="AK219" s="89"/>
      <c r="AL219" s="89"/>
      <c r="AM219" s="89"/>
      <c r="AN219" s="89"/>
      <c r="BR219" s="180">
        <v>2059</v>
      </c>
      <c r="BS219" s="22">
        <v>45</v>
      </c>
      <c r="BT219" s="181">
        <f t="shared" si="89"/>
        <v>73.413003566050634</v>
      </c>
      <c r="BU219" s="182">
        <f t="shared" si="90"/>
        <v>106.45137405158448</v>
      </c>
      <c r="BV219" s="242">
        <f t="shared" si="91"/>
        <v>179.86437761763511</v>
      </c>
      <c r="BY219" s="180">
        <v>2059</v>
      </c>
      <c r="BZ219" s="22">
        <v>45</v>
      </c>
      <c r="CA219" s="243">
        <f t="shared" ca="1" si="92"/>
        <v>-23.168411862777585</v>
      </c>
      <c r="CB219" s="243">
        <f t="shared" ca="1" si="93"/>
        <v>89.888318668470262</v>
      </c>
      <c r="CC219" s="243">
        <f t="shared" ca="1" si="104"/>
        <v>104.43772442795542</v>
      </c>
      <c r="CD219" s="242">
        <f t="shared" ca="1" si="94"/>
        <v>171.15763123364809</v>
      </c>
      <c r="CG219" s="180">
        <v>2059</v>
      </c>
      <c r="CH219" s="22">
        <v>45</v>
      </c>
      <c r="CI219" s="243">
        <f t="shared" ca="1" si="95"/>
        <v>14.520627037739349</v>
      </c>
      <c r="CJ219" s="243">
        <f t="shared" ca="1" si="96"/>
        <v>-38.657080703032825</v>
      </c>
      <c r="CK219" s="243">
        <f t="shared" ca="1" si="97"/>
        <v>94.364257136103248</v>
      </c>
      <c r="CL219" s="243">
        <f t="shared" ca="1" si="98"/>
        <v>104.15166209974525</v>
      </c>
      <c r="CM219" s="242">
        <f t="shared" ca="1" si="99"/>
        <v>174.37946557055503</v>
      </c>
      <c r="CP219" s="180">
        <v>2059</v>
      </c>
      <c r="CQ219" s="22">
        <v>45</v>
      </c>
      <c r="CR219" s="243">
        <f t="shared" ca="1" si="100"/>
        <v>107.90475001670083</v>
      </c>
      <c r="CS219" s="243">
        <f t="shared" ca="1" si="101"/>
        <v>1.7526980434791033</v>
      </c>
      <c r="CT219" s="242">
        <f t="shared" ca="1" si="102"/>
        <v>189.12444423637328</v>
      </c>
      <c r="CZ219" s="252"/>
      <c r="DA219" s="252"/>
      <c r="DB219" s="252"/>
      <c r="DC219" s="252"/>
      <c r="DD219" s="252"/>
      <c r="DE219" s="252"/>
      <c r="DF219" s="252"/>
      <c r="DG219" s="252"/>
      <c r="DH219" s="252"/>
      <c r="DI219" s="252"/>
      <c r="DJ219" s="252"/>
      <c r="DK219" s="252"/>
      <c r="DL219" s="252"/>
      <c r="DM219" s="252"/>
      <c r="DN219" s="252"/>
      <c r="DO219" s="252"/>
      <c r="DP219" s="252"/>
      <c r="DQ219" s="252"/>
      <c r="DU219" s="65"/>
      <c r="DW219" s="54"/>
      <c r="EA219" s="55"/>
      <c r="EB219" s="55"/>
      <c r="EC219" s="55"/>
      <c r="ED219" s="55"/>
      <c r="EE219" s="55"/>
    </row>
    <row r="220" spans="1:135" x14ac:dyDescent="0.4">
      <c r="A220" s="214"/>
      <c r="B220" s="89"/>
      <c r="C220" s="14"/>
      <c r="D220" s="14"/>
      <c r="E220" s="14"/>
      <c r="F220" s="14"/>
      <c r="G220" s="14"/>
      <c r="H220" s="14"/>
      <c r="I220" s="14"/>
      <c r="J220" s="14"/>
      <c r="K220" s="14"/>
      <c r="L220" s="14"/>
      <c r="M220" s="50"/>
      <c r="S220" s="120"/>
      <c r="T220" s="120"/>
      <c r="U220" s="120"/>
      <c r="W220" s="120"/>
      <c r="X220" s="120"/>
      <c r="Y220" s="120"/>
      <c r="AA220" s="89"/>
      <c r="AB220" s="89"/>
      <c r="AC220" s="89"/>
      <c r="AD220" s="89"/>
      <c r="AE220" s="89"/>
      <c r="AF220" s="89"/>
      <c r="AG220" s="89"/>
      <c r="AH220" s="89"/>
      <c r="AI220" s="89"/>
      <c r="AJ220" s="89"/>
      <c r="AK220" s="89"/>
      <c r="AL220" s="89"/>
      <c r="AM220" s="89"/>
      <c r="AN220" s="89"/>
      <c r="BR220" s="180">
        <v>2060</v>
      </c>
      <c r="BS220" s="22">
        <v>46</v>
      </c>
      <c r="BT220" s="181">
        <f t="shared" si="89"/>
        <v>75.0444036452962</v>
      </c>
      <c r="BU220" s="182">
        <f t="shared" si="90"/>
        <v>106.45137405158448</v>
      </c>
      <c r="BV220" s="242">
        <f t="shared" si="91"/>
        <v>181.49577769688068</v>
      </c>
      <c r="BY220" s="180">
        <v>2060</v>
      </c>
      <c r="BZ220" s="22">
        <v>46</v>
      </c>
      <c r="CA220" s="243">
        <f t="shared" ca="1" si="92"/>
        <v>-24.209560247722159</v>
      </c>
      <c r="CB220" s="243">
        <f t="shared" ca="1" si="93"/>
        <v>91.885836861102931</v>
      </c>
      <c r="CC220" s="243">
        <f t="shared" ca="1" si="104"/>
        <v>104.43772442795542</v>
      </c>
      <c r="CD220" s="242">
        <f t="shared" ca="1" si="94"/>
        <v>172.11400104133617</v>
      </c>
      <c r="CG220" s="180">
        <v>2060</v>
      </c>
      <c r="CH220" s="22">
        <v>46</v>
      </c>
      <c r="CI220" s="243">
        <f t="shared" ca="1" si="95"/>
        <v>15.510340228756073</v>
      </c>
      <c r="CJ220" s="243">
        <f t="shared" ca="1" si="96"/>
        <v>-40.394263095119733</v>
      </c>
      <c r="CK220" s="243">
        <f t="shared" ca="1" si="97"/>
        <v>96.461240628016654</v>
      </c>
      <c r="CL220" s="243">
        <f t="shared" ca="1" si="98"/>
        <v>104.15166209974525</v>
      </c>
      <c r="CM220" s="242">
        <f t="shared" ca="1" si="99"/>
        <v>175.72897986139824</v>
      </c>
      <c r="CP220" s="180">
        <v>2060</v>
      </c>
      <c r="CQ220" s="22">
        <v>46</v>
      </c>
      <c r="CR220" s="243">
        <f t="shared" ca="1" si="100"/>
        <v>107.90475001670083</v>
      </c>
      <c r="CS220" s="243">
        <f t="shared" ca="1" si="101"/>
        <v>1.7746912793815122</v>
      </c>
      <c r="CT220" s="242">
        <f t="shared" ca="1" si="102"/>
        <v>191.49761885848105</v>
      </c>
      <c r="CZ220" s="89"/>
      <c r="DA220" s="89"/>
      <c r="DB220" s="89"/>
      <c r="DC220" s="89"/>
      <c r="DD220" s="89"/>
      <c r="DE220" s="89"/>
      <c r="DF220" s="89"/>
      <c r="DG220" s="89"/>
      <c r="DH220" s="89"/>
      <c r="DI220" s="89"/>
      <c r="DJ220" s="89"/>
      <c r="DK220" s="89"/>
      <c r="DL220" s="89"/>
      <c r="DM220" s="89"/>
      <c r="DN220" s="89"/>
      <c r="DO220" s="89"/>
      <c r="DP220" s="89"/>
      <c r="DQ220" s="89"/>
      <c r="DW220" s="54"/>
      <c r="EA220" s="55"/>
      <c r="EB220" s="55"/>
      <c r="EC220" s="55"/>
      <c r="ED220" s="55"/>
      <c r="EE220" s="55"/>
    </row>
    <row r="221" spans="1:135" x14ac:dyDescent="0.4">
      <c r="A221" s="221" t="str">
        <f ca="1">HYPERLINK("#"&amp;"'"&amp;A$1&amp;"'!a1","Back to top")</f>
        <v>Back to top</v>
      </c>
      <c r="C221" s="50"/>
      <c r="D221" s="14"/>
      <c r="E221" s="14"/>
      <c r="F221" s="14"/>
      <c r="G221" s="14"/>
      <c r="H221" s="14"/>
      <c r="I221" s="14"/>
      <c r="J221" s="14"/>
      <c r="K221" s="14"/>
      <c r="L221" s="14"/>
      <c r="M221" s="14"/>
      <c r="N221" s="89"/>
      <c r="O221" s="89"/>
      <c r="P221" s="89"/>
      <c r="Q221" s="89"/>
      <c r="R221" s="89"/>
      <c r="S221" s="89"/>
      <c r="T221" s="89"/>
      <c r="U221" s="89"/>
      <c r="V221" s="89"/>
      <c r="W221" s="89"/>
      <c r="X221" s="89"/>
      <c r="Y221" s="89"/>
      <c r="Z221" s="89"/>
      <c r="AA221" s="89"/>
      <c r="AB221" s="89"/>
      <c r="AC221" s="89"/>
      <c r="AD221" s="89"/>
      <c r="AE221" s="89"/>
      <c r="AF221" s="89"/>
      <c r="AG221" s="89"/>
      <c r="AH221" s="89"/>
      <c r="AI221" s="89"/>
      <c r="AJ221" s="89"/>
      <c r="AK221" s="89"/>
      <c r="AL221" s="89"/>
      <c r="AM221" s="89"/>
      <c r="AN221" s="89"/>
      <c r="DW221" s="54"/>
      <c r="EA221" s="55"/>
      <c r="EB221" s="55"/>
      <c r="EC221" s="55"/>
      <c r="ED221" s="55"/>
      <c r="EE221" s="55"/>
    </row>
    <row r="222" spans="1:135" x14ac:dyDescent="0.4">
      <c r="A222" s="221"/>
      <c r="C222" s="50"/>
      <c r="D222" s="14"/>
      <c r="E222" s="14"/>
      <c r="F222" s="14"/>
      <c r="G222" s="14"/>
      <c r="H222" s="14"/>
      <c r="I222" s="14"/>
      <c r="J222" s="14"/>
      <c r="K222" s="14"/>
      <c r="L222" s="14"/>
      <c r="M222" s="14"/>
      <c r="N222" s="89"/>
      <c r="O222" s="89"/>
      <c r="P222" s="89"/>
      <c r="Q222" s="89"/>
      <c r="R222" s="89"/>
      <c r="S222" s="89"/>
      <c r="T222" s="89"/>
      <c r="U222" s="89"/>
      <c r="V222" s="89"/>
      <c r="W222" s="89"/>
      <c r="X222" s="89"/>
      <c r="Y222" s="89"/>
      <c r="Z222" s="89"/>
      <c r="AA222" s="89"/>
      <c r="AB222" s="89"/>
      <c r="AC222" s="89"/>
      <c r="AD222" s="89"/>
      <c r="AE222" s="89"/>
      <c r="AF222" s="89"/>
      <c r="AG222" s="89"/>
      <c r="AH222" s="89"/>
      <c r="AI222" s="89"/>
      <c r="AJ222" s="89"/>
      <c r="AK222" s="89"/>
      <c r="AL222" s="89"/>
      <c r="AM222" s="89"/>
      <c r="AN222" s="89"/>
      <c r="DW222" s="54"/>
      <c r="EA222" s="55"/>
      <c r="EB222" s="55"/>
      <c r="EC222" s="55"/>
      <c r="ED222" s="55"/>
      <c r="EE222" s="55"/>
    </row>
    <row r="223" spans="1:135" x14ac:dyDescent="0.4">
      <c r="A223" s="214"/>
      <c r="B223" s="89"/>
      <c r="C223" s="14"/>
      <c r="D223" s="14"/>
      <c r="E223" s="14"/>
      <c r="F223" s="14"/>
      <c r="G223" s="14"/>
      <c r="H223" s="14"/>
      <c r="I223" s="14"/>
      <c r="J223" s="14"/>
      <c r="K223" s="14"/>
      <c r="L223" s="14"/>
      <c r="M223" s="50"/>
      <c r="N223" s="49"/>
      <c r="O223" s="49"/>
      <c r="P223" s="49"/>
      <c r="Q223" s="49"/>
      <c r="R223" s="49"/>
      <c r="S223" s="120"/>
      <c r="T223" s="120"/>
      <c r="U223" s="120"/>
      <c r="V223" s="49"/>
      <c r="W223" s="120"/>
      <c r="X223" s="120"/>
      <c r="Y223" s="120"/>
      <c r="Z223" s="89"/>
      <c r="AA223" s="89"/>
      <c r="AB223" s="89"/>
      <c r="AC223" s="89"/>
      <c r="AD223" s="89"/>
      <c r="AE223" s="89"/>
      <c r="AF223" s="89"/>
      <c r="AG223" s="89"/>
      <c r="AH223" s="89"/>
      <c r="AI223" s="89"/>
      <c r="AJ223" s="89"/>
      <c r="AK223" s="89"/>
      <c r="AL223" s="89"/>
      <c r="AM223" s="89"/>
      <c r="AN223" s="89"/>
      <c r="AO223" s="49"/>
      <c r="AP223" s="49"/>
      <c r="AQ223" s="49"/>
      <c r="AR223" s="49"/>
      <c r="AS223" s="49"/>
      <c r="AT223" s="49"/>
      <c r="AU223" s="49"/>
      <c r="AV223" s="49"/>
      <c r="AW223" s="49"/>
      <c r="AX223" s="49"/>
      <c r="AY223" s="49"/>
      <c r="AZ223" s="49"/>
      <c r="BA223" s="49"/>
      <c r="BB223" s="49"/>
      <c r="BC223" s="49"/>
      <c r="BD223" s="49"/>
      <c r="BE223" s="49"/>
      <c r="BF223" s="49"/>
      <c r="BG223" s="49"/>
      <c r="BH223" s="49"/>
      <c r="BI223" s="49"/>
      <c r="BJ223" s="49"/>
      <c r="BK223" s="49"/>
      <c r="BL223" s="49"/>
    </row>
    <row r="224" spans="1:135" x14ac:dyDescent="0.4">
      <c r="A224" s="253"/>
      <c r="B224" s="254"/>
      <c r="C224" s="255"/>
      <c r="D224" s="255"/>
      <c r="E224" s="255"/>
      <c r="F224" s="255"/>
      <c r="G224" s="255"/>
      <c r="H224" s="255"/>
      <c r="I224" s="255"/>
      <c r="J224" s="255"/>
      <c r="K224" s="255"/>
      <c r="L224" s="255"/>
      <c r="M224" s="256"/>
      <c r="S224" s="257"/>
      <c r="T224" s="257"/>
      <c r="U224" s="257"/>
      <c r="W224" s="257"/>
      <c r="X224" s="257"/>
      <c r="Y224" s="257"/>
      <c r="Z224" s="254"/>
      <c r="AA224" s="254"/>
      <c r="AB224" s="254"/>
      <c r="AC224" s="254"/>
      <c r="AD224" s="254"/>
      <c r="AE224" s="254"/>
      <c r="AF224" s="254"/>
      <c r="AG224" s="254"/>
      <c r="AH224" s="254"/>
      <c r="AI224" s="254"/>
      <c r="AJ224" s="254"/>
      <c r="AK224" s="254"/>
      <c r="AL224" s="254"/>
      <c r="AM224" s="254"/>
      <c r="AN224" s="254"/>
      <c r="DW224" s="258"/>
      <c r="EA224" s="259"/>
      <c r="EB224" s="259"/>
      <c r="EC224" s="259"/>
      <c r="ED224" s="259"/>
      <c r="EE224" s="259"/>
    </row>
    <row r="225" spans="1:135" x14ac:dyDescent="0.4">
      <c r="A225" s="253"/>
      <c r="B225" s="254"/>
      <c r="C225" s="255"/>
      <c r="D225" s="255"/>
      <c r="E225" s="255"/>
      <c r="F225" s="255"/>
      <c r="G225" s="255"/>
      <c r="H225" s="255"/>
      <c r="I225" s="255"/>
      <c r="J225" s="255"/>
      <c r="K225" s="255"/>
      <c r="L225" s="255"/>
      <c r="M225" s="256"/>
      <c r="S225" s="257"/>
      <c r="T225" s="257"/>
      <c r="U225" s="257"/>
      <c r="W225" s="257"/>
      <c r="X225" s="257"/>
      <c r="Y225" s="257"/>
      <c r="Z225" s="254"/>
      <c r="AA225" s="254"/>
      <c r="AB225" s="254"/>
      <c r="AC225" s="254"/>
      <c r="AD225" s="254"/>
      <c r="AE225" s="254"/>
      <c r="AF225" s="254"/>
      <c r="AG225" s="254"/>
      <c r="AH225" s="254"/>
      <c r="AI225" s="254"/>
      <c r="AJ225" s="254"/>
      <c r="AK225" s="254"/>
      <c r="AL225" s="254"/>
      <c r="AM225" s="254"/>
      <c r="AN225" s="254"/>
      <c r="DW225" s="258"/>
      <c r="EA225" s="259"/>
      <c r="EB225" s="259"/>
      <c r="EC225" s="259"/>
      <c r="ED225" s="259"/>
      <c r="EE225" s="259"/>
    </row>
    <row r="226" spans="1:135" x14ac:dyDescent="0.4">
      <c r="B226" s="281"/>
      <c r="C226" s="50"/>
      <c r="D226" s="14"/>
      <c r="E226" s="14"/>
      <c r="F226" s="14"/>
      <c r="G226" s="14"/>
      <c r="H226" s="14"/>
      <c r="I226" s="14"/>
      <c r="J226" s="14"/>
      <c r="K226" s="14"/>
      <c r="L226" s="14"/>
      <c r="M226" s="14"/>
      <c r="N226" s="89"/>
      <c r="O226" s="89"/>
      <c r="P226" s="89"/>
      <c r="Q226" s="89"/>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49"/>
      <c r="AP226" s="49"/>
      <c r="AQ226" s="49"/>
      <c r="AR226" s="49"/>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DW226" s="282"/>
      <c r="EA226" s="232"/>
      <c r="EB226" s="232"/>
      <c r="EC226" s="232"/>
      <c r="ED226" s="232"/>
      <c r="EE226" s="232"/>
    </row>
    <row r="227" spans="1:135" x14ac:dyDescent="0.4">
      <c r="A227" s="221"/>
      <c r="B227" s="281"/>
      <c r="C227" s="50"/>
      <c r="D227" s="14"/>
      <c r="E227" s="14"/>
      <c r="F227" s="14"/>
      <c r="G227" s="14"/>
      <c r="H227" s="14"/>
      <c r="I227" s="14"/>
      <c r="J227" s="14"/>
      <c r="K227" s="14"/>
      <c r="L227" s="14"/>
      <c r="M227" s="14"/>
      <c r="N227" s="89"/>
      <c r="O227" s="89"/>
      <c r="P227" s="89"/>
      <c r="Q227" s="89"/>
      <c r="R227" s="89"/>
      <c r="S227" s="89"/>
      <c r="T227" s="89"/>
      <c r="U227" s="89"/>
      <c r="V227" s="89"/>
      <c r="W227" s="89"/>
      <c r="X227" s="89"/>
      <c r="Y227" s="89"/>
      <c r="Z227" s="89"/>
      <c r="AA227" s="89"/>
      <c r="AB227" s="89"/>
      <c r="AC227" s="89"/>
      <c r="AD227" s="89"/>
      <c r="AE227" s="89"/>
      <c r="AF227" s="89"/>
      <c r="AG227" s="89"/>
      <c r="AH227" s="89"/>
      <c r="AI227" s="89"/>
      <c r="AJ227" s="89"/>
      <c r="AK227" s="89"/>
      <c r="AL227" s="89"/>
      <c r="AM227" s="89"/>
      <c r="AN227" s="89"/>
      <c r="AO227" s="49"/>
      <c r="AP227" s="49"/>
      <c r="AQ227" s="49"/>
      <c r="AR227" s="49"/>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DW227" s="282"/>
      <c r="EA227" s="232"/>
      <c r="EB227" s="232"/>
      <c r="EC227" s="232"/>
      <c r="ED227" s="232"/>
      <c r="EE227" s="232"/>
    </row>
    <row r="228" spans="1:135" x14ac:dyDescent="0.4">
      <c r="A228" s="261" t="s">
        <v>100</v>
      </c>
      <c r="B228" s="281"/>
      <c r="C228" s="50"/>
      <c r="D228" s="14"/>
      <c r="E228" s="14"/>
      <c r="F228" s="14"/>
      <c r="G228" s="14"/>
      <c r="H228" s="14"/>
      <c r="I228" s="14"/>
      <c r="J228" s="14"/>
      <c r="K228" s="14"/>
      <c r="L228" s="14"/>
      <c r="M228" s="14"/>
      <c r="N228" s="89"/>
      <c r="O228" s="89"/>
      <c r="P228" s="89"/>
      <c r="Q228" s="89"/>
      <c r="R228" s="89"/>
      <c r="S228" s="89"/>
      <c r="T228" s="89"/>
      <c r="U228" s="89"/>
      <c r="V228" s="89"/>
      <c r="W228" s="89"/>
      <c r="X228" s="89"/>
      <c r="Y228" s="89"/>
      <c r="Z228" s="89"/>
      <c r="AA228" s="261" t="s">
        <v>100</v>
      </c>
      <c r="AB228" s="89"/>
      <c r="AC228" s="89"/>
      <c r="AD228" s="89"/>
      <c r="AE228" s="89"/>
      <c r="AF228" s="89"/>
      <c r="AG228" s="89"/>
      <c r="AH228" s="89"/>
      <c r="AI228" s="89"/>
      <c r="AJ228" s="89"/>
      <c r="AK228" s="89"/>
      <c r="AL228" s="89"/>
      <c r="AM228" s="261" t="s">
        <v>100</v>
      </c>
      <c r="AN228" s="89"/>
      <c r="AO228" s="49"/>
      <c r="AP228" s="49"/>
      <c r="AQ228" s="49"/>
      <c r="AR228" s="49"/>
      <c r="AS228" s="49"/>
      <c r="AT228" s="49"/>
      <c r="AU228" s="49"/>
      <c r="AV228" s="49"/>
      <c r="AW228" s="49"/>
      <c r="AX228" s="49"/>
      <c r="AY228" s="49"/>
      <c r="AZ228" s="261" t="s">
        <v>100</v>
      </c>
      <c r="BA228" s="49"/>
      <c r="BB228" s="49"/>
      <c r="BC228" s="49"/>
      <c r="BD228" s="49"/>
      <c r="BE228" s="49"/>
      <c r="BF228" s="49"/>
      <c r="BG228" s="49"/>
      <c r="BH228" s="49"/>
      <c r="BI228" s="49"/>
      <c r="BJ228" s="261" t="s">
        <v>100</v>
      </c>
      <c r="BK228" s="49"/>
      <c r="BL228" s="49"/>
      <c r="BM228" s="49"/>
      <c r="BN228" s="49"/>
      <c r="BO228" s="49"/>
      <c r="BP228" s="49"/>
      <c r="BR228" s="261" t="s">
        <v>100</v>
      </c>
      <c r="BY228" s="261" t="s">
        <v>100</v>
      </c>
      <c r="CG228" s="261" t="s">
        <v>100</v>
      </c>
      <c r="CP228" s="261" t="s">
        <v>100</v>
      </c>
      <c r="DV228" s="261" t="s">
        <v>100</v>
      </c>
      <c r="DW228" s="282"/>
      <c r="EA228" s="232"/>
      <c r="EB228" s="232"/>
      <c r="EC228" s="232"/>
      <c r="ED228" s="232"/>
      <c r="EE228" s="232"/>
    </row>
    <row r="229" spans="1:135" x14ac:dyDescent="0.4">
      <c r="B229" s="694"/>
      <c r="C229" s="694"/>
      <c r="D229" s="113"/>
      <c r="E229" s="113"/>
      <c r="F229" s="113"/>
      <c r="G229" s="113"/>
      <c r="H229" s="113"/>
      <c r="I229" s="113"/>
      <c r="J229" s="113"/>
      <c r="K229" s="113"/>
      <c r="L229" s="113"/>
      <c r="M229" s="113"/>
      <c r="N229" s="114"/>
      <c r="O229" s="114"/>
      <c r="P229" s="114"/>
      <c r="Q229" s="114"/>
      <c r="R229" s="114"/>
      <c r="S229" s="114"/>
      <c r="T229" s="114"/>
      <c r="U229" s="114"/>
      <c r="V229" s="114"/>
      <c r="W229" s="114"/>
      <c r="X229" s="114"/>
      <c r="Y229" s="114"/>
      <c r="Z229" s="114"/>
      <c r="AA229" s="114"/>
      <c r="AB229" s="114"/>
      <c r="AC229" s="114"/>
      <c r="AD229" s="114"/>
      <c r="AE229" s="114"/>
      <c r="AF229" s="114"/>
      <c r="AG229" s="114"/>
      <c r="AH229" s="114"/>
      <c r="AI229" s="114"/>
      <c r="AJ229" s="114"/>
      <c r="AK229" s="114"/>
      <c r="AL229" s="114"/>
      <c r="AM229" s="114"/>
      <c r="AN229" s="114"/>
      <c r="AO229" s="89"/>
      <c r="DW229" s="54"/>
      <c r="EA229" s="55"/>
      <c r="EB229" s="55"/>
      <c r="EC229" s="55"/>
      <c r="ED229" s="55"/>
      <c r="EE229" s="55"/>
    </row>
    <row r="230" spans="1:135" x14ac:dyDescent="0.4">
      <c r="A230" s="233"/>
      <c r="B230" s="679"/>
      <c r="C230" s="679"/>
      <c r="D230" s="113"/>
      <c r="E230" s="113"/>
      <c r="F230" s="113"/>
      <c r="G230" s="113"/>
      <c r="H230" s="113"/>
      <c r="I230" s="113"/>
      <c r="J230" s="113"/>
      <c r="K230" s="113"/>
      <c r="L230" s="113"/>
      <c r="M230" s="113"/>
      <c r="N230" s="114"/>
      <c r="O230" s="114"/>
      <c r="P230" s="114"/>
      <c r="Q230" s="114"/>
      <c r="R230" s="114"/>
      <c r="S230" s="114"/>
      <c r="T230" s="114"/>
      <c r="U230" s="114"/>
      <c r="V230" s="114"/>
      <c r="W230" s="114"/>
      <c r="X230" s="114"/>
      <c r="Y230" s="114"/>
      <c r="Z230" s="114"/>
      <c r="AA230" s="114"/>
      <c r="AB230" s="114"/>
      <c r="AC230" s="114"/>
      <c r="AD230" s="114"/>
      <c r="AE230" s="114"/>
      <c r="AF230" s="114"/>
      <c r="AG230" s="114"/>
      <c r="AH230" s="114"/>
      <c r="AI230" s="114"/>
      <c r="AJ230" s="114"/>
      <c r="AK230" s="114"/>
      <c r="AL230" s="114"/>
      <c r="AM230" s="114"/>
      <c r="CZ230" s="116"/>
      <c r="DA230" s="116"/>
      <c r="DB230" s="116"/>
      <c r="DC230" s="116"/>
      <c r="DD230" s="116"/>
      <c r="DE230" s="116"/>
      <c r="DF230" s="116"/>
      <c r="DG230" s="116"/>
      <c r="DH230" s="116"/>
      <c r="DI230" s="117" t="str">
        <f>"DJ"&amp;MIN(DK233:DK281)</f>
        <v>DJ233</v>
      </c>
      <c r="DJ230" s="118" t="str">
        <f>"DJ"&amp;MAX(DK233:DK281)</f>
        <v>DJ263</v>
      </c>
      <c r="DK230" s="116"/>
      <c r="DL230" s="117" t="str">
        <f>"DM"&amp;MIN(DN233:DN281)</f>
        <v>DM233</v>
      </c>
      <c r="DM230" s="118" t="str">
        <f>"DM"&amp;MAX(DN233:DN281)</f>
        <v>DM263</v>
      </c>
      <c r="DN230" s="116"/>
      <c r="DO230" s="117" t="str">
        <f>"DP"&amp;MIN(DQ233:DQ281)</f>
        <v>DP233</v>
      </c>
      <c r="DP230" s="118" t="str">
        <f>"DP"&amp;MAX(DQ233:DQ281)</f>
        <v>DP263</v>
      </c>
      <c r="DQ230" s="116"/>
      <c r="DW230" s="119"/>
      <c r="EA230" s="33"/>
      <c r="EB230" s="33"/>
      <c r="EC230" s="33"/>
      <c r="ED230" s="33"/>
      <c r="EE230" s="33"/>
    </row>
    <row r="231" spans="1:135" ht="24.6" x14ac:dyDescent="0.45">
      <c r="A231" s="95" t="s">
        <v>65</v>
      </c>
      <c r="C231" s="680" t="str">
        <f>A249</f>
        <v>Base Cases</v>
      </c>
      <c r="D231" s="681"/>
      <c r="E231" s="682"/>
      <c r="F231" s="683" t="str">
        <f>A250</f>
        <v>Conservative Cases</v>
      </c>
      <c r="G231" s="684"/>
      <c r="H231" s="685"/>
      <c r="I231" s="686" t="str">
        <f>A251</f>
        <v>Ambitious Cases</v>
      </c>
      <c r="J231" s="687"/>
      <c r="K231" s="688"/>
      <c r="L231" s="692" t="str">
        <f>A252</f>
        <v>Maximum Cases</v>
      </c>
      <c r="M231" s="693"/>
      <c r="O231" s="122"/>
      <c r="P231" s="122"/>
      <c r="Q231" s="122"/>
      <c r="W231" s="691" t="s">
        <v>66</v>
      </c>
      <c r="X231" s="691"/>
      <c r="Y231" s="691"/>
      <c r="Z231" s="120"/>
      <c r="AA231" s="120"/>
      <c r="AB231" s="120"/>
      <c r="AC231" s="120"/>
      <c r="AD231" s="120"/>
      <c r="AE231" s="120"/>
      <c r="AF231" s="120"/>
      <c r="AG231" s="120"/>
      <c r="AH231" s="120"/>
      <c r="AI231" s="120"/>
      <c r="AJ231" s="120"/>
      <c r="AK231" s="120"/>
      <c r="AL231" s="120"/>
      <c r="AM231" s="120"/>
      <c r="AN231" s="120"/>
      <c r="BR231" s="121" t="s">
        <v>67</v>
      </c>
      <c r="BS231" s="121"/>
      <c r="BT231" s="121"/>
      <c r="BU231" s="121"/>
      <c r="BV231" s="121"/>
      <c r="BW231" s="122"/>
      <c r="BY231" s="121" t="s">
        <v>68</v>
      </c>
      <c r="BZ231" s="121"/>
      <c r="CA231" s="121"/>
      <c r="CB231" s="121"/>
      <c r="CC231" s="121"/>
      <c r="CD231" s="121"/>
      <c r="CG231" s="121" t="s">
        <v>69</v>
      </c>
      <c r="CH231" s="121"/>
      <c r="CI231" s="121"/>
      <c r="CJ231" s="121"/>
      <c r="CK231" s="121"/>
      <c r="CL231" s="121"/>
      <c r="CM231" s="121"/>
      <c r="CP231" s="121" t="s">
        <v>70</v>
      </c>
      <c r="CQ231" s="121"/>
      <c r="CR231" s="121"/>
      <c r="CS231" s="121"/>
      <c r="CT231" s="121"/>
      <c r="CU231" s="121"/>
      <c r="CZ231" s="123"/>
      <c r="DA231" s="123"/>
      <c r="DB231" s="123"/>
      <c r="DC231" s="123"/>
      <c r="DD231" s="123"/>
      <c r="DE231" s="123"/>
      <c r="DF231" s="123"/>
      <c r="DG231" s="123"/>
      <c r="DH231" s="123"/>
      <c r="DI231" s="124" t="str">
        <f>"DI"&amp;MIN(DK233:DK281)</f>
        <v>DI233</v>
      </c>
      <c r="DJ231" s="125" t="str">
        <f>"DI"&amp;MAX(DK233:DK281)</f>
        <v>DI263</v>
      </c>
      <c r="DK231" s="123"/>
      <c r="DL231" s="124" t="str">
        <f>"DL"&amp;MIN(DN233:DN281)</f>
        <v>DL233</v>
      </c>
      <c r="DM231" s="125" t="str">
        <f>"DL"&amp;MAX(DN233:DN281)</f>
        <v>DL263</v>
      </c>
      <c r="DN231" s="123"/>
      <c r="DO231" s="124" t="str">
        <f>"DO"&amp;MIN(DQ233:DQ281)</f>
        <v>DO233</v>
      </c>
      <c r="DP231" s="125" t="str">
        <f>"DO"&amp;MAX(DQ233:DQ281)</f>
        <v>DO263</v>
      </c>
      <c r="DQ231" s="123"/>
      <c r="DV231" s="126" t="s">
        <v>71</v>
      </c>
      <c r="DZ231" s="127" t="s">
        <v>72</v>
      </c>
      <c r="EA231" s="33" t="str">
        <f>$L$23</f>
        <v>3rd Poly</v>
      </c>
    </row>
    <row r="232" spans="1:135" ht="73.8" x14ac:dyDescent="0.45">
      <c r="A232" s="95" t="s">
        <v>73</v>
      </c>
      <c r="B232" s="128"/>
      <c r="C232" s="129" t="str">
        <f>A233</f>
        <v>IPCC</v>
      </c>
      <c r="D232" s="130" t="str">
        <f>A234</f>
        <v>World Bank, What a Waste</v>
      </c>
      <c r="E232" s="131" t="str">
        <f>A235</f>
        <v>Bahor et al (2009)</v>
      </c>
      <c r="F232" s="129" t="str">
        <f>A236</f>
        <v>Hoornweg et al (2014)</v>
      </c>
      <c r="G232" s="130" t="str">
        <f>A237</f>
        <v xml:space="preserve"> IEA Annex I – Municipal solid waste potential in cities; Table I.1</v>
      </c>
      <c r="H232" s="131" t="str">
        <f>A238</f>
        <v>[Source 3]</v>
      </c>
      <c r="I232" s="129" t="str">
        <f>A239</f>
        <v>[Source 1]</v>
      </c>
      <c r="J232" s="130" t="str">
        <f>A240</f>
        <v>[Source 2]</v>
      </c>
      <c r="K232" s="131" t="str">
        <f>A241</f>
        <v>[Source 3]</v>
      </c>
      <c r="L232" s="129" t="str">
        <f>A242</f>
        <v>[Source 1]</v>
      </c>
      <c r="M232" s="131" t="str">
        <f>A243</f>
        <v>[Source 2]</v>
      </c>
      <c r="N232" s="234" t="s">
        <v>74</v>
      </c>
      <c r="O232" s="133"/>
      <c r="P232" s="133"/>
      <c r="Q232" s="133"/>
      <c r="R232" s="135" t="s">
        <v>76</v>
      </c>
      <c r="S232" s="134" t="s">
        <v>77</v>
      </c>
      <c r="T232" s="134" t="s">
        <v>78</v>
      </c>
      <c r="U232" s="136" t="s">
        <v>79</v>
      </c>
      <c r="V232" s="137"/>
      <c r="W232" s="136" t="s">
        <v>15</v>
      </c>
      <c r="X232" s="134" t="s">
        <v>21</v>
      </c>
      <c r="Y232" s="136" t="s">
        <v>25</v>
      </c>
      <c r="AA232" s="138"/>
      <c r="AB232" s="138"/>
      <c r="AC232" s="138"/>
      <c r="AD232" s="138"/>
      <c r="AE232" s="138"/>
      <c r="AF232" s="138"/>
      <c r="AG232" s="138"/>
      <c r="AH232" s="138"/>
      <c r="AI232" s="138"/>
      <c r="AJ232" s="138"/>
      <c r="AK232" s="138"/>
      <c r="AL232" s="138"/>
      <c r="AM232" s="138"/>
      <c r="AN232" s="138"/>
      <c r="BR232" s="139"/>
      <c r="BS232" s="139"/>
      <c r="BT232" s="139"/>
      <c r="BU232" s="139"/>
      <c r="BV232" s="139"/>
      <c r="BW232" s="122"/>
      <c r="BZ232" s="139"/>
      <c r="CA232" s="139"/>
      <c r="CB232" s="139"/>
      <c r="CC232" s="139"/>
      <c r="CD232" s="139"/>
      <c r="CH232" s="139"/>
      <c r="CI232" s="139"/>
      <c r="CJ232" s="139"/>
      <c r="CK232" s="139"/>
      <c r="CL232" s="139"/>
      <c r="CM232" s="139"/>
      <c r="CQ232" s="139"/>
      <c r="CR232" s="139"/>
      <c r="CS232" s="139"/>
      <c r="CT232" s="139"/>
      <c r="CU232" s="139"/>
      <c r="CZ232" s="140"/>
      <c r="DA232" s="140"/>
      <c r="DB232" s="140"/>
      <c r="DC232" s="140"/>
      <c r="DD232" s="141"/>
      <c r="DE232" s="141"/>
      <c r="DF232" s="141"/>
      <c r="DG232" s="141"/>
      <c r="DH232" s="140"/>
      <c r="DI232" s="142"/>
      <c r="DJ232" s="143"/>
      <c r="DK232" s="144"/>
      <c r="DL232" s="142"/>
      <c r="DM232" s="143"/>
      <c r="DN232" s="140"/>
      <c r="DO232" s="142"/>
      <c r="DP232" s="143"/>
      <c r="DQ232" s="140"/>
      <c r="DV232" s="145">
        <v>2014</v>
      </c>
      <c r="DW232" s="235">
        <f t="shared" ref="DW232:DW278" ca="1" si="107">IF($J$23="N","",IF($L$23="Linear",BV237,IF($L$23="2nd Poly",CD237,IF($L$23="3rd Poly",CM237,IF($L$23="Exp",CT237)))))</f>
        <v>790.38110249476222</v>
      </c>
      <c r="EA232" s="33" t="str">
        <f>$M$23</f>
        <v>Medium</v>
      </c>
      <c r="EB232" s="33"/>
      <c r="EC232" s="33"/>
      <c r="ED232" s="33"/>
      <c r="EE232" s="33"/>
    </row>
    <row r="233" spans="1:135" ht="13.8" x14ac:dyDescent="0.45">
      <c r="A233" s="148" t="s">
        <v>108</v>
      </c>
      <c r="B233" s="128">
        <v>2012</v>
      </c>
      <c r="C233" s="244"/>
      <c r="D233" s="264"/>
      <c r="E233" s="239"/>
      <c r="F233" s="190"/>
      <c r="G233" s="264"/>
      <c r="H233" s="239"/>
      <c r="I233" s="190"/>
      <c r="J233" s="264"/>
      <c r="K233" s="239"/>
      <c r="L233" s="190"/>
      <c r="M233" s="239"/>
      <c r="N233" s="29" t="s">
        <v>119</v>
      </c>
      <c r="O233" s="120"/>
      <c r="P233" s="120"/>
      <c r="Q233" s="120"/>
      <c r="R233" s="29">
        <v>-2</v>
      </c>
      <c r="S233" s="238" t="str">
        <f t="shared" ref="S233:S281" si="108">IF(MIN(C233:Q233)=0,"",MIN(C233:Q233))</f>
        <v/>
      </c>
      <c r="T233" s="238" t="str">
        <f t="shared" ref="T233:T281" si="109">IF(MAX(C233:Q233)=0,"",MAX(C233:Q233))</f>
        <v/>
      </c>
      <c r="U233" s="238" t="str">
        <f t="shared" ref="U233:U281" si="110">IF(T233="","",_xlfn.STDEV.P(C233:Q233))</f>
        <v/>
      </c>
      <c r="V233" s="29"/>
      <c r="W233" s="238" t="e">
        <f t="shared" ref="W233:W281" si="111">IF(U233="",#N/A,X233-(U233*$Q$23))</f>
        <v>#N/A</v>
      </c>
      <c r="X233" s="238" t="e">
        <f t="shared" ref="X233:X281" si="112">IF(U233="",#N/A,(SUM(C233:Q233)/COUNTIFS(C233:Q233,"&gt;0")))</f>
        <v>#N/A</v>
      </c>
      <c r="Y233" s="238" t="e">
        <f t="shared" ref="Y233:Y281" si="113">IF(U233="",#N/A,X233+(U233*$Q$22))</f>
        <v>#N/A</v>
      </c>
      <c r="AA233" s="138"/>
      <c r="AB233" s="138"/>
      <c r="AC233" s="138"/>
      <c r="AD233" s="138"/>
      <c r="AE233" s="138"/>
      <c r="AF233" s="138"/>
      <c r="AG233" s="138"/>
      <c r="AH233" s="138"/>
      <c r="AI233" s="138"/>
      <c r="AJ233" s="138"/>
      <c r="AK233" s="138"/>
      <c r="AL233" s="138"/>
      <c r="AM233" s="138"/>
      <c r="AN233" s="138"/>
      <c r="BR233" s="137" t="s">
        <v>81</v>
      </c>
      <c r="BS233" s="65" t="str">
        <f>$M$23</f>
        <v>Medium</v>
      </c>
      <c r="BT233" s="137" t="s">
        <v>82</v>
      </c>
      <c r="BU233" s="137" t="s">
        <v>83</v>
      </c>
      <c r="BW233" s="133"/>
      <c r="BY233" s="137" t="s">
        <v>81</v>
      </c>
      <c r="BZ233" s="65" t="str">
        <f>$M$23</f>
        <v>Medium</v>
      </c>
      <c r="CA233" s="137" t="s">
        <v>84</v>
      </c>
      <c r="CB233" s="137" t="s">
        <v>82</v>
      </c>
      <c r="CC233" s="137" t="s">
        <v>83</v>
      </c>
      <c r="CG233" s="137" t="s">
        <v>81</v>
      </c>
      <c r="CH233" s="65" t="str">
        <f>$M$23</f>
        <v>Medium</v>
      </c>
      <c r="CI233" s="137" t="s">
        <v>85</v>
      </c>
      <c r="CJ233" s="137" t="s">
        <v>84</v>
      </c>
      <c r="CK233" s="137" t="s">
        <v>82</v>
      </c>
      <c r="CL233" s="137" t="s">
        <v>83</v>
      </c>
      <c r="CP233" s="137" t="s">
        <v>81</v>
      </c>
      <c r="CQ233" s="65" t="str">
        <f>$M$23</f>
        <v>Medium</v>
      </c>
      <c r="CR233" s="137" t="s">
        <v>86</v>
      </c>
      <c r="CS233" s="137" t="s">
        <v>87</v>
      </c>
      <c r="CZ233" s="155" t="b">
        <f t="shared" ref="CZ233:DB273" si="114">ISNUMBER(W233)</f>
        <v>0</v>
      </c>
      <c r="DA233" s="156" t="b">
        <f t="shared" si="114"/>
        <v>0</v>
      </c>
      <c r="DB233" s="157" t="b">
        <f t="shared" si="114"/>
        <v>0</v>
      </c>
      <c r="DC233" s="155" t="str">
        <f t="shared" ref="DC233:DC278" si="115">IF(CZ233=TRUE,$R233,"")</f>
        <v/>
      </c>
      <c r="DD233" s="157" t="str">
        <f t="shared" ref="DD233:DD278" si="116">IF(CZ233=TRUE,W233,"")</f>
        <v/>
      </c>
      <c r="DE233" s="155" t="str">
        <f t="shared" ref="DE233:DE278" si="117">IF(DA233=TRUE,$R233,"")</f>
        <v/>
      </c>
      <c r="DF233" s="157" t="str">
        <f t="shared" ref="DF233:DF278" si="118">IF(DA233=TRUE,X233,"")</f>
        <v/>
      </c>
      <c r="DG233" s="155" t="str">
        <f t="shared" ref="DG233:DG278" si="119">IF(DB233=TRUE,$R233,"")</f>
        <v/>
      </c>
      <c r="DH233" s="157" t="str">
        <f t="shared" ref="DH233:DH278" si="120">IF(DB233=TRUE,Y233,"")</f>
        <v/>
      </c>
      <c r="DI233" s="155">
        <f>IFERROR(INDEX(DC$233:DC$281,_xlfn.AGGREGATE(15,6,(ROW(DC$233:DC$281)-ROW(DC$233)+1)/(DC$233:DC$281&lt;&gt;""),ROWS(DI$1:DI1))),"")</f>
        <v>1</v>
      </c>
      <c r="DJ233" s="156">
        <f>IFERROR(INDEX(DD$233:DD$281,_xlfn.AGGREGATE(15,6,(ROW(DD$233:DD$281)-ROW(DD$233)+1)/(DD$233:DD$281&lt;&gt;""),ROWS(DJ$1:DJ1))),"")</f>
        <v>586.83779622232203</v>
      </c>
      <c r="DK233" s="157">
        <f t="shared" ref="DK233:DK278" si="121">IF(ISNUMBER(DI233),ROW(DI233),"")</f>
        <v>233</v>
      </c>
      <c r="DL233" s="155">
        <f>IFERROR(INDEX(DE$233:DE$281,_xlfn.AGGREGATE(15,6,(ROW(DE$233:DE$281)-ROW(DE$233)+1)/(DE$233:DE$281&lt;&gt;""),ROWS(DL$1:DL1))),"")</f>
        <v>1</v>
      </c>
      <c r="DM233" s="156">
        <f>IFERROR(INDEX(DF$233:DF$281,_xlfn.AGGREGATE(15,6,(ROW(DF$233:DF$281)-ROW(DF$233)+1)/(DF$233:DF$281&lt;&gt;""),ROWS(DM$1:DM1))),"")</f>
        <v>817.80896952164392</v>
      </c>
      <c r="DN233" s="157">
        <f t="shared" ref="DN233:DN278" si="122">IF(ISNUMBER(DI233),ROW(DI233),"")</f>
        <v>233</v>
      </c>
      <c r="DO233" s="155">
        <f>IFERROR(INDEX(DG$233:DG$281,_xlfn.AGGREGATE(15,6,(ROW(DG$233:DG$281)-ROW(DG$233)+1)/(DG$233:DG$281&lt;&gt;""),ROWS(DO$1:DO1))),"")</f>
        <v>1</v>
      </c>
      <c r="DP233" s="156">
        <f>IFERROR(INDEX(DH$233:DH$281,_xlfn.AGGREGATE(15,6,(ROW(DH$233:DH$281)-ROW(DH$233)+1)/(DH$233:DH$281&lt;&gt;""),ROWS(DP$1:DP1))),"")</f>
        <v>1048.7801428209657</v>
      </c>
      <c r="DQ233" s="157">
        <f t="shared" ref="DQ233:DQ278" si="123">IF(ISNUMBER(DL233),ROW(DL233),"")</f>
        <v>233</v>
      </c>
      <c r="DV233" s="145">
        <v>2015</v>
      </c>
      <c r="DW233" s="235">
        <f t="shared" ca="1" si="107"/>
        <v>818.41139665105402</v>
      </c>
      <c r="EA233" s="33"/>
      <c r="EB233" s="33"/>
      <c r="EC233" s="33"/>
      <c r="ED233" s="33"/>
      <c r="EE233" s="33"/>
    </row>
    <row r="234" spans="1:135" ht="13.8" x14ac:dyDescent="0.45">
      <c r="A234" s="148" t="s">
        <v>109</v>
      </c>
      <c r="B234" s="128">
        <v>2013</v>
      </c>
      <c r="C234" s="187"/>
      <c r="D234" s="264"/>
      <c r="E234" s="239"/>
      <c r="F234" s="190"/>
      <c r="G234" s="264"/>
      <c r="H234" s="239"/>
      <c r="I234" s="190"/>
      <c r="J234" s="264"/>
      <c r="K234" s="239"/>
      <c r="L234" s="190"/>
      <c r="M234" s="239"/>
      <c r="N234" s="29" t="s">
        <v>119</v>
      </c>
      <c r="O234" s="120"/>
      <c r="P234" s="120"/>
      <c r="Q234" s="120"/>
      <c r="R234" s="29">
        <v>-1</v>
      </c>
      <c r="S234" s="238" t="str">
        <f t="shared" si="108"/>
        <v/>
      </c>
      <c r="T234" s="238" t="str">
        <f t="shared" si="109"/>
        <v/>
      </c>
      <c r="U234" s="238" t="str">
        <f t="shared" si="110"/>
        <v/>
      </c>
      <c r="V234" s="29"/>
      <c r="W234" s="238" t="e">
        <f t="shared" si="111"/>
        <v>#N/A</v>
      </c>
      <c r="X234" s="238" t="e">
        <f t="shared" si="112"/>
        <v>#N/A</v>
      </c>
      <c r="Y234" s="238" t="e">
        <f t="shared" si="113"/>
        <v>#N/A</v>
      </c>
      <c r="AA234" s="138"/>
      <c r="AB234" s="138"/>
      <c r="AC234" s="138"/>
      <c r="AD234" s="138"/>
      <c r="AE234" s="138"/>
      <c r="AF234" s="138"/>
      <c r="AG234" s="138"/>
      <c r="AH234" s="138"/>
      <c r="AI234" s="138"/>
      <c r="AJ234" s="138"/>
      <c r="AK234" s="138"/>
      <c r="AL234" s="138"/>
      <c r="AM234" s="138"/>
      <c r="AN234" s="138"/>
      <c r="BS234" s="160" t="s">
        <v>25</v>
      </c>
      <c r="BT234" s="161">
        <f>SLOPE((DH233:DH281),($B$46:$B$94))</f>
        <v>29.899738149411448</v>
      </c>
      <c r="BU234" s="162">
        <f>INTERCEPT(DP233:DP281,DO233:DO281)</f>
        <v>1015.3623510636355</v>
      </c>
      <c r="BW234" s="133"/>
      <c r="BZ234" s="160" t="s">
        <v>25</v>
      </c>
      <c r="CA234" s="161">
        <f ca="1">INDEX(LINEST((INDIRECT(DO230):INDIRECT(DP230)),(INDIRECT(DO231):INDIRECT(DP231))^{1,2}),1)</f>
        <v>4.8879407911816823E-2</v>
      </c>
      <c r="CB234" s="163">
        <f ca="1">INDEX(LINEST((INDIRECT(DO230):INDIRECT(DP230)),(INDIRECT(DO231):INDIRECT(DP231))^{1,2}),1,2)</f>
        <v>28.3355970962333</v>
      </c>
      <c r="CC234" s="162">
        <f ca="1">INDEX(LINEST((INDIRECT(DO230):INDIRECT(DP230)),(INDIRECT(DO231):INDIRECT(DP231))^{1,2}),1,3)</f>
        <v>1023.9651268561154</v>
      </c>
      <c r="CH234" s="160" t="s">
        <v>25</v>
      </c>
      <c r="CI234" s="161">
        <f ca="1">INDEX(LINEST((INDIRECT(DO230):INDIRECT(DP230)),(INDIRECT(DO231):INDIRECT(DP231))^{1,2,3}),1)</f>
        <v>2.4522825300037289E-3</v>
      </c>
      <c r="CJ234" s="163">
        <f ca="1">INDEX(LINEST((INDIRECT(DO230):INDIRECT(DP230)),(INDIRECT(DO231):INDIRECT(DP231))^{1,2,3}),1,2)</f>
        <v>-6.8830153528362303E-2</v>
      </c>
      <c r="CK234" s="163">
        <f ca="1">INDEX(LINEST((INDIRECT(DO230):INDIRECT(DP230)),(INDIRECT(DO231):INDIRECT(DP231))^{1,2,3}),1,3)</f>
        <v>29.866311851461639</v>
      </c>
      <c r="CL234" s="162">
        <f ca="1">INDEX(LINEST((INDIRECT(DO230):INDIRECT(DP230)),(INDIRECT(DO231):INDIRECT(DP231))^{1,2,3}),1,4)</f>
        <v>1019.5627892582525</v>
      </c>
      <c r="CQ234" s="160" t="s">
        <v>25</v>
      </c>
      <c r="CR234" s="161">
        <f ca="1">EXP(INDEX(LINEST(LN(INDIRECT(DO230):INDIRECT(DP230)),(INDIRECT(DO231):INDIRECT(DP231))),1,2))</f>
        <v>1060.6190466906792</v>
      </c>
      <c r="CS234" s="162">
        <f ca="1">INDEX(LINEST(LN(INDIRECT(DO230):INDIRECT(DP230)),(INDIRECT(DO231):INDIRECT(DP231))),1)</f>
        <v>2.0374841335120526E-2</v>
      </c>
      <c r="CZ234" s="164" t="b">
        <f t="shared" si="114"/>
        <v>0</v>
      </c>
      <c r="DA234" s="165" t="b">
        <f t="shared" si="114"/>
        <v>0</v>
      </c>
      <c r="DB234" s="166" t="b">
        <f t="shared" si="114"/>
        <v>0</v>
      </c>
      <c r="DC234" s="164" t="str">
        <f t="shared" si="115"/>
        <v/>
      </c>
      <c r="DD234" s="166" t="str">
        <f t="shared" si="116"/>
        <v/>
      </c>
      <c r="DE234" s="164" t="str">
        <f t="shared" si="117"/>
        <v/>
      </c>
      <c r="DF234" s="166" t="str">
        <f t="shared" si="118"/>
        <v/>
      </c>
      <c r="DG234" s="164" t="str">
        <f t="shared" si="119"/>
        <v/>
      </c>
      <c r="DH234" s="166" t="str">
        <f t="shared" si="120"/>
        <v/>
      </c>
      <c r="DI234" s="164">
        <f>IFERROR(INDEX(DC$233:DC$281,_xlfn.AGGREGATE(15,6,(ROW(DC$233:DC$281)-ROW(DC$233)+1)/(DC$233:DC$281&lt;&gt;""),ROWS(DI$1:DI2))),"")</f>
        <v>2</v>
      </c>
      <c r="DJ234" s="165">
        <f>IFERROR(INDEX(DD$233:DD$281,_xlfn.AGGREGATE(15,6,(ROW(DD$233:DD$281)-ROW(DD$233)+1)/(DD$233:DD$281&lt;&gt;""),ROWS(DJ$1:DJ2))),"")</f>
        <v>614.6530274107381</v>
      </c>
      <c r="DK234" s="166">
        <f t="shared" si="121"/>
        <v>234</v>
      </c>
      <c r="DL234" s="164">
        <f>IFERROR(INDEX(DE$233:DE$281,_xlfn.AGGREGATE(15,6,(ROW(DE$233:DE$281)-ROW(DE$233)+1)/(DE$233:DE$281&lt;&gt;""),ROWS(DL$1:DL2))),"")</f>
        <v>2</v>
      </c>
      <c r="DM234" s="165">
        <f>IFERROR(INDEX(DF$233:DF$281,_xlfn.AGGREGATE(15,6,(ROW(DF$233:DF$281)-ROW(DF$233)+1)/(DF$233:DF$281&lt;&gt;""),ROWS(DM$1:DM2))),"")</f>
        <v>847.29092843835463</v>
      </c>
      <c r="DN234" s="166">
        <f t="shared" si="122"/>
        <v>234</v>
      </c>
      <c r="DO234" s="164">
        <f>IFERROR(INDEX(DG$233:DG$281,_xlfn.AGGREGATE(15,6,(ROW(DG$233:DG$281)-ROW(DG$233)+1)/(DG$233:DG$281&lt;&gt;""),ROWS(DO$1:DO2))),"")</f>
        <v>2</v>
      </c>
      <c r="DP234" s="165">
        <f>IFERROR(INDEX(DH$233:DH$281,_xlfn.AGGREGATE(15,6,(ROW(DH$233:DH$281)-ROW(DH$233)+1)/(DH$233:DH$281&lt;&gt;""),ROWS(DP$1:DP2))),"")</f>
        <v>1079.9288294659711</v>
      </c>
      <c r="DQ234" s="166">
        <f t="shared" si="123"/>
        <v>234</v>
      </c>
      <c r="DV234" s="145">
        <v>2016</v>
      </c>
      <c r="DW234" s="235">
        <f t="shared" ca="1" si="107"/>
        <v>846.56864564311263</v>
      </c>
      <c r="EA234" s="33"/>
      <c r="EB234" s="33"/>
      <c r="EC234" s="33"/>
      <c r="ED234" s="33"/>
      <c r="EE234" s="33"/>
    </row>
    <row r="235" spans="1:135" ht="13.8" x14ac:dyDescent="0.45">
      <c r="A235" s="148" t="s">
        <v>110</v>
      </c>
      <c r="B235" s="128">
        <v>2014</v>
      </c>
      <c r="C235" s="167"/>
      <c r="D235" s="168"/>
      <c r="E235" s="169"/>
      <c r="F235" s="170"/>
      <c r="G235" s="168"/>
      <c r="H235" s="169"/>
      <c r="I235" s="170"/>
      <c r="J235" s="168"/>
      <c r="K235" s="169"/>
      <c r="L235" s="170"/>
      <c r="M235" s="169"/>
      <c r="N235" s="29" t="s">
        <v>119</v>
      </c>
      <c r="O235" s="120"/>
      <c r="P235" s="120"/>
      <c r="Q235" s="120"/>
      <c r="R235" s="29">
        <v>0</v>
      </c>
      <c r="S235" s="238" t="str">
        <f t="shared" si="108"/>
        <v/>
      </c>
      <c r="T235" s="238" t="str">
        <f t="shared" si="109"/>
        <v/>
      </c>
      <c r="U235" s="238" t="str">
        <f t="shared" si="110"/>
        <v/>
      </c>
      <c r="V235" s="29"/>
      <c r="W235" s="238" t="e">
        <f t="shared" si="111"/>
        <v>#N/A</v>
      </c>
      <c r="X235" s="238" t="e">
        <f t="shared" si="112"/>
        <v>#N/A</v>
      </c>
      <c r="Y235" s="238" t="e">
        <f t="shared" si="113"/>
        <v>#N/A</v>
      </c>
      <c r="AA235" s="138"/>
      <c r="AB235" s="138"/>
      <c r="AC235" s="138"/>
      <c r="AD235" s="138"/>
      <c r="AE235" s="138"/>
      <c r="AF235" s="138"/>
      <c r="AG235" s="138"/>
      <c r="AH235" s="138"/>
      <c r="AI235" s="138"/>
      <c r="AJ235" s="138"/>
      <c r="AK235" s="138"/>
      <c r="AL235" s="138"/>
      <c r="AM235" s="138"/>
      <c r="AN235" s="138"/>
      <c r="BS235" s="160" t="s">
        <v>91</v>
      </c>
      <c r="BT235" s="172">
        <f>SLOPE((DF233:DF281),($B$46:$B$94))</f>
        <v>28.27004445857462</v>
      </c>
      <c r="BU235" s="173">
        <f>INTERCEPT(DM233:DM281,DL233:DL281)</f>
        <v>792.15106583111492</v>
      </c>
      <c r="BZ235" s="160" t="s">
        <v>91</v>
      </c>
      <c r="CA235" s="172">
        <f ca="1">INDEX(LINEST((INDIRECT(DL230):INDIRECT(DM230)),(INDIRECT(DL231):INDIRECT(DM231))^{1,2}),1)</f>
        <v>-3.1609686964491499E-2</v>
      </c>
      <c r="CB235" s="174">
        <f ca="1">INDEX(LINEST((INDIRECT(DL230):INDIRECT(DM230)),(INDIRECT(DL231):INDIRECT(DM231))^{1,2}),1,2)</f>
        <v>29.281554441438342</v>
      </c>
      <c r="CC235" s="173">
        <f ca="1">INDEX(LINEST((INDIRECT(DL230):INDIRECT(DM230)),(INDIRECT(DL231):INDIRECT(DM231))^{1,2}),1,3)</f>
        <v>786.58776092536436</v>
      </c>
      <c r="CH235" s="160" t="s">
        <v>91</v>
      </c>
      <c r="CI235" s="172">
        <f ca="1">INDEX(LINEST((INDIRECT(DL230):INDIRECT(DM230)),(INDIRECT(DL231):INDIRECT(DM231))^{1,2,3}),1)</f>
        <v>-2.113046774397118E-3</v>
      </c>
      <c r="CJ235" s="174">
        <f ca="1">INDEX(LINEST((INDIRECT(DL230):INDIRECT(DM230)),(INDIRECT(DL231):INDIRECT(DM231))^{1,2,3}),1,2)</f>
        <v>6.9816558206570789E-2</v>
      </c>
      <c r="CK235" s="174">
        <f ca="1">INDEX(LINEST((INDIRECT(DL230):INDIRECT(DM230)),(INDIRECT(DL231):INDIRECT(DM231))^{1,2,3}),1,3)</f>
        <v>27.962590644859645</v>
      </c>
      <c r="CL235" s="173">
        <f ca="1">INDEX(LINEST((INDIRECT(DL230):INDIRECT(DM230)),(INDIRECT(DL231):INDIRECT(DM231))^{1,2,3}),1,4)</f>
        <v>790.38110249476222</v>
      </c>
      <c r="CQ235" s="160" t="s">
        <v>91</v>
      </c>
      <c r="CR235" s="172">
        <f ca="1">EXP(INDEX(LINEST(LN(INDIRECT(DL230):INDIRECT(DM230)),(INDIRECT(DL231):INDIRECT(DM231))),1,2))</f>
        <v>838.30460332471296</v>
      </c>
      <c r="CS235" s="173">
        <f ca="1">INDEX(LINEST(LN(INDIRECT(DL230):INDIRECT(DM230)),(INDIRECT(DL231):INDIRECT(DM231))),1)</f>
        <v>2.3347465920544548E-2</v>
      </c>
      <c r="CZ235" s="164" t="b">
        <f t="shared" si="114"/>
        <v>0</v>
      </c>
      <c r="DA235" s="165" t="b">
        <f t="shared" si="114"/>
        <v>0</v>
      </c>
      <c r="DB235" s="166" t="b">
        <f t="shared" si="114"/>
        <v>0</v>
      </c>
      <c r="DC235" s="164" t="str">
        <f t="shared" si="115"/>
        <v/>
      </c>
      <c r="DD235" s="166" t="str">
        <f t="shared" si="116"/>
        <v/>
      </c>
      <c r="DE235" s="164" t="str">
        <f t="shared" si="117"/>
        <v/>
      </c>
      <c r="DF235" s="166" t="str">
        <f t="shared" si="118"/>
        <v/>
      </c>
      <c r="DG235" s="164" t="str">
        <f t="shared" si="119"/>
        <v/>
      </c>
      <c r="DH235" s="166" t="str">
        <f t="shared" si="120"/>
        <v/>
      </c>
      <c r="DI235" s="164">
        <f>IFERROR(INDEX(DC$233:DC$281,_xlfn.AGGREGATE(15,6,(ROW(DC$233:DC$281)-ROW(DC$233)+1)/(DC$233:DC$281&lt;&gt;""),ROWS(DI$1:DI3))),"")</f>
        <v>3</v>
      </c>
      <c r="DJ235" s="165">
        <f>IFERROR(INDEX(DD$233:DD$281,_xlfn.AGGREGATE(15,6,(ROW(DD$233:DD$281)-ROW(DD$233)+1)/(DD$233:DD$281&lt;&gt;""),ROWS(DJ$1:DJ3))),"")</f>
        <v>641.54817422580845</v>
      </c>
      <c r="DK235" s="166">
        <f t="shared" si="121"/>
        <v>235</v>
      </c>
      <c r="DL235" s="164">
        <f>IFERROR(INDEX(DE$233:DE$281,_xlfn.AGGREGATE(15,6,(ROW(DE$233:DE$281)-ROW(DE$233)+1)/(DE$233:DE$281&lt;&gt;""),ROWS(DL$1:DL3))),"")</f>
        <v>3</v>
      </c>
      <c r="DM235" s="165">
        <f>IFERROR(INDEX(DF$233:DF$281,_xlfn.AGGREGATE(15,6,(ROW(DF$233:DF$281)-ROW(DF$233)+1)/(DF$233:DF$281&lt;&gt;""),ROWS(DM$1:DM3))),"")</f>
        <v>875.31935089461695</v>
      </c>
      <c r="DN235" s="166">
        <f t="shared" si="122"/>
        <v>235</v>
      </c>
      <c r="DO235" s="164">
        <f>IFERROR(INDEX(DG$233:DG$281,_xlfn.AGGREGATE(15,6,(ROW(DG$233:DG$281)-ROW(DG$233)+1)/(DG$233:DG$281&lt;&gt;""),ROWS(DO$1:DO3))),"")</f>
        <v>3</v>
      </c>
      <c r="DP235" s="165">
        <f>IFERROR(INDEX(DH$233:DH$281,_xlfn.AGGREGATE(15,6,(ROW(DH$233:DH$281)-ROW(DH$233)+1)/(DH$233:DH$281&lt;&gt;""),ROWS(DP$1:DP3))),"")</f>
        <v>1109.0905275634254</v>
      </c>
      <c r="DQ235" s="166">
        <f t="shared" si="123"/>
        <v>235</v>
      </c>
      <c r="DV235" s="145">
        <v>2017</v>
      </c>
      <c r="DW235" s="235">
        <f t="shared" ca="1" si="107"/>
        <v>874.84017119029158</v>
      </c>
      <c r="DZ235" s="65" t="s">
        <v>89</v>
      </c>
      <c r="EA235" s="33"/>
      <c r="EB235" s="33"/>
      <c r="EC235" s="33"/>
      <c r="ED235" s="33"/>
      <c r="EE235" s="33"/>
    </row>
    <row r="236" spans="1:135" ht="13.8" x14ac:dyDescent="0.45">
      <c r="A236" s="148" t="s">
        <v>111</v>
      </c>
      <c r="B236" s="128">
        <v>2015</v>
      </c>
      <c r="C236" s="244">
        <f>'Total MSW Summaries (Archive)'!F6</f>
        <v>1026.4592042088407</v>
      </c>
      <c r="D236" s="244">
        <f>'Total MSW Summaries (Archive)'!R6</f>
        <v>552.60513350071892</v>
      </c>
      <c r="E236" s="244">
        <f>'Total MSW Summaries (Archive)'!AD6</f>
        <v>1091.6920000000002</v>
      </c>
      <c r="F236" s="244">
        <f>'Total MSW Summaries (Archive)'!AP6</f>
        <v>873.82950722001328</v>
      </c>
      <c r="G236" s="244">
        <f>'Total MSW Summaries (Archive)'!BB6</f>
        <v>544.45900267864681</v>
      </c>
      <c r="H236" s="151"/>
      <c r="I236" s="152"/>
      <c r="J236" s="159"/>
      <c r="K236" s="151"/>
      <c r="L236" s="152"/>
      <c r="M236" s="151"/>
      <c r="N236" s="29" t="s">
        <v>119</v>
      </c>
      <c r="O236" s="120"/>
      <c r="P236" s="120"/>
      <c r="Q236" s="120"/>
      <c r="R236" s="29">
        <v>1</v>
      </c>
      <c r="S236" s="238">
        <f t="shared" si="108"/>
        <v>544.45900267864681</v>
      </c>
      <c r="T236" s="238">
        <f t="shared" si="109"/>
        <v>1091.6920000000002</v>
      </c>
      <c r="U236" s="238">
        <f t="shared" si="110"/>
        <v>230.97117329932186</v>
      </c>
      <c r="V236" s="29"/>
      <c r="W236" s="238">
        <f t="shared" si="111"/>
        <v>586.83779622232203</v>
      </c>
      <c r="X236" s="238">
        <f t="shared" si="112"/>
        <v>817.80896952164392</v>
      </c>
      <c r="Y236" s="238">
        <f t="shared" si="113"/>
        <v>1048.7801428209657</v>
      </c>
      <c r="AA236" s="138"/>
      <c r="AB236" s="138"/>
      <c r="AC236" s="138"/>
      <c r="AD236" s="138"/>
      <c r="AE236" s="138"/>
      <c r="AF236" s="138"/>
      <c r="AG236" s="138"/>
      <c r="AH236" s="138"/>
      <c r="AI236" s="138"/>
      <c r="AJ236" s="138"/>
      <c r="AK236" s="138"/>
      <c r="AL236" s="138"/>
      <c r="AM236" s="138"/>
      <c r="AN236" s="138"/>
      <c r="BR236" s="29"/>
      <c r="BS236" s="160" t="s">
        <v>15</v>
      </c>
      <c r="BT236" s="177">
        <f>SLOPE((DD233:DD281),($B$46:$B$94))</f>
        <v>26.6403507677378</v>
      </c>
      <c r="BU236" s="178">
        <f>INTERCEPT(DJ233:DJ281,DI233:DI281)</f>
        <v>568.93978059859478</v>
      </c>
      <c r="BV236" s="137" t="s">
        <v>71</v>
      </c>
      <c r="BY236" s="29"/>
      <c r="BZ236" s="160" t="s">
        <v>15</v>
      </c>
      <c r="CA236" s="177">
        <f ca="1">INDEX(LINEST((INDIRECT(DI230):INDIRECT(DJ230)),(INDIRECT(DI231):INDIRECT(DJ231))^{1,2}),1)</f>
        <v>-0.11209878184079997</v>
      </c>
      <c r="CB236" s="179">
        <f ca="1">INDEX(LINEST((INDIRECT(DI230):INDIRECT(DJ230)),(INDIRECT(DI231):INDIRECT(DJ231))^{1,2}),1,2)</f>
        <v>30.227511786643401</v>
      </c>
      <c r="CC236" s="178">
        <f ca="1">INDEX(LINEST((INDIRECT(DI230):INDIRECT(DJ230)),(INDIRECT(DI231):INDIRECT(DJ231))^{1,2}),1,3)</f>
        <v>549.21039499461392</v>
      </c>
      <c r="CD236" s="137" t="s">
        <v>71</v>
      </c>
      <c r="CG236" s="29"/>
      <c r="CH236" s="160" t="s">
        <v>15</v>
      </c>
      <c r="CI236" s="177">
        <f ca="1">INDEX(LINEST((INDIRECT(DI230):INDIRECT(DJ230)),(INDIRECT(DI231):INDIRECT(DJ231))^{1,2,3}),1)</f>
        <v>-6.6783760787978126E-3</v>
      </c>
      <c r="CJ236" s="179">
        <f ca="1">INDEX(LINEST((INDIRECT(DI230):INDIRECT(DJ230)),(INDIRECT(DI231):INDIRECT(DJ231))^{1,2,3}),1,2)</f>
        <v>0.20846326994149528</v>
      </c>
      <c r="CK236" s="179">
        <f ca="1">INDEX(LINEST((INDIRECT(DI230):INDIRECT(DJ230)),(INDIRECT(DI231):INDIRECT(DJ231))^{1,2,3}),1,3)</f>
        <v>26.058869438257794</v>
      </c>
      <c r="CL236" s="178">
        <f ca="1">INDEX(LINEST((INDIRECT(DI230):INDIRECT(DJ230)),(INDIRECT(DI231):INDIRECT(DJ231))^{1,2,3}),1,4)</f>
        <v>561.19941573127187</v>
      </c>
      <c r="CM236" s="137" t="s">
        <v>71</v>
      </c>
      <c r="CP236" s="29"/>
      <c r="CQ236" s="160" t="s">
        <v>15</v>
      </c>
      <c r="CR236" s="177">
        <f ca="1">EXP(INDEX(LINEST(LN(INDIRECT(DI230):INDIRECT(DJ230)),(INDIRECT(DI231):INDIRECT(DJ231))),1,2))</f>
        <v>616.91671015086558</v>
      </c>
      <c r="CS236" s="178">
        <f ca="1">INDEX(LINEST(LN(INDIRECT(DI230):INDIRECT(DJ230)),(INDIRECT(DI231):INDIRECT(DJ231))),1)</f>
        <v>2.7965684559019811E-2</v>
      </c>
      <c r="CT236" s="137" t="s">
        <v>71</v>
      </c>
      <c r="CZ236" s="164" t="b">
        <f t="shared" si="114"/>
        <v>1</v>
      </c>
      <c r="DA236" s="165" t="b">
        <f t="shared" si="114"/>
        <v>1</v>
      </c>
      <c r="DB236" s="166" t="b">
        <f t="shared" si="114"/>
        <v>1</v>
      </c>
      <c r="DC236" s="164">
        <f t="shared" si="115"/>
        <v>1</v>
      </c>
      <c r="DD236" s="166">
        <f t="shared" si="116"/>
        <v>586.83779622232203</v>
      </c>
      <c r="DE236" s="164">
        <f t="shared" si="117"/>
        <v>1</v>
      </c>
      <c r="DF236" s="166">
        <f t="shared" si="118"/>
        <v>817.80896952164392</v>
      </c>
      <c r="DG236" s="164">
        <f t="shared" si="119"/>
        <v>1</v>
      </c>
      <c r="DH236" s="166">
        <f t="shared" si="120"/>
        <v>1048.7801428209657</v>
      </c>
      <c r="DI236" s="164">
        <f>IFERROR(INDEX(DC$233:DC$281,_xlfn.AGGREGATE(15,6,(ROW(DC$233:DC$281)-ROW(DC$233)+1)/(DC$233:DC$281&lt;&gt;""),ROWS(DI$1:DI4))),"")</f>
        <v>4</v>
      </c>
      <c r="DJ236" s="165">
        <f>IFERROR(INDEX(DD$233:DD$281,_xlfn.AGGREGATE(15,6,(ROW(DD$233:DD$281)-ROW(DD$233)+1)/(DD$233:DD$281&lt;&gt;""),ROWS(DJ$1:DJ4))),"")</f>
        <v>668.68237754874337</v>
      </c>
      <c r="DK236" s="166">
        <f t="shared" si="121"/>
        <v>236</v>
      </c>
      <c r="DL236" s="164">
        <f>IFERROR(INDEX(DE$233:DE$281,_xlfn.AGGREGATE(15,6,(ROW(DE$233:DE$281)-ROW(DE$233)+1)/(DE$233:DE$281&lt;&gt;""),ROWS(DL$1:DL4))),"")</f>
        <v>4</v>
      </c>
      <c r="DM236" s="165">
        <f>IFERROR(INDEX(DF$233:DF$281,_xlfn.AGGREGATE(15,6,(ROW(DF$233:DF$281)-ROW(DF$233)+1)/(DF$233:DF$281&lt;&gt;""),ROWS(DM$1:DM4))),"")</f>
        <v>903.46564426324824</v>
      </c>
      <c r="DN236" s="166">
        <f t="shared" si="122"/>
        <v>236</v>
      </c>
      <c r="DO236" s="164">
        <f>IFERROR(INDEX(DG$233:DG$281,_xlfn.AGGREGATE(15,6,(ROW(DG$233:DG$281)-ROW(DG$233)+1)/(DG$233:DG$281&lt;&gt;""),ROWS(DO$1:DO4))),"")</f>
        <v>4</v>
      </c>
      <c r="DP236" s="165">
        <f>IFERROR(INDEX(DH$233:DH$281,_xlfn.AGGREGATE(15,6,(ROW(DH$233:DH$281)-ROW(DH$233)+1)/(DH$233:DH$281&lt;&gt;""),ROWS(DP$1:DP4))),"")</f>
        <v>1138.2489109777532</v>
      </c>
      <c r="DQ236" s="166">
        <f t="shared" si="123"/>
        <v>236</v>
      </c>
      <c r="DV236" s="145">
        <v>2018</v>
      </c>
      <c r="DW236" s="235">
        <f t="shared" ca="1" si="107"/>
        <v>903.21329501194452</v>
      </c>
      <c r="EA236" s="33" t="s">
        <v>85</v>
      </c>
      <c r="EB236" s="33" t="s">
        <v>84</v>
      </c>
      <c r="EC236" s="33" t="s">
        <v>82</v>
      </c>
      <c r="ED236" s="33" t="s">
        <v>83</v>
      </c>
      <c r="EE236" s="33"/>
    </row>
    <row r="237" spans="1:135" ht="13.8" x14ac:dyDescent="0.45">
      <c r="A237" s="148" t="s">
        <v>116</v>
      </c>
      <c r="B237" s="128">
        <v>2016</v>
      </c>
      <c r="C237" s="244">
        <f>'Total MSW Summaries (Archive)'!F7</f>
        <v>1051.3620817636311</v>
      </c>
      <c r="D237" s="244">
        <f>'Total MSW Summaries (Archive)'!R7</f>
        <v>584.5500159799866</v>
      </c>
      <c r="E237" s="244">
        <f>'Total MSW Summaries (Archive)'!AD7</f>
        <v>1122.3640000000003</v>
      </c>
      <c r="F237" s="244">
        <f>'Total MSW Summaries (Archive)'!AP7</f>
        <v>913.50795063944724</v>
      </c>
      <c r="G237" s="244">
        <f>'Total MSW Summaries (Archive)'!BB7</f>
        <v>564.67059380870785</v>
      </c>
      <c r="H237" s="151"/>
      <c r="I237" s="152"/>
      <c r="J237" s="159"/>
      <c r="K237" s="151"/>
      <c r="L237" s="152"/>
      <c r="M237" s="151"/>
      <c r="N237" s="29" t="s">
        <v>119</v>
      </c>
      <c r="O237" s="120"/>
      <c r="P237" s="120"/>
      <c r="Q237" s="120"/>
      <c r="R237" s="29">
        <v>2</v>
      </c>
      <c r="S237" s="238">
        <f t="shared" si="108"/>
        <v>564.67059380870785</v>
      </c>
      <c r="T237" s="238">
        <f t="shared" si="109"/>
        <v>1122.3640000000003</v>
      </c>
      <c r="U237" s="238">
        <f t="shared" si="110"/>
        <v>232.63790102761655</v>
      </c>
      <c r="V237" s="29"/>
      <c r="W237" s="238">
        <f t="shared" si="111"/>
        <v>614.6530274107381</v>
      </c>
      <c r="X237" s="238">
        <f t="shared" si="112"/>
        <v>847.29092843835463</v>
      </c>
      <c r="Y237" s="238">
        <f t="shared" si="113"/>
        <v>1079.9288294659711</v>
      </c>
      <c r="AA237" s="138"/>
      <c r="AB237" s="138"/>
      <c r="AC237" s="138"/>
      <c r="AD237" s="138"/>
      <c r="AE237" s="138"/>
      <c r="AF237" s="138"/>
      <c r="AG237" s="138"/>
      <c r="AH237" s="138"/>
      <c r="AI237" s="138"/>
      <c r="AJ237" s="138"/>
      <c r="AK237" s="138"/>
      <c r="AL237" s="138"/>
      <c r="AM237" s="138"/>
      <c r="AN237" s="138"/>
      <c r="BR237" s="180">
        <v>2014</v>
      </c>
      <c r="BS237" s="22">
        <v>0</v>
      </c>
      <c r="BT237" s="181">
        <f t="shared" ref="BT237:BT283" si="124">IF($BS$233="High",BS237*$BT$234,IF($BS$233="Medium",$BT$235*BS237,IF($BS$233="Low",$BT$236*BS237)))</f>
        <v>0</v>
      </c>
      <c r="BU237" s="182">
        <f t="shared" ref="BU237:BU283" si="125">IF($BS$233="High",$BU$234,IF($BS$233="Medium",$BU$235,IF($BS$233="Low",BU236)))</f>
        <v>792.15106583111492</v>
      </c>
      <c r="BV237" s="242">
        <f t="shared" ref="BV237:BV283" si="126">BT237+BU237</f>
        <v>792.15106583111492</v>
      </c>
      <c r="BY237" s="180">
        <v>2014</v>
      </c>
      <c r="BZ237" s="22">
        <v>0</v>
      </c>
      <c r="CA237" s="181">
        <f t="shared" ref="CA237:CA283" ca="1" si="127">IF($BZ$233="High",BZ237^2*$CA$234,IF($BZ$233="Medium",BZ237^2*$CA$235,IF($BZ$233="Low",BZ237^2*$CA$236)))</f>
        <v>0</v>
      </c>
      <c r="CB237" s="181">
        <f t="shared" ref="CB237:CB283" ca="1" si="128">IF($BZ$233="High",BZ237*$CB$234,IF($BZ$233="Medium",BZ237*$CB$235,IF($BZ$233="Low",BZ237*$CB$236)))</f>
        <v>0</v>
      </c>
      <c r="CC237" s="182">
        <f t="shared" ref="CC237:CC283" ca="1" si="129">IF($BZ$233="High",$CC$234,IF($BZ$233="Medium",$CC$235,IF($BZ$233="Low",$CC$236)))</f>
        <v>786.58776092536436</v>
      </c>
      <c r="CD237" s="242">
        <f t="shared" ref="CD237:CD283" ca="1" si="130">CA237+CB237+CC237</f>
        <v>786.58776092536436</v>
      </c>
      <c r="CG237" s="180">
        <v>2014</v>
      </c>
      <c r="CH237" s="22">
        <v>0</v>
      </c>
      <c r="CI237" s="181">
        <f t="shared" ref="CI237:CI283" ca="1" si="131">IF($CH$233="High",CH237^3*$CI$234,IF($CH$233="Medium",CH237^3*$CI$235,IF($CH$233="Low",CH237^3*$CI$236)))</f>
        <v>0</v>
      </c>
      <c r="CJ237" s="181">
        <f t="shared" ref="CJ237:CJ283" ca="1" si="132">IF($CH$233="High",CH237^2*$CJ$234,IF($CH$233="Medium",CH237^2*$CJ$235,IF($CH$233="Low",CH237^2*$CJ$236)))</f>
        <v>0</v>
      </c>
      <c r="CK237" s="181">
        <f t="shared" ref="CK237:CK283" ca="1" si="133">IF($CH$233="High",CH237*$CK$234,IF($CH$233="Medium",CH237*$CK$235,IF($CH$233="Low",CH237*$CK$236)))</f>
        <v>0</v>
      </c>
      <c r="CL237" s="182">
        <f t="shared" ref="CL237:CL283" ca="1" si="134">IF($CH$233="High",$CL$234,IF($CH$233="Medium",$CL$235,IF($CH$233="Low",$CL$236)))</f>
        <v>790.38110249476222</v>
      </c>
      <c r="CM237" s="242">
        <f t="shared" ref="CM237:CM283" ca="1" si="135">CI237+CJ237+CK237+CL237</f>
        <v>790.38110249476222</v>
      </c>
      <c r="CP237" s="180">
        <v>2014</v>
      </c>
      <c r="CQ237" s="22">
        <v>0</v>
      </c>
      <c r="CR237" s="181">
        <f t="shared" ref="CR237:CR283" ca="1" si="136">IF($CQ$233="High",$CR$234,IF($CQ$233="Medium",$CR$235,IF($CQ$233="Low",$CR$236)))</f>
        <v>838.30460332471296</v>
      </c>
      <c r="CS237" s="182">
        <f t="shared" ref="CS237:CS283" ca="1" si="137">IF($CQ$233="High",EXP(1)^($CS$234*CQ237),IF($CQ$233="Medium",EXP(1)^($CS$235*CQ237),IF($CQ$233="Low",EXP(1)^($CS$236*CQ237))))</f>
        <v>1</v>
      </c>
      <c r="CT237" s="242">
        <f t="shared" ref="CT237:CT283" ca="1" si="138">(CR237*CS237)</f>
        <v>838.30460332471296</v>
      </c>
      <c r="CZ237" s="164" t="b">
        <f t="shared" si="114"/>
        <v>1</v>
      </c>
      <c r="DA237" s="165" t="b">
        <f t="shared" si="114"/>
        <v>1</v>
      </c>
      <c r="DB237" s="166" t="b">
        <f t="shared" si="114"/>
        <v>1</v>
      </c>
      <c r="DC237" s="164">
        <f t="shared" si="115"/>
        <v>2</v>
      </c>
      <c r="DD237" s="166">
        <f t="shared" si="116"/>
        <v>614.6530274107381</v>
      </c>
      <c r="DE237" s="164">
        <f t="shared" si="117"/>
        <v>2</v>
      </c>
      <c r="DF237" s="166">
        <f t="shared" si="118"/>
        <v>847.29092843835463</v>
      </c>
      <c r="DG237" s="164">
        <f t="shared" si="119"/>
        <v>2</v>
      </c>
      <c r="DH237" s="166">
        <f t="shared" si="120"/>
        <v>1079.9288294659711</v>
      </c>
      <c r="DI237" s="164">
        <f>IFERROR(INDEX(DC$233:DC$281,_xlfn.AGGREGATE(15,6,(ROW(DC$233:DC$281)-ROW(DC$233)+1)/(DC$233:DC$281&lt;&gt;""),ROWS(DI$1:DI5))),"")</f>
        <v>5</v>
      </c>
      <c r="DJ237" s="165">
        <f>IFERROR(INDEX(DD$233:DD$281,_xlfn.AGGREGATE(15,6,(ROW(DD$233:DD$281)-ROW(DD$233)+1)/(DD$233:DD$281&lt;&gt;""),ROWS(DJ$1:DJ5))),"")</f>
        <v>696.01938910465606</v>
      </c>
      <c r="DK237" s="166">
        <f t="shared" si="121"/>
        <v>237</v>
      </c>
      <c r="DL237" s="164">
        <f>IFERROR(INDEX(DE$233:DE$281,_xlfn.AGGREGATE(15,6,(ROW(DE$233:DE$281)-ROW(DE$233)+1)/(DE$233:DE$281&lt;&gt;""),ROWS(DL$1:DL5))),"")</f>
        <v>5</v>
      </c>
      <c r="DM237" s="165">
        <f>IFERROR(INDEX(DF$233:DF$281,_xlfn.AGGREGATE(15,6,(ROW(DF$233:DF$281)-ROW(DF$233)+1)/(DF$233:DF$281&lt;&gt;""),ROWS(DM$1:DM5))),"")</f>
        <v>931.69775210019884</v>
      </c>
      <c r="DN237" s="166">
        <f t="shared" si="122"/>
        <v>237</v>
      </c>
      <c r="DO237" s="164">
        <f>IFERROR(INDEX(DG$233:DG$281,_xlfn.AGGREGATE(15,6,(ROW(DG$233:DG$281)-ROW(DG$233)+1)/(DG$233:DG$281&lt;&gt;""),ROWS(DO$1:DO5))),"")</f>
        <v>5</v>
      </c>
      <c r="DP237" s="165">
        <f>IFERROR(INDEX(DH$233:DH$281,_xlfn.AGGREGATE(15,6,(ROW(DH$233:DH$281)-ROW(DH$233)+1)/(DH$233:DH$281&lt;&gt;""),ROWS(DP$1:DP5))),"")</f>
        <v>1167.3761150957416</v>
      </c>
      <c r="DQ237" s="166">
        <f t="shared" si="123"/>
        <v>237</v>
      </c>
      <c r="DV237" s="145">
        <v>2019</v>
      </c>
      <c r="DW237" s="235">
        <f t="shared" ca="1" si="107"/>
        <v>931.67533882742509</v>
      </c>
      <c r="DZ237" s="135" t="s">
        <v>92</v>
      </c>
      <c r="EA237" s="33">
        <f ca="1">IF($EA$231="Linear",0,IF($EA$231="2nd Poly",0,IF($EA$231="3rd Poly",CI234,IF($EA$231="Exp",0))))</f>
        <v>2.4522825300037289E-3</v>
      </c>
      <c r="EB237" s="33">
        <f ca="1">IF($EA$231="Linear",0,IF($EA$231="2nd Poly",CA234,IF($EA$231="3rd Poly",CJ234,IF($EA$231="Exp",0))))</f>
        <v>-6.8830153528362303E-2</v>
      </c>
      <c r="EC237" s="33">
        <f t="shared" ref="EC237:ED239" ca="1" si="139">IF($EA$231="Linear",BT234,IF($EA$231="2nd Poly",CB234,IF($EA$231="3rd Poly",CK234,IF($EA$231="Exp",0))))</f>
        <v>29.866311851461639</v>
      </c>
      <c r="ED237" s="33">
        <f t="shared" ca="1" si="139"/>
        <v>1019.5627892582525</v>
      </c>
      <c r="EE237" s="33" t="str">
        <f>IF($EA$231="Linear","High",IF($EA$231="2nd Poly","High",IF($EA$231="3rd Poly","High","N/A")))</f>
        <v>High</v>
      </c>
    </row>
    <row r="238" spans="1:135" ht="13.8" x14ac:dyDescent="0.45">
      <c r="A238" s="262" t="s">
        <v>90</v>
      </c>
      <c r="B238" s="128">
        <v>2017</v>
      </c>
      <c r="C238" s="244">
        <f>'Total MSW Summaries (Archive)'!F8</f>
        <v>1076.3703473757512</v>
      </c>
      <c r="D238" s="244">
        <f>'Total MSW Summaries (Archive)'!R8</f>
        <v>617.43355237971957</v>
      </c>
      <c r="E238" s="244">
        <f>'Total MSW Summaries (Archive)'!AD8</f>
        <v>1153.0360000000003</v>
      </c>
      <c r="F238" s="244">
        <f>'Total MSW Summaries (Archive)'!AP8</f>
        <v>944.87466977884446</v>
      </c>
      <c r="G238" s="244">
        <f>'Total MSW Summaries (Archive)'!BB8</f>
        <v>584.88218493876889</v>
      </c>
      <c r="H238" s="169"/>
      <c r="I238" s="170"/>
      <c r="J238" s="168"/>
      <c r="K238" s="169"/>
      <c r="L238" s="170"/>
      <c r="M238" s="169"/>
      <c r="N238" s="29" t="s">
        <v>119</v>
      </c>
      <c r="O238" s="120"/>
      <c r="P238" s="120"/>
      <c r="Q238" s="120"/>
      <c r="R238" s="29">
        <v>3</v>
      </c>
      <c r="S238" s="238">
        <f t="shared" si="108"/>
        <v>584.88218493876889</v>
      </c>
      <c r="T238" s="238">
        <f t="shared" si="109"/>
        <v>1153.0360000000003</v>
      </c>
      <c r="U238" s="238">
        <f t="shared" si="110"/>
        <v>233.77117666880849</v>
      </c>
      <c r="V238" s="29"/>
      <c r="W238" s="238">
        <f t="shared" si="111"/>
        <v>641.54817422580845</v>
      </c>
      <c r="X238" s="238">
        <f t="shared" si="112"/>
        <v>875.31935089461695</v>
      </c>
      <c r="Y238" s="238">
        <f t="shared" si="113"/>
        <v>1109.0905275634254</v>
      </c>
      <c r="AA238" s="138"/>
      <c r="AB238" s="138"/>
      <c r="AC238" s="138"/>
      <c r="AD238" s="138"/>
      <c r="AE238" s="138"/>
      <c r="AF238" s="138"/>
      <c r="AG238" s="138"/>
      <c r="AH238" s="138"/>
      <c r="AI238" s="138"/>
      <c r="AJ238" s="138"/>
      <c r="AK238" s="138"/>
      <c r="AL238" s="138"/>
      <c r="AM238" s="138"/>
      <c r="AN238" s="138"/>
      <c r="BR238" s="180">
        <v>2015</v>
      </c>
      <c r="BS238" s="22">
        <v>1</v>
      </c>
      <c r="BT238" s="181">
        <f t="shared" si="124"/>
        <v>28.27004445857462</v>
      </c>
      <c r="BU238" s="182">
        <f t="shared" si="125"/>
        <v>792.15106583111492</v>
      </c>
      <c r="BV238" s="242">
        <f t="shared" si="126"/>
        <v>820.42111028968952</v>
      </c>
      <c r="BY238" s="180">
        <v>2015</v>
      </c>
      <c r="BZ238" s="22">
        <v>1</v>
      </c>
      <c r="CA238" s="181">
        <f t="shared" ca="1" si="127"/>
        <v>-3.1609686964491499E-2</v>
      </c>
      <c r="CB238" s="181">
        <f t="shared" ca="1" si="128"/>
        <v>29.281554441438342</v>
      </c>
      <c r="CC238" s="182">
        <f t="shared" ca="1" si="129"/>
        <v>786.58776092536436</v>
      </c>
      <c r="CD238" s="242">
        <f t="shared" ca="1" si="130"/>
        <v>815.83770567983822</v>
      </c>
      <c r="CG238" s="180">
        <v>2015</v>
      </c>
      <c r="CH238" s="22">
        <v>1</v>
      </c>
      <c r="CI238" s="181">
        <f t="shared" ca="1" si="131"/>
        <v>-2.113046774397118E-3</v>
      </c>
      <c r="CJ238" s="181">
        <f t="shared" ca="1" si="132"/>
        <v>6.9816558206570789E-2</v>
      </c>
      <c r="CK238" s="181">
        <f t="shared" ca="1" si="133"/>
        <v>27.962590644859645</v>
      </c>
      <c r="CL238" s="182">
        <f t="shared" ca="1" si="134"/>
        <v>790.38110249476222</v>
      </c>
      <c r="CM238" s="242">
        <f t="shared" ca="1" si="135"/>
        <v>818.41139665105402</v>
      </c>
      <c r="CP238" s="180">
        <v>2015</v>
      </c>
      <c r="CQ238" s="22">
        <v>1</v>
      </c>
      <c r="CR238" s="181">
        <f t="shared" ca="1" si="136"/>
        <v>838.30460332471296</v>
      </c>
      <c r="CS238" s="182">
        <f t="shared" ca="1" si="137"/>
        <v>1.0236221515752961</v>
      </c>
      <c r="CT238" s="242">
        <f t="shared" ca="1" si="138"/>
        <v>858.10716173071785</v>
      </c>
      <c r="CZ238" s="164" t="b">
        <f t="shared" si="114"/>
        <v>1</v>
      </c>
      <c r="DA238" s="165" t="b">
        <f t="shared" si="114"/>
        <v>1</v>
      </c>
      <c r="DB238" s="166" t="b">
        <f t="shared" si="114"/>
        <v>1</v>
      </c>
      <c r="DC238" s="164">
        <f t="shared" si="115"/>
        <v>3</v>
      </c>
      <c r="DD238" s="166">
        <f t="shared" si="116"/>
        <v>641.54817422580845</v>
      </c>
      <c r="DE238" s="164">
        <f t="shared" si="117"/>
        <v>3</v>
      </c>
      <c r="DF238" s="166">
        <f t="shared" si="118"/>
        <v>875.31935089461695</v>
      </c>
      <c r="DG238" s="164">
        <f t="shared" si="119"/>
        <v>3</v>
      </c>
      <c r="DH238" s="166">
        <f t="shared" si="120"/>
        <v>1109.0905275634254</v>
      </c>
      <c r="DI238" s="164">
        <f>IFERROR(INDEX(DC$233:DC$281,_xlfn.AGGREGATE(15,6,(ROW(DC$233:DC$281)-ROW(DC$233)+1)/(DC$233:DC$281&lt;&gt;""),ROWS(DI$1:DI6))),"")</f>
        <v>6</v>
      </c>
      <c r="DJ238" s="165">
        <f>IFERROR(INDEX(DD$233:DD$281,_xlfn.AGGREGATE(15,6,(ROW(DD$233:DD$281)-ROW(DD$233)+1)/(DD$233:DD$281&lt;&gt;""),ROWS(DJ$1:DJ6))),"")</f>
        <v>723.46949154742288</v>
      </c>
      <c r="DK238" s="166">
        <f t="shared" si="121"/>
        <v>238</v>
      </c>
      <c r="DL238" s="164">
        <f>IFERROR(INDEX(DE$233:DE$281,_xlfn.AGGREGATE(15,6,(ROW(DE$233:DE$281)-ROW(DE$233)+1)/(DE$233:DE$281&lt;&gt;""),ROWS(DL$1:DL6))),"")</f>
        <v>6</v>
      </c>
      <c r="DM238" s="165">
        <f>IFERROR(INDEX(DF$233:DF$281,_xlfn.AGGREGATE(15,6,(ROW(DF$233:DF$281)-ROW(DF$233)+1)/(DF$233:DF$281&lt;&gt;""),ROWS(DM$1:DM6))),"")</f>
        <v>959.90753954617628</v>
      </c>
      <c r="DN238" s="166">
        <f t="shared" si="122"/>
        <v>238</v>
      </c>
      <c r="DO238" s="164">
        <f>IFERROR(INDEX(DG$233:DG$281,_xlfn.AGGREGATE(15,6,(ROW(DG$233:DG$281)-ROW(DG$233)+1)/(DG$233:DG$281&lt;&gt;""),ROWS(DO$1:DO6))),"")</f>
        <v>6</v>
      </c>
      <c r="DP238" s="165">
        <f>IFERROR(INDEX(DH$233:DH$281,_xlfn.AGGREGATE(15,6,(ROW(DH$233:DH$281)-ROW(DH$233)+1)/(DH$233:DH$281&lt;&gt;""),ROWS(DP$1:DP6))),"")</f>
        <v>1196.3455875449297</v>
      </c>
      <c r="DQ238" s="166">
        <f t="shared" si="123"/>
        <v>238</v>
      </c>
      <c r="DV238" s="145">
        <v>2020</v>
      </c>
      <c r="DW238" s="235">
        <f t="shared" ca="1" si="107"/>
        <v>960.21362435608683</v>
      </c>
      <c r="DZ238" s="135" t="s">
        <v>92</v>
      </c>
      <c r="EA238" s="33">
        <f ca="1">IF($EA$231="Linear",0,IF($EA$231="2nd Poly",0,IF($EA$231="3rd Poly",CI235,IF($EA$231="Exp",0))))</f>
        <v>-2.113046774397118E-3</v>
      </c>
      <c r="EB238" s="33">
        <f ca="1">IF($EA$231="Linear",0,IF($EA$231="2nd Poly",CA235,IF($EA$231="3rd Poly",CJ235,IF($EA$231="Exp",0))))</f>
        <v>6.9816558206570789E-2</v>
      </c>
      <c r="EC238" s="33">
        <f t="shared" ca="1" si="139"/>
        <v>27.962590644859645</v>
      </c>
      <c r="ED238" s="33">
        <f t="shared" ca="1" si="139"/>
        <v>790.38110249476222</v>
      </c>
      <c r="EE238" s="33" t="str">
        <f>IF($EA$231="Linear","Medium",IF($EA$231="2nd Poly","Medium",IF($EA$231="3rd Poly","Medium","N/A")))</f>
        <v>Medium</v>
      </c>
    </row>
    <row r="239" spans="1:135" ht="13.8" x14ac:dyDescent="0.45">
      <c r="A239" s="262" t="s">
        <v>80</v>
      </c>
      <c r="B239" s="128">
        <v>2018</v>
      </c>
      <c r="C239" s="244">
        <f>'Total MSW Summaries (Archive)'!F9</f>
        <v>1101.4346491823837</v>
      </c>
      <c r="D239" s="244">
        <f>'Total MSW Summaries (Archive)'!R9</f>
        <v>651.23213778112768</v>
      </c>
      <c r="E239" s="244">
        <f>'Total MSW Summaries (Archive)'!AD9</f>
        <v>1183.7080000000003</v>
      </c>
      <c r="F239" s="244">
        <f>'Total MSW Summaries (Archive)'!AP9</f>
        <v>975.85965828389897</v>
      </c>
      <c r="G239" s="244">
        <f>'Total MSW Summaries (Archive)'!BB9</f>
        <v>605.09377606882992</v>
      </c>
      <c r="H239" s="151"/>
      <c r="I239" s="152"/>
      <c r="J239" s="159"/>
      <c r="K239" s="151"/>
      <c r="L239" s="152"/>
      <c r="M239" s="151"/>
      <c r="N239" s="29" t="s">
        <v>119</v>
      </c>
      <c r="O239" s="120"/>
      <c r="P239" s="120"/>
      <c r="Q239" s="120"/>
      <c r="R239" s="29">
        <v>4</v>
      </c>
      <c r="S239" s="238">
        <f t="shared" si="108"/>
        <v>605.09377606882992</v>
      </c>
      <c r="T239" s="238">
        <f t="shared" si="109"/>
        <v>1183.7080000000003</v>
      </c>
      <c r="U239" s="238">
        <f t="shared" si="110"/>
        <v>234.78326671450489</v>
      </c>
      <c r="V239" s="20"/>
      <c r="W239" s="238">
        <f t="shared" si="111"/>
        <v>668.68237754874337</v>
      </c>
      <c r="X239" s="238">
        <f t="shared" si="112"/>
        <v>903.46564426324824</v>
      </c>
      <c r="Y239" s="238">
        <f t="shared" si="113"/>
        <v>1138.2489109777532</v>
      </c>
      <c r="AA239" s="138"/>
      <c r="AB239" s="138"/>
      <c r="AC239" s="138"/>
      <c r="AD239" s="138"/>
      <c r="AE239" s="138"/>
      <c r="AF239" s="138"/>
      <c r="AG239" s="138"/>
      <c r="AH239" s="138"/>
      <c r="AI239" s="138"/>
      <c r="AJ239" s="138"/>
      <c r="AK239" s="138"/>
      <c r="AL239" s="138"/>
      <c r="AM239" s="138"/>
      <c r="AN239" s="138"/>
      <c r="BR239" s="180">
        <v>2016</v>
      </c>
      <c r="BS239" s="22">
        <v>2</v>
      </c>
      <c r="BT239" s="181">
        <f t="shared" si="124"/>
        <v>56.540088917149241</v>
      </c>
      <c r="BU239" s="182">
        <f t="shared" si="125"/>
        <v>792.15106583111492</v>
      </c>
      <c r="BV239" s="241">
        <f t="shared" si="126"/>
        <v>848.69115474826413</v>
      </c>
      <c r="BY239" s="180">
        <v>2016</v>
      </c>
      <c r="BZ239" s="22">
        <v>2</v>
      </c>
      <c r="CA239" s="181">
        <f t="shared" ca="1" si="127"/>
        <v>-0.12643874785796599</v>
      </c>
      <c r="CB239" s="181">
        <f t="shared" ca="1" si="128"/>
        <v>58.563108882876683</v>
      </c>
      <c r="CC239" s="182">
        <f t="shared" ca="1" si="129"/>
        <v>786.58776092536436</v>
      </c>
      <c r="CD239" s="241">
        <f t="shared" ca="1" si="130"/>
        <v>845.02443106038311</v>
      </c>
      <c r="CG239" s="180">
        <v>2016</v>
      </c>
      <c r="CH239" s="22">
        <v>2</v>
      </c>
      <c r="CI239" s="181">
        <f t="shared" ca="1" si="131"/>
        <v>-1.6904374195176944E-2</v>
      </c>
      <c r="CJ239" s="181">
        <f t="shared" ca="1" si="132"/>
        <v>0.27926623282628316</v>
      </c>
      <c r="CK239" s="181">
        <f t="shared" ca="1" si="133"/>
        <v>55.925181289719291</v>
      </c>
      <c r="CL239" s="182">
        <f t="shared" ca="1" si="134"/>
        <v>790.38110249476222</v>
      </c>
      <c r="CM239" s="241">
        <f t="shared" ca="1" si="135"/>
        <v>846.56864564311263</v>
      </c>
      <c r="CP239" s="180">
        <v>2016</v>
      </c>
      <c r="CQ239" s="22">
        <v>2</v>
      </c>
      <c r="CR239" s="181">
        <f t="shared" ca="1" si="136"/>
        <v>838.30460332471296</v>
      </c>
      <c r="CS239" s="182">
        <f t="shared" ca="1" si="137"/>
        <v>1.0478023091956388</v>
      </c>
      <c r="CT239" s="241">
        <f t="shared" ca="1" si="138"/>
        <v>878.37749917296821</v>
      </c>
      <c r="CZ239" s="164" t="b">
        <f t="shared" si="114"/>
        <v>1</v>
      </c>
      <c r="DA239" s="165" t="b">
        <f t="shared" si="114"/>
        <v>1</v>
      </c>
      <c r="DB239" s="166" t="b">
        <f t="shared" si="114"/>
        <v>1</v>
      </c>
      <c r="DC239" s="164">
        <f t="shared" si="115"/>
        <v>4</v>
      </c>
      <c r="DD239" s="166">
        <f t="shared" si="116"/>
        <v>668.68237754874337</v>
      </c>
      <c r="DE239" s="164">
        <f t="shared" si="117"/>
        <v>4</v>
      </c>
      <c r="DF239" s="166">
        <f t="shared" si="118"/>
        <v>903.46564426324824</v>
      </c>
      <c r="DG239" s="164">
        <f t="shared" si="119"/>
        <v>4</v>
      </c>
      <c r="DH239" s="166">
        <f t="shared" si="120"/>
        <v>1138.2489109777532</v>
      </c>
      <c r="DI239" s="164">
        <f>IFERROR(INDEX(DC$233:DC$281,_xlfn.AGGREGATE(15,6,(ROW(DC$233:DC$281)-ROW(DC$233)+1)/(DC$233:DC$281&lt;&gt;""),ROWS(DI$1:DI7))),"")</f>
        <v>7</v>
      </c>
      <c r="DJ239" s="165">
        <f>IFERROR(INDEX(DD$233:DD$281,_xlfn.AGGREGATE(15,6,(ROW(DD$233:DD$281)-ROW(DD$233)+1)/(DD$233:DD$281&lt;&gt;""),ROWS(DJ$1:DJ7))),"")</f>
        <v>751.16280370091249</v>
      </c>
      <c r="DK239" s="166">
        <f t="shared" si="121"/>
        <v>239</v>
      </c>
      <c r="DL239" s="164">
        <f>IFERROR(INDEX(DE$233:DE$281,_xlfn.AGGREGATE(15,6,(ROW(DE$233:DE$281)-ROW(DE$233)+1)/(DE$233:DE$281&lt;&gt;""),ROWS(DL$1:DL7))),"")</f>
        <v>7</v>
      </c>
      <c r="DM239" s="165">
        <f>IFERROR(INDEX(DF$233:DF$281,_xlfn.AGGREGATE(15,6,(ROW(DF$233:DF$281)-ROW(DF$233)+1)/(DF$233:DF$281&lt;&gt;""),ROWS(DM$1:DM7))),"")</f>
        <v>988.31381649289301</v>
      </c>
      <c r="DN239" s="166">
        <f t="shared" si="122"/>
        <v>239</v>
      </c>
      <c r="DO239" s="164">
        <f>IFERROR(INDEX(DG$233:DG$281,_xlfn.AGGREGATE(15,6,(ROW(DG$233:DG$281)-ROW(DG$233)+1)/(DG$233:DG$281&lt;&gt;""),ROWS(DO$1:DO7))),"")</f>
        <v>7</v>
      </c>
      <c r="DP239" s="165">
        <f>IFERROR(INDEX(DH$233:DH$281,_xlfn.AGGREGATE(15,6,(ROW(DH$233:DH$281)-ROW(DH$233)+1)/(DH$233:DH$281&lt;&gt;""),ROWS(DP$1:DP7))),"")</f>
        <v>1225.4648292848735</v>
      </c>
      <c r="DQ239" s="166">
        <f t="shared" si="123"/>
        <v>239</v>
      </c>
      <c r="DV239" s="145">
        <v>2021</v>
      </c>
      <c r="DW239" s="235">
        <f t="shared" ca="1" si="107"/>
        <v>988.81547331728348</v>
      </c>
      <c r="DZ239" s="135" t="s">
        <v>92</v>
      </c>
      <c r="EA239" s="33">
        <f ca="1">IF($EA$231="Linear",0,IF($EA$231="2nd Poly",0,IF($EA$231="3rd Poly",CI236,IF($EA$231="Exp",0))))</f>
        <v>-6.6783760787978126E-3</v>
      </c>
      <c r="EB239" s="33">
        <f ca="1">IF($EA$231="Linear",0,IF($EA$231="2nd Poly",CA236,IF($EA$231="3rd Poly",CJ236,IF($EA$231="Exp",0))))</f>
        <v>0.20846326994149528</v>
      </c>
      <c r="EC239" s="33">
        <f t="shared" ca="1" si="139"/>
        <v>26.058869438257794</v>
      </c>
      <c r="ED239" s="33">
        <f t="shared" ca="1" si="139"/>
        <v>561.19941573127187</v>
      </c>
      <c r="EE239" s="33" t="str">
        <f>IF($EA$231="Linear","Low",IF($EA$231="2nd Poly","Low",IF($EA$231="3rd Poly","Low","N/A")))</f>
        <v>Low</v>
      </c>
    </row>
    <row r="240" spans="1:135" ht="13.8" x14ac:dyDescent="0.45">
      <c r="A240" s="148" t="s">
        <v>88</v>
      </c>
      <c r="B240" s="128">
        <v>2019</v>
      </c>
      <c r="C240" s="244">
        <f>'Total MSW Summaries (Archive)'!F10</f>
        <v>1126.4979888300531</v>
      </c>
      <c r="D240" s="244">
        <f>'Total MSW Summaries (Archive)'!R10</f>
        <v>685.91403059967797</v>
      </c>
      <c r="E240" s="244">
        <f>'Total MSW Summaries (Archive)'!AD10</f>
        <v>1214.3800000000003</v>
      </c>
      <c r="F240" s="244">
        <f>'Total MSW Summaries (Archive)'!AP10</f>
        <v>1006.3913738723721</v>
      </c>
      <c r="G240" s="244">
        <f>'Total MSW Summaries (Archive)'!BB10</f>
        <v>625.30536719889096</v>
      </c>
      <c r="H240" s="151"/>
      <c r="I240" s="152"/>
      <c r="J240" s="159"/>
      <c r="K240" s="151"/>
      <c r="L240" s="152"/>
      <c r="M240" s="151"/>
      <c r="N240" s="29" t="s">
        <v>119</v>
      </c>
      <c r="O240" s="120"/>
      <c r="P240" s="120"/>
      <c r="Q240" s="120"/>
      <c r="R240" s="29">
        <v>5</v>
      </c>
      <c r="S240" s="238">
        <f t="shared" si="108"/>
        <v>625.30536719889096</v>
      </c>
      <c r="T240" s="238">
        <f t="shared" si="109"/>
        <v>1214.3800000000003</v>
      </c>
      <c r="U240" s="238">
        <f t="shared" si="110"/>
        <v>235.67836299554281</v>
      </c>
      <c r="V240" s="20"/>
      <c r="W240" s="238">
        <f t="shared" si="111"/>
        <v>696.01938910465606</v>
      </c>
      <c r="X240" s="238">
        <f t="shared" si="112"/>
        <v>931.69775210019884</v>
      </c>
      <c r="Y240" s="238">
        <f t="shared" si="113"/>
        <v>1167.3761150957416</v>
      </c>
      <c r="AA240" s="138"/>
      <c r="AB240" s="138"/>
      <c r="AC240" s="138"/>
      <c r="AD240" s="138"/>
      <c r="AE240" s="138"/>
      <c r="AF240" s="138"/>
      <c r="AG240" s="138"/>
      <c r="AH240" s="138"/>
      <c r="AI240" s="138"/>
      <c r="AJ240" s="138"/>
      <c r="AK240" s="138"/>
      <c r="AL240" s="138"/>
      <c r="AM240" s="138"/>
      <c r="AN240" s="138"/>
      <c r="BR240" s="180">
        <v>2017</v>
      </c>
      <c r="BS240" s="22">
        <v>3</v>
      </c>
      <c r="BT240" s="181">
        <f t="shared" si="124"/>
        <v>84.810133375723865</v>
      </c>
      <c r="BU240" s="182">
        <f t="shared" si="125"/>
        <v>792.15106583111492</v>
      </c>
      <c r="BV240" s="242">
        <f t="shared" si="126"/>
        <v>876.96119920683873</v>
      </c>
      <c r="BY240" s="180">
        <v>2017</v>
      </c>
      <c r="BZ240" s="22">
        <v>3</v>
      </c>
      <c r="CA240" s="181">
        <f t="shared" ca="1" si="127"/>
        <v>-0.2844871826804235</v>
      </c>
      <c r="CB240" s="181">
        <f t="shared" ca="1" si="128"/>
        <v>87.844663324315022</v>
      </c>
      <c r="CC240" s="182">
        <f t="shared" ca="1" si="129"/>
        <v>786.58776092536436</v>
      </c>
      <c r="CD240" s="242">
        <f t="shared" ca="1" si="130"/>
        <v>874.14793706699902</v>
      </c>
      <c r="CG240" s="180">
        <v>2017</v>
      </c>
      <c r="CH240" s="22">
        <v>3</v>
      </c>
      <c r="CI240" s="181">
        <f t="shared" ca="1" si="131"/>
        <v>-5.7052262908722187E-2</v>
      </c>
      <c r="CJ240" s="181">
        <f t="shared" ca="1" si="132"/>
        <v>0.62834902385913716</v>
      </c>
      <c r="CK240" s="181">
        <f t="shared" ca="1" si="133"/>
        <v>83.887771934578936</v>
      </c>
      <c r="CL240" s="182">
        <f t="shared" ca="1" si="134"/>
        <v>790.38110249476222</v>
      </c>
      <c r="CM240" s="242">
        <f t="shared" ca="1" si="135"/>
        <v>874.84017119029158</v>
      </c>
      <c r="CP240" s="180">
        <v>2017</v>
      </c>
      <c r="CQ240" s="22">
        <v>3</v>
      </c>
      <c r="CR240" s="181">
        <f t="shared" ca="1" si="136"/>
        <v>838.30460332471296</v>
      </c>
      <c r="CS240" s="182">
        <f t="shared" ca="1" si="137"/>
        <v>1.0725536541644034</v>
      </c>
      <c r="CT240" s="242">
        <f t="shared" ca="1" si="138"/>
        <v>899.12666559876152</v>
      </c>
      <c r="CZ240" s="164" t="b">
        <f t="shared" si="114"/>
        <v>1</v>
      </c>
      <c r="DA240" s="165" t="b">
        <f t="shared" si="114"/>
        <v>1</v>
      </c>
      <c r="DB240" s="166" t="b">
        <f t="shared" si="114"/>
        <v>1</v>
      </c>
      <c r="DC240" s="164">
        <f t="shared" si="115"/>
        <v>5</v>
      </c>
      <c r="DD240" s="166">
        <f t="shared" si="116"/>
        <v>696.01938910465606</v>
      </c>
      <c r="DE240" s="164">
        <f t="shared" si="117"/>
        <v>5</v>
      </c>
      <c r="DF240" s="166">
        <f t="shared" si="118"/>
        <v>931.69775210019884</v>
      </c>
      <c r="DG240" s="164">
        <f t="shared" si="119"/>
        <v>5</v>
      </c>
      <c r="DH240" s="166">
        <f t="shared" si="120"/>
        <v>1167.3761150957416</v>
      </c>
      <c r="DI240" s="164">
        <f>IFERROR(INDEX(DC$233:DC$281,_xlfn.AGGREGATE(15,6,(ROW(DC$233:DC$281)-ROW(DC$233)+1)/(DC$233:DC$281&lt;&gt;""),ROWS(DI$1:DI8))),"")</f>
        <v>8</v>
      </c>
      <c r="DJ240" s="165">
        <f>IFERROR(INDEX(DD$233:DD$281,_xlfn.AGGREGATE(15,6,(ROW(DD$233:DD$281)-ROW(DD$233)+1)/(DD$233:DD$281&lt;&gt;""),ROWS(DJ$1:DJ8))),"")</f>
        <v>779.21469955661405</v>
      </c>
      <c r="DK240" s="166">
        <f t="shared" si="121"/>
        <v>240</v>
      </c>
      <c r="DL240" s="164">
        <f>IFERROR(INDEX(DE$233:DE$281,_xlfn.AGGREGATE(15,6,(ROW(DE$233:DE$281)-ROW(DE$233)+1)/(DE$233:DE$281&lt;&gt;""),ROWS(DL$1:DL8))),"")</f>
        <v>8</v>
      </c>
      <c r="DM240" s="165">
        <f>IFERROR(INDEX(DF$233:DF$281,_xlfn.AGGREGATE(15,6,(ROW(DF$233:DF$281)-ROW(DF$233)+1)/(DF$233:DF$281&lt;&gt;""),ROWS(DM$1:DM8))),"")</f>
        <v>1017.036058290821</v>
      </c>
      <c r="DN240" s="166">
        <f t="shared" si="122"/>
        <v>240</v>
      </c>
      <c r="DO240" s="164">
        <f>IFERROR(INDEX(DG$233:DG$281,_xlfn.AGGREGATE(15,6,(ROW(DG$233:DG$281)-ROW(DG$233)+1)/(DG$233:DG$281&lt;&gt;""),ROWS(DO$1:DO8))),"")</f>
        <v>8</v>
      </c>
      <c r="DP240" s="165">
        <f>IFERROR(INDEX(DH$233:DH$281,_xlfn.AGGREGATE(15,6,(ROW(DH$233:DH$281)-ROW(DH$233)+1)/(DH$233:DH$281&lt;&gt;""),ROWS(DP$1:DP8))),"")</f>
        <v>1254.8574170250279</v>
      </c>
      <c r="DQ240" s="166">
        <f t="shared" si="123"/>
        <v>240</v>
      </c>
      <c r="DV240" s="145">
        <v>2022</v>
      </c>
      <c r="DW240" s="235">
        <f t="shared" ca="1" si="107"/>
        <v>1017.4682074303686</v>
      </c>
      <c r="DZ240" s="135"/>
      <c r="EA240" s="33"/>
      <c r="EB240" s="33"/>
      <c r="EC240" s="33"/>
      <c r="ED240" s="33"/>
      <c r="EE240" s="33"/>
    </row>
    <row r="241" spans="1:135" ht="13.8" x14ac:dyDescent="0.45">
      <c r="A241" s="262" t="s">
        <v>90</v>
      </c>
      <c r="B241" s="128">
        <v>2020</v>
      </c>
      <c r="C241" s="244">
        <f>'Total MSW Summaries (Archive)'!F11</f>
        <v>1151.5126749959634</v>
      </c>
      <c r="D241" s="244">
        <f>'Total MSW Summaries (Archive)'!R11</f>
        <v>721.44930022373808</v>
      </c>
      <c r="E241" s="244">
        <f>'Total MSW Summaries (Archive)'!AD11</f>
        <v>1245.0520000000004</v>
      </c>
      <c r="F241" s="244">
        <f>'Total MSW Summaries (Archive)'!AP11</f>
        <v>1036.0067641822277</v>
      </c>
      <c r="G241" s="244">
        <f>'Total MSW Summaries (Archive)'!BB11</f>
        <v>645.516958328952</v>
      </c>
      <c r="H241" s="169"/>
      <c r="I241" s="170"/>
      <c r="J241" s="168"/>
      <c r="K241" s="169"/>
      <c r="L241" s="170"/>
      <c r="M241" s="169"/>
      <c r="N241" s="29" t="s">
        <v>119</v>
      </c>
      <c r="O241" s="120"/>
      <c r="P241" s="120"/>
      <c r="Q241" s="120"/>
      <c r="R241" s="29">
        <v>6</v>
      </c>
      <c r="S241" s="195">
        <f t="shared" si="108"/>
        <v>645.516958328952</v>
      </c>
      <c r="T241" s="195">
        <f t="shared" si="109"/>
        <v>1245.0520000000004</v>
      </c>
      <c r="U241" s="195">
        <f t="shared" si="110"/>
        <v>236.4380479987534</v>
      </c>
      <c r="V241" s="20"/>
      <c r="W241" s="238">
        <f t="shared" si="111"/>
        <v>723.46949154742288</v>
      </c>
      <c r="X241" s="238">
        <f t="shared" si="112"/>
        <v>959.90753954617628</v>
      </c>
      <c r="Y241" s="238">
        <f t="shared" si="113"/>
        <v>1196.3455875449297</v>
      </c>
      <c r="AA241" s="138"/>
      <c r="AB241" s="138"/>
      <c r="AC241" s="138"/>
      <c r="AD241" s="138"/>
      <c r="AE241" s="138"/>
      <c r="AF241" s="138"/>
      <c r="AG241" s="138"/>
      <c r="AH241" s="138"/>
      <c r="AI241" s="138"/>
      <c r="AJ241" s="138"/>
      <c r="AK241" s="138"/>
      <c r="AL241" s="138"/>
      <c r="AM241" s="138"/>
      <c r="AN241" s="138"/>
      <c r="BR241" s="180">
        <v>2018</v>
      </c>
      <c r="BS241" s="22">
        <v>4</v>
      </c>
      <c r="BT241" s="181">
        <f t="shared" si="124"/>
        <v>113.08017783429848</v>
      </c>
      <c r="BU241" s="182">
        <f t="shared" si="125"/>
        <v>792.15106583111492</v>
      </c>
      <c r="BV241" s="242">
        <f t="shared" si="126"/>
        <v>905.23124366541344</v>
      </c>
      <c r="BY241" s="180">
        <v>2018</v>
      </c>
      <c r="BZ241" s="22">
        <v>4</v>
      </c>
      <c r="CA241" s="181">
        <f t="shared" ca="1" si="127"/>
        <v>-0.50575499143186398</v>
      </c>
      <c r="CB241" s="181">
        <f t="shared" ca="1" si="128"/>
        <v>117.12621776575337</v>
      </c>
      <c r="CC241" s="182">
        <f t="shared" ca="1" si="129"/>
        <v>786.58776092536436</v>
      </c>
      <c r="CD241" s="242">
        <f t="shared" ca="1" si="130"/>
        <v>903.20822369968585</v>
      </c>
      <c r="CG241" s="180">
        <v>2018</v>
      </c>
      <c r="CH241" s="22">
        <v>4</v>
      </c>
      <c r="CI241" s="181">
        <f t="shared" ca="1" si="131"/>
        <v>-0.13523499356141555</v>
      </c>
      <c r="CJ241" s="181">
        <f t="shared" ca="1" si="132"/>
        <v>1.1170649313051326</v>
      </c>
      <c r="CK241" s="181">
        <f t="shared" ca="1" si="133"/>
        <v>111.85036257943858</v>
      </c>
      <c r="CL241" s="182">
        <f t="shared" ca="1" si="134"/>
        <v>790.38110249476222</v>
      </c>
      <c r="CM241" s="242">
        <f t="shared" ca="1" si="135"/>
        <v>903.21329501194452</v>
      </c>
      <c r="CP241" s="180">
        <v>2018</v>
      </c>
      <c r="CQ241" s="22">
        <v>4</v>
      </c>
      <c r="CR241" s="181">
        <f t="shared" ca="1" si="136"/>
        <v>838.30460332471296</v>
      </c>
      <c r="CS241" s="182">
        <f t="shared" ca="1" si="137"/>
        <v>1.0978896791557127</v>
      </c>
      <c r="CT241" s="242">
        <f t="shared" ca="1" si="138"/>
        <v>920.36597197892604</v>
      </c>
      <c r="CZ241" s="164" t="b">
        <f t="shared" si="114"/>
        <v>1</v>
      </c>
      <c r="DA241" s="165" t="b">
        <f t="shared" si="114"/>
        <v>1</v>
      </c>
      <c r="DB241" s="166" t="b">
        <f t="shared" si="114"/>
        <v>1</v>
      </c>
      <c r="DC241" s="164">
        <f t="shared" si="115"/>
        <v>6</v>
      </c>
      <c r="DD241" s="166">
        <f t="shared" si="116"/>
        <v>723.46949154742288</v>
      </c>
      <c r="DE241" s="164">
        <f t="shared" si="117"/>
        <v>6</v>
      </c>
      <c r="DF241" s="166">
        <f t="shared" si="118"/>
        <v>959.90753954617628</v>
      </c>
      <c r="DG241" s="164">
        <f t="shared" si="119"/>
        <v>6</v>
      </c>
      <c r="DH241" s="166">
        <f t="shared" si="120"/>
        <v>1196.3455875449297</v>
      </c>
      <c r="DI241" s="164">
        <f>IFERROR(INDEX(DC$233:DC$281,_xlfn.AGGREGATE(15,6,(ROW(DC$233:DC$281)-ROW(DC$233)+1)/(DC$233:DC$281&lt;&gt;""),ROWS(DI$1:DI9))),"")</f>
        <v>9</v>
      </c>
      <c r="DJ241" s="165">
        <f>IFERROR(INDEX(DD$233:DD$281,_xlfn.AGGREGATE(15,6,(ROW(DD$233:DD$281)-ROW(DD$233)+1)/(DD$233:DD$281&lt;&gt;""),ROWS(DJ$1:DJ9))),"")</f>
        <v>807.37013990317223</v>
      </c>
      <c r="DK241" s="166">
        <f t="shared" si="121"/>
        <v>241</v>
      </c>
      <c r="DL241" s="164">
        <f>IFERROR(INDEX(DE$233:DE$281,_xlfn.AGGREGATE(15,6,(ROW(DE$233:DE$281)-ROW(DE$233)+1)/(DE$233:DE$281&lt;&gt;""),ROWS(DL$1:DL9))),"")</f>
        <v>9</v>
      </c>
      <c r="DM241" s="165">
        <f>IFERROR(INDEX(DF$233:DF$281,_xlfn.AGGREGATE(15,6,(ROW(DF$233:DF$281)-ROW(DF$233)+1)/(DF$233:DF$281&lt;&gt;""),ROWS(DM$1:DM9))),"")</f>
        <v>1045.7992926634608</v>
      </c>
      <c r="DN241" s="166">
        <f t="shared" si="122"/>
        <v>241</v>
      </c>
      <c r="DO241" s="164">
        <f>IFERROR(INDEX(DG$233:DG$281,_xlfn.AGGREGATE(15,6,(ROW(DG$233:DG$281)-ROW(DG$233)+1)/(DG$233:DG$281&lt;&gt;""),ROWS(DO$1:DO9))),"")</f>
        <v>9</v>
      </c>
      <c r="DP241" s="165">
        <f>IFERROR(INDEX(DH$233:DH$281,_xlfn.AGGREGATE(15,6,(ROW(DH$233:DH$281)-ROW(DH$233)+1)/(DH$233:DH$281&lt;&gt;""),ROWS(DP$1:DP9))),"")</f>
        <v>1284.2284454237495</v>
      </c>
      <c r="DQ241" s="166">
        <f t="shared" si="123"/>
        <v>241</v>
      </c>
      <c r="DV241" s="145">
        <v>2023</v>
      </c>
      <c r="DW241" s="235">
        <f t="shared" ca="1" si="107"/>
        <v>1046.1591484146957</v>
      </c>
      <c r="DZ241" s="135"/>
      <c r="EA241" s="33" t="s">
        <v>86</v>
      </c>
      <c r="EB241" s="33" t="s">
        <v>87</v>
      </c>
      <c r="EC241" s="33"/>
      <c r="ED241" s="33"/>
      <c r="EE241" s="33"/>
    </row>
    <row r="242" spans="1:135" ht="13.8" x14ac:dyDescent="0.45">
      <c r="A242" s="262" t="s">
        <v>80</v>
      </c>
      <c r="B242" s="128">
        <v>2021</v>
      </c>
      <c r="C242" s="244">
        <f>'Total MSW Summaries (Archive)'!F12</f>
        <v>1176.4427164212343</v>
      </c>
      <c r="D242" s="244">
        <f>'Total MSW Summaries (Archive)'!R12</f>
        <v>757.81218903209594</v>
      </c>
      <c r="E242" s="244">
        <f>'Total MSW Summaries (Archive)'!AD12</f>
        <v>1275.7240000000004</v>
      </c>
      <c r="F242" s="244">
        <f>'Total MSW Summaries (Archive)'!AP12</f>
        <v>1065.8616275521215</v>
      </c>
      <c r="G242" s="244">
        <f>'Total MSW Summaries (Archive)'!BB12</f>
        <v>665.72854945901304</v>
      </c>
      <c r="H242" s="151"/>
      <c r="I242" s="152"/>
      <c r="J242" s="159"/>
      <c r="K242" s="151"/>
      <c r="L242" s="152"/>
      <c r="M242" s="151"/>
      <c r="N242" s="29" t="s">
        <v>119</v>
      </c>
      <c r="O242" s="120"/>
      <c r="P242" s="120"/>
      <c r="Q242" s="120"/>
      <c r="R242" s="29">
        <v>7</v>
      </c>
      <c r="S242" s="196">
        <f t="shared" si="108"/>
        <v>665.72854945901304</v>
      </c>
      <c r="T242" s="196">
        <f t="shared" si="109"/>
        <v>1275.7240000000004</v>
      </c>
      <c r="U242" s="196">
        <f t="shared" si="110"/>
        <v>237.15101279198046</v>
      </c>
      <c r="V242" s="20"/>
      <c r="W242" s="238">
        <f t="shared" si="111"/>
        <v>751.16280370091249</v>
      </c>
      <c r="X242" s="238">
        <f t="shared" si="112"/>
        <v>988.31381649289301</v>
      </c>
      <c r="Y242" s="238">
        <f t="shared" si="113"/>
        <v>1225.4648292848735</v>
      </c>
      <c r="AA242" s="138"/>
      <c r="AB242" s="138"/>
      <c r="AC242" s="138"/>
      <c r="AD242" s="138"/>
      <c r="AE242" s="138"/>
      <c r="AF242" s="138"/>
      <c r="AG242" s="138"/>
      <c r="AH242" s="138"/>
      <c r="AI242" s="138"/>
      <c r="AJ242" s="138"/>
      <c r="AK242" s="138"/>
      <c r="AL242" s="138"/>
      <c r="AM242" s="138"/>
      <c r="AN242" s="138"/>
      <c r="BR242" s="180">
        <v>2019</v>
      </c>
      <c r="BS242" s="22">
        <v>5</v>
      </c>
      <c r="BT242" s="181">
        <f t="shared" si="124"/>
        <v>141.3502222928731</v>
      </c>
      <c r="BU242" s="182">
        <f t="shared" si="125"/>
        <v>792.15106583111492</v>
      </c>
      <c r="BV242" s="283">
        <f t="shared" si="126"/>
        <v>933.50128812398805</v>
      </c>
      <c r="BY242" s="180">
        <v>2019</v>
      </c>
      <c r="BZ242" s="22">
        <v>5</v>
      </c>
      <c r="CA242" s="181">
        <f t="shared" ca="1" si="127"/>
        <v>-0.79024217411228748</v>
      </c>
      <c r="CB242" s="181">
        <f t="shared" ca="1" si="128"/>
        <v>146.4077722071917</v>
      </c>
      <c r="CC242" s="182">
        <f t="shared" ca="1" si="129"/>
        <v>786.58776092536436</v>
      </c>
      <c r="CD242" s="283">
        <f t="shared" ca="1" si="130"/>
        <v>932.20529095844381</v>
      </c>
      <c r="CG242" s="180">
        <v>2019</v>
      </c>
      <c r="CH242" s="22">
        <v>5</v>
      </c>
      <c r="CI242" s="181">
        <f t="shared" ca="1" si="131"/>
        <v>-0.26413084679963977</v>
      </c>
      <c r="CJ242" s="181">
        <f t="shared" ca="1" si="132"/>
        <v>1.7454139551642698</v>
      </c>
      <c r="CK242" s="181">
        <f t="shared" ca="1" si="133"/>
        <v>139.81295322429821</v>
      </c>
      <c r="CL242" s="182">
        <f t="shared" ca="1" si="134"/>
        <v>790.38110249476222</v>
      </c>
      <c r="CM242" s="283">
        <f t="shared" ca="1" si="135"/>
        <v>931.67533882742509</v>
      </c>
      <c r="CP242" s="180">
        <v>2019</v>
      </c>
      <c r="CQ242" s="22">
        <v>5</v>
      </c>
      <c r="CR242" s="181">
        <f t="shared" ca="1" si="136"/>
        <v>838.30460332471296</v>
      </c>
      <c r="CS242" s="182">
        <f t="shared" ca="1" si="137"/>
        <v>1.1238241955696824</v>
      </c>
      <c r="CT242" s="283">
        <f t="shared" ca="1" si="138"/>
        <v>942.10699647375725</v>
      </c>
      <c r="CZ242" s="164" t="b">
        <f t="shared" si="114"/>
        <v>1</v>
      </c>
      <c r="DA242" s="165" t="b">
        <f t="shared" si="114"/>
        <v>1</v>
      </c>
      <c r="DB242" s="166" t="b">
        <f t="shared" si="114"/>
        <v>1</v>
      </c>
      <c r="DC242" s="164">
        <f t="shared" si="115"/>
        <v>7</v>
      </c>
      <c r="DD242" s="166">
        <f t="shared" si="116"/>
        <v>751.16280370091249</v>
      </c>
      <c r="DE242" s="164">
        <f t="shared" si="117"/>
        <v>7</v>
      </c>
      <c r="DF242" s="166">
        <f t="shared" si="118"/>
        <v>988.31381649289301</v>
      </c>
      <c r="DG242" s="164">
        <f t="shared" si="119"/>
        <v>7</v>
      </c>
      <c r="DH242" s="166">
        <f t="shared" si="120"/>
        <v>1225.4648292848735</v>
      </c>
      <c r="DI242" s="164">
        <f>IFERROR(INDEX(DC$233:DC$281,_xlfn.AGGREGATE(15,6,(ROW(DC$233:DC$281)-ROW(DC$233)+1)/(DC$233:DC$281&lt;&gt;""),ROWS(DI$1:DI10))),"")</f>
        <v>10</v>
      </c>
      <c r="DJ242" s="165">
        <f>IFERROR(INDEX(DD$233:DD$281,_xlfn.AGGREGATE(15,6,(ROW(DD$233:DD$281)-ROW(DD$233)+1)/(DD$233:DD$281&lt;&gt;""),ROWS(DJ$1:DJ10))),"")</f>
        <v>835.60991454228395</v>
      </c>
      <c r="DK242" s="166">
        <f t="shared" si="121"/>
        <v>242</v>
      </c>
      <c r="DL242" s="164">
        <f>IFERROR(INDEX(DE$233:DE$281,_xlfn.AGGREGATE(15,6,(ROW(DE$233:DE$281)-ROW(DE$233)+1)/(DE$233:DE$281&lt;&gt;""),ROWS(DL$1:DL10))),"")</f>
        <v>10</v>
      </c>
      <c r="DM242" s="165">
        <f>IFERROR(INDEX(DF$233:DF$281,_xlfn.AGGREGATE(15,6,(ROW(DF$233:DF$281)-ROW(DF$233)+1)/(DF$233:DF$281&lt;&gt;""),ROWS(DM$1:DM10))),"")</f>
        <v>1074.6071685301972</v>
      </c>
      <c r="DN242" s="166">
        <f t="shared" si="122"/>
        <v>242</v>
      </c>
      <c r="DO242" s="164">
        <f>IFERROR(INDEX(DG$233:DG$281,_xlfn.AGGREGATE(15,6,(ROW(DG$233:DG$281)-ROW(DG$233)+1)/(DG$233:DG$281&lt;&gt;""),ROWS(DO$1:DO10))),"")</f>
        <v>10</v>
      </c>
      <c r="DP242" s="165">
        <f>IFERROR(INDEX(DH$233:DH$281,_xlfn.AGGREGATE(15,6,(ROW(DH$233:DH$281)-ROW(DH$233)+1)/(DH$233:DH$281&lt;&gt;""),ROWS(DP$1:DP10))),"")</f>
        <v>1313.6044225181104</v>
      </c>
      <c r="DQ242" s="166">
        <f t="shared" si="123"/>
        <v>242</v>
      </c>
      <c r="DV242" s="145">
        <v>2024</v>
      </c>
      <c r="DW242" s="235">
        <f t="shared" ca="1" si="107"/>
        <v>1074.8756179896186</v>
      </c>
      <c r="DZ242" s="135" t="s">
        <v>92</v>
      </c>
      <c r="EA242" s="33">
        <f t="shared" ref="EA242:EB244" si="140">IF($EA$231="Linear",0,IF($EA$231="2nd Poly",0,IF($EA$231="3rd Poly",0,IF($EA$231="Exp",CR234))))</f>
        <v>0</v>
      </c>
      <c r="EB242" s="33">
        <f t="shared" si="140"/>
        <v>0</v>
      </c>
      <c r="EC242" s="33" t="str">
        <f>IF($EA$231="Linear","N/A",IF($EA$231="2nd Poly","N/A",IF($EA$231="3rd Poly","N/A","High")))</f>
        <v>N/A</v>
      </c>
      <c r="ED242" s="33"/>
      <c r="EE242" s="33"/>
    </row>
    <row r="243" spans="1:135" ht="13.8" x14ac:dyDescent="0.45">
      <c r="A243" s="148" t="s">
        <v>88</v>
      </c>
      <c r="B243" s="128">
        <v>2022</v>
      </c>
      <c r="C243" s="244">
        <f>'Total MSW Summaries (Archive)'!F13</f>
        <v>1201.9952159123341</v>
      </c>
      <c r="D243" s="244">
        <f>'Total MSW Summaries (Archive)'!R13</f>
        <v>795.46617177350731</v>
      </c>
      <c r="E243" s="244">
        <f>'Total MSW Summaries (Archive)'!AD13</f>
        <v>1306.3960000000004</v>
      </c>
      <c r="F243" s="244">
        <f>'Total MSW Summaries (Archive)'!AP13</f>
        <v>1095.3827631791894</v>
      </c>
      <c r="G243" s="244">
        <f>'Total MSW Summaries (Archive)'!BB13</f>
        <v>685.94014058907408</v>
      </c>
      <c r="H243" s="200"/>
      <c r="I243" s="201"/>
      <c r="J243" s="199"/>
      <c r="K243" s="200"/>
      <c r="L243" s="201"/>
      <c r="M243" s="200"/>
      <c r="N243" s="29" t="s">
        <v>119</v>
      </c>
      <c r="O243" s="120"/>
      <c r="P243" s="120"/>
      <c r="Q243" s="120"/>
      <c r="R243" s="29">
        <v>8</v>
      </c>
      <c r="S243" s="202">
        <f t="shared" si="108"/>
        <v>685.94014058907408</v>
      </c>
      <c r="T243" s="202">
        <f t="shared" si="109"/>
        <v>1306.3960000000004</v>
      </c>
      <c r="U243" s="202">
        <f t="shared" si="110"/>
        <v>237.82135873420688</v>
      </c>
      <c r="V243" s="20"/>
      <c r="W243" s="238">
        <f t="shared" si="111"/>
        <v>779.21469955661405</v>
      </c>
      <c r="X243" s="238">
        <f t="shared" si="112"/>
        <v>1017.036058290821</v>
      </c>
      <c r="Y243" s="238">
        <f t="shared" si="113"/>
        <v>1254.8574170250279</v>
      </c>
      <c r="AA243" s="120"/>
      <c r="AB243" s="120"/>
      <c r="AC243" s="120"/>
      <c r="AD243" s="120"/>
      <c r="AE243" s="120"/>
      <c r="AF243" s="120"/>
      <c r="AG243" s="120"/>
      <c r="AH243" s="120"/>
      <c r="AI243" s="120"/>
      <c r="AJ243" s="120"/>
      <c r="AK243" s="120"/>
      <c r="AL243" s="120"/>
      <c r="AM243" s="120"/>
      <c r="AN243" s="120"/>
      <c r="BR243" s="180">
        <v>2020</v>
      </c>
      <c r="BS243" s="22">
        <v>6</v>
      </c>
      <c r="BT243" s="181">
        <f t="shared" si="124"/>
        <v>169.62026675144773</v>
      </c>
      <c r="BU243" s="182">
        <f t="shared" si="125"/>
        <v>792.15106583111492</v>
      </c>
      <c r="BV243" s="203">
        <f t="shared" si="126"/>
        <v>961.77133258256265</v>
      </c>
      <c r="BY243" s="180">
        <v>2020</v>
      </c>
      <c r="BZ243" s="22">
        <v>6</v>
      </c>
      <c r="CA243" s="181">
        <f t="shared" ca="1" si="127"/>
        <v>-1.137948730721694</v>
      </c>
      <c r="CB243" s="181">
        <f t="shared" ca="1" si="128"/>
        <v>175.68932664863004</v>
      </c>
      <c r="CC243" s="182">
        <f t="shared" ca="1" si="129"/>
        <v>786.58776092536436</v>
      </c>
      <c r="CD243" s="203">
        <f t="shared" ca="1" si="130"/>
        <v>961.13913884327269</v>
      </c>
      <c r="CG243" s="180">
        <v>2020</v>
      </c>
      <c r="CH243" s="22">
        <v>6</v>
      </c>
      <c r="CI243" s="181">
        <f t="shared" ca="1" si="131"/>
        <v>-0.4564181032697775</v>
      </c>
      <c r="CJ243" s="181">
        <f t="shared" ca="1" si="132"/>
        <v>2.5133960954365486</v>
      </c>
      <c r="CK243" s="181">
        <f t="shared" ca="1" si="133"/>
        <v>167.77554386915787</v>
      </c>
      <c r="CL243" s="182">
        <f t="shared" ca="1" si="134"/>
        <v>790.38110249476222</v>
      </c>
      <c r="CM243" s="203">
        <f t="shared" ca="1" si="135"/>
        <v>960.21362435608683</v>
      </c>
      <c r="CP243" s="180">
        <v>2020</v>
      </c>
      <c r="CQ243" s="22">
        <v>6</v>
      </c>
      <c r="CR243" s="181">
        <f t="shared" ca="1" si="136"/>
        <v>838.30460332471296</v>
      </c>
      <c r="CS243" s="182">
        <f t="shared" ca="1" si="137"/>
        <v>1.1503713410614147</v>
      </c>
      <c r="CT243" s="203">
        <f t="shared" ca="1" si="138"/>
        <v>964.36159074460738</v>
      </c>
      <c r="CZ243" s="164" t="b">
        <f t="shared" si="114"/>
        <v>1</v>
      </c>
      <c r="DA243" s="165" t="b">
        <f t="shared" si="114"/>
        <v>1</v>
      </c>
      <c r="DB243" s="166" t="b">
        <f t="shared" si="114"/>
        <v>1</v>
      </c>
      <c r="DC243" s="164">
        <f t="shared" si="115"/>
        <v>8</v>
      </c>
      <c r="DD243" s="166">
        <f t="shared" si="116"/>
        <v>779.21469955661405</v>
      </c>
      <c r="DE243" s="164">
        <f t="shared" si="117"/>
        <v>8</v>
      </c>
      <c r="DF243" s="166">
        <f t="shared" si="118"/>
        <v>1017.036058290821</v>
      </c>
      <c r="DG243" s="164">
        <f t="shared" si="119"/>
        <v>8</v>
      </c>
      <c r="DH243" s="166">
        <f t="shared" si="120"/>
        <v>1254.8574170250279</v>
      </c>
      <c r="DI243" s="164">
        <f>IFERROR(INDEX(DC$233:DC$281,_xlfn.AGGREGATE(15,6,(ROW(DC$233:DC$281)-ROW(DC$233)+1)/(DC$233:DC$281&lt;&gt;""),ROWS(DI$1:DI11))),"")</f>
        <v>11</v>
      </c>
      <c r="DJ243" s="165">
        <f>IFERROR(INDEX(DD$233:DD$281,_xlfn.AGGREGATE(15,6,(ROW(DD$233:DD$281)-ROW(DD$233)+1)/(DD$233:DD$281&lt;&gt;""),ROWS(DJ$1:DJ11))),"")</f>
        <v>864.29834507303099</v>
      </c>
      <c r="DK243" s="166">
        <f t="shared" si="121"/>
        <v>243</v>
      </c>
      <c r="DL243" s="164">
        <f>IFERROR(INDEX(DE$233:DE$281,_xlfn.AGGREGATE(15,6,(ROW(DE$233:DE$281)-ROW(DE$233)+1)/(DE$233:DE$281&lt;&gt;""),ROWS(DL$1:DL11))),"")</f>
        <v>11</v>
      </c>
      <c r="DM243" s="165">
        <f>IFERROR(INDEX(DF$233:DF$281,_xlfn.AGGREGATE(15,6,(ROW(DF$233:DF$281)-ROW(DF$233)+1)/(DF$233:DF$281&lt;&gt;""),ROWS(DM$1:DM11))),"")</f>
        <v>1104.0365382283828</v>
      </c>
      <c r="DN243" s="166">
        <f t="shared" si="122"/>
        <v>243</v>
      </c>
      <c r="DO243" s="164">
        <f>IFERROR(INDEX(DG$233:DG$281,_xlfn.AGGREGATE(15,6,(ROW(DG$233:DG$281)-ROW(DG$233)+1)/(DG$233:DG$281&lt;&gt;""),ROWS(DO$1:DO11))),"")</f>
        <v>11</v>
      </c>
      <c r="DP243" s="165">
        <f>IFERROR(INDEX(DH$233:DH$281,_xlfn.AGGREGATE(15,6,(ROW(DH$233:DH$281)-ROW(DH$233)+1)/(DH$233:DH$281&lt;&gt;""),ROWS(DP$1:DP11))),"")</f>
        <v>1343.7747313837347</v>
      </c>
      <c r="DQ243" s="166">
        <f t="shared" si="123"/>
        <v>243</v>
      </c>
      <c r="DV243" s="145">
        <v>2025</v>
      </c>
      <c r="DW243" s="235">
        <f t="shared" ca="1" si="107"/>
        <v>1103.6049378744908</v>
      </c>
      <c r="DZ243" s="135" t="s">
        <v>92</v>
      </c>
      <c r="EA243" s="33">
        <f t="shared" si="140"/>
        <v>0</v>
      </c>
      <c r="EB243" s="33">
        <f t="shared" si="140"/>
        <v>0</v>
      </c>
      <c r="EC243" s="33" t="str">
        <f>IF($EA$231="Linear","N/A",IF($EA$231="2nd Poly","N/A",IF($EA$231="3rd Poly","N/A","Medium")))</f>
        <v>N/A</v>
      </c>
    </row>
    <row r="244" spans="1:135" ht="13.8" x14ac:dyDescent="0.45">
      <c r="B244" s="128">
        <v>2023</v>
      </c>
      <c r="C244" s="244">
        <f>'Total MSW Summaries (Archive)'!F14</f>
        <v>1227.472859148204</v>
      </c>
      <c r="D244" s="244">
        <f>'Total MSW Summaries (Archive)'!R14</f>
        <v>833.97040520044482</v>
      </c>
      <c r="E244" s="244">
        <f>'Total MSW Summaries (Archive)'!AD14</f>
        <v>1337.0680000000004</v>
      </c>
      <c r="F244" s="244">
        <f>'Total MSW Summaries (Archive)'!AP14</f>
        <v>1124.3334672495189</v>
      </c>
      <c r="G244" s="244">
        <f>'Total MSW Summaries (Archive)'!BB14</f>
        <v>706.15173171913511</v>
      </c>
      <c r="H244" s="200"/>
      <c r="I244" s="201"/>
      <c r="J244" s="199"/>
      <c r="K244" s="200"/>
      <c r="L244" s="201"/>
      <c r="M244" s="200"/>
      <c r="N244" s="29" t="s">
        <v>119</v>
      </c>
      <c r="O244" s="120"/>
      <c r="P244" s="120"/>
      <c r="Q244" s="120"/>
      <c r="R244" s="29">
        <v>9</v>
      </c>
      <c r="S244" s="202">
        <f t="shared" si="108"/>
        <v>706.15173171913511</v>
      </c>
      <c r="T244" s="202">
        <f t="shared" si="109"/>
        <v>1337.0680000000004</v>
      </c>
      <c r="U244" s="202">
        <f t="shared" si="110"/>
        <v>238.42915276028867</v>
      </c>
      <c r="V244" s="20"/>
      <c r="W244" s="238">
        <f t="shared" si="111"/>
        <v>807.37013990317223</v>
      </c>
      <c r="X244" s="238">
        <f t="shared" si="112"/>
        <v>1045.7992926634608</v>
      </c>
      <c r="Y244" s="238">
        <f t="shared" si="113"/>
        <v>1284.2284454237495</v>
      </c>
      <c r="AA244" s="120"/>
      <c r="AB244" s="120"/>
      <c r="AC244" s="120"/>
      <c r="AD244" s="120"/>
      <c r="AE244" s="120"/>
      <c r="AF244" s="120"/>
      <c r="AG244" s="120"/>
      <c r="AH244" s="120"/>
      <c r="AI244" s="120"/>
      <c r="AJ244" s="120"/>
      <c r="AK244" s="120"/>
      <c r="AL244" s="120"/>
      <c r="AM244" s="120"/>
      <c r="AN244" s="120"/>
      <c r="BR244" s="180">
        <v>2021</v>
      </c>
      <c r="BS244" s="22">
        <v>7</v>
      </c>
      <c r="BT244" s="181">
        <f t="shared" si="124"/>
        <v>197.89031121002233</v>
      </c>
      <c r="BU244" s="182">
        <f t="shared" si="125"/>
        <v>792.15106583111492</v>
      </c>
      <c r="BV244" s="205">
        <f t="shared" si="126"/>
        <v>990.04137704113725</v>
      </c>
      <c r="BY244" s="180">
        <v>2021</v>
      </c>
      <c r="BZ244" s="22">
        <v>7</v>
      </c>
      <c r="CA244" s="181">
        <f t="shared" ca="1" si="127"/>
        <v>-1.5488746612600834</v>
      </c>
      <c r="CB244" s="181">
        <f t="shared" ca="1" si="128"/>
        <v>204.97088109006839</v>
      </c>
      <c r="CC244" s="182">
        <f t="shared" ca="1" si="129"/>
        <v>786.58776092536436</v>
      </c>
      <c r="CD244" s="205">
        <f t="shared" ca="1" si="130"/>
        <v>990.00976735417271</v>
      </c>
      <c r="CG244" s="180">
        <v>2021</v>
      </c>
      <c r="CH244" s="22">
        <v>7</v>
      </c>
      <c r="CI244" s="181">
        <f t="shared" ca="1" si="131"/>
        <v>-0.72477504361821143</v>
      </c>
      <c r="CJ244" s="181">
        <f t="shared" ca="1" si="132"/>
        <v>3.4210113521219685</v>
      </c>
      <c r="CK244" s="181">
        <f t="shared" ca="1" si="133"/>
        <v>195.73813451401753</v>
      </c>
      <c r="CL244" s="182">
        <f t="shared" ca="1" si="134"/>
        <v>790.38110249476222</v>
      </c>
      <c r="CM244" s="205">
        <f t="shared" ca="1" si="135"/>
        <v>988.81547331728348</v>
      </c>
      <c r="CP244" s="180">
        <v>2021</v>
      </c>
      <c r="CQ244" s="22">
        <v>7</v>
      </c>
      <c r="CR244" s="181">
        <f t="shared" ca="1" si="136"/>
        <v>838.30460332471296</v>
      </c>
      <c r="CS244" s="182">
        <f t="shared" ca="1" si="137"/>
        <v>1.1775455872478442</v>
      </c>
      <c r="CT244" s="205">
        <f t="shared" ca="1" si="138"/>
        <v>987.14188641457019</v>
      </c>
      <c r="CZ244" s="164" t="b">
        <f t="shared" si="114"/>
        <v>1</v>
      </c>
      <c r="DA244" s="165" t="b">
        <f t="shared" si="114"/>
        <v>1</v>
      </c>
      <c r="DB244" s="166" t="b">
        <f t="shared" si="114"/>
        <v>1</v>
      </c>
      <c r="DC244" s="164">
        <f t="shared" si="115"/>
        <v>9</v>
      </c>
      <c r="DD244" s="166">
        <f t="shared" si="116"/>
        <v>807.37013990317223</v>
      </c>
      <c r="DE244" s="164">
        <f t="shared" si="117"/>
        <v>9</v>
      </c>
      <c r="DF244" s="166">
        <f t="shared" si="118"/>
        <v>1045.7992926634608</v>
      </c>
      <c r="DG244" s="164">
        <f t="shared" si="119"/>
        <v>9</v>
      </c>
      <c r="DH244" s="166">
        <f t="shared" si="120"/>
        <v>1284.2284454237495</v>
      </c>
      <c r="DI244" s="164">
        <f>IFERROR(INDEX(DC$233:DC$281,_xlfn.AGGREGATE(15,6,(ROW(DC$233:DC$281)-ROW(DC$233)+1)/(DC$233:DC$281&lt;&gt;""),ROWS(DI$1:DI12))),"")</f>
        <v>12</v>
      </c>
      <c r="DJ244" s="165">
        <f>IFERROR(INDEX(DD$233:DD$281,_xlfn.AGGREGATE(15,6,(ROW(DD$233:DD$281)-ROW(DD$233)+1)/(DD$233:DD$281&lt;&gt;""),ROWS(DJ$1:DJ12))),"")</f>
        <v>891.89924541546463</v>
      </c>
      <c r="DK244" s="166">
        <f t="shared" si="121"/>
        <v>244</v>
      </c>
      <c r="DL244" s="164">
        <f>IFERROR(INDEX(DE$233:DE$281,_xlfn.AGGREGATE(15,6,(ROW(DE$233:DE$281)-ROW(DE$233)+1)/(DE$233:DE$281&lt;&gt;""),ROWS(DL$1:DL12))),"")</f>
        <v>12</v>
      </c>
      <c r="DM244" s="165">
        <f>IFERROR(INDEX(DF$233:DF$281,_xlfn.AGGREGATE(15,6,(ROW(DF$233:DF$281)-ROW(DF$233)+1)/(DF$233:DF$281&lt;&gt;""),ROWS(DM$1:DM12))),"")</f>
        <v>1131.8604154513987</v>
      </c>
      <c r="DN244" s="166">
        <f t="shared" si="122"/>
        <v>244</v>
      </c>
      <c r="DO244" s="164">
        <f>IFERROR(INDEX(DG$233:DG$281,_xlfn.AGGREGATE(15,6,(ROW(DG$233:DG$281)-ROW(DG$233)+1)/(DG$233:DG$281&lt;&gt;""),ROWS(DO$1:DO12))),"")</f>
        <v>12</v>
      </c>
      <c r="DP244" s="165">
        <f>IFERROR(INDEX(DH$233:DH$281,_xlfn.AGGREGATE(15,6,(ROW(DH$233:DH$281)-ROW(DH$233)+1)/(DH$233:DH$281&lt;&gt;""),ROWS(DP$1:DP12))),"")</f>
        <v>1371.8215854873329</v>
      </c>
      <c r="DQ244" s="166">
        <f t="shared" si="123"/>
        <v>244</v>
      </c>
      <c r="DV244" s="145">
        <v>2026</v>
      </c>
      <c r="DW244" s="235">
        <f t="shared" ca="1" si="107"/>
        <v>1132.3344297886661</v>
      </c>
      <c r="DZ244" s="135" t="s">
        <v>92</v>
      </c>
      <c r="EA244" s="33">
        <f t="shared" si="140"/>
        <v>0</v>
      </c>
      <c r="EB244" s="33">
        <f t="shared" si="140"/>
        <v>0</v>
      </c>
      <c r="EC244" s="33" t="str">
        <f>IF($EA$231="Linear","N/A",IF($EA$231="2nd Poly","N/A",IF($EA$231="3rd Poly","N/A","Low")))</f>
        <v>N/A</v>
      </c>
    </row>
    <row r="245" spans="1:135" ht="13.8" x14ac:dyDescent="0.45">
      <c r="B245" s="128">
        <v>2024</v>
      </c>
      <c r="C245" s="244">
        <f>'Total MSW Summaries (Archive)'!F15</f>
        <v>1252.886753190659</v>
      </c>
      <c r="D245" s="244">
        <f>'Total MSW Summaries (Archive)'!R15</f>
        <v>873.32867181372433</v>
      </c>
      <c r="E245" s="244">
        <f>'Total MSW Summaries (Archive)'!AD15</f>
        <v>1367.7400000000005</v>
      </c>
      <c r="F245" s="244">
        <f>'Total MSW Summaries (Archive)'!AP15</f>
        <v>1152.7170947974053</v>
      </c>
      <c r="G245" s="244">
        <f>'Total MSW Summaries (Archive)'!BB15</f>
        <v>726.36332284919615</v>
      </c>
      <c r="H245" s="245"/>
      <c r="I245" s="246"/>
      <c r="J245" s="247"/>
      <c r="K245" s="245"/>
      <c r="L245" s="246"/>
      <c r="M245" s="245"/>
      <c r="N245" s="29" t="s">
        <v>119</v>
      </c>
      <c r="O245" s="120"/>
      <c r="P245" s="120"/>
      <c r="Q245" s="120"/>
      <c r="R245" s="29">
        <v>10</v>
      </c>
      <c r="S245" s="238">
        <f t="shared" si="108"/>
        <v>726.36332284919615</v>
      </c>
      <c r="T245" s="238">
        <f t="shared" si="109"/>
        <v>1367.7400000000005</v>
      </c>
      <c r="U245" s="238">
        <f t="shared" si="110"/>
        <v>238.99725398791324</v>
      </c>
      <c r="V245" s="20"/>
      <c r="W245" s="238">
        <f t="shared" si="111"/>
        <v>835.60991454228395</v>
      </c>
      <c r="X245" s="238">
        <f t="shared" si="112"/>
        <v>1074.6071685301972</v>
      </c>
      <c r="Y245" s="238">
        <f t="shared" si="113"/>
        <v>1313.6044225181104</v>
      </c>
      <c r="AA245" s="120"/>
      <c r="AB245" s="120"/>
      <c r="AC245" s="120"/>
      <c r="AD245" s="120"/>
      <c r="AE245" s="120"/>
      <c r="AF245" s="120"/>
      <c r="AG245" s="120"/>
      <c r="AH245" s="120"/>
      <c r="AI245" s="120"/>
      <c r="AJ245" s="120"/>
      <c r="AK245" s="120"/>
      <c r="AL245" s="120"/>
      <c r="AM245" s="120"/>
      <c r="AN245" s="120"/>
      <c r="BR245" s="180">
        <v>2022</v>
      </c>
      <c r="BS245" s="22">
        <v>8</v>
      </c>
      <c r="BT245" s="181">
        <f t="shared" si="124"/>
        <v>226.16035566859696</v>
      </c>
      <c r="BU245" s="182">
        <f t="shared" si="125"/>
        <v>792.15106583111492</v>
      </c>
      <c r="BV245" s="205">
        <f t="shared" si="126"/>
        <v>1018.3114214997119</v>
      </c>
      <c r="BY245" s="180">
        <v>2022</v>
      </c>
      <c r="BZ245" s="22">
        <v>8</v>
      </c>
      <c r="CA245" s="181">
        <f t="shared" ca="1" si="127"/>
        <v>-2.0230199657274559</v>
      </c>
      <c r="CB245" s="181">
        <f t="shared" ca="1" si="128"/>
        <v>234.25243553150673</v>
      </c>
      <c r="CC245" s="182">
        <f t="shared" ca="1" si="129"/>
        <v>786.58776092536436</v>
      </c>
      <c r="CD245" s="205">
        <f t="shared" ca="1" si="130"/>
        <v>1018.8171764911436</v>
      </c>
      <c r="CG245" s="180">
        <v>2022</v>
      </c>
      <c r="CH245" s="22">
        <v>8</v>
      </c>
      <c r="CI245" s="181">
        <f t="shared" ca="1" si="131"/>
        <v>-1.0818799484913244</v>
      </c>
      <c r="CJ245" s="181">
        <f t="shared" ca="1" si="132"/>
        <v>4.4682597252205305</v>
      </c>
      <c r="CK245" s="181">
        <f t="shared" ca="1" si="133"/>
        <v>223.70072515887716</v>
      </c>
      <c r="CL245" s="182">
        <f t="shared" ca="1" si="134"/>
        <v>790.38110249476222</v>
      </c>
      <c r="CM245" s="205">
        <f t="shared" ca="1" si="135"/>
        <v>1017.4682074303686</v>
      </c>
      <c r="CP245" s="180">
        <v>2022</v>
      </c>
      <c r="CQ245" s="22">
        <v>8</v>
      </c>
      <c r="CR245" s="181">
        <f t="shared" ca="1" si="136"/>
        <v>838.30460332471296</v>
      </c>
      <c r="CS245" s="182">
        <f t="shared" ca="1" si="137"/>
        <v>1.2053617475966338</v>
      </c>
      <c r="CT245" s="205">
        <f t="shared" ca="1" si="138"/>
        <v>1010.4603016817789</v>
      </c>
      <c r="CZ245" s="164" t="b">
        <f t="shared" si="114"/>
        <v>1</v>
      </c>
      <c r="DA245" s="165" t="b">
        <f t="shared" si="114"/>
        <v>1</v>
      </c>
      <c r="DB245" s="166" t="b">
        <f t="shared" si="114"/>
        <v>1</v>
      </c>
      <c r="DC245" s="164">
        <f t="shared" si="115"/>
        <v>10</v>
      </c>
      <c r="DD245" s="166">
        <f t="shared" si="116"/>
        <v>835.60991454228395</v>
      </c>
      <c r="DE245" s="164">
        <f t="shared" si="117"/>
        <v>10</v>
      </c>
      <c r="DF245" s="166">
        <f t="shared" si="118"/>
        <v>1074.6071685301972</v>
      </c>
      <c r="DG245" s="164">
        <f t="shared" si="119"/>
        <v>10</v>
      </c>
      <c r="DH245" s="166">
        <f t="shared" si="120"/>
        <v>1313.6044225181104</v>
      </c>
      <c r="DI245" s="164">
        <f>IFERROR(INDEX(DC$233:DC$281,_xlfn.AGGREGATE(15,6,(ROW(DC$233:DC$281)-ROW(DC$233)+1)/(DC$233:DC$281&lt;&gt;""),ROWS(DI$1:DI13))),"")</f>
        <v>13</v>
      </c>
      <c r="DJ245" s="165">
        <f>IFERROR(INDEX(DD$233:DD$281,_xlfn.AGGREGATE(15,6,(ROW(DD$233:DD$281)-ROW(DD$233)+1)/(DD$233:DD$281&lt;&gt;""),ROWS(DJ$1:DJ13))),"")</f>
        <v>920.19324076988369</v>
      </c>
      <c r="DK245" s="166">
        <f t="shared" si="121"/>
        <v>245</v>
      </c>
      <c r="DL245" s="164">
        <f>IFERROR(INDEX(DE$233:DE$281,_xlfn.AGGREGATE(15,6,(ROW(DE$233:DE$281)-ROW(DE$233)+1)/(DE$233:DE$281&lt;&gt;""),ROWS(DL$1:DL13))),"")</f>
        <v>13</v>
      </c>
      <c r="DM245" s="165">
        <f>IFERROR(INDEX(DF$233:DF$281,_xlfn.AGGREGATE(15,6,(ROW(DF$233:DF$281)-ROW(DF$233)+1)/(DF$233:DF$281&lt;&gt;""),ROWS(DM$1:DM13))),"")</f>
        <v>1160.7528850698075</v>
      </c>
      <c r="DN245" s="166">
        <f t="shared" si="122"/>
        <v>245</v>
      </c>
      <c r="DO245" s="164">
        <f>IFERROR(INDEX(DG$233:DG$281,_xlfn.AGGREGATE(15,6,(ROW(DG$233:DG$281)-ROW(DG$233)+1)/(DG$233:DG$281&lt;&gt;""),ROWS(DO$1:DO13))),"")</f>
        <v>13</v>
      </c>
      <c r="DP245" s="165">
        <f>IFERROR(INDEX(DH$233:DH$281,_xlfn.AGGREGATE(15,6,(ROW(DH$233:DH$281)-ROW(DH$233)+1)/(DH$233:DH$281&lt;&gt;""),ROWS(DP$1:DP13))),"")</f>
        <v>1401.3125293697312</v>
      </c>
      <c r="DQ245" s="166">
        <f t="shared" si="123"/>
        <v>245</v>
      </c>
      <c r="DV245" s="145">
        <v>2027</v>
      </c>
      <c r="DW245" s="235">
        <f t="shared" ca="1" si="107"/>
        <v>1161.0514154514976</v>
      </c>
    </row>
    <row r="246" spans="1:135" ht="13.8" x14ac:dyDescent="0.45">
      <c r="B246" s="128">
        <v>2025</v>
      </c>
      <c r="C246" s="244">
        <f>'Total MSW Summaries (Archive)'!F16</f>
        <v>1278.2433600800591</v>
      </c>
      <c r="D246" s="244">
        <f>'Total MSW Summaries (Archive)'!R16</f>
        <v>913.54221776552731</v>
      </c>
      <c r="E246" s="244">
        <f>'Total MSW Summaries (Archive)'!AD16</f>
        <v>1398.4120000000005</v>
      </c>
      <c r="F246" s="244">
        <f>'Total MSW Summaries (Archive)'!AP16</f>
        <v>1183.4101993170696</v>
      </c>
      <c r="G246" s="244">
        <f>'Total MSW Summaries (Archive)'!BB16</f>
        <v>746.57491397925719</v>
      </c>
      <c r="H246" s="245"/>
      <c r="I246" s="246"/>
      <c r="J246" s="247"/>
      <c r="K246" s="245"/>
      <c r="L246" s="246"/>
      <c r="M246" s="245"/>
      <c r="N246" s="29" t="s">
        <v>119</v>
      </c>
      <c r="O246" s="120"/>
      <c r="P246" s="120"/>
      <c r="Q246" s="120"/>
      <c r="R246" s="29">
        <v>11</v>
      </c>
      <c r="S246" s="238">
        <f t="shared" si="108"/>
        <v>746.57491397925719</v>
      </c>
      <c r="T246" s="238">
        <f t="shared" si="109"/>
        <v>1398.4120000000005</v>
      </c>
      <c r="U246" s="238">
        <f t="shared" si="110"/>
        <v>239.73819315535178</v>
      </c>
      <c r="W246" s="238">
        <f t="shared" si="111"/>
        <v>864.29834507303099</v>
      </c>
      <c r="X246" s="238">
        <f t="shared" si="112"/>
        <v>1104.0365382283828</v>
      </c>
      <c r="Y246" s="238">
        <f t="shared" si="113"/>
        <v>1343.7747313837347</v>
      </c>
      <c r="AA246" s="120"/>
      <c r="AB246" s="120"/>
      <c r="AC246" s="120"/>
      <c r="AD246" s="120"/>
      <c r="AE246" s="120"/>
      <c r="AF246" s="120"/>
      <c r="AG246" s="120"/>
      <c r="AH246" s="120"/>
      <c r="AI246" s="120"/>
      <c r="AJ246" s="120"/>
      <c r="AK246" s="120"/>
      <c r="AL246" s="120"/>
      <c r="AM246" s="120"/>
      <c r="AN246" s="120"/>
      <c r="BR246" s="180">
        <v>2023</v>
      </c>
      <c r="BS246" s="22">
        <v>9</v>
      </c>
      <c r="BT246" s="181">
        <f t="shared" si="124"/>
        <v>254.43040012717159</v>
      </c>
      <c r="BU246" s="182">
        <f t="shared" si="125"/>
        <v>792.15106583111492</v>
      </c>
      <c r="BV246" s="205">
        <f t="shared" si="126"/>
        <v>1046.5814659582866</v>
      </c>
      <c r="BY246" s="180">
        <v>2023</v>
      </c>
      <c r="BZ246" s="22">
        <v>9</v>
      </c>
      <c r="CA246" s="181">
        <f t="shared" ca="1" si="127"/>
        <v>-2.5603846441238112</v>
      </c>
      <c r="CB246" s="181">
        <f t="shared" ca="1" si="128"/>
        <v>263.53398997294505</v>
      </c>
      <c r="CC246" s="182">
        <f t="shared" ca="1" si="129"/>
        <v>786.58776092536436</v>
      </c>
      <c r="CD246" s="205">
        <f t="shared" ca="1" si="130"/>
        <v>1047.5613662541855</v>
      </c>
      <c r="CG246" s="180">
        <v>2023</v>
      </c>
      <c r="CH246" s="22">
        <v>9</v>
      </c>
      <c r="CI246" s="181">
        <f t="shared" ca="1" si="131"/>
        <v>-1.5404110985354991</v>
      </c>
      <c r="CJ246" s="181">
        <f t="shared" ca="1" si="132"/>
        <v>5.6551412147322342</v>
      </c>
      <c r="CK246" s="181">
        <f t="shared" ca="1" si="133"/>
        <v>251.66331580373679</v>
      </c>
      <c r="CL246" s="182">
        <f t="shared" ca="1" si="134"/>
        <v>790.38110249476222</v>
      </c>
      <c r="CM246" s="205">
        <f t="shared" ca="1" si="135"/>
        <v>1046.1591484146957</v>
      </c>
      <c r="CP246" s="180">
        <v>2023</v>
      </c>
      <c r="CQ246" s="22">
        <v>9</v>
      </c>
      <c r="CR246" s="181">
        <f t="shared" ca="1" si="136"/>
        <v>838.30460332471296</v>
      </c>
      <c r="CS246" s="182">
        <f t="shared" ca="1" si="137"/>
        <v>1.2338349855014255</v>
      </c>
      <c r="CT246" s="205">
        <f t="shared" ca="1" si="138"/>
        <v>1034.3295480889253</v>
      </c>
      <c r="CZ246" s="164" t="b">
        <f t="shared" si="114"/>
        <v>1</v>
      </c>
      <c r="DA246" s="165" t="b">
        <f t="shared" si="114"/>
        <v>1</v>
      </c>
      <c r="DB246" s="166" t="b">
        <f t="shared" si="114"/>
        <v>1</v>
      </c>
      <c r="DC246" s="164">
        <f t="shared" si="115"/>
        <v>11</v>
      </c>
      <c r="DD246" s="166">
        <f t="shared" si="116"/>
        <v>864.29834507303099</v>
      </c>
      <c r="DE246" s="164">
        <f t="shared" si="117"/>
        <v>11</v>
      </c>
      <c r="DF246" s="166">
        <f t="shared" si="118"/>
        <v>1104.0365382283828</v>
      </c>
      <c r="DG246" s="164">
        <f t="shared" si="119"/>
        <v>11</v>
      </c>
      <c r="DH246" s="166">
        <f t="shared" si="120"/>
        <v>1343.7747313837347</v>
      </c>
      <c r="DI246" s="164">
        <f>IFERROR(INDEX(DC$233:DC$281,_xlfn.AGGREGATE(15,6,(ROW(DC$233:DC$281)-ROW(DC$233)+1)/(DC$233:DC$281&lt;&gt;""),ROWS(DI$1:DI14))),"")</f>
        <v>14</v>
      </c>
      <c r="DJ246" s="165">
        <f>IFERROR(INDEX(DD$233:DD$281,_xlfn.AGGREGATE(15,6,(ROW(DD$233:DD$281)-ROW(DD$233)+1)/(DD$233:DD$281&lt;&gt;""),ROWS(DJ$1:DJ14))),"")</f>
        <v>948.44410818291976</v>
      </c>
      <c r="DK246" s="166">
        <f t="shared" si="121"/>
        <v>246</v>
      </c>
      <c r="DL246" s="164">
        <f>IFERROR(INDEX(DE$233:DE$281,_xlfn.AGGREGATE(15,6,(ROW(DE$233:DE$281)-ROW(DE$233)+1)/(DE$233:DE$281&lt;&gt;""),ROWS(DL$1:DL14))),"")</f>
        <v>14</v>
      </c>
      <c r="DM246" s="165">
        <f>IFERROR(INDEX(DF$233:DF$281,_xlfn.AGGREGATE(15,6,(ROW(DF$233:DF$281)-ROW(DF$233)+1)/(DF$233:DF$281&lt;&gt;""),ROWS(DM$1:DM14))),"")</f>
        <v>1189.673999599923</v>
      </c>
      <c r="DN246" s="166">
        <f t="shared" si="122"/>
        <v>246</v>
      </c>
      <c r="DO246" s="164">
        <f>IFERROR(INDEX(DG$233:DG$281,_xlfn.AGGREGATE(15,6,(ROW(DG$233:DG$281)-ROW(DG$233)+1)/(DG$233:DG$281&lt;&gt;""),ROWS(DO$1:DO14))),"")</f>
        <v>14</v>
      </c>
      <c r="DP246" s="165">
        <f>IFERROR(INDEX(DH$233:DH$281,_xlfn.AGGREGATE(15,6,(ROW(DH$233:DH$281)-ROW(DH$233)+1)/(DH$233:DH$281&lt;&gt;""),ROWS(DP$1:DP14))),"")</f>
        <v>1430.9038910169263</v>
      </c>
      <c r="DQ246" s="166">
        <f t="shared" si="123"/>
        <v>246</v>
      </c>
      <c r="DV246" s="145">
        <v>2028</v>
      </c>
      <c r="DW246" s="235">
        <f t="shared" ca="1" si="107"/>
        <v>1189.7432165823395</v>
      </c>
    </row>
    <row r="247" spans="1:135" ht="13.8" x14ac:dyDescent="0.45">
      <c r="B247" s="128">
        <v>2026</v>
      </c>
      <c r="C247" s="244">
        <f>'Total MSW Summaries (Archive)'!F17</f>
        <v>1303.5296866976403</v>
      </c>
      <c r="D247" s="244">
        <f>'Total MSW Summaries (Archive)'!R17</f>
        <v>954.59849760921702</v>
      </c>
      <c r="E247" s="244">
        <f>'Total MSW Summaries (Archive)'!AD17</f>
        <v>1429.0840000000005</v>
      </c>
      <c r="F247" s="244">
        <f>'Total MSW Summaries (Archive)'!AP17</f>
        <v>1205.3033878408166</v>
      </c>
      <c r="G247" s="244">
        <f>'Total MSW Summaries (Archive)'!BB17</f>
        <v>766.78650510931823</v>
      </c>
      <c r="H247" s="245"/>
      <c r="I247" s="246"/>
      <c r="J247" s="247"/>
      <c r="K247" s="245"/>
      <c r="L247" s="246"/>
      <c r="M247" s="245"/>
      <c r="N247" s="29" t="s">
        <v>119</v>
      </c>
      <c r="O247" s="120"/>
      <c r="P247" s="120"/>
      <c r="Q247" s="120"/>
      <c r="R247" s="29">
        <v>12</v>
      </c>
      <c r="S247" s="238">
        <f t="shared" si="108"/>
        <v>766.78650510931823</v>
      </c>
      <c r="T247" s="238">
        <f t="shared" si="109"/>
        <v>1429.0840000000005</v>
      </c>
      <c r="U247" s="238">
        <f t="shared" si="110"/>
        <v>239.96117003593406</v>
      </c>
      <c r="W247" s="238">
        <f t="shared" si="111"/>
        <v>891.89924541546463</v>
      </c>
      <c r="X247" s="238">
        <f t="shared" si="112"/>
        <v>1131.8604154513987</v>
      </c>
      <c r="Y247" s="238">
        <f t="shared" si="113"/>
        <v>1371.8215854873329</v>
      </c>
      <c r="AA247" s="120"/>
      <c r="AB247" s="120"/>
      <c r="AC247" s="120"/>
      <c r="AD247" s="120"/>
      <c r="AE247" s="120"/>
      <c r="AF247" s="120"/>
      <c r="AG247" s="120"/>
      <c r="AH247" s="120"/>
      <c r="AI247" s="120"/>
      <c r="AJ247" s="120"/>
      <c r="AK247" s="120"/>
      <c r="AL247" s="120"/>
      <c r="AM247" s="120"/>
      <c r="AN247" s="120"/>
      <c r="BR247" s="180">
        <v>2024</v>
      </c>
      <c r="BS247" s="22">
        <v>10</v>
      </c>
      <c r="BT247" s="181">
        <f t="shared" si="124"/>
        <v>282.7004445857462</v>
      </c>
      <c r="BU247" s="182">
        <f t="shared" si="125"/>
        <v>792.15106583111492</v>
      </c>
      <c r="BV247" s="205">
        <f t="shared" si="126"/>
        <v>1074.8515104168612</v>
      </c>
      <c r="BY247" s="180">
        <v>2024</v>
      </c>
      <c r="BZ247" s="22">
        <v>10</v>
      </c>
      <c r="CA247" s="181">
        <f t="shared" ca="1" si="127"/>
        <v>-3.1609686964491499</v>
      </c>
      <c r="CB247" s="181">
        <f t="shared" ca="1" si="128"/>
        <v>292.8155444143834</v>
      </c>
      <c r="CC247" s="182">
        <f t="shared" ca="1" si="129"/>
        <v>786.58776092536436</v>
      </c>
      <c r="CD247" s="205">
        <f t="shared" ca="1" si="130"/>
        <v>1076.2423366432986</v>
      </c>
      <c r="CG247" s="180">
        <v>2024</v>
      </c>
      <c r="CH247" s="22">
        <v>10</v>
      </c>
      <c r="CI247" s="181">
        <f t="shared" ca="1" si="131"/>
        <v>-2.1130467743971182</v>
      </c>
      <c r="CJ247" s="181">
        <f t="shared" ca="1" si="132"/>
        <v>6.9816558206570791</v>
      </c>
      <c r="CK247" s="181">
        <f t="shared" ca="1" si="133"/>
        <v>279.62590644859642</v>
      </c>
      <c r="CL247" s="182">
        <f t="shared" ca="1" si="134"/>
        <v>790.38110249476222</v>
      </c>
      <c r="CM247" s="205">
        <f t="shared" ca="1" si="135"/>
        <v>1074.8756179896186</v>
      </c>
      <c r="CP247" s="180">
        <v>2024</v>
      </c>
      <c r="CQ247" s="22">
        <v>10</v>
      </c>
      <c r="CR247" s="181">
        <f t="shared" ca="1" si="136"/>
        <v>838.30460332471296</v>
      </c>
      <c r="CS247" s="182">
        <f t="shared" ca="1" si="137"/>
        <v>1.2629808225478436</v>
      </c>
      <c r="CT247" s="205">
        <f t="shared" ca="1" si="138"/>
        <v>1058.7626374526897</v>
      </c>
      <c r="CZ247" s="164" t="b">
        <f t="shared" si="114"/>
        <v>1</v>
      </c>
      <c r="DA247" s="165" t="b">
        <f t="shared" si="114"/>
        <v>1</v>
      </c>
      <c r="DB247" s="166" t="b">
        <f t="shared" si="114"/>
        <v>1</v>
      </c>
      <c r="DC247" s="164">
        <f t="shared" si="115"/>
        <v>12</v>
      </c>
      <c r="DD247" s="166">
        <f t="shared" si="116"/>
        <v>891.89924541546463</v>
      </c>
      <c r="DE247" s="164">
        <f t="shared" si="117"/>
        <v>12</v>
      </c>
      <c r="DF247" s="166">
        <f t="shared" si="118"/>
        <v>1131.8604154513987</v>
      </c>
      <c r="DG247" s="164">
        <f t="shared" si="119"/>
        <v>12</v>
      </c>
      <c r="DH247" s="166">
        <f t="shared" si="120"/>
        <v>1371.8215854873329</v>
      </c>
      <c r="DI247" s="164">
        <f>IFERROR(INDEX(DC$233:DC$281,_xlfn.AGGREGATE(15,6,(ROW(DC$233:DC$281)-ROW(DC$233)+1)/(DC$233:DC$281&lt;&gt;""),ROWS(DI$1:DI15))),"")</f>
        <v>15</v>
      </c>
      <c r="DJ247" s="165">
        <f>IFERROR(INDEX(DD$233:DD$281,_xlfn.AGGREGATE(15,6,(ROW(DD$233:DD$281)-ROW(DD$233)+1)/(DD$233:DD$281&lt;&gt;""),ROWS(DJ$1:DJ15))),"")</f>
        <v>976.61862539519439</v>
      </c>
      <c r="DK247" s="166">
        <f t="shared" si="121"/>
        <v>247</v>
      </c>
      <c r="DL247" s="164">
        <f>IFERROR(INDEX(DE$233:DE$281,_xlfn.AGGREGATE(15,6,(ROW(DE$233:DE$281)-ROW(DE$233)+1)/(DE$233:DE$281&lt;&gt;""),ROWS(DL$1:DL15))),"")</f>
        <v>15</v>
      </c>
      <c r="DM247" s="165">
        <f>IFERROR(INDEX(DF$233:DF$281,_xlfn.AGGREGATE(15,6,(ROW(DF$233:DF$281)-ROW(DF$233)+1)/(DF$233:DF$281&lt;&gt;""),ROWS(DM$1:DM15))),"")</f>
        <v>1218.6240302581818</v>
      </c>
      <c r="DN247" s="166">
        <f t="shared" si="122"/>
        <v>247</v>
      </c>
      <c r="DO247" s="164">
        <f>IFERROR(INDEX(DG$233:DG$281,_xlfn.AGGREGATE(15,6,(ROW(DG$233:DG$281)-ROW(DG$233)+1)/(DG$233:DG$281&lt;&gt;""),ROWS(DO$1:DO15))),"")</f>
        <v>15</v>
      </c>
      <c r="DP247" s="165">
        <f>IFERROR(INDEX(DH$233:DH$281,_xlfn.AGGREGATE(15,6,(ROW(DH$233:DH$281)-ROW(DH$233)+1)/(DH$233:DH$281&lt;&gt;""),ROWS(DP$1:DP15))),"")</f>
        <v>1460.6294351211693</v>
      </c>
      <c r="DQ247" s="166">
        <f t="shared" si="123"/>
        <v>247</v>
      </c>
      <c r="DV247" s="145">
        <v>2029</v>
      </c>
      <c r="DW247" s="235">
        <f t="shared" ca="1" si="107"/>
        <v>1218.397154900545</v>
      </c>
      <c r="EA247" s="55"/>
      <c r="EB247" s="55"/>
      <c r="EC247" s="55"/>
      <c r="ED247" s="55"/>
      <c r="EE247" s="55"/>
    </row>
    <row r="248" spans="1:135" ht="13.8" x14ac:dyDescent="0.45">
      <c r="B248" s="128">
        <v>2027</v>
      </c>
      <c r="C248" s="244">
        <f>'Total MSW Summaries (Archive)'!F18</f>
        <v>1328.726763262388</v>
      </c>
      <c r="D248" s="244">
        <f>'Total MSW Summaries (Archive)'!R18</f>
        <v>996.47956729075815</v>
      </c>
      <c r="E248" s="244">
        <f>'Total MSW Summaries (Archive)'!AD18</f>
        <v>1459.7560000000005</v>
      </c>
      <c r="F248" s="244">
        <f>'Total MSW Summaries (Archive)'!AP18</f>
        <v>1231.8039985565115</v>
      </c>
      <c r="G248" s="244">
        <f>'Total MSW Summaries (Archive)'!BB18</f>
        <v>786.99809623937927</v>
      </c>
      <c r="H248" s="245"/>
      <c r="I248" s="246"/>
      <c r="J248" s="247"/>
      <c r="K248" s="245"/>
      <c r="L248" s="246"/>
      <c r="M248" s="245"/>
      <c r="N248" s="29" t="s">
        <v>119</v>
      </c>
      <c r="O248" s="120"/>
      <c r="P248" s="120"/>
      <c r="Q248" s="120"/>
      <c r="R248" s="29">
        <v>13</v>
      </c>
      <c r="S248" s="238">
        <f t="shared" si="108"/>
        <v>786.99809623937927</v>
      </c>
      <c r="T248" s="238">
        <f t="shared" si="109"/>
        <v>1459.7560000000005</v>
      </c>
      <c r="U248" s="238">
        <f t="shared" si="110"/>
        <v>240.55964429992383</v>
      </c>
      <c r="W248" s="238">
        <f t="shared" si="111"/>
        <v>920.19324076988369</v>
      </c>
      <c r="X248" s="238">
        <f t="shared" si="112"/>
        <v>1160.7528850698075</v>
      </c>
      <c r="Y248" s="238">
        <f t="shared" si="113"/>
        <v>1401.3125293697312</v>
      </c>
      <c r="AA248" s="89"/>
      <c r="AB248" s="89"/>
      <c r="AC248" s="89"/>
      <c r="AD248" s="89"/>
      <c r="AE248" s="89"/>
      <c r="AF248" s="89"/>
      <c r="AG248" s="89"/>
      <c r="AH248" s="89"/>
      <c r="AI248" s="89"/>
      <c r="AJ248" s="89"/>
      <c r="AK248" s="89"/>
      <c r="AL248" s="89"/>
      <c r="AM248" s="89"/>
      <c r="AN248" s="89"/>
      <c r="BR248" s="180">
        <v>2025</v>
      </c>
      <c r="BS248" s="22">
        <v>11</v>
      </c>
      <c r="BT248" s="181">
        <f t="shared" si="124"/>
        <v>310.9704890443208</v>
      </c>
      <c r="BU248" s="182">
        <f t="shared" si="125"/>
        <v>792.15106583111492</v>
      </c>
      <c r="BV248" s="205">
        <f t="shared" si="126"/>
        <v>1103.1215548754358</v>
      </c>
      <c r="BY248" s="180">
        <v>2025</v>
      </c>
      <c r="BZ248" s="22">
        <v>11</v>
      </c>
      <c r="CA248" s="181">
        <f t="shared" ca="1" si="127"/>
        <v>-3.8247721227034712</v>
      </c>
      <c r="CB248" s="181">
        <f t="shared" ca="1" si="128"/>
        <v>322.09709885582174</v>
      </c>
      <c r="CC248" s="182">
        <f t="shared" ca="1" si="129"/>
        <v>786.58776092536436</v>
      </c>
      <c r="CD248" s="205">
        <f t="shared" ca="1" si="130"/>
        <v>1104.8600876584826</v>
      </c>
      <c r="CG248" s="180">
        <v>2025</v>
      </c>
      <c r="CH248" s="22">
        <v>11</v>
      </c>
      <c r="CI248" s="181">
        <f t="shared" ca="1" si="131"/>
        <v>-2.8124652567225641</v>
      </c>
      <c r="CJ248" s="181">
        <f t="shared" ca="1" si="132"/>
        <v>8.4478035429950662</v>
      </c>
      <c r="CK248" s="181">
        <f t="shared" ca="1" si="133"/>
        <v>307.58849709345611</v>
      </c>
      <c r="CL248" s="182">
        <f t="shared" ca="1" si="134"/>
        <v>790.38110249476222</v>
      </c>
      <c r="CM248" s="205">
        <f t="shared" ca="1" si="135"/>
        <v>1103.6049378744908</v>
      </c>
      <c r="CP248" s="180">
        <v>2025</v>
      </c>
      <c r="CQ248" s="22">
        <v>11</v>
      </c>
      <c r="CR248" s="181">
        <f t="shared" ca="1" si="136"/>
        <v>838.30460332471296</v>
      </c>
      <c r="CS248" s="182">
        <f t="shared" ca="1" si="137"/>
        <v>1.2928151469747611</v>
      </c>
      <c r="CT248" s="205">
        <f t="shared" ca="1" si="138"/>
        <v>1083.7728889568575</v>
      </c>
      <c r="CZ248" s="164" t="b">
        <f t="shared" si="114"/>
        <v>1</v>
      </c>
      <c r="DA248" s="165" t="b">
        <f t="shared" si="114"/>
        <v>1</v>
      </c>
      <c r="DB248" s="166" t="b">
        <f t="shared" si="114"/>
        <v>1</v>
      </c>
      <c r="DC248" s="164">
        <f t="shared" si="115"/>
        <v>13</v>
      </c>
      <c r="DD248" s="166">
        <f t="shared" si="116"/>
        <v>920.19324076988369</v>
      </c>
      <c r="DE248" s="164">
        <f t="shared" si="117"/>
        <v>13</v>
      </c>
      <c r="DF248" s="166">
        <f t="shared" si="118"/>
        <v>1160.7528850698075</v>
      </c>
      <c r="DG248" s="164">
        <f t="shared" si="119"/>
        <v>13</v>
      </c>
      <c r="DH248" s="166">
        <f t="shared" si="120"/>
        <v>1401.3125293697312</v>
      </c>
      <c r="DI248" s="164">
        <f>IFERROR(INDEX(DC$233:DC$281,_xlfn.AGGREGATE(15,6,(ROW(DC$233:DC$281)-ROW(DC$233)+1)/(DC$233:DC$281&lt;&gt;""),ROWS(DI$1:DI16))),"")</f>
        <v>16</v>
      </c>
      <c r="DJ248" s="165">
        <f>IFERROR(INDEX(DD$233:DD$281,_xlfn.AGGREGATE(15,6,(ROW(DD$233:DD$281)-ROW(DD$233)+1)/(DD$233:DD$281&lt;&gt;""),ROWS(DJ$1:DJ16))),"")</f>
        <v>1005.2676457779841</v>
      </c>
      <c r="DK248" s="166">
        <f t="shared" si="121"/>
        <v>248</v>
      </c>
      <c r="DL248" s="164">
        <f>IFERROR(INDEX(DE$233:DE$281,_xlfn.AGGREGATE(15,6,(ROW(DE$233:DE$281)-ROW(DE$233)+1)/(DE$233:DE$281&lt;&gt;""),ROWS(DL$1:DL16))),"")</f>
        <v>16</v>
      </c>
      <c r="DM248" s="165">
        <f>IFERROR(INDEX(DF$233:DF$281,_xlfn.AGGREGATE(15,6,(ROW(DF$233:DF$281)-ROW(DF$233)+1)/(DF$233:DF$281&lt;&gt;""),ROWS(DM$1:DM16))),"")</f>
        <v>1248.3888200762624</v>
      </c>
      <c r="DN248" s="166">
        <f t="shared" si="122"/>
        <v>248</v>
      </c>
      <c r="DO248" s="164">
        <f>IFERROR(INDEX(DG$233:DG$281,_xlfn.AGGREGATE(15,6,(ROW(DG$233:DG$281)-ROW(DG$233)+1)/(DG$233:DG$281&lt;&gt;""),ROWS(DO$1:DO16))),"")</f>
        <v>16</v>
      </c>
      <c r="DP248" s="165">
        <f>IFERROR(INDEX(DH$233:DH$281,_xlfn.AGGREGATE(15,6,(ROW(DH$233:DH$281)-ROW(DH$233)+1)/(DH$233:DH$281&lt;&gt;""),ROWS(DP$1:DP16))),"")</f>
        <v>1491.5099943745406</v>
      </c>
      <c r="DQ248" s="166">
        <f t="shared" si="123"/>
        <v>248</v>
      </c>
      <c r="DV248" s="145">
        <v>2030</v>
      </c>
      <c r="DW248" s="235">
        <f t="shared" ca="1" si="107"/>
        <v>1247.0005521254679</v>
      </c>
    </row>
    <row r="249" spans="1:135" ht="13.8" x14ac:dyDescent="0.45">
      <c r="A249" s="208" t="str">
        <f>$A$62</f>
        <v>Base Cases</v>
      </c>
      <c r="B249" s="128">
        <v>2028</v>
      </c>
      <c r="C249" s="244">
        <f>'Total MSW Summaries (Archive)'!F19</f>
        <v>1353.8303961493241</v>
      </c>
      <c r="D249" s="244">
        <f>'Total MSW Summaries (Archive)'!R19</f>
        <v>1039.1774867457975</v>
      </c>
      <c r="E249" s="244">
        <f>'Total MSW Summaries (Archive)'!AD19</f>
        <v>1490.4280000000006</v>
      </c>
      <c r="F249" s="244">
        <f>'Total MSW Summaries (Archive)'!AP19</f>
        <v>1257.7244277350524</v>
      </c>
      <c r="G249" s="244">
        <f>'Total MSW Summaries (Archive)'!BB19</f>
        <v>807.2096873694403</v>
      </c>
      <c r="H249" s="245"/>
      <c r="I249" s="246"/>
      <c r="J249" s="247"/>
      <c r="K249" s="245"/>
      <c r="L249" s="246"/>
      <c r="M249" s="245"/>
      <c r="N249" s="29" t="s">
        <v>119</v>
      </c>
      <c r="O249" s="120"/>
      <c r="P249" s="120"/>
      <c r="Q249" s="120"/>
      <c r="R249" s="29">
        <v>14</v>
      </c>
      <c r="S249" s="238">
        <f t="shared" si="108"/>
        <v>807.2096873694403</v>
      </c>
      <c r="T249" s="238">
        <f t="shared" si="109"/>
        <v>1490.4280000000006</v>
      </c>
      <c r="U249" s="238">
        <f t="shared" si="110"/>
        <v>241.2298914170033</v>
      </c>
      <c r="W249" s="238">
        <f t="shared" si="111"/>
        <v>948.44410818291976</v>
      </c>
      <c r="X249" s="238">
        <f t="shared" si="112"/>
        <v>1189.673999599923</v>
      </c>
      <c r="Y249" s="238">
        <f t="shared" si="113"/>
        <v>1430.9038910169263</v>
      </c>
      <c r="AA249" s="114"/>
      <c r="AB249" s="114"/>
      <c r="AC249" s="114"/>
      <c r="AD249" s="114"/>
      <c r="AE249" s="114"/>
      <c r="AF249" s="114"/>
      <c r="AG249" s="114"/>
      <c r="AH249" s="114"/>
      <c r="AI249" s="114"/>
      <c r="AJ249" s="114"/>
      <c r="AK249" s="114"/>
      <c r="AL249" s="114"/>
      <c r="AM249" s="114"/>
      <c r="AN249" s="114"/>
      <c r="BR249" s="180">
        <v>2026</v>
      </c>
      <c r="BS249" s="22">
        <v>12</v>
      </c>
      <c r="BT249" s="181">
        <f t="shared" si="124"/>
        <v>339.24053350289546</v>
      </c>
      <c r="BU249" s="182">
        <f t="shared" si="125"/>
        <v>792.15106583111492</v>
      </c>
      <c r="BV249" s="205">
        <f t="shared" si="126"/>
        <v>1131.3915993340104</v>
      </c>
      <c r="BY249" s="180">
        <v>2026</v>
      </c>
      <c r="BZ249" s="22">
        <v>12</v>
      </c>
      <c r="CA249" s="181">
        <f t="shared" ca="1" si="127"/>
        <v>-4.551794922886776</v>
      </c>
      <c r="CB249" s="181">
        <f t="shared" ca="1" si="128"/>
        <v>351.37865329726009</v>
      </c>
      <c r="CC249" s="182">
        <f t="shared" ca="1" si="129"/>
        <v>786.58776092536436</v>
      </c>
      <c r="CD249" s="205">
        <f t="shared" ca="1" si="130"/>
        <v>1133.4146192997378</v>
      </c>
      <c r="CG249" s="180">
        <v>2026</v>
      </c>
      <c r="CH249" s="22">
        <v>12</v>
      </c>
      <c r="CI249" s="181">
        <f t="shared" ca="1" si="131"/>
        <v>-3.65134482615822</v>
      </c>
      <c r="CJ249" s="181">
        <f t="shared" ca="1" si="132"/>
        <v>10.053584381746195</v>
      </c>
      <c r="CK249" s="181">
        <f t="shared" ca="1" si="133"/>
        <v>335.55108773831574</v>
      </c>
      <c r="CL249" s="182">
        <f t="shared" ca="1" si="134"/>
        <v>790.38110249476222</v>
      </c>
      <c r="CM249" s="205">
        <f t="shared" ca="1" si="135"/>
        <v>1132.3344297886661</v>
      </c>
      <c r="CP249" s="180">
        <v>2026</v>
      </c>
      <c r="CQ249" s="22">
        <v>12</v>
      </c>
      <c r="CR249" s="181">
        <f t="shared" ca="1" si="136"/>
        <v>838.30460332471296</v>
      </c>
      <c r="CS249" s="182">
        <f t="shared" ca="1" si="137"/>
        <v>1.3233542223354378</v>
      </c>
      <c r="CT249" s="205">
        <f t="shared" ca="1" si="138"/>
        <v>1109.3739364129931</v>
      </c>
      <c r="CZ249" s="164" t="b">
        <f t="shared" si="114"/>
        <v>1</v>
      </c>
      <c r="DA249" s="165" t="b">
        <f t="shared" si="114"/>
        <v>1</v>
      </c>
      <c r="DB249" s="166" t="b">
        <f t="shared" si="114"/>
        <v>1</v>
      </c>
      <c r="DC249" s="164">
        <f t="shared" si="115"/>
        <v>14</v>
      </c>
      <c r="DD249" s="166">
        <f t="shared" si="116"/>
        <v>948.44410818291976</v>
      </c>
      <c r="DE249" s="164">
        <f t="shared" si="117"/>
        <v>14</v>
      </c>
      <c r="DF249" s="166">
        <f t="shared" si="118"/>
        <v>1189.673999599923</v>
      </c>
      <c r="DG249" s="164">
        <f t="shared" si="119"/>
        <v>14</v>
      </c>
      <c r="DH249" s="166">
        <f t="shared" si="120"/>
        <v>1430.9038910169263</v>
      </c>
      <c r="DI249" s="164">
        <f>IFERROR(INDEX(DC$233:DC$281,_xlfn.AGGREGATE(15,6,(ROW(DC$233:DC$281)-ROW(DC$233)+1)/(DC$233:DC$281&lt;&gt;""),ROWS(DI$1:DI17))),"")</f>
        <v>17</v>
      </c>
      <c r="DJ249" s="165">
        <f>IFERROR(INDEX(DD$233:DD$281,_xlfn.AGGREGATE(15,6,(ROW(DD$233:DD$281)-ROW(DD$233)+1)/(DD$233:DD$281&lt;&gt;""),ROWS(DJ$1:DJ17))),"")</f>
        <v>1032.5961697963669</v>
      </c>
      <c r="DK249" s="166">
        <f t="shared" si="121"/>
        <v>249</v>
      </c>
      <c r="DL249" s="164">
        <f>IFERROR(INDEX(DE$233:DE$281,_xlfn.AGGREGATE(15,6,(ROW(DE$233:DE$281)-ROW(DE$233)+1)/(DE$233:DE$281&lt;&gt;""),ROWS(DL$1:DL17))),"")</f>
        <v>17</v>
      </c>
      <c r="DM249" s="165">
        <f>IFERROR(INDEX(DF$233:DF$281,_xlfn.AGGREGATE(15,6,(ROW(DF$233:DF$281)-ROW(DF$233)+1)/(DF$233:DF$281&lt;&gt;""),ROWS(DM$1:DM17))),"")</f>
        <v>1276.609521955465</v>
      </c>
      <c r="DN249" s="166">
        <f t="shared" si="122"/>
        <v>249</v>
      </c>
      <c r="DO249" s="164">
        <f>IFERROR(INDEX(DG$233:DG$281,_xlfn.AGGREGATE(15,6,(ROW(DG$233:DG$281)-ROW(DG$233)+1)/(DG$233:DG$281&lt;&gt;""),ROWS(DO$1:DO17))),"")</f>
        <v>17</v>
      </c>
      <c r="DP249" s="165">
        <f>IFERROR(INDEX(DH$233:DH$281,_xlfn.AGGREGATE(15,6,(ROW(DH$233:DH$281)-ROW(DH$233)+1)/(DH$233:DH$281&lt;&gt;""),ROWS(DP$1:DP17))),"")</f>
        <v>1520.622874114563</v>
      </c>
      <c r="DQ249" s="166">
        <f t="shared" si="123"/>
        <v>249</v>
      </c>
      <c r="DV249" s="145">
        <v>2031</v>
      </c>
      <c r="DW249" s="235">
        <f t="shared" ca="1" si="107"/>
        <v>1275.540729976462</v>
      </c>
    </row>
    <row r="250" spans="1:135" ht="13.8" x14ac:dyDescent="0.45">
      <c r="A250" s="209" t="str">
        <f>$A$63</f>
        <v>Conservative Cases</v>
      </c>
      <c r="B250" s="128">
        <v>2029</v>
      </c>
      <c r="C250" s="244">
        <f>'Total MSW Summaries (Archive)'!F20</f>
        <v>1378.8387143349623</v>
      </c>
      <c r="D250" s="244">
        <f>'Total MSW Summaries (Archive)'!R20</f>
        <v>1082.6858438766108</v>
      </c>
      <c r="E250" s="244">
        <f>'Total MSW Summaries (Archive)'!AD20</f>
        <v>1521.1000000000006</v>
      </c>
      <c r="F250" s="244">
        <f>'Total MSW Summaries (Archive)'!AP20</f>
        <v>1283.074314579834</v>
      </c>
      <c r="G250" s="244">
        <f>'Total MSW Summaries (Archive)'!BB20</f>
        <v>827.42127849950134</v>
      </c>
      <c r="H250" s="245"/>
      <c r="I250" s="246"/>
      <c r="J250" s="247"/>
      <c r="K250" s="245"/>
      <c r="L250" s="246"/>
      <c r="M250" s="245"/>
      <c r="N250" s="29" t="s">
        <v>119</v>
      </c>
      <c r="O250" s="120"/>
      <c r="P250" s="120"/>
      <c r="Q250" s="120"/>
      <c r="R250" s="29">
        <v>15</v>
      </c>
      <c r="S250" s="238">
        <f t="shared" si="108"/>
        <v>827.42127849950134</v>
      </c>
      <c r="T250" s="238">
        <f t="shared" si="109"/>
        <v>1521.1000000000006</v>
      </c>
      <c r="U250" s="238">
        <f t="shared" si="110"/>
        <v>242.00540486298746</v>
      </c>
      <c r="W250" s="238">
        <f t="shared" si="111"/>
        <v>976.61862539519439</v>
      </c>
      <c r="X250" s="238">
        <f t="shared" si="112"/>
        <v>1218.6240302581818</v>
      </c>
      <c r="Y250" s="238">
        <f t="shared" si="113"/>
        <v>1460.6294351211693</v>
      </c>
      <c r="AA250" s="89"/>
      <c r="AB250" s="89"/>
      <c r="AC250" s="89"/>
      <c r="AD250" s="89"/>
      <c r="AE250" s="89"/>
      <c r="AF250" s="89"/>
      <c r="AG250" s="89"/>
      <c r="AH250" s="89"/>
      <c r="AI250" s="89"/>
      <c r="AJ250" s="89"/>
      <c r="AK250" s="89"/>
      <c r="AL250" s="89"/>
      <c r="AM250" s="89"/>
      <c r="AN250" s="89"/>
      <c r="BR250" s="180">
        <v>2027</v>
      </c>
      <c r="BS250" s="22">
        <v>13</v>
      </c>
      <c r="BT250" s="181">
        <f t="shared" si="124"/>
        <v>367.51057796147006</v>
      </c>
      <c r="BU250" s="182">
        <f t="shared" si="125"/>
        <v>792.15106583111492</v>
      </c>
      <c r="BV250" s="205">
        <f t="shared" si="126"/>
        <v>1159.661643792585</v>
      </c>
      <c r="BY250" s="180">
        <v>2027</v>
      </c>
      <c r="BZ250" s="22">
        <v>13</v>
      </c>
      <c r="CA250" s="181">
        <f t="shared" ca="1" si="127"/>
        <v>-5.3420370969990634</v>
      </c>
      <c r="CB250" s="181">
        <f t="shared" ca="1" si="128"/>
        <v>380.66020773869843</v>
      </c>
      <c r="CC250" s="182">
        <f t="shared" ca="1" si="129"/>
        <v>786.58776092536436</v>
      </c>
      <c r="CD250" s="205">
        <f t="shared" ca="1" si="130"/>
        <v>1161.9059315670638</v>
      </c>
      <c r="CG250" s="180">
        <v>2027</v>
      </c>
      <c r="CH250" s="22">
        <v>13</v>
      </c>
      <c r="CI250" s="181">
        <f t="shared" ca="1" si="131"/>
        <v>-4.6423637633504686</v>
      </c>
      <c r="CJ250" s="181">
        <f t="shared" ca="1" si="132"/>
        <v>11.798998336910463</v>
      </c>
      <c r="CK250" s="181">
        <f t="shared" ca="1" si="133"/>
        <v>363.51367838317537</v>
      </c>
      <c r="CL250" s="182">
        <f t="shared" ca="1" si="134"/>
        <v>790.38110249476222</v>
      </c>
      <c r="CM250" s="205">
        <f t="shared" ca="1" si="135"/>
        <v>1161.0514154514976</v>
      </c>
      <c r="CP250" s="180">
        <v>2027</v>
      </c>
      <c r="CQ250" s="22">
        <v>13</v>
      </c>
      <c r="CR250" s="181">
        <f t="shared" ca="1" si="136"/>
        <v>838.30460332471296</v>
      </c>
      <c r="CS250" s="182">
        <f t="shared" ca="1" si="137"/>
        <v>1.3546146963632537</v>
      </c>
      <c r="CT250" s="205">
        <f t="shared" ca="1" si="138"/>
        <v>1135.5797356926239</v>
      </c>
      <c r="CZ250" s="164" t="b">
        <f t="shared" si="114"/>
        <v>1</v>
      </c>
      <c r="DA250" s="165" t="b">
        <f t="shared" si="114"/>
        <v>1</v>
      </c>
      <c r="DB250" s="166" t="b">
        <f t="shared" si="114"/>
        <v>1</v>
      </c>
      <c r="DC250" s="164">
        <f t="shared" si="115"/>
        <v>15</v>
      </c>
      <c r="DD250" s="166">
        <f t="shared" si="116"/>
        <v>976.61862539519439</v>
      </c>
      <c r="DE250" s="164">
        <f t="shared" si="117"/>
        <v>15</v>
      </c>
      <c r="DF250" s="166">
        <f t="shared" si="118"/>
        <v>1218.6240302581818</v>
      </c>
      <c r="DG250" s="164">
        <f t="shared" si="119"/>
        <v>15</v>
      </c>
      <c r="DH250" s="166">
        <f t="shared" si="120"/>
        <v>1460.6294351211693</v>
      </c>
      <c r="DI250" s="164">
        <f>IFERROR(INDEX(DC$233:DC$281,_xlfn.AGGREGATE(15,6,(ROW(DC$233:DC$281)-ROW(DC$233)+1)/(DC$233:DC$281&lt;&gt;""),ROWS(DI$1:DI18))),"")</f>
        <v>18</v>
      </c>
      <c r="DJ250" s="165">
        <f>IFERROR(INDEX(DD$233:DD$281,_xlfn.AGGREGATE(15,6,(ROW(DD$233:DD$281)-ROW(DD$233)+1)/(DD$233:DD$281&lt;&gt;""),ROWS(DJ$1:DJ18))),"")</f>
        <v>1059.4049861190649</v>
      </c>
      <c r="DK250" s="166">
        <f t="shared" si="121"/>
        <v>250</v>
      </c>
      <c r="DL250" s="164">
        <f>IFERROR(INDEX(DE$233:DE$281,_xlfn.AGGREGATE(15,6,(ROW(DE$233:DE$281)-ROW(DE$233)+1)/(DE$233:DE$281&lt;&gt;""),ROWS(DL$1:DL18))),"")</f>
        <v>18</v>
      </c>
      <c r="DM250" s="165">
        <f>IFERROR(INDEX(DF$233:DF$281,_xlfn.AGGREGATE(15,6,(ROW(DF$233:DF$281)-ROW(DF$233)+1)/(DF$233:DF$281&lt;&gt;""),ROWS(DM$1:DM18))),"")</f>
        <v>1304.526686797439</v>
      </c>
      <c r="DN250" s="166">
        <f t="shared" si="122"/>
        <v>250</v>
      </c>
      <c r="DO250" s="164">
        <f>IFERROR(INDEX(DG$233:DG$281,_xlfn.AGGREGATE(15,6,(ROW(DG$233:DG$281)-ROW(DG$233)+1)/(DG$233:DG$281&lt;&gt;""),ROWS(DO$1:DO18))),"")</f>
        <v>18</v>
      </c>
      <c r="DP250" s="165">
        <f>IFERROR(INDEX(DH$233:DH$281,_xlfn.AGGREGATE(15,6,(ROW(DH$233:DH$281)-ROW(DH$233)+1)/(DH$233:DH$281&lt;&gt;""),ROWS(DP$1:DP18))),"")</f>
        <v>1549.648387475813</v>
      </c>
      <c r="DQ250" s="166">
        <f t="shared" si="123"/>
        <v>250</v>
      </c>
      <c r="DV250" s="145">
        <v>2032</v>
      </c>
      <c r="DW250" s="235">
        <f t="shared" ca="1" si="107"/>
        <v>1304.0050101728807</v>
      </c>
    </row>
    <row r="251" spans="1:135" ht="13.8" x14ac:dyDescent="0.45">
      <c r="A251" s="210" t="str">
        <f>$A$64</f>
        <v>Ambitious Cases</v>
      </c>
      <c r="B251" s="128">
        <v>2030</v>
      </c>
      <c r="C251" s="244">
        <f>'Total MSW Summaries (Archive)'!F21</f>
        <v>1403.7479735842278</v>
      </c>
      <c r="D251" s="244">
        <f>'Total MSW Summaries (Archive)'!R21</f>
        <v>1126.996590717459</v>
      </c>
      <c r="E251" s="244">
        <f>'Total MSW Summaries (Archive)'!AD21</f>
        <v>1551.7720000000006</v>
      </c>
      <c r="F251" s="244">
        <f>'Total MSW Summaries (Archive)'!AP21</f>
        <v>1311.7946664500628</v>
      </c>
      <c r="G251" s="244">
        <f>'Total MSW Summaries (Archive)'!BB21</f>
        <v>847.63286962956238</v>
      </c>
      <c r="H251" s="245"/>
      <c r="I251" s="246"/>
      <c r="J251" s="247"/>
      <c r="K251" s="245"/>
      <c r="L251" s="246"/>
      <c r="M251" s="245"/>
      <c r="N251" s="29" t="s">
        <v>119</v>
      </c>
      <c r="O251" s="120"/>
      <c r="P251" s="120"/>
      <c r="Q251" s="120"/>
      <c r="R251" s="29">
        <v>16</v>
      </c>
      <c r="S251" s="238">
        <f t="shared" si="108"/>
        <v>847.63286962956238</v>
      </c>
      <c r="T251" s="238">
        <f t="shared" si="109"/>
        <v>1551.7720000000006</v>
      </c>
      <c r="U251" s="238">
        <f t="shared" si="110"/>
        <v>243.12117429827831</v>
      </c>
      <c r="W251" s="238">
        <f t="shared" si="111"/>
        <v>1005.2676457779841</v>
      </c>
      <c r="X251" s="238">
        <f t="shared" si="112"/>
        <v>1248.3888200762624</v>
      </c>
      <c r="Y251" s="238">
        <f t="shared" si="113"/>
        <v>1491.5099943745406</v>
      </c>
      <c r="AA251" s="89"/>
      <c r="AB251" s="89"/>
      <c r="AC251" s="89"/>
      <c r="AD251" s="89"/>
      <c r="AE251" s="89"/>
      <c r="AF251" s="89"/>
      <c r="AG251" s="89"/>
      <c r="AH251" s="89"/>
      <c r="AI251" s="89"/>
      <c r="AJ251" s="89"/>
      <c r="AK251" s="89"/>
      <c r="AL251" s="89"/>
      <c r="AM251" s="89"/>
      <c r="AN251" s="89"/>
      <c r="BR251" s="180">
        <v>2028</v>
      </c>
      <c r="BS251" s="22">
        <v>14</v>
      </c>
      <c r="BT251" s="181">
        <f t="shared" si="124"/>
        <v>395.78062242004466</v>
      </c>
      <c r="BU251" s="182">
        <f t="shared" si="125"/>
        <v>792.15106583111492</v>
      </c>
      <c r="BV251" s="205">
        <f t="shared" si="126"/>
        <v>1187.9316882511596</v>
      </c>
      <c r="BY251" s="180">
        <v>2028</v>
      </c>
      <c r="BZ251" s="22">
        <v>14</v>
      </c>
      <c r="CA251" s="181">
        <f t="shared" ca="1" si="127"/>
        <v>-6.1954986450403338</v>
      </c>
      <c r="CB251" s="181">
        <f t="shared" ca="1" si="128"/>
        <v>409.94176218013678</v>
      </c>
      <c r="CC251" s="182">
        <f t="shared" ca="1" si="129"/>
        <v>786.58776092536436</v>
      </c>
      <c r="CD251" s="205">
        <f t="shared" ca="1" si="130"/>
        <v>1190.3340244604608</v>
      </c>
      <c r="CG251" s="180">
        <v>2028</v>
      </c>
      <c r="CH251" s="22">
        <v>14</v>
      </c>
      <c r="CI251" s="181">
        <f t="shared" ca="1" si="131"/>
        <v>-5.7982003489456915</v>
      </c>
      <c r="CJ251" s="181">
        <f t="shared" ca="1" si="132"/>
        <v>13.684045408487874</v>
      </c>
      <c r="CK251" s="181">
        <f t="shared" ca="1" si="133"/>
        <v>391.47626902803506</v>
      </c>
      <c r="CL251" s="182">
        <f t="shared" ca="1" si="134"/>
        <v>790.38110249476222</v>
      </c>
      <c r="CM251" s="205">
        <f t="shared" ca="1" si="135"/>
        <v>1189.7432165823395</v>
      </c>
      <c r="CP251" s="180">
        <v>2028</v>
      </c>
      <c r="CQ251" s="22">
        <v>14</v>
      </c>
      <c r="CR251" s="181">
        <f t="shared" ca="1" si="136"/>
        <v>838.30460332471296</v>
      </c>
      <c r="CS251" s="182">
        <f t="shared" ca="1" si="137"/>
        <v>1.3866136100468702</v>
      </c>
      <c r="CT251" s="205">
        <f t="shared" ca="1" si="138"/>
        <v>1162.4045723349898</v>
      </c>
      <c r="CZ251" s="164" t="b">
        <f t="shared" si="114"/>
        <v>1</v>
      </c>
      <c r="DA251" s="165" t="b">
        <f t="shared" si="114"/>
        <v>1</v>
      </c>
      <c r="DB251" s="166" t="b">
        <f t="shared" si="114"/>
        <v>1</v>
      </c>
      <c r="DC251" s="164">
        <f t="shared" si="115"/>
        <v>16</v>
      </c>
      <c r="DD251" s="166">
        <f t="shared" si="116"/>
        <v>1005.2676457779841</v>
      </c>
      <c r="DE251" s="164">
        <f t="shared" si="117"/>
        <v>16</v>
      </c>
      <c r="DF251" s="166">
        <f t="shared" si="118"/>
        <v>1248.3888200762624</v>
      </c>
      <c r="DG251" s="164">
        <f t="shared" si="119"/>
        <v>16</v>
      </c>
      <c r="DH251" s="166">
        <f t="shared" si="120"/>
        <v>1491.5099943745406</v>
      </c>
      <c r="DI251" s="164">
        <f>IFERROR(INDEX(DC$233:DC$281,_xlfn.AGGREGATE(15,6,(ROW(DC$233:DC$281)-ROW(DC$233)+1)/(DC$233:DC$281&lt;&gt;""),ROWS(DI$1:DI19))),"")</f>
        <v>19</v>
      </c>
      <c r="DJ251" s="165">
        <f>IFERROR(INDEX(DD$233:DD$281,_xlfn.AGGREGATE(15,6,(ROW(DD$233:DD$281)-ROW(DD$233)+1)/(DD$233:DD$281&lt;&gt;""),ROWS(DJ$1:DJ19))),"")</f>
        <v>1085.9721910010994</v>
      </c>
      <c r="DK251" s="166">
        <f t="shared" si="121"/>
        <v>251</v>
      </c>
      <c r="DL251" s="164">
        <f>IFERROR(INDEX(DE$233:DE$281,_xlfn.AGGREGATE(15,6,(ROW(DE$233:DE$281)-ROW(DE$233)+1)/(DE$233:DE$281&lt;&gt;""),ROWS(DL$1:DL19))),"")</f>
        <v>19</v>
      </c>
      <c r="DM251" s="165">
        <f>IFERROR(INDEX(DF$233:DF$281,_xlfn.AGGREGATE(15,6,(ROW(DF$233:DF$281)-ROW(DF$233)+1)/(DF$233:DF$281&lt;&gt;""),ROWS(DM$1:DM19))),"")</f>
        <v>1332.4447406975064</v>
      </c>
      <c r="DN251" s="166">
        <f t="shared" si="122"/>
        <v>251</v>
      </c>
      <c r="DO251" s="164">
        <f>IFERROR(INDEX(DG$233:DG$281,_xlfn.AGGREGATE(15,6,(ROW(DG$233:DG$281)-ROW(DG$233)+1)/(DG$233:DG$281&lt;&gt;""),ROWS(DO$1:DO19))),"")</f>
        <v>19</v>
      </c>
      <c r="DP251" s="165">
        <f>IFERROR(INDEX(DH$233:DH$281,_xlfn.AGGREGATE(15,6,(ROW(DH$233:DH$281)-ROW(DH$233)+1)/(DH$233:DH$281&lt;&gt;""),ROWS(DP$1:DP19))),"")</f>
        <v>1578.9172903939134</v>
      </c>
      <c r="DQ251" s="166">
        <f t="shared" si="123"/>
        <v>251</v>
      </c>
      <c r="DV251" s="145">
        <v>2033</v>
      </c>
      <c r="DW251" s="235">
        <f t="shared" ca="1" si="107"/>
        <v>1332.3807144340776</v>
      </c>
    </row>
    <row r="252" spans="1:135" ht="13.8" x14ac:dyDescent="0.45">
      <c r="A252" s="211" t="str">
        <f>$A$65</f>
        <v>Maximum Cases</v>
      </c>
      <c r="B252" s="128">
        <v>2031</v>
      </c>
      <c r="C252" s="244">
        <f>'Total MSW Summaries (Archive)'!F22</f>
        <v>1428.5513044725662</v>
      </c>
      <c r="D252" s="244">
        <f>'Total MSW Summaries (Archive)'!R22</f>
        <v>1172.0988510636862</v>
      </c>
      <c r="E252" s="244">
        <f>'Total MSW Summaries (Archive)'!AD22</f>
        <v>1582.4440000000006</v>
      </c>
      <c r="F252" s="244">
        <f>'Total MSW Summaries (Archive)'!AP22</f>
        <v>1332.1089934814472</v>
      </c>
      <c r="G252" s="244">
        <f>'Total MSW Summaries (Archive)'!BB22</f>
        <v>867.84446075962342</v>
      </c>
      <c r="H252" s="245"/>
      <c r="I252" s="246"/>
      <c r="J252" s="247"/>
      <c r="K252" s="245"/>
      <c r="L252" s="246"/>
      <c r="M252" s="245"/>
      <c r="N252" s="29" t="s">
        <v>119</v>
      </c>
      <c r="O252" s="120"/>
      <c r="P252" s="120"/>
      <c r="Q252" s="120"/>
      <c r="R252" s="29">
        <v>17</v>
      </c>
      <c r="S252" s="238">
        <f t="shared" si="108"/>
        <v>867.84446075962342</v>
      </c>
      <c r="T252" s="238">
        <f t="shared" si="109"/>
        <v>1582.4440000000006</v>
      </c>
      <c r="U252" s="238">
        <f t="shared" si="110"/>
        <v>244.01335215909808</v>
      </c>
      <c r="W252" s="238">
        <f t="shared" si="111"/>
        <v>1032.5961697963669</v>
      </c>
      <c r="X252" s="238">
        <f t="shared" si="112"/>
        <v>1276.609521955465</v>
      </c>
      <c r="Y252" s="238">
        <f t="shared" si="113"/>
        <v>1520.622874114563</v>
      </c>
      <c r="AA252" s="89"/>
      <c r="AB252" s="89"/>
      <c r="AC252" s="89"/>
      <c r="AD252" s="89"/>
      <c r="AE252" s="89"/>
      <c r="AF252" s="89"/>
      <c r="AG252" s="89"/>
      <c r="AH252" s="89"/>
      <c r="AI252" s="89"/>
      <c r="AJ252" s="89"/>
      <c r="AK252" s="89"/>
      <c r="AL252" s="89"/>
      <c r="AM252" s="89"/>
      <c r="AN252" s="89"/>
      <c r="BR252" s="180">
        <v>2029</v>
      </c>
      <c r="BS252" s="22">
        <v>15</v>
      </c>
      <c r="BT252" s="181">
        <f t="shared" si="124"/>
        <v>424.05066687861932</v>
      </c>
      <c r="BU252" s="182">
        <f t="shared" si="125"/>
        <v>792.15106583111492</v>
      </c>
      <c r="BV252" s="205">
        <f t="shared" si="126"/>
        <v>1216.2017327097342</v>
      </c>
      <c r="BY252" s="180">
        <v>2029</v>
      </c>
      <c r="BZ252" s="22">
        <v>15</v>
      </c>
      <c r="CA252" s="181">
        <f t="shared" ca="1" si="127"/>
        <v>-7.1121795670105872</v>
      </c>
      <c r="CB252" s="181">
        <f t="shared" ca="1" si="128"/>
        <v>439.22331662157512</v>
      </c>
      <c r="CC252" s="182">
        <f t="shared" ca="1" si="129"/>
        <v>786.58776092536436</v>
      </c>
      <c r="CD252" s="205">
        <f t="shared" ca="1" si="130"/>
        <v>1218.6988979799289</v>
      </c>
      <c r="CG252" s="180">
        <v>2029</v>
      </c>
      <c r="CH252" s="22">
        <v>15</v>
      </c>
      <c r="CI252" s="181">
        <f t="shared" ca="1" si="131"/>
        <v>-7.1315328635902731</v>
      </c>
      <c r="CJ252" s="181">
        <f t="shared" ca="1" si="132"/>
        <v>15.708725596478427</v>
      </c>
      <c r="CK252" s="181">
        <f t="shared" ca="1" si="133"/>
        <v>419.43885967289469</v>
      </c>
      <c r="CL252" s="182">
        <f t="shared" ca="1" si="134"/>
        <v>790.38110249476222</v>
      </c>
      <c r="CM252" s="205">
        <f t="shared" ca="1" si="135"/>
        <v>1218.397154900545</v>
      </c>
      <c r="CP252" s="180">
        <v>2029</v>
      </c>
      <c r="CQ252" s="22">
        <v>15</v>
      </c>
      <c r="CR252" s="181">
        <f t="shared" ca="1" si="136"/>
        <v>838.30460332471296</v>
      </c>
      <c r="CS252" s="182">
        <f t="shared" ca="1" si="137"/>
        <v>1.4193684069197661</v>
      </c>
      <c r="CT252" s="205">
        <f t="shared" ca="1" si="138"/>
        <v>1189.8630693345042</v>
      </c>
      <c r="CZ252" s="164" t="b">
        <f t="shared" si="114"/>
        <v>1</v>
      </c>
      <c r="DA252" s="165" t="b">
        <f t="shared" si="114"/>
        <v>1</v>
      </c>
      <c r="DB252" s="166" t="b">
        <f t="shared" si="114"/>
        <v>1</v>
      </c>
      <c r="DC252" s="164">
        <f t="shared" si="115"/>
        <v>17</v>
      </c>
      <c r="DD252" s="166">
        <f t="shared" si="116"/>
        <v>1032.5961697963669</v>
      </c>
      <c r="DE252" s="164">
        <f t="shared" si="117"/>
        <v>17</v>
      </c>
      <c r="DF252" s="166">
        <f t="shared" si="118"/>
        <v>1276.609521955465</v>
      </c>
      <c r="DG252" s="164">
        <f t="shared" si="119"/>
        <v>17</v>
      </c>
      <c r="DH252" s="166">
        <f t="shared" si="120"/>
        <v>1520.622874114563</v>
      </c>
      <c r="DI252" s="164">
        <f>IFERROR(INDEX(DC$233:DC$281,_xlfn.AGGREGATE(15,6,(ROW(DC$233:DC$281)-ROW(DC$233)+1)/(DC$233:DC$281&lt;&gt;""),ROWS(DI$1:DI20))),"")</f>
        <v>20</v>
      </c>
      <c r="DJ252" s="165">
        <f>IFERROR(INDEX(DD$233:DD$281,_xlfn.AGGREGATE(15,6,(ROW(DD$233:DD$281)-ROW(DD$233)+1)/(DD$233:DD$281&lt;&gt;""),ROWS(DJ$1:DJ20))),"")</f>
        <v>1112.2608193047861</v>
      </c>
      <c r="DK252" s="166">
        <f t="shared" si="121"/>
        <v>252</v>
      </c>
      <c r="DL252" s="164">
        <f>IFERROR(INDEX(DE$233:DE$281,_xlfn.AGGREGATE(15,6,(ROW(DE$233:DE$281)-ROW(DE$233)+1)/(DE$233:DE$281&lt;&gt;""),ROWS(DL$1:DL20))),"")</f>
        <v>20</v>
      </c>
      <c r="DM252" s="165">
        <f>IFERROR(INDEX(DF$233:DF$281,_xlfn.AGGREGATE(15,6,(ROW(DF$233:DF$281)-ROW(DF$233)+1)/(DF$233:DF$281&lt;&gt;""),ROWS(DM$1:DM20))),"")</f>
        <v>1360.3608579930312</v>
      </c>
      <c r="DN252" s="166">
        <f t="shared" si="122"/>
        <v>252</v>
      </c>
      <c r="DO252" s="164">
        <f>IFERROR(INDEX(DG$233:DG$281,_xlfn.AGGREGATE(15,6,(ROW(DG$233:DG$281)-ROW(DG$233)+1)/(DG$233:DG$281&lt;&gt;""),ROWS(DO$1:DO20))),"")</f>
        <v>20</v>
      </c>
      <c r="DP252" s="165">
        <f>IFERROR(INDEX(DH$233:DH$281,_xlfn.AGGREGATE(15,6,(ROW(DH$233:DH$281)-ROW(DH$233)+1)/(DH$233:DH$281&lt;&gt;""),ROWS(DP$1:DP20))),"")</f>
        <v>1608.4608966812764</v>
      </c>
      <c r="DQ252" s="166">
        <f t="shared" si="123"/>
        <v>252</v>
      </c>
      <c r="DV252" s="145">
        <v>2034</v>
      </c>
      <c r="DW252" s="235">
        <f t="shared" ca="1" si="107"/>
        <v>1360.6551644794065</v>
      </c>
    </row>
    <row r="253" spans="1:135" ht="13.8" x14ac:dyDescent="0.45">
      <c r="B253" s="128">
        <v>2032</v>
      </c>
      <c r="C253" s="244">
        <f>'Total MSW Summaries (Archive)'!F23</f>
        <v>1451.2270076375701</v>
      </c>
      <c r="D253" s="244">
        <f>'Total MSW Summaries (Archive)'!R23</f>
        <v>1216.2926085081253</v>
      </c>
      <c r="E253" s="244">
        <f>'Total MSW Summaries (Archive)'!AD23</f>
        <v>1613.1160000000007</v>
      </c>
      <c r="F253" s="244">
        <f>'Total MSW Summaries (Archive)'!AP23</f>
        <v>1353.9417659518137</v>
      </c>
      <c r="G253" s="244">
        <f>'Total MSW Summaries (Archive)'!BB23</f>
        <v>888.05605188968445</v>
      </c>
      <c r="H253" s="245"/>
      <c r="I253" s="246"/>
      <c r="J253" s="247"/>
      <c r="K253" s="245"/>
      <c r="L253" s="246"/>
      <c r="M253" s="245"/>
      <c r="N253" s="29" t="s">
        <v>119</v>
      </c>
      <c r="O253" s="120"/>
      <c r="P253" s="120"/>
      <c r="Q253" s="120"/>
      <c r="R253" s="29">
        <v>18</v>
      </c>
      <c r="S253" s="238">
        <f t="shared" si="108"/>
        <v>888.05605188968445</v>
      </c>
      <c r="T253" s="238">
        <f t="shared" si="109"/>
        <v>1613.1160000000007</v>
      </c>
      <c r="U253" s="238">
        <f t="shared" si="110"/>
        <v>245.121700678374</v>
      </c>
      <c r="W253" s="238">
        <f t="shared" si="111"/>
        <v>1059.4049861190649</v>
      </c>
      <c r="X253" s="238">
        <f t="shared" si="112"/>
        <v>1304.526686797439</v>
      </c>
      <c r="Y253" s="238">
        <f t="shared" si="113"/>
        <v>1549.648387475813</v>
      </c>
      <c r="AA253" s="89"/>
      <c r="AB253" s="89"/>
      <c r="AC253" s="89"/>
      <c r="AD253" s="89"/>
      <c r="AE253" s="89"/>
      <c r="AF253" s="89"/>
      <c r="AG253" s="89"/>
      <c r="AH253" s="89"/>
      <c r="AI253" s="89"/>
      <c r="AJ253" s="89"/>
      <c r="AK253" s="89"/>
      <c r="AL253" s="89"/>
      <c r="AM253" s="89"/>
      <c r="AN253" s="89"/>
      <c r="BR253" s="180">
        <v>2030</v>
      </c>
      <c r="BS253" s="22">
        <v>16</v>
      </c>
      <c r="BT253" s="181">
        <f t="shared" si="124"/>
        <v>452.32071133719393</v>
      </c>
      <c r="BU253" s="182">
        <f t="shared" si="125"/>
        <v>792.15106583111492</v>
      </c>
      <c r="BV253" s="205">
        <f t="shared" si="126"/>
        <v>1244.4717771683088</v>
      </c>
      <c r="BY253" s="180">
        <v>2030</v>
      </c>
      <c r="BZ253" s="22">
        <v>16</v>
      </c>
      <c r="CA253" s="181">
        <f t="shared" ca="1" si="127"/>
        <v>-8.0920798629098236</v>
      </c>
      <c r="CB253" s="181">
        <f t="shared" ca="1" si="128"/>
        <v>468.50487106301347</v>
      </c>
      <c r="CC253" s="182">
        <f t="shared" ca="1" si="129"/>
        <v>786.58776092536436</v>
      </c>
      <c r="CD253" s="205">
        <f t="shared" ca="1" si="130"/>
        <v>1247.0005521254679</v>
      </c>
      <c r="CG253" s="180">
        <v>2030</v>
      </c>
      <c r="CH253" s="22">
        <v>16</v>
      </c>
      <c r="CI253" s="181">
        <f t="shared" ca="1" si="131"/>
        <v>-8.6550395879305952</v>
      </c>
      <c r="CJ253" s="181">
        <f t="shared" ca="1" si="132"/>
        <v>17.873038900882122</v>
      </c>
      <c r="CK253" s="181">
        <f t="shared" ca="1" si="133"/>
        <v>447.40145031775432</v>
      </c>
      <c r="CL253" s="182">
        <f t="shared" ca="1" si="134"/>
        <v>790.38110249476222</v>
      </c>
      <c r="CM253" s="205">
        <f t="shared" ca="1" si="135"/>
        <v>1247.0005521254679</v>
      </c>
      <c r="CP253" s="180">
        <v>2030</v>
      </c>
      <c r="CQ253" s="22">
        <v>16</v>
      </c>
      <c r="CR253" s="181">
        <f t="shared" ca="1" si="136"/>
        <v>838.30460332471296</v>
      </c>
      <c r="CS253" s="182">
        <f t="shared" ca="1" si="137"/>
        <v>1.4528969425692115</v>
      </c>
      <c r="CT253" s="205">
        <f t="shared" ca="1" si="138"/>
        <v>1217.970195112171</v>
      </c>
      <c r="CZ253" s="164" t="b">
        <f t="shared" si="114"/>
        <v>1</v>
      </c>
      <c r="DA253" s="165" t="b">
        <f t="shared" si="114"/>
        <v>1</v>
      </c>
      <c r="DB253" s="166" t="b">
        <f t="shared" si="114"/>
        <v>1</v>
      </c>
      <c r="DC253" s="164">
        <f t="shared" si="115"/>
        <v>18</v>
      </c>
      <c r="DD253" s="166">
        <f t="shared" si="116"/>
        <v>1059.4049861190649</v>
      </c>
      <c r="DE253" s="164">
        <f t="shared" si="117"/>
        <v>18</v>
      </c>
      <c r="DF253" s="166">
        <f t="shared" si="118"/>
        <v>1304.526686797439</v>
      </c>
      <c r="DG253" s="164">
        <f t="shared" si="119"/>
        <v>18</v>
      </c>
      <c r="DH253" s="166">
        <f t="shared" si="120"/>
        <v>1549.648387475813</v>
      </c>
      <c r="DI253" s="164">
        <f>IFERROR(INDEX(DC$233:DC$281,_xlfn.AGGREGATE(15,6,(ROW(DC$233:DC$281)-ROW(DC$233)+1)/(DC$233:DC$281&lt;&gt;""),ROWS(DI$1:DI21))),"")</f>
        <v>21</v>
      </c>
      <c r="DJ253" s="165">
        <f>IFERROR(INDEX(DD$233:DD$281,_xlfn.AGGREGATE(15,6,(ROW(DD$233:DD$281)-ROW(DD$233)+1)/(DD$233:DD$281&lt;&gt;""),ROWS(DJ$1:DJ21))),"")</f>
        <v>1138.3293029844458</v>
      </c>
      <c r="DK253" s="166">
        <f t="shared" si="121"/>
        <v>253</v>
      </c>
      <c r="DL253" s="164">
        <f>IFERROR(INDEX(DE$233:DE$281,_xlfn.AGGREGATE(15,6,(ROW(DE$233:DE$281)-ROW(DE$233)+1)/(DE$233:DE$281&lt;&gt;""),ROWS(DL$1:DL21))),"")</f>
        <v>21</v>
      </c>
      <c r="DM253" s="165">
        <f>IFERROR(INDEX(DF$233:DF$281,_xlfn.AGGREGATE(15,6,(ROW(DF$233:DF$281)-ROW(DF$233)+1)/(DF$233:DF$281&lt;&gt;""),ROWS(DM$1:DM21))),"")</f>
        <v>1388.3784839187163</v>
      </c>
      <c r="DN253" s="166">
        <f t="shared" si="122"/>
        <v>253</v>
      </c>
      <c r="DO253" s="164">
        <f>IFERROR(INDEX(DG$233:DG$281,_xlfn.AGGREGATE(15,6,(ROW(DG$233:DG$281)-ROW(DG$233)+1)/(DG$233:DG$281&lt;&gt;""),ROWS(DO$1:DO21))),"")</f>
        <v>21</v>
      </c>
      <c r="DP253" s="165">
        <f>IFERROR(INDEX(DH$233:DH$281,_xlfn.AGGREGATE(15,6,(ROW(DH$233:DH$281)-ROW(DH$233)+1)/(DH$233:DH$281&lt;&gt;""),ROWS(DP$1:DP21))),"")</f>
        <v>1638.4276648529867</v>
      </c>
      <c r="DQ253" s="166">
        <f t="shared" si="123"/>
        <v>253</v>
      </c>
      <c r="DV253" s="145">
        <v>2035</v>
      </c>
      <c r="DW253" s="235">
        <f t="shared" ca="1" si="107"/>
        <v>1388.8156820282206</v>
      </c>
    </row>
    <row r="254" spans="1:135" ht="13.8" x14ac:dyDescent="0.45">
      <c r="B254" s="128">
        <v>2033</v>
      </c>
      <c r="C254" s="244">
        <f>'Total MSW Summaries (Archive)'!F24</f>
        <v>1473.761455628312</v>
      </c>
      <c r="D254" s="244">
        <f>'Total MSW Summaries (Archive)'!R24</f>
        <v>1261.1651467056158</v>
      </c>
      <c r="E254" s="244">
        <f>'Total MSW Summaries (Archive)'!AD24</f>
        <v>1643.7880000000007</v>
      </c>
      <c r="F254" s="244">
        <f>'Total MSW Summaries (Archive)'!AP24</f>
        <v>1375.2414581338576</v>
      </c>
      <c r="G254" s="244">
        <f>'Total MSW Summaries (Archive)'!BB24</f>
        <v>908.26764301974549</v>
      </c>
      <c r="H254" s="245"/>
      <c r="I254" s="246"/>
      <c r="J254" s="247"/>
      <c r="K254" s="245"/>
      <c r="L254" s="246"/>
      <c r="M254" s="245"/>
      <c r="N254" s="29" t="s">
        <v>119</v>
      </c>
      <c r="O254" s="120"/>
      <c r="P254" s="120"/>
      <c r="Q254" s="120"/>
      <c r="R254" s="29">
        <v>19</v>
      </c>
      <c r="S254" s="238">
        <f t="shared" si="108"/>
        <v>908.26764301974549</v>
      </c>
      <c r="T254" s="238">
        <f t="shared" si="109"/>
        <v>1643.7880000000007</v>
      </c>
      <c r="U254" s="238">
        <f t="shared" si="110"/>
        <v>246.47254969640704</v>
      </c>
      <c r="W254" s="238">
        <f t="shared" si="111"/>
        <v>1085.9721910010994</v>
      </c>
      <c r="X254" s="238">
        <f t="shared" si="112"/>
        <v>1332.4447406975064</v>
      </c>
      <c r="Y254" s="238">
        <f t="shared" si="113"/>
        <v>1578.9172903939134</v>
      </c>
      <c r="AA254" s="89"/>
      <c r="AB254" s="89"/>
      <c r="AC254" s="89"/>
      <c r="AD254" s="89"/>
      <c r="AE254" s="89"/>
      <c r="AF254" s="89"/>
      <c r="AG254" s="89"/>
      <c r="AH254" s="89"/>
      <c r="AI254" s="89"/>
      <c r="AJ254" s="89"/>
      <c r="AK254" s="89"/>
      <c r="AL254" s="89"/>
      <c r="AM254" s="89"/>
      <c r="AN254" s="89"/>
      <c r="BR254" s="180">
        <v>2031</v>
      </c>
      <c r="BS254" s="22">
        <v>17</v>
      </c>
      <c r="BT254" s="181">
        <f t="shared" si="124"/>
        <v>480.59075579576853</v>
      </c>
      <c r="BU254" s="182">
        <f t="shared" si="125"/>
        <v>792.15106583111492</v>
      </c>
      <c r="BV254" s="205">
        <f t="shared" si="126"/>
        <v>1272.7418216268834</v>
      </c>
      <c r="BY254" s="180">
        <v>2031</v>
      </c>
      <c r="BZ254" s="22">
        <v>17</v>
      </c>
      <c r="CA254" s="181">
        <f t="shared" ca="1" si="127"/>
        <v>-9.1351995327380422</v>
      </c>
      <c r="CB254" s="181">
        <f t="shared" ca="1" si="128"/>
        <v>497.78642550445181</v>
      </c>
      <c r="CC254" s="182">
        <f t="shared" ca="1" si="129"/>
        <v>786.58776092536436</v>
      </c>
      <c r="CD254" s="205">
        <f t="shared" ca="1" si="130"/>
        <v>1275.2389868970781</v>
      </c>
      <c r="CG254" s="180">
        <v>2031</v>
      </c>
      <c r="CH254" s="22">
        <v>17</v>
      </c>
      <c r="CI254" s="181">
        <f t="shared" ca="1" si="131"/>
        <v>-10.38139880261304</v>
      </c>
      <c r="CJ254" s="181">
        <f t="shared" ca="1" si="132"/>
        <v>20.176985321698957</v>
      </c>
      <c r="CK254" s="181">
        <f t="shared" ca="1" si="133"/>
        <v>475.36404096261396</v>
      </c>
      <c r="CL254" s="182">
        <f t="shared" ca="1" si="134"/>
        <v>790.38110249476222</v>
      </c>
      <c r="CM254" s="205">
        <f t="shared" ca="1" si="135"/>
        <v>1275.540729976462</v>
      </c>
      <c r="CP254" s="180">
        <v>2031</v>
      </c>
      <c r="CQ254" s="22">
        <v>17</v>
      </c>
      <c r="CR254" s="181">
        <f t="shared" ca="1" si="136"/>
        <v>838.30460332471296</v>
      </c>
      <c r="CS254" s="182">
        <f t="shared" ca="1" si="137"/>
        <v>1.4872174943698657</v>
      </c>
      <c r="CT254" s="205">
        <f t="shared" ca="1" si="138"/>
        <v>1246.7412716753038</v>
      </c>
      <c r="CZ254" s="164" t="b">
        <f t="shared" si="114"/>
        <v>1</v>
      </c>
      <c r="DA254" s="165" t="b">
        <f t="shared" si="114"/>
        <v>1</v>
      </c>
      <c r="DB254" s="166" t="b">
        <f t="shared" si="114"/>
        <v>1</v>
      </c>
      <c r="DC254" s="164">
        <f t="shared" si="115"/>
        <v>19</v>
      </c>
      <c r="DD254" s="166">
        <f t="shared" si="116"/>
        <v>1085.9721910010994</v>
      </c>
      <c r="DE254" s="164">
        <f t="shared" si="117"/>
        <v>19</v>
      </c>
      <c r="DF254" s="166">
        <f t="shared" si="118"/>
        <v>1332.4447406975064</v>
      </c>
      <c r="DG254" s="164">
        <f t="shared" si="119"/>
        <v>19</v>
      </c>
      <c r="DH254" s="166">
        <f t="shared" si="120"/>
        <v>1578.9172903939134</v>
      </c>
      <c r="DI254" s="164">
        <f>IFERROR(INDEX(DC$233:DC$281,_xlfn.AGGREGATE(15,6,(ROW(DC$233:DC$281)-ROW(DC$233)+1)/(DC$233:DC$281&lt;&gt;""),ROWS(DI$1:DI22))),"")</f>
        <v>22</v>
      </c>
      <c r="DJ254" s="165">
        <f>IFERROR(INDEX(DD$233:DD$281,_xlfn.AGGREGATE(15,6,(ROW(DD$233:DD$281)-ROW(DD$233)+1)/(DD$233:DD$281&lt;&gt;""),ROWS(DJ$1:DJ22))),"")</f>
        <v>1163.8661725751813</v>
      </c>
      <c r="DK254" s="166">
        <f t="shared" si="121"/>
        <v>254</v>
      </c>
      <c r="DL254" s="164">
        <f>IFERROR(INDEX(DE$233:DE$281,_xlfn.AGGREGATE(15,6,(ROW(DE$233:DE$281)-ROW(DE$233)+1)/(DE$233:DE$281&lt;&gt;""),ROWS(DL$1:DL22))),"")</f>
        <v>22</v>
      </c>
      <c r="DM254" s="165">
        <f>IFERROR(INDEX(DF$233:DF$281,_xlfn.AGGREGATE(15,6,(ROW(DF$233:DF$281)-ROW(DF$233)+1)/(DF$233:DF$281&lt;&gt;""),ROWS(DM$1:DM22))),"")</f>
        <v>1416.1820595211516</v>
      </c>
      <c r="DN254" s="166">
        <f t="shared" si="122"/>
        <v>254</v>
      </c>
      <c r="DO254" s="164">
        <f>IFERROR(INDEX(DG$233:DG$281,_xlfn.AGGREGATE(15,6,(ROW(DG$233:DG$281)-ROW(DG$233)+1)/(DG$233:DG$281&lt;&gt;""),ROWS(DO$1:DO22))),"")</f>
        <v>22</v>
      </c>
      <c r="DP254" s="165">
        <f>IFERROR(INDEX(DH$233:DH$281,_xlfn.AGGREGATE(15,6,(ROW(DH$233:DH$281)-ROW(DH$233)+1)/(DH$233:DH$281&lt;&gt;""),ROWS(DP$1:DP22))),"")</f>
        <v>1668.4979464671219</v>
      </c>
      <c r="DQ254" s="166">
        <f t="shared" si="123"/>
        <v>254</v>
      </c>
      <c r="DV254" s="145">
        <v>2036</v>
      </c>
      <c r="DW254" s="235">
        <f t="shared" ca="1" si="107"/>
        <v>1416.8495887998743</v>
      </c>
    </row>
    <row r="255" spans="1:135" ht="13.8" x14ac:dyDescent="0.45">
      <c r="B255" s="128">
        <v>2034</v>
      </c>
      <c r="C255" s="244">
        <f>'Total MSW Summaries (Archive)'!F25</f>
        <v>1496.1413797475832</v>
      </c>
      <c r="D255" s="244">
        <f>'Total MSW Summaries (Archive)'!R25</f>
        <v>1306.6974050128435</v>
      </c>
      <c r="E255" s="244">
        <f>'Total MSW Summaries (Archive)'!AD25</f>
        <v>1674.4600000000007</v>
      </c>
      <c r="F255" s="244">
        <f>'Total MSW Summaries (Archive)'!AP25</f>
        <v>1396.0262710549221</v>
      </c>
      <c r="G255" s="244">
        <f>'Total MSW Summaries (Archive)'!BB25</f>
        <v>928.47923414980653</v>
      </c>
      <c r="H255" s="245"/>
      <c r="I255" s="246"/>
      <c r="J255" s="247"/>
      <c r="K255" s="245"/>
      <c r="L255" s="246"/>
      <c r="M255" s="245"/>
      <c r="N255" s="29" t="s">
        <v>119</v>
      </c>
      <c r="O255" s="120"/>
      <c r="P255" s="120"/>
      <c r="Q255" s="120"/>
      <c r="R255" s="29">
        <v>20</v>
      </c>
      <c r="S255" s="238">
        <f t="shared" si="108"/>
        <v>928.47923414980653</v>
      </c>
      <c r="T255" s="238">
        <f t="shared" si="109"/>
        <v>1674.4600000000007</v>
      </c>
      <c r="U255" s="238">
        <f t="shared" si="110"/>
        <v>248.10003868824518</v>
      </c>
      <c r="W255" s="238">
        <f t="shared" si="111"/>
        <v>1112.2608193047861</v>
      </c>
      <c r="X255" s="238">
        <f t="shared" si="112"/>
        <v>1360.3608579930312</v>
      </c>
      <c r="Y255" s="238">
        <f t="shared" si="113"/>
        <v>1608.4608966812764</v>
      </c>
      <c r="AA255" s="89"/>
      <c r="AB255" s="89"/>
      <c r="AC255" s="89"/>
      <c r="AD255" s="89"/>
      <c r="AE255" s="89"/>
      <c r="AF255" s="89"/>
      <c r="AG255" s="89"/>
      <c r="AH255" s="89"/>
      <c r="AI255" s="89"/>
      <c r="AJ255" s="89"/>
      <c r="AK255" s="89"/>
      <c r="AL255" s="89"/>
      <c r="AM255" s="89"/>
      <c r="AN255" s="89"/>
      <c r="BR255" s="180">
        <v>2032</v>
      </c>
      <c r="BS255" s="22">
        <v>18</v>
      </c>
      <c r="BT255" s="181">
        <f t="shared" si="124"/>
        <v>508.86080025434319</v>
      </c>
      <c r="BU255" s="182">
        <f t="shared" si="125"/>
        <v>792.15106583111492</v>
      </c>
      <c r="BV255" s="205">
        <f t="shared" si="126"/>
        <v>1301.0118660854582</v>
      </c>
      <c r="BY255" s="180">
        <v>2032</v>
      </c>
      <c r="BZ255" s="22">
        <v>18</v>
      </c>
      <c r="CA255" s="181">
        <f t="shared" ca="1" si="127"/>
        <v>-10.241538576495245</v>
      </c>
      <c r="CB255" s="181">
        <f t="shared" ca="1" si="128"/>
        <v>527.0679799458901</v>
      </c>
      <c r="CC255" s="182">
        <f t="shared" ca="1" si="129"/>
        <v>786.58776092536436</v>
      </c>
      <c r="CD255" s="205">
        <f t="shared" ca="1" si="130"/>
        <v>1303.4142022947592</v>
      </c>
      <c r="CG255" s="180">
        <v>2032</v>
      </c>
      <c r="CH255" s="22">
        <v>18</v>
      </c>
      <c r="CI255" s="181">
        <f t="shared" ca="1" si="131"/>
        <v>-12.323288788283993</v>
      </c>
      <c r="CJ255" s="181">
        <f t="shared" ca="1" si="132"/>
        <v>22.620564858928937</v>
      </c>
      <c r="CK255" s="181">
        <f t="shared" ca="1" si="133"/>
        <v>503.32663160747359</v>
      </c>
      <c r="CL255" s="182">
        <f t="shared" ca="1" si="134"/>
        <v>790.38110249476222</v>
      </c>
      <c r="CM255" s="205">
        <f t="shared" ca="1" si="135"/>
        <v>1304.0050101728807</v>
      </c>
      <c r="CP255" s="180">
        <v>2032</v>
      </c>
      <c r="CQ255" s="22">
        <v>18</v>
      </c>
      <c r="CR255" s="181">
        <f t="shared" ca="1" si="136"/>
        <v>838.30460332471296</v>
      </c>
      <c r="CS255" s="182">
        <f t="shared" ca="1" si="137"/>
        <v>1.522348771447303</v>
      </c>
      <c r="CT255" s="205">
        <f t="shared" ca="1" si="138"/>
        <v>1276.1919829699955</v>
      </c>
      <c r="CZ255" s="164" t="b">
        <f t="shared" si="114"/>
        <v>1</v>
      </c>
      <c r="DA255" s="165" t="b">
        <f t="shared" si="114"/>
        <v>1</v>
      </c>
      <c r="DB255" s="166" t="b">
        <f t="shared" si="114"/>
        <v>1</v>
      </c>
      <c r="DC255" s="164">
        <f t="shared" si="115"/>
        <v>20</v>
      </c>
      <c r="DD255" s="166">
        <f t="shared" si="116"/>
        <v>1112.2608193047861</v>
      </c>
      <c r="DE255" s="164">
        <f t="shared" si="117"/>
        <v>20</v>
      </c>
      <c r="DF255" s="166">
        <f t="shared" si="118"/>
        <v>1360.3608579930312</v>
      </c>
      <c r="DG255" s="164">
        <f t="shared" si="119"/>
        <v>20</v>
      </c>
      <c r="DH255" s="166">
        <f t="shared" si="120"/>
        <v>1608.4608966812764</v>
      </c>
      <c r="DI255" s="164">
        <f>IFERROR(INDEX(DC$233:DC$281,_xlfn.AGGREGATE(15,6,(ROW(DC$233:DC$281)-ROW(DC$233)+1)/(DC$233:DC$281&lt;&gt;""),ROWS(DI$1:DI23))),"")</f>
        <v>23</v>
      </c>
      <c r="DJ255" s="165">
        <f>IFERROR(INDEX(DD$233:DD$281,_xlfn.AGGREGATE(15,6,(ROW(DD$233:DD$281)-ROW(DD$233)+1)/(DD$233:DD$281&lt;&gt;""),ROWS(DJ$1:DJ23))),"")</f>
        <v>1189.1238252299604</v>
      </c>
      <c r="DK255" s="166">
        <f t="shared" si="121"/>
        <v>255</v>
      </c>
      <c r="DL255" s="164">
        <f>IFERROR(INDEX(DE$233:DE$281,_xlfn.AGGREGATE(15,6,(ROW(DE$233:DE$281)-ROW(DE$233)+1)/(DE$233:DE$281&lt;&gt;""),ROWS(DL$1:DL23))),"")</f>
        <v>23</v>
      </c>
      <c r="DM255" s="165">
        <f>IFERROR(INDEX(DF$233:DF$281,_xlfn.AGGREGATE(15,6,(ROW(DF$233:DF$281)-ROW(DF$233)+1)/(DF$233:DF$281&lt;&gt;""),ROWS(DM$1:DM23))),"")</f>
        <v>1444.0890093575567</v>
      </c>
      <c r="DN255" s="166">
        <f t="shared" si="122"/>
        <v>255</v>
      </c>
      <c r="DO255" s="164">
        <f>IFERROR(INDEX(DG$233:DG$281,_xlfn.AGGREGATE(15,6,(ROW(DG$233:DG$281)-ROW(DG$233)+1)/(DG$233:DG$281&lt;&gt;""),ROWS(DO$1:DO23))),"")</f>
        <v>23</v>
      </c>
      <c r="DP255" s="165">
        <f>IFERROR(INDEX(DH$233:DH$281,_xlfn.AGGREGATE(15,6,(ROW(DH$233:DH$281)-ROW(DH$233)+1)/(DH$233:DH$281&lt;&gt;""),ROWS(DP$1:DP23))),"")</f>
        <v>1699.0541934851531</v>
      </c>
      <c r="DQ255" s="166">
        <f t="shared" si="123"/>
        <v>255</v>
      </c>
      <c r="DV255" s="145">
        <v>2037</v>
      </c>
      <c r="DW255" s="235">
        <f t="shared" ca="1" si="107"/>
        <v>1444.7442065137202</v>
      </c>
    </row>
    <row r="256" spans="1:135" ht="13.8" x14ac:dyDescent="0.45">
      <c r="B256" s="128">
        <v>2035</v>
      </c>
      <c r="C256" s="244">
        <f>'Total MSW Summaries (Archive)'!F26</f>
        <v>1518.3545730504015</v>
      </c>
      <c r="D256" s="244">
        <f>'Total MSW Summaries (Archive)'!R26</f>
        <v>1352.8703329772864</v>
      </c>
      <c r="E256" s="244">
        <f>'Total MSW Summaries (Archive)'!AD26</f>
        <v>1705.1320000000007</v>
      </c>
      <c r="F256" s="244">
        <f>'Total MSW Summaries (Archive)'!AP26</f>
        <v>1416.8446882860253</v>
      </c>
      <c r="G256" s="244">
        <f>'Total MSW Summaries (Archive)'!BB26</f>
        <v>948.69082527986757</v>
      </c>
      <c r="H256" s="245"/>
      <c r="I256" s="246"/>
      <c r="J256" s="247"/>
      <c r="K256" s="245"/>
      <c r="L256" s="246"/>
      <c r="M256" s="245"/>
      <c r="N256" s="29" t="s">
        <v>119</v>
      </c>
      <c r="O256" s="120"/>
      <c r="P256" s="120"/>
      <c r="Q256" s="120"/>
      <c r="R256" s="29">
        <v>21</v>
      </c>
      <c r="S256" s="238">
        <f t="shared" si="108"/>
        <v>948.69082527986757</v>
      </c>
      <c r="T256" s="238">
        <f t="shared" si="109"/>
        <v>1705.1320000000007</v>
      </c>
      <c r="U256" s="238">
        <f t="shared" si="110"/>
        <v>250.04918093427051</v>
      </c>
      <c r="W256" s="238">
        <f t="shared" si="111"/>
        <v>1138.3293029844458</v>
      </c>
      <c r="X256" s="238">
        <f t="shared" si="112"/>
        <v>1388.3784839187163</v>
      </c>
      <c r="Y256" s="238">
        <f t="shared" si="113"/>
        <v>1638.4276648529867</v>
      </c>
      <c r="AA256" s="89"/>
      <c r="AB256" s="89"/>
      <c r="AC256" s="89"/>
      <c r="AD256" s="89"/>
      <c r="AE256" s="89"/>
      <c r="AF256" s="89"/>
      <c r="AG256" s="89"/>
      <c r="AH256" s="89"/>
      <c r="AI256" s="89"/>
      <c r="AJ256" s="89"/>
      <c r="AK256" s="89"/>
      <c r="AL256" s="89"/>
      <c r="AM256" s="89"/>
      <c r="AN256" s="89"/>
      <c r="BR256" s="180">
        <v>2033</v>
      </c>
      <c r="BS256" s="22">
        <v>19</v>
      </c>
      <c r="BT256" s="181">
        <f t="shared" si="124"/>
        <v>537.13084471291779</v>
      </c>
      <c r="BU256" s="182">
        <f t="shared" si="125"/>
        <v>792.15106583111492</v>
      </c>
      <c r="BV256" s="205">
        <f t="shared" si="126"/>
        <v>1329.2819105440326</v>
      </c>
      <c r="BY256" s="180">
        <v>2033</v>
      </c>
      <c r="BZ256" s="22">
        <v>19</v>
      </c>
      <c r="CA256" s="181">
        <f t="shared" ca="1" si="127"/>
        <v>-11.411096994181431</v>
      </c>
      <c r="CB256" s="181">
        <f t="shared" ca="1" si="128"/>
        <v>556.3495343873285</v>
      </c>
      <c r="CC256" s="182">
        <f t="shared" ca="1" si="129"/>
        <v>786.58776092536436</v>
      </c>
      <c r="CD256" s="205">
        <f t="shared" ca="1" si="130"/>
        <v>1331.5261983185114</v>
      </c>
      <c r="CG256" s="180">
        <v>2033</v>
      </c>
      <c r="CH256" s="22">
        <v>19</v>
      </c>
      <c r="CI256" s="181">
        <f t="shared" ca="1" si="131"/>
        <v>-14.493387825589831</v>
      </c>
      <c r="CJ256" s="181">
        <f t="shared" ca="1" si="132"/>
        <v>25.203777512572056</v>
      </c>
      <c r="CK256" s="181">
        <f t="shared" ca="1" si="133"/>
        <v>531.28922225233327</v>
      </c>
      <c r="CL256" s="182">
        <f t="shared" ca="1" si="134"/>
        <v>790.38110249476222</v>
      </c>
      <c r="CM256" s="205">
        <f t="shared" ca="1" si="135"/>
        <v>1332.3807144340776</v>
      </c>
      <c r="CP256" s="180">
        <v>2033</v>
      </c>
      <c r="CQ256" s="22">
        <v>19</v>
      </c>
      <c r="CR256" s="181">
        <f t="shared" ca="1" si="136"/>
        <v>838.30460332471296</v>
      </c>
      <c r="CS256" s="182">
        <f t="shared" ca="1" si="137"/>
        <v>1.558309924876897</v>
      </c>
      <c r="CT256" s="205">
        <f t="shared" ca="1" si="138"/>
        <v>1306.3383834308904</v>
      </c>
      <c r="CZ256" s="164" t="b">
        <f t="shared" si="114"/>
        <v>1</v>
      </c>
      <c r="DA256" s="165" t="b">
        <f t="shared" si="114"/>
        <v>1</v>
      </c>
      <c r="DB256" s="166" t="b">
        <f t="shared" si="114"/>
        <v>1</v>
      </c>
      <c r="DC256" s="164">
        <f t="shared" si="115"/>
        <v>21</v>
      </c>
      <c r="DD256" s="166">
        <f t="shared" si="116"/>
        <v>1138.3293029844458</v>
      </c>
      <c r="DE256" s="164">
        <f t="shared" si="117"/>
        <v>21</v>
      </c>
      <c r="DF256" s="166">
        <f t="shared" si="118"/>
        <v>1388.3784839187163</v>
      </c>
      <c r="DG256" s="164">
        <f t="shared" si="119"/>
        <v>21</v>
      </c>
      <c r="DH256" s="166">
        <f t="shared" si="120"/>
        <v>1638.4276648529867</v>
      </c>
      <c r="DI256" s="164">
        <f>IFERROR(INDEX(DC$233:DC$281,_xlfn.AGGREGATE(15,6,(ROW(DC$233:DC$281)-ROW(DC$233)+1)/(DC$233:DC$281&lt;&gt;""),ROWS(DI$1:DI24))),"")</f>
        <v>24</v>
      </c>
      <c r="DJ256" s="165">
        <f>IFERROR(INDEX(DD$233:DD$281,_xlfn.AGGREGATE(15,6,(ROW(DD$233:DD$281)-ROW(DD$233)+1)/(DD$233:DD$281&lt;&gt;""),ROWS(DJ$1:DJ24))),"")</f>
        <v>1213.984863648652</v>
      </c>
      <c r="DK256" s="166">
        <f t="shared" si="121"/>
        <v>256</v>
      </c>
      <c r="DL256" s="164">
        <f>IFERROR(INDEX(DE$233:DE$281,_xlfn.AGGREGATE(15,6,(ROW(DE$233:DE$281)-ROW(DE$233)+1)/(DE$233:DE$281&lt;&gt;""),ROWS(DL$1:DL24))),"")</f>
        <v>24</v>
      </c>
      <c r="DM256" s="165">
        <f>IFERROR(INDEX(DF$233:DF$281,_xlfn.AGGREGATE(15,6,(ROW(DF$233:DF$281)-ROW(DF$233)+1)/(DF$233:DF$281&lt;&gt;""),ROWS(DM$1:DM24))),"")</f>
        <v>1471.9963474424019</v>
      </c>
      <c r="DN256" s="166">
        <f t="shared" si="122"/>
        <v>256</v>
      </c>
      <c r="DO256" s="164">
        <f>IFERROR(INDEX(DG$233:DG$281,_xlfn.AGGREGATE(15,6,(ROW(DG$233:DG$281)-ROW(DG$233)+1)/(DG$233:DG$281&lt;&gt;""),ROWS(DO$1:DO24))),"")</f>
        <v>24</v>
      </c>
      <c r="DP256" s="165">
        <f>IFERROR(INDEX(DH$233:DH$281,_xlfn.AGGREGATE(15,6,(ROW(DH$233:DH$281)-ROW(DH$233)+1)/(DH$233:DH$281&lt;&gt;""),ROWS(DP$1:DP24))),"")</f>
        <v>1730.0078312361518</v>
      </c>
      <c r="DQ256" s="166">
        <f t="shared" si="123"/>
        <v>256</v>
      </c>
      <c r="DV256" s="145">
        <v>2038</v>
      </c>
      <c r="DW256" s="235">
        <f t="shared" ca="1" si="107"/>
        <v>1472.4868568891127</v>
      </c>
    </row>
    <row r="257" spans="2:135" ht="13.8" x14ac:dyDescent="0.45">
      <c r="B257" s="128">
        <v>2036</v>
      </c>
      <c r="C257" s="244">
        <f>'Total MSW Summaries (Archive)'!F27</f>
        <v>1540.3912409449911</v>
      </c>
      <c r="D257" s="244">
        <f>'Total MSW Summaries (Archive)'!R27</f>
        <v>1399.6662111585717</v>
      </c>
      <c r="E257" s="244">
        <f>'Total MSW Summaries (Archive)'!AD27</f>
        <v>1735.8040000000008</v>
      </c>
      <c r="F257" s="244">
        <f>'Total MSW Summaries (Archive)'!AP27</f>
        <v>1436.1464290922665</v>
      </c>
      <c r="G257" s="244">
        <f>'Total MSW Summaries (Archive)'!BB27</f>
        <v>968.90241640992861</v>
      </c>
      <c r="H257" s="245"/>
      <c r="I257" s="246"/>
      <c r="J257" s="247"/>
      <c r="K257" s="245"/>
      <c r="L257" s="246"/>
      <c r="M257" s="245"/>
      <c r="N257" s="29" t="s">
        <v>119</v>
      </c>
      <c r="O257" s="120"/>
      <c r="P257" s="120"/>
      <c r="Q257" s="120"/>
      <c r="R257" s="29">
        <v>22</v>
      </c>
      <c r="S257" s="238">
        <f t="shared" si="108"/>
        <v>968.90241640992861</v>
      </c>
      <c r="T257" s="238">
        <f t="shared" si="109"/>
        <v>1735.8040000000008</v>
      </c>
      <c r="U257" s="238">
        <f t="shared" si="110"/>
        <v>252.31588694597036</v>
      </c>
      <c r="W257" s="238">
        <f t="shared" si="111"/>
        <v>1163.8661725751813</v>
      </c>
      <c r="X257" s="238">
        <f t="shared" si="112"/>
        <v>1416.1820595211516</v>
      </c>
      <c r="Y257" s="238">
        <f t="shared" si="113"/>
        <v>1668.4979464671219</v>
      </c>
      <c r="AA257" s="89"/>
      <c r="AB257" s="89"/>
      <c r="AC257" s="89"/>
      <c r="AD257" s="89"/>
      <c r="AE257" s="89"/>
      <c r="AF257" s="89"/>
      <c r="AG257" s="89"/>
      <c r="AH257" s="89"/>
      <c r="AI257" s="89"/>
      <c r="AJ257" s="89"/>
      <c r="AK257" s="89"/>
      <c r="AL257" s="89"/>
      <c r="AM257" s="89"/>
      <c r="AN257" s="89"/>
      <c r="BR257" s="180">
        <v>2034</v>
      </c>
      <c r="BS257" s="22">
        <v>20</v>
      </c>
      <c r="BT257" s="181">
        <f t="shared" si="124"/>
        <v>565.40088917149239</v>
      </c>
      <c r="BU257" s="182">
        <f t="shared" si="125"/>
        <v>792.15106583111492</v>
      </c>
      <c r="BV257" s="205">
        <f t="shared" si="126"/>
        <v>1357.5519550026074</v>
      </c>
      <c r="BY257" s="180">
        <v>2034</v>
      </c>
      <c r="BZ257" s="22">
        <v>20</v>
      </c>
      <c r="CA257" s="181">
        <f t="shared" ca="1" si="127"/>
        <v>-12.6438747857966</v>
      </c>
      <c r="CB257" s="181">
        <f t="shared" ca="1" si="128"/>
        <v>585.63108882876679</v>
      </c>
      <c r="CC257" s="182">
        <f t="shared" ca="1" si="129"/>
        <v>786.58776092536436</v>
      </c>
      <c r="CD257" s="205">
        <f t="shared" ca="1" si="130"/>
        <v>1359.5749749683346</v>
      </c>
      <c r="CG257" s="180">
        <v>2034</v>
      </c>
      <c r="CH257" s="22">
        <v>20</v>
      </c>
      <c r="CI257" s="181">
        <f t="shared" ca="1" si="131"/>
        <v>-16.904374195176946</v>
      </c>
      <c r="CJ257" s="181">
        <f t="shared" ca="1" si="132"/>
        <v>27.926623282628317</v>
      </c>
      <c r="CK257" s="181">
        <f t="shared" ca="1" si="133"/>
        <v>559.25181289719285</v>
      </c>
      <c r="CL257" s="182">
        <f t="shared" ca="1" si="134"/>
        <v>790.38110249476222</v>
      </c>
      <c r="CM257" s="205">
        <f t="shared" ca="1" si="135"/>
        <v>1360.6551644794065</v>
      </c>
      <c r="CP257" s="180">
        <v>2034</v>
      </c>
      <c r="CQ257" s="22">
        <v>20</v>
      </c>
      <c r="CR257" s="181">
        <f t="shared" ca="1" si="136"/>
        <v>838.30460332471296</v>
      </c>
      <c r="CS257" s="182">
        <f t="shared" ca="1" si="137"/>
        <v>1.5951205581236276</v>
      </c>
      <c r="CT257" s="205">
        <f t="shared" ca="1" si="138"/>
        <v>1337.1969067329223</v>
      </c>
      <c r="CZ257" s="164" t="b">
        <f t="shared" si="114"/>
        <v>1</v>
      </c>
      <c r="DA257" s="165" t="b">
        <f t="shared" si="114"/>
        <v>1</v>
      </c>
      <c r="DB257" s="166" t="b">
        <f t="shared" si="114"/>
        <v>1</v>
      </c>
      <c r="DC257" s="164">
        <f t="shared" si="115"/>
        <v>22</v>
      </c>
      <c r="DD257" s="166">
        <f t="shared" si="116"/>
        <v>1163.8661725751813</v>
      </c>
      <c r="DE257" s="164">
        <f t="shared" si="117"/>
        <v>22</v>
      </c>
      <c r="DF257" s="166">
        <f t="shared" si="118"/>
        <v>1416.1820595211516</v>
      </c>
      <c r="DG257" s="164">
        <f t="shared" si="119"/>
        <v>22</v>
      </c>
      <c r="DH257" s="166">
        <f t="shared" si="120"/>
        <v>1668.4979464671219</v>
      </c>
      <c r="DI257" s="164">
        <f>IFERROR(INDEX(DC$233:DC$281,_xlfn.AGGREGATE(15,6,(ROW(DC$233:DC$281)-ROW(DC$233)+1)/(DC$233:DC$281&lt;&gt;""),ROWS(DI$1:DI25))),"")</f>
        <v>25</v>
      </c>
      <c r="DJ257" s="165">
        <f>IFERROR(INDEX(DD$233:DD$281,_xlfn.AGGREGATE(15,6,(ROW(DD$233:DD$281)-ROW(DD$233)+1)/(DD$233:DD$281&lt;&gt;""),ROWS(DJ$1:DJ25))),"")</f>
        <v>1238.4296477089097</v>
      </c>
      <c r="DK257" s="166">
        <f t="shared" si="121"/>
        <v>257</v>
      </c>
      <c r="DL257" s="164">
        <f>IFERROR(INDEX(DE$233:DE$281,_xlfn.AGGREGATE(15,6,(ROW(DE$233:DE$281)-ROW(DE$233)+1)/(DE$233:DE$281&lt;&gt;""),ROWS(DL$1:DL25))),"")</f>
        <v>25</v>
      </c>
      <c r="DM257" s="165">
        <f>IFERROR(INDEX(DF$233:DF$281,_xlfn.AGGREGATE(15,6,(ROW(DF$233:DF$281)-ROW(DF$233)+1)/(DF$233:DF$281&lt;&gt;""),ROWS(DM$1:DM25))),"")</f>
        <v>1499.9072124602401</v>
      </c>
      <c r="DN257" s="166">
        <f t="shared" si="122"/>
        <v>257</v>
      </c>
      <c r="DO257" s="164">
        <f>IFERROR(INDEX(DG$233:DG$281,_xlfn.AGGREGATE(15,6,(ROW(DG$233:DG$281)-ROW(DG$233)+1)/(DG$233:DG$281&lt;&gt;""),ROWS(DO$1:DO25))),"")</f>
        <v>25</v>
      </c>
      <c r="DP257" s="165">
        <f>IFERROR(INDEX(DH$233:DH$281,_xlfn.AGGREGATE(15,6,(ROW(DH$233:DH$281)-ROW(DH$233)+1)/(DH$233:DH$281&lt;&gt;""),ROWS(DP$1:DP25))),"")</f>
        <v>1761.3847772115705</v>
      </c>
      <c r="DQ257" s="166">
        <f t="shared" si="123"/>
        <v>257</v>
      </c>
      <c r="DV257" s="145">
        <v>2039</v>
      </c>
      <c r="DW257" s="235">
        <f t="shared" ca="1" si="107"/>
        <v>1500.064861645405</v>
      </c>
    </row>
    <row r="258" spans="2:135" ht="13.8" x14ac:dyDescent="0.45">
      <c r="B258" s="128">
        <v>2037</v>
      </c>
      <c r="C258" s="244">
        <f>'Total MSW Summaries (Archive)'!F28</f>
        <v>1562.2437227858125</v>
      </c>
      <c r="D258" s="244">
        <f>'Total MSW Summaries (Archive)'!R28</f>
        <v>1447.0686059260793</v>
      </c>
      <c r="E258" s="244">
        <f>'Total MSW Summaries (Archive)'!AD28</f>
        <v>1766.4760000000008</v>
      </c>
      <c r="F258" s="244">
        <f>'Total MSW Summaries (Archive)'!AP28</f>
        <v>1455.5427105359022</v>
      </c>
      <c r="G258" s="244">
        <f>'Total MSW Summaries (Archive)'!BB28</f>
        <v>989.11400753998964</v>
      </c>
      <c r="H258" s="245"/>
      <c r="I258" s="246"/>
      <c r="J258" s="247"/>
      <c r="K258" s="245"/>
      <c r="L258" s="246"/>
      <c r="M258" s="245"/>
      <c r="N258" s="29" t="s">
        <v>119</v>
      </c>
      <c r="O258" s="120"/>
      <c r="P258" s="120"/>
      <c r="Q258" s="120"/>
      <c r="R258" s="29">
        <v>23</v>
      </c>
      <c r="S258" s="238">
        <f t="shared" si="108"/>
        <v>989.11400753998964</v>
      </c>
      <c r="T258" s="238">
        <f t="shared" si="109"/>
        <v>1766.4760000000008</v>
      </c>
      <c r="U258" s="238">
        <f t="shared" si="110"/>
        <v>254.9651841275963</v>
      </c>
      <c r="W258" s="238">
        <f t="shared" si="111"/>
        <v>1189.1238252299604</v>
      </c>
      <c r="X258" s="238">
        <f t="shared" si="112"/>
        <v>1444.0890093575567</v>
      </c>
      <c r="Y258" s="238">
        <f t="shared" si="113"/>
        <v>1699.0541934851531</v>
      </c>
      <c r="AA258" s="89"/>
      <c r="AB258" s="89"/>
      <c r="AC258" s="89"/>
      <c r="AD258" s="89"/>
      <c r="AE258" s="89"/>
      <c r="AF258" s="89"/>
      <c r="AG258" s="89"/>
      <c r="AH258" s="89"/>
      <c r="AI258" s="89"/>
      <c r="AJ258" s="89"/>
      <c r="AK258" s="89"/>
      <c r="AL258" s="89"/>
      <c r="AM258" s="89"/>
      <c r="AN258" s="89"/>
      <c r="BR258" s="180">
        <v>2035</v>
      </c>
      <c r="BS258" s="22">
        <v>21</v>
      </c>
      <c r="BT258" s="181">
        <f t="shared" si="124"/>
        <v>593.670933630067</v>
      </c>
      <c r="BU258" s="182">
        <f t="shared" si="125"/>
        <v>792.15106583111492</v>
      </c>
      <c r="BV258" s="205">
        <f t="shared" si="126"/>
        <v>1385.8219994611818</v>
      </c>
      <c r="BY258" s="180">
        <v>2035</v>
      </c>
      <c r="BZ258" s="22">
        <v>21</v>
      </c>
      <c r="CA258" s="181">
        <f t="shared" ca="1" si="127"/>
        <v>-13.93987195134075</v>
      </c>
      <c r="CB258" s="181">
        <f t="shared" ca="1" si="128"/>
        <v>614.91264327020519</v>
      </c>
      <c r="CC258" s="182">
        <f t="shared" ca="1" si="129"/>
        <v>786.58776092536436</v>
      </c>
      <c r="CD258" s="205">
        <f t="shared" ca="1" si="130"/>
        <v>1387.5605322442289</v>
      </c>
      <c r="CG258" s="180">
        <v>2035</v>
      </c>
      <c r="CH258" s="22">
        <v>21</v>
      </c>
      <c r="CI258" s="181">
        <f t="shared" ca="1" si="131"/>
        <v>-19.568926177691711</v>
      </c>
      <c r="CJ258" s="181">
        <f t="shared" ca="1" si="132"/>
        <v>30.789102169097717</v>
      </c>
      <c r="CK258" s="181">
        <f t="shared" ca="1" si="133"/>
        <v>587.21440354205254</v>
      </c>
      <c r="CL258" s="182">
        <f t="shared" ca="1" si="134"/>
        <v>790.38110249476222</v>
      </c>
      <c r="CM258" s="205">
        <f t="shared" ca="1" si="135"/>
        <v>1388.8156820282206</v>
      </c>
      <c r="CP258" s="180">
        <v>2035</v>
      </c>
      <c r="CQ258" s="22">
        <v>21</v>
      </c>
      <c r="CR258" s="181">
        <f t="shared" ca="1" si="136"/>
        <v>838.30460332471296</v>
      </c>
      <c r="CS258" s="182">
        <f t="shared" ca="1" si="137"/>
        <v>1.632800737728495</v>
      </c>
      <c r="CT258" s="205">
        <f t="shared" ca="1" si="138"/>
        <v>1368.7843747497848</v>
      </c>
      <c r="CZ258" s="164" t="b">
        <f t="shared" si="114"/>
        <v>1</v>
      </c>
      <c r="DA258" s="165" t="b">
        <f t="shared" si="114"/>
        <v>1</v>
      </c>
      <c r="DB258" s="166" t="b">
        <f t="shared" si="114"/>
        <v>1</v>
      </c>
      <c r="DC258" s="164">
        <f t="shared" si="115"/>
        <v>23</v>
      </c>
      <c r="DD258" s="166">
        <f t="shared" si="116"/>
        <v>1189.1238252299604</v>
      </c>
      <c r="DE258" s="164">
        <f t="shared" si="117"/>
        <v>23</v>
      </c>
      <c r="DF258" s="166">
        <f t="shared" si="118"/>
        <v>1444.0890093575567</v>
      </c>
      <c r="DG258" s="164">
        <f t="shared" si="119"/>
        <v>23</v>
      </c>
      <c r="DH258" s="166">
        <f t="shared" si="120"/>
        <v>1699.0541934851531</v>
      </c>
      <c r="DI258" s="164">
        <f>IFERROR(INDEX(DC$233:DC$281,_xlfn.AGGREGATE(15,6,(ROW(DC$233:DC$281)-ROW(DC$233)+1)/(DC$233:DC$281&lt;&gt;""),ROWS(DI$1:DI26))),"")</f>
        <v>26</v>
      </c>
      <c r="DJ258" s="165">
        <f>IFERROR(INDEX(DD$233:DD$281,_xlfn.AGGREGATE(15,6,(ROW(DD$233:DD$281)-ROW(DD$233)+1)/(DD$233:DD$281&lt;&gt;""),ROWS(DJ$1:DJ26))),"")</f>
        <v>1261.2600034557099</v>
      </c>
      <c r="DK258" s="166">
        <f t="shared" si="121"/>
        <v>258</v>
      </c>
      <c r="DL258" s="164">
        <f>IFERROR(INDEX(DE$233:DE$281,_xlfn.AGGREGATE(15,6,(ROW(DE$233:DE$281)-ROW(DE$233)+1)/(DE$233:DE$281&lt;&gt;""),ROWS(DL$1:DL26))),"")</f>
        <v>26</v>
      </c>
      <c r="DM258" s="165">
        <f>IFERROR(INDEX(DF$233:DF$281,_xlfn.AGGREGATE(15,6,(ROW(DF$233:DF$281)-ROW(DF$233)+1)/(DF$233:DF$281&lt;&gt;""),ROWS(DM$1:DM26))),"")</f>
        <v>1526.7191893602808</v>
      </c>
      <c r="DN258" s="166">
        <f t="shared" si="122"/>
        <v>258</v>
      </c>
      <c r="DO258" s="164">
        <f>IFERROR(INDEX(DG$233:DG$281,_xlfn.AGGREGATE(15,6,(ROW(DG$233:DG$281)-ROW(DG$233)+1)/(DG$233:DG$281&lt;&gt;""),ROWS(DO$1:DO26))),"")</f>
        <v>26</v>
      </c>
      <c r="DP258" s="165">
        <f>IFERROR(INDEX(DH$233:DH$281,_xlfn.AGGREGATE(15,6,(ROW(DH$233:DH$281)-ROW(DH$233)+1)/(DH$233:DH$281&lt;&gt;""),ROWS(DP$1:DP26))),"")</f>
        <v>1792.1783752648516</v>
      </c>
      <c r="DQ258" s="166">
        <f t="shared" si="123"/>
        <v>258</v>
      </c>
      <c r="DV258" s="145">
        <v>2040</v>
      </c>
      <c r="DW258" s="235">
        <f t="shared" ca="1" si="107"/>
        <v>1527.4655425019509</v>
      </c>
    </row>
    <row r="259" spans="2:135" ht="13.8" x14ac:dyDescent="0.45">
      <c r="B259" s="128">
        <v>2038</v>
      </c>
      <c r="C259" s="244">
        <f>'Total MSW Summaries (Archive)'!F29</f>
        <v>1583.9042154775987</v>
      </c>
      <c r="D259" s="244">
        <f>'Total MSW Summaries (Archive)'!R29</f>
        <v>1495.0604088839659</v>
      </c>
      <c r="E259" s="244">
        <f>'Total MSW Summaries (Archive)'!AD29</f>
        <v>1797.1480000000008</v>
      </c>
      <c r="F259" s="244">
        <f>'Total MSW Summaries (Archive)'!AP29</f>
        <v>1474.5435141803939</v>
      </c>
      <c r="G259" s="244">
        <f>'Total MSW Summaries (Archive)'!BB29</f>
        <v>1009.3255986700507</v>
      </c>
      <c r="H259" s="245"/>
      <c r="I259" s="246"/>
      <c r="J259" s="247"/>
      <c r="K259" s="245"/>
      <c r="L259" s="246"/>
      <c r="M259" s="245"/>
      <c r="N259" s="29" t="s">
        <v>119</v>
      </c>
      <c r="O259" s="120"/>
      <c r="P259" s="120"/>
      <c r="Q259" s="120"/>
      <c r="R259" s="29">
        <v>24</v>
      </c>
      <c r="S259" s="238">
        <f t="shared" si="108"/>
        <v>1009.3255986700507</v>
      </c>
      <c r="T259" s="238">
        <f t="shared" si="109"/>
        <v>1797.1480000000008</v>
      </c>
      <c r="U259" s="238">
        <f t="shared" si="110"/>
        <v>258.0114837937499</v>
      </c>
      <c r="W259" s="238">
        <f t="shared" si="111"/>
        <v>1213.984863648652</v>
      </c>
      <c r="X259" s="238">
        <f t="shared" si="112"/>
        <v>1471.9963474424019</v>
      </c>
      <c r="Y259" s="238">
        <f t="shared" si="113"/>
        <v>1730.0078312361518</v>
      </c>
      <c r="AA259" s="89"/>
      <c r="AB259" s="89"/>
      <c r="AC259" s="89"/>
      <c r="AD259" s="89"/>
      <c r="AE259" s="89"/>
      <c r="AF259" s="89"/>
      <c r="AG259" s="89"/>
      <c r="AH259" s="89"/>
      <c r="AI259" s="89"/>
      <c r="AJ259" s="89"/>
      <c r="AK259" s="89"/>
      <c r="AL259" s="89"/>
      <c r="AM259" s="89"/>
      <c r="AN259" s="89"/>
      <c r="BR259" s="180">
        <v>2036</v>
      </c>
      <c r="BS259" s="22">
        <v>22</v>
      </c>
      <c r="BT259" s="181">
        <f t="shared" si="124"/>
        <v>621.9409780886416</v>
      </c>
      <c r="BU259" s="182">
        <f t="shared" si="125"/>
        <v>792.15106583111492</v>
      </c>
      <c r="BV259" s="205">
        <f t="shared" si="126"/>
        <v>1414.0920439197566</v>
      </c>
      <c r="BY259" s="180">
        <v>2036</v>
      </c>
      <c r="BZ259" s="22">
        <v>22</v>
      </c>
      <c r="CA259" s="181">
        <f t="shared" ca="1" si="127"/>
        <v>-15.299088490813885</v>
      </c>
      <c r="CB259" s="181">
        <f t="shared" ca="1" si="128"/>
        <v>644.19419771164348</v>
      </c>
      <c r="CC259" s="182">
        <f t="shared" ca="1" si="129"/>
        <v>786.58776092536436</v>
      </c>
      <c r="CD259" s="205">
        <f t="shared" ca="1" si="130"/>
        <v>1415.4828701461938</v>
      </c>
      <c r="CG259" s="180">
        <v>2036</v>
      </c>
      <c r="CH259" s="22">
        <v>22</v>
      </c>
      <c r="CI259" s="181">
        <f t="shared" ca="1" si="131"/>
        <v>-22.499722053780513</v>
      </c>
      <c r="CJ259" s="181">
        <f t="shared" ca="1" si="132"/>
        <v>33.791214171980265</v>
      </c>
      <c r="CK259" s="181">
        <f t="shared" ca="1" si="133"/>
        <v>615.17699418691222</v>
      </c>
      <c r="CL259" s="182">
        <f t="shared" ca="1" si="134"/>
        <v>790.38110249476222</v>
      </c>
      <c r="CM259" s="205">
        <f t="shared" ca="1" si="135"/>
        <v>1416.8495887998743</v>
      </c>
      <c r="CP259" s="180">
        <v>2036</v>
      </c>
      <c r="CQ259" s="22">
        <v>22</v>
      </c>
      <c r="CR259" s="181">
        <f t="shared" ca="1" si="136"/>
        <v>838.30460332471296</v>
      </c>
      <c r="CS259" s="182">
        <f t="shared" ca="1" si="137"/>
        <v>1.6713710042473728</v>
      </c>
      <c r="CT259" s="205">
        <f t="shared" ca="1" si="138"/>
        <v>1401.1180067240209</v>
      </c>
      <c r="CZ259" s="164" t="b">
        <f t="shared" si="114"/>
        <v>1</v>
      </c>
      <c r="DA259" s="165" t="b">
        <f t="shared" si="114"/>
        <v>1</v>
      </c>
      <c r="DB259" s="166" t="b">
        <f t="shared" si="114"/>
        <v>1</v>
      </c>
      <c r="DC259" s="164">
        <f t="shared" si="115"/>
        <v>24</v>
      </c>
      <c r="DD259" s="166">
        <f t="shared" si="116"/>
        <v>1213.984863648652</v>
      </c>
      <c r="DE259" s="164">
        <f t="shared" si="117"/>
        <v>24</v>
      </c>
      <c r="DF259" s="166">
        <f t="shared" si="118"/>
        <v>1471.9963474424019</v>
      </c>
      <c r="DG259" s="164">
        <f t="shared" si="119"/>
        <v>24</v>
      </c>
      <c r="DH259" s="166">
        <f t="shared" si="120"/>
        <v>1730.0078312361518</v>
      </c>
      <c r="DI259" s="164">
        <f>IFERROR(INDEX(DC$233:DC$281,_xlfn.AGGREGATE(15,6,(ROW(DC$233:DC$281)-ROW(DC$233)+1)/(DC$233:DC$281&lt;&gt;""),ROWS(DI$1:DI27))),"")</f>
        <v>27</v>
      </c>
      <c r="DJ259" s="165">
        <f>IFERROR(INDEX(DD$233:DD$281,_xlfn.AGGREGATE(15,6,(ROW(DD$233:DD$281)-ROW(DD$233)+1)/(DD$233:DD$281&lt;&gt;""),ROWS(DJ$1:DJ27))),"")</f>
        <v>1286.0134402901458</v>
      </c>
      <c r="DK259" s="166">
        <f t="shared" si="121"/>
        <v>259</v>
      </c>
      <c r="DL259" s="164">
        <f>IFERROR(INDEX(DE$233:DE$281,_xlfn.AGGREGATE(15,6,(ROW(DE$233:DE$281)-ROW(DE$233)+1)/(DE$233:DE$281&lt;&gt;""),ROWS(DL$1:DL27))),"")</f>
        <v>27</v>
      </c>
      <c r="DM259" s="165">
        <f>IFERROR(INDEX(DF$233:DF$281,_xlfn.AGGREGATE(15,6,(ROW(DF$233:DF$281)-ROW(DF$233)+1)/(DF$233:DF$281&lt;&gt;""),ROWS(DM$1:DM27))),"")</f>
        <v>1555.7526467224666</v>
      </c>
      <c r="DN259" s="166">
        <f t="shared" si="122"/>
        <v>259</v>
      </c>
      <c r="DO259" s="164">
        <f>IFERROR(INDEX(DG$233:DG$281,_xlfn.AGGREGATE(15,6,(ROW(DG$233:DG$281)-ROW(DG$233)+1)/(DG$233:DG$281&lt;&gt;""),ROWS(DO$1:DO27))),"")</f>
        <v>27</v>
      </c>
      <c r="DP259" s="165">
        <f>IFERROR(INDEX(DH$233:DH$281,_xlfn.AGGREGATE(15,6,(ROW(DH$233:DH$281)-ROW(DH$233)+1)/(DH$233:DH$281&lt;&gt;""),ROWS(DP$1:DP27))),"")</f>
        <v>1825.4918531547873</v>
      </c>
      <c r="DQ259" s="166">
        <f t="shared" si="123"/>
        <v>259</v>
      </c>
      <c r="DV259" s="145">
        <v>2041</v>
      </c>
      <c r="DW259" s="235">
        <f t="shared" ca="1" si="107"/>
        <v>1554.6762211781042</v>
      </c>
    </row>
    <row r="260" spans="2:135" ht="13.8" x14ac:dyDescent="0.45">
      <c r="B260" s="128">
        <v>2039</v>
      </c>
      <c r="C260" s="244">
        <f>'Total MSW Summaries (Archive)'!F30</f>
        <v>1605.3656240099144</v>
      </c>
      <c r="D260" s="244">
        <f>'Total MSW Summaries (Archive)'!R30</f>
        <v>1543.6246421361654</v>
      </c>
      <c r="E260" s="244">
        <f>'Total MSW Summaries (Archive)'!AD30</f>
        <v>1827.8200000000008</v>
      </c>
      <c r="F260" s="244">
        <f>'Total MSW Summaries (Archive)'!AP30</f>
        <v>1493.1886063550071</v>
      </c>
      <c r="G260" s="244">
        <f>'Total MSW Summaries (Archive)'!BB30</f>
        <v>1029.5371898001117</v>
      </c>
      <c r="H260" s="245"/>
      <c r="I260" s="246"/>
      <c r="J260" s="247"/>
      <c r="K260" s="245"/>
      <c r="L260" s="246"/>
      <c r="M260" s="245"/>
      <c r="N260" s="29" t="s">
        <v>119</v>
      </c>
      <c r="O260" s="120"/>
      <c r="P260" s="120"/>
      <c r="Q260" s="120"/>
      <c r="R260" s="29">
        <v>25</v>
      </c>
      <c r="S260" s="238">
        <f t="shared" si="108"/>
        <v>1029.5371898001117</v>
      </c>
      <c r="T260" s="238">
        <f t="shared" si="109"/>
        <v>1827.8200000000008</v>
      </c>
      <c r="U260" s="238">
        <f t="shared" si="110"/>
        <v>261.47756475133031</v>
      </c>
      <c r="W260" s="238">
        <f t="shared" si="111"/>
        <v>1238.4296477089097</v>
      </c>
      <c r="X260" s="238">
        <f t="shared" si="112"/>
        <v>1499.9072124602401</v>
      </c>
      <c r="Y260" s="238">
        <f t="shared" si="113"/>
        <v>1761.3847772115705</v>
      </c>
      <c r="AA260" s="89"/>
      <c r="AB260" s="89"/>
      <c r="AC260" s="89"/>
      <c r="AD260" s="89"/>
      <c r="AE260" s="89"/>
      <c r="AF260" s="89"/>
      <c r="AG260" s="89"/>
      <c r="AH260" s="89"/>
      <c r="AI260" s="89"/>
      <c r="AJ260" s="89"/>
      <c r="AK260" s="89"/>
      <c r="AL260" s="89"/>
      <c r="AM260" s="89"/>
      <c r="AN260" s="89"/>
      <c r="BR260" s="180">
        <v>2037</v>
      </c>
      <c r="BS260" s="22">
        <v>23</v>
      </c>
      <c r="BT260" s="181">
        <f t="shared" si="124"/>
        <v>650.21102254721632</v>
      </c>
      <c r="BU260" s="182">
        <f t="shared" si="125"/>
        <v>792.15106583111492</v>
      </c>
      <c r="BV260" s="205">
        <f t="shared" si="126"/>
        <v>1442.3620883783312</v>
      </c>
      <c r="BY260" s="180">
        <v>2037</v>
      </c>
      <c r="BZ260" s="22">
        <v>23</v>
      </c>
      <c r="CA260" s="181">
        <f t="shared" ca="1" si="127"/>
        <v>-16.721524404216002</v>
      </c>
      <c r="CB260" s="181">
        <f t="shared" ca="1" si="128"/>
        <v>673.47575215308188</v>
      </c>
      <c r="CC260" s="182">
        <f t="shared" ca="1" si="129"/>
        <v>786.58776092536436</v>
      </c>
      <c r="CD260" s="205">
        <f t="shared" ca="1" si="130"/>
        <v>1443.3419886742304</v>
      </c>
      <c r="CG260" s="180">
        <v>2037</v>
      </c>
      <c r="CH260" s="22">
        <v>23</v>
      </c>
      <c r="CI260" s="181">
        <f t="shared" ca="1" si="131"/>
        <v>-25.709440104089733</v>
      </c>
      <c r="CJ260" s="181">
        <f t="shared" ca="1" si="132"/>
        <v>36.932959291275949</v>
      </c>
      <c r="CK260" s="181">
        <f t="shared" ca="1" si="133"/>
        <v>643.1395848317718</v>
      </c>
      <c r="CL260" s="182">
        <f t="shared" ca="1" si="134"/>
        <v>790.38110249476222</v>
      </c>
      <c r="CM260" s="205">
        <f t="shared" ca="1" si="135"/>
        <v>1444.7442065137202</v>
      </c>
      <c r="CP260" s="180">
        <v>2037</v>
      </c>
      <c r="CQ260" s="22">
        <v>23</v>
      </c>
      <c r="CR260" s="181">
        <f t="shared" ca="1" si="136"/>
        <v>838.30460332471296</v>
      </c>
      <c r="CS260" s="182">
        <f t="shared" ca="1" si="137"/>
        <v>1.7108523834482594</v>
      </c>
      <c r="CT260" s="205">
        <f t="shared" ca="1" si="138"/>
        <v>1434.2154286537327</v>
      </c>
      <c r="CZ260" s="164" t="b">
        <f t="shared" si="114"/>
        <v>1</v>
      </c>
      <c r="DA260" s="165" t="b">
        <f t="shared" si="114"/>
        <v>1</v>
      </c>
      <c r="DB260" s="166" t="b">
        <f t="shared" si="114"/>
        <v>1</v>
      </c>
      <c r="DC260" s="164">
        <f t="shared" si="115"/>
        <v>25</v>
      </c>
      <c r="DD260" s="166">
        <f t="shared" si="116"/>
        <v>1238.4296477089097</v>
      </c>
      <c r="DE260" s="164">
        <f t="shared" si="117"/>
        <v>25</v>
      </c>
      <c r="DF260" s="166">
        <f t="shared" si="118"/>
        <v>1499.9072124602401</v>
      </c>
      <c r="DG260" s="164">
        <f t="shared" si="119"/>
        <v>25</v>
      </c>
      <c r="DH260" s="166">
        <f t="shared" si="120"/>
        <v>1761.3847772115705</v>
      </c>
      <c r="DI260" s="164">
        <f>IFERROR(INDEX(DC$233:DC$281,_xlfn.AGGREGATE(15,6,(ROW(DC$233:DC$281)-ROW(DC$233)+1)/(DC$233:DC$281&lt;&gt;""),ROWS(DI$1:DI28))),"")</f>
        <v>28</v>
      </c>
      <c r="DJ260" s="165">
        <f>IFERROR(INDEX(DD$233:DD$281,_xlfn.AGGREGATE(15,6,(ROW(DD$233:DD$281)-ROW(DD$233)+1)/(DD$233:DD$281&lt;&gt;""),ROWS(DJ$1:DJ28))),"")</f>
        <v>1307.9548710267802</v>
      </c>
      <c r="DK260" s="166">
        <f t="shared" si="121"/>
        <v>260</v>
      </c>
      <c r="DL260" s="164">
        <f>IFERROR(INDEX(DE$233:DE$281,_xlfn.AGGREGATE(15,6,(ROW(DE$233:DE$281)-ROW(DE$233)+1)/(DE$233:DE$281&lt;&gt;""),ROWS(DL$1:DL28))),"")</f>
        <v>28</v>
      </c>
      <c r="DM260" s="165">
        <f>IFERROR(INDEX(DF$233:DF$281,_xlfn.AGGREGATE(15,6,(ROW(DF$233:DF$281)-ROW(DF$233)+1)/(DF$233:DF$281&lt;&gt;""),ROWS(DM$1:DM28))),"")</f>
        <v>1582.2211149562875</v>
      </c>
      <c r="DN260" s="166">
        <f t="shared" si="122"/>
        <v>260</v>
      </c>
      <c r="DO260" s="164">
        <f>IFERROR(INDEX(DG$233:DG$281,_xlfn.AGGREGATE(15,6,(ROW(DG$233:DG$281)-ROW(DG$233)+1)/(DG$233:DG$281&lt;&gt;""),ROWS(DO$1:DO28))),"")</f>
        <v>28</v>
      </c>
      <c r="DP260" s="165">
        <f>IFERROR(INDEX(DH$233:DH$281,_xlfn.AGGREGATE(15,6,(ROW(DH$233:DH$281)-ROW(DH$233)+1)/(DH$233:DH$281&lt;&gt;""),ROWS(DP$1:DP28))),"")</f>
        <v>1856.4873588857947</v>
      </c>
      <c r="DQ260" s="166">
        <f t="shared" si="123"/>
        <v>260</v>
      </c>
      <c r="DV260" s="145">
        <v>2042</v>
      </c>
      <c r="DW260" s="235">
        <f t="shared" ca="1" si="107"/>
        <v>1581.6842193932184</v>
      </c>
    </row>
    <row r="261" spans="2:135" ht="13.8" x14ac:dyDescent="0.45">
      <c r="B261" s="128">
        <v>2040</v>
      </c>
      <c r="C261" s="244">
        <f>'Total MSW Summaries (Archive)'!F31</f>
        <v>1626.6200119038158</v>
      </c>
      <c r="D261" s="244">
        <f>'Total MSW Summaries (Archive)'!R31</f>
        <v>1592.7430034315896</v>
      </c>
      <c r="E261" s="244">
        <f>'Total MSW Summaries (Archive)'!AD31</f>
        <v>1858.4920000000009</v>
      </c>
      <c r="F261" s="244">
        <f>'Total MSW Summaries (Archive)'!AP31</f>
        <v>1505.9921505358254</v>
      </c>
      <c r="G261" s="244">
        <f>'Total MSW Summaries (Archive)'!BB31</f>
        <v>1049.7487809301726</v>
      </c>
      <c r="H261" s="245"/>
      <c r="I261" s="246"/>
      <c r="J261" s="247"/>
      <c r="K261" s="245"/>
      <c r="L261" s="246"/>
      <c r="M261" s="245"/>
      <c r="N261" s="29" t="s">
        <v>119</v>
      </c>
      <c r="O261" s="120"/>
      <c r="P261" s="120"/>
      <c r="Q261" s="120"/>
      <c r="R261" s="29">
        <v>26</v>
      </c>
      <c r="S261" s="238">
        <f t="shared" si="108"/>
        <v>1049.7487809301726</v>
      </c>
      <c r="T261" s="238">
        <f t="shared" si="109"/>
        <v>1858.4920000000009</v>
      </c>
      <c r="U261" s="238">
        <f t="shared" si="110"/>
        <v>265.45918590457086</v>
      </c>
      <c r="W261" s="238">
        <f t="shared" si="111"/>
        <v>1261.2600034557099</v>
      </c>
      <c r="X261" s="238">
        <f t="shared" si="112"/>
        <v>1526.7191893602808</v>
      </c>
      <c r="Y261" s="238">
        <f t="shared" si="113"/>
        <v>1792.1783752648516</v>
      </c>
      <c r="AA261" s="89"/>
      <c r="AB261" s="89"/>
      <c r="AC261" s="89"/>
      <c r="AD261" s="89"/>
      <c r="AE261" s="89"/>
      <c r="AF261" s="89"/>
      <c r="AG261" s="89"/>
      <c r="AH261" s="89"/>
      <c r="AI261" s="89"/>
      <c r="AJ261" s="89"/>
      <c r="AK261" s="89"/>
      <c r="AL261" s="89"/>
      <c r="AM261" s="89"/>
      <c r="AN261" s="89"/>
      <c r="BR261" s="180">
        <v>2038</v>
      </c>
      <c r="BS261" s="22">
        <v>24</v>
      </c>
      <c r="BT261" s="181">
        <f t="shared" si="124"/>
        <v>678.48106700579092</v>
      </c>
      <c r="BU261" s="182">
        <f t="shared" si="125"/>
        <v>792.15106583111492</v>
      </c>
      <c r="BV261" s="205">
        <f t="shared" si="126"/>
        <v>1470.6321328369058</v>
      </c>
      <c r="BY261" s="180">
        <v>2038</v>
      </c>
      <c r="BZ261" s="22">
        <v>24</v>
      </c>
      <c r="CA261" s="181">
        <f t="shared" ca="1" si="127"/>
        <v>-18.207179691547104</v>
      </c>
      <c r="CB261" s="181">
        <f t="shared" ca="1" si="128"/>
        <v>702.75730659452017</v>
      </c>
      <c r="CC261" s="182">
        <f t="shared" ca="1" si="129"/>
        <v>786.58776092536436</v>
      </c>
      <c r="CD261" s="205">
        <f t="shared" ca="1" si="130"/>
        <v>1471.1378878283374</v>
      </c>
      <c r="CG261" s="180">
        <v>2038</v>
      </c>
      <c r="CH261" s="22">
        <v>24</v>
      </c>
      <c r="CI261" s="181">
        <f t="shared" ca="1" si="131"/>
        <v>-29.21075860926576</v>
      </c>
      <c r="CJ261" s="181">
        <f t="shared" ca="1" si="132"/>
        <v>40.214337526984778</v>
      </c>
      <c r="CK261" s="181">
        <f t="shared" ca="1" si="133"/>
        <v>671.10217547663149</v>
      </c>
      <c r="CL261" s="182">
        <f t="shared" ca="1" si="134"/>
        <v>790.38110249476222</v>
      </c>
      <c r="CM261" s="205">
        <f t="shared" ca="1" si="135"/>
        <v>1472.4868568891127</v>
      </c>
      <c r="CP261" s="180">
        <v>2038</v>
      </c>
      <c r="CQ261" s="22">
        <v>24</v>
      </c>
      <c r="CR261" s="181">
        <f t="shared" ca="1" si="136"/>
        <v>838.30460332471296</v>
      </c>
      <c r="CS261" s="182">
        <f t="shared" ca="1" si="137"/>
        <v>1.7512663977730312</v>
      </c>
      <c r="CT261" s="205">
        <f t="shared" ca="1" si="138"/>
        <v>1468.09468290102</v>
      </c>
      <c r="CZ261" s="164" t="b">
        <f t="shared" si="114"/>
        <v>1</v>
      </c>
      <c r="DA261" s="165" t="b">
        <f t="shared" si="114"/>
        <v>1</v>
      </c>
      <c r="DB261" s="166" t="b">
        <f t="shared" si="114"/>
        <v>1</v>
      </c>
      <c r="DC261" s="164">
        <f t="shared" si="115"/>
        <v>26</v>
      </c>
      <c r="DD261" s="166">
        <f t="shared" si="116"/>
        <v>1261.2600034557099</v>
      </c>
      <c r="DE261" s="164">
        <f t="shared" si="117"/>
        <v>26</v>
      </c>
      <c r="DF261" s="166">
        <f t="shared" si="118"/>
        <v>1526.7191893602808</v>
      </c>
      <c r="DG261" s="164">
        <f t="shared" si="119"/>
        <v>26</v>
      </c>
      <c r="DH261" s="166">
        <f t="shared" si="120"/>
        <v>1792.1783752648516</v>
      </c>
      <c r="DI261" s="164">
        <f>IFERROR(INDEX(DC$233:DC$281,_xlfn.AGGREGATE(15,6,(ROW(DC$233:DC$281)-ROW(DC$233)+1)/(DC$233:DC$281&lt;&gt;""),ROWS(DI$1:DI29))),"")</f>
        <v>29</v>
      </c>
      <c r="DJ261" s="165">
        <f>IFERROR(INDEX(DD$233:DD$281,_xlfn.AGGREGATE(15,6,(ROW(DD$233:DD$281)-ROW(DD$233)+1)/(DD$233:DD$281&lt;&gt;""),ROWS(DJ$1:DJ29))),"")</f>
        <v>1329.43853671067</v>
      </c>
      <c r="DK261" s="166">
        <f t="shared" si="121"/>
        <v>261</v>
      </c>
      <c r="DL261" s="164">
        <f>IFERROR(INDEX(DE$233:DE$281,_xlfn.AGGREGATE(15,6,(ROW(DE$233:DE$281)-ROW(DE$233)+1)/(DE$233:DE$281&lt;&gt;""),ROWS(DL$1:DL29))),"")</f>
        <v>29</v>
      </c>
      <c r="DM261" s="165">
        <f>IFERROR(INDEX(DF$233:DF$281,_xlfn.AGGREGATE(15,6,(ROW(DF$233:DF$281)-ROW(DF$233)+1)/(DF$233:DF$281&lt;&gt;""),ROWS(DM$1:DM29))),"")</f>
        <v>1608.6828982267584</v>
      </c>
      <c r="DN261" s="166">
        <f t="shared" si="122"/>
        <v>261</v>
      </c>
      <c r="DO261" s="164">
        <f>IFERROR(INDEX(DG$233:DG$281,_xlfn.AGGREGATE(15,6,(ROW(DG$233:DG$281)-ROW(DG$233)+1)/(DG$233:DG$281&lt;&gt;""),ROWS(DO$1:DO29))),"")</f>
        <v>29</v>
      </c>
      <c r="DP261" s="165">
        <f>IFERROR(INDEX(DH$233:DH$281,_xlfn.AGGREGATE(15,6,(ROW(DH$233:DH$281)-ROW(DH$233)+1)/(DH$233:DH$281&lt;&gt;""),ROWS(DP$1:DP29))),"")</f>
        <v>1887.9272597428469</v>
      </c>
      <c r="DQ261" s="166">
        <f t="shared" si="123"/>
        <v>261</v>
      </c>
      <c r="DV261" s="145">
        <v>2043</v>
      </c>
      <c r="DW261" s="235">
        <f t="shared" ca="1" si="107"/>
        <v>1608.4768588666466</v>
      </c>
      <c r="EA261" s="55"/>
      <c r="EB261" s="55"/>
      <c r="EC261" s="55"/>
      <c r="ED261" s="55"/>
      <c r="EE261" s="55"/>
    </row>
    <row r="262" spans="2:135" ht="13.8" x14ac:dyDescent="0.45">
      <c r="B262" s="128">
        <v>2041</v>
      </c>
      <c r="C262" s="244">
        <f>'Total MSW Summaries (Archive)'!F32</f>
        <v>1647.6595125306669</v>
      </c>
      <c r="D262" s="244">
        <f>'Total MSW Summaries (Archive)'!R32</f>
        <v>1642.3967003860703</v>
      </c>
      <c r="E262" s="244">
        <f>'Total MSW Summaries (Archive)'!AD32</f>
        <v>1889.1640000000009</v>
      </c>
      <c r="F262" s="244">
        <f>'Total MSW Summaries (Archive)'!AP32</f>
        <v>1529.5826486353606</v>
      </c>
      <c r="G262" s="244">
        <f>'Total MSW Summaries (Archive)'!BB32</f>
        <v>1069.9603720602336</v>
      </c>
      <c r="H262" s="245"/>
      <c r="I262" s="246"/>
      <c r="J262" s="247"/>
      <c r="K262" s="245"/>
      <c r="L262" s="246"/>
      <c r="M262" s="245"/>
      <c r="N262" s="29" t="s">
        <v>119</v>
      </c>
      <c r="O262" s="120"/>
      <c r="P262" s="120"/>
      <c r="Q262" s="120"/>
      <c r="R262" s="29">
        <v>27</v>
      </c>
      <c r="S262" s="238">
        <f t="shared" si="108"/>
        <v>1069.9603720602336</v>
      </c>
      <c r="T262" s="238">
        <f t="shared" si="109"/>
        <v>1889.1640000000009</v>
      </c>
      <c r="U262" s="238">
        <f t="shared" si="110"/>
        <v>269.73920643232077</v>
      </c>
      <c r="W262" s="238">
        <f t="shared" si="111"/>
        <v>1286.0134402901458</v>
      </c>
      <c r="X262" s="238">
        <f t="shared" si="112"/>
        <v>1555.7526467224666</v>
      </c>
      <c r="Y262" s="238">
        <f t="shared" si="113"/>
        <v>1825.4918531547873</v>
      </c>
      <c r="AA262" s="89"/>
      <c r="AB262" s="89"/>
      <c r="AC262" s="89"/>
      <c r="AD262" s="89"/>
      <c r="AE262" s="89"/>
      <c r="AF262" s="89"/>
      <c r="AG262" s="89"/>
      <c r="AH262" s="89"/>
      <c r="AI262" s="89"/>
      <c r="AJ262" s="89"/>
      <c r="AK262" s="89"/>
      <c r="AL262" s="89"/>
      <c r="AM262" s="89"/>
      <c r="AN262" s="89"/>
      <c r="BR262" s="180">
        <v>2039</v>
      </c>
      <c r="BS262" s="22">
        <v>25</v>
      </c>
      <c r="BT262" s="181">
        <f t="shared" si="124"/>
        <v>706.75111146436552</v>
      </c>
      <c r="BU262" s="182">
        <f t="shared" si="125"/>
        <v>792.15106583111492</v>
      </c>
      <c r="BV262" s="205">
        <f t="shared" si="126"/>
        <v>1498.9021772954804</v>
      </c>
      <c r="BY262" s="180">
        <v>2039</v>
      </c>
      <c r="BZ262" s="22">
        <v>25</v>
      </c>
      <c r="CA262" s="181">
        <f t="shared" ca="1" si="127"/>
        <v>-19.756054352807187</v>
      </c>
      <c r="CB262" s="181">
        <f t="shared" ca="1" si="128"/>
        <v>732.03886103595858</v>
      </c>
      <c r="CC262" s="182">
        <f t="shared" ca="1" si="129"/>
        <v>786.58776092536436</v>
      </c>
      <c r="CD262" s="205">
        <f t="shared" ca="1" si="130"/>
        <v>1498.8705676085158</v>
      </c>
      <c r="CG262" s="180">
        <v>2039</v>
      </c>
      <c r="CH262" s="22">
        <v>25</v>
      </c>
      <c r="CI262" s="181">
        <f t="shared" ca="1" si="131"/>
        <v>-33.016355849954969</v>
      </c>
      <c r="CJ262" s="181">
        <f t="shared" ca="1" si="132"/>
        <v>43.635348879106743</v>
      </c>
      <c r="CK262" s="181">
        <f t="shared" ca="1" si="133"/>
        <v>699.06476612149117</v>
      </c>
      <c r="CL262" s="182">
        <f t="shared" ca="1" si="134"/>
        <v>790.38110249476222</v>
      </c>
      <c r="CM262" s="205">
        <f t="shared" ca="1" si="135"/>
        <v>1500.064861645405</v>
      </c>
      <c r="CP262" s="180">
        <v>2039</v>
      </c>
      <c r="CQ262" s="22">
        <v>25</v>
      </c>
      <c r="CR262" s="181">
        <f t="shared" ca="1" si="136"/>
        <v>838.30460332471296</v>
      </c>
      <c r="CS262" s="182">
        <f t="shared" ca="1" si="137"/>
        <v>1.7926350780699485</v>
      </c>
      <c r="CT262" s="205">
        <f t="shared" ca="1" si="138"/>
        <v>1502.7742380273939</v>
      </c>
      <c r="CZ262" s="164" t="b">
        <f t="shared" si="114"/>
        <v>1</v>
      </c>
      <c r="DA262" s="165" t="b">
        <f t="shared" si="114"/>
        <v>1</v>
      </c>
      <c r="DB262" s="166" t="b">
        <f t="shared" si="114"/>
        <v>1</v>
      </c>
      <c r="DC262" s="164">
        <f t="shared" si="115"/>
        <v>27</v>
      </c>
      <c r="DD262" s="166">
        <f t="shared" si="116"/>
        <v>1286.0134402901458</v>
      </c>
      <c r="DE262" s="164">
        <f t="shared" si="117"/>
        <v>27</v>
      </c>
      <c r="DF262" s="166">
        <f t="shared" si="118"/>
        <v>1555.7526467224666</v>
      </c>
      <c r="DG262" s="164">
        <f t="shared" si="119"/>
        <v>27</v>
      </c>
      <c r="DH262" s="166">
        <f t="shared" si="120"/>
        <v>1825.4918531547873</v>
      </c>
      <c r="DI262" s="164">
        <f>IFERROR(INDEX(DC$233:DC$281,_xlfn.AGGREGATE(15,6,(ROW(DC$233:DC$281)-ROW(DC$233)+1)/(DC$233:DC$281&lt;&gt;""),ROWS(DI$1:DI30))),"")</f>
        <v>30</v>
      </c>
      <c r="DJ262" s="165">
        <f>IFERROR(INDEX(DD$233:DD$281,_xlfn.AGGREGATE(15,6,(ROW(DD$233:DD$281)-ROW(DD$233)+1)/(DD$233:DD$281&lt;&gt;""),ROWS(DJ$1:DJ30))),"")</f>
        <v>1350.4684523445753</v>
      </c>
      <c r="DK262" s="166">
        <f t="shared" si="121"/>
        <v>262</v>
      </c>
      <c r="DL262" s="164">
        <f>IFERROR(INDEX(DE$233:DE$281,_xlfn.AGGREGATE(15,6,(ROW(DE$233:DE$281)-ROW(DE$233)+1)/(DE$233:DE$281&lt;&gt;""),ROWS(DL$1:DL30))),"")</f>
        <v>30</v>
      </c>
      <c r="DM262" s="165">
        <f>IFERROR(INDEX(DF$233:DF$281,_xlfn.AGGREGATE(15,6,(ROW(DF$233:DF$281)-ROW(DF$233)+1)/(DF$233:DF$281&lt;&gt;""),ROWS(DM$1:DM30))),"")</f>
        <v>1635.1391764510349</v>
      </c>
      <c r="DN262" s="166">
        <f t="shared" si="122"/>
        <v>262</v>
      </c>
      <c r="DO262" s="164">
        <f>IFERROR(INDEX(DG$233:DG$281,_xlfn.AGGREGATE(15,6,(ROW(DG$233:DG$281)-ROW(DG$233)+1)/(DG$233:DG$281&lt;&gt;""),ROWS(DO$1:DO30))),"")</f>
        <v>30</v>
      </c>
      <c r="DP262" s="165">
        <f>IFERROR(INDEX(DH$233:DH$281,_xlfn.AGGREGATE(15,6,(ROW(DH$233:DH$281)-ROW(DH$233)+1)/(DH$233:DH$281&lt;&gt;""),ROWS(DP$1:DP30))),"")</f>
        <v>1919.8099005574945</v>
      </c>
      <c r="DQ262" s="166">
        <f t="shared" si="123"/>
        <v>262</v>
      </c>
      <c r="DV262" s="145">
        <v>2044</v>
      </c>
      <c r="DW262" s="235">
        <f t="shared" ca="1" si="107"/>
        <v>1635.0414613177431</v>
      </c>
      <c r="EA262" s="55"/>
      <c r="EB262" s="55"/>
      <c r="EC262" s="55"/>
      <c r="ED262" s="55"/>
      <c r="EE262" s="55"/>
    </row>
    <row r="263" spans="2:135" ht="13.8" x14ac:dyDescent="0.45">
      <c r="B263" s="128">
        <v>2042</v>
      </c>
      <c r="C263" s="244">
        <f>'Total MSW Summaries (Archive)'!F33</f>
        <v>1665.9712224770883</v>
      </c>
      <c r="D263" s="244">
        <f>'Total MSW Summaries (Archive)'!R33</f>
        <v>1690.0251802755033</v>
      </c>
      <c r="E263" s="244">
        <f>'Total MSW Summaries (Archive)'!AD33</f>
        <v>1919.8360000000009</v>
      </c>
      <c r="F263" s="244">
        <f>'Total MSW Summaries (Archive)'!AP33</f>
        <v>1545.1012088385505</v>
      </c>
      <c r="G263" s="244">
        <f>'Total MSW Summaries (Archive)'!BB33</f>
        <v>1090.1719631902945</v>
      </c>
      <c r="H263" s="245"/>
      <c r="I263" s="246"/>
      <c r="J263" s="247"/>
      <c r="K263" s="245"/>
      <c r="L263" s="246"/>
      <c r="M263" s="245"/>
      <c r="N263" s="29" t="s">
        <v>119</v>
      </c>
      <c r="O263" s="120"/>
      <c r="P263" s="120"/>
      <c r="Q263" s="120"/>
      <c r="R263" s="29">
        <v>28</v>
      </c>
      <c r="S263" s="238">
        <f t="shared" si="108"/>
        <v>1090.1719631902945</v>
      </c>
      <c r="T263" s="238">
        <f t="shared" si="109"/>
        <v>1919.8360000000009</v>
      </c>
      <c r="U263" s="238">
        <f t="shared" si="110"/>
        <v>274.2662439295072</v>
      </c>
      <c r="W263" s="238">
        <f t="shared" si="111"/>
        <v>1307.9548710267802</v>
      </c>
      <c r="X263" s="238">
        <f t="shared" si="112"/>
        <v>1582.2211149562875</v>
      </c>
      <c r="Y263" s="238">
        <f t="shared" si="113"/>
        <v>1856.4873588857947</v>
      </c>
      <c r="AA263" s="89"/>
      <c r="AB263" s="89"/>
      <c r="AC263" s="89"/>
      <c r="AD263" s="89"/>
      <c r="AE263" s="89"/>
      <c r="AF263" s="89"/>
      <c r="AG263" s="89"/>
      <c r="AH263" s="89"/>
      <c r="AI263" s="89"/>
      <c r="AJ263" s="89"/>
      <c r="AK263" s="89"/>
      <c r="AL263" s="89"/>
      <c r="AM263" s="89"/>
      <c r="AN263" s="89"/>
      <c r="BR263" s="180">
        <v>2040</v>
      </c>
      <c r="BS263" s="22">
        <v>26</v>
      </c>
      <c r="BT263" s="181">
        <f t="shared" si="124"/>
        <v>735.02115592294012</v>
      </c>
      <c r="BU263" s="182">
        <f t="shared" si="125"/>
        <v>792.15106583111492</v>
      </c>
      <c r="BV263" s="205">
        <f t="shared" si="126"/>
        <v>1527.172221754055</v>
      </c>
      <c r="BY263" s="180">
        <v>2040</v>
      </c>
      <c r="BZ263" s="22">
        <v>26</v>
      </c>
      <c r="CA263" s="181">
        <f t="shared" ca="1" si="127"/>
        <v>-21.368148387996253</v>
      </c>
      <c r="CB263" s="181">
        <f t="shared" ca="1" si="128"/>
        <v>761.32041547739686</v>
      </c>
      <c r="CC263" s="182">
        <f t="shared" ca="1" si="129"/>
        <v>786.58776092536436</v>
      </c>
      <c r="CD263" s="205">
        <f t="shared" ca="1" si="130"/>
        <v>1526.5400280147651</v>
      </c>
      <c r="CG263" s="180">
        <v>2040</v>
      </c>
      <c r="CH263" s="22">
        <v>26</v>
      </c>
      <c r="CI263" s="181">
        <f t="shared" ca="1" si="131"/>
        <v>-37.138910106803749</v>
      </c>
      <c r="CJ263" s="181">
        <f t="shared" ca="1" si="132"/>
        <v>47.195993347641853</v>
      </c>
      <c r="CK263" s="181">
        <f t="shared" ca="1" si="133"/>
        <v>727.02735676635075</v>
      </c>
      <c r="CL263" s="182">
        <f t="shared" ca="1" si="134"/>
        <v>790.38110249476222</v>
      </c>
      <c r="CM263" s="205">
        <f t="shared" ca="1" si="135"/>
        <v>1527.4655425019509</v>
      </c>
      <c r="CP263" s="180">
        <v>2040</v>
      </c>
      <c r="CQ263" s="22">
        <v>26</v>
      </c>
      <c r="CR263" s="181">
        <f t="shared" ca="1" si="136"/>
        <v>838.30460332471296</v>
      </c>
      <c r="CS263" s="182">
        <f t="shared" ca="1" si="137"/>
        <v>1.83498097560331</v>
      </c>
      <c r="CT263" s="205">
        <f t="shared" ca="1" si="138"/>
        <v>1538.2729988615276</v>
      </c>
      <c r="CZ263" s="164" t="b">
        <f t="shared" si="114"/>
        <v>1</v>
      </c>
      <c r="DA263" s="165" t="b">
        <f t="shared" si="114"/>
        <v>1</v>
      </c>
      <c r="DB263" s="166" t="b">
        <f t="shared" si="114"/>
        <v>1</v>
      </c>
      <c r="DC263" s="164">
        <f t="shared" si="115"/>
        <v>28</v>
      </c>
      <c r="DD263" s="166">
        <f t="shared" si="116"/>
        <v>1307.9548710267802</v>
      </c>
      <c r="DE263" s="164">
        <f t="shared" si="117"/>
        <v>28</v>
      </c>
      <c r="DF263" s="166">
        <f t="shared" si="118"/>
        <v>1582.2211149562875</v>
      </c>
      <c r="DG263" s="164">
        <f t="shared" si="119"/>
        <v>28</v>
      </c>
      <c r="DH263" s="166">
        <f t="shared" si="120"/>
        <v>1856.4873588857947</v>
      </c>
      <c r="DI263" s="164">
        <f>IFERROR(INDEX(DC$233:DC$281,_xlfn.AGGREGATE(15,6,(ROW(DC$233:DC$281)-ROW(DC$233)+1)/(DC$233:DC$281&lt;&gt;""),ROWS(DI$1:DI31))),"")</f>
        <v>31</v>
      </c>
      <c r="DJ263" s="165">
        <f>IFERROR(INDEX(DD$233:DD$281,_xlfn.AGGREGATE(15,6,(ROW(DD$233:DD$281)-ROW(DD$233)+1)/(DD$233:DD$281&lt;&gt;""),ROWS(DJ$1:DJ31))),"")</f>
        <v>1370.354872780887</v>
      </c>
      <c r="DK263" s="166">
        <f t="shared" si="121"/>
        <v>263</v>
      </c>
      <c r="DL263" s="164">
        <f>IFERROR(INDEX(DE$233:DE$281,_xlfn.AGGREGATE(15,6,(ROW(DE$233:DE$281)-ROW(DE$233)+1)/(DE$233:DE$281&lt;&gt;""),ROWS(DL$1:DL31))),"")</f>
        <v>31</v>
      </c>
      <c r="DM263" s="165">
        <f>IFERROR(INDEX(DF$233:DF$281,_xlfn.AGGREGATE(15,6,(ROW(DF$233:DF$281)-ROW(DF$233)+1)/(DF$233:DF$281&lt;&gt;""),ROWS(DM$1:DM31))),"")</f>
        <v>1661.0319369316744</v>
      </c>
      <c r="DN263" s="166">
        <f t="shared" si="122"/>
        <v>263</v>
      </c>
      <c r="DO263" s="164">
        <f>IFERROR(INDEX(DG$233:DG$281,_xlfn.AGGREGATE(15,6,(ROW(DG$233:DG$281)-ROW(DG$233)+1)/(DG$233:DG$281&lt;&gt;""),ROWS(DO$1:DO31))),"")</f>
        <v>31</v>
      </c>
      <c r="DP263" s="165">
        <f>IFERROR(INDEX(DH$233:DH$281,_xlfn.AGGREGATE(15,6,(ROW(DH$233:DH$281)-ROW(DH$233)+1)/(DH$233:DH$281&lt;&gt;""),ROWS(DP$1:DP31))),"")</f>
        <v>1951.7090010824618</v>
      </c>
      <c r="DQ263" s="166">
        <f t="shared" si="123"/>
        <v>263</v>
      </c>
      <c r="DV263" s="145">
        <v>2045</v>
      </c>
      <c r="DW263" s="235">
        <f t="shared" ca="1" si="107"/>
        <v>1661.3653484658612</v>
      </c>
      <c r="EA263" s="55"/>
      <c r="EB263" s="55"/>
      <c r="EC263" s="55"/>
      <c r="ED263" s="55"/>
      <c r="EE263" s="55"/>
    </row>
    <row r="264" spans="2:135" ht="13.8" x14ac:dyDescent="0.45">
      <c r="B264" s="128">
        <v>2043</v>
      </c>
      <c r="C264" s="244">
        <f>'Total MSW Summaries (Archive)'!F34</f>
        <v>1684.0372210000171</v>
      </c>
      <c r="D264" s="244">
        <f>'Total MSW Summaries (Archive)'!R34</f>
        <v>1738.0458314878499</v>
      </c>
      <c r="E264" s="244">
        <f>'Total MSW Summaries (Archive)'!AD34</f>
        <v>1950.5080000000009</v>
      </c>
      <c r="F264" s="244">
        <f>'Total MSW Summaries (Archive)'!AP34</f>
        <v>1560.4398843255683</v>
      </c>
      <c r="G264" s="244">
        <f>'Total MSW Summaries (Archive)'!BB34</f>
        <v>1110.3835543203554</v>
      </c>
      <c r="H264" s="245"/>
      <c r="I264" s="246"/>
      <c r="J264" s="247"/>
      <c r="K264" s="245"/>
      <c r="L264" s="246"/>
      <c r="M264" s="245"/>
      <c r="N264" s="29" t="s">
        <v>119</v>
      </c>
      <c r="O264" s="120"/>
      <c r="P264" s="120"/>
      <c r="Q264" s="120"/>
      <c r="R264" s="29">
        <v>29</v>
      </c>
      <c r="S264" s="238">
        <f t="shared" si="108"/>
        <v>1110.3835543203554</v>
      </c>
      <c r="T264" s="238">
        <f t="shared" si="109"/>
        <v>1950.5080000000009</v>
      </c>
      <c r="U264" s="238">
        <f t="shared" si="110"/>
        <v>279.24436151608842</v>
      </c>
      <c r="W264" s="238">
        <f t="shared" si="111"/>
        <v>1329.43853671067</v>
      </c>
      <c r="X264" s="238">
        <f t="shared" si="112"/>
        <v>1608.6828982267584</v>
      </c>
      <c r="Y264" s="238">
        <f t="shared" si="113"/>
        <v>1887.9272597428469</v>
      </c>
      <c r="AA264" s="89"/>
      <c r="AB264" s="89"/>
      <c r="AC264" s="89"/>
      <c r="AD264" s="89"/>
      <c r="AE264" s="89"/>
      <c r="AF264" s="89"/>
      <c r="AG264" s="89"/>
      <c r="AH264" s="89"/>
      <c r="AI264" s="89"/>
      <c r="AJ264" s="89"/>
      <c r="AK264" s="89"/>
      <c r="AL264" s="89"/>
      <c r="AM264" s="89"/>
      <c r="AN264" s="89"/>
      <c r="BR264" s="180">
        <v>2041</v>
      </c>
      <c r="BS264" s="22">
        <v>27</v>
      </c>
      <c r="BT264" s="181">
        <f t="shared" si="124"/>
        <v>763.29120038151473</v>
      </c>
      <c r="BU264" s="182">
        <f t="shared" si="125"/>
        <v>792.15106583111492</v>
      </c>
      <c r="BV264" s="205">
        <f t="shared" si="126"/>
        <v>1555.4422662126296</v>
      </c>
      <c r="BY264" s="180">
        <v>2041</v>
      </c>
      <c r="BZ264" s="22">
        <v>27</v>
      </c>
      <c r="CA264" s="181">
        <f t="shared" ca="1" si="127"/>
        <v>-23.043461797114304</v>
      </c>
      <c r="CB264" s="181">
        <f t="shared" ca="1" si="128"/>
        <v>790.60196991883527</v>
      </c>
      <c r="CC264" s="182">
        <f t="shared" ca="1" si="129"/>
        <v>786.58776092536436</v>
      </c>
      <c r="CD264" s="205">
        <f t="shared" ca="1" si="130"/>
        <v>1554.1462690470853</v>
      </c>
      <c r="CG264" s="180">
        <v>2041</v>
      </c>
      <c r="CH264" s="22">
        <v>27</v>
      </c>
      <c r="CI264" s="181">
        <f t="shared" ca="1" si="131"/>
        <v>-41.591099660458475</v>
      </c>
      <c r="CJ264" s="181">
        <f t="shared" ca="1" si="132"/>
        <v>50.896270932590106</v>
      </c>
      <c r="CK264" s="181">
        <f t="shared" ca="1" si="133"/>
        <v>754.98994741121044</v>
      </c>
      <c r="CL264" s="182">
        <f t="shared" ca="1" si="134"/>
        <v>790.38110249476222</v>
      </c>
      <c r="CM264" s="205">
        <f t="shared" ca="1" si="135"/>
        <v>1554.6762211781042</v>
      </c>
      <c r="CP264" s="180">
        <v>2041</v>
      </c>
      <c r="CQ264" s="22">
        <v>27</v>
      </c>
      <c r="CR264" s="181">
        <f t="shared" ca="1" si="136"/>
        <v>838.30460332471296</v>
      </c>
      <c r="CS264" s="182">
        <f t="shared" ca="1" si="137"/>
        <v>1.878327174346796</v>
      </c>
      <c r="CT264" s="205">
        <f t="shared" ca="1" si="138"/>
        <v>1574.6103168048198</v>
      </c>
      <c r="CZ264" s="164" t="b">
        <f t="shared" si="114"/>
        <v>1</v>
      </c>
      <c r="DA264" s="165" t="b">
        <f t="shared" si="114"/>
        <v>1</v>
      </c>
      <c r="DB264" s="166" t="b">
        <f t="shared" si="114"/>
        <v>1</v>
      </c>
      <c r="DC264" s="164">
        <f t="shared" si="115"/>
        <v>29</v>
      </c>
      <c r="DD264" s="166">
        <f t="shared" si="116"/>
        <v>1329.43853671067</v>
      </c>
      <c r="DE264" s="164">
        <f t="shared" si="117"/>
        <v>29</v>
      </c>
      <c r="DF264" s="166">
        <f t="shared" si="118"/>
        <v>1608.6828982267584</v>
      </c>
      <c r="DG264" s="164">
        <f t="shared" si="119"/>
        <v>29</v>
      </c>
      <c r="DH264" s="166">
        <f t="shared" si="120"/>
        <v>1887.9272597428469</v>
      </c>
      <c r="DI264" s="164" t="str">
        <f>IFERROR(INDEX(DC$233:DC$281,_xlfn.AGGREGATE(15,6,(ROW(DC$233:DC$281)-ROW(DC$233)+1)/(DC$233:DC$281&lt;&gt;""),ROWS(DI$1:DI32))),"")</f>
        <v/>
      </c>
      <c r="DJ264" s="165" t="str">
        <f>IFERROR(INDEX(DD$233:DD$281,_xlfn.AGGREGATE(15,6,(ROW(DD$233:DD$281)-ROW(DD$233)+1)/(DD$233:DD$281&lt;&gt;""),ROWS(DJ$1:DJ32))),"")</f>
        <v/>
      </c>
      <c r="DK264" s="166" t="str">
        <f t="shared" si="121"/>
        <v/>
      </c>
      <c r="DL264" s="164" t="str">
        <f>IFERROR(INDEX(DE$233:DE$281,_xlfn.AGGREGATE(15,6,(ROW(DE$233:DE$281)-ROW(DE$233)+1)/(DE$233:DE$281&lt;&gt;""),ROWS(DL$1:DL32))),"")</f>
        <v/>
      </c>
      <c r="DM264" s="165" t="str">
        <f>IFERROR(INDEX(DF$233:DF$281,_xlfn.AGGREGATE(15,6,(ROW(DF$233:DF$281)-ROW(DF$233)+1)/(DF$233:DF$281&lt;&gt;""),ROWS(DM$1:DM32))),"")</f>
        <v/>
      </c>
      <c r="DN264" s="166" t="str">
        <f t="shared" si="122"/>
        <v/>
      </c>
      <c r="DO264" s="164" t="str">
        <f>IFERROR(INDEX(DG$233:DG$281,_xlfn.AGGREGATE(15,6,(ROW(DG$233:DG$281)-ROW(DG$233)+1)/(DG$233:DG$281&lt;&gt;""),ROWS(DO$1:DO32))),"")</f>
        <v/>
      </c>
      <c r="DP264" s="165" t="str">
        <f>IFERROR(INDEX(DH$233:DH$281,_xlfn.AGGREGATE(15,6,(ROW(DH$233:DH$281)-ROW(DH$233)+1)/(DH$233:DH$281&lt;&gt;""),ROWS(DP$1:DP32))),"")</f>
        <v/>
      </c>
      <c r="DQ264" s="166" t="str">
        <f t="shared" si="123"/>
        <v/>
      </c>
      <c r="DV264" s="145">
        <v>2046</v>
      </c>
      <c r="DW264" s="235">
        <f t="shared" ca="1" si="107"/>
        <v>1687.4358420303547</v>
      </c>
      <c r="EA264" s="55"/>
      <c r="EB264" s="55"/>
      <c r="EC264" s="55"/>
      <c r="ED264" s="55"/>
      <c r="EE264" s="55"/>
    </row>
    <row r="265" spans="2:135" ht="13.8" x14ac:dyDescent="0.45">
      <c r="B265" s="128">
        <v>2044</v>
      </c>
      <c r="C265" s="244">
        <f>'Total MSW Summaries (Archive)'!F35</f>
        <v>1701.8436477727005</v>
      </c>
      <c r="D265" s="244">
        <f>'Total MSW Summaries (Archive)'!R35</f>
        <v>1786.4311072608548</v>
      </c>
      <c r="E265" s="244">
        <f>'Total MSW Summaries (Archive)'!AD35</f>
        <v>1981.180000000001</v>
      </c>
      <c r="F265" s="244">
        <f>'Total MSW Summaries (Archive)'!AP35</f>
        <v>1575.6459817712016</v>
      </c>
      <c r="G265" s="244">
        <f>'Total MSW Summaries (Archive)'!BB35</f>
        <v>1130.5951454504163</v>
      </c>
      <c r="H265" s="245"/>
      <c r="I265" s="246"/>
      <c r="J265" s="247"/>
      <c r="K265" s="245"/>
      <c r="L265" s="246"/>
      <c r="M265" s="245"/>
      <c r="N265" s="29" t="s">
        <v>119</v>
      </c>
      <c r="O265" s="120"/>
      <c r="P265" s="120"/>
      <c r="Q265" s="120"/>
      <c r="R265" s="29">
        <v>30</v>
      </c>
      <c r="S265" s="238">
        <f t="shared" si="108"/>
        <v>1130.5951454504163</v>
      </c>
      <c r="T265" s="238">
        <f t="shared" si="109"/>
        <v>1981.180000000001</v>
      </c>
      <c r="U265" s="238">
        <f t="shared" si="110"/>
        <v>284.67072410645972</v>
      </c>
      <c r="W265" s="238">
        <f t="shared" si="111"/>
        <v>1350.4684523445753</v>
      </c>
      <c r="X265" s="238">
        <f t="shared" si="112"/>
        <v>1635.1391764510349</v>
      </c>
      <c r="Y265" s="238">
        <f t="shared" si="113"/>
        <v>1919.8099005574945</v>
      </c>
      <c r="AA265" s="89"/>
      <c r="AB265" s="89"/>
      <c r="AC265" s="89"/>
      <c r="AD265" s="89"/>
      <c r="AE265" s="89"/>
      <c r="AF265" s="89"/>
      <c r="AG265" s="89"/>
      <c r="AH265" s="89"/>
      <c r="AI265" s="89"/>
      <c r="AJ265" s="89"/>
      <c r="AK265" s="89"/>
      <c r="AL265" s="89"/>
      <c r="AM265" s="89"/>
      <c r="AN265" s="89"/>
      <c r="BR265" s="180">
        <v>2042</v>
      </c>
      <c r="BS265" s="22">
        <v>28</v>
      </c>
      <c r="BT265" s="181">
        <f t="shared" si="124"/>
        <v>791.56124484008933</v>
      </c>
      <c r="BU265" s="182">
        <f t="shared" si="125"/>
        <v>792.15106583111492</v>
      </c>
      <c r="BV265" s="205">
        <f t="shared" si="126"/>
        <v>1583.7123106712042</v>
      </c>
      <c r="BY265" s="180">
        <v>2042</v>
      </c>
      <c r="BZ265" s="22">
        <v>28</v>
      </c>
      <c r="CA265" s="181">
        <f t="shared" ca="1" si="127"/>
        <v>-24.781994580161335</v>
      </c>
      <c r="CB265" s="181">
        <f t="shared" ca="1" si="128"/>
        <v>819.88352436027355</v>
      </c>
      <c r="CC265" s="182">
        <f t="shared" ca="1" si="129"/>
        <v>786.58776092536436</v>
      </c>
      <c r="CD265" s="205">
        <f t="shared" ca="1" si="130"/>
        <v>1581.6892907054767</v>
      </c>
      <c r="CG265" s="180">
        <v>2042</v>
      </c>
      <c r="CH265" s="22">
        <v>28</v>
      </c>
      <c r="CI265" s="181">
        <f t="shared" ca="1" si="131"/>
        <v>-46.385602791565532</v>
      </c>
      <c r="CJ265" s="181">
        <f t="shared" ca="1" si="132"/>
        <v>54.736181633951496</v>
      </c>
      <c r="CK265" s="181">
        <f t="shared" ca="1" si="133"/>
        <v>782.95253805607013</v>
      </c>
      <c r="CL265" s="182">
        <f t="shared" ca="1" si="134"/>
        <v>790.38110249476222</v>
      </c>
      <c r="CM265" s="205">
        <f t="shared" ca="1" si="135"/>
        <v>1581.6842193932184</v>
      </c>
      <c r="CP265" s="180">
        <v>2042</v>
      </c>
      <c r="CQ265" s="22">
        <v>28</v>
      </c>
      <c r="CR265" s="181">
        <f t="shared" ca="1" si="136"/>
        <v>838.30460332471296</v>
      </c>
      <c r="CS265" s="182">
        <f t="shared" ca="1" si="137"/>
        <v>1.9226973035672139</v>
      </c>
      <c r="CT265" s="205">
        <f t="shared" ca="1" si="138"/>
        <v>1611.8060003804085</v>
      </c>
      <c r="CZ265" s="164" t="b">
        <f t="shared" si="114"/>
        <v>1</v>
      </c>
      <c r="DA265" s="165" t="b">
        <f t="shared" si="114"/>
        <v>1</v>
      </c>
      <c r="DB265" s="166" t="b">
        <f t="shared" si="114"/>
        <v>1</v>
      </c>
      <c r="DC265" s="164">
        <f t="shared" si="115"/>
        <v>30</v>
      </c>
      <c r="DD265" s="166">
        <f t="shared" si="116"/>
        <v>1350.4684523445753</v>
      </c>
      <c r="DE265" s="164">
        <f t="shared" si="117"/>
        <v>30</v>
      </c>
      <c r="DF265" s="166">
        <f t="shared" si="118"/>
        <v>1635.1391764510349</v>
      </c>
      <c r="DG265" s="164">
        <f t="shared" si="119"/>
        <v>30</v>
      </c>
      <c r="DH265" s="166">
        <f t="shared" si="120"/>
        <v>1919.8099005574945</v>
      </c>
      <c r="DI265" s="164" t="str">
        <f>IFERROR(INDEX(DC$233:DC$281,_xlfn.AGGREGATE(15,6,(ROW(DC$233:DC$281)-ROW(DC$233)+1)/(DC$233:DC$281&lt;&gt;""),ROWS(DI$1:DI33))),"")</f>
        <v/>
      </c>
      <c r="DJ265" s="165" t="str">
        <f>IFERROR(INDEX(DD$233:DD$281,_xlfn.AGGREGATE(15,6,(ROW(DD$233:DD$281)-ROW(DD$233)+1)/(DD$233:DD$281&lt;&gt;""),ROWS(DJ$1:DJ33))),"")</f>
        <v/>
      </c>
      <c r="DK265" s="166" t="str">
        <f t="shared" si="121"/>
        <v/>
      </c>
      <c r="DL265" s="164" t="str">
        <f>IFERROR(INDEX(DE$233:DE$281,_xlfn.AGGREGATE(15,6,(ROW(DE$233:DE$281)-ROW(DE$233)+1)/(DE$233:DE$281&lt;&gt;""),ROWS(DL$1:DL33))),"")</f>
        <v/>
      </c>
      <c r="DM265" s="165" t="str">
        <f>IFERROR(INDEX(DF$233:DF$281,_xlfn.AGGREGATE(15,6,(ROW(DF$233:DF$281)-ROW(DF$233)+1)/(DF$233:DF$281&lt;&gt;""),ROWS(DM$1:DM33))),"")</f>
        <v/>
      </c>
      <c r="DN265" s="166" t="str">
        <f t="shared" si="122"/>
        <v/>
      </c>
      <c r="DO265" s="164" t="str">
        <f>IFERROR(INDEX(DG$233:DG$281,_xlfn.AGGREGATE(15,6,(ROW(DG$233:DG$281)-ROW(DG$233)+1)/(DG$233:DG$281&lt;&gt;""),ROWS(DO$1:DO33))),"")</f>
        <v/>
      </c>
      <c r="DP265" s="165" t="str">
        <f>IFERROR(INDEX(DH$233:DH$281,_xlfn.AGGREGATE(15,6,(ROW(DH$233:DH$281)-ROW(DH$233)+1)/(DH$233:DH$281&lt;&gt;""),ROWS(DP$1:DP33))),"")</f>
        <v/>
      </c>
      <c r="DQ265" s="166" t="str">
        <f t="shared" si="123"/>
        <v/>
      </c>
      <c r="DV265" s="145">
        <v>2047</v>
      </c>
      <c r="DW265" s="235">
        <f t="shared" ca="1" si="107"/>
        <v>1713.2402637305768</v>
      </c>
      <c r="EA265" s="55"/>
      <c r="EB265" s="55"/>
      <c r="EC265" s="55"/>
      <c r="ED265" s="55"/>
      <c r="EE265" s="55"/>
    </row>
    <row r="266" spans="2:135" ht="13.8" x14ac:dyDescent="0.45">
      <c r="B266" s="128">
        <v>2045</v>
      </c>
      <c r="C266" s="244">
        <f>'Total MSW Summaries (Archive)'!F36</f>
        <v>1719.3784853315371</v>
      </c>
      <c r="D266" s="244">
        <f>'Total MSW Summaries (Archive)'!R36</f>
        <v>1835.1544502167546</v>
      </c>
      <c r="E266" s="244">
        <f>'Total MSW Summaries (Archive)'!AD36</f>
        <v>2011.852000000001</v>
      </c>
      <c r="F266" s="244">
        <f>'Total MSW Summaries (Archive)'!AP36</f>
        <v>1587.9680125296024</v>
      </c>
      <c r="G266" s="244">
        <f>'Total MSW Summaries (Archive)'!BB36</f>
        <v>1150.8067365804773</v>
      </c>
      <c r="H266" s="245"/>
      <c r="I266" s="246"/>
      <c r="J266" s="247"/>
      <c r="K266" s="245"/>
      <c r="L266" s="246"/>
      <c r="M266" s="245"/>
      <c r="N266" s="29" t="s">
        <v>119</v>
      </c>
      <c r="O266" s="120"/>
      <c r="P266" s="120"/>
      <c r="Q266" s="120"/>
      <c r="R266" s="29">
        <v>31</v>
      </c>
      <c r="S266" s="238">
        <f t="shared" si="108"/>
        <v>1150.8067365804773</v>
      </c>
      <c r="T266" s="238">
        <f t="shared" si="109"/>
        <v>2011.852000000001</v>
      </c>
      <c r="U266" s="238">
        <f t="shared" si="110"/>
        <v>290.67706415078732</v>
      </c>
      <c r="W266" s="238">
        <f t="shared" si="111"/>
        <v>1370.354872780887</v>
      </c>
      <c r="X266" s="238">
        <f t="shared" si="112"/>
        <v>1661.0319369316744</v>
      </c>
      <c r="Y266" s="238">
        <f t="shared" si="113"/>
        <v>1951.7090010824618</v>
      </c>
      <c r="AA266" s="89"/>
      <c r="AB266" s="89"/>
      <c r="AC266" s="89"/>
      <c r="AD266" s="89"/>
      <c r="AE266" s="89"/>
      <c r="AF266" s="89"/>
      <c r="AG266" s="89"/>
      <c r="AH266" s="89"/>
      <c r="AI266" s="89"/>
      <c r="AJ266" s="89"/>
      <c r="AK266" s="89"/>
      <c r="AL266" s="89"/>
      <c r="AM266" s="89"/>
      <c r="AN266" s="89"/>
      <c r="BR266" s="180">
        <v>2043</v>
      </c>
      <c r="BS266" s="22">
        <v>29</v>
      </c>
      <c r="BT266" s="181">
        <f t="shared" si="124"/>
        <v>819.83128929866405</v>
      </c>
      <c r="BU266" s="182">
        <f t="shared" si="125"/>
        <v>792.15106583111492</v>
      </c>
      <c r="BV266" s="205">
        <f t="shared" si="126"/>
        <v>1611.9823551297791</v>
      </c>
      <c r="BY266" s="180">
        <v>2043</v>
      </c>
      <c r="BZ266" s="22">
        <v>29</v>
      </c>
      <c r="CA266" s="181">
        <f t="shared" ca="1" si="127"/>
        <v>-26.58374673713735</v>
      </c>
      <c r="CB266" s="181">
        <f t="shared" ca="1" si="128"/>
        <v>849.16507880171196</v>
      </c>
      <c r="CC266" s="182">
        <f t="shared" ca="1" si="129"/>
        <v>786.58776092536436</v>
      </c>
      <c r="CD266" s="205">
        <f t="shared" ca="1" si="130"/>
        <v>1609.1690929899389</v>
      </c>
      <c r="CG266" s="180">
        <v>2043</v>
      </c>
      <c r="CH266" s="22">
        <v>29</v>
      </c>
      <c r="CI266" s="181">
        <f t="shared" ca="1" si="131"/>
        <v>-51.535097780771309</v>
      </c>
      <c r="CJ266" s="181">
        <f t="shared" ca="1" si="132"/>
        <v>58.715725451726037</v>
      </c>
      <c r="CK266" s="181">
        <f t="shared" ca="1" si="133"/>
        <v>810.9151287009297</v>
      </c>
      <c r="CL266" s="182">
        <f t="shared" ca="1" si="134"/>
        <v>790.38110249476222</v>
      </c>
      <c r="CM266" s="205">
        <f t="shared" ca="1" si="135"/>
        <v>1608.4768588666466</v>
      </c>
      <c r="CP266" s="180">
        <v>2043</v>
      </c>
      <c r="CQ266" s="22">
        <v>29</v>
      </c>
      <c r="CR266" s="181">
        <f t="shared" ca="1" si="136"/>
        <v>838.30460332471296</v>
      </c>
      <c r="CS266" s="182">
        <f t="shared" ca="1" si="137"/>
        <v>1.9681155507054919</v>
      </c>
      <c r="CT266" s="205">
        <f t="shared" ca="1" si="138"/>
        <v>1649.8803260313664</v>
      </c>
      <c r="CZ266" s="164" t="b">
        <f t="shared" si="114"/>
        <v>1</v>
      </c>
      <c r="DA266" s="165" t="b">
        <f t="shared" si="114"/>
        <v>1</v>
      </c>
      <c r="DB266" s="166" t="b">
        <f t="shared" si="114"/>
        <v>1</v>
      </c>
      <c r="DC266" s="164">
        <f t="shared" si="115"/>
        <v>31</v>
      </c>
      <c r="DD266" s="166">
        <f t="shared" si="116"/>
        <v>1370.354872780887</v>
      </c>
      <c r="DE266" s="164">
        <f t="shared" si="117"/>
        <v>31</v>
      </c>
      <c r="DF266" s="166">
        <f t="shared" si="118"/>
        <v>1661.0319369316744</v>
      </c>
      <c r="DG266" s="164">
        <f t="shared" si="119"/>
        <v>31</v>
      </c>
      <c r="DH266" s="166">
        <f t="shared" si="120"/>
        <v>1951.7090010824618</v>
      </c>
      <c r="DI266" s="164" t="str">
        <f>IFERROR(INDEX(DC$233:DC$281,_xlfn.AGGREGATE(15,6,(ROW(DC$233:DC$281)-ROW(DC$233)+1)/(DC$233:DC$281&lt;&gt;""),ROWS(DI$1:DI34))),"")</f>
        <v/>
      </c>
      <c r="DJ266" s="165" t="str">
        <f>IFERROR(INDEX(DD$233:DD$281,_xlfn.AGGREGATE(15,6,(ROW(DD$233:DD$281)-ROW(DD$233)+1)/(DD$233:DD$281&lt;&gt;""),ROWS(DJ$1:DJ34))),"")</f>
        <v/>
      </c>
      <c r="DK266" s="166" t="str">
        <f t="shared" si="121"/>
        <v/>
      </c>
      <c r="DL266" s="164" t="str">
        <f>IFERROR(INDEX(DE$233:DE$281,_xlfn.AGGREGATE(15,6,(ROW(DE$233:DE$281)-ROW(DE$233)+1)/(DE$233:DE$281&lt;&gt;""),ROWS(DL$1:DL34))),"")</f>
        <v/>
      </c>
      <c r="DM266" s="165" t="str">
        <f>IFERROR(INDEX(DF$233:DF$281,_xlfn.AGGREGATE(15,6,(ROW(DF$233:DF$281)-ROW(DF$233)+1)/(DF$233:DF$281&lt;&gt;""),ROWS(DM$1:DM34))),"")</f>
        <v/>
      </c>
      <c r="DN266" s="166" t="str">
        <f t="shared" si="122"/>
        <v/>
      </c>
      <c r="DO266" s="164" t="str">
        <f>IFERROR(INDEX(DG$233:DG$281,_xlfn.AGGREGATE(15,6,(ROW(DG$233:DG$281)-ROW(DG$233)+1)/(DG$233:DG$281&lt;&gt;""),ROWS(DO$1:DO34))),"")</f>
        <v/>
      </c>
      <c r="DP266" s="165" t="str">
        <f>IFERROR(INDEX(DH$233:DH$281,_xlfn.AGGREGATE(15,6,(ROW(DH$233:DH$281)-ROW(DH$233)+1)/(DH$233:DH$281&lt;&gt;""),ROWS(DP$1:DP34))),"")</f>
        <v/>
      </c>
      <c r="DQ266" s="166" t="str">
        <f t="shared" si="123"/>
        <v/>
      </c>
      <c r="DV266" s="145">
        <v>2048</v>
      </c>
      <c r="DW266" s="235">
        <f t="shared" ca="1" si="107"/>
        <v>1738.7659352858816</v>
      </c>
      <c r="EA266" s="55"/>
      <c r="EB266" s="55"/>
      <c r="EC266" s="55"/>
      <c r="ED266" s="55"/>
      <c r="EE266" s="55"/>
    </row>
    <row r="267" spans="2:135" ht="13.8" x14ac:dyDescent="0.45">
      <c r="B267" s="128">
        <v>2046</v>
      </c>
      <c r="C267" s="244"/>
      <c r="D267" s="244"/>
      <c r="E267" s="244"/>
      <c r="F267" s="244"/>
      <c r="G267" s="244"/>
      <c r="H267" s="245"/>
      <c r="I267" s="246"/>
      <c r="J267" s="247"/>
      <c r="K267" s="245"/>
      <c r="L267" s="246"/>
      <c r="M267" s="245"/>
      <c r="N267" s="29" t="s">
        <v>119</v>
      </c>
      <c r="O267" s="120"/>
      <c r="P267" s="120"/>
      <c r="Q267" s="120"/>
      <c r="R267" s="29">
        <v>32</v>
      </c>
      <c r="S267" s="238" t="str">
        <f t="shared" si="108"/>
        <v/>
      </c>
      <c r="T267" s="238" t="str">
        <f t="shared" si="109"/>
        <v/>
      </c>
      <c r="U267" s="238" t="str">
        <f t="shared" si="110"/>
        <v/>
      </c>
      <c r="W267" s="238" t="e">
        <f t="shared" si="111"/>
        <v>#N/A</v>
      </c>
      <c r="X267" s="238" t="e">
        <f t="shared" si="112"/>
        <v>#N/A</v>
      </c>
      <c r="Y267" s="238" t="e">
        <f t="shared" si="113"/>
        <v>#N/A</v>
      </c>
      <c r="AA267" s="89"/>
      <c r="AB267" s="89"/>
      <c r="AC267" s="89"/>
      <c r="AD267" s="89"/>
      <c r="AE267" s="89"/>
      <c r="AF267" s="89"/>
      <c r="AG267" s="89"/>
      <c r="AH267" s="89"/>
      <c r="AI267" s="89"/>
      <c r="AJ267" s="89"/>
      <c r="AK267" s="89"/>
      <c r="AL267" s="89"/>
      <c r="AM267" s="89"/>
      <c r="AN267" s="89"/>
      <c r="BR267" s="180">
        <v>2044</v>
      </c>
      <c r="BS267" s="22">
        <v>30</v>
      </c>
      <c r="BT267" s="181">
        <f t="shared" si="124"/>
        <v>848.10133375723865</v>
      </c>
      <c r="BU267" s="182">
        <f t="shared" si="125"/>
        <v>792.15106583111492</v>
      </c>
      <c r="BV267" s="205">
        <f t="shared" si="126"/>
        <v>1640.2523995883535</v>
      </c>
      <c r="BY267" s="180">
        <v>2044</v>
      </c>
      <c r="BZ267" s="22">
        <v>30</v>
      </c>
      <c r="CA267" s="181">
        <f t="shared" ca="1" si="127"/>
        <v>-28.448718268042349</v>
      </c>
      <c r="CB267" s="181">
        <f t="shared" ca="1" si="128"/>
        <v>878.44663324315025</v>
      </c>
      <c r="CC267" s="182">
        <f t="shared" ca="1" si="129"/>
        <v>786.58776092536436</v>
      </c>
      <c r="CD267" s="205">
        <f t="shared" ca="1" si="130"/>
        <v>1636.5856759004723</v>
      </c>
      <c r="CG267" s="180">
        <v>2044</v>
      </c>
      <c r="CH267" s="22">
        <v>30</v>
      </c>
      <c r="CI267" s="181">
        <f t="shared" ca="1" si="131"/>
        <v>-57.052262908722184</v>
      </c>
      <c r="CJ267" s="181">
        <f t="shared" ca="1" si="132"/>
        <v>62.834902385913708</v>
      </c>
      <c r="CK267" s="181">
        <f t="shared" ca="1" si="133"/>
        <v>838.87771934578939</v>
      </c>
      <c r="CL267" s="182">
        <f t="shared" ca="1" si="134"/>
        <v>790.38110249476222</v>
      </c>
      <c r="CM267" s="205">
        <f t="shared" ca="1" si="135"/>
        <v>1635.0414613177431</v>
      </c>
      <c r="CP267" s="180">
        <v>2044</v>
      </c>
      <c r="CQ267" s="22">
        <v>30</v>
      </c>
      <c r="CR267" s="181">
        <f t="shared" ca="1" si="136"/>
        <v>838.30460332471296</v>
      </c>
      <c r="CS267" s="182">
        <f t="shared" ca="1" si="137"/>
        <v>2.0146066745619549</v>
      </c>
      <c r="CT267" s="205">
        <f t="shared" ca="1" si="138"/>
        <v>1688.8540491739786</v>
      </c>
      <c r="CZ267" s="164" t="b">
        <f t="shared" si="114"/>
        <v>0</v>
      </c>
      <c r="DA267" s="165" t="b">
        <f t="shared" si="114"/>
        <v>0</v>
      </c>
      <c r="DB267" s="166" t="b">
        <f t="shared" si="114"/>
        <v>0</v>
      </c>
      <c r="DC267" s="164" t="str">
        <f t="shared" si="115"/>
        <v/>
      </c>
      <c r="DD267" s="166" t="str">
        <f t="shared" si="116"/>
        <v/>
      </c>
      <c r="DE267" s="164" t="str">
        <f t="shared" si="117"/>
        <v/>
      </c>
      <c r="DF267" s="166" t="str">
        <f t="shared" si="118"/>
        <v/>
      </c>
      <c r="DG267" s="164" t="str">
        <f t="shared" si="119"/>
        <v/>
      </c>
      <c r="DH267" s="166" t="str">
        <f t="shared" si="120"/>
        <v/>
      </c>
      <c r="DI267" s="164" t="str">
        <f>IFERROR(INDEX(DC$233:DC$281,_xlfn.AGGREGATE(15,6,(ROW(DC$233:DC$281)-ROW(DC$233)+1)/(DC$233:DC$281&lt;&gt;""),ROWS(DI$1:DI35))),"")</f>
        <v/>
      </c>
      <c r="DJ267" s="165" t="str">
        <f>IFERROR(INDEX(DD$233:DD$281,_xlfn.AGGREGATE(15,6,(ROW(DD$233:DD$281)-ROW(DD$233)+1)/(DD$233:DD$281&lt;&gt;""),ROWS(DJ$1:DJ35))),"")</f>
        <v/>
      </c>
      <c r="DK267" s="166" t="str">
        <f t="shared" si="121"/>
        <v/>
      </c>
      <c r="DL267" s="164" t="str">
        <f>IFERROR(INDEX(DE$233:DE$281,_xlfn.AGGREGATE(15,6,(ROW(DE$233:DE$281)-ROW(DE$233)+1)/(DE$233:DE$281&lt;&gt;""),ROWS(DL$1:DL35))),"")</f>
        <v/>
      </c>
      <c r="DM267" s="165" t="str">
        <f>IFERROR(INDEX(DF$233:DF$281,_xlfn.AGGREGATE(15,6,(ROW(DF$233:DF$281)-ROW(DF$233)+1)/(DF$233:DF$281&lt;&gt;""),ROWS(DM$1:DM35))),"")</f>
        <v/>
      </c>
      <c r="DN267" s="166" t="str">
        <f t="shared" si="122"/>
        <v/>
      </c>
      <c r="DO267" s="164" t="str">
        <f>IFERROR(INDEX(DG$233:DG$281,_xlfn.AGGREGATE(15,6,(ROW(DG$233:DG$281)-ROW(DG$233)+1)/(DG$233:DG$281&lt;&gt;""),ROWS(DO$1:DO35))),"")</f>
        <v/>
      </c>
      <c r="DP267" s="165" t="str">
        <f>IFERROR(INDEX(DH$233:DH$281,_xlfn.AGGREGATE(15,6,(ROW(DH$233:DH$281)-ROW(DH$233)+1)/(DH$233:DH$281&lt;&gt;""),ROWS(DP$1:DP35))),"")</f>
        <v/>
      </c>
      <c r="DQ267" s="166" t="str">
        <f t="shared" si="123"/>
        <v/>
      </c>
      <c r="DV267" s="145">
        <v>2049</v>
      </c>
      <c r="DW267" s="235">
        <f t="shared" ca="1" si="107"/>
        <v>1764.0001784156225</v>
      </c>
      <c r="EA267" s="55"/>
      <c r="EB267" s="55"/>
      <c r="EC267" s="55"/>
      <c r="ED267" s="55"/>
      <c r="EE267" s="55"/>
    </row>
    <row r="268" spans="2:135" ht="13.8" x14ac:dyDescent="0.45">
      <c r="B268" s="128">
        <v>2047</v>
      </c>
      <c r="C268" s="244"/>
      <c r="D268" s="244"/>
      <c r="E268" s="244"/>
      <c r="F268" s="244"/>
      <c r="G268" s="244"/>
      <c r="H268" s="245"/>
      <c r="I268" s="246"/>
      <c r="J268" s="247"/>
      <c r="K268" s="245"/>
      <c r="L268" s="246"/>
      <c r="M268" s="245"/>
      <c r="N268" s="29" t="s">
        <v>119</v>
      </c>
      <c r="O268" s="120"/>
      <c r="P268" s="120"/>
      <c r="Q268" s="120"/>
      <c r="R268" s="29">
        <v>33</v>
      </c>
      <c r="S268" s="238" t="str">
        <f t="shared" si="108"/>
        <v/>
      </c>
      <c r="T268" s="238" t="str">
        <f t="shared" si="109"/>
        <v/>
      </c>
      <c r="U268" s="238" t="str">
        <f t="shared" si="110"/>
        <v/>
      </c>
      <c r="W268" s="238" t="e">
        <f t="shared" si="111"/>
        <v>#N/A</v>
      </c>
      <c r="X268" s="238" t="e">
        <f t="shared" si="112"/>
        <v>#N/A</v>
      </c>
      <c r="Y268" s="238" t="e">
        <f t="shared" si="113"/>
        <v>#N/A</v>
      </c>
      <c r="AA268" s="89"/>
      <c r="AB268" s="89"/>
      <c r="AC268" s="89"/>
      <c r="AD268" s="89"/>
      <c r="AE268" s="89"/>
      <c r="AF268" s="89"/>
      <c r="AG268" s="89"/>
      <c r="AH268" s="89"/>
      <c r="AI268" s="89"/>
      <c r="AJ268" s="89"/>
      <c r="AK268" s="89"/>
      <c r="AL268" s="89"/>
      <c r="AM268" s="89"/>
      <c r="AN268" s="89"/>
      <c r="BR268" s="180">
        <v>2045</v>
      </c>
      <c r="BS268" s="22">
        <v>31</v>
      </c>
      <c r="BT268" s="181">
        <f t="shared" si="124"/>
        <v>876.37137821581325</v>
      </c>
      <c r="BU268" s="182">
        <f t="shared" si="125"/>
        <v>792.15106583111492</v>
      </c>
      <c r="BV268" s="205">
        <f t="shared" si="126"/>
        <v>1668.5224440469283</v>
      </c>
      <c r="BY268" s="180">
        <v>2045</v>
      </c>
      <c r="BZ268" s="22">
        <v>31</v>
      </c>
      <c r="CA268" s="181">
        <f t="shared" ca="1" si="127"/>
        <v>-30.376909172876331</v>
      </c>
      <c r="CB268" s="181">
        <f t="shared" ca="1" si="128"/>
        <v>907.72818768458865</v>
      </c>
      <c r="CC268" s="182">
        <f t="shared" ca="1" si="129"/>
        <v>786.58776092536436</v>
      </c>
      <c r="CD268" s="205">
        <f t="shared" ca="1" si="130"/>
        <v>1663.9390394370766</v>
      </c>
      <c r="CG268" s="180">
        <v>2045</v>
      </c>
      <c r="CH268" s="22">
        <v>31</v>
      </c>
      <c r="CI268" s="181">
        <f t="shared" ca="1" si="131"/>
        <v>-62.949776456064541</v>
      </c>
      <c r="CJ268" s="181">
        <f t="shared" ca="1" si="132"/>
        <v>67.093712436514522</v>
      </c>
      <c r="CK268" s="181">
        <f t="shared" ca="1" si="133"/>
        <v>866.84030999064896</v>
      </c>
      <c r="CL268" s="182">
        <f t="shared" ca="1" si="134"/>
        <v>790.38110249476222</v>
      </c>
      <c r="CM268" s="205">
        <f t="shared" ca="1" si="135"/>
        <v>1661.3653484658612</v>
      </c>
      <c r="CP268" s="180">
        <v>2045</v>
      </c>
      <c r="CQ268" s="22">
        <v>31</v>
      </c>
      <c r="CR268" s="181">
        <f t="shared" ca="1" si="136"/>
        <v>838.30460332471296</v>
      </c>
      <c r="CS268" s="182">
        <f t="shared" ca="1" si="137"/>
        <v>2.0621960187930606</v>
      </c>
      <c r="CT268" s="205">
        <f t="shared" ca="1" si="138"/>
        <v>1728.748415512119</v>
      </c>
      <c r="CZ268" s="164" t="b">
        <f t="shared" si="114"/>
        <v>0</v>
      </c>
      <c r="DA268" s="165" t="b">
        <f t="shared" si="114"/>
        <v>0</v>
      </c>
      <c r="DB268" s="166" t="b">
        <f t="shared" si="114"/>
        <v>0</v>
      </c>
      <c r="DC268" s="164" t="str">
        <f t="shared" si="115"/>
        <v/>
      </c>
      <c r="DD268" s="166" t="str">
        <f t="shared" si="116"/>
        <v/>
      </c>
      <c r="DE268" s="164" t="str">
        <f t="shared" si="117"/>
        <v/>
      </c>
      <c r="DF268" s="166" t="str">
        <f t="shared" si="118"/>
        <v/>
      </c>
      <c r="DG268" s="164" t="str">
        <f t="shared" si="119"/>
        <v/>
      </c>
      <c r="DH268" s="166" t="str">
        <f t="shared" si="120"/>
        <v/>
      </c>
      <c r="DI268" s="164" t="str">
        <f>IFERROR(INDEX(DC$233:DC$281,_xlfn.AGGREGATE(15,6,(ROW(DC$233:DC$281)-ROW(DC$233)+1)/(DC$233:DC$281&lt;&gt;""),ROWS(DI$1:DI36))),"")</f>
        <v/>
      </c>
      <c r="DJ268" s="165" t="str">
        <f>IFERROR(INDEX(DD$233:DD$281,_xlfn.AGGREGATE(15,6,(ROW(DD$233:DD$281)-ROW(DD$233)+1)/(DD$233:DD$281&lt;&gt;""),ROWS(DJ$1:DJ36))),"")</f>
        <v/>
      </c>
      <c r="DK268" s="166" t="str">
        <f t="shared" si="121"/>
        <v/>
      </c>
      <c r="DL268" s="164" t="str">
        <f>IFERROR(INDEX(DE$233:DE$281,_xlfn.AGGREGATE(15,6,(ROW(DE$233:DE$281)-ROW(DE$233)+1)/(DE$233:DE$281&lt;&gt;""),ROWS(DL$1:DL36))),"")</f>
        <v/>
      </c>
      <c r="DM268" s="165" t="str">
        <f>IFERROR(INDEX(DF$233:DF$281,_xlfn.AGGREGATE(15,6,(ROW(DF$233:DF$281)-ROW(DF$233)+1)/(DF$233:DF$281&lt;&gt;""),ROWS(DM$1:DM36))),"")</f>
        <v/>
      </c>
      <c r="DN268" s="166" t="str">
        <f t="shared" si="122"/>
        <v/>
      </c>
      <c r="DO268" s="164" t="str">
        <f>IFERROR(INDEX(DG$233:DG$281,_xlfn.AGGREGATE(15,6,(ROW(DG$233:DG$281)-ROW(DG$233)+1)/(DG$233:DG$281&lt;&gt;""),ROWS(DO$1:DO36))),"")</f>
        <v/>
      </c>
      <c r="DP268" s="165" t="str">
        <f>IFERROR(INDEX(DH$233:DH$281,_xlfn.AGGREGATE(15,6,(ROW(DH$233:DH$281)-ROW(DH$233)+1)/(DH$233:DH$281&lt;&gt;""),ROWS(DP$1:DP36))),"")</f>
        <v/>
      </c>
      <c r="DQ268" s="166" t="str">
        <f t="shared" si="123"/>
        <v/>
      </c>
      <c r="DV268" s="145">
        <v>2050</v>
      </c>
      <c r="DW268" s="235">
        <f t="shared" ca="1" si="107"/>
        <v>1788.9303148391532</v>
      </c>
      <c r="EA268" s="55"/>
      <c r="EB268" s="55"/>
      <c r="EC268" s="55"/>
      <c r="ED268" s="55"/>
      <c r="EE268" s="55"/>
    </row>
    <row r="269" spans="2:135" ht="13.8" x14ac:dyDescent="0.45">
      <c r="B269" s="128">
        <v>2048</v>
      </c>
      <c r="C269" s="244"/>
      <c r="D269" s="244"/>
      <c r="E269" s="244"/>
      <c r="F269" s="244"/>
      <c r="G269" s="244"/>
      <c r="H269" s="245"/>
      <c r="I269" s="246"/>
      <c r="J269" s="247"/>
      <c r="K269" s="245"/>
      <c r="L269" s="246"/>
      <c r="M269" s="245"/>
      <c r="N269" s="29" t="s">
        <v>119</v>
      </c>
      <c r="O269" s="120"/>
      <c r="P269" s="120"/>
      <c r="Q269" s="120"/>
      <c r="R269" s="29">
        <v>34</v>
      </c>
      <c r="S269" s="238" t="str">
        <f t="shared" si="108"/>
        <v/>
      </c>
      <c r="T269" s="238" t="str">
        <f t="shared" si="109"/>
        <v/>
      </c>
      <c r="U269" s="238" t="str">
        <f t="shared" si="110"/>
        <v/>
      </c>
      <c r="W269" s="238" t="e">
        <f t="shared" si="111"/>
        <v>#N/A</v>
      </c>
      <c r="X269" s="238" t="e">
        <f t="shared" si="112"/>
        <v>#N/A</v>
      </c>
      <c r="Y269" s="238" t="e">
        <f t="shared" si="113"/>
        <v>#N/A</v>
      </c>
      <c r="AA269" s="89"/>
      <c r="AB269" s="89"/>
      <c r="AC269" s="89"/>
      <c r="AD269" s="89"/>
      <c r="AE269" s="89"/>
      <c r="AF269" s="89"/>
      <c r="AG269" s="89"/>
      <c r="AH269" s="89"/>
      <c r="AI269" s="89"/>
      <c r="AJ269" s="89"/>
      <c r="AK269" s="89"/>
      <c r="AL269" s="89"/>
      <c r="AM269" s="89"/>
      <c r="AN269" s="89"/>
      <c r="BR269" s="180">
        <v>2046</v>
      </c>
      <c r="BS269" s="22">
        <v>32</v>
      </c>
      <c r="BT269" s="181">
        <f t="shared" si="124"/>
        <v>904.64142267438785</v>
      </c>
      <c r="BU269" s="182">
        <f t="shared" si="125"/>
        <v>792.15106583111492</v>
      </c>
      <c r="BV269" s="205">
        <f t="shared" si="126"/>
        <v>1696.7924885055027</v>
      </c>
      <c r="BY269" s="180">
        <v>2046</v>
      </c>
      <c r="BZ269" s="22">
        <v>32</v>
      </c>
      <c r="CA269" s="181">
        <f t="shared" ca="1" si="127"/>
        <v>-32.368319451639294</v>
      </c>
      <c r="CB269" s="181">
        <f t="shared" ca="1" si="128"/>
        <v>937.00974212602694</v>
      </c>
      <c r="CC269" s="182">
        <f t="shared" ca="1" si="129"/>
        <v>786.58776092536436</v>
      </c>
      <c r="CD269" s="205">
        <f t="shared" ca="1" si="130"/>
        <v>1691.2291835997521</v>
      </c>
      <c r="CG269" s="180">
        <v>2046</v>
      </c>
      <c r="CH269" s="22">
        <v>32</v>
      </c>
      <c r="CI269" s="181">
        <f t="shared" ca="1" si="131"/>
        <v>-69.240316703444762</v>
      </c>
      <c r="CJ269" s="181">
        <f t="shared" ca="1" si="132"/>
        <v>71.492155603528488</v>
      </c>
      <c r="CK269" s="181">
        <f t="shared" ca="1" si="133"/>
        <v>894.80290063550865</v>
      </c>
      <c r="CL269" s="182">
        <f t="shared" ca="1" si="134"/>
        <v>790.38110249476222</v>
      </c>
      <c r="CM269" s="205">
        <f t="shared" ca="1" si="135"/>
        <v>1687.4358420303547</v>
      </c>
      <c r="CP269" s="180">
        <v>2046</v>
      </c>
      <c r="CQ269" s="22">
        <v>32</v>
      </c>
      <c r="CR269" s="181">
        <f t="shared" ca="1" si="136"/>
        <v>838.30460332471296</v>
      </c>
      <c r="CS269" s="182">
        <f t="shared" ca="1" si="137"/>
        <v>2.1109095257269628</v>
      </c>
      <c r="CT269" s="205">
        <f t="shared" ca="1" si="138"/>
        <v>1769.5851726188994</v>
      </c>
      <c r="CZ269" s="164" t="b">
        <f t="shared" si="114"/>
        <v>0</v>
      </c>
      <c r="DA269" s="165" t="b">
        <f t="shared" si="114"/>
        <v>0</v>
      </c>
      <c r="DB269" s="166" t="b">
        <f t="shared" si="114"/>
        <v>0</v>
      </c>
      <c r="DC269" s="164" t="str">
        <f t="shared" si="115"/>
        <v/>
      </c>
      <c r="DD269" s="166" t="str">
        <f t="shared" si="116"/>
        <v/>
      </c>
      <c r="DE269" s="164" t="str">
        <f t="shared" si="117"/>
        <v/>
      </c>
      <c r="DF269" s="166" t="str">
        <f t="shared" si="118"/>
        <v/>
      </c>
      <c r="DG269" s="164" t="str">
        <f t="shared" si="119"/>
        <v/>
      </c>
      <c r="DH269" s="166" t="str">
        <f t="shared" si="120"/>
        <v/>
      </c>
      <c r="DI269" s="164" t="str">
        <f>IFERROR(INDEX(DC$233:DC$281,_xlfn.AGGREGATE(15,6,(ROW(DC$233:DC$281)-ROW(DC$233)+1)/(DC$233:DC$281&lt;&gt;""),ROWS(DI$1:DI37))),"")</f>
        <v/>
      </c>
      <c r="DJ269" s="165" t="str">
        <f>IFERROR(INDEX(DD$233:DD$281,_xlfn.AGGREGATE(15,6,(ROW(DD$233:DD$281)-ROW(DD$233)+1)/(DD$233:DD$281&lt;&gt;""),ROWS(DJ$1:DJ37))),"")</f>
        <v/>
      </c>
      <c r="DK269" s="166" t="str">
        <f t="shared" si="121"/>
        <v/>
      </c>
      <c r="DL269" s="164" t="str">
        <f>IFERROR(INDEX(DE$233:DE$281,_xlfn.AGGREGATE(15,6,(ROW(DE$233:DE$281)-ROW(DE$233)+1)/(DE$233:DE$281&lt;&gt;""),ROWS(DL$1:DL37))),"")</f>
        <v/>
      </c>
      <c r="DM269" s="165" t="str">
        <f>IFERROR(INDEX(DF$233:DF$281,_xlfn.AGGREGATE(15,6,(ROW(DF$233:DF$281)-ROW(DF$233)+1)/(DF$233:DF$281&lt;&gt;""),ROWS(DM$1:DM37))),"")</f>
        <v/>
      </c>
      <c r="DN269" s="166" t="str">
        <f t="shared" si="122"/>
        <v/>
      </c>
      <c r="DO269" s="164" t="str">
        <f>IFERROR(INDEX(DG$233:DG$281,_xlfn.AGGREGATE(15,6,(ROW(DG$233:DG$281)-ROW(DG$233)+1)/(DG$233:DG$281&lt;&gt;""),ROWS(DO$1:DO37))),"")</f>
        <v/>
      </c>
      <c r="DP269" s="165" t="str">
        <f>IFERROR(INDEX(DH$233:DH$281,_xlfn.AGGREGATE(15,6,(ROW(DH$233:DH$281)-ROW(DH$233)+1)/(DH$233:DH$281&lt;&gt;""),ROWS(DP$1:DP37))),"")</f>
        <v/>
      </c>
      <c r="DQ269" s="166" t="str">
        <f t="shared" si="123"/>
        <v/>
      </c>
      <c r="DV269" s="145">
        <v>2051</v>
      </c>
      <c r="DW269" s="235">
        <f t="shared" ca="1" si="107"/>
        <v>1813.5436662758275</v>
      </c>
      <c r="EA269" s="55"/>
      <c r="EB269" s="55"/>
      <c r="EC269" s="55"/>
      <c r="ED269" s="55"/>
      <c r="EE269" s="55"/>
    </row>
    <row r="270" spans="2:135" ht="13.8" x14ac:dyDescent="0.45">
      <c r="B270" s="128">
        <v>2049</v>
      </c>
      <c r="C270" s="244"/>
      <c r="D270" s="244"/>
      <c r="E270" s="244"/>
      <c r="F270" s="244"/>
      <c r="G270" s="244"/>
      <c r="H270" s="245"/>
      <c r="I270" s="246"/>
      <c r="J270" s="247"/>
      <c r="K270" s="245"/>
      <c r="L270" s="246"/>
      <c r="M270" s="245"/>
      <c r="N270" s="29" t="s">
        <v>119</v>
      </c>
      <c r="O270" s="120"/>
      <c r="P270" s="120"/>
      <c r="Q270" s="120"/>
      <c r="R270" s="29">
        <v>35</v>
      </c>
      <c r="S270" s="238" t="str">
        <f t="shared" si="108"/>
        <v/>
      </c>
      <c r="T270" s="238" t="str">
        <f t="shared" si="109"/>
        <v/>
      </c>
      <c r="U270" s="238" t="str">
        <f t="shared" si="110"/>
        <v/>
      </c>
      <c r="W270" s="238" t="e">
        <f t="shared" si="111"/>
        <v>#N/A</v>
      </c>
      <c r="X270" s="238" t="e">
        <f t="shared" si="112"/>
        <v>#N/A</v>
      </c>
      <c r="Y270" s="238" t="e">
        <f t="shared" si="113"/>
        <v>#N/A</v>
      </c>
      <c r="AA270" s="89"/>
      <c r="AB270" s="89"/>
      <c r="AC270" s="89"/>
      <c r="AD270" s="89"/>
      <c r="AE270" s="89"/>
      <c r="AF270" s="89"/>
      <c r="AG270" s="89"/>
      <c r="AH270" s="89"/>
      <c r="AI270" s="89"/>
      <c r="AJ270" s="89"/>
      <c r="AK270" s="89"/>
      <c r="AL270" s="89"/>
      <c r="AM270" s="89"/>
      <c r="AN270" s="89"/>
      <c r="BR270" s="180">
        <v>2047</v>
      </c>
      <c r="BS270" s="22">
        <v>33</v>
      </c>
      <c r="BT270" s="181">
        <f t="shared" si="124"/>
        <v>932.91146713296246</v>
      </c>
      <c r="BU270" s="182">
        <f t="shared" si="125"/>
        <v>792.15106583111492</v>
      </c>
      <c r="BV270" s="205">
        <f t="shared" si="126"/>
        <v>1725.0625329640775</v>
      </c>
      <c r="BY270" s="180">
        <v>2047</v>
      </c>
      <c r="BZ270" s="22">
        <v>33</v>
      </c>
      <c r="CA270" s="181">
        <f t="shared" ca="1" si="127"/>
        <v>-34.422949104331245</v>
      </c>
      <c r="CB270" s="181">
        <f t="shared" ca="1" si="128"/>
        <v>966.29129656746522</v>
      </c>
      <c r="CC270" s="182">
        <f t="shared" ca="1" si="129"/>
        <v>786.58776092536436</v>
      </c>
      <c r="CD270" s="205">
        <f t="shared" ca="1" si="130"/>
        <v>1718.4561083884983</v>
      </c>
      <c r="CG270" s="180">
        <v>2047</v>
      </c>
      <c r="CH270" s="22">
        <v>33</v>
      </c>
      <c r="CI270" s="181">
        <f t="shared" ca="1" si="131"/>
        <v>-75.936561931509232</v>
      </c>
      <c r="CJ270" s="181">
        <f t="shared" ca="1" si="132"/>
        <v>76.03023188695559</v>
      </c>
      <c r="CK270" s="181">
        <f t="shared" ca="1" si="133"/>
        <v>922.76549128036834</v>
      </c>
      <c r="CL270" s="182">
        <f t="shared" ca="1" si="134"/>
        <v>790.38110249476222</v>
      </c>
      <c r="CM270" s="205">
        <f t="shared" ca="1" si="135"/>
        <v>1713.2402637305768</v>
      </c>
      <c r="CP270" s="180">
        <v>2047</v>
      </c>
      <c r="CQ270" s="22">
        <v>33</v>
      </c>
      <c r="CR270" s="181">
        <f t="shared" ca="1" si="136"/>
        <v>838.30460332471296</v>
      </c>
      <c r="CS270" s="182">
        <f t="shared" ca="1" si="137"/>
        <v>2.1607737505054216</v>
      </c>
      <c r="CT270" s="205">
        <f t="shared" ca="1" si="138"/>
        <v>1811.3865817918997</v>
      </c>
      <c r="CZ270" s="164" t="b">
        <f t="shared" si="114"/>
        <v>0</v>
      </c>
      <c r="DA270" s="165" t="b">
        <f t="shared" si="114"/>
        <v>0</v>
      </c>
      <c r="DB270" s="166" t="b">
        <f t="shared" si="114"/>
        <v>0</v>
      </c>
      <c r="DC270" s="164" t="str">
        <f t="shared" si="115"/>
        <v/>
      </c>
      <c r="DD270" s="166" t="str">
        <f t="shared" si="116"/>
        <v/>
      </c>
      <c r="DE270" s="164" t="str">
        <f t="shared" si="117"/>
        <v/>
      </c>
      <c r="DF270" s="166" t="str">
        <f t="shared" si="118"/>
        <v/>
      </c>
      <c r="DG270" s="164" t="str">
        <f t="shared" si="119"/>
        <v/>
      </c>
      <c r="DH270" s="166" t="str">
        <f t="shared" si="120"/>
        <v/>
      </c>
      <c r="DI270" s="164" t="str">
        <f>IFERROR(INDEX(DC$233:DC$281,_xlfn.AGGREGATE(15,6,(ROW(DC$233:DC$281)-ROW(DC$233)+1)/(DC$233:DC$281&lt;&gt;""),ROWS(DI$1:DI38))),"")</f>
        <v/>
      </c>
      <c r="DJ270" s="165" t="str">
        <f>IFERROR(INDEX(DD$233:DD$281,_xlfn.AGGREGATE(15,6,(ROW(DD$233:DD$281)-ROW(DD$233)+1)/(DD$233:DD$281&lt;&gt;""),ROWS(DJ$1:DJ38))),"")</f>
        <v/>
      </c>
      <c r="DK270" s="166" t="str">
        <f t="shared" si="121"/>
        <v/>
      </c>
      <c r="DL270" s="164" t="str">
        <f>IFERROR(INDEX(DE$233:DE$281,_xlfn.AGGREGATE(15,6,(ROW(DE$233:DE$281)-ROW(DE$233)+1)/(DE$233:DE$281&lt;&gt;""),ROWS(DL$1:DL38))),"")</f>
        <v/>
      </c>
      <c r="DM270" s="165" t="str">
        <f>IFERROR(INDEX(DF$233:DF$281,_xlfn.AGGREGATE(15,6,(ROW(DF$233:DF$281)-ROW(DF$233)+1)/(DF$233:DF$281&lt;&gt;""),ROWS(DM$1:DM38))),"")</f>
        <v/>
      </c>
      <c r="DN270" s="166" t="str">
        <f t="shared" si="122"/>
        <v/>
      </c>
      <c r="DO270" s="164" t="str">
        <f>IFERROR(INDEX(DG$233:DG$281,_xlfn.AGGREGATE(15,6,(ROW(DG$233:DG$281)-ROW(DG$233)+1)/(DG$233:DG$281&lt;&gt;""),ROWS(DO$1:DO38))),"")</f>
        <v/>
      </c>
      <c r="DP270" s="165" t="str">
        <f>IFERROR(INDEX(DH$233:DH$281,_xlfn.AGGREGATE(15,6,(ROW(DH$233:DH$281)-ROW(DH$233)+1)/(DH$233:DH$281&lt;&gt;""),ROWS(DP$1:DP38))),"")</f>
        <v/>
      </c>
      <c r="DQ270" s="166" t="str">
        <f t="shared" si="123"/>
        <v/>
      </c>
      <c r="DV270" s="145">
        <v>2052</v>
      </c>
      <c r="DW270" s="235">
        <f t="shared" ca="1" si="107"/>
        <v>1837.8275544449984</v>
      </c>
      <c r="EA270" s="55"/>
      <c r="EB270" s="55"/>
      <c r="EC270" s="55"/>
      <c r="ED270" s="55"/>
      <c r="EE270" s="55"/>
    </row>
    <row r="271" spans="2:135" ht="13.8" x14ac:dyDescent="0.45">
      <c r="B271" s="128">
        <v>2050</v>
      </c>
      <c r="C271" s="244"/>
      <c r="D271" s="244"/>
      <c r="E271" s="244"/>
      <c r="F271" s="244"/>
      <c r="G271" s="244"/>
      <c r="H271" s="245"/>
      <c r="I271" s="246"/>
      <c r="J271" s="247"/>
      <c r="K271" s="245"/>
      <c r="L271" s="246"/>
      <c r="M271" s="245"/>
      <c r="N271" s="29" t="s">
        <v>119</v>
      </c>
      <c r="O271" s="120"/>
      <c r="P271" s="120"/>
      <c r="Q271" s="120"/>
      <c r="R271" s="29">
        <v>36</v>
      </c>
      <c r="S271" s="238" t="str">
        <f t="shared" si="108"/>
        <v/>
      </c>
      <c r="T271" s="238" t="str">
        <f t="shared" si="109"/>
        <v/>
      </c>
      <c r="U271" s="238" t="str">
        <f t="shared" si="110"/>
        <v/>
      </c>
      <c r="W271" s="238" t="e">
        <f t="shared" si="111"/>
        <v>#N/A</v>
      </c>
      <c r="X271" s="238" t="e">
        <f t="shared" si="112"/>
        <v>#N/A</v>
      </c>
      <c r="Y271" s="238" t="e">
        <f t="shared" si="113"/>
        <v>#N/A</v>
      </c>
      <c r="AA271" s="89"/>
      <c r="AB271" s="89"/>
      <c r="AC271" s="89"/>
      <c r="AD271" s="89"/>
      <c r="AE271" s="89"/>
      <c r="AF271" s="89"/>
      <c r="AG271" s="89"/>
      <c r="AH271" s="89"/>
      <c r="AI271" s="89"/>
      <c r="AJ271" s="89"/>
      <c r="AK271" s="89"/>
      <c r="AL271" s="89"/>
      <c r="AM271" s="89"/>
      <c r="AN271" s="89"/>
      <c r="BR271" s="180">
        <v>2048</v>
      </c>
      <c r="BS271" s="22">
        <v>34</v>
      </c>
      <c r="BT271" s="181">
        <f t="shared" si="124"/>
        <v>961.18151159153706</v>
      </c>
      <c r="BU271" s="182">
        <f t="shared" si="125"/>
        <v>792.15106583111492</v>
      </c>
      <c r="BV271" s="205">
        <f t="shared" si="126"/>
        <v>1753.3325774226519</v>
      </c>
      <c r="BY271" s="180">
        <v>2048</v>
      </c>
      <c r="BZ271" s="22">
        <v>34</v>
      </c>
      <c r="CA271" s="181">
        <f t="shared" ca="1" si="127"/>
        <v>-36.540798130952169</v>
      </c>
      <c r="CB271" s="181">
        <f t="shared" ca="1" si="128"/>
        <v>995.57285100890363</v>
      </c>
      <c r="CC271" s="182">
        <f t="shared" ca="1" si="129"/>
        <v>786.58776092536436</v>
      </c>
      <c r="CD271" s="205">
        <f t="shared" ca="1" si="130"/>
        <v>1745.6198138033158</v>
      </c>
      <c r="CG271" s="180">
        <v>2048</v>
      </c>
      <c r="CH271" s="22">
        <v>34</v>
      </c>
      <c r="CI271" s="181">
        <f t="shared" ca="1" si="131"/>
        <v>-83.051190420904319</v>
      </c>
      <c r="CJ271" s="181">
        <f t="shared" ca="1" si="132"/>
        <v>80.70794128679583</v>
      </c>
      <c r="CK271" s="181">
        <f t="shared" ca="1" si="133"/>
        <v>950.72808192522791</v>
      </c>
      <c r="CL271" s="182">
        <f t="shared" ca="1" si="134"/>
        <v>790.38110249476222</v>
      </c>
      <c r="CM271" s="205">
        <f t="shared" ca="1" si="135"/>
        <v>1738.7659352858816</v>
      </c>
      <c r="CP271" s="180">
        <v>2048</v>
      </c>
      <c r="CQ271" s="22">
        <v>34</v>
      </c>
      <c r="CR271" s="181">
        <f t="shared" ca="1" si="136"/>
        <v>838.30460332471296</v>
      </c>
      <c r="CS271" s="182">
        <f t="shared" ca="1" si="137"/>
        <v>2.2118158755597817</v>
      </c>
      <c r="CT271" s="205">
        <f t="shared" ca="1" si="138"/>
        <v>1854.1754301884455</v>
      </c>
      <c r="CZ271" s="164" t="b">
        <f t="shared" si="114"/>
        <v>0</v>
      </c>
      <c r="DA271" s="165" t="b">
        <f t="shared" si="114"/>
        <v>0</v>
      </c>
      <c r="DB271" s="166" t="b">
        <f t="shared" si="114"/>
        <v>0</v>
      </c>
      <c r="DC271" s="164" t="str">
        <f t="shared" si="115"/>
        <v/>
      </c>
      <c r="DD271" s="166" t="str">
        <f t="shared" si="116"/>
        <v/>
      </c>
      <c r="DE271" s="164" t="str">
        <f t="shared" si="117"/>
        <v/>
      </c>
      <c r="DF271" s="166" t="str">
        <f t="shared" si="118"/>
        <v/>
      </c>
      <c r="DG271" s="164" t="str">
        <f t="shared" si="119"/>
        <v/>
      </c>
      <c r="DH271" s="166" t="str">
        <f t="shared" si="120"/>
        <v/>
      </c>
      <c r="DI271" s="164" t="str">
        <f>IFERROR(INDEX(DC$233:DC$281,_xlfn.AGGREGATE(15,6,(ROW(DC$233:DC$281)-ROW(DC$233)+1)/(DC$233:DC$281&lt;&gt;""),ROWS(DI$1:DI39))),"")</f>
        <v/>
      </c>
      <c r="DJ271" s="165" t="str">
        <f>IFERROR(INDEX(DD$233:DD$281,_xlfn.AGGREGATE(15,6,(ROW(DD$233:DD$281)-ROW(DD$233)+1)/(DD$233:DD$281&lt;&gt;""),ROWS(DJ$1:DJ39))),"")</f>
        <v/>
      </c>
      <c r="DK271" s="166" t="str">
        <f t="shared" si="121"/>
        <v/>
      </c>
      <c r="DL271" s="164" t="str">
        <f>IFERROR(INDEX(DE$233:DE$281,_xlfn.AGGREGATE(15,6,(ROW(DE$233:DE$281)-ROW(DE$233)+1)/(DE$233:DE$281&lt;&gt;""),ROWS(DL$1:DL39))),"")</f>
        <v/>
      </c>
      <c r="DM271" s="165" t="str">
        <f>IFERROR(INDEX(DF$233:DF$281,_xlfn.AGGREGATE(15,6,(ROW(DF$233:DF$281)-ROW(DF$233)+1)/(DF$233:DF$281&lt;&gt;""),ROWS(DM$1:DM39))),"")</f>
        <v/>
      </c>
      <c r="DN271" s="166" t="str">
        <f t="shared" si="122"/>
        <v/>
      </c>
      <c r="DO271" s="164" t="str">
        <f>IFERROR(INDEX(DG$233:DG$281,_xlfn.AGGREGATE(15,6,(ROW(DG$233:DG$281)-ROW(DG$233)+1)/(DG$233:DG$281&lt;&gt;""),ROWS(DO$1:DO39))),"")</f>
        <v/>
      </c>
      <c r="DP271" s="165" t="str">
        <f>IFERROR(INDEX(DH$233:DH$281,_xlfn.AGGREGATE(15,6,(ROW(DH$233:DH$281)-ROW(DH$233)+1)/(DH$233:DH$281&lt;&gt;""),ROWS(DP$1:DP39))),"")</f>
        <v/>
      </c>
      <c r="DQ271" s="166" t="str">
        <f t="shared" si="123"/>
        <v/>
      </c>
      <c r="DV271" s="145">
        <v>2053</v>
      </c>
      <c r="DW271" s="235">
        <f t="shared" ca="1" si="107"/>
        <v>1861.7693010660198</v>
      </c>
      <c r="EA271" s="55"/>
      <c r="EB271" s="55"/>
      <c r="EC271" s="55"/>
      <c r="ED271" s="55"/>
      <c r="EE271" s="55"/>
    </row>
    <row r="272" spans="2:135" ht="13.8" x14ac:dyDescent="0.45">
      <c r="B272" s="128">
        <v>2051</v>
      </c>
      <c r="C272" s="244"/>
      <c r="D272" s="244"/>
      <c r="E272" s="244"/>
      <c r="F272" s="244"/>
      <c r="G272" s="244"/>
      <c r="H272" s="245"/>
      <c r="I272" s="246"/>
      <c r="J272" s="247"/>
      <c r="K272" s="245"/>
      <c r="L272" s="246"/>
      <c r="M272" s="245"/>
      <c r="N272" s="29" t="s">
        <v>119</v>
      </c>
      <c r="O272" s="120"/>
      <c r="P272" s="120"/>
      <c r="Q272" s="120"/>
      <c r="R272" s="29">
        <v>37</v>
      </c>
      <c r="S272" s="238" t="str">
        <f t="shared" si="108"/>
        <v/>
      </c>
      <c r="T272" s="238" t="str">
        <f t="shared" si="109"/>
        <v/>
      </c>
      <c r="U272" s="238" t="str">
        <f t="shared" si="110"/>
        <v/>
      </c>
      <c r="W272" s="238" t="e">
        <f t="shared" si="111"/>
        <v>#N/A</v>
      </c>
      <c r="X272" s="238" t="e">
        <f t="shared" si="112"/>
        <v>#N/A</v>
      </c>
      <c r="Y272" s="238" t="e">
        <f t="shared" si="113"/>
        <v>#N/A</v>
      </c>
      <c r="AA272" s="89"/>
      <c r="AB272" s="89"/>
      <c r="AC272" s="89"/>
      <c r="AD272" s="89"/>
      <c r="AE272" s="89"/>
      <c r="AF272" s="89"/>
      <c r="AG272" s="89"/>
      <c r="AH272" s="89"/>
      <c r="AI272" s="89"/>
      <c r="AJ272" s="89"/>
      <c r="AK272" s="89"/>
      <c r="AL272" s="89"/>
      <c r="AM272" s="89"/>
      <c r="AN272" s="89"/>
      <c r="BR272" s="180">
        <v>2049</v>
      </c>
      <c r="BS272" s="22">
        <v>35</v>
      </c>
      <c r="BT272" s="181">
        <f t="shared" si="124"/>
        <v>989.45155605011166</v>
      </c>
      <c r="BU272" s="182">
        <f t="shared" si="125"/>
        <v>792.15106583111492</v>
      </c>
      <c r="BV272" s="205">
        <f t="shared" si="126"/>
        <v>1781.6026218812267</v>
      </c>
      <c r="BY272" s="180">
        <v>2049</v>
      </c>
      <c r="BZ272" s="22">
        <v>35</v>
      </c>
      <c r="CA272" s="181">
        <f t="shared" ca="1" si="127"/>
        <v>-38.721866531502087</v>
      </c>
      <c r="CB272" s="181">
        <f t="shared" ca="1" si="128"/>
        <v>1024.854405450342</v>
      </c>
      <c r="CC272" s="182">
        <f t="shared" ca="1" si="129"/>
        <v>786.58776092536436</v>
      </c>
      <c r="CD272" s="205">
        <f t="shared" ca="1" si="130"/>
        <v>1772.7202998442044</v>
      </c>
      <c r="CG272" s="180">
        <v>2049</v>
      </c>
      <c r="CH272" s="22">
        <v>35</v>
      </c>
      <c r="CI272" s="181">
        <f t="shared" ca="1" si="131"/>
        <v>-90.596880452276437</v>
      </c>
      <c r="CJ272" s="181">
        <f t="shared" ca="1" si="132"/>
        <v>85.52528380304922</v>
      </c>
      <c r="CK272" s="181">
        <f t="shared" ca="1" si="133"/>
        <v>978.6906725700876</v>
      </c>
      <c r="CL272" s="182">
        <f t="shared" ca="1" si="134"/>
        <v>790.38110249476222</v>
      </c>
      <c r="CM272" s="205">
        <f t="shared" ca="1" si="135"/>
        <v>1764.0001784156225</v>
      </c>
      <c r="CP272" s="180">
        <v>2049</v>
      </c>
      <c r="CQ272" s="22">
        <v>35</v>
      </c>
      <c r="CR272" s="181">
        <f t="shared" ca="1" si="136"/>
        <v>838.30460332471296</v>
      </c>
      <c r="CS272" s="182">
        <f t="shared" ca="1" si="137"/>
        <v>2.2640637254289016</v>
      </c>
      <c r="CT272" s="205">
        <f t="shared" ca="1" si="138"/>
        <v>1897.9750432475471</v>
      </c>
      <c r="CZ272" s="164" t="b">
        <f t="shared" si="114"/>
        <v>0</v>
      </c>
      <c r="DA272" s="165" t="b">
        <f t="shared" si="114"/>
        <v>0</v>
      </c>
      <c r="DB272" s="166" t="b">
        <f t="shared" si="114"/>
        <v>0</v>
      </c>
      <c r="DC272" s="164" t="str">
        <f t="shared" si="115"/>
        <v/>
      </c>
      <c r="DD272" s="166" t="str">
        <f t="shared" si="116"/>
        <v/>
      </c>
      <c r="DE272" s="164" t="str">
        <f t="shared" si="117"/>
        <v/>
      </c>
      <c r="DF272" s="166" t="str">
        <f t="shared" si="118"/>
        <v/>
      </c>
      <c r="DG272" s="164" t="str">
        <f t="shared" si="119"/>
        <v/>
      </c>
      <c r="DH272" s="166" t="str">
        <f t="shared" si="120"/>
        <v/>
      </c>
      <c r="DI272" s="164" t="str">
        <f>IFERROR(INDEX(DC$233:DC$281,_xlfn.AGGREGATE(15,6,(ROW(DC$233:DC$281)-ROW(DC$233)+1)/(DC$233:DC$281&lt;&gt;""),ROWS(DI$1:DI40))),"")</f>
        <v/>
      </c>
      <c r="DJ272" s="165" t="str">
        <f>IFERROR(INDEX(DD$233:DD$281,_xlfn.AGGREGATE(15,6,(ROW(DD$233:DD$281)-ROW(DD$233)+1)/(DD$233:DD$281&lt;&gt;""),ROWS(DJ$1:DJ40))),"")</f>
        <v/>
      </c>
      <c r="DK272" s="166" t="str">
        <f t="shared" si="121"/>
        <v/>
      </c>
      <c r="DL272" s="164" t="str">
        <f>IFERROR(INDEX(DE$233:DE$281,_xlfn.AGGREGATE(15,6,(ROW(DE$233:DE$281)-ROW(DE$233)+1)/(DE$233:DE$281&lt;&gt;""),ROWS(DL$1:DL40))),"")</f>
        <v/>
      </c>
      <c r="DM272" s="165" t="str">
        <f>IFERROR(INDEX(DF$233:DF$281,_xlfn.AGGREGATE(15,6,(ROW(DF$233:DF$281)-ROW(DF$233)+1)/(DF$233:DF$281&lt;&gt;""),ROWS(DM$1:DM40))),"")</f>
        <v/>
      </c>
      <c r="DN272" s="166" t="str">
        <f t="shared" si="122"/>
        <v/>
      </c>
      <c r="DO272" s="164" t="str">
        <f>IFERROR(INDEX(DG$233:DG$281,_xlfn.AGGREGATE(15,6,(ROW(DG$233:DG$281)-ROW(DG$233)+1)/(DG$233:DG$281&lt;&gt;""),ROWS(DO$1:DO40))),"")</f>
        <v/>
      </c>
      <c r="DP272" s="165" t="str">
        <f>IFERROR(INDEX(DH$233:DH$281,_xlfn.AGGREGATE(15,6,(ROW(DH$233:DH$281)-ROW(DH$233)+1)/(DH$233:DH$281&lt;&gt;""),ROWS(DP$1:DP40))),"")</f>
        <v/>
      </c>
      <c r="DQ272" s="166" t="str">
        <f t="shared" si="123"/>
        <v/>
      </c>
      <c r="DV272" s="145">
        <v>2054</v>
      </c>
      <c r="DW272" s="235">
        <f t="shared" ca="1" si="107"/>
        <v>1885.3562278582456</v>
      </c>
      <c r="EA272" s="55"/>
      <c r="EB272" s="55"/>
      <c r="EC272" s="55"/>
      <c r="ED272" s="55"/>
      <c r="EE272" s="55"/>
    </row>
    <row r="273" spans="1:135" ht="13.8" x14ac:dyDescent="0.45">
      <c r="B273" s="128">
        <v>2052</v>
      </c>
      <c r="C273" s="244"/>
      <c r="D273" s="244"/>
      <c r="E273" s="244"/>
      <c r="F273" s="244"/>
      <c r="G273" s="244"/>
      <c r="H273" s="245"/>
      <c r="I273" s="246"/>
      <c r="J273" s="247"/>
      <c r="K273" s="245"/>
      <c r="L273" s="246"/>
      <c r="M273" s="245"/>
      <c r="N273" s="29" t="s">
        <v>119</v>
      </c>
      <c r="O273" s="120"/>
      <c r="P273" s="120"/>
      <c r="Q273" s="120"/>
      <c r="R273" s="29">
        <v>38</v>
      </c>
      <c r="S273" s="238" t="str">
        <f t="shared" si="108"/>
        <v/>
      </c>
      <c r="T273" s="238" t="str">
        <f t="shared" si="109"/>
        <v/>
      </c>
      <c r="U273" s="238" t="str">
        <f t="shared" si="110"/>
        <v/>
      </c>
      <c r="W273" s="238" t="e">
        <f t="shared" si="111"/>
        <v>#N/A</v>
      </c>
      <c r="X273" s="238" t="e">
        <f t="shared" si="112"/>
        <v>#N/A</v>
      </c>
      <c r="Y273" s="238" t="e">
        <f t="shared" si="113"/>
        <v>#N/A</v>
      </c>
      <c r="AA273" s="89"/>
      <c r="AB273" s="89"/>
      <c r="AC273" s="89"/>
      <c r="AD273" s="89"/>
      <c r="AE273" s="89"/>
      <c r="AF273" s="89"/>
      <c r="AG273" s="89"/>
      <c r="AH273" s="89"/>
      <c r="AI273" s="89"/>
      <c r="AJ273" s="89"/>
      <c r="AK273" s="89"/>
      <c r="AL273" s="89"/>
      <c r="AM273" s="89"/>
      <c r="AN273" s="89"/>
      <c r="BR273" s="180">
        <v>2050</v>
      </c>
      <c r="BS273" s="22">
        <v>36</v>
      </c>
      <c r="BT273" s="181">
        <f t="shared" si="124"/>
        <v>1017.7216005086864</v>
      </c>
      <c r="BU273" s="182">
        <f t="shared" si="125"/>
        <v>792.15106583111492</v>
      </c>
      <c r="BV273" s="212">
        <f t="shared" si="126"/>
        <v>1809.8726663398013</v>
      </c>
      <c r="BY273" s="180">
        <v>2050</v>
      </c>
      <c r="BZ273" s="22">
        <v>36</v>
      </c>
      <c r="CA273" s="181">
        <f t="shared" ca="1" si="127"/>
        <v>-40.966154305980979</v>
      </c>
      <c r="CB273" s="181">
        <f t="shared" ca="1" si="128"/>
        <v>1054.1359598917802</v>
      </c>
      <c r="CC273" s="182">
        <f t="shared" ca="1" si="129"/>
        <v>786.58776092536436</v>
      </c>
      <c r="CD273" s="212">
        <f t="shared" ca="1" si="130"/>
        <v>1799.7575665111635</v>
      </c>
      <c r="CG273" s="180">
        <v>2050</v>
      </c>
      <c r="CH273" s="22">
        <v>36</v>
      </c>
      <c r="CI273" s="181">
        <f t="shared" ca="1" si="131"/>
        <v>-98.58631030627194</v>
      </c>
      <c r="CJ273" s="181">
        <f t="shared" ca="1" si="132"/>
        <v>90.482259435715747</v>
      </c>
      <c r="CK273" s="181">
        <f t="shared" ca="1" si="133"/>
        <v>1006.6532632149472</v>
      </c>
      <c r="CL273" s="182">
        <f t="shared" ca="1" si="134"/>
        <v>790.38110249476222</v>
      </c>
      <c r="CM273" s="212">
        <f t="shared" ca="1" si="135"/>
        <v>1788.9303148391532</v>
      </c>
      <c r="CP273" s="180">
        <v>2050</v>
      </c>
      <c r="CQ273" s="22">
        <v>36</v>
      </c>
      <c r="CR273" s="181">
        <f t="shared" ca="1" si="136"/>
        <v>838.30460332471296</v>
      </c>
      <c r="CS273" s="182">
        <f t="shared" ca="1" si="137"/>
        <v>2.3175457819271128</v>
      </c>
      <c r="CT273" s="212">
        <f t="shared" ca="1" si="138"/>
        <v>1942.8092974052699</v>
      </c>
      <c r="CZ273" s="164" t="b">
        <f t="shared" si="114"/>
        <v>0</v>
      </c>
      <c r="DA273" s="165" t="b">
        <f t="shared" si="114"/>
        <v>0</v>
      </c>
      <c r="DB273" s="166" t="b">
        <f t="shared" si="114"/>
        <v>0</v>
      </c>
      <c r="DC273" s="164" t="str">
        <f t="shared" si="115"/>
        <v/>
      </c>
      <c r="DD273" s="166" t="str">
        <f t="shared" si="116"/>
        <v/>
      </c>
      <c r="DE273" s="164" t="str">
        <f t="shared" si="117"/>
        <v/>
      </c>
      <c r="DF273" s="166" t="str">
        <f t="shared" si="118"/>
        <v/>
      </c>
      <c r="DG273" s="164" t="str">
        <f t="shared" si="119"/>
        <v/>
      </c>
      <c r="DH273" s="166" t="str">
        <f t="shared" si="120"/>
        <v/>
      </c>
      <c r="DI273" s="164" t="str">
        <f>IFERROR(INDEX(DC$233:DC$281,_xlfn.AGGREGATE(15,6,(ROW(DC$233:DC$281)-ROW(DC$233)+1)/(DC$233:DC$281&lt;&gt;""),ROWS(DI$1:DI41))),"")</f>
        <v/>
      </c>
      <c r="DJ273" s="165" t="str">
        <f>IFERROR(INDEX(DD$233:DD$281,_xlfn.AGGREGATE(15,6,(ROW(DD$233:DD$281)-ROW(DD$233)+1)/(DD$233:DD$281&lt;&gt;""),ROWS(DJ$1:DJ41))),"")</f>
        <v/>
      </c>
      <c r="DK273" s="166" t="str">
        <f t="shared" si="121"/>
        <v/>
      </c>
      <c r="DL273" s="164" t="str">
        <f>IFERROR(INDEX(DE$233:DE$281,_xlfn.AGGREGATE(15,6,(ROW(DE$233:DE$281)-ROW(DE$233)+1)/(DE$233:DE$281&lt;&gt;""),ROWS(DL$1:DL41))),"")</f>
        <v/>
      </c>
      <c r="DM273" s="165" t="str">
        <f>IFERROR(INDEX(DF$233:DF$281,_xlfn.AGGREGATE(15,6,(ROW(DF$233:DF$281)-ROW(DF$233)+1)/(DF$233:DF$281&lt;&gt;""),ROWS(DM$1:DM41))),"")</f>
        <v/>
      </c>
      <c r="DN273" s="166" t="str">
        <f t="shared" si="122"/>
        <v/>
      </c>
      <c r="DO273" s="164" t="str">
        <f>IFERROR(INDEX(DG$233:DG$281,_xlfn.AGGREGATE(15,6,(ROW(DG$233:DG$281)-ROW(DG$233)+1)/(DG$233:DG$281&lt;&gt;""),ROWS(DO$1:DO41))),"")</f>
        <v/>
      </c>
      <c r="DP273" s="165" t="str">
        <f>IFERROR(INDEX(DH$233:DH$281,_xlfn.AGGREGATE(15,6,(ROW(DH$233:DH$281)-ROW(DH$233)+1)/(DH$233:DH$281&lt;&gt;""),ROWS(DP$1:DP41))),"")</f>
        <v/>
      </c>
      <c r="DQ273" s="166" t="str">
        <f t="shared" si="123"/>
        <v/>
      </c>
      <c r="DV273" s="145">
        <v>2055</v>
      </c>
      <c r="DW273" s="235">
        <f t="shared" ca="1" si="107"/>
        <v>1908.5756565410295</v>
      </c>
      <c r="EA273" s="55"/>
      <c r="EB273" s="55"/>
      <c r="EC273" s="55"/>
      <c r="ED273" s="55"/>
      <c r="EE273" s="55"/>
    </row>
    <row r="274" spans="1:135" ht="13.8" x14ac:dyDescent="0.45">
      <c r="B274" s="128">
        <v>2053</v>
      </c>
      <c r="C274" s="244"/>
      <c r="D274" s="244"/>
      <c r="E274" s="244"/>
      <c r="F274" s="244"/>
      <c r="G274" s="244"/>
      <c r="H274" s="245"/>
      <c r="I274" s="246"/>
      <c r="J274" s="247"/>
      <c r="K274" s="245"/>
      <c r="L274" s="246"/>
      <c r="M274" s="245"/>
      <c r="N274" s="29" t="s">
        <v>119</v>
      </c>
      <c r="O274" s="120"/>
      <c r="P274" s="120"/>
      <c r="Q274" s="120"/>
      <c r="R274" s="29">
        <v>39</v>
      </c>
      <c r="S274" s="238" t="str">
        <f t="shared" si="108"/>
        <v/>
      </c>
      <c r="T274" s="238" t="str">
        <f t="shared" si="109"/>
        <v/>
      </c>
      <c r="U274" s="238" t="str">
        <f t="shared" si="110"/>
        <v/>
      </c>
      <c r="W274" s="238" t="e">
        <f t="shared" si="111"/>
        <v>#N/A</v>
      </c>
      <c r="X274" s="238" t="e">
        <f t="shared" si="112"/>
        <v>#N/A</v>
      </c>
      <c r="Y274" s="238" t="e">
        <f t="shared" si="113"/>
        <v>#N/A</v>
      </c>
      <c r="AA274" s="89"/>
      <c r="AB274" s="89"/>
      <c r="AC274" s="89"/>
      <c r="AD274" s="89"/>
      <c r="AE274" s="89"/>
      <c r="AF274" s="89"/>
      <c r="AG274" s="89"/>
      <c r="AH274" s="89"/>
      <c r="AI274" s="89"/>
      <c r="AJ274" s="89"/>
      <c r="AK274" s="89"/>
      <c r="AL274" s="89"/>
      <c r="AM274" s="89"/>
      <c r="AN274" s="89"/>
      <c r="BR274" s="180">
        <v>2051</v>
      </c>
      <c r="BS274" s="22">
        <v>37</v>
      </c>
      <c r="BT274" s="181">
        <f t="shared" si="124"/>
        <v>1045.991644967261</v>
      </c>
      <c r="BU274" s="182">
        <f t="shared" si="125"/>
        <v>792.15106583111492</v>
      </c>
      <c r="BV274" s="213">
        <f t="shared" si="126"/>
        <v>1838.1427107983759</v>
      </c>
      <c r="BY274" s="180">
        <v>2051</v>
      </c>
      <c r="BZ274" s="22">
        <v>37</v>
      </c>
      <c r="CA274" s="181">
        <f t="shared" ca="1" si="127"/>
        <v>-43.273661454388865</v>
      </c>
      <c r="CB274" s="181">
        <f t="shared" ca="1" si="128"/>
        <v>1083.4175143332186</v>
      </c>
      <c r="CC274" s="182">
        <f t="shared" ca="1" si="129"/>
        <v>786.58776092536436</v>
      </c>
      <c r="CD274" s="213">
        <f t="shared" ca="1" si="130"/>
        <v>1826.731613804194</v>
      </c>
      <c r="CG274" s="180">
        <v>2051</v>
      </c>
      <c r="CH274" s="22">
        <v>37</v>
      </c>
      <c r="CI274" s="181">
        <f t="shared" ca="1" si="131"/>
        <v>-107.03215826353721</v>
      </c>
      <c r="CJ274" s="181">
        <f t="shared" ca="1" si="132"/>
        <v>95.578868184795411</v>
      </c>
      <c r="CK274" s="181">
        <f t="shared" ca="1" si="133"/>
        <v>1034.615853859807</v>
      </c>
      <c r="CL274" s="182">
        <f t="shared" ca="1" si="134"/>
        <v>790.38110249476222</v>
      </c>
      <c r="CM274" s="213">
        <f t="shared" ca="1" si="135"/>
        <v>1813.5436662758275</v>
      </c>
      <c r="CP274" s="180">
        <v>2051</v>
      </c>
      <c r="CQ274" s="22">
        <v>37</v>
      </c>
      <c r="CR274" s="181">
        <f t="shared" ca="1" si="136"/>
        <v>838.30460332471296</v>
      </c>
      <c r="CS274" s="182">
        <f t="shared" ca="1" si="137"/>
        <v>2.3722911996704834</v>
      </c>
      <c r="CT274" s="213">
        <f t="shared" ca="1" si="138"/>
        <v>1988.7026331104721</v>
      </c>
      <c r="CZ274" s="164" t="b">
        <f t="shared" ref="CZ274:DB278" si="141">ISNUMBER(W274)</f>
        <v>0</v>
      </c>
      <c r="DA274" s="165" t="b">
        <f t="shared" si="141"/>
        <v>0</v>
      </c>
      <c r="DB274" s="166" t="b">
        <f t="shared" si="141"/>
        <v>0</v>
      </c>
      <c r="DC274" s="164" t="str">
        <f t="shared" si="115"/>
        <v/>
      </c>
      <c r="DD274" s="166" t="str">
        <f t="shared" si="116"/>
        <v/>
      </c>
      <c r="DE274" s="164" t="str">
        <f t="shared" si="117"/>
        <v/>
      </c>
      <c r="DF274" s="166" t="str">
        <f t="shared" si="118"/>
        <v/>
      </c>
      <c r="DG274" s="164" t="str">
        <f t="shared" si="119"/>
        <v/>
      </c>
      <c r="DH274" s="166" t="str">
        <f t="shared" si="120"/>
        <v/>
      </c>
      <c r="DI274" s="164" t="str">
        <f>IFERROR(INDEX(DC$233:DC$281,_xlfn.AGGREGATE(15,6,(ROW(DC$233:DC$281)-ROW(DC$233)+1)/(DC$233:DC$281&lt;&gt;""),ROWS(DI$1:DI42))),"")</f>
        <v/>
      </c>
      <c r="DJ274" s="165" t="str">
        <f>IFERROR(INDEX(DD$233:DD$281,_xlfn.AGGREGATE(15,6,(ROW(DD$233:DD$281)-ROW(DD$233)+1)/(DD$233:DD$281&lt;&gt;""),ROWS(DJ$1:DJ42))),"")</f>
        <v/>
      </c>
      <c r="DK274" s="166" t="str">
        <f t="shared" si="121"/>
        <v/>
      </c>
      <c r="DL274" s="164" t="str">
        <f>IFERROR(INDEX(DE$233:DE$281,_xlfn.AGGREGATE(15,6,(ROW(DE$233:DE$281)-ROW(DE$233)+1)/(DE$233:DE$281&lt;&gt;""),ROWS(DL$1:DL42))),"")</f>
        <v/>
      </c>
      <c r="DM274" s="165" t="str">
        <f>IFERROR(INDEX(DF$233:DF$281,_xlfn.AGGREGATE(15,6,(ROW(DF$233:DF$281)-ROW(DF$233)+1)/(DF$233:DF$281&lt;&gt;""),ROWS(DM$1:DM42))),"")</f>
        <v/>
      </c>
      <c r="DN274" s="166" t="str">
        <f t="shared" si="122"/>
        <v/>
      </c>
      <c r="DO274" s="164" t="str">
        <f>IFERROR(INDEX(DG$233:DG$281,_xlfn.AGGREGATE(15,6,(ROW(DG$233:DG$281)-ROW(DG$233)+1)/(DG$233:DG$281&lt;&gt;""),ROWS(DO$1:DO42))),"")</f>
        <v/>
      </c>
      <c r="DP274" s="165" t="str">
        <f>IFERROR(INDEX(DH$233:DH$281,_xlfn.AGGREGATE(15,6,(ROW(DH$233:DH$281)-ROW(DH$233)+1)/(DH$233:DH$281&lt;&gt;""),ROWS(DP$1:DP42))),"")</f>
        <v/>
      </c>
      <c r="DQ274" s="166" t="str">
        <f t="shared" si="123"/>
        <v/>
      </c>
      <c r="DV274" s="145">
        <v>2056</v>
      </c>
      <c r="DW274" s="235">
        <f t="shared" ca="1" si="107"/>
        <v>1931.4149088337244</v>
      </c>
      <c r="EA274" s="55"/>
      <c r="EB274" s="55"/>
      <c r="EC274" s="55"/>
      <c r="ED274" s="55"/>
      <c r="EE274" s="55"/>
    </row>
    <row r="275" spans="1:135" ht="13.8" x14ac:dyDescent="0.45">
      <c r="B275" s="128">
        <v>2054</v>
      </c>
      <c r="C275" s="244"/>
      <c r="D275" s="244"/>
      <c r="E275" s="244"/>
      <c r="F275" s="244"/>
      <c r="G275" s="244"/>
      <c r="H275" s="245"/>
      <c r="I275" s="246"/>
      <c r="J275" s="247"/>
      <c r="K275" s="245"/>
      <c r="L275" s="246"/>
      <c r="M275" s="245"/>
      <c r="N275" s="29" t="s">
        <v>119</v>
      </c>
      <c r="O275" s="120"/>
      <c r="P275" s="120"/>
      <c r="Q275" s="120"/>
      <c r="R275" s="29">
        <v>40</v>
      </c>
      <c r="S275" s="238" t="str">
        <f t="shared" si="108"/>
        <v/>
      </c>
      <c r="T275" s="238" t="str">
        <f t="shared" si="109"/>
        <v/>
      </c>
      <c r="U275" s="238" t="str">
        <f t="shared" si="110"/>
        <v/>
      </c>
      <c r="W275" s="238" t="e">
        <f t="shared" si="111"/>
        <v>#N/A</v>
      </c>
      <c r="X275" s="238" t="e">
        <f t="shared" si="112"/>
        <v>#N/A</v>
      </c>
      <c r="Y275" s="238" t="e">
        <f t="shared" si="113"/>
        <v>#N/A</v>
      </c>
      <c r="AA275" s="89"/>
      <c r="AB275" s="89"/>
      <c r="AC275" s="89"/>
      <c r="AD275" s="89"/>
      <c r="AE275" s="89"/>
      <c r="AF275" s="89"/>
      <c r="AG275" s="89"/>
      <c r="AH275" s="89"/>
      <c r="AI275" s="89"/>
      <c r="AJ275" s="89"/>
      <c r="AK275" s="89"/>
      <c r="AL275" s="89"/>
      <c r="AM275" s="89"/>
      <c r="AN275" s="89"/>
      <c r="BR275" s="180">
        <v>2052</v>
      </c>
      <c r="BS275" s="22">
        <v>38</v>
      </c>
      <c r="BT275" s="181">
        <f t="shared" si="124"/>
        <v>1074.2616894258356</v>
      </c>
      <c r="BU275" s="182">
        <f t="shared" si="125"/>
        <v>792.15106583111492</v>
      </c>
      <c r="BV275" s="242">
        <f t="shared" si="126"/>
        <v>1866.4127552569505</v>
      </c>
      <c r="BY275" s="180">
        <v>2052</v>
      </c>
      <c r="BZ275" s="22">
        <v>38</v>
      </c>
      <c r="CA275" s="181">
        <f t="shared" ca="1" si="127"/>
        <v>-45.644387976725724</v>
      </c>
      <c r="CB275" s="181">
        <f t="shared" ca="1" si="128"/>
        <v>1112.699068774657</v>
      </c>
      <c r="CC275" s="182">
        <f t="shared" ca="1" si="129"/>
        <v>786.58776092536436</v>
      </c>
      <c r="CD275" s="242">
        <f t="shared" ca="1" si="130"/>
        <v>1853.6424417232956</v>
      </c>
      <c r="CG275" s="180">
        <v>2052</v>
      </c>
      <c r="CH275" s="22">
        <v>38</v>
      </c>
      <c r="CI275" s="181">
        <f t="shared" ca="1" si="131"/>
        <v>-115.94710260471865</v>
      </c>
      <c r="CJ275" s="181">
        <f t="shared" ca="1" si="132"/>
        <v>100.81511005028823</v>
      </c>
      <c r="CK275" s="181">
        <f t="shared" ca="1" si="133"/>
        <v>1062.5784445046665</v>
      </c>
      <c r="CL275" s="182">
        <f t="shared" ca="1" si="134"/>
        <v>790.38110249476222</v>
      </c>
      <c r="CM275" s="242">
        <f t="shared" ca="1" si="135"/>
        <v>1837.8275544449984</v>
      </c>
      <c r="CP275" s="180">
        <v>2052</v>
      </c>
      <c r="CQ275" s="22">
        <v>38</v>
      </c>
      <c r="CR275" s="181">
        <f t="shared" ca="1" si="136"/>
        <v>838.30460332471296</v>
      </c>
      <c r="CS275" s="182">
        <f t="shared" ca="1" si="137"/>
        <v>2.4283298219698408</v>
      </c>
      <c r="CT275" s="242">
        <f t="shared" ca="1" si="138"/>
        <v>2035.6800681479983</v>
      </c>
      <c r="CZ275" s="164" t="b">
        <f t="shared" si="141"/>
        <v>0</v>
      </c>
      <c r="DA275" s="165" t="b">
        <f t="shared" si="141"/>
        <v>0</v>
      </c>
      <c r="DB275" s="166" t="b">
        <f t="shared" si="141"/>
        <v>0</v>
      </c>
      <c r="DC275" s="164" t="str">
        <f t="shared" si="115"/>
        <v/>
      </c>
      <c r="DD275" s="166" t="str">
        <f t="shared" si="116"/>
        <v/>
      </c>
      <c r="DE275" s="164" t="str">
        <f t="shared" si="117"/>
        <v/>
      </c>
      <c r="DF275" s="166" t="str">
        <f t="shared" si="118"/>
        <v/>
      </c>
      <c r="DG275" s="164" t="str">
        <f t="shared" si="119"/>
        <v/>
      </c>
      <c r="DH275" s="166" t="str">
        <f t="shared" si="120"/>
        <v/>
      </c>
      <c r="DI275" s="164" t="str">
        <f>IFERROR(INDEX(DC$233:DC$281,_xlfn.AGGREGATE(15,6,(ROW(DC$233:DC$281)-ROW(DC$233)+1)/(DC$233:DC$281&lt;&gt;""),ROWS(DI$1:DI43))),"")</f>
        <v/>
      </c>
      <c r="DJ275" s="165" t="str">
        <f>IFERROR(INDEX(DD$233:DD$281,_xlfn.AGGREGATE(15,6,(ROW(DD$233:DD$281)-ROW(DD$233)+1)/(DD$233:DD$281&lt;&gt;""),ROWS(DJ$1:DJ43))),"")</f>
        <v/>
      </c>
      <c r="DK275" s="166" t="str">
        <f t="shared" si="121"/>
        <v/>
      </c>
      <c r="DL275" s="164" t="str">
        <f>IFERROR(INDEX(DE$233:DE$281,_xlfn.AGGREGATE(15,6,(ROW(DE$233:DE$281)-ROW(DE$233)+1)/(DE$233:DE$281&lt;&gt;""),ROWS(DL$1:DL43))),"")</f>
        <v/>
      </c>
      <c r="DM275" s="165" t="str">
        <f>IFERROR(INDEX(DF$233:DF$281,_xlfn.AGGREGATE(15,6,(ROW(DF$233:DF$281)-ROW(DF$233)+1)/(DF$233:DF$281&lt;&gt;""),ROWS(DM$1:DM43))),"")</f>
        <v/>
      </c>
      <c r="DN275" s="166" t="str">
        <f t="shared" si="122"/>
        <v/>
      </c>
      <c r="DO275" s="164" t="str">
        <f>IFERROR(INDEX(DG$233:DG$281,_xlfn.AGGREGATE(15,6,(ROW(DG$233:DG$281)-ROW(DG$233)+1)/(DG$233:DG$281&lt;&gt;""),ROWS(DO$1:DO43))),"")</f>
        <v/>
      </c>
      <c r="DP275" s="165" t="str">
        <f>IFERROR(INDEX(DH$233:DH$281,_xlfn.AGGREGATE(15,6,(ROW(DH$233:DH$281)-ROW(DH$233)+1)/(DH$233:DH$281&lt;&gt;""),ROWS(DP$1:DP43))),"")</f>
        <v/>
      </c>
      <c r="DQ275" s="166" t="str">
        <f t="shared" si="123"/>
        <v/>
      </c>
      <c r="DV275" s="145">
        <v>2057</v>
      </c>
      <c r="DW275" s="235">
        <f t="shared" ca="1" si="107"/>
        <v>1953.8613064556846</v>
      </c>
      <c r="EA275" s="55"/>
      <c r="EB275" s="55"/>
      <c r="EC275" s="55"/>
      <c r="ED275" s="55"/>
      <c r="EE275" s="55"/>
    </row>
    <row r="276" spans="1:135" ht="13.8" x14ac:dyDescent="0.45">
      <c r="B276" s="128">
        <v>2055</v>
      </c>
      <c r="C276" s="244"/>
      <c r="D276" s="244"/>
      <c r="E276" s="244"/>
      <c r="F276" s="244"/>
      <c r="G276" s="244"/>
      <c r="H276" s="245"/>
      <c r="I276" s="246"/>
      <c r="J276" s="247"/>
      <c r="K276" s="245"/>
      <c r="L276" s="246"/>
      <c r="M276" s="245"/>
      <c r="N276" s="29" t="s">
        <v>119</v>
      </c>
      <c r="O276" s="120"/>
      <c r="P276" s="120"/>
      <c r="Q276" s="120"/>
      <c r="R276" s="29">
        <v>41</v>
      </c>
      <c r="S276" s="238" t="str">
        <f t="shared" si="108"/>
        <v/>
      </c>
      <c r="T276" s="238" t="str">
        <f t="shared" si="109"/>
        <v/>
      </c>
      <c r="U276" s="238" t="str">
        <f t="shared" si="110"/>
        <v/>
      </c>
      <c r="W276" s="238" t="e">
        <f t="shared" si="111"/>
        <v>#N/A</v>
      </c>
      <c r="X276" s="238" t="e">
        <f t="shared" si="112"/>
        <v>#N/A</v>
      </c>
      <c r="Y276" s="238" t="e">
        <f t="shared" si="113"/>
        <v>#N/A</v>
      </c>
      <c r="AA276" s="89"/>
      <c r="AB276" s="89"/>
      <c r="AC276" s="89"/>
      <c r="AD276" s="89"/>
      <c r="AE276" s="89"/>
      <c r="AF276" s="89"/>
      <c r="AG276" s="89"/>
      <c r="AH276" s="89"/>
      <c r="AI276" s="89"/>
      <c r="AJ276" s="89"/>
      <c r="AK276" s="89"/>
      <c r="AL276" s="89"/>
      <c r="AM276" s="89"/>
      <c r="AN276" s="89"/>
      <c r="BR276" s="180">
        <v>2053</v>
      </c>
      <c r="BS276" s="22">
        <v>39</v>
      </c>
      <c r="BT276" s="181">
        <f t="shared" si="124"/>
        <v>1102.5317338844102</v>
      </c>
      <c r="BU276" s="182">
        <f t="shared" si="125"/>
        <v>792.15106583111492</v>
      </c>
      <c r="BV276" s="242">
        <f t="shared" si="126"/>
        <v>1894.6827997155251</v>
      </c>
      <c r="BY276" s="180">
        <v>2053</v>
      </c>
      <c r="BZ276" s="22">
        <v>39</v>
      </c>
      <c r="CA276" s="181">
        <f t="shared" ca="1" si="127"/>
        <v>-48.078333872991571</v>
      </c>
      <c r="CB276" s="181">
        <f t="shared" ca="1" si="128"/>
        <v>1141.9806232160954</v>
      </c>
      <c r="CC276" s="182">
        <f t="shared" ca="1" si="129"/>
        <v>786.58776092536436</v>
      </c>
      <c r="CD276" s="242">
        <f t="shared" ca="1" si="130"/>
        <v>1880.4900502684682</v>
      </c>
      <c r="CG276" s="180">
        <v>2053</v>
      </c>
      <c r="CH276" s="22">
        <v>39</v>
      </c>
      <c r="CI276" s="181">
        <f t="shared" ca="1" si="131"/>
        <v>-125.34382161046264</v>
      </c>
      <c r="CJ276" s="181">
        <f t="shared" ca="1" si="132"/>
        <v>106.19098503219416</v>
      </c>
      <c r="CK276" s="181">
        <f t="shared" ca="1" si="133"/>
        <v>1090.5410351495261</v>
      </c>
      <c r="CL276" s="182">
        <f t="shared" ca="1" si="134"/>
        <v>790.38110249476222</v>
      </c>
      <c r="CM276" s="242">
        <f t="shared" ca="1" si="135"/>
        <v>1861.7693010660198</v>
      </c>
      <c r="CP276" s="180">
        <v>2053</v>
      </c>
      <c r="CQ276" s="22">
        <v>39</v>
      </c>
      <c r="CR276" s="181">
        <f t="shared" ca="1" si="136"/>
        <v>838.30460332471296</v>
      </c>
      <c r="CS276" s="182">
        <f t="shared" ca="1" si="137"/>
        <v>2.4856921970992243</v>
      </c>
      <c r="CT276" s="242">
        <f t="shared" ca="1" si="138"/>
        <v>2083.7672112765995</v>
      </c>
      <c r="CZ276" s="164" t="b">
        <f t="shared" si="141"/>
        <v>0</v>
      </c>
      <c r="DA276" s="165" t="b">
        <f t="shared" si="141"/>
        <v>0</v>
      </c>
      <c r="DB276" s="166" t="b">
        <f t="shared" si="141"/>
        <v>0</v>
      </c>
      <c r="DC276" s="164" t="str">
        <f t="shared" si="115"/>
        <v/>
      </c>
      <c r="DD276" s="166" t="str">
        <f t="shared" si="116"/>
        <v/>
      </c>
      <c r="DE276" s="164" t="str">
        <f t="shared" si="117"/>
        <v/>
      </c>
      <c r="DF276" s="166" t="str">
        <f t="shared" si="118"/>
        <v/>
      </c>
      <c r="DG276" s="164" t="str">
        <f t="shared" si="119"/>
        <v/>
      </c>
      <c r="DH276" s="166" t="str">
        <f t="shared" si="120"/>
        <v/>
      </c>
      <c r="DI276" s="164" t="str">
        <f>IFERROR(INDEX(DC$233:DC$281,_xlfn.AGGREGATE(15,6,(ROW(DC$233:DC$281)-ROW(DC$233)+1)/(DC$233:DC$281&lt;&gt;""),ROWS(DI$1:DI44))),"")</f>
        <v/>
      </c>
      <c r="DJ276" s="165" t="str">
        <f>IFERROR(INDEX(DD$233:DD$281,_xlfn.AGGREGATE(15,6,(ROW(DD$233:DD$281)-ROW(DD$233)+1)/(DD$233:DD$281&lt;&gt;""),ROWS(DJ$1:DJ44))),"")</f>
        <v/>
      </c>
      <c r="DK276" s="166" t="str">
        <f t="shared" si="121"/>
        <v/>
      </c>
      <c r="DL276" s="164" t="str">
        <f>IFERROR(INDEX(DE$233:DE$281,_xlfn.AGGREGATE(15,6,(ROW(DE$233:DE$281)-ROW(DE$233)+1)/(DE$233:DE$281&lt;&gt;""),ROWS(DL$1:DL44))),"")</f>
        <v/>
      </c>
      <c r="DM276" s="165" t="str">
        <f>IFERROR(INDEX(DF$233:DF$281,_xlfn.AGGREGATE(15,6,(ROW(DF$233:DF$281)-ROW(DF$233)+1)/(DF$233:DF$281&lt;&gt;""),ROWS(DM$1:DM44))),"")</f>
        <v/>
      </c>
      <c r="DN276" s="166" t="str">
        <f t="shared" si="122"/>
        <v/>
      </c>
      <c r="DO276" s="164" t="str">
        <f>IFERROR(INDEX(DG$233:DG$281,_xlfn.AGGREGATE(15,6,(ROW(DG$233:DG$281)-ROW(DG$233)+1)/(DG$233:DG$281&lt;&gt;""),ROWS(DO$1:DO44))),"")</f>
        <v/>
      </c>
      <c r="DP276" s="165" t="str">
        <f>IFERROR(INDEX(DH$233:DH$281,_xlfn.AGGREGATE(15,6,(ROW(DH$233:DH$281)-ROW(DH$233)+1)/(DH$233:DH$281&lt;&gt;""),ROWS(DP$1:DP44))),"")</f>
        <v/>
      </c>
      <c r="DQ276" s="166" t="str">
        <f t="shared" si="123"/>
        <v/>
      </c>
      <c r="DV276" s="145">
        <v>2058</v>
      </c>
      <c r="DW276" s="235">
        <f t="shared" ca="1" si="107"/>
        <v>1975.9021711262635</v>
      </c>
      <c r="EA276" s="55"/>
      <c r="EB276" s="55"/>
      <c r="EC276" s="55"/>
      <c r="ED276" s="55"/>
      <c r="EE276" s="55"/>
    </row>
    <row r="277" spans="1:135" ht="13.8" x14ac:dyDescent="0.45">
      <c r="B277" s="128">
        <v>2056</v>
      </c>
      <c r="C277" s="244"/>
      <c r="D277" s="244"/>
      <c r="E277" s="244"/>
      <c r="F277" s="244"/>
      <c r="G277" s="244"/>
      <c r="H277" s="245"/>
      <c r="I277" s="246"/>
      <c r="J277" s="247"/>
      <c r="K277" s="245"/>
      <c r="L277" s="246"/>
      <c r="M277" s="245"/>
      <c r="N277" s="29" t="s">
        <v>119</v>
      </c>
      <c r="O277" s="120"/>
      <c r="P277" s="120"/>
      <c r="Q277" s="120"/>
      <c r="R277" s="29">
        <v>42</v>
      </c>
      <c r="S277" s="238" t="str">
        <f t="shared" si="108"/>
        <v/>
      </c>
      <c r="T277" s="238" t="str">
        <f t="shared" si="109"/>
        <v/>
      </c>
      <c r="U277" s="238" t="str">
        <f t="shared" si="110"/>
        <v/>
      </c>
      <c r="W277" s="238" t="e">
        <f t="shared" si="111"/>
        <v>#N/A</v>
      </c>
      <c r="X277" s="238" t="e">
        <f t="shared" si="112"/>
        <v>#N/A</v>
      </c>
      <c r="Y277" s="238" t="e">
        <f t="shared" si="113"/>
        <v>#N/A</v>
      </c>
      <c r="AA277" s="89"/>
      <c r="AB277" s="89"/>
      <c r="AC277" s="89"/>
      <c r="AD277" s="89"/>
      <c r="AE277" s="89"/>
      <c r="AF277" s="89"/>
      <c r="AG277" s="89"/>
      <c r="AH277" s="89"/>
      <c r="AI277" s="89"/>
      <c r="AJ277" s="89"/>
      <c r="AK277" s="89"/>
      <c r="AL277" s="89"/>
      <c r="AM277" s="89"/>
      <c r="AN277" s="89"/>
      <c r="BR277" s="180">
        <v>2054</v>
      </c>
      <c r="BS277" s="22">
        <v>40</v>
      </c>
      <c r="BT277" s="181">
        <f t="shared" si="124"/>
        <v>1130.8017783429848</v>
      </c>
      <c r="BU277" s="182">
        <f t="shared" si="125"/>
        <v>792.15106583111492</v>
      </c>
      <c r="BV277" s="242">
        <f t="shared" si="126"/>
        <v>1922.9528441740997</v>
      </c>
      <c r="BY277" s="180">
        <v>2054</v>
      </c>
      <c r="BZ277" s="22">
        <v>40</v>
      </c>
      <c r="CA277" s="181">
        <f t="shared" ca="1" si="127"/>
        <v>-50.575499143186398</v>
      </c>
      <c r="CB277" s="181">
        <f t="shared" ca="1" si="128"/>
        <v>1171.2621776575336</v>
      </c>
      <c r="CC277" s="182">
        <f t="shared" ca="1" si="129"/>
        <v>786.58776092536436</v>
      </c>
      <c r="CD277" s="242">
        <f t="shared" ca="1" si="130"/>
        <v>1907.2744394397116</v>
      </c>
      <c r="CG277" s="180">
        <v>2054</v>
      </c>
      <c r="CH277" s="22">
        <v>40</v>
      </c>
      <c r="CI277" s="181">
        <f t="shared" ca="1" si="131"/>
        <v>-135.23499356141556</v>
      </c>
      <c r="CJ277" s="181">
        <f t="shared" ca="1" si="132"/>
        <v>111.70649313051327</v>
      </c>
      <c r="CK277" s="181">
        <f t="shared" ca="1" si="133"/>
        <v>1118.5036257943857</v>
      </c>
      <c r="CL277" s="182">
        <f t="shared" ca="1" si="134"/>
        <v>790.38110249476222</v>
      </c>
      <c r="CM277" s="242">
        <f t="shared" ca="1" si="135"/>
        <v>1885.3562278582456</v>
      </c>
      <c r="CP277" s="180">
        <v>2054</v>
      </c>
      <c r="CQ277" s="22">
        <v>40</v>
      </c>
      <c r="CR277" s="181">
        <f t="shared" ca="1" si="136"/>
        <v>838.30460332471296</v>
      </c>
      <c r="CS277" s="182">
        <f t="shared" ca="1" si="137"/>
        <v>2.5444095949486334</v>
      </c>
      <c r="CT277" s="242">
        <f t="shared" ca="1" si="138"/>
        <v>2132.9902761890075</v>
      </c>
      <c r="CZ277" s="164" t="b">
        <f t="shared" si="141"/>
        <v>0</v>
      </c>
      <c r="DA277" s="165" t="b">
        <f t="shared" si="141"/>
        <v>0</v>
      </c>
      <c r="DB277" s="166" t="b">
        <f t="shared" si="141"/>
        <v>0</v>
      </c>
      <c r="DC277" s="164" t="str">
        <f t="shared" si="115"/>
        <v/>
      </c>
      <c r="DD277" s="166" t="str">
        <f t="shared" si="116"/>
        <v/>
      </c>
      <c r="DE277" s="164" t="str">
        <f t="shared" si="117"/>
        <v/>
      </c>
      <c r="DF277" s="166" t="str">
        <f t="shared" si="118"/>
        <v/>
      </c>
      <c r="DG277" s="164" t="str">
        <f t="shared" si="119"/>
        <v/>
      </c>
      <c r="DH277" s="166" t="str">
        <f t="shared" si="120"/>
        <v/>
      </c>
      <c r="DI277" s="164" t="str">
        <f>IFERROR(INDEX(DC$233:DC$281,_xlfn.AGGREGATE(15,6,(ROW(DC$233:DC$281)-ROW(DC$233)+1)/(DC$233:DC$281&lt;&gt;""),ROWS(DI$1:DI45))),"")</f>
        <v/>
      </c>
      <c r="DJ277" s="165" t="str">
        <f>IFERROR(INDEX(DD$233:DD$281,_xlfn.AGGREGATE(15,6,(ROW(DD$233:DD$281)-ROW(DD$233)+1)/(DD$233:DD$281&lt;&gt;""),ROWS(DJ$1:DJ45))),"")</f>
        <v/>
      </c>
      <c r="DK277" s="166" t="str">
        <f t="shared" si="121"/>
        <v/>
      </c>
      <c r="DL277" s="164" t="str">
        <f>IFERROR(INDEX(DE$233:DE$281,_xlfn.AGGREGATE(15,6,(ROW(DE$233:DE$281)-ROW(DE$233)+1)/(DE$233:DE$281&lt;&gt;""),ROWS(DL$1:DL45))),"")</f>
        <v/>
      </c>
      <c r="DM277" s="165" t="str">
        <f>IFERROR(INDEX(DF$233:DF$281,_xlfn.AGGREGATE(15,6,(ROW(DF$233:DF$281)-ROW(DF$233)+1)/(DF$233:DF$281&lt;&gt;""),ROWS(DM$1:DM45))),"")</f>
        <v/>
      </c>
      <c r="DN277" s="166" t="str">
        <f t="shared" si="122"/>
        <v/>
      </c>
      <c r="DO277" s="164" t="str">
        <f>IFERROR(INDEX(DG$233:DG$281,_xlfn.AGGREGATE(15,6,(ROW(DG$233:DG$281)-ROW(DG$233)+1)/(DG$233:DG$281&lt;&gt;""),ROWS(DO$1:DO45))),"")</f>
        <v/>
      </c>
      <c r="DP277" s="165" t="str">
        <f>IFERROR(INDEX(DH$233:DH$281,_xlfn.AGGREGATE(15,6,(ROW(DH$233:DH$281)-ROW(DH$233)+1)/(DH$233:DH$281&lt;&gt;""),ROWS(DP$1:DP45))),"")</f>
        <v/>
      </c>
      <c r="DQ277" s="166" t="str">
        <f t="shared" si="123"/>
        <v/>
      </c>
      <c r="DV277" s="145">
        <v>2059</v>
      </c>
      <c r="DW277" s="235">
        <f t="shared" ca="1" si="107"/>
        <v>1997.5248245648147</v>
      </c>
      <c r="EA277" s="55"/>
      <c r="EB277" s="55"/>
      <c r="EC277" s="55"/>
      <c r="ED277" s="55"/>
      <c r="EE277" s="55"/>
    </row>
    <row r="278" spans="1:135" ht="13.8" x14ac:dyDescent="0.45">
      <c r="B278" s="128">
        <v>2057</v>
      </c>
      <c r="C278" s="244"/>
      <c r="D278" s="244"/>
      <c r="E278" s="244"/>
      <c r="F278" s="244"/>
      <c r="G278" s="244"/>
      <c r="H278" s="245"/>
      <c r="I278" s="246"/>
      <c r="J278" s="247"/>
      <c r="K278" s="245"/>
      <c r="L278" s="246"/>
      <c r="M278" s="245"/>
      <c r="N278" s="29" t="s">
        <v>119</v>
      </c>
      <c r="O278" s="120"/>
      <c r="P278" s="120"/>
      <c r="Q278" s="120"/>
      <c r="R278" s="29">
        <v>43</v>
      </c>
      <c r="S278" s="238" t="str">
        <f t="shared" si="108"/>
        <v/>
      </c>
      <c r="T278" s="238" t="str">
        <f t="shared" si="109"/>
        <v/>
      </c>
      <c r="U278" s="238" t="str">
        <f t="shared" si="110"/>
        <v/>
      </c>
      <c r="W278" s="238" t="e">
        <f t="shared" si="111"/>
        <v>#N/A</v>
      </c>
      <c r="X278" s="238" t="e">
        <f t="shared" si="112"/>
        <v>#N/A</v>
      </c>
      <c r="Y278" s="238" t="e">
        <f t="shared" si="113"/>
        <v>#N/A</v>
      </c>
      <c r="AA278" s="89"/>
      <c r="AB278" s="89"/>
      <c r="AC278" s="89"/>
      <c r="AD278" s="89"/>
      <c r="AE278" s="89"/>
      <c r="AF278" s="89"/>
      <c r="AG278" s="89"/>
      <c r="AH278" s="89"/>
      <c r="AI278" s="89"/>
      <c r="AJ278" s="89"/>
      <c r="AK278" s="89"/>
      <c r="AL278" s="89"/>
      <c r="AM278" s="89"/>
      <c r="AN278" s="89"/>
      <c r="BR278" s="180">
        <v>2055</v>
      </c>
      <c r="BS278" s="22">
        <v>41</v>
      </c>
      <c r="BT278" s="181">
        <f t="shared" si="124"/>
        <v>1159.0718228015594</v>
      </c>
      <c r="BU278" s="182">
        <f t="shared" si="125"/>
        <v>792.15106583111492</v>
      </c>
      <c r="BV278" s="242">
        <f t="shared" si="126"/>
        <v>1951.2228886326743</v>
      </c>
      <c r="BY278" s="180">
        <v>2055</v>
      </c>
      <c r="BZ278" s="22">
        <v>41</v>
      </c>
      <c r="CA278" s="181">
        <f t="shared" ca="1" si="127"/>
        <v>-53.135883787310206</v>
      </c>
      <c r="CB278" s="181">
        <f t="shared" ca="1" si="128"/>
        <v>1200.543732098972</v>
      </c>
      <c r="CC278" s="182">
        <f t="shared" ca="1" si="129"/>
        <v>786.58776092536436</v>
      </c>
      <c r="CD278" s="242">
        <f t="shared" ca="1" si="130"/>
        <v>1933.9956092370262</v>
      </c>
      <c r="CG278" s="180">
        <v>2055</v>
      </c>
      <c r="CH278" s="22">
        <v>41</v>
      </c>
      <c r="CI278" s="181">
        <f t="shared" ca="1" si="131"/>
        <v>-145.63329673822378</v>
      </c>
      <c r="CJ278" s="181">
        <f t="shared" ca="1" si="132"/>
        <v>117.36163434524549</v>
      </c>
      <c r="CK278" s="181">
        <f t="shared" ca="1" si="133"/>
        <v>1146.4662164392455</v>
      </c>
      <c r="CL278" s="182">
        <f t="shared" ca="1" si="134"/>
        <v>790.38110249476222</v>
      </c>
      <c r="CM278" s="242">
        <f t="shared" ca="1" si="135"/>
        <v>1908.5756565410295</v>
      </c>
      <c r="CP278" s="180">
        <v>2055</v>
      </c>
      <c r="CQ278" s="22">
        <v>41</v>
      </c>
      <c r="CR278" s="181">
        <f t="shared" ca="1" si="136"/>
        <v>838.30460332471296</v>
      </c>
      <c r="CS278" s="182">
        <f t="shared" ca="1" si="137"/>
        <v>2.6045140240701481</v>
      </c>
      <c r="CT278" s="242">
        <f t="shared" ca="1" si="138"/>
        <v>2183.3760958017774</v>
      </c>
      <c r="CZ278" s="164" t="b">
        <f t="shared" si="141"/>
        <v>0</v>
      </c>
      <c r="DA278" s="165" t="b">
        <f t="shared" si="141"/>
        <v>0</v>
      </c>
      <c r="DB278" s="166" t="b">
        <f t="shared" si="141"/>
        <v>0</v>
      </c>
      <c r="DC278" s="164" t="str">
        <f t="shared" si="115"/>
        <v/>
      </c>
      <c r="DD278" s="166" t="str">
        <f t="shared" si="116"/>
        <v/>
      </c>
      <c r="DE278" s="164" t="str">
        <f t="shared" si="117"/>
        <v/>
      </c>
      <c r="DF278" s="166" t="str">
        <f t="shared" si="118"/>
        <v/>
      </c>
      <c r="DG278" s="164" t="str">
        <f t="shared" si="119"/>
        <v/>
      </c>
      <c r="DH278" s="166" t="str">
        <f t="shared" si="120"/>
        <v/>
      </c>
      <c r="DI278" s="164" t="str">
        <f>IFERROR(INDEX(DC$233:DC$281,_xlfn.AGGREGATE(15,6,(ROW(DC$233:DC$281)-ROW(DC$233)+1)/(DC$233:DC$281&lt;&gt;""),ROWS(DI$1:DI46))),"")</f>
        <v/>
      </c>
      <c r="DJ278" s="165" t="str">
        <f>IFERROR(INDEX(DD$233:DD$281,_xlfn.AGGREGATE(15,6,(ROW(DD$233:DD$281)-ROW(DD$233)+1)/(DD$233:DD$281&lt;&gt;""),ROWS(DJ$1:DJ46))),"")</f>
        <v/>
      </c>
      <c r="DK278" s="166" t="str">
        <f t="shared" si="121"/>
        <v/>
      </c>
      <c r="DL278" s="164" t="str">
        <f>IFERROR(INDEX(DE$233:DE$281,_xlfn.AGGREGATE(15,6,(ROW(DE$233:DE$281)-ROW(DE$233)+1)/(DE$233:DE$281&lt;&gt;""),ROWS(DL$1:DL46))),"")</f>
        <v/>
      </c>
      <c r="DM278" s="165" t="str">
        <f>IFERROR(INDEX(DF$233:DF$281,_xlfn.AGGREGATE(15,6,(ROW(DF$233:DF$281)-ROW(DF$233)+1)/(DF$233:DF$281&lt;&gt;""),ROWS(DM$1:DM46))),"")</f>
        <v/>
      </c>
      <c r="DN278" s="166" t="str">
        <f t="shared" si="122"/>
        <v/>
      </c>
      <c r="DO278" s="164" t="str">
        <f>IFERROR(INDEX(DG$233:DG$281,_xlfn.AGGREGATE(15,6,(ROW(DG$233:DG$281)-ROW(DG$233)+1)/(DG$233:DG$281&lt;&gt;""),ROWS(DO$1:DO46))),"")</f>
        <v/>
      </c>
      <c r="DP278" s="165" t="str">
        <f>IFERROR(INDEX(DH$233:DH$281,_xlfn.AGGREGATE(15,6,(ROW(DH$233:DH$281)-ROW(DH$233)+1)/(DH$233:DH$281&lt;&gt;""),ROWS(DP$1:DP46))),"")</f>
        <v/>
      </c>
      <c r="DQ278" s="166" t="str">
        <f t="shared" si="123"/>
        <v/>
      </c>
      <c r="DV278" s="145">
        <v>2060</v>
      </c>
      <c r="DW278" s="235">
        <f t="shared" ca="1" si="107"/>
        <v>2018.7165884906917</v>
      </c>
      <c r="EA278" s="55"/>
      <c r="EB278" s="55"/>
      <c r="EC278" s="55"/>
      <c r="ED278" s="55"/>
      <c r="EE278" s="55"/>
    </row>
    <row r="279" spans="1:135" x14ac:dyDescent="0.4">
      <c r="A279" s="214"/>
      <c r="B279" s="128">
        <v>2058</v>
      </c>
      <c r="C279" s="244"/>
      <c r="D279" s="244"/>
      <c r="E279" s="244"/>
      <c r="F279" s="244"/>
      <c r="G279" s="244"/>
      <c r="H279" s="245"/>
      <c r="I279" s="246"/>
      <c r="J279" s="247"/>
      <c r="K279" s="245"/>
      <c r="L279" s="246"/>
      <c r="M279" s="245"/>
      <c r="N279" s="29" t="s">
        <v>119</v>
      </c>
      <c r="R279" s="29">
        <v>44</v>
      </c>
      <c r="S279" s="238" t="str">
        <f t="shared" si="108"/>
        <v/>
      </c>
      <c r="T279" s="238" t="str">
        <f t="shared" si="109"/>
        <v/>
      </c>
      <c r="U279" s="238" t="str">
        <f t="shared" si="110"/>
        <v/>
      </c>
      <c r="W279" s="238" t="e">
        <f t="shared" si="111"/>
        <v>#N/A</v>
      </c>
      <c r="X279" s="238" t="e">
        <f t="shared" si="112"/>
        <v>#N/A</v>
      </c>
      <c r="Y279" s="238" t="e">
        <f t="shared" si="113"/>
        <v>#N/A</v>
      </c>
      <c r="AA279" s="89"/>
      <c r="AB279" s="89"/>
      <c r="AC279" s="89"/>
      <c r="AD279" s="89"/>
      <c r="AE279" s="89"/>
      <c r="AF279" s="89"/>
      <c r="AG279" s="89"/>
      <c r="AH279" s="89"/>
      <c r="AI279" s="89"/>
      <c r="AJ279" s="89"/>
      <c r="AK279" s="89"/>
      <c r="AL279" s="89"/>
      <c r="AM279" s="89"/>
      <c r="AN279" s="89"/>
      <c r="BR279" s="180">
        <v>2056</v>
      </c>
      <c r="BS279" s="22">
        <v>42</v>
      </c>
      <c r="BT279" s="181">
        <f t="shared" si="124"/>
        <v>1187.341867260134</v>
      </c>
      <c r="BU279" s="182">
        <f t="shared" si="125"/>
        <v>792.15106583111492</v>
      </c>
      <c r="BV279" s="242">
        <f t="shared" si="126"/>
        <v>1979.4929330912489</v>
      </c>
      <c r="BY279" s="180">
        <v>2056</v>
      </c>
      <c r="BZ279" s="22">
        <v>42</v>
      </c>
      <c r="CA279" s="181">
        <f t="shared" ca="1" si="127"/>
        <v>-55.759487805363001</v>
      </c>
      <c r="CB279" s="181">
        <f t="shared" ca="1" si="128"/>
        <v>1229.8252865404104</v>
      </c>
      <c r="CC279" s="182">
        <f t="shared" ca="1" si="129"/>
        <v>786.58776092536436</v>
      </c>
      <c r="CD279" s="242">
        <f t="shared" ca="1" si="130"/>
        <v>1960.6535596604117</v>
      </c>
      <c r="CG279" s="180">
        <v>2056</v>
      </c>
      <c r="CH279" s="22">
        <v>42</v>
      </c>
      <c r="CI279" s="181">
        <f t="shared" ca="1" si="131"/>
        <v>-156.55140942153369</v>
      </c>
      <c r="CJ279" s="181">
        <f t="shared" ca="1" si="132"/>
        <v>123.15640867639087</v>
      </c>
      <c r="CK279" s="181">
        <f t="shared" ca="1" si="133"/>
        <v>1174.4288070841051</v>
      </c>
      <c r="CL279" s="182">
        <f t="shared" ca="1" si="134"/>
        <v>790.38110249476222</v>
      </c>
      <c r="CM279" s="242">
        <f t="shared" ca="1" si="135"/>
        <v>1931.4149088337244</v>
      </c>
      <c r="CP279" s="180">
        <v>2056</v>
      </c>
      <c r="CQ279" s="22">
        <v>42</v>
      </c>
      <c r="CR279" s="181">
        <f t="shared" ca="1" si="136"/>
        <v>838.30460332471296</v>
      </c>
      <c r="CS279" s="182">
        <f t="shared" ca="1" si="137"/>
        <v>2.6660382491267178</v>
      </c>
      <c r="CT279" s="242">
        <f t="shared" ca="1" si="138"/>
        <v>2234.9521368826854</v>
      </c>
      <c r="CZ279" s="252"/>
      <c r="DA279" s="252"/>
      <c r="DB279" s="252"/>
      <c r="DC279" s="252"/>
      <c r="DD279" s="252"/>
      <c r="DE279" s="252"/>
      <c r="DF279" s="252"/>
      <c r="DG279" s="252"/>
      <c r="DH279" s="252"/>
      <c r="DI279" s="252"/>
      <c r="DJ279" s="252"/>
      <c r="DK279" s="252"/>
      <c r="DL279" s="252"/>
      <c r="DM279" s="252"/>
      <c r="DN279" s="252"/>
      <c r="DO279" s="252"/>
      <c r="DP279" s="252"/>
      <c r="DQ279" s="252"/>
      <c r="DW279" s="54"/>
      <c r="EA279" s="55"/>
      <c r="EB279" s="55"/>
      <c r="EC279" s="55"/>
      <c r="ED279" s="55"/>
      <c r="EE279" s="55"/>
    </row>
    <row r="280" spans="1:135" ht="13.8" x14ac:dyDescent="0.45">
      <c r="A280" s="214"/>
      <c r="B280" s="128">
        <v>2059</v>
      </c>
      <c r="C280" s="244"/>
      <c r="D280" s="244"/>
      <c r="E280" s="244"/>
      <c r="F280" s="244"/>
      <c r="G280" s="244"/>
      <c r="H280" s="245"/>
      <c r="I280" s="246"/>
      <c r="J280" s="247"/>
      <c r="K280" s="245"/>
      <c r="L280" s="246"/>
      <c r="M280" s="245"/>
      <c r="N280" s="29" t="s">
        <v>119</v>
      </c>
      <c r="R280" s="29">
        <v>45</v>
      </c>
      <c r="S280" s="238" t="str">
        <f t="shared" si="108"/>
        <v/>
      </c>
      <c r="T280" s="238" t="str">
        <f t="shared" si="109"/>
        <v/>
      </c>
      <c r="U280" s="238" t="str">
        <f t="shared" si="110"/>
        <v/>
      </c>
      <c r="W280" s="238" t="e">
        <f t="shared" si="111"/>
        <v>#N/A</v>
      </c>
      <c r="X280" s="238" t="e">
        <f t="shared" si="112"/>
        <v>#N/A</v>
      </c>
      <c r="Y280" s="238" t="e">
        <f t="shared" si="113"/>
        <v>#N/A</v>
      </c>
      <c r="AA280" s="89"/>
      <c r="AB280" s="89"/>
      <c r="AC280" s="89"/>
      <c r="AD280" s="89"/>
      <c r="AE280" s="89"/>
      <c r="AF280" s="89"/>
      <c r="AG280" s="89"/>
      <c r="AH280" s="89"/>
      <c r="AI280" s="89"/>
      <c r="AJ280" s="89"/>
      <c r="AK280" s="89"/>
      <c r="AL280" s="89"/>
      <c r="AM280" s="89"/>
      <c r="AN280" s="89"/>
      <c r="BR280" s="180">
        <v>2057</v>
      </c>
      <c r="BS280" s="22">
        <v>43</v>
      </c>
      <c r="BT280" s="181">
        <f t="shared" si="124"/>
        <v>1215.6119117187086</v>
      </c>
      <c r="BU280" s="182">
        <f t="shared" si="125"/>
        <v>792.15106583111492</v>
      </c>
      <c r="BV280" s="242">
        <f t="shared" si="126"/>
        <v>2007.7629775498235</v>
      </c>
      <c r="BY280" s="180">
        <v>2057</v>
      </c>
      <c r="BZ280" s="22">
        <v>43</v>
      </c>
      <c r="CA280" s="181">
        <f t="shared" ca="1" si="127"/>
        <v>-58.446311197344784</v>
      </c>
      <c r="CB280" s="181">
        <f t="shared" ca="1" si="128"/>
        <v>1259.1068409818488</v>
      </c>
      <c r="CC280" s="182">
        <f t="shared" ca="1" si="129"/>
        <v>786.58776092536436</v>
      </c>
      <c r="CD280" s="242">
        <f t="shared" ca="1" si="130"/>
        <v>1987.2482907098683</v>
      </c>
      <c r="CG280" s="180">
        <v>2057</v>
      </c>
      <c r="CH280" s="22">
        <v>43</v>
      </c>
      <c r="CI280" s="181">
        <f t="shared" ca="1" si="131"/>
        <v>-168.00200989199166</v>
      </c>
      <c r="CJ280" s="181">
        <f t="shared" ca="1" si="132"/>
        <v>129.09081612394939</v>
      </c>
      <c r="CK280" s="181">
        <f t="shared" ca="1" si="133"/>
        <v>1202.3913977289646</v>
      </c>
      <c r="CL280" s="182">
        <f t="shared" ca="1" si="134"/>
        <v>790.38110249476222</v>
      </c>
      <c r="CM280" s="242">
        <f t="shared" ca="1" si="135"/>
        <v>1953.8613064556846</v>
      </c>
      <c r="CP280" s="180">
        <v>2057</v>
      </c>
      <c r="CQ280" s="22">
        <v>43</v>
      </c>
      <c r="CR280" s="181">
        <f t="shared" ca="1" si="136"/>
        <v>838.30460332471296</v>
      </c>
      <c r="CS280" s="182">
        <f t="shared" ca="1" si="137"/>
        <v>2.7290158087531267</v>
      </c>
      <c r="CT280" s="242">
        <f t="shared" ca="1" si="138"/>
        <v>2287.7465150236608</v>
      </c>
      <c r="CZ280" s="165"/>
      <c r="DA280" s="165"/>
      <c r="DB280" s="165"/>
      <c r="DC280" s="165"/>
      <c r="DD280" s="165"/>
      <c r="DE280" s="165"/>
      <c r="DF280" s="165"/>
      <c r="DG280" s="165"/>
      <c r="DH280" s="165"/>
      <c r="DI280" s="165"/>
      <c r="DJ280" s="165"/>
      <c r="DK280" s="165"/>
      <c r="DL280" s="165"/>
      <c r="DM280" s="165"/>
      <c r="DN280" s="165"/>
      <c r="DO280" s="165"/>
      <c r="DP280" s="165"/>
      <c r="DQ280" s="165"/>
      <c r="DR280" s="89"/>
      <c r="DW280" s="54"/>
      <c r="EA280" s="55"/>
      <c r="EB280" s="55"/>
      <c r="EC280" s="55"/>
      <c r="ED280" s="55"/>
      <c r="EE280" s="55"/>
    </row>
    <row r="281" spans="1:135" ht="13.8" x14ac:dyDescent="0.45">
      <c r="A281" s="214"/>
      <c r="B281" s="128">
        <v>2060</v>
      </c>
      <c r="C281" s="244"/>
      <c r="D281" s="244"/>
      <c r="E281" s="244"/>
      <c r="F281" s="244"/>
      <c r="G281" s="244"/>
      <c r="H281" s="249"/>
      <c r="I281" s="250"/>
      <c r="J281" s="251"/>
      <c r="K281" s="249"/>
      <c r="L281" s="250"/>
      <c r="M281" s="249"/>
      <c r="N281" s="29" t="s">
        <v>119</v>
      </c>
      <c r="R281" s="29">
        <v>46</v>
      </c>
      <c r="S281" s="238" t="str">
        <f t="shared" si="108"/>
        <v/>
      </c>
      <c r="T281" s="238" t="str">
        <f t="shared" si="109"/>
        <v/>
      </c>
      <c r="U281" s="238" t="str">
        <f t="shared" si="110"/>
        <v/>
      </c>
      <c r="W281" s="238" t="e">
        <f t="shared" si="111"/>
        <v>#N/A</v>
      </c>
      <c r="X281" s="238" t="e">
        <f t="shared" si="112"/>
        <v>#N/A</v>
      </c>
      <c r="Y281" s="238" t="e">
        <f t="shared" si="113"/>
        <v>#N/A</v>
      </c>
      <c r="AA281" s="89"/>
      <c r="AB281" s="89"/>
      <c r="AC281" s="89"/>
      <c r="AD281" s="89"/>
      <c r="AE281" s="89"/>
      <c r="AF281" s="89"/>
      <c r="AG281" s="89"/>
      <c r="AH281" s="89"/>
      <c r="AI281" s="89"/>
      <c r="AJ281" s="89"/>
      <c r="AK281" s="89"/>
      <c r="AL281" s="89"/>
      <c r="AM281" s="89"/>
      <c r="AN281" s="89"/>
      <c r="BR281" s="180">
        <v>2058</v>
      </c>
      <c r="BS281" s="22">
        <v>44</v>
      </c>
      <c r="BT281" s="181">
        <f t="shared" si="124"/>
        <v>1243.8819561772832</v>
      </c>
      <c r="BU281" s="182">
        <f t="shared" si="125"/>
        <v>792.15106583111492</v>
      </c>
      <c r="BV281" s="242">
        <f t="shared" si="126"/>
        <v>2036.0330220083981</v>
      </c>
      <c r="BY281" s="180">
        <v>2058</v>
      </c>
      <c r="BZ281" s="22">
        <v>44</v>
      </c>
      <c r="CA281" s="181">
        <f t="shared" ca="1" si="127"/>
        <v>-61.19635396325554</v>
      </c>
      <c r="CB281" s="181">
        <f t="shared" ca="1" si="128"/>
        <v>1288.388395423287</v>
      </c>
      <c r="CC281" s="182">
        <f t="shared" ca="1" si="129"/>
        <v>786.58776092536436</v>
      </c>
      <c r="CD281" s="242">
        <f t="shared" ca="1" si="130"/>
        <v>2013.7798023853959</v>
      </c>
      <c r="CG281" s="180">
        <v>2058</v>
      </c>
      <c r="CH281" s="22">
        <v>44</v>
      </c>
      <c r="CI281" s="181">
        <f t="shared" ca="1" si="131"/>
        <v>-179.9977764302441</v>
      </c>
      <c r="CJ281" s="181">
        <f t="shared" ca="1" si="132"/>
        <v>135.16485668792106</v>
      </c>
      <c r="CK281" s="181">
        <f t="shared" ca="1" si="133"/>
        <v>1230.3539883738244</v>
      </c>
      <c r="CL281" s="182">
        <f t="shared" ca="1" si="134"/>
        <v>790.38110249476222</v>
      </c>
      <c r="CM281" s="242">
        <f t="shared" ca="1" si="135"/>
        <v>1975.9021711262635</v>
      </c>
      <c r="CP281" s="180">
        <v>2058</v>
      </c>
      <c r="CQ281" s="22">
        <v>44</v>
      </c>
      <c r="CR281" s="181">
        <f t="shared" ca="1" si="136"/>
        <v>838.30460332471296</v>
      </c>
      <c r="CS281" s="182">
        <f t="shared" ca="1" si="137"/>
        <v>2.793481033838872</v>
      </c>
      <c r="CT281" s="242">
        <f t="shared" ca="1" si="138"/>
        <v>2341.7880099674048</v>
      </c>
      <c r="CZ281" s="165"/>
      <c r="DA281" s="165"/>
      <c r="DB281" s="165"/>
      <c r="DC281" s="165"/>
      <c r="DD281" s="165"/>
      <c r="DE281" s="165"/>
      <c r="DF281" s="165"/>
      <c r="DG281" s="165"/>
      <c r="DH281" s="165"/>
      <c r="DI281" s="165"/>
      <c r="DJ281" s="165"/>
      <c r="DK281" s="165"/>
      <c r="DL281" s="165"/>
      <c r="DM281" s="165"/>
      <c r="DN281" s="165"/>
      <c r="DO281" s="165"/>
      <c r="DP281" s="165"/>
      <c r="DQ281" s="165"/>
      <c r="DR281" s="89"/>
      <c r="DW281" s="54"/>
      <c r="EA281" s="55"/>
      <c r="EB281" s="55"/>
      <c r="EC281" s="55"/>
      <c r="ED281" s="55"/>
      <c r="EE281" s="55"/>
    </row>
    <row r="282" spans="1:135" x14ac:dyDescent="0.4">
      <c r="A282" s="214"/>
      <c r="B282" s="89"/>
      <c r="C282" s="14"/>
      <c r="D282" s="14"/>
      <c r="E282" s="14"/>
      <c r="F282" s="14"/>
      <c r="G282" s="14"/>
      <c r="H282" s="14"/>
      <c r="I282" s="14"/>
      <c r="J282" s="14"/>
      <c r="K282" s="14"/>
      <c r="L282" s="14"/>
      <c r="M282" s="50"/>
      <c r="S282" s="120"/>
      <c r="T282" s="120"/>
      <c r="U282" s="120"/>
      <c r="W282" s="120"/>
      <c r="X282" s="120"/>
      <c r="Y282" s="120"/>
      <c r="AA282" s="89"/>
      <c r="AB282" s="89"/>
      <c r="AC282" s="89"/>
      <c r="AD282" s="89"/>
      <c r="AE282" s="89"/>
      <c r="AF282" s="89"/>
      <c r="AG282" s="89"/>
      <c r="AH282" s="89"/>
      <c r="AI282" s="89"/>
      <c r="AJ282" s="89"/>
      <c r="AK282" s="89"/>
      <c r="AL282" s="89"/>
      <c r="AM282" s="89"/>
      <c r="AN282" s="89"/>
      <c r="BR282" s="180">
        <v>2059</v>
      </c>
      <c r="BS282" s="22">
        <v>45</v>
      </c>
      <c r="BT282" s="181">
        <f t="shared" si="124"/>
        <v>1272.152000635858</v>
      </c>
      <c r="BU282" s="182">
        <f t="shared" si="125"/>
        <v>792.15106583111492</v>
      </c>
      <c r="BV282" s="242">
        <f t="shared" si="126"/>
        <v>2064.3030664669732</v>
      </c>
      <c r="BY282" s="180">
        <v>2059</v>
      </c>
      <c r="BZ282" s="22">
        <v>45</v>
      </c>
      <c r="CA282" s="181">
        <f t="shared" ca="1" si="127"/>
        <v>-64.009616103095283</v>
      </c>
      <c r="CB282" s="181">
        <f t="shared" ca="1" si="128"/>
        <v>1317.6699498647254</v>
      </c>
      <c r="CC282" s="182">
        <f t="shared" ca="1" si="129"/>
        <v>786.58776092536436</v>
      </c>
      <c r="CD282" s="242">
        <f t="shared" ca="1" si="130"/>
        <v>2040.2480946869944</v>
      </c>
      <c r="CG282" s="180">
        <v>2059</v>
      </c>
      <c r="CH282" s="22">
        <v>45</v>
      </c>
      <c r="CI282" s="181">
        <f t="shared" ca="1" si="131"/>
        <v>-192.55138731693737</v>
      </c>
      <c r="CJ282" s="181">
        <f t="shared" ca="1" si="132"/>
        <v>141.37853036830586</v>
      </c>
      <c r="CK282" s="181">
        <f t="shared" ca="1" si="133"/>
        <v>1258.316579018684</v>
      </c>
      <c r="CL282" s="182">
        <f t="shared" ca="1" si="134"/>
        <v>790.38110249476222</v>
      </c>
      <c r="CM282" s="242">
        <f t="shared" ca="1" si="135"/>
        <v>1997.5248245648147</v>
      </c>
      <c r="CP282" s="180">
        <v>2059</v>
      </c>
      <c r="CQ282" s="22">
        <v>45</v>
      </c>
      <c r="CR282" s="181">
        <f t="shared" ca="1" si="136"/>
        <v>838.30460332471296</v>
      </c>
      <c r="CS282" s="182">
        <f t="shared" ca="1" si="137"/>
        <v>2.8594690662429292</v>
      </c>
      <c r="CT282" s="242">
        <f t="shared" ca="1" si="138"/>
        <v>2397.1060812960659</v>
      </c>
      <c r="CZ282" s="89"/>
      <c r="DA282" s="89"/>
      <c r="DB282" s="89"/>
      <c r="DC282" s="89"/>
      <c r="DD282" s="89"/>
      <c r="DE282" s="89"/>
      <c r="DF282" s="89"/>
      <c r="DG282" s="89"/>
      <c r="DH282" s="89"/>
      <c r="DI282" s="89"/>
      <c r="DJ282" s="89"/>
      <c r="DK282" s="89"/>
      <c r="DL282" s="89"/>
      <c r="DM282" s="89"/>
      <c r="DN282" s="89"/>
      <c r="DO282" s="89"/>
      <c r="DP282" s="89"/>
      <c r="DQ282" s="89"/>
      <c r="DR282" s="89"/>
      <c r="DU282" s="65"/>
      <c r="DW282" s="54"/>
      <c r="EA282" s="55"/>
      <c r="EB282" s="55"/>
      <c r="EC282" s="55"/>
      <c r="ED282" s="55"/>
      <c r="EE282" s="55"/>
    </row>
    <row r="283" spans="1:135" x14ac:dyDescent="0.4">
      <c r="A283" s="214"/>
      <c r="B283" s="89"/>
      <c r="C283" s="14"/>
      <c r="D283" s="14"/>
      <c r="E283" s="14"/>
      <c r="F283" s="14"/>
      <c r="G283" s="14"/>
      <c r="H283" s="14"/>
      <c r="I283" s="14"/>
      <c r="J283" s="14"/>
      <c r="K283" s="14"/>
      <c r="L283" s="14"/>
      <c r="M283" s="50"/>
      <c r="S283" s="120"/>
      <c r="T283" s="120"/>
      <c r="U283" s="120"/>
      <c r="W283" s="120"/>
      <c r="X283" s="120"/>
      <c r="Y283" s="120"/>
      <c r="AA283" s="89"/>
      <c r="AB283" s="89"/>
      <c r="AC283" s="89"/>
      <c r="AD283" s="89"/>
      <c r="AE283" s="89"/>
      <c r="AF283" s="89"/>
      <c r="AG283" s="89"/>
      <c r="AH283" s="89"/>
      <c r="AI283" s="89"/>
      <c r="AJ283" s="89"/>
      <c r="AK283" s="89"/>
      <c r="AL283" s="89"/>
      <c r="AM283" s="89"/>
      <c r="AN283" s="89"/>
      <c r="BR283" s="180">
        <v>2060</v>
      </c>
      <c r="BS283" s="22">
        <v>46</v>
      </c>
      <c r="BT283" s="181">
        <f t="shared" si="124"/>
        <v>1300.4220450944326</v>
      </c>
      <c r="BU283" s="182">
        <f t="shared" si="125"/>
        <v>792.15106583111492</v>
      </c>
      <c r="BV283" s="242">
        <f t="shared" si="126"/>
        <v>2092.5731109255476</v>
      </c>
      <c r="BY283" s="180">
        <v>2060</v>
      </c>
      <c r="BZ283" s="22">
        <v>46</v>
      </c>
      <c r="CA283" s="181">
        <f t="shared" ca="1" si="127"/>
        <v>-66.886097616864006</v>
      </c>
      <c r="CB283" s="181">
        <f t="shared" ca="1" si="128"/>
        <v>1346.9515043061638</v>
      </c>
      <c r="CC283" s="182">
        <f t="shared" ca="1" si="129"/>
        <v>786.58776092536436</v>
      </c>
      <c r="CD283" s="242">
        <f t="shared" ca="1" si="130"/>
        <v>2066.6531676146642</v>
      </c>
      <c r="CG283" s="180">
        <v>2060</v>
      </c>
      <c r="CH283" s="22">
        <v>46</v>
      </c>
      <c r="CI283" s="181">
        <f t="shared" ca="1" si="131"/>
        <v>-205.67552083271787</v>
      </c>
      <c r="CJ283" s="181">
        <f t="shared" ca="1" si="132"/>
        <v>147.7318371651038</v>
      </c>
      <c r="CK283" s="181">
        <f t="shared" ca="1" si="133"/>
        <v>1286.2791696635436</v>
      </c>
      <c r="CL283" s="182">
        <f t="shared" ca="1" si="134"/>
        <v>790.38110249476222</v>
      </c>
      <c r="CM283" s="242">
        <f t="shared" ca="1" si="135"/>
        <v>2018.7165884906917</v>
      </c>
      <c r="CP283" s="180">
        <v>2060</v>
      </c>
      <c r="CQ283" s="22">
        <v>46</v>
      </c>
      <c r="CR283" s="181">
        <f t="shared" ca="1" si="136"/>
        <v>838.30460332471296</v>
      </c>
      <c r="CS283" s="182">
        <f t="shared" ca="1" si="137"/>
        <v>2.9270158779505904</v>
      </c>
      <c r="CT283" s="242">
        <f t="shared" ca="1" si="138"/>
        <v>2453.730884490506</v>
      </c>
      <c r="CZ283" s="89"/>
      <c r="DA283" s="89"/>
      <c r="DB283" s="89"/>
      <c r="DC283" s="89"/>
      <c r="DD283" s="89"/>
      <c r="DE283" s="89"/>
      <c r="DF283" s="89"/>
      <c r="DG283" s="89"/>
      <c r="DH283" s="89"/>
      <c r="DI283" s="89"/>
      <c r="DJ283" s="89"/>
      <c r="DK283" s="89"/>
      <c r="DL283" s="89"/>
      <c r="DM283" s="89"/>
      <c r="DN283" s="89"/>
      <c r="DO283" s="89"/>
      <c r="DP283" s="89"/>
      <c r="DQ283" s="89"/>
      <c r="DR283" s="89"/>
      <c r="DW283" s="54"/>
      <c r="EA283" s="55"/>
      <c r="EB283" s="55"/>
      <c r="EC283" s="55"/>
      <c r="ED283" s="55"/>
      <c r="EE283" s="55"/>
    </row>
    <row r="284" spans="1:135" x14ac:dyDescent="0.4">
      <c r="A284" s="221" t="str">
        <f ca="1">HYPERLINK("#"&amp;"'"&amp;A$1&amp;"'!a1","Back to top")</f>
        <v>Back to top</v>
      </c>
      <c r="C284" s="50"/>
      <c r="D284" s="14"/>
      <c r="E284" s="14"/>
      <c r="F284" s="14"/>
      <c r="G284" s="14"/>
      <c r="H284" s="14"/>
      <c r="I284" s="14"/>
      <c r="J284" s="14"/>
      <c r="K284" s="14"/>
      <c r="L284" s="14"/>
      <c r="M284" s="14"/>
      <c r="N284" s="89"/>
      <c r="O284" s="89"/>
      <c r="P284" s="89"/>
      <c r="Q284" s="89"/>
      <c r="R284" s="89"/>
      <c r="S284" s="89"/>
      <c r="T284" s="89"/>
      <c r="U284" s="89"/>
      <c r="V284" s="89"/>
      <c r="W284" s="89"/>
      <c r="X284" s="89"/>
      <c r="Y284" s="89"/>
      <c r="Z284" s="89"/>
      <c r="AA284" s="89"/>
      <c r="AB284" s="89"/>
      <c r="AC284" s="89"/>
      <c r="AD284" s="89"/>
      <c r="AE284" s="89"/>
      <c r="AF284" s="89"/>
      <c r="AG284" s="89"/>
      <c r="AH284" s="89"/>
      <c r="AI284" s="89"/>
      <c r="AJ284" s="89"/>
      <c r="AK284" s="89"/>
      <c r="AL284" s="89"/>
      <c r="AM284" s="89"/>
      <c r="AN284" s="89"/>
      <c r="DW284" s="54"/>
      <c r="EA284" s="55"/>
      <c r="EB284" s="55"/>
      <c r="EC284" s="55"/>
      <c r="ED284" s="55"/>
      <c r="EE284" s="55"/>
    </row>
    <row r="285" spans="1:135" x14ac:dyDescent="0.4">
      <c r="A285" s="221"/>
      <c r="C285" s="50"/>
      <c r="D285" s="14"/>
      <c r="E285" s="14"/>
      <c r="F285" s="14"/>
      <c r="G285" s="14"/>
      <c r="H285" s="14"/>
      <c r="I285" s="14"/>
      <c r="J285" s="14"/>
      <c r="K285" s="14"/>
      <c r="L285" s="14"/>
      <c r="M285" s="14"/>
      <c r="N285" s="89"/>
      <c r="O285" s="89"/>
      <c r="P285" s="89"/>
      <c r="Q285" s="89"/>
      <c r="R285" s="89"/>
      <c r="S285" s="89"/>
      <c r="T285" s="89"/>
      <c r="U285" s="89"/>
      <c r="V285" s="89"/>
      <c r="W285" s="89"/>
      <c r="X285" s="89"/>
      <c r="Y285" s="89"/>
      <c r="Z285" s="89"/>
      <c r="AA285" s="89"/>
      <c r="AB285" s="89"/>
      <c r="AC285" s="89"/>
      <c r="AD285" s="89"/>
      <c r="AE285" s="89"/>
      <c r="AF285" s="89"/>
      <c r="AG285" s="89"/>
      <c r="AH285" s="89"/>
      <c r="AI285" s="89"/>
      <c r="AJ285" s="89"/>
      <c r="AK285" s="89"/>
      <c r="AL285" s="89"/>
      <c r="AM285" s="89"/>
      <c r="AN285" s="89"/>
      <c r="DW285" s="54"/>
      <c r="EA285" s="55"/>
      <c r="EB285" s="55"/>
      <c r="EC285" s="55"/>
      <c r="ED285" s="55"/>
      <c r="EE285" s="55"/>
    </row>
    <row r="286" spans="1:135" x14ac:dyDescent="0.4">
      <c r="A286" s="214"/>
      <c r="B286" s="89"/>
      <c r="C286" s="14"/>
      <c r="D286" s="14"/>
      <c r="E286" s="14"/>
      <c r="F286" s="14"/>
      <c r="G286" s="14"/>
      <c r="H286" s="14"/>
      <c r="I286" s="14"/>
      <c r="J286" s="14"/>
      <c r="K286" s="14"/>
      <c r="L286" s="14"/>
      <c r="M286" s="50"/>
      <c r="N286" s="49"/>
      <c r="O286" s="49"/>
      <c r="P286" s="49"/>
      <c r="Q286" s="49"/>
      <c r="R286" s="49"/>
      <c r="S286" s="120"/>
      <c r="T286" s="120"/>
      <c r="U286" s="120"/>
      <c r="V286" s="49"/>
      <c r="W286" s="120"/>
      <c r="X286" s="120"/>
      <c r="Y286" s="120"/>
      <c r="Z286" s="89"/>
      <c r="AA286" s="89"/>
      <c r="AB286" s="89"/>
      <c r="AC286" s="89"/>
      <c r="AD286" s="89"/>
      <c r="AE286" s="89"/>
      <c r="AF286" s="89"/>
      <c r="AG286" s="89"/>
      <c r="AH286" s="89"/>
      <c r="AI286" s="89"/>
      <c r="AJ286" s="89"/>
      <c r="AK286" s="89"/>
      <c r="AL286" s="89"/>
      <c r="AM286" s="89"/>
      <c r="AN286" s="89"/>
      <c r="AO286" s="49"/>
      <c r="AP286" s="49"/>
      <c r="AQ286" s="49"/>
      <c r="AR286" s="49"/>
      <c r="AS286" s="49"/>
      <c r="AT286" s="49"/>
      <c r="AU286" s="49"/>
      <c r="AV286" s="49"/>
      <c r="AW286" s="49"/>
      <c r="AX286" s="49"/>
      <c r="AY286" s="49"/>
      <c r="AZ286" s="49"/>
      <c r="BA286" s="49"/>
      <c r="BB286" s="49"/>
      <c r="BC286" s="49"/>
      <c r="BD286" s="49"/>
      <c r="BE286" s="49"/>
      <c r="BF286" s="49"/>
      <c r="BG286" s="49"/>
      <c r="BH286" s="49"/>
      <c r="BI286" s="49"/>
      <c r="BJ286" s="49"/>
      <c r="BK286" s="49"/>
      <c r="BL286" s="49"/>
    </row>
    <row r="287" spans="1:135" x14ac:dyDescent="0.4">
      <c r="A287" s="253"/>
      <c r="B287" s="254"/>
      <c r="C287" s="255"/>
      <c r="D287" s="255"/>
      <c r="E287" s="255"/>
      <c r="F287" s="255"/>
      <c r="G287" s="255"/>
      <c r="H287" s="255"/>
      <c r="I287" s="255"/>
      <c r="J287" s="255"/>
      <c r="K287" s="255"/>
      <c r="L287" s="255"/>
      <c r="M287" s="256"/>
      <c r="S287" s="257"/>
      <c r="T287" s="257"/>
      <c r="U287" s="257"/>
      <c r="W287" s="257"/>
      <c r="X287" s="257"/>
      <c r="Y287" s="257"/>
      <c r="Z287" s="254"/>
      <c r="AA287" s="254"/>
      <c r="AB287" s="254"/>
      <c r="AC287" s="254"/>
      <c r="AD287" s="254"/>
      <c r="AE287" s="254"/>
      <c r="AF287" s="254"/>
      <c r="AG287" s="254"/>
      <c r="AH287" s="254"/>
      <c r="AI287" s="254"/>
      <c r="AJ287" s="254"/>
      <c r="AK287" s="254"/>
      <c r="AL287" s="254"/>
      <c r="AM287" s="254"/>
      <c r="AN287" s="254"/>
      <c r="DW287" s="258"/>
      <c r="EA287" s="259"/>
      <c r="EB287" s="259"/>
      <c r="EC287" s="259"/>
      <c r="ED287" s="259"/>
      <c r="EE287" s="259"/>
    </row>
    <row r="288" spans="1:135" x14ac:dyDescent="0.4">
      <c r="A288" s="253"/>
      <c r="B288" s="254"/>
      <c r="C288" s="255"/>
      <c r="D288" s="255"/>
      <c r="E288" s="255"/>
      <c r="F288" s="255"/>
      <c r="G288" s="255"/>
      <c r="H288" s="255"/>
      <c r="I288" s="255"/>
      <c r="J288" s="255"/>
      <c r="K288" s="255"/>
      <c r="L288" s="255"/>
      <c r="M288" s="256"/>
      <c r="S288" s="257"/>
      <c r="T288" s="257"/>
      <c r="U288" s="257"/>
      <c r="W288" s="257"/>
      <c r="X288" s="257"/>
      <c r="Y288" s="257"/>
      <c r="Z288" s="254"/>
      <c r="AA288" s="254"/>
      <c r="AB288" s="254"/>
      <c r="AC288" s="254"/>
      <c r="AD288" s="254"/>
      <c r="AE288" s="254"/>
      <c r="AF288" s="254"/>
      <c r="AG288" s="254"/>
      <c r="AH288" s="254"/>
      <c r="AI288" s="254"/>
      <c r="AJ288" s="254"/>
      <c r="AK288" s="254"/>
      <c r="AL288" s="254"/>
      <c r="AM288" s="254"/>
      <c r="AN288" s="254"/>
      <c r="DW288" s="258"/>
      <c r="EA288" s="259"/>
      <c r="EB288" s="259"/>
      <c r="EC288" s="259"/>
      <c r="ED288" s="259"/>
      <c r="EE288" s="259"/>
    </row>
    <row r="289" spans="1:135" x14ac:dyDescent="0.4">
      <c r="A289" s="221"/>
      <c r="B289" s="281"/>
      <c r="C289" s="50"/>
      <c r="D289" s="14"/>
      <c r="E289" s="14"/>
      <c r="F289" s="14"/>
      <c r="G289" s="14"/>
      <c r="H289" s="14"/>
      <c r="I289" s="14"/>
      <c r="J289" s="14"/>
      <c r="K289" s="14"/>
      <c r="L289" s="14"/>
      <c r="M289" s="14"/>
      <c r="N289" s="89"/>
      <c r="O289" s="89"/>
      <c r="P289" s="89"/>
      <c r="Q289" s="89"/>
      <c r="R289" s="89"/>
      <c r="S289" s="89"/>
      <c r="T289" s="89"/>
      <c r="U289" s="89"/>
      <c r="V289" s="89"/>
      <c r="W289" s="89"/>
      <c r="X289" s="89"/>
      <c r="Y289" s="89"/>
      <c r="Z289" s="89"/>
      <c r="AA289" s="89"/>
      <c r="AB289" s="89"/>
      <c r="AC289" s="89"/>
      <c r="AD289" s="89"/>
      <c r="AE289" s="89"/>
      <c r="AF289" s="89"/>
      <c r="AG289" s="89"/>
      <c r="AH289" s="89"/>
      <c r="AI289" s="89"/>
      <c r="AJ289" s="89"/>
      <c r="AK289" s="89"/>
      <c r="AL289" s="89"/>
      <c r="AM289" s="89"/>
      <c r="AN289" s="89"/>
      <c r="AO289" s="49"/>
      <c r="AP289" s="49"/>
      <c r="AQ289" s="49"/>
      <c r="AR289" s="49"/>
      <c r="AS289" s="49"/>
      <c r="AT289" s="49"/>
      <c r="AU289" s="49"/>
      <c r="AV289" s="49"/>
      <c r="AW289" s="49"/>
      <c r="AX289" s="49"/>
      <c r="AY289" s="49"/>
      <c r="AZ289" s="49"/>
      <c r="BA289" s="49"/>
      <c r="BB289" s="49"/>
      <c r="BC289" s="49"/>
      <c r="BD289" s="49"/>
      <c r="BE289" s="49"/>
      <c r="BF289" s="49"/>
      <c r="BG289" s="49"/>
      <c r="BH289" s="49"/>
      <c r="BI289" s="49"/>
      <c r="BJ289" s="49"/>
      <c r="BK289" s="49"/>
      <c r="BL289" s="49"/>
      <c r="BM289" s="49"/>
      <c r="BN289" s="49"/>
      <c r="BO289" s="49"/>
      <c r="BP289" s="49"/>
      <c r="DW289" s="282"/>
      <c r="EA289" s="232"/>
      <c r="EB289" s="232"/>
      <c r="EC289" s="232"/>
      <c r="ED289" s="232"/>
      <c r="EE289" s="232"/>
    </row>
    <row r="290" spans="1:135" x14ac:dyDescent="0.4">
      <c r="A290" s="221"/>
      <c r="B290" s="281"/>
      <c r="C290" s="50"/>
      <c r="D290" s="14"/>
      <c r="E290" s="14"/>
      <c r="F290" s="14"/>
      <c r="G290" s="14"/>
      <c r="H290" s="14"/>
      <c r="I290" s="14"/>
      <c r="J290" s="14"/>
      <c r="K290" s="14"/>
      <c r="L290" s="14"/>
      <c r="M290" s="14"/>
      <c r="N290" s="89"/>
      <c r="O290" s="89"/>
      <c r="P290" s="89"/>
      <c r="Q290" s="89"/>
      <c r="R290" s="89"/>
      <c r="S290" s="89"/>
      <c r="T290" s="89"/>
      <c r="U290" s="89"/>
      <c r="V290" s="89"/>
      <c r="W290" s="89"/>
      <c r="X290" s="89"/>
      <c r="Y290" s="89"/>
      <c r="Z290" s="89"/>
      <c r="AA290" s="89"/>
      <c r="AB290" s="89"/>
      <c r="AC290" s="89"/>
      <c r="AD290" s="89"/>
      <c r="AE290" s="89"/>
      <c r="AF290" s="89"/>
      <c r="AG290" s="89"/>
      <c r="AH290" s="89"/>
      <c r="AI290" s="89"/>
      <c r="AJ290" s="89"/>
      <c r="AK290" s="89"/>
      <c r="AL290" s="89"/>
      <c r="AM290" s="89"/>
      <c r="AN290" s="89"/>
      <c r="AO290" s="49"/>
      <c r="AP290" s="49"/>
      <c r="AQ290" s="49"/>
      <c r="AR290" s="49"/>
      <c r="AS290" s="49"/>
      <c r="AT290" s="49"/>
      <c r="AU290" s="49"/>
      <c r="AV290" s="49"/>
      <c r="AW290" s="49"/>
      <c r="AX290" s="49"/>
      <c r="AY290" s="49"/>
      <c r="AZ290" s="49"/>
      <c r="BA290" s="49"/>
      <c r="BB290" s="49"/>
      <c r="BC290" s="49"/>
      <c r="BD290" s="49"/>
      <c r="BE290" s="49"/>
      <c r="BF290" s="49"/>
      <c r="BG290" s="49"/>
      <c r="BH290" s="49"/>
      <c r="BI290" s="49"/>
      <c r="BJ290" s="49"/>
      <c r="BK290" s="49"/>
      <c r="BL290" s="49"/>
      <c r="BM290" s="49"/>
      <c r="BN290" s="49"/>
      <c r="BO290" s="49"/>
      <c r="BP290" s="49"/>
      <c r="DW290" s="282"/>
      <c r="EA290" s="232"/>
      <c r="EB290" s="232"/>
      <c r="EC290" s="232"/>
      <c r="ED290" s="232"/>
      <c r="EE290" s="232"/>
    </row>
    <row r="291" spans="1:135" x14ac:dyDescent="0.4">
      <c r="A291" s="261" t="s">
        <v>101</v>
      </c>
      <c r="B291" s="281"/>
      <c r="C291" s="50"/>
      <c r="D291" s="14"/>
      <c r="E291" s="14"/>
      <c r="F291" s="14"/>
      <c r="G291" s="14"/>
      <c r="H291" s="14"/>
      <c r="I291" s="14"/>
      <c r="J291" s="14"/>
      <c r="K291" s="14"/>
      <c r="L291" s="14"/>
      <c r="M291" s="14"/>
      <c r="N291" s="89"/>
      <c r="O291" s="89"/>
      <c r="P291" s="89"/>
      <c r="Q291" s="89"/>
      <c r="R291" s="89"/>
      <c r="S291" s="89"/>
      <c r="T291" s="89"/>
      <c r="U291" s="89"/>
      <c r="V291" s="89"/>
      <c r="W291" s="89"/>
      <c r="X291" s="89"/>
      <c r="Y291" s="89"/>
      <c r="Z291" s="89"/>
      <c r="AA291" s="89"/>
      <c r="AB291" s="261" t="s">
        <v>101</v>
      </c>
      <c r="AC291" s="89"/>
      <c r="AD291" s="89"/>
      <c r="AE291" s="89"/>
      <c r="AF291" s="89"/>
      <c r="AG291" s="89"/>
      <c r="AH291" s="89"/>
      <c r="AI291" s="89"/>
      <c r="AJ291" s="89"/>
      <c r="AK291" s="89"/>
      <c r="AL291" s="89"/>
      <c r="AM291" s="89"/>
      <c r="AN291" s="261" t="s">
        <v>101</v>
      </c>
      <c r="AO291" s="49"/>
      <c r="AP291" s="49"/>
      <c r="AQ291" s="49"/>
      <c r="AR291" s="49"/>
      <c r="AS291" s="49"/>
      <c r="AT291" s="49"/>
      <c r="AU291" s="49"/>
      <c r="AV291" s="49"/>
      <c r="AW291" s="49"/>
      <c r="AX291" s="49"/>
      <c r="AY291" s="49"/>
      <c r="AZ291" s="261" t="s">
        <v>101</v>
      </c>
      <c r="BA291" s="49"/>
      <c r="BB291" s="49"/>
      <c r="BC291" s="49"/>
      <c r="BD291" s="49"/>
      <c r="BE291" s="49"/>
      <c r="BF291" s="49"/>
      <c r="BG291" s="49"/>
      <c r="BH291" s="49"/>
      <c r="BI291" s="49"/>
      <c r="BJ291" s="261" t="s">
        <v>101</v>
      </c>
      <c r="BK291" s="49"/>
      <c r="BL291" s="49"/>
      <c r="BM291" s="49"/>
      <c r="BN291" s="49"/>
      <c r="BO291" s="49"/>
      <c r="BP291" s="49"/>
      <c r="BR291" s="261" t="s">
        <v>101</v>
      </c>
      <c r="BY291" s="261" t="s">
        <v>101</v>
      </c>
      <c r="CG291" s="261" t="s">
        <v>101</v>
      </c>
      <c r="CP291" s="261" t="s">
        <v>101</v>
      </c>
      <c r="DV291" s="261" t="s">
        <v>101</v>
      </c>
      <c r="DW291" s="282"/>
      <c r="EA291" s="232"/>
      <c r="EB291" s="232"/>
      <c r="EC291" s="232"/>
      <c r="ED291" s="232"/>
      <c r="EE291" s="232"/>
    </row>
    <row r="292" spans="1:135" x14ac:dyDescent="0.4">
      <c r="B292" s="694"/>
      <c r="C292" s="694"/>
      <c r="D292" s="113"/>
      <c r="E292" s="113"/>
      <c r="F292" s="113"/>
      <c r="G292" s="113"/>
      <c r="H292" s="113"/>
      <c r="I292" s="113"/>
      <c r="J292" s="113"/>
      <c r="K292" s="113"/>
      <c r="L292" s="113"/>
      <c r="M292" s="113"/>
      <c r="N292" s="114"/>
      <c r="O292" s="114"/>
      <c r="P292" s="114"/>
      <c r="Q292" s="114"/>
      <c r="R292" s="114"/>
      <c r="S292" s="114"/>
      <c r="T292" s="114"/>
      <c r="U292" s="114"/>
      <c r="V292" s="114"/>
      <c r="W292" s="114"/>
      <c r="X292" s="114"/>
      <c r="Y292" s="114"/>
      <c r="Z292" s="114"/>
      <c r="AA292" s="114"/>
      <c r="AC292" s="114"/>
      <c r="AD292" s="114"/>
      <c r="AE292" s="114"/>
      <c r="AF292" s="114"/>
      <c r="AG292" s="114"/>
      <c r="AH292" s="114"/>
      <c r="AI292" s="114"/>
      <c r="AJ292" s="114"/>
      <c r="AK292" s="114"/>
      <c r="AL292" s="114"/>
      <c r="AM292" s="114"/>
      <c r="AN292" s="114"/>
      <c r="AO292" s="89"/>
      <c r="DW292" s="54"/>
      <c r="EA292" s="55"/>
      <c r="EB292" s="55"/>
      <c r="EC292" s="55"/>
      <c r="ED292" s="55"/>
      <c r="EE292" s="55"/>
    </row>
    <row r="293" spans="1:135" x14ac:dyDescent="0.4">
      <c r="A293" s="233"/>
      <c r="B293" s="679"/>
      <c r="C293" s="679"/>
      <c r="D293" s="113"/>
      <c r="E293" s="113"/>
      <c r="F293" s="113"/>
      <c r="G293" s="113"/>
      <c r="H293" s="113"/>
      <c r="I293" s="113"/>
      <c r="J293" s="113"/>
      <c r="K293" s="113"/>
      <c r="L293" s="113"/>
      <c r="M293" s="113"/>
      <c r="N293" s="114"/>
      <c r="O293" s="114"/>
      <c r="P293" s="114"/>
      <c r="Q293" s="114"/>
      <c r="R293" s="114"/>
      <c r="S293" s="114"/>
      <c r="T293" s="114"/>
      <c r="U293" s="114"/>
      <c r="V293" s="114"/>
      <c r="W293" s="114"/>
      <c r="X293" s="114"/>
      <c r="Y293" s="114"/>
      <c r="Z293" s="114"/>
      <c r="AA293" s="114"/>
      <c r="AB293" s="114"/>
      <c r="AC293" s="114"/>
      <c r="AD293" s="114"/>
      <c r="AE293" s="114"/>
      <c r="AF293" s="114"/>
      <c r="AG293" s="114"/>
      <c r="AH293" s="114"/>
      <c r="AI293" s="114"/>
      <c r="AJ293" s="114"/>
      <c r="AK293" s="114"/>
      <c r="AL293" s="114"/>
      <c r="AM293" s="114"/>
      <c r="CZ293" s="116"/>
      <c r="DA293" s="116"/>
      <c r="DB293" s="116"/>
      <c r="DC293" s="116"/>
      <c r="DD293" s="116"/>
      <c r="DE293" s="116"/>
      <c r="DF293" s="116"/>
      <c r="DG293" s="116"/>
      <c r="DH293" s="116"/>
      <c r="DI293" s="117" t="str">
        <f>"DJ"&amp;MIN(DK296:DK344)</f>
        <v>DJ296</v>
      </c>
      <c r="DJ293" s="118" t="str">
        <f>"DJ"&amp;MAX(DK296:DK344)</f>
        <v>DJ326</v>
      </c>
      <c r="DK293" s="116"/>
      <c r="DL293" s="117" t="str">
        <f>"DM"&amp;MIN(DN296:DN344)</f>
        <v>DM296</v>
      </c>
      <c r="DM293" s="118" t="str">
        <f>"DM"&amp;MAX(DN296:DN344)</f>
        <v>DM326</v>
      </c>
      <c r="DN293" s="116"/>
      <c r="DO293" s="117" t="str">
        <f>"DP"&amp;MIN(DQ296:DQ344)</f>
        <v>DP296</v>
      </c>
      <c r="DP293" s="118" t="str">
        <f>"DP"&amp;MAX(DQ296:DQ344)</f>
        <v>DP326</v>
      </c>
      <c r="DQ293" s="116"/>
      <c r="DW293" s="119"/>
      <c r="EA293" s="33"/>
      <c r="EB293" s="33"/>
      <c r="EC293" s="33"/>
      <c r="ED293" s="33"/>
      <c r="EE293" s="33"/>
    </row>
    <row r="294" spans="1:135" ht="24.6" x14ac:dyDescent="0.45">
      <c r="A294" s="95" t="s">
        <v>65</v>
      </c>
      <c r="C294" s="680" t="str">
        <f>A312</f>
        <v>Base Cases</v>
      </c>
      <c r="D294" s="681"/>
      <c r="E294" s="682"/>
      <c r="F294" s="683" t="str">
        <f>A313</f>
        <v>Conservative Cases</v>
      </c>
      <c r="G294" s="684"/>
      <c r="H294" s="685"/>
      <c r="I294" s="686" t="str">
        <f>A314</f>
        <v>Ambitious Cases</v>
      </c>
      <c r="J294" s="687"/>
      <c r="K294" s="688"/>
      <c r="L294" s="692" t="str">
        <f>A315</f>
        <v>Maximum Cases</v>
      </c>
      <c r="M294" s="693"/>
      <c r="O294" s="122"/>
      <c r="P294" s="122"/>
      <c r="Q294" s="122"/>
      <c r="W294" s="691" t="s">
        <v>66</v>
      </c>
      <c r="X294" s="691"/>
      <c r="Y294" s="691"/>
      <c r="Z294" s="120"/>
      <c r="AA294" s="120"/>
      <c r="AB294" s="120"/>
      <c r="AC294" s="120"/>
      <c r="AD294" s="120"/>
      <c r="AE294" s="120"/>
      <c r="AF294" s="120"/>
      <c r="AG294" s="120"/>
      <c r="AH294" s="120"/>
      <c r="AI294" s="120"/>
      <c r="AJ294" s="120"/>
      <c r="AK294" s="120"/>
      <c r="AL294" s="120"/>
      <c r="AM294" s="120"/>
      <c r="AN294" s="120"/>
      <c r="BR294" s="121" t="s">
        <v>67</v>
      </c>
      <c r="BS294" s="121"/>
      <c r="BT294" s="121"/>
      <c r="BU294" s="121"/>
      <c r="BV294" s="121"/>
      <c r="BW294" s="122"/>
      <c r="BY294" s="121" t="s">
        <v>68</v>
      </c>
      <c r="BZ294" s="121"/>
      <c r="CA294" s="121"/>
      <c r="CB294" s="121"/>
      <c r="CC294" s="121"/>
      <c r="CD294" s="121"/>
      <c r="CG294" s="121" t="s">
        <v>69</v>
      </c>
      <c r="CH294" s="121"/>
      <c r="CI294" s="121"/>
      <c r="CJ294" s="121"/>
      <c r="CK294" s="121"/>
      <c r="CL294" s="121"/>
      <c r="CM294" s="121"/>
      <c r="CP294" s="121" t="s">
        <v>70</v>
      </c>
      <c r="CQ294" s="121"/>
      <c r="CR294" s="121"/>
      <c r="CS294" s="121"/>
      <c r="CT294" s="121"/>
      <c r="CU294" s="121"/>
      <c r="CZ294" s="123"/>
      <c r="DA294" s="123"/>
      <c r="DB294" s="123"/>
      <c r="DC294" s="123"/>
      <c r="DD294" s="123"/>
      <c r="DE294" s="123"/>
      <c r="DF294" s="123"/>
      <c r="DG294" s="123"/>
      <c r="DH294" s="123"/>
      <c r="DI294" s="124" t="str">
        <f>"DI"&amp;MIN(DK296:DK344)</f>
        <v>DI296</v>
      </c>
      <c r="DJ294" s="125" t="str">
        <f>"DI"&amp;MAX(DK296:DK344)</f>
        <v>DI326</v>
      </c>
      <c r="DK294" s="123"/>
      <c r="DL294" s="124" t="str">
        <f>"DL"&amp;MIN(DN296:DN344)</f>
        <v>DL296</v>
      </c>
      <c r="DM294" s="125" t="str">
        <f>"DL"&amp;MAX(DN296:DN344)</f>
        <v>DL326</v>
      </c>
      <c r="DN294" s="123"/>
      <c r="DO294" s="124" t="str">
        <f>"DO"&amp;MIN(DQ296:DQ344)</f>
        <v>DO296</v>
      </c>
      <c r="DP294" s="125" t="str">
        <f>"DO"&amp;MAX(DQ296:DQ344)</f>
        <v>DO326</v>
      </c>
      <c r="DQ294" s="123"/>
      <c r="DV294" s="126" t="s">
        <v>71</v>
      </c>
      <c r="DZ294" s="127" t="s">
        <v>72</v>
      </c>
      <c r="EA294" s="284" t="str">
        <f>$L$26</f>
        <v>3rd Poly</v>
      </c>
    </row>
    <row r="295" spans="1:135" ht="73.8" x14ac:dyDescent="0.45">
      <c r="A295" s="95" t="s">
        <v>73</v>
      </c>
      <c r="B295" s="128"/>
      <c r="C295" s="129" t="str">
        <f>A296</f>
        <v>IPCC</v>
      </c>
      <c r="D295" s="130" t="str">
        <f>A297</f>
        <v>World Bank, What a Waste</v>
      </c>
      <c r="E295" s="131" t="str">
        <f>A298</f>
        <v>Bahor et al (2009)</v>
      </c>
      <c r="F295" s="129" t="str">
        <f>A299</f>
        <v>Hoornweg et al (2014)</v>
      </c>
      <c r="G295" s="130" t="str">
        <f>A300</f>
        <v xml:space="preserve"> IEA Annex I – Municipal solid waste potential in cities; Table I.1</v>
      </c>
      <c r="H295" s="131" t="str">
        <f>A301</f>
        <v>[Source 3]</v>
      </c>
      <c r="I295" s="129" t="str">
        <f>A302</f>
        <v>[Source 1]</v>
      </c>
      <c r="J295" s="130" t="str">
        <f>A303</f>
        <v>[Source 2]</v>
      </c>
      <c r="K295" s="131" t="str">
        <f>A304</f>
        <v>[Source 3]</v>
      </c>
      <c r="L295" s="129" t="str">
        <f>A305</f>
        <v>[Source 1]</v>
      </c>
      <c r="M295" s="131" t="str">
        <f>A306</f>
        <v>[Source 2]</v>
      </c>
      <c r="N295" s="234" t="s">
        <v>74</v>
      </c>
      <c r="O295" s="133"/>
      <c r="P295" s="133"/>
      <c r="Q295" s="133"/>
      <c r="R295" s="135" t="s">
        <v>76</v>
      </c>
      <c r="S295" s="134" t="s">
        <v>77</v>
      </c>
      <c r="T295" s="134" t="s">
        <v>78</v>
      </c>
      <c r="U295" s="136" t="s">
        <v>79</v>
      </c>
      <c r="V295" s="137"/>
      <c r="W295" s="136" t="s">
        <v>15</v>
      </c>
      <c r="X295" s="134" t="s">
        <v>21</v>
      </c>
      <c r="Y295" s="136" t="s">
        <v>25</v>
      </c>
      <c r="AA295" s="138"/>
      <c r="AB295" s="138"/>
      <c r="AC295" s="138"/>
      <c r="AD295" s="138"/>
      <c r="AE295" s="138"/>
      <c r="AF295" s="138"/>
      <c r="AG295" s="138"/>
      <c r="AH295" s="138"/>
      <c r="AI295" s="138"/>
      <c r="AJ295" s="138"/>
      <c r="AK295" s="138"/>
      <c r="AL295" s="138"/>
      <c r="AM295" s="138"/>
      <c r="AN295" s="138"/>
      <c r="BR295" s="139"/>
      <c r="BS295" s="139"/>
      <c r="BT295" s="139"/>
      <c r="BU295" s="139"/>
      <c r="BV295" s="139"/>
      <c r="BW295" s="122"/>
      <c r="BZ295" s="139"/>
      <c r="CA295" s="139"/>
      <c r="CB295" s="139"/>
      <c r="CC295" s="139"/>
      <c r="CD295" s="139"/>
      <c r="CH295" s="139"/>
      <c r="CI295" s="139"/>
      <c r="CJ295" s="139"/>
      <c r="CK295" s="139"/>
      <c r="CL295" s="139"/>
      <c r="CM295" s="139"/>
      <c r="CQ295" s="139"/>
      <c r="CR295" s="139"/>
      <c r="CS295" s="139"/>
      <c r="CT295" s="139"/>
      <c r="CU295" s="139"/>
      <c r="CZ295" s="140"/>
      <c r="DA295" s="140"/>
      <c r="DB295" s="140"/>
      <c r="DC295" s="140"/>
      <c r="DD295" s="141"/>
      <c r="DE295" s="141"/>
      <c r="DF295" s="141"/>
      <c r="DG295" s="141"/>
      <c r="DH295" s="140"/>
      <c r="DI295" s="142"/>
      <c r="DJ295" s="143"/>
      <c r="DK295" s="144"/>
      <c r="DL295" s="142"/>
      <c r="DM295" s="143"/>
      <c r="DN295" s="140"/>
      <c r="DO295" s="142"/>
      <c r="DP295" s="143"/>
      <c r="DQ295" s="140"/>
      <c r="DV295" s="145">
        <v>2014</v>
      </c>
      <c r="DW295" s="235">
        <f t="shared" ref="DW295:DW341" ca="1" si="142">IF($J$26="N","",IF($L$26="Linear",BV300,IF($L$26="2nd Poly",CD300,IF($L$26="3rd Poly",CM300,IF($L$26="Exp",CT300)))))</f>
        <v>281.77422266452913</v>
      </c>
      <c r="EA295" s="33" t="str">
        <f>$M$26</f>
        <v>Medium</v>
      </c>
      <c r="EB295" s="33"/>
      <c r="EC295" s="33"/>
      <c r="ED295" s="33"/>
      <c r="EE295" s="33"/>
    </row>
    <row r="296" spans="1:135" ht="13.8" x14ac:dyDescent="0.45">
      <c r="A296" s="148" t="s">
        <v>108</v>
      </c>
      <c r="B296" s="128">
        <v>2012</v>
      </c>
      <c r="C296" s="244"/>
      <c r="D296" s="264"/>
      <c r="E296" s="239"/>
      <c r="F296" s="190"/>
      <c r="G296" s="264"/>
      <c r="H296" s="239"/>
      <c r="I296" s="190"/>
      <c r="J296" s="264"/>
      <c r="K296" s="239"/>
      <c r="L296" s="190"/>
      <c r="M296" s="239"/>
      <c r="N296" s="29" t="s">
        <v>119</v>
      </c>
      <c r="O296" s="120"/>
      <c r="P296" s="120"/>
      <c r="Q296" s="120"/>
      <c r="R296" s="29">
        <v>-2</v>
      </c>
      <c r="S296" s="238" t="str">
        <f t="shared" ref="S296:S344" si="143">IF(MIN(C296:Q296)=0,"",MIN(C296:Q296))</f>
        <v/>
      </c>
      <c r="T296" s="238" t="str">
        <f t="shared" ref="T296:T344" si="144">IF(MAX(C296:Q296)=0,"",MAX(C296:Q296))</f>
        <v/>
      </c>
      <c r="U296" s="238" t="str">
        <f t="shared" ref="U296:U344" si="145">IF(T296="","",_xlfn.STDEV.P(C296:Q296))</f>
        <v/>
      </c>
      <c r="V296" s="29"/>
      <c r="W296" s="238" t="e">
        <f>IF(U296="",#N/A,X296-(U296*$Q$32))</f>
        <v>#N/A</v>
      </c>
      <c r="X296" s="238" t="e">
        <f t="shared" ref="X296:X344" si="146">IF(U296="",#N/A,(SUM(C296:Q296)/COUNTIFS(C296:Q296,"&gt;0")))</f>
        <v>#N/A</v>
      </c>
      <c r="Y296" s="238" t="e">
        <f t="shared" ref="Y296:Y344" si="147">IF(U296="",#N/A,X296+(U296*$Q$25))</f>
        <v>#N/A</v>
      </c>
      <c r="AA296" s="138"/>
      <c r="AB296" s="138"/>
      <c r="AC296" s="138"/>
      <c r="AD296" s="138"/>
      <c r="AE296" s="138"/>
      <c r="AF296" s="138"/>
      <c r="AG296" s="138"/>
      <c r="AH296" s="138"/>
      <c r="AI296" s="138"/>
      <c r="AJ296" s="138"/>
      <c r="AK296" s="138"/>
      <c r="AL296" s="138"/>
      <c r="AM296" s="138"/>
      <c r="AN296" s="138"/>
      <c r="BR296" s="137" t="s">
        <v>81</v>
      </c>
      <c r="BS296" s="65" t="str">
        <f>$M$26</f>
        <v>Medium</v>
      </c>
      <c r="BT296" s="137" t="s">
        <v>82</v>
      </c>
      <c r="BU296" s="137" t="s">
        <v>83</v>
      </c>
      <c r="BW296" s="133"/>
      <c r="BY296" s="137" t="s">
        <v>81</v>
      </c>
      <c r="BZ296" s="65" t="str">
        <f>$M$26</f>
        <v>Medium</v>
      </c>
      <c r="CA296" s="137" t="s">
        <v>84</v>
      </c>
      <c r="CB296" s="137" t="s">
        <v>82</v>
      </c>
      <c r="CC296" s="137" t="s">
        <v>83</v>
      </c>
      <c r="CG296" s="137" t="s">
        <v>81</v>
      </c>
      <c r="CH296" s="65" t="str">
        <f>$M$26</f>
        <v>Medium</v>
      </c>
      <c r="CI296" s="137" t="s">
        <v>85</v>
      </c>
      <c r="CJ296" s="137" t="s">
        <v>84</v>
      </c>
      <c r="CK296" s="137" t="s">
        <v>82</v>
      </c>
      <c r="CL296" s="137" t="s">
        <v>83</v>
      </c>
      <c r="CP296" s="137" t="s">
        <v>81</v>
      </c>
      <c r="CQ296" s="65" t="str">
        <f>$M$26</f>
        <v>Medium</v>
      </c>
      <c r="CR296" s="137" t="s">
        <v>86</v>
      </c>
      <c r="CS296" s="137" t="s">
        <v>87</v>
      </c>
      <c r="CZ296" s="155" t="b">
        <f t="shared" ref="CZ296:DB335" si="148">ISNUMBER(W296)</f>
        <v>0</v>
      </c>
      <c r="DA296" s="156" t="b">
        <f t="shared" si="148"/>
        <v>0</v>
      </c>
      <c r="DB296" s="157" t="b">
        <f t="shared" si="148"/>
        <v>0</v>
      </c>
      <c r="DC296" s="155" t="str">
        <f t="shared" ref="DC296:DC344" si="149">IF(CZ296=TRUE,$R296,"")</f>
        <v/>
      </c>
      <c r="DD296" s="157" t="str">
        <f t="shared" ref="DD296:DD344" si="150">IF(CZ296=TRUE,W296,"")</f>
        <v/>
      </c>
      <c r="DE296" s="155" t="str">
        <f t="shared" ref="DE296:DE344" si="151">IF(DA296=TRUE,$R296,"")</f>
        <v/>
      </c>
      <c r="DF296" s="157" t="str">
        <f t="shared" ref="DF296:DF344" si="152">IF(DA296=TRUE,X296,"")</f>
        <v/>
      </c>
      <c r="DG296" s="155" t="str">
        <f t="shared" ref="DG296:DG344" si="153">IF(DB296=TRUE,$R296,"")</f>
        <v/>
      </c>
      <c r="DH296" s="157" t="str">
        <f t="shared" ref="DH296:DH344" si="154">IF(DB296=TRUE,Y296,"")</f>
        <v/>
      </c>
      <c r="DI296" s="155">
        <f>IFERROR(INDEX(DC$296:DC$344,_xlfn.AGGREGATE(15,6,(ROW(DC$296:DC$344)-ROW(DC$296)+1)/(DC$296:DC$344&lt;&gt;""),ROWS(DI$1:DI1))),"")</f>
        <v>1</v>
      </c>
      <c r="DJ296" s="156">
        <f>IFERROR(INDEX(DD$296:DD$344,_xlfn.AGGREGATE(15,6,(ROW(DD$296:DD$344)-ROW(DD$296)+1)/(DD$296:DD$344&lt;&gt;""),ROWS(DJ$1:DJ1))),"")</f>
        <v>178.76462294780083</v>
      </c>
      <c r="DK296" s="157">
        <f t="shared" ref="DK296:DK344" si="155">IF(ISNUMBER(DI296),ROW(DI296),"")</f>
        <v>296</v>
      </c>
      <c r="DL296" s="155">
        <f>IFERROR(INDEX(DE$296:DE$344,_xlfn.AGGREGATE(15,6,(ROW(DE$296:DE$344)-ROW(DE$296)+1)/(DE$296:DE$344&lt;&gt;""),ROWS(DL$1:DL1))),"")</f>
        <v>1</v>
      </c>
      <c r="DM296" s="156">
        <f>IFERROR(INDEX(DF$296:DF$344,_xlfn.AGGREGATE(15,6,(ROW(DF$296:DF$344)-ROW(DF$296)+1)/(DF$296:DF$344&lt;&gt;""),ROWS(DM$1:DM1))),"")</f>
        <v>293.38661245445269</v>
      </c>
      <c r="DN296" s="157">
        <f t="shared" ref="DN296:DN344" si="156">IF(ISNUMBER(DI296),ROW(DI296),"")</f>
        <v>296</v>
      </c>
      <c r="DO296" s="155">
        <f>IFERROR(INDEX(DG$296:DG$344,_xlfn.AGGREGATE(15,6,(ROW(DG$296:DG$344)-ROW(DG$296)+1)/(DG$296:DG$344&lt;&gt;""),ROWS(DO$1:DO1))),"")</f>
        <v>1</v>
      </c>
      <c r="DP296" s="156">
        <f>IFERROR(INDEX(DH$296:DH$344,_xlfn.AGGREGATE(15,6,(ROW(DH$296:DH$344)-ROW(DH$296)+1)/(DH$296:DH$344&lt;&gt;""),ROWS(DP$1:DP1))),"")</f>
        <v>408.00860196110455</v>
      </c>
      <c r="DQ296" s="157">
        <f t="shared" ref="DQ296:DQ344" si="157">IF(ISNUMBER(DL296),ROW(DL296),"")</f>
        <v>296</v>
      </c>
      <c r="DV296" s="145">
        <v>2015</v>
      </c>
      <c r="DW296" s="235">
        <f t="shared" ca="1" si="142"/>
        <v>293.95318645804582</v>
      </c>
      <c r="EA296" s="33"/>
      <c r="EB296" s="33"/>
      <c r="EC296" s="33"/>
      <c r="ED296" s="33"/>
      <c r="EE296" s="33"/>
    </row>
    <row r="297" spans="1:135" ht="13.8" x14ac:dyDescent="0.45">
      <c r="A297" s="148" t="s">
        <v>109</v>
      </c>
      <c r="B297" s="128">
        <v>2013</v>
      </c>
      <c r="C297" s="187"/>
      <c r="D297" s="264"/>
      <c r="E297" s="239"/>
      <c r="F297" s="190"/>
      <c r="G297" s="264"/>
      <c r="H297" s="239"/>
      <c r="I297" s="190"/>
      <c r="J297" s="264"/>
      <c r="K297" s="239"/>
      <c r="L297" s="190"/>
      <c r="M297" s="239"/>
      <c r="N297" s="29" t="s">
        <v>119</v>
      </c>
      <c r="O297" s="120"/>
      <c r="P297" s="120"/>
      <c r="Q297" s="120"/>
      <c r="R297" s="29">
        <v>-1</v>
      </c>
      <c r="S297" s="238" t="str">
        <f t="shared" si="143"/>
        <v/>
      </c>
      <c r="T297" s="238" t="str">
        <f t="shared" si="144"/>
        <v/>
      </c>
      <c r="U297" s="238" t="str">
        <f t="shared" si="145"/>
        <v/>
      </c>
      <c r="V297" s="29"/>
      <c r="W297" s="238" t="e">
        <f t="shared" ref="W297:W344" si="158">IF(U297="",#N/A,X297-(U297*$Q$26))</f>
        <v>#N/A</v>
      </c>
      <c r="X297" s="238" t="e">
        <f t="shared" si="146"/>
        <v>#N/A</v>
      </c>
      <c r="Y297" s="238" t="e">
        <f t="shared" si="147"/>
        <v>#N/A</v>
      </c>
      <c r="AA297" s="138"/>
      <c r="AB297" s="138"/>
      <c r="AC297" s="138"/>
      <c r="AD297" s="138"/>
      <c r="AE297" s="138"/>
      <c r="AF297" s="138"/>
      <c r="AG297" s="138"/>
      <c r="AH297" s="138"/>
      <c r="AI297" s="138"/>
      <c r="AJ297" s="138"/>
      <c r="AK297" s="138"/>
      <c r="AL297" s="138"/>
      <c r="AM297" s="138"/>
      <c r="AN297" s="138"/>
      <c r="BS297" s="160" t="s">
        <v>25</v>
      </c>
      <c r="BT297" s="161">
        <f>SLOPE((DH296:DH344),($B$46:$B$94))</f>
        <v>18.51474944845015</v>
      </c>
      <c r="BU297" s="162">
        <f>INTERCEPT(DP296:DP344,DO296:DO344)</f>
        <v>367.12850458695578</v>
      </c>
      <c r="BW297" s="133"/>
      <c r="BZ297" s="160" t="s">
        <v>25</v>
      </c>
      <c r="CA297" s="161">
        <f ca="1">INDEX(LINEST((INDIRECT(DO293):INDIRECT(DP293)),(INDIRECT(DO294):INDIRECT(DP294))^{1,2}),1)</f>
        <v>0.16455381355706775</v>
      </c>
      <c r="CB297" s="163">
        <f ca="1">INDEX(LINEST((INDIRECT(DO293):INDIRECT(DP293)),(INDIRECT(DO294):INDIRECT(DP294))^{1,2}),1,2)</f>
        <v>13.249027414623992</v>
      </c>
      <c r="CC297" s="162">
        <f ca="1">INDEX(LINEST((INDIRECT(DO293):INDIRECT(DP293)),(INDIRECT(DO294):INDIRECT(DP294))^{1,2}),1,3)</f>
        <v>396.08997577299954</v>
      </c>
      <c r="CH297" s="160" t="s">
        <v>25</v>
      </c>
      <c r="CI297" s="161">
        <f ca="1">INDEX(LINEST((INDIRECT(DO293):INDIRECT(DP293)),(INDIRECT(DO294):INDIRECT(DP294))^{1,2,3}),1)</f>
        <v>1.1199322061811639E-3</v>
      </c>
      <c r="CJ297" s="163">
        <f ca="1">INDEX(LINEST((INDIRECT(DO293):INDIRECT(DP293)),(INDIRECT(DO294):INDIRECT(DP294))^{1,2,3}),1,2)</f>
        <v>0.11079706766037194</v>
      </c>
      <c r="CK297" s="163">
        <f ca="1">INDEX(LINEST((INDIRECT(DO293):INDIRECT(DP293)),(INDIRECT(DO294):INDIRECT(DP294))^{1,2,3}),1,3)</f>
        <v>13.948089097722267</v>
      </c>
      <c r="CL297" s="162">
        <f ca="1">INDEX(LINEST((INDIRECT(DO293):INDIRECT(DP293)),(INDIRECT(DO294):INDIRECT(DP294))^{1,2,3}),1,4)</f>
        <v>394.07947347646319</v>
      </c>
      <c r="CQ297" s="160" t="s">
        <v>25</v>
      </c>
      <c r="CR297" s="161">
        <f ca="1">EXP(INDEX(LINEST(LN(INDIRECT(DO293):INDIRECT(DP293)),(INDIRECT(DO294):INDIRECT(DP294))),1,2))</f>
        <v>406.87833288816364</v>
      </c>
      <c r="CS297" s="162">
        <f ca="1">INDEX(LINEST(LN(INDIRECT(DO293):INDIRECT(DP293)),(INDIRECT(DO294):INDIRECT(DP294))),1)</f>
        <v>2.8542799580396749E-2</v>
      </c>
      <c r="CZ297" s="164" t="b">
        <f t="shared" si="148"/>
        <v>0</v>
      </c>
      <c r="DA297" s="165" t="b">
        <f t="shared" si="148"/>
        <v>0</v>
      </c>
      <c r="DB297" s="166" t="b">
        <f t="shared" si="148"/>
        <v>0</v>
      </c>
      <c r="DC297" s="164" t="str">
        <f t="shared" si="149"/>
        <v/>
      </c>
      <c r="DD297" s="166" t="str">
        <f t="shared" si="150"/>
        <v/>
      </c>
      <c r="DE297" s="164" t="str">
        <f t="shared" si="151"/>
        <v/>
      </c>
      <c r="DF297" s="166" t="str">
        <f t="shared" si="152"/>
        <v/>
      </c>
      <c r="DG297" s="164" t="str">
        <f t="shared" si="153"/>
        <v/>
      </c>
      <c r="DH297" s="166" t="str">
        <f t="shared" si="154"/>
        <v/>
      </c>
      <c r="DI297" s="164">
        <f>IFERROR(INDEX(DC$296:DC$344,_xlfn.AGGREGATE(15,6,(ROW(DC$296:DC$344)-ROW(DC$296)+1)/(DC$296:DC$344&lt;&gt;""),ROWS(DI$1:DI2))),"")</f>
        <v>2</v>
      </c>
      <c r="DJ297" s="165">
        <f>IFERROR(INDEX(DD$296:DD$344,_xlfn.AGGREGATE(15,6,(ROW(DD$296:DD$344)-ROW(DD$296)+1)/(DD$296:DD$344&lt;&gt;""),ROWS(DJ$1:DJ2))),"")</f>
        <v>190.3296594102703</v>
      </c>
      <c r="DK297" s="166">
        <f t="shared" si="155"/>
        <v>297</v>
      </c>
      <c r="DL297" s="164">
        <f>IFERROR(INDEX(DE$296:DE$344,_xlfn.AGGREGATE(15,6,(ROW(DE$296:DE$344)-ROW(DE$296)+1)/(DE$296:DE$344&lt;&gt;""),ROWS(DL$1:DL2))),"")</f>
        <v>2</v>
      </c>
      <c r="DM297" s="165">
        <f>IFERROR(INDEX(DF$296:DF$344,_xlfn.AGGREGATE(15,6,(ROW(DF$296:DF$344)-ROW(DF$296)+1)/(DF$296:DF$344&lt;&gt;""),ROWS(DM$1:DM2))),"")</f>
        <v>306.42465619981141</v>
      </c>
      <c r="DN297" s="166">
        <f t="shared" si="156"/>
        <v>297</v>
      </c>
      <c r="DO297" s="164">
        <f>IFERROR(INDEX(DG$296:DG$344,_xlfn.AGGREGATE(15,6,(ROW(DG$296:DG$344)-ROW(DG$296)+1)/(DG$296:DG$344&lt;&gt;""),ROWS(DO$1:DO2))),"")</f>
        <v>2</v>
      </c>
      <c r="DP297" s="165">
        <f>IFERROR(INDEX(DH$296:DH$344,_xlfn.AGGREGATE(15,6,(ROW(DH$296:DH$344)-ROW(DH$296)+1)/(DH$296:DH$344&lt;&gt;""),ROWS(DP$1:DP2))),"")</f>
        <v>422.51965298935249</v>
      </c>
      <c r="DQ297" s="166">
        <f t="shared" si="157"/>
        <v>297</v>
      </c>
      <c r="DV297" s="145">
        <v>2016</v>
      </c>
      <c r="DW297" s="235">
        <f t="shared" ca="1" si="142"/>
        <v>306.32777855234696</v>
      </c>
      <c r="EA297" s="33"/>
      <c r="EB297" s="33"/>
      <c r="EC297" s="33"/>
      <c r="ED297" s="33"/>
      <c r="EE297" s="33"/>
    </row>
    <row r="298" spans="1:135" ht="13.8" x14ac:dyDescent="0.45">
      <c r="A298" s="148" t="s">
        <v>110</v>
      </c>
      <c r="B298" s="128">
        <v>2014</v>
      </c>
      <c r="C298" s="167"/>
      <c r="D298" s="168"/>
      <c r="E298" s="169"/>
      <c r="F298" s="170"/>
      <c r="G298" s="168"/>
      <c r="H298" s="169"/>
      <c r="I298" s="170"/>
      <c r="J298" s="168"/>
      <c r="K298" s="169"/>
      <c r="L298" s="170"/>
      <c r="M298" s="169"/>
      <c r="N298" s="29" t="s">
        <v>119</v>
      </c>
      <c r="O298" s="120"/>
      <c r="P298" s="120"/>
      <c r="Q298" s="120"/>
      <c r="R298" s="29">
        <v>0</v>
      </c>
      <c r="S298" s="238" t="str">
        <f t="shared" si="143"/>
        <v/>
      </c>
      <c r="T298" s="238" t="str">
        <f t="shared" si="144"/>
        <v/>
      </c>
      <c r="U298" s="238" t="str">
        <f t="shared" si="145"/>
        <v/>
      </c>
      <c r="V298" s="29"/>
      <c r="W298" s="238" t="e">
        <f t="shared" si="158"/>
        <v>#N/A</v>
      </c>
      <c r="X298" s="238" t="e">
        <f t="shared" si="146"/>
        <v>#N/A</v>
      </c>
      <c r="Y298" s="238" t="e">
        <f t="shared" si="147"/>
        <v>#N/A</v>
      </c>
      <c r="AA298" s="138"/>
      <c r="AB298" s="138"/>
      <c r="AC298" s="138"/>
      <c r="AD298" s="138"/>
      <c r="AE298" s="138"/>
      <c r="AF298" s="138"/>
      <c r="AG298" s="138"/>
      <c r="AH298" s="138"/>
      <c r="AI298" s="138"/>
      <c r="AJ298" s="138"/>
      <c r="AK298" s="138"/>
      <c r="AL298" s="138"/>
      <c r="AM298" s="138"/>
      <c r="AN298" s="138"/>
      <c r="BS298" s="160" t="s">
        <v>91</v>
      </c>
      <c r="BT298" s="172">
        <f>SLOPE((DF296:DF344),($B$46:$B$94))</f>
        <v>15.538139568901775</v>
      </c>
      <c r="BU298" s="173">
        <f>INTERCEPT(DM296:DM344,DL296:DL344)</f>
        <v>262.1103819006978</v>
      </c>
      <c r="BZ298" s="160" t="s">
        <v>91</v>
      </c>
      <c r="CA298" s="172">
        <f ca="1">INDEX(LINEST((INDIRECT(DL293):INDIRECT(DM293)),(INDIRECT(DL294):INDIRECT(DM294))^{1,2}),1)</f>
        <v>0.11580408692337582</v>
      </c>
      <c r="CB298" s="174">
        <f ca="1">INDEX(LINEST((INDIRECT(DL293):INDIRECT(DM293)),(INDIRECT(DL294):INDIRECT(DM294))^{1,2}),1,2)</f>
        <v>11.832408787353751</v>
      </c>
      <c r="CC298" s="173">
        <f ca="1">INDEX(LINEST((INDIRECT(DL293):INDIRECT(DM293)),(INDIRECT(DL294):INDIRECT(DM294))^{1,2}),1,3)</f>
        <v>282.49190119921195</v>
      </c>
      <c r="CH298" s="160" t="s">
        <v>91</v>
      </c>
      <c r="CI298" s="172">
        <f ca="1">INDEX(LINEST((INDIRECT(DL293):INDIRECT(DM293)),(INDIRECT(DL294):INDIRECT(DM294))^{1,2,3}),1)</f>
        <v>3.9977636735891934E-4</v>
      </c>
      <c r="CJ298" s="174">
        <f ca="1">INDEX(LINEST((INDIRECT(DL293):INDIRECT(DM293)),(INDIRECT(DL294):INDIRECT(DM294))^{1,2,3}),1,2)</f>
        <v>9.6614821290147743E-2</v>
      </c>
      <c r="CK298" s="174">
        <f ca="1">INDEX(LINEST((INDIRECT(DL293):INDIRECT(DM293)),(INDIRECT(DL294):INDIRECT(DM294))^{1,2,3}),1,3)</f>
        <v>12.081949195859192</v>
      </c>
      <c r="CL298" s="173">
        <f ca="1">INDEX(LINEST((INDIRECT(DL293):INDIRECT(DM293)),(INDIRECT(DL294):INDIRECT(DM294))^{1,2,3}),1,4)</f>
        <v>281.77422266452913</v>
      </c>
      <c r="CQ298" s="160" t="s">
        <v>91</v>
      </c>
      <c r="CR298" s="172">
        <f ca="1">EXP(INDEX(LINEST(LN(INDIRECT(DL293):INDIRECT(DM293)),(INDIRECT(DL294):INDIRECT(DM294))),1,2))</f>
        <v>297.31086370130703</v>
      </c>
      <c r="CS298" s="173">
        <f ca="1">INDEX(LINEST(LN(INDIRECT(DL293):INDIRECT(DM293)),(INDIRECT(DL294):INDIRECT(DM294))),1)</f>
        <v>3.1398746259431072E-2</v>
      </c>
      <c r="CZ298" s="164" t="b">
        <f t="shared" si="148"/>
        <v>0</v>
      </c>
      <c r="DA298" s="165" t="b">
        <f t="shared" si="148"/>
        <v>0</v>
      </c>
      <c r="DB298" s="166" t="b">
        <f t="shared" si="148"/>
        <v>0</v>
      </c>
      <c r="DC298" s="164" t="str">
        <f t="shared" si="149"/>
        <v/>
      </c>
      <c r="DD298" s="166" t="str">
        <f t="shared" si="150"/>
        <v/>
      </c>
      <c r="DE298" s="164" t="str">
        <f t="shared" si="151"/>
        <v/>
      </c>
      <c r="DF298" s="166" t="str">
        <f t="shared" si="152"/>
        <v/>
      </c>
      <c r="DG298" s="164" t="str">
        <f t="shared" si="153"/>
        <v/>
      </c>
      <c r="DH298" s="166" t="str">
        <f t="shared" si="154"/>
        <v/>
      </c>
      <c r="DI298" s="164">
        <f>IFERROR(INDEX(DC$296:DC$344,_xlfn.AGGREGATE(15,6,(ROW(DC$296:DC$344)-ROW(DC$296)+1)/(DC$296:DC$344&lt;&gt;""),ROWS(DI$1:DI3))),"")</f>
        <v>3</v>
      </c>
      <c r="DJ298" s="165">
        <f>IFERROR(INDEX(DD$296:DD$344,_xlfn.AGGREGATE(15,6,(ROW(DD$296:DD$344)-ROW(DD$296)+1)/(DD$296:DD$344&lt;&gt;""),ROWS(DJ$1:DJ3))),"")</f>
        <v>200.98535692522711</v>
      </c>
      <c r="DK298" s="166">
        <f t="shared" si="155"/>
        <v>298</v>
      </c>
      <c r="DL298" s="164">
        <f>IFERROR(INDEX(DE$296:DE$344,_xlfn.AGGREGATE(15,6,(ROW(DE$296:DE$344)-ROW(DE$296)+1)/(DE$296:DE$344&lt;&gt;""),ROWS(DL$1:DL3))),"")</f>
        <v>3</v>
      </c>
      <c r="DM298" s="165">
        <f>IFERROR(INDEX(DF$296:DF$344,_xlfn.AGGREGATE(15,6,(ROW(DF$296:DF$344)-ROW(DF$296)+1)/(DF$296:DF$344&lt;&gt;""),ROWS(DM$1:DM3))),"")</f>
        <v>319.0086199933815</v>
      </c>
      <c r="DN298" s="166">
        <f t="shared" si="156"/>
        <v>298</v>
      </c>
      <c r="DO298" s="164">
        <f>IFERROR(INDEX(DG$296:DG$344,_xlfn.AGGREGATE(15,6,(ROW(DG$296:DG$344)-ROW(DG$296)+1)/(DG$296:DG$344&lt;&gt;""),ROWS(DO$1:DO3))),"")</f>
        <v>3</v>
      </c>
      <c r="DP298" s="165">
        <f>IFERROR(INDEX(DH$296:DH$344,_xlfn.AGGREGATE(15,6,(ROW(DH$296:DH$344)-ROW(DH$296)+1)/(DH$296:DH$344&lt;&gt;""),ROWS(DP$1:DP3))),"")</f>
        <v>437.03188306153589</v>
      </c>
      <c r="DQ298" s="166">
        <f t="shared" si="157"/>
        <v>298</v>
      </c>
      <c r="DV298" s="145">
        <v>2017</v>
      </c>
      <c r="DW298" s="235">
        <f t="shared" ca="1" si="142"/>
        <v>318.90039760563673</v>
      </c>
      <c r="DZ298" s="65" t="s">
        <v>89</v>
      </c>
      <c r="EA298" s="33"/>
      <c r="EB298" s="33"/>
      <c r="EC298" s="33"/>
      <c r="ED298" s="33"/>
      <c r="EE298" s="33"/>
    </row>
    <row r="299" spans="1:135" ht="13.8" x14ac:dyDescent="0.45">
      <c r="A299" s="148" t="s">
        <v>111</v>
      </c>
      <c r="B299" s="128">
        <v>2015</v>
      </c>
      <c r="C299" s="244">
        <f>'Total MSW Summaries (Archive)'!G6</f>
        <v>455.29781801659954</v>
      </c>
      <c r="D299" s="244">
        <f>'Total MSW Summaries (Archive)'!S6</f>
        <v>215.78457077902422</v>
      </c>
      <c r="E299" s="244">
        <f>'Total MSW Summaries (Archive)'!AE6</f>
        <v>407.03999999999974</v>
      </c>
      <c r="F299" s="244">
        <f>'Total MSW Summaries (Archive)'!AQ6</f>
        <v>216.10797077393727</v>
      </c>
      <c r="G299" s="244">
        <f>'Total MSW Summaries (Archive)'!BC6</f>
        <v>172.70270270270271</v>
      </c>
      <c r="H299" s="151"/>
      <c r="I299" s="152"/>
      <c r="J299" s="159"/>
      <c r="K299" s="151"/>
      <c r="L299" s="152"/>
      <c r="M299" s="151"/>
      <c r="N299" s="29" t="s">
        <v>119</v>
      </c>
      <c r="O299" s="120"/>
      <c r="P299" s="120"/>
      <c r="Q299" s="120"/>
      <c r="R299" s="29">
        <v>1</v>
      </c>
      <c r="S299" s="238">
        <f t="shared" si="143"/>
        <v>172.70270270270271</v>
      </c>
      <c r="T299" s="238">
        <f t="shared" si="144"/>
        <v>455.29781801659954</v>
      </c>
      <c r="U299" s="238">
        <f t="shared" si="145"/>
        <v>114.62198950665184</v>
      </c>
      <c r="V299" s="29"/>
      <c r="W299" s="238">
        <f t="shared" si="158"/>
        <v>178.76462294780083</v>
      </c>
      <c r="X299" s="238">
        <f t="shared" si="146"/>
        <v>293.38661245445269</v>
      </c>
      <c r="Y299" s="238">
        <f t="shared" si="147"/>
        <v>408.00860196110455</v>
      </c>
      <c r="AA299" s="138"/>
      <c r="AB299" s="138"/>
      <c r="AC299" s="138"/>
      <c r="AD299" s="138"/>
      <c r="AE299" s="138"/>
      <c r="AF299" s="138"/>
      <c r="AG299" s="138"/>
      <c r="AH299" s="138"/>
      <c r="AI299" s="138"/>
      <c r="AJ299" s="138"/>
      <c r="AK299" s="138"/>
      <c r="AL299" s="138"/>
      <c r="AM299" s="138"/>
      <c r="AN299" s="138"/>
      <c r="BR299" s="29"/>
      <c r="BS299" s="160" t="s">
        <v>15</v>
      </c>
      <c r="BT299" s="177">
        <f>SLOPE((DD296:DD344),($B$46:$B$94))</f>
        <v>12.561529689353403</v>
      </c>
      <c r="BU299" s="178">
        <f>INTERCEPT(DJ296:DJ344,DI296:DI344)</f>
        <v>157.09225921443965</v>
      </c>
      <c r="BV299" s="137" t="s">
        <v>71</v>
      </c>
      <c r="BY299" s="29"/>
      <c r="BZ299" s="160" t="s">
        <v>15</v>
      </c>
      <c r="CA299" s="177">
        <f ca="1">INDEX(LINEST((INDIRECT(DI293):INDIRECT(DJ293)),(INDIRECT(DI294):INDIRECT(DJ294))^{1,2}),1)</f>
        <v>6.7054360289684437E-2</v>
      </c>
      <c r="CB299" s="179">
        <f ca="1">INDEX(LINEST((INDIRECT(DI293):INDIRECT(DJ293)),(INDIRECT(DI294):INDIRECT(DJ294))^{1,2}),1,2)</f>
        <v>10.415790160083501</v>
      </c>
      <c r="CC299" s="178">
        <f ca="1">INDEX(LINEST((INDIRECT(DI293):INDIRECT(DJ293)),(INDIRECT(DI294):INDIRECT(DJ294))^{1,2}),1,3)</f>
        <v>168.89382662542411</v>
      </c>
      <c r="CD299" s="137" t="s">
        <v>71</v>
      </c>
      <c r="CG299" s="29"/>
      <c r="CH299" s="160" t="s">
        <v>15</v>
      </c>
      <c r="CI299" s="177">
        <f ca="1">INDEX(LINEST((INDIRECT(DI293):INDIRECT(DJ293)),(INDIRECT(DI294):INDIRECT(DJ294))^{1,2,3}),1)</f>
        <v>-3.2037947146338263E-4</v>
      </c>
      <c r="CJ299" s="179">
        <f ca="1">INDEX(LINEST((INDIRECT(DI293):INDIRECT(DJ293)),(INDIRECT(DI294):INDIRECT(DJ294))^{1,2,3}),1,2)</f>
        <v>8.243257491992681E-2</v>
      </c>
      <c r="CK299" s="179">
        <f ca="1">INDEX(LINEST((INDIRECT(DI293):INDIRECT(DJ293)),(INDIRECT(DI294):INDIRECT(DJ294))^{1,2,3}),1,3)</f>
        <v>10.215809293996053</v>
      </c>
      <c r="CL299" s="178">
        <f ca="1">INDEX(LINEST((INDIRECT(DI293):INDIRECT(DJ293)),(INDIRECT(DI294):INDIRECT(DJ294))^{1,2,3}),1,4)</f>
        <v>169.46897185259525</v>
      </c>
      <c r="CM299" s="137" t="s">
        <v>71</v>
      </c>
      <c r="CP299" s="29"/>
      <c r="CQ299" s="160" t="s">
        <v>15</v>
      </c>
      <c r="CR299" s="177">
        <f ca="1">EXP(INDEX(LINEST(LN(INDIRECT(DI293):INDIRECT(DJ293)),(INDIRECT(DI294):INDIRECT(DJ294))),1,2))</f>
        <v>188.13292286672771</v>
      </c>
      <c r="CS299" s="178">
        <f ca="1">INDEX(LINEST(LN(INDIRECT(DI293):INDIRECT(DJ293)),(INDIRECT(DI294):INDIRECT(DJ294))),1)</f>
        <v>3.6918581844275038E-2</v>
      </c>
      <c r="CT299" s="137" t="s">
        <v>71</v>
      </c>
      <c r="CZ299" s="164" t="b">
        <f t="shared" si="148"/>
        <v>1</v>
      </c>
      <c r="DA299" s="165" t="b">
        <f t="shared" si="148"/>
        <v>1</v>
      </c>
      <c r="DB299" s="166" t="b">
        <f t="shared" si="148"/>
        <v>1</v>
      </c>
      <c r="DC299" s="164">
        <f t="shared" si="149"/>
        <v>1</v>
      </c>
      <c r="DD299" s="166">
        <f t="shared" si="150"/>
        <v>178.76462294780083</v>
      </c>
      <c r="DE299" s="164">
        <f t="shared" si="151"/>
        <v>1</v>
      </c>
      <c r="DF299" s="166">
        <f t="shared" si="152"/>
        <v>293.38661245445269</v>
      </c>
      <c r="DG299" s="164">
        <f t="shared" si="153"/>
        <v>1</v>
      </c>
      <c r="DH299" s="166">
        <f t="shared" si="154"/>
        <v>408.00860196110455</v>
      </c>
      <c r="DI299" s="164">
        <f>IFERROR(INDEX(DC$296:DC$344,_xlfn.AGGREGATE(15,6,(ROW(DC$296:DC$344)-ROW(DC$296)+1)/(DC$296:DC$344&lt;&gt;""),ROWS(DI$1:DI4))),"")</f>
        <v>4</v>
      </c>
      <c r="DJ299" s="165">
        <f>IFERROR(INDEX(DD$296:DD$344,_xlfn.AGGREGATE(15,6,(ROW(DD$296:DD$344)-ROW(DD$296)+1)/(DD$296:DD$344&lt;&gt;""),ROWS(DJ$1:DJ4))),"")</f>
        <v>211.81107318350723</v>
      </c>
      <c r="DK299" s="166">
        <f t="shared" si="155"/>
        <v>299</v>
      </c>
      <c r="DL299" s="164">
        <f>IFERROR(INDEX(DE$296:DE$344,_xlfn.AGGREGATE(15,6,(ROW(DE$296:DE$344)-ROW(DE$296)+1)/(DE$296:DE$344&lt;&gt;""),ROWS(DL$1:DL4))),"")</f>
        <v>4</v>
      </c>
      <c r="DM299" s="165">
        <f>IFERROR(INDEX(DF$296:DF$344,_xlfn.AGGREGATE(15,6,(ROW(DF$296:DF$344)-ROW(DF$296)+1)/(DF$296:DF$344&lt;&gt;""),ROWS(DM$1:DM4))),"")</f>
        <v>331.78842770639824</v>
      </c>
      <c r="DN299" s="166">
        <f t="shared" si="156"/>
        <v>299</v>
      </c>
      <c r="DO299" s="164">
        <f>IFERROR(INDEX(DG$296:DG$344,_xlfn.AGGREGATE(15,6,(ROW(DG$296:DG$344)-ROW(DG$296)+1)/(DG$296:DG$344&lt;&gt;""),ROWS(DO$1:DO4))),"")</f>
        <v>4</v>
      </c>
      <c r="DP299" s="165">
        <f>IFERROR(INDEX(DH$296:DH$344,_xlfn.AGGREGATE(15,6,(ROW(DH$296:DH$344)-ROW(DH$296)+1)/(DH$296:DH$344&lt;&gt;""),ROWS(DP$1:DP4))),"")</f>
        <v>451.76578222928924</v>
      </c>
      <c r="DQ299" s="166">
        <f t="shared" si="157"/>
        <v>299</v>
      </c>
      <c r="DV299" s="145">
        <v>2018</v>
      </c>
      <c r="DW299" s="235">
        <f t="shared" ca="1" si="142"/>
        <v>331.67344227611926</v>
      </c>
      <c r="EA299" s="33" t="s">
        <v>85</v>
      </c>
      <c r="EB299" s="33" t="s">
        <v>84</v>
      </c>
      <c r="EC299" s="33" t="s">
        <v>82</v>
      </c>
      <c r="ED299" s="33" t="s">
        <v>83</v>
      </c>
      <c r="EE299" s="33"/>
    </row>
    <row r="300" spans="1:135" ht="13.8" x14ac:dyDescent="0.45">
      <c r="A300" s="148" t="s">
        <v>116</v>
      </c>
      <c r="B300" s="128">
        <v>2016</v>
      </c>
      <c r="C300" s="244">
        <f>'Total MSW Summaries (Archive)'!G7</f>
        <v>470.50864759694917</v>
      </c>
      <c r="D300" s="244">
        <f>'Total MSW Summaries (Archive)'!S7</f>
        <v>226.63717692006992</v>
      </c>
      <c r="E300" s="244">
        <f>'Total MSW Summaries (Archive)'!AE7</f>
        <v>420.87999999999971</v>
      </c>
      <c r="F300" s="244">
        <f>'Total MSW Summaries (Archive)'!AQ7</f>
        <v>232.0434024279844</v>
      </c>
      <c r="G300" s="244">
        <f>'Total MSW Summaries (Archive)'!BC7</f>
        <v>182.05405405405406</v>
      </c>
      <c r="H300" s="151"/>
      <c r="I300" s="152"/>
      <c r="J300" s="159"/>
      <c r="K300" s="151"/>
      <c r="L300" s="152"/>
      <c r="M300" s="151"/>
      <c r="N300" s="29" t="s">
        <v>119</v>
      </c>
      <c r="O300" s="120"/>
      <c r="P300" s="120"/>
      <c r="Q300" s="120"/>
      <c r="R300" s="29">
        <v>2</v>
      </c>
      <c r="S300" s="238">
        <f t="shared" si="143"/>
        <v>182.05405405405406</v>
      </c>
      <c r="T300" s="238">
        <f t="shared" si="144"/>
        <v>470.50864759694917</v>
      </c>
      <c r="U300" s="238">
        <f t="shared" si="145"/>
        <v>116.09499678954111</v>
      </c>
      <c r="V300" s="29"/>
      <c r="W300" s="238">
        <f t="shared" si="158"/>
        <v>190.3296594102703</v>
      </c>
      <c r="X300" s="238">
        <f t="shared" si="146"/>
        <v>306.42465619981141</v>
      </c>
      <c r="Y300" s="238">
        <f t="shared" si="147"/>
        <v>422.51965298935249</v>
      </c>
      <c r="AA300" s="138"/>
      <c r="AB300" s="138"/>
      <c r="AC300" s="138"/>
      <c r="AD300" s="138"/>
      <c r="AE300" s="138"/>
      <c r="AF300" s="138"/>
      <c r="AG300" s="138"/>
      <c r="AH300" s="138"/>
      <c r="AI300" s="138"/>
      <c r="AJ300" s="138"/>
      <c r="AK300" s="138"/>
      <c r="AL300" s="138"/>
      <c r="AM300" s="138"/>
      <c r="AN300" s="138"/>
      <c r="BR300" s="180">
        <v>2014</v>
      </c>
      <c r="BS300" s="22">
        <v>0</v>
      </c>
      <c r="BT300" s="181">
        <f t="shared" ref="BT300:BT346" si="159">IF($BS$296="High",BS300*$BT$297,IF($BS$296="Medium",$BT$298*BS300,IF($BS$296="Low",$BT$299*BS300)))</f>
        <v>0</v>
      </c>
      <c r="BU300" s="182">
        <f t="shared" ref="BU300:BU346" si="160">IF($BS$296="High",$BU$297,IF($BS$296="Medium",$BU$298,IF($BS$296="Low",BU299)))</f>
        <v>262.1103819006978</v>
      </c>
      <c r="BV300" s="241">
        <f t="shared" ref="BV300:BV346" si="161">BT300+BU300</f>
        <v>262.1103819006978</v>
      </c>
      <c r="BY300" s="180">
        <v>2014</v>
      </c>
      <c r="BZ300" s="22">
        <v>0</v>
      </c>
      <c r="CA300" s="181">
        <f t="shared" ref="CA300:CA346" ca="1" si="162">IF($BZ$296="High",BZ300^2*$CA$297,IF($BZ$296="Medium",BZ300^2*$CA$298,IF($BZ$296="Low",BZ300^2*$CA$299)))</f>
        <v>0</v>
      </c>
      <c r="CB300" s="181">
        <f t="shared" ref="CB300:CB346" ca="1" si="163">IF($BZ$296="High",BZ300*$CB$297,IF($BZ$296="Medium",BZ300*$CB$298,IF($BZ$296="Low",BZ300*$CB$299)))</f>
        <v>0</v>
      </c>
      <c r="CC300" s="182">
        <f ca="1">IF($BZ$296="High",$CC$297,IF($BZ$296="Medium",$CC$298,IF($BZ$296="Low",$CC$299)))</f>
        <v>282.49190119921195</v>
      </c>
      <c r="CD300" s="241">
        <f t="shared" ref="CD300:CD346" ca="1" si="164">CA300+CB300+CC300</f>
        <v>282.49190119921195</v>
      </c>
      <c r="CG300" s="180">
        <v>2014</v>
      </c>
      <c r="CH300" s="22">
        <v>0</v>
      </c>
      <c r="CI300" s="181">
        <f t="shared" ref="CI300:CI346" ca="1" si="165">IF($CH$296="High",CH300^3*$CI$297,IF($CH$296="Medium",CH300^3*$CI$298,IF($CH$296="Low",CH300^3*$CI$299)))</f>
        <v>0</v>
      </c>
      <c r="CJ300" s="181">
        <f t="shared" ref="CJ300:CJ346" ca="1" si="166">IF($CH$296="High",CH300^2*$CJ$297,IF($CH$296="Medium",CH300^2*$CJ$298,IF($CH$296="Low",CH300^2*$CJ$299)))</f>
        <v>0</v>
      </c>
      <c r="CK300" s="181">
        <f t="shared" ref="CK300:CK346" ca="1" si="167">IF($CH$296="High",CH300*$CK$297,IF($CH$296="Medium",CH300*$CK$298,IF($CH$296="Low",CH300*$CK$299)))</f>
        <v>0</v>
      </c>
      <c r="CL300" s="182">
        <f t="shared" ref="CL300:CL346" ca="1" si="168">IF($CH$296="High",$CL$297,IF($CH$296="Medium",$CL$298,IF($CH$296="Low",$CL$299)))</f>
        <v>281.77422266452913</v>
      </c>
      <c r="CM300" s="241">
        <f t="shared" ref="CM300:CM346" ca="1" si="169">CI300+CJ300+CK300+CL300</f>
        <v>281.77422266452913</v>
      </c>
      <c r="CP300" s="180">
        <v>2014</v>
      </c>
      <c r="CQ300" s="22">
        <v>0</v>
      </c>
      <c r="CR300" s="181">
        <f t="shared" ref="CR300:CR346" ca="1" si="170">IF($CQ$296="High",$CR$297,IF($CQ$296="Medium",$CR$298,IF($CQ$296="Low",$CR$299)))</f>
        <v>297.31086370130703</v>
      </c>
      <c r="CS300" s="182">
        <f t="shared" ref="CS300:CS346" ca="1" si="171">IF($CQ$296="High",EXP(1)^($CS$297*CQ300),IF($CQ$296="Medium",EXP(1)^($CS$298*CQ300),IF($CQ$296="Low",EXP(1)^($CS$299*CQ300))))</f>
        <v>1</v>
      </c>
      <c r="CT300" s="241">
        <f t="shared" ref="CT300:CT346" ca="1" si="172">(CR300*CS300)</f>
        <v>297.31086370130703</v>
      </c>
      <c r="CZ300" s="164" t="b">
        <f t="shared" si="148"/>
        <v>1</v>
      </c>
      <c r="DA300" s="165" t="b">
        <f t="shared" si="148"/>
        <v>1</v>
      </c>
      <c r="DB300" s="166" t="b">
        <f t="shared" si="148"/>
        <v>1</v>
      </c>
      <c r="DC300" s="164">
        <f t="shared" si="149"/>
        <v>2</v>
      </c>
      <c r="DD300" s="166">
        <f t="shared" si="150"/>
        <v>190.3296594102703</v>
      </c>
      <c r="DE300" s="164">
        <f t="shared" si="151"/>
        <v>2</v>
      </c>
      <c r="DF300" s="166">
        <f t="shared" si="152"/>
        <v>306.42465619981141</v>
      </c>
      <c r="DG300" s="164">
        <f t="shared" si="153"/>
        <v>2</v>
      </c>
      <c r="DH300" s="166">
        <f t="shared" si="154"/>
        <v>422.51965298935249</v>
      </c>
      <c r="DI300" s="164">
        <f>IFERROR(INDEX(DC$296:DC$344,_xlfn.AGGREGATE(15,6,(ROW(DC$296:DC$344)-ROW(DC$296)+1)/(DC$296:DC$344&lt;&gt;""),ROWS(DI$1:DI5))),"")</f>
        <v>5</v>
      </c>
      <c r="DJ300" s="165">
        <f>IFERROR(INDEX(DD$296:DD$344,_xlfn.AGGREGATE(15,6,(ROW(DD$296:DD$344)-ROW(DD$296)+1)/(DD$296:DD$344&lt;&gt;""),ROWS(DJ$1:DJ5))),"")</f>
        <v>222.80577686027982</v>
      </c>
      <c r="DK300" s="166">
        <f t="shared" si="155"/>
        <v>300</v>
      </c>
      <c r="DL300" s="164">
        <f>IFERROR(INDEX(DE$296:DE$344,_xlfn.AGGREGATE(15,6,(ROW(DE$296:DE$344)-ROW(DE$296)+1)/(DE$296:DE$344&lt;&gt;""),ROWS(DL$1:DL5))),"")</f>
        <v>5</v>
      </c>
      <c r="DM300" s="165">
        <f>IFERROR(INDEX(DF$296:DF$344,_xlfn.AGGREGATE(15,6,(ROW(DF$296:DF$344)-ROW(DF$296)+1)/(DF$296:DF$344&lt;&gt;""),ROWS(DM$1:DM5))),"")</f>
        <v>344.7655147165716</v>
      </c>
      <c r="DN300" s="166">
        <f t="shared" si="156"/>
        <v>300</v>
      </c>
      <c r="DO300" s="164">
        <f>IFERROR(INDEX(DG$296:DG$344,_xlfn.AGGREGATE(15,6,(ROW(DG$296:DG$344)-ROW(DG$296)+1)/(DG$296:DG$344&lt;&gt;""),ROWS(DO$1:DO5))),"")</f>
        <v>5</v>
      </c>
      <c r="DP300" s="165">
        <f>IFERROR(INDEX(DH$296:DH$344,_xlfn.AGGREGATE(15,6,(ROW(DH$296:DH$344)-ROW(DH$296)+1)/(DH$296:DH$344&lt;&gt;""),ROWS(DP$1:DP5))),"")</f>
        <v>466.72525257286338</v>
      </c>
      <c r="DQ300" s="166">
        <f t="shared" si="157"/>
        <v>300</v>
      </c>
      <c r="DV300" s="145">
        <v>2019</v>
      </c>
      <c r="DW300" s="235">
        <f t="shared" ca="1" si="142"/>
        <v>344.64931122199863</v>
      </c>
      <c r="DZ300" s="135" t="s">
        <v>92</v>
      </c>
      <c r="EA300" s="33">
        <f ca="1">IF($EA$294="Linear",0,IF($EA$294="2nd Poly",0,IF($EA$294="3rd Poly",CI297,IF($EA$294="Exp",0))))</f>
        <v>1.1199322061811639E-3</v>
      </c>
      <c r="EB300" s="33">
        <f ca="1">IF($EA$294="Linear",0,IF($EA$294="2nd Poly",CA297,IF($EA$294="3rd Poly",CJ297,IF($EA$294="Exp",0))))</f>
        <v>0.11079706766037194</v>
      </c>
      <c r="EC300" s="33">
        <f t="shared" ref="EC300:ED302" ca="1" si="173">IF($EA$294="Linear",BT297,IF($EA$294="2nd Poly",CB297,IF($EA$294="3rd Poly",CK297,IF($EA$294="Exp",0))))</f>
        <v>13.948089097722267</v>
      </c>
      <c r="ED300" s="33">
        <f t="shared" ca="1" si="173"/>
        <v>394.07947347646319</v>
      </c>
      <c r="EE300" s="33" t="str">
        <f>IF($EA$294="Linear","High",IF($EA$294="2nd Poly","High",IF($EA$294="3rd Poly","High","N/A")))</f>
        <v>High</v>
      </c>
    </row>
    <row r="301" spans="1:135" ht="13.8" x14ac:dyDescent="0.45">
      <c r="A301" s="148" t="s">
        <v>90</v>
      </c>
      <c r="B301" s="128">
        <v>2017</v>
      </c>
      <c r="C301" s="244">
        <f>'Total MSW Summaries (Archive)'!G8</f>
        <v>486.07541128206293</v>
      </c>
      <c r="D301" s="244">
        <f>'Total MSW Summaries (Archive)'!S8</f>
        <v>237.89956926383979</v>
      </c>
      <c r="E301" s="244">
        <f>'Total MSW Summaries (Archive)'!AE8</f>
        <v>434.71999999999969</v>
      </c>
      <c r="F301" s="244">
        <f>'Total MSW Summaries (Archive)'!AQ8</f>
        <v>244.94271401559939</v>
      </c>
      <c r="G301" s="244">
        <f>'Total MSW Summaries (Archive)'!BC8</f>
        <v>191.40540540540542</v>
      </c>
      <c r="H301" s="169"/>
      <c r="I301" s="170"/>
      <c r="J301" s="168"/>
      <c r="K301" s="169"/>
      <c r="L301" s="170"/>
      <c r="M301" s="169"/>
      <c r="N301" s="29" t="s">
        <v>119</v>
      </c>
      <c r="O301" s="120"/>
      <c r="P301" s="120"/>
      <c r="Q301" s="120"/>
      <c r="R301" s="29">
        <v>3</v>
      </c>
      <c r="S301" s="238">
        <f t="shared" si="143"/>
        <v>191.40540540540542</v>
      </c>
      <c r="T301" s="238">
        <f t="shared" si="144"/>
        <v>486.07541128206293</v>
      </c>
      <c r="U301" s="238">
        <f t="shared" si="145"/>
        <v>118.02326306815438</v>
      </c>
      <c r="V301" s="29"/>
      <c r="W301" s="238">
        <f t="shared" si="158"/>
        <v>200.98535692522711</v>
      </c>
      <c r="X301" s="238">
        <f t="shared" si="146"/>
        <v>319.0086199933815</v>
      </c>
      <c r="Y301" s="238">
        <f t="shared" si="147"/>
        <v>437.03188306153589</v>
      </c>
      <c r="AA301" s="138"/>
      <c r="AB301" s="138"/>
      <c r="AC301" s="138"/>
      <c r="AD301" s="138"/>
      <c r="AE301" s="138"/>
      <c r="AF301" s="138"/>
      <c r="AG301" s="138"/>
      <c r="AH301" s="138"/>
      <c r="AI301" s="138"/>
      <c r="AJ301" s="138"/>
      <c r="AK301" s="138"/>
      <c r="AL301" s="138"/>
      <c r="AM301" s="138"/>
      <c r="AN301" s="138"/>
      <c r="BR301" s="180">
        <v>2015</v>
      </c>
      <c r="BS301" s="22">
        <v>1</v>
      </c>
      <c r="BT301" s="198">
        <f t="shared" si="159"/>
        <v>15.538139568901775</v>
      </c>
      <c r="BU301" s="276">
        <f t="shared" si="160"/>
        <v>262.1103819006978</v>
      </c>
      <c r="BV301" s="241">
        <f t="shared" si="161"/>
        <v>277.64852146959959</v>
      </c>
      <c r="BY301" s="180">
        <v>2015</v>
      </c>
      <c r="BZ301" s="22">
        <v>1</v>
      </c>
      <c r="CA301" s="198">
        <f t="shared" ca="1" si="162"/>
        <v>0.11580408692337582</v>
      </c>
      <c r="CB301" s="198">
        <f t="shared" ca="1" si="163"/>
        <v>11.832408787353751</v>
      </c>
      <c r="CC301" s="276">
        <f t="shared" ref="CC301:CC346" ca="1" si="174">CC300</f>
        <v>282.49190119921195</v>
      </c>
      <c r="CD301" s="241">
        <f t="shared" ca="1" si="164"/>
        <v>294.4401140734891</v>
      </c>
      <c r="CG301" s="180">
        <v>2015</v>
      </c>
      <c r="CH301" s="22">
        <v>1</v>
      </c>
      <c r="CI301" s="198">
        <f t="shared" ca="1" si="165"/>
        <v>3.9977636735891934E-4</v>
      </c>
      <c r="CJ301" s="198">
        <f t="shared" ca="1" si="166"/>
        <v>9.6614821290147743E-2</v>
      </c>
      <c r="CK301" s="198">
        <f t="shared" ca="1" si="167"/>
        <v>12.081949195859192</v>
      </c>
      <c r="CL301" s="276">
        <f t="shared" ca="1" si="168"/>
        <v>281.77422266452913</v>
      </c>
      <c r="CM301" s="241">
        <f t="shared" ca="1" si="169"/>
        <v>293.95318645804582</v>
      </c>
      <c r="CP301" s="180">
        <v>2015</v>
      </c>
      <c r="CQ301" s="22">
        <v>1</v>
      </c>
      <c r="CR301" s="198">
        <f t="shared" ca="1" si="170"/>
        <v>297.31086370130703</v>
      </c>
      <c r="CS301" s="276">
        <f t="shared" ca="1" si="171"/>
        <v>1.0318968868861202</v>
      </c>
      <c r="CT301" s="241">
        <f t="shared" ca="1" si="172"/>
        <v>306.79415469080232</v>
      </c>
      <c r="CZ301" s="164" t="b">
        <f t="shared" si="148"/>
        <v>1</v>
      </c>
      <c r="DA301" s="165" t="b">
        <f t="shared" si="148"/>
        <v>1</v>
      </c>
      <c r="DB301" s="166" t="b">
        <f t="shared" si="148"/>
        <v>1</v>
      </c>
      <c r="DC301" s="164">
        <f t="shared" si="149"/>
        <v>3</v>
      </c>
      <c r="DD301" s="166">
        <f t="shared" si="150"/>
        <v>200.98535692522711</v>
      </c>
      <c r="DE301" s="164">
        <f t="shared" si="151"/>
        <v>3</v>
      </c>
      <c r="DF301" s="166">
        <f t="shared" si="152"/>
        <v>319.0086199933815</v>
      </c>
      <c r="DG301" s="164">
        <f t="shared" si="153"/>
        <v>3</v>
      </c>
      <c r="DH301" s="166">
        <f t="shared" si="154"/>
        <v>437.03188306153589</v>
      </c>
      <c r="DI301" s="164">
        <f>IFERROR(INDEX(DC$296:DC$344,_xlfn.AGGREGATE(15,6,(ROW(DC$296:DC$344)-ROW(DC$296)+1)/(DC$296:DC$344&lt;&gt;""),ROWS(DI$1:DI6))),"")</f>
        <v>6</v>
      </c>
      <c r="DJ301" s="165">
        <f>IFERROR(INDEX(DD$296:DD$344,_xlfn.AGGREGATE(15,6,(ROW(DD$296:DD$344)-ROW(DD$296)+1)/(DD$296:DD$344&lt;&gt;""),ROWS(DJ$1:DJ6))),"")</f>
        <v>234.00112817752063</v>
      </c>
      <c r="DK301" s="166">
        <f t="shared" si="155"/>
        <v>301</v>
      </c>
      <c r="DL301" s="164">
        <f>IFERROR(INDEX(DE$296:DE$344,_xlfn.AGGREGATE(15,6,(ROW(DE$296:DE$344)-ROW(DE$296)+1)/(DE$296:DE$344&lt;&gt;""),ROWS(DL$1:DL6))),"")</f>
        <v>6</v>
      </c>
      <c r="DM301" s="165">
        <f>IFERROR(INDEX(DF$296:DF$344,_xlfn.AGGREGATE(15,6,(ROW(DF$296:DF$344)-ROW(DF$296)+1)/(DF$296:DF$344&lt;&gt;""),ROWS(DM$1:DM6))),"")</f>
        <v>357.96211441480244</v>
      </c>
      <c r="DN301" s="166">
        <f t="shared" si="156"/>
        <v>301</v>
      </c>
      <c r="DO301" s="164">
        <f>IFERROR(INDEX(DG$296:DG$344,_xlfn.AGGREGATE(15,6,(ROW(DG$296:DG$344)-ROW(DG$296)+1)/(DG$296:DG$344&lt;&gt;""),ROWS(DO$1:DO6))),"")</f>
        <v>6</v>
      </c>
      <c r="DP301" s="165">
        <f>IFERROR(INDEX(DH$296:DH$344,_xlfn.AGGREGATE(15,6,(ROW(DH$296:DH$344)-ROW(DH$296)+1)/(DH$296:DH$344&lt;&gt;""),ROWS(DP$1:DP6))),"")</f>
        <v>481.92310065208426</v>
      </c>
      <c r="DQ301" s="166">
        <f t="shared" si="157"/>
        <v>301</v>
      </c>
      <c r="DV301" s="145">
        <v>2020</v>
      </c>
      <c r="DW301" s="235">
        <f t="shared" ca="1" si="142"/>
        <v>357.83040310147913</v>
      </c>
      <c r="DZ301" s="135" t="s">
        <v>92</v>
      </c>
      <c r="EA301" s="33">
        <f ca="1">IF($EA$294="Linear",0,IF($EA$294="2nd Poly",0,IF($EA$294="3rd Poly",CI298,IF($EA$294="Exp",0))))</f>
        <v>3.9977636735891934E-4</v>
      </c>
      <c r="EB301" s="33">
        <f ca="1">IF($EA$294="Linear",0,IF($EA$294="2nd Poly",CA298,IF($EA$294="3rd Poly",CJ298,IF($EA$294="Exp",0))))</f>
        <v>9.6614821290147743E-2</v>
      </c>
      <c r="EC301" s="33">
        <f t="shared" ca="1" si="173"/>
        <v>12.081949195859192</v>
      </c>
      <c r="ED301" s="33">
        <f t="shared" ca="1" si="173"/>
        <v>281.77422266452913</v>
      </c>
      <c r="EE301" s="33" t="str">
        <f>IF($EA$294="Linear","Medium",IF($EA$294="2nd Poly","Medium",IF($EA$294="3rd Poly","Medium","N/A")))</f>
        <v>Medium</v>
      </c>
    </row>
    <row r="302" spans="1:135" ht="13.8" x14ac:dyDescent="0.45">
      <c r="A302" s="148" t="s">
        <v>80</v>
      </c>
      <c r="B302" s="128">
        <v>2018</v>
      </c>
      <c r="C302" s="244">
        <f>'Total MSW Summaries (Archive)'!G9</f>
        <v>501.9993817443073</v>
      </c>
      <c r="D302" s="244">
        <f>'Total MSW Summaries (Archive)'!S9</f>
        <v>249.58064947947091</v>
      </c>
      <c r="E302" s="244">
        <f>'Total MSW Summaries (Archive)'!AE9</f>
        <v>448.55999999999966</v>
      </c>
      <c r="F302" s="244">
        <f>'Total MSW Summaries (Archive)'!AQ9</f>
        <v>258.04535055145624</v>
      </c>
      <c r="G302" s="244">
        <f>'Total MSW Summaries (Archive)'!BC9</f>
        <v>200.75675675675677</v>
      </c>
      <c r="H302" s="151"/>
      <c r="I302" s="152"/>
      <c r="J302" s="159"/>
      <c r="K302" s="151"/>
      <c r="L302" s="152"/>
      <c r="M302" s="151"/>
      <c r="N302" s="29" t="s">
        <v>119</v>
      </c>
      <c r="O302" s="120"/>
      <c r="P302" s="120"/>
      <c r="Q302" s="120"/>
      <c r="R302" s="29">
        <v>4</v>
      </c>
      <c r="S302" s="238">
        <f t="shared" si="143"/>
        <v>200.75675675675677</v>
      </c>
      <c r="T302" s="238">
        <f t="shared" si="144"/>
        <v>501.9993817443073</v>
      </c>
      <c r="U302" s="238">
        <f t="shared" si="145"/>
        <v>119.97735452289102</v>
      </c>
      <c r="V302" s="20"/>
      <c r="W302" s="238">
        <f t="shared" si="158"/>
        <v>211.81107318350723</v>
      </c>
      <c r="X302" s="238">
        <f t="shared" si="146"/>
        <v>331.78842770639824</v>
      </c>
      <c r="Y302" s="238">
        <f t="shared" si="147"/>
        <v>451.76578222928924</v>
      </c>
      <c r="AA302" s="138"/>
      <c r="AB302" s="138"/>
      <c r="AC302" s="138"/>
      <c r="AD302" s="138"/>
      <c r="AE302" s="138"/>
      <c r="AF302" s="138"/>
      <c r="AG302" s="138"/>
      <c r="AH302" s="138"/>
      <c r="AI302" s="138"/>
      <c r="AJ302" s="138"/>
      <c r="AK302" s="138"/>
      <c r="AL302" s="138"/>
      <c r="AM302" s="138"/>
      <c r="AN302" s="138"/>
      <c r="BR302" s="180">
        <v>2016</v>
      </c>
      <c r="BS302" s="22">
        <v>2</v>
      </c>
      <c r="BT302" s="198">
        <f t="shared" si="159"/>
        <v>31.076279137803549</v>
      </c>
      <c r="BU302" s="276">
        <f t="shared" si="160"/>
        <v>262.1103819006978</v>
      </c>
      <c r="BV302" s="241">
        <f t="shared" si="161"/>
        <v>293.18666103850137</v>
      </c>
      <c r="BY302" s="180">
        <v>2016</v>
      </c>
      <c r="BZ302" s="22">
        <v>2</v>
      </c>
      <c r="CA302" s="198">
        <f t="shared" ca="1" si="162"/>
        <v>0.46321634769350328</v>
      </c>
      <c r="CB302" s="198">
        <f t="shared" ca="1" si="163"/>
        <v>23.664817574707502</v>
      </c>
      <c r="CC302" s="276">
        <f t="shared" ca="1" si="174"/>
        <v>282.49190119921195</v>
      </c>
      <c r="CD302" s="241">
        <f t="shared" ca="1" si="164"/>
        <v>306.61993512161297</v>
      </c>
      <c r="CG302" s="180">
        <v>2016</v>
      </c>
      <c r="CH302" s="22">
        <v>2</v>
      </c>
      <c r="CI302" s="198">
        <f t="shared" ca="1" si="165"/>
        <v>3.1982109388713547E-3</v>
      </c>
      <c r="CJ302" s="198">
        <f t="shared" ca="1" si="166"/>
        <v>0.38645928516059097</v>
      </c>
      <c r="CK302" s="198">
        <f t="shared" ca="1" si="167"/>
        <v>24.163898391718384</v>
      </c>
      <c r="CL302" s="276">
        <f t="shared" ca="1" si="168"/>
        <v>281.77422266452913</v>
      </c>
      <c r="CM302" s="241">
        <f t="shared" ca="1" si="169"/>
        <v>306.32777855234696</v>
      </c>
      <c r="CP302" s="180">
        <v>2016</v>
      </c>
      <c r="CQ302" s="22">
        <v>2</v>
      </c>
      <c r="CR302" s="198">
        <f t="shared" ca="1" si="170"/>
        <v>297.31086370130703</v>
      </c>
      <c r="CS302" s="276">
        <f t="shared" ca="1" si="171"/>
        <v>1.0648111851652664</v>
      </c>
      <c r="CT302" s="241">
        <f t="shared" ca="1" si="172"/>
        <v>316.57993314029773</v>
      </c>
      <c r="CZ302" s="164" t="b">
        <f t="shared" si="148"/>
        <v>1</v>
      </c>
      <c r="DA302" s="165" t="b">
        <f t="shared" si="148"/>
        <v>1</v>
      </c>
      <c r="DB302" s="166" t="b">
        <f t="shared" si="148"/>
        <v>1</v>
      </c>
      <c r="DC302" s="164">
        <f t="shared" si="149"/>
        <v>4</v>
      </c>
      <c r="DD302" s="166">
        <f t="shared" si="150"/>
        <v>211.81107318350723</v>
      </c>
      <c r="DE302" s="164">
        <f t="shared" si="151"/>
        <v>4</v>
      </c>
      <c r="DF302" s="166">
        <f t="shared" si="152"/>
        <v>331.78842770639824</v>
      </c>
      <c r="DG302" s="164">
        <f t="shared" si="153"/>
        <v>4</v>
      </c>
      <c r="DH302" s="166">
        <f t="shared" si="154"/>
        <v>451.76578222928924</v>
      </c>
      <c r="DI302" s="164">
        <f>IFERROR(INDEX(DC$296:DC$344,_xlfn.AGGREGATE(15,6,(ROW(DC$296:DC$344)-ROW(DC$296)+1)/(DC$296:DC$344&lt;&gt;""),ROWS(DI$1:DI7))),"")</f>
        <v>7</v>
      </c>
      <c r="DJ302" s="165">
        <f>IFERROR(INDEX(DD$296:DD$344,_xlfn.AGGREGATE(15,6,(ROW(DD$296:DD$344)-ROW(DD$296)+1)/(DD$296:DD$344&lt;&gt;""),ROWS(DJ$1:DJ7))),"")</f>
        <v>245.29520069623771</v>
      </c>
      <c r="DK302" s="166">
        <f t="shared" si="155"/>
        <v>302</v>
      </c>
      <c r="DL302" s="164">
        <f>IFERROR(INDEX(DE$296:DE$344,_xlfn.AGGREGATE(15,6,(ROW(DE$296:DE$344)-ROW(DE$296)+1)/(DE$296:DE$344&lt;&gt;""),ROWS(DL$1:DL7))),"")</f>
        <v>7</v>
      </c>
      <c r="DM302" s="165">
        <f>IFERROR(INDEX(DF$296:DF$344,_xlfn.AGGREGATE(15,6,(ROW(DF$296:DF$344)-ROW(DF$296)+1)/(DF$296:DF$344&lt;&gt;""),ROWS(DM$1:DM7))),"")</f>
        <v>371.3166507989298</v>
      </c>
      <c r="DN302" s="166">
        <f t="shared" si="156"/>
        <v>302</v>
      </c>
      <c r="DO302" s="164">
        <f>IFERROR(INDEX(DG$296:DG$344,_xlfn.AGGREGATE(15,6,(ROW(DG$296:DG$344)-ROW(DG$296)+1)/(DG$296:DG$344&lt;&gt;""),ROWS(DO$1:DO7))),"")</f>
        <v>7</v>
      </c>
      <c r="DP302" s="165">
        <f>IFERROR(INDEX(DH$296:DH$344,_xlfn.AGGREGATE(15,6,(ROW(DH$296:DH$344)-ROW(DH$296)+1)/(DH$296:DH$344&lt;&gt;""),ROWS(DP$1:DP7))),"")</f>
        <v>497.33810090162189</v>
      </c>
      <c r="DQ302" s="166">
        <f t="shared" si="157"/>
        <v>302</v>
      </c>
      <c r="DV302" s="145">
        <v>2021</v>
      </c>
      <c r="DW302" s="235">
        <f t="shared" ca="1" si="142"/>
        <v>371.21911657276485</v>
      </c>
      <c r="DZ302" s="135" t="s">
        <v>92</v>
      </c>
      <c r="EA302" s="33">
        <f ca="1">IF($EA$294="Linear",0,IF($EA$294="2nd Poly",0,IF($EA$294="3rd Poly",CI299,IF($EA$294="Exp",0))))</f>
        <v>-3.2037947146338263E-4</v>
      </c>
      <c r="EB302" s="33">
        <f ca="1">IF($EA$294="Linear",0,IF($EA$294="2nd Poly",CA299,IF($EA$294="3rd Poly",CJ299,IF($EA$294="Exp",0))))</f>
        <v>8.243257491992681E-2</v>
      </c>
      <c r="EC302" s="33">
        <f t="shared" ca="1" si="173"/>
        <v>10.215809293996053</v>
      </c>
      <c r="ED302" s="33">
        <f t="shared" ca="1" si="173"/>
        <v>169.46897185259525</v>
      </c>
      <c r="EE302" s="33" t="str">
        <f>IF($EA$294="Linear","Low",IF($EA$294="2nd Poly","Low",IF($EA$294="3rd Poly","Low","N/A")))</f>
        <v>Low</v>
      </c>
    </row>
    <row r="303" spans="1:135" ht="13.8" x14ac:dyDescent="0.45">
      <c r="A303" s="148" t="s">
        <v>88</v>
      </c>
      <c r="B303" s="128">
        <v>2019</v>
      </c>
      <c r="C303" s="244">
        <f>'Total MSW Summaries (Archive)'!G10</f>
        <v>518.28337671891711</v>
      </c>
      <c r="D303" s="244">
        <f>'Total MSW Summaries (Archive)'!S10</f>
        <v>261.69013878643733</v>
      </c>
      <c r="E303" s="244">
        <f>'Total MSW Summaries (Archive)'!AE10</f>
        <v>462.39999999999964</v>
      </c>
      <c r="F303" s="244">
        <f>'Total MSW Summaries (Archive)'!AQ10</f>
        <v>271.34594996939586</v>
      </c>
      <c r="G303" s="244">
        <f>'Total MSW Summaries (Archive)'!BC10</f>
        <v>210.10810810810813</v>
      </c>
      <c r="H303" s="151"/>
      <c r="I303" s="152"/>
      <c r="J303" s="159"/>
      <c r="K303" s="151"/>
      <c r="L303" s="152"/>
      <c r="M303" s="151"/>
      <c r="N303" s="29" t="s">
        <v>119</v>
      </c>
      <c r="O303" s="120"/>
      <c r="P303" s="120"/>
      <c r="Q303" s="120"/>
      <c r="R303" s="29">
        <v>5</v>
      </c>
      <c r="S303" s="238">
        <f t="shared" si="143"/>
        <v>210.10810810810813</v>
      </c>
      <c r="T303" s="238">
        <f t="shared" si="144"/>
        <v>518.28337671891711</v>
      </c>
      <c r="U303" s="238">
        <f t="shared" si="145"/>
        <v>121.95973785629177</v>
      </c>
      <c r="V303" s="20"/>
      <c r="W303" s="238">
        <f t="shared" si="158"/>
        <v>222.80577686027982</v>
      </c>
      <c r="X303" s="238">
        <f t="shared" si="146"/>
        <v>344.7655147165716</v>
      </c>
      <c r="Y303" s="238">
        <f t="shared" si="147"/>
        <v>466.72525257286338</v>
      </c>
      <c r="AA303" s="138"/>
      <c r="AB303" s="138"/>
      <c r="AC303" s="138"/>
      <c r="AD303" s="138"/>
      <c r="AE303" s="138"/>
      <c r="AF303" s="138"/>
      <c r="AG303" s="138"/>
      <c r="AH303" s="138"/>
      <c r="AI303" s="138"/>
      <c r="AJ303" s="138"/>
      <c r="AK303" s="138"/>
      <c r="AL303" s="138"/>
      <c r="AM303" s="138"/>
      <c r="AN303" s="138"/>
      <c r="BR303" s="180">
        <v>2017</v>
      </c>
      <c r="BS303" s="22">
        <v>3</v>
      </c>
      <c r="BT303" s="198">
        <f t="shared" si="159"/>
        <v>46.614418706705322</v>
      </c>
      <c r="BU303" s="276">
        <f t="shared" si="160"/>
        <v>262.1103819006978</v>
      </c>
      <c r="BV303" s="241">
        <f t="shared" si="161"/>
        <v>308.72480060740315</v>
      </c>
      <c r="BY303" s="180">
        <v>2017</v>
      </c>
      <c r="BZ303" s="22">
        <v>3</v>
      </c>
      <c r="CA303" s="198">
        <f t="shared" ca="1" si="162"/>
        <v>1.0422367823103824</v>
      </c>
      <c r="CB303" s="198">
        <f t="shared" ca="1" si="163"/>
        <v>35.497226362061255</v>
      </c>
      <c r="CC303" s="276">
        <f t="shared" ca="1" si="174"/>
        <v>282.49190119921195</v>
      </c>
      <c r="CD303" s="241">
        <f t="shared" ca="1" si="164"/>
        <v>319.03136434358362</v>
      </c>
      <c r="CG303" s="180">
        <v>2017</v>
      </c>
      <c r="CH303" s="22">
        <v>3</v>
      </c>
      <c r="CI303" s="198">
        <f t="shared" ca="1" si="165"/>
        <v>1.0793961918690823E-2</v>
      </c>
      <c r="CJ303" s="198">
        <f t="shared" ca="1" si="166"/>
        <v>0.8695333916113297</v>
      </c>
      <c r="CK303" s="198">
        <f t="shared" ca="1" si="167"/>
        <v>36.245847587577572</v>
      </c>
      <c r="CL303" s="276">
        <f t="shared" ca="1" si="168"/>
        <v>281.77422266452913</v>
      </c>
      <c r="CM303" s="241">
        <f t="shared" ca="1" si="169"/>
        <v>318.90039760563673</v>
      </c>
      <c r="CP303" s="180">
        <v>2017</v>
      </c>
      <c r="CQ303" s="22">
        <v>3</v>
      </c>
      <c r="CR303" s="198">
        <f t="shared" ca="1" si="170"/>
        <v>297.31086370130703</v>
      </c>
      <c r="CS303" s="276">
        <f t="shared" ca="1" si="171"/>
        <v>1.0987753470935584</v>
      </c>
      <c r="CT303" s="241">
        <f t="shared" ca="1" si="172"/>
        <v>326.67784745808927</v>
      </c>
      <c r="CZ303" s="164" t="b">
        <f t="shared" si="148"/>
        <v>1</v>
      </c>
      <c r="DA303" s="165" t="b">
        <f t="shared" si="148"/>
        <v>1</v>
      </c>
      <c r="DB303" s="166" t="b">
        <f t="shared" si="148"/>
        <v>1</v>
      </c>
      <c r="DC303" s="164">
        <f t="shared" si="149"/>
        <v>5</v>
      </c>
      <c r="DD303" s="166">
        <f t="shared" si="150"/>
        <v>222.80577686027982</v>
      </c>
      <c r="DE303" s="164">
        <f t="shared" si="151"/>
        <v>5</v>
      </c>
      <c r="DF303" s="166">
        <f t="shared" si="152"/>
        <v>344.7655147165716</v>
      </c>
      <c r="DG303" s="164">
        <f t="shared" si="153"/>
        <v>5</v>
      </c>
      <c r="DH303" s="166">
        <f t="shared" si="154"/>
        <v>466.72525257286338</v>
      </c>
      <c r="DI303" s="164">
        <f>IFERROR(INDEX(DC$296:DC$344,_xlfn.AGGREGATE(15,6,(ROW(DC$296:DC$344)-ROW(DC$296)+1)/(DC$296:DC$344&lt;&gt;""),ROWS(DI$1:DI8))),"")</f>
        <v>8</v>
      </c>
      <c r="DJ303" s="165">
        <f>IFERROR(INDEX(DD$296:DD$344,_xlfn.AGGREGATE(15,6,(ROW(DD$296:DD$344)-ROW(DD$296)+1)/(DD$296:DD$344&lt;&gt;""),ROWS(DJ$1:DJ8))),"")</f>
        <v>256.93035339140226</v>
      </c>
      <c r="DK303" s="166">
        <f t="shared" si="155"/>
        <v>303</v>
      </c>
      <c r="DL303" s="164">
        <f>IFERROR(INDEX(DE$296:DE$344,_xlfn.AGGREGATE(15,6,(ROW(DE$296:DE$344)-ROW(DE$296)+1)/(DE$296:DE$344&lt;&gt;""),ROWS(DL$1:DL8))),"")</f>
        <v>8</v>
      </c>
      <c r="DM303" s="165">
        <f>IFERROR(INDEX(DF$296:DF$344,_xlfn.AGGREGATE(15,6,(ROW(DF$296:DF$344)-ROW(DF$296)+1)/(DF$296:DF$344&lt;&gt;""),ROWS(DM$1:DM8))),"")</f>
        <v>385.12615175538303</v>
      </c>
      <c r="DN303" s="166">
        <f t="shared" si="156"/>
        <v>303</v>
      </c>
      <c r="DO303" s="164">
        <f>IFERROR(INDEX(DG$296:DG$344,_xlfn.AGGREGATE(15,6,(ROW(DG$296:DG$344)-ROW(DG$296)+1)/(DG$296:DG$344&lt;&gt;""),ROWS(DO$1:DO8))),"")</f>
        <v>8</v>
      </c>
      <c r="DP303" s="165">
        <f>IFERROR(INDEX(DH$296:DH$344,_xlfn.AGGREGATE(15,6,(ROW(DH$296:DH$344)-ROW(DH$296)+1)/(DH$296:DH$344&lt;&gt;""),ROWS(DP$1:DP8))),"")</f>
        <v>513.32195011936381</v>
      </c>
      <c r="DQ303" s="166">
        <f t="shared" si="157"/>
        <v>303</v>
      </c>
      <c r="DV303" s="145">
        <v>2022</v>
      </c>
      <c r="DW303" s="235">
        <f t="shared" ca="1" si="142"/>
        <v>384.81785029405989</v>
      </c>
      <c r="DZ303" s="135"/>
      <c r="EA303" s="33"/>
      <c r="EB303" s="33"/>
      <c r="EC303" s="33"/>
      <c r="ED303" s="33"/>
      <c r="EE303" s="33"/>
    </row>
    <row r="304" spans="1:135" ht="13.8" x14ac:dyDescent="0.45">
      <c r="A304" s="148" t="s">
        <v>90</v>
      </c>
      <c r="B304" s="128">
        <v>2020</v>
      </c>
      <c r="C304" s="244">
        <f>'Total MSW Summaries (Archive)'!G11</f>
        <v>534.92968661700377</v>
      </c>
      <c r="D304" s="244">
        <f>'Total MSW Summaries (Archive)'!S11</f>
        <v>274.23757534650144</v>
      </c>
      <c r="E304" s="244">
        <f>'Total MSW Summaries (Archive)'!AE11</f>
        <v>476.23999999999961</v>
      </c>
      <c r="F304" s="244">
        <f>'Total MSW Summaries (Archive)'!AQ11</f>
        <v>284.94385065104797</v>
      </c>
      <c r="G304" s="244">
        <f>'Total MSW Summaries (Archive)'!BC11</f>
        <v>219.45945945945948</v>
      </c>
      <c r="H304" s="169"/>
      <c r="I304" s="170"/>
      <c r="J304" s="168"/>
      <c r="K304" s="169"/>
      <c r="L304" s="170"/>
      <c r="M304" s="169"/>
      <c r="N304" s="29" t="s">
        <v>119</v>
      </c>
      <c r="O304" s="120"/>
      <c r="P304" s="120"/>
      <c r="Q304" s="120"/>
      <c r="R304" s="29">
        <v>6</v>
      </c>
      <c r="S304" s="195">
        <f t="shared" si="143"/>
        <v>219.45945945945948</v>
      </c>
      <c r="T304" s="195">
        <f t="shared" si="144"/>
        <v>534.92968661700377</v>
      </c>
      <c r="U304" s="195">
        <f t="shared" si="145"/>
        <v>123.9609862372818</v>
      </c>
      <c r="V304" s="20"/>
      <c r="W304" s="238">
        <f t="shared" si="158"/>
        <v>234.00112817752063</v>
      </c>
      <c r="X304" s="238">
        <f t="shared" si="146"/>
        <v>357.96211441480244</v>
      </c>
      <c r="Y304" s="238">
        <f t="shared" si="147"/>
        <v>481.92310065208426</v>
      </c>
      <c r="AA304" s="138"/>
      <c r="AB304" s="138"/>
      <c r="AC304" s="138"/>
      <c r="AD304" s="138"/>
      <c r="AE304" s="138"/>
      <c r="AF304" s="138"/>
      <c r="AG304" s="138"/>
      <c r="AH304" s="138"/>
      <c r="AI304" s="138"/>
      <c r="AJ304" s="138"/>
      <c r="AK304" s="138"/>
      <c r="AL304" s="138"/>
      <c r="AM304" s="138"/>
      <c r="AN304" s="138"/>
      <c r="BR304" s="180">
        <v>2018</v>
      </c>
      <c r="BS304" s="22">
        <v>4</v>
      </c>
      <c r="BT304" s="198">
        <f t="shared" si="159"/>
        <v>62.152558275607099</v>
      </c>
      <c r="BU304" s="276">
        <f t="shared" si="160"/>
        <v>262.1103819006978</v>
      </c>
      <c r="BV304" s="241">
        <f t="shared" si="161"/>
        <v>324.26294017630488</v>
      </c>
      <c r="BY304" s="180">
        <v>2018</v>
      </c>
      <c r="BZ304" s="22">
        <v>4</v>
      </c>
      <c r="CA304" s="198">
        <f t="shared" ca="1" si="162"/>
        <v>1.8528653907740131</v>
      </c>
      <c r="CB304" s="198">
        <f t="shared" ca="1" si="163"/>
        <v>47.329635149415004</v>
      </c>
      <c r="CC304" s="276">
        <f t="shared" ca="1" si="174"/>
        <v>282.49190119921195</v>
      </c>
      <c r="CD304" s="241">
        <f t="shared" ca="1" si="164"/>
        <v>331.67440173940099</v>
      </c>
      <c r="CG304" s="180">
        <v>2018</v>
      </c>
      <c r="CH304" s="22">
        <v>4</v>
      </c>
      <c r="CI304" s="198">
        <f t="shared" ca="1" si="165"/>
        <v>2.5585687510970838E-2</v>
      </c>
      <c r="CJ304" s="198">
        <f t="shared" ca="1" si="166"/>
        <v>1.5458371406423639</v>
      </c>
      <c r="CK304" s="198">
        <f t="shared" ca="1" si="167"/>
        <v>48.327796783436767</v>
      </c>
      <c r="CL304" s="276">
        <f t="shared" ca="1" si="168"/>
        <v>281.77422266452913</v>
      </c>
      <c r="CM304" s="241">
        <f t="shared" ca="1" si="169"/>
        <v>331.67344227611926</v>
      </c>
      <c r="CP304" s="180">
        <v>2018</v>
      </c>
      <c r="CQ304" s="22">
        <v>4</v>
      </c>
      <c r="CR304" s="198">
        <f t="shared" ca="1" si="170"/>
        <v>297.31086370130703</v>
      </c>
      <c r="CS304" s="276">
        <f t="shared" ca="1" si="171"/>
        <v>1.1338228600530591</v>
      </c>
      <c r="CT304" s="241">
        <f t="shared" ca="1" si="172"/>
        <v>337.09785380666119</v>
      </c>
      <c r="CZ304" s="164" t="b">
        <f t="shared" si="148"/>
        <v>1</v>
      </c>
      <c r="DA304" s="165" t="b">
        <f t="shared" si="148"/>
        <v>1</v>
      </c>
      <c r="DB304" s="166" t="b">
        <f t="shared" si="148"/>
        <v>1</v>
      </c>
      <c r="DC304" s="164">
        <f t="shared" si="149"/>
        <v>6</v>
      </c>
      <c r="DD304" s="166">
        <f t="shared" si="150"/>
        <v>234.00112817752063</v>
      </c>
      <c r="DE304" s="164">
        <f t="shared" si="151"/>
        <v>6</v>
      </c>
      <c r="DF304" s="166">
        <f t="shared" si="152"/>
        <v>357.96211441480244</v>
      </c>
      <c r="DG304" s="164">
        <f t="shared" si="153"/>
        <v>6</v>
      </c>
      <c r="DH304" s="166">
        <f t="shared" si="154"/>
        <v>481.92310065208426</v>
      </c>
      <c r="DI304" s="164">
        <f>IFERROR(INDEX(DC$296:DC$344,_xlfn.AGGREGATE(15,6,(ROW(DC$296:DC$344)-ROW(DC$296)+1)/(DC$296:DC$344&lt;&gt;""),ROWS(DI$1:DI9))),"")</f>
        <v>9</v>
      </c>
      <c r="DJ304" s="165">
        <f>IFERROR(INDEX(DD$296:DD$344,_xlfn.AGGREGATE(15,6,(ROW(DD$296:DD$344)-ROW(DD$296)+1)/(DD$296:DD$344&lt;&gt;""),ROWS(DJ$1:DJ9))),"")</f>
        <v>268.73280120659729</v>
      </c>
      <c r="DK304" s="166">
        <f t="shared" si="155"/>
        <v>304</v>
      </c>
      <c r="DL304" s="164">
        <f>IFERROR(INDEX(DE$296:DE$344,_xlfn.AGGREGATE(15,6,(ROW(DE$296:DE$344)-ROW(DE$296)+1)/(DE$296:DE$344&lt;&gt;""),ROWS(DL$1:DL9))),"")</f>
        <v>9</v>
      </c>
      <c r="DM304" s="165">
        <f>IFERROR(INDEX(DF$296:DF$344,_xlfn.AGGREGATE(15,6,(ROW(DF$296:DF$344)-ROW(DF$296)+1)/(DF$296:DF$344&lt;&gt;""),ROWS(DM$1:DM9))),"")</f>
        <v>399.15233412736495</v>
      </c>
      <c r="DN304" s="166">
        <f t="shared" si="156"/>
        <v>304</v>
      </c>
      <c r="DO304" s="164">
        <f>IFERROR(INDEX(DG$296:DG$344,_xlfn.AGGREGATE(15,6,(ROW(DG$296:DG$344)-ROW(DG$296)+1)/(DG$296:DG$344&lt;&gt;""),ROWS(DO$1:DO9))),"")</f>
        <v>9</v>
      </c>
      <c r="DP304" s="165">
        <f>IFERROR(INDEX(DH$296:DH$344,_xlfn.AGGREGATE(15,6,(ROW(DH$296:DH$344)-ROW(DH$296)+1)/(DH$296:DH$344&lt;&gt;""),ROWS(DP$1:DP9))),"")</f>
        <v>529.57186704813262</v>
      </c>
      <c r="DQ304" s="166">
        <f t="shared" si="157"/>
        <v>304</v>
      </c>
      <c r="DV304" s="145">
        <v>2023</v>
      </c>
      <c r="DW304" s="235">
        <f t="shared" ca="1" si="142"/>
        <v>398.62900292356846</v>
      </c>
      <c r="DZ304" s="135"/>
      <c r="EA304" s="33" t="s">
        <v>86</v>
      </c>
      <c r="EB304" s="33" t="s">
        <v>87</v>
      </c>
      <c r="EC304" s="33"/>
      <c r="ED304" s="33"/>
      <c r="EE304" s="33"/>
    </row>
    <row r="305" spans="1:135" ht="13.8" x14ac:dyDescent="0.45">
      <c r="A305" s="148" t="s">
        <v>80</v>
      </c>
      <c r="B305" s="128">
        <v>2021</v>
      </c>
      <c r="C305" s="244">
        <f>'Total MSW Summaries (Archive)'!G12</f>
        <v>551.94015557608554</v>
      </c>
      <c r="D305" s="244">
        <f>'Total MSW Summaries (Archive)'!S12</f>
        <v>287.23233602513551</v>
      </c>
      <c r="E305" s="244">
        <f>'Total MSW Summaries (Archive)'!AE12</f>
        <v>490.07999999999959</v>
      </c>
      <c r="F305" s="244">
        <f>'Total MSW Summaries (Archive)'!AQ12</f>
        <v>298.51995158261752</v>
      </c>
      <c r="G305" s="244">
        <f>'Total MSW Summaries (Archive)'!BC12</f>
        <v>228.81081081081084</v>
      </c>
      <c r="H305" s="151"/>
      <c r="I305" s="152"/>
      <c r="J305" s="159"/>
      <c r="K305" s="151"/>
      <c r="L305" s="152"/>
      <c r="M305" s="151"/>
      <c r="N305" s="29" t="s">
        <v>119</v>
      </c>
      <c r="O305" s="120"/>
      <c r="P305" s="120"/>
      <c r="Q305" s="120"/>
      <c r="R305" s="29">
        <v>7</v>
      </c>
      <c r="S305" s="196">
        <f t="shared" si="143"/>
        <v>228.81081081081084</v>
      </c>
      <c r="T305" s="196">
        <f t="shared" si="144"/>
        <v>551.94015557608554</v>
      </c>
      <c r="U305" s="196">
        <f t="shared" si="145"/>
        <v>126.02145010269207</v>
      </c>
      <c r="V305" s="20"/>
      <c r="W305" s="238">
        <f t="shared" si="158"/>
        <v>245.29520069623771</v>
      </c>
      <c r="X305" s="238">
        <f t="shared" si="146"/>
        <v>371.3166507989298</v>
      </c>
      <c r="Y305" s="238">
        <f t="shared" si="147"/>
        <v>497.33810090162189</v>
      </c>
      <c r="AA305" s="138"/>
      <c r="AB305" s="138"/>
      <c r="AC305" s="138"/>
      <c r="AD305" s="138"/>
      <c r="AE305" s="138"/>
      <c r="AF305" s="138"/>
      <c r="AG305" s="138"/>
      <c r="AH305" s="138"/>
      <c r="AI305" s="138"/>
      <c r="AJ305" s="138"/>
      <c r="AK305" s="138"/>
      <c r="AL305" s="138"/>
      <c r="AM305" s="138"/>
      <c r="AN305" s="138"/>
      <c r="BR305" s="180">
        <v>2019</v>
      </c>
      <c r="BS305" s="22">
        <v>5</v>
      </c>
      <c r="BT305" s="198">
        <f t="shared" si="159"/>
        <v>77.690697844508875</v>
      </c>
      <c r="BU305" s="276">
        <f t="shared" si="160"/>
        <v>262.1103819006978</v>
      </c>
      <c r="BV305" s="283">
        <f t="shared" si="161"/>
        <v>339.80107974520666</v>
      </c>
      <c r="BY305" s="180">
        <v>2019</v>
      </c>
      <c r="BZ305" s="22">
        <v>5</v>
      </c>
      <c r="CA305" s="198">
        <f t="shared" ca="1" si="162"/>
        <v>2.8951021730843953</v>
      </c>
      <c r="CB305" s="198">
        <f t="shared" ca="1" si="163"/>
        <v>59.162043936768754</v>
      </c>
      <c r="CC305" s="276">
        <f t="shared" ca="1" si="174"/>
        <v>282.49190119921195</v>
      </c>
      <c r="CD305" s="283">
        <f t="shared" ca="1" si="164"/>
        <v>344.54904730906509</v>
      </c>
      <c r="CG305" s="180">
        <v>2019</v>
      </c>
      <c r="CH305" s="22">
        <v>5</v>
      </c>
      <c r="CI305" s="198">
        <f t="shared" ca="1" si="165"/>
        <v>4.997204591986492E-2</v>
      </c>
      <c r="CJ305" s="198">
        <f t="shared" ca="1" si="166"/>
        <v>2.4153705322536934</v>
      </c>
      <c r="CK305" s="198">
        <f t="shared" ca="1" si="167"/>
        <v>60.409745979295963</v>
      </c>
      <c r="CL305" s="276">
        <f t="shared" ca="1" si="168"/>
        <v>281.77422266452913</v>
      </c>
      <c r="CM305" s="283">
        <f t="shared" ca="1" si="169"/>
        <v>344.64931122199863</v>
      </c>
      <c r="CP305" s="180">
        <v>2019</v>
      </c>
      <c r="CQ305" s="22">
        <v>5</v>
      </c>
      <c r="CR305" s="198">
        <f t="shared" ca="1" si="170"/>
        <v>297.31086370130703</v>
      </c>
      <c r="CS305" s="276">
        <f t="shared" ca="1" si="171"/>
        <v>1.1699882795690688</v>
      </c>
      <c r="CT305" s="283">
        <f t="shared" ca="1" si="172"/>
        <v>347.85022591908614</v>
      </c>
      <c r="CZ305" s="164" t="b">
        <f t="shared" si="148"/>
        <v>1</v>
      </c>
      <c r="DA305" s="165" t="b">
        <f t="shared" si="148"/>
        <v>1</v>
      </c>
      <c r="DB305" s="166" t="b">
        <f t="shared" si="148"/>
        <v>1</v>
      </c>
      <c r="DC305" s="164">
        <f t="shared" si="149"/>
        <v>7</v>
      </c>
      <c r="DD305" s="166">
        <f t="shared" si="150"/>
        <v>245.29520069623771</v>
      </c>
      <c r="DE305" s="164">
        <f t="shared" si="151"/>
        <v>7</v>
      </c>
      <c r="DF305" s="166">
        <f t="shared" si="152"/>
        <v>371.3166507989298</v>
      </c>
      <c r="DG305" s="164">
        <f t="shared" si="153"/>
        <v>7</v>
      </c>
      <c r="DH305" s="166">
        <f t="shared" si="154"/>
        <v>497.33810090162189</v>
      </c>
      <c r="DI305" s="164">
        <f>IFERROR(INDEX(DC$296:DC$344,_xlfn.AGGREGATE(15,6,(ROW(DC$296:DC$344)-ROW(DC$296)+1)/(DC$296:DC$344&lt;&gt;""),ROWS(DI$1:DI10))),"")</f>
        <v>10</v>
      </c>
      <c r="DJ305" s="165">
        <f>IFERROR(INDEX(DD$296:DD$344,_xlfn.AGGREGATE(15,6,(ROW(DD$296:DD$344)-ROW(DD$296)+1)/(DD$296:DD$344&lt;&gt;""),ROWS(DJ$1:DJ10))),"")</f>
        <v>280.69750674596446</v>
      </c>
      <c r="DK305" s="166">
        <f t="shared" si="155"/>
        <v>305</v>
      </c>
      <c r="DL305" s="164">
        <f>IFERROR(INDEX(DE$296:DE$344,_xlfn.AGGREGATE(15,6,(ROW(DE$296:DE$344)-ROW(DE$296)+1)/(DE$296:DE$344&lt;&gt;""),ROWS(DL$1:DL10))),"")</f>
        <v>10</v>
      </c>
      <c r="DM305" s="165">
        <f>IFERROR(INDEX(DF$296:DF$344,_xlfn.AGGREGATE(15,6,(ROW(DF$296:DF$344)-ROW(DF$296)+1)/(DF$296:DF$344&lt;&gt;""),ROWS(DM$1:DM10))),"")</f>
        <v>413.39515898355364</v>
      </c>
      <c r="DN305" s="166">
        <f t="shared" si="156"/>
        <v>305</v>
      </c>
      <c r="DO305" s="164">
        <f>IFERROR(INDEX(DG$296:DG$344,_xlfn.AGGREGATE(15,6,(ROW(DG$296:DG$344)-ROW(DG$296)+1)/(DG$296:DG$344&lt;&gt;""),ROWS(DO$1:DO10))),"")</f>
        <v>10</v>
      </c>
      <c r="DP305" s="165">
        <f>IFERROR(INDEX(DH$296:DH$344,_xlfn.AGGREGATE(15,6,(ROW(DH$296:DH$344)-ROW(DH$296)+1)/(DH$296:DH$344&lt;&gt;""),ROWS(DP$1:DP10))),"")</f>
        <v>546.09281122114282</v>
      </c>
      <c r="DQ305" s="166">
        <f t="shared" si="157"/>
        <v>305</v>
      </c>
      <c r="DV305" s="145">
        <v>2024</v>
      </c>
      <c r="DW305" s="235">
        <f t="shared" ca="1" si="142"/>
        <v>412.65497311949474</v>
      </c>
      <c r="DZ305" s="135" t="s">
        <v>92</v>
      </c>
      <c r="EA305" s="33">
        <f t="shared" ref="EA305:EB307" si="175">IF($EA$294="Linear",0,IF($EA$294="2nd Poly",0,IF($EA$294="3rd Poly",0,IF($EA$294="Exp",CR297))))</f>
        <v>0</v>
      </c>
      <c r="EB305" s="33">
        <f t="shared" si="175"/>
        <v>0</v>
      </c>
      <c r="EC305" s="33" t="str">
        <f>IF($EA$294="Linear","N/A",IF($EA$294="2nd Poly","N/A",IF($EA$294="3rd Poly","N/A","High")))</f>
        <v>N/A</v>
      </c>
      <c r="ED305" s="33"/>
      <c r="EE305" s="33"/>
    </row>
    <row r="306" spans="1:135" ht="13.8" x14ac:dyDescent="0.45">
      <c r="A306" s="148" t="s">
        <v>88</v>
      </c>
      <c r="B306" s="128">
        <v>2022</v>
      </c>
      <c r="C306" s="244">
        <f>'Total MSW Summaries (Archive)'!G13</f>
        <v>569.87740054160861</v>
      </c>
      <c r="D306" s="244">
        <f>'Total MSW Summaries (Archive)'!S13</f>
        <v>300.98002625813092</v>
      </c>
      <c r="E306" s="244">
        <f>'Total MSW Summaries (Archive)'!AE13</f>
        <v>503.91999999999956</v>
      </c>
      <c r="F306" s="244">
        <f>'Total MSW Summaries (Archive)'!AQ13</f>
        <v>312.69116981501389</v>
      </c>
      <c r="G306" s="244">
        <f>'Total MSW Summaries (Archive)'!BC13</f>
        <v>238.16216216216219</v>
      </c>
      <c r="H306" s="200"/>
      <c r="I306" s="201"/>
      <c r="J306" s="199"/>
      <c r="K306" s="200"/>
      <c r="L306" s="201"/>
      <c r="M306" s="200"/>
      <c r="N306" s="29" t="s">
        <v>119</v>
      </c>
      <c r="O306" s="120"/>
      <c r="P306" s="120"/>
      <c r="Q306" s="120"/>
      <c r="R306" s="29">
        <v>8</v>
      </c>
      <c r="S306" s="202">
        <f t="shared" si="143"/>
        <v>238.16216216216219</v>
      </c>
      <c r="T306" s="202">
        <f t="shared" si="144"/>
        <v>569.87740054160861</v>
      </c>
      <c r="U306" s="202">
        <f t="shared" si="145"/>
        <v>128.1957983639808</v>
      </c>
      <c r="V306" s="20"/>
      <c r="W306" s="238">
        <f t="shared" si="158"/>
        <v>256.93035339140226</v>
      </c>
      <c r="X306" s="238">
        <f t="shared" si="146"/>
        <v>385.12615175538303</v>
      </c>
      <c r="Y306" s="238">
        <f t="shared" si="147"/>
        <v>513.32195011936381</v>
      </c>
      <c r="AA306" s="120"/>
      <c r="AB306" s="120"/>
      <c r="AC306" s="120"/>
      <c r="AD306" s="120"/>
      <c r="AE306" s="120"/>
      <c r="AF306" s="120"/>
      <c r="AG306" s="120"/>
      <c r="AH306" s="120"/>
      <c r="AI306" s="120"/>
      <c r="AJ306" s="120"/>
      <c r="AK306" s="120"/>
      <c r="AL306" s="120"/>
      <c r="AM306" s="120"/>
      <c r="AN306" s="120"/>
      <c r="BR306" s="180">
        <v>2020</v>
      </c>
      <c r="BS306" s="22">
        <v>6</v>
      </c>
      <c r="BT306" s="198">
        <f t="shared" si="159"/>
        <v>93.228837413410645</v>
      </c>
      <c r="BU306" s="276">
        <f t="shared" si="160"/>
        <v>262.1103819006978</v>
      </c>
      <c r="BV306" s="203">
        <f t="shared" si="161"/>
        <v>355.33921931410845</v>
      </c>
      <c r="BY306" s="180">
        <v>2020</v>
      </c>
      <c r="BZ306" s="22">
        <v>6</v>
      </c>
      <c r="CA306" s="198">
        <f t="shared" ca="1" si="162"/>
        <v>4.1689471292415297</v>
      </c>
      <c r="CB306" s="198">
        <f t="shared" ca="1" si="163"/>
        <v>70.99445272412251</v>
      </c>
      <c r="CC306" s="276">
        <f t="shared" ca="1" si="174"/>
        <v>282.49190119921195</v>
      </c>
      <c r="CD306" s="203">
        <f t="shared" ca="1" si="164"/>
        <v>357.65530105257596</v>
      </c>
      <c r="CG306" s="180">
        <v>2020</v>
      </c>
      <c r="CH306" s="22">
        <v>6</v>
      </c>
      <c r="CI306" s="198">
        <f t="shared" ca="1" si="165"/>
        <v>8.635169534952658E-2</v>
      </c>
      <c r="CJ306" s="198">
        <f t="shared" ca="1" si="166"/>
        <v>3.4781335664453188</v>
      </c>
      <c r="CK306" s="198">
        <f t="shared" ca="1" si="167"/>
        <v>72.491695175155144</v>
      </c>
      <c r="CL306" s="276">
        <f t="shared" ca="1" si="168"/>
        <v>281.77422266452913</v>
      </c>
      <c r="CM306" s="203">
        <f t="shared" ca="1" si="169"/>
        <v>357.83040310147913</v>
      </c>
      <c r="CP306" s="180">
        <v>2020</v>
      </c>
      <c r="CQ306" s="22">
        <v>6</v>
      </c>
      <c r="CR306" s="198">
        <f t="shared" ca="1" si="170"/>
        <v>297.31086370130703</v>
      </c>
      <c r="CS306" s="276">
        <f t="shared" ca="1" si="171"/>
        <v>1.2073072633805699</v>
      </c>
      <c r="CT306" s="203">
        <f t="shared" ca="1" si="172"/>
        <v>358.94556522853861</v>
      </c>
      <c r="CZ306" s="164" t="b">
        <f t="shared" si="148"/>
        <v>1</v>
      </c>
      <c r="DA306" s="165" t="b">
        <f t="shared" si="148"/>
        <v>1</v>
      </c>
      <c r="DB306" s="166" t="b">
        <f t="shared" si="148"/>
        <v>1</v>
      </c>
      <c r="DC306" s="164">
        <f t="shared" si="149"/>
        <v>8</v>
      </c>
      <c r="DD306" s="166">
        <f t="shared" si="150"/>
        <v>256.93035339140226</v>
      </c>
      <c r="DE306" s="164">
        <f t="shared" si="151"/>
        <v>8</v>
      </c>
      <c r="DF306" s="166">
        <f t="shared" si="152"/>
        <v>385.12615175538303</v>
      </c>
      <c r="DG306" s="164">
        <f t="shared" si="153"/>
        <v>8</v>
      </c>
      <c r="DH306" s="166">
        <f t="shared" si="154"/>
        <v>513.32195011936381</v>
      </c>
      <c r="DI306" s="164">
        <f>IFERROR(INDEX(DC$296:DC$344,_xlfn.AGGREGATE(15,6,(ROW(DC$296:DC$344)-ROW(DC$296)+1)/(DC$296:DC$344&lt;&gt;""),ROWS(DI$1:DI11))),"")</f>
        <v>11</v>
      </c>
      <c r="DJ306" s="165">
        <f>IFERROR(INDEX(DD$296:DD$344,_xlfn.AGGREGATE(15,6,(ROW(DD$296:DD$344)-ROW(DD$296)+1)/(DD$296:DD$344&lt;&gt;""),ROWS(DJ$1:DJ11))),"")</f>
        <v>290.86469631595071</v>
      </c>
      <c r="DK306" s="166">
        <f t="shared" si="155"/>
        <v>306</v>
      </c>
      <c r="DL306" s="164">
        <f>IFERROR(INDEX(DE$296:DE$344,_xlfn.AGGREGATE(15,6,(ROW(DE$296:DE$344)-ROW(DE$296)+1)/(DE$296:DE$344&lt;&gt;""),ROWS(DL$1:DL11))),"")</f>
        <v>11</v>
      </c>
      <c r="DM306" s="165">
        <f>IFERROR(INDEX(DF$296:DF$344,_xlfn.AGGREGATE(15,6,(ROW(DF$296:DF$344)-ROW(DF$296)+1)/(DF$296:DF$344&lt;&gt;""),ROWS(DM$1:DM11))),"")</f>
        <v>426.59145522874985</v>
      </c>
      <c r="DN306" s="166">
        <f t="shared" si="156"/>
        <v>306</v>
      </c>
      <c r="DO306" s="164">
        <f>IFERROR(INDEX(DG$296:DG$344,_xlfn.AGGREGATE(15,6,(ROW(DG$296:DG$344)-ROW(DG$296)+1)/(DG$296:DG$344&lt;&gt;""),ROWS(DO$1:DO11))),"")</f>
        <v>11</v>
      </c>
      <c r="DP306" s="165">
        <f>IFERROR(INDEX(DH$296:DH$344,_xlfn.AGGREGATE(15,6,(ROW(DH$296:DH$344)-ROW(DH$296)+1)/(DH$296:DH$344&lt;&gt;""),ROWS(DP$1:DP11))),"")</f>
        <v>562.31821414154899</v>
      </c>
      <c r="DQ306" s="166">
        <f t="shared" si="157"/>
        <v>306</v>
      </c>
      <c r="DV306" s="145">
        <v>2025</v>
      </c>
      <c r="DW306" s="235">
        <f t="shared" ca="1" si="142"/>
        <v>426.8981595400428</v>
      </c>
      <c r="DZ306" s="135" t="s">
        <v>92</v>
      </c>
      <c r="EA306" s="33">
        <f t="shared" si="175"/>
        <v>0</v>
      </c>
      <c r="EB306" s="33">
        <f t="shared" si="175"/>
        <v>0</v>
      </c>
      <c r="EC306" s="33" t="str">
        <f>IF($EA$294="Linear","N/A",IF($EA$294="2nd Poly","N/A",IF($EA$294="3rd Poly","N/A","Medium")))</f>
        <v>N/A</v>
      </c>
    </row>
    <row r="307" spans="1:135" ht="13.8" x14ac:dyDescent="0.45">
      <c r="B307" s="128">
        <v>2023</v>
      </c>
      <c r="C307" s="244">
        <f>'Total MSW Summaries (Archive)'!G14</f>
        <v>588.20821948396247</v>
      </c>
      <c r="D307" s="244">
        <f>'Total MSW Summaries (Archive)'!S14</f>
        <v>315.21643753868256</v>
      </c>
      <c r="E307" s="244">
        <f>'Total MSW Summaries (Archive)'!AE14</f>
        <v>517.75999999999954</v>
      </c>
      <c r="F307" s="244">
        <f>'Total MSW Summaries (Archive)'!AQ14</f>
        <v>327.06350010066643</v>
      </c>
      <c r="G307" s="244">
        <f>'Total MSW Summaries (Archive)'!BC14</f>
        <v>247.51351351351354</v>
      </c>
      <c r="H307" s="200"/>
      <c r="I307" s="201"/>
      <c r="J307" s="199"/>
      <c r="K307" s="200"/>
      <c r="L307" s="201"/>
      <c r="M307" s="200"/>
      <c r="N307" s="29" t="s">
        <v>119</v>
      </c>
      <c r="O307" s="120"/>
      <c r="P307" s="120"/>
      <c r="Q307" s="120"/>
      <c r="R307" s="29">
        <v>9</v>
      </c>
      <c r="S307" s="202">
        <f t="shared" si="143"/>
        <v>247.51351351351354</v>
      </c>
      <c r="T307" s="202">
        <f t="shared" si="144"/>
        <v>588.20821948396247</v>
      </c>
      <c r="U307" s="202">
        <f t="shared" si="145"/>
        <v>130.41953292076764</v>
      </c>
      <c r="V307" s="20"/>
      <c r="W307" s="238">
        <f t="shared" si="158"/>
        <v>268.73280120659729</v>
      </c>
      <c r="X307" s="238">
        <f t="shared" si="146"/>
        <v>399.15233412736495</v>
      </c>
      <c r="Y307" s="238">
        <f t="shared" si="147"/>
        <v>529.57186704813262</v>
      </c>
      <c r="AA307" s="120"/>
      <c r="AB307" s="120"/>
      <c r="AC307" s="120"/>
      <c r="AD307" s="120"/>
      <c r="AE307" s="120"/>
      <c r="AF307" s="120"/>
      <c r="AG307" s="120"/>
      <c r="AH307" s="120"/>
      <c r="AI307" s="120"/>
      <c r="AJ307" s="120"/>
      <c r="AK307" s="120"/>
      <c r="AL307" s="120"/>
      <c r="AM307" s="120"/>
      <c r="AN307" s="120"/>
      <c r="BR307" s="180">
        <v>2021</v>
      </c>
      <c r="BS307" s="22">
        <v>7</v>
      </c>
      <c r="BT307" s="198">
        <f t="shared" si="159"/>
        <v>108.76697698231243</v>
      </c>
      <c r="BU307" s="276">
        <f t="shared" si="160"/>
        <v>262.1103819006978</v>
      </c>
      <c r="BV307" s="205">
        <f t="shared" si="161"/>
        <v>370.87735888301023</v>
      </c>
      <c r="BY307" s="180">
        <v>2021</v>
      </c>
      <c r="BZ307" s="22">
        <v>7</v>
      </c>
      <c r="CA307" s="198">
        <f t="shared" ca="1" si="162"/>
        <v>5.6744002592454148</v>
      </c>
      <c r="CB307" s="198">
        <f t="shared" ca="1" si="163"/>
        <v>82.826861511476253</v>
      </c>
      <c r="CC307" s="276">
        <f t="shared" ca="1" si="174"/>
        <v>282.49190119921195</v>
      </c>
      <c r="CD307" s="205">
        <f t="shared" ca="1" si="164"/>
        <v>370.99316296993362</v>
      </c>
      <c r="CG307" s="180">
        <v>2021</v>
      </c>
      <c r="CH307" s="22">
        <v>7</v>
      </c>
      <c r="CI307" s="198">
        <f t="shared" ca="1" si="165"/>
        <v>0.13712329400410933</v>
      </c>
      <c r="CJ307" s="198">
        <f t="shared" ca="1" si="166"/>
        <v>4.7341262432172391</v>
      </c>
      <c r="CK307" s="198">
        <f t="shared" ca="1" si="167"/>
        <v>84.573644371014339</v>
      </c>
      <c r="CL307" s="276">
        <f t="shared" ca="1" si="168"/>
        <v>281.77422266452913</v>
      </c>
      <c r="CM307" s="205">
        <f t="shared" ca="1" si="169"/>
        <v>371.21911657276485</v>
      </c>
      <c r="CP307" s="180">
        <v>2021</v>
      </c>
      <c r="CQ307" s="22">
        <v>7</v>
      </c>
      <c r="CR307" s="198">
        <f t="shared" ca="1" si="170"/>
        <v>297.31086370130703</v>
      </c>
      <c r="CS307" s="276">
        <f t="shared" ca="1" si="171"/>
        <v>1.2458166065974112</v>
      </c>
      <c r="CT307" s="205">
        <f t="shared" ca="1" si="172"/>
        <v>370.39481132090776</v>
      </c>
      <c r="CZ307" s="164" t="b">
        <f t="shared" si="148"/>
        <v>1</v>
      </c>
      <c r="DA307" s="165" t="b">
        <f t="shared" si="148"/>
        <v>1</v>
      </c>
      <c r="DB307" s="166" t="b">
        <f t="shared" si="148"/>
        <v>1</v>
      </c>
      <c r="DC307" s="164">
        <f t="shared" si="149"/>
        <v>9</v>
      </c>
      <c r="DD307" s="166">
        <f t="shared" si="150"/>
        <v>268.73280120659729</v>
      </c>
      <c r="DE307" s="164">
        <f t="shared" si="151"/>
        <v>9</v>
      </c>
      <c r="DF307" s="166">
        <f t="shared" si="152"/>
        <v>399.15233412736495</v>
      </c>
      <c r="DG307" s="164">
        <f t="shared" si="153"/>
        <v>9</v>
      </c>
      <c r="DH307" s="166">
        <f t="shared" si="154"/>
        <v>529.57186704813262</v>
      </c>
      <c r="DI307" s="164">
        <f>IFERROR(INDEX(DC$296:DC$344,_xlfn.AGGREGATE(15,6,(ROW(DC$296:DC$344)-ROW(DC$296)+1)/(DC$296:DC$344&lt;&gt;""),ROWS(DI$1:DI12))),"")</f>
        <v>12</v>
      </c>
      <c r="DJ307" s="165">
        <f>IFERROR(INDEX(DD$296:DD$344,_xlfn.AGGREGATE(15,6,(ROW(DD$296:DD$344)-ROW(DD$296)+1)/(DD$296:DD$344&lt;&gt;""),ROWS(DJ$1:DJ12))),"")</f>
        <v>302.12576964897698</v>
      </c>
      <c r="DK307" s="166">
        <f t="shared" si="155"/>
        <v>307</v>
      </c>
      <c r="DL307" s="164">
        <f>IFERROR(INDEX(DE$296:DE$344,_xlfn.AGGREGATE(15,6,(ROW(DE$296:DE$344)-ROW(DE$296)+1)/(DE$296:DE$344&lt;&gt;""),ROWS(DL$1:DL12))),"")</f>
        <v>12</v>
      </c>
      <c r="DM307" s="165">
        <f>IFERROR(INDEX(DF$296:DF$344,_xlfn.AGGREGATE(15,6,(ROW(DF$296:DF$344)-ROW(DF$296)+1)/(DF$296:DF$344&lt;&gt;""),ROWS(DM$1:DM12))),"")</f>
        <v>440.61205516261572</v>
      </c>
      <c r="DN307" s="166">
        <f t="shared" si="156"/>
        <v>307</v>
      </c>
      <c r="DO307" s="164">
        <f>IFERROR(INDEX(DG$296:DG$344,_xlfn.AGGREGATE(15,6,(ROW(DG$296:DG$344)-ROW(DG$296)+1)/(DG$296:DG$344&lt;&gt;""),ROWS(DO$1:DO12))),"")</f>
        <v>12</v>
      </c>
      <c r="DP307" s="165">
        <f>IFERROR(INDEX(DH$296:DH$344,_xlfn.AGGREGATE(15,6,(ROW(DH$296:DH$344)-ROW(DH$296)+1)/(DH$296:DH$344&lt;&gt;""),ROWS(DP$1:DP12))),"")</f>
        <v>579.09834067625445</v>
      </c>
      <c r="DQ307" s="166">
        <f t="shared" si="157"/>
        <v>307</v>
      </c>
      <c r="DV307" s="145">
        <v>2026</v>
      </c>
      <c r="DW307" s="235">
        <f t="shared" ca="1" si="142"/>
        <v>441.36096084341693</v>
      </c>
      <c r="DZ307" s="135" t="s">
        <v>92</v>
      </c>
      <c r="EA307" s="33">
        <f t="shared" si="175"/>
        <v>0</v>
      </c>
      <c r="EB307" s="33">
        <f t="shared" si="175"/>
        <v>0</v>
      </c>
      <c r="EC307" s="33" t="str">
        <f>IF($EA$294="Linear","N/A",IF($EA$294="2nd Poly","N/A",IF($EA$294="3rd Poly","N/A","Low")))</f>
        <v>N/A</v>
      </c>
    </row>
    <row r="308" spans="1:135" ht="13.8" x14ac:dyDescent="0.45">
      <c r="B308" s="128">
        <v>2024</v>
      </c>
      <c r="C308" s="244">
        <f>'Total MSW Summaries (Archive)'!G15</f>
        <v>606.93051518797165</v>
      </c>
      <c r="D308" s="244">
        <f>'Total MSW Summaries (Archive)'!S15</f>
        <v>329.94957311031419</v>
      </c>
      <c r="E308" s="244">
        <f>'Total MSW Summaries (Archive)'!AE15</f>
        <v>531.59999999999957</v>
      </c>
      <c r="F308" s="244">
        <f>'Total MSW Summaries (Archive)'!AQ15</f>
        <v>341.63084175461802</v>
      </c>
      <c r="G308" s="244">
        <f>'Total MSW Summaries (Archive)'!BC15</f>
        <v>256.8648648648649</v>
      </c>
      <c r="H308" s="245"/>
      <c r="I308" s="246"/>
      <c r="J308" s="247"/>
      <c r="K308" s="245"/>
      <c r="L308" s="246"/>
      <c r="M308" s="245"/>
      <c r="N308" s="29" t="s">
        <v>119</v>
      </c>
      <c r="O308" s="120"/>
      <c r="P308" s="120"/>
      <c r="Q308" s="120"/>
      <c r="R308" s="29">
        <v>10</v>
      </c>
      <c r="S308" s="238">
        <f t="shared" si="143"/>
        <v>256.8648648648649</v>
      </c>
      <c r="T308" s="238">
        <f t="shared" si="144"/>
        <v>606.93051518797165</v>
      </c>
      <c r="U308" s="238">
        <f t="shared" si="145"/>
        <v>132.69765223758915</v>
      </c>
      <c r="V308" s="20"/>
      <c r="W308" s="238">
        <f t="shared" si="158"/>
        <v>280.69750674596446</v>
      </c>
      <c r="X308" s="238">
        <f t="shared" si="146"/>
        <v>413.39515898355364</v>
      </c>
      <c r="Y308" s="238">
        <f t="shared" si="147"/>
        <v>546.09281122114282</v>
      </c>
      <c r="AA308" s="120"/>
      <c r="AB308" s="120"/>
      <c r="AC308" s="120"/>
      <c r="AD308" s="120"/>
      <c r="AE308" s="120"/>
      <c r="AF308" s="120"/>
      <c r="AG308" s="120"/>
      <c r="AH308" s="120"/>
      <c r="AI308" s="120"/>
      <c r="AJ308" s="120"/>
      <c r="AK308" s="120"/>
      <c r="AL308" s="120"/>
      <c r="AM308" s="120"/>
      <c r="AN308" s="120"/>
      <c r="BR308" s="180">
        <v>2022</v>
      </c>
      <c r="BS308" s="22">
        <v>8</v>
      </c>
      <c r="BT308" s="198">
        <f t="shared" si="159"/>
        <v>124.3051165512142</v>
      </c>
      <c r="BU308" s="276">
        <f t="shared" si="160"/>
        <v>262.1103819006978</v>
      </c>
      <c r="BV308" s="205">
        <f t="shared" si="161"/>
        <v>386.41549845191201</v>
      </c>
      <c r="BY308" s="180">
        <v>2022</v>
      </c>
      <c r="BZ308" s="22">
        <v>8</v>
      </c>
      <c r="CA308" s="198">
        <f t="shared" ca="1" si="162"/>
        <v>7.4114615630960525</v>
      </c>
      <c r="CB308" s="198">
        <f t="shared" ca="1" si="163"/>
        <v>94.659270298830009</v>
      </c>
      <c r="CC308" s="276">
        <f t="shared" ca="1" si="174"/>
        <v>282.49190119921195</v>
      </c>
      <c r="CD308" s="205">
        <f t="shared" ca="1" si="164"/>
        <v>384.562633061138</v>
      </c>
      <c r="CG308" s="180">
        <v>2022</v>
      </c>
      <c r="CH308" s="22">
        <v>8</v>
      </c>
      <c r="CI308" s="198">
        <f t="shared" ca="1" si="165"/>
        <v>0.2046855000877667</v>
      </c>
      <c r="CJ308" s="198">
        <f t="shared" ca="1" si="166"/>
        <v>6.1833485625694555</v>
      </c>
      <c r="CK308" s="198">
        <f t="shared" ca="1" si="167"/>
        <v>96.655593566873534</v>
      </c>
      <c r="CL308" s="276">
        <f t="shared" ca="1" si="168"/>
        <v>281.77422266452913</v>
      </c>
      <c r="CM308" s="205">
        <f t="shared" ca="1" si="169"/>
        <v>384.81785029405989</v>
      </c>
      <c r="CP308" s="180">
        <v>2022</v>
      </c>
      <c r="CQ308" s="22">
        <v>8</v>
      </c>
      <c r="CR308" s="198">
        <f t="shared" ca="1" si="170"/>
        <v>297.31086370130703</v>
      </c>
      <c r="CS308" s="276">
        <f t="shared" ca="1" si="171"/>
        <v>1.2855542779788991</v>
      </c>
      <c r="CT308" s="205">
        <f t="shared" ca="1" si="172"/>
        <v>382.20925272081661</v>
      </c>
      <c r="CZ308" s="164" t="b">
        <f t="shared" si="148"/>
        <v>1</v>
      </c>
      <c r="DA308" s="165" t="b">
        <f t="shared" si="148"/>
        <v>1</v>
      </c>
      <c r="DB308" s="166" t="b">
        <f t="shared" si="148"/>
        <v>1</v>
      </c>
      <c r="DC308" s="164">
        <f t="shared" si="149"/>
        <v>10</v>
      </c>
      <c r="DD308" s="166">
        <f t="shared" si="150"/>
        <v>280.69750674596446</v>
      </c>
      <c r="DE308" s="164">
        <f t="shared" si="151"/>
        <v>10</v>
      </c>
      <c r="DF308" s="166">
        <f t="shared" si="152"/>
        <v>413.39515898355364</v>
      </c>
      <c r="DG308" s="164">
        <f t="shared" si="153"/>
        <v>10</v>
      </c>
      <c r="DH308" s="166">
        <f t="shared" si="154"/>
        <v>546.09281122114282</v>
      </c>
      <c r="DI308" s="164">
        <f>IFERROR(INDEX(DC$296:DC$344,_xlfn.AGGREGATE(15,6,(ROW(DC$296:DC$344)-ROW(DC$296)+1)/(DC$296:DC$344&lt;&gt;""),ROWS(DI$1:DI13))),"")</f>
        <v>13</v>
      </c>
      <c r="DJ308" s="165">
        <f>IFERROR(INDEX(DD$296:DD$344,_xlfn.AGGREGATE(15,6,(ROW(DD$296:DD$344)-ROW(DD$296)+1)/(DD$296:DD$344&lt;&gt;""),ROWS(DJ$1:DJ13))),"")</f>
        <v>314.46911822504762</v>
      </c>
      <c r="DK308" s="166">
        <f t="shared" si="155"/>
        <v>308</v>
      </c>
      <c r="DL308" s="164">
        <f>IFERROR(INDEX(DE$296:DE$344,_xlfn.AGGREGATE(15,6,(ROW(DE$296:DE$344)-ROW(DE$296)+1)/(DE$296:DE$344&lt;&gt;""),ROWS(DL$1:DL13))),"")</f>
        <v>13</v>
      </c>
      <c r="DM308" s="165">
        <f>IFERROR(INDEX(DF$296:DF$344,_xlfn.AGGREGATE(15,6,(ROW(DF$296:DF$344)-ROW(DF$296)+1)/(DF$296:DF$344&lt;&gt;""),ROWS(DM$1:DM13))),"")</f>
        <v>455.44861510576737</v>
      </c>
      <c r="DN308" s="166">
        <f t="shared" si="156"/>
        <v>308</v>
      </c>
      <c r="DO308" s="164">
        <f>IFERROR(INDEX(DG$296:DG$344,_xlfn.AGGREGATE(15,6,(ROW(DG$296:DG$344)-ROW(DG$296)+1)/(DG$296:DG$344&lt;&gt;""),ROWS(DO$1:DO13))),"")</f>
        <v>13</v>
      </c>
      <c r="DP308" s="165">
        <f>IFERROR(INDEX(DH$296:DH$344,_xlfn.AGGREGATE(15,6,(ROW(DH$296:DH$344)-ROW(DH$296)+1)/(DH$296:DH$344&lt;&gt;""),ROWS(DP$1:DP13))),"")</f>
        <v>596.42811198648712</v>
      </c>
      <c r="DQ308" s="166">
        <f t="shared" si="157"/>
        <v>308</v>
      </c>
      <c r="DV308" s="145">
        <v>2027</v>
      </c>
      <c r="DW308" s="235">
        <f t="shared" ca="1" si="142"/>
        <v>456.04577568782111</v>
      </c>
    </row>
    <row r="309" spans="1:135" ht="13.8" x14ac:dyDescent="0.45">
      <c r="B309" s="128">
        <v>2025</v>
      </c>
      <c r="C309" s="244">
        <f>'Total MSW Summaries (Archive)'!G16</f>
        <v>626.04410615821439</v>
      </c>
      <c r="D309" s="244">
        <f>'Total MSW Summaries (Archive)'!S16</f>
        <v>345.18842754449463</v>
      </c>
      <c r="E309" s="244">
        <f>'Total MSW Summaries (Archive)'!AE16</f>
        <v>545.4399999999996</v>
      </c>
      <c r="F309" s="244">
        <f>'Total MSW Summaries (Archive)'!AQ16</f>
        <v>350.06852622482461</v>
      </c>
      <c r="G309" s="244">
        <f>'Total MSW Summaries (Archive)'!BC16</f>
        <v>266.21621621621625</v>
      </c>
      <c r="H309" s="245"/>
      <c r="I309" s="246"/>
      <c r="J309" s="247"/>
      <c r="K309" s="245"/>
      <c r="L309" s="246"/>
      <c r="M309" s="245"/>
      <c r="N309" s="29" t="s">
        <v>119</v>
      </c>
      <c r="O309" s="120"/>
      <c r="P309" s="120"/>
      <c r="Q309" s="120"/>
      <c r="R309" s="29">
        <v>11</v>
      </c>
      <c r="S309" s="238">
        <f t="shared" si="143"/>
        <v>266.21621621621625</v>
      </c>
      <c r="T309" s="238">
        <f t="shared" si="144"/>
        <v>626.04410615821439</v>
      </c>
      <c r="U309" s="238">
        <f t="shared" si="145"/>
        <v>135.72675891279914</v>
      </c>
      <c r="W309" s="238">
        <f t="shared" si="158"/>
        <v>290.86469631595071</v>
      </c>
      <c r="X309" s="238">
        <f t="shared" si="146"/>
        <v>426.59145522874985</v>
      </c>
      <c r="Y309" s="238">
        <f t="shared" si="147"/>
        <v>562.31821414154899</v>
      </c>
      <c r="AA309" s="120"/>
      <c r="AB309" s="120"/>
      <c r="AC309" s="120"/>
      <c r="AD309" s="120"/>
      <c r="AE309" s="120"/>
      <c r="AF309" s="120"/>
      <c r="AG309" s="120"/>
      <c r="AH309" s="120"/>
      <c r="AI309" s="120"/>
      <c r="AJ309" s="120"/>
      <c r="AK309" s="120"/>
      <c r="AL309" s="120"/>
      <c r="AM309" s="120"/>
      <c r="AN309" s="120"/>
      <c r="BR309" s="180">
        <v>2023</v>
      </c>
      <c r="BS309" s="22">
        <v>9</v>
      </c>
      <c r="BT309" s="198">
        <f t="shared" si="159"/>
        <v>139.84325612011597</v>
      </c>
      <c r="BU309" s="276">
        <f t="shared" si="160"/>
        <v>262.1103819006978</v>
      </c>
      <c r="BV309" s="205">
        <f t="shared" si="161"/>
        <v>401.95363802081374</v>
      </c>
      <c r="BY309" s="180">
        <v>2023</v>
      </c>
      <c r="BZ309" s="22">
        <v>9</v>
      </c>
      <c r="CA309" s="198">
        <f t="shared" ca="1" si="162"/>
        <v>9.380131040793442</v>
      </c>
      <c r="CB309" s="198">
        <f t="shared" ca="1" si="163"/>
        <v>106.49167908618377</v>
      </c>
      <c r="CC309" s="276">
        <f t="shared" ca="1" si="174"/>
        <v>282.49190119921195</v>
      </c>
      <c r="CD309" s="205">
        <f t="shared" ca="1" si="164"/>
        <v>398.36371132618916</v>
      </c>
      <c r="CG309" s="180">
        <v>2023</v>
      </c>
      <c r="CH309" s="22">
        <v>9</v>
      </c>
      <c r="CI309" s="198">
        <f t="shared" ca="1" si="165"/>
        <v>0.29143697180465222</v>
      </c>
      <c r="CJ309" s="198">
        <f t="shared" ca="1" si="166"/>
        <v>7.8258005245019673</v>
      </c>
      <c r="CK309" s="198">
        <f t="shared" ca="1" si="167"/>
        <v>108.73754276273273</v>
      </c>
      <c r="CL309" s="276">
        <f t="shared" ca="1" si="168"/>
        <v>281.77422266452913</v>
      </c>
      <c r="CM309" s="205">
        <f t="shared" ca="1" si="169"/>
        <v>398.62900292356846</v>
      </c>
      <c r="CP309" s="180">
        <v>2023</v>
      </c>
      <c r="CQ309" s="22">
        <v>9</v>
      </c>
      <c r="CR309" s="198">
        <f t="shared" ca="1" si="170"/>
        <v>297.31086370130703</v>
      </c>
      <c r="CS309" s="276">
        <f t="shared" ca="1" si="171"/>
        <v>1.3265594573695598</v>
      </c>
      <c r="CT309" s="205">
        <f t="shared" ca="1" si="172"/>
        <v>394.40053802168103</v>
      </c>
      <c r="CZ309" s="164" t="b">
        <f t="shared" si="148"/>
        <v>1</v>
      </c>
      <c r="DA309" s="165" t="b">
        <f t="shared" si="148"/>
        <v>1</v>
      </c>
      <c r="DB309" s="166" t="b">
        <f t="shared" si="148"/>
        <v>1</v>
      </c>
      <c r="DC309" s="164">
        <f t="shared" si="149"/>
        <v>11</v>
      </c>
      <c r="DD309" s="166">
        <f t="shared" si="150"/>
        <v>290.86469631595071</v>
      </c>
      <c r="DE309" s="164">
        <f t="shared" si="151"/>
        <v>11</v>
      </c>
      <c r="DF309" s="166">
        <f t="shared" si="152"/>
        <v>426.59145522874985</v>
      </c>
      <c r="DG309" s="164">
        <f t="shared" si="153"/>
        <v>11</v>
      </c>
      <c r="DH309" s="166">
        <f t="shared" si="154"/>
        <v>562.31821414154899</v>
      </c>
      <c r="DI309" s="164">
        <f>IFERROR(INDEX(DC$296:DC$344,_xlfn.AGGREGATE(15,6,(ROW(DC$296:DC$344)-ROW(DC$296)+1)/(DC$296:DC$344&lt;&gt;""),ROWS(DI$1:DI14))),"")</f>
        <v>14</v>
      </c>
      <c r="DJ309" s="165">
        <f>IFERROR(INDEX(DD$296:DD$344,_xlfn.AGGREGATE(15,6,(ROW(DD$296:DD$344)-ROW(DD$296)+1)/(DD$296:DD$344&lt;&gt;""),ROWS(DJ$1:DJ14))),"")</f>
        <v>326.95929690345145</v>
      </c>
      <c r="DK309" s="166">
        <f t="shared" si="155"/>
        <v>309</v>
      </c>
      <c r="DL309" s="164">
        <f>IFERROR(INDEX(DE$296:DE$344,_xlfn.AGGREGATE(15,6,(ROW(DE$296:DE$344)-ROW(DE$296)+1)/(DE$296:DE$344&lt;&gt;""),ROWS(DL$1:DL14))),"")</f>
        <v>14</v>
      </c>
      <c r="DM309" s="165">
        <f>IFERROR(INDEX(DF$296:DF$344,_xlfn.AGGREGATE(15,6,(ROW(DF$296:DF$344)-ROW(DF$296)+1)/(DF$296:DF$344&lt;&gt;""),ROWS(DM$1:DM14))),"")</f>
        <v>470.51389423592889</v>
      </c>
      <c r="DN309" s="166">
        <f t="shared" si="156"/>
        <v>309</v>
      </c>
      <c r="DO309" s="164">
        <f>IFERROR(INDEX(DG$296:DG$344,_xlfn.AGGREGATE(15,6,(ROW(DG$296:DG$344)-ROW(DG$296)+1)/(DG$296:DG$344&lt;&gt;""),ROWS(DO$1:DO14))),"")</f>
        <v>14</v>
      </c>
      <c r="DP309" s="165">
        <f>IFERROR(INDEX(DH$296:DH$344,_xlfn.AGGREGATE(15,6,(ROW(DH$296:DH$344)-ROW(DH$296)+1)/(DH$296:DH$344&lt;&gt;""),ROWS(DP$1:DP14))),"")</f>
        <v>614.06849156840633</v>
      </c>
      <c r="DQ309" s="166">
        <f t="shared" si="157"/>
        <v>309</v>
      </c>
      <c r="DV309" s="145">
        <v>2028</v>
      </c>
      <c r="DW309" s="235">
        <f t="shared" ca="1" si="142"/>
        <v>470.95500273145967</v>
      </c>
    </row>
    <row r="310" spans="1:135" ht="13.8" x14ac:dyDescent="0.45">
      <c r="B310" s="128">
        <v>2026</v>
      </c>
      <c r="C310" s="244">
        <f>'Total MSW Summaries (Archive)'!G17</f>
        <v>645.54959391576642</v>
      </c>
      <c r="D310" s="244">
        <f>'Total MSW Summaries (Archive)'!S17</f>
        <v>360.94242759428505</v>
      </c>
      <c r="E310" s="244">
        <f>'Total MSW Summaries (Archive)'!AE17</f>
        <v>559.27999999999963</v>
      </c>
      <c r="F310" s="244">
        <f>'Total MSW Summaries (Archive)'!AQ17</f>
        <v>361.72068673545971</v>
      </c>
      <c r="G310" s="244">
        <f>'Total MSW Summaries (Archive)'!BC17</f>
        <v>275.56756756756761</v>
      </c>
      <c r="H310" s="245"/>
      <c r="I310" s="246"/>
      <c r="J310" s="247"/>
      <c r="K310" s="245"/>
      <c r="L310" s="246"/>
      <c r="M310" s="245"/>
      <c r="N310" s="29" t="s">
        <v>119</v>
      </c>
      <c r="O310" s="120"/>
      <c r="P310" s="120"/>
      <c r="Q310" s="120"/>
      <c r="R310" s="29">
        <v>12</v>
      </c>
      <c r="S310" s="238">
        <f t="shared" si="143"/>
        <v>275.56756756756761</v>
      </c>
      <c r="T310" s="238">
        <f t="shared" si="144"/>
        <v>645.54959391576642</v>
      </c>
      <c r="U310" s="238">
        <f t="shared" si="145"/>
        <v>138.48628551363871</v>
      </c>
      <c r="W310" s="238">
        <f t="shared" si="158"/>
        <v>302.12576964897698</v>
      </c>
      <c r="X310" s="238">
        <f t="shared" si="146"/>
        <v>440.61205516261572</v>
      </c>
      <c r="Y310" s="238">
        <f t="shared" si="147"/>
        <v>579.09834067625445</v>
      </c>
      <c r="AA310" s="120"/>
      <c r="AB310" s="120"/>
      <c r="AC310" s="120"/>
      <c r="AD310" s="120"/>
      <c r="AE310" s="120"/>
      <c r="AF310" s="120"/>
      <c r="AG310" s="120"/>
      <c r="AH310" s="120"/>
      <c r="AI310" s="120"/>
      <c r="AJ310" s="120"/>
      <c r="AK310" s="120"/>
      <c r="AL310" s="120"/>
      <c r="AM310" s="120"/>
      <c r="AN310" s="120"/>
      <c r="BR310" s="180">
        <v>2024</v>
      </c>
      <c r="BS310" s="22">
        <v>10</v>
      </c>
      <c r="BT310" s="198">
        <f t="shared" si="159"/>
        <v>155.38139568901775</v>
      </c>
      <c r="BU310" s="276">
        <f t="shared" si="160"/>
        <v>262.1103819006978</v>
      </c>
      <c r="BV310" s="205">
        <f t="shared" si="161"/>
        <v>417.49177758971553</v>
      </c>
      <c r="BY310" s="180">
        <v>2024</v>
      </c>
      <c r="BZ310" s="22">
        <v>10</v>
      </c>
      <c r="CA310" s="198">
        <f t="shared" ca="1" si="162"/>
        <v>11.580408692337581</v>
      </c>
      <c r="CB310" s="198">
        <f t="shared" ca="1" si="163"/>
        <v>118.32408787353751</v>
      </c>
      <c r="CC310" s="276">
        <f t="shared" ca="1" si="174"/>
        <v>282.49190119921195</v>
      </c>
      <c r="CD310" s="205">
        <f t="shared" ca="1" si="164"/>
        <v>412.39639776508704</v>
      </c>
      <c r="CG310" s="180">
        <v>2024</v>
      </c>
      <c r="CH310" s="22">
        <v>10</v>
      </c>
      <c r="CI310" s="198">
        <f t="shared" ca="1" si="165"/>
        <v>0.39977636735891936</v>
      </c>
      <c r="CJ310" s="198">
        <f t="shared" ca="1" si="166"/>
        <v>9.6614821290147734</v>
      </c>
      <c r="CK310" s="198">
        <f t="shared" ca="1" si="167"/>
        <v>120.81949195859193</v>
      </c>
      <c r="CL310" s="276">
        <f t="shared" ca="1" si="168"/>
        <v>281.77422266452913</v>
      </c>
      <c r="CM310" s="205">
        <f t="shared" ca="1" si="169"/>
        <v>412.65497311949474</v>
      </c>
      <c r="CP310" s="180">
        <v>2024</v>
      </c>
      <c r="CQ310" s="22">
        <v>10</v>
      </c>
      <c r="CR310" s="198">
        <f t="shared" ca="1" si="170"/>
        <v>297.31086370130703</v>
      </c>
      <c r="CS310" s="276">
        <f t="shared" ca="1" si="171"/>
        <v>1.3688725743289898</v>
      </c>
      <c r="CT310" s="205">
        <f t="shared" ca="1" si="172"/>
        <v>406.98068737078358</v>
      </c>
      <c r="CZ310" s="164" t="b">
        <f t="shared" si="148"/>
        <v>1</v>
      </c>
      <c r="DA310" s="165" t="b">
        <f t="shared" si="148"/>
        <v>1</v>
      </c>
      <c r="DB310" s="166" t="b">
        <f t="shared" si="148"/>
        <v>1</v>
      </c>
      <c r="DC310" s="164">
        <f t="shared" si="149"/>
        <v>12</v>
      </c>
      <c r="DD310" s="166">
        <f t="shared" si="150"/>
        <v>302.12576964897698</v>
      </c>
      <c r="DE310" s="164">
        <f t="shared" si="151"/>
        <v>12</v>
      </c>
      <c r="DF310" s="166">
        <f t="shared" si="152"/>
        <v>440.61205516261572</v>
      </c>
      <c r="DG310" s="164">
        <f t="shared" si="153"/>
        <v>12</v>
      </c>
      <c r="DH310" s="166">
        <f t="shared" si="154"/>
        <v>579.09834067625445</v>
      </c>
      <c r="DI310" s="164">
        <f>IFERROR(INDEX(DC$296:DC$344,_xlfn.AGGREGATE(15,6,(ROW(DC$296:DC$344)-ROW(DC$296)+1)/(DC$296:DC$344&lt;&gt;""),ROWS(DI$1:DI15))),"")</f>
        <v>15</v>
      </c>
      <c r="DJ310" s="165">
        <f>IFERROR(INDEX(DD$296:DD$344,_xlfn.AGGREGATE(15,6,(ROW(DD$296:DD$344)-ROW(DD$296)+1)/(DD$296:DD$344&lt;&gt;""),ROWS(DJ$1:DJ15))),"")</f>
        <v>339.59431051619458</v>
      </c>
      <c r="DK310" s="166">
        <f t="shared" si="155"/>
        <v>310</v>
      </c>
      <c r="DL310" s="164">
        <f>IFERROR(INDEX(DE$296:DE$344,_xlfn.AGGREGATE(15,6,(ROW(DE$296:DE$344)-ROW(DE$296)+1)/(DE$296:DE$344&lt;&gt;""),ROWS(DL$1:DL15))),"")</f>
        <v>15</v>
      </c>
      <c r="DM310" s="165">
        <f>IFERROR(INDEX(DF$296:DF$344,_xlfn.AGGREGATE(15,6,(ROW(DF$296:DF$344)-ROW(DF$296)+1)/(DF$296:DF$344&lt;&gt;""),ROWS(DM$1:DM15))),"")</f>
        <v>485.81589694087751</v>
      </c>
      <c r="DN310" s="166">
        <f t="shared" si="156"/>
        <v>310</v>
      </c>
      <c r="DO310" s="164">
        <f>IFERROR(INDEX(DG$296:DG$344,_xlfn.AGGREGATE(15,6,(ROW(DG$296:DG$344)-ROW(DG$296)+1)/(DG$296:DG$344&lt;&gt;""),ROWS(DO$1:DO15))),"")</f>
        <v>15</v>
      </c>
      <c r="DP310" s="165">
        <f>IFERROR(INDEX(DH$296:DH$344,_xlfn.AGGREGATE(15,6,(ROW(DH$296:DH$344)-ROW(DH$296)+1)/(DH$296:DH$344&lt;&gt;""),ROWS(DP$1:DP15))),"")</f>
        <v>632.03748336556043</v>
      </c>
      <c r="DQ310" s="166">
        <f t="shared" si="157"/>
        <v>310</v>
      </c>
      <c r="DV310" s="145">
        <v>2029</v>
      </c>
      <c r="DW310" s="235">
        <f t="shared" ca="1" si="142"/>
        <v>486.09104063253665</v>
      </c>
      <c r="EA310" s="55"/>
      <c r="EB310" s="55"/>
      <c r="EC310" s="55"/>
      <c r="ED310" s="55"/>
      <c r="EE310" s="55"/>
    </row>
    <row r="311" spans="1:135" ht="13.8" x14ac:dyDescent="0.45">
      <c r="B311" s="128">
        <v>2027</v>
      </c>
      <c r="C311" s="244">
        <f>'Total MSW Summaries (Archive)'!G18</f>
        <v>665.45236364180948</v>
      </c>
      <c r="D311" s="244">
        <f>'Total MSW Summaries (Archive)'!S18</f>
        <v>377.22373034958065</v>
      </c>
      <c r="E311" s="244">
        <f>'Total MSW Summaries (Archive)'!AE18</f>
        <v>573.11999999999966</v>
      </c>
      <c r="F311" s="244">
        <f>'Total MSW Summaries (Archive)'!AQ18</f>
        <v>376.52806261852828</v>
      </c>
      <c r="G311" s="244">
        <f>'Total MSW Summaries (Archive)'!BC18</f>
        <v>284.91891891891896</v>
      </c>
      <c r="H311" s="245"/>
      <c r="I311" s="246"/>
      <c r="J311" s="247"/>
      <c r="K311" s="245"/>
      <c r="L311" s="246"/>
      <c r="M311" s="245"/>
      <c r="N311" s="29" t="s">
        <v>119</v>
      </c>
      <c r="O311" s="120"/>
      <c r="P311" s="120"/>
      <c r="Q311" s="120"/>
      <c r="R311" s="29">
        <v>13</v>
      </c>
      <c r="S311" s="238">
        <f t="shared" si="143"/>
        <v>284.91891891891896</v>
      </c>
      <c r="T311" s="238">
        <f t="shared" si="144"/>
        <v>665.45236364180948</v>
      </c>
      <c r="U311" s="238">
        <f t="shared" si="145"/>
        <v>140.97949688071975</v>
      </c>
      <c r="W311" s="238">
        <f t="shared" si="158"/>
        <v>314.46911822504762</v>
      </c>
      <c r="X311" s="238">
        <f t="shared" si="146"/>
        <v>455.44861510576737</v>
      </c>
      <c r="Y311" s="238">
        <f t="shared" si="147"/>
        <v>596.42811198648712</v>
      </c>
      <c r="AA311" s="89"/>
      <c r="AB311" s="89"/>
      <c r="AC311" s="89"/>
      <c r="AD311" s="89"/>
      <c r="AE311" s="89"/>
      <c r="AF311" s="89"/>
      <c r="AG311" s="89"/>
      <c r="AH311" s="89"/>
      <c r="AI311" s="89"/>
      <c r="AJ311" s="89"/>
      <c r="AK311" s="89"/>
      <c r="AL311" s="89"/>
      <c r="AM311" s="89"/>
      <c r="AN311" s="89"/>
      <c r="BR311" s="180">
        <v>2025</v>
      </c>
      <c r="BS311" s="22">
        <v>11</v>
      </c>
      <c r="BT311" s="198">
        <f t="shared" si="159"/>
        <v>170.91953525791953</v>
      </c>
      <c r="BU311" s="276">
        <f t="shared" si="160"/>
        <v>262.1103819006978</v>
      </c>
      <c r="BV311" s="205">
        <f t="shared" si="161"/>
        <v>433.02991715861731</v>
      </c>
      <c r="BY311" s="180">
        <v>2025</v>
      </c>
      <c r="BZ311" s="22">
        <v>11</v>
      </c>
      <c r="CA311" s="198">
        <f t="shared" ca="1" si="162"/>
        <v>14.012294517728474</v>
      </c>
      <c r="CB311" s="198">
        <f t="shared" ca="1" si="163"/>
        <v>130.15649666089126</v>
      </c>
      <c r="CC311" s="276">
        <f t="shared" ca="1" si="174"/>
        <v>282.49190119921195</v>
      </c>
      <c r="CD311" s="205">
        <f t="shared" ca="1" si="164"/>
        <v>426.66069237783165</v>
      </c>
      <c r="CG311" s="180">
        <v>2025</v>
      </c>
      <c r="CH311" s="22">
        <v>11</v>
      </c>
      <c r="CI311" s="198">
        <f t="shared" ca="1" si="165"/>
        <v>0.53210234495472164</v>
      </c>
      <c r="CJ311" s="198">
        <f t="shared" ca="1" si="166"/>
        <v>11.690393376107878</v>
      </c>
      <c r="CK311" s="198">
        <f t="shared" ca="1" si="167"/>
        <v>132.90144115445111</v>
      </c>
      <c r="CL311" s="276">
        <f t="shared" ca="1" si="168"/>
        <v>281.77422266452913</v>
      </c>
      <c r="CM311" s="205">
        <f t="shared" ca="1" si="169"/>
        <v>426.8981595400428</v>
      </c>
      <c r="CP311" s="180">
        <v>2025</v>
      </c>
      <c r="CQ311" s="22">
        <v>11</v>
      </c>
      <c r="CR311" s="198">
        <f t="shared" ca="1" si="170"/>
        <v>297.31086370130703</v>
      </c>
      <c r="CS311" s="276">
        <f t="shared" ca="1" si="171"/>
        <v>1.4125353479938736</v>
      </c>
      <c r="CT311" s="205">
        <f t="shared" ca="1" si="172"/>
        <v>419.96210432068483</v>
      </c>
      <c r="CZ311" s="164" t="b">
        <f t="shared" si="148"/>
        <v>1</v>
      </c>
      <c r="DA311" s="165" t="b">
        <f t="shared" si="148"/>
        <v>1</v>
      </c>
      <c r="DB311" s="166" t="b">
        <f t="shared" si="148"/>
        <v>1</v>
      </c>
      <c r="DC311" s="164">
        <f t="shared" si="149"/>
        <v>13</v>
      </c>
      <c r="DD311" s="166">
        <f t="shared" si="150"/>
        <v>314.46911822504762</v>
      </c>
      <c r="DE311" s="164">
        <f t="shared" si="151"/>
        <v>13</v>
      </c>
      <c r="DF311" s="166">
        <f t="shared" si="152"/>
        <v>455.44861510576737</v>
      </c>
      <c r="DG311" s="164">
        <f t="shared" si="153"/>
        <v>13</v>
      </c>
      <c r="DH311" s="166">
        <f t="shared" si="154"/>
        <v>596.42811198648712</v>
      </c>
      <c r="DI311" s="164">
        <f>IFERROR(INDEX(DC$296:DC$344,_xlfn.AGGREGATE(15,6,(ROW(DC$296:DC$344)-ROW(DC$296)+1)/(DC$296:DC$344&lt;&gt;""),ROWS(DI$1:DI16))),"")</f>
        <v>16</v>
      </c>
      <c r="DJ311" s="165">
        <f>IFERROR(INDEX(DD$296:DD$344,_xlfn.AGGREGATE(15,6,(ROW(DD$296:DD$344)-ROW(DD$296)+1)/(DD$296:DD$344&lt;&gt;""),ROWS(DJ$1:DJ16))),"")</f>
        <v>352.7509026483458</v>
      </c>
      <c r="DK311" s="166">
        <f t="shared" si="155"/>
        <v>311</v>
      </c>
      <c r="DL311" s="164">
        <f>IFERROR(INDEX(DE$296:DE$344,_xlfn.AGGREGATE(15,6,(ROW(DE$296:DE$344)-ROW(DE$296)+1)/(DE$296:DE$344&lt;&gt;""),ROWS(DL$1:DL16))),"")</f>
        <v>16</v>
      </c>
      <c r="DM311" s="165">
        <f>IFERROR(INDEX(DF$296:DF$344,_xlfn.AGGREGATE(15,6,(ROW(DF$296:DF$344)-ROW(DF$296)+1)/(DF$296:DF$344&lt;&gt;""),ROWS(DM$1:DM16))),"")</f>
        <v>501.61022956142688</v>
      </c>
      <c r="DN311" s="166">
        <f t="shared" si="156"/>
        <v>311</v>
      </c>
      <c r="DO311" s="164">
        <f>IFERROR(INDEX(DG$296:DG$344,_xlfn.AGGREGATE(15,6,(ROW(DG$296:DG$344)-ROW(DG$296)+1)/(DG$296:DG$344&lt;&gt;""),ROWS(DO$1:DO16))),"")</f>
        <v>16</v>
      </c>
      <c r="DP311" s="165">
        <f>IFERROR(INDEX(DH$296:DH$344,_xlfn.AGGREGATE(15,6,(ROW(DH$296:DH$344)-ROW(DH$296)+1)/(DH$296:DH$344&lt;&gt;""),ROWS(DP$1:DP16))),"")</f>
        <v>650.46955647450795</v>
      </c>
      <c r="DQ311" s="166">
        <f t="shared" si="157"/>
        <v>311</v>
      </c>
      <c r="DV311" s="145">
        <v>2030</v>
      </c>
      <c r="DW311" s="235">
        <f t="shared" ca="1" si="142"/>
        <v>501.45628804925616</v>
      </c>
    </row>
    <row r="312" spans="1:135" ht="13.8" x14ac:dyDescent="0.45">
      <c r="A312" s="208" t="str">
        <f>$A$62</f>
        <v>Base Cases</v>
      </c>
      <c r="B312" s="128">
        <v>2028</v>
      </c>
      <c r="C312" s="244">
        <f>'Total MSW Summaries (Archive)'!G19</f>
        <v>685.76325881350522</v>
      </c>
      <c r="D312" s="244">
        <f>'Total MSW Summaries (Archive)'!S19</f>
        <v>394.04779611137081</v>
      </c>
      <c r="E312" s="244">
        <f>'Total MSW Summaries (Archive)'!AE19</f>
        <v>586.9599999999997</v>
      </c>
      <c r="F312" s="244">
        <f>'Total MSW Summaries (Archive)'!AQ19</f>
        <v>391.52814598449805</v>
      </c>
      <c r="G312" s="244">
        <f>'Total MSW Summaries (Archive)'!BC19</f>
        <v>294.27027027027032</v>
      </c>
      <c r="H312" s="245"/>
      <c r="I312" s="246"/>
      <c r="J312" s="247"/>
      <c r="K312" s="245"/>
      <c r="L312" s="246"/>
      <c r="M312" s="245"/>
      <c r="N312" s="29" t="s">
        <v>119</v>
      </c>
      <c r="O312" s="120"/>
      <c r="P312" s="120"/>
      <c r="Q312" s="120"/>
      <c r="R312" s="29">
        <v>14</v>
      </c>
      <c r="S312" s="238">
        <f t="shared" si="143"/>
        <v>294.27027027027032</v>
      </c>
      <c r="T312" s="238">
        <f t="shared" si="144"/>
        <v>685.76325881350522</v>
      </c>
      <c r="U312" s="238">
        <f t="shared" si="145"/>
        <v>143.55459733247741</v>
      </c>
      <c r="W312" s="238">
        <f t="shared" si="158"/>
        <v>326.95929690345145</v>
      </c>
      <c r="X312" s="238">
        <f t="shared" si="146"/>
        <v>470.51389423592889</v>
      </c>
      <c r="Y312" s="238">
        <f t="shared" si="147"/>
        <v>614.06849156840633</v>
      </c>
      <c r="AA312" s="114"/>
      <c r="AB312" s="114"/>
      <c r="AC312" s="114"/>
      <c r="AD312" s="114"/>
      <c r="AE312" s="114"/>
      <c r="AF312" s="114"/>
      <c r="AG312" s="114"/>
      <c r="AH312" s="114"/>
      <c r="AI312" s="114"/>
      <c r="AJ312" s="114"/>
      <c r="AK312" s="114"/>
      <c r="AL312" s="114"/>
      <c r="AM312" s="114"/>
      <c r="AN312" s="114"/>
      <c r="BR312" s="180">
        <v>2026</v>
      </c>
      <c r="BS312" s="22">
        <v>12</v>
      </c>
      <c r="BT312" s="198">
        <f t="shared" si="159"/>
        <v>186.45767482682129</v>
      </c>
      <c r="BU312" s="276">
        <f t="shared" si="160"/>
        <v>262.1103819006978</v>
      </c>
      <c r="BV312" s="205">
        <f t="shared" si="161"/>
        <v>448.56805672751909</v>
      </c>
      <c r="BY312" s="180">
        <v>2026</v>
      </c>
      <c r="BZ312" s="22">
        <v>12</v>
      </c>
      <c r="CA312" s="198">
        <f t="shared" ca="1" si="162"/>
        <v>16.675788516966119</v>
      </c>
      <c r="CB312" s="198">
        <f t="shared" ca="1" si="163"/>
        <v>141.98890544824502</v>
      </c>
      <c r="CC312" s="276">
        <f t="shared" ca="1" si="174"/>
        <v>282.49190119921195</v>
      </c>
      <c r="CD312" s="205">
        <f t="shared" ca="1" si="164"/>
        <v>441.15659516442309</v>
      </c>
      <c r="CG312" s="180">
        <v>2026</v>
      </c>
      <c r="CH312" s="22">
        <v>12</v>
      </c>
      <c r="CI312" s="198">
        <f t="shared" ca="1" si="165"/>
        <v>0.69081356279621264</v>
      </c>
      <c r="CJ312" s="198">
        <f t="shared" ca="1" si="166"/>
        <v>13.912534265781275</v>
      </c>
      <c r="CK312" s="198">
        <f t="shared" ca="1" si="167"/>
        <v>144.98339035031029</v>
      </c>
      <c r="CL312" s="276">
        <f t="shared" ca="1" si="168"/>
        <v>281.77422266452913</v>
      </c>
      <c r="CM312" s="205">
        <f t="shared" ca="1" si="169"/>
        <v>441.36096084341693</v>
      </c>
      <c r="CP312" s="180">
        <v>2026</v>
      </c>
      <c r="CQ312" s="22">
        <v>12</v>
      </c>
      <c r="CR312" s="198">
        <f t="shared" ca="1" si="170"/>
        <v>297.31086370130703</v>
      </c>
      <c r="CS312" s="276">
        <f t="shared" ca="1" si="171"/>
        <v>1.4575908282114807</v>
      </c>
      <c r="CT312" s="205">
        <f t="shared" ca="1" si="172"/>
        <v>433.35758805865873</v>
      </c>
      <c r="CZ312" s="164" t="b">
        <f t="shared" si="148"/>
        <v>1</v>
      </c>
      <c r="DA312" s="165" t="b">
        <f t="shared" si="148"/>
        <v>1</v>
      </c>
      <c r="DB312" s="166" t="b">
        <f t="shared" si="148"/>
        <v>1</v>
      </c>
      <c r="DC312" s="164">
        <f t="shared" si="149"/>
        <v>14</v>
      </c>
      <c r="DD312" s="166">
        <f t="shared" si="150"/>
        <v>326.95929690345145</v>
      </c>
      <c r="DE312" s="164">
        <f t="shared" si="151"/>
        <v>14</v>
      </c>
      <c r="DF312" s="166">
        <f t="shared" si="152"/>
        <v>470.51389423592889</v>
      </c>
      <c r="DG312" s="164">
        <f t="shared" si="153"/>
        <v>14</v>
      </c>
      <c r="DH312" s="166">
        <f t="shared" si="154"/>
        <v>614.06849156840633</v>
      </c>
      <c r="DI312" s="164">
        <f>IFERROR(INDEX(DC$296:DC$344,_xlfn.AGGREGATE(15,6,(ROW(DC$296:DC$344)-ROW(DC$296)+1)/(DC$296:DC$344&lt;&gt;""),ROWS(DI$1:DI17))),"")</f>
        <v>17</v>
      </c>
      <c r="DJ312" s="165">
        <f>IFERROR(INDEX(DD$296:DD$344,_xlfn.AGGREGATE(15,6,(ROW(DD$296:DD$344)-ROW(DD$296)+1)/(DD$296:DD$344&lt;&gt;""),ROWS(DJ$1:DJ17))),"")</f>
        <v>365.28545355787725</v>
      </c>
      <c r="DK312" s="166">
        <f t="shared" si="155"/>
        <v>312</v>
      </c>
      <c r="DL312" s="164">
        <f>IFERROR(INDEX(DE$296:DE$344,_xlfn.AGGREGATE(15,6,(ROW(DE$296:DE$344)-ROW(DE$296)+1)/(DE$296:DE$344&lt;&gt;""),ROWS(DL$1:DL17))),"")</f>
        <v>17</v>
      </c>
      <c r="DM312" s="165">
        <f>IFERROR(INDEX(DF$296:DF$344,_xlfn.AGGREGATE(15,6,(ROW(DF$296:DF$344)-ROW(DF$296)+1)/(DF$296:DF$344&lt;&gt;""),ROWS(DM$1:DM17))),"")</f>
        <v>517.15609759889799</v>
      </c>
      <c r="DN312" s="166">
        <f t="shared" si="156"/>
        <v>312</v>
      </c>
      <c r="DO312" s="164">
        <f>IFERROR(INDEX(DG$296:DG$344,_xlfn.AGGREGATE(15,6,(ROW(DG$296:DG$344)-ROW(DG$296)+1)/(DG$296:DG$344&lt;&gt;""),ROWS(DO$1:DO17))),"")</f>
        <v>17</v>
      </c>
      <c r="DP312" s="165">
        <f>IFERROR(INDEX(DH$296:DH$344,_xlfn.AGGREGATE(15,6,(ROW(DH$296:DH$344)-ROW(DH$296)+1)/(DH$296:DH$344&lt;&gt;""),ROWS(DP$1:DP17))),"")</f>
        <v>669.02674163991878</v>
      </c>
      <c r="DQ312" s="166">
        <f t="shared" si="157"/>
        <v>312</v>
      </c>
      <c r="DV312" s="145">
        <v>2031</v>
      </c>
      <c r="DW312" s="235">
        <f t="shared" ca="1" si="142"/>
        <v>517.05314363982245</v>
      </c>
    </row>
    <row r="313" spans="1:135" ht="13.8" x14ac:dyDescent="0.45">
      <c r="A313" s="209" t="str">
        <f>$A$63</f>
        <v>Conservative Cases</v>
      </c>
      <c r="B313" s="128">
        <v>2029</v>
      </c>
      <c r="C313" s="244">
        <f>'Total MSW Summaries (Archive)'!G20</f>
        <v>706.496644776827</v>
      </c>
      <c r="D313" s="244">
        <f>'Total MSW Summaries (Archive)'!S20</f>
        <v>411.4324720438841</v>
      </c>
      <c r="E313" s="244">
        <f>'Total MSW Summaries (Archive)'!AE20</f>
        <v>600.79999999999973</v>
      </c>
      <c r="F313" s="244">
        <f>'Total MSW Summaries (Archive)'!AQ20</f>
        <v>406.72874626205515</v>
      </c>
      <c r="G313" s="244">
        <f>'Total MSW Summaries (Archive)'!BC20</f>
        <v>303.62162162162167</v>
      </c>
      <c r="H313" s="245"/>
      <c r="I313" s="246"/>
      <c r="J313" s="247"/>
      <c r="K313" s="245"/>
      <c r="L313" s="246"/>
      <c r="M313" s="245"/>
      <c r="N313" s="29" t="s">
        <v>119</v>
      </c>
      <c r="O313" s="120"/>
      <c r="P313" s="120"/>
      <c r="Q313" s="120"/>
      <c r="R313" s="29">
        <v>15</v>
      </c>
      <c r="S313" s="238">
        <f t="shared" si="143"/>
        <v>303.62162162162167</v>
      </c>
      <c r="T313" s="238">
        <f t="shared" si="144"/>
        <v>706.496644776827</v>
      </c>
      <c r="U313" s="238">
        <f t="shared" si="145"/>
        <v>146.22158642468295</v>
      </c>
      <c r="W313" s="238">
        <f t="shared" si="158"/>
        <v>339.59431051619458</v>
      </c>
      <c r="X313" s="238">
        <f t="shared" si="146"/>
        <v>485.81589694087751</v>
      </c>
      <c r="Y313" s="238">
        <f t="shared" si="147"/>
        <v>632.03748336556043</v>
      </c>
      <c r="AA313" s="89"/>
      <c r="AB313" s="89"/>
      <c r="AC313" s="89"/>
      <c r="AD313" s="89"/>
      <c r="AE313" s="89"/>
      <c r="AF313" s="89"/>
      <c r="AG313" s="89"/>
      <c r="AH313" s="89"/>
      <c r="AI313" s="89"/>
      <c r="AJ313" s="89"/>
      <c r="AK313" s="89"/>
      <c r="AL313" s="89"/>
      <c r="AM313" s="89"/>
      <c r="AN313" s="89"/>
      <c r="BR313" s="180">
        <v>2027</v>
      </c>
      <c r="BS313" s="22">
        <v>13</v>
      </c>
      <c r="BT313" s="198">
        <f t="shared" si="159"/>
        <v>201.99581439572307</v>
      </c>
      <c r="BU313" s="276">
        <f t="shared" si="160"/>
        <v>262.1103819006978</v>
      </c>
      <c r="BV313" s="205">
        <f t="shared" si="161"/>
        <v>464.10619629642088</v>
      </c>
      <c r="BY313" s="180">
        <v>2027</v>
      </c>
      <c r="BZ313" s="22">
        <v>13</v>
      </c>
      <c r="CA313" s="198">
        <f t="shared" ca="1" si="162"/>
        <v>19.570890690050515</v>
      </c>
      <c r="CB313" s="198">
        <f t="shared" ca="1" si="163"/>
        <v>153.82131423559878</v>
      </c>
      <c r="CC313" s="276">
        <f t="shared" ca="1" si="174"/>
        <v>282.49190119921195</v>
      </c>
      <c r="CD313" s="205">
        <f t="shared" ca="1" si="164"/>
        <v>455.8841061248612</v>
      </c>
      <c r="CG313" s="180">
        <v>2027</v>
      </c>
      <c r="CH313" s="22">
        <v>13</v>
      </c>
      <c r="CI313" s="198">
        <f t="shared" ca="1" si="165"/>
        <v>0.87830867908754584</v>
      </c>
      <c r="CJ313" s="198">
        <f t="shared" ca="1" si="166"/>
        <v>16.327904798034968</v>
      </c>
      <c r="CK313" s="198">
        <f t="shared" ca="1" si="167"/>
        <v>157.0653395461695</v>
      </c>
      <c r="CL313" s="276">
        <f t="shared" ca="1" si="168"/>
        <v>281.77422266452913</v>
      </c>
      <c r="CM313" s="205">
        <f t="shared" ca="1" si="169"/>
        <v>456.04577568782111</v>
      </c>
      <c r="CP313" s="180">
        <v>2027</v>
      </c>
      <c r="CQ313" s="22">
        <v>13</v>
      </c>
      <c r="CR313" s="198">
        <f t="shared" ca="1" si="170"/>
        <v>297.31086370130703</v>
      </c>
      <c r="CS313" s="276">
        <f t="shared" ca="1" si="171"/>
        <v>1.5040834379851886</v>
      </c>
      <c r="CT313" s="205">
        <f t="shared" ca="1" si="172"/>
        <v>447.1803460262077</v>
      </c>
      <c r="CZ313" s="164" t="b">
        <f t="shared" si="148"/>
        <v>1</v>
      </c>
      <c r="DA313" s="165" t="b">
        <f t="shared" si="148"/>
        <v>1</v>
      </c>
      <c r="DB313" s="166" t="b">
        <f t="shared" si="148"/>
        <v>1</v>
      </c>
      <c r="DC313" s="164">
        <f t="shared" si="149"/>
        <v>15</v>
      </c>
      <c r="DD313" s="166">
        <f t="shared" si="150"/>
        <v>339.59431051619458</v>
      </c>
      <c r="DE313" s="164">
        <f t="shared" si="151"/>
        <v>15</v>
      </c>
      <c r="DF313" s="166">
        <f t="shared" si="152"/>
        <v>485.81589694087751</v>
      </c>
      <c r="DG313" s="164">
        <f t="shared" si="153"/>
        <v>15</v>
      </c>
      <c r="DH313" s="166">
        <f t="shared" si="154"/>
        <v>632.03748336556043</v>
      </c>
      <c r="DI313" s="164">
        <f>IFERROR(INDEX(DC$296:DC$344,_xlfn.AGGREGATE(15,6,(ROW(DC$296:DC$344)-ROW(DC$296)+1)/(DC$296:DC$344&lt;&gt;""),ROWS(DI$1:DI18))),"")</f>
        <v>18</v>
      </c>
      <c r="DJ313" s="165">
        <f>IFERROR(INDEX(DD$296:DD$344,_xlfn.AGGREGATE(15,6,(ROW(DD$296:DD$344)-ROW(DD$296)+1)/(DD$296:DD$344&lt;&gt;""),ROWS(DJ$1:DJ18))),"")</f>
        <v>378.18924241320587</v>
      </c>
      <c r="DK313" s="166">
        <f t="shared" si="155"/>
        <v>313</v>
      </c>
      <c r="DL313" s="164">
        <f>IFERROR(INDEX(DE$296:DE$344,_xlfn.AGGREGATE(15,6,(ROW(DE$296:DE$344)-ROW(DE$296)+1)/(DE$296:DE$344&lt;&gt;""),ROWS(DL$1:DL18))),"")</f>
        <v>18</v>
      </c>
      <c r="DM313" s="165">
        <f>IFERROR(INDEX(DF$296:DF$344,_xlfn.AGGREGATE(15,6,(ROW(DF$296:DF$344)-ROW(DF$296)+1)/(DF$296:DF$344&lt;&gt;""),ROWS(DM$1:DM18))),"")</f>
        <v>532.94638186698501</v>
      </c>
      <c r="DN313" s="166">
        <f t="shared" si="156"/>
        <v>313</v>
      </c>
      <c r="DO313" s="164">
        <f>IFERROR(INDEX(DG$296:DG$344,_xlfn.AGGREGATE(15,6,(ROW(DG$296:DG$344)-ROW(DG$296)+1)/(DG$296:DG$344&lt;&gt;""),ROWS(DO$1:DO18))),"")</f>
        <v>18</v>
      </c>
      <c r="DP313" s="165">
        <f>IFERROR(INDEX(DH$296:DH$344,_xlfn.AGGREGATE(15,6,(ROW(DH$296:DH$344)-ROW(DH$296)+1)/(DH$296:DH$344&lt;&gt;""),ROWS(DP$1:DP18))),"")</f>
        <v>687.70352132076414</v>
      </c>
      <c r="DQ313" s="166">
        <f t="shared" si="157"/>
        <v>313</v>
      </c>
      <c r="DV313" s="145">
        <v>2032</v>
      </c>
      <c r="DW313" s="235">
        <f t="shared" ca="1" si="142"/>
        <v>532.88400606243965</v>
      </c>
    </row>
    <row r="314" spans="1:135" ht="13.8" x14ac:dyDescent="0.45">
      <c r="A314" s="210" t="str">
        <f>$A$64</f>
        <v>Ambitious Cases</v>
      </c>
      <c r="B314" s="128">
        <v>2030</v>
      </c>
      <c r="C314" s="244">
        <f>'Total MSW Summaries (Archive)'!G21</f>
        <v>727.66451308696583</v>
      </c>
      <c r="D314" s="244">
        <f>'Total MSW Summaries (Archive)'!S21</f>
        <v>429.39464951192264</v>
      </c>
      <c r="E314" s="244">
        <f>'Total MSW Summaries (Archive)'!AE21</f>
        <v>614.63999999999976</v>
      </c>
      <c r="F314" s="244">
        <f>'Total MSW Summaries (Archive)'!AQ21</f>
        <v>423.37901223527342</v>
      </c>
      <c r="G314" s="244">
        <f>'Total MSW Summaries (Archive)'!BC21</f>
        <v>312.97297297297303</v>
      </c>
      <c r="H314" s="245"/>
      <c r="I314" s="246"/>
      <c r="J314" s="247"/>
      <c r="K314" s="245"/>
      <c r="L314" s="246"/>
      <c r="M314" s="245"/>
      <c r="N314" s="29" t="s">
        <v>119</v>
      </c>
      <c r="O314" s="120"/>
      <c r="P314" s="120"/>
      <c r="Q314" s="120"/>
      <c r="R314" s="29">
        <v>16</v>
      </c>
      <c r="S314" s="238">
        <f t="shared" si="143"/>
        <v>312.97297297297303</v>
      </c>
      <c r="T314" s="238">
        <f t="shared" si="144"/>
        <v>727.66451308696583</v>
      </c>
      <c r="U314" s="238">
        <f t="shared" si="145"/>
        <v>148.85932691308111</v>
      </c>
      <c r="W314" s="238">
        <f t="shared" si="158"/>
        <v>352.7509026483458</v>
      </c>
      <c r="X314" s="238">
        <f t="shared" si="146"/>
        <v>501.61022956142688</v>
      </c>
      <c r="Y314" s="238">
        <f t="shared" si="147"/>
        <v>650.46955647450795</v>
      </c>
      <c r="AA314" s="89"/>
      <c r="AB314" s="89"/>
      <c r="AC314" s="89"/>
      <c r="AD314" s="89"/>
      <c r="AE314" s="89"/>
      <c r="AF314" s="89"/>
      <c r="AG314" s="89"/>
      <c r="AH314" s="89"/>
      <c r="AI314" s="89"/>
      <c r="AJ314" s="89"/>
      <c r="AK314" s="89"/>
      <c r="AL314" s="89"/>
      <c r="AM314" s="89"/>
      <c r="AN314" s="89"/>
      <c r="BR314" s="180">
        <v>2028</v>
      </c>
      <c r="BS314" s="22">
        <v>14</v>
      </c>
      <c r="BT314" s="198">
        <f t="shared" si="159"/>
        <v>217.53395396462486</v>
      </c>
      <c r="BU314" s="276">
        <f t="shared" si="160"/>
        <v>262.1103819006978</v>
      </c>
      <c r="BV314" s="205">
        <f t="shared" si="161"/>
        <v>479.64433586532266</v>
      </c>
      <c r="BY314" s="180">
        <v>2028</v>
      </c>
      <c r="BZ314" s="22">
        <v>14</v>
      </c>
      <c r="CA314" s="198">
        <f t="shared" ca="1" si="162"/>
        <v>22.697601036981659</v>
      </c>
      <c r="CB314" s="198">
        <f t="shared" ca="1" si="163"/>
        <v>165.65372302295251</v>
      </c>
      <c r="CC314" s="276">
        <f t="shared" ca="1" si="174"/>
        <v>282.49190119921195</v>
      </c>
      <c r="CD314" s="205">
        <f t="shared" ca="1" si="164"/>
        <v>470.84322525914615</v>
      </c>
      <c r="CG314" s="180">
        <v>2028</v>
      </c>
      <c r="CH314" s="22">
        <v>14</v>
      </c>
      <c r="CI314" s="198">
        <f t="shared" ca="1" si="165"/>
        <v>1.0969863520328746</v>
      </c>
      <c r="CJ314" s="198">
        <f t="shared" ca="1" si="166"/>
        <v>18.936504972868956</v>
      </c>
      <c r="CK314" s="198">
        <f t="shared" ca="1" si="167"/>
        <v>169.14728874202868</v>
      </c>
      <c r="CL314" s="276">
        <f t="shared" ca="1" si="168"/>
        <v>281.77422266452913</v>
      </c>
      <c r="CM314" s="205">
        <f t="shared" ca="1" si="169"/>
        <v>470.95500273145967</v>
      </c>
      <c r="CP314" s="180">
        <v>2028</v>
      </c>
      <c r="CQ314" s="22">
        <v>14</v>
      </c>
      <c r="CR314" s="198">
        <f t="shared" ca="1" si="170"/>
        <v>297.31086370130703</v>
      </c>
      <c r="CS314" s="276">
        <f t="shared" ca="1" si="171"/>
        <v>1.5520590172738888</v>
      </c>
      <c r="CT314" s="205">
        <f t="shared" ca="1" si="172"/>
        <v>461.44400694110169</v>
      </c>
      <c r="CZ314" s="164" t="b">
        <f t="shared" si="148"/>
        <v>1</v>
      </c>
      <c r="DA314" s="165" t="b">
        <f t="shared" si="148"/>
        <v>1</v>
      </c>
      <c r="DB314" s="166" t="b">
        <f t="shared" si="148"/>
        <v>1</v>
      </c>
      <c r="DC314" s="164">
        <f t="shared" si="149"/>
        <v>16</v>
      </c>
      <c r="DD314" s="166">
        <f t="shared" si="150"/>
        <v>352.7509026483458</v>
      </c>
      <c r="DE314" s="164">
        <f t="shared" si="151"/>
        <v>16</v>
      </c>
      <c r="DF314" s="166">
        <f t="shared" si="152"/>
        <v>501.61022956142688</v>
      </c>
      <c r="DG314" s="164">
        <f t="shared" si="153"/>
        <v>16</v>
      </c>
      <c r="DH314" s="166">
        <f t="shared" si="154"/>
        <v>650.46955647450795</v>
      </c>
      <c r="DI314" s="164">
        <f>IFERROR(INDEX(DC$296:DC$344,_xlfn.AGGREGATE(15,6,(ROW(DC$296:DC$344)-ROW(DC$296)+1)/(DC$296:DC$344&lt;&gt;""),ROWS(DI$1:DI19))),"")</f>
        <v>19</v>
      </c>
      <c r="DJ314" s="165">
        <f>IFERROR(INDEX(DD$296:DD$344,_xlfn.AGGREGATE(15,6,(ROW(DD$296:DD$344)-ROW(DD$296)+1)/(DD$296:DD$344&lt;&gt;""),ROWS(DJ$1:DJ19))),"")</f>
        <v>391.2199437331866</v>
      </c>
      <c r="DK314" s="166">
        <f t="shared" si="155"/>
        <v>314</v>
      </c>
      <c r="DL314" s="164">
        <f>IFERROR(INDEX(DE$296:DE$344,_xlfn.AGGREGATE(15,6,(ROW(DE$296:DE$344)-ROW(DE$296)+1)/(DE$296:DE$344&lt;&gt;""),ROWS(DL$1:DL19))),"")</f>
        <v>19</v>
      </c>
      <c r="DM314" s="165">
        <f>IFERROR(INDEX(DF$296:DF$344,_xlfn.AGGREGATE(15,6,(ROW(DF$296:DF$344)-ROW(DF$296)+1)/(DF$296:DF$344&lt;&gt;""),ROWS(DM$1:DM19))),"")</f>
        <v>548.98451576374373</v>
      </c>
      <c r="DN314" s="166">
        <f t="shared" si="156"/>
        <v>314</v>
      </c>
      <c r="DO314" s="164">
        <f>IFERROR(INDEX(DG$296:DG$344,_xlfn.AGGREGATE(15,6,(ROW(DG$296:DG$344)-ROW(DG$296)+1)/(DG$296:DG$344&lt;&gt;""),ROWS(DO$1:DO19))),"")</f>
        <v>19</v>
      </c>
      <c r="DP314" s="165">
        <f>IFERROR(INDEX(DH$296:DH$344,_xlfn.AGGREGATE(15,6,(ROW(DH$296:DH$344)-ROW(DH$296)+1)/(DH$296:DH$344&lt;&gt;""),ROWS(DP$1:DP19))),"")</f>
        <v>706.74908779430086</v>
      </c>
      <c r="DQ314" s="166">
        <f t="shared" si="157"/>
        <v>314</v>
      </c>
      <c r="DV314" s="145">
        <v>2033</v>
      </c>
      <c r="DW314" s="235">
        <f t="shared" ca="1" si="142"/>
        <v>548.95127397531201</v>
      </c>
    </row>
    <row r="315" spans="1:135" ht="13.8" x14ac:dyDescent="0.45">
      <c r="A315" s="211" t="str">
        <f>$A$65</f>
        <v>Maximum Cases</v>
      </c>
      <c r="B315" s="128">
        <v>2031</v>
      </c>
      <c r="C315" s="244">
        <f>'Total MSW Summaries (Archive)'!G22</f>
        <v>749.27064515898405</v>
      </c>
      <c r="D315" s="244">
        <f>'Total MSW Summaries (Archive)'!S22</f>
        <v>447.94668294485155</v>
      </c>
      <c r="E315" s="244">
        <f>'Total MSW Summaries (Archive)'!AE22</f>
        <v>628.47999999999979</v>
      </c>
      <c r="F315" s="244">
        <f>'Total MSW Summaries (Archive)'!AQ22</f>
        <v>437.75883556632976</v>
      </c>
      <c r="G315" s="244">
        <f>'Total MSW Summaries (Archive)'!BC22</f>
        <v>322.32432432432438</v>
      </c>
      <c r="H315" s="245"/>
      <c r="I315" s="246"/>
      <c r="J315" s="247"/>
      <c r="K315" s="245"/>
      <c r="L315" s="246"/>
      <c r="M315" s="245"/>
      <c r="N315" s="29" t="s">
        <v>119</v>
      </c>
      <c r="O315" s="120"/>
      <c r="P315" s="120"/>
      <c r="Q315" s="120"/>
      <c r="R315" s="29">
        <v>17</v>
      </c>
      <c r="S315" s="238">
        <f t="shared" si="143"/>
        <v>322.32432432432438</v>
      </c>
      <c r="T315" s="238">
        <f t="shared" si="144"/>
        <v>749.27064515898405</v>
      </c>
      <c r="U315" s="238">
        <f t="shared" si="145"/>
        <v>151.87064404102074</v>
      </c>
      <c r="W315" s="238">
        <f t="shared" si="158"/>
        <v>365.28545355787725</v>
      </c>
      <c r="X315" s="238">
        <f t="shared" si="146"/>
        <v>517.15609759889799</v>
      </c>
      <c r="Y315" s="238">
        <f t="shared" si="147"/>
        <v>669.02674163991878</v>
      </c>
      <c r="AA315" s="89"/>
      <c r="AB315" s="89"/>
      <c r="AC315" s="89"/>
      <c r="AD315" s="89"/>
      <c r="AE315" s="89"/>
      <c r="AF315" s="89"/>
      <c r="AG315" s="89"/>
      <c r="AH315" s="89"/>
      <c r="AI315" s="89"/>
      <c r="AJ315" s="89"/>
      <c r="AK315" s="89"/>
      <c r="AL315" s="89"/>
      <c r="AM315" s="89"/>
      <c r="AN315" s="89"/>
      <c r="BR315" s="180">
        <v>2029</v>
      </c>
      <c r="BS315" s="22">
        <v>15</v>
      </c>
      <c r="BT315" s="198">
        <f t="shared" si="159"/>
        <v>233.07209353352661</v>
      </c>
      <c r="BU315" s="276">
        <f t="shared" si="160"/>
        <v>262.1103819006978</v>
      </c>
      <c r="BV315" s="205">
        <f t="shared" si="161"/>
        <v>495.18247543422444</v>
      </c>
      <c r="BY315" s="180">
        <v>2029</v>
      </c>
      <c r="BZ315" s="22">
        <v>15</v>
      </c>
      <c r="CA315" s="198">
        <f t="shared" ca="1" si="162"/>
        <v>26.055919557759559</v>
      </c>
      <c r="CB315" s="198">
        <f t="shared" ca="1" si="163"/>
        <v>177.48613181030626</v>
      </c>
      <c r="CC315" s="276">
        <f t="shared" ca="1" si="174"/>
        <v>282.49190119921195</v>
      </c>
      <c r="CD315" s="205">
        <f t="shared" ca="1" si="164"/>
        <v>486.03395256727777</v>
      </c>
      <c r="CG315" s="180">
        <v>2029</v>
      </c>
      <c r="CH315" s="22">
        <v>15</v>
      </c>
      <c r="CI315" s="198">
        <f t="shared" ca="1" si="165"/>
        <v>1.3492452398363528</v>
      </c>
      <c r="CJ315" s="198">
        <f t="shared" ca="1" si="166"/>
        <v>21.738334790283243</v>
      </c>
      <c r="CK315" s="198">
        <f t="shared" ca="1" si="167"/>
        <v>181.22923793788789</v>
      </c>
      <c r="CL315" s="276">
        <f t="shared" ca="1" si="168"/>
        <v>281.77422266452913</v>
      </c>
      <c r="CM315" s="205">
        <f t="shared" ca="1" si="169"/>
        <v>486.09104063253665</v>
      </c>
      <c r="CP315" s="180">
        <v>2029</v>
      </c>
      <c r="CQ315" s="22">
        <v>15</v>
      </c>
      <c r="CR315" s="198">
        <f t="shared" ca="1" si="170"/>
        <v>297.31086370130703</v>
      </c>
      <c r="CS315" s="276">
        <f t="shared" ca="1" si="171"/>
        <v>1.6015648681884571</v>
      </c>
      <c r="CT315" s="205">
        <f t="shared" ca="1" si="172"/>
        <v>476.16263423478011</v>
      </c>
      <c r="CZ315" s="164" t="b">
        <f t="shared" si="148"/>
        <v>1</v>
      </c>
      <c r="DA315" s="165" t="b">
        <f t="shared" si="148"/>
        <v>1</v>
      </c>
      <c r="DB315" s="166" t="b">
        <f t="shared" si="148"/>
        <v>1</v>
      </c>
      <c r="DC315" s="164">
        <f t="shared" si="149"/>
        <v>17</v>
      </c>
      <c r="DD315" s="166">
        <f t="shared" si="150"/>
        <v>365.28545355787725</v>
      </c>
      <c r="DE315" s="164">
        <f t="shared" si="151"/>
        <v>17</v>
      </c>
      <c r="DF315" s="166">
        <f t="shared" si="152"/>
        <v>517.15609759889799</v>
      </c>
      <c r="DG315" s="164">
        <f t="shared" si="153"/>
        <v>17</v>
      </c>
      <c r="DH315" s="166">
        <f t="shared" si="154"/>
        <v>669.02674163991878</v>
      </c>
      <c r="DI315" s="164">
        <f>IFERROR(INDEX(DC$296:DC$344,_xlfn.AGGREGATE(15,6,(ROW(DC$296:DC$344)-ROW(DC$296)+1)/(DC$296:DC$344&lt;&gt;""),ROWS(DI$1:DI20))),"")</f>
        <v>20</v>
      </c>
      <c r="DJ315" s="165">
        <f>IFERROR(INDEX(DD$296:DD$344,_xlfn.AGGREGATE(15,6,(ROW(DD$296:DD$344)-ROW(DD$296)+1)/(DD$296:DD$344&lt;&gt;""),ROWS(DJ$1:DJ20))),"")</f>
        <v>404.37421019852115</v>
      </c>
      <c r="DK315" s="166">
        <f t="shared" si="155"/>
        <v>315</v>
      </c>
      <c r="DL315" s="164">
        <f>IFERROR(INDEX(DE$296:DE$344,_xlfn.AGGREGATE(15,6,(ROW(DE$296:DE$344)-ROW(DE$296)+1)/(DE$296:DE$344&lt;&gt;""),ROWS(DL$1:DL20))),"")</f>
        <v>20</v>
      </c>
      <c r="DM315" s="165">
        <f>IFERROR(INDEX(DF$296:DF$344,_xlfn.AGGREGATE(15,6,(ROW(DF$296:DF$344)-ROW(DF$296)+1)/(DF$296:DF$344&lt;&gt;""),ROWS(DM$1:DM20))),"")</f>
        <v>565.27728556923978</v>
      </c>
      <c r="DN315" s="166">
        <f t="shared" si="156"/>
        <v>315</v>
      </c>
      <c r="DO315" s="164">
        <f>IFERROR(INDEX(DG$296:DG$344,_xlfn.AGGREGATE(15,6,(ROW(DG$296:DG$344)-ROW(DG$296)+1)/(DG$296:DG$344&lt;&gt;""),ROWS(DO$1:DO20))),"")</f>
        <v>20</v>
      </c>
      <c r="DP315" s="165">
        <f>IFERROR(INDEX(DH$296:DH$344,_xlfn.AGGREGATE(15,6,(ROW(DH$296:DH$344)-ROW(DH$296)+1)/(DH$296:DH$344&lt;&gt;""),ROWS(DP$1:DP20))),"")</f>
        <v>726.1803609399584</v>
      </c>
      <c r="DQ315" s="166">
        <f t="shared" si="157"/>
        <v>315</v>
      </c>
      <c r="DV315" s="145">
        <v>2034</v>
      </c>
      <c r="DW315" s="235">
        <f t="shared" ca="1" si="142"/>
        <v>565.25734603664341</v>
      </c>
    </row>
    <row r="316" spans="1:135" ht="13.8" x14ac:dyDescent="0.45">
      <c r="B316" s="128">
        <v>2032</v>
      </c>
      <c r="C316" s="244">
        <f>'Total MSW Summaries (Archive)'!G23</f>
        <v>770.73459896994075</v>
      </c>
      <c r="D316" s="244">
        <f>'Total MSW Summaries (Archive)'!S23</f>
        <v>466.74724548708514</v>
      </c>
      <c r="E316" s="244">
        <f>'Total MSW Summaries (Archive)'!AE23</f>
        <v>642.31999999999982</v>
      </c>
      <c r="F316" s="244">
        <f>'Total MSW Summaries (Archive)'!AQ23</f>
        <v>453.25438920222382</v>
      </c>
      <c r="G316" s="244">
        <f>'Total MSW Summaries (Archive)'!BC23</f>
        <v>331.67567567567573</v>
      </c>
      <c r="H316" s="245"/>
      <c r="I316" s="246"/>
      <c r="J316" s="247"/>
      <c r="K316" s="245"/>
      <c r="L316" s="246"/>
      <c r="M316" s="245"/>
      <c r="N316" s="29" t="s">
        <v>119</v>
      </c>
      <c r="O316" s="120"/>
      <c r="P316" s="120"/>
      <c r="Q316" s="120"/>
      <c r="R316" s="29">
        <v>18</v>
      </c>
      <c r="S316" s="238">
        <f t="shared" si="143"/>
        <v>331.67567567567573</v>
      </c>
      <c r="T316" s="238">
        <f t="shared" si="144"/>
        <v>770.73459896994075</v>
      </c>
      <c r="U316" s="238">
        <f t="shared" si="145"/>
        <v>154.75713945377916</v>
      </c>
      <c r="W316" s="238">
        <f t="shared" si="158"/>
        <v>378.18924241320587</v>
      </c>
      <c r="X316" s="238">
        <f t="shared" si="146"/>
        <v>532.94638186698501</v>
      </c>
      <c r="Y316" s="238">
        <f t="shared" si="147"/>
        <v>687.70352132076414</v>
      </c>
      <c r="AA316" s="89"/>
      <c r="AB316" s="89"/>
      <c r="AC316" s="89"/>
      <c r="AD316" s="89"/>
      <c r="AE316" s="89"/>
      <c r="AF316" s="89"/>
      <c r="AG316" s="89"/>
      <c r="AH316" s="89"/>
      <c r="AI316" s="89"/>
      <c r="AJ316" s="89"/>
      <c r="AK316" s="89"/>
      <c r="AL316" s="89"/>
      <c r="AM316" s="89"/>
      <c r="AN316" s="89"/>
      <c r="BR316" s="180">
        <v>2030</v>
      </c>
      <c r="BS316" s="22">
        <v>16</v>
      </c>
      <c r="BT316" s="198">
        <f t="shared" si="159"/>
        <v>248.6102331024284</v>
      </c>
      <c r="BU316" s="276">
        <f t="shared" si="160"/>
        <v>262.1103819006978</v>
      </c>
      <c r="BV316" s="205">
        <f t="shared" si="161"/>
        <v>510.72061500312623</v>
      </c>
      <c r="BY316" s="180">
        <v>2030</v>
      </c>
      <c r="BZ316" s="22">
        <v>16</v>
      </c>
      <c r="CA316" s="198">
        <f t="shared" ca="1" si="162"/>
        <v>29.64584625238421</v>
      </c>
      <c r="CB316" s="198">
        <f t="shared" ca="1" si="163"/>
        <v>189.31854059766002</v>
      </c>
      <c r="CC316" s="276">
        <f t="shared" ca="1" si="174"/>
        <v>282.49190119921195</v>
      </c>
      <c r="CD316" s="205">
        <f t="shared" ca="1" si="164"/>
        <v>501.45628804925616</v>
      </c>
      <c r="CG316" s="180">
        <v>2030</v>
      </c>
      <c r="CH316" s="22">
        <v>16</v>
      </c>
      <c r="CI316" s="198">
        <f t="shared" ca="1" si="165"/>
        <v>1.6374840007021336</v>
      </c>
      <c r="CJ316" s="198">
        <f t="shared" ca="1" si="166"/>
        <v>24.733394250277822</v>
      </c>
      <c r="CK316" s="198">
        <f t="shared" ca="1" si="167"/>
        <v>193.31118713374707</v>
      </c>
      <c r="CL316" s="276">
        <f t="shared" ca="1" si="168"/>
        <v>281.77422266452913</v>
      </c>
      <c r="CM316" s="205">
        <f t="shared" ca="1" si="169"/>
        <v>501.45628804925616</v>
      </c>
      <c r="CP316" s="180">
        <v>2030</v>
      </c>
      <c r="CQ316" s="22">
        <v>16</v>
      </c>
      <c r="CR316" s="198">
        <f t="shared" ca="1" si="170"/>
        <v>297.31086370130703</v>
      </c>
      <c r="CS316" s="276">
        <f t="shared" ca="1" si="171"/>
        <v>1.6526498016298483</v>
      </c>
      <c r="CT316" s="205">
        <f t="shared" ca="1" si="172"/>
        <v>491.35073991836396</v>
      </c>
      <c r="CZ316" s="164" t="b">
        <f t="shared" si="148"/>
        <v>1</v>
      </c>
      <c r="DA316" s="165" t="b">
        <f t="shared" si="148"/>
        <v>1</v>
      </c>
      <c r="DB316" s="166" t="b">
        <f t="shared" si="148"/>
        <v>1</v>
      </c>
      <c r="DC316" s="164">
        <f t="shared" si="149"/>
        <v>18</v>
      </c>
      <c r="DD316" s="166">
        <f t="shared" si="150"/>
        <v>378.18924241320587</v>
      </c>
      <c r="DE316" s="164">
        <f t="shared" si="151"/>
        <v>18</v>
      </c>
      <c r="DF316" s="166">
        <f t="shared" si="152"/>
        <v>532.94638186698501</v>
      </c>
      <c r="DG316" s="164">
        <f t="shared" si="153"/>
        <v>18</v>
      </c>
      <c r="DH316" s="166">
        <f t="shared" si="154"/>
        <v>687.70352132076414</v>
      </c>
      <c r="DI316" s="164">
        <f>IFERROR(INDEX(DC$296:DC$344,_xlfn.AGGREGATE(15,6,(ROW(DC$296:DC$344)-ROW(DC$296)+1)/(DC$296:DC$344&lt;&gt;""),ROWS(DI$1:DI21))),"")</f>
        <v>21</v>
      </c>
      <c r="DJ316" s="165">
        <f>IFERROR(INDEX(DD$296:DD$344,_xlfn.AGGREGATE(15,6,(ROW(DD$296:DD$344)-ROW(DD$296)+1)/(DD$296:DD$344&lt;&gt;""),ROWS(DJ$1:DJ21))),"")</f>
        <v>417.31137902730921</v>
      </c>
      <c r="DK316" s="166">
        <f t="shared" si="155"/>
        <v>316</v>
      </c>
      <c r="DL316" s="164">
        <f>IFERROR(INDEX(DE$296:DE$344,_xlfn.AGGREGATE(15,6,(ROW(DE$296:DE$344)-ROW(DE$296)+1)/(DE$296:DE$344&lt;&gt;""),ROWS(DL$1:DL21))),"")</f>
        <v>21</v>
      </c>
      <c r="DM316" s="165">
        <f>IFERROR(INDEX(DF$296:DF$344,_xlfn.AGGREGATE(15,6,(ROW(DF$296:DF$344)-ROW(DF$296)+1)/(DF$296:DF$344&lt;&gt;""),ROWS(DM$1:DM21))),"")</f>
        <v>581.60527318751849</v>
      </c>
      <c r="DN316" s="166">
        <f t="shared" si="156"/>
        <v>316</v>
      </c>
      <c r="DO316" s="164">
        <f>IFERROR(INDEX(DG$296:DG$344,_xlfn.AGGREGATE(15,6,(ROW(DG$296:DG$344)-ROW(DG$296)+1)/(DG$296:DG$344&lt;&gt;""),ROWS(DO$1:DO21))),"")</f>
        <v>21</v>
      </c>
      <c r="DP316" s="165">
        <f>IFERROR(INDEX(DH$296:DH$344,_xlfn.AGGREGATE(15,6,(ROW(DH$296:DH$344)-ROW(DH$296)+1)/(DH$296:DH$344&lt;&gt;""),ROWS(DP$1:DP21))),"")</f>
        <v>745.89916734772783</v>
      </c>
      <c r="DQ316" s="166">
        <f t="shared" si="157"/>
        <v>316</v>
      </c>
      <c r="DV316" s="145">
        <v>2035</v>
      </c>
      <c r="DW316" s="235">
        <f t="shared" ca="1" si="142"/>
        <v>581.80462090463834</v>
      </c>
    </row>
    <row r="317" spans="1:135" ht="13.8" x14ac:dyDescent="0.45">
      <c r="B317" s="128">
        <v>2033</v>
      </c>
      <c r="C317" s="244">
        <f>'Total MSW Summaries (Archive)'!G24</f>
        <v>792.62946557942678</v>
      </c>
      <c r="D317" s="244">
        <f>'Total MSW Summaries (Archive)'!S24</f>
        <v>486.1445288394101</v>
      </c>
      <c r="E317" s="244">
        <f>'Total MSW Summaries (Archive)'!AE24</f>
        <v>656.15999999999985</v>
      </c>
      <c r="F317" s="244">
        <f>'Total MSW Summaries (Archive)'!AQ24</f>
        <v>468.96155737285454</v>
      </c>
      <c r="G317" s="244">
        <f>'Total MSW Summaries (Archive)'!BC24</f>
        <v>341.02702702702709</v>
      </c>
      <c r="H317" s="245"/>
      <c r="I317" s="246"/>
      <c r="J317" s="247"/>
      <c r="K317" s="245"/>
      <c r="L317" s="246"/>
      <c r="M317" s="245"/>
      <c r="N317" s="29" t="s">
        <v>119</v>
      </c>
      <c r="O317" s="120"/>
      <c r="P317" s="120"/>
      <c r="Q317" s="120"/>
      <c r="R317" s="29">
        <v>19</v>
      </c>
      <c r="S317" s="238">
        <f t="shared" si="143"/>
        <v>341.02702702702709</v>
      </c>
      <c r="T317" s="238">
        <f t="shared" si="144"/>
        <v>792.62946557942678</v>
      </c>
      <c r="U317" s="238">
        <f t="shared" si="145"/>
        <v>157.76457203055713</v>
      </c>
      <c r="W317" s="238">
        <f t="shared" si="158"/>
        <v>391.2199437331866</v>
      </c>
      <c r="X317" s="238">
        <f t="shared" si="146"/>
        <v>548.98451576374373</v>
      </c>
      <c r="Y317" s="238">
        <f t="shared" si="147"/>
        <v>706.74908779430086</v>
      </c>
      <c r="AA317" s="89"/>
      <c r="AB317" s="89"/>
      <c r="AC317" s="89"/>
      <c r="AD317" s="89"/>
      <c r="AE317" s="89"/>
      <c r="AF317" s="89"/>
      <c r="AG317" s="89"/>
      <c r="AH317" s="89"/>
      <c r="AI317" s="89"/>
      <c r="AJ317" s="89"/>
      <c r="AK317" s="89"/>
      <c r="AL317" s="89"/>
      <c r="AM317" s="89"/>
      <c r="AN317" s="89"/>
      <c r="BR317" s="180">
        <v>2031</v>
      </c>
      <c r="BS317" s="22">
        <v>17</v>
      </c>
      <c r="BT317" s="198">
        <f t="shared" si="159"/>
        <v>264.14837267133015</v>
      </c>
      <c r="BU317" s="276">
        <f t="shared" si="160"/>
        <v>262.1103819006978</v>
      </c>
      <c r="BV317" s="205">
        <f t="shared" si="161"/>
        <v>526.25875457202801</v>
      </c>
      <c r="BY317" s="180">
        <v>2031</v>
      </c>
      <c r="BZ317" s="22">
        <v>17</v>
      </c>
      <c r="CA317" s="198">
        <f t="shared" ca="1" si="162"/>
        <v>33.467381120855613</v>
      </c>
      <c r="CB317" s="198">
        <f t="shared" ca="1" si="163"/>
        <v>201.15094938501377</v>
      </c>
      <c r="CC317" s="276">
        <f t="shared" ca="1" si="174"/>
        <v>282.49190119921195</v>
      </c>
      <c r="CD317" s="205">
        <f t="shared" ca="1" si="164"/>
        <v>517.11023170508133</v>
      </c>
      <c r="CG317" s="180">
        <v>2031</v>
      </c>
      <c r="CH317" s="22">
        <v>17</v>
      </c>
      <c r="CI317" s="198">
        <f t="shared" ca="1" si="165"/>
        <v>1.9641012928343706</v>
      </c>
      <c r="CJ317" s="198">
        <f t="shared" ca="1" si="166"/>
        <v>27.921683352852696</v>
      </c>
      <c r="CK317" s="198">
        <f t="shared" ca="1" si="167"/>
        <v>205.39313632960625</v>
      </c>
      <c r="CL317" s="276">
        <f t="shared" ca="1" si="168"/>
        <v>281.77422266452913</v>
      </c>
      <c r="CM317" s="205">
        <f t="shared" ca="1" si="169"/>
        <v>517.05314363982245</v>
      </c>
      <c r="CP317" s="180">
        <v>2031</v>
      </c>
      <c r="CQ317" s="22">
        <v>17</v>
      </c>
      <c r="CR317" s="198">
        <f t="shared" ca="1" si="170"/>
        <v>297.31086370130703</v>
      </c>
      <c r="CS317" s="276">
        <f t="shared" ca="1" si="171"/>
        <v>1.7053641854148045</v>
      </c>
      <c r="CT317" s="205">
        <f t="shared" ca="1" si="172"/>
        <v>507.02329889095142</v>
      </c>
      <c r="CZ317" s="164" t="b">
        <f t="shared" si="148"/>
        <v>1</v>
      </c>
      <c r="DA317" s="165" t="b">
        <f t="shared" si="148"/>
        <v>1</v>
      </c>
      <c r="DB317" s="166" t="b">
        <f t="shared" si="148"/>
        <v>1</v>
      </c>
      <c r="DC317" s="164">
        <f t="shared" si="149"/>
        <v>19</v>
      </c>
      <c r="DD317" s="166">
        <f t="shared" si="150"/>
        <v>391.2199437331866</v>
      </c>
      <c r="DE317" s="164">
        <f t="shared" si="151"/>
        <v>19</v>
      </c>
      <c r="DF317" s="166">
        <f t="shared" si="152"/>
        <v>548.98451576374373</v>
      </c>
      <c r="DG317" s="164">
        <f t="shared" si="153"/>
        <v>19</v>
      </c>
      <c r="DH317" s="166">
        <f t="shared" si="154"/>
        <v>706.74908779430086</v>
      </c>
      <c r="DI317" s="164">
        <f>IFERROR(INDEX(DC$296:DC$344,_xlfn.AGGREGATE(15,6,(ROW(DC$296:DC$344)-ROW(DC$296)+1)/(DC$296:DC$344&lt;&gt;""),ROWS(DI$1:DI22))),"")</f>
        <v>22</v>
      </c>
      <c r="DJ317" s="165">
        <f>IFERROR(INDEX(DD$296:DD$344,_xlfn.AGGREGATE(15,6,(ROW(DD$296:DD$344)-ROW(DD$296)+1)/(DD$296:DD$344&lt;&gt;""),ROWS(DJ$1:DJ22))),"")</f>
        <v>431.03713538607059</v>
      </c>
      <c r="DK317" s="166">
        <f t="shared" si="155"/>
        <v>317</v>
      </c>
      <c r="DL317" s="164">
        <f>IFERROR(INDEX(DE$296:DE$344,_xlfn.AGGREGATE(15,6,(ROW(DE$296:DE$344)-ROW(DE$296)+1)/(DE$296:DE$344&lt;&gt;""),ROWS(DL$1:DL22))),"")</f>
        <v>22</v>
      </c>
      <c r="DM317" s="165">
        <f>IFERROR(INDEX(DF$296:DF$344,_xlfn.AGGREGATE(15,6,(ROW(DF$296:DF$344)-ROW(DF$296)+1)/(DF$296:DF$344&lt;&gt;""),ROWS(DM$1:DM22))),"")</f>
        <v>598.64939412744502</v>
      </c>
      <c r="DN317" s="166">
        <f t="shared" si="156"/>
        <v>317</v>
      </c>
      <c r="DO317" s="164">
        <f>IFERROR(INDEX(DG$296:DG$344,_xlfn.AGGREGATE(15,6,(ROW(DG$296:DG$344)-ROW(DG$296)+1)/(DG$296:DG$344&lt;&gt;""),ROWS(DO$1:DO22))),"")</f>
        <v>22</v>
      </c>
      <c r="DP317" s="165">
        <f>IFERROR(INDEX(DH$296:DH$344,_xlfn.AGGREGATE(15,6,(ROW(DH$296:DH$344)-ROW(DH$296)+1)/(DH$296:DH$344&lt;&gt;""),ROWS(DP$1:DP22))),"")</f>
        <v>766.26165286881951</v>
      </c>
      <c r="DQ317" s="166">
        <f t="shared" si="157"/>
        <v>317</v>
      </c>
      <c r="DV317" s="145">
        <v>2036</v>
      </c>
      <c r="DW317" s="235">
        <f t="shared" ca="1" si="142"/>
        <v>598.59549723750069</v>
      </c>
    </row>
    <row r="318" spans="1:135" ht="13.8" x14ac:dyDescent="0.45">
      <c r="B318" s="128">
        <v>2034</v>
      </c>
      <c r="C318" s="244">
        <f>'Total MSW Summaries (Archive)'!G25</f>
        <v>814.96325118526761</v>
      </c>
      <c r="D318" s="244">
        <f>'Total MSW Summaries (Archive)'!S25</f>
        <v>506.15351626127261</v>
      </c>
      <c r="E318" s="244">
        <f>'Total MSW Summaries (Archive)'!AE25</f>
        <v>669.99999999999989</v>
      </c>
      <c r="F318" s="244">
        <f>'Total MSW Summaries (Archive)'!AQ25</f>
        <v>484.89128202128057</v>
      </c>
      <c r="G318" s="244">
        <f>'Total MSW Summaries (Archive)'!BC25</f>
        <v>350.37837837837844</v>
      </c>
      <c r="H318" s="245"/>
      <c r="I318" s="246"/>
      <c r="J318" s="247"/>
      <c r="K318" s="245"/>
      <c r="L318" s="246"/>
      <c r="M318" s="245"/>
      <c r="N318" s="29" t="s">
        <v>119</v>
      </c>
      <c r="O318" s="120"/>
      <c r="P318" s="120"/>
      <c r="Q318" s="120"/>
      <c r="R318" s="29">
        <v>20</v>
      </c>
      <c r="S318" s="238">
        <f t="shared" si="143"/>
        <v>350.37837837837844</v>
      </c>
      <c r="T318" s="238">
        <f t="shared" si="144"/>
        <v>814.96325118526761</v>
      </c>
      <c r="U318" s="238">
        <f t="shared" si="145"/>
        <v>160.9030753707186</v>
      </c>
      <c r="W318" s="238">
        <f t="shared" si="158"/>
        <v>404.37421019852115</v>
      </c>
      <c r="X318" s="238">
        <f t="shared" si="146"/>
        <v>565.27728556923978</v>
      </c>
      <c r="Y318" s="238">
        <f t="shared" si="147"/>
        <v>726.1803609399584</v>
      </c>
      <c r="AA318" s="89"/>
      <c r="AB318" s="89"/>
      <c r="AC318" s="89"/>
      <c r="AD318" s="89"/>
      <c r="AE318" s="89"/>
      <c r="AF318" s="89"/>
      <c r="AG318" s="89"/>
      <c r="AH318" s="89"/>
      <c r="AI318" s="89"/>
      <c r="AJ318" s="89"/>
      <c r="AK318" s="89"/>
      <c r="AL318" s="89"/>
      <c r="AM318" s="89"/>
      <c r="AN318" s="89"/>
      <c r="BR318" s="180">
        <v>2032</v>
      </c>
      <c r="BS318" s="22">
        <v>18</v>
      </c>
      <c r="BT318" s="198">
        <f t="shared" si="159"/>
        <v>279.68651224023193</v>
      </c>
      <c r="BU318" s="276">
        <f t="shared" si="160"/>
        <v>262.1103819006978</v>
      </c>
      <c r="BV318" s="205">
        <f t="shared" si="161"/>
        <v>541.79689414092968</v>
      </c>
      <c r="BY318" s="180">
        <v>2032</v>
      </c>
      <c r="BZ318" s="22">
        <v>18</v>
      </c>
      <c r="CA318" s="198">
        <f t="shared" ca="1" si="162"/>
        <v>37.520524163173768</v>
      </c>
      <c r="CB318" s="198">
        <f t="shared" ca="1" si="163"/>
        <v>212.98335817236753</v>
      </c>
      <c r="CC318" s="276">
        <f t="shared" ca="1" si="174"/>
        <v>282.49190119921195</v>
      </c>
      <c r="CD318" s="205">
        <f t="shared" ca="1" si="164"/>
        <v>532.99578353475329</v>
      </c>
      <c r="CG318" s="180">
        <v>2032</v>
      </c>
      <c r="CH318" s="22">
        <v>18</v>
      </c>
      <c r="CI318" s="198">
        <f t="shared" ca="1" si="165"/>
        <v>2.3314957744372178</v>
      </c>
      <c r="CJ318" s="198">
        <f t="shared" ca="1" si="166"/>
        <v>31.303202098007869</v>
      </c>
      <c r="CK318" s="198">
        <f t="shared" ca="1" si="167"/>
        <v>217.47508552546546</v>
      </c>
      <c r="CL318" s="276">
        <f t="shared" ca="1" si="168"/>
        <v>281.77422266452913</v>
      </c>
      <c r="CM318" s="205">
        <f t="shared" ca="1" si="169"/>
        <v>532.88400606243965</v>
      </c>
      <c r="CP318" s="180">
        <v>2032</v>
      </c>
      <c r="CQ318" s="22">
        <v>18</v>
      </c>
      <c r="CR318" s="198">
        <f t="shared" ca="1" si="170"/>
        <v>297.31086370130703</v>
      </c>
      <c r="CS318" s="276">
        <f t="shared" ca="1" si="171"/>
        <v>1.7597599939366211</v>
      </c>
      <c r="CT318" s="205">
        <f t="shared" ca="1" si="172"/>
        <v>523.19576370430366</v>
      </c>
      <c r="CZ318" s="164" t="b">
        <f t="shared" si="148"/>
        <v>1</v>
      </c>
      <c r="DA318" s="165" t="b">
        <f t="shared" si="148"/>
        <v>1</v>
      </c>
      <c r="DB318" s="166" t="b">
        <f t="shared" si="148"/>
        <v>1</v>
      </c>
      <c r="DC318" s="164">
        <f t="shared" si="149"/>
        <v>20</v>
      </c>
      <c r="DD318" s="166">
        <f t="shared" si="150"/>
        <v>404.37421019852115</v>
      </c>
      <c r="DE318" s="164">
        <f t="shared" si="151"/>
        <v>20</v>
      </c>
      <c r="DF318" s="166">
        <f t="shared" si="152"/>
        <v>565.27728556923978</v>
      </c>
      <c r="DG318" s="164">
        <f t="shared" si="153"/>
        <v>20</v>
      </c>
      <c r="DH318" s="166">
        <f t="shared" si="154"/>
        <v>726.1803609399584</v>
      </c>
      <c r="DI318" s="164">
        <f>IFERROR(INDEX(DC$296:DC$344,_xlfn.AGGREGATE(15,6,(ROW(DC$296:DC$344)-ROW(DC$296)+1)/(DC$296:DC$344&lt;&gt;""),ROWS(DI$1:DI23))),"")</f>
        <v>23</v>
      </c>
      <c r="DJ318" s="165">
        <f>IFERROR(INDEX(DD$296:DD$344,_xlfn.AGGREGATE(15,6,(ROW(DD$296:DD$344)-ROW(DD$296)+1)/(DD$296:DD$344&lt;&gt;""),ROWS(DJ$1:DJ23))),"")</f>
        <v>444.53599103516802</v>
      </c>
      <c r="DK318" s="166">
        <f t="shared" si="155"/>
        <v>318</v>
      </c>
      <c r="DL318" s="164">
        <f>IFERROR(INDEX(DE$296:DE$344,_xlfn.AGGREGATE(15,6,(ROW(DE$296:DE$344)-ROW(DE$296)+1)/(DE$296:DE$344&lt;&gt;""),ROWS(DL$1:DL23))),"")</f>
        <v>23</v>
      </c>
      <c r="DM318" s="165">
        <f>IFERROR(INDEX(DF$296:DF$344,_xlfn.AGGREGATE(15,6,(ROW(DF$296:DF$344)-ROW(DF$296)+1)/(DF$296:DF$344&lt;&gt;""),ROWS(DM$1:DM23))),"")</f>
        <v>615.73675115248204</v>
      </c>
      <c r="DN318" s="166">
        <f t="shared" si="156"/>
        <v>318</v>
      </c>
      <c r="DO318" s="164">
        <f>IFERROR(INDEX(DG$296:DG$344,_xlfn.AGGREGATE(15,6,(ROW(DG$296:DG$344)-ROW(DG$296)+1)/(DG$296:DG$344&lt;&gt;""),ROWS(DO$1:DO23))),"")</f>
        <v>23</v>
      </c>
      <c r="DP318" s="165">
        <f>IFERROR(INDEX(DH$296:DH$344,_xlfn.AGGREGATE(15,6,(ROW(DH$296:DH$344)-ROW(DH$296)+1)/(DH$296:DH$344&lt;&gt;""),ROWS(DP$1:DP23))),"")</f>
        <v>786.937511269796</v>
      </c>
      <c r="DQ318" s="166">
        <f t="shared" si="157"/>
        <v>318</v>
      </c>
      <c r="DV318" s="145">
        <v>2037</v>
      </c>
      <c r="DW318" s="235">
        <f t="shared" ca="1" si="142"/>
        <v>615.6323736934346</v>
      </c>
    </row>
    <row r="319" spans="1:135" ht="13.8" x14ac:dyDescent="0.45">
      <c r="B319" s="128">
        <v>2035</v>
      </c>
      <c r="C319" s="244">
        <f>'Total MSW Summaries (Archive)'!G26</f>
        <v>837.74109095110794</v>
      </c>
      <c r="D319" s="244">
        <f>'Total MSW Summaries (Archive)'!S26</f>
        <v>526.78763364693566</v>
      </c>
      <c r="E319" s="244">
        <f>'Total MSW Summaries (Archive)'!AE26</f>
        <v>683.83999999999992</v>
      </c>
      <c r="F319" s="244">
        <f>'Total MSW Summaries (Archive)'!AQ26</f>
        <v>499.92791160981898</v>
      </c>
      <c r="G319" s="244">
        <f>'Total MSW Summaries (Archive)'!BC26</f>
        <v>359.7297297297298</v>
      </c>
      <c r="H319" s="245"/>
      <c r="I319" s="246"/>
      <c r="J319" s="247"/>
      <c r="K319" s="245"/>
      <c r="L319" s="246"/>
      <c r="M319" s="245"/>
      <c r="N319" s="29" t="s">
        <v>119</v>
      </c>
      <c r="O319" s="120"/>
      <c r="P319" s="120"/>
      <c r="Q319" s="120"/>
      <c r="R319" s="29">
        <v>21</v>
      </c>
      <c r="S319" s="238">
        <f t="shared" si="143"/>
        <v>359.7297297297298</v>
      </c>
      <c r="T319" s="238">
        <f t="shared" si="144"/>
        <v>837.74109095110794</v>
      </c>
      <c r="U319" s="238">
        <f t="shared" si="145"/>
        <v>164.29389416020928</v>
      </c>
      <c r="W319" s="238">
        <f t="shared" si="158"/>
        <v>417.31137902730921</v>
      </c>
      <c r="X319" s="238">
        <f t="shared" si="146"/>
        <v>581.60527318751849</v>
      </c>
      <c r="Y319" s="238">
        <f t="shared" si="147"/>
        <v>745.89916734772783</v>
      </c>
      <c r="AA319" s="89"/>
      <c r="AB319" s="89"/>
      <c r="AC319" s="89"/>
      <c r="AD319" s="89"/>
      <c r="AE319" s="89"/>
      <c r="AF319" s="89"/>
      <c r="AG319" s="89"/>
      <c r="AH319" s="89"/>
      <c r="AI319" s="89"/>
      <c r="AJ319" s="89"/>
      <c r="AK319" s="89"/>
      <c r="AL319" s="89"/>
      <c r="AM319" s="89"/>
      <c r="AN319" s="89"/>
      <c r="BR319" s="180">
        <v>2033</v>
      </c>
      <c r="BS319" s="22">
        <v>19</v>
      </c>
      <c r="BT319" s="198">
        <f t="shared" si="159"/>
        <v>295.22465180913372</v>
      </c>
      <c r="BU319" s="276">
        <f t="shared" si="160"/>
        <v>262.1103819006978</v>
      </c>
      <c r="BV319" s="205">
        <f t="shared" si="161"/>
        <v>557.33503370983158</v>
      </c>
      <c r="BY319" s="180">
        <v>2033</v>
      </c>
      <c r="BZ319" s="22">
        <v>19</v>
      </c>
      <c r="CA319" s="198">
        <f t="shared" ca="1" si="162"/>
        <v>41.805275379338674</v>
      </c>
      <c r="CB319" s="198">
        <f t="shared" ca="1" si="163"/>
        <v>224.81576695972126</v>
      </c>
      <c r="CC319" s="276">
        <f t="shared" ca="1" si="174"/>
        <v>282.49190119921195</v>
      </c>
      <c r="CD319" s="205">
        <f t="shared" ca="1" si="164"/>
        <v>549.11294353827191</v>
      </c>
      <c r="CG319" s="180">
        <v>2033</v>
      </c>
      <c r="CH319" s="22">
        <v>19</v>
      </c>
      <c r="CI319" s="198">
        <f t="shared" ca="1" si="165"/>
        <v>2.7420661037148277</v>
      </c>
      <c r="CJ319" s="198">
        <f t="shared" ca="1" si="166"/>
        <v>34.877950485743334</v>
      </c>
      <c r="CK319" s="198">
        <f t="shared" ca="1" si="167"/>
        <v>229.55703472132464</v>
      </c>
      <c r="CL319" s="276">
        <f t="shared" ca="1" si="168"/>
        <v>281.77422266452913</v>
      </c>
      <c r="CM319" s="205">
        <f t="shared" ca="1" si="169"/>
        <v>548.95127397531201</v>
      </c>
      <c r="CP319" s="180">
        <v>2033</v>
      </c>
      <c r="CQ319" s="22">
        <v>19</v>
      </c>
      <c r="CR319" s="198">
        <f t="shared" ca="1" si="170"/>
        <v>297.31086370130703</v>
      </c>
      <c r="CS319" s="276">
        <f t="shared" ca="1" si="171"/>
        <v>1.815890859409937</v>
      </c>
      <c r="CT319" s="205">
        <f t="shared" ca="1" si="172"/>
        <v>539.88407979847705</v>
      </c>
      <c r="CZ319" s="164" t="b">
        <f t="shared" si="148"/>
        <v>1</v>
      </c>
      <c r="DA319" s="165" t="b">
        <f t="shared" si="148"/>
        <v>1</v>
      </c>
      <c r="DB319" s="166" t="b">
        <f t="shared" si="148"/>
        <v>1</v>
      </c>
      <c r="DC319" s="164">
        <f t="shared" si="149"/>
        <v>21</v>
      </c>
      <c r="DD319" s="166">
        <f t="shared" si="150"/>
        <v>417.31137902730921</v>
      </c>
      <c r="DE319" s="164">
        <f t="shared" si="151"/>
        <v>21</v>
      </c>
      <c r="DF319" s="166">
        <f t="shared" si="152"/>
        <v>581.60527318751849</v>
      </c>
      <c r="DG319" s="164">
        <f t="shared" si="153"/>
        <v>21</v>
      </c>
      <c r="DH319" s="166">
        <f t="shared" si="154"/>
        <v>745.89916734772783</v>
      </c>
      <c r="DI319" s="164">
        <f>IFERROR(INDEX(DC$296:DC$344,_xlfn.AGGREGATE(15,6,(ROW(DC$296:DC$344)-ROW(DC$296)+1)/(DC$296:DC$344&lt;&gt;""),ROWS(DI$1:DI24))),"")</f>
        <v>24</v>
      </c>
      <c r="DJ319" s="165">
        <f>IFERROR(INDEX(DD$296:DD$344,_xlfn.AGGREGATE(15,6,(ROW(DD$296:DD$344)-ROW(DD$296)+1)/(DD$296:DD$344&lt;&gt;""),ROWS(DJ$1:DJ24))),"")</f>
        <v>458.13847892611489</v>
      </c>
      <c r="DK319" s="166">
        <f t="shared" si="155"/>
        <v>319</v>
      </c>
      <c r="DL319" s="164">
        <f>IFERROR(INDEX(DE$296:DE$344,_xlfn.AGGREGATE(15,6,(ROW(DE$296:DE$344)-ROW(DE$296)+1)/(DE$296:DE$344&lt;&gt;""),ROWS(DL$1:DL24))),"")</f>
        <v>24</v>
      </c>
      <c r="DM319" s="165">
        <f>IFERROR(INDEX(DF$296:DF$344,_xlfn.AGGREGATE(15,6,(ROW(DF$296:DF$344)-ROW(DF$296)+1)/(DF$296:DF$344&lt;&gt;""),ROWS(DM$1:DM24))),"")</f>
        <v>633.09352526143516</v>
      </c>
      <c r="DN319" s="166">
        <f t="shared" si="156"/>
        <v>319</v>
      </c>
      <c r="DO319" s="164">
        <f>IFERROR(INDEX(DG$296:DG$344,_xlfn.AGGREGATE(15,6,(ROW(DG$296:DG$344)-ROW(DG$296)+1)/(DG$296:DG$344&lt;&gt;""),ROWS(DO$1:DO24))),"")</f>
        <v>24</v>
      </c>
      <c r="DP319" s="165">
        <f>IFERROR(INDEX(DH$296:DH$344,_xlfn.AGGREGATE(15,6,(ROW(DH$296:DH$344)-ROW(DH$296)+1)/(DH$296:DH$344&lt;&gt;""),ROWS(DP$1:DP24))),"")</f>
        <v>808.04857159675544</v>
      </c>
      <c r="DQ319" s="166">
        <f t="shared" si="157"/>
        <v>319</v>
      </c>
      <c r="DV319" s="145">
        <v>2038</v>
      </c>
      <c r="DW319" s="235">
        <f t="shared" ca="1" si="142"/>
        <v>632.91764893064453</v>
      </c>
    </row>
    <row r="320" spans="1:135" ht="13.8" x14ac:dyDescent="0.45">
      <c r="B320" s="128">
        <v>2036</v>
      </c>
      <c r="C320" s="244">
        <f>'Total MSW Summaries (Archive)'!G27</f>
        <v>860.96559371872127</v>
      </c>
      <c r="D320" s="244">
        <f>'Total MSW Summaries (Archive)'!S27</f>
        <v>548.05885779190237</v>
      </c>
      <c r="E320" s="244">
        <f>'Total MSW Summaries (Archive)'!AE27</f>
        <v>697.68</v>
      </c>
      <c r="F320" s="244">
        <f>'Total MSW Summaries (Archive)'!AQ27</f>
        <v>517.46143804552003</v>
      </c>
      <c r="G320" s="244">
        <f>'Total MSW Summaries (Archive)'!BC27</f>
        <v>369.08108108108115</v>
      </c>
      <c r="H320" s="245"/>
      <c r="I320" s="246"/>
      <c r="J320" s="247"/>
      <c r="K320" s="245"/>
      <c r="L320" s="246"/>
      <c r="M320" s="245"/>
      <c r="N320" s="29" t="s">
        <v>119</v>
      </c>
      <c r="O320" s="120"/>
      <c r="P320" s="120"/>
      <c r="Q320" s="120"/>
      <c r="R320" s="29">
        <v>22</v>
      </c>
      <c r="S320" s="238">
        <f t="shared" si="143"/>
        <v>369.08108108108115</v>
      </c>
      <c r="T320" s="238">
        <f t="shared" si="144"/>
        <v>860.96559371872127</v>
      </c>
      <c r="U320" s="238">
        <f t="shared" si="145"/>
        <v>167.61225874137443</v>
      </c>
      <c r="W320" s="238">
        <f t="shared" si="158"/>
        <v>431.03713538607059</v>
      </c>
      <c r="X320" s="238">
        <f t="shared" si="146"/>
        <v>598.64939412744502</v>
      </c>
      <c r="Y320" s="238">
        <f t="shared" si="147"/>
        <v>766.26165286881951</v>
      </c>
      <c r="AA320" s="89"/>
      <c r="AB320" s="89"/>
      <c r="AC320" s="89"/>
      <c r="AD320" s="89"/>
      <c r="AE320" s="89"/>
      <c r="AF320" s="89"/>
      <c r="AG320" s="89"/>
      <c r="AH320" s="89"/>
      <c r="AI320" s="89"/>
      <c r="AJ320" s="89"/>
      <c r="AK320" s="89"/>
      <c r="AL320" s="89"/>
      <c r="AM320" s="89"/>
      <c r="AN320" s="89"/>
      <c r="BR320" s="180">
        <v>2034</v>
      </c>
      <c r="BS320" s="22">
        <v>20</v>
      </c>
      <c r="BT320" s="198">
        <f t="shared" si="159"/>
        <v>310.7627913780355</v>
      </c>
      <c r="BU320" s="276">
        <f t="shared" si="160"/>
        <v>262.1103819006978</v>
      </c>
      <c r="BV320" s="205">
        <f t="shared" si="161"/>
        <v>572.87317327873325</v>
      </c>
      <c r="BY320" s="180">
        <v>2034</v>
      </c>
      <c r="BZ320" s="22">
        <v>20</v>
      </c>
      <c r="CA320" s="198">
        <f t="shared" ca="1" si="162"/>
        <v>46.321634769350325</v>
      </c>
      <c r="CB320" s="198">
        <f t="shared" ca="1" si="163"/>
        <v>236.64817574707502</v>
      </c>
      <c r="CC320" s="276">
        <f t="shared" ca="1" si="174"/>
        <v>282.49190119921195</v>
      </c>
      <c r="CD320" s="205">
        <f t="shared" ca="1" si="164"/>
        <v>565.46171171563731</v>
      </c>
      <c r="CG320" s="180">
        <v>2034</v>
      </c>
      <c r="CH320" s="22">
        <v>20</v>
      </c>
      <c r="CI320" s="198">
        <f t="shared" ca="1" si="165"/>
        <v>3.1982109388713549</v>
      </c>
      <c r="CJ320" s="198">
        <f t="shared" ca="1" si="166"/>
        <v>38.645928516059094</v>
      </c>
      <c r="CK320" s="198">
        <f t="shared" ca="1" si="167"/>
        <v>241.63898391718385</v>
      </c>
      <c r="CL320" s="276">
        <f t="shared" ca="1" si="168"/>
        <v>281.77422266452913</v>
      </c>
      <c r="CM320" s="205">
        <f t="shared" ca="1" si="169"/>
        <v>565.25734603664341</v>
      </c>
      <c r="CP320" s="180">
        <v>2034</v>
      </c>
      <c r="CQ320" s="22">
        <v>20</v>
      </c>
      <c r="CR320" s="198">
        <f t="shared" ca="1" si="170"/>
        <v>297.31086370130703</v>
      </c>
      <c r="CS320" s="276">
        <f t="shared" ca="1" si="171"/>
        <v>1.8738121247500754</v>
      </c>
      <c r="CT320" s="205">
        <f t="shared" ca="1" si="172"/>
        <v>557.10470122342622</v>
      </c>
      <c r="CZ320" s="164" t="b">
        <f t="shared" si="148"/>
        <v>1</v>
      </c>
      <c r="DA320" s="165" t="b">
        <f t="shared" si="148"/>
        <v>1</v>
      </c>
      <c r="DB320" s="166" t="b">
        <f t="shared" si="148"/>
        <v>1</v>
      </c>
      <c r="DC320" s="164">
        <f t="shared" si="149"/>
        <v>22</v>
      </c>
      <c r="DD320" s="166">
        <f t="shared" si="150"/>
        <v>431.03713538607059</v>
      </c>
      <c r="DE320" s="164">
        <f t="shared" si="151"/>
        <v>22</v>
      </c>
      <c r="DF320" s="166">
        <f t="shared" si="152"/>
        <v>598.64939412744502</v>
      </c>
      <c r="DG320" s="164">
        <f t="shared" si="153"/>
        <v>22</v>
      </c>
      <c r="DH320" s="166">
        <f t="shared" si="154"/>
        <v>766.26165286881951</v>
      </c>
      <c r="DI320" s="164">
        <f>IFERROR(INDEX(DC$296:DC$344,_xlfn.AGGREGATE(15,6,(ROW(DC$296:DC$344)-ROW(DC$296)+1)/(DC$296:DC$344&lt;&gt;""),ROWS(DI$1:DI25))),"")</f>
        <v>25</v>
      </c>
      <c r="DJ320" s="165">
        <f>IFERROR(INDEX(DD$296:DD$344,_xlfn.AGGREGATE(15,6,(ROW(DD$296:DD$344)-ROW(DD$296)+1)/(DD$296:DD$344&lt;&gt;""),ROWS(DJ$1:DJ25))),"")</f>
        <v>471.83811277050836</v>
      </c>
      <c r="DK320" s="166">
        <f t="shared" si="155"/>
        <v>320</v>
      </c>
      <c r="DL320" s="164">
        <f>IFERROR(INDEX(DE$296:DE$344,_xlfn.AGGREGATE(15,6,(ROW(DE$296:DE$344)-ROW(DE$296)+1)/(DE$296:DE$344&lt;&gt;""),ROWS(DL$1:DL25))),"")</f>
        <v>25</v>
      </c>
      <c r="DM320" s="165">
        <f>IFERROR(INDEX(DF$296:DF$344,_xlfn.AGGREGATE(15,6,(ROW(DF$296:DF$344)-ROW(DF$296)+1)/(DF$296:DF$344&lt;&gt;""),ROWS(DM$1:DM25))),"")</f>
        <v>650.71908079198658</v>
      </c>
      <c r="DN320" s="166">
        <f t="shared" si="156"/>
        <v>320</v>
      </c>
      <c r="DO320" s="164">
        <f>IFERROR(INDEX(DG$296:DG$344,_xlfn.AGGREGATE(15,6,(ROW(DG$296:DG$344)-ROW(DG$296)+1)/(DG$296:DG$344&lt;&gt;""),ROWS(DO$1:DO25))),"")</f>
        <v>25</v>
      </c>
      <c r="DP320" s="165">
        <f>IFERROR(INDEX(DH$296:DH$344,_xlfn.AGGREGATE(15,6,(ROW(DH$296:DH$344)-ROW(DH$296)+1)/(DH$296:DH$344&lt;&gt;""),ROWS(DP$1:DP25))),"")</f>
        <v>829.60004881346481</v>
      </c>
      <c r="DQ320" s="166">
        <f t="shared" si="157"/>
        <v>320</v>
      </c>
      <c r="DV320" s="145">
        <v>2039</v>
      </c>
      <c r="DW320" s="235">
        <f t="shared" ca="1" si="142"/>
        <v>650.45372160733439</v>
      </c>
    </row>
    <row r="321" spans="2:135" ht="13.8" x14ac:dyDescent="0.45">
      <c r="B321" s="128">
        <v>2037</v>
      </c>
      <c r="C321" s="244">
        <f>'Total MSW Summaries (Archive)'!G28</f>
        <v>884.63385450202782</v>
      </c>
      <c r="D321" s="244">
        <f>'Total MSW Summaries (Archive)'!S28</f>
        <v>569.97569370456722</v>
      </c>
      <c r="E321" s="244">
        <f>'Total MSW Summaries (Archive)'!AE28</f>
        <v>711.52</v>
      </c>
      <c r="F321" s="244">
        <f>'Total MSW Summaries (Archive)'!AQ28</f>
        <v>534.1217751233828</v>
      </c>
      <c r="G321" s="244">
        <f>'Total MSW Summaries (Archive)'!BC28</f>
        <v>378.43243243243251</v>
      </c>
      <c r="H321" s="245"/>
      <c r="I321" s="246"/>
      <c r="J321" s="247"/>
      <c r="K321" s="245"/>
      <c r="L321" s="246"/>
      <c r="M321" s="245"/>
      <c r="N321" s="29" t="s">
        <v>119</v>
      </c>
      <c r="O321" s="120"/>
      <c r="P321" s="120"/>
      <c r="Q321" s="120"/>
      <c r="R321" s="29">
        <v>23</v>
      </c>
      <c r="S321" s="238">
        <f t="shared" si="143"/>
        <v>378.43243243243251</v>
      </c>
      <c r="T321" s="238">
        <f t="shared" si="144"/>
        <v>884.63385450202782</v>
      </c>
      <c r="U321" s="238">
        <f t="shared" si="145"/>
        <v>171.20076011731402</v>
      </c>
      <c r="W321" s="238">
        <f t="shared" si="158"/>
        <v>444.53599103516802</v>
      </c>
      <c r="X321" s="238">
        <f t="shared" si="146"/>
        <v>615.73675115248204</v>
      </c>
      <c r="Y321" s="238">
        <f t="shared" si="147"/>
        <v>786.937511269796</v>
      </c>
      <c r="AA321" s="89"/>
      <c r="AB321" s="89"/>
      <c r="AC321" s="89"/>
      <c r="AD321" s="89"/>
      <c r="AE321" s="89"/>
      <c r="AF321" s="89"/>
      <c r="AG321" s="89"/>
      <c r="AH321" s="89"/>
      <c r="AI321" s="89"/>
      <c r="AJ321" s="89"/>
      <c r="AK321" s="89"/>
      <c r="AL321" s="89"/>
      <c r="AM321" s="89"/>
      <c r="AN321" s="89"/>
      <c r="BR321" s="180">
        <v>2035</v>
      </c>
      <c r="BS321" s="22">
        <v>21</v>
      </c>
      <c r="BT321" s="198">
        <f t="shared" si="159"/>
        <v>326.30093094693729</v>
      </c>
      <c r="BU321" s="276">
        <f t="shared" si="160"/>
        <v>262.1103819006978</v>
      </c>
      <c r="BV321" s="205">
        <f t="shared" si="161"/>
        <v>588.41131284763514</v>
      </c>
      <c r="BY321" s="180">
        <v>2035</v>
      </c>
      <c r="BZ321" s="22">
        <v>21</v>
      </c>
      <c r="CA321" s="198">
        <f t="shared" ca="1" si="162"/>
        <v>51.069602333208735</v>
      </c>
      <c r="CB321" s="198">
        <f t="shared" ca="1" si="163"/>
        <v>248.48058453442877</v>
      </c>
      <c r="CC321" s="276">
        <f t="shared" ca="1" si="174"/>
        <v>282.49190119921195</v>
      </c>
      <c r="CD321" s="205">
        <f t="shared" ca="1" si="164"/>
        <v>582.04208806684949</v>
      </c>
      <c r="CG321" s="180">
        <v>2035</v>
      </c>
      <c r="CH321" s="22">
        <v>21</v>
      </c>
      <c r="CI321" s="198">
        <f t="shared" ca="1" si="165"/>
        <v>3.7023289381109521</v>
      </c>
      <c r="CJ321" s="198">
        <f t="shared" ca="1" si="166"/>
        <v>42.607136188955153</v>
      </c>
      <c r="CK321" s="198">
        <f t="shared" ca="1" si="167"/>
        <v>253.72093311304303</v>
      </c>
      <c r="CL321" s="276">
        <f t="shared" ca="1" si="168"/>
        <v>281.77422266452913</v>
      </c>
      <c r="CM321" s="205">
        <f t="shared" ca="1" si="169"/>
        <v>581.80462090463834</v>
      </c>
      <c r="CP321" s="180">
        <v>2035</v>
      </c>
      <c r="CQ321" s="22">
        <v>21</v>
      </c>
      <c r="CR321" s="198">
        <f t="shared" ca="1" si="170"/>
        <v>297.31086370130703</v>
      </c>
      <c r="CS321" s="276">
        <f t="shared" ca="1" si="171"/>
        <v>1.9335808981390692</v>
      </c>
      <c r="CT321" s="205">
        <f t="shared" ca="1" si="172"/>
        <v>574.87460686207567</v>
      </c>
      <c r="CZ321" s="164" t="b">
        <f t="shared" si="148"/>
        <v>1</v>
      </c>
      <c r="DA321" s="165" t="b">
        <f t="shared" si="148"/>
        <v>1</v>
      </c>
      <c r="DB321" s="166" t="b">
        <f t="shared" si="148"/>
        <v>1</v>
      </c>
      <c r="DC321" s="164">
        <f t="shared" si="149"/>
        <v>23</v>
      </c>
      <c r="DD321" s="166">
        <f t="shared" si="150"/>
        <v>444.53599103516802</v>
      </c>
      <c r="DE321" s="164">
        <f t="shared" si="151"/>
        <v>23</v>
      </c>
      <c r="DF321" s="166">
        <f t="shared" si="152"/>
        <v>615.73675115248204</v>
      </c>
      <c r="DG321" s="164">
        <f t="shared" si="153"/>
        <v>23</v>
      </c>
      <c r="DH321" s="166">
        <f t="shared" si="154"/>
        <v>786.937511269796</v>
      </c>
      <c r="DI321" s="164">
        <f>IFERROR(INDEX(DC$296:DC$344,_xlfn.AGGREGATE(15,6,(ROW(DC$296:DC$344)-ROW(DC$296)+1)/(DC$296:DC$344&lt;&gt;""),ROWS(DI$1:DI26))),"")</f>
        <v>26</v>
      </c>
      <c r="DJ321" s="165">
        <f>IFERROR(INDEX(DD$296:DD$344,_xlfn.AGGREGATE(15,6,(ROW(DD$296:DD$344)-ROW(DD$296)+1)/(DD$296:DD$344&lt;&gt;""),ROWS(DJ$1:DJ26))),"")</f>
        <v>484.67211211415622</v>
      </c>
      <c r="DK321" s="166">
        <f t="shared" si="155"/>
        <v>321</v>
      </c>
      <c r="DL321" s="164">
        <f>IFERROR(INDEX(DE$296:DE$344,_xlfn.AGGREGATE(15,6,(ROW(DE$296:DE$344)-ROW(DE$296)+1)/(DE$296:DE$344&lt;&gt;""),ROWS(DL$1:DL26))),"")</f>
        <v>26</v>
      </c>
      <c r="DM321" s="165">
        <f>IFERROR(INDEX(DF$296:DF$344,_xlfn.AGGREGATE(15,6,(ROW(DF$296:DF$344)-ROW(DF$296)+1)/(DF$296:DF$344&lt;&gt;""),ROWS(DM$1:DM26))),"")</f>
        <v>667.95785780242488</v>
      </c>
      <c r="DN321" s="166">
        <f t="shared" si="156"/>
        <v>321</v>
      </c>
      <c r="DO321" s="164">
        <f>IFERROR(INDEX(DG$296:DG$344,_xlfn.AGGREGATE(15,6,(ROW(DG$296:DG$344)-ROW(DG$296)+1)/(DG$296:DG$344&lt;&gt;""),ROWS(DO$1:DO26))),"")</f>
        <v>26</v>
      </c>
      <c r="DP321" s="165">
        <f>IFERROR(INDEX(DH$296:DH$344,_xlfn.AGGREGATE(15,6,(ROW(DH$296:DH$344)-ROW(DH$296)+1)/(DH$296:DH$344&lt;&gt;""),ROWS(DP$1:DP26))),"")</f>
        <v>851.24360349069354</v>
      </c>
      <c r="DQ321" s="166">
        <f t="shared" si="157"/>
        <v>321</v>
      </c>
      <c r="DV321" s="145">
        <v>2040</v>
      </c>
      <c r="DW321" s="235">
        <f t="shared" ca="1" si="142"/>
        <v>668.2429903817083</v>
      </c>
    </row>
    <row r="322" spans="2:135" ht="13.8" x14ac:dyDescent="0.45">
      <c r="B322" s="128">
        <v>2038</v>
      </c>
      <c r="C322" s="244">
        <f>'Total MSW Summaries (Archive)'!G29</f>
        <v>908.73774942500552</v>
      </c>
      <c r="D322" s="244">
        <f>'Total MSW Summaries (Archive)'!S29</f>
        <v>592.54315342866789</v>
      </c>
      <c r="E322" s="244">
        <f>'Total MSW Summaries (Archive)'!AE29</f>
        <v>725.36</v>
      </c>
      <c r="F322" s="244">
        <f>'Total MSW Summaries (Archive)'!AQ29</f>
        <v>551.04293966971829</v>
      </c>
      <c r="G322" s="244">
        <f>'Total MSW Summaries (Archive)'!BC29</f>
        <v>387.78378378378386</v>
      </c>
      <c r="H322" s="245"/>
      <c r="I322" s="246"/>
      <c r="J322" s="247"/>
      <c r="K322" s="245"/>
      <c r="L322" s="246"/>
      <c r="M322" s="245"/>
      <c r="N322" s="29" t="s">
        <v>119</v>
      </c>
      <c r="O322" s="120"/>
      <c r="P322" s="120"/>
      <c r="Q322" s="120"/>
      <c r="R322" s="29">
        <v>24</v>
      </c>
      <c r="S322" s="238">
        <f t="shared" si="143"/>
        <v>387.78378378378386</v>
      </c>
      <c r="T322" s="238">
        <f t="shared" si="144"/>
        <v>908.73774942500552</v>
      </c>
      <c r="U322" s="238">
        <f t="shared" si="145"/>
        <v>174.95504633532028</v>
      </c>
      <c r="W322" s="238">
        <f t="shared" si="158"/>
        <v>458.13847892611489</v>
      </c>
      <c r="X322" s="238">
        <f t="shared" si="146"/>
        <v>633.09352526143516</v>
      </c>
      <c r="Y322" s="238">
        <f t="shared" si="147"/>
        <v>808.04857159675544</v>
      </c>
      <c r="AA322" s="89"/>
      <c r="AB322" s="89"/>
      <c r="AC322" s="89"/>
      <c r="AD322" s="89"/>
      <c r="AE322" s="89"/>
      <c r="AF322" s="89"/>
      <c r="AG322" s="89"/>
      <c r="AH322" s="89"/>
      <c r="AI322" s="89"/>
      <c r="AJ322" s="89"/>
      <c r="AK322" s="89"/>
      <c r="AL322" s="89"/>
      <c r="AM322" s="89"/>
      <c r="AN322" s="89"/>
      <c r="BR322" s="180">
        <v>2036</v>
      </c>
      <c r="BS322" s="22">
        <v>22</v>
      </c>
      <c r="BT322" s="198">
        <f t="shared" si="159"/>
        <v>341.83907051583907</v>
      </c>
      <c r="BU322" s="276">
        <f t="shared" si="160"/>
        <v>262.1103819006978</v>
      </c>
      <c r="BV322" s="205">
        <f t="shared" si="161"/>
        <v>603.94945241653681</v>
      </c>
      <c r="BY322" s="180">
        <v>2036</v>
      </c>
      <c r="BZ322" s="22">
        <v>22</v>
      </c>
      <c r="CA322" s="198">
        <f t="shared" ca="1" si="162"/>
        <v>56.049178070913896</v>
      </c>
      <c r="CB322" s="198">
        <f t="shared" ca="1" si="163"/>
        <v>260.31299332178253</v>
      </c>
      <c r="CC322" s="276">
        <f t="shared" ca="1" si="174"/>
        <v>282.49190119921195</v>
      </c>
      <c r="CD322" s="205">
        <f t="shared" ca="1" si="164"/>
        <v>598.85407259190833</v>
      </c>
      <c r="CG322" s="180">
        <v>2036</v>
      </c>
      <c r="CH322" s="22">
        <v>22</v>
      </c>
      <c r="CI322" s="198">
        <f t="shared" ca="1" si="165"/>
        <v>4.2568187596377731</v>
      </c>
      <c r="CJ322" s="198">
        <f t="shared" ca="1" si="166"/>
        <v>46.76157350443151</v>
      </c>
      <c r="CK322" s="198">
        <f t="shared" ca="1" si="167"/>
        <v>265.80288230890221</v>
      </c>
      <c r="CL322" s="276">
        <f t="shared" ca="1" si="168"/>
        <v>281.77422266452913</v>
      </c>
      <c r="CM322" s="205">
        <f t="shared" ca="1" si="169"/>
        <v>598.59549723750069</v>
      </c>
      <c r="CP322" s="180">
        <v>2036</v>
      </c>
      <c r="CQ322" s="22">
        <v>22</v>
      </c>
      <c r="CR322" s="198">
        <f t="shared" ca="1" si="170"/>
        <v>297.31086370130703</v>
      </c>
      <c r="CS322" s="276">
        <f t="shared" ca="1" si="171"/>
        <v>1.9952561093321737</v>
      </c>
      <c r="CT322" s="205">
        <f t="shared" ca="1" si="172"/>
        <v>593.21131717085802</v>
      </c>
      <c r="CZ322" s="164" t="b">
        <f t="shared" si="148"/>
        <v>1</v>
      </c>
      <c r="DA322" s="165" t="b">
        <f t="shared" si="148"/>
        <v>1</v>
      </c>
      <c r="DB322" s="166" t="b">
        <f t="shared" si="148"/>
        <v>1</v>
      </c>
      <c r="DC322" s="164">
        <f t="shared" si="149"/>
        <v>24</v>
      </c>
      <c r="DD322" s="166">
        <f t="shared" si="150"/>
        <v>458.13847892611489</v>
      </c>
      <c r="DE322" s="164">
        <f t="shared" si="151"/>
        <v>24</v>
      </c>
      <c r="DF322" s="166">
        <f t="shared" si="152"/>
        <v>633.09352526143516</v>
      </c>
      <c r="DG322" s="164">
        <f t="shared" si="153"/>
        <v>24</v>
      </c>
      <c r="DH322" s="166">
        <f t="shared" si="154"/>
        <v>808.04857159675544</v>
      </c>
      <c r="DI322" s="164">
        <f>IFERROR(INDEX(DC$296:DC$344,_xlfn.AGGREGATE(15,6,(ROW(DC$296:DC$344)-ROW(DC$296)+1)/(DC$296:DC$344&lt;&gt;""),ROWS(DI$1:DI27))),"")</f>
        <v>27</v>
      </c>
      <c r="DJ322" s="165">
        <f>IFERROR(INDEX(DD$296:DD$344,_xlfn.AGGREGATE(15,6,(ROW(DD$296:DD$344)-ROW(DD$296)+1)/(DD$296:DD$344&lt;&gt;""),ROWS(DJ$1:DJ27))),"")</f>
        <v>499.50844867713965</v>
      </c>
      <c r="DK322" s="166">
        <f t="shared" si="155"/>
        <v>322</v>
      </c>
      <c r="DL322" s="164">
        <f>IFERROR(INDEX(DE$296:DE$344,_xlfn.AGGREGATE(15,6,(ROW(DE$296:DE$344)-ROW(DE$296)+1)/(DE$296:DE$344&lt;&gt;""),ROWS(DL$1:DL27))),"")</f>
        <v>27</v>
      </c>
      <c r="DM322" s="165">
        <f>IFERROR(INDEX(DF$296:DF$344,_xlfn.AGGREGATE(15,6,(ROW(DF$296:DF$344)-ROW(DF$296)+1)/(DF$296:DF$344&lt;&gt;""),ROWS(DM$1:DM27))),"")</f>
        <v>686.77976387165427</v>
      </c>
      <c r="DN322" s="166">
        <f t="shared" si="156"/>
        <v>322</v>
      </c>
      <c r="DO322" s="164">
        <f>IFERROR(INDEX(DG$296:DG$344,_xlfn.AGGREGATE(15,6,(ROW(DG$296:DG$344)-ROW(DG$296)+1)/(DG$296:DG$344&lt;&gt;""),ROWS(DO$1:DO27))),"")</f>
        <v>27</v>
      </c>
      <c r="DP322" s="165">
        <f>IFERROR(INDEX(DH$296:DH$344,_xlfn.AGGREGATE(15,6,(ROW(DH$296:DH$344)-ROW(DH$296)+1)/(DH$296:DH$344&lt;&gt;""),ROWS(DP$1:DP27))),"")</f>
        <v>874.05107906616888</v>
      </c>
      <c r="DQ322" s="166">
        <f t="shared" si="157"/>
        <v>322</v>
      </c>
      <c r="DV322" s="145">
        <v>2041</v>
      </c>
      <c r="DW322" s="235">
        <f t="shared" ca="1" si="142"/>
        <v>686.28785391197061</v>
      </c>
    </row>
    <row r="323" spans="2:135" ht="13.8" x14ac:dyDescent="0.45">
      <c r="B323" s="128">
        <v>2039</v>
      </c>
      <c r="C323" s="244">
        <f>'Total MSW Summaries (Archive)'!G30</f>
        <v>933.26511414921856</v>
      </c>
      <c r="D323" s="244">
        <f>'Total MSW Summaries (Archive)'!S30</f>
        <v>615.76333149123934</v>
      </c>
      <c r="E323" s="244">
        <f>'Total MSW Summaries (Archive)'!AE30</f>
        <v>739.2</v>
      </c>
      <c r="F323" s="244">
        <f>'Total MSW Summaries (Archive)'!AQ30</f>
        <v>568.23182318433999</v>
      </c>
      <c r="G323" s="244">
        <f>'Total MSW Summaries (Archive)'!BC30</f>
        <v>397.13513513513522</v>
      </c>
      <c r="H323" s="245"/>
      <c r="I323" s="246"/>
      <c r="J323" s="247"/>
      <c r="K323" s="245"/>
      <c r="L323" s="246"/>
      <c r="M323" s="245"/>
      <c r="N323" s="29" t="s">
        <v>119</v>
      </c>
      <c r="O323" s="120"/>
      <c r="P323" s="120"/>
      <c r="Q323" s="120"/>
      <c r="R323" s="29">
        <v>25</v>
      </c>
      <c r="S323" s="238">
        <f t="shared" si="143"/>
        <v>397.13513513513522</v>
      </c>
      <c r="T323" s="238">
        <f t="shared" si="144"/>
        <v>933.26511414921856</v>
      </c>
      <c r="U323" s="238">
        <f t="shared" si="145"/>
        <v>178.88096802147825</v>
      </c>
      <c r="W323" s="238">
        <f t="shared" si="158"/>
        <v>471.83811277050836</v>
      </c>
      <c r="X323" s="238">
        <f t="shared" si="146"/>
        <v>650.71908079198658</v>
      </c>
      <c r="Y323" s="238">
        <f t="shared" si="147"/>
        <v>829.60004881346481</v>
      </c>
      <c r="AA323" s="89"/>
      <c r="AB323" s="89"/>
      <c r="AC323" s="89"/>
      <c r="AD323" s="89"/>
      <c r="AE323" s="89"/>
      <c r="AF323" s="89"/>
      <c r="AG323" s="89"/>
      <c r="AH323" s="89"/>
      <c r="AI323" s="89"/>
      <c r="AJ323" s="89"/>
      <c r="AK323" s="89"/>
      <c r="AL323" s="89"/>
      <c r="AM323" s="89"/>
      <c r="AN323" s="89"/>
      <c r="BR323" s="180">
        <v>2037</v>
      </c>
      <c r="BS323" s="22">
        <v>23</v>
      </c>
      <c r="BT323" s="198">
        <f t="shared" si="159"/>
        <v>357.3772100847408</v>
      </c>
      <c r="BU323" s="276">
        <f t="shared" si="160"/>
        <v>262.1103819006978</v>
      </c>
      <c r="BV323" s="205">
        <f t="shared" si="161"/>
        <v>619.4875919854386</v>
      </c>
      <c r="BY323" s="180">
        <v>2037</v>
      </c>
      <c r="BZ323" s="22">
        <v>23</v>
      </c>
      <c r="CA323" s="198">
        <f t="shared" ca="1" si="162"/>
        <v>61.26036198246581</v>
      </c>
      <c r="CB323" s="198">
        <f t="shared" ca="1" si="163"/>
        <v>272.14540210913628</v>
      </c>
      <c r="CC323" s="276">
        <f t="shared" ca="1" si="174"/>
        <v>282.49190119921195</v>
      </c>
      <c r="CD323" s="205">
        <f t="shared" ca="1" si="164"/>
        <v>615.89766529081407</v>
      </c>
      <c r="CG323" s="180">
        <v>2037</v>
      </c>
      <c r="CH323" s="22">
        <v>23</v>
      </c>
      <c r="CI323" s="198">
        <f t="shared" ca="1" si="165"/>
        <v>4.8640790616559713</v>
      </c>
      <c r="CJ323" s="198">
        <f t="shared" ca="1" si="166"/>
        <v>51.109240462488152</v>
      </c>
      <c r="CK323" s="198">
        <f t="shared" ca="1" si="167"/>
        <v>277.88483150476139</v>
      </c>
      <c r="CL323" s="276">
        <f t="shared" ca="1" si="168"/>
        <v>281.77422266452913</v>
      </c>
      <c r="CM323" s="205">
        <f t="shared" ca="1" si="169"/>
        <v>615.6323736934346</v>
      </c>
      <c r="CP323" s="180">
        <v>2037</v>
      </c>
      <c r="CQ323" s="22">
        <v>23</v>
      </c>
      <c r="CR323" s="198">
        <f t="shared" ca="1" si="170"/>
        <v>297.31086370130703</v>
      </c>
      <c r="CS323" s="276">
        <f t="shared" ca="1" si="171"/>
        <v>2.0588985677603824</v>
      </c>
      <c r="CT323" s="205">
        <f t="shared" ca="1" si="172"/>
        <v>612.13291145422329</v>
      </c>
      <c r="CZ323" s="164" t="b">
        <f t="shared" si="148"/>
        <v>1</v>
      </c>
      <c r="DA323" s="165" t="b">
        <f t="shared" si="148"/>
        <v>1</v>
      </c>
      <c r="DB323" s="166" t="b">
        <f t="shared" si="148"/>
        <v>1</v>
      </c>
      <c r="DC323" s="164">
        <f t="shared" si="149"/>
        <v>25</v>
      </c>
      <c r="DD323" s="166">
        <f t="shared" si="150"/>
        <v>471.83811277050836</v>
      </c>
      <c r="DE323" s="164">
        <f t="shared" si="151"/>
        <v>25</v>
      </c>
      <c r="DF323" s="166">
        <f t="shared" si="152"/>
        <v>650.71908079198658</v>
      </c>
      <c r="DG323" s="164">
        <f t="shared" si="153"/>
        <v>25</v>
      </c>
      <c r="DH323" s="166">
        <f t="shared" si="154"/>
        <v>829.60004881346481</v>
      </c>
      <c r="DI323" s="164">
        <f>IFERROR(INDEX(DC$296:DC$344,_xlfn.AGGREGATE(15,6,(ROW(DC$296:DC$344)-ROW(DC$296)+1)/(DC$296:DC$344&lt;&gt;""),ROWS(DI$1:DI28))),"")</f>
        <v>28</v>
      </c>
      <c r="DJ323" s="165">
        <f>IFERROR(INDEX(DD$296:DD$344,_xlfn.AGGREGATE(15,6,(ROW(DD$296:DD$344)-ROW(DD$296)+1)/(DD$296:DD$344&lt;&gt;""),ROWS(DJ$1:DJ28))),"")</f>
        <v>513.2940727013239</v>
      </c>
      <c r="DK323" s="166">
        <f t="shared" si="155"/>
        <v>323</v>
      </c>
      <c r="DL323" s="164">
        <f>IFERROR(INDEX(DE$296:DE$344,_xlfn.AGGREGATE(15,6,(ROW(DE$296:DE$344)-ROW(DE$296)+1)/(DE$296:DE$344&lt;&gt;""),ROWS(DL$1:DL28))),"")</f>
        <v>28</v>
      </c>
      <c r="DM323" s="165">
        <f>IFERROR(INDEX(DF$296:DF$344,_xlfn.AGGREGATE(15,6,(ROW(DF$296:DF$344)-ROW(DF$296)+1)/(DF$296:DF$344&lt;&gt;""),ROWS(DM$1:DM28))),"")</f>
        <v>704.82634796880825</v>
      </c>
      <c r="DN323" s="166">
        <f t="shared" si="156"/>
        <v>323</v>
      </c>
      <c r="DO323" s="164">
        <f>IFERROR(INDEX(DG$296:DG$344,_xlfn.AGGREGATE(15,6,(ROW(DG$296:DG$344)-ROW(DG$296)+1)/(DG$296:DG$344&lt;&gt;""),ROWS(DO$1:DO28))),"")</f>
        <v>28</v>
      </c>
      <c r="DP323" s="165">
        <f>IFERROR(INDEX(DH$296:DH$344,_xlfn.AGGREGATE(15,6,(ROW(DH$296:DH$344)-ROW(DH$296)+1)/(DH$296:DH$344&lt;&gt;""),ROWS(DP$1:DP28))),"")</f>
        <v>896.3586232362926</v>
      </c>
      <c r="DQ323" s="166">
        <f t="shared" si="157"/>
        <v>323</v>
      </c>
      <c r="DV323" s="145">
        <v>2042</v>
      </c>
      <c r="DW323" s="235">
        <f t="shared" ca="1" si="142"/>
        <v>704.59071085632536</v>
      </c>
    </row>
    <row r="324" spans="2:135" ht="13.8" x14ac:dyDescent="0.45">
      <c r="B324" s="128">
        <v>2040</v>
      </c>
      <c r="C324" s="244">
        <f>'Total MSW Summaries (Archive)'!G31</f>
        <v>958.20477110058187</v>
      </c>
      <c r="D324" s="244">
        <f>'Total MSW Summaries (Archive)'!S31</f>
        <v>639.63860432594493</v>
      </c>
      <c r="E324" s="244">
        <f>'Total MSW Summaries (Archive)'!AE31</f>
        <v>753.04000000000008</v>
      </c>
      <c r="F324" s="244">
        <f>'Total MSW Summaries (Archive)'!AQ31</f>
        <v>582.41942709911052</v>
      </c>
      <c r="G324" s="244">
        <f>'Total MSW Summaries (Archive)'!BC31</f>
        <v>406.48648648648657</v>
      </c>
      <c r="H324" s="245"/>
      <c r="I324" s="246"/>
      <c r="J324" s="247"/>
      <c r="K324" s="245"/>
      <c r="L324" s="246"/>
      <c r="M324" s="245"/>
      <c r="N324" s="29" t="s">
        <v>119</v>
      </c>
      <c r="O324" s="120"/>
      <c r="P324" s="120"/>
      <c r="Q324" s="120"/>
      <c r="R324" s="29">
        <v>26</v>
      </c>
      <c r="S324" s="238">
        <f t="shared" si="143"/>
        <v>406.48648648648657</v>
      </c>
      <c r="T324" s="238">
        <f t="shared" si="144"/>
        <v>958.20477110058187</v>
      </c>
      <c r="U324" s="238">
        <f t="shared" si="145"/>
        <v>183.28574568826863</v>
      </c>
      <c r="W324" s="238">
        <f t="shared" si="158"/>
        <v>484.67211211415622</v>
      </c>
      <c r="X324" s="238">
        <f t="shared" si="146"/>
        <v>667.95785780242488</v>
      </c>
      <c r="Y324" s="238">
        <f t="shared" si="147"/>
        <v>851.24360349069354</v>
      </c>
      <c r="AA324" s="89"/>
      <c r="AB324" s="89"/>
      <c r="AC324" s="89"/>
      <c r="AD324" s="89"/>
      <c r="AE324" s="89"/>
      <c r="AF324" s="89"/>
      <c r="AG324" s="89"/>
      <c r="AH324" s="89"/>
      <c r="AI324" s="89"/>
      <c r="AJ324" s="89"/>
      <c r="AK324" s="89"/>
      <c r="AL324" s="89"/>
      <c r="AM324" s="89"/>
      <c r="AN324" s="89"/>
      <c r="BR324" s="180">
        <v>2038</v>
      </c>
      <c r="BS324" s="22">
        <v>24</v>
      </c>
      <c r="BT324" s="198">
        <f t="shared" si="159"/>
        <v>372.91534965364258</v>
      </c>
      <c r="BU324" s="276">
        <f t="shared" si="160"/>
        <v>262.1103819006978</v>
      </c>
      <c r="BV324" s="205">
        <f t="shared" si="161"/>
        <v>635.02573155434038</v>
      </c>
      <c r="BY324" s="180">
        <v>2038</v>
      </c>
      <c r="BZ324" s="22">
        <v>24</v>
      </c>
      <c r="CA324" s="198">
        <f t="shared" ca="1" si="162"/>
        <v>66.703154067864475</v>
      </c>
      <c r="CB324" s="198">
        <f t="shared" ca="1" si="163"/>
        <v>283.97781089649004</v>
      </c>
      <c r="CC324" s="276">
        <f t="shared" ca="1" si="174"/>
        <v>282.49190119921195</v>
      </c>
      <c r="CD324" s="205">
        <f t="shared" ca="1" si="164"/>
        <v>633.17286616356648</v>
      </c>
      <c r="CG324" s="180">
        <v>2038</v>
      </c>
      <c r="CH324" s="22">
        <v>24</v>
      </c>
      <c r="CI324" s="198">
        <f t="shared" ca="1" si="165"/>
        <v>5.5265085023697011</v>
      </c>
      <c r="CJ324" s="198">
        <f t="shared" ca="1" si="166"/>
        <v>55.650137063125101</v>
      </c>
      <c r="CK324" s="198">
        <f t="shared" ca="1" si="167"/>
        <v>289.96678070062057</v>
      </c>
      <c r="CL324" s="276">
        <f t="shared" ca="1" si="168"/>
        <v>281.77422266452913</v>
      </c>
      <c r="CM324" s="205">
        <f t="shared" ca="1" si="169"/>
        <v>632.91764893064453</v>
      </c>
      <c r="CP324" s="180">
        <v>2038</v>
      </c>
      <c r="CQ324" s="22">
        <v>24</v>
      </c>
      <c r="CR324" s="198">
        <f t="shared" ca="1" si="170"/>
        <v>297.31086370130703</v>
      </c>
      <c r="CS324" s="276">
        <f t="shared" ca="1" si="171"/>
        <v>2.1245710224862302</v>
      </c>
      <c r="CT324" s="205">
        <f t="shared" ca="1" si="172"/>
        <v>631.65804569015006</v>
      </c>
      <c r="CZ324" s="164" t="b">
        <f t="shared" si="148"/>
        <v>1</v>
      </c>
      <c r="DA324" s="165" t="b">
        <f t="shared" si="148"/>
        <v>1</v>
      </c>
      <c r="DB324" s="166" t="b">
        <f t="shared" si="148"/>
        <v>1</v>
      </c>
      <c r="DC324" s="164">
        <f t="shared" si="149"/>
        <v>26</v>
      </c>
      <c r="DD324" s="166">
        <f t="shared" si="150"/>
        <v>484.67211211415622</v>
      </c>
      <c r="DE324" s="164">
        <f t="shared" si="151"/>
        <v>26</v>
      </c>
      <c r="DF324" s="166">
        <f t="shared" si="152"/>
        <v>667.95785780242488</v>
      </c>
      <c r="DG324" s="164">
        <f t="shared" si="153"/>
        <v>26</v>
      </c>
      <c r="DH324" s="166">
        <f t="shared" si="154"/>
        <v>851.24360349069354</v>
      </c>
      <c r="DI324" s="164">
        <f>IFERROR(INDEX(DC$296:DC$344,_xlfn.AGGREGATE(15,6,(ROW(DC$296:DC$344)-ROW(DC$296)+1)/(DC$296:DC$344&lt;&gt;""),ROWS(DI$1:DI29))),"")</f>
        <v>29</v>
      </c>
      <c r="DJ324" s="165">
        <f>IFERROR(INDEX(DD$296:DD$344,_xlfn.AGGREGATE(15,6,(ROW(DD$296:DD$344)-ROW(DD$296)+1)/(DD$296:DD$344&lt;&gt;""),ROWS(DJ$1:DJ29))),"")</f>
        <v>527.16290681251633</v>
      </c>
      <c r="DK324" s="166">
        <f t="shared" si="155"/>
        <v>324</v>
      </c>
      <c r="DL324" s="164">
        <f>IFERROR(INDEX(DE$296:DE$344,_xlfn.AGGREGATE(15,6,(ROW(DE$296:DE$344)-ROW(DE$296)+1)/(DE$296:DE$344&lt;&gt;""),ROWS(DL$1:DL29))),"")</f>
        <v>29</v>
      </c>
      <c r="DM324" s="165">
        <f>IFERROR(INDEX(DF$296:DF$344,_xlfn.AGGREGATE(15,6,(ROW(DF$296:DF$344)-ROW(DF$296)+1)/(DF$296:DF$344&lt;&gt;""),ROWS(DM$1:DM29))),"")</f>
        <v>723.13419080147719</v>
      </c>
      <c r="DN324" s="166">
        <f t="shared" si="156"/>
        <v>324</v>
      </c>
      <c r="DO324" s="164">
        <f>IFERROR(INDEX(DG$296:DG$344,_xlfn.AGGREGATE(15,6,(ROW(DG$296:DG$344)-ROW(DG$296)+1)/(DG$296:DG$344&lt;&gt;""),ROWS(DO$1:DO29))),"")</f>
        <v>29</v>
      </c>
      <c r="DP324" s="165">
        <f>IFERROR(INDEX(DH$296:DH$344,_xlfn.AGGREGATE(15,6,(ROW(DH$296:DH$344)-ROW(DH$296)+1)/(DH$296:DH$344&lt;&gt;""),ROWS(DP$1:DP29))),"")</f>
        <v>919.10547479043805</v>
      </c>
      <c r="DQ324" s="166">
        <f t="shared" si="157"/>
        <v>324</v>
      </c>
      <c r="DV324" s="145">
        <v>2043</v>
      </c>
      <c r="DW324" s="235">
        <f t="shared" ca="1" si="142"/>
        <v>723.15395987297666</v>
      </c>
      <c r="EA324" s="55"/>
      <c r="EB324" s="55"/>
      <c r="EC324" s="55"/>
      <c r="ED324" s="55"/>
      <c r="EE324" s="55"/>
    </row>
    <row r="325" spans="2:135" ht="13.8" x14ac:dyDescent="0.45">
      <c r="B325" s="128">
        <v>2041</v>
      </c>
      <c r="C325" s="244">
        <f>'Total MSW Summaries (Archive)'!G32</f>
        <v>983.55103447401905</v>
      </c>
      <c r="D325" s="244">
        <f>'Total MSW Summaries (Archive)'!S32</f>
        <v>664.17471063038022</v>
      </c>
      <c r="E325" s="244">
        <f>'Total MSW Summaries (Archive)'!AE32</f>
        <v>766.88000000000011</v>
      </c>
      <c r="F325" s="244">
        <f>'Total MSW Summaries (Archive)'!AQ32</f>
        <v>603.45523641603427</v>
      </c>
      <c r="G325" s="244">
        <f>'Total MSW Summaries (Archive)'!BC32</f>
        <v>415.83783783783792</v>
      </c>
      <c r="H325" s="245"/>
      <c r="I325" s="246"/>
      <c r="J325" s="247"/>
      <c r="K325" s="245"/>
      <c r="L325" s="246"/>
      <c r="M325" s="245"/>
      <c r="N325" s="29" t="s">
        <v>119</v>
      </c>
      <c r="O325" s="120"/>
      <c r="P325" s="120"/>
      <c r="Q325" s="120"/>
      <c r="R325" s="29">
        <v>27</v>
      </c>
      <c r="S325" s="238">
        <f t="shared" si="143"/>
        <v>415.83783783783792</v>
      </c>
      <c r="T325" s="238">
        <f t="shared" si="144"/>
        <v>983.55103447401905</v>
      </c>
      <c r="U325" s="238">
        <f t="shared" si="145"/>
        <v>187.27131519451459</v>
      </c>
      <c r="W325" s="238">
        <f t="shared" si="158"/>
        <v>499.50844867713965</v>
      </c>
      <c r="X325" s="238">
        <f t="shared" si="146"/>
        <v>686.77976387165427</v>
      </c>
      <c r="Y325" s="238">
        <f t="shared" si="147"/>
        <v>874.05107906616888</v>
      </c>
      <c r="AA325" s="89"/>
      <c r="AB325" s="89"/>
      <c r="AC325" s="89"/>
      <c r="AD325" s="89"/>
      <c r="AE325" s="89"/>
      <c r="AF325" s="89"/>
      <c r="AG325" s="89"/>
      <c r="AH325" s="89"/>
      <c r="AI325" s="89"/>
      <c r="AJ325" s="89"/>
      <c r="AK325" s="89"/>
      <c r="AL325" s="89"/>
      <c r="AM325" s="89"/>
      <c r="AN325" s="89"/>
      <c r="BR325" s="180">
        <v>2039</v>
      </c>
      <c r="BS325" s="22">
        <v>25</v>
      </c>
      <c r="BT325" s="198">
        <f t="shared" si="159"/>
        <v>388.45348922254436</v>
      </c>
      <c r="BU325" s="276">
        <f t="shared" si="160"/>
        <v>262.1103819006978</v>
      </c>
      <c r="BV325" s="205">
        <f t="shared" si="161"/>
        <v>650.56387112324217</v>
      </c>
      <c r="BY325" s="180">
        <v>2039</v>
      </c>
      <c r="BZ325" s="22">
        <v>25</v>
      </c>
      <c r="CA325" s="198">
        <f t="shared" ca="1" si="162"/>
        <v>72.377554327109891</v>
      </c>
      <c r="CB325" s="198">
        <f t="shared" ca="1" si="163"/>
        <v>295.8102196838438</v>
      </c>
      <c r="CC325" s="276">
        <f t="shared" ca="1" si="174"/>
        <v>282.49190119921195</v>
      </c>
      <c r="CD325" s="205">
        <f t="shared" ca="1" si="164"/>
        <v>650.67967521016567</v>
      </c>
      <c r="CG325" s="180">
        <v>2039</v>
      </c>
      <c r="CH325" s="22">
        <v>25</v>
      </c>
      <c r="CI325" s="198">
        <f t="shared" ca="1" si="165"/>
        <v>6.2465057399831148</v>
      </c>
      <c r="CJ325" s="198">
        <f t="shared" ca="1" si="166"/>
        <v>60.384263306342341</v>
      </c>
      <c r="CK325" s="198">
        <f t="shared" ca="1" si="167"/>
        <v>302.04872989647981</v>
      </c>
      <c r="CL325" s="276">
        <f t="shared" ca="1" si="168"/>
        <v>281.77422266452913</v>
      </c>
      <c r="CM325" s="205">
        <f t="shared" ca="1" si="169"/>
        <v>650.45372160733439</v>
      </c>
      <c r="CP325" s="180">
        <v>2039</v>
      </c>
      <c r="CQ325" s="22">
        <v>25</v>
      </c>
      <c r="CR325" s="198">
        <f t="shared" ca="1" si="170"/>
        <v>297.31086370130703</v>
      </c>
      <c r="CS325" s="276">
        <f t="shared" ca="1" si="171"/>
        <v>2.1923382240720022</v>
      </c>
      <c r="CT325" s="205">
        <f t="shared" ca="1" si="172"/>
        <v>651.80597092423659</v>
      </c>
      <c r="CZ325" s="164" t="b">
        <f t="shared" si="148"/>
        <v>1</v>
      </c>
      <c r="DA325" s="165" t="b">
        <f t="shared" si="148"/>
        <v>1</v>
      </c>
      <c r="DB325" s="166" t="b">
        <f t="shared" si="148"/>
        <v>1</v>
      </c>
      <c r="DC325" s="164">
        <f t="shared" si="149"/>
        <v>27</v>
      </c>
      <c r="DD325" s="166">
        <f t="shared" si="150"/>
        <v>499.50844867713965</v>
      </c>
      <c r="DE325" s="164">
        <f t="shared" si="151"/>
        <v>27</v>
      </c>
      <c r="DF325" s="166">
        <f t="shared" si="152"/>
        <v>686.77976387165427</v>
      </c>
      <c r="DG325" s="164">
        <f t="shared" si="153"/>
        <v>27</v>
      </c>
      <c r="DH325" s="166">
        <f t="shared" si="154"/>
        <v>874.05107906616888</v>
      </c>
      <c r="DI325" s="164">
        <f>IFERROR(INDEX(DC$296:DC$344,_xlfn.AGGREGATE(15,6,(ROW(DC$296:DC$344)-ROW(DC$296)+1)/(DC$296:DC$344&lt;&gt;""),ROWS(DI$1:DI30))),"")</f>
        <v>30</v>
      </c>
      <c r="DJ325" s="165">
        <f>IFERROR(INDEX(DD$296:DD$344,_xlfn.AGGREGATE(15,6,(ROW(DD$296:DD$344)-ROW(DD$296)+1)/(DD$296:DD$344&lt;&gt;""),ROWS(DJ$1:DJ30))),"")</f>
        <v>541.11267263613399</v>
      </c>
      <c r="DK325" s="166">
        <f t="shared" si="155"/>
        <v>325</v>
      </c>
      <c r="DL325" s="164">
        <f>IFERROR(INDEX(DE$296:DE$344,_xlfn.AGGREGATE(15,6,(ROW(DE$296:DE$344)-ROW(DE$296)+1)/(DE$296:DE$344&lt;&gt;""),ROWS(DL$1:DL30))),"")</f>
        <v>30</v>
      </c>
      <c r="DM325" s="165">
        <f>IFERROR(INDEX(DF$296:DF$344,_xlfn.AGGREGATE(15,6,(ROW(DF$296:DF$344)-ROW(DF$296)+1)/(DF$296:DF$344&lt;&gt;""),ROWS(DM$1:DM30))),"")</f>
        <v>741.70439028718761</v>
      </c>
      <c r="DN325" s="166">
        <f t="shared" si="156"/>
        <v>325</v>
      </c>
      <c r="DO325" s="164">
        <f>IFERROR(INDEX(DG$296:DG$344,_xlfn.AGGREGATE(15,6,(ROW(DG$296:DG$344)-ROW(DG$296)+1)/(DG$296:DG$344&lt;&gt;""),ROWS(DO$1:DO30))),"")</f>
        <v>30</v>
      </c>
      <c r="DP325" s="165">
        <f>IFERROR(INDEX(DH$296:DH$344,_xlfn.AGGREGATE(15,6,(ROW(DH$296:DH$344)-ROW(DH$296)+1)/(DH$296:DH$344&lt;&gt;""),ROWS(DP$1:DP30))),"")</f>
        <v>942.29610793824122</v>
      </c>
      <c r="DQ325" s="166">
        <f t="shared" si="157"/>
        <v>325</v>
      </c>
      <c r="DV325" s="145">
        <v>2044</v>
      </c>
      <c r="DW325" s="235">
        <f t="shared" ca="1" si="142"/>
        <v>741.97999962012864</v>
      </c>
      <c r="EA325" s="55"/>
      <c r="EB325" s="55"/>
      <c r="EC325" s="55"/>
      <c r="ED325" s="55"/>
      <c r="EE325" s="55"/>
    </row>
    <row r="326" spans="2:135" ht="13.8" x14ac:dyDescent="0.45">
      <c r="B326" s="128">
        <v>2042</v>
      </c>
      <c r="C326" s="244">
        <f>'Total MSW Summaries (Archive)'!G33</f>
        <v>1008.4395577494223</v>
      </c>
      <c r="D326" s="244">
        <f>'Total MSW Summaries (Archive)'!S33</f>
        <v>688.79072514284917</v>
      </c>
      <c r="E326" s="244">
        <f>'Total MSW Summaries (Archive)'!AE33</f>
        <v>780.72000000000014</v>
      </c>
      <c r="F326" s="244">
        <f>'Total MSW Summaries (Archive)'!AQ33</f>
        <v>620.9922677625807</v>
      </c>
      <c r="G326" s="244">
        <f>'Total MSW Summaries (Archive)'!BC33</f>
        <v>425.18918918918928</v>
      </c>
      <c r="H326" s="245"/>
      <c r="I326" s="246"/>
      <c r="J326" s="247"/>
      <c r="K326" s="245"/>
      <c r="L326" s="246"/>
      <c r="M326" s="245"/>
      <c r="N326" s="29" t="s">
        <v>119</v>
      </c>
      <c r="O326" s="120"/>
      <c r="P326" s="120"/>
      <c r="Q326" s="120"/>
      <c r="R326" s="29">
        <v>28</v>
      </c>
      <c r="S326" s="238">
        <f t="shared" si="143"/>
        <v>425.18918918918928</v>
      </c>
      <c r="T326" s="238">
        <f t="shared" si="144"/>
        <v>1008.4395577494223</v>
      </c>
      <c r="U326" s="238">
        <f t="shared" si="145"/>
        <v>191.53227526748435</v>
      </c>
      <c r="W326" s="238">
        <f t="shared" si="158"/>
        <v>513.2940727013239</v>
      </c>
      <c r="X326" s="238">
        <f t="shared" si="146"/>
        <v>704.82634796880825</v>
      </c>
      <c r="Y326" s="238">
        <f t="shared" si="147"/>
        <v>896.3586232362926</v>
      </c>
      <c r="AA326" s="89"/>
      <c r="AB326" s="89"/>
      <c r="AC326" s="89"/>
      <c r="AD326" s="89"/>
      <c r="AE326" s="89"/>
      <c r="AF326" s="89"/>
      <c r="AG326" s="89"/>
      <c r="AH326" s="89"/>
      <c r="AI326" s="89"/>
      <c r="AJ326" s="89"/>
      <c r="AK326" s="89"/>
      <c r="AL326" s="89"/>
      <c r="AM326" s="89"/>
      <c r="AN326" s="89"/>
      <c r="BR326" s="180">
        <v>2040</v>
      </c>
      <c r="BS326" s="22">
        <v>26</v>
      </c>
      <c r="BT326" s="198">
        <f t="shared" si="159"/>
        <v>403.99162879144615</v>
      </c>
      <c r="BU326" s="276">
        <f t="shared" si="160"/>
        <v>262.1103819006978</v>
      </c>
      <c r="BV326" s="205">
        <f t="shared" si="161"/>
        <v>666.10201069214395</v>
      </c>
      <c r="BY326" s="180">
        <v>2040</v>
      </c>
      <c r="BZ326" s="22">
        <v>26</v>
      </c>
      <c r="CA326" s="198">
        <f t="shared" ca="1" si="162"/>
        <v>78.283562760202059</v>
      </c>
      <c r="CB326" s="198">
        <f t="shared" ca="1" si="163"/>
        <v>307.64262847119755</v>
      </c>
      <c r="CC326" s="276">
        <f t="shared" ca="1" si="174"/>
        <v>282.49190119921195</v>
      </c>
      <c r="CD326" s="205">
        <f t="shared" ca="1" si="164"/>
        <v>668.41809243061152</v>
      </c>
      <c r="CG326" s="180">
        <v>2040</v>
      </c>
      <c r="CH326" s="22">
        <v>26</v>
      </c>
      <c r="CI326" s="198">
        <f t="shared" ca="1" si="165"/>
        <v>7.0264694327003667</v>
      </c>
      <c r="CJ326" s="198">
        <f t="shared" ca="1" si="166"/>
        <v>65.311619192139872</v>
      </c>
      <c r="CK326" s="198">
        <f t="shared" ca="1" si="167"/>
        <v>314.13067909233899</v>
      </c>
      <c r="CL326" s="276">
        <f t="shared" ca="1" si="168"/>
        <v>281.77422266452913</v>
      </c>
      <c r="CM326" s="205">
        <f t="shared" ca="1" si="169"/>
        <v>668.2429903817083</v>
      </c>
      <c r="CP326" s="180">
        <v>2040</v>
      </c>
      <c r="CQ326" s="22">
        <v>26</v>
      </c>
      <c r="CR326" s="198">
        <f t="shared" ca="1" si="170"/>
        <v>297.31086370130703</v>
      </c>
      <c r="CS326" s="276">
        <f t="shared" ca="1" si="171"/>
        <v>2.2622669884213447</v>
      </c>
      <c r="CT326" s="205">
        <f t="shared" ca="1" si="172"/>
        <v>672.59655225050471</v>
      </c>
      <c r="CZ326" s="164" t="b">
        <f t="shared" si="148"/>
        <v>1</v>
      </c>
      <c r="DA326" s="165" t="b">
        <f t="shared" si="148"/>
        <v>1</v>
      </c>
      <c r="DB326" s="166" t="b">
        <f t="shared" si="148"/>
        <v>1</v>
      </c>
      <c r="DC326" s="164">
        <f t="shared" si="149"/>
        <v>28</v>
      </c>
      <c r="DD326" s="166">
        <f t="shared" si="150"/>
        <v>513.2940727013239</v>
      </c>
      <c r="DE326" s="164">
        <f t="shared" si="151"/>
        <v>28</v>
      </c>
      <c r="DF326" s="166">
        <f t="shared" si="152"/>
        <v>704.82634796880825</v>
      </c>
      <c r="DG326" s="164">
        <f t="shared" si="153"/>
        <v>28</v>
      </c>
      <c r="DH326" s="166">
        <f t="shared" si="154"/>
        <v>896.3586232362926</v>
      </c>
      <c r="DI326" s="164">
        <f>IFERROR(INDEX(DC$296:DC$344,_xlfn.AGGREGATE(15,6,(ROW(DC$296:DC$344)-ROW(DC$296)+1)/(DC$296:DC$344&lt;&gt;""),ROWS(DI$1:DI31))),"")</f>
        <v>31</v>
      </c>
      <c r="DJ326" s="165">
        <f>IFERROR(INDEX(DD$296:DD$344,_xlfn.AGGREGATE(15,6,(ROW(DD$296:DD$344)-ROW(DD$296)+1)/(DD$296:DD$344&lt;&gt;""),ROWS(DJ$1:DJ31))),"")</f>
        <v>555.5810277749091</v>
      </c>
      <c r="DK326" s="166">
        <f t="shared" si="155"/>
        <v>326</v>
      </c>
      <c r="DL326" s="164">
        <f>IFERROR(INDEX(DE$296:DE$344,_xlfn.AGGREGATE(15,6,(ROW(DE$296:DE$344)-ROW(DE$296)+1)/(DE$296:DE$344&lt;&gt;""),ROWS(DL$1:DL31))),"")</f>
        <v>31</v>
      </c>
      <c r="DM326" s="165">
        <f>IFERROR(INDEX(DF$296:DF$344,_xlfn.AGGREGATE(15,6,(ROW(DF$296:DF$344)-ROW(DF$296)+1)/(DF$296:DF$344&lt;&gt;""),ROWS(DM$1:DM31))),"")</f>
        <v>760.84982165960912</v>
      </c>
      <c r="DN326" s="166">
        <f t="shared" si="156"/>
        <v>326</v>
      </c>
      <c r="DO326" s="164">
        <f>IFERROR(INDEX(DG$296:DG$344,_xlfn.AGGREGATE(15,6,(ROW(DG$296:DG$344)-ROW(DG$296)+1)/(DG$296:DG$344&lt;&gt;""),ROWS(DO$1:DO31))),"")</f>
        <v>31</v>
      </c>
      <c r="DP326" s="165">
        <f>IFERROR(INDEX(DH$296:DH$344,_xlfn.AGGREGATE(15,6,(ROW(DH$296:DH$344)-ROW(DH$296)+1)/(DH$296:DH$344&lt;&gt;""),ROWS(DP$1:DP31))),"")</f>
        <v>966.11861554430914</v>
      </c>
      <c r="DQ326" s="166">
        <f t="shared" si="157"/>
        <v>326</v>
      </c>
      <c r="DV326" s="145">
        <v>2045</v>
      </c>
      <c r="DW326" s="235">
        <f t="shared" ca="1" si="142"/>
        <v>761.07122875598566</v>
      </c>
      <c r="EA326" s="55"/>
      <c r="EB326" s="55"/>
      <c r="EC326" s="55"/>
      <c r="ED326" s="55"/>
      <c r="EE326" s="55"/>
    </row>
    <row r="327" spans="2:135" ht="13.8" x14ac:dyDescent="0.45">
      <c r="B327" s="128">
        <v>2043</v>
      </c>
      <c r="C327" s="244">
        <f>'Total MSW Summaries (Archive)'!G34</f>
        <v>1033.6926760496237</v>
      </c>
      <c r="D327" s="244">
        <f>'Total MSW Summaries (Archive)'!S34</f>
        <v>714.04405838023661</v>
      </c>
      <c r="E327" s="244">
        <f>'Total MSW Summaries (Archive)'!AE34</f>
        <v>794.56000000000017</v>
      </c>
      <c r="F327" s="244">
        <f>'Total MSW Summaries (Archive)'!AQ34</f>
        <v>638.83367903698525</v>
      </c>
      <c r="G327" s="244">
        <f>'Total MSW Summaries (Archive)'!BC34</f>
        <v>434.54054054054063</v>
      </c>
      <c r="H327" s="245"/>
      <c r="I327" s="246"/>
      <c r="J327" s="247"/>
      <c r="K327" s="245"/>
      <c r="L327" s="246"/>
      <c r="M327" s="245"/>
      <c r="N327" s="29" t="s">
        <v>119</v>
      </c>
      <c r="O327" s="120"/>
      <c r="P327" s="120"/>
      <c r="Q327" s="120"/>
      <c r="R327" s="29">
        <v>29</v>
      </c>
      <c r="S327" s="238">
        <f t="shared" si="143"/>
        <v>434.54054054054063</v>
      </c>
      <c r="T327" s="238">
        <f t="shared" si="144"/>
        <v>1033.6926760496237</v>
      </c>
      <c r="U327" s="238">
        <f t="shared" si="145"/>
        <v>195.97128398896089</v>
      </c>
      <c r="W327" s="238">
        <f t="shared" si="158"/>
        <v>527.16290681251633</v>
      </c>
      <c r="X327" s="238">
        <f t="shared" si="146"/>
        <v>723.13419080147719</v>
      </c>
      <c r="Y327" s="238">
        <f t="shared" si="147"/>
        <v>919.10547479043805</v>
      </c>
      <c r="AA327" s="89"/>
      <c r="AB327" s="89"/>
      <c r="AC327" s="89"/>
      <c r="AD327" s="89"/>
      <c r="AE327" s="89"/>
      <c r="AF327" s="89"/>
      <c r="AG327" s="89"/>
      <c r="AH327" s="89"/>
      <c r="AI327" s="89"/>
      <c r="AJ327" s="89"/>
      <c r="AK327" s="89"/>
      <c r="AL327" s="89"/>
      <c r="AM327" s="89"/>
      <c r="AN327" s="89"/>
      <c r="BR327" s="180">
        <v>2041</v>
      </c>
      <c r="BS327" s="22">
        <v>27</v>
      </c>
      <c r="BT327" s="198">
        <f t="shared" si="159"/>
        <v>419.52976836034793</v>
      </c>
      <c r="BU327" s="276">
        <f t="shared" si="160"/>
        <v>262.1103819006978</v>
      </c>
      <c r="BV327" s="205">
        <f t="shared" si="161"/>
        <v>681.64015026104573</v>
      </c>
      <c r="BY327" s="180">
        <v>2041</v>
      </c>
      <c r="BZ327" s="22">
        <v>27</v>
      </c>
      <c r="CA327" s="198">
        <f t="shared" ca="1" si="162"/>
        <v>84.421179367140979</v>
      </c>
      <c r="CB327" s="198">
        <f t="shared" ca="1" si="163"/>
        <v>319.47503725855125</v>
      </c>
      <c r="CC327" s="276">
        <f t="shared" ca="1" si="174"/>
        <v>282.49190119921195</v>
      </c>
      <c r="CD327" s="205">
        <f t="shared" ca="1" si="164"/>
        <v>686.38811782490416</v>
      </c>
      <c r="CG327" s="180">
        <v>2041</v>
      </c>
      <c r="CH327" s="22">
        <v>27</v>
      </c>
      <c r="CI327" s="198">
        <f t="shared" ca="1" si="165"/>
        <v>7.868798238725609</v>
      </c>
      <c r="CJ327" s="198">
        <f t="shared" ca="1" si="166"/>
        <v>70.432204720517703</v>
      </c>
      <c r="CK327" s="198">
        <f t="shared" ca="1" si="167"/>
        <v>326.21262828819818</v>
      </c>
      <c r="CL327" s="276">
        <f t="shared" ca="1" si="168"/>
        <v>281.77422266452913</v>
      </c>
      <c r="CM327" s="205">
        <f t="shared" ca="1" si="169"/>
        <v>686.28785391197061</v>
      </c>
      <c r="CP327" s="180">
        <v>2041</v>
      </c>
      <c r="CQ327" s="22">
        <v>27</v>
      </c>
      <c r="CR327" s="198">
        <f t="shared" ca="1" si="170"/>
        <v>297.31086370130703</v>
      </c>
      <c r="CS327" s="276">
        <f t="shared" ca="1" si="171"/>
        <v>2.3344262626572241</v>
      </c>
      <c r="CT327" s="205">
        <f t="shared" ca="1" si="172"/>
        <v>694.05028839763349</v>
      </c>
      <c r="CZ327" s="164" t="b">
        <f t="shared" si="148"/>
        <v>1</v>
      </c>
      <c r="DA327" s="165" t="b">
        <f t="shared" si="148"/>
        <v>1</v>
      </c>
      <c r="DB327" s="166" t="b">
        <f t="shared" si="148"/>
        <v>1</v>
      </c>
      <c r="DC327" s="164">
        <f t="shared" si="149"/>
        <v>29</v>
      </c>
      <c r="DD327" s="166">
        <f t="shared" si="150"/>
        <v>527.16290681251633</v>
      </c>
      <c r="DE327" s="164">
        <f t="shared" si="151"/>
        <v>29</v>
      </c>
      <c r="DF327" s="166">
        <f t="shared" si="152"/>
        <v>723.13419080147719</v>
      </c>
      <c r="DG327" s="164">
        <f t="shared" si="153"/>
        <v>29</v>
      </c>
      <c r="DH327" s="166">
        <f t="shared" si="154"/>
        <v>919.10547479043805</v>
      </c>
      <c r="DI327" s="164" t="str">
        <f>IFERROR(INDEX(DC$296:DC$344,_xlfn.AGGREGATE(15,6,(ROW(DC$296:DC$344)-ROW(DC$296)+1)/(DC$296:DC$344&lt;&gt;""),ROWS(DI$1:DI32))),"")</f>
        <v/>
      </c>
      <c r="DJ327" s="165" t="str">
        <f>IFERROR(INDEX(DD$296:DD$344,_xlfn.AGGREGATE(15,6,(ROW(DD$296:DD$344)-ROW(DD$296)+1)/(DD$296:DD$344&lt;&gt;""),ROWS(DJ$1:DJ32))),"")</f>
        <v/>
      </c>
      <c r="DK327" s="166" t="str">
        <f t="shared" si="155"/>
        <v/>
      </c>
      <c r="DL327" s="164" t="str">
        <f>IFERROR(INDEX(DE$296:DE$344,_xlfn.AGGREGATE(15,6,(ROW(DE$296:DE$344)-ROW(DE$296)+1)/(DE$296:DE$344&lt;&gt;""),ROWS(DL$1:DL32))),"")</f>
        <v/>
      </c>
      <c r="DM327" s="165" t="str">
        <f>IFERROR(INDEX(DF$296:DF$344,_xlfn.AGGREGATE(15,6,(ROW(DF$296:DF$344)-ROW(DF$296)+1)/(DF$296:DF$344&lt;&gt;""),ROWS(DM$1:DM32))),"")</f>
        <v/>
      </c>
      <c r="DN327" s="166" t="str">
        <f t="shared" si="156"/>
        <v/>
      </c>
      <c r="DO327" s="164" t="str">
        <f>IFERROR(INDEX(DG$296:DG$344,_xlfn.AGGREGATE(15,6,(ROW(DG$296:DG$344)-ROW(DG$296)+1)/(DG$296:DG$344&lt;&gt;""),ROWS(DO$1:DO32))),"")</f>
        <v/>
      </c>
      <c r="DP327" s="165" t="str">
        <f>IFERROR(INDEX(DH$296:DH$344,_xlfn.AGGREGATE(15,6,(ROW(DH$296:DH$344)-ROW(DH$296)+1)/(DH$296:DH$344&lt;&gt;""),ROWS(DP$1:DP32))),"")</f>
        <v/>
      </c>
      <c r="DQ327" s="166" t="str">
        <f t="shared" si="157"/>
        <v/>
      </c>
      <c r="DV327" s="145">
        <v>2046</v>
      </c>
      <c r="DW327" s="235">
        <f t="shared" ca="1" si="142"/>
        <v>780.43004593875162</v>
      </c>
      <c r="EA327" s="55"/>
      <c r="EB327" s="55"/>
      <c r="EC327" s="55"/>
      <c r="ED327" s="55"/>
      <c r="EE327" s="55"/>
    </row>
    <row r="328" spans="2:135" ht="13.8" x14ac:dyDescent="0.45">
      <c r="B328" s="128">
        <v>2044</v>
      </c>
      <c r="C328" s="244">
        <f>'Total MSW Summaries (Archive)'!G35</f>
        <v>1059.2985566857872</v>
      </c>
      <c r="D328" s="244">
        <f>'Total MSW Summaries (Archive)'!S35</f>
        <v>739.93491518108476</v>
      </c>
      <c r="E328" s="244">
        <f>'Total MSW Summaries (Archive)'!AE35</f>
        <v>808.4000000000002</v>
      </c>
      <c r="F328" s="244">
        <f>'Total MSW Summaries (Archive)'!AQ35</f>
        <v>656.99658767717381</v>
      </c>
      <c r="G328" s="244">
        <f>'Total MSW Summaries (Archive)'!BC35</f>
        <v>443.89189189189199</v>
      </c>
      <c r="H328" s="245"/>
      <c r="I328" s="246"/>
      <c r="J328" s="247"/>
      <c r="K328" s="245"/>
      <c r="L328" s="246"/>
      <c r="M328" s="245"/>
      <c r="N328" s="29" t="s">
        <v>119</v>
      </c>
      <c r="O328" s="120"/>
      <c r="P328" s="120"/>
      <c r="Q328" s="120"/>
      <c r="R328" s="29">
        <v>30</v>
      </c>
      <c r="S328" s="238">
        <f t="shared" si="143"/>
        <v>443.89189189189199</v>
      </c>
      <c r="T328" s="238">
        <f t="shared" si="144"/>
        <v>1059.2985566857872</v>
      </c>
      <c r="U328" s="238">
        <f t="shared" si="145"/>
        <v>200.59171765105361</v>
      </c>
      <c r="W328" s="238">
        <f t="shared" si="158"/>
        <v>541.11267263613399</v>
      </c>
      <c r="X328" s="238">
        <f t="shared" si="146"/>
        <v>741.70439028718761</v>
      </c>
      <c r="Y328" s="238">
        <f t="shared" si="147"/>
        <v>942.29610793824122</v>
      </c>
      <c r="AA328" s="89"/>
      <c r="AB328" s="89"/>
      <c r="AC328" s="89"/>
      <c r="AD328" s="89"/>
      <c r="AE328" s="89"/>
      <c r="AF328" s="89"/>
      <c r="AG328" s="89"/>
      <c r="AH328" s="89"/>
      <c r="AI328" s="89"/>
      <c r="AJ328" s="89"/>
      <c r="AK328" s="89"/>
      <c r="AL328" s="89"/>
      <c r="AM328" s="89"/>
      <c r="AN328" s="89"/>
      <c r="BR328" s="180">
        <v>2042</v>
      </c>
      <c r="BS328" s="22">
        <v>28</v>
      </c>
      <c r="BT328" s="198">
        <f t="shared" si="159"/>
        <v>435.06790792924971</v>
      </c>
      <c r="BU328" s="276">
        <f t="shared" si="160"/>
        <v>262.1103819006978</v>
      </c>
      <c r="BV328" s="205">
        <f t="shared" si="161"/>
        <v>697.17828982994752</v>
      </c>
      <c r="BY328" s="180">
        <v>2042</v>
      </c>
      <c r="BZ328" s="22">
        <v>28</v>
      </c>
      <c r="CA328" s="198">
        <f t="shared" ca="1" si="162"/>
        <v>90.790404147926637</v>
      </c>
      <c r="CB328" s="198">
        <f t="shared" ca="1" si="163"/>
        <v>331.30744604590501</v>
      </c>
      <c r="CC328" s="276">
        <f t="shared" ca="1" si="174"/>
        <v>282.49190119921195</v>
      </c>
      <c r="CD328" s="205">
        <f t="shared" ca="1" si="164"/>
        <v>704.58975139304357</v>
      </c>
      <c r="CG328" s="180">
        <v>2042</v>
      </c>
      <c r="CH328" s="22">
        <v>28</v>
      </c>
      <c r="CI328" s="198">
        <f t="shared" ca="1" si="165"/>
        <v>8.7758908162629972</v>
      </c>
      <c r="CJ328" s="198">
        <f t="shared" ca="1" si="166"/>
        <v>75.746019891475825</v>
      </c>
      <c r="CK328" s="198">
        <f t="shared" ca="1" si="167"/>
        <v>338.29457748405736</v>
      </c>
      <c r="CL328" s="276">
        <f t="shared" ca="1" si="168"/>
        <v>281.77422266452913</v>
      </c>
      <c r="CM328" s="205">
        <f t="shared" ca="1" si="169"/>
        <v>704.59071085632536</v>
      </c>
      <c r="CP328" s="180">
        <v>2042</v>
      </c>
      <c r="CQ328" s="22">
        <v>28</v>
      </c>
      <c r="CR328" s="198">
        <f t="shared" ca="1" si="170"/>
        <v>297.31086370130703</v>
      </c>
      <c r="CS328" s="276">
        <f t="shared" ca="1" si="171"/>
        <v>2.4088871931011897</v>
      </c>
      <c r="CT328" s="205">
        <f t="shared" ca="1" si="172"/>
        <v>716.18833193993191</v>
      </c>
      <c r="CZ328" s="164" t="b">
        <f t="shared" si="148"/>
        <v>1</v>
      </c>
      <c r="DA328" s="165" t="b">
        <f t="shared" si="148"/>
        <v>1</v>
      </c>
      <c r="DB328" s="166" t="b">
        <f t="shared" si="148"/>
        <v>1</v>
      </c>
      <c r="DC328" s="164">
        <f t="shared" si="149"/>
        <v>30</v>
      </c>
      <c r="DD328" s="166">
        <f t="shared" si="150"/>
        <v>541.11267263613399</v>
      </c>
      <c r="DE328" s="164">
        <f t="shared" si="151"/>
        <v>30</v>
      </c>
      <c r="DF328" s="166">
        <f t="shared" si="152"/>
        <v>741.70439028718761</v>
      </c>
      <c r="DG328" s="164">
        <f t="shared" si="153"/>
        <v>30</v>
      </c>
      <c r="DH328" s="166">
        <f t="shared" si="154"/>
        <v>942.29610793824122</v>
      </c>
      <c r="DI328" s="164" t="str">
        <f>IFERROR(INDEX(DC$296:DC$344,_xlfn.AGGREGATE(15,6,(ROW(DC$296:DC$344)-ROW(DC$296)+1)/(DC$296:DC$344&lt;&gt;""),ROWS(DI$1:DI33))),"")</f>
        <v/>
      </c>
      <c r="DJ328" s="165" t="str">
        <f>IFERROR(INDEX(DD$296:DD$344,_xlfn.AGGREGATE(15,6,(ROW(DD$296:DD$344)-ROW(DD$296)+1)/(DD$296:DD$344&lt;&gt;""),ROWS(DJ$1:DJ33))),"")</f>
        <v/>
      </c>
      <c r="DK328" s="166" t="str">
        <f t="shared" si="155"/>
        <v/>
      </c>
      <c r="DL328" s="164" t="str">
        <f>IFERROR(INDEX(DE$296:DE$344,_xlfn.AGGREGATE(15,6,(ROW(DE$296:DE$344)-ROW(DE$296)+1)/(DE$296:DE$344&lt;&gt;""),ROWS(DL$1:DL33))),"")</f>
        <v/>
      </c>
      <c r="DM328" s="165" t="str">
        <f>IFERROR(INDEX(DF$296:DF$344,_xlfn.AGGREGATE(15,6,(ROW(DF$296:DF$344)-ROW(DF$296)+1)/(DF$296:DF$344&lt;&gt;""),ROWS(DM$1:DM33))),"")</f>
        <v/>
      </c>
      <c r="DN328" s="166" t="str">
        <f t="shared" si="156"/>
        <v/>
      </c>
      <c r="DO328" s="164" t="str">
        <f>IFERROR(INDEX(DG$296:DG$344,_xlfn.AGGREGATE(15,6,(ROW(DG$296:DG$344)-ROW(DG$296)+1)/(DG$296:DG$344&lt;&gt;""),ROWS(DO$1:DO33))),"")</f>
        <v/>
      </c>
      <c r="DP328" s="165" t="str">
        <f>IFERROR(INDEX(DH$296:DH$344,_xlfn.AGGREGATE(15,6,(ROW(DH$296:DH$344)-ROW(DH$296)+1)/(DH$296:DH$344&lt;&gt;""),ROWS(DP$1:DP33))),"")</f>
        <v/>
      </c>
      <c r="DQ328" s="166" t="str">
        <f t="shared" si="157"/>
        <v/>
      </c>
      <c r="DV328" s="145">
        <v>2047</v>
      </c>
      <c r="DW328" s="235">
        <f t="shared" ca="1" si="142"/>
        <v>800.05884982663088</v>
      </c>
      <c r="EA328" s="55"/>
      <c r="EB328" s="55"/>
      <c r="EC328" s="55"/>
      <c r="ED328" s="55"/>
      <c r="EE328" s="55"/>
    </row>
    <row r="329" spans="2:135" ht="13.8" x14ac:dyDescent="0.45">
      <c r="B329" s="128">
        <v>2045</v>
      </c>
      <c r="C329" s="244">
        <f>'Total MSW Summaries (Archive)'!G36</f>
        <v>1085.2460804977227</v>
      </c>
      <c r="D329" s="244">
        <f>'Total MSW Summaries (Archive)'!S36</f>
        <v>766.46363779561159</v>
      </c>
      <c r="E329" s="244">
        <f>'Total MSW Summaries (Archive)'!AE36</f>
        <v>822.24000000000024</v>
      </c>
      <c r="F329" s="244">
        <f>'Total MSW Summaries (Archive)'!AQ36</f>
        <v>677.0561467614674</v>
      </c>
      <c r="G329" s="244">
        <f>'Total MSW Summaries (Archive)'!BC36</f>
        <v>453.24324324324334</v>
      </c>
      <c r="H329" s="245"/>
      <c r="I329" s="246"/>
      <c r="J329" s="247"/>
      <c r="K329" s="245"/>
      <c r="L329" s="246"/>
      <c r="M329" s="245"/>
      <c r="N329" s="29" t="s">
        <v>119</v>
      </c>
      <c r="O329" s="120"/>
      <c r="P329" s="120"/>
      <c r="Q329" s="120"/>
      <c r="R329" s="29">
        <v>31</v>
      </c>
      <c r="S329" s="238">
        <f t="shared" si="143"/>
        <v>453.24324324324334</v>
      </c>
      <c r="T329" s="238">
        <f t="shared" si="144"/>
        <v>1085.2460804977227</v>
      </c>
      <c r="U329" s="238">
        <f t="shared" si="145"/>
        <v>205.26879388470005</v>
      </c>
      <c r="W329" s="238">
        <f t="shared" si="158"/>
        <v>555.5810277749091</v>
      </c>
      <c r="X329" s="238">
        <f t="shared" si="146"/>
        <v>760.84982165960912</v>
      </c>
      <c r="Y329" s="238">
        <f t="shared" si="147"/>
        <v>966.11861554430914</v>
      </c>
      <c r="AA329" s="89"/>
      <c r="AB329" s="89"/>
      <c r="AC329" s="89"/>
      <c r="AD329" s="89"/>
      <c r="AE329" s="89"/>
      <c r="AF329" s="89"/>
      <c r="AG329" s="89"/>
      <c r="AH329" s="89"/>
      <c r="AI329" s="89"/>
      <c r="AJ329" s="89"/>
      <c r="AK329" s="89"/>
      <c r="AL329" s="89"/>
      <c r="AM329" s="89"/>
      <c r="AN329" s="89"/>
      <c r="BR329" s="180">
        <v>2043</v>
      </c>
      <c r="BS329" s="22">
        <v>29</v>
      </c>
      <c r="BT329" s="198">
        <f t="shared" si="159"/>
        <v>450.60604749815144</v>
      </c>
      <c r="BU329" s="276">
        <f t="shared" si="160"/>
        <v>262.1103819006978</v>
      </c>
      <c r="BV329" s="205">
        <f t="shared" si="161"/>
        <v>712.71642939884919</v>
      </c>
      <c r="BY329" s="180">
        <v>2043</v>
      </c>
      <c r="BZ329" s="22">
        <v>29</v>
      </c>
      <c r="CA329" s="198">
        <f t="shared" ca="1" si="162"/>
        <v>97.39123710255906</v>
      </c>
      <c r="CB329" s="198">
        <f t="shared" ca="1" si="163"/>
        <v>343.13985483325877</v>
      </c>
      <c r="CC329" s="276">
        <f t="shared" ca="1" si="174"/>
        <v>282.49190119921195</v>
      </c>
      <c r="CD329" s="205">
        <f t="shared" ca="1" si="164"/>
        <v>723.02299313502976</v>
      </c>
      <c r="CG329" s="180">
        <v>2043</v>
      </c>
      <c r="CH329" s="22">
        <v>29</v>
      </c>
      <c r="CI329" s="198">
        <f t="shared" ca="1" si="165"/>
        <v>9.750145823516684</v>
      </c>
      <c r="CJ329" s="198">
        <f t="shared" ca="1" si="166"/>
        <v>81.253064705014253</v>
      </c>
      <c r="CK329" s="198">
        <f t="shared" ca="1" si="167"/>
        <v>350.37652667991654</v>
      </c>
      <c r="CL329" s="276">
        <f t="shared" ca="1" si="168"/>
        <v>281.77422266452913</v>
      </c>
      <c r="CM329" s="205">
        <f t="shared" ca="1" si="169"/>
        <v>723.15395987297666</v>
      </c>
      <c r="CP329" s="180">
        <v>2043</v>
      </c>
      <c r="CQ329" s="22">
        <v>29</v>
      </c>
      <c r="CR329" s="198">
        <f t="shared" ca="1" si="170"/>
        <v>297.31086370130703</v>
      </c>
      <c r="CS329" s="276">
        <f t="shared" ca="1" si="171"/>
        <v>2.4857231954209622</v>
      </c>
      <c r="CT329" s="205">
        <f t="shared" ca="1" si="172"/>
        <v>739.03251015297906</v>
      </c>
      <c r="CZ329" s="164" t="b">
        <f t="shared" si="148"/>
        <v>1</v>
      </c>
      <c r="DA329" s="165" t="b">
        <f t="shared" si="148"/>
        <v>1</v>
      </c>
      <c r="DB329" s="166" t="b">
        <f t="shared" si="148"/>
        <v>1</v>
      </c>
      <c r="DC329" s="164">
        <f t="shared" si="149"/>
        <v>31</v>
      </c>
      <c r="DD329" s="166">
        <f t="shared" si="150"/>
        <v>555.5810277749091</v>
      </c>
      <c r="DE329" s="164">
        <f t="shared" si="151"/>
        <v>31</v>
      </c>
      <c r="DF329" s="166">
        <f t="shared" si="152"/>
        <v>760.84982165960912</v>
      </c>
      <c r="DG329" s="164">
        <f t="shared" si="153"/>
        <v>31</v>
      </c>
      <c r="DH329" s="166">
        <f t="shared" si="154"/>
        <v>966.11861554430914</v>
      </c>
      <c r="DI329" s="164" t="str">
        <f>IFERROR(INDEX(DC$296:DC$344,_xlfn.AGGREGATE(15,6,(ROW(DC$296:DC$344)-ROW(DC$296)+1)/(DC$296:DC$344&lt;&gt;""),ROWS(DI$1:DI34))),"")</f>
        <v/>
      </c>
      <c r="DJ329" s="165" t="str">
        <f>IFERROR(INDEX(DD$296:DD$344,_xlfn.AGGREGATE(15,6,(ROW(DD$296:DD$344)-ROW(DD$296)+1)/(DD$296:DD$344&lt;&gt;""),ROWS(DJ$1:DJ34))),"")</f>
        <v/>
      </c>
      <c r="DK329" s="166" t="str">
        <f t="shared" si="155"/>
        <v/>
      </c>
      <c r="DL329" s="164" t="str">
        <f>IFERROR(INDEX(DE$296:DE$344,_xlfn.AGGREGATE(15,6,(ROW(DE$296:DE$344)-ROW(DE$296)+1)/(DE$296:DE$344&lt;&gt;""),ROWS(DL$1:DL34))),"")</f>
        <v/>
      </c>
      <c r="DM329" s="165" t="str">
        <f>IFERROR(INDEX(DF$296:DF$344,_xlfn.AGGREGATE(15,6,(ROW(DF$296:DF$344)-ROW(DF$296)+1)/(DF$296:DF$344&lt;&gt;""),ROWS(DM$1:DM34))),"")</f>
        <v/>
      </c>
      <c r="DN329" s="166" t="str">
        <f t="shared" si="156"/>
        <v/>
      </c>
      <c r="DO329" s="164" t="str">
        <f>IFERROR(INDEX(DG$296:DG$344,_xlfn.AGGREGATE(15,6,(ROW(DG$296:DG$344)-ROW(DG$296)+1)/(DG$296:DG$344&lt;&gt;""),ROWS(DO$1:DO34))),"")</f>
        <v/>
      </c>
      <c r="DP329" s="165" t="str">
        <f>IFERROR(INDEX(DH$296:DH$344,_xlfn.AGGREGATE(15,6,(ROW(DH$296:DH$344)-ROW(DH$296)+1)/(DH$296:DH$344&lt;&gt;""),ROWS(DP$1:DP34))),"")</f>
        <v/>
      </c>
      <c r="DQ329" s="166" t="str">
        <f t="shared" si="157"/>
        <v/>
      </c>
      <c r="DV329" s="145">
        <v>2048</v>
      </c>
      <c r="DW329" s="235">
        <f t="shared" ca="1" si="142"/>
        <v>819.96003907782733</v>
      </c>
      <c r="EA329" s="55"/>
      <c r="EB329" s="55"/>
      <c r="EC329" s="55"/>
      <c r="ED329" s="55"/>
      <c r="EE329" s="55"/>
    </row>
    <row r="330" spans="2:135" ht="13.8" x14ac:dyDescent="0.45">
      <c r="B330" s="128">
        <v>2046</v>
      </c>
      <c r="C330" s="244"/>
      <c r="D330" s="244"/>
      <c r="E330" s="244"/>
      <c r="F330" s="244"/>
      <c r="G330" s="244"/>
      <c r="H330" s="245"/>
      <c r="I330" s="246"/>
      <c r="J330" s="247"/>
      <c r="K330" s="245"/>
      <c r="L330" s="246"/>
      <c r="M330" s="245"/>
      <c r="N330" s="29" t="s">
        <v>119</v>
      </c>
      <c r="O330" s="120"/>
      <c r="P330" s="120"/>
      <c r="Q330" s="120"/>
      <c r="R330" s="29">
        <v>32</v>
      </c>
      <c r="S330" s="238" t="str">
        <f t="shared" si="143"/>
        <v/>
      </c>
      <c r="T330" s="238" t="str">
        <f t="shared" si="144"/>
        <v/>
      </c>
      <c r="U330" s="238" t="str">
        <f t="shared" si="145"/>
        <v/>
      </c>
      <c r="W330" s="238" t="e">
        <f t="shared" si="158"/>
        <v>#N/A</v>
      </c>
      <c r="X330" s="238" t="e">
        <f t="shared" si="146"/>
        <v>#N/A</v>
      </c>
      <c r="Y330" s="238" t="e">
        <f t="shared" si="147"/>
        <v>#N/A</v>
      </c>
      <c r="AA330" s="89"/>
      <c r="AB330" s="89"/>
      <c r="AC330" s="89"/>
      <c r="AD330" s="89"/>
      <c r="AE330" s="89"/>
      <c r="AF330" s="89"/>
      <c r="AG330" s="89"/>
      <c r="AH330" s="89"/>
      <c r="AI330" s="89"/>
      <c r="AJ330" s="89"/>
      <c r="AK330" s="89"/>
      <c r="AL330" s="89"/>
      <c r="AM330" s="89"/>
      <c r="AN330" s="89"/>
      <c r="BR330" s="180">
        <v>2044</v>
      </c>
      <c r="BS330" s="22">
        <v>30</v>
      </c>
      <c r="BT330" s="198">
        <f t="shared" si="159"/>
        <v>466.14418706705322</v>
      </c>
      <c r="BU330" s="276">
        <f t="shared" si="160"/>
        <v>262.1103819006978</v>
      </c>
      <c r="BV330" s="205">
        <f t="shared" si="161"/>
        <v>728.25456896775108</v>
      </c>
      <c r="BY330" s="180">
        <v>2044</v>
      </c>
      <c r="BZ330" s="22">
        <v>30</v>
      </c>
      <c r="CA330" s="198">
        <f t="shared" ca="1" si="162"/>
        <v>104.22367823103824</v>
      </c>
      <c r="CB330" s="198">
        <f t="shared" ca="1" si="163"/>
        <v>354.97226362061252</v>
      </c>
      <c r="CC330" s="276">
        <f t="shared" ca="1" si="174"/>
        <v>282.49190119921195</v>
      </c>
      <c r="CD330" s="205">
        <f t="shared" ca="1" si="164"/>
        <v>741.68784305086274</v>
      </c>
      <c r="CG330" s="180">
        <v>2044</v>
      </c>
      <c r="CH330" s="22">
        <v>30</v>
      </c>
      <c r="CI330" s="198">
        <f t="shared" ca="1" si="165"/>
        <v>10.793961918690822</v>
      </c>
      <c r="CJ330" s="198">
        <f t="shared" ca="1" si="166"/>
        <v>86.953339161132973</v>
      </c>
      <c r="CK330" s="198">
        <f t="shared" ca="1" si="167"/>
        <v>362.45847587577578</v>
      </c>
      <c r="CL330" s="276">
        <f t="shared" ca="1" si="168"/>
        <v>281.77422266452913</v>
      </c>
      <c r="CM330" s="205">
        <f t="shared" ca="1" si="169"/>
        <v>741.97999962012864</v>
      </c>
      <c r="CP330" s="180">
        <v>2044</v>
      </c>
      <c r="CQ330" s="22">
        <v>30</v>
      </c>
      <c r="CR330" s="198">
        <f t="shared" ca="1" si="170"/>
        <v>297.31086370130703</v>
      </c>
      <c r="CS330" s="276">
        <f t="shared" ca="1" si="171"/>
        <v>2.5650100270155098</v>
      </c>
      <c r="CT330" s="205">
        <f t="shared" ca="1" si="172"/>
        <v>762.60534653449406</v>
      </c>
      <c r="CZ330" s="164" t="b">
        <f t="shared" si="148"/>
        <v>0</v>
      </c>
      <c r="DA330" s="165" t="b">
        <f t="shared" si="148"/>
        <v>0</v>
      </c>
      <c r="DB330" s="166" t="b">
        <f t="shared" si="148"/>
        <v>0</v>
      </c>
      <c r="DC330" s="164" t="str">
        <f t="shared" si="149"/>
        <v/>
      </c>
      <c r="DD330" s="166" t="str">
        <f t="shared" si="150"/>
        <v/>
      </c>
      <c r="DE330" s="164" t="str">
        <f t="shared" si="151"/>
        <v/>
      </c>
      <c r="DF330" s="166" t="str">
        <f t="shared" si="152"/>
        <v/>
      </c>
      <c r="DG330" s="164" t="str">
        <f t="shared" si="153"/>
        <v/>
      </c>
      <c r="DH330" s="166" t="str">
        <f t="shared" si="154"/>
        <v/>
      </c>
      <c r="DI330" s="164" t="str">
        <f>IFERROR(INDEX(DC$296:DC$344,_xlfn.AGGREGATE(15,6,(ROW(DC$296:DC$344)-ROW(DC$296)+1)/(DC$296:DC$344&lt;&gt;""),ROWS(DI$1:DI35))),"")</f>
        <v/>
      </c>
      <c r="DJ330" s="165" t="str">
        <f>IFERROR(INDEX(DD$296:DD$344,_xlfn.AGGREGATE(15,6,(ROW(DD$296:DD$344)-ROW(DD$296)+1)/(DD$296:DD$344&lt;&gt;""),ROWS(DJ$1:DJ35))),"")</f>
        <v/>
      </c>
      <c r="DK330" s="166" t="str">
        <f t="shared" si="155"/>
        <v/>
      </c>
      <c r="DL330" s="164" t="str">
        <f>IFERROR(INDEX(DE$296:DE$344,_xlfn.AGGREGATE(15,6,(ROW(DE$296:DE$344)-ROW(DE$296)+1)/(DE$296:DE$344&lt;&gt;""),ROWS(DL$1:DL35))),"")</f>
        <v/>
      </c>
      <c r="DM330" s="165" t="str">
        <f>IFERROR(INDEX(DF$296:DF$344,_xlfn.AGGREGATE(15,6,(ROW(DF$296:DF$344)-ROW(DF$296)+1)/(DF$296:DF$344&lt;&gt;""),ROWS(DM$1:DM35))),"")</f>
        <v/>
      </c>
      <c r="DN330" s="166" t="str">
        <f t="shared" si="156"/>
        <v/>
      </c>
      <c r="DO330" s="164" t="str">
        <f>IFERROR(INDEX(DG$296:DG$344,_xlfn.AGGREGATE(15,6,(ROW(DG$296:DG$344)-ROW(DG$296)+1)/(DG$296:DG$344&lt;&gt;""),ROWS(DO$1:DO35))),"")</f>
        <v/>
      </c>
      <c r="DP330" s="165" t="str">
        <f>IFERROR(INDEX(DH$296:DH$344,_xlfn.AGGREGATE(15,6,(ROW(DH$296:DH$344)-ROW(DH$296)+1)/(DH$296:DH$344&lt;&gt;""),ROWS(DP$1:DP35))),"")</f>
        <v/>
      </c>
      <c r="DQ330" s="166" t="str">
        <f t="shared" si="157"/>
        <v/>
      </c>
      <c r="DV330" s="145">
        <v>2049</v>
      </c>
      <c r="DW330" s="235">
        <f t="shared" ca="1" si="142"/>
        <v>840.13601235054557</v>
      </c>
      <c r="EA330" s="55"/>
      <c r="EB330" s="55"/>
      <c r="EC330" s="55"/>
      <c r="ED330" s="55"/>
      <c r="EE330" s="55"/>
    </row>
    <row r="331" spans="2:135" ht="13.8" x14ac:dyDescent="0.45">
      <c r="B331" s="128">
        <v>2047</v>
      </c>
      <c r="C331" s="244"/>
      <c r="D331" s="244"/>
      <c r="E331" s="244"/>
      <c r="F331" s="244"/>
      <c r="G331" s="244"/>
      <c r="H331" s="245"/>
      <c r="I331" s="246"/>
      <c r="J331" s="247"/>
      <c r="K331" s="245"/>
      <c r="L331" s="246"/>
      <c r="M331" s="245"/>
      <c r="N331" s="29" t="s">
        <v>119</v>
      </c>
      <c r="O331" s="120"/>
      <c r="P331" s="120"/>
      <c r="Q331" s="120"/>
      <c r="R331" s="29">
        <v>33</v>
      </c>
      <c r="S331" s="238" t="str">
        <f t="shared" si="143"/>
        <v/>
      </c>
      <c r="T331" s="238" t="str">
        <f t="shared" si="144"/>
        <v/>
      </c>
      <c r="U331" s="238" t="str">
        <f t="shared" si="145"/>
        <v/>
      </c>
      <c r="W331" s="238" t="e">
        <f t="shared" si="158"/>
        <v>#N/A</v>
      </c>
      <c r="X331" s="238" t="e">
        <f t="shared" si="146"/>
        <v>#N/A</v>
      </c>
      <c r="Y331" s="238" t="e">
        <f t="shared" si="147"/>
        <v>#N/A</v>
      </c>
      <c r="AA331" s="89"/>
      <c r="AB331" s="89"/>
      <c r="AC331" s="89"/>
      <c r="AD331" s="89"/>
      <c r="AE331" s="89"/>
      <c r="AF331" s="89"/>
      <c r="AG331" s="89"/>
      <c r="AH331" s="89"/>
      <c r="AI331" s="89"/>
      <c r="AJ331" s="89"/>
      <c r="AK331" s="89"/>
      <c r="AL331" s="89"/>
      <c r="AM331" s="89"/>
      <c r="AN331" s="89"/>
      <c r="BR331" s="180">
        <v>2045</v>
      </c>
      <c r="BS331" s="22">
        <v>31</v>
      </c>
      <c r="BT331" s="198">
        <f t="shared" si="159"/>
        <v>481.68232663595501</v>
      </c>
      <c r="BU331" s="198">
        <f t="shared" si="160"/>
        <v>262.1103819006978</v>
      </c>
      <c r="BV331" s="205">
        <f t="shared" si="161"/>
        <v>743.79270853665275</v>
      </c>
      <c r="BY331" s="180">
        <v>2045</v>
      </c>
      <c r="BZ331" s="22">
        <v>31</v>
      </c>
      <c r="CA331" s="198">
        <f t="shared" ca="1" si="162"/>
        <v>111.28772753336416</v>
      </c>
      <c r="CB331" s="198">
        <f t="shared" ca="1" si="163"/>
        <v>366.80467240796628</v>
      </c>
      <c r="CC331" s="198">
        <f t="shared" ca="1" si="174"/>
        <v>282.49190119921195</v>
      </c>
      <c r="CD331" s="205">
        <f t="shared" ca="1" si="164"/>
        <v>760.58430114054238</v>
      </c>
      <c r="CG331" s="180">
        <v>2045</v>
      </c>
      <c r="CH331" s="22">
        <v>31</v>
      </c>
      <c r="CI331" s="198">
        <f t="shared" ca="1" si="165"/>
        <v>11.909737759989566</v>
      </c>
      <c r="CJ331" s="198">
        <f t="shared" ca="1" si="166"/>
        <v>92.846843259831985</v>
      </c>
      <c r="CK331" s="198">
        <f t="shared" ca="1" si="167"/>
        <v>374.54042507163496</v>
      </c>
      <c r="CL331" s="198">
        <f t="shared" ca="1" si="168"/>
        <v>281.77422266452913</v>
      </c>
      <c r="CM331" s="205">
        <f t="shared" ca="1" si="169"/>
        <v>761.07122875598566</v>
      </c>
      <c r="CP331" s="180">
        <v>2045</v>
      </c>
      <c r="CQ331" s="22">
        <v>31</v>
      </c>
      <c r="CR331" s="198">
        <f t="shared" ca="1" si="170"/>
        <v>297.31086370130703</v>
      </c>
      <c r="CS331" s="198">
        <f t="shared" ca="1" si="171"/>
        <v>2.6468258617089875</v>
      </c>
      <c r="CT331" s="205">
        <f t="shared" ca="1" si="172"/>
        <v>786.93008301165526</v>
      </c>
      <c r="CZ331" s="164" t="b">
        <f t="shared" si="148"/>
        <v>0</v>
      </c>
      <c r="DA331" s="165" t="b">
        <f t="shared" si="148"/>
        <v>0</v>
      </c>
      <c r="DB331" s="166" t="b">
        <f t="shared" si="148"/>
        <v>0</v>
      </c>
      <c r="DC331" s="164" t="str">
        <f t="shared" si="149"/>
        <v/>
      </c>
      <c r="DD331" s="166" t="str">
        <f t="shared" si="150"/>
        <v/>
      </c>
      <c r="DE331" s="164" t="str">
        <f t="shared" si="151"/>
        <v/>
      </c>
      <c r="DF331" s="166" t="str">
        <f t="shared" si="152"/>
        <v/>
      </c>
      <c r="DG331" s="164" t="str">
        <f t="shared" si="153"/>
        <v/>
      </c>
      <c r="DH331" s="166" t="str">
        <f t="shared" si="154"/>
        <v/>
      </c>
      <c r="DI331" s="164" t="str">
        <f>IFERROR(INDEX(DC$296:DC$344,_xlfn.AGGREGATE(15,6,(ROW(DC$296:DC$344)-ROW(DC$296)+1)/(DC$296:DC$344&lt;&gt;""),ROWS(DI$1:DI36))),"")</f>
        <v/>
      </c>
      <c r="DJ331" s="165" t="str">
        <f>IFERROR(INDEX(DD$296:DD$344,_xlfn.AGGREGATE(15,6,(ROW(DD$296:DD$344)-ROW(DD$296)+1)/(DD$296:DD$344&lt;&gt;""),ROWS(DJ$1:DJ36))),"")</f>
        <v/>
      </c>
      <c r="DK331" s="166" t="str">
        <f t="shared" si="155"/>
        <v/>
      </c>
      <c r="DL331" s="164" t="str">
        <f>IFERROR(INDEX(DE$296:DE$344,_xlfn.AGGREGATE(15,6,(ROW(DE$296:DE$344)-ROW(DE$296)+1)/(DE$296:DE$344&lt;&gt;""),ROWS(DL$1:DL36))),"")</f>
        <v/>
      </c>
      <c r="DM331" s="165" t="str">
        <f>IFERROR(INDEX(DF$296:DF$344,_xlfn.AGGREGATE(15,6,(ROW(DF$296:DF$344)-ROW(DF$296)+1)/(DF$296:DF$344&lt;&gt;""),ROWS(DM$1:DM36))),"")</f>
        <v/>
      </c>
      <c r="DN331" s="166" t="str">
        <f t="shared" si="156"/>
        <v/>
      </c>
      <c r="DO331" s="164" t="str">
        <f>IFERROR(INDEX(DG$296:DG$344,_xlfn.AGGREGATE(15,6,(ROW(DG$296:DG$344)-ROW(DG$296)+1)/(DG$296:DG$344&lt;&gt;""),ROWS(DO$1:DO36))),"")</f>
        <v/>
      </c>
      <c r="DP331" s="165" t="str">
        <f>IFERROR(INDEX(DH$296:DH$344,_xlfn.AGGREGATE(15,6,(ROW(DH$296:DH$344)-ROW(DH$296)+1)/(DH$296:DH$344&lt;&gt;""),ROWS(DP$1:DP36))),"")</f>
        <v/>
      </c>
      <c r="DQ331" s="166" t="str">
        <f t="shared" si="157"/>
        <v/>
      </c>
      <c r="DV331" s="145">
        <v>2050</v>
      </c>
      <c r="DW331" s="235">
        <f t="shared" ca="1" si="142"/>
        <v>860.58916830298926</v>
      </c>
      <c r="EA331" s="55"/>
      <c r="EB331" s="55"/>
      <c r="EC331" s="55"/>
      <c r="ED331" s="55"/>
      <c r="EE331" s="55"/>
    </row>
    <row r="332" spans="2:135" ht="13.8" x14ac:dyDescent="0.45">
      <c r="B332" s="128">
        <v>2048</v>
      </c>
      <c r="C332" s="244"/>
      <c r="D332" s="244"/>
      <c r="E332" s="244"/>
      <c r="F332" s="244"/>
      <c r="G332" s="244"/>
      <c r="H332" s="245"/>
      <c r="I332" s="246"/>
      <c r="J332" s="247"/>
      <c r="K332" s="245"/>
      <c r="L332" s="246"/>
      <c r="M332" s="245"/>
      <c r="N332" s="29" t="s">
        <v>119</v>
      </c>
      <c r="O332" s="120"/>
      <c r="P332" s="120"/>
      <c r="Q332" s="120"/>
      <c r="R332" s="29">
        <v>34</v>
      </c>
      <c r="S332" s="238" t="str">
        <f t="shared" si="143"/>
        <v/>
      </c>
      <c r="T332" s="238" t="str">
        <f t="shared" si="144"/>
        <v/>
      </c>
      <c r="U332" s="238" t="str">
        <f t="shared" si="145"/>
        <v/>
      </c>
      <c r="W332" s="238" t="e">
        <f t="shared" si="158"/>
        <v>#N/A</v>
      </c>
      <c r="X332" s="238" t="e">
        <f t="shared" si="146"/>
        <v>#N/A</v>
      </c>
      <c r="Y332" s="238" t="e">
        <f t="shared" si="147"/>
        <v>#N/A</v>
      </c>
      <c r="AA332" s="89"/>
      <c r="AB332" s="89"/>
      <c r="AC332" s="89"/>
      <c r="AD332" s="89"/>
      <c r="AE332" s="89"/>
      <c r="AF332" s="89"/>
      <c r="AG332" s="89"/>
      <c r="AH332" s="89"/>
      <c r="AI332" s="89"/>
      <c r="AJ332" s="89"/>
      <c r="AK332" s="89"/>
      <c r="AL332" s="89"/>
      <c r="AM332" s="89"/>
      <c r="AN332" s="89"/>
      <c r="BR332" s="180">
        <v>2046</v>
      </c>
      <c r="BS332" s="22">
        <v>32</v>
      </c>
      <c r="BT332" s="198">
        <f t="shared" si="159"/>
        <v>497.22046620485679</v>
      </c>
      <c r="BU332" s="198">
        <f t="shared" si="160"/>
        <v>262.1103819006978</v>
      </c>
      <c r="BV332" s="205">
        <f t="shared" si="161"/>
        <v>759.33084810555465</v>
      </c>
      <c r="BY332" s="180">
        <v>2046</v>
      </c>
      <c r="BZ332" s="22">
        <v>32</v>
      </c>
      <c r="CA332" s="198">
        <f t="shared" ca="1" si="162"/>
        <v>118.58338500953684</v>
      </c>
      <c r="CB332" s="198">
        <f t="shared" ca="1" si="163"/>
        <v>378.63708119532004</v>
      </c>
      <c r="CC332" s="198">
        <f t="shared" ca="1" si="174"/>
        <v>282.49190119921195</v>
      </c>
      <c r="CD332" s="205">
        <f t="shared" ca="1" si="164"/>
        <v>779.7123674040688</v>
      </c>
      <c r="CG332" s="180">
        <v>2046</v>
      </c>
      <c r="CH332" s="22">
        <v>32</v>
      </c>
      <c r="CI332" s="198">
        <f t="shared" ca="1" si="165"/>
        <v>13.099872005617069</v>
      </c>
      <c r="CJ332" s="198">
        <f t="shared" ca="1" si="166"/>
        <v>98.933577001111288</v>
      </c>
      <c r="CK332" s="198">
        <f t="shared" ca="1" si="167"/>
        <v>386.62237426749414</v>
      </c>
      <c r="CL332" s="198">
        <f t="shared" ca="1" si="168"/>
        <v>281.77422266452913</v>
      </c>
      <c r="CM332" s="205">
        <f t="shared" ca="1" si="169"/>
        <v>780.43004593875162</v>
      </c>
      <c r="CP332" s="180">
        <v>2046</v>
      </c>
      <c r="CQ332" s="22">
        <v>32</v>
      </c>
      <c r="CR332" s="198">
        <f t="shared" ca="1" si="170"/>
        <v>297.31086370130703</v>
      </c>
      <c r="CS332" s="198">
        <f t="shared" ca="1" si="171"/>
        <v>2.731251366827177</v>
      </c>
      <c r="CT332" s="205">
        <f t="shared" ca="1" si="172"/>
        <v>812.03070285676336</v>
      </c>
      <c r="CZ332" s="164" t="b">
        <f t="shared" si="148"/>
        <v>0</v>
      </c>
      <c r="DA332" s="165" t="b">
        <f t="shared" si="148"/>
        <v>0</v>
      </c>
      <c r="DB332" s="166" t="b">
        <f t="shared" si="148"/>
        <v>0</v>
      </c>
      <c r="DC332" s="164" t="str">
        <f t="shared" si="149"/>
        <v/>
      </c>
      <c r="DD332" s="166" t="str">
        <f t="shared" si="150"/>
        <v/>
      </c>
      <c r="DE332" s="164" t="str">
        <f t="shared" si="151"/>
        <v/>
      </c>
      <c r="DF332" s="166" t="str">
        <f t="shared" si="152"/>
        <v/>
      </c>
      <c r="DG332" s="164" t="str">
        <f t="shared" si="153"/>
        <v/>
      </c>
      <c r="DH332" s="166" t="str">
        <f t="shared" si="154"/>
        <v/>
      </c>
      <c r="DI332" s="164" t="str">
        <f>IFERROR(INDEX(DC$296:DC$344,_xlfn.AGGREGATE(15,6,(ROW(DC$296:DC$344)-ROW(DC$296)+1)/(DC$296:DC$344&lt;&gt;""),ROWS(DI$1:DI37))),"")</f>
        <v/>
      </c>
      <c r="DJ332" s="165" t="str">
        <f>IFERROR(INDEX(DD$296:DD$344,_xlfn.AGGREGATE(15,6,(ROW(DD$296:DD$344)-ROW(DD$296)+1)/(DD$296:DD$344&lt;&gt;""),ROWS(DJ$1:DJ37))),"")</f>
        <v/>
      </c>
      <c r="DK332" s="166" t="str">
        <f t="shared" si="155"/>
        <v/>
      </c>
      <c r="DL332" s="164" t="str">
        <f>IFERROR(INDEX(DE$296:DE$344,_xlfn.AGGREGATE(15,6,(ROW(DE$296:DE$344)-ROW(DE$296)+1)/(DE$296:DE$344&lt;&gt;""),ROWS(DL$1:DL37))),"")</f>
        <v/>
      </c>
      <c r="DM332" s="165" t="str">
        <f>IFERROR(INDEX(DF$296:DF$344,_xlfn.AGGREGATE(15,6,(ROW(DF$296:DF$344)-ROW(DF$296)+1)/(DF$296:DF$344&lt;&gt;""),ROWS(DM$1:DM37))),"")</f>
        <v/>
      </c>
      <c r="DN332" s="166" t="str">
        <f t="shared" si="156"/>
        <v/>
      </c>
      <c r="DO332" s="164" t="str">
        <f>IFERROR(INDEX(DG$296:DG$344,_xlfn.AGGREGATE(15,6,(ROW(DG$296:DG$344)-ROW(DG$296)+1)/(DG$296:DG$344&lt;&gt;""),ROWS(DO$1:DO37))),"")</f>
        <v/>
      </c>
      <c r="DP332" s="165" t="str">
        <f>IFERROR(INDEX(DH$296:DH$344,_xlfn.AGGREGATE(15,6,(ROW(DH$296:DH$344)-ROW(DH$296)+1)/(DH$296:DH$344&lt;&gt;""),ROWS(DP$1:DP37))),"")</f>
        <v/>
      </c>
      <c r="DQ332" s="166" t="str">
        <f t="shared" si="157"/>
        <v/>
      </c>
      <c r="DV332" s="145">
        <v>2051</v>
      </c>
      <c r="DW332" s="235">
        <f t="shared" ca="1" si="142"/>
        <v>881.32190559336277</v>
      </c>
      <c r="EA332" s="55"/>
      <c r="EB332" s="55"/>
      <c r="EC332" s="55"/>
      <c r="ED332" s="55"/>
      <c r="EE332" s="55"/>
    </row>
    <row r="333" spans="2:135" ht="13.8" x14ac:dyDescent="0.45">
      <c r="B333" s="128">
        <v>2049</v>
      </c>
      <c r="C333" s="244"/>
      <c r="D333" s="244"/>
      <c r="E333" s="244"/>
      <c r="F333" s="244"/>
      <c r="G333" s="244"/>
      <c r="H333" s="245"/>
      <c r="I333" s="246"/>
      <c r="J333" s="247"/>
      <c r="K333" s="245"/>
      <c r="L333" s="246"/>
      <c r="M333" s="245"/>
      <c r="N333" s="29" t="s">
        <v>119</v>
      </c>
      <c r="O333" s="120"/>
      <c r="P333" s="120"/>
      <c r="Q333" s="120"/>
      <c r="R333" s="29">
        <v>35</v>
      </c>
      <c r="S333" s="238" t="str">
        <f t="shared" si="143"/>
        <v/>
      </c>
      <c r="T333" s="238" t="str">
        <f t="shared" si="144"/>
        <v/>
      </c>
      <c r="U333" s="238" t="str">
        <f t="shared" si="145"/>
        <v/>
      </c>
      <c r="W333" s="238" t="e">
        <f t="shared" si="158"/>
        <v>#N/A</v>
      </c>
      <c r="X333" s="238" t="e">
        <f t="shared" si="146"/>
        <v>#N/A</v>
      </c>
      <c r="Y333" s="238" t="e">
        <f t="shared" si="147"/>
        <v>#N/A</v>
      </c>
      <c r="AA333" s="89"/>
      <c r="AB333" s="89"/>
      <c r="AC333" s="89"/>
      <c r="AD333" s="89"/>
      <c r="AE333" s="89"/>
      <c r="AF333" s="89"/>
      <c r="AG333" s="89"/>
      <c r="AH333" s="89"/>
      <c r="AI333" s="89"/>
      <c r="AJ333" s="89"/>
      <c r="AK333" s="89"/>
      <c r="AL333" s="89"/>
      <c r="AM333" s="89"/>
      <c r="AN333" s="89"/>
      <c r="BR333" s="180">
        <v>2047</v>
      </c>
      <c r="BS333" s="22">
        <v>33</v>
      </c>
      <c r="BT333" s="198">
        <f t="shared" si="159"/>
        <v>512.75860577375852</v>
      </c>
      <c r="BU333" s="198">
        <f t="shared" si="160"/>
        <v>262.1103819006978</v>
      </c>
      <c r="BV333" s="205">
        <f t="shared" si="161"/>
        <v>774.86898767445632</v>
      </c>
      <c r="BY333" s="180">
        <v>2047</v>
      </c>
      <c r="BZ333" s="22">
        <v>33</v>
      </c>
      <c r="CA333" s="198">
        <f t="shared" ca="1" si="162"/>
        <v>126.11065065955627</v>
      </c>
      <c r="CB333" s="198">
        <f t="shared" ca="1" si="163"/>
        <v>390.46948998267379</v>
      </c>
      <c r="CC333" s="198">
        <f t="shared" ca="1" si="174"/>
        <v>282.49190119921195</v>
      </c>
      <c r="CD333" s="205">
        <f t="shared" ca="1" si="164"/>
        <v>799.072041841442</v>
      </c>
      <c r="CG333" s="180">
        <v>2047</v>
      </c>
      <c r="CH333" s="22">
        <v>33</v>
      </c>
      <c r="CI333" s="198">
        <f t="shared" ca="1" si="165"/>
        <v>14.366763313777485</v>
      </c>
      <c r="CJ333" s="198">
        <f t="shared" ca="1" si="166"/>
        <v>105.2135403849709</v>
      </c>
      <c r="CK333" s="198">
        <f t="shared" ca="1" si="167"/>
        <v>398.70432346335332</v>
      </c>
      <c r="CL333" s="198">
        <f t="shared" ca="1" si="168"/>
        <v>281.77422266452913</v>
      </c>
      <c r="CM333" s="205">
        <f t="shared" ca="1" si="169"/>
        <v>800.05884982663088</v>
      </c>
      <c r="CP333" s="180">
        <v>2047</v>
      </c>
      <c r="CQ333" s="22">
        <v>33</v>
      </c>
      <c r="CR333" s="198">
        <f t="shared" ca="1" si="170"/>
        <v>297.31086370130703</v>
      </c>
      <c r="CS333" s="198">
        <f t="shared" ca="1" si="171"/>
        <v>2.8183697827324248</v>
      </c>
      <c r="CT333" s="205">
        <f t="shared" ca="1" si="172"/>
        <v>837.93195433384221</v>
      </c>
      <c r="CZ333" s="164" t="b">
        <f t="shared" si="148"/>
        <v>0</v>
      </c>
      <c r="DA333" s="165" t="b">
        <f t="shared" si="148"/>
        <v>0</v>
      </c>
      <c r="DB333" s="166" t="b">
        <f t="shared" si="148"/>
        <v>0</v>
      </c>
      <c r="DC333" s="164" t="str">
        <f t="shared" si="149"/>
        <v/>
      </c>
      <c r="DD333" s="166" t="str">
        <f t="shared" si="150"/>
        <v/>
      </c>
      <c r="DE333" s="164" t="str">
        <f t="shared" si="151"/>
        <v/>
      </c>
      <c r="DF333" s="166" t="str">
        <f t="shared" si="152"/>
        <v/>
      </c>
      <c r="DG333" s="164" t="str">
        <f t="shared" si="153"/>
        <v/>
      </c>
      <c r="DH333" s="166" t="str">
        <f t="shared" si="154"/>
        <v/>
      </c>
      <c r="DI333" s="164" t="str">
        <f>IFERROR(INDEX(DC$296:DC$344,_xlfn.AGGREGATE(15,6,(ROW(DC$296:DC$344)-ROW(DC$296)+1)/(DC$296:DC$344&lt;&gt;""),ROWS(DI$1:DI38))),"")</f>
        <v/>
      </c>
      <c r="DJ333" s="165" t="str">
        <f>IFERROR(INDEX(DD$296:DD$344,_xlfn.AGGREGATE(15,6,(ROW(DD$296:DD$344)-ROW(DD$296)+1)/(DD$296:DD$344&lt;&gt;""),ROWS(DJ$1:DJ38))),"")</f>
        <v/>
      </c>
      <c r="DK333" s="166" t="str">
        <f t="shared" si="155"/>
        <v/>
      </c>
      <c r="DL333" s="164" t="str">
        <f>IFERROR(INDEX(DE$296:DE$344,_xlfn.AGGREGATE(15,6,(ROW(DE$296:DE$344)-ROW(DE$296)+1)/(DE$296:DE$344&lt;&gt;""),ROWS(DL$1:DL38))),"")</f>
        <v/>
      </c>
      <c r="DM333" s="165" t="str">
        <f>IFERROR(INDEX(DF$296:DF$344,_xlfn.AGGREGATE(15,6,(ROW(DF$296:DF$344)-ROW(DF$296)+1)/(DF$296:DF$344&lt;&gt;""),ROWS(DM$1:DM38))),"")</f>
        <v/>
      </c>
      <c r="DN333" s="166" t="str">
        <f t="shared" si="156"/>
        <v/>
      </c>
      <c r="DO333" s="164" t="str">
        <f>IFERROR(INDEX(DG$296:DG$344,_xlfn.AGGREGATE(15,6,(ROW(DG$296:DG$344)-ROW(DG$296)+1)/(DG$296:DG$344&lt;&gt;""),ROWS(DO$1:DO38))),"")</f>
        <v/>
      </c>
      <c r="DP333" s="165" t="str">
        <f>IFERROR(INDEX(DH$296:DH$344,_xlfn.AGGREGATE(15,6,(ROW(DH$296:DH$344)-ROW(DH$296)+1)/(DH$296:DH$344&lt;&gt;""),ROWS(DP$1:DP38))),"")</f>
        <v/>
      </c>
      <c r="DQ333" s="166" t="str">
        <f t="shared" si="157"/>
        <v/>
      </c>
      <c r="DV333" s="145">
        <v>2052</v>
      </c>
      <c r="DW333" s="235">
        <f t="shared" ca="1" si="142"/>
        <v>902.33662287987033</v>
      </c>
      <c r="EA333" s="55"/>
      <c r="EB333" s="55"/>
      <c r="EC333" s="55"/>
      <c r="ED333" s="55"/>
      <c r="EE333" s="55"/>
    </row>
    <row r="334" spans="2:135" ht="13.8" x14ac:dyDescent="0.45">
      <c r="B334" s="128">
        <v>2050</v>
      </c>
      <c r="C334" s="244"/>
      <c r="D334" s="244"/>
      <c r="E334" s="244"/>
      <c r="F334" s="244"/>
      <c r="G334" s="244"/>
      <c r="H334" s="245"/>
      <c r="I334" s="246"/>
      <c r="J334" s="247"/>
      <c r="K334" s="245"/>
      <c r="L334" s="246"/>
      <c r="M334" s="245"/>
      <c r="N334" s="29" t="s">
        <v>119</v>
      </c>
      <c r="O334" s="120"/>
      <c r="P334" s="120"/>
      <c r="Q334" s="120"/>
      <c r="R334" s="29">
        <v>36</v>
      </c>
      <c r="S334" s="238" t="str">
        <f t="shared" si="143"/>
        <v/>
      </c>
      <c r="T334" s="238" t="str">
        <f t="shared" si="144"/>
        <v/>
      </c>
      <c r="U334" s="238" t="str">
        <f t="shared" si="145"/>
        <v/>
      </c>
      <c r="W334" s="238" t="e">
        <f t="shared" si="158"/>
        <v>#N/A</v>
      </c>
      <c r="X334" s="238" t="e">
        <f t="shared" si="146"/>
        <v>#N/A</v>
      </c>
      <c r="Y334" s="238" t="e">
        <f t="shared" si="147"/>
        <v>#N/A</v>
      </c>
      <c r="AA334" s="89"/>
      <c r="AB334" s="89"/>
      <c r="AC334" s="89"/>
      <c r="AD334" s="89"/>
      <c r="AE334" s="89"/>
      <c r="AF334" s="89"/>
      <c r="AG334" s="89"/>
      <c r="AH334" s="89"/>
      <c r="AI334" s="89"/>
      <c r="AJ334" s="89"/>
      <c r="AK334" s="89"/>
      <c r="AL334" s="89"/>
      <c r="AM334" s="89"/>
      <c r="AN334" s="89"/>
      <c r="BR334" s="180">
        <v>2048</v>
      </c>
      <c r="BS334" s="22">
        <v>34</v>
      </c>
      <c r="BT334" s="198">
        <f t="shared" si="159"/>
        <v>528.2967453426603</v>
      </c>
      <c r="BU334" s="198">
        <f t="shared" si="160"/>
        <v>262.1103819006978</v>
      </c>
      <c r="BV334" s="205">
        <f t="shared" si="161"/>
        <v>790.4071272433581</v>
      </c>
      <c r="BY334" s="180">
        <v>2048</v>
      </c>
      <c r="BZ334" s="22">
        <v>34</v>
      </c>
      <c r="CA334" s="198">
        <f t="shared" ca="1" si="162"/>
        <v>133.86952448342245</v>
      </c>
      <c r="CB334" s="198">
        <f t="shared" ca="1" si="163"/>
        <v>402.30189877002755</v>
      </c>
      <c r="CC334" s="198">
        <f t="shared" ca="1" si="174"/>
        <v>282.49190119921195</v>
      </c>
      <c r="CD334" s="205">
        <f t="shared" ca="1" si="164"/>
        <v>818.66332445266198</v>
      </c>
      <c r="CG334" s="180">
        <v>2048</v>
      </c>
      <c r="CH334" s="22">
        <v>34</v>
      </c>
      <c r="CI334" s="198">
        <f t="shared" ca="1" si="165"/>
        <v>15.712810342674965</v>
      </c>
      <c r="CJ334" s="198">
        <f t="shared" ca="1" si="166"/>
        <v>111.68673341141078</v>
      </c>
      <c r="CK334" s="198">
        <f t="shared" ca="1" si="167"/>
        <v>410.7862726592125</v>
      </c>
      <c r="CL334" s="198">
        <f t="shared" ca="1" si="168"/>
        <v>281.77422266452913</v>
      </c>
      <c r="CM334" s="205">
        <f t="shared" ca="1" si="169"/>
        <v>819.96003907782733</v>
      </c>
      <c r="CP334" s="180">
        <v>2048</v>
      </c>
      <c r="CQ334" s="22">
        <v>34</v>
      </c>
      <c r="CR334" s="198">
        <f t="shared" ca="1" si="170"/>
        <v>297.31086370130703</v>
      </c>
      <c r="CS334" s="198">
        <f t="shared" ca="1" si="171"/>
        <v>2.9082670048954999</v>
      </c>
      <c r="CT334" s="205">
        <f t="shared" ca="1" si="172"/>
        <v>864.65937509949435</v>
      </c>
      <c r="CZ334" s="164" t="b">
        <f t="shared" si="148"/>
        <v>0</v>
      </c>
      <c r="DA334" s="165" t="b">
        <f t="shared" si="148"/>
        <v>0</v>
      </c>
      <c r="DB334" s="166" t="b">
        <f t="shared" si="148"/>
        <v>0</v>
      </c>
      <c r="DC334" s="164" t="str">
        <f t="shared" si="149"/>
        <v/>
      </c>
      <c r="DD334" s="166" t="str">
        <f t="shared" si="150"/>
        <v/>
      </c>
      <c r="DE334" s="164" t="str">
        <f t="shared" si="151"/>
        <v/>
      </c>
      <c r="DF334" s="166" t="str">
        <f t="shared" si="152"/>
        <v/>
      </c>
      <c r="DG334" s="164" t="str">
        <f t="shared" si="153"/>
        <v/>
      </c>
      <c r="DH334" s="166" t="str">
        <f t="shared" si="154"/>
        <v/>
      </c>
      <c r="DI334" s="164" t="str">
        <f>IFERROR(INDEX(DC$296:DC$344,_xlfn.AGGREGATE(15,6,(ROW(DC$296:DC$344)-ROW(DC$296)+1)/(DC$296:DC$344&lt;&gt;""),ROWS(DI$1:DI39))),"")</f>
        <v/>
      </c>
      <c r="DJ334" s="165" t="str">
        <f>IFERROR(INDEX(DD$296:DD$344,_xlfn.AGGREGATE(15,6,(ROW(DD$296:DD$344)-ROW(DD$296)+1)/(DD$296:DD$344&lt;&gt;""),ROWS(DJ$1:DJ39))),"")</f>
        <v/>
      </c>
      <c r="DK334" s="166" t="str">
        <f t="shared" si="155"/>
        <v/>
      </c>
      <c r="DL334" s="164" t="str">
        <f>IFERROR(INDEX(DE$296:DE$344,_xlfn.AGGREGATE(15,6,(ROW(DE$296:DE$344)-ROW(DE$296)+1)/(DE$296:DE$344&lt;&gt;""),ROWS(DL$1:DL39))),"")</f>
        <v/>
      </c>
      <c r="DM334" s="165" t="str">
        <f>IFERROR(INDEX(DF$296:DF$344,_xlfn.AGGREGATE(15,6,(ROW(DF$296:DF$344)-ROW(DF$296)+1)/(DF$296:DF$344&lt;&gt;""),ROWS(DM$1:DM39))),"")</f>
        <v/>
      </c>
      <c r="DN334" s="166" t="str">
        <f t="shared" si="156"/>
        <v/>
      </c>
      <c r="DO334" s="164" t="str">
        <f>IFERROR(INDEX(DG$296:DG$344,_xlfn.AGGREGATE(15,6,(ROW(DG$296:DG$344)-ROW(DG$296)+1)/(DG$296:DG$344&lt;&gt;""),ROWS(DO$1:DO39))),"")</f>
        <v/>
      </c>
      <c r="DP334" s="165" t="str">
        <f>IFERROR(INDEX(DH$296:DH$344,_xlfn.AGGREGATE(15,6,(ROW(DH$296:DH$344)-ROW(DH$296)+1)/(DH$296:DH$344&lt;&gt;""),ROWS(DP$1:DP39))),"")</f>
        <v/>
      </c>
      <c r="DQ334" s="166" t="str">
        <f t="shared" si="157"/>
        <v/>
      </c>
      <c r="DV334" s="145">
        <v>2053</v>
      </c>
      <c r="DW334" s="235">
        <f t="shared" ca="1" si="142"/>
        <v>923.63571882071608</v>
      </c>
      <c r="EA334" s="55"/>
      <c r="EB334" s="55"/>
      <c r="EC334" s="55"/>
      <c r="ED334" s="55"/>
      <c r="EE334" s="55"/>
    </row>
    <row r="335" spans="2:135" ht="13.8" x14ac:dyDescent="0.45">
      <c r="B335" s="128">
        <v>2051</v>
      </c>
      <c r="C335" s="244"/>
      <c r="D335" s="244"/>
      <c r="E335" s="244"/>
      <c r="F335" s="244"/>
      <c r="G335" s="244"/>
      <c r="H335" s="245"/>
      <c r="I335" s="246"/>
      <c r="J335" s="247"/>
      <c r="K335" s="245"/>
      <c r="L335" s="246"/>
      <c r="M335" s="245"/>
      <c r="N335" s="29" t="s">
        <v>119</v>
      </c>
      <c r="O335" s="120"/>
      <c r="P335" s="120"/>
      <c r="Q335" s="120"/>
      <c r="R335" s="29">
        <v>37</v>
      </c>
      <c r="S335" s="238" t="str">
        <f t="shared" si="143"/>
        <v/>
      </c>
      <c r="T335" s="238" t="str">
        <f t="shared" si="144"/>
        <v/>
      </c>
      <c r="U335" s="238" t="str">
        <f t="shared" si="145"/>
        <v/>
      </c>
      <c r="W335" s="238" t="e">
        <f t="shared" si="158"/>
        <v>#N/A</v>
      </c>
      <c r="X335" s="238" t="e">
        <f t="shared" si="146"/>
        <v>#N/A</v>
      </c>
      <c r="Y335" s="238" t="e">
        <f t="shared" si="147"/>
        <v>#N/A</v>
      </c>
      <c r="AA335" s="89"/>
      <c r="AB335" s="89"/>
      <c r="AC335" s="89"/>
      <c r="AD335" s="89"/>
      <c r="AE335" s="89"/>
      <c r="AF335" s="89"/>
      <c r="AG335" s="89"/>
      <c r="AH335" s="89"/>
      <c r="AI335" s="89"/>
      <c r="AJ335" s="89"/>
      <c r="AK335" s="89"/>
      <c r="AL335" s="89"/>
      <c r="AM335" s="89"/>
      <c r="AN335" s="89"/>
      <c r="BR335" s="180">
        <v>2049</v>
      </c>
      <c r="BS335" s="22">
        <v>35</v>
      </c>
      <c r="BT335" s="198">
        <f t="shared" si="159"/>
        <v>543.83488491156209</v>
      </c>
      <c r="BU335" s="198">
        <f t="shared" si="160"/>
        <v>262.1103819006978</v>
      </c>
      <c r="BV335" s="205">
        <f t="shared" si="161"/>
        <v>805.94526681225989</v>
      </c>
      <c r="BY335" s="180">
        <v>2049</v>
      </c>
      <c r="BZ335" s="22">
        <v>35</v>
      </c>
      <c r="CA335" s="198">
        <f t="shared" ca="1" si="162"/>
        <v>141.86000648113537</v>
      </c>
      <c r="CB335" s="198">
        <f t="shared" ca="1" si="163"/>
        <v>414.13430755738131</v>
      </c>
      <c r="CC335" s="198">
        <f t="shared" ca="1" si="174"/>
        <v>282.49190119921195</v>
      </c>
      <c r="CD335" s="205">
        <f t="shared" ca="1" si="164"/>
        <v>838.48621523772863</v>
      </c>
      <c r="CG335" s="180">
        <v>2049</v>
      </c>
      <c r="CH335" s="22">
        <v>35</v>
      </c>
      <c r="CI335" s="198">
        <f t="shared" ca="1" si="165"/>
        <v>17.140411750513667</v>
      </c>
      <c r="CJ335" s="198">
        <f t="shared" ca="1" si="166"/>
        <v>118.35315608043098</v>
      </c>
      <c r="CK335" s="198">
        <f t="shared" ca="1" si="167"/>
        <v>422.86822185507174</v>
      </c>
      <c r="CL335" s="198">
        <f t="shared" ca="1" si="168"/>
        <v>281.77422266452913</v>
      </c>
      <c r="CM335" s="205">
        <f t="shared" ca="1" si="169"/>
        <v>840.13601235054557</v>
      </c>
      <c r="CP335" s="180">
        <v>2049</v>
      </c>
      <c r="CQ335" s="22">
        <v>35</v>
      </c>
      <c r="CR335" s="198">
        <f t="shared" ca="1" si="170"/>
        <v>297.31086370130703</v>
      </c>
      <c r="CS335" s="198">
        <f t="shared" ca="1" si="171"/>
        <v>3.0010316685852874</v>
      </c>
      <c r="CT335" s="205">
        <f t="shared" ca="1" si="172"/>
        <v>892.23931738206636</v>
      </c>
      <c r="CZ335" s="164" t="b">
        <f t="shared" si="148"/>
        <v>0</v>
      </c>
      <c r="DA335" s="165" t="b">
        <f t="shared" si="148"/>
        <v>0</v>
      </c>
      <c r="DB335" s="166" t="b">
        <f t="shared" si="148"/>
        <v>0</v>
      </c>
      <c r="DC335" s="164" t="str">
        <f t="shared" si="149"/>
        <v/>
      </c>
      <c r="DD335" s="166" t="str">
        <f t="shared" si="150"/>
        <v/>
      </c>
      <c r="DE335" s="164" t="str">
        <f t="shared" si="151"/>
        <v/>
      </c>
      <c r="DF335" s="166" t="str">
        <f t="shared" si="152"/>
        <v/>
      </c>
      <c r="DG335" s="164" t="str">
        <f t="shared" si="153"/>
        <v/>
      </c>
      <c r="DH335" s="166" t="str">
        <f t="shared" si="154"/>
        <v/>
      </c>
      <c r="DI335" s="164" t="str">
        <f>IFERROR(INDEX(DC$296:DC$344,_xlfn.AGGREGATE(15,6,(ROW(DC$296:DC$344)-ROW(DC$296)+1)/(DC$296:DC$344&lt;&gt;""),ROWS(DI$1:DI40))),"")</f>
        <v/>
      </c>
      <c r="DJ335" s="165" t="str">
        <f>IFERROR(INDEX(DD$296:DD$344,_xlfn.AGGREGATE(15,6,(ROW(DD$296:DD$344)-ROW(DD$296)+1)/(DD$296:DD$344&lt;&gt;""),ROWS(DJ$1:DJ40))),"")</f>
        <v/>
      </c>
      <c r="DK335" s="166" t="str">
        <f t="shared" si="155"/>
        <v/>
      </c>
      <c r="DL335" s="164" t="str">
        <f>IFERROR(INDEX(DE$296:DE$344,_xlfn.AGGREGATE(15,6,(ROW(DE$296:DE$344)-ROW(DE$296)+1)/(DE$296:DE$344&lt;&gt;""),ROWS(DL$1:DL40))),"")</f>
        <v/>
      </c>
      <c r="DM335" s="165" t="str">
        <f>IFERROR(INDEX(DF$296:DF$344,_xlfn.AGGREGATE(15,6,(ROW(DF$296:DF$344)-ROW(DF$296)+1)/(DF$296:DF$344&lt;&gt;""),ROWS(DM$1:DM40))),"")</f>
        <v/>
      </c>
      <c r="DN335" s="166" t="str">
        <f t="shared" si="156"/>
        <v/>
      </c>
      <c r="DO335" s="164" t="str">
        <f>IFERROR(INDEX(DG$296:DG$344,_xlfn.AGGREGATE(15,6,(ROW(DG$296:DG$344)-ROW(DG$296)+1)/(DG$296:DG$344&lt;&gt;""),ROWS(DO$1:DO40))),"")</f>
        <v/>
      </c>
      <c r="DP335" s="165" t="str">
        <f>IFERROR(INDEX(DH$296:DH$344,_xlfn.AGGREGATE(15,6,(ROW(DH$296:DH$344)-ROW(DH$296)+1)/(DH$296:DH$344&lt;&gt;""),ROWS(DP$1:DP40))),"")</f>
        <v/>
      </c>
      <c r="DQ335" s="166" t="str">
        <f t="shared" si="157"/>
        <v/>
      </c>
      <c r="DV335" s="145">
        <v>2054</v>
      </c>
      <c r="DW335" s="235">
        <f t="shared" ca="1" si="142"/>
        <v>945.22159207410402</v>
      </c>
      <c r="EA335" s="55"/>
      <c r="EB335" s="55"/>
      <c r="EC335" s="55"/>
      <c r="ED335" s="55"/>
      <c r="EE335" s="55"/>
    </row>
    <row r="336" spans="2:135" ht="13.8" x14ac:dyDescent="0.45">
      <c r="B336" s="128">
        <v>2052</v>
      </c>
      <c r="C336" s="244"/>
      <c r="D336" s="244"/>
      <c r="E336" s="244"/>
      <c r="F336" s="244"/>
      <c r="G336" s="244"/>
      <c r="H336" s="245"/>
      <c r="I336" s="246"/>
      <c r="J336" s="247"/>
      <c r="K336" s="245"/>
      <c r="L336" s="246"/>
      <c r="M336" s="245"/>
      <c r="N336" s="29" t="s">
        <v>119</v>
      </c>
      <c r="O336" s="120"/>
      <c r="P336" s="120"/>
      <c r="Q336" s="120"/>
      <c r="R336" s="29">
        <v>38</v>
      </c>
      <c r="S336" s="238" t="str">
        <f t="shared" si="143"/>
        <v/>
      </c>
      <c r="T336" s="238" t="str">
        <f t="shared" si="144"/>
        <v/>
      </c>
      <c r="U336" s="238" t="str">
        <f t="shared" si="145"/>
        <v/>
      </c>
      <c r="W336" s="238" t="e">
        <f t="shared" si="158"/>
        <v>#N/A</v>
      </c>
      <c r="X336" s="238" t="e">
        <f t="shared" si="146"/>
        <v>#N/A</v>
      </c>
      <c r="Y336" s="238" t="e">
        <f t="shared" si="147"/>
        <v>#N/A</v>
      </c>
      <c r="AA336" s="89"/>
      <c r="AB336" s="89"/>
      <c r="AC336" s="89"/>
      <c r="AD336" s="89"/>
      <c r="AE336" s="89"/>
      <c r="AF336" s="89"/>
      <c r="AG336" s="89"/>
      <c r="AH336" s="89"/>
      <c r="AI336" s="89"/>
      <c r="AJ336" s="89"/>
      <c r="AK336" s="89"/>
      <c r="AL336" s="89"/>
      <c r="AM336" s="89"/>
      <c r="AN336" s="89"/>
      <c r="BR336" s="180">
        <v>2050</v>
      </c>
      <c r="BS336" s="22">
        <v>36</v>
      </c>
      <c r="BT336" s="198">
        <f t="shared" si="159"/>
        <v>559.37302448046387</v>
      </c>
      <c r="BU336" s="198">
        <f t="shared" si="160"/>
        <v>262.1103819006978</v>
      </c>
      <c r="BV336" s="212">
        <f t="shared" si="161"/>
        <v>821.48340638116167</v>
      </c>
      <c r="BY336" s="180">
        <v>2050</v>
      </c>
      <c r="BZ336" s="22">
        <v>36</v>
      </c>
      <c r="CA336" s="198">
        <f t="shared" ca="1" si="162"/>
        <v>150.08209665269507</v>
      </c>
      <c r="CB336" s="198">
        <f t="shared" ca="1" si="163"/>
        <v>425.96671634473506</v>
      </c>
      <c r="CC336" s="198">
        <f t="shared" ca="1" si="174"/>
        <v>282.49190119921195</v>
      </c>
      <c r="CD336" s="212">
        <f t="shared" ca="1" si="164"/>
        <v>858.54071419664206</v>
      </c>
      <c r="CG336" s="180">
        <v>2050</v>
      </c>
      <c r="CH336" s="22">
        <v>36</v>
      </c>
      <c r="CI336" s="198">
        <f t="shared" ca="1" si="165"/>
        <v>18.651966195497742</v>
      </c>
      <c r="CJ336" s="198">
        <f t="shared" ca="1" si="166"/>
        <v>125.21280839203148</v>
      </c>
      <c r="CK336" s="198">
        <f t="shared" ca="1" si="167"/>
        <v>434.95017105093092</v>
      </c>
      <c r="CL336" s="198">
        <f t="shared" ca="1" si="168"/>
        <v>281.77422266452913</v>
      </c>
      <c r="CM336" s="212">
        <f t="shared" ca="1" si="169"/>
        <v>860.58916830298926</v>
      </c>
      <c r="CP336" s="180">
        <v>2050</v>
      </c>
      <c r="CQ336" s="22">
        <v>36</v>
      </c>
      <c r="CR336" s="198">
        <f t="shared" ca="1" si="170"/>
        <v>297.31086370130703</v>
      </c>
      <c r="CS336" s="198">
        <f t="shared" ca="1" si="171"/>
        <v>3.0967552362598165</v>
      </c>
      <c r="CT336" s="212">
        <f t="shared" ca="1" si="172"/>
        <v>920.69897396395118</v>
      </c>
      <c r="CZ336" s="164" t="b">
        <f t="shared" ref="CZ336:DB344" si="176">ISNUMBER(W336)</f>
        <v>0</v>
      </c>
      <c r="DA336" s="165" t="b">
        <f t="shared" si="176"/>
        <v>0</v>
      </c>
      <c r="DB336" s="166" t="b">
        <f t="shared" si="176"/>
        <v>0</v>
      </c>
      <c r="DC336" s="164" t="str">
        <f t="shared" si="149"/>
        <v/>
      </c>
      <c r="DD336" s="166" t="str">
        <f t="shared" si="150"/>
        <v/>
      </c>
      <c r="DE336" s="164" t="str">
        <f t="shared" si="151"/>
        <v/>
      </c>
      <c r="DF336" s="166" t="str">
        <f t="shared" si="152"/>
        <v/>
      </c>
      <c r="DG336" s="164" t="str">
        <f t="shared" si="153"/>
        <v/>
      </c>
      <c r="DH336" s="166" t="str">
        <f t="shared" si="154"/>
        <v/>
      </c>
      <c r="DI336" s="164" t="str">
        <f>IFERROR(INDEX(DC$296:DC$344,_xlfn.AGGREGATE(15,6,(ROW(DC$296:DC$344)-ROW(DC$296)+1)/(DC$296:DC$344&lt;&gt;""),ROWS(DI$1:DI41))),"")</f>
        <v/>
      </c>
      <c r="DJ336" s="165" t="str">
        <f>IFERROR(INDEX(DD$296:DD$344,_xlfn.AGGREGATE(15,6,(ROW(DD$296:DD$344)-ROW(DD$296)+1)/(DD$296:DD$344&lt;&gt;""),ROWS(DJ$1:DJ41))),"")</f>
        <v/>
      </c>
      <c r="DK336" s="166" t="str">
        <f t="shared" si="155"/>
        <v/>
      </c>
      <c r="DL336" s="164" t="str">
        <f>IFERROR(INDEX(DE$296:DE$344,_xlfn.AGGREGATE(15,6,(ROW(DE$296:DE$344)-ROW(DE$296)+1)/(DE$296:DE$344&lt;&gt;""),ROWS(DL$1:DL41))),"")</f>
        <v/>
      </c>
      <c r="DM336" s="165" t="str">
        <f>IFERROR(INDEX(DF$296:DF$344,_xlfn.AGGREGATE(15,6,(ROW(DF$296:DF$344)-ROW(DF$296)+1)/(DF$296:DF$344&lt;&gt;""),ROWS(DM$1:DM41))),"")</f>
        <v/>
      </c>
      <c r="DN336" s="166" t="str">
        <f t="shared" si="156"/>
        <v/>
      </c>
      <c r="DO336" s="164" t="str">
        <f>IFERROR(INDEX(DG$296:DG$344,_xlfn.AGGREGATE(15,6,(ROW(DG$296:DG$344)-ROW(DG$296)+1)/(DG$296:DG$344&lt;&gt;""),ROWS(DO$1:DO41))),"")</f>
        <v/>
      </c>
      <c r="DP336" s="165" t="str">
        <f>IFERROR(INDEX(DH$296:DH$344,_xlfn.AGGREGATE(15,6,(ROW(DH$296:DH$344)-ROW(DH$296)+1)/(DH$296:DH$344&lt;&gt;""),ROWS(DP$1:DP41))),"")</f>
        <v/>
      </c>
      <c r="DQ336" s="166" t="str">
        <f t="shared" si="157"/>
        <v/>
      </c>
      <c r="DV336" s="145">
        <v>2055</v>
      </c>
      <c r="DW336" s="235">
        <f t="shared" ca="1" si="142"/>
        <v>967.09664129823841</v>
      </c>
      <c r="EA336" s="55"/>
      <c r="EB336" s="55"/>
      <c r="EC336" s="55"/>
      <c r="ED336" s="55"/>
      <c r="EE336" s="55"/>
    </row>
    <row r="337" spans="1:135" ht="13.8" x14ac:dyDescent="0.45">
      <c r="B337" s="128">
        <v>2053</v>
      </c>
      <c r="C337" s="244"/>
      <c r="D337" s="244"/>
      <c r="E337" s="244"/>
      <c r="F337" s="244"/>
      <c r="G337" s="244"/>
      <c r="H337" s="245"/>
      <c r="I337" s="246"/>
      <c r="J337" s="247"/>
      <c r="K337" s="245"/>
      <c r="L337" s="246"/>
      <c r="M337" s="245"/>
      <c r="N337" s="29" t="s">
        <v>119</v>
      </c>
      <c r="O337" s="120"/>
      <c r="P337" s="120"/>
      <c r="Q337" s="120"/>
      <c r="R337" s="29">
        <v>39</v>
      </c>
      <c r="S337" s="238" t="str">
        <f t="shared" si="143"/>
        <v/>
      </c>
      <c r="T337" s="238" t="str">
        <f t="shared" si="144"/>
        <v/>
      </c>
      <c r="U337" s="238" t="str">
        <f t="shared" si="145"/>
        <v/>
      </c>
      <c r="W337" s="238" t="e">
        <f t="shared" si="158"/>
        <v>#N/A</v>
      </c>
      <c r="X337" s="238" t="e">
        <f t="shared" si="146"/>
        <v>#N/A</v>
      </c>
      <c r="Y337" s="238" t="e">
        <f t="shared" si="147"/>
        <v>#N/A</v>
      </c>
      <c r="AA337" s="89"/>
      <c r="AB337" s="89"/>
      <c r="AC337" s="89"/>
      <c r="AD337" s="89"/>
      <c r="AE337" s="89"/>
      <c r="AF337" s="89"/>
      <c r="AG337" s="89"/>
      <c r="AH337" s="89"/>
      <c r="AI337" s="89"/>
      <c r="AJ337" s="89"/>
      <c r="AK337" s="89"/>
      <c r="AL337" s="89"/>
      <c r="AM337" s="89"/>
      <c r="AN337" s="89"/>
      <c r="BR337" s="180">
        <v>2051</v>
      </c>
      <c r="BS337" s="22">
        <v>37</v>
      </c>
      <c r="BT337" s="198">
        <f t="shared" si="159"/>
        <v>574.91116404936565</v>
      </c>
      <c r="BU337" s="198">
        <f t="shared" si="160"/>
        <v>262.1103819006978</v>
      </c>
      <c r="BV337" s="285">
        <f t="shared" si="161"/>
        <v>837.02154595006346</v>
      </c>
      <c r="BY337" s="180">
        <v>2051</v>
      </c>
      <c r="BZ337" s="22">
        <v>37</v>
      </c>
      <c r="CA337" s="198">
        <f t="shared" ca="1" si="162"/>
        <v>158.53579499810149</v>
      </c>
      <c r="CB337" s="198">
        <f t="shared" ca="1" si="163"/>
        <v>437.79912513208882</v>
      </c>
      <c r="CC337" s="198">
        <f t="shared" ca="1" si="174"/>
        <v>282.49190119921195</v>
      </c>
      <c r="CD337" s="285">
        <f t="shared" ca="1" si="164"/>
        <v>878.82682132940226</v>
      </c>
      <c r="CG337" s="180">
        <v>2051</v>
      </c>
      <c r="CH337" s="22">
        <v>37</v>
      </c>
      <c r="CI337" s="198">
        <f t="shared" ca="1" si="165"/>
        <v>20.249872335831341</v>
      </c>
      <c r="CJ337" s="198">
        <f t="shared" ca="1" si="166"/>
        <v>132.26569034621227</v>
      </c>
      <c r="CK337" s="198">
        <f t="shared" ca="1" si="167"/>
        <v>447.0321202467901</v>
      </c>
      <c r="CL337" s="198">
        <f t="shared" ca="1" si="168"/>
        <v>281.77422266452913</v>
      </c>
      <c r="CM337" s="285">
        <f t="shared" ca="1" si="169"/>
        <v>881.32190559336277</v>
      </c>
      <c r="CP337" s="180">
        <v>2051</v>
      </c>
      <c r="CQ337" s="22">
        <v>37</v>
      </c>
      <c r="CR337" s="198">
        <f t="shared" ca="1" si="170"/>
        <v>297.31086370130703</v>
      </c>
      <c r="CS337" s="198">
        <f t="shared" ca="1" si="171"/>
        <v>3.1955320877447968</v>
      </c>
      <c r="CT337" s="285">
        <f t="shared" ca="1" si="172"/>
        <v>950.06640499264643</v>
      </c>
      <c r="CZ337" s="164" t="b">
        <f t="shared" si="176"/>
        <v>0</v>
      </c>
      <c r="DA337" s="165" t="b">
        <f t="shared" si="176"/>
        <v>0</v>
      </c>
      <c r="DB337" s="166" t="b">
        <f t="shared" si="176"/>
        <v>0</v>
      </c>
      <c r="DC337" s="164" t="str">
        <f t="shared" si="149"/>
        <v/>
      </c>
      <c r="DD337" s="166" t="str">
        <f t="shared" si="150"/>
        <v/>
      </c>
      <c r="DE337" s="164" t="str">
        <f t="shared" si="151"/>
        <v/>
      </c>
      <c r="DF337" s="166" t="str">
        <f t="shared" si="152"/>
        <v/>
      </c>
      <c r="DG337" s="164" t="str">
        <f t="shared" si="153"/>
        <v/>
      </c>
      <c r="DH337" s="166" t="str">
        <f t="shared" si="154"/>
        <v/>
      </c>
      <c r="DI337" s="164" t="str">
        <f>IFERROR(INDEX(DC$296:DC$344,_xlfn.AGGREGATE(15,6,(ROW(DC$296:DC$344)-ROW(DC$296)+1)/(DC$296:DC$344&lt;&gt;""),ROWS(DI$1:DI42))),"")</f>
        <v/>
      </c>
      <c r="DJ337" s="165" t="str">
        <f>IFERROR(INDEX(DD$296:DD$344,_xlfn.AGGREGATE(15,6,(ROW(DD$296:DD$344)-ROW(DD$296)+1)/(DD$296:DD$344&lt;&gt;""),ROWS(DJ$1:DJ42))),"")</f>
        <v/>
      </c>
      <c r="DK337" s="166" t="str">
        <f t="shared" si="155"/>
        <v/>
      </c>
      <c r="DL337" s="164" t="str">
        <f>IFERROR(INDEX(DE$296:DE$344,_xlfn.AGGREGATE(15,6,(ROW(DE$296:DE$344)-ROW(DE$296)+1)/(DE$296:DE$344&lt;&gt;""),ROWS(DL$1:DL42))),"")</f>
        <v/>
      </c>
      <c r="DM337" s="165" t="str">
        <f>IFERROR(INDEX(DF$296:DF$344,_xlfn.AGGREGATE(15,6,(ROW(DF$296:DF$344)-ROW(DF$296)+1)/(DF$296:DF$344&lt;&gt;""),ROWS(DM$1:DM42))),"")</f>
        <v/>
      </c>
      <c r="DN337" s="166" t="str">
        <f t="shared" si="156"/>
        <v/>
      </c>
      <c r="DO337" s="164" t="str">
        <f>IFERROR(INDEX(DG$296:DG$344,_xlfn.AGGREGATE(15,6,(ROW(DG$296:DG$344)-ROW(DG$296)+1)/(DG$296:DG$344&lt;&gt;""),ROWS(DO$1:DO42))),"")</f>
        <v/>
      </c>
      <c r="DP337" s="165" t="str">
        <f>IFERROR(INDEX(DH$296:DH$344,_xlfn.AGGREGATE(15,6,(ROW(DH$296:DH$344)-ROW(DH$296)+1)/(DH$296:DH$344&lt;&gt;""),ROWS(DP$1:DP42))),"")</f>
        <v/>
      </c>
      <c r="DQ337" s="166" t="str">
        <f t="shared" si="157"/>
        <v/>
      </c>
      <c r="DV337" s="145">
        <v>2056</v>
      </c>
      <c r="DW337" s="235">
        <f t="shared" ca="1" si="142"/>
        <v>989.26326515132337</v>
      </c>
      <c r="EA337" s="55"/>
      <c r="EB337" s="55"/>
      <c r="EC337" s="55"/>
      <c r="ED337" s="55"/>
      <c r="EE337" s="55"/>
    </row>
    <row r="338" spans="1:135" ht="13.8" x14ac:dyDescent="0.45">
      <c r="B338" s="128">
        <v>2054</v>
      </c>
      <c r="C338" s="244"/>
      <c r="D338" s="244"/>
      <c r="E338" s="244"/>
      <c r="F338" s="244"/>
      <c r="G338" s="244"/>
      <c r="H338" s="245"/>
      <c r="I338" s="246"/>
      <c r="J338" s="247"/>
      <c r="K338" s="245"/>
      <c r="L338" s="246"/>
      <c r="M338" s="245"/>
      <c r="N338" s="29" t="s">
        <v>119</v>
      </c>
      <c r="O338" s="120"/>
      <c r="P338" s="120"/>
      <c r="Q338" s="120"/>
      <c r="R338" s="29">
        <v>40</v>
      </c>
      <c r="S338" s="238" t="str">
        <f t="shared" si="143"/>
        <v/>
      </c>
      <c r="T338" s="238" t="str">
        <f t="shared" si="144"/>
        <v/>
      </c>
      <c r="U338" s="238" t="str">
        <f t="shared" si="145"/>
        <v/>
      </c>
      <c r="W338" s="238" t="e">
        <f t="shared" si="158"/>
        <v>#N/A</v>
      </c>
      <c r="X338" s="238" t="e">
        <f t="shared" si="146"/>
        <v>#N/A</v>
      </c>
      <c r="Y338" s="238" t="e">
        <f t="shared" si="147"/>
        <v>#N/A</v>
      </c>
      <c r="AA338" s="89"/>
      <c r="AB338" s="89"/>
      <c r="AC338" s="89"/>
      <c r="AD338" s="89"/>
      <c r="AE338" s="89"/>
      <c r="AF338" s="89"/>
      <c r="AG338" s="89"/>
      <c r="AH338" s="89"/>
      <c r="AI338" s="89"/>
      <c r="AJ338" s="89"/>
      <c r="AK338" s="89"/>
      <c r="AL338" s="89"/>
      <c r="AM338" s="89"/>
      <c r="AN338" s="89"/>
      <c r="BR338" s="180">
        <v>2052</v>
      </c>
      <c r="BS338" s="22">
        <v>38</v>
      </c>
      <c r="BT338" s="198">
        <f t="shared" si="159"/>
        <v>590.44930361826744</v>
      </c>
      <c r="BU338" s="198">
        <f t="shared" si="160"/>
        <v>262.1103819006978</v>
      </c>
      <c r="BV338" s="241">
        <f t="shared" si="161"/>
        <v>852.55968551896524</v>
      </c>
      <c r="BY338" s="180">
        <v>2052</v>
      </c>
      <c r="BZ338" s="22">
        <v>38</v>
      </c>
      <c r="CA338" s="198">
        <f t="shared" ca="1" si="162"/>
        <v>167.2211015173547</v>
      </c>
      <c r="CB338" s="198">
        <f t="shared" ca="1" si="163"/>
        <v>449.63153391944252</v>
      </c>
      <c r="CC338" s="198">
        <f t="shared" ca="1" si="174"/>
        <v>282.49190119921195</v>
      </c>
      <c r="CD338" s="241">
        <f t="shared" ca="1" si="164"/>
        <v>899.34453663600914</v>
      </c>
      <c r="CG338" s="180">
        <v>2052</v>
      </c>
      <c r="CH338" s="22">
        <v>38</v>
      </c>
      <c r="CI338" s="198">
        <f t="shared" ca="1" si="165"/>
        <v>21.936528829718622</v>
      </c>
      <c r="CJ338" s="198">
        <f t="shared" ca="1" si="166"/>
        <v>139.51180194297334</v>
      </c>
      <c r="CK338" s="198">
        <f t="shared" ca="1" si="167"/>
        <v>459.11406944264928</v>
      </c>
      <c r="CL338" s="198">
        <f t="shared" ca="1" si="168"/>
        <v>281.77422266452913</v>
      </c>
      <c r="CM338" s="241">
        <f t="shared" ca="1" si="169"/>
        <v>902.33662287987033</v>
      </c>
      <c r="CP338" s="180">
        <v>2052</v>
      </c>
      <c r="CQ338" s="22">
        <v>38</v>
      </c>
      <c r="CR338" s="198">
        <f t="shared" ca="1" si="170"/>
        <v>297.31086370130703</v>
      </c>
      <c r="CS338" s="198">
        <f t="shared" ca="1" si="171"/>
        <v>3.2974596132885599</v>
      </c>
      <c r="CT338" s="241">
        <f t="shared" ca="1" si="172"/>
        <v>980.37056564699958</v>
      </c>
      <c r="CZ338" s="164" t="b">
        <f t="shared" si="176"/>
        <v>0</v>
      </c>
      <c r="DA338" s="165" t="b">
        <f t="shared" si="176"/>
        <v>0</v>
      </c>
      <c r="DB338" s="166" t="b">
        <f t="shared" si="176"/>
        <v>0</v>
      </c>
      <c r="DC338" s="164" t="str">
        <f t="shared" si="149"/>
        <v/>
      </c>
      <c r="DD338" s="166" t="str">
        <f t="shared" si="150"/>
        <v/>
      </c>
      <c r="DE338" s="164" t="str">
        <f t="shared" si="151"/>
        <v/>
      </c>
      <c r="DF338" s="166" t="str">
        <f t="shared" si="152"/>
        <v/>
      </c>
      <c r="DG338" s="164" t="str">
        <f t="shared" si="153"/>
        <v/>
      </c>
      <c r="DH338" s="166" t="str">
        <f t="shared" si="154"/>
        <v/>
      </c>
      <c r="DI338" s="164" t="str">
        <f>IFERROR(INDEX(DC$296:DC$344,_xlfn.AGGREGATE(15,6,(ROW(DC$296:DC$344)-ROW(DC$296)+1)/(DC$296:DC$344&lt;&gt;""),ROWS(DI$1:DI43))),"")</f>
        <v/>
      </c>
      <c r="DJ338" s="165" t="str">
        <f>IFERROR(INDEX(DD$296:DD$344,_xlfn.AGGREGATE(15,6,(ROW(DD$296:DD$344)-ROW(DD$296)+1)/(DD$296:DD$344&lt;&gt;""),ROWS(DJ$1:DJ43))),"")</f>
        <v/>
      </c>
      <c r="DK338" s="166" t="str">
        <f t="shared" si="155"/>
        <v/>
      </c>
      <c r="DL338" s="164" t="str">
        <f>IFERROR(INDEX(DE$296:DE$344,_xlfn.AGGREGATE(15,6,(ROW(DE$296:DE$344)-ROW(DE$296)+1)/(DE$296:DE$344&lt;&gt;""),ROWS(DL$1:DL43))),"")</f>
        <v/>
      </c>
      <c r="DM338" s="165" t="str">
        <f>IFERROR(INDEX(DF$296:DF$344,_xlfn.AGGREGATE(15,6,(ROW(DF$296:DF$344)-ROW(DF$296)+1)/(DF$296:DF$344&lt;&gt;""),ROWS(DM$1:DM43))),"")</f>
        <v/>
      </c>
      <c r="DN338" s="166" t="str">
        <f t="shared" si="156"/>
        <v/>
      </c>
      <c r="DO338" s="164" t="str">
        <f>IFERROR(INDEX(DG$296:DG$344,_xlfn.AGGREGATE(15,6,(ROW(DG$296:DG$344)-ROW(DG$296)+1)/(DG$296:DG$344&lt;&gt;""),ROWS(DO$1:DO43))),"")</f>
        <v/>
      </c>
      <c r="DP338" s="165" t="str">
        <f>IFERROR(INDEX(DH$296:DH$344,_xlfn.AGGREGATE(15,6,(ROW(DH$296:DH$344)-ROW(DH$296)+1)/(DH$296:DH$344&lt;&gt;""),ROWS(DP$1:DP43))),"")</f>
        <v/>
      </c>
      <c r="DQ338" s="166" t="str">
        <f t="shared" si="157"/>
        <v/>
      </c>
      <c r="DV338" s="145">
        <v>2057</v>
      </c>
      <c r="DW338" s="235">
        <f t="shared" ca="1" si="142"/>
        <v>1011.7238622915631</v>
      </c>
      <c r="EA338" s="55"/>
      <c r="EB338" s="55"/>
      <c r="EC338" s="55"/>
      <c r="ED338" s="55"/>
      <c r="EE338" s="55"/>
    </row>
    <row r="339" spans="1:135" ht="13.8" x14ac:dyDescent="0.45">
      <c r="B339" s="128">
        <v>2055</v>
      </c>
      <c r="C339" s="244"/>
      <c r="D339" s="244"/>
      <c r="E339" s="244"/>
      <c r="F339" s="244"/>
      <c r="G339" s="244"/>
      <c r="H339" s="245"/>
      <c r="I339" s="246"/>
      <c r="J339" s="247"/>
      <c r="K339" s="245"/>
      <c r="L339" s="246"/>
      <c r="M339" s="245"/>
      <c r="N339" s="29" t="s">
        <v>119</v>
      </c>
      <c r="O339" s="120"/>
      <c r="P339" s="120"/>
      <c r="Q339" s="120"/>
      <c r="R339" s="29">
        <v>41</v>
      </c>
      <c r="S339" s="238" t="str">
        <f t="shared" si="143"/>
        <v/>
      </c>
      <c r="T339" s="238" t="str">
        <f t="shared" si="144"/>
        <v/>
      </c>
      <c r="U339" s="238" t="str">
        <f t="shared" si="145"/>
        <v/>
      </c>
      <c r="W339" s="238" t="e">
        <f t="shared" si="158"/>
        <v>#N/A</v>
      </c>
      <c r="X339" s="238" t="e">
        <f t="shared" si="146"/>
        <v>#N/A</v>
      </c>
      <c r="Y339" s="238" t="e">
        <f t="shared" si="147"/>
        <v>#N/A</v>
      </c>
      <c r="AA339" s="89"/>
      <c r="AB339" s="89"/>
      <c r="AC339" s="89"/>
      <c r="AD339" s="89"/>
      <c r="AE339" s="89"/>
      <c r="AF339" s="89"/>
      <c r="AG339" s="89"/>
      <c r="AH339" s="89"/>
      <c r="AI339" s="89"/>
      <c r="AJ339" s="89"/>
      <c r="AK339" s="89"/>
      <c r="AL339" s="89"/>
      <c r="AM339" s="89"/>
      <c r="AN339" s="89"/>
      <c r="BR339" s="180">
        <v>2053</v>
      </c>
      <c r="BS339" s="22">
        <v>39</v>
      </c>
      <c r="BT339" s="198">
        <f t="shared" si="159"/>
        <v>605.98744318716922</v>
      </c>
      <c r="BU339" s="198">
        <f t="shared" si="160"/>
        <v>262.1103819006978</v>
      </c>
      <c r="BV339" s="241">
        <f t="shared" si="161"/>
        <v>868.09782508786702</v>
      </c>
      <c r="BY339" s="180">
        <v>2053</v>
      </c>
      <c r="BZ339" s="22">
        <v>39</v>
      </c>
      <c r="CA339" s="198">
        <f t="shared" ca="1" si="162"/>
        <v>176.13801621045462</v>
      </c>
      <c r="CB339" s="198">
        <f t="shared" ca="1" si="163"/>
        <v>461.46394270679627</v>
      </c>
      <c r="CC339" s="198">
        <f t="shared" ca="1" si="174"/>
        <v>282.49190119921195</v>
      </c>
      <c r="CD339" s="241">
        <f t="shared" ca="1" si="164"/>
        <v>920.09386011646279</v>
      </c>
      <c r="CG339" s="180">
        <v>2053</v>
      </c>
      <c r="CH339" s="22">
        <v>39</v>
      </c>
      <c r="CI339" s="198">
        <f t="shared" ca="1" si="165"/>
        <v>23.714334335363738</v>
      </c>
      <c r="CJ339" s="198">
        <f t="shared" ca="1" si="166"/>
        <v>146.95114318231472</v>
      </c>
      <c r="CK339" s="198">
        <f t="shared" ca="1" si="167"/>
        <v>471.19601863850846</v>
      </c>
      <c r="CL339" s="198">
        <f t="shared" ca="1" si="168"/>
        <v>281.77422266452913</v>
      </c>
      <c r="CM339" s="241">
        <f t="shared" ca="1" si="169"/>
        <v>923.63571882071608</v>
      </c>
      <c r="CP339" s="180">
        <v>2053</v>
      </c>
      <c r="CQ339" s="22">
        <v>39</v>
      </c>
      <c r="CR339" s="198">
        <f t="shared" ca="1" si="170"/>
        <v>297.31086370130703</v>
      </c>
      <c r="CS339" s="198">
        <f t="shared" ca="1" si="171"/>
        <v>3.4026383095851749</v>
      </c>
      <c r="CT339" s="241">
        <f t="shared" ca="1" si="172"/>
        <v>1011.6413346859237</v>
      </c>
      <c r="CZ339" s="164" t="b">
        <f t="shared" si="176"/>
        <v>0</v>
      </c>
      <c r="DA339" s="165" t="b">
        <f t="shared" si="176"/>
        <v>0</v>
      </c>
      <c r="DB339" s="166" t="b">
        <f t="shared" si="176"/>
        <v>0</v>
      </c>
      <c r="DC339" s="164" t="str">
        <f t="shared" si="149"/>
        <v/>
      </c>
      <c r="DD339" s="166" t="str">
        <f t="shared" si="150"/>
        <v/>
      </c>
      <c r="DE339" s="164" t="str">
        <f t="shared" si="151"/>
        <v/>
      </c>
      <c r="DF339" s="166" t="str">
        <f t="shared" si="152"/>
        <v/>
      </c>
      <c r="DG339" s="164" t="str">
        <f t="shared" si="153"/>
        <v/>
      </c>
      <c r="DH339" s="166" t="str">
        <f t="shared" si="154"/>
        <v/>
      </c>
      <c r="DI339" s="164" t="str">
        <f>IFERROR(INDEX(DC$296:DC$344,_xlfn.AGGREGATE(15,6,(ROW(DC$296:DC$344)-ROW(DC$296)+1)/(DC$296:DC$344&lt;&gt;""),ROWS(DI$1:DI44))),"")</f>
        <v/>
      </c>
      <c r="DJ339" s="165" t="str">
        <f>IFERROR(INDEX(DD$296:DD$344,_xlfn.AGGREGATE(15,6,(ROW(DD$296:DD$344)-ROW(DD$296)+1)/(DD$296:DD$344&lt;&gt;""),ROWS(DJ$1:DJ44))),"")</f>
        <v/>
      </c>
      <c r="DK339" s="166" t="str">
        <f t="shared" si="155"/>
        <v/>
      </c>
      <c r="DL339" s="164" t="str">
        <f>IFERROR(INDEX(DE$296:DE$344,_xlfn.AGGREGATE(15,6,(ROW(DE$296:DE$344)-ROW(DE$296)+1)/(DE$296:DE$344&lt;&gt;""),ROWS(DL$1:DL44))),"")</f>
        <v/>
      </c>
      <c r="DM339" s="165" t="str">
        <f>IFERROR(INDEX(DF$296:DF$344,_xlfn.AGGREGATE(15,6,(ROW(DF$296:DF$344)-ROW(DF$296)+1)/(DF$296:DF$344&lt;&gt;""),ROWS(DM$1:DM44))),"")</f>
        <v/>
      </c>
      <c r="DN339" s="166" t="str">
        <f t="shared" si="156"/>
        <v/>
      </c>
      <c r="DO339" s="164" t="str">
        <f>IFERROR(INDEX(DG$296:DG$344,_xlfn.AGGREGATE(15,6,(ROW(DG$296:DG$344)-ROW(DG$296)+1)/(DG$296:DG$344&lt;&gt;""),ROWS(DO$1:DO44))),"")</f>
        <v/>
      </c>
      <c r="DP339" s="165" t="str">
        <f>IFERROR(INDEX(DH$296:DH$344,_xlfn.AGGREGATE(15,6,(ROW(DH$296:DH$344)-ROW(DH$296)+1)/(DH$296:DH$344&lt;&gt;""),ROWS(DP$1:DP44))),"")</f>
        <v/>
      </c>
      <c r="DQ339" s="166" t="str">
        <f t="shared" si="157"/>
        <v/>
      </c>
      <c r="DV339" s="145">
        <v>2058</v>
      </c>
      <c r="DW339" s="235">
        <f t="shared" ca="1" si="142"/>
        <v>1034.4808313771618</v>
      </c>
      <c r="EA339" s="55"/>
      <c r="EB339" s="55"/>
      <c r="EC339" s="55"/>
      <c r="ED339" s="55"/>
      <c r="EE339" s="55"/>
    </row>
    <row r="340" spans="1:135" ht="13.8" x14ac:dyDescent="0.45">
      <c r="B340" s="128">
        <v>2056</v>
      </c>
      <c r="C340" s="244"/>
      <c r="D340" s="244"/>
      <c r="E340" s="244"/>
      <c r="F340" s="244"/>
      <c r="G340" s="244"/>
      <c r="H340" s="245"/>
      <c r="I340" s="246"/>
      <c r="J340" s="247"/>
      <c r="K340" s="245"/>
      <c r="L340" s="246"/>
      <c r="M340" s="245"/>
      <c r="N340" s="29" t="s">
        <v>119</v>
      </c>
      <c r="O340" s="120"/>
      <c r="P340" s="120"/>
      <c r="Q340" s="120"/>
      <c r="R340" s="29">
        <v>42</v>
      </c>
      <c r="S340" s="238" t="str">
        <f t="shared" si="143"/>
        <v/>
      </c>
      <c r="T340" s="238" t="str">
        <f t="shared" si="144"/>
        <v/>
      </c>
      <c r="U340" s="238" t="str">
        <f t="shared" si="145"/>
        <v/>
      </c>
      <c r="W340" s="238" t="e">
        <f t="shared" si="158"/>
        <v>#N/A</v>
      </c>
      <c r="X340" s="238" t="e">
        <f t="shared" si="146"/>
        <v>#N/A</v>
      </c>
      <c r="Y340" s="238" t="e">
        <f t="shared" si="147"/>
        <v>#N/A</v>
      </c>
      <c r="AA340" s="89"/>
      <c r="AB340" s="89"/>
      <c r="AC340" s="89"/>
      <c r="AD340" s="89"/>
      <c r="AE340" s="89"/>
      <c r="AF340" s="89"/>
      <c r="AG340" s="89"/>
      <c r="AH340" s="89"/>
      <c r="AI340" s="89"/>
      <c r="AJ340" s="89"/>
      <c r="AK340" s="89"/>
      <c r="AL340" s="89"/>
      <c r="AM340" s="89"/>
      <c r="AN340" s="89"/>
      <c r="BR340" s="180">
        <v>2054</v>
      </c>
      <c r="BS340" s="22">
        <v>40</v>
      </c>
      <c r="BT340" s="198">
        <f t="shared" si="159"/>
        <v>621.525582756071</v>
      </c>
      <c r="BU340" s="198">
        <f t="shared" si="160"/>
        <v>262.1103819006978</v>
      </c>
      <c r="BV340" s="241">
        <f t="shared" si="161"/>
        <v>883.63596465676881</v>
      </c>
      <c r="BY340" s="180">
        <v>2054</v>
      </c>
      <c r="BZ340" s="22">
        <v>40</v>
      </c>
      <c r="CA340" s="198">
        <f t="shared" ca="1" si="162"/>
        <v>185.2865390774013</v>
      </c>
      <c r="CB340" s="198">
        <f t="shared" ca="1" si="163"/>
        <v>473.29635149415003</v>
      </c>
      <c r="CC340" s="198">
        <f t="shared" ca="1" si="174"/>
        <v>282.49190119921195</v>
      </c>
      <c r="CD340" s="241">
        <f t="shared" ca="1" si="164"/>
        <v>941.07479177076334</v>
      </c>
      <c r="CG340" s="180">
        <v>2054</v>
      </c>
      <c r="CH340" s="22">
        <v>40</v>
      </c>
      <c r="CI340" s="198">
        <f t="shared" ca="1" si="165"/>
        <v>25.585687510970839</v>
      </c>
      <c r="CJ340" s="198">
        <f t="shared" ca="1" si="166"/>
        <v>154.58371406423637</v>
      </c>
      <c r="CK340" s="198">
        <f t="shared" ca="1" si="167"/>
        <v>483.2779678343677</v>
      </c>
      <c r="CL340" s="198">
        <f t="shared" ca="1" si="168"/>
        <v>281.77422266452913</v>
      </c>
      <c r="CM340" s="241">
        <f t="shared" ca="1" si="169"/>
        <v>945.22159207410402</v>
      </c>
      <c r="CP340" s="180">
        <v>2054</v>
      </c>
      <c r="CQ340" s="22">
        <v>40</v>
      </c>
      <c r="CR340" s="198">
        <f t="shared" ca="1" si="170"/>
        <v>297.31086370130703</v>
      </c>
      <c r="CS340" s="198">
        <f t="shared" ca="1" si="171"/>
        <v>3.5111718788603921</v>
      </c>
      <c r="CT340" s="241">
        <f t="shared" ca="1" si="172"/>
        <v>1043.9095439077241</v>
      </c>
      <c r="CZ340" s="164" t="b">
        <f t="shared" si="176"/>
        <v>0</v>
      </c>
      <c r="DA340" s="165" t="b">
        <f t="shared" si="176"/>
        <v>0</v>
      </c>
      <c r="DB340" s="166" t="b">
        <f t="shared" si="176"/>
        <v>0</v>
      </c>
      <c r="DC340" s="164" t="str">
        <f t="shared" si="149"/>
        <v/>
      </c>
      <c r="DD340" s="166" t="str">
        <f t="shared" si="150"/>
        <v/>
      </c>
      <c r="DE340" s="164" t="str">
        <f t="shared" si="151"/>
        <v/>
      </c>
      <c r="DF340" s="166" t="str">
        <f t="shared" si="152"/>
        <v/>
      </c>
      <c r="DG340" s="164" t="str">
        <f t="shared" si="153"/>
        <v/>
      </c>
      <c r="DH340" s="166" t="str">
        <f t="shared" si="154"/>
        <v/>
      </c>
      <c r="DI340" s="164" t="str">
        <f>IFERROR(INDEX(DC$296:DC$344,_xlfn.AGGREGATE(15,6,(ROW(DC$296:DC$344)-ROW(DC$296)+1)/(DC$296:DC$344&lt;&gt;""),ROWS(DI$1:DI45))),"")</f>
        <v/>
      </c>
      <c r="DJ340" s="165" t="str">
        <f>IFERROR(INDEX(DD$296:DD$344,_xlfn.AGGREGATE(15,6,(ROW(DD$296:DD$344)-ROW(DD$296)+1)/(DD$296:DD$344&lt;&gt;""),ROWS(DJ$1:DJ45))),"")</f>
        <v/>
      </c>
      <c r="DK340" s="166" t="str">
        <f t="shared" si="155"/>
        <v/>
      </c>
      <c r="DL340" s="164" t="str">
        <f>IFERROR(INDEX(DE$296:DE$344,_xlfn.AGGREGATE(15,6,(ROW(DE$296:DE$344)-ROW(DE$296)+1)/(DE$296:DE$344&lt;&gt;""),ROWS(DL$1:DL45))),"")</f>
        <v/>
      </c>
      <c r="DM340" s="165" t="str">
        <f>IFERROR(INDEX(DF$296:DF$344,_xlfn.AGGREGATE(15,6,(ROW(DF$296:DF$344)-ROW(DF$296)+1)/(DF$296:DF$344&lt;&gt;""),ROWS(DM$1:DM45))),"")</f>
        <v/>
      </c>
      <c r="DN340" s="166" t="str">
        <f t="shared" si="156"/>
        <v/>
      </c>
      <c r="DO340" s="164" t="str">
        <f>IFERROR(INDEX(DG$296:DG$344,_xlfn.AGGREGATE(15,6,(ROW(DG$296:DG$344)-ROW(DG$296)+1)/(DG$296:DG$344&lt;&gt;""),ROWS(DO$1:DO45))),"")</f>
        <v/>
      </c>
      <c r="DP340" s="165" t="str">
        <f>IFERROR(INDEX(DH$296:DH$344,_xlfn.AGGREGATE(15,6,(ROW(DH$296:DH$344)-ROW(DH$296)+1)/(DH$296:DH$344&lt;&gt;""),ROWS(DP$1:DP45))),"")</f>
        <v/>
      </c>
      <c r="DQ340" s="166" t="str">
        <f t="shared" si="157"/>
        <v/>
      </c>
      <c r="DV340" s="145">
        <v>2059</v>
      </c>
      <c r="DW340" s="235">
        <f t="shared" ca="1" si="142"/>
        <v>1057.5365710663236</v>
      </c>
      <c r="EA340" s="55"/>
      <c r="EB340" s="55"/>
      <c r="EC340" s="55"/>
      <c r="ED340" s="55"/>
      <c r="EE340" s="55"/>
    </row>
    <row r="341" spans="1:135" ht="13.8" x14ac:dyDescent="0.45">
      <c r="B341" s="128">
        <v>2057</v>
      </c>
      <c r="C341" s="244"/>
      <c r="D341" s="244"/>
      <c r="E341" s="244"/>
      <c r="F341" s="244"/>
      <c r="G341" s="244"/>
      <c r="H341" s="245"/>
      <c r="I341" s="246"/>
      <c r="J341" s="247"/>
      <c r="K341" s="245"/>
      <c r="L341" s="246"/>
      <c r="M341" s="245"/>
      <c r="N341" s="29" t="s">
        <v>119</v>
      </c>
      <c r="O341" s="120"/>
      <c r="P341" s="120"/>
      <c r="Q341" s="120"/>
      <c r="R341" s="29">
        <v>43</v>
      </c>
      <c r="S341" s="238" t="str">
        <f t="shared" si="143"/>
        <v/>
      </c>
      <c r="T341" s="238" t="str">
        <f t="shared" si="144"/>
        <v/>
      </c>
      <c r="U341" s="238" t="str">
        <f t="shared" si="145"/>
        <v/>
      </c>
      <c r="W341" s="238" t="e">
        <f t="shared" si="158"/>
        <v>#N/A</v>
      </c>
      <c r="X341" s="238" t="e">
        <f t="shared" si="146"/>
        <v>#N/A</v>
      </c>
      <c r="Y341" s="238" t="e">
        <f t="shared" si="147"/>
        <v>#N/A</v>
      </c>
      <c r="AA341" s="89"/>
      <c r="AB341" s="89"/>
      <c r="AC341" s="89"/>
      <c r="AD341" s="89"/>
      <c r="AE341" s="89"/>
      <c r="AF341" s="89"/>
      <c r="AG341" s="89"/>
      <c r="AH341" s="89"/>
      <c r="AI341" s="89"/>
      <c r="AJ341" s="89"/>
      <c r="AK341" s="89"/>
      <c r="AL341" s="89"/>
      <c r="AM341" s="89"/>
      <c r="AN341" s="89"/>
      <c r="BR341" s="180">
        <v>2055</v>
      </c>
      <c r="BS341" s="22">
        <v>41</v>
      </c>
      <c r="BT341" s="198">
        <f t="shared" si="159"/>
        <v>637.06372232497279</v>
      </c>
      <c r="BU341" s="198">
        <f t="shared" si="160"/>
        <v>262.1103819006978</v>
      </c>
      <c r="BV341" s="241">
        <f t="shared" si="161"/>
        <v>899.17410422567059</v>
      </c>
      <c r="BY341" s="180">
        <v>2055</v>
      </c>
      <c r="BZ341" s="22">
        <v>41</v>
      </c>
      <c r="CA341" s="198">
        <f t="shared" ca="1" si="162"/>
        <v>194.66667011819476</v>
      </c>
      <c r="CB341" s="198">
        <f t="shared" ca="1" si="163"/>
        <v>485.12876028150379</v>
      </c>
      <c r="CC341" s="198">
        <f t="shared" ca="1" si="174"/>
        <v>282.49190119921195</v>
      </c>
      <c r="CD341" s="241">
        <f t="shared" ca="1" si="164"/>
        <v>962.28733159891044</v>
      </c>
      <c r="CG341" s="180">
        <v>2055</v>
      </c>
      <c r="CH341" s="22">
        <v>41</v>
      </c>
      <c r="CI341" s="198">
        <f t="shared" ca="1" si="165"/>
        <v>27.55298701474408</v>
      </c>
      <c r="CJ341" s="198">
        <f t="shared" ca="1" si="166"/>
        <v>162.40951458873835</v>
      </c>
      <c r="CK341" s="198">
        <f t="shared" ca="1" si="167"/>
        <v>495.35991703022688</v>
      </c>
      <c r="CL341" s="198">
        <f t="shared" ca="1" si="168"/>
        <v>281.77422266452913</v>
      </c>
      <c r="CM341" s="241">
        <f t="shared" ca="1" si="169"/>
        <v>967.09664129823841</v>
      </c>
      <c r="CP341" s="180">
        <v>2055</v>
      </c>
      <c r="CQ341" s="22">
        <v>41</v>
      </c>
      <c r="CR341" s="198">
        <f t="shared" ca="1" si="170"/>
        <v>297.31086370130703</v>
      </c>
      <c r="CS341" s="198">
        <f t="shared" ca="1" si="171"/>
        <v>3.6231673311181285</v>
      </c>
      <c r="CT341" s="241">
        <f t="shared" ca="1" si="172"/>
        <v>1077.2070085490902</v>
      </c>
      <c r="CZ341" s="164" t="b">
        <f t="shared" si="176"/>
        <v>0</v>
      </c>
      <c r="DA341" s="165" t="b">
        <f t="shared" si="176"/>
        <v>0</v>
      </c>
      <c r="DB341" s="166" t="b">
        <f t="shared" si="176"/>
        <v>0</v>
      </c>
      <c r="DC341" s="164" t="str">
        <f t="shared" si="149"/>
        <v/>
      </c>
      <c r="DD341" s="166" t="str">
        <f t="shared" si="150"/>
        <v/>
      </c>
      <c r="DE341" s="164" t="str">
        <f t="shared" si="151"/>
        <v/>
      </c>
      <c r="DF341" s="166" t="str">
        <f t="shared" si="152"/>
        <v/>
      </c>
      <c r="DG341" s="164" t="str">
        <f t="shared" si="153"/>
        <v/>
      </c>
      <c r="DH341" s="166" t="str">
        <f t="shared" si="154"/>
        <v/>
      </c>
      <c r="DI341" s="164" t="str">
        <f>IFERROR(INDEX(DC$296:DC$344,_xlfn.AGGREGATE(15,6,(ROW(DC$296:DC$344)-ROW(DC$296)+1)/(DC$296:DC$344&lt;&gt;""),ROWS(DI$1:DI46))),"")</f>
        <v/>
      </c>
      <c r="DJ341" s="165" t="str">
        <f>IFERROR(INDEX(DD$296:DD$344,_xlfn.AGGREGATE(15,6,(ROW(DD$296:DD$344)-ROW(DD$296)+1)/(DD$296:DD$344&lt;&gt;""),ROWS(DJ$1:DJ46))),"")</f>
        <v/>
      </c>
      <c r="DK341" s="166" t="str">
        <f t="shared" si="155"/>
        <v/>
      </c>
      <c r="DL341" s="164" t="str">
        <f>IFERROR(INDEX(DE$296:DE$344,_xlfn.AGGREGATE(15,6,(ROW(DE$296:DE$344)-ROW(DE$296)+1)/(DE$296:DE$344&lt;&gt;""),ROWS(DL$1:DL46))),"")</f>
        <v/>
      </c>
      <c r="DM341" s="165" t="str">
        <f>IFERROR(INDEX(DF$296:DF$344,_xlfn.AGGREGATE(15,6,(ROW(DF$296:DF$344)-ROW(DF$296)+1)/(DF$296:DF$344&lt;&gt;""),ROWS(DM$1:DM46))),"")</f>
        <v/>
      </c>
      <c r="DN341" s="166" t="str">
        <f t="shared" si="156"/>
        <v/>
      </c>
      <c r="DO341" s="164" t="str">
        <f>IFERROR(INDEX(DG$296:DG$344,_xlfn.AGGREGATE(15,6,(ROW(DG$296:DG$344)-ROW(DG$296)+1)/(DG$296:DG$344&lt;&gt;""),ROWS(DO$1:DO46))),"")</f>
        <v/>
      </c>
      <c r="DP341" s="165" t="str">
        <f>IFERROR(INDEX(DH$296:DH$344,_xlfn.AGGREGATE(15,6,(ROW(DH$296:DH$344)-ROW(DH$296)+1)/(DH$296:DH$344&lt;&gt;""),ROWS(DP$1:DP46))),"")</f>
        <v/>
      </c>
      <c r="DQ341" s="166" t="str">
        <f t="shared" si="157"/>
        <v/>
      </c>
      <c r="DV341" s="145">
        <v>2060</v>
      </c>
      <c r="DW341" s="235">
        <f t="shared" ca="1" si="142"/>
        <v>1080.8934800172524</v>
      </c>
      <c r="EA341" s="55"/>
      <c r="EB341" s="55"/>
      <c r="EC341" s="55"/>
      <c r="ED341" s="55"/>
      <c r="EE341" s="55"/>
    </row>
    <row r="342" spans="1:135" ht="13.8" x14ac:dyDescent="0.45">
      <c r="A342" s="214"/>
      <c r="B342" s="128">
        <v>2058</v>
      </c>
      <c r="C342" s="244"/>
      <c r="D342" s="244"/>
      <c r="E342" s="244"/>
      <c r="F342" s="244"/>
      <c r="G342" s="244"/>
      <c r="H342" s="245"/>
      <c r="I342" s="246"/>
      <c r="J342" s="247"/>
      <c r="K342" s="245"/>
      <c r="L342" s="246"/>
      <c r="M342" s="245"/>
      <c r="N342" s="29" t="s">
        <v>119</v>
      </c>
      <c r="R342" s="29">
        <v>44</v>
      </c>
      <c r="S342" s="238" t="str">
        <f t="shared" si="143"/>
        <v/>
      </c>
      <c r="T342" s="238" t="str">
        <f t="shared" si="144"/>
        <v/>
      </c>
      <c r="U342" s="238" t="str">
        <f t="shared" si="145"/>
        <v/>
      </c>
      <c r="W342" s="238" t="e">
        <f t="shared" si="158"/>
        <v>#N/A</v>
      </c>
      <c r="X342" s="238" t="e">
        <f t="shared" si="146"/>
        <v>#N/A</v>
      </c>
      <c r="Y342" s="238" t="e">
        <f t="shared" si="147"/>
        <v>#N/A</v>
      </c>
      <c r="AA342" s="89"/>
      <c r="AB342" s="89"/>
      <c r="AC342" s="89"/>
      <c r="AD342" s="89"/>
      <c r="AE342" s="89"/>
      <c r="AF342" s="89"/>
      <c r="AG342" s="89"/>
      <c r="AH342" s="89"/>
      <c r="AI342" s="89"/>
      <c r="AJ342" s="89"/>
      <c r="AK342" s="89"/>
      <c r="AL342" s="89"/>
      <c r="AM342" s="89"/>
      <c r="AN342" s="89"/>
      <c r="BR342" s="180">
        <v>2056</v>
      </c>
      <c r="BS342" s="22">
        <v>42</v>
      </c>
      <c r="BT342" s="198">
        <f t="shared" si="159"/>
        <v>652.60186189387457</v>
      </c>
      <c r="BU342" s="198">
        <f t="shared" si="160"/>
        <v>262.1103819006978</v>
      </c>
      <c r="BV342" s="241">
        <f t="shared" si="161"/>
        <v>914.71224379457237</v>
      </c>
      <c r="BY342" s="180">
        <v>2056</v>
      </c>
      <c r="BZ342" s="22">
        <v>42</v>
      </c>
      <c r="CA342" s="198">
        <f t="shared" ca="1" si="162"/>
        <v>204.27840933283494</v>
      </c>
      <c r="CB342" s="198">
        <f t="shared" ca="1" si="163"/>
        <v>496.96116906885754</v>
      </c>
      <c r="CC342" s="198">
        <f t="shared" ca="1" si="174"/>
        <v>282.49190119921195</v>
      </c>
      <c r="CD342" s="241">
        <f t="shared" ca="1" si="164"/>
        <v>983.73147960090444</v>
      </c>
      <c r="CG342" s="180">
        <v>2056</v>
      </c>
      <c r="CH342" s="22">
        <v>42</v>
      </c>
      <c r="CI342" s="198">
        <f t="shared" ca="1" si="165"/>
        <v>29.618631504887617</v>
      </c>
      <c r="CJ342" s="198">
        <f t="shared" ca="1" si="166"/>
        <v>170.42854475582061</v>
      </c>
      <c r="CK342" s="198">
        <f t="shared" ca="1" si="167"/>
        <v>507.44186622608606</v>
      </c>
      <c r="CL342" s="198">
        <f t="shared" ca="1" si="168"/>
        <v>281.77422266452913</v>
      </c>
      <c r="CM342" s="241">
        <f t="shared" ca="1" si="169"/>
        <v>989.26326515132337</v>
      </c>
      <c r="CP342" s="180">
        <v>2056</v>
      </c>
      <c r="CQ342" s="22">
        <v>42</v>
      </c>
      <c r="CR342" s="198">
        <f t="shared" ca="1" si="170"/>
        <v>297.31086370130703</v>
      </c>
      <c r="CS342" s="198">
        <f t="shared" ca="1" si="171"/>
        <v>3.7387350896482894</v>
      </c>
      <c r="CT342" s="241">
        <f t="shared" ca="1" si="172"/>
        <v>1111.5665586537166</v>
      </c>
      <c r="CZ342" s="164" t="b">
        <f t="shared" si="176"/>
        <v>0</v>
      </c>
      <c r="DA342" s="165" t="b">
        <f t="shared" si="176"/>
        <v>0</v>
      </c>
      <c r="DB342" s="166" t="b">
        <f t="shared" si="176"/>
        <v>0</v>
      </c>
      <c r="DC342" s="164" t="str">
        <f t="shared" si="149"/>
        <v/>
      </c>
      <c r="DD342" s="166" t="str">
        <f t="shared" si="150"/>
        <v/>
      </c>
      <c r="DE342" s="164" t="str">
        <f t="shared" si="151"/>
        <v/>
      </c>
      <c r="DF342" s="166" t="str">
        <f t="shared" si="152"/>
        <v/>
      </c>
      <c r="DG342" s="164" t="str">
        <f t="shared" si="153"/>
        <v/>
      </c>
      <c r="DH342" s="166" t="str">
        <f t="shared" si="154"/>
        <v/>
      </c>
      <c r="DI342" s="164" t="str">
        <f>IFERROR(INDEX(DC$296:DC$344,_xlfn.AGGREGATE(15,6,(ROW(DC$296:DC$344)-ROW(DC$296)+1)/(DC$296:DC$344&lt;&gt;""),ROWS(DI$1:DI47))),"")</f>
        <v/>
      </c>
      <c r="DJ342" s="165" t="str">
        <f>IFERROR(INDEX(DD$296:DD$344,_xlfn.AGGREGATE(15,6,(ROW(DD$296:DD$344)-ROW(DD$296)+1)/(DD$296:DD$344&lt;&gt;""),ROWS(DJ$1:DJ47))),"")</f>
        <v/>
      </c>
      <c r="DK342" s="166" t="str">
        <f t="shared" si="155"/>
        <v/>
      </c>
      <c r="DL342" s="164" t="str">
        <f>IFERROR(INDEX(DE$296:DE$344,_xlfn.AGGREGATE(15,6,(ROW(DE$296:DE$344)-ROW(DE$296)+1)/(DE$296:DE$344&lt;&gt;""),ROWS(DL$1:DL47))),"")</f>
        <v/>
      </c>
      <c r="DM342" s="165" t="str">
        <f>IFERROR(INDEX(DF$296:DF$344,_xlfn.AGGREGATE(15,6,(ROW(DF$296:DF$344)-ROW(DF$296)+1)/(DF$296:DF$344&lt;&gt;""),ROWS(DM$1:DM47))),"")</f>
        <v/>
      </c>
      <c r="DN342" s="166" t="str">
        <f t="shared" si="156"/>
        <v/>
      </c>
      <c r="DO342" s="164" t="str">
        <f>IFERROR(INDEX(DG$296:DG$344,_xlfn.AGGREGATE(15,6,(ROW(DG$296:DG$344)-ROW(DG$296)+1)/(DG$296:DG$344&lt;&gt;""),ROWS(DO$1:DO47))),"")</f>
        <v/>
      </c>
      <c r="DP342" s="165" t="str">
        <f>IFERROR(INDEX(DH$296:DH$344,_xlfn.AGGREGATE(15,6,(ROW(DH$296:DH$344)-ROW(DH$296)+1)/(DH$296:DH$344&lt;&gt;""),ROWS(DP$1:DP47))),"")</f>
        <v/>
      </c>
      <c r="DQ342" s="166" t="str">
        <f t="shared" si="157"/>
        <v/>
      </c>
      <c r="DW342" s="54"/>
      <c r="EA342" s="55"/>
      <c r="EB342" s="55"/>
      <c r="EC342" s="55"/>
      <c r="ED342" s="55"/>
      <c r="EE342" s="55"/>
    </row>
    <row r="343" spans="1:135" ht="13.8" x14ac:dyDescent="0.45">
      <c r="A343" s="214"/>
      <c r="B343" s="128">
        <v>2059</v>
      </c>
      <c r="C343" s="244"/>
      <c r="D343" s="244"/>
      <c r="E343" s="244"/>
      <c r="F343" s="244"/>
      <c r="G343" s="244"/>
      <c r="H343" s="245"/>
      <c r="I343" s="246"/>
      <c r="J343" s="247"/>
      <c r="K343" s="245"/>
      <c r="L343" s="246"/>
      <c r="M343" s="245"/>
      <c r="N343" s="29" t="s">
        <v>119</v>
      </c>
      <c r="R343" s="29">
        <v>45</v>
      </c>
      <c r="S343" s="238" t="str">
        <f t="shared" si="143"/>
        <v/>
      </c>
      <c r="T343" s="238" t="str">
        <f t="shared" si="144"/>
        <v/>
      </c>
      <c r="U343" s="238" t="str">
        <f t="shared" si="145"/>
        <v/>
      </c>
      <c r="W343" s="238" t="e">
        <f t="shared" si="158"/>
        <v>#N/A</v>
      </c>
      <c r="X343" s="238" t="e">
        <f t="shared" si="146"/>
        <v>#N/A</v>
      </c>
      <c r="Y343" s="238" t="e">
        <f t="shared" si="147"/>
        <v>#N/A</v>
      </c>
      <c r="AA343" s="89"/>
      <c r="AB343" s="89"/>
      <c r="AC343" s="89"/>
      <c r="AD343" s="89"/>
      <c r="AE343" s="89"/>
      <c r="AF343" s="89"/>
      <c r="AG343" s="89"/>
      <c r="AH343" s="89"/>
      <c r="AI343" s="89"/>
      <c r="AJ343" s="89"/>
      <c r="AK343" s="89"/>
      <c r="AL343" s="89"/>
      <c r="AM343" s="89"/>
      <c r="AN343" s="89"/>
      <c r="BR343" s="180">
        <v>2057</v>
      </c>
      <c r="BS343" s="22">
        <v>43</v>
      </c>
      <c r="BT343" s="198">
        <f t="shared" si="159"/>
        <v>668.14000146277635</v>
      </c>
      <c r="BU343" s="198">
        <f t="shared" si="160"/>
        <v>262.1103819006978</v>
      </c>
      <c r="BV343" s="241">
        <f t="shared" si="161"/>
        <v>930.25038336347416</v>
      </c>
      <c r="BY343" s="180">
        <v>2057</v>
      </c>
      <c r="BZ343" s="22">
        <v>43</v>
      </c>
      <c r="CA343" s="198">
        <f t="shared" ca="1" si="162"/>
        <v>214.1217567213219</v>
      </c>
      <c r="CB343" s="198">
        <f t="shared" ca="1" si="163"/>
        <v>508.7935778562113</v>
      </c>
      <c r="CC343" s="198">
        <f t="shared" ca="1" si="174"/>
        <v>282.49190119921195</v>
      </c>
      <c r="CD343" s="241">
        <f t="shared" ca="1" si="164"/>
        <v>1005.4072357767452</v>
      </c>
      <c r="CG343" s="180">
        <v>2057</v>
      </c>
      <c r="CH343" s="22">
        <v>43</v>
      </c>
      <c r="CI343" s="198">
        <f t="shared" ca="1" si="165"/>
        <v>31.785019639605601</v>
      </c>
      <c r="CJ343" s="198">
        <f t="shared" ca="1" si="166"/>
        <v>178.64080456548317</v>
      </c>
      <c r="CK343" s="198">
        <f t="shared" ca="1" si="167"/>
        <v>519.5238154219453</v>
      </c>
      <c r="CL343" s="198">
        <f t="shared" ca="1" si="168"/>
        <v>281.77422266452913</v>
      </c>
      <c r="CM343" s="241">
        <f t="shared" ca="1" si="169"/>
        <v>1011.7238622915631</v>
      </c>
      <c r="CP343" s="180">
        <v>2057</v>
      </c>
      <c r="CQ343" s="22">
        <v>43</v>
      </c>
      <c r="CR343" s="198">
        <f t="shared" ca="1" si="170"/>
        <v>297.31086370130703</v>
      </c>
      <c r="CS343" s="198">
        <f t="shared" ca="1" si="171"/>
        <v>3.8579890998999695</v>
      </c>
      <c r="CT343" s="241">
        <f t="shared" ca="1" si="172"/>
        <v>1147.0220714414879</v>
      </c>
      <c r="CZ343" s="164" t="b">
        <f t="shared" si="176"/>
        <v>0</v>
      </c>
      <c r="DA343" s="165" t="b">
        <f t="shared" si="176"/>
        <v>0</v>
      </c>
      <c r="DB343" s="166" t="b">
        <f t="shared" si="176"/>
        <v>0</v>
      </c>
      <c r="DC343" s="164" t="str">
        <f t="shared" si="149"/>
        <v/>
      </c>
      <c r="DD343" s="166" t="str">
        <f t="shared" si="150"/>
        <v/>
      </c>
      <c r="DE343" s="164" t="str">
        <f t="shared" si="151"/>
        <v/>
      </c>
      <c r="DF343" s="166" t="str">
        <f t="shared" si="152"/>
        <v/>
      </c>
      <c r="DG343" s="164" t="str">
        <f t="shared" si="153"/>
        <v/>
      </c>
      <c r="DH343" s="166" t="str">
        <f t="shared" si="154"/>
        <v/>
      </c>
      <c r="DI343" s="164" t="str">
        <f>IFERROR(INDEX(DC$296:DC$344,_xlfn.AGGREGATE(15,6,(ROW(DC$296:DC$344)-ROW(DC$296)+1)/(DC$296:DC$344&lt;&gt;""),ROWS(DI$1:DI48))),"")</f>
        <v/>
      </c>
      <c r="DJ343" s="165" t="str">
        <f>IFERROR(INDEX(DD$296:DD$344,_xlfn.AGGREGATE(15,6,(ROW(DD$296:DD$344)-ROW(DD$296)+1)/(DD$296:DD$344&lt;&gt;""),ROWS(DJ$1:DJ48))),"")</f>
        <v/>
      </c>
      <c r="DK343" s="166" t="str">
        <f t="shared" si="155"/>
        <v/>
      </c>
      <c r="DL343" s="164" t="str">
        <f>IFERROR(INDEX(DE$296:DE$344,_xlfn.AGGREGATE(15,6,(ROW(DE$296:DE$344)-ROW(DE$296)+1)/(DE$296:DE$344&lt;&gt;""),ROWS(DL$1:DL48))),"")</f>
        <v/>
      </c>
      <c r="DM343" s="165" t="str">
        <f>IFERROR(INDEX(DF$296:DF$344,_xlfn.AGGREGATE(15,6,(ROW(DF$296:DF$344)-ROW(DF$296)+1)/(DF$296:DF$344&lt;&gt;""),ROWS(DM$1:DM48))),"")</f>
        <v/>
      </c>
      <c r="DN343" s="166" t="str">
        <f t="shared" si="156"/>
        <v/>
      </c>
      <c r="DO343" s="164" t="str">
        <f>IFERROR(INDEX(DG$296:DG$344,_xlfn.AGGREGATE(15,6,(ROW(DG$296:DG$344)-ROW(DG$296)+1)/(DG$296:DG$344&lt;&gt;""),ROWS(DO$1:DO48))),"")</f>
        <v/>
      </c>
      <c r="DP343" s="165" t="str">
        <f>IFERROR(INDEX(DH$296:DH$344,_xlfn.AGGREGATE(15,6,(ROW(DH$296:DH$344)-ROW(DH$296)+1)/(DH$296:DH$344&lt;&gt;""),ROWS(DP$1:DP48))),"")</f>
        <v/>
      </c>
      <c r="DQ343" s="166" t="str">
        <f t="shared" si="157"/>
        <v/>
      </c>
      <c r="DW343" s="54"/>
      <c r="EA343" s="55"/>
      <c r="EB343" s="55"/>
      <c r="EC343" s="55"/>
      <c r="ED343" s="55"/>
      <c r="EE343" s="55"/>
    </row>
    <row r="344" spans="1:135" ht="13.8" x14ac:dyDescent="0.45">
      <c r="A344" s="214"/>
      <c r="B344" s="128">
        <v>2060</v>
      </c>
      <c r="C344" s="244"/>
      <c r="D344" s="244"/>
      <c r="E344" s="244"/>
      <c r="F344" s="244"/>
      <c r="G344" s="244"/>
      <c r="H344" s="249"/>
      <c r="I344" s="250"/>
      <c r="J344" s="251"/>
      <c r="K344" s="249"/>
      <c r="L344" s="250"/>
      <c r="M344" s="249"/>
      <c r="N344" s="29" t="s">
        <v>119</v>
      </c>
      <c r="R344" s="29">
        <v>46</v>
      </c>
      <c r="S344" s="238" t="str">
        <f t="shared" si="143"/>
        <v/>
      </c>
      <c r="T344" s="238" t="str">
        <f t="shared" si="144"/>
        <v/>
      </c>
      <c r="U344" s="238" t="str">
        <f t="shared" si="145"/>
        <v/>
      </c>
      <c r="W344" s="238" t="e">
        <f t="shared" si="158"/>
        <v>#N/A</v>
      </c>
      <c r="X344" s="238" t="e">
        <f t="shared" si="146"/>
        <v>#N/A</v>
      </c>
      <c r="Y344" s="238" t="e">
        <f t="shared" si="147"/>
        <v>#N/A</v>
      </c>
      <c r="AA344" s="89"/>
      <c r="AB344" s="89"/>
      <c r="AC344" s="89"/>
      <c r="AD344" s="89"/>
      <c r="AE344" s="89"/>
      <c r="AF344" s="89"/>
      <c r="AG344" s="89"/>
      <c r="AH344" s="89"/>
      <c r="AI344" s="89"/>
      <c r="AJ344" s="89"/>
      <c r="AK344" s="89"/>
      <c r="AL344" s="89"/>
      <c r="AM344" s="89"/>
      <c r="AN344" s="89"/>
      <c r="BR344" s="180">
        <v>2058</v>
      </c>
      <c r="BS344" s="22">
        <v>44</v>
      </c>
      <c r="BT344" s="198">
        <f t="shared" si="159"/>
        <v>683.67814103167814</v>
      </c>
      <c r="BU344" s="198">
        <f t="shared" si="160"/>
        <v>262.1103819006978</v>
      </c>
      <c r="BV344" s="241">
        <f t="shared" si="161"/>
        <v>945.78852293237594</v>
      </c>
      <c r="BY344" s="180">
        <v>2058</v>
      </c>
      <c r="BZ344" s="22">
        <v>44</v>
      </c>
      <c r="CA344" s="198">
        <f t="shared" ca="1" si="162"/>
        <v>224.19671228365559</v>
      </c>
      <c r="CB344" s="198">
        <f t="shared" ca="1" si="163"/>
        <v>520.62598664356506</v>
      </c>
      <c r="CC344" s="198">
        <f t="shared" ca="1" si="174"/>
        <v>282.49190119921195</v>
      </c>
      <c r="CD344" s="241">
        <f t="shared" ca="1" si="164"/>
        <v>1027.3146001264327</v>
      </c>
      <c r="CG344" s="180">
        <v>2058</v>
      </c>
      <c r="CH344" s="22">
        <v>44</v>
      </c>
      <c r="CI344" s="198">
        <f t="shared" ca="1" si="165"/>
        <v>34.054550077102185</v>
      </c>
      <c r="CJ344" s="198">
        <f t="shared" ca="1" si="166"/>
        <v>187.04629401772604</v>
      </c>
      <c r="CK344" s="198">
        <f t="shared" ca="1" si="167"/>
        <v>531.60576461780443</v>
      </c>
      <c r="CL344" s="198">
        <f t="shared" ca="1" si="168"/>
        <v>281.77422266452913</v>
      </c>
      <c r="CM344" s="241">
        <f t="shared" ca="1" si="169"/>
        <v>1034.4808313771618</v>
      </c>
      <c r="CP344" s="180">
        <v>2058</v>
      </c>
      <c r="CQ344" s="22">
        <v>44</v>
      </c>
      <c r="CR344" s="198">
        <f t="shared" ca="1" si="170"/>
        <v>297.31086370130703</v>
      </c>
      <c r="CS344" s="198">
        <f t="shared" ca="1" si="171"/>
        <v>3.9810469418273633</v>
      </c>
      <c r="CT344" s="241">
        <f t="shared" ca="1" si="172"/>
        <v>1183.6085047101403</v>
      </c>
      <c r="CZ344" s="164" t="b">
        <f t="shared" si="176"/>
        <v>0</v>
      </c>
      <c r="DA344" s="165" t="b">
        <f t="shared" si="176"/>
        <v>0</v>
      </c>
      <c r="DB344" s="166" t="b">
        <f t="shared" si="176"/>
        <v>0</v>
      </c>
      <c r="DC344" s="164" t="str">
        <f t="shared" si="149"/>
        <v/>
      </c>
      <c r="DD344" s="166" t="str">
        <f t="shared" si="150"/>
        <v/>
      </c>
      <c r="DE344" s="164" t="str">
        <f t="shared" si="151"/>
        <v/>
      </c>
      <c r="DF344" s="166" t="str">
        <f t="shared" si="152"/>
        <v/>
      </c>
      <c r="DG344" s="164" t="str">
        <f t="shared" si="153"/>
        <v/>
      </c>
      <c r="DH344" s="166" t="str">
        <f t="shared" si="154"/>
        <v/>
      </c>
      <c r="DI344" s="164" t="str">
        <f>IFERROR(INDEX(DC$296:DC$344,_xlfn.AGGREGATE(15,6,(ROW(DC$296:DC$344)-ROW(DC$296)+1)/(DC$296:DC$344&lt;&gt;""),ROWS(DI$1:DI49))),"")</f>
        <v/>
      </c>
      <c r="DJ344" s="165" t="str">
        <f>IFERROR(INDEX(DD$296:DD$344,_xlfn.AGGREGATE(15,6,(ROW(DD$296:DD$344)-ROW(DD$296)+1)/(DD$296:DD$344&lt;&gt;""),ROWS(DJ$1:DJ49))),"")</f>
        <v/>
      </c>
      <c r="DK344" s="166" t="str">
        <f t="shared" si="155"/>
        <v/>
      </c>
      <c r="DL344" s="164" t="str">
        <f>IFERROR(INDEX(DE$296:DE$344,_xlfn.AGGREGATE(15,6,(ROW(DE$296:DE$344)-ROW(DE$296)+1)/(DE$296:DE$344&lt;&gt;""),ROWS(DL$1:DL49))),"")</f>
        <v/>
      </c>
      <c r="DM344" s="165" t="str">
        <f>IFERROR(INDEX(DF$296:DF$344,_xlfn.AGGREGATE(15,6,(ROW(DF$296:DF$344)-ROW(DF$296)+1)/(DF$296:DF$344&lt;&gt;""),ROWS(DM$1:DM49))),"")</f>
        <v/>
      </c>
      <c r="DN344" s="166" t="str">
        <f t="shared" si="156"/>
        <v/>
      </c>
      <c r="DO344" s="164" t="str">
        <f>IFERROR(INDEX(DG$296:DG$344,_xlfn.AGGREGATE(15,6,(ROW(DG$296:DG$344)-ROW(DG$296)+1)/(DG$296:DG$344&lt;&gt;""),ROWS(DO$1:DO49))),"")</f>
        <v/>
      </c>
      <c r="DP344" s="165" t="str">
        <f>IFERROR(INDEX(DH$296:DH$344,_xlfn.AGGREGATE(15,6,(ROW(DH$296:DH$344)-ROW(DH$296)+1)/(DH$296:DH$344&lt;&gt;""),ROWS(DP$1:DP49))),"")</f>
        <v/>
      </c>
      <c r="DQ344" s="166" t="str">
        <f t="shared" si="157"/>
        <v/>
      </c>
      <c r="DW344" s="54"/>
      <c r="EA344" s="55"/>
      <c r="EB344" s="55"/>
      <c r="EC344" s="55"/>
      <c r="ED344" s="55"/>
      <c r="EE344" s="55"/>
    </row>
    <row r="345" spans="1:135" x14ac:dyDescent="0.4">
      <c r="A345" s="214"/>
      <c r="B345" s="89"/>
      <c r="C345" s="14"/>
      <c r="D345" s="14"/>
      <c r="E345" s="14"/>
      <c r="F345" s="14"/>
      <c r="G345" s="14"/>
      <c r="H345" s="14"/>
      <c r="I345" s="14"/>
      <c r="J345" s="14"/>
      <c r="K345" s="14"/>
      <c r="L345" s="14"/>
      <c r="M345" s="50"/>
      <c r="S345" s="120"/>
      <c r="T345" s="120"/>
      <c r="U345" s="120"/>
      <c r="W345" s="120"/>
      <c r="X345" s="120"/>
      <c r="Y345" s="120"/>
      <c r="AA345" s="89"/>
      <c r="AB345" s="89"/>
      <c r="AC345" s="89"/>
      <c r="AD345" s="89"/>
      <c r="AE345" s="89"/>
      <c r="AF345" s="89"/>
      <c r="AG345" s="89"/>
      <c r="AH345" s="89"/>
      <c r="AI345" s="89"/>
      <c r="AJ345" s="89"/>
      <c r="AK345" s="89"/>
      <c r="AL345" s="89"/>
      <c r="AM345" s="89"/>
      <c r="AN345" s="89"/>
      <c r="BR345" s="180">
        <v>2059</v>
      </c>
      <c r="BS345" s="22">
        <v>45</v>
      </c>
      <c r="BT345" s="198">
        <f t="shared" si="159"/>
        <v>699.21628060057981</v>
      </c>
      <c r="BU345" s="198">
        <f t="shared" si="160"/>
        <v>262.1103819006978</v>
      </c>
      <c r="BV345" s="241">
        <f t="shared" si="161"/>
        <v>961.32666250127761</v>
      </c>
      <c r="BY345" s="180">
        <v>2059</v>
      </c>
      <c r="BZ345" s="22">
        <v>45</v>
      </c>
      <c r="CA345" s="198">
        <f t="shared" ca="1" si="162"/>
        <v>234.50327601983605</v>
      </c>
      <c r="CB345" s="198">
        <f t="shared" ca="1" si="163"/>
        <v>532.45839543091881</v>
      </c>
      <c r="CC345" s="198">
        <f t="shared" ca="1" si="174"/>
        <v>282.49190119921195</v>
      </c>
      <c r="CD345" s="241">
        <f t="shared" ca="1" si="164"/>
        <v>1049.4535726499669</v>
      </c>
      <c r="CG345" s="180">
        <v>2059</v>
      </c>
      <c r="CH345" s="22">
        <v>45</v>
      </c>
      <c r="CI345" s="198">
        <f t="shared" ca="1" si="165"/>
        <v>36.429621475581527</v>
      </c>
      <c r="CJ345" s="198">
        <f t="shared" ca="1" si="166"/>
        <v>195.64501311254918</v>
      </c>
      <c r="CK345" s="198">
        <f t="shared" ca="1" si="167"/>
        <v>543.68771381366366</v>
      </c>
      <c r="CL345" s="198">
        <f t="shared" ca="1" si="168"/>
        <v>281.77422266452913</v>
      </c>
      <c r="CM345" s="241">
        <f t="shared" ca="1" si="169"/>
        <v>1057.5365710663236</v>
      </c>
      <c r="CP345" s="180">
        <v>2059</v>
      </c>
      <c r="CQ345" s="22">
        <v>45</v>
      </c>
      <c r="CR345" s="198">
        <f t="shared" ca="1" si="170"/>
        <v>297.31086370130703</v>
      </c>
      <c r="CS345" s="198">
        <f t="shared" ca="1" si="171"/>
        <v>4.1080299458191654</v>
      </c>
      <c r="CT345" s="241">
        <f t="shared" ca="1" si="172"/>
        <v>1221.3619313023296</v>
      </c>
      <c r="CZ345" s="252"/>
      <c r="DA345" s="252"/>
      <c r="DB345" s="252"/>
      <c r="DC345" s="252"/>
      <c r="DD345" s="252"/>
      <c r="DE345" s="252"/>
      <c r="DF345" s="252"/>
      <c r="DG345" s="252"/>
      <c r="DH345" s="252"/>
      <c r="DI345" s="252"/>
      <c r="DJ345" s="252"/>
      <c r="DK345" s="252"/>
      <c r="DL345" s="252"/>
      <c r="DM345" s="252"/>
      <c r="DN345" s="252"/>
      <c r="DO345" s="252"/>
      <c r="DP345" s="252"/>
      <c r="DQ345" s="252"/>
      <c r="DU345" s="65"/>
      <c r="DW345" s="54"/>
      <c r="EA345" s="55"/>
      <c r="EB345" s="55"/>
      <c r="EC345" s="55"/>
      <c r="ED345" s="55"/>
      <c r="EE345" s="55"/>
    </row>
    <row r="346" spans="1:135" x14ac:dyDescent="0.4">
      <c r="A346" s="214"/>
      <c r="B346" s="89"/>
      <c r="C346" s="14"/>
      <c r="D346" s="14"/>
      <c r="E346" s="14"/>
      <c r="F346" s="14"/>
      <c r="G346" s="14"/>
      <c r="H346" s="14"/>
      <c r="I346" s="14"/>
      <c r="J346" s="14"/>
      <c r="K346" s="14"/>
      <c r="L346" s="14"/>
      <c r="M346" s="50"/>
      <c r="S346" s="120"/>
      <c r="T346" s="120"/>
      <c r="U346" s="120"/>
      <c r="W346" s="120"/>
      <c r="X346" s="120"/>
      <c r="Y346" s="120"/>
      <c r="AA346" s="89"/>
      <c r="AB346" s="89"/>
      <c r="AC346" s="89"/>
      <c r="AD346" s="89"/>
      <c r="AE346" s="89"/>
      <c r="AF346" s="89"/>
      <c r="AG346" s="89"/>
      <c r="AH346" s="89"/>
      <c r="AI346" s="89"/>
      <c r="AJ346" s="89"/>
      <c r="AK346" s="89"/>
      <c r="AL346" s="89"/>
      <c r="AM346" s="89"/>
      <c r="AN346" s="89"/>
      <c r="BR346" s="180">
        <v>2060</v>
      </c>
      <c r="BS346" s="22">
        <v>46</v>
      </c>
      <c r="BT346" s="198">
        <f t="shared" si="159"/>
        <v>714.75442016948159</v>
      </c>
      <c r="BU346" s="198">
        <f t="shared" si="160"/>
        <v>262.1103819006978</v>
      </c>
      <c r="BV346" s="241">
        <f t="shared" si="161"/>
        <v>976.86480207017939</v>
      </c>
      <c r="BY346" s="180">
        <v>2060</v>
      </c>
      <c r="BZ346" s="22">
        <v>46</v>
      </c>
      <c r="CA346" s="198">
        <f t="shared" ca="1" si="162"/>
        <v>245.04144792986324</v>
      </c>
      <c r="CB346" s="198">
        <f t="shared" ca="1" si="163"/>
        <v>544.29080421827257</v>
      </c>
      <c r="CC346" s="198">
        <f t="shared" ca="1" si="174"/>
        <v>282.49190119921195</v>
      </c>
      <c r="CD346" s="241">
        <f t="shared" ca="1" si="164"/>
        <v>1071.8241533473479</v>
      </c>
      <c r="CG346" s="180">
        <v>2060</v>
      </c>
      <c r="CH346" s="22">
        <v>46</v>
      </c>
      <c r="CI346" s="198">
        <f t="shared" ca="1" si="165"/>
        <v>38.91263249324777</v>
      </c>
      <c r="CJ346" s="198">
        <f t="shared" ca="1" si="166"/>
        <v>204.43696184995261</v>
      </c>
      <c r="CK346" s="198">
        <f t="shared" ca="1" si="167"/>
        <v>555.76966300952279</v>
      </c>
      <c r="CL346" s="198">
        <f t="shared" ca="1" si="168"/>
        <v>281.77422266452913</v>
      </c>
      <c r="CM346" s="241">
        <f t="shared" ca="1" si="169"/>
        <v>1080.8934800172524</v>
      </c>
      <c r="CP346" s="180">
        <v>2060</v>
      </c>
      <c r="CQ346" s="22">
        <v>46</v>
      </c>
      <c r="CR346" s="198">
        <f t="shared" ca="1" si="170"/>
        <v>297.31086370130703</v>
      </c>
      <c r="CS346" s="198">
        <f t="shared" ca="1" si="171"/>
        <v>4.2390633123257535</v>
      </c>
      <c r="CT346" s="241">
        <f t="shared" ca="1" si="172"/>
        <v>1260.3195746720933</v>
      </c>
      <c r="DW346" s="54"/>
      <c r="EA346" s="55"/>
      <c r="EB346" s="55"/>
      <c r="EC346" s="55"/>
      <c r="ED346" s="55"/>
      <c r="EE346" s="55"/>
    </row>
    <row r="347" spans="1:135" x14ac:dyDescent="0.4">
      <c r="A347" s="221" t="str">
        <f ca="1">HYPERLINK("#"&amp;"'"&amp;A$1&amp;"'!a1","Back to top")</f>
        <v>Back to top</v>
      </c>
      <c r="C347" s="50"/>
      <c r="D347" s="14"/>
      <c r="E347" s="14"/>
      <c r="F347" s="14"/>
      <c r="G347" s="14"/>
      <c r="H347" s="14"/>
      <c r="I347" s="14"/>
      <c r="J347" s="14"/>
      <c r="K347" s="14"/>
      <c r="L347" s="14"/>
      <c r="M347" s="14"/>
      <c r="N347" s="89"/>
      <c r="O347" s="89"/>
      <c r="P347" s="89"/>
      <c r="Q347" s="89"/>
      <c r="R347" s="89"/>
      <c r="S347" s="89"/>
      <c r="T347" s="89"/>
      <c r="U347" s="89"/>
      <c r="V347" s="89"/>
      <c r="W347" s="89"/>
      <c r="X347" s="89"/>
      <c r="Y347" s="89"/>
      <c r="Z347" s="89"/>
      <c r="AA347" s="89"/>
      <c r="AB347" s="89"/>
      <c r="AC347" s="89"/>
      <c r="AD347" s="89"/>
      <c r="AE347" s="89"/>
      <c r="AF347" s="89"/>
      <c r="AG347" s="89"/>
      <c r="AH347" s="89"/>
      <c r="AI347" s="89"/>
      <c r="AJ347" s="89"/>
      <c r="AK347" s="89"/>
      <c r="AL347" s="89"/>
      <c r="AM347" s="89"/>
      <c r="AN347" s="89"/>
      <c r="DW347" s="54"/>
      <c r="EA347" s="55"/>
      <c r="EB347" s="55"/>
      <c r="EC347" s="55"/>
      <c r="ED347" s="55"/>
      <c r="EE347" s="55"/>
    </row>
    <row r="348" spans="1:135" x14ac:dyDescent="0.4">
      <c r="A348" s="221"/>
      <c r="C348" s="50"/>
      <c r="D348" s="14"/>
      <c r="E348" s="14"/>
      <c r="F348" s="14"/>
      <c r="G348" s="14"/>
      <c r="H348" s="14"/>
      <c r="I348" s="14"/>
      <c r="J348" s="14"/>
      <c r="K348" s="14"/>
      <c r="L348" s="14"/>
      <c r="M348" s="14"/>
      <c r="N348" s="89"/>
      <c r="O348" s="89"/>
      <c r="P348" s="89"/>
      <c r="Q348" s="89"/>
      <c r="R348" s="89"/>
      <c r="S348" s="89"/>
      <c r="T348" s="89"/>
      <c r="U348" s="89"/>
      <c r="V348" s="89"/>
      <c r="W348" s="89"/>
      <c r="X348" s="89"/>
      <c r="Y348" s="89"/>
      <c r="Z348" s="89"/>
      <c r="AA348" s="89"/>
      <c r="AB348" s="89"/>
      <c r="AC348" s="89"/>
      <c r="AD348" s="89"/>
      <c r="AE348" s="89"/>
      <c r="AF348" s="89"/>
      <c r="AG348" s="89"/>
      <c r="AH348" s="89"/>
      <c r="AI348" s="89"/>
      <c r="AJ348" s="89"/>
      <c r="AK348" s="89"/>
      <c r="AL348" s="89"/>
      <c r="AM348" s="89"/>
      <c r="AN348" s="89"/>
      <c r="DW348" s="54"/>
      <c r="EA348" s="55"/>
      <c r="EB348" s="55"/>
      <c r="EC348" s="55"/>
      <c r="ED348" s="55"/>
      <c r="EE348" s="55"/>
    </row>
    <row r="349" spans="1:135" x14ac:dyDescent="0.4">
      <c r="A349" s="214"/>
      <c r="B349" s="89"/>
      <c r="C349" s="14"/>
      <c r="D349" s="14"/>
      <c r="E349" s="14"/>
      <c r="F349" s="14"/>
      <c r="G349" s="14"/>
      <c r="H349" s="14"/>
      <c r="I349" s="14"/>
      <c r="J349" s="14"/>
      <c r="K349" s="14"/>
      <c r="L349" s="14"/>
      <c r="M349" s="50"/>
      <c r="N349" s="49"/>
      <c r="O349" s="49"/>
      <c r="P349" s="49"/>
      <c r="Q349" s="49"/>
      <c r="R349" s="49"/>
      <c r="S349" s="120"/>
      <c r="T349" s="120"/>
      <c r="U349" s="120"/>
      <c r="V349" s="49"/>
      <c r="W349" s="120"/>
      <c r="X349" s="120"/>
      <c r="Y349" s="120"/>
      <c r="Z349" s="89"/>
      <c r="AA349" s="89"/>
      <c r="AB349" s="89"/>
      <c r="AC349" s="89"/>
      <c r="AD349" s="89"/>
      <c r="AE349" s="89"/>
      <c r="AF349" s="89"/>
      <c r="AG349" s="89"/>
      <c r="AH349" s="89"/>
      <c r="AI349" s="89"/>
      <c r="AJ349" s="89"/>
      <c r="AK349" s="89"/>
      <c r="AL349" s="89"/>
      <c r="AM349" s="89"/>
      <c r="AN349" s="89"/>
      <c r="AO349" s="49"/>
      <c r="AP349" s="49"/>
      <c r="AQ349" s="49"/>
      <c r="AR349" s="49"/>
      <c r="AS349" s="49"/>
      <c r="AT349" s="49"/>
      <c r="AU349" s="49"/>
      <c r="AV349" s="49"/>
      <c r="AW349" s="49"/>
      <c r="AX349" s="49"/>
      <c r="AY349" s="49"/>
      <c r="AZ349" s="49"/>
      <c r="BA349" s="49"/>
      <c r="BB349" s="49"/>
      <c r="BC349" s="49"/>
      <c r="BD349" s="49"/>
      <c r="BE349" s="49"/>
      <c r="BF349" s="49"/>
      <c r="BG349" s="49"/>
      <c r="BH349" s="49"/>
      <c r="BI349" s="49"/>
      <c r="BJ349" s="49"/>
      <c r="BK349" s="49"/>
      <c r="BL349" s="49"/>
    </row>
    <row r="350" spans="1:135" x14ac:dyDescent="0.4">
      <c r="A350" s="253"/>
      <c r="B350" s="254"/>
      <c r="C350" s="255"/>
      <c r="D350" s="255"/>
      <c r="E350" s="255"/>
      <c r="F350" s="255"/>
      <c r="G350" s="255"/>
      <c r="H350" s="255"/>
      <c r="I350" s="255"/>
      <c r="J350" s="255"/>
      <c r="K350" s="255"/>
      <c r="L350" s="255"/>
      <c r="M350" s="256"/>
      <c r="S350" s="257"/>
      <c r="T350" s="257"/>
      <c r="U350" s="257"/>
      <c r="W350" s="257"/>
      <c r="X350" s="257"/>
      <c r="Y350" s="257"/>
      <c r="Z350" s="254"/>
      <c r="AA350" s="254"/>
      <c r="AB350" s="254"/>
      <c r="AC350" s="254"/>
      <c r="AD350" s="254"/>
      <c r="AE350" s="254"/>
      <c r="AF350" s="254"/>
      <c r="AG350" s="254"/>
      <c r="AH350" s="254"/>
      <c r="AI350" s="254"/>
      <c r="AJ350" s="254"/>
      <c r="AK350" s="254"/>
      <c r="AL350" s="254"/>
      <c r="AM350" s="254"/>
      <c r="AN350" s="254"/>
      <c r="DW350" s="258"/>
      <c r="EA350" s="259"/>
      <c r="EB350" s="259"/>
      <c r="EC350" s="259"/>
      <c r="ED350" s="259"/>
      <c r="EE350" s="259"/>
    </row>
    <row r="351" spans="1:135" x14ac:dyDescent="0.4">
      <c r="A351" s="253"/>
      <c r="B351" s="254"/>
      <c r="C351" s="255"/>
      <c r="D351" s="255"/>
      <c r="E351" s="255"/>
      <c r="F351" s="255"/>
      <c r="G351" s="255"/>
      <c r="H351" s="255"/>
      <c r="I351" s="255"/>
      <c r="J351" s="255"/>
      <c r="K351" s="255"/>
      <c r="L351" s="255"/>
      <c r="M351" s="256"/>
      <c r="S351" s="257"/>
      <c r="T351" s="257"/>
      <c r="U351" s="257"/>
      <c r="W351" s="257"/>
      <c r="X351" s="257"/>
      <c r="Y351" s="257"/>
      <c r="Z351" s="254"/>
      <c r="AA351" s="254"/>
      <c r="AB351" s="254"/>
      <c r="AC351" s="254"/>
      <c r="AD351" s="254"/>
      <c r="AE351" s="254"/>
      <c r="AF351" s="254"/>
      <c r="AG351" s="254"/>
      <c r="AH351" s="254"/>
      <c r="AI351" s="254"/>
      <c r="AJ351" s="254"/>
      <c r="AK351" s="254"/>
      <c r="AL351" s="254"/>
      <c r="AM351" s="254"/>
      <c r="AN351" s="254"/>
      <c r="DW351" s="258"/>
      <c r="EA351" s="259"/>
      <c r="EB351" s="259"/>
      <c r="EC351" s="259"/>
      <c r="ED351" s="259"/>
      <c r="EE351" s="259"/>
    </row>
    <row r="352" spans="1:135" x14ac:dyDescent="0.4">
      <c r="A352" s="221"/>
      <c r="B352" s="89"/>
      <c r="C352" s="14"/>
      <c r="D352" s="14"/>
      <c r="E352" s="14"/>
      <c r="F352" s="14"/>
      <c r="G352" s="14"/>
      <c r="H352" s="14"/>
      <c r="I352" s="14"/>
      <c r="J352" s="14"/>
      <c r="K352" s="14"/>
      <c r="L352" s="14"/>
      <c r="M352" s="14"/>
      <c r="N352" s="89"/>
      <c r="O352" s="89"/>
      <c r="P352" s="89"/>
      <c r="Q352" s="89"/>
      <c r="R352" s="89"/>
      <c r="S352" s="89"/>
      <c r="T352" s="89"/>
      <c r="U352" s="89"/>
      <c r="V352" s="89"/>
      <c r="W352" s="89"/>
      <c r="X352" s="89"/>
      <c r="Y352" s="89"/>
      <c r="Z352" s="89"/>
      <c r="AA352" s="89"/>
      <c r="AB352" s="89"/>
      <c r="AC352" s="89"/>
      <c r="AD352" s="89"/>
      <c r="AE352" s="89"/>
      <c r="AF352" s="89"/>
      <c r="AG352" s="89"/>
      <c r="AH352" s="89"/>
      <c r="AI352" s="89"/>
      <c r="AJ352" s="89"/>
      <c r="AK352" s="89"/>
      <c r="AL352" s="89"/>
      <c r="AM352" s="89"/>
      <c r="AN352" s="89"/>
      <c r="AO352" s="89"/>
      <c r="AP352" s="89"/>
      <c r="AQ352" s="29"/>
      <c r="AR352" s="29"/>
      <c r="AS352" s="29"/>
      <c r="AT352" s="29"/>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49"/>
      <c r="DW352" s="282"/>
      <c r="EA352" s="232"/>
      <c r="EB352" s="232"/>
      <c r="EC352" s="232"/>
      <c r="ED352" s="232"/>
      <c r="EE352" s="232"/>
    </row>
    <row r="353" spans="1:135" x14ac:dyDescent="0.4">
      <c r="A353" s="221"/>
      <c r="B353" s="89"/>
      <c r="C353" s="14"/>
      <c r="D353" s="14"/>
      <c r="E353" s="14"/>
      <c r="F353" s="14"/>
      <c r="G353" s="14"/>
      <c r="H353" s="14"/>
      <c r="I353" s="14"/>
      <c r="J353" s="14"/>
      <c r="K353" s="14"/>
      <c r="L353" s="14"/>
      <c r="M353" s="14"/>
      <c r="N353" s="89"/>
      <c r="O353" s="89"/>
      <c r="P353" s="89"/>
      <c r="Q353" s="89"/>
      <c r="R353" s="89"/>
      <c r="S353" s="89"/>
      <c r="T353" s="89"/>
      <c r="U353" s="89"/>
      <c r="V353" s="89"/>
      <c r="W353" s="89"/>
      <c r="X353" s="89"/>
      <c r="Y353" s="89"/>
      <c r="Z353" s="89"/>
      <c r="AA353" s="261" t="s">
        <v>102</v>
      </c>
      <c r="AB353" s="89"/>
      <c r="AC353" s="89"/>
      <c r="AD353" s="89"/>
      <c r="AE353" s="89"/>
      <c r="AF353" s="89"/>
      <c r="AG353" s="89"/>
      <c r="AH353" s="89"/>
      <c r="AI353" s="89"/>
      <c r="AJ353" s="89"/>
      <c r="AK353" s="89"/>
      <c r="AL353" s="89"/>
      <c r="AM353" s="261" t="s">
        <v>102</v>
      </c>
      <c r="AN353" s="89"/>
      <c r="AO353" s="89"/>
      <c r="AP353" s="89"/>
      <c r="AQ353" s="29"/>
      <c r="AR353" s="29"/>
      <c r="AS353" s="29"/>
      <c r="AT353" s="29"/>
      <c r="AU353" s="29"/>
      <c r="AV353" s="29"/>
      <c r="AW353" s="29"/>
      <c r="AX353" s="29"/>
      <c r="AY353" s="29"/>
      <c r="AZ353" s="261" t="s">
        <v>102</v>
      </c>
      <c r="BA353" s="29"/>
      <c r="BB353" s="29"/>
      <c r="BC353" s="29"/>
      <c r="BD353" s="29"/>
      <c r="BE353" s="29"/>
      <c r="BF353" s="29"/>
      <c r="BG353" s="29"/>
      <c r="BH353" s="29"/>
      <c r="BI353" s="29"/>
      <c r="BJ353" s="261" t="s">
        <v>102</v>
      </c>
      <c r="BK353" s="29"/>
      <c r="BL353" s="29"/>
      <c r="BM353" s="29"/>
      <c r="BN353" s="29"/>
      <c r="BO353" s="29"/>
      <c r="BP353" s="49"/>
      <c r="BR353" s="261" t="s">
        <v>102</v>
      </c>
      <c r="BY353" s="261" t="s">
        <v>102</v>
      </c>
      <c r="CG353" s="261" t="s">
        <v>102</v>
      </c>
      <c r="CP353" s="261" t="s">
        <v>102</v>
      </c>
      <c r="DV353" s="261" t="s">
        <v>102</v>
      </c>
      <c r="DW353" s="282"/>
      <c r="EA353" s="232"/>
      <c r="EB353" s="232"/>
      <c r="EC353" s="232"/>
      <c r="ED353" s="232"/>
      <c r="EE353" s="232"/>
    </row>
    <row r="354" spans="1:135" x14ac:dyDescent="0.4">
      <c r="A354" s="261" t="s">
        <v>102</v>
      </c>
      <c r="B354" s="695"/>
      <c r="C354" s="695"/>
      <c r="D354" s="113"/>
      <c r="E354" s="113"/>
      <c r="F354" s="113"/>
      <c r="G354" s="113"/>
      <c r="H354" s="113"/>
      <c r="I354" s="113"/>
      <c r="J354" s="113"/>
      <c r="K354" s="113"/>
      <c r="L354" s="113"/>
      <c r="M354" s="113"/>
      <c r="N354" s="114"/>
      <c r="O354" s="114"/>
      <c r="P354" s="114"/>
      <c r="Q354" s="114"/>
      <c r="R354" s="114"/>
      <c r="S354" s="114"/>
      <c r="T354" s="114"/>
      <c r="U354" s="114"/>
      <c r="V354" s="114"/>
      <c r="W354" s="114"/>
      <c r="X354" s="114"/>
      <c r="Y354" s="114"/>
      <c r="Z354" s="114"/>
      <c r="AA354" s="114"/>
      <c r="AB354" s="114"/>
      <c r="AC354" s="114"/>
      <c r="AD354" s="114"/>
      <c r="AE354" s="114"/>
      <c r="AF354" s="114"/>
      <c r="AG354" s="114"/>
      <c r="AH354" s="114"/>
      <c r="AI354" s="114"/>
      <c r="AJ354" s="114"/>
      <c r="AK354" s="114"/>
      <c r="AL354" s="114"/>
      <c r="AM354" s="114"/>
      <c r="AN354" s="114"/>
      <c r="AO354" s="89"/>
      <c r="AP354" s="89"/>
    </row>
    <row r="355" spans="1:135" x14ac:dyDescent="0.4">
      <c r="B355" s="694"/>
      <c r="C355" s="694"/>
      <c r="D355" s="113"/>
      <c r="E355" s="113"/>
      <c r="F355" s="113"/>
      <c r="G355" s="113"/>
      <c r="H355" s="113"/>
      <c r="I355" s="113"/>
      <c r="J355" s="113"/>
      <c r="K355" s="113"/>
      <c r="L355" s="113"/>
      <c r="M355" s="113"/>
      <c r="N355" s="114"/>
      <c r="O355" s="114"/>
      <c r="P355" s="114"/>
      <c r="Q355" s="114"/>
      <c r="R355" s="114"/>
      <c r="S355" s="114"/>
      <c r="T355" s="114"/>
      <c r="U355" s="114"/>
      <c r="V355" s="114"/>
      <c r="W355" s="114"/>
      <c r="X355" s="114"/>
      <c r="Y355" s="114"/>
      <c r="Z355" s="114"/>
      <c r="AA355" s="114"/>
      <c r="AC355" s="114"/>
      <c r="AD355" s="114"/>
      <c r="AE355" s="114"/>
      <c r="AF355" s="114"/>
      <c r="AG355" s="114"/>
      <c r="AH355" s="114"/>
      <c r="AI355" s="114"/>
      <c r="AJ355" s="114"/>
      <c r="AK355" s="114"/>
      <c r="AL355" s="114"/>
      <c r="AM355" s="114"/>
      <c r="AN355" s="114"/>
      <c r="AO355" s="89"/>
      <c r="DW355" s="54"/>
      <c r="EA355" s="55"/>
      <c r="EB355" s="55"/>
      <c r="EC355" s="55"/>
      <c r="ED355" s="55"/>
      <c r="EE355" s="55"/>
    </row>
    <row r="356" spans="1:135" x14ac:dyDescent="0.4">
      <c r="A356" s="233"/>
      <c r="B356" s="679"/>
      <c r="C356" s="679"/>
      <c r="D356" s="113"/>
      <c r="E356" s="113"/>
      <c r="F356" s="113"/>
      <c r="G356" s="113"/>
      <c r="H356" s="113"/>
      <c r="I356" s="113"/>
      <c r="J356" s="113"/>
      <c r="K356" s="113"/>
      <c r="L356" s="113"/>
      <c r="M356" s="113"/>
      <c r="N356" s="114"/>
      <c r="O356" s="114"/>
      <c r="P356" s="114"/>
      <c r="Q356" s="114"/>
      <c r="R356" s="114"/>
      <c r="S356" s="114"/>
      <c r="T356" s="114"/>
      <c r="U356" s="114"/>
      <c r="V356" s="114"/>
      <c r="W356" s="114"/>
      <c r="X356" s="114"/>
      <c r="Y356" s="114"/>
      <c r="Z356" s="114"/>
      <c r="AA356" s="114"/>
      <c r="AB356" s="114"/>
      <c r="AC356" s="114"/>
      <c r="AD356" s="114"/>
      <c r="AE356" s="114"/>
      <c r="AF356" s="114"/>
      <c r="AG356" s="114"/>
      <c r="AH356" s="114"/>
      <c r="AI356" s="114"/>
      <c r="AJ356" s="114"/>
      <c r="AK356" s="114"/>
      <c r="AL356" s="114"/>
      <c r="AM356" s="114"/>
      <c r="CZ356" s="116"/>
      <c r="DA356" s="116"/>
      <c r="DB356" s="116"/>
      <c r="DC356" s="116"/>
      <c r="DD356" s="116"/>
      <c r="DE356" s="116"/>
      <c r="DF356" s="116"/>
      <c r="DG356" s="116"/>
      <c r="DH356" s="116"/>
      <c r="DI356" s="117" t="str">
        <f>"DJ"&amp;MIN(DK359:DK407)</f>
        <v>DJ359</v>
      </c>
      <c r="DJ356" s="118" t="str">
        <f>"DJ"&amp;MAX(DK359:DK407)</f>
        <v>DJ389</v>
      </c>
      <c r="DK356" s="116"/>
      <c r="DL356" s="117" t="str">
        <f>"DM"&amp;MIN(DN359:DN407)</f>
        <v>DM359</v>
      </c>
      <c r="DM356" s="118" t="str">
        <f>"DM"&amp;MAX(DN359:DN407)</f>
        <v>DM389</v>
      </c>
      <c r="DN356" s="116"/>
      <c r="DO356" s="117" t="str">
        <f>"DP"&amp;MIN(DQ359:DQ407)</f>
        <v>DP359</v>
      </c>
      <c r="DP356" s="118" t="str">
        <f>"DP"&amp;MAX(DQ359:DQ407)</f>
        <v>DP389</v>
      </c>
      <c r="DQ356" s="116"/>
      <c r="DW356" s="119"/>
      <c r="EA356" s="33"/>
      <c r="EB356" s="33"/>
      <c r="EC356" s="33"/>
      <c r="ED356" s="33"/>
      <c r="EE356" s="33"/>
    </row>
    <row r="357" spans="1:135" ht="24.6" x14ac:dyDescent="0.45">
      <c r="A357" s="95" t="s">
        <v>65</v>
      </c>
      <c r="C357" s="680" t="str">
        <f>A375</f>
        <v>Base Cases</v>
      </c>
      <c r="D357" s="681"/>
      <c r="E357" s="682"/>
      <c r="F357" s="683" t="str">
        <f>A376</f>
        <v>Conservative Cases</v>
      </c>
      <c r="G357" s="684"/>
      <c r="H357" s="685"/>
      <c r="I357" s="686" t="str">
        <f>A377</f>
        <v>Ambitious Cases</v>
      </c>
      <c r="J357" s="687"/>
      <c r="K357" s="688"/>
      <c r="L357" s="692" t="str">
        <f>A378</f>
        <v>Maximum Cases</v>
      </c>
      <c r="M357" s="693"/>
      <c r="O357" s="122"/>
      <c r="P357" s="122"/>
      <c r="Q357" s="122"/>
      <c r="W357" s="691" t="s">
        <v>66</v>
      </c>
      <c r="X357" s="691"/>
      <c r="Y357" s="691"/>
      <c r="Z357" s="120"/>
      <c r="AA357" s="120"/>
      <c r="AB357" s="120"/>
      <c r="AC357" s="120"/>
      <c r="AD357" s="120"/>
      <c r="AE357" s="120"/>
      <c r="AF357" s="120"/>
      <c r="AG357" s="120"/>
      <c r="AH357" s="120"/>
      <c r="AI357" s="120"/>
      <c r="AJ357" s="120"/>
      <c r="AK357" s="120"/>
      <c r="AL357" s="120"/>
      <c r="AM357" s="120"/>
      <c r="AN357" s="120"/>
      <c r="BR357" s="121" t="s">
        <v>67</v>
      </c>
      <c r="BS357" s="121"/>
      <c r="BT357" s="121"/>
      <c r="BU357" s="121"/>
      <c r="BV357" s="121"/>
      <c r="BW357" s="122"/>
      <c r="BY357" s="121" t="s">
        <v>68</v>
      </c>
      <c r="BZ357" s="121"/>
      <c r="CA357" s="121"/>
      <c r="CB357" s="121"/>
      <c r="CC357" s="121"/>
      <c r="CD357" s="121"/>
      <c r="CG357" s="121" t="s">
        <v>69</v>
      </c>
      <c r="CH357" s="121"/>
      <c r="CI357" s="121"/>
      <c r="CJ357" s="121"/>
      <c r="CK357" s="121"/>
      <c r="CL357" s="121"/>
      <c r="CM357" s="121"/>
      <c r="CP357" s="121" t="s">
        <v>70</v>
      </c>
      <c r="CQ357" s="121"/>
      <c r="CR357" s="121"/>
      <c r="CS357" s="121"/>
      <c r="CT357" s="121"/>
      <c r="CU357" s="121"/>
      <c r="CZ357" s="123"/>
      <c r="DA357" s="123"/>
      <c r="DB357" s="123"/>
      <c r="DC357" s="123"/>
      <c r="DD357" s="123"/>
      <c r="DE357" s="123"/>
      <c r="DF357" s="123"/>
      <c r="DG357" s="123"/>
      <c r="DH357" s="123"/>
      <c r="DI357" s="124" t="str">
        <f>"DI"&amp;MIN(DK359:DK407)</f>
        <v>DI359</v>
      </c>
      <c r="DJ357" s="125" t="str">
        <f>"DI"&amp;MAX(DK359:DK407)</f>
        <v>DI389</v>
      </c>
      <c r="DK357" s="123"/>
      <c r="DL357" s="124" t="str">
        <f>"DL"&amp;MIN(DN359:DN407)</f>
        <v>DL359</v>
      </c>
      <c r="DM357" s="125" t="str">
        <f>"DL"&amp;MAX(DN359:DN407)</f>
        <v>DL389</v>
      </c>
      <c r="DN357" s="123"/>
      <c r="DO357" s="124" t="str">
        <f>"DO"&amp;MIN(DQ359:DQ407)</f>
        <v>DO359</v>
      </c>
      <c r="DP357" s="125" t="str">
        <f>"DO"&amp;MAX(DQ359:DQ407)</f>
        <v>DO389</v>
      </c>
      <c r="DQ357" s="123"/>
      <c r="DV357" s="126" t="s">
        <v>71</v>
      </c>
      <c r="DZ357" s="127" t="s">
        <v>72</v>
      </c>
      <c r="EA357" s="284" t="str">
        <f>$L$29</f>
        <v>3rd Poly</v>
      </c>
    </row>
    <row r="358" spans="1:135" ht="73.8" x14ac:dyDescent="0.45">
      <c r="A358" s="95" t="s">
        <v>73</v>
      </c>
      <c r="B358" s="128"/>
      <c r="C358" s="129" t="str">
        <f>A359</f>
        <v>IPCC</v>
      </c>
      <c r="D358" s="130" t="str">
        <f>A360</f>
        <v>World Bank, What a Waste</v>
      </c>
      <c r="E358" s="131" t="str">
        <f>A361</f>
        <v>Bahor et al (2009)</v>
      </c>
      <c r="F358" s="129" t="str">
        <f>A362</f>
        <v>Hoornweg et al (2014)</v>
      </c>
      <c r="G358" s="130" t="str">
        <f>A363</f>
        <v xml:space="preserve"> IEA Annex I – Municipal solid waste potential in cities; Table I.1</v>
      </c>
      <c r="H358" s="131" t="str">
        <f>A364</f>
        <v>[Source 3]</v>
      </c>
      <c r="I358" s="129" t="str">
        <f>A365</f>
        <v>[Source 1]</v>
      </c>
      <c r="J358" s="130" t="str">
        <f>A366</f>
        <v>[Source 2]</v>
      </c>
      <c r="K358" s="131" t="str">
        <f>A367</f>
        <v>[Source 3]</v>
      </c>
      <c r="L358" s="129" t="str">
        <f>A368</f>
        <v>[Source 1]</v>
      </c>
      <c r="M358" s="131" t="str">
        <f>A369</f>
        <v>[Source 2]</v>
      </c>
      <c r="N358" s="234" t="s">
        <v>74</v>
      </c>
      <c r="O358" s="133"/>
      <c r="P358" s="133"/>
      <c r="Q358" s="133"/>
      <c r="R358" s="135" t="s">
        <v>76</v>
      </c>
      <c r="S358" s="134" t="s">
        <v>77</v>
      </c>
      <c r="T358" s="134" t="s">
        <v>78</v>
      </c>
      <c r="U358" s="136" t="s">
        <v>79</v>
      </c>
      <c r="V358" s="137"/>
      <c r="W358" s="136" t="s">
        <v>15</v>
      </c>
      <c r="X358" s="134" t="s">
        <v>21</v>
      </c>
      <c r="Y358" s="136" t="s">
        <v>25</v>
      </c>
      <c r="AA358" s="138"/>
      <c r="AB358" s="138"/>
      <c r="AC358" s="138"/>
      <c r="AD358" s="138"/>
      <c r="AE358" s="138"/>
      <c r="AF358" s="138"/>
      <c r="AG358" s="138"/>
      <c r="AH358" s="138"/>
      <c r="AI358" s="138"/>
      <c r="AJ358" s="138"/>
      <c r="AK358" s="138"/>
      <c r="AL358" s="138"/>
      <c r="AM358" s="138"/>
      <c r="AN358" s="138"/>
      <c r="BR358" s="139"/>
      <c r="BS358" s="139"/>
      <c r="BT358" s="139"/>
      <c r="BU358" s="139"/>
      <c r="BV358" s="139"/>
      <c r="BW358" s="122"/>
      <c r="BZ358" s="139"/>
      <c r="CA358" s="139"/>
      <c r="CB358" s="139"/>
      <c r="CC358" s="139"/>
      <c r="CD358" s="139"/>
      <c r="CH358" s="139"/>
      <c r="CI358" s="139"/>
      <c r="CJ358" s="139"/>
      <c r="CK358" s="139"/>
      <c r="CL358" s="139"/>
      <c r="CM358" s="139"/>
      <c r="CQ358" s="139"/>
      <c r="CR358" s="139"/>
      <c r="CS358" s="139"/>
      <c r="CT358" s="139"/>
      <c r="CU358" s="139"/>
      <c r="CZ358" s="140"/>
      <c r="DA358" s="140"/>
      <c r="DB358" s="140"/>
      <c r="DC358" s="140"/>
      <c r="DD358" s="141"/>
      <c r="DE358" s="141"/>
      <c r="DF358" s="141"/>
      <c r="DG358" s="141"/>
      <c r="DH358" s="140"/>
      <c r="DI358" s="142"/>
      <c r="DJ358" s="143"/>
      <c r="DK358" s="144"/>
      <c r="DL358" s="142"/>
      <c r="DM358" s="143"/>
      <c r="DN358" s="140"/>
      <c r="DO358" s="142"/>
      <c r="DP358" s="143"/>
      <c r="DQ358" s="140"/>
      <c r="DV358" s="145">
        <v>2014</v>
      </c>
      <c r="DW358" s="235">
        <f t="shared" ref="DW358:DW404" ca="1" si="177">IF($J$29="N","",IF($L$29="Linear",BV363,IF($L$29="2nd Poly",CD363,IF($L$29="3rd Poly",CM363,IF($L$29="Exp",CT363)))))</f>
        <v>190.307328236437</v>
      </c>
      <c r="EA358" s="33" t="str">
        <f>$M$29</f>
        <v>Medium</v>
      </c>
      <c r="EB358" s="33"/>
      <c r="EC358" s="33"/>
      <c r="ED358" s="33"/>
      <c r="EE358" s="33"/>
    </row>
    <row r="359" spans="1:135" ht="13.8" x14ac:dyDescent="0.45">
      <c r="A359" s="148" t="s">
        <v>108</v>
      </c>
      <c r="B359" s="128">
        <v>2012</v>
      </c>
      <c r="C359" s="244"/>
      <c r="D359" s="264"/>
      <c r="E359" s="239"/>
      <c r="F359" s="190"/>
      <c r="G359" s="264"/>
      <c r="H359" s="239"/>
      <c r="I359" s="190"/>
      <c r="J359" s="264"/>
      <c r="K359" s="239"/>
      <c r="L359" s="190"/>
      <c r="M359" s="239"/>
      <c r="N359" s="29" t="s">
        <v>119</v>
      </c>
      <c r="O359" s="120"/>
      <c r="P359" s="120"/>
      <c r="Q359" s="120"/>
      <c r="R359" s="29">
        <v>-2</v>
      </c>
      <c r="S359" s="238" t="str">
        <f t="shared" ref="S359:S407" si="178">IF(MIN(C359:Q359)=0,"",MIN(C359:Q359))</f>
        <v/>
      </c>
      <c r="T359" s="238" t="str">
        <f t="shared" ref="T359:T407" si="179">IF(MAX(C359:Q359)=0,"",MAX(C359:Q359))</f>
        <v/>
      </c>
      <c r="U359" s="238" t="str">
        <f t="shared" ref="U359:U407" si="180">IF(T359="","",_xlfn.STDEV.P(C359:Q359))</f>
        <v/>
      </c>
      <c r="V359" s="29"/>
      <c r="W359" s="238" t="e">
        <f t="shared" ref="W359:W407" si="181">IF(U359="",#N/A,X359-(U359*$Q$29))</f>
        <v>#N/A</v>
      </c>
      <c r="X359" s="238" t="e">
        <f t="shared" ref="X359:X407" si="182">IF(U359="",#N/A,(SUM(C359:Q359)/COUNTIFS(C359:Q359,"&gt;0")))</f>
        <v>#N/A</v>
      </c>
      <c r="Y359" s="238" t="e">
        <f t="shared" ref="Y359:Y407" si="183">IF(U359="",#N/A,X359+(U359*$Q$28))</f>
        <v>#N/A</v>
      </c>
      <c r="AA359" s="138"/>
      <c r="AB359" s="138"/>
      <c r="AC359" s="138"/>
      <c r="AD359" s="138"/>
      <c r="AE359" s="138"/>
      <c r="AF359" s="138"/>
      <c r="AG359" s="138"/>
      <c r="AH359" s="138"/>
      <c r="AI359" s="138"/>
      <c r="AJ359" s="138"/>
      <c r="AK359" s="138"/>
      <c r="AL359" s="138"/>
      <c r="AM359" s="138"/>
      <c r="AN359" s="138"/>
      <c r="BR359" s="137" t="s">
        <v>81</v>
      </c>
      <c r="BS359" s="65" t="str">
        <f>$M$29</f>
        <v>Medium</v>
      </c>
      <c r="BT359" s="137" t="s">
        <v>82</v>
      </c>
      <c r="BU359" s="137" t="s">
        <v>83</v>
      </c>
      <c r="BW359" s="133"/>
      <c r="BY359" s="137" t="s">
        <v>81</v>
      </c>
      <c r="BZ359" s="65" t="str">
        <f>$M$29</f>
        <v>Medium</v>
      </c>
      <c r="CA359" s="137" t="s">
        <v>84</v>
      </c>
      <c r="CB359" s="137" t="s">
        <v>82</v>
      </c>
      <c r="CC359" s="137" t="s">
        <v>83</v>
      </c>
      <c r="CG359" s="137" t="s">
        <v>81</v>
      </c>
      <c r="CH359" s="65" t="str">
        <f>$M$29</f>
        <v>Medium</v>
      </c>
      <c r="CI359" s="137" t="s">
        <v>85</v>
      </c>
      <c r="CJ359" s="137" t="s">
        <v>84</v>
      </c>
      <c r="CK359" s="137" t="s">
        <v>82</v>
      </c>
      <c r="CL359" s="137" t="s">
        <v>83</v>
      </c>
      <c r="CP359" s="137" t="s">
        <v>81</v>
      </c>
      <c r="CQ359" s="65" t="str">
        <f>$M$29</f>
        <v>Medium</v>
      </c>
      <c r="CR359" s="137" t="s">
        <v>86</v>
      </c>
      <c r="CS359" s="137" t="s">
        <v>87</v>
      </c>
      <c r="CZ359" s="155" t="b">
        <f t="shared" ref="CZ359:DB398" si="184">ISNUMBER(W359)</f>
        <v>0</v>
      </c>
      <c r="DA359" s="156" t="b">
        <f t="shared" si="184"/>
        <v>0</v>
      </c>
      <c r="DB359" s="157" t="b">
        <f t="shared" si="184"/>
        <v>0</v>
      </c>
      <c r="DC359" s="155" t="str">
        <f t="shared" ref="DC359:DC407" si="185">IF(CZ359=TRUE,$R359,"")</f>
        <v/>
      </c>
      <c r="DD359" s="157" t="str">
        <f t="shared" ref="DD359:DD407" si="186">IF(CZ359=TRUE,W359,"")</f>
        <v/>
      </c>
      <c r="DE359" s="155" t="str">
        <f t="shared" ref="DE359:DE407" si="187">IF(DA359=TRUE,$R359,"")</f>
        <v/>
      </c>
      <c r="DF359" s="157" t="str">
        <f t="shared" ref="DF359:DF407" si="188">IF(DA359=TRUE,X359,"")</f>
        <v/>
      </c>
      <c r="DG359" s="155" t="str">
        <f t="shared" ref="DG359:DG407" si="189">IF(DB359=TRUE,$R359,"")</f>
        <v/>
      </c>
      <c r="DH359" s="157" t="str">
        <f t="shared" ref="DH359:DH407" si="190">IF(DB359=TRUE,Y359,"")</f>
        <v/>
      </c>
      <c r="DI359" s="155">
        <f>IFERROR(INDEX(DC$359:DC$407,_xlfn.AGGREGATE(15,6,(ROW(DC$359:DC$407)-ROW(DC$359)+1)/(DC$359:DC$407&lt;&gt;""),ROWS(DI$1:DI1))),"")</f>
        <v>1</v>
      </c>
      <c r="DJ359" s="156">
        <f>IFERROR(INDEX(DD$359:DD$407,_xlfn.AGGREGATE(15,6,(ROW(DD$359:DD$407)-ROW(DD$359)+1)/(DD$359:DD$407&lt;&gt;""),ROWS(DJ$1:DJ1))),"")</f>
        <v>150.40273762113287</v>
      </c>
      <c r="DK359" s="157">
        <f t="shared" ref="DK359:DK407" si="191">IF(ISNUMBER(DI359),ROW(DI359),"")</f>
        <v>359</v>
      </c>
      <c r="DL359" s="155">
        <f>IFERROR(INDEX(DE$359:DE$407,_xlfn.AGGREGATE(15,6,(ROW(DE$359:DE$407)-ROW(DE$359)+1)/(DE$359:DE$407&lt;&gt;""),ROWS(DL$1:DL1))),"")</f>
        <v>1</v>
      </c>
      <c r="DM359" s="156">
        <f>IFERROR(INDEX(DF$359:DF$407,_xlfn.AGGREGATE(15,6,(ROW(DF$359:DF$407)-ROW(DF$359)+1)/(DF$359:DF$407&lt;&gt;""),ROWS(DM$1:DM1))),"")</f>
        <v>196.2421894946111</v>
      </c>
      <c r="DN359" s="157">
        <f t="shared" ref="DN359:DN407" si="192">IF(ISNUMBER(DI359),ROW(DI359),"")</f>
        <v>359</v>
      </c>
      <c r="DO359" s="155">
        <f>IFERROR(INDEX(DG$359:DG$407,_xlfn.AGGREGATE(15,6,(ROW(DG$359:DG$407)-ROW(DG$359)+1)/(DG$359:DG$407&lt;&gt;""),ROWS(DO$1:DO1))),"")</f>
        <v>1</v>
      </c>
      <c r="DP359" s="156">
        <f>IFERROR(INDEX(DH$359:DH$407,_xlfn.AGGREGATE(15,6,(ROW(DH$359:DH$407)-ROW(DH$359)+1)/(DH$359:DH$407&lt;&gt;""),ROWS(DP$1:DP1))),"")</f>
        <v>242.08164136808932</v>
      </c>
      <c r="DQ359" s="157">
        <f t="shared" ref="DQ359:DQ407" si="193">IF(ISNUMBER(DL359),ROW(DL359),"")</f>
        <v>359</v>
      </c>
      <c r="DV359" s="145">
        <v>2015</v>
      </c>
      <c r="DW359" s="235">
        <f t="shared" ca="1" si="177"/>
        <v>196.3879719233361</v>
      </c>
      <c r="EA359" s="33"/>
      <c r="EB359" s="33"/>
      <c r="EC359" s="33"/>
      <c r="ED359" s="33"/>
      <c r="EE359" s="33"/>
    </row>
    <row r="360" spans="1:135" ht="13.8" x14ac:dyDescent="0.45">
      <c r="A360" s="148" t="s">
        <v>109</v>
      </c>
      <c r="B360" s="128">
        <v>2013</v>
      </c>
      <c r="C360" s="187"/>
      <c r="D360" s="264"/>
      <c r="E360" s="239"/>
      <c r="F360" s="190"/>
      <c r="G360" s="264"/>
      <c r="H360" s="239"/>
      <c r="I360" s="190"/>
      <c r="J360" s="264"/>
      <c r="K360" s="239"/>
      <c r="L360" s="190"/>
      <c r="M360" s="239"/>
      <c r="N360" s="29" t="s">
        <v>119</v>
      </c>
      <c r="O360" s="120"/>
      <c r="P360" s="120"/>
      <c r="Q360" s="120"/>
      <c r="R360" s="29">
        <v>-1</v>
      </c>
      <c r="S360" s="238" t="str">
        <f t="shared" si="178"/>
        <v/>
      </c>
      <c r="T360" s="238" t="str">
        <f t="shared" si="179"/>
        <v/>
      </c>
      <c r="U360" s="238" t="str">
        <f t="shared" si="180"/>
        <v/>
      </c>
      <c r="V360" s="29"/>
      <c r="W360" s="238" t="e">
        <f t="shared" si="181"/>
        <v>#N/A</v>
      </c>
      <c r="X360" s="238" t="e">
        <f t="shared" si="182"/>
        <v>#N/A</v>
      </c>
      <c r="Y360" s="238" t="e">
        <f t="shared" si="183"/>
        <v>#N/A</v>
      </c>
      <c r="AA360" s="138"/>
      <c r="AB360" s="138"/>
      <c r="AC360" s="138"/>
      <c r="AD360" s="138"/>
      <c r="AE360" s="138"/>
      <c r="AF360" s="138"/>
      <c r="AG360" s="138"/>
      <c r="AH360" s="138"/>
      <c r="AI360" s="138"/>
      <c r="AJ360" s="138"/>
      <c r="AK360" s="138"/>
      <c r="AL360" s="138"/>
      <c r="AM360" s="138"/>
      <c r="AN360" s="138"/>
      <c r="BS360" s="160" t="s">
        <v>25</v>
      </c>
      <c r="BT360" s="161">
        <f>SLOPE((DH359:DH407),($B$46:$B$94))</f>
        <v>8.0899127791134298</v>
      </c>
      <c r="BU360" s="162">
        <f>INTERCEPT(DP359:DP407,DO359:DO407)</f>
        <v>234.69363127863556</v>
      </c>
      <c r="BW360" s="133"/>
      <c r="BZ360" s="160" t="s">
        <v>25</v>
      </c>
      <c r="CA360" s="161">
        <f ca="1">INDEX(LINEST((INDIRECT(DO356):INDIRECT(DP356)),(INDIRECT(DO357):INDIRECT(DP357))^{1,2}),1)</f>
        <v>-2.2332948718616231E-3</v>
      </c>
      <c r="CB360" s="163">
        <f ca="1">INDEX(LINEST((INDIRECT(DO356):INDIRECT(DP356)),(INDIRECT(DO357):INDIRECT(DP357))^{1,2}),1,2)</f>
        <v>8.1613782150130021</v>
      </c>
      <c r="CC360" s="162">
        <f ca="1">INDEX(LINEST((INDIRECT(DO356):INDIRECT(DP356)),(INDIRECT(DO357):INDIRECT(DP357))^{1,2}),1,3)</f>
        <v>234.30057138118792</v>
      </c>
      <c r="CH360" s="160" t="s">
        <v>25</v>
      </c>
      <c r="CI360" s="161">
        <f ca="1">INDEX(LINEST((INDIRECT(DO356):INDIRECT(DP356)),(INDIRECT(DO357):INDIRECT(DP357))^{1,2,3}),1)</f>
        <v>-1.9492312612756041E-5</v>
      </c>
      <c r="CJ360" s="163">
        <f ca="1">INDEX(LINEST((INDIRECT(DO356):INDIRECT(DP356)),(INDIRECT(DO357):INDIRECT(DP357))^{1,2,3}),1,2)</f>
        <v>-1.2976638664492775E-3</v>
      </c>
      <c r="CK360" s="163">
        <f ca="1">INDEX(LINEST((INDIRECT(DO356):INDIRECT(DP356)),(INDIRECT(DO357):INDIRECT(DP357))^{1,2,3}),1,3)</f>
        <v>8.1492111134801171</v>
      </c>
      <c r="CL360" s="162">
        <f ca="1">INDEX(LINEST((INDIRECT(DO356):INDIRECT(DP356)),(INDIRECT(DO357):INDIRECT(DP357))^{1,2,3}),1,4)</f>
        <v>234.33556398079037</v>
      </c>
      <c r="CQ360" s="160" t="s">
        <v>25</v>
      </c>
      <c r="CR360" s="161">
        <f ca="1">EXP(INDEX(LINEST(LN(INDIRECT(DO356):INDIRECT(DP356)),(INDIRECT(DO357):INDIRECT(DP357))),1,2))</f>
        <v>247.77483635173402</v>
      </c>
      <c r="CS360" s="162">
        <f ca="1">INDEX(LINEST(LN(INDIRECT(DO356):INDIRECT(DP356)),(INDIRECT(DO357):INDIRECT(DP357))),1)</f>
        <v>2.2780781259942699E-2</v>
      </c>
      <c r="CZ360" s="164" t="b">
        <f t="shared" si="184"/>
        <v>0</v>
      </c>
      <c r="DA360" s="165" t="b">
        <f t="shared" si="184"/>
        <v>0</v>
      </c>
      <c r="DB360" s="166" t="b">
        <f t="shared" si="184"/>
        <v>0</v>
      </c>
      <c r="DC360" s="164" t="str">
        <f t="shared" si="185"/>
        <v/>
      </c>
      <c r="DD360" s="166" t="str">
        <f t="shared" si="186"/>
        <v/>
      </c>
      <c r="DE360" s="164" t="str">
        <f t="shared" si="187"/>
        <v/>
      </c>
      <c r="DF360" s="166" t="str">
        <f t="shared" si="188"/>
        <v/>
      </c>
      <c r="DG360" s="164" t="str">
        <f t="shared" si="189"/>
        <v/>
      </c>
      <c r="DH360" s="166" t="str">
        <f t="shared" si="190"/>
        <v/>
      </c>
      <c r="DI360" s="164">
        <f>IFERROR(INDEX(DC$359:DC$407,_xlfn.AGGREGATE(15,6,(ROW(DC$359:DC$407)-ROW(DC$359)+1)/(DC$359:DC$407&lt;&gt;""),ROWS(DI$1:DI2))),"")</f>
        <v>2</v>
      </c>
      <c r="DJ360" s="165">
        <f>IFERROR(INDEX(DD$359:DD$407,_xlfn.AGGREGATE(15,6,(ROW(DD$359:DD$407)-ROW(DD$359)+1)/(DD$359:DD$407&lt;&gt;""),ROWS(DJ$1:DJ2))),"")</f>
        <v>154.21255243339016</v>
      </c>
      <c r="DK360" s="166">
        <f t="shared" si="191"/>
        <v>360</v>
      </c>
      <c r="DL360" s="164">
        <f>IFERROR(INDEX(DE$359:DE$407,_xlfn.AGGREGATE(15,6,(ROW(DE$359:DE$407)-ROW(DE$359)+1)/(DE$359:DE$407&lt;&gt;""),ROWS(DL$1:DL2))),"")</f>
        <v>2</v>
      </c>
      <c r="DM360" s="165">
        <f>IFERROR(INDEX(DF$359:DF$407,_xlfn.AGGREGATE(15,6,(ROW(DF$359:DF$407)-ROW(DF$359)+1)/(DF$359:DF$407&lt;&gt;""),ROWS(DM$1:DM2))),"")</f>
        <v>202.55389146780644</v>
      </c>
      <c r="DN360" s="166">
        <f t="shared" si="192"/>
        <v>360</v>
      </c>
      <c r="DO360" s="164">
        <f>IFERROR(INDEX(DG$359:DG$407,_xlfn.AGGREGATE(15,6,(ROW(DG$359:DG$407)-ROW(DG$359)+1)/(DG$359:DG$407&lt;&gt;""),ROWS(DO$1:DO2))),"")</f>
        <v>2</v>
      </c>
      <c r="DP360" s="165">
        <f>IFERROR(INDEX(DH$359:DH$407,_xlfn.AGGREGATE(15,6,(ROW(DH$359:DH$407)-ROW(DH$359)+1)/(DH$359:DH$407&lt;&gt;""),ROWS(DP$1:DP2))),"")</f>
        <v>250.89523050222272</v>
      </c>
      <c r="DQ360" s="166">
        <f t="shared" si="193"/>
        <v>360</v>
      </c>
      <c r="DV360" s="145">
        <v>2016</v>
      </c>
      <c r="DW360" s="235">
        <f t="shared" ca="1" si="177"/>
        <v>202.43219681947537</v>
      </c>
      <c r="EA360" s="33"/>
      <c r="EB360" s="33"/>
      <c r="EC360" s="33"/>
      <c r="ED360" s="33"/>
      <c r="EE360" s="33"/>
    </row>
    <row r="361" spans="1:135" ht="13.8" x14ac:dyDescent="0.45">
      <c r="A361" s="148" t="s">
        <v>110</v>
      </c>
      <c r="B361" s="128">
        <v>2014</v>
      </c>
      <c r="C361" s="167"/>
      <c r="D361" s="168"/>
      <c r="E361" s="169"/>
      <c r="F361" s="170"/>
      <c r="G361" s="168"/>
      <c r="H361" s="169"/>
      <c r="I361" s="170"/>
      <c r="J361" s="168"/>
      <c r="K361" s="169"/>
      <c r="L361" s="170"/>
      <c r="M361" s="169"/>
      <c r="N361" s="29" t="s">
        <v>119</v>
      </c>
      <c r="O361" s="120"/>
      <c r="P361" s="120"/>
      <c r="Q361" s="120"/>
      <c r="R361" s="29">
        <v>0</v>
      </c>
      <c r="S361" s="238" t="str">
        <f t="shared" si="178"/>
        <v/>
      </c>
      <c r="T361" s="238" t="str">
        <f t="shared" si="179"/>
        <v/>
      </c>
      <c r="U361" s="238" t="str">
        <f t="shared" si="180"/>
        <v/>
      </c>
      <c r="V361" s="29"/>
      <c r="W361" s="238" t="e">
        <f t="shared" si="181"/>
        <v>#N/A</v>
      </c>
      <c r="X361" s="238" t="e">
        <f t="shared" si="182"/>
        <v>#N/A</v>
      </c>
      <c r="Y361" s="238" t="e">
        <f t="shared" si="183"/>
        <v>#N/A</v>
      </c>
      <c r="AA361" s="138"/>
      <c r="AB361" s="138"/>
      <c r="AC361" s="138"/>
      <c r="AD361" s="138"/>
      <c r="AE361" s="138"/>
      <c r="AF361" s="138"/>
      <c r="AG361" s="138"/>
      <c r="AH361" s="138"/>
      <c r="AI361" s="138"/>
      <c r="AJ361" s="138"/>
      <c r="AK361" s="138"/>
      <c r="AL361" s="138"/>
      <c r="AM361" s="138"/>
      <c r="AN361" s="138"/>
      <c r="BS361" s="160" t="s">
        <v>91</v>
      </c>
      <c r="BT361" s="172">
        <f>SLOPE((DF359:DF407),($B$46:$B$94))</f>
        <v>5.4847839140833861</v>
      </c>
      <c r="BU361" s="173">
        <f>INTERCEPT(DM359:DM407,DL359:DL407)</f>
        <v>193.74711198597203</v>
      </c>
      <c r="BZ361" s="160" t="s">
        <v>91</v>
      </c>
      <c r="CA361" s="172">
        <f ca="1">INDEX(LINEST((INDIRECT(DL356):INDIRECT(DM356)),(INDIRECT(DL357):INDIRECT(DM357))^{1,2}),1)</f>
        <v>-1.9935469263167801E-2</v>
      </c>
      <c r="CB361" s="174">
        <f ca="1">INDEX(LINEST((INDIRECT(DL356):INDIRECT(DM356)),(INDIRECT(DL357):INDIRECT(DM357))^{1,2}),1,2)</f>
        <v>6.1227189305047567</v>
      </c>
      <c r="CC361" s="173">
        <f ca="1">INDEX(LINEST((INDIRECT(DL356):INDIRECT(DM356)),(INDIRECT(DL357):INDIRECT(DM357))^{1,2}),1,3)</f>
        <v>190.2384693956545</v>
      </c>
      <c r="CH361" s="160" t="s">
        <v>91</v>
      </c>
      <c r="CI361" s="172">
        <f ca="1">INDEX(LINEST((INDIRECT(DL356):INDIRECT(DM356)),(INDIRECT(DL357):INDIRECT(DM357))^{1,2,3}),1)</f>
        <v>-3.8357197405545366E-5</v>
      </c>
      <c r="CJ361" s="174">
        <f ca="1">INDEX(LINEST((INDIRECT(DL356):INDIRECT(DM356)),(INDIRECT(DL357):INDIRECT(DM357))^{1,2,3}),1,2)</f>
        <v>-1.8094323787701417E-2</v>
      </c>
      <c r="CK361" s="174">
        <f ca="1">INDEX(LINEST((INDIRECT(DL356):INDIRECT(DM356)),(INDIRECT(DL357):INDIRECT(DM357))^{1,2,3}),1,3)</f>
        <v>6.0987763678842075</v>
      </c>
      <c r="CL361" s="173">
        <f ca="1">INDEX(LINEST((INDIRECT(DL356):INDIRECT(DM356)),(INDIRECT(DL357):INDIRECT(DM357))^{1,2,3}),1,4)</f>
        <v>190.307328236437</v>
      </c>
      <c r="CQ361" s="160" t="s">
        <v>91</v>
      </c>
      <c r="CR361" s="172">
        <f ca="1">EXP(INDEX(LINEST(LN(INDIRECT(DL356):INDIRECT(DM356)),(INDIRECT(DL357):INDIRECT(DM357))),1,2))</f>
        <v>201.37697433285535</v>
      </c>
      <c r="CS361" s="173">
        <f ca="1">INDEX(LINEST(LN(INDIRECT(DL356):INDIRECT(DM356)),(INDIRECT(DL357):INDIRECT(DM357))),1)</f>
        <v>1.9949076945260255E-2</v>
      </c>
      <c r="CZ361" s="164" t="b">
        <f t="shared" si="184"/>
        <v>0</v>
      </c>
      <c r="DA361" s="165" t="b">
        <f t="shared" si="184"/>
        <v>0</v>
      </c>
      <c r="DB361" s="166" t="b">
        <f t="shared" si="184"/>
        <v>0</v>
      </c>
      <c r="DC361" s="164" t="str">
        <f t="shared" si="185"/>
        <v/>
      </c>
      <c r="DD361" s="166" t="str">
        <f t="shared" si="186"/>
        <v/>
      </c>
      <c r="DE361" s="164" t="str">
        <f t="shared" si="187"/>
        <v/>
      </c>
      <c r="DF361" s="166" t="str">
        <f t="shared" si="188"/>
        <v/>
      </c>
      <c r="DG361" s="164" t="str">
        <f t="shared" si="189"/>
        <v/>
      </c>
      <c r="DH361" s="166" t="str">
        <f t="shared" si="190"/>
        <v/>
      </c>
      <c r="DI361" s="164">
        <f>IFERROR(INDEX(DC$359:DC$407,_xlfn.AGGREGATE(15,6,(ROW(DC$359:DC$407)-ROW(DC$359)+1)/(DC$359:DC$407&lt;&gt;""),ROWS(DI$1:DI3))),"")</f>
        <v>3</v>
      </c>
      <c r="DJ361" s="165">
        <f>IFERROR(INDEX(DD$359:DD$407,_xlfn.AGGREGATE(15,6,(ROW(DD$359:DD$407)-ROW(DD$359)+1)/(DD$359:DD$407&lt;&gt;""),ROWS(DJ$1:DJ3))),"")</f>
        <v>158.08224401211817</v>
      </c>
      <c r="DK361" s="166">
        <f t="shared" si="191"/>
        <v>361</v>
      </c>
      <c r="DL361" s="164">
        <f>IFERROR(INDEX(DE$359:DE$407,_xlfn.AGGREGATE(15,6,(ROW(DE$359:DE$407)-ROW(DE$359)+1)/(DE$359:DE$407&lt;&gt;""),ROWS(DL$1:DL3))),"")</f>
        <v>3</v>
      </c>
      <c r="DM361" s="165">
        <f>IFERROR(INDEX(DF$359:DF$407,_xlfn.AGGREGATE(15,6,(ROW(DF$359:DF$407)-ROW(DF$359)+1)/(DF$359:DF$407&lt;&gt;""),ROWS(DM$1:DM3))),"")</f>
        <v>208.48752899231005</v>
      </c>
      <c r="DN361" s="166">
        <f t="shared" si="192"/>
        <v>361</v>
      </c>
      <c r="DO361" s="164">
        <f>IFERROR(INDEX(DG$359:DG$407,_xlfn.AGGREGATE(15,6,(ROW(DG$359:DG$407)-ROW(DG$359)+1)/(DG$359:DG$407&lt;&gt;""),ROWS(DO$1:DO3))),"")</f>
        <v>3</v>
      </c>
      <c r="DP361" s="165">
        <f>IFERROR(INDEX(DH$359:DH$407,_xlfn.AGGREGATE(15,6,(ROW(DH$359:DH$407)-ROW(DH$359)+1)/(DH$359:DH$407&lt;&gt;""),ROWS(DP$1:DP3))),"")</f>
        <v>258.89281397250193</v>
      </c>
      <c r="DQ361" s="166">
        <f t="shared" si="193"/>
        <v>361</v>
      </c>
      <c r="DV361" s="145">
        <v>2017</v>
      </c>
      <c r="DW361" s="235">
        <f t="shared" ca="1" si="177"/>
        <v>208.43977278167037</v>
      </c>
      <c r="DZ361" s="65" t="s">
        <v>89</v>
      </c>
      <c r="EA361" s="33"/>
      <c r="EB361" s="33"/>
      <c r="EC361" s="33"/>
      <c r="ED361" s="33"/>
      <c r="EE361" s="33"/>
    </row>
    <row r="362" spans="1:135" ht="13.8" x14ac:dyDescent="0.45">
      <c r="A362" s="148" t="s">
        <v>111</v>
      </c>
      <c r="B362" s="128">
        <v>2015</v>
      </c>
      <c r="C362" s="244">
        <f>'Total MSW Summaries (Archive)'!H6</f>
        <v>189.86865264945078</v>
      </c>
      <c r="D362" s="244">
        <f>'Total MSW Summaries (Archive)'!T6</f>
        <v>234.08695219981178</v>
      </c>
      <c r="E362" s="244">
        <f>'Total MSW Summaries (Archive)'!AF6</f>
        <v>170.24599999999998</v>
      </c>
      <c r="F362" s="244">
        <f>'Total MSW Summaries (Archive)'!AR6</f>
        <v>258.0904237048739</v>
      </c>
      <c r="G362" s="244">
        <f>'Total MSW Summaries (Archive)'!BD6</f>
        <v>128.91891891891891</v>
      </c>
      <c r="H362" s="151"/>
      <c r="I362" s="152"/>
      <c r="J362" s="159"/>
      <c r="K362" s="151"/>
      <c r="L362" s="152"/>
      <c r="M362" s="151"/>
      <c r="N362" s="29" t="s">
        <v>119</v>
      </c>
      <c r="O362" s="120"/>
      <c r="P362" s="120"/>
      <c r="Q362" s="120"/>
      <c r="R362" s="29">
        <v>1</v>
      </c>
      <c r="S362" s="238">
        <f t="shared" si="178"/>
        <v>128.91891891891891</v>
      </c>
      <c r="T362" s="238">
        <f t="shared" si="179"/>
        <v>258.0904237048739</v>
      </c>
      <c r="U362" s="238">
        <f t="shared" si="180"/>
        <v>45.839451873478232</v>
      </c>
      <c r="V362" s="29"/>
      <c r="W362" s="238">
        <f t="shared" si="181"/>
        <v>150.40273762113287</v>
      </c>
      <c r="X362" s="238">
        <f t="shared" si="182"/>
        <v>196.2421894946111</v>
      </c>
      <c r="Y362" s="238">
        <f t="shared" si="183"/>
        <v>242.08164136808932</v>
      </c>
      <c r="AA362" s="138"/>
      <c r="AB362" s="138"/>
      <c r="AC362" s="138"/>
      <c r="AD362" s="138"/>
      <c r="AE362" s="138"/>
      <c r="AF362" s="138"/>
      <c r="AG362" s="138"/>
      <c r="AH362" s="138"/>
      <c r="AI362" s="138"/>
      <c r="AJ362" s="138"/>
      <c r="AK362" s="138"/>
      <c r="AL362" s="138"/>
      <c r="AM362" s="138"/>
      <c r="AN362" s="138"/>
      <c r="BR362" s="29"/>
      <c r="BS362" s="160" t="s">
        <v>15</v>
      </c>
      <c r="BT362" s="177">
        <f>SLOPE((DD359:DD407),($B$46:$B$94))</f>
        <v>2.8796550490533432</v>
      </c>
      <c r="BU362" s="178">
        <f>INTERCEPT(DJ359:DJ407,DI359:DI407)</f>
        <v>152.80059269330832</v>
      </c>
      <c r="BV362" s="137" t="s">
        <v>71</v>
      </c>
      <c r="BY362" s="29"/>
      <c r="BZ362" s="160" t="s">
        <v>15</v>
      </c>
      <c r="CA362" s="177">
        <f ca="1">INDEX(LINEST((INDIRECT(DI356):INDIRECT(DJ356)),(INDIRECT(DI357):INDIRECT(DJ357))^{1,2}),1)</f>
        <v>-3.7637643654473911E-2</v>
      </c>
      <c r="CB362" s="179">
        <f ca="1">INDEX(LINEST((INDIRECT(DI356):INDIRECT(DJ356)),(INDIRECT(DI357):INDIRECT(DJ357))^{1,2}),1,2)</f>
        <v>4.0840596459965086</v>
      </c>
      <c r="CC362" s="178">
        <f ca="1">INDEX(LINEST((INDIRECT(DI356):INDIRECT(DJ356)),(INDIRECT(DI357):INDIRECT(DJ357))^{1,2}),1,3)</f>
        <v>146.17636741012095</v>
      </c>
      <c r="CD362" s="137" t="s">
        <v>71</v>
      </c>
      <c r="CG362" s="29"/>
      <c r="CH362" s="160" t="s">
        <v>15</v>
      </c>
      <c r="CI362" s="177">
        <f ca="1">INDEX(LINEST((INDIRECT(DI356):INDIRECT(DJ356)),(INDIRECT(DI357):INDIRECT(DJ357))^{1,2,3}),1)</f>
        <v>-5.722208219833786E-5</v>
      </c>
      <c r="CJ362" s="179">
        <f ca="1">INDEX(LINEST((INDIRECT(DI356):INDIRECT(DJ356)),(INDIRECT(DI357):INDIRECT(DJ357))^{1,2,3}),1,2)</f>
        <v>-3.4890983708953716E-2</v>
      </c>
      <c r="CK362" s="179">
        <f ca="1">INDEX(LINEST((INDIRECT(DI356):INDIRECT(DJ356)),(INDIRECT(DI357):INDIRECT(DJ357))^{1,2,3}),1,3)</f>
        <v>4.048341622288306</v>
      </c>
      <c r="CL362" s="178">
        <f ca="1">INDEX(LINEST((INDIRECT(DI356):INDIRECT(DJ356)),(INDIRECT(DI357):INDIRECT(DJ357))^{1,2,3}),1,4)</f>
        <v>146.27909249208338</v>
      </c>
      <c r="CM362" s="137" t="s">
        <v>71</v>
      </c>
      <c r="CP362" s="29"/>
      <c r="CQ362" s="160" t="s">
        <v>15</v>
      </c>
      <c r="CR362" s="177">
        <f ca="1">EXP(INDEX(LINEST(LN(INDIRECT(DI356):INDIRECT(DJ356)),(INDIRECT(DI357):INDIRECT(DJ357))),1,2))</f>
        <v>155.5252075275599</v>
      </c>
      <c r="CS362" s="178">
        <f ca="1">INDEX(LINEST(LN(INDIRECT(DI356):INDIRECT(DJ356)),(INDIRECT(DI357):INDIRECT(DJ357))),1)</f>
        <v>1.4815154549743567E-2</v>
      </c>
      <c r="CT362" s="137" t="s">
        <v>71</v>
      </c>
      <c r="CZ362" s="164" t="b">
        <f t="shared" si="184"/>
        <v>1</v>
      </c>
      <c r="DA362" s="165" t="b">
        <f t="shared" si="184"/>
        <v>1</v>
      </c>
      <c r="DB362" s="166" t="b">
        <f t="shared" si="184"/>
        <v>1</v>
      </c>
      <c r="DC362" s="164">
        <f t="shared" si="185"/>
        <v>1</v>
      </c>
      <c r="DD362" s="166">
        <f t="shared" si="186"/>
        <v>150.40273762113287</v>
      </c>
      <c r="DE362" s="164">
        <f t="shared" si="187"/>
        <v>1</v>
      </c>
      <c r="DF362" s="166">
        <f t="shared" si="188"/>
        <v>196.2421894946111</v>
      </c>
      <c r="DG362" s="164">
        <f t="shared" si="189"/>
        <v>1</v>
      </c>
      <c r="DH362" s="166">
        <f t="shared" si="190"/>
        <v>242.08164136808932</v>
      </c>
      <c r="DI362" s="164">
        <f>IFERROR(INDEX(DC$359:DC$407,_xlfn.AGGREGATE(15,6,(ROW(DC$359:DC$407)-ROW(DC$359)+1)/(DC$359:DC$407&lt;&gt;""),ROWS(DI$1:DI4))),"")</f>
        <v>4</v>
      </c>
      <c r="DJ362" s="165">
        <f>IFERROR(INDEX(DD$359:DD$407,_xlfn.AGGREGATE(15,6,(ROW(DD$359:DD$407)-ROW(DD$359)+1)/(DD$359:DD$407&lt;&gt;""),ROWS(DJ$1:DJ4))),"")</f>
        <v>161.88217559916012</v>
      </c>
      <c r="DK362" s="166">
        <f t="shared" si="191"/>
        <v>362</v>
      </c>
      <c r="DL362" s="164">
        <f>IFERROR(INDEX(DE$359:DE$407,_xlfn.AGGREGATE(15,6,(ROW(DE$359:DE$407)-ROW(DE$359)+1)/(DE$359:DE$407&lt;&gt;""),ROWS(DL$1:DL4))),"")</f>
        <v>4</v>
      </c>
      <c r="DM362" s="165">
        <f>IFERROR(INDEX(DF$359:DF$407,_xlfn.AGGREGATE(15,6,(ROW(DF$359:DF$407)-ROW(DF$359)+1)/(DF$359:DF$407&lt;&gt;""),ROWS(DM$1:DM4))),"")</f>
        <v>214.41228150747801</v>
      </c>
      <c r="DN362" s="166">
        <f t="shared" si="192"/>
        <v>362</v>
      </c>
      <c r="DO362" s="164">
        <f>IFERROR(INDEX(DG$359:DG$407,_xlfn.AGGREGATE(15,6,(ROW(DG$359:DG$407)-ROW(DG$359)+1)/(DG$359:DG$407&lt;&gt;""),ROWS(DO$1:DO4))),"")</f>
        <v>4</v>
      </c>
      <c r="DP362" s="165">
        <f>IFERROR(INDEX(DH$359:DH$407,_xlfn.AGGREGATE(15,6,(ROW(DH$359:DH$407)-ROW(DH$359)+1)/(DH$359:DH$407&lt;&gt;""),ROWS(DP$1:DP4))),"")</f>
        <v>266.94238741579591</v>
      </c>
      <c r="DQ362" s="166">
        <f t="shared" si="193"/>
        <v>362</v>
      </c>
      <c r="DV362" s="145">
        <v>2018</v>
      </c>
      <c r="DW362" s="235">
        <f t="shared" ca="1" si="177"/>
        <v>214.41046966673665</v>
      </c>
      <c r="EA362" s="33" t="s">
        <v>85</v>
      </c>
      <c r="EB362" s="33" t="s">
        <v>84</v>
      </c>
      <c r="EC362" s="33" t="s">
        <v>82</v>
      </c>
      <c r="ED362" s="33" t="s">
        <v>83</v>
      </c>
      <c r="EE362" s="33"/>
    </row>
    <row r="363" spans="1:135" ht="13.8" x14ac:dyDescent="0.45">
      <c r="A363" s="148" t="s">
        <v>116</v>
      </c>
      <c r="B363" s="128">
        <v>2016</v>
      </c>
      <c r="C363" s="244">
        <f>'Total MSW Summaries (Archive)'!H7</f>
        <v>192.54897960801938</v>
      </c>
      <c r="D363" s="244">
        <f>'Total MSW Summaries (Archive)'!T7</f>
        <v>243.6386421973472</v>
      </c>
      <c r="E363" s="244">
        <f>'Total MSW Summaries (Archive)'!AF7</f>
        <v>177.73199999999997</v>
      </c>
      <c r="F363" s="244">
        <f>'Total MSW Summaries (Archive)'!AR7</f>
        <v>267.47145715528728</v>
      </c>
      <c r="G363" s="244">
        <f>'Total MSW Summaries (Archive)'!BD7</f>
        <v>131.37837837837836</v>
      </c>
      <c r="H363" s="151"/>
      <c r="I363" s="152"/>
      <c r="J363" s="159"/>
      <c r="K363" s="151"/>
      <c r="L363" s="152"/>
      <c r="M363" s="151"/>
      <c r="N363" s="29" t="s">
        <v>119</v>
      </c>
      <c r="O363" s="120"/>
      <c r="P363" s="120"/>
      <c r="Q363" s="120"/>
      <c r="R363" s="29">
        <v>2</v>
      </c>
      <c r="S363" s="238">
        <f t="shared" si="178"/>
        <v>131.37837837837836</v>
      </c>
      <c r="T363" s="238">
        <f t="shared" si="179"/>
        <v>267.47145715528728</v>
      </c>
      <c r="U363" s="238">
        <f t="shared" si="180"/>
        <v>48.341339034416286</v>
      </c>
      <c r="V363" s="29"/>
      <c r="W363" s="238">
        <f t="shared" si="181"/>
        <v>154.21255243339016</v>
      </c>
      <c r="X363" s="238">
        <f t="shared" si="182"/>
        <v>202.55389146780644</v>
      </c>
      <c r="Y363" s="238">
        <f t="shared" si="183"/>
        <v>250.89523050222272</v>
      </c>
      <c r="AA363" s="138"/>
      <c r="AB363" s="138"/>
      <c r="AC363" s="138"/>
      <c r="AD363" s="138"/>
      <c r="AE363" s="138"/>
      <c r="AF363" s="138"/>
      <c r="AG363" s="138"/>
      <c r="AH363" s="138"/>
      <c r="AI363" s="138"/>
      <c r="AJ363" s="138"/>
      <c r="AK363" s="138"/>
      <c r="AL363" s="138"/>
      <c r="AM363" s="138"/>
      <c r="AN363" s="138"/>
      <c r="BR363" s="180">
        <v>2014</v>
      </c>
      <c r="BS363" s="22">
        <v>0</v>
      </c>
      <c r="BT363" s="181">
        <f t="shared" ref="BT363:BT409" si="194">IF($BS$359="High",BS363*$BT$360,IF($BS$359="Medium",$BT$361*BS363,IF($BS$359="Low",$BT$362*BS363)))</f>
        <v>0</v>
      </c>
      <c r="BU363" s="182">
        <f t="shared" ref="BU363:BU409" si="195">IF($BS$359="High",$BU$360,IF($BS$359="Medium",$BU$361,IF($BS$359="Low",BU362)))</f>
        <v>193.74711198597203</v>
      </c>
      <c r="BV363" s="241">
        <f t="shared" ref="BV363:BV409" si="196">BT363+BU363</f>
        <v>193.74711198597203</v>
      </c>
      <c r="BY363" s="180">
        <v>2014</v>
      </c>
      <c r="BZ363" s="22">
        <v>0</v>
      </c>
      <c r="CA363" s="181">
        <f t="shared" ref="CA363:CA409" ca="1" si="197">IF($BZ$359="High",BZ363^2*$CA$360,IF($BZ$359="Medium",BZ363^2*$CA$361,IF($BZ$359="Low",BZ363^2*$CA$362)))</f>
        <v>0</v>
      </c>
      <c r="CB363" s="181">
        <f t="shared" ref="CB363:CB409" ca="1" si="198">IF($BZ$359="High",BZ363*$CB$360,IF($BZ$359="Medium",BZ363*$CB$361,IF($BZ$359="Low",BZ363*$CB$362)))</f>
        <v>0</v>
      </c>
      <c r="CC363" s="182">
        <f ca="1">IF($BZ$359="High",$CC$360,IF($BZ$359="Medium",$CC$361,IF($BZ$359="Low",$CC$362)))</f>
        <v>190.2384693956545</v>
      </c>
      <c r="CD363" s="241">
        <f t="shared" ref="CD363:CD409" ca="1" si="199">CA363+CB363+CC363</f>
        <v>190.2384693956545</v>
      </c>
      <c r="CG363" s="180">
        <v>2014</v>
      </c>
      <c r="CH363" s="22">
        <v>0</v>
      </c>
      <c r="CI363" s="181">
        <f t="shared" ref="CI363:CI409" ca="1" si="200">IF($CH$359="High",CH363^3*$CI$360,IF($CH$359="Medium",CH363^3*$CI$361,IF($CH$359="Low",CH363^3*$CI$362)))</f>
        <v>0</v>
      </c>
      <c r="CJ363" s="181">
        <f t="shared" ref="CJ363:CJ409" ca="1" si="201">IF($CH$359="High",CH363^2*$CJ$360,IF($CH$359="Medium",CH363^2*$CJ$361,IF($CH$359="Low",CH363^2*$CJ$362)))</f>
        <v>0</v>
      </c>
      <c r="CK363" s="181">
        <f t="shared" ref="CK363:CK409" ca="1" si="202">IF($CH$359="High",CH363*$CK$360,IF($CH$359="Medium",CH363*$CK$361,IF($CH$359="Low",CH363*$CK$362)))</f>
        <v>0</v>
      </c>
      <c r="CL363" s="182">
        <f t="shared" ref="CL363:CL409" ca="1" si="203">IF($CH$359="High",$CL$360,IF($CH$359="Medium",$CL$361,IF($CH$359="Low",$CL$362)))</f>
        <v>190.307328236437</v>
      </c>
      <c r="CM363" s="241">
        <f t="shared" ref="CM363:CM409" ca="1" si="204">CI363+CJ363+CK363+CL363</f>
        <v>190.307328236437</v>
      </c>
      <c r="CP363" s="180">
        <v>2014</v>
      </c>
      <c r="CQ363" s="22">
        <v>0</v>
      </c>
      <c r="CR363" s="181">
        <f t="shared" ref="CR363:CR409" ca="1" si="205">IF($CQ$359="High",$CR$360,IF($CQ$359="Medium",$CR$361,IF($CQ$359="Low",$CR$362)))</f>
        <v>201.37697433285535</v>
      </c>
      <c r="CS363" s="182">
        <f t="shared" ref="CS363:CS409" ca="1" si="206">IF($CQ$359="High",EXP(1)^($CS$360*CQ363),IF($CQ$359="Medium",EXP(1)^($CS$361*CQ363),IF($CQ$359="Low",EXP(1)^($CS$362*CQ363))))</f>
        <v>1</v>
      </c>
      <c r="CT363" s="241">
        <f t="shared" ref="CT363:CT409" ca="1" si="207">(CR363*CS363)</f>
        <v>201.37697433285535</v>
      </c>
      <c r="CZ363" s="164" t="b">
        <f t="shared" si="184"/>
        <v>1</v>
      </c>
      <c r="DA363" s="165" t="b">
        <f t="shared" si="184"/>
        <v>1</v>
      </c>
      <c r="DB363" s="166" t="b">
        <f t="shared" si="184"/>
        <v>1</v>
      </c>
      <c r="DC363" s="164">
        <f t="shared" si="185"/>
        <v>2</v>
      </c>
      <c r="DD363" s="166">
        <f t="shared" si="186"/>
        <v>154.21255243339016</v>
      </c>
      <c r="DE363" s="164">
        <f t="shared" si="187"/>
        <v>2</v>
      </c>
      <c r="DF363" s="166">
        <f t="shared" si="188"/>
        <v>202.55389146780644</v>
      </c>
      <c r="DG363" s="164">
        <f t="shared" si="189"/>
        <v>2</v>
      </c>
      <c r="DH363" s="166">
        <f t="shared" si="190"/>
        <v>250.89523050222272</v>
      </c>
      <c r="DI363" s="164">
        <f>IFERROR(INDEX(DC$359:DC$407,_xlfn.AGGREGATE(15,6,(ROW(DC$359:DC$407)-ROW(DC$359)+1)/(DC$359:DC$407&lt;&gt;""),ROWS(DI$1:DI5))),"")</f>
        <v>5</v>
      </c>
      <c r="DJ363" s="165">
        <f>IFERROR(INDEX(DD$359:DD$407,_xlfn.AGGREGATE(15,6,(ROW(DD$359:DD$407)-ROW(DD$359)+1)/(DD$359:DD$407&lt;&gt;""),ROWS(DJ$1:DJ5))),"")</f>
        <v>165.61467733231927</v>
      </c>
      <c r="DK363" s="166">
        <f t="shared" si="191"/>
        <v>363</v>
      </c>
      <c r="DL363" s="164">
        <f>IFERROR(INDEX(DE$359:DE$407,_xlfn.AGGREGATE(15,6,(ROW(DE$359:DE$407)-ROW(DE$359)+1)/(DE$359:DE$407&lt;&gt;""),ROWS(DL$1:DL5))),"")</f>
        <v>5</v>
      </c>
      <c r="DM363" s="165">
        <f>IFERROR(INDEX(DF$359:DF$407,_xlfn.AGGREGATE(15,6,(ROW(DF$359:DF$407)-ROW(DF$359)+1)/(DF$359:DF$407&lt;&gt;""),ROWS(DM$1:DM5))),"")</f>
        <v>220.32672464801743</v>
      </c>
      <c r="DN363" s="166">
        <f t="shared" si="192"/>
        <v>363</v>
      </c>
      <c r="DO363" s="164">
        <f>IFERROR(INDEX(DG$359:DG$407,_xlfn.AGGREGATE(15,6,(ROW(DG$359:DG$407)-ROW(DG$359)+1)/(DG$359:DG$407&lt;&gt;""),ROWS(DO$1:DO5))),"")</f>
        <v>5</v>
      </c>
      <c r="DP363" s="165">
        <f>IFERROR(INDEX(DH$359:DH$407,_xlfn.AGGREGATE(15,6,(ROW(DH$359:DH$407)-ROW(DH$359)+1)/(DH$359:DH$407&lt;&gt;""),ROWS(DP$1:DP5))),"")</f>
        <v>275.03877196371559</v>
      </c>
      <c r="DQ363" s="166">
        <f t="shared" si="193"/>
        <v>363</v>
      </c>
      <c r="DV363" s="145">
        <v>2019</v>
      </c>
      <c r="DW363" s="235">
        <f t="shared" ca="1" si="177"/>
        <v>220.34405733148981</v>
      </c>
      <c r="DZ363" s="135" t="s">
        <v>92</v>
      </c>
      <c r="EA363" s="33">
        <f ca="1">IF($EA$357="Linear",0,IF($EA$357="2nd Poly",0,IF($EA$357="3rd Poly",CI360,IF($EA$357="Exp",0))))</f>
        <v>-1.9492312612756041E-5</v>
      </c>
      <c r="EB363" s="33">
        <f ca="1">IF($EA$357="Linear",0,IF($EA$357="2nd Poly",CA360,IF($EA$357="3rd Poly",CJ360,IF($EA$357="Exp",0))))</f>
        <v>-1.2976638664492775E-3</v>
      </c>
      <c r="EC363" s="33">
        <f t="shared" ref="EC363:ED365" ca="1" si="208">IF($EA$357="Linear",BT360,IF($EA$357="2nd Poly",CB360,IF($EA$357="3rd Poly",CK360,IF($EA$357="Exp",0))))</f>
        <v>8.1492111134801171</v>
      </c>
      <c r="ED363" s="33">
        <f t="shared" ca="1" si="208"/>
        <v>234.33556398079037</v>
      </c>
      <c r="EE363" s="33" t="str">
        <f>IF($EA$357="Linear","High",IF($EA$357="2nd Poly","High",IF($EA$357="3rd Poly","High","N/A")))</f>
        <v>High</v>
      </c>
    </row>
    <row r="364" spans="1:135" ht="13.8" x14ac:dyDescent="0.45">
      <c r="A364" s="148" t="s">
        <v>90</v>
      </c>
      <c r="B364" s="128">
        <v>2017</v>
      </c>
      <c r="C364" s="244">
        <f>'Total MSW Summaries (Archive)'!H8</f>
        <v>195.21101458173294</v>
      </c>
      <c r="D364" s="244">
        <f>'Total MSW Summaries (Archive)'!T8</f>
        <v>253.34051670162677</v>
      </c>
      <c r="E364" s="244">
        <f>'Total MSW Summaries (Archive)'!AF8</f>
        <v>185.21799999999996</v>
      </c>
      <c r="F364" s="244">
        <f>'Total MSW Summaries (Archive)'!AR8</f>
        <v>274.83027584035256</v>
      </c>
      <c r="G364" s="244">
        <f>'Total MSW Summaries (Archive)'!BD8</f>
        <v>133.83783783783781</v>
      </c>
      <c r="H364" s="169"/>
      <c r="I364" s="170"/>
      <c r="J364" s="168"/>
      <c r="K364" s="169"/>
      <c r="L364" s="170"/>
      <c r="M364" s="169"/>
      <c r="N364" s="29" t="s">
        <v>119</v>
      </c>
      <c r="O364" s="120"/>
      <c r="P364" s="120"/>
      <c r="Q364" s="120"/>
      <c r="R364" s="29">
        <v>3</v>
      </c>
      <c r="S364" s="238">
        <f t="shared" si="178"/>
        <v>133.83783783783781</v>
      </c>
      <c r="T364" s="238">
        <f t="shared" si="179"/>
        <v>274.83027584035256</v>
      </c>
      <c r="U364" s="238">
        <f t="shared" si="180"/>
        <v>50.40528498019188</v>
      </c>
      <c r="V364" s="29"/>
      <c r="W364" s="238">
        <f t="shared" si="181"/>
        <v>158.08224401211817</v>
      </c>
      <c r="X364" s="238">
        <f t="shared" si="182"/>
        <v>208.48752899231005</v>
      </c>
      <c r="Y364" s="238">
        <f t="shared" si="183"/>
        <v>258.89281397250193</v>
      </c>
      <c r="AA364" s="138"/>
      <c r="AB364" s="138"/>
      <c r="AC364" s="138"/>
      <c r="AD364" s="138"/>
      <c r="AE364" s="138"/>
      <c r="AF364" s="138"/>
      <c r="AG364" s="138"/>
      <c r="AH364" s="138"/>
      <c r="AI364" s="138"/>
      <c r="AJ364" s="138"/>
      <c r="AK364" s="138"/>
      <c r="AL364" s="138"/>
      <c r="AM364" s="138"/>
      <c r="AN364" s="138"/>
      <c r="BR364" s="180">
        <v>2015</v>
      </c>
      <c r="BS364" s="22">
        <v>1</v>
      </c>
      <c r="BT364" s="198">
        <f t="shared" si="194"/>
        <v>5.4847839140833861</v>
      </c>
      <c r="BU364" s="276">
        <f t="shared" si="195"/>
        <v>193.74711198597203</v>
      </c>
      <c r="BV364" s="241">
        <f t="shared" si="196"/>
        <v>199.23189590005541</v>
      </c>
      <c r="BY364" s="180">
        <v>2015</v>
      </c>
      <c r="BZ364" s="22">
        <v>1</v>
      </c>
      <c r="CA364" s="198">
        <f t="shared" ca="1" si="197"/>
        <v>-1.9935469263167801E-2</v>
      </c>
      <c r="CB364" s="198">
        <f t="shared" ca="1" si="198"/>
        <v>6.1227189305047567</v>
      </c>
      <c r="CC364" s="276">
        <f t="shared" ref="CC364:CC409" ca="1" si="209">CC363</f>
        <v>190.2384693956545</v>
      </c>
      <c r="CD364" s="241">
        <f t="shared" ca="1" si="199"/>
        <v>196.34125285689609</v>
      </c>
      <c r="CG364" s="180">
        <v>2015</v>
      </c>
      <c r="CH364" s="22">
        <v>1</v>
      </c>
      <c r="CI364" s="198">
        <f t="shared" ca="1" si="200"/>
        <v>-3.8357197405545366E-5</v>
      </c>
      <c r="CJ364" s="198">
        <f t="shared" ca="1" si="201"/>
        <v>-1.8094323787701417E-2</v>
      </c>
      <c r="CK364" s="198">
        <f t="shared" ca="1" si="202"/>
        <v>6.0987763678842075</v>
      </c>
      <c r="CL364" s="276">
        <f t="shared" ca="1" si="203"/>
        <v>190.307328236437</v>
      </c>
      <c r="CM364" s="241">
        <f t="shared" ca="1" si="204"/>
        <v>196.3879719233361</v>
      </c>
      <c r="CP364" s="180">
        <v>2015</v>
      </c>
      <c r="CQ364" s="22">
        <v>1</v>
      </c>
      <c r="CR364" s="198">
        <f t="shared" ca="1" si="205"/>
        <v>201.37697433285535</v>
      </c>
      <c r="CS364" s="276">
        <f t="shared" ca="1" si="206"/>
        <v>1.0201493895808209</v>
      </c>
      <c r="CT364" s="241">
        <f t="shared" ca="1" si="207"/>
        <v>205.43459744129504</v>
      </c>
      <c r="CZ364" s="164" t="b">
        <f t="shared" si="184"/>
        <v>1</v>
      </c>
      <c r="DA364" s="165" t="b">
        <f t="shared" si="184"/>
        <v>1</v>
      </c>
      <c r="DB364" s="166" t="b">
        <f t="shared" si="184"/>
        <v>1</v>
      </c>
      <c r="DC364" s="164">
        <f t="shared" si="185"/>
        <v>3</v>
      </c>
      <c r="DD364" s="166">
        <f t="shared" si="186"/>
        <v>158.08224401211817</v>
      </c>
      <c r="DE364" s="164">
        <f t="shared" si="187"/>
        <v>3</v>
      </c>
      <c r="DF364" s="166">
        <f t="shared" si="188"/>
        <v>208.48752899231005</v>
      </c>
      <c r="DG364" s="164">
        <f t="shared" si="189"/>
        <v>3</v>
      </c>
      <c r="DH364" s="166">
        <f t="shared" si="190"/>
        <v>258.89281397250193</v>
      </c>
      <c r="DI364" s="164">
        <f>IFERROR(INDEX(DC$359:DC$407,_xlfn.AGGREGATE(15,6,(ROW(DC$359:DC$407)-ROW(DC$359)+1)/(DC$359:DC$407&lt;&gt;""),ROWS(DI$1:DI6))),"")</f>
        <v>6</v>
      </c>
      <c r="DJ364" s="165">
        <f>IFERROR(INDEX(DD$359:DD$407,_xlfn.AGGREGATE(15,6,(ROW(DD$359:DD$407)-ROW(DD$359)+1)/(DD$359:DD$407&lt;&gt;""),ROWS(DJ$1:DJ6))),"")</f>
        <v>169.25314373741057</v>
      </c>
      <c r="DK364" s="166">
        <f t="shared" si="191"/>
        <v>364</v>
      </c>
      <c r="DL364" s="164">
        <f>IFERROR(INDEX(DE$359:DE$407,_xlfn.AGGREGATE(15,6,(ROW(DE$359:DE$407)-ROW(DE$359)+1)/(DE$359:DE$407&lt;&gt;""),ROWS(DL$1:DL6))),"")</f>
        <v>6</v>
      </c>
      <c r="DM364" s="165">
        <f>IFERROR(INDEX(DF$359:DF$407,_xlfn.AGGREGATE(15,6,(ROW(DF$359:DF$407)-ROW(DF$359)+1)/(DF$359:DF$407&lt;&gt;""),ROWS(DM$1:DM6))),"")</f>
        <v>226.35397834775171</v>
      </c>
      <c r="DN364" s="166">
        <f t="shared" si="192"/>
        <v>364</v>
      </c>
      <c r="DO364" s="164">
        <f>IFERROR(INDEX(DG$359:DG$407,_xlfn.AGGREGATE(15,6,(ROW(DG$359:DG$407)-ROW(DG$359)+1)/(DG$359:DG$407&lt;&gt;""),ROWS(DO$1:DO6))),"")</f>
        <v>6</v>
      </c>
      <c r="DP364" s="165">
        <f>IFERROR(INDEX(DH$359:DH$407,_xlfn.AGGREGATE(15,6,(ROW(DH$359:DH$407)-ROW(DH$359)+1)/(DH$359:DH$407&lt;&gt;""),ROWS(DP$1:DP6))),"")</f>
        <v>283.45481295809282</v>
      </c>
      <c r="DQ364" s="166">
        <f t="shared" si="193"/>
        <v>364</v>
      </c>
      <c r="DV364" s="145">
        <v>2020</v>
      </c>
      <c r="DW364" s="235">
        <f t="shared" ca="1" si="177"/>
        <v>226.24030563274539</v>
      </c>
      <c r="DZ364" s="135" t="s">
        <v>92</v>
      </c>
      <c r="EA364" s="33">
        <f ca="1">IF($EA$357="Linear",0,IF($EA$357="2nd Poly",0,IF($EA$357="3rd Poly",CI361,IF($EA$357="Exp",0))))</f>
        <v>-3.8357197405545366E-5</v>
      </c>
      <c r="EB364" s="33">
        <f ca="1">IF($EA$357="Linear",0,IF($EA$357="2nd Poly",CA361,IF($EA$357="3rd Poly",CJ361,IF($EA$357="Exp",0))))</f>
        <v>-1.8094323787701417E-2</v>
      </c>
      <c r="EC364" s="33">
        <f t="shared" ca="1" si="208"/>
        <v>6.0987763678842075</v>
      </c>
      <c r="ED364" s="33">
        <f t="shared" ca="1" si="208"/>
        <v>190.307328236437</v>
      </c>
      <c r="EE364" s="33" t="str">
        <f>IF($EA$357="Linear","Medium",IF($EA$357="2nd Poly","Medium",IF($EA$357="3rd Poly","Medium","N/A")))</f>
        <v>Medium</v>
      </c>
    </row>
    <row r="365" spans="1:135" ht="13.8" x14ac:dyDescent="0.45">
      <c r="A365" s="148" t="s">
        <v>80</v>
      </c>
      <c r="B365" s="128">
        <v>2018</v>
      </c>
      <c r="C365" s="244">
        <f>'Total MSW Summaries (Archive)'!H9</f>
        <v>197.85339691696689</v>
      </c>
      <c r="D365" s="244">
        <f>'Total MSW Summaries (Archive)'!T9</f>
        <v>263.18898532110302</v>
      </c>
      <c r="E365" s="244">
        <f>'Total MSW Summaries (Archive)'!AF9</f>
        <v>192.70399999999995</v>
      </c>
      <c r="F365" s="244">
        <f>'Total MSW Summaries (Archive)'!AR9</f>
        <v>282.01772800202298</v>
      </c>
      <c r="G365" s="244">
        <f>'Total MSW Summaries (Archive)'!BD9</f>
        <v>136.29729729729726</v>
      </c>
      <c r="H365" s="151"/>
      <c r="I365" s="152"/>
      <c r="J365" s="159"/>
      <c r="K365" s="151"/>
      <c r="L365" s="152"/>
      <c r="M365" s="151"/>
      <c r="N365" s="29" t="s">
        <v>119</v>
      </c>
      <c r="O365" s="120"/>
      <c r="P365" s="120"/>
      <c r="Q365" s="120"/>
      <c r="R365" s="29">
        <v>4</v>
      </c>
      <c r="S365" s="238">
        <f t="shared" si="178"/>
        <v>136.29729729729726</v>
      </c>
      <c r="T365" s="238">
        <f t="shared" si="179"/>
        <v>282.01772800202298</v>
      </c>
      <c r="U365" s="238">
        <f t="shared" si="180"/>
        <v>52.530105908317879</v>
      </c>
      <c r="V365" s="20"/>
      <c r="W365" s="238">
        <f t="shared" si="181"/>
        <v>161.88217559916012</v>
      </c>
      <c r="X365" s="238">
        <f t="shared" si="182"/>
        <v>214.41228150747801</v>
      </c>
      <c r="Y365" s="238">
        <f t="shared" si="183"/>
        <v>266.94238741579591</v>
      </c>
      <c r="AA365" s="138"/>
      <c r="AB365" s="138"/>
      <c r="AC365" s="138"/>
      <c r="AD365" s="138"/>
      <c r="AE365" s="138"/>
      <c r="AF365" s="138"/>
      <c r="AG365" s="138"/>
      <c r="AH365" s="138"/>
      <c r="AI365" s="138"/>
      <c r="AJ365" s="138"/>
      <c r="AK365" s="138"/>
      <c r="AL365" s="138"/>
      <c r="AM365" s="138"/>
      <c r="AN365" s="138"/>
      <c r="BR365" s="180">
        <v>2016</v>
      </c>
      <c r="BS365" s="22">
        <v>2</v>
      </c>
      <c r="BT365" s="198">
        <f t="shared" si="194"/>
        <v>10.969567828166772</v>
      </c>
      <c r="BU365" s="276">
        <f t="shared" si="195"/>
        <v>193.74711198597203</v>
      </c>
      <c r="BV365" s="241">
        <f t="shared" si="196"/>
        <v>204.71667981413879</v>
      </c>
      <c r="BY365" s="180">
        <v>2016</v>
      </c>
      <c r="BZ365" s="22">
        <v>2</v>
      </c>
      <c r="CA365" s="198">
        <f t="shared" ca="1" si="197"/>
        <v>-7.9741877052671203E-2</v>
      </c>
      <c r="CB365" s="198">
        <f t="shared" ca="1" si="198"/>
        <v>12.245437861009513</v>
      </c>
      <c r="CC365" s="276">
        <f t="shared" ca="1" si="209"/>
        <v>190.2384693956545</v>
      </c>
      <c r="CD365" s="241">
        <f t="shared" ca="1" si="199"/>
        <v>202.40416537961136</v>
      </c>
      <c r="CG365" s="180">
        <v>2016</v>
      </c>
      <c r="CH365" s="22">
        <v>2</v>
      </c>
      <c r="CI365" s="198">
        <f t="shared" ca="1" si="200"/>
        <v>-3.0685757924436293E-4</v>
      </c>
      <c r="CJ365" s="198">
        <f t="shared" ca="1" si="201"/>
        <v>-7.2377295150805668E-2</v>
      </c>
      <c r="CK365" s="198">
        <f t="shared" ca="1" si="202"/>
        <v>12.197552735768415</v>
      </c>
      <c r="CL365" s="276">
        <f t="shared" ca="1" si="203"/>
        <v>190.307328236437</v>
      </c>
      <c r="CM365" s="241">
        <f t="shared" ca="1" si="204"/>
        <v>202.43219681947537</v>
      </c>
      <c r="CP365" s="180">
        <v>2016</v>
      </c>
      <c r="CQ365" s="22">
        <v>2</v>
      </c>
      <c r="CR365" s="198">
        <f t="shared" ca="1" si="205"/>
        <v>201.37697433285535</v>
      </c>
      <c r="CS365" s="276">
        <f t="shared" ca="1" si="206"/>
        <v>1.0407047770621216</v>
      </c>
      <c r="CT365" s="241">
        <f t="shared" ca="1" si="207"/>
        <v>209.57397917851881</v>
      </c>
      <c r="CZ365" s="164" t="b">
        <f t="shared" si="184"/>
        <v>1</v>
      </c>
      <c r="DA365" s="165" t="b">
        <f t="shared" si="184"/>
        <v>1</v>
      </c>
      <c r="DB365" s="166" t="b">
        <f t="shared" si="184"/>
        <v>1</v>
      </c>
      <c r="DC365" s="164">
        <f t="shared" si="185"/>
        <v>4</v>
      </c>
      <c r="DD365" s="166">
        <f t="shared" si="186"/>
        <v>161.88217559916012</v>
      </c>
      <c r="DE365" s="164">
        <f t="shared" si="187"/>
        <v>4</v>
      </c>
      <c r="DF365" s="166">
        <f t="shared" si="188"/>
        <v>214.41228150747801</v>
      </c>
      <c r="DG365" s="164">
        <f t="shared" si="189"/>
        <v>4</v>
      </c>
      <c r="DH365" s="166">
        <f t="shared" si="190"/>
        <v>266.94238741579591</v>
      </c>
      <c r="DI365" s="164">
        <f>IFERROR(INDEX(DC$359:DC$407,_xlfn.AGGREGATE(15,6,(ROW(DC$359:DC$407)-ROW(DC$359)+1)/(DC$359:DC$407&lt;&gt;""),ROWS(DI$1:DI7))),"")</f>
        <v>7</v>
      </c>
      <c r="DJ365" s="165">
        <f>IFERROR(INDEX(DD$359:DD$407,_xlfn.AGGREGATE(15,6,(ROW(DD$359:DD$407)-ROW(DD$359)+1)/(DD$359:DD$407&lt;&gt;""),ROWS(DJ$1:DJ7))),"")</f>
        <v>172.88269458707632</v>
      </c>
      <c r="DK365" s="166">
        <f t="shared" si="191"/>
        <v>365</v>
      </c>
      <c r="DL365" s="164">
        <f>IFERROR(INDEX(DE$359:DE$407,_xlfn.AGGREGATE(15,6,(ROW(DE$359:DE$407)-ROW(DE$359)+1)/(DE$359:DE$407&lt;&gt;""),ROWS(DL$1:DL7))),"")</f>
        <v>7</v>
      </c>
      <c r="DM365" s="165">
        <f>IFERROR(INDEX(DF$359:DF$407,_xlfn.AGGREGATE(15,6,(ROW(DF$359:DF$407)-ROW(DF$359)+1)/(DF$359:DF$407&lt;&gt;""),ROWS(DM$1:DM7))),"")</f>
        <v>232.11839852736216</v>
      </c>
      <c r="DN365" s="166">
        <f t="shared" si="192"/>
        <v>365</v>
      </c>
      <c r="DO365" s="164">
        <f>IFERROR(INDEX(DG$359:DG$407,_xlfn.AGGREGATE(15,6,(ROW(DG$359:DG$407)-ROW(DG$359)+1)/(DG$359:DG$407&lt;&gt;""),ROWS(DO$1:DO7))),"")</f>
        <v>7</v>
      </c>
      <c r="DP365" s="165">
        <f>IFERROR(INDEX(DH$359:DH$407,_xlfn.AGGREGATE(15,6,(ROW(DH$359:DH$407)-ROW(DH$359)+1)/(DH$359:DH$407&lt;&gt;""),ROWS(DP$1:DP7))),"")</f>
        <v>291.35410246764798</v>
      </c>
      <c r="DQ365" s="166">
        <f t="shared" si="193"/>
        <v>365</v>
      </c>
      <c r="DV365" s="145">
        <v>2021</v>
      </c>
      <c r="DW365" s="235">
        <f t="shared" ca="1" si="177"/>
        <v>232.09898442731898</v>
      </c>
      <c r="DZ365" s="135" t="s">
        <v>92</v>
      </c>
      <c r="EA365" s="33">
        <f ca="1">IF($EA$357="Linear",0,IF($EA$357="2nd Poly",0,IF($EA$357="3rd Poly",CI362,IF($EA$357="Exp",0))))</f>
        <v>-5.722208219833786E-5</v>
      </c>
      <c r="EB365" s="33">
        <f ca="1">IF($EA$357="Linear",0,IF($EA$357="2nd Poly",CA362,IF($EA$357="3rd Poly",CJ362,IF($EA$357="Exp",0))))</f>
        <v>-3.4890983708953716E-2</v>
      </c>
      <c r="EC365" s="33">
        <f t="shared" ca="1" si="208"/>
        <v>4.048341622288306</v>
      </c>
      <c r="ED365" s="33">
        <f t="shared" ca="1" si="208"/>
        <v>146.27909249208338</v>
      </c>
      <c r="EE365" s="33" t="str">
        <f>IF($EA$357="Linear","Low",IF($EA$357="2nd Poly","Low",IF($EA$357="3rd Poly","Low","N/A")))</f>
        <v>Low</v>
      </c>
    </row>
    <row r="366" spans="1:135" ht="13.8" x14ac:dyDescent="0.45">
      <c r="A366" s="148" t="s">
        <v>88</v>
      </c>
      <c r="B366" s="128">
        <v>2019</v>
      </c>
      <c r="C366" s="244">
        <f>'Total MSW Summaries (Archive)'!H10</f>
        <v>200.47519932884853</v>
      </c>
      <c r="D366" s="244">
        <f>'Total MSW Summaries (Archive)'!T10</f>
        <v>273.18087161877764</v>
      </c>
      <c r="E366" s="244">
        <f>'Total MSW Summaries (Archive)'!AF10</f>
        <v>200.18999999999994</v>
      </c>
      <c r="F366" s="244">
        <f>'Total MSW Summaries (Archive)'!AR10</f>
        <v>289.03079553570433</v>
      </c>
      <c r="G366" s="244">
        <f>'Total MSW Summaries (Archive)'!BD10</f>
        <v>138.75675675675672</v>
      </c>
      <c r="H366" s="151"/>
      <c r="I366" s="152"/>
      <c r="J366" s="159"/>
      <c r="K366" s="151"/>
      <c r="L366" s="152"/>
      <c r="M366" s="151"/>
      <c r="N366" s="29" t="s">
        <v>119</v>
      </c>
      <c r="O366" s="120"/>
      <c r="P366" s="120"/>
      <c r="Q366" s="120"/>
      <c r="R366" s="29">
        <v>5</v>
      </c>
      <c r="S366" s="238">
        <f t="shared" si="178"/>
        <v>138.75675675675672</v>
      </c>
      <c r="T366" s="238">
        <f t="shared" si="179"/>
        <v>289.03079553570433</v>
      </c>
      <c r="U366" s="238">
        <f t="shared" si="180"/>
        <v>54.712047315698172</v>
      </c>
      <c r="V366" s="20"/>
      <c r="W366" s="238">
        <f t="shared" si="181"/>
        <v>165.61467733231927</v>
      </c>
      <c r="X366" s="238">
        <f t="shared" si="182"/>
        <v>220.32672464801743</v>
      </c>
      <c r="Y366" s="238">
        <f t="shared" si="183"/>
        <v>275.03877196371559</v>
      </c>
      <c r="AA366" s="138"/>
      <c r="AB366" s="138"/>
      <c r="AC366" s="138"/>
      <c r="AD366" s="138"/>
      <c r="AE366" s="138"/>
      <c r="AF366" s="138"/>
      <c r="AG366" s="138"/>
      <c r="AH366" s="138"/>
      <c r="AI366" s="138"/>
      <c r="AJ366" s="138"/>
      <c r="AK366" s="138"/>
      <c r="AL366" s="138"/>
      <c r="AM366" s="138"/>
      <c r="AN366" s="138"/>
      <c r="BR366" s="180">
        <v>2017</v>
      </c>
      <c r="BS366" s="22">
        <v>3</v>
      </c>
      <c r="BT366" s="198">
        <f t="shared" si="194"/>
        <v>16.454351742250157</v>
      </c>
      <c r="BU366" s="276">
        <f t="shared" si="195"/>
        <v>193.74711198597203</v>
      </c>
      <c r="BV366" s="241">
        <f t="shared" si="196"/>
        <v>210.20146372822219</v>
      </c>
      <c r="BY366" s="180">
        <v>2017</v>
      </c>
      <c r="BZ366" s="22">
        <v>3</v>
      </c>
      <c r="CA366" s="198">
        <f t="shared" ca="1" si="197"/>
        <v>-0.17941922336851021</v>
      </c>
      <c r="CB366" s="198">
        <f t="shared" ca="1" si="198"/>
        <v>18.36815679151427</v>
      </c>
      <c r="CC366" s="276">
        <f t="shared" ca="1" si="209"/>
        <v>190.2384693956545</v>
      </c>
      <c r="CD366" s="241">
        <f t="shared" ca="1" si="199"/>
        <v>208.42720696380027</v>
      </c>
      <c r="CG366" s="180">
        <v>2017</v>
      </c>
      <c r="CH366" s="22">
        <v>3</v>
      </c>
      <c r="CI366" s="198">
        <f t="shared" ca="1" si="200"/>
        <v>-1.0356443299497249E-3</v>
      </c>
      <c r="CJ366" s="198">
        <f t="shared" ca="1" si="201"/>
        <v>-0.16284891408931276</v>
      </c>
      <c r="CK366" s="198">
        <f t="shared" ca="1" si="202"/>
        <v>18.296329103652624</v>
      </c>
      <c r="CL366" s="276">
        <f t="shared" ca="1" si="203"/>
        <v>190.307328236437</v>
      </c>
      <c r="CM366" s="241">
        <f t="shared" ca="1" si="204"/>
        <v>208.43977278167037</v>
      </c>
      <c r="CP366" s="180">
        <v>2017</v>
      </c>
      <c r="CQ366" s="22">
        <v>3</v>
      </c>
      <c r="CR366" s="198">
        <f t="shared" ca="1" si="205"/>
        <v>201.37697433285535</v>
      </c>
      <c r="CS366" s="276">
        <f t="shared" ca="1" si="206"/>
        <v>1.0616743430537678</v>
      </c>
      <c r="CT366" s="241">
        <f t="shared" ca="1" si="207"/>
        <v>213.79676693098969</v>
      </c>
      <c r="CZ366" s="164" t="b">
        <f t="shared" si="184"/>
        <v>1</v>
      </c>
      <c r="DA366" s="165" t="b">
        <f t="shared" si="184"/>
        <v>1</v>
      </c>
      <c r="DB366" s="166" t="b">
        <f t="shared" si="184"/>
        <v>1</v>
      </c>
      <c r="DC366" s="164">
        <f t="shared" si="185"/>
        <v>5</v>
      </c>
      <c r="DD366" s="166">
        <f t="shared" si="186"/>
        <v>165.61467733231927</v>
      </c>
      <c r="DE366" s="164">
        <f t="shared" si="187"/>
        <v>5</v>
      </c>
      <c r="DF366" s="166">
        <f t="shared" si="188"/>
        <v>220.32672464801743</v>
      </c>
      <c r="DG366" s="164">
        <f t="shared" si="189"/>
        <v>5</v>
      </c>
      <c r="DH366" s="166">
        <f t="shared" si="190"/>
        <v>275.03877196371559</v>
      </c>
      <c r="DI366" s="164">
        <f>IFERROR(INDEX(DC$359:DC$407,_xlfn.AGGREGATE(15,6,(ROW(DC$359:DC$407)-ROW(DC$359)+1)/(DC$359:DC$407&lt;&gt;""),ROWS(DI$1:DI8))),"")</f>
        <v>8</v>
      </c>
      <c r="DJ366" s="165">
        <f>IFERROR(INDEX(DD$359:DD$407,_xlfn.AGGREGATE(15,6,(ROW(DD$359:DD$407)-ROW(DD$359)+1)/(DD$359:DD$407&lt;&gt;""),ROWS(DJ$1:DJ8))),"")</f>
        <v>176.38938002124988</v>
      </c>
      <c r="DK366" s="166">
        <f t="shared" si="191"/>
        <v>366</v>
      </c>
      <c r="DL366" s="164">
        <f>IFERROR(INDEX(DE$359:DE$407,_xlfn.AGGREGATE(15,6,(ROW(DE$359:DE$407)-ROW(DE$359)+1)/(DE$359:DE$407&lt;&gt;""),ROWS(DL$1:DL8))),"")</f>
        <v>8</v>
      </c>
      <c r="DM366" s="165">
        <f>IFERROR(INDEX(DF$359:DF$407,_xlfn.AGGREGATE(15,6,(ROW(DF$359:DF$407)-ROW(DF$359)+1)/(DF$359:DF$407&lt;&gt;""),ROWS(DM$1:DM8))),"")</f>
        <v>237.89008653532727</v>
      </c>
      <c r="DN366" s="166">
        <f t="shared" si="192"/>
        <v>366</v>
      </c>
      <c r="DO366" s="164">
        <f>IFERROR(INDEX(DG$359:DG$407,_xlfn.AGGREGATE(15,6,(ROW(DG$359:DG$407)-ROW(DG$359)+1)/(DG$359:DG$407&lt;&gt;""),ROWS(DO$1:DO8))),"")</f>
        <v>8</v>
      </c>
      <c r="DP366" s="165">
        <f>IFERROR(INDEX(DH$359:DH$407,_xlfn.AGGREGATE(15,6,(ROW(DH$359:DH$407)-ROW(DH$359)+1)/(DH$359:DH$407&lt;&gt;""),ROWS(DP$1:DP8))),"")</f>
        <v>299.39079304940464</v>
      </c>
      <c r="DQ366" s="166">
        <f t="shared" si="193"/>
        <v>366</v>
      </c>
      <c r="DV366" s="145">
        <v>2022</v>
      </c>
      <c r="DW366" s="235">
        <f t="shared" ca="1" si="177"/>
        <v>237.91986357202614</v>
      </c>
      <c r="DZ366" s="135"/>
      <c r="EA366" s="33"/>
      <c r="EB366" s="33"/>
      <c r="EC366" s="33"/>
      <c r="ED366" s="33"/>
      <c r="EE366" s="33"/>
    </row>
    <row r="367" spans="1:135" ht="13.8" x14ac:dyDescent="0.45">
      <c r="A367" s="148" t="s">
        <v>90</v>
      </c>
      <c r="B367" s="128">
        <v>2020</v>
      </c>
      <c r="C367" s="244">
        <f>'Total MSW Summaries (Archive)'!H11</f>
        <v>203.07525592872037</v>
      </c>
      <c r="D367" s="244">
        <f>'Total MSW Summaries (Archive)'!T11</f>
        <v>283.31254593789038</v>
      </c>
      <c r="E367" s="244">
        <f>'Total MSW Summaries (Archive)'!AF11</f>
        <v>207.67599999999993</v>
      </c>
      <c r="F367" s="244">
        <f>'Total MSW Summaries (Archive)'!AR11</f>
        <v>296.48987365593172</v>
      </c>
      <c r="G367" s="244">
        <f>'Total MSW Summaries (Archive)'!BD11</f>
        <v>141.21621621621617</v>
      </c>
      <c r="H367" s="169"/>
      <c r="I367" s="170"/>
      <c r="J367" s="168"/>
      <c r="K367" s="169"/>
      <c r="L367" s="170"/>
      <c r="M367" s="169"/>
      <c r="N367" s="29" t="s">
        <v>119</v>
      </c>
      <c r="O367" s="120"/>
      <c r="P367" s="120"/>
      <c r="Q367" s="120"/>
      <c r="R367" s="29">
        <v>6</v>
      </c>
      <c r="S367" s="195">
        <f t="shared" si="178"/>
        <v>141.21621621621617</v>
      </c>
      <c r="T367" s="195">
        <f t="shared" si="179"/>
        <v>296.48987365593172</v>
      </c>
      <c r="U367" s="195">
        <f t="shared" si="180"/>
        <v>57.100834610341138</v>
      </c>
      <c r="V367" s="20"/>
      <c r="W367" s="238">
        <f t="shared" si="181"/>
        <v>169.25314373741057</v>
      </c>
      <c r="X367" s="238">
        <f t="shared" si="182"/>
        <v>226.35397834775171</v>
      </c>
      <c r="Y367" s="238">
        <f t="shared" si="183"/>
        <v>283.45481295809282</v>
      </c>
      <c r="AA367" s="138"/>
      <c r="AB367" s="138"/>
      <c r="AC367" s="138"/>
      <c r="AD367" s="138"/>
      <c r="AE367" s="138"/>
      <c r="AF367" s="138"/>
      <c r="AG367" s="138"/>
      <c r="AH367" s="138"/>
      <c r="AI367" s="138"/>
      <c r="AJ367" s="138"/>
      <c r="AK367" s="138"/>
      <c r="AL367" s="138"/>
      <c r="AM367" s="138"/>
      <c r="AN367" s="138"/>
      <c r="BR367" s="180">
        <v>2018</v>
      </c>
      <c r="BS367" s="22">
        <v>4</v>
      </c>
      <c r="BT367" s="198">
        <f t="shared" si="194"/>
        <v>21.939135656333544</v>
      </c>
      <c r="BU367" s="276">
        <f t="shared" si="195"/>
        <v>193.74711198597203</v>
      </c>
      <c r="BV367" s="241">
        <f t="shared" si="196"/>
        <v>215.68624764230557</v>
      </c>
      <c r="BY367" s="180">
        <v>2018</v>
      </c>
      <c r="BZ367" s="22">
        <v>4</v>
      </c>
      <c r="CA367" s="198">
        <f t="shared" ca="1" si="197"/>
        <v>-0.31896750821068481</v>
      </c>
      <c r="CB367" s="198">
        <f t="shared" ca="1" si="198"/>
        <v>24.490875722019027</v>
      </c>
      <c r="CC367" s="276">
        <f t="shared" ca="1" si="209"/>
        <v>190.2384693956545</v>
      </c>
      <c r="CD367" s="241">
        <f t="shared" ca="1" si="199"/>
        <v>214.41037760946284</v>
      </c>
      <c r="CG367" s="180">
        <v>2018</v>
      </c>
      <c r="CH367" s="22">
        <v>4</v>
      </c>
      <c r="CI367" s="198">
        <f t="shared" ca="1" si="200"/>
        <v>-2.4548606339549034E-3</v>
      </c>
      <c r="CJ367" s="198">
        <f t="shared" ca="1" si="201"/>
        <v>-0.28950918060322267</v>
      </c>
      <c r="CK367" s="198">
        <f t="shared" ca="1" si="202"/>
        <v>24.39510547153683</v>
      </c>
      <c r="CL367" s="276">
        <f t="shared" ca="1" si="203"/>
        <v>190.307328236437</v>
      </c>
      <c r="CM367" s="241">
        <f t="shared" ca="1" si="204"/>
        <v>214.41046966673665</v>
      </c>
      <c r="CP367" s="180">
        <v>2018</v>
      </c>
      <c r="CQ367" s="22">
        <v>4</v>
      </c>
      <c r="CR367" s="198">
        <f t="shared" ca="1" si="205"/>
        <v>201.37697433285535</v>
      </c>
      <c r="CS367" s="276">
        <f t="shared" ca="1" si="206"/>
        <v>1.0830664329999204</v>
      </c>
      <c r="CT367" s="241">
        <f t="shared" ca="1" si="207"/>
        <v>218.10464127900218</v>
      </c>
      <c r="CZ367" s="164" t="b">
        <f t="shared" si="184"/>
        <v>1</v>
      </c>
      <c r="DA367" s="165" t="b">
        <f t="shared" si="184"/>
        <v>1</v>
      </c>
      <c r="DB367" s="166" t="b">
        <f t="shared" si="184"/>
        <v>1</v>
      </c>
      <c r="DC367" s="164">
        <f t="shared" si="185"/>
        <v>6</v>
      </c>
      <c r="DD367" s="166">
        <f t="shared" si="186"/>
        <v>169.25314373741057</v>
      </c>
      <c r="DE367" s="164">
        <f t="shared" si="187"/>
        <v>6</v>
      </c>
      <c r="DF367" s="166">
        <f t="shared" si="188"/>
        <v>226.35397834775171</v>
      </c>
      <c r="DG367" s="164">
        <f t="shared" si="189"/>
        <v>6</v>
      </c>
      <c r="DH367" s="166">
        <f t="shared" si="190"/>
        <v>283.45481295809282</v>
      </c>
      <c r="DI367" s="164">
        <f>IFERROR(INDEX(DC$359:DC$407,_xlfn.AGGREGATE(15,6,(ROW(DC$359:DC$407)-ROW(DC$359)+1)/(DC$359:DC$407&lt;&gt;""),ROWS(DI$1:DI9))),"")</f>
        <v>9</v>
      </c>
      <c r="DJ367" s="165">
        <f>IFERROR(INDEX(DD$359:DD$407,_xlfn.AGGREGATE(15,6,(ROW(DD$359:DD$407)-ROW(DD$359)+1)/(DD$359:DD$407&lt;&gt;""),ROWS(DJ$1:DJ9))),"")</f>
        <v>179.82829000172131</v>
      </c>
      <c r="DK367" s="166">
        <f t="shared" si="191"/>
        <v>367</v>
      </c>
      <c r="DL367" s="164">
        <f>IFERROR(INDEX(DE$359:DE$407,_xlfn.AGGREGATE(15,6,(ROW(DE$359:DE$407)-ROW(DE$359)+1)/(DE$359:DE$407&lt;&gt;""),ROWS(DL$1:DL9))),"")</f>
        <v>9</v>
      </c>
      <c r="DM367" s="165">
        <f>IFERROR(INDEX(DF$359:DF$407,_xlfn.AGGREGATE(15,6,(ROW(DF$359:DF$407)-ROW(DF$359)+1)/(DF$359:DF$407&lt;&gt;""),ROWS(DM$1:DM9))),"")</f>
        <v>243.63982843114204</v>
      </c>
      <c r="DN367" s="166">
        <f t="shared" si="192"/>
        <v>367</v>
      </c>
      <c r="DO367" s="164">
        <f>IFERROR(INDEX(DG$359:DG$407,_xlfn.AGGREGATE(15,6,(ROW(DG$359:DG$407)-ROW(DG$359)+1)/(DG$359:DG$407&lt;&gt;""),ROWS(DO$1:DO9))),"")</f>
        <v>9</v>
      </c>
      <c r="DP367" s="165">
        <f>IFERROR(INDEX(DH$359:DH$407,_xlfn.AGGREGATE(15,6,(ROW(DH$359:DH$407)-ROW(DH$359)+1)/(DH$359:DH$407&lt;&gt;""),ROWS(DP$1:DP9))),"")</f>
        <v>307.45136686056276</v>
      </c>
      <c r="DQ367" s="166">
        <f t="shared" si="193"/>
        <v>367</v>
      </c>
      <c r="DV367" s="145">
        <v>2023</v>
      </c>
      <c r="DW367" s="235">
        <f t="shared" ca="1" si="177"/>
        <v>243.70271292368241</v>
      </c>
      <c r="DZ367" s="135"/>
      <c r="EA367" s="33" t="s">
        <v>86</v>
      </c>
      <c r="EB367" s="33" t="s">
        <v>87</v>
      </c>
      <c r="EC367" s="33"/>
      <c r="ED367" s="33"/>
      <c r="EE367" s="33"/>
    </row>
    <row r="368" spans="1:135" ht="13.8" x14ac:dyDescent="0.45">
      <c r="A368" s="148" t="s">
        <v>80</v>
      </c>
      <c r="B368" s="128">
        <v>2021</v>
      </c>
      <c r="C368" s="244">
        <f>'Total MSW Summaries (Archive)'!H12</f>
        <v>205.65203728573502</v>
      </c>
      <c r="D368" s="244">
        <f>'Total MSW Summaries (Archive)'!T12</f>
        <v>293.57970833856928</v>
      </c>
      <c r="E368" s="244">
        <f>'Total MSW Summaries (Archive)'!AF12</f>
        <v>215.16199999999992</v>
      </c>
      <c r="F368" s="244">
        <f>'Total MSW Summaries (Archive)'!AR12</f>
        <v>302.52257133683094</v>
      </c>
      <c r="G368" s="244">
        <f>'Total MSW Summaries (Archive)'!BD12</f>
        <v>143.67567567567562</v>
      </c>
      <c r="H368" s="151"/>
      <c r="I368" s="152"/>
      <c r="J368" s="159"/>
      <c r="K368" s="151"/>
      <c r="L368" s="152"/>
      <c r="M368" s="151"/>
      <c r="N368" s="29" t="s">
        <v>119</v>
      </c>
      <c r="O368" s="120"/>
      <c r="P368" s="120"/>
      <c r="Q368" s="120"/>
      <c r="R368" s="29">
        <v>7</v>
      </c>
      <c r="S368" s="196">
        <f t="shared" si="178"/>
        <v>143.67567567567562</v>
      </c>
      <c r="T368" s="196">
        <f t="shared" si="179"/>
        <v>302.52257133683094</v>
      </c>
      <c r="U368" s="196">
        <f t="shared" si="180"/>
        <v>59.235703940285838</v>
      </c>
      <c r="V368" s="20"/>
      <c r="W368" s="238">
        <f t="shared" si="181"/>
        <v>172.88269458707632</v>
      </c>
      <c r="X368" s="238">
        <f t="shared" si="182"/>
        <v>232.11839852736216</v>
      </c>
      <c r="Y368" s="238">
        <f t="shared" si="183"/>
        <v>291.35410246764798</v>
      </c>
      <c r="AA368" s="138"/>
      <c r="AB368" s="138"/>
      <c r="AC368" s="138"/>
      <c r="AD368" s="138"/>
      <c r="AE368" s="138"/>
      <c r="AF368" s="138"/>
      <c r="AG368" s="138"/>
      <c r="AH368" s="138"/>
      <c r="AI368" s="138"/>
      <c r="AJ368" s="138"/>
      <c r="AK368" s="138"/>
      <c r="AL368" s="138"/>
      <c r="AM368" s="138"/>
      <c r="AN368" s="138"/>
      <c r="BR368" s="180">
        <v>2019</v>
      </c>
      <c r="BS368" s="22">
        <v>5</v>
      </c>
      <c r="BT368" s="198">
        <f t="shared" si="194"/>
        <v>27.423919570416931</v>
      </c>
      <c r="BU368" s="276">
        <f t="shared" si="195"/>
        <v>193.74711198597203</v>
      </c>
      <c r="BV368" s="283">
        <f t="shared" si="196"/>
        <v>221.17103155638895</v>
      </c>
      <c r="BY368" s="180">
        <v>2019</v>
      </c>
      <c r="BZ368" s="22">
        <v>5</v>
      </c>
      <c r="CA368" s="198">
        <f t="shared" ca="1" si="197"/>
        <v>-0.498386731579195</v>
      </c>
      <c r="CB368" s="198">
        <f t="shared" ca="1" si="198"/>
        <v>30.613594652523783</v>
      </c>
      <c r="CC368" s="276">
        <f t="shared" ca="1" si="209"/>
        <v>190.2384693956545</v>
      </c>
      <c r="CD368" s="283">
        <f t="shared" ca="1" si="199"/>
        <v>220.35367731659909</v>
      </c>
      <c r="CG368" s="180">
        <v>2019</v>
      </c>
      <c r="CH368" s="22">
        <v>5</v>
      </c>
      <c r="CI368" s="198">
        <f t="shared" ca="1" si="200"/>
        <v>-4.7946496756931705E-3</v>
      </c>
      <c r="CJ368" s="198">
        <f t="shared" ca="1" si="201"/>
        <v>-0.45235809469253541</v>
      </c>
      <c r="CK368" s="198">
        <f t="shared" ca="1" si="202"/>
        <v>30.493881839421036</v>
      </c>
      <c r="CL368" s="276">
        <f t="shared" ca="1" si="203"/>
        <v>190.307328236437</v>
      </c>
      <c r="CM368" s="283">
        <f t="shared" ca="1" si="204"/>
        <v>220.34405733148981</v>
      </c>
      <c r="CP368" s="180">
        <v>2019</v>
      </c>
      <c r="CQ368" s="22">
        <v>5</v>
      </c>
      <c r="CR368" s="198">
        <f t="shared" ca="1" si="205"/>
        <v>201.37697433285535</v>
      </c>
      <c r="CS368" s="276">
        <f t="shared" ca="1" si="206"/>
        <v>1.1048895605003459</v>
      </c>
      <c r="CT368" s="283">
        <f t="shared" ca="1" si="207"/>
        <v>222.49931666551799</v>
      </c>
      <c r="CZ368" s="164" t="b">
        <f t="shared" si="184"/>
        <v>1</v>
      </c>
      <c r="DA368" s="165" t="b">
        <f t="shared" si="184"/>
        <v>1</v>
      </c>
      <c r="DB368" s="166" t="b">
        <f t="shared" si="184"/>
        <v>1</v>
      </c>
      <c r="DC368" s="164">
        <f t="shared" si="185"/>
        <v>7</v>
      </c>
      <c r="DD368" s="166">
        <f t="shared" si="186"/>
        <v>172.88269458707632</v>
      </c>
      <c r="DE368" s="164">
        <f t="shared" si="187"/>
        <v>7</v>
      </c>
      <c r="DF368" s="166">
        <f t="shared" si="188"/>
        <v>232.11839852736216</v>
      </c>
      <c r="DG368" s="164">
        <f t="shared" si="189"/>
        <v>7</v>
      </c>
      <c r="DH368" s="166">
        <f t="shared" si="190"/>
        <v>291.35410246764798</v>
      </c>
      <c r="DI368" s="164">
        <f>IFERROR(INDEX(DC$359:DC$407,_xlfn.AGGREGATE(15,6,(ROW(DC$359:DC$407)-ROW(DC$359)+1)/(DC$359:DC$407&lt;&gt;""),ROWS(DI$1:DI10))),"")</f>
        <v>10</v>
      </c>
      <c r="DJ368" s="165">
        <f>IFERROR(INDEX(DD$359:DD$407,_xlfn.AGGREGATE(15,6,(ROW(DD$359:DD$407)-ROW(DD$359)+1)/(DD$359:DD$407&lt;&gt;""),ROWS(DJ$1:DJ10))),"")</f>
        <v>183.19869535295572</v>
      </c>
      <c r="DK368" s="166">
        <f t="shared" si="191"/>
        <v>368</v>
      </c>
      <c r="DL368" s="164">
        <f>IFERROR(INDEX(DE$359:DE$407,_xlfn.AGGREGATE(15,6,(ROW(DE$359:DE$407)-ROW(DE$359)+1)/(DE$359:DE$407&lt;&gt;""),ROWS(DL$1:DL10))),"")</f>
        <v>10</v>
      </c>
      <c r="DM368" s="165">
        <f>IFERROR(INDEX(DF$359:DF$407,_xlfn.AGGREGATE(15,6,(ROW(DF$359:DF$407)-ROW(DF$359)+1)/(DF$359:DF$407&lt;&gt;""),ROWS(DM$1:DM10))),"")</f>
        <v>249.365333492757</v>
      </c>
      <c r="DN368" s="166">
        <f t="shared" si="192"/>
        <v>368</v>
      </c>
      <c r="DO368" s="164">
        <f>IFERROR(INDEX(DG$359:DG$407,_xlfn.AGGREGATE(15,6,(ROW(DG$359:DG$407)-ROW(DG$359)+1)/(DG$359:DG$407&lt;&gt;""),ROWS(DO$1:DO10))),"")</f>
        <v>10</v>
      </c>
      <c r="DP368" s="165">
        <f>IFERROR(INDEX(DH$359:DH$407,_xlfn.AGGREGATE(15,6,(ROW(DH$359:DH$407)-ROW(DH$359)+1)/(DH$359:DH$407&lt;&gt;""),ROWS(DP$1:DP10))),"")</f>
        <v>315.53197163255828</v>
      </c>
      <c r="DQ368" s="166">
        <f t="shared" si="193"/>
        <v>368</v>
      </c>
      <c r="DV368" s="145">
        <v>2024</v>
      </c>
      <c r="DW368" s="235">
        <f t="shared" ca="1" si="177"/>
        <v>249.44730233910337</v>
      </c>
      <c r="DZ368" s="135" t="s">
        <v>92</v>
      </c>
      <c r="EA368" s="33">
        <f t="shared" ref="EA368:EB370" si="210">IF($EA$357="Linear",0,IF($EA$357="2nd Poly",0,IF($EA$357="3rd Poly",0,IF($EA$357="Exp",CR360))))</f>
        <v>0</v>
      </c>
      <c r="EB368" s="33">
        <f t="shared" si="210"/>
        <v>0</v>
      </c>
      <c r="EC368" s="33" t="str">
        <f>IF($EA$357="Linear","N/A",IF($EA$357="2nd Poly","N/A",IF($EA$357="3rd Poly","N/A","High")))</f>
        <v>N/A</v>
      </c>
      <c r="ED368" s="33"/>
      <c r="EE368" s="33"/>
    </row>
    <row r="369" spans="1:135" ht="13.8" x14ac:dyDescent="0.45">
      <c r="A369" s="148" t="s">
        <v>88</v>
      </c>
      <c r="B369" s="128">
        <v>2022</v>
      </c>
      <c r="C369" s="244">
        <f>'Total MSW Summaries (Archive)'!H13</f>
        <v>208.07450236737674</v>
      </c>
      <c r="D369" s="244">
        <f>'Total MSW Summaries (Archive)'!T13</f>
        <v>303.78877345637005</v>
      </c>
      <c r="E369" s="244">
        <f>'Total MSW Summaries (Archive)'!AF13</f>
        <v>222.64799999999991</v>
      </c>
      <c r="F369" s="244">
        <f>'Total MSW Summaries (Archive)'!AR13</f>
        <v>308.80402171775478</v>
      </c>
      <c r="G369" s="244">
        <f>'Total MSW Summaries (Archive)'!BD13</f>
        <v>146.13513513513507</v>
      </c>
      <c r="H369" s="200"/>
      <c r="I369" s="201"/>
      <c r="J369" s="199"/>
      <c r="K369" s="200"/>
      <c r="L369" s="201"/>
      <c r="M369" s="200"/>
      <c r="N369" s="29" t="s">
        <v>119</v>
      </c>
      <c r="O369" s="120"/>
      <c r="P369" s="120"/>
      <c r="Q369" s="120"/>
      <c r="R369" s="29">
        <v>8</v>
      </c>
      <c r="S369" s="202">
        <f t="shared" si="178"/>
        <v>146.13513513513507</v>
      </c>
      <c r="T369" s="202">
        <f t="shared" si="179"/>
        <v>308.80402171775478</v>
      </c>
      <c r="U369" s="202">
        <f t="shared" si="180"/>
        <v>61.500706514077386</v>
      </c>
      <c r="V369" s="20"/>
      <c r="W369" s="238">
        <f t="shared" si="181"/>
        <v>176.38938002124988</v>
      </c>
      <c r="X369" s="238">
        <f t="shared" si="182"/>
        <v>237.89008653532727</v>
      </c>
      <c r="Y369" s="238">
        <f t="shared" si="183"/>
        <v>299.39079304940464</v>
      </c>
      <c r="AA369" s="120"/>
      <c r="AB369" s="120"/>
      <c r="AC369" s="120"/>
      <c r="AD369" s="120"/>
      <c r="AE369" s="120"/>
      <c r="AF369" s="120"/>
      <c r="AG369" s="120"/>
      <c r="AH369" s="120"/>
      <c r="AI369" s="120"/>
      <c r="AJ369" s="120"/>
      <c r="AK369" s="120"/>
      <c r="AL369" s="120"/>
      <c r="AM369" s="120"/>
      <c r="AN369" s="120"/>
      <c r="BR369" s="180">
        <v>2020</v>
      </c>
      <c r="BS369" s="22">
        <v>6</v>
      </c>
      <c r="BT369" s="198">
        <f t="shared" si="194"/>
        <v>32.908703484500315</v>
      </c>
      <c r="BU369" s="276">
        <f t="shared" si="195"/>
        <v>193.74711198597203</v>
      </c>
      <c r="BV369" s="203">
        <f t="shared" si="196"/>
        <v>226.65581547047233</v>
      </c>
      <c r="BY369" s="180">
        <v>2020</v>
      </c>
      <c r="BZ369" s="22">
        <v>6</v>
      </c>
      <c r="CA369" s="198">
        <f t="shared" ca="1" si="197"/>
        <v>-0.71767689347404084</v>
      </c>
      <c r="CB369" s="198">
        <f t="shared" ca="1" si="198"/>
        <v>36.73631358302854</v>
      </c>
      <c r="CC369" s="276">
        <f t="shared" ca="1" si="209"/>
        <v>190.2384693956545</v>
      </c>
      <c r="CD369" s="203">
        <f t="shared" ca="1" si="199"/>
        <v>226.25710608520899</v>
      </c>
      <c r="CG369" s="180">
        <v>2020</v>
      </c>
      <c r="CH369" s="22">
        <v>6</v>
      </c>
      <c r="CI369" s="198">
        <f t="shared" ca="1" si="200"/>
        <v>-8.2851546395977995E-3</v>
      </c>
      <c r="CJ369" s="198">
        <f t="shared" ca="1" si="201"/>
        <v>-0.65139565635725105</v>
      </c>
      <c r="CK369" s="198">
        <f t="shared" ca="1" si="202"/>
        <v>36.592658207305249</v>
      </c>
      <c r="CL369" s="276">
        <f t="shared" ca="1" si="203"/>
        <v>190.307328236437</v>
      </c>
      <c r="CM369" s="203">
        <f t="shared" ca="1" si="204"/>
        <v>226.24030563274539</v>
      </c>
      <c r="CP369" s="180">
        <v>2020</v>
      </c>
      <c r="CQ369" s="22">
        <v>6</v>
      </c>
      <c r="CR369" s="198">
        <f t="shared" ca="1" si="205"/>
        <v>201.37697433285535</v>
      </c>
      <c r="CS369" s="276">
        <f t="shared" ca="1" si="206"/>
        <v>1.1271524106986495</v>
      </c>
      <c r="CT369" s="203">
        <f t="shared" ca="1" si="207"/>
        <v>226.98254207847796</v>
      </c>
      <c r="CZ369" s="164" t="b">
        <f t="shared" si="184"/>
        <v>1</v>
      </c>
      <c r="DA369" s="165" t="b">
        <f t="shared" si="184"/>
        <v>1</v>
      </c>
      <c r="DB369" s="166" t="b">
        <f t="shared" si="184"/>
        <v>1</v>
      </c>
      <c r="DC369" s="164">
        <f t="shared" si="185"/>
        <v>8</v>
      </c>
      <c r="DD369" s="166">
        <f t="shared" si="186"/>
        <v>176.38938002124988</v>
      </c>
      <c r="DE369" s="164">
        <f t="shared" si="187"/>
        <v>8</v>
      </c>
      <c r="DF369" s="166">
        <f t="shared" si="188"/>
        <v>237.89008653532727</v>
      </c>
      <c r="DG369" s="164">
        <f t="shared" si="189"/>
        <v>8</v>
      </c>
      <c r="DH369" s="166">
        <f t="shared" si="190"/>
        <v>299.39079304940464</v>
      </c>
      <c r="DI369" s="164">
        <f>IFERROR(INDEX(DC$359:DC$407,_xlfn.AGGREGATE(15,6,(ROW(DC$359:DC$407)-ROW(DC$359)+1)/(DC$359:DC$407&lt;&gt;""),ROWS(DI$1:DI11))),"")</f>
        <v>11</v>
      </c>
      <c r="DJ369" s="165">
        <f>IFERROR(INDEX(DD$359:DD$407,_xlfn.AGGREGATE(15,6,(ROW(DD$359:DD$407)-ROW(DD$359)+1)/(DD$359:DD$407&lt;&gt;""),ROWS(DJ$1:DJ11))),"")</f>
        <v>186.49280367319381</v>
      </c>
      <c r="DK369" s="166">
        <f t="shared" si="191"/>
        <v>369</v>
      </c>
      <c r="DL369" s="164">
        <f>IFERROR(INDEX(DE$359:DE$407,_xlfn.AGGREGATE(15,6,(ROW(DE$359:DE$407)-ROW(DE$359)+1)/(DE$359:DE$407&lt;&gt;""),ROWS(DL$1:DL11))),"")</f>
        <v>11</v>
      </c>
      <c r="DM369" s="165">
        <f>IFERROR(INDEX(DF$359:DF$407,_xlfn.AGGREGATE(15,6,(ROW(DF$359:DF$407)-ROW(DF$359)+1)/(DF$359:DF$407&lt;&gt;""),ROWS(DM$1:DM11))),"")</f>
        <v>255.21810593733599</v>
      </c>
      <c r="DN369" s="166">
        <f t="shared" si="192"/>
        <v>369</v>
      </c>
      <c r="DO369" s="164">
        <f>IFERROR(INDEX(DG$359:DG$407,_xlfn.AGGREGATE(15,6,(ROW(DG$359:DG$407)-ROW(DG$359)+1)/(DG$359:DG$407&lt;&gt;""),ROWS(DO$1:DO11))),"")</f>
        <v>11</v>
      </c>
      <c r="DP369" s="165">
        <f>IFERROR(INDEX(DH$359:DH$407,_xlfn.AGGREGATE(15,6,(ROW(DH$359:DH$407)-ROW(DH$359)+1)/(DH$359:DH$407&lt;&gt;""),ROWS(DP$1:DP11))),"")</f>
        <v>323.94340820147818</v>
      </c>
      <c r="DQ369" s="166">
        <f t="shared" si="193"/>
        <v>369</v>
      </c>
      <c r="DV369" s="145">
        <v>2025</v>
      </c>
      <c r="DW369" s="235">
        <f t="shared" ca="1" si="177"/>
        <v>255.15340167510465</v>
      </c>
      <c r="DZ369" s="135" t="s">
        <v>92</v>
      </c>
      <c r="EA369" s="33">
        <f t="shared" si="210"/>
        <v>0</v>
      </c>
      <c r="EB369" s="33">
        <f t="shared" si="210"/>
        <v>0</v>
      </c>
      <c r="EC369" s="33" t="str">
        <f>IF($EA$357="Linear","N/A",IF($EA$357="2nd Poly","N/A",IF($EA$357="3rd Poly","N/A","Medium")))</f>
        <v>N/A</v>
      </c>
    </row>
    <row r="370" spans="1:135" ht="13.8" x14ac:dyDescent="0.45">
      <c r="B370" s="128">
        <v>2023</v>
      </c>
      <c r="C370" s="244">
        <f>'Total MSW Summaries (Archive)'!H14</f>
        <v>210.46707260008574</v>
      </c>
      <c r="D370" s="244">
        <f>'Total MSW Summaries (Archive)'!T14</f>
        <v>314.11041324048352</v>
      </c>
      <c r="E370" s="244">
        <f>'Total MSW Summaries (Archive)'!AF14</f>
        <v>230.1339999999999</v>
      </c>
      <c r="F370" s="244">
        <f>'Total MSW Summaries (Archive)'!AR14</f>
        <v>314.89306172054654</v>
      </c>
      <c r="G370" s="244">
        <f>'Total MSW Summaries (Archive)'!BD14</f>
        <v>148.59459459459453</v>
      </c>
      <c r="H370" s="200"/>
      <c r="I370" s="201"/>
      <c r="J370" s="199"/>
      <c r="K370" s="200"/>
      <c r="L370" s="201"/>
      <c r="M370" s="200"/>
      <c r="N370" s="29" t="s">
        <v>119</v>
      </c>
      <c r="O370" s="120"/>
      <c r="P370" s="120"/>
      <c r="Q370" s="120"/>
      <c r="R370" s="29">
        <v>9</v>
      </c>
      <c r="S370" s="202">
        <f t="shared" si="178"/>
        <v>148.59459459459453</v>
      </c>
      <c r="T370" s="202">
        <f t="shared" si="179"/>
        <v>314.89306172054654</v>
      </c>
      <c r="U370" s="202">
        <f t="shared" si="180"/>
        <v>63.811538429420715</v>
      </c>
      <c r="V370" s="20"/>
      <c r="W370" s="238">
        <f t="shared" si="181"/>
        <v>179.82829000172131</v>
      </c>
      <c r="X370" s="238">
        <f t="shared" si="182"/>
        <v>243.63982843114204</v>
      </c>
      <c r="Y370" s="238">
        <f t="shared" si="183"/>
        <v>307.45136686056276</v>
      </c>
      <c r="AA370" s="120"/>
      <c r="AB370" s="120"/>
      <c r="AC370" s="120"/>
      <c r="AD370" s="120"/>
      <c r="AE370" s="120"/>
      <c r="AF370" s="120"/>
      <c r="AG370" s="120"/>
      <c r="AH370" s="120"/>
      <c r="AI370" s="120"/>
      <c r="AJ370" s="120"/>
      <c r="AK370" s="120"/>
      <c r="AL370" s="120"/>
      <c r="AM370" s="120"/>
      <c r="AN370" s="120"/>
      <c r="BR370" s="180">
        <v>2021</v>
      </c>
      <c r="BS370" s="22">
        <v>7</v>
      </c>
      <c r="BT370" s="198">
        <f t="shared" si="194"/>
        <v>38.393487398583702</v>
      </c>
      <c r="BU370" s="276">
        <f t="shared" si="195"/>
        <v>193.74711198597203</v>
      </c>
      <c r="BV370" s="205">
        <f t="shared" si="196"/>
        <v>232.14059938455574</v>
      </c>
      <c r="BY370" s="180">
        <v>2021</v>
      </c>
      <c r="BZ370" s="22">
        <v>7</v>
      </c>
      <c r="CA370" s="198">
        <f t="shared" ca="1" si="197"/>
        <v>-0.97683799389522219</v>
      </c>
      <c r="CB370" s="198">
        <f t="shared" ca="1" si="198"/>
        <v>42.859032513533293</v>
      </c>
      <c r="CC370" s="276">
        <f t="shared" ca="1" si="209"/>
        <v>190.2384693956545</v>
      </c>
      <c r="CD370" s="205">
        <f t="shared" ca="1" si="199"/>
        <v>232.12066391529257</v>
      </c>
      <c r="CG370" s="180">
        <v>2021</v>
      </c>
      <c r="CH370" s="22">
        <v>7</v>
      </c>
      <c r="CI370" s="198">
        <f t="shared" ca="1" si="200"/>
        <v>-1.3156518710102061E-2</v>
      </c>
      <c r="CJ370" s="198">
        <f t="shared" ca="1" si="201"/>
        <v>-0.88662186559736944</v>
      </c>
      <c r="CK370" s="198">
        <f t="shared" ca="1" si="202"/>
        <v>42.691434575189454</v>
      </c>
      <c r="CL370" s="276">
        <f t="shared" ca="1" si="203"/>
        <v>190.307328236437</v>
      </c>
      <c r="CM370" s="205">
        <f t="shared" ca="1" si="204"/>
        <v>232.09898442731898</v>
      </c>
      <c r="CP370" s="180">
        <v>2021</v>
      </c>
      <c r="CQ370" s="22">
        <v>7</v>
      </c>
      <c r="CR370" s="198">
        <f t="shared" ca="1" si="205"/>
        <v>201.37697433285535</v>
      </c>
      <c r="CS370" s="276">
        <f t="shared" ca="1" si="206"/>
        <v>1.149863843738778</v>
      </c>
      <c r="CT370" s="205">
        <f t="shared" ca="1" si="207"/>
        <v>231.55610174686231</v>
      </c>
      <c r="CZ370" s="164" t="b">
        <f t="shared" si="184"/>
        <v>1</v>
      </c>
      <c r="DA370" s="165" t="b">
        <f t="shared" si="184"/>
        <v>1</v>
      </c>
      <c r="DB370" s="166" t="b">
        <f t="shared" si="184"/>
        <v>1</v>
      </c>
      <c r="DC370" s="164">
        <f t="shared" si="185"/>
        <v>9</v>
      </c>
      <c r="DD370" s="166">
        <f t="shared" si="186"/>
        <v>179.82829000172131</v>
      </c>
      <c r="DE370" s="164">
        <f t="shared" si="187"/>
        <v>9</v>
      </c>
      <c r="DF370" s="166">
        <f t="shared" si="188"/>
        <v>243.63982843114204</v>
      </c>
      <c r="DG370" s="164">
        <f t="shared" si="189"/>
        <v>9</v>
      </c>
      <c r="DH370" s="166">
        <f t="shared" si="190"/>
        <v>307.45136686056276</v>
      </c>
      <c r="DI370" s="164">
        <f>IFERROR(INDEX(DC$359:DC$407,_xlfn.AGGREGATE(15,6,(ROW(DC$359:DC$407)-ROW(DC$359)+1)/(DC$359:DC$407&lt;&gt;""),ROWS(DI$1:DI12))),"")</f>
        <v>12</v>
      </c>
      <c r="DJ370" s="165">
        <f>IFERROR(INDEX(DD$359:DD$407,_xlfn.AGGREGATE(15,6,(ROW(DD$359:DD$407)-ROW(DD$359)+1)/(DD$359:DD$407&lt;&gt;""),ROWS(DJ$1:DJ12))),"")</f>
        <v>189.73033647356806</v>
      </c>
      <c r="DK370" s="166">
        <f t="shared" si="191"/>
        <v>370</v>
      </c>
      <c r="DL370" s="164">
        <f>IFERROR(INDEX(DE$359:DE$407,_xlfn.AGGREGATE(15,6,(ROW(DE$359:DE$407)-ROW(DE$359)+1)/(DE$359:DE$407&lt;&gt;""),ROWS(DL$1:DL12))),"")</f>
        <v>12</v>
      </c>
      <c r="DM370" s="165">
        <f>IFERROR(INDEX(DF$359:DF$407,_xlfn.AGGREGATE(15,6,(ROW(DF$359:DF$407)-ROW(DF$359)+1)/(DF$359:DF$407&lt;&gt;""),ROWS(DM$1:DM12))),"")</f>
        <v>260.73624263039829</v>
      </c>
      <c r="DN370" s="166">
        <f t="shared" si="192"/>
        <v>370</v>
      </c>
      <c r="DO370" s="164">
        <f>IFERROR(INDEX(DG$359:DG$407,_xlfn.AGGREGATE(15,6,(ROW(DG$359:DG$407)-ROW(DG$359)+1)/(DG$359:DG$407&lt;&gt;""),ROWS(DO$1:DO12))),"")</f>
        <v>12</v>
      </c>
      <c r="DP370" s="165">
        <f>IFERROR(INDEX(DH$359:DH$407,_xlfn.AGGREGATE(15,6,(ROW(DH$359:DH$407)-ROW(DH$359)+1)/(DH$359:DH$407&lt;&gt;""),ROWS(DP$1:DP12))),"")</f>
        <v>331.74214878722853</v>
      </c>
      <c r="DQ370" s="166">
        <f t="shared" si="193"/>
        <v>370</v>
      </c>
      <c r="DV370" s="145">
        <v>2026</v>
      </c>
      <c r="DW370" s="235">
        <f t="shared" ca="1" si="177"/>
        <v>260.82078078850168</v>
      </c>
      <c r="DZ370" s="135" t="s">
        <v>92</v>
      </c>
      <c r="EA370" s="33">
        <f t="shared" si="210"/>
        <v>0</v>
      </c>
      <c r="EB370" s="33">
        <f t="shared" si="210"/>
        <v>0</v>
      </c>
      <c r="EC370" s="33" t="str">
        <f>IF($EA$357="Linear","N/A",IF($EA$357="2nd Poly","N/A",IF($EA$357="3rd Poly","N/A","Low")))</f>
        <v>N/A</v>
      </c>
    </row>
    <row r="371" spans="1:135" ht="13.8" x14ac:dyDescent="0.45">
      <c r="B371" s="128">
        <v>2024</v>
      </c>
      <c r="C371" s="244">
        <f>'Total MSW Summaries (Archive)'!H15</f>
        <v>212.8272867682324</v>
      </c>
      <c r="D371" s="244">
        <f>'Total MSW Summaries (Archive)'!T15</f>
        <v>324.53796484524679</v>
      </c>
      <c r="E371" s="244">
        <f>'Total MSW Summaries (Archive)'!AF15</f>
        <v>237.61999999999989</v>
      </c>
      <c r="F371" s="244">
        <f>'Total MSW Summaries (Archive)'!AR15</f>
        <v>320.78736179625207</v>
      </c>
      <c r="G371" s="244">
        <f>'Total MSW Summaries (Archive)'!BD15</f>
        <v>151.05405405405398</v>
      </c>
      <c r="H371" s="245"/>
      <c r="I371" s="246"/>
      <c r="J371" s="247"/>
      <c r="K371" s="245"/>
      <c r="L371" s="246"/>
      <c r="M371" s="245"/>
      <c r="N371" s="29" t="s">
        <v>119</v>
      </c>
      <c r="O371" s="120"/>
      <c r="P371" s="120"/>
      <c r="Q371" s="120"/>
      <c r="R371" s="29">
        <v>10</v>
      </c>
      <c r="S371" s="238">
        <f t="shared" si="178"/>
        <v>151.05405405405398</v>
      </c>
      <c r="T371" s="238">
        <f t="shared" si="179"/>
        <v>324.53796484524679</v>
      </c>
      <c r="U371" s="238">
        <f t="shared" si="180"/>
        <v>66.166638139801279</v>
      </c>
      <c r="V371" s="20"/>
      <c r="W371" s="238">
        <f t="shared" si="181"/>
        <v>183.19869535295572</v>
      </c>
      <c r="X371" s="238">
        <f t="shared" si="182"/>
        <v>249.365333492757</v>
      </c>
      <c r="Y371" s="238">
        <f t="shared" si="183"/>
        <v>315.53197163255828</v>
      </c>
      <c r="AA371" s="120"/>
      <c r="AB371" s="120"/>
      <c r="AC371" s="120"/>
      <c r="AD371" s="120"/>
      <c r="AE371" s="120"/>
      <c r="AF371" s="120"/>
      <c r="AG371" s="120"/>
      <c r="AH371" s="120"/>
      <c r="AI371" s="120"/>
      <c r="AJ371" s="120"/>
      <c r="AK371" s="120"/>
      <c r="AL371" s="120"/>
      <c r="AM371" s="120"/>
      <c r="AN371" s="120"/>
      <c r="BR371" s="180">
        <v>2022</v>
      </c>
      <c r="BS371" s="22">
        <v>8</v>
      </c>
      <c r="BT371" s="198">
        <f t="shared" si="194"/>
        <v>43.878271312667088</v>
      </c>
      <c r="BU371" s="276">
        <f t="shared" si="195"/>
        <v>193.74711198597203</v>
      </c>
      <c r="BV371" s="205">
        <f t="shared" si="196"/>
        <v>237.62538329863912</v>
      </c>
      <c r="BY371" s="180">
        <v>2022</v>
      </c>
      <c r="BZ371" s="22">
        <v>8</v>
      </c>
      <c r="CA371" s="198">
        <f t="shared" ca="1" si="197"/>
        <v>-1.2758700328427393</v>
      </c>
      <c r="CB371" s="198">
        <f t="shared" ca="1" si="198"/>
        <v>48.981751444038053</v>
      </c>
      <c r="CC371" s="276">
        <f t="shared" ca="1" si="209"/>
        <v>190.2384693956545</v>
      </c>
      <c r="CD371" s="205">
        <f t="shared" ca="1" si="199"/>
        <v>237.94435080684983</v>
      </c>
      <c r="CG371" s="180">
        <v>2022</v>
      </c>
      <c r="CH371" s="22">
        <v>8</v>
      </c>
      <c r="CI371" s="198">
        <f t="shared" ca="1" si="200"/>
        <v>-1.9638885071639228E-2</v>
      </c>
      <c r="CJ371" s="198">
        <f t="shared" ca="1" si="201"/>
        <v>-1.1580367224128907</v>
      </c>
      <c r="CK371" s="198">
        <f t="shared" ca="1" si="202"/>
        <v>48.79021094307366</v>
      </c>
      <c r="CL371" s="276">
        <f t="shared" ca="1" si="203"/>
        <v>190.307328236437</v>
      </c>
      <c r="CM371" s="205">
        <f t="shared" ca="1" si="204"/>
        <v>237.91986357202614</v>
      </c>
      <c r="CP371" s="180">
        <v>2022</v>
      </c>
      <c r="CQ371" s="22">
        <v>8</v>
      </c>
      <c r="CR371" s="198">
        <f t="shared" ca="1" si="205"/>
        <v>201.37697433285535</v>
      </c>
      <c r="CS371" s="276">
        <f t="shared" ca="1" si="206"/>
        <v>1.1730328982911711</v>
      </c>
      <c r="CT371" s="205">
        <f t="shared" ca="1" si="207"/>
        <v>236.2218158507761</v>
      </c>
      <c r="CZ371" s="164" t="b">
        <f t="shared" si="184"/>
        <v>1</v>
      </c>
      <c r="DA371" s="165" t="b">
        <f t="shared" si="184"/>
        <v>1</v>
      </c>
      <c r="DB371" s="166" t="b">
        <f t="shared" si="184"/>
        <v>1</v>
      </c>
      <c r="DC371" s="164">
        <f t="shared" si="185"/>
        <v>10</v>
      </c>
      <c r="DD371" s="166">
        <f t="shared" si="186"/>
        <v>183.19869535295572</v>
      </c>
      <c r="DE371" s="164">
        <f t="shared" si="187"/>
        <v>10</v>
      </c>
      <c r="DF371" s="166">
        <f t="shared" si="188"/>
        <v>249.365333492757</v>
      </c>
      <c r="DG371" s="164">
        <f t="shared" si="189"/>
        <v>10</v>
      </c>
      <c r="DH371" s="166">
        <f t="shared" si="190"/>
        <v>315.53197163255828</v>
      </c>
      <c r="DI371" s="164">
        <f>IFERROR(INDEX(DC$359:DC$407,_xlfn.AGGREGATE(15,6,(ROW(DC$359:DC$407)-ROW(DC$359)+1)/(DC$359:DC$407&lt;&gt;""),ROWS(DI$1:DI13))),"")</f>
        <v>13</v>
      </c>
      <c r="DJ371" s="165">
        <f>IFERROR(INDEX(DD$359:DD$407,_xlfn.AGGREGATE(15,6,(ROW(DD$359:DD$407)-ROW(DD$359)+1)/(DD$359:DD$407&lt;&gt;""),ROWS(DJ$1:DJ13))),"")</f>
        <v>192.8897404534539</v>
      </c>
      <c r="DK371" s="166">
        <f t="shared" si="191"/>
        <v>371</v>
      </c>
      <c r="DL371" s="164">
        <f>IFERROR(INDEX(DE$359:DE$407,_xlfn.AGGREGATE(15,6,(ROW(DE$359:DE$407)-ROW(DE$359)+1)/(DE$359:DE$407&lt;&gt;""),ROWS(DL$1:DL13))),"")</f>
        <v>13</v>
      </c>
      <c r="DM371" s="165">
        <f>IFERROR(INDEX(DF$359:DF$407,_xlfn.AGGREGATE(15,6,(ROW(DF$359:DF$407)-ROW(DF$359)+1)/(DF$359:DF$407&lt;&gt;""),ROWS(DM$1:DM13))),"")</f>
        <v>266.37921585926608</v>
      </c>
      <c r="DN371" s="166">
        <f t="shared" si="192"/>
        <v>371</v>
      </c>
      <c r="DO371" s="164">
        <f>IFERROR(INDEX(DG$359:DG$407,_xlfn.AGGREGATE(15,6,(ROW(DG$359:DG$407)-ROW(DG$359)+1)/(DG$359:DG$407&lt;&gt;""),ROWS(DO$1:DO13))),"")</f>
        <v>13</v>
      </c>
      <c r="DP371" s="165">
        <f>IFERROR(INDEX(DH$359:DH$407,_xlfn.AGGREGATE(15,6,(ROW(DH$359:DH$407)-ROW(DH$359)+1)/(DH$359:DH$407&lt;&gt;""),ROWS(DP$1:DP13))),"")</f>
        <v>339.86869126507827</v>
      </c>
      <c r="DQ371" s="166">
        <f t="shared" si="193"/>
        <v>371</v>
      </c>
      <c r="DV371" s="145">
        <v>2027</v>
      </c>
      <c r="DW371" s="235">
        <f t="shared" ca="1" si="177"/>
        <v>266.44920953611017</v>
      </c>
    </row>
    <row r="372" spans="1:135" ht="13.8" x14ac:dyDescent="0.45">
      <c r="B372" s="128">
        <v>2025</v>
      </c>
      <c r="C372" s="244">
        <f>'Total MSW Summaries (Archive)'!H16</f>
        <v>215.1530474799616</v>
      </c>
      <c r="D372" s="244">
        <f>'Total MSW Summaries (Archive)'!T16</f>
        <v>335.0650126087935</v>
      </c>
      <c r="E372" s="244">
        <f>'Total MSW Summaries (Archive)'!AF16</f>
        <v>245.10599999999988</v>
      </c>
      <c r="F372" s="244">
        <f>'Total MSW Summaries (Archive)'!AR16</f>
        <v>327.25295608441138</v>
      </c>
      <c r="G372" s="244">
        <f>'Total MSW Summaries (Archive)'!BD16</f>
        <v>153.51351351351343</v>
      </c>
      <c r="H372" s="245"/>
      <c r="I372" s="246"/>
      <c r="J372" s="247"/>
      <c r="K372" s="245"/>
      <c r="L372" s="246"/>
      <c r="M372" s="245"/>
      <c r="N372" s="29" t="s">
        <v>119</v>
      </c>
      <c r="O372" s="120"/>
      <c r="P372" s="120"/>
      <c r="Q372" s="120"/>
      <c r="R372" s="29">
        <v>11</v>
      </c>
      <c r="S372" s="238">
        <f t="shared" si="178"/>
        <v>153.51351351351343</v>
      </c>
      <c r="T372" s="238">
        <f t="shared" si="179"/>
        <v>335.0650126087935</v>
      </c>
      <c r="U372" s="238">
        <f t="shared" si="180"/>
        <v>68.725302264142186</v>
      </c>
      <c r="W372" s="238">
        <f t="shared" si="181"/>
        <v>186.49280367319381</v>
      </c>
      <c r="X372" s="238">
        <f t="shared" si="182"/>
        <v>255.21810593733599</v>
      </c>
      <c r="Y372" s="238">
        <f t="shared" si="183"/>
        <v>323.94340820147818</v>
      </c>
      <c r="AA372" s="120"/>
      <c r="AB372" s="120"/>
      <c r="AC372" s="120"/>
      <c r="AD372" s="120"/>
      <c r="AE372" s="120"/>
      <c r="AF372" s="120"/>
      <c r="AG372" s="120"/>
      <c r="AH372" s="120"/>
      <c r="AI372" s="120"/>
      <c r="AJ372" s="120"/>
      <c r="AK372" s="120"/>
      <c r="AL372" s="120"/>
      <c r="AM372" s="120"/>
      <c r="AN372" s="120"/>
      <c r="BR372" s="180">
        <v>2023</v>
      </c>
      <c r="BS372" s="22">
        <v>9</v>
      </c>
      <c r="BT372" s="198">
        <f t="shared" si="194"/>
        <v>49.363055226750475</v>
      </c>
      <c r="BU372" s="276">
        <f t="shared" si="195"/>
        <v>193.74711198597203</v>
      </c>
      <c r="BV372" s="205">
        <f t="shared" si="196"/>
        <v>243.1101672127225</v>
      </c>
      <c r="BY372" s="180">
        <v>2023</v>
      </c>
      <c r="BZ372" s="22">
        <v>9</v>
      </c>
      <c r="CA372" s="198">
        <f t="shared" ca="1" si="197"/>
        <v>-1.6147730103165918</v>
      </c>
      <c r="CB372" s="198">
        <f t="shared" ca="1" si="198"/>
        <v>55.104470374542814</v>
      </c>
      <c r="CC372" s="276">
        <f t="shared" ca="1" si="209"/>
        <v>190.2384693956545</v>
      </c>
      <c r="CD372" s="205">
        <f t="shared" ca="1" si="199"/>
        <v>243.72816675988074</v>
      </c>
      <c r="CG372" s="180">
        <v>2023</v>
      </c>
      <c r="CH372" s="22">
        <v>9</v>
      </c>
      <c r="CI372" s="198">
        <f t="shared" ca="1" si="200"/>
        <v>-2.7962396908642571E-2</v>
      </c>
      <c r="CJ372" s="198">
        <f t="shared" ca="1" si="201"/>
        <v>-1.4656402268038147</v>
      </c>
      <c r="CK372" s="198">
        <f t="shared" ca="1" si="202"/>
        <v>54.888987310957866</v>
      </c>
      <c r="CL372" s="276">
        <f t="shared" ca="1" si="203"/>
        <v>190.307328236437</v>
      </c>
      <c r="CM372" s="205">
        <f t="shared" ca="1" si="204"/>
        <v>243.70271292368241</v>
      </c>
      <c r="CP372" s="180">
        <v>2023</v>
      </c>
      <c r="CQ372" s="22">
        <v>9</v>
      </c>
      <c r="CR372" s="198">
        <f t="shared" ca="1" si="205"/>
        <v>201.37697433285535</v>
      </c>
      <c r="CS372" s="276">
        <f t="shared" ca="1" si="206"/>
        <v>1.1966687951499595</v>
      </c>
      <c r="CT372" s="205">
        <f t="shared" ca="1" si="207"/>
        <v>240.98154124584232</v>
      </c>
      <c r="CZ372" s="164" t="b">
        <f t="shared" si="184"/>
        <v>1</v>
      </c>
      <c r="DA372" s="165" t="b">
        <f t="shared" si="184"/>
        <v>1</v>
      </c>
      <c r="DB372" s="166" t="b">
        <f t="shared" si="184"/>
        <v>1</v>
      </c>
      <c r="DC372" s="164">
        <f t="shared" si="185"/>
        <v>11</v>
      </c>
      <c r="DD372" s="166">
        <f t="shared" si="186"/>
        <v>186.49280367319381</v>
      </c>
      <c r="DE372" s="164">
        <f t="shared" si="187"/>
        <v>11</v>
      </c>
      <c r="DF372" s="166">
        <f t="shared" si="188"/>
        <v>255.21810593733599</v>
      </c>
      <c r="DG372" s="164">
        <f t="shared" si="189"/>
        <v>11</v>
      </c>
      <c r="DH372" s="166">
        <f t="shared" si="190"/>
        <v>323.94340820147818</v>
      </c>
      <c r="DI372" s="164">
        <f>IFERROR(INDEX(DC$359:DC$407,_xlfn.AGGREGATE(15,6,(ROW(DC$359:DC$407)-ROW(DC$359)+1)/(DC$359:DC$407&lt;&gt;""),ROWS(DI$1:DI14))),"")</f>
        <v>14</v>
      </c>
      <c r="DJ372" s="165">
        <f>IFERROR(INDEX(DD$359:DD$407,_xlfn.AGGREGATE(15,6,(ROW(DD$359:DD$407)-ROW(DD$359)+1)/(DD$359:DD$407&lt;&gt;""),ROWS(DJ$1:DJ14))),"")</f>
        <v>195.97711027937746</v>
      </c>
      <c r="DK372" s="166">
        <f t="shared" si="191"/>
        <v>372</v>
      </c>
      <c r="DL372" s="164">
        <f>IFERROR(INDEX(DE$359:DE$407,_xlfn.AGGREGATE(15,6,(ROW(DE$359:DE$407)-ROW(DE$359)+1)/(DE$359:DE$407&lt;&gt;""),ROWS(DL$1:DL14))),"")</f>
        <v>14</v>
      </c>
      <c r="DM372" s="165">
        <f>IFERROR(INDEX(DF$359:DF$407,_xlfn.AGGREGATE(15,6,(ROW(DF$359:DF$407)-ROW(DF$359)+1)/(DF$359:DF$407&lt;&gt;""),ROWS(DM$1:DM14))),"")</f>
        <v>271.99304750401751</v>
      </c>
      <c r="DN372" s="166">
        <f t="shared" si="192"/>
        <v>372</v>
      </c>
      <c r="DO372" s="164">
        <f>IFERROR(INDEX(DG$359:DG$407,_xlfn.AGGREGATE(15,6,(ROW(DG$359:DG$407)-ROW(DG$359)+1)/(DG$359:DG$407&lt;&gt;""),ROWS(DO$1:DO14))),"")</f>
        <v>14</v>
      </c>
      <c r="DP372" s="165">
        <f>IFERROR(INDEX(DH$359:DH$407,_xlfn.AGGREGATE(15,6,(ROW(DH$359:DH$407)-ROW(DH$359)+1)/(DH$359:DH$407&lt;&gt;""),ROWS(DP$1:DP14))),"")</f>
        <v>348.00898472865754</v>
      </c>
      <c r="DQ372" s="166">
        <f t="shared" si="193"/>
        <v>372</v>
      </c>
      <c r="DV372" s="145">
        <v>2028</v>
      </c>
      <c r="DW372" s="235">
        <f t="shared" ca="1" si="177"/>
        <v>272.03845777474561</v>
      </c>
    </row>
    <row r="373" spans="1:135" ht="13.8" x14ac:dyDescent="0.45">
      <c r="B373" s="128">
        <v>2026</v>
      </c>
      <c r="C373" s="244">
        <f>'Total MSW Summaries (Archive)'!H17</f>
        <v>217.44273023653122</v>
      </c>
      <c r="D373" s="244">
        <f>'Total MSW Summaries (Archive)'!T17</f>
        <v>345.6856204693654</v>
      </c>
      <c r="E373" s="244">
        <f>'Total MSW Summaries (Archive)'!AF17</f>
        <v>252.59199999999987</v>
      </c>
      <c r="F373" s="244">
        <f>'Total MSW Summaries (Archive)'!AR17</f>
        <v>331.98788947312192</v>
      </c>
      <c r="G373" s="244">
        <f>'Total MSW Summaries (Archive)'!BD17</f>
        <v>155.97297297297288</v>
      </c>
      <c r="H373" s="245"/>
      <c r="I373" s="246"/>
      <c r="J373" s="247"/>
      <c r="K373" s="245"/>
      <c r="L373" s="246"/>
      <c r="M373" s="245"/>
      <c r="N373" s="29" t="s">
        <v>119</v>
      </c>
      <c r="O373" s="120"/>
      <c r="P373" s="120"/>
      <c r="Q373" s="120"/>
      <c r="R373" s="29">
        <v>12</v>
      </c>
      <c r="S373" s="238">
        <f t="shared" si="178"/>
        <v>155.97297297297288</v>
      </c>
      <c r="T373" s="238">
        <f t="shared" si="179"/>
        <v>345.6856204693654</v>
      </c>
      <c r="U373" s="238">
        <f t="shared" si="180"/>
        <v>71.005906156830235</v>
      </c>
      <c r="W373" s="238">
        <f t="shared" si="181"/>
        <v>189.73033647356806</v>
      </c>
      <c r="X373" s="238">
        <f t="shared" si="182"/>
        <v>260.73624263039829</v>
      </c>
      <c r="Y373" s="238">
        <f t="shared" si="183"/>
        <v>331.74214878722853</v>
      </c>
      <c r="AA373" s="120"/>
      <c r="AB373" s="120"/>
      <c r="AC373" s="120"/>
      <c r="AD373" s="120"/>
      <c r="AE373" s="120"/>
      <c r="AF373" s="120"/>
      <c r="AG373" s="120"/>
      <c r="AH373" s="120"/>
      <c r="AI373" s="120"/>
      <c r="AJ373" s="120"/>
      <c r="AK373" s="120"/>
      <c r="AL373" s="120"/>
      <c r="AM373" s="120"/>
      <c r="AN373" s="120"/>
      <c r="BR373" s="180">
        <v>2024</v>
      </c>
      <c r="BS373" s="22">
        <v>10</v>
      </c>
      <c r="BT373" s="198">
        <f t="shared" si="194"/>
        <v>54.847839140833862</v>
      </c>
      <c r="BU373" s="276">
        <f t="shared" si="195"/>
        <v>193.74711198597203</v>
      </c>
      <c r="BV373" s="205">
        <f t="shared" si="196"/>
        <v>248.59495112680588</v>
      </c>
      <c r="BY373" s="180">
        <v>2024</v>
      </c>
      <c r="BZ373" s="22">
        <v>10</v>
      </c>
      <c r="CA373" s="198">
        <f t="shared" ca="1" si="197"/>
        <v>-1.99354692631678</v>
      </c>
      <c r="CB373" s="198">
        <f t="shared" ca="1" si="198"/>
        <v>61.227189305047567</v>
      </c>
      <c r="CC373" s="276">
        <f t="shared" ca="1" si="209"/>
        <v>190.2384693956545</v>
      </c>
      <c r="CD373" s="205">
        <f t="shared" ca="1" si="199"/>
        <v>249.4721117743853</v>
      </c>
      <c r="CG373" s="180">
        <v>2024</v>
      </c>
      <c r="CH373" s="22">
        <v>10</v>
      </c>
      <c r="CI373" s="198">
        <f t="shared" ca="1" si="200"/>
        <v>-3.8357197405545364E-2</v>
      </c>
      <c r="CJ373" s="198">
        <f t="shared" ca="1" si="201"/>
        <v>-1.8094323787701416</v>
      </c>
      <c r="CK373" s="198">
        <f t="shared" ca="1" si="202"/>
        <v>60.987763678842072</v>
      </c>
      <c r="CL373" s="276">
        <f t="shared" ca="1" si="203"/>
        <v>190.307328236437</v>
      </c>
      <c r="CM373" s="205">
        <f t="shared" ca="1" si="204"/>
        <v>249.44730233910337</v>
      </c>
      <c r="CP373" s="180">
        <v>2024</v>
      </c>
      <c r="CQ373" s="22">
        <v>10</v>
      </c>
      <c r="CR373" s="198">
        <f t="shared" ca="1" si="205"/>
        <v>201.37697433285535</v>
      </c>
      <c r="CS373" s="276">
        <f t="shared" ca="1" si="206"/>
        <v>1.2207809409026475</v>
      </c>
      <c r="CT373" s="205">
        <f t="shared" ca="1" si="207"/>
        <v>245.83717220219145</v>
      </c>
      <c r="CZ373" s="164" t="b">
        <f t="shared" si="184"/>
        <v>1</v>
      </c>
      <c r="DA373" s="165" t="b">
        <f t="shared" si="184"/>
        <v>1</v>
      </c>
      <c r="DB373" s="166" t="b">
        <f t="shared" si="184"/>
        <v>1</v>
      </c>
      <c r="DC373" s="164">
        <f t="shared" si="185"/>
        <v>12</v>
      </c>
      <c r="DD373" s="166">
        <f t="shared" si="186"/>
        <v>189.73033647356806</v>
      </c>
      <c r="DE373" s="164">
        <f t="shared" si="187"/>
        <v>12</v>
      </c>
      <c r="DF373" s="166">
        <f t="shared" si="188"/>
        <v>260.73624263039829</v>
      </c>
      <c r="DG373" s="164">
        <f t="shared" si="189"/>
        <v>12</v>
      </c>
      <c r="DH373" s="166">
        <f t="shared" si="190"/>
        <v>331.74214878722853</v>
      </c>
      <c r="DI373" s="164">
        <f>IFERROR(INDEX(DC$359:DC$407,_xlfn.AGGREGATE(15,6,(ROW(DC$359:DC$407)-ROW(DC$359)+1)/(DC$359:DC$407&lt;&gt;""),ROWS(DI$1:DI15))),"")</f>
        <v>15</v>
      </c>
      <c r="DJ373" s="165">
        <f>IFERROR(INDEX(DD$359:DD$407,_xlfn.AGGREGATE(15,6,(ROW(DD$359:DD$407)-ROW(DD$359)+1)/(DD$359:DD$407&lt;&gt;""),ROWS(DJ$1:DJ15))),"")</f>
        <v>198.99179091029214</v>
      </c>
      <c r="DK373" s="166">
        <f t="shared" si="191"/>
        <v>373</v>
      </c>
      <c r="DL373" s="164">
        <f>IFERROR(INDEX(DE$359:DE$407,_xlfn.AGGREGATE(15,6,(ROW(DE$359:DE$407)-ROW(DE$359)+1)/(DE$359:DE$407&lt;&gt;""),ROWS(DL$1:DL15))),"")</f>
        <v>15</v>
      </c>
      <c r="DM373" s="165">
        <f>IFERROR(INDEX(DF$359:DF$407,_xlfn.AGGREGATE(15,6,(ROW(DF$359:DF$407)-ROW(DF$359)+1)/(DF$359:DF$407&lt;&gt;""),ROWS(DM$1:DM15))),"")</f>
        <v>277.57762891025271</v>
      </c>
      <c r="DN373" s="166">
        <f t="shared" si="192"/>
        <v>373</v>
      </c>
      <c r="DO373" s="164">
        <f>IFERROR(INDEX(DG$359:DG$407,_xlfn.AGGREGATE(15,6,(ROW(DG$359:DG$407)-ROW(DG$359)+1)/(DG$359:DG$407&lt;&gt;""),ROWS(DO$1:DO15))),"")</f>
        <v>15</v>
      </c>
      <c r="DP373" s="165">
        <f>IFERROR(INDEX(DH$359:DH$407,_xlfn.AGGREGATE(15,6,(ROW(DH$359:DH$407)-ROW(DH$359)+1)/(DH$359:DH$407&lt;&gt;""),ROWS(DP$1:DP15))),"")</f>
        <v>356.16346691021329</v>
      </c>
      <c r="DQ373" s="166">
        <f t="shared" si="193"/>
        <v>373</v>
      </c>
      <c r="DV373" s="145">
        <v>2029</v>
      </c>
      <c r="DW373" s="235">
        <f t="shared" ca="1" si="177"/>
        <v>277.58829536122357</v>
      </c>
      <c r="EA373" s="55"/>
      <c r="EB373" s="55"/>
      <c r="EC373" s="55"/>
      <c r="ED373" s="55"/>
      <c r="EE373" s="55"/>
    </row>
    <row r="374" spans="1:135" ht="13.8" x14ac:dyDescent="0.45">
      <c r="B374" s="128">
        <v>2027</v>
      </c>
      <c r="C374" s="244">
        <f>'Total MSW Summaries (Archive)'!H18</f>
        <v>219.69535808985378</v>
      </c>
      <c r="D374" s="244">
        <f>'Total MSW Summaries (Archive)'!T18</f>
        <v>356.3946920124294</v>
      </c>
      <c r="E374" s="244">
        <f>'Total MSW Summaries (Archive)'!AF18</f>
        <v>260.07799999999986</v>
      </c>
      <c r="F374" s="244">
        <f>'Total MSW Summaries (Archive)'!AR18</f>
        <v>337.29559676161529</v>
      </c>
      <c r="G374" s="244">
        <f>'Total MSW Summaries (Archive)'!BD18</f>
        <v>158.43243243243234</v>
      </c>
      <c r="H374" s="245"/>
      <c r="I374" s="246"/>
      <c r="J374" s="247"/>
      <c r="K374" s="245"/>
      <c r="L374" s="246"/>
      <c r="M374" s="245"/>
      <c r="N374" s="29" t="s">
        <v>119</v>
      </c>
      <c r="O374" s="120"/>
      <c r="P374" s="120"/>
      <c r="Q374" s="120"/>
      <c r="R374" s="29">
        <v>13</v>
      </c>
      <c r="S374" s="238">
        <f t="shared" si="178"/>
        <v>158.43243243243234</v>
      </c>
      <c r="T374" s="238">
        <f t="shared" si="179"/>
        <v>356.3946920124294</v>
      </c>
      <c r="U374" s="238">
        <f t="shared" si="180"/>
        <v>73.4894754058122</v>
      </c>
      <c r="W374" s="238">
        <f t="shared" si="181"/>
        <v>192.8897404534539</v>
      </c>
      <c r="X374" s="238">
        <f t="shared" si="182"/>
        <v>266.37921585926608</v>
      </c>
      <c r="Y374" s="238">
        <f t="shared" si="183"/>
        <v>339.86869126507827</v>
      </c>
      <c r="AA374" s="89"/>
      <c r="AB374" s="89"/>
      <c r="AC374" s="89"/>
      <c r="AD374" s="89"/>
      <c r="AE374" s="89"/>
      <c r="AF374" s="89"/>
      <c r="AG374" s="89"/>
      <c r="AH374" s="89"/>
      <c r="AI374" s="89"/>
      <c r="AJ374" s="89"/>
      <c r="AK374" s="89"/>
      <c r="AL374" s="89"/>
      <c r="AM374" s="89"/>
      <c r="AN374" s="89"/>
      <c r="BR374" s="180">
        <v>2025</v>
      </c>
      <c r="BS374" s="22">
        <v>11</v>
      </c>
      <c r="BT374" s="198">
        <f t="shared" si="194"/>
        <v>60.332623054917249</v>
      </c>
      <c r="BU374" s="276">
        <f t="shared" si="195"/>
        <v>193.74711198597203</v>
      </c>
      <c r="BV374" s="205">
        <f t="shared" si="196"/>
        <v>254.07973504088926</v>
      </c>
      <c r="BY374" s="180">
        <v>2025</v>
      </c>
      <c r="BZ374" s="22">
        <v>11</v>
      </c>
      <c r="CA374" s="198">
        <f t="shared" ca="1" si="197"/>
        <v>-2.4121917808433038</v>
      </c>
      <c r="CB374" s="198">
        <f t="shared" ca="1" si="198"/>
        <v>67.34990823555232</v>
      </c>
      <c r="CC374" s="276">
        <f t="shared" ca="1" si="209"/>
        <v>190.2384693956545</v>
      </c>
      <c r="CD374" s="205">
        <f t="shared" ca="1" si="199"/>
        <v>255.17618585036354</v>
      </c>
      <c r="CG374" s="180">
        <v>2025</v>
      </c>
      <c r="CH374" s="22">
        <v>11</v>
      </c>
      <c r="CI374" s="198">
        <f t="shared" ca="1" si="200"/>
        <v>-5.1053429746780885E-2</v>
      </c>
      <c r="CJ374" s="198">
        <f t="shared" ca="1" si="201"/>
        <v>-2.1894131783118715</v>
      </c>
      <c r="CK374" s="198">
        <f t="shared" ca="1" si="202"/>
        <v>67.086540046726284</v>
      </c>
      <c r="CL374" s="276">
        <f t="shared" ca="1" si="203"/>
        <v>190.307328236437</v>
      </c>
      <c r="CM374" s="205">
        <f t="shared" ca="1" si="204"/>
        <v>255.15340167510465</v>
      </c>
      <c r="CP374" s="180">
        <v>2025</v>
      </c>
      <c r="CQ374" s="22">
        <v>11</v>
      </c>
      <c r="CR374" s="198">
        <f t="shared" ca="1" si="205"/>
        <v>201.37697433285535</v>
      </c>
      <c r="CS374" s="276">
        <f t="shared" ca="1" si="206"/>
        <v>1.2453789316737363</v>
      </c>
      <c r="CT374" s="205">
        <f t="shared" ca="1" si="207"/>
        <v>250.7906411583408</v>
      </c>
      <c r="CZ374" s="164" t="b">
        <f t="shared" si="184"/>
        <v>1</v>
      </c>
      <c r="DA374" s="165" t="b">
        <f t="shared" si="184"/>
        <v>1</v>
      </c>
      <c r="DB374" s="166" t="b">
        <f t="shared" si="184"/>
        <v>1</v>
      </c>
      <c r="DC374" s="164">
        <f t="shared" si="185"/>
        <v>13</v>
      </c>
      <c r="DD374" s="166">
        <f t="shared" si="186"/>
        <v>192.8897404534539</v>
      </c>
      <c r="DE374" s="164">
        <f t="shared" si="187"/>
        <v>13</v>
      </c>
      <c r="DF374" s="166">
        <f t="shared" si="188"/>
        <v>266.37921585926608</v>
      </c>
      <c r="DG374" s="164">
        <f t="shared" si="189"/>
        <v>13</v>
      </c>
      <c r="DH374" s="166">
        <f t="shared" si="190"/>
        <v>339.86869126507827</v>
      </c>
      <c r="DI374" s="164">
        <f>IFERROR(INDEX(DC$359:DC$407,_xlfn.AGGREGATE(15,6,(ROW(DC$359:DC$407)-ROW(DC$359)+1)/(DC$359:DC$407&lt;&gt;""),ROWS(DI$1:DI16))),"")</f>
        <v>16</v>
      </c>
      <c r="DJ374" s="165">
        <f>IFERROR(INDEX(DD$359:DD$407,_xlfn.AGGREGATE(15,6,(ROW(DD$359:DD$407)-ROW(DD$359)+1)/(DD$359:DD$407&lt;&gt;""),ROWS(DJ$1:DJ16))),"")</f>
        <v>201.94203240943102</v>
      </c>
      <c r="DK374" s="166">
        <f t="shared" si="191"/>
        <v>374</v>
      </c>
      <c r="DL374" s="164">
        <f>IFERROR(INDEX(DE$359:DE$407,_xlfn.AGGREGATE(15,6,(ROW(DE$359:DE$407)-ROW(DE$359)+1)/(DE$359:DE$407&lt;&gt;""),ROWS(DL$1:DL16))),"")</f>
        <v>16</v>
      </c>
      <c r="DM374" s="165">
        <f>IFERROR(INDEX(DF$359:DF$407,_xlfn.AGGREGATE(15,6,(ROW(DF$359:DF$407)-ROW(DF$359)+1)/(DF$359:DF$407&lt;&gt;""),ROWS(DM$1:DM16))),"")</f>
        <v>283.19199305574216</v>
      </c>
      <c r="DN374" s="166">
        <f t="shared" si="192"/>
        <v>374</v>
      </c>
      <c r="DO374" s="164">
        <f>IFERROR(INDEX(DG$359:DG$407,_xlfn.AGGREGATE(15,6,(ROW(DG$359:DG$407)-ROW(DG$359)+1)/(DG$359:DG$407&lt;&gt;""),ROWS(DO$1:DO16))),"")</f>
        <v>16</v>
      </c>
      <c r="DP374" s="165">
        <f>IFERROR(INDEX(DH$359:DH$407,_xlfn.AGGREGATE(15,6,(ROW(DH$359:DH$407)-ROW(DH$359)+1)/(DH$359:DH$407&lt;&gt;""),ROWS(DP$1:DP16))),"")</f>
        <v>364.4419537020533</v>
      </c>
      <c r="DQ374" s="166">
        <f t="shared" si="193"/>
        <v>374</v>
      </c>
      <c r="DV374" s="145">
        <v>2030</v>
      </c>
      <c r="DW374" s="235">
        <f t="shared" ca="1" si="177"/>
        <v>283.09849215235965</v>
      </c>
    </row>
    <row r="375" spans="1:135" ht="13.8" x14ac:dyDescent="0.45">
      <c r="A375" s="208" t="str">
        <f>$A$62</f>
        <v>Base Cases</v>
      </c>
      <c r="B375" s="128">
        <v>2028</v>
      </c>
      <c r="C375" s="244">
        <f>'Total MSW Summaries (Archive)'!H19</f>
        <v>221.91032343784238</v>
      </c>
      <c r="D375" s="244">
        <f>'Total MSW Summaries (Archive)'!T19</f>
        <v>367.18761518181651</v>
      </c>
      <c r="E375" s="244">
        <f>'Total MSW Summaries (Archive)'!AF19</f>
        <v>267.56399999999985</v>
      </c>
      <c r="F375" s="244">
        <f>'Total MSW Summaries (Archive)'!AR19</f>
        <v>342.41140700853708</v>
      </c>
      <c r="G375" s="244">
        <f>'Total MSW Summaries (Archive)'!BD19</f>
        <v>160.89189189189179</v>
      </c>
      <c r="H375" s="245"/>
      <c r="I375" s="246"/>
      <c r="J375" s="247"/>
      <c r="K375" s="245"/>
      <c r="L375" s="246"/>
      <c r="M375" s="245"/>
      <c r="N375" s="29" t="s">
        <v>119</v>
      </c>
      <c r="O375" s="120"/>
      <c r="P375" s="120"/>
      <c r="Q375" s="120"/>
      <c r="R375" s="29">
        <v>14</v>
      </c>
      <c r="S375" s="238">
        <f t="shared" si="178"/>
        <v>160.89189189189179</v>
      </c>
      <c r="T375" s="238">
        <f t="shared" si="179"/>
        <v>367.18761518181651</v>
      </c>
      <c r="U375" s="238">
        <f t="shared" si="180"/>
        <v>76.015937224640055</v>
      </c>
      <c r="W375" s="238">
        <f t="shared" si="181"/>
        <v>195.97711027937746</v>
      </c>
      <c r="X375" s="238">
        <f t="shared" si="182"/>
        <v>271.99304750401751</v>
      </c>
      <c r="Y375" s="238">
        <f t="shared" si="183"/>
        <v>348.00898472865754</v>
      </c>
      <c r="AA375" s="114"/>
      <c r="AB375" s="114"/>
      <c r="AC375" s="114"/>
      <c r="AD375" s="114"/>
      <c r="AE375" s="114"/>
      <c r="AF375" s="114"/>
      <c r="AG375" s="114"/>
      <c r="AH375" s="114"/>
      <c r="AI375" s="114"/>
      <c r="AJ375" s="114"/>
      <c r="AK375" s="114"/>
      <c r="AL375" s="114"/>
      <c r="AM375" s="114"/>
      <c r="AN375" s="114"/>
      <c r="BR375" s="180">
        <v>2026</v>
      </c>
      <c r="BS375" s="22">
        <v>12</v>
      </c>
      <c r="BT375" s="198">
        <f t="shared" si="194"/>
        <v>65.817406969000629</v>
      </c>
      <c r="BU375" s="276">
        <f t="shared" si="195"/>
        <v>193.74711198597203</v>
      </c>
      <c r="BV375" s="205">
        <f t="shared" si="196"/>
        <v>259.56451895497264</v>
      </c>
      <c r="BY375" s="180">
        <v>2026</v>
      </c>
      <c r="BZ375" s="22">
        <v>12</v>
      </c>
      <c r="CA375" s="198">
        <f t="shared" ca="1" si="197"/>
        <v>-2.8707075738961634</v>
      </c>
      <c r="CB375" s="198">
        <f t="shared" ca="1" si="198"/>
        <v>73.47262716605708</v>
      </c>
      <c r="CC375" s="276">
        <f t="shared" ca="1" si="209"/>
        <v>190.2384693956545</v>
      </c>
      <c r="CD375" s="205">
        <f t="shared" ca="1" si="199"/>
        <v>260.8403889878154</v>
      </c>
      <c r="CG375" s="180">
        <v>2026</v>
      </c>
      <c r="CH375" s="22">
        <v>12</v>
      </c>
      <c r="CI375" s="198">
        <f t="shared" ca="1" si="200"/>
        <v>-6.6281237116782396E-2</v>
      </c>
      <c r="CJ375" s="198">
        <f t="shared" ca="1" si="201"/>
        <v>-2.6055826254290042</v>
      </c>
      <c r="CK375" s="198">
        <f t="shared" ca="1" si="202"/>
        <v>73.185316414610497</v>
      </c>
      <c r="CL375" s="276">
        <f t="shared" ca="1" si="203"/>
        <v>190.307328236437</v>
      </c>
      <c r="CM375" s="205">
        <f t="shared" ca="1" si="204"/>
        <v>260.82078078850168</v>
      </c>
      <c r="CP375" s="180">
        <v>2026</v>
      </c>
      <c r="CQ375" s="22">
        <v>12</v>
      </c>
      <c r="CR375" s="198">
        <f t="shared" ca="1" si="205"/>
        <v>201.37697433285535</v>
      </c>
      <c r="CS375" s="276">
        <f t="shared" ca="1" si="206"/>
        <v>1.2704725569437771</v>
      </c>
      <c r="CT375" s="205">
        <f t="shared" ca="1" si="207"/>
        <v>255.84391949026411</v>
      </c>
      <c r="CZ375" s="164" t="b">
        <f t="shared" si="184"/>
        <v>1</v>
      </c>
      <c r="DA375" s="165" t="b">
        <f t="shared" si="184"/>
        <v>1</v>
      </c>
      <c r="DB375" s="166" t="b">
        <f t="shared" si="184"/>
        <v>1</v>
      </c>
      <c r="DC375" s="164">
        <f t="shared" si="185"/>
        <v>14</v>
      </c>
      <c r="DD375" s="166">
        <f t="shared" si="186"/>
        <v>195.97711027937746</v>
      </c>
      <c r="DE375" s="164">
        <f t="shared" si="187"/>
        <v>14</v>
      </c>
      <c r="DF375" s="166">
        <f t="shared" si="188"/>
        <v>271.99304750401751</v>
      </c>
      <c r="DG375" s="164">
        <f t="shared" si="189"/>
        <v>14</v>
      </c>
      <c r="DH375" s="166">
        <f t="shared" si="190"/>
        <v>348.00898472865754</v>
      </c>
      <c r="DI375" s="164">
        <f>IFERROR(INDEX(DC$359:DC$407,_xlfn.AGGREGATE(15,6,(ROW(DC$359:DC$407)-ROW(DC$359)+1)/(DC$359:DC$407&lt;&gt;""),ROWS(DI$1:DI17))),"")</f>
        <v>17</v>
      </c>
      <c r="DJ375" s="165">
        <f>IFERROR(INDEX(DD$359:DD$407,_xlfn.AGGREGATE(15,6,(ROW(DD$359:DD$407)-ROW(DD$359)+1)/(DD$359:DD$407&lt;&gt;""),ROWS(DJ$1:DJ17))),"")</f>
        <v>204.80067764320191</v>
      </c>
      <c r="DK375" s="166">
        <f t="shared" si="191"/>
        <v>375</v>
      </c>
      <c r="DL375" s="164">
        <f>IFERROR(INDEX(DE$359:DE$407,_xlfn.AGGREGATE(15,6,(ROW(DE$359:DE$407)-ROW(DE$359)+1)/(DE$359:DE$407&lt;&gt;""),ROWS(DL$1:DL17))),"")</f>
        <v>17</v>
      </c>
      <c r="DM375" s="165">
        <f>IFERROR(INDEX(DF$359:DF$407,_xlfn.AGGREGATE(15,6,(ROW(DF$359:DF$407)-ROW(DF$359)+1)/(DF$359:DF$407&lt;&gt;""),ROWS(DM$1:DM17))),"")</f>
        <v>288.65826885568424</v>
      </c>
      <c r="DN375" s="166">
        <f t="shared" si="192"/>
        <v>375</v>
      </c>
      <c r="DO375" s="164">
        <f>IFERROR(INDEX(DG$359:DG$407,_xlfn.AGGREGATE(15,6,(ROW(DG$359:DG$407)-ROW(DG$359)+1)/(DG$359:DG$407&lt;&gt;""),ROWS(DO$1:DO17))),"")</f>
        <v>17</v>
      </c>
      <c r="DP375" s="165">
        <f>IFERROR(INDEX(DH$359:DH$407,_xlfn.AGGREGATE(15,6,(ROW(DH$359:DH$407)-ROW(DH$359)+1)/(DH$359:DH$407&lt;&gt;""),ROWS(DP$1:DP17))),"")</f>
        <v>372.5158600681666</v>
      </c>
      <c r="DQ375" s="166">
        <f t="shared" si="193"/>
        <v>375</v>
      </c>
      <c r="DV375" s="145">
        <v>2031</v>
      </c>
      <c r="DW375" s="235">
        <f t="shared" ca="1" si="177"/>
        <v>288.56881800496939</v>
      </c>
    </row>
    <row r="376" spans="1:135" ht="13.8" x14ac:dyDescent="0.45">
      <c r="A376" s="209" t="str">
        <f>$A$63</f>
        <v>Conservative Cases</v>
      </c>
      <c r="B376" s="128">
        <v>2029</v>
      </c>
      <c r="C376" s="244">
        <f>'Total MSW Summaries (Archive)'!H20</f>
        <v>224.08738603565993</v>
      </c>
      <c r="D376" s="244">
        <f>'Total MSW Summaries (Archive)'!T20</f>
        <v>378.06031884060667</v>
      </c>
      <c r="E376" s="244">
        <f>'Total MSW Summaries (Archive)'!AF20</f>
        <v>275.04999999999984</v>
      </c>
      <c r="F376" s="244">
        <f>'Total MSW Summaries (Archive)'!AR20</f>
        <v>347.33908832364591</v>
      </c>
      <c r="G376" s="244">
        <f>'Total MSW Summaries (Archive)'!BD20</f>
        <v>163.35135135135124</v>
      </c>
      <c r="H376" s="245"/>
      <c r="I376" s="246"/>
      <c r="J376" s="247"/>
      <c r="K376" s="245"/>
      <c r="L376" s="246"/>
      <c r="M376" s="245"/>
      <c r="N376" s="29" t="s">
        <v>119</v>
      </c>
      <c r="O376" s="120"/>
      <c r="P376" s="120"/>
      <c r="Q376" s="120"/>
      <c r="R376" s="29">
        <v>15</v>
      </c>
      <c r="S376" s="238">
        <f t="shared" si="178"/>
        <v>163.35135135135124</v>
      </c>
      <c r="T376" s="238">
        <f t="shared" si="179"/>
        <v>378.06031884060667</v>
      </c>
      <c r="U376" s="238">
        <f t="shared" si="180"/>
        <v>78.585837999960575</v>
      </c>
      <c r="W376" s="238">
        <f t="shared" si="181"/>
        <v>198.99179091029214</v>
      </c>
      <c r="X376" s="238">
        <f t="shared" si="182"/>
        <v>277.57762891025271</v>
      </c>
      <c r="Y376" s="238">
        <f t="shared" si="183"/>
        <v>356.16346691021329</v>
      </c>
      <c r="AA376" s="89"/>
      <c r="AB376" s="89"/>
      <c r="AC376" s="89"/>
      <c r="AD376" s="89"/>
      <c r="AE376" s="89"/>
      <c r="AF376" s="89"/>
      <c r="AG376" s="89"/>
      <c r="AH376" s="89"/>
      <c r="AI376" s="89"/>
      <c r="AJ376" s="89"/>
      <c r="AK376" s="89"/>
      <c r="AL376" s="89"/>
      <c r="AM376" s="89"/>
      <c r="AN376" s="89"/>
      <c r="BR376" s="180">
        <v>2027</v>
      </c>
      <c r="BS376" s="22">
        <v>13</v>
      </c>
      <c r="BT376" s="198">
        <f t="shared" si="194"/>
        <v>71.302190883084023</v>
      </c>
      <c r="BU376" s="276">
        <f t="shared" si="195"/>
        <v>193.74711198597203</v>
      </c>
      <c r="BV376" s="205">
        <f t="shared" si="196"/>
        <v>265.04930286905608</v>
      </c>
      <c r="BY376" s="180">
        <v>2027</v>
      </c>
      <c r="BZ376" s="22">
        <v>13</v>
      </c>
      <c r="CA376" s="198">
        <f t="shared" ca="1" si="197"/>
        <v>-3.3690943054753584</v>
      </c>
      <c r="CB376" s="198">
        <f t="shared" ca="1" si="198"/>
        <v>79.59534609656184</v>
      </c>
      <c r="CC376" s="276">
        <f t="shared" ca="1" si="209"/>
        <v>190.2384693956545</v>
      </c>
      <c r="CD376" s="205">
        <f t="shared" ca="1" si="199"/>
        <v>266.46472118674097</v>
      </c>
      <c r="CG376" s="180">
        <v>2027</v>
      </c>
      <c r="CH376" s="22">
        <v>13</v>
      </c>
      <c r="CI376" s="198">
        <f t="shared" ca="1" si="200"/>
        <v>-8.4270762699983168E-2</v>
      </c>
      <c r="CJ376" s="198">
        <f t="shared" ca="1" si="201"/>
        <v>-3.0579407201215396</v>
      </c>
      <c r="CK376" s="198">
        <f t="shared" ca="1" si="202"/>
        <v>79.284092782494696</v>
      </c>
      <c r="CL376" s="276">
        <f t="shared" ca="1" si="203"/>
        <v>190.307328236437</v>
      </c>
      <c r="CM376" s="205">
        <f t="shared" ca="1" si="204"/>
        <v>266.44920953611017</v>
      </c>
      <c r="CP376" s="180">
        <v>2027</v>
      </c>
      <c r="CQ376" s="22">
        <v>13</v>
      </c>
      <c r="CR376" s="198">
        <f t="shared" ca="1" si="205"/>
        <v>201.37697433285535</v>
      </c>
      <c r="CS376" s="276">
        <f t="shared" ca="1" si="206"/>
        <v>1.2960718034453791</v>
      </c>
      <c r="CT376" s="205">
        <f t="shared" ca="1" si="207"/>
        <v>260.99901829595768</v>
      </c>
      <c r="CZ376" s="164" t="b">
        <f t="shared" si="184"/>
        <v>1</v>
      </c>
      <c r="DA376" s="165" t="b">
        <f t="shared" si="184"/>
        <v>1</v>
      </c>
      <c r="DB376" s="166" t="b">
        <f t="shared" si="184"/>
        <v>1</v>
      </c>
      <c r="DC376" s="164">
        <f t="shared" si="185"/>
        <v>15</v>
      </c>
      <c r="DD376" s="166">
        <f t="shared" si="186"/>
        <v>198.99179091029214</v>
      </c>
      <c r="DE376" s="164">
        <f t="shared" si="187"/>
        <v>15</v>
      </c>
      <c r="DF376" s="166">
        <f t="shared" si="188"/>
        <v>277.57762891025271</v>
      </c>
      <c r="DG376" s="164">
        <f t="shared" si="189"/>
        <v>15</v>
      </c>
      <c r="DH376" s="166">
        <f t="shared" si="190"/>
        <v>356.16346691021329</v>
      </c>
      <c r="DI376" s="164">
        <f>IFERROR(INDEX(DC$359:DC$407,_xlfn.AGGREGATE(15,6,(ROW(DC$359:DC$407)-ROW(DC$359)+1)/(DC$359:DC$407&lt;&gt;""),ROWS(DI$1:DI18))),"")</f>
        <v>18</v>
      </c>
      <c r="DJ376" s="165">
        <f>IFERROR(INDEX(DD$359:DD$407,_xlfn.AGGREGATE(15,6,(ROW(DD$359:DD$407)-ROW(DD$359)+1)/(DD$359:DD$407&lt;&gt;""),ROWS(DJ$1:DJ18))),"")</f>
        <v>207.55997712864723</v>
      </c>
      <c r="DK376" s="166">
        <f t="shared" si="191"/>
        <v>376</v>
      </c>
      <c r="DL376" s="164">
        <f>IFERROR(INDEX(DE$359:DE$407,_xlfn.AGGREGATE(15,6,(ROW(DE$359:DE$407)-ROW(DE$359)+1)/(DE$359:DE$407&lt;&gt;""),ROWS(DL$1:DL18))),"")</f>
        <v>18</v>
      </c>
      <c r="DM376" s="165">
        <f>IFERROR(INDEX(DF$359:DF$407,_xlfn.AGGREGATE(15,6,(ROW(DF$359:DF$407)-ROW(DF$359)+1)/(DF$359:DF$407&lt;&gt;""),ROWS(DM$1:DM18))),"")</f>
        <v>294.0531914526772</v>
      </c>
      <c r="DN376" s="166">
        <f t="shared" si="192"/>
        <v>376</v>
      </c>
      <c r="DO376" s="164">
        <f>IFERROR(INDEX(DG$359:DG$407,_xlfn.AGGREGATE(15,6,(ROW(DG$359:DG$407)-ROW(DG$359)+1)/(DG$359:DG$407&lt;&gt;""),ROWS(DO$1:DO18))),"")</f>
        <v>18</v>
      </c>
      <c r="DP376" s="165">
        <f>IFERROR(INDEX(DH$359:DH$407,_xlfn.AGGREGATE(15,6,(ROW(DH$359:DH$407)-ROW(DH$359)+1)/(DH$359:DH$407&lt;&gt;""),ROWS(DP$1:DP18))),"")</f>
        <v>380.54640577670716</v>
      </c>
      <c r="DQ376" s="166">
        <f t="shared" si="193"/>
        <v>376</v>
      </c>
      <c r="DV376" s="145">
        <v>2032</v>
      </c>
      <c r="DW376" s="235">
        <f t="shared" ca="1" si="177"/>
        <v>293.99904277586836</v>
      </c>
    </row>
    <row r="377" spans="1:135" ht="13.8" x14ac:dyDescent="0.45">
      <c r="A377" s="210" t="str">
        <f>$A$64</f>
        <v>Ambitious Cases</v>
      </c>
      <c r="B377" s="128">
        <v>2030</v>
      </c>
      <c r="C377" s="244">
        <f>'Total MSW Summaries (Archive)'!H21</f>
        <v>226.22615490884436</v>
      </c>
      <c r="D377" s="244">
        <f>'Total MSW Summaries (Archive)'!T21</f>
        <v>389.00844148547503</v>
      </c>
      <c r="E377" s="244">
        <f>'Total MSW Summaries (Archive)'!AF21</f>
        <v>282.53599999999983</v>
      </c>
      <c r="F377" s="244">
        <f>'Total MSW Summaries (Archive)'!AR21</f>
        <v>352.37855807358102</v>
      </c>
      <c r="G377" s="244">
        <f>'Total MSW Summaries (Archive)'!BD21</f>
        <v>165.81081081081069</v>
      </c>
      <c r="H377" s="245"/>
      <c r="I377" s="246"/>
      <c r="J377" s="247"/>
      <c r="K377" s="245"/>
      <c r="L377" s="246"/>
      <c r="M377" s="245"/>
      <c r="N377" s="29" t="s">
        <v>119</v>
      </c>
      <c r="O377" s="120"/>
      <c r="P377" s="120"/>
      <c r="Q377" s="120"/>
      <c r="R377" s="29">
        <v>16</v>
      </c>
      <c r="S377" s="238">
        <f t="shared" si="178"/>
        <v>165.81081081081069</v>
      </c>
      <c r="T377" s="238">
        <f t="shared" si="179"/>
        <v>389.00844148547503</v>
      </c>
      <c r="U377" s="238">
        <f t="shared" si="180"/>
        <v>81.249960646311123</v>
      </c>
      <c r="W377" s="238">
        <f t="shared" si="181"/>
        <v>201.94203240943102</v>
      </c>
      <c r="X377" s="238">
        <f t="shared" si="182"/>
        <v>283.19199305574216</v>
      </c>
      <c r="Y377" s="238">
        <f t="shared" si="183"/>
        <v>364.4419537020533</v>
      </c>
      <c r="AA377" s="89"/>
      <c r="AB377" s="89"/>
      <c r="AC377" s="89"/>
      <c r="AD377" s="89"/>
      <c r="AE377" s="89"/>
      <c r="AF377" s="89"/>
      <c r="AG377" s="89"/>
      <c r="AH377" s="89"/>
      <c r="AI377" s="89"/>
      <c r="AJ377" s="89"/>
      <c r="AK377" s="89"/>
      <c r="AL377" s="89"/>
      <c r="AM377" s="89"/>
      <c r="AN377" s="89"/>
      <c r="BR377" s="180">
        <v>2028</v>
      </c>
      <c r="BS377" s="22">
        <v>14</v>
      </c>
      <c r="BT377" s="198">
        <f t="shared" si="194"/>
        <v>76.786974797167403</v>
      </c>
      <c r="BU377" s="276">
        <f t="shared" si="195"/>
        <v>193.74711198597203</v>
      </c>
      <c r="BV377" s="205">
        <f t="shared" si="196"/>
        <v>270.5340867831394</v>
      </c>
      <c r="BY377" s="180">
        <v>2028</v>
      </c>
      <c r="BZ377" s="22">
        <v>14</v>
      </c>
      <c r="CA377" s="198">
        <f t="shared" ca="1" si="197"/>
        <v>-3.9073519755808888</v>
      </c>
      <c r="CB377" s="198">
        <f t="shared" ca="1" si="198"/>
        <v>85.718065027066586</v>
      </c>
      <c r="CC377" s="276">
        <f t="shared" ca="1" si="209"/>
        <v>190.2384693956545</v>
      </c>
      <c r="CD377" s="205">
        <f t="shared" ca="1" si="199"/>
        <v>272.0491824471402</v>
      </c>
      <c r="CG377" s="180">
        <v>2028</v>
      </c>
      <c r="CH377" s="22">
        <v>14</v>
      </c>
      <c r="CI377" s="198">
        <f t="shared" ca="1" si="200"/>
        <v>-0.10525214968081649</v>
      </c>
      <c r="CJ377" s="198">
        <f t="shared" ca="1" si="201"/>
        <v>-3.5464874623894778</v>
      </c>
      <c r="CK377" s="198">
        <f t="shared" ca="1" si="202"/>
        <v>85.382869150378909</v>
      </c>
      <c r="CL377" s="276">
        <f t="shared" ca="1" si="203"/>
        <v>190.307328236437</v>
      </c>
      <c r="CM377" s="205">
        <f t="shared" ca="1" si="204"/>
        <v>272.03845777474561</v>
      </c>
      <c r="CP377" s="180">
        <v>2028</v>
      </c>
      <c r="CQ377" s="22">
        <v>14</v>
      </c>
      <c r="CR377" s="198">
        <f t="shared" ca="1" si="205"/>
        <v>201.37697433285535</v>
      </c>
      <c r="CS377" s="276">
        <f t="shared" ca="1" si="206"/>
        <v>1.3221868591377173</v>
      </c>
      <c r="CT377" s="205">
        <f t="shared" ca="1" si="207"/>
        <v>266.25798919581473</v>
      </c>
      <c r="CZ377" s="164" t="b">
        <f t="shared" si="184"/>
        <v>1</v>
      </c>
      <c r="DA377" s="165" t="b">
        <f t="shared" si="184"/>
        <v>1</v>
      </c>
      <c r="DB377" s="166" t="b">
        <f t="shared" si="184"/>
        <v>1</v>
      </c>
      <c r="DC377" s="164">
        <f t="shared" si="185"/>
        <v>16</v>
      </c>
      <c r="DD377" s="166">
        <f t="shared" si="186"/>
        <v>201.94203240943102</v>
      </c>
      <c r="DE377" s="164">
        <f t="shared" si="187"/>
        <v>16</v>
      </c>
      <c r="DF377" s="166">
        <f t="shared" si="188"/>
        <v>283.19199305574216</v>
      </c>
      <c r="DG377" s="164">
        <f t="shared" si="189"/>
        <v>16</v>
      </c>
      <c r="DH377" s="166">
        <f t="shared" si="190"/>
        <v>364.4419537020533</v>
      </c>
      <c r="DI377" s="164">
        <f>IFERROR(INDEX(DC$359:DC$407,_xlfn.AGGREGATE(15,6,(ROW(DC$359:DC$407)-ROW(DC$359)+1)/(DC$359:DC$407&lt;&gt;""),ROWS(DI$1:DI19))),"")</f>
        <v>19</v>
      </c>
      <c r="DJ377" s="165">
        <f>IFERROR(INDEX(DD$359:DD$407,_xlfn.AGGREGATE(15,6,(ROW(DD$359:DD$407)-ROW(DD$359)+1)/(DD$359:DD$407&lt;&gt;""),ROWS(DJ$1:DJ19))),"")</f>
        <v>210.24295634950909</v>
      </c>
      <c r="DK377" s="166">
        <f t="shared" si="191"/>
        <v>377</v>
      </c>
      <c r="DL377" s="164">
        <f>IFERROR(INDEX(DE$359:DE$407,_xlfn.AGGREGATE(15,6,(ROW(DE$359:DE$407)-ROW(DE$359)+1)/(DE$359:DE$407&lt;&gt;""),ROWS(DL$1:DL19))),"")</f>
        <v>19</v>
      </c>
      <c r="DM377" s="165">
        <f>IFERROR(INDEX(DF$359:DF$407,_xlfn.AGGREGATE(15,6,(ROW(DF$359:DF$407)-ROW(DF$359)+1)/(DF$359:DF$407&lt;&gt;""),ROWS(DM$1:DM19))),"")</f>
        <v>299.4145456282983</v>
      </c>
      <c r="DN377" s="166">
        <f t="shared" si="192"/>
        <v>377</v>
      </c>
      <c r="DO377" s="164">
        <f>IFERROR(INDEX(DG$359:DG$407,_xlfn.AGGREGATE(15,6,(ROW(DG$359:DG$407)-ROW(DG$359)+1)/(DG$359:DG$407&lt;&gt;""),ROWS(DO$1:DO19))),"")</f>
        <v>19</v>
      </c>
      <c r="DP377" s="165">
        <f>IFERROR(INDEX(DH$359:DH$407,_xlfn.AGGREGATE(15,6,(ROW(DH$359:DH$407)-ROW(DH$359)+1)/(DH$359:DH$407&lt;&gt;""),ROWS(DP$1:DP19))),"")</f>
        <v>388.58613490708751</v>
      </c>
      <c r="DQ377" s="166">
        <f t="shared" si="193"/>
        <v>377</v>
      </c>
      <c r="DV377" s="145">
        <v>2033</v>
      </c>
      <c r="DW377" s="235">
        <f t="shared" ca="1" si="177"/>
        <v>299.38893632187211</v>
      </c>
    </row>
    <row r="378" spans="1:135" ht="13.8" x14ac:dyDescent="0.45">
      <c r="A378" s="211" t="str">
        <f>$A$65</f>
        <v>Maximum Cases</v>
      </c>
      <c r="B378" s="128">
        <v>2031</v>
      </c>
      <c r="C378" s="244">
        <f>'Total MSW Summaries (Archive)'!H22</f>
        <v>228.32584446237749</v>
      </c>
      <c r="D378" s="244">
        <f>'Total MSW Summaries (Archive)'!T22</f>
        <v>400.02687949808546</v>
      </c>
      <c r="E378" s="244">
        <f>'Total MSW Summaries (Archive)'!AF22</f>
        <v>290.02199999999982</v>
      </c>
      <c r="F378" s="244">
        <f>'Total MSW Summaries (Archive)'!AR22</f>
        <v>356.64635004768826</v>
      </c>
      <c r="G378" s="244">
        <f>'Total MSW Summaries (Archive)'!BD22</f>
        <v>168.27027027027015</v>
      </c>
      <c r="H378" s="245"/>
      <c r="I378" s="246"/>
      <c r="J378" s="247"/>
      <c r="K378" s="245"/>
      <c r="L378" s="246"/>
      <c r="M378" s="245"/>
      <c r="N378" s="29" t="s">
        <v>119</v>
      </c>
      <c r="O378" s="120"/>
      <c r="P378" s="120"/>
      <c r="Q378" s="120"/>
      <c r="R378" s="29">
        <v>17</v>
      </c>
      <c r="S378" s="238">
        <f t="shared" si="178"/>
        <v>168.27027027027015</v>
      </c>
      <c r="T378" s="238">
        <f t="shared" si="179"/>
        <v>400.02687949808546</v>
      </c>
      <c r="U378" s="238">
        <f t="shared" si="180"/>
        <v>83.857591212482333</v>
      </c>
      <c r="W378" s="238">
        <f t="shared" si="181"/>
        <v>204.80067764320191</v>
      </c>
      <c r="X378" s="238">
        <f t="shared" si="182"/>
        <v>288.65826885568424</v>
      </c>
      <c r="Y378" s="238">
        <f t="shared" si="183"/>
        <v>372.5158600681666</v>
      </c>
      <c r="AA378" s="89"/>
      <c r="AB378" s="89"/>
      <c r="AC378" s="89"/>
      <c r="AD378" s="89"/>
      <c r="AE378" s="89"/>
      <c r="AF378" s="89"/>
      <c r="AG378" s="89"/>
      <c r="AH378" s="89"/>
      <c r="AI378" s="89"/>
      <c r="AJ378" s="89"/>
      <c r="AK378" s="89"/>
      <c r="AL378" s="89"/>
      <c r="AM378" s="89"/>
      <c r="AN378" s="89"/>
      <c r="BR378" s="180">
        <v>2029</v>
      </c>
      <c r="BS378" s="22">
        <v>15</v>
      </c>
      <c r="BT378" s="198">
        <f t="shared" si="194"/>
        <v>82.271758711250797</v>
      </c>
      <c r="BU378" s="276">
        <f t="shared" si="195"/>
        <v>193.74711198597203</v>
      </c>
      <c r="BV378" s="205">
        <f t="shared" si="196"/>
        <v>276.01887069722284</v>
      </c>
      <c r="BY378" s="180">
        <v>2029</v>
      </c>
      <c r="BZ378" s="22">
        <v>15</v>
      </c>
      <c r="CA378" s="198">
        <f t="shared" ca="1" si="197"/>
        <v>-4.4854805842127554</v>
      </c>
      <c r="CB378" s="198">
        <f t="shared" ca="1" si="198"/>
        <v>91.840783957571347</v>
      </c>
      <c r="CC378" s="276">
        <f t="shared" ca="1" si="209"/>
        <v>190.2384693956545</v>
      </c>
      <c r="CD378" s="205">
        <f t="shared" ca="1" si="199"/>
        <v>277.59377276901307</v>
      </c>
      <c r="CG378" s="180">
        <v>2029</v>
      </c>
      <c r="CH378" s="22">
        <v>15</v>
      </c>
      <c r="CI378" s="198">
        <f t="shared" ca="1" si="200"/>
        <v>-0.12945554124371561</v>
      </c>
      <c r="CJ378" s="198">
        <f t="shared" ca="1" si="201"/>
        <v>-4.0712228522328191</v>
      </c>
      <c r="CK378" s="198">
        <f t="shared" ca="1" si="202"/>
        <v>91.481645518263107</v>
      </c>
      <c r="CL378" s="276">
        <f t="shared" ca="1" si="203"/>
        <v>190.307328236437</v>
      </c>
      <c r="CM378" s="205">
        <f t="shared" ca="1" si="204"/>
        <v>277.58829536122357</v>
      </c>
      <c r="CP378" s="180">
        <v>2029</v>
      </c>
      <c r="CQ378" s="22">
        <v>15</v>
      </c>
      <c r="CR378" s="198">
        <f t="shared" ca="1" si="205"/>
        <v>201.37697433285535</v>
      </c>
      <c r="CS378" s="276">
        <f t="shared" ca="1" si="206"/>
        <v>1.3488281172611252</v>
      </c>
      <c r="CT378" s="205">
        <f t="shared" ca="1" si="207"/>
        <v>271.62292514912724</v>
      </c>
      <c r="CZ378" s="164" t="b">
        <f t="shared" si="184"/>
        <v>1</v>
      </c>
      <c r="DA378" s="165" t="b">
        <f t="shared" si="184"/>
        <v>1</v>
      </c>
      <c r="DB378" s="166" t="b">
        <f t="shared" si="184"/>
        <v>1</v>
      </c>
      <c r="DC378" s="164">
        <f t="shared" si="185"/>
        <v>17</v>
      </c>
      <c r="DD378" s="166">
        <f t="shared" si="186"/>
        <v>204.80067764320191</v>
      </c>
      <c r="DE378" s="164">
        <f t="shared" si="187"/>
        <v>17</v>
      </c>
      <c r="DF378" s="166">
        <f t="shared" si="188"/>
        <v>288.65826885568424</v>
      </c>
      <c r="DG378" s="164">
        <f t="shared" si="189"/>
        <v>17</v>
      </c>
      <c r="DH378" s="166">
        <f t="shared" si="190"/>
        <v>372.5158600681666</v>
      </c>
      <c r="DI378" s="164">
        <f>IFERROR(INDEX(DC$359:DC$407,_xlfn.AGGREGATE(15,6,(ROW(DC$359:DC$407)-ROW(DC$359)+1)/(DC$359:DC$407&lt;&gt;""),ROWS(DI$1:DI20))),"")</f>
        <v>20</v>
      </c>
      <c r="DJ378" s="165">
        <f>IFERROR(INDEX(DD$359:DD$407,_xlfn.AGGREGATE(15,6,(ROW(DD$359:DD$407)-ROW(DD$359)+1)/(DD$359:DD$407&lt;&gt;""),ROWS(DJ$1:DJ20))),"")</f>
        <v>212.84956669013877</v>
      </c>
      <c r="DK378" s="166">
        <f t="shared" si="191"/>
        <v>378</v>
      </c>
      <c r="DL378" s="164">
        <f>IFERROR(INDEX(DE$359:DE$407,_xlfn.AGGREGATE(15,6,(ROW(DE$359:DE$407)-ROW(DE$359)+1)/(DE$359:DE$407&lt;&gt;""),ROWS(DL$1:DL20))),"")</f>
        <v>20</v>
      </c>
      <c r="DM378" s="165">
        <f>IFERROR(INDEX(DF$359:DF$407,_xlfn.AGGREGATE(15,6,(ROW(DF$359:DF$407)-ROW(DF$359)+1)/(DF$359:DF$407&lt;&gt;""),ROWS(DM$1:DM20))),"")</f>
        <v>304.74207389534394</v>
      </c>
      <c r="DN378" s="166">
        <f t="shared" si="192"/>
        <v>378</v>
      </c>
      <c r="DO378" s="164">
        <f>IFERROR(INDEX(DG$359:DG$407,_xlfn.AGGREGATE(15,6,(ROW(DG$359:DG$407)-ROW(DG$359)+1)/(DG$359:DG$407&lt;&gt;""),ROWS(DO$1:DO20))),"")</f>
        <v>20</v>
      </c>
      <c r="DP378" s="165">
        <f>IFERROR(INDEX(DH$359:DH$407,_xlfn.AGGREGATE(15,6,(ROW(DH$359:DH$407)-ROW(DH$359)+1)/(DH$359:DH$407&lt;&gt;""),ROWS(DP$1:DP20))),"")</f>
        <v>396.6345811005491</v>
      </c>
      <c r="DQ378" s="166">
        <f t="shared" si="193"/>
        <v>378</v>
      </c>
      <c r="DV378" s="145">
        <v>2034</v>
      </c>
      <c r="DW378" s="235">
        <f t="shared" ca="1" si="177"/>
        <v>304.73826849979622</v>
      </c>
    </row>
    <row r="379" spans="1:135" ht="13.8" x14ac:dyDescent="0.45">
      <c r="B379" s="128">
        <v>2032</v>
      </c>
      <c r="C379" s="244">
        <f>'Total MSW Summaries (Archive)'!H23</f>
        <v>230.27022907812602</v>
      </c>
      <c r="D379" s="244">
        <f>'Total MSW Summaries (Archive)'!T23</f>
        <v>410.90443099941155</v>
      </c>
      <c r="E379" s="244">
        <f>'Total MSW Summaries (Archive)'!AF23</f>
        <v>297.50799999999981</v>
      </c>
      <c r="F379" s="244">
        <f>'Total MSW Summaries (Archive)'!AR23</f>
        <v>360.85356745611898</v>
      </c>
      <c r="G379" s="244">
        <f>'Total MSW Summaries (Archive)'!BD23</f>
        <v>170.7297297297296</v>
      </c>
      <c r="H379" s="245"/>
      <c r="I379" s="246"/>
      <c r="J379" s="247"/>
      <c r="K379" s="245"/>
      <c r="L379" s="246"/>
      <c r="M379" s="245"/>
      <c r="N379" s="29" t="s">
        <v>119</v>
      </c>
      <c r="O379" s="120"/>
      <c r="P379" s="120"/>
      <c r="Q379" s="120"/>
      <c r="R379" s="29">
        <v>18</v>
      </c>
      <c r="S379" s="238">
        <f t="shared" si="178"/>
        <v>170.7297297297296</v>
      </c>
      <c r="T379" s="238">
        <f t="shared" si="179"/>
        <v>410.90443099941155</v>
      </c>
      <c r="U379" s="238">
        <f t="shared" si="180"/>
        <v>86.493214324029978</v>
      </c>
      <c r="W379" s="238">
        <f t="shared" si="181"/>
        <v>207.55997712864723</v>
      </c>
      <c r="X379" s="238">
        <f t="shared" si="182"/>
        <v>294.0531914526772</v>
      </c>
      <c r="Y379" s="238">
        <f t="shared" si="183"/>
        <v>380.54640577670716</v>
      </c>
      <c r="AA379" s="89"/>
      <c r="AB379" s="89"/>
      <c r="AC379" s="89"/>
      <c r="AD379" s="89"/>
      <c r="AE379" s="89"/>
      <c r="AF379" s="89"/>
      <c r="AG379" s="89"/>
      <c r="AH379" s="89"/>
      <c r="AI379" s="89"/>
      <c r="AJ379" s="89"/>
      <c r="AK379" s="89"/>
      <c r="AL379" s="89"/>
      <c r="AM379" s="89"/>
      <c r="AN379" s="89"/>
      <c r="BR379" s="180">
        <v>2030</v>
      </c>
      <c r="BS379" s="22">
        <v>16</v>
      </c>
      <c r="BT379" s="198">
        <f t="shared" si="194"/>
        <v>87.756542625334177</v>
      </c>
      <c r="BU379" s="276">
        <f t="shared" si="195"/>
        <v>193.74711198597203</v>
      </c>
      <c r="BV379" s="205">
        <f t="shared" si="196"/>
        <v>281.50365461130622</v>
      </c>
      <c r="BY379" s="180">
        <v>2030</v>
      </c>
      <c r="BZ379" s="22">
        <v>16</v>
      </c>
      <c r="CA379" s="198">
        <f t="shared" ca="1" si="197"/>
        <v>-5.103480131370957</v>
      </c>
      <c r="CB379" s="198">
        <f t="shared" ca="1" si="198"/>
        <v>97.963502888076107</v>
      </c>
      <c r="CC379" s="276">
        <f t="shared" ca="1" si="209"/>
        <v>190.2384693956545</v>
      </c>
      <c r="CD379" s="205">
        <f t="shared" ca="1" si="199"/>
        <v>283.09849215235965</v>
      </c>
      <c r="CG379" s="180">
        <v>2030</v>
      </c>
      <c r="CH379" s="22">
        <v>16</v>
      </c>
      <c r="CI379" s="198">
        <f t="shared" ca="1" si="200"/>
        <v>-0.15711108057311382</v>
      </c>
      <c r="CJ379" s="198">
        <f t="shared" ca="1" si="201"/>
        <v>-4.6321468896515627</v>
      </c>
      <c r="CK379" s="198">
        <f t="shared" ca="1" si="202"/>
        <v>97.58042188614732</v>
      </c>
      <c r="CL379" s="276">
        <f t="shared" ca="1" si="203"/>
        <v>190.307328236437</v>
      </c>
      <c r="CM379" s="205">
        <f t="shared" ca="1" si="204"/>
        <v>283.09849215235965</v>
      </c>
      <c r="CP379" s="180">
        <v>2030</v>
      </c>
      <c r="CQ379" s="22">
        <v>16</v>
      </c>
      <c r="CR379" s="198">
        <f t="shared" ca="1" si="205"/>
        <v>201.37697433285535</v>
      </c>
      <c r="CS379" s="276">
        <f t="shared" ca="1" si="206"/>
        <v>1.376006180473385</v>
      </c>
      <c r="CT379" s="205">
        <f t="shared" ca="1" si="207"/>
        <v>277.09596128703919</v>
      </c>
      <c r="CZ379" s="164" t="b">
        <f t="shared" si="184"/>
        <v>1</v>
      </c>
      <c r="DA379" s="165" t="b">
        <f t="shared" si="184"/>
        <v>1</v>
      </c>
      <c r="DB379" s="166" t="b">
        <f t="shared" si="184"/>
        <v>1</v>
      </c>
      <c r="DC379" s="164">
        <f t="shared" si="185"/>
        <v>18</v>
      </c>
      <c r="DD379" s="166">
        <f t="shared" si="186"/>
        <v>207.55997712864723</v>
      </c>
      <c r="DE379" s="164">
        <f t="shared" si="187"/>
        <v>18</v>
      </c>
      <c r="DF379" s="166">
        <f t="shared" si="188"/>
        <v>294.0531914526772</v>
      </c>
      <c r="DG379" s="164">
        <f t="shared" si="189"/>
        <v>18</v>
      </c>
      <c r="DH379" s="166">
        <f t="shared" si="190"/>
        <v>380.54640577670716</v>
      </c>
      <c r="DI379" s="164">
        <f>IFERROR(INDEX(DC$359:DC$407,_xlfn.AGGREGATE(15,6,(ROW(DC$359:DC$407)-ROW(DC$359)+1)/(DC$359:DC$407&lt;&gt;""),ROWS(DI$1:DI21))),"")</f>
        <v>21</v>
      </c>
      <c r="DJ379" s="165">
        <f>IFERROR(INDEX(DD$359:DD$407,_xlfn.AGGREGATE(15,6,(ROW(DD$359:DD$407)-ROW(DD$359)+1)/(DD$359:DD$407&lt;&gt;""),ROWS(DJ$1:DJ21))),"")</f>
        <v>215.37641260828605</v>
      </c>
      <c r="DK379" s="166">
        <f t="shared" si="191"/>
        <v>379</v>
      </c>
      <c r="DL379" s="164">
        <f>IFERROR(INDEX(DE$359:DE$407,_xlfn.AGGREGATE(15,6,(ROW(DE$359:DE$407)-ROW(DE$359)+1)/(DE$359:DE$407&lt;&gt;""),ROWS(DL$1:DL21))),"")</f>
        <v>21</v>
      </c>
      <c r="DM379" s="165">
        <f>IFERROR(INDEX(DF$359:DF$407,_xlfn.AGGREGATE(15,6,(ROW(DF$359:DF$407)-ROW(DF$359)+1)/(DF$359:DF$407&lt;&gt;""),ROWS(DM$1:DM21))),"")</f>
        <v>310.02511859705595</v>
      </c>
      <c r="DN379" s="166">
        <f t="shared" si="192"/>
        <v>379</v>
      </c>
      <c r="DO379" s="164">
        <f>IFERROR(INDEX(DG$359:DG$407,_xlfn.AGGREGATE(15,6,(ROW(DG$359:DG$407)-ROW(DG$359)+1)/(DG$359:DG$407&lt;&gt;""),ROWS(DO$1:DO21))),"")</f>
        <v>21</v>
      </c>
      <c r="DP379" s="165">
        <f>IFERROR(INDEX(DH$359:DH$407,_xlfn.AGGREGATE(15,6,(ROW(DH$359:DH$407)-ROW(DH$359)+1)/(DH$359:DH$407&lt;&gt;""),ROWS(DP$1:DP21))),"")</f>
        <v>404.67382458582586</v>
      </c>
      <c r="DQ379" s="166">
        <f t="shared" si="193"/>
        <v>379</v>
      </c>
      <c r="DV379" s="145">
        <v>2035</v>
      </c>
      <c r="DW379" s="235">
        <f t="shared" ca="1" si="177"/>
        <v>310.04680916645628</v>
      </c>
    </row>
    <row r="380" spans="1:135" ht="13.8" x14ac:dyDescent="0.45">
      <c r="B380" s="128">
        <v>2033</v>
      </c>
      <c r="C380" s="244">
        <f>'Total MSW Summaries (Archive)'!H24</f>
        <v>232.17214222728748</v>
      </c>
      <c r="D380" s="244">
        <f>'Total MSW Summaries (Archive)'!T24</f>
        <v>421.83098552228944</v>
      </c>
      <c r="E380" s="244">
        <f>'Total MSW Summaries (Archive)'!AF24</f>
        <v>304.9939999999998</v>
      </c>
      <c r="F380" s="244">
        <f>'Total MSW Summaries (Archive)'!AR24</f>
        <v>364.88641120272581</v>
      </c>
      <c r="G380" s="244">
        <f>'Total MSW Summaries (Archive)'!BD24</f>
        <v>173.18918918918905</v>
      </c>
      <c r="H380" s="245"/>
      <c r="I380" s="246"/>
      <c r="J380" s="247"/>
      <c r="K380" s="245"/>
      <c r="L380" s="246"/>
      <c r="M380" s="245"/>
      <c r="N380" s="29" t="s">
        <v>119</v>
      </c>
      <c r="O380" s="120"/>
      <c r="P380" s="120"/>
      <c r="Q380" s="120"/>
      <c r="R380" s="29">
        <v>19</v>
      </c>
      <c r="S380" s="238">
        <f t="shared" si="178"/>
        <v>173.18918918918905</v>
      </c>
      <c r="T380" s="238">
        <f t="shared" si="179"/>
        <v>421.83098552228944</v>
      </c>
      <c r="U380" s="238">
        <f t="shared" si="180"/>
        <v>89.171589278789227</v>
      </c>
      <c r="W380" s="238">
        <f t="shared" si="181"/>
        <v>210.24295634950909</v>
      </c>
      <c r="X380" s="238">
        <f t="shared" si="182"/>
        <v>299.4145456282983</v>
      </c>
      <c r="Y380" s="238">
        <f t="shared" si="183"/>
        <v>388.58613490708751</v>
      </c>
      <c r="AA380" s="89"/>
      <c r="AB380" s="89"/>
      <c r="AC380" s="89"/>
      <c r="AD380" s="89"/>
      <c r="AE380" s="89"/>
      <c r="AF380" s="89"/>
      <c r="AG380" s="89"/>
      <c r="AH380" s="89"/>
      <c r="AI380" s="89"/>
      <c r="AJ380" s="89"/>
      <c r="AK380" s="89"/>
      <c r="AL380" s="89"/>
      <c r="AM380" s="89"/>
      <c r="AN380" s="89"/>
      <c r="BR380" s="180">
        <v>2031</v>
      </c>
      <c r="BS380" s="22">
        <v>17</v>
      </c>
      <c r="BT380" s="198">
        <f t="shared" si="194"/>
        <v>93.241326539417557</v>
      </c>
      <c r="BU380" s="276">
        <f t="shared" si="195"/>
        <v>193.74711198597203</v>
      </c>
      <c r="BV380" s="205">
        <f t="shared" si="196"/>
        <v>286.9884385253896</v>
      </c>
      <c r="BY380" s="180">
        <v>2031</v>
      </c>
      <c r="BZ380" s="22">
        <v>17</v>
      </c>
      <c r="CA380" s="198">
        <f t="shared" ca="1" si="197"/>
        <v>-5.761350617055494</v>
      </c>
      <c r="CB380" s="198">
        <f t="shared" ca="1" si="198"/>
        <v>104.08622181858087</v>
      </c>
      <c r="CC380" s="276">
        <f t="shared" ca="1" si="209"/>
        <v>190.2384693956545</v>
      </c>
      <c r="CD380" s="205">
        <f t="shared" ca="1" si="199"/>
        <v>288.56334059717989</v>
      </c>
      <c r="CG380" s="180">
        <v>2031</v>
      </c>
      <c r="CH380" s="22">
        <v>17</v>
      </c>
      <c r="CI380" s="198">
        <f t="shared" ca="1" si="200"/>
        <v>-0.1884489108534444</v>
      </c>
      <c r="CJ380" s="198">
        <f t="shared" ca="1" si="201"/>
        <v>-5.2292595746457096</v>
      </c>
      <c r="CK380" s="198">
        <f t="shared" ca="1" si="202"/>
        <v>103.67919825403153</v>
      </c>
      <c r="CL380" s="276">
        <f t="shared" ca="1" si="203"/>
        <v>190.307328236437</v>
      </c>
      <c r="CM380" s="205">
        <f t="shared" ca="1" si="204"/>
        <v>288.56881800496939</v>
      </c>
      <c r="CP380" s="180">
        <v>2031</v>
      </c>
      <c r="CQ380" s="22">
        <v>17</v>
      </c>
      <c r="CR380" s="198">
        <f t="shared" ca="1" si="205"/>
        <v>201.37697433285535</v>
      </c>
      <c r="CS380" s="276">
        <f t="shared" ca="1" si="206"/>
        <v>1.4037318650693607</v>
      </c>
      <c r="CT380" s="205">
        <f t="shared" ca="1" si="207"/>
        <v>282.67927576228379</v>
      </c>
      <c r="CZ380" s="164" t="b">
        <f t="shared" si="184"/>
        <v>1</v>
      </c>
      <c r="DA380" s="165" t="b">
        <f t="shared" si="184"/>
        <v>1</v>
      </c>
      <c r="DB380" s="166" t="b">
        <f t="shared" si="184"/>
        <v>1</v>
      </c>
      <c r="DC380" s="164">
        <f t="shared" si="185"/>
        <v>19</v>
      </c>
      <c r="DD380" s="166">
        <f t="shared" si="186"/>
        <v>210.24295634950909</v>
      </c>
      <c r="DE380" s="164">
        <f t="shared" si="187"/>
        <v>19</v>
      </c>
      <c r="DF380" s="166">
        <f t="shared" si="188"/>
        <v>299.4145456282983</v>
      </c>
      <c r="DG380" s="164">
        <f t="shared" si="189"/>
        <v>19</v>
      </c>
      <c r="DH380" s="166">
        <f t="shared" si="190"/>
        <v>388.58613490708751</v>
      </c>
      <c r="DI380" s="164">
        <f>IFERROR(INDEX(DC$359:DC$407,_xlfn.AGGREGATE(15,6,(ROW(DC$359:DC$407)-ROW(DC$359)+1)/(DC$359:DC$407&lt;&gt;""),ROWS(DI$1:DI22))),"")</f>
        <v>22</v>
      </c>
      <c r="DJ380" s="165">
        <f>IFERROR(INDEX(DD$359:DD$407,_xlfn.AGGREGATE(15,6,(ROW(DD$359:DD$407)-ROW(DD$359)+1)/(DD$359:DD$407&lt;&gt;""),ROWS(DJ$1:DJ22))),"")</f>
        <v>217.83481705319082</v>
      </c>
      <c r="DK380" s="166">
        <f t="shared" si="191"/>
        <v>380</v>
      </c>
      <c r="DL380" s="164">
        <f>IFERROR(INDEX(DE$359:DE$407,_xlfn.AGGREGATE(15,6,(ROW(DE$359:DE$407)-ROW(DE$359)+1)/(DE$359:DE$407&lt;&gt;""),ROWS(DL$1:DL22))),"")</f>
        <v>22</v>
      </c>
      <c r="DM380" s="165">
        <f>IFERROR(INDEX(DF$359:DF$407,_xlfn.AGGREGATE(15,6,(ROW(DF$359:DF$407)-ROW(DF$359)+1)/(DF$359:DF$407&lt;&gt;""),ROWS(DM$1:DM22))),"")</f>
        <v>315.29558013118145</v>
      </c>
      <c r="DN380" s="166">
        <f t="shared" si="192"/>
        <v>380</v>
      </c>
      <c r="DO380" s="164">
        <f>IFERROR(INDEX(DG$359:DG$407,_xlfn.AGGREGATE(15,6,(ROW(DG$359:DG$407)-ROW(DG$359)+1)/(DG$359:DG$407&lt;&gt;""),ROWS(DO$1:DO22))),"")</f>
        <v>22</v>
      </c>
      <c r="DP380" s="165">
        <f>IFERROR(INDEX(DH$359:DH$407,_xlfn.AGGREGATE(15,6,(ROW(DH$359:DH$407)-ROW(DH$359)+1)/(DH$359:DH$407&lt;&gt;""),ROWS(DP$1:DP22))),"")</f>
        <v>412.75634320917209</v>
      </c>
      <c r="DQ380" s="166">
        <f t="shared" si="193"/>
        <v>380</v>
      </c>
      <c r="DV380" s="145">
        <v>2036</v>
      </c>
      <c r="DW380" s="235">
        <f t="shared" ca="1" si="177"/>
        <v>315.31432817866784</v>
      </c>
    </row>
    <row r="381" spans="1:135" ht="13.8" x14ac:dyDescent="0.45">
      <c r="B381" s="128">
        <v>2034</v>
      </c>
      <c r="C381" s="244">
        <f>'Total MSW Summaries (Archive)'!H25</f>
        <v>234.030665615544</v>
      </c>
      <c r="D381" s="244">
        <f>'Total MSW Summaries (Archive)'!T25</f>
        <v>432.80071094501267</v>
      </c>
      <c r="E381" s="244">
        <f>'Total MSW Summaries (Archive)'!AF25</f>
        <v>312.47999999999979</v>
      </c>
      <c r="F381" s="244">
        <f>'Total MSW Summaries (Archive)'!AR25</f>
        <v>368.75034426751472</v>
      </c>
      <c r="G381" s="244">
        <f>'Total MSW Summaries (Archive)'!BD25</f>
        <v>175.6486486486485</v>
      </c>
      <c r="H381" s="245"/>
      <c r="I381" s="246"/>
      <c r="J381" s="247"/>
      <c r="K381" s="245"/>
      <c r="L381" s="246"/>
      <c r="M381" s="245"/>
      <c r="N381" s="29" t="s">
        <v>119</v>
      </c>
      <c r="O381" s="120"/>
      <c r="P381" s="120"/>
      <c r="Q381" s="120"/>
      <c r="R381" s="29">
        <v>20</v>
      </c>
      <c r="S381" s="238">
        <f t="shared" si="178"/>
        <v>175.6486486486485</v>
      </c>
      <c r="T381" s="238">
        <f t="shared" si="179"/>
        <v>432.80071094501267</v>
      </c>
      <c r="U381" s="238">
        <f t="shared" si="180"/>
        <v>91.892507205205163</v>
      </c>
      <c r="W381" s="238">
        <f t="shared" si="181"/>
        <v>212.84956669013877</v>
      </c>
      <c r="X381" s="238">
        <f t="shared" si="182"/>
        <v>304.74207389534394</v>
      </c>
      <c r="Y381" s="238">
        <f t="shared" si="183"/>
        <v>396.6345811005491</v>
      </c>
      <c r="AA381" s="89"/>
      <c r="AB381" s="89"/>
      <c r="AC381" s="89"/>
      <c r="AD381" s="89"/>
      <c r="AE381" s="89"/>
      <c r="AF381" s="89"/>
      <c r="AG381" s="89"/>
      <c r="AH381" s="89"/>
      <c r="AI381" s="89"/>
      <c r="AJ381" s="89"/>
      <c r="AK381" s="89"/>
      <c r="AL381" s="89"/>
      <c r="AM381" s="89"/>
      <c r="AN381" s="89"/>
      <c r="BR381" s="180">
        <v>2032</v>
      </c>
      <c r="BS381" s="22">
        <v>18</v>
      </c>
      <c r="BT381" s="198">
        <f t="shared" si="194"/>
        <v>98.726110453500951</v>
      </c>
      <c r="BU381" s="276">
        <f t="shared" si="195"/>
        <v>193.74711198597203</v>
      </c>
      <c r="BV381" s="205">
        <f t="shared" si="196"/>
        <v>292.47322243947298</v>
      </c>
      <c r="BY381" s="180">
        <v>2032</v>
      </c>
      <c r="BZ381" s="22">
        <v>18</v>
      </c>
      <c r="CA381" s="198">
        <f t="shared" ca="1" si="197"/>
        <v>-6.4590920412663673</v>
      </c>
      <c r="CB381" s="198">
        <f t="shared" ca="1" si="198"/>
        <v>110.20894074908563</v>
      </c>
      <c r="CC381" s="276">
        <f t="shared" ca="1" si="209"/>
        <v>190.2384693956545</v>
      </c>
      <c r="CD381" s="205">
        <f t="shared" ca="1" si="199"/>
        <v>293.98831810347377</v>
      </c>
      <c r="CG381" s="180">
        <v>2032</v>
      </c>
      <c r="CH381" s="22">
        <v>18</v>
      </c>
      <c r="CI381" s="198">
        <f t="shared" ca="1" si="200"/>
        <v>-0.22369917526914057</v>
      </c>
      <c r="CJ381" s="198">
        <f t="shared" ca="1" si="201"/>
        <v>-5.8625609072152587</v>
      </c>
      <c r="CK381" s="198">
        <f t="shared" ca="1" si="202"/>
        <v>109.77797462191573</v>
      </c>
      <c r="CL381" s="276">
        <f t="shared" ca="1" si="203"/>
        <v>190.307328236437</v>
      </c>
      <c r="CM381" s="205">
        <f t="shared" ca="1" si="204"/>
        <v>293.99904277586836</v>
      </c>
      <c r="CP381" s="180">
        <v>2032</v>
      </c>
      <c r="CQ381" s="22">
        <v>18</v>
      </c>
      <c r="CR381" s="198">
        <f t="shared" ca="1" si="205"/>
        <v>201.37697433285535</v>
      </c>
      <c r="CS381" s="276">
        <f t="shared" ca="1" si="206"/>
        <v>1.4320162052856555</v>
      </c>
      <c r="CT381" s="205">
        <f t="shared" ca="1" si="207"/>
        <v>288.37509061604237</v>
      </c>
      <c r="CZ381" s="164" t="b">
        <f t="shared" si="184"/>
        <v>1</v>
      </c>
      <c r="DA381" s="165" t="b">
        <f t="shared" si="184"/>
        <v>1</v>
      </c>
      <c r="DB381" s="166" t="b">
        <f t="shared" si="184"/>
        <v>1</v>
      </c>
      <c r="DC381" s="164">
        <f t="shared" si="185"/>
        <v>20</v>
      </c>
      <c r="DD381" s="166">
        <f t="shared" si="186"/>
        <v>212.84956669013877</v>
      </c>
      <c r="DE381" s="164">
        <f t="shared" si="187"/>
        <v>20</v>
      </c>
      <c r="DF381" s="166">
        <f t="shared" si="188"/>
        <v>304.74207389534394</v>
      </c>
      <c r="DG381" s="164">
        <f t="shared" si="189"/>
        <v>20</v>
      </c>
      <c r="DH381" s="166">
        <f t="shared" si="190"/>
        <v>396.6345811005491</v>
      </c>
      <c r="DI381" s="164">
        <f>IFERROR(INDEX(DC$359:DC$407,_xlfn.AGGREGATE(15,6,(ROW(DC$359:DC$407)-ROW(DC$359)+1)/(DC$359:DC$407&lt;&gt;""),ROWS(DI$1:DI23))),"")</f>
        <v>23</v>
      </c>
      <c r="DJ381" s="165">
        <f>IFERROR(INDEX(DD$359:DD$407,_xlfn.AGGREGATE(15,6,(ROW(DD$359:DD$407)-ROW(DD$359)+1)/(DD$359:DD$407&lt;&gt;""),ROWS(DJ$1:DJ23))),"")</f>
        <v>220.21477877254313</v>
      </c>
      <c r="DK381" s="166">
        <f t="shared" si="191"/>
        <v>381</v>
      </c>
      <c r="DL381" s="164">
        <f>IFERROR(INDEX(DE$359:DE$407,_xlfn.AGGREGATE(15,6,(ROW(DE$359:DE$407)-ROW(DE$359)+1)/(DE$359:DE$407&lt;&gt;""),ROWS(DL$1:DL23))),"")</f>
        <v>23</v>
      </c>
      <c r="DM381" s="165">
        <f>IFERROR(INDEX(DF$359:DF$407,_xlfn.AGGREGATE(15,6,(ROW(DF$359:DF$407)-ROW(DF$359)+1)/(DF$359:DF$407&lt;&gt;""),ROWS(DM$1:DM23))),"")</f>
        <v>320.52211678445963</v>
      </c>
      <c r="DN381" s="166">
        <f t="shared" si="192"/>
        <v>381</v>
      </c>
      <c r="DO381" s="164">
        <f>IFERROR(INDEX(DG$359:DG$407,_xlfn.AGGREGATE(15,6,(ROW(DG$359:DG$407)-ROW(DG$359)+1)/(DG$359:DG$407&lt;&gt;""),ROWS(DO$1:DO23))),"")</f>
        <v>23</v>
      </c>
      <c r="DP381" s="165">
        <f>IFERROR(INDEX(DH$359:DH$407,_xlfn.AGGREGATE(15,6,(ROW(DH$359:DH$407)-ROW(DH$359)+1)/(DH$359:DH$407&lt;&gt;""),ROWS(DP$1:DP23))),"")</f>
        <v>420.82945479637613</v>
      </c>
      <c r="DQ381" s="166">
        <f t="shared" si="193"/>
        <v>381</v>
      </c>
      <c r="DV381" s="145">
        <v>2037</v>
      </c>
      <c r="DW381" s="235">
        <f t="shared" ca="1" si="177"/>
        <v>320.54059539324646</v>
      </c>
    </row>
    <row r="382" spans="1:135" ht="13.8" x14ac:dyDescent="0.45">
      <c r="B382" s="128">
        <v>2035</v>
      </c>
      <c r="C382" s="244">
        <f>'Total MSW Summaries (Archive)'!H26</f>
        <v>235.84501999724253</v>
      </c>
      <c r="D382" s="244">
        <f>'Total MSW Summaries (Archive)'!T26</f>
        <v>443.80791763036655</v>
      </c>
      <c r="E382" s="244">
        <f>'Total MSW Summaries (Archive)'!AF26</f>
        <v>319.96599999999978</v>
      </c>
      <c r="F382" s="244">
        <f>'Total MSW Summaries (Archive)'!AR26</f>
        <v>372.39854724956302</v>
      </c>
      <c r="G382" s="244">
        <f>'Total MSW Summaries (Archive)'!BD26</f>
        <v>178.10810810810796</v>
      </c>
      <c r="H382" s="245"/>
      <c r="I382" s="246"/>
      <c r="J382" s="247"/>
      <c r="K382" s="245"/>
      <c r="L382" s="246"/>
      <c r="M382" s="245"/>
      <c r="N382" s="29" t="s">
        <v>119</v>
      </c>
      <c r="O382" s="120"/>
      <c r="P382" s="120"/>
      <c r="Q382" s="120"/>
      <c r="R382" s="29">
        <v>21</v>
      </c>
      <c r="S382" s="238">
        <f t="shared" si="178"/>
        <v>178.10810810810796</v>
      </c>
      <c r="T382" s="238">
        <f t="shared" si="179"/>
        <v>443.80791763036655</v>
      </c>
      <c r="U382" s="238">
        <f t="shared" si="180"/>
        <v>94.648705988769919</v>
      </c>
      <c r="W382" s="238">
        <f t="shared" si="181"/>
        <v>215.37641260828605</v>
      </c>
      <c r="X382" s="238">
        <f t="shared" si="182"/>
        <v>310.02511859705595</v>
      </c>
      <c r="Y382" s="238">
        <f t="shared" si="183"/>
        <v>404.67382458582586</v>
      </c>
      <c r="AA382" s="89"/>
      <c r="AB382" s="89"/>
      <c r="AC382" s="89"/>
      <c r="AD382" s="89"/>
      <c r="AE382" s="89"/>
      <c r="AF382" s="89"/>
      <c r="AG382" s="89"/>
      <c r="AH382" s="89"/>
      <c r="AI382" s="89"/>
      <c r="AJ382" s="89"/>
      <c r="AK382" s="89"/>
      <c r="AL382" s="89"/>
      <c r="AM382" s="89"/>
      <c r="AN382" s="89"/>
      <c r="BR382" s="180">
        <v>2033</v>
      </c>
      <c r="BS382" s="22">
        <v>19</v>
      </c>
      <c r="BT382" s="198">
        <f t="shared" si="194"/>
        <v>104.21089436758433</v>
      </c>
      <c r="BU382" s="276">
        <f t="shared" si="195"/>
        <v>193.74711198597203</v>
      </c>
      <c r="BV382" s="205">
        <f t="shared" si="196"/>
        <v>297.95800635355636</v>
      </c>
      <c r="BY382" s="180">
        <v>2033</v>
      </c>
      <c r="BZ382" s="22">
        <v>19</v>
      </c>
      <c r="CA382" s="198">
        <f t="shared" ca="1" si="197"/>
        <v>-7.1967044040035759</v>
      </c>
      <c r="CB382" s="198">
        <f t="shared" ca="1" si="198"/>
        <v>116.33165967959037</v>
      </c>
      <c r="CC382" s="276">
        <f t="shared" ca="1" si="209"/>
        <v>190.2384693956545</v>
      </c>
      <c r="CD382" s="205">
        <f t="shared" ca="1" si="199"/>
        <v>299.37342467124131</v>
      </c>
      <c r="CG382" s="180">
        <v>2033</v>
      </c>
      <c r="CH382" s="22">
        <v>19</v>
      </c>
      <c r="CI382" s="198">
        <f t="shared" ca="1" si="200"/>
        <v>-0.26309201700463569</v>
      </c>
      <c r="CJ382" s="198">
        <f t="shared" ca="1" si="201"/>
        <v>-6.5320508873602119</v>
      </c>
      <c r="CK382" s="198">
        <f t="shared" ca="1" si="202"/>
        <v>115.87675098979994</v>
      </c>
      <c r="CL382" s="276">
        <f t="shared" ca="1" si="203"/>
        <v>190.307328236437</v>
      </c>
      <c r="CM382" s="205">
        <f t="shared" ca="1" si="204"/>
        <v>299.38893632187211</v>
      </c>
      <c r="CP382" s="180">
        <v>2033</v>
      </c>
      <c r="CQ382" s="22">
        <v>19</v>
      </c>
      <c r="CR382" s="198">
        <f t="shared" ca="1" si="205"/>
        <v>201.37697433285535</v>
      </c>
      <c r="CS382" s="276">
        <f t="shared" ca="1" si="206"/>
        <v>1.4608704576920051</v>
      </c>
      <c r="CT382" s="205">
        <f t="shared" ca="1" si="207"/>
        <v>294.18567266226955</v>
      </c>
      <c r="CZ382" s="164" t="b">
        <f t="shared" si="184"/>
        <v>1</v>
      </c>
      <c r="DA382" s="165" t="b">
        <f t="shared" si="184"/>
        <v>1</v>
      </c>
      <c r="DB382" s="166" t="b">
        <f t="shared" si="184"/>
        <v>1</v>
      </c>
      <c r="DC382" s="164">
        <f t="shared" si="185"/>
        <v>21</v>
      </c>
      <c r="DD382" s="166">
        <f t="shared" si="186"/>
        <v>215.37641260828605</v>
      </c>
      <c r="DE382" s="164">
        <f t="shared" si="187"/>
        <v>21</v>
      </c>
      <c r="DF382" s="166">
        <f t="shared" si="188"/>
        <v>310.02511859705595</v>
      </c>
      <c r="DG382" s="164">
        <f t="shared" si="189"/>
        <v>21</v>
      </c>
      <c r="DH382" s="166">
        <f t="shared" si="190"/>
        <v>404.67382458582586</v>
      </c>
      <c r="DI382" s="164">
        <f>IFERROR(INDEX(DC$359:DC$407,_xlfn.AGGREGATE(15,6,(ROW(DC$359:DC$407)-ROW(DC$359)+1)/(DC$359:DC$407&lt;&gt;""),ROWS(DI$1:DI24))),"")</f>
        <v>24</v>
      </c>
      <c r="DJ382" s="165">
        <f>IFERROR(INDEX(DD$359:DD$407,_xlfn.AGGREGATE(15,6,(ROW(DD$359:DD$407)-ROW(DD$359)+1)/(DD$359:DD$407&lt;&gt;""),ROWS(DJ$1:DJ24))),"")</f>
        <v>222.52107027014415</v>
      </c>
      <c r="DK382" s="166">
        <f t="shared" si="191"/>
        <v>382</v>
      </c>
      <c r="DL382" s="164">
        <f>IFERROR(INDEX(DE$359:DE$407,_xlfn.AGGREGATE(15,6,(ROW(DE$359:DE$407)-ROW(DE$359)+1)/(DE$359:DE$407&lt;&gt;""),ROWS(DL$1:DL24))),"")</f>
        <v>24</v>
      </c>
      <c r="DM382" s="165">
        <f>IFERROR(INDEX(DF$359:DF$407,_xlfn.AGGREGATE(15,6,(ROW(DF$359:DF$407)-ROW(DF$359)+1)/(DF$359:DF$407&lt;&gt;""),ROWS(DM$1:DM24))),"")</f>
        <v>325.71603662313493</v>
      </c>
      <c r="DN382" s="166">
        <f t="shared" si="192"/>
        <v>382</v>
      </c>
      <c r="DO382" s="164">
        <f>IFERROR(INDEX(DG$359:DG$407,_xlfn.AGGREGATE(15,6,(ROW(DG$359:DG$407)-ROW(DG$359)+1)/(DG$359:DG$407&lt;&gt;""),ROWS(DO$1:DO24))),"")</f>
        <v>24</v>
      </c>
      <c r="DP382" s="165">
        <f>IFERROR(INDEX(DH$359:DH$407,_xlfn.AGGREGATE(15,6,(ROW(DH$359:DH$407)-ROW(DH$359)+1)/(DH$359:DH$407&lt;&gt;""),ROWS(DP$1:DP24))),"")</f>
        <v>428.9110029761257</v>
      </c>
      <c r="DQ382" s="166">
        <f t="shared" si="193"/>
        <v>382</v>
      </c>
      <c r="DV382" s="145">
        <v>2038</v>
      </c>
      <c r="DW382" s="235">
        <f t="shared" ca="1" si="177"/>
        <v>325.7253806670077</v>
      </c>
    </row>
    <row r="383" spans="1:135" ht="13.8" x14ac:dyDescent="0.45">
      <c r="B383" s="128">
        <v>2036</v>
      </c>
      <c r="C383" s="244">
        <f>'Total MSW Summaries (Archive)'!H27</f>
        <v>237.61456295694006</v>
      </c>
      <c r="D383" s="244">
        <f>'Total MSW Summaries (Archive)'!T27</f>
        <v>454.84707673579601</v>
      </c>
      <c r="E383" s="244">
        <f>'Total MSW Summaries (Archive)'!AF27</f>
        <v>327.45199999999977</v>
      </c>
      <c r="F383" s="244">
        <f>'Total MSW Summaries (Archive)'!AR27</f>
        <v>375.99669339560387</v>
      </c>
      <c r="G383" s="244">
        <f>'Total MSW Summaries (Archive)'!BD27</f>
        <v>180.56756756756741</v>
      </c>
      <c r="H383" s="245"/>
      <c r="I383" s="246"/>
      <c r="J383" s="247"/>
      <c r="K383" s="245"/>
      <c r="L383" s="246"/>
      <c r="M383" s="245"/>
      <c r="N383" s="29" t="s">
        <v>119</v>
      </c>
      <c r="O383" s="120"/>
      <c r="P383" s="120"/>
      <c r="Q383" s="120"/>
      <c r="R383" s="29">
        <v>22</v>
      </c>
      <c r="S383" s="238">
        <f t="shared" si="178"/>
        <v>180.56756756756741</v>
      </c>
      <c r="T383" s="238">
        <f t="shared" si="179"/>
        <v>454.84707673579601</v>
      </c>
      <c r="U383" s="238">
        <f t="shared" si="180"/>
        <v>97.460763077990634</v>
      </c>
      <c r="W383" s="238">
        <f t="shared" si="181"/>
        <v>217.83481705319082</v>
      </c>
      <c r="X383" s="238">
        <f t="shared" si="182"/>
        <v>315.29558013118145</v>
      </c>
      <c r="Y383" s="238">
        <f t="shared" si="183"/>
        <v>412.75634320917209</v>
      </c>
      <c r="AA383" s="89"/>
      <c r="AB383" s="89"/>
      <c r="AC383" s="89"/>
      <c r="AD383" s="89"/>
      <c r="AE383" s="89"/>
      <c r="AF383" s="89"/>
      <c r="AG383" s="89"/>
      <c r="AH383" s="89"/>
      <c r="AI383" s="89"/>
      <c r="AJ383" s="89"/>
      <c r="AK383" s="89"/>
      <c r="AL383" s="89"/>
      <c r="AM383" s="89"/>
      <c r="AN383" s="89"/>
      <c r="BR383" s="180">
        <v>2034</v>
      </c>
      <c r="BS383" s="22">
        <v>20</v>
      </c>
      <c r="BT383" s="198">
        <f t="shared" si="194"/>
        <v>109.69567828166772</v>
      </c>
      <c r="BU383" s="276">
        <f t="shared" si="195"/>
        <v>193.74711198597203</v>
      </c>
      <c r="BV383" s="205">
        <f t="shared" si="196"/>
        <v>303.44279026763974</v>
      </c>
      <c r="BY383" s="180">
        <v>2034</v>
      </c>
      <c r="BZ383" s="22">
        <v>20</v>
      </c>
      <c r="CA383" s="198">
        <f t="shared" ca="1" si="197"/>
        <v>-7.97418770526712</v>
      </c>
      <c r="CB383" s="198">
        <f t="shared" ca="1" si="198"/>
        <v>122.45437861009513</v>
      </c>
      <c r="CC383" s="276">
        <f t="shared" ca="1" si="209"/>
        <v>190.2384693956545</v>
      </c>
      <c r="CD383" s="205">
        <f t="shared" ca="1" si="199"/>
        <v>304.7186603004825</v>
      </c>
      <c r="CG383" s="180">
        <v>2034</v>
      </c>
      <c r="CH383" s="22">
        <v>20</v>
      </c>
      <c r="CI383" s="198">
        <f t="shared" ca="1" si="200"/>
        <v>-0.30685757924436291</v>
      </c>
      <c r="CJ383" s="198">
        <f t="shared" ca="1" si="201"/>
        <v>-7.2377295150805665</v>
      </c>
      <c r="CK383" s="198">
        <f t="shared" ca="1" si="202"/>
        <v>121.97552735768414</v>
      </c>
      <c r="CL383" s="276">
        <f t="shared" ca="1" si="203"/>
        <v>190.307328236437</v>
      </c>
      <c r="CM383" s="205">
        <f t="shared" ca="1" si="204"/>
        <v>304.73826849979622</v>
      </c>
      <c r="CP383" s="180">
        <v>2034</v>
      </c>
      <c r="CQ383" s="22">
        <v>20</v>
      </c>
      <c r="CR383" s="198">
        <f t="shared" ca="1" si="205"/>
        <v>201.37697433285535</v>
      </c>
      <c r="CS383" s="276">
        <f t="shared" ca="1" si="206"/>
        <v>1.4903061056711537</v>
      </c>
      <c r="CT383" s="205">
        <f t="shared" ca="1" si="207"/>
        <v>300.11333438983752</v>
      </c>
      <c r="CZ383" s="164" t="b">
        <f t="shared" si="184"/>
        <v>1</v>
      </c>
      <c r="DA383" s="165" t="b">
        <f t="shared" si="184"/>
        <v>1</v>
      </c>
      <c r="DB383" s="166" t="b">
        <f t="shared" si="184"/>
        <v>1</v>
      </c>
      <c r="DC383" s="164">
        <f t="shared" si="185"/>
        <v>22</v>
      </c>
      <c r="DD383" s="166">
        <f t="shared" si="186"/>
        <v>217.83481705319082</v>
      </c>
      <c r="DE383" s="164">
        <f t="shared" si="187"/>
        <v>22</v>
      </c>
      <c r="DF383" s="166">
        <f t="shared" si="188"/>
        <v>315.29558013118145</v>
      </c>
      <c r="DG383" s="164">
        <f t="shared" si="189"/>
        <v>22</v>
      </c>
      <c r="DH383" s="166">
        <f t="shared" si="190"/>
        <v>412.75634320917209</v>
      </c>
      <c r="DI383" s="164">
        <f>IFERROR(INDEX(DC$359:DC$407,_xlfn.AGGREGATE(15,6,(ROW(DC$359:DC$407)-ROW(DC$359)+1)/(DC$359:DC$407&lt;&gt;""),ROWS(DI$1:DI25))),"")</f>
        <v>25</v>
      </c>
      <c r="DJ383" s="165">
        <f>IFERROR(INDEX(DD$359:DD$407,_xlfn.AGGREGATE(15,6,(ROW(DD$359:DD$407)-ROW(DD$359)+1)/(DD$359:DD$407&lt;&gt;""),ROWS(DJ$1:DJ25))),"")</f>
        <v>224.75517722958227</v>
      </c>
      <c r="DK383" s="166">
        <f t="shared" si="191"/>
        <v>383</v>
      </c>
      <c r="DL383" s="164">
        <f>IFERROR(INDEX(DE$359:DE$407,_xlfn.AGGREGATE(15,6,(ROW(DE$359:DE$407)-ROW(DE$359)+1)/(DE$359:DE$407&lt;&gt;""),ROWS(DL$1:DL25))),"")</f>
        <v>25</v>
      </c>
      <c r="DM383" s="165">
        <f>IFERROR(INDEX(DF$359:DF$407,_xlfn.AGGREGATE(15,6,(ROW(DF$359:DF$407)-ROW(DF$359)+1)/(DF$359:DF$407&lt;&gt;""),ROWS(DM$1:DM25))),"")</f>
        <v>330.8782878062122</v>
      </c>
      <c r="DN383" s="166">
        <f t="shared" si="192"/>
        <v>383</v>
      </c>
      <c r="DO383" s="164">
        <f>IFERROR(INDEX(DG$359:DG$407,_xlfn.AGGREGATE(15,6,(ROW(DG$359:DG$407)-ROW(DG$359)+1)/(DG$359:DG$407&lt;&gt;""),ROWS(DO$1:DO25))),"")</f>
        <v>25</v>
      </c>
      <c r="DP383" s="165">
        <f>IFERROR(INDEX(DH$359:DH$407,_xlfn.AGGREGATE(15,6,(ROW(DH$359:DH$407)-ROW(DH$359)+1)/(DH$359:DH$407&lt;&gt;""),ROWS(DP$1:DP25))),"")</f>
        <v>437.00139838284213</v>
      </c>
      <c r="DQ383" s="166">
        <f t="shared" si="193"/>
        <v>383</v>
      </c>
      <c r="DV383" s="145">
        <v>2039</v>
      </c>
      <c r="DW383" s="235">
        <f t="shared" ca="1" si="177"/>
        <v>330.86845385676713</v>
      </c>
    </row>
    <row r="384" spans="1:135" ht="13.8" x14ac:dyDescent="0.45">
      <c r="B384" s="128">
        <v>2037</v>
      </c>
      <c r="C384" s="244">
        <f>'Total MSW Summaries (Archive)'!H28</f>
        <v>239.33891590766618</v>
      </c>
      <c r="D384" s="244">
        <f>'Total MSW Summaries (Archive)'!T28</f>
        <v>465.91308963359018</v>
      </c>
      <c r="E384" s="244">
        <f>'Total MSW Summaries (Archive)'!AF28</f>
        <v>334.93799999999976</v>
      </c>
      <c r="F384" s="244">
        <f>'Total MSW Summaries (Archive)'!AR28</f>
        <v>379.39355135401496</v>
      </c>
      <c r="G384" s="244">
        <f>'Total MSW Summaries (Archive)'!BD28</f>
        <v>183.02702702702686</v>
      </c>
      <c r="H384" s="245"/>
      <c r="I384" s="246"/>
      <c r="J384" s="247"/>
      <c r="K384" s="245"/>
      <c r="L384" s="246"/>
      <c r="M384" s="245"/>
      <c r="N384" s="29" t="s">
        <v>119</v>
      </c>
      <c r="O384" s="120"/>
      <c r="P384" s="120"/>
      <c r="Q384" s="120"/>
      <c r="R384" s="29">
        <v>23</v>
      </c>
      <c r="S384" s="238">
        <f t="shared" si="178"/>
        <v>183.02702702702686</v>
      </c>
      <c r="T384" s="238">
        <f t="shared" si="179"/>
        <v>465.91308963359018</v>
      </c>
      <c r="U384" s="238">
        <f t="shared" si="180"/>
        <v>100.30733801191649</v>
      </c>
      <c r="W384" s="238">
        <f t="shared" si="181"/>
        <v>220.21477877254313</v>
      </c>
      <c r="X384" s="238">
        <f t="shared" si="182"/>
        <v>320.52211678445963</v>
      </c>
      <c r="Y384" s="238">
        <f t="shared" si="183"/>
        <v>420.82945479637613</v>
      </c>
      <c r="AA384" s="89"/>
      <c r="AB384" s="89"/>
      <c r="AC384" s="89"/>
      <c r="AD384" s="89"/>
      <c r="AE384" s="89"/>
      <c r="AF384" s="89"/>
      <c r="AG384" s="89"/>
      <c r="AH384" s="89"/>
      <c r="AI384" s="89"/>
      <c r="AJ384" s="89"/>
      <c r="AK384" s="89"/>
      <c r="AL384" s="89"/>
      <c r="AM384" s="89"/>
      <c r="AN384" s="89"/>
      <c r="BR384" s="180">
        <v>2035</v>
      </c>
      <c r="BS384" s="22">
        <v>21</v>
      </c>
      <c r="BT384" s="198">
        <f t="shared" si="194"/>
        <v>115.1804621957511</v>
      </c>
      <c r="BU384" s="276">
        <f t="shared" si="195"/>
        <v>193.74711198597203</v>
      </c>
      <c r="BV384" s="205">
        <f t="shared" si="196"/>
        <v>308.92757418172312</v>
      </c>
      <c r="BY384" s="180">
        <v>2035</v>
      </c>
      <c r="BZ384" s="22">
        <v>21</v>
      </c>
      <c r="CA384" s="198">
        <f t="shared" ca="1" si="197"/>
        <v>-8.7915419450570003</v>
      </c>
      <c r="CB384" s="198">
        <f t="shared" ca="1" si="198"/>
        <v>128.57709754059988</v>
      </c>
      <c r="CC384" s="276">
        <f t="shared" ca="1" si="209"/>
        <v>190.2384693956545</v>
      </c>
      <c r="CD384" s="205">
        <f t="shared" ca="1" si="199"/>
        <v>310.02402499119739</v>
      </c>
      <c r="CG384" s="180">
        <v>2035</v>
      </c>
      <c r="CH384" s="22">
        <v>21</v>
      </c>
      <c r="CI384" s="198">
        <f t="shared" ca="1" si="200"/>
        <v>-0.35522600517275565</v>
      </c>
      <c r="CJ384" s="198">
        <f t="shared" ca="1" si="201"/>
        <v>-7.9795967903763252</v>
      </c>
      <c r="CK384" s="198">
        <f t="shared" ca="1" si="202"/>
        <v>128.07430372556837</v>
      </c>
      <c r="CL384" s="276">
        <f t="shared" ca="1" si="203"/>
        <v>190.307328236437</v>
      </c>
      <c r="CM384" s="205">
        <f t="shared" ca="1" si="204"/>
        <v>310.04680916645628</v>
      </c>
      <c r="CP384" s="180">
        <v>2035</v>
      </c>
      <c r="CQ384" s="22">
        <v>21</v>
      </c>
      <c r="CR384" s="198">
        <f t="shared" ca="1" si="205"/>
        <v>201.37697433285535</v>
      </c>
      <c r="CS384" s="276">
        <f t="shared" ca="1" si="206"/>
        <v>1.520334863988998</v>
      </c>
      <c r="CT384" s="205">
        <f t="shared" ca="1" si="207"/>
        <v>306.1604348828576</v>
      </c>
      <c r="CZ384" s="164" t="b">
        <f t="shared" si="184"/>
        <v>1</v>
      </c>
      <c r="DA384" s="165" t="b">
        <f t="shared" si="184"/>
        <v>1</v>
      </c>
      <c r="DB384" s="166" t="b">
        <f t="shared" si="184"/>
        <v>1</v>
      </c>
      <c r="DC384" s="164">
        <f t="shared" si="185"/>
        <v>23</v>
      </c>
      <c r="DD384" s="166">
        <f t="shared" si="186"/>
        <v>220.21477877254313</v>
      </c>
      <c r="DE384" s="164">
        <f t="shared" si="187"/>
        <v>23</v>
      </c>
      <c r="DF384" s="166">
        <f t="shared" si="188"/>
        <v>320.52211678445963</v>
      </c>
      <c r="DG384" s="164">
        <f t="shared" si="189"/>
        <v>23</v>
      </c>
      <c r="DH384" s="166">
        <f t="shared" si="190"/>
        <v>420.82945479637613</v>
      </c>
      <c r="DI384" s="164">
        <f>IFERROR(INDEX(DC$359:DC$407,_xlfn.AGGREGATE(15,6,(ROW(DC$359:DC$407)-ROW(DC$359)+1)/(DC$359:DC$407&lt;&gt;""),ROWS(DI$1:DI26))),"")</f>
        <v>26</v>
      </c>
      <c r="DJ384" s="165">
        <f>IFERROR(INDEX(DD$359:DD$407,_xlfn.AGGREGATE(15,6,(ROW(DD$359:DD$407)-ROW(DD$359)+1)/(DD$359:DD$407&lt;&gt;""),ROWS(DJ$1:DJ26))),"")</f>
        <v>226.82623291494701</v>
      </c>
      <c r="DK384" s="166">
        <f t="shared" si="191"/>
        <v>384</v>
      </c>
      <c r="DL384" s="164">
        <f>IFERROR(INDEX(DE$359:DE$407,_xlfn.AGGREGATE(15,6,(ROW(DE$359:DE$407)-ROW(DE$359)+1)/(DE$359:DE$407&lt;&gt;""),ROWS(DL$1:DL26))),"")</f>
        <v>26</v>
      </c>
      <c r="DM384" s="165">
        <f>IFERROR(INDEX(DF$359:DF$407,_xlfn.AGGREGATE(15,6,(ROW(DF$359:DF$407)-ROW(DF$359)+1)/(DF$359:DF$407&lt;&gt;""),ROWS(DM$1:DM26))),"")</f>
        <v>335.83152749009912</v>
      </c>
      <c r="DN384" s="166">
        <f t="shared" si="192"/>
        <v>384</v>
      </c>
      <c r="DO384" s="164">
        <f>IFERROR(INDEX(DG$359:DG$407,_xlfn.AGGREGATE(15,6,(ROW(DG$359:DG$407)-ROW(DG$359)+1)/(DG$359:DG$407&lt;&gt;""),ROWS(DO$1:DO26))),"")</f>
        <v>26</v>
      </c>
      <c r="DP384" s="165">
        <f>IFERROR(INDEX(DH$359:DH$407,_xlfn.AGGREGATE(15,6,(ROW(DH$359:DH$407)-ROW(DH$359)+1)/(DH$359:DH$407&lt;&gt;""),ROWS(DP$1:DP26))),"")</f>
        <v>444.83682206525123</v>
      </c>
      <c r="DQ384" s="166">
        <f t="shared" si="193"/>
        <v>384</v>
      </c>
      <c r="DV384" s="145">
        <v>2040</v>
      </c>
      <c r="DW384" s="235">
        <f t="shared" ca="1" si="177"/>
        <v>335.96958481934035</v>
      </c>
    </row>
    <row r="385" spans="2:135" ht="13.8" x14ac:dyDescent="0.45">
      <c r="B385" s="128">
        <v>2038</v>
      </c>
      <c r="C385" s="244">
        <f>'Total MSW Summaries (Archive)'!H29</f>
        <v>241.01793074559603</v>
      </c>
      <c r="D385" s="244">
        <f>'Total MSW Summaries (Archive)'!T29</f>
        <v>477.00126471561737</v>
      </c>
      <c r="E385" s="244">
        <f>'Total MSW Summaries (Archive)'!AF29</f>
        <v>342.42399999999975</v>
      </c>
      <c r="F385" s="244">
        <f>'Total MSW Summaries (Archive)'!AR29</f>
        <v>382.65050116797516</v>
      </c>
      <c r="G385" s="244">
        <f>'Total MSW Summaries (Archive)'!BD29</f>
        <v>185.48648648648631</v>
      </c>
      <c r="H385" s="245"/>
      <c r="I385" s="246"/>
      <c r="J385" s="247"/>
      <c r="K385" s="245"/>
      <c r="L385" s="246"/>
      <c r="M385" s="245"/>
      <c r="N385" s="29" t="s">
        <v>119</v>
      </c>
      <c r="O385" s="120"/>
      <c r="P385" s="120"/>
      <c r="Q385" s="120"/>
      <c r="R385" s="29">
        <v>24</v>
      </c>
      <c r="S385" s="238">
        <f t="shared" si="178"/>
        <v>185.48648648648631</v>
      </c>
      <c r="T385" s="238">
        <f t="shared" si="179"/>
        <v>477.00126471561737</v>
      </c>
      <c r="U385" s="238">
        <f t="shared" si="180"/>
        <v>103.19496635299079</v>
      </c>
      <c r="W385" s="238">
        <f t="shared" si="181"/>
        <v>222.52107027014415</v>
      </c>
      <c r="X385" s="238">
        <f t="shared" si="182"/>
        <v>325.71603662313493</v>
      </c>
      <c r="Y385" s="238">
        <f t="shared" si="183"/>
        <v>428.9110029761257</v>
      </c>
      <c r="AA385" s="89"/>
      <c r="AB385" s="89"/>
      <c r="AC385" s="89"/>
      <c r="AD385" s="89"/>
      <c r="AE385" s="89"/>
      <c r="AF385" s="89"/>
      <c r="AG385" s="89"/>
      <c r="AH385" s="89"/>
      <c r="AI385" s="89"/>
      <c r="AJ385" s="89"/>
      <c r="AK385" s="89"/>
      <c r="AL385" s="89"/>
      <c r="AM385" s="89"/>
      <c r="AN385" s="89"/>
      <c r="BR385" s="180">
        <v>2036</v>
      </c>
      <c r="BS385" s="22">
        <v>22</v>
      </c>
      <c r="BT385" s="198">
        <f t="shared" si="194"/>
        <v>120.6652461098345</v>
      </c>
      <c r="BU385" s="276">
        <f t="shared" si="195"/>
        <v>193.74711198597203</v>
      </c>
      <c r="BV385" s="205">
        <f t="shared" si="196"/>
        <v>314.41235809580655</v>
      </c>
      <c r="BY385" s="180">
        <v>2036</v>
      </c>
      <c r="BZ385" s="22">
        <v>22</v>
      </c>
      <c r="CA385" s="198">
        <f t="shared" ca="1" si="197"/>
        <v>-9.6487671233732151</v>
      </c>
      <c r="CB385" s="198">
        <f t="shared" ca="1" si="198"/>
        <v>134.69981647110464</v>
      </c>
      <c r="CC385" s="276">
        <f t="shared" ca="1" si="209"/>
        <v>190.2384693956545</v>
      </c>
      <c r="CD385" s="205">
        <f t="shared" ca="1" si="199"/>
        <v>315.28951874338594</v>
      </c>
      <c r="CG385" s="180">
        <v>2036</v>
      </c>
      <c r="CH385" s="22">
        <v>22</v>
      </c>
      <c r="CI385" s="198">
        <f t="shared" ca="1" si="200"/>
        <v>-0.40842743797424708</v>
      </c>
      <c r="CJ385" s="198">
        <f t="shared" ca="1" si="201"/>
        <v>-8.7576527132474862</v>
      </c>
      <c r="CK385" s="198">
        <f t="shared" ca="1" si="202"/>
        <v>134.17308009345257</v>
      </c>
      <c r="CL385" s="276">
        <f t="shared" ca="1" si="203"/>
        <v>190.307328236437</v>
      </c>
      <c r="CM385" s="205">
        <f t="shared" ca="1" si="204"/>
        <v>315.31432817866784</v>
      </c>
      <c r="CP385" s="180">
        <v>2036</v>
      </c>
      <c r="CQ385" s="22">
        <v>22</v>
      </c>
      <c r="CR385" s="198">
        <f t="shared" ca="1" si="205"/>
        <v>201.37697433285535</v>
      </c>
      <c r="CS385" s="276">
        <f t="shared" ca="1" si="206"/>
        <v>1.5509686834568166</v>
      </c>
      <c r="CT385" s="205">
        <f t="shared" ca="1" si="207"/>
        <v>312.32938075954581</v>
      </c>
      <c r="CZ385" s="164" t="b">
        <f t="shared" si="184"/>
        <v>1</v>
      </c>
      <c r="DA385" s="165" t="b">
        <f t="shared" si="184"/>
        <v>1</v>
      </c>
      <c r="DB385" s="166" t="b">
        <f t="shared" si="184"/>
        <v>1</v>
      </c>
      <c r="DC385" s="164">
        <f t="shared" si="185"/>
        <v>24</v>
      </c>
      <c r="DD385" s="166">
        <f t="shared" si="186"/>
        <v>222.52107027014415</v>
      </c>
      <c r="DE385" s="164">
        <f t="shared" si="187"/>
        <v>24</v>
      </c>
      <c r="DF385" s="166">
        <f t="shared" si="188"/>
        <v>325.71603662313493</v>
      </c>
      <c r="DG385" s="164">
        <f t="shared" si="189"/>
        <v>24</v>
      </c>
      <c r="DH385" s="166">
        <f t="shared" si="190"/>
        <v>428.9110029761257</v>
      </c>
      <c r="DI385" s="164">
        <f>IFERROR(INDEX(DC$359:DC$407,_xlfn.AGGREGATE(15,6,(ROW(DC$359:DC$407)-ROW(DC$359)+1)/(DC$359:DC$407&lt;&gt;""),ROWS(DI$1:DI27))),"")</f>
        <v>27</v>
      </c>
      <c r="DJ385" s="165">
        <f>IFERROR(INDEX(DD$359:DD$407,_xlfn.AGGREGATE(15,6,(ROW(DD$359:DD$407)-ROW(DD$359)+1)/(DD$359:DD$407&lt;&gt;""),ROWS(DJ$1:DJ27))),"")</f>
        <v>229.01396681537119</v>
      </c>
      <c r="DK385" s="166">
        <f t="shared" si="191"/>
        <v>385</v>
      </c>
      <c r="DL385" s="164">
        <f>IFERROR(INDEX(DE$359:DE$407,_xlfn.AGGREGATE(15,6,(ROW(DE$359:DE$407)-ROW(DE$359)+1)/(DE$359:DE$407&lt;&gt;""),ROWS(DL$1:DL27))),"")</f>
        <v>27</v>
      </c>
      <c r="DM385" s="165">
        <f>IFERROR(INDEX(DF$359:DF$407,_xlfn.AGGREGATE(15,6,(ROW(DF$359:DF$407)-ROW(DF$359)+1)/(DF$359:DF$407&lt;&gt;""),ROWS(DM$1:DM27))),"")</f>
        <v>341.11151586640898</v>
      </c>
      <c r="DN385" s="166">
        <f t="shared" si="192"/>
        <v>385</v>
      </c>
      <c r="DO385" s="164">
        <f>IFERROR(INDEX(DG$359:DG$407,_xlfn.AGGREGATE(15,6,(ROW(DG$359:DG$407)-ROW(DG$359)+1)/(DG$359:DG$407&lt;&gt;""),ROWS(DO$1:DO27))),"")</f>
        <v>27</v>
      </c>
      <c r="DP385" s="165">
        <f>IFERROR(INDEX(DH$359:DH$407,_xlfn.AGGREGATE(15,6,(ROW(DH$359:DH$407)-ROW(DH$359)+1)/(DH$359:DH$407&lt;&gt;""),ROWS(DP$1:DP27))),"")</f>
        <v>453.20906491744677</v>
      </c>
      <c r="DQ385" s="166">
        <f t="shared" si="193"/>
        <v>385</v>
      </c>
      <c r="DV385" s="145">
        <v>2041</v>
      </c>
      <c r="DW385" s="235">
        <f t="shared" ca="1" si="177"/>
        <v>341.0285434115429</v>
      </c>
    </row>
    <row r="386" spans="2:135" ht="13.8" x14ac:dyDescent="0.45">
      <c r="B386" s="128">
        <v>2039</v>
      </c>
      <c r="C386" s="244">
        <f>'Total MSW Summaries (Archive)'!H30</f>
        <v>242.6516295976252</v>
      </c>
      <c r="D386" s="244">
        <f>'Total MSW Summaries (Archive)'!T30</f>
        <v>488.10723358171197</v>
      </c>
      <c r="E386" s="244">
        <f>'Total MSW Summaries (Archive)'!AF30</f>
        <v>349.90999999999974</v>
      </c>
      <c r="F386" s="244">
        <f>'Total MSW Summaries (Archive)'!AR30</f>
        <v>385.77662990577835</v>
      </c>
      <c r="G386" s="244">
        <f>'Total MSW Summaries (Archive)'!BD30</f>
        <v>187.94594594594577</v>
      </c>
      <c r="H386" s="245"/>
      <c r="I386" s="246"/>
      <c r="J386" s="247"/>
      <c r="K386" s="245"/>
      <c r="L386" s="246"/>
      <c r="M386" s="245"/>
      <c r="N386" s="29" t="s">
        <v>119</v>
      </c>
      <c r="O386" s="120"/>
      <c r="P386" s="120"/>
      <c r="Q386" s="120"/>
      <c r="R386" s="29">
        <v>25</v>
      </c>
      <c r="S386" s="238">
        <f t="shared" si="178"/>
        <v>187.94594594594577</v>
      </c>
      <c r="T386" s="238">
        <f t="shared" si="179"/>
        <v>488.10723358171197</v>
      </c>
      <c r="U386" s="238">
        <f t="shared" si="180"/>
        <v>106.12311057662991</v>
      </c>
      <c r="W386" s="238">
        <f t="shared" si="181"/>
        <v>224.75517722958227</v>
      </c>
      <c r="X386" s="238">
        <f t="shared" si="182"/>
        <v>330.8782878062122</v>
      </c>
      <c r="Y386" s="238">
        <f t="shared" si="183"/>
        <v>437.00139838284213</v>
      </c>
      <c r="AA386" s="89"/>
      <c r="AB386" s="89"/>
      <c r="AC386" s="89"/>
      <c r="AD386" s="89"/>
      <c r="AE386" s="89"/>
      <c r="AF386" s="89"/>
      <c r="AG386" s="89"/>
      <c r="AH386" s="89"/>
      <c r="AI386" s="89"/>
      <c r="AJ386" s="89"/>
      <c r="AK386" s="89"/>
      <c r="AL386" s="89"/>
      <c r="AM386" s="89"/>
      <c r="AN386" s="89"/>
      <c r="BR386" s="180">
        <v>2037</v>
      </c>
      <c r="BS386" s="22">
        <v>23</v>
      </c>
      <c r="BT386" s="198">
        <f t="shared" si="194"/>
        <v>126.15003002391788</v>
      </c>
      <c r="BU386" s="276">
        <f t="shared" si="195"/>
        <v>193.74711198597203</v>
      </c>
      <c r="BV386" s="205">
        <f t="shared" si="196"/>
        <v>319.89714200988988</v>
      </c>
      <c r="BY386" s="180">
        <v>2037</v>
      </c>
      <c r="BZ386" s="22">
        <v>23</v>
      </c>
      <c r="CA386" s="198">
        <f t="shared" ca="1" si="197"/>
        <v>-10.545863240215766</v>
      </c>
      <c r="CB386" s="198">
        <f t="shared" ca="1" si="198"/>
        <v>140.8225354016094</v>
      </c>
      <c r="CC386" s="276">
        <f t="shared" ca="1" si="209"/>
        <v>190.2384693956545</v>
      </c>
      <c r="CD386" s="205">
        <f t="shared" ca="1" si="199"/>
        <v>320.51514155704814</v>
      </c>
      <c r="CG386" s="180">
        <v>2037</v>
      </c>
      <c r="CH386" s="22">
        <v>23</v>
      </c>
      <c r="CI386" s="198">
        <f t="shared" ca="1" si="200"/>
        <v>-0.46669202083327049</v>
      </c>
      <c r="CJ386" s="198">
        <f t="shared" ca="1" si="201"/>
        <v>-9.5718972836940495</v>
      </c>
      <c r="CK386" s="198">
        <f t="shared" ca="1" si="202"/>
        <v>140.27185646133677</v>
      </c>
      <c r="CL386" s="276">
        <f t="shared" ca="1" si="203"/>
        <v>190.307328236437</v>
      </c>
      <c r="CM386" s="205">
        <f t="shared" ca="1" si="204"/>
        <v>320.54059539324646</v>
      </c>
      <c r="CP386" s="180">
        <v>2037</v>
      </c>
      <c r="CQ386" s="22">
        <v>23</v>
      </c>
      <c r="CR386" s="198">
        <f t="shared" ca="1" si="205"/>
        <v>201.37697433285535</v>
      </c>
      <c r="CS386" s="276">
        <f t="shared" ca="1" si="206"/>
        <v>1.5822197556874411</v>
      </c>
      <c r="CT386" s="205">
        <f t="shared" ca="1" si="207"/>
        <v>318.62262713000649</v>
      </c>
      <c r="CZ386" s="164" t="b">
        <f t="shared" si="184"/>
        <v>1</v>
      </c>
      <c r="DA386" s="165" t="b">
        <f t="shared" si="184"/>
        <v>1</v>
      </c>
      <c r="DB386" s="166" t="b">
        <f t="shared" si="184"/>
        <v>1</v>
      </c>
      <c r="DC386" s="164">
        <f t="shared" si="185"/>
        <v>25</v>
      </c>
      <c r="DD386" s="166">
        <f t="shared" si="186"/>
        <v>224.75517722958227</v>
      </c>
      <c r="DE386" s="164">
        <f t="shared" si="187"/>
        <v>25</v>
      </c>
      <c r="DF386" s="166">
        <f t="shared" si="188"/>
        <v>330.8782878062122</v>
      </c>
      <c r="DG386" s="164">
        <f t="shared" si="189"/>
        <v>25</v>
      </c>
      <c r="DH386" s="166">
        <f t="shared" si="190"/>
        <v>437.00139838284213</v>
      </c>
      <c r="DI386" s="164">
        <f>IFERROR(INDEX(DC$359:DC$407,_xlfn.AGGREGATE(15,6,(ROW(DC$359:DC$407)-ROW(DC$359)+1)/(DC$359:DC$407&lt;&gt;""),ROWS(DI$1:DI28))),"")</f>
        <v>28</v>
      </c>
      <c r="DJ386" s="165">
        <f>IFERROR(INDEX(DD$359:DD$407,_xlfn.AGGREGATE(15,6,(ROW(DD$359:DD$407)-ROW(DD$359)+1)/(DD$359:DD$407&lt;&gt;""),ROWS(DJ$1:DJ28))),"")</f>
        <v>231.00604077310754</v>
      </c>
      <c r="DK386" s="166">
        <f t="shared" si="191"/>
        <v>386</v>
      </c>
      <c r="DL386" s="164">
        <f>IFERROR(INDEX(DE$359:DE$407,_xlfn.AGGREGATE(15,6,(ROW(DE$359:DE$407)-ROW(DE$359)+1)/(DE$359:DE$407&lt;&gt;""),ROWS(DL$1:DL28))),"")</f>
        <v>28</v>
      </c>
      <c r="DM386" s="165">
        <f>IFERROR(INDEX(DF$359:DF$407,_xlfn.AGGREGATE(15,6,(ROW(DF$359:DF$407)-ROW(DF$359)+1)/(DF$359:DF$407&lt;&gt;""),ROWS(DM$1:DM28))),"")</f>
        <v>346.08167074327912</v>
      </c>
      <c r="DN386" s="166">
        <f t="shared" si="192"/>
        <v>386</v>
      </c>
      <c r="DO386" s="164">
        <f>IFERROR(INDEX(DG$359:DG$407,_xlfn.AGGREGATE(15,6,(ROW(DG$359:DG$407)-ROW(DG$359)+1)/(DG$359:DG$407&lt;&gt;""),ROWS(DO$1:DO28))),"")</f>
        <v>28</v>
      </c>
      <c r="DP386" s="165">
        <f>IFERROR(INDEX(DH$359:DH$407,_xlfn.AGGREGATE(15,6,(ROW(DH$359:DH$407)-ROW(DH$359)+1)/(DH$359:DH$407&lt;&gt;""),ROWS(DP$1:DP28))),"")</f>
        <v>461.1573007134507</v>
      </c>
      <c r="DQ386" s="166">
        <f t="shared" si="193"/>
        <v>386</v>
      </c>
      <c r="DV386" s="145">
        <v>2042</v>
      </c>
      <c r="DW386" s="235">
        <f t="shared" ca="1" si="177"/>
        <v>346.04509949019041</v>
      </c>
    </row>
    <row r="387" spans="2:135" ht="13.8" x14ac:dyDescent="0.45">
      <c r="B387" s="128">
        <v>2040</v>
      </c>
      <c r="C387" s="244">
        <f>'Total MSW Summaries (Archive)'!H31</f>
        <v>244.23995708228702</v>
      </c>
      <c r="D387" s="244">
        <f>'Total MSW Summaries (Archive)'!T31</f>
        <v>499.22647227619461</v>
      </c>
      <c r="E387" s="244">
        <f>'Total MSW Summaries (Archive)'!AF31</f>
        <v>357.39599999999973</v>
      </c>
      <c r="F387" s="244">
        <f>'Total MSW Summaries (Archive)'!AR31</f>
        <v>387.88980268660896</v>
      </c>
      <c r="G387" s="244">
        <f>'Total MSW Summaries (Archive)'!BD31</f>
        <v>190.40540540540522</v>
      </c>
      <c r="H387" s="245"/>
      <c r="I387" s="246"/>
      <c r="J387" s="247"/>
      <c r="K387" s="245"/>
      <c r="L387" s="246"/>
      <c r="M387" s="245"/>
      <c r="N387" s="29" t="s">
        <v>119</v>
      </c>
      <c r="O387" s="120"/>
      <c r="P387" s="120"/>
      <c r="Q387" s="120"/>
      <c r="R387" s="29">
        <v>26</v>
      </c>
      <c r="S387" s="238">
        <f t="shared" si="178"/>
        <v>190.40540540540522</v>
      </c>
      <c r="T387" s="238">
        <f t="shared" si="179"/>
        <v>499.22647227619461</v>
      </c>
      <c r="U387" s="238">
        <f t="shared" si="180"/>
        <v>109.00529457515211</v>
      </c>
      <c r="W387" s="238">
        <f t="shared" si="181"/>
        <v>226.82623291494701</v>
      </c>
      <c r="X387" s="238">
        <f t="shared" si="182"/>
        <v>335.83152749009912</v>
      </c>
      <c r="Y387" s="238">
        <f t="shared" si="183"/>
        <v>444.83682206525123</v>
      </c>
      <c r="AA387" s="89"/>
      <c r="AB387" s="89"/>
      <c r="AC387" s="89"/>
      <c r="AD387" s="89"/>
      <c r="AE387" s="89"/>
      <c r="AF387" s="89"/>
      <c r="AG387" s="89"/>
      <c r="AH387" s="89"/>
      <c r="AI387" s="89"/>
      <c r="AJ387" s="89"/>
      <c r="AK387" s="89"/>
      <c r="AL387" s="89"/>
      <c r="AM387" s="89"/>
      <c r="AN387" s="89"/>
      <c r="BR387" s="180">
        <v>2038</v>
      </c>
      <c r="BS387" s="22">
        <v>24</v>
      </c>
      <c r="BT387" s="198">
        <f t="shared" si="194"/>
        <v>131.63481393800126</v>
      </c>
      <c r="BU387" s="276">
        <f t="shared" si="195"/>
        <v>193.74711198597203</v>
      </c>
      <c r="BV387" s="205">
        <f t="shared" si="196"/>
        <v>325.38192592397331</v>
      </c>
      <c r="BY387" s="180">
        <v>2038</v>
      </c>
      <c r="BZ387" s="22">
        <v>24</v>
      </c>
      <c r="CA387" s="198">
        <f t="shared" ca="1" si="197"/>
        <v>-11.482830295584654</v>
      </c>
      <c r="CB387" s="198">
        <f t="shared" ca="1" si="198"/>
        <v>146.94525433211416</v>
      </c>
      <c r="CC387" s="276">
        <f t="shared" ca="1" si="209"/>
        <v>190.2384693956545</v>
      </c>
      <c r="CD387" s="205">
        <f t="shared" ca="1" si="199"/>
        <v>325.70089343218399</v>
      </c>
      <c r="CG387" s="180">
        <v>2038</v>
      </c>
      <c r="CH387" s="22">
        <v>24</v>
      </c>
      <c r="CI387" s="198">
        <f t="shared" ca="1" si="200"/>
        <v>-0.53024989693425917</v>
      </c>
      <c r="CJ387" s="198">
        <f t="shared" ca="1" si="201"/>
        <v>-10.422330501716017</v>
      </c>
      <c r="CK387" s="198">
        <f t="shared" ca="1" si="202"/>
        <v>146.37063282922099</v>
      </c>
      <c r="CL387" s="276">
        <f t="shared" ca="1" si="203"/>
        <v>190.307328236437</v>
      </c>
      <c r="CM387" s="205">
        <f t="shared" ca="1" si="204"/>
        <v>325.7253806670077</v>
      </c>
      <c r="CP387" s="180">
        <v>2038</v>
      </c>
      <c r="CQ387" s="22">
        <v>24</v>
      </c>
      <c r="CR387" s="198">
        <f t="shared" ca="1" si="205"/>
        <v>201.37697433285535</v>
      </c>
      <c r="CS387" s="276">
        <f t="shared" ca="1" si="206"/>
        <v>1.614100517947259</v>
      </c>
      <c r="CT387" s="205">
        <f t="shared" ca="1" si="207"/>
        <v>325.04267857331371</v>
      </c>
      <c r="CZ387" s="164" t="b">
        <f t="shared" si="184"/>
        <v>1</v>
      </c>
      <c r="DA387" s="165" t="b">
        <f t="shared" si="184"/>
        <v>1</v>
      </c>
      <c r="DB387" s="166" t="b">
        <f t="shared" si="184"/>
        <v>1</v>
      </c>
      <c r="DC387" s="164">
        <f t="shared" si="185"/>
        <v>26</v>
      </c>
      <c r="DD387" s="166">
        <f t="shared" si="186"/>
        <v>226.82623291494701</v>
      </c>
      <c r="DE387" s="164">
        <f t="shared" si="187"/>
        <v>26</v>
      </c>
      <c r="DF387" s="166">
        <f t="shared" si="188"/>
        <v>335.83152749009912</v>
      </c>
      <c r="DG387" s="164">
        <f t="shared" si="189"/>
        <v>26</v>
      </c>
      <c r="DH387" s="166">
        <f t="shared" si="190"/>
        <v>444.83682206525123</v>
      </c>
      <c r="DI387" s="164">
        <f>IFERROR(INDEX(DC$359:DC$407,_xlfn.AGGREGATE(15,6,(ROW(DC$359:DC$407)-ROW(DC$359)+1)/(DC$359:DC$407&lt;&gt;""),ROWS(DI$1:DI29))),"")</f>
        <v>29</v>
      </c>
      <c r="DJ387" s="165">
        <f>IFERROR(INDEX(DD$359:DD$407,_xlfn.AGGREGATE(15,6,(ROW(DD$359:DD$407)-ROW(DD$359)+1)/(DD$359:DD$407&lt;&gt;""),ROWS(DJ$1:DJ29))),"")</f>
        <v>232.93313392302395</v>
      </c>
      <c r="DK387" s="166">
        <f t="shared" si="191"/>
        <v>387</v>
      </c>
      <c r="DL387" s="164">
        <f>IFERROR(INDEX(DE$359:DE$407,_xlfn.AGGREGATE(15,6,(ROW(DE$359:DE$407)-ROW(DE$359)+1)/(DE$359:DE$407&lt;&gt;""),ROWS(DL$1:DL29))),"")</f>
        <v>29</v>
      </c>
      <c r="DM387" s="165">
        <f>IFERROR(INDEX(DF$359:DF$407,_xlfn.AGGREGATE(15,6,(ROW(DF$359:DF$407)-ROW(DF$359)+1)/(DF$359:DF$407&lt;&gt;""),ROWS(DM$1:DM29))),"")</f>
        <v>351.02136579782166</v>
      </c>
      <c r="DN387" s="166">
        <f t="shared" si="192"/>
        <v>387</v>
      </c>
      <c r="DO387" s="164">
        <f>IFERROR(INDEX(DG$359:DG$407,_xlfn.AGGREGATE(15,6,(ROW(DG$359:DG$407)-ROW(DG$359)+1)/(DG$359:DG$407&lt;&gt;""),ROWS(DO$1:DO29))),"")</f>
        <v>29</v>
      </c>
      <c r="DP387" s="165">
        <f>IFERROR(INDEX(DH$359:DH$407,_xlfn.AGGREGATE(15,6,(ROW(DH$359:DH$407)-ROW(DH$359)+1)/(DH$359:DH$407&lt;&gt;""),ROWS(DP$1:DP29))),"")</f>
        <v>469.10959767261937</v>
      </c>
      <c r="DQ387" s="166">
        <f t="shared" si="193"/>
        <v>387</v>
      </c>
      <c r="DV387" s="145">
        <v>2043</v>
      </c>
      <c r="DW387" s="235">
        <f t="shared" ca="1" si="177"/>
        <v>351.01902291209831</v>
      </c>
      <c r="EA387" s="55"/>
      <c r="EB387" s="55"/>
      <c r="EC387" s="55"/>
      <c r="ED387" s="55"/>
      <c r="EE387" s="55"/>
    </row>
    <row r="388" spans="2:135" ht="13.8" x14ac:dyDescent="0.45">
      <c r="B388" s="128">
        <v>2041</v>
      </c>
      <c r="C388" s="244">
        <f>'Total MSW Summaries (Archive)'!H32</f>
        <v>245.7827014162275</v>
      </c>
      <c r="D388" s="244">
        <f>'Total MSW Summaries (Archive)'!T32</f>
        <v>510.35412489627328</v>
      </c>
      <c r="E388" s="244">
        <f>'Total MSW Summaries (Archive)'!AF32</f>
        <v>364.88199999999972</v>
      </c>
      <c r="F388" s="244">
        <f>'Total MSW Summaries (Archive)'!AR32</f>
        <v>391.67388815467962</v>
      </c>
      <c r="G388" s="244">
        <f>'Total MSW Summaries (Archive)'!BD32</f>
        <v>192.86486486486467</v>
      </c>
      <c r="H388" s="245"/>
      <c r="I388" s="246"/>
      <c r="J388" s="247"/>
      <c r="K388" s="245"/>
      <c r="L388" s="246"/>
      <c r="M388" s="245"/>
      <c r="N388" s="29" t="s">
        <v>119</v>
      </c>
      <c r="O388" s="120"/>
      <c r="P388" s="120"/>
      <c r="Q388" s="120"/>
      <c r="R388" s="29">
        <v>27</v>
      </c>
      <c r="S388" s="238">
        <f t="shared" si="178"/>
        <v>192.86486486486467</v>
      </c>
      <c r="T388" s="238">
        <f t="shared" si="179"/>
        <v>510.35412489627328</v>
      </c>
      <c r="U388" s="238">
        <f t="shared" si="180"/>
        <v>112.09754905103777</v>
      </c>
      <c r="W388" s="238">
        <f t="shared" si="181"/>
        <v>229.01396681537119</v>
      </c>
      <c r="X388" s="238">
        <f t="shared" si="182"/>
        <v>341.11151586640898</v>
      </c>
      <c r="Y388" s="238">
        <f t="shared" si="183"/>
        <v>453.20906491744677</v>
      </c>
      <c r="AA388" s="89"/>
      <c r="AB388" s="89"/>
      <c r="AC388" s="89"/>
      <c r="AD388" s="89"/>
      <c r="AE388" s="89"/>
      <c r="AF388" s="89"/>
      <c r="AG388" s="89"/>
      <c r="AH388" s="89"/>
      <c r="AI388" s="89"/>
      <c r="AJ388" s="89"/>
      <c r="AK388" s="89"/>
      <c r="AL388" s="89"/>
      <c r="AM388" s="89"/>
      <c r="AN388" s="89"/>
      <c r="BR388" s="180">
        <v>2039</v>
      </c>
      <c r="BS388" s="22">
        <v>25</v>
      </c>
      <c r="BT388" s="198">
        <f t="shared" si="194"/>
        <v>137.11959785208464</v>
      </c>
      <c r="BU388" s="276">
        <f t="shared" si="195"/>
        <v>193.74711198597203</v>
      </c>
      <c r="BV388" s="205">
        <f t="shared" si="196"/>
        <v>330.86670983805664</v>
      </c>
      <c r="BY388" s="180">
        <v>2039</v>
      </c>
      <c r="BZ388" s="22">
        <v>25</v>
      </c>
      <c r="CA388" s="198">
        <f t="shared" ca="1" si="197"/>
        <v>-12.459668289479875</v>
      </c>
      <c r="CB388" s="198">
        <f t="shared" ca="1" si="198"/>
        <v>153.06797326261892</v>
      </c>
      <c r="CC388" s="276">
        <f t="shared" ca="1" si="209"/>
        <v>190.2384693956545</v>
      </c>
      <c r="CD388" s="205">
        <f t="shared" ca="1" si="199"/>
        <v>330.84677436879355</v>
      </c>
      <c r="CG388" s="180">
        <v>2039</v>
      </c>
      <c r="CH388" s="22">
        <v>25</v>
      </c>
      <c r="CI388" s="198">
        <f t="shared" ca="1" si="200"/>
        <v>-0.59933120946164631</v>
      </c>
      <c r="CJ388" s="198">
        <f t="shared" ca="1" si="201"/>
        <v>-11.308952367313385</v>
      </c>
      <c r="CK388" s="198">
        <f t="shared" ca="1" si="202"/>
        <v>152.46940919710519</v>
      </c>
      <c r="CL388" s="276">
        <f t="shared" ca="1" si="203"/>
        <v>190.307328236437</v>
      </c>
      <c r="CM388" s="205">
        <f t="shared" ca="1" si="204"/>
        <v>330.86845385676713</v>
      </c>
      <c r="CP388" s="180">
        <v>2039</v>
      </c>
      <c r="CQ388" s="22">
        <v>25</v>
      </c>
      <c r="CR388" s="198">
        <f t="shared" ca="1" si="205"/>
        <v>201.37697433285535</v>
      </c>
      <c r="CS388" s="276">
        <f t="shared" ca="1" si="206"/>
        <v>1.6466236581059832</v>
      </c>
      <c r="CT388" s="205">
        <f t="shared" ca="1" si="207"/>
        <v>331.59209013428097</v>
      </c>
      <c r="CZ388" s="164" t="b">
        <f t="shared" si="184"/>
        <v>1</v>
      </c>
      <c r="DA388" s="165" t="b">
        <f t="shared" si="184"/>
        <v>1</v>
      </c>
      <c r="DB388" s="166" t="b">
        <f t="shared" si="184"/>
        <v>1</v>
      </c>
      <c r="DC388" s="164">
        <f t="shared" si="185"/>
        <v>27</v>
      </c>
      <c r="DD388" s="166">
        <f t="shared" si="186"/>
        <v>229.01396681537119</v>
      </c>
      <c r="DE388" s="164">
        <f t="shared" si="187"/>
        <v>27</v>
      </c>
      <c r="DF388" s="166">
        <f t="shared" si="188"/>
        <v>341.11151586640898</v>
      </c>
      <c r="DG388" s="164">
        <f t="shared" si="189"/>
        <v>27</v>
      </c>
      <c r="DH388" s="166">
        <f t="shared" si="190"/>
        <v>453.20906491744677</v>
      </c>
      <c r="DI388" s="164">
        <f>IFERROR(INDEX(DC$359:DC$407,_xlfn.AGGREGATE(15,6,(ROW(DC$359:DC$407)-ROW(DC$359)+1)/(DC$359:DC$407&lt;&gt;""),ROWS(DI$1:DI30))),"")</f>
        <v>30</v>
      </c>
      <c r="DJ388" s="165">
        <f>IFERROR(INDEX(DD$359:DD$407,_xlfn.AGGREGATE(15,6,(ROW(DD$359:DD$407)-ROW(DD$359)+1)/(DD$359:DD$407&lt;&gt;""),ROWS(DJ$1:DJ30))),"")</f>
        <v>234.7979293156622</v>
      </c>
      <c r="DK388" s="166">
        <f t="shared" si="191"/>
        <v>388</v>
      </c>
      <c r="DL388" s="164">
        <f>IFERROR(INDEX(DE$359:DE$407,_xlfn.AGGREGATE(15,6,(ROW(DE$359:DE$407)-ROW(DE$359)+1)/(DE$359:DE$407&lt;&gt;""),ROWS(DL$1:DL30))),"")</f>
        <v>30</v>
      </c>
      <c r="DM388" s="165">
        <f>IFERROR(INDEX(DF$359:DF$407,_xlfn.AGGREGATE(15,6,(ROW(DF$359:DF$407)-ROW(DF$359)+1)/(DF$359:DF$407&lt;&gt;""),ROWS(DM$1:DM30))),"")</f>
        <v>355.93149131478407</v>
      </c>
      <c r="DN388" s="166">
        <f t="shared" si="192"/>
        <v>388</v>
      </c>
      <c r="DO388" s="164">
        <f>IFERROR(INDEX(DG$359:DG$407,_xlfn.AGGREGATE(15,6,(ROW(DG$359:DG$407)-ROW(DG$359)+1)/(DG$359:DG$407&lt;&gt;""),ROWS(DO$1:DO30))),"")</f>
        <v>30</v>
      </c>
      <c r="DP388" s="165">
        <f>IFERROR(INDEX(DH$359:DH$407,_xlfn.AGGREGATE(15,6,(ROW(DH$359:DH$407)-ROW(DH$359)+1)/(DH$359:DH$407&lt;&gt;""),ROWS(DP$1:DP30))),"")</f>
        <v>477.06505331390593</v>
      </c>
      <c r="DQ388" s="166">
        <f t="shared" si="193"/>
        <v>388</v>
      </c>
      <c r="DV388" s="145">
        <v>2044</v>
      </c>
      <c r="DW388" s="235">
        <f t="shared" ca="1" si="177"/>
        <v>355.95008353408218</v>
      </c>
      <c r="EA388" s="55"/>
      <c r="EB388" s="55"/>
      <c r="EC388" s="55"/>
      <c r="ED388" s="55"/>
      <c r="EE388" s="55"/>
    </row>
    <row r="389" spans="2:135" ht="13.8" x14ac:dyDescent="0.45">
      <c r="B389" s="128">
        <v>2042</v>
      </c>
      <c r="C389" s="244">
        <f>'Total MSW Summaries (Archive)'!H33</f>
        <v>247.17056081785731</v>
      </c>
      <c r="D389" s="244">
        <f>'Total MSW Summaries (Archive)'!T33</f>
        <v>521.25524936921465</v>
      </c>
      <c r="E389" s="244">
        <f>'Total MSW Summaries (Archive)'!AF33</f>
        <v>372.36799999999971</v>
      </c>
      <c r="F389" s="244">
        <f>'Total MSW Summaries (Archive)'!AR33</f>
        <v>394.29021920499969</v>
      </c>
      <c r="G389" s="244">
        <f>'Total MSW Summaries (Archive)'!BD33</f>
        <v>195.32432432432412</v>
      </c>
      <c r="H389" s="245"/>
      <c r="I389" s="246"/>
      <c r="J389" s="247"/>
      <c r="K389" s="245"/>
      <c r="L389" s="246"/>
      <c r="M389" s="245"/>
      <c r="N389" s="29" t="s">
        <v>119</v>
      </c>
      <c r="O389" s="120"/>
      <c r="P389" s="120"/>
      <c r="Q389" s="120"/>
      <c r="R389" s="29">
        <v>28</v>
      </c>
      <c r="S389" s="238">
        <f t="shared" si="178"/>
        <v>195.32432432432412</v>
      </c>
      <c r="T389" s="238">
        <f t="shared" si="179"/>
        <v>521.25524936921465</v>
      </c>
      <c r="U389" s="238">
        <f t="shared" si="180"/>
        <v>115.07562997017158</v>
      </c>
      <c r="W389" s="238">
        <f t="shared" si="181"/>
        <v>231.00604077310754</v>
      </c>
      <c r="X389" s="238">
        <f t="shared" si="182"/>
        <v>346.08167074327912</v>
      </c>
      <c r="Y389" s="238">
        <f t="shared" si="183"/>
        <v>461.1573007134507</v>
      </c>
      <c r="AA389" s="89"/>
      <c r="AB389" s="89"/>
      <c r="AC389" s="89"/>
      <c r="AD389" s="89"/>
      <c r="AE389" s="89"/>
      <c r="AF389" s="89"/>
      <c r="AG389" s="89"/>
      <c r="AH389" s="89"/>
      <c r="AI389" s="89"/>
      <c r="AJ389" s="89"/>
      <c r="AK389" s="89"/>
      <c r="AL389" s="89"/>
      <c r="AM389" s="89"/>
      <c r="AN389" s="89"/>
      <c r="BR389" s="180">
        <v>2040</v>
      </c>
      <c r="BS389" s="22">
        <v>26</v>
      </c>
      <c r="BT389" s="198">
        <f t="shared" si="194"/>
        <v>142.60438176616805</v>
      </c>
      <c r="BU389" s="276">
        <f t="shared" si="195"/>
        <v>193.74711198597203</v>
      </c>
      <c r="BV389" s="205">
        <f t="shared" si="196"/>
        <v>336.35149375214007</v>
      </c>
      <c r="BY389" s="180">
        <v>2040</v>
      </c>
      <c r="BZ389" s="22">
        <v>26</v>
      </c>
      <c r="CA389" s="198">
        <f t="shared" ca="1" si="197"/>
        <v>-13.476377221901434</v>
      </c>
      <c r="CB389" s="198">
        <f t="shared" ca="1" si="198"/>
        <v>159.19069219312368</v>
      </c>
      <c r="CC389" s="276">
        <f t="shared" ca="1" si="209"/>
        <v>190.2384693956545</v>
      </c>
      <c r="CD389" s="205">
        <f t="shared" ca="1" si="199"/>
        <v>335.95278436687676</v>
      </c>
      <c r="CG389" s="180">
        <v>2040</v>
      </c>
      <c r="CH389" s="22">
        <v>26</v>
      </c>
      <c r="CI389" s="198">
        <f t="shared" ca="1" si="200"/>
        <v>-0.67416610159986534</v>
      </c>
      <c r="CJ389" s="198">
        <f t="shared" ca="1" si="201"/>
        <v>-12.231762880486158</v>
      </c>
      <c r="CK389" s="198">
        <f t="shared" ca="1" si="202"/>
        <v>158.56818556498939</v>
      </c>
      <c r="CL389" s="276">
        <f t="shared" ca="1" si="203"/>
        <v>190.307328236437</v>
      </c>
      <c r="CM389" s="205">
        <f t="shared" ca="1" si="204"/>
        <v>335.96958481934035</v>
      </c>
      <c r="CP389" s="180">
        <v>2040</v>
      </c>
      <c r="CQ389" s="22">
        <v>26</v>
      </c>
      <c r="CR389" s="198">
        <f t="shared" ca="1" si="205"/>
        <v>201.37697433285535</v>
      </c>
      <c r="CS389" s="276">
        <f t="shared" ca="1" si="206"/>
        <v>1.6798021196861572</v>
      </c>
      <c r="CT389" s="205">
        <f t="shared" ca="1" si="207"/>
        <v>338.27346834031528</v>
      </c>
      <c r="CZ389" s="164" t="b">
        <f t="shared" si="184"/>
        <v>1</v>
      </c>
      <c r="DA389" s="165" t="b">
        <f t="shared" si="184"/>
        <v>1</v>
      </c>
      <c r="DB389" s="166" t="b">
        <f t="shared" si="184"/>
        <v>1</v>
      </c>
      <c r="DC389" s="164">
        <f t="shared" si="185"/>
        <v>28</v>
      </c>
      <c r="DD389" s="166">
        <f t="shared" si="186"/>
        <v>231.00604077310754</v>
      </c>
      <c r="DE389" s="164">
        <f t="shared" si="187"/>
        <v>28</v>
      </c>
      <c r="DF389" s="166">
        <f t="shared" si="188"/>
        <v>346.08167074327912</v>
      </c>
      <c r="DG389" s="164">
        <f t="shared" si="189"/>
        <v>28</v>
      </c>
      <c r="DH389" s="166">
        <f t="shared" si="190"/>
        <v>461.1573007134507</v>
      </c>
      <c r="DI389" s="164">
        <f>IFERROR(INDEX(DC$359:DC$407,_xlfn.AGGREGATE(15,6,(ROW(DC$359:DC$407)-ROW(DC$359)+1)/(DC$359:DC$407&lt;&gt;""),ROWS(DI$1:DI31))),"")</f>
        <v>31</v>
      </c>
      <c r="DJ389" s="165">
        <f>IFERROR(INDEX(DD$359:DD$407,_xlfn.AGGREGATE(15,6,(ROW(DD$359:DD$407)-ROW(DD$359)+1)/(DD$359:DD$407&lt;&gt;""),ROWS(DJ$1:DJ31))),"")</f>
        <v>236.62413543781111</v>
      </c>
      <c r="DK389" s="166">
        <f t="shared" si="191"/>
        <v>389</v>
      </c>
      <c r="DL389" s="164">
        <f>IFERROR(INDEX(DE$359:DE$407,_xlfn.AGGREGATE(15,6,(ROW(DE$359:DE$407)-ROW(DE$359)+1)/(DE$359:DE$407&lt;&gt;""),ROWS(DL$1:DL31))),"")</f>
        <v>31</v>
      </c>
      <c r="DM389" s="165">
        <f>IFERROR(INDEX(DF$359:DF$407,_xlfn.AGGREGATE(15,6,(ROW(DF$359:DF$407)-ROW(DF$359)+1)/(DF$359:DF$407&lt;&gt;""),ROWS(DM$1:DM31))),"")</f>
        <v>360.84402662247476</v>
      </c>
      <c r="DN389" s="166">
        <f t="shared" si="192"/>
        <v>389</v>
      </c>
      <c r="DO389" s="164">
        <f>IFERROR(INDEX(DG$359:DG$407,_xlfn.AGGREGATE(15,6,(ROW(DG$359:DG$407)-ROW(DG$359)+1)/(DG$359:DG$407&lt;&gt;""),ROWS(DO$1:DO31))),"")</f>
        <v>31</v>
      </c>
      <c r="DP389" s="165">
        <f>IFERROR(INDEX(DH$359:DH$407,_xlfn.AGGREGATE(15,6,(ROW(DH$359:DH$407)-ROW(DH$359)+1)/(DH$359:DH$407&lt;&gt;""),ROWS(DP$1:DP31))),"")</f>
        <v>485.06391780713841</v>
      </c>
      <c r="DQ389" s="166">
        <f t="shared" si="193"/>
        <v>389</v>
      </c>
      <c r="DV389" s="145">
        <v>2045</v>
      </c>
      <c r="DW389" s="235">
        <f t="shared" ca="1" si="177"/>
        <v>360.83805121295779</v>
      </c>
      <c r="EA389" s="55"/>
      <c r="EB389" s="55"/>
      <c r="EC389" s="55"/>
      <c r="ED389" s="55"/>
      <c r="EE389" s="55"/>
    </row>
    <row r="390" spans="2:135" ht="13.8" x14ac:dyDescent="0.45">
      <c r="B390" s="128">
        <v>2043</v>
      </c>
      <c r="C390" s="244">
        <f>'Total MSW Summaries (Archive)'!H34</f>
        <v>248.51128853119798</v>
      </c>
      <c r="D390" s="244">
        <f>'Total MSW Summaries (Archive)'!T34</f>
        <v>532.14550584147207</v>
      </c>
      <c r="E390" s="244">
        <f>'Total MSW Summaries (Archive)'!AF34</f>
        <v>379.8539999999997</v>
      </c>
      <c r="F390" s="244">
        <f>'Total MSW Summaries (Archive)'!AR34</f>
        <v>396.81225083265497</v>
      </c>
      <c r="G390" s="244">
        <f>'Total MSW Summaries (Archive)'!BD34</f>
        <v>197.78378378378358</v>
      </c>
      <c r="H390" s="245"/>
      <c r="I390" s="246"/>
      <c r="J390" s="247"/>
      <c r="K390" s="245"/>
      <c r="L390" s="246"/>
      <c r="M390" s="245"/>
      <c r="N390" s="29" t="s">
        <v>119</v>
      </c>
      <c r="O390" s="120"/>
      <c r="P390" s="120"/>
      <c r="Q390" s="120"/>
      <c r="R390" s="29">
        <v>29</v>
      </c>
      <c r="S390" s="238">
        <f t="shared" si="178"/>
        <v>197.78378378378358</v>
      </c>
      <c r="T390" s="238">
        <f t="shared" si="179"/>
        <v>532.14550584147207</v>
      </c>
      <c r="U390" s="238">
        <f t="shared" si="180"/>
        <v>118.08823187479773</v>
      </c>
      <c r="W390" s="238">
        <f t="shared" si="181"/>
        <v>232.93313392302395</v>
      </c>
      <c r="X390" s="238">
        <f t="shared" si="182"/>
        <v>351.02136579782166</v>
      </c>
      <c r="Y390" s="238">
        <f t="shared" si="183"/>
        <v>469.10959767261937</v>
      </c>
      <c r="AA390" s="89"/>
      <c r="AB390" s="89"/>
      <c r="AC390" s="89"/>
      <c r="AD390" s="89"/>
      <c r="AE390" s="89"/>
      <c r="AF390" s="89"/>
      <c r="AG390" s="89"/>
      <c r="AH390" s="89"/>
      <c r="AI390" s="89"/>
      <c r="AJ390" s="89"/>
      <c r="AK390" s="89"/>
      <c r="AL390" s="89"/>
      <c r="AM390" s="89"/>
      <c r="AN390" s="89"/>
      <c r="BR390" s="180">
        <v>2041</v>
      </c>
      <c r="BS390" s="22">
        <v>27</v>
      </c>
      <c r="BT390" s="198">
        <f t="shared" si="194"/>
        <v>148.08916568025143</v>
      </c>
      <c r="BU390" s="276">
        <f t="shared" si="195"/>
        <v>193.74711198597203</v>
      </c>
      <c r="BV390" s="205">
        <f t="shared" si="196"/>
        <v>341.83627766622345</v>
      </c>
      <c r="BY390" s="180">
        <v>2041</v>
      </c>
      <c r="BZ390" s="22">
        <v>27</v>
      </c>
      <c r="CA390" s="198">
        <f t="shared" ca="1" si="197"/>
        <v>-14.532957092849326</v>
      </c>
      <c r="CB390" s="198">
        <f t="shared" ca="1" si="198"/>
        <v>165.31341112362844</v>
      </c>
      <c r="CC390" s="276">
        <f t="shared" ca="1" si="209"/>
        <v>190.2384693956545</v>
      </c>
      <c r="CD390" s="205">
        <f t="shared" ca="1" si="199"/>
        <v>341.01892342643362</v>
      </c>
      <c r="CG390" s="180">
        <v>2041</v>
      </c>
      <c r="CH390" s="22">
        <v>27</v>
      </c>
      <c r="CI390" s="198">
        <f t="shared" ca="1" si="200"/>
        <v>-0.75498471653334942</v>
      </c>
      <c r="CJ390" s="198">
        <f t="shared" ca="1" si="201"/>
        <v>-13.190762041234333</v>
      </c>
      <c r="CK390" s="198">
        <f t="shared" ca="1" si="202"/>
        <v>164.66696193287359</v>
      </c>
      <c r="CL390" s="276">
        <f t="shared" ca="1" si="203"/>
        <v>190.307328236437</v>
      </c>
      <c r="CM390" s="205">
        <f t="shared" ca="1" si="204"/>
        <v>341.0285434115429</v>
      </c>
      <c r="CP390" s="180">
        <v>2041</v>
      </c>
      <c r="CQ390" s="22">
        <v>27</v>
      </c>
      <c r="CR390" s="198">
        <f t="shared" ca="1" si="205"/>
        <v>201.37697433285535</v>
      </c>
      <c r="CS390" s="276">
        <f t="shared" ca="1" si="206"/>
        <v>1.7136491070144024</v>
      </c>
      <c r="CT390" s="205">
        <f t="shared" ca="1" si="207"/>
        <v>345.08947223875981</v>
      </c>
      <c r="CZ390" s="164" t="b">
        <f t="shared" si="184"/>
        <v>1</v>
      </c>
      <c r="DA390" s="165" t="b">
        <f t="shared" si="184"/>
        <v>1</v>
      </c>
      <c r="DB390" s="166" t="b">
        <f t="shared" si="184"/>
        <v>1</v>
      </c>
      <c r="DC390" s="164">
        <f t="shared" si="185"/>
        <v>29</v>
      </c>
      <c r="DD390" s="166">
        <f t="shared" si="186"/>
        <v>232.93313392302395</v>
      </c>
      <c r="DE390" s="164">
        <f t="shared" si="187"/>
        <v>29</v>
      </c>
      <c r="DF390" s="166">
        <f t="shared" si="188"/>
        <v>351.02136579782166</v>
      </c>
      <c r="DG390" s="164">
        <f t="shared" si="189"/>
        <v>29</v>
      </c>
      <c r="DH390" s="166">
        <f t="shared" si="190"/>
        <v>469.10959767261937</v>
      </c>
      <c r="DI390" s="164" t="str">
        <f>IFERROR(INDEX(DC$359:DC$407,_xlfn.AGGREGATE(15,6,(ROW(DC$359:DC$407)-ROW(DC$359)+1)/(DC$359:DC$407&lt;&gt;""),ROWS(DI$1:DI32))),"")</f>
        <v/>
      </c>
      <c r="DJ390" s="165" t="str">
        <f>IFERROR(INDEX(DD$359:DD$407,_xlfn.AGGREGATE(15,6,(ROW(DD$359:DD$407)-ROW(DD$359)+1)/(DD$359:DD$407&lt;&gt;""),ROWS(DJ$1:DJ32))),"")</f>
        <v/>
      </c>
      <c r="DK390" s="166" t="str">
        <f t="shared" si="191"/>
        <v/>
      </c>
      <c r="DL390" s="164" t="str">
        <f>IFERROR(INDEX(DE$359:DE$407,_xlfn.AGGREGATE(15,6,(ROW(DE$359:DE$407)-ROW(DE$359)+1)/(DE$359:DE$407&lt;&gt;""),ROWS(DL$1:DL32))),"")</f>
        <v/>
      </c>
      <c r="DM390" s="165" t="str">
        <f>IFERROR(INDEX(DF$359:DF$407,_xlfn.AGGREGATE(15,6,(ROW(DF$359:DF$407)-ROW(DF$359)+1)/(DF$359:DF$407&lt;&gt;""),ROWS(DM$1:DM32))),"")</f>
        <v/>
      </c>
      <c r="DN390" s="166" t="str">
        <f t="shared" si="192"/>
        <v/>
      </c>
      <c r="DO390" s="164" t="str">
        <f>IFERROR(INDEX(DG$359:DG$407,_xlfn.AGGREGATE(15,6,(ROW(DG$359:DG$407)-ROW(DG$359)+1)/(DG$359:DG$407&lt;&gt;""),ROWS(DO$1:DO32))),"")</f>
        <v/>
      </c>
      <c r="DP390" s="165" t="str">
        <f>IFERROR(INDEX(DH$359:DH$407,_xlfn.AGGREGATE(15,6,(ROW(DH$359:DH$407)-ROW(DH$359)+1)/(DH$359:DH$407&lt;&gt;""),ROWS(DP$1:DP32))),"")</f>
        <v/>
      </c>
      <c r="DQ390" s="166" t="str">
        <f t="shared" si="193"/>
        <v/>
      </c>
      <c r="DV390" s="145">
        <v>2046</v>
      </c>
      <c r="DW390" s="235">
        <f t="shared" ca="1" si="177"/>
        <v>365.68269580554045</v>
      </c>
      <c r="EA390" s="55"/>
      <c r="EB390" s="55"/>
      <c r="EC390" s="55"/>
      <c r="ED390" s="55"/>
      <c r="EE390" s="55"/>
    </row>
    <row r="391" spans="2:135" ht="13.8" x14ac:dyDescent="0.45">
      <c r="B391" s="128">
        <v>2044</v>
      </c>
      <c r="C391" s="244">
        <f>'Total MSW Summaries (Archive)'!H35</f>
        <v>249.8045295005347</v>
      </c>
      <c r="D391" s="244">
        <f>'Total MSW Summaries (Archive)'!T35</f>
        <v>543.01953501649575</v>
      </c>
      <c r="E391" s="244">
        <f>'Total MSW Summaries (Archive)'!AF35</f>
        <v>387.33999999999969</v>
      </c>
      <c r="F391" s="244">
        <f>'Total MSW Summaries (Archive)'!AR35</f>
        <v>399.25014881364723</v>
      </c>
      <c r="G391" s="244">
        <f>'Total MSW Summaries (Archive)'!BD35</f>
        <v>200.24324324324303</v>
      </c>
      <c r="H391" s="245"/>
      <c r="I391" s="246"/>
      <c r="J391" s="247"/>
      <c r="K391" s="245"/>
      <c r="L391" s="246"/>
      <c r="M391" s="245"/>
      <c r="N391" s="29" t="s">
        <v>119</v>
      </c>
      <c r="O391" s="120"/>
      <c r="P391" s="120"/>
      <c r="Q391" s="120"/>
      <c r="R391" s="29">
        <v>30</v>
      </c>
      <c r="S391" s="238">
        <f t="shared" si="178"/>
        <v>200.24324324324303</v>
      </c>
      <c r="T391" s="238">
        <f t="shared" si="179"/>
        <v>543.01953501649575</v>
      </c>
      <c r="U391" s="238">
        <f t="shared" si="180"/>
        <v>121.13356199912188</v>
      </c>
      <c r="W391" s="238">
        <f t="shared" si="181"/>
        <v>234.7979293156622</v>
      </c>
      <c r="X391" s="238">
        <f t="shared" si="182"/>
        <v>355.93149131478407</v>
      </c>
      <c r="Y391" s="238">
        <f t="shared" si="183"/>
        <v>477.06505331390593</v>
      </c>
      <c r="AA391" s="89"/>
      <c r="AB391" s="89"/>
      <c r="AC391" s="89"/>
      <c r="AD391" s="89"/>
      <c r="AE391" s="89"/>
      <c r="AF391" s="89"/>
      <c r="AG391" s="89"/>
      <c r="AH391" s="89"/>
      <c r="AI391" s="89"/>
      <c r="AJ391" s="89"/>
      <c r="AK391" s="89"/>
      <c r="AL391" s="89"/>
      <c r="AM391" s="89"/>
      <c r="AN391" s="89"/>
      <c r="BR391" s="180">
        <v>2042</v>
      </c>
      <c r="BS391" s="22">
        <v>28</v>
      </c>
      <c r="BT391" s="198">
        <f t="shared" si="194"/>
        <v>153.57394959433481</v>
      </c>
      <c r="BU391" s="276">
        <f t="shared" si="195"/>
        <v>193.74711198597203</v>
      </c>
      <c r="BV391" s="205">
        <f t="shared" si="196"/>
        <v>347.32106158030683</v>
      </c>
      <c r="BY391" s="180">
        <v>2042</v>
      </c>
      <c r="BZ391" s="22">
        <v>28</v>
      </c>
      <c r="CA391" s="198">
        <f t="shared" ca="1" si="197"/>
        <v>-15.629407902323555</v>
      </c>
      <c r="CB391" s="198">
        <f t="shared" ca="1" si="198"/>
        <v>171.43613005413317</v>
      </c>
      <c r="CC391" s="276">
        <f t="shared" ca="1" si="209"/>
        <v>190.2384693956545</v>
      </c>
      <c r="CD391" s="205">
        <f t="shared" ca="1" si="199"/>
        <v>346.04519154746413</v>
      </c>
      <c r="CG391" s="180">
        <v>2042</v>
      </c>
      <c r="CH391" s="22">
        <v>28</v>
      </c>
      <c r="CI391" s="198">
        <f t="shared" ca="1" si="200"/>
        <v>-0.84201719744653192</v>
      </c>
      <c r="CJ391" s="198">
        <f t="shared" ca="1" si="201"/>
        <v>-14.185949849557911</v>
      </c>
      <c r="CK391" s="198">
        <f t="shared" ca="1" si="202"/>
        <v>170.76573830075782</v>
      </c>
      <c r="CL391" s="276">
        <f t="shared" ca="1" si="203"/>
        <v>190.307328236437</v>
      </c>
      <c r="CM391" s="205">
        <f t="shared" ca="1" si="204"/>
        <v>346.04509949019041</v>
      </c>
      <c r="CP391" s="180">
        <v>2042</v>
      </c>
      <c r="CQ391" s="22">
        <v>28</v>
      </c>
      <c r="CR391" s="198">
        <f t="shared" ca="1" si="205"/>
        <v>201.37697433285535</v>
      </c>
      <c r="CS391" s="276">
        <f t="shared" ca="1" si="206"/>
        <v>1.7481780904764614</v>
      </c>
      <c r="CT391" s="205">
        <f t="shared" ca="1" si="207"/>
        <v>352.04281445513845</v>
      </c>
      <c r="CZ391" s="164" t="b">
        <f t="shared" si="184"/>
        <v>1</v>
      </c>
      <c r="DA391" s="165" t="b">
        <f t="shared" si="184"/>
        <v>1</v>
      </c>
      <c r="DB391" s="166" t="b">
        <f t="shared" si="184"/>
        <v>1</v>
      </c>
      <c r="DC391" s="164">
        <f t="shared" si="185"/>
        <v>30</v>
      </c>
      <c r="DD391" s="166">
        <f t="shared" si="186"/>
        <v>234.7979293156622</v>
      </c>
      <c r="DE391" s="164">
        <f t="shared" si="187"/>
        <v>30</v>
      </c>
      <c r="DF391" s="166">
        <f t="shared" si="188"/>
        <v>355.93149131478407</v>
      </c>
      <c r="DG391" s="164">
        <f t="shared" si="189"/>
        <v>30</v>
      </c>
      <c r="DH391" s="166">
        <f t="shared" si="190"/>
        <v>477.06505331390593</v>
      </c>
      <c r="DI391" s="164" t="str">
        <f>IFERROR(INDEX(DC$359:DC$407,_xlfn.AGGREGATE(15,6,(ROW(DC$359:DC$407)-ROW(DC$359)+1)/(DC$359:DC$407&lt;&gt;""),ROWS(DI$1:DI33))),"")</f>
        <v/>
      </c>
      <c r="DJ391" s="165" t="str">
        <f>IFERROR(INDEX(DD$359:DD$407,_xlfn.AGGREGATE(15,6,(ROW(DD$359:DD$407)-ROW(DD$359)+1)/(DD$359:DD$407&lt;&gt;""),ROWS(DJ$1:DJ33))),"")</f>
        <v/>
      </c>
      <c r="DK391" s="166" t="str">
        <f t="shared" si="191"/>
        <v/>
      </c>
      <c r="DL391" s="164" t="str">
        <f>IFERROR(INDEX(DE$359:DE$407,_xlfn.AGGREGATE(15,6,(ROW(DE$359:DE$407)-ROW(DE$359)+1)/(DE$359:DE$407&lt;&gt;""),ROWS(DL$1:DL33))),"")</f>
        <v/>
      </c>
      <c r="DM391" s="165" t="str">
        <f>IFERROR(INDEX(DF$359:DF$407,_xlfn.AGGREGATE(15,6,(ROW(DF$359:DF$407)-ROW(DF$359)+1)/(DF$359:DF$407&lt;&gt;""),ROWS(DM$1:DM33))),"")</f>
        <v/>
      </c>
      <c r="DN391" s="166" t="str">
        <f t="shared" si="192"/>
        <v/>
      </c>
      <c r="DO391" s="164" t="str">
        <f>IFERROR(INDEX(DG$359:DG$407,_xlfn.AGGREGATE(15,6,(ROW(DG$359:DG$407)-ROW(DG$359)+1)/(DG$359:DG$407&lt;&gt;""),ROWS(DO$1:DO33))),"")</f>
        <v/>
      </c>
      <c r="DP391" s="165" t="str">
        <f>IFERROR(INDEX(DH$359:DH$407,_xlfn.AGGREGATE(15,6,(ROW(DH$359:DH$407)-ROW(DH$359)+1)/(DH$359:DH$407&lt;&gt;""),ROWS(DP$1:DP33))),"")</f>
        <v/>
      </c>
      <c r="DQ391" s="166" t="str">
        <f t="shared" si="193"/>
        <v/>
      </c>
      <c r="DV391" s="145">
        <v>2047</v>
      </c>
      <c r="DW391" s="235">
        <f t="shared" ca="1" si="177"/>
        <v>370.4837871686459</v>
      </c>
      <c r="EA391" s="55"/>
      <c r="EB391" s="55"/>
      <c r="EC391" s="55"/>
      <c r="ED391" s="55"/>
      <c r="EE391" s="55"/>
    </row>
    <row r="392" spans="2:135" ht="13.8" x14ac:dyDescent="0.45">
      <c r="B392" s="128">
        <v>2045</v>
      </c>
      <c r="C392" s="244">
        <f>'Total MSW Summaries (Archive)'!H36</f>
        <v>251.05003105188297</v>
      </c>
      <c r="D392" s="244">
        <f>'Total MSW Summaries (Archive)'!T36</f>
        <v>553.87215739624298</v>
      </c>
      <c r="E392" s="244">
        <f>'Total MSW Summaries (Archive)'!AF36</f>
        <v>394.82599999999968</v>
      </c>
      <c r="F392" s="244">
        <f>'Total MSW Summaries (Archive)'!AR36</f>
        <v>401.76924196154545</v>
      </c>
      <c r="G392" s="244">
        <f>'Total MSW Summaries (Archive)'!BD36</f>
        <v>202.70270270270248</v>
      </c>
      <c r="H392" s="245"/>
      <c r="I392" s="246"/>
      <c r="J392" s="247"/>
      <c r="K392" s="245"/>
      <c r="L392" s="246"/>
      <c r="M392" s="245"/>
      <c r="N392" s="29" t="s">
        <v>119</v>
      </c>
      <c r="O392" s="120"/>
      <c r="P392" s="120"/>
      <c r="Q392" s="120"/>
      <c r="R392" s="29">
        <v>31</v>
      </c>
      <c r="S392" s="238">
        <f t="shared" si="178"/>
        <v>202.70270270270248</v>
      </c>
      <c r="T392" s="238">
        <f t="shared" si="179"/>
        <v>553.87215739624298</v>
      </c>
      <c r="U392" s="238">
        <f t="shared" si="180"/>
        <v>124.21989118466364</v>
      </c>
      <c r="W392" s="238">
        <f t="shared" si="181"/>
        <v>236.62413543781111</v>
      </c>
      <c r="X392" s="238">
        <f t="shared" si="182"/>
        <v>360.84402662247476</v>
      </c>
      <c r="Y392" s="238">
        <f t="shared" si="183"/>
        <v>485.06391780713841</v>
      </c>
      <c r="AA392" s="89"/>
      <c r="AB392" s="89"/>
      <c r="AC392" s="89"/>
      <c r="AD392" s="89"/>
      <c r="AE392" s="89"/>
      <c r="AF392" s="89"/>
      <c r="AG392" s="89"/>
      <c r="AH392" s="89"/>
      <c r="AI392" s="89"/>
      <c r="AJ392" s="89"/>
      <c r="AK392" s="89"/>
      <c r="AL392" s="89"/>
      <c r="AM392" s="89"/>
      <c r="AN392" s="89"/>
      <c r="BR392" s="180">
        <v>2043</v>
      </c>
      <c r="BS392" s="22">
        <v>29</v>
      </c>
      <c r="BT392" s="198">
        <f t="shared" si="194"/>
        <v>159.05873350841819</v>
      </c>
      <c r="BU392" s="276">
        <f t="shared" si="195"/>
        <v>193.74711198597203</v>
      </c>
      <c r="BV392" s="205">
        <f t="shared" si="196"/>
        <v>352.80584549439021</v>
      </c>
      <c r="BY392" s="180">
        <v>2043</v>
      </c>
      <c r="BZ392" s="22">
        <v>29</v>
      </c>
      <c r="CA392" s="198">
        <f t="shared" ca="1" si="197"/>
        <v>-16.765729650324122</v>
      </c>
      <c r="CB392" s="198">
        <f t="shared" ca="1" si="198"/>
        <v>177.55884898463793</v>
      </c>
      <c r="CC392" s="276">
        <f t="shared" ca="1" si="209"/>
        <v>190.2384693956545</v>
      </c>
      <c r="CD392" s="205">
        <f t="shared" ca="1" si="199"/>
        <v>351.03158872996835</v>
      </c>
      <c r="CG392" s="180">
        <v>2043</v>
      </c>
      <c r="CH392" s="22">
        <v>29</v>
      </c>
      <c r="CI392" s="198">
        <f t="shared" ca="1" si="200"/>
        <v>-0.93549368752384598</v>
      </c>
      <c r="CJ392" s="198">
        <f t="shared" ca="1" si="201"/>
        <v>-15.217326305456892</v>
      </c>
      <c r="CK392" s="198">
        <f t="shared" ca="1" si="202"/>
        <v>176.86451466864202</v>
      </c>
      <c r="CL392" s="276">
        <f t="shared" ca="1" si="203"/>
        <v>190.307328236437</v>
      </c>
      <c r="CM392" s="205">
        <f t="shared" ca="1" si="204"/>
        <v>351.01902291209831</v>
      </c>
      <c r="CP392" s="180">
        <v>2043</v>
      </c>
      <c r="CQ392" s="22">
        <v>29</v>
      </c>
      <c r="CR392" s="198">
        <f t="shared" ca="1" si="205"/>
        <v>201.37697433285535</v>
      </c>
      <c r="CS392" s="276">
        <f t="shared" ca="1" si="206"/>
        <v>1.7834028118781275</v>
      </c>
      <c r="CT392" s="205">
        <f t="shared" ca="1" si="207"/>
        <v>359.13626227272374</v>
      </c>
      <c r="CZ392" s="164" t="b">
        <f t="shared" si="184"/>
        <v>1</v>
      </c>
      <c r="DA392" s="165" t="b">
        <f t="shared" si="184"/>
        <v>1</v>
      </c>
      <c r="DB392" s="166" t="b">
        <f t="shared" si="184"/>
        <v>1</v>
      </c>
      <c r="DC392" s="164">
        <f t="shared" si="185"/>
        <v>31</v>
      </c>
      <c r="DD392" s="166">
        <f t="shared" si="186"/>
        <v>236.62413543781111</v>
      </c>
      <c r="DE392" s="164">
        <f t="shared" si="187"/>
        <v>31</v>
      </c>
      <c r="DF392" s="166">
        <f t="shared" si="188"/>
        <v>360.84402662247476</v>
      </c>
      <c r="DG392" s="164">
        <f t="shared" si="189"/>
        <v>31</v>
      </c>
      <c r="DH392" s="166">
        <f t="shared" si="190"/>
        <v>485.06391780713841</v>
      </c>
      <c r="DI392" s="164" t="str">
        <f>IFERROR(INDEX(DC$359:DC$407,_xlfn.AGGREGATE(15,6,(ROW(DC$359:DC$407)-ROW(DC$359)+1)/(DC$359:DC$407&lt;&gt;""),ROWS(DI$1:DI34))),"")</f>
        <v/>
      </c>
      <c r="DJ392" s="165" t="str">
        <f>IFERROR(INDEX(DD$359:DD$407,_xlfn.AGGREGATE(15,6,(ROW(DD$359:DD$407)-ROW(DD$359)+1)/(DD$359:DD$407&lt;&gt;""),ROWS(DJ$1:DJ34))),"")</f>
        <v/>
      </c>
      <c r="DK392" s="166" t="str">
        <f t="shared" si="191"/>
        <v/>
      </c>
      <c r="DL392" s="164" t="str">
        <f>IFERROR(INDEX(DE$359:DE$407,_xlfn.AGGREGATE(15,6,(ROW(DE$359:DE$407)-ROW(DE$359)+1)/(DE$359:DE$407&lt;&gt;""),ROWS(DL$1:DL34))),"")</f>
        <v/>
      </c>
      <c r="DM392" s="165" t="str">
        <f>IFERROR(INDEX(DF$359:DF$407,_xlfn.AGGREGATE(15,6,(ROW(DF$359:DF$407)-ROW(DF$359)+1)/(DF$359:DF$407&lt;&gt;""),ROWS(DM$1:DM34))),"")</f>
        <v/>
      </c>
      <c r="DN392" s="166" t="str">
        <f t="shared" si="192"/>
        <v/>
      </c>
      <c r="DO392" s="164" t="str">
        <f>IFERROR(INDEX(DG$359:DG$407,_xlfn.AGGREGATE(15,6,(ROW(DG$359:DG$407)-ROW(DG$359)+1)/(DG$359:DG$407&lt;&gt;""),ROWS(DO$1:DO34))),"")</f>
        <v/>
      </c>
      <c r="DP392" s="165" t="str">
        <f>IFERROR(INDEX(DH$359:DH$407,_xlfn.AGGREGATE(15,6,(ROW(DH$359:DH$407)-ROW(DH$359)+1)/(DH$359:DH$407&lt;&gt;""),ROWS(DP$1:DP34))),"")</f>
        <v/>
      </c>
      <c r="DQ392" s="166" t="str">
        <f t="shared" si="193"/>
        <v/>
      </c>
      <c r="DV392" s="145">
        <v>2048</v>
      </c>
      <c r="DW392" s="235">
        <f t="shared" ca="1" si="177"/>
        <v>375.2410951590897</v>
      </c>
      <c r="EA392" s="55"/>
      <c r="EB392" s="55"/>
      <c r="EC392" s="55"/>
      <c r="ED392" s="55"/>
      <c r="EE392" s="55"/>
    </row>
    <row r="393" spans="2:135" ht="13.8" x14ac:dyDescent="0.45">
      <c r="B393" s="128">
        <v>2046</v>
      </c>
      <c r="C393" s="244"/>
      <c r="D393" s="244"/>
      <c r="E393" s="244"/>
      <c r="F393" s="244"/>
      <c r="G393" s="244"/>
      <c r="H393" s="245"/>
      <c r="I393" s="246"/>
      <c r="J393" s="247"/>
      <c r="K393" s="245"/>
      <c r="L393" s="246"/>
      <c r="M393" s="245"/>
      <c r="N393" s="29" t="s">
        <v>119</v>
      </c>
      <c r="O393" s="120"/>
      <c r="P393" s="120"/>
      <c r="Q393" s="120"/>
      <c r="R393" s="29">
        <v>32</v>
      </c>
      <c r="S393" s="238" t="str">
        <f t="shared" si="178"/>
        <v/>
      </c>
      <c r="T393" s="238" t="str">
        <f t="shared" si="179"/>
        <v/>
      </c>
      <c r="U393" s="238" t="str">
        <f t="shared" si="180"/>
        <v/>
      </c>
      <c r="W393" s="238" t="e">
        <f t="shared" si="181"/>
        <v>#N/A</v>
      </c>
      <c r="X393" s="238" t="e">
        <f t="shared" si="182"/>
        <v>#N/A</v>
      </c>
      <c r="Y393" s="238" t="e">
        <f t="shared" si="183"/>
        <v>#N/A</v>
      </c>
      <c r="AA393" s="89"/>
      <c r="AB393" s="89"/>
      <c r="AC393" s="89"/>
      <c r="AD393" s="89"/>
      <c r="AE393" s="89"/>
      <c r="AF393" s="89"/>
      <c r="AG393" s="89"/>
      <c r="AH393" s="89"/>
      <c r="AI393" s="89"/>
      <c r="AJ393" s="89"/>
      <c r="AK393" s="89"/>
      <c r="AL393" s="89"/>
      <c r="AM393" s="89"/>
      <c r="AN393" s="89"/>
      <c r="BR393" s="180">
        <v>2044</v>
      </c>
      <c r="BS393" s="22">
        <v>30</v>
      </c>
      <c r="BT393" s="198">
        <f t="shared" si="194"/>
        <v>164.54351742250159</v>
      </c>
      <c r="BU393" s="276">
        <f t="shared" si="195"/>
        <v>193.74711198597203</v>
      </c>
      <c r="BV393" s="205">
        <f t="shared" si="196"/>
        <v>358.29062940847359</v>
      </c>
      <c r="BY393" s="180">
        <v>2044</v>
      </c>
      <c r="BZ393" s="22">
        <v>30</v>
      </c>
      <c r="CA393" s="198">
        <f t="shared" ca="1" si="197"/>
        <v>-17.941922336851022</v>
      </c>
      <c r="CB393" s="198">
        <f t="shared" ca="1" si="198"/>
        <v>183.68156791514269</v>
      </c>
      <c r="CC393" s="276">
        <f t="shared" ca="1" si="209"/>
        <v>190.2384693956545</v>
      </c>
      <c r="CD393" s="205">
        <f t="shared" ca="1" si="199"/>
        <v>355.97811497394616</v>
      </c>
      <c r="CG393" s="180">
        <v>2044</v>
      </c>
      <c r="CH393" s="22">
        <v>30</v>
      </c>
      <c r="CI393" s="198">
        <f t="shared" ca="1" si="200"/>
        <v>-1.0356443299497249</v>
      </c>
      <c r="CJ393" s="198">
        <f t="shared" ca="1" si="201"/>
        <v>-16.284891408931276</v>
      </c>
      <c r="CK393" s="198">
        <f t="shared" ca="1" si="202"/>
        <v>182.96329103652621</v>
      </c>
      <c r="CL393" s="276">
        <f t="shared" ca="1" si="203"/>
        <v>190.307328236437</v>
      </c>
      <c r="CM393" s="205">
        <f t="shared" ca="1" si="204"/>
        <v>355.95008353408218</v>
      </c>
      <c r="CP393" s="180">
        <v>2044</v>
      </c>
      <c r="CQ393" s="22">
        <v>30</v>
      </c>
      <c r="CR393" s="198">
        <f t="shared" ca="1" si="205"/>
        <v>201.37697433285535</v>
      </c>
      <c r="CS393" s="276">
        <f t="shared" ca="1" si="206"/>
        <v>1.8193372899141915</v>
      </c>
      <c r="CT393" s="205">
        <f t="shared" ca="1" si="207"/>
        <v>366.37263873385677</v>
      </c>
      <c r="CZ393" s="164" t="b">
        <f t="shared" si="184"/>
        <v>0</v>
      </c>
      <c r="DA393" s="165" t="b">
        <f t="shared" si="184"/>
        <v>0</v>
      </c>
      <c r="DB393" s="166" t="b">
        <f t="shared" si="184"/>
        <v>0</v>
      </c>
      <c r="DC393" s="164" t="str">
        <f t="shared" si="185"/>
        <v/>
      </c>
      <c r="DD393" s="166" t="str">
        <f t="shared" si="186"/>
        <v/>
      </c>
      <c r="DE393" s="164" t="str">
        <f t="shared" si="187"/>
        <v/>
      </c>
      <c r="DF393" s="166" t="str">
        <f t="shared" si="188"/>
        <v/>
      </c>
      <c r="DG393" s="164" t="str">
        <f t="shared" si="189"/>
        <v/>
      </c>
      <c r="DH393" s="166" t="str">
        <f t="shared" si="190"/>
        <v/>
      </c>
      <c r="DI393" s="164" t="str">
        <f>IFERROR(INDEX(DC$359:DC$407,_xlfn.AGGREGATE(15,6,(ROW(DC$359:DC$407)-ROW(DC$359)+1)/(DC$359:DC$407&lt;&gt;""),ROWS(DI$1:DI35))),"")</f>
        <v/>
      </c>
      <c r="DJ393" s="165" t="str">
        <f>IFERROR(INDEX(DD$359:DD$407,_xlfn.AGGREGATE(15,6,(ROW(DD$359:DD$407)-ROW(DD$359)+1)/(DD$359:DD$407&lt;&gt;""),ROWS(DJ$1:DJ35))),"")</f>
        <v/>
      </c>
      <c r="DK393" s="166" t="str">
        <f t="shared" si="191"/>
        <v/>
      </c>
      <c r="DL393" s="164" t="str">
        <f>IFERROR(INDEX(DE$359:DE$407,_xlfn.AGGREGATE(15,6,(ROW(DE$359:DE$407)-ROW(DE$359)+1)/(DE$359:DE$407&lt;&gt;""),ROWS(DL$1:DL35))),"")</f>
        <v/>
      </c>
      <c r="DM393" s="165" t="str">
        <f>IFERROR(INDEX(DF$359:DF$407,_xlfn.AGGREGATE(15,6,(ROW(DF$359:DF$407)-ROW(DF$359)+1)/(DF$359:DF$407&lt;&gt;""),ROWS(DM$1:DM35))),"")</f>
        <v/>
      </c>
      <c r="DN393" s="166" t="str">
        <f t="shared" si="192"/>
        <v/>
      </c>
      <c r="DO393" s="164" t="str">
        <f>IFERROR(INDEX(DG$359:DG$407,_xlfn.AGGREGATE(15,6,(ROW(DG$359:DG$407)-ROW(DG$359)+1)/(DG$359:DG$407&lt;&gt;""),ROWS(DO$1:DO35))),"")</f>
        <v/>
      </c>
      <c r="DP393" s="165" t="str">
        <f>IFERROR(INDEX(DH$359:DH$407,_xlfn.AGGREGATE(15,6,(ROW(DH$359:DH$407)-ROW(DH$359)+1)/(DH$359:DH$407&lt;&gt;""),ROWS(DP$1:DP35))),"")</f>
        <v/>
      </c>
      <c r="DQ393" s="166" t="str">
        <f t="shared" si="193"/>
        <v/>
      </c>
      <c r="DV393" s="145">
        <v>2049</v>
      </c>
      <c r="DW393" s="235">
        <f t="shared" ca="1" si="177"/>
        <v>379.95438963368724</v>
      </c>
      <c r="EA393" s="55"/>
      <c r="EB393" s="55"/>
      <c r="EC393" s="55"/>
      <c r="ED393" s="55"/>
      <c r="EE393" s="55"/>
    </row>
    <row r="394" spans="2:135" ht="13.8" x14ac:dyDescent="0.45">
      <c r="B394" s="128">
        <v>2047</v>
      </c>
      <c r="C394" s="244"/>
      <c r="D394" s="244"/>
      <c r="E394" s="244"/>
      <c r="F394" s="244"/>
      <c r="G394" s="244"/>
      <c r="H394" s="245"/>
      <c r="I394" s="246"/>
      <c r="J394" s="247"/>
      <c r="K394" s="245"/>
      <c r="L394" s="246"/>
      <c r="M394" s="245"/>
      <c r="N394" s="29" t="s">
        <v>119</v>
      </c>
      <c r="O394" s="120"/>
      <c r="P394" s="120"/>
      <c r="Q394" s="120"/>
      <c r="R394" s="29">
        <v>33</v>
      </c>
      <c r="S394" s="238" t="str">
        <f t="shared" si="178"/>
        <v/>
      </c>
      <c r="T394" s="238" t="str">
        <f t="shared" si="179"/>
        <v/>
      </c>
      <c r="U394" s="238" t="str">
        <f t="shared" si="180"/>
        <v/>
      </c>
      <c r="W394" s="238" t="e">
        <f t="shared" si="181"/>
        <v>#N/A</v>
      </c>
      <c r="X394" s="238" t="e">
        <f t="shared" si="182"/>
        <v>#N/A</v>
      </c>
      <c r="Y394" s="238" t="e">
        <f t="shared" si="183"/>
        <v>#N/A</v>
      </c>
      <c r="AA394" s="89"/>
      <c r="AB394" s="89"/>
      <c r="AC394" s="89"/>
      <c r="AD394" s="89"/>
      <c r="AE394" s="89"/>
      <c r="AF394" s="89"/>
      <c r="AG394" s="89"/>
      <c r="AH394" s="89"/>
      <c r="AI394" s="89"/>
      <c r="AJ394" s="89"/>
      <c r="AK394" s="89"/>
      <c r="AL394" s="89"/>
      <c r="AM394" s="89"/>
      <c r="AN394" s="89"/>
      <c r="BR394" s="180">
        <v>2045</v>
      </c>
      <c r="BS394" s="22">
        <v>31</v>
      </c>
      <c r="BT394" s="198">
        <f t="shared" si="194"/>
        <v>170.02830133658497</v>
      </c>
      <c r="BU394" s="198">
        <f t="shared" si="195"/>
        <v>193.74711198597203</v>
      </c>
      <c r="BV394" s="205">
        <f t="shared" si="196"/>
        <v>363.77541332255703</v>
      </c>
      <c r="BY394" s="180">
        <v>2045</v>
      </c>
      <c r="BZ394" s="22">
        <v>31</v>
      </c>
      <c r="CA394" s="198">
        <f t="shared" ca="1" si="197"/>
        <v>-19.157985961904256</v>
      </c>
      <c r="CB394" s="198">
        <f t="shared" ca="1" si="198"/>
        <v>189.80428684564745</v>
      </c>
      <c r="CC394" s="198">
        <f t="shared" ca="1" si="209"/>
        <v>190.2384693956545</v>
      </c>
      <c r="CD394" s="205">
        <f t="shared" ca="1" si="199"/>
        <v>360.88477027939769</v>
      </c>
      <c r="CG394" s="180">
        <v>2045</v>
      </c>
      <c r="CH394" s="22">
        <v>31</v>
      </c>
      <c r="CI394" s="198">
        <f t="shared" ca="1" si="200"/>
        <v>-1.1426992679086021</v>
      </c>
      <c r="CJ394" s="198">
        <f t="shared" ca="1" si="201"/>
        <v>-17.388645159981063</v>
      </c>
      <c r="CK394" s="198">
        <f t="shared" ca="1" si="202"/>
        <v>189.06206740441044</v>
      </c>
      <c r="CL394" s="198">
        <f t="shared" ca="1" si="203"/>
        <v>190.307328236437</v>
      </c>
      <c r="CM394" s="205">
        <f t="shared" ca="1" si="204"/>
        <v>360.83805121295779</v>
      </c>
      <c r="CP394" s="180">
        <v>2045</v>
      </c>
      <c r="CQ394" s="22">
        <v>31</v>
      </c>
      <c r="CR394" s="198">
        <f t="shared" ca="1" si="205"/>
        <v>201.37697433285535</v>
      </c>
      <c r="CS394" s="198">
        <f t="shared" ca="1" si="206"/>
        <v>1.8559958257475877</v>
      </c>
      <c r="CT394" s="205">
        <f t="shared" ca="1" si="207"/>
        <v>373.75482376345866</v>
      </c>
      <c r="CZ394" s="164" t="b">
        <f t="shared" si="184"/>
        <v>0</v>
      </c>
      <c r="DA394" s="165" t="b">
        <f t="shared" si="184"/>
        <v>0</v>
      </c>
      <c r="DB394" s="166" t="b">
        <f t="shared" si="184"/>
        <v>0</v>
      </c>
      <c r="DC394" s="164" t="str">
        <f t="shared" si="185"/>
        <v/>
      </c>
      <c r="DD394" s="166" t="str">
        <f t="shared" si="186"/>
        <v/>
      </c>
      <c r="DE394" s="164" t="str">
        <f t="shared" si="187"/>
        <v/>
      </c>
      <c r="DF394" s="166" t="str">
        <f t="shared" si="188"/>
        <v/>
      </c>
      <c r="DG394" s="164" t="str">
        <f t="shared" si="189"/>
        <v/>
      </c>
      <c r="DH394" s="166" t="str">
        <f t="shared" si="190"/>
        <v/>
      </c>
      <c r="DI394" s="164" t="str">
        <f>IFERROR(INDEX(DC$359:DC$407,_xlfn.AGGREGATE(15,6,(ROW(DC$359:DC$407)-ROW(DC$359)+1)/(DC$359:DC$407&lt;&gt;""),ROWS(DI$1:DI36))),"")</f>
        <v/>
      </c>
      <c r="DJ394" s="165" t="str">
        <f>IFERROR(INDEX(DD$359:DD$407,_xlfn.AGGREGATE(15,6,(ROW(DD$359:DD$407)-ROW(DD$359)+1)/(DD$359:DD$407&lt;&gt;""),ROWS(DJ$1:DJ36))),"")</f>
        <v/>
      </c>
      <c r="DK394" s="166" t="str">
        <f t="shared" si="191"/>
        <v/>
      </c>
      <c r="DL394" s="164" t="str">
        <f>IFERROR(INDEX(DE$359:DE$407,_xlfn.AGGREGATE(15,6,(ROW(DE$359:DE$407)-ROW(DE$359)+1)/(DE$359:DE$407&lt;&gt;""),ROWS(DL$1:DL36))),"")</f>
        <v/>
      </c>
      <c r="DM394" s="165" t="str">
        <f>IFERROR(INDEX(DF$359:DF$407,_xlfn.AGGREGATE(15,6,(ROW(DF$359:DF$407)-ROW(DF$359)+1)/(DF$359:DF$407&lt;&gt;""),ROWS(DM$1:DM36))),"")</f>
        <v/>
      </c>
      <c r="DN394" s="166" t="str">
        <f t="shared" si="192"/>
        <v/>
      </c>
      <c r="DO394" s="164" t="str">
        <f>IFERROR(INDEX(DG$359:DG$407,_xlfn.AGGREGATE(15,6,(ROW(DG$359:DG$407)-ROW(DG$359)+1)/(DG$359:DG$407&lt;&gt;""),ROWS(DO$1:DO36))),"")</f>
        <v/>
      </c>
      <c r="DP394" s="165" t="str">
        <f>IFERROR(INDEX(DH$359:DH$407,_xlfn.AGGREGATE(15,6,(ROW(DH$359:DH$407)-ROW(DH$359)+1)/(DH$359:DH$407&lt;&gt;""),ROWS(DP$1:DP36))),"")</f>
        <v/>
      </c>
      <c r="DQ394" s="166" t="str">
        <f t="shared" si="193"/>
        <v/>
      </c>
      <c r="DV394" s="145">
        <v>2050</v>
      </c>
      <c r="DW394" s="235">
        <f t="shared" ca="1" si="177"/>
        <v>384.6234404492543</v>
      </c>
      <c r="EA394" s="55"/>
      <c r="EB394" s="55"/>
      <c r="EC394" s="55"/>
      <c r="ED394" s="55"/>
      <c r="EE394" s="55"/>
    </row>
    <row r="395" spans="2:135" ht="13.8" x14ac:dyDescent="0.45">
      <c r="B395" s="128">
        <v>2048</v>
      </c>
      <c r="C395" s="244"/>
      <c r="D395" s="244"/>
      <c r="E395" s="244"/>
      <c r="F395" s="244"/>
      <c r="G395" s="244"/>
      <c r="H395" s="245"/>
      <c r="I395" s="246"/>
      <c r="J395" s="247"/>
      <c r="K395" s="245"/>
      <c r="L395" s="246"/>
      <c r="M395" s="245"/>
      <c r="N395" s="29" t="s">
        <v>119</v>
      </c>
      <c r="O395" s="120"/>
      <c r="P395" s="120"/>
      <c r="Q395" s="120"/>
      <c r="R395" s="29">
        <v>34</v>
      </c>
      <c r="S395" s="238" t="str">
        <f t="shared" si="178"/>
        <v/>
      </c>
      <c r="T395" s="238" t="str">
        <f t="shared" si="179"/>
        <v/>
      </c>
      <c r="U395" s="238" t="str">
        <f t="shared" si="180"/>
        <v/>
      </c>
      <c r="W395" s="238" t="e">
        <f t="shared" si="181"/>
        <v>#N/A</v>
      </c>
      <c r="X395" s="238" t="e">
        <f t="shared" si="182"/>
        <v>#N/A</v>
      </c>
      <c r="Y395" s="238" t="e">
        <f t="shared" si="183"/>
        <v>#N/A</v>
      </c>
      <c r="AA395" s="89"/>
      <c r="AB395" s="89"/>
      <c r="AC395" s="89"/>
      <c r="AD395" s="89"/>
      <c r="AE395" s="89"/>
      <c r="AF395" s="89"/>
      <c r="AG395" s="89"/>
      <c r="AH395" s="89"/>
      <c r="AI395" s="89"/>
      <c r="AJ395" s="89"/>
      <c r="AK395" s="89"/>
      <c r="AL395" s="89"/>
      <c r="AM395" s="89"/>
      <c r="AN395" s="89"/>
      <c r="BR395" s="180">
        <v>2046</v>
      </c>
      <c r="BS395" s="22">
        <v>32</v>
      </c>
      <c r="BT395" s="198">
        <f t="shared" si="194"/>
        <v>175.51308525066835</v>
      </c>
      <c r="BU395" s="198">
        <f t="shared" si="195"/>
        <v>193.74711198597203</v>
      </c>
      <c r="BV395" s="205">
        <f t="shared" si="196"/>
        <v>369.26019723664035</v>
      </c>
      <c r="BY395" s="180">
        <v>2046</v>
      </c>
      <c r="BZ395" s="22">
        <v>32</v>
      </c>
      <c r="CA395" s="198">
        <f t="shared" ca="1" si="197"/>
        <v>-20.413920525483828</v>
      </c>
      <c r="CB395" s="198">
        <f t="shared" ca="1" si="198"/>
        <v>195.92700577615221</v>
      </c>
      <c r="CC395" s="198">
        <f t="shared" ca="1" si="209"/>
        <v>190.2384693956545</v>
      </c>
      <c r="CD395" s="205">
        <f t="shared" ca="1" si="199"/>
        <v>365.75155464632292</v>
      </c>
      <c r="CG395" s="180">
        <v>2046</v>
      </c>
      <c r="CH395" s="22">
        <v>32</v>
      </c>
      <c r="CI395" s="198">
        <f t="shared" ca="1" si="200"/>
        <v>-1.2568886445849106</v>
      </c>
      <c r="CJ395" s="198">
        <f t="shared" ca="1" si="201"/>
        <v>-18.528587558606251</v>
      </c>
      <c r="CK395" s="198">
        <f t="shared" ca="1" si="202"/>
        <v>195.16084377229464</v>
      </c>
      <c r="CL395" s="198">
        <f t="shared" ca="1" si="203"/>
        <v>190.307328236437</v>
      </c>
      <c r="CM395" s="205">
        <f t="shared" ca="1" si="204"/>
        <v>365.68269580554045</v>
      </c>
      <c r="CP395" s="180">
        <v>2046</v>
      </c>
      <c r="CQ395" s="22">
        <v>32</v>
      </c>
      <c r="CR395" s="198">
        <f t="shared" ca="1" si="205"/>
        <v>201.37697433285535</v>
      </c>
      <c r="CS395" s="198">
        <f t="shared" ca="1" si="206"/>
        <v>1.8933930087009534</v>
      </c>
      <c r="CT395" s="205">
        <f t="shared" ca="1" si="207"/>
        <v>381.28575531517964</v>
      </c>
      <c r="CZ395" s="164" t="b">
        <f t="shared" si="184"/>
        <v>0</v>
      </c>
      <c r="DA395" s="165" t="b">
        <f t="shared" si="184"/>
        <v>0</v>
      </c>
      <c r="DB395" s="166" t="b">
        <f t="shared" si="184"/>
        <v>0</v>
      </c>
      <c r="DC395" s="164" t="str">
        <f t="shared" si="185"/>
        <v/>
      </c>
      <c r="DD395" s="166" t="str">
        <f t="shared" si="186"/>
        <v/>
      </c>
      <c r="DE395" s="164" t="str">
        <f t="shared" si="187"/>
        <v/>
      </c>
      <c r="DF395" s="166" t="str">
        <f t="shared" si="188"/>
        <v/>
      </c>
      <c r="DG395" s="164" t="str">
        <f t="shared" si="189"/>
        <v/>
      </c>
      <c r="DH395" s="166" t="str">
        <f t="shared" si="190"/>
        <v/>
      </c>
      <c r="DI395" s="164" t="str">
        <f>IFERROR(INDEX(DC$359:DC$407,_xlfn.AGGREGATE(15,6,(ROW(DC$359:DC$407)-ROW(DC$359)+1)/(DC$359:DC$407&lt;&gt;""),ROWS(DI$1:DI37))),"")</f>
        <v/>
      </c>
      <c r="DJ395" s="165" t="str">
        <f>IFERROR(INDEX(DD$359:DD$407,_xlfn.AGGREGATE(15,6,(ROW(DD$359:DD$407)-ROW(DD$359)+1)/(DD$359:DD$407&lt;&gt;""),ROWS(DJ$1:DJ37))),"")</f>
        <v/>
      </c>
      <c r="DK395" s="166" t="str">
        <f t="shared" si="191"/>
        <v/>
      </c>
      <c r="DL395" s="164" t="str">
        <f>IFERROR(INDEX(DE$359:DE$407,_xlfn.AGGREGATE(15,6,(ROW(DE$359:DE$407)-ROW(DE$359)+1)/(DE$359:DE$407&lt;&gt;""),ROWS(DL$1:DL37))),"")</f>
        <v/>
      </c>
      <c r="DM395" s="165" t="str">
        <f>IFERROR(INDEX(DF$359:DF$407,_xlfn.AGGREGATE(15,6,(ROW(DF$359:DF$407)-ROW(DF$359)+1)/(DF$359:DF$407&lt;&gt;""),ROWS(DM$1:DM37))),"")</f>
        <v/>
      </c>
      <c r="DN395" s="166" t="str">
        <f t="shared" si="192"/>
        <v/>
      </c>
      <c r="DO395" s="164" t="str">
        <f>IFERROR(INDEX(DG$359:DG$407,_xlfn.AGGREGATE(15,6,(ROW(DG$359:DG$407)-ROW(DG$359)+1)/(DG$359:DG$407&lt;&gt;""),ROWS(DO$1:DO37))),"")</f>
        <v/>
      </c>
      <c r="DP395" s="165" t="str">
        <f>IFERROR(INDEX(DH$359:DH$407,_xlfn.AGGREGATE(15,6,(ROW(DH$359:DH$407)-ROW(DH$359)+1)/(DH$359:DH$407&lt;&gt;""),ROWS(DP$1:DP37))),"")</f>
        <v/>
      </c>
      <c r="DQ395" s="166" t="str">
        <f t="shared" si="193"/>
        <v/>
      </c>
      <c r="DV395" s="145">
        <v>2051</v>
      </c>
      <c r="DW395" s="235">
        <f t="shared" ca="1" si="177"/>
        <v>389.24801746260636</v>
      </c>
      <c r="EA395" s="55"/>
      <c r="EB395" s="55"/>
      <c r="EC395" s="55"/>
      <c r="ED395" s="55"/>
      <c r="EE395" s="55"/>
    </row>
    <row r="396" spans="2:135" ht="13.8" x14ac:dyDescent="0.45">
      <c r="B396" s="128">
        <v>2049</v>
      </c>
      <c r="C396" s="244"/>
      <c r="D396" s="244"/>
      <c r="E396" s="244"/>
      <c r="F396" s="244"/>
      <c r="G396" s="244"/>
      <c r="H396" s="245"/>
      <c r="I396" s="246"/>
      <c r="J396" s="247"/>
      <c r="K396" s="245"/>
      <c r="L396" s="246"/>
      <c r="M396" s="245"/>
      <c r="N396" s="29" t="s">
        <v>119</v>
      </c>
      <c r="O396" s="120"/>
      <c r="P396" s="120"/>
      <c r="Q396" s="120"/>
      <c r="R396" s="29">
        <v>35</v>
      </c>
      <c r="S396" s="238" t="str">
        <f t="shared" si="178"/>
        <v/>
      </c>
      <c r="T396" s="238" t="str">
        <f t="shared" si="179"/>
        <v/>
      </c>
      <c r="U396" s="238" t="str">
        <f t="shared" si="180"/>
        <v/>
      </c>
      <c r="W396" s="238" t="e">
        <f t="shared" si="181"/>
        <v>#N/A</v>
      </c>
      <c r="X396" s="238" t="e">
        <f t="shared" si="182"/>
        <v>#N/A</v>
      </c>
      <c r="Y396" s="238" t="e">
        <f t="shared" si="183"/>
        <v>#N/A</v>
      </c>
      <c r="AA396" s="89"/>
      <c r="AB396" s="89"/>
      <c r="AC396" s="89"/>
      <c r="AD396" s="89"/>
      <c r="AE396" s="89"/>
      <c r="AF396" s="89"/>
      <c r="AG396" s="89"/>
      <c r="AH396" s="89"/>
      <c r="AI396" s="89"/>
      <c r="AJ396" s="89"/>
      <c r="AK396" s="89"/>
      <c r="AL396" s="89"/>
      <c r="AM396" s="89"/>
      <c r="AN396" s="89"/>
      <c r="BR396" s="180">
        <v>2047</v>
      </c>
      <c r="BS396" s="22">
        <v>33</v>
      </c>
      <c r="BT396" s="198">
        <f t="shared" si="194"/>
        <v>180.99786916475173</v>
      </c>
      <c r="BU396" s="198">
        <f t="shared" si="195"/>
        <v>193.74711198597203</v>
      </c>
      <c r="BV396" s="205">
        <f t="shared" si="196"/>
        <v>374.74498115072379</v>
      </c>
      <c r="BY396" s="180">
        <v>2047</v>
      </c>
      <c r="BZ396" s="22">
        <v>33</v>
      </c>
      <c r="CA396" s="198">
        <f t="shared" ca="1" si="197"/>
        <v>-21.709726027589735</v>
      </c>
      <c r="CB396" s="198">
        <f t="shared" ca="1" si="198"/>
        <v>202.04972470665697</v>
      </c>
      <c r="CC396" s="198">
        <f t="shared" ca="1" si="209"/>
        <v>190.2384693956545</v>
      </c>
      <c r="CD396" s="205">
        <f t="shared" ca="1" si="199"/>
        <v>370.57846807472174</v>
      </c>
      <c r="CG396" s="180">
        <v>2047</v>
      </c>
      <c r="CH396" s="22">
        <v>33</v>
      </c>
      <c r="CI396" s="198">
        <f t="shared" ca="1" si="200"/>
        <v>-1.3784426031630839</v>
      </c>
      <c r="CJ396" s="198">
        <f t="shared" ca="1" si="201"/>
        <v>-19.704718604806843</v>
      </c>
      <c r="CK396" s="198">
        <f t="shared" ca="1" si="202"/>
        <v>201.25962014017884</v>
      </c>
      <c r="CL396" s="198">
        <f t="shared" ca="1" si="203"/>
        <v>190.307328236437</v>
      </c>
      <c r="CM396" s="205">
        <f t="shared" ca="1" si="204"/>
        <v>370.4837871686459</v>
      </c>
      <c r="CP396" s="180">
        <v>2047</v>
      </c>
      <c r="CQ396" s="22">
        <v>33</v>
      </c>
      <c r="CR396" s="198">
        <f t="shared" ca="1" si="205"/>
        <v>201.37697433285535</v>
      </c>
      <c r="CS396" s="198">
        <f t="shared" ca="1" si="206"/>
        <v>1.9315437220628717</v>
      </c>
      <c r="CT396" s="205">
        <f t="shared" ca="1" si="207"/>
        <v>388.96843054064283</v>
      </c>
      <c r="CZ396" s="164" t="b">
        <f t="shared" si="184"/>
        <v>0</v>
      </c>
      <c r="DA396" s="165" t="b">
        <f t="shared" si="184"/>
        <v>0</v>
      </c>
      <c r="DB396" s="166" t="b">
        <f t="shared" si="184"/>
        <v>0</v>
      </c>
      <c r="DC396" s="164" t="str">
        <f t="shared" si="185"/>
        <v/>
      </c>
      <c r="DD396" s="166" t="str">
        <f t="shared" si="186"/>
        <v/>
      </c>
      <c r="DE396" s="164" t="str">
        <f t="shared" si="187"/>
        <v/>
      </c>
      <c r="DF396" s="166" t="str">
        <f t="shared" si="188"/>
        <v/>
      </c>
      <c r="DG396" s="164" t="str">
        <f t="shared" si="189"/>
        <v/>
      </c>
      <c r="DH396" s="166" t="str">
        <f t="shared" si="190"/>
        <v/>
      </c>
      <c r="DI396" s="164" t="str">
        <f>IFERROR(INDEX(DC$359:DC$407,_xlfn.AGGREGATE(15,6,(ROW(DC$359:DC$407)-ROW(DC$359)+1)/(DC$359:DC$407&lt;&gt;""),ROWS(DI$1:DI38))),"")</f>
        <v/>
      </c>
      <c r="DJ396" s="165" t="str">
        <f>IFERROR(INDEX(DD$359:DD$407,_xlfn.AGGREGATE(15,6,(ROW(DD$359:DD$407)-ROW(DD$359)+1)/(DD$359:DD$407&lt;&gt;""),ROWS(DJ$1:DJ38))),"")</f>
        <v/>
      </c>
      <c r="DK396" s="166" t="str">
        <f t="shared" si="191"/>
        <v/>
      </c>
      <c r="DL396" s="164" t="str">
        <f>IFERROR(INDEX(DE$359:DE$407,_xlfn.AGGREGATE(15,6,(ROW(DE$359:DE$407)-ROW(DE$359)+1)/(DE$359:DE$407&lt;&gt;""),ROWS(DL$1:DL38))),"")</f>
        <v/>
      </c>
      <c r="DM396" s="165" t="str">
        <f>IFERROR(INDEX(DF$359:DF$407,_xlfn.AGGREGATE(15,6,(ROW(DF$359:DF$407)-ROW(DF$359)+1)/(DF$359:DF$407&lt;&gt;""),ROWS(DM$1:DM38))),"")</f>
        <v/>
      </c>
      <c r="DN396" s="166" t="str">
        <f t="shared" si="192"/>
        <v/>
      </c>
      <c r="DO396" s="164" t="str">
        <f>IFERROR(INDEX(DG$359:DG$407,_xlfn.AGGREGATE(15,6,(ROW(DG$359:DG$407)-ROW(DG$359)+1)/(DG$359:DG$407&lt;&gt;""),ROWS(DO$1:DO38))),"")</f>
        <v/>
      </c>
      <c r="DP396" s="165" t="str">
        <f>IFERROR(INDEX(DH$359:DH$407,_xlfn.AGGREGATE(15,6,(ROW(DH$359:DH$407)-ROW(DH$359)+1)/(DH$359:DH$407&lt;&gt;""),ROWS(DP$1:DP38))),"")</f>
        <v/>
      </c>
      <c r="DQ396" s="166" t="str">
        <f t="shared" si="193"/>
        <v/>
      </c>
      <c r="DV396" s="145">
        <v>2052</v>
      </c>
      <c r="DW396" s="235">
        <f t="shared" ca="1" si="177"/>
        <v>393.82789053055899</v>
      </c>
      <c r="EA396" s="55"/>
      <c r="EB396" s="55"/>
      <c r="EC396" s="55"/>
      <c r="ED396" s="55"/>
      <c r="EE396" s="55"/>
    </row>
    <row r="397" spans="2:135" ht="13.8" x14ac:dyDescent="0.45">
      <c r="B397" s="128">
        <v>2050</v>
      </c>
      <c r="C397" s="244"/>
      <c r="D397" s="244"/>
      <c r="E397" s="244"/>
      <c r="F397" s="244"/>
      <c r="G397" s="244"/>
      <c r="H397" s="245"/>
      <c r="I397" s="246"/>
      <c r="J397" s="247"/>
      <c r="K397" s="245"/>
      <c r="L397" s="246"/>
      <c r="M397" s="245"/>
      <c r="N397" s="29" t="s">
        <v>119</v>
      </c>
      <c r="O397" s="120"/>
      <c r="P397" s="120"/>
      <c r="Q397" s="120"/>
      <c r="R397" s="29">
        <v>36</v>
      </c>
      <c r="S397" s="238" t="str">
        <f t="shared" si="178"/>
        <v/>
      </c>
      <c r="T397" s="238" t="str">
        <f t="shared" si="179"/>
        <v/>
      </c>
      <c r="U397" s="238" t="str">
        <f t="shared" si="180"/>
        <v/>
      </c>
      <c r="W397" s="238" t="e">
        <f t="shared" si="181"/>
        <v>#N/A</v>
      </c>
      <c r="X397" s="238" t="e">
        <f t="shared" si="182"/>
        <v>#N/A</v>
      </c>
      <c r="Y397" s="238" t="e">
        <f t="shared" si="183"/>
        <v>#N/A</v>
      </c>
      <c r="AA397" s="89"/>
      <c r="AB397" s="89"/>
      <c r="AC397" s="89"/>
      <c r="AD397" s="89"/>
      <c r="AE397" s="89"/>
      <c r="AF397" s="89"/>
      <c r="AG397" s="89"/>
      <c r="AH397" s="89"/>
      <c r="AI397" s="89"/>
      <c r="AJ397" s="89"/>
      <c r="AK397" s="89"/>
      <c r="AL397" s="89"/>
      <c r="AM397" s="89"/>
      <c r="AN397" s="89"/>
      <c r="BR397" s="180">
        <v>2048</v>
      </c>
      <c r="BS397" s="22">
        <v>34</v>
      </c>
      <c r="BT397" s="198">
        <f t="shared" si="194"/>
        <v>186.48265307883511</v>
      </c>
      <c r="BU397" s="198">
        <f t="shared" si="195"/>
        <v>193.74711198597203</v>
      </c>
      <c r="BV397" s="205">
        <f t="shared" si="196"/>
        <v>380.22976506480711</v>
      </c>
      <c r="BY397" s="180">
        <v>2048</v>
      </c>
      <c r="BZ397" s="22">
        <v>34</v>
      </c>
      <c r="CA397" s="198">
        <f t="shared" ca="1" si="197"/>
        <v>-23.045402468221976</v>
      </c>
      <c r="CB397" s="198">
        <f t="shared" ca="1" si="198"/>
        <v>208.17244363716173</v>
      </c>
      <c r="CC397" s="198">
        <f t="shared" ca="1" si="209"/>
        <v>190.2384693956545</v>
      </c>
      <c r="CD397" s="205">
        <f t="shared" ca="1" si="199"/>
        <v>375.36551056459427</v>
      </c>
      <c r="CG397" s="180">
        <v>2048</v>
      </c>
      <c r="CH397" s="22">
        <v>34</v>
      </c>
      <c r="CI397" s="198">
        <f t="shared" ca="1" si="200"/>
        <v>-1.5075912868275552</v>
      </c>
      <c r="CJ397" s="198">
        <f t="shared" ca="1" si="201"/>
        <v>-20.917038298582838</v>
      </c>
      <c r="CK397" s="198">
        <f t="shared" ca="1" si="202"/>
        <v>207.35839650806307</v>
      </c>
      <c r="CL397" s="198">
        <f t="shared" ca="1" si="203"/>
        <v>190.307328236437</v>
      </c>
      <c r="CM397" s="205">
        <f t="shared" ca="1" si="204"/>
        <v>375.2410951590897</v>
      </c>
      <c r="CP397" s="180">
        <v>2048</v>
      </c>
      <c r="CQ397" s="22">
        <v>34</v>
      </c>
      <c r="CR397" s="198">
        <f t="shared" ca="1" si="205"/>
        <v>201.37697433285535</v>
      </c>
      <c r="CS397" s="198">
        <f t="shared" ca="1" si="206"/>
        <v>1.9704631490111055</v>
      </c>
      <c r="CT397" s="205">
        <f t="shared" ca="1" si="207"/>
        <v>396.80590698224671</v>
      </c>
      <c r="CZ397" s="164" t="b">
        <f t="shared" si="184"/>
        <v>0</v>
      </c>
      <c r="DA397" s="165" t="b">
        <f t="shared" si="184"/>
        <v>0</v>
      </c>
      <c r="DB397" s="166" t="b">
        <f t="shared" si="184"/>
        <v>0</v>
      </c>
      <c r="DC397" s="164" t="str">
        <f t="shared" si="185"/>
        <v/>
      </c>
      <c r="DD397" s="166" t="str">
        <f t="shared" si="186"/>
        <v/>
      </c>
      <c r="DE397" s="164" t="str">
        <f t="shared" si="187"/>
        <v/>
      </c>
      <c r="DF397" s="166" t="str">
        <f t="shared" si="188"/>
        <v/>
      </c>
      <c r="DG397" s="164" t="str">
        <f t="shared" si="189"/>
        <v/>
      </c>
      <c r="DH397" s="166" t="str">
        <f t="shared" si="190"/>
        <v/>
      </c>
      <c r="DI397" s="164" t="str">
        <f>IFERROR(INDEX(DC$359:DC$407,_xlfn.AGGREGATE(15,6,(ROW(DC$359:DC$407)-ROW(DC$359)+1)/(DC$359:DC$407&lt;&gt;""),ROWS(DI$1:DI39))),"")</f>
        <v/>
      </c>
      <c r="DJ397" s="165" t="str">
        <f>IFERROR(INDEX(DD$359:DD$407,_xlfn.AGGREGATE(15,6,(ROW(DD$359:DD$407)-ROW(DD$359)+1)/(DD$359:DD$407&lt;&gt;""),ROWS(DJ$1:DJ39))),"")</f>
        <v/>
      </c>
      <c r="DK397" s="166" t="str">
        <f t="shared" si="191"/>
        <v/>
      </c>
      <c r="DL397" s="164" t="str">
        <f>IFERROR(INDEX(DE$359:DE$407,_xlfn.AGGREGATE(15,6,(ROW(DE$359:DE$407)-ROW(DE$359)+1)/(DE$359:DE$407&lt;&gt;""),ROWS(DL$1:DL39))),"")</f>
        <v/>
      </c>
      <c r="DM397" s="165" t="str">
        <f>IFERROR(INDEX(DF$359:DF$407,_xlfn.AGGREGATE(15,6,(ROW(DF$359:DF$407)-ROW(DF$359)+1)/(DF$359:DF$407&lt;&gt;""),ROWS(DM$1:DM39))),"")</f>
        <v/>
      </c>
      <c r="DN397" s="166" t="str">
        <f t="shared" si="192"/>
        <v/>
      </c>
      <c r="DO397" s="164" t="str">
        <f>IFERROR(INDEX(DG$359:DG$407,_xlfn.AGGREGATE(15,6,(ROW(DG$359:DG$407)-ROW(DG$359)+1)/(DG$359:DG$407&lt;&gt;""),ROWS(DO$1:DO39))),"")</f>
        <v/>
      </c>
      <c r="DP397" s="165" t="str">
        <f>IFERROR(INDEX(DH$359:DH$407,_xlfn.AGGREGATE(15,6,(ROW(DH$359:DH$407)-ROW(DH$359)+1)/(DH$359:DH$407&lt;&gt;""),ROWS(DP$1:DP39))),"")</f>
        <v/>
      </c>
      <c r="DQ397" s="166" t="str">
        <f t="shared" si="193"/>
        <v/>
      </c>
      <c r="DV397" s="145">
        <v>2053</v>
      </c>
      <c r="DW397" s="235">
        <f t="shared" ca="1" si="177"/>
        <v>398.36282950992768</v>
      </c>
      <c r="EA397" s="55"/>
      <c r="EB397" s="55"/>
      <c r="EC397" s="55"/>
      <c r="ED397" s="55"/>
      <c r="EE397" s="55"/>
    </row>
    <row r="398" spans="2:135" ht="13.8" x14ac:dyDescent="0.45">
      <c r="B398" s="128">
        <v>2051</v>
      </c>
      <c r="C398" s="244"/>
      <c r="D398" s="244"/>
      <c r="E398" s="244"/>
      <c r="F398" s="244"/>
      <c r="G398" s="244"/>
      <c r="H398" s="245"/>
      <c r="I398" s="246"/>
      <c r="J398" s="247"/>
      <c r="K398" s="245"/>
      <c r="L398" s="246"/>
      <c r="M398" s="245"/>
      <c r="N398" s="29" t="s">
        <v>119</v>
      </c>
      <c r="O398" s="120"/>
      <c r="P398" s="120"/>
      <c r="Q398" s="120"/>
      <c r="R398" s="29">
        <v>37</v>
      </c>
      <c r="S398" s="238" t="str">
        <f t="shared" si="178"/>
        <v/>
      </c>
      <c r="T398" s="238" t="str">
        <f t="shared" si="179"/>
        <v/>
      </c>
      <c r="U398" s="238" t="str">
        <f t="shared" si="180"/>
        <v/>
      </c>
      <c r="W398" s="238" t="e">
        <f t="shared" si="181"/>
        <v>#N/A</v>
      </c>
      <c r="X398" s="238" t="e">
        <f t="shared" si="182"/>
        <v>#N/A</v>
      </c>
      <c r="Y398" s="238" t="e">
        <f t="shared" si="183"/>
        <v>#N/A</v>
      </c>
      <c r="AA398" s="89"/>
      <c r="AB398" s="89"/>
      <c r="AC398" s="89"/>
      <c r="AD398" s="89"/>
      <c r="AE398" s="89"/>
      <c r="AF398" s="89"/>
      <c r="AG398" s="89"/>
      <c r="AH398" s="89"/>
      <c r="AI398" s="89"/>
      <c r="AJ398" s="89"/>
      <c r="AK398" s="89"/>
      <c r="AL398" s="89"/>
      <c r="AM398" s="89"/>
      <c r="AN398" s="89"/>
      <c r="BR398" s="180">
        <v>2049</v>
      </c>
      <c r="BS398" s="22">
        <v>35</v>
      </c>
      <c r="BT398" s="198">
        <f t="shared" si="194"/>
        <v>191.96743699291852</v>
      </c>
      <c r="BU398" s="198">
        <f t="shared" si="195"/>
        <v>193.74711198597203</v>
      </c>
      <c r="BV398" s="205">
        <f t="shared" si="196"/>
        <v>385.71454897889055</v>
      </c>
      <c r="BY398" s="180">
        <v>2049</v>
      </c>
      <c r="BZ398" s="22">
        <v>35</v>
      </c>
      <c r="CA398" s="198">
        <f t="shared" ca="1" si="197"/>
        <v>-24.420949847380555</v>
      </c>
      <c r="CB398" s="198">
        <f t="shared" ca="1" si="198"/>
        <v>214.29516256766649</v>
      </c>
      <c r="CC398" s="198">
        <f t="shared" ca="1" si="209"/>
        <v>190.2384693956545</v>
      </c>
      <c r="CD398" s="205">
        <f t="shared" ca="1" si="199"/>
        <v>380.1126821159404</v>
      </c>
      <c r="CG398" s="180">
        <v>2049</v>
      </c>
      <c r="CH398" s="22">
        <v>35</v>
      </c>
      <c r="CI398" s="198">
        <f t="shared" ca="1" si="200"/>
        <v>-1.6445648387627576</v>
      </c>
      <c r="CJ398" s="198">
        <f t="shared" ca="1" si="201"/>
        <v>-22.165546639934234</v>
      </c>
      <c r="CK398" s="198">
        <f t="shared" ca="1" si="202"/>
        <v>213.45717287594726</v>
      </c>
      <c r="CL398" s="198">
        <f t="shared" ca="1" si="203"/>
        <v>190.307328236437</v>
      </c>
      <c r="CM398" s="205">
        <f t="shared" ca="1" si="204"/>
        <v>379.95438963368724</v>
      </c>
      <c r="CP398" s="180">
        <v>2049</v>
      </c>
      <c r="CQ398" s="22">
        <v>35</v>
      </c>
      <c r="CR398" s="198">
        <f t="shared" ca="1" si="205"/>
        <v>201.37697433285535</v>
      </c>
      <c r="CS398" s="198">
        <f t="shared" ca="1" si="206"/>
        <v>2.0101667786551816</v>
      </c>
      <c r="CT398" s="205">
        <f t="shared" ca="1" si="207"/>
        <v>404.80130379000303</v>
      </c>
      <c r="CZ398" s="164" t="b">
        <f t="shared" si="184"/>
        <v>0</v>
      </c>
      <c r="DA398" s="165" t="b">
        <f t="shared" si="184"/>
        <v>0</v>
      </c>
      <c r="DB398" s="166" t="b">
        <f t="shared" si="184"/>
        <v>0</v>
      </c>
      <c r="DC398" s="164" t="str">
        <f t="shared" si="185"/>
        <v/>
      </c>
      <c r="DD398" s="166" t="str">
        <f t="shared" si="186"/>
        <v/>
      </c>
      <c r="DE398" s="164" t="str">
        <f t="shared" si="187"/>
        <v/>
      </c>
      <c r="DF398" s="166" t="str">
        <f t="shared" si="188"/>
        <v/>
      </c>
      <c r="DG398" s="164" t="str">
        <f t="shared" si="189"/>
        <v/>
      </c>
      <c r="DH398" s="166" t="str">
        <f t="shared" si="190"/>
        <v/>
      </c>
      <c r="DI398" s="164" t="str">
        <f>IFERROR(INDEX(DC$359:DC$407,_xlfn.AGGREGATE(15,6,(ROW(DC$359:DC$407)-ROW(DC$359)+1)/(DC$359:DC$407&lt;&gt;""),ROWS(DI$1:DI40))),"")</f>
        <v/>
      </c>
      <c r="DJ398" s="165" t="str">
        <f>IFERROR(INDEX(DD$359:DD$407,_xlfn.AGGREGATE(15,6,(ROW(DD$359:DD$407)-ROW(DD$359)+1)/(DD$359:DD$407&lt;&gt;""),ROWS(DJ$1:DJ40))),"")</f>
        <v/>
      </c>
      <c r="DK398" s="166" t="str">
        <f t="shared" si="191"/>
        <v/>
      </c>
      <c r="DL398" s="164" t="str">
        <f>IFERROR(INDEX(DE$359:DE$407,_xlfn.AGGREGATE(15,6,(ROW(DE$359:DE$407)-ROW(DE$359)+1)/(DE$359:DE$407&lt;&gt;""),ROWS(DL$1:DL40))),"")</f>
        <v/>
      </c>
      <c r="DM398" s="165" t="str">
        <f>IFERROR(INDEX(DF$359:DF$407,_xlfn.AGGREGATE(15,6,(ROW(DF$359:DF$407)-ROW(DF$359)+1)/(DF$359:DF$407&lt;&gt;""),ROWS(DM$1:DM40))),"")</f>
        <v/>
      </c>
      <c r="DN398" s="166" t="str">
        <f t="shared" si="192"/>
        <v/>
      </c>
      <c r="DO398" s="164" t="str">
        <f>IFERROR(INDEX(DG$359:DG$407,_xlfn.AGGREGATE(15,6,(ROW(DG$359:DG$407)-ROW(DG$359)+1)/(DG$359:DG$407&lt;&gt;""),ROWS(DO$1:DO40))),"")</f>
        <v/>
      </c>
      <c r="DP398" s="165" t="str">
        <f>IFERROR(INDEX(DH$359:DH$407,_xlfn.AGGREGATE(15,6,(ROW(DH$359:DH$407)-ROW(DH$359)+1)/(DH$359:DH$407&lt;&gt;""),ROWS(DP$1:DP40))),"")</f>
        <v/>
      </c>
      <c r="DQ398" s="166" t="str">
        <f t="shared" si="193"/>
        <v/>
      </c>
      <c r="DV398" s="145">
        <v>2054</v>
      </c>
      <c r="DW398" s="235">
        <f t="shared" ca="1" si="177"/>
        <v>402.85260425752813</v>
      </c>
      <c r="EA398" s="55"/>
      <c r="EB398" s="55"/>
      <c r="EC398" s="55"/>
      <c r="ED398" s="55"/>
      <c r="EE398" s="55"/>
    </row>
    <row r="399" spans="2:135" ht="13.8" x14ac:dyDescent="0.45">
      <c r="B399" s="128">
        <v>2052</v>
      </c>
      <c r="C399" s="244"/>
      <c r="D399" s="244"/>
      <c r="E399" s="244"/>
      <c r="F399" s="244"/>
      <c r="G399" s="244"/>
      <c r="H399" s="245"/>
      <c r="I399" s="246"/>
      <c r="J399" s="247"/>
      <c r="K399" s="245"/>
      <c r="L399" s="246"/>
      <c r="M399" s="245"/>
      <c r="N399" s="29" t="s">
        <v>119</v>
      </c>
      <c r="O399" s="120"/>
      <c r="P399" s="120"/>
      <c r="Q399" s="120"/>
      <c r="R399" s="29">
        <v>38</v>
      </c>
      <c r="S399" s="238" t="str">
        <f t="shared" si="178"/>
        <v/>
      </c>
      <c r="T399" s="238" t="str">
        <f t="shared" si="179"/>
        <v/>
      </c>
      <c r="U399" s="238" t="str">
        <f t="shared" si="180"/>
        <v/>
      </c>
      <c r="W399" s="238" t="e">
        <f t="shared" si="181"/>
        <v>#N/A</v>
      </c>
      <c r="X399" s="238" t="e">
        <f t="shared" si="182"/>
        <v>#N/A</v>
      </c>
      <c r="Y399" s="238" t="e">
        <f t="shared" si="183"/>
        <v>#N/A</v>
      </c>
      <c r="AA399" s="89"/>
      <c r="AB399" s="89"/>
      <c r="AC399" s="89"/>
      <c r="AD399" s="89"/>
      <c r="AE399" s="89"/>
      <c r="AF399" s="89"/>
      <c r="AG399" s="89"/>
      <c r="AH399" s="89"/>
      <c r="AI399" s="89"/>
      <c r="AJ399" s="89"/>
      <c r="AK399" s="89"/>
      <c r="AL399" s="89"/>
      <c r="AM399" s="89"/>
      <c r="AN399" s="89"/>
      <c r="BR399" s="180">
        <v>2050</v>
      </c>
      <c r="BS399" s="22">
        <v>36</v>
      </c>
      <c r="BT399" s="198">
        <f t="shared" si="194"/>
        <v>197.4522209070019</v>
      </c>
      <c r="BU399" s="198">
        <f t="shared" si="195"/>
        <v>193.74711198597203</v>
      </c>
      <c r="BV399" s="212">
        <f t="shared" si="196"/>
        <v>391.19933289297393</v>
      </c>
      <c r="BY399" s="180">
        <v>2050</v>
      </c>
      <c r="BZ399" s="22">
        <v>36</v>
      </c>
      <c r="CA399" s="198">
        <f t="shared" ca="1" si="197"/>
        <v>-25.836368165065469</v>
      </c>
      <c r="CB399" s="198">
        <f t="shared" ca="1" si="198"/>
        <v>220.41788149817125</v>
      </c>
      <c r="CC399" s="198">
        <f t="shared" ca="1" si="209"/>
        <v>190.2384693956545</v>
      </c>
      <c r="CD399" s="212">
        <f t="shared" ca="1" si="199"/>
        <v>384.81998272876029</v>
      </c>
      <c r="CG399" s="180">
        <v>2050</v>
      </c>
      <c r="CH399" s="22">
        <v>36</v>
      </c>
      <c r="CI399" s="198">
        <f t="shared" ca="1" si="200"/>
        <v>-1.7895934021531246</v>
      </c>
      <c r="CJ399" s="198">
        <f t="shared" ca="1" si="201"/>
        <v>-23.450243628861035</v>
      </c>
      <c r="CK399" s="198">
        <f t="shared" ca="1" si="202"/>
        <v>219.55594924383146</v>
      </c>
      <c r="CL399" s="198">
        <f t="shared" ca="1" si="203"/>
        <v>190.307328236437</v>
      </c>
      <c r="CM399" s="212">
        <f t="shared" ca="1" si="204"/>
        <v>384.6234404492543</v>
      </c>
      <c r="CP399" s="180">
        <v>2050</v>
      </c>
      <c r="CQ399" s="22">
        <v>36</v>
      </c>
      <c r="CR399" s="198">
        <f t="shared" ca="1" si="205"/>
        <v>201.37697433285535</v>
      </c>
      <c r="CS399" s="198">
        <f t="shared" ca="1" si="206"/>
        <v>2.0506704122007289</v>
      </c>
      <c r="CT399" s="212">
        <f t="shared" ca="1" si="207"/>
        <v>412.95780296289206</v>
      </c>
      <c r="CZ399" s="164" t="b">
        <f t="shared" ref="CZ399:DB407" si="211">ISNUMBER(W399)</f>
        <v>0</v>
      </c>
      <c r="DA399" s="165" t="b">
        <f t="shared" si="211"/>
        <v>0</v>
      </c>
      <c r="DB399" s="166" t="b">
        <f t="shared" si="211"/>
        <v>0</v>
      </c>
      <c r="DC399" s="164" t="str">
        <f t="shared" si="185"/>
        <v/>
      </c>
      <c r="DD399" s="166" t="str">
        <f t="shared" si="186"/>
        <v/>
      </c>
      <c r="DE399" s="164" t="str">
        <f t="shared" si="187"/>
        <v/>
      </c>
      <c r="DF399" s="166" t="str">
        <f t="shared" si="188"/>
        <v/>
      </c>
      <c r="DG399" s="164" t="str">
        <f t="shared" si="189"/>
        <v/>
      </c>
      <c r="DH399" s="166" t="str">
        <f t="shared" si="190"/>
        <v/>
      </c>
      <c r="DI399" s="164" t="str">
        <f>IFERROR(INDEX(DC$359:DC$407,_xlfn.AGGREGATE(15,6,(ROW(DC$359:DC$407)-ROW(DC$359)+1)/(DC$359:DC$407&lt;&gt;""),ROWS(DI$1:DI41))),"")</f>
        <v/>
      </c>
      <c r="DJ399" s="165" t="str">
        <f>IFERROR(INDEX(DD$359:DD$407,_xlfn.AGGREGATE(15,6,(ROW(DD$359:DD$407)-ROW(DD$359)+1)/(DD$359:DD$407&lt;&gt;""),ROWS(DJ$1:DJ41))),"")</f>
        <v/>
      </c>
      <c r="DK399" s="166" t="str">
        <f t="shared" si="191"/>
        <v/>
      </c>
      <c r="DL399" s="164" t="str">
        <f>IFERROR(INDEX(DE$359:DE$407,_xlfn.AGGREGATE(15,6,(ROW(DE$359:DE$407)-ROW(DE$359)+1)/(DE$359:DE$407&lt;&gt;""),ROWS(DL$1:DL41))),"")</f>
        <v/>
      </c>
      <c r="DM399" s="165" t="str">
        <f>IFERROR(INDEX(DF$359:DF$407,_xlfn.AGGREGATE(15,6,(ROW(DF$359:DF$407)-ROW(DF$359)+1)/(DF$359:DF$407&lt;&gt;""),ROWS(DM$1:DM41))),"")</f>
        <v/>
      </c>
      <c r="DN399" s="166" t="str">
        <f t="shared" si="192"/>
        <v/>
      </c>
      <c r="DO399" s="164" t="str">
        <f>IFERROR(INDEX(DG$359:DG$407,_xlfn.AGGREGATE(15,6,(ROW(DG$359:DG$407)-ROW(DG$359)+1)/(DG$359:DG$407&lt;&gt;""),ROWS(DO$1:DO41))),"")</f>
        <v/>
      </c>
      <c r="DP399" s="165" t="str">
        <f>IFERROR(INDEX(DH$359:DH$407,_xlfn.AGGREGATE(15,6,(ROW(DH$359:DH$407)-ROW(DH$359)+1)/(DH$359:DH$407&lt;&gt;""),ROWS(DP$1:DP41))),"")</f>
        <v/>
      </c>
      <c r="DQ399" s="166" t="str">
        <f t="shared" si="193"/>
        <v/>
      </c>
      <c r="DV399" s="145">
        <v>2055</v>
      </c>
      <c r="DW399" s="235">
        <f t="shared" ca="1" si="177"/>
        <v>407.29698463017587</v>
      </c>
      <c r="EA399" s="55"/>
      <c r="EB399" s="55"/>
      <c r="EC399" s="55"/>
      <c r="ED399" s="55"/>
      <c r="EE399" s="55"/>
    </row>
    <row r="400" spans="2:135" ht="13.8" x14ac:dyDescent="0.45">
      <c r="B400" s="128">
        <v>2053</v>
      </c>
      <c r="C400" s="244"/>
      <c r="D400" s="244"/>
      <c r="E400" s="244"/>
      <c r="F400" s="244"/>
      <c r="G400" s="244"/>
      <c r="H400" s="245"/>
      <c r="I400" s="246"/>
      <c r="J400" s="247"/>
      <c r="K400" s="245"/>
      <c r="L400" s="246"/>
      <c r="M400" s="245"/>
      <c r="N400" s="29" t="s">
        <v>119</v>
      </c>
      <c r="O400" s="120"/>
      <c r="P400" s="120"/>
      <c r="Q400" s="120"/>
      <c r="R400" s="29">
        <v>39</v>
      </c>
      <c r="S400" s="238" t="str">
        <f t="shared" si="178"/>
        <v/>
      </c>
      <c r="T400" s="238" t="str">
        <f t="shared" si="179"/>
        <v/>
      </c>
      <c r="U400" s="238" t="str">
        <f t="shared" si="180"/>
        <v/>
      </c>
      <c r="W400" s="238" t="e">
        <f t="shared" si="181"/>
        <v>#N/A</v>
      </c>
      <c r="X400" s="238" t="e">
        <f t="shared" si="182"/>
        <v>#N/A</v>
      </c>
      <c r="Y400" s="238" t="e">
        <f t="shared" si="183"/>
        <v>#N/A</v>
      </c>
      <c r="AA400" s="89"/>
      <c r="AB400" s="89"/>
      <c r="AC400" s="89"/>
      <c r="AD400" s="89"/>
      <c r="AE400" s="89"/>
      <c r="AF400" s="89"/>
      <c r="AG400" s="89"/>
      <c r="AH400" s="89"/>
      <c r="AI400" s="89"/>
      <c r="AJ400" s="89"/>
      <c r="AK400" s="89"/>
      <c r="AL400" s="89"/>
      <c r="AM400" s="89"/>
      <c r="AN400" s="89"/>
      <c r="BR400" s="180">
        <v>2051</v>
      </c>
      <c r="BS400" s="22">
        <v>37</v>
      </c>
      <c r="BT400" s="198">
        <f t="shared" si="194"/>
        <v>202.93700482108528</v>
      </c>
      <c r="BU400" s="198">
        <f t="shared" si="195"/>
        <v>193.74711198597203</v>
      </c>
      <c r="BV400" s="285">
        <f t="shared" si="196"/>
        <v>396.68411680705731</v>
      </c>
      <c r="BY400" s="180">
        <v>2051</v>
      </c>
      <c r="BZ400" s="22">
        <v>37</v>
      </c>
      <c r="CA400" s="198">
        <f t="shared" ca="1" si="197"/>
        <v>-27.291657421276721</v>
      </c>
      <c r="CB400" s="198">
        <f t="shared" ca="1" si="198"/>
        <v>226.54060042867599</v>
      </c>
      <c r="CC400" s="198">
        <f t="shared" ca="1" si="209"/>
        <v>190.2384693956545</v>
      </c>
      <c r="CD400" s="285">
        <f t="shared" ca="1" si="199"/>
        <v>389.48741240305378</v>
      </c>
      <c r="CG400" s="180">
        <v>2051</v>
      </c>
      <c r="CH400" s="22">
        <v>37</v>
      </c>
      <c r="CI400" s="198">
        <f t="shared" ca="1" si="200"/>
        <v>-1.9429071201830894</v>
      </c>
      <c r="CJ400" s="198">
        <f t="shared" ca="1" si="201"/>
        <v>-24.771129265363239</v>
      </c>
      <c r="CK400" s="198">
        <f t="shared" ca="1" si="202"/>
        <v>225.65472561171569</v>
      </c>
      <c r="CL400" s="198">
        <f t="shared" ca="1" si="203"/>
        <v>190.307328236437</v>
      </c>
      <c r="CM400" s="285">
        <f t="shared" ca="1" si="204"/>
        <v>389.24801746260636</v>
      </c>
      <c r="CP400" s="180">
        <v>2051</v>
      </c>
      <c r="CQ400" s="22">
        <v>37</v>
      </c>
      <c r="CR400" s="198">
        <f t="shared" ca="1" si="205"/>
        <v>201.37697433285535</v>
      </c>
      <c r="CS400" s="198">
        <f t="shared" ca="1" si="206"/>
        <v>2.0919901692380241</v>
      </c>
      <c r="CT400" s="285">
        <f t="shared" ca="1" si="207"/>
        <v>421.2786506152313</v>
      </c>
      <c r="CZ400" s="164" t="b">
        <f t="shared" si="211"/>
        <v>0</v>
      </c>
      <c r="DA400" s="165" t="b">
        <f t="shared" si="211"/>
        <v>0</v>
      </c>
      <c r="DB400" s="166" t="b">
        <f t="shared" si="211"/>
        <v>0</v>
      </c>
      <c r="DC400" s="164" t="str">
        <f t="shared" si="185"/>
        <v/>
      </c>
      <c r="DD400" s="166" t="str">
        <f t="shared" si="186"/>
        <v/>
      </c>
      <c r="DE400" s="164" t="str">
        <f t="shared" si="187"/>
        <v/>
      </c>
      <c r="DF400" s="166" t="str">
        <f t="shared" si="188"/>
        <v/>
      </c>
      <c r="DG400" s="164" t="str">
        <f t="shared" si="189"/>
        <v/>
      </c>
      <c r="DH400" s="166" t="str">
        <f t="shared" si="190"/>
        <v/>
      </c>
      <c r="DI400" s="164" t="str">
        <f>IFERROR(INDEX(DC$359:DC$407,_xlfn.AGGREGATE(15,6,(ROW(DC$359:DC$407)-ROW(DC$359)+1)/(DC$359:DC$407&lt;&gt;""),ROWS(DI$1:DI42))),"")</f>
        <v/>
      </c>
      <c r="DJ400" s="165" t="str">
        <f>IFERROR(INDEX(DD$359:DD$407,_xlfn.AGGREGATE(15,6,(ROW(DD$359:DD$407)-ROW(DD$359)+1)/(DD$359:DD$407&lt;&gt;""),ROWS(DJ$1:DJ42))),"")</f>
        <v/>
      </c>
      <c r="DK400" s="166" t="str">
        <f t="shared" si="191"/>
        <v/>
      </c>
      <c r="DL400" s="164" t="str">
        <f>IFERROR(INDEX(DE$359:DE$407,_xlfn.AGGREGATE(15,6,(ROW(DE$359:DE$407)-ROW(DE$359)+1)/(DE$359:DE$407&lt;&gt;""),ROWS(DL$1:DL42))),"")</f>
        <v/>
      </c>
      <c r="DM400" s="165" t="str">
        <f>IFERROR(INDEX(DF$359:DF$407,_xlfn.AGGREGATE(15,6,(ROW(DF$359:DF$407)-ROW(DF$359)+1)/(DF$359:DF$407&lt;&gt;""),ROWS(DM$1:DM42))),"")</f>
        <v/>
      </c>
      <c r="DN400" s="166" t="str">
        <f t="shared" si="192"/>
        <v/>
      </c>
      <c r="DO400" s="164" t="str">
        <f>IFERROR(INDEX(DG$359:DG$407,_xlfn.AGGREGATE(15,6,(ROW(DG$359:DG$407)-ROW(DG$359)+1)/(DG$359:DG$407&lt;&gt;""),ROWS(DO$1:DO42))),"")</f>
        <v/>
      </c>
      <c r="DP400" s="165" t="str">
        <f>IFERROR(INDEX(DH$359:DH$407,_xlfn.AGGREGATE(15,6,(ROW(DH$359:DH$407)-ROW(DH$359)+1)/(DH$359:DH$407&lt;&gt;""),ROWS(DP$1:DP42))),"")</f>
        <v/>
      </c>
      <c r="DQ400" s="166" t="str">
        <f t="shared" si="193"/>
        <v/>
      </c>
      <c r="DV400" s="145">
        <v>2056</v>
      </c>
      <c r="DW400" s="235">
        <f t="shared" ca="1" si="177"/>
        <v>411.69574048468638</v>
      </c>
      <c r="EA400" s="55"/>
      <c r="EB400" s="55"/>
      <c r="EC400" s="55"/>
      <c r="ED400" s="55"/>
      <c r="EE400" s="55"/>
    </row>
    <row r="401" spans="1:135" ht="13.8" x14ac:dyDescent="0.45">
      <c r="B401" s="128">
        <v>2054</v>
      </c>
      <c r="C401" s="244"/>
      <c r="D401" s="244"/>
      <c r="E401" s="244"/>
      <c r="F401" s="244"/>
      <c r="G401" s="244"/>
      <c r="H401" s="245"/>
      <c r="I401" s="246"/>
      <c r="J401" s="247"/>
      <c r="K401" s="245"/>
      <c r="L401" s="246"/>
      <c r="M401" s="245"/>
      <c r="N401" s="29" t="s">
        <v>119</v>
      </c>
      <c r="O401" s="120"/>
      <c r="P401" s="120"/>
      <c r="Q401" s="120"/>
      <c r="R401" s="29">
        <v>40</v>
      </c>
      <c r="S401" s="238" t="str">
        <f t="shared" si="178"/>
        <v/>
      </c>
      <c r="T401" s="238" t="str">
        <f t="shared" si="179"/>
        <v/>
      </c>
      <c r="U401" s="238" t="str">
        <f t="shared" si="180"/>
        <v/>
      </c>
      <c r="W401" s="238" t="e">
        <f t="shared" si="181"/>
        <v>#N/A</v>
      </c>
      <c r="X401" s="238" t="e">
        <f t="shared" si="182"/>
        <v>#N/A</v>
      </c>
      <c r="Y401" s="238" t="e">
        <f t="shared" si="183"/>
        <v>#N/A</v>
      </c>
      <c r="AA401" s="89"/>
      <c r="AB401" s="89"/>
      <c r="AC401" s="89"/>
      <c r="AD401" s="89"/>
      <c r="AE401" s="89"/>
      <c r="AF401" s="89"/>
      <c r="AG401" s="89"/>
      <c r="AH401" s="89"/>
      <c r="AI401" s="89"/>
      <c r="AJ401" s="89"/>
      <c r="AK401" s="89"/>
      <c r="AL401" s="89"/>
      <c r="AM401" s="89"/>
      <c r="AN401" s="89"/>
      <c r="BR401" s="180">
        <v>2052</v>
      </c>
      <c r="BS401" s="22">
        <v>38</v>
      </c>
      <c r="BT401" s="198">
        <f t="shared" si="194"/>
        <v>208.42178873516866</v>
      </c>
      <c r="BU401" s="198">
        <f t="shared" si="195"/>
        <v>193.74711198597203</v>
      </c>
      <c r="BV401" s="241">
        <f t="shared" si="196"/>
        <v>402.16890072114069</v>
      </c>
      <c r="BY401" s="180">
        <v>2052</v>
      </c>
      <c r="BZ401" s="22">
        <v>38</v>
      </c>
      <c r="CA401" s="198">
        <f t="shared" ca="1" si="197"/>
        <v>-28.786817616014304</v>
      </c>
      <c r="CB401" s="198">
        <f t="shared" ca="1" si="198"/>
        <v>232.66331935918075</v>
      </c>
      <c r="CC401" s="198">
        <f t="shared" ca="1" si="209"/>
        <v>190.2384693956545</v>
      </c>
      <c r="CD401" s="241">
        <f t="shared" ca="1" si="199"/>
        <v>394.11497113882092</v>
      </c>
      <c r="CG401" s="180">
        <v>2052</v>
      </c>
      <c r="CH401" s="22">
        <v>38</v>
      </c>
      <c r="CI401" s="198">
        <f t="shared" ca="1" si="200"/>
        <v>-2.1047361360370855</v>
      </c>
      <c r="CJ401" s="198">
        <f t="shared" ca="1" si="201"/>
        <v>-26.128203549440848</v>
      </c>
      <c r="CK401" s="198">
        <f t="shared" ca="1" si="202"/>
        <v>231.75350197959989</v>
      </c>
      <c r="CL401" s="198">
        <f t="shared" ca="1" si="203"/>
        <v>190.307328236437</v>
      </c>
      <c r="CM401" s="241">
        <f t="shared" ca="1" si="204"/>
        <v>393.82789053055899</v>
      </c>
      <c r="CP401" s="180">
        <v>2052</v>
      </c>
      <c r="CQ401" s="22">
        <v>38</v>
      </c>
      <c r="CR401" s="198">
        <f t="shared" ca="1" si="205"/>
        <v>201.37697433285535</v>
      </c>
      <c r="CS401" s="198">
        <f t="shared" ca="1" si="206"/>
        <v>2.1341424941572487</v>
      </c>
      <c r="CT401" s="241">
        <f t="shared" ca="1" si="207"/>
        <v>429.76715826856019</v>
      </c>
      <c r="CZ401" s="164" t="b">
        <f t="shared" si="211"/>
        <v>0</v>
      </c>
      <c r="DA401" s="165" t="b">
        <f t="shared" si="211"/>
        <v>0</v>
      </c>
      <c r="DB401" s="166" t="b">
        <f t="shared" si="211"/>
        <v>0</v>
      </c>
      <c r="DC401" s="164" t="str">
        <f t="shared" si="185"/>
        <v/>
      </c>
      <c r="DD401" s="166" t="str">
        <f t="shared" si="186"/>
        <v/>
      </c>
      <c r="DE401" s="164" t="str">
        <f t="shared" si="187"/>
        <v/>
      </c>
      <c r="DF401" s="166" t="str">
        <f t="shared" si="188"/>
        <v/>
      </c>
      <c r="DG401" s="164" t="str">
        <f t="shared" si="189"/>
        <v/>
      </c>
      <c r="DH401" s="166" t="str">
        <f t="shared" si="190"/>
        <v/>
      </c>
      <c r="DI401" s="164" t="str">
        <f>IFERROR(INDEX(DC$359:DC$407,_xlfn.AGGREGATE(15,6,(ROW(DC$359:DC$407)-ROW(DC$359)+1)/(DC$359:DC$407&lt;&gt;""),ROWS(DI$1:DI43))),"")</f>
        <v/>
      </c>
      <c r="DJ401" s="165" t="str">
        <f>IFERROR(INDEX(DD$359:DD$407,_xlfn.AGGREGATE(15,6,(ROW(DD$359:DD$407)-ROW(DD$359)+1)/(DD$359:DD$407&lt;&gt;""),ROWS(DJ$1:DJ43))),"")</f>
        <v/>
      </c>
      <c r="DK401" s="166" t="str">
        <f t="shared" si="191"/>
        <v/>
      </c>
      <c r="DL401" s="164" t="str">
        <f>IFERROR(INDEX(DE$359:DE$407,_xlfn.AGGREGATE(15,6,(ROW(DE$359:DE$407)-ROW(DE$359)+1)/(DE$359:DE$407&lt;&gt;""),ROWS(DL$1:DL43))),"")</f>
        <v/>
      </c>
      <c r="DM401" s="165" t="str">
        <f>IFERROR(INDEX(DF$359:DF$407,_xlfn.AGGREGATE(15,6,(ROW(DF$359:DF$407)-ROW(DF$359)+1)/(DF$359:DF$407&lt;&gt;""),ROWS(DM$1:DM43))),"")</f>
        <v/>
      </c>
      <c r="DN401" s="166" t="str">
        <f t="shared" si="192"/>
        <v/>
      </c>
      <c r="DO401" s="164" t="str">
        <f>IFERROR(INDEX(DG$359:DG$407,_xlfn.AGGREGATE(15,6,(ROW(DG$359:DG$407)-ROW(DG$359)+1)/(DG$359:DG$407&lt;&gt;""),ROWS(DO$1:DO43))),"")</f>
        <v/>
      </c>
      <c r="DP401" s="165" t="str">
        <f>IFERROR(INDEX(DH$359:DH$407,_xlfn.AGGREGATE(15,6,(ROW(DH$359:DH$407)-ROW(DH$359)+1)/(DH$359:DH$407&lt;&gt;""),ROWS(DP$1:DP43))),"")</f>
        <v/>
      </c>
      <c r="DQ401" s="166" t="str">
        <f t="shared" si="193"/>
        <v/>
      </c>
      <c r="DV401" s="145">
        <v>2057</v>
      </c>
      <c r="DW401" s="235">
        <f t="shared" ca="1" si="177"/>
        <v>416.04864167787531</v>
      </c>
      <c r="EA401" s="55"/>
      <c r="EB401" s="55"/>
      <c r="EC401" s="55"/>
      <c r="ED401" s="55"/>
      <c r="EE401" s="55"/>
    </row>
    <row r="402" spans="1:135" ht="13.8" x14ac:dyDescent="0.45">
      <c r="B402" s="128">
        <v>2055</v>
      </c>
      <c r="C402" s="244"/>
      <c r="D402" s="244"/>
      <c r="E402" s="244"/>
      <c r="F402" s="244"/>
      <c r="G402" s="244"/>
      <c r="H402" s="245"/>
      <c r="I402" s="246"/>
      <c r="J402" s="247"/>
      <c r="K402" s="245"/>
      <c r="L402" s="246"/>
      <c r="M402" s="245"/>
      <c r="N402" s="29" t="s">
        <v>119</v>
      </c>
      <c r="O402" s="120"/>
      <c r="P402" s="120"/>
      <c r="Q402" s="120"/>
      <c r="R402" s="29">
        <v>41</v>
      </c>
      <c r="S402" s="238" t="str">
        <f t="shared" si="178"/>
        <v/>
      </c>
      <c r="T402" s="238" t="str">
        <f t="shared" si="179"/>
        <v/>
      </c>
      <c r="U402" s="238" t="str">
        <f t="shared" si="180"/>
        <v/>
      </c>
      <c r="W402" s="238" t="e">
        <f t="shared" si="181"/>
        <v>#N/A</v>
      </c>
      <c r="X402" s="238" t="e">
        <f t="shared" si="182"/>
        <v>#N/A</v>
      </c>
      <c r="Y402" s="238" t="e">
        <f t="shared" si="183"/>
        <v>#N/A</v>
      </c>
      <c r="AA402" s="89"/>
      <c r="AB402" s="89"/>
      <c r="AC402" s="89"/>
      <c r="AD402" s="89"/>
      <c r="AE402" s="89"/>
      <c r="AF402" s="89"/>
      <c r="AG402" s="89"/>
      <c r="AH402" s="89"/>
      <c r="AI402" s="89"/>
      <c r="AJ402" s="89"/>
      <c r="AK402" s="89"/>
      <c r="AL402" s="89"/>
      <c r="AM402" s="89"/>
      <c r="AN402" s="89"/>
      <c r="BR402" s="180">
        <v>2053</v>
      </c>
      <c r="BS402" s="22">
        <v>39</v>
      </c>
      <c r="BT402" s="198">
        <f t="shared" si="194"/>
        <v>213.90657264925207</v>
      </c>
      <c r="BU402" s="198">
        <f t="shared" si="195"/>
        <v>193.74711198597203</v>
      </c>
      <c r="BV402" s="241">
        <f t="shared" si="196"/>
        <v>407.65368463522407</v>
      </c>
      <c r="BY402" s="180">
        <v>2053</v>
      </c>
      <c r="BZ402" s="22">
        <v>39</v>
      </c>
      <c r="CA402" s="198">
        <f t="shared" ca="1" si="197"/>
        <v>-30.321848749278224</v>
      </c>
      <c r="CB402" s="198">
        <f t="shared" ca="1" si="198"/>
        <v>238.78603828968551</v>
      </c>
      <c r="CC402" s="198">
        <f t="shared" ca="1" si="209"/>
        <v>190.2384693956545</v>
      </c>
      <c r="CD402" s="241">
        <f t="shared" ca="1" si="199"/>
        <v>398.70265893606177</v>
      </c>
      <c r="CG402" s="180">
        <v>2053</v>
      </c>
      <c r="CH402" s="22">
        <v>39</v>
      </c>
      <c r="CI402" s="198">
        <f t="shared" ca="1" si="200"/>
        <v>-2.2753105928995456</v>
      </c>
      <c r="CJ402" s="198">
        <f t="shared" ca="1" si="201"/>
        <v>-27.521466481093857</v>
      </c>
      <c r="CK402" s="198">
        <f t="shared" ca="1" si="202"/>
        <v>237.85227834748409</v>
      </c>
      <c r="CL402" s="198">
        <f t="shared" ca="1" si="203"/>
        <v>190.307328236437</v>
      </c>
      <c r="CM402" s="241">
        <f t="shared" ca="1" si="204"/>
        <v>398.36282950992768</v>
      </c>
      <c r="CP402" s="180">
        <v>2053</v>
      </c>
      <c r="CQ402" s="22">
        <v>39</v>
      </c>
      <c r="CR402" s="198">
        <f t="shared" ca="1" si="205"/>
        <v>201.37697433285535</v>
      </c>
      <c r="CS402" s="198">
        <f t="shared" ca="1" si="206"/>
        <v>2.1771441626930081</v>
      </c>
      <c r="CT402" s="241">
        <f t="shared" ca="1" si="207"/>
        <v>438.42670416955576</v>
      </c>
      <c r="CZ402" s="164" t="b">
        <f t="shared" si="211"/>
        <v>0</v>
      </c>
      <c r="DA402" s="165" t="b">
        <f t="shared" si="211"/>
        <v>0</v>
      </c>
      <c r="DB402" s="166" t="b">
        <f t="shared" si="211"/>
        <v>0</v>
      </c>
      <c r="DC402" s="164" t="str">
        <f t="shared" si="185"/>
        <v/>
      </c>
      <c r="DD402" s="166" t="str">
        <f t="shared" si="186"/>
        <v/>
      </c>
      <c r="DE402" s="164" t="str">
        <f t="shared" si="187"/>
        <v/>
      </c>
      <c r="DF402" s="166" t="str">
        <f t="shared" si="188"/>
        <v/>
      </c>
      <c r="DG402" s="164" t="str">
        <f t="shared" si="189"/>
        <v/>
      </c>
      <c r="DH402" s="166" t="str">
        <f t="shared" si="190"/>
        <v/>
      </c>
      <c r="DI402" s="164" t="str">
        <f>IFERROR(INDEX(DC$359:DC$407,_xlfn.AGGREGATE(15,6,(ROW(DC$359:DC$407)-ROW(DC$359)+1)/(DC$359:DC$407&lt;&gt;""),ROWS(DI$1:DI44))),"")</f>
        <v/>
      </c>
      <c r="DJ402" s="165" t="str">
        <f>IFERROR(INDEX(DD$359:DD$407,_xlfn.AGGREGATE(15,6,(ROW(DD$359:DD$407)-ROW(DD$359)+1)/(DD$359:DD$407&lt;&gt;""),ROWS(DJ$1:DJ44))),"")</f>
        <v/>
      </c>
      <c r="DK402" s="166" t="str">
        <f t="shared" si="191"/>
        <v/>
      </c>
      <c r="DL402" s="164" t="str">
        <f>IFERROR(INDEX(DE$359:DE$407,_xlfn.AGGREGATE(15,6,(ROW(DE$359:DE$407)-ROW(DE$359)+1)/(DE$359:DE$407&lt;&gt;""),ROWS(DL$1:DL44))),"")</f>
        <v/>
      </c>
      <c r="DM402" s="165" t="str">
        <f>IFERROR(INDEX(DF$359:DF$407,_xlfn.AGGREGATE(15,6,(ROW(DF$359:DF$407)-ROW(DF$359)+1)/(DF$359:DF$407&lt;&gt;""),ROWS(DM$1:DM44))),"")</f>
        <v/>
      </c>
      <c r="DN402" s="166" t="str">
        <f t="shared" si="192"/>
        <v/>
      </c>
      <c r="DO402" s="164" t="str">
        <f>IFERROR(INDEX(DG$359:DG$407,_xlfn.AGGREGATE(15,6,(ROW(DG$359:DG$407)-ROW(DG$359)+1)/(DG$359:DG$407&lt;&gt;""),ROWS(DO$1:DO44))),"")</f>
        <v/>
      </c>
      <c r="DP402" s="165" t="str">
        <f>IFERROR(INDEX(DH$359:DH$407,_xlfn.AGGREGATE(15,6,(ROW(DH$359:DH$407)-ROW(DH$359)+1)/(DH$359:DH$407&lt;&gt;""),ROWS(DP$1:DP44))),"")</f>
        <v/>
      </c>
      <c r="DQ402" s="166" t="str">
        <f t="shared" si="193"/>
        <v/>
      </c>
      <c r="DV402" s="145">
        <v>2058</v>
      </c>
      <c r="DW402" s="235">
        <f t="shared" ca="1" si="177"/>
        <v>420.35545806655819</v>
      </c>
      <c r="EA402" s="55"/>
      <c r="EB402" s="55"/>
      <c r="EC402" s="55"/>
      <c r="ED402" s="55"/>
      <c r="EE402" s="55"/>
    </row>
    <row r="403" spans="1:135" ht="13.8" x14ac:dyDescent="0.45">
      <c r="B403" s="128">
        <v>2056</v>
      </c>
      <c r="C403" s="244"/>
      <c r="D403" s="244"/>
      <c r="E403" s="244"/>
      <c r="F403" s="244"/>
      <c r="G403" s="244"/>
      <c r="H403" s="245"/>
      <c r="I403" s="246"/>
      <c r="J403" s="247"/>
      <c r="K403" s="245"/>
      <c r="L403" s="246"/>
      <c r="M403" s="245"/>
      <c r="N403" s="29" t="s">
        <v>119</v>
      </c>
      <c r="O403" s="120"/>
      <c r="P403" s="120"/>
      <c r="Q403" s="120"/>
      <c r="R403" s="29">
        <v>42</v>
      </c>
      <c r="S403" s="238" t="str">
        <f t="shared" si="178"/>
        <v/>
      </c>
      <c r="T403" s="238" t="str">
        <f t="shared" si="179"/>
        <v/>
      </c>
      <c r="U403" s="238" t="str">
        <f t="shared" si="180"/>
        <v/>
      </c>
      <c r="W403" s="238" t="e">
        <f t="shared" si="181"/>
        <v>#N/A</v>
      </c>
      <c r="X403" s="238" t="e">
        <f t="shared" si="182"/>
        <v>#N/A</v>
      </c>
      <c r="Y403" s="238" t="e">
        <f t="shared" si="183"/>
        <v>#N/A</v>
      </c>
      <c r="AA403" s="89"/>
      <c r="AB403" s="89"/>
      <c r="AC403" s="89"/>
      <c r="AD403" s="89"/>
      <c r="AE403" s="89"/>
      <c r="AF403" s="89"/>
      <c r="AG403" s="89"/>
      <c r="AH403" s="89"/>
      <c r="AI403" s="89"/>
      <c r="AJ403" s="89"/>
      <c r="AK403" s="89"/>
      <c r="AL403" s="89"/>
      <c r="AM403" s="89"/>
      <c r="AN403" s="89"/>
      <c r="BR403" s="180">
        <v>2054</v>
      </c>
      <c r="BS403" s="22">
        <v>40</v>
      </c>
      <c r="BT403" s="198">
        <f t="shared" si="194"/>
        <v>219.39135656333545</v>
      </c>
      <c r="BU403" s="198">
        <f t="shared" si="195"/>
        <v>193.74711198597203</v>
      </c>
      <c r="BV403" s="241">
        <f t="shared" si="196"/>
        <v>413.1384685493075</v>
      </c>
      <c r="BY403" s="180">
        <v>2054</v>
      </c>
      <c r="BZ403" s="22">
        <v>40</v>
      </c>
      <c r="CA403" s="198">
        <f t="shared" ca="1" si="197"/>
        <v>-31.89675082106848</v>
      </c>
      <c r="CB403" s="198">
        <f t="shared" ca="1" si="198"/>
        <v>244.90875722019027</v>
      </c>
      <c r="CC403" s="198">
        <f t="shared" ca="1" si="209"/>
        <v>190.2384693956545</v>
      </c>
      <c r="CD403" s="241">
        <f t="shared" ca="1" si="199"/>
        <v>403.25047579477632</v>
      </c>
      <c r="CG403" s="180">
        <v>2054</v>
      </c>
      <c r="CH403" s="22">
        <v>40</v>
      </c>
      <c r="CI403" s="198">
        <f t="shared" ca="1" si="200"/>
        <v>-2.4548606339549033</v>
      </c>
      <c r="CJ403" s="198">
        <f t="shared" ca="1" si="201"/>
        <v>-28.950918060322266</v>
      </c>
      <c r="CK403" s="198">
        <f t="shared" ca="1" si="202"/>
        <v>243.95105471536829</v>
      </c>
      <c r="CL403" s="198">
        <f t="shared" ca="1" si="203"/>
        <v>190.307328236437</v>
      </c>
      <c r="CM403" s="241">
        <f t="shared" ca="1" si="204"/>
        <v>402.85260425752813</v>
      </c>
      <c r="CP403" s="180">
        <v>2054</v>
      </c>
      <c r="CQ403" s="22">
        <v>40</v>
      </c>
      <c r="CR403" s="198">
        <f t="shared" ca="1" si="205"/>
        <v>201.37697433285535</v>
      </c>
      <c r="CS403" s="198">
        <f t="shared" ca="1" si="206"/>
        <v>2.2210122886007198</v>
      </c>
      <c r="CT403" s="241">
        <f t="shared" ca="1" si="207"/>
        <v>447.26073463450348</v>
      </c>
      <c r="CZ403" s="164" t="b">
        <f t="shared" si="211"/>
        <v>0</v>
      </c>
      <c r="DA403" s="165" t="b">
        <f t="shared" si="211"/>
        <v>0</v>
      </c>
      <c r="DB403" s="166" t="b">
        <f t="shared" si="211"/>
        <v>0</v>
      </c>
      <c r="DC403" s="164" t="str">
        <f t="shared" si="185"/>
        <v/>
      </c>
      <c r="DD403" s="166" t="str">
        <f t="shared" si="186"/>
        <v/>
      </c>
      <c r="DE403" s="164" t="str">
        <f t="shared" si="187"/>
        <v/>
      </c>
      <c r="DF403" s="166" t="str">
        <f t="shared" si="188"/>
        <v/>
      </c>
      <c r="DG403" s="164" t="str">
        <f t="shared" si="189"/>
        <v/>
      </c>
      <c r="DH403" s="166" t="str">
        <f t="shared" si="190"/>
        <v/>
      </c>
      <c r="DI403" s="164" t="str">
        <f>IFERROR(INDEX(DC$359:DC$407,_xlfn.AGGREGATE(15,6,(ROW(DC$359:DC$407)-ROW(DC$359)+1)/(DC$359:DC$407&lt;&gt;""),ROWS(DI$1:DI45))),"")</f>
        <v/>
      </c>
      <c r="DJ403" s="165" t="str">
        <f>IFERROR(INDEX(DD$359:DD$407,_xlfn.AGGREGATE(15,6,(ROW(DD$359:DD$407)-ROW(DD$359)+1)/(DD$359:DD$407&lt;&gt;""),ROWS(DJ$1:DJ45))),"")</f>
        <v/>
      </c>
      <c r="DK403" s="166" t="str">
        <f t="shared" si="191"/>
        <v/>
      </c>
      <c r="DL403" s="164" t="str">
        <f>IFERROR(INDEX(DE$359:DE$407,_xlfn.AGGREGATE(15,6,(ROW(DE$359:DE$407)-ROW(DE$359)+1)/(DE$359:DE$407&lt;&gt;""),ROWS(DL$1:DL45))),"")</f>
        <v/>
      </c>
      <c r="DM403" s="165" t="str">
        <f>IFERROR(INDEX(DF$359:DF$407,_xlfn.AGGREGATE(15,6,(ROW(DF$359:DF$407)-ROW(DF$359)+1)/(DF$359:DF$407&lt;&gt;""),ROWS(DM$1:DM45))),"")</f>
        <v/>
      </c>
      <c r="DN403" s="166" t="str">
        <f t="shared" si="192"/>
        <v/>
      </c>
      <c r="DO403" s="164" t="str">
        <f>IFERROR(INDEX(DG$359:DG$407,_xlfn.AGGREGATE(15,6,(ROW(DG$359:DG$407)-ROW(DG$359)+1)/(DG$359:DG$407&lt;&gt;""),ROWS(DO$1:DO45))),"")</f>
        <v/>
      </c>
      <c r="DP403" s="165" t="str">
        <f>IFERROR(INDEX(DH$359:DH$407,_xlfn.AGGREGATE(15,6,(ROW(DH$359:DH$407)-ROW(DH$359)+1)/(DH$359:DH$407&lt;&gt;""),ROWS(DP$1:DP45))),"")</f>
        <v/>
      </c>
      <c r="DQ403" s="166" t="str">
        <f t="shared" si="193"/>
        <v/>
      </c>
      <c r="DV403" s="145">
        <v>2059</v>
      </c>
      <c r="DW403" s="235">
        <f t="shared" ca="1" si="177"/>
        <v>424.61595950755066</v>
      </c>
      <c r="EA403" s="55"/>
      <c r="EB403" s="55"/>
      <c r="EC403" s="55"/>
      <c r="ED403" s="55"/>
      <c r="EE403" s="55"/>
    </row>
    <row r="404" spans="1:135" ht="13.8" x14ac:dyDescent="0.45">
      <c r="B404" s="128">
        <v>2057</v>
      </c>
      <c r="C404" s="244"/>
      <c r="D404" s="244"/>
      <c r="E404" s="244"/>
      <c r="F404" s="244"/>
      <c r="G404" s="244"/>
      <c r="H404" s="245"/>
      <c r="I404" s="246"/>
      <c r="J404" s="247"/>
      <c r="K404" s="245"/>
      <c r="L404" s="246"/>
      <c r="M404" s="245"/>
      <c r="N404" s="29" t="s">
        <v>119</v>
      </c>
      <c r="O404" s="120"/>
      <c r="P404" s="120"/>
      <c r="Q404" s="120"/>
      <c r="R404" s="29">
        <v>43</v>
      </c>
      <c r="S404" s="238" t="str">
        <f t="shared" si="178"/>
        <v/>
      </c>
      <c r="T404" s="238" t="str">
        <f t="shared" si="179"/>
        <v/>
      </c>
      <c r="U404" s="238" t="str">
        <f t="shared" si="180"/>
        <v/>
      </c>
      <c r="W404" s="238" t="e">
        <f t="shared" si="181"/>
        <v>#N/A</v>
      </c>
      <c r="X404" s="238" t="e">
        <f t="shared" si="182"/>
        <v>#N/A</v>
      </c>
      <c r="Y404" s="238" t="e">
        <f t="shared" si="183"/>
        <v>#N/A</v>
      </c>
      <c r="AA404" s="89"/>
      <c r="AB404" s="89"/>
      <c r="AC404" s="89"/>
      <c r="AD404" s="89"/>
      <c r="AE404" s="89"/>
      <c r="AF404" s="89"/>
      <c r="AG404" s="89"/>
      <c r="AH404" s="89"/>
      <c r="AI404" s="89"/>
      <c r="AJ404" s="89"/>
      <c r="AK404" s="89"/>
      <c r="AL404" s="89"/>
      <c r="AM404" s="89"/>
      <c r="AN404" s="89"/>
      <c r="BR404" s="180">
        <v>2055</v>
      </c>
      <c r="BS404" s="22">
        <v>41</v>
      </c>
      <c r="BT404" s="198">
        <f t="shared" si="194"/>
        <v>224.87614047741883</v>
      </c>
      <c r="BU404" s="198">
        <f t="shared" si="195"/>
        <v>193.74711198597203</v>
      </c>
      <c r="BV404" s="241">
        <f t="shared" si="196"/>
        <v>418.62325246339083</v>
      </c>
      <c r="BY404" s="180">
        <v>2055</v>
      </c>
      <c r="BZ404" s="22">
        <v>41</v>
      </c>
      <c r="CA404" s="198">
        <f t="shared" ca="1" si="197"/>
        <v>-33.511523831385077</v>
      </c>
      <c r="CB404" s="198">
        <f t="shared" ca="1" si="198"/>
        <v>251.03147615069503</v>
      </c>
      <c r="CC404" s="198">
        <f t="shared" ca="1" si="209"/>
        <v>190.2384693956545</v>
      </c>
      <c r="CD404" s="241">
        <f t="shared" ca="1" si="199"/>
        <v>407.75842171496447</v>
      </c>
      <c r="CG404" s="180">
        <v>2055</v>
      </c>
      <c r="CH404" s="22">
        <v>41</v>
      </c>
      <c r="CI404" s="198">
        <f t="shared" ca="1" si="200"/>
        <v>-2.6436164023875923</v>
      </c>
      <c r="CJ404" s="198">
        <f t="shared" ca="1" si="201"/>
        <v>-30.416558287126083</v>
      </c>
      <c r="CK404" s="198">
        <f t="shared" ca="1" si="202"/>
        <v>250.04983108325251</v>
      </c>
      <c r="CL404" s="198">
        <f t="shared" ca="1" si="203"/>
        <v>190.307328236437</v>
      </c>
      <c r="CM404" s="241">
        <f t="shared" ca="1" si="204"/>
        <v>407.29698463017587</v>
      </c>
      <c r="CP404" s="180">
        <v>2055</v>
      </c>
      <c r="CQ404" s="22">
        <v>41</v>
      </c>
      <c r="CR404" s="198">
        <f t="shared" ca="1" si="205"/>
        <v>201.37697433285535</v>
      </c>
      <c r="CS404" s="198">
        <f t="shared" ca="1" si="206"/>
        <v>2.2657643304675266</v>
      </c>
      <c r="CT404" s="241">
        <f t="shared" ca="1" si="207"/>
        <v>456.27276542085832</v>
      </c>
      <c r="CZ404" s="164" t="b">
        <f t="shared" si="211"/>
        <v>0</v>
      </c>
      <c r="DA404" s="165" t="b">
        <f t="shared" si="211"/>
        <v>0</v>
      </c>
      <c r="DB404" s="166" t="b">
        <f t="shared" si="211"/>
        <v>0</v>
      </c>
      <c r="DC404" s="164" t="str">
        <f t="shared" si="185"/>
        <v/>
      </c>
      <c r="DD404" s="166" t="str">
        <f t="shared" si="186"/>
        <v/>
      </c>
      <c r="DE404" s="164" t="str">
        <f t="shared" si="187"/>
        <v/>
      </c>
      <c r="DF404" s="166" t="str">
        <f t="shared" si="188"/>
        <v/>
      </c>
      <c r="DG404" s="164" t="str">
        <f t="shared" si="189"/>
        <v/>
      </c>
      <c r="DH404" s="166" t="str">
        <f t="shared" si="190"/>
        <v/>
      </c>
      <c r="DI404" s="164" t="str">
        <f>IFERROR(INDEX(DC$359:DC$407,_xlfn.AGGREGATE(15,6,(ROW(DC$359:DC$407)-ROW(DC$359)+1)/(DC$359:DC$407&lt;&gt;""),ROWS(DI$1:DI46))),"")</f>
        <v/>
      </c>
      <c r="DJ404" s="165" t="str">
        <f>IFERROR(INDEX(DD$359:DD$407,_xlfn.AGGREGATE(15,6,(ROW(DD$359:DD$407)-ROW(DD$359)+1)/(DD$359:DD$407&lt;&gt;""),ROWS(DJ$1:DJ46))),"")</f>
        <v/>
      </c>
      <c r="DK404" s="166" t="str">
        <f t="shared" si="191"/>
        <v/>
      </c>
      <c r="DL404" s="164" t="str">
        <f>IFERROR(INDEX(DE$359:DE$407,_xlfn.AGGREGATE(15,6,(ROW(DE$359:DE$407)-ROW(DE$359)+1)/(DE$359:DE$407&lt;&gt;""),ROWS(DL$1:DL46))),"")</f>
        <v/>
      </c>
      <c r="DM404" s="165" t="str">
        <f>IFERROR(INDEX(DF$359:DF$407,_xlfn.AGGREGATE(15,6,(ROW(DF$359:DF$407)-ROW(DF$359)+1)/(DF$359:DF$407&lt;&gt;""),ROWS(DM$1:DM46))),"")</f>
        <v/>
      </c>
      <c r="DN404" s="166" t="str">
        <f t="shared" si="192"/>
        <v/>
      </c>
      <c r="DO404" s="164" t="str">
        <f>IFERROR(INDEX(DG$359:DG$407,_xlfn.AGGREGATE(15,6,(ROW(DG$359:DG$407)-ROW(DG$359)+1)/(DG$359:DG$407&lt;&gt;""),ROWS(DO$1:DO46))),"")</f>
        <v/>
      </c>
      <c r="DP404" s="165" t="str">
        <f>IFERROR(INDEX(DH$359:DH$407,_xlfn.AGGREGATE(15,6,(ROW(DH$359:DH$407)-ROW(DH$359)+1)/(DH$359:DH$407&lt;&gt;""),ROWS(DP$1:DP46))),"")</f>
        <v/>
      </c>
      <c r="DQ404" s="166" t="str">
        <f t="shared" si="193"/>
        <v/>
      </c>
      <c r="DV404" s="145">
        <v>2060</v>
      </c>
      <c r="DW404" s="235">
        <f t="shared" ca="1" si="177"/>
        <v>428.8299158576682</v>
      </c>
      <c r="EA404" s="55"/>
      <c r="EB404" s="55"/>
      <c r="EC404" s="55"/>
      <c r="ED404" s="55"/>
      <c r="EE404" s="55"/>
    </row>
    <row r="405" spans="1:135" ht="13.8" x14ac:dyDescent="0.45">
      <c r="A405" s="214"/>
      <c r="B405" s="128">
        <v>2058</v>
      </c>
      <c r="C405" s="244"/>
      <c r="D405" s="244"/>
      <c r="E405" s="244"/>
      <c r="F405" s="244"/>
      <c r="G405" s="244"/>
      <c r="H405" s="245"/>
      <c r="I405" s="246"/>
      <c r="J405" s="247"/>
      <c r="K405" s="245"/>
      <c r="L405" s="246"/>
      <c r="M405" s="245"/>
      <c r="N405" s="29" t="s">
        <v>119</v>
      </c>
      <c r="R405" s="29">
        <v>44</v>
      </c>
      <c r="S405" s="238" t="str">
        <f t="shared" si="178"/>
        <v/>
      </c>
      <c r="T405" s="238" t="str">
        <f t="shared" si="179"/>
        <v/>
      </c>
      <c r="U405" s="238" t="str">
        <f t="shared" si="180"/>
        <v/>
      </c>
      <c r="W405" s="238" t="e">
        <f t="shared" si="181"/>
        <v>#N/A</v>
      </c>
      <c r="X405" s="238" t="e">
        <f t="shared" si="182"/>
        <v>#N/A</v>
      </c>
      <c r="Y405" s="238" t="e">
        <f t="shared" si="183"/>
        <v>#N/A</v>
      </c>
      <c r="AA405" s="89"/>
      <c r="AB405" s="89"/>
      <c r="AC405" s="89"/>
      <c r="AD405" s="89"/>
      <c r="AE405" s="89"/>
      <c r="AF405" s="89"/>
      <c r="AG405" s="89"/>
      <c r="AH405" s="89"/>
      <c r="AI405" s="89"/>
      <c r="AJ405" s="89"/>
      <c r="AK405" s="89"/>
      <c r="AL405" s="89"/>
      <c r="AM405" s="89"/>
      <c r="AN405" s="89"/>
      <c r="BR405" s="180">
        <v>2056</v>
      </c>
      <c r="BS405" s="22">
        <v>42</v>
      </c>
      <c r="BT405" s="198">
        <f t="shared" si="194"/>
        <v>230.36092439150221</v>
      </c>
      <c r="BU405" s="198">
        <f t="shared" si="195"/>
        <v>193.74711198597203</v>
      </c>
      <c r="BV405" s="241">
        <f t="shared" si="196"/>
        <v>424.10803637747426</v>
      </c>
      <c r="BY405" s="180">
        <v>2056</v>
      </c>
      <c r="BZ405" s="22">
        <v>42</v>
      </c>
      <c r="CA405" s="198">
        <f t="shared" ca="1" si="197"/>
        <v>-35.166167780228001</v>
      </c>
      <c r="CB405" s="198">
        <f t="shared" ca="1" si="198"/>
        <v>257.15419508119976</v>
      </c>
      <c r="CC405" s="198">
        <f t="shared" ca="1" si="209"/>
        <v>190.2384693956545</v>
      </c>
      <c r="CD405" s="241">
        <f t="shared" ca="1" si="199"/>
        <v>412.22649669662627</v>
      </c>
      <c r="CG405" s="180">
        <v>2056</v>
      </c>
      <c r="CH405" s="22">
        <v>42</v>
      </c>
      <c r="CI405" s="198">
        <f t="shared" ca="1" si="200"/>
        <v>-2.8418080413820452</v>
      </c>
      <c r="CJ405" s="198">
        <f t="shared" ca="1" si="201"/>
        <v>-31.918387161505301</v>
      </c>
      <c r="CK405" s="198">
        <f t="shared" ca="1" si="202"/>
        <v>256.14860745113674</v>
      </c>
      <c r="CL405" s="198">
        <f t="shared" ca="1" si="203"/>
        <v>190.307328236437</v>
      </c>
      <c r="CM405" s="241">
        <f t="shared" ca="1" si="204"/>
        <v>411.69574048468638</v>
      </c>
      <c r="CP405" s="180">
        <v>2056</v>
      </c>
      <c r="CQ405" s="22">
        <v>42</v>
      </c>
      <c r="CR405" s="198">
        <f t="shared" ca="1" si="205"/>
        <v>201.37697433285535</v>
      </c>
      <c r="CS405" s="198">
        <f t="shared" ca="1" si="206"/>
        <v>2.3114180986604449</v>
      </c>
      <c r="CT405" s="241">
        <f t="shared" ca="1" si="207"/>
        <v>465.46638312644171</v>
      </c>
      <c r="CZ405" s="164" t="b">
        <f t="shared" si="211"/>
        <v>0</v>
      </c>
      <c r="DA405" s="165" t="b">
        <f t="shared" si="211"/>
        <v>0</v>
      </c>
      <c r="DB405" s="166" t="b">
        <f t="shared" si="211"/>
        <v>0</v>
      </c>
      <c r="DC405" s="164" t="str">
        <f t="shared" si="185"/>
        <v/>
      </c>
      <c r="DD405" s="166" t="str">
        <f t="shared" si="186"/>
        <v/>
      </c>
      <c r="DE405" s="164" t="str">
        <f t="shared" si="187"/>
        <v/>
      </c>
      <c r="DF405" s="166" t="str">
        <f t="shared" si="188"/>
        <v/>
      </c>
      <c r="DG405" s="164" t="str">
        <f t="shared" si="189"/>
        <v/>
      </c>
      <c r="DH405" s="166" t="str">
        <f t="shared" si="190"/>
        <v/>
      </c>
      <c r="DI405" s="164" t="str">
        <f>IFERROR(INDEX(DC$359:DC$407,_xlfn.AGGREGATE(15,6,(ROW(DC$359:DC$407)-ROW(DC$359)+1)/(DC$359:DC$407&lt;&gt;""),ROWS(DI$1:DI47))),"")</f>
        <v/>
      </c>
      <c r="DJ405" s="165" t="str">
        <f>IFERROR(INDEX(DD$359:DD$407,_xlfn.AGGREGATE(15,6,(ROW(DD$359:DD$407)-ROW(DD$359)+1)/(DD$359:DD$407&lt;&gt;""),ROWS(DJ$1:DJ47))),"")</f>
        <v/>
      </c>
      <c r="DK405" s="166" t="str">
        <f t="shared" si="191"/>
        <v/>
      </c>
      <c r="DL405" s="164" t="str">
        <f>IFERROR(INDEX(DE$359:DE$407,_xlfn.AGGREGATE(15,6,(ROW(DE$359:DE$407)-ROW(DE$359)+1)/(DE$359:DE$407&lt;&gt;""),ROWS(DL$1:DL47))),"")</f>
        <v/>
      </c>
      <c r="DM405" s="165" t="str">
        <f>IFERROR(INDEX(DF$359:DF$407,_xlfn.AGGREGATE(15,6,(ROW(DF$359:DF$407)-ROW(DF$359)+1)/(DF$359:DF$407&lt;&gt;""),ROWS(DM$1:DM47))),"")</f>
        <v/>
      </c>
      <c r="DN405" s="166" t="str">
        <f t="shared" si="192"/>
        <v/>
      </c>
      <c r="DO405" s="164" t="str">
        <f>IFERROR(INDEX(DG$359:DG$407,_xlfn.AGGREGATE(15,6,(ROW(DG$359:DG$407)-ROW(DG$359)+1)/(DG$359:DG$407&lt;&gt;""),ROWS(DO$1:DO47))),"")</f>
        <v/>
      </c>
      <c r="DP405" s="165" t="str">
        <f>IFERROR(INDEX(DH$359:DH$407,_xlfn.AGGREGATE(15,6,(ROW(DH$359:DH$407)-ROW(DH$359)+1)/(DH$359:DH$407&lt;&gt;""),ROWS(DP$1:DP47))),"")</f>
        <v/>
      </c>
      <c r="DQ405" s="166" t="str">
        <f t="shared" si="193"/>
        <v/>
      </c>
      <c r="DW405" s="54"/>
      <c r="EA405" s="55"/>
      <c r="EB405" s="55"/>
      <c r="EC405" s="55"/>
      <c r="ED405" s="55"/>
      <c r="EE405" s="55"/>
    </row>
    <row r="406" spans="1:135" ht="13.8" x14ac:dyDescent="0.45">
      <c r="A406" s="214"/>
      <c r="B406" s="128">
        <v>2059</v>
      </c>
      <c r="C406" s="244"/>
      <c r="D406" s="244"/>
      <c r="E406" s="244"/>
      <c r="F406" s="244"/>
      <c r="G406" s="244"/>
      <c r="H406" s="245"/>
      <c r="I406" s="246"/>
      <c r="J406" s="247"/>
      <c r="K406" s="245"/>
      <c r="L406" s="246"/>
      <c r="M406" s="245"/>
      <c r="N406" s="29" t="s">
        <v>119</v>
      </c>
      <c r="R406" s="29">
        <v>45</v>
      </c>
      <c r="S406" s="238" t="str">
        <f t="shared" si="178"/>
        <v/>
      </c>
      <c r="T406" s="238" t="str">
        <f t="shared" si="179"/>
        <v/>
      </c>
      <c r="U406" s="238" t="str">
        <f t="shared" si="180"/>
        <v/>
      </c>
      <c r="W406" s="238" t="e">
        <f t="shared" si="181"/>
        <v>#N/A</v>
      </c>
      <c r="X406" s="238" t="e">
        <f t="shared" si="182"/>
        <v>#N/A</v>
      </c>
      <c r="Y406" s="238" t="e">
        <f t="shared" si="183"/>
        <v>#N/A</v>
      </c>
      <c r="AA406" s="89"/>
      <c r="AB406" s="89"/>
      <c r="AC406" s="89"/>
      <c r="AD406" s="89"/>
      <c r="AE406" s="89"/>
      <c r="AF406" s="89"/>
      <c r="AG406" s="89"/>
      <c r="AH406" s="89"/>
      <c r="AI406" s="89"/>
      <c r="AJ406" s="89"/>
      <c r="AK406" s="89"/>
      <c r="AL406" s="89"/>
      <c r="AM406" s="89"/>
      <c r="AN406" s="89"/>
      <c r="BR406" s="180">
        <v>2057</v>
      </c>
      <c r="BS406" s="22">
        <v>43</v>
      </c>
      <c r="BT406" s="198">
        <f t="shared" si="194"/>
        <v>235.84570830558559</v>
      </c>
      <c r="BU406" s="198">
        <f t="shared" si="195"/>
        <v>193.74711198597203</v>
      </c>
      <c r="BV406" s="241">
        <f t="shared" si="196"/>
        <v>429.59282029155759</v>
      </c>
      <c r="BY406" s="180">
        <v>2057</v>
      </c>
      <c r="BZ406" s="22">
        <v>43</v>
      </c>
      <c r="CA406" s="198">
        <f t="shared" ca="1" si="197"/>
        <v>-36.860682667597267</v>
      </c>
      <c r="CB406" s="198">
        <f t="shared" ca="1" si="198"/>
        <v>263.27691401170455</v>
      </c>
      <c r="CC406" s="198">
        <f t="shared" ca="1" si="209"/>
        <v>190.2384693956545</v>
      </c>
      <c r="CD406" s="241">
        <f t="shared" ca="1" si="199"/>
        <v>416.65470073976178</v>
      </c>
      <c r="CG406" s="180">
        <v>2057</v>
      </c>
      <c r="CH406" s="22">
        <v>43</v>
      </c>
      <c r="CI406" s="198">
        <f t="shared" ca="1" si="200"/>
        <v>-3.0496656941226954</v>
      </c>
      <c r="CJ406" s="198">
        <f t="shared" ca="1" si="201"/>
        <v>-33.456404683459922</v>
      </c>
      <c r="CK406" s="198">
        <f t="shared" ca="1" si="202"/>
        <v>262.24738381902091</v>
      </c>
      <c r="CL406" s="198">
        <f t="shared" ca="1" si="203"/>
        <v>190.307328236437</v>
      </c>
      <c r="CM406" s="241">
        <f t="shared" ca="1" si="204"/>
        <v>416.04864167787531</v>
      </c>
      <c r="CP406" s="180">
        <v>2057</v>
      </c>
      <c r="CQ406" s="22">
        <v>43</v>
      </c>
      <c r="CR406" s="198">
        <f t="shared" ca="1" si="205"/>
        <v>201.37697433285535</v>
      </c>
      <c r="CS406" s="198">
        <f t="shared" ca="1" si="206"/>
        <v>2.3579917624145148</v>
      </c>
      <c r="CT406" s="241">
        <f t="shared" ca="1" si="207"/>
        <v>474.84524661683213</v>
      </c>
      <c r="CZ406" s="164" t="b">
        <f t="shared" si="211"/>
        <v>0</v>
      </c>
      <c r="DA406" s="165" t="b">
        <f t="shared" si="211"/>
        <v>0</v>
      </c>
      <c r="DB406" s="166" t="b">
        <f t="shared" si="211"/>
        <v>0</v>
      </c>
      <c r="DC406" s="164" t="str">
        <f t="shared" si="185"/>
        <v/>
      </c>
      <c r="DD406" s="166" t="str">
        <f t="shared" si="186"/>
        <v/>
      </c>
      <c r="DE406" s="164" t="str">
        <f t="shared" si="187"/>
        <v/>
      </c>
      <c r="DF406" s="166" t="str">
        <f t="shared" si="188"/>
        <v/>
      </c>
      <c r="DG406" s="164" t="str">
        <f t="shared" si="189"/>
        <v/>
      </c>
      <c r="DH406" s="166" t="str">
        <f t="shared" si="190"/>
        <v/>
      </c>
      <c r="DI406" s="164" t="str">
        <f>IFERROR(INDEX(DC$359:DC$407,_xlfn.AGGREGATE(15,6,(ROW(DC$359:DC$407)-ROW(DC$359)+1)/(DC$359:DC$407&lt;&gt;""),ROWS(DI$1:DI48))),"")</f>
        <v/>
      </c>
      <c r="DJ406" s="165" t="str">
        <f>IFERROR(INDEX(DD$359:DD$407,_xlfn.AGGREGATE(15,6,(ROW(DD$359:DD$407)-ROW(DD$359)+1)/(DD$359:DD$407&lt;&gt;""),ROWS(DJ$1:DJ48))),"")</f>
        <v/>
      </c>
      <c r="DK406" s="166" t="str">
        <f t="shared" si="191"/>
        <v/>
      </c>
      <c r="DL406" s="164" t="str">
        <f>IFERROR(INDEX(DE$359:DE$407,_xlfn.AGGREGATE(15,6,(ROW(DE$359:DE$407)-ROW(DE$359)+1)/(DE$359:DE$407&lt;&gt;""),ROWS(DL$1:DL48))),"")</f>
        <v/>
      </c>
      <c r="DM406" s="165" t="str">
        <f>IFERROR(INDEX(DF$359:DF$407,_xlfn.AGGREGATE(15,6,(ROW(DF$359:DF$407)-ROW(DF$359)+1)/(DF$359:DF$407&lt;&gt;""),ROWS(DM$1:DM48))),"")</f>
        <v/>
      </c>
      <c r="DN406" s="166" t="str">
        <f t="shared" si="192"/>
        <v/>
      </c>
      <c r="DO406" s="164" t="str">
        <f>IFERROR(INDEX(DG$359:DG$407,_xlfn.AGGREGATE(15,6,(ROW(DG$359:DG$407)-ROW(DG$359)+1)/(DG$359:DG$407&lt;&gt;""),ROWS(DO$1:DO48))),"")</f>
        <v/>
      </c>
      <c r="DP406" s="165" t="str">
        <f>IFERROR(INDEX(DH$359:DH$407,_xlfn.AGGREGATE(15,6,(ROW(DH$359:DH$407)-ROW(DH$359)+1)/(DH$359:DH$407&lt;&gt;""),ROWS(DP$1:DP48))),"")</f>
        <v/>
      </c>
      <c r="DQ406" s="166" t="str">
        <f t="shared" si="193"/>
        <v/>
      </c>
      <c r="DR406" s="89"/>
      <c r="DW406" s="54"/>
      <c r="EA406" s="55"/>
      <c r="EB406" s="55"/>
      <c r="EC406" s="55"/>
      <c r="ED406" s="55"/>
      <c r="EE406" s="55"/>
    </row>
    <row r="407" spans="1:135" ht="13.8" x14ac:dyDescent="0.45">
      <c r="A407" s="214"/>
      <c r="B407" s="128">
        <v>2060</v>
      </c>
      <c r="C407" s="244"/>
      <c r="D407" s="244"/>
      <c r="E407" s="244"/>
      <c r="F407" s="244"/>
      <c r="G407" s="244"/>
      <c r="H407" s="249"/>
      <c r="I407" s="250"/>
      <c r="J407" s="251"/>
      <c r="K407" s="249"/>
      <c r="L407" s="250"/>
      <c r="M407" s="249"/>
      <c r="N407" s="29" t="s">
        <v>119</v>
      </c>
      <c r="R407" s="29">
        <v>46</v>
      </c>
      <c r="S407" s="238" t="str">
        <f t="shared" si="178"/>
        <v/>
      </c>
      <c r="T407" s="238" t="str">
        <f t="shared" si="179"/>
        <v/>
      </c>
      <c r="U407" s="238" t="str">
        <f t="shared" si="180"/>
        <v/>
      </c>
      <c r="W407" s="238" t="e">
        <f t="shared" si="181"/>
        <v>#N/A</v>
      </c>
      <c r="X407" s="238" t="e">
        <f t="shared" si="182"/>
        <v>#N/A</v>
      </c>
      <c r="Y407" s="238" t="e">
        <f t="shared" si="183"/>
        <v>#N/A</v>
      </c>
      <c r="AA407" s="89"/>
      <c r="AB407" s="89"/>
      <c r="AC407" s="89"/>
      <c r="AD407" s="89"/>
      <c r="AE407" s="89"/>
      <c r="AF407" s="89"/>
      <c r="AG407" s="89"/>
      <c r="AH407" s="89"/>
      <c r="AI407" s="89"/>
      <c r="AJ407" s="89"/>
      <c r="AK407" s="89"/>
      <c r="AL407" s="89"/>
      <c r="AM407" s="89"/>
      <c r="AN407" s="89"/>
      <c r="BR407" s="180">
        <v>2058</v>
      </c>
      <c r="BS407" s="22">
        <v>44</v>
      </c>
      <c r="BT407" s="198">
        <f t="shared" si="194"/>
        <v>241.330492219669</v>
      </c>
      <c r="BU407" s="198">
        <f t="shared" si="195"/>
        <v>193.74711198597203</v>
      </c>
      <c r="BV407" s="241">
        <f t="shared" si="196"/>
        <v>435.07760420564102</v>
      </c>
      <c r="BY407" s="180">
        <v>2058</v>
      </c>
      <c r="BZ407" s="22">
        <v>44</v>
      </c>
      <c r="CA407" s="198">
        <f t="shared" ca="1" si="197"/>
        <v>-38.59506849349286</v>
      </c>
      <c r="CB407" s="198">
        <f t="shared" ca="1" si="198"/>
        <v>269.39963294220928</v>
      </c>
      <c r="CC407" s="198">
        <f t="shared" ca="1" si="209"/>
        <v>190.2384693956545</v>
      </c>
      <c r="CD407" s="241">
        <f t="shared" ca="1" si="199"/>
        <v>421.04303384437094</v>
      </c>
      <c r="CG407" s="180">
        <v>2058</v>
      </c>
      <c r="CH407" s="22">
        <v>44</v>
      </c>
      <c r="CI407" s="198">
        <f t="shared" ca="1" si="200"/>
        <v>-3.2674195037939766</v>
      </c>
      <c r="CJ407" s="198">
        <f t="shared" ca="1" si="201"/>
        <v>-35.030610852989945</v>
      </c>
      <c r="CK407" s="198">
        <f t="shared" ca="1" si="202"/>
        <v>268.34616018690514</v>
      </c>
      <c r="CL407" s="198">
        <f t="shared" ca="1" si="203"/>
        <v>190.307328236437</v>
      </c>
      <c r="CM407" s="241">
        <f t="shared" ca="1" si="204"/>
        <v>420.35545806655819</v>
      </c>
      <c r="CP407" s="180">
        <v>2058</v>
      </c>
      <c r="CQ407" s="22">
        <v>44</v>
      </c>
      <c r="CR407" s="198">
        <f t="shared" ca="1" si="205"/>
        <v>201.37697433285535</v>
      </c>
      <c r="CS407" s="198">
        <f t="shared" ca="1" si="206"/>
        <v>2.4055038570637715</v>
      </c>
      <c r="CT407" s="241">
        <f t="shared" ca="1" si="207"/>
        <v>484.41308848151567</v>
      </c>
      <c r="CZ407" s="164" t="b">
        <f t="shared" si="211"/>
        <v>0</v>
      </c>
      <c r="DA407" s="165" t="b">
        <f t="shared" si="211"/>
        <v>0</v>
      </c>
      <c r="DB407" s="166" t="b">
        <f t="shared" si="211"/>
        <v>0</v>
      </c>
      <c r="DC407" s="164" t="str">
        <f t="shared" si="185"/>
        <v/>
      </c>
      <c r="DD407" s="166" t="str">
        <f t="shared" si="186"/>
        <v/>
      </c>
      <c r="DE407" s="164" t="str">
        <f t="shared" si="187"/>
        <v/>
      </c>
      <c r="DF407" s="166" t="str">
        <f t="shared" si="188"/>
        <v/>
      </c>
      <c r="DG407" s="164" t="str">
        <f t="shared" si="189"/>
        <v/>
      </c>
      <c r="DH407" s="166" t="str">
        <f t="shared" si="190"/>
        <v/>
      </c>
      <c r="DI407" s="164" t="str">
        <f>IFERROR(INDEX(DC$359:DC$407,_xlfn.AGGREGATE(15,6,(ROW(DC$359:DC$407)-ROW(DC$359)+1)/(DC$359:DC$407&lt;&gt;""),ROWS(DI$1:DI49))),"")</f>
        <v/>
      </c>
      <c r="DJ407" s="165" t="str">
        <f>IFERROR(INDEX(DD$359:DD$407,_xlfn.AGGREGATE(15,6,(ROW(DD$359:DD$407)-ROW(DD$359)+1)/(DD$359:DD$407&lt;&gt;""),ROWS(DJ$1:DJ49))),"")</f>
        <v/>
      </c>
      <c r="DK407" s="166" t="str">
        <f t="shared" si="191"/>
        <v/>
      </c>
      <c r="DL407" s="164" t="str">
        <f>IFERROR(INDEX(DE$359:DE$407,_xlfn.AGGREGATE(15,6,(ROW(DE$359:DE$407)-ROW(DE$359)+1)/(DE$359:DE$407&lt;&gt;""),ROWS(DL$1:DL49))),"")</f>
        <v/>
      </c>
      <c r="DM407" s="165" t="str">
        <f>IFERROR(INDEX(DF$359:DF$407,_xlfn.AGGREGATE(15,6,(ROW(DF$359:DF$407)-ROW(DF$359)+1)/(DF$359:DF$407&lt;&gt;""),ROWS(DM$1:DM49))),"")</f>
        <v/>
      </c>
      <c r="DN407" s="166" t="str">
        <f t="shared" si="192"/>
        <v/>
      </c>
      <c r="DO407" s="164" t="str">
        <f>IFERROR(INDEX(DG$359:DG$407,_xlfn.AGGREGATE(15,6,(ROW(DG$359:DG$407)-ROW(DG$359)+1)/(DG$359:DG$407&lt;&gt;""),ROWS(DO$1:DO49))),"")</f>
        <v/>
      </c>
      <c r="DP407" s="165" t="str">
        <f>IFERROR(INDEX(DH$359:DH$407,_xlfn.AGGREGATE(15,6,(ROW(DH$359:DH$407)-ROW(DH$359)+1)/(DH$359:DH$407&lt;&gt;""),ROWS(DP$1:DP49))),"")</f>
        <v/>
      </c>
      <c r="DQ407" s="166" t="str">
        <f t="shared" si="193"/>
        <v/>
      </c>
      <c r="DR407" s="89"/>
      <c r="DW407" s="54"/>
      <c r="EA407" s="55"/>
      <c r="EB407" s="55"/>
      <c r="EC407" s="55"/>
      <c r="ED407" s="55"/>
      <c r="EE407" s="55"/>
    </row>
    <row r="408" spans="1:135" x14ac:dyDescent="0.4">
      <c r="A408" s="214"/>
      <c r="B408" s="89"/>
      <c r="C408" s="14"/>
      <c r="D408" s="14"/>
      <c r="E408" s="14"/>
      <c r="F408" s="14"/>
      <c r="G408" s="14"/>
      <c r="H408" s="14"/>
      <c r="I408" s="14"/>
      <c r="J408" s="14"/>
      <c r="K408" s="14"/>
      <c r="L408" s="14"/>
      <c r="M408" s="50"/>
      <c r="S408" s="120"/>
      <c r="T408" s="120"/>
      <c r="U408" s="120"/>
      <c r="W408" s="120"/>
      <c r="X408" s="120"/>
      <c r="Y408" s="120"/>
      <c r="AA408" s="89"/>
      <c r="AB408" s="89"/>
      <c r="AC408" s="89"/>
      <c r="AD408" s="89"/>
      <c r="AE408" s="89"/>
      <c r="AF408" s="89"/>
      <c r="AG408" s="89"/>
      <c r="AH408" s="89"/>
      <c r="AI408" s="89"/>
      <c r="AJ408" s="89"/>
      <c r="AK408" s="89"/>
      <c r="AL408" s="89"/>
      <c r="AM408" s="89"/>
      <c r="AN408" s="89"/>
      <c r="BR408" s="180">
        <v>2059</v>
      </c>
      <c r="BS408" s="22">
        <v>45</v>
      </c>
      <c r="BT408" s="198">
        <f t="shared" si="194"/>
        <v>246.81527613375238</v>
      </c>
      <c r="BU408" s="198">
        <f t="shared" si="195"/>
        <v>193.74711198597203</v>
      </c>
      <c r="BV408" s="241">
        <f t="shared" si="196"/>
        <v>440.5623881197244</v>
      </c>
      <c r="BY408" s="180">
        <v>2059</v>
      </c>
      <c r="BZ408" s="22">
        <v>45</v>
      </c>
      <c r="CA408" s="198">
        <f t="shared" ca="1" si="197"/>
        <v>-40.369325257914795</v>
      </c>
      <c r="CB408" s="198">
        <f t="shared" ca="1" si="198"/>
        <v>275.52235187271407</v>
      </c>
      <c r="CC408" s="198">
        <f t="shared" ca="1" si="209"/>
        <v>190.2384693956545</v>
      </c>
      <c r="CD408" s="241">
        <f t="shared" ca="1" si="199"/>
        <v>425.39149601045381</v>
      </c>
      <c r="CG408" s="180">
        <v>2059</v>
      </c>
      <c r="CH408" s="22">
        <v>45</v>
      </c>
      <c r="CI408" s="198">
        <f t="shared" ca="1" si="200"/>
        <v>-3.4952996135803214</v>
      </c>
      <c r="CJ408" s="198">
        <f t="shared" ca="1" si="201"/>
        <v>-36.641005670095367</v>
      </c>
      <c r="CK408" s="198">
        <f t="shared" ca="1" si="202"/>
        <v>274.44493655478936</v>
      </c>
      <c r="CL408" s="198">
        <f t="shared" ca="1" si="203"/>
        <v>190.307328236437</v>
      </c>
      <c r="CM408" s="241">
        <f t="shared" ca="1" si="204"/>
        <v>424.61595950755066</v>
      </c>
      <c r="CP408" s="180">
        <v>2059</v>
      </c>
      <c r="CQ408" s="22">
        <v>45</v>
      </c>
      <c r="CR408" s="198">
        <f t="shared" ca="1" si="205"/>
        <v>201.37697433285535</v>
      </c>
      <c r="CS408" s="198">
        <f t="shared" ca="1" si="206"/>
        <v>2.4539732914179169</v>
      </c>
      <c r="CT408" s="241">
        <f t="shared" ca="1" si="207"/>
        <v>494.17371651937844</v>
      </c>
      <c r="CZ408" s="252"/>
      <c r="DA408" s="252"/>
      <c r="DB408" s="252"/>
      <c r="DC408" s="252"/>
      <c r="DD408" s="252"/>
      <c r="DE408" s="252"/>
      <c r="DF408" s="252"/>
      <c r="DG408" s="252"/>
      <c r="DH408" s="252"/>
      <c r="DI408" s="252"/>
      <c r="DJ408" s="252"/>
      <c r="DK408" s="252"/>
      <c r="DL408" s="252"/>
      <c r="DM408" s="252"/>
      <c r="DN408" s="252"/>
      <c r="DO408" s="252"/>
      <c r="DP408" s="252"/>
      <c r="DQ408" s="252"/>
      <c r="DR408" s="89"/>
      <c r="DU408" s="65"/>
      <c r="DW408" s="54"/>
      <c r="EA408" s="55"/>
      <c r="EB408" s="55"/>
      <c r="EC408" s="55"/>
      <c r="ED408" s="55"/>
      <c r="EE408" s="55"/>
    </row>
    <row r="409" spans="1:135" x14ac:dyDescent="0.4">
      <c r="A409" s="214"/>
      <c r="B409" s="89"/>
      <c r="C409" s="14"/>
      <c r="D409" s="14"/>
      <c r="E409" s="14"/>
      <c r="F409" s="14"/>
      <c r="G409" s="14"/>
      <c r="H409" s="14"/>
      <c r="I409" s="14"/>
      <c r="J409" s="14"/>
      <c r="K409" s="14"/>
      <c r="L409" s="14"/>
      <c r="M409" s="50"/>
      <c r="S409" s="120"/>
      <c r="T409" s="120"/>
      <c r="U409" s="120"/>
      <c r="W409" s="120"/>
      <c r="X409" s="120"/>
      <c r="Y409" s="120"/>
      <c r="AA409" s="89"/>
      <c r="AB409" s="89"/>
      <c r="AC409" s="89"/>
      <c r="AD409" s="89"/>
      <c r="AE409" s="89"/>
      <c r="AF409" s="89"/>
      <c r="AG409" s="89"/>
      <c r="AH409" s="89"/>
      <c r="AI409" s="89"/>
      <c r="AJ409" s="89"/>
      <c r="AK409" s="89"/>
      <c r="AL409" s="89"/>
      <c r="AM409" s="89"/>
      <c r="AN409" s="89"/>
      <c r="BR409" s="180">
        <v>2060</v>
      </c>
      <c r="BS409" s="22">
        <v>46</v>
      </c>
      <c r="BT409" s="198">
        <f t="shared" si="194"/>
        <v>252.30006004783576</v>
      </c>
      <c r="BU409" s="198">
        <f t="shared" si="195"/>
        <v>193.74711198597203</v>
      </c>
      <c r="BV409" s="241">
        <f t="shared" si="196"/>
        <v>446.04717203380778</v>
      </c>
      <c r="BY409" s="180">
        <v>2060</v>
      </c>
      <c r="BZ409" s="22">
        <v>46</v>
      </c>
      <c r="CA409" s="198">
        <f t="shared" ca="1" si="197"/>
        <v>-42.183452960863065</v>
      </c>
      <c r="CB409" s="198">
        <f t="shared" ca="1" si="198"/>
        <v>281.6450708032188</v>
      </c>
      <c r="CC409" s="198">
        <f t="shared" ca="1" si="209"/>
        <v>190.2384693956545</v>
      </c>
      <c r="CD409" s="241">
        <f t="shared" ca="1" si="199"/>
        <v>429.70008723801027</v>
      </c>
      <c r="CG409" s="180">
        <v>2060</v>
      </c>
      <c r="CH409" s="22">
        <v>46</v>
      </c>
      <c r="CI409" s="198">
        <f t="shared" ca="1" si="200"/>
        <v>-3.7335361666661639</v>
      </c>
      <c r="CJ409" s="198">
        <f t="shared" ca="1" si="201"/>
        <v>-38.287589134776198</v>
      </c>
      <c r="CK409" s="198">
        <f t="shared" ca="1" si="202"/>
        <v>280.54371292267354</v>
      </c>
      <c r="CL409" s="198">
        <f t="shared" ca="1" si="203"/>
        <v>190.307328236437</v>
      </c>
      <c r="CM409" s="241">
        <f t="shared" ca="1" si="204"/>
        <v>428.8299158576682</v>
      </c>
      <c r="CP409" s="180">
        <v>2060</v>
      </c>
      <c r="CQ409" s="22">
        <v>46</v>
      </c>
      <c r="CR409" s="198">
        <f t="shared" ca="1" si="205"/>
        <v>201.37697433285535</v>
      </c>
      <c r="CS409" s="198">
        <f t="shared" ca="1" si="206"/>
        <v>2.503419355287626</v>
      </c>
      <c r="CT409" s="241">
        <f t="shared" ca="1" si="207"/>
        <v>504.13101525412958</v>
      </c>
      <c r="CZ409" s="89"/>
      <c r="DA409" s="89"/>
      <c r="DB409" s="89"/>
      <c r="DC409" s="89"/>
      <c r="DD409" s="89"/>
      <c r="DE409" s="89"/>
      <c r="DF409" s="89"/>
      <c r="DG409" s="89"/>
      <c r="DH409" s="89"/>
      <c r="DI409" s="89"/>
      <c r="DJ409" s="89"/>
      <c r="DK409" s="89"/>
      <c r="DL409" s="89"/>
      <c r="DM409" s="89"/>
      <c r="DN409" s="89"/>
      <c r="DO409" s="89"/>
      <c r="DP409" s="89"/>
      <c r="DQ409" s="89"/>
      <c r="DR409" s="89"/>
      <c r="DW409" s="54"/>
      <c r="EA409" s="55"/>
      <c r="EB409" s="55"/>
      <c r="EC409" s="55"/>
      <c r="ED409" s="55"/>
      <c r="EE409" s="55"/>
    </row>
    <row r="410" spans="1:135" x14ac:dyDescent="0.4">
      <c r="A410" s="221" t="str">
        <f ca="1">HYPERLINK("#"&amp;"'"&amp;A$1&amp;"'!a1","Back to top")</f>
        <v>Back to top</v>
      </c>
      <c r="C410" s="50"/>
      <c r="D410" s="14"/>
      <c r="E410" s="14"/>
      <c r="F410" s="14"/>
      <c r="G410" s="14"/>
      <c r="H410" s="14"/>
      <c r="I410" s="14"/>
      <c r="J410" s="14"/>
      <c r="K410" s="14"/>
      <c r="L410" s="14"/>
      <c r="M410" s="14"/>
      <c r="N410" s="89"/>
      <c r="O410" s="89"/>
      <c r="P410" s="89"/>
      <c r="Q410" s="89"/>
      <c r="R410" s="89"/>
      <c r="S410" s="89"/>
      <c r="T410" s="89"/>
      <c r="U410" s="89"/>
      <c r="V410" s="89"/>
      <c r="W410" s="89"/>
      <c r="X410" s="89"/>
      <c r="Y410" s="89"/>
      <c r="Z410" s="89"/>
      <c r="AA410" s="89"/>
      <c r="AB410" s="89"/>
      <c r="AC410" s="89"/>
      <c r="AD410" s="89"/>
      <c r="AE410" s="89"/>
      <c r="AF410" s="89"/>
      <c r="AG410" s="89"/>
      <c r="AH410" s="89"/>
      <c r="AI410" s="89"/>
      <c r="AJ410" s="89"/>
      <c r="AK410" s="89"/>
      <c r="AL410" s="89"/>
      <c r="AM410" s="89"/>
      <c r="AN410" s="89"/>
      <c r="CZ410" s="89"/>
      <c r="DA410" s="89"/>
      <c r="DB410" s="89"/>
      <c r="DC410" s="89"/>
      <c r="DD410" s="89"/>
      <c r="DE410" s="89"/>
      <c r="DF410" s="89"/>
      <c r="DG410" s="89"/>
      <c r="DH410" s="89"/>
      <c r="DI410" s="89"/>
      <c r="DJ410" s="89"/>
      <c r="DK410" s="89"/>
      <c r="DL410" s="89"/>
      <c r="DM410" s="89"/>
      <c r="DN410" s="89"/>
      <c r="DO410" s="89"/>
      <c r="DP410" s="89"/>
      <c r="DQ410" s="89"/>
      <c r="DR410" s="89"/>
      <c r="DW410" s="54"/>
      <c r="EA410" s="55"/>
      <c r="EB410" s="55"/>
      <c r="EC410" s="55"/>
      <c r="ED410" s="55"/>
      <c r="EE410" s="55"/>
    </row>
    <row r="411" spans="1:135" x14ac:dyDescent="0.4">
      <c r="A411" s="221"/>
      <c r="C411" s="50"/>
      <c r="D411" s="14"/>
      <c r="E411" s="14"/>
      <c r="F411" s="14"/>
      <c r="G411" s="14"/>
      <c r="H411" s="14"/>
      <c r="I411" s="14"/>
      <c r="J411" s="14"/>
      <c r="K411" s="14"/>
      <c r="L411" s="14"/>
      <c r="M411" s="14"/>
      <c r="N411" s="89"/>
      <c r="O411" s="89"/>
      <c r="P411" s="89"/>
      <c r="Q411" s="89"/>
      <c r="R411" s="89"/>
      <c r="S411" s="89"/>
      <c r="T411" s="89"/>
      <c r="U411" s="89"/>
      <c r="V411" s="89"/>
      <c r="W411" s="89"/>
      <c r="X411" s="89"/>
      <c r="Y411" s="89"/>
      <c r="Z411" s="89"/>
      <c r="AA411" s="89"/>
      <c r="AB411" s="89"/>
      <c r="AC411" s="89"/>
      <c r="AD411" s="89"/>
      <c r="AE411" s="89"/>
      <c r="AF411" s="89"/>
      <c r="AG411" s="89"/>
      <c r="AH411" s="89"/>
      <c r="AI411" s="89"/>
      <c r="AJ411" s="89"/>
      <c r="AK411" s="89"/>
      <c r="AL411" s="89"/>
      <c r="AM411" s="89"/>
      <c r="AN411" s="89"/>
      <c r="CZ411" s="89"/>
      <c r="DA411" s="89"/>
      <c r="DB411" s="89"/>
      <c r="DC411" s="89"/>
      <c r="DD411" s="89"/>
      <c r="DE411" s="89"/>
      <c r="DF411" s="89"/>
      <c r="DG411" s="89"/>
      <c r="DH411" s="89"/>
      <c r="DI411" s="89"/>
      <c r="DJ411" s="89"/>
      <c r="DK411" s="89"/>
      <c r="DL411" s="89"/>
      <c r="DM411" s="89"/>
      <c r="DN411" s="89"/>
      <c r="DO411" s="89"/>
      <c r="DP411" s="89"/>
      <c r="DQ411" s="89"/>
      <c r="DR411" s="89"/>
      <c r="DW411" s="54"/>
      <c r="EA411" s="55"/>
      <c r="EB411" s="55"/>
      <c r="EC411" s="55"/>
      <c r="ED411" s="55"/>
      <c r="EE411" s="55"/>
    </row>
    <row r="412" spans="1:135" x14ac:dyDescent="0.4">
      <c r="A412" s="214"/>
      <c r="B412" s="89"/>
      <c r="C412" s="14"/>
      <c r="D412" s="14"/>
      <c r="E412" s="14"/>
      <c r="F412" s="14"/>
      <c r="G412" s="14"/>
      <c r="H412" s="14"/>
      <c r="I412" s="14"/>
      <c r="J412" s="14"/>
      <c r="K412" s="14"/>
      <c r="L412" s="14"/>
      <c r="M412" s="50"/>
      <c r="N412" s="49"/>
      <c r="O412" s="49"/>
      <c r="P412" s="49"/>
      <c r="Q412" s="49"/>
      <c r="R412" s="49"/>
      <c r="S412" s="120"/>
      <c r="T412" s="120"/>
      <c r="U412" s="120"/>
      <c r="V412" s="49"/>
      <c r="W412" s="120"/>
      <c r="X412" s="120"/>
      <c r="Y412" s="120"/>
      <c r="Z412" s="89"/>
      <c r="AA412" s="89"/>
      <c r="AB412" s="89"/>
      <c r="AC412" s="89"/>
      <c r="AD412" s="89"/>
      <c r="AE412" s="89"/>
      <c r="AF412" s="89"/>
      <c r="AG412" s="89"/>
      <c r="AH412" s="89"/>
      <c r="AI412" s="89"/>
      <c r="AJ412" s="89"/>
      <c r="AK412" s="89"/>
      <c r="AL412" s="89"/>
      <c r="AM412" s="89"/>
      <c r="AN412" s="89"/>
      <c r="AO412" s="49"/>
      <c r="AP412" s="49"/>
      <c r="AQ412" s="49"/>
      <c r="AR412" s="49"/>
      <c r="AS412" s="49"/>
      <c r="AT412" s="49"/>
      <c r="AU412" s="49"/>
      <c r="AV412" s="49"/>
      <c r="AW412" s="49"/>
      <c r="AX412" s="49"/>
      <c r="AY412" s="49"/>
      <c r="AZ412" s="49"/>
      <c r="BA412" s="49"/>
      <c r="BB412" s="49"/>
      <c r="BC412" s="49"/>
      <c r="BD412" s="49"/>
      <c r="BE412" s="49"/>
      <c r="BF412" s="49"/>
      <c r="BG412" s="49"/>
      <c r="BH412" s="49"/>
      <c r="BI412" s="49"/>
      <c r="BJ412" s="49"/>
      <c r="BK412" s="49"/>
      <c r="BL412" s="49"/>
    </row>
    <row r="413" spans="1:135" x14ac:dyDescent="0.4">
      <c r="A413" s="253"/>
      <c r="B413" s="254"/>
      <c r="C413" s="255"/>
      <c r="D413" s="255"/>
      <c r="E413" s="255"/>
      <c r="F413" s="255"/>
      <c r="G413" s="255"/>
      <c r="H413" s="255"/>
      <c r="I413" s="255"/>
      <c r="J413" s="255"/>
      <c r="K413" s="255"/>
      <c r="L413" s="255"/>
      <c r="M413" s="256"/>
      <c r="S413" s="257"/>
      <c r="T413" s="257"/>
      <c r="U413" s="257"/>
      <c r="W413" s="257"/>
      <c r="X413" s="257"/>
      <c r="Y413" s="257"/>
      <c r="Z413" s="254"/>
      <c r="AA413" s="254"/>
      <c r="AB413" s="254"/>
      <c r="AC413" s="254"/>
      <c r="AD413" s="254"/>
      <c r="AE413" s="254"/>
      <c r="AF413" s="254"/>
      <c r="AG413" s="254"/>
      <c r="AH413" s="254"/>
      <c r="AI413" s="254"/>
      <c r="AJ413" s="254"/>
      <c r="AK413" s="254"/>
      <c r="AL413" s="254"/>
      <c r="AM413" s="254"/>
      <c r="AN413" s="254"/>
      <c r="DW413" s="258"/>
      <c r="EA413" s="259"/>
      <c r="EB413" s="259"/>
      <c r="EC413" s="259"/>
      <c r="ED413" s="259"/>
      <c r="EE413" s="259"/>
    </row>
    <row r="414" spans="1:135" x14ac:dyDescent="0.4">
      <c r="A414" s="253"/>
      <c r="B414" s="254"/>
      <c r="C414" s="255"/>
      <c r="D414" s="255"/>
      <c r="E414" s="255"/>
      <c r="F414" s="255"/>
      <c r="G414" s="255"/>
      <c r="H414" s="255"/>
      <c r="I414" s="255"/>
      <c r="J414" s="255"/>
      <c r="K414" s="255"/>
      <c r="L414" s="255"/>
      <c r="M414" s="256"/>
      <c r="S414" s="257"/>
      <c r="T414" s="257"/>
      <c r="U414" s="257"/>
      <c r="W414" s="257"/>
      <c r="X414" s="257"/>
      <c r="Y414" s="257"/>
      <c r="Z414" s="254"/>
      <c r="AA414" s="254"/>
      <c r="AB414" s="254"/>
      <c r="AC414" s="254"/>
      <c r="AD414" s="254"/>
      <c r="AE414" s="254"/>
      <c r="AF414" s="254"/>
      <c r="AG414" s="254"/>
      <c r="AH414" s="254"/>
      <c r="AI414" s="254"/>
      <c r="AJ414" s="254"/>
      <c r="AK414" s="254"/>
      <c r="AL414" s="254"/>
      <c r="AM414" s="254"/>
      <c r="AN414" s="254"/>
      <c r="DW414" s="258"/>
      <c r="EA414" s="259"/>
      <c r="EB414" s="259"/>
      <c r="EC414" s="259"/>
      <c r="ED414" s="259"/>
      <c r="EE414" s="259"/>
    </row>
    <row r="415" spans="1:135" x14ac:dyDescent="0.4">
      <c r="A415" s="221"/>
      <c r="C415" s="14"/>
      <c r="D415" s="14"/>
      <c r="E415" s="14"/>
      <c r="F415" s="14"/>
      <c r="G415" s="14"/>
      <c r="H415" s="14"/>
      <c r="I415" s="14"/>
      <c r="J415" s="14"/>
      <c r="K415" s="14"/>
      <c r="L415" s="14"/>
      <c r="M415" s="14"/>
      <c r="DW415" s="54"/>
      <c r="EA415" s="286"/>
      <c r="EB415" s="286"/>
      <c r="EC415" s="286"/>
      <c r="ED415" s="286"/>
      <c r="EE415" s="286"/>
    </row>
    <row r="416" spans="1:135" x14ac:dyDescent="0.4">
      <c r="A416" s="287" t="s">
        <v>103</v>
      </c>
      <c r="C416" s="14"/>
      <c r="D416" s="14"/>
      <c r="E416" s="14"/>
      <c r="F416" s="14"/>
      <c r="G416" s="14"/>
      <c r="H416" s="14"/>
      <c r="I416" s="14"/>
      <c r="J416" s="14"/>
      <c r="K416" s="14"/>
      <c r="L416" s="14"/>
      <c r="M416" s="14"/>
      <c r="AA416" s="287" t="s">
        <v>103</v>
      </c>
      <c r="AM416" s="287" t="s">
        <v>103</v>
      </c>
      <c r="AZ416" s="287" t="s">
        <v>103</v>
      </c>
      <c r="BJ416" s="287" t="s">
        <v>103</v>
      </c>
      <c r="BR416" s="287" t="s">
        <v>103</v>
      </c>
      <c r="BY416" s="287" t="s">
        <v>103</v>
      </c>
      <c r="CG416" s="287" t="s">
        <v>103</v>
      </c>
      <c r="CP416" s="287" t="s">
        <v>103</v>
      </c>
      <c r="DV416" s="287" t="s">
        <v>103</v>
      </c>
      <c r="DW416" s="54"/>
      <c r="EA416" s="286"/>
      <c r="EB416" s="286"/>
      <c r="EC416" s="286"/>
      <c r="ED416" s="286"/>
      <c r="EE416" s="286"/>
    </row>
    <row r="417" spans="1:135" x14ac:dyDescent="0.4">
      <c r="A417" s="221"/>
      <c r="C417" s="14"/>
      <c r="D417" s="14"/>
      <c r="E417" s="14"/>
      <c r="F417" s="14"/>
      <c r="G417" s="14"/>
      <c r="H417" s="14"/>
      <c r="I417" s="14"/>
      <c r="J417" s="14"/>
      <c r="K417" s="14"/>
      <c r="L417" s="14"/>
      <c r="M417" s="14"/>
      <c r="DW417" s="54"/>
      <c r="EA417" s="286"/>
      <c r="EB417" s="286"/>
      <c r="EC417" s="286"/>
      <c r="ED417" s="286"/>
      <c r="EE417" s="286"/>
    </row>
    <row r="418" spans="1:135" x14ac:dyDescent="0.4">
      <c r="B418" s="694"/>
      <c r="C418" s="694"/>
      <c r="D418" s="113"/>
      <c r="E418" s="113"/>
      <c r="F418" s="113"/>
      <c r="G418" s="113"/>
      <c r="H418" s="113"/>
      <c r="I418" s="113"/>
      <c r="J418" s="113"/>
      <c r="K418" s="113"/>
      <c r="L418" s="113"/>
      <c r="M418" s="113"/>
      <c r="N418" s="114"/>
      <c r="O418" s="114"/>
      <c r="P418" s="114"/>
      <c r="Q418" s="114"/>
      <c r="R418" s="114"/>
      <c r="S418" s="114"/>
      <c r="T418" s="114"/>
      <c r="U418" s="114"/>
      <c r="V418" s="114"/>
      <c r="W418" s="114"/>
      <c r="X418" s="114"/>
      <c r="Y418" s="114"/>
      <c r="Z418" s="114"/>
      <c r="AA418" s="114"/>
      <c r="AC418" s="114"/>
      <c r="AD418" s="114"/>
      <c r="AE418" s="114"/>
      <c r="AF418" s="114"/>
      <c r="AG418" s="114"/>
      <c r="AH418" s="114"/>
      <c r="AI418" s="114"/>
      <c r="AJ418" s="114"/>
      <c r="AK418" s="114"/>
      <c r="AL418" s="114"/>
      <c r="AM418" s="114"/>
      <c r="AN418" s="114"/>
      <c r="AO418" s="89"/>
      <c r="DW418" s="54"/>
      <c r="EA418" s="55"/>
      <c r="EB418" s="55"/>
      <c r="EC418" s="55"/>
      <c r="ED418" s="55"/>
      <c r="EE418" s="55"/>
    </row>
    <row r="419" spans="1:135" x14ac:dyDescent="0.4">
      <c r="A419" s="233"/>
      <c r="B419" s="679"/>
      <c r="C419" s="679"/>
      <c r="D419" s="113"/>
      <c r="E419" s="113"/>
      <c r="F419" s="113"/>
      <c r="G419" s="113"/>
      <c r="H419" s="113"/>
      <c r="I419" s="113"/>
      <c r="J419" s="113"/>
      <c r="K419" s="113"/>
      <c r="L419" s="113"/>
      <c r="M419" s="113"/>
      <c r="N419" s="114"/>
      <c r="O419" s="114"/>
      <c r="P419" s="114"/>
      <c r="Q419" s="114"/>
      <c r="R419" s="114"/>
      <c r="S419" s="114"/>
      <c r="T419" s="114"/>
      <c r="U419" s="114"/>
      <c r="V419" s="114"/>
      <c r="W419" s="114"/>
      <c r="X419" s="114"/>
      <c r="Y419" s="114"/>
      <c r="Z419" s="114"/>
      <c r="AA419" s="114"/>
      <c r="AB419" s="114"/>
      <c r="AC419" s="114"/>
      <c r="AD419" s="114"/>
      <c r="AE419" s="114"/>
      <c r="AF419" s="114"/>
      <c r="AG419" s="114"/>
      <c r="AH419" s="114"/>
      <c r="AI419" s="114"/>
      <c r="AJ419" s="114"/>
      <c r="AK419" s="114"/>
      <c r="AL419" s="114"/>
      <c r="AM419" s="114"/>
      <c r="CZ419" s="116"/>
      <c r="DA419" s="116"/>
      <c r="DB419" s="116"/>
      <c r="DC419" s="116"/>
      <c r="DD419" s="116"/>
      <c r="DE419" s="116"/>
      <c r="DF419" s="116"/>
      <c r="DG419" s="116"/>
      <c r="DH419" s="116"/>
      <c r="DI419" s="117" t="str">
        <f>"DJ"&amp;MIN(DK422:DK470)</f>
        <v>DJ422</v>
      </c>
      <c r="DJ419" s="118" t="str">
        <f>"DJ"&amp;MAX(DK422:DK470)</f>
        <v>DJ452</v>
      </c>
      <c r="DK419" s="116"/>
      <c r="DL419" s="117" t="str">
        <f>"DM"&amp;MIN(DN422:DN470)</f>
        <v>DM422</v>
      </c>
      <c r="DM419" s="118" t="str">
        <f>"DM"&amp;MAX(DN422:DN470)</f>
        <v>DM452</v>
      </c>
      <c r="DN419" s="116"/>
      <c r="DO419" s="117" t="str">
        <f>"DP"&amp;MIN(DQ422:DQ470)</f>
        <v>DP422</v>
      </c>
      <c r="DP419" s="118" t="str">
        <f>"DP"&amp;MAX(DQ422:DQ470)</f>
        <v>DP452</v>
      </c>
      <c r="DQ419" s="116"/>
      <c r="DW419" s="119"/>
      <c r="EA419" s="33"/>
      <c r="EB419" s="33"/>
      <c r="EC419" s="33"/>
      <c r="ED419" s="33"/>
      <c r="EE419" s="33"/>
    </row>
    <row r="420" spans="1:135" ht="24.6" x14ac:dyDescent="0.45">
      <c r="A420" s="95" t="s">
        <v>65</v>
      </c>
      <c r="C420" s="680" t="str">
        <f>A438</f>
        <v>Base Cases</v>
      </c>
      <c r="D420" s="681"/>
      <c r="E420" s="682"/>
      <c r="F420" s="683" t="str">
        <f>A439</f>
        <v>Conservative Cases</v>
      </c>
      <c r="G420" s="684"/>
      <c r="H420" s="685"/>
      <c r="I420" s="686" t="str">
        <f>A440</f>
        <v>Ambitious Cases</v>
      </c>
      <c r="J420" s="687"/>
      <c r="K420" s="688"/>
      <c r="L420" s="692" t="str">
        <f>A441</f>
        <v>Maximum Cases</v>
      </c>
      <c r="M420" s="693"/>
      <c r="O420" s="122"/>
      <c r="P420" s="122"/>
      <c r="Q420" s="122"/>
      <c r="W420" s="691" t="s">
        <v>66</v>
      </c>
      <c r="X420" s="691"/>
      <c r="Y420" s="691"/>
      <c r="Z420" s="120"/>
      <c r="AA420" s="120"/>
      <c r="AB420" s="120"/>
      <c r="AC420" s="120"/>
      <c r="AD420" s="120"/>
      <c r="AE420" s="120"/>
      <c r="AF420" s="120"/>
      <c r="AG420" s="120"/>
      <c r="AH420" s="120"/>
      <c r="AI420" s="120"/>
      <c r="AJ420" s="120"/>
      <c r="AK420" s="120"/>
      <c r="AL420" s="120"/>
      <c r="AM420" s="120"/>
      <c r="AN420" s="120"/>
      <c r="BR420" s="121" t="s">
        <v>67</v>
      </c>
      <c r="BS420" s="121"/>
      <c r="BT420" s="121"/>
      <c r="BU420" s="121"/>
      <c r="BV420" s="121"/>
      <c r="BW420" s="122"/>
      <c r="BY420" s="121" t="s">
        <v>68</v>
      </c>
      <c r="BZ420" s="121"/>
      <c r="CA420" s="121"/>
      <c r="CB420" s="121"/>
      <c r="CC420" s="121"/>
      <c r="CD420" s="121"/>
      <c r="CG420" s="121" t="s">
        <v>69</v>
      </c>
      <c r="CH420" s="121"/>
      <c r="CI420" s="121"/>
      <c r="CJ420" s="121"/>
      <c r="CK420" s="121"/>
      <c r="CL420" s="121"/>
      <c r="CM420" s="121"/>
      <c r="CP420" s="121" t="s">
        <v>70</v>
      </c>
      <c r="CQ420" s="121"/>
      <c r="CR420" s="121"/>
      <c r="CS420" s="121"/>
      <c r="CT420" s="121"/>
      <c r="CU420" s="121"/>
      <c r="CZ420" s="123"/>
      <c r="DA420" s="123"/>
      <c r="DB420" s="123"/>
      <c r="DC420" s="123"/>
      <c r="DD420" s="123"/>
      <c r="DE420" s="123"/>
      <c r="DF420" s="123"/>
      <c r="DG420" s="123"/>
      <c r="DH420" s="123"/>
      <c r="DI420" s="124" t="str">
        <f>"DI"&amp;MIN(DK422:DK470)</f>
        <v>DI422</v>
      </c>
      <c r="DJ420" s="125" t="str">
        <f>"DI"&amp;MAX(DK422:DK470)</f>
        <v>DI452</v>
      </c>
      <c r="DK420" s="123"/>
      <c r="DL420" s="124" t="str">
        <f>"DL"&amp;MIN(DN422:DN470)</f>
        <v>DL422</v>
      </c>
      <c r="DM420" s="125" t="str">
        <f>"DL"&amp;MAX(DN422:DN470)</f>
        <v>DL452</v>
      </c>
      <c r="DN420" s="123"/>
      <c r="DO420" s="124" t="str">
        <f>"DO"&amp;MIN(DQ422:DQ470)</f>
        <v>DO422</v>
      </c>
      <c r="DP420" s="125" t="str">
        <f>"DO"&amp;MAX(DQ422:DQ470)</f>
        <v>DO452</v>
      </c>
      <c r="DQ420" s="123"/>
      <c r="DV420" s="126" t="s">
        <v>71</v>
      </c>
      <c r="DZ420" s="127" t="s">
        <v>72</v>
      </c>
      <c r="EA420" s="284" t="str">
        <f>$L$32</f>
        <v>3rd Poly</v>
      </c>
    </row>
    <row r="421" spans="1:135" ht="73.8" x14ac:dyDescent="0.45">
      <c r="A421" s="95" t="s">
        <v>73</v>
      </c>
      <c r="B421" s="128"/>
      <c r="C421" s="129" t="str">
        <f>A422</f>
        <v>IPCC</v>
      </c>
      <c r="D421" s="130" t="str">
        <f>A423</f>
        <v xml:space="preserve"> IEA Annex I – Municipal solid waste potential in cities; Table I.1</v>
      </c>
      <c r="E421" s="131" t="str">
        <f>A424</f>
        <v>[Source 3]</v>
      </c>
      <c r="F421" s="129" t="str">
        <f>A425</f>
        <v>[Source 1]</v>
      </c>
      <c r="G421" s="130" t="str">
        <f>A426</f>
        <v>[Source 2]</v>
      </c>
      <c r="H421" s="131" t="str">
        <f>A427</f>
        <v>[Source 3]</v>
      </c>
      <c r="I421" s="129" t="str">
        <f>A428</f>
        <v>[Source 1]</v>
      </c>
      <c r="J421" s="130" t="str">
        <f>A429</f>
        <v>[Source 2]</v>
      </c>
      <c r="K421" s="131" t="str">
        <f>A430</f>
        <v>[Source 3]</v>
      </c>
      <c r="L421" s="129" t="str">
        <f>A431</f>
        <v>[Source 1]</v>
      </c>
      <c r="M421" s="131" t="str">
        <f>A432</f>
        <v>[Source 2]</v>
      </c>
      <c r="N421" s="234" t="s">
        <v>74</v>
      </c>
      <c r="O421" s="133"/>
      <c r="P421" s="133"/>
      <c r="Q421" s="133"/>
      <c r="R421" s="135" t="s">
        <v>76</v>
      </c>
      <c r="S421" s="134" t="s">
        <v>77</v>
      </c>
      <c r="T421" s="134" t="s">
        <v>78</v>
      </c>
      <c r="U421" s="136" t="s">
        <v>79</v>
      </c>
      <c r="V421" s="137"/>
      <c r="W421" s="136" t="s">
        <v>15</v>
      </c>
      <c r="X421" s="134" t="s">
        <v>21</v>
      </c>
      <c r="Y421" s="136" t="s">
        <v>25</v>
      </c>
      <c r="AA421" s="138"/>
      <c r="AB421" s="138"/>
      <c r="AC421" s="138"/>
      <c r="AD421" s="138"/>
      <c r="AE421" s="138"/>
      <c r="AF421" s="138"/>
      <c r="AG421" s="138"/>
      <c r="AH421" s="138"/>
      <c r="AI421" s="138"/>
      <c r="AJ421" s="138"/>
      <c r="AK421" s="138"/>
      <c r="AL421" s="138"/>
      <c r="AM421" s="138"/>
      <c r="AN421" s="138"/>
      <c r="BR421" s="139"/>
      <c r="BS421" s="139"/>
      <c r="BT421" s="139"/>
      <c r="BU421" s="139"/>
      <c r="BV421" s="139"/>
      <c r="BW421" s="122"/>
      <c r="BZ421" s="139"/>
      <c r="CA421" s="139"/>
      <c r="CB421" s="139"/>
      <c r="CC421" s="139"/>
      <c r="CD421" s="139"/>
      <c r="CH421" s="139"/>
      <c r="CI421" s="139"/>
      <c r="CJ421" s="139"/>
      <c r="CK421" s="139"/>
      <c r="CL421" s="139"/>
      <c r="CM421" s="139"/>
      <c r="CQ421" s="139"/>
      <c r="CR421" s="139"/>
      <c r="CS421" s="139"/>
      <c r="CT421" s="139"/>
      <c r="CU421" s="139"/>
      <c r="CZ421" s="140"/>
      <c r="DA421" s="140"/>
      <c r="DB421" s="140"/>
      <c r="DC421" s="140"/>
      <c r="DD421" s="141"/>
      <c r="DE421" s="141"/>
      <c r="DF421" s="141"/>
      <c r="DG421" s="141"/>
      <c r="DH421" s="140"/>
      <c r="DI421" s="142"/>
      <c r="DJ421" s="143"/>
      <c r="DK421" s="144"/>
      <c r="DL421" s="142"/>
      <c r="DM421" s="143"/>
      <c r="DN421" s="140"/>
      <c r="DO421" s="142"/>
      <c r="DP421" s="143"/>
      <c r="DQ421" s="140"/>
      <c r="DV421" s="145">
        <v>2014</v>
      </c>
      <c r="DW421" s="235">
        <f t="shared" ref="DW421:DW467" ca="1" si="212">IF($J$32="N","",IF($L$32="Linear",BV426,IF($L$32="2nd Poly",CD426,IF($L$32="3rd Poly",CM426,IF($L$32="Exp",CT426)))))</f>
        <v>411.87284319901585</v>
      </c>
      <c r="EA421" s="33" t="str">
        <f>$M$32</f>
        <v>Medium</v>
      </c>
      <c r="EB421" s="33"/>
      <c r="EC421" s="33"/>
      <c r="ED421" s="33"/>
      <c r="EE421" s="33"/>
    </row>
    <row r="422" spans="1:135" ht="13.8" x14ac:dyDescent="0.45">
      <c r="A422" s="148" t="s">
        <v>108</v>
      </c>
      <c r="B422" s="128">
        <v>2012</v>
      </c>
      <c r="C422" s="244"/>
      <c r="D422" s="264"/>
      <c r="E422" s="239"/>
      <c r="F422" s="190"/>
      <c r="G422" s="264"/>
      <c r="H422" s="239"/>
      <c r="I422" s="190"/>
      <c r="J422" s="264"/>
      <c r="K422" s="239"/>
      <c r="L422" s="190"/>
      <c r="M422" s="239"/>
      <c r="N422" s="29" t="s">
        <v>119</v>
      </c>
      <c r="O422" s="120"/>
      <c r="P422" s="120"/>
      <c r="Q422" s="120"/>
      <c r="R422" s="29">
        <v>-2</v>
      </c>
      <c r="S422" s="238" t="str">
        <f t="shared" ref="S422:S470" si="213">IF(MIN(C422:Q422)=0,"",MIN(C422:Q422))</f>
        <v/>
      </c>
      <c r="T422" s="238" t="str">
        <f t="shared" ref="T422:T470" si="214">IF(MAX(C422:Q422)=0,"",MAX(C422:Q422))</f>
        <v/>
      </c>
      <c r="U422" s="238" t="str">
        <f t="shared" ref="U422:U470" si="215">IF(T422="","",_xlfn.STDEV.P(C422:Q422))</f>
        <v/>
      </c>
      <c r="V422" s="29"/>
      <c r="W422" s="238" t="e">
        <f t="shared" ref="W422:W470" si="216">IF(U422="",#N/A,X422-(U422*$Q$32))</f>
        <v>#N/A</v>
      </c>
      <c r="X422" s="238" t="e">
        <f t="shared" ref="X422:X470" si="217">IF(U422="",#N/A,(SUM(C422:Q422)/COUNTIFS(C422:Q422,"&gt;0")))</f>
        <v>#N/A</v>
      </c>
      <c r="Y422" s="238" t="e">
        <f t="shared" ref="Y422:Y470" si="218">IF(U422="",#N/A,X422+(U422*$Q$31))</f>
        <v>#N/A</v>
      </c>
      <c r="AA422" s="138"/>
      <c r="AB422" s="138"/>
      <c r="AC422" s="138"/>
      <c r="AD422" s="138"/>
      <c r="AE422" s="138"/>
      <c r="AF422" s="138"/>
      <c r="AG422" s="138"/>
      <c r="AH422" s="138"/>
      <c r="AI422" s="138"/>
      <c r="AJ422" s="138"/>
      <c r="AK422" s="138"/>
      <c r="AL422" s="138"/>
      <c r="AM422" s="138"/>
      <c r="AN422" s="138"/>
      <c r="BR422" s="137" t="s">
        <v>81</v>
      </c>
      <c r="BS422" s="65" t="str">
        <f>$M$32</f>
        <v>Medium</v>
      </c>
      <c r="BT422" s="137" t="s">
        <v>82</v>
      </c>
      <c r="BU422" s="137" t="s">
        <v>83</v>
      </c>
      <c r="BW422" s="133"/>
      <c r="BY422" s="137" t="s">
        <v>81</v>
      </c>
      <c r="BZ422" s="65" t="str">
        <f>$M$32</f>
        <v>Medium</v>
      </c>
      <c r="CA422" s="137" t="s">
        <v>84</v>
      </c>
      <c r="CB422" s="137" t="s">
        <v>82</v>
      </c>
      <c r="CC422" s="137" t="s">
        <v>83</v>
      </c>
      <c r="CG422" s="137" t="s">
        <v>81</v>
      </c>
      <c r="CH422" s="65" t="str">
        <f>$M$32</f>
        <v>Medium</v>
      </c>
      <c r="CI422" s="137" t="s">
        <v>85</v>
      </c>
      <c r="CJ422" s="137" t="s">
        <v>84</v>
      </c>
      <c r="CK422" s="137" t="s">
        <v>82</v>
      </c>
      <c r="CL422" s="137" t="s">
        <v>83</v>
      </c>
      <c r="CP422" s="137" t="s">
        <v>81</v>
      </c>
      <c r="CQ422" s="65" t="str">
        <f>$M$32</f>
        <v>Medium</v>
      </c>
      <c r="CR422" s="137" t="s">
        <v>86</v>
      </c>
      <c r="CS422" s="137" t="s">
        <v>87</v>
      </c>
      <c r="CZ422" s="155" t="b">
        <f t="shared" ref="CZ422:DB461" si="219">ISNUMBER(W422)</f>
        <v>0</v>
      </c>
      <c r="DA422" s="156" t="b">
        <f t="shared" si="219"/>
        <v>0</v>
      </c>
      <c r="DB422" s="157" t="b">
        <f t="shared" si="219"/>
        <v>0</v>
      </c>
      <c r="DC422" s="155" t="str">
        <f t="shared" ref="DC422:DC470" si="220">IF(CZ422=TRUE,$R422,"")</f>
        <v/>
      </c>
      <c r="DD422" s="157" t="str">
        <f t="shared" ref="DD422:DD470" si="221">IF(CZ422=TRUE,W422,"")</f>
        <v/>
      </c>
      <c r="DE422" s="155" t="str">
        <f t="shared" ref="DE422:DE470" si="222">IF(DA422=TRUE,$R422,"")</f>
        <v/>
      </c>
      <c r="DF422" s="157" t="str">
        <f t="shared" ref="DF422:DF470" si="223">IF(DA422=TRUE,X422,"")</f>
        <v/>
      </c>
      <c r="DG422" s="155" t="str">
        <f t="shared" ref="DG422:DG470" si="224">IF(DB422=TRUE,$R422,"")</f>
        <v/>
      </c>
      <c r="DH422" s="157" t="str">
        <f t="shared" ref="DH422:DH470" si="225">IF(DB422=TRUE,Y422,"")</f>
        <v/>
      </c>
      <c r="DI422" s="155">
        <f>IFERROR(INDEX(DC$422:DC$470,_xlfn.AGGREGATE(15,6,(ROW(DC$422:DC$470)-ROW(DC$422)+1)/(DC$422:DC$470&lt;&gt;""),ROWS(DI$1:DI1))),"")</f>
        <v>1</v>
      </c>
      <c r="DJ422" s="156">
        <f>IFERROR(INDEX(DD$422:DD$470,_xlfn.AGGREGATE(15,6,(ROW(DD$422:DD$470)-ROW(DD$422)+1)/(DD$422:DD$470&lt;&gt;""),ROWS(DJ$1:DJ1))),"")</f>
        <v>278.91891891891908</v>
      </c>
      <c r="DK422" s="157">
        <f t="shared" ref="DK422:DK470" si="226">IF(ISNUMBER(DI422),ROW(DI422),"")</f>
        <v>422</v>
      </c>
      <c r="DL422" s="155">
        <f>IFERROR(INDEX(DE$422:DE$470,_xlfn.AGGREGATE(15,6,(ROW(DE$422:DE$470)-ROW(DE$422)+1)/(DE$422:DE$470&lt;&gt;""),ROWS(DL$1:DL1))),"")</f>
        <v>1</v>
      </c>
      <c r="DM422" s="156">
        <f>IFERROR(INDEX(DF$422:DF$470,_xlfn.AGGREGATE(15,6,(ROW(DF$422:DF$470)-ROW(DF$422)+1)/(DF$422:DF$470&lt;&gt;""),ROWS(DM$1:DM1))),"")</f>
        <v>421.25147499840375</v>
      </c>
      <c r="DN422" s="157">
        <f t="shared" ref="DN422:DN470" si="227">IF(ISNUMBER(DI422),ROW(DI422),"")</f>
        <v>422</v>
      </c>
      <c r="DO422" s="155">
        <f>IFERROR(INDEX(DG$422:DG$470,_xlfn.AGGREGATE(15,6,(ROW(DG$422:DG$470)-ROW(DG$422)+1)/(DG$422:DG$470&lt;&gt;""),ROWS(DO$1:DO1))),"")</f>
        <v>1</v>
      </c>
      <c r="DP422" s="156">
        <f>IFERROR(INDEX(DH$422:DH$470,_xlfn.AGGREGATE(15,6,(ROW(DH$422:DH$470)-ROW(DH$422)+1)/(DH$422:DH$470&lt;&gt;""),ROWS(DP$1:DP1))),"")</f>
        <v>563.58403107788843</v>
      </c>
      <c r="DQ422" s="157">
        <f t="shared" ref="DQ422:DQ470" si="228">IF(ISNUMBER(DL422),ROW(DL422),"")</f>
        <v>422</v>
      </c>
      <c r="DV422" s="145">
        <v>2015</v>
      </c>
      <c r="DW422" s="235">
        <f t="shared" ca="1" si="212"/>
        <v>421.14160940177868</v>
      </c>
      <c r="EA422" s="33"/>
      <c r="EB422" s="33"/>
      <c r="EC422" s="33"/>
      <c r="ED422" s="33"/>
      <c r="EE422" s="33"/>
    </row>
    <row r="423" spans="1:135" ht="13.8" x14ac:dyDescent="0.45">
      <c r="A423" s="148" t="s">
        <v>116</v>
      </c>
      <c r="B423" s="128">
        <v>2013</v>
      </c>
      <c r="C423" s="187"/>
      <c r="D423" s="264"/>
      <c r="E423" s="239"/>
      <c r="F423" s="190"/>
      <c r="G423" s="264"/>
      <c r="H423" s="239"/>
      <c r="I423" s="190"/>
      <c r="J423" s="264"/>
      <c r="K423" s="239"/>
      <c r="L423" s="190"/>
      <c r="M423" s="239"/>
      <c r="N423" s="29" t="s">
        <v>119</v>
      </c>
      <c r="O423" s="120"/>
      <c r="P423" s="120"/>
      <c r="Q423" s="120"/>
      <c r="R423" s="29">
        <v>-1</v>
      </c>
      <c r="S423" s="238" t="str">
        <f t="shared" si="213"/>
        <v/>
      </c>
      <c r="T423" s="238" t="str">
        <f t="shared" si="214"/>
        <v/>
      </c>
      <c r="U423" s="238" t="str">
        <f t="shared" si="215"/>
        <v/>
      </c>
      <c r="V423" s="29"/>
      <c r="W423" s="238" t="e">
        <f t="shared" si="216"/>
        <v>#N/A</v>
      </c>
      <c r="X423" s="238" t="e">
        <f t="shared" si="217"/>
        <v>#N/A</v>
      </c>
      <c r="Y423" s="238" t="e">
        <f t="shared" si="218"/>
        <v>#N/A</v>
      </c>
      <c r="AA423" s="138"/>
      <c r="AB423" s="138"/>
      <c r="AC423" s="138"/>
      <c r="AD423" s="138"/>
      <c r="AE423" s="138"/>
      <c r="AF423" s="138"/>
      <c r="AG423" s="138"/>
      <c r="AH423" s="138"/>
      <c r="AI423" s="138"/>
      <c r="AJ423" s="138"/>
      <c r="AK423" s="138"/>
      <c r="AL423" s="138"/>
      <c r="AM423" s="138"/>
      <c r="AN423" s="138"/>
      <c r="BS423" s="160" t="s">
        <v>25</v>
      </c>
      <c r="BT423" s="161">
        <f>SLOPE((DH422:DH470),($B$46:$B$94))</f>
        <v>7.9702401234287192</v>
      </c>
      <c r="BU423" s="162">
        <f>INTERCEPT(DP422:DP470,DO422:DO470)</f>
        <v>571.63447517154486</v>
      </c>
      <c r="BW423" s="133"/>
      <c r="BZ423" s="160" t="s">
        <v>25</v>
      </c>
      <c r="CA423" s="161">
        <f ca="1">INDEX(LINEST((INDIRECT(DO419):INDIRECT(DP419)),(INDIRECT(DO420):INDIRECT(DP420))^{1,2}),1)</f>
        <v>-0.12166116764352346</v>
      </c>
      <c r="CB423" s="163">
        <f ca="1">INDEX(LINEST((INDIRECT(DO419):INDIRECT(DP419)),(INDIRECT(DO420):INDIRECT(DP420))^{1,2}),1,2)</f>
        <v>11.863397488021469</v>
      </c>
      <c r="CC423" s="162">
        <f ca="1">INDEX(LINEST((INDIRECT(DO419):INDIRECT(DP419)),(INDIRECT(DO420):INDIRECT(DP420))^{1,2}),1,3)</f>
        <v>550.22210966628472</v>
      </c>
      <c r="CH423" s="160" t="s">
        <v>25</v>
      </c>
      <c r="CI423" s="161">
        <f ca="1">INDEX(LINEST((INDIRECT(DO419):INDIRECT(DP419)),(INDIRECT(DO420):INDIRECT(DP420))^{1,2,3}),1)</f>
        <v>-1.1497979457929289E-3</v>
      </c>
      <c r="CJ423" s="163">
        <f ca="1">INDEX(LINEST((INDIRECT(DO419):INDIRECT(DP419)),(INDIRECT(DO420):INDIRECT(DP420))^{1,2,3}),1,2)</f>
        <v>-6.6470866245462779E-2</v>
      </c>
      <c r="CK423" s="163">
        <f ca="1">INDEX(LINEST((INDIRECT(DO419):INDIRECT(DP419)),(INDIRECT(DO420):INDIRECT(DP420))^{1,2,3}),1,3)</f>
        <v>11.145693610257524</v>
      </c>
      <c r="CL423" s="162">
        <f ca="1">INDEX(LINEST((INDIRECT(DO419):INDIRECT(DP419)),(INDIRECT(DO420):INDIRECT(DP420))^{1,2,3}),1,4)</f>
        <v>552.2862269385721</v>
      </c>
      <c r="CQ423" s="160" t="s">
        <v>25</v>
      </c>
      <c r="CR423" s="161">
        <f ca="1">EXP(INDEX(LINEST(LN(INDIRECT(DO419):INDIRECT(DP419)),(INDIRECT(DO420):INDIRECT(DP420))),1,2))</f>
        <v>577.54728280776885</v>
      </c>
      <c r="CS423" s="162">
        <f ca="1">INDEX(LINEST(LN(INDIRECT(DO419):INDIRECT(DP419)),(INDIRECT(DO420):INDIRECT(DP420))),1)</f>
        <v>1.1602597227248549E-2</v>
      </c>
      <c r="CZ423" s="164" t="b">
        <f t="shared" si="219"/>
        <v>0</v>
      </c>
      <c r="DA423" s="165" t="b">
        <f t="shared" si="219"/>
        <v>0</v>
      </c>
      <c r="DB423" s="166" t="b">
        <f t="shared" si="219"/>
        <v>0</v>
      </c>
      <c r="DC423" s="164" t="str">
        <f t="shared" si="220"/>
        <v/>
      </c>
      <c r="DD423" s="166" t="str">
        <f t="shared" si="221"/>
        <v/>
      </c>
      <c r="DE423" s="164" t="str">
        <f t="shared" si="222"/>
        <v/>
      </c>
      <c r="DF423" s="166" t="str">
        <f t="shared" si="223"/>
        <v/>
      </c>
      <c r="DG423" s="164" t="str">
        <f t="shared" si="224"/>
        <v/>
      </c>
      <c r="DH423" s="166" t="str">
        <f t="shared" si="225"/>
        <v/>
      </c>
      <c r="DI423" s="164">
        <f>IFERROR(INDEX(DC$422:DC$470,_xlfn.AGGREGATE(15,6,(ROW(DC$422:DC$470)-ROW(DC$422)+1)/(DC$422:DC$470&lt;&gt;""),ROWS(DI$1:DI2))),"")</f>
        <v>2</v>
      </c>
      <c r="DJ423" s="165">
        <f>IFERROR(INDEX(DD$422:DD$470,_xlfn.AGGREGATE(15,6,(ROW(DD$422:DD$470)-ROW(DD$422)+1)/(DD$422:DD$470&lt;&gt;""),ROWS(DJ$1:DJ2))),"")</f>
        <v>286.37837837837844</v>
      </c>
      <c r="DK423" s="166">
        <f t="shared" si="226"/>
        <v>423</v>
      </c>
      <c r="DL423" s="164">
        <f>IFERROR(INDEX(DE$422:DE$470,_xlfn.AGGREGATE(15,6,(ROW(DE$422:DE$470)-ROW(DE$422)+1)/(DE$422:DE$470&lt;&gt;""),ROWS(DL$1:DL2))),"")</f>
        <v>2</v>
      </c>
      <c r="DM423" s="165">
        <f>IFERROR(INDEX(DF$422:DF$470,_xlfn.AGGREGATE(15,6,(ROW(DF$422:DF$470)-ROW(DF$422)+1)/(DF$422:DF$470&lt;&gt;""),ROWS(DM$1:DM2))),"")</f>
        <v>430.39156495166014</v>
      </c>
      <c r="DN423" s="166">
        <f t="shared" si="227"/>
        <v>423</v>
      </c>
      <c r="DO423" s="164">
        <f>IFERROR(INDEX(DG$422:DG$470,_xlfn.AGGREGATE(15,6,(ROW(DG$422:DG$470)-ROW(DG$422)+1)/(DG$422:DG$470&lt;&gt;""),ROWS(DO$1:DO2))),"")</f>
        <v>2</v>
      </c>
      <c r="DP423" s="165">
        <f>IFERROR(INDEX(DH$422:DH$470,_xlfn.AGGREGATE(15,6,(ROW(DH$422:DH$470)-ROW(DH$422)+1)/(DH$422:DH$470&lt;&gt;""),ROWS(DP$1:DP2))),"")</f>
        <v>574.40475152494184</v>
      </c>
      <c r="DQ423" s="166">
        <f t="shared" si="228"/>
        <v>423</v>
      </c>
      <c r="DV423" s="145">
        <v>2016</v>
      </c>
      <c r="DW423" s="235">
        <f t="shared" ca="1" si="212"/>
        <v>430.34045534445869</v>
      </c>
      <c r="EA423" s="33"/>
      <c r="EB423" s="33"/>
      <c r="EC423" s="33"/>
      <c r="ED423" s="33"/>
      <c r="EE423" s="33"/>
    </row>
    <row r="424" spans="1:135" ht="13.8" x14ac:dyDescent="0.45">
      <c r="A424" s="148" t="s">
        <v>90</v>
      </c>
      <c r="B424" s="128">
        <v>2014</v>
      </c>
      <c r="C424" s="167"/>
      <c r="D424" s="168"/>
      <c r="E424" s="169"/>
      <c r="F424" s="170"/>
      <c r="G424" s="168"/>
      <c r="H424" s="169"/>
      <c r="I424" s="170"/>
      <c r="J424" s="168"/>
      <c r="K424" s="169"/>
      <c r="L424" s="170"/>
      <c r="M424" s="169"/>
      <c r="N424" s="29" t="s">
        <v>119</v>
      </c>
      <c r="O424" s="120"/>
      <c r="P424" s="120"/>
      <c r="Q424" s="120"/>
      <c r="R424" s="29">
        <v>0</v>
      </c>
      <c r="S424" s="238" t="str">
        <f t="shared" si="213"/>
        <v/>
      </c>
      <c r="T424" s="238" t="str">
        <f t="shared" si="214"/>
        <v/>
      </c>
      <c r="U424" s="238" t="str">
        <f t="shared" si="215"/>
        <v/>
      </c>
      <c r="V424" s="29"/>
      <c r="W424" s="238" t="e">
        <f t="shared" si="216"/>
        <v>#N/A</v>
      </c>
      <c r="X424" s="238" t="e">
        <f t="shared" si="217"/>
        <v>#N/A</v>
      </c>
      <c r="Y424" s="238" t="e">
        <f t="shared" si="218"/>
        <v>#N/A</v>
      </c>
      <c r="AA424" s="138"/>
      <c r="AB424" s="138"/>
      <c r="AC424" s="138"/>
      <c r="AD424" s="138"/>
      <c r="AE424" s="138"/>
      <c r="AF424" s="138"/>
      <c r="AG424" s="138"/>
      <c r="AH424" s="138"/>
      <c r="AI424" s="138"/>
      <c r="AJ424" s="138"/>
      <c r="AK424" s="138"/>
      <c r="AL424" s="138"/>
      <c r="AM424" s="138"/>
      <c r="AN424" s="138"/>
      <c r="BS424" s="160" t="s">
        <v>91</v>
      </c>
      <c r="BT424" s="172">
        <f>SLOPE((DF422:DF470),($B$46:$B$94))</f>
        <v>7.7148497914440979</v>
      </c>
      <c r="BU424" s="173">
        <f>INTERCEPT(DM422:DM470,DL422:DL470)</f>
        <v>421.54696731550206</v>
      </c>
      <c r="BZ424" s="160" t="s">
        <v>91</v>
      </c>
      <c r="CA424" s="172">
        <f ca="1">INDEX(LINEST((INDIRECT(DL419):INDIRECT(DM419)),(INDIRECT(DL420):INDIRECT(DM420))^{1,2}),1)</f>
        <v>-6.0830583821762402E-2</v>
      </c>
      <c r="CB424" s="174">
        <f ca="1">INDEX(LINEST((INDIRECT(DL419):INDIRECT(DM419)),(INDIRECT(DL420):INDIRECT(DM420))^{1,2}),1,2)</f>
        <v>9.6614284737404965</v>
      </c>
      <c r="CC424" s="173">
        <f ca="1">INDEX(LINEST((INDIRECT(DL419):INDIRECT(DM419)),(INDIRECT(DL420):INDIRECT(DM420))^{1,2}),1,3)</f>
        <v>410.84078456287187</v>
      </c>
      <c r="CH424" s="160" t="s">
        <v>91</v>
      </c>
      <c r="CI424" s="172">
        <f ca="1">INDEX(LINEST((INDIRECT(DL419):INDIRECT(DM419)),(INDIRECT(DL420):INDIRECT(DM420))^{1,2,3}),1)</f>
        <v>-5.7489897289656746E-4</v>
      </c>
      <c r="CJ424" s="174">
        <f ca="1">INDEX(LINEST((INDIRECT(DL419):INDIRECT(DM419)),(INDIRECT(DL420):INDIRECT(DM420))^{1,2,3}),1,2)</f>
        <v>-3.3235433122727094E-2</v>
      </c>
      <c r="CK424" s="174">
        <f ca="1">INDEX(LINEST((INDIRECT(DL419):INDIRECT(DM419)),(INDIRECT(DL420):INDIRECT(DM420))^{1,2,3}),1,3)</f>
        <v>9.3025765348584564</v>
      </c>
      <c r="CL424" s="173">
        <f ca="1">INDEX(LINEST((INDIRECT(DL419):INDIRECT(DM419)),(INDIRECT(DL420):INDIRECT(DM420))^{1,2,3}),1,4)</f>
        <v>411.87284319901585</v>
      </c>
      <c r="CQ424" s="160" t="s">
        <v>91</v>
      </c>
      <c r="CR424" s="172">
        <f ca="1">EXP(INDEX(LINEST(LN(INDIRECT(DL419):INDIRECT(DM419)),(INDIRECT(DL420):INDIRECT(DM420))),1,2))</f>
        <v>429.26261557387249</v>
      </c>
      <c r="CS424" s="173">
        <f ca="1">INDEX(LINEST(LN(INDIRECT(DL419):INDIRECT(DM419)),(INDIRECT(DL420):INDIRECT(DM420))),1)</f>
        <v>1.440018482408497E-2</v>
      </c>
      <c r="CZ424" s="164" t="b">
        <f t="shared" si="219"/>
        <v>0</v>
      </c>
      <c r="DA424" s="165" t="b">
        <f t="shared" si="219"/>
        <v>0</v>
      </c>
      <c r="DB424" s="166" t="b">
        <f t="shared" si="219"/>
        <v>0</v>
      </c>
      <c r="DC424" s="164" t="str">
        <f t="shared" si="220"/>
        <v/>
      </c>
      <c r="DD424" s="166" t="str">
        <f t="shared" si="221"/>
        <v/>
      </c>
      <c r="DE424" s="164" t="str">
        <f t="shared" si="222"/>
        <v/>
      </c>
      <c r="DF424" s="166" t="str">
        <f t="shared" si="223"/>
        <v/>
      </c>
      <c r="DG424" s="164" t="str">
        <f t="shared" si="224"/>
        <v/>
      </c>
      <c r="DH424" s="166" t="str">
        <f t="shared" si="225"/>
        <v/>
      </c>
      <c r="DI424" s="164">
        <f>IFERROR(INDEX(DC$422:DC$470,_xlfn.AGGREGATE(15,6,(ROW(DC$422:DC$470)-ROW(DC$422)+1)/(DC$422:DC$470&lt;&gt;""),ROWS(DI$1:DI3))),"")</f>
        <v>3</v>
      </c>
      <c r="DJ424" s="165">
        <f>IFERROR(INDEX(DD$422:DD$470,_xlfn.AGGREGATE(15,6,(ROW(DD$422:DD$470)-ROW(DD$422)+1)/(DD$422:DD$470&lt;&gt;""),ROWS(DJ$1:DJ3))),"")</f>
        <v>293.83783783783792</v>
      </c>
      <c r="DK424" s="166">
        <f t="shared" si="226"/>
        <v>424</v>
      </c>
      <c r="DL424" s="164">
        <f>IFERROR(INDEX(DE$422:DE$470,_xlfn.AGGREGATE(15,6,(ROW(DE$422:DE$470)-ROW(DE$422)+1)/(DE$422:DE$470&lt;&gt;""),ROWS(DL$1:DL3))),"")</f>
        <v>3</v>
      </c>
      <c r="DM424" s="165">
        <f>IFERROR(INDEX(DF$422:DF$470,_xlfn.AGGREGATE(15,6,(ROW(DF$422:DF$470)-ROW(DF$422)+1)/(DF$422:DF$470&lt;&gt;""),ROWS(DM$1:DM3))),"")</f>
        <v>439.48842223789359</v>
      </c>
      <c r="DN424" s="166">
        <f t="shared" si="227"/>
        <v>424</v>
      </c>
      <c r="DO424" s="164">
        <f>IFERROR(INDEX(DG$422:DG$470,_xlfn.AGGREGATE(15,6,(ROW(DG$422:DG$470)-ROW(DG$422)+1)/(DG$422:DG$470&lt;&gt;""),ROWS(DO$1:DO3))),"")</f>
        <v>3</v>
      </c>
      <c r="DP424" s="165">
        <f>IFERROR(INDEX(DH$422:DH$470,_xlfn.AGGREGATE(15,6,(ROW(DH$422:DH$470)-ROW(DH$422)+1)/(DH$422:DH$470&lt;&gt;""),ROWS(DP$1:DP3))),"")</f>
        <v>585.13900663794925</v>
      </c>
      <c r="DQ424" s="166">
        <f t="shared" si="228"/>
        <v>424</v>
      </c>
      <c r="DV424" s="145">
        <v>2017</v>
      </c>
      <c r="DW424" s="235">
        <f t="shared" ca="1" si="212"/>
        <v>439.46593163321847</v>
      </c>
      <c r="DZ424" s="65" t="s">
        <v>89</v>
      </c>
      <c r="EA424" s="33"/>
      <c r="EB424" s="33"/>
      <c r="EC424" s="33"/>
      <c r="ED424" s="33"/>
      <c r="EE424" s="33"/>
    </row>
    <row r="425" spans="1:135" ht="13.8" x14ac:dyDescent="0.45">
      <c r="A425" s="148" t="s">
        <v>80</v>
      </c>
      <c r="B425" s="128">
        <v>2015</v>
      </c>
      <c r="C425" s="244">
        <f>'Total MSW Summaries (Archive)'!I6</f>
        <v>563.58403107788854</v>
      </c>
      <c r="D425" s="244">
        <f>'Total MSW Summaries (Archive)'!BE6</f>
        <v>278.91891891891896</v>
      </c>
      <c r="E425" s="244"/>
      <c r="F425" s="244"/>
      <c r="G425" s="244"/>
      <c r="H425" s="151"/>
      <c r="I425" s="152"/>
      <c r="J425" s="159"/>
      <c r="K425" s="151"/>
      <c r="L425" s="152"/>
      <c r="M425" s="151"/>
      <c r="N425" s="29" t="s">
        <v>119</v>
      </c>
      <c r="O425" s="120"/>
      <c r="P425" s="120"/>
      <c r="Q425" s="120"/>
      <c r="R425" s="29">
        <v>1</v>
      </c>
      <c r="S425" s="238">
        <f t="shared" si="213"/>
        <v>278.91891891891896</v>
      </c>
      <c r="T425" s="238">
        <f t="shared" si="214"/>
        <v>563.58403107788854</v>
      </c>
      <c r="U425" s="238">
        <f t="shared" si="215"/>
        <v>142.3325560794847</v>
      </c>
      <c r="V425" s="29"/>
      <c r="W425" s="238">
        <f t="shared" si="216"/>
        <v>278.91891891891908</v>
      </c>
      <c r="X425" s="238">
        <f t="shared" si="217"/>
        <v>421.25147499840375</v>
      </c>
      <c r="Y425" s="238">
        <f t="shared" si="218"/>
        <v>563.58403107788843</v>
      </c>
      <c r="AA425" s="138"/>
      <c r="AB425" s="138"/>
      <c r="AC425" s="138"/>
      <c r="AD425" s="138"/>
      <c r="AE425" s="138"/>
      <c r="AF425" s="138"/>
      <c r="AG425" s="138"/>
      <c r="AH425" s="138"/>
      <c r="AI425" s="138"/>
      <c r="AJ425" s="138"/>
      <c r="AK425" s="138"/>
      <c r="AL425" s="138"/>
      <c r="AM425" s="138"/>
      <c r="AN425" s="138"/>
      <c r="BR425" s="29"/>
      <c r="BS425" s="160" t="s">
        <v>15</v>
      </c>
      <c r="BT425" s="177">
        <f>SLOPE((DD422:DD470),($B$46:$B$94))</f>
        <v>7.4594594594594748</v>
      </c>
      <c r="BU425" s="178">
        <f>INTERCEPT(DJ422:DJ470,DI422:DI470)</f>
        <v>271.45945945945965</v>
      </c>
      <c r="BV425" s="137" t="s">
        <v>71</v>
      </c>
      <c r="BY425" s="29"/>
      <c r="BZ425" s="160" t="s">
        <v>15</v>
      </c>
      <c r="CA425" s="177">
        <f ca="1">INDEX(LINEST((INDIRECT(DI419):INDIRECT(DJ419)),(INDIRECT(DI420):INDIRECT(DJ420))^{1,2}),1)</f>
        <v>-1.2805057919526811E-15</v>
      </c>
      <c r="CB425" s="179">
        <f ca="1">INDEX(LINEST((INDIRECT(DI419):INDIRECT(DJ419)),(INDIRECT(DI420):INDIRECT(DJ420))^{1,2}),1,2)</f>
        <v>7.4594594594595156</v>
      </c>
      <c r="CC425" s="178">
        <f ca="1">INDEX(LINEST((INDIRECT(DI419):INDIRECT(DJ419)),(INDIRECT(DI420):INDIRECT(DJ420))^{1,2}),1,3)</f>
        <v>271.45945945945942</v>
      </c>
      <c r="CD425" s="137" t="s">
        <v>71</v>
      </c>
      <c r="CG425" s="29"/>
      <c r="CH425" s="160" t="s">
        <v>15</v>
      </c>
      <c r="CI425" s="177">
        <f ca="1">INDEX(LINEST((INDIRECT(DI419):INDIRECT(DJ419)),(INDIRECT(DI420):INDIRECT(DJ420))^{1,2,3}),1)</f>
        <v>-1.8427096208435788E-16</v>
      </c>
      <c r="CJ425" s="179">
        <f ca="1">INDEX(LINEST((INDIRECT(DI419):INDIRECT(DJ419)),(INDIRECT(DI420):INDIRECT(DJ420))^{1,2,3}),1,2)</f>
        <v>7.863493714391156E-15</v>
      </c>
      <c r="CK425" s="179">
        <f ca="1">INDEX(LINEST((INDIRECT(DI419):INDIRECT(DJ419)),(INDIRECT(DI420):INDIRECT(DJ420))^{1,2,3}),1,3)</f>
        <v>7.4594594594593921</v>
      </c>
      <c r="CL425" s="178">
        <f ca="1">INDEX(LINEST((INDIRECT(DI419):INDIRECT(DJ419)),(INDIRECT(DI420):INDIRECT(DJ420))^{1,2,3}),1,4)</f>
        <v>271.45945945945982</v>
      </c>
      <c r="CM425" s="137" t="s">
        <v>71</v>
      </c>
      <c r="CP425" s="29"/>
      <c r="CQ425" s="160" t="s">
        <v>15</v>
      </c>
      <c r="CR425" s="177">
        <f ca="1">EXP(INDEX(LINEST(LN(INDIRECT(DI419):INDIRECT(DJ419)),(INDIRECT(DI420):INDIRECT(DJ420))),1,2))</f>
        <v>282.11523093323069</v>
      </c>
      <c r="CS425" s="178">
        <f ca="1">INDEX(LINEST(LN(INDIRECT(DI419):INDIRECT(DJ419)),(INDIRECT(DI420):INDIRECT(DJ420))),1)</f>
        <v>1.9433549605908453E-2</v>
      </c>
      <c r="CT425" s="137" t="s">
        <v>71</v>
      </c>
      <c r="CZ425" s="164" t="b">
        <f t="shared" si="219"/>
        <v>1</v>
      </c>
      <c r="DA425" s="165" t="b">
        <f t="shared" si="219"/>
        <v>1</v>
      </c>
      <c r="DB425" s="166" t="b">
        <f t="shared" si="219"/>
        <v>1</v>
      </c>
      <c r="DC425" s="164">
        <f t="shared" si="220"/>
        <v>1</v>
      </c>
      <c r="DD425" s="166">
        <f t="shared" si="221"/>
        <v>278.91891891891908</v>
      </c>
      <c r="DE425" s="164">
        <f t="shared" si="222"/>
        <v>1</v>
      </c>
      <c r="DF425" s="166">
        <f t="shared" si="223"/>
        <v>421.25147499840375</v>
      </c>
      <c r="DG425" s="164">
        <f t="shared" si="224"/>
        <v>1</v>
      </c>
      <c r="DH425" s="166">
        <f t="shared" si="225"/>
        <v>563.58403107788843</v>
      </c>
      <c r="DI425" s="164">
        <f>IFERROR(INDEX(DC$422:DC$470,_xlfn.AGGREGATE(15,6,(ROW(DC$422:DC$470)-ROW(DC$422)+1)/(DC$422:DC$470&lt;&gt;""),ROWS(DI$1:DI4))),"")</f>
        <v>4</v>
      </c>
      <c r="DJ425" s="165">
        <f>IFERROR(INDEX(DD$422:DD$470,_xlfn.AGGREGATE(15,6,(ROW(DD$422:DD$470)-ROW(DD$422)+1)/(DD$422:DD$470&lt;&gt;""),ROWS(DJ$1:DJ4))),"")</f>
        <v>301.2972972972974</v>
      </c>
      <c r="DK425" s="166">
        <f t="shared" si="226"/>
        <v>425</v>
      </c>
      <c r="DL425" s="164">
        <f>IFERROR(INDEX(DE$422:DE$470,_xlfn.AGGREGATE(15,6,(ROW(DE$422:DE$470)-ROW(DE$422)+1)/(DE$422:DE$470&lt;&gt;""),ROWS(DL$1:DL4))),"")</f>
        <v>4</v>
      </c>
      <c r="DM425" s="165">
        <f>IFERROR(INDEX(DF$422:DF$470,_xlfn.AGGREGATE(15,6,(ROW(DF$422:DF$470)-ROW(DF$422)+1)/(DF$422:DF$470&lt;&gt;""),ROWS(DM$1:DM4))),"")</f>
        <v>448.51949196436749</v>
      </c>
      <c r="DN425" s="166">
        <f t="shared" si="227"/>
        <v>425</v>
      </c>
      <c r="DO425" s="164">
        <f>IFERROR(INDEX(DG$422:DG$470,_xlfn.AGGREGATE(15,6,(ROW(DG$422:DG$470)-ROW(DG$422)+1)/(DG$422:DG$470&lt;&gt;""),ROWS(DO$1:DO4))),"")</f>
        <v>4</v>
      </c>
      <c r="DP425" s="165">
        <f>IFERROR(INDEX(DH$422:DH$470,_xlfn.AGGREGATE(15,6,(ROW(DH$422:DH$470)-ROW(DH$422)+1)/(DH$422:DH$470&lt;&gt;""),ROWS(DP$1:DP4))),"")</f>
        <v>595.74168663143757</v>
      </c>
      <c r="DQ425" s="166">
        <f t="shared" si="228"/>
        <v>425</v>
      </c>
      <c r="DV425" s="145">
        <v>2018</v>
      </c>
      <c r="DW425" s="235">
        <f t="shared" ca="1" si="212"/>
        <v>448.51458887422064</v>
      </c>
      <c r="EA425" s="33" t="s">
        <v>85</v>
      </c>
      <c r="EB425" s="33" t="s">
        <v>84</v>
      </c>
      <c r="EC425" s="33" t="s">
        <v>82</v>
      </c>
      <c r="ED425" s="33" t="s">
        <v>83</v>
      </c>
      <c r="EE425" s="33"/>
    </row>
    <row r="426" spans="1:135" ht="13.8" x14ac:dyDescent="0.45">
      <c r="A426" s="148" t="s">
        <v>88</v>
      </c>
      <c r="B426" s="128">
        <v>2016</v>
      </c>
      <c r="C426" s="244">
        <f>'Total MSW Summaries (Archive)'!I7</f>
        <v>574.40475152494184</v>
      </c>
      <c r="D426" s="244">
        <f>'Total MSW Summaries (Archive)'!BE7</f>
        <v>286.37837837837844</v>
      </c>
      <c r="E426" s="151"/>
      <c r="F426" s="152"/>
      <c r="G426" s="159"/>
      <c r="H426" s="151"/>
      <c r="I426" s="152"/>
      <c r="J426" s="159"/>
      <c r="K426" s="151"/>
      <c r="L426" s="152"/>
      <c r="M426" s="151"/>
      <c r="N426" s="29" t="s">
        <v>119</v>
      </c>
      <c r="O426" s="120"/>
      <c r="P426" s="120"/>
      <c r="Q426" s="120"/>
      <c r="R426" s="29">
        <v>2</v>
      </c>
      <c r="S426" s="238">
        <f t="shared" si="213"/>
        <v>286.37837837837844</v>
      </c>
      <c r="T426" s="238">
        <f t="shared" si="214"/>
        <v>574.40475152494184</v>
      </c>
      <c r="U426" s="238">
        <f t="shared" si="215"/>
        <v>144.01318657328167</v>
      </c>
      <c r="V426" s="29"/>
      <c r="W426" s="238">
        <f t="shared" si="216"/>
        <v>286.37837837837844</v>
      </c>
      <c r="X426" s="238">
        <f t="shared" si="217"/>
        <v>430.39156495166014</v>
      </c>
      <c r="Y426" s="238">
        <f t="shared" si="218"/>
        <v>574.40475152494184</v>
      </c>
      <c r="AA426" s="138"/>
      <c r="AB426" s="138"/>
      <c r="AC426" s="138"/>
      <c r="AD426" s="138"/>
      <c r="AE426" s="138"/>
      <c r="AF426" s="138"/>
      <c r="AG426" s="138"/>
      <c r="AH426" s="138"/>
      <c r="AI426" s="138"/>
      <c r="AJ426" s="138"/>
      <c r="AK426" s="138"/>
      <c r="AL426" s="138"/>
      <c r="AM426" s="138"/>
      <c r="AN426" s="138"/>
      <c r="BR426" s="180">
        <v>2014</v>
      </c>
      <c r="BS426" s="22">
        <v>0</v>
      </c>
      <c r="BT426" s="181">
        <f t="shared" ref="BT426:BT472" si="229">IF($BS$422="High",BS426*$BT$423,IF($BS$422="Medium",$BT$424*BS426,IF($BS$422="Low",$BT$425*BS426)))</f>
        <v>0</v>
      </c>
      <c r="BU426" s="182">
        <f t="shared" ref="BU426:BU472" si="230">IF($BS$422="High",$BU$423,IF($BS$422="Medium",$BU$424,IF($BS$422="Low",BU425)))</f>
        <v>421.54696731550206</v>
      </c>
      <c r="BV426" s="242">
        <f t="shared" ref="BV426:BV472" si="231">BT426+BU426</f>
        <v>421.54696731550206</v>
      </c>
      <c r="BY426" s="180">
        <v>2014</v>
      </c>
      <c r="BZ426" s="22">
        <v>0</v>
      </c>
      <c r="CA426" s="181">
        <f t="shared" ref="CA426:CA472" ca="1" si="232">IF($BZ$422="High",BZ426^2*$CA$423,IF($BZ$422="Medium",BZ426^2*$CA$424,IF($BZ$422="Low",BZ426^2*$CA$425)))</f>
        <v>0</v>
      </c>
      <c r="CB426" s="181">
        <f t="shared" ref="CB426:CB472" ca="1" si="233">IF($BZ$422="High",BZ426*$CB$423,IF($BZ$422="Medium",BZ426*$CB$424,IF($BZ$422="Low",BZ426*$CB$425)))</f>
        <v>0</v>
      </c>
      <c r="CC426" s="182">
        <f ca="1">IF($BZ$422="High",$CC$423,IF($BZ$422="Medium",$CC$424,IF($BZ$422="Low",$CC$425)))</f>
        <v>410.84078456287187</v>
      </c>
      <c r="CD426" s="242">
        <f t="shared" ref="CD426:CD472" ca="1" si="234">CA426+CB426+CC426</f>
        <v>410.84078456287187</v>
      </c>
      <c r="CG426" s="180">
        <v>2014</v>
      </c>
      <c r="CH426" s="22">
        <v>0</v>
      </c>
      <c r="CI426" s="181">
        <f t="shared" ref="CI426:CI472" ca="1" si="235">IF($CH$422="High",CH426^3*$CI$423,IF($CH$422="Medium",CH426^3*$CI$424,IF($CH$422="Low",CH426^3*$CI$425)))</f>
        <v>0</v>
      </c>
      <c r="CJ426" s="181">
        <f t="shared" ref="CJ426:CJ472" ca="1" si="236">IF($CH$422="High",CH426^2*$CJ$423,IF($CH$422="Medium",CH426^2*$CJ$424,IF($CH$422="Low",CH426^2*$CJ$425)))</f>
        <v>0</v>
      </c>
      <c r="CK426" s="181">
        <f t="shared" ref="CK426:CK472" ca="1" si="237">IF($CH$422="High",CH426*$CK$423,IF($CH$422="Medium",CH426*$CK$424,IF($CH$422="Low",CH426*$CK$425)))</f>
        <v>0</v>
      </c>
      <c r="CL426" s="182">
        <f t="shared" ref="CL426:CL472" ca="1" si="238">IF($CH$422="High",$CL$423,IF($CH$422="Medium",$CL$424,IF($CH$422="Low",$CL$425)))</f>
        <v>411.87284319901585</v>
      </c>
      <c r="CM426" s="242">
        <f t="shared" ref="CM426:CM472" ca="1" si="239">CI426+CJ426+CK426+CL426</f>
        <v>411.87284319901585</v>
      </c>
      <c r="CP426" s="180">
        <v>2014</v>
      </c>
      <c r="CQ426" s="22">
        <v>0</v>
      </c>
      <c r="CR426" s="181">
        <f t="shared" ref="CR426:CR472" ca="1" si="240">IF($CQ$422="High",$CR$423,IF($CQ$422="Medium",$CR$424,IF($CQ$422="Low",$CR$425)))</f>
        <v>429.26261557387249</v>
      </c>
      <c r="CS426" s="182">
        <f t="shared" ref="CS426:CS472" ca="1" si="241">IF($CQ$422="High",EXP(1)^($CS$423*CQ426),IF($CQ$422="Medium",EXP(1)^($CS$424*CQ426),IF($CQ$422="Low",EXP(1)^($CS$425*CQ426))))</f>
        <v>1</v>
      </c>
      <c r="CT426" s="242">
        <f t="shared" ref="CT426:CT472" ca="1" si="242">(CR426*CS426)</f>
        <v>429.26261557387249</v>
      </c>
      <c r="CZ426" s="164" t="b">
        <f t="shared" si="219"/>
        <v>1</v>
      </c>
      <c r="DA426" s="165" t="b">
        <f t="shared" si="219"/>
        <v>1</v>
      </c>
      <c r="DB426" s="166" t="b">
        <f t="shared" si="219"/>
        <v>1</v>
      </c>
      <c r="DC426" s="164">
        <f t="shared" si="220"/>
        <v>2</v>
      </c>
      <c r="DD426" s="166">
        <f t="shared" si="221"/>
        <v>286.37837837837844</v>
      </c>
      <c r="DE426" s="164">
        <f t="shared" si="222"/>
        <v>2</v>
      </c>
      <c r="DF426" s="166">
        <f t="shared" si="223"/>
        <v>430.39156495166014</v>
      </c>
      <c r="DG426" s="164">
        <f t="shared" si="224"/>
        <v>2</v>
      </c>
      <c r="DH426" s="166">
        <f t="shared" si="225"/>
        <v>574.40475152494184</v>
      </c>
      <c r="DI426" s="164">
        <f>IFERROR(INDEX(DC$422:DC$470,_xlfn.AGGREGATE(15,6,(ROW(DC$422:DC$470)-ROW(DC$422)+1)/(DC$422:DC$470&lt;&gt;""),ROWS(DI$1:DI5))),"")</f>
        <v>5</v>
      </c>
      <c r="DJ426" s="165">
        <f>IFERROR(INDEX(DD$422:DD$470,_xlfn.AGGREGATE(15,6,(ROW(DD$422:DD$470)-ROW(DD$422)+1)/(DD$422:DD$470&lt;&gt;""),ROWS(DJ$1:DJ5))),"")</f>
        <v>308.75675675675689</v>
      </c>
      <c r="DK426" s="166">
        <f t="shared" si="226"/>
        <v>426</v>
      </c>
      <c r="DL426" s="164">
        <f>IFERROR(INDEX(DE$422:DE$470,_xlfn.AGGREGATE(15,6,(ROW(DE$422:DE$470)-ROW(DE$422)+1)/(DE$422:DE$470&lt;&gt;""),ROWS(DL$1:DL5))),"")</f>
        <v>5</v>
      </c>
      <c r="DM426" s="165">
        <f>IFERROR(INDEX(DF$422:DF$470,_xlfn.AGGREGATE(15,6,(ROW(DF$422:DF$470)-ROW(DF$422)+1)/(DF$422:DF$470&lt;&gt;""),ROWS(DM$1:DM5))),"")</f>
        <v>457.45856553861796</v>
      </c>
      <c r="DN426" s="166">
        <f t="shared" si="227"/>
        <v>426</v>
      </c>
      <c r="DO426" s="164">
        <f>IFERROR(INDEX(DG$422:DG$470,_xlfn.AGGREGATE(15,6,(ROW(DG$422:DG$470)-ROW(DG$422)+1)/(DG$422:DG$470&lt;&gt;""),ROWS(DO$1:DO5))),"")</f>
        <v>5</v>
      </c>
      <c r="DP426" s="165">
        <f>IFERROR(INDEX(DH$422:DH$470,_xlfn.AGGREGATE(15,6,(ROW(DH$422:DH$470)-ROW(DH$422)+1)/(DH$422:DH$470&lt;&gt;""),ROWS(DP$1:DP5))),"")</f>
        <v>606.16037432047904</v>
      </c>
      <c r="DQ426" s="166">
        <f t="shared" si="228"/>
        <v>426</v>
      </c>
      <c r="DV426" s="145">
        <v>2019</v>
      </c>
      <c r="DW426" s="235">
        <f t="shared" ca="1" si="212"/>
        <v>457.48297767362789</v>
      </c>
      <c r="DZ426" s="135" t="s">
        <v>92</v>
      </c>
      <c r="EA426" s="33">
        <f ca="1">IF($EA$420="Linear",0,IF($EA$420="2nd Poly",0,IF($EA$420="3rd Poly",CI423,IF($EA$420="Exp",0))))</f>
        <v>-1.1497979457929289E-3</v>
      </c>
      <c r="EB426" s="33">
        <f ca="1">IF($EA$420="Linear",0,IF($EA$420="2nd Poly",CA423,IF($EA$420="3rd Poly",CJ423,IF($EA$420="Exp",0))))</f>
        <v>-6.6470866245462779E-2</v>
      </c>
      <c r="EC426" s="33">
        <f t="shared" ref="EC426:ED428" ca="1" si="243">IF($EA$420="Linear",BT423,IF($EA$420="2nd Poly",CB423,IF($EA$420="3rd Poly",CK423,IF($EA$420="Exp",0))))</f>
        <v>11.145693610257524</v>
      </c>
      <c r="ED426" s="33">
        <f t="shared" ca="1" si="243"/>
        <v>552.2862269385721</v>
      </c>
      <c r="EE426" s="33" t="str">
        <f>IF($EA$420="Linear","High",IF($EA$420="2nd Poly","High",IF($EA$420="3rd Poly","High","N/A")))</f>
        <v>High</v>
      </c>
    </row>
    <row r="427" spans="1:135" ht="13.8" x14ac:dyDescent="0.45">
      <c r="A427" s="262" t="s">
        <v>90</v>
      </c>
      <c r="B427" s="128">
        <v>2017</v>
      </c>
      <c r="C427" s="244">
        <f>'Total MSW Summaries (Archive)'!I8</f>
        <v>585.13900663794925</v>
      </c>
      <c r="D427" s="244">
        <f>'Total MSW Summaries (Archive)'!BE8</f>
        <v>293.83783783783792</v>
      </c>
      <c r="E427" s="169"/>
      <c r="F427" s="170"/>
      <c r="G427" s="168"/>
      <c r="H427" s="169"/>
      <c r="I427" s="170"/>
      <c r="J427" s="168"/>
      <c r="K427" s="169"/>
      <c r="L427" s="170"/>
      <c r="M427" s="169"/>
      <c r="N427" s="29" t="s">
        <v>119</v>
      </c>
      <c r="O427" s="120"/>
      <c r="P427" s="120"/>
      <c r="Q427" s="120"/>
      <c r="R427" s="29">
        <v>3</v>
      </c>
      <c r="S427" s="238">
        <f t="shared" si="213"/>
        <v>293.83783783783792</v>
      </c>
      <c r="T427" s="238">
        <f t="shared" si="214"/>
        <v>585.13900663794925</v>
      </c>
      <c r="U427" s="238">
        <f t="shared" si="215"/>
        <v>145.65058440005564</v>
      </c>
      <c r="V427" s="29"/>
      <c r="W427" s="238">
        <f t="shared" si="216"/>
        <v>293.83783783783792</v>
      </c>
      <c r="X427" s="238">
        <f t="shared" si="217"/>
        <v>439.48842223789359</v>
      </c>
      <c r="Y427" s="238">
        <f t="shared" si="218"/>
        <v>585.13900663794925</v>
      </c>
      <c r="AA427" s="138"/>
      <c r="AB427" s="138"/>
      <c r="AC427" s="138"/>
      <c r="AD427" s="138"/>
      <c r="AE427" s="138"/>
      <c r="AF427" s="138"/>
      <c r="AG427" s="138"/>
      <c r="AH427" s="138"/>
      <c r="AI427" s="138"/>
      <c r="AJ427" s="138"/>
      <c r="AK427" s="138"/>
      <c r="AL427" s="138"/>
      <c r="AM427" s="138"/>
      <c r="AN427" s="138"/>
      <c r="BR427" s="180">
        <v>2015</v>
      </c>
      <c r="BS427" s="22">
        <v>1</v>
      </c>
      <c r="BT427" s="198">
        <f t="shared" si="229"/>
        <v>7.7148497914440979</v>
      </c>
      <c r="BU427" s="276">
        <f t="shared" si="230"/>
        <v>421.54696731550206</v>
      </c>
      <c r="BV427" s="241">
        <f t="shared" si="231"/>
        <v>429.26181710694618</v>
      </c>
      <c r="BY427" s="180">
        <v>2015</v>
      </c>
      <c r="BZ427" s="22">
        <v>1</v>
      </c>
      <c r="CA427" s="198">
        <f t="shared" ca="1" si="232"/>
        <v>-6.0830583821762402E-2</v>
      </c>
      <c r="CB427" s="198">
        <f t="shared" ca="1" si="233"/>
        <v>9.6614284737404965</v>
      </c>
      <c r="CC427" s="276">
        <f t="shared" ref="CC427:CC472" ca="1" si="244">CC426</f>
        <v>410.84078456287187</v>
      </c>
      <c r="CD427" s="241">
        <f t="shared" ca="1" si="234"/>
        <v>420.44138245279061</v>
      </c>
      <c r="CG427" s="180">
        <v>2015</v>
      </c>
      <c r="CH427" s="22">
        <v>1</v>
      </c>
      <c r="CI427" s="198">
        <f t="shared" ca="1" si="235"/>
        <v>-5.7489897289656746E-4</v>
      </c>
      <c r="CJ427" s="198">
        <f t="shared" ca="1" si="236"/>
        <v>-3.3235433122727094E-2</v>
      </c>
      <c r="CK427" s="198">
        <f t="shared" ca="1" si="237"/>
        <v>9.3025765348584564</v>
      </c>
      <c r="CL427" s="276">
        <f t="shared" ca="1" si="238"/>
        <v>411.87284319901585</v>
      </c>
      <c r="CM427" s="241">
        <f t="shared" ca="1" si="239"/>
        <v>421.14160940177868</v>
      </c>
      <c r="CP427" s="180">
        <v>2015</v>
      </c>
      <c r="CQ427" s="22">
        <v>1</v>
      </c>
      <c r="CR427" s="198">
        <f t="shared" ca="1" si="240"/>
        <v>429.26261557387249</v>
      </c>
      <c r="CS427" s="276">
        <f t="shared" ca="1" si="241"/>
        <v>1.0145043669655867</v>
      </c>
      <c r="CT427" s="241">
        <f t="shared" ca="1" si="242"/>
        <v>435.48879807476351</v>
      </c>
      <c r="CZ427" s="164" t="b">
        <f t="shared" si="219"/>
        <v>1</v>
      </c>
      <c r="DA427" s="165" t="b">
        <f t="shared" si="219"/>
        <v>1</v>
      </c>
      <c r="DB427" s="166" t="b">
        <f t="shared" si="219"/>
        <v>1</v>
      </c>
      <c r="DC427" s="164">
        <f t="shared" si="220"/>
        <v>3</v>
      </c>
      <c r="DD427" s="166">
        <f t="shared" si="221"/>
        <v>293.83783783783792</v>
      </c>
      <c r="DE427" s="164">
        <f t="shared" si="222"/>
        <v>3</v>
      </c>
      <c r="DF427" s="166">
        <f t="shared" si="223"/>
        <v>439.48842223789359</v>
      </c>
      <c r="DG427" s="164">
        <f t="shared" si="224"/>
        <v>3</v>
      </c>
      <c r="DH427" s="166">
        <f t="shared" si="225"/>
        <v>585.13900663794925</v>
      </c>
      <c r="DI427" s="164">
        <f>IFERROR(INDEX(DC$422:DC$470,_xlfn.AGGREGATE(15,6,(ROW(DC$422:DC$470)-ROW(DC$422)+1)/(DC$422:DC$470&lt;&gt;""),ROWS(DI$1:DI6))),"")</f>
        <v>6</v>
      </c>
      <c r="DJ427" s="165">
        <f>IFERROR(INDEX(DD$422:DD$470,_xlfn.AGGREGATE(15,6,(ROW(DD$422:DD$470)-ROW(DD$422)+1)/(DD$422:DD$470&lt;&gt;""),ROWS(DJ$1:DJ6))),"")</f>
        <v>316.21621621621631</v>
      </c>
      <c r="DK427" s="166">
        <f t="shared" si="226"/>
        <v>427</v>
      </c>
      <c r="DL427" s="164">
        <f>IFERROR(INDEX(DE$422:DE$470,_xlfn.AGGREGATE(15,6,(ROW(DE$422:DE$470)-ROW(DE$422)+1)/(DE$422:DE$470&lt;&gt;""),ROWS(DL$1:DL6))),"")</f>
        <v>6</v>
      </c>
      <c r="DM427" s="165">
        <f>IFERROR(INDEX(DF$422:DF$470,_xlfn.AGGREGATE(15,6,(ROW(DF$422:DF$470)-ROW(DF$422)+1)/(DF$422:DF$470&lt;&gt;""),ROWS(DM$1:DM6))),"")</f>
        <v>466.28484767684381</v>
      </c>
      <c r="DN427" s="166">
        <f t="shared" si="227"/>
        <v>427</v>
      </c>
      <c r="DO427" s="164">
        <f>IFERROR(INDEX(DG$422:DG$470,_xlfn.AGGREGATE(15,6,(ROW(DG$422:DG$470)-ROW(DG$422)+1)/(DG$422:DG$470&lt;&gt;""),ROWS(DO$1:DO6))),"")</f>
        <v>6</v>
      </c>
      <c r="DP427" s="165">
        <f>IFERROR(INDEX(DH$422:DH$470,_xlfn.AGGREGATE(15,6,(ROW(DH$422:DH$470)-ROW(DH$422)+1)/(DH$422:DH$470&lt;&gt;""),ROWS(DP$1:DP6))),"")</f>
        <v>616.35347913747137</v>
      </c>
      <c r="DQ427" s="166">
        <f t="shared" si="228"/>
        <v>427</v>
      </c>
      <c r="DV427" s="145">
        <v>2020</v>
      </c>
      <c r="DW427" s="235">
        <f t="shared" ca="1" si="212"/>
        <v>466.36764863760277</v>
      </c>
      <c r="DZ427" s="135" t="s">
        <v>92</v>
      </c>
      <c r="EA427" s="33">
        <f ca="1">IF($EA$420="Linear",0,IF($EA$420="2nd Poly",0,IF($EA$420="3rd Poly",CI424,IF($EA$420="Exp",0))))</f>
        <v>-5.7489897289656746E-4</v>
      </c>
      <c r="EB427" s="33">
        <f ca="1">IF($EA$420="Linear",0,IF($EA$420="2nd Poly",CA424,IF($EA$420="3rd Poly",CJ424,IF($EA$420="Exp",0))))</f>
        <v>-3.3235433122727094E-2</v>
      </c>
      <c r="EC427" s="33">
        <f t="shared" ca="1" si="243"/>
        <v>9.3025765348584564</v>
      </c>
      <c r="ED427" s="33">
        <f t="shared" ca="1" si="243"/>
        <v>411.87284319901585</v>
      </c>
      <c r="EE427" s="33" t="str">
        <f>IF($EA$420="Linear","Medium",IF($EA$420="2nd Poly","Medium",IF($EA$420="3rd Poly","Medium","N/A")))</f>
        <v>Medium</v>
      </c>
    </row>
    <row r="428" spans="1:135" ht="13.8" x14ac:dyDescent="0.45">
      <c r="A428" s="148" t="s">
        <v>80</v>
      </c>
      <c r="B428" s="128">
        <v>2018</v>
      </c>
      <c r="C428" s="244">
        <f>'Total MSW Summaries (Archive)'!I9</f>
        <v>595.74168663143757</v>
      </c>
      <c r="D428" s="244">
        <f>'Total MSW Summaries (Archive)'!BE9</f>
        <v>301.2972972972974</v>
      </c>
      <c r="E428" s="151"/>
      <c r="F428" s="152"/>
      <c r="G428" s="159"/>
      <c r="H428" s="151"/>
      <c r="I428" s="152"/>
      <c r="J428" s="159"/>
      <c r="K428" s="151"/>
      <c r="L428" s="152"/>
      <c r="M428" s="151"/>
      <c r="N428" s="29" t="s">
        <v>119</v>
      </c>
      <c r="O428" s="120"/>
      <c r="P428" s="120"/>
      <c r="Q428" s="120"/>
      <c r="R428" s="29">
        <v>4</v>
      </c>
      <c r="S428" s="238">
        <f t="shared" si="213"/>
        <v>301.2972972972974</v>
      </c>
      <c r="T428" s="238">
        <f t="shared" si="214"/>
        <v>595.74168663143757</v>
      </c>
      <c r="U428" s="238">
        <f t="shared" si="215"/>
        <v>147.22219466707008</v>
      </c>
      <c r="V428" s="20"/>
      <c r="W428" s="238">
        <f t="shared" si="216"/>
        <v>301.2972972972974</v>
      </c>
      <c r="X428" s="238">
        <f t="shared" si="217"/>
        <v>448.51949196436749</v>
      </c>
      <c r="Y428" s="238">
        <f t="shared" si="218"/>
        <v>595.74168663143757</v>
      </c>
      <c r="AA428" s="138"/>
      <c r="AB428" s="138"/>
      <c r="AC428" s="138"/>
      <c r="AD428" s="138"/>
      <c r="AE428" s="138"/>
      <c r="AF428" s="138"/>
      <c r="AG428" s="138"/>
      <c r="AH428" s="138"/>
      <c r="AI428" s="138"/>
      <c r="AJ428" s="138"/>
      <c r="AK428" s="138"/>
      <c r="AL428" s="138"/>
      <c r="AM428" s="138"/>
      <c r="AN428" s="138"/>
      <c r="BR428" s="180">
        <v>2016</v>
      </c>
      <c r="BS428" s="22">
        <v>2</v>
      </c>
      <c r="BT428" s="198">
        <f t="shared" si="229"/>
        <v>15.429699582888196</v>
      </c>
      <c r="BU428" s="276">
        <f t="shared" si="230"/>
        <v>421.54696731550206</v>
      </c>
      <c r="BV428" s="241">
        <f t="shared" si="231"/>
        <v>436.97666689839025</v>
      </c>
      <c r="BY428" s="180">
        <v>2016</v>
      </c>
      <c r="BZ428" s="22">
        <v>2</v>
      </c>
      <c r="CA428" s="198">
        <f t="shared" ca="1" si="232"/>
        <v>-0.24332233528704961</v>
      </c>
      <c r="CB428" s="198">
        <f t="shared" ca="1" si="233"/>
        <v>19.322856947480993</v>
      </c>
      <c r="CC428" s="276">
        <f t="shared" ca="1" si="244"/>
        <v>410.84078456287187</v>
      </c>
      <c r="CD428" s="241">
        <f t="shared" ca="1" si="234"/>
        <v>429.9203191750658</v>
      </c>
      <c r="CG428" s="180">
        <v>2016</v>
      </c>
      <c r="CH428" s="22">
        <v>2</v>
      </c>
      <c r="CI428" s="198">
        <f t="shared" ca="1" si="235"/>
        <v>-4.5991917831725397E-3</v>
      </c>
      <c r="CJ428" s="198">
        <f t="shared" ca="1" si="236"/>
        <v>-0.13294173249090838</v>
      </c>
      <c r="CK428" s="198">
        <f t="shared" ca="1" si="237"/>
        <v>18.605153069716913</v>
      </c>
      <c r="CL428" s="276">
        <f t="shared" ca="1" si="238"/>
        <v>411.87284319901585</v>
      </c>
      <c r="CM428" s="241">
        <f t="shared" ca="1" si="239"/>
        <v>430.34045534445869</v>
      </c>
      <c r="CP428" s="180">
        <v>2016</v>
      </c>
      <c r="CQ428" s="22">
        <v>2</v>
      </c>
      <c r="CR428" s="198">
        <f t="shared" ca="1" si="240"/>
        <v>429.26261557387249</v>
      </c>
      <c r="CS428" s="276">
        <f t="shared" ca="1" si="241"/>
        <v>1.0292191105922455</v>
      </c>
      <c r="CT428" s="241">
        <f t="shared" ca="1" si="242"/>
        <v>441.80528741144201</v>
      </c>
      <c r="CZ428" s="164" t="b">
        <f t="shared" si="219"/>
        <v>1</v>
      </c>
      <c r="DA428" s="165" t="b">
        <f t="shared" si="219"/>
        <v>1</v>
      </c>
      <c r="DB428" s="166" t="b">
        <f t="shared" si="219"/>
        <v>1</v>
      </c>
      <c r="DC428" s="164">
        <f t="shared" si="220"/>
        <v>4</v>
      </c>
      <c r="DD428" s="166">
        <f t="shared" si="221"/>
        <v>301.2972972972974</v>
      </c>
      <c r="DE428" s="164">
        <f t="shared" si="222"/>
        <v>4</v>
      </c>
      <c r="DF428" s="166">
        <f t="shared" si="223"/>
        <v>448.51949196436749</v>
      </c>
      <c r="DG428" s="164">
        <f t="shared" si="224"/>
        <v>4</v>
      </c>
      <c r="DH428" s="166">
        <f t="shared" si="225"/>
        <v>595.74168663143757</v>
      </c>
      <c r="DI428" s="164">
        <f>IFERROR(INDEX(DC$422:DC$470,_xlfn.AGGREGATE(15,6,(ROW(DC$422:DC$470)-ROW(DC$422)+1)/(DC$422:DC$470&lt;&gt;""),ROWS(DI$1:DI7))),"")</f>
        <v>7</v>
      </c>
      <c r="DJ428" s="165">
        <f>IFERROR(INDEX(DD$422:DD$470,_xlfn.AGGREGATE(15,6,(ROW(DD$422:DD$470)-ROW(DD$422)+1)/(DD$422:DD$470&lt;&gt;""),ROWS(DJ$1:DJ7))),"")</f>
        <v>323.67567567567585</v>
      </c>
      <c r="DK428" s="166">
        <f t="shared" si="226"/>
        <v>428</v>
      </c>
      <c r="DL428" s="164">
        <f>IFERROR(INDEX(DE$422:DE$470,_xlfn.AGGREGATE(15,6,(ROW(DE$422:DE$470)-ROW(DE$422)+1)/(DE$422:DE$470&lt;&gt;""),ROWS(DL$1:DL7))),"")</f>
        <v>7</v>
      </c>
      <c r="DM428" s="165">
        <f>IFERROR(INDEX(DF$422:DF$470,_xlfn.AGGREGATE(15,6,(ROW(DF$422:DF$470)-ROW(DF$422)+1)/(DF$422:DF$470&lt;&gt;""),ROWS(DM$1:DM7))),"")</f>
        <v>474.98345922974102</v>
      </c>
      <c r="DN428" s="166">
        <f t="shared" si="227"/>
        <v>428</v>
      </c>
      <c r="DO428" s="164">
        <f>IFERROR(INDEX(DG$422:DG$470,_xlfn.AGGREGATE(15,6,(ROW(DG$422:DG$470)-ROW(DG$422)+1)/(DG$422:DG$470&lt;&gt;""),ROWS(DO$1:DO7))),"")</f>
        <v>7</v>
      </c>
      <c r="DP428" s="165">
        <f>IFERROR(INDEX(DH$422:DH$470,_xlfn.AGGREGATE(15,6,(ROW(DH$422:DH$470)-ROW(DH$422)+1)/(DH$422:DH$470&lt;&gt;""),ROWS(DP$1:DP7))),"")</f>
        <v>626.29124278380618</v>
      </c>
      <c r="DQ428" s="166">
        <f t="shared" si="228"/>
        <v>428</v>
      </c>
      <c r="DV428" s="145">
        <v>2021</v>
      </c>
      <c r="DW428" s="235">
        <f t="shared" ca="1" si="212"/>
        <v>475.16515237230789</v>
      </c>
      <c r="DZ428" s="135" t="s">
        <v>92</v>
      </c>
      <c r="EA428" s="33">
        <f ca="1">IF($EA$420="Linear",0,IF($EA$420="2nd Poly",0,IF($EA$420="3rd Poly",CI425,IF($EA$420="Exp",0))))</f>
        <v>-1.8427096208435788E-16</v>
      </c>
      <c r="EB428" s="33">
        <f ca="1">IF($EA$420="Linear",0,IF($EA$420="2nd Poly",CA425,IF($EA$420="3rd Poly",CJ425,IF($EA$420="Exp",0))))</f>
        <v>7.863493714391156E-15</v>
      </c>
      <c r="EC428" s="33">
        <f t="shared" ca="1" si="243"/>
        <v>7.4594594594593921</v>
      </c>
      <c r="ED428" s="33">
        <f t="shared" ca="1" si="243"/>
        <v>271.45945945945982</v>
      </c>
      <c r="EE428" s="33" t="str">
        <f>IF($EA$420="Linear","Low",IF($EA$420="2nd Poly","Low",IF($EA$420="3rd Poly","Low","N/A")))</f>
        <v>Low</v>
      </c>
    </row>
    <row r="429" spans="1:135" ht="13.8" x14ac:dyDescent="0.45">
      <c r="A429" s="148" t="s">
        <v>88</v>
      </c>
      <c r="B429" s="128">
        <v>2019</v>
      </c>
      <c r="C429" s="244">
        <f>'Total MSW Summaries (Archive)'!I10</f>
        <v>606.16037432047904</v>
      </c>
      <c r="D429" s="244">
        <f>'Total MSW Summaries (Archive)'!BE10</f>
        <v>308.75675675675689</v>
      </c>
      <c r="E429" s="151"/>
      <c r="F429" s="190"/>
      <c r="G429" s="159"/>
      <c r="H429" s="151"/>
      <c r="I429" s="190"/>
      <c r="J429" s="159"/>
      <c r="K429" s="151"/>
      <c r="L429" s="190"/>
      <c r="M429" s="151"/>
      <c r="N429" s="29" t="s">
        <v>119</v>
      </c>
      <c r="O429" s="120"/>
      <c r="P429" s="120"/>
      <c r="Q429" s="120"/>
      <c r="R429" s="29">
        <v>5</v>
      </c>
      <c r="S429" s="238">
        <f t="shared" si="213"/>
        <v>308.75675675675689</v>
      </c>
      <c r="T429" s="238">
        <f t="shared" si="214"/>
        <v>606.16037432047904</v>
      </c>
      <c r="U429" s="238">
        <f t="shared" si="215"/>
        <v>148.70180878186108</v>
      </c>
      <c r="V429" s="20"/>
      <c r="W429" s="238">
        <f t="shared" si="216"/>
        <v>308.75675675675689</v>
      </c>
      <c r="X429" s="238">
        <f t="shared" si="217"/>
        <v>457.45856553861796</v>
      </c>
      <c r="Y429" s="238">
        <f t="shared" si="218"/>
        <v>606.16037432047904</v>
      </c>
      <c r="AA429" s="138"/>
      <c r="AB429" s="138"/>
      <c r="AC429" s="138"/>
      <c r="AD429" s="138"/>
      <c r="AE429" s="138"/>
      <c r="AF429" s="138"/>
      <c r="AG429" s="138"/>
      <c r="AH429" s="138"/>
      <c r="AI429" s="138"/>
      <c r="AJ429" s="138"/>
      <c r="AK429" s="138"/>
      <c r="AL429" s="138"/>
      <c r="AM429" s="138"/>
      <c r="AN429" s="138"/>
      <c r="BR429" s="180">
        <v>2017</v>
      </c>
      <c r="BS429" s="22">
        <v>3</v>
      </c>
      <c r="BT429" s="198">
        <f t="shared" si="229"/>
        <v>23.144549374332293</v>
      </c>
      <c r="BU429" s="276">
        <f t="shared" si="230"/>
        <v>421.54696731550206</v>
      </c>
      <c r="BV429" s="241">
        <f t="shared" si="231"/>
        <v>444.69151668983437</v>
      </c>
      <c r="BY429" s="180">
        <v>2017</v>
      </c>
      <c r="BZ429" s="22">
        <v>3</v>
      </c>
      <c r="CA429" s="198">
        <f t="shared" ca="1" si="232"/>
        <v>-0.54747525439586164</v>
      </c>
      <c r="CB429" s="198">
        <f t="shared" ca="1" si="233"/>
        <v>28.98428542122149</v>
      </c>
      <c r="CC429" s="276">
        <f t="shared" ca="1" si="244"/>
        <v>410.84078456287187</v>
      </c>
      <c r="CD429" s="241">
        <f t="shared" ca="1" si="234"/>
        <v>439.27759472969751</v>
      </c>
      <c r="CG429" s="180">
        <v>2017</v>
      </c>
      <c r="CH429" s="22">
        <v>3</v>
      </c>
      <c r="CI429" s="198">
        <f t="shared" ca="1" si="235"/>
        <v>-1.5522272268207321E-2</v>
      </c>
      <c r="CJ429" s="198">
        <f t="shared" ca="1" si="236"/>
        <v>-0.29911889810454384</v>
      </c>
      <c r="CK429" s="198">
        <f t="shared" ca="1" si="237"/>
        <v>27.907729604575369</v>
      </c>
      <c r="CL429" s="276">
        <f t="shared" ca="1" si="238"/>
        <v>411.87284319901585</v>
      </c>
      <c r="CM429" s="241">
        <f t="shared" ca="1" si="239"/>
        <v>439.46593163321847</v>
      </c>
      <c r="CP429" s="180">
        <v>2017</v>
      </c>
      <c r="CQ429" s="22">
        <v>3</v>
      </c>
      <c r="CR429" s="198">
        <f t="shared" ca="1" si="240"/>
        <v>429.26261557387249</v>
      </c>
      <c r="CS429" s="276">
        <f t="shared" ca="1" si="241"/>
        <v>1.0441472822602702</v>
      </c>
      <c r="CT429" s="241">
        <f t="shared" ca="1" si="242"/>
        <v>448.21339342739412</v>
      </c>
      <c r="CZ429" s="164" t="b">
        <f t="shared" si="219"/>
        <v>1</v>
      </c>
      <c r="DA429" s="165" t="b">
        <f t="shared" si="219"/>
        <v>1</v>
      </c>
      <c r="DB429" s="166" t="b">
        <f t="shared" si="219"/>
        <v>1</v>
      </c>
      <c r="DC429" s="164">
        <f t="shared" si="220"/>
        <v>5</v>
      </c>
      <c r="DD429" s="166">
        <f t="shared" si="221"/>
        <v>308.75675675675689</v>
      </c>
      <c r="DE429" s="164">
        <f t="shared" si="222"/>
        <v>5</v>
      </c>
      <c r="DF429" s="166">
        <f t="shared" si="223"/>
        <v>457.45856553861796</v>
      </c>
      <c r="DG429" s="164">
        <f t="shared" si="224"/>
        <v>5</v>
      </c>
      <c r="DH429" s="166">
        <f t="shared" si="225"/>
        <v>606.16037432047904</v>
      </c>
      <c r="DI429" s="164">
        <f>IFERROR(INDEX(DC$422:DC$470,_xlfn.AGGREGATE(15,6,(ROW(DC$422:DC$470)-ROW(DC$422)+1)/(DC$422:DC$470&lt;&gt;""),ROWS(DI$1:DI8))),"")</f>
        <v>8</v>
      </c>
      <c r="DJ429" s="165">
        <f>IFERROR(INDEX(DD$422:DD$470,_xlfn.AGGREGATE(15,6,(ROW(DD$422:DD$470)-ROW(DD$422)+1)/(DD$422:DD$470&lt;&gt;""),ROWS(DJ$1:DJ8))),"")</f>
        <v>331.13513513513533</v>
      </c>
      <c r="DK429" s="166">
        <f t="shared" si="226"/>
        <v>429</v>
      </c>
      <c r="DL429" s="164">
        <f>IFERROR(INDEX(DE$422:DE$470,_xlfn.AGGREGATE(15,6,(ROW(DE$422:DE$470)-ROW(DE$422)+1)/(DE$422:DE$470&lt;&gt;""),ROWS(DL$1:DL8))),"")</f>
        <v>8</v>
      </c>
      <c r="DM429" s="165">
        <f>IFERROR(INDEX(DF$422:DF$470,_xlfn.AGGREGATE(15,6,(ROW(DF$422:DF$470)-ROW(DF$422)+1)/(DF$422:DF$470&lt;&gt;""),ROWS(DM$1:DM8))),"")</f>
        <v>483.74268570371044</v>
      </c>
      <c r="DN429" s="166">
        <f t="shared" si="227"/>
        <v>429</v>
      </c>
      <c r="DO429" s="164">
        <f>IFERROR(INDEX(DG$422:DG$470,_xlfn.AGGREGATE(15,6,(ROW(DG$422:DG$470)-ROW(DG$422)+1)/(DG$422:DG$470&lt;&gt;""),ROWS(DO$1:DO8))),"")</f>
        <v>8</v>
      </c>
      <c r="DP429" s="165">
        <f>IFERROR(INDEX(DH$422:DH$470,_xlfn.AGGREGATE(15,6,(ROW(DH$422:DH$470)-ROW(DH$422)+1)/(DH$422:DH$470&lt;&gt;""),ROWS(DP$1:DP8))),"")</f>
        <v>636.35023627228554</v>
      </c>
      <c r="DQ429" s="166">
        <f t="shared" si="228"/>
        <v>429</v>
      </c>
      <c r="DV429" s="145">
        <v>2022</v>
      </c>
      <c r="DW429" s="235">
        <f t="shared" ca="1" si="212"/>
        <v>483.87203948390595</v>
      </c>
      <c r="DZ429" s="135"/>
      <c r="EA429" s="33"/>
      <c r="EB429" s="33"/>
      <c r="EC429" s="33"/>
      <c r="ED429" s="33"/>
      <c r="EE429" s="33"/>
    </row>
    <row r="430" spans="1:135" ht="13.8" x14ac:dyDescent="0.45">
      <c r="A430" s="148" t="s">
        <v>90</v>
      </c>
      <c r="B430" s="128">
        <v>2020</v>
      </c>
      <c r="C430" s="244">
        <f>'Total MSW Summaries (Archive)'!I11</f>
        <v>616.35347913747125</v>
      </c>
      <c r="D430" s="244">
        <f>'Total MSW Summaries (Archive)'!BE11</f>
        <v>316.21621621621637</v>
      </c>
      <c r="E430" s="169"/>
      <c r="F430" s="170"/>
      <c r="G430" s="168"/>
      <c r="H430" s="169"/>
      <c r="I430" s="170"/>
      <c r="J430" s="168"/>
      <c r="K430" s="169"/>
      <c r="L430" s="170"/>
      <c r="M430" s="169"/>
      <c r="N430" s="29" t="s">
        <v>119</v>
      </c>
      <c r="O430" s="120"/>
      <c r="P430" s="120"/>
      <c r="Q430" s="120"/>
      <c r="R430" s="29">
        <v>6</v>
      </c>
      <c r="S430" s="195">
        <f t="shared" si="213"/>
        <v>316.21621621621637</v>
      </c>
      <c r="T430" s="195">
        <f t="shared" si="214"/>
        <v>616.35347913747125</v>
      </c>
      <c r="U430" s="195">
        <f t="shared" si="215"/>
        <v>150.0686314606275</v>
      </c>
      <c r="V430" s="20"/>
      <c r="W430" s="238">
        <f t="shared" si="216"/>
        <v>316.21621621621631</v>
      </c>
      <c r="X430" s="238">
        <f t="shared" si="217"/>
        <v>466.28484767684381</v>
      </c>
      <c r="Y430" s="238">
        <f t="shared" si="218"/>
        <v>616.35347913747137</v>
      </c>
      <c r="AA430" s="138"/>
      <c r="AB430" s="138"/>
      <c r="AC430" s="138"/>
      <c r="AD430" s="138"/>
      <c r="AE430" s="138"/>
      <c r="AF430" s="138"/>
      <c r="AG430" s="138"/>
      <c r="AH430" s="138"/>
      <c r="AI430" s="138"/>
      <c r="AJ430" s="138"/>
      <c r="AK430" s="138"/>
      <c r="AL430" s="138"/>
      <c r="AM430" s="138"/>
      <c r="AN430" s="138"/>
      <c r="BR430" s="180">
        <v>2018</v>
      </c>
      <c r="BS430" s="22">
        <v>4</v>
      </c>
      <c r="BT430" s="198">
        <f t="shared" si="229"/>
        <v>30.859399165776392</v>
      </c>
      <c r="BU430" s="276">
        <f t="shared" si="230"/>
        <v>421.54696731550206</v>
      </c>
      <c r="BV430" s="241">
        <f t="shared" si="231"/>
        <v>452.40636648127844</v>
      </c>
      <c r="BY430" s="180">
        <v>2018</v>
      </c>
      <c r="BZ430" s="22">
        <v>4</v>
      </c>
      <c r="CA430" s="198">
        <f t="shared" ca="1" si="232"/>
        <v>-0.97328934114819843</v>
      </c>
      <c r="CB430" s="198">
        <f t="shared" ca="1" si="233"/>
        <v>38.645713894961986</v>
      </c>
      <c r="CC430" s="276">
        <f t="shared" ca="1" si="244"/>
        <v>410.84078456287187</v>
      </c>
      <c r="CD430" s="241">
        <f t="shared" ca="1" si="234"/>
        <v>448.51320911668569</v>
      </c>
      <c r="CG430" s="180">
        <v>2018</v>
      </c>
      <c r="CH430" s="22">
        <v>4</v>
      </c>
      <c r="CI430" s="198">
        <f t="shared" ca="1" si="235"/>
        <v>-3.6793534265380318E-2</v>
      </c>
      <c r="CJ430" s="198">
        <f t="shared" ca="1" si="236"/>
        <v>-0.53176692996363351</v>
      </c>
      <c r="CK430" s="198">
        <f t="shared" ca="1" si="237"/>
        <v>37.210306139433825</v>
      </c>
      <c r="CL430" s="276">
        <f t="shared" ca="1" si="238"/>
        <v>411.87284319901585</v>
      </c>
      <c r="CM430" s="241">
        <f t="shared" ca="1" si="239"/>
        <v>448.51458887422064</v>
      </c>
      <c r="CP430" s="180">
        <v>2018</v>
      </c>
      <c r="CQ430" s="22">
        <v>4</v>
      </c>
      <c r="CR430" s="198">
        <f t="shared" ca="1" si="240"/>
        <v>429.26261557387249</v>
      </c>
      <c r="CS430" s="276">
        <f t="shared" ca="1" si="241"/>
        <v>1.059291977608293</v>
      </c>
      <c r="CT430" s="241">
        <f t="shared" ca="1" si="242"/>
        <v>454.71444496455581</v>
      </c>
      <c r="CZ430" s="164" t="b">
        <f t="shared" si="219"/>
        <v>1</v>
      </c>
      <c r="DA430" s="165" t="b">
        <f t="shared" si="219"/>
        <v>1</v>
      </c>
      <c r="DB430" s="166" t="b">
        <f t="shared" si="219"/>
        <v>1</v>
      </c>
      <c r="DC430" s="164">
        <f t="shared" si="220"/>
        <v>6</v>
      </c>
      <c r="DD430" s="166">
        <f t="shared" si="221"/>
        <v>316.21621621621631</v>
      </c>
      <c r="DE430" s="164">
        <f t="shared" si="222"/>
        <v>6</v>
      </c>
      <c r="DF430" s="166">
        <f t="shared" si="223"/>
        <v>466.28484767684381</v>
      </c>
      <c r="DG430" s="164">
        <f t="shared" si="224"/>
        <v>6</v>
      </c>
      <c r="DH430" s="166">
        <f t="shared" si="225"/>
        <v>616.35347913747137</v>
      </c>
      <c r="DI430" s="164">
        <f>IFERROR(INDEX(DC$422:DC$470,_xlfn.AGGREGATE(15,6,(ROW(DC$422:DC$470)-ROW(DC$422)+1)/(DC$422:DC$470&lt;&gt;""),ROWS(DI$1:DI9))),"")</f>
        <v>9</v>
      </c>
      <c r="DJ430" s="165">
        <f>IFERROR(INDEX(DD$422:DD$470,_xlfn.AGGREGATE(15,6,(ROW(DD$422:DD$470)-ROW(DD$422)+1)/(DD$422:DD$470&lt;&gt;""),ROWS(DJ$1:DJ9))),"")</f>
        <v>338.59459459459481</v>
      </c>
      <c r="DK430" s="166">
        <f t="shared" si="226"/>
        <v>430</v>
      </c>
      <c r="DL430" s="164">
        <f>IFERROR(INDEX(DE$422:DE$470,_xlfn.AGGREGATE(15,6,(ROW(DE$422:DE$470)-ROW(DE$422)+1)/(DE$422:DE$470&lt;&gt;""),ROWS(DL$1:DL9))),"")</f>
        <v>9</v>
      </c>
      <c r="DM430" s="165">
        <f>IFERROR(INDEX(DF$422:DF$470,_xlfn.AGGREGATE(15,6,(ROW(DF$422:DF$470)-ROW(DF$422)+1)/(DF$422:DF$470&lt;&gt;""),ROWS(DM$1:DM9))),"")</f>
        <v>492.38270665840656</v>
      </c>
      <c r="DN430" s="166">
        <f t="shared" si="227"/>
        <v>430</v>
      </c>
      <c r="DO430" s="164">
        <f>IFERROR(INDEX(DG$422:DG$470,_xlfn.AGGREGATE(15,6,(ROW(DG$422:DG$470)-ROW(DG$422)+1)/(DG$422:DG$470&lt;&gt;""),ROWS(DO$1:DO9))),"")</f>
        <v>9</v>
      </c>
      <c r="DP430" s="165">
        <f>IFERROR(INDEX(DH$422:DH$470,_xlfn.AGGREGATE(15,6,(ROW(DH$422:DH$470)-ROW(DH$422)+1)/(DH$422:DH$470&lt;&gt;""),ROWS(DP$1:DP9))),"")</f>
        <v>646.17081872221831</v>
      </c>
      <c r="DQ430" s="166">
        <f t="shared" si="228"/>
        <v>430</v>
      </c>
      <c r="DV430" s="145">
        <v>2023</v>
      </c>
      <c r="DW430" s="235">
        <f t="shared" ca="1" si="212"/>
        <v>492.48486057855945</v>
      </c>
      <c r="DZ430" s="135"/>
      <c r="EA430" s="33" t="s">
        <v>86</v>
      </c>
      <c r="EB430" s="33" t="s">
        <v>87</v>
      </c>
      <c r="EC430" s="33"/>
      <c r="ED430" s="33"/>
      <c r="EE430" s="33"/>
    </row>
    <row r="431" spans="1:135" ht="13.8" x14ac:dyDescent="0.45">
      <c r="A431" s="148" t="s">
        <v>80</v>
      </c>
      <c r="B431" s="128">
        <v>2021</v>
      </c>
      <c r="C431" s="244">
        <f>'Total MSW Summaries (Archive)'!I12</f>
        <v>626.29124278380618</v>
      </c>
      <c r="D431" s="244">
        <f>'Total MSW Summaries (Archive)'!BE12</f>
        <v>323.67567567567585</v>
      </c>
      <c r="E431" s="151"/>
      <c r="F431" s="152"/>
      <c r="G431" s="159"/>
      <c r="H431" s="151"/>
      <c r="I431" s="152"/>
      <c r="J431" s="159"/>
      <c r="K431" s="151"/>
      <c r="L431" s="152"/>
      <c r="M431" s="151"/>
      <c r="N431" s="29" t="s">
        <v>119</v>
      </c>
      <c r="O431" s="120"/>
      <c r="P431" s="120"/>
      <c r="Q431" s="120"/>
      <c r="R431" s="29">
        <v>7</v>
      </c>
      <c r="S431" s="196">
        <f t="shared" si="213"/>
        <v>323.67567567567585</v>
      </c>
      <c r="T431" s="196">
        <f t="shared" si="214"/>
        <v>626.29124278380618</v>
      </c>
      <c r="U431" s="196">
        <f t="shared" si="215"/>
        <v>151.30778355406514</v>
      </c>
      <c r="V431" s="20"/>
      <c r="W431" s="238">
        <f t="shared" si="216"/>
        <v>323.67567567567585</v>
      </c>
      <c r="X431" s="238">
        <f t="shared" si="217"/>
        <v>474.98345922974102</v>
      </c>
      <c r="Y431" s="238">
        <f t="shared" si="218"/>
        <v>626.29124278380618</v>
      </c>
      <c r="AA431" s="138"/>
      <c r="AB431" s="138"/>
      <c r="AC431" s="138"/>
      <c r="AD431" s="138"/>
      <c r="AE431" s="138"/>
      <c r="AF431" s="138"/>
      <c r="AG431" s="138"/>
      <c r="AH431" s="138"/>
      <c r="AI431" s="138"/>
      <c r="AJ431" s="138"/>
      <c r="AK431" s="138"/>
      <c r="AL431" s="138"/>
      <c r="AM431" s="138"/>
      <c r="AN431" s="138"/>
      <c r="BR431" s="180">
        <v>2019</v>
      </c>
      <c r="BS431" s="22">
        <v>5</v>
      </c>
      <c r="BT431" s="198">
        <f t="shared" si="229"/>
        <v>38.57424895722049</v>
      </c>
      <c r="BU431" s="276">
        <f t="shared" si="230"/>
        <v>421.54696731550206</v>
      </c>
      <c r="BV431" s="283">
        <f t="shared" si="231"/>
        <v>460.12121627272256</v>
      </c>
      <c r="BY431" s="180">
        <v>2019</v>
      </c>
      <c r="BZ431" s="22">
        <v>5</v>
      </c>
      <c r="CA431" s="198">
        <f t="shared" ca="1" si="232"/>
        <v>-1.5207645955440601</v>
      </c>
      <c r="CB431" s="198">
        <f t="shared" ca="1" si="233"/>
        <v>48.307142368702486</v>
      </c>
      <c r="CC431" s="276">
        <f t="shared" ca="1" si="244"/>
        <v>410.84078456287187</v>
      </c>
      <c r="CD431" s="283">
        <f t="shared" ca="1" si="234"/>
        <v>457.62716233603032</v>
      </c>
      <c r="CG431" s="180">
        <v>2019</v>
      </c>
      <c r="CH431" s="22">
        <v>5</v>
      </c>
      <c r="CI431" s="198">
        <f t="shared" ca="1" si="235"/>
        <v>-7.186237161207093E-2</v>
      </c>
      <c r="CJ431" s="198">
        <f t="shared" ca="1" si="236"/>
        <v>-0.83088582806817735</v>
      </c>
      <c r="CK431" s="198">
        <f t="shared" ca="1" si="237"/>
        <v>46.512882674292285</v>
      </c>
      <c r="CL431" s="276">
        <f t="shared" ca="1" si="238"/>
        <v>411.87284319901585</v>
      </c>
      <c r="CM431" s="283">
        <f t="shared" ca="1" si="239"/>
        <v>457.48297767362789</v>
      </c>
      <c r="CP431" s="180">
        <v>2019</v>
      </c>
      <c r="CQ431" s="22">
        <v>5</v>
      </c>
      <c r="CR431" s="198">
        <f t="shared" ca="1" si="240"/>
        <v>429.26261557387249</v>
      </c>
      <c r="CS431" s="276">
        <f t="shared" ca="1" si="241"/>
        <v>1.0746563371752256</v>
      </c>
      <c r="CT431" s="283">
        <f t="shared" ca="1" si="242"/>
        <v>461.30979013887475</v>
      </c>
      <c r="CZ431" s="164" t="b">
        <f t="shared" si="219"/>
        <v>1</v>
      </c>
      <c r="DA431" s="165" t="b">
        <f t="shared" si="219"/>
        <v>1</v>
      </c>
      <c r="DB431" s="166" t="b">
        <f t="shared" si="219"/>
        <v>1</v>
      </c>
      <c r="DC431" s="164">
        <f t="shared" si="220"/>
        <v>7</v>
      </c>
      <c r="DD431" s="166">
        <f t="shared" si="221"/>
        <v>323.67567567567585</v>
      </c>
      <c r="DE431" s="164">
        <f t="shared" si="222"/>
        <v>7</v>
      </c>
      <c r="DF431" s="166">
        <f t="shared" si="223"/>
        <v>474.98345922974102</v>
      </c>
      <c r="DG431" s="164">
        <f t="shared" si="224"/>
        <v>7</v>
      </c>
      <c r="DH431" s="166">
        <f t="shared" si="225"/>
        <v>626.29124278380618</v>
      </c>
      <c r="DI431" s="164">
        <f>IFERROR(INDEX(DC$422:DC$470,_xlfn.AGGREGATE(15,6,(ROW(DC$422:DC$470)-ROW(DC$422)+1)/(DC$422:DC$470&lt;&gt;""),ROWS(DI$1:DI10))),"")</f>
        <v>10</v>
      </c>
      <c r="DJ431" s="165">
        <f>IFERROR(INDEX(DD$422:DD$470,_xlfn.AGGREGATE(15,6,(ROW(DD$422:DD$470)-ROW(DD$422)+1)/(DD$422:DD$470&lt;&gt;""),ROWS(DJ$1:DJ10))),"")</f>
        <v>346.05405405405429</v>
      </c>
      <c r="DK431" s="166">
        <f t="shared" si="226"/>
        <v>431</v>
      </c>
      <c r="DL431" s="164">
        <f>IFERROR(INDEX(DE$422:DE$470,_xlfn.AGGREGATE(15,6,(ROW(DE$422:DE$470)-ROW(DE$422)+1)/(DE$422:DE$470&lt;&gt;""),ROWS(DL$1:DL10))),"")</f>
        <v>10</v>
      </c>
      <c r="DM431" s="165">
        <f>IFERROR(INDEX(DF$422:DF$470,_xlfn.AGGREGATE(15,6,(ROW(DF$422:DF$470)-ROW(DF$422)+1)/(DF$422:DF$470&lt;&gt;""),ROWS(DM$1:DM10))),"")</f>
        <v>500.91797480200461</v>
      </c>
      <c r="DN431" s="166">
        <f t="shared" si="227"/>
        <v>431</v>
      </c>
      <c r="DO431" s="164">
        <f>IFERROR(INDEX(DG$422:DG$470,_xlfn.AGGREGATE(15,6,(ROW(DG$422:DG$470)-ROW(DG$422)+1)/(DG$422:DG$470&lt;&gt;""),ROWS(DO$1:DO10))),"")</f>
        <v>10</v>
      </c>
      <c r="DP431" s="165">
        <f>IFERROR(INDEX(DH$422:DH$470,_xlfn.AGGREGATE(15,6,(ROW(DH$422:DH$470)-ROW(DH$422)+1)/(DH$422:DH$470&lt;&gt;""),ROWS(DP$1:DP10))),"")</f>
        <v>655.78189554995492</v>
      </c>
      <c r="DQ431" s="166">
        <f t="shared" si="228"/>
        <v>431</v>
      </c>
      <c r="DV431" s="145">
        <v>2024</v>
      </c>
      <c r="DW431" s="235">
        <f t="shared" ca="1" si="212"/>
        <v>501.00016626243115</v>
      </c>
      <c r="DZ431" s="135" t="s">
        <v>92</v>
      </c>
      <c r="EA431" s="33">
        <f t="shared" ref="EA431:EB433" si="245">IF($EA$420="Linear",0,IF($EA$420="2nd Poly",0,IF($EA$420="3rd Poly",0,IF($EA$420="Exp",CR423))))</f>
        <v>0</v>
      </c>
      <c r="EB431" s="33">
        <f t="shared" si="245"/>
        <v>0</v>
      </c>
      <c r="EC431" s="33" t="str">
        <f>IF($EA$420="Linear","N/A",IF($EA$420="2nd Poly","N/A",IF($EA$420="3rd Poly","N/A","High")))</f>
        <v>N/A</v>
      </c>
      <c r="ED431" s="33"/>
      <c r="EE431" s="33"/>
    </row>
    <row r="432" spans="1:135" ht="13.8" x14ac:dyDescent="0.45">
      <c r="A432" s="148" t="s">
        <v>88</v>
      </c>
      <c r="B432" s="128">
        <v>2022</v>
      </c>
      <c r="C432" s="244">
        <f>'Total MSW Summaries (Archive)'!I13</f>
        <v>636.35023627228554</v>
      </c>
      <c r="D432" s="244">
        <f>'Total MSW Summaries (Archive)'!BE13</f>
        <v>331.13513513513533</v>
      </c>
      <c r="E432" s="200"/>
      <c r="F432" s="201"/>
      <c r="G432" s="199"/>
      <c r="H432" s="200"/>
      <c r="I432" s="201"/>
      <c r="J432" s="199"/>
      <c r="K432" s="200"/>
      <c r="L432" s="201"/>
      <c r="M432" s="200"/>
      <c r="N432" s="29" t="s">
        <v>119</v>
      </c>
      <c r="O432" s="120"/>
      <c r="P432" s="120"/>
      <c r="Q432" s="120"/>
      <c r="R432" s="29">
        <v>8</v>
      </c>
      <c r="S432" s="202">
        <f t="shared" si="213"/>
        <v>331.13513513513533</v>
      </c>
      <c r="T432" s="202">
        <f t="shared" si="214"/>
        <v>636.35023627228554</v>
      </c>
      <c r="U432" s="202">
        <f t="shared" si="215"/>
        <v>152.60755056857514</v>
      </c>
      <c r="V432" s="20"/>
      <c r="W432" s="238">
        <f t="shared" si="216"/>
        <v>331.13513513513533</v>
      </c>
      <c r="X432" s="238">
        <f t="shared" si="217"/>
        <v>483.74268570371044</v>
      </c>
      <c r="Y432" s="238">
        <f t="shared" si="218"/>
        <v>636.35023627228554</v>
      </c>
      <c r="AA432" s="120"/>
      <c r="AB432" s="120"/>
      <c r="AC432" s="120"/>
      <c r="AD432" s="120"/>
      <c r="AE432" s="120"/>
      <c r="AF432" s="120"/>
      <c r="AG432" s="120"/>
      <c r="AH432" s="120"/>
      <c r="AI432" s="120"/>
      <c r="AJ432" s="120"/>
      <c r="AK432" s="120"/>
      <c r="AL432" s="120"/>
      <c r="AM432" s="120"/>
      <c r="AN432" s="120"/>
      <c r="BR432" s="180">
        <v>2020</v>
      </c>
      <c r="BS432" s="22">
        <v>6</v>
      </c>
      <c r="BT432" s="198">
        <f t="shared" si="229"/>
        <v>46.289098748664586</v>
      </c>
      <c r="BU432" s="276">
        <f t="shared" si="230"/>
        <v>421.54696731550206</v>
      </c>
      <c r="BV432" s="203">
        <f t="shared" si="231"/>
        <v>467.83606606416663</v>
      </c>
      <c r="BY432" s="180">
        <v>2020</v>
      </c>
      <c r="BZ432" s="22">
        <v>6</v>
      </c>
      <c r="CA432" s="198">
        <f t="shared" ca="1" si="232"/>
        <v>-2.1899010175834466</v>
      </c>
      <c r="CB432" s="198">
        <f t="shared" ca="1" si="233"/>
        <v>57.968570842442979</v>
      </c>
      <c r="CC432" s="276">
        <f t="shared" ca="1" si="244"/>
        <v>410.84078456287187</v>
      </c>
      <c r="CD432" s="203">
        <f t="shared" ca="1" si="234"/>
        <v>466.61945438773142</v>
      </c>
      <c r="CG432" s="180">
        <v>2020</v>
      </c>
      <c r="CH432" s="22">
        <v>6</v>
      </c>
      <c r="CI432" s="198">
        <f t="shared" ca="1" si="235"/>
        <v>-0.12417817814565857</v>
      </c>
      <c r="CJ432" s="198">
        <f t="shared" ca="1" si="236"/>
        <v>-1.1964755924181754</v>
      </c>
      <c r="CK432" s="198">
        <f t="shared" ca="1" si="237"/>
        <v>55.815459209150738</v>
      </c>
      <c r="CL432" s="276">
        <f t="shared" ca="1" si="238"/>
        <v>411.87284319901585</v>
      </c>
      <c r="CM432" s="203">
        <f t="shared" ca="1" si="239"/>
        <v>466.36764863760277</v>
      </c>
      <c r="CP432" s="180">
        <v>2020</v>
      </c>
      <c r="CQ432" s="22">
        <v>6</v>
      </c>
      <c r="CR432" s="198">
        <f t="shared" ca="1" si="240"/>
        <v>429.26261557387249</v>
      </c>
      <c r="CS432" s="276">
        <f t="shared" ca="1" si="241"/>
        <v>1.0902435470515082</v>
      </c>
      <c r="CT432" s="203">
        <f t="shared" ca="1" si="242"/>
        <v>468.00079661986672</v>
      </c>
      <c r="CZ432" s="164" t="b">
        <f t="shared" si="219"/>
        <v>1</v>
      </c>
      <c r="DA432" s="165" t="b">
        <f t="shared" si="219"/>
        <v>1</v>
      </c>
      <c r="DB432" s="166" t="b">
        <f t="shared" si="219"/>
        <v>1</v>
      </c>
      <c r="DC432" s="164">
        <f t="shared" si="220"/>
        <v>8</v>
      </c>
      <c r="DD432" s="166">
        <f t="shared" si="221"/>
        <v>331.13513513513533</v>
      </c>
      <c r="DE432" s="164">
        <f t="shared" si="222"/>
        <v>8</v>
      </c>
      <c r="DF432" s="166">
        <f t="shared" si="223"/>
        <v>483.74268570371044</v>
      </c>
      <c r="DG432" s="164">
        <f t="shared" si="224"/>
        <v>8</v>
      </c>
      <c r="DH432" s="166">
        <f t="shared" si="225"/>
        <v>636.35023627228554</v>
      </c>
      <c r="DI432" s="164">
        <f>IFERROR(INDEX(DC$422:DC$470,_xlfn.AGGREGATE(15,6,(ROW(DC$422:DC$470)-ROW(DC$422)+1)/(DC$422:DC$470&lt;&gt;""),ROWS(DI$1:DI11))),"")</f>
        <v>11</v>
      </c>
      <c r="DJ432" s="165">
        <f>IFERROR(INDEX(DD$422:DD$470,_xlfn.AGGREGATE(15,6,(ROW(DD$422:DD$470)-ROW(DD$422)+1)/(DD$422:DD$470&lt;&gt;""),ROWS(DJ$1:DJ11))),"")</f>
        <v>353.51351351351377</v>
      </c>
      <c r="DK432" s="166">
        <f t="shared" si="226"/>
        <v>432</v>
      </c>
      <c r="DL432" s="164">
        <f>IFERROR(INDEX(DE$422:DE$470,_xlfn.AGGREGATE(15,6,(ROW(DE$422:DE$470)-ROW(DE$422)+1)/(DE$422:DE$470&lt;&gt;""),ROWS(DL$1:DL11))),"")</f>
        <v>11</v>
      </c>
      <c r="DM432" s="165">
        <f>IFERROR(INDEX(DF$422:DF$470,_xlfn.AGGREGATE(15,6,(ROW(DF$422:DF$470)-ROW(DF$422)+1)/(DF$422:DF$470&lt;&gt;""),ROWS(DM$1:DM11))),"")</f>
        <v>509.36007783660693</v>
      </c>
      <c r="DN432" s="166">
        <f t="shared" si="227"/>
        <v>432</v>
      </c>
      <c r="DO432" s="164">
        <f>IFERROR(INDEX(DG$422:DG$470,_xlfn.AGGREGATE(15,6,(ROW(DG$422:DG$470)-ROW(DG$422)+1)/(DG$422:DG$470&lt;&gt;""),ROWS(DO$1:DO11))),"")</f>
        <v>11</v>
      </c>
      <c r="DP432" s="165">
        <f>IFERROR(INDEX(DH$422:DH$470,_xlfn.AGGREGATE(15,6,(ROW(DH$422:DH$470)-ROW(DH$422)+1)/(DH$422:DH$470&lt;&gt;""),ROWS(DP$1:DP11))),"")</f>
        <v>665.2066421597001</v>
      </c>
      <c r="DQ432" s="166">
        <f t="shared" si="228"/>
        <v>432</v>
      </c>
      <c r="DR432" s="65"/>
      <c r="DV432" s="145">
        <v>2025</v>
      </c>
      <c r="DW432" s="235">
        <f t="shared" ca="1" si="212"/>
        <v>509.41450714168354</v>
      </c>
      <c r="DZ432" s="135" t="s">
        <v>92</v>
      </c>
      <c r="EA432" s="33">
        <f t="shared" si="245"/>
        <v>0</v>
      </c>
      <c r="EB432" s="33">
        <f t="shared" si="245"/>
        <v>0</v>
      </c>
      <c r="EC432" s="33" t="str">
        <f>IF($EA$420="Linear","N/A",IF($EA$420="2nd Poly","N/A",IF($EA$420="3rd Poly","N/A","Medium")))</f>
        <v>N/A</v>
      </c>
    </row>
    <row r="433" spans="1:135" ht="13.8" x14ac:dyDescent="0.45">
      <c r="B433" s="128">
        <v>2023</v>
      </c>
      <c r="C433" s="244">
        <f>'Total MSW Summaries (Archive)'!I14</f>
        <v>646.17081872221831</v>
      </c>
      <c r="D433" s="244">
        <f>'Total MSW Summaries (Archive)'!BE14</f>
        <v>338.59459459459481</v>
      </c>
      <c r="E433" s="245"/>
      <c r="F433" s="201"/>
      <c r="G433" s="199"/>
      <c r="H433" s="200"/>
      <c r="I433" s="201"/>
      <c r="J433" s="199"/>
      <c r="K433" s="200"/>
      <c r="L433" s="201"/>
      <c r="M433" s="200"/>
      <c r="N433" s="29" t="s">
        <v>119</v>
      </c>
      <c r="O433" s="120"/>
      <c r="P433" s="120"/>
      <c r="Q433" s="120"/>
      <c r="R433" s="29">
        <v>9</v>
      </c>
      <c r="S433" s="202">
        <f t="shared" si="213"/>
        <v>338.59459459459481</v>
      </c>
      <c r="T433" s="202">
        <f t="shared" si="214"/>
        <v>646.17081872221831</v>
      </c>
      <c r="U433" s="202">
        <f t="shared" si="215"/>
        <v>153.78811206381178</v>
      </c>
      <c r="V433" s="20"/>
      <c r="W433" s="238">
        <f t="shared" si="216"/>
        <v>338.59459459459481</v>
      </c>
      <c r="X433" s="238">
        <f t="shared" si="217"/>
        <v>492.38270665840656</v>
      </c>
      <c r="Y433" s="238">
        <f t="shared" si="218"/>
        <v>646.17081872221831</v>
      </c>
      <c r="AA433" s="120"/>
      <c r="AB433" s="120"/>
      <c r="AC433" s="120"/>
      <c r="AD433" s="120"/>
      <c r="AE433" s="120"/>
      <c r="AF433" s="120"/>
      <c r="AG433" s="120"/>
      <c r="AH433" s="120"/>
      <c r="AI433" s="120"/>
      <c r="AJ433" s="120"/>
      <c r="AK433" s="120"/>
      <c r="AL433" s="120"/>
      <c r="AM433" s="120"/>
      <c r="AN433" s="120"/>
      <c r="BR433" s="180">
        <v>2021</v>
      </c>
      <c r="BS433" s="22">
        <v>7</v>
      </c>
      <c r="BT433" s="198">
        <f t="shared" si="229"/>
        <v>54.003948540108688</v>
      </c>
      <c r="BU433" s="276">
        <f t="shared" si="230"/>
        <v>421.54696731550206</v>
      </c>
      <c r="BV433" s="205">
        <f t="shared" si="231"/>
        <v>475.55091585561075</v>
      </c>
      <c r="BY433" s="180">
        <v>2021</v>
      </c>
      <c r="BZ433" s="22">
        <v>7</v>
      </c>
      <c r="CA433" s="198">
        <f t="shared" ca="1" si="232"/>
        <v>-2.9806986072663575</v>
      </c>
      <c r="CB433" s="198">
        <f t="shared" ca="1" si="233"/>
        <v>67.629999316183472</v>
      </c>
      <c r="CC433" s="276">
        <f t="shared" ca="1" si="244"/>
        <v>410.84078456287187</v>
      </c>
      <c r="CD433" s="205">
        <f t="shared" ca="1" si="234"/>
        <v>475.49008527178898</v>
      </c>
      <c r="CG433" s="180">
        <v>2021</v>
      </c>
      <c r="CH433" s="22">
        <v>7</v>
      </c>
      <c r="CI433" s="198">
        <f t="shared" ca="1" si="235"/>
        <v>-0.19719034770352264</v>
      </c>
      <c r="CJ433" s="198">
        <f t="shared" ca="1" si="236"/>
        <v>-1.6285362230136275</v>
      </c>
      <c r="CK433" s="198">
        <f t="shared" ca="1" si="237"/>
        <v>65.118035744009191</v>
      </c>
      <c r="CL433" s="276">
        <f t="shared" ca="1" si="238"/>
        <v>411.87284319901585</v>
      </c>
      <c r="CM433" s="205">
        <f t="shared" ca="1" si="239"/>
        <v>475.16515237230789</v>
      </c>
      <c r="CP433" s="180">
        <v>2021</v>
      </c>
      <c r="CQ433" s="22">
        <v>7</v>
      </c>
      <c r="CR433" s="198">
        <f t="shared" ca="1" si="240"/>
        <v>429.26261557387249</v>
      </c>
      <c r="CS433" s="276">
        <f t="shared" ca="1" si="241"/>
        <v>1.106056839539806</v>
      </c>
      <c r="CT433" s="205">
        <f t="shared" ca="1" si="242"/>
        <v>474.78885191422813</v>
      </c>
      <c r="CZ433" s="164" t="b">
        <f t="shared" si="219"/>
        <v>1</v>
      </c>
      <c r="DA433" s="165" t="b">
        <f t="shared" si="219"/>
        <v>1</v>
      </c>
      <c r="DB433" s="166" t="b">
        <f t="shared" si="219"/>
        <v>1</v>
      </c>
      <c r="DC433" s="164">
        <f t="shared" si="220"/>
        <v>9</v>
      </c>
      <c r="DD433" s="166">
        <f t="shared" si="221"/>
        <v>338.59459459459481</v>
      </c>
      <c r="DE433" s="164">
        <f t="shared" si="222"/>
        <v>9</v>
      </c>
      <c r="DF433" s="166">
        <f t="shared" si="223"/>
        <v>492.38270665840656</v>
      </c>
      <c r="DG433" s="164">
        <f t="shared" si="224"/>
        <v>9</v>
      </c>
      <c r="DH433" s="166">
        <f t="shared" si="225"/>
        <v>646.17081872221831</v>
      </c>
      <c r="DI433" s="164">
        <f>IFERROR(INDEX(DC$422:DC$470,_xlfn.AGGREGATE(15,6,(ROW(DC$422:DC$470)-ROW(DC$422)+1)/(DC$422:DC$470&lt;&gt;""),ROWS(DI$1:DI12))),"")</f>
        <v>12</v>
      </c>
      <c r="DJ433" s="165">
        <f>IFERROR(INDEX(DD$422:DD$470,_xlfn.AGGREGATE(15,6,(ROW(DD$422:DD$470)-ROW(DD$422)+1)/(DD$422:DD$470&lt;&gt;""),ROWS(DJ$1:DJ12))),"")</f>
        <v>360.97297297297337</v>
      </c>
      <c r="DK433" s="166">
        <f t="shared" si="226"/>
        <v>433</v>
      </c>
      <c r="DL433" s="164">
        <f>IFERROR(INDEX(DE$422:DE$470,_xlfn.AGGREGATE(15,6,(ROW(DE$422:DE$470)-ROW(DE$422)+1)/(DE$422:DE$470&lt;&gt;""),ROWS(DL$1:DL12))),"")</f>
        <v>12</v>
      </c>
      <c r="DM433" s="165">
        <f>IFERROR(INDEX(DF$422:DF$470,_xlfn.AGGREGATE(15,6,(ROW(DF$422:DF$470)-ROW(DF$422)+1)/(DF$422:DF$470&lt;&gt;""),ROWS(DM$1:DM12))),"")</f>
        <v>517.70868706653164</v>
      </c>
      <c r="DN433" s="166">
        <f t="shared" si="227"/>
        <v>433</v>
      </c>
      <c r="DO433" s="164">
        <f>IFERROR(INDEX(DG$422:DG$470,_xlfn.AGGREGATE(15,6,(ROW(DG$422:DG$470)-ROW(DG$422)+1)/(DG$422:DG$470&lt;&gt;""),ROWS(DO$1:DO12))),"")</f>
        <v>12</v>
      </c>
      <c r="DP433" s="165">
        <f>IFERROR(INDEX(DH$422:DH$470,_xlfn.AGGREGATE(15,6,(ROW(DH$422:DH$470)-ROW(DH$422)+1)/(DH$422:DH$470&lt;&gt;""),ROWS(DP$1:DP12))),"")</f>
        <v>674.44440116008991</v>
      </c>
      <c r="DQ433" s="166">
        <f t="shared" si="228"/>
        <v>433</v>
      </c>
      <c r="DR433" s="65"/>
      <c r="DV433" s="145">
        <v>2026</v>
      </c>
      <c r="DW433" s="235">
        <f t="shared" ca="1" si="212"/>
        <v>517.72443382247934</v>
      </c>
      <c r="DZ433" s="135" t="s">
        <v>92</v>
      </c>
      <c r="EA433" s="33">
        <f t="shared" si="245"/>
        <v>0</v>
      </c>
      <c r="EB433" s="33">
        <f t="shared" si="245"/>
        <v>0</v>
      </c>
      <c r="EC433" s="33" t="str">
        <f>IF($EA$420="Linear","N/A",IF($EA$420="2nd Poly","N/A",IF($EA$420="3rd Poly","N/A","Low")))</f>
        <v>N/A</v>
      </c>
    </row>
    <row r="434" spans="1:135" ht="13.8" x14ac:dyDescent="0.45">
      <c r="B434" s="128">
        <v>2024</v>
      </c>
      <c r="C434" s="244">
        <f>'Total MSW Summaries (Archive)'!I15</f>
        <v>655.78189554995492</v>
      </c>
      <c r="D434" s="244">
        <f>'Total MSW Summaries (Archive)'!BE15</f>
        <v>346.05405405405429</v>
      </c>
      <c r="E434" s="245"/>
      <c r="F434" s="246"/>
      <c r="G434" s="247"/>
      <c r="H434" s="245"/>
      <c r="I434" s="246"/>
      <c r="J434" s="247"/>
      <c r="K434" s="245"/>
      <c r="L434" s="246"/>
      <c r="M434" s="245"/>
      <c r="N434" s="29" t="s">
        <v>119</v>
      </c>
      <c r="O434" s="120"/>
      <c r="P434" s="120"/>
      <c r="Q434" s="120"/>
      <c r="R434" s="29">
        <v>10</v>
      </c>
      <c r="S434" s="238">
        <f t="shared" si="213"/>
        <v>346.05405405405429</v>
      </c>
      <c r="T434" s="238">
        <f t="shared" si="214"/>
        <v>655.78189554995492</v>
      </c>
      <c r="U434" s="238">
        <f t="shared" si="215"/>
        <v>154.86392074795032</v>
      </c>
      <c r="V434" s="20"/>
      <c r="W434" s="238">
        <f t="shared" si="216"/>
        <v>346.05405405405429</v>
      </c>
      <c r="X434" s="238">
        <f t="shared" si="217"/>
        <v>500.91797480200461</v>
      </c>
      <c r="Y434" s="238">
        <f t="shared" si="218"/>
        <v>655.78189554995492</v>
      </c>
      <c r="AA434" s="120"/>
      <c r="AB434" s="120"/>
      <c r="AC434" s="120"/>
      <c r="AD434" s="120"/>
      <c r="AE434" s="120"/>
      <c r="AF434" s="120"/>
      <c r="AG434" s="120"/>
      <c r="AH434" s="120"/>
      <c r="AI434" s="120"/>
      <c r="AJ434" s="120"/>
      <c r="AK434" s="120"/>
      <c r="AL434" s="120"/>
      <c r="AM434" s="120"/>
      <c r="AN434" s="120"/>
      <c r="BR434" s="180">
        <v>2022</v>
      </c>
      <c r="BS434" s="22">
        <v>8</v>
      </c>
      <c r="BT434" s="198">
        <f t="shared" si="229"/>
        <v>61.718798331552783</v>
      </c>
      <c r="BU434" s="276">
        <f t="shared" si="230"/>
        <v>421.54696731550206</v>
      </c>
      <c r="BV434" s="205">
        <f t="shared" si="231"/>
        <v>483.26576564705482</v>
      </c>
      <c r="BY434" s="180">
        <v>2022</v>
      </c>
      <c r="BZ434" s="22">
        <v>8</v>
      </c>
      <c r="CA434" s="198">
        <f t="shared" ca="1" si="232"/>
        <v>-3.8931573645927937</v>
      </c>
      <c r="CB434" s="198">
        <f t="shared" ca="1" si="233"/>
        <v>77.291427789923972</v>
      </c>
      <c r="CC434" s="276">
        <f t="shared" ca="1" si="244"/>
        <v>410.84078456287187</v>
      </c>
      <c r="CD434" s="205">
        <f t="shared" ca="1" si="234"/>
        <v>484.23905498820307</v>
      </c>
      <c r="CG434" s="180">
        <v>2022</v>
      </c>
      <c r="CH434" s="22">
        <v>8</v>
      </c>
      <c r="CI434" s="198">
        <f t="shared" ca="1" si="235"/>
        <v>-0.29434827412304254</v>
      </c>
      <c r="CJ434" s="198">
        <f t="shared" ca="1" si="236"/>
        <v>-2.127067719854534</v>
      </c>
      <c r="CK434" s="198">
        <f t="shared" ca="1" si="237"/>
        <v>74.420612278867651</v>
      </c>
      <c r="CL434" s="276">
        <f t="shared" ca="1" si="238"/>
        <v>411.87284319901585</v>
      </c>
      <c r="CM434" s="205">
        <f t="shared" ca="1" si="239"/>
        <v>483.87203948390595</v>
      </c>
      <c r="CP434" s="180">
        <v>2022</v>
      </c>
      <c r="CQ434" s="22">
        <v>8</v>
      </c>
      <c r="CR434" s="198">
        <f t="shared" ca="1" si="240"/>
        <v>429.26261557387249</v>
      </c>
      <c r="CS434" s="276">
        <f t="shared" ca="1" si="241"/>
        <v>1.1220994938252884</v>
      </c>
      <c r="CT434" s="205">
        <f t="shared" ca="1" si="242"/>
        <v>481.6753636535617</v>
      </c>
      <c r="CZ434" s="164" t="b">
        <f t="shared" si="219"/>
        <v>1</v>
      </c>
      <c r="DA434" s="165" t="b">
        <f t="shared" si="219"/>
        <v>1</v>
      </c>
      <c r="DB434" s="166" t="b">
        <f t="shared" si="219"/>
        <v>1</v>
      </c>
      <c r="DC434" s="164">
        <f t="shared" si="220"/>
        <v>10</v>
      </c>
      <c r="DD434" s="166">
        <f t="shared" si="221"/>
        <v>346.05405405405429</v>
      </c>
      <c r="DE434" s="164">
        <f t="shared" si="222"/>
        <v>10</v>
      </c>
      <c r="DF434" s="166">
        <f t="shared" si="223"/>
        <v>500.91797480200461</v>
      </c>
      <c r="DG434" s="164">
        <f t="shared" si="224"/>
        <v>10</v>
      </c>
      <c r="DH434" s="166">
        <f t="shared" si="225"/>
        <v>655.78189554995492</v>
      </c>
      <c r="DI434" s="164">
        <f>IFERROR(INDEX(DC$422:DC$470,_xlfn.AGGREGATE(15,6,(ROW(DC$422:DC$470)-ROW(DC$422)+1)/(DC$422:DC$470&lt;&gt;""),ROWS(DI$1:DI13))),"")</f>
        <v>13</v>
      </c>
      <c r="DJ434" s="165">
        <f>IFERROR(INDEX(DD$422:DD$470,_xlfn.AGGREGATE(15,6,(ROW(DD$422:DD$470)-ROW(DD$422)+1)/(DD$422:DD$470&lt;&gt;""),ROWS(DJ$1:DJ13))),"")</f>
        <v>368.43243243243273</v>
      </c>
      <c r="DK434" s="166">
        <f t="shared" si="226"/>
        <v>434</v>
      </c>
      <c r="DL434" s="164">
        <f>IFERROR(INDEX(DE$422:DE$470,_xlfn.AGGREGATE(15,6,(ROW(DE$422:DE$470)-ROW(DE$422)+1)/(DE$422:DE$470&lt;&gt;""),ROWS(DL$1:DL13))),"")</f>
        <v>13</v>
      </c>
      <c r="DM434" s="165">
        <f>IFERROR(INDEX(DF$422:DF$470,_xlfn.AGGREGATE(15,6,(ROW(DF$422:DF$470)-ROW(DF$422)+1)/(DF$422:DF$470&lt;&gt;""),ROWS(DM$1:DM13))),"")</f>
        <v>525.95966235454114</v>
      </c>
      <c r="DN434" s="166">
        <f t="shared" si="227"/>
        <v>434</v>
      </c>
      <c r="DO434" s="164">
        <f>IFERROR(INDEX(DG$422:DG$470,_xlfn.AGGREGATE(15,6,(ROW(DG$422:DG$470)-ROW(DG$422)+1)/(DG$422:DG$470&lt;&gt;""),ROWS(DO$1:DO13))),"")</f>
        <v>13</v>
      </c>
      <c r="DP434" s="165">
        <f>IFERROR(INDEX(DH$422:DH$470,_xlfn.AGGREGATE(15,6,(ROW(DH$422:DH$470)-ROW(DH$422)+1)/(DH$422:DH$470&lt;&gt;""),ROWS(DP$1:DP13))),"")</f>
        <v>683.48689227664954</v>
      </c>
      <c r="DQ434" s="166">
        <f t="shared" si="228"/>
        <v>434</v>
      </c>
      <c r="DR434" s="65"/>
      <c r="DV434" s="145">
        <v>2027</v>
      </c>
      <c r="DW434" s="235">
        <f t="shared" ca="1" si="212"/>
        <v>525.92649691098109</v>
      </c>
    </row>
    <row r="435" spans="1:135" ht="13.8" x14ac:dyDescent="0.45">
      <c r="B435" s="128">
        <v>2025</v>
      </c>
      <c r="C435" s="244">
        <f>'Total MSW Summaries (Archive)'!I16</f>
        <v>665.2066421597001</v>
      </c>
      <c r="D435" s="244">
        <f>'Total MSW Summaries (Archive)'!BE16</f>
        <v>353.51351351351377</v>
      </c>
      <c r="E435" s="245"/>
      <c r="F435" s="246"/>
      <c r="G435" s="247"/>
      <c r="H435" s="245"/>
      <c r="I435" s="246"/>
      <c r="J435" s="247"/>
      <c r="K435" s="245"/>
      <c r="L435" s="246"/>
      <c r="M435" s="245"/>
      <c r="N435" s="29" t="s">
        <v>119</v>
      </c>
      <c r="O435" s="120"/>
      <c r="P435" s="120"/>
      <c r="Q435" s="120"/>
      <c r="R435" s="29">
        <v>11</v>
      </c>
      <c r="S435" s="238">
        <f t="shared" si="213"/>
        <v>353.51351351351377</v>
      </c>
      <c r="T435" s="238">
        <f t="shared" si="214"/>
        <v>665.2066421597001</v>
      </c>
      <c r="U435" s="238">
        <f t="shared" si="215"/>
        <v>155.84656432309313</v>
      </c>
      <c r="W435" s="238">
        <f t="shared" si="216"/>
        <v>353.51351351351377</v>
      </c>
      <c r="X435" s="238">
        <f t="shared" si="217"/>
        <v>509.36007783660693</v>
      </c>
      <c r="Y435" s="238">
        <f t="shared" si="218"/>
        <v>665.2066421597001</v>
      </c>
      <c r="AA435" s="120"/>
      <c r="AB435" s="120"/>
      <c r="AC435" s="120"/>
      <c r="AD435" s="120"/>
      <c r="AE435" s="120"/>
      <c r="AF435" s="120"/>
      <c r="AG435" s="120"/>
      <c r="AH435" s="120"/>
      <c r="AI435" s="120"/>
      <c r="AJ435" s="120"/>
      <c r="AK435" s="120"/>
      <c r="AL435" s="120"/>
      <c r="AM435" s="120"/>
      <c r="AN435" s="120"/>
      <c r="BR435" s="180">
        <v>2023</v>
      </c>
      <c r="BS435" s="22">
        <v>9</v>
      </c>
      <c r="BT435" s="198">
        <f t="shared" si="229"/>
        <v>69.433648122996885</v>
      </c>
      <c r="BU435" s="276">
        <f t="shared" si="230"/>
        <v>421.54696731550206</v>
      </c>
      <c r="BV435" s="205">
        <f t="shared" si="231"/>
        <v>490.98061543849894</v>
      </c>
      <c r="BY435" s="180">
        <v>2023</v>
      </c>
      <c r="BZ435" s="22">
        <v>9</v>
      </c>
      <c r="CA435" s="198">
        <f t="shared" ca="1" si="232"/>
        <v>-4.9272772895627543</v>
      </c>
      <c r="CB435" s="198">
        <f t="shared" ca="1" si="233"/>
        <v>86.952856263664472</v>
      </c>
      <c r="CC435" s="276">
        <f t="shared" ca="1" si="244"/>
        <v>410.84078456287187</v>
      </c>
      <c r="CD435" s="205">
        <f t="shared" ca="1" si="234"/>
        <v>492.86636353697361</v>
      </c>
      <c r="CG435" s="180">
        <v>2023</v>
      </c>
      <c r="CH435" s="22">
        <v>9</v>
      </c>
      <c r="CI435" s="198">
        <f t="shared" ca="1" si="235"/>
        <v>-0.4191013512415977</v>
      </c>
      <c r="CJ435" s="198">
        <f t="shared" ca="1" si="236"/>
        <v>-2.6920700829408948</v>
      </c>
      <c r="CK435" s="198">
        <f t="shared" ca="1" si="237"/>
        <v>83.723188813726111</v>
      </c>
      <c r="CL435" s="276">
        <f t="shared" ca="1" si="238"/>
        <v>411.87284319901585</v>
      </c>
      <c r="CM435" s="205">
        <f t="shared" ca="1" si="239"/>
        <v>492.48486057855945</v>
      </c>
      <c r="CP435" s="180">
        <v>2023</v>
      </c>
      <c r="CQ435" s="22">
        <v>9</v>
      </c>
      <c r="CR435" s="198">
        <f t="shared" ca="1" si="240"/>
        <v>429.26261557387249</v>
      </c>
      <c r="CS435" s="276">
        <f t="shared" ca="1" si="241"/>
        <v>1.1383748366556292</v>
      </c>
      <c r="CT435" s="205">
        <f t="shared" ca="1" si="242"/>
        <v>488.66175988627526</v>
      </c>
      <c r="CZ435" s="164" t="b">
        <f t="shared" si="219"/>
        <v>1</v>
      </c>
      <c r="DA435" s="165" t="b">
        <f t="shared" si="219"/>
        <v>1</v>
      </c>
      <c r="DB435" s="166" t="b">
        <f t="shared" si="219"/>
        <v>1</v>
      </c>
      <c r="DC435" s="164">
        <f t="shared" si="220"/>
        <v>11</v>
      </c>
      <c r="DD435" s="166">
        <f t="shared" si="221"/>
        <v>353.51351351351377</v>
      </c>
      <c r="DE435" s="164">
        <f t="shared" si="222"/>
        <v>11</v>
      </c>
      <c r="DF435" s="166">
        <f t="shared" si="223"/>
        <v>509.36007783660693</v>
      </c>
      <c r="DG435" s="164">
        <f t="shared" si="224"/>
        <v>11</v>
      </c>
      <c r="DH435" s="166">
        <f t="shared" si="225"/>
        <v>665.2066421597001</v>
      </c>
      <c r="DI435" s="164">
        <f>IFERROR(INDEX(DC$422:DC$470,_xlfn.AGGREGATE(15,6,(ROW(DC$422:DC$470)-ROW(DC$422)+1)/(DC$422:DC$470&lt;&gt;""),ROWS(DI$1:DI14))),"")</f>
        <v>14</v>
      </c>
      <c r="DJ435" s="165">
        <f>IFERROR(INDEX(DD$422:DD$470,_xlfn.AGGREGATE(15,6,(ROW(DD$422:DD$470)-ROW(DD$422)+1)/(DD$422:DD$470&lt;&gt;""),ROWS(DJ$1:DJ14))),"")</f>
        <v>375.89189189189193</v>
      </c>
      <c r="DK435" s="166">
        <f t="shared" si="226"/>
        <v>435</v>
      </c>
      <c r="DL435" s="164">
        <f>IFERROR(INDEX(DE$422:DE$470,_xlfn.AGGREGATE(15,6,(ROW(DE$422:DE$470)-ROW(DE$422)+1)/(DE$422:DE$470&lt;&gt;""),ROWS(DL$1:DL14))),"")</f>
        <v>14</v>
      </c>
      <c r="DM435" s="165">
        <f>IFERROR(INDEX(DF$422:DF$470,_xlfn.AGGREGATE(15,6,(ROW(DF$422:DF$470)-ROW(DF$422)+1)/(DF$422:DF$470&lt;&gt;""),ROWS(DM$1:DM14))),"")</f>
        <v>534.11772491223678</v>
      </c>
      <c r="DN435" s="166">
        <f t="shared" si="227"/>
        <v>435</v>
      </c>
      <c r="DO435" s="164">
        <f>IFERROR(INDEX(DG$422:DG$470,_xlfn.AGGREGATE(15,6,(ROW(DG$422:DG$470)-ROW(DG$422)+1)/(DG$422:DG$470&lt;&gt;""),ROWS(DO$1:DO14))),"")</f>
        <v>14</v>
      </c>
      <c r="DP435" s="165">
        <f>IFERROR(INDEX(DH$422:DH$470,_xlfn.AGGREGATE(15,6,(ROW(DH$422:DH$470)-ROW(DH$422)+1)/(DH$422:DH$470&lt;&gt;""),ROWS(DP$1:DP14))),"")</f>
        <v>692.34355793258169</v>
      </c>
      <c r="DQ435" s="166">
        <f t="shared" si="228"/>
        <v>435</v>
      </c>
      <c r="DR435" s="65"/>
      <c r="DV435" s="145">
        <v>2028</v>
      </c>
      <c r="DW435" s="235">
        <f t="shared" ca="1" si="212"/>
        <v>534.01724701335149</v>
      </c>
    </row>
    <row r="436" spans="1:135" ht="13.8" x14ac:dyDescent="0.45">
      <c r="B436" s="128">
        <v>2026</v>
      </c>
      <c r="C436" s="244">
        <f>'Total MSW Summaries (Archive)'!I17</f>
        <v>674.44440116008991</v>
      </c>
      <c r="D436" s="244">
        <f>'Total MSW Summaries (Archive)'!BE17</f>
        <v>360.97297297297325</v>
      </c>
      <c r="E436" s="245"/>
      <c r="F436" s="246"/>
      <c r="G436" s="247"/>
      <c r="H436" s="245"/>
      <c r="I436" s="246"/>
      <c r="J436" s="247"/>
      <c r="K436" s="245"/>
      <c r="L436" s="246"/>
      <c r="M436" s="245"/>
      <c r="N436" s="29" t="s">
        <v>119</v>
      </c>
      <c r="O436" s="120"/>
      <c r="P436" s="120"/>
      <c r="Q436" s="120"/>
      <c r="R436" s="29">
        <v>12</v>
      </c>
      <c r="S436" s="238">
        <f t="shared" si="213"/>
        <v>360.97297297297325</v>
      </c>
      <c r="T436" s="238">
        <f t="shared" si="214"/>
        <v>674.44440116008991</v>
      </c>
      <c r="U436" s="238">
        <f t="shared" si="215"/>
        <v>156.73571409355827</v>
      </c>
      <c r="W436" s="238">
        <f t="shared" si="216"/>
        <v>360.97297297297337</v>
      </c>
      <c r="X436" s="238">
        <f t="shared" si="217"/>
        <v>517.70868706653164</v>
      </c>
      <c r="Y436" s="238">
        <f t="shared" si="218"/>
        <v>674.44440116008991</v>
      </c>
      <c r="AA436" s="120"/>
      <c r="AB436" s="120"/>
      <c r="AC436" s="120"/>
      <c r="AD436" s="120"/>
      <c r="AE436" s="120"/>
      <c r="AF436" s="120"/>
      <c r="AG436" s="120"/>
      <c r="AH436" s="120"/>
      <c r="AI436" s="120"/>
      <c r="AJ436" s="120"/>
      <c r="AK436" s="120"/>
      <c r="AL436" s="120"/>
      <c r="AM436" s="120"/>
      <c r="AN436" s="120"/>
      <c r="BR436" s="180">
        <v>2024</v>
      </c>
      <c r="BS436" s="22">
        <v>10</v>
      </c>
      <c r="BT436" s="198">
        <f t="shared" si="229"/>
        <v>77.148497914440981</v>
      </c>
      <c r="BU436" s="276">
        <f t="shared" si="230"/>
        <v>421.54696731550206</v>
      </c>
      <c r="BV436" s="205">
        <f t="shared" si="231"/>
        <v>498.69546522994301</v>
      </c>
      <c r="BY436" s="180">
        <v>2024</v>
      </c>
      <c r="BZ436" s="22">
        <v>10</v>
      </c>
      <c r="CA436" s="198">
        <f t="shared" ca="1" si="232"/>
        <v>-6.0830583821762403</v>
      </c>
      <c r="CB436" s="198">
        <f t="shared" ca="1" si="233"/>
        <v>96.614284737404972</v>
      </c>
      <c r="CC436" s="276">
        <f t="shared" ca="1" si="244"/>
        <v>410.84078456287187</v>
      </c>
      <c r="CD436" s="205">
        <f t="shared" ca="1" si="234"/>
        <v>501.37201091810061</v>
      </c>
      <c r="CG436" s="180">
        <v>2024</v>
      </c>
      <c r="CH436" s="22">
        <v>10</v>
      </c>
      <c r="CI436" s="198">
        <f t="shared" ca="1" si="235"/>
        <v>-0.57489897289656744</v>
      </c>
      <c r="CJ436" s="198">
        <f t="shared" ca="1" si="236"/>
        <v>-3.3235433122727094</v>
      </c>
      <c r="CK436" s="198">
        <f t="shared" ca="1" si="237"/>
        <v>93.025765348584571</v>
      </c>
      <c r="CL436" s="276">
        <f t="shared" ca="1" si="238"/>
        <v>411.87284319901585</v>
      </c>
      <c r="CM436" s="205">
        <f t="shared" ca="1" si="239"/>
        <v>501.00016626243115</v>
      </c>
      <c r="CP436" s="180">
        <v>2024</v>
      </c>
      <c r="CQ436" s="22">
        <v>10</v>
      </c>
      <c r="CR436" s="198">
        <f t="shared" ca="1" si="240"/>
        <v>429.26261557387249</v>
      </c>
      <c r="CS436" s="276">
        <f t="shared" ca="1" si="241"/>
        <v>1.1548862430308722</v>
      </c>
      <c r="CT436" s="205">
        <f t="shared" ca="1" si="242"/>
        <v>495.74948937371516</v>
      </c>
      <c r="CZ436" s="164" t="b">
        <f t="shared" si="219"/>
        <v>1</v>
      </c>
      <c r="DA436" s="165" t="b">
        <f t="shared" si="219"/>
        <v>1</v>
      </c>
      <c r="DB436" s="166" t="b">
        <f t="shared" si="219"/>
        <v>1</v>
      </c>
      <c r="DC436" s="164">
        <f t="shared" si="220"/>
        <v>12</v>
      </c>
      <c r="DD436" s="166">
        <f t="shared" si="221"/>
        <v>360.97297297297337</v>
      </c>
      <c r="DE436" s="164">
        <f t="shared" si="222"/>
        <v>12</v>
      </c>
      <c r="DF436" s="166">
        <f t="shared" si="223"/>
        <v>517.70868706653164</v>
      </c>
      <c r="DG436" s="164">
        <f t="shared" si="224"/>
        <v>12</v>
      </c>
      <c r="DH436" s="166">
        <f t="shared" si="225"/>
        <v>674.44440116008991</v>
      </c>
      <c r="DI436" s="164">
        <f>IFERROR(INDEX(DC$422:DC$470,_xlfn.AGGREGATE(15,6,(ROW(DC$422:DC$470)-ROW(DC$422)+1)/(DC$422:DC$470&lt;&gt;""),ROWS(DI$1:DI15))),"")</f>
        <v>15</v>
      </c>
      <c r="DJ436" s="165">
        <f>IFERROR(INDEX(DD$422:DD$470,_xlfn.AGGREGATE(15,6,(ROW(DD$422:DD$470)-ROW(DD$422)+1)/(DD$422:DD$470&lt;&gt;""),ROWS(DJ$1:DJ15))),"")</f>
        <v>383.35135135135147</v>
      </c>
      <c r="DK436" s="166">
        <f t="shared" si="226"/>
        <v>436</v>
      </c>
      <c r="DL436" s="164">
        <f>IFERROR(INDEX(DE$422:DE$470,_xlfn.AGGREGATE(15,6,(ROW(DE$422:DE$470)-ROW(DE$422)+1)/(DE$422:DE$470&lt;&gt;""),ROWS(DL$1:DL15))),"")</f>
        <v>15</v>
      </c>
      <c r="DM436" s="165">
        <f>IFERROR(INDEX(DF$422:DF$470,_xlfn.AGGREGATE(15,6,(ROW(DF$422:DF$470)-ROW(DF$422)+1)/(DF$422:DF$470&lt;&gt;""),ROWS(DM$1:DM15))),"")</f>
        <v>542.18887221479099</v>
      </c>
      <c r="DN436" s="166">
        <f t="shared" si="227"/>
        <v>436</v>
      </c>
      <c r="DO436" s="164">
        <f>IFERROR(INDEX(DG$422:DG$470,_xlfn.AGGREGATE(15,6,(ROW(DG$422:DG$470)-ROW(DG$422)+1)/(DG$422:DG$470&lt;&gt;""),ROWS(DO$1:DO15))),"")</f>
        <v>15</v>
      </c>
      <c r="DP436" s="165">
        <f>IFERROR(INDEX(DH$422:DH$470,_xlfn.AGGREGATE(15,6,(ROW(DH$422:DH$470)-ROW(DH$422)+1)/(DH$422:DH$470&lt;&gt;""),ROWS(DP$1:DP15))),"")</f>
        <v>701.02639307823051</v>
      </c>
      <c r="DQ436" s="166">
        <f t="shared" si="228"/>
        <v>436</v>
      </c>
      <c r="DR436" s="65"/>
      <c r="DV436" s="145">
        <v>2029</v>
      </c>
      <c r="DW436" s="235">
        <f t="shared" ca="1" si="212"/>
        <v>541.99323473575316</v>
      </c>
      <c r="EA436" s="55"/>
      <c r="EB436" s="55"/>
      <c r="EC436" s="55"/>
      <c r="ED436" s="55"/>
      <c r="EE436" s="55"/>
    </row>
    <row r="437" spans="1:135" ht="13.8" x14ac:dyDescent="0.45">
      <c r="B437" s="128">
        <v>2027</v>
      </c>
      <c r="C437" s="244">
        <f>'Total MSW Summaries (Archive)'!I18</f>
        <v>683.48689227664954</v>
      </c>
      <c r="D437" s="244">
        <f>'Total MSW Summaries (Archive)'!BE18</f>
        <v>368.43243243243273</v>
      </c>
      <c r="E437" s="245"/>
      <c r="F437" s="246"/>
      <c r="G437" s="247"/>
      <c r="H437" s="245"/>
      <c r="I437" s="246"/>
      <c r="J437" s="247"/>
      <c r="K437" s="245"/>
      <c r="L437" s="246"/>
      <c r="M437" s="245"/>
      <c r="N437" s="29" t="s">
        <v>119</v>
      </c>
      <c r="O437" s="120"/>
      <c r="P437" s="120"/>
      <c r="Q437" s="120"/>
      <c r="R437" s="29">
        <v>13</v>
      </c>
      <c r="S437" s="238">
        <f t="shared" si="213"/>
        <v>368.43243243243273</v>
      </c>
      <c r="T437" s="238">
        <f t="shared" si="214"/>
        <v>683.48689227664954</v>
      </c>
      <c r="U437" s="238">
        <f t="shared" si="215"/>
        <v>157.52722992210838</v>
      </c>
      <c r="W437" s="238">
        <f t="shared" si="216"/>
        <v>368.43243243243273</v>
      </c>
      <c r="X437" s="238">
        <f t="shared" si="217"/>
        <v>525.95966235454114</v>
      </c>
      <c r="Y437" s="238">
        <f t="shared" si="218"/>
        <v>683.48689227664954</v>
      </c>
      <c r="AA437" s="89"/>
      <c r="AB437" s="89"/>
      <c r="AC437" s="89"/>
      <c r="AD437" s="89"/>
      <c r="AE437" s="89"/>
      <c r="AF437" s="89"/>
      <c r="AG437" s="89"/>
      <c r="AH437" s="89"/>
      <c r="AI437" s="89"/>
      <c r="AJ437" s="89"/>
      <c r="AK437" s="89"/>
      <c r="AL437" s="89"/>
      <c r="AM437" s="89"/>
      <c r="AN437" s="89"/>
      <c r="BR437" s="180">
        <v>2025</v>
      </c>
      <c r="BS437" s="22">
        <v>11</v>
      </c>
      <c r="BT437" s="198">
        <f t="shared" si="229"/>
        <v>84.863347705885076</v>
      </c>
      <c r="BU437" s="276">
        <f t="shared" si="230"/>
        <v>421.54696731550206</v>
      </c>
      <c r="BV437" s="205">
        <f t="shared" si="231"/>
        <v>506.41031502138713</v>
      </c>
      <c r="BY437" s="180">
        <v>2025</v>
      </c>
      <c r="BZ437" s="22">
        <v>11</v>
      </c>
      <c r="CA437" s="198">
        <f t="shared" ca="1" si="232"/>
        <v>-7.3605006424332506</v>
      </c>
      <c r="CB437" s="198">
        <f t="shared" ca="1" si="233"/>
        <v>106.27571321114546</v>
      </c>
      <c r="CC437" s="276">
        <f t="shared" ca="1" si="244"/>
        <v>410.84078456287187</v>
      </c>
      <c r="CD437" s="205">
        <f t="shared" ca="1" si="234"/>
        <v>509.75599713158408</v>
      </c>
      <c r="CG437" s="180">
        <v>2025</v>
      </c>
      <c r="CH437" s="22">
        <v>11</v>
      </c>
      <c r="CI437" s="198">
        <f t="shared" ca="1" si="235"/>
        <v>-0.76519053292533135</v>
      </c>
      <c r="CJ437" s="198">
        <f t="shared" ca="1" si="236"/>
        <v>-4.0214874078499783</v>
      </c>
      <c r="CK437" s="198">
        <f t="shared" ca="1" si="237"/>
        <v>102.32834188344302</v>
      </c>
      <c r="CL437" s="276">
        <f t="shared" ca="1" si="238"/>
        <v>411.87284319901585</v>
      </c>
      <c r="CM437" s="205">
        <f t="shared" ca="1" si="239"/>
        <v>509.41450714168354</v>
      </c>
      <c r="CP437" s="180">
        <v>2025</v>
      </c>
      <c r="CQ437" s="22">
        <v>11</v>
      </c>
      <c r="CR437" s="198">
        <f t="shared" ca="1" si="240"/>
        <v>429.26261557387249</v>
      </c>
      <c r="CS437" s="276">
        <f t="shared" ca="1" si="241"/>
        <v>1.1716371369032996</v>
      </c>
      <c r="CT437" s="205">
        <f t="shared" ca="1" si="242"/>
        <v>502.9400218905937</v>
      </c>
      <c r="CZ437" s="164" t="b">
        <f t="shared" si="219"/>
        <v>1</v>
      </c>
      <c r="DA437" s="165" t="b">
        <f t="shared" si="219"/>
        <v>1</v>
      </c>
      <c r="DB437" s="166" t="b">
        <f t="shared" si="219"/>
        <v>1</v>
      </c>
      <c r="DC437" s="164">
        <f t="shared" si="220"/>
        <v>13</v>
      </c>
      <c r="DD437" s="166">
        <f t="shared" si="221"/>
        <v>368.43243243243273</v>
      </c>
      <c r="DE437" s="164">
        <f t="shared" si="222"/>
        <v>13</v>
      </c>
      <c r="DF437" s="166">
        <f t="shared" si="223"/>
        <v>525.95966235454114</v>
      </c>
      <c r="DG437" s="164">
        <f t="shared" si="224"/>
        <v>13</v>
      </c>
      <c r="DH437" s="166">
        <f t="shared" si="225"/>
        <v>683.48689227664954</v>
      </c>
      <c r="DI437" s="164">
        <f>IFERROR(INDEX(DC$422:DC$470,_xlfn.AGGREGATE(15,6,(ROW(DC$422:DC$470)-ROW(DC$422)+1)/(DC$422:DC$470&lt;&gt;""),ROWS(DI$1:DI16))),"")</f>
        <v>16</v>
      </c>
      <c r="DJ437" s="165">
        <f>IFERROR(INDEX(DD$422:DD$470,_xlfn.AGGREGATE(15,6,(ROW(DD$422:DD$470)-ROW(DD$422)+1)/(DD$422:DD$470&lt;&gt;""),ROWS(DJ$1:DJ16))),"")</f>
        <v>390.81081081081135</v>
      </c>
      <c r="DK437" s="166">
        <f t="shared" si="226"/>
        <v>437</v>
      </c>
      <c r="DL437" s="164">
        <f>IFERROR(INDEX(DE$422:DE$470,_xlfn.AGGREGATE(15,6,(ROW(DE$422:DE$470)-ROW(DE$422)+1)/(DE$422:DE$470&lt;&gt;""),ROWS(DL$1:DL16))),"")</f>
        <v>16</v>
      </c>
      <c r="DM437" s="165">
        <f>IFERROR(INDEX(DF$422:DF$470,_xlfn.AGGREGATE(15,6,(ROW(DF$422:DF$470)-ROW(DF$422)+1)/(DF$422:DF$470&lt;&gt;""),ROWS(DM$1:DM16))),"")</f>
        <v>550.17798992173039</v>
      </c>
      <c r="DN437" s="166">
        <f t="shared" si="227"/>
        <v>437</v>
      </c>
      <c r="DO437" s="164">
        <f>IFERROR(INDEX(DG$422:DG$470,_xlfn.AGGREGATE(15,6,(ROW(DG$422:DG$470)-ROW(DG$422)+1)/(DG$422:DG$470&lt;&gt;""),ROWS(DO$1:DO16))),"")</f>
        <v>16</v>
      </c>
      <c r="DP437" s="165">
        <f>IFERROR(INDEX(DH$422:DH$470,_xlfn.AGGREGATE(15,6,(ROW(DH$422:DH$470)-ROW(DH$422)+1)/(DH$422:DH$470&lt;&gt;""),ROWS(DP$1:DP16))),"")</f>
        <v>709.54516903264948</v>
      </c>
      <c r="DQ437" s="166">
        <f t="shared" si="228"/>
        <v>437</v>
      </c>
      <c r="DR437" s="65"/>
      <c r="DV437" s="145">
        <v>2030</v>
      </c>
      <c r="DW437" s="235">
        <f t="shared" ca="1" si="212"/>
        <v>549.85101068434869</v>
      </c>
    </row>
    <row r="438" spans="1:135" ht="13.8" x14ac:dyDescent="0.45">
      <c r="A438" s="208" t="str">
        <f>$A$62</f>
        <v>Base Cases</v>
      </c>
      <c r="B438" s="128">
        <v>2028</v>
      </c>
      <c r="C438" s="244">
        <f>'Total MSW Summaries (Archive)'!I19</f>
        <v>692.34355793258146</v>
      </c>
      <c r="D438" s="244">
        <f>'Total MSW Summaries (Archive)'!BE19</f>
        <v>375.89189189189221</v>
      </c>
      <c r="E438" s="245"/>
      <c r="F438" s="246"/>
      <c r="G438" s="247"/>
      <c r="H438" s="245"/>
      <c r="I438" s="246"/>
      <c r="J438" s="247"/>
      <c r="K438" s="245"/>
      <c r="L438" s="246"/>
      <c r="M438" s="245"/>
      <c r="N438" s="29" t="s">
        <v>119</v>
      </c>
      <c r="O438" s="120"/>
      <c r="P438" s="120"/>
      <c r="Q438" s="120"/>
      <c r="R438" s="29">
        <v>14</v>
      </c>
      <c r="S438" s="238">
        <f t="shared" si="213"/>
        <v>375.89189189189221</v>
      </c>
      <c r="T438" s="238">
        <f t="shared" si="214"/>
        <v>692.34355793258146</v>
      </c>
      <c r="U438" s="238">
        <f t="shared" si="215"/>
        <v>158.22583302034485</v>
      </c>
      <c r="W438" s="238">
        <f t="shared" si="216"/>
        <v>375.89189189189193</v>
      </c>
      <c r="X438" s="238">
        <f t="shared" si="217"/>
        <v>534.11772491223678</v>
      </c>
      <c r="Y438" s="238">
        <f t="shared" si="218"/>
        <v>692.34355793258169</v>
      </c>
      <c r="AA438" s="114"/>
      <c r="AB438" s="114"/>
      <c r="AC438" s="114"/>
      <c r="AD438" s="114"/>
      <c r="AE438" s="114"/>
      <c r="AF438" s="114"/>
      <c r="AG438" s="114"/>
      <c r="AH438" s="114"/>
      <c r="AI438" s="114"/>
      <c r="AJ438" s="114"/>
      <c r="AK438" s="114"/>
      <c r="AL438" s="114"/>
      <c r="AM438" s="114"/>
      <c r="AN438" s="114"/>
      <c r="BR438" s="180">
        <v>2026</v>
      </c>
      <c r="BS438" s="22">
        <v>12</v>
      </c>
      <c r="BT438" s="198">
        <f t="shared" si="229"/>
        <v>92.578197497329171</v>
      </c>
      <c r="BU438" s="276">
        <f t="shared" si="230"/>
        <v>421.54696731550206</v>
      </c>
      <c r="BV438" s="205">
        <f t="shared" si="231"/>
        <v>514.12516481283126</v>
      </c>
      <c r="BY438" s="180">
        <v>2026</v>
      </c>
      <c r="BZ438" s="22">
        <v>12</v>
      </c>
      <c r="CA438" s="198">
        <f t="shared" ca="1" si="232"/>
        <v>-8.7596040703337863</v>
      </c>
      <c r="CB438" s="198">
        <f t="shared" ca="1" si="233"/>
        <v>115.93714168488596</v>
      </c>
      <c r="CC438" s="276">
        <f t="shared" ca="1" si="244"/>
        <v>410.84078456287187</v>
      </c>
      <c r="CD438" s="205">
        <f t="shared" ca="1" si="234"/>
        <v>518.01832217742401</v>
      </c>
      <c r="CG438" s="180">
        <v>2026</v>
      </c>
      <c r="CH438" s="22">
        <v>12</v>
      </c>
      <c r="CI438" s="198">
        <f t="shared" ca="1" si="235"/>
        <v>-0.99342542516526855</v>
      </c>
      <c r="CJ438" s="198">
        <f t="shared" ca="1" si="236"/>
        <v>-4.7859023696727014</v>
      </c>
      <c r="CK438" s="198">
        <f t="shared" ca="1" si="237"/>
        <v>111.63091841830148</v>
      </c>
      <c r="CL438" s="276">
        <f t="shared" ca="1" si="238"/>
        <v>411.87284319901585</v>
      </c>
      <c r="CM438" s="205">
        <f t="shared" ca="1" si="239"/>
        <v>517.72443382247934</v>
      </c>
      <c r="CP438" s="180">
        <v>2026</v>
      </c>
      <c r="CQ438" s="22">
        <v>12</v>
      </c>
      <c r="CR438" s="198">
        <f t="shared" ca="1" si="240"/>
        <v>429.26261557387249</v>
      </c>
      <c r="CS438" s="276">
        <f t="shared" ca="1" si="241"/>
        <v>1.1886309918874542</v>
      </c>
      <c r="CT438" s="205">
        <f t="shared" ca="1" si="242"/>
        <v>510.23484852977504</v>
      </c>
      <c r="CZ438" s="164" t="b">
        <f t="shared" si="219"/>
        <v>1</v>
      </c>
      <c r="DA438" s="165" t="b">
        <f t="shared" si="219"/>
        <v>1</v>
      </c>
      <c r="DB438" s="166" t="b">
        <f t="shared" si="219"/>
        <v>1</v>
      </c>
      <c r="DC438" s="164">
        <f t="shared" si="220"/>
        <v>14</v>
      </c>
      <c r="DD438" s="166">
        <f t="shared" si="221"/>
        <v>375.89189189189193</v>
      </c>
      <c r="DE438" s="164">
        <f t="shared" si="222"/>
        <v>14</v>
      </c>
      <c r="DF438" s="166">
        <f t="shared" si="223"/>
        <v>534.11772491223678</v>
      </c>
      <c r="DG438" s="164">
        <f t="shared" si="224"/>
        <v>14</v>
      </c>
      <c r="DH438" s="166">
        <f t="shared" si="225"/>
        <v>692.34355793258169</v>
      </c>
      <c r="DI438" s="164">
        <f>IFERROR(INDEX(DC$422:DC$470,_xlfn.AGGREGATE(15,6,(ROW(DC$422:DC$470)-ROW(DC$422)+1)/(DC$422:DC$470&lt;&gt;""),ROWS(DI$1:DI17))),"")</f>
        <v>17</v>
      </c>
      <c r="DJ438" s="165">
        <f>IFERROR(INDEX(DD$422:DD$470,_xlfn.AGGREGATE(15,6,(ROW(DD$422:DD$470)-ROW(DD$422)+1)/(DD$422:DD$470&lt;&gt;""),ROWS(DJ$1:DJ17))),"")</f>
        <v>398.27027027027043</v>
      </c>
      <c r="DK438" s="166">
        <f t="shared" si="226"/>
        <v>438</v>
      </c>
      <c r="DL438" s="164">
        <f>IFERROR(INDEX(DE$422:DE$470,_xlfn.AGGREGATE(15,6,(ROW(DE$422:DE$470)-ROW(DE$422)+1)/(DE$422:DE$470&lt;&gt;""),ROWS(DL$1:DL17))),"")</f>
        <v>17</v>
      </c>
      <c r="DM438" s="165">
        <f>IFERROR(INDEX(DF$422:DF$470,_xlfn.AGGREGATE(15,6,(ROW(DF$422:DF$470)-ROW(DF$422)+1)/(DF$422:DF$470&lt;&gt;""),ROWS(DM$1:DM17))),"")</f>
        <v>558.08738067362333</v>
      </c>
      <c r="DN438" s="166">
        <f t="shared" si="227"/>
        <v>438</v>
      </c>
      <c r="DO438" s="164">
        <f>IFERROR(INDEX(DG$422:DG$470,_xlfn.AGGREGATE(15,6,(ROW(DG$422:DG$470)-ROW(DG$422)+1)/(DG$422:DG$470&lt;&gt;""),ROWS(DO$1:DO17))),"")</f>
        <v>17</v>
      </c>
      <c r="DP438" s="165">
        <f>IFERROR(INDEX(DH$422:DH$470,_xlfn.AGGREGATE(15,6,(ROW(DH$422:DH$470)-ROW(DH$422)+1)/(DH$422:DH$470&lt;&gt;""),ROWS(DP$1:DP17))),"")</f>
        <v>717.90449107697623</v>
      </c>
      <c r="DQ438" s="166">
        <f t="shared" si="228"/>
        <v>438</v>
      </c>
      <c r="DR438" s="65"/>
      <c r="DV438" s="145">
        <v>2031</v>
      </c>
      <c r="DW438" s="235">
        <f t="shared" ca="1" si="212"/>
        <v>557.58712546530069</v>
      </c>
    </row>
    <row r="439" spans="1:135" ht="13.8" x14ac:dyDescent="0.45">
      <c r="A439" s="209" t="str">
        <f>$A$63</f>
        <v>Conservative Cases</v>
      </c>
      <c r="B439" s="128">
        <v>2029</v>
      </c>
      <c r="C439" s="244">
        <f>'Total MSW Summaries (Archive)'!I20</f>
        <v>701.0263930782304</v>
      </c>
      <c r="D439" s="244">
        <f>'Total MSW Summaries (Archive)'!BE20</f>
        <v>383.3513513513517</v>
      </c>
      <c r="E439" s="245"/>
      <c r="F439" s="246"/>
      <c r="G439" s="247"/>
      <c r="H439" s="245"/>
      <c r="I439" s="246"/>
      <c r="J439" s="247"/>
      <c r="K439" s="245"/>
      <c r="L439" s="246"/>
      <c r="M439" s="245"/>
      <c r="N439" s="29" t="s">
        <v>119</v>
      </c>
      <c r="O439" s="120"/>
      <c r="P439" s="120"/>
      <c r="Q439" s="120"/>
      <c r="R439" s="29">
        <v>15</v>
      </c>
      <c r="S439" s="238">
        <f t="shared" si="213"/>
        <v>383.3513513513517</v>
      </c>
      <c r="T439" s="238">
        <f t="shared" si="214"/>
        <v>701.0263930782304</v>
      </c>
      <c r="U439" s="238">
        <f t="shared" si="215"/>
        <v>158.83752086343949</v>
      </c>
      <c r="W439" s="238">
        <f t="shared" si="216"/>
        <v>383.35135135135147</v>
      </c>
      <c r="X439" s="238">
        <f t="shared" si="217"/>
        <v>542.18887221479099</v>
      </c>
      <c r="Y439" s="238">
        <f t="shared" si="218"/>
        <v>701.02639307823051</v>
      </c>
      <c r="AA439" s="89"/>
      <c r="AB439" s="89"/>
      <c r="AC439" s="89"/>
      <c r="AD439" s="89"/>
      <c r="AE439" s="89"/>
      <c r="AF439" s="89"/>
      <c r="AG439" s="89"/>
      <c r="AH439" s="89"/>
      <c r="AI439" s="89"/>
      <c r="AJ439" s="89"/>
      <c r="AK439" s="89"/>
      <c r="AL439" s="89"/>
      <c r="AM439" s="89"/>
      <c r="AN439" s="89"/>
      <c r="BR439" s="180">
        <v>2027</v>
      </c>
      <c r="BS439" s="22">
        <v>13</v>
      </c>
      <c r="BT439" s="198">
        <f t="shared" si="229"/>
        <v>100.29304728877327</v>
      </c>
      <c r="BU439" s="276">
        <f t="shared" si="230"/>
        <v>421.54696731550206</v>
      </c>
      <c r="BV439" s="205">
        <f t="shared" si="231"/>
        <v>521.84001460427532</v>
      </c>
      <c r="BY439" s="180">
        <v>2027</v>
      </c>
      <c r="BZ439" s="22">
        <v>13</v>
      </c>
      <c r="CA439" s="198">
        <f t="shared" ca="1" si="232"/>
        <v>-10.280368665877846</v>
      </c>
      <c r="CB439" s="198">
        <f t="shared" ca="1" si="233"/>
        <v>125.59857015862646</v>
      </c>
      <c r="CC439" s="276">
        <f t="shared" ca="1" si="244"/>
        <v>410.84078456287187</v>
      </c>
      <c r="CD439" s="205">
        <f t="shared" ca="1" si="234"/>
        <v>526.15898605562052</v>
      </c>
      <c r="CG439" s="180">
        <v>2027</v>
      </c>
      <c r="CH439" s="22">
        <v>13</v>
      </c>
      <c r="CI439" s="198">
        <f t="shared" ca="1" si="235"/>
        <v>-1.2630530434537588</v>
      </c>
      <c r="CJ439" s="198">
        <f t="shared" ca="1" si="236"/>
        <v>-5.6167881977408793</v>
      </c>
      <c r="CK439" s="198">
        <f t="shared" ca="1" si="237"/>
        <v>120.93349495315994</v>
      </c>
      <c r="CL439" s="276">
        <f t="shared" ca="1" si="238"/>
        <v>411.87284319901585</v>
      </c>
      <c r="CM439" s="205">
        <f t="shared" ca="1" si="239"/>
        <v>525.92649691098109</v>
      </c>
      <c r="CP439" s="180">
        <v>2027</v>
      </c>
      <c r="CQ439" s="22">
        <v>13</v>
      </c>
      <c r="CR439" s="198">
        <f t="shared" ca="1" si="240"/>
        <v>429.26261557387249</v>
      </c>
      <c r="CS439" s="276">
        <f t="shared" ca="1" si="241"/>
        <v>1.205871331980459</v>
      </c>
      <c r="CT439" s="205">
        <f t="shared" ca="1" si="242"/>
        <v>517.63548201148137</v>
      </c>
      <c r="CZ439" s="164" t="b">
        <f t="shared" si="219"/>
        <v>1</v>
      </c>
      <c r="DA439" s="165" t="b">
        <f t="shared" si="219"/>
        <v>1</v>
      </c>
      <c r="DB439" s="166" t="b">
        <f t="shared" si="219"/>
        <v>1</v>
      </c>
      <c r="DC439" s="164">
        <f t="shared" si="220"/>
        <v>15</v>
      </c>
      <c r="DD439" s="166">
        <f t="shared" si="221"/>
        <v>383.35135135135147</v>
      </c>
      <c r="DE439" s="164">
        <f t="shared" si="222"/>
        <v>15</v>
      </c>
      <c r="DF439" s="166">
        <f t="shared" si="223"/>
        <v>542.18887221479099</v>
      </c>
      <c r="DG439" s="164">
        <f t="shared" si="224"/>
        <v>15</v>
      </c>
      <c r="DH439" s="166">
        <f t="shared" si="225"/>
        <v>701.02639307823051</v>
      </c>
      <c r="DI439" s="164">
        <f>IFERROR(INDEX(DC$422:DC$470,_xlfn.AGGREGATE(15,6,(ROW(DC$422:DC$470)-ROW(DC$422)+1)/(DC$422:DC$470&lt;&gt;""),ROWS(DI$1:DI18))),"")</f>
        <v>18</v>
      </c>
      <c r="DJ439" s="165">
        <f>IFERROR(INDEX(DD$422:DD$470,_xlfn.AGGREGATE(15,6,(ROW(DD$422:DD$470)-ROW(DD$422)+1)/(DD$422:DD$470&lt;&gt;""),ROWS(DJ$1:DJ18))),"")</f>
        <v>405.7297297297302</v>
      </c>
      <c r="DK439" s="166">
        <f t="shared" si="226"/>
        <v>439</v>
      </c>
      <c r="DL439" s="164">
        <f>IFERROR(INDEX(DE$422:DE$470,_xlfn.AGGREGATE(15,6,(ROW(DE$422:DE$470)-ROW(DE$422)+1)/(DE$422:DE$470&lt;&gt;""),ROWS(DL$1:DL18))),"")</f>
        <v>18</v>
      </c>
      <c r="DM439" s="165">
        <f>IFERROR(INDEX(DF$422:DF$470,_xlfn.AGGREGATE(15,6,(ROW(DF$422:DF$470)-ROW(DF$422)+1)/(DF$422:DF$470&lt;&gt;""),ROWS(DM$1:DM18))),"")</f>
        <v>565.41522970637754</v>
      </c>
      <c r="DN439" s="166">
        <f t="shared" si="227"/>
        <v>439</v>
      </c>
      <c r="DO439" s="164">
        <f>IFERROR(INDEX(DG$422:DG$470,_xlfn.AGGREGATE(15,6,(ROW(DG$422:DG$470)-ROW(DG$422)+1)/(DG$422:DG$470&lt;&gt;""),ROWS(DO$1:DO18))),"")</f>
        <v>18</v>
      </c>
      <c r="DP439" s="165">
        <f>IFERROR(INDEX(DH$422:DH$470,_xlfn.AGGREGATE(15,6,(ROW(DH$422:DH$470)-ROW(DH$422)+1)/(DH$422:DH$470&lt;&gt;""),ROWS(DP$1:DP18))),"")</f>
        <v>725.10072968302484</v>
      </c>
      <c r="DQ439" s="166">
        <f t="shared" si="228"/>
        <v>439</v>
      </c>
      <c r="DR439" s="65"/>
      <c r="DV439" s="145">
        <v>2032</v>
      </c>
      <c r="DW439" s="235">
        <f t="shared" ca="1" si="212"/>
        <v>565.19812968477174</v>
      </c>
    </row>
    <row r="440" spans="1:135" ht="13.8" x14ac:dyDescent="0.45">
      <c r="A440" s="210" t="str">
        <f>$A$64</f>
        <v>Ambitious Cases</v>
      </c>
      <c r="B440" s="128">
        <v>2030</v>
      </c>
      <c r="C440" s="244">
        <f>'Total MSW Summaries (Archive)'!I21</f>
        <v>709.54516903264948</v>
      </c>
      <c r="D440" s="244">
        <f>'Total MSW Summaries (Archive)'!BE21</f>
        <v>390.81081081081118</v>
      </c>
      <c r="E440" s="245"/>
      <c r="F440" s="246"/>
      <c r="G440" s="247"/>
      <c r="H440" s="245"/>
      <c r="I440" s="246"/>
      <c r="J440" s="247"/>
      <c r="K440" s="245"/>
      <c r="L440" s="246"/>
      <c r="M440" s="245"/>
      <c r="N440" s="29" t="s">
        <v>119</v>
      </c>
      <c r="O440" s="120"/>
      <c r="P440" s="120"/>
      <c r="Q440" s="120"/>
      <c r="R440" s="29">
        <v>16</v>
      </c>
      <c r="S440" s="238">
        <f t="shared" si="213"/>
        <v>390.81081081081118</v>
      </c>
      <c r="T440" s="238">
        <f t="shared" si="214"/>
        <v>709.54516903264948</v>
      </c>
      <c r="U440" s="238">
        <f t="shared" si="215"/>
        <v>159.36717911091904</v>
      </c>
      <c r="W440" s="238">
        <f t="shared" si="216"/>
        <v>390.81081081081135</v>
      </c>
      <c r="X440" s="238">
        <f t="shared" si="217"/>
        <v>550.17798992173039</v>
      </c>
      <c r="Y440" s="238">
        <f t="shared" si="218"/>
        <v>709.54516903264948</v>
      </c>
      <c r="AA440" s="89"/>
      <c r="AB440" s="89"/>
      <c r="AC440" s="89"/>
      <c r="AD440" s="89"/>
      <c r="AE440" s="89"/>
      <c r="AF440" s="89"/>
      <c r="AG440" s="89"/>
      <c r="AH440" s="89"/>
      <c r="AI440" s="89"/>
      <c r="AJ440" s="89"/>
      <c r="AK440" s="89"/>
      <c r="AL440" s="89"/>
      <c r="AM440" s="89"/>
      <c r="AN440" s="89"/>
      <c r="BR440" s="180">
        <v>2028</v>
      </c>
      <c r="BS440" s="22">
        <v>14</v>
      </c>
      <c r="BT440" s="198">
        <f t="shared" si="229"/>
        <v>108.00789708021738</v>
      </c>
      <c r="BU440" s="276">
        <f t="shared" si="230"/>
        <v>421.54696731550206</v>
      </c>
      <c r="BV440" s="205">
        <f t="shared" si="231"/>
        <v>529.55486439571939</v>
      </c>
      <c r="BY440" s="180">
        <v>2028</v>
      </c>
      <c r="BZ440" s="22">
        <v>14</v>
      </c>
      <c r="CA440" s="198">
        <f t="shared" ca="1" si="232"/>
        <v>-11.92279442906543</v>
      </c>
      <c r="CB440" s="198">
        <f t="shared" ca="1" si="233"/>
        <v>135.25999863236694</v>
      </c>
      <c r="CC440" s="276">
        <f t="shared" ca="1" si="244"/>
        <v>410.84078456287187</v>
      </c>
      <c r="CD440" s="205">
        <f t="shared" ca="1" si="234"/>
        <v>534.17798876617337</v>
      </c>
      <c r="CG440" s="180">
        <v>2028</v>
      </c>
      <c r="CH440" s="22">
        <v>14</v>
      </c>
      <c r="CI440" s="198">
        <f t="shared" ca="1" si="235"/>
        <v>-1.5775227816281812</v>
      </c>
      <c r="CJ440" s="198">
        <f t="shared" ca="1" si="236"/>
        <v>-6.5141448920545102</v>
      </c>
      <c r="CK440" s="198">
        <f t="shared" ca="1" si="237"/>
        <v>130.23607148801838</v>
      </c>
      <c r="CL440" s="276">
        <f t="shared" ca="1" si="238"/>
        <v>411.87284319901585</v>
      </c>
      <c r="CM440" s="205">
        <f t="shared" ca="1" si="239"/>
        <v>534.01724701335149</v>
      </c>
      <c r="CP440" s="180">
        <v>2028</v>
      </c>
      <c r="CQ440" s="22">
        <v>14</v>
      </c>
      <c r="CR440" s="198">
        <f t="shared" ca="1" si="240"/>
        <v>429.26261557387249</v>
      </c>
      <c r="CS440" s="276">
        <f t="shared" ca="1" si="241"/>
        <v>1.2233617322927843</v>
      </c>
      <c r="CT440" s="205">
        <f t="shared" ca="1" si="242"/>
        <v>525.14345699698424</v>
      </c>
      <c r="CZ440" s="164" t="b">
        <f t="shared" si="219"/>
        <v>1</v>
      </c>
      <c r="DA440" s="165" t="b">
        <f t="shared" si="219"/>
        <v>1</v>
      </c>
      <c r="DB440" s="166" t="b">
        <f t="shared" si="219"/>
        <v>1</v>
      </c>
      <c r="DC440" s="164">
        <f t="shared" si="220"/>
        <v>16</v>
      </c>
      <c r="DD440" s="166">
        <f t="shared" si="221"/>
        <v>390.81081081081135</v>
      </c>
      <c r="DE440" s="164">
        <f t="shared" si="222"/>
        <v>16</v>
      </c>
      <c r="DF440" s="166">
        <f t="shared" si="223"/>
        <v>550.17798992173039</v>
      </c>
      <c r="DG440" s="164">
        <f t="shared" si="224"/>
        <v>16</v>
      </c>
      <c r="DH440" s="166">
        <f t="shared" si="225"/>
        <v>709.54516903264948</v>
      </c>
      <c r="DI440" s="164">
        <f>IFERROR(INDEX(DC$422:DC$470,_xlfn.AGGREGATE(15,6,(ROW(DC$422:DC$470)-ROW(DC$422)+1)/(DC$422:DC$470&lt;&gt;""),ROWS(DI$1:DI19))),"")</f>
        <v>19</v>
      </c>
      <c r="DJ440" s="165">
        <f>IFERROR(INDEX(DD$422:DD$470,_xlfn.AGGREGATE(15,6,(ROW(DD$422:DD$470)-ROW(DD$422)+1)/(DD$422:DD$470&lt;&gt;""),ROWS(DJ$1:DJ19))),"")</f>
        <v>413.18918918918996</v>
      </c>
      <c r="DK440" s="166">
        <f t="shared" si="226"/>
        <v>440</v>
      </c>
      <c r="DL440" s="164">
        <f>IFERROR(INDEX(DE$422:DE$470,_xlfn.AGGREGATE(15,6,(ROW(DE$422:DE$470)-ROW(DE$422)+1)/(DE$422:DE$470&lt;&gt;""),ROWS(DL$1:DL19))),"")</f>
        <v>19</v>
      </c>
      <c r="DM440" s="165">
        <f>IFERROR(INDEX(DF$422:DF$470,_xlfn.AGGREGATE(15,6,(ROW(DF$422:DF$470)-ROW(DF$422)+1)/(DF$422:DF$470&lt;&gt;""),ROWS(DM$1:DM19))),"")</f>
        <v>572.66755727701798</v>
      </c>
      <c r="DN440" s="166">
        <f t="shared" si="227"/>
        <v>440</v>
      </c>
      <c r="DO440" s="164">
        <f>IFERROR(INDEX(DG$422:DG$470,_xlfn.AGGREGATE(15,6,(ROW(DG$422:DG$470)-ROW(DG$422)+1)/(DG$422:DG$470&lt;&gt;""),ROWS(DO$1:DO19))),"")</f>
        <v>19</v>
      </c>
      <c r="DP440" s="165">
        <f>IFERROR(INDEX(DH$422:DH$470,_xlfn.AGGREGATE(15,6,(ROW(DH$422:DH$470)-ROW(DH$422)+1)/(DH$422:DH$470&lt;&gt;""),ROWS(DP$1:DP19))),"")</f>
        <v>732.14592536484599</v>
      </c>
      <c r="DQ440" s="166">
        <f t="shared" si="228"/>
        <v>440</v>
      </c>
      <c r="DR440" s="65"/>
      <c r="DV440" s="145">
        <v>2033</v>
      </c>
      <c r="DW440" s="235">
        <f t="shared" ca="1" si="212"/>
        <v>572.68057394892446</v>
      </c>
    </row>
    <row r="441" spans="1:135" ht="13.8" x14ac:dyDescent="0.45">
      <c r="A441" s="211" t="str">
        <f>$A$65</f>
        <v>Maximum Cases</v>
      </c>
      <c r="B441" s="128">
        <v>2031</v>
      </c>
      <c r="C441" s="244">
        <f>'Total MSW Summaries (Archive)'!I22</f>
        <v>717.904491076976</v>
      </c>
      <c r="D441" s="244">
        <f>'Total MSW Summaries (Archive)'!BE22</f>
        <v>398.27027027027066</v>
      </c>
      <c r="E441" s="245"/>
      <c r="F441" s="246"/>
      <c r="G441" s="247"/>
      <c r="H441" s="245"/>
      <c r="I441" s="246"/>
      <c r="J441" s="247"/>
      <c r="K441" s="245"/>
      <c r="L441" s="246"/>
      <c r="M441" s="245"/>
      <c r="N441" s="29" t="s">
        <v>119</v>
      </c>
      <c r="O441" s="120"/>
      <c r="P441" s="120"/>
      <c r="Q441" s="120"/>
      <c r="R441" s="29">
        <v>17</v>
      </c>
      <c r="S441" s="238">
        <f t="shared" si="213"/>
        <v>398.27027027027066</v>
      </c>
      <c r="T441" s="238">
        <f t="shared" si="214"/>
        <v>717.904491076976</v>
      </c>
      <c r="U441" s="238">
        <f t="shared" si="215"/>
        <v>159.8171104033529</v>
      </c>
      <c r="W441" s="238">
        <f t="shared" si="216"/>
        <v>398.27027027027043</v>
      </c>
      <c r="X441" s="238">
        <f t="shared" si="217"/>
        <v>558.08738067362333</v>
      </c>
      <c r="Y441" s="238">
        <f t="shared" si="218"/>
        <v>717.90449107697623</v>
      </c>
      <c r="AA441" s="89"/>
      <c r="AB441" s="89"/>
      <c r="AC441" s="89"/>
      <c r="AD441" s="89"/>
      <c r="AE441" s="89"/>
      <c r="AF441" s="89"/>
      <c r="AG441" s="89"/>
      <c r="AH441" s="89"/>
      <c r="AI441" s="89"/>
      <c r="AJ441" s="89"/>
      <c r="AK441" s="89"/>
      <c r="AL441" s="89"/>
      <c r="AM441" s="89"/>
      <c r="AN441" s="89"/>
      <c r="BR441" s="180">
        <v>2029</v>
      </c>
      <c r="BS441" s="22">
        <v>15</v>
      </c>
      <c r="BT441" s="198">
        <f t="shared" si="229"/>
        <v>115.72274687166147</v>
      </c>
      <c r="BU441" s="276">
        <f t="shared" si="230"/>
        <v>421.54696731550206</v>
      </c>
      <c r="BV441" s="205">
        <f t="shared" si="231"/>
        <v>537.26971418716357</v>
      </c>
      <c r="BY441" s="180">
        <v>2029</v>
      </c>
      <c r="BZ441" s="22">
        <v>15</v>
      </c>
      <c r="CA441" s="198">
        <f t="shared" ca="1" si="232"/>
        <v>-13.686881359896541</v>
      </c>
      <c r="CB441" s="198">
        <f t="shared" ca="1" si="233"/>
        <v>144.92142710610744</v>
      </c>
      <c r="CC441" s="276">
        <f t="shared" ca="1" si="244"/>
        <v>410.84078456287187</v>
      </c>
      <c r="CD441" s="205">
        <f t="shared" ca="1" si="234"/>
        <v>542.0753303090828</v>
      </c>
      <c r="CG441" s="180">
        <v>2029</v>
      </c>
      <c r="CH441" s="22">
        <v>15</v>
      </c>
      <c r="CI441" s="198">
        <f t="shared" ca="1" si="235"/>
        <v>-1.9402840335259153</v>
      </c>
      <c r="CJ441" s="198">
        <f t="shared" ca="1" si="236"/>
        <v>-7.4779724526135958</v>
      </c>
      <c r="CK441" s="198">
        <f t="shared" ca="1" si="237"/>
        <v>139.53864802287686</v>
      </c>
      <c r="CL441" s="276">
        <f t="shared" ca="1" si="238"/>
        <v>411.87284319901585</v>
      </c>
      <c r="CM441" s="205">
        <f t="shared" ca="1" si="239"/>
        <v>541.99323473575316</v>
      </c>
      <c r="CP441" s="180">
        <v>2029</v>
      </c>
      <c r="CQ441" s="22">
        <v>15</v>
      </c>
      <c r="CR441" s="198">
        <f t="shared" ca="1" si="240"/>
        <v>429.26261557387249</v>
      </c>
      <c r="CS441" s="276">
        <f t="shared" ca="1" si="241"/>
        <v>1.2411058197896145</v>
      </c>
      <c r="CT441" s="205">
        <f t="shared" ca="1" si="242"/>
        <v>532.76033040684513</v>
      </c>
      <c r="CZ441" s="164" t="b">
        <f t="shared" si="219"/>
        <v>1</v>
      </c>
      <c r="DA441" s="165" t="b">
        <f t="shared" si="219"/>
        <v>1</v>
      </c>
      <c r="DB441" s="166" t="b">
        <f t="shared" si="219"/>
        <v>1</v>
      </c>
      <c r="DC441" s="164">
        <f t="shared" si="220"/>
        <v>17</v>
      </c>
      <c r="DD441" s="166">
        <f t="shared" si="221"/>
        <v>398.27027027027043</v>
      </c>
      <c r="DE441" s="164">
        <f t="shared" si="222"/>
        <v>17</v>
      </c>
      <c r="DF441" s="166">
        <f t="shared" si="223"/>
        <v>558.08738067362333</v>
      </c>
      <c r="DG441" s="164">
        <f t="shared" si="224"/>
        <v>17</v>
      </c>
      <c r="DH441" s="166">
        <f t="shared" si="225"/>
        <v>717.90449107697623</v>
      </c>
      <c r="DI441" s="164">
        <f>IFERROR(INDEX(DC$422:DC$470,_xlfn.AGGREGATE(15,6,(ROW(DC$422:DC$470)-ROW(DC$422)+1)/(DC$422:DC$470&lt;&gt;""),ROWS(DI$1:DI20))),"")</f>
        <v>20</v>
      </c>
      <c r="DJ441" s="165">
        <f>IFERROR(INDEX(DD$422:DD$470,_xlfn.AGGREGATE(15,6,(ROW(DD$422:DD$470)-ROW(DD$422)+1)/(DD$422:DD$470&lt;&gt;""),ROWS(DJ$1:DJ20))),"")</f>
        <v>420.64864864864956</v>
      </c>
      <c r="DK441" s="166">
        <f t="shared" si="226"/>
        <v>441</v>
      </c>
      <c r="DL441" s="164">
        <f>IFERROR(INDEX(DE$422:DE$470,_xlfn.AGGREGATE(15,6,(ROW(DE$422:DE$470)-ROW(DE$422)+1)/(DE$422:DE$470&lt;&gt;""),ROWS(DL$1:DL20))),"")</f>
        <v>20</v>
      </c>
      <c r="DM441" s="165">
        <f>IFERROR(INDEX(DF$422:DF$470,_xlfn.AGGREGATE(15,6,(ROW(DF$422:DF$470)-ROW(DF$422)+1)/(DF$422:DF$470&lt;&gt;""),ROWS(DM$1:DM20))),"")</f>
        <v>579.84475995991193</v>
      </c>
      <c r="DN441" s="166">
        <f t="shared" si="227"/>
        <v>441</v>
      </c>
      <c r="DO441" s="164">
        <f>IFERROR(INDEX(DG$422:DG$470,_xlfn.AGGREGATE(15,6,(ROW(DG$422:DG$470)-ROW(DG$422)+1)/(DG$422:DG$470&lt;&gt;""),ROWS(DO$1:DO20))),"")</f>
        <v>20</v>
      </c>
      <c r="DP441" s="165">
        <f>IFERROR(INDEX(DH$422:DH$470,_xlfn.AGGREGATE(15,6,(ROW(DH$422:DH$470)-ROW(DH$422)+1)/(DH$422:DH$470&lt;&gt;""),ROWS(DP$1:DP20))),"")</f>
        <v>739.0408712711743</v>
      </c>
      <c r="DQ441" s="166">
        <f t="shared" si="228"/>
        <v>441</v>
      </c>
      <c r="DR441" s="65"/>
      <c r="DV441" s="145">
        <v>2034</v>
      </c>
      <c r="DW441" s="235">
        <f t="shared" ca="1" si="212"/>
        <v>580.03100886392167</v>
      </c>
    </row>
    <row r="442" spans="1:135" ht="13.8" x14ac:dyDescent="0.45">
      <c r="B442" s="128">
        <v>2032</v>
      </c>
      <c r="C442" s="244">
        <f>'Total MSW Summaries (Archive)'!I23</f>
        <v>725.10072968302495</v>
      </c>
      <c r="D442" s="244">
        <f>'Total MSW Summaries (Archive)'!BE23</f>
        <v>405.72972972973014</v>
      </c>
      <c r="E442" s="245"/>
      <c r="F442" s="246"/>
      <c r="G442" s="247"/>
      <c r="H442" s="245"/>
      <c r="I442" s="246"/>
      <c r="J442" s="247"/>
      <c r="K442" s="245"/>
      <c r="L442" s="246"/>
      <c r="M442" s="245"/>
      <c r="N442" s="29" t="s">
        <v>119</v>
      </c>
      <c r="O442" s="120"/>
      <c r="P442" s="120"/>
      <c r="Q442" s="120"/>
      <c r="R442" s="29">
        <v>18</v>
      </c>
      <c r="S442" s="238">
        <f t="shared" si="213"/>
        <v>405.72972972973014</v>
      </c>
      <c r="T442" s="238">
        <f t="shared" si="214"/>
        <v>725.10072968302495</v>
      </c>
      <c r="U442" s="238">
        <f t="shared" si="215"/>
        <v>159.68549997664735</v>
      </c>
      <c r="W442" s="238">
        <f t="shared" si="216"/>
        <v>405.7297297297302</v>
      </c>
      <c r="X442" s="238">
        <f t="shared" si="217"/>
        <v>565.41522970637754</v>
      </c>
      <c r="Y442" s="238">
        <f t="shared" si="218"/>
        <v>725.10072968302484</v>
      </c>
      <c r="AA442" s="89"/>
      <c r="AB442" s="89"/>
      <c r="AC442" s="89"/>
      <c r="AD442" s="89"/>
      <c r="AE442" s="89"/>
      <c r="AF442" s="89"/>
      <c r="AG442" s="89"/>
      <c r="AH442" s="89"/>
      <c r="AI442" s="89"/>
      <c r="AJ442" s="89"/>
      <c r="AK442" s="89"/>
      <c r="AL442" s="89"/>
      <c r="AM442" s="89"/>
      <c r="AN442" s="89"/>
      <c r="BR442" s="180">
        <v>2030</v>
      </c>
      <c r="BS442" s="22">
        <v>16</v>
      </c>
      <c r="BT442" s="198">
        <f t="shared" si="229"/>
        <v>123.43759666310557</v>
      </c>
      <c r="BU442" s="276">
        <f t="shared" si="230"/>
        <v>421.54696731550206</v>
      </c>
      <c r="BV442" s="205">
        <f t="shared" si="231"/>
        <v>544.98456397860764</v>
      </c>
      <c r="BY442" s="180">
        <v>2030</v>
      </c>
      <c r="BZ442" s="22">
        <v>16</v>
      </c>
      <c r="CA442" s="198">
        <f t="shared" ca="1" si="232"/>
        <v>-15.572629458371175</v>
      </c>
      <c r="CB442" s="198">
        <f t="shared" ca="1" si="233"/>
        <v>154.58285557984794</v>
      </c>
      <c r="CC442" s="276">
        <f t="shared" ca="1" si="244"/>
        <v>410.84078456287187</v>
      </c>
      <c r="CD442" s="205">
        <f t="shared" ca="1" si="234"/>
        <v>549.85101068434869</v>
      </c>
      <c r="CG442" s="180">
        <v>2030</v>
      </c>
      <c r="CH442" s="22">
        <v>16</v>
      </c>
      <c r="CI442" s="198">
        <f t="shared" ca="1" si="235"/>
        <v>-2.3547861929843403</v>
      </c>
      <c r="CJ442" s="198">
        <f t="shared" ca="1" si="236"/>
        <v>-8.5082708794181361</v>
      </c>
      <c r="CK442" s="198">
        <f t="shared" ca="1" si="237"/>
        <v>148.8412245577353</v>
      </c>
      <c r="CL442" s="276">
        <f t="shared" ca="1" si="238"/>
        <v>411.87284319901585</v>
      </c>
      <c r="CM442" s="205">
        <f t="shared" ca="1" si="239"/>
        <v>549.85101068434869</v>
      </c>
      <c r="CP442" s="180">
        <v>2030</v>
      </c>
      <c r="CQ442" s="22">
        <v>16</v>
      </c>
      <c r="CR442" s="198">
        <f t="shared" ca="1" si="240"/>
        <v>429.26261557387249</v>
      </c>
      <c r="CS442" s="276">
        <f t="shared" ca="1" si="241"/>
        <v>1.2591072740429683</v>
      </c>
      <c r="CT442" s="205">
        <f t="shared" ca="1" si="242"/>
        <v>540.48768174377324</v>
      </c>
      <c r="CZ442" s="164" t="b">
        <f t="shared" si="219"/>
        <v>1</v>
      </c>
      <c r="DA442" s="165" t="b">
        <f t="shared" si="219"/>
        <v>1</v>
      </c>
      <c r="DB442" s="166" t="b">
        <f t="shared" si="219"/>
        <v>1</v>
      </c>
      <c r="DC442" s="164">
        <f t="shared" si="220"/>
        <v>18</v>
      </c>
      <c r="DD442" s="166">
        <f t="shared" si="221"/>
        <v>405.7297297297302</v>
      </c>
      <c r="DE442" s="164">
        <f t="shared" si="222"/>
        <v>18</v>
      </c>
      <c r="DF442" s="166">
        <f t="shared" si="223"/>
        <v>565.41522970637754</v>
      </c>
      <c r="DG442" s="164">
        <f t="shared" si="224"/>
        <v>18</v>
      </c>
      <c r="DH442" s="166">
        <f t="shared" si="225"/>
        <v>725.10072968302484</v>
      </c>
      <c r="DI442" s="164">
        <f>IFERROR(INDEX(DC$422:DC$470,_xlfn.AGGREGATE(15,6,(ROW(DC$422:DC$470)-ROW(DC$422)+1)/(DC$422:DC$470&lt;&gt;""),ROWS(DI$1:DI21))),"")</f>
        <v>21</v>
      </c>
      <c r="DJ442" s="165">
        <f>IFERROR(INDEX(DD$422:DD$470,_xlfn.AGGREGATE(15,6,(ROW(DD$422:DD$470)-ROW(DD$422)+1)/(DD$422:DD$470&lt;&gt;""),ROWS(DJ$1:DJ21))),"")</f>
        <v>428.10810810810869</v>
      </c>
      <c r="DK442" s="166">
        <f t="shared" si="226"/>
        <v>442</v>
      </c>
      <c r="DL442" s="164">
        <f>IFERROR(INDEX(DE$422:DE$470,_xlfn.AGGREGATE(15,6,(ROW(DE$422:DE$470)-ROW(DE$422)+1)/(DE$422:DE$470&lt;&gt;""),ROWS(DL$1:DL21))),"")</f>
        <v>21</v>
      </c>
      <c r="DM442" s="165">
        <f>IFERROR(INDEX(DF$422:DF$470,_xlfn.AGGREGATE(15,6,(ROW(DF$422:DF$470)-ROW(DF$422)+1)/(DF$422:DF$470&lt;&gt;""),ROWS(DM$1:DM21))),"")</f>
        <v>586.94679929101085</v>
      </c>
      <c r="DN442" s="166">
        <f t="shared" si="227"/>
        <v>442</v>
      </c>
      <c r="DO442" s="164">
        <f>IFERROR(INDEX(DG$422:DG$470,_xlfn.AGGREGATE(15,6,(ROW(DG$422:DG$470)-ROW(DG$422)+1)/(DG$422:DG$470&lt;&gt;""),ROWS(DO$1:DO21))),"")</f>
        <v>21</v>
      </c>
      <c r="DP442" s="165">
        <f>IFERROR(INDEX(DH$422:DH$470,_xlfn.AGGREGATE(15,6,(ROW(DH$422:DH$470)-ROW(DH$422)+1)/(DH$422:DH$470&lt;&gt;""),ROWS(DP$1:DP21))),"")</f>
        <v>745.785490473913</v>
      </c>
      <c r="DQ442" s="166">
        <f t="shared" si="228"/>
        <v>442</v>
      </c>
      <c r="DR442" s="65"/>
      <c r="DV442" s="145">
        <v>2035</v>
      </c>
      <c r="DW442" s="235">
        <f t="shared" ca="1" si="212"/>
        <v>587.24598503592574</v>
      </c>
    </row>
    <row r="443" spans="1:135" ht="13.8" x14ac:dyDescent="0.45">
      <c r="B443" s="128">
        <v>2033</v>
      </c>
      <c r="C443" s="244">
        <f>'Total MSW Summaries (Archive)'!I24</f>
        <v>732.14592536484622</v>
      </c>
      <c r="D443" s="244">
        <f>'Total MSW Summaries (Archive)'!BE24</f>
        <v>413.18918918918962</v>
      </c>
      <c r="E443" s="245"/>
      <c r="F443" s="246"/>
      <c r="G443" s="247"/>
      <c r="H443" s="245"/>
      <c r="I443" s="246"/>
      <c r="J443" s="247"/>
      <c r="K443" s="245"/>
      <c r="L443" s="246"/>
      <c r="M443" s="245"/>
      <c r="N443" s="29" t="s">
        <v>119</v>
      </c>
      <c r="O443" s="120"/>
      <c r="P443" s="120"/>
      <c r="Q443" s="120"/>
      <c r="R443" s="29">
        <v>19</v>
      </c>
      <c r="S443" s="238">
        <f t="shared" si="213"/>
        <v>413.18918918918962</v>
      </c>
      <c r="T443" s="238">
        <f t="shared" si="214"/>
        <v>732.14592536484622</v>
      </c>
      <c r="U443" s="238">
        <f t="shared" si="215"/>
        <v>159.47836808782799</v>
      </c>
      <c r="W443" s="238">
        <f t="shared" si="216"/>
        <v>413.18918918918996</v>
      </c>
      <c r="X443" s="238">
        <f t="shared" si="217"/>
        <v>572.66755727701798</v>
      </c>
      <c r="Y443" s="238">
        <f t="shared" si="218"/>
        <v>732.14592536484599</v>
      </c>
      <c r="AA443" s="89"/>
      <c r="AB443" s="89"/>
      <c r="AC443" s="89"/>
      <c r="AD443" s="89"/>
      <c r="AE443" s="89"/>
      <c r="AF443" s="89"/>
      <c r="AG443" s="89"/>
      <c r="AH443" s="89"/>
      <c r="AI443" s="89"/>
      <c r="AJ443" s="89"/>
      <c r="AK443" s="89"/>
      <c r="AL443" s="89"/>
      <c r="AM443" s="89"/>
      <c r="AN443" s="89"/>
      <c r="BR443" s="180">
        <v>2031</v>
      </c>
      <c r="BS443" s="22">
        <v>17</v>
      </c>
      <c r="BT443" s="198">
        <f t="shared" si="229"/>
        <v>131.15244645454968</v>
      </c>
      <c r="BU443" s="276">
        <f t="shared" si="230"/>
        <v>421.54696731550206</v>
      </c>
      <c r="BV443" s="205">
        <f t="shared" si="231"/>
        <v>552.69941377005171</v>
      </c>
      <c r="BY443" s="180">
        <v>2031</v>
      </c>
      <c r="BZ443" s="22">
        <v>17</v>
      </c>
      <c r="CA443" s="198">
        <f t="shared" ca="1" si="232"/>
        <v>-17.580038724489334</v>
      </c>
      <c r="CB443" s="198">
        <f t="shared" ca="1" si="233"/>
        <v>164.24428405358844</v>
      </c>
      <c r="CC443" s="276">
        <f t="shared" ca="1" si="244"/>
        <v>410.84078456287187</v>
      </c>
      <c r="CD443" s="205">
        <f t="shared" ca="1" si="234"/>
        <v>557.50502989197093</v>
      </c>
      <c r="CG443" s="180">
        <v>2031</v>
      </c>
      <c r="CH443" s="22">
        <v>17</v>
      </c>
      <c r="CI443" s="198">
        <f t="shared" ca="1" si="235"/>
        <v>-2.8244786538408357</v>
      </c>
      <c r="CJ443" s="198">
        <f t="shared" ca="1" si="236"/>
        <v>-9.6050401724681294</v>
      </c>
      <c r="CK443" s="198">
        <f t="shared" ca="1" si="237"/>
        <v>158.14380109259375</v>
      </c>
      <c r="CL443" s="276">
        <f t="shared" ca="1" si="238"/>
        <v>411.87284319901585</v>
      </c>
      <c r="CM443" s="205">
        <f t="shared" ca="1" si="239"/>
        <v>557.58712546530069</v>
      </c>
      <c r="CP443" s="180">
        <v>2031</v>
      </c>
      <c r="CQ443" s="22">
        <v>17</v>
      </c>
      <c r="CR443" s="198">
        <f t="shared" ca="1" si="240"/>
        <v>429.26261557387249</v>
      </c>
      <c r="CS443" s="276">
        <f t="shared" ca="1" si="241"/>
        <v>1.277369827994727</v>
      </c>
      <c r="CT443" s="205">
        <f t="shared" ca="1" si="242"/>
        <v>548.3271134201641</v>
      </c>
      <c r="CZ443" s="164" t="b">
        <f t="shared" si="219"/>
        <v>1</v>
      </c>
      <c r="DA443" s="165" t="b">
        <f t="shared" si="219"/>
        <v>1</v>
      </c>
      <c r="DB443" s="166" t="b">
        <f t="shared" si="219"/>
        <v>1</v>
      </c>
      <c r="DC443" s="164">
        <f t="shared" si="220"/>
        <v>19</v>
      </c>
      <c r="DD443" s="166">
        <f t="shared" si="221"/>
        <v>413.18918918918996</v>
      </c>
      <c r="DE443" s="164">
        <f t="shared" si="222"/>
        <v>19</v>
      </c>
      <c r="DF443" s="166">
        <f t="shared" si="223"/>
        <v>572.66755727701798</v>
      </c>
      <c r="DG443" s="164">
        <f t="shared" si="224"/>
        <v>19</v>
      </c>
      <c r="DH443" s="166">
        <f t="shared" si="225"/>
        <v>732.14592536484599</v>
      </c>
      <c r="DI443" s="164">
        <f>IFERROR(INDEX(DC$422:DC$470,_xlfn.AGGREGATE(15,6,(ROW(DC$422:DC$470)-ROW(DC$422)+1)/(DC$422:DC$470&lt;&gt;""),ROWS(DI$1:DI22))),"")</f>
        <v>22</v>
      </c>
      <c r="DJ443" s="165">
        <f>IFERROR(INDEX(DD$422:DD$470,_xlfn.AGGREGATE(15,6,(ROW(DD$422:DD$470)-ROW(DD$422)+1)/(DD$422:DD$470&lt;&gt;""),ROWS(DJ$1:DJ22))),"")</f>
        <v>435.56756756756795</v>
      </c>
      <c r="DK443" s="166">
        <f t="shared" si="226"/>
        <v>443</v>
      </c>
      <c r="DL443" s="164">
        <f>IFERROR(INDEX(DE$422:DE$470,_xlfn.AGGREGATE(15,6,(ROW(DE$422:DE$470)-ROW(DE$422)+1)/(DE$422:DE$470&lt;&gt;""),ROWS(DL$1:DL22))),"")</f>
        <v>22</v>
      </c>
      <c r="DM443" s="165">
        <f>IFERROR(INDEX(DF$422:DF$470,_xlfn.AGGREGATE(15,6,(ROW(DF$422:DF$470)-ROW(DF$422)+1)/(DF$422:DF$470&lt;&gt;""),ROWS(DM$1:DM22))),"")</f>
        <v>593.97460344109516</v>
      </c>
      <c r="DN443" s="166">
        <f t="shared" si="227"/>
        <v>443</v>
      </c>
      <c r="DO443" s="164">
        <f>IFERROR(INDEX(DG$422:DG$470,_xlfn.AGGREGATE(15,6,(ROW(DG$422:DG$470)-ROW(DG$422)+1)/(DG$422:DG$470&lt;&gt;""),ROWS(DO$1:DO22))),"")</f>
        <v>22</v>
      </c>
      <c r="DP443" s="165">
        <f>IFERROR(INDEX(DH$422:DH$470,_xlfn.AGGREGATE(15,6,(ROW(DH$422:DH$470)-ROW(DH$422)+1)/(DH$422:DH$470&lt;&gt;""),ROWS(DP$1:DP22))),"")</f>
        <v>752.38163931462236</v>
      </c>
      <c r="DQ443" s="166">
        <f t="shared" si="228"/>
        <v>443</v>
      </c>
      <c r="DR443" s="65"/>
      <c r="DV443" s="145">
        <v>2036</v>
      </c>
      <c r="DW443" s="235">
        <f t="shared" ca="1" si="212"/>
        <v>594.32205307109928</v>
      </c>
    </row>
    <row r="444" spans="1:135" ht="13.8" x14ac:dyDescent="0.45">
      <c r="B444" s="128">
        <v>2034</v>
      </c>
      <c r="C444" s="244">
        <f>'Total MSW Summaries (Archive)'!I25</f>
        <v>739.04087127117464</v>
      </c>
      <c r="D444" s="244">
        <f>'Total MSW Summaries (Archive)'!BE25</f>
        <v>420.6486486486491</v>
      </c>
      <c r="E444" s="245"/>
      <c r="F444" s="246"/>
      <c r="G444" s="247"/>
      <c r="H444" s="245"/>
      <c r="I444" s="246"/>
      <c r="J444" s="247"/>
      <c r="K444" s="245"/>
      <c r="L444" s="246"/>
      <c r="M444" s="245"/>
      <c r="N444" s="29" t="s">
        <v>119</v>
      </c>
      <c r="O444" s="120"/>
      <c r="P444" s="120"/>
      <c r="Q444" s="120"/>
      <c r="R444" s="29">
        <v>20</v>
      </c>
      <c r="S444" s="238">
        <f t="shared" si="213"/>
        <v>420.6486486486491</v>
      </c>
      <c r="T444" s="238">
        <f t="shared" si="214"/>
        <v>739.04087127117464</v>
      </c>
      <c r="U444" s="238">
        <f t="shared" si="215"/>
        <v>159.19611131126237</v>
      </c>
      <c r="W444" s="238">
        <f t="shared" si="216"/>
        <v>420.64864864864956</v>
      </c>
      <c r="X444" s="238">
        <f t="shared" si="217"/>
        <v>579.84475995991193</v>
      </c>
      <c r="Y444" s="238">
        <f t="shared" si="218"/>
        <v>739.0408712711743</v>
      </c>
      <c r="AA444" s="89"/>
      <c r="AB444" s="89"/>
      <c r="AC444" s="89"/>
      <c r="AD444" s="89"/>
      <c r="AE444" s="89"/>
      <c r="AF444" s="89"/>
      <c r="AG444" s="89"/>
      <c r="AH444" s="89"/>
      <c r="AI444" s="89"/>
      <c r="AJ444" s="89"/>
      <c r="AK444" s="89"/>
      <c r="AL444" s="89"/>
      <c r="AM444" s="89"/>
      <c r="AN444" s="89"/>
      <c r="BR444" s="180">
        <v>2032</v>
      </c>
      <c r="BS444" s="22">
        <v>18</v>
      </c>
      <c r="BT444" s="198">
        <f t="shared" si="229"/>
        <v>138.86729624599377</v>
      </c>
      <c r="BU444" s="276">
        <f t="shared" si="230"/>
        <v>421.54696731550206</v>
      </c>
      <c r="BV444" s="205">
        <f t="shared" si="231"/>
        <v>560.41426356149577</v>
      </c>
      <c r="BY444" s="180">
        <v>2032</v>
      </c>
      <c r="BZ444" s="22">
        <v>18</v>
      </c>
      <c r="CA444" s="198">
        <f t="shared" ca="1" si="232"/>
        <v>-19.709109158251017</v>
      </c>
      <c r="CB444" s="198">
        <f t="shared" ca="1" si="233"/>
        <v>173.90571252732894</v>
      </c>
      <c r="CC444" s="276">
        <f t="shared" ca="1" si="244"/>
        <v>410.84078456287187</v>
      </c>
      <c r="CD444" s="205">
        <f t="shared" ca="1" si="234"/>
        <v>565.03738793194975</v>
      </c>
      <c r="CG444" s="180">
        <v>2032</v>
      </c>
      <c r="CH444" s="22">
        <v>18</v>
      </c>
      <c r="CI444" s="198">
        <f t="shared" ca="1" si="235"/>
        <v>-3.3528108099327816</v>
      </c>
      <c r="CJ444" s="198">
        <f t="shared" ca="1" si="236"/>
        <v>-10.768280331763579</v>
      </c>
      <c r="CK444" s="198">
        <f t="shared" ca="1" si="237"/>
        <v>167.44637762745222</v>
      </c>
      <c r="CL444" s="276">
        <f t="shared" ca="1" si="238"/>
        <v>411.87284319901585</v>
      </c>
      <c r="CM444" s="205">
        <f t="shared" ca="1" si="239"/>
        <v>565.19812968477174</v>
      </c>
      <c r="CP444" s="180">
        <v>2032</v>
      </c>
      <c r="CQ444" s="22">
        <v>18</v>
      </c>
      <c r="CR444" s="198">
        <f t="shared" ca="1" si="240"/>
        <v>429.26261557387249</v>
      </c>
      <c r="CS444" s="276">
        <f t="shared" ca="1" si="241"/>
        <v>1.2958972687307306</v>
      </c>
      <c r="CT444" s="205">
        <f t="shared" ca="1" si="242"/>
        <v>556.28025109039095</v>
      </c>
      <c r="CZ444" s="164" t="b">
        <f t="shared" si="219"/>
        <v>1</v>
      </c>
      <c r="DA444" s="165" t="b">
        <f t="shared" si="219"/>
        <v>1</v>
      </c>
      <c r="DB444" s="166" t="b">
        <f t="shared" si="219"/>
        <v>1</v>
      </c>
      <c r="DC444" s="164">
        <f t="shared" si="220"/>
        <v>20</v>
      </c>
      <c r="DD444" s="166">
        <f t="shared" si="221"/>
        <v>420.64864864864956</v>
      </c>
      <c r="DE444" s="164">
        <f t="shared" si="222"/>
        <v>20</v>
      </c>
      <c r="DF444" s="166">
        <f t="shared" si="223"/>
        <v>579.84475995991193</v>
      </c>
      <c r="DG444" s="164">
        <f t="shared" si="224"/>
        <v>20</v>
      </c>
      <c r="DH444" s="166">
        <f t="shared" si="225"/>
        <v>739.0408712711743</v>
      </c>
      <c r="DI444" s="164">
        <f>IFERROR(INDEX(DC$422:DC$470,_xlfn.AGGREGATE(15,6,(ROW(DC$422:DC$470)-ROW(DC$422)+1)/(DC$422:DC$470&lt;&gt;""),ROWS(DI$1:DI23))),"")</f>
        <v>23</v>
      </c>
      <c r="DJ444" s="165">
        <f>IFERROR(INDEX(DD$422:DD$470,_xlfn.AGGREGATE(15,6,(ROW(DD$422:DD$470)-ROW(DD$422)+1)/(DD$422:DD$470&lt;&gt;""),ROWS(DJ$1:DJ23))),"")</f>
        <v>443.02702702702805</v>
      </c>
      <c r="DK444" s="166">
        <f t="shared" si="226"/>
        <v>444</v>
      </c>
      <c r="DL444" s="164">
        <f>IFERROR(INDEX(DE$422:DE$470,_xlfn.AGGREGATE(15,6,(ROW(DE$422:DE$470)-ROW(DE$422)+1)/(DE$422:DE$470&lt;&gt;""),ROWS(DL$1:DL23))),"")</f>
        <v>23</v>
      </c>
      <c r="DM444" s="165">
        <f>IFERROR(INDEX(DF$422:DF$470,_xlfn.AGGREGATE(15,6,(ROW(DF$422:DF$470)-ROW(DF$422)+1)/(DF$422:DF$470&lt;&gt;""),ROWS(DM$1:DM23))),"")</f>
        <v>600.92778563894944</v>
      </c>
      <c r="DN444" s="166">
        <f t="shared" si="227"/>
        <v>444</v>
      </c>
      <c r="DO444" s="164">
        <f>IFERROR(INDEX(DG$422:DG$470,_xlfn.AGGREGATE(15,6,(ROW(DG$422:DG$470)-ROW(DG$422)+1)/(DG$422:DG$470&lt;&gt;""),ROWS(DO$1:DO23))),"")</f>
        <v>23</v>
      </c>
      <c r="DP444" s="165">
        <f>IFERROR(INDEX(DH$422:DH$470,_xlfn.AGGREGATE(15,6,(ROW(DH$422:DH$470)-ROW(DH$422)+1)/(DH$422:DH$470&lt;&gt;""),ROWS(DP$1:DP23))),"")</f>
        <v>758.82854425087089</v>
      </c>
      <c r="DQ444" s="166">
        <f t="shared" si="228"/>
        <v>444</v>
      </c>
      <c r="DR444" s="65"/>
      <c r="DV444" s="145">
        <v>2037</v>
      </c>
      <c r="DW444" s="235">
        <f t="shared" ca="1" si="212"/>
        <v>601.25576357560522</v>
      </c>
    </row>
    <row r="445" spans="1:135" ht="13.8" x14ac:dyDescent="0.45">
      <c r="B445" s="128">
        <v>2035</v>
      </c>
      <c r="C445" s="244">
        <f>'Total MSW Summaries (Archive)'!I26</f>
        <v>745.78549047391311</v>
      </c>
      <c r="D445" s="244">
        <f>'Total MSW Summaries (Archive)'!BE26</f>
        <v>428.10810810810858</v>
      </c>
      <c r="E445" s="245"/>
      <c r="F445" s="246"/>
      <c r="G445" s="247"/>
      <c r="H445" s="245"/>
      <c r="I445" s="246"/>
      <c r="J445" s="247"/>
      <c r="K445" s="245"/>
      <c r="L445" s="246"/>
      <c r="M445" s="245"/>
      <c r="N445" s="29" t="s">
        <v>119</v>
      </c>
      <c r="O445" s="120"/>
      <c r="P445" s="120"/>
      <c r="Q445" s="120"/>
      <c r="R445" s="29">
        <v>21</v>
      </c>
      <c r="S445" s="238">
        <f t="shared" si="213"/>
        <v>428.10810810810858</v>
      </c>
      <c r="T445" s="238">
        <f t="shared" si="214"/>
        <v>745.78549047391311</v>
      </c>
      <c r="U445" s="238">
        <f t="shared" si="215"/>
        <v>158.83869118290218</v>
      </c>
      <c r="W445" s="238">
        <f t="shared" si="216"/>
        <v>428.10810810810869</v>
      </c>
      <c r="X445" s="238">
        <f t="shared" si="217"/>
        <v>586.94679929101085</v>
      </c>
      <c r="Y445" s="238">
        <f t="shared" si="218"/>
        <v>745.785490473913</v>
      </c>
      <c r="AA445" s="89"/>
      <c r="AB445" s="89"/>
      <c r="AC445" s="89"/>
      <c r="AD445" s="89"/>
      <c r="AE445" s="89"/>
      <c r="AF445" s="89"/>
      <c r="AG445" s="89"/>
      <c r="AH445" s="89"/>
      <c r="AI445" s="89"/>
      <c r="AJ445" s="89"/>
      <c r="AK445" s="89"/>
      <c r="AL445" s="89"/>
      <c r="AM445" s="89"/>
      <c r="AN445" s="89"/>
      <c r="BR445" s="180">
        <v>2033</v>
      </c>
      <c r="BS445" s="22">
        <v>19</v>
      </c>
      <c r="BT445" s="198">
        <f t="shared" si="229"/>
        <v>146.58214603743787</v>
      </c>
      <c r="BU445" s="276">
        <f t="shared" si="230"/>
        <v>421.54696731550206</v>
      </c>
      <c r="BV445" s="205">
        <f t="shared" si="231"/>
        <v>568.12911335293995</v>
      </c>
      <c r="BY445" s="180">
        <v>2033</v>
      </c>
      <c r="BZ445" s="22">
        <v>19</v>
      </c>
      <c r="CA445" s="198">
        <f t="shared" ca="1" si="232"/>
        <v>-21.959840759656228</v>
      </c>
      <c r="CB445" s="198">
        <f t="shared" ca="1" si="233"/>
        <v>183.56714100106944</v>
      </c>
      <c r="CC445" s="276">
        <f t="shared" ca="1" si="244"/>
        <v>410.84078456287187</v>
      </c>
      <c r="CD445" s="205">
        <f t="shared" ca="1" si="234"/>
        <v>572.44808480428514</v>
      </c>
      <c r="CG445" s="180">
        <v>2033</v>
      </c>
      <c r="CH445" s="22">
        <v>19</v>
      </c>
      <c r="CI445" s="198">
        <f t="shared" ca="1" si="235"/>
        <v>-3.9432320550975564</v>
      </c>
      <c r="CJ445" s="198">
        <f t="shared" ca="1" si="236"/>
        <v>-11.997991357304482</v>
      </c>
      <c r="CK445" s="198">
        <f t="shared" ca="1" si="237"/>
        <v>176.74895416231067</v>
      </c>
      <c r="CL445" s="276">
        <f t="shared" ca="1" si="238"/>
        <v>411.87284319901585</v>
      </c>
      <c r="CM445" s="205">
        <f t="shared" ca="1" si="239"/>
        <v>572.68057394892446</v>
      </c>
      <c r="CP445" s="180">
        <v>2033</v>
      </c>
      <c r="CQ445" s="22">
        <v>19</v>
      </c>
      <c r="CR445" s="198">
        <f t="shared" ca="1" si="240"/>
        <v>429.26261557387249</v>
      </c>
      <c r="CS445" s="276">
        <f t="shared" ca="1" si="241"/>
        <v>1.3146934382661026</v>
      </c>
      <c r="CT445" s="205">
        <f t="shared" ca="1" si="242"/>
        <v>564.34874398791465</v>
      </c>
      <c r="CZ445" s="164" t="b">
        <f t="shared" si="219"/>
        <v>1</v>
      </c>
      <c r="DA445" s="165" t="b">
        <f t="shared" si="219"/>
        <v>1</v>
      </c>
      <c r="DB445" s="166" t="b">
        <f t="shared" si="219"/>
        <v>1</v>
      </c>
      <c r="DC445" s="164">
        <f t="shared" si="220"/>
        <v>21</v>
      </c>
      <c r="DD445" s="166">
        <f t="shared" si="221"/>
        <v>428.10810810810869</v>
      </c>
      <c r="DE445" s="164">
        <f t="shared" si="222"/>
        <v>21</v>
      </c>
      <c r="DF445" s="166">
        <f t="shared" si="223"/>
        <v>586.94679929101085</v>
      </c>
      <c r="DG445" s="164">
        <f t="shared" si="224"/>
        <v>21</v>
      </c>
      <c r="DH445" s="166">
        <f t="shared" si="225"/>
        <v>745.785490473913</v>
      </c>
      <c r="DI445" s="164">
        <f>IFERROR(INDEX(DC$422:DC$470,_xlfn.AGGREGATE(15,6,(ROW(DC$422:DC$470)-ROW(DC$422)+1)/(DC$422:DC$470&lt;&gt;""),ROWS(DI$1:DI24))),"")</f>
        <v>24</v>
      </c>
      <c r="DJ445" s="165">
        <f>IFERROR(INDEX(DD$422:DD$470,_xlfn.AGGREGATE(15,6,(ROW(DD$422:DD$470)-ROW(DD$422)+1)/(DD$422:DD$470&lt;&gt;""),ROWS(DJ$1:DJ24))),"")</f>
        <v>450.48648648648702</v>
      </c>
      <c r="DK445" s="166">
        <f t="shared" si="226"/>
        <v>445</v>
      </c>
      <c r="DL445" s="164">
        <f>IFERROR(INDEX(DE$422:DE$470,_xlfn.AGGREGATE(15,6,(ROW(DE$422:DE$470)-ROW(DE$422)+1)/(DE$422:DE$470&lt;&gt;""),ROWS(DL$1:DL24))),"")</f>
        <v>24</v>
      </c>
      <c r="DM445" s="165">
        <f>IFERROR(INDEX(DF$422:DF$470,_xlfn.AGGREGATE(15,6,(ROW(DF$422:DF$470)-ROW(DF$422)+1)/(DF$422:DF$470&lt;&gt;""),ROWS(DM$1:DM24))),"")</f>
        <v>607.80293814701611</v>
      </c>
      <c r="DN445" s="166">
        <f t="shared" si="227"/>
        <v>445</v>
      </c>
      <c r="DO445" s="164">
        <f>IFERROR(INDEX(DG$422:DG$470,_xlfn.AGGREGATE(15,6,(ROW(DG$422:DG$470)-ROW(DG$422)+1)/(DG$422:DG$470&lt;&gt;""),ROWS(DO$1:DO24))),"")</f>
        <v>24</v>
      </c>
      <c r="DP445" s="165">
        <f>IFERROR(INDEX(DH$422:DH$470,_xlfn.AGGREGATE(15,6,(ROW(DH$422:DH$470)-ROW(DH$422)+1)/(DH$422:DH$470&lt;&gt;""),ROWS(DP$1:DP24))),"")</f>
        <v>765.11938980754519</v>
      </c>
      <c r="DQ445" s="166">
        <f t="shared" si="228"/>
        <v>445</v>
      </c>
      <c r="DR445" s="65"/>
      <c r="DV445" s="145">
        <v>2038</v>
      </c>
      <c r="DW445" s="235">
        <f t="shared" ca="1" si="212"/>
        <v>608.04366715560582</v>
      </c>
    </row>
    <row r="446" spans="1:135" ht="13.8" x14ac:dyDescent="0.45">
      <c r="B446" s="128">
        <v>2036</v>
      </c>
      <c r="C446" s="244">
        <f>'Total MSW Summaries (Archive)'!I27</f>
        <v>752.38163931462225</v>
      </c>
      <c r="D446" s="244">
        <f>'Total MSW Summaries (Archive)'!BE27</f>
        <v>435.56756756756806</v>
      </c>
      <c r="E446" s="245"/>
      <c r="F446" s="246"/>
      <c r="G446" s="247"/>
      <c r="H446" s="245"/>
      <c r="I446" s="246"/>
      <c r="J446" s="247"/>
      <c r="K446" s="245"/>
      <c r="L446" s="246"/>
      <c r="M446" s="245"/>
      <c r="N446" s="29" t="s">
        <v>119</v>
      </c>
      <c r="O446" s="120"/>
      <c r="P446" s="120"/>
      <c r="Q446" s="120"/>
      <c r="R446" s="29">
        <v>22</v>
      </c>
      <c r="S446" s="238">
        <f t="shared" si="213"/>
        <v>435.56756756756806</v>
      </c>
      <c r="T446" s="238">
        <f t="shared" si="214"/>
        <v>752.38163931462225</v>
      </c>
      <c r="U446" s="238">
        <f t="shared" si="215"/>
        <v>158.40703587352724</v>
      </c>
      <c r="W446" s="238">
        <f t="shared" si="216"/>
        <v>435.56756756756795</v>
      </c>
      <c r="X446" s="238">
        <f t="shared" si="217"/>
        <v>593.97460344109516</v>
      </c>
      <c r="Y446" s="238">
        <f t="shared" si="218"/>
        <v>752.38163931462236</v>
      </c>
      <c r="AA446" s="89"/>
      <c r="AB446" s="89"/>
      <c r="AC446" s="89"/>
      <c r="AD446" s="89"/>
      <c r="AE446" s="89"/>
      <c r="AF446" s="89"/>
      <c r="AG446" s="89"/>
      <c r="AH446" s="89"/>
      <c r="AI446" s="89"/>
      <c r="AJ446" s="89"/>
      <c r="AK446" s="89"/>
      <c r="AL446" s="89"/>
      <c r="AM446" s="89"/>
      <c r="AN446" s="89"/>
      <c r="BR446" s="180">
        <v>2034</v>
      </c>
      <c r="BS446" s="22">
        <v>20</v>
      </c>
      <c r="BT446" s="198">
        <f t="shared" si="229"/>
        <v>154.29699582888196</v>
      </c>
      <c r="BU446" s="276">
        <f t="shared" si="230"/>
        <v>421.54696731550206</v>
      </c>
      <c r="BV446" s="205">
        <f t="shared" si="231"/>
        <v>575.84396314438402</v>
      </c>
      <c r="BY446" s="180">
        <v>2034</v>
      </c>
      <c r="BZ446" s="22">
        <v>20</v>
      </c>
      <c r="CA446" s="198">
        <f t="shared" ca="1" si="232"/>
        <v>-24.332233528704961</v>
      </c>
      <c r="CB446" s="198">
        <f t="shared" ca="1" si="233"/>
        <v>193.22856947480994</v>
      </c>
      <c r="CC446" s="276">
        <f t="shared" ca="1" si="244"/>
        <v>410.84078456287187</v>
      </c>
      <c r="CD446" s="205">
        <f t="shared" ca="1" si="234"/>
        <v>579.73712050897689</v>
      </c>
      <c r="CG446" s="180">
        <v>2034</v>
      </c>
      <c r="CH446" s="22">
        <v>20</v>
      </c>
      <c r="CI446" s="198">
        <f t="shared" ca="1" si="235"/>
        <v>-4.5991917831725395</v>
      </c>
      <c r="CJ446" s="198">
        <f t="shared" ca="1" si="236"/>
        <v>-13.294173249090838</v>
      </c>
      <c r="CK446" s="198">
        <f t="shared" ca="1" si="237"/>
        <v>186.05153069716914</v>
      </c>
      <c r="CL446" s="276">
        <f t="shared" ca="1" si="238"/>
        <v>411.87284319901585</v>
      </c>
      <c r="CM446" s="205">
        <f t="shared" ca="1" si="239"/>
        <v>580.03100886392167</v>
      </c>
      <c r="CP446" s="180">
        <v>2034</v>
      </c>
      <c r="CQ446" s="22">
        <v>20</v>
      </c>
      <c r="CR446" s="198">
        <f t="shared" ca="1" si="240"/>
        <v>429.26261557387249</v>
      </c>
      <c r="CS446" s="276">
        <f t="shared" ca="1" si="241"/>
        <v>1.3337622343419628</v>
      </c>
      <c r="CT446" s="205">
        <f t="shared" ca="1" si="242"/>
        <v>572.53426526728322</v>
      </c>
      <c r="CZ446" s="164" t="b">
        <f t="shared" si="219"/>
        <v>1</v>
      </c>
      <c r="DA446" s="165" t="b">
        <f t="shared" si="219"/>
        <v>1</v>
      </c>
      <c r="DB446" s="166" t="b">
        <f t="shared" si="219"/>
        <v>1</v>
      </c>
      <c r="DC446" s="164">
        <f t="shared" si="220"/>
        <v>22</v>
      </c>
      <c r="DD446" s="166">
        <f t="shared" si="221"/>
        <v>435.56756756756795</v>
      </c>
      <c r="DE446" s="164">
        <f t="shared" si="222"/>
        <v>22</v>
      </c>
      <c r="DF446" s="166">
        <f t="shared" si="223"/>
        <v>593.97460344109516</v>
      </c>
      <c r="DG446" s="164">
        <f t="shared" si="224"/>
        <v>22</v>
      </c>
      <c r="DH446" s="166">
        <f t="shared" si="225"/>
        <v>752.38163931462236</v>
      </c>
      <c r="DI446" s="164">
        <f>IFERROR(INDEX(DC$422:DC$470,_xlfn.AGGREGATE(15,6,(ROW(DC$422:DC$470)-ROW(DC$422)+1)/(DC$422:DC$470&lt;&gt;""),ROWS(DI$1:DI25))),"")</f>
        <v>25</v>
      </c>
      <c r="DJ446" s="165">
        <f>IFERROR(INDEX(DD$422:DD$470,_xlfn.AGGREGATE(15,6,(ROW(DD$422:DD$470)-ROW(DD$422)+1)/(DD$422:DD$470&lt;&gt;""),ROWS(DJ$1:DJ25))),"")</f>
        <v>457.94594594594668</v>
      </c>
      <c r="DK446" s="166">
        <f t="shared" si="226"/>
        <v>446</v>
      </c>
      <c r="DL446" s="164">
        <f>IFERROR(INDEX(DE$422:DE$470,_xlfn.AGGREGATE(15,6,(ROW(DE$422:DE$470)-ROW(DE$422)+1)/(DE$422:DE$470&lt;&gt;""),ROWS(DL$1:DL25))),"")</f>
        <v>25</v>
      </c>
      <c r="DM446" s="165">
        <f>IFERROR(INDEX(DF$422:DF$470,_xlfn.AGGREGATE(15,6,(ROW(DF$422:DF$470)-ROW(DF$422)+1)/(DF$422:DF$470&lt;&gt;""),ROWS(DM$1:DM25))),"")</f>
        <v>614.59512809275759</v>
      </c>
      <c r="DN446" s="166">
        <f t="shared" si="227"/>
        <v>446</v>
      </c>
      <c r="DO446" s="164">
        <f>IFERROR(INDEX(DG$422:DG$470,_xlfn.AGGREGATE(15,6,(ROW(DG$422:DG$470)-ROW(DG$422)+1)/(DG$422:DG$470&lt;&gt;""),ROWS(DO$1:DO25))),"")</f>
        <v>25</v>
      </c>
      <c r="DP446" s="165">
        <f>IFERROR(INDEX(DH$422:DH$470,_xlfn.AGGREGATE(15,6,(ROW(DH$422:DH$470)-ROW(DH$422)+1)/(DH$422:DH$470&lt;&gt;""),ROWS(DP$1:DP25))),"")</f>
        <v>771.24431023956845</v>
      </c>
      <c r="DQ446" s="166">
        <f t="shared" si="228"/>
        <v>446</v>
      </c>
      <c r="DR446" s="65"/>
      <c r="DV446" s="145">
        <v>2039</v>
      </c>
      <c r="DW446" s="235">
        <f t="shared" ca="1" si="212"/>
        <v>614.68231441726391</v>
      </c>
    </row>
    <row r="447" spans="1:135" ht="13.8" x14ac:dyDescent="0.45">
      <c r="B447" s="128">
        <v>2037</v>
      </c>
      <c r="C447" s="244">
        <f>'Total MSW Summaries (Archive)'!I28</f>
        <v>758.82854425087123</v>
      </c>
      <c r="D447" s="244">
        <f>'Total MSW Summaries (Archive)'!BE28</f>
        <v>443.02702702702754</v>
      </c>
      <c r="E447" s="245"/>
      <c r="F447" s="246"/>
      <c r="G447" s="247"/>
      <c r="H447" s="245"/>
      <c r="I447" s="246"/>
      <c r="J447" s="247"/>
      <c r="K447" s="245"/>
      <c r="L447" s="246"/>
      <c r="M447" s="245"/>
      <c r="N447" s="29" t="s">
        <v>119</v>
      </c>
      <c r="O447" s="120"/>
      <c r="P447" s="120"/>
      <c r="Q447" s="120"/>
      <c r="R447" s="29">
        <v>23</v>
      </c>
      <c r="S447" s="238">
        <f t="shared" si="213"/>
        <v>443.02702702702754</v>
      </c>
      <c r="T447" s="238">
        <f t="shared" si="214"/>
        <v>758.82854425087123</v>
      </c>
      <c r="U447" s="238">
        <f t="shared" si="215"/>
        <v>157.90075861192139</v>
      </c>
      <c r="W447" s="238">
        <f t="shared" si="216"/>
        <v>443.02702702702805</v>
      </c>
      <c r="X447" s="238">
        <f t="shared" si="217"/>
        <v>600.92778563894944</v>
      </c>
      <c r="Y447" s="238">
        <f t="shared" si="218"/>
        <v>758.82854425087089</v>
      </c>
      <c r="AA447" s="89"/>
      <c r="AB447" s="89"/>
      <c r="AC447" s="89"/>
      <c r="AD447" s="89"/>
      <c r="AE447" s="89"/>
      <c r="AF447" s="89"/>
      <c r="AG447" s="89"/>
      <c r="AH447" s="89"/>
      <c r="AI447" s="89"/>
      <c r="AJ447" s="89"/>
      <c r="AK447" s="89"/>
      <c r="AL447" s="89"/>
      <c r="AM447" s="89"/>
      <c r="AN447" s="89"/>
      <c r="BR447" s="180">
        <v>2035</v>
      </c>
      <c r="BS447" s="22">
        <v>21</v>
      </c>
      <c r="BT447" s="198">
        <f t="shared" si="229"/>
        <v>162.01184562032606</v>
      </c>
      <c r="BU447" s="276">
        <f t="shared" si="230"/>
        <v>421.54696731550206</v>
      </c>
      <c r="BV447" s="205">
        <f t="shared" si="231"/>
        <v>583.55881293582809</v>
      </c>
      <c r="BY447" s="180">
        <v>2035</v>
      </c>
      <c r="BZ447" s="22">
        <v>21</v>
      </c>
      <c r="CA447" s="198">
        <f t="shared" ca="1" si="232"/>
        <v>-26.826287465397218</v>
      </c>
      <c r="CB447" s="198">
        <f t="shared" ca="1" si="233"/>
        <v>202.88999794855042</v>
      </c>
      <c r="CC447" s="276">
        <f t="shared" ca="1" si="244"/>
        <v>410.84078456287187</v>
      </c>
      <c r="CD447" s="205">
        <f t="shared" ca="1" si="234"/>
        <v>586.90449504602509</v>
      </c>
      <c r="CG447" s="180">
        <v>2035</v>
      </c>
      <c r="CH447" s="22">
        <v>21</v>
      </c>
      <c r="CI447" s="198">
        <f t="shared" ca="1" si="235"/>
        <v>-5.3241393879951113</v>
      </c>
      <c r="CJ447" s="198">
        <f t="shared" ca="1" si="236"/>
        <v>-14.656826007122648</v>
      </c>
      <c r="CK447" s="198">
        <f t="shared" ca="1" si="237"/>
        <v>195.35410723202759</v>
      </c>
      <c r="CL447" s="276">
        <f t="shared" ca="1" si="238"/>
        <v>411.87284319901585</v>
      </c>
      <c r="CM447" s="205">
        <f t="shared" ca="1" si="239"/>
        <v>587.24598503592574</v>
      </c>
      <c r="CP447" s="180">
        <v>2035</v>
      </c>
      <c r="CQ447" s="22">
        <v>21</v>
      </c>
      <c r="CR447" s="198">
        <f t="shared" ca="1" si="240"/>
        <v>429.26261557387249</v>
      </c>
      <c r="CS447" s="276">
        <f t="shared" ca="1" si="241"/>
        <v>1.3531076112336995</v>
      </c>
      <c r="CT447" s="205">
        <f t="shared" ca="1" si="242"/>
        <v>580.8385123510925</v>
      </c>
      <c r="CZ447" s="164" t="b">
        <f t="shared" si="219"/>
        <v>1</v>
      </c>
      <c r="DA447" s="165" t="b">
        <f t="shared" si="219"/>
        <v>1</v>
      </c>
      <c r="DB447" s="166" t="b">
        <f t="shared" si="219"/>
        <v>1</v>
      </c>
      <c r="DC447" s="164">
        <f t="shared" si="220"/>
        <v>23</v>
      </c>
      <c r="DD447" s="166">
        <f t="shared" si="221"/>
        <v>443.02702702702805</v>
      </c>
      <c r="DE447" s="164">
        <f t="shared" si="222"/>
        <v>23</v>
      </c>
      <c r="DF447" s="166">
        <f t="shared" si="223"/>
        <v>600.92778563894944</v>
      </c>
      <c r="DG447" s="164">
        <f t="shared" si="224"/>
        <v>23</v>
      </c>
      <c r="DH447" s="166">
        <f t="shared" si="225"/>
        <v>758.82854425087089</v>
      </c>
      <c r="DI447" s="164">
        <f>IFERROR(INDEX(DC$422:DC$470,_xlfn.AGGREGATE(15,6,(ROW(DC$422:DC$470)-ROW(DC$422)+1)/(DC$422:DC$470&lt;&gt;""),ROWS(DI$1:DI26))),"")</f>
        <v>26</v>
      </c>
      <c r="DJ447" s="165">
        <f>IFERROR(INDEX(DD$422:DD$470,_xlfn.AGGREGATE(15,6,(ROW(DD$422:DD$470)-ROW(DD$422)+1)/(DD$422:DD$470&lt;&gt;""),ROWS(DJ$1:DJ26))),"")</f>
        <v>465.4054054054061</v>
      </c>
      <c r="DK447" s="166">
        <f t="shared" si="226"/>
        <v>447</v>
      </c>
      <c r="DL447" s="164">
        <f>IFERROR(INDEX(DE$422:DE$470,_xlfn.AGGREGATE(15,6,(ROW(DE$422:DE$470)-ROW(DE$422)+1)/(DE$422:DE$470&lt;&gt;""),ROWS(DL$1:DL26))),"")</f>
        <v>26</v>
      </c>
      <c r="DM447" s="165">
        <f>IFERROR(INDEX(DF$422:DF$470,_xlfn.AGGREGATE(15,6,(ROW(DF$422:DF$470)-ROW(DF$422)+1)/(DF$422:DF$470&lt;&gt;""),ROWS(DM$1:DM26))),"")</f>
        <v>621.30006769945612</v>
      </c>
      <c r="DN447" s="166">
        <f t="shared" si="227"/>
        <v>447</v>
      </c>
      <c r="DO447" s="164">
        <f>IFERROR(INDEX(DG$422:DG$470,_xlfn.AGGREGATE(15,6,(ROW(DG$422:DG$470)-ROW(DG$422)+1)/(DG$422:DG$470&lt;&gt;""),ROWS(DO$1:DO26))),"")</f>
        <v>26</v>
      </c>
      <c r="DP447" s="165">
        <f>IFERROR(INDEX(DH$422:DH$470,_xlfn.AGGREGATE(15,6,(ROW(DH$422:DH$470)-ROW(DH$422)+1)/(DH$422:DH$470&lt;&gt;""),ROWS(DP$1:DP26))),"")</f>
        <v>777.19472999350614</v>
      </c>
      <c r="DQ447" s="166">
        <f t="shared" si="228"/>
        <v>447</v>
      </c>
      <c r="DR447" s="65"/>
      <c r="DV447" s="145">
        <v>2040</v>
      </c>
      <c r="DW447" s="235">
        <f t="shared" ca="1" si="212"/>
        <v>621.16825596674209</v>
      </c>
    </row>
    <row r="448" spans="1:135" ht="13.8" x14ac:dyDescent="0.45">
      <c r="B448" s="128">
        <v>2038</v>
      </c>
      <c r="C448" s="244">
        <f>'Total MSW Summaries (Archive)'!I29</f>
        <v>765.11938980754519</v>
      </c>
      <c r="D448" s="244">
        <f>'Total MSW Summaries (Archive)'!BE29</f>
        <v>450.48648648648702</v>
      </c>
      <c r="E448" s="245"/>
      <c r="F448" s="246"/>
      <c r="G448" s="247"/>
      <c r="H448" s="245"/>
      <c r="I448" s="246"/>
      <c r="J448" s="247"/>
      <c r="K448" s="245"/>
      <c r="L448" s="246"/>
      <c r="M448" s="245"/>
      <c r="N448" s="29" t="s">
        <v>119</v>
      </c>
      <c r="O448" s="120"/>
      <c r="P448" s="120"/>
      <c r="Q448" s="120"/>
      <c r="R448" s="29">
        <v>24</v>
      </c>
      <c r="S448" s="238">
        <f t="shared" si="213"/>
        <v>450.48648648648702</v>
      </c>
      <c r="T448" s="238">
        <f t="shared" si="214"/>
        <v>765.11938980754519</v>
      </c>
      <c r="U448" s="238">
        <f t="shared" si="215"/>
        <v>157.31645166052905</v>
      </c>
      <c r="W448" s="238">
        <f t="shared" si="216"/>
        <v>450.48648648648702</v>
      </c>
      <c r="X448" s="238">
        <f t="shared" si="217"/>
        <v>607.80293814701611</v>
      </c>
      <c r="Y448" s="238">
        <f t="shared" si="218"/>
        <v>765.11938980754519</v>
      </c>
      <c r="AA448" s="89"/>
      <c r="AB448" s="89"/>
      <c r="AC448" s="89"/>
      <c r="AD448" s="89"/>
      <c r="AE448" s="89"/>
      <c r="AF448" s="89"/>
      <c r="AG448" s="89"/>
      <c r="AH448" s="89"/>
      <c r="AI448" s="89"/>
      <c r="AJ448" s="89"/>
      <c r="AK448" s="89"/>
      <c r="AL448" s="89"/>
      <c r="AM448" s="89"/>
      <c r="AN448" s="89"/>
      <c r="BR448" s="180">
        <v>2036</v>
      </c>
      <c r="BS448" s="22">
        <v>22</v>
      </c>
      <c r="BT448" s="198">
        <f t="shared" si="229"/>
        <v>169.72669541177015</v>
      </c>
      <c r="BU448" s="276">
        <f t="shared" si="230"/>
        <v>421.54696731550206</v>
      </c>
      <c r="BV448" s="205">
        <f t="shared" si="231"/>
        <v>591.27366272727227</v>
      </c>
      <c r="BY448" s="180">
        <v>2036</v>
      </c>
      <c r="BZ448" s="22">
        <v>22</v>
      </c>
      <c r="CA448" s="198">
        <f t="shared" ca="1" si="232"/>
        <v>-29.442002569733003</v>
      </c>
      <c r="CB448" s="198">
        <f t="shared" ca="1" si="233"/>
        <v>212.55142642229092</v>
      </c>
      <c r="CC448" s="276">
        <f t="shared" ca="1" si="244"/>
        <v>410.84078456287187</v>
      </c>
      <c r="CD448" s="205">
        <f t="shared" ca="1" si="234"/>
        <v>593.95020841542976</v>
      </c>
      <c r="CG448" s="180">
        <v>2036</v>
      </c>
      <c r="CH448" s="22">
        <v>22</v>
      </c>
      <c r="CI448" s="198">
        <f t="shared" ca="1" si="235"/>
        <v>-6.1215242634026508</v>
      </c>
      <c r="CJ448" s="198">
        <f t="shared" ca="1" si="236"/>
        <v>-16.085949631399913</v>
      </c>
      <c r="CK448" s="198">
        <f t="shared" ca="1" si="237"/>
        <v>204.65668376688603</v>
      </c>
      <c r="CL448" s="276">
        <f t="shared" ca="1" si="238"/>
        <v>411.87284319901585</v>
      </c>
      <c r="CM448" s="205">
        <f t="shared" ca="1" si="239"/>
        <v>594.32205307109928</v>
      </c>
      <c r="CP448" s="180">
        <v>2036</v>
      </c>
      <c r="CQ448" s="22">
        <v>22</v>
      </c>
      <c r="CR448" s="198">
        <f t="shared" ca="1" si="240"/>
        <v>429.26261557387249</v>
      </c>
      <c r="CS448" s="276">
        <f t="shared" ca="1" si="241"/>
        <v>1.3727335805709613</v>
      </c>
      <c r="CT448" s="205">
        <f t="shared" ca="1" si="242"/>
        <v>589.26320728197811</v>
      </c>
      <c r="CZ448" s="164" t="b">
        <f t="shared" si="219"/>
        <v>1</v>
      </c>
      <c r="DA448" s="165" t="b">
        <f t="shared" si="219"/>
        <v>1</v>
      </c>
      <c r="DB448" s="166" t="b">
        <f t="shared" si="219"/>
        <v>1</v>
      </c>
      <c r="DC448" s="164">
        <f t="shared" si="220"/>
        <v>24</v>
      </c>
      <c r="DD448" s="166">
        <f t="shared" si="221"/>
        <v>450.48648648648702</v>
      </c>
      <c r="DE448" s="164">
        <f t="shared" si="222"/>
        <v>24</v>
      </c>
      <c r="DF448" s="166">
        <f t="shared" si="223"/>
        <v>607.80293814701611</v>
      </c>
      <c r="DG448" s="164">
        <f t="shared" si="224"/>
        <v>24</v>
      </c>
      <c r="DH448" s="166">
        <f t="shared" si="225"/>
        <v>765.11938980754519</v>
      </c>
      <c r="DI448" s="164">
        <f>IFERROR(INDEX(DC$422:DC$470,_xlfn.AGGREGATE(15,6,(ROW(DC$422:DC$470)-ROW(DC$422)+1)/(DC$422:DC$470&lt;&gt;""),ROWS(DI$1:DI27))),"")</f>
        <v>27</v>
      </c>
      <c r="DJ448" s="165">
        <f>IFERROR(INDEX(DD$422:DD$470,_xlfn.AGGREGATE(15,6,(ROW(DD$422:DD$470)-ROW(DD$422)+1)/(DD$422:DD$470&lt;&gt;""),ROWS(DJ$1:DJ27))),"")</f>
        <v>472.86486486486535</v>
      </c>
      <c r="DK448" s="166">
        <f t="shared" si="226"/>
        <v>448</v>
      </c>
      <c r="DL448" s="164">
        <f>IFERROR(INDEX(DE$422:DE$470,_xlfn.AGGREGATE(15,6,(ROW(DE$422:DE$470)-ROW(DE$422)+1)/(DE$422:DE$470&lt;&gt;""),ROWS(DL$1:DL27))),"")</f>
        <v>27</v>
      </c>
      <c r="DM448" s="165">
        <f>IFERROR(INDEX(DF$422:DF$470,_xlfn.AGGREGATE(15,6,(ROW(DF$422:DF$470)-ROW(DF$422)+1)/(DF$422:DF$470&lt;&gt;""),ROWS(DM$1:DM27))),"")</f>
        <v>627.91585140574375</v>
      </c>
      <c r="DN448" s="166">
        <f t="shared" si="227"/>
        <v>448</v>
      </c>
      <c r="DO448" s="164">
        <f>IFERROR(INDEX(DG$422:DG$470,_xlfn.AGGREGATE(15,6,(ROW(DG$422:DG$470)-ROW(DG$422)+1)/(DG$422:DG$470&lt;&gt;""),ROWS(DO$1:DO27))),"")</f>
        <v>27</v>
      </c>
      <c r="DP448" s="165">
        <f>IFERROR(INDEX(DH$422:DH$470,_xlfn.AGGREGATE(15,6,(ROW(DH$422:DH$470)-ROW(DH$422)+1)/(DH$422:DH$470&lt;&gt;""),ROWS(DP$1:DP27))),"")</f>
        <v>782.96683794662215</v>
      </c>
      <c r="DQ448" s="166">
        <f t="shared" si="228"/>
        <v>448</v>
      </c>
      <c r="DR448" s="65"/>
      <c r="DV448" s="145">
        <v>2041</v>
      </c>
      <c r="DW448" s="235">
        <f t="shared" ca="1" si="212"/>
        <v>627.49804241020297</v>
      </c>
    </row>
    <row r="449" spans="2:135" ht="13.8" x14ac:dyDescent="0.45">
      <c r="B449" s="128">
        <v>2039</v>
      </c>
      <c r="C449" s="244">
        <f>'Total MSW Summaries (Archive)'!I30</f>
        <v>771.24431023956868</v>
      </c>
      <c r="D449" s="244">
        <f>'Total MSW Summaries (Archive)'!BE30</f>
        <v>457.94594594594651</v>
      </c>
      <c r="E449" s="245"/>
      <c r="F449" s="246"/>
      <c r="G449" s="247"/>
      <c r="H449" s="245"/>
      <c r="I449" s="246"/>
      <c r="J449" s="247"/>
      <c r="K449" s="245"/>
      <c r="L449" s="246"/>
      <c r="M449" s="245"/>
      <c r="N449" s="29" t="s">
        <v>119</v>
      </c>
      <c r="O449" s="120"/>
      <c r="P449" s="120"/>
      <c r="Q449" s="120"/>
      <c r="R449" s="29">
        <v>25</v>
      </c>
      <c r="S449" s="238">
        <f t="shared" si="213"/>
        <v>457.94594594594651</v>
      </c>
      <c r="T449" s="238">
        <f t="shared" si="214"/>
        <v>771.24431023956868</v>
      </c>
      <c r="U449" s="238">
        <f t="shared" si="215"/>
        <v>156.64918214681092</v>
      </c>
      <c r="W449" s="238">
        <f t="shared" si="216"/>
        <v>457.94594594594668</v>
      </c>
      <c r="X449" s="238">
        <f t="shared" si="217"/>
        <v>614.59512809275759</v>
      </c>
      <c r="Y449" s="238">
        <f t="shared" si="218"/>
        <v>771.24431023956845</v>
      </c>
      <c r="AA449" s="89"/>
      <c r="AB449" s="89"/>
      <c r="AC449" s="89"/>
      <c r="AD449" s="89"/>
      <c r="AE449" s="89"/>
      <c r="AF449" s="89"/>
      <c r="AG449" s="89"/>
      <c r="AH449" s="89"/>
      <c r="AI449" s="89"/>
      <c r="AJ449" s="89"/>
      <c r="AK449" s="89"/>
      <c r="AL449" s="89"/>
      <c r="AM449" s="89"/>
      <c r="AN449" s="89"/>
      <c r="BR449" s="180">
        <v>2037</v>
      </c>
      <c r="BS449" s="22">
        <v>23</v>
      </c>
      <c r="BT449" s="198">
        <f t="shared" si="229"/>
        <v>177.44154520321425</v>
      </c>
      <c r="BU449" s="276">
        <f t="shared" si="230"/>
        <v>421.54696731550206</v>
      </c>
      <c r="BV449" s="205">
        <f t="shared" si="231"/>
        <v>598.98851251871633</v>
      </c>
      <c r="BY449" s="180">
        <v>2037</v>
      </c>
      <c r="BZ449" s="22">
        <v>23</v>
      </c>
      <c r="CA449" s="198">
        <f t="shared" ca="1" si="232"/>
        <v>-32.179378841712314</v>
      </c>
      <c r="CB449" s="198">
        <f t="shared" ca="1" si="233"/>
        <v>222.21285489603142</v>
      </c>
      <c r="CC449" s="276">
        <f t="shared" ca="1" si="244"/>
        <v>410.84078456287187</v>
      </c>
      <c r="CD449" s="205">
        <f t="shared" ca="1" si="234"/>
        <v>600.874260617191</v>
      </c>
      <c r="CG449" s="180">
        <v>2037</v>
      </c>
      <c r="CH449" s="22">
        <v>23</v>
      </c>
      <c r="CI449" s="198">
        <f t="shared" ca="1" si="235"/>
        <v>-6.9947958032325364</v>
      </c>
      <c r="CJ449" s="198">
        <f t="shared" ca="1" si="236"/>
        <v>-17.581544121922633</v>
      </c>
      <c r="CK449" s="198">
        <f t="shared" ca="1" si="237"/>
        <v>213.95926030174451</v>
      </c>
      <c r="CL449" s="276">
        <f t="shared" ca="1" si="238"/>
        <v>411.87284319901585</v>
      </c>
      <c r="CM449" s="205">
        <f t="shared" ca="1" si="239"/>
        <v>601.25576357560522</v>
      </c>
      <c r="CP449" s="180">
        <v>2037</v>
      </c>
      <c r="CQ449" s="22">
        <v>23</v>
      </c>
      <c r="CR449" s="198">
        <f t="shared" ca="1" si="240"/>
        <v>429.26261557387249</v>
      </c>
      <c r="CS449" s="276">
        <f t="shared" ca="1" si="241"/>
        <v>1.3926442121695461</v>
      </c>
      <c r="CT449" s="205">
        <f t="shared" ca="1" si="242"/>
        <v>597.81009707971441</v>
      </c>
      <c r="CZ449" s="164" t="b">
        <f t="shared" si="219"/>
        <v>1</v>
      </c>
      <c r="DA449" s="165" t="b">
        <f t="shared" si="219"/>
        <v>1</v>
      </c>
      <c r="DB449" s="166" t="b">
        <f t="shared" si="219"/>
        <v>1</v>
      </c>
      <c r="DC449" s="164">
        <f t="shared" si="220"/>
        <v>25</v>
      </c>
      <c r="DD449" s="166">
        <f t="shared" si="221"/>
        <v>457.94594594594668</v>
      </c>
      <c r="DE449" s="164">
        <f t="shared" si="222"/>
        <v>25</v>
      </c>
      <c r="DF449" s="166">
        <f t="shared" si="223"/>
        <v>614.59512809275759</v>
      </c>
      <c r="DG449" s="164">
        <f t="shared" si="224"/>
        <v>25</v>
      </c>
      <c r="DH449" s="166">
        <f t="shared" si="225"/>
        <v>771.24431023956845</v>
      </c>
      <c r="DI449" s="164">
        <f>IFERROR(INDEX(DC$422:DC$470,_xlfn.AGGREGATE(15,6,(ROW(DC$422:DC$470)-ROW(DC$422)+1)/(DC$422:DC$470&lt;&gt;""),ROWS(DI$1:DI28))),"")</f>
        <v>28</v>
      </c>
      <c r="DJ449" s="165">
        <f>IFERROR(INDEX(DD$422:DD$470,_xlfn.AGGREGATE(15,6,(ROW(DD$422:DD$470)-ROW(DD$422)+1)/(DD$422:DD$470&lt;&gt;""),ROWS(DJ$1:DJ28))),"")</f>
        <v>480.32432432432438</v>
      </c>
      <c r="DK449" s="166">
        <f t="shared" si="226"/>
        <v>449</v>
      </c>
      <c r="DL449" s="164">
        <f>IFERROR(INDEX(DE$422:DE$470,_xlfn.AGGREGATE(15,6,(ROW(DE$422:DE$470)-ROW(DE$422)+1)/(DE$422:DE$470&lt;&gt;""),ROWS(DL$1:DL28))),"")</f>
        <v>28</v>
      </c>
      <c r="DM449" s="165">
        <f>IFERROR(INDEX(DF$422:DF$470,_xlfn.AGGREGATE(15,6,(ROW(DF$422:DF$470)-ROW(DF$422)+1)/(DF$422:DF$470&lt;&gt;""),ROWS(DM$1:DM28))),"")</f>
        <v>633.84998926441244</v>
      </c>
      <c r="DN449" s="166">
        <f t="shared" si="227"/>
        <v>449</v>
      </c>
      <c r="DO449" s="164">
        <f>IFERROR(INDEX(DG$422:DG$470,_xlfn.AGGREGATE(15,6,(ROW(DG$422:DG$470)-ROW(DG$422)+1)/(DG$422:DG$470&lt;&gt;""),ROWS(DO$1:DO28))),"")</f>
        <v>28</v>
      </c>
      <c r="DP449" s="165">
        <f>IFERROR(INDEX(DH$422:DH$470,_xlfn.AGGREGATE(15,6,(ROW(DH$422:DH$470)-ROW(DH$422)+1)/(DH$422:DH$470&lt;&gt;""),ROWS(DP$1:DP28))),"")</f>
        <v>787.37565420450051</v>
      </c>
      <c r="DQ449" s="166">
        <f t="shared" si="228"/>
        <v>449</v>
      </c>
      <c r="DR449" s="65"/>
      <c r="DV449" s="145">
        <v>2042</v>
      </c>
      <c r="DW449" s="235">
        <f t="shared" ca="1" si="212"/>
        <v>633.66822435380914</v>
      </c>
    </row>
    <row r="450" spans="2:135" ht="13.8" x14ac:dyDescent="0.45">
      <c r="B450" s="128">
        <v>2040</v>
      </c>
      <c r="C450" s="244">
        <f>'Total MSW Summaries (Archive)'!I31</f>
        <v>777.19472999350626</v>
      </c>
      <c r="D450" s="244">
        <f>'Total MSW Summaries (Archive)'!BE31</f>
        <v>465.40540540540599</v>
      </c>
      <c r="E450" s="245"/>
      <c r="F450" s="246"/>
      <c r="G450" s="247"/>
      <c r="H450" s="245"/>
      <c r="I450" s="246"/>
      <c r="J450" s="247"/>
      <c r="K450" s="245"/>
      <c r="L450" s="246"/>
      <c r="M450" s="245"/>
      <c r="N450" s="29" t="s">
        <v>119</v>
      </c>
      <c r="O450" s="120"/>
      <c r="P450" s="120"/>
      <c r="Q450" s="120"/>
      <c r="R450" s="29">
        <v>26</v>
      </c>
      <c r="S450" s="238">
        <f t="shared" si="213"/>
        <v>465.40540540540599</v>
      </c>
      <c r="T450" s="238">
        <f t="shared" si="214"/>
        <v>777.19472999350626</v>
      </c>
      <c r="U450" s="238">
        <f t="shared" si="215"/>
        <v>155.89466229405002</v>
      </c>
      <c r="W450" s="238">
        <f t="shared" si="216"/>
        <v>465.4054054054061</v>
      </c>
      <c r="X450" s="238">
        <f t="shared" si="217"/>
        <v>621.30006769945612</v>
      </c>
      <c r="Y450" s="238">
        <f t="shared" si="218"/>
        <v>777.19472999350614</v>
      </c>
      <c r="AA450" s="89"/>
      <c r="AB450" s="89"/>
      <c r="AC450" s="89"/>
      <c r="AD450" s="89"/>
      <c r="AE450" s="89"/>
      <c r="AF450" s="89"/>
      <c r="AG450" s="89"/>
      <c r="AH450" s="89"/>
      <c r="AI450" s="89"/>
      <c r="AJ450" s="89"/>
      <c r="AK450" s="89"/>
      <c r="AL450" s="89"/>
      <c r="AM450" s="89"/>
      <c r="AN450" s="89"/>
      <c r="BR450" s="180">
        <v>2038</v>
      </c>
      <c r="BS450" s="22">
        <v>24</v>
      </c>
      <c r="BT450" s="198">
        <f t="shared" si="229"/>
        <v>185.15639499465834</v>
      </c>
      <c r="BU450" s="276">
        <f t="shared" si="230"/>
        <v>421.54696731550206</v>
      </c>
      <c r="BV450" s="205">
        <f t="shared" si="231"/>
        <v>606.7033623101604</v>
      </c>
      <c r="BY450" s="180">
        <v>2038</v>
      </c>
      <c r="BZ450" s="22">
        <v>24</v>
      </c>
      <c r="CA450" s="198">
        <f t="shared" ca="1" si="232"/>
        <v>-35.038416281335145</v>
      </c>
      <c r="CB450" s="198">
        <f t="shared" ca="1" si="233"/>
        <v>231.87428336977192</v>
      </c>
      <c r="CC450" s="276">
        <f t="shared" ca="1" si="244"/>
        <v>410.84078456287187</v>
      </c>
      <c r="CD450" s="205">
        <f t="shared" ca="1" si="234"/>
        <v>607.6766516513087</v>
      </c>
      <c r="CG450" s="180">
        <v>2038</v>
      </c>
      <c r="CH450" s="22">
        <v>24</v>
      </c>
      <c r="CI450" s="198">
        <f t="shared" ca="1" si="235"/>
        <v>-7.9474034013221484</v>
      </c>
      <c r="CJ450" s="198">
        <f t="shared" ca="1" si="236"/>
        <v>-19.143609478690806</v>
      </c>
      <c r="CK450" s="198">
        <f t="shared" ca="1" si="237"/>
        <v>223.26183683660295</v>
      </c>
      <c r="CL450" s="276">
        <f t="shared" ca="1" si="238"/>
        <v>411.87284319901585</v>
      </c>
      <c r="CM450" s="205">
        <f t="shared" ca="1" si="239"/>
        <v>608.04366715560582</v>
      </c>
      <c r="CP450" s="180">
        <v>2038</v>
      </c>
      <c r="CQ450" s="22">
        <v>24</v>
      </c>
      <c r="CR450" s="198">
        <f t="shared" ca="1" si="240"/>
        <v>429.26261557387249</v>
      </c>
      <c r="CS450" s="276">
        <f t="shared" ca="1" si="241"/>
        <v>1.4128436348753535</v>
      </c>
      <c r="CT450" s="205">
        <f t="shared" ca="1" si="242"/>
        <v>606.48095410349151</v>
      </c>
      <c r="CZ450" s="164" t="b">
        <f t="shared" si="219"/>
        <v>1</v>
      </c>
      <c r="DA450" s="165" t="b">
        <f t="shared" si="219"/>
        <v>1</v>
      </c>
      <c r="DB450" s="166" t="b">
        <f t="shared" si="219"/>
        <v>1</v>
      </c>
      <c r="DC450" s="164">
        <f t="shared" si="220"/>
        <v>26</v>
      </c>
      <c r="DD450" s="166">
        <f t="shared" si="221"/>
        <v>465.4054054054061</v>
      </c>
      <c r="DE450" s="164">
        <f t="shared" si="222"/>
        <v>26</v>
      </c>
      <c r="DF450" s="166">
        <f t="shared" si="223"/>
        <v>621.30006769945612</v>
      </c>
      <c r="DG450" s="164">
        <f t="shared" si="224"/>
        <v>26</v>
      </c>
      <c r="DH450" s="166">
        <f t="shared" si="225"/>
        <v>777.19472999350614</v>
      </c>
      <c r="DI450" s="164">
        <f>IFERROR(INDEX(DC$422:DC$470,_xlfn.AGGREGATE(15,6,(ROW(DC$422:DC$470)-ROW(DC$422)+1)/(DC$422:DC$470&lt;&gt;""),ROWS(DI$1:DI29))),"")</f>
        <v>29</v>
      </c>
      <c r="DJ450" s="165">
        <f>IFERROR(INDEX(DD$422:DD$470,_xlfn.AGGREGATE(15,6,(ROW(DD$422:DD$470)-ROW(DD$422)+1)/(DD$422:DD$470&lt;&gt;""),ROWS(DJ$1:DJ29))),"")</f>
        <v>487.7837837837842</v>
      </c>
      <c r="DK450" s="166">
        <f t="shared" si="226"/>
        <v>450</v>
      </c>
      <c r="DL450" s="164">
        <f>IFERROR(INDEX(DE$422:DE$470,_xlfn.AGGREGATE(15,6,(ROW(DE$422:DE$470)-ROW(DE$422)+1)/(DE$422:DE$470&lt;&gt;""),ROWS(DL$1:DL29))),"")</f>
        <v>29</v>
      </c>
      <c r="DM450" s="165">
        <f>IFERROR(INDEX(DF$422:DF$470,_xlfn.AGGREGATE(15,6,(ROW(DF$422:DF$470)-ROW(DF$422)+1)/(DF$422:DF$470&lt;&gt;""),ROWS(DM$1:DM29))),"")</f>
        <v>639.69586080433965</v>
      </c>
      <c r="DN450" s="166">
        <f t="shared" si="227"/>
        <v>450</v>
      </c>
      <c r="DO450" s="164">
        <f>IFERROR(INDEX(DG$422:DG$470,_xlfn.AGGREGATE(15,6,(ROW(DG$422:DG$470)-ROW(DG$422)+1)/(DG$422:DG$470&lt;&gt;""),ROWS(DO$1:DO29))),"")</f>
        <v>29</v>
      </c>
      <c r="DP450" s="165">
        <f>IFERROR(INDEX(DH$422:DH$470,_xlfn.AGGREGATE(15,6,(ROW(DH$422:DH$470)-ROW(DH$422)+1)/(DH$422:DH$470&lt;&gt;""),ROWS(DP$1:DP29))),"")</f>
        <v>791.60793782489509</v>
      </c>
      <c r="DQ450" s="166">
        <f t="shared" si="228"/>
        <v>450</v>
      </c>
      <c r="DR450" s="65"/>
      <c r="DV450" s="145">
        <v>2043</v>
      </c>
      <c r="DW450" s="235">
        <f t="shared" ca="1" si="212"/>
        <v>639.6753524037232</v>
      </c>
      <c r="EA450" s="55"/>
      <c r="EB450" s="55"/>
      <c r="EC450" s="55"/>
      <c r="ED450" s="55"/>
      <c r="EE450" s="55"/>
    </row>
    <row r="451" spans="2:135" ht="13.8" x14ac:dyDescent="0.45">
      <c r="B451" s="128">
        <v>2041</v>
      </c>
      <c r="C451" s="244">
        <f>'Total MSW Summaries (Archive)'!I32</f>
        <v>782.96683794662204</v>
      </c>
      <c r="D451" s="244">
        <f>'Total MSW Summaries (Archive)'!BE32</f>
        <v>472.86486486486547</v>
      </c>
      <c r="E451" s="245"/>
      <c r="F451" s="246"/>
      <c r="G451" s="247"/>
      <c r="H451" s="245"/>
      <c r="I451" s="246"/>
      <c r="J451" s="247"/>
      <c r="K451" s="245"/>
      <c r="L451" s="246"/>
      <c r="M451" s="245"/>
      <c r="N451" s="29" t="s">
        <v>119</v>
      </c>
      <c r="O451" s="120"/>
      <c r="P451" s="120"/>
      <c r="Q451" s="120"/>
      <c r="R451" s="29">
        <v>27</v>
      </c>
      <c r="S451" s="238">
        <f t="shared" si="213"/>
        <v>472.86486486486547</v>
      </c>
      <c r="T451" s="238">
        <f t="shared" si="214"/>
        <v>782.96683794662204</v>
      </c>
      <c r="U451" s="238">
        <f t="shared" si="215"/>
        <v>155.05098654087843</v>
      </c>
      <c r="W451" s="238">
        <f t="shared" si="216"/>
        <v>472.86486486486535</v>
      </c>
      <c r="X451" s="238">
        <f t="shared" si="217"/>
        <v>627.91585140574375</v>
      </c>
      <c r="Y451" s="238">
        <f t="shared" si="218"/>
        <v>782.96683794662215</v>
      </c>
      <c r="AA451" s="89"/>
      <c r="AB451" s="89"/>
      <c r="AC451" s="89"/>
      <c r="AD451" s="89"/>
      <c r="AE451" s="89"/>
      <c r="AF451" s="89"/>
      <c r="AG451" s="89"/>
      <c r="AH451" s="89"/>
      <c r="AI451" s="89"/>
      <c r="AJ451" s="89"/>
      <c r="AK451" s="89"/>
      <c r="AL451" s="89"/>
      <c r="AM451" s="89"/>
      <c r="AN451" s="89"/>
      <c r="BR451" s="180">
        <v>2039</v>
      </c>
      <c r="BS451" s="22">
        <v>25</v>
      </c>
      <c r="BT451" s="198">
        <f t="shared" si="229"/>
        <v>192.87124478610244</v>
      </c>
      <c r="BU451" s="276">
        <f t="shared" si="230"/>
        <v>421.54696731550206</v>
      </c>
      <c r="BV451" s="205">
        <f t="shared" si="231"/>
        <v>614.41821210160447</v>
      </c>
      <c r="BY451" s="180">
        <v>2039</v>
      </c>
      <c r="BZ451" s="22">
        <v>25</v>
      </c>
      <c r="CA451" s="198">
        <f t="shared" ca="1" si="232"/>
        <v>-38.0191148886015</v>
      </c>
      <c r="CB451" s="198">
        <f t="shared" ca="1" si="233"/>
        <v>241.53571184351242</v>
      </c>
      <c r="CC451" s="276">
        <f t="shared" ca="1" si="244"/>
        <v>410.84078456287187</v>
      </c>
      <c r="CD451" s="205">
        <f t="shared" ca="1" si="234"/>
        <v>614.35738151778276</v>
      </c>
      <c r="CG451" s="180">
        <v>2039</v>
      </c>
      <c r="CH451" s="22">
        <v>25</v>
      </c>
      <c r="CI451" s="198">
        <f t="shared" ca="1" si="235"/>
        <v>-8.9827964515088663</v>
      </c>
      <c r="CJ451" s="198">
        <f t="shared" ca="1" si="236"/>
        <v>-20.772145701704435</v>
      </c>
      <c r="CK451" s="198">
        <f t="shared" ca="1" si="237"/>
        <v>232.5644133714614</v>
      </c>
      <c r="CL451" s="276">
        <f t="shared" ca="1" si="238"/>
        <v>411.87284319901585</v>
      </c>
      <c r="CM451" s="205">
        <f t="shared" ca="1" si="239"/>
        <v>614.68231441726391</v>
      </c>
      <c r="CP451" s="180">
        <v>2039</v>
      </c>
      <c r="CQ451" s="22">
        <v>25</v>
      </c>
      <c r="CR451" s="198">
        <f t="shared" ca="1" si="240"/>
        <v>429.26261557387249</v>
      </c>
      <c r="CS451" s="276">
        <f t="shared" ca="1" si="241"/>
        <v>1.4333360374205788</v>
      </c>
      <c r="CT451" s="205">
        <f t="shared" ca="1" si="242"/>
        <v>615.27757641944766</v>
      </c>
      <c r="CZ451" s="164" t="b">
        <f t="shared" si="219"/>
        <v>1</v>
      </c>
      <c r="DA451" s="165" t="b">
        <f t="shared" si="219"/>
        <v>1</v>
      </c>
      <c r="DB451" s="166" t="b">
        <f t="shared" si="219"/>
        <v>1</v>
      </c>
      <c r="DC451" s="164">
        <f t="shared" si="220"/>
        <v>27</v>
      </c>
      <c r="DD451" s="166">
        <f t="shared" si="221"/>
        <v>472.86486486486535</v>
      </c>
      <c r="DE451" s="164">
        <f t="shared" si="222"/>
        <v>27</v>
      </c>
      <c r="DF451" s="166">
        <f t="shared" si="223"/>
        <v>627.91585140574375</v>
      </c>
      <c r="DG451" s="164">
        <f t="shared" si="224"/>
        <v>27</v>
      </c>
      <c r="DH451" s="166">
        <f t="shared" si="225"/>
        <v>782.96683794662215</v>
      </c>
      <c r="DI451" s="164">
        <f>IFERROR(INDEX(DC$422:DC$470,_xlfn.AGGREGATE(15,6,(ROW(DC$422:DC$470)-ROW(DC$422)+1)/(DC$422:DC$470&lt;&gt;""),ROWS(DI$1:DI30))),"")</f>
        <v>30</v>
      </c>
      <c r="DJ451" s="165">
        <f>IFERROR(INDEX(DD$422:DD$470,_xlfn.AGGREGATE(15,6,(ROW(DD$422:DD$470)-ROW(DD$422)+1)/(DD$422:DD$470&lt;&gt;""),ROWS(DJ$1:DJ30))),"")</f>
        <v>495.24324324324363</v>
      </c>
      <c r="DK451" s="166">
        <f t="shared" si="226"/>
        <v>451</v>
      </c>
      <c r="DL451" s="164">
        <f>IFERROR(INDEX(DE$422:DE$470,_xlfn.AGGREGATE(15,6,(ROW(DE$422:DE$470)-ROW(DE$422)+1)/(DE$422:DE$470&lt;&gt;""),ROWS(DL$1:DL30))),"")</f>
        <v>30</v>
      </c>
      <c r="DM451" s="165">
        <f>IFERROR(INDEX(DF$422:DF$470,_xlfn.AGGREGATE(15,6,(ROW(DF$422:DF$470)-ROW(DF$422)+1)/(DF$422:DF$470&lt;&gt;""),ROWS(DM$1:DM30))),"")</f>
        <v>645.45082032581058</v>
      </c>
      <c r="DN451" s="166">
        <f t="shared" si="227"/>
        <v>451</v>
      </c>
      <c r="DO451" s="164">
        <f>IFERROR(INDEX(DG$422:DG$470,_xlfn.AGGREGATE(15,6,(ROW(DG$422:DG$470)-ROW(DG$422)+1)/(DG$422:DG$470&lt;&gt;""),ROWS(DO$1:DO30))),"")</f>
        <v>30</v>
      </c>
      <c r="DP451" s="165">
        <f>IFERROR(INDEX(DH$422:DH$470,_xlfn.AGGREGATE(15,6,(ROW(DH$422:DH$470)-ROW(DH$422)+1)/(DH$422:DH$470&lt;&gt;""),ROWS(DP$1:DP30))),"")</f>
        <v>795.6583974083776</v>
      </c>
      <c r="DQ451" s="166">
        <f t="shared" si="228"/>
        <v>451</v>
      </c>
      <c r="DR451" s="65"/>
      <c r="DV451" s="145">
        <v>2044</v>
      </c>
      <c r="DW451" s="235">
        <f t="shared" ca="1" si="212"/>
        <v>645.51597716610786</v>
      </c>
      <c r="EA451" s="55"/>
      <c r="EB451" s="55"/>
      <c r="EC451" s="55"/>
      <c r="ED451" s="55"/>
      <c r="EE451" s="55"/>
    </row>
    <row r="452" spans="2:135" ht="13.8" x14ac:dyDescent="0.45">
      <c r="B452" s="128">
        <v>2042</v>
      </c>
      <c r="C452" s="244">
        <f>'Total MSW Summaries (Archive)'!I33</f>
        <v>787.37565420450005</v>
      </c>
      <c r="D452" s="244">
        <f>'Total MSW Summaries (Archive)'!BE33</f>
        <v>480.32432432432495</v>
      </c>
      <c r="E452" s="245"/>
      <c r="F452" s="246"/>
      <c r="G452" s="247"/>
      <c r="H452" s="245"/>
      <c r="I452" s="246"/>
      <c r="J452" s="247"/>
      <c r="K452" s="245"/>
      <c r="L452" s="246"/>
      <c r="M452" s="245"/>
      <c r="N452" s="29" t="s">
        <v>119</v>
      </c>
      <c r="O452" s="120"/>
      <c r="P452" s="120"/>
      <c r="Q452" s="120"/>
      <c r="R452" s="29">
        <v>28</v>
      </c>
      <c r="S452" s="238">
        <f t="shared" si="213"/>
        <v>480.32432432432495</v>
      </c>
      <c r="T452" s="238">
        <f t="shared" si="214"/>
        <v>787.37565420450005</v>
      </c>
      <c r="U452" s="238">
        <f t="shared" si="215"/>
        <v>153.52566494008803</v>
      </c>
      <c r="W452" s="238">
        <f t="shared" si="216"/>
        <v>480.32432432432438</v>
      </c>
      <c r="X452" s="238">
        <f t="shared" si="217"/>
        <v>633.84998926441244</v>
      </c>
      <c r="Y452" s="238">
        <f t="shared" si="218"/>
        <v>787.37565420450051</v>
      </c>
      <c r="AA452" s="89"/>
      <c r="AB452" s="89"/>
      <c r="AC452" s="89"/>
      <c r="AD452" s="89"/>
      <c r="AE452" s="89"/>
      <c r="AF452" s="89"/>
      <c r="AG452" s="89"/>
      <c r="AH452" s="89"/>
      <c r="AI452" s="89"/>
      <c r="AJ452" s="89"/>
      <c r="AK452" s="89"/>
      <c r="AL452" s="89"/>
      <c r="AM452" s="89"/>
      <c r="AN452" s="89"/>
      <c r="BR452" s="180">
        <v>2040</v>
      </c>
      <c r="BS452" s="22">
        <v>26</v>
      </c>
      <c r="BT452" s="198">
        <f t="shared" si="229"/>
        <v>200.58609457754653</v>
      </c>
      <c r="BU452" s="276">
        <f t="shared" si="230"/>
        <v>421.54696731550206</v>
      </c>
      <c r="BV452" s="205">
        <f t="shared" si="231"/>
        <v>622.13306189304853</v>
      </c>
      <c r="BY452" s="180">
        <v>2040</v>
      </c>
      <c r="BZ452" s="22">
        <v>26</v>
      </c>
      <c r="CA452" s="198">
        <f t="shared" ca="1" si="232"/>
        <v>-41.121474663511385</v>
      </c>
      <c r="CB452" s="198">
        <f t="shared" ca="1" si="233"/>
        <v>251.19714031725292</v>
      </c>
      <c r="CC452" s="276">
        <f t="shared" ca="1" si="244"/>
        <v>410.84078456287187</v>
      </c>
      <c r="CD452" s="205">
        <f t="shared" ca="1" si="234"/>
        <v>620.91645021661338</v>
      </c>
      <c r="CG452" s="180">
        <v>2040</v>
      </c>
      <c r="CH452" s="22">
        <v>26</v>
      </c>
      <c r="CI452" s="198">
        <f t="shared" ca="1" si="235"/>
        <v>-10.10442434763007</v>
      </c>
      <c r="CJ452" s="198">
        <f t="shared" ca="1" si="236"/>
        <v>-22.467152790963517</v>
      </c>
      <c r="CK452" s="198">
        <f t="shared" ca="1" si="237"/>
        <v>241.86698990631987</v>
      </c>
      <c r="CL452" s="276">
        <f t="shared" ca="1" si="238"/>
        <v>411.87284319901585</v>
      </c>
      <c r="CM452" s="205">
        <f t="shared" ca="1" si="239"/>
        <v>621.16825596674209</v>
      </c>
      <c r="CP452" s="180">
        <v>2040</v>
      </c>
      <c r="CQ452" s="22">
        <v>26</v>
      </c>
      <c r="CR452" s="198">
        <f t="shared" ca="1" si="240"/>
        <v>429.26261557387249</v>
      </c>
      <c r="CS452" s="276">
        <f t="shared" ca="1" si="241"/>
        <v>1.4541256692923266</v>
      </c>
      <c r="CT452" s="205">
        <f t="shared" ca="1" si="242"/>
        <v>624.20178817353201</v>
      </c>
      <c r="CZ452" s="164" t="b">
        <f t="shared" si="219"/>
        <v>1</v>
      </c>
      <c r="DA452" s="165" t="b">
        <f t="shared" si="219"/>
        <v>1</v>
      </c>
      <c r="DB452" s="166" t="b">
        <f t="shared" si="219"/>
        <v>1</v>
      </c>
      <c r="DC452" s="164">
        <f t="shared" si="220"/>
        <v>28</v>
      </c>
      <c r="DD452" s="166">
        <f t="shared" si="221"/>
        <v>480.32432432432438</v>
      </c>
      <c r="DE452" s="164">
        <f t="shared" si="222"/>
        <v>28</v>
      </c>
      <c r="DF452" s="166">
        <f t="shared" si="223"/>
        <v>633.84998926441244</v>
      </c>
      <c r="DG452" s="164">
        <f t="shared" si="224"/>
        <v>28</v>
      </c>
      <c r="DH452" s="166">
        <f t="shared" si="225"/>
        <v>787.37565420450051</v>
      </c>
      <c r="DI452" s="164">
        <f>IFERROR(INDEX(DC$422:DC$470,_xlfn.AGGREGATE(15,6,(ROW(DC$422:DC$470)-ROW(DC$422)+1)/(DC$422:DC$470&lt;&gt;""),ROWS(DI$1:DI31))),"")</f>
        <v>31</v>
      </c>
      <c r="DJ452" s="165">
        <f>IFERROR(INDEX(DD$422:DD$470,_xlfn.AGGREGATE(15,6,(ROW(DD$422:DD$470)-ROW(DD$422)+1)/(DD$422:DD$470&lt;&gt;""),ROWS(DJ$1:DJ31))),"")</f>
        <v>502.70270270270288</v>
      </c>
      <c r="DK452" s="166">
        <f t="shared" si="226"/>
        <v>452</v>
      </c>
      <c r="DL452" s="164">
        <f>IFERROR(INDEX(DE$422:DE$470,_xlfn.AGGREGATE(15,6,(ROW(DE$422:DE$470)-ROW(DE$422)+1)/(DE$422:DE$470&lt;&gt;""),ROWS(DL$1:DL31))),"")</f>
        <v>31</v>
      </c>
      <c r="DM452" s="165">
        <f>IFERROR(INDEX(DF$422:DF$470,_xlfn.AGGREGATE(15,6,(ROW(DF$422:DF$470)-ROW(DF$422)+1)/(DF$422:DF$470&lt;&gt;""),ROWS(DM$1:DM31))),"")</f>
        <v>651.11250354122967</v>
      </c>
      <c r="DN452" s="166">
        <f t="shared" si="227"/>
        <v>452</v>
      </c>
      <c r="DO452" s="164">
        <f>IFERROR(INDEX(DG$422:DG$470,_xlfn.AGGREGATE(15,6,(ROW(DG$422:DG$470)-ROW(DG$422)+1)/(DG$422:DG$470&lt;&gt;""),ROWS(DO$1:DO31))),"")</f>
        <v>31</v>
      </c>
      <c r="DP452" s="165">
        <f>IFERROR(INDEX(DH$422:DH$470,_xlfn.AGGREGATE(15,6,(ROW(DH$422:DH$470)-ROW(DH$422)+1)/(DH$422:DH$470&lt;&gt;""),ROWS(DP$1:DP31))),"")</f>
        <v>799.52230437975641</v>
      </c>
      <c r="DQ452" s="166">
        <f t="shared" si="228"/>
        <v>452</v>
      </c>
      <c r="DR452" s="65"/>
      <c r="DV452" s="145">
        <v>2045</v>
      </c>
      <c r="DW452" s="235">
        <f t="shared" ca="1" si="212"/>
        <v>651.18664924712562</v>
      </c>
      <c r="EA452" s="55"/>
      <c r="EB452" s="55"/>
      <c r="EC452" s="55"/>
      <c r="ED452" s="55"/>
      <c r="EE452" s="55"/>
    </row>
    <row r="453" spans="2:135" ht="13.8" x14ac:dyDescent="0.45">
      <c r="B453" s="128">
        <v>2043</v>
      </c>
      <c r="C453" s="244">
        <f>'Total MSW Summaries (Archive)'!I34</f>
        <v>791.60793782489498</v>
      </c>
      <c r="D453" s="244">
        <f>'Total MSW Summaries (Archive)'!BE34</f>
        <v>487.78378378378443</v>
      </c>
      <c r="E453" s="245"/>
      <c r="F453" s="246"/>
      <c r="G453" s="247"/>
      <c r="H453" s="245"/>
      <c r="I453" s="246"/>
      <c r="J453" s="247"/>
      <c r="K453" s="245"/>
      <c r="L453" s="246"/>
      <c r="M453" s="245"/>
      <c r="N453" s="29" t="s">
        <v>119</v>
      </c>
      <c r="O453" s="120"/>
      <c r="P453" s="120"/>
      <c r="Q453" s="120"/>
      <c r="R453" s="29">
        <v>29</v>
      </c>
      <c r="S453" s="238">
        <f t="shared" si="213"/>
        <v>487.78378378378443</v>
      </c>
      <c r="T453" s="238">
        <f t="shared" si="214"/>
        <v>791.60793782489498</v>
      </c>
      <c r="U453" s="238">
        <f t="shared" si="215"/>
        <v>151.91207702055542</v>
      </c>
      <c r="W453" s="238">
        <f t="shared" si="216"/>
        <v>487.7837837837842</v>
      </c>
      <c r="X453" s="238">
        <f t="shared" si="217"/>
        <v>639.69586080433965</v>
      </c>
      <c r="Y453" s="238">
        <f t="shared" si="218"/>
        <v>791.60793782489509</v>
      </c>
      <c r="AA453" s="89"/>
      <c r="AB453" s="89"/>
      <c r="AC453" s="89"/>
      <c r="AD453" s="89"/>
      <c r="AE453" s="89"/>
      <c r="AF453" s="89"/>
      <c r="AG453" s="89"/>
      <c r="AH453" s="89"/>
      <c r="AI453" s="89"/>
      <c r="AJ453" s="89"/>
      <c r="AK453" s="89"/>
      <c r="AL453" s="89"/>
      <c r="AM453" s="89"/>
      <c r="AN453" s="89"/>
      <c r="BR453" s="180">
        <v>2041</v>
      </c>
      <c r="BS453" s="22">
        <v>27</v>
      </c>
      <c r="BT453" s="198">
        <f t="shared" si="229"/>
        <v>208.30094436899066</v>
      </c>
      <c r="BU453" s="276">
        <f t="shared" si="230"/>
        <v>421.54696731550206</v>
      </c>
      <c r="BV453" s="205">
        <f t="shared" si="231"/>
        <v>629.84791168449271</v>
      </c>
      <c r="BY453" s="180">
        <v>2041</v>
      </c>
      <c r="BZ453" s="22">
        <v>27</v>
      </c>
      <c r="CA453" s="198">
        <f t="shared" ca="1" si="232"/>
        <v>-44.345495606064787</v>
      </c>
      <c r="CB453" s="198">
        <f t="shared" ca="1" si="233"/>
        <v>260.85856879099339</v>
      </c>
      <c r="CC453" s="276">
        <f t="shared" ca="1" si="244"/>
        <v>410.84078456287187</v>
      </c>
      <c r="CD453" s="205">
        <f t="shared" ca="1" si="234"/>
        <v>627.35385774780048</v>
      </c>
      <c r="CG453" s="180">
        <v>2041</v>
      </c>
      <c r="CH453" s="22">
        <v>27</v>
      </c>
      <c r="CI453" s="198">
        <f t="shared" ca="1" si="235"/>
        <v>-11.315736483523137</v>
      </c>
      <c r="CJ453" s="198">
        <f t="shared" ca="1" si="236"/>
        <v>-24.228630746468053</v>
      </c>
      <c r="CK453" s="198">
        <f t="shared" ca="1" si="237"/>
        <v>251.16956644117832</v>
      </c>
      <c r="CL453" s="276">
        <f t="shared" ca="1" si="238"/>
        <v>411.87284319901585</v>
      </c>
      <c r="CM453" s="205">
        <f t="shared" ca="1" si="239"/>
        <v>627.49804241020297</v>
      </c>
      <c r="CP453" s="180">
        <v>2041</v>
      </c>
      <c r="CQ453" s="22">
        <v>27</v>
      </c>
      <c r="CR453" s="198">
        <f t="shared" ca="1" si="240"/>
        <v>429.26261557387249</v>
      </c>
      <c r="CS453" s="276">
        <f t="shared" ca="1" si="241"/>
        <v>1.4752168416138216</v>
      </c>
      <c r="CT453" s="205">
        <f t="shared" ca="1" si="242"/>
        <v>633.25543996977626</v>
      </c>
      <c r="CZ453" s="164" t="b">
        <f t="shared" si="219"/>
        <v>1</v>
      </c>
      <c r="DA453" s="165" t="b">
        <f t="shared" si="219"/>
        <v>1</v>
      </c>
      <c r="DB453" s="166" t="b">
        <f t="shared" si="219"/>
        <v>1</v>
      </c>
      <c r="DC453" s="164">
        <f t="shared" si="220"/>
        <v>29</v>
      </c>
      <c r="DD453" s="166">
        <f t="shared" si="221"/>
        <v>487.7837837837842</v>
      </c>
      <c r="DE453" s="164">
        <f t="shared" si="222"/>
        <v>29</v>
      </c>
      <c r="DF453" s="166">
        <f t="shared" si="223"/>
        <v>639.69586080433965</v>
      </c>
      <c r="DG453" s="164">
        <f t="shared" si="224"/>
        <v>29</v>
      </c>
      <c r="DH453" s="166">
        <f t="shared" si="225"/>
        <v>791.60793782489509</v>
      </c>
      <c r="DI453" s="164" t="str">
        <f>IFERROR(INDEX(DC$422:DC$470,_xlfn.AGGREGATE(15,6,(ROW(DC$422:DC$470)-ROW(DC$422)+1)/(DC$422:DC$470&lt;&gt;""),ROWS(DI$1:DI32))),"")</f>
        <v/>
      </c>
      <c r="DJ453" s="165" t="str">
        <f>IFERROR(INDEX(DD$422:DD$470,_xlfn.AGGREGATE(15,6,(ROW(DD$422:DD$470)-ROW(DD$422)+1)/(DD$422:DD$470&lt;&gt;""),ROWS(DJ$1:DJ32))),"")</f>
        <v/>
      </c>
      <c r="DK453" s="166" t="str">
        <f t="shared" si="226"/>
        <v/>
      </c>
      <c r="DL453" s="164" t="str">
        <f>IFERROR(INDEX(DE$422:DE$470,_xlfn.AGGREGATE(15,6,(ROW(DE$422:DE$470)-ROW(DE$422)+1)/(DE$422:DE$470&lt;&gt;""),ROWS(DL$1:DL32))),"")</f>
        <v/>
      </c>
      <c r="DM453" s="165" t="str">
        <f>IFERROR(INDEX(DF$422:DF$470,_xlfn.AGGREGATE(15,6,(ROW(DF$422:DF$470)-ROW(DF$422)+1)/(DF$422:DF$470&lt;&gt;""),ROWS(DM$1:DM32))),"")</f>
        <v/>
      </c>
      <c r="DN453" s="166" t="str">
        <f t="shared" si="227"/>
        <v/>
      </c>
      <c r="DO453" s="164" t="str">
        <f>IFERROR(INDEX(DG$422:DG$470,_xlfn.AGGREGATE(15,6,(ROW(DG$422:DG$470)-ROW(DG$422)+1)/(DG$422:DG$470&lt;&gt;""),ROWS(DO$1:DO32))),"")</f>
        <v/>
      </c>
      <c r="DP453" s="165" t="str">
        <f>IFERROR(INDEX(DH$422:DH$470,_xlfn.AGGREGATE(15,6,(ROW(DH$422:DH$470)-ROW(DH$422)+1)/(DH$422:DH$470&lt;&gt;""),ROWS(DP$1:DP32))),"")</f>
        <v/>
      </c>
      <c r="DQ453" s="166" t="str">
        <f t="shared" si="228"/>
        <v/>
      </c>
      <c r="DR453" s="65"/>
      <c r="DV453" s="145">
        <v>2046</v>
      </c>
      <c r="DW453" s="235">
        <f t="shared" ca="1" si="212"/>
        <v>656.68391925293918</v>
      </c>
      <c r="EA453" s="55"/>
      <c r="EB453" s="55"/>
      <c r="EC453" s="55"/>
      <c r="ED453" s="55"/>
      <c r="EE453" s="55"/>
    </row>
    <row r="454" spans="2:135" ht="13.8" x14ac:dyDescent="0.45">
      <c r="B454" s="128">
        <v>2044</v>
      </c>
      <c r="C454" s="244">
        <f>'Total MSW Summaries (Archive)'!I35</f>
        <v>795.65839740837737</v>
      </c>
      <c r="D454" s="244">
        <f>'Total MSW Summaries (Archive)'!BE35</f>
        <v>495.24324324324391</v>
      </c>
      <c r="E454" s="245"/>
      <c r="F454" s="246"/>
      <c r="G454" s="247"/>
      <c r="H454" s="245"/>
      <c r="I454" s="246"/>
      <c r="J454" s="247"/>
      <c r="K454" s="245"/>
      <c r="L454" s="246"/>
      <c r="M454" s="245"/>
      <c r="N454" s="29" t="s">
        <v>119</v>
      </c>
      <c r="O454" s="120"/>
      <c r="P454" s="120"/>
      <c r="Q454" s="120"/>
      <c r="R454" s="29">
        <v>30</v>
      </c>
      <c r="S454" s="238">
        <f t="shared" si="213"/>
        <v>495.24324324324391</v>
      </c>
      <c r="T454" s="238">
        <f t="shared" si="214"/>
        <v>795.65839740837737</v>
      </c>
      <c r="U454" s="238">
        <f t="shared" si="215"/>
        <v>150.20757708256696</v>
      </c>
      <c r="W454" s="238">
        <f t="shared" si="216"/>
        <v>495.24324324324363</v>
      </c>
      <c r="X454" s="238">
        <f t="shared" si="217"/>
        <v>645.45082032581058</v>
      </c>
      <c r="Y454" s="238">
        <f t="shared" si="218"/>
        <v>795.6583974083776</v>
      </c>
      <c r="AA454" s="89"/>
      <c r="AB454" s="89"/>
      <c r="AC454" s="89"/>
      <c r="AD454" s="89"/>
      <c r="AE454" s="89"/>
      <c r="AF454" s="89"/>
      <c r="AG454" s="89"/>
      <c r="AH454" s="89"/>
      <c r="AI454" s="89"/>
      <c r="AJ454" s="89"/>
      <c r="AK454" s="89"/>
      <c r="AL454" s="89"/>
      <c r="AM454" s="89"/>
      <c r="AN454" s="89"/>
      <c r="BR454" s="180">
        <v>2042</v>
      </c>
      <c r="BS454" s="22">
        <v>28</v>
      </c>
      <c r="BT454" s="198">
        <f t="shared" si="229"/>
        <v>216.01579416043475</v>
      </c>
      <c r="BU454" s="276">
        <f t="shared" si="230"/>
        <v>421.54696731550206</v>
      </c>
      <c r="BV454" s="205">
        <f t="shared" si="231"/>
        <v>637.56276147593678</v>
      </c>
      <c r="BY454" s="180">
        <v>2042</v>
      </c>
      <c r="BZ454" s="22">
        <v>28</v>
      </c>
      <c r="CA454" s="198">
        <f t="shared" ca="1" si="232"/>
        <v>-47.69117771626172</v>
      </c>
      <c r="CB454" s="198">
        <f t="shared" ca="1" si="233"/>
        <v>270.51999726473389</v>
      </c>
      <c r="CC454" s="276">
        <f t="shared" ca="1" si="244"/>
        <v>410.84078456287187</v>
      </c>
      <c r="CD454" s="205">
        <f t="shared" ca="1" si="234"/>
        <v>633.66960411134403</v>
      </c>
      <c r="CG454" s="180">
        <v>2042</v>
      </c>
      <c r="CH454" s="22">
        <v>28</v>
      </c>
      <c r="CI454" s="198">
        <f t="shared" ca="1" si="235"/>
        <v>-12.620182253025449</v>
      </c>
      <c r="CJ454" s="198">
        <f t="shared" ca="1" si="236"/>
        <v>-26.056579568218041</v>
      </c>
      <c r="CK454" s="198">
        <f t="shared" ca="1" si="237"/>
        <v>260.47214297603676</v>
      </c>
      <c r="CL454" s="276">
        <f t="shared" ca="1" si="238"/>
        <v>411.87284319901585</v>
      </c>
      <c r="CM454" s="205">
        <f t="shared" ca="1" si="239"/>
        <v>633.66822435380914</v>
      </c>
      <c r="CP454" s="180">
        <v>2042</v>
      </c>
      <c r="CQ454" s="22">
        <v>28</v>
      </c>
      <c r="CR454" s="198">
        <f t="shared" ca="1" si="240"/>
        <v>429.26261557387249</v>
      </c>
      <c r="CS454" s="276">
        <f t="shared" ca="1" si="241"/>
        <v>1.4966139280384021</v>
      </c>
      <c r="CT454" s="205">
        <f t="shared" ca="1" si="242"/>
        <v>642.44040925405193</v>
      </c>
      <c r="CZ454" s="164" t="b">
        <f t="shared" si="219"/>
        <v>1</v>
      </c>
      <c r="DA454" s="165" t="b">
        <f t="shared" si="219"/>
        <v>1</v>
      </c>
      <c r="DB454" s="166" t="b">
        <f t="shared" si="219"/>
        <v>1</v>
      </c>
      <c r="DC454" s="164">
        <f t="shared" si="220"/>
        <v>30</v>
      </c>
      <c r="DD454" s="166">
        <f t="shared" si="221"/>
        <v>495.24324324324363</v>
      </c>
      <c r="DE454" s="164">
        <f t="shared" si="222"/>
        <v>30</v>
      </c>
      <c r="DF454" s="166">
        <f t="shared" si="223"/>
        <v>645.45082032581058</v>
      </c>
      <c r="DG454" s="164">
        <f t="shared" si="224"/>
        <v>30</v>
      </c>
      <c r="DH454" s="166">
        <f t="shared" si="225"/>
        <v>795.6583974083776</v>
      </c>
      <c r="DI454" s="164" t="str">
        <f>IFERROR(INDEX(DC$422:DC$470,_xlfn.AGGREGATE(15,6,(ROW(DC$422:DC$470)-ROW(DC$422)+1)/(DC$422:DC$470&lt;&gt;""),ROWS(DI$1:DI33))),"")</f>
        <v/>
      </c>
      <c r="DJ454" s="165" t="str">
        <f>IFERROR(INDEX(DD$422:DD$470,_xlfn.AGGREGATE(15,6,(ROW(DD$422:DD$470)-ROW(DD$422)+1)/(DD$422:DD$470&lt;&gt;""),ROWS(DJ$1:DJ33))),"")</f>
        <v/>
      </c>
      <c r="DK454" s="166" t="str">
        <f t="shared" si="226"/>
        <v/>
      </c>
      <c r="DL454" s="164" t="str">
        <f>IFERROR(INDEX(DE$422:DE$470,_xlfn.AGGREGATE(15,6,(ROW(DE$422:DE$470)-ROW(DE$422)+1)/(DE$422:DE$470&lt;&gt;""),ROWS(DL$1:DL33))),"")</f>
        <v/>
      </c>
      <c r="DM454" s="165" t="str">
        <f>IFERROR(INDEX(DF$422:DF$470,_xlfn.AGGREGATE(15,6,(ROW(DF$422:DF$470)-ROW(DF$422)+1)/(DF$422:DF$470&lt;&gt;""),ROWS(DM$1:DM33))),"")</f>
        <v/>
      </c>
      <c r="DN454" s="166" t="str">
        <f t="shared" si="227"/>
        <v/>
      </c>
      <c r="DO454" s="164" t="str">
        <f>IFERROR(INDEX(DG$422:DG$470,_xlfn.AGGREGATE(15,6,(ROW(DG$422:DG$470)-ROW(DG$422)+1)/(DG$422:DG$470&lt;&gt;""),ROWS(DO$1:DO33))),"")</f>
        <v/>
      </c>
      <c r="DP454" s="165" t="str">
        <f>IFERROR(INDEX(DH$422:DH$470,_xlfn.AGGREGATE(15,6,(ROW(DH$422:DH$470)-ROW(DH$422)+1)/(DH$422:DH$470&lt;&gt;""),ROWS(DP$1:DP33))),"")</f>
        <v/>
      </c>
      <c r="DQ454" s="166" t="str">
        <f t="shared" si="228"/>
        <v/>
      </c>
      <c r="DR454" s="65"/>
      <c r="DV454" s="145">
        <v>2047</v>
      </c>
      <c r="DW454" s="235">
        <f t="shared" ca="1" si="212"/>
        <v>662.00433778971114</v>
      </c>
      <c r="EA454" s="55"/>
      <c r="EB454" s="55"/>
      <c r="EC454" s="55"/>
      <c r="ED454" s="55"/>
      <c r="EE454" s="55"/>
    </row>
    <row r="455" spans="2:135" ht="13.8" x14ac:dyDescent="0.45">
      <c r="B455" s="128">
        <v>2045</v>
      </c>
      <c r="C455" s="244">
        <f>'Total MSW Summaries (Archive)'!I36</f>
        <v>799.52230437975606</v>
      </c>
      <c r="D455" s="244">
        <f>'Total MSW Summaries (Archive)'!BE36</f>
        <v>502.70270270270339</v>
      </c>
      <c r="E455" s="245"/>
      <c r="F455" s="246"/>
      <c r="G455" s="247"/>
      <c r="H455" s="245"/>
      <c r="I455" s="246"/>
      <c r="J455" s="247"/>
      <c r="K455" s="245"/>
      <c r="L455" s="246"/>
      <c r="M455" s="245"/>
      <c r="N455" s="29" t="s">
        <v>119</v>
      </c>
      <c r="O455" s="120"/>
      <c r="P455" s="120"/>
      <c r="Q455" s="120"/>
      <c r="R455" s="29">
        <v>31</v>
      </c>
      <c r="S455" s="238">
        <f t="shared" si="213"/>
        <v>502.70270270270339</v>
      </c>
      <c r="T455" s="238">
        <f t="shared" si="214"/>
        <v>799.52230437975606</v>
      </c>
      <c r="U455" s="238">
        <f t="shared" si="215"/>
        <v>148.40980083852679</v>
      </c>
      <c r="W455" s="238">
        <f t="shared" si="216"/>
        <v>502.70270270270288</v>
      </c>
      <c r="X455" s="238">
        <f t="shared" si="217"/>
        <v>651.11250354122967</v>
      </c>
      <c r="Y455" s="238">
        <f t="shared" si="218"/>
        <v>799.52230437975641</v>
      </c>
      <c r="AA455" s="89"/>
      <c r="AB455" s="89"/>
      <c r="AC455" s="89"/>
      <c r="AD455" s="89"/>
      <c r="AE455" s="89"/>
      <c r="AF455" s="89"/>
      <c r="AG455" s="89"/>
      <c r="AH455" s="89"/>
      <c r="AI455" s="89"/>
      <c r="AJ455" s="89"/>
      <c r="AK455" s="89"/>
      <c r="AL455" s="89"/>
      <c r="AM455" s="89"/>
      <c r="AN455" s="89"/>
      <c r="BR455" s="180">
        <v>2043</v>
      </c>
      <c r="BS455" s="22">
        <v>29</v>
      </c>
      <c r="BT455" s="198">
        <f t="shared" si="229"/>
        <v>223.73064395187885</v>
      </c>
      <c r="BU455" s="276">
        <f t="shared" si="230"/>
        <v>421.54696731550206</v>
      </c>
      <c r="BV455" s="205">
        <f t="shared" si="231"/>
        <v>645.27761126738096</v>
      </c>
      <c r="BY455" s="180">
        <v>2043</v>
      </c>
      <c r="BZ455" s="22">
        <v>29</v>
      </c>
      <c r="CA455" s="198">
        <f t="shared" ca="1" si="232"/>
        <v>-51.158520994102183</v>
      </c>
      <c r="CB455" s="198">
        <f t="shared" ca="1" si="233"/>
        <v>280.18142573847439</v>
      </c>
      <c r="CC455" s="276">
        <f t="shared" ca="1" si="244"/>
        <v>410.84078456287187</v>
      </c>
      <c r="CD455" s="205">
        <f t="shared" ca="1" si="234"/>
        <v>639.86368930724404</v>
      </c>
      <c r="CG455" s="180">
        <v>2043</v>
      </c>
      <c r="CH455" s="22">
        <v>29</v>
      </c>
      <c r="CI455" s="198">
        <f t="shared" ca="1" si="235"/>
        <v>-14.021211049974385</v>
      </c>
      <c r="CJ455" s="198">
        <f t="shared" ca="1" si="236"/>
        <v>-27.950999256213485</v>
      </c>
      <c r="CK455" s="198">
        <f t="shared" ca="1" si="237"/>
        <v>269.77471951089524</v>
      </c>
      <c r="CL455" s="276">
        <f t="shared" ca="1" si="238"/>
        <v>411.87284319901585</v>
      </c>
      <c r="CM455" s="205">
        <f t="shared" ca="1" si="239"/>
        <v>639.6753524037232</v>
      </c>
      <c r="CP455" s="180">
        <v>2043</v>
      </c>
      <c r="CQ455" s="22">
        <v>29</v>
      </c>
      <c r="CR455" s="198">
        <f t="shared" ca="1" si="240"/>
        <v>429.26261557387249</v>
      </c>
      <c r="CS455" s="276">
        <f t="shared" ca="1" si="241"/>
        <v>1.5183213656564791</v>
      </c>
      <c r="CT455" s="205">
        <f t="shared" ca="1" si="242"/>
        <v>651.75860070339434</v>
      </c>
      <c r="CZ455" s="164" t="b">
        <f t="shared" si="219"/>
        <v>1</v>
      </c>
      <c r="DA455" s="165" t="b">
        <f t="shared" si="219"/>
        <v>1</v>
      </c>
      <c r="DB455" s="166" t="b">
        <f t="shared" si="219"/>
        <v>1</v>
      </c>
      <c r="DC455" s="164">
        <f t="shared" si="220"/>
        <v>31</v>
      </c>
      <c r="DD455" s="166">
        <f t="shared" si="221"/>
        <v>502.70270270270288</v>
      </c>
      <c r="DE455" s="164">
        <f t="shared" si="222"/>
        <v>31</v>
      </c>
      <c r="DF455" s="166">
        <f t="shared" si="223"/>
        <v>651.11250354122967</v>
      </c>
      <c r="DG455" s="164">
        <f t="shared" si="224"/>
        <v>31</v>
      </c>
      <c r="DH455" s="166">
        <f t="shared" si="225"/>
        <v>799.52230437975641</v>
      </c>
      <c r="DI455" s="164" t="str">
        <f>IFERROR(INDEX(DC$422:DC$470,_xlfn.AGGREGATE(15,6,(ROW(DC$422:DC$470)-ROW(DC$422)+1)/(DC$422:DC$470&lt;&gt;""),ROWS(DI$1:DI34))),"")</f>
        <v/>
      </c>
      <c r="DJ455" s="165" t="str">
        <f>IFERROR(INDEX(DD$422:DD$470,_xlfn.AGGREGATE(15,6,(ROW(DD$422:DD$470)-ROW(DD$422)+1)/(DD$422:DD$470&lt;&gt;""),ROWS(DJ$1:DJ34))),"")</f>
        <v/>
      </c>
      <c r="DK455" s="166" t="str">
        <f t="shared" si="226"/>
        <v/>
      </c>
      <c r="DL455" s="164" t="str">
        <f>IFERROR(INDEX(DE$422:DE$470,_xlfn.AGGREGATE(15,6,(ROW(DE$422:DE$470)-ROW(DE$422)+1)/(DE$422:DE$470&lt;&gt;""),ROWS(DL$1:DL34))),"")</f>
        <v/>
      </c>
      <c r="DM455" s="165" t="str">
        <f>IFERROR(INDEX(DF$422:DF$470,_xlfn.AGGREGATE(15,6,(ROW(DF$422:DF$470)-ROW(DF$422)+1)/(DF$422:DF$470&lt;&gt;""),ROWS(DM$1:DM34))),"")</f>
        <v/>
      </c>
      <c r="DN455" s="166" t="str">
        <f t="shared" si="227"/>
        <v/>
      </c>
      <c r="DO455" s="164" t="str">
        <f>IFERROR(INDEX(DG$422:DG$470,_xlfn.AGGREGATE(15,6,(ROW(DG$422:DG$470)-ROW(DG$422)+1)/(DG$422:DG$470&lt;&gt;""),ROWS(DO$1:DO34))),"")</f>
        <v/>
      </c>
      <c r="DP455" s="165" t="str">
        <f>IFERROR(INDEX(DH$422:DH$470,_xlfn.AGGREGATE(15,6,(ROW(DH$422:DH$470)-ROW(DH$422)+1)/(DH$422:DH$470&lt;&gt;""),ROWS(DP$1:DP34))),"")</f>
        <v/>
      </c>
      <c r="DQ455" s="166" t="str">
        <f t="shared" si="228"/>
        <v/>
      </c>
      <c r="DR455" s="65"/>
      <c r="DV455" s="145">
        <v>2048</v>
      </c>
      <c r="DW455" s="235">
        <f t="shared" ca="1" si="212"/>
        <v>667.14445546360412</v>
      </c>
      <c r="EA455" s="55"/>
      <c r="EB455" s="55"/>
      <c r="EC455" s="55"/>
      <c r="ED455" s="55"/>
      <c r="EE455" s="55"/>
    </row>
    <row r="456" spans="2:135" ht="13.8" x14ac:dyDescent="0.45">
      <c r="B456" s="128">
        <v>2046</v>
      </c>
      <c r="C456" s="244"/>
      <c r="D456" s="244"/>
      <c r="E456" s="245"/>
      <c r="F456" s="246"/>
      <c r="G456" s="247"/>
      <c r="H456" s="245"/>
      <c r="I456" s="246"/>
      <c r="J456" s="247"/>
      <c r="K456" s="245"/>
      <c r="L456" s="246"/>
      <c r="M456" s="245"/>
      <c r="N456" s="29" t="s">
        <v>119</v>
      </c>
      <c r="O456" s="120"/>
      <c r="P456" s="120"/>
      <c r="Q456" s="120"/>
      <c r="R456" s="29">
        <v>32</v>
      </c>
      <c r="S456" s="238" t="str">
        <f t="shared" si="213"/>
        <v/>
      </c>
      <c r="T456" s="238" t="str">
        <f t="shared" si="214"/>
        <v/>
      </c>
      <c r="U456" s="238" t="str">
        <f t="shared" si="215"/>
        <v/>
      </c>
      <c r="W456" s="238" t="e">
        <f t="shared" si="216"/>
        <v>#N/A</v>
      </c>
      <c r="X456" s="238" t="e">
        <f t="shared" si="217"/>
        <v>#N/A</v>
      </c>
      <c r="Y456" s="238" t="e">
        <f t="shared" si="218"/>
        <v>#N/A</v>
      </c>
      <c r="AA456" s="89"/>
      <c r="AB456" s="89"/>
      <c r="AC456" s="89"/>
      <c r="AD456" s="89"/>
      <c r="AE456" s="89"/>
      <c r="AF456" s="89"/>
      <c r="AG456" s="89"/>
      <c r="AH456" s="89"/>
      <c r="AI456" s="89"/>
      <c r="AJ456" s="89"/>
      <c r="AK456" s="89"/>
      <c r="AL456" s="89"/>
      <c r="AM456" s="89"/>
      <c r="AN456" s="89"/>
      <c r="BR456" s="180">
        <v>2044</v>
      </c>
      <c r="BS456" s="22">
        <v>30</v>
      </c>
      <c r="BT456" s="198">
        <f t="shared" si="229"/>
        <v>231.44549374332294</v>
      </c>
      <c r="BU456" s="276">
        <f t="shared" si="230"/>
        <v>421.54696731550206</v>
      </c>
      <c r="BV456" s="205">
        <f t="shared" si="231"/>
        <v>652.99246105882503</v>
      </c>
      <c r="BY456" s="180">
        <v>2044</v>
      </c>
      <c r="BZ456" s="22">
        <v>30</v>
      </c>
      <c r="CA456" s="198">
        <f t="shared" ca="1" si="232"/>
        <v>-54.747525439586163</v>
      </c>
      <c r="CB456" s="198">
        <f t="shared" ca="1" si="233"/>
        <v>289.84285421221489</v>
      </c>
      <c r="CC456" s="276">
        <f t="shared" ca="1" si="244"/>
        <v>410.84078456287187</v>
      </c>
      <c r="CD456" s="205">
        <f t="shared" ca="1" si="234"/>
        <v>645.93611333550064</v>
      </c>
      <c r="CG456" s="180">
        <v>2044</v>
      </c>
      <c r="CH456" s="22">
        <v>30</v>
      </c>
      <c r="CI456" s="198">
        <f t="shared" ca="1" si="235"/>
        <v>-15.522272268207322</v>
      </c>
      <c r="CJ456" s="198">
        <f t="shared" ca="1" si="236"/>
        <v>-29.911889810454383</v>
      </c>
      <c r="CK456" s="198">
        <f t="shared" ca="1" si="237"/>
        <v>279.07729604575371</v>
      </c>
      <c r="CL456" s="276">
        <f t="shared" ca="1" si="238"/>
        <v>411.87284319901585</v>
      </c>
      <c r="CM456" s="205">
        <f t="shared" ca="1" si="239"/>
        <v>645.51597716610786</v>
      </c>
      <c r="CP456" s="180">
        <v>2044</v>
      </c>
      <c r="CQ456" s="22">
        <v>30</v>
      </c>
      <c r="CR456" s="198">
        <f t="shared" ca="1" si="240"/>
        <v>429.26261557387249</v>
      </c>
      <c r="CS456" s="276">
        <f t="shared" ca="1" si="241"/>
        <v>1.5403436559156511</v>
      </c>
      <c r="CT456" s="205">
        <f t="shared" ca="1" si="242"/>
        <v>661.21194662097344</v>
      </c>
      <c r="CZ456" s="164" t="b">
        <f t="shared" si="219"/>
        <v>0</v>
      </c>
      <c r="DA456" s="165" t="b">
        <f t="shared" si="219"/>
        <v>0</v>
      </c>
      <c r="DB456" s="166" t="b">
        <f t="shared" si="219"/>
        <v>0</v>
      </c>
      <c r="DC456" s="164" t="str">
        <f t="shared" si="220"/>
        <v/>
      </c>
      <c r="DD456" s="166" t="str">
        <f t="shared" si="221"/>
        <v/>
      </c>
      <c r="DE456" s="164" t="str">
        <f t="shared" si="222"/>
        <v/>
      </c>
      <c r="DF456" s="166" t="str">
        <f t="shared" si="223"/>
        <v/>
      </c>
      <c r="DG456" s="164" t="str">
        <f t="shared" si="224"/>
        <v/>
      </c>
      <c r="DH456" s="166" t="str">
        <f t="shared" si="225"/>
        <v/>
      </c>
      <c r="DI456" s="164" t="str">
        <f>IFERROR(INDEX(DC$422:DC$470,_xlfn.AGGREGATE(15,6,(ROW(DC$422:DC$470)-ROW(DC$422)+1)/(DC$422:DC$470&lt;&gt;""),ROWS(DI$1:DI35))),"")</f>
        <v/>
      </c>
      <c r="DJ456" s="165" t="str">
        <f>IFERROR(INDEX(DD$422:DD$470,_xlfn.AGGREGATE(15,6,(ROW(DD$422:DD$470)-ROW(DD$422)+1)/(DD$422:DD$470&lt;&gt;""),ROWS(DJ$1:DJ35))),"")</f>
        <v/>
      </c>
      <c r="DK456" s="166" t="str">
        <f t="shared" si="226"/>
        <v/>
      </c>
      <c r="DL456" s="164" t="str">
        <f>IFERROR(INDEX(DE$422:DE$470,_xlfn.AGGREGATE(15,6,(ROW(DE$422:DE$470)-ROW(DE$422)+1)/(DE$422:DE$470&lt;&gt;""),ROWS(DL$1:DL35))),"")</f>
        <v/>
      </c>
      <c r="DM456" s="165" t="str">
        <f>IFERROR(INDEX(DF$422:DF$470,_xlfn.AGGREGATE(15,6,(ROW(DF$422:DF$470)-ROW(DF$422)+1)/(DF$422:DF$470&lt;&gt;""),ROWS(DM$1:DM35))),"")</f>
        <v/>
      </c>
      <c r="DN456" s="166" t="str">
        <f t="shared" si="227"/>
        <v/>
      </c>
      <c r="DO456" s="164" t="str">
        <f>IFERROR(INDEX(DG$422:DG$470,_xlfn.AGGREGATE(15,6,(ROW(DG$422:DG$470)-ROW(DG$422)+1)/(DG$422:DG$470&lt;&gt;""),ROWS(DO$1:DO35))),"")</f>
        <v/>
      </c>
      <c r="DP456" s="165" t="str">
        <f>IFERROR(INDEX(DH$422:DH$470,_xlfn.AGGREGATE(15,6,(ROW(DH$422:DH$470)-ROW(DH$422)+1)/(DH$422:DH$470&lt;&gt;""),ROWS(DP$1:DP35))),"")</f>
        <v/>
      </c>
      <c r="DQ456" s="166" t="str">
        <f t="shared" si="228"/>
        <v/>
      </c>
      <c r="DR456" s="65"/>
      <c r="DV456" s="145">
        <v>2049</v>
      </c>
      <c r="DW456" s="235">
        <f t="shared" ca="1" si="212"/>
        <v>672.10082288078081</v>
      </c>
      <c r="EA456" s="55"/>
      <c r="EB456" s="55"/>
      <c r="EC456" s="55"/>
      <c r="ED456" s="55"/>
      <c r="EE456" s="55"/>
    </row>
    <row r="457" spans="2:135" ht="13.8" x14ac:dyDescent="0.45">
      <c r="B457" s="128">
        <v>2047</v>
      </c>
      <c r="C457" s="244"/>
      <c r="D457" s="244"/>
      <c r="E457" s="245"/>
      <c r="F457" s="246"/>
      <c r="G457" s="247"/>
      <c r="H457" s="245"/>
      <c r="I457" s="246"/>
      <c r="J457" s="247"/>
      <c r="K457" s="245"/>
      <c r="L457" s="246"/>
      <c r="M457" s="245"/>
      <c r="N457" s="29" t="s">
        <v>119</v>
      </c>
      <c r="O457" s="120"/>
      <c r="P457" s="120"/>
      <c r="Q457" s="120"/>
      <c r="R457" s="29">
        <v>33</v>
      </c>
      <c r="S457" s="238" t="str">
        <f t="shared" si="213"/>
        <v/>
      </c>
      <c r="T457" s="238" t="str">
        <f t="shared" si="214"/>
        <v/>
      </c>
      <c r="U457" s="238" t="str">
        <f t="shared" si="215"/>
        <v/>
      </c>
      <c r="W457" s="238" t="e">
        <f t="shared" si="216"/>
        <v>#N/A</v>
      </c>
      <c r="X457" s="238" t="e">
        <f t="shared" si="217"/>
        <v>#N/A</v>
      </c>
      <c r="Y457" s="238" t="e">
        <f t="shared" si="218"/>
        <v>#N/A</v>
      </c>
      <c r="AA457" s="89"/>
      <c r="AB457" s="89"/>
      <c r="AC457" s="89"/>
      <c r="AD457" s="89"/>
      <c r="AE457" s="89"/>
      <c r="AF457" s="89"/>
      <c r="AG457" s="89"/>
      <c r="AH457" s="89"/>
      <c r="AI457" s="89"/>
      <c r="AJ457" s="89"/>
      <c r="AK457" s="89"/>
      <c r="AL457" s="89"/>
      <c r="AM457" s="89"/>
      <c r="AN457" s="89"/>
      <c r="BR457" s="180">
        <v>2045</v>
      </c>
      <c r="BS457" s="22">
        <v>31</v>
      </c>
      <c r="BT457" s="198">
        <f t="shared" si="229"/>
        <v>239.16034353476704</v>
      </c>
      <c r="BU457" s="198">
        <f t="shared" si="230"/>
        <v>421.54696731550206</v>
      </c>
      <c r="BV457" s="205">
        <f t="shared" si="231"/>
        <v>660.7073108502691</v>
      </c>
      <c r="BY457" s="180">
        <v>2045</v>
      </c>
      <c r="BZ457" s="22">
        <v>31</v>
      </c>
      <c r="CA457" s="198">
        <f t="shared" ca="1" si="232"/>
        <v>-58.458191052713666</v>
      </c>
      <c r="CB457" s="198">
        <f t="shared" ca="1" si="233"/>
        <v>299.50428268595539</v>
      </c>
      <c r="CC457" s="198">
        <f t="shared" ca="1" si="244"/>
        <v>410.84078456287187</v>
      </c>
      <c r="CD457" s="205">
        <f t="shared" ca="1" si="234"/>
        <v>651.88687619611358</v>
      </c>
      <c r="CG457" s="180">
        <v>2045</v>
      </c>
      <c r="CH457" s="22">
        <v>31</v>
      </c>
      <c r="CI457" s="198">
        <f t="shared" ca="1" si="235"/>
        <v>-17.126815301561642</v>
      </c>
      <c r="CJ457" s="198">
        <f t="shared" ca="1" si="236"/>
        <v>-31.939251230940737</v>
      </c>
      <c r="CK457" s="198">
        <f t="shared" ca="1" si="237"/>
        <v>288.37987258061213</v>
      </c>
      <c r="CL457" s="198">
        <f t="shared" ca="1" si="238"/>
        <v>411.87284319901585</v>
      </c>
      <c r="CM457" s="205">
        <f t="shared" ca="1" si="239"/>
        <v>651.18664924712562</v>
      </c>
      <c r="CP457" s="180">
        <v>2045</v>
      </c>
      <c r="CQ457" s="22">
        <v>31</v>
      </c>
      <c r="CR457" s="198">
        <f t="shared" ca="1" si="240"/>
        <v>429.26261557387249</v>
      </c>
      <c r="CS457" s="198">
        <f t="shared" ca="1" si="241"/>
        <v>1.562685365554165</v>
      </c>
      <c r="CT457" s="205">
        <f t="shared" ca="1" si="242"/>
        <v>670.80240733679398</v>
      </c>
      <c r="CZ457" s="164" t="b">
        <f t="shared" si="219"/>
        <v>0</v>
      </c>
      <c r="DA457" s="165" t="b">
        <f t="shared" si="219"/>
        <v>0</v>
      </c>
      <c r="DB457" s="166" t="b">
        <f t="shared" si="219"/>
        <v>0</v>
      </c>
      <c r="DC457" s="164" t="str">
        <f t="shared" si="220"/>
        <v/>
      </c>
      <c r="DD457" s="166" t="str">
        <f t="shared" si="221"/>
        <v/>
      </c>
      <c r="DE457" s="164" t="str">
        <f t="shared" si="222"/>
        <v/>
      </c>
      <c r="DF457" s="166" t="str">
        <f t="shared" si="223"/>
        <v/>
      </c>
      <c r="DG457" s="164" t="str">
        <f t="shared" si="224"/>
        <v/>
      </c>
      <c r="DH457" s="166" t="str">
        <f t="shared" si="225"/>
        <v/>
      </c>
      <c r="DI457" s="164" t="str">
        <f>IFERROR(INDEX(DC$422:DC$470,_xlfn.AGGREGATE(15,6,(ROW(DC$422:DC$470)-ROW(DC$422)+1)/(DC$422:DC$470&lt;&gt;""),ROWS(DI$1:DI36))),"")</f>
        <v/>
      </c>
      <c r="DJ457" s="165" t="str">
        <f>IFERROR(INDEX(DD$422:DD$470,_xlfn.AGGREGATE(15,6,(ROW(DD$422:DD$470)-ROW(DD$422)+1)/(DD$422:DD$470&lt;&gt;""),ROWS(DJ$1:DJ36))),"")</f>
        <v/>
      </c>
      <c r="DK457" s="166" t="str">
        <f t="shared" si="226"/>
        <v/>
      </c>
      <c r="DL457" s="164" t="str">
        <f>IFERROR(INDEX(DE$422:DE$470,_xlfn.AGGREGATE(15,6,(ROW(DE$422:DE$470)-ROW(DE$422)+1)/(DE$422:DE$470&lt;&gt;""),ROWS(DL$1:DL36))),"")</f>
        <v/>
      </c>
      <c r="DM457" s="165" t="str">
        <f>IFERROR(INDEX(DF$422:DF$470,_xlfn.AGGREGATE(15,6,(ROW(DF$422:DF$470)-ROW(DF$422)+1)/(DF$422:DF$470&lt;&gt;""),ROWS(DM$1:DM36))),"")</f>
        <v/>
      </c>
      <c r="DN457" s="166" t="str">
        <f t="shared" si="227"/>
        <v/>
      </c>
      <c r="DO457" s="164" t="str">
        <f>IFERROR(INDEX(DG$422:DG$470,_xlfn.AGGREGATE(15,6,(ROW(DG$422:DG$470)-ROW(DG$422)+1)/(DG$422:DG$470&lt;&gt;""),ROWS(DO$1:DO36))),"")</f>
        <v/>
      </c>
      <c r="DP457" s="165" t="str">
        <f>IFERROR(INDEX(DH$422:DH$470,_xlfn.AGGREGATE(15,6,(ROW(DH$422:DH$470)-ROW(DH$422)+1)/(DH$422:DH$470&lt;&gt;""),ROWS(DP$1:DP36))),"")</f>
        <v/>
      </c>
      <c r="DQ457" s="166" t="str">
        <f t="shared" si="228"/>
        <v/>
      </c>
      <c r="DR457" s="65"/>
      <c r="DV457" s="145">
        <v>2050</v>
      </c>
      <c r="DW457" s="235">
        <f t="shared" ca="1" si="212"/>
        <v>676.86999064740371</v>
      </c>
      <c r="EA457" s="55"/>
      <c r="EB457" s="55"/>
      <c r="EC457" s="55"/>
      <c r="ED457" s="55"/>
      <c r="EE457" s="55"/>
    </row>
    <row r="458" spans="2:135" ht="13.8" x14ac:dyDescent="0.45">
      <c r="B458" s="128">
        <v>2048</v>
      </c>
      <c r="C458" s="244"/>
      <c r="D458" s="244"/>
      <c r="E458" s="245"/>
      <c r="F458" s="246"/>
      <c r="G458" s="247"/>
      <c r="H458" s="245"/>
      <c r="I458" s="246"/>
      <c r="J458" s="247"/>
      <c r="K458" s="245"/>
      <c r="L458" s="246"/>
      <c r="M458" s="245"/>
      <c r="N458" s="29" t="s">
        <v>119</v>
      </c>
      <c r="O458" s="120"/>
      <c r="P458" s="120"/>
      <c r="Q458" s="120"/>
      <c r="R458" s="29">
        <v>34</v>
      </c>
      <c r="S458" s="238" t="str">
        <f t="shared" si="213"/>
        <v/>
      </c>
      <c r="T458" s="238" t="str">
        <f t="shared" si="214"/>
        <v/>
      </c>
      <c r="U458" s="238" t="str">
        <f t="shared" si="215"/>
        <v/>
      </c>
      <c r="W458" s="238" t="e">
        <f t="shared" si="216"/>
        <v>#N/A</v>
      </c>
      <c r="X458" s="238" t="e">
        <f t="shared" si="217"/>
        <v>#N/A</v>
      </c>
      <c r="Y458" s="238" t="e">
        <f t="shared" si="218"/>
        <v>#N/A</v>
      </c>
      <c r="AA458" s="89"/>
      <c r="AB458" s="89"/>
      <c r="AC458" s="89"/>
      <c r="AD458" s="89"/>
      <c r="AE458" s="89"/>
      <c r="AF458" s="89"/>
      <c r="AG458" s="89"/>
      <c r="AH458" s="89"/>
      <c r="AI458" s="89"/>
      <c r="AJ458" s="89"/>
      <c r="AK458" s="89"/>
      <c r="AL458" s="89"/>
      <c r="AM458" s="89"/>
      <c r="AN458" s="89"/>
      <c r="BR458" s="180">
        <v>2046</v>
      </c>
      <c r="BS458" s="22">
        <v>32</v>
      </c>
      <c r="BT458" s="198">
        <f t="shared" si="229"/>
        <v>246.87519332621113</v>
      </c>
      <c r="BU458" s="198">
        <f t="shared" si="230"/>
        <v>421.54696731550206</v>
      </c>
      <c r="BV458" s="205">
        <f t="shared" si="231"/>
        <v>668.42216064171316</v>
      </c>
      <c r="BY458" s="180">
        <v>2046</v>
      </c>
      <c r="BZ458" s="22">
        <v>32</v>
      </c>
      <c r="CA458" s="198">
        <f t="shared" ca="1" si="232"/>
        <v>-62.290517833484699</v>
      </c>
      <c r="CB458" s="198">
        <f t="shared" ca="1" si="233"/>
        <v>309.16571115969589</v>
      </c>
      <c r="CC458" s="198">
        <f t="shared" ca="1" si="244"/>
        <v>410.84078456287187</v>
      </c>
      <c r="CD458" s="205">
        <f t="shared" ca="1" si="234"/>
        <v>657.71597788908309</v>
      </c>
      <c r="CG458" s="180">
        <v>2046</v>
      </c>
      <c r="CH458" s="22">
        <v>32</v>
      </c>
      <c r="CI458" s="198">
        <f t="shared" ca="1" si="235"/>
        <v>-18.838289543874723</v>
      </c>
      <c r="CJ458" s="198">
        <f t="shared" ca="1" si="236"/>
        <v>-34.033083517672544</v>
      </c>
      <c r="CK458" s="198">
        <f t="shared" ca="1" si="237"/>
        <v>297.6824491154706</v>
      </c>
      <c r="CL458" s="198">
        <f t="shared" ca="1" si="238"/>
        <v>411.87284319901585</v>
      </c>
      <c r="CM458" s="205">
        <f t="shared" ca="1" si="239"/>
        <v>656.68391925293918</v>
      </c>
      <c r="CP458" s="180">
        <v>2046</v>
      </c>
      <c r="CQ458" s="22">
        <v>32</v>
      </c>
      <c r="CR458" s="198">
        <f t="shared" ca="1" si="240"/>
        <v>429.26261557387249</v>
      </c>
      <c r="CS458" s="198">
        <f t="shared" ca="1" si="241"/>
        <v>1.5853511275479146</v>
      </c>
      <c r="CT458" s="205">
        <f t="shared" ca="1" si="242"/>
        <v>680.53197161420576</v>
      </c>
      <c r="CZ458" s="164" t="b">
        <f t="shared" si="219"/>
        <v>0</v>
      </c>
      <c r="DA458" s="165" t="b">
        <f t="shared" si="219"/>
        <v>0</v>
      </c>
      <c r="DB458" s="166" t="b">
        <f t="shared" si="219"/>
        <v>0</v>
      </c>
      <c r="DC458" s="164" t="str">
        <f t="shared" si="220"/>
        <v/>
      </c>
      <c r="DD458" s="166" t="str">
        <f t="shared" si="221"/>
        <v/>
      </c>
      <c r="DE458" s="164" t="str">
        <f t="shared" si="222"/>
        <v/>
      </c>
      <c r="DF458" s="166" t="str">
        <f t="shared" si="223"/>
        <v/>
      </c>
      <c r="DG458" s="164" t="str">
        <f t="shared" si="224"/>
        <v/>
      </c>
      <c r="DH458" s="166" t="str">
        <f t="shared" si="225"/>
        <v/>
      </c>
      <c r="DI458" s="164" t="str">
        <f>IFERROR(INDEX(DC$422:DC$470,_xlfn.AGGREGATE(15,6,(ROW(DC$422:DC$470)-ROW(DC$422)+1)/(DC$422:DC$470&lt;&gt;""),ROWS(DI$1:DI37))),"")</f>
        <v/>
      </c>
      <c r="DJ458" s="165" t="str">
        <f>IFERROR(INDEX(DD$422:DD$470,_xlfn.AGGREGATE(15,6,(ROW(DD$422:DD$470)-ROW(DD$422)+1)/(DD$422:DD$470&lt;&gt;""),ROWS(DJ$1:DJ37))),"")</f>
        <v/>
      </c>
      <c r="DK458" s="166" t="str">
        <f t="shared" si="226"/>
        <v/>
      </c>
      <c r="DL458" s="164" t="str">
        <f>IFERROR(INDEX(DE$422:DE$470,_xlfn.AGGREGATE(15,6,(ROW(DE$422:DE$470)-ROW(DE$422)+1)/(DE$422:DE$470&lt;&gt;""),ROWS(DL$1:DL37))),"")</f>
        <v/>
      </c>
      <c r="DM458" s="165" t="str">
        <f>IFERROR(INDEX(DF$422:DF$470,_xlfn.AGGREGATE(15,6,(ROW(DF$422:DF$470)-ROW(DF$422)+1)/(DF$422:DF$470&lt;&gt;""),ROWS(DM$1:DM37))),"")</f>
        <v/>
      </c>
      <c r="DN458" s="166" t="str">
        <f t="shared" si="227"/>
        <v/>
      </c>
      <c r="DO458" s="164" t="str">
        <f>IFERROR(INDEX(DG$422:DG$470,_xlfn.AGGREGATE(15,6,(ROW(DG$422:DG$470)-ROW(DG$422)+1)/(DG$422:DG$470&lt;&gt;""),ROWS(DO$1:DO37))),"")</f>
        <v/>
      </c>
      <c r="DP458" s="165" t="str">
        <f>IFERROR(INDEX(DH$422:DH$470,_xlfn.AGGREGATE(15,6,(ROW(DH$422:DH$470)-ROW(DH$422)+1)/(DH$422:DH$470&lt;&gt;""),ROWS(DP$1:DP37))),"")</f>
        <v/>
      </c>
      <c r="DQ458" s="166" t="str">
        <f t="shared" si="228"/>
        <v/>
      </c>
      <c r="DR458" s="65"/>
      <c r="DV458" s="145">
        <v>2051</v>
      </c>
      <c r="DW458" s="235">
        <f t="shared" ca="1" si="212"/>
        <v>681.44850936963553</v>
      </c>
      <c r="EA458" s="55"/>
      <c r="EB458" s="55"/>
      <c r="EC458" s="55"/>
      <c r="ED458" s="55"/>
      <c r="EE458" s="55"/>
    </row>
    <row r="459" spans="2:135" ht="13.8" x14ac:dyDescent="0.45">
      <c r="B459" s="128">
        <v>2049</v>
      </c>
      <c r="C459" s="244"/>
      <c r="D459" s="244"/>
      <c r="E459" s="245"/>
      <c r="F459" s="246"/>
      <c r="G459" s="247"/>
      <c r="H459" s="245"/>
      <c r="I459" s="246"/>
      <c r="J459" s="247"/>
      <c r="K459" s="245"/>
      <c r="L459" s="246"/>
      <c r="M459" s="245"/>
      <c r="N459" s="29" t="s">
        <v>119</v>
      </c>
      <c r="O459" s="120"/>
      <c r="P459" s="120"/>
      <c r="Q459" s="120"/>
      <c r="R459" s="29">
        <v>35</v>
      </c>
      <c r="S459" s="238" t="str">
        <f t="shared" si="213"/>
        <v/>
      </c>
      <c r="T459" s="238" t="str">
        <f t="shared" si="214"/>
        <v/>
      </c>
      <c r="U459" s="238" t="str">
        <f t="shared" si="215"/>
        <v/>
      </c>
      <c r="W459" s="238" t="e">
        <f t="shared" si="216"/>
        <v>#N/A</v>
      </c>
      <c r="X459" s="238" t="e">
        <f t="shared" si="217"/>
        <v>#N/A</v>
      </c>
      <c r="Y459" s="238" t="e">
        <f t="shared" si="218"/>
        <v>#N/A</v>
      </c>
      <c r="AA459" s="89"/>
      <c r="AB459" s="89"/>
      <c r="AC459" s="89"/>
      <c r="AD459" s="89"/>
      <c r="AE459" s="89"/>
      <c r="AF459" s="89"/>
      <c r="AG459" s="89"/>
      <c r="AH459" s="89"/>
      <c r="AI459" s="89"/>
      <c r="AJ459" s="89"/>
      <c r="AK459" s="89"/>
      <c r="AL459" s="89"/>
      <c r="AM459" s="89"/>
      <c r="AN459" s="89"/>
      <c r="BR459" s="180">
        <v>2047</v>
      </c>
      <c r="BS459" s="22">
        <v>33</v>
      </c>
      <c r="BT459" s="198">
        <f t="shared" si="229"/>
        <v>254.59004311765523</v>
      </c>
      <c r="BU459" s="198">
        <f t="shared" si="230"/>
        <v>421.54696731550206</v>
      </c>
      <c r="BV459" s="205">
        <f t="shared" si="231"/>
        <v>676.13701043315723</v>
      </c>
      <c r="BY459" s="180">
        <v>2047</v>
      </c>
      <c r="BZ459" s="22">
        <v>33</v>
      </c>
      <c r="CA459" s="198">
        <f t="shared" ca="1" si="232"/>
        <v>-66.24450578189925</v>
      </c>
      <c r="CB459" s="198">
        <f t="shared" ca="1" si="233"/>
        <v>318.82713963343639</v>
      </c>
      <c r="CC459" s="198">
        <f t="shared" ca="1" si="244"/>
        <v>410.84078456287187</v>
      </c>
      <c r="CD459" s="205">
        <f t="shared" ca="1" si="234"/>
        <v>663.42341841440907</v>
      </c>
      <c r="CG459" s="180">
        <v>2047</v>
      </c>
      <c r="CH459" s="22">
        <v>33</v>
      </c>
      <c r="CI459" s="198">
        <f t="shared" ca="1" si="235"/>
        <v>-20.660144388983944</v>
      </c>
      <c r="CJ459" s="198">
        <f t="shared" ca="1" si="236"/>
        <v>-36.193386670649808</v>
      </c>
      <c r="CK459" s="198">
        <f t="shared" ca="1" si="237"/>
        <v>306.98502565032908</v>
      </c>
      <c r="CL459" s="198">
        <f t="shared" ca="1" si="238"/>
        <v>411.87284319901585</v>
      </c>
      <c r="CM459" s="205">
        <f t="shared" ca="1" si="239"/>
        <v>662.00433778971114</v>
      </c>
      <c r="CP459" s="180">
        <v>2047</v>
      </c>
      <c r="CQ459" s="22">
        <v>33</v>
      </c>
      <c r="CR459" s="198">
        <f t="shared" ca="1" si="240"/>
        <v>429.26261557387249</v>
      </c>
      <c r="CS459" s="198">
        <f t="shared" ca="1" si="241"/>
        <v>1.6083456420711759</v>
      </c>
      <c r="CT459" s="205">
        <f t="shared" ca="1" si="242"/>
        <v>690.4026570623123</v>
      </c>
      <c r="CZ459" s="164" t="b">
        <f t="shared" si="219"/>
        <v>0</v>
      </c>
      <c r="DA459" s="165" t="b">
        <f t="shared" si="219"/>
        <v>0</v>
      </c>
      <c r="DB459" s="166" t="b">
        <f t="shared" si="219"/>
        <v>0</v>
      </c>
      <c r="DC459" s="164" t="str">
        <f t="shared" si="220"/>
        <v/>
      </c>
      <c r="DD459" s="166" t="str">
        <f t="shared" si="221"/>
        <v/>
      </c>
      <c r="DE459" s="164" t="str">
        <f t="shared" si="222"/>
        <v/>
      </c>
      <c r="DF459" s="166" t="str">
        <f t="shared" si="223"/>
        <v/>
      </c>
      <c r="DG459" s="164" t="str">
        <f t="shared" si="224"/>
        <v/>
      </c>
      <c r="DH459" s="166" t="str">
        <f t="shared" si="225"/>
        <v/>
      </c>
      <c r="DI459" s="164" t="str">
        <f>IFERROR(INDEX(DC$422:DC$470,_xlfn.AGGREGATE(15,6,(ROW(DC$422:DC$470)-ROW(DC$422)+1)/(DC$422:DC$470&lt;&gt;""),ROWS(DI$1:DI38))),"")</f>
        <v/>
      </c>
      <c r="DJ459" s="165" t="str">
        <f>IFERROR(INDEX(DD$422:DD$470,_xlfn.AGGREGATE(15,6,(ROW(DD$422:DD$470)-ROW(DD$422)+1)/(DD$422:DD$470&lt;&gt;""),ROWS(DJ$1:DJ38))),"")</f>
        <v/>
      </c>
      <c r="DK459" s="166" t="str">
        <f t="shared" si="226"/>
        <v/>
      </c>
      <c r="DL459" s="164" t="str">
        <f>IFERROR(INDEX(DE$422:DE$470,_xlfn.AGGREGATE(15,6,(ROW(DE$422:DE$470)-ROW(DE$422)+1)/(DE$422:DE$470&lt;&gt;""),ROWS(DL$1:DL38))),"")</f>
        <v/>
      </c>
      <c r="DM459" s="165" t="str">
        <f>IFERROR(INDEX(DF$422:DF$470,_xlfn.AGGREGATE(15,6,(ROW(DF$422:DF$470)-ROW(DF$422)+1)/(DF$422:DF$470&lt;&gt;""),ROWS(DM$1:DM38))),"")</f>
        <v/>
      </c>
      <c r="DN459" s="166" t="str">
        <f t="shared" si="227"/>
        <v/>
      </c>
      <c r="DO459" s="164" t="str">
        <f>IFERROR(INDEX(DG$422:DG$470,_xlfn.AGGREGATE(15,6,(ROW(DG$422:DG$470)-ROW(DG$422)+1)/(DG$422:DG$470&lt;&gt;""),ROWS(DO$1:DO38))),"")</f>
        <v/>
      </c>
      <c r="DP459" s="165" t="str">
        <f>IFERROR(INDEX(DH$422:DH$470,_xlfn.AGGREGATE(15,6,(ROW(DH$422:DH$470)-ROW(DH$422)+1)/(DH$422:DH$470&lt;&gt;""),ROWS(DP$1:DP38))),"")</f>
        <v/>
      </c>
      <c r="DQ459" s="166" t="str">
        <f t="shared" si="228"/>
        <v/>
      </c>
      <c r="DR459" s="65"/>
      <c r="DV459" s="145">
        <v>2052</v>
      </c>
      <c r="DW459" s="235">
        <f t="shared" ca="1" si="212"/>
        <v>685.83292965363876</v>
      </c>
      <c r="EA459" s="55"/>
      <c r="EB459" s="55"/>
      <c r="EC459" s="55"/>
      <c r="ED459" s="55"/>
      <c r="EE459" s="55"/>
    </row>
    <row r="460" spans="2:135" ht="13.8" x14ac:dyDescent="0.45">
      <c r="B460" s="128">
        <v>2050</v>
      </c>
      <c r="C460" s="244"/>
      <c r="D460" s="244"/>
      <c r="E460" s="245"/>
      <c r="F460" s="246"/>
      <c r="G460" s="247"/>
      <c r="H460" s="245"/>
      <c r="I460" s="246"/>
      <c r="J460" s="247"/>
      <c r="K460" s="245"/>
      <c r="L460" s="246"/>
      <c r="M460" s="245"/>
      <c r="N460" s="29" t="s">
        <v>119</v>
      </c>
      <c r="O460" s="120"/>
      <c r="P460" s="120"/>
      <c r="Q460" s="120"/>
      <c r="R460" s="29">
        <v>36</v>
      </c>
      <c r="S460" s="238" t="str">
        <f t="shared" si="213"/>
        <v/>
      </c>
      <c r="T460" s="238" t="str">
        <f t="shared" si="214"/>
        <v/>
      </c>
      <c r="U460" s="238" t="str">
        <f t="shared" si="215"/>
        <v/>
      </c>
      <c r="W460" s="238" t="e">
        <f t="shared" si="216"/>
        <v>#N/A</v>
      </c>
      <c r="X460" s="238" t="e">
        <f t="shared" si="217"/>
        <v>#N/A</v>
      </c>
      <c r="Y460" s="238" t="e">
        <f t="shared" si="218"/>
        <v>#N/A</v>
      </c>
      <c r="AA460" s="89"/>
      <c r="AB460" s="89"/>
      <c r="AC460" s="89"/>
      <c r="AD460" s="89"/>
      <c r="AE460" s="89"/>
      <c r="AF460" s="89"/>
      <c r="AG460" s="89"/>
      <c r="AH460" s="89"/>
      <c r="AI460" s="89"/>
      <c r="AJ460" s="89"/>
      <c r="AK460" s="89"/>
      <c r="AL460" s="89"/>
      <c r="AM460" s="89"/>
      <c r="AN460" s="89"/>
      <c r="BR460" s="180">
        <v>2048</v>
      </c>
      <c r="BS460" s="22">
        <v>34</v>
      </c>
      <c r="BT460" s="198">
        <f t="shared" si="229"/>
        <v>262.30489290909935</v>
      </c>
      <c r="BU460" s="198">
        <f t="shared" si="230"/>
        <v>421.54696731550206</v>
      </c>
      <c r="BV460" s="205">
        <f t="shared" si="231"/>
        <v>683.85186022460141</v>
      </c>
      <c r="BY460" s="180">
        <v>2048</v>
      </c>
      <c r="BZ460" s="22">
        <v>34</v>
      </c>
      <c r="CA460" s="198">
        <f t="shared" ca="1" si="232"/>
        <v>-70.320154897957337</v>
      </c>
      <c r="CB460" s="198">
        <f t="shared" ca="1" si="233"/>
        <v>328.48856810717689</v>
      </c>
      <c r="CC460" s="198">
        <f t="shared" ca="1" si="244"/>
        <v>410.84078456287187</v>
      </c>
      <c r="CD460" s="205">
        <f t="shared" ca="1" si="234"/>
        <v>669.00919777209151</v>
      </c>
      <c r="CG460" s="180">
        <v>2048</v>
      </c>
      <c r="CH460" s="22">
        <v>34</v>
      </c>
      <c r="CI460" s="198">
        <f t="shared" ca="1" si="235"/>
        <v>-22.595829230726686</v>
      </c>
      <c r="CJ460" s="198">
        <f t="shared" ca="1" si="236"/>
        <v>-38.420160689872517</v>
      </c>
      <c r="CK460" s="198">
        <f t="shared" ca="1" si="237"/>
        <v>316.2876021851875</v>
      </c>
      <c r="CL460" s="198">
        <f t="shared" ca="1" si="238"/>
        <v>411.87284319901585</v>
      </c>
      <c r="CM460" s="205">
        <f t="shared" ca="1" si="239"/>
        <v>667.14445546360412</v>
      </c>
      <c r="CP460" s="180">
        <v>2048</v>
      </c>
      <c r="CQ460" s="22">
        <v>34</v>
      </c>
      <c r="CR460" s="198">
        <f t="shared" ca="1" si="240"/>
        <v>429.26261557387249</v>
      </c>
      <c r="CS460" s="198">
        <f t="shared" ca="1" si="241"/>
        <v>1.6316736774712783</v>
      </c>
      <c r="CT460" s="205">
        <f t="shared" ca="1" si="242"/>
        <v>700.41651055436012</v>
      </c>
      <c r="CZ460" s="164" t="b">
        <f t="shared" si="219"/>
        <v>0</v>
      </c>
      <c r="DA460" s="165" t="b">
        <f t="shared" si="219"/>
        <v>0</v>
      </c>
      <c r="DB460" s="166" t="b">
        <f t="shared" si="219"/>
        <v>0</v>
      </c>
      <c r="DC460" s="164" t="str">
        <f t="shared" si="220"/>
        <v/>
      </c>
      <c r="DD460" s="166" t="str">
        <f t="shared" si="221"/>
        <v/>
      </c>
      <c r="DE460" s="164" t="str">
        <f t="shared" si="222"/>
        <v/>
      </c>
      <c r="DF460" s="166" t="str">
        <f t="shared" si="223"/>
        <v/>
      </c>
      <c r="DG460" s="164" t="str">
        <f t="shared" si="224"/>
        <v/>
      </c>
      <c r="DH460" s="166" t="str">
        <f t="shared" si="225"/>
        <v/>
      </c>
      <c r="DI460" s="164" t="str">
        <f>IFERROR(INDEX(DC$422:DC$470,_xlfn.AGGREGATE(15,6,(ROW(DC$422:DC$470)-ROW(DC$422)+1)/(DC$422:DC$470&lt;&gt;""),ROWS(DI$1:DI39))),"")</f>
        <v/>
      </c>
      <c r="DJ460" s="165" t="str">
        <f>IFERROR(INDEX(DD$422:DD$470,_xlfn.AGGREGATE(15,6,(ROW(DD$422:DD$470)-ROW(DD$422)+1)/(DD$422:DD$470&lt;&gt;""),ROWS(DJ$1:DJ39))),"")</f>
        <v/>
      </c>
      <c r="DK460" s="166" t="str">
        <f t="shared" si="226"/>
        <v/>
      </c>
      <c r="DL460" s="164" t="str">
        <f>IFERROR(INDEX(DE$422:DE$470,_xlfn.AGGREGATE(15,6,(ROW(DE$422:DE$470)-ROW(DE$422)+1)/(DE$422:DE$470&lt;&gt;""),ROWS(DL$1:DL39))),"")</f>
        <v/>
      </c>
      <c r="DM460" s="165" t="str">
        <f>IFERROR(INDEX(DF$422:DF$470,_xlfn.AGGREGATE(15,6,(ROW(DF$422:DF$470)-ROW(DF$422)+1)/(DF$422:DF$470&lt;&gt;""),ROWS(DM$1:DM39))),"")</f>
        <v/>
      </c>
      <c r="DN460" s="166" t="str">
        <f t="shared" si="227"/>
        <v/>
      </c>
      <c r="DO460" s="164" t="str">
        <f>IFERROR(INDEX(DG$422:DG$470,_xlfn.AGGREGATE(15,6,(ROW(DG$422:DG$470)-ROW(DG$422)+1)/(DG$422:DG$470&lt;&gt;""),ROWS(DO$1:DO39))),"")</f>
        <v/>
      </c>
      <c r="DP460" s="165" t="str">
        <f>IFERROR(INDEX(DH$422:DH$470,_xlfn.AGGREGATE(15,6,(ROW(DH$422:DH$470)-ROW(DH$422)+1)/(DH$422:DH$470&lt;&gt;""),ROWS(DP$1:DP39))),"")</f>
        <v/>
      </c>
      <c r="DQ460" s="166" t="str">
        <f t="shared" si="228"/>
        <v/>
      </c>
      <c r="DR460" s="65"/>
      <c r="DV460" s="145">
        <v>2053</v>
      </c>
      <c r="DW460" s="235">
        <f t="shared" ca="1" si="212"/>
        <v>690.01980210557622</v>
      </c>
      <c r="EA460" s="55"/>
      <c r="EB460" s="55"/>
      <c r="EC460" s="55"/>
      <c r="ED460" s="55"/>
      <c r="EE460" s="55"/>
    </row>
    <row r="461" spans="2:135" ht="13.8" x14ac:dyDescent="0.45">
      <c r="B461" s="128">
        <v>2051</v>
      </c>
      <c r="C461" s="244"/>
      <c r="D461" s="244"/>
      <c r="E461" s="245"/>
      <c r="F461" s="246"/>
      <c r="G461" s="247"/>
      <c r="H461" s="245"/>
      <c r="I461" s="246"/>
      <c r="J461" s="247"/>
      <c r="K461" s="245"/>
      <c r="L461" s="246"/>
      <c r="M461" s="245"/>
      <c r="N461" s="29" t="s">
        <v>119</v>
      </c>
      <c r="O461" s="120"/>
      <c r="P461" s="120"/>
      <c r="Q461" s="120"/>
      <c r="R461" s="29">
        <v>37</v>
      </c>
      <c r="S461" s="238" t="str">
        <f t="shared" si="213"/>
        <v/>
      </c>
      <c r="T461" s="238" t="str">
        <f t="shared" si="214"/>
        <v/>
      </c>
      <c r="U461" s="238" t="str">
        <f t="shared" si="215"/>
        <v/>
      </c>
      <c r="W461" s="238" t="e">
        <f t="shared" si="216"/>
        <v>#N/A</v>
      </c>
      <c r="X461" s="238" t="e">
        <f t="shared" si="217"/>
        <v>#N/A</v>
      </c>
      <c r="Y461" s="238" t="e">
        <f t="shared" si="218"/>
        <v>#N/A</v>
      </c>
      <c r="AA461" s="89"/>
      <c r="AB461" s="89"/>
      <c r="AC461" s="89"/>
      <c r="AD461" s="89"/>
      <c r="AE461" s="89"/>
      <c r="AF461" s="89"/>
      <c r="AG461" s="89"/>
      <c r="AH461" s="89"/>
      <c r="AI461" s="89"/>
      <c r="AJ461" s="89"/>
      <c r="AK461" s="89"/>
      <c r="AL461" s="89"/>
      <c r="AM461" s="89"/>
      <c r="AN461" s="89"/>
      <c r="BR461" s="180">
        <v>2049</v>
      </c>
      <c r="BS461" s="22">
        <v>35</v>
      </c>
      <c r="BT461" s="198">
        <f t="shared" si="229"/>
        <v>270.01974270054342</v>
      </c>
      <c r="BU461" s="198">
        <f t="shared" si="230"/>
        <v>421.54696731550206</v>
      </c>
      <c r="BV461" s="205">
        <f t="shared" si="231"/>
        <v>691.56671001604548</v>
      </c>
      <c r="BY461" s="180">
        <v>2049</v>
      </c>
      <c r="BZ461" s="22">
        <v>35</v>
      </c>
      <c r="CA461" s="198">
        <f t="shared" ca="1" si="232"/>
        <v>-74.517465181658949</v>
      </c>
      <c r="CB461" s="198">
        <f t="shared" ca="1" si="233"/>
        <v>338.14999658091739</v>
      </c>
      <c r="CC461" s="198">
        <f t="shared" ca="1" si="244"/>
        <v>410.84078456287187</v>
      </c>
      <c r="CD461" s="205">
        <f t="shared" ca="1" si="234"/>
        <v>674.4733159621303</v>
      </c>
      <c r="CG461" s="180">
        <v>2049</v>
      </c>
      <c r="CH461" s="22">
        <v>35</v>
      </c>
      <c r="CI461" s="198">
        <f t="shared" ca="1" si="235"/>
        <v>-24.648793462940329</v>
      </c>
      <c r="CJ461" s="198">
        <f t="shared" ca="1" si="236"/>
        <v>-40.713405575340687</v>
      </c>
      <c r="CK461" s="198">
        <f t="shared" ca="1" si="237"/>
        <v>325.59017872004597</v>
      </c>
      <c r="CL461" s="198">
        <f t="shared" ca="1" si="238"/>
        <v>411.87284319901585</v>
      </c>
      <c r="CM461" s="205">
        <f t="shared" ca="1" si="239"/>
        <v>672.10082288078081</v>
      </c>
      <c r="CP461" s="180">
        <v>2049</v>
      </c>
      <c r="CQ461" s="22">
        <v>35</v>
      </c>
      <c r="CR461" s="198">
        <f t="shared" ca="1" si="240"/>
        <v>429.26261557387249</v>
      </c>
      <c r="CS461" s="198">
        <f t="shared" ca="1" si="241"/>
        <v>1.6553400712574098</v>
      </c>
      <c r="CT461" s="205">
        <f t="shared" ca="1" si="242"/>
        <v>710.57560865219625</v>
      </c>
      <c r="CZ461" s="164" t="b">
        <f t="shared" si="219"/>
        <v>0</v>
      </c>
      <c r="DA461" s="165" t="b">
        <f t="shared" si="219"/>
        <v>0</v>
      </c>
      <c r="DB461" s="166" t="b">
        <f t="shared" si="219"/>
        <v>0</v>
      </c>
      <c r="DC461" s="164" t="str">
        <f t="shared" si="220"/>
        <v/>
      </c>
      <c r="DD461" s="166" t="str">
        <f t="shared" si="221"/>
        <v/>
      </c>
      <c r="DE461" s="164" t="str">
        <f t="shared" si="222"/>
        <v/>
      </c>
      <c r="DF461" s="166" t="str">
        <f t="shared" si="223"/>
        <v/>
      </c>
      <c r="DG461" s="164" t="str">
        <f t="shared" si="224"/>
        <v/>
      </c>
      <c r="DH461" s="166" t="str">
        <f t="shared" si="225"/>
        <v/>
      </c>
      <c r="DI461" s="164" t="str">
        <f>IFERROR(INDEX(DC$422:DC$470,_xlfn.AGGREGATE(15,6,(ROW(DC$422:DC$470)-ROW(DC$422)+1)/(DC$422:DC$470&lt;&gt;""),ROWS(DI$1:DI40))),"")</f>
        <v/>
      </c>
      <c r="DJ461" s="165" t="str">
        <f>IFERROR(INDEX(DD$422:DD$470,_xlfn.AGGREGATE(15,6,(ROW(DD$422:DD$470)-ROW(DD$422)+1)/(DD$422:DD$470&lt;&gt;""),ROWS(DJ$1:DJ40))),"")</f>
        <v/>
      </c>
      <c r="DK461" s="166" t="str">
        <f t="shared" si="226"/>
        <v/>
      </c>
      <c r="DL461" s="164" t="str">
        <f>IFERROR(INDEX(DE$422:DE$470,_xlfn.AGGREGATE(15,6,(ROW(DE$422:DE$470)-ROW(DE$422)+1)/(DE$422:DE$470&lt;&gt;""),ROWS(DL$1:DL40))),"")</f>
        <v/>
      </c>
      <c r="DM461" s="165" t="str">
        <f>IFERROR(INDEX(DF$422:DF$470,_xlfn.AGGREGATE(15,6,(ROW(DF$422:DF$470)-ROW(DF$422)+1)/(DF$422:DF$470&lt;&gt;""),ROWS(DM$1:DM40))),"")</f>
        <v/>
      </c>
      <c r="DN461" s="166" t="str">
        <f t="shared" si="227"/>
        <v/>
      </c>
      <c r="DO461" s="164" t="str">
        <f>IFERROR(INDEX(DG$422:DG$470,_xlfn.AGGREGATE(15,6,(ROW(DG$422:DG$470)-ROW(DG$422)+1)/(DG$422:DG$470&lt;&gt;""),ROWS(DO$1:DO40))),"")</f>
        <v/>
      </c>
      <c r="DP461" s="165" t="str">
        <f>IFERROR(INDEX(DH$422:DH$470,_xlfn.AGGREGATE(15,6,(ROW(DH$422:DH$470)-ROW(DH$422)+1)/(DH$422:DH$470&lt;&gt;""),ROWS(DP$1:DP40))),"")</f>
        <v/>
      </c>
      <c r="DQ461" s="166" t="str">
        <f t="shared" si="228"/>
        <v/>
      </c>
      <c r="DR461" s="65"/>
      <c r="DV461" s="145">
        <v>2054</v>
      </c>
      <c r="DW461" s="235">
        <f t="shared" ca="1" si="212"/>
        <v>694.00567733161051</v>
      </c>
      <c r="EA461" s="55"/>
      <c r="EB461" s="55"/>
      <c r="EC461" s="55"/>
      <c r="ED461" s="55"/>
      <c r="EE461" s="55"/>
    </row>
    <row r="462" spans="2:135" ht="13.8" x14ac:dyDescent="0.45">
      <c r="B462" s="128">
        <v>2052</v>
      </c>
      <c r="C462" s="244"/>
      <c r="D462" s="244"/>
      <c r="E462" s="245"/>
      <c r="F462" s="246"/>
      <c r="G462" s="247"/>
      <c r="H462" s="245"/>
      <c r="I462" s="246"/>
      <c r="J462" s="247"/>
      <c r="K462" s="245"/>
      <c r="L462" s="246"/>
      <c r="M462" s="245"/>
      <c r="N462" s="29" t="s">
        <v>119</v>
      </c>
      <c r="O462" s="120"/>
      <c r="P462" s="120"/>
      <c r="Q462" s="120"/>
      <c r="R462" s="29">
        <v>38</v>
      </c>
      <c r="S462" s="238" t="str">
        <f t="shared" si="213"/>
        <v/>
      </c>
      <c r="T462" s="238" t="str">
        <f t="shared" si="214"/>
        <v/>
      </c>
      <c r="U462" s="238" t="str">
        <f t="shared" si="215"/>
        <v/>
      </c>
      <c r="W462" s="238" t="e">
        <f t="shared" si="216"/>
        <v>#N/A</v>
      </c>
      <c r="X462" s="238" t="e">
        <f t="shared" si="217"/>
        <v>#N/A</v>
      </c>
      <c r="Y462" s="238" t="e">
        <f t="shared" si="218"/>
        <v>#N/A</v>
      </c>
      <c r="AA462" s="89"/>
      <c r="AB462" s="89"/>
      <c r="AC462" s="89"/>
      <c r="AD462" s="89"/>
      <c r="AE462" s="89"/>
      <c r="AF462" s="89"/>
      <c r="AG462" s="89"/>
      <c r="AH462" s="89"/>
      <c r="AI462" s="89"/>
      <c r="AJ462" s="89"/>
      <c r="AK462" s="89"/>
      <c r="AL462" s="89"/>
      <c r="AM462" s="89"/>
      <c r="AN462" s="89"/>
      <c r="BR462" s="180">
        <v>2050</v>
      </c>
      <c r="BS462" s="22">
        <v>36</v>
      </c>
      <c r="BT462" s="198">
        <f t="shared" si="229"/>
        <v>277.73459249198754</v>
      </c>
      <c r="BU462" s="198">
        <f t="shared" si="230"/>
        <v>421.54696731550206</v>
      </c>
      <c r="BV462" s="212">
        <f t="shared" si="231"/>
        <v>699.28155980748966</v>
      </c>
      <c r="BY462" s="180">
        <v>2050</v>
      </c>
      <c r="BZ462" s="22">
        <v>36</v>
      </c>
      <c r="CA462" s="198">
        <f t="shared" ca="1" si="232"/>
        <v>-78.83643663300407</v>
      </c>
      <c r="CB462" s="198">
        <f t="shared" ca="1" si="233"/>
        <v>347.81142505465789</v>
      </c>
      <c r="CC462" s="198">
        <f t="shared" ca="1" si="244"/>
        <v>410.84078456287187</v>
      </c>
      <c r="CD462" s="212">
        <f t="shared" ca="1" si="234"/>
        <v>679.81577298452567</v>
      </c>
      <c r="CG462" s="180">
        <v>2050</v>
      </c>
      <c r="CH462" s="22">
        <v>36</v>
      </c>
      <c r="CI462" s="198">
        <f t="shared" ca="1" si="235"/>
        <v>-26.822486479462253</v>
      </c>
      <c r="CJ462" s="198">
        <f t="shared" ca="1" si="236"/>
        <v>-43.073121327054317</v>
      </c>
      <c r="CK462" s="198">
        <f t="shared" ca="1" si="237"/>
        <v>334.89275525490444</v>
      </c>
      <c r="CL462" s="198">
        <f t="shared" ca="1" si="238"/>
        <v>411.87284319901585</v>
      </c>
      <c r="CM462" s="212">
        <f t="shared" ca="1" si="239"/>
        <v>676.86999064740371</v>
      </c>
      <c r="CP462" s="180">
        <v>2050</v>
      </c>
      <c r="CQ462" s="22">
        <v>36</v>
      </c>
      <c r="CR462" s="198">
        <f t="shared" ca="1" si="240"/>
        <v>429.26261557387249</v>
      </c>
      <c r="CS462" s="198">
        <f t="shared" ca="1" si="241"/>
        <v>1.6793497311037675</v>
      </c>
      <c r="CT462" s="212">
        <f t="shared" ca="1" si="242"/>
        <v>720.88205803688265</v>
      </c>
      <c r="CZ462" s="164" t="b">
        <f t="shared" ref="CZ462:DB470" si="246">ISNUMBER(W462)</f>
        <v>0</v>
      </c>
      <c r="DA462" s="165" t="b">
        <f t="shared" si="246"/>
        <v>0</v>
      </c>
      <c r="DB462" s="166" t="b">
        <f t="shared" si="246"/>
        <v>0</v>
      </c>
      <c r="DC462" s="164" t="str">
        <f t="shared" si="220"/>
        <v/>
      </c>
      <c r="DD462" s="166" t="str">
        <f t="shared" si="221"/>
        <v/>
      </c>
      <c r="DE462" s="164" t="str">
        <f t="shared" si="222"/>
        <v/>
      </c>
      <c r="DF462" s="166" t="str">
        <f t="shared" si="223"/>
        <v/>
      </c>
      <c r="DG462" s="164" t="str">
        <f t="shared" si="224"/>
        <v/>
      </c>
      <c r="DH462" s="166" t="str">
        <f t="shared" si="225"/>
        <v/>
      </c>
      <c r="DI462" s="164" t="str">
        <f>IFERROR(INDEX(DC$422:DC$470,_xlfn.AGGREGATE(15,6,(ROW(DC$422:DC$470)-ROW(DC$422)+1)/(DC$422:DC$470&lt;&gt;""),ROWS(DI$1:DI41))),"")</f>
        <v/>
      </c>
      <c r="DJ462" s="165" t="str">
        <f>IFERROR(INDEX(DD$422:DD$470,_xlfn.AGGREGATE(15,6,(ROW(DD$422:DD$470)-ROW(DD$422)+1)/(DD$422:DD$470&lt;&gt;""),ROWS(DJ$1:DJ41))),"")</f>
        <v/>
      </c>
      <c r="DK462" s="166" t="str">
        <f t="shared" si="226"/>
        <v/>
      </c>
      <c r="DL462" s="164" t="str">
        <f>IFERROR(INDEX(DE$422:DE$470,_xlfn.AGGREGATE(15,6,(ROW(DE$422:DE$470)-ROW(DE$422)+1)/(DE$422:DE$470&lt;&gt;""),ROWS(DL$1:DL41))),"")</f>
        <v/>
      </c>
      <c r="DM462" s="165" t="str">
        <f>IFERROR(INDEX(DF$422:DF$470,_xlfn.AGGREGATE(15,6,(ROW(DF$422:DF$470)-ROW(DF$422)+1)/(DF$422:DF$470&lt;&gt;""),ROWS(DM$1:DM41))),"")</f>
        <v/>
      </c>
      <c r="DN462" s="166" t="str">
        <f t="shared" si="227"/>
        <v/>
      </c>
      <c r="DO462" s="164" t="str">
        <f>IFERROR(INDEX(DG$422:DG$470,_xlfn.AGGREGATE(15,6,(ROW(DG$422:DG$470)-ROW(DG$422)+1)/(DG$422:DG$470&lt;&gt;""),ROWS(DO$1:DO41))),"")</f>
        <v/>
      </c>
      <c r="DP462" s="165" t="str">
        <f>IFERROR(INDEX(DH$422:DH$470,_xlfn.AGGREGATE(15,6,(ROW(DH$422:DH$470)-ROW(DH$422)+1)/(DH$422:DH$470&lt;&gt;""),ROWS(DP$1:DP41))),"")</f>
        <v/>
      </c>
      <c r="DQ462" s="166" t="str">
        <f t="shared" si="228"/>
        <v/>
      </c>
      <c r="DR462" s="65"/>
      <c r="DV462" s="145">
        <v>2055</v>
      </c>
      <c r="DW462" s="235">
        <f t="shared" ca="1" si="212"/>
        <v>697.78710593790402</v>
      </c>
      <c r="EA462" s="55"/>
      <c r="EB462" s="55"/>
      <c r="EC462" s="55"/>
      <c r="ED462" s="55"/>
      <c r="EE462" s="55"/>
    </row>
    <row r="463" spans="2:135" ht="13.8" x14ac:dyDescent="0.45">
      <c r="B463" s="128">
        <v>2053</v>
      </c>
      <c r="C463" s="244"/>
      <c r="D463" s="244"/>
      <c r="E463" s="245"/>
      <c r="F463" s="246"/>
      <c r="G463" s="247"/>
      <c r="H463" s="245"/>
      <c r="I463" s="246"/>
      <c r="J463" s="247"/>
      <c r="K463" s="245"/>
      <c r="L463" s="246"/>
      <c r="M463" s="245"/>
      <c r="N463" s="29" t="s">
        <v>119</v>
      </c>
      <c r="O463" s="120"/>
      <c r="P463" s="120"/>
      <c r="Q463" s="120"/>
      <c r="R463" s="29">
        <v>39</v>
      </c>
      <c r="S463" s="238" t="str">
        <f t="shared" si="213"/>
        <v/>
      </c>
      <c r="T463" s="238" t="str">
        <f t="shared" si="214"/>
        <v/>
      </c>
      <c r="U463" s="238" t="str">
        <f t="shared" si="215"/>
        <v/>
      </c>
      <c r="W463" s="238" t="e">
        <f t="shared" si="216"/>
        <v>#N/A</v>
      </c>
      <c r="X463" s="238" t="e">
        <f t="shared" si="217"/>
        <v>#N/A</v>
      </c>
      <c r="Y463" s="238" t="e">
        <f t="shared" si="218"/>
        <v>#N/A</v>
      </c>
      <c r="AA463" s="89"/>
      <c r="AB463" s="89"/>
      <c r="AC463" s="89"/>
      <c r="AD463" s="89"/>
      <c r="AE463" s="89"/>
      <c r="AF463" s="89"/>
      <c r="AG463" s="89"/>
      <c r="AH463" s="89"/>
      <c r="AI463" s="89"/>
      <c r="AJ463" s="89"/>
      <c r="AK463" s="89"/>
      <c r="AL463" s="89"/>
      <c r="AM463" s="89"/>
      <c r="AN463" s="89"/>
      <c r="BR463" s="180">
        <v>2051</v>
      </c>
      <c r="BS463" s="22">
        <v>37</v>
      </c>
      <c r="BT463" s="198">
        <f t="shared" si="229"/>
        <v>285.44944228343161</v>
      </c>
      <c r="BU463" s="198">
        <f t="shared" si="230"/>
        <v>421.54696731550206</v>
      </c>
      <c r="BV463" s="285">
        <f t="shared" si="231"/>
        <v>706.99640959893372</v>
      </c>
      <c r="BY463" s="180">
        <v>2051</v>
      </c>
      <c r="BZ463" s="22">
        <v>37</v>
      </c>
      <c r="CA463" s="198">
        <f t="shared" ca="1" si="232"/>
        <v>-83.277069251992728</v>
      </c>
      <c r="CB463" s="198">
        <f t="shared" ca="1" si="233"/>
        <v>357.47285352839839</v>
      </c>
      <c r="CC463" s="198">
        <f t="shared" ca="1" si="244"/>
        <v>410.84078456287187</v>
      </c>
      <c r="CD463" s="285">
        <f t="shared" ca="1" si="234"/>
        <v>685.03656883927761</v>
      </c>
      <c r="CG463" s="180">
        <v>2051</v>
      </c>
      <c r="CH463" s="22">
        <v>37</v>
      </c>
      <c r="CI463" s="198">
        <f t="shared" ca="1" si="235"/>
        <v>-29.120357674129831</v>
      </c>
      <c r="CJ463" s="198">
        <f t="shared" ca="1" si="236"/>
        <v>-45.499307945013392</v>
      </c>
      <c r="CK463" s="198">
        <f t="shared" ca="1" si="237"/>
        <v>344.19533178976286</v>
      </c>
      <c r="CL463" s="198">
        <f t="shared" ca="1" si="238"/>
        <v>411.87284319901585</v>
      </c>
      <c r="CM463" s="285">
        <f t="shared" ca="1" si="239"/>
        <v>681.44850936963553</v>
      </c>
      <c r="CP463" s="180">
        <v>2051</v>
      </c>
      <c r="CQ463" s="22">
        <v>37</v>
      </c>
      <c r="CR463" s="198">
        <f t="shared" ca="1" si="240"/>
        <v>429.26261557387249</v>
      </c>
      <c r="CS463" s="198">
        <f t="shared" ca="1" si="241"/>
        <v>1.7037076358672556</v>
      </c>
      <c r="CT463" s="285">
        <f t="shared" ca="1" si="242"/>
        <v>731.33799594555683</v>
      </c>
      <c r="CZ463" s="164" t="b">
        <f t="shared" si="246"/>
        <v>0</v>
      </c>
      <c r="DA463" s="165" t="b">
        <f t="shared" si="246"/>
        <v>0</v>
      </c>
      <c r="DB463" s="166" t="b">
        <f t="shared" si="246"/>
        <v>0</v>
      </c>
      <c r="DC463" s="164" t="str">
        <f t="shared" si="220"/>
        <v/>
      </c>
      <c r="DD463" s="166" t="str">
        <f t="shared" si="221"/>
        <v/>
      </c>
      <c r="DE463" s="164" t="str">
        <f t="shared" si="222"/>
        <v/>
      </c>
      <c r="DF463" s="166" t="str">
        <f t="shared" si="223"/>
        <v/>
      </c>
      <c r="DG463" s="164" t="str">
        <f t="shared" si="224"/>
        <v/>
      </c>
      <c r="DH463" s="166" t="str">
        <f t="shared" si="225"/>
        <v/>
      </c>
      <c r="DI463" s="164" t="str">
        <f>IFERROR(INDEX(DC$422:DC$470,_xlfn.AGGREGATE(15,6,(ROW(DC$422:DC$470)-ROW(DC$422)+1)/(DC$422:DC$470&lt;&gt;""),ROWS(DI$1:DI42))),"")</f>
        <v/>
      </c>
      <c r="DJ463" s="165" t="str">
        <f>IFERROR(INDEX(DD$422:DD$470,_xlfn.AGGREGATE(15,6,(ROW(DD$422:DD$470)-ROW(DD$422)+1)/(DD$422:DD$470&lt;&gt;""),ROWS(DJ$1:DJ42))),"")</f>
        <v/>
      </c>
      <c r="DK463" s="166" t="str">
        <f t="shared" si="226"/>
        <v/>
      </c>
      <c r="DL463" s="164" t="str">
        <f>IFERROR(INDEX(DE$422:DE$470,_xlfn.AGGREGATE(15,6,(ROW(DE$422:DE$470)-ROW(DE$422)+1)/(DE$422:DE$470&lt;&gt;""),ROWS(DL$1:DL42))),"")</f>
        <v/>
      </c>
      <c r="DM463" s="165" t="str">
        <f>IFERROR(INDEX(DF$422:DF$470,_xlfn.AGGREGATE(15,6,(ROW(DF$422:DF$470)-ROW(DF$422)+1)/(DF$422:DF$470&lt;&gt;""),ROWS(DM$1:DM42))),"")</f>
        <v/>
      </c>
      <c r="DN463" s="166" t="str">
        <f t="shared" si="227"/>
        <v/>
      </c>
      <c r="DO463" s="164" t="str">
        <f>IFERROR(INDEX(DG$422:DG$470,_xlfn.AGGREGATE(15,6,(ROW(DG$422:DG$470)-ROW(DG$422)+1)/(DG$422:DG$470&lt;&gt;""),ROWS(DO$1:DO42))),"")</f>
        <v/>
      </c>
      <c r="DP463" s="165" t="str">
        <f>IFERROR(INDEX(DH$422:DH$470,_xlfn.AGGREGATE(15,6,(ROW(DH$422:DH$470)-ROW(DH$422)+1)/(DH$422:DH$470&lt;&gt;""),ROWS(DP$1:DP42))),"")</f>
        <v/>
      </c>
      <c r="DQ463" s="166" t="str">
        <f t="shared" si="228"/>
        <v/>
      </c>
      <c r="DR463" s="65"/>
      <c r="DV463" s="145">
        <v>2056</v>
      </c>
      <c r="DW463" s="235">
        <f t="shared" ca="1" si="212"/>
        <v>701.36063853061955</v>
      </c>
      <c r="EA463" s="55"/>
      <c r="EB463" s="55"/>
      <c r="EC463" s="55"/>
      <c r="ED463" s="55"/>
      <c r="EE463" s="55"/>
    </row>
    <row r="464" spans="2:135" ht="13.8" x14ac:dyDescent="0.45">
      <c r="B464" s="128">
        <v>2054</v>
      </c>
      <c r="C464" s="244"/>
      <c r="D464" s="244"/>
      <c r="E464" s="245"/>
      <c r="F464" s="246"/>
      <c r="G464" s="247"/>
      <c r="H464" s="245"/>
      <c r="I464" s="246"/>
      <c r="J464" s="247"/>
      <c r="K464" s="245"/>
      <c r="L464" s="246"/>
      <c r="M464" s="245"/>
      <c r="N464" s="29" t="s">
        <v>119</v>
      </c>
      <c r="O464" s="120"/>
      <c r="P464" s="120"/>
      <c r="Q464" s="120"/>
      <c r="R464" s="29">
        <v>40</v>
      </c>
      <c r="S464" s="238" t="str">
        <f t="shared" si="213"/>
        <v/>
      </c>
      <c r="T464" s="238" t="str">
        <f t="shared" si="214"/>
        <v/>
      </c>
      <c r="U464" s="238" t="str">
        <f t="shared" si="215"/>
        <v/>
      </c>
      <c r="W464" s="238" t="e">
        <f t="shared" si="216"/>
        <v>#N/A</v>
      </c>
      <c r="X464" s="238" t="e">
        <f t="shared" si="217"/>
        <v>#N/A</v>
      </c>
      <c r="Y464" s="238" t="e">
        <f t="shared" si="218"/>
        <v>#N/A</v>
      </c>
      <c r="AA464" s="89"/>
      <c r="AB464" s="89"/>
      <c r="AC464" s="89"/>
      <c r="AD464" s="89"/>
      <c r="AE464" s="89"/>
      <c r="AF464" s="89"/>
      <c r="AG464" s="89"/>
      <c r="AH464" s="89"/>
      <c r="AI464" s="89"/>
      <c r="AJ464" s="89"/>
      <c r="AK464" s="89"/>
      <c r="AL464" s="89"/>
      <c r="AM464" s="89"/>
      <c r="AN464" s="89"/>
      <c r="BR464" s="180">
        <v>2052</v>
      </c>
      <c r="BS464" s="22">
        <v>38</v>
      </c>
      <c r="BT464" s="198">
        <f t="shared" si="229"/>
        <v>293.16429207487573</v>
      </c>
      <c r="BU464" s="198">
        <f t="shared" si="230"/>
        <v>421.54696731550206</v>
      </c>
      <c r="BV464" s="241">
        <f t="shared" si="231"/>
        <v>714.71125939037779</v>
      </c>
      <c r="BY464" s="180">
        <v>2052</v>
      </c>
      <c r="BZ464" s="22">
        <v>38</v>
      </c>
      <c r="CA464" s="198">
        <f t="shared" ca="1" si="232"/>
        <v>-87.83936303862491</v>
      </c>
      <c r="CB464" s="198">
        <f t="shared" ca="1" si="233"/>
        <v>367.13428200213889</v>
      </c>
      <c r="CC464" s="198">
        <f t="shared" ca="1" si="244"/>
        <v>410.84078456287187</v>
      </c>
      <c r="CD464" s="241">
        <f t="shared" ca="1" si="234"/>
        <v>690.1357035263859</v>
      </c>
      <c r="CG464" s="180">
        <v>2052</v>
      </c>
      <c r="CH464" s="22">
        <v>38</v>
      </c>
      <c r="CI464" s="198">
        <f t="shared" ca="1" si="235"/>
        <v>-31.545856440780451</v>
      </c>
      <c r="CJ464" s="198">
        <f t="shared" ca="1" si="236"/>
        <v>-47.991965429217927</v>
      </c>
      <c r="CK464" s="198">
        <f t="shared" ca="1" si="237"/>
        <v>353.49790832462133</v>
      </c>
      <c r="CL464" s="198">
        <f t="shared" ca="1" si="238"/>
        <v>411.87284319901585</v>
      </c>
      <c r="CM464" s="241">
        <f t="shared" ca="1" si="239"/>
        <v>685.83292965363876</v>
      </c>
      <c r="CP464" s="180">
        <v>2052</v>
      </c>
      <c r="CQ464" s="22">
        <v>38</v>
      </c>
      <c r="CR464" s="198">
        <f t="shared" ca="1" si="240"/>
        <v>429.26261557387249</v>
      </c>
      <c r="CS464" s="198">
        <f t="shared" ca="1" si="241"/>
        <v>1.7284188366199464</v>
      </c>
      <c r="CT464" s="241">
        <f t="shared" ca="1" si="242"/>
        <v>741.94559061462803</v>
      </c>
      <c r="CZ464" s="164" t="b">
        <f t="shared" si="246"/>
        <v>0</v>
      </c>
      <c r="DA464" s="165" t="b">
        <f t="shared" si="246"/>
        <v>0</v>
      </c>
      <c r="DB464" s="166" t="b">
        <f t="shared" si="246"/>
        <v>0</v>
      </c>
      <c r="DC464" s="164" t="str">
        <f t="shared" si="220"/>
        <v/>
      </c>
      <c r="DD464" s="166" t="str">
        <f t="shared" si="221"/>
        <v/>
      </c>
      <c r="DE464" s="164" t="str">
        <f t="shared" si="222"/>
        <v/>
      </c>
      <c r="DF464" s="166" t="str">
        <f t="shared" si="223"/>
        <v/>
      </c>
      <c r="DG464" s="164" t="str">
        <f t="shared" si="224"/>
        <v/>
      </c>
      <c r="DH464" s="166" t="str">
        <f t="shared" si="225"/>
        <v/>
      </c>
      <c r="DI464" s="164" t="str">
        <f>IFERROR(INDEX(DC$422:DC$470,_xlfn.AGGREGATE(15,6,(ROW(DC$422:DC$470)-ROW(DC$422)+1)/(DC$422:DC$470&lt;&gt;""),ROWS(DI$1:DI43))),"")</f>
        <v/>
      </c>
      <c r="DJ464" s="165" t="str">
        <f>IFERROR(INDEX(DD$422:DD$470,_xlfn.AGGREGATE(15,6,(ROW(DD$422:DD$470)-ROW(DD$422)+1)/(DD$422:DD$470&lt;&gt;""),ROWS(DJ$1:DJ43))),"")</f>
        <v/>
      </c>
      <c r="DK464" s="166" t="str">
        <f t="shared" si="226"/>
        <v/>
      </c>
      <c r="DL464" s="164" t="str">
        <f>IFERROR(INDEX(DE$422:DE$470,_xlfn.AGGREGATE(15,6,(ROW(DE$422:DE$470)-ROW(DE$422)+1)/(DE$422:DE$470&lt;&gt;""),ROWS(DL$1:DL43))),"")</f>
        <v/>
      </c>
      <c r="DM464" s="165" t="str">
        <f>IFERROR(INDEX(DF$422:DF$470,_xlfn.AGGREGATE(15,6,(ROW(DF$422:DF$470)-ROW(DF$422)+1)/(DF$422:DF$470&lt;&gt;""),ROWS(DM$1:DM43))),"")</f>
        <v/>
      </c>
      <c r="DN464" s="166" t="str">
        <f t="shared" si="227"/>
        <v/>
      </c>
      <c r="DO464" s="164" t="str">
        <f>IFERROR(INDEX(DG$422:DG$470,_xlfn.AGGREGATE(15,6,(ROW(DG$422:DG$470)-ROW(DG$422)+1)/(DG$422:DG$470&lt;&gt;""),ROWS(DO$1:DO43))),"")</f>
        <v/>
      </c>
      <c r="DP464" s="165" t="str">
        <f>IFERROR(INDEX(DH$422:DH$470,_xlfn.AGGREGATE(15,6,(ROW(DH$422:DH$470)-ROW(DH$422)+1)/(DH$422:DH$470&lt;&gt;""),ROWS(DP$1:DP43))),"")</f>
        <v/>
      </c>
      <c r="DQ464" s="166" t="str">
        <f t="shared" si="228"/>
        <v/>
      </c>
      <c r="DR464" s="65"/>
      <c r="DV464" s="145">
        <v>2057</v>
      </c>
      <c r="DW464" s="235">
        <f t="shared" ca="1" si="212"/>
        <v>704.72282571591973</v>
      </c>
      <c r="EA464" s="55"/>
      <c r="EB464" s="55"/>
      <c r="EC464" s="55"/>
      <c r="ED464" s="55"/>
      <c r="EE464" s="55"/>
    </row>
    <row r="465" spans="1:135" ht="13.8" x14ac:dyDescent="0.45">
      <c r="B465" s="128">
        <v>2055</v>
      </c>
      <c r="C465" s="244"/>
      <c r="D465" s="244"/>
      <c r="E465" s="245"/>
      <c r="F465" s="246"/>
      <c r="G465" s="247"/>
      <c r="H465" s="245"/>
      <c r="I465" s="246"/>
      <c r="J465" s="247"/>
      <c r="K465" s="245"/>
      <c r="L465" s="246"/>
      <c r="M465" s="245"/>
      <c r="N465" s="29" t="s">
        <v>119</v>
      </c>
      <c r="O465" s="120"/>
      <c r="P465" s="120"/>
      <c r="Q465" s="120"/>
      <c r="R465" s="29">
        <v>41</v>
      </c>
      <c r="S465" s="238" t="str">
        <f t="shared" si="213"/>
        <v/>
      </c>
      <c r="T465" s="238" t="str">
        <f t="shared" si="214"/>
        <v/>
      </c>
      <c r="U465" s="238" t="str">
        <f t="shared" si="215"/>
        <v/>
      </c>
      <c r="W465" s="238" t="e">
        <f t="shared" si="216"/>
        <v>#N/A</v>
      </c>
      <c r="X465" s="238" t="e">
        <f t="shared" si="217"/>
        <v>#N/A</v>
      </c>
      <c r="Y465" s="238" t="e">
        <f t="shared" si="218"/>
        <v>#N/A</v>
      </c>
      <c r="AA465" s="89"/>
      <c r="AB465" s="89"/>
      <c r="AC465" s="89"/>
      <c r="AD465" s="89"/>
      <c r="AE465" s="89"/>
      <c r="AF465" s="89"/>
      <c r="AG465" s="89"/>
      <c r="AH465" s="89"/>
      <c r="AI465" s="89"/>
      <c r="AJ465" s="89"/>
      <c r="AK465" s="89"/>
      <c r="AL465" s="89"/>
      <c r="AM465" s="89"/>
      <c r="AN465" s="89"/>
      <c r="BR465" s="180">
        <v>2053</v>
      </c>
      <c r="BS465" s="22">
        <v>39</v>
      </c>
      <c r="BT465" s="198">
        <f t="shared" si="229"/>
        <v>300.8791418663198</v>
      </c>
      <c r="BU465" s="198">
        <f t="shared" si="230"/>
        <v>421.54696731550206</v>
      </c>
      <c r="BV465" s="241">
        <f t="shared" si="231"/>
        <v>722.42610918182186</v>
      </c>
      <c r="BY465" s="180">
        <v>2053</v>
      </c>
      <c r="BZ465" s="22">
        <v>39</v>
      </c>
      <c r="CA465" s="198">
        <f t="shared" ca="1" si="232"/>
        <v>-92.523317992900616</v>
      </c>
      <c r="CB465" s="198">
        <f t="shared" ca="1" si="233"/>
        <v>376.79571047587939</v>
      </c>
      <c r="CC465" s="198">
        <f t="shared" ca="1" si="244"/>
        <v>410.84078456287187</v>
      </c>
      <c r="CD465" s="241">
        <f t="shared" ca="1" si="234"/>
        <v>695.11317704585065</v>
      </c>
      <c r="CG465" s="180">
        <v>2053</v>
      </c>
      <c r="CH465" s="22">
        <v>39</v>
      </c>
      <c r="CI465" s="198">
        <f t="shared" ca="1" si="235"/>
        <v>-34.102432173251486</v>
      </c>
      <c r="CJ465" s="198">
        <f t="shared" ca="1" si="236"/>
        <v>-50.551093779667909</v>
      </c>
      <c r="CK465" s="198">
        <f t="shared" ca="1" si="237"/>
        <v>362.80048485947981</v>
      </c>
      <c r="CL465" s="198">
        <f t="shared" ca="1" si="238"/>
        <v>411.87284319901585</v>
      </c>
      <c r="CM465" s="241">
        <f t="shared" ca="1" si="239"/>
        <v>690.01980210557622</v>
      </c>
      <c r="CP465" s="180">
        <v>2053</v>
      </c>
      <c r="CQ465" s="22">
        <v>39</v>
      </c>
      <c r="CR465" s="198">
        <f t="shared" ca="1" si="240"/>
        <v>429.26261557387249</v>
      </c>
      <c r="CS465" s="198">
        <f t="shared" ca="1" si="241"/>
        <v>1.7534884576965144</v>
      </c>
      <c r="CT465" s="241">
        <f t="shared" ca="1" si="242"/>
        <v>752.70704172940145</v>
      </c>
      <c r="CZ465" s="164" t="b">
        <f t="shared" si="246"/>
        <v>0</v>
      </c>
      <c r="DA465" s="165" t="b">
        <f t="shared" si="246"/>
        <v>0</v>
      </c>
      <c r="DB465" s="166" t="b">
        <f t="shared" si="246"/>
        <v>0</v>
      </c>
      <c r="DC465" s="164" t="str">
        <f t="shared" si="220"/>
        <v/>
      </c>
      <c r="DD465" s="166" t="str">
        <f t="shared" si="221"/>
        <v/>
      </c>
      <c r="DE465" s="164" t="str">
        <f t="shared" si="222"/>
        <v/>
      </c>
      <c r="DF465" s="166" t="str">
        <f t="shared" si="223"/>
        <v/>
      </c>
      <c r="DG465" s="164" t="str">
        <f t="shared" si="224"/>
        <v/>
      </c>
      <c r="DH465" s="166" t="str">
        <f t="shared" si="225"/>
        <v/>
      </c>
      <c r="DI465" s="164" t="str">
        <f>IFERROR(INDEX(DC$422:DC$470,_xlfn.AGGREGATE(15,6,(ROW(DC$422:DC$470)-ROW(DC$422)+1)/(DC$422:DC$470&lt;&gt;""),ROWS(DI$1:DI44))),"")</f>
        <v/>
      </c>
      <c r="DJ465" s="165" t="str">
        <f>IFERROR(INDEX(DD$422:DD$470,_xlfn.AGGREGATE(15,6,(ROW(DD$422:DD$470)-ROW(DD$422)+1)/(DD$422:DD$470&lt;&gt;""),ROWS(DJ$1:DJ44))),"")</f>
        <v/>
      </c>
      <c r="DK465" s="166" t="str">
        <f t="shared" si="226"/>
        <v/>
      </c>
      <c r="DL465" s="164" t="str">
        <f>IFERROR(INDEX(DE$422:DE$470,_xlfn.AGGREGATE(15,6,(ROW(DE$422:DE$470)-ROW(DE$422)+1)/(DE$422:DE$470&lt;&gt;""),ROWS(DL$1:DL44))),"")</f>
        <v/>
      </c>
      <c r="DM465" s="165" t="str">
        <f>IFERROR(INDEX(DF$422:DF$470,_xlfn.AGGREGATE(15,6,(ROW(DF$422:DF$470)-ROW(DF$422)+1)/(DF$422:DF$470&lt;&gt;""),ROWS(DM$1:DM44))),"")</f>
        <v/>
      </c>
      <c r="DN465" s="166" t="str">
        <f t="shared" si="227"/>
        <v/>
      </c>
      <c r="DO465" s="164" t="str">
        <f>IFERROR(INDEX(DG$422:DG$470,_xlfn.AGGREGATE(15,6,(ROW(DG$422:DG$470)-ROW(DG$422)+1)/(DG$422:DG$470&lt;&gt;""),ROWS(DO$1:DO44))),"")</f>
        <v/>
      </c>
      <c r="DP465" s="165" t="str">
        <f>IFERROR(INDEX(DH$422:DH$470,_xlfn.AGGREGATE(15,6,(ROW(DH$422:DH$470)-ROW(DH$422)+1)/(DH$422:DH$470&lt;&gt;""),ROWS(DP$1:DP44))),"")</f>
        <v/>
      </c>
      <c r="DQ465" s="166" t="str">
        <f t="shared" si="228"/>
        <v/>
      </c>
      <c r="DR465" s="65"/>
      <c r="DV465" s="145">
        <v>2058</v>
      </c>
      <c r="DW465" s="235">
        <f t="shared" ca="1" si="212"/>
        <v>707.87021809996702</v>
      </c>
      <c r="EA465" s="55"/>
      <c r="EB465" s="55"/>
      <c r="EC465" s="55"/>
      <c r="ED465" s="55"/>
      <c r="EE465" s="55"/>
    </row>
    <row r="466" spans="1:135" ht="13.8" x14ac:dyDescent="0.45">
      <c r="B466" s="128">
        <v>2056</v>
      </c>
      <c r="C466" s="244"/>
      <c r="D466" s="244"/>
      <c r="E466" s="245"/>
      <c r="F466" s="246"/>
      <c r="G466" s="247"/>
      <c r="H466" s="245"/>
      <c r="I466" s="246"/>
      <c r="J466" s="247"/>
      <c r="K466" s="245"/>
      <c r="L466" s="246"/>
      <c r="M466" s="245"/>
      <c r="N466" s="29" t="s">
        <v>119</v>
      </c>
      <c r="O466" s="120"/>
      <c r="P466" s="120"/>
      <c r="Q466" s="120"/>
      <c r="R466" s="29">
        <v>42</v>
      </c>
      <c r="S466" s="238" t="str">
        <f t="shared" si="213"/>
        <v/>
      </c>
      <c r="T466" s="238" t="str">
        <f t="shared" si="214"/>
        <v/>
      </c>
      <c r="U466" s="238" t="str">
        <f t="shared" si="215"/>
        <v/>
      </c>
      <c r="W466" s="238" t="e">
        <f t="shared" si="216"/>
        <v>#N/A</v>
      </c>
      <c r="X466" s="238" t="e">
        <f t="shared" si="217"/>
        <v>#N/A</v>
      </c>
      <c r="Y466" s="238" t="e">
        <f t="shared" si="218"/>
        <v>#N/A</v>
      </c>
      <c r="AA466" s="89"/>
      <c r="AB466" s="89"/>
      <c r="AC466" s="89"/>
      <c r="AD466" s="89"/>
      <c r="AE466" s="89"/>
      <c r="AF466" s="89"/>
      <c r="AG466" s="89"/>
      <c r="AH466" s="89"/>
      <c r="AI466" s="89"/>
      <c r="AJ466" s="89"/>
      <c r="AK466" s="89"/>
      <c r="AL466" s="89"/>
      <c r="AM466" s="89"/>
      <c r="AN466" s="89"/>
      <c r="BR466" s="180">
        <v>2054</v>
      </c>
      <c r="BS466" s="22">
        <v>40</v>
      </c>
      <c r="BT466" s="198">
        <f t="shared" si="229"/>
        <v>308.59399165776392</v>
      </c>
      <c r="BU466" s="198">
        <f t="shared" si="230"/>
        <v>421.54696731550206</v>
      </c>
      <c r="BV466" s="241">
        <f t="shared" si="231"/>
        <v>730.14095897326592</v>
      </c>
      <c r="BY466" s="180">
        <v>2054</v>
      </c>
      <c r="BZ466" s="22">
        <v>40</v>
      </c>
      <c r="CA466" s="198">
        <f t="shared" ca="1" si="232"/>
        <v>-97.328934114819845</v>
      </c>
      <c r="CB466" s="198">
        <f t="shared" ca="1" si="233"/>
        <v>386.45713894961989</v>
      </c>
      <c r="CC466" s="198">
        <f t="shared" ca="1" si="244"/>
        <v>410.84078456287187</v>
      </c>
      <c r="CD466" s="241">
        <f t="shared" ca="1" si="234"/>
        <v>699.96898939767198</v>
      </c>
      <c r="CG466" s="180">
        <v>2054</v>
      </c>
      <c r="CH466" s="22">
        <v>40</v>
      </c>
      <c r="CI466" s="198">
        <f t="shared" ca="1" si="235"/>
        <v>-36.793534265380316</v>
      </c>
      <c r="CJ466" s="198">
        <f t="shared" ca="1" si="236"/>
        <v>-53.17669299636335</v>
      </c>
      <c r="CK466" s="198">
        <f t="shared" ca="1" si="237"/>
        <v>372.10306139433828</v>
      </c>
      <c r="CL466" s="198">
        <f t="shared" ca="1" si="238"/>
        <v>411.87284319901585</v>
      </c>
      <c r="CM466" s="241">
        <f t="shared" ca="1" si="239"/>
        <v>694.00567733161051</v>
      </c>
      <c r="CP466" s="180">
        <v>2054</v>
      </c>
      <c r="CQ466" s="22">
        <v>40</v>
      </c>
      <c r="CR466" s="198">
        <f t="shared" ca="1" si="240"/>
        <v>429.26261557387249</v>
      </c>
      <c r="CS466" s="198">
        <f t="shared" ca="1" si="241"/>
        <v>1.7789216977568652</v>
      </c>
      <c r="CT466" s="241">
        <f t="shared" ca="1" si="242"/>
        <v>763.62458088022584</v>
      </c>
      <c r="CZ466" s="164" t="b">
        <f t="shared" si="246"/>
        <v>0</v>
      </c>
      <c r="DA466" s="165" t="b">
        <f t="shared" si="246"/>
        <v>0</v>
      </c>
      <c r="DB466" s="166" t="b">
        <f t="shared" si="246"/>
        <v>0</v>
      </c>
      <c r="DC466" s="164" t="str">
        <f t="shared" si="220"/>
        <v/>
      </c>
      <c r="DD466" s="166" t="str">
        <f t="shared" si="221"/>
        <v/>
      </c>
      <c r="DE466" s="164" t="str">
        <f t="shared" si="222"/>
        <v/>
      </c>
      <c r="DF466" s="166" t="str">
        <f t="shared" si="223"/>
        <v/>
      </c>
      <c r="DG466" s="164" t="str">
        <f t="shared" si="224"/>
        <v/>
      </c>
      <c r="DH466" s="166" t="str">
        <f t="shared" si="225"/>
        <v/>
      </c>
      <c r="DI466" s="164" t="str">
        <f>IFERROR(INDEX(DC$422:DC$470,_xlfn.AGGREGATE(15,6,(ROW(DC$422:DC$470)-ROW(DC$422)+1)/(DC$422:DC$470&lt;&gt;""),ROWS(DI$1:DI45))),"")</f>
        <v/>
      </c>
      <c r="DJ466" s="165" t="str">
        <f>IFERROR(INDEX(DD$422:DD$470,_xlfn.AGGREGATE(15,6,(ROW(DD$422:DD$470)-ROW(DD$422)+1)/(DD$422:DD$470&lt;&gt;""),ROWS(DJ$1:DJ45))),"")</f>
        <v/>
      </c>
      <c r="DK466" s="166" t="str">
        <f t="shared" si="226"/>
        <v/>
      </c>
      <c r="DL466" s="164" t="str">
        <f>IFERROR(INDEX(DE$422:DE$470,_xlfn.AGGREGATE(15,6,(ROW(DE$422:DE$470)-ROW(DE$422)+1)/(DE$422:DE$470&lt;&gt;""),ROWS(DL$1:DL45))),"")</f>
        <v/>
      </c>
      <c r="DM466" s="165" t="str">
        <f>IFERROR(INDEX(DF$422:DF$470,_xlfn.AGGREGATE(15,6,(ROW(DF$422:DF$470)-ROW(DF$422)+1)/(DF$422:DF$470&lt;&gt;""),ROWS(DM$1:DM45))),"")</f>
        <v/>
      </c>
      <c r="DN466" s="166" t="str">
        <f t="shared" si="227"/>
        <v/>
      </c>
      <c r="DO466" s="164" t="str">
        <f>IFERROR(INDEX(DG$422:DG$470,_xlfn.AGGREGATE(15,6,(ROW(DG$422:DG$470)-ROW(DG$422)+1)/(DG$422:DG$470&lt;&gt;""),ROWS(DO$1:DO45))),"")</f>
        <v/>
      </c>
      <c r="DP466" s="165" t="str">
        <f>IFERROR(INDEX(DH$422:DH$470,_xlfn.AGGREGATE(15,6,(ROW(DH$422:DH$470)-ROW(DH$422)+1)/(DH$422:DH$470&lt;&gt;""),ROWS(DP$1:DP45))),"")</f>
        <v/>
      </c>
      <c r="DQ466" s="166" t="str">
        <f t="shared" si="228"/>
        <v/>
      </c>
      <c r="DR466" s="65"/>
      <c r="DV466" s="145">
        <v>2059</v>
      </c>
      <c r="DW466" s="235">
        <f t="shared" ca="1" si="212"/>
        <v>710.79936628892438</v>
      </c>
      <c r="EA466" s="55"/>
      <c r="EB466" s="55"/>
      <c r="EC466" s="55"/>
      <c r="ED466" s="55"/>
      <c r="EE466" s="55"/>
    </row>
    <row r="467" spans="1:135" ht="13.8" x14ac:dyDescent="0.45">
      <c r="B467" s="128">
        <v>2057</v>
      </c>
      <c r="C467" s="244"/>
      <c r="D467" s="244"/>
      <c r="E467" s="245"/>
      <c r="F467" s="246"/>
      <c r="G467" s="247"/>
      <c r="H467" s="245"/>
      <c r="I467" s="246"/>
      <c r="J467" s="247"/>
      <c r="K467" s="245"/>
      <c r="L467" s="246"/>
      <c r="M467" s="245"/>
      <c r="N467" s="29" t="s">
        <v>119</v>
      </c>
      <c r="O467" s="120"/>
      <c r="P467" s="120"/>
      <c r="Q467" s="120"/>
      <c r="R467" s="29">
        <v>43</v>
      </c>
      <c r="S467" s="238" t="str">
        <f t="shared" si="213"/>
        <v/>
      </c>
      <c r="T467" s="238" t="str">
        <f t="shared" si="214"/>
        <v/>
      </c>
      <c r="U467" s="238" t="str">
        <f t="shared" si="215"/>
        <v/>
      </c>
      <c r="W467" s="238" t="e">
        <f t="shared" si="216"/>
        <v>#N/A</v>
      </c>
      <c r="X467" s="238" t="e">
        <f t="shared" si="217"/>
        <v>#N/A</v>
      </c>
      <c r="Y467" s="238" t="e">
        <f t="shared" si="218"/>
        <v>#N/A</v>
      </c>
      <c r="AA467" s="89"/>
      <c r="AB467" s="89"/>
      <c r="AC467" s="89"/>
      <c r="AD467" s="89"/>
      <c r="AE467" s="89"/>
      <c r="AF467" s="89"/>
      <c r="AG467" s="89"/>
      <c r="AH467" s="89"/>
      <c r="AI467" s="89"/>
      <c r="AJ467" s="89"/>
      <c r="AK467" s="89"/>
      <c r="AL467" s="89"/>
      <c r="AM467" s="89"/>
      <c r="AN467" s="89"/>
      <c r="BR467" s="180">
        <v>2055</v>
      </c>
      <c r="BS467" s="22">
        <v>41</v>
      </c>
      <c r="BT467" s="198">
        <f t="shared" si="229"/>
        <v>316.30884144920799</v>
      </c>
      <c r="BU467" s="198">
        <f t="shared" si="230"/>
        <v>421.54696731550206</v>
      </c>
      <c r="BV467" s="241">
        <f t="shared" si="231"/>
        <v>737.85580876470999</v>
      </c>
      <c r="BY467" s="180">
        <v>2055</v>
      </c>
      <c r="BZ467" s="22">
        <v>41</v>
      </c>
      <c r="CA467" s="198">
        <f t="shared" ca="1" si="232"/>
        <v>-102.2562114043826</v>
      </c>
      <c r="CB467" s="198">
        <f t="shared" ca="1" si="233"/>
        <v>396.11856742336033</v>
      </c>
      <c r="CC467" s="198">
        <f t="shared" ca="1" si="244"/>
        <v>410.84078456287187</v>
      </c>
      <c r="CD467" s="241">
        <f t="shared" ca="1" si="234"/>
        <v>704.70314058184954</v>
      </c>
      <c r="CG467" s="180">
        <v>2055</v>
      </c>
      <c r="CH467" s="22">
        <v>41</v>
      </c>
      <c r="CI467" s="198">
        <f t="shared" ca="1" si="235"/>
        <v>-39.622612111004329</v>
      </c>
      <c r="CJ467" s="198">
        <f t="shared" ca="1" si="236"/>
        <v>-55.868763079304244</v>
      </c>
      <c r="CK467" s="198">
        <f t="shared" ca="1" si="237"/>
        <v>381.4056379291967</v>
      </c>
      <c r="CL467" s="198">
        <f t="shared" ca="1" si="238"/>
        <v>411.87284319901585</v>
      </c>
      <c r="CM467" s="241">
        <f t="shared" ca="1" si="239"/>
        <v>697.78710593790402</v>
      </c>
      <c r="CP467" s="180">
        <v>2055</v>
      </c>
      <c r="CQ467" s="22">
        <v>41</v>
      </c>
      <c r="CR467" s="198">
        <f t="shared" ca="1" si="240"/>
        <v>429.26261557387249</v>
      </c>
      <c r="CS467" s="198">
        <f t="shared" ca="1" si="241"/>
        <v>1.8047238308641749</v>
      </c>
      <c r="CT467" s="241">
        <f t="shared" ca="1" si="242"/>
        <v>774.70047202525473</v>
      </c>
      <c r="CZ467" s="164" t="b">
        <f t="shared" si="246"/>
        <v>0</v>
      </c>
      <c r="DA467" s="165" t="b">
        <f t="shared" si="246"/>
        <v>0</v>
      </c>
      <c r="DB467" s="166" t="b">
        <f t="shared" si="246"/>
        <v>0</v>
      </c>
      <c r="DC467" s="164" t="str">
        <f t="shared" si="220"/>
        <v/>
      </c>
      <c r="DD467" s="166" t="str">
        <f t="shared" si="221"/>
        <v/>
      </c>
      <c r="DE467" s="164" t="str">
        <f t="shared" si="222"/>
        <v/>
      </c>
      <c r="DF467" s="166" t="str">
        <f t="shared" si="223"/>
        <v/>
      </c>
      <c r="DG467" s="164" t="str">
        <f t="shared" si="224"/>
        <v/>
      </c>
      <c r="DH467" s="166" t="str">
        <f t="shared" si="225"/>
        <v/>
      </c>
      <c r="DI467" s="164" t="str">
        <f>IFERROR(INDEX(DC$422:DC$470,_xlfn.AGGREGATE(15,6,(ROW(DC$422:DC$470)-ROW(DC$422)+1)/(DC$422:DC$470&lt;&gt;""),ROWS(DI$1:DI46))),"")</f>
        <v/>
      </c>
      <c r="DJ467" s="165" t="str">
        <f>IFERROR(INDEX(DD$422:DD$470,_xlfn.AGGREGATE(15,6,(ROW(DD$422:DD$470)-ROW(DD$422)+1)/(DD$422:DD$470&lt;&gt;""),ROWS(DJ$1:DJ46))),"")</f>
        <v/>
      </c>
      <c r="DK467" s="166" t="str">
        <f t="shared" si="226"/>
        <v/>
      </c>
      <c r="DL467" s="164" t="str">
        <f>IFERROR(INDEX(DE$422:DE$470,_xlfn.AGGREGATE(15,6,(ROW(DE$422:DE$470)-ROW(DE$422)+1)/(DE$422:DE$470&lt;&gt;""),ROWS(DL$1:DL46))),"")</f>
        <v/>
      </c>
      <c r="DM467" s="165" t="str">
        <f>IFERROR(INDEX(DF$422:DF$470,_xlfn.AGGREGATE(15,6,(ROW(DF$422:DF$470)-ROW(DF$422)+1)/(DF$422:DF$470&lt;&gt;""),ROWS(DM$1:DM46))),"")</f>
        <v/>
      </c>
      <c r="DN467" s="166" t="str">
        <f t="shared" si="227"/>
        <v/>
      </c>
      <c r="DO467" s="164" t="str">
        <f>IFERROR(INDEX(DG$422:DG$470,_xlfn.AGGREGATE(15,6,(ROW(DG$422:DG$470)-ROW(DG$422)+1)/(DG$422:DG$470&lt;&gt;""),ROWS(DO$1:DO46))),"")</f>
        <v/>
      </c>
      <c r="DP467" s="165" t="str">
        <f>IFERROR(INDEX(DH$422:DH$470,_xlfn.AGGREGATE(15,6,(ROW(DH$422:DH$470)-ROW(DH$422)+1)/(DH$422:DH$470&lt;&gt;""),ROWS(DP$1:DP46))),"")</f>
        <v/>
      </c>
      <c r="DQ467" s="166" t="str">
        <f t="shared" si="228"/>
        <v/>
      </c>
      <c r="DR467" s="65"/>
      <c r="DV467" s="145">
        <v>2060</v>
      </c>
      <c r="DW467" s="235">
        <f t="shared" ca="1" si="212"/>
        <v>713.50682088895405</v>
      </c>
      <c r="EA467" s="55"/>
      <c r="EB467" s="55"/>
      <c r="EC467" s="55"/>
      <c r="ED467" s="55"/>
      <c r="EE467" s="55"/>
    </row>
    <row r="468" spans="1:135" ht="13.8" x14ac:dyDescent="0.45">
      <c r="A468" s="214"/>
      <c r="B468" s="128">
        <v>2058</v>
      </c>
      <c r="C468" s="244"/>
      <c r="D468" s="244"/>
      <c r="E468" s="245"/>
      <c r="F468" s="246"/>
      <c r="G468" s="247"/>
      <c r="H468" s="245"/>
      <c r="I468" s="246"/>
      <c r="J468" s="247"/>
      <c r="K468" s="245"/>
      <c r="L468" s="246"/>
      <c r="M468" s="245"/>
      <c r="N468" s="29" t="s">
        <v>119</v>
      </c>
      <c r="R468" s="29">
        <v>44</v>
      </c>
      <c r="S468" s="238" t="str">
        <f t="shared" si="213"/>
        <v/>
      </c>
      <c r="T468" s="238" t="str">
        <f t="shared" si="214"/>
        <v/>
      </c>
      <c r="U468" s="238" t="str">
        <f t="shared" si="215"/>
        <v/>
      </c>
      <c r="W468" s="238" t="e">
        <f t="shared" si="216"/>
        <v>#N/A</v>
      </c>
      <c r="X468" s="238" t="e">
        <f t="shared" si="217"/>
        <v>#N/A</v>
      </c>
      <c r="Y468" s="238" t="e">
        <f t="shared" si="218"/>
        <v>#N/A</v>
      </c>
      <c r="AA468" s="89"/>
      <c r="AB468" s="89"/>
      <c r="AC468" s="89"/>
      <c r="AD468" s="89"/>
      <c r="AE468" s="89"/>
      <c r="AF468" s="89"/>
      <c r="AG468" s="89"/>
      <c r="AH468" s="89"/>
      <c r="AI468" s="89"/>
      <c r="AJ468" s="89"/>
      <c r="AK468" s="89"/>
      <c r="AL468" s="89"/>
      <c r="AM468" s="89"/>
      <c r="AN468" s="89"/>
      <c r="BR468" s="180">
        <v>2056</v>
      </c>
      <c r="BS468" s="22">
        <v>42</v>
      </c>
      <c r="BT468" s="198">
        <f t="shared" si="229"/>
        <v>324.02369124065211</v>
      </c>
      <c r="BU468" s="198">
        <f t="shared" si="230"/>
        <v>421.54696731550206</v>
      </c>
      <c r="BV468" s="241">
        <f t="shared" si="231"/>
        <v>745.57065855615417</v>
      </c>
      <c r="BY468" s="180">
        <v>2056</v>
      </c>
      <c r="BZ468" s="22">
        <v>42</v>
      </c>
      <c r="CA468" s="198">
        <f t="shared" ca="1" si="232"/>
        <v>-107.30514986158887</v>
      </c>
      <c r="CB468" s="198">
        <f t="shared" ca="1" si="233"/>
        <v>405.77999589710083</v>
      </c>
      <c r="CC468" s="198">
        <f t="shared" ca="1" si="244"/>
        <v>410.84078456287187</v>
      </c>
      <c r="CD468" s="241">
        <f t="shared" ca="1" si="234"/>
        <v>709.3156305983839</v>
      </c>
      <c r="CG468" s="180">
        <v>2056</v>
      </c>
      <c r="CH468" s="22">
        <v>42</v>
      </c>
      <c r="CI468" s="198">
        <f t="shared" ca="1" si="235"/>
        <v>-42.593115103960891</v>
      </c>
      <c r="CJ468" s="198">
        <f t="shared" ca="1" si="236"/>
        <v>-58.627304028490592</v>
      </c>
      <c r="CK468" s="198">
        <f t="shared" ca="1" si="237"/>
        <v>390.70821446405517</v>
      </c>
      <c r="CL468" s="198">
        <f t="shared" ca="1" si="238"/>
        <v>411.87284319901585</v>
      </c>
      <c r="CM468" s="241">
        <f t="shared" ca="1" si="239"/>
        <v>701.36063853061955</v>
      </c>
      <c r="CP468" s="180">
        <v>2056</v>
      </c>
      <c r="CQ468" s="22">
        <v>42</v>
      </c>
      <c r="CR468" s="198">
        <f t="shared" ca="1" si="240"/>
        <v>429.26261557387249</v>
      </c>
      <c r="CS468" s="198">
        <f t="shared" ca="1" si="241"/>
        <v>1.8309002075785681</v>
      </c>
      <c r="CT468" s="241">
        <f t="shared" ca="1" si="242"/>
        <v>785.93701195992219</v>
      </c>
      <c r="CZ468" s="164" t="b">
        <f t="shared" si="246"/>
        <v>0</v>
      </c>
      <c r="DA468" s="165" t="b">
        <f t="shared" si="246"/>
        <v>0</v>
      </c>
      <c r="DB468" s="166" t="b">
        <f t="shared" si="246"/>
        <v>0</v>
      </c>
      <c r="DC468" s="164" t="str">
        <f t="shared" si="220"/>
        <v/>
      </c>
      <c r="DD468" s="166" t="str">
        <f t="shared" si="221"/>
        <v/>
      </c>
      <c r="DE468" s="164" t="str">
        <f t="shared" si="222"/>
        <v/>
      </c>
      <c r="DF468" s="166" t="str">
        <f t="shared" si="223"/>
        <v/>
      </c>
      <c r="DG468" s="164" t="str">
        <f t="shared" si="224"/>
        <v/>
      </c>
      <c r="DH468" s="166" t="str">
        <f t="shared" si="225"/>
        <v/>
      </c>
      <c r="DI468" s="164" t="str">
        <f>IFERROR(INDEX(DC$422:DC$470,_xlfn.AGGREGATE(15,6,(ROW(DC$422:DC$470)-ROW(DC$422)+1)/(DC$422:DC$470&lt;&gt;""),ROWS(DI$1:DI47))),"")</f>
        <v/>
      </c>
      <c r="DJ468" s="165" t="str">
        <f>IFERROR(INDEX(DD$422:DD$470,_xlfn.AGGREGATE(15,6,(ROW(DD$422:DD$470)-ROW(DD$422)+1)/(DD$422:DD$470&lt;&gt;""),ROWS(DJ$1:DJ47))),"")</f>
        <v/>
      </c>
      <c r="DK468" s="166" t="str">
        <f t="shared" si="226"/>
        <v/>
      </c>
      <c r="DL468" s="164" t="str">
        <f>IFERROR(INDEX(DE$422:DE$470,_xlfn.AGGREGATE(15,6,(ROW(DE$422:DE$470)-ROW(DE$422)+1)/(DE$422:DE$470&lt;&gt;""),ROWS(DL$1:DL47))),"")</f>
        <v/>
      </c>
      <c r="DM468" s="165" t="str">
        <f>IFERROR(INDEX(DF$422:DF$470,_xlfn.AGGREGATE(15,6,(ROW(DF$422:DF$470)-ROW(DF$422)+1)/(DF$422:DF$470&lt;&gt;""),ROWS(DM$1:DM47))),"")</f>
        <v/>
      </c>
      <c r="DN468" s="166" t="str">
        <f t="shared" si="227"/>
        <v/>
      </c>
      <c r="DO468" s="164" t="str">
        <f>IFERROR(INDEX(DG$422:DG$470,_xlfn.AGGREGATE(15,6,(ROW(DG$422:DG$470)-ROW(DG$422)+1)/(DG$422:DG$470&lt;&gt;""),ROWS(DO$1:DO47))),"")</f>
        <v/>
      </c>
      <c r="DP468" s="165" t="str">
        <f>IFERROR(INDEX(DH$422:DH$470,_xlfn.AGGREGATE(15,6,(ROW(DH$422:DH$470)-ROW(DH$422)+1)/(DH$422:DH$470&lt;&gt;""),ROWS(DP$1:DP47))),"")</f>
        <v/>
      </c>
      <c r="DQ468" s="166" t="str">
        <f t="shared" si="228"/>
        <v/>
      </c>
      <c r="DR468" s="65"/>
      <c r="DW468" s="54"/>
      <c r="EA468" s="55"/>
      <c r="EB468" s="55"/>
      <c r="EC468" s="55"/>
      <c r="ED468" s="55"/>
      <c r="EE468" s="55"/>
    </row>
    <row r="469" spans="1:135" ht="13.8" x14ac:dyDescent="0.45">
      <c r="A469" s="214"/>
      <c r="B469" s="128">
        <v>2059</v>
      </c>
      <c r="C469" s="244"/>
      <c r="D469" s="244"/>
      <c r="E469" s="245"/>
      <c r="F469" s="246"/>
      <c r="G469" s="247"/>
      <c r="H469" s="245"/>
      <c r="I469" s="246"/>
      <c r="J469" s="247"/>
      <c r="K469" s="245"/>
      <c r="L469" s="246"/>
      <c r="M469" s="245"/>
      <c r="N469" s="29" t="s">
        <v>119</v>
      </c>
      <c r="R469" s="29">
        <v>45</v>
      </c>
      <c r="S469" s="238" t="str">
        <f t="shared" si="213"/>
        <v/>
      </c>
      <c r="T469" s="238" t="str">
        <f t="shared" si="214"/>
        <v/>
      </c>
      <c r="U469" s="238" t="str">
        <f t="shared" si="215"/>
        <v/>
      </c>
      <c r="W469" s="238" t="e">
        <f t="shared" si="216"/>
        <v>#N/A</v>
      </c>
      <c r="X469" s="238" t="e">
        <f t="shared" si="217"/>
        <v>#N/A</v>
      </c>
      <c r="Y469" s="238" t="e">
        <f t="shared" si="218"/>
        <v>#N/A</v>
      </c>
      <c r="AA469" s="89"/>
      <c r="AB469" s="89"/>
      <c r="AC469" s="89"/>
      <c r="AD469" s="89"/>
      <c r="AE469" s="89"/>
      <c r="AF469" s="89"/>
      <c r="AG469" s="89"/>
      <c r="AH469" s="89"/>
      <c r="AI469" s="89"/>
      <c r="AJ469" s="89"/>
      <c r="AK469" s="89"/>
      <c r="AL469" s="89"/>
      <c r="AM469" s="89"/>
      <c r="AN469" s="89"/>
      <c r="BR469" s="180">
        <v>2057</v>
      </c>
      <c r="BS469" s="22">
        <v>43</v>
      </c>
      <c r="BT469" s="198">
        <f t="shared" si="229"/>
        <v>331.73854103209624</v>
      </c>
      <c r="BU469" s="198">
        <f t="shared" si="230"/>
        <v>421.54696731550206</v>
      </c>
      <c r="BV469" s="241">
        <f t="shared" si="231"/>
        <v>753.28550834759835</v>
      </c>
      <c r="BY469" s="180">
        <v>2057</v>
      </c>
      <c r="BZ469" s="22">
        <v>43</v>
      </c>
      <c r="CA469" s="198">
        <f t="shared" ca="1" si="232"/>
        <v>-112.47574948643869</v>
      </c>
      <c r="CB469" s="198">
        <f t="shared" ca="1" si="233"/>
        <v>415.44142437084133</v>
      </c>
      <c r="CC469" s="198">
        <f t="shared" ca="1" si="244"/>
        <v>410.84078456287187</v>
      </c>
      <c r="CD469" s="241">
        <f t="shared" ca="1" si="234"/>
        <v>713.80645944727451</v>
      </c>
      <c r="CG469" s="180">
        <v>2057</v>
      </c>
      <c r="CH469" s="22">
        <v>43</v>
      </c>
      <c r="CI469" s="198">
        <f t="shared" ca="1" si="235"/>
        <v>-45.708492638087392</v>
      </c>
      <c r="CJ469" s="198">
        <f t="shared" ca="1" si="236"/>
        <v>-61.452315843922399</v>
      </c>
      <c r="CK469" s="198">
        <f t="shared" ca="1" si="237"/>
        <v>400.01079099891365</v>
      </c>
      <c r="CL469" s="198">
        <f t="shared" ca="1" si="238"/>
        <v>411.87284319901585</v>
      </c>
      <c r="CM469" s="241">
        <f t="shared" ca="1" si="239"/>
        <v>704.72282571591973</v>
      </c>
      <c r="CP469" s="180">
        <v>2057</v>
      </c>
      <c r="CQ469" s="22">
        <v>43</v>
      </c>
      <c r="CR469" s="198">
        <f t="shared" ca="1" si="240"/>
        <v>429.26261557387249</v>
      </c>
      <c r="CS469" s="198">
        <f t="shared" ca="1" si="241"/>
        <v>1.8574562560666563</v>
      </c>
      <c r="CT469" s="241">
        <f t="shared" ca="1" si="242"/>
        <v>797.33653079322551</v>
      </c>
      <c r="CZ469" s="164" t="b">
        <f t="shared" si="246"/>
        <v>0</v>
      </c>
      <c r="DA469" s="165" t="b">
        <f t="shared" si="246"/>
        <v>0</v>
      </c>
      <c r="DB469" s="166" t="b">
        <f t="shared" si="246"/>
        <v>0</v>
      </c>
      <c r="DC469" s="164" t="str">
        <f t="shared" si="220"/>
        <v/>
      </c>
      <c r="DD469" s="166" t="str">
        <f t="shared" si="221"/>
        <v/>
      </c>
      <c r="DE469" s="164" t="str">
        <f t="shared" si="222"/>
        <v/>
      </c>
      <c r="DF469" s="166" t="str">
        <f t="shared" si="223"/>
        <v/>
      </c>
      <c r="DG469" s="164" t="str">
        <f t="shared" si="224"/>
        <v/>
      </c>
      <c r="DH469" s="166" t="str">
        <f t="shared" si="225"/>
        <v/>
      </c>
      <c r="DI469" s="164" t="str">
        <f>IFERROR(INDEX(DC$422:DC$470,_xlfn.AGGREGATE(15,6,(ROW(DC$422:DC$470)-ROW(DC$422)+1)/(DC$422:DC$470&lt;&gt;""),ROWS(DI$1:DI48))),"")</f>
        <v/>
      </c>
      <c r="DJ469" s="165" t="str">
        <f>IFERROR(INDEX(DD$422:DD$470,_xlfn.AGGREGATE(15,6,(ROW(DD$422:DD$470)-ROW(DD$422)+1)/(DD$422:DD$470&lt;&gt;""),ROWS(DJ$1:DJ48))),"")</f>
        <v/>
      </c>
      <c r="DK469" s="166" t="str">
        <f t="shared" si="226"/>
        <v/>
      </c>
      <c r="DL469" s="164" t="str">
        <f>IFERROR(INDEX(DE$422:DE$470,_xlfn.AGGREGATE(15,6,(ROW(DE$422:DE$470)-ROW(DE$422)+1)/(DE$422:DE$470&lt;&gt;""),ROWS(DL$1:DL48))),"")</f>
        <v/>
      </c>
      <c r="DM469" s="165" t="str">
        <f>IFERROR(INDEX(DF$422:DF$470,_xlfn.AGGREGATE(15,6,(ROW(DF$422:DF$470)-ROW(DF$422)+1)/(DF$422:DF$470&lt;&gt;""),ROWS(DM$1:DM48))),"")</f>
        <v/>
      </c>
      <c r="DN469" s="166" t="str">
        <f t="shared" si="227"/>
        <v/>
      </c>
      <c r="DO469" s="164" t="str">
        <f>IFERROR(INDEX(DG$422:DG$470,_xlfn.AGGREGATE(15,6,(ROW(DG$422:DG$470)-ROW(DG$422)+1)/(DG$422:DG$470&lt;&gt;""),ROWS(DO$1:DO48))),"")</f>
        <v/>
      </c>
      <c r="DP469" s="165" t="str">
        <f>IFERROR(INDEX(DH$422:DH$470,_xlfn.AGGREGATE(15,6,(ROW(DH$422:DH$470)-ROW(DH$422)+1)/(DH$422:DH$470&lt;&gt;""),ROWS(DP$1:DP48))),"")</f>
        <v/>
      </c>
      <c r="DQ469" s="166" t="str">
        <f t="shared" si="228"/>
        <v/>
      </c>
      <c r="DR469" s="65"/>
      <c r="DW469" s="54"/>
      <c r="EA469" s="55"/>
      <c r="EB469" s="55"/>
      <c r="EC469" s="55"/>
      <c r="ED469" s="55"/>
      <c r="EE469" s="55"/>
    </row>
    <row r="470" spans="1:135" ht="13.8" x14ac:dyDescent="0.45">
      <c r="A470" s="214"/>
      <c r="B470" s="128">
        <v>2060</v>
      </c>
      <c r="C470" s="244">
        <f>'Total MSW Summaries (Archive)'!I51</f>
        <v>0</v>
      </c>
      <c r="D470" s="244">
        <f>'Total MSW Summaries (Archive)'!BE51</f>
        <v>0</v>
      </c>
      <c r="E470" s="249"/>
      <c r="F470" s="250"/>
      <c r="G470" s="251"/>
      <c r="H470" s="249"/>
      <c r="I470" s="250"/>
      <c r="J470" s="251"/>
      <c r="K470" s="249"/>
      <c r="L470" s="250"/>
      <c r="M470" s="249"/>
      <c r="N470" s="29" t="s">
        <v>119</v>
      </c>
      <c r="R470" s="29">
        <v>46</v>
      </c>
      <c r="S470" s="238" t="str">
        <f t="shared" si="213"/>
        <v/>
      </c>
      <c r="T470" s="238" t="str">
        <f t="shared" si="214"/>
        <v/>
      </c>
      <c r="U470" s="238" t="str">
        <f t="shared" si="215"/>
        <v/>
      </c>
      <c r="W470" s="238" t="e">
        <f t="shared" si="216"/>
        <v>#N/A</v>
      </c>
      <c r="X470" s="238" t="e">
        <f t="shared" si="217"/>
        <v>#N/A</v>
      </c>
      <c r="Y470" s="238" t="e">
        <f t="shared" si="218"/>
        <v>#N/A</v>
      </c>
      <c r="AA470" s="89"/>
      <c r="AB470" s="89"/>
      <c r="AC470" s="89"/>
      <c r="AD470" s="89"/>
      <c r="AE470" s="89"/>
      <c r="AF470" s="89"/>
      <c r="AG470" s="89"/>
      <c r="AH470" s="89"/>
      <c r="AI470" s="89"/>
      <c r="AJ470" s="89"/>
      <c r="AK470" s="89"/>
      <c r="AL470" s="89"/>
      <c r="AM470" s="89"/>
      <c r="AN470" s="89"/>
      <c r="BR470" s="180">
        <v>2058</v>
      </c>
      <c r="BS470" s="22">
        <v>44</v>
      </c>
      <c r="BT470" s="198">
        <f t="shared" si="229"/>
        <v>339.4533908235403</v>
      </c>
      <c r="BU470" s="198">
        <f t="shared" si="230"/>
        <v>421.54696731550206</v>
      </c>
      <c r="BV470" s="241">
        <f t="shared" si="231"/>
        <v>761.00035813904242</v>
      </c>
      <c r="BY470" s="180">
        <v>2058</v>
      </c>
      <c r="BZ470" s="22">
        <v>44</v>
      </c>
      <c r="CA470" s="198">
        <f t="shared" ca="1" si="232"/>
        <v>-117.76801027893201</v>
      </c>
      <c r="CB470" s="198">
        <f t="shared" ca="1" si="233"/>
        <v>425.10285284458183</v>
      </c>
      <c r="CC470" s="198">
        <f t="shared" ca="1" si="244"/>
        <v>410.84078456287187</v>
      </c>
      <c r="CD470" s="241">
        <f t="shared" ca="1" si="234"/>
        <v>718.17562712852168</v>
      </c>
      <c r="CG470" s="180">
        <v>2058</v>
      </c>
      <c r="CH470" s="22">
        <v>44</v>
      </c>
      <c r="CI470" s="198">
        <f t="shared" ca="1" si="235"/>
        <v>-48.972194107221206</v>
      </c>
      <c r="CJ470" s="198">
        <f t="shared" ca="1" si="236"/>
        <v>-64.343798525599652</v>
      </c>
      <c r="CK470" s="198">
        <f t="shared" ca="1" si="237"/>
        <v>409.31336753377207</v>
      </c>
      <c r="CL470" s="198">
        <f t="shared" ca="1" si="238"/>
        <v>411.87284319901585</v>
      </c>
      <c r="CM470" s="241">
        <f t="shared" ca="1" si="239"/>
        <v>707.87021809996702</v>
      </c>
      <c r="CP470" s="180">
        <v>2058</v>
      </c>
      <c r="CQ470" s="22">
        <v>44</v>
      </c>
      <c r="CR470" s="198">
        <f t="shared" ca="1" si="240"/>
        <v>429.26261557387249</v>
      </c>
      <c r="CS470" s="198">
        <f t="shared" ca="1" si="241"/>
        <v>1.8843974832271717</v>
      </c>
      <c r="CT470" s="241">
        <f t="shared" ca="1" si="242"/>
        <v>808.90139243091824</v>
      </c>
      <c r="CZ470" s="164" t="b">
        <f t="shared" si="246"/>
        <v>0</v>
      </c>
      <c r="DA470" s="165" t="b">
        <f t="shared" si="246"/>
        <v>0</v>
      </c>
      <c r="DB470" s="166" t="b">
        <f t="shared" si="246"/>
        <v>0</v>
      </c>
      <c r="DC470" s="164" t="str">
        <f t="shared" si="220"/>
        <v/>
      </c>
      <c r="DD470" s="166" t="str">
        <f t="shared" si="221"/>
        <v/>
      </c>
      <c r="DE470" s="164" t="str">
        <f t="shared" si="222"/>
        <v/>
      </c>
      <c r="DF470" s="166" t="str">
        <f t="shared" si="223"/>
        <v/>
      </c>
      <c r="DG470" s="164" t="str">
        <f t="shared" si="224"/>
        <v/>
      </c>
      <c r="DH470" s="166" t="str">
        <f t="shared" si="225"/>
        <v/>
      </c>
      <c r="DI470" s="164" t="str">
        <f>IFERROR(INDEX(DC$422:DC$470,_xlfn.AGGREGATE(15,6,(ROW(DC$422:DC$470)-ROW(DC$422)+1)/(DC$422:DC$470&lt;&gt;""),ROWS(DI$1:DI49))),"")</f>
        <v/>
      </c>
      <c r="DJ470" s="165" t="str">
        <f>IFERROR(INDEX(DD$422:DD$470,_xlfn.AGGREGATE(15,6,(ROW(DD$422:DD$470)-ROW(DD$422)+1)/(DD$422:DD$470&lt;&gt;""),ROWS(DJ$1:DJ49))),"")</f>
        <v/>
      </c>
      <c r="DK470" s="166" t="str">
        <f t="shared" si="226"/>
        <v/>
      </c>
      <c r="DL470" s="164" t="str">
        <f>IFERROR(INDEX(DE$422:DE$470,_xlfn.AGGREGATE(15,6,(ROW(DE$422:DE$470)-ROW(DE$422)+1)/(DE$422:DE$470&lt;&gt;""),ROWS(DL$1:DL49))),"")</f>
        <v/>
      </c>
      <c r="DM470" s="165" t="str">
        <f>IFERROR(INDEX(DF$422:DF$470,_xlfn.AGGREGATE(15,6,(ROW(DF$422:DF$470)-ROW(DF$422)+1)/(DF$422:DF$470&lt;&gt;""),ROWS(DM$1:DM49))),"")</f>
        <v/>
      </c>
      <c r="DN470" s="166" t="str">
        <f t="shared" si="227"/>
        <v/>
      </c>
      <c r="DO470" s="164" t="str">
        <f>IFERROR(INDEX(DG$422:DG$470,_xlfn.AGGREGATE(15,6,(ROW(DG$422:DG$470)-ROW(DG$422)+1)/(DG$422:DG$470&lt;&gt;""),ROWS(DO$1:DO49))),"")</f>
        <v/>
      </c>
      <c r="DP470" s="165" t="str">
        <f>IFERROR(INDEX(DH$422:DH$470,_xlfn.AGGREGATE(15,6,(ROW(DH$422:DH$470)-ROW(DH$422)+1)/(DH$422:DH$470&lt;&gt;""),ROWS(DP$1:DP49))),"")</f>
        <v/>
      </c>
      <c r="DQ470" s="166" t="str">
        <f t="shared" si="228"/>
        <v/>
      </c>
      <c r="DR470" s="65"/>
      <c r="DW470" s="54"/>
      <c r="EA470" s="55"/>
      <c r="EB470" s="55"/>
      <c r="EC470" s="55"/>
      <c r="ED470" s="55"/>
      <c r="EE470" s="55"/>
    </row>
    <row r="471" spans="1:135" x14ac:dyDescent="0.4">
      <c r="A471" s="214"/>
      <c r="B471" s="89"/>
      <c r="C471" s="14"/>
      <c r="D471" s="14"/>
      <c r="E471" s="14"/>
      <c r="F471" s="14"/>
      <c r="G471" s="14"/>
      <c r="H471" s="14"/>
      <c r="I471" s="14"/>
      <c r="J471" s="14"/>
      <c r="K471" s="14"/>
      <c r="L471" s="14"/>
      <c r="M471" s="50"/>
      <c r="S471" s="120"/>
      <c r="T471" s="120"/>
      <c r="U471" s="120"/>
      <c r="W471" s="120"/>
      <c r="X471" s="120"/>
      <c r="Y471" s="120"/>
      <c r="AA471" s="89"/>
      <c r="AB471" s="89"/>
      <c r="AC471" s="89"/>
      <c r="AD471" s="89"/>
      <c r="AE471" s="89"/>
      <c r="AF471" s="89"/>
      <c r="AG471" s="89"/>
      <c r="AH471" s="89"/>
      <c r="AI471" s="89"/>
      <c r="AJ471" s="89"/>
      <c r="AK471" s="89"/>
      <c r="AL471" s="89"/>
      <c r="AM471" s="89"/>
      <c r="AN471" s="89"/>
      <c r="BR471" s="180">
        <v>2059</v>
      </c>
      <c r="BS471" s="22">
        <v>45</v>
      </c>
      <c r="BT471" s="198">
        <f t="shared" si="229"/>
        <v>347.16824061498443</v>
      </c>
      <c r="BU471" s="198">
        <f t="shared" si="230"/>
        <v>421.54696731550206</v>
      </c>
      <c r="BV471" s="241">
        <f t="shared" si="231"/>
        <v>768.71520793048649</v>
      </c>
      <c r="BY471" s="180">
        <v>2059</v>
      </c>
      <c r="BZ471" s="22">
        <v>45</v>
      </c>
      <c r="CA471" s="198">
        <f t="shared" ca="1" si="232"/>
        <v>-123.18193223906886</v>
      </c>
      <c r="CB471" s="198">
        <f t="shared" ca="1" si="233"/>
        <v>434.76428131832233</v>
      </c>
      <c r="CC471" s="198">
        <f t="shared" ca="1" si="244"/>
        <v>410.84078456287187</v>
      </c>
      <c r="CD471" s="241">
        <f t="shared" ca="1" si="234"/>
        <v>722.42313364212532</v>
      </c>
      <c r="CG471" s="180">
        <v>2059</v>
      </c>
      <c r="CH471" s="22">
        <v>45</v>
      </c>
      <c r="CI471" s="198">
        <f t="shared" ca="1" si="235"/>
        <v>-52.38766890519971</v>
      </c>
      <c r="CJ471" s="198">
        <f t="shared" ca="1" si="236"/>
        <v>-67.301752073522366</v>
      </c>
      <c r="CK471" s="198">
        <f t="shared" ca="1" si="237"/>
        <v>418.61594406863054</v>
      </c>
      <c r="CL471" s="198">
        <f t="shared" ca="1" si="238"/>
        <v>411.87284319901585</v>
      </c>
      <c r="CM471" s="241">
        <f t="shared" ca="1" si="239"/>
        <v>710.79936628892438</v>
      </c>
      <c r="CP471" s="180">
        <v>2059</v>
      </c>
      <c r="CQ471" s="22">
        <v>45</v>
      </c>
      <c r="CR471" s="198">
        <f t="shared" ca="1" si="240"/>
        <v>429.26261557387249</v>
      </c>
      <c r="CS471" s="198">
        <f t="shared" ca="1" si="241"/>
        <v>1.9117294758329264</v>
      </c>
      <c r="CT471" s="241">
        <f t="shared" ca="1" si="242"/>
        <v>820.63399506571022</v>
      </c>
      <c r="CZ471" s="252"/>
      <c r="DA471" s="252"/>
      <c r="DB471" s="252"/>
      <c r="DC471" s="252"/>
      <c r="DD471" s="252"/>
      <c r="DE471" s="252"/>
      <c r="DF471" s="252"/>
      <c r="DG471" s="252"/>
      <c r="DH471" s="252"/>
      <c r="DI471" s="252"/>
      <c r="DJ471" s="252"/>
      <c r="DK471" s="252"/>
      <c r="DL471" s="252"/>
      <c r="DM471" s="252"/>
      <c r="DN471" s="252"/>
      <c r="DO471" s="252"/>
      <c r="DP471" s="252"/>
      <c r="DQ471" s="252"/>
      <c r="DR471" s="65"/>
      <c r="DU471" s="65"/>
      <c r="DW471" s="54"/>
      <c r="EA471" s="55"/>
      <c r="EB471" s="55"/>
      <c r="EC471" s="55"/>
      <c r="ED471" s="55"/>
      <c r="EE471" s="55"/>
    </row>
    <row r="472" spans="1:135" x14ac:dyDescent="0.4">
      <c r="A472" s="214"/>
      <c r="B472" s="89"/>
      <c r="C472" s="14"/>
      <c r="D472" s="14"/>
      <c r="E472" s="14"/>
      <c r="F472" s="14"/>
      <c r="G472" s="14"/>
      <c r="H472" s="14"/>
      <c r="I472" s="14"/>
      <c r="J472" s="14"/>
      <c r="K472" s="14"/>
      <c r="L472" s="14"/>
      <c r="M472" s="50"/>
      <c r="S472" s="120"/>
      <c r="T472" s="120"/>
      <c r="U472" s="120"/>
      <c r="W472" s="120"/>
      <c r="X472" s="120"/>
      <c r="Y472" s="120"/>
      <c r="AA472" s="89"/>
      <c r="AB472" s="89"/>
      <c r="AC472" s="89"/>
      <c r="AD472" s="89"/>
      <c r="AE472" s="89"/>
      <c r="AF472" s="89"/>
      <c r="AG472" s="89"/>
      <c r="AH472" s="89"/>
      <c r="AI472" s="89"/>
      <c r="AJ472" s="89"/>
      <c r="AK472" s="89"/>
      <c r="AL472" s="89"/>
      <c r="AM472" s="89"/>
      <c r="AN472" s="89"/>
      <c r="BR472" s="180">
        <v>2060</v>
      </c>
      <c r="BS472" s="22">
        <v>46</v>
      </c>
      <c r="BT472" s="198">
        <f t="shared" si="229"/>
        <v>354.88309040642849</v>
      </c>
      <c r="BU472" s="198">
        <f t="shared" si="230"/>
        <v>421.54696731550206</v>
      </c>
      <c r="BV472" s="241">
        <f t="shared" si="231"/>
        <v>776.43005772193055</v>
      </c>
      <c r="BY472" s="180">
        <v>2060</v>
      </c>
      <c r="BZ472" s="22">
        <v>46</v>
      </c>
      <c r="CA472" s="198">
        <f t="shared" ca="1" si="232"/>
        <v>-128.71751536684926</v>
      </c>
      <c r="CB472" s="198">
        <f t="shared" ca="1" si="233"/>
        <v>444.42570979206283</v>
      </c>
      <c r="CC472" s="198">
        <f t="shared" ca="1" si="244"/>
        <v>410.84078456287187</v>
      </c>
      <c r="CD472" s="241">
        <f t="shared" ca="1" si="234"/>
        <v>726.54897898808554</v>
      </c>
      <c r="CG472" s="180">
        <v>2060</v>
      </c>
      <c r="CH472" s="22">
        <v>46</v>
      </c>
      <c r="CI472" s="198">
        <f t="shared" ca="1" si="235"/>
        <v>-55.958366425860291</v>
      </c>
      <c r="CJ472" s="198">
        <f t="shared" ca="1" si="236"/>
        <v>-70.326176487690532</v>
      </c>
      <c r="CK472" s="198">
        <f t="shared" ca="1" si="237"/>
        <v>427.91852060348901</v>
      </c>
      <c r="CL472" s="198">
        <f t="shared" ca="1" si="238"/>
        <v>411.87284319901585</v>
      </c>
      <c r="CM472" s="241">
        <f t="shared" ca="1" si="239"/>
        <v>713.50682088895405</v>
      </c>
      <c r="CP472" s="180">
        <v>2060</v>
      </c>
      <c r="CQ472" s="22">
        <v>46</v>
      </c>
      <c r="CR472" s="198">
        <f t="shared" ca="1" si="240"/>
        <v>429.26261557387249</v>
      </c>
      <c r="CS472" s="198">
        <f t="shared" ca="1" si="241"/>
        <v>1.9394579016893356</v>
      </c>
      <c r="CT472" s="241">
        <f t="shared" ca="1" si="242"/>
        <v>832.53677167457863</v>
      </c>
      <c r="DW472" s="54"/>
      <c r="EA472" s="55"/>
      <c r="EB472" s="55"/>
      <c r="EC472" s="55"/>
      <c r="ED472" s="55"/>
      <c r="EE472" s="55"/>
    </row>
    <row r="473" spans="1:135" x14ac:dyDescent="0.4">
      <c r="A473" s="221" t="str">
        <f ca="1">HYPERLINK("#"&amp;"'"&amp;A$1&amp;"'!a1","Back to top")</f>
        <v>Back to top</v>
      </c>
      <c r="C473" s="50"/>
      <c r="D473" s="14"/>
      <c r="E473" s="14"/>
      <c r="F473" s="14"/>
      <c r="G473" s="14"/>
      <c r="H473" s="14"/>
      <c r="I473" s="14"/>
      <c r="J473" s="14"/>
      <c r="K473" s="14"/>
      <c r="L473" s="14"/>
      <c r="M473" s="14"/>
      <c r="N473" s="89"/>
      <c r="O473" s="89"/>
      <c r="P473" s="89"/>
      <c r="Q473" s="89"/>
      <c r="R473" s="89"/>
      <c r="S473" s="89"/>
      <c r="T473" s="89"/>
      <c r="U473" s="89"/>
      <c r="V473" s="89"/>
      <c r="W473" s="89"/>
      <c r="X473" s="89"/>
      <c r="Y473" s="89"/>
      <c r="Z473" s="89"/>
      <c r="AA473" s="89"/>
      <c r="AB473" s="89"/>
      <c r="AC473" s="89"/>
      <c r="AD473" s="89"/>
      <c r="AE473" s="89"/>
      <c r="AF473" s="89"/>
      <c r="AG473" s="89"/>
      <c r="AH473" s="89"/>
      <c r="AI473" s="89"/>
      <c r="AJ473" s="89"/>
      <c r="AK473" s="89"/>
      <c r="AL473" s="89"/>
      <c r="AM473" s="89"/>
      <c r="AN473" s="89"/>
      <c r="DW473" s="54"/>
      <c r="EA473" s="55"/>
      <c r="EB473" s="55"/>
      <c r="EC473" s="55"/>
      <c r="ED473" s="55"/>
      <c r="EE473" s="55"/>
    </row>
    <row r="474" spans="1:135" x14ac:dyDescent="0.4">
      <c r="A474" s="221"/>
      <c r="C474" s="50"/>
      <c r="D474" s="14"/>
      <c r="E474" s="14"/>
      <c r="F474" s="14"/>
      <c r="G474" s="14"/>
      <c r="H474" s="14"/>
      <c r="I474" s="14"/>
      <c r="J474" s="14"/>
      <c r="K474" s="14"/>
      <c r="L474" s="14"/>
      <c r="M474" s="14"/>
      <c r="N474" s="89"/>
      <c r="O474" s="89"/>
      <c r="P474" s="89"/>
      <c r="Q474" s="89"/>
      <c r="R474" s="89"/>
      <c r="S474" s="89"/>
      <c r="T474" s="89"/>
      <c r="U474" s="89"/>
      <c r="V474" s="89"/>
      <c r="W474" s="89"/>
      <c r="X474" s="89"/>
      <c r="Y474" s="89"/>
      <c r="Z474" s="89"/>
      <c r="AA474" s="89"/>
      <c r="AB474" s="89"/>
      <c r="AC474" s="89"/>
      <c r="AD474" s="89"/>
      <c r="AE474" s="89"/>
      <c r="AF474" s="89"/>
      <c r="AG474" s="89"/>
      <c r="AH474" s="89"/>
      <c r="AI474" s="89"/>
      <c r="AJ474" s="89"/>
      <c r="AK474" s="89"/>
      <c r="AL474" s="89"/>
      <c r="AM474" s="89"/>
      <c r="AN474" s="89"/>
      <c r="DW474" s="54"/>
      <c r="EA474" s="55"/>
      <c r="EB474" s="55"/>
      <c r="EC474" s="55"/>
      <c r="ED474" s="55"/>
      <c r="EE474" s="55"/>
    </row>
    <row r="475" spans="1:135" x14ac:dyDescent="0.4">
      <c r="A475" s="214"/>
      <c r="B475" s="89"/>
      <c r="C475" s="14"/>
      <c r="D475" s="14"/>
      <c r="E475" s="14"/>
      <c r="F475" s="14"/>
      <c r="G475" s="14"/>
      <c r="H475" s="14"/>
      <c r="I475" s="14"/>
      <c r="J475" s="14"/>
      <c r="K475" s="14"/>
      <c r="L475" s="14"/>
      <c r="M475" s="50"/>
      <c r="N475" s="49"/>
      <c r="O475" s="49"/>
      <c r="P475" s="49"/>
      <c r="Q475" s="49"/>
      <c r="R475" s="49"/>
      <c r="S475" s="120"/>
      <c r="T475" s="120"/>
      <c r="U475" s="120"/>
      <c r="V475" s="49"/>
      <c r="W475" s="120"/>
      <c r="X475" s="120"/>
      <c r="Y475" s="120"/>
      <c r="Z475" s="89"/>
      <c r="AA475" s="89"/>
      <c r="AB475" s="89"/>
      <c r="AC475" s="89"/>
      <c r="AD475" s="89"/>
      <c r="AE475" s="89"/>
      <c r="AF475" s="89"/>
      <c r="AG475" s="89"/>
      <c r="AH475" s="89"/>
      <c r="AI475" s="89"/>
      <c r="AJ475" s="89"/>
      <c r="AK475" s="89"/>
      <c r="AL475" s="89"/>
      <c r="AM475" s="89"/>
      <c r="AN475" s="89"/>
      <c r="AO475" s="49"/>
      <c r="AP475" s="49"/>
      <c r="AQ475" s="49"/>
      <c r="AR475" s="49"/>
      <c r="AS475" s="49"/>
      <c r="AT475" s="49"/>
      <c r="AU475" s="49"/>
      <c r="AV475" s="49"/>
      <c r="AW475" s="49"/>
      <c r="AX475" s="49"/>
      <c r="AY475" s="49"/>
      <c r="AZ475" s="49"/>
      <c r="BA475" s="49"/>
      <c r="BB475" s="49"/>
      <c r="BC475" s="49"/>
      <c r="BD475" s="49"/>
      <c r="BE475" s="49"/>
      <c r="BF475" s="49"/>
      <c r="BG475" s="49"/>
      <c r="BH475" s="49"/>
      <c r="BI475" s="49"/>
      <c r="BJ475" s="49"/>
      <c r="BK475" s="49"/>
      <c r="BL475" s="49"/>
    </row>
    <row r="476" spans="1:135" x14ac:dyDescent="0.4">
      <c r="A476" s="253"/>
      <c r="B476" s="254"/>
      <c r="C476" s="255"/>
      <c r="D476" s="255"/>
      <c r="E476" s="255"/>
      <c r="F476" s="255"/>
      <c r="G476" s="255"/>
      <c r="H476" s="255"/>
      <c r="I476" s="255"/>
      <c r="J476" s="255"/>
      <c r="K476" s="255"/>
      <c r="L476" s="255"/>
      <c r="M476" s="256"/>
      <c r="S476" s="257"/>
      <c r="T476" s="257"/>
      <c r="U476" s="257"/>
      <c r="W476" s="257"/>
      <c r="X476" s="257"/>
      <c r="Y476" s="257"/>
      <c r="Z476" s="254"/>
      <c r="AA476" s="254"/>
      <c r="AB476" s="254"/>
      <c r="AC476" s="254"/>
      <c r="AD476" s="254"/>
      <c r="AE476" s="254"/>
      <c r="AF476" s="254"/>
      <c r="AG476" s="254"/>
      <c r="AH476" s="254"/>
      <c r="AI476" s="254"/>
      <c r="AJ476" s="254"/>
      <c r="AK476" s="254"/>
      <c r="AL476" s="254"/>
      <c r="AM476" s="254"/>
      <c r="AN476" s="254"/>
      <c r="DW476" s="258"/>
      <c r="EA476" s="259"/>
      <c r="EB476" s="259"/>
      <c r="EC476" s="259"/>
      <c r="ED476" s="259"/>
      <c r="EE476" s="259"/>
    </row>
    <row r="477" spans="1:135" x14ac:dyDescent="0.4">
      <c r="A477" s="253"/>
      <c r="B477" s="254"/>
      <c r="C477" s="255"/>
      <c r="D477" s="255"/>
      <c r="E477" s="255"/>
      <c r="F477" s="255"/>
      <c r="G477" s="255"/>
      <c r="H477" s="255"/>
      <c r="I477" s="255"/>
      <c r="J477" s="255"/>
      <c r="K477" s="255"/>
      <c r="L477" s="255"/>
      <c r="M477" s="256"/>
      <c r="S477" s="257"/>
      <c r="T477" s="257"/>
      <c r="U477" s="257"/>
      <c r="W477" s="257"/>
      <c r="X477" s="257"/>
      <c r="Y477" s="257"/>
      <c r="Z477" s="254"/>
      <c r="AA477" s="254"/>
      <c r="AB477" s="254"/>
      <c r="AC477" s="254"/>
      <c r="AD477" s="254"/>
      <c r="AE477" s="254"/>
      <c r="AF477" s="254"/>
      <c r="AG477" s="254"/>
      <c r="AH477" s="254"/>
      <c r="AI477" s="254"/>
      <c r="AJ477" s="254"/>
      <c r="AK477" s="254"/>
      <c r="AL477" s="254"/>
      <c r="AM477" s="254"/>
      <c r="AN477" s="254"/>
      <c r="DW477" s="258"/>
      <c r="EA477" s="259"/>
      <c r="EB477" s="259"/>
      <c r="EC477" s="259"/>
      <c r="ED477" s="259"/>
      <c r="EE477" s="259"/>
    </row>
    <row r="478" spans="1:135" x14ac:dyDescent="0.4">
      <c r="A478" s="221"/>
      <c r="C478" s="14"/>
      <c r="D478" s="14"/>
      <c r="E478" s="14"/>
      <c r="F478" s="14"/>
      <c r="G478" s="14"/>
      <c r="H478" s="14"/>
      <c r="I478" s="14"/>
      <c r="J478" s="14"/>
      <c r="K478" s="14"/>
      <c r="L478" s="14"/>
      <c r="M478" s="14"/>
      <c r="DW478" s="54"/>
      <c r="EA478" s="286"/>
      <c r="EB478" s="286"/>
      <c r="EC478" s="286"/>
      <c r="ED478" s="286"/>
      <c r="EE478" s="286"/>
    </row>
    <row r="479" spans="1:135" x14ac:dyDescent="0.4">
      <c r="A479" s="287" t="s">
        <v>104</v>
      </c>
      <c r="C479" s="14"/>
      <c r="D479" s="14"/>
      <c r="E479" s="14"/>
      <c r="F479" s="14"/>
      <c r="G479" s="14"/>
      <c r="H479" s="14"/>
      <c r="I479" s="14"/>
      <c r="J479" s="14"/>
      <c r="K479" s="14"/>
      <c r="L479" s="14"/>
      <c r="M479" s="14"/>
      <c r="AA479" s="287" t="s">
        <v>104</v>
      </c>
      <c r="AM479" s="287" t="s">
        <v>104</v>
      </c>
      <c r="AZ479" s="287" t="s">
        <v>104</v>
      </c>
      <c r="BJ479" s="287" t="s">
        <v>104</v>
      </c>
      <c r="BR479" s="287" t="s">
        <v>104</v>
      </c>
      <c r="BY479" s="287" t="s">
        <v>104</v>
      </c>
      <c r="CG479" s="287" t="s">
        <v>104</v>
      </c>
      <c r="CP479" s="287" t="s">
        <v>104</v>
      </c>
      <c r="DV479" s="287" t="s">
        <v>104</v>
      </c>
      <c r="DW479" s="54"/>
      <c r="EA479" s="286"/>
      <c r="EB479" s="286"/>
      <c r="EC479" s="286"/>
      <c r="ED479" s="286"/>
      <c r="EE479" s="286"/>
    </row>
    <row r="480" spans="1:135" x14ac:dyDescent="0.4">
      <c r="A480" s="221"/>
      <c r="C480" s="14"/>
      <c r="D480" s="14"/>
      <c r="E480" s="14"/>
      <c r="F480" s="14"/>
      <c r="G480" s="14"/>
      <c r="H480" s="14"/>
      <c r="I480" s="14"/>
      <c r="J480" s="14"/>
      <c r="K480" s="14"/>
      <c r="L480" s="14"/>
      <c r="M480" s="14"/>
      <c r="DW480" s="54"/>
      <c r="EA480" s="286"/>
      <c r="EB480" s="286"/>
      <c r="EC480" s="286"/>
      <c r="ED480" s="286"/>
      <c r="EE480" s="286"/>
    </row>
    <row r="481" spans="1:135" x14ac:dyDescent="0.4">
      <c r="A481" s="221"/>
      <c r="C481" s="14"/>
      <c r="D481" s="14"/>
      <c r="E481" s="14"/>
      <c r="F481" s="14"/>
      <c r="G481" s="14"/>
      <c r="H481" s="14"/>
      <c r="I481" s="14"/>
      <c r="J481" s="14"/>
      <c r="K481" s="14"/>
      <c r="L481" s="14"/>
      <c r="M481" s="14"/>
      <c r="DW481" s="54"/>
      <c r="EA481" s="286"/>
      <c r="EB481" s="286"/>
      <c r="EC481" s="286"/>
      <c r="ED481" s="286"/>
      <c r="EE481" s="286"/>
    </row>
    <row r="482" spans="1:135" x14ac:dyDescent="0.4">
      <c r="B482" s="694"/>
      <c r="C482" s="694"/>
      <c r="D482" s="113"/>
      <c r="E482" s="113"/>
      <c r="F482" s="113"/>
      <c r="G482" s="113"/>
      <c r="H482" s="113"/>
      <c r="I482" s="113"/>
      <c r="J482" s="113"/>
      <c r="K482" s="113"/>
      <c r="L482" s="113"/>
      <c r="M482" s="113"/>
      <c r="N482" s="114"/>
      <c r="O482" s="114"/>
      <c r="P482" s="114"/>
      <c r="Q482" s="114"/>
      <c r="R482" s="114"/>
      <c r="S482" s="114"/>
      <c r="T482" s="114"/>
      <c r="U482" s="114"/>
      <c r="V482" s="114"/>
      <c r="W482" s="114"/>
      <c r="X482" s="114"/>
      <c r="Y482" s="114"/>
      <c r="Z482" s="114"/>
      <c r="AA482" s="114"/>
      <c r="AC482" s="114"/>
      <c r="AD482" s="114"/>
      <c r="AE482" s="114"/>
      <c r="AF482" s="114"/>
      <c r="AG482" s="114"/>
      <c r="AH482" s="114"/>
      <c r="AI482" s="114"/>
      <c r="AJ482" s="114"/>
      <c r="AK482" s="114"/>
      <c r="AL482" s="114"/>
      <c r="AM482" s="114"/>
      <c r="AN482" s="114"/>
      <c r="AO482" s="89"/>
      <c r="DW482" s="54"/>
      <c r="EA482" s="55"/>
      <c r="EB482" s="55"/>
      <c r="EC482" s="55"/>
      <c r="ED482" s="55"/>
      <c r="EE482" s="55"/>
    </row>
    <row r="483" spans="1:135" x14ac:dyDescent="0.4">
      <c r="A483" s="233"/>
      <c r="B483" s="679"/>
      <c r="C483" s="679"/>
      <c r="D483" s="113"/>
      <c r="E483" s="113"/>
      <c r="F483" s="113"/>
      <c r="G483" s="113"/>
      <c r="H483" s="113"/>
      <c r="I483" s="113"/>
      <c r="J483" s="113"/>
      <c r="K483" s="113"/>
      <c r="L483" s="113"/>
      <c r="M483" s="113"/>
      <c r="N483" s="114"/>
      <c r="O483" s="114"/>
      <c r="P483" s="114"/>
      <c r="Q483" s="114"/>
      <c r="R483" s="114"/>
      <c r="S483" s="114"/>
      <c r="T483" s="114"/>
      <c r="U483" s="114"/>
      <c r="V483" s="114"/>
      <c r="W483" s="114"/>
      <c r="X483" s="114"/>
      <c r="Y483" s="114"/>
      <c r="Z483" s="114"/>
      <c r="AA483" s="114"/>
      <c r="AB483" s="114"/>
      <c r="AC483" s="114"/>
      <c r="AD483" s="114"/>
      <c r="AE483" s="114"/>
      <c r="AF483" s="114"/>
      <c r="AG483" s="114"/>
      <c r="AH483" s="114"/>
      <c r="AI483" s="114"/>
      <c r="AJ483" s="114"/>
      <c r="AK483" s="114"/>
      <c r="AL483" s="114"/>
      <c r="AM483" s="114"/>
      <c r="CZ483" s="116"/>
      <c r="DA483" s="116"/>
      <c r="DB483" s="116"/>
      <c r="DC483" s="116"/>
      <c r="DD483" s="116"/>
      <c r="DE483" s="116"/>
      <c r="DF483" s="116"/>
      <c r="DG483" s="116"/>
      <c r="DH483" s="116"/>
      <c r="DI483" s="117" t="str">
        <f>"DJ"&amp;MIN(DK486:DK534)</f>
        <v>DJ486</v>
      </c>
      <c r="DJ483" s="118" t="str">
        <f>"DJ"&amp;MAX(DK486:DK534)</f>
        <v>DJ516</v>
      </c>
      <c r="DK483" s="116"/>
      <c r="DL483" s="117" t="str">
        <f>"DM"&amp;MIN(DN486:DN534)</f>
        <v>DM486</v>
      </c>
      <c r="DM483" s="118" t="str">
        <f>"DM"&amp;MAX(DN486:DN534)</f>
        <v>DM516</v>
      </c>
      <c r="DN483" s="116"/>
      <c r="DO483" s="117" t="str">
        <f>"DP"&amp;MIN(DQ486:DQ534)</f>
        <v>DP486</v>
      </c>
      <c r="DP483" s="118" t="str">
        <f>"DP"&amp;MAX(DQ486:DQ534)</f>
        <v>DP516</v>
      </c>
      <c r="DQ483" s="116"/>
      <c r="DW483" s="119"/>
      <c r="EA483" s="33"/>
      <c r="EB483" s="33"/>
      <c r="EC483" s="33"/>
      <c r="ED483" s="33"/>
      <c r="EE483" s="33"/>
    </row>
    <row r="484" spans="1:135" ht="24.6" x14ac:dyDescent="0.45">
      <c r="A484" s="95" t="s">
        <v>65</v>
      </c>
      <c r="C484" s="680" t="str">
        <f>A502</f>
        <v>Base Cases</v>
      </c>
      <c r="D484" s="681"/>
      <c r="E484" s="682"/>
      <c r="F484" s="683" t="str">
        <f>A503</f>
        <v>Conservative Cases</v>
      </c>
      <c r="G484" s="684"/>
      <c r="H484" s="685"/>
      <c r="I484" s="686" t="str">
        <f>A504</f>
        <v>Ambitious Cases</v>
      </c>
      <c r="J484" s="687"/>
      <c r="K484" s="688"/>
      <c r="L484" s="692" t="str">
        <f>A505</f>
        <v>Maximum Cases</v>
      </c>
      <c r="M484" s="693"/>
      <c r="O484" s="122"/>
      <c r="P484" s="122"/>
      <c r="Q484" s="122"/>
      <c r="W484" s="691" t="s">
        <v>66</v>
      </c>
      <c r="X484" s="691"/>
      <c r="Y484" s="691"/>
      <c r="Z484" s="120"/>
      <c r="AA484" s="120"/>
      <c r="AB484" s="120"/>
      <c r="AC484" s="120"/>
      <c r="AD484" s="120"/>
      <c r="AE484" s="120"/>
      <c r="AF484" s="120"/>
      <c r="AG484" s="120"/>
      <c r="AH484" s="120"/>
      <c r="AI484" s="120"/>
      <c r="AJ484" s="120"/>
      <c r="AK484" s="120"/>
      <c r="AL484" s="120"/>
      <c r="AM484" s="120"/>
      <c r="AN484" s="120"/>
      <c r="BR484" s="121" t="s">
        <v>67</v>
      </c>
      <c r="BS484" s="121"/>
      <c r="BT484" s="121"/>
      <c r="BU484" s="121"/>
      <c r="BV484" s="121"/>
      <c r="BW484" s="122"/>
      <c r="BY484" s="121" t="s">
        <v>68</v>
      </c>
      <c r="BZ484" s="121"/>
      <c r="CA484" s="121"/>
      <c r="CB484" s="121"/>
      <c r="CC484" s="121"/>
      <c r="CD484" s="121"/>
      <c r="CG484" s="121" t="s">
        <v>69</v>
      </c>
      <c r="CH484" s="121"/>
      <c r="CI484" s="121"/>
      <c r="CJ484" s="121"/>
      <c r="CK484" s="121"/>
      <c r="CL484" s="121"/>
      <c r="CM484" s="121"/>
      <c r="CP484" s="121" t="s">
        <v>70</v>
      </c>
      <c r="CQ484" s="121"/>
      <c r="CR484" s="121"/>
      <c r="CS484" s="121"/>
      <c r="CT484" s="121"/>
      <c r="CU484" s="121"/>
      <c r="CZ484" s="123"/>
      <c r="DA484" s="123"/>
      <c r="DB484" s="123"/>
      <c r="DC484" s="123"/>
      <c r="DD484" s="123"/>
      <c r="DE484" s="123"/>
      <c r="DF484" s="123"/>
      <c r="DG484" s="123"/>
      <c r="DH484" s="123"/>
      <c r="DI484" s="124" t="str">
        <f>"DI"&amp;MIN(DK486:DK534)</f>
        <v>DI486</v>
      </c>
      <c r="DJ484" s="125" t="str">
        <f>"DI"&amp;MAX(DK486:DK534)</f>
        <v>DI516</v>
      </c>
      <c r="DK484" s="123"/>
      <c r="DL484" s="124" t="str">
        <f>"DL"&amp;MIN(DN486:DN534)</f>
        <v>DL486</v>
      </c>
      <c r="DM484" s="125" t="str">
        <f>"DL"&amp;MAX(DN486:DN534)</f>
        <v>DL516</v>
      </c>
      <c r="DN484" s="123"/>
      <c r="DO484" s="124" t="str">
        <f>"DO"&amp;MIN(DQ486:DQ534)</f>
        <v>DO486</v>
      </c>
      <c r="DP484" s="125" t="str">
        <f>"DO"&amp;MAX(DQ486:DQ534)</f>
        <v>DO516</v>
      </c>
      <c r="DQ484" s="123"/>
      <c r="DV484" s="126" t="s">
        <v>71</v>
      </c>
      <c r="DZ484" s="127" t="s">
        <v>72</v>
      </c>
      <c r="EA484" s="284" t="str">
        <f>$L$35</f>
        <v>3rd Poly</v>
      </c>
    </row>
    <row r="485" spans="1:135" ht="73.8" x14ac:dyDescent="0.45">
      <c r="A485" s="95" t="s">
        <v>73</v>
      </c>
      <c r="B485" s="128"/>
      <c r="C485" s="129" t="str">
        <f>A486</f>
        <v>IPCC</v>
      </c>
      <c r="D485" s="130" t="str">
        <f>A487</f>
        <v xml:space="preserve"> IEA Annex I – Municipal solid waste potential in cities; Table I.1</v>
      </c>
      <c r="E485" s="131" t="str">
        <f>A488</f>
        <v>[Source 3]</v>
      </c>
      <c r="F485" s="129" t="str">
        <f>A489</f>
        <v>[Source 1]</v>
      </c>
      <c r="G485" s="130" t="str">
        <f>A490</f>
        <v>[Source 2]</v>
      </c>
      <c r="H485" s="131" t="str">
        <f>A491</f>
        <v>[Source 3]</v>
      </c>
      <c r="I485" s="129" t="str">
        <f>A492</f>
        <v>[Source 1]</v>
      </c>
      <c r="J485" s="130" t="str">
        <f>A493</f>
        <v>[Source 2]</v>
      </c>
      <c r="K485" s="131" t="str">
        <f>A494</f>
        <v>[Source 3]</v>
      </c>
      <c r="L485" s="129" t="str">
        <f>A495</f>
        <v>[Source 1]</v>
      </c>
      <c r="M485" s="131" t="str">
        <f>A496</f>
        <v>[Source 2]</v>
      </c>
      <c r="N485" s="234" t="s">
        <v>74</v>
      </c>
      <c r="O485" s="133"/>
      <c r="P485" s="133"/>
      <c r="Q485" s="133"/>
      <c r="R485" s="135" t="s">
        <v>76</v>
      </c>
      <c r="S485" s="134" t="s">
        <v>77</v>
      </c>
      <c r="T485" s="134" t="s">
        <v>78</v>
      </c>
      <c r="U485" s="136" t="s">
        <v>79</v>
      </c>
      <c r="V485" s="137"/>
      <c r="W485" s="136" t="s">
        <v>15</v>
      </c>
      <c r="X485" s="134" t="s">
        <v>21</v>
      </c>
      <c r="Y485" s="136" t="s">
        <v>25</v>
      </c>
      <c r="AA485" s="138"/>
      <c r="AB485" s="138"/>
      <c r="AC485" s="138"/>
      <c r="AD485" s="138"/>
      <c r="AE485" s="138"/>
      <c r="AF485" s="138"/>
      <c r="AG485" s="138"/>
      <c r="AH485" s="138"/>
      <c r="AI485" s="138"/>
      <c r="AJ485" s="138"/>
      <c r="AK485" s="138"/>
      <c r="AL485" s="138"/>
      <c r="AM485" s="138"/>
      <c r="AN485" s="138"/>
      <c r="BR485" s="139"/>
      <c r="BS485" s="139"/>
      <c r="BT485" s="139"/>
      <c r="BU485" s="139"/>
      <c r="BV485" s="139"/>
      <c r="BW485" s="122"/>
      <c r="BZ485" s="139"/>
      <c r="CA485" s="139"/>
      <c r="CB485" s="139"/>
      <c r="CC485" s="139"/>
      <c r="CD485" s="139"/>
      <c r="CH485" s="139"/>
      <c r="CI485" s="139"/>
      <c r="CJ485" s="139"/>
      <c r="CK485" s="139"/>
      <c r="CL485" s="139"/>
      <c r="CM485" s="139"/>
      <c r="CQ485" s="139"/>
      <c r="CR485" s="139"/>
      <c r="CS485" s="139"/>
      <c r="CT485" s="139"/>
      <c r="CU485" s="139"/>
      <c r="CZ485" s="140"/>
      <c r="DA485" s="140"/>
      <c r="DB485" s="140"/>
      <c r="DC485" s="140"/>
      <c r="DD485" s="141"/>
      <c r="DE485" s="141"/>
      <c r="DF485" s="141"/>
      <c r="DG485" s="141"/>
      <c r="DH485" s="140"/>
      <c r="DI485" s="142"/>
      <c r="DJ485" s="143"/>
      <c r="DK485" s="144"/>
      <c r="DL485" s="142"/>
      <c r="DM485" s="143"/>
      <c r="DN485" s="140"/>
      <c r="DO485" s="142"/>
      <c r="DP485" s="143"/>
      <c r="DQ485" s="140"/>
      <c r="DV485" s="145">
        <v>2014</v>
      </c>
      <c r="DW485" s="235">
        <f t="shared" ref="DW485:DW531" ca="1" si="247">IF($J$35="N","",IF($L$35="Linear",BV490,IF($L$35="2nd Poly",CD490,IF($L$35="3rd Poly",CM490,IF($L$35="Exp",CT490)))))</f>
        <v>246.10231098383267</v>
      </c>
      <c r="EA485" s="33" t="str">
        <f>$M$35</f>
        <v>Medium</v>
      </c>
      <c r="EB485" s="33"/>
      <c r="EC485" s="33"/>
      <c r="ED485" s="33"/>
      <c r="EE485" s="33"/>
    </row>
    <row r="486" spans="1:135" ht="13.8" x14ac:dyDescent="0.45">
      <c r="A486" s="148" t="s">
        <v>108</v>
      </c>
      <c r="B486" s="128">
        <v>2012</v>
      </c>
      <c r="C486" s="244"/>
      <c r="D486" s="264"/>
      <c r="E486" s="239"/>
      <c r="F486" s="190"/>
      <c r="G486" s="264"/>
      <c r="H486" s="239"/>
      <c r="I486" s="190"/>
      <c r="J486" s="264"/>
      <c r="K486" s="239"/>
      <c r="L486" s="190"/>
      <c r="M486" s="239"/>
      <c r="N486" s="29" t="s">
        <v>119</v>
      </c>
      <c r="O486" s="120"/>
      <c r="P486" s="120"/>
      <c r="Q486" s="120"/>
      <c r="R486" s="29">
        <v>-2</v>
      </c>
      <c r="S486" s="238" t="str">
        <f t="shared" ref="S486:S534" si="248">IF(MIN(C486:Q486)=0,"",MIN(C486:Q486))</f>
        <v/>
      </c>
      <c r="T486" s="238" t="str">
        <f t="shared" ref="T486:T534" si="249">IF(MAX(C486:Q486)=0,"",MAX(C486:Q486))</f>
        <v/>
      </c>
      <c r="U486" s="238" t="str">
        <f t="shared" ref="U486:U534" si="250">IF(T486="","",_xlfn.STDEV.P(C486:Q486))</f>
        <v/>
      </c>
      <c r="V486" s="29"/>
      <c r="W486" s="238" t="e">
        <f t="shared" ref="W486:W534" si="251">IF(U486="",#N/A,X486-(U486*$Q$35))</f>
        <v>#N/A</v>
      </c>
      <c r="X486" s="238" t="e">
        <f t="shared" ref="X486:X534" si="252">IF(U486="",#N/A,(SUM(C486:Q486)/COUNTIFS(C486:Q486,"&gt;0")))</f>
        <v>#N/A</v>
      </c>
      <c r="Y486" s="238" t="e">
        <f t="shared" ref="Y486:Y534" si="253">IF(U486="",#N/A,X486+(U486*$Q$34))</f>
        <v>#N/A</v>
      </c>
      <c r="AA486" s="138"/>
      <c r="AB486" s="138"/>
      <c r="AC486" s="138"/>
      <c r="AD486" s="138"/>
      <c r="AE486" s="138"/>
      <c r="AF486" s="138"/>
      <c r="AG486" s="138"/>
      <c r="AH486" s="138"/>
      <c r="AI486" s="138"/>
      <c r="AJ486" s="138"/>
      <c r="AK486" s="138"/>
      <c r="AL486" s="138"/>
      <c r="AM486" s="138"/>
      <c r="AN486" s="138"/>
      <c r="BR486" s="137" t="s">
        <v>81</v>
      </c>
      <c r="BS486" s="65" t="str">
        <f>$M$35</f>
        <v>Medium</v>
      </c>
      <c r="BT486" s="137" t="s">
        <v>82</v>
      </c>
      <c r="BU486" s="137" t="s">
        <v>83</v>
      </c>
      <c r="BW486" s="133"/>
      <c r="BY486" s="137" t="s">
        <v>81</v>
      </c>
      <c r="BZ486" s="65" t="str">
        <f>$M$35</f>
        <v>Medium</v>
      </c>
      <c r="CA486" s="137" t="s">
        <v>84</v>
      </c>
      <c r="CB486" s="137" t="s">
        <v>82</v>
      </c>
      <c r="CC486" s="137" t="s">
        <v>83</v>
      </c>
      <c r="CG486" s="137" t="s">
        <v>81</v>
      </c>
      <c r="CH486" s="65" t="str">
        <f>$M$35</f>
        <v>Medium</v>
      </c>
      <c r="CI486" s="137" t="s">
        <v>85</v>
      </c>
      <c r="CJ486" s="137" t="s">
        <v>84</v>
      </c>
      <c r="CK486" s="137" t="s">
        <v>82</v>
      </c>
      <c r="CL486" s="137" t="s">
        <v>83</v>
      </c>
      <c r="CP486" s="137" t="s">
        <v>81</v>
      </c>
      <c r="CQ486" s="65" t="str">
        <f>$M$35</f>
        <v>Medium</v>
      </c>
      <c r="CR486" s="137" t="s">
        <v>86</v>
      </c>
      <c r="CS486" s="137" t="s">
        <v>87</v>
      </c>
      <c r="CZ486" s="155" t="b">
        <f t="shared" ref="CZ486:DB525" si="254">ISNUMBER(W486)</f>
        <v>0</v>
      </c>
      <c r="DA486" s="156" t="b">
        <f t="shared" si="254"/>
        <v>0</v>
      </c>
      <c r="DB486" s="157" t="b">
        <f t="shared" si="254"/>
        <v>0</v>
      </c>
      <c r="DC486" s="155" t="str">
        <f t="shared" ref="DC486:DC534" si="255">IF(CZ486=TRUE,$R486,"")</f>
        <v/>
      </c>
      <c r="DD486" s="157" t="str">
        <f t="shared" ref="DD486:DD534" si="256">IF(CZ486=TRUE,W486,"")</f>
        <v/>
      </c>
      <c r="DE486" s="155" t="str">
        <f t="shared" ref="DE486:DE534" si="257">IF(DA486=TRUE,$R486,"")</f>
        <v/>
      </c>
      <c r="DF486" s="157" t="str">
        <f t="shared" ref="DF486:DF534" si="258">IF(DA486=TRUE,X486,"")</f>
        <v/>
      </c>
      <c r="DG486" s="155" t="str">
        <f t="shared" ref="DG486:DG534" si="259">IF(DB486=TRUE,$R486,"")</f>
        <v/>
      </c>
      <c r="DH486" s="157" t="str">
        <f t="shared" ref="DH486:DH534" si="260">IF(DB486=TRUE,Y486,"")</f>
        <v/>
      </c>
      <c r="DI486" s="155">
        <f>IFERROR(INDEX(DC$486:DC$534,_xlfn.AGGREGATE(15,6,(ROW(DC$486:DC$534)-ROW(DC$486)+1)/(DC$486:DC$534&lt;&gt;""),ROWS(DI$1:DI1))),"")</f>
        <v>1</v>
      </c>
      <c r="DJ486" s="156">
        <f>IFERROR(INDEX(DD$486:DD$534,_xlfn.AGGREGATE(15,6,(ROW(DD$486:DD$534)-ROW(DD$486)+1)/(DD$486:DD$534&lt;&gt;""),ROWS(DJ$1:DJ1))),"")</f>
        <v>122.16216216216222</v>
      </c>
      <c r="DK486" s="157">
        <f t="shared" ref="DK486:DK534" si="261">IF(ISNUMBER(DI486),ROW(DI486),"")</f>
        <v>486</v>
      </c>
      <c r="DL486" s="155">
        <f>IFERROR(INDEX(DE$486:DE$534,_xlfn.AGGREGATE(15,6,(ROW(DE$486:DE$534)-ROW(DE$486)+1)/(DE$486:DE$534&lt;&gt;""),ROWS(DL$1:DL1))),"")</f>
        <v>1</v>
      </c>
      <c r="DM486" s="156">
        <f>IFERROR(INDEX(DF$486:DF$534,_xlfn.AGGREGATE(15,6,(ROW(DF$486:DF$534)-ROW(DF$486)+1)/(DF$486:DF$534&lt;&gt;""),ROWS(DM$1:DM1))),"")</f>
        <v>254.83055747575793</v>
      </c>
      <c r="DN486" s="157">
        <f t="shared" ref="DN486:DN534" si="262">IF(ISNUMBER(DI486),ROW(DI486),"")</f>
        <v>486</v>
      </c>
      <c r="DO486" s="155">
        <f>IFERROR(INDEX(DG$486:DG$534,_xlfn.AGGREGATE(15,6,(ROW(DG$486:DG$534)-ROW(DG$486)+1)/(DG$486:DG$534&lt;&gt;""),ROWS(DO$1:DO1))),"")</f>
        <v>1</v>
      </c>
      <c r="DP486" s="156">
        <f>IFERROR(INDEX(DH$486:DH$534,_xlfn.AGGREGATE(15,6,(ROW(DH$486:DH$534)-ROW(DH$486)+1)/(DH$486:DH$534&lt;&gt;""),ROWS(DP$1:DP1))),"")</f>
        <v>387.49895278935367</v>
      </c>
      <c r="DQ486" s="157">
        <f t="shared" ref="DQ486:DQ534" si="263">IF(ISNUMBER(DL486),ROW(DL486),"")</f>
        <v>486</v>
      </c>
      <c r="DV486" s="145">
        <v>2015</v>
      </c>
      <c r="DW486" s="235">
        <f t="shared" ca="1" si="247"/>
        <v>254.74361546780827</v>
      </c>
      <c r="EA486" s="33"/>
      <c r="EB486" s="33"/>
      <c r="EC486" s="33"/>
      <c r="ED486" s="33"/>
      <c r="EE486" s="33"/>
    </row>
    <row r="487" spans="1:135" ht="13.8" x14ac:dyDescent="0.45">
      <c r="A487" s="148" t="s">
        <v>116</v>
      </c>
      <c r="B487" s="128">
        <v>2013</v>
      </c>
      <c r="C487" s="187"/>
      <c r="D487" s="264"/>
      <c r="E487" s="239"/>
      <c r="F487" s="190"/>
      <c r="G487" s="264"/>
      <c r="H487" s="239"/>
      <c r="I487" s="190"/>
      <c r="J487" s="264"/>
      <c r="K487" s="239"/>
      <c r="L487" s="190"/>
      <c r="M487" s="239"/>
      <c r="N487" s="29" t="s">
        <v>119</v>
      </c>
      <c r="O487" s="120"/>
      <c r="P487" s="120"/>
      <c r="Q487" s="120"/>
      <c r="R487" s="29">
        <v>-1</v>
      </c>
      <c r="S487" s="238" t="str">
        <f t="shared" si="248"/>
        <v/>
      </c>
      <c r="T487" s="238" t="str">
        <f t="shared" si="249"/>
        <v/>
      </c>
      <c r="U487" s="238" t="str">
        <f t="shared" si="250"/>
        <v/>
      </c>
      <c r="V487" s="29"/>
      <c r="W487" s="238" t="e">
        <f t="shared" si="251"/>
        <v>#N/A</v>
      </c>
      <c r="X487" s="238" t="e">
        <f t="shared" si="252"/>
        <v>#N/A</v>
      </c>
      <c r="Y487" s="238" t="e">
        <f t="shared" si="253"/>
        <v>#N/A</v>
      </c>
      <c r="AA487" s="138"/>
      <c r="AB487" s="138"/>
      <c r="AC487" s="138"/>
      <c r="AD487" s="138"/>
      <c r="AE487" s="138"/>
      <c r="AF487" s="138"/>
      <c r="AG487" s="138"/>
      <c r="AH487" s="138"/>
      <c r="AI487" s="138"/>
      <c r="AJ487" s="138"/>
      <c r="AK487" s="138"/>
      <c r="AL487" s="138"/>
      <c r="AM487" s="138"/>
      <c r="AN487" s="138"/>
      <c r="BS487" s="160" t="s">
        <v>25</v>
      </c>
      <c r="BT487" s="161">
        <f>SLOPE((DH486:DH534),($B$46:$B$94))</f>
        <v>10.707758471027562</v>
      </c>
      <c r="BU487" s="162">
        <f>INTERCEPT(DP486:DP534,DO486:DO534)</f>
        <v>378.08019355498504</v>
      </c>
      <c r="BW487" s="133"/>
      <c r="BZ487" s="160" t="s">
        <v>25</v>
      </c>
      <c r="CA487" s="161">
        <f ca="1">INDEX(LINEST((INDIRECT(DO483):INDIRECT(DP483)),(INDIRECT(DO484):INDIRECT(DP484))^{1,2}),1)</f>
        <v>-3.1804359649955136E-2</v>
      </c>
      <c r="CB487" s="163">
        <f ca="1">INDEX(LINEST((INDIRECT(DO483):INDIRECT(DP483)),(INDIRECT(DO484):INDIRECT(DP484))^{1,2}),1,2)</f>
        <v>11.725497979826123</v>
      </c>
      <c r="CC487" s="162">
        <f ca="1">INDEX(LINEST((INDIRECT(DO483):INDIRECT(DP483)),(INDIRECT(DO484):INDIRECT(DP484))^{1,2}),1,3)</f>
        <v>372.48262625659294</v>
      </c>
      <c r="CH487" s="160" t="s">
        <v>25</v>
      </c>
      <c r="CI487" s="161">
        <f ca="1">INDEX(LINEST((INDIRECT(DO483):INDIRECT(DP483)),(INDIRECT(DO484):INDIRECT(DP484))^{1,2,3}),1)</f>
        <v>-2.5851797181324753E-3</v>
      </c>
      <c r="CJ487" s="163">
        <f ca="1">INDEX(LINEST((INDIRECT(DO483):INDIRECT(DP483)),(INDIRECT(DO484):INDIRECT(DP484))^{1,2,3}),1,2)</f>
        <v>9.2284266820403485E-2</v>
      </c>
      <c r="CK487" s="163">
        <f ca="1">INDEX(LINEST((INDIRECT(DO483):INDIRECT(DP483)),(INDIRECT(DO484):INDIRECT(DP484))^{1,2,3}),1,3)</f>
        <v>10.111828799767839</v>
      </c>
      <c r="CL487" s="162">
        <f ca="1">INDEX(LINEST((INDIRECT(DO483):INDIRECT(DP483)),(INDIRECT(DO484):INDIRECT(DP484))^{1,2,3}),1,4)</f>
        <v>377.12354088658435</v>
      </c>
      <c r="CQ487" s="160" t="s">
        <v>25</v>
      </c>
      <c r="CR487" s="161">
        <f ca="1">EXP(INDEX(LINEST(LN(INDIRECT(DO483):INDIRECT(DP483)),(INDIRECT(DO484):INDIRECT(DP484))),1,2))</f>
        <v>393.16302445415357</v>
      </c>
      <c r="CS487" s="162">
        <f ca="1">INDEX(LINEST(LN(INDIRECT(DO483):INDIRECT(DP483)),(INDIRECT(DO484):INDIRECT(DP484))),1)</f>
        <v>1.99289043761267E-2</v>
      </c>
      <c r="CZ487" s="164" t="b">
        <f t="shared" si="254"/>
        <v>0</v>
      </c>
      <c r="DA487" s="165" t="b">
        <f t="shared" si="254"/>
        <v>0</v>
      </c>
      <c r="DB487" s="166" t="b">
        <f t="shared" si="254"/>
        <v>0</v>
      </c>
      <c r="DC487" s="164" t="str">
        <f t="shared" si="255"/>
        <v/>
      </c>
      <c r="DD487" s="166" t="str">
        <f t="shared" si="256"/>
        <v/>
      </c>
      <c r="DE487" s="164" t="str">
        <f t="shared" si="257"/>
        <v/>
      </c>
      <c r="DF487" s="166" t="str">
        <f t="shared" si="258"/>
        <v/>
      </c>
      <c r="DG487" s="164" t="str">
        <f t="shared" si="259"/>
        <v/>
      </c>
      <c r="DH487" s="166" t="str">
        <f t="shared" si="260"/>
        <v/>
      </c>
      <c r="DI487" s="164">
        <f>IFERROR(INDEX(DC$486:DC$534,_xlfn.AGGREGATE(15,6,(ROW(DC$486:DC$534)-ROW(DC$486)+1)/(DC$486:DC$534&lt;&gt;""),ROWS(DI$1:DI2))),"")</f>
        <v>2</v>
      </c>
      <c r="DJ487" s="165">
        <f>IFERROR(INDEX(DD$486:DD$534,_xlfn.AGGREGATE(15,6,(ROW(DD$486:DD$534)-ROW(DD$486)+1)/(DD$486:DD$534&lt;&gt;""),ROWS(DJ$1:DJ2))),"")</f>
        <v>129.24324324324317</v>
      </c>
      <c r="DK487" s="166">
        <f t="shared" si="261"/>
        <v>487</v>
      </c>
      <c r="DL487" s="164">
        <f>IFERROR(INDEX(DE$486:DE$534,_xlfn.AGGREGATE(15,6,(ROW(DE$486:DE$534)-ROW(DE$486)+1)/(DE$486:DE$534&lt;&gt;""),ROWS(DL$1:DL2))),"")</f>
        <v>2</v>
      </c>
      <c r="DM487" s="165">
        <f>IFERROR(INDEX(DF$486:DF$534,_xlfn.AGGREGATE(15,6,(ROW(DF$486:DF$534)-ROW(DF$486)+1)/(DF$486:DF$534&lt;&gt;""),ROWS(DM$1:DM2))),"")</f>
        <v>263.55638152452502</v>
      </c>
      <c r="DN487" s="166">
        <f t="shared" si="262"/>
        <v>487</v>
      </c>
      <c r="DO487" s="164">
        <f>IFERROR(INDEX(DG$486:DG$534,_xlfn.AGGREGATE(15,6,(ROW(DG$486:DG$534)-ROW(DG$486)+1)/(DG$486:DG$534&lt;&gt;""),ROWS(DO$1:DO2))),"")</f>
        <v>2</v>
      </c>
      <c r="DP487" s="165">
        <f>IFERROR(INDEX(DH$486:DH$534,_xlfn.AGGREGATE(15,6,(ROW(DH$486:DH$534)-ROW(DH$486)+1)/(DH$486:DH$534&lt;&gt;""),ROWS(DP$1:DP2))),"")</f>
        <v>397.86951980580687</v>
      </c>
      <c r="DQ487" s="166">
        <f t="shared" si="263"/>
        <v>487</v>
      </c>
      <c r="DV487" s="145">
        <v>2016</v>
      </c>
      <c r="DW487" s="235">
        <f t="shared" ca="1" si="247"/>
        <v>263.46944867944984</v>
      </c>
      <c r="EA487" s="33"/>
      <c r="EB487" s="33"/>
      <c r="EC487" s="33"/>
      <c r="ED487" s="33"/>
      <c r="EE487" s="33"/>
    </row>
    <row r="488" spans="1:135" ht="13.8" x14ac:dyDescent="0.45">
      <c r="A488" s="148" t="s">
        <v>90</v>
      </c>
      <c r="B488" s="128">
        <v>2014</v>
      </c>
      <c r="C488" s="167"/>
      <c r="D488" s="168"/>
      <c r="E488" s="169"/>
      <c r="F488" s="170"/>
      <c r="G488" s="168"/>
      <c r="H488" s="169"/>
      <c r="I488" s="170"/>
      <c r="J488" s="168"/>
      <c r="K488" s="169"/>
      <c r="L488" s="170"/>
      <c r="M488" s="169"/>
      <c r="N488" s="29" t="s">
        <v>119</v>
      </c>
      <c r="O488" s="120"/>
      <c r="P488" s="120"/>
      <c r="Q488" s="120"/>
      <c r="R488" s="29">
        <v>0</v>
      </c>
      <c r="S488" s="238" t="str">
        <f t="shared" si="248"/>
        <v/>
      </c>
      <c r="T488" s="238" t="str">
        <f t="shared" si="249"/>
        <v/>
      </c>
      <c r="U488" s="238" t="str">
        <f t="shared" si="250"/>
        <v/>
      </c>
      <c r="V488" s="29"/>
      <c r="W488" s="238" t="e">
        <f t="shared" si="251"/>
        <v>#N/A</v>
      </c>
      <c r="X488" s="238" t="e">
        <f t="shared" si="252"/>
        <v>#N/A</v>
      </c>
      <c r="Y488" s="238" t="e">
        <f t="shared" si="253"/>
        <v>#N/A</v>
      </c>
      <c r="AA488" s="138"/>
      <c r="AB488" s="138"/>
      <c r="AC488" s="138"/>
      <c r="AD488" s="138"/>
      <c r="AE488" s="138"/>
      <c r="AF488" s="138"/>
      <c r="AG488" s="138"/>
      <c r="AH488" s="138"/>
      <c r="AI488" s="138"/>
      <c r="AJ488" s="138"/>
      <c r="AK488" s="138"/>
      <c r="AL488" s="138"/>
      <c r="AM488" s="138"/>
      <c r="AN488" s="138"/>
      <c r="BS488" s="160" t="s">
        <v>91</v>
      </c>
      <c r="BT488" s="172">
        <f>SLOPE((DF486:DF534),($B$46:$B$94))</f>
        <v>8.8944197760543293</v>
      </c>
      <c r="BU488" s="173">
        <f>INTERCEPT(DM486:DM534,DL486:DL534)</f>
        <v>246.58063731803296</v>
      </c>
      <c r="BZ488" s="160" t="s">
        <v>91</v>
      </c>
      <c r="CA488" s="172">
        <f ca="1">INDEX(LINEST((INDIRECT(DL483):INDIRECT(DM483)),(INDIRECT(DL484):INDIRECT(DM484))^{1,2}),1)</f>
        <v>-1.5902179824977464E-2</v>
      </c>
      <c r="CB488" s="174">
        <f ca="1">INDEX(LINEST((INDIRECT(DL483):INDIRECT(DM483)),(INDIRECT(DL484):INDIRECT(DM484))^{1,2}),1,2)</f>
        <v>9.4032895304536073</v>
      </c>
      <c r="CC488" s="173">
        <f ca="1">INDEX(LINEST((INDIRECT(DL483):INDIRECT(DM483)),(INDIRECT(DL484):INDIRECT(DM484))^{1,2}),1,3)</f>
        <v>243.78185366883693</v>
      </c>
      <c r="CH488" s="160" t="s">
        <v>91</v>
      </c>
      <c r="CI488" s="172">
        <f ca="1">INDEX(LINEST((INDIRECT(DL483):INDIRECT(DM483)),(INDIRECT(DL484):INDIRECT(DM484))^{1,2,3}),1)</f>
        <v>-1.2925898590662346E-3</v>
      </c>
      <c r="CJ488" s="174">
        <f ca="1">INDEX(LINEST((INDIRECT(DL483):INDIRECT(DM483)),(INDIRECT(DL484):INDIRECT(DM484))^{1,2,3}),1,2)</f>
        <v>4.6142133410201951E-2</v>
      </c>
      <c r="CK488" s="174">
        <f ca="1">INDEX(LINEST((INDIRECT(DL483):INDIRECT(DM483)),(INDIRECT(DL484):INDIRECT(DM484))^{1,2,3}),1,3)</f>
        <v>8.5964549404244597</v>
      </c>
      <c r="CL488" s="173">
        <f ca="1">INDEX(LINEST((INDIRECT(DL483):INDIRECT(DM483)),(INDIRECT(DL484):INDIRECT(DM484))^{1,2,3}),1,4)</f>
        <v>246.10231098383267</v>
      </c>
      <c r="CQ488" s="160" t="s">
        <v>91</v>
      </c>
      <c r="CR488" s="172">
        <f ca="1">EXP(INDEX(LINEST(LN(INDIRECT(DL483):INDIRECT(DM483)),(INDIRECT(DL484):INDIRECT(DM484))),1,2))</f>
        <v>261.08445288452793</v>
      </c>
      <c r="CS488" s="173">
        <f ca="1">INDEX(LINEST(LN(INDIRECT(DL483):INDIRECT(DM483)),(INDIRECT(DL484):INDIRECT(DM484))),1)</f>
        <v>2.3536377539531979E-2</v>
      </c>
      <c r="CZ488" s="164" t="b">
        <f t="shared" si="254"/>
        <v>0</v>
      </c>
      <c r="DA488" s="165" t="b">
        <f t="shared" si="254"/>
        <v>0</v>
      </c>
      <c r="DB488" s="166" t="b">
        <f t="shared" si="254"/>
        <v>0</v>
      </c>
      <c r="DC488" s="164" t="str">
        <f t="shared" si="255"/>
        <v/>
      </c>
      <c r="DD488" s="166" t="str">
        <f t="shared" si="256"/>
        <v/>
      </c>
      <c r="DE488" s="164" t="str">
        <f t="shared" si="257"/>
        <v/>
      </c>
      <c r="DF488" s="166" t="str">
        <f t="shared" si="258"/>
        <v/>
      </c>
      <c r="DG488" s="164" t="str">
        <f t="shared" si="259"/>
        <v/>
      </c>
      <c r="DH488" s="166" t="str">
        <f t="shared" si="260"/>
        <v/>
      </c>
      <c r="DI488" s="164">
        <f>IFERROR(INDEX(DC$486:DC$534,_xlfn.AGGREGATE(15,6,(ROW(DC$486:DC$534)-ROW(DC$486)+1)/(DC$486:DC$534&lt;&gt;""),ROWS(DI$1:DI3))),"")</f>
        <v>3</v>
      </c>
      <c r="DJ488" s="165">
        <f>IFERROR(INDEX(DD$486:DD$534,_xlfn.AGGREGATE(15,6,(ROW(DD$486:DD$534)-ROW(DD$486)+1)/(DD$486:DD$534&lt;&gt;""),ROWS(DJ$1:DJ3))),"")</f>
        <v>136.32432432432432</v>
      </c>
      <c r="DK488" s="166">
        <f t="shared" si="261"/>
        <v>488</v>
      </c>
      <c r="DL488" s="164">
        <f>IFERROR(INDEX(DE$486:DE$534,_xlfn.AGGREGATE(15,6,(ROW(DE$486:DE$534)-ROW(DE$486)+1)/(DE$486:DE$534&lt;&gt;""),ROWS(DL$1:DL3))),"")</f>
        <v>3</v>
      </c>
      <c r="DM488" s="165">
        <f>IFERROR(INDEX(DF$486:DF$534,_xlfn.AGGREGATE(15,6,(ROW(DF$486:DF$534)-ROW(DF$486)+1)/(DF$486:DF$534&lt;&gt;""),ROWS(DM$1:DM3))),"")</f>
        <v>272.34136176502057</v>
      </c>
      <c r="DN488" s="166">
        <f t="shared" si="262"/>
        <v>488</v>
      </c>
      <c r="DO488" s="164">
        <f>IFERROR(INDEX(DG$486:DG$534,_xlfn.AGGREGATE(15,6,(ROW(DG$486:DG$534)-ROW(DG$486)+1)/(DG$486:DG$534&lt;&gt;""),ROWS(DO$1:DO3))),"")</f>
        <v>3</v>
      </c>
      <c r="DP488" s="165">
        <f>IFERROR(INDEX(DH$486:DH$534,_xlfn.AGGREGATE(15,6,(ROW(DH$486:DH$534)-ROW(DH$486)+1)/(DH$486:DH$534&lt;&gt;""),ROWS(DP$1:DP3))),"")</f>
        <v>408.35839920571681</v>
      </c>
      <c r="DQ488" s="166">
        <f t="shared" si="263"/>
        <v>488</v>
      </c>
      <c r="DV488" s="145">
        <v>2017</v>
      </c>
      <c r="DW488" s="235">
        <f t="shared" ca="1" si="247"/>
        <v>272.27205507960309</v>
      </c>
      <c r="DZ488" s="65" t="s">
        <v>89</v>
      </c>
      <c r="EA488" s="33"/>
      <c r="EB488" s="33"/>
      <c r="EC488" s="33"/>
      <c r="ED488" s="33"/>
      <c r="EE488" s="33"/>
    </row>
    <row r="489" spans="1:135" ht="13.8" x14ac:dyDescent="0.45">
      <c r="A489" s="148" t="s">
        <v>80</v>
      </c>
      <c r="B489" s="128">
        <v>2015</v>
      </c>
      <c r="C489" s="244">
        <f>'Total MSW Summaries (Archive)'!J6</f>
        <v>387.49895278935367</v>
      </c>
      <c r="D489" s="159">
        <f>'Total MSW Summaries (Archive)'!BF6</f>
        <v>122.16216216216216</v>
      </c>
      <c r="E489" s="151"/>
      <c r="F489" s="152"/>
      <c r="G489" s="159"/>
      <c r="H489" s="151"/>
      <c r="I489" s="152"/>
      <c r="J489" s="159"/>
      <c r="K489" s="151"/>
      <c r="L489" s="152"/>
      <c r="M489" s="151"/>
      <c r="N489" s="29" t="s">
        <v>119</v>
      </c>
      <c r="O489" s="120"/>
      <c r="P489" s="120"/>
      <c r="Q489" s="120"/>
      <c r="R489" s="29">
        <v>1</v>
      </c>
      <c r="S489" s="238">
        <f t="shared" si="248"/>
        <v>122.16216216216216</v>
      </c>
      <c r="T489" s="238">
        <f t="shared" si="249"/>
        <v>387.49895278935367</v>
      </c>
      <c r="U489" s="238">
        <f t="shared" si="250"/>
        <v>132.66839531359571</v>
      </c>
      <c r="V489" s="29"/>
      <c r="W489" s="238">
        <f t="shared" si="251"/>
        <v>122.16216216216222</v>
      </c>
      <c r="X489" s="238">
        <f t="shared" si="252"/>
        <v>254.83055747575793</v>
      </c>
      <c r="Y489" s="238">
        <f t="shared" si="253"/>
        <v>387.49895278935367</v>
      </c>
      <c r="AA489" s="138"/>
      <c r="AB489" s="138"/>
      <c r="AC489" s="138"/>
      <c r="AD489" s="138"/>
      <c r="AE489" s="138"/>
      <c r="AF489" s="138"/>
      <c r="AG489" s="138"/>
      <c r="AH489" s="138"/>
      <c r="AI489" s="138"/>
      <c r="AJ489" s="138"/>
      <c r="AK489" s="138"/>
      <c r="AL489" s="138"/>
      <c r="AM489" s="138"/>
      <c r="AN489" s="138"/>
      <c r="BR489" s="29"/>
      <c r="BS489" s="160" t="s">
        <v>15</v>
      </c>
      <c r="BT489" s="177">
        <f>SLOPE((DD486:DD534),($B$46:$B$94))</f>
        <v>7.0810810810810985</v>
      </c>
      <c r="BU489" s="178">
        <f>INTERCEPT(DJ486:DJ534,DI486:DI534)</f>
        <v>115.08108108108098</v>
      </c>
      <c r="BV489" s="137" t="s">
        <v>71</v>
      </c>
      <c r="BY489" s="29"/>
      <c r="BZ489" s="160" t="s">
        <v>15</v>
      </c>
      <c r="CA489" s="177">
        <f ca="1">INDEX(LINEST((INDIRECT(DI483):INDIRECT(DJ483)),(INDIRECT(DI484):INDIRECT(DJ484))^{1,2}),1)</f>
        <v>1.730413232368488E-16</v>
      </c>
      <c r="CB489" s="179">
        <f ca="1">INDEX(LINEST((INDIRECT(DI483):INDIRECT(DJ483)),(INDIRECT(DI484):INDIRECT(DJ484))^{1,2}),1,2)</f>
        <v>7.0810810810810914</v>
      </c>
      <c r="CC489" s="178">
        <f ca="1">INDEX(LINEST((INDIRECT(DI483):INDIRECT(DJ483)),(INDIRECT(DI484):INDIRECT(DJ484))^{1,2}),1,3)</f>
        <v>115.08108108108104</v>
      </c>
      <c r="CD489" s="137" t="s">
        <v>71</v>
      </c>
      <c r="CG489" s="29"/>
      <c r="CH489" s="160" t="s">
        <v>15</v>
      </c>
      <c r="CI489" s="177">
        <f ca="1">INDEX(LINEST((INDIRECT(DI483):INDIRECT(DJ483)),(INDIRECT(DI484):INDIRECT(DJ484))^{1,2,3}),1)</f>
        <v>-1.7275402695408552E-17</v>
      </c>
      <c r="CJ489" s="179">
        <f ca="1">INDEX(LINEST((INDIRECT(DI483):INDIRECT(DJ483)),(INDIRECT(DI484):INDIRECT(DJ484))^{1,2,3}),1,2)</f>
        <v>9.4361924572693875E-16</v>
      </c>
      <c r="CK489" s="179">
        <f ca="1">INDEX(LINEST((INDIRECT(DI483):INDIRECT(DJ483)),(INDIRECT(DI484):INDIRECT(DJ484))^{1,2,3}),1,3)</f>
        <v>7.0810810810810825</v>
      </c>
      <c r="CL489" s="178">
        <f ca="1">INDEX(LINEST((INDIRECT(DI483):INDIRECT(DJ483)),(INDIRECT(DI484):INDIRECT(DJ484))^{1,2,3}),1,4)</f>
        <v>115.08108108108107</v>
      </c>
      <c r="CM489" s="137" t="s">
        <v>71</v>
      </c>
      <c r="CP489" s="29"/>
      <c r="CQ489" s="160" t="s">
        <v>15</v>
      </c>
      <c r="CR489" s="177">
        <f ca="1">EXP(INDEX(LINEST(LN(INDIRECT(DI483):INDIRECT(DJ483)),(INDIRECT(DI484):INDIRECT(DJ484))),1,2))</f>
        <v>130.06134671350389</v>
      </c>
      <c r="CS489" s="178">
        <f ca="1">INDEX(LINEST(LN(INDIRECT(DI483):INDIRECT(DJ483)),(INDIRECT(DI484):INDIRECT(DJ484))),1)</f>
        <v>3.259672166883508E-2</v>
      </c>
      <c r="CT489" s="137" t="s">
        <v>71</v>
      </c>
      <c r="CZ489" s="164" t="b">
        <f t="shared" si="254"/>
        <v>1</v>
      </c>
      <c r="DA489" s="165" t="b">
        <f t="shared" si="254"/>
        <v>1</v>
      </c>
      <c r="DB489" s="166" t="b">
        <f t="shared" si="254"/>
        <v>1</v>
      </c>
      <c r="DC489" s="164">
        <f t="shared" si="255"/>
        <v>1</v>
      </c>
      <c r="DD489" s="166">
        <f t="shared" si="256"/>
        <v>122.16216216216222</v>
      </c>
      <c r="DE489" s="164">
        <f t="shared" si="257"/>
        <v>1</v>
      </c>
      <c r="DF489" s="166">
        <f t="shared" si="258"/>
        <v>254.83055747575793</v>
      </c>
      <c r="DG489" s="164">
        <f t="shared" si="259"/>
        <v>1</v>
      </c>
      <c r="DH489" s="166">
        <f t="shared" si="260"/>
        <v>387.49895278935367</v>
      </c>
      <c r="DI489" s="164">
        <f>IFERROR(INDEX(DC$486:DC$534,_xlfn.AGGREGATE(15,6,(ROW(DC$486:DC$534)-ROW(DC$486)+1)/(DC$486:DC$534&lt;&gt;""),ROWS(DI$1:DI4))),"")</f>
        <v>4</v>
      </c>
      <c r="DJ489" s="165">
        <f>IFERROR(INDEX(DD$486:DD$534,_xlfn.AGGREGATE(15,6,(ROW(DD$486:DD$534)-ROW(DD$486)+1)/(DD$486:DD$534&lt;&gt;""),ROWS(DJ$1:DJ4))),"")</f>
        <v>143.40540540540542</v>
      </c>
      <c r="DK489" s="166">
        <f t="shared" si="261"/>
        <v>489</v>
      </c>
      <c r="DL489" s="164">
        <f>IFERROR(INDEX(DE$486:DE$534,_xlfn.AGGREGATE(15,6,(ROW(DE$486:DE$534)-ROW(DE$486)+1)/(DE$486:DE$534&lt;&gt;""),ROWS(DL$1:DL4))),"")</f>
        <v>4</v>
      </c>
      <c r="DM489" s="165">
        <f>IFERROR(INDEX(DF$486:DF$534,_xlfn.AGGREGATE(15,6,(ROW(DF$486:DF$534)-ROW(DF$486)+1)/(DF$486:DF$534&lt;&gt;""),ROWS(DM$1:DM4))),"")</f>
        <v>281.17809890079508</v>
      </c>
      <c r="DN489" s="166">
        <f t="shared" si="262"/>
        <v>489</v>
      </c>
      <c r="DO489" s="164">
        <f>IFERROR(INDEX(DG$486:DG$534,_xlfn.AGGREGATE(15,6,(ROW(DG$486:DG$534)-ROW(DG$486)+1)/(DG$486:DG$534&lt;&gt;""),ROWS(DO$1:DO4))),"")</f>
        <v>4</v>
      </c>
      <c r="DP489" s="165">
        <f>IFERROR(INDEX(DH$486:DH$534,_xlfn.AGGREGATE(15,6,(ROW(DH$486:DH$534)-ROW(DH$486)+1)/(DH$486:DH$534&lt;&gt;""),ROWS(DP$1:DP4))),"")</f>
        <v>418.95079239618474</v>
      </c>
      <c r="DQ489" s="166">
        <f t="shared" si="263"/>
        <v>489</v>
      </c>
      <c r="DV489" s="145">
        <v>2018</v>
      </c>
      <c r="DW489" s="235">
        <f t="shared" ca="1" si="247"/>
        <v>281.14367912911348</v>
      </c>
      <c r="EA489" s="33" t="s">
        <v>85</v>
      </c>
      <c r="EB489" s="33" t="s">
        <v>84</v>
      </c>
      <c r="EC489" s="33" t="s">
        <v>82</v>
      </c>
      <c r="ED489" s="33" t="s">
        <v>83</v>
      </c>
      <c r="EE489" s="33"/>
    </row>
    <row r="490" spans="1:135" ht="13.8" x14ac:dyDescent="0.45">
      <c r="A490" s="148" t="s">
        <v>88</v>
      </c>
      <c r="B490" s="128">
        <v>2016</v>
      </c>
      <c r="C490" s="244">
        <f>'Total MSW Summaries (Archive)'!J7</f>
        <v>397.86951980580687</v>
      </c>
      <c r="D490" s="159">
        <f>'Total MSW Summaries (Archive)'!BF7</f>
        <v>129.24324324324323</v>
      </c>
      <c r="E490" s="151"/>
      <c r="F490" s="152"/>
      <c r="G490" s="159"/>
      <c r="H490" s="151"/>
      <c r="I490" s="152"/>
      <c r="J490" s="159"/>
      <c r="K490" s="151"/>
      <c r="L490" s="152"/>
      <c r="M490" s="151"/>
      <c r="N490" s="29" t="s">
        <v>119</v>
      </c>
      <c r="O490" s="120"/>
      <c r="P490" s="120"/>
      <c r="Q490" s="120"/>
      <c r="R490" s="29">
        <v>2</v>
      </c>
      <c r="S490" s="238">
        <f t="shared" si="248"/>
        <v>129.24324324324323</v>
      </c>
      <c r="T490" s="238">
        <f t="shared" si="249"/>
        <v>397.86951980580687</v>
      </c>
      <c r="U490" s="238">
        <f t="shared" si="250"/>
        <v>134.31313828128185</v>
      </c>
      <c r="V490" s="29"/>
      <c r="W490" s="238">
        <f t="shared" si="251"/>
        <v>129.24324324324317</v>
      </c>
      <c r="X490" s="238">
        <f t="shared" si="252"/>
        <v>263.55638152452502</v>
      </c>
      <c r="Y490" s="238">
        <f t="shared" si="253"/>
        <v>397.86951980580687</v>
      </c>
      <c r="AA490" s="138"/>
      <c r="AB490" s="138"/>
      <c r="AC490" s="138"/>
      <c r="AD490" s="138"/>
      <c r="AE490" s="138"/>
      <c r="AF490" s="138"/>
      <c r="AG490" s="138"/>
      <c r="AH490" s="138"/>
      <c r="AI490" s="138"/>
      <c r="AJ490" s="138"/>
      <c r="AK490" s="138"/>
      <c r="AL490" s="138"/>
      <c r="AM490" s="138"/>
      <c r="AN490" s="138"/>
      <c r="BR490" s="180">
        <v>2014</v>
      </c>
      <c r="BS490" s="22">
        <v>0</v>
      </c>
      <c r="BT490" s="181">
        <f t="shared" ref="BT490:BT536" si="264">IF($BS$486="High",BS490*$BT$487,IF($BS$486="Medium",$BT$488*BS490,IF($BS$486="Low",$BT$489*BS490)))</f>
        <v>0</v>
      </c>
      <c r="BU490" s="182">
        <f t="shared" ref="BU490:BU536" si="265">IF($BS$486="High",$BU$487,IF($BS$486="Medium",$BU$488,IF($BS$486="Low",BU489)))</f>
        <v>246.58063731803296</v>
      </c>
      <c r="BV490" s="241">
        <f t="shared" ref="BV490:BV536" si="266">BT490+BU490</f>
        <v>246.58063731803296</v>
      </c>
      <c r="BY490" s="180">
        <v>2014</v>
      </c>
      <c r="BZ490" s="22">
        <v>0</v>
      </c>
      <c r="CA490" s="181">
        <f t="shared" ref="CA490:CA536" ca="1" si="267">IF($BZ$486="High",BZ490^2*$CA$487,IF($BZ$486="Medium",BZ490^2*$CA$488,IF($BZ$486="Low",BZ490^2*$CA$489)))</f>
        <v>0</v>
      </c>
      <c r="CB490" s="181">
        <f t="shared" ref="CB490:CB536" ca="1" si="268">IF($BZ$486="High",BZ490*$CB$487,IF($BZ$486="Medium",BZ490*$CB$488,IF($BZ$486="Low",BZ490*$CB$489)))</f>
        <v>0</v>
      </c>
      <c r="CC490" s="182">
        <f ca="1">IF($BZ$486="High",$CC$487,IF($BZ$486="Medium",$CC$488,IF($BZ$486="Low",$CC$489)))</f>
        <v>243.78185366883693</v>
      </c>
      <c r="CD490" s="241">
        <f t="shared" ref="CD490:CD536" ca="1" si="269">CA490+CB490+CC490</f>
        <v>243.78185366883693</v>
      </c>
      <c r="CG490" s="180">
        <v>2014</v>
      </c>
      <c r="CH490" s="22">
        <v>0</v>
      </c>
      <c r="CI490" s="181">
        <f t="shared" ref="CI490:CI536" ca="1" si="270">IF($CH$486="High",CH490^3*$CI$487,IF($CH$486="Medium",CH490^3*$CI$488,IF($CH$486="Low",CH490^3*$CI$489)))</f>
        <v>0</v>
      </c>
      <c r="CJ490" s="181">
        <f t="shared" ref="CJ490:CJ536" ca="1" si="271">IF($CH$486="High",CH490^2*$CJ$487,IF($CH$486="Medium",CH490^2*$CJ$488,IF($CH$486="Low",CH490^2*$CJ$489)))</f>
        <v>0</v>
      </c>
      <c r="CK490" s="181">
        <f t="shared" ref="CK490:CK536" ca="1" si="272">IF($CH$486="High",CH490*$CK$487,IF($CH$486="Medium",CH490*$CK$488,IF($CH$486="Low",CH490*$CK$489)))</f>
        <v>0</v>
      </c>
      <c r="CL490" s="182">
        <f t="shared" ref="CL490:CL536" ca="1" si="273">IF($CH$486="High",$CL$487,IF($CH$486="Medium",$CL$488,IF($CH$486="Low",$CL$489)))</f>
        <v>246.10231098383267</v>
      </c>
      <c r="CM490" s="241">
        <f t="shared" ref="CM490:CM536" ca="1" si="274">CI490+CJ490+CK490+CL490</f>
        <v>246.10231098383267</v>
      </c>
      <c r="CP490" s="180">
        <v>2014</v>
      </c>
      <c r="CQ490" s="22">
        <v>0</v>
      </c>
      <c r="CR490" s="181">
        <f t="shared" ref="CR490:CR536" ca="1" si="275">IF($CQ$486="High",$CR$487,IF($CQ$486="Medium",$CR$488,IF($CQ$486="Low",$CR$489)))</f>
        <v>261.08445288452793</v>
      </c>
      <c r="CS490" s="182">
        <f t="shared" ref="CS490:CS536" ca="1" si="276">IF($CQ$486="High",EXP(1)^($CS$487*CQ490),IF($CQ$486="Medium",EXP(1)^($CS$488*CQ490),IF($CQ$486="Low",EXP(1)^($CS$489*CQ490))))</f>
        <v>1</v>
      </c>
      <c r="CT490" s="241">
        <f t="shared" ref="CT490:CT536" ca="1" si="277">(CR490*CS490)</f>
        <v>261.08445288452793</v>
      </c>
      <c r="CZ490" s="164" t="b">
        <f t="shared" si="254"/>
        <v>1</v>
      </c>
      <c r="DA490" s="165" t="b">
        <f t="shared" si="254"/>
        <v>1</v>
      </c>
      <c r="DB490" s="166" t="b">
        <f t="shared" si="254"/>
        <v>1</v>
      </c>
      <c r="DC490" s="164">
        <f t="shared" si="255"/>
        <v>2</v>
      </c>
      <c r="DD490" s="166">
        <f t="shared" si="256"/>
        <v>129.24324324324317</v>
      </c>
      <c r="DE490" s="164">
        <f t="shared" si="257"/>
        <v>2</v>
      </c>
      <c r="DF490" s="166">
        <f t="shared" si="258"/>
        <v>263.55638152452502</v>
      </c>
      <c r="DG490" s="164">
        <f t="shared" si="259"/>
        <v>2</v>
      </c>
      <c r="DH490" s="166">
        <f t="shared" si="260"/>
        <v>397.86951980580687</v>
      </c>
      <c r="DI490" s="164">
        <f>IFERROR(INDEX(DC$486:DC$534,_xlfn.AGGREGATE(15,6,(ROW(DC$486:DC$534)-ROW(DC$486)+1)/(DC$486:DC$534&lt;&gt;""),ROWS(DI$1:DI5))),"")</f>
        <v>5</v>
      </c>
      <c r="DJ490" s="165">
        <f>IFERROR(INDEX(DD$486:DD$534,_xlfn.AGGREGATE(15,6,(ROW(DD$486:DD$534)-ROW(DD$486)+1)/(DD$486:DD$534&lt;&gt;""),ROWS(DJ$1:DJ5))),"")</f>
        <v>150.48648648648651</v>
      </c>
      <c r="DK490" s="166">
        <f t="shared" si="261"/>
        <v>490</v>
      </c>
      <c r="DL490" s="164">
        <f>IFERROR(INDEX(DE$486:DE$534,_xlfn.AGGREGATE(15,6,(ROW(DE$486:DE$534)-ROW(DE$486)+1)/(DE$486:DE$534&lt;&gt;""),ROWS(DL$1:DL5))),"")</f>
        <v>5</v>
      </c>
      <c r="DM490" s="165">
        <f>IFERROR(INDEX(DF$486:DF$534,_xlfn.AGGREGATE(15,6,(ROW(DF$486:DF$534)-ROW(DF$486)+1)/(DF$486:DF$534&lt;&gt;""),ROWS(DM$1:DM5))),"")</f>
        <v>290.05483370191985</v>
      </c>
      <c r="DN490" s="166">
        <f t="shared" si="262"/>
        <v>490</v>
      </c>
      <c r="DO490" s="164">
        <f>IFERROR(INDEX(DG$486:DG$534,_xlfn.AGGREGATE(15,6,(ROW(DG$486:DG$534)-ROW(DG$486)+1)/(DG$486:DG$534&lt;&gt;""),ROWS(DO$1:DO5))),"")</f>
        <v>5</v>
      </c>
      <c r="DP490" s="165">
        <f>IFERROR(INDEX(DH$486:DH$534,_xlfn.AGGREGATE(15,6,(ROW(DH$486:DH$534)-ROW(DH$486)+1)/(DH$486:DH$534&lt;&gt;""),ROWS(DP$1:DP5))),"")</f>
        <v>429.62318091735318</v>
      </c>
      <c r="DQ490" s="166">
        <f t="shared" si="263"/>
        <v>490</v>
      </c>
      <c r="DV490" s="145">
        <v>2019</v>
      </c>
      <c r="DW490" s="235">
        <f t="shared" ca="1" si="247"/>
        <v>290.07656528882671</v>
      </c>
      <c r="DZ490" s="135" t="s">
        <v>92</v>
      </c>
      <c r="EA490" s="33">
        <f ca="1">IF($EA$484="Linear",0,IF($EA$484="2nd Poly",0,IF($EA$484="3rd Poly",CI487,IF($EA$484="Exp",0))))</f>
        <v>-2.5851797181324753E-3</v>
      </c>
      <c r="EB490" s="33">
        <f ca="1">IF($EA$484="Linear",0,IF($EA$484="2nd Poly",CA487,IF($EA$484="3rd Poly",CJ487,IF($EA$484="Exp",0))))</f>
        <v>9.2284266820403485E-2</v>
      </c>
      <c r="EC490" s="33">
        <f t="shared" ref="EC490:ED492" ca="1" si="278">IF($EA$484="Linear",BT487,IF($EA$484="2nd Poly",CB487,IF($EA$484="3rd Poly",CK487,IF($EA$484="Exp",0))))</f>
        <v>10.111828799767839</v>
      </c>
      <c r="ED490" s="33">
        <f t="shared" ca="1" si="278"/>
        <v>377.12354088658435</v>
      </c>
      <c r="EE490" s="33" t="str">
        <f>IF($EA$484="Linear","High",IF($EA$484="2nd Poly","High",IF($EA$484="3rd Poly","High","N/A")))</f>
        <v>High</v>
      </c>
    </row>
    <row r="491" spans="1:135" ht="13.8" x14ac:dyDescent="0.45">
      <c r="A491" s="148" t="s">
        <v>90</v>
      </c>
      <c r="B491" s="128">
        <v>2017</v>
      </c>
      <c r="C491" s="244">
        <f>'Total MSW Summaries (Archive)'!J8</f>
        <v>408.35839920571681</v>
      </c>
      <c r="D491" s="159">
        <f>'Total MSW Summaries (Archive)'!BF8</f>
        <v>136.32432432432432</v>
      </c>
      <c r="E491" s="169"/>
      <c r="F491" s="170"/>
      <c r="G491" s="168"/>
      <c r="H491" s="169"/>
      <c r="I491" s="170"/>
      <c r="J491" s="168"/>
      <c r="K491" s="169"/>
      <c r="L491" s="170"/>
      <c r="M491" s="169"/>
      <c r="N491" s="29" t="s">
        <v>119</v>
      </c>
      <c r="O491" s="120"/>
      <c r="P491" s="120"/>
      <c r="Q491" s="120"/>
      <c r="R491" s="29">
        <v>3</v>
      </c>
      <c r="S491" s="238">
        <f t="shared" si="248"/>
        <v>136.32432432432432</v>
      </c>
      <c r="T491" s="238">
        <f t="shared" si="249"/>
        <v>408.35839920571681</v>
      </c>
      <c r="U491" s="238">
        <f t="shared" si="250"/>
        <v>136.01703744069624</v>
      </c>
      <c r="V491" s="29"/>
      <c r="W491" s="238">
        <f t="shared" si="251"/>
        <v>136.32432432432432</v>
      </c>
      <c r="X491" s="238">
        <f t="shared" si="252"/>
        <v>272.34136176502057</v>
      </c>
      <c r="Y491" s="238">
        <f t="shared" si="253"/>
        <v>408.35839920571681</v>
      </c>
      <c r="AA491" s="138"/>
      <c r="AB491" s="138"/>
      <c r="AC491" s="138"/>
      <c r="AD491" s="138"/>
      <c r="AE491" s="138"/>
      <c r="AF491" s="138"/>
      <c r="AG491" s="138"/>
      <c r="AH491" s="138"/>
      <c r="AI491" s="138"/>
      <c r="AJ491" s="138"/>
      <c r="AK491" s="138"/>
      <c r="AL491" s="138"/>
      <c r="AM491" s="138"/>
      <c r="AN491" s="138"/>
      <c r="BR491" s="180">
        <v>2015</v>
      </c>
      <c r="BS491" s="22">
        <v>1</v>
      </c>
      <c r="BT491" s="198">
        <f t="shared" si="264"/>
        <v>8.8944197760543293</v>
      </c>
      <c r="BU491" s="276">
        <f t="shared" si="265"/>
        <v>246.58063731803296</v>
      </c>
      <c r="BV491" s="241">
        <f t="shared" si="266"/>
        <v>255.47505709408728</v>
      </c>
      <c r="BY491" s="180">
        <v>2015</v>
      </c>
      <c r="BZ491" s="22">
        <v>1</v>
      </c>
      <c r="CA491" s="198">
        <f t="shared" ca="1" si="267"/>
        <v>-1.5902179824977464E-2</v>
      </c>
      <c r="CB491" s="198">
        <f t="shared" ca="1" si="268"/>
        <v>9.4032895304536073</v>
      </c>
      <c r="CC491" s="276">
        <f t="shared" ref="CC491:CC536" ca="1" si="279">CC490</f>
        <v>243.78185366883693</v>
      </c>
      <c r="CD491" s="241">
        <f t="shared" ca="1" si="269"/>
        <v>253.16924101946557</v>
      </c>
      <c r="CG491" s="180">
        <v>2015</v>
      </c>
      <c r="CH491" s="22">
        <v>1</v>
      </c>
      <c r="CI491" s="198">
        <f t="shared" ca="1" si="270"/>
        <v>-1.2925898590662346E-3</v>
      </c>
      <c r="CJ491" s="198">
        <f t="shared" ca="1" si="271"/>
        <v>4.6142133410201951E-2</v>
      </c>
      <c r="CK491" s="198">
        <f t="shared" ca="1" si="272"/>
        <v>8.5964549404244597</v>
      </c>
      <c r="CL491" s="276">
        <f t="shared" ca="1" si="273"/>
        <v>246.10231098383267</v>
      </c>
      <c r="CM491" s="241">
        <f t="shared" ca="1" si="274"/>
        <v>254.74361546780827</v>
      </c>
      <c r="CP491" s="180">
        <v>2015</v>
      </c>
      <c r="CQ491" s="22">
        <v>1</v>
      </c>
      <c r="CR491" s="198">
        <f t="shared" ca="1" si="275"/>
        <v>261.08445288452793</v>
      </c>
      <c r="CS491" s="276">
        <f t="shared" ca="1" si="276"/>
        <v>1.0238155439596408</v>
      </c>
      <c r="CT491" s="241">
        <f t="shared" ca="1" si="277"/>
        <v>267.3023211493782</v>
      </c>
      <c r="CZ491" s="164" t="b">
        <f t="shared" si="254"/>
        <v>1</v>
      </c>
      <c r="DA491" s="165" t="b">
        <f t="shared" si="254"/>
        <v>1</v>
      </c>
      <c r="DB491" s="166" t="b">
        <f t="shared" si="254"/>
        <v>1</v>
      </c>
      <c r="DC491" s="164">
        <f t="shared" si="255"/>
        <v>3</v>
      </c>
      <c r="DD491" s="166">
        <f t="shared" si="256"/>
        <v>136.32432432432432</v>
      </c>
      <c r="DE491" s="164">
        <f t="shared" si="257"/>
        <v>3</v>
      </c>
      <c r="DF491" s="166">
        <f t="shared" si="258"/>
        <v>272.34136176502057</v>
      </c>
      <c r="DG491" s="164">
        <f t="shared" si="259"/>
        <v>3</v>
      </c>
      <c r="DH491" s="166">
        <f t="shared" si="260"/>
        <v>408.35839920571681</v>
      </c>
      <c r="DI491" s="164">
        <f>IFERROR(INDEX(DC$486:DC$534,_xlfn.AGGREGATE(15,6,(ROW(DC$486:DC$534)-ROW(DC$486)+1)/(DC$486:DC$534&lt;&gt;""),ROWS(DI$1:DI6))),"")</f>
        <v>6</v>
      </c>
      <c r="DJ491" s="165">
        <f>IFERROR(INDEX(DD$486:DD$534,_xlfn.AGGREGATE(15,6,(ROW(DD$486:DD$534)-ROW(DD$486)+1)/(DD$486:DD$534&lt;&gt;""),ROWS(DJ$1:DJ6))),"")</f>
        <v>157.56756756756758</v>
      </c>
      <c r="DK491" s="166">
        <f t="shared" si="261"/>
        <v>491</v>
      </c>
      <c r="DL491" s="164">
        <f>IFERROR(INDEX(DE$486:DE$534,_xlfn.AGGREGATE(15,6,(ROW(DE$486:DE$534)-ROW(DE$486)+1)/(DE$486:DE$534&lt;&gt;""),ROWS(DL$1:DL6))),"")</f>
        <v>6</v>
      </c>
      <c r="DM491" s="165">
        <f>IFERROR(INDEX(DF$486:DF$534,_xlfn.AGGREGATE(15,6,(ROW(DF$486:DF$534)-ROW(DF$486)+1)/(DF$486:DF$534&lt;&gt;""),ROWS(DM$1:DM6))),"")</f>
        <v>298.96168427817491</v>
      </c>
      <c r="DN491" s="166">
        <f t="shared" si="262"/>
        <v>491</v>
      </c>
      <c r="DO491" s="164">
        <f>IFERROR(INDEX(DG$486:DG$534,_xlfn.AGGREGATE(15,6,(ROW(DG$486:DG$534)-ROW(DG$486)+1)/(DG$486:DG$534&lt;&gt;""),ROWS(DO$1:DO6))),"")</f>
        <v>6</v>
      </c>
      <c r="DP491" s="165">
        <f>IFERROR(INDEX(DH$486:DH$534,_xlfn.AGGREGATE(15,6,(ROW(DH$486:DH$534)-ROW(DH$486)+1)/(DH$486:DH$534&lt;&gt;""),ROWS(DP$1:DP6))),"")</f>
        <v>440.35580098878222</v>
      </c>
      <c r="DQ491" s="166">
        <f t="shared" si="263"/>
        <v>491</v>
      </c>
      <c r="DV491" s="145">
        <v>2020</v>
      </c>
      <c r="DW491" s="235">
        <f t="shared" ca="1" si="247"/>
        <v>299.06295801958839</v>
      </c>
      <c r="DZ491" s="135" t="s">
        <v>92</v>
      </c>
      <c r="EA491" s="33">
        <f ca="1">IF($EA$484="Linear",0,IF($EA$484="2nd Poly",0,IF($EA$484="3rd Poly",CI488,IF($EA$484="Exp",0))))</f>
        <v>-1.2925898590662346E-3</v>
      </c>
      <c r="EB491" s="33">
        <f ca="1">IF($EA$484="Linear",0,IF($EA$484="2nd Poly",CA488,IF($EA$484="3rd Poly",CJ488,IF($EA$484="Exp",0))))</f>
        <v>4.6142133410201951E-2</v>
      </c>
      <c r="EC491" s="33">
        <f t="shared" ca="1" si="278"/>
        <v>8.5964549404244597</v>
      </c>
      <c r="ED491" s="33">
        <f t="shared" ca="1" si="278"/>
        <v>246.10231098383267</v>
      </c>
      <c r="EE491" s="33" t="str">
        <f>IF($EA$484="Linear","Medium",IF($EA$484="2nd Poly","Medium",IF($EA$484="3rd Poly","Medium","N/A")))</f>
        <v>Medium</v>
      </c>
    </row>
    <row r="492" spans="1:135" ht="13.8" x14ac:dyDescent="0.45">
      <c r="A492" s="148" t="s">
        <v>80</v>
      </c>
      <c r="B492" s="128">
        <v>2018</v>
      </c>
      <c r="C492" s="244">
        <f>'Total MSW Summaries (Archive)'!J9</f>
        <v>418.95079239618474</v>
      </c>
      <c r="D492" s="159">
        <f>'Total MSW Summaries (Archive)'!BF9</f>
        <v>143.40540540540542</v>
      </c>
      <c r="E492" s="151"/>
      <c r="F492" s="152"/>
      <c r="G492" s="159"/>
      <c r="H492" s="151"/>
      <c r="I492" s="152"/>
      <c r="J492" s="159"/>
      <c r="K492" s="151"/>
      <c r="L492" s="152"/>
      <c r="M492" s="151"/>
      <c r="N492" s="29" t="s">
        <v>119</v>
      </c>
      <c r="O492" s="120"/>
      <c r="P492" s="120"/>
      <c r="Q492" s="120"/>
      <c r="R492" s="29">
        <v>4</v>
      </c>
      <c r="S492" s="238">
        <f t="shared" si="248"/>
        <v>143.40540540540542</v>
      </c>
      <c r="T492" s="238">
        <f t="shared" si="249"/>
        <v>418.95079239618474</v>
      </c>
      <c r="U492" s="238">
        <f t="shared" si="250"/>
        <v>137.77269349538966</v>
      </c>
      <c r="V492" s="20"/>
      <c r="W492" s="238">
        <f t="shared" si="251"/>
        <v>143.40540540540542</v>
      </c>
      <c r="X492" s="238">
        <f t="shared" si="252"/>
        <v>281.17809890079508</v>
      </c>
      <c r="Y492" s="238">
        <f t="shared" si="253"/>
        <v>418.95079239618474</v>
      </c>
      <c r="AA492" s="138"/>
      <c r="AB492" s="138"/>
      <c r="AC492" s="138"/>
      <c r="AD492" s="138"/>
      <c r="AE492" s="138"/>
      <c r="AF492" s="138"/>
      <c r="AG492" s="138"/>
      <c r="AH492" s="138"/>
      <c r="AI492" s="138"/>
      <c r="AJ492" s="138"/>
      <c r="AK492" s="138"/>
      <c r="AL492" s="138"/>
      <c r="AM492" s="138"/>
      <c r="AN492" s="138"/>
      <c r="BR492" s="180">
        <v>2016</v>
      </c>
      <c r="BS492" s="22">
        <v>2</v>
      </c>
      <c r="BT492" s="198">
        <f t="shared" si="264"/>
        <v>17.788839552108659</v>
      </c>
      <c r="BU492" s="276">
        <f t="shared" si="265"/>
        <v>246.58063731803296</v>
      </c>
      <c r="BV492" s="241">
        <f t="shared" si="266"/>
        <v>264.36947687014163</v>
      </c>
      <c r="BY492" s="180">
        <v>2016</v>
      </c>
      <c r="BZ492" s="22">
        <v>2</v>
      </c>
      <c r="CA492" s="198">
        <f t="shared" ca="1" si="267"/>
        <v>-6.3608719299909855E-2</v>
      </c>
      <c r="CB492" s="198">
        <f t="shared" ca="1" si="268"/>
        <v>18.806579060907215</v>
      </c>
      <c r="CC492" s="276">
        <f t="shared" ca="1" si="279"/>
        <v>243.78185366883693</v>
      </c>
      <c r="CD492" s="241">
        <f t="shared" ca="1" si="269"/>
        <v>262.52482401044426</v>
      </c>
      <c r="CG492" s="180">
        <v>2016</v>
      </c>
      <c r="CH492" s="22">
        <v>2</v>
      </c>
      <c r="CI492" s="198">
        <f t="shared" ca="1" si="270"/>
        <v>-1.0340718872529877E-2</v>
      </c>
      <c r="CJ492" s="198">
        <f t="shared" ca="1" si="271"/>
        <v>0.1845685336408078</v>
      </c>
      <c r="CK492" s="198">
        <f t="shared" ca="1" si="272"/>
        <v>17.192909880848919</v>
      </c>
      <c r="CL492" s="276">
        <f t="shared" ca="1" si="273"/>
        <v>246.10231098383267</v>
      </c>
      <c r="CM492" s="241">
        <f t="shared" ca="1" si="274"/>
        <v>263.46944867944984</v>
      </c>
      <c r="CP492" s="180">
        <v>2016</v>
      </c>
      <c r="CQ492" s="22">
        <v>2</v>
      </c>
      <c r="CR492" s="198">
        <f t="shared" ca="1" si="275"/>
        <v>261.08445288452793</v>
      </c>
      <c r="CS492" s="276">
        <f t="shared" ca="1" si="276"/>
        <v>1.048198268053375</v>
      </c>
      <c r="CT492" s="241">
        <f t="shared" ca="1" si="277"/>
        <v>273.66827132922515</v>
      </c>
      <c r="CZ492" s="164" t="b">
        <f t="shared" si="254"/>
        <v>1</v>
      </c>
      <c r="DA492" s="165" t="b">
        <f t="shared" si="254"/>
        <v>1</v>
      </c>
      <c r="DB492" s="166" t="b">
        <f t="shared" si="254"/>
        <v>1</v>
      </c>
      <c r="DC492" s="164">
        <f t="shared" si="255"/>
        <v>4</v>
      </c>
      <c r="DD492" s="166">
        <f t="shared" si="256"/>
        <v>143.40540540540542</v>
      </c>
      <c r="DE492" s="164">
        <f t="shared" si="257"/>
        <v>4</v>
      </c>
      <c r="DF492" s="166">
        <f t="shared" si="258"/>
        <v>281.17809890079508</v>
      </c>
      <c r="DG492" s="164">
        <f t="shared" si="259"/>
        <v>4</v>
      </c>
      <c r="DH492" s="166">
        <f t="shared" si="260"/>
        <v>418.95079239618474</v>
      </c>
      <c r="DI492" s="164">
        <f>IFERROR(INDEX(DC$486:DC$534,_xlfn.AGGREGATE(15,6,(ROW(DC$486:DC$534)-ROW(DC$486)+1)/(DC$486:DC$534&lt;&gt;""),ROWS(DI$1:DI7))),"")</f>
        <v>7</v>
      </c>
      <c r="DJ492" s="165">
        <f>IFERROR(INDEX(DD$486:DD$534,_xlfn.AGGREGATE(15,6,(ROW(DD$486:DD$534)-ROW(DD$486)+1)/(DD$486:DD$534&lt;&gt;""),ROWS(DJ$1:DJ7))),"")</f>
        <v>164.6486486486487</v>
      </c>
      <c r="DK492" s="166">
        <f t="shared" si="261"/>
        <v>492</v>
      </c>
      <c r="DL492" s="164">
        <f>IFERROR(INDEX(DE$486:DE$534,_xlfn.AGGREGATE(15,6,(ROW(DE$486:DE$534)-ROW(DE$486)+1)/(DE$486:DE$534&lt;&gt;""),ROWS(DL$1:DL7))),"")</f>
        <v>7</v>
      </c>
      <c r="DM492" s="165">
        <f>IFERROR(INDEX(DF$486:DF$534,_xlfn.AGGREGATE(15,6,(ROW(DF$486:DF$534)-ROW(DF$486)+1)/(DF$486:DF$534&lt;&gt;""),ROWS(DM$1:DM7))),"")</f>
        <v>307.89460087853865</v>
      </c>
      <c r="DN492" s="166">
        <f t="shared" si="262"/>
        <v>492</v>
      </c>
      <c r="DO492" s="164">
        <f>IFERROR(INDEX(DG$486:DG$534,_xlfn.AGGREGATE(15,6,(ROW(DG$486:DG$534)-ROW(DG$486)+1)/(DG$486:DG$534&lt;&gt;""),ROWS(DO$1:DO7))),"")</f>
        <v>7</v>
      </c>
      <c r="DP492" s="165">
        <f>IFERROR(INDEX(DH$486:DH$534,_xlfn.AGGREGATE(15,6,(ROW(DH$486:DH$534)-ROW(DH$486)+1)/(DH$486:DH$534&lt;&gt;""),ROWS(DP$1:DP7))),"")</f>
        <v>451.14055310842861</v>
      </c>
      <c r="DQ492" s="166">
        <f t="shared" si="263"/>
        <v>492</v>
      </c>
      <c r="DV492" s="145">
        <v>2021</v>
      </c>
      <c r="DW492" s="235">
        <f t="shared" ca="1" si="247"/>
        <v>308.09510178224406</v>
      </c>
      <c r="DZ492" s="135" t="s">
        <v>92</v>
      </c>
      <c r="EA492" s="33">
        <f ca="1">IF($EA$484="Linear",0,IF($EA$484="2nd Poly",0,IF($EA$484="3rd Poly",CI489,IF($EA$484="Exp",0))))</f>
        <v>-1.7275402695408552E-17</v>
      </c>
      <c r="EB492" s="33">
        <f ca="1">IF($EA$484="Linear",0,IF($EA$484="2nd Poly",CA489,IF($EA$484="3rd Poly",CJ489,IF($EA$484="Exp",0))))</f>
        <v>9.4361924572693875E-16</v>
      </c>
      <c r="EC492" s="33">
        <f t="shared" ca="1" si="278"/>
        <v>7.0810810810810825</v>
      </c>
      <c r="ED492" s="33">
        <f t="shared" ca="1" si="278"/>
        <v>115.08108108108107</v>
      </c>
      <c r="EE492" s="33" t="str">
        <f>IF($EA$484="Linear","Low",IF($EA$484="2nd Poly","Low",IF($EA$484="3rd Poly","Low","N/A")))</f>
        <v>Low</v>
      </c>
    </row>
    <row r="493" spans="1:135" ht="13.8" x14ac:dyDescent="0.45">
      <c r="A493" s="148" t="s">
        <v>88</v>
      </c>
      <c r="B493" s="128">
        <v>2019</v>
      </c>
      <c r="C493" s="244">
        <f>'Total MSW Summaries (Archive)'!J10</f>
        <v>429.62318091735318</v>
      </c>
      <c r="D493" s="159">
        <f>'Total MSW Summaries (Archive)'!BF10</f>
        <v>150.48648648648651</v>
      </c>
      <c r="E493" s="151"/>
      <c r="F493" s="152"/>
      <c r="G493" s="159"/>
      <c r="H493" s="151"/>
      <c r="I493" s="152"/>
      <c r="J493" s="159"/>
      <c r="K493" s="151"/>
      <c r="L493" s="152"/>
      <c r="M493" s="151"/>
      <c r="N493" s="29" t="s">
        <v>119</v>
      </c>
      <c r="O493" s="120"/>
      <c r="P493" s="120"/>
      <c r="Q493" s="120"/>
      <c r="R493" s="29">
        <v>5</v>
      </c>
      <c r="S493" s="238">
        <f t="shared" si="248"/>
        <v>150.48648648648651</v>
      </c>
      <c r="T493" s="238">
        <f t="shared" si="249"/>
        <v>429.62318091735318</v>
      </c>
      <c r="U493" s="238">
        <f t="shared" si="250"/>
        <v>139.56834721543333</v>
      </c>
      <c r="V493" s="20"/>
      <c r="W493" s="238">
        <f t="shared" si="251"/>
        <v>150.48648648648651</v>
      </c>
      <c r="X493" s="238">
        <f t="shared" si="252"/>
        <v>290.05483370191985</v>
      </c>
      <c r="Y493" s="238">
        <f t="shared" si="253"/>
        <v>429.62318091735318</v>
      </c>
      <c r="AA493" s="138"/>
      <c r="AB493" s="138"/>
      <c r="AC493" s="138"/>
      <c r="AD493" s="138"/>
      <c r="AE493" s="138"/>
      <c r="AF493" s="138"/>
      <c r="AG493" s="138"/>
      <c r="AH493" s="138"/>
      <c r="AI493" s="138"/>
      <c r="AJ493" s="138"/>
      <c r="AK493" s="138"/>
      <c r="AL493" s="138"/>
      <c r="AM493" s="138"/>
      <c r="AN493" s="138"/>
      <c r="BR493" s="180">
        <v>2017</v>
      </c>
      <c r="BS493" s="22">
        <v>3</v>
      </c>
      <c r="BT493" s="198">
        <f t="shared" si="264"/>
        <v>26.68325932816299</v>
      </c>
      <c r="BU493" s="276">
        <f t="shared" si="265"/>
        <v>246.58063731803296</v>
      </c>
      <c r="BV493" s="241">
        <f t="shared" si="266"/>
        <v>273.26389664619592</v>
      </c>
      <c r="BY493" s="180">
        <v>2017</v>
      </c>
      <c r="BZ493" s="22">
        <v>3</v>
      </c>
      <c r="CA493" s="198">
        <f t="shared" ca="1" si="267"/>
        <v>-0.14311961842479717</v>
      </c>
      <c r="CB493" s="198">
        <f t="shared" ca="1" si="268"/>
        <v>28.209868591360824</v>
      </c>
      <c r="CC493" s="276">
        <f t="shared" ca="1" si="279"/>
        <v>243.78185366883693</v>
      </c>
      <c r="CD493" s="241">
        <f t="shared" ca="1" si="269"/>
        <v>271.84860264177297</v>
      </c>
      <c r="CG493" s="180">
        <v>2017</v>
      </c>
      <c r="CH493" s="22">
        <v>3</v>
      </c>
      <c r="CI493" s="198">
        <f t="shared" ca="1" si="270"/>
        <v>-3.4899926194788336E-2</v>
      </c>
      <c r="CJ493" s="198">
        <f t="shared" ca="1" si="271"/>
        <v>0.41527920069181756</v>
      </c>
      <c r="CK493" s="198">
        <f t="shared" ca="1" si="272"/>
        <v>25.789364821273381</v>
      </c>
      <c r="CL493" s="276">
        <f t="shared" ca="1" si="273"/>
        <v>246.10231098383267</v>
      </c>
      <c r="CM493" s="241">
        <f t="shared" ca="1" si="274"/>
        <v>272.27205507960309</v>
      </c>
      <c r="CP493" s="180">
        <v>2017</v>
      </c>
      <c r="CQ493" s="22">
        <v>3</v>
      </c>
      <c r="CR493" s="198">
        <f t="shared" ca="1" si="275"/>
        <v>261.08445288452793</v>
      </c>
      <c r="CS493" s="276">
        <f t="shared" ca="1" si="276"/>
        <v>1.0731616799846195</v>
      </c>
      <c r="CT493" s="241">
        <f t="shared" ca="1" si="277"/>
        <v>280.18583007542526</v>
      </c>
      <c r="CZ493" s="164" t="b">
        <f t="shared" si="254"/>
        <v>1</v>
      </c>
      <c r="DA493" s="165" t="b">
        <f t="shared" si="254"/>
        <v>1</v>
      </c>
      <c r="DB493" s="166" t="b">
        <f t="shared" si="254"/>
        <v>1</v>
      </c>
      <c r="DC493" s="164">
        <f t="shared" si="255"/>
        <v>5</v>
      </c>
      <c r="DD493" s="166">
        <f t="shared" si="256"/>
        <v>150.48648648648651</v>
      </c>
      <c r="DE493" s="164">
        <f t="shared" si="257"/>
        <v>5</v>
      </c>
      <c r="DF493" s="166">
        <f t="shared" si="258"/>
        <v>290.05483370191985</v>
      </c>
      <c r="DG493" s="164">
        <f t="shared" si="259"/>
        <v>5</v>
      </c>
      <c r="DH493" s="166">
        <f t="shared" si="260"/>
        <v>429.62318091735318</v>
      </c>
      <c r="DI493" s="164">
        <f>IFERROR(INDEX(DC$486:DC$534,_xlfn.AGGREGATE(15,6,(ROW(DC$486:DC$534)-ROW(DC$486)+1)/(DC$486:DC$534&lt;&gt;""),ROWS(DI$1:DI8))),"")</f>
        <v>8</v>
      </c>
      <c r="DJ493" s="165">
        <f>IFERROR(INDEX(DD$486:DD$534,_xlfn.AGGREGATE(15,6,(ROW(DD$486:DD$534)-ROW(DD$486)+1)/(DD$486:DD$534&lt;&gt;""),ROWS(DJ$1:DJ8))),"")</f>
        <v>171.72972972972968</v>
      </c>
      <c r="DK493" s="166">
        <f t="shared" si="261"/>
        <v>493</v>
      </c>
      <c r="DL493" s="164">
        <f>IFERROR(INDEX(DE$486:DE$534,_xlfn.AGGREGATE(15,6,(ROW(DE$486:DE$534)-ROW(DE$486)+1)/(DE$486:DE$534&lt;&gt;""),ROWS(DL$1:DL8))),"")</f>
        <v>8</v>
      </c>
      <c r="DM493" s="165">
        <f>IFERROR(INDEX(DF$486:DF$534,_xlfn.AGGREGATE(15,6,(ROW(DF$486:DF$534)-ROW(DF$486)+1)/(DF$486:DF$534&lt;&gt;""),ROWS(DM$1:DM8))),"")</f>
        <v>316.99186930734049</v>
      </c>
      <c r="DN493" s="166">
        <f t="shared" si="262"/>
        <v>493</v>
      </c>
      <c r="DO493" s="164">
        <f>IFERROR(INDEX(DG$486:DG$534,_xlfn.AGGREGATE(15,6,(ROW(DG$486:DG$534)-ROW(DG$486)+1)/(DG$486:DG$534&lt;&gt;""),ROWS(DO$1:DO8))),"")</f>
        <v>8</v>
      </c>
      <c r="DP493" s="165">
        <f>IFERROR(INDEX(DH$486:DH$534,_xlfn.AGGREGATE(15,6,(ROW(DH$486:DH$534)-ROW(DH$486)+1)/(DH$486:DH$534&lt;&gt;""),ROWS(DP$1:DP8))),"")</f>
        <v>462.2540088849513</v>
      </c>
      <c r="DQ493" s="166">
        <f t="shared" si="263"/>
        <v>493</v>
      </c>
      <c r="DV493" s="145">
        <v>2022</v>
      </c>
      <c r="DW493" s="235">
        <f t="shared" ca="1" si="247"/>
        <v>317.16524103763936</v>
      </c>
      <c r="DZ493" s="135"/>
      <c r="EA493" s="33"/>
      <c r="EB493" s="33"/>
      <c r="EC493" s="33"/>
      <c r="ED493" s="33"/>
      <c r="EE493" s="33"/>
    </row>
    <row r="494" spans="1:135" ht="13.8" x14ac:dyDescent="0.45">
      <c r="A494" s="148" t="s">
        <v>90</v>
      </c>
      <c r="B494" s="128">
        <v>2020</v>
      </c>
      <c r="C494" s="244">
        <f>'Total MSW Summaries (Archive)'!J11</f>
        <v>440.35580098878222</v>
      </c>
      <c r="D494" s="159">
        <f>'Total MSW Summaries (Archive)'!BF11</f>
        <v>157.56756756756761</v>
      </c>
      <c r="E494" s="169"/>
      <c r="F494" s="170"/>
      <c r="G494" s="168"/>
      <c r="H494" s="169"/>
      <c r="I494" s="170"/>
      <c r="J494" s="168"/>
      <c r="K494" s="169"/>
      <c r="L494" s="170"/>
      <c r="M494" s="169"/>
      <c r="N494" s="29" t="s">
        <v>119</v>
      </c>
      <c r="O494" s="120"/>
      <c r="P494" s="120"/>
      <c r="Q494" s="120"/>
      <c r="R494" s="29">
        <v>6</v>
      </c>
      <c r="S494" s="195">
        <f t="shared" si="248"/>
        <v>157.56756756756761</v>
      </c>
      <c r="T494" s="195">
        <f t="shared" si="249"/>
        <v>440.35580098878222</v>
      </c>
      <c r="U494" s="195">
        <f t="shared" si="250"/>
        <v>141.39411671060734</v>
      </c>
      <c r="V494" s="20"/>
      <c r="W494" s="238">
        <f t="shared" si="251"/>
        <v>157.56756756756758</v>
      </c>
      <c r="X494" s="238">
        <f t="shared" si="252"/>
        <v>298.96168427817491</v>
      </c>
      <c r="Y494" s="238">
        <f t="shared" si="253"/>
        <v>440.35580098878222</v>
      </c>
      <c r="AA494" s="138"/>
      <c r="AB494" s="138"/>
      <c r="AC494" s="138"/>
      <c r="AD494" s="138"/>
      <c r="AE494" s="138"/>
      <c r="AF494" s="138"/>
      <c r="AG494" s="138"/>
      <c r="AH494" s="138"/>
      <c r="AI494" s="138"/>
      <c r="AJ494" s="138"/>
      <c r="AK494" s="138"/>
      <c r="AL494" s="138"/>
      <c r="AM494" s="138"/>
      <c r="AN494" s="138"/>
      <c r="BR494" s="180">
        <v>2018</v>
      </c>
      <c r="BS494" s="22">
        <v>4</v>
      </c>
      <c r="BT494" s="198">
        <f t="shared" si="264"/>
        <v>35.577679104217317</v>
      </c>
      <c r="BU494" s="276">
        <f t="shared" si="265"/>
        <v>246.58063731803296</v>
      </c>
      <c r="BV494" s="241">
        <f t="shared" si="266"/>
        <v>282.15831642225027</v>
      </c>
      <c r="BY494" s="180">
        <v>2018</v>
      </c>
      <c r="BZ494" s="22">
        <v>4</v>
      </c>
      <c r="CA494" s="198">
        <f t="shared" ca="1" si="267"/>
        <v>-0.25443487719963942</v>
      </c>
      <c r="CB494" s="198">
        <f t="shared" ca="1" si="268"/>
        <v>37.613158121814429</v>
      </c>
      <c r="CC494" s="276">
        <f t="shared" ca="1" si="279"/>
        <v>243.78185366883693</v>
      </c>
      <c r="CD494" s="241">
        <f t="shared" ca="1" si="269"/>
        <v>281.1405769134517</v>
      </c>
      <c r="CG494" s="180">
        <v>2018</v>
      </c>
      <c r="CH494" s="22">
        <v>4</v>
      </c>
      <c r="CI494" s="198">
        <f t="shared" ca="1" si="270"/>
        <v>-8.2725750980239016E-2</v>
      </c>
      <c r="CJ494" s="198">
        <f t="shared" ca="1" si="271"/>
        <v>0.73827413456323121</v>
      </c>
      <c r="CK494" s="198">
        <f t="shared" ca="1" si="272"/>
        <v>34.385819761697839</v>
      </c>
      <c r="CL494" s="276">
        <f t="shared" ca="1" si="273"/>
        <v>246.10231098383267</v>
      </c>
      <c r="CM494" s="241">
        <f t="shared" ca="1" si="274"/>
        <v>281.14367912911348</v>
      </c>
      <c r="CP494" s="180">
        <v>2018</v>
      </c>
      <c r="CQ494" s="22">
        <v>4</v>
      </c>
      <c r="CR494" s="198">
        <f t="shared" ca="1" si="275"/>
        <v>261.08445288452793</v>
      </c>
      <c r="CS494" s="276">
        <f t="shared" ca="1" si="276"/>
        <v>1.0987196091500953</v>
      </c>
      <c r="CT494" s="241">
        <f t="shared" ca="1" si="277"/>
        <v>286.85860802845497</v>
      </c>
      <c r="CZ494" s="164" t="b">
        <f t="shared" si="254"/>
        <v>1</v>
      </c>
      <c r="DA494" s="165" t="b">
        <f t="shared" si="254"/>
        <v>1</v>
      </c>
      <c r="DB494" s="166" t="b">
        <f t="shared" si="254"/>
        <v>1</v>
      </c>
      <c r="DC494" s="164">
        <f t="shared" si="255"/>
        <v>6</v>
      </c>
      <c r="DD494" s="166">
        <f t="shared" si="256"/>
        <v>157.56756756756758</v>
      </c>
      <c r="DE494" s="164">
        <f t="shared" si="257"/>
        <v>6</v>
      </c>
      <c r="DF494" s="166">
        <f t="shared" si="258"/>
        <v>298.96168427817491</v>
      </c>
      <c r="DG494" s="164">
        <f t="shared" si="259"/>
        <v>6</v>
      </c>
      <c r="DH494" s="166">
        <f t="shared" si="260"/>
        <v>440.35580098878222</v>
      </c>
      <c r="DI494" s="164">
        <f>IFERROR(INDEX(DC$486:DC$534,_xlfn.AGGREGATE(15,6,(ROW(DC$486:DC$534)-ROW(DC$486)+1)/(DC$486:DC$534&lt;&gt;""),ROWS(DI$1:DI9))),"")</f>
        <v>9</v>
      </c>
      <c r="DJ494" s="165">
        <f>IFERROR(INDEX(DD$486:DD$534,_xlfn.AGGREGATE(15,6,(ROW(DD$486:DD$534)-ROW(DD$486)+1)/(DD$486:DD$534&lt;&gt;""),ROWS(DJ$1:DJ9))),"")</f>
        <v>178.81081081081086</v>
      </c>
      <c r="DK494" s="166">
        <f t="shared" si="261"/>
        <v>494</v>
      </c>
      <c r="DL494" s="164">
        <f>IFERROR(INDEX(DE$486:DE$534,_xlfn.AGGREGATE(15,6,(ROW(DE$486:DE$534)-ROW(DE$486)+1)/(DE$486:DE$534&lt;&gt;""),ROWS(DL$1:DL9))),"")</f>
        <v>9</v>
      </c>
      <c r="DM494" s="165">
        <f>IFERROR(INDEX(DF$486:DF$534,_xlfn.AGGREGATE(15,6,(ROW(DF$486:DF$534)-ROW(DF$486)+1)/(DF$486:DF$534&lt;&gt;""),ROWS(DM$1:DM9))),"")</f>
        <v>326.11726984250345</v>
      </c>
      <c r="DN494" s="166">
        <f t="shared" si="262"/>
        <v>494</v>
      </c>
      <c r="DO494" s="164">
        <f>IFERROR(INDEX(DG$486:DG$534,_xlfn.AGGREGATE(15,6,(ROW(DG$486:DG$534)-ROW(DG$486)+1)/(DG$486:DG$534&lt;&gt;""),ROWS(DO$1:DO9))),"")</f>
        <v>9</v>
      </c>
      <c r="DP494" s="165">
        <f>IFERROR(INDEX(DH$486:DH$534,_xlfn.AGGREGATE(15,6,(ROW(DH$486:DH$534)-ROW(DH$486)+1)/(DH$486:DH$534&lt;&gt;""),ROWS(DP$1:DP9))),"")</f>
        <v>473.42372887419606</v>
      </c>
      <c r="DQ494" s="166">
        <f t="shared" si="263"/>
        <v>494</v>
      </c>
      <c r="DV494" s="145">
        <v>2023</v>
      </c>
      <c r="DW494" s="235">
        <f t="shared" ca="1" si="247"/>
        <v>326.26562024661985</v>
      </c>
      <c r="DZ494" s="135"/>
      <c r="EA494" s="33" t="s">
        <v>86</v>
      </c>
      <c r="EB494" s="33" t="s">
        <v>87</v>
      </c>
      <c r="EC494" s="33"/>
      <c r="ED494" s="33"/>
      <c r="EE494" s="33"/>
    </row>
    <row r="495" spans="1:135" ht="13.8" x14ac:dyDescent="0.45">
      <c r="A495" s="148" t="s">
        <v>80</v>
      </c>
      <c r="B495" s="128">
        <v>2021</v>
      </c>
      <c r="C495" s="244">
        <f>'Total MSW Summaries (Archive)'!J12</f>
        <v>451.14055310842861</v>
      </c>
      <c r="D495" s="159">
        <f>'Total MSW Summaries (Archive)'!BF12</f>
        <v>164.6486486486487</v>
      </c>
      <c r="E495" s="151"/>
      <c r="F495" s="152"/>
      <c r="G495" s="159"/>
      <c r="H495" s="151"/>
      <c r="I495" s="152"/>
      <c r="J495" s="159"/>
      <c r="K495" s="151"/>
      <c r="L495" s="152"/>
      <c r="M495" s="151"/>
      <c r="N495" s="29" t="s">
        <v>119</v>
      </c>
      <c r="O495" s="120"/>
      <c r="P495" s="120"/>
      <c r="Q495" s="120"/>
      <c r="R495" s="29">
        <v>7</v>
      </c>
      <c r="S495" s="196">
        <f t="shared" si="248"/>
        <v>164.6486486486487</v>
      </c>
      <c r="T495" s="196">
        <f t="shared" si="249"/>
        <v>451.14055310842861</v>
      </c>
      <c r="U495" s="196">
        <f t="shared" si="250"/>
        <v>143.24595222988995</v>
      </c>
      <c r="V495" s="20"/>
      <c r="W495" s="238">
        <f t="shared" si="251"/>
        <v>164.6486486486487</v>
      </c>
      <c r="X495" s="238">
        <f t="shared" si="252"/>
        <v>307.89460087853865</v>
      </c>
      <c r="Y495" s="238">
        <f t="shared" si="253"/>
        <v>451.14055310842861</v>
      </c>
      <c r="AA495" s="138"/>
      <c r="AB495" s="138"/>
      <c r="AC495" s="138"/>
      <c r="AD495" s="138"/>
      <c r="AE495" s="138"/>
      <c r="AF495" s="138"/>
      <c r="AG495" s="138"/>
      <c r="AH495" s="138"/>
      <c r="AI495" s="138"/>
      <c r="AJ495" s="138"/>
      <c r="AK495" s="138"/>
      <c r="AL495" s="138"/>
      <c r="AM495" s="138"/>
      <c r="AN495" s="138"/>
      <c r="BR495" s="180">
        <v>2019</v>
      </c>
      <c r="BS495" s="22">
        <v>5</v>
      </c>
      <c r="BT495" s="198">
        <f t="shared" si="264"/>
        <v>44.472098880271645</v>
      </c>
      <c r="BU495" s="276">
        <f t="shared" si="265"/>
        <v>246.58063731803296</v>
      </c>
      <c r="BV495" s="283">
        <f t="shared" si="266"/>
        <v>291.05273619830461</v>
      </c>
      <c r="BY495" s="180">
        <v>2019</v>
      </c>
      <c r="BZ495" s="22">
        <v>5</v>
      </c>
      <c r="CA495" s="198">
        <f t="shared" ca="1" si="267"/>
        <v>-0.39755449562443657</v>
      </c>
      <c r="CB495" s="198">
        <f t="shared" ca="1" si="268"/>
        <v>47.016447652268035</v>
      </c>
      <c r="CC495" s="276">
        <f t="shared" ca="1" si="279"/>
        <v>243.78185366883693</v>
      </c>
      <c r="CD495" s="283">
        <f t="shared" ca="1" si="269"/>
        <v>290.40074682548055</v>
      </c>
      <c r="CG495" s="180">
        <v>2019</v>
      </c>
      <c r="CH495" s="22">
        <v>5</v>
      </c>
      <c r="CI495" s="198">
        <f t="shared" ca="1" si="270"/>
        <v>-0.16157373238327932</v>
      </c>
      <c r="CJ495" s="198">
        <f t="shared" ca="1" si="271"/>
        <v>1.1535533352550487</v>
      </c>
      <c r="CK495" s="198">
        <f t="shared" ca="1" si="272"/>
        <v>42.982274702122297</v>
      </c>
      <c r="CL495" s="276">
        <f t="shared" ca="1" si="273"/>
        <v>246.10231098383267</v>
      </c>
      <c r="CM495" s="283">
        <f t="shared" ca="1" si="274"/>
        <v>290.07656528882671</v>
      </c>
      <c r="CP495" s="180">
        <v>2019</v>
      </c>
      <c r="CQ495" s="22">
        <v>5</v>
      </c>
      <c r="CR495" s="198">
        <f t="shared" ca="1" si="275"/>
        <v>261.08445288452793</v>
      </c>
      <c r="CS495" s="276">
        <f t="shared" ca="1" si="276"/>
        <v>1.1248862143011287</v>
      </c>
      <c r="CT495" s="283">
        <f t="shared" ca="1" si="277"/>
        <v>293.69030181815805</v>
      </c>
      <c r="CZ495" s="164" t="b">
        <f t="shared" si="254"/>
        <v>1</v>
      </c>
      <c r="DA495" s="165" t="b">
        <f t="shared" si="254"/>
        <v>1</v>
      </c>
      <c r="DB495" s="166" t="b">
        <f t="shared" si="254"/>
        <v>1</v>
      </c>
      <c r="DC495" s="164">
        <f t="shared" si="255"/>
        <v>7</v>
      </c>
      <c r="DD495" s="166">
        <f t="shared" si="256"/>
        <v>164.6486486486487</v>
      </c>
      <c r="DE495" s="164">
        <f t="shared" si="257"/>
        <v>7</v>
      </c>
      <c r="DF495" s="166">
        <f t="shared" si="258"/>
        <v>307.89460087853865</v>
      </c>
      <c r="DG495" s="164">
        <f t="shared" si="259"/>
        <v>7</v>
      </c>
      <c r="DH495" s="166">
        <f t="shared" si="260"/>
        <v>451.14055310842861</v>
      </c>
      <c r="DI495" s="164">
        <f>IFERROR(INDEX(DC$486:DC$534,_xlfn.AGGREGATE(15,6,(ROW(DC$486:DC$534)-ROW(DC$486)+1)/(DC$486:DC$534&lt;&gt;""),ROWS(DI$1:DI10))),"")</f>
        <v>10</v>
      </c>
      <c r="DJ495" s="165">
        <f>IFERROR(INDEX(DD$486:DD$534,_xlfn.AGGREGATE(15,6,(ROW(DD$486:DD$534)-ROW(DD$486)+1)/(DD$486:DD$534&lt;&gt;""),ROWS(DJ$1:DJ10))),"")</f>
        <v>185.89189189189196</v>
      </c>
      <c r="DK495" s="166">
        <f t="shared" si="261"/>
        <v>495</v>
      </c>
      <c r="DL495" s="164">
        <f>IFERROR(INDEX(DE$486:DE$534,_xlfn.AGGREGATE(15,6,(ROW(DE$486:DE$534)-ROW(DE$486)+1)/(DE$486:DE$534&lt;&gt;""),ROWS(DL$1:DL10))),"")</f>
        <v>10</v>
      </c>
      <c r="DM495" s="165">
        <f>IFERROR(INDEX(DF$486:DF$534,_xlfn.AGGREGATE(15,6,(ROW(DF$486:DF$534)-ROW(DF$486)+1)/(DF$486:DF$534&lt;&gt;""),ROWS(DM$1:DM10))),"")</f>
        <v>335.26796889342387</v>
      </c>
      <c r="DN495" s="166">
        <f t="shared" si="262"/>
        <v>495</v>
      </c>
      <c r="DO495" s="164">
        <f>IFERROR(INDEX(DG$486:DG$534,_xlfn.AGGREGATE(15,6,(ROW(DG$486:DG$534)-ROW(DG$486)+1)/(DG$486:DG$534&lt;&gt;""),ROWS(DO$1:DO10))),"")</f>
        <v>10</v>
      </c>
      <c r="DP495" s="165">
        <f>IFERROR(INDEX(DH$486:DH$534,_xlfn.AGGREGATE(15,6,(ROW(DH$486:DH$534)-ROW(DH$486)+1)/(DH$486:DH$534&lt;&gt;""),ROWS(DP$1:DP10))),"")</f>
        <v>484.64404589495575</v>
      </c>
      <c r="DQ495" s="166">
        <f t="shared" si="263"/>
        <v>495</v>
      </c>
      <c r="DV495" s="145">
        <v>2024</v>
      </c>
      <c r="DW495" s="235">
        <f t="shared" ca="1" si="247"/>
        <v>335.38848387003122</v>
      </c>
      <c r="DZ495" s="135" t="s">
        <v>92</v>
      </c>
      <c r="EA495" s="33">
        <f t="shared" ref="EA495:EB497" si="280">IF($EA$484="Linear",0,IF($EA$484="2nd Poly",0,IF($EA$484="3rd Poly",0,IF($EA$484="Exp",CR487))))</f>
        <v>0</v>
      </c>
      <c r="EB495" s="33">
        <f t="shared" si="280"/>
        <v>0</v>
      </c>
      <c r="EC495" s="33" t="str">
        <f>IF($EA$484="Linear","N/A",IF($EA$484="2nd Poly","N/A",IF($EA$484="3rd Poly","N/A","High")))</f>
        <v>N/A</v>
      </c>
      <c r="ED495" s="33"/>
      <c r="EE495" s="33"/>
    </row>
    <row r="496" spans="1:135" ht="13.8" x14ac:dyDescent="0.45">
      <c r="A496" s="148" t="s">
        <v>88</v>
      </c>
      <c r="B496" s="128">
        <v>2022</v>
      </c>
      <c r="C496" s="244">
        <f>'Total MSW Summaries (Archive)'!J13</f>
        <v>462.25400888495125</v>
      </c>
      <c r="D496" s="159">
        <f>'Total MSW Summaries (Archive)'!BF13</f>
        <v>171.7297297297298</v>
      </c>
      <c r="E496" s="200"/>
      <c r="F496" s="201"/>
      <c r="G496" s="199"/>
      <c r="H496" s="200"/>
      <c r="I496" s="201"/>
      <c r="J496" s="199"/>
      <c r="K496" s="200"/>
      <c r="L496" s="201"/>
      <c r="M496" s="200"/>
      <c r="N496" s="29" t="s">
        <v>119</v>
      </c>
      <c r="O496" s="120"/>
      <c r="P496" s="120"/>
      <c r="Q496" s="120"/>
      <c r="R496" s="29">
        <v>8</v>
      </c>
      <c r="S496" s="202">
        <f t="shared" si="248"/>
        <v>171.7297297297298</v>
      </c>
      <c r="T496" s="202">
        <f t="shared" si="249"/>
        <v>462.25400888495125</v>
      </c>
      <c r="U496" s="202">
        <f t="shared" si="250"/>
        <v>145.26213957761081</v>
      </c>
      <c r="V496" s="20"/>
      <c r="W496" s="238">
        <f t="shared" si="251"/>
        <v>171.72972972972968</v>
      </c>
      <c r="X496" s="238">
        <f t="shared" si="252"/>
        <v>316.99186930734049</v>
      </c>
      <c r="Y496" s="238">
        <f t="shared" si="253"/>
        <v>462.2540088849513</v>
      </c>
      <c r="AA496" s="120"/>
      <c r="AB496" s="120"/>
      <c r="AC496" s="120"/>
      <c r="AD496" s="120"/>
      <c r="AE496" s="120"/>
      <c r="AF496" s="120"/>
      <c r="AG496" s="120"/>
      <c r="AH496" s="120"/>
      <c r="AI496" s="120"/>
      <c r="AJ496" s="120"/>
      <c r="AK496" s="120"/>
      <c r="AL496" s="120"/>
      <c r="AM496" s="120"/>
      <c r="AN496" s="120"/>
      <c r="BR496" s="180">
        <v>2020</v>
      </c>
      <c r="BS496" s="22">
        <v>6</v>
      </c>
      <c r="BT496" s="198">
        <f t="shared" si="264"/>
        <v>53.366518656325979</v>
      </c>
      <c r="BU496" s="276">
        <f t="shared" si="265"/>
        <v>246.58063731803296</v>
      </c>
      <c r="BV496" s="203">
        <f t="shared" si="266"/>
        <v>299.94715597435891</v>
      </c>
      <c r="BY496" s="180">
        <v>2020</v>
      </c>
      <c r="BZ496" s="22">
        <v>6</v>
      </c>
      <c r="CA496" s="198">
        <f t="shared" ca="1" si="267"/>
        <v>-0.57247847369918869</v>
      </c>
      <c r="CB496" s="198">
        <f t="shared" ca="1" si="268"/>
        <v>56.419737182721647</v>
      </c>
      <c r="CC496" s="276">
        <f t="shared" ca="1" si="279"/>
        <v>243.78185366883693</v>
      </c>
      <c r="CD496" s="203">
        <f t="shared" ca="1" si="269"/>
        <v>299.62911237785937</v>
      </c>
      <c r="CG496" s="180">
        <v>2020</v>
      </c>
      <c r="CH496" s="22">
        <v>6</v>
      </c>
      <c r="CI496" s="198">
        <f t="shared" ca="1" si="270"/>
        <v>-0.27919940955830669</v>
      </c>
      <c r="CJ496" s="198">
        <f t="shared" ca="1" si="271"/>
        <v>1.6611168027672703</v>
      </c>
      <c r="CK496" s="198">
        <f t="shared" ca="1" si="272"/>
        <v>51.578729642546762</v>
      </c>
      <c r="CL496" s="276">
        <f t="shared" ca="1" si="273"/>
        <v>246.10231098383267</v>
      </c>
      <c r="CM496" s="203">
        <f t="shared" ca="1" si="274"/>
        <v>299.06295801958839</v>
      </c>
      <c r="CP496" s="180">
        <v>2020</v>
      </c>
      <c r="CQ496" s="22">
        <v>6</v>
      </c>
      <c r="CR496" s="198">
        <f t="shared" ca="1" si="275"/>
        <v>261.08445288452793</v>
      </c>
      <c r="CS496" s="276">
        <f t="shared" ca="1" si="276"/>
        <v>1.1516759913874111</v>
      </c>
      <c r="CT496" s="203">
        <f t="shared" ca="1" si="277"/>
        <v>300.68469611162851</v>
      </c>
      <c r="CZ496" s="164" t="b">
        <f t="shared" si="254"/>
        <v>1</v>
      </c>
      <c r="DA496" s="165" t="b">
        <f t="shared" si="254"/>
        <v>1</v>
      </c>
      <c r="DB496" s="166" t="b">
        <f t="shared" si="254"/>
        <v>1</v>
      </c>
      <c r="DC496" s="164">
        <f t="shared" si="255"/>
        <v>8</v>
      </c>
      <c r="DD496" s="166">
        <f t="shared" si="256"/>
        <v>171.72972972972968</v>
      </c>
      <c r="DE496" s="164">
        <f t="shared" si="257"/>
        <v>8</v>
      </c>
      <c r="DF496" s="166">
        <f t="shared" si="258"/>
        <v>316.99186930734049</v>
      </c>
      <c r="DG496" s="164">
        <f t="shared" si="259"/>
        <v>8</v>
      </c>
      <c r="DH496" s="166">
        <f t="shared" si="260"/>
        <v>462.2540088849513</v>
      </c>
      <c r="DI496" s="164">
        <f>IFERROR(INDEX(DC$486:DC$534,_xlfn.AGGREGATE(15,6,(ROW(DC$486:DC$534)-ROW(DC$486)+1)/(DC$486:DC$534&lt;&gt;""),ROWS(DI$1:DI11))),"")</f>
        <v>11</v>
      </c>
      <c r="DJ496" s="165">
        <f>IFERROR(INDEX(DD$486:DD$534,_xlfn.AGGREGATE(15,6,(ROW(DD$486:DD$534)-ROW(DD$486)+1)/(DD$486:DD$534&lt;&gt;""),ROWS(DJ$1:DJ11))),"")</f>
        <v>192.97297297297317</v>
      </c>
      <c r="DK496" s="166">
        <f t="shared" si="261"/>
        <v>496</v>
      </c>
      <c r="DL496" s="164">
        <f>IFERROR(INDEX(DE$486:DE$534,_xlfn.AGGREGATE(15,6,(ROW(DE$486:DE$534)-ROW(DE$486)+1)/(DE$486:DE$534&lt;&gt;""),ROWS(DL$1:DL11))),"")</f>
        <v>11</v>
      </c>
      <c r="DM496" s="165">
        <f>IFERROR(INDEX(DF$486:DF$534,_xlfn.AGGREGATE(15,6,(ROW(DF$486:DF$534)-ROW(DF$486)+1)/(DF$486:DF$534&lt;&gt;""),ROWS(DM$1:DM11))),"")</f>
        <v>344.44079682313554</v>
      </c>
      <c r="DN496" s="166">
        <f t="shared" si="262"/>
        <v>496</v>
      </c>
      <c r="DO496" s="164">
        <f>IFERROR(INDEX(DG$486:DG$534,_xlfn.AGGREGATE(15,6,(ROW(DG$486:DG$534)-ROW(DG$486)+1)/(DG$486:DG$534&lt;&gt;""),ROWS(DO$1:DO11))),"")</f>
        <v>11</v>
      </c>
      <c r="DP496" s="165">
        <f>IFERROR(INDEX(DH$486:DH$534,_xlfn.AGGREGATE(15,6,(ROW(DH$486:DH$534)-ROW(DH$486)+1)/(DH$486:DH$534&lt;&gt;""),ROWS(DP$1:DP11))),"")</f>
        <v>495.90862067329795</v>
      </c>
      <c r="DQ496" s="166">
        <f t="shared" si="263"/>
        <v>496</v>
      </c>
      <c r="DR496" s="65"/>
      <c r="DV496" s="145">
        <v>2025</v>
      </c>
      <c r="DW496" s="235">
        <f t="shared" ca="1" si="247"/>
        <v>344.52607636871903</v>
      </c>
      <c r="DZ496" s="135" t="s">
        <v>92</v>
      </c>
      <c r="EA496" s="33">
        <f t="shared" si="280"/>
        <v>0</v>
      </c>
      <c r="EB496" s="33">
        <f t="shared" si="280"/>
        <v>0</v>
      </c>
      <c r="EC496" s="33" t="str">
        <f>IF($EA$484="Linear","N/A",IF($EA$484="2nd Poly","N/A",IF($EA$484="3rd Poly","N/A","Medium")))</f>
        <v>N/A</v>
      </c>
    </row>
    <row r="497" spans="1:135" ht="13.8" x14ac:dyDescent="0.45">
      <c r="B497" s="128">
        <v>2023</v>
      </c>
      <c r="C497" s="244">
        <f>'Total MSW Summaries (Archive)'!J14</f>
        <v>473.423728874196</v>
      </c>
      <c r="D497" s="159">
        <f>'Total MSW Summaries (Archive)'!BF14</f>
        <v>178.81081081081089</v>
      </c>
      <c r="E497" s="245"/>
      <c r="F497" s="201"/>
      <c r="G497" s="199"/>
      <c r="H497" s="200"/>
      <c r="I497" s="201"/>
      <c r="J497" s="199"/>
      <c r="K497" s="200"/>
      <c r="L497" s="201"/>
      <c r="M497" s="200"/>
      <c r="N497" s="29" t="s">
        <v>119</v>
      </c>
      <c r="O497" s="120"/>
      <c r="P497" s="120"/>
      <c r="Q497" s="120"/>
      <c r="R497" s="29">
        <v>9</v>
      </c>
      <c r="S497" s="202">
        <f t="shared" si="248"/>
        <v>178.81081081081089</v>
      </c>
      <c r="T497" s="202">
        <f t="shared" si="249"/>
        <v>473.423728874196</v>
      </c>
      <c r="U497" s="202">
        <f t="shared" si="250"/>
        <v>147.30645903169258</v>
      </c>
      <c r="V497" s="20"/>
      <c r="W497" s="288">
        <f t="shared" si="251"/>
        <v>178.81081081081086</v>
      </c>
      <c r="X497" s="288">
        <f t="shared" si="252"/>
        <v>326.11726984250345</v>
      </c>
      <c r="Y497" s="288">
        <f t="shared" si="253"/>
        <v>473.42372887419606</v>
      </c>
      <c r="AA497" s="120"/>
      <c r="AB497" s="120"/>
      <c r="AC497" s="120"/>
      <c r="AD497" s="120"/>
      <c r="AE497" s="120"/>
      <c r="AF497" s="120"/>
      <c r="AG497" s="120"/>
      <c r="AH497" s="120"/>
      <c r="AI497" s="120"/>
      <c r="AJ497" s="120"/>
      <c r="AK497" s="120"/>
      <c r="AL497" s="120"/>
      <c r="AM497" s="120"/>
      <c r="AN497" s="120"/>
      <c r="BR497" s="180">
        <v>2021</v>
      </c>
      <c r="BS497" s="22">
        <v>7</v>
      </c>
      <c r="BT497" s="289">
        <f t="shared" si="264"/>
        <v>62.260938432380307</v>
      </c>
      <c r="BU497" s="290">
        <f t="shared" si="265"/>
        <v>246.58063731803296</v>
      </c>
      <c r="BV497" s="205">
        <f t="shared" si="266"/>
        <v>308.84157575041326</v>
      </c>
      <c r="BY497" s="180">
        <v>2021</v>
      </c>
      <c r="BZ497" s="22">
        <v>7</v>
      </c>
      <c r="CA497" s="289">
        <f t="shared" ca="1" si="267"/>
        <v>-0.7792068114238957</v>
      </c>
      <c r="CB497" s="289">
        <f t="shared" ca="1" si="268"/>
        <v>65.823026713175253</v>
      </c>
      <c r="CC497" s="290">
        <f t="shared" ca="1" si="279"/>
        <v>243.78185366883693</v>
      </c>
      <c r="CD497" s="205">
        <f t="shared" ca="1" si="269"/>
        <v>308.82567357058826</v>
      </c>
      <c r="CG497" s="180">
        <v>2021</v>
      </c>
      <c r="CH497" s="22">
        <v>7</v>
      </c>
      <c r="CI497" s="289">
        <f t="shared" ca="1" si="270"/>
        <v>-0.4433583216597185</v>
      </c>
      <c r="CJ497" s="289">
        <f t="shared" ca="1" si="271"/>
        <v>2.2609645370998956</v>
      </c>
      <c r="CK497" s="289">
        <f t="shared" ca="1" si="272"/>
        <v>60.17518458297122</v>
      </c>
      <c r="CL497" s="290">
        <f t="shared" ca="1" si="273"/>
        <v>246.10231098383267</v>
      </c>
      <c r="CM497" s="205">
        <f t="shared" ca="1" si="274"/>
        <v>308.09510178224406</v>
      </c>
      <c r="CP497" s="180">
        <v>2021</v>
      </c>
      <c r="CQ497" s="22">
        <v>7</v>
      </c>
      <c r="CR497" s="289">
        <f t="shared" ca="1" si="275"/>
        <v>261.08445288452793</v>
      </c>
      <c r="CS497" s="290">
        <f t="shared" ca="1" si="276"/>
        <v>1.1791037815875607</v>
      </c>
      <c r="CT497" s="205">
        <f t="shared" ca="1" si="277"/>
        <v>307.84566570986618</v>
      </c>
      <c r="CZ497" s="164" t="b">
        <f t="shared" si="254"/>
        <v>1</v>
      </c>
      <c r="DA497" s="165" t="b">
        <f t="shared" si="254"/>
        <v>1</v>
      </c>
      <c r="DB497" s="166" t="b">
        <f t="shared" si="254"/>
        <v>1</v>
      </c>
      <c r="DC497" s="164">
        <f t="shared" si="255"/>
        <v>9</v>
      </c>
      <c r="DD497" s="166">
        <f t="shared" si="256"/>
        <v>178.81081081081086</v>
      </c>
      <c r="DE497" s="164">
        <f t="shared" si="257"/>
        <v>9</v>
      </c>
      <c r="DF497" s="166">
        <f t="shared" si="258"/>
        <v>326.11726984250345</v>
      </c>
      <c r="DG497" s="164">
        <f t="shared" si="259"/>
        <v>9</v>
      </c>
      <c r="DH497" s="166">
        <f t="shared" si="260"/>
        <v>473.42372887419606</v>
      </c>
      <c r="DI497" s="164">
        <f>IFERROR(INDEX(DC$486:DC$534,_xlfn.AGGREGATE(15,6,(ROW(DC$486:DC$534)-ROW(DC$486)+1)/(DC$486:DC$534&lt;&gt;""),ROWS(DI$1:DI12))),"")</f>
        <v>12</v>
      </c>
      <c r="DJ497" s="165">
        <f>IFERROR(INDEX(DD$486:DD$534,_xlfn.AGGREGATE(15,6,(ROW(DD$486:DD$534)-ROW(DD$486)+1)/(DD$486:DD$534&lt;&gt;""),ROWS(DJ$1:DJ12))),"")</f>
        <v>200.05405405405415</v>
      </c>
      <c r="DK497" s="166">
        <f t="shared" si="261"/>
        <v>497</v>
      </c>
      <c r="DL497" s="164">
        <f>IFERROR(INDEX(DE$486:DE$534,_xlfn.AGGREGATE(15,6,(ROW(DE$486:DE$534)-ROW(DE$486)+1)/(DE$486:DE$534&lt;&gt;""),ROWS(DL$1:DL12))),"")</f>
        <v>12</v>
      </c>
      <c r="DM497" s="165">
        <f>IFERROR(INDEX(DF$486:DF$534,_xlfn.AGGREGATE(15,6,(ROW(DF$486:DF$534)-ROW(DF$486)+1)/(DF$486:DF$534&lt;&gt;""),ROWS(DM$1:DM12))),"")</f>
        <v>353.6319306337931</v>
      </c>
      <c r="DN497" s="166">
        <f t="shared" si="262"/>
        <v>497</v>
      </c>
      <c r="DO497" s="164">
        <f>IFERROR(INDEX(DG$486:DG$534,_xlfn.AGGREGATE(15,6,(ROW(DG$486:DG$534)-ROW(DG$486)+1)/(DG$486:DG$534&lt;&gt;""),ROWS(DO$1:DO12))),"")</f>
        <v>12</v>
      </c>
      <c r="DP497" s="165">
        <f>IFERROR(INDEX(DH$486:DH$534,_xlfn.AGGREGATE(15,6,(ROW(DH$486:DH$534)-ROW(DH$486)+1)/(DH$486:DH$534&lt;&gt;""),ROWS(DP$1:DP12))),"")</f>
        <v>507.20980721353203</v>
      </c>
      <c r="DQ497" s="166">
        <f t="shared" si="263"/>
        <v>497</v>
      </c>
      <c r="DR497" s="65"/>
      <c r="DV497" s="145">
        <v>2026</v>
      </c>
      <c r="DW497" s="235">
        <f t="shared" ca="1" si="247"/>
        <v>353.67064220352881</v>
      </c>
      <c r="DZ497" s="135" t="s">
        <v>92</v>
      </c>
      <c r="EA497" s="33">
        <f t="shared" si="280"/>
        <v>0</v>
      </c>
      <c r="EB497" s="33">
        <f t="shared" si="280"/>
        <v>0</v>
      </c>
      <c r="EC497" s="33" t="str">
        <f>IF($EA$484="Linear","N/A",IF($EA$484="2nd Poly","N/A",IF($EA$484="3rd Poly","N/A","Low")))</f>
        <v>N/A</v>
      </c>
    </row>
    <row r="498" spans="1:135" ht="13.8" x14ac:dyDescent="0.45">
      <c r="B498" s="128">
        <v>2024</v>
      </c>
      <c r="C498" s="244">
        <f>'Total MSW Summaries (Archive)'!J15</f>
        <v>484.64404589495575</v>
      </c>
      <c r="D498" s="159">
        <f>'Total MSW Summaries (Archive)'!BF15</f>
        <v>185.89189189189199</v>
      </c>
      <c r="E498" s="292"/>
      <c r="F498" s="293"/>
      <c r="G498" s="294"/>
      <c r="H498" s="292"/>
      <c r="I498" s="293"/>
      <c r="J498" s="294"/>
      <c r="K498" s="292"/>
      <c r="L498" s="293"/>
      <c r="M498" s="292"/>
      <c r="N498" s="29" t="s">
        <v>119</v>
      </c>
      <c r="O498" s="120"/>
      <c r="P498" s="120"/>
      <c r="Q498" s="120"/>
      <c r="R498" s="29">
        <v>10</v>
      </c>
      <c r="S498" s="288">
        <f t="shared" si="248"/>
        <v>185.89189189189199</v>
      </c>
      <c r="T498" s="288">
        <f t="shared" si="249"/>
        <v>484.64404589495575</v>
      </c>
      <c r="U498" s="288">
        <f t="shared" si="250"/>
        <v>149.37607700153191</v>
      </c>
      <c r="V498" s="20"/>
      <c r="W498" s="288">
        <f t="shared" si="251"/>
        <v>185.89189189189196</v>
      </c>
      <c r="X498" s="288">
        <f t="shared" si="252"/>
        <v>335.26796889342387</v>
      </c>
      <c r="Y498" s="288">
        <f t="shared" si="253"/>
        <v>484.64404589495575</v>
      </c>
      <c r="AA498" s="120"/>
      <c r="AB498" s="120"/>
      <c r="AC498" s="120"/>
      <c r="AD498" s="120"/>
      <c r="AE498" s="120"/>
      <c r="AF498" s="120"/>
      <c r="AG498" s="120"/>
      <c r="AH498" s="120"/>
      <c r="AI498" s="120"/>
      <c r="AJ498" s="120"/>
      <c r="AK498" s="120"/>
      <c r="AL498" s="120"/>
      <c r="AM498" s="120"/>
      <c r="AN498" s="120"/>
      <c r="BR498" s="180">
        <v>2022</v>
      </c>
      <c r="BS498" s="22">
        <v>8</v>
      </c>
      <c r="BT498" s="289">
        <f t="shared" si="264"/>
        <v>71.155358208434635</v>
      </c>
      <c r="BU498" s="290">
        <f t="shared" si="265"/>
        <v>246.58063731803296</v>
      </c>
      <c r="BV498" s="205">
        <f t="shared" si="266"/>
        <v>317.7359955264676</v>
      </c>
      <c r="BY498" s="180">
        <v>2022</v>
      </c>
      <c r="BZ498" s="22">
        <v>8</v>
      </c>
      <c r="CA498" s="289">
        <f t="shared" ca="1" si="267"/>
        <v>-1.0177395087985577</v>
      </c>
      <c r="CB498" s="289">
        <f t="shared" ca="1" si="268"/>
        <v>75.226316243628858</v>
      </c>
      <c r="CC498" s="290">
        <f t="shared" ca="1" si="279"/>
        <v>243.78185366883693</v>
      </c>
      <c r="CD498" s="205">
        <f t="shared" ca="1" si="269"/>
        <v>317.99043040366723</v>
      </c>
      <c r="CG498" s="180">
        <v>2022</v>
      </c>
      <c r="CH498" s="22">
        <v>8</v>
      </c>
      <c r="CI498" s="289">
        <f t="shared" ca="1" si="270"/>
        <v>-0.66180600784191213</v>
      </c>
      <c r="CJ498" s="289">
        <f t="shared" ca="1" si="271"/>
        <v>2.9530965382529248</v>
      </c>
      <c r="CK498" s="289">
        <f t="shared" ca="1" si="272"/>
        <v>68.771639523395677</v>
      </c>
      <c r="CL498" s="290">
        <f t="shared" ca="1" si="273"/>
        <v>246.10231098383267</v>
      </c>
      <c r="CM498" s="205">
        <f t="shared" ca="1" si="274"/>
        <v>317.16524103763936</v>
      </c>
      <c r="CP498" s="180">
        <v>2022</v>
      </c>
      <c r="CQ498" s="22">
        <v>8</v>
      </c>
      <c r="CR498" s="289">
        <f t="shared" ca="1" si="275"/>
        <v>261.08445288452793</v>
      </c>
      <c r="CS498" s="290">
        <f t="shared" ca="1" si="276"/>
        <v>1.2071847795309378</v>
      </c>
      <c r="CT498" s="205">
        <f t="shared" ca="1" si="277"/>
        <v>315.17717769436439</v>
      </c>
      <c r="CZ498" s="164" t="b">
        <f t="shared" si="254"/>
        <v>1</v>
      </c>
      <c r="DA498" s="165" t="b">
        <f t="shared" si="254"/>
        <v>1</v>
      </c>
      <c r="DB498" s="166" t="b">
        <f t="shared" si="254"/>
        <v>1</v>
      </c>
      <c r="DC498" s="164">
        <f t="shared" si="255"/>
        <v>10</v>
      </c>
      <c r="DD498" s="166">
        <f t="shared" si="256"/>
        <v>185.89189189189196</v>
      </c>
      <c r="DE498" s="164">
        <f t="shared" si="257"/>
        <v>10</v>
      </c>
      <c r="DF498" s="166">
        <f t="shared" si="258"/>
        <v>335.26796889342387</v>
      </c>
      <c r="DG498" s="164">
        <f t="shared" si="259"/>
        <v>10</v>
      </c>
      <c r="DH498" s="166">
        <f t="shared" si="260"/>
        <v>484.64404589495575</v>
      </c>
      <c r="DI498" s="164">
        <f>IFERROR(INDEX(DC$486:DC$534,_xlfn.AGGREGATE(15,6,(ROW(DC$486:DC$534)-ROW(DC$486)+1)/(DC$486:DC$534&lt;&gt;""),ROWS(DI$1:DI13))),"")</f>
        <v>13</v>
      </c>
      <c r="DJ498" s="165">
        <f>IFERROR(INDEX(DD$486:DD$534,_xlfn.AGGREGATE(15,6,(ROW(DD$486:DD$534)-ROW(DD$486)+1)/(DD$486:DD$534&lt;&gt;""),ROWS(DJ$1:DJ13))),"")</f>
        <v>207.1351351351353</v>
      </c>
      <c r="DK498" s="166">
        <f t="shared" si="261"/>
        <v>498</v>
      </c>
      <c r="DL498" s="164">
        <f>IFERROR(INDEX(DE$486:DE$534,_xlfn.AGGREGATE(15,6,(ROW(DE$486:DE$534)-ROW(DE$486)+1)/(DE$486:DE$534&lt;&gt;""),ROWS(DL$1:DL13))),"")</f>
        <v>13</v>
      </c>
      <c r="DM498" s="165">
        <f>IFERROR(INDEX(DF$486:DF$534,_xlfn.AGGREGATE(15,6,(ROW(DF$486:DF$534)-ROW(DF$486)+1)/(DF$486:DF$534&lt;&gt;""),ROWS(DM$1:DM13))),"")</f>
        <v>362.83688854822651</v>
      </c>
      <c r="DN498" s="166">
        <f t="shared" si="262"/>
        <v>498</v>
      </c>
      <c r="DO498" s="164">
        <f>IFERROR(INDEX(DG$486:DG$534,_xlfn.AGGREGATE(15,6,(ROW(DG$486:DG$534)-ROW(DG$486)+1)/(DG$486:DG$534&lt;&gt;""),ROWS(DO$1:DO13))),"")</f>
        <v>13</v>
      </c>
      <c r="DP498" s="165">
        <f>IFERROR(INDEX(DH$486:DH$534,_xlfn.AGGREGATE(15,6,(ROW(DH$486:DH$534)-ROW(DH$486)+1)/(DH$486:DH$534&lt;&gt;""),ROWS(DP$1:DP13))),"")</f>
        <v>518.53864196131769</v>
      </c>
      <c r="DQ498" s="166">
        <f t="shared" si="263"/>
        <v>498</v>
      </c>
      <c r="DR498" s="65"/>
      <c r="DV498" s="145">
        <v>2027</v>
      </c>
      <c r="DW498" s="235">
        <f t="shared" ca="1" si="247"/>
        <v>362.81442583530622</v>
      </c>
    </row>
    <row r="499" spans="1:135" ht="13.8" x14ac:dyDescent="0.45">
      <c r="B499" s="128">
        <v>2025</v>
      </c>
      <c r="C499" s="244">
        <f>'Total MSW Summaries (Archive)'!J16</f>
        <v>495.90862067329795</v>
      </c>
      <c r="D499" s="159">
        <f>'Total MSW Summaries (Archive)'!BF16</f>
        <v>192.97297297297308</v>
      </c>
      <c r="E499" s="292"/>
      <c r="F499" s="293"/>
      <c r="G499" s="294"/>
      <c r="H499" s="292"/>
      <c r="I499" s="293"/>
      <c r="J499" s="294"/>
      <c r="K499" s="292"/>
      <c r="L499" s="293"/>
      <c r="M499" s="292"/>
      <c r="N499" s="29" t="s">
        <v>119</v>
      </c>
      <c r="O499" s="120"/>
      <c r="P499" s="120"/>
      <c r="Q499" s="120"/>
      <c r="R499" s="29">
        <v>11</v>
      </c>
      <c r="S499" s="288">
        <f t="shared" si="248"/>
        <v>192.97297297297308</v>
      </c>
      <c r="T499" s="288">
        <f t="shared" si="249"/>
        <v>495.90862067329795</v>
      </c>
      <c r="U499" s="288">
        <f t="shared" si="250"/>
        <v>151.46782385016238</v>
      </c>
      <c r="W499" s="288">
        <f t="shared" si="251"/>
        <v>192.97297297297317</v>
      </c>
      <c r="X499" s="288">
        <f t="shared" si="252"/>
        <v>344.44079682313554</v>
      </c>
      <c r="Y499" s="288">
        <f t="shared" si="253"/>
        <v>495.90862067329795</v>
      </c>
      <c r="AA499" s="120"/>
      <c r="AB499" s="120"/>
      <c r="AC499" s="120"/>
      <c r="AD499" s="120"/>
      <c r="AE499" s="120"/>
      <c r="AF499" s="120"/>
      <c r="AG499" s="120"/>
      <c r="AH499" s="120"/>
      <c r="AI499" s="120"/>
      <c r="AJ499" s="120"/>
      <c r="AK499" s="120"/>
      <c r="AL499" s="120"/>
      <c r="AM499" s="120"/>
      <c r="AN499" s="120"/>
      <c r="BR499" s="180">
        <v>2023</v>
      </c>
      <c r="BS499" s="22">
        <v>9</v>
      </c>
      <c r="BT499" s="289">
        <f t="shared" si="264"/>
        <v>80.049777984488969</v>
      </c>
      <c r="BU499" s="290">
        <f t="shared" si="265"/>
        <v>246.58063731803296</v>
      </c>
      <c r="BV499" s="205">
        <f t="shared" si="266"/>
        <v>326.6304153025219</v>
      </c>
      <c r="BY499" s="180">
        <v>2023</v>
      </c>
      <c r="BZ499" s="22">
        <v>9</v>
      </c>
      <c r="CA499" s="289">
        <f t="shared" ca="1" si="267"/>
        <v>-1.2880765658231745</v>
      </c>
      <c r="CB499" s="289">
        <f t="shared" ca="1" si="268"/>
        <v>84.629605774082464</v>
      </c>
      <c r="CC499" s="290">
        <f t="shared" ca="1" si="279"/>
        <v>243.78185366883693</v>
      </c>
      <c r="CD499" s="205">
        <f t="shared" ca="1" si="269"/>
        <v>327.12338287709622</v>
      </c>
      <c r="CG499" s="180">
        <v>2023</v>
      </c>
      <c r="CH499" s="22">
        <v>9</v>
      </c>
      <c r="CI499" s="289">
        <f t="shared" ca="1" si="270"/>
        <v>-0.94229800725928503</v>
      </c>
      <c r="CJ499" s="289">
        <f t="shared" ca="1" si="271"/>
        <v>3.7375128062263578</v>
      </c>
      <c r="CK499" s="289">
        <f t="shared" ca="1" si="272"/>
        <v>77.368094463820142</v>
      </c>
      <c r="CL499" s="290">
        <f t="shared" ca="1" si="273"/>
        <v>246.10231098383267</v>
      </c>
      <c r="CM499" s="205">
        <f t="shared" ca="1" si="274"/>
        <v>326.26562024661985</v>
      </c>
      <c r="CP499" s="180">
        <v>2023</v>
      </c>
      <c r="CQ499" s="22">
        <v>9</v>
      </c>
      <c r="CR499" s="289">
        <f t="shared" ca="1" si="275"/>
        <v>261.08445288452793</v>
      </c>
      <c r="CS499" s="290">
        <f t="shared" ca="1" si="276"/>
        <v>1.2359345417152663</v>
      </c>
      <c r="CT499" s="205">
        <f t="shared" ca="1" si="277"/>
        <v>322.68329362482007</v>
      </c>
      <c r="CZ499" s="164" t="b">
        <f t="shared" si="254"/>
        <v>1</v>
      </c>
      <c r="DA499" s="165" t="b">
        <f t="shared" si="254"/>
        <v>1</v>
      </c>
      <c r="DB499" s="166" t="b">
        <f t="shared" si="254"/>
        <v>1</v>
      </c>
      <c r="DC499" s="164">
        <f t="shared" si="255"/>
        <v>11</v>
      </c>
      <c r="DD499" s="166">
        <f t="shared" si="256"/>
        <v>192.97297297297317</v>
      </c>
      <c r="DE499" s="164">
        <f t="shared" si="257"/>
        <v>11</v>
      </c>
      <c r="DF499" s="166">
        <f t="shared" si="258"/>
        <v>344.44079682313554</v>
      </c>
      <c r="DG499" s="164">
        <f t="shared" si="259"/>
        <v>11</v>
      </c>
      <c r="DH499" s="166">
        <f t="shared" si="260"/>
        <v>495.90862067329795</v>
      </c>
      <c r="DI499" s="164">
        <f>IFERROR(INDEX(DC$486:DC$534,_xlfn.AGGREGATE(15,6,(ROW(DC$486:DC$534)-ROW(DC$486)+1)/(DC$486:DC$534&lt;&gt;""),ROWS(DI$1:DI14))),"")</f>
        <v>14</v>
      </c>
      <c r="DJ499" s="165">
        <f>IFERROR(INDEX(DD$486:DD$534,_xlfn.AGGREGATE(15,6,(ROW(DD$486:DD$534)-ROW(DD$486)+1)/(DD$486:DD$534&lt;&gt;""),ROWS(DJ$1:DJ14))),"")</f>
        <v>214.21621621621628</v>
      </c>
      <c r="DK499" s="166">
        <f t="shared" si="261"/>
        <v>499</v>
      </c>
      <c r="DL499" s="164">
        <f>IFERROR(INDEX(DE$486:DE$534,_xlfn.AGGREGATE(15,6,(ROW(DE$486:DE$534)-ROW(DE$486)+1)/(DE$486:DE$534&lt;&gt;""),ROWS(DL$1:DL14))),"")</f>
        <v>14</v>
      </c>
      <c r="DM499" s="165">
        <f>IFERROR(INDEX(DF$486:DF$534,_xlfn.AGGREGATE(15,6,(ROW(DF$486:DF$534)-ROW(DF$486)+1)/(DF$486:DF$534&lt;&gt;""),ROWS(DM$1:DM14))),"")</f>
        <v>372.05107678694344</v>
      </c>
      <c r="DN499" s="166">
        <f t="shared" si="262"/>
        <v>499</v>
      </c>
      <c r="DO499" s="164">
        <f>IFERROR(INDEX(DG$486:DG$534,_xlfn.AGGREGATE(15,6,(ROW(DG$486:DG$534)-ROW(DG$486)+1)/(DG$486:DG$534&lt;&gt;""),ROWS(DO$1:DO14))),"")</f>
        <v>14</v>
      </c>
      <c r="DP499" s="165">
        <f>IFERROR(INDEX(DH$486:DH$534,_xlfn.AGGREGATE(15,6,(ROW(DH$486:DH$534)-ROW(DH$486)+1)/(DH$486:DH$534&lt;&gt;""),ROWS(DP$1:DP14))),"")</f>
        <v>529.88593735767063</v>
      </c>
      <c r="DQ499" s="166">
        <f t="shared" si="263"/>
        <v>499</v>
      </c>
      <c r="DR499" s="65"/>
      <c r="DV499" s="145">
        <v>2028</v>
      </c>
      <c r="DW499" s="235">
        <f t="shared" ca="1" si="247"/>
        <v>371.94967172489692</v>
      </c>
    </row>
    <row r="500" spans="1:135" ht="13.8" x14ac:dyDescent="0.45">
      <c r="B500" s="128">
        <v>2026</v>
      </c>
      <c r="C500" s="244">
        <f>'Total MSW Summaries (Archive)'!J17</f>
        <v>507.20980721353203</v>
      </c>
      <c r="D500" s="159">
        <f>'Total MSW Summaries (Archive)'!BF17</f>
        <v>200.05405405405418</v>
      </c>
      <c r="E500" s="292"/>
      <c r="F500" s="293"/>
      <c r="G500" s="294"/>
      <c r="H500" s="292"/>
      <c r="I500" s="293"/>
      <c r="J500" s="294"/>
      <c r="K500" s="292"/>
      <c r="L500" s="293"/>
      <c r="M500" s="292"/>
      <c r="N500" s="29" t="s">
        <v>119</v>
      </c>
      <c r="O500" s="120"/>
      <c r="P500" s="120"/>
      <c r="Q500" s="120"/>
      <c r="R500" s="29">
        <v>12</v>
      </c>
      <c r="S500" s="288">
        <f t="shared" si="248"/>
        <v>200.05405405405418</v>
      </c>
      <c r="T500" s="288">
        <f t="shared" si="249"/>
        <v>507.20980721353203</v>
      </c>
      <c r="U500" s="288">
        <f t="shared" si="250"/>
        <v>153.57787657973896</v>
      </c>
      <c r="W500" s="288">
        <f t="shared" si="251"/>
        <v>200.05405405405415</v>
      </c>
      <c r="X500" s="288">
        <f t="shared" si="252"/>
        <v>353.6319306337931</v>
      </c>
      <c r="Y500" s="288">
        <f t="shared" si="253"/>
        <v>507.20980721353203</v>
      </c>
      <c r="AA500" s="120"/>
      <c r="AB500" s="120"/>
      <c r="AC500" s="120"/>
      <c r="AD500" s="120"/>
      <c r="AE500" s="120"/>
      <c r="AF500" s="120"/>
      <c r="AG500" s="120"/>
      <c r="AH500" s="120"/>
      <c r="AI500" s="120"/>
      <c r="AJ500" s="120"/>
      <c r="AK500" s="120"/>
      <c r="AL500" s="120"/>
      <c r="AM500" s="120"/>
      <c r="AN500" s="120"/>
      <c r="BR500" s="180">
        <v>2024</v>
      </c>
      <c r="BS500" s="22">
        <v>10</v>
      </c>
      <c r="BT500" s="289">
        <f t="shared" si="264"/>
        <v>88.94419776054329</v>
      </c>
      <c r="BU500" s="290">
        <f t="shared" si="265"/>
        <v>246.58063731803296</v>
      </c>
      <c r="BV500" s="205">
        <f t="shared" si="266"/>
        <v>335.52483507857625</v>
      </c>
      <c r="BY500" s="180">
        <v>2024</v>
      </c>
      <c r="BZ500" s="22">
        <v>10</v>
      </c>
      <c r="CA500" s="289">
        <f t="shared" ca="1" si="267"/>
        <v>-1.5902179824977463</v>
      </c>
      <c r="CB500" s="289">
        <f t="shared" ca="1" si="268"/>
        <v>94.032895304536069</v>
      </c>
      <c r="CC500" s="290">
        <f t="shared" ca="1" si="279"/>
        <v>243.78185366883693</v>
      </c>
      <c r="CD500" s="205">
        <f t="shared" ca="1" si="269"/>
        <v>336.22453099087522</v>
      </c>
      <c r="CG500" s="180">
        <v>2024</v>
      </c>
      <c r="CH500" s="22">
        <v>10</v>
      </c>
      <c r="CI500" s="289">
        <f t="shared" ca="1" si="270"/>
        <v>-1.2925898590662346</v>
      </c>
      <c r="CJ500" s="289">
        <f t="shared" ca="1" si="271"/>
        <v>4.6142133410201946</v>
      </c>
      <c r="CK500" s="289">
        <f t="shared" ca="1" si="272"/>
        <v>85.964549404244593</v>
      </c>
      <c r="CL500" s="290">
        <f t="shared" ca="1" si="273"/>
        <v>246.10231098383267</v>
      </c>
      <c r="CM500" s="205">
        <f t="shared" ca="1" si="274"/>
        <v>335.38848387003122</v>
      </c>
      <c r="CP500" s="180">
        <v>2024</v>
      </c>
      <c r="CQ500" s="22">
        <v>10</v>
      </c>
      <c r="CR500" s="289">
        <f t="shared" ca="1" si="275"/>
        <v>261.08445288452793</v>
      </c>
      <c r="CS500" s="290">
        <f t="shared" ca="1" si="276"/>
        <v>1.2653689951247247</v>
      </c>
      <c r="CT500" s="205">
        <f t="shared" ca="1" si="277"/>
        <v>330.36817178918363</v>
      </c>
      <c r="CZ500" s="164" t="b">
        <f t="shared" si="254"/>
        <v>1</v>
      </c>
      <c r="DA500" s="165" t="b">
        <f t="shared" si="254"/>
        <v>1</v>
      </c>
      <c r="DB500" s="166" t="b">
        <f t="shared" si="254"/>
        <v>1</v>
      </c>
      <c r="DC500" s="164">
        <f t="shared" si="255"/>
        <v>12</v>
      </c>
      <c r="DD500" s="166">
        <f t="shared" si="256"/>
        <v>200.05405405405415</v>
      </c>
      <c r="DE500" s="164">
        <f t="shared" si="257"/>
        <v>12</v>
      </c>
      <c r="DF500" s="166">
        <f t="shared" si="258"/>
        <v>353.6319306337931</v>
      </c>
      <c r="DG500" s="164">
        <f t="shared" si="259"/>
        <v>12</v>
      </c>
      <c r="DH500" s="166">
        <f t="shared" si="260"/>
        <v>507.20980721353203</v>
      </c>
      <c r="DI500" s="164">
        <f>IFERROR(INDEX(DC$486:DC$534,_xlfn.AGGREGATE(15,6,(ROW(DC$486:DC$534)-ROW(DC$486)+1)/(DC$486:DC$534&lt;&gt;""),ROWS(DI$1:DI15))),"")</f>
        <v>15</v>
      </c>
      <c r="DJ500" s="165">
        <f>IFERROR(INDEX(DD$486:DD$534,_xlfn.AGGREGATE(15,6,(ROW(DD$486:DD$534)-ROW(DD$486)+1)/(DD$486:DD$534&lt;&gt;""),ROWS(DJ$1:DJ15))),"")</f>
        <v>221.29729729729738</v>
      </c>
      <c r="DK500" s="166">
        <f t="shared" si="261"/>
        <v>500</v>
      </c>
      <c r="DL500" s="164">
        <f>IFERROR(INDEX(DE$486:DE$534,_xlfn.AGGREGATE(15,6,(ROW(DE$486:DE$534)-ROW(DE$486)+1)/(DE$486:DE$534&lt;&gt;""),ROWS(DL$1:DL15))),"")</f>
        <v>15</v>
      </c>
      <c r="DM500" s="165">
        <f>IFERROR(INDEX(DF$486:DF$534,_xlfn.AGGREGATE(15,6,(ROW(DF$486:DF$534)-ROW(DF$486)+1)/(DF$486:DF$534&lt;&gt;""),ROWS(DM$1:DM15))),"")</f>
        <v>381.26962020931228</v>
      </c>
      <c r="DN500" s="166">
        <f t="shared" si="262"/>
        <v>500</v>
      </c>
      <c r="DO500" s="164">
        <f>IFERROR(INDEX(DG$486:DG$534,_xlfn.AGGREGATE(15,6,(ROW(DG$486:DG$534)-ROW(DG$486)+1)/(DG$486:DG$534&lt;&gt;""),ROWS(DO$1:DO15))),"")</f>
        <v>15</v>
      </c>
      <c r="DP500" s="165">
        <f>IFERROR(INDEX(DH$486:DH$534,_xlfn.AGGREGATE(15,6,(ROW(DH$486:DH$534)-ROW(DH$486)+1)/(DH$486:DH$534&lt;&gt;""),ROWS(DP$1:DP15))),"")</f>
        <v>541.24194312132715</v>
      </c>
      <c r="DQ500" s="166">
        <f t="shared" si="263"/>
        <v>500</v>
      </c>
      <c r="DR500" s="65"/>
      <c r="DV500" s="145">
        <v>2029</v>
      </c>
      <c r="DW500" s="235">
        <f t="shared" ca="1" si="247"/>
        <v>381.06862433314643</v>
      </c>
      <c r="EA500" s="55"/>
      <c r="EB500" s="55"/>
      <c r="EC500" s="55"/>
      <c r="ED500" s="55"/>
      <c r="EE500" s="55"/>
    </row>
    <row r="501" spans="1:135" ht="13.8" x14ac:dyDescent="0.45">
      <c r="B501" s="128">
        <v>2027</v>
      </c>
      <c r="C501" s="244">
        <f>'Total MSW Summaries (Archive)'!J18</f>
        <v>518.53864196131769</v>
      </c>
      <c r="D501" s="159">
        <f>'Total MSW Summaries (Archive)'!BF18</f>
        <v>207.13513513513527</v>
      </c>
      <c r="E501" s="292"/>
      <c r="F501" s="293"/>
      <c r="G501" s="294"/>
      <c r="H501" s="292"/>
      <c r="I501" s="293"/>
      <c r="J501" s="294"/>
      <c r="K501" s="292"/>
      <c r="L501" s="293"/>
      <c r="M501" s="292"/>
      <c r="N501" s="29" t="s">
        <v>119</v>
      </c>
      <c r="O501" s="120"/>
      <c r="P501" s="120"/>
      <c r="Q501" s="120"/>
      <c r="R501" s="29">
        <v>13</v>
      </c>
      <c r="S501" s="288">
        <f t="shared" si="248"/>
        <v>207.13513513513527</v>
      </c>
      <c r="T501" s="288">
        <f t="shared" si="249"/>
        <v>518.53864196131769</v>
      </c>
      <c r="U501" s="288">
        <f t="shared" si="250"/>
        <v>155.70175341309121</v>
      </c>
      <c r="W501" s="288">
        <f t="shared" si="251"/>
        <v>207.1351351351353</v>
      </c>
      <c r="X501" s="288">
        <f t="shared" si="252"/>
        <v>362.83688854822651</v>
      </c>
      <c r="Y501" s="288">
        <f t="shared" si="253"/>
        <v>518.53864196131769</v>
      </c>
      <c r="AA501" s="89"/>
      <c r="AB501" s="89"/>
      <c r="AC501" s="89"/>
      <c r="AD501" s="89"/>
      <c r="AE501" s="89"/>
      <c r="AF501" s="89"/>
      <c r="AG501" s="89"/>
      <c r="AH501" s="89"/>
      <c r="AI501" s="89"/>
      <c r="AJ501" s="89"/>
      <c r="AK501" s="89"/>
      <c r="AL501" s="89"/>
      <c r="AM501" s="89"/>
      <c r="AN501" s="89"/>
      <c r="BR501" s="180">
        <v>2025</v>
      </c>
      <c r="BS501" s="22">
        <v>11</v>
      </c>
      <c r="BT501" s="289">
        <f t="shared" si="264"/>
        <v>97.838617536597624</v>
      </c>
      <c r="BU501" s="290">
        <f t="shared" si="265"/>
        <v>246.58063731803296</v>
      </c>
      <c r="BV501" s="205">
        <f t="shared" si="266"/>
        <v>344.41925485463059</v>
      </c>
      <c r="BY501" s="180">
        <v>2025</v>
      </c>
      <c r="BZ501" s="22">
        <v>11</v>
      </c>
      <c r="CA501" s="289">
        <f t="shared" ca="1" si="267"/>
        <v>-1.9241637588222731</v>
      </c>
      <c r="CB501" s="289">
        <f t="shared" ca="1" si="268"/>
        <v>103.43618483498967</v>
      </c>
      <c r="CC501" s="290">
        <f t="shared" ca="1" si="279"/>
        <v>243.78185366883693</v>
      </c>
      <c r="CD501" s="205">
        <f t="shared" ca="1" si="269"/>
        <v>345.29387474500436</v>
      </c>
      <c r="CG501" s="180">
        <v>2025</v>
      </c>
      <c r="CH501" s="22">
        <v>11</v>
      </c>
      <c r="CI501" s="289">
        <f t="shared" ca="1" si="270"/>
        <v>-1.7204371024171583</v>
      </c>
      <c r="CJ501" s="289">
        <f t="shared" ca="1" si="271"/>
        <v>5.5831981426344361</v>
      </c>
      <c r="CK501" s="289">
        <f t="shared" ca="1" si="272"/>
        <v>94.561004344669058</v>
      </c>
      <c r="CL501" s="290">
        <f t="shared" ca="1" si="273"/>
        <v>246.10231098383267</v>
      </c>
      <c r="CM501" s="205">
        <f t="shared" ca="1" si="274"/>
        <v>344.52607636871903</v>
      </c>
      <c r="CP501" s="180">
        <v>2025</v>
      </c>
      <c r="CQ501" s="22">
        <v>11</v>
      </c>
      <c r="CR501" s="289">
        <f t="shared" ca="1" si="275"/>
        <v>261.08445288452793</v>
      </c>
      <c r="CS501" s="290">
        <f t="shared" ca="1" si="276"/>
        <v>1.2955044460532839</v>
      </c>
      <c r="CT501" s="205">
        <f t="shared" ca="1" si="277"/>
        <v>338.23606950729504</v>
      </c>
      <c r="CZ501" s="164" t="b">
        <f t="shared" si="254"/>
        <v>1</v>
      </c>
      <c r="DA501" s="165" t="b">
        <f t="shared" si="254"/>
        <v>1</v>
      </c>
      <c r="DB501" s="166" t="b">
        <f t="shared" si="254"/>
        <v>1</v>
      </c>
      <c r="DC501" s="164">
        <f t="shared" si="255"/>
        <v>13</v>
      </c>
      <c r="DD501" s="166">
        <f t="shared" si="256"/>
        <v>207.1351351351353</v>
      </c>
      <c r="DE501" s="164">
        <f t="shared" si="257"/>
        <v>13</v>
      </c>
      <c r="DF501" s="166">
        <f t="shared" si="258"/>
        <v>362.83688854822651</v>
      </c>
      <c r="DG501" s="164">
        <f t="shared" si="259"/>
        <v>13</v>
      </c>
      <c r="DH501" s="166">
        <f t="shared" si="260"/>
        <v>518.53864196131769</v>
      </c>
      <c r="DI501" s="164">
        <f>IFERROR(INDEX(DC$486:DC$534,_xlfn.AGGREGATE(15,6,(ROW(DC$486:DC$534)-ROW(DC$486)+1)/(DC$486:DC$534&lt;&gt;""),ROWS(DI$1:DI16))),"")</f>
        <v>16</v>
      </c>
      <c r="DJ501" s="165">
        <f>IFERROR(INDEX(DD$486:DD$534,_xlfn.AGGREGATE(15,6,(ROW(DD$486:DD$534)-ROW(DD$486)+1)/(DD$486:DD$534&lt;&gt;""),ROWS(DJ$1:DJ16))),"")</f>
        <v>228.3783783783785</v>
      </c>
      <c r="DK501" s="166">
        <f t="shared" si="261"/>
        <v>501</v>
      </c>
      <c r="DL501" s="164">
        <f>IFERROR(INDEX(DE$486:DE$534,_xlfn.AGGREGATE(15,6,(ROW(DE$486:DE$534)-ROW(DE$486)+1)/(DE$486:DE$534&lt;&gt;""),ROWS(DL$1:DL16))),"")</f>
        <v>16</v>
      </c>
      <c r="DM501" s="165">
        <f>IFERROR(INDEX(DF$486:DF$534,_xlfn.AGGREGATE(15,6,(ROW(DF$486:DF$534)-ROW(DF$486)+1)/(DF$486:DF$534&lt;&gt;""),ROWS(DM$1:DM16))),"")</f>
        <v>390.48784961099443</v>
      </c>
      <c r="DN501" s="166">
        <f t="shared" si="262"/>
        <v>501</v>
      </c>
      <c r="DO501" s="164">
        <f>IFERROR(INDEX(DG$486:DG$534,_xlfn.AGGREGATE(15,6,(ROW(DG$486:DG$534)-ROW(DG$486)+1)/(DG$486:DG$534&lt;&gt;""),ROWS(DO$1:DO16))),"")</f>
        <v>16</v>
      </c>
      <c r="DP501" s="165">
        <f>IFERROR(INDEX(DH$486:DH$534,_xlfn.AGGREGATE(15,6,(ROW(DH$486:DH$534)-ROW(DH$486)+1)/(DH$486:DH$534&lt;&gt;""),ROWS(DP$1:DP16))),"")</f>
        <v>552.59732084361031</v>
      </c>
      <c r="DQ501" s="166">
        <f t="shared" si="263"/>
        <v>501</v>
      </c>
      <c r="DR501" s="65"/>
      <c r="DV501" s="145">
        <v>2030</v>
      </c>
      <c r="DW501" s="235">
        <f t="shared" ca="1" si="247"/>
        <v>390.16352812090042</v>
      </c>
    </row>
    <row r="502" spans="1:135" ht="13.8" x14ac:dyDescent="0.45">
      <c r="A502" s="295" t="str">
        <f>$A$62</f>
        <v>Base Cases</v>
      </c>
      <c r="B502" s="128">
        <v>2028</v>
      </c>
      <c r="C502" s="244">
        <f>'Total MSW Summaries (Archive)'!J19</f>
        <v>529.88593735767051</v>
      </c>
      <c r="D502" s="159">
        <f>'Total MSW Summaries (Archive)'!BF19</f>
        <v>214.21621621621637</v>
      </c>
      <c r="E502" s="292"/>
      <c r="F502" s="293"/>
      <c r="G502" s="294"/>
      <c r="H502" s="292"/>
      <c r="I502" s="293"/>
      <c r="J502" s="294"/>
      <c r="K502" s="292"/>
      <c r="L502" s="293"/>
      <c r="M502" s="292"/>
      <c r="N502" s="29" t="s">
        <v>119</v>
      </c>
      <c r="O502" s="120"/>
      <c r="P502" s="120"/>
      <c r="Q502" s="120"/>
      <c r="R502" s="29">
        <v>14</v>
      </c>
      <c r="S502" s="288">
        <f t="shared" si="248"/>
        <v>214.21621621621637</v>
      </c>
      <c r="T502" s="288">
        <f t="shared" si="249"/>
        <v>529.88593735767051</v>
      </c>
      <c r="U502" s="288">
        <f t="shared" si="250"/>
        <v>157.83486057072716</v>
      </c>
      <c r="W502" s="288">
        <f t="shared" si="251"/>
        <v>214.21621621621628</v>
      </c>
      <c r="X502" s="288">
        <f t="shared" si="252"/>
        <v>372.05107678694344</v>
      </c>
      <c r="Y502" s="288">
        <f t="shared" si="253"/>
        <v>529.88593735767063</v>
      </c>
      <c r="AA502" s="114"/>
      <c r="AB502" s="114"/>
      <c r="AC502" s="114"/>
      <c r="AD502" s="114"/>
      <c r="AE502" s="114"/>
      <c r="AF502" s="114"/>
      <c r="AG502" s="114"/>
      <c r="AH502" s="114"/>
      <c r="AI502" s="114"/>
      <c r="AJ502" s="114"/>
      <c r="AK502" s="114"/>
      <c r="AL502" s="114"/>
      <c r="AM502" s="114"/>
      <c r="AN502" s="114"/>
      <c r="BR502" s="180">
        <v>2026</v>
      </c>
      <c r="BS502" s="22">
        <v>12</v>
      </c>
      <c r="BT502" s="289">
        <f t="shared" si="264"/>
        <v>106.73303731265196</v>
      </c>
      <c r="BU502" s="290">
        <f t="shared" si="265"/>
        <v>246.58063731803296</v>
      </c>
      <c r="BV502" s="205">
        <f t="shared" si="266"/>
        <v>353.31367463068489</v>
      </c>
      <c r="BY502" s="180">
        <v>2026</v>
      </c>
      <c r="BZ502" s="22">
        <v>12</v>
      </c>
      <c r="CA502" s="289">
        <f t="shared" ca="1" si="267"/>
        <v>-2.2899138947967548</v>
      </c>
      <c r="CB502" s="289">
        <f t="shared" ca="1" si="268"/>
        <v>112.83947436544329</v>
      </c>
      <c r="CC502" s="290">
        <f t="shared" ca="1" si="279"/>
        <v>243.78185366883693</v>
      </c>
      <c r="CD502" s="205">
        <f t="shared" ca="1" si="269"/>
        <v>354.33141413948346</v>
      </c>
      <c r="CG502" s="180">
        <v>2026</v>
      </c>
      <c r="CH502" s="22">
        <v>12</v>
      </c>
      <c r="CI502" s="289">
        <f t="shared" ca="1" si="270"/>
        <v>-2.2335952764664535</v>
      </c>
      <c r="CJ502" s="289">
        <f t="shared" ca="1" si="271"/>
        <v>6.644467211069081</v>
      </c>
      <c r="CK502" s="289">
        <f t="shared" ca="1" si="272"/>
        <v>103.15745928509352</v>
      </c>
      <c r="CL502" s="290">
        <f t="shared" ca="1" si="273"/>
        <v>246.10231098383267</v>
      </c>
      <c r="CM502" s="205">
        <f t="shared" ca="1" si="274"/>
        <v>353.67064220352881</v>
      </c>
      <c r="CP502" s="180">
        <v>2026</v>
      </c>
      <c r="CQ502" s="22">
        <v>12</v>
      </c>
      <c r="CR502" s="289">
        <f t="shared" ca="1" si="275"/>
        <v>261.08445288452793</v>
      </c>
      <c r="CS502" s="290">
        <f t="shared" ca="1" si="276"/>
        <v>1.326357589138176</v>
      </c>
      <c r="CT502" s="205">
        <f t="shared" ca="1" si="277"/>
        <v>346.29134548938219</v>
      </c>
      <c r="CZ502" s="164" t="b">
        <f t="shared" si="254"/>
        <v>1</v>
      </c>
      <c r="DA502" s="165" t="b">
        <f t="shared" si="254"/>
        <v>1</v>
      </c>
      <c r="DB502" s="166" t="b">
        <f t="shared" si="254"/>
        <v>1</v>
      </c>
      <c r="DC502" s="164">
        <f t="shared" si="255"/>
        <v>14</v>
      </c>
      <c r="DD502" s="166">
        <f t="shared" si="256"/>
        <v>214.21621621621628</v>
      </c>
      <c r="DE502" s="164">
        <f t="shared" si="257"/>
        <v>14</v>
      </c>
      <c r="DF502" s="166">
        <f t="shared" si="258"/>
        <v>372.05107678694344</v>
      </c>
      <c r="DG502" s="164">
        <f t="shared" si="259"/>
        <v>14</v>
      </c>
      <c r="DH502" s="166">
        <f t="shared" si="260"/>
        <v>529.88593735767063</v>
      </c>
      <c r="DI502" s="164">
        <f>IFERROR(INDEX(DC$486:DC$534,_xlfn.AGGREGATE(15,6,(ROW(DC$486:DC$534)-ROW(DC$486)+1)/(DC$486:DC$534&lt;&gt;""),ROWS(DI$1:DI17))),"")</f>
        <v>17</v>
      </c>
      <c r="DJ502" s="165">
        <f>IFERROR(INDEX(DD$486:DD$534,_xlfn.AGGREGATE(15,6,(ROW(DD$486:DD$534)-ROW(DD$486)+1)/(DD$486:DD$534&lt;&gt;""),ROWS(DJ$1:DJ17))),"")</f>
        <v>235.45945945945968</v>
      </c>
      <c r="DK502" s="166">
        <f t="shared" si="261"/>
        <v>502</v>
      </c>
      <c r="DL502" s="164">
        <f>IFERROR(INDEX(DE$486:DE$534,_xlfn.AGGREGATE(15,6,(ROW(DE$486:DE$534)-ROW(DE$486)+1)/(DE$486:DE$534&lt;&gt;""),ROWS(DL$1:DL17))),"")</f>
        <v>17</v>
      </c>
      <c r="DM502" s="165">
        <f>IFERROR(INDEX(DF$486:DF$534,_xlfn.AGGREGATE(15,6,(ROW(DF$486:DF$534)-ROW(DF$486)+1)/(DF$486:DF$534&lt;&gt;""),ROWS(DM$1:DM17))),"")</f>
        <v>399.70222315855176</v>
      </c>
      <c r="DN502" s="166">
        <f t="shared" si="262"/>
        <v>502</v>
      </c>
      <c r="DO502" s="164">
        <f>IFERROR(INDEX(DG$486:DG$534,_xlfn.AGGREGATE(15,6,(ROW(DG$486:DG$534)-ROW(DG$486)+1)/(DG$486:DG$534&lt;&gt;""),ROWS(DO$1:DO17))),"")</f>
        <v>17</v>
      </c>
      <c r="DP502" s="165">
        <f>IFERROR(INDEX(DH$486:DH$534,_xlfn.AGGREGATE(15,6,(ROW(DH$486:DH$534)-ROW(DH$486)+1)/(DH$486:DH$534&lt;&gt;""),ROWS(DP$1:DP17))),"")</f>
        <v>563.94498685764381</v>
      </c>
      <c r="DQ502" s="166">
        <f t="shared" si="263"/>
        <v>502</v>
      </c>
      <c r="DR502" s="65"/>
      <c r="DV502" s="145">
        <v>2031</v>
      </c>
      <c r="DW502" s="235">
        <f t="shared" ca="1" si="247"/>
        <v>399.22662754900443</v>
      </c>
    </row>
    <row r="503" spans="1:135" ht="13.8" x14ac:dyDescent="0.45">
      <c r="A503" s="296" t="str">
        <f>$A$63</f>
        <v>Conservative Cases</v>
      </c>
      <c r="B503" s="128">
        <v>2029</v>
      </c>
      <c r="C503" s="244">
        <f>'Total MSW Summaries (Archive)'!J20</f>
        <v>541.24194312132715</v>
      </c>
      <c r="D503" s="159">
        <f>'Total MSW Summaries (Archive)'!BF20</f>
        <v>221.29729729729746</v>
      </c>
      <c r="E503" s="292"/>
      <c r="F503" s="293"/>
      <c r="G503" s="294"/>
      <c r="H503" s="292"/>
      <c r="I503" s="293"/>
      <c r="J503" s="294"/>
      <c r="K503" s="292"/>
      <c r="L503" s="293"/>
      <c r="M503" s="292"/>
      <c r="N503" s="29" t="s">
        <v>119</v>
      </c>
      <c r="O503" s="120"/>
      <c r="P503" s="120"/>
      <c r="Q503" s="120"/>
      <c r="R503" s="29">
        <v>15</v>
      </c>
      <c r="S503" s="288">
        <f t="shared" si="248"/>
        <v>221.29729729729746</v>
      </c>
      <c r="T503" s="288">
        <f t="shared" si="249"/>
        <v>541.24194312132715</v>
      </c>
      <c r="U503" s="288">
        <f t="shared" si="250"/>
        <v>159.9723229120149</v>
      </c>
      <c r="W503" s="288">
        <f t="shared" si="251"/>
        <v>221.29729729729738</v>
      </c>
      <c r="X503" s="288">
        <f t="shared" si="252"/>
        <v>381.26962020931228</v>
      </c>
      <c r="Y503" s="288">
        <f t="shared" si="253"/>
        <v>541.24194312132715</v>
      </c>
      <c r="AA503" s="89"/>
      <c r="AB503" s="89"/>
      <c r="AC503" s="89"/>
      <c r="AD503" s="89"/>
      <c r="AE503" s="89"/>
      <c r="AF503" s="89"/>
      <c r="AG503" s="89"/>
      <c r="AH503" s="89"/>
      <c r="AI503" s="89"/>
      <c r="AJ503" s="89"/>
      <c r="AK503" s="89"/>
      <c r="AL503" s="89"/>
      <c r="AM503" s="89"/>
      <c r="AN503" s="89"/>
      <c r="BR503" s="180">
        <v>2027</v>
      </c>
      <c r="BS503" s="22">
        <v>13</v>
      </c>
      <c r="BT503" s="289">
        <f t="shared" si="264"/>
        <v>115.62745708870628</v>
      </c>
      <c r="BU503" s="290">
        <f t="shared" si="265"/>
        <v>246.58063731803296</v>
      </c>
      <c r="BV503" s="205">
        <f t="shared" si="266"/>
        <v>362.20809440673924</v>
      </c>
      <c r="BY503" s="180">
        <v>2027</v>
      </c>
      <c r="BZ503" s="22">
        <v>13</v>
      </c>
      <c r="CA503" s="289">
        <f t="shared" ca="1" si="267"/>
        <v>-2.6874683904211913</v>
      </c>
      <c r="CB503" s="289">
        <f t="shared" ca="1" si="268"/>
        <v>122.2427638958969</v>
      </c>
      <c r="CC503" s="290">
        <f t="shared" ca="1" si="279"/>
        <v>243.78185366883693</v>
      </c>
      <c r="CD503" s="205">
        <f t="shared" ca="1" si="269"/>
        <v>363.33714917431263</v>
      </c>
      <c r="CG503" s="180">
        <v>2027</v>
      </c>
      <c r="CH503" s="22">
        <v>13</v>
      </c>
      <c r="CI503" s="289">
        <f t="shared" ca="1" si="270"/>
        <v>-2.8398199203685173</v>
      </c>
      <c r="CJ503" s="289">
        <f t="shared" ca="1" si="271"/>
        <v>7.7980205463241292</v>
      </c>
      <c r="CK503" s="289">
        <f t="shared" ca="1" si="272"/>
        <v>111.75391422551797</v>
      </c>
      <c r="CL503" s="290">
        <f t="shared" ca="1" si="273"/>
        <v>246.10231098383267</v>
      </c>
      <c r="CM503" s="205">
        <f t="shared" ca="1" si="274"/>
        <v>362.81442583530622</v>
      </c>
      <c r="CP503" s="180">
        <v>2027</v>
      </c>
      <c r="CQ503" s="22">
        <v>13</v>
      </c>
      <c r="CR503" s="289">
        <f t="shared" ca="1" si="275"/>
        <v>261.08445288452793</v>
      </c>
      <c r="CS503" s="290">
        <f t="shared" ca="1" si="276"/>
        <v>1.3579455166084993</v>
      </c>
      <c r="CT503" s="205">
        <f t="shared" ca="1" si="277"/>
        <v>354.53846225072766</v>
      </c>
      <c r="CZ503" s="164" t="b">
        <f t="shared" si="254"/>
        <v>1</v>
      </c>
      <c r="DA503" s="165" t="b">
        <f t="shared" si="254"/>
        <v>1</v>
      </c>
      <c r="DB503" s="166" t="b">
        <f t="shared" si="254"/>
        <v>1</v>
      </c>
      <c r="DC503" s="164">
        <f t="shared" si="255"/>
        <v>15</v>
      </c>
      <c r="DD503" s="166">
        <f t="shared" si="256"/>
        <v>221.29729729729738</v>
      </c>
      <c r="DE503" s="164">
        <f t="shared" si="257"/>
        <v>15</v>
      </c>
      <c r="DF503" s="166">
        <f t="shared" si="258"/>
        <v>381.26962020931228</v>
      </c>
      <c r="DG503" s="164">
        <f t="shared" si="259"/>
        <v>15</v>
      </c>
      <c r="DH503" s="166">
        <f t="shared" si="260"/>
        <v>541.24194312132715</v>
      </c>
      <c r="DI503" s="164">
        <f>IFERROR(INDEX(DC$486:DC$534,_xlfn.AGGREGATE(15,6,(ROW(DC$486:DC$534)-ROW(DC$486)+1)/(DC$486:DC$534&lt;&gt;""),ROWS(DI$1:DI18))),"")</f>
        <v>18</v>
      </c>
      <c r="DJ503" s="165">
        <f>IFERROR(INDEX(DD$486:DD$534,_xlfn.AGGREGATE(15,6,(ROW(DD$486:DD$534)-ROW(DD$486)+1)/(DD$486:DD$534&lt;&gt;""),ROWS(DJ$1:DJ18))),"")</f>
        <v>242.54054054054077</v>
      </c>
      <c r="DK503" s="166">
        <f t="shared" si="261"/>
        <v>503</v>
      </c>
      <c r="DL503" s="164">
        <f>IFERROR(INDEX(DE$486:DE$534,_xlfn.AGGREGATE(15,6,(ROW(DE$486:DE$534)-ROW(DE$486)+1)/(DE$486:DE$534&lt;&gt;""),ROWS(DL$1:DL18))),"")</f>
        <v>18</v>
      </c>
      <c r="DM503" s="165">
        <f>IFERROR(INDEX(DF$486:DF$534,_xlfn.AGGREGATE(15,6,(ROW(DF$486:DF$534)-ROW(DF$486)+1)/(DF$486:DF$534&lt;&gt;""),ROWS(DM$1:DM18))),"")</f>
        <v>408.51105938129666</v>
      </c>
      <c r="DN503" s="166">
        <f t="shared" si="262"/>
        <v>503</v>
      </c>
      <c r="DO503" s="164">
        <f>IFERROR(INDEX(DG$486:DG$534,_xlfn.AGGREGATE(15,6,(ROW(DG$486:DG$534)-ROW(DG$486)+1)/(DG$486:DG$534&lt;&gt;""),ROWS(DO$1:DO18))),"")</f>
        <v>18</v>
      </c>
      <c r="DP503" s="165">
        <f>IFERROR(INDEX(DH$486:DH$534,_xlfn.AGGREGATE(15,6,(ROW(DH$486:DH$534)-ROW(DH$486)+1)/(DH$486:DH$534&lt;&gt;""),ROWS(DP$1:DP18))),"")</f>
        <v>574.48157822205258</v>
      </c>
      <c r="DQ503" s="166">
        <f t="shared" si="263"/>
        <v>503</v>
      </c>
      <c r="DR503" s="65"/>
      <c r="DV503" s="145">
        <v>2032</v>
      </c>
      <c r="DW503" s="235">
        <f t="shared" ca="1" si="247"/>
        <v>408.25016707830412</v>
      </c>
    </row>
    <row r="504" spans="1:135" ht="13.8" x14ac:dyDescent="0.45">
      <c r="A504" s="297" t="str">
        <f>$A$64</f>
        <v>Ambitious Cases</v>
      </c>
      <c r="B504" s="128">
        <v>2030</v>
      </c>
      <c r="C504" s="244">
        <f>'Total MSW Summaries (Archive)'!J21</f>
        <v>552.59732084361031</v>
      </c>
      <c r="D504" s="159">
        <f>'Total MSW Summaries (Archive)'!BF21</f>
        <v>228.37837837837856</v>
      </c>
      <c r="E504" s="292"/>
      <c r="F504" s="293"/>
      <c r="G504" s="294"/>
      <c r="H504" s="292"/>
      <c r="I504" s="293"/>
      <c r="J504" s="294"/>
      <c r="K504" s="292"/>
      <c r="L504" s="293"/>
      <c r="M504" s="292"/>
      <c r="N504" s="29" t="s">
        <v>119</v>
      </c>
      <c r="O504" s="120"/>
      <c r="P504" s="120"/>
      <c r="Q504" s="120"/>
      <c r="R504" s="29">
        <v>16</v>
      </c>
      <c r="S504" s="288">
        <f t="shared" si="248"/>
        <v>228.37837837837856</v>
      </c>
      <c r="T504" s="288">
        <f t="shared" si="249"/>
        <v>552.59732084361031</v>
      </c>
      <c r="U504" s="288">
        <f t="shared" si="250"/>
        <v>162.10947123261593</v>
      </c>
      <c r="W504" s="288">
        <f t="shared" si="251"/>
        <v>228.3783783783785</v>
      </c>
      <c r="X504" s="288">
        <f t="shared" si="252"/>
        <v>390.48784961099443</v>
      </c>
      <c r="Y504" s="288">
        <f t="shared" si="253"/>
        <v>552.59732084361031</v>
      </c>
      <c r="AA504" s="89"/>
      <c r="AB504" s="89"/>
      <c r="AC504" s="89"/>
      <c r="AD504" s="89"/>
      <c r="AE504" s="89"/>
      <c r="AF504" s="89"/>
      <c r="AG504" s="89"/>
      <c r="AH504" s="89"/>
      <c r="AI504" s="89"/>
      <c r="AJ504" s="89"/>
      <c r="AK504" s="89"/>
      <c r="AL504" s="89"/>
      <c r="AM504" s="89"/>
      <c r="AN504" s="89"/>
      <c r="BR504" s="180">
        <v>2028</v>
      </c>
      <c r="BS504" s="22">
        <v>14</v>
      </c>
      <c r="BT504" s="289">
        <f t="shared" si="264"/>
        <v>124.52187686476061</v>
      </c>
      <c r="BU504" s="290">
        <f t="shared" si="265"/>
        <v>246.58063731803296</v>
      </c>
      <c r="BV504" s="205">
        <f t="shared" si="266"/>
        <v>371.10251418279358</v>
      </c>
      <c r="BY504" s="180">
        <v>2028</v>
      </c>
      <c r="BZ504" s="22">
        <v>14</v>
      </c>
      <c r="CA504" s="289">
        <f t="shared" ca="1" si="267"/>
        <v>-3.1168272456955828</v>
      </c>
      <c r="CB504" s="289">
        <f t="shared" ca="1" si="268"/>
        <v>131.64605342635051</v>
      </c>
      <c r="CC504" s="290">
        <f t="shared" ca="1" si="279"/>
        <v>243.78185366883693</v>
      </c>
      <c r="CD504" s="205">
        <f t="shared" ca="1" si="269"/>
        <v>372.31107984949188</v>
      </c>
      <c r="CG504" s="180">
        <v>2028</v>
      </c>
      <c r="CH504" s="22">
        <v>14</v>
      </c>
      <c r="CI504" s="289">
        <f t="shared" ca="1" si="270"/>
        <v>-3.546866573277748</v>
      </c>
      <c r="CJ504" s="289">
        <f t="shared" ca="1" si="271"/>
        <v>9.0438581483995826</v>
      </c>
      <c r="CK504" s="289">
        <f t="shared" ca="1" si="272"/>
        <v>120.35036916594244</v>
      </c>
      <c r="CL504" s="290">
        <f t="shared" ca="1" si="273"/>
        <v>246.10231098383267</v>
      </c>
      <c r="CM504" s="205">
        <f t="shared" ca="1" si="274"/>
        <v>371.94967172489692</v>
      </c>
      <c r="CP504" s="180">
        <v>2028</v>
      </c>
      <c r="CQ504" s="22">
        <v>14</v>
      </c>
      <c r="CR504" s="289">
        <f t="shared" ca="1" si="275"/>
        <v>261.08445288452793</v>
      </c>
      <c r="CS504" s="290">
        <f t="shared" ca="1" si="276"/>
        <v>1.3902857277540861</v>
      </c>
      <c r="CT504" s="205">
        <f t="shared" ca="1" si="277"/>
        <v>362.9819885838433</v>
      </c>
      <c r="CZ504" s="164" t="b">
        <f t="shared" si="254"/>
        <v>1</v>
      </c>
      <c r="DA504" s="165" t="b">
        <f t="shared" si="254"/>
        <v>1</v>
      </c>
      <c r="DB504" s="166" t="b">
        <f t="shared" si="254"/>
        <v>1</v>
      </c>
      <c r="DC504" s="164">
        <f t="shared" si="255"/>
        <v>16</v>
      </c>
      <c r="DD504" s="166">
        <f t="shared" si="256"/>
        <v>228.3783783783785</v>
      </c>
      <c r="DE504" s="164">
        <f t="shared" si="257"/>
        <v>16</v>
      </c>
      <c r="DF504" s="166">
        <f t="shared" si="258"/>
        <v>390.48784961099443</v>
      </c>
      <c r="DG504" s="164">
        <f t="shared" si="259"/>
        <v>16</v>
      </c>
      <c r="DH504" s="166">
        <f t="shared" si="260"/>
        <v>552.59732084361031</v>
      </c>
      <c r="DI504" s="164">
        <f>IFERROR(INDEX(DC$486:DC$534,_xlfn.AGGREGATE(15,6,(ROW(DC$486:DC$534)-ROW(DC$486)+1)/(DC$486:DC$534&lt;&gt;""),ROWS(DI$1:DI19))),"")</f>
        <v>19</v>
      </c>
      <c r="DJ504" s="165">
        <f>IFERROR(INDEX(DD$486:DD$534,_xlfn.AGGREGATE(15,6,(ROW(DD$486:DD$534)-ROW(DD$486)+1)/(DD$486:DD$534&lt;&gt;""),ROWS(DJ$1:DJ19))),"")</f>
        <v>249.6216216216219</v>
      </c>
      <c r="DK504" s="166">
        <f t="shared" si="261"/>
        <v>504</v>
      </c>
      <c r="DL504" s="164">
        <f>IFERROR(INDEX(DE$486:DE$534,_xlfn.AGGREGATE(15,6,(ROW(DE$486:DE$534)-ROW(DE$486)+1)/(DE$486:DE$534&lt;&gt;""),ROWS(DL$1:DL19))),"")</f>
        <v>19</v>
      </c>
      <c r="DM504" s="165">
        <f>IFERROR(INDEX(DF$486:DF$534,_xlfn.AGGREGATE(15,6,(ROW(DF$486:DF$534)-ROW(DF$486)+1)/(DF$486:DF$534&lt;&gt;""),ROWS(DM$1:DM19))),"")</f>
        <v>417.30292570707229</v>
      </c>
      <c r="DN504" s="166">
        <f t="shared" si="262"/>
        <v>504</v>
      </c>
      <c r="DO504" s="164">
        <f>IFERROR(INDEX(DG$486:DG$534,_xlfn.AGGREGATE(15,6,(ROW(DG$486:DG$534)-ROW(DG$486)+1)/(DG$486:DG$534&lt;&gt;""),ROWS(DO$1:DO19))),"")</f>
        <v>19</v>
      </c>
      <c r="DP504" s="165">
        <f>IFERROR(INDEX(DH$486:DH$534,_xlfn.AGGREGATE(15,6,(ROW(DH$486:DH$534)-ROW(DH$486)+1)/(DH$486:DH$534&lt;&gt;""),ROWS(DP$1:DP19))),"")</f>
        <v>584.98422979252268</v>
      </c>
      <c r="DQ504" s="166">
        <f t="shared" si="263"/>
        <v>504</v>
      </c>
      <c r="DR504" s="65"/>
      <c r="DV504" s="145">
        <v>2033</v>
      </c>
      <c r="DW504" s="235">
        <f t="shared" ca="1" si="247"/>
        <v>417.22639116964501</v>
      </c>
    </row>
    <row r="505" spans="1:135" ht="13.8" x14ac:dyDescent="0.45">
      <c r="A505" s="298" t="str">
        <f>$A$65</f>
        <v>Maximum Cases</v>
      </c>
      <c r="B505" s="128">
        <v>2031</v>
      </c>
      <c r="C505" s="244">
        <f>'Total MSW Summaries (Archive)'!J22</f>
        <v>563.94498685764381</v>
      </c>
      <c r="D505" s="159">
        <f>'Total MSW Summaries (Archive)'!BF22</f>
        <v>235.45945945945965</v>
      </c>
      <c r="E505" s="292"/>
      <c r="F505" s="293"/>
      <c r="G505" s="294"/>
      <c r="H505" s="292"/>
      <c r="I505" s="293"/>
      <c r="J505" s="294"/>
      <c r="K505" s="292"/>
      <c r="L505" s="293"/>
      <c r="M505" s="292"/>
      <c r="N505" s="29" t="s">
        <v>119</v>
      </c>
      <c r="O505" s="120"/>
      <c r="P505" s="120"/>
      <c r="Q505" s="120"/>
      <c r="R505" s="29">
        <v>17</v>
      </c>
      <c r="S505" s="288">
        <f t="shared" si="248"/>
        <v>235.45945945945965</v>
      </c>
      <c r="T505" s="288">
        <f t="shared" si="249"/>
        <v>563.94498685764381</v>
      </c>
      <c r="U505" s="288">
        <f t="shared" si="250"/>
        <v>164.24276369909208</v>
      </c>
      <c r="W505" s="288">
        <f t="shared" si="251"/>
        <v>235.45945945945968</v>
      </c>
      <c r="X505" s="288">
        <f t="shared" si="252"/>
        <v>399.70222315855176</v>
      </c>
      <c r="Y505" s="288">
        <f t="shared" si="253"/>
        <v>563.94498685764381</v>
      </c>
      <c r="AA505" s="89"/>
      <c r="AB505" s="89"/>
      <c r="AC505" s="89"/>
      <c r="AD505" s="89"/>
      <c r="AE505" s="89"/>
      <c r="AF505" s="89"/>
      <c r="AG505" s="89"/>
      <c r="AH505" s="89"/>
      <c r="AI505" s="89"/>
      <c r="AJ505" s="89"/>
      <c r="AK505" s="89"/>
      <c r="AL505" s="89"/>
      <c r="AM505" s="89"/>
      <c r="AN505" s="89"/>
      <c r="BR505" s="180">
        <v>2029</v>
      </c>
      <c r="BS505" s="22">
        <v>15</v>
      </c>
      <c r="BT505" s="289">
        <f t="shared" si="264"/>
        <v>133.41629664081495</v>
      </c>
      <c r="BU505" s="290">
        <f t="shared" si="265"/>
        <v>246.58063731803296</v>
      </c>
      <c r="BV505" s="205">
        <f t="shared" si="266"/>
        <v>379.99693395884788</v>
      </c>
      <c r="BY505" s="180">
        <v>2029</v>
      </c>
      <c r="BZ505" s="22">
        <v>15</v>
      </c>
      <c r="CA505" s="289">
        <f t="shared" ca="1" si="267"/>
        <v>-3.5779904606199295</v>
      </c>
      <c r="CB505" s="289">
        <f t="shared" ca="1" si="268"/>
        <v>141.04934295680411</v>
      </c>
      <c r="CC505" s="290">
        <f t="shared" ca="1" si="279"/>
        <v>243.78185366883693</v>
      </c>
      <c r="CD505" s="205">
        <f t="shared" ca="1" si="269"/>
        <v>381.25320616502108</v>
      </c>
      <c r="CG505" s="180">
        <v>2029</v>
      </c>
      <c r="CH505" s="22">
        <v>15</v>
      </c>
      <c r="CI505" s="289">
        <f t="shared" ca="1" si="270"/>
        <v>-4.3624907743485419</v>
      </c>
      <c r="CJ505" s="289">
        <f t="shared" ca="1" si="271"/>
        <v>10.381980017295438</v>
      </c>
      <c r="CK505" s="289">
        <f t="shared" ca="1" si="272"/>
        <v>128.9468241063669</v>
      </c>
      <c r="CL505" s="290">
        <f t="shared" ca="1" si="273"/>
        <v>246.10231098383267</v>
      </c>
      <c r="CM505" s="205">
        <f t="shared" ca="1" si="274"/>
        <v>381.06862433314643</v>
      </c>
      <c r="CP505" s="180">
        <v>2029</v>
      </c>
      <c r="CQ505" s="22">
        <v>15</v>
      </c>
      <c r="CR505" s="289">
        <f t="shared" ca="1" si="275"/>
        <v>261.08445288452793</v>
      </c>
      <c r="CS505" s="290">
        <f t="shared" ca="1" si="276"/>
        <v>1.4233961386198748</v>
      </c>
      <c r="CT505" s="205">
        <f t="shared" ca="1" si="277"/>
        <v>371.62660208951968</v>
      </c>
      <c r="CZ505" s="164" t="b">
        <f t="shared" si="254"/>
        <v>1</v>
      </c>
      <c r="DA505" s="165" t="b">
        <f t="shared" si="254"/>
        <v>1</v>
      </c>
      <c r="DB505" s="166" t="b">
        <f t="shared" si="254"/>
        <v>1</v>
      </c>
      <c r="DC505" s="164">
        <f t="shared" si="255"/>
        <v>17</v>
      </c>
      <c r="DD505" s="166">
        <f t="shared" si="256"/>
        <v>235.45945945945968</v>
      </c>
      <c r="DE505" s="164">
        <f t="shared" si="257"/>
        <v>17</v>
      </c>
      <c r="DF505" s="166">
        <f t="shared" si="258"/>
        <v>399.70222315855176</v>
      </c>
      <c r="DG505" s="164">
        <f t="shared" si="259"/>
        <v>17</v>
      </c>
      <c r="DH505" s="166">
        <f t="shared" si="260"/>
        <v>563.94498685764381</v>
      </c>
      <c r="DI505" s="164">
        <f>IFERROR(INDEX(DC$486:DC$534,_xlfn.AGGREGATE(15,6,(ROW(DC$486:DC$534)-ROW(DC$486)+1)/(DC$486:DC$534&lt;&gt;""),ROWS(DI$1:DI20))),"")</f>
        <v>20</v>
      </c>
      <c r="DJ505" s="165">
        <f>IFERROR(INDEX(DD$486:DD$534,_xlfn.AGGREGATE(15,6,(ROW(DD$486:DD$534)-ROW(DD$486)+1)/(DD$486:DD$534&lt;&gt;""),ROWS(DJ$1:DJ20))),"")</f>
        <v>256.70270270270294</v>
      </c>
      <c r="DK505" s="166">
        <f t="shared" si="261"/>
        <v>505</v>
      </c>
      <c r="DL505" s="164">
        <f>IFERROR(INDEX(DE$486:DE$534,_xlfn.AGGREGATE(15,6,(ROW(DE$486:DE$534)-ROW(DE$486)+1)/(DE$486:DE$534&lt;&gt;""),ROWS(DL$1:DL20))),"")</f>
        <v>20</v>
      </c>
      <c r="DM505" s="165">
        <f>IFERROR(INDEX(DF$486:DF$534,_xlfn.AGGREGATE(15,6,(ROW(DF$486:DF$534)-ROW(DF$486)+1)/(DF$486:DF$534&lt;&gt;""),ROWS(DM$1:DM20))),"")</f>
        <v>426.07292491611315</v>
      </c>
      <c r="DN505" s="166">
        <f t="shared" si="262"/>
        <v>505</v>
      </c>
      <c r="DO505" s="164">
        <f>IFERROR(INDEX(DG$486:DG$534,_xlfn.AGGREGATE(15,6,(ROW(DG$486:DG$534)-ROW(DG$486)+1)/(DG$486:DG$534&lt;&gt;""),ROWS(DO$1:DO20))),"")</f>
        <v>20</v>
      </c>
      <c r="DP505" s="165">
        <f>IFERROR(INDEX(DH$486:DH$534,_xlfn.AGGREGATE(15,6,(ROW(DH$486:DH$534)-ROW(DH$486)+1)/(DH$486:DH$534&lt;&gt;""),ROWS(DP$1:DP20))),"")</f>
        <v>595.44314712952337</v>
      </c>
      <c r="DQ505" s="166">
        <f t="shared" si="263"/>
        <v>505</v>
      </c>
      <c r="DR505" s="65"/>
      <c r="DV505" s="145">
        <v>2034</v>
      </c>
      <c r="DW505" s="235">
        <f t="shared" ca="1" si="247"/>
        <v>426.14754428387278</v>
      </c>
    </row>
    <row r="506" spans="1:135" ht="13.8" x14ac:dyDescent="0.45">
      <c r="B506" s="128">
        <v>2032</v>
      </c>
      <c r="C506" s="244">
        <f>'Total MSW Summaries (Archive)'!J23</f>
        <v>574.48157822205258</v>
      </c>
      <c r="D506" s="159">
        <f>'Total MSW Summaries (Archive)'!BF23</f>
        <v>242.54054054054075</v>
      </c>
      <c r="E506" s="292"/>
      <c r="F506" s="293"/>
      <c r="G506" s="294"/>
      <c r="H506" s="292"/>
      <c r="I506" s="293"/>
      <c r="J506" s="294"/>
      <c r="K506" s="292"/>
      <c r="L506" s="293"/>
      <c r="M506" s="292"/>
      <c r="N506" s="29" t="s">
        <v>119</v>
      </c>
      <c r="O506" s="120"/>
      <c r="P506" s="120"/>
      <c r="Q506" s="120"/>
      <c r="R506" s="29">
        <v>18</v>
      </c>
      <c r="S506" s="288">
        <f t="shared" si="248"/>
        <v>242.54054054054075</v>
      </c>
      <c r="T506" s="288">
        <f t="shared" si="249"/>
        <v>574.48157822205258</v>
      </c>
      <c r="U506" s="288">
        <f t="shared" si="250"/>
        <v>165.97051884075589</v>
      </c>
      <c r="W506" s="288">
        <f t="shared" si="251"/>
        <v>242.54054054054077</v>
      </c>
      <c r="X506" s="288">
        <f t="shared" si="252"/>
        <v>408.51105938129666</v>
      </c>
      <c r="Y506" s="288">
        <f t="shared" si="253"/>
        <v>574.48157822205258</v>
      </c>
      <c r="AA506" s="89"/>
      <c r="AB506" s="89"/>
      <c r="AC506" s="89"/>
      <c r="AD506" s="89"/>
      <c r="AE506" s="89"/>
      <c r="AF506" s="89"/>
      <c r="AG506" s="89"/>
      <c r="AH506" s="89"/>
      <c r="AI506" s="89"/>
      <c r="AJ506" s="89"/>
      <c r="AK506" s="89"/>
      <c r="AL506" s="89"/>
      <c r="AM506" s="89"/>
      <c r="AN506" s="89"/>
      <c r="BR506" s="180">
        <v>2030</v>
      </c>
      <c r="BS506" s="22">
        <v>16</v>
      </c>
      <c r="BT506" s="289">
        <f t="shared" si="264"/>
        <v>142.31071641686927</v>
      </c>
      <c r="BU506" s="290">
        <f t="shared" si="265"/>
        <v>246.58063731803296</v>
      </c>
      <c r="BV506" s="205">
        <f t="shared" si="266"/>
        <v>388.89135373490222</v>
      </c>
      <c r="BY506" s="180">
        <v>2030</v>
      </c>
      <c r="BZ506" s="22">
        <v>16</v>
      </c>
      <c r="CA506" s="289">
        <f t="shared" ca="1" si="267"/>
        <v>-4.0709580351942307</v>
      </c>
      <c r="CB506" s="289">
        <f t="shared" ca="1" si="268"/>
        <v>150.45263248725772</v>
      </c>
      <c r="CC506" s="290">
        <f t="shared" ca="1" si="279"/>
        <v>243.78185366883693</v>
      </c>
      <c r="CD506" s="205">
        <f t="shared" ca="1" si="269"/>
        <v>390.16352812090042</v>
      </c>
      <c r="CG506" s="180">
        <v>2030</v>
      </c>
      <c r="CH506" s="22">
        <v>16</v>
      </c>
      <c r="CI506" s="289">
        <f t="shared" ca="1" si="270"/>
        <v>-5.294448062735297</v>
      </c>
      <c r="CJ506" s="289">
        <f t="shared" ca="1" si="271"/>
        <v>11.812386153011699</v>
      </c>
      <c r="CK506" s="289">
        <f t="shared" ca="1" si="272"/>
        <v>137.54327904679135</v>
      </c>
      <c r="CL506" s="290">
        <f t="shared" ca="1" si="273"/>
        <v>246.10231098383267</v>
      </c>
      <c r="CM506" s="205">
        <f t="shared" ca="1" si="274"/>
        <v>390.16352812090042</v>
      </c>
      <c r="CP506" s="180">
        <v>2030</v>
      </c>
      <c r="CQ506" s="22">
        <v>16</v>
      </c>
      <c r="CR506" s="289">
        <f t="shared" ca="1" si="275"/>
        <v>261.08445288452793</v>
      </c>
      <c r="CS506" s="290">
        <f t="shared" ca="1" si="276"/>
        <v>1.4572950919311591</v>
      </c>
      <c r="CT506" s="205">
        <f t="shared" ca="1" si="277"/>
        <v>380.47709176815454</v>
      </c>
      <c r="CZ506" s="164" t="b">
        <f t="shared" si="254"/>
        <v>1</v>
      </c>
      <c r="DA506" s="165" t="b">
        <f t="shared" si="254"/>
        <v>1</v>
      </c>
      <c r="DB506" s="166" t="b">
        <f t="shared" si="254"/>
        <v>1</v>
      </c>
      <c r="DC506" s="164">
        <f t="shared" si="255"/>
        <v>18</v>
      </c>
      <c r="DD506" s="166">
        <f t="shared" si="256"/>
        <v>242.54054054054077</v>
      </c>
      <c r="DE506" s="164">
        <f t="shared" si="257"/>
        <v>18</v>
      </c>
      <c r="DF506" s="166">
        <f t="shared" si="258"/>
        <v>408.51105938129666</v>
      </c>
      <c r="DG506" s="164">
        <f t="shared" si="259"/>
        <v>18</v>
      </c>
      <c r="DH506" s="166">
        <f t="shared" si="260"/>
        <v>574.48157822205258</v>
      </c>
      <c r="DI506" s="164">
        <f>IFERROR(INDEX(DC$486:DC$534,_xlfn.AGGREGATE(15,6,(ROW(DC$486:DC$534)-ROW(DC$486)+1)/(DC$486:DC$534&lt;&gt;""),ROWS(DI$1:DI21))),"")</f>
        <v>21</v>
      </c>
      <c r="DJ506" s="165">
        <f>IFERROR(INDEX(DD$486:DD$534,_xlfn.AGGREGATE(15,6,(ROW(DD$486:DD$534)-ROW(DD$486)+1)/(DD$486:DD$534&lt;&gt;""),ROWS(DJ$1:DJ21))),"")</f>
        <v>263.78378378378397</v>
      </c>
      <c r="DK506" s="166">
        <f t="shared" si="261"/>
        <v>506</v>
      </c>
      <c r="DL506" s="164">
        <f>IFERROR(INDEX(DE$486:DE$534,_xlfn.AGGREGATE(15,6,(ROW(DE$486:DE$534)-ROW(DE$486)+1)/(DE$486:DE$534&lt;&gt;""),ROWS(DL$1:DL21))),"")</f>
        <v>21</v>
      </c>
      <c r="DM506" s="165">
        <f>IFERROR(INDEX(DF$486:DF$534,_xlfn.AGGREGATE(15,6,(ROW(DF$486:DF$534)-ROW(DF$486)+1)/(DF$486:DF$534&lt;&gt;""),ROWS(DM$1:DM21))),"")</f>
        <v>434.81696881402979</v>
      </c>
      <c r="DN506" s="166">
        <f t="shared" si="262"/>
        <v>506</v>
      </c>
      <c r="DO506" s="164">
        <f>IFERROR(INDEX(DG$486:DG$534,_xlfn.AGGREGATE(15,6,(ROW(DG$486:DG$534)-ROW(DG$486)+1)/(DG$486:DG$534&lt;&gt;""),ROWS(DO$1:DO21))),"")</f>
        <v>21</v>
      </c>
      <c r="DP506" s="165">
        <f>IFERROR(INDEX(DH$486:DH$534,_xlfn.AGGREGATE(15,6,(ROW(DH$486:DH$534)-ROW(DH$486)+1)/(DH$486:DH$534&lt;&gt;""),ROWS(DP$1:DP21))),"")</f>
        <v>605.85015384427561</v>
      </c>
      <c r="DQ506" s="166">
        <f t="shared" si="263"/>
        <v>506</v>
      </c>
      <c r="DR506" s="65"/>
      <c r="DV506" s="145">
        <v>2035</v>
      </c>
      <c r="DW506" s="235">
        <f t="shared" ca="1" si="247"/>
        <v>435.005870881833</v>
      </c>
    </row>
    <row r="507" spans="1:135" ht="13.8" x14ac:dyDescent="0.45">
      <c r="B507" s="128">
        <v>2033</v>
      </c>
      <c r="C507" s="244">
        <f>'Total MSW Summaries (Archive)'!J24</f>
        <v>584.98422979252268</v>
      </c>
      <c r="D507" s="159">
        <f>'Total MSW Summaries (Archive)'!BF24</f>
        <v>249.62162162162184</v>
      </c>
      <c r="E507" s="292"/>
      <c r="F507" s="293"/>
      <c r="G507" s="294"/>
      <c r="H507" s="292"/>
      <c r="I507" s="293"/>
      <c r="J507" s="294"/>
      <c r="K507" s="292"/>
      <c r="L507" s="293"/>
      <c r="M507" s="292"/>
      <c r="N507" s="29" t="s">
        <v>119</v>
      </c>
      <c r="O507" s="120"/>
      <c r="P507" s="120"/>
      <c r="Q507" s="120"/>
      <c r="R507" s="29">
        <v>19</v>
      </c>
      <c r="S507" s="288">
        <f t="shared" si="248"/>
        <v>249.62162162162184</v>
      </c>
      <c r="T507" s="288">
        <f t="shared" si="249"/>
        <v>584.98422979252268</v>
      </c>
      <c r="U507" s="288">
        <f t="shared" si="250"/>
        <v>167.68130408545039</v>
      </c>
      <c r="W507" s="288">
        <f t="shared" si="251"/>
        <v>249.6216216216219</v>
      </c>
      <c r="X507" s="288">
        <f t="shared" si="252"/>
        <v>417.30292570707229</v>
      </c>
      <c r="Y507" s="288">
        <f t="shared" si="253"/>
        <v>584.98422979252268</v>
      </c>
      <c r="AA507" s="89"/>
      <c r="AB507" s="89"/>
      <c r="AC507" s="89"/>
      <c r="AD507" s="89"/>
      <c r="AE507" s="89"/>
      <c r="AF507" s="89"/>
      <c r="AG507" s="89"/>
      <c r="AH507" s="89"/>
      <c r="AI507" s="89"/>
      <c r="AJ507" s="89"/>
      <c r="AK507" s="89"/>
      <c r="AL507" s="89"/>
      <c r="AM507" s="89"/>
      <c r="AN507" s="89"/>
      <c r="BR507" s="180">
        <v>2031</v>
      </c>
      <c r="BS507" s="22">
        <v>17</v>
      </c>
      <c r="BT507" s="289">
        <f t="shared" si="264"/>
        <v>151.20513619292359</v>
      </c>
      <c r="BU507" s="290">
        <f t="shared" si="265"/>
        <v>246.58063731803296</v>
      </c>
      <c r="BV507" s="205">
        <f t="shared" si="266"/>
        <v>397.78577351095657</v>
      </c>
      <c r="BY507" s="180">
        <v>2031</v>
      </c>
      <c r="BZ507" s="22">
        <v>17</v>
      </c>
      <c r="CA507" s="289">
        <f t="shared" ca="1" si="267"/>
        <v>-4.5957299694184872</v>
      </c>
      <c r="CB507" s="289">
        <f t="shared" ca="1" si="268"/>
        <v>159.85592201771132</v>
      </c>
      <c r="CC507" s="290">
        <f t="shared" ca="1" si="279"/>
        <v>243.78185366883693</v>
      </c>
      <c r="CD507" s="205">
        <f t="shared" ca="1" si="269"/>
        <v>399.04204571712978</v>
      </c>
      <c r="CG507" s="180">
        <v>2031</v>
      </c>
      <c r="CH507" s="22">
        <v>17</v>
      </c>
      <c r="CI507" s="289">
        <f t="shared" ca="1" si="270"/>
        <v>-6.3504939775924107</v>
      </c>
      <c r="CJ507" s="289">
        <f t="shared" ca="1" si="271"/>
        <v>13.335076555548364</v>
      </c>
      <c r="CK507" s="289">
        <f t="shared" ca="1" si="272"/>
        <v>146.13973398721581</v>
      </c>
      <c r="CL507" s="290">
        <f t="shared" ca="1" si="273"/>
        <v>246.10231098383267</v>
      </c>
      <c r="CM507" s="205">
        <f t="shared" ca="1" si="274"/>
        <v>399.22662754900443</v>
      </c>
      <c r="CP507" s="180">
        <v>2031</v>
      </c>
      <c r="CQ507" s="22">
        <v>17</v>
      </c>
      <c r="CR507" s="289">
        <f t="shared" ca="1" si="275"/>
        <v>261.08445288452793</v>
      </c>
      <c r="CS507" s="290">
        <f t="shared" ca="1" si="276"/>
        <v>1.4920013672552144</v>
      </c>
      <c r="CT507" s="205">
        <f t="shared" ca="1" si="277"/>
        <v>389.53836067279525</v>
      </c>
      <c r="CZ507" s="164" t="b">
        <f t="shared" si="254"/>
        <v>1</v>
      </c>
      <c r="DA507" s="165" t="b">
        <f t="shared" si="254"/>
        <v>1</v>
      </c>
      <c r="DB507" s="166" t="b">
        <f t="shared" si="254"/>
        <v>1</v>
      </c>
      <c r="DC507" s="164">
        <f t="shared" si="255"/>
        <v>19</v>
      </c>
      <c r="DD507" s="166">
        <f t="shared" si="256"/>
        <v>249.6216216216219</v>
      </c>
      <c r="DE507" s="164">
        <f t="shared" si="257"/>
        <v>19</v>
      </c>
      <c r="DF507" s="166">
        <f t="shared" si="258"/>
        <v>417.30292570707229</v>
      </c>
      <c r="DG507" s="164">
        <f t="shared" si="259"/>
        <v>19</v>
      </c>
      <c r="DH507" s="166">
        <f t="shared" si="260"/>
        <v>584.98422979252268</v>
      </c>
      <c r="DI507" s="164">
        <f>IFERROR(INDEX(DC$486:DC$534,_xlfn.AGGREGATE(15,6,(ROW(DC$486:DC$534)-ROW(DC$486)+1)/(DC$486:DC$534&lt;&gt;""),ROWS(DI$1:DI22))),"")</f>
        <v>22</v>
      </c>
      <c r="DJ507" s="165">
        <f>IFERROR(INDEX(DD$486:DD$534,_xlfn.AGGREGATE(15,6,(ROW(DD$486:DD$534)-ROW(DD$486)+1)/(DD$486:DD$534&lt;&gt;""),ROWS(DJ$1:DJ22))),"")</f>
        <v>270.86486486486513</v>
      </c>
      <c r="DK507" s="166">
        <f t="shared" si="261"/>
        <v>507</v>
      </c>
      <c r="DL507" s="164">
        <f>IFERROR(INDEX(DE$486:DE$534,_xlfn.AGGREGATE(15,6,(ROW(DE$486:DE$534)-ROW(DE$486)+1)/(DE$486:DE$534&lt;&gt;""),ROWS(DL$1:DL22))),"")</f>
        <v>22</v>
      </c>
      <c r="DM507" s="165">
        <f>IFERROR(INDEX(DF$486:DF$534,_xlfn.AGGREGATE(15,6,(ROW(DF$486:DF$534)-ROW(DF$486)+1)/(DF$486:DF$534&lt;&gt;""),ROWS(DM$1:DM22))),"")</f>
        <v>443.53133703149956</v>
      </c>
      <c r="DN507" s="166">
        <f t="shared" si="262"/>
        <v>507</v>
      </c>
      <c r="DO507" s="164">
        <f>IFERROR(INDEX(DG$486:DG$534,_xlfn.AGGREGATE(15,6,(ROW(DG$486:DG$534)-ROW(DG$486)+1)/(DG$486:DG$534&lt;&gt;""),ROWS(DO$1:DO22))),"")</f>
        <v>22</v>
      </c>
      <c r="DP507" s="165">
        <f>IFERROR(INDEX(DH$486:DH$534,_xlfn.AGGREGATE(15,6,(ROW(DH$486:DH$534)-ROW(DH$486)+1)/(DH$486:DH$534&lt;&gt;""),ROWS(DP$1:DP22))),"")</f>
        <v>616.197809198134</v>
      </c>
      <c r="DQ507" s="166">
        <f t="shared" si="263"/>
        <v>507</v>
      </c>
      <c r="DR507" s="65"/>
      <c r="DV507" s="145">
        <v>2036</v>
      </c>
      <c r="DW507" s="235">
        <f t="shared" ca="1" si="247"/>
        <v>443.7936154243713</v>
      </c>
    </row>
    <row r="508" spans="1:135" ht="13.8" x14ac:dyDescent="0.45">
      <c r="B508" s="128">
        <v>2034</v>
      </c>
      <c r="C508" s="244">
        <f>'Total MSW Summaries (Archive)'!J25</f>
        <v>595.44314712952337</v>
      </c>
      <c r="D508" s="159">
        <f>'Total MSW Summaries (Archive)'!BF25</f>
        <v>256.70270270270294</v>
      </c>
      <c r="E508" s="292"/>
      <c r="F508" s="293"/>
      <c r="G508" s="294"/>
      <c r="H508" s="292"/>
      <c r="I508" s="293"/>
      <c r="J508" s="294"/>
      <c r="K508" s="292"/>
      <c r="L508" s="293"/>
      <c r="M508" s="292"/>
      <c r="N508" s="29" t="s">
        <v>119</v>
      </c>
      <c r="O508" s="120"/>
      <c r="P508" s="120"/>
      <c r="Q508" s="120"/>
      <c r="R508" s="29">
        <v>20</v>
      </c>
      <c r="S508" s="288">
        <f t="shared" si="248"/>
        <v>256.70270270270294</v>
      </c>
      <c r="T508" s="288">
        <f t="shared" si="249"/>
        <v>595.44314712952337</v>
      </c>
      <c r="U508" s="288">
        <f t="shared" si="250"/>
        <v>169.37022221341024</v>
      </c>
      <c r="W508" s="288">
        <f t="shared" si="251"/>
        <v>256.70270270270294</v>
      </c>
      <c r="X508" s="288">
        <f t="shared" si="252"/>
        <v>426.07292491611315</v>
      </c>
      <c r="Y508" s="288">
        <f t="shared" si="253"/>
        <v>595.44314712952337</v>
      </c>
      <c r="AA508" s="89"/>
      <c r="AB508" s="89"/>
      <c r="AC508" s="89"/>
      <c r="AD508" s="89"/>
      <c r="AE508" s="89"/>
      <c r="AF508" s="89"/>
      <c r="AG508" s="89"/>
      <c r="AH508" s="89"/>
      <c r="AI508" s="89"/>
      <c r="AJ508" s="89"/>
      <c r="AK508" s="89"/>
      <c r="AL508" s="89"/>
      <c r="AM508" s="89"/>
      <c r="AN508" s="89"/>
      <c r="BR508" s="180">
        <v>2032</v>
      </c>
      <c r="BS508" s="22">
        <v>18</v>
      </c>
      <c r="BT508" s="289">
        <f t="shared" si="264"/>
        <v>160.09955596897794</v>
      </c>
      <c r="BU508" s="290">
        <f t="shared" si="265"/>
        <v>246.58063731803296</v>
      </c>
      <c r="BV508" s="205">
        <f t="shared" si="266"/>
        <v>406.68019328701087</v>
      </c>
      <c r="BY508" s="180">
        <v>2032</v>
      </c>
      <c r="BZ508" s="22">
        <v>18</v>
      </c>
      <c r="CA508" s="289">
        <f t="shared" ca="1" si="267"/>
        <v>-5.1523062632926981</v>
      </c>
      <c r="CB508" s="289">
        <f t="shared" ca="1" si="268"/>
        <v>169.25921154816493</v>
      </c>
      <c r="CC508" s="290">
        <f t="shared" ca="1" si="279"/>
        <v>243.78185366883693</v>
      </c>
      <c r="CD508" s="205">
        <f t="shared" ca="1" si="269"/>
        <v>407.88875895370916</v>
      </c>
      <c r="CG508" s="180">
        <v>2032</v>
      </c>
      <c r="CH508" s="22">
        <v>18</v>
      </c>
      <c r="CI508" s="289">
        <f t="shared" ca="1" si="270"/>
        <v>-7.5383840580742802</v>
      </c>
      <c r="CJ508" s="289">
        <f t="shared" ca="1" si="271"/>
        <v>14.950051224905431</v>
      </c>
      <c r="CK508" s="289">
        <f t="shared" ca="1" si="272"/>
        <v>154.73618892764028</v>
      </c>
      <c r="CL508" s="290">
        <f t="shared" ca="1" si="273"/>
        <v>246.10231098383267</v>
      </c>
      <c r="CM508" s="205">
        <f t="shared" ca="1" si="274"/>
        <v>408.25016707830412</v>
      </c>
      <c r="CP508" s="180">
        <v>2032</v>
      </c>
      <c r="CQ508" s="22">
        <v>18</v>
      </c>
      <c r="CR508" s="289">
        <f t="shared" ca="1" si="275"/>
        <v>261.08445288452793</v>
      </c>
      <c r="CS508" s="290">
        <f t="shared" ca="1" si="276"/>
        <v>1.5275341914049252</v>
      </c>
      <c r="CT508" s="205">
        <f t="shared" ca="1" si="277"/>
        <v>398.81542862536469</v>
      </c>
      <c r="CZ508" s="164" t="b">
        <f t="shared" si="254"/>
        <v>1</v>
      </c>
      <c r="DA508" s="165" t="b">
        <f t="shared" si="254"/>
        <v>1</v>
      </c>
      <c r="DB508" s="166" t="b">
        <f t="shared" si="254"/>
        <v>1</v>
      </c>
      <c r="DC508" s="164">
        <f t="shared" si="255"/>
        <v>20</v>
      </c>
      <c r="DD508" s="166">
        <f t="shared" si="256"/>
        <v>256.70270270270294</v>
      </c>
      <c r="DE508" s="164">
        <f t="shared" si="257"/>
        <v>20</v>
      </c>
      <c r="DF508" s="166">
        <f t="shared" si="258"/>
        <v>426.07292491611315</v>
      </c>
      <c r="DG508" s="164">
        <f t="shared" si="259"/>
        <v>20</v>
      </c>
      <c r="DH508" s="166">
        <f t="shared" si="260"/>
        <v>595.44314712952337</v>
      </c>
      <c r="DI508" s="164">
        <f>IFERROR(INDEX(DC$486:DC$534,_xlfn.AGGREGATE(15,6,(ROW(DC$486:DC$534)-ROW(DC$486)+1)/(DC$486:DC$534&lt;&gt;""),ROWS(DI$1:DI23))),"")</f>
        <v>23</v>
      </c>
      <c r="DJ508" s="165">
        <f>IFERROR(INDEX(DD$486:DD$534,_xlfn.AGGREGATE(15,6,(ROW(DD$486:DD$534)-ROW(DD$486)+1)/(DD$486:DD$534&lt;&gt;""),ROWS(DJ$1:DJ23))),"")</f>
        <v>277.94594594594633</v>
      </c>
      <c r="DK508" s="166">
        <f t="shared" si="261"/>
        <v>508</v>
      </c>
      <c r="DL508" s="164">
        <f>IFERROR(INDEX(DE$486:DE$534,_xlfn.AGGREGATE(15,6,(ROW(DE$486:DE$534)-ROW(DE$486)+1)/(DE$486:DE$534&lt;&gt;""),ROWS(DL$1:DL23))),"")</f>
        <v>23</v>
      </c>
      <c r="DM508" s="165">
        <f>IFERROR(INDEX(DF$486:DF$534,_xlfn.AGGREGATE(15,6,(ROW(DF$486:DF$534)-ROW(DF$486)+1)/(DF$486:DF$534&lt;&gt;""),ROWS(DM$1:DM23))),"")</f>
        <v>452.21423485145328</v>
      </c>
      <c r="DN508" s="166">
        <f t="shared" si="262"/>
        <v>508</v>
      </c>
      <c r="DO508" s="164">
        <f>IFERROR(INDEX(DG$486:DG$534,_xlfn.AGGREGATE(15,6,(ROW(DG$486:DG$534)-ROW(DG$486)+1)/(DG$486:DG$534&lt;&gt;""),ROWS(DO$1:DO23))),"")</f>
        <v>23</v>
      </c>
      <c r="DP508" s="165">
        <f>IFERROR(INDEX(DH$486:DH$534,_xlfn.AGGREGATE(15,6,(ROW(DH$486:DH$534)-ROW(DH$486)+1)/(DH$486:DH$534&lt;&gt;""),ROWS(DP$1:DP23))),"")</f>
        <v>626.48252375696029</v>
      </c>
      <c r="DQ508" s="166">
        <f t="shared" si="263"/>
        <v>508</v>
      </c>
      <c r="DR508" s="65"/>
      <c r="DV508" s="145">
        <v>2037</v>
      </c>
      <c r="DW508" s="235">
        <f t="shared" ca="1" si="247"/>
        <v>452.50302237233319</v>
      </c>
    </row>
    <row r="509" spans="1:135" ht="13.8" x14ac:dyDescent="0.45">
      <c r="B509" s="128">
        <v>2035</v>
      </c>
      <c r="C509" s="244">
        <f>'Total MSW Summaries (Archive)'!J26</f>
        <v>605.85015384427561</v>
      </c>
      <c r="D509" s="159">
        <f>'Total MSW Summaries (Archive)'!BF26</f>
        <v>263.78378378378403</v>
      </c>
      <c r="E509" s="292"/>
      <c r="F509" s="293"/>
      <c r="G509" s="294"/>
      <c r="H509" s="292"/>
      <c r="I509" s="293"/>
      <c r="J509" s="294"/>
      <c r="K509" s="292"/>
      <c r="L509" s="293"/>
      <c r="M509" s="292"/>
      <c r="N509" s="29" t="s">
        <v>119</v>
      </c>
      <c r="O509" s="120"/>
      <c r="P509" s="120"/>
      <c r="Q509" s="120"/>
      <c r="R509" s="29">
        <v>21</v>
      </c>
      <c r="S509" s="288">
        <f t="shared" si="248"/>
        <v>263.78378378378403</v>
      </c>
      <c r="T509" s="288">
        <f t="shared" si="249"/>
        <v>605.85015384427561</v>
      </c>
      <c r="U509" s="288">
        <f t="shared" si="250"/>
        <v>171.03318503024585</v>
      </c>
      <c r="W509" s="288">
        <f t="shared" si="251"/>
        <v>263.78378378378397</v>
      </c>
      <c r="X509" s="288">
        <f t="shared" si="252"/>
        <v>434.81696881402979</v>
      </c>
      <c r="Y509" s="288">
        <f t="shared" si="253"/>
        <v>605.85015384427561</v>
      </c>
      <c r="AA509" s="89"/>
      <c r="AB509" s="89"/>
      <c r="AC509" s="89"/>
      <c r="AD509" s="89"/>
      <c r="AE509" s="89"/>
      <c r="AF509" s="89"/>
      <c r="AG509" s="89"/>
      <c r="AH509" s="89"/>
      <c r="AI509" s="89"/>
      <c r="AJ509" s="89"/>
      <c r="AK509" s="89"/>
      <c r="AL509" s="89"/>
      <c r="AM509" s="89"/>
      <c r="AN509" s="89"/>
      <c r="BR509" s="180">
        <v>2033</v>
      </c>
      <c r="BS509" s="22">
        <v>19</v>
      </c>
      <c r="BT509" s="289">
        <f t="shared" si="264"/>
        <v>168.99397574503226</v>
      </c>
      <c r="BU509" s="290">
        <f t="shared" si="265"/>
        <v>246.58063731803296</v>
      </c>
      <c r="BV509" s="205">
        <f t="shared" si="266"/>
        <v>415.57461306306521</v>
      </c>
      <c r="BY509" s="180">
        <v>2033</v>
      </c>
      <c r="BZ509" s="22">
        <v>19</v>
      </c>
      <c r="CA509" s="289">
        <f t="shared" ca="1" si="267"/>
        <v>-5.7406869168168644</v>
      </c>
      <c r="CB509" s="289">
        <f t="shared" ca="1" si="268"/>
        <v>178.66250107861853</v>
      </c>
      <c r="CC509" s="290">
        <f t="shared" ca="1" si="279"/>
        <v>243.78185366883693</v>
      </c>
      <c r="CD509" s="205">
        <f t="shared" ca="1" si="269"/>
        <v>416.70366783063861</v>
      </c>
      <c r="CG509" s="180">
        <v>2033</v>
      </c>
      <c r="CH509" s="22">
        <v>19</v>
      </c>
      <c r="CI509" s="289">
        <f t="shared" ca="1" si="270"/>
        <v>-8.8658738433353026</v>
      </c>
      <c r="CJ509" s="289">
        <f t="shared" ca="1" si="271"/>
        <v>16.657310161082904</v>
      </c>
      <c r="CK509" s="289">
        <f t="shared" ca="1" si="272"/>
        <v>163.33264386806474</v>
      </c>
      <c r="CL509" s="290">
        <f t="shared" ca="1" si="273"/>
        <v>246.10231098383267</v>
      </c>
      <c r="CM509" s="205">
        <f t="shared" ca="1" si="274"/>
        <v>417.22639116964501</v>
      </c>
      <c r="CP509" s="180">
        <v>2033</v>
      </c>
      <c r="CQ509" s="22">
        <v>19</v>
      </c>
      <c r="CR509" s="289">
        <f t="shared" ca="1" si="275"/>
        <v>261.08445288452793</v>
      </c>
      <c r="CS509" s="290">
        <f t="shared" ca="1" si="276"/>
        <v>1.5639132490901835</v>
      </c>
      <c r="CT509" s="205">
        <f t="shared" ca="1" si="277"/>
        <v>408.31343499757503</v>
      </c>
      <c r="CZ509" s="164" t="b">
        <f t="shared" si="254"/>
        <v>1</v>
      </c>
      <c r="DA509" s="165" t="b">
        <f t="shared" si="254"/>
        <v>1</v>
      </c>
      <c r="DB509" s="166" t="b">
        <f t="shared" si="254"/>
        <v>1</v>
      </c>
      <c r="DC509" s="164">
        <f t="shared" si="255"/>
        <v>21</v>
      </c>
      <c r="DD509" s="166">
        <f t="shared" si="256"/>
        <v>263.78378378378397</v>
      </c>
      <c r="DE509" s="164">
        <f t="shared" si="257"/>
        <v>21</v>
      </c>
      <c r="DF509" s="166">
        <f t="shared" si="258"/>
        <v>434.81696881402979</v>
      </c>
      <c r="DG509" s="164">
        <f t="shared" si="259"/>
        <v>21</v>
      </c>
      <c r="DH509" s="166">
        <f t="shared" si="260"/>
        <v>605.85015384427561</v>
      </c>
      <c r="DI509" s="164">
        <f>IFERROR(INDEX(DC$486:DC$534,_xlfn.AGGREGATE(15,6,(ROW(DC$486:DC$534)-ROW(DC$486)+1)/(DC$486:DC$534&lt;&gt;""),ROWS(DI$1:DI24))),"")</f>
        <v>24</v>
      </c>
      <c r="DJ509" s="165">
        <f>IFERROR(INDEX(DD$486:DD$534,_xlfn.AGGREGATE(15,6,(ROW(DD$486:DD$534)-ROW(DD$486)+1)/(DD$486:DD$534&lt;&gt;""),ROWS(DJ$1:DJ24))),"")</f>
        <v>285.02702702702732</v>
      </c>
      <c r="DK509" s="166">
        <f t="shared" si="261"/>
        <v>509</v>
      </c>
      <c r="DL509" s="164">
        <f>IFERROR(INDEX(DE$486:DE$534,_xlfn.AGGREGATE(15,6,(ROW(DE$486:DE$534)-ROW(DE$486)+1)/(DE$486:DE$534&lt;&gt;""),ROWS(DL$1:DL24))),"")</f>
        <v>24</v>
      </c>
      <c r="DM509" s="165">
        <f>IFERROR(INDEX(DF$486:DF$534,_xlfn.AGGREGATE(15,6,(ROW(DF$486:DF$534)-ROW(DF$486)+1)/(DF$486:DF$534&lt;&gt;""),ROWS(DM$1:DM24))),"")</f>
        <v>460.86607162876743</v>
      </c>
      <c r="DN509" s="166">
        <f t="shared" si="262"/>
        <v>509</v>
      </c>
      <c r="DO509" s="164">
        <f>IFERROR(INDEX(DG$486:DG$534,_xlfn.AGGREGATE(15,6,(ROW(DG$486:DG$534)-ROW(DG$486)+1)/(DG$486:DG$534&lt;&gt;""),ROWS(DO$1:DO24))),"")</f>
        <v>24</v>
      </c>
      <c r="DP509" s="165">
        <f>IFERROR(INDEX(DH$486:DH$534,_xlfn.AGGREGATE(15,6,(ROW(DH$486:DH$534)-ROW(DH$486)+1)/(DH$486:DH$534&lt;&gt;""),ROWS(DP$1:DP24))),"")</f>
        <v>636.70511623050754</v>
      </c>
      <c r="DQ509" s="166">
        <f t="shared" si="263"/>
        <v>509</v>
      </c>
      <c r="DR509" s="65"/>
      <c r="DV509" s="145">
        <v>2038</v>
      </c>
      <c r="DW509" s="235">
        <f t="shared" ca="1" si="247"/>
        <v>461.1263361865644</v>
      </c>
    </row>
    <row r="510" spans="1:135" ht="13.8" x14ac:dyDescent="0.45">
      <c r="B510" s="128">
        <v>2036</v>
      </c>
      <c r="C510" s="244">
        <f>'Total MSW Summaries (Archive)'!J27</f>
        <v>616.197809198134</v>
      </c>
      <c r="D510" s="159">
        <f>'Total MSW Summaries (Archive)'!BF27</f>
        <v>270.86486486486513</v>
      </c>
      <c r="E510" s="292"/>
      <c r="F510" s="293"/>
      <c r="G510" s="294"/>
      <c r="H510" s="292"/>
      <c r="I510" s="293"/>
      <c r="J510" s="294"/>
      <c r="K510" s="292"/>
      <c r="L510" s="293"/>
      <c r="M510" s="292"/>
      <c r="N510" s="29" t="s">
        <v>119</v>
      </c>
      <c r="O510" s="120"/>
      <c r="P510" s="120"/>
      <c r="Q510" s="120"/>
      <c r="R510" s="29">
        <v>22</v>
      </c>
      <c r="S510" s="288">
        <f t="shared" si="248"/>
        <v>270.86486486486513</v>
      </c>
      <c r="T510" s="288">
        <f t="shared" si="249"/>
        <v>616.197809198134</v>
      </c>
      <c r="U510" s="288">
        <f t="shared" si="250"/>
        <v>172.66647216663443</v>
      </c>
      <c r="W510" s="288">
        <f t="shared" si="251"/>
        <v>270.86486486486513</v>
      </c>
      <c r="X510" s="288">
        <f t="shared" si="252"/>
        <v>443.53133703149956</v>
      </c>
      <c r="Y510" s="288">
        <f t="shared" si="253"/>
        <v>616.197809198134</v>
      </c>
      <c r="AA510" s="89"/>
      <c r="AB510" s="89"/>
      <c r="AC510" s="89"/>
      <c r="AD510" s="89"/>
      <c r="AE510" s="89"/>
      <c r="AF510" s="89"/>
      <c r="AG510" s="89"/>
      <c r="AH510" s="89"/>
      <c r="AI510" s="89"/>
      <c r="AJ510" s="89"/>
      <c r="AK510" s="89"/>
      <c r="AL510" s="89"/>
      <c r="AM510" s="89"/>
      <c r="AN510" s="89"/>
      <c r="BR510" s="180">
        <v>2034</v>
      </c>
      <c r="BS510" s="22">
        <v>20</v>
      </c>
      <c r="BT510" s="289">
        <f t="shared" si="264"/>
        <v>177.88839552108658</v>
      </c>
      <c r="BU510" s="290">
        <f t="shared" si="265"/>
        <v>246.58063731803296</v>
      </c>
      <c r="BV510" s="205">
        <f t="shared" si="266"/>
        <v>424.46903283911956</v>
      </c>
      <c r="BY510" s="180">
        <v>2034</v>
      </c>
      <c r="BZ510" s="22">
        <v>20</v>
      </c>
      <c r="CA510" s="289">
        <f t="shared" ca="1" si="267"/>
        <v>-6.3608719299909851</v>
      </c>
      <c r="CB510" s="289">
        <f t="shared" ca="1" si="268"/>
        <v>188.06579060907214</v>
      </c>
      <c r="CC510" s="290">
        <f t="shared" ca="1" si="279"/>
        <v>243.78185366883693</v>
      </c>
      <c r="CD510" s="205">
        <f t="shared" ca="1" si="269"/>
        <v>425.48677234791808</v>
      </c>
      <c r="CG510" s="180">
        <v>2034</v>
      </c>
      <c r="CH510" s="22">
        <v>20</v>
      </c>
      <c r="CI510" s="289">
        <f t="shared" ca="1" si="270"/>
        <v>-10.340718872529877</v>
      </c>
      <c r="CJ510" s="289">
        <f t="shared" ca="1" si="271"/>
        <v>18.456853364080779</v>
      </c>
      <c r="CK510" s="289">
        <f t="shared" ca="1" si="272"/>
        <v>171.92909880848919</v>
      </c>
      <c r="CL510" s="290">
        <f t="shared" ca="1" si="273"/>
        <v>246.10231098383267</v>
      </c>
      <c r="CM510" s="205">
        <f t="shared" ca="1" si="274"/>
        <v>426.14754428387278</v>
      </c>
      <c r="CP510" s="180">
        <v>2034</v>
      </c>
      <c r="CQ510" s="22">
        <v>20</v>
      </c>
      <c r="CR510" s="289">
        <f t="shared" ca="1" si="275"/>
        <v>261.08445288452793</v>
      </c>
      <c r="CS510" s="290">
        <f t="shared" ca="1" si="276"/>
        <v>1.6011586938229552</v>
      </c>
      <c r="CT510" s="205">
        <f t="shared" ca="1" si="277"/>
        <v>418.03764155807164</v>
      </c>
      <c r="CZ510" s="164" t="b">
        <f t="shared" si="254"/>
        <v>1</v>
      </c>
      <c r="DA510" s="165" t="b">
        <f t="shared" si="254"/>
        <v>1</v>
      </c>
      <c r="DB510" s="166" t="b">
        <f t="shared" si="254"/>
        <v>1</v>
      </c>
      <c r="DC510" s="164">
        <f t="shared" si="255"/>
        <v>22</v>
      </c>
      <c r="DD510" s="166">
        <f t="shared" si="256"/>
        <v>270.86486486486513</v>
      </c>
      <c r="DE510" s="164">
        <f t="shared" si="257"/>
        <v>22</v>
      </c>
      <c r="DF510" s="166">
        <f t="shared" si="258"/>
        <v>443.53133703149956</v>
      </c>
      <c r="DG510" s="164">
        <f t="shared" si="259"/>
        <v>22</v>
      </c>
      <c r="DH510" s="166">
        <f t="shared" si="260"/>
        <v>616.197809198134</v>
      </c>
      <c r="DI510" s="164">
        <f>IFERROR(INDEX(DC$486:DC$534,_xlfn.AGGREGATE(15,6,(ROW(DC$486:DC$534)-ROW(DC$486)+1)/(DC$486:DC$534&lt;&gt;""),ROWS(DI$1:DI25))),"")</f>
        <v>25</v>
      </c>
      <c r="DJ510" s="165">
        <f>IFERROR(INDEX(DD$486:DD$534,_xlfn.AGGREGATE(15,6,(ROW(DD$486:DD$534)-ROW(DD$486)+1)/(DD$486:DD$534&lt;&gt;""),ROWS(DJ$1:DJ25))),"")</f>
        <v>292.10810810810852</v>
      </c>
      <c r="DK510" s="166">
        <f t="shared" si="261"/>
        <v>510</v>
      </c>
      <c r="DL510" s="164">
        <f>IFERROR(INDEX(DE$486:DE$534,_xlfn.AGGREGATE(15,6,(ROW(DE$486:DE$534)-ROW(DE$486)+1)/(DE$486:DE$534&lt;&gt;""),ROWS(DL$1:DL25))),"")</f>
        <v>25</v>
      </c>
      <c r="DM510" s="165">
        <f>IFERROR(INDEX(DF$486:DF$534,_xlfn.AGGREGATE(15,6,(ROW(DF$486:DF$534)-ROW(DF$486)+1)/(DF$486:DF$534&lt;&gt;""),ROWS(DM$1:DM25))),"")</f>
        <v>469.48872038185584</v>
      </c>
      <c r="DN510" s="166">
        <f t="shared" si="262"/>
        <v>510</v>
      </c>
      <c r="DO510" s="164">
        <f>IFERROR(INDEX(DG$486:DG$534,_xlfn.AGGREGATE(15,6,(ROW(DG$486:DG$534)-ROW(DG$486)+1)/(DG$486:DG$534&lt;&gt;""),ROWS(DO$1:DO25))),"")</f>
        <v>25</v>
      </c>
      <c r="DP510" s="165">
        <f>IFERROR(INDEX(DH$486:DH$534,_xlfn.AGGREGATE(15,6,(ROW(DH$486:DH$534)-ROW(DH$486)+1)/(DH$486:DH$534&lt;&gt;""),ROWS(DP$1:DP25))),"")</f>
        <v>646.8693326556031</v>
      </c>
      <c r="DQ510" s="166">
        <f t="shared" si="263"/>
        <v>510</v>
      </c>
      <c r="DR510" s="65"/>
      <c r="DV510" s="145">
        <v>2039</v>
      </c>
      <c r="DW510" s="235">
        <f t="shared" ca="1" si="247"/>
        <v>469.65580132791047</v>
      </c>
    </row>
    <row r="511" spans="1:135" ht="13.8" x14ac:dyDescent="0.45">
      <c r="B511" s="128">
        <v>2037</v>
      </c>
      <c r="C511" s="244">
        <f>'Total MSW Summaries (Archive)'!J28</f>
        <v>626.48252375696029</v>
      </c>
      <c r="D511" s="159">
        <f>'Total MSW Summaries (Archive)'!BF28</f>
        <v>277.94594594594622</v>
      </c>
      <c r="E511" s="292"/>
      <c r="F511" s="293"/>
      <c r="G511" s="294"/>
      <c r="H511" s="292"/>
      <c r="I511" s="293"/>
      <c r="J511" s="294"/>
      <c r="K511" s="292"/>
      <c r="L511" s="293"/>
      <c r="M511" s="292"/>
      <c r="N511" s="29" t="s">
        <v>119</v>
      </c>
      <c r="O511" s="120"/>
      <c r="P511" s="120"/>
      <c r="Q511" s="120"/>
      <c r="R511" s="29">
        <v>23</v>
      </c>
      <c r="S511" s="288">
        <f t="shared" si="248"/>
        <v>277.94594594594622</v>
      </c>
      <c r="T511" s="288">
        <f t="shared" si="249"/>
        <v>626.48252375696029</v>
      </c>
      <c r="U511" s="288">
        <f t="shared" si="250"/>
        <v>174.26828890550695</v>
      </c>
      <c r="W511" s="288">
        <f t="shared" si="251"/>
        <v>277.94594594594633</v>
      </c>
      <c r="X511" s="288">
        <f t="shared" si="252"/>
        <v>452.21423485145328</v>
      </c>
      <c r="Y511" s="288">
        <f t="shared" si="253"/>
        <v>626.48252375696029</v>
      </c>
      <c r="AA511" s="89"/>
      <c r="AB511" s="89"/>
      <c r="AC511" s="89"/>
      <c r="AD511" s="89"/>
      <c r="AE511" s="89"/>
      <c r="AF511" s="89"/>
      <c r="AG511" s="89"/>
      <c r="AH511" s="89"/>
      <c r="AI511" s="89"/>
      <c r="AJ511" s="89"/>
      <c r="AK511" s="89"/>
      <c r="AL511" s="89"/>
      <c r="AM511" s="89"/>
      <c r="AN511" s="89"/>
      <c r="BR511" s="180">
        <v>2035</v>
      </c>
      <c r="BS511" s="22">
        <v>21</v>
      </c>
      <c r="BT511" s="289">
        <f t="shared" si="264"/>
        <v>186.78281529714093</v>
      </c>
      <c r="BU511" s="290">
        <f t="shared" si="265"/>
        <v>246.58063731803296</v>
      </c>
      <c r="BV511" s="205">
        <f t="shared" si="266"/>
        <v>433.36345261517386</v>
      </c>
      <c r="BY511" s="180">
        <v>2035</v>
      </c>
      <c r="BZ511" s="22">
        <v>21</v>
      </c>
      <c r="CA511" s="289">
        <f t="shared" ca="1" si="267"/>
        <v>-7.0128613028150619</v>
      </c>
      <c r="CB511" s="289">
        <f t="shared" ca="1" si="268"/>
        <v>197.46908013952574</v>
      </c>
      <c r="CC511" s="290">
        <f t="shared" ca="1" si="279"/>
        <v>243.78185366883693</v>
      </c>
      <c r="CD511" s="205">
        <f t="shared" ca="1" si="269"/>
        <v>434.23807250554762</v>
      </c>
      <c r="CG511" s="180">
        <v>2035</v>
      </c>
      <c r="CH511" s="22">
        <v>21</v>
      </c>
      <c r="CI511" s="289">
        <f t="shared" ca="1" si="270"/>
        <v>-11.970674684812399</v>
      </c>
      <c r="CJ511" s="289">
        <f t="shared" ca="1" si="271"/>
        <v>20.34868083389906</v>
      </c>
      <c r="CK511" s="289">
        <f t="shared" ca="1" si="272"/>
        <v>180.52555374891367</v>
      </c>
      <c r="CL511" s="290">
        <f t="shared" ca="1" si="273"/>
        <v>246.10231098383267</v>
      </c>
      <c r="CM511" s="205">
        <f t="shared" ca="1" si="274"/>
        <v>435.005870881833</v>
      </c>
      <c r="CP511" s="180">
        <v>2035</v>
      </c>
      <c r="CQ511" s="22">
        <v>21</v>
      </c>
      <c r="CR511" s="289">
        <f t="shared" ca="1" si="275"/>
        <v>261.08445288452793</v>
      </c>
      <c r="CS511" s="290">
        <f t="shared" ca="1" si="276"/>
        <v>1.6392911590820569</v>
      </c>
      <c r="CT511" s="205">
        <f t="shared" ca="1" si="277"/>
        <v>427.99343538738248</v>
      </c>
      <c r="CZ511" s="164" t="b">
        <f t="shared" si="254"/>
        <v>1</v>
      </c>
      <c r="DA511" s="165" t="b">
        <f t="shared" si="254"/>
        <v>1</v>
      </c>
      <c r="DB511" s="166" t="b">
        <f t="shared" si="254"/>
        <v>1</v>
      </c>
      <c r="DC511" s="164">
        <f t="shared" si="255"/>
        <v>23</v>
      </c>
      <c r="DD511" s="166">
        <f t="shared" si="256"/>
        <v>277.94594594594633</v>
      </c>
      <c r="DE511" s="164">
        <f t="shared" si="257"/>
        <v>23</v>
      </c>
      <c r="DF511" s="166">
        <f t="shared" si="258"/>
        <v>452.21423485145328</v>
      </c>
      <c r="DG511" s="164">
        <f t="shared" si="259"/>
        <v>23</v>
      </c>
      <c r="DH511" s="166">
        <f t="shared" si="260"/>
        <v>626.48252375696029</v>
      </c>
      <c r="DI511" s="164">
        <f>IFERROR(INDEX(DC$486:DC$534,_xlfn.AGGREGATE(15,6,(ROW(DC$486:DC$534)-ROW(DC$486)+1)/(DC$486:DC$534&lt;&gt;""),ROWS(DI$1:DI26))),"")</f>
        <v>26</v>
      </c>
      <c r="DJ511" s="165">
        <f>IFERROR(INDEX(DD$486:DD$534,_xlfn.AGGREGATE(15,6,(ROW(DD$486:DD$534)-ROW(DD$486)+1)/(DD$486:DD$534&lt;&gt;""),ROWS(DJ$1:DJ26))),"")</f>
        <v>299.18918918918945</v>
      </c>
      <c r="DK511" s="166">
        <f t="shared" si="261"/>
        <v>511</v>
      </c>
      <c r="DL511" s="164">
        <f>IFERROR(INDEX(DE$486:DE$534,_xlfn.AGGREGATE(15,6,(ROW(DE$486:DE$534)-ROW(DE$486)+1)/(DE$486:DE$534&lt;&gt;""),ROWS(DL$1:DL26))),"")</f>
        <v>26</v>
      </c>
      <c r="DM511" s="165">
        <f>IFERROR(INDEX(DF$486:DF$534,_xlfn.AGGREGATE(15,6,(ROW(DF$486:DF$534)-ROW(DF$486)+1)/(DF$486:DF$534&lt;&gt;""),ROWS(DM$1:DM26))),"")</f>
        <v>478.08325686028996</v>
      </c>
      <c r="DN511" s="166">
        <f t="shared" si="262"/>
        <v>511</v>
      </c>
      <c r="DO511" s="164">
        <f>IFERROR(INDEX(DG$486:DG$534,_xlfn.AGGREGATE(15,6,(ROW(DG$486:DG$534)-ROW(DG$486)+1)/(DG$486:DG$534&lt;&gt;""),ROWS(DO$1:DO26))),"")</f>
        <v>26</v>
      </c>
      <c r="DP511" s="165">
        <f>IFERROR(INDEX(DH$486:DH$534,_xlfn.AGGREGATE(15,6,(ROW(DH$486:DH$534)-ROW(DH$486)+1)/(DH$486:DH$534&lt;&gt;""),ROWS(DP$1:DP26))),"")</f>
        <v>656.97732453139042</v>
      </c>
      <c r="DQ511" s="166">
        <f t="shared" si="263"/>
        <v>511</v>
      </c>
      <c r="DR511" s="65"/>
      <c r="DV511" s="145">
        <v>2040</v>
      </c>
      <c r="DW511" s="235">
        <f t="shared" ca="1" si="247"/>
        <v>478.08366225721699</v>
      </c>
    </row>
    <row r="512" spans="1:135" ht="13.8" x14ac:dyDescent="0.45">
      <c r="B512" s="128">
        <v>2038</v>
      </c>
      <c r="C512" s="244">
        <f>'Total MSW Summaries (Archive)'!J29</f>
        <v>636.70511623050754</v>
      </c>
      <c r="D512" s="159">
        <f>'Total MSW Summaries (Archive)'!BF29</f>
        <v>285.02702702702732</v>
      </c>
      <c r="E512" s="292"/>
      <c r="F512" s="293"/>
      <c r="G512" s="294"/>
      <c r="H512" s="292"/>
      <c r="I512" s="293"/>
      <c r="J512" s="294"/>
      <c r="K512" s="292"/>
      <c r="L512" s="293"/>
      <c r="M512" s="292"/>
      <c r="N512" s="29" t="s">
        <v>119</v>
      </c>
      <c r="O512" s="120"/>
      <c r="P512" s="120"/>
      <c r="Q512" s="120"/>
      <c r="R512" s="29">
        <v>24</v>
      </c>
      <c r="S512" s="288">
        <f t="shared" si="248"/>
        <v>285.02702702702732</v>
      </c>
      <c r="T512" s="288">
        <f t="shared" si="249"/>
        <v>636.70511623050754</v>
      </c>
      <c r="U512" s="288">
        <f t="shared" si="250"/>
        <v>175.83904460174014</v>
      </c>
      <c r="W512" s="288">
        <f t="shared" si="251"/>
        <v>285.02702702702732</v>
      </c>
      <c r="X512" s="288">
        <f t="shared" si="252"/>
        <v>460.86607162876743</v>
      </c>
      <c r="Y512" s="288">
        <f t="shared" si="253"/>
        <v>636.70511623050754</v>
      </c>
      <c r="AA512" s="89"/>
      <c r="AB512" s="89"/>
      <c r="AC512" s="89"/>
      <c r="AD512" s="89"/>
      <c r="AE512" s="89"/>
      <c r="AF512" s="89"/>
      <c r="AG512" s="89"/>
      <c r="AH512" s="89"/>
      <c r="AI512" s="89"/>
      <c r="AJ512" s="89"/>
      <c r="AK512" s="89"/>
      <c r="AL512" s="89"/>
      <c r="AM512" s="89"/>
      <c r="AN512" s="89"/>
      <c r="BR512" s="180">
        <v>2036</v>
      </c>
      <c r="BS512" s="22">
        <v>22</v>
      </c>
      <c r="BT512" s="289">
        <f t="shared" si="264"/>
        <v>195.67723507319525</v>
      </c>
      <c r="BU512" s="290">
        <f t="shared" si="265"/>
        <v>246.58063731803296</v>
      </c>
      <c r="BV512" s="205">
        <f t="shared" si="266"/>
        <v>442.2578723912282</v>
      </c>
      <c r="BY512" s="180">
        <v>2036</v>
      </c>
      <c r="BZ512" s="22">
        <v>22</v>
      </c>
      <c r="CA512" s="289">
        <f t="shared" ca="1" si="267"/>
        <v>-7.6966550352890923</v>
      </c>
      <c r="CB512" s="289">
        <f t="shared" ca="1" si="268"/>
        <v>206.87236966997935</v>
      </c>
      <c r="CC512" s="290">
        <f t="shared" ca="1" si="279"/>
        <v>243.78185366883693</v>
      </c>
      <c r="CD512" s="205">
        <f t="shared" ca="1" si="269"/>
        <v>442.95756830352718</v>
      </c>
      <c r="CG512" s="180">
        <v>2036</v>
      </c>
      <c r="CH512" s="22">
        <v>22</v>
      </c>
      <c r="CI512" s="289">
        <f t="shared" ca="1" si="270"/>
        <v>-13.763496819337266</v>
      </c>
      <c r="CJ512" s="289">
        <f t="shared" ca="1" si="271"/>
        <v>22.332792570537745</v>
      </c>
      <c r="CK512" s="289">
        <f t="shared" ca="1" si="272"/>
        <v>189.12200868933812</v>
      </c>
      <c r="CL512" s="290">
        <f t="shared" ca="1" si="273"/>
        <v>246.10231098383267</v>
      </c>
      <c r="CM512" s="205">
        <f t="shared" ca="1" si="274"/>
        <v>443.7936154243713</v>
      </c>
      <c r="CP512" s="180">
        <v>2036</v>
      </c>
      <c r="CQ512" s="22">
        <v>22</v>
      </c>
      <c r="CR512" s="289">
        <f t="shared" ca="1" si="275"/>
        <v>261.08445288452793</v>
      </c>
      <c r="CS512" s="290">
        <f t="shared" ca="1" si="276"/>
        <v>1.678331769743826</v>
      </c>
      <c r="CT512" s="205">
        <f t="shared" ca="1" si="277"/>
        <v>438.18633186228834</v>
      </c>
      <c r="CZ512" s="164" t="b">
        <f t="shared" si="254"/>
        <v>1</v>
      </c>
      <c r="DA512" s="165" t="b">
        <f t="shared" si="254"/>
        <v>1</v>
      </c>
      <c r="DB512" s="166" t="b">
        <f t="shared" si="254"/>
        <v>1</v>
      </c>
      <c r="DC512" s="164">
        <f t="shared" si="255"/>
        <v>24</v>
      </c>
      <c r="DD512" s="166">
        <f t="shared" si="256"/>
        <v>285.02702702702732</v>
      </c>
      <c r="DE512" s="164">
        <f t="shared" si="257"/>
        <v>24</v>
      </c>
      <c r="DF512" s="166">
        <f t="shared" si="258"/>
        <v>460.86607162876743</v>
      </c>
      <c r="DG512" s="164">
        <f t="shared" si="259"/>
        <v>24</v>
      </c>
      <c r="DH512" s="166">
        <f t="shared" si="260"/>
        <v>636.70511623050754</v>
      </c>
      <c r="DI512" s="164">
        <f>IFERROR(INDEX(DC$486:DC$534,_xlfn.AGGREGATE(15,6,(ROW(DC$486:DC$534)-ROW(DC$486)+1)/(DC$486:DC$534&lt;&gt;""),ROWS(DI$1:DI27))),"")</f>
        <v>27</v>
      </c>
      <c r="DJ512" s="165">
        <f>IFERROR(INDEX(DD$486:DD$534,_xlfn.AGGREGATE(15,6,(ROW(DD$486:DD$534)-ROW(DD$486)+1)/(DD$486:DD$534&lt;&gt;""),ROWS(DJ$1:DJ27))),"")</f>
        <v>306.27027027027054</v>
      </c>
      <c r="DK512" s="166">
        <f t="shared" si="261"/>
        <v>512</v>
      </c>
      <c r="DL512" s="164">
        <f>IFERROR(INDEX(DE$486:DE$534,_xlfn.AGGREGATE(15,6,(ROW(DE$486:DE$534)-ROW(DE$486)+1)/(DE$486:DE$534&lt;&gt;""),ROWS(DL$1:DL27))),"")</f>
        <v>27</v>
      </c>
      <c r="DM512" s="165">
        <f>IFERROR(INDEX(DF$486:DF$534,_xlfn.AGGREGATE(15,6,(ROW(DF$486:DF$534)-ROW(DF$486)+1)/(DF$486:DF$534&lt;&gt;""),ROWS(DM$1:DM27))),"")</f>
        <v>486.64878511937638</v>
      </c>
      <c r="DN512" s="166">
        <f t="shared" si="262"/>
        <v>512</v>
      </c>
      <c r="DO512" s="164">
        <f>IFERROR(INDEX(DG$486:DG$534,_xlfn.AGGREGATE(15,6,(ROW(DG$486:DG$534)-ROW(DG$486)+1)/(DG$486:DG$534&lt;&gt;""),ROWS(DO$1:DO27))),"")</f>
        <v>27</v>
      </c>
      <c r="DP512" s="165">
        <f>IFERROR(INDEX(DH$486:DH$534,_xlfn.AGGREGATE(15,6,(ROW(DH$486:DH$534)-ROW(DH$486)+1)/(DH$486:DH$534&lt;&gt;""),ROWS(DP$1:DP27))),"")</f>
        <v>667.02729996848223</v>
      </c>
      <c r="DQ512" s="166">
        <f t="shared" si="263"/>
        <v>512</v>
      </c>
      <c r="DR512" s="65"/>
      <c r="DV512" s="145">
        <v>2041</v>
      </c>
      <c r="DW512" s="235">
        <f t="shared" ca="1" si="247"/>
        <v>486.40216343532961</v>
      </c>
    </row>
    <row r="513" spans="2:135" ht="13.8" x14ac:dyDescent="0.45">
      <c r="B513" s="128">
        <v>2039</v>
      </c>
      <c r="C513" s="244">
        <f>'Total MSW Summaries (Archive)'!J30</f>
        <v>646.86933265560322</v>
      </c>
      <c r="D513" s="159">
        <f>'Total MSW Summaries (Archive)'!BF30</f>
        <v>292.10810810810841</v>
      </c>
      <c r="E513" s="292"/>
      <c r="F513" s="293"/>
      <c r="G513" s="294"/>
      <c r="H513" s="292"/>
      <c r="I513" s="293"/>
      <c r="J513" s="294"/>
      <c r="K513" s="292"/>
      <c r="L513" s="293"/>
      <c r="M513" s="292"/>
      <c r="N513" s="29" t="s">
        <v>119</v>
      </c>
      <c r="O513" s="120"/>
      <c r="P513" s="120"/>
      <c r="Q513" s="120"/>
      <c r="R513" s="29">
        <v>25</v>
      </c>
      <c r="S513" s="288">
        <f t="shared" si="248"/>
        <v>292.10810810810841</v>
      </c>
      <c r="T513" s="288">
        <f t="shared" si="249"/>
        <v>646.86933265560322</v>
      </c>
      <c r="U513" s="288">
        <f t="shared" si="250"/>
        <v>177.38061227374732</v>
      </c>
      <c r="W513" s="288">
        <f t="shared" si="251"/>
        <v>292.10810810810852</v>
      </c>
      <c r="X513" s="288">
        <f t="shared" si="252"/>
        <v>469.48872038185584</v>
      </c>
      <c r="Y513" s="288">
        <f t="shared" si="253"/>
        <v>646.8693326556031</v>
      </c>
      <c r="AA513" s="89"/>
      <c r="AB513" s="89"/>
      <c r="AC513" s="89"/>
      <c r="AD513" s="89"/>
      <c r="AE513" s="89"/>
      <c r="AF513" s="89"/>
      <c r="AG513" s="89"/>
      <c r="AH513" s="89"/>
      <c r="AI513" s="89"/>
      <c r="AJ513" s="89"/>
      <c r="AK513" s="89"/>
      <c r="AL513" s="89"/>
      <c r="AM513" s="89"/>
      <c r="AN513" s="89"/>
      <c r="BR513" s="180">
        <v>2037</v>
      </c>
      <c r="BS513" s="22">
        <v>23</v>
      </c>
      <c r="BT513" s="289">
        <f t="shared" si="264"/>
        <v>204.57165484924957</v>
      </c>
      <c r="BU513" s="290">
        <f t="shared" si="265"/>
        <v>246.58063731803296</v>
      </c>
      <c r="BV513" s="205">
        <f t="shared" si="266"/>
        <v>451.15229216728255</v>
      </c>
      <c r="BY513" s="180">
        <v>2037</v>
      </c>
      <c r="BZ513" s="22">
        <v>23</v>
      </c>
      <c r="CA513" s="289">
        <f t="shared" ca="1" si="267"/>
        <v>-8.412253127413079</v>
      </c>
      <c r="CB513" s="289">
        <f t="shared" ca="1" si="268"/>
        <v>216.27565920043295</v>
      </c>
      <c r="CC513" s="290">
        <f t="shared" ca="1" si="279"/>
        <v>243.78185366883693</v>
      </c>
      <c r="CD513" s="205">
        <f t="shared" ca="1" si="269"/>
        <v>451.64525974185682</v>
      </c>
      <c r="CG513" s="180">
        <v>2037</v>
      </c>
      <c r="CH513" s="22">
        <v>23</v>
      </c>
      <c r="CI513" s="289">
        <f t="shared" ca="1" si="270"/>
        <v>-15.726940815258876</v>
      </c>
      <c r="CJ513" s="289">
        <f t="shared" ca="1" si="271"/>
        <v>24.409188573996833</v>
      </c>
      <c r="CK513" s="289">
        <f t="shared" ca="1" si="272"/>
        <v>197.71846362976257</v>
      </c>
      <c r="CL513" s="290">
        <f t="shared" ca="1" si="273"/>
        <v>246.10231098383267</v>
      </c>
      <c r="CM513" s="205">
        <f t="shared" ca="1" si="274"/>
        <v>452.50302237233319</v>
      </c>
      <c r="CP513" s="180">
        <v>2037</v>
      </c>
      <c r="CQ513" s="22">
        <v>23</v>
      </c>
      <c r="CR513" s="289">
        <f t="shared" ca="1" si="275"/>
        <v>261.08445288452793</v>
      </c>
      <c r="CS513" s="290">
        <f t="shared" ca="1" si="276"/>
        <v>1.7183021537850218</v>
      </c>
      <c r="CT513" s="205">
        <f t="shared" ca="1" si="277"/>
        <v>448.62197771126841</v>
      </c>
      <c r="CZ513" s="164" t="b">
        <f t="shared" si="254"/>
        <v>1</v>
      </c>
      <c r="DA513" s="165" t="b">
        <f t="shared" si="254"/>
        <v>1</v>
      </c>
      <c r="DB513" s="166" t="b">
        <f t="shared" si="254"/>
        <v>1</v>
      </c>
      <c r="DC513" s="164">
        <f t="shared" si="255"/>
        <v>25</v>
      </c>
      <c r="DD513" s="166">
        <f t="shared" si="256"/>
        <v>292.10810810810852</v>
      </c>
      <c r="DE513" s="164">
        <f t="shared" si="257"/>
        <v>25</v>
      </c>
      <c r="DF513" s="166">
        <f t="shared" si="258"/>
        <v>469.48872038185584</v>
      </c>
      <c r="DG513" s="164">
        <f t="shared" si="259"/>
        <v>25</v>
      </c>
      <c r="DH513" s="166">
        <f t="shared" si="260"/>
        <v>646.8693326556031</v>
      </c>
      <c r="DI513" s="164">
        <f>IFERROR(INDEX(DC$486:DC$534,_xlfn.AGGREGATE(15,6,(ROW(DC$486:DC$534)-ROW(DC$486)+1)/(DC$486:DC$534&lt;&gt;""),ROWS(DI$1:DI28))),"")</f>
        <v>28</v>
      </c>
      <c r="DJ513" s="165">
        <f>IFERROR(INDEX(DD$486:DD$534,_xlfn.AGGREGATE(15,6,(ROW(DD$486:DD$534)-ROW(DD$486)+1)/(DD$486:DD$534&lt;&gt;""),ROWS(DJ$1:DJ28))),"")</f>
        <v>313.35135135135181</v>
      </c>
      <c r="DK513" s="166">
        <f t="shared" si="261"/>
        <v>513</v>
      </c>
      <c r="DL513" s="164">
        <f>IFERROR(INDEX(DE$486:DE$534,_xlfn.AGGREGATE(15,6,(ROW(DE$486:DE$534)-ROW(DE$486)+1)/(DE$486:DE$534&lt;&gt;""),ROWS(DL$1:DL28))),"")</f>
        <v>28</v>
      </c>
      <c r="DM513" s="165">
        <f>IFERROR(INDEX(DF$486:DF$534,_xlfn.AGGREGATE(15,6,(ROW(DF$486:DF$534)-ROW(DF$486)+1)/(DF$486:DF$534&lt;&gt;""),ROWS(DM$1:DM28))),"")</f>
        <v>494.67526879936497</v>
      </c>
      <c r="DN513" s="166">
        <f t="shared" si="262"/>
        <v>513</v>
      </c>
      <c r="DO513" s="164">
        <f>IFERROR(INDEX(DG$486:DG$534,_xlfn.AGGREGATE(15,6,(ROW(DG$486:DG$534)-ROW(DG$486)+1)/(DG$486:DG$534&lt;&gt;""),ROWS(DO$1:DO28))),"")</f>
        <v>28</v>
      </c>
      <c r="DP513" s="165">
        <f>IFERROR(INDEX(DH$486:DH$534,_xlfn.AGGREGATE(15,6,(ROW(DH$486:DH$534)-ROW(DH$486)+1)/(DH$486:DH$534&lt;&gt;""),ROWS(DP$1:DP28))),"")</f>
        <v>675.99918624737813</v>
      </c>
      <c r="DQ513" s="166">
        <f t="shared" si="263"/>
        <v>513</v>
      </c>
      <c r="DR513" s="65"/>
      <c r="DV513" s="145">
        <v>2042</v>
      </c>
      <c r="DW513" s="235">
        <f t="shared" ca="1" si="247"/>
        <v>494.60354932309389</v>
      </c>
    </row>
    <row r="514" spans="2:135" ht="13.8" x14ac:dyDescent="0.45">
      <c r="B514" s="128">
        <v>2040</v>
      </c>
      <c r="C514" s="244">
        <f>'Total MSW Summaries (Archive)'!J31</f>
        <v>656.97732453139042</v>
      </c>
      <c r="D514" s="159">
        <f>'Total MSW Summaries (Archive)'!BF31</f>
        <v>299.18918918918951</v>
      </c>
      <c r="E514" s="292"/>
      <c r="F514" s="293"/>
      <c r="G514" s="294"/>
      <c r="H514" s="292"/>
      <c r="I514" s="293"/>
      <c r="J514" s="294"/>
      <c r="K514" s="292"/>
      <c r="L514" s="293"/>
      <c r="M514" s="292"/>
      <c r="N514" s="29" t="s">
        <v>119</v>
      </c>
      <c r="O514" s="120"/>
      <c r="P514" s="120"/>
      <c r="Q514" s="120"/>
      <c r="R514" s="29">
        <v>26</v>
      </c>
      <c r="S514" s="288">
        <f t="shared" si="248"/>
        <v>299.18918918918951</v>
      </c>
      <c r="T514" s="288">
        <f t="shared" si="249"/>
        <v>656.97732453139042</v>
      </c>
      <c r="U514" s="288">
        <f t="shared" si="250"/>
        <v>178.89406767110052</v>
      </c>
      <c r="W514" s="288">
        <f t="shared" si="251"/>
        <v>299.18918918918945</v>
      </c>
      <c r="X514" s="288">
        <f t="shared" si="252"/>
        <v>478.08325686028996</v>
      </c>
      <c r="Y514" s="288">
        <f t="shared" si="253"/>
        <v>656.97732453139042</v>
      </c>
      <c r="AA514" s="89"/>
      <c r="AB514" s="89"/>
      <c r="AC514" s="89"/>
      <c r="AD514" s="89"/>
      <c r="AE514" s="89"/>
      <c r="AF514" s="89"/>
      <c r="AG514" s="89"/>
      <c r="AH514" s="89"/>
      <c r="AI514" s="89"/>
      <c r="AJ514" s="89"/>
      <c r="AK514" s="89"/>
      <c r="AL514" s="89"/>
      <c r="AM514" s="89"/>
      <c r="AN514" s="89"/>
      <c r="BR514" s="180">
        <v>2038</v>
      </c>
      <c r="BS514" s="22">
        <v>24</v>
      </c>
      <c r="BT514" s="289">
        <f t="shared" si="264"/>
        <v>213.46607462530392</v>
      </c>
      <c r="BU514" s="290">
        <f t="shared" si="265"/>
        <v>246.58063731803296</v>
      </c>
      <c r="BV514" s="205">
        <f t="shared" si="266"/>
        <v>460.04671194333685</v>
      </c>
      <c r="BY514" s="180">
        <v>2038</v>
      </c>
      <c r="BZ514" s="22">
        <v>24</v>
      </c>
      <c r="CA514" s="289">
        <f t="shared" ca="1" si="267"/>
        <v>-9.1596555791870191</v>
      </c>
      <c r="CB514" s="289">
        <f t="shared" ca="1" si="268"/>
        <v>225.67894873088659</v>
      </c>
      <c r="CC514" s="290">
        <f t="shared" ca="1" si="279"/>
        <v>243.78185366883693</v>
      </c>
      <c r="CD514" s="205">
        <f t="shared" ca="1" si="269"/>
        <v>460.30114682053647</v>
      </c>
      <c r="CG514" s="180">
        <v>2038</v>
      </c>
      <c r="CH514" s="22">
        <v>24</v>
      </c>
      <c r="CI514" s="289">
        <f t="shared" ca="1" si="270"/>
        <v>-17.868762211731628</v>
      </c>
      <c r="CJ514" s="289">
        <f t="shared" ca="1" si="271"/>
        <v>26.577868844276324</v>
      </c>
      <c r="CK514" s="289">
        <f t="shared" ca="1" si="272"/>
        <v>206.31491857018705</v>
      </c>
      <c r="CL514" s="290">
        <f t="shared" ca="1" si="273"/>
        <v>246.10231098383267</v>
      </c>
      <c r="CM514" s="205">
        <f t="shared" ca="1" si="274"/>
        <v>461.1263361865644</v>
      </c>
      <c r="CP514" s="180">
        <v>2038</v>
      </c>
      <c r="CQ514" s="22">
        <v>24</v>
      </c>
      <c r="CR514" s="289">
        <f t="shared" ca="1" si="275"/>
        <v>261.08445288452793</v>
      </c>
      <c r="CS514" s="290">
        <f t="shared" ca="1" si="276"/>
        <v>1.7592244542644344</v>
      </c>
      <c r="CT514" s="205">
        <f t="shared" ca="1" si="277"/>
        <v>459.3061541427121</v>
      </c>
      <c r="CZ514" s="164" t="b">
        <f t="shared" si="254"/>
        <v>1</v>
      </c>
      <c r="DA514" s="165" t="b">
        <f t="shared" si="254"/>
        <v>1</v>
      </c>
      <c r="DB514" s="166" t="b">
        <f t="shared" si="254"/>
        <v>1</v>
      </c>
      <c r="DC514" s="164">
        <f t="shared" si="255"/>
        <v>26</v>
      </c>
      <c r="DD514" s="166">
        <f t="shared" si="256"/>
        <v>299.18918918918945</v>
      </c>
      <c r="DE514" s="164">
        <f t="shared" si="257"/>
        <v>26</v>
      </c>
      <c r="DF514" s="166">
        <f t="shared" si="258"/>
        <v>478.08325686028996</v>
      </c>
      <c r="DG514" s="164">
        <f t="shared" si="259"/>
        <v>26</v>
      </c>
      <c r="DH514" s="166">
        <f t="shared" si="260"/>
        <v>656.97732453139042</v>
      </c>
      <c r="DI514" s="164">
        <f>IFERROR(INDEX(DC$486:DC$534,_xlfn.AGGREGATE(15,6,(ROW(DC$486:DC$534)-ROW(DC$486)+1)/(DC$486:DC$534&lt;&gt;""),ROWS(DI$1:DI29))),"")</f>
        <v>29</v>
      </c>
      <c r="DJ514" s="165">
        <f>IFERROR(INDEX(DD$486:DD$534,_xlfn.AGGREGATE(15,6,(ROW(DD$486:DD$534)-ROW(DD$486)+1)/(DD$486:DD$534&lt;&gt;""),ROWS(DJ$1:DJ29))),"")</f>
        <v>320.43243243243273</v>
      </c>
      <c r="DK514" s="166">
        <f t="shared" si="261"/>
        <v>514</v>
      </c>
      <c r="DL514" s="164">
        <f>IFERROR(INDEX(DE$486:DE$534,_xlfn.AGGREGATE(15,6,(ROW(DE$486:DE$534)-ROW(DE$486)+1)/(DE$486:DE$534&lt;&gt;""),ROWS(DL$1:DL29))),"")</f>
        <v>29</v>
      </c>
      <c r="DM514" s="165">
        <f>IFERROR(INDEX(DF$486:DF$534,_xlfn.AGGREGATE(15,6,(ROW(DF$486:DF$534)-ROW(DF$486)+1)/(DF$486:DF$534&lt;&gt;""),ROWS(DM$1:DM29))),"")</f>
        <v>502.66479641521789</v>
      </c>
      <c r="DN514" s="166">
        <f t="shared" si="262"/>
        <v>514</v>
      </c>
      <c r="DO514" s="164">
        <f>IFERROR(INDEX(DG$486:DG$534,_xlfn.AGGREGATE(15,6,(ROW(DG$486:DG$534)-ROW(DG$486)+1)/(DG$486:DG$534&lt;&gt;""),ROWS(DO$1:DO29))),"")</f>
        <v>29</v>
      </c>
      <c r="DP514" s="165">
        <f>IFERROR(INDEX(DH$486:DH$534,_xlfn.AGGREGATE(15,6,(ROW(DH$486:DH$534)-ROW(DH$486)+1)/(DH$486:DH$534&lt;&gt;""),ROWS(DP$1:DP29))),"")</f>
        <v>684.89716039800305</v>
      </c>
      <c r="DQ514" s="166">
        <f t="shared" si="263"/>
        <v>514</v>
      </c>
      <c r="DR514" s="65"/>
      <c r="DV514" s="145">
        <v>2043</v>
      </c>
      <c r="DW514" s="235">
        <f t="shared" ca="1" si="247"/>
        <v>502.68006438135546</v>
      </c>
      <c r="EA514" s="55"/>
      <c r="EB514" s="55"/>
      <c r="EC514" s="55"/>
      <c r="ED514" s="55"/>
      <c r="EE514" s="55"/>
    </row>
    <row r="515" spans="2:135" ht="13.8" x14ac:dyDescent="0.45">
      <c r="B515" s="128">
        <v>2041</v>
      </c>
      <c r="C515" s="244">
        <f>'Total MSW Summaries (Archive)'!J32</f>
        <v>667.02729996848223</v>
      </c>
      <c r="D515" s="159">
        <f>'Total MSW Summaries (Archive)'!BF32</f>
        <v>306.2702702702706</v>
      </c>
      <c r="E515" s="292"/>
      <c r="F515" s="293"/>
      <c r="G515" s="294"/>
      <c r="H515" s="292"/>
      <c r="I515" s="293"/>
      <c r="J515" s="294"/>
      <c r="K515" s="292"/>
      <c r="L515" s="293"/>
      <c r="M515" s="292"/>
      <c r="N515" s="29" t="s">
        <v>119</v>
      </c>
      <c r="O515" s="120"/>
      <c r="P515" s="120"/>
      <c r="Q515" s="120"/>
      <c r="R515" s="29">
        <v>27</v>
      </c>
      <c r="S515" s="288">
        <f t="shared" si="248"/>
        <v>306.2702702702706</v>
      </c>
      <c r="T515" s="288">
        <f t="shared" si="249"/>
        <v>667.02729996848223</v>
      </c>
      <c r="U515" s="288">
        <f t="shared" si="250"/>
        <v>180.37851484910581</v>
      </c>
      <c r="W515" s="288">
        <f t="shared" si="251"/>
        <v>306.27027027027054</v>
      </c>
      <c r="X515" s="288">
        <f t="shared" si="252"/>
        <v>486.64878511937638</v>
      </c>
      <c r="Y515" s="288">
        <f t="shared" si="253"/>
        <v>667.02729996848223</v>
      </c>
      <c r="AA515" s="89"/>
      <c r="AB515" s="89"/>
      <c r="AC515" s="89"/>
      <c r="AD515" s="89"/>
      <c r="AE515" s="89"/>
      <c r="AF515" s="89"/>
      <c r="AG515" s="89"/>
      <c r="AH515" s="89"/>
      <c r="AI515" s="89"/>
      <c r="AJ515" s="89"/>
      <c r="AK515" s="89"/>
      <c r="AL515" s="89"/>
      <c r="AM515" s="89"/>
      <c r="AN515" s="89"/>
      <c r="BR515" s="180">
        <v>2039</v>
      </c>
      <c r="BS515" s="22">
        <v>25</v>
      </c>
      <c r="BT515" s="289">
        <f t="shared" si="264"/>
        <v>222.36049440135824</v>
      </c>
      <c r="BU515" s="290">
        <f t="shared" si="265"/>
        <v>246.58063731803296</v>
      </c>
      <c r="BV515" s="205">
        <f t="shared" si="266"/>
        <v>468.94113171939119</v>
      </c>
      <c r="BY515" s="180">
        <v>2039</v>
      </c>
      <c r="BZ515" s="22">
        <v>25</v>
      </c>
      <c r="CA515" s="289">
        <f t="shared" ca="1" si="267"/>
        <v>-9.9388623906109146</v>
      </c>
      <c r="CB515" s="289">
        <f t="shared" ca="1" si="268"/>
        <v>235.08223826134019</v>
      </c>
      <c r="CC515" s="290">
        <f t="shared" ca="1" si="279"/>
        <v>243.78185366883693</v>
      </c>
      <c r="CD515" s="205">
        <f t="shared" ca="1" si="269"/>
        <v>468.9252295395662</v>
      </c>
      <c r="CG515" s="180">
        <v>2039</v>
      </c>
      <c r="CH515" s="22">
        <v>25</v>
      </c>
      <c r="CI515" s="289">
        <f t="shared" ca="1" si="270"/>
        <v>-20.196716547909915</v>
      </c>
      <c r="CJ515" s="289">
        <f t="shared" ca="1" si="271"/>
        <v>28.838833381376219</v>
      </c>
      <c r="CK515" s="289">
        <f t="shared" ca="1" si="272"/>
        <v>214.9113735106115</v>
      </c>
      <c r="CL515" s="290">
        <f t="shared" ca="1" si="273"/>
        <v>246.10231098383267</v>
      </c>
      <c r="CM515" s="205">
        <f t="shared" ca="1" si="274"/>
        <v>469.65580132791047</v>
      </c>
      <c r="CP515" s="180">
        <v>2039</v>
      </c>
      <c r="CQ515" s="22">
        <v>25</v>
      </c>
      <c r="CR515" s="289">
        <f t="shared" ca="1" si="275"/>
        <v>261.08445288452793</v>
      </c>
      <c r="CS515" s="290">
        <f t="shared" ca="1" si="276"/>
        <v>1.8011213415898442</v>
      </c>
      <c r="CT515" s="205">
        <f t="shared" ca="1" si="277"/>
        <v>470.24478004763142</v>
      </c>
      <c r="CZ515" s="164" t="b">
        <f t="shared" si="254"/>
        <v>1</v>
      </c>
      <c r="DA515" s="165" t="b">
        <f t="shared" si="254"/>
        <v>1</v>
      </c>
      <c r="DB515" s="166" t="b">
        <f t="shared" si="254"/>
        <v>1</v>
      </c>
      <c r="DC515" s="164">
        <f t="shared" si="255"/>
        <v>27</v>
      </c>
      <c r="DD515" s="166">
        <f t="shared" si="256"/>
        <v>306.27027027027054</v>
      </c>
      <c r="DE515" s="164">
        <f t="shared" si="257"/>
        <v>27</v>
      </c>
      <c r="DF515" s="166">
        <f t="shared" si="258"/>
        <v>486.64878511937638</v>
      </c>
      <c r="DG515" s="164">
        <f t="shared" si="259"/>
        <v>27</v>
      </c>
      <c r="DH515" s="166">
        <f t="shared" si="260"/>
        <v>667.02729996848223</v>
      </c>
      <c r="DI515" s="164">
        <f>IFERROR(INDEX(DC$486:DC$534,_xlfn.AGGREGATE(15,6,(ROW(DC$486:DC$534)-ROW(DC$486)+1)/(DC$486:DC$534&lt;&gt;""),ROWS(DI$1:DI30))),"")</f>
        <v>30</v>
      </c>
      <c r="DJ515" s="165">
        <f>IFERROR(INDEX(DD$486:DD$534,_xlfn.AGGREGATE(15,6,(ROW(DD$486:DD$534)-ROW(DD$486)+1)/(DD$486:DD$534&lt;&gt;""),ROWS(DJ$1:DJ30))),"")</f>
        <v>327.51351351351389</v>
      </c>
      <c r="DK515" s="166">
        <f t="shared" si="261"/>
        <v>515</v>
      </c>
      <c r="DL515" s="164">
        <f>IFERROR(INDEX(DE$486:DE$534,_xlfn.AGGREGATE(15,6,(ROW(DE$486:DE$534)-ROW(DE$486)+1)/(DE$486:DE$534&lt;&gt;""),ROWS(DL$1:DL30))),"")</f>
        <v>30</v>
      </c>
      <c r="DM515" s="165">
        <f>IFERROR(INDEX(DF$486:DF$534,_xlfn.AGGREGATE(15,6,(ROW(DF$486:DF$534)-ROW(DF$486)+1)/(DF$486:DF$534&lt;&gt;""),ROWS(DM$1:DM30))),"")</f>
        <v>510.61536029485762</v>
      </c>
      <c r="DN515" s="166">
        <f t="shared" si="262"/>
        <v>515</v>
      </c>
      <c r="DO515" s="164">
        <f>IFERROR(INDEX(DG$486:DG$534,_xlfn.AGGREGATE(15,6,(ROW(DG$486:DG$534)-ROW(DG$486)+1)/(DG$486:DG$534&lt;&gt;""),ROWS(DO$1:DO30))),"")</f>
        <v>30</v>
      </c>
      <c r="DP515" s="165">
        <f>IFERROR(INDEX(DH$486:DH$534,_xlfn.AGGREGATE(15,6,(ROW(DH$486:DH$534)-ROW(DH$486)+1)/(DH$486:DH$534&lt;&gt;""),ROWS(DP$1:DP30))),"")</f>
        <v>693.71720707620136</v>
      </c>
      <c r="DQ515" s="166">
        <f t="shared" si="263"/>
        <v>515</v>
      </c>
      <c r="DR515" s="65"/>
      <c r="DV515" s="145">
        <v>2044</v>
      </c>
      <c r="DW515" s="235">
        <f t="shared" ca="1" si="247"/>
        <v>510.62395307095994</v>
      </c>
      <c r="EA515" s="55"/>
      <c r="EB515" s="55"/>
      <c r="EC515" s="55"/>
      <c r="ED515" s="55"/>
      <c r="EE515" s="55"/>
    </row>
    <row r="516" spans="2:135" ht="13.8" x14ac:dyDescent="0.45">
      <c r="B516" s="128">
        <v>2042</v>
      </c>
      <c r="C516" s="244">
        <f>'Total MSW Summaries (Archive)'!J33</f>
        <v>675.99918624737825</v>
      </c>
      <c r="D516" s="159">
        <f>'Total MSW Summaries (Archive)'!BF33</f>
        <v>313.3513513513517</v>
      </c>
      <c r="E516" s="292"/>
      <c r="F516" s="293"/>
      <c r="G516" s="294"/>
      <c r="H516" s="292"/>
      <c r="I516" s="293"/>
      <c r="J516" s="294"/>
      <c r="K516" s="292"/>
      <c r="L516" s="293"/>
      <c r="M516" s="292"/>
      <c r="N516" s="29" t="s">
        <v>119</v>
      </c>
      <c r="O516" s="120"/>
      <c r="P516" s="120"/>
      <c r="Q516" s="120"/>
      <c r="R516" s="29">
        <v>28</v>
      </c>
      <c r="S516" s="288">
        <f t="shared" si="248"/>
        <v>313.3513513513517</v>
      </c>
      <c r="T516" s="288">
        <f t="shared" si="249"/>
        <v>675.99918624737825</v>
      </c>
      <c r="U516" s="288">
        <f t="shared" si="250"/>
        <v>181.32391744801319</v>
      </c>
      <c r="W516" s="288">
        <f t="shared" si="251"/>
        <v>313.35135135135181</v>
      </c>
      <c r="X516" s="288">
        <f t="shared" si="252"/>
        <v>494.67526879936497</v>
      </c>
      <c r="Y516" s="288">
        <f t="shared" si="253"/>
        <v>675.99918624737813</v>
      </c>
      <c r="AA516" s="89"/>
      <c r="AB516" s="89"/>
      <c r="AC516" s="89"/>
      <c r="AD516" s="89"/>
      <c r="AE516" s="89"/>
      <c r="AF516" s="89"/>
      <c r="AG516" s="89"/>
      <c r="AH516" s="89"/>
      <c r="AI516" s="89"/>
      <c r="AJ516" s="89"/>
      <c r="AK516" s="89"/>
      <c r="AL516" s="89"/>
      <c r="AM516" s="89"/>
      <c r="AN516" s="89"/>
      <c r="BR516" s="180">
        <v>2040</v>
      </c>
      <c r="BS516" s="22">
        <v>26</v>
      </c>
      <c r="BT516" s="289">
        <f t="shared" si="264"/>
        <v>231.25491417741256</v>
      </c>
      <c r="BU516" s="290">
        <f t="shared" si="265"/>
        <v>246.58063731803296</v>
      </c>
      <c r="BV516" s="205">
        <f t="shared" si="266"/>
        <v>477.83555149544554</v>
      </c>
      <c r="BY516" s="180">
        <v>2040</v>
      </c>
      <c r="BZ516" s="22">
        <v>26</v>
      </c>
      <c r="CA516" s="289">
        <f t="shared" ca="1" si="267"/>
        <v>-10.749873561684765</v>
      </c>
      <c r="CB516" s="289">
        <f t="shared" ca="1" si="268"/>
        <v>244.4855277917938</v>
      </c>
      <c r="CC516" s="290">
        <f t="shared" ca="1" si="279"/>
        <v>243.78185366883693</v>
      </c>
      <c r="CD516" s="205">
        <f t="shared" ca="1" si="269"/>
        <v>477.51750789894595</v>
      </c>
      <c r="CG516" s="180">
        <v>2040</v>
      </c>
      <c r="CH516" s="22">
        <v>26</v>
      </c>
      <c r="CI516" s="289">
        <f t="shared" ca="1" si="270"/>
        <v>-22.718559362948138</v>
      </c>
      <c r="CJ516" s="289">
        <f t="shared" ca="1" si="271"/>
        <v>31.192082185296517</v>
      </c>
      <c r="CK516" s="289">
        <f t="shared" ca="1" si="272"/>
        <v>223.50782845103595</v>
      </c>
      <c r="CL516" s="290">
        <f t="shared" ca="1" si="273"/>
        <v>246.10231098383267</v>
      </c>
      <c r="CM516" s="205">
        <f t="shared" ca="1" si="274"/>
        <v>478.08366225721699</v>
      </c>
      <c r="CP516" s="180">
        <v>2040</v>
      </c>
      <c r="CQ516" s="22">
        <v>26</v>
      </c>
      <c r="CR516" s="289">
        <f t="shared" ca="1" si="275"/>
        <v>261.08445288452793</v>
      </c>
      <c r="CS516" s="290">
        <f t="shared" ca="1" si="276"/>
        <v>1.8440160260771241</v>
      </c>
      <c r="CT516" s="205">
        <f t="shared" ca="1" si="277"/>
        <v>481.44391527864735</v>
      </c>
      <c r="CZ516" s="164" t="b">
        <f t="shared" si="254"/>
        <v>1</v>
      </c>
      <c r="DA516" s="165" t="b">
        <f t="shared" si="254"/>
        <v>1</v>
      </c>
      <c r="DB516" s="166" t="b">
        <f t="shared" si="254"/>
        <v>1</v>
      </c>
      <c r="DC516" s="164">
        <f t="shared" si="255"/>
        <v>28</v>
      </c>
      <c r="DD516" s="166">
        <f t="shared" si="256"/>
        <v>313.35135135135181</v>
      </c>
      <c r="DE516" s="164">
        <f t="shared" si="257"/>
        <v>28</v>
      </c>
      <c r="DF516" s="166">
        <f t="shared" si="258"/>
        <v>494.67526879936497</v>
      </c>
      <c r="DG516" s="164">
        <f t="shared" si="259"/>
        <v>28</v>
      </c>
      <c r="DH516" s="166">
        <f t="shared" si="260"/>
        <v>675.99918624737813</v>
      </c>
      <c r="DI516" s="164">
        <f>IFERROR(INDEX(DC$486:DC$534,_xlfn.AGGREGATE(15,6,(ROW(DC$486:DC$534)-ROW(DC$486)+1)/(DC$486:DC$534&lt;&gt;""),ROWS(DI$1:DI31))),"")</f>
        <v>31</v>
      </c>
      <c r="DJ516" s="165">
        <f>IFERROR(INDEX(DD$486:DD$534,_xlfn.AGGREGATE(15,6,(ROW(DD$486:DD$534)-ROW(DD$486)+1)/(DD$486:DD$534&lt;&gt;""),ROWS(DJ$1:DJ31))),"")</f>
        <v>334.59459459459515</v>
      </c>
      <c r="DK516" s="166">
        <f t="shared" si="261"/>
        <v>516</v>
      </c>
      <c r="DL516" s="164">
        <f>IFERROR(INDEX(DE$486:DE$534,_xlfn.AGGREGATE(15,6,(ROW(DE$486:DE$534)-ROW(DE$486)+1)/(DE$486:DE$534&lt;&gt;""),ROWS(DL$1:DL31))),"")</f>
        <v>31</v>
      </c>
      <c r="DM516" s="165">
        <f>IFERROR(INDEX(DF$486:DF$534,_xlfn.AGGREGATE(15,6,(ROW(DF$486:DF$534)-ROW(DF$486)+1)/(DF$486:DF$534&lt;&gt;""),ROWS(DM$1:DM31))),"")</f>
        <v>518.52524324181763</v>
      </c>
      <c r="DN516" s="166">
        <f t="shared" si="262"/>
        <v>516</v>
      </c>
      <c r="DO516" s="164">
        <f>IFERROR(INDEX(DG$486:DG$534,_xlfn.AGGREGATE(15,6,(ROW(DG$486:DG$534)-ROW(DG$486)+1)/(DG$486:DG$534&lt;&gt;""),ROWS(DO$1:DO31))),"")</f>
        <v>31</v>
      </c>
      <c r="DP516" s="165">
        <f>IFERROR(INDEX(DH$486:DH$534,_xlfn.AGGREGATE(15,6,(ROW(DH$486:DH$534)-ROW(DH$486)+1)/(DH$486:DH$534&lt;&gt;""),ROWS(DP$1:DP31))),"")</f>
        <v>702.45589188904012</v>
      </c>
      <c r="DQ516" s="166">
        <f t="shared" si="263"/>
        <v>516</v>
      </c>
      <c r="DR516" s="65"/>
      <c r="DV516" s="145">
        <v>2045</v>
      </c>
      <c r="DW516" s="235">
        <f t="shared" ca="1" si="247"/>
        <v>518.4274598527528</v>
      </c>
      <c r="EA516" s="55"/>
      <c r="EB516" s="55"/>
      <c r="EC516" s="55"/>
      <c r="ED516" s="55"/>
      <c r="EE516" s="55"/>
    </row>
    <row r="517" spans="2:135" ht="13.8" x14ac:dyDescent="0.45">
      <c r="B517" s="128">
        <v>2043</v>
      </c>
      <c r="C517" s="244">
        <f>'Total MSW Summaries (Archive)'!J34</f>
        <v>684.89716039800305</v>
      </c>
      <c r="D517" s="159">
        <f>'Total MSW Summaries (Archive)'!BF34</f>
        <v>320.43243243243279</v>
      </c>
      <c r="E517" s="292"/>
      <c r="F517" s="293"/>
      <c r="G517" s="294"/>
      <c r="H517" s="292"/>
      <c r="I517" s="293"/>
      <c r="J517" s="294"/>
      <c r="K517" s="292"/>
      <c r="L517" s="293"/>
      <c r="M517" s="292"/>
      <c r="N517" s="29" t="s">
        <v>119</v>
      </c>
      <c r="O517" s="120"/>
      <c r="P517" s="120"/>
      <c r="Q517" s="120"/>
      <c r="R517" s="29">
        <v>29</v>
      </c>
      <c r="S517" s="288">
        <f t="shared" si="248"/>
        <v>320.43243243243279</v>
      </c>
      <c r="T517" s="288">
        <f t="shared" si="249"/>
        <v>684.89716039800305</v>
      </c>
      <c r="U517" s="288">
        <f t="shared" si="250"/>
        <v>182.23236398278519</v>
      </c>
      <c r="W517" s="288">
        <f t="shared" si="251"/>
        <v>320.43243243243273</v>
      </c>
      <c r="X517" s="288">
        <f t="shared" si="252"/>
        <v>502.66479641521789</v>
      </c>
      <c r="Y517" s="288">
        <f t="shared" si="253"/>
        <v>684.89716039800305</v>
      </c>
      <c r="AA517" s="89"/>
      <c r="AB517" s="89"/>
      <c r="AC517" s="89"/>
      <c r="AD517" s="89"/>
      <c r="AE517" s="89"/>
      <c r="AF517" s="89"/>
      <c r="AG517" s="89"/>
      <c r="AH517" s="89"/>
      <c r="AI517" s="89"/>
      <c r="AJ517" s="89"/>
      <c r="AK517" s="89"/>
      <c r="AL517" s="89"/>
      <c r="AM517" s="89"/>
      <c r="AN517" s="89"/>
      <c r="BR517" s="180">
        <v>2041</v>
      </c>
      <c r="BS517" s="22">
        <v>27</v>
      </c>
      <c r="BT517" s="289">
        <f t="shared" si="264"/>
        <v>240.14933395346688</v>
      </c>
      <c r="BU517" s="290">
        <f t="shared" si="265"/>
        <v>246.58063731803296</v>
      </c>
      <c r="BV517" s="205">
        <f t="shared" si="266"/>
        <v>486.72997127149983</v>
      </c>
      <c r="BY517" s="180">
        <v>2041</v>
      </c>
      <c r="BZ517" s="22">
        <v>27</v>
      </c>
      <c r="CA517" s="289">
        <f t="shared" ca="1" si="267"/>
        <v>-11.592689092408571</v>
      </c>
      <c r="CB517" s="289">
        <f t="shared" ca="1" si="268"/>
        <v>253.88881732224741</v>
      </c>
      <c r="CC517" s="290">
        <f t="shared" ca="1" si="279"/>
        <v>243.78185366883693</v>
      </c>
      <c r="CD517" s="205">
        <f t="shared" ca="1" si="269"/>
        <v>486.07798189867577</v>
      </c>
      <c r="CG517" s="180">
        <v>2041</v>
      </c>
      <c r="CH517" s="22">
        <v>27</v>
      </c>
      <c r="CI517" s="289">
        <f t="shared" ca="1" si="270"/>
        <v>-25.442046196000696</v>
      </c>
      <c r="CJ517" s="289">
        <f t="shared" ca="1" si="271"/>
        <v>33.637615256037222</v>
      </c>
      <c r="CK517" s="289">
        <f t="shared" ca="1" si="272"/>
        <v>232.1042833914604</v>
      </c>
      <c r="CL517" s="290">
        <f t="shared" ca="1" si="273"/>
        <v>246.10231098383267</v>
      </c>
      <c r="CM517" s="205">
        <f t="shared" ca="1" si="274"/>
        <v>486.40216343532961</v>
      </c>
      <c r="CP517" s="180">
        <v>2041</v>
      </c>
      <c r="CQ517" s="22">
        <v>27</v>
      </c>
      <c r="CR517" s="289">
        <f t="shared" ca="1" si="275"/>
        <v>261.08445288452793</v>
      </c>
      <c r="CS517" s="290">
        <f t="shared" ca="1" si="276"/>
        <v>1.8879322708084461</v>
      </c>
      <c r="CT517" s="205">
        <f t="shared" ca="1" si="277"/>
        <v>492.90976400706757</v>
      </c>
      <c r="CZ517" s="164" t="b">
        <f t="shared" si="254"/>
        <v>1</v>
      </c>
      <c r="DA517" s="165" t="b">
        <f t="shared" si="254"/>
        <v>1</v>
      </c>
      <c r="DB517" s="166" t="b">
        <f t="shared" si="254"/>
        <v>1</v>
      </c>
      <c r="DC517" s="164">
        <f t="shared" si="255"/>
        <v>29</v>
      </c>
      <c r="DD517" s="166">
        <f t="shared" si="256"/>
        <v>320.43243243243273</v>
      </c>
      <c r="DE517" s="164">
        <f t="shared" si="257"/>
        <v>29</v>
      </c>
      <c r="DF517" s="166">
        <f t="shared" si="258"/>
        <v>502.66479641521789</v>
      </c>
      <c r="DG517" s="164">
        <f t="shared" si="259"/>
        <v>29</v>
      </c>
      <c r="DH517" s="166">
        <f t="shared" si="260"/>
        <v>684.89716039800305</v>
      </c>
      <c r="DI517" s="164" t="str">
        <f>IFERROR(INDEX(DC$486:DC$534,_xlfn.AGGREGATE(15,6,(ROW(DC$486:DC$534)-ROW(DC$486)+1)/(DC$486:DC$534&lt;&gt;""),ROWS(DI$1:DI32))),"")</f>
        <v/>
      </c>
      <c r="DJ517" s="165" t="str">
        <f>IFERROR(INDEX(DD$486:DD$534,_xlfn.AGGREGATE(15,6,(ROW(DD$486:DD$534)-ROW(DD$486)+1)/(DD$486:DD$534&lt;&gt;""),ROWS(DJ$1:DJ32))),"")</f>
        <v/>
      </c>
      <c r="DK517" s="166" t="str">
        <f t="shared" si="261"/>
        <v/>
      </c>
      <c r="DL517" s="164" t="str">
        <f>IFERROR(INDEX(DE$486:DE$534,_xlfn.AGGREGATE(15,6,(ROW(DE$486:DE$534)-ROW(DE$486)+1)/(DE$486:DE$534&lt;&gt;""),ROWS(DL$1:DL32))),"")</f>
        <v/>
      </c>
      <c r="DM517" s="165" t="str">
        <f>IFERROR(INDEX(DF$486:DF$534,_xlfn.AGGREGATE(15,6,(ROW(DF$486:DF$534)-ROW(DF$486)+1)/(DF$486:DF$534&lt;&gt;""),ROWS(DM$1:DM32))),"")</f>
        <v/>
      </c>
      <c r="DN517" s="166" t="str">
        <f t="shared" si="262"/>
        <v/>
      </c>
      <c r="DO517" s="164" t="str">
        <f>IFERROR(INDEX(DG$486:DG$534,_xlfn.AGGREGATE(15,6,(ROW(DG$486:DG$534)-ROW(DG$486)+1)/(DG$486:DG$534&lt;&gt;""),ROWS(DO$1:DO32))),"")</f>
        <v/>
      </c>
      <c r="DP517" s="165" t="str">
        <f>IFERROR(INDEX(DH$486:DH$534,_xlfn.AGGREGATE(15,6,(ROW(DH$486:DH$534)-ROW(DH$486)+1)/(DH$486:DH$534&lt;&gt;""),ROWS(DP$1:DP32))),"")</f>
        <v/>
      </c>
      <c r="DQ517" s="166" t="str">
        <f t="shared" si="263"/>
        <v/>
      </c>
      <c r="DR517" s="65"/>
      <c r="DV517" s="145">
        <v>2046</v>
      </c>
      <c r="DW517" s="235">
        <f t="shared" ca="1" si="247"/>
        <v>526.08282918757982</v>
      </c>
      <c r="EA517" s="55"/>
      <c r="EB517" s="55"/>
      <c r="EC517" s="55"/>
      <c r="ED517" s="55"/>
      <c r="EE517" s="55"/>
    </row>
    <row r="518" spans="2:135" ht="13.8" x14ac:dyDescent="0.45">
      <c r="B518" s="128">
        <v>2044</v>
      </c>
      <c r="C518" s="244">
        <f>'Total MSW Summaries (Archive)'!J35</f>
        <v>693.71720707620136</v>
      </c>
      <c r="D518" s="159">
        <f>'Total MSW Summaries (Archive)'!BF35</f>
        <v>327.51351351351389</v>
      </c>
      <c r="E518" s="292"/>
      <c r="F518" s="293"/>
      <c r="G518" s="294"/>
      <c r="H518" s="292"/>
      <c r="I518" s="293"/>
      <c r="J518" s="294"/>
      <c r="K518" s="292"/>
      <c r="L518" s="293"/>
      <c r="M518" s="292"/>
      <c r="N518" s="29" t="s">
        <v>119</v>
      </c>
      <c r="O518" s="120"/>
      <c r="P518" s="120"/>
      <c r="Q518" s="120"/>
      <c r="R518" s="29">
        <v>30</v>
      </c>
      <c r="S518" s="288">
        <f t="shared" si="248"/>
        <v>327.51351351351389</v>
      </c>
      <c r="T518" s="288">
        <f t="shared" si="249"/>
        <v>693.71720707620136</v>
      </c>
      <c r="U518" s="288">
        <f t="shared" si="250"/>
        <v>183.10184678134374</v>
      </c>
      <c r="W518" s="288">
        <f t="shared" si="251"/>
        <v>327.51351351351389</v>
      </c>
      <c r="X518" s="288">
        <f t="shared" si="252"/>
        <v>510.61536029485762</v>
      </c>
      <c r="Y518" s="288">
        <f t="shared" si="253"/>
        <v>693.71720707620136</v>
      </c>
      <c r="AA518" s="89"/>
      <c r="AB518" s="89"/>
      <c r="AC518" s="89"/>
      <c r="AD518" s="89"/>
      <c r="AE518" s="89"/>
      <c r="AF518" s="89"/>
      <c r="AG518" s="89"/>
      <c r="AH518" s="89"/>
      <c r="AI518" s="89"/>
      <c r="AJ518" s="89"/>
      <c r="AK518" s="89"/>
      <c r="AL518" s="89"/>
      <c r="AM518" s="89"/>
      <c r="AN518" s="89"/>
      <c r="BR518" s="180">
        <v>2042</v>
      </c>
      <c r="BS518" s="22">
        <v>28</v>
      </c>
      <c r="BT518" s="289">
        <f t="shared" si="264"/>
        <v>249.04375372952123</v>
      </c>
      <c r="BU518" s="290">
        <f t="shared" si="265"/>
        <v>246.58063731803296</v>
      </c>
      <c r="BV518" s="205">
        <f t="shared" si="266"/>
        <v>495.62439104755418</v>
      </c>
      <c r="BY518" s="180">
        <v>2042</v>
      </c>
      <c r="BZ518" s="22">
        <v>28</v>
      </c>
      <c r="CA518" s="289">
        <f t="shared" ca="1" si="267"/>
        <v>-12.467308982782331</v>
      </c>
      <c r="CB518" s="289">
        <f t="shared" ca="1" si="268"/>
        <v>263.29210685270101</v>
      </c>
      <c r="CC518" s="290">
        <f t="shared" ca="1" si="279"/>
        <v>243.78185366883693</v>
      </c>
      <c r="CD518" s="205">
        <f t="shared" ca="1" si="269"/>
        <v>494.60665153875561</v>
      </c>
      <c r="CG518" s="180">
        <v>2042</v>
      </c>
      <c r="CH518" s="22">
        <v>28</v>
      </c>
      <c r="CI518" s="289">
        <f t="shared" ca="1" si="270"/>
        <v>-28.374932586221984</v>
      </c>
      <c r="CJ518" s="289">
        <f t="shared" ca="1" si="271"/>
        <v>36.17543259359833</v>
      </c>
      <c r="CK518" s="289">
        <f t="shared" ca="1" si="272"/>
        <v>240.70073833188488</v>
      </c>
      <c r="CL518" s="290">
        <f t="shared" ca="1" si="273"/>
        <v>246.10231098383267</v>
      </c>
      <c r="CM518" s="205">
        <f t="shared" ca="1" si="274"/>
        <v>494.60354932309389</v>
      </c>
      <c r="CP518" s="180">
        <v>2042</v>
      </c>
      <c r="CQ518" s="22">
        <v>28</v>
      </c>
      <c r="CR518" s="289">
        <f t="shared" ca="1" si="275"/>
        <v>261.08445288452793</v>
      </c>
      <c r="CS518" s="290">
        <f t="shared" ca="1" si="276"/>
        <v>1.9328944047967089</v>
      </c>
      <c r="CT518" s="205">
        <f t="shared" ca="1" si="277"/>
        <v>504.64867815991403</v>
      </c>
      <c r="CZ518" s="164" t="b">
        <f t="shared" si="254"/>
        <v>1</v>
      </c>
      <c r="DA518" s="165" t="b">
        <f t="shared" si="254"/>
        <v>1</v>
      </c>
      <c r="DB518" s="166" t="b">
        <f t="shared" si="254"/>
        <v>1</v>
      </c>
      <c r="DC518" s="164">
        <f t="shared" si="255"/>
        <v>30</v>
      </c>
      <c r="DD518" s="166">
        <f t="shared" si="256"/>
        <v>327.51351351351389</v>
      </c>
      <c r="DE518" s="164">
        <f t="shared" si="257"/>
        <v>30</v>
      </c>
      <c r="DF518" s="166">
        <f t="shared" si="258"/>
        <v>510.61536029485762</v>
      </c>
      <c r="DG518" s="164">
        <f t="shared" si="259"/>
        <v>30</v>
      </c>
      <c r="DH518" s="166">
        <f t="shared" si="260"/>
        <v>693.71720707620136</v>
      </c>
      <c r="DI518" s="164" t="str">
        <f>IFERROR(INDEX(DC$486:DC$534,_xlfn.AGGREGATE(15,6,(ROW(DC$486:DC$534)-ROW(DC$486)+1)/(DC$486:DC$534&lt;&gt;""),ROWS(DI$1:DI33))),"")</f>
        <v/>
      </c>
      <c r="DJ518" s="165" t="str">
        <f>IFERROR(INDEX(DD$486:DD$534,_xlfn.AGGREGATE(15,6,(ROW(DD$486:DD$534)-ROW(DD$486)+1)/(DD$486:DD$534&lt;&gt;""),ROWS(DJ$1:DJ33))),"")</f>
        <v/>
      </c>
      <c r="DK518" s="166" t="str">
        <f t="shared" si="261"/>
        <v/>
      </c>
      <c r="DL518" s="164" t="str">
        <f>IFERROR(INDEX(DE$486:DE$534,_xlfn.AGGREGATE(15,6,(ROW(DE$486:DE$534)-ROW(DE$486)+1)/(DE$486:DE$534&lt;&gt;""),ROWS(DL$1:DL33))),"")</f>
        <v/>
      </c>
      <c r="DM518" s="165" t="str">
        <f>IFERROR(INDEX(DF$486:DF$534,_xlfn.AGGREGATE(15,6,(ROW(DF$486:DF$534)-ROW(DF$486)+1)/(DF$486:DF$534&lt;&gt;""),ROWS(DM$1:DM33))),"")</f>
        <v/>
      </c>
      <c r="DN518" s="166" t="str">
        <f t="shared" si="262"/>
        <v/>
      </c>
      <c r="DO518" s="164" t="str">
        <f>IFERROR(INDEX(DG$486:DG$534,_xlfn.AGGREGATE(15,6,(ROW(DG$486:DG$534)-ROW(DG$486)+1)/(DG$486:DG$534&lt;&gt;""),ROWS(DO$1:DO33))),"")</f>
        <v/>
      </c>
      <c r="DP518" s="165" t="str">
        <f>IFERROR(INDEX(DH$486:DH$534,_xlfn.AGGREGATE(15,6,(ROW(DH$486:DH$534)-ROW(DH$486)+1)/(DH$486:DH$534&lt;&gt;""),ROWS(DP$1:DP33))),"")</f>
        <v/>
      </c>
      <c r="DQ518" s="166" t="str">
        <f t="shared" si="263"/>
        <v/>
      </c>
      <c r="DR518" s="65"/>
      <c r="DV518" s="145">
        <v>2047</v>
      </c>
      <c r="DW518" s="235">
        <f t="shared" ca="1" si="247"/>
        <v>533.58230553628653</v>
      </c>
      <c r="EA518" s="55"/>
      <c r="EB518" s="55"/>
      <c r="EC518" s="55"/>
      <c r="ED518" s="55"/>
      <c r="EE518" s="55"/>
    </row>
    <row r="519" spans="2:135" ht="13.8" x14ac:dyDescent="0.45">
      <c r="B519" s="128">
        <v>2045</v>
      </c>
      <c r="C519" s="244">
        <f>'Total MSW Summaries (Archive)'!J36</f>
        <v>702.45589188904023</v>
      </c>
      <c r="D519" s="159">
        <f>'Total MSW Summaries (Archive)'!BF36</f>
        <v>334.59459459459498</v>
      </c>
      <c r="E519" s="292"/>
      <c r="F519" s="293"/>
      <c r="G519" s="294"/>
      <c r="H519" s="292"/>
      <c r="I519" s="293"/>
      <c r="J519" s="294"/>
      <c r="K519" s="292"/>
      <c r="L519" s="293"/>
      <c r="M519" s="292"/>
      <c r="N519" s="29" t="s">
        <v>119</v>
      </c>
      <c r="O519" s="120"/>
      <c r="P519" s="120"/>
      <c r="Q519" s="120"/>
      <c r="R519" s="29">
        <v>31</v>
      </c>
      <c r="S519" s="288">
        <f t="shared" si="248"/>
        <v>334.59459459459498</v>
      </c>
      <c r="T519" s="288">
        <f t="shared" si="249"/>
        <v>702.45589188904023</v>
      </c>
      <c r="U519" s="288">
        <f t="shared" si="250"/>
        <v>183.93064864722251</v>
      </c>
      <c r="W519" s="288">
        <f t="shared" si="251"/>
        <v>334.59459459459515</v>
      </c>
      <c r="X519" s="288">
        <f t="shared" si="252"/>
        <v>518.52524324181763</v>
      </c>
      <c r="Y519" s="288">
        <f t="shared" si="253"/>
        <v>702.45589188904012</v>
      </c>
      <c r="AA519" s="89"/>
      <c r="AB519" s="89"/>
      <c r="AC519" s="89"/>
      <c r="AD519" s="89"/>
      <c r="AE519" s="89"/>
      <c r="AF519" s="89"/>
      <c r="AG519" s="89"/>
      <c r="AH519" s="89"/>
      <c r="AI519" s="89"/>
      <c r="AJ519" s="89"/>
      <c r="AK519" s="89"/>
      <c r="AL519" s="89"/>
      <c r="AM519" s="89"/>
      <c r="AN519" s="89"/>
      <c r="BR519" s="180">
        <v>2043</v>
      </c>
      <c r="BS519" s="22">
        <v>29</v>
      </c>
      <c r="BT519" s="289">
        <f t="shared" si="264"/>
        <v>257.93817350557555</v>
      </c>
      <c r="BU519" s="290">
        <f t="shared" si="265"/>
        <v>246.58063731803296</v>
      </c>
      <c r="BV519" s="205">
        <f t="shared" si="266"/>
        <v>504.51881082360853</v>
      </c>
      <c r="BY519" s="180">
        <v>2043</v>
      </c>
      <c r="BZ519" s="22">
        <v>29</v>
      </c>
      <c r="CA519" s="289">
        <f t="shared" ca="1" si="267"/>
        <v>-13.373733232806048</v>
      </c>
      <c r="CB519" s="289">
        <f t="shared" ca="1" si="268"/>
        <v>272.69539638315462</v>
      </c>
      <c r="CC519" s="290">
        <f t="shared" ca="1" si="279"/>
        <v>243.78185366883693</v>
      </c>
      <c r="CD519" s="205">
        <f t="shared" ca="1" si="269"/>
        <v>503.10351681918553</v>
      </c>
      <c r="CG519" s="180">
        <v>2043</v>
      </c>
      <c r="CH519" s="22">
        <v>29</v>
      </c>
      <c r="CI519" s="289">
        <f t="shared" ca="1" si="270"/>
        <v>-31.524974072766398</v>
      </c>
      <c r="CJ519" s="289">
        <f t="shared" ca="1" si="271"/>
        <v>38.805534197979838</v>
      </c>
      <c r="CK519" s="289">
        <f t="shared" ca="1" si="272"/>
        <v>249.29719327230933</v>
      </c>
      <c r="CL519" s="290">
        <f t="shared" ca="1" si="273"/>
        <v>246.10231098383267</v>
      </c>
      <c r="CM519" s="205">
        <f t="shared" ca="1" si="274"/>
        <v>502.68006438135546</v>
      </c>
      <c r="CP519" s="180">
        <v>2043</v>
      </c>
      <c r="CQ519" s="22">
        <v>29</v>
      </c>
      <c r="CR519" s="289">
        <f t="shared" ca="1" si="275"/>
        <v>261.08445288452793</v>
      </c>
      <c r="CS519" s="290">
        <f t="shared" ca="1" si="276"/>
        <v>1.9789273364634885</v>
      </c>
      <c r="CT519" s="205">
        <f t="shared" ca="1" si="277"/>
        <v>516.66716093880598</v>
      </c>
      <c r="CZ519" s="164" t="b">
        <f t="shared" si="254"/>
        <v>1</v>
      </c>
      <c r="DA519" s="165" t="b">
        <f t="shared" si="254"/>
        <v>1</v>
      </c>
      <c r="DB519" s="166" t="b">
        <f t="shared" si="254"/>
        <v>1</v>
      </c>
      <c r="DC519" s="164">
        <f t="shared" si="255"/>
        <v>31</v>
      </c>
      <c r="DD519" s="166">
        <f t="shared" si="256"/>
        <v>334.59459459459515</v>
      </c>
      <c r="DE519" s="164">
        <f t="shared" si="257"/>
        <v>31</v>
      </c>
      <c r="DF519" s="166">
        <f t="shared" si="258"/>
        <v>518.52524324181763</v>
      </c>
      <c r="DG519" s="164">
        <f t="shared" si="259"/>
        <v>31</v>
      </c>
      <c r="DH519" s="166">
        <f t="shared" si="260"/>
        <v>702.45589188904012</v>
      </c>
      <c r="DI519" s="164" t="str">
        <f>IFERROR(INDEX(DC$486:DC$534,_xlfn.AGGREGATE(15,6,(ROW(DC$486:DC$534)-ROW(DC$486)+1)/(DC$486:DC$534&lt;&gt;""),ROWS(DI$1:DI34))),"")</f>
        <v/>
      </c>
      <c r="DJ519" s="165" t="str">
        <f>IFERROR(INDEX(DD$486:DD$534,_xlfn.AGGREGATE(15,6,(ROW(DD$486:DD$534)-ROW(DD$486)+1)/(DD$486:DD$534&lt;&gt;""),ROWS(DJ$1:DJ34))),"")</f>
        <v/>
      </c>
      <c r="DK519" s="166" t="str">
        <f t="shared" si="261"/>
        <v/>
      </c>
      <c r="DL519" s="164" t="str">
        <f>IFERROR(INDEX(DE$486:DE$534,_xlfn.AGGREGATE(15,6,(ROW(DE$486:DE$534)-ROW(DE$486)+1)/(DE$486:DE$534&lt;&gt;""),ROWS(DL$1:DL34))),"")</f>
        <v/>
      </c>
      <c r="DM519" s="165" t="str">
        <f>IFERROR(INDEX(DF$486:DF$534,_xlfn.AGGREGATE(15,6,(ROW(DF$486:DF$534)-ROW(DF$486)+1)/(DF$486:DF$534&lt;&gt;""),ROWS(DM$1:DM34))),"")</f>
        <v/>
      </c>
      <c r="DN519" s="166" t="str">
        <f t="shared" si="262"/>
        <v/>
      </c>
      <c r="DO519" s="164" t="str">
        <f>IFERROR(INDEX(DG$486:DG$534,_xlfn.AGGREGATE(15,6,(ROW(DG$486:DG$534)-ROW(DG$486)+1)/(DG$486:DG$534&lt;&gt;""),ROWS(DO$1:DO34))),"")</f>
        <v/>
      </c>
      <c r="DP519" s="165" t="str">
        <f>IFERROR(INDEX(DH$486:DH$534,_xlfn.AGGREGATE(15,6,(ROW(DH$486:DH$534)-ROW(DH$486)+1)/(DH$486:DH$534&lt;&gt;""),ROWS(DP$1:DP34))),"")</f>
        <v/>
      </c>
      <c r="DQ519" s="166" t="str">
        <f t="shared" si="263"/>
        <v/>
      </c>
      <c r="DR519" s="65"/>
      <c r="DV519" s="145">
        <v>2048</v>
      </c>
      <c r="DW519" s="235">
        <f t="shared" ca="1" si="247"/>
        <v>540.91813335971847</v>
      </c>
      <c r="EA519" s="55"/>
      <c r="EB519" s="55"/>
      <c r="EC519" s="55"/>
      <c r="ED519" s="55"/>
      <c r="EE519" s="55"/>
    </row>
    <row r="520" spans="2:135" ht="13.8" x14ac:dyDescent="0.45">
      <c r="B520" s="128">
        <v>2046</v>
      </c>
      <c r="C520" s="244"/>
      <c r="D520" s="159"/>
      <c r="E520" s="292"/>
      <c r="F520" s="293"/>
      <c r="G520" s="294"/>
      <c r="H520" s="292"/>
      <c r="I520" s="293"/>
      <c r="J520" s="294"/>
      <c r="K520" s="292"/>
      <c r="L520" s="293"/>
      <c r="M520" s="292"/>
      <c r="N520" s="29" t="s">
        <v>119</v>
      </c>
      <c r="O520" s="120"/>
      <c r="P520" s="120"/>
      <c r="Q520" s="120"/>
      <c r="R520" s="29">
        <v>32</v>
      </c>
      <c r="S520" s="288" t="str">
        <f t="shared" si="248"/>
        <v/>
      </c>
      <c r="T520" s="288" t="str">
        <f t="shared" si="249"/>
        <v/>
      </c>
      <c r="U520" s="288" t="str">
        <f t="shared" si="250"/>
        <v/>
      </c>
      <c r="W520" s="288" t="e">
        <f t="shared" si="251"/>
        <v>#N/A</v>
      </c>
      <c r="X520" s="288" t="e">
        <f t="shared" si="252"/>
        <v>#N/A</v>
      </c>
      <c r="Y520" s="288" t="e">
        <f t="shared" si="253"/>
        <v>#N/A</v>
      </c>
      <c r="AA520" s="89"/>
      <c r="AB520" s="89"/>
      <c r="AC520" s="89"/>
      <c r="AD520" s="89"/>
      <c r="AE520" s="89"/>
      <c r="AF520" s="89"/>
      <c r="AG520" s="89"/>
      <c r="AH520" s="89"/>
      <c r="AI520" s="89"/>
      <c r="AJ520" s="89"/>
      <c r="AK520" s="89"/>
      <c r="AL520" s="89"/>
      <c r="AM520" s="89"/>
      <c r="AN520" s="89"/>
      <c r="BR520" s="180">
        <v>2044</v>
      </c>
      <c r="BS520" s="22">
        <v>30</v>
      </c>
      <c r="BT520" s="289">
        <f t="shared" si="264"/>
        <v>266.8325932816299</v>
      </c>
      <c r="BU520" s="290">
        <f t="shared" si="265"/>
        <v>246.58063731803296</v>
      </c>
      <c r="BV520" s="205">
        <f t="shared" si="266"/>
        <v>513.41323059966282</v>
      </c>
      <c r="BY520" s="180">
        <v>2044</v>
      </c>
      <c r="BZ520" s="22">
        <v>30</v>
      </c>
      <c r="CA520" s="289">
        <f t="shared" ca="1" si="267"/>
        <v>-14.311961842479718</v>
      </c>
      <c r="CB520" s="289">
        <f t="shared" ca="1" si="268"/>
        <v>282.09868591360822</v>
      </c>
      <c r="CC520" s="290">
        <f t="shared" ca="1" si="279"/>
        <v>243.78185366883693</v>
      </c>
      <c r="CD520" s="205">
        <f t="shared" ca="1" si="269"/>
        <v>511.56857773996546</v>
      </c>
      <c r="CG520" s="180">
        <v>2044</v>
      </c>
      <c r="CH520" s="22">
        <v>30</v>
      </c>
      <c r="CI520" s="289">
        <f t="shared" ca="1" si="270"/>
        <v>-34.899926194788335</v>
      </c>
      <c r="CJ520" s="289">
        <f t="shared" ca="1" si="271"/>
        <v>41.527920069181754</v>
      </c>
      <c r="CK520" s="289">
        <f t="shared" ca="1" si="272"/>
        <v>257.89364821273381</v>
      </c>
      <c r="CL520" s="290">
        <f t="shared" ca="1" si="273"/>
        <v>246.10231098383267</v>
      </c>
      <c r="CM520" s="205">
        <f t="shared" ca="1" si="274"/>
        <v>510.62395307095994</v>
      </c>
      <c r="CP520" s="180">
        <v>2044</v>
      </c>
      <c r="CQ520" s="22">
        <v>30</v>
      </c>
      <c r="CR520" s="289">
        <f t="shared" ca="1" si="275"/>
        <v>261.08445288452793</v>
      </c>
      <c r="CS520" s="290">
        <f t="shared" ca="1" si="276"/>
        <v>2.0260565674379696</v>
      </c>
      <c r="CT520" s="205">
        <f t="shared" ca="1" si="277"/>
        <v>528.97187042264693</v>
      </c>
      <c r="CZ520" s="164" t="b">
        <f t="shared" si="254"/>
        <v>0</v>
      </c>
      <c r="DA520" s="165" t="b">
        <f t="shared" si="254"/>
        <v>0</v>
      </c>
      <c r="DB520" s="166" t="b">
        <f t="shared" si="254"/>
        <v>0</v>
      </c>
      <c r="DC520" s="164" t="str">
        <f t="shared" si="255"/>
        <v/>
      </c>
      <c r="DD520" s="166" t="str">
        <f t="shared" si="256"/>
        <v/>
      </c>
      <c r="DE520" s="164" t="str">
        <f t="shared" si="257"/>
        <v/>
      </c>
      <c r="DF520" s="166" t="str">
        <f t="shared" si="258"/>
        <v/>
      </c>
      <c r="DG520" s="164" t="str">
        <f t="shared" si="259"/>
        <v/>
      </c>
      <c r="DH520" s="166" t="str">
        <f t="shared" si="260"/>
        <v/>
      </c>
      <c r="DI520" s="164" t="str">
        <f>IFERROR(INDEX(DC$486:DC$534,_xlfn.AGGREGATE(15,6,(ROW(DC$486:DC$534)-ROW(DC$486)+1)/(DC$486:DC$534&lt;&gt;""),ROWS(DI$1:DI35))),"")</f>
        <v/>
      </c>
      <c r="DJ520" s="165" t="str">
        <f>IFERROR(INDEX(DD$486:DD$534,_xlfn.AGGREGATE(15,6,(ROW(DD$486:DD$534)-ROW(DD$486)+1)/(DD$486:DD$534&lt;&gt;""),ROWS(DJ$1:DJ35))),"")</f>
        <v/>
      </c>
      <c r="DK520" s="166" t="str">
        <f t="shared" si="261"/>
        <v/>
      </c>
      <c r="DL520" s="164" t="str">
        <f>IFERROR(INDEX(DE$486:DE$534,_xlfn.AGGREGATE(15,6,(ROW(DE$486:DE$534)-ROW(DE$486)+1)/(DE$486:DE$534&lt;&gt;""),ROWS(DL$1:DL35))),"")</f>
        <v/>
      </c>
      <c r="DM520" s="165" t="str">
        <f>IFERROR(INDEX(DF$486:DF$534,_xlfn.AGGREGATE(15,6,(ROW(DF$486:DF$534)-ROW(DF$486)+1)/(DF$486:DF$534&lt;&gt;""),ROWS(DM$1:DM35))),"")</f>
        <v/>
      </c>
      <c r="DN520" s="166" t="str">
        <f t="shared" si="262"/>
        <v/>
      </c>
      <c r="DO520" s="164" t="str">
        <f>IFERROR(INDEX(DG$486:DG$534,_xlfn.AGGREGATE(15,6,(ROW(DG$486:DG$534)-ROW(DG$486)+1)/(DG$486:DG$534&lt;&gt;""),ROWS(DO$1:DO35))),"")</f>
        <v/>
      </c>
      <c r="DP520" s="165" t="str">
        <f>IFERROR(INDEX(DH$486:DH$534,_xlfn.AGGREGATE(15,6,(ROW(DH$486:DH$534)-ROW(DH$486)+1)/(DH$486:DH$534&lt;&gt;""),ROWS(DP$1:DP35))),"")</f>
        <v/>
      </c>
      <c r="DQ520" s="166" t="str">
        <f t="shared" si="263"/>
        <v/>
      </c>
      <c r="DR520" s="65"/>
      <c r="DV520" s="145">
        <v>2049</v>
      </c>
      <c r="DW520" s="235">
        <f t="shared" ca="1" si="247"/>
        <v>548.0825571187213</v>
      </c>
      <c r="EA520" s="55"/>
      <c r="EB520" s="55"/>
      <c r="EC520" s="55"/>
      <c r="ED520" s="55"/>
      <c r="EE520" s="55"/>
    </row>
    <row r="521" spans="2:135" ht="13.8" x14ac:dyDescent="0.45">
      <c r="B521" s="128">
        <v>2047</v>
      </c>
      <c r="C521" s="244"/>
      <c r="D521" s="159"/>
      <c r="E521" s="292"/>
      <c r="F521" s="293"/>
      <c r="G521" s="294"/>
      <c r="H521" s="292"/>
      <c r="I521" s="293"/>
      <c r="J521" s="294"/>
      <c r="K521" s="292"/>
      <c r="L521" s="293"/>
      <c r="M521" s="292"/>
      <c r="N521" s="29" t="s">
        <v>119</v>
      </c>
      <c r="O521" s="120"/>
      <c r="P521" s="120"/>
      <c r="Q521" s="120"/>
      <c r="R521" s="29">
        <v>33</v>
      </c>
      <c r="S521" s="288" t="str">
        <f t="shared" si="248"/>
        <v/>
      </c>
      <c r="T521" s="288" t="str">
        <f t="shared" si="249"/>
        <v/>
      </c>
      <c r="U521" s="288" t="str">
        <f t="shared" si="250"/>
        <v/>
      </c>
      <c r="W521" s="288" t="e">
        <f t="shared" si="251"/>
        <v>#N/A</v>
      </c>
      <c r="X521" s="288" t="e">
        <f t="shared" si="252"/>
        <v>#N/A</v>
      </c>
      <c r="Y521" s="288" t="e">
        <f t="shared" si="253"/>
        <v>#N/A</v>
      </c>
      <c r="AA521" s="89"/>
      <c r="AB521" s="89"/>
      <c r="AC521" s="89"/>
      <c r="AD521" s="89"/>
      <c r="AE521" s="89"/>
      <c r="AF521" s="89"/>
      <c r="AG521" s="89"/>
      <c r="AH521" s="89"/>
      <c r="AI521" s="89"/>
      <c r="AJ521" s="89"/>
      <c r="AK521" s="89"/>
      <c r="AL521" s="89"/>
      <c r="AM521" s="89"/>
      <c r="AN521" s="89"/>
      <c r="BR521" s="180">
        <v>2045</v>
      </c>
      <c r="BS521" s="22">
        <v>31</v>
      </c>
      <c r="BT521" s="289">
        <f t="shared" si="264"/>
        <v>275.72701305768419</v>
      </c>
      <c r="BU521" s="289">
        <f t="shared" si="265"/>
        <v>246.58063731803296</v>
      </c>
      <c r="BV521" s="205">
        <f t="shared" si="266"/>
        <v>522.30765037571712</v>
      </c>
      <c r="BY521" s="180">
        <v>2045</v>
      </c>
      <c r="BZ521" s="22">
        <v>31</v>
      </c>
      <c r="CA521" s="289">
        <f t="shared" ca="1" si="267"/>
        <v>-15.281994811803342</v>
      </c>
      <c r="CB521" s="289">
        <f t="shared" ca="1" si="268"/>
        <v>291.50197544406183</v>
      </c>
      <c r="CC521" s="289">
        <f t="shared" ca="1" si="279"/>
        <v>243.78185366883693</v>
      </c>
      <c r="CD521" s="205">
        <f t="shared" ca="1" si="269"/>
        <v>520.00183430109541</v>
      </c>
      <c r="CG521" s="180">
        <v>2045</v>
      </c>
      <c r="CH521" s="22">
        <v>31</v>
      </c>
      <c r="CI521" s="289">
        <f t="shared" ca="1" si="270"/>
        <v>-38.507544491442196</v>
      </c>
      <c r="CJ521" s="289">
        <f t="shared" ca="1" si="271"/>
        <v>44.342590207204076</v>
      </c>
      <c r="CK521" s="289">
        <f t="shared" ca="1" si="272"/>
        <v>266.49010315315826</v>
      </c>
      <c r="CL521" s="289">
        <f t="shared" ca="1" si="273"/>
        <v>246.10231098383267</v>
      </c>
      <c r="CM521" s="205">
        <f t="shared" ca="1" si="274"/>
        <v>518.4274598527528</v>
      </c>
      <c r="CP521" s="180">
        <v>2045</v>
      </c>
      <c r="CQ521" s="22">
        <v>31</v>
      </c>
      <c r="CR521" s="289">
        <f t="shared" ca="1" si="275"/>
        <v>261.08445288452793</v>
      </c>
      <c r="CS521" s="289">
        <f t="shared" ca="1" si="276"/>
        <v>2.0743082066845075</v>
      </c>
      <c r="CT521" s="205">
        <f t="shared" ca="1" si="277"/>
        <v>541.56962325611096</v>
      </c>
      <c r="CZ521" s="164" t="b">
        <f t="shared" si="254"/>
        <v>0</v>
      </c>
      <c r="DA521" s="165" t="b">
        <f t="shared" si="254"/>
        <v>0</v>
      </c>
      <c r="DB521" s="166" t="b">
        <f t="shared" si="254"/>
        <v>0</v>
      </c>
      <c r="DC521" s="164" t="str">
        <f t="shared" si="255"/>
        <v/>
      </c>
      <c r="DD521" s="166" t="str">
        <f t="shared" si="256"/>
        <v/>
      </c>
      <c r="DE521" s="164" t="str">
        <f t="shared" si="257"/>
        <v/>
      </c>
      <c r="DF521" s="166" t="str">
        <f t="shared" si="258"/>
        <v/>
      </c>
      <c r="DG521" s="164" t="str">
        <f t="shared" si="259"/>
        <v/>
      </c>
      <c r="DH521" s="166" t="str">
        <f t="shared" si="260"/>
        <v/>
      </c>
      <c r="DI521" s="164" t="str">
        <f>IFERROR(INDEX(DC$486:DC$534,_xlfn.AGGREGATE(15,6,(ROW(DC$486:DC$534)-ROW(DC$486)+1)/(DC$486:DC$534&lt;&gt;""),ROWS(DI$1:DI36))),"")</f>
        <v/>
      </c>
      <c r="DJ521" s="165" t="str">
        <f>IFERROR(INDEX(DD$486:DD$534,_xlfn.AGGREGATE(15,6,(ROW(DD$486:DD$534)-ROW(DD$486)+1)/(DD$486:DD$534&lt;&gt;""),ROWS(DJ$1:DJ36))),"")</f>
        <v/>
      </c>
      <c r="DK521" s="166" t="str">
        <f t="shared" si="261"/>
        <v/>
      </c>
      <c r="DL521" s="164" t="str">
        <f>IFERROR(INDEX(DE$486:DE$534,_xlfn.AGGREGATE(15,6,(ROW(DE$486:DE$534)-ROW(DE$486)+1)/(DE$486:DE$534&lt;&gt;""),ROWS(DL$1:DL36))),"")</f>
        <v/>
      </c>
      <c r="DM521" s="165" t="str">
        <f>IFERROR(INDEX(DF$486:DF$534,_xlfn.AGGREGATE(15,6,(ROW(DF$486:DF$534)-ROW(DF$486)+1)/(DF$486:DF$534&lt;&gt;""),ROWS(DM$1:DM36))),"")</f>
        <v/>
      </c>
      <c r="DN521" s="166" t="str">
        <f t="shared" si="262"/>
        <v/>
      </c>
      <c r="DO521" s="164" t="str">
        <f>IFERROR(INDEX(DG$486:DG$534,_xlfn.AGGREGATE(15,6,(ROW(DG$486:DG$534)-ROW(DG$486)+1)/(DG$486:DG$534&lt;&gt;""),ROWS(DO$1:DO36))),"")</f>
        <v/>
      </c>
      <c r="DP521" s="165" t="str">
        <f>IFERROR(INDEX(DH$486:DH$534,_xlfn.AGGREGATE(15,6,(ROW(DH$486:DH$534)-ROW(DH$486)+1)/(DH$486:DH$534&lt;&gt;""),ROWS(DP$1:DP36))),"")</f>
        <v/>
      </c>
      <c r="DQ521" s="166" t="str">
        <f t="shared" si="263"/>
        <v/>
      </c>
      <c r="DR521" s="65"/>
      <c r="DV521" s="145">
        <v>2050</v>
      </c>
      <c r="DW521" s="235">
        <f t="shared" ca="1" si="247"/>
        <v>555.06782127414067</v>
      </c>
      <c r="EA521" s="55"/>
      <c r="EB521" s="55"/>
      <c r="EC521" s="55"/>
      <c r="ED521" s="55"/>
      <c r="EE521" s="55"/>
    </row>
    <row r="522" spans="2:135" ht="13.8" x14ac:dyDescent="0.45">
      <c r="B522" s="128">
        <v>2048</v>
      </c>
      <c r="C522" s="244"/>
      <c r="D522" s="159"/>
      <c r="E522" s="292"/>
      <c r="F522" s="293"/>
      <c r="G522" s="294"/>
      <c r="H522" s="292"/>
      <c r="I522" s="293"/>
      <c r="J522" s="294"/>
      <c r="K522" s="292"/>
      <c r="L522" s="293"/>
      <c r="M522" s="292"/>
      <c r="N522" s="29" t="s">
        <v>119</v>
      </c>
      <c r="O522" s="120"/>
      <c r="P522" s="120"/>
      <c r="Q522" s="120"/>
      <c r="R522" s="29">
        <v>34</v>
      </c>
      <c r="S522" s="288" t="str">
        <f t="shared" si="248"/>
        <v/>
      </c>
      <c r="T522" s="288" t="str">
        <f t="shared" si="249"/>
        <v/>
      </c>
      <c r="U522" s="288" t="str">
        <f t="shared" si="250"/>
        <v/>
      </c>
      <c r="W522" s="288" t="e">
        <f t="shared" si="251"/>
        <v>#N/A</v>
      </c>
      <c r="X522" s="288" t="e">
        <f t="shared" si="252"/>
        <v>#N/A</v>
      </c>
      <c r="Y522" s="288" t="e">
        <f t="shared" si="253"/>
        <v>#N/A</v>
      </c>
      <c r="AA522" s="89"/>
      <c r="AB522" s="89"/>
      <c r="AC522" s="89"/>
      <c r="AD522" s="89"/>
      <c r="AE522" s="89"/>
      <c r="AF522" s="89"/>
      <c r="AG522" s="89"/>
      <c r="AH522" s="89"/>
      <c r="AI522" s="89"/>
      <c r="AJ522" s="89"/>
      <c r="AK522" s="89"/>
      <c r="AL522" s="89"/>
      <c r="AM522" s="89"/>
      <c r="AN522" s="89"/>
      <c r="BR522" s="180">
        <v>2046</v>
      </c>
      <c r="BS522" s="22">
        <v>32</v>
      </c>
      <c r="BT522" s="289">
        <f t="shared" si="264"/>
        <v>284.62143283373854</v>
      </c>
      <c r="BU522" s="289">
        <f t="shared" si="265"/>
        <v>246.58063731803296</v>
      </c>
      <c r="BV522" s="205">
        <f t="shared" si="266"/>
        <v>531.20207015177152</v>
      </c>
      <c r="BY522" s="180">
        <v>2046</v>
      </c>
      <c r="BZ522" s="22">
        <v>32</v>
      </c>
      <c r="CA522" s="289">
        <f t="shared" ca="1" si="267"/>
        <v>-16.283832140776923</v>
      </c>
      <c r="CB522" s="289">
        <f t="shared" ca="1" si="268"/>
        <v>300.90526497451543</v>
      </c>
      <c r="CC522" s="289">
        <f t="shared" ca="1" si="279"/>
        <v>243.78185366883693</v>
      </c>
      <c r="CD522" s="205">
        <f t="shared" ca="1" si="269"/>
        <v>528.40328650257538</v>
      </c>
      <c r="CG522" s="180">
        <v>2046</v>
      </c>
      <c r="CH522" s="22">
        <v>32</v>
      </c>
      <c r="CI522" s="289">
        <f t="shared" ca="1" si="270"/>
        <v>-42.355584501882376</v>
      </c>
      <c r="CJ522" s="289">
        <f t="shared" ca="1" si="271"/>
        <v>47.249544612046797</v>
      </c>
      <c r="CK522" s="289">
        <f t="shared" ca="1" si="272"/>
        <v>275.08655809358271</v>
      </c>
      <c r="CL522" s="289">
        <f t="shared" ca="1" si="273"/>
        <v>246.10231098383267</v>
      </c>
      <c r="CM522" s="205">
        <f t="shared" ca="1" si="274"/>
        <v>526.08282918757982</v>
      </c>
      <c r="CP522" s="180">
        <v>2046</v>
      </c>
      <c r="CQ522" s="22">
        <v>32</v>
      </c>
      <c r="CR522" s="289">
        <f t="shared" ca="1" si="275"/>
        <v>261.08445288452793</v>
      </c>
      <c r="CS522" s="289">
        <f t="shared" ca="1" si="276"/>
        <v>2.1237089849666457</v>
      </c>
      <c r="CT522" s="205">
        <f t="shared" ca="1" si="277"/>
        <v>554.46739842597287</v>
      </c>
      <c r="CZ522" s="164" t="b">
        <f t="shared" si="254"/>
        <v>0</v>
      </c>
      <c r="DA522" s="165" t="b">
        <f t="shared" si="254"/>
        <v>0</v>
      </c>
      <c r="DB522" s="166" t="b">
        <f t="shared" si="254"/>
        <v>0</v>
      </c>
      <c r="DC522" s="164" t="str">
        <f t="shared" si="255"/>
        <v/>
      </c>
      <c r="DD522" s="166" t="str">
        <f t="shared" si="256"/>
        <v/>
      </c>
      <c r="DE522" s="164" t="str">
        <f t="shared" si="257"/>
        <v/>
      </c>
      <c r="DF522" s="166" t="str">
        <f t="shared" si="258"/>
        <v/>
      </c>
      <c r="DG522" s="164" t="str">
        <f t="shared" si="259"/>
        <v/>
      </c>
      <c r="DH522" s="166" t="str">
        <f t="shared" si="260"/>
        <v/>
      </c>
      <c r="DI522" s="164" t="str">
        <f>IFERROR(INDEX(DC$486:DC$534,_xlfn.AGGREGATE(15,6,(ROW(DC$486:DC$534)-ROW(DC$486)+1)/(DC$486:DC$534&lt;&gt;""),ROWS(DI$1:DI37))),"")</f>
        <v/>
      </c>
      <c r="DJ522" s="165" t="str">
        <f>IFERROR(INDEX(DD$486:DD$534,_xlfn.AGGREGATE(15,6,(ROW(DD$486:DD$534)-ROW(DD$486)+1)/(DD$486:DD$534&lt;&gt;""),ROWS(DJ$1:DJ37))),"")</f>
        <v/>
      </c>
      <c r="DK522" s="166" t="str">
        <f t="shared" si="261"/>
        <v/>
      </c>
      <c r="DL522" s="164" t="str">
        <f>IFERROR(INDEX(DE$486:DE$534,_xlfn.AGGREGATE(15,6,(ROW(DE$486:DE$534)-ROW(DE$486)+1)/(DE$486:DE$534&lt;&gt;""),ROWS(DL$1:DL37))),"")</f>
        <v/>
      </c>
      <c r="DM522" s="165" t="str">
        <f>IFERROR(INDEX(DF$486:DF$534,_xlfn.AGGREGATE(15,6,(ROW(DF$486:DF$534)-ROW(DF$486)+1)/(DF$486:DF$534&lt;&gt;""),ROWS(DM$1:DM37))),"")</f>
        <v/>
      </c>
      <c r="DN522" s="166" t="str">
        <f t="shared" si="262"/>
        <v/>
      </c>
      <c r="DO522" s="164" t="str">
        <f>IFERROR(INDEX(DG$486:DG$534,_xlfn.AGGREGATE(15,6,(ROW(DG$486:DG$534)-ROW(DG$486)+1)/(DG$486:DG$534&lt;&gt;""),ROWS(DO$1:DO37))),"")</f>
        <v/>
      </c>
      <c r="DP522" s="165" t="str">
        <f>IFERROR(INDEX(DH$486:DH$534,_xlfn.AGGREGATE(15,6,(ROW(DH$486:DH$534)-ROW(DH$486)+1)/(DH$486:DH$534&lt;&gt;""),ROWS(DP$1:DP37))),"")</f>
        <v/>
      </c>
      <c r="DQ522" s="166" t="str">
        <f t="shared" si="263"/>
        <v/>
      </c>
      <c r="DR522" s="65"/>
      <c r="DV522" s="145">
        <v>2051</v>
      </c>
      <c r="DW522" s="235">
        <f t="shared" ca="1" si="247"/>
        <v>561.86617028682213</v>
      </c>
      <c r="EA522" s="55"/>
      <c r="EB522" s="55"/>
      <c r="EC522" s="55"/>
      <c r="ED522" s="55"/>
      <c r="EE522" s="55"/>
    </row>
    <row r="523" spans="2:135" ht="13.8" x14ac:dyDescent="0.45">
      <c r="B523" s="128">
        <v>2049</v>
      </c>
      <c r="C523" s="244"/>
      <c r="D523" s="159"/>
      <c r="E523" s="292"/>
      <c r="F523" s="293"/>
      <c r="G523" s="294"/>
      <c r="H523" s="292"/>
      <c r="I523" s="293"/>
      <c r="J523" s="294"/>
      <c r="K523" s="292"/>
      <c r="L523" s="293"/>
      <c r="M523" s="292"/>
      <c r="N523" s="29" t="s">
        <v>119</v>
      </c>
      <c r="O523" s="120"/>
      <c r="P523" s="120"/>
      <c r="Q523" s="120"/>
      <c r="R523" s="29">
        <v>35</v>
      </c>
      <c r="S523" s="288" t="str">
        <f t="shared" si="248"/>
        <v/>
      </c>
      <c r="T523" s="288" t="str">
        <f t="shared" si="249"/>
        <v/>
      </c>
      <c r="U523" s="288" t="str">
        <f t="shared" si="250"/>
        <v/>
      </c>
      <c r="W523" s="288" t="e">
        <f t="shared" si="251"/>
        <v>#N/A</v>
      </c>
      <c r="X523" s="288" t="e">
        <f t="shared" si="252"/>
        <v>#N/A</v>
      </c>
      <c r="Y523" s="288" t="e">
        <f t="shared" si="253"/>
        <v>#N/A</v>
      </c>
      <c r="AA523" s="89"/>
      <c r="AB523" s="89"/>
      <c r="AC523" s="89"/>
      <c r="AD523" s="89"/>
      <c r="AE523" s="89"/>
      <c r="AF523" s="89"/>
      <c r="AG523" s="89"/>
      <c r="AH523" s="89"/>
      <c r="AI523" s="89"/>
      <c r="AJ523" s="89"/>
      <c r="AK523" s="89"/>
      <c r="AL523" s="89"/>
      <c r="AM523" s="89"/>
      <c r="AN523" s="89"/>
      <c r="BR523" s="180">
        <v>2047</v>
      </c>
      <c r="BS523" s="22">
        <v>33</v>
      </c>
      <c r="BT523" s="289">
        <f t="shared" si="264"/>
        <v>293.51585260979289</v>
      </c>
      <c r="BU523" s="289">
        <f t="shared" si="265"/>
        <v>246.58063731803296</v>
      </c>
      <c r="BV523" s="205">
        <f t="shared" si="266"/>
        <v>540.09648992782581</v>
      </c>
      <c r="BY523" s="180">
        <v>2047</v>
      </c>
      <c r="BZ523" s="22">
        <v>33</v>
      </c>
      <c r="CA523" s="289">
        <f t="shared" ca="1" si="267"/>
        <v>-17.317473829400459</v>
      </c>
      <c r="CB523" s="289">
        <f t="shared" ca="1" si="268"/>
        <v>310.30855450496904</v>
      </c>
      <c r="CC523" s="289">
        <f t="shared" ca="1" si="279"/>
        <v>243.78185366883693</v>
      </c>
      <c r="CD523" s="205">
        <f t="shared" ca="1" si="269"/>
        <v>536.77293434440548</v>
      </c>
      <c r="CG523" s="180">
        <v>2047</v>
      </c>
      <c r="CH523" s="22">
        <v>33</v>
      </c>
      <c r="CI523" s="289">
        <f t="shared" ca="1" si="270"/>
        <v>-46.451801765263276</v>
      </c>
      <c r="CJ523" s="289">
        <f t="shared" ca="1" si="271"/>
        <v>50.248783283709926</v>
      </c>
      <c r="CK523" s="289">
        <f t="shared" ca="1" si="272"/>
        <v>283.68301303400716</v>
      </c>
      <c r="CL523" s="289">
        <f t="shared" ca="1" si="273"/>
        <v>246.10231098383267</v>
      </c>
      <c r="CM523" s="205">
        <f t="shared" ca="1" si="274"/>
        <v>533.58230553628653</v>
      </c>
      <c r="CP523" s="180">
        <v>2047</v>
      </c>
      <c r="CQ523" s="22">
        <v>33</v>
      </c>
      <c r="CR523" s="289">
        <f t="shared" ca="1" si="275"/>
        <v>261.08445288452793</v>
      </c>
      <c r="CS523" s="289">
        <f t="shared" ca="1" si="276"/>
        <v>2.1742862696556031</v>
      </c>
      <c r="CT523" s="205">
        <f t="shared" ca="1" si="277"/>
        <v>567.67234112737435</v>
      </c>
      <c r="CZ523" s="164" t="b">
        <f t="shared" si="254"/>
        <v>0</v>
      </c>
      <c r="DA523" s="165" t="b">
        <f t="shared" si="254"/>
        <v>0</v>
      </c>
      <c r="DB523" s="166" t="b">
        <f t="shared" si="254"/>
        <v>0</v>
      </c>
      <c r="DC523" s="164" t="str">
        <f t="shared" si="255"/>
        <v/>
      </c>
      <c r="DD523" s="166" t="str">
        <f t="shared" si="256"/>
        <v/>
      </c>
      <c r="DE523" s="164" t="str">
        <f t="shared" si="257"/>
        <v/>
      </c>
      <c r="DF523" s="166" t="str">
        <f t="shared" si="258"/>
        <v/>
      </c>
      <c r="DG523" s="164" t="str">
        <f t="shared" si="259"/>
        <v/>
      </c>
      <c r="DH523" s="166" t="str">
        <f t="shared" si="260"/>
        <v/>
      </c>
      <c r="DI523" s="164" t="str">
        <f>IFERROR(INDEX(DC$486:DC$534,_xlfn.AGGREGATE(15,6,(ROW(DC$486:DC$534)-ROW(DC$486)+1)/(DC$486:DC$534&lt;&gt;""),ROWS(DI$1:DI38))),"")</f>
        <v/>
      </c>
      <c r="DJ523" s="165" t="str">
        <f>IFERROR(INDEX(DD$486:DD$534,_xlfn.AGGREGATE(15,6,(ROW(DD$486:DD$534)-ROW(DD$486)+1)/(DD$486:DD$534&lt;&gt;""),ROWS(DJ$1:DJ38))),"")</f>
        <v/>
      </c>
      <c r="DK523" s="166" t="str">
        <f t="shared" si="261"/>
        <v/>
      </c>
      <c r="DL523" s="164" t="str">
        <f>IFERROR(INDEX(DE$486:DE$534,_xlfn.AGGREGATE(15,6,(ROW(DE$486:DE$534)-ROW(DE$486)+1)/(DE$486:DE$534&lt;&gt;""),ROWS(DL$1:DL38))),"")</f>
        <v/>
      </c>
      <c r="DM523" s="165" t="str">
        <f>IFERROR(INDEX(DF$486:DF$534,_xlfn.AGGREGATE(15,6,(ROW(DF$486:DF$534)-ROW(DF$486)+1)/(DF$486:DF$534&lt;&gt;""),ROWS(DM$1:DM38))),"")</f>
        <v/>
      </c>
      <c r="DN523" s="166" t="str">
        <f t="shared" si="262"/>
        <v/>
      </c>
      <c r="DO523" s="164" t="str">
        <f>IFERROR(INDEX(DG$486:DG$534,_xlfn.AGGREGATE(15,6,(ROW(DG$486:DG$534)-ROW(DG$486)+1)/(DG$486:DG$534&lt;&gt;""),ROWS(DO$1:DO38))),"")</f>
        <v/>
      </c>
      <c r="DP523" s="165" t="str">
        <f>IFERROR(INDEX(DH$486:DH$534,_xlfn.AGGREGATE(15,6,(ROW(DH$486:DH$534)-ROW(DH$486)+1)/(DH$486:DH$534&lt;&gt;""),ROWS(DP$1:DP38))),"")</f>
        <v/>
      </c>
      <c r="DQ523" s="166" t="str">
        <f t="shared" si="263"/>
        <v/>
      </c>
      <c r="DR523" s="65"/>
      <c r="DV523" s="145">
        <v>2052</v>
      </c>
      <c r="DW523" s="235">
        <f t="shared" ca="1" si="247"/>
        <v>568.46984861761132</v>
      </c>
      <c r="EA523" s="55"/>
      <c r="EB523" s="55"/>
      <c r="EC523" s="55"/>
      <c r="ED523" s="55"/>
      <c r="EE523" s="55"/>
    </row>
    <row r="524" spans="2:135" ht="13.8" x14ac:dyDescent="0.45">
      <c r="B524" s="128">
        <v>2050</v>
      </c>
      <c r="C524" s="244"/>
      <c r="D524" s="159"/>
      <c r="E524" s="292"/>
      <c r="F524" s="293"/>
      <c r="G524" s="294"/>
      <c r="H524" s="292"/>
      <c r="I524" s="293"/>
      <c r="J524" s="294"/>
      <c r="K524" s="292"/>
      <c r="L524" s="293"/>
      <c r="M524" s="292"/>
      <c r="N524" s="29" t="s">
        <v>119</v>
      </c>
      <c r="O524" s="120"/>
      <c r="P524" s="120"/>
      <c r="Q524" s="120"/>
      <c r="R524" s="29">
        <v>36</v>
      </c>
      <c r="S524" s="288" t="str">
        <f t="shared" si="248"/>
        <v/>
      </c>
      <c r="T524" s="288" t="str">
        <f t="shared" si="249"/>
        <v/>
      </c>
      <c r="U524" s="288" t="str">
        <f t="shared" si="250"/>
        <v/>
      </c>
      <c r="W524" s="288" t="e">
        <f t="shared" si="251"/>
        <v>#N/A</v>
      </c>
      <c r="X524" s="288" t="e">
        <f t="shared" si="252"/>
        <v>#N/A</v>
      </c>
      <c r="Y524" s="288" t="e">
        <f t="shared" si="253"/>
        <v>#N/A</v>
      </c>
      <c r="AA524" s="89"/>
      <c r="AB524" s="89"/>
      <c r="AC524" s="89"/>
      <c r="AD524" s="89"/>
      <c r="AE524" s="89"/>
      <c r="AF524" s="89"/>
      <c r="AG524" s="89"/>
      <c r="AH524" s="89"/>
      <c r="AI524" s="89"/>
      <c r="AJ524" s="89"/>
      <c r="AK524" s="89"/>
      <c r="AL524" s="89"/>
      <c r="AM524" s="89"/>
      <c r="AN524" s="89"/>
      <c r="BR524" s="180">
        <v>2048</v>
      </c>
      <c r="BS524" s="22">
        <v>34</v>
      </c>
      <c r="BT524" s="289">
        <f t="shared" si="264"/>
        <v>302.41027238584718</v>
      </c>
      <c r="BU524" s="289">
        <f t="shared" si="265"/>
        <v>246.58063731803296</v>
      </c>
      <c r="BV524" s="205">
        <f t="shared" si="266"/>
        <v>548.99090970388011</v>
      </c>
      <c r="BY524" s="180">
        <v>2048</v>
      </c>
      <c r="BZ524" s="22">
        <v>34</v>
      </c>
      <c r="CA524" s="289">
        <f t="shared" ca="1" si="267"/>
        <v>-18.382919877673949</v>
      </c>
      <c r="CB524" s="289">
        <f t="shared" ca="1" si="268"/>
        <v>319.71184403542264</v>
      </c>
      <c r="CC524" s="289">
        <f t="shared" ca="1" si="279"/>
        <v>243.78185366883693</v>
      </c>
      <c r="CD524" s="205">
        <f t="shared" ca="1" si="269"/>
        <v>545.1107778265856</v>
      </c>
      <c r="CG524" s="180">
        <v>2048</v>
      </c>
      <c r="CH524" s="22">
        <v>34</v>
      </c>
      <c r="CI524" s="289">
        <f t="shared" ca="1" si="270"/>
        <v>-50.803951820739286</v>
      </c>
      <c r="CJ524" s="289">
        <f t="shared" ca="1" si="271"/>
        <v>53.340306222193455</v>
      </c>
      <c r="CK524" s="289">
        <f t="shared" ca="1" si="272"/>
        <v>292.27946797443161</v>
      </c>
      <c r="CL524" s="289">
        <f t="shared" ca="1" si="273"/>
        <v>246.10231098383267</v>
      </c>
      <c r="CM524" s="205">
        <f t="shared" ca="1" si="274"/>
        <v>540.91813335971847</v>
      </c>
      <c r="CP524" s="180">
        <v>2048</v>
      </c>
      <c r="CQ524" s="22">
        <v>34</v>
      </c>
      <c r="CR524" s="289">
        <f t="shared" ca="1" si="275"/>
        <v>261.08445288452793</v>
      </c>
      <c r="CS524" s="289">
        <f t="shared" ca="1" si="276"/>
        <v>2.2260680798914292</v>
      </c>
      <c r="CT524" s="205">
        <f t="shared" ca="1" si="277"/>
        <v>581.19176672216543</v>
      </c>
      <c r="CZ524" s="164" t="b">
        <f t="shared" si="254"/>
        <v>0</v>
      </c>
      <c r="DA524" s="165" t="b">
        <f t="shared" si="254"/>
        <v>0</v>
      </c>
      <c r="DB524" s="166" t="b">
        <f t="shared" si="254"/>
        <v>0</v>
      </c>
      <c r="DC524" s="164" t="str">
        <f t="shared" si="255"/>
        <v/>
      </c>
      <c r="DD524" s="166" t="str">
        <f t="shared" si="256"/>
        <v/>
      </c>
      <c r="DE524" s="164" t="str">
        <f t="shared" si="257"/>
        <v/>
      </c>
      <c r="DF524" s="166" t="str">
        <f t="shared" si="258"/>
        <v/>
      </c>
      <c r="DG524" s="164" t="str">
        <f t="shared" si="259"/>
        <v/>
      </c>
      <c r="DH524" s="166" t="str">
        <f t="shared" si="260"/>
        <v/>
      </c>
      <c r="DI524" s="164" t="str">
        <f>IFERROR(INDEX(DC$486:DC$534,_xlfn.AGGREGATE(15,6,(ROW(DC$486:DC$534)-ROW(DC$486)+1)/(DC$486:DC$534&lt;&gt;""),ROWS(DI$1:DI39))),"")</f>
        <v/>
      </c>
      <c r="DJ524" s="165" t="str">
        <f>IFERROR(INDEX(DD$486:DD$534,_xlfn.AGGREGATE(15,6,(ROW(DD$486:DD$534)-ROW(DD$486)+1)/(DD$486:DD$534&lt;&gt;""),ROWS(DJ$1:DJ39))),"")</f>
        <v/>
      </c>
      <c r="DK524" s="166" t="str">
        <f t="shared" si="261"/>
        <v/>
      </c>
      <c r="DL524" s="164" t="str">
        <f>IFERROR(INDEX(DE$486:DE$534,_xlfn.AGGREGATE(15,6,(ROW(DE$486:DE$534)-ROW(DE$486)+1)/(DE$486:DE$534&lt;&gt;""),ROWS(DL$1:DL39))),"")</f>
        <v/>
      </c>
      <c r="DM524" s="165" t="str">
        <f>IFERROR(INDEX(DF$486:DF$534,_xlfn.AGGREGATE(15,6,(ROW(DF$486:DF$534)-ROW(DF$486)+1)/(DF$486:DF$534&lt;&gt;""),ROWS(DM$1:DM39))),"")</f>
        <v/>
      </c>
      <c r="DN524" s="166" t="str">
        <f t="shared" si="262"/>
        <v/>
      </c>
      <c r="DO524" s="164" t="str">
        <f>IFERROR(INDEX(DG$486:DG$534,_xlfn.AGGREGATE(15,6,(ROW(DG$486:DG$534)-ROW(DG$486)+1)/(DG$486:DG$534&lt;&gt;""),ROWS(DO$1:DO39))),"")</f>
        <v/>
      </c>
      <c r="DP524" s="165" t="str">
        <f>IFERROR(INDEX(DH$486:DH$534,_xlfn.AGGREGATE(15,6,(ROW(DH$486:DH$534)-ROW(DH$486)+1)/(DH$486:DH$534&lt;&gt;""),ROWS(DP$1:DP39))),"")</f>
        <v/>
      </c>
      <c r="DQ524" s="166" t="str">
        <f t="shared" si="263"/>
        <v/>
      </c>
      <c r="DR524" s="65"/>
      <c r="DV524" s="145">
        <v>2053</v>
      </c>
      <c r="DW524" s="235">
        <f t="shared" ca="1" si="247"/>
        <v>574.87110072735379</v>
      </c>
      <c r="EA524" s="55"/>
      <c r="EB524" s="55"/>
      <c r="EC524" s="55"/>
      <c r="ED524" s="55"/>
      <c r="EE524" s="55"/>
    </row>
    <row r="525" spans="2:135" ht="13.8" x14ac:dyDescent="0.45">
      <c r="B525" s="128">
        <v>2051</v>
      </c>
      <c r="C525" s="244"/>
      <c r="D525" s="159"/>
      <c r="E525" s="292"/>
      <c r="F525" s="293"/>
      <c r="G525" s="294"/>
      <c r="H525" s="292"/>
      <c r="I525" s="293"/>
      <c r="J525" s="294"/>
      <c r="K525" s="292"/>
      <c r="L525" s="293"/>
      <c r="M525" s="292"/>
      <c r="N525" s="29" t="s">
        <v>119</v>
      </c>
      <c r="O525" s="120"/>
      <c r="P525" s="120"/>
      <c r="Q525" s="120"/>
      <c r="R525" s="29">
        <v>37</v>
      </c>
      <c r="S525" s="288" t="str">
        <f t="shared" si="248"/>
        <v/>
      </c>
      <c r="T525" s="288" t="str">
        <f t="shared" si="249"/>
        <v/>
      </c>
      <c r="U525" s="288" t="str">
        <f t="shared" si="250"/>
        <v/>
      </c>
      <c r="W525" s="288" t="e">
        <f t="shared" si="251"/>
        <v>#N/A</v>
      </c>
      <c r="X525" s="288" t="e">
        <f t="shared" si="252"/>
        <v>#N/A</v>
      </c>
      <c r="Y525" s="288" t="e">
        <f t="shared" si="253"/>
        <v>#N/A</v>
      </c>
      <c r="AA525" s="89"/>
      <c r="AB525" s="89"/>
      <c r="AC525" s="89"/>
      <c r="AD525" s="89"/>
      <c r="AE525" s="89"/>
      <c r="AF525" s="89"/>
      <c r="AG525" s="89"/>
      <c r="AH525" s="89"/>
      <c r="AI525" s="89"/>
      <c r="AJ525" s="89"/>
      <c r="AK525" s="89"/>
      <c r="AL525" s="89"/>
      <c r="AM525" s="89"/>
      <c r="AN525" s="89"/>
      <c r="BR525" s="180">
        <v>2049</v>
      </c>
      <c r="BS525" s="22">
        <v>35</v>
      </c>
      <c r="BT525" s="289">
        <f t="shared" si="264"/>
        <v>311.30469216190153</v>
      </c>
      <c r="BU525" s="289">
        <f t="shared" si="265"/>
        <v>246.58063731803296</v>
      </c>
      <c r="BV525" s="205">
        <f t="shared" si="266"/>
        <v>557.88532947993451</v>
      </c>
      <c r="BY525" s="180">
        <v>2049</v>
      </c>
      <c r="BZ525" s="22">
        <v>35</v>
      </c>
      <c r="CA525" s="289">
        <f t="shared" ca="1" si="267"/>
        <v>-19.480170285597392</v>
      </c>
      <c r="CB525" s="289">
        <f t="shared" ca="1" si="268"/>
        <v>329.11513356587625</v>
      </c>
      <c r="CC525" s="289">
        <f t="shared" ca="1" si="279"/>
        <v>243.78185366883693</v>
      </c>
      <c r="CD525" s="205">
        <f t="shared" ca="1" si="269"/>
        <v>553.41681694911574</v>
      </c>
      <c r="CG525" s="180">
        <v>2049</v>
      </c>
      <c r="CH525" s="22">
        <v>35</v>
      </c>
      <c r="CI525" s="289">
        <f t="shared" ca="1" si="270"/>
        <v>-55.419790207464807</v>
      </c>
      <c r="CJ525" s="289">
        <f t="shared" ca="1" si="271"/>
        <v>56.52411342749739</v>
      </c>
      <c r="CK525" s="289">
        <f t="shared" ca="1" si="272"/>
        <v>300.87592291485606</v>
      </c>
      <c r="CL525" s="289">
        <f t="shared" ca="1" si="273"/>
        <v>246.10231098383267</v>
      </c>
      <c r="CM525" s="205">
        <f t="shared" ca="1" si="274"/>
        <v>548.0825571187213</v>
      </c>
      <c r="CP525" s="180">
        <v>2049</v>
      </c>
      <c r="CQ525" s="22">
        <v>35</v>
      </c>
      <c r="CR525" s="289">
        <f t="shared" ca="1" si="275"/>
        <v>261.08445288452793</v>
      </c>
      <c r="CS525" s="289">
        <f t="shared" ca="1" si="276"/>
        <v>2.2790831021052367</v>
      </c>
      <c r="CT525" s="205">
        <f t="shared" ca="1" si="277"/>
        <v>595.0331647915184</v>
      </c>
      <c r="CZ525" s="164" t="b">
        <f t="shared" si="254"/>
        <v>0</v>
      </c>
      <c r="DA525" s="165" t="b">
        <f t="shared" si="254"/>
        <v>0</v>
      </c>
      <c r="DB525" s="166" t="b">
        <f t="shared" si="254"/>
        <v>0</v>
      </c>
      <c r="DC525" s="164" t="str">
        <f t="shared" si="255"/>
        <v/>
      </c>
      <c r="DD525" s="166" t="str">
        <f t="shared" si="256"/>
        <v/>
      </c>
      <c r="DE525" s="164" t="str">
        <f t="shared" si="257"/>
        <v/>
      </c>
      <c r="DF525" s="166" t="str">
        <f t="shared" si="258"/>
        <v/>
      </c>
      <c r="DG525" s="164" t="str">
        <f t="shared" si="259"/>
        <v/>
      </c>
      <c r="DH525" s="166" t="str">
        <f t="shared" si="260"/>
        <v/>
      </c>
      <c r="DI525" s="164" t="str">
        <f>IFERROR(INDEX(DC$486:DC$534,_xlfn.AGGREGATE(15,6,(ROW(DC$486:DC$534)-ROW(DC$486)+1)/(DC$486:DC$534&lt;&gt;""),ROWS(DI$1:DI40))),"")</f>
        <v/>
      </c>
      <c r="DJ525" s="165" t="str">
        <f>IFERROR(INDEX(DD$486:DD$534,_xlfn.AGGREGATE(15,6,(ROW(DD$486:DD$534)-ROW(DD$486)+1)/(DD$486:DD$534&lt;&gt;""),ROWS(DJ$1:DJ40))),"")</f>
        <v/>
      </c>
      <c r="DK525" s="166" t="str">
        <f t="shared" si="261"/>
        <v/>
      </c>
      <c r="DL525" s="164" t="str">
        <f>IFERROR(INDEX(DE$486:DE$534,_xlfn.AGGREGATE(15,6,(ROW(DE$486:DE$534)-ROW(DE$486)+1)/(DE$486:DE$534&lt;&gt;""),ROWS(DL$1:DL40))),"")</f>
        <v/>
      </c>
      <c r="DM525" s="165" t="str">
        <f>IFERROR(INDEX(DF$486:DF$534,_xlfn.AGGREGATE(15,6,(ROW(DF$486:DF$534)-ROW(DF$486)+1)/(DF$486:DF$534&lt;&gt;""),ROWS(DM$1:DM40))),"")</f>
        <v/>
      </c>
      <c r="DN525" s="166" t="str">
        <f t="shared" si="262"/>
        <v/>
      </c>
      <c r="DO525" s="164" t="str">
        <f>IFERROR(INDEX(DG$486:DG$534,_xlfn.AGGREGATE(15,6,(ROW(DG$486:DG$534)-ROW(DG$486)+1)/(DG$486:DG$534&lt;&gt;""),ROWS(DO$1:DO40))),"")</f>
        <v/>
      </c>
      <c r="DP525" s="165" t="str">
        <f>IFERROR(INDEX(DH$486:DH$534,_xlfn.AGGREGATE(15,6,(ROW(DH$486:DH$534)-ROW(DH$486)+1)/(DH$486:DH$534&lt;&gt;""),ROWS(DP$1:DP40))),"")</f>
        <v/>
      </c>
      <c r="DQ525" s="166" t="str">
        <f t="shared" si="263"/>
        <v/>
      </c>
      <c r="DR525" s="65"/>
      <c r="DV525" s="145">
        <v>2054</v>
      </c>
      <c r="DW525" s="235">
        <f t="shared" ca="1" si="247"/>
        <v>581.0621710768952</v>
      </c>
      <c r="EA525" s="55"/>
      <c r="EB525" s="55"/>
      <c r="EC525" s="55"/>
      <c r="ED525" s="55"/>
      <c r="EE525" s="55"/>
    </row>
    <row r="526" spans="2:135" ht="13.8" x14ac:dyDescent="0.45">
      <c r="B526" s="128">
        <v>2052</v>
      </c>
      <c r="C526" s="244"/>
      <c r="D526" s="159"/>
      <c r="E526" s="292"/>
      <c r="F526" s="293"/>
      <c r="G526" s="294"/>
      <c r="H526" s="292"/>
      <c r="I526" s="293"/>
      <c r="J526" s="294"/>
      <c r="K526" s="292"/>
      <c r="L526" s="293"/>
      <c r="M526" s="292"/>
      <c r="N526" s="29" t="s">
        <v>119</v>
      </c>
      <c r="O526" s="120"/>
      <c r="P526" s="120"/>
      <c r="Q526" s="120"/>
      <c r="R526" s="29">
        <v>38</v>
      </c>
      <c r="S526" s="288" t="str">
        <f t="shared" si="248"/>
        <v/>
      </c>
      <c r="T526" s="288" t="str">
        <f t="shared" si="249"/>
        <v/>
      </c>
      <c r="U526" s="288" t="str">
        <f t="shared" si="250"/>
        <v/>
      </c>
      <c r="W526" s="288" t="e">
        <f t="shared" si="251"/>
        <v>#N/A</v>
      </c>
      <c r="X526" s="288" t="e">
        <f t="shared" si="252"/>
        <v>#N/A</v>
      </c>
      <c r="Y526" s="288" t="e">
        <f t="shared" si="253"/>
        <v>#N/A</v>
      </c>
      <c r="AA526" s="89"/>
      <c r="AB526" s="89"/>
      <c r="AC526" s="89"/>
      <c r="AD526" s="89"/>
      <c r="AE526" s="89"/>
      <c r="AF526" s="89"/>
      <c r="AG526" s="89"/>
      <c r="AH526" s="89"/>
      <c r="AI526" s="89"/>
      <c r="AJ526" s="89"/>
      <c r="AK526" s="89"/>
      <c r="AL526" s="89"/>
      <c r="AM526" s="89"/>
      <c r="AN526" s="89"/>
      <c r="BR526" s="180">
        <v>2050</v>
      </c>
      <c r="BS526" s="22">
        <v>36</v>
      </c>
      <c r="BT526" s="289">
        <f t="shared" si="264"/>
        <v>320.19911193795588</v>
      </c>
      <c r="BU526" s="289">
        <f t="shared" si="265"/>
        <v>246.58063731803296</v>
      </c>
      <c r="BV526" s="212">
        <f t="shared" si="266"/>
        <v>566.7797492559888</v>
      </c>
      <c r="BY526" s="180">
        <v>2050</v>
      </c>
      <c r="BZ526" s="22">
        <v>36</v>
      </c>
      <c r="CA526" s="289">
        <f t="shared" ca="1" si="267"/>
        <v>-20.609225053170793</v>
      </c>
      <c r="CB526" s="289">
        <f t="shared" ca="1" si="268"/>
        <v>338.51842309632985</v>
      </c>
      <c r="CC526" s="289">
        <f t="shared" ca="1" si="279"/>
        <v>243.78185366883693</v>
      </c>
      <c r="CD526" s="212">
        <f t="shared" ca="1" si="269"/>
        <v>561.69105171199601</v>
      </c>
      <c r="CG526" s="180">
        <v>2050</v>
      </c>
      <c r="CH526" s="22">
        <v>36</v>
      </c>
      <c r="CI526" s="289">
        <f t="shared" ca="1" si="270"/>
        <v>-60.307072464594242</v>
      </c>
      <c r="CJ526" s="289">
        <f t="shared" ca="1" si="271"/>
        <v>59.800204899621725</v>
      </c>
      <c r="CK526" s="289">
        <f t="shared" ca="1" si="272"/>
        <v>309.47237785528057</v>
      </c>
      <c r="CL526" s="289">
        <f t="shared" ca="1" si="273"/>
        <v>246.10231098383267</v>
      </c>
      <c r="CM526" s="212">
        <f t="shared" ca="1" si="274"/>
        <v>555.06782127414067</v>
      </c>
      <c r="CP526" s="180">
        <v>2050</v>
      </c>
      <c r="CQ526" s="22">
        <v>36</v>
      </c>
      <c r="CR526" s="289">
        <f t="shared" ca="1" si="275"/>
        <v>261.08445288452793</v>
      </c>
      <c r="CS526" s="289">
        <f t="shared" ca="1" si="276"/>
        <v>2.3333607059110983</v>
      </c>
      <c r="CT526" s="212">
        <f t="shared" ca="1" si="277"/>
        <v>609.20420328505497</v>
      </c>
      <c r="CZ526" s="164" t="b">
        <f t="shared" ref="CZ526:DB534" si="281">ISNUMBER(W526)</f>
        <v>0</v>
      </c>
      <c r="DA526" s="165" t="b">
        <f t="shared" si="281"/>
        <v>0</v>
      </c>
      <c r="DB526" s="166" t="b">
        <f t="shared" si="281"/>
        <v>0</v>
      </c>
      <c r="DC526" s="164" t="str">
        <f t="shared" si="255"/>
        <v/>
      </c>
      <c r="DD526" s="166" t="str">
        <f t="shared" si="256"/>
        <v/>
      </c>
      <c r="DE526" s="164" t="str">
        <f t="shared" si="257"/>
        <v/>
      </c>
      <c r="DF526" s="166" t="str">
        <f t="shared" si="258"/>
        <v/>
      </c>
      <c r="DG526" s="164" t="str">
        <f t="shared" si="259"/>
        <v/>
      </c>
      <c r="DH526" s="166" t="str">
        <f t="shared" si="260"/>
        <v/>
      </c>
      <c r="DI526" s="164" t="str">
        <f>IFERROR(INDEX(DC$486:DC$534,_xlfn.AGGREGATE(15,6,(ROW(DC$486:DC$534)-ROW(DC$486)+1)/(DC$486:DC$534&lt;&gt;""),ROWS(DI$1:DI41))),"")</f>
        <v/>
      </c>
      <c r="DJ526" s="165" t="str">
        <f>IFERROR(INDEX(DD$486:DD$534,_xlfn.AGGREGATE(15,6,(ROW(DD$486:DD$534)-ROW(DD$486)+1)/(DD$486:DD$534&lt;&gt;""),ROWS(DJ$1:DJ41))),"")</f>
        <v/>
      </c>
      <c r="DK526" s="166" t="str">
        <f t="shared" si="261"/>
        <v/>
      </c>
      <c r="DL526" s="164" t="str">
        <f>IFERROR(INDEX(DE$486:DE$534,_xlfn.AGGREGATE(15,6,(ROW(DE$486:DE$534)-ROW(DE$486)+1)/(DE$486:DE$534&lt;&gt;""),ROWS(DL$1:DL41))),"")</f>
        <v/>
      </c>
      <c r="DM526" s="165" t="str">
        <f>IFERROR(INDEX(DF$486:DF$534,_xlfn.AGGREGATE(15,6,(ROW(DF$486:DF$534)-ROW(DF$486)+1)/(DF$486:DF$534&lt;&gt;""),ROWS(DM$1:DM41))),"")</f>
        <v/>
      </c>
      <c r="DN526" s="166" t="str">
        <f t="shared" si="262"/>
        <v/>
      </c>
      <c r="DO526" s="164" t="str">
        <f>IFERROR(INDEX(DG$486:DG$534,_xlfn.AGGREGATE(15,6,(ROW(DG$486:DG$534)-ROW(DG$486)+1)/(DG$486:DG$534&lt;&gt;""),ROWS(DO$1:DO41))),"")</f>
        <v/>
      </c>
      <c r="DP526" s="165" t="str">
        <f>IFERROR(INDEX(DH$486:DH$534,_xlfn.AGGREGATE(15,6,(ROW(DH$486:DH$534)-ROW(DH$486)+1)/(DH$486:DH$534&lt;&gt;""),ROWS(DP$1:DP41))),"")</f>
        <v/>
      </c>
      <c r="DQ526" s="166" t="str">
        <f t="shared" si="263"/>
        <v/>
      </c>
      <c r="DR526" s="65"/>
      <c r="DV526" s="145">
        <v>2055</v>
      </c>
      <c r="DW526" s="235">
        <f t="shared" ca="1" si="247"/>
        <v>587.03530412708096</v>
      </c>
      <c r="EA526" s="55"/>
      <c r="EB526" s="55"/>
      <c r="EC526" s="55"/>
      <c r="ED526" s="55"/>
      <c r="EE526" s="55"/>
    </row>
    <row r="527" spans="2:135" ht="13.8" x14ac:dyDescent="0.45">
      <c r="B527" s="128">
        <v>2053</v>
      </c>
      <c r="C527" s="244"/>
      <c r="D527" s="159"/>
      <c r="E527" s="292"/>
      <c r="F527" s="293"/>
      <c r="G527" s="294"/>
      <c r="H527" s="292"/>
      <c r="I527" s="293"/>
      <c r="J527" s="294"/>
      <c r="K527" s="292"/>
      <c r="L527" s="293"/>
      <c r="M527" s="292"/>
      <c r="N527" s="29" t="s">
        <v>119</v>
      </c>
      <c r="O527" s="120"/>
      <c r="P527" s="120"/>
      <c r="Q527" s="120"/>
      <c r="R527" s="29">
        <v>39</v>
      </c>
      <c r="S527" s="288" t="str">
        <f t="shared" si="248"/>
        <v/>
      </c>
      <c r="T527" s="288" t="str">
        <f t="shared" si="249"/>
        <v/>
      </c>
      <c r="U527" s="288" t="str">
        <f t="shared" si="250"/>
        <v/>
      </c>
      <c r="W527" s="288" t="e">
        <f t="shared" si="251"/>
        <v>#N/A</v>
      </c>
      <c r="X527" s="288" t="e">
        <f t="shared" si="252"/>
        <v>#N/A</v>
      </c>
      <c r="Y527" s="288" t="e">
        <f t="shared" si="253"/>
        <v>#N/A</v>
      </c>
      <c r="AA527" s="89"/>
      <c r="AB527" s="89"/>
      <c r="AC527" s="89"/>
      <c r="AD527" s="89"/>
      <c r="AE527" s="89"/>
      <c r="AF527" s="89"/>
      <c r="AG527" s="89"/>
      <c r="AH527" s="89"/>
      <c r="AI527" s="89"/>
      <c r="AJ527" s="89"/>
      <c r="AK527" s="89"/>
      <c r="AL527" s="89"/>
      <c r="AM527" s="89"/>
      <c r="AN527" s="89"/>
      <c r="BR527" s="180">
        <v>2051</v>
      </c>
      <c r="BS527" s="22">
        <v>37</v>
      </c>
      <c r="BT527" s="289">
        <f t="shared" si="264"/>
        <v>329.09353171401017</v>
      </c>
      <c r="BU527" s="289">
        <f t="shared" si="265"/>
        <v>246.58063731803296</v>
      </c>
      <c r="BV527" s="285">
        <f t="shared" si="266"/>
        <v>575.6741690320431</v>
      </c>
      <c r="BY527" s="180">
        <v>2051</v>
      </c>
      <c r="BZ527" s="22">
        <v>37</v>
      </c>
      <c r="CA527" s="289">
        <f t="shared" ca="1" si="267"/>
        <v>-21.770084180394147</v>
      </c>
      <c r="CB527" s="289">
        <f t="shared" ca="1" si="268"/>
        <v>347.92171262678346</v>
      </c>
      <c r="CC527" s="289">
        <f t="shared" ca="1" si="279"/>
        <v>243.78185366883693</v>
      </c>
      <c r="CD527" s="285">
        <f t="shared" ca="1" si="269"/>
        <v>569.9334821152263</v>
      </c>
      <c r="CG527" s="180">
        <v>2051</v>
      </c>
      <c r="CH527" s="22">
        <v>37</v>
      </c>
      <c r="CI527" s="289">
        <f t="shared" ca="1" si="270"/>
        <v>-65.473554131281986</v>
      </c>
      <c r="CJ527" s="289">
        <f t="shared" ca="1" si="271"/>
        <v>63.168580638566468</v>
      </c>
      <c r="CK527" s="289">
        <f t="shared" ca="1" si="272"/>
        <v>318.06883279570502</v>
      </c>
      <c r="CL527" s="289">
        <f t="shared" ca="1" si="273"/>
        <v>246.10231098383267</v>
      </c>
      <c r="CM527" s="285">
        <f t="shared" ca="1" si="274"/>
        <v>561.86617028682213</v>
      </c>
      <c r="CP527" s="180">
        <v>2051</v>
      </c>
      <c r="CQ527" s="22">
        <v>37</v>
      </c>
      <c r="CR527" s="289">
        <f t="shared" ca="1" si="275"/>
        <v>261.08445288452793</v>
      </c>
      <c r="CS527" s="289">
        <f t="shared" ca="1" si="276"/>
        <v>2.3889309603764226</v>
      </c>
      <c r="CT527" s="285">
        <f t="shared" ca="1" si="277"/>
        <v>623.71273276878821</v>
      </c>
      <c r="CZ527" s="164" t="b">
        <f t="shared" si="281"/>
        <v>0</v>
      </c>
      <c r="DA527" s="165" t="b">
        <f t="shared" si="281"/>
        <v>0</v>
      </c>
      <c r="DB527" s="166" t="b">
        <f t="shared" si="281"/>
        <v>0</v>
      </c>
      <c r="DC527" s="164" t="str">
        <f t="shared" si="255"/>
        <v/>
      </c>
      <c r="DD527" s="166" t="str">
        <f t="shared" si="256"/>
        <v/>
      </c>
      <c r="DE527" s="164" t="str">
        <f t="shared" si="257"/>
        <v/>
      </c>
      <c r="DF527" s="166" t="str">
        <f t="shared" si="258"/>
        <v/>
      </c>
      <c r="DG527" s="164" t="str">
        <f t="shared" si="259"/>
        <v/>
      </c>
      <c r="DH527" s="166" t="str">
        <f t="shared" si="260"/>
        <v/>
      </c>
      <c r="DI527" s="164" t="str">
        <f>IFERROR(INDEX(DC$486:DC$534,_xlfn.AGGREGATE(15,6,(ROW(DC$486:DC$534)-ROW(DC$486)+1)/(DC$486:DC$534&lt;&gt;""),ROWS(DI$1:DI42))),"")</f>
        <v/>
      </c>
      <c r="DJ527" s="165" t="str">
        <f>IFERROR(INDEX(DD$486:DD$534,_xlfn.AGGREGATE(15,6,(ROW(DD$486:DD$534)-ROW(DD$486)+1)/(DD$486:DD$534&lt;&gt;""),ROWS(DJ$1:DJ42))),"")</f>
        <v/>
      </c>
      <c r="DK527" s="166" t="str">
        <f t="shared" si="261"/>
        <v/>
      </c>
      <c r="DL527" s="164" t="str">
        <f>IFERROR(INDEX(DE$486:DE$534,_xlfn.AGGREGATE(15,6,(ROW(DE$486:DE$534)-ROW(DE$486)+1)/(DE$486:DE$534&lt;&gt;""),ROWS(DL$1:DL42))),"")</f>
        <v/>
      </c>
      <c r="DM527" s="165" t="str">
        <f>IFERROR(INDEX(DF$486:DF$534,_xlfn.AGGREGATE(15,6,(ROW(DF$486:DF$534)-ROW(DF$486)+1)/(DF$486:DF$534&lt;&gt;""),ROWS(DM$1:DM42))),"")</f>
        <v/>
      </c>
      <c r="DN527" s="166" t="str">
        <f t="shared" si="262"/>
        <v/>
      </c>
      <c r="DO527" s="164" t="str">
        <f>IFERROR(INDEX(DG$486:DG$534,_xlfn.AGGREGATE(15,6,(ROW(DG$486:DG$534)-ROW(DG$486)+1)/(DG$486:DG$534&lt;&gt;""),ROWS(DO$1:DO42))),"")</f>
        <v/>
      </c>
      <c r="DP527" s="165" t="str">
        <f>IFERROR(INDEX(DH$486:DH$534,_xlfn.AGGREGATE(15,6,(ROW(DH$486:DH$534)-ROW(DH$486)+1)/(DH$486:DH$534&lt;&gt;""),ROWS(DP$1:DP42))),"")</f>
        <v/>
      </c>
      <c r="DQ527" s="166" t="str">
        <f t="shared" si="263"/>
        <v/>
      </c>
      <c r="DR527" s="65"/>
      <c r="DV527" s="145">
        <v>2056</v>
      </c>
      <c r="DW527" s="235">
        <f t="shared" ca="1" si="247"/>
        <v>592.78274433875708</v>
      </c>
      <c r="EA527" s="55"/>
      <c r="EB527" s="55"/>
      <c r="EC527" s="55"/>
      <c r="ED527" s="55"/>
      <c r="EE527" s="55"/>
    </row>
    <row r="528" spans="2:135" ht="13.8" x14ac:dyDescent="0.45">
      <c r="B528" s="128">
        <v>2054</v>
      </c>
      <c r="C528" s="244"/>
      <c r="D528" s="159"/>
      <c r="E528" s="292"/>
      <c r="F528" s="293"/>
      <c r="G528" s="294"/>
      <c r="H528" s="292"/>
      <c r="I528" s="293"/>
      <c r="J528" s="294"/>
      <c r="K528" s="292"/>
      <c r="L528" s="293"/>
      <c r="M528" s="292"/>
      <c r="N528" s="29" t="s">
        <v>119</v>
      </c>
      <c r="O528" s="120"/>
      <c r="P528" s="120"/>
      <c r="Q528" s="120"/>
      <c r="R528" s="29">
        <v>40</v>
      </c>
      <c r="S528" s="288" t="str">
        <f t="shared" si="248"/>
        <v/>
      </c>
      <c r="T528" s="288" t="str">
        <f t="shared" si="249"/>
        <v/>
      </c>
      <c r="U528" s="288" t="str">
        <f t="shared" si="250"/>
        <v/>
      </c>
      <c r="W528" s="288" t="e">
        <f t="shared" si="251"/>
        <v>#N/A</v>
      </c>
      <c r="X528" s="288" t="e">
        <f t="shared" si="252"/>
        <v>#N/A</v>
      </c>
      <c r="Y528" s="288" t="e">
        <f t="shared" si="253"/>
        <v>#N/A</v>
      </c>
      <c r="AA528" s="89"/>
      <c r="AB528" s="89"/>
      <c r="AC528" s="89"/>
      <c r="AD528" s="89"/>
      <c r="AE528" s="89"/>
      <c r="AF528" s="89"/>
      <c r="AG528" s="89"/>
      <c r="AH528" s="89"/>
      <c r="AI528" s="89"/>
      <c r="AJ528" s="89"/>
      <c r="AK528" s="89"/>
      <c r="AL528" s="89"/>
      <c r="AM528" s="89"/>
      <c r="AN528" s="89"/>
      <c r="BR528" s="180">
        <v>2052</v>
      </c>
      <c r="BS528" s="22">
        <v>38</v>
      </c>
      <c r="BT528" s="289">
        <f t="shared" si="264"/>
        <v>337.98795149006452</v>
      </c>
      <c r="BU528" s="289">
        <f t="shared" si="265"/>
        <v>246.58063731803296</v>
      </c>
      <c r="BV528" s="299">
        <f t="shared" si="266"/>
        <v>584.5685888080975</v>
      </c>
      <c r="BY528" s="180">
        <v>2052</v>
      </c>
      <c r="BZ528" s="22">
        <v>38</v>
      </c>
      <c r="CA528" s="289">
        <f t="shared" ca="1" si="267"/>
        <v>-22.962747667267458</v>
      </c>
      <c r="CB528" s="289">
        <f t="shared" ca="1" si="268"/>
        <v>357.32500215723707</v>
      </c>
      <c r="CC528" s="289">
        <f t="shared" ca="1" si="279"/>
        <v>243.78185366883693</v>
      </c>
      <c r="CD528" s="299">
        <f t="shared" ca="1" si="269"/>
        <v>578.14410815880649</v>
      </c>
      <c r="CG528" s="180">
        <v>2052</v>
      </c>
      <c r="CH528" s="22">
        <v>38</v>
      </c>
      <c r="CI528" s="289">
        <f t="shared" ca="1" si="270"/>
        <v>-70.926990746682421</v>
      </c>
      <c r="CJ528" s="289">
        <f t="shared" ca="1" si="271"/>
        <v>66.629240644331617</v>
      </c>
      <c r="CK528" s="289">
        <f t="shared" ca="1" si="272"/>
        <v>326.66528773612947</v>
      </c>
      <c r="CL528" s="289">
        <f t="shared" ca="1" si="273"/>
        <v>246.10231098383267</v>
      </c>
      <c r="CM528" s="299">
        <f t="shared" ca="1" si="274"/>
        <v>568.46984861761132</v>
      </c>
      <c r="CP528" s="180">
        <v>2052</v>
      </c>
      <c r="CQ528" s="22">
        <v>38</v>
      </c>
      <c r="CR528" s="289">
        <f t="shared" ca="1" si="275"/>
        <v>261.08445288452793</v>
      </c>
      <c r="CS528" s="289">
        <f t="shared" ca="1" si="276"/>
        <v>2.445824650679814</v>
      </c>
      <c r="CT528" s="299">
        <f t="shared" ca="1" si="277"/>
        <v>638.56679077423087</v>
      </c>
      <c r="CZ528" s="164" t="b">
        <f t="shared" si="281"/>
        <v>0</v>
      </c>
      <c r="DA528" s="165" t="b">
        <f t="shared" si="281"/>
        <v>0</v>
      </c>
      <c r="DB528" s="166" t="b">
        <f t="shared" si="281"/>
        <v>0</v>
      </c>
      <c r="DC528" s="164" t="str">
        <f t="shared" si="255"/>
        <v/>
      </c>
      <c r="DD528" s="166" t="str">
        <f t="shared" si="256"/>
        <v/>
      </c>
      <c r="DE528" s="164" t="str">
        <f t="shared" si="257"/>
        <v/>
      </c>
      <c r="DF528" s="166" t="str">
        <f t="shared" si="258"/>
        <v/>
      </c>
      <c r="DG528" s="164" t="str">
        <f t="shared" si="259"/>
        <v/>
      </c>
      <c r="DH528" s="166" t="str">
        <f t="shared" si="260"/>
        <v/>
      </c>
      <c r="DI528" s="164" t="str">
        <f>IFERROR(INDEX(DC$486:DC$534,_xlfn.AGGREGATE(15,6,(ROW(DC$486:DC$534)-ROW(DC$486)+1)/(DC$486:DC$534&lt;&gt;""),ROWS(DI$1:DI43))),"")</f>
        <v/>
      </c>
      <c r="DJ528" s="165" t="str">
        <f>IFERROR(INDEX(DD$486:DD$534,_xlfn.AGGREGATE(15,6,(ROW(DD$486:DD$534)-ROW(DD$486)+1)/(DD$486:DD$534&lt;&gt;""),ROWS(DJ$1:DJ43))),"")</f>
        <v/>
      </c>
      <c r="DK528" s="166" t="str">
        <f t="shared" si="261"/>
        <v/>
      </c>
      <c r="DL528" s="164" t="str">
        <f>IFERROR(INDEX(DE$486:DE$534,_xlfn.AGGREGATE(15,6,(ROW(DE$486:DE$534)-ROW(DE$486)+1)/(DE$486:DE$534&lt;&gt;""),ROWS(DL$1:DL43))),"")</f>
        <v/>
      </c>
      <c r="DM528" s="165" t="str">
        <f>IFERROR(INDEX(DF$486:DF$534,_xlfn.AGGREGATE(15,6,(ROW(DF$486:DF$534)-ROW(DF$486)+1)/(DF$486:DF$534&lt;&gt;""),ROWS(DM$1:DM43))),"")</f>
        <v/>
      </c>
      <c r="DN528" s="166" t="str">
        <f t="shared" si="262"/>
        <v/>
      </c>
      <c r="DO528" s="164" t="str">
        <f>IFERROR(INDEX(DG$486:DG$534,_xlfn.AGGREGATE(15,6,(ROW(DG$486:DG$534)-ROW(DG$486)+1)/(DG$486:DG$534&lt;&gt;""),ROWS(DO$1:DO43))),"")</f>
        <v/>
      </c>
      <c r="DP528" s="165" t="str">
        <f>IFERROR(INDEX(DH$486:DH$534,_xlfn.AGGREGATE(15,6,(ROW(DH$486:DH$534)-ROW(DH$486)+1)/(DH$486:DH$534&lt;&gt;""),ROWS(DP$1:DP43))),"")</f>
        <v/>
      </c>
      <c r="DQ528" s="166" t="str">
        <f t="shared" si="263"/>
        <v/>
      </c>
      <c r="DR528" s="65"/>
      <c r="DV528" s="145">
        <v>2057</v>
      </c>
      <c r="DW528" s="235">
        <f t="shared" ca="1" si="247"/>
        <v>598.29673617276876</v>
      </c>
      <c r="EA528" s="55"/>
      <c r="EB528" s="55"/>
      <c r="EC528" s="55"/>
      <c r="ED528" s="55"/>
      <c r="EE528" s="55"/>
    </row>
    <row r="529" spans="1:135" ht="13.8" x14ac:dyDescent="0.45">
      <c r="B529" s="128">
        <v>2055</v>
      </c>
      <c r="C529" s="244"/>
      <c r="D529" s="159"/>
      <c r="E529" s="292"/>
      <c r="F529" s="293"/>
      <c r="G529" s="294"/>
      <c r="H529" s="292"/>
      <c r="I529" s="293"/>
      <c r="J529" s="294"/>
      <c r="K529" s="292"/>
      <c r="L529" s="293"/>
      <c r="M529" s="292"/>
      <c r="N529" s="29" t="s">
        <v>119</v>
      </c>
      <c r="O529" s="120"/>
      <c r="P529" s="120"/>
      <c r="Q529" s="120"/>
      <c r="R529" s="29">
        <v>41</v>
      </c>
      <c r="S529" s="288" t="str">
        <f t="shared" si="248"/>
        <v/>
      </c>
      <c r="T529" s="288" t="str">
        <f t="shared" si="249"/>
        <v/>
      </c>
      <c r="U529" s="288" t="str">
        <f t="shared" si="250"/>
        <v/>
      </c>
      <c r="W529" s="288" t="e">
        <f t="shared" si="251"/>
        <v>#N/A</v>
      </c>
      <c r="X529" s="288" t="e">
        <f t="shared" si="252"/>
        <v>#N/A</v>
      </c>
      <c r="Y529" s="288" t="e">
        <f t="shared" si="253"/>
        <v>#N/A</v>
      </c>
      <c r="AA529" s="89"/>
      <c r="AB529" s="89"/>
      <c r="AC529" s="89"/>
      <c r="AD529" s="89"/>
      <c r="AE529" s="89"/>
      <c r="AF529" s="89"/>
      <c r="AG529" s="89"/>
      <c r="AH529" s="89"/>
      <c r="AI529" s="89"/>
      <c r="AJ529" s="89"/>
      <c r="AK529" s="89"/>
      <c r="AL529" s="89"/>
      <c r="AM529" s="89"/>
      <c r="AN529" s="89"/>
      <c r="BR529" s="180">
        <v>2053</v>
      </c>
      <c r="BS529" s="22">
        <v>39</v>
      </c>
      <c r="BT529" s="289">
        <f t="shared" si="264"/>
        <v>346.88237126611887</v>
      </c>
      <c r="BU529" s="289">
        <f t="shared" si="265"/>
        <v>246.58063731803296</v>
      </c>
      <c r="BV529" s="299">
        <f t="shared" si="266"/>
        <v>593.46300858415179</v>
      </c>
      <c r="BY529" s="180">
        <v>2053</v>
      </c>
      <c r="BZ529" s="22">
        <v>39</v>
      </c>
      <c r="CA529" s="289">
        <f t="shared" ca="1" si="267"/>
        <v>-24.187215513790722</v>
      </c>
      <c r="CB529" s="289">
        <f t="shared" ca="1" si="268"/>
        <v>366.72829168769067</v>
      </c>
      <c r="CC529" s="289">
        <f t="shared" ca="1" si="279"/>
        <v>243.78185366883693</v>
      </c>
      <c r="CD529" s="299">
        <f t="shared" ca="1" si="269"/>
        <v>586.32292984273693</v>
      </c>
      <c r="CG529" s="180">
        <v>2053</v>
      </c>
      <c r="CH529" s="22">
        <v>39</v>
      </c>
      <c r="CI529" s="289">
        <f t="shared" ca="1" si="270"/>
        <v>-76.675137849949976</v>
      </c>
      <c r="CJ529" s="289">
        <f t="shared" ca="1" si="271"/>
        <v>70.182184916917166</v>
      </c>
      <c r="CK529" s="289">
        <f t="shared" ca="1" si="272"/>
        <v>335.26174267655392</v>
      </c>
      <c r="CL529" s="289">
        <f t="shared" ca="1" si="273"/>
        <v>246.10231098383267</v>
      </c>
      <c r="CM529" s="299">
        <f t="shared" ca="1" si="274"/>
        <v>574.87110072735379</v>
      </c>
      <c r="CP529" s="180">
        <v>2053</v>
      </c>
      <c r="CQ529" s="22">
        <v>39</v>
      </c>
      <c r="CR529" s="289">
        <f t="shared" ca="1" si="275"/>
        <v>261.08445288452793</v>
      </c>
      <c r="CS529" s="289">
        <f t="shared" ca="1" si="276"/>
        <v>2.5040732951656524</v>
      </c>
      <c r="CT529" s="299">
        <f t="shared" ca="1" si="277"/>
        <v>653.77460625108142</v>
      </c>
      <c r="CZ529" s="164" t="b">
        <f t="shared" si="281"/>
        <v>0</v>
      </c>
      <c r="DA529" s="165" t="b">
        <f t="shared" si="281"/>
        <v>0</v>
      </c>
      <c r="DB529" s="166" t="b">
        <f t="shared" si="281"/>
        <v>0</v>
      </c>
      <c r="DC529" s="164" t="str">
        <f t="shared" si="255"/>
        <v/>
      </c>
      <c r="DD529" s="166" t="str">
        <f t="shared" si="256"/>
        <v/>
      </c>
      <c r="DE529" s="164" t="str">
        <f t="shared" si="257"/>
        <v/>
      </c>
      <c r="DF529" s="166" t="str">
        <f t="shared" si="258"/>
        <v/>
      </c>
      <c r="DG529" s="164" t="str">
        <f t="shared" si="259"/>
        <v/>
      </c>
      <c r="DH529" s="166" t="str">
        <f t="shared" si="260"/>
        <v/>
      </c>
      <c r="DI529" s="164" t="str">
        <f>IFERROR(INDEX(DC$486:DC$534,_xlfn.AGGREGATE(15,6,(ROW(DC$486:DC$534)-ROW(DC$486)+1)/(DC$486:DC$534&lt;&gt;""),ROWS(DI$1:DI44))),"")</f>
        <v/>
      </c>
      <c r="DJ529" s="165" t="str">
        <f>IFERROR(INDEX(DD$486:DD$534,_xlfn.AGGREGATE(15,6,(ROW(DD$486:DD$534)-ROW(DD$486)+1)/(DD$486:DD$534&lt;&gt;""),ROWS(DJ$1:DJ44))),"")</f>
        <v/>
      </c>
      <c r="DK529" s="166" t="str">
        <f t="shared" si="261"/>
        <v/>
      </c>
      <c r="DL529" s="164" t="str">
        <f>IFERROR(INDEX(DE$486:DE$534,_xlfn.AGGREGATE(15,6,(ROW(DE$486:DE$534)-ROW(DE$486)+1)/(DE$486:DE$534&lt;&gt;""),ROWS(DL$1:DL44))),"")</f>
        <v/>
      </c>
      <c r="DM529" s="165" t="str">
        <f>IFERROR(INDEX(DF$486:DF$534,_xlfn.AGGREGATE(15,6,(ROW(DF$486:DF$534)-ROW(DF$486)+1)/(DF$486:DF$534&lt;&gt;""),ROWS(DM$1:DM44))),"")</f>
        <v/>
      </c>
      <c r="DN529" s="166" t="str">
        <f t="shared" si="262"/>
        <v/>
      </c>
      <c r="DO529" s="164" t="str">
        <f>IFERROR(INDEX(DG$486:DG$534,_xlfn.AGGREGATE(15,6,(ROW(DG$486:DG$534)-ROW(DG$486)+1)/(DG$486:DG$534&lt;&gt;""),ROWS(DO$1:DO44))),"")</f>
        <v/>
      </c>
      <c r="DP529" s="165" t="str">
        <f>IFERROR(INDEX(DH$486:DH$534,_xlfn.AGGREGATE(15,6,(ROW(DH$486:DH$534)-ROW(DH$486)+1)/(DH$486:DH$534&lt;&gt;""),ROWS(DP$1:DP44))),"")</f>
        <v/>
      </c>
      <c r="DQ529" s="166" t="str">
        <f t="shared" si="263"/>
        <v/>
      </c>
      <c r="DR529" s="65"/>
      <c r="DV529" s="145">
        <v>2058</v>
      </c>
      <c r="DW529" s="235">
        <f t="shared" ca="1" si="247"/>
        <v>603.56952408996176</v>
      </c>
      <c r="EA529" s="55"/>
      <c r="EB529" s="55"/>
      <c r="EC529" s="55"/>
      <c r="ED529" s="55"/>
      <c r="EE529" s="55"/>
    </row>
    <row r="530" spans="1:135" ht="13.8" x14ac:dyDescent="0.45">
      <c r="B530" s="128">
        <v>2056</v>
      </c>
      <c r="C530" s="244"/>
      <c r="D530" s="159"/>
      <c r="E530" s="292"/>
      <c r="F530" s="293"/>
      <c r="G530" s="294"/>
      <c r="H530" s="292"/>
      <c r="I530" s="293"/>
      <c r="J530" s="294"/>
      <c r="K530" s="292"/>
      <c r="L530" s="293"/>
      <c r="M530" s="292"/>
      <c r="N530" s="29" t="s">
        <v>119</v>
      </c>
      <c r="O530" s="120"/>
      <c r="P530" s="120"/>
      <c r="Q530" s="120"/>
      <c r="R530" s="29">
        <v>42</v>
      </c>
      <c r="S530" s="288" t="str">
        <f t="shared" si="248"/>
        <v/>
      </c>
      <c r="T530" s="288" t="str">
        <f t="shared" si="249"/>
        <v/>
      </c>
      <c r="U530" s="288" t="str">
        <f t="shared" si="250"/>
        <v/>
      </c>
      <c r="W530" s="288" t="e">
        <f t="shared" si="251"/>
        <v>#N/A</v>
      </c>
      <c r="X530" s="288" t="e">
        <f t="shared" si="252"/>
        <v>#N/A</v>
      </c>
      <c r="Y530" s="288" t="e">
        <f t="shared" si="253"/>
        <v>#N/A</v>
      </c>
      <c r="AA530" s="89"/>
      <c r="AB530" s="89"/>
      <c r="AC530" s="89"/>
      <c r="AD530" s="89"/>
      <c r="AE530" s="89"/>
      <c r="AF530" s="89"/>
      <c r="AG530" s="89"/>
      <c r="AH530" s="89"/>
      <c r="AI530" s="89"/>
      <c r="AJ530" s="89"/>
      <c r="AK530" s="89"/>
      <c r="AL530" s="89"/>
      <c r="AM530" s="89"/>
      <c r="AN530" s="89"/>
      <c r="BR530" s="180">
        <v>2054</v>
      </c>
      <c r="BS530" s="22">
        <v>40</v>
      </c>
      <c r="BT530" s="289">
        <f t="shared" si="264"/>
        <v>355.77679104217316</v>
      </c>
      <c r="BU530" s="289">
        <f t="shared" si="265"/>
        <v>246.58063731803296</v>
      </c>
      <c r="BV530" s="299">
        <f t="shared" si="266"/>
        <v>602.35742836020609</v>
      </c>
      <c r="BY530" s="180">
        <v>2054</v>
      </c>
      <c r="BZ530" s="22">
        <v>40</v>
      </c>
      <c r="CA530" s="289">
        <f t="shared" ca="1" si="267"/>
        <v>-25.44348771996394</v>
      </c>
      <c r="CB530" s="289">
        <f t="shared" ca="1" si="268"/>
        <v>376.13158121814428</v>
      </c>
      <c r="CC530" s="289">
        <f t="shared" ca="1" si="279"/>
        <v>243.78185366883693</v>
      </c>
      <c r="CD530" s="299">
        <f t="shared" ca="1" si="269"/>
        <v>594.46994716701727</v>
      </c>
      <c r="CG530" s="180">
        <v>2054</v>
      </c>
      <c r="CH530" s="22">
        <v>40</v>
      </c>
      <c r="CI530" s="289">
        <f t="shared" ca="1" si="270"/>
        <v>-82.725750980239013</v>
      </c>
      <c r="CJ530" s="289">
        <f t="shared" ca="1" si="271"/>
        <v>73.827413456323114</v>
      </c>
      <c r="CK530" s="289">
        <f t="shared" ca="1" si="272"/>
        <v>343.85819761697837</v>
      </c>
      <c r="CL530" s="289">
        <f t="shared" ca="1" si="273"/>
        <v>246.10231098383267</v>
      </c>
      <c r="CM530" s="299">
        <f t="shared" ca="1" si="274"/>
        <v>581.0621710768952</v>
      </c>
      <c r="CP530" s="180">
        <v>2054</v>
      </c>
      <c r="CQ530" s="22">
        <v>40</v>
      </c>
      <c r="CR530" s="289">
        <f t="shared" ca="1" si="275"/>
        <v>261.08445288452793</v>
      </c>
      <c r="CS530" s="289">
        <f t="shared" ca="1" si="276"/>
        <v>2.5637091628048321</v>
      </c>
      <c r="CT530" s="299">
        <f t="shared" ca="1" si="277"/>
        <v>669.3446041259507</v>
      </c>
      <c r="CZ530" s="164" t="b">
        <f t="shared" si="281"/>
        <v>0</v>
      </c>
      <c r="DA530" s="165" t="b">
        <f t="shared" si="281"/>
        <v>0</v>
      </c>
      <c r="DB530" s="166" t="b">
        <f t="shared" si="281"/>
        <v>0</v>
      </c>
      <c r="DC530" s="164" t="str">
        <f t="shared" si="255"/>
        <v/>
      </c>
      <c r="DD530" s="166" t="str">
        <f t="shared" si="256"/>
        <v/>
      </c>
      <c r="DE530" s="164" t="str">
        <f t="shared" si="257"/>
        <v/>
      </c>
      <c r="DF530" s="166" t="str">
        <f t="shared" si="258"/>
        <v/>
      </c>
      <c r="DG530" s="164" t="str">
        <f t="shared" si="259"/>
        <v/>
      </c>
      <c r="DH530" s="166" t="str">
        <f t="shared" si="260"/>
        <v/>
      </c>
      <c r="DI530" s="164" t="str">
        <f>IFERROR(INDEX(DC$486:DC$534,_xlfn.AGGREGATE(15,6,(ROW(DC$486:DC$534)-ROW(DC$486)+1)/(DC$486:DC$534&lt;&gt;""),ROWS(DI$1:DI45))),"")</f>
        <v/>
      </c>
      <c r="DJ530" s="165" t="str">
        <f>IFERROR(INDEX(DD$486:DD$534,_xlfn.AGGREGATE(15,6,(ROW(DD$486:DD$534)-ROW(DD$486)+1)/(DD$486:DD$534&lt;&gt;""),ROWS(DJ$1:DJ45))),"")</f>
        <v/>
      </c>
      <c r="DK530" s="166" t="str">
        <f t="shared" si="261"/>
        <v/>
      </c>
      <c r="DL530" s="164" t="str">
        <f>IFERROR(INDEX(DE$486:DE$534,_xlfn.AGGREGATE(15,6,(ROW(DE$486:DE$534)-ROW(DE$486)+1)/(DE$486:DE$534&lt;&gt;""),ROWS(DL$1:DL45))),"")</f>
        <v/>
      </c>
      <c r="DM530" s="165" t="str">
        <f>IFERROR(INDEX(DF$486:DF$534,_xlfn.AGGREGATE(15,6,(ROW(DF$486:DF$534)-ROW(DF$486)+1)/(DF$486:DF$534&lt;&gt;""),ROWS(DM$1:DM45))),"")</f>
        <v/>
      </c>
      <c r="DN530" s="166" t="str">
        <f t="shared" si="262"/>
        <v/>
      </c>
      <c r="DO530" s="164" t="str">
        <f>IFERROR(INDEX(DG$486:DG$534,_xlfn.AGGREGATE(15,6,(ROW(DG$486:DG$534)-ROW(DG$486)+1)/(DG$486:DG$534&lt;&gt;""),ROWS(DO$1:DO45))),"")</f>
        <v/>
      </c>
      <c r="DP530" s="165" t="str">
        <f>IFERROR(INDEX(DH$486:DH$534,_xlfn.AGGREGATE(15,6,(ROW(DH$486:DH$534)-ROW(DH$486)+1)/(DH$486:DH$534&lt;&gt;""),ROWS(DP$1:DP45))),"")</f>
        <v/>
      </c>
      <c r="DQ530" s="166" t="str">
        <f t="shared" si="263"/>
        <v/>
      </c>
      <c r="DR530" s="65"/>
      <c r="DV530" s="145">
        <v>2059</v>
      </c>
      <c r="DW530" s="235">
        <f t="shared" ca="1" si="247"/>
        <v>608.59335255118174</v>
      </c>
      <c r="EA530" s="55"/>
      <c r="EB530" s="55"/>
      <c r="EC530" s="55"/>
      <c r="ED530" s="55"/>
      <c r="EE530" s="55"/>
    </row>
    <row r="531" spans="1:135" ht="13.8" x14ac:dyDescent="0.45">
      <c r="B531" s="128">
        <v>2057</v>
      </c>
      <c r="C531" s="244"/>
      <c r="D531" s="159"/>
      <c r="E531" s="292"/>
      <c r="F531" s="293"/>
      <c r="G531" s="294"/>
      <c r="H531" s="292"/>
      <c r="I531" s="293"/>
      <c r="J531" s="294"/>
      <c r="K531" s="292"/>
      <c r="L531" s="293"/>
      <c r="M531" s="292"/>
      <c r="N531" s="29" t="s">
        <v>119</v>
      </c>
      <c r="O531" s="120"/>
      <c r="P531" s="120"/>
      <c r="Q531" s="120"/>
      <c r="R531" s="29">
        <v>43</v>
      </c>
      <c r="S531" s="288" t="str">
        <f t="shared" si="248"/>
        <v/>
      </c>
      <c r="T531" s="288" t="str">
        <f t="shared" si="249"/>
        <v/>
      </c>
      <c r="U531" s="288" t="str">
        <f t="shared" si="250"/>
        <v/>
      </c>
      <c r="W531" s="288" t="e">
        <f t="shared" si="251"/>
        <v>#N/A</v>
      </c>
      <c r="X531" s="288" t="e">
        <f t="shared" si="252"/>
        <v>#N/A</v>
      </c>
      <c r="Y531" s="288" t="e">
        <f t="shared" si="253"/>
        <v>#N/A</v>
      </c>
      <c r="AA531" s="89"/>
      <c r="AB531" s="89"/>
      <c r="AC531" s="89"/>
      <c r="AD531" s="89"/>
      <c r="AE531" s="89"/>
      <c r="AF531" s="89"/>
      <c r="AG531" s="89"/>
      <c r="AH531" s="89"/>
      <c r="AI531" s="89"/>
      <c r="AJ531" s="89"/>
      <c r="AK531" s="89"/>
      <c r="AL531" s="89"/>
      <c r="AM531" s="89"/>
      <c r="AN531" s="89"/>
      <c r="BR531" s="180">
        <v>2055</v>
      </c>
      <c r="BS531" s="22">
        <v>41</v>
      </c>
      <c r="BT531" s="289">
        <f t="shared" si="264"/>
        <v>364.67121081822751</v>
      </c>
      <c r="BU531" s="289">
        <f t="shared" si="265"/>
        <v>246.58063731803296</v>
      </c>
      <c r="BV531" s="299">
        <f t="shared" si="266"/>
        <v>611.25184813626049</v>
      </c>
      <c r="BY531" s="180">
        <v>2055</v>
      </c>
      <c r="BZ531" s="22">
        <v>41</v>
      </c>
      <c r="CA531" s="289">
        <f t="shared" ca="1" si="267"/>
        <v>-26.731564285787115</v>
      </c>
      <c r="CB531" s="289">
        <f t="shared" ca="1" si="268"/>
        <v>385.53487074859788</v>
      </c>
      <c r="CC531" s="289">
        <f t="shared" ca="1" si="279"/>
        <v>243.78185366883693</v>
      </c>
      <c r="CD531" s="299">
        <f t="shared" ca="1" si="269"/>
        <v>602.58516013164774</v>
      </c>
      <c r="CG531" s="180">
        <v>2055</v>
      </c>
      <c r="CH531" s="22">
        <v>41</v>
      </c>
      <c r="CI531" s="289">
        <f t="shared" ca="1" si="270"/>
        <v>-89.086585676703962</v>
      </c>
      <c r="CJ531" s="289">
        <f t="shared" ca="1" si="271"/>
        <v>77.564926262549477</v>
      </c>
      <c r="CK531" s="289">
        <f t="shared" ca="1" si="272"/>
        <v>352.45465255740282</v>
      </c>
      <c r="CL531" s="289">
        <f t="shared" ca="1" si="273"/>
        <v>246.10231098383267</v>
      </c>
      <c r="CM531" s="299">
        <f t="shared" ca="1" si="274"/>
        <v>587.03530412708096</v>
      </c>
      <c r="CP531" s="180">
        <v>2055</v>
      </c>
      <c r="CQ531" s="22">
        <v>41</v>
      </c>
      <c r="CR531" s="289">
        <f t="shared" ca="1" si="275"/>
        <v>261.08445288452793</v>
      </c>
      <c r="CS531" s="289">
        <f t="shared" ca="1" si="276"/>
        <v>2.6247652910713448</v>
      </c>
      <c r="CT531" s="299">
        <f t="shared" ca="1" si="277"/>
        <v>685.2854099696608</v>
      </c>
      <c r="CZ531" s="164" t="b">
        <f t="shared" si="281"/>
        <v>0</v>
      </c>
      <c r="DA531" s="165" t="b">
        <f t="shared" si="281"/>
        <v>0</v>
      </c>
      <c r="DB531" s="166" t="b">
        <f t="shared" si="281"/>
        <v>0</v>
      </c>
      <c r="DC531" s="164" t="str">
        <f t="shared" si="255"/>
        <v/>
      </c>
      <c r="DD531" s="166" t="str">
        <f t="shared" si="256"/>
        <v/>
      </c>
      <c r="DE531" s="164" t="str">
        <f t="shared" si="257"/>
        <v/>
      </c>
      <c r="DF531" s="166" t="str">
        <f t="shared" si="258"/>
        <v/>
      </c>
      <c r="DG531" s="164" t="str">
        <f t="shared" si="259"/>
        <v/>
      </c>
      <c r="DH531" s="166" t="str">
        <f t="shared" si="260"/>
        <v/>
      </c>
      <c r="DI531" s="164" t="str">
        <f>IFERROR(INDEX(DC$486:DC$534,_xlfn.AGGREGATE(15,6,(ROW(DC$486:DC$534)-ROW(DC$486)+1)/(DC$486:DC$534&lt;&gt;""),ROWS(DI$1:DI46))),"")</f>
        <v/>
      </c>
      <c r="DJ531" s="165" t="str">
        <f>IFERROR(INDEX(DD$486:DD$534,_xlfn.AGGREGATE(15,6,(ROW(DD$486:DD$534)-ROW(DD$486)+1)/(DD$486:DD$534&lt;&gt;""),ROWS(DJ$1:DJ46))),"")</f>
        <v/>
      </c>
      <c r="DK531" s="166" t="str">
        <f t="shared" si="261"/>
        <v/>
      </c>
      <c r="DL531" s="164" t="str">
        <f>IFERROR(INDEX(DE$486:DE$534,_xlfn.AGGREGATE(15,6,(ROW(DE$486:DE$534)-ROW(DE$486)+1)/(DE$486:DE$534&lt;&gt;""),ROWS(DL$1:DL46))),"")</f>
        <v/>
      </c>
      <c r="DM531" s="165" t="str">
        <f>IFERROR(INDEX(DF$486:DF$534,_xlfn.AGGREGATE(15,6,(ROW(DF$486:DF$534)-ROW(DF$486)+1)/(DF$486:DF$534&lt;&gt;""),ROWS(DM$1:DM46))),"")</f>
        <v/>
      </c>
      <c r="DN531" s="166" t="str">
        <f t="shared" si="262"/>
        <v/>
      </c>
      <c r="DO531" s="164" t="str">
        <f>IFERROR(INDEX(DG$486:DG$534,_xlfn.AGGREGATE(15,6,(ROW(DG$486:DG$534)-ROW(DG$486)+1)/(DG$486:DG$534&lt;&gt;""),ROWS(DO$1:DO46))),"")</f>
        <v/>
      </c>
      <c r="DP531" s="165" t="str">
        <f>IFERROR(INDEX(DH$486:DH$534,_xlfn.AGGREGATE(15,6,(ROW(DH$486:DH$534)-ROW(DH$486)+1)/(DH$486:DH$534&lt;&gt;""),ROWS(DP$1:DP46))),"")</f>
        <v/>
      </c>
      <c r="DQ531" s="166" t="str">
        <f t="shared" si="263"/>
        <v/>
      </c>
      <c r="DR531" s="65"/>
      <c r="DV531" s="145">
        <v>2060</v>
      </c>
      <c r="DW531" s="235">
        <f t="shared" ca="1" si="247"/>
        <v>613.36046601727412</v>
      </c>
      <c r="EA531" s="55"/>
      <c r="EB531" s="55"/>
      <c r="EC531" s="55"/>
      <c r="ED531" s="55"/>
      <c r="EE531" s="55"/>
    </row>
    <row r="532" spans="1:135" ht="13.8" x14ac:dyDescent="0.45">
      <c r="A532" s="214"/>
      <c r="B532" s="128">
        <v>2058</v>
      </c>
      <c r="C532" s="244"/>
      <c r="D532" s="159"/>
      <c r="E532" s="292"/>
      <c r="F532" s="293"/>
      <c r="G532" s="294"/>
      <c r="H532" s="292"/>
      <c r="I532" s="293"/>
      <c r="J532" s="294"/>
      <c r="K532" s="292"/>
      <c r="L532" s="293"/>
      <c r="M532" s="292"/>
      <c r="N532" s="29" t="s">
        <v>119</v>
      </c>
      <c r="R532" s="29">
        <v>44</v>
      </c>
      <c r="S532" s="288" t="str">
        <f t="shared" si="248"/>
        <v/>
      </c>
      <c r="T532" s="288" t="str">
        <f t="shared" si="249"/>
        <v/>
      </c>
      <c r="U532" s="288" t="str">
        <f t="shared" si="250"/>
        <v/>
      </c>
      <c r="W532" s="288" t="e">
        <f t="shared" si="251"/>
        <v>#N/A</v>
      </c>
      <c r="X532" s="288" t="e">
        <f t="shared" si="252"/>
        <v>#N/A</v>
      </c>
      <c r="Y532" s="288" t="e">
        <f t="shared" si="253"/>
        <v>#N/A</v>
      </c>
      <c r="AA532" s="89"/>
      <c r="AB532" s="89"/>
      <c r="AC532" s="89"/>
      <c r="AD532" s="89"/>
      <c r="AE532" s="89"/>
      <c r="AF532" s="89"/>
      <c r="AG532" s="89"/>
      <c r="AH532" s="89"/>
      <c r="AI532" s="89"/>
      <c r="AJ532" s="89"/>
      <c r="AK532" s="89"/>
      <c r="AL532" s="89"/>
      <c r="AM532" s="89"/>
      <c r="AN532" s="89"/>
      <c r="BR532" s="180">
        <v>2056</v>
      </c>
      <c r="BS532" s="22">
        <v>42</v>
      </c>
      <c r="BT532" s="289">
        <f t="shared" si="264"/>
        <v>373.56563059428186</v>
      </c>
      <c r="BU532" s="289">
        <f t="shared" si="265"/>
        <v>246.58063731803296</v>
      </c>
      <c r="BV532" s="299">
        <f t="shared" si="266"/>
        <v>620.14626791231478</v>
      </c>
      <c r="BY532" s="180">
        <v>2056</v>
      </c>
      <c r="BZ532" s="22">
        <v>42</v>
      </c>
      <c r="CA532" s="289">
        <f t="shared" ca="1" si="267"/>
        <v>-28.051445211260248</v>
      </c>
      <c r="CB532" s="289">
        <f t="shared" ca="1" si="268"/>
        <v>394.93816027905149</v>
      </c>
      <c r="CC532" s="289">
        <f t="shared" ca="1" si="279"/>
        <v>243.78185366883693</v>
      </c>
      <c r="CD532" s="299">
        <f t="shared" ca="1" si="269"/>
        <v>610.66856873662812</v>
      </c>
      <c r="CG532" s="180">
        <v>2056</v>
      </c>
      <c r="CH532" s="22">
        <v>42</v>
      </c>
      <c r="CI532" s="289">
        <f t="shared" ca="1" si="270"/>
        <v>-95.765397478499196</v>
      </c>
      <c r="CJ532" s="289">
        <f t="shared" ca="1" si="271"/>
        <v>81.39472333559624</v>
      </c>
      <c r="CK532" s="289">
        <f t="shared" ca="1" si="272"/>
        <v>361.05110749782733</v>
      </c>
      <c r="CL532" s="289">
        <f t="shared" ca="1" si="273"/>
        <v>246.10231098383267</v>
      </c>
      <c r="CM532" s="299">
        <f t="shared" ca="1" si="274"/>
        <v>592.78274433875708</v>
      </c>
      <c r="CP532" s="180">
        <v>2056</v>
      </c>
      <c r="CQ532" s="22">
        <v>42</v>
      </c>
      <c r="CR532" s="289">
        <f t="shared" ca="1" si="275"/>
        <v>261.08445288452793</v>
      </c>
      <c r="CS532" s="289">
        <f t="shared" ca="1" si="276"/>
        <v>2.6872755042445937</v>
      </c>
      <c r="CT532" s="299">
        <f t="shared" ca="1" si="277"/>
        <v>701.60585477569373</v>
      </c>
      <c r="CZ532" s="164" t="b">
        <f t="shared" si="281"/>
        <v>0</v>
      </c>
      <c r="DA532" s="165" t="b">
        <f t="shared" si="281"/>
        <v>0</v>
      </c>
      <c r="DB532" s="166" t="b">
        <f t="shared" si="281"/>
        <v>0</v>
      </c>
      <c r="DC532" s="164" t="str">
        <f t="shared" si="255"/>
        <v/>
      </c>
      <c r="DD532" s="166" t="str">
        <f t="shared" si="256"/>
        <v/>
      </c>
      <c r="DE532" s="164" t="str">
        <f t="shared" si="257"/>
        <v/>
      </c>
      <c r="DF532" s="166" t="str">
        <f t="shared" si="258"/>
        <v/>
      </c>
      <c r="DG532" s="164" t="str">
        <f t="shared" si="259"/>
        <v/>
      </c>
      <c r="DH532" s="166" t="str">
        <f t="shared" si="260"/>
        <v/>
      </c>
      <c r="DI532" s="164" t="str">
        <f>IFERROR(INDEX(DC$486:DC$534,_xlfn.AGGREGATE(15,6,(ROW(DC$486:DC$534)-ROW(DC$486)+1)/(DC$486:DC$534&lt;&gt;""),ROWS(DI$1:DI47))),"")</f>
        <v/>
      </c>
      <c r="DJ532" s="165" t="str">
        <f>IFERROR(INDEX(DD$486:DD$534,_xlfn.AGGREGATE(15,6,(ROW(DD$486:DD$534)-ROW(DD$486)+1)/(DD$486:DD$534&lt;&gt;""),ROWS(DJ$1:DJ47))),"")</f>
        <v/>
      </c>
      <c r="DK532" s="166" t="str">
        <f t="shared" si="261"/>
        <v/>
      </c>
      <c r="DL532" s="164" t="str">
        <f>IFERROR(INDEX(DE$486:DE$534,_xlfn.AGGREGATE(15,6,(ROW(DE$486:DE$534)-ROW(DE$486)+1)/(DE$486:DE$534&lt;&gt;""),ROWS(DL$1:DL47))),"")</f>
        <v/>
      </c>
      <c r="DM532" s="165" t="str">
        <f>IFERROR(INDEX(DF$486:DF$534,_xlfn.AGGREGATE(15,6,(ROW(DF$486:DF$534)-ROW(DF$486)+1)/(DF$486:DF$534&lt;&gt;""),ROWS(DM$1:DM47))),"")</f>
        <v/>
      </c>
      <c r="DN532" s="166" t="str">
        <f t="shared" si="262"/>
        <v/>
      </c>
      <c r="DO532" s="164" t="str">
        <f>IFERROR(INDEX(DG$486:DG$534,_xlfn.AGGREGATE(15,6,(ROW(DG$486:DG$534)-ROW(DG$486)+1)/(DG$486:DG$534&lt;&gt;""),ROWS(DO$1:DO47))),"")</f>
        <v/>
      </c>
      <c r="DP532" s="165" t="str">
        <f>IFERROR(INDEX(DH$486:DH$534,_xlfn.AGGREGATE(15,6,(ROW(DH$486:DH$534)-ROW(DH$486)+1)/(DH$486:DH$534&lt;&gt;""),ROWS(DP$1:DP47))),"")</f>
        <v/>
      </c>
      <c r="DQ532" s="166" t="str">
        <f t="shared" si="263"/>
        <v/>
      </c>
      <c r="DR532" s="65"/>
      <c r="DW532" s="54"/>
      <c r="EA532" s="55"/>
      <c r="EB532" s="55"/>
      <c r="EC532" s="55"/>
      <c r="ED532" s="55"/>
      <c r="EE532" s="55"/>
    </row>
    <row r="533" spans="1:135" ht="13.8" x14ac:dyDescent="0.45">
      <c r="A533" s="214"/>
      <c r="B533" s="128">
        <v>2059</v>
      </c>
      <c r="C533" s="244"/>
      <c r="D533" s="159"/>
      <c r="E533" s="292"/>
      <c r="F533" s="293"/>
      <c r="G533" s="294"/>
      <c r="H533" s="292"/>
      <c r="I533" s="293"/>
      <c r="J533" s="294"/>
      <c r="K533" s="292"/>
      <c r="L533" s="293"/>
      <c r="M533" s="292"/>
      <c r="N533" s="29" t="s">
        <v>119</v>
      </c>
      <c r="R533" s="29">
        <v>45</v>
      </c>
      <c r="S533" s="288" t="str">
        <f t="shared" si="248"/>
        <v/>
      </c>
      <c r="T533" s="288" t="str">
        <f t="shared" si="249"/>
        <v/>
      </c>
      <c r="U533" s="288" t="str">
        <f t="shared" si="250"/>
        <v/>
      </c>
      <c r="W533" s="288" t="e">
        <f t="shared" si="251"/>
        <v>#N/A</v>
      </c>
      <c r="X533" s="288" t="e">
        <f t="shared" si="252"/>
        <v>#N/A</v>
      </c>
      <c r="Y533" s="288" t="e">
        <f t="shared" si="253"/>
        <v>#N/A</v>
      </c>
      <c r="AA533" s="89"/>
      <c r="AB533" s="89"/>
      <c r="AC533" s="89"/>
      <c r="AD533" s="89"/>
      <c r="AE533" s="89"/>
      <c r="AF533" s="89"/>
      <c r="AG533" s="89"/>
      <c r="AH533" s="89"/>
      <c r="AI533" s="89"/>
      <c r="AJ533" s="89"/>
      <c r="AK533" s="89"/>
      <c r="AL533" s="89"/>
      <c r="AM533" s="89"/>
      <c r="AN533" s="89"/>
      <c r="BR533" s="180">
        <v>2057</v>
      </c>
      <c r="BS533" s="22">
        <v>43</v>
      </c>
      <c r="BT533" s="289">
        <f t="shared" si="264"/>
        <v>382.46005037033615</v>
      </c>
      <c r="BU533" s="289">
        <f t="shared" si="265"/>
        <v>246.58063731803296</v>
      </c>
      <c r="BV533" s="299">
        <f t="shared" si="266"/>
        <v>629.04068768836908</v>
      </c>
      <c r="BY533" s="180">
        <v>2057</v>
      </c>
      <c r="BZ533" s="22">
        <v>43</v>
      </c>
      <c r="CA533" s="289">
        <f t="shared" ca="1" si="267"/>
        <v>-29.40313049638333</v>
      </c>
      <c r="CB533" s="289">
        <f t="shared" ca="1" si="268"/>
        <v>404.34144980950509</v>
      </c>
      <c r="CC533" s="289">
        <f t="shared" ca="1" si="279"/>
        <v>243.78185366883693</v>
      </c>
      <c r="CD533" s="299">
        <f t="shared" ca="1" si="269"/>
        <v>618.72017298195874</v>
      </c>
      <c r="CG533" s="180">
        <v>2057</v>
      </c>
      <c r="CH533" s="22">
        <v>43</v>
      </c>
      <c r="CI533" s="289">
        <f t="shared" ca="1" si="270"/>
        <v>-102.76994192477912</v>
      </c>
      <c r="CJ533" s="289">
        <f t="shared" ca="1" si="271"/>
        <v>85.316804675463402</v>
      </c>
      <c r="CK533" s="289">
        <f t="shared" ca="1" si="272"/>
        <v>369.64756243825178</v>
      </c>
      <c r="CL533" s="289">
        <f t="shared" ca="1" si="273"/>
        <v>246.10231098383267</v>
      </c>
      <c r="CM533" s="299">
        <f t="shared" ca="1" si="274"/>
        <v>598.29673617276876</v>
      </c>
      <c r="CP533" s="180">
        <v>2057</v>
      </c>
      <c r="CQ533" s="22">
        <v>43</v>
      </c>
      <c r="CR533" s="289">
        <f t="shared" ca="1" si="275"/>
        <v>261.08445288452793</v>
      </c>
      <c r="CS533" s="289">
        <f t="shared" ca="1" si="276"/>
        <v>2.7512744321475964</v>
      </c>
      <c r="CT533" s="299">
        <f t="shared" ca="1" si="277"/>
        <v>718.3149798524455</v>
      </c>
      <c r="CZ533" s="164" t="b">
        <f t="shared" si="281"/>
        <v>0</v>
      </c>
      <c r="DA533" s="165" t="b">
        <f t="shared" si="281"/>
        <v>0</v>
      </c>
      <c r="DB533" s="166" t="b">
        <f t="shared" si="281"/>
        <v>0</v>
      </c>
      <c r="DC533" s="164" t="str">
        <f t="shared" si="255"/>
        <v/>
      </c>
      <c r="DD533" s="166" t="str">
        <f t="shared" si="256"/>
        <v/>
      </c>
      <c r="DE533" s="164" t="str">
        <f t="shared" si="257"/>
        <v/>
      </c>
      <c r="DF533" s="166" t="str">
        <f t="shared" si="258"/>
        <v/>
      </c>
      <c r="DG533" s="164" t="str">
        <f t="shared" si="259"/>
        <v/>
      </c>
      <c r="DH533" s="166" t="str">
        <f t="shared" si="260"/>
        <v/>
      </c>
      <c r="DI533" s="164" t="str">
        <f>IFERROR(INDEX(DC$486:DC$534,_xlfn.AGGREGATE(15,6,(ROW(DC$486:DC$534)-ROW(DC$486)+1)/(DC$486:DC$534&lt;&gt;""),ROWS(DI$1:DI48))),"")</f>
        <v/>
      </c>
      <c r="DJ533" s="165" t="str">
        <f>IFERROR(INDEX(DD$486:DD$534,_xlfn.AGGREGATE(15,6,(ROW(DD$486:DD$534)-ROW(DD$486)+1)/(DD$486:DD$534&lt;&gt;""),ROWS(DJ$1:DJ48))),"")</f>
        <v/>
      </c>
      <c r="DK533" s="166" t="str">
        <f t="shared" si="261"/>
        <v/>
      </c>
      <c r="DL533" s="164" t="str">
        <f>IFERROR(INDEX(DE$486:DE$534,_xlfn.AGGREGATE(15,6,(ROW(DE$486:DE$534)-ROW(DE$486)+1)/(DE$486:DE$534&lt;&gt;""),ROWS(DL$1:DL48))),"")</f>
        <v/>
      </c>
      <c r="DM533" s="165" t="str">
        <f>IFERROR(INDEX(DF$486:DF$534,_xlfn.AGGREGATE(15,6,(ROW(DF$486:DF$534)-ROW(DF$486)+1)/(DF$486:DF$534&lt;&gt;""),ROWS(DM$1:DM48))),"")</f>
        <v/>
      </c>
      <c r="DN533" s="166" t="str">
        <f t="shared" si="262"/>
        <v/>
      </c>
      <c r="DO533" s="164" t="str">
        <f>IFERROR(INDEX(DG$486:DG$534,_xlfn.AGGREGATE(15,6,(ROW(DG$486:DG$534)-ROW(DG$486)+1)/(DG$486:DG$534&lt;&gt;""),ROWS(DO$1:DO48))),"")</f>
        <v/>
      </c>
      <c r="DP533" s="165" t="str">
        <f>IFERROR(INDEX(DH$486:DH$534,_xlfn.AGGREGATE(15,6,(ROW(DH$486:DH$534)-ROW(DH$486)+1)/(DH$486:DH$534&lt;&gt;""),ROWS(DP$1:DP48))),"")</f>
        <v/>
      </c>
      <c r="DQ533" s="166" t="str">
        <f t="shared" si="263"/>
        <v/>
      </c>
      <c r="DR533" s="65"/>
      <c r="DW533" s="54"/>
      <c r="EA533" s="55"/>
      <c r="EB533" s="55"/>
      <c r="EC533" s="55"/>
      <c r="ED533" s="55"/>
      <c r="EE533" s="55"/>
    </row>
    <row r="534" spans="1:135" ht="13.8" x14ac:dyDescent="0.45">
      <c r="A534" s="214"/>
      <c r="B534" s="128">
        <v>2060</v>
      </c>
      <c r="C534" s="244"/>
      <c r="D534" s="159"/>
      <c r="E534" s="300"/>
      <c r="F534" s="301"/>
      <c r="G534" s="302"/>
      <c r="H534" s="300"/>
      <c r="I534" s="301"/>
      <c r="J534" s="302"/>
      <c r="K534" s="300"/>
      <c r="L534" s="301"/>
      <c r="M534" s="300"/>
      <c r="N534" s="29" t="s">
        <v>119</v>
      </c>
      <c r="R534" s="29">
        <v>46</v>
      </c>
      <c r="S534" s="288" t="str">
        <f t="shared" si="248"/>
        <v/>
      </c>
      <c r="T534" s="288" t="str">
        <f t="shared" si="249"/>
        <v/>
      </c>
      <c r="U534" s="288" t="str">
        <f t="shared" si="250"/>
        <v/>
      </c>
      <c r="W534" s="288" t="e">
        <f t="shared" si="251"/>
        <v>#N/A</v>
      </c>
      <c r="X534" s="288" t="e">
        <f t="shared" si="252"/>
        <v>#N/A</v>
      </c>
      <c r="Y534" s="288" t="e">
        <f t="shared" si="253"/>
        <v>#N/A</v>
      </c>
      <c r="AA534" s="89"/>
      <c r="AB534" s="89"/>
      <c r="AC534" s="89"/>
      <c r="AD534" s="89"/>
      <c r="AE534" s="89"/>
      <c r="AF534" s="89"/>
      <c r="AG534" s="89"/>
      <c r="AH534" s="89"/>
      <c r="AI534" s="89"/>
      <c r="AJ534" s="89"/>
      <c r="AK534" s="89"/>
      <c r="AL534" s="89"/>
      <c r="AM534" s="89"/>
      <c r="AN534" s="89"/>
      <c r="BR534" s="180">
        <v>2058</v>
      </c>
      <c r="BS534" s="22">
        <v>44</v>
      </c>
      <c r="BT534" s="289">
        <f t="shared" si="264"/>
        <v>391.3544701463905</v>
      </c>
      <c r="BU534" s="289">
        <f t="shared" si="265"/>
        <v>246.58063731803296</v>
      </c>
      <c r="BV534" s="299">
        <f t="shared" si="266"/>
        <v>637.93510746442348</v>
      </c>
      <c r="BY534" s="180">
        <v>2058</v>
      </c>
      <c r="BZ534" s="22">
        <v>44</v>
      </c>
      <c r="CA534" s="289">
        <f t="shared" ca="1" si="267"/>
        <v>-30.786620141156369</v>
      </c>
      <c r="CB534" s="289">
        <f t="shared" ca="1" si="268"/>
        <v>413.7447393399587</v>
      </c>
      <c r="CC534" s="289">
        <f t="shared" ca="1" si="279"/>
        <v>243.78185366883693</v>
      </c>
      <c r="CD534" s="299">
        <f t="shared" ca="1" si="269"/>
        <v>626.73997286763927</v>
      </c>
      <c r="CG534" s="180">
        <v>2058</v>
      </c>
      <c r="CH534" s="22">
        <v>44</v>
      </c>
      <c r="CI534" s="289">
        <f t="shared" ca="1" si="270"/>
        <v>-110.10797455469813</v>
      </c>
      <c r="CJ534" s="289">
        <f t="shared" ca="1" si="271"/>
        <v>89.331170282150978</v>
      </c>
      <c r="CK534" s="289">
        <f t="shared" ca="1" si="272"/>
        <v>378.24401737867623</v>
      </c>
      <c r="CL534" s="289">
        <f t="shared" ca="1" si="273"/>
        <v>246.10231098383267</v>
      </c>
      <c r="CM534" s="299">
        <f t="shared" ca="1" si="274"/>
        <v>603.56952408996176</v>
      </c>
      <c r="CP534" s="180">
        <v>2058</v>
      </c>
      <c r="CQ534" s="22">
        <v>44</v>
      </c>
      <c r="CR534" s="289">
        <f t="shared" ca="1" si="275"/>
        <v>261.08445288452793</v>
      </c>
      <c r="CS534" s="289">
        <f t="shared" ca="1" si="276"/>
        <v>2.8167975293314429</v>
      </c>
      <c r="CT534" s="299">
        <f t="shared" ca="1" si="277"/>
        <v>735.42204183198976</v>
      </c>
      <c r="CZ534" s="164" t="b">
        <f t="shared" si="281"/>
        <v>0</v>
      </c>
      <c r="DA534" s="165" t="b">
        <f t="shared" si="281"/>
        <v>0</v>
      </c>
      <c r="DB534" s="166" t="b">
        <f t="shared" si="281"/>
        <v>0</v>
      </c>
      <c r="DC534" s="164" t="str">
        <f t="shared" si="255"/>
        <v/>
      </c>
      <c r="DD534" s="166" t="str">
        <f t="shared" si="256"/>
        <v/>
      </c>
      <c r="DE534" s="164" t="str">
        <f t="shared" si="257"/>
        <v/>
      </c>
      <c r="DF534" s="166" t="str">
        <f t="shared" si="258"/>
        <v/>
      </c>
      <c r="DG534" s="164" t="str">
        <f t="shared" si="259"/>
        <v/>
      </c>
      <c r="DH534" s="166" t="str">
        <f t="shared" si="260"/>
        <v/>
      </c>
      <c r="DI534" s="164" t="str">
        <f>IFERROR(INDEX(DC$486:DC$534,_xlfn.AGGREGATE(15,6,(ROW(DC$486:DC$534)-ROW(DC$486)+1)/(DC$486:DC$534&lt;&gt;""),ROWS(DI$1:DI49))),"")</f>
        <v/>
      </c>
      <c r="DJ534" s="165" t="str">
        <f>IFERROR(INDEX(DD$486:DD$534,_xlfn.AGGREGATE(15,6,(ROW(DD$486:DD$534)-ROW(DD$486)+1)/(DD$486:DD$534&lt;&gt;""),ROWS(DJ$1:DJ49))),"")</f>
        <v/>
      </c>
      <c r="DK534" s="166" t="str">
        <f t="shared" si="261"/>
        <v/>
      </c>
      <c r="DL534" s="164" t="str">
        <f>IFERROR(INDEX(DE$486:DE$534,_xlfn.AGGREGATE(15,6,(ROW(DE$486:DE$534)-ROW(DE$486)+1)/(DE$486:DE$534&lt;&gt;""),ROWS(DL$1:DL49))),"")</f>
        <v/>
      </c>
      <c r="DM534" s="165" t="str">
        <f>IFERROR(INDEX(DF$486:DF$534,_xlfn.AGGREGATE(15,6,(ROW(DF$486:DF$534)-ROW(DF$486)+1)/(DF$486:DF$534&lt;&gt;""),ROWS(DM$1:DM49))),"")</f>
        <v/>
      </c>
      <c r="DN534" s="166" t="str">
        <f t="shared" si="262"/>
        <v/>
      </c>
      <c r="DO534" s="164" t="str">
        <f>IFERROR(INDEX(DG$486:DG$534,_xlfn.AGGREGATE(15,6,(ROW(DG$486:DG$534)-ROW(DG$486)+1)/(DG$486:DG$534&lt;&gt;""),ROWS(DO$1:DO49))),"")</f>
        <v/>
      </c>
      <c r="DP534" s="165" t="str">
        <f>IFERROR(INDEX(DH$486:DH$534,_xlfn.AGGREGATE(15,6,(ROW(DH$486:DH$534)-ROW(DH$486)+1)/(DH$486:DH$534&lt;&gt;""),ROWS(DP$1:DP49))),"")</f>
        <v/>
      </c>
      <c r="DQ534" s="166" t="str">
        <f t="shared" si="263"/>
        <v/>
      </c>
      <c r="DR534" s="65"/>
      <c r="DW534" s="54"/>
      <c r="EA534" s="55"/>
      <c r="EB534" s="55"/>
      <c r="EC534" s="55"/>
      <c r="ED534" s="55"/>
      <c r="EE534" s="55"/>
    </row>
    <row r="535" spans="1:135" x14ac:dyDescent="0.4">
      <c r="A535" s="214"/>
      <c r="B535" s="89"/>
      <c r="C535" s="14"/>
      <c r="D535" s="14"/>
      <c r="E535" s="14"/>
      <c r="F535" s="14"/>
      <c r="G535" s="14"/>
      <c r="H535" s="14"/>
      <c r="I535" s="14"/>
      <c r="J535" s="14"/>
      <c r="K535" s="14"/>
      <c r="L535" s="14"/>
      <c r="M535" s="50"/>
      <c r="S535" s="120"/>
      <c r="T535" s="120"/>
      <c r="U535" s="120"/>
      <c r="W535" s="120"/>
      <c r="X535" s="120"/>
      <c r="Y535" s="120"/>
      <c r="AA535" s="89"/>
      <c r="AB535" s="89"/>
      <c r="AC535" s="89"/>
      <c r="AD535" s="89"/>
      <c r="AE535" s="89"/>
      <c r="AF535" s="89"/>
      <c r="AG535" s="89"/>
      <c r="AH535" s="89"/>
      <c r="AI535" s="89"/>
      <c r="AJ535" s="89"/>
      <c r="AK535" s="89"/>
      <c r="AL535" s="89"/>
      <c r="AM535" s="89"/>
      <c r="AN535" s="89"/>
      <c r="BR535" s="180">
        <v>2059</v>
      </c>
      <c r="BS535" s="22">
        <v>45</v>
      </c>
      <c r="BT535" s="289">
        <f t="shared" si="264"/>
        <v>400.24888992244485</v>
      </c>
      <c r="BU535" s="289">
        <f t="shared" si="265"/>
        <v>246.58063731803296</v>
      </c>
      <c r="BV535" s="299">
        <f t="shared" si="266"/>
        <v>646.82952724047777</v>
      </c>
      <c r="BY535" s="180">
        <v>2059</v>
      </c>
      <c r="BZ535" s="22">
        <v>45</v>
      </c>
      <c r="CA535" s="289">
        <f t="shared" ca="1" si="267"/>
        <v>-32.201914145579366</v>
      </c>
      <c r="CB535" s="289">
        <f t="shared" ca="1" si="268"/>
        <v>423.1480288704123</v>
      </c>
      <c r="CC535" s="289">
        <f t="shared" ca="1" si="279"/>
        <v>243.78185366883693</v>
      </c>
      <c r="CD535" s="299">
        <f t="shared" ca="1" si="269"/>
        <v>634.72796839366981</v>
      </c>
      <c r="CG535" s="180">
        <v>2059</v>
      </c>
      <c r="CH535" s="22">
        <v>45</v>
      </c>
      <c r="CI535" s="289">
        <f t="shared" ca="1" si="270"/>
        <v>-117.78725090741062</v>
      </c>
      <c r="CJ535" s="289">
        <f t="shared" ca="1" si="271"/>
        <v>93.437820155658954</v>
      </c>
      <c r="CK535" s="289">
        <f t="shared" ca="1" si="272"/>
        <v>386.84047231910068</v>
      </c>
      <c r="CL535" s="289">
        <f t="shared" ca="1" si="273"/>
        <v>246.10231098383267</v>
      </c>
      <c r="CM535" s="299">
        <f t="shared" ca="1" si="274"/>
        <v>608.59335255118174</v>
      </c>
      <c r="CP535" s="180">
        <v>2059</v>
      </c>
      <c r="CQ535" s="22">
        <v>45</v>
      </c>
      <c r="CR535" s="289">
        <f t="shared" ca="1" si="275"/>
        <v>261.08445288452793</v>
      </c>
      <c r="CS535" s="289">
        <f t="shared" ca="1" si="276"/>
        <v>2.8838810947166436</v>
      </c>
      <c r="CT535" s="299">
        <f t="shared" ca="1" si="277"/>
        <v>752.93651779812842</v>
      </c>
      <c r="CZ535" s="252"/>
      <c r="DA535" s="252"/>
      <c r="DB535" s="252"/>
      <c r="DC535" s="252"/>
      <c r="DD535" s="252"/>
      <c r="DE535" s="252"/>
      <c r="DF535" s="252"/>
      <c r="DG535" s="252"/>
      <c r="DH535" s="252"/>
      <c r="DI535" s="252"/>
      <c r="DJ535" s="252"/>
      <c r="DK535" s="252"/>
      <c r="DL535" s="252"/>
      <c r="DM535" s="252"/>
      <c r="DN535" s="252"/>
      <c r="DO535" s="252"/>
      <c r="DP535" s="252"/>
      <c r="DQ535" s="252"/>
      <c r="DR535" s="65"/>
      <c r="DU535" s="65"/>
      <c r="DW535" s="54"/>
      <c r="EA535" s="55"/>
      <c r="EB535" s="55"/>
      <c r="EC535" s="55"/>
      <c r="ED535" s="55"/>
      <c r="EE535" s="55"/>
    </row>
    <row r="536" spans="1:135" x14ac:dyDescent="0.4">
      <c r="A536" s="214"/>
      <c r="B536" s="89"/>
      <c r="C536" s="14"/>
      <c r="D536" s="14"/>
      <c r="E536" s="14"/>
      <c r="F536" s="14"/>
      <c r="G536" s="14"/>
      <c r="H536" s="14"/>
      <c r="I536" s="14"/>
      <c r="J536" s="14"/>
      <c r="K536" s="14"/>
      <c r="L536" s="14"/>
      <c r="M536" s="50"/>
      <c r="S536" s="120"/>
      <c r="T536" s="120"/>
      <c r="U536" s="120"/>
      <c r="W536" s="120"/>
      <c r="X536" s="120"/>
      <c r="Y536" s="120"/>
      <c r="AA536" s="89"/>
      <c r="AB536" s="89"/>
      <c r="AC536" s="89"/>
      <c r="AD536" s="89"/>
      <c r="AE536" s="89"/>
      <c r="AF536" s="89"/>
      <c r="AG536" s="89"/>
      <c r="AH536" s="89"/>
      <c r="AI536" s="89"/>
      <c r="AJ536" s="89"/>
      <c r="AK536" s="89"/>
      <c r="AL536" s="89"/>
      <c r="AM536" s="89"/>
      <c r="AN536" s="89"/>
      <c r="BR536" s="180">
        <v>2060</v>
      </c>
      <c r="BS536" s="22">
        <v>46</v>
      </c>
      <c r="BT536" s="289">
        <f t="shared" si="264"/>
        <v>409.14330969849914</v>
      </c>
      <c r="BU536" s="289">
        <f t="shared" si="265"/>
        <v>246.58063731803296</v>
      </c>
      <c r="BV536" s="299">
        <f t="shared" si="266"/>
        <v>655.72394701653207</v>
      </c>
      <c r="BY536" s="180">
        <v>2060</v>
      </c>
      <c r="BZ536" s="22">
        <v>46</v>
      </c>
      <c r="CA536" s="289">
        <f t="shared" ca="1" si="267"/>
        <v>-33.649012509652316</v>
      </c>
      <c r="CB536" s="289">
        <f t="shared" ca="1" si="268"/>
        <v>432.55131840086591</v>
      </c>
      <c r="CC536" s="289">
        <f t="shared" ca="1" si="279"/>
        <v>243.78185366883693</v>
      </c>
      <c r="CD536" s="299">
        <f t="shared" ca="1" si="269"/>
        <v>642.68415956005049</v>
      </c>
      <c r="CG536" s="180">
        <v>2060</v>
      </c>
      <c r="CH536" s="22">
        <v>46</v>
      </c>
      <c r="CI536" s="289">
        <f t="shared" ca="1" si="270"/>
        <v>-125.81552652207101</v>
      </c>
      <c r="CJ536" s="289">
        <f t="shared" ca="1" si="271"/>
        <v>97.63675429598733</v>
      </c>
      <c r="CK536" s="289">
        <f t="shared" ca="1" si="272"/>
        <v>395.43692725952513</v>
      </c>
      <c r="CL536" s="289">
        <f t="shared" ca="1" si="273"/>
        <v>246.10231098383267</v>
      </c>
      <c r="CM536" s="299">
        <f t="shared" ca="1" si="274"/>
        <v>613.36046601727412</v>
      </c>
      <c r="CP536" s="180">
        <v>2060</v>
      </c>
      <c r="CQ536" s="22">
        <v>46</v>
      </c>
      <c r="CR536" s="289">
        <f t="shared" ca="1" si="275"/>
        <v>261.08445288452793</v>
      </c>
      <c r="CS536" s="289">
        <f t="shared" ca="1" si="276"/>
        <v>2.9525622917022445</v>
      </c>
      <c r="CT536" s="299">
        <f t="shared" ca="1" si="277"/>
        <v>770.86811053656845</v>
      </c>
      <c r="CZ536" s="89"/>
      <c r="DA536" s="89"/>
      <c r="DB536" s="89"/>
      <c r="DC536" s="89"/>
      <c r="DD536" s="89"/>
      <c r="DE536" s="89"/>
      <c r="DF536" s="89"/>
      <c r="DG536" s="89"/>
      <c r="DH536" s="89"/>
      <c r="DI536" s="89"/>
      <c r="DJ536" s="89"/>
      <c r="DK536" s="89"/>
      <c r="DL536" s="89"/>
      <c r="DM536" s="89"/>
      <c r="DN536" s="89"/>
      <c r="DO536" s="89"/>
      <c r="DP536" s="89"/>
      <c r="DQ536" s="89"/>
      <c r="DW536" s="54"/>
      <c r="EA536" s="55"/>
      <c r="EB536" s="55"/>
      <c r="EC536" s="55"/>
      <c r="ED536" s="55"/>
      <c r="EE536" s="55"/>
    </row>
    <row r="537" spans="1:135" x14ac:dyDescent="0.4">
      <c r="A537" s="221" t="str">
        <f ca="1">HYPERLINK("#"&amp;"'"&amp;A$1&amp;"'!a1","Back to top")</f>
        <v>Back to top</v>
      </c>
      <c r="C537" s="50"/>
      <c r="D537" s="14"/>
      <c r="E537" s="14"/>
      <c r="F537" s="14"/>
      <c r="G537" s="14"/>
      <c r="H537" s="14"/>
      <c r="I537" s="14"/>
      <c r="J537" s="14"/>
      <c r="K537" s="14"/>
      <c r="L537" s="14"/>
      <c r="M537" s="14"/>
      <c r="N537" s="89"/>
      <c r="O537" s="89"/>
      <c r="P537" s="89"/>
      <c r="Q537" s="89"/>
      <c r="R537" s="89"/>
      <c r="S537" s="89"/>
      <c r="T537" s="89"/>
      <c r="U537" s="89"/>
      <c r="V537" s="89"/>
      <c r="W537" s="89"/>
      <c r="X537" s="89"/>
      <c r="Y537" s="89"/>
      <c r="Z537" s="89"/>
      <c r="AA537" s="89"/>
      <c r="AB537" s="89"/>
      <c r="AC537" s="89"/>
      <c r="AD537" s="89"/>
      <c r="AE537" s="89"/>
      <c r="AF537" s="89"/>
      <c r="AG537" s="89"/>
      <c r="AH537" s="89"/>
      <c r="AI537" s="89"/>
      <c r="AJ537" s="89"/>
      <c r="AK537" s="89"/>
      <c r="AL537" s="89"/>
      <c r="AM537" s="89"/>
      <c r="AN537" s="89"/>
      <c r="DW537" s="54"/>
      <c r="EA537" s="55"/>
      <c r="EB537" s="55"/>
      <c r="EC537" s="55"/>
      <c r="ED537" s="55"/>
      <c r="EE537" s="55"/>
    </row>
    <row r="538" spans="1:135" x14ac:dyDescent="0.4">
      <c r="A538" s="221"/>
      <c r="C538" s="50"/>
      <c r="D538" s="14"/>
      <c r="E538" s="14"/>
      <c r="F538" s="14"/>
      <c r="G538" s="14"/>
      <c r="H538" s="14"/>
      <c r="I538" s="14"/>
      <c r="J538" s="14"/>
      <c r="K538" s="14"/>
      <c r="L538" s="14"/>
      <c r="M538" s="14"/>
      <c r="N538" s="89"/>
      <c r="O538" s="89"/>
      <c r="P538" s="89"/>
      <c r="Q538" s="89"/>
      <c r="R538" s="89"/>
      <c r="S538" s="89"/>
      <c r="T538" s="89"/>
      <c r="U538" s="89"/>
      <c r="V538" s="89"/>
      <c r="W538" s="89"/>
      <c r="X538" s="89"/>
      <c r="Y538" s="89"/>
      <c r="Z538" s="89"/>
      <c r="AA538" s="89"/>
      <c r="AB538" s="89"/>
      <c r="AC538" s="89"/>
      <c r="AD538" s="89"/>
      <c r="AE538" s="89"/>
      <c r="AF538" s="89"/>
      <c r="AG538" s="89"/>
      <c r="AH538" s="89"/>
      <c r="AI538" s="89"/>
      <c r="AJ538" s="89"/>
      <c r="AK538" s="89"/>
      <c r="AL538" s="89"/>
      <c r="AM538" s="89"/>
      <c r="AN538" s="89"/>
      <c r="DW538" s="54"/>
      <c r="EA538" s="55"/>
      <c r="EB538" s="55"/>
      <c r="EC538" s="55"/>
      <c r="ED538" s="55"/>
      <c r="EE538" s="55"/>
    </row>
    <row r="539" spans="1:135" x14ac:dyDescent="0.4">
      <c r="A539" s="214"/>
      <c r="B539" s="89"/>
      <c r="C539" s="14"/>
      <c r="D539" s="14"/>
      <c r="E539" s="14"/>
      <c r="F539" s="14"/>
      <c r="G539" s="14"/>
      <c r="H539" s="14"/>
      <c r="I539" s="14"/>
      <c r="J539" s="14"/>
      <c r="K539" s="14"/>
      <c r="L539" s="14"/>
      <c r="M539" s="50"/>
      <c r="N539" s="49"/>
      <c r="O539" s="49"/>
      <c r="P539" s="49"/>
      <c r="Q539" s="49"/>
      <c r="R539" s="49"/>
      <c r="S539" s="120"/>
      <c r="T539" s="120"/>
      <c r="U539" s="120"/>
      <c r="V539" s="49"/>
      <c r="W539" s="120"/>
      <c r="X539" s="120"/>
      <c r="Y539" s="120"/>
      <c r="Z539" s="89"/>
      <c r="AA539" s="89"/>
      <c r="AB539" s="89"/>
      <c r="AC539" s="89"/>
      <c r="AD539" s="89"/>
      <c r="AE539" s="89"/>
      <c r="AF539" s="89"/>
      <c r="AG539" s="89"/>
      <c r="AH539" s="89"/>
      <c r="AI539" s="89"/>
      <c r="AJ539" s="89"/>
      <c r="AK539" s="89"/>
      <c r="AL539" s="89"/>
      <c r="AM539" s="89"/>
      <c r="AN539" s="89"/>
      <c r="AO539" s="49"/>
      <c r="AP539" s="49"/>
      <c r="AQ539" s="49"/>
      <c r="AR539" s="49"/>
      <c r="AS539" s="49"/>
      <c r="AT539" s="49"/>
      <c r="AU539" s="49"/>
      <c r="AV539" s="49"/>
      <c r="AW539" s="49"/>
      <c r="AX539" s="49"/>
      <c r="AY539" s="49"/>
      <c r="AZ539" s="49"/>
      <c r="BA539" s="49"/>
      <c r="BB539" s="49"/>
      <c r="BC539" s="49"/>
      <c r="BD539" s="49"/>
      <c r="BE539" s="49"/>
      <c r="BF539" s="49"/>
      <c r="BG539" s="49"/>
      <c r="BH539" s="49"/>
      <c r="BI539" s="49"/>
      <c r="BJ539" s="49"/>
      <c r="BK539" s="49"/>
      <c r="BL539" s="49"/>
    </row>
    <row r="540" spans="1:135" x14ac:dyDescent="0.4">
      <c r="A540" s="253"/>
      <c r="B540" s="254"/>
      <c r="C540" s="255"/>
      <c r="D540" s="255"/>
      <c r="E540" s="255"/>
      <c r="F540" s="255"/>
      <c r="G540" s="255"/>
      <c r="H540" s="255"/>
      <c r="I540" s="255"/>
      <c r="J540" s="255"/>
      <c r="K540" s="255"/>
      <c r="L540" s="255"/>
      <c r="M540" s="256"/>
      <c r="S540" s="257"/>
      <c r="T540" s="257"/>
      <c r="U540" s="257"/>
      <c r="W540" s="257"/>
      <c r="X540" s="257"/>
      <c r="Y540" s="257"/>
      <c r="Z540" s="254"/>
      <c r="AA540" s="254"/>
      <c r="AB540" s="254"/>
      <c r="AC540" s="254"/>
      <c r="AD540" s="254"/>
      <c r="AE540" s="254"/>
      <c r="AF540" s="254"/>
      <c r="AG540" s="254"/>
      <c r="AH540" s="254"/>
      <c r="AI540" s="254"/>
      <c r="AJ540" s="254"/>
      <c r="AK540" s="254"/>
      <c r="AL540" s="254"/>
      <c r="AM540" s="254"/>
      <c r="AN540" s="254"/>
      <c r="DW540" s="258"/>
      <c r="EA540" s="259"/>
      <c r="EB540" s="259"/>
      <c r="EC540" s="259"/>
      <c r="ED540" s="259"/>
      <c r="EE540" s="259"/>
    </row>
    <row r="541" spans="1:135" x14ac:dyDescent="0.4">
      <c r="A541" s="253"/>
      <c r="B541" s="254"/>
      <c r="C541" s="255"/>
      <c r="D541" s="255"/>
      <c r="E541" s="255"/>
      <c r="F541" s="255"/>
      <c r="G541" s="255"/>
      <c r="H541" s="255"/>
      <c r="I541" s="255"/>
      <c r="J541" s="255"/>
      <c r="K541" s="255"/>
      <c r="L541" s="255"/>
      <c r="M541" s="256"/>
      <c r="S541" s="257"/>
      <c r="T541" s="257"/>
      <c r="U541" s="257"/>
      <c r="W541" s="257"/>
      <c r="X541" s="257"/>
      <c r="Y541" s="257"/>
      <c r="Z541" s="254"/>
      <c r="AA541" s="254"/>
      <c r="AB541" s="254"/>
      <c r="AC541" s="254"/>
      <c r="AD541" s="254"/>
      <c r="AE541" s="254"/>
      <c r="AF541" s="254"/>
      <c r="AG541" s="254"/>
      <c r="AH541" s="254"/>
      <c r="AI541" s="254"/>
      <c r="AJ541" s="254"/>
      <c r="AK541" s="254"/>
      <c r="AL541" s="254"/>
      <c r="AM541" s="254"/>
      <c r="AN541" s="254"/>
      <c r="DW541" s="258"/>
      <c r="EA541" s="259"/>
      <c r="EB541" s="259"/>
      <c r="EC541" s="259"/>
      <c r="ED541" s="259"/>
      <c r="EE541" s="259"/>
    </row>
    <row r="542" spans="1:135" x14ac:dyDescent="0.4">
      <c r="B542" s="114"/>
      <c r="C542" s="14"/>
      <c r="D542" s="14"/>
      <c r="E542" s="14"/>
      <c r="F542" s="14"/>
      <c r="G542" s="14"/>
      <c r="H542" s="14"/>
      <c r="I542" s="14"/>
      <c r="J542" s="14"/>
      <c r="K542" s="14"/>
      <c r="L542" s="14"/>
      <c r="M542" s="14"/>
      <c r="N542" s="89"/>
      <c r="O542" s="89"/>
      <c r="P542" s="89"/>
      <c r="Q542" s="89"/>
      <c r="R542" s="89"/>
      <c r="S542" s="89"/>
      <c r="T542" s="89"/>
      <c r="U542" s="89"/>
      <c r="V542" s="89"/>
      <c r="W542" s="89"/>
      <c r="X542" s="89"/>
      <c r="Y542" s="89"/>
      <c r="Z542" s="89"/>
      <c r="AA542" s="89"/>
      <c r="AB542" s="89"/>
      <c r="AC542" s="89"/>
      <c r="AD542" s="89"/>
      <c r="AE542" s="89"/>
      <c r="AF542" s="89"/>
      <c r="AG542" s="89"/>
      <c r="AH542" s="89"/>
      <c r="AI542" s="89"/>
      <c r="AJ542" s="89"/>
      <c r="AK542" s="89"/>
      <c r="AL542" s="89"/>
      <c r="AM542" s="89"/>
      <c r="AN542" s="89"/>
      <c r="AO542" s="89"/>
      <c r="AP542" s="89"/>
      <c r="CX542" s="89"/>
      <c r="CY542" s="89"/>
      <c r="CZ542" s="89"/>
      <c r="DA542" s="89"/>
      <c r="DB542" s="89"/>
      <c r="DC542" s="89"/>
      <c r="DD542" s="89"/>
      <c r="DE542" s="89"/>
      <c r="DF542" s="89"/>
      <c r="DG542" s="89"/>
      <c r="DH542" s="89"/>
      <c r="DI542" s="89"/>
      <c r="DJ542" s="89"/>
      <c r="DK542" s="89"/>
      <c r="DL542" s="89"/>
      <c r="DM542" s="89"/>
      <c r="DN542" s="89"/>
      <c r="DO542" s="89"/>
      <c r="DP542" s="89"/>
      <c r="DQ542" s="89"/>
      <c r="DW542" s="54"/>
      <c r="EA542" s="55"/>
      <c r="EB542" s="55"/>
      <c r="EC542" s="55"/>
      <c r="ED542" s="55"/>
      <c r="EE542" s="55"/>
    </row>
    <row r="543" spans="1:135" x14ac:dyDescent="0.4">
      <c r="A543" s="287" t="s">
        <v>105</v>
      </c>
      <c r="B543" s="114"/>
      <c r="C543" s="14"/>
      <c r="D543" s="14"/>
      <c r="E543" s="14"/>
      <c r="F543" s="14"/>
      <c r="G543" s="14"/>
      <c r="H543" s="14"/>
      <c r="I543" s="14"/>
      <c r="J543" s="14"/>
      <c r="K543" s="14"/>
      <c r="L543" s="14"/>
      <c r="M543" s="14"/>
      <c r="N543" s="89"/>
      <c r="O543" s="89"/>
      <c r="P543" s="89"/>
      <c r="Q543" s="89"/>
      <c r="R543" s="89"/>
      <c r="S543" s="89"/>
      <c r="T543" s="89"/>
      <c r="U543" s="89"/>
      <c r="V543" s="89"/>
      <c r="W543" s="89"/>
      <c r="X543" s="89"/>
      <c r="Y543" s="89"/>
      <c r="Z543" s="89"/>
      <c r="AA543" s="287" t="s">
        <v>105</v>
      </c>
      <c r="AB543" s="89"/>
      <c r="AC543" s="89"/>
      <c r="AD543" s="89"/>
      <c r="AE543" s="89"/>
      <c r="AF543" s="89"/>
      <c r="AG543" s="89"/>
      <c r="AH543" s="89"/>
      <c r="AI543" s="89"/>
      <c r="AJ543" s="89"/>
      <c r="AK543" s="89"/>
      <c r="AL543" s="89"/>
      <c r="AM543" s="287" t="s">
        <v>105</v>
      </c>
      <c r="AN543" s="89"/>
      <c r="AO543" s="89"/>
      <c r="AP543" s="89"/>
      <c r="AZ543" s="287" t="s">
        <v>105</v>
      </c>
      <c r="BJ543" s="287" t="s">
        <v>105</v>
      </c>
      <c r="BR543" s="287" t="s">
        <v>105</v>
      </c>
      <c r="BY543" s="287" t="s">
        <v>105</v>
      </c>
      <c r="CG543" s="287" t="s">
        <v>105</v>
      </c>
      <c r="CP543" s="287" t="s">
        <v>105</v>
      </c>
      <c r="CX543" s="89"/>
      <c r="CY543" s="89"/>
      <c r="CZ543" s="89"/>
      <c r="DA543" s="89"/>
      <c r="DB543" s="89"/>
      <c r="DC543" s="89"/>
      <c r="DD543" s="89"/>
      <c r="DE543" s="89"/>
      <c r="DF543" s="89"/>
      <c r="DG543" s="89"/>
      <c r="DH543" s="89"/>
      <c r="DI543" s="89"/>
      <c r="DJ543" s="89"/>
      <c r="DK543" s="89"/>
      <c r="DL543" s="89"/>
      <c r="DM543" s="89"/>
      <c r="DN543" s="89"/>
      <c r="DO543" s="89"/>
      <c r="DP543" s="89"/>
      <c r="DQ543" s="89"/>
      <c r="DV543" s="287" t="s">
        <v>105</v>
      </c>
      <c r="DW543" s="89"/>
      <c r="EA543" s="55"/>
      <c r="EB543" s="55"/>
      <c r="EC543" s="55"/>
      <c r="ED543" s="55"/>
      <c r="EE543" s="55"/>
    </row>
    <row r="544" spans="1:135" x14ac:dyDescent="0.4">
      <c r="A544" s="221"/>
      <c r="C544" s="14"/>
      <c r="D544" s="14"/>
      <c r="E544" s="14"/>
      <c r="F544" s="14"/>
      <c r="G544" s="14"/>
      <c r="H544" s="14"/>
      <c r="I544" s="14"/>
      <c r="J544" s="14"/>
      <c r="K544" s="14"/>
      <c r="L544" s="14"/>
      <c r="M544" s="14"/>
      <c r="DW544" s="54"/>
      <c r="EA544" s="286"/>
      <c r="EB544" s="286"/>
      <c r="EC544" s="286"/>
      <c r="ED544" s="286"/>
      <c r="EE544" s="286"/>
    </row>
    <row r="545" spans="1:135" x14ac:dyDescent="0.4">
      <c r="A545" s="221"/>
      <c r="C545" s="14"/>
      <c r="D545" s="14"/>
      <c r="E545" s="14"/>
      <c r="F545" s="14"/>
      <c r="G545" s="14"/>
      <c r="H545" s="14"/>
      <c r="I545" s="14"/>
      <c r="J545" s="14"/>
      <c r="K545" s="14"/>
      <c r="L545" s="14"/>
      <c r="M545" s="14"/>
      <c r="DW545" s="54"/>
      <c r="EA545" s="286"/>
      <c r="EB545" s="286"/>
      <c r="EC545" s="286"/>
      <c r="ED545" s="286"/>
      <c r="EE545" s="286"/>
    </row>
    <row r="546" spans="1:135" x14ac:dyDescent="0.4">
      <c r="B546" s="694"/>
      <c r="C546" s="694"/>
      <c r="D546" s="113"/>
      <c r="E546" s="113"/>
      <c r="F546" s="113"/>
      <c r="G546" s="113"/>
      <c r="H546" s="113"/>
      <c r="I546" s="113"/>
      <c r="J546" s="113"/>
      <c r="K546" s="113"/>
      <c r="L546" s="113"/>
      <c r="M546" s="113"/>
      <c r="N546" s="114"/>
      <c r="O546" s="114"/>
      <c r="P546" s="114"/>
      <c r="Q546" s="114"/>
      <c r="R546" s="114"/>
      <c r="S546" s="114"/>
      <c r="T546" s="114"/>
      <c r="U546" s="114"/>
      <c r="V546" s="114"/>
      <c r="W546" s="114"/>
      <c r="X546" s="114"/>
      <c r="Y546" s="114"/>
      <c r="Z546" s="114"/>
      <c r="AA546" s="114"/>
      <c r="AC546" s="114"/>
      <c r="AD546" s="114"/>
      <c r="AE546" s="114"/>
      <c r="AF546" s="114"/>
      <c r="AG546" s="114"/>
      <c r="AH546" s="114"/>
      <c r="AI546" s="114"/>
      <c r="AJ546" s="114"/>
      <c r="AK546" s="114"/>
      <c r="AL546" s="114"/>
      <c r="AM546" s="114"/>
      <c r="AN546" s="114"/>
      <c r="AO546" s="89"/>
      <c r="DW546" s="54"/>
      <c r="EA546" s="55"/>
      <c r="EB546" s="55"/>
      <c r="EC546" s="55"/>
      <c r="ED546" s="55"/>
      <c r="EE546" s="55"/>
    </row>
    <row r="547" spans="1:135" x14ac:dyDescent="0.4">
      <c r="A547" s="233"/>
      <c r="B547" s="679"/>
      <c r="C547" s="679"/>
      <c r="D547" s="113"/>
      <c r="E547" s="113"/>
      <c r="F547" s="113"/>
      <c r="G547" s="113"/>
      <c r="H547" s="113"/>
      <c r="I547" s="113"/>
      <c r="J547" s="113"/>
      <c r="K547" s="113"/>
      <c r="L547" s="113"/>
      <c r="M547" s="113"/>
      <c r="N547" s="114"/>
      <c r="O547" s="114"/>
      <c r="P547" s="114"/>
      <c r="Q547" s="114"/>
      <c r="R547" s="114"/>
      <c r="S547" s="114"/>
      <c r="T547" s="114"/>
      <c r="U547" s="114"/>
      <c r="V547" s="114"/>
      <c r="W547" s="114"/>
      <c r="X547" s="114"/>
      <c r="Y547" s="114"/>
      <c r="Z547" s="114"/>
      <c r="AA547" s="114"/>
      <c r="AB547" s="114"/>
      <c r="AC547" s="114"/>
      <c r="AD547" s="114"/>
      <c r="AE547" s="114"/>
      <c r="AF547" s="114"/>
      <c r="AG547" s="114"/>
      <c r="AH547" s="114"/>
      <c r="AI547" s="114"/>
      <c r="AJ547" s="114"/>
      <c r="AK547" s="114"/>
      <c r="AL547" s="114"/>
      <c r="AM547" s="114"/>
      <c r="CZ547" s="116"/>
      <c r="DA547" s="116"/>
      <c r="DB547" s="116"/>
      <c r="DC547" s="116"/>
      <c r="DD547" s="116"/>
      <c r="DE547" s="116"/>
      <c r="DF547" s="116"/>
      <c r="DG547" s="116"/>
      <c r="DH547" s="116"/>
      <c r="DI547" s="117" t="str">
        <f>"DJ"&amp;MIN(DK550:DK598)</f>
        <v>DJ550</v>
      </c>
      <c r="DJ547" s="118" t="str">
        <f>"DJ"&amp;MAX(DK550:DK598)</f>
        <v>DJ580</v>
      </c>
      <c r="DK547" s="116"/>
      <c r="DL547" s="117" t="str">
        <f>"DM"&amp;MIN(DN550:DN598)</f>
        <v>DM550</v>
      </c>
      <c r="DM547" s="118" t="str">
        <f>"DM"&amp;MAX(DN550:DN598)</f>
        <v>DM580</v>
      </c>
      <c r="DN547" s="116"/>
      <c r="DO547" s="117" t="str">
        <f>"DP"&amp;MIN(DQ550:DQ598)</f>
        <v>DP550</v>
      </c>
      <c r="DP547" s="118" t="str">
        <f>"DP"&amp;MAX(DQ550:DQ598)</f>
        <v>DP580</v>
      </c>
      <c r="DQ547" s="116"/>
      <c r="DW547" s="119"/>
      <c r="EA547" s="33"/>
      <c r="EB547" s="33"/>
      <c r="EC547" s="33"/>
      <c r="ED547" s="33"/>
      <c r="EE547" s="33"/>
    </row>
    <row r="548" spans="1:135" ht="24.6" x14ac:dyDescent="0.45">
      <c r="A548" s="95" t="s">
        <v>65</v>
      </c>
      <c r="C548" s="680" t="str">
        <f>A566</f>
        <v>Base Cases</v>
      </c>
      <c r="D548" s="681"/>
      <c r="E548" s="682"/>
      <c r="F548" s="683" t="str">
        <f>A567</f>
        <v>Conservative Cases</v>
      </c>
      <c r="G548" s="684"/>
      <c r="H548" s="685"/>
      <c r="I548" s="686" t="str">
        <f>A568</f>
        <v>Ambitious Cases</v>
      </c>
      <c r="J548" s="687"/>
      <c r="K548" s="688"/>
      <c r="L548" s="692" t="str">
        <f>A569</f>
        <v>Maximum Cases</v>
      </c>
      <c r="M548" s="693"/>
      <c r="O548" s="122"/>
      <c r="P548" s="122"/>
      <c r="Q548" s="122"/>
      <c r="W548" s="691" t="s">
        <v>66</v>
      </c>
      <c r="X548" s="691"/>
      <c r="Y548" s="691"/>
      <c r="Z548" s="120"/>
      <c r="AA548" s="120"/>
      <c r="AB548" s="120"/>
      <c r="AC548" s="120"/>
      <c r="AD548" s="120"/>
      <c r="AE548" s="120"/>
      <c r="AF548" s="120"/>
      <c r="AG548" s="120"/>
      <c r="AH548" s="120"/>
      <c r="AI548" s="120"/>
      <c r="AJ548" s="120"/>
      <c r="AK548" s="120"/>
      <c r="AL548" s="120"/>
      <c r="AM548" s="120"/>
      <c r="AN548" s="120"/>
      <c r="BR548" s="121" t="s">
        <v>67</v>
      </c>
      <c r="BS548" s="121"/>
      <c r="BT548" s="121"/>
      <c r="BU548" s="121"/>
      <c r="BV548" s="121"/>
      <c r="BW548" s="122"/>
      <c r="BY548" s="121" t="s">
        <v>68</v>
      </c>
      <c r="BZ548" s="121"/>
      <c r="CA548" s="121"/>
      <c r="CB548" s="121"/>
      <c r="CC548" s="121"/>
      <c r="CD548" s="121"/>
      <c r="CG548" s="121" t="s">
        <v>69</v>
      </c>
      <c r="CH548" s="121"/>
      <c r="CI548" s="121"/>
      <c r="CJ548" s="121"/>
      <c r="CK548" s="121"/>
      <c r="CL548" s="121"/>
      <c r="CM548" s="121"/>
      <c r="CP548" s="121" t="s">
        <v>70</v>
      </c>
      <c r="CQ548" s="121"/>
      <c r="CR548" s="121"/>
      <c r="CS548" s="121"/>
      <c r="CT548" s="121"/>
      <c r="CU548" s="121"/>
      <c r="CZ548" s="123"/>
      <c r="DA548" s="123"/>
      <c r="DB548" s="123"/>
      <c r="DC548" s="123"/>
      <c r="DD548" s="123"/>
      <c r="DE548" s="123"/>
      <c r="DF548" s="123"/>
      <c r="DG548" s="123"/>
      <c r="DH548" s="123"/>
      <c r="DI548" s="124" t="str">
        <f>"DI"&amp;MIN(DK550:DK598)</f>
        <v>DI550</v>
      </c>
      <c r="DJ548" s="125" t="str">
        <f>"DI"&amp;MAX(DK550:DK598)</f>
        <v>DI580</v>
      </c>
      <c r="DK548" s="123"/>
      <c r="DL548" s="124" t="str">
        <f>"DL"&amp;MIN(DN550:DN598)</f>
        <v>DL550</v>
      </c>
      <c r="DM548" s="125" t="str">
        <f>"DL"&amp;MAX(DN550:DN598)</f>
        <v>DL580</v>
      </c>
      <c r="DN548" s="123"/>
      <c r="DO548" s="124" t="str">
        <f>"DO"&amp;MIN(DQ550:DQ598)</f>
        <v>DO550</v>
      </c>
      <c r="DP548" s="125" t="str">
        <f>"DO"&amp;MAX(DQ550:DQ598)</f>
        <v>DO580</v>
      </c>
      <c r="DQ548" s="123"/>
      <c r="DV548" s="126" t="s">
        <v>71</v>
      </c>
      <c r="DZ548" s="127" t="s">
        <v>72</v>
      </c>
      <c r="EA548" s="284" t="str">
        <f>$L$38</f>
        <v>3rd Poly</v>
      </c>
    </row>
    <row r="549" spans="1:135" ht="73.8" x14ac:dyDescent="0.45">
      <c r="A549" s="95" t="s">
        <v>73</v>
      </c>
      <c r="B549" s="128"/>
      <c r="C549" s="129" t="str">
        <f>A550</f>
        <v>IPCC</v>
      </c>
      <c r="D549" s="130" t="str">
        <f>A551</f>
        <v>Bahor et al (2009)</v>
      </c>
      <c r="E549" s="131" t="str">
        <f>A552</f>
        <v xml:space="preserve"> IEA Annex I – Municipal solid waste potential in cities; Table I.1</v>
      </c>
      <c r="F549" s="129" t="str">
        <f>A553</f>
        <v>[Source 1]</v>
      </c>
      <c r="G549" s="130" t="str">
        <f>A554</f>
        <v>[Source 2]</v>
      </c>
      <c r="H549" s="131" t="str">
        <f>A555</f>
        <v>[Source 3]</v>
      </c>
      <c r="I549" s="129" t="str">
        <f>A556</f>
        <v>[Source 1]</v>
      </c>
      <c r="J549" s="130" t="str">
        <f>A557</f>
        <v>[Source 2]</v>
      </c>
      <c r="K549" s="131" t="str">
        <f>A558</f>
        <v>[Source 3]</v>
      </c>
      <c r="L549" s="129" t="str">
        <f>A559</f>
        <v>[Source 1]</v>
      </c>
      <c r="M549" s="131" t="str">
        <f>A560</f>
        <v>[Source 2]</v>
      </c>
      <c r="N549" s="234" t="s">
        <v>74</v>
      </c>
      <c r="O549" s="133"/>
      <c r="P549" s="133"/>
      <c r="Q549" s="133"/>
      <c r="R549" s="135" t="s">
        <v>76</v>
      </c>
      <c r="S549" s="134" t="s">
        <v>77</v>
      </c>
      <c r="T549" s="134" t="s">
        <v>78</v>
      </c>
      <c r="U549" s="136" t="s">
        <v>79</v>
      </c>
      <c r="V549" s="137"/>
      <c r="W549" s="136" t="s">
        <v>15</v>
      </c>
      <c r="X549" s="134" t="s">
        <v>21</v>
      </c>
      <c r="Y549" s="136" t="s">
        <v>25</v>
      </c>
      <c r="AA549" s="138"/>
      <c r="AB549" s="138"/>
      <c r="AC549" s="138"/>
      <c r="AD549" s="138"/>
      <c r="AE549" s="138"/>
      <c r="AF549" s="138"/>
      <c r="AG549" s="138"/>
      <c r="AH549" s="138"/>
      <c r="AI549" s="138"/>
      <c r="AJ549" s="138"/>
      <c r="AK549" s="138"/>
      <c r="AL549" s="138"/>
      <c r="AM549" s="138"/>
      <c r="AN549" s="138"/>
      <c r="BR549" s="139"/>
      <c r="BS549" s="139"/>
      <c r="BT549" s="139"/>
      <c r="BU549" s="139"/>
      <c r="BV549" s="139"/>
      <c r="BW549" s="122"/>
      <c r="BZ549" s="139"/>
      <c r="CA549" s="139"/>
      <c r="CB549" s="139"/>
      <c r="CC549" s="139"/>
      <c r="CD549" s="139"/>
      <c r="CH549" s="139"/>
      <c r="CI549" s="139"/>
      <c r="CJ549" s="139"/>
      <c r="CK549" s="139"/>
      <c r="CL549" s="139"/>
      <c r="CM549" s="139"/>
      <c r="CQ549" s="139"/>
      <c r="CR549" s="139"/>
      <c r="CS549" s="139"/>
      <c r="CT549" s="139"/>
      <c r="CU549" s="139"/>
      <c r="CZ549" s="140"/>
      <c r="DA549" s="140"/>
      <c r="DB549" s="140"/>
      <c r="DC549" s="140"/>
      <c r="DD549" s="141"/>
      <c r="DE549" s="141"/>
      <c r="DF549" s="141"/>
      <c r="DG549" s="141"/>
      <c r="DH549" s="140"/>
      <c r="DI549" s="142"/>
      <c r="DJ549" s="143"/>
      <c r="DK549" s="144"/>
      <c r="DL549" s="142"/>
      <c r="DM549" s="143"/>
      <c r="DN549" s="140"/>
      <c r="DO549" s="142"/>
      <c r="DP549" s="143"/>
      <c r="DQ549" s="140"/>
      <c r="DV549" s="145">
        <v>2014</v>
      </c>
      <c r="DW549" s="235">
        <f t="shared" ref="DW549:DW595" ca="1" si="282">IF($J$38="N","",IF($L$38="Linear",BV554,IF($L$38="2nd Poly",CD554,IF($L$38="3rd Poly",CM554,IF($L$38="Exp",CT554)))))</f>
        <v>191.87198960492466</v>
      </c>
      <c r="EA549" s="33" t="str">
        <f>$M$38</f>
        <v>Medium</v>
      </c>
      <c r="EB549" s="33"/>
      <c r="EC549" s="33"/>
      <c r="ED549" s="33"/>
      <c r="EE549" s="33"/>
    </row>
    <row r="550" spans="1:135" ht="13.8" x14ac:dyDescent="0.45">
      <c r="A550" s="148" t="s">
        <v>108</v>
      </c>
      <c r="B550" s="128">
        <v>2012</v>
      </c>
      <c r="C550" s="291"/>
      <c r="D550" s="264"/>
      <c r="E550" s="239"/>
      <c r="F550" s="190"/>
      <c r="G550" s="264"/>
      <c r="H550" s="239"/>
      <c r="I550" s="190"/>
      <c r="J550" s="264"/>
      <c r="K550" s="239"/>
      <c r="L550" s="190"/>
      <c r="M550" s="239"/>
      <c r="N550" s="29" t="s">
        <v>119</v>
      </c>
      <c r="O550" s="120"/>
      <c r="P550" s="120"/>
      <c r="Q550" s="120"/>
      <c r="R550" s="29">
        <v>-2</v>
      </c>
      <c r="S550" s="288" t="str">
        <f t="shared" ref="S550:S598" si="283">IF(MIN(C550:Q550)=0,"",MIN(C550:Q550))</f>
        <v/>
      </c>
      <c r="T550" s="288" t="str">
        <f t="shared" ref="T550:T598" si="284">IF(MAX(C550:Q550)=0,"",MAX(C550:Q550))</f>
        <v/>
      </c>
      <c r="U550" s="288" t="str">
        <f t="shared" ref="U550:U598" si="285">IF(T550="","",_xlfn.STDEV.P(C550:Q550))</f>
        <v/>
      </c>
      <c r="V550" s="29"/>
      <c r="W550" s="288" t="e">
        <f t="shared" ref="W550:W598" si="286">IF(U550="",#N/A,X550-(U550*$Q$38))</f>
        <v>#N/A</v>
      </c>
      <c r="X550" s="288" t="e">
        <f t="shared" ref="X550:X598" si="287">IF(U550="",#N/A,(SUM(C550:Q550)/COUNTIFS(C550:Q550,"&gt;0")))</f>
        <v>#N/A</v>
      </c>
      <c r="Y550" s="288" t="e">
        <f t="shared" ref="Y550:Y598" si="288">IF(U550="",#N/A,X550+(U550*$Q$37))</f>
        <v>#N/A</v>
      </c>
      <c r="AA550" s="138"/>
      <c r="AB550" s="138"/>
      <c r="AC550" s="138"/>
      <c r="AD550" s="138"/>
      <c r="AE550" s="138"/>
      <c r="AF550" s="138"/>
      <c r="AG550" s="138"/>
      <c r="AH550" s="138"/>
      <c r="AI550" s="138"/>
      <c r="AJ550" s="138"/>
      <c r="AK550" s="138"/>
      <c r="AL550" s="138"/>
      <c r="AM550" s="138"/>
      <c r="AN550" s="138"/>
      <c r="BR550" s="137" t="s">
        <v>81</v>
      </c>
      <c r="BS550" s="65" t="str">
        <f>$M$38</f>
        <v>Medium</v>
      </c>
      <c r="BT550" s="137" t="s">
        <v>82</v>
      </c>
      <c r="BU550" s="137" t="s">
        <v>83</v>
      </c>
      <c r="BW550" s="133"/>
      <c r="BY550" s="137" t="s">
        <v>81</v>
      </c>
      <c r="BZ550" s="65" t="str">
        <f>$M$38</f>
        <v>Medium</v>
      </c>
      <c r="CA550" s="137" t="s">
        <v>84</v>
      </c>
      <c r="CB550" s="137" t="s">
        <v>82</v>
      </c>
      <c r="CC550" s="137" t="s">
        <v>83</v>
      </c>
      <c r="CG550" s="137" t="s">
        <v>81</v>
      </c>
      <c r="CH550" s="65" t="str">
        <f>$M$38</f>
        <v>Medium</v>
      </c>
      <c r="CI550" s="137" t="s">
        <v>85</v>
      </c>
      <c r="CJ550" s="137" t="s">
        <v>84</v>
      </c>
      <c r="CK550" s="137" t="s">
        <v>82</v>
      </c>
      <c r="CL550" s="137" t="s">
        <v>83</v>
      </c>
      <c r="CP550" s="137" t="s">
        <v>81</v>
      </c>
      <c r="CQ550" s="65" t="str">
        <f>$M$38</f>
        <v>Medium</v>
      </c>
      <c r="CR550" s="137" t="s">
        <v>86</v>
      </c>
      <c r="CS550" s="137" t="s">
        <v>87</v>
      </c>
      <c r="CZ550" s="155" t="b">
        <f t="shared" ref="CZ550:DB589" si="289">ISNUMBER(W550)</f>
        <v>0</v>
      </c>
      <c r="DA550" s="156" t="b">
        <f t="shared" si="289"/>
        <v>0</v>
      </c>
      <c r="DB550" s="157" t="b">
        <f t="shared" si="289"/>
        <v>0</v>
      </c>
      <c r="DC550" s="155" t="str">
        <f t="shared" ref="DC550:DC598" si="290">IF(CZ550=TRUE,$R550,"")</f>
        <v/>
      </c>
      <c r="DD550" s="157" t="str">
        <f t="shared" ref="DD550:DD598" si="291">IF(CZ550=TRUE,W550,"")</f>
        <v/>
      </c>
      <c r="DE550" s="155" t="str">
        <f t="shared" ref="DE550:DE598" si="292">IF(DA550=TRUE,$R550,"")</f>
        <v/>
      </c>
      <c r="DF550" s="157" t="str">
        <f t="shared" ref="DF550:DF598" si="293">IF(DA550=TRUE,X550,"")</f>
        <v/>
      </c>
      <c r="DG550" s="155" t="str">
        <f t="shared" ref="DG550:DG598" si="294">IF(DB550=TRUE,$R550,"")</f>
        <v/>
      </c>
      <c r="DH550" s="157" t="str">
        <f t="shared" ref="DH550:DH598" si="295">IF(DB550=TRUE,Y550,"")</f>
        <v/>
      </c>
      <c r="DI550" s="155">
        <f>IFERROR(INDEX(DC$550:DC$598,_xlfn.AGGREGATE(15,6,(ROW(DC$550:DC$598)-ROW(DC$550)+1)/(DC$550:DC$598&lt;&gt;""),ROWS(DI$1:DI1))),"")</f>
        <v>1</v>
      </c>
      <c r="DJ550" s="156">
        <f>IFERROR(INDEX(DD$550:DD$598,_xlfn.AGGREGATE(15,6,(ROW(DD$550:DD$598)-ROW(DD$550)+1)/(DD$550:DD$598&lt;&gt;""),ROWS(DJ$1:DJ1))),"")</f>
        <v>138.78233233164923</v>
      </c>
      <c r="DK550" s="157">
        <f t="shared" ref="DK550:DK598" si="296">IF(ISNUMBER(DI550),ROW(DI550),"")</f>
        <v>550</v>
      </c>
      <c r="DL550" s="155">
        <f>IFERROR(INDEX(DE$550:DE$598,_xlfn.AGGREGATE(15,6,(ROW(DE$550:DE$598)-ROW(DE$550)+1)/(DE$550:DE$598&lt;&gt;""),ROWS(DL$1:DL1))),"")</f>
        <v>1</v>
      </c>
      <c r="DM550" s="156">
        <f>IFERROR(INDEX(DF$550:DF$598,_xlfn.AGGREGATE(15,6,(ROW(DF$550:DF$598)-ROW(DF$550)+1)/(DF$550:DF$598&lt;&gt;""),ROWS(DM$1:DM1))),"")</f>
        <v>193.86914243745707</v>
      </c>
      <c r="DN550" s="157">
        <f t="shared" ref="DN550:DN598" si="297">IF(ISNUMBER(DI550),ROW(DI550),"")</f>
        <v>550</v>
      </c>
      <c r="DO550" s="155">
        <f>IFERROR(INDEX(DG$550:DG$598,_xlfn.AGGREGATE(15,6,(ROW(DG$550:DG$598)-ROW(DG$550)+1)/(DG$550:DG$598&lt;&gt;""),ROWS(DO$1:DO1))),"")</f>
        <v>1</v>
      </c>
      <c r="DP550" s="156">
        <f>IFERROR(INDEX(DH$550:DH$598,_xlfn.AGGREGATE(15,6,(ROW(DH$550:DH$598)-ROW(DH$550)+1)/(DH$550:DH$598&lt;&gt;""),ROWS(DP$1:DP1))),"")</f>
        <v>248.95595254326491</v>
      </c>
      <c r="DQ550" s="157">
        <f t="shared" ref="DQ550:DQ598" si="298">IF(ISNUMBER(DL550),ROW(DL550),"")</f>
        <v>550</v>
      </c>
      <c r="DV550" s="145">
        <v>2015</v>
      </c>
      <c r="DW550" s="235">
        <f t="shared" ca="1" si="282"/>
        <v>193.84193801725283</v>
      </c>
      <c r="EA550" s="33"/>
      <c r="EB550" s="33"/>
      <c r="EC550" s="33"/>
      <c r="ED550" s="33"/>
      <c r="EE550" s="33"/>
    </row>
    <row r="551" spans="1:135" ht="13.8" x14ac:dyDescent="0.45">
      <c r="A551" s="148" t="s">
        <v>110</v>
      </c>
      <c r="B551" s="128">
        <v>2013</v>
      </c>
      <c r="C551" s="187"/>
      <c r="D551" s="264"/>
      <c r="E551" s="239"/>
      <c r="F551" s="190"/>
      <c r="G551" s="264"/>
      <c r="H551" s="239"/>
      <c r="I551" s="190"/>
      <c r="J551" s="264"/>
      <c r="K551" s="239"/>
      <c r="L551" s="190"/>
      <c r="M551" s="239"/>
      <c r="N551" s="29" t="s">
        <v>119</v>
      </c>
      <c r="O551" s="120"/>
      <c r="P551" s="120"/>
      <c r="Q551" s="120"/>
      <c r="R551" s="29">
        <v>-1</v>
      </c>
      <c r="S551" s="288" t="str">
        <f t="shared" si="283"/>
        <v/>
      </c>
      <c r="T551" s="288" t="str">
        <f t="shared" si="284"/>
        <v/>
      </c>
      <c r="U551" s="288" t="str">
        <f t="shared" si="285"/>
        <v/>
      </c>
      <c r="V551" s="29"/>
      <c r="W551" s="288" t="e">
        <f t="shared" si="286"/>
        <v>#N/A</v>
      </c>
      <c r="X551" s="288" t="e">
        <f t="shared" si="287"/>
        <v>#N/A</v>
      </c>
      <c r="Y551" s="288" t="e">
        <f t="shared" si="288"/>
        <v>#N/A</v>
      </c>
      <c r="AA551" s="138"/>
      <c r="AB551" s="138"/>
      <c r="AC551" s="138"/>
      <c r="AD551" s="138"/>
      <c r="AE551" s="138"/>
      <c r="AF551" s="138"/>
      <c r="AG551" s="138"/>
      <c r="AH551" s="138"/>
      <c r="AI551" s="138"/>
      <c r="AJ551" s="138"/>
      <c r="AK551" s="138"/>
      <c r="AL551" s="138"/>
      <c r="AM551" s="138"/>
      <c r="AN551" s="138"/>
      <c r="BS551" s="160" t="s">
        <v>25</v>
      </c>
      <c r="BT551" s="161">
        <f>SLOPE((DH550:DH598),($B$46:$B$94))</f>
        <v>2.7563247640345856</v>
      </c>
      <c r="BU551" s="162">
        <f>INTERCEPT(DP550:DP598,DO550:DO598)</f>
        <v>246.16673114868561</v>
      </c>
      <c r="BW551" s="133"/>
      <c r="BZ551" s="160" t="s">
        <v>25</v>
      </c>
      <c r="CA551" s="161">
        <f ca="1">INDEX(LINEST((INDIRECT(DO547):INDIRECT(DP547)),(INDIRECT(DO548):INDIRECT(DP548))^{1,2}),1)</f>
        <v>1.0028327719119219E-4</v>
      </c>
      <c r="CB551" s="163">
        <f ca="1">INDEX(LINEST((INDIRECT(DO547):INDIRECT(DP547)),(INDIRECT(DO548):INDIRECT(DP548))^{1,2}),1,2)</f>
        <v>2.7531156991644679</v>
      </c>
      <c r="CC551" s="162">
        <f ca="1">INDEX(LINEST((INDIRECT(DO547):INDIRECT(DP547)),(INDIRECT(DO548):INDIRECT(DP548))^{1,2}),1,3)</f>
        <v>246.18438100547127</v>
      </c>
      <c r="CH551" s="160" t="s">
        <v>25</v>
      </c>
      <c r="CI551" s="161">
        <f ca="1">INDEX(LINEST((INDIRECT(DO547):INDIRECT(DP547)),(INDIRECT(DO548):INDIRECT(DP548))^{1,2,3}),1)</f>
        <v>-1.5582993498393817E-5</v>
      </c>
      <c r="CJ551" s="163">
        <f ca="1">INDEX(LINEST((INDIRECT(DO547):INDIRECT(DP547)),(INDIRECT(DO548):INDIRECT(DP548))^{1,2,3}),1,2)</f>
        <v>8.4826696511415371E-4</v>
      </c>
      <c r="CK551" s="163">
        <f ca="1">INDEX(LINEST((INDIRECT(DO547):INDIRECT(DP547)),(INDIRECT(DO548):INDIRECT(DP548))^{1,2,3}),1,3)</f>
        <v>2.743388794622768</v>
      </c>
      <c r="CL551" s="162">
        <f ca="1">INDEX(LINEST((INDIRECT(DO547):INDIRECT(DP547)),(INDIRECT(DO548):INDIRECT(DP548))^{1,2,3}),1,4)</f>
        <v>246.2123555953996</v>
      </c>
      <c r="CQ551" s="160" t="s">
        <v>25</v>
      </c>
      <c r="CR551" s="161">
        <f ca="1">EXP(INDEX(LINEST(LN(INDIRECT(DO547):INDIRECT(DP547)),(INDIRECT(DO548):INDIRECT(DP548))),1,2))</f>
        <v>248.28624709590568</v>
      </c>
      <c r="CS551" s="162">
        <f ca="1">INDEX(LINEST(LN(INDIRECT(DO547):INDIRECT(DP547)),(INDIRECT(DO548):INDIRECT(DP548))),1)</f>
        <v>9.536989059196933E-3</v>
      </c>
      <c r="CZ551" s="164" t="b">
        <f t="shared" si="289"/>
        <v>0</v>
      </c>
      <c r="DA551" s="165" t="b">
        <f t="shared" si="289"/>
        <v>0</v>
      </c>
      <c r="DB551" s="166" t="b">
        <f t="shared" si="289"/>
        <v>0</v>
      </c>
      <c r="DC551" s="164" t="str">
        <f t="shared" si="290"/>
        <v/>
      </c>
      <c r="DD551" s="166" t="str">
        <f t="shared" si="291"/>
        <v/>
      </c>
      <c r="DE551" s="164" t="str">
        <f t="shared" si="292"/>
        <v/>
      </c>
      <c r="DF551" s="166" t="str">
        <f t="shared" si="293"/>
        <v/>
      </c>
      <c r="DG551" s="164" t="str">
        <f t="shared" si="294"/>
        <v/>
      </c>
      <c r="DH551" s="166" t="str">
        <f t="shared" si="295"/>
        <v/>
      </c>
      <c r="DI551" s="164">
        <f>IFERROR(INDEX(DC$550:DC$598,_xlfn.AGGREGATE(15,6,(ROW(DC$550:DC$598)-ROW(DC$550)+1)/(DC$550:DC$598&lt;&gt;""),ROWS(DI$1:DI2))),"")</f>
        <v>2</v>
      </c>
      <c r="DJ551" s="165">
        <f>IFERROR(INDEX(DD$550:DD$598,_xlfn.AGGREGATE(15,6,(ROW(DD$550:DD$598)-ROW(DD$550)+1)/(DD$550:DD$598&lt;&gt;""),ROWS(DJ$1:DJ2))),"")</f>
        <v>139.96447119738787</v>
      </c>
      <c r="DK551" s="166">
        <f t="shared" si="296"/>
        <v>551</v>
      </c>
      <c r="DL551" s="164">
        <f>IFERROR(INDEX(DE$550:DE$598,_xlfn.AGGREGATE(15,6,(ROW(DE$550:DE$598)-ROW(DE$550)+1)/(DE$550:DE$598&lt;&gt;""),ROWS(DL$1:DL2))),"")</f>
        <v>2</v>
      </c>
      <c r="DM551" s="165">
        <f>IFERROR(INDEX(DF$550:DF$598,_xlfn.AGGREGATE(15,6,(ROW(DF$550:DF$598)-ROW(DF$550)+1)/(DF$550:DF$598&lt;&gt;""),ROWS(DM$1:DM2))),"")</f>
        <v>195.83359360685822</v>
      </c>
      <c r="DN551" s="166">
        <f t="shared" si="297"/>
        <v>551</v>
      </c>
      <c r="DO551" s="164">
        <f>IFERROR(INDEX(DG$550:DG$598,_xlfn.AGGREGATE(15,6,(ROW(DG$550:DG$598)-ROW(DG$550)+1)/(DG$550:DG$598&lt;&gt;""),ROWS(DO$1:DO2))),"")</f>
        <v>2</v>
      </c>
      <c r="DP551" s="165">
        <f>IFERROR(INDEX(DH$550:DH$598,_xlfn.AGGREGATE(15,6,(ROW(DH$550:DH$598)-ROW(DH$550)+1)/(DH$550:DH$598&lt;&gt;""),ROWS(DP$1:DP2))),"")</f>
        <v>251.70271601632857</v>
      </c>
      <c r="DQ551" s="166">
        <f t="shared" si="298"/>
        <v>551</v>
      </c>
      <c r="DV551" s="145">
        <v>2016</v>
      </c>
      <c r="DW551" s="235">
        <f t="shared" ca="1" si="282"/>
        <v>195.81638967152202</v>
      </c>
      <c r="EA551" s="33"/>
      <c r="EB551" s="33"/>
      <c r="EC551" s="33"/>
      <c r="ED551" s="33"/>
      <c r="EE551" s="33"/>
    </row>
    <row r="552" spans="1:135" ht="13.8" x14ac:dyDescent="0.45">
      <c r="A552" s="148" t="s">
        <v>116</v>
      </c>
      <c r="B552" s="128">
        <v>2014</v>
      </c>
      <c r="C552" s="167"/>
      <c r="D552" s="168"/>
      <c r="E552" s="169"/>
      <c r="F552" s="170"/>
      <c r="G552" s="168"/>
      <c r="H552" s="169"/>
      <c r="I552" s="170"/>
      <c r="J552" s="168"/>
      <c r="K552" s="169"/>
      <c r="L552" s="170"/>
      <c r="M552" s="169"/>
      <c r="N552" s="29" t="s">
        <v>119</v>
      </c>
      <c r="O552" s="120"/>
      <c r="P552" s="120"/>
      <c r="Q552" s="120"/>
      <c r="R552" s="29">
        <v>0</v>
      </c>
      <c r="S552" s="288" t="str">
        <f t="shared" si="283"/>
        <v/>
      </c>
      <c r="T552" s="288" t="str">
        <f t="shared" si="284"/>
        <v/>
      </c>
      <c r="U552" s="288" t="str">
        <f t="shared" si="285"/>
        <v/>
      </c>
      <c r="V552" s="29"/>
      <c r="W552" s="288" t="e">
        <f t="shared" si="286"/>
        <v>#N/A</v>
      </c>
      <c r="X552" s="288" t="e">
        <f t="shared" si="287"/>
        <v>#N/A</v>
      </c>
      <c r="Y552" s="288" t="e">
        <f t="shared" si="288"/>
        <v>#N/A</v>
      </c>
      <c r="AA552" s="138"/>
      <c r="AB552" s="138"/>
      <c r="AC552" s="138"/>
      <c r="AD552" s="138"/>
      <c r="AE552" s="138"/>
      <c r="AF552" s="138"/>
      <c r="AG552" s="138"/>
      <c r="AH552" s="138"/>
      <c r="AI552" s="138"/>
      <c r="AJ552" s="138"/>
      <c r="AK552" s="138"/>
      <c r="AL552" s="138"/>
      <c r="AM552" s="138"/>
      <c r="AN552" s="138"/>
      <c r="BS552" s="160" t="s">
        <v>91</v>
      </c>
      <c r="BT552" s="304">
        <f>SLOPE((DF550:DF598),($B$46:$B$94))</f>
        <v>1.9504361132004033</v>
      </c>
      <c r="BU552" s="305">
        <f>INTERCEPT(DM550:DM598,DL550:DL598)</f>
        <v>192.144598299715</v>
      </c>
      <c r="BZ552" s="160" t="s">
        <v>91</v>
      </c>
      <c r="CA552" s="304">
        <f ca="1">INDEX(LINEST((INDIRECT(DL547):INDIRECT(DM547)),(INDIRECT(DL548):INDIRECT(DM548))^{1,2}),1)</f>
        <v>-2.6628626619393646E-3</v>
      </c>
      <c r="CB552" s="306">
        <f ca="1">INDEX(LINEST((INDIRECT(DL547):INDIRECT(DM547)),(INDIRECT(DL548):INDIRECT(DM548))^{1,2}),1,2)</f>
        <v>2.0356477183824628</v>
      </c>
      <c r="CC552" s="305">
        <f ca="1">INDEX(LINEST((INDIRECT(DL547):INDIRECT(DM547)),(INDIRECT(DL548):INDIRECT(DM548))^{1,2}),1,3)</f>
        <v>191.67593447121368</v>
      </c>
      <c r="CH552" s="160" t="s">
        <v>91</v>
      </c>
      <c r="CI552" s="304">
        <f ca="1">INDEX(LINEST((INDIRECT(DL547):INDIRECT(DM547)),(INDIRECT(DL548):INDIRECT(DM548))^{1,2,3}),1)</f>
        <v>-1.0921074738801865E-4</v>
      </c>
      <c r="CJ552" s="306">
        <f ca="1">INDEX(LINEST((INDIRECT(DL547):INDIRECT(DM547)),(INDIRECT(DL548):INDIRECT(DM548))^{1,2,3}),1,2)</f>
        <v>2.5792532126856305E-3</v>
      </c>
      <c r="CK552" s="306">
        <f ca="1">INDEX(LINEST((INDIRECT(DL547):INDIRECT(DM547)),(INDIRECT(DL548):INDIRECT(DM548))^{1,2,3}),1,3)</f>
        <v>1.9674783698628591</v>
      </c>
      <c r="CL552" s="305">
        <f ca="1">INDEX(LINEST((INDIRECT(DL547):INDIRECT(DM547)),(INDIRECT(DL548):INDIRECT(DM548))^{1,2,3}),1,4)</f>
        <v>191.87198960492466</v>
      </c>
      <c r="CQ552" s="160" t="s">
        <v>91</v>
      </c>
      <c r="CR552" s="304">
        <f ca="1">EXP(INDEX(LINEST(LN(INDIRECT(DL547):INDIRECT(DM547)),(INDIRECT(DL548):INDIRECT(DM548))),1,2))</f>
        <v>193.51082844891297</v>
      </c>
      <c r="CS552" s="305">
        <f ca="1">INDEX(LINEST(LN(INDIRECT(DL547):INDIRECT(DM547)),(INDIRECT(DL548):INDIRECT(DM548))),1)</f>
        <v>8.7713402702031037E-3</v>
      </c>
      <c r="CZ552" s="164" t="b">
        <f t="shared" si="289"/>
        <v>0</v>
      </c>
      <c r="DA552" s="165" t="b">
        <f t="shared" si="289"/>
        <v>0</v>
      </c>
      <c r="DB552" s="166" t="b">
        <f t="shared" si="289"/>
        <v>0</v>
      </c>
      <c r="DC552" s="164" t="str">
        <f t="shared" si="290"/>
        <v/>
      </c>
      <c r="DD552" s="166" t="str">
        <f t="shared" si="291"/>
        <v/>
      </c>
      <c r="DE552" s="164" t="str">
        <f t="shared" si="292"/>
        <v/>
      </c>
      <c r="DF552" s="166" t="str">
        <f t="shared" si="293"/>
        <v/>
      </c>
      <c r="DG552" s="164" t="str">
        <f t="shared" si="294"/>
        <v/>
      </c>
      <c r="DH552" s="166" t="str">
        <f t="shared" si="295"/>
        <v/>
      </c>
      <c r="DI552" s="164">
        <f>IFERROR(INDEX(DC$550:DC$598,_xlfn.AGGREGATE(15,6,(ROW(DC$550:DC$598)-ROW(DC$550)+1)/(DC$550:DC$598&lt;&gt;""),ROWS(DI$1:DI3))),"")</f>
        <v>3</v>
      </c>
      <c r="DJ552" s="165">
        <f>IFERROR(INDEX(DD$550:DD$598,_xlfn.AGGREGATE(15,6,(ROW(DD$550:DD$598)-ROW(DD$550)+1)/(DD$550:DD$598&lt;&gt;""),ROWS(DJ$1:DJ3))),"")</f>
        <v>141.15744661726862</v>
      </c>
      <c r="DK552" s="166">
        <f t="shared" si="296"/>
        <v>552</v>
      </c>
      <c r="DL552" s="164">
        <f>IFERROR(INDEX(DE$550:DE$598,_xlfn.AGGREGATE(15,6,(ROW(DE$550:DE$598)-ROW(DE$550)+1)/(DE$550:DE$598&lt;&gt;""),ROWS(DL$1:DL3))),"")</f>
        <v>3</v>
      </c>
      <c r="DM552" s="165">
        <f>IFERROR(INDEX(DF$550:DF$598,_xlfn.AGGREGATE(15,6,(ROW(DF$550:DF$598)-ROW(DF$550)+1)/(DF$550:DF$598&lt;&gt;""),ROWS(DM$1:DM3))),"")</f>
        <v>197.80398690658168</v>
      </c>
      <c r="DN552" s="166">
        <f t="shared" si="297"/>
        <v>552</v>
      </c>
      <c r="DO552" s="164">
        <f>IFERROR(INDEX(DG$550:DG$598,_xlfn.AGGREGATE(15,6,(ROW(DG$550:DG$598)-ROW(DG$550)+1)/(DG$550:DG$598&lt;&gt;""),ROWS(DO$1:DO3))),"")</f>
        <v>3</v>
      </c>
      <c r="DP552" s="165">
        <f>IFERROR(INDEX(DH$550:DH$598,_xlfn.AGGREGATE(15,6,(ROW(DH$550:DH$598)-ROW(DH$550)+1)/(DH$550:DH$598&lt;&gt;""),ROWS(DP$1:DP3))),"")</f>
        <v>254.45052719589475</v>
      </c>
      <c r="DQ552" s="166">
        <f t="shared" si="298"/>
        <v>552</v>
      </c>
      <c r="DV552" s="145">
        <v>2017</v>
      </c>
      <c r="DW552" s="235">
        <f t="shared" ca="1" si="282"/>
        <v>197.79468930324794</v>
      </c>
      <c r="DZ552" s="65" t="s">
        <v>89</v>
      </c>
      <c r="EA552" s="33"/>
      <c r="EB552" s="33"/>
      <c r="EC552" s="33"/>
      <c r="ED552" s="33"/>
      <c r="EE552" s="33"/>
    </row>
    <row r="553" spans="1:135" ht="13.8" x14ac:dyDescent="0.45">
      <c r="A553" s="303" t="s">
        <v>80</v>
      </c>
      <c r="B553" s="128">
        <v>2015</v>
      </c>
      <c r="C553" s="291">
        <f>'Total MSW Summaries (Archive)'!K6</f>
        <v>138.78472460966842</v>
      </c>
      <c r="D553" s="307">
        <f>'Total MSW Summaries (Archive)'!AI6</f>
        <v>269.12000000000006</v>
      </c>
      <c r="E553" s="308">
        <f>'Total MSW Summaries (Archive)'!BG6</f>
        <v>173.70270270270271</v>
      </c>
      <c r="F553" s="309"/>
      <c r="G553" s="307"/>
      <c r="H553" s="308"/>
      <c r="I553" s="309"/>
      <c r="J553" s="307"/>
      <c r="K553" s="308"/>
      <c r="L553" s="309"/>
      <c r="M553" s="308"/>
      <c r="N553" s="29" t="s">
        <v>119</v>
      </c>
      <c r="O553" s="120"/>
      <c r="P553" s="120"/>
      <c r="Q553" s="120"/>
      <c r="R553" s="29">
        <v>1</v>
      </c>
      <c r="S553" s="288">
        <f t="shared" si="283"/>
        <v>138.78472460966842</v>
      </c>
      <c r="T553" s="288">
        <f t="shared" si="284"/>
        <v>269.12000000000006</v>
      </c>
      <c r="U553" s="288">
        <f t="shared" si="285"/>
        <v>55.086810105807828</v>
      </c>
      <c r="V553" s="29"/>
      <c r="W553" s="288">
        <f t="shared" si="286"/>
        <v>138.78233233164923</v>
      </c>
      <c r="X553" s="288">
        <f t="shared" si="287"/>
        <v>193.86914243745707</v>
      </c>
      <c r="Y553" s="288">
        <f t="shared" si="288"/>
        <v>248.95595254326491</v>
      </c>
      <c r="AA553" s="138"/>
      <c r="AB553" s="138"/>
      <c r="AC553" s="138"/>
      <c r="AD553" s="138"/>
      <c r="AE553" s="138"/>
      <c r="AF553" s="138"/>
      <c r="AG553" s="138"/>
      <c r="AH553" s="138"/>
      <c r="AI553" s="138"/>
      <c r="AJ553" s="138"/>
      <c r="AK553" s="138"/>
      <c r="AL553" s="138"/>
      <c r="AM553" s="138"/>
      <c r="AN553" s="138"/>
      <c r="BR553" s="29"/>
      <c r="BS553" s="160" t="s">
        <v>15</v>
      </c>
      <c r="BT553" s="310">
        <f>SLOPE((DD550:DD598),($B$46:$B$94))</f>
        <v>1.1445474623662206</v>
      </c>
      <c r="BU553" s="311">
        <f>INTERCEPT(DJ550:DJ598,DI550:DI598)</f>
        <v>138.1224654507443</v>
      </c>
      <c r="BV553" s="137" t="s">
        <v>71</v>
      </c>
      <c r="BY553" s="29"/>
      <c r="BZ553" s="160" t="s">
        <v>15</v>
      </c>
      <c r="CA553" s="310">
        <f ca="1">INDEX(LINEST((INDIRECT(DI547):INDIRECT(DJ547)),(INDIRECT(DI548):INDIRECT(DJ548))^{1,2}),1)</f>
        <v>-5.4260086010699086E-3</v>
      </c>
      <c r="CB553" s="312">
        <f ca="1">INDEX(LINEST((INDIRECT(DI547):INDIRECT(DJ547)),(INDIRECT(DI548):INDIRECT(DJ548))^{1,2}),1,2)</f>
        <v>1.3181797376004578</v>
      </c>
      <c r="CC553" s="311">
        <f ca="1">INDEX(LINEST((INDIRECT(DI547):INDIRECT(DJ547)),(INDIRECT(DI548):INDIRECT(DJ548))^{1,2}),1,3)</f>
        <v>137.16748793695601</v>
      </c>
      <c r="CD553" s="137" t="s">
        <v>71</v>
      </c>
      <c r="CG553" s="29"/>
      <c r="CH553" s="160" t="s">
        <v>15</v>
      </c>
      <c r="CI553" s="310">
        <f ca="1">INDEX(LINEST((INDIRECT(DI547):INDIRECT(DJ547)),(INDIRECT(DI548):INDIRECT(DJ548))^{1,2,3}),1)</f>
        <v>-2.0283850127763946E-4</v>
      </c>
      <c r="CJ553" s="312">
        <f ca="1">INDEX(LINEST((INDIRECT(DI547):INDIRECT(DJ547)),(INDIRECT(DI548):INDIRECT(DJ548))^{1,2,3}),1,2)</f>
        <v>4.3102394602568053E-3</v>
      </c>
      <c r="CK553" s="312">
        <f ca="1">INDEX(LINEST((INDIRECT(DI547):INDIRECT(DJ547)),(INDIRECT(DI548):INDIRECT(DJ548))^{1,2,3}),1,3)</f>
        <v>1.1915679451029544</v>
      </c>
      <c r="CL553" s="311">
        <f ca="1">INDEX(LINEST((INDIRECT(DI547):INDIRECT(DJ547)),(INDIRECT(DI548):INDIRECT(DJ548))^{1,2,3}),1,4)</f>
        <v>137.53162361444961</v>
      </c>
      <c r="CM553" s="137" t="s">
        <v>71</v>
      </c>
      <c r="CP553" s="29"/>
      <c r="CQ553" s="160" t="s">
        <v>15</v>
      </c>
      <c r="CR553" s="310">
        <f ca="1">EXP(INDEX(LINEST(LN(INDIRECT(DI547):INDIRECT(DJ547)),(INDIRECT(DI548):INDIRECT(DJ548))),1,2))</f>
        <v>138.77569893665282</v>
      </c>
      <c r="CS553" s="311">
        <f ca="1">INDEX(LINEST(LN(INDIRECT(DI547):INDIRECT(DJ547)),(INDIRECT(DI548):INDIRECT(DJ548))),1)</f>
        <v>7.3513058509000603E-3</v>
      </c>
      <c r="CT553" s="137" t="s">
        <v>71</v>
      </c>
      <c r="CZ553" s="164" t="b">
        <f t="shared" si="289"/>
        <v>1</v>
      </c>
      <c r="DA553" s="165" t="b">
        <f t="shared" si="289"/>
        <v>1</v>
      </c>
      <c r="DB553" s="166" t="b">
        <f t="shared" si="289"/>
        <v>1</v>
      </c>
      <c r="DC553" s="164">
        <f t="shared" si="290"/>
        <v>1</v>
      </c>
      <c r="DD553" s="166">
        <f t="shared" si="291"/>
        <v>138.78233233164923</v>
      </c>
      <c r="DE553" s="164">
        <f t="shared" si="292"/>
        <v>1</v>
      </c>
      <c r="DF553" s="166">
        <f t="shared" si="293"/>
        <v>193.86914243745707</v>
      </c>
      <c r="DG553" s="164">
        <f t="shared" si="294"/>
        <v>1</v>
      </c>
      <c r="DH553" s="166">
        <f t="shared" si="295"/>
        <v>248.95595254326491</v>
      </c>
      <c r="DI553" s="164">
        <f>IFERROR(INDEX(DC$550:DC$598,_xlfn.AGGREGATE(15,6,(ROW(DC$550:DC$598)-ROW(DC$550)+1)/(DC$550:DC$598&lt;&gt;""),ROWS(DI$1:DI4))),"")</f>
        <v>4</v>
      </c>
      <c r="DJ553" s="165">
        <f>IFERROR(INDEX(DD$550:DD$598,_xlfn.AGGREGATE(15,6,(ROW(DD$550:DD$598)-ROW(DD$550)+1)/(DD$550:DD$598&lt;&gt;""),ROWS(DJ$1:DJ4))),"")</f>
        <v>142.35591442057071</v>
      </c>
      <c r="DK553" s="166">
        <f t="shared" si="296"/>
        <v>553</v>
      </c>
      <c r="DL553" s="164">
        <f>IFERROR(INDEX(DE$550:DE$598,_xlfn.AGGREGATE(15,6,(ROW(DE$550:DE$598)-ROW(DE$550)+1)/(DE$550:DE$598&lt;&gt;""),ROWS(DL$1:DL4))),"")</f>
        <v>4</v>
      </c>
      <c r="DM553" s="165">
        <f>IFERROR(INDEX(DF$550:DF$598,_xlfn.AGGREGATE(15,6,(ROW(DF$550:DF$598)-ROW(DF$550)+1)/(DF$550:DF$598&lt;&gt;""),ROWS(DM$1:DM4))),"")</f>
        <v>199.77765003499644</v>
      </c>
      <c r="DN553" s="166">
        <f t="shared" si="297"/>
        <v>553</v>
      </c>
      <c r="DO553" s="164">
        <f>IFERROR(INDEX(DG$550:DG$598,_xlfn.AGGREGATE(15,6,(ROW(DG$550:DG$598)-ROW(DG$550)+1)/(DG$550:DG$598&lt;&gt;""),ROWS(DO$1:DO4))),"")</f>
        <v>4</v>
      </c>
      <c r="DP553" s="165">
        <f>IFERROR(INDEX(DH$550:DH$598,_xlfn.AGGREGATE(15,6,(ROW(DH$550:DH$598)-ROW(DH$550)+1)/(DH$550:DH$598&lt;&gt;""),ROWS(DP$1:DP4))),"")</f>
        <v>257.1993856494222</v>
      </c>
      <c r="DQ553" s="166">
        <f t="shared" si="298"/>
        <v>553</v>
      </c>
      <c r="DV553" s="145">
        <v>2018</v>
      </c>
      <c r="DW553" s="235">
        <f t="shared" ca="1" si="282"/>
        <v>199.77618164794623</v>
      </c>
      <c r="EA553" s="33" t="s">
        <v>85</v>
      </c>
      <c r="EB553" s="33" t="s">
        <v>84</v>
      </c>
      <c r="EC553" s="33" t="s">
        <v>82</v>
      </c>
      <c r="ED553" s="33" t="s">
        <v>83</v>
      </c>
      <c r="EE553" s="33"/>
    </row>
    <row r="554" spans="1:135" ht="13.8" x14ac:dyDescent="0.45">
      <c r="A554" s="303" t="s">
        <v>88</v>
      </c>
      <c r="B554" s="128">
        <v>2016</v>
      </c>
      <c r="C554" s="291">
        <f>'Total MSW Summaries (Archive)'!K7</f>
        <v>140.20672676652046</v>
      </c>
      <c r="D554" s="307">
        <f>'Total MSW Summaries (Archive)'!AI7</f>
        <v>272.24000000000007</v>
      </c>
      <c r="E554" s="308">
        <f>'Total MSW Summaries (Archive)'!BG7</f>
        <v>175.05405405405406</v>
      </c>
      <c r="F554" s="309"/>
      <c r="G554" s="307"/>
      <c r="H554" s="308"/>
      <c r="I554" s="309"/>
      <c r="J554" s="307"/>
      <c r="K554" s="308"/>
      <c r="L554" s="309"/>
      <c r="M554" s="308"/>
      <c r="N554" s="29" t="s">
        <v>119</v>
      </c>
      <c r="O554" s="120"/>
      <c r="P554" s="120"/>
      <c r="Q554" s="120"/>
      <c r="R554" s="29">
        <v>2</v>
      </c>
      <c r="S554" s="288">
        <f t="shared" si="283"/>
        <v>140.20672676652046</v>
      </c>
      <c r="T554" s="288">
        <f t="shared" si="284"/>
        <v>272.24000000000007</v>
      </c>
      <c r="U554" s="288">
        <f t="shared" si="285"/>
        <v>55.869122409470357</v>
      </c>
      <c r="V554" s="29"/>
      <c r="W554" s="288">
        <f t="shared" si="286"/>
        <v>139.96447119738787</v>
      </c>
      <c r="X554" s="288">
        <f t="shared" si="287"/>
        <v>195.83359360685822</v>
      </c>
      <c r="Y554" s="288">
        <f t="shared" si="288"/>
        <v>251.70271601632857</v>
      </c>
      <c r="AA554" s="138"/>
      <c r="AB554" s="138"/>
      <c r="AC554" s="138"/>
      <c r="AD554" s="138"/>
      <c r="AE554" s="138"/>
      <c r="AF554" s="138"/>
      <c r="AG554" s="138"/>
      <c r="AH554" s="138"/>
      <c r="AI554" s="138"/>
      <c r="AJ554" s="138"/>
      <c r="AK554" s="138"/>
      <c r="AL554" s="138"/>
      <c r="AM554" s="138"/>
      <c r="AN554" s="138"/>
      <c r="BR554" s="180">
        <v>2014</v>
      </c>
      <c r="BS554" s="22">
        <v>0</v>
      </c>
      <c r="BT554" s="181">
        <f t="shared" ref="BT554:BT600" si="299">IF($BS$550="High",BS554*$BT$551,IF($BS$550="Medium",$BT$552*BS554,IF($BS$550="Low",$BT$553*BS554)))</f>
        <v>0</v>
      </c>
      <c r="BU554" s="182">
        <f t="shared" ref="BU554:BU600" si="300">IF($BS$550="High",$BU$551,IF($BS$550="Medium",$BU$552,IF($BS$550="Low",BU553)))</f>
        <v>192.144598299715</v>
      </c>
      <c r="BV554" s="242">
        <f t="shared" ref="BV554:BV600" si="301">BT554+BU554</f>
        <v>192.144598299715</v>
      </c>
      <c r="BY554" s="180">
        <v>2014</v>
      </c>
      <c r="BZ554" s="22">
        <v>0</v>
      </c>
      <c r="CA554" s="181">
        <f t="shared" ref="CA554:CA600" ca="1" si="302">IF($BZ$550="High",BZ554^2*$CA$551,IF($BZ$550="Medium",BZ554^2*$CA$552,IF($BZ$550="Low",BZ554^2*$CA$553)))</f>
        <v>0</v>
      </c>
      <c r="CB554" s="181">
        <f t="shared" ref="CB554:CB600" ca="1" si="303">IF($BZ$550="High",BZ554*$CB$551,IF($BZ$550="Medium",BZ554*$CB$552,IF($BZ$550="Low",BZ554*$CB$553)))</f>
        <v>0</v>
      </c>
      <c r="CC554" s="182">
        <f ca="1">IF($BZ$550="High",$CC$551,IF($BZ$550="Medium",$CC$552,IF($BZ$550="Low",$CC$553)))</f>
        <v>191.67593447121368</v>
      </c>
      <c r="CD554" s="242">
        <f t="shared" ref="CD554:CD600" ca="1" si="304">CA554+CB554+CC554</f>
        <v>191.67593447121368</v>
      </c>
      <c r="CG554" s="180">
        <v>2014</v>
      </c>
      <c r="CH554" s="22">
        <v>0</v>
      </c>
      <c r="CI554" s="181">
        <f t="shared" ref="CI554:CI600" ca="1" si="305">IF($CH$550="High",CH554^3*$CI$551,IF($CH$550="Medium",CH554^3*$CI$552,IF($CH$550="Low",CH554^3*$CI$553)))</f>
        <v>0</v>
      </c>
      <c r="CJ554" s="181">
        <f t="shared" ref="CJ554:CJ600" ca="1" si="306">IF($CH$550="High",CH554^2*$CJ$551,IF($CH$550="Medium",CH554^2*$CJ$552,IF($CH$550="Low",CH554^2*$CJ$553)))</f>
        <v>0</v>
      </c>
      <c r="CK554" s="181">
        <f t="shared" ref="CK554:CK600" ca="1" si="307">IF($CH$550="High",CH554*$CK$551,IF($CH$550="Medium",CH554*$CK$552,IF($CH$550="Low",CH554*$CK$553)))</f>
        <v>0</v>
      </c>
      <c r="CL554" s="182">
        <f t="shared" ref="CL554:CL600" ca="1" si="308">IF($CH$550="High",$CL$551,IF($CH$550="Medium",$CL$552,IF($CH$550="Low",$CL$553)))</f>
        <v>191.87198960492466</v>
      </c>
      <c r="CM554" s="242">
        <f t="shared" ref="CM554:CM600" ca="1" si="309">CI554+CJ554+CK554+CL554</f>
        <v>191.87198960492466</v>
      </c>
      <c r="CP554" s="180">
        <v>2014</v>
      </c>
      <c r="CQ554" s="22">
        <v>0</v>
      </c>
      <c r="CR554" s="181">
        <f t="shared" ref="CR554:CR600" ca="1" si="310">IF($CQ$550="High",$CR$551,IF($CQ$550="Medium",$CR$552,IF($CQ$550="Low",$CR$553)))</f>
        <v>193.51082844891297</v>
      </c>
      <c r="CS554" s="182">
        <f t="shared" ref="CS554:CS600" ca="1" si="311">IF($CQ$550="High",EXP(1)^($CS$551*CQ554),IF($CQ$550="Medium",EXP(1)^($CS$552*CQ554),IF($CQ$550="Low",EXP(1)^($CS$553*CQ554))))</f>
        <v>1</v>
      </c>
      <c r="CT554" s="242">
        <f t="shared" ref="CT554:CT600" ca="1" si="312">(CR554*CS554)</f>
        <v>193.51082844891297</v>
      </c>
      <c r="CZ554" s="164" t="b">
        <f t="shared" si="289"/>
        <v>1</v>
      </c>
      <c r="DA554" s="165" t="b">
        <f t="shared" si="289"/>
        <v>1</v>
      </c>
      <c r="DB554" s="166" t="b">
        <f t="shared" si="289"/>
        <v>1</v>
      </c>
      <c r="DC554" s="164">
        <f t="shared" si="290"/>
        <v>2</v>
      </c>
      <c r="DD554" s="166">
        <f t="shared" si="291"/>
        <v>139.96447119738787</v>
      </c>
      <c r="DE554" s="164">
        <f t="shared" si="292"/>
        <v>2</v>
      </c>
      <c r="DF554" s="166">
        <f t="shared" si="293"/>
        <v>195.83359360685822</v>
      </c>
      <c r="DG554" s="164">
        <f t="shared" si="294"/>
        <v>2</v>
      </c>
      <c r="DH554" s="166">
        <f t="shared" si="295"/>
        <v>251.70271601632857</v>
      </c>
      <c r="DI554" s="164">
        <f>IFERROR(INDEX(DC$550:DC$598,_xlfn.AGGREGATE(15,6,(ROW(DC$550:DC$598)-ROW(DC$550)+1)/(DC$550:DC$598&lt;&gt;""),ROWS(DI$1:DI5))),"")</f>
        <v>5</v>
      </c>
      <c r="DJ554" s="165">
        <f>IFERROR(INDEX(DD$550:DD$598,_xlfn.AGGREGATE(15,6,(ROW(DD$550:DD$598)-ROW(DD$550)+1)/(DD$550:DD$598&lt;&gt;""),ROWS(DJ$1:DJ5))),"")</f>
        <v>143.55059489643835</v>
      </c>
      <c r="DK554" s="166">
        <f t="shared" si="296"/>
        <v>554</v>
      </c>
      <c r="DL554" s="164">
        <f>IFERROR(INDEX(DE$550:DE$598,_xlfn.AGGREGATE(15,6,(ROW(DE$550:DE$598)-ROW(DE$550)+1)/(DE$550:DE$598&lt;&gt;""),ROWS(DL$1:DL5))),"")</f>
        <v>5</v>
      </c>
      <c r="DM554" s="165">
        <f>IFERROR(INDEX(DF$550:DF$598,_xlfn.AGGREGATE(15,6,(ROW(DF$550:DF$598)-ROW(DF$550)+1)/(DF$550:DF$598&lt;&gt;""),ROWS(DM$1:DM5))),"")</f>
        <v>201.74990344151999</v>
      </c>
      <c r="DN554" s="166">
        <f t="shared" si="297"/>
        <v>554</v>
      </c>
      <c r="DO554" s="164">
        <f>IFERROR(INDEX(DG$550:DG$598,_xlfn.AGGREGATE(15,6,(ROW(DG$550:DG$598)-ROW(DG$550)+1)/(DG$550:DG$598&lt;&gt;""),ROWS(DO$1:DO5))),"")</f>
        <v>5</v>
      </c>
      <c r="DP554" s="165">
        <f>IFERROR(INDEX(DH$550:DH$598,_xlfn.AGGREGATE(15,6,(ROW(DH$550:DH$598)-ROW(DH$550)+1)/(DH$550:DH$598&lt;&gt;""),ROWS(DP$1:DP5))),"")</f>
        <v>259.94921198660165</v>
      </c>
      <c r="DQ554" s="166">
        <f t="shared" si="298"/>
        <v>554</v>
      </c>
      <c r="DV554" s="145">
        <v>2019</v>
      </c>
      <c r="DW554" s="235">
        <f t="shared" ca="1" si="282"/>
        <v>201.76021144113261</v>
      </c>
      <c r="DZ554" s="135" t="s">
        <v>92</v>
      </c>
      <c r="EA554" s="33">
        <f ca="1">IF($EA$548="Linear",0,IF($EA$548="2nd Poly",0,IF($EA$548="3rd Poly",CI551,IF($EA$548="Exp",0))))</f>
        <v>-1.5582993498393817E-5</v>
      </c>
      <c r="EB554" s="33">
        <f ca="1">IF($EA$548="Linear",0,IF($EA$548="2nd Poly",CA551,IF($EA$548="3rd Poly",CJ551,IF($EA$548="Exp",0))))</f>
        <v>8.4826696511415371E-4</v>
      </c>
      <c r="EC554" s="33">
        <f t="shared" ref="EC554:ED556" ca="1" si="313">IF($EA$548="Linear",BT551,IF($EA$548="2nd Poly",CB551,IF($EA$548="3rd Poly",CK551,IF($EA$548="Exp",0))))</f>
        <v>2.743388794622768</v>
      </c>
      <c r="ED554" s="33">
        <f t="shared" ca="1" si="313"/>
        <v>246.2123555953996</v>
      </c>
      <c r="EE554" s="33" t="str">
        <f>IF($EA$548="Linear","High",IF($EA$548="2nd Poly","High",IF($EA$548="3rd Poly","High","N/A")))</f>
        <v>High</v>
      </c>
    </row>
    <row r="555" spans="1:135" ht="13.8" x14ac:dyDescent="0.45">
      <c r="A555" s="303" t="s">
        <v>90</v>
      </c>
      <c r="B555" s="128">
        <v>2017</v>
      </c>
      <c r="C555" s="291">
        <f>'Total MSW Summaries (Archive)'!K8</f>
        <v>141.64655531433951</v>
      </c>
      <c r="D555" s="307">
        <f>'Total MSW Summaries (Archive)'!AI8</f>
        <v>275.36000000000007</v>
      </c>
      <c r="E555" s="308">
        <f>'Total MSW Summaries (Archive)'!BG8</f>
        <v>176.40540540540542</v>
      </c>
      <c r="F555" s="170"/>
      <c r="G555" s="168"/>
      <c r="H555" s="169"/>
      <c r="I555" s="170"/>
      <c r="J555" s="168"/>
      <c r="K555" s="169"/>
      <c r="L555" s="170"/>
      <c r="M555" s="169"/>
      <c r="N555" s="29" t="s">
        <v>119</v>
      </c>
      <c r="O555" s="120"/>
      <c r="P555" s="120"/>
      <c r="Q555" s="120"/>
      <c r="R555" s="29">
        <v>3</v>
      </c>
      <c r="S555" s="288">
        <f t="shared" si="283"/>
        <v>141.64655531433951</v>
      </c>
      <c r="T555" s="288">
        <f t="shared" si="284"/>
        <v>275.36000000000007</v>
      </c>
      <c r="U555" s="288">
        <f t="shared" si="285"/>
        <v>56.646540289313073</v>
      </c>
      <c r="V555" s="29"/>
      <c r="W555" s="288">
        <f t="shared" si="286"/>
        <v>141.15744661726862</v>
      </c>
      <c r="X555" s="288">
        <f t="shared" si="287"/>
        <v>197.80398690658168</v>
      </c>
      <c r="Y555" s="288">
        <f t="shared" si="288"/>
        <v>254.45052719589475</v>
      </c>
      <c r="AA555" s="138"/>
      <c r="AB555" s="138"/>
      <c r="AC555" s="138"/>
      <c r="AD555" s="138"/>
      <c r="AE555" s="138"/>
      <c r="AF555" s="138"/>
      <c r="AG555" s="138"/>
      <c r="AH555" s="138"/>
      <c r="AI555" s="138"/>
      <c r="AJ555" s="138"/>
      <c r="AK555" s="138"/>
      <c r="AL555" s="138"/>
      <c r="AM555" s="138"/>
      <c r="AN555" s="138"/>
      <c r="BR555" s="180">
        <v>2015</v>
      </c>
      <c r="BS555" s="22">
        <v>1</v>
      </c>
      <c r="BT555" s="289">
        <f t="shared" si="299"/>
        <v>1.9504361132004033</v>
      </c>
      <c r="BU555" s="290">
        <f t="shared" si="300"/>
        <v>192.144598299715</v>
      </c>
      <c r="BV555" s="299">
        <f t="shared" si="301"/>
        <v>194.0950344129154</v>
      </c>
      <c r="BY555" s="180">
        <v>2015</v>
      </c>
      <c r="BZ555" s="22">
        <v>1</v>
      </c>
      <c r="CA555" s="289">
        <f t="shared" ca="1" si="302"/>
        <v>-2.6628626619393646E-3</v>
      </c>
      <c r="CB555" s="289">
        <f t="shared" ca="1" si="303"/>
        <v>2.0356477183824628</v>
      </c>
      <c r="CC555" s="290">
        <f t="shared" ref="CC555:CC600" ca="1" si="314">CC554</f>
        <v>191.67593447121368</v>
      </c>
      <c r="CD555" s="299">
        <f t="shared" ca="1" si="304"/>
        <v>193.70891932693419</v>
      </c>
      <c r="CG555" s="180">
        <v>2015</v>
      </c>
      <c r="CH555" s="22">
        <v>1</v>
      </c>
      <c r="CI555" s="289">
        <f t="shared" ca="1" si="305"/>
        <v>-1.0921074738801865E-4</v>
      </c>
      <c r="CJ555" s="289">
        <f t="shared" ca="1" si="306"/>
        <v>2.5792532126856305E-3</v>
      </c>
      <c r="CK555" s="289">
        <f t="shared" ca="1" si="307"/>
        <v>1.9674783698628591</v>
      </c>
      <c r="CL555" s="290">
        <f t="shared" ca="1" si="308"/>
        <v>191.87198960492466</v>
      </c>
      <c r="CM555" s="299">
        <f t="shared" ca="1" si="309"/>
        <v>193.84193801725283</v>
      </c>
      <c r="CP555" s="180">
        <v>2015</v>
      </c>
      <c r="CQ555" s="22">
        <v>1</v>
      </c>
      <c r="CR555" s="289">
        <f t="shared" ca="1" si="310"/>
        <v>193.51082844891297</v>
      </c>
      <c r="CS555" s="290">
        <f t="shared" ca="1" si="311"/>
        <v>1.0088099211949102</v>
      </c>
      <c r="CT555" s="299">
        <f t="shared" ca="1" si="312"/>
        <v>195.21564359790969</v>
      </c>
      <c r="CZ555" s="164" t="b">
        <f t="shared" si="289"/>
        <v>1</v>
      </c>
      <c r="DA555" s="165" t="b">
        <f t="shared" si="289"/>
        <v>1</v>
      </c>
      <c r="DB555" s="166" t="b">
        <f t="shared" si="289"/>
        <v>1</v>
      </c>
      <c r="DC555" s="164">
        <f t="shared" si="290"/>
        <v>3</v>
      </c>
      <c r="DD555" s="166">
        <f t="shared" si="291"/>
        <v>141.15744661726862</v>
      </c>
      <c r="DE555" s="164">
        <f t="shared" si="292"/>
        <v>3</v>
      </c>
      <c r="DF555" s="166">
        <f t="shared" si="293"/>
        <v>197.80398690658168</v>
      </c>
      <c r="DG555" s="164">
        <f t="shared" si="294"/>
        <v>3</v>
      </c>
      <c r="DH555" s="166">
        <f t="shared" si="295"/>
        <v>254.45052719589475</v>
      </c>
      <c r="DI555" s="164">
        <f>IFERROR(INDEX(DC$550:DC$598,_xlfn.AGGREGATE(15,6,(ROW(DC$550:DC$598)-ROW(DC$550)+1)/(DC$550:DC$598&lt;&gt;""),ROWS(DI$1:DI6))),"")</f>
        <v>6</v>
      </c>
      <c r="DJ555" s="165">
        <f>IFERROR(INDEX(DD$550:DD$598,_xlfn.AGGREGATE(15,6,(ROW(DD$550:DD$598)-ROW(DD$550)+1)/(DD$550:DD$598&lt;&gt;""),ROWS(DJ$1:DJ6))),"")</f>
        <v>144.73447412521858</v>
      </c>
      <c r="DK555" s="166">
        <f t="shared" si="296"/>
        <v>555</v>
      </c>
      <c r="DL555" s="164">
        <f>IFERROR(INDEX(DE$550:DE$598,_xlfn.AGGREGATE(15,6,(ROW(DE$550:DE$598)-ROW(DE$550)+1)/(DE$550:DE$598&lt;&gt;""),ROWS(DL$1:DL6))),"")</f>
        <v>6</v>
      </c>
      <c r="DM555" s="165">
        <f>IFERROR(INDEX(DF$550:DF$598,_xlfn.AGGREGATE(15,6,(ROW(DF$550:DF$598)-ROW(DF$550)+1)/(DF$550:DF$598&lt;&gt;""),ROWS(DM$1:DM6))),"")</f>
        <v>203.71717449908888</v>
      </c>
      <c r="DN555" s="166">
        <f t="shared" si="297"/>
        <v>555</v>
      </c>
      <c r="DO555" s="164">
        <f>IFERROR(INDEX(DG$550:DG$598,_xlfn.AGGREGATE(15,6,(ROW(DG$550:DG$598)-ROW(DG$550)+1)/(DG$550:DG$598&lt;&gt;""),ROWS(DO$1:DO6))),"")</f>
        <v>6</v>
      </c>
      <c r="DP555" s="165">
        <f>IFERROR(INDEX(DH$550:DH$598,_xlfn.AGGREGATE(15,6,(ROW(DH$550:DH$598)-ROW(DH$550)+1)/(DH$550:DH$598&lt;&gt;""),ROWS(DP$1:DP6))),"")</f>
        <v>262.69987487295919</v>
      </c>
      <c r="DQ555" s="166">
        <f t="shared" si="298"/>
        <v>555</v>
      </c>
      <c r="DV555" s="145">
        <v>2020</v>
      </c>
      <c r="DW555" s="235">
        <f t="shared" ca="1" si="282"/>
        <v>203.7461234183227</v>
      </c>
      <c r="DZ555" s="135" t="s">
        <v>92</v>
      </c>
      <c r="EA555" s="33">
        <f ca="1">IF($EA$548="Linear",0,IF($EA$548="2nd Poly",0,IF($EA$548="3rd Poly",CI552,IF($EA$548="Exp",0))))</f>
        <v>-1.0921074738801865E-4</v>
      </c>
      <c r="EB555" s="33">
        <f ca="1">IF($EA$548="Linear",0,IF($EA$548="2nd Poly",CA552,IF($EA$548="3rd Poly",CJ552,IF($EA$548="Exp",0))))</f>
        <v>2.5792532126856305E-3</v>
      </c>
      <c r="EC555" s="33">
        <f t="shared" ca="1" si="313"/>
        <v>1.9674783698628591</v>
      </c>
      <c r="ED555" s="33">
        <f t="shared" ca="1" si="313"/>
        <v>191.87198960492466</v>
      </c>
      <c r="EE555" s="33" t="str">
        <f>IF($EA$548="Linear","Medium",IF($EA$548="2nd Poly","Medium",IF($EA$548="3rd Poly","Medium","N/A")))</f>
        <v>Medium</v>
      </c>
    </row>
    <row r="556" spans="1:135" ht="13.8" x14ac:dyDescent="0.45">
      <c r="A556" s="303" t="s">
        <v>80</v>
      </c>
      <c r="B556" s="128">
        <v>2018</v>
      </c>
      <c r="C556" s="291">
        <f>'Total MSW Summaries (Archive)'!K9</f>
        <v>143.09619334823242</v>
      </c>
      <c r="D556" s="307">
        <f>'Total MSW Summaries (Archive)'!AI9</f>
        <v>278.48000000000008</v>
      </c>
      <c r="E556" s="308">
        <f>'Total MSW Summaries (Archive)'!BG9</f>
        <v>177.75675675675677</v>
      </c>
      <c r="F556" s="309"/>
      <c r="G556" s="307"/>
      <c r="H556" s="308"/>
      <c r="I556" s="309"/>
      <c r="J556" s="307"/>
      <c r="K556" s="308"/>
      <c r="L556" s="309"/>
      <c r="M556" s="308"/>
      <c r="N556" s="29" t="s">
        <v>119</v>
      </c>
      <c r="O556" s="120"/>
      <c r="P556" s="120"/>
      <c r="Q556" s="120"/>
      <c r="R556" s="29">
        <v>4</v>
      </c>
      <c r="S556" s="288">
        <f t="shared" si="283"/>
        <v>143.09619334823242</v>
      </c>
      <c r="T556" s="288">
        <f t="shared" si="284"/>
        <v>278.48000000000008</v>
      </c>
      <c r="U556" s="288">
        <f t="shared" si="285"/>
        <v>57.421735614425735</v>
      </c>
      <c r="V556" s="20"/>
      <c r="W556" s="288">
        <f t="shared" si="286"/>
        <v>142.35591442057071</v>
      </c>
      <c r="X556" s="288">
        <f t="shared" si="287"/>
        <v>199.77765003499644</v>
      </c>
      <c r="Y556" s="288">
        <f t="shared" si="288"/>
        <v>257.1993856494222</v>
      </c>
      <c r="AA556" s="138"/>
      <c r="AB556" s="138"/>
      <c r="AC556" s="138"/>
      <c r="AD556" s="138"/>
      <c r="AE556" s="138"/>
      <c r="AF556" s="138"/>
      <c r="AG556" s="138"/>
      <c r="AH556" s="138"/>
      <c r="AI556" s="138"/>
      <c r="AJ556" s="138"/>
      <c r="AK556" s="138"/>
      <c r="AL556" s="138"/>
      <c r="AM556" s="138"/>
      <c r="AN556" s="138"/>
      <c r="BR556" s="180">
        <v>2016</v>
      </c>
      <c r="BS556" s="22">
        <v>2</v>
      </c>
      <c r="BT556" s="289">
        <f t="shared" si="299"/>
        <v>3.9008722264008067</v>
      </c>
      <c r="BU556" s="290">
        <f t="shared" si="300"/>
        <v>192.144598299715</v>
      </c>
      <c r="BV556" s="299">
        <f t="shared" si="301"/>
        <v>196.04547052611579</v>
      </c>
      <c r="BY556" s="180">
        <v>2016</v>
      </c>
      <c r="BZ556" s="22">
        <v>2</v>
      </c>
      <c r="CA556" s="289">
        <f t="shared" ca="1" si="302"/>
        <v>-1.0651450647757459E-2</v>
      </c>
      <c r="CB556" s="289">
        <f t="shared" ca="1" si="303"/>
        <v>4.0712954367649257</v>
      </c>
      <c r="CC556" s="290">
        <f t="shared" ca="1" si="314"/>
        <v>191.67593447121368</v>
      </c>
      <c r="CD556" s="299">
        <f t="shared" ca="1" si="304"/>
        <v>195.73657845733084</v>
      </c>
      <c r="CG556" s="180">
        <v>2016</v>
      </c>
      <c r="CH556" s="22">
        <v>2</v>
      </c>
      <c r="CI556" s="289">
        <f t="shared" ca="1" si="305"/>
        <v>-8.7368597910414923E-4</v>
      </c>
      <c r="CJ556" s="289">
        <f t="shared" ca="1" si="306"/>
        <v>1.0317012850742522E-2</v>
      </c>
      <c r="CK556" s="289">
        <f t="shared" ca="1" si="307"/>
        <v>3.9349567397257181</v>
      </c>
      <c r="CL556" s="290">
        <f t="shared" ca="1" si="308"/>
        <v>191.87198960492466</v>
      </c>
      <c r="CM556" s="299">
        <f t="shared" ca="1" si="309"/>
        <v>195.81638967152202</v>
      </c>
      <c r="CP556" s="180">
        <v>2016</v>
      </c>
      <c r="CQ556" s="22">
        <v>2</v>
      </c>
      <c r="CR556" s="289">
        <f t="shared" ca="1" si="310"/>
        <v>193.51082844891297</v>
      </c>
      <c r="CS556" s="290">
        <f t="shared" ca="1" si="311"/>
        <v>1.0176974571012807</v>
      </c>
      <c r="CT556" s="299">
        <f t="shared" ca="1" si="312"/>
        <v>196.93547803402089</v>
      </c>
      <c r="CZ556" s="164" t="b">
        <f t="shared" si="289"/>
        <v>1</v>
      </c>
      <c r="DA556" s="165" t="b">
        <f t="shared" si="289"/>
        <v>1</v>
      </c>
      <c r="DB556" s="166" t="b">
        <f t="shared" si="289"/>
        <v>1</v>
      </c>
      <c r="DC556" s="164">
        <f t="shared" si="290"/>
        <v>4</v>
      </c>
      <c r="DD556" s="166">
        <f t="shared" si="291"/>
        <v>142.35591442057071</v>
      </c>
      <c r="DE556" s="164">
        <f t="shared" si="292"/>
        <v>4</v>
      </c>
      <c r="DF556" s="166">
        <f t="shared" si="293"/>
        <v>199.77765003499644</v>
      </c>
      <c r="DG556" s="164">
        <f t="shared" si="294"/>
        <v>4</v>
      </c>
      <c r="DH556" s="166">
        <f t="shared" si="295"/>
        <v>257.1993856494222</v>
      </c>
      <c r="DI556" s="164">
        <f>IFERROR(INDEX(DC$550:DC$598,_xlfn.AGGREGATE(15,6,(ROW(DC$550:DC$598)-ROW(DC$550)+1)/(DC$550:DC$598&lt;&gt;""),ROWS(DI$1:DI7))),"")</f>
        <v>7</v>
      </c>
      <c r="DJ556" s="165">
        <f>IFERROR(INDEX(DD$550:DD$598,_xlfn.AGGREGATE(15,6,(ROW(DD$550:DD$598)-ROW(DD$550)+1)/(DD$550:DD$598&lt;&gt;""),ROWS(DJ$1:DJ7))),"")</f>
        <v>145.90646427717724</v>
      </c>
      <c r="DK556" s="166">
        <f t="shared" si="296"/>
        <v>556</v>
      </c>
      <c r="DL556" s="164">
        <f>IFERROR(INDEX(DE$550:DE$598,_xlfn.AGGREGATE(15,6,(ROW(DE$550:DE$598)-ROW(DE$550)+1)/(DE$550:DE$598&lt;&gt;""),ROWS(DL$1:DL7))),"")</f>
        <v>7</v>
      </c>
      <c r="DM556" s="165">
        <f>IFERROR(INDEX(DF$550:DF$598,_xlfn.AGGREGATE(15,6,(ROW(DF$550:DF$598)-ROW(DF$550)+1)/(DF$550:DF$598&lt;&gt;""),ROWS(DM$1:DM7))),"")</f>
        <v>205.67886460639488</v>
      </c>
      <c r="DN556" s="166">
        <f t="shared" si="297"/>
        <v>556</v>
      </c>
      <c r="DO556" s="164">
        <f>IFERROR(INDEX(DG$550:DG$598,_xlfn.AGGREGATE(15,6,(ROW(DG$550:DG$598)-ROW(DG$550)+1)/(DG$550:DG$598&lt;&gt;""),ROWS(DO$1:DO7))),"")</f>
        <v>7</v>
      </c>
      <c r="DP556" s="165">
        <f>IFERROR(INDEX(DH$550:DH$598,_xlfn.AGGREGATE(15,6,(ROW(DH$550:DH$598)-ROW(DH$550)+1)/(DH$550:DH$598&lt;&gt;""),ROWS(DP$1:DP7))),"")</f>
        <v>265.45126493561253</v>
      </c>
      <c r="DQ556" s="166">
        <f t="shared" si="298"/>
        <v>556</v>
      </c>
      <c r="DV556" s="145">
        <v>2021</v>
      </c>
      <c r="DW556" s="235">
        <f t="shared" ca="1" si="282"/>
        <v>205.73326231503219</v>
      </c>
      <c r="DZ556" s="135" t="s">
        <v>92</v>
      </c>
      <c r="EA556" s="33">
        <f ca="1">IF($EA$548="Linear",0,IF($EA$548="2nd Poly",0,IF($EA$548="3rd Poly",CI553,IF($EA$548="Exp",0))))</f>
        <v>-2.0283850127763946E-4</v>
      </c>
      <c r="EB556" s="33">
        <f ca="1">IF($EA$548="Linear",0,IF($EA$548="2nd Poly",CA553,IF($EA$548="3rd Poly",CJ553,IF($EA$548="Exp",0))))</f>
        <v>4.3102394602568053E-3</v>
      </c>
      <c r="EC556" s="33">
        <f t="shared" ca="1" si="313"/>
        <v>1.1915679451029544</v>
      </c>
      <c r="ED556" s="33">
        <f t="shared" ca="1" si="313"/>
        <v>137.53162361444961</v>
      </c>
      <c r="EE556" s="33" t="str">
        <f>IF($EA$548="Linear","Low",IF($EA$548="2nd Poly","Low",IF($EA$548="3rd Poly","Low","N/A")))</f>
        <v>Low</v>
      </c>
    </row>
    <row r="557" spans="1:135" ht="13.8" x14ac:dyDescent="0.45">
      <c r="A557" s="303" t="s">
        <v>88</v>
      </c>
      <c r="B557" s="128">
        <v>2019</v>
      </c>
      <c r="C557" s="291">
        <f>'Total MSW Summaries (Archive)'!K10</f>
        <v>144.54160221645171</v>
      </c>
      <c r="D557" s="307">
        <f>'Total MSW Summaries (Archive)'!AI10</f>
        <v>281.60000000000008</v>
      </c>
      <c r="E557" s="308">
        <f>'Total MSW Summaries (Archive)'!BG10</f>
        <v>179.10810810810813</v>
      </c>
      <c r="F557" s="309"/>
      <c r="G557" s="307"/>
      <c r="H557" s="308"/>
      <c r="I557" s="309"/>
      <c r="J557" s="307"/>
      <c r="K557" s="308"/>
      <c r="L557" s="309"/>
      <c r="M557" s="308"/>
      <c r="N557" s="29" t="s">
        <v>119</v>
      </c>
      <c r="O557" s="120"/>
      <c r="P557" s="120"/>
      <c r="Q557" s="120"/>
      <c r="R557" s="29">
        <v>5</v>
      </c>
      <c r="S557" s="288">
        <f t="shared" si="283"/>
        <v>144.54160221645171</v>
      </c>
      <c r="T557" s="288">
        <f t="shared" si="284"/>
        <v>281.60000000000008</v>
      </c>
      <c r="U557" s="288">
        <f t="shared" si="285"/>
        <v>58.199308545081635</v>
      </c>
      <c r="V557" s="20"/>
      <c r="W557" s="288">
        <f t="shared" si="286"/>
        <v>143.55059489643835</v>
      </c>
      <c r="X557" s="288">
        <f t="shared" si="287"/>
        <v>201.74990344151999</v>
      </c>
      <c r="Y557" s="288">
        <f t="shared" si="288"/>
        <v>259.94921198660165</v>
      </c>
      <c r="AA557" s="138"/>
      <c r="AB557" s="138"/>
      <c r="AC557" s="138"/>
      <c r="AD557" s="138"/>
      <c r="AE557" s="138"/>
      <c r="AF557" s="138"/>
      <c r="AG557" s="138"/>
      <c r="AH557" s="138"/>
      <c r="AI557" s="138"/>
      <c r="AJ557" s="138"/>
      <c r="AK557" s="138"/>
      <c r="AL557" s="138"/>
      <c r="AM557" s="138"/>
      <c r="AN557" s="138"/>
      <c r="BR557" s="180">
        <v>2017</v>
      </c>
      <c r="BS557" s="22">
        <v>3</v>
      </c>
      <c r="BT557" s="289">
        <f t="shared" si="299"/>
        <v>5.8513083396012098</v>
      </c>
      <c r="BU557" s="290">
        <f t="shared" si="300"/>
        <v>192.144598299715</v>
      </c>
      <c r="BV557" s="299">
        <f t="shared" si="301"/>
        <v>197.99590663931622</v>
      </c>
      <c r="BY557" s="180">
        <v>2017</v>
      </c>
      <c r="BZ557" s="22">
        <v>3</v>
      </c>
      <c r="CA557" s="289">
        <f t="shared" ca="1" si="302"/>
        <v>-2.3965763957454284E-2</v>
      </c>
      <c r="CB557" s="289">
        <f t="shared" ca="1" si="303"/>
        <v>6.1069431551473885</v>
      </c>
      <c r="CC557" s="290">
        <f t="shared" ca="1" si="314"/>
        <v>191.67593447121368</v>
      </c>
      <c r="CD557" s="299">
        <f t="shared" ca="1" si="304"/>
        <v>197.75891186240361</v>
      </c>
      <c r="CG557" s="180">
        <v>2017</v>
      </c>
      <c r="CH557" s="22">
        <v>3</v>
      </c>
      <c r="CI557" s="289">
        <f t="shared" ca="1" si="305"/>
        <v>-2.9486901794765034E-3</v>
      </c>
      <c r="CJ557" s="289">
        <f t="shared" ca="1" si="306"/>
        <v>2.3213278914170674E-2</v>
      </c>
      <c r="CK557" s="289">
        <f t="shared" ca="1" si="307"/>
        <v>5.902435109588577</v>
      </c>
      <c r="CL557" s="290">
        <f t="shared" ca="1" si="308"/>
        <v>191.87198960492466</v>
      </c>
      <c r="CM557" s="299">
        <f t="shared" ca="1" si="309"/>
        <v>197.79468930324794</v>
      </c>
      <c r="CP557" s="180">
        <v>2017</v>
      </c>
      <c r="CQ557" s="22">
        <v>3</v>
      </c>
      <c r="CR557" s="289">
        <f t="shared" ca="1" si="310"/>
        <v>193.51082844891297</v>
      </c>
      <c r="CS557" s="290">
        <f t="shared" ca="1" si="311"/>
        <v>1.0266632914986036</v>
      </c>
      <c r="CT557" s="299">
        <f t="shared" ca="1" si="312"/>
        <v>198.67046407598261</v>
      </c>
      <c r="CZ557" s="164" t="b">
        <f t="shared" si="289"/>
        <v>1</v>
      </c>
      <c r="DA557" s="165" t="b">
        <f t="shared" si="289"/>
        <v>1</v>
      </c>
      <c r="DB557" s="166" t="b">
        <f t="shared" si="289"/>
        <v>1</v>
      </c>
      <c r="DC557" s="164">
        <f t="shared" si="290"/>
        <v>5</v>
      </c>
      <c r="DD557" s="166">
        <f t="shared" si="291"/>
        <v>143.55059489643835</v>
      </c>
      <c r="DE557" s="164">
        <f t="shared" si="292"/>
        <v>5</v>
      </c>
      <c r="DF557" s="166">
        <f t="shared" si="293"/>
        <v>201.74990344151999</v>
      </c>
      <c r="DG557" s="164">
        <f t="shared" si="294"/>
        <v>5</v>
      </c>
      <c r="DH557" s="166">
        <f t="shared" si="295"/>
        <v>259.94921198660165</v>
      </c>
      <c r="DI557" s="164">
        <f>IFERROR(INDEX(DC$550:DC$598,_xlfn.AGGREGATE(15,6,(ROW(DC$550:DC$598)-ROW(DC$550)+1)/(DC$550:DC$598&lt;&gt;""),ROWS(DI$1:DI8))),"")</f>
        <v>8</v>
      </c>
      <c r="DJ557" s="165">
        <f>IFERROR(INDEX(DD$550:DD$598,_xlfn.AGGREGATE(15,6,(ROW(DD$550:DD$598)-ROW(DD$550)+1)/(DD$550:DD$598&lt;&gt;""),ROWS(DJ$1:DJ8))),"")</f>
        <v>147.16553497672979</v>
      </c>
      <c r="DK557" s="166">
        <f t="shared" si="296"/>
        <v>557</v>
      </c>
      <c r="DL557" s="164">
        <f>IFERROR(INDEX(DE$550:DE$598,_xlfn.AGGREGATE(15,6,(ROW(DE$550:DE$598)-ROW(DE$550)+1)/(DE$550:DE$598&lt;&gt;""),ROWS(DL$1:DL8))),"")</f>
        <v>8</v>
      </c>
      <c r="DM557" s="165">
        <f>IFERROR(INDEX(DF$550:DF$598,_xlfn.AGGREGATE(15,6,(ROW(DF$550:DF$598)-ROW(DF$550)+1)/(DF$550:DF$598&lt;&gt;""),ROWS(DM$1:DM8))),"")</f>
        <v>207.68513249769501</v>
      </c>
      <c r="DN557" s="166">
        <f t="shared" si="297"/>
        <v>557</v>
      </c>
      <c r="DO557" s="164">
        <f>IFERROR(INDEX(DG$550:DG$598,_xlfn.AGGREGATE(15,6,(ROW(DG$550:DG$598)-ROW(DG$550)+1)/(DG$550:DG$598&lt;&gt;""),ROWS(DO$1:DO8))),"")</f>
        <v>8</v>
      </c>
      <c r="DP557" s="165">
        <f>IFERROR(INDEX(DH$550:DH$598,_xlfn.AGGREGATE(15,6,(ROW(DH$550:DH$598)-ROW(DH$550)+1)/(DH$550:DH$598&lt;&gt;""),ROWS(DP$1:DP8))),"")</f>
        <v>268.2047300186602</v>
      </c>
      <c r="DQ557" s="166">
        <f t="shared" si="298"/>
        <v>557</v>
      </c>
      <c r="DV557" s="145">
        <v>2022</v>
      </c>
      <c r="DW557" s="235">
        <f t="shared" ca="1" si="282"/>
        <v>207.72097286677675</v>
      </c>
      <c r="DZ557" s="135"/>
      <c r="EA557" s="33"/>
      <c r="EB557" s="33"/>
      <c r="EC557" s="33"/>
      <c r="ED557" s="33"/>
      <c r="EE557" s="33"/>
    </row>
    <row r="558" spans="1:135" ht="13.8" x14ac:dyDescent="0.45">
      <c r="A558" s="303" t="s">
        <v>90</v>
      </c>
      <c r="B558" s="128">
        <v>2020</v>
      </c>
      <c r="C558" s="291">
        <f>'Total MSW Summaries (Archive)'!K11</f>
        <v>145.97206403780706</v>
      </c>
      <c r="D558" s="307">
        <f>'Total MSW Summaries (Archive)'!AI11</f>
        <v>284.72000000000008</v>
      </c>
      <c r="E558" s="308">
        <f>'Total MSW Summaries (Archive)'!BG11</f>
        <v>180.45945945945948</v>
      </c>
      <c r="F558" s="170"/>
      <c r="G558" s="168"/>
      <c r="H558" s="169"/>
      <c r="I558" s="170"/>
      <c r="J558" s="168"/>
      <c r="K558" s="169"/>
      <c r="L558" s="170"/>
      <c r="M558" s="169"/>
      <c r="N558" s="29" t="s">
        <v>119</v>
      </c>
      <c r="O558" s="120"/>
      <c r="P558" s="120"/>
      <c r="Q558" s="120"/>
      <c r="R558" s="29">
        <v>6</v>
      </c>
      <c r="S558" s="313">
        <f t="shared" si="283"/>
        <v>145.97206403780706</v>
      </c>
      <c r="T558" s="313">
        <f t="shared" si="284"/>
        <v>284.72000000000008</v>
      </c>
      <c r="U558" s="313">
        <f t="shared" si="285"/>
        <v>58.982700373870308</v>
      </c>
      <c r="V558" s="20"/>
      <c r="W558" s="288">
        <f t="shared" si="286"/>
        <v>144.73447412521858</v>
      </c>
      <c r="X558" s="288">
        <f t="shared" si="287"/>
        <v>203.71717449908888</v>
      </c>
      <c r="Y558" s="288">
        <f t="shared" si="288"/>
        <v>262.69987487295919</v>
      </c>
      <c r="AA558" s="138"/>
      <c r="AB558" s="138"/>
      <c r="AC558" s="138"/>
      <c r="AD558" s="138"/>
      <c r="AE558" s="138"/>
      <c r="AF558" s="138"/>
      <c r="AG558" s="138"/>
      <c r="AH558" s="138"/>
      <c r="AI558" s="138"/>
      <c r="AJ558" s="138"/>
      <c r="AK558" s="138"/>
      <c r="AL558" s="138"/>
      <c r="AM558" s="138"/>
      <c r="AN558" s="138"/>
      <c r="BR558" s="180">
        <v>2018</v>
      </c>
      <c r="BS558" s="22">
        <v>4</v>
      </c>
      <c r="BT558" s="289">
        <f t="shared" si="299"/>
        <v>7.8017444528016133</v>
      </c>
      <c r="BU558" s="290">
        <f t="shared" si="300"/>
        <v>192.144598299715</v>
      </c>
      <c r="BV558" s="299">
        <f t="shared" si="301"/>
        <v>199.94634275251661</v>
      </c>
      <c r="BY558" s="180">
        <v>2018</v>
      </c>
      <c r="BZ558" s="22">
        <v>4</v>
      </c>
      <c r="CA558" s="289">
        <f t="shared" ca="1" si="302"/>
        <v>-4.2605802591029834E-2</v>
      </c>
      <c r="CB558" s="289">
        <f t="shared" ca="1" si="303"/>
        <v>8.1425908735298513</v>
      </c>
      <c r="CC558" s="290">
        <f t="shared" ca="1" si="314"/>
        <v>191.67593447121368</v>
      </c>
      <c r="CD558" s="299">
        <f t="shared" ca="1" si="304"/>
        <v>199.77591954215251</v>
      </c>
      <c r="CG558" s="180">
        <v>2018</v>
      </c>
      <c r="CH558" s="22">
        <v>4</v>
      </c>
      <c r="CI558" s="289">
        <f t="shared" ca="1" si="305"/>
        <v>-6.9894878328331939E-3</v>
      </c>
      <c r="CJ558" s="289">
        <f t="shared" ca="1" si="306"/>
        <v>4.1268051402970088E-2</v>
      </c>
      <c r="CK558" s="289">
        <f t="shared" ca="1" si="307"/>
        <v>7.8699134794514363</v>
      </c>
      <c r="CL558" s="290">
        <f t="shared" ca="1" si="308"/>
        <v>191.87198960492466</v>
      </c>
      <c r="CM558" s="299">
        <f t="shared" ca="1" si="309"/>
        <v>199.77618164794623</v>
      </c>
      <c r="CP558" s="180">
        <v>2018</v>
      </c>
      <c r="CQ558" s="22">
        <v>4</v>
      </c>
      <c r="CR558" s="289">
        <f t="shared" ca="1" si="310"/>
        <v>193.51082844891297</v>
      </c>
      <c r="CS558" s="290">
        <f t="shared" ca="1" si="311"/>
        <v>1.0357081141904132</v>
      </c>
      <c r="CT558" s="299">
        <f t="shared" ca="1" si="312"/>
        <v>200.42073520824823</v>
      </c>
      <c r="CZ558" s="164" t="b">
        <f t="shared" si="289"/>
        <v>1</v>
      </c>
      <c r="DA558" s="165" t="b">
        <f t="shared" si="289"/>
        <v>1</v>
      </c>
      <c r="DB558" s="166" t="b">
        <f t="shared" si="289"/>
        <v>1</v>
      </c>
      <c r="DC558" s="164">
        <f t="shared" si="290"/>
        <v>6</v>
      </c>
      <c r="DD558" s="166">
        <f t="shared" si="291"/>
        <v>144.73447412521858</v>
      </c>
      <c r="DE558" s="164">
        <f t="shared" si="292"/>
        <v>6</v>
      </c>
      <c r="DF558" s="166">
        <f t="shared" si="293"/>
        <v>203.71717449908888</v>
      </c>
      <c r="DG558" s="164">
        <f t="shared" si="294"/>
        <v>6</v>
      </c>
      <c r="DH558" s="166">
        <f t="shared" si="295"/>
        <v>262.69987487295919</v>
      </c>
      <c r="DI558" s="164">
        <f>IFERROR(INDEX(DC$550:DC$598,_xlfn.AGGREGATE(15,6,(ROW(DC$550:DC$598)-ROW(DC$550)+1)/(DC$550:DC$598&lt;&gt;""),ROWS(DI$1:DI9))),"")</f>
        <v>9</v>
      </c>
      <c r="DJ558" s="165">
        <f>IFERROR(INDEX(DD$550:DD$598,_xlfn.AGGREGATE(15,6,(ROW(DD$550:DD$598)-ROW(DD$550)+1)/(DD$550:DD$598&lt;&gt;""),ROWS(DJ$1:DJ9))),"")</f>
        <v>148.41601388262629</v>
      </c>
      <c r="DK558" s="166">
        <f t="shared" si="296"/>
        <v>558</v>
      </c>
      <c r="DL558" s="164">
        <f>IFERROR(INDEX(DE$550:DE$598,_xlfn.AGGREGATE(15,6,(ROW(DE$550:DE$598)-ROW(DE$550)+1)/(DE$550:DE$598&lt;&gt;""),ROWS(DL$1:DL9))),"")</f>
        <v>9</v>
      </c>
      <c r="DM558" s="165">
        <f>IFERROR(INDEX(DF$550:DF$598,_xlfn.AGGREGATE(15,6,(ROW(DF$550:DF$598)-ROW(DF$550)+1)/(DF$550:DF$598&lt;&gt;""),ROWS(DM$1:DM9))),"")</f>
        <v>209.68759815691007</v>
      </c>
      <c r="DN558" s="166">
        <f t="shared" si="297"/>
        <v>558</v>
      </c>
      <c r="DO558" s="164">
        <f>IFERROR(INDEX(DG$550:DG$598,_xlfn.AGGREGATE(15,6,(ROW(DG$550:DG$598)-ROW(DG$550)+1)/(DG$550:DG$598&lt;&gt;""),ROWS(DO$1:DO9))),"")</f>
        <v>9</v>
      </c>
      <c r="DP558" s="165">
        <f>IFERROR(INDEX(DH$550:DH$598,_xlfn.AGGREGATE(15,6,(ROW(DH$550:DH$598)-ROW(DH$550)+1)/(DH$550:DH$598&lt;&gt;""),ROWS(DP$1:DP9))),"")</f>
        <v>270.95918243119388</v>
      </c>
      <c r="DQ558" s="166">
        <f t="shared" si="298"/>
        <v>558</v>
      </c>
      <c r="DV558" s="145">
        <v>2023</v>
      </c>
      <c r="DW558" s="235">
        <f t="shared" ca="1" si="282"/>
        <v>209.70859980907207</v>
      </c>
      <c r="DZ558" s="135"/>
      <c r="EA558" s="33" t="s">
        <v>86</v>
      </c>
      <c r="EB558" s="33" t="s">
        <v>87</v>
      </c>
      <c r="EC558" s="33"/>
      <c r="ED558" s="33"/>
      <c r="EE558" s="33"/>
    </row>
    <row r="559" spans="1:135" ht="13.8" x14ac:dyDescent="0.45">
      <c r="A559" s="303" t="s">
        <v>80</v>
      </c>
      <c r="B559" s="128">
        <v>2021</v>
      </c>
      <c r="C559" s="291">
        <f>'Total MSW Summaries (Archive)'!K12</f>
        <v>147.38578300837375</v>
      </c>
      <c r="D559" s="307">
        <f>'Total MSW Summaries (Archive)'!AI12</f>
        <v>287.84000000000009</v>
      </c>
      <c r="E559" s="308">
        <f>'Total MSW Summaries (Archive)'!BG12</f>
        <v>181.81081081081084</v>
      </c>
      <c r="F559" s="309"/>
      <c r="G559" s="307"/>
      <c r="H559" s="308"/>
      <c r="I559" s="309"/>
      <c r="J559" s="307"/>
      <c r="K559" s="308"/>
      <c r="L559" s="309"/>
      <c r="M559" s="308"/>
      <c r="N559" s="29" t="s">
        <v>119</v>
      </c>
      <c r="O559" s="120"/>
      <c r="P559" s="120"/>
      <c r="Q559" s="120"/>
      <c r="R559" s="29">
        <v>7</v>
      </c>
      <c r="S559" s="314">
        <f t="shared" si="283"/>
        <v>147.38578300837375</v>
      </c>
      <c r="T559" s="314">
        <f t="shared" si="284"/>
        <v>287.84000000000009</v>
      </c>
      <c r="U559" s="314">
        <f t="shared" si="285"/>
        <v>59.772400329217632</v>
      </c>
      <c r="V559" s="20"/>
      <c r="W559" s="288">
        <f t="shared" si="286"/>
        <v>145.90646427717724</v>
      </c>
      <c r="X559" s="288">
        <f t="shared" si="287"/>
        <v>205.67886460639488</v>
      </c>
      <c r="Y559" s="288">
        <f t="shared" si="288"/>
        <v>265.45126493561253</v>
      </c>
      <c r="AA559" s="138"/>
      <c r="AB559" s="138"/>
      <c r="AC559" s="138"/>
      <c r="AD559" s="138"/>
      <c r="AE559" s="138"/>
      <c r="AF559" s="138"/>
      <c r="AG559" s="138"/>
      <c r="AH559" s="138"/>
      <c r="AI559" s="138"/>
      <c r="AJ559" s="138"/>
      <c r="AK559" s="138"/>
      <c r="AL559" s="138"/>
      <c r="AM559" s="138"/>
      <c r="AN559" s="138"/>
      <c r="BR559" s="180">
        <v>2019</v>
      </c>
      <c r="BS559" s="22">
        <v>5</v>
      </c>
      <c r="BT559" s="289">
        <f t="shared" si="299"/>
        <v>9.752180566002016</v>
      </c>
      <c r="BU559" s="290">
        <f t="shared" si="300"/>
        <v>192.144598299715</v>
      </c>
      <c r="BV559" s="315">
        <f t="shared" si="301"/>
        <v>201.89677886571701</v>
      </c>
      <c r="BY559" s="180">
        <v>2019</v>
      </c>
      <c r="BZ559" s="22">
        <v>5</v>
      </c>
      <c r="CA559" s="289">
        <f t="shared" ca="1" si="302"/>
        <v>-6.6571566548484118E-2</v>
      </c>
      <c r="CB559" s="289">
        <f t="shared" ca="1" si="303"/>
        <v>10.178238591912315</v>
      </c>
      <c r="CC559" s="290">
        <f t="shared" ca="1" si="314"/>
        <v>191.67593447121368</v>
      </c>
      <c r="CD559" s="315">
        <f t="shared" ca="1" si="304"/>
        <v>201.78760149657751</v>
      </c>
      <c r="CG559" s="180">
        <v>2019</v>
      </c>
      <c r="CH559" s="22">
        <v>5</v>
      </c>
      <c r="CI559" s="289">
        <f t="shared" ca="1" si="305"/>
        <v>-1.3651343423502332E-2</v>
      </c>
      <c r="CJ559" s="289">
        <f t="shared" ca="1" si="306"/>
        <v>6.4481330317140761E-2</v>
      </c>
      <c r="CK559" s="289">
        <f t="shared" ca="1" si="307"/>
        <v>9.8373918493142956</v>
      </c>
      <c r="CL559" s="290">
        <f t="shared" ca="1" si="308"/>
        <v>191.87198960492466</v>
      </c>
      <c r="CM559" s="315">
        <f t="shared" ca="1" si="309"/>
        <v>201.76021144113261</v>
      </c>
      <c r="CP559" s="180">
        <v>2019</v>
      </c>
      <c r="CQ559" s="22">
        <v>5</v>
      </c>
      <c r="CR559" s="289">
        <f t="shared" ca="1" si="310"/>
        <v>193.51082844891297</v>
      </c>
      <c r="CS559" s="290">
        <f t="shared" ca="1" si="311"/>
        <v>1.0448326210573597</v>
      </c>
      <c r="CT559" s="315">
        <f t="shared" ca="1" si="312"/>
        <v>202.18642609125885</v>
      </c>
      <c r="CZ559" s="164" t="b">
        <f t="shared" si="289"/>
        <v>1</v>
      </c>
      <c r="DA559" s="165" t="b">
        <f t="shared" si="289"/>
        <v>1</v>
      </c>
      <c r="DB559" s="166" t="b">
        <f t="shared" si="289"/>
        <v>1</v>
      </c>
      <c r="DC559" s="164">
        <f t="shared" si="290"/>
        <v>7</v>
      </c>
      <c r="DD559" s="166">
        <f t="shared" si="291"/>
        <v>145.90646427717724</v>
      </c>
      <c r="DE559" s="164">
        <f t="shared" si="292"/>
        <v>7</v>
      </c>
      <c r="DF559" s="166">
        <f t="shared" si="293"/>
        <v>205.67886460639488</v>
      </c>
      <c r="DG559" s="164">
        <f t="shared" si="294"/>
        <v>7</v>
      </c>
      <c r="DH559" s="166">
        <f t="shared" si="295"/>
        <v>265.45126493561253</v>
      </c>
      <c r="DI559" s="164">
        <f>IFERROR(INDEX(DC$550:DC$598,_xlfn.AGGREGATE(15,6,(ROW(DC$550:DC$598)-ROW(DC$550)+1)/(DC$550:DC$598&lt;&gt;""),ROWS(DI$1:DI10))),"")</f>
        <v>10</v>
      </c>
      <c r="DJ559" s="165">
        <f>IFERROR(INDEX(DD$550:DD$598,_xlfn.AGGREGATE(15,6,(ROW(DD$550:DD$598)-ROW(DD$550)+1)/(DD$550:DD$598&lt;&gt;""),ROWS(DJ$1:DJ10))),"")</f>
        <v>149.65872695056729</v>
      </c>
      <c r="DK559" s="166">
        <f t="shared" si="296"/>
        <v>559</v>
      </c>
      <c r="DL559" s="164">
        <f>IFERROR(INDEX(DE$550:DE$598,_xlfn.AGGREGATE(15,6,(ROW(DE$550:DE$598)-ROW(DE$550)+1)/(DE$550:DE$598&lt;&gt;""),ROWS(DL$1:DL10))),"")</f>
        <v>10</v>
      </c>
      <c r="DM559" s="165">
        <f>IFERROR(INDEX(DF$550:DF$598,_xlfn.AGGREGATE(15,6,(ROW(DF$550:DF$598)-ROW(DF$550)+1)/(DF$550:DF$598&lt;&gt;""),ROWS(DM$1:DM10))),"")</f>
        <v>211.68663742782178</v>
      </c>
      <c r="DN559" s="166">
        <f t="shared" si="297"/>
        <v>559</v>
      </c>
      <c r="DO559" s="164">
        <f>IFERROR(INDEX(DG$550:DG$598,_xlfn.AGGREGATE(15,6,(ROW(DG$550:DG$598)-ROW(DG$550)+1)/(DG$550:DG$598&lt;&gt;""),ROWS(DO$1:DO10))),"")</f>
        <v>10</v>
      </c>
      <c r="DP559" s="165">
        <f>IFERROR(INDEX(DH$550:DH$598,_xlfn.AGGREGATE(15,6,(ROW(DH$550:DH$598)-ROW(DH$550)+1)/(DH$550:DH$598&lt;&gt;""),ROWS(DP$1:DP10))),"")</f>
        <v>273.7145479050763</v>
      </c>
      <c r="DQ559" s="166">
        <f t="shared" si="298"/>
        <v>559</v>
      </c>
      <c r="DV559" s="145">
        <v>2024</v>
      </c>
      <c r="DW559" s="235">
        <f t="shared" ca="1" si="282"/>
        <v>211.69548787743381</v>
      </c>
      <c r="DZ559" s="135" t="s">
        <v>92</v>
      </c>
      <c r="EA559" s="33">
        <f t="shared" ref="EA559:EB561" si="315">IF($EA$548="Linear",0,IF($EA$548="2nd Poly",0,IF($EA$548="3rd Poly",0,IF($EA$548="Exp",CR551))))</f>
        <v>0</v>
      </c>
      <c r="EB559" s="33">
        <f t="shared" si="315"/>
        <v>0</v>
      </c>
      <c r="EC559" s="33" t="str">
        <f>IF($EA$548="Linear","N/A",IF($EA$548="2nd Poly","N/A",IF($EA$548="3rd Poly","N/A","High")))</f>
        <v>N/A</v>
      </c>
      <c r="ED559" s="33"/>
      <c r="EE559" s="33"/>
    </row>
    <row r="560" spans="1:135" ht="13.8" x14ac:dyDescent="0.45">
      <c r="A560" s="303" t="s">
        <v>88</v>
      </c>
      <c r="B560" s="128">
        <v>2022</v>
      </c>
      <c r="C560" s="291">
        <f>'Total MSW Summaries (Archive)'!K13</f>
        <v>148.93323533092274</v>
      </c>
      <c r="D560" s="307">
        <f>'Total MSW Summaries (Archive)'!AI13</f>
        <v>290.96000000000009</v>
      </c>
      <c r="E560" s="308">
        <f>'Total MSW Summaries (Archive)'!BG13</f>
        <v>183.16216216216219</v>
      </c>
      <c r="F560" s="201"/>
      <c r="G560" s="199"/>
      <c r="H560" s="200"/>
      <c r="I560" s="201"/>
      <c r="J560" s="199"/>
      <c r="K560" s="200"/>
      <c r="L560" s="201"/>
      <c r="M560" s="200"/>
      <c r="N560" s="29" t="s">
        <v>119</v>
      </c>
      <c r="O560" s="120"/>
      <c r="P560" s="120"/>
      <c r="Q560" s="120"/>
      <c r="R560" s="29">
        <v>8</v>
      </c>
      <c r="S560" s="202">
        <f t="shared" si="283"/>
        <v>148.93323533092274</v>
      </c>
      <c r="T560" s="202">
        <f t="shared" si="284"/>
        <v>290.96000000000009</v>
      </c>
      <c r="U560" s="202">
        <f t="shared" si="285"/>
        <v>60.519597520965213</v>
      </c>
      <c r="V560" s="20"/>
      <c r="W560" s="288">
        <f t="shared" si="286"/>
        <v>147.16553497672979</v>
      </c>
      <c r="X560" s="288">
        <f t="shared" si="287"/>
        <v>207.68513249769501</v>
      </c>
      <c r="Y560" s="288">
        <f t="shared" si="288"/>
        <v>268.2047300186602</v>
      </c>
      <c r="AA560" s="120"/>
      <c r="AB560" s="120"/>
      <c r="AC560" s="120"/>
      <c r="AD560" s="120"/>
      <c r="AE560" s="120"/>
      <c r="AF560" s="120"/>
      <c r="AG560" s="120"/>
      <c r="AH560" s="120"/>
      <c r="AI560" s="120"/>
      <c r="AJ560" s="120"/>
      <c r="AK560" s="120"/>
      <c r="AL560" s="120"/>
      <c r="AM560" s="120"/>
      <c r="AN560" s="120"/>
      <c r="BR560" s="180">
        <v>2020</v>
      </c>
      <c r="BS560" s="22">
        <v>6</v>
      </c>
      <c r="BT560" s="289">
        <f t="shared" si="299"/>
        <v>11.70261667920242</v>
      </c>
      <c r="BU560" s="290">
        <f t="shared" si="300"/>
        <v>192.144598299715</v>
      </c>
      <c r="BV560" s="203">
        <f t="shared" si="301"/>
        <v>203.84721497891741</v>
      </c>
      <c r="BY560" s="180">
        <v>2020</v>
      </c>
      <c r="BZ560" s="22">
        <v>6</v>
      </c>
      <c r="CA560" s="289">
        <f t="shared" ca="1" si="302"/>
        <v>-9.5863055829817134E-2</v>
      </c>
      <c r="CB560" s="289">
        <f t="shared" ca="1" si="303"/>
        <v>12.213886310294777</v>
      </c>
      <c r="CC560" s="290">
        <f t="shared" ca="1" si="314"/>
        <v>191.67593447121368</v>
      </c>
      <c r="CD560" s="203">
        <f t="shared" ca="1" si="304"/>
        <v>203.79395772567864</v>
      </c>
      <c r="CG560" s="180">
        <v>2020</v>
      </c>
      <c r="CH560" s="22">
        <v>6</v>
      </c>
      <c r="CI560" s="289">
        <f t="shared" ca="1" si="305"/>
        <v>-2.3589521435812028E-2</v>
      </c>
      <c r="CJ560" s="289">
        <f t="shared" ca="1" si="306"/>
        <v>9.2853115656682694E-2</v>
      </c>
      <c r="CK560" s="289">
        <f t="shared" ca="1" si="307"/>
        <v>11.804870219177154</v>
      </c>
      <c r="CL560" s="290">
        <f t="shared" ca="1" si="308"/>
        <v>191.87198960492466</v>
      </c>
      <c r="CM560" s="203">
        <f t="shared" ca="1" si="309"/>
        <v>203.7461234183227</v>
      </c>
      <c r="CP560" s="180">
        <v>2020</v>
      </c>
      <c r="CQ560" s="22">
        <v>6</v>
      </c>
      <c r="CR560" s="289">
        <f t="shared" ca="1" si="310"/>
        <v>193.51082844891297</v>
      </c>
      <c r="CS560" s="290">
        <f t="shared" ca="1" si="311"/>
        <v>1.0540375141107465</v>
      </c>
      <c r="CT560" s="203">
        <f t="shared" ca="1" si="312"/>
        <v>203.96767257180335</v>
      </c>
      <c r="CZ560" s="164" t="b">
        <f t="shared" si="289"/>
        <v>1</v>
      </c>
      <c r="DA560" s="165" t="b">
        <f t="shared" si="289"/>
        <v>1</v>
      </c>
      <c r="DB560" s="166" t="b">
        <f t="shared" si="289"/>
        <v>1</v>
      </c>
      <c r="DC560" s="164">
        <f t="shared" si="290"/>
        <v>8</v>
      </c>
      <c r="DD560" s="166">
        <f t="shared" si="291"/>
        <v>147.16553497672979</v>
      </c>
      <c r="DE560" s="164">
        <f t="shared" si="292"/>
        <v>8</v>
      </c>
      <c r="DF560" s="166">
        <f t="shared" si="293"/>
        <v>207.68513249769501</v>
      </c>
      <c r="DG560" s="164">
        <f t="shared" si="294"/>
        <v>8</v>
      </c>
      <c r="DH560" s="166">
        <f t="shared" si="295"/>
        <v>268.2047300186602</v>
      </c>
      <c r="DI560" s="164">
        <f>IFERROR(INDEX(DC$550:DC$598,_xlfn.AGGREGATE(15,6,(ROW(DC$550:DC$598)-ROW(DC$550)+1)/(DC$550:DC$598&lt;&gt;""),ROWS(DI$1:DI11))),"")</f>
        <v>11</v>
      </c>
      <c r="DJ560" s="165">
        <f>IFERROR(INDEX(DD$550:DD$598,_xlfn.AGGREGATE(15,6,(ROW(DD$550:DD$598)-ROW(DD$550)+1)/(DD$550:DD$598&lt;&gt;""),ROWS(DJ$1:DJ11))),"")</f>
        <v>150.89428402742263</v>
      </c>
      <c r="DK560" s="166">
        <f t="shared" si="296"/>
        <v>560</v>
      </c>
      <c r="DL560" s="164">
        <f>IFERROR(INDEX(DE$550:DE$598,_xlfn.AGGREGATE(15,6,(ROW(DE$550:DE$598)-ROW(DE$550)+1)/(DE$550:DE$598&lt;&gt;""),ROWS(DL$1:DL11))),"")</f>
        <v>11</v>
      </c>
      <c r="DM560" s="165">
        <f>IFERROR(INDEX(DF$550:DF$598,_xlfn.AGGREGATE(15,6,(ROW(DF$550:DF$598)-ROW(DF$550)+1)/(DF$550:DF$598&lt;&gt;""),ROWS(DM$1:DM11))),"")</f>
        <v>213.68252121222213</v>
      </c>
      <c r="DN560" s="166">
        <f t="shared" si="297"/>
        <v>560</v>
      </c>
      <c r="DO560" s="164">
        <f>IFERROR(INDEX(DG$550:DG$598,_xlfn.AGGREGATE(15,6,(ROW(DG$550:DG$598)-ROW(DG$550)+1)/(DG$550:DG$598&lt;&gt;""),ROWS(DO$1:DO11))),"")</f>
        <v>11</v>
      </c>
      <c r="DP560" s="165">
        <f>IFERROR(INDEX(DH$550:DH$598,_xlfn.AGGREGATE(15,6,(ROW(DH$550:DH$598)-ROW(DH$550)+1)/(DH$550:DH$598&lt;&gt;""),ROWS(DP$1:DP11))),"")</f>
        <v>276.47075839702165</v>
      </c>
      <c r="DQ560" s="166">
        <f t="shared" si="298"/>
        <v>560</v>
      </c>
      <c r="DR560" s="65"/>
      <c r="DV560" s="145">
        <v>2025</v>
      </c>
      <c r="DW560" s="235">
        <f t="shared" ca="1" si="282"/>
        <v>213.68098180737763</v>
      </c>
      <c r="DZ560" s="135" t="s">
        <v>92</v>
      </c>
      <c r="EA560" s="33">
        <f t="shared" si="315"/>
        <v>0</v>
      </c>
      <c r="EB560" s="33">
        <f t="shared" si="315"/>
        <v>0</v>
      </c>
      <c r="EC560" s="33" t="str">
        <f>IF($EA$548="Linear","N/A",IF($EA$548="2nd Poly","N/A",IF($EA$548="3rd Poly","N/A","Medium")))</f>
        <v>N/A</v>
      </c>
    </row>
    <row r="561" spans="1:135" ht="13.8" x14ac:dyDescent="0.45">
      <c r="B561" s="128">
        <v>2023</v>
      </c>
      <c r="C561" s="291">
        <f>'Total MSW Summaries (Archive)'!K14</f>
        <v>150.46928095721654</v>
      </c>
      <c r="D561" s="307">
        <f>'Total MSW Summaries (Archive)'!AI14</f>
        <v>294.0800000000001</v>
      </c>
      <c r="E561" s="308">
        <f>'Total MSW Summaries (Archive)'!BG14</f>
        <v>184.51351351351354</v>
      </c>
      <c r="F561" s="201"/>
      <c r="G561" s="199"/>
      <c r="H561" s="200"/>
      <c r="I561" s="201"/>
      <c r="J561" s="199"/>
      <c r="K561" s="200"/>
      <c r="L561" s="201"/>
      <c r="M561" s="200"/>
      <c r="N561" s="29" t="s">
        <v>119</v>
      </c>
      <c r="O561" s="120"/>
      <c r="P561" s="120"/>
      <c r="Q561" s="120"/>
      <c r="R561" s="29">
        <v>9</v>
      </c>
      <c r="S561" s="202">
        <f t="shared" si="283"/>
        <v>150.46928095721654</v>
      </c>
      <c r="T561" s="202">
        <f t="shared" si="284"/>
        <v>294.0800000000001</v>
      </c>
      <c r="U561" s="202">
        <f t="shared" si="285"/>
        <v>61.271584274283789</v>
      </c>
      <c r="V561" s="20"/>
      <c r="W561" s="288">
        <f t="shared" si="286"/>
        <v>148.41601388262629</v>
      </c>
      <c r="X561" s="288">
        <f t="shared" si="287"/>
        <v>209.68759815691007</v>
      </c>
      <c r="Y561" s="288">
        <f t="shared" si="288"/>
        <v>270.95918243119388</v>
      </c>
      <c r="AA561" s="120"/>
      <c r="AB561" s="120"/>
      <c r="AC561" s="120"/>
      <c r="AD561" s="120"/>
      <c r="AE561" s="120"/>
      <c r="AF561" s="120"/>
      <c r="AG561" s="120"/>
      <c r="AH561" s="120"/>
      <c r="AI561" s="120"/>
      <c r="AJ561" s="120"/>
      <c r="AK561" s="120"/>
      <c r="AL561" s="120"/>
      <c r="AM561" s="120"/>
      <c r="AN561" s="120"/>
      <c r="BR561" s="180">
        <v>2021</v>
      </c>
      <c r="BS561" s="22">
        <v>7</v>
      </c>
      <c r="BT561" s="289">
        <f t="shared" si="299"/>
        <v>13.653052792402823</v>
      </c>
      <c r="BU561" s="290">
        <f t="shared" si="300"/>
        <v>192.144598299715</v>
      </c>
      <c r="BV561" s="205">
        <f t="shared" si="301"/>
        <v>205.79765109211783</v>
      </c>
      <c r="BY561" s="180">
        <v>2021</v>
      </c>
      <c r="BZ561" s="22">
        <v>7</v>
      </c>
      <c r="CA561" s="289">
        <f t="shared" ca="1" si="302"/>
        <v>-0.13048027043502886</v>
      </c>
      <c r="CB561" s="289">
        <f t="shared" ca="1" si="303"/>
        <v>14.249534028677239</v>
      </c>
      <c r="CC561" s="290">
        <f t="shared" ca="1" si="314"/>
        <v>191.67593447121368</v>
      </c>
      <c r="CD561" s="205">
        <f t="shared" ca="1" si="304"/>
        <v>205.7949882294559</v>
      </c>
      <c r="CG561" s="180">
        <v>2021</v>
      </c>
      <c r="CH561" s="22">
        <v>7</v>
      </c>
      <c r="CI561" s="289">
        <f t="shared" ca="1" si="305"/>
        <v>-3.7459286354090397E-2</v>
      </c>
      <c r="CJ561" s="289">
        <f t="shared" ca="1" si="306"/>
        <v>0.1263834074215959</v>
      </c>
      <c r="CK561" s="289">
        <f t="shared" ca="1" si="307"/>
        <v>13.772348589040014</v>
      </c>
      <c r="CL561" s="290">
        <f t="shared" ca="1" si="308"/>
        <v>191.87198960492466</v>
      </c>
      <c r="CM561" s="205">
        <f t="shared" ca="1" si="309"/>
        <v>205.73326231503219</v>
      </c>
      <c r="CP561" s="180">
        <v>2021</v>
      </c>
      <c r="CQ561" s="22">
        <v>7</v>
      </c>
      <c r="CR561" s="289">
        <f t="shared" ca="1" si="310"/>
        <v>193.51082844891297</v>
      </c>
      <c r="CS561" s="290">
        <f t="shared" ca="1" si="311"/>
        <v>1.063323501546541</v>
      </c>
      <c r="CT561" s="205">
        <f t="shared" ca="1" si="312"/>
        <v>205.76461169347013</v>
      </c>
      <c r="CZ561" s="164" t="b">
        <f t="shared" si="289"/>
        <v>1</v>
      </c>
      <c r="DA561" s="165" t="b">
        <f t="shared" si="289"/>
        <v>1</v>
      </c>
      <c r="DB561" s="166" t="b">
        <f t="shared" si="289"/>
        <v>1</v>
      </c>
      <c r="DC561" s="164">
        <f t="shared" si="290"/>
        <v>9</v>
      </c>
      <c r="DD561" s="166">
        <f t="shared" si="291"/>
        <v>148.41601388262629</v>
      </c>
      <c r="DE561" s="164">
        <f t="shared" si="292"/>
        <v>9</v>
      </c>
      <c r="DF561" s="166">
        <f t="shared" si="293"/>
        <v>209.68759815691007</v>
      </c>
      <c r="DG561" s="164">
        <f t="shared" si="294"/>
        <v>9</v>
      </c>
      <c r="DH561" s="166">
        <f t="shared" si="295"/>
        <v>270.95918243119388</v>
      </c>
      <c r="DI561" s="164">
        <f>IFERROR(INDEX(DC$550:DC$598,_xlfn.AGGREGATE(15,6,(ROW(DC$550:DC$598)-ROW(DC$550)+1)/(DC$550:DC$598&lt;&gt;""),ROWS(DI$1:DI12))),"")</f>
        <v>12</v>
      </c>
      <c r="DJ561" s="165">
        <f>IFERROR(INDEX(DD$550:DD$598,_xlfn.AGGREGATE(15,6,(ROW(DD$550:DD$598)-ROW(DD$550)+1)/(DD$550:DD$598&lt;&gt;""),ROWS(DJ$1:DJ12))),"")</f>
        <v>152.1222819168089</v>
      </c>
      <c r="DK561" s="166">
        <f t="shared" si="296"/>
        <v>561</v>
      </c>
      <c r="DL561" s="164">
        <f>IFERROR(INDEX(DE$550:DE$598,_xlfn.AGGREGATE(15,6,(ROW(DE$550:DE$598)-ROW(DE$550)+1)/(DE$550:DE$598&lt;&gt;""),ROWS(DL$1:DL12))),"")</f>
        <v>12</v>
      </c>
      <c r="DM561" s="165">
        <f>IFERROR(INDEX(DF$550:DF$598,_xlfn.AGGREGATE(15,6,(ROW(DF$550:DF$598)-ROW(DF$550)+1)/(DF$550:DF$598&lt;&gt;""),ROWS(DM$1:DM12))),"")</f>
        <v>215.67500629846981</v>
      </c>
      <c r="DN561" s="166">
        <f t="shared" si="297"/>
        <v>561</v>
      </c>
      <c r="DO561" s="164">
        <f>IFERROR(INDEX(DG$550:DG$598,_xlfn.AGGREGATE(15,6,(ROW(DG$550:DG$598)-ROW(DG$550)+1)/(DG$550:DG$598&lt;&gt;""),ROWS(DO$1:DO12))),"")</f>
        <v>12</v>
      </c>
      <c r="DP561" s="165">
        <f>IFERROR(INDEX(DH$550:DH$598,_xlfn.AGGREGATE(15,6,(ROW(DH$550:DH$598)-ROW(DH$550)+1)/(DH$550:DH$598&lt;&gt;""),ROWS(DP$1:DP12))),"")</f>
        <v>279.22773068013072</v>
      </c>
      <c r="DQ561" s="166">
        <f t="shared" si="298"/>
        <v>561</v>
      </c>
      <c r="DR561" s="65"/>
      <c r="DV561" s="145">
        <v>2026</v>
      </c>
      <c r="DW561" s="235">
        <f t="shared" ca="1" si="282"/>
        <v>215.6644263344192</v>
      </c>
      <c r="DZ561" s="135" t="s">
        <v>92</v>
      </c>
      <c r="EA561" s="33">
        <f t="shared" si="315"/>
        <v>0</v>
      </c>
      <c r="EB561" s="33">
        <f t="shared" si="315"/>
        <v>0</v>
      </c>
      <c r="EC561" s="33" t="str">
        <f>IF($EA$548="Linear","N/A",IF($EA$548="2nd Poly","N/A",IF($EA$548="3rd Poly","N/A","Low")))</f>
        <v>N/A</v>
      </c>
    </row>
    <row r="562" spans="1:135" ht="13.8" x14ac:dyDescent="0.45">
      <c r="B562" s="128">
        <v>2024</v>
      </c>
      <c r="C562" s="291">
        <f>'Total MSW Summaries (Archive)'!K15</f>
        <v>151.99504741860039</v>
      </c>
      <c r="D562" s="307">
        <f>'Total MSW Summaries (Archive)'!AI15</f>
        <v>297.2000000000001</v>
      </c>
      <c r="E562" s="308">
        <f>'Total MSW Summaries (Archive)'!BG15</f>
        <v>185.8648648648649</v>
      </c>
      <c r="F562" s="293"/>
      <c r="G562" s="294"/>
      <c r="H562" s="292"/>
      <c r="I562" s="293"/>
      <c r="J562" s="294"/>
      <c r="K562" s="292"/>
      <c r="L562" s="293"/>
      <c r="M562" s="292"/>
      <c r="N562" s="29" t="s">
        <v>119</v>
      </c>
      <c r="O562" s="120"/>
      <c r="P562" s="120"/>
      <c r="Q562" s="120"/>
      <c r="R562" s="29">
        <v>10</v>
      </c>
      <c r="S562" s="288">
        <f t="shared" si="283"/>
        <v>151.99504741860039</v>
      </c>
      <c r="T562" s="288">
        <f t="shared" si="284"/>
        <v>297.2000000000001</v>
      </c>
      <c r="U562" s="288">
        <f t="shared" si="285"/>
        <v>62.027910477254501</v>
      </c>
      <c r="V562" s="20"/>
      <c r="W562" s="288">
        <f t="shared" si="286"/>
        <v>149.65872695056729</v>
      </c>
      <c r="X562" s="288">
        <f t="shared" si="287"/>
        <v>211.68663742782178</v>
      </c>
      <c r="Y562" s="288">
        <f t="shared" si="288"/>
        <v>273.7145479050763</v>
      </c>
      <c r="AA562" s="120"/>
      <c r="AB562" s="120"/>
      <c r="AC562" s="120"/>
      <c r="AD562" s="120"/>
      <c r="AE562" s="120"/>
      <c r="AF562" s="120"/>
      <c r="AG562" s="120"/>
      <c r="AH562" s="120"/>
      <c r="AI562" s="120"/>
      <c r="AJ562" s="120"/>
      <c r="AK562" s="120"/>
      <c r="AL562" s="120"/>
      <c r="AM562" s="120"/>
      <c r="AN562" s="120"/>
      <c r="BR562" s="180">
        <v>2022</v>
      </c>
      <c r="BS562" s="22">
        <v>8</v>
      </c>
      <c r="BT562" s="289">
        <f t="shared" si="299"/>
        <v>15.603488905603227</v>
      </c>
      <c r="BU562" s="290">
        <f t="shared" si="300"/>
        <v>192.144598299715</v>
      </c>
      <c r="BV562" s="205">
        <f t="shared" si="301"/>
        <v>207.74808720531823</v>
      </c>
      <c r="BY562" s="180">
        <v>2022</v>
      </c>
      <c r="BZ562" s="22">
        <v>8</v>
      </c>
      <c r="CA562" s="289">
        <f t="shared" ca="1" si="302"/>
        <v>-0.17042321036411934</v>
      </c>
      <c r="CB562" s="289">
        <f t="shared" ca="1" si="303"/>
        <v>16.285181747059703</v>
      </c>
      <c r="CC562" s="290">
        <f t="shared" ca="1" si="314"/>
        <v>191.67593447121368</v>
      </c>
      <c r="CD562" s="205">
        <f t="shared" ca="1" si="304"/>
        <v>207.79069300790925</v>
      </c>
      <c r="CG562" s="180">
        <v>2022</v>
      </c>
      <c r="CH562" s="22">
        <v>8</v>
      </c>
      <c r="CI562" s="289">
        <f t="shared" ca="1" si="305"/>
        <v>-5.5915902662665551E-2</v>
      </c>
      <c r="CJ562" s="289">
        <f t="shared" ca="1" si="306"/>
        <v>0.16507220561188035</v>
      </c>
      <c r="CK562" s="289">
        <f t="shared" ca="1" si="307"/>
        <v>15.739826958902873</v>
      </c>
      <c r="CL562" s="290">
        <f t="shared" ca="1" si="308"/>
        <v>191.87198960492466</v>
      </c>
      <c r="CM562" s="205">
        <f t="shared" ca="1" si="309"/>
        <v>207.72097286677675</v>
      </c>
      <c r="CP562" s="180">
        <v>2022</v>
      </c>
      <c r="CQ562" s="22">
        <v>8</v>
      </c>
      <c r="CR562" s="289">
        <f t="shared" ca="1" si="310"/>
        <v>193.51082844891297</v>
      </c>
      <c r="CS562" s="290">
        <f t="shared" ca="1" si="311"/>
        <v>1.0726912977998619</v>
      </c>
      <c r="CT562" s="205">
        <f t="shared" ca="1" si="312"/>
        <v>207.57738170719091</v>
      </c>
      <c r="CZ562" s="164" t="b">
        <f t="shared" si="289"/>
        <v>1</v>
      </c>
      <c r="DA562" s="165" t="b">
        <f t="shared" si="289"/>
        <v>1</v>
      </c>
      <c r="DB562" s="166" t="b">
        <f t="shared" si="289"/>
        <v>1</v>
      </c>
      <c r="DC562" s="164">
        <f t="shared" si="290"/>
        <v>10</v>
      </c>
      <c r="DD562" s="166">
        <f t="shared" si="291"/>
        <v>149.65872695056729</v>
      </c>
      <c r="DE562" s="164">
        <f t="shared" si="292"/>
        <v>10</v>
      </c>
      <c r="DF562" s="166">
        <f t="shared" si="293"/>
        <v>211.68663742782178</v>
      </c>
      <c r="DG562" s="164">
        <f t="shared" si="294"/>
        <v>10</v>
      </c>
      <c r="DH562" s="166">
        <f t="shared" si="295"/>
        <v>273.7145479050763</v>
      </c>
      <c r="DI562" s="164">
        <f>IFERROR(INDEX(DC$550:DC$598,_xlfn.AGGREGATE(15,6,(ROW(DC$550:DC$598)-ROW(DC$550)+1)/(DC$550:DC$598&lt;&gt;""),ROWS(DI$1:DI13))),"")</f>
        <v>13</v>
      </c>
      <c r="DJ562" s="165">
        <f>IFERROR(INDEX(DD$550:DD$598,_xlfn.AGGREGATE(15,6,(ROW(DD$550:DD$598)-ROW(DD$550)+1)/(DD$550:DD$598&lt;&gt;""),ROWS(DJ$1:DJ13))),"")</f>
        <v>153.34211382446321</v>
      </c>
      <c r="DK562" s="166">
        <f t="shared" si="296"/>
        <v>562</v>
      </c>
      <c r="DL562" s="164">
        <f>IFERROR(INDEX(DE$550:DE$598,_xlfn.AGGREGATE(15,6,(ROW(DE$550:DE$598)-ROW(DE$550)+1)/(DE$550:DE$598&lt;&gt;""),ROWS(DL$1:DL13))),"")</f>
        <v>13</v>
      </c>
      <c r="DM562" s="165">
        <f>IFERROR(INDEX(DF$550:DF$598,_xlfn.AGGREGATE(15,6,(ROW(DF$550:DF$598)-ROW(DF$550)+1)/(DF$550:DF$598&lt;&gt;""),ROWS(DM$1:DM13))),"")</f>
        <v>217.66374509945658</v>
      </c>
      <c r="DN562" s="166">
        <f t="shared" si="297"/>
        <v>562</v>
      </c>
      <c r="DO562" s="164">
        <f>IFERROR(INDEX(DG$550:DG$598,_xlfn.AGGREGATE(15,6,(ROW(DG$550:DG$598)-ROW(DG$550)+1)/(DG$550:DG$598&lt;&gt;""),ROWS(DO$1:DO13))),"")</f>
        <v>13</v>
      </c>
      <c r="DP562" s="165">
        <f>IFERROR(INDEX(DH$550:DH$598,_xlfn.AGGREGATE(15,6,(ROW(DH$550:DH$598)-ROW(DH$550)+1)/(DH$550:DH$598&lt;&gt;""),ROWS(DP$1:DP13))),"")</f>
        <v>281.98537637444997</v>
      </c>
      <c r="DQ562" s="166">
        <f t="shared" si="298"/>
        <v>562</v>
      </c>
      <c r="DR562" s="65"/>
      <c r="DV562" s="145">
        <v>2027</v>
      </c>
      <c r="DW562" s="235">
        <f t="shared" ca="1" si="282"/>
        <v>217.64516619407422</v>
      </c>
    </row>
    <row r="563" spans="1:135" ht="13.8" x14ac:dyDescent="0.45">
      <c r="B563" s="128">
        <v>2025</v>
      </c>
      <c r="C563" s="291">
        <f>'Total MSW Summaries (Archive)'!K16</f>
        <v>153.51134742044997</v>
      </c>
      <c r="D563" s="307">
        <f>'Total MSW Summaries (Archive)'!AI16</f>
        <v>300.32000000000011</v>
      </c>
      <c r="E563" s="308">
        <f>'Total MSW Summaries (Archive)'!BG16</f>
        <v>187.21621621621625</v>
      </c>
      <c r="F563" s="293"/>
      <c r="G563" s="294"/>
      <c r="H563" s="292"/>
      <c r="I563" s="293"/>
      <c r="J563" s="294"/>
      <c r="K563" s="292"/>
      <c r="L563" s="293"/>
      <c r="M563" s="292"/>
      <c r="N563" s="29" t="s">
        <v>119</v>
      </c>
      <c r="O563" s="120"/>
      <c r="P563" s="120"/>
      <c r="Q563" s="120"/>
      <c r="R563" s="29">
        <v>11</v>
      </c>
      <c r="S563" s="288">
        <f t="shared" si="283"/>
        <v>153.51134742044997</v>
      </c>
      <c r="T563" s="288">
        <f t="shared" si="284"/>
        <v>300.32000000000011</v>
      </c>
      <c r="U563" s="288">
        <f t="shared" si="285"/>
        <v>62.788237184799499</v>
      </c>
      <c r="W563" s="288">
        <f t="shared" si="286"/>
        <v>150.89428402742263</v>
      </c>
      <c r="X563" s="288">
        <f t="shared" si="287"/>
        <v>213.68252121222213</v>
      </c>
      <c r="Y563" s="288">
        <f t="shared" si="288"/>
        <v>276.47075839702165</v>
      </c>
      <c r="AA563" s="120"/>
      <c r="AB563" s="120"/>
      <c r="AC563" s="120"/>
      <c r="AD563" s="120"/>
      <c r="AE563" s="120"/>
      <c r="AF563" s="120"/>
      <c r="AG563" s="120"/>
      <c r="AH563" s="120"/>
      <c r="AI563" s="120"/>
      <c r="AJ563" s="120"/>
      <c r="AK563" s="120"/>
      <c r="AL563" s="120"/>
      <c r="AM563" s="120"/>
      <c r="AN563" s="120"/>
      <c r="BR563" s="180">
        <v>2023</v>
      </c>
      <c r="BS563" s="22">
        <v>9</v>
      </c>
      <c r="BT563" s="289">
        <f t="shared" si="299"/>
        <v>17.553925018803628</v>
      </c>
      <c r="BU563" s="290">
        <f t="shared" si="300"/>
        <v>192.144598299715</v>
      </c>
      <c r="BV563" s="205">
        <f t="shared" si="301"/>
        <v>209.69852331851862</v>
      </c>
      <c r="BY563" s="180">
        <v>2023</v>
      </c>
      <c r="BZ563" s="22">
        <v>9</v>
      </c>
      <c r="CA563" s="289">
        <f t="shared" ca="1" si="302"/>
        <v>-0.21569187561708852</v>
      </c>
      <c r="CB563" s="289">
        <f t="shared" ca="1" si="303"/>
        <v>18.320829465442166</v>
      </c>
      <c r="CC563" s="290">
        <f t="shared" ca="1" si="314"/>
        <v>191.67593447121368</v>
      </c>
      <c r="CD563" s="205">
        <f t="shared" ca="1" si="304"/>
        <v>209.78107206103874</v>
      </c>
      <c r="CG563" s="180">
        <v>2023</v>
      </c>
      <c r="CH563" s="22">
        <v>9</v>
      </c>
      <c r="CI563" s="289">
        <f t="shared" ca="1" si="305"/>
        <v>-7.9614634845865603E-2</v>
      </c>
      <c r="CJ563" s="289">
        <f t="shared" ca="1" si="306"/>
        <v>0.20891951022753608</v>
      </c>
      <c r="CK563" s="289">
        <f t="shared" ca="1" si="307"/>
        <v>17.707305328765731</v>
      </c>
      <c r="CL563" s="290">
        <f t="shared" ca="1" si="308"/>
        <v>191.87198960492466</v>
      </c>
      <c r="CM563" s="205">
        <f t="shared" ca="1" si="309"/>
        <v>209.70859980907207</v>
      </c>
      <c r="CP563" s="180">
        <v>2023</v>
      </c>
      <c r="CQ563" s="22">
        <v>9</v>
      </c>
      <c r="CR563" s="289">
        <f t="shared" ca="1" si="310"/>
        <v>193.51082844891297</v>
      </c>
      <c r="CS563" s="290">
        <f t="shared" ca="1" si="311"/>
        <v>1.0821416235999446</v>
      </c>
      <c r="CT563" s="205">
        <f t="shared" ca="1" si="312"/>
        <v>209.40612208187704</v>
      </c>
      <c r="CZ563" s="164" t="b">
        <f t="shared" si="289"/>
        <v>1</v>
      </c>
      <c r="DA563" s="165" t="b">
        <f t="shared" si="289"/>
        <v>1</v>
      </c>
      <c r="DB563" s="166" t="b">
        <f t="shared" si="289"/>
        <v>1</v>
      </c>
      <c r="DC563" s="164">
        <f t="shared" si="290"/>
        <v>11</v>
      </c>
      <c r="DD563" s="166">
        <f t="shared" si="291"/>
        <v>150.89428402742263</v>
      </c>
      <c r="DE563" s="164">
        <f t="shared" si="292"/>
        <v>11</v>
      </c>
      <c r="DF563" s="166">
        <f t="shared" si="293"/>
        <v>213.68252121222213</v>
      </c>
      <c r="DG563" s="164">
        <f t="shared" si="294"/>
        <v>11</v>
      </c>
      <c r="DH563" s="166">
        <f t="shared" si="295"/>
        <v>276.47075839702165</v>
      </c>
      <c r="DI563" s="164">
        <f>IFERROR(INDEX(DC$550:DC$598,_xlfn.AGGREGATE(15,6,(ROW(DC$550:DC$598)-ROW(DC$550)+1)/(DC$550:DC$598&lt;&gt;""),ROWS(DI$1:DI14))),"")</f>
        <v>14</v>
      </c>
      <c r="DJ563" s="165">
        <f>IFERROR(INDEX(DD$550:DD$598,_xlfn.AGGREGATE(15,6,(ROW(DD$550:DD$598)-ROW(DD$550)+1)/(DD$550:DD$598&lt;&gt;""),ROWS(DJ$1:DJ14))),"")</f>
        <v>154.5540823349553</v>
      </c>
      <c r="DK563" s="166">
        <f t="shared" si="296"/>
        <v>563</v>
      </c>
      <c r="DL563" s="164">
        <f>IFERROR(INDEX(DE$550:DE$598,_xlfn.AGGREGATE(15,6,(ROW(DE$550:DE$598)-ROW(DE$550)+1)/(DE$550:DE$598&lt;&gt;""),ROWS(DL$1:DL14))),"")</f>
        <v>14</v>
      </c>
      <c r="DM563" s="165">
        <f>IFERROR(INDEX(DF$550:DF$598,_xlfn.AGGREGATE(15,6,(ROW(DF$550:DF$598)-ROW(DF$550)+1)/(DF$550:DF$598&lt;&gt;""),ROWS(DM$1:DM14))),"")</f>
        <v>219.64885637308771</v>
      </c>
      <c r="DN563" s="166">
        <f t="shared" si="297"/>
        <v>563</v>
      </c>
      <c r="DO563" s="164">
        <f>IFERROR(INDEX(DG$550:DG$598,_xlfn.AGGREGATE(15,6,(ROW(DG$550:DG$598)-ROW(DG$550)+1)/(DG$550:DG$598&lt;&gt;""),ROWS(DO$1:DO14))),"")</f>
        <v>14</v>
      </c>
      <c r="DP563" s="165">
        <f>IFERROR(INDEX(DH$550:DH$598,_xlfn.AGGREGATE(15,6,(ROW(DH$550:DH$598)-ROW(DH$550)+1)/(DH$550:DH$598&lt;&gt;""),ROWS(DP$1:DP14))),"")</f>
        <v>284.74363041122012</v>
      </c>
      <c r="DQ563" s="166">
        <f t="shared" si="298"/>
        <v>563</v>
      </c>
      <c r="DR563" s="65"/>
      <c r="DV563" s="145">
        <v>2028</v>
      </c>
      <c r="DW563" s="235">
        <f t="shared" ca="1" si="282"/>
        <v>219.62254612185836</v>
      </c>
    </row>
    <row r="564" spans="1:135" ht="13.8" x14ac:dyDescent="0.45">
      <c r="B564" s="128">
        <v>2026</v>
      </c>
      <c r="C564" s="291">
        <f>'Total MSW Summaries (Archive)'!K17</f>
        <v>155.01745132784174</v>
      </c>
      <c r="D564" s="307">
        <f>'Total MSW Summaries (Archive)'!AI17</f>
        <v>303.44000000000011</v>
      </c>
      <c r="E564" s="308">
        <f>'Total MSW Summaries (Archive)'!BG17</f>
        <v>188.56756756756761</v>
      </c>
      <c r="F564" s="293"/>
      <c r="G564" s="294"/>
      <c r="H564" s="292"/>
      <c r="I564" s="293"/>
      <c r="J564" s="294"/>
      <c r="K564" s="292"/>
      <c r="L564" s="293"/>
      <c r="M564" s="292"/>
      <c r="N564" s="29" t="s">
        <v>119</v>
      </c>
      <c r="O564" s="120"/>
      <c r="P564" s="120"/>
      <c r="Q564" s="120"/>
      <c r="R564" s="29">
        <v>12</v>
      </c>
      <c r="S564" s="288">
        <f t="shared" si="283"/>
        <v>155.01745132784174</v>
      </c>
      <c r="T564" s="288">
        <f t="shared" si="284"/>
        <v>303.44000000000011</v>
      </c>
      <c r="U564" s="288">
        <f t="shared" si="285"/>
        <v>63.552724381660894</v>
      </c>
      <c r="W564" s="288">
        <f t="shared" si="286"/>
        <v>152.1222819168089</v>
      </c>
      <c r="X564" s="288">
        <f t="shared" si="287"/>
        <v>215.67500629846981</v>
      </c>
      <c r="Y564" s="288">
        <f t="shared" si="288"/>
        <v>279.22773068013072</v>
      </c>
      <c r="AA564" s="120"/>
      <c r="AB564" s="120"/>
      <c r="AC564" s="120"/>
      <c r="AD564" s="120"/>
      <c r="AE564" s="120"/>
      <c r="AF564" s="120"/>
      <c r="AG564" s="120"/>
      <c r="AH564" s="120"/>
      <c r="AI564" s="120"/>
      <c r="AJ564" s="120"/>
      <c r="AK564" s="120"/>
      <c r="AL564" s="120"/>
      <c r="AM564" s="120"/>
      <c r="AN564" s="120"/>
      <c r="BR564" s="180">
        <v>2024</v>
      </c>
      <c r="BS564" s="22">
        <v>10</v>
      </c>
      <c r="BT564" s="289">
        <f t="shared" si="299"/>
        <v>19.504361132004032</v>
      </c>
      <c r="BU564" s="290">
        <f t="shared" si="300"/>
        <v>192.144598299715</v>
      </c>
      <c r="BV564" s="205">
        <f t="shared" si="301"/>
        <v>211.64895943171902</v>
      </c>
      <c r="BY564" s="180">
        <v>2024</v>
      </c>
      <c r="BZ564" s="22">
        <v>10</v>
      </c>
      <c r="CA564" s="289">
        <f t="shared" ca="1" si="302"/>
        <v>-0.26628626619393647</v>
      </c>
      <c r="CB564" s="289">
        <f t="shared" ca="1" si="303"/>
        <v>20.35647718382463</v>
      </c>
      <c r="CC564" s="290">
        <f t="shared" ca="1" si="314"/>
        <v>191.67593447121368</v>
      </c>
      <c r="CD564" s="205">
        <f t="shared" ca="1" si="304"/>
        <v>211.76612538884439</v>
      </c>
      <c r="CG564" s="180">
        <v>2024</v>
      </c>
      <c r="CH564" s="22">
        <v>10</v>
      </c>
      <c r="CI564" s="289">
        <f t="shared" ca="1" si="305"/>
        <v>-0.10921074738801866</v>
      </c>
      <c r="CJ564" s="289">
        <f t="shared" ca="1" si="306"/>
        <v>0.25792532126856305</v>
      </c>
      <c r="CK564" s="289">
        <f t="shared" ca="1" si="307"/>
        <v>19.674783698628591</v>
      </c>
      <c r="CL564" s="290">
        <f t="shared" ca="1" si="308"/>
        <v>191.87198960492466</v>
      </c>
      <c r="CM564" s="205">
        <f t="shared" ca="1" si="309"/>
        <v>211.69548787743381</v>
      </c>
      <c r="CP564" s="180">
        <v>2024</v>
      </c>
      <c r="CQ564" s="22">
        <v>10</v>
      </c>
      <c r="CR564" s="289">
        <f t="shared" ca="1" si="310"/>
        <v>193.51082844891297</v>
      </c>
      <c r="CS564" s="290">
        <f t="shared" ca="1" si="311"/>
        <v>1.0916752060255923</v>
      </c>
      <c r="CT564" s="205">
        <f t="shared" ca="1" si="312"/>
        <v>211.25097351515012</v>
      </c>
      <c r="CZ564" s="164" t="b">
        <f t="shared" si="289"/>
        <v>1</v>
      </c>
      <c r="DA564" s="165" t="b">
        <f t="shared" si="289"/>
        <v>1</v>
      </c>
      <c r="DB564" s="166" t="b">
        <f t="shared" si="289"/>
        <v>1</v>
      </c>
      <c r="DC564" s="164">
        <f t="shared" si="290"/>
        <v>12</v>
      </c>
      <c r="DD564" s="166">
        <f t="shared" si="291"/>
        <v>152.1222819168089</v>
      </c>
      <c r="DE564" s="164">
        <f t="shared" si="292"/>
        <v>12</v>
      </c>
      <c r="DF564" s="166">
        <f t="shared" si="293"/>
        <v>215.67500629846981</v>
      </c>
      <c r="DG564" s="164">
        <f t="shared" si="294"/>
        <v>12</v>
      </c>
      <c r="DH564" s="166">
        <f t="shared" si="295"/>
        <v>279.22773068013072</v>
      </c>
      <c r="DI564" s="164">
        <f>IFERROR(INDEX(DC$550:DC$598,_xlfn.AGGREGATE(15,6,(ROW(DC$550:DC$598)-ROW(DC$550)+1)/(DC$550:DC$598&lt;&gt;""),ROWS(DI$1:DI15))),"")</f>
        <v>15</v>
      </c>
      <c r="DJ564" s="165">
        <f>IFERROR(INDEX(DD$550:DD$598,_xlfn.AGGREGATE(15,6,(ROW(DD$550:DD$598)-ROW(DD$550)+1)/(DD$550:DD$598&lt;&gt;""),ROWS(DJ$1:DJ15))),"")</f>
        <v>155.75868506108299</v>
      </c>
      <c r="DK564" s="166">
        <f t="shared" si="296"/>
        <v>564</v>
      </c>
      <c r="DL564" s="164">
        <f>IFERROR(INDEX(DE$550:DE$598,_xlfn.AGGREGATE(15,6,(ROW(DE$550:DE$598)-ROW(DE$550)+1)/(DE$550:DE$598&lt;&gt;""),ROWS(DL$1:DL15))),"")</f>
        <v>15</v>
      </c>
      <c r="DM564" s="165">
        <f>IFERROR(INDEX(DF$550:DF$598,_xlfn.AGGREGATE(15,6,(ROW(DF$550:DF$598)-ROW(DF$550)+1)/(DF$550:DF$598&lt;&gt;""),ROWS(DM$1:DM15))),"")</f>
        <v>221.63056199650131</v>
      </c>
      <c r="DN564" s="166">
        <f t="shared" si="297"/>
        <v>564</v>
      </c>
      <c r="DO564" s="164">
        <f>IFERROR(INDEX(DG$550:DG$598,_xlfn.AGGREGATE(15,6,(ROW(DG$550:DG$598)-ROW(DG$550)+1)/(DG$550:DG$598&lt;&gt;""),ROWS(DO$1:DO15))),"")</f>
        <v>15</v>
      </c>
      <c r="DP564" s="165">
        <f>IFERROR(INDEX(DH$550:DH$598,_xlfn.AGGREGATE(15,6,(ROW(DH$550:DH$598)-ROW(DH$550)+1)/(DH$550:DH$598&lt;&gt;""),ROWS(DP$1:DP15))),"")</f>
        <v>287.50243893191964</v>
      </c>
      <c r="DQ564" s="166">
        <f t="shared" si="298"/>
        <v>564</v>
      </c>
      <c r="DR564" s="65"/>
      <c r="DV564" s="145">
        <v>2029</v>
      </c>
      <c r="DW564" s="235">
        <f t="shared" ca="1" si="282"/>
        <v>221.59591085328725</v>
      </c>
      <c r="EA564" s="55"/>
      <c r="EB564" s="55"/>
      <c r="EC564" s="55"/>
      <c r="ED564" s="55"/>
      <c r="EE564" s="55"/>
    </row>
    <row r="565" spans="1:135" ht="13.8" x14ac:dyDescent="0.45">
      <c r="B565" s="128">
        <v>2027</v>
      </c>
      <c r="C565" s="291">
        <f>'Total MSW Summaries (Archive)'!K18</f>
        <v>156.51231637945057</v>
      </c>
      <c r="D565" s="307">
        <f>'Total MSW Summaries (Archive)'!AI18</f>
        <v>306.56000000000012</v>
      </c>
      <c r="E565" s="308">
        <f>'Total MSW Summaries (Archive)'!BG18</f>
        <v>189.91891891891896</v>
      </c>
      <c r="F565" s="293"/>
      <c r="G565" s="294"/>
      <c r="H565" s="292"/>
      <c r="I565" s="293"/>
      <c r="J565" s="294"/>
      <c r="K565" s="292"/>
      <c r="L565" s="293"/>
      <c r="M565" s="292"/>
      <c r="N565" s="29" t="s">
        <v>119</v>
      </c>
      <c r="O565" s="120"/>
      <c r="P565" s="120"/>
      <c r="Q565" s="120"/>
      <c r="R565" s="29">
        <v>13</v>
      </c>
      <c r="S565" s="288">
        <f t="shared" si="283"/>
        <v>156.51231637945057</v>
      </c>
      <c r="T565" s="288">
        <f t="shared" si="284"/>
        <v>306.56000000000012</v>
      </c>
      <c r="U565" s="288">
        <f t="shared" si="285"/>
        <v>64.321631274993365</v>
      </c>
      <c r="W565" s="288">
        <f t="shared" si="286"/>
        <v>153.34211382446321</v>
      </c>
      <c r="X565" s="288">
        <f t="shared" si="287"/>
        <v>217.66374509945658</v>
      </c>
      <c r="Y565" s="288">
        <f t="shared" si="288"/>
        <v>281.98537637444997</v>
      </c>
      <c r="AA565" s="89"/>
      <c r="AB565" s="89"/>
      <c r="AC565" s="89"/>
      <c r="AD565" s="89"/>
      <c r="AE565" s="89"/>
      <c r="AF565" s="89"/>
      <c r="AG565" s="89"/>
      <c r="AH565" s="89"/>
      <c r="AI565" s="89"/>
      <c r="AJ565" s="89"/>
      <c r="AK565" s="89"/>
      <c r="AL565" s="89"/>
      <c r="AM565" s="89"/>
      <c r="AN565" s="89"/>
      <c r="BR565" s="180">
        <v>2025</v>
      </c>
      <c r="BS565" s="22">
        <v>11</v>
      </c>
      <c r="BT565" s="289">
        <f t="shared" si="299"/>
        <v>21.454797245204436</v>
      </c>
      <c r="BU565" s="290">
        <f t="shared" si="300"/>
        <v>192.144598299715</v>
      </c>
      <c r="BV565" s="205">
        <f t="shared" si="301"/>
        <v>213.59939554491945</v>
      </c>
      <c r="BY565" s="180">
        <v>2025</v>
      </c>
      <c r="BZ565" s="22">
        <v>11</v>
      </c>
      <c r="CA565" s="289">
        <f t="shared" ca="1" si="302"/>
        <v>-0.32220638209466312</v>
      </c>
      <c r="CB565" s="289">
        <f t="shared" ca="1" si="303"/>
        <v>22.39212490220709</v>
      </c>
      <c r="CC565" s="290">
        <f t="shared" ca="1" si="314"/>
        <v>191.67593447121368</v>
      </c>
      <c r="CD565" s="205">
        <f t="shared" ca="1" si="304"/>
        <v>213.7458529913261</v>
      </c>
      <c r="CG565" s="180">
        <v>2025</v>
      </c>
      <c r="CH565" s="22">
        <v>11</v>
      </c>
      <c r="CI565" s="289">
        <f t="shared" ca="1" si="305"/>
        <v>-0.14535950477345283</v>
      </c>
      <c r="CJ565" s="289">
        <f t="shared" ca="1" si="306"/>
        <v>0.31208963873496132</v>
      </c>
      <c r="CK565" s="289">
        <f t="shared" ca="1" si="307"/>
        <v>21.642262068491451</v>
      </c>
      <c r="CL565" s="290">
        <f t="shared" ca="1" si="308"/>
        <v>191.87198960492466</v>
      </c>
      <c r="CM565" s="205">
        <f t="shared" ca="1" si="309"/>
        <v>213.68098180737763</v>
      </c>
      <c r="CP565" s="180">
        <v>2025</v>
      </c>
      <c r="CQ565" s="22">
        <v>11</v>
      </c>
      <c r="CR565" s="289">
        <f t="shared" ca="1" si="310"/>
        <v>193.51082844891297</v>
      </c>
      <c r="CS565" s="290">
        <f t="shared" ca="1" si="311"/>
        <v>1.1012927785611151</v>
      </c>
      <c r="CT565" s="205">
        <f t="shared" ca="1" si="312"/>
        <v>213.11207794416666</v>
      </c>
      <c r="CZ565" s="164" t="b">
        <f t="shared" si="289"/>
        <v>1</v>
      </c>
      <c r="DA565" s="165" t="b">
        <f t="shared" si="289"/>
        <v>1</v>
      </c>
      <c r="DB565" s="166" t="b">
        <f t="shared" si="289"/>
        <v>1</v>
      </c>
      <c r="DC565" s="164">
        <f t="shared" si="290"/>
        <v>13</v>
      </c>
      <c r="DD565" s="166">
        <f t="shared" si="291"/>
        <v>153.34211382446321</v>
      </c>
      <c r="DE565" s="164">
        <f t="shared" si="292"/>
        <v>13</v>
      </c>
      <c r="DF565" s="166">
        <f t="shared" si="293"/>
        <v>217.66374509945658</v>
      </c>
      <c r="DG565" s="164">
        <f t="shared" si="294"/>
        <v>13</v>
      </c>
      <c r="DH565" s="166">
        <f t="shared" si="295"/>
        <v>281.98537637444997</v>
      </c>
      <c r="DI565" s="164">
        <f>IFERROR(INDEX(DC$550:DC$598,_xlfn.AGGREGATE(15,6,(ROW(DC$550:DC$598)-ROW(DC$550)+1)/(DC$550:DC$598&lt;&gt;""),ROWS(DI$1:DI16))),"")</f>
        <v>16</v>
      </c>
      <c r="DJ565" s="165">
        <f>IFERROR(INDEX(DD$550:DD$598,_xlfn.AGGREGATE(15,6,(ROW(DD$550:DD$598)-ROW(DD$550)+1)/(DD$550:DD$598&lt;&gt;""),ROWS(DJ$1:DJ16))),"")</f>
        <v>156.95629357495585</v>
      </c>
      <c r="DK565" s="166">
        <f t="shared" si="296"/>
        <v>565</v>
      </c>
      <c r="DL565" s="164">
        <f>IFERROR(INDEX(DE$550:DE$598,_xlfn.AGGREGATE(15,6,(ROW(DE$550:DE$598)-ROW(DE$550)+1)/(DE$550:DE$598&lt;&gt;""),ROWS(DL$1:DL16))),"")</f>
        <v>16</v>
      </c>
      <c r="DM565" s="165">
        <f>IFERROR(INDEX(DF$550:DF$598,_xlfn.AGGREGATE(15,6,(ROW(DF$550:DF$598)-ROW(DF$550)+1)/(DF$550:DF$598&lt;&gt;""),ROWS(DM$1:DM16))),"")</f>
        <v>223.60902221071549</v>
      </c>
      <c r="DN565" s="166">
        <f t="shared" si="297"/>
        <v>565</v>
      </c>
      <c r="DO565" s="164">
        <f>IFERROR(INDEX(DG$550:DG$598,_xlfn.AGGREGATE(15,6,(ROW(DG$550:DG$598)-ROW(DG$550)+1)/(DG$550:DG$598&lt;&gt;""),ROWS(DO$1:DO16))),"")</f>
        <v>16</v>
      </c>
      <c r="DP565" s="165">
        <f>IFERROR(INDEX(DH$550:DH$598,_xlfn.AGGREGATE(15,6,(ROW(DH$550:DH$598)-ROW(DH$550)+1)/(DH$550:DH$598&lt;&gt;""),ROWS(DP$1:DP16))),"")</f>
        <v>290.26175084647514</v>
      </c>
      <c r="DQ565" s="166">
        <f t="shared" si="298"/>
        <v>565</v>
      </c>
      <c r="DR565" s="65"/>
      <c r="DV565" s="145">
        <v>2030</v>
      </c>
      <c r="DW565" s="235">
        <f t="shared" ca="1" si="282"/>
        <v>223.56460512387662</v>
      </c>
    </row>
    <row r="566" spans="1:135" ht="13.8" x14ac:dyDescent="0.45">
      <c r="A566" s="295" t="str">
        <f>$A$62</f>
        <v>Base Cases</v>
      </c>
      <c r="B566" s="128">
        <v>2028</v>
      </c>
      <c r="C566" s="291">
        <f>'Total MSW Summaries (Archive)'!K19</f>
        <v>157.99629884899267</v>
      </c>
      <c r="D566" s="307">
        <f>'Total MSW Summaries (Archive)'!AI19</f>
        <v>309.68000000000012</v>
      </c>
      <c r="E566" s="308">
        <f>'Total MSW Summaries (Archive)'!BG19</f>
        <v>191.27027027027032</v>
      </c>
      <c r="F566" s="293"/>
      <c r="G566" s="294"/>
      <c r="H566" s="292"/>
      <c r="I566" s="293"/>
      <c r="J566" s="294"/>
      <c r="K566" s="292"/>
      <c r="L566" s="293"/>
      <c r="M566" s="292"/>
      <c r="N566" s="29" t="s">
        <v>119</v>
      </c>
      <c r="O566" s="120"/>
      <c r="P566" s="120"/>
      <c r="Q566" s="120"/>
      <c r="R566" s="29">
        <v>14</v>
      </c>
      <c r="S566" s="288">
        <f t="shared" si="283"/>
        <v>157.99629884899267</v>
      </c>
      <c r="T566" s="288">
        <f t="shared" si="284"/>
        <v>309.68000000000012</v>
      </c>
      <c r="U566" s="288">
        <f t="shared" si="285"/>
        <v>65.094774038132428</v>
      </c>
      <c r="W566" s="288">
        <f t="shared" si="286"/>
        <v>154.5540823349553</v>
      </c>
      <c r="X566" s="288">
        <f t="shared" si="287"/>
        <v>219.64885637308771</v>
      </c>
      <c r="Y566" s="288">
        <f t="shared" si="288"/>
        <v>284.74363041122012</v>
      </c>
      <c r="AA566" s="114"/>
      <c r="AB566" s="114"/>
      <c r="AC566" s="114"/>
      <c r="AD566" s="114"/>
      <c r="AE566" s="114"/>
      <c r="AF566" s="114"/>
      <c r="AG566" s="114"/>
      <c r="AH566" s="114"/>
      <c r="AI566" s="114"/>
      <c r="AJ566" s="114"/>
      <c r="AK566" s="114"/>
      <c r="AL566" s="114"/>
      <c r="AM566" s="114"/>
      <c r="AN566" s="114"/>
      <c r="BR566" s="180">
        <v>2026</v>
      </c>
      <c r="BS566" s="22">
        <v>12</v>
      </c>
      <c r="BT566" s="289">
        <f t="shared" si="299"/>
        <v>23.405233358404839</v>
      </c>
      <c r="BU566" s="290">
        <f t="shared" si="300"/>
        <v>192.144598299715</v>
      </c>
      <c r="BV566" s="205">
        <f t="shared" si="301"/>
        <v>215.54983165811984</v>
      </c>
      <c r="BY566" s="180">
        <v>2026</v>
      </c>
      <c r="BZ566" s="22">
        <v>12</v>
      </c>
      <c r="CA566" s="289">
        <f t="shared" ca="1" si="302"/>
        <v>-0.38345222331926854</v>
      </c>
      <c r="CB566" s="289">
        <f t="shared" ca="1" si="303"/>
        <v>24.427772620589554</v>
      </c>
      <c r="CC566" s="290">
        <f t="shared" ca="1" si="314"/>
        <v>191.67593447121368</v>
      </c>
      <c r="CD566" s="205">
        <f t="shared" ca="1" si="304"/>
        <v>215.72025486848398</v>
      </c>
      <c r="CG566" s="180">
        <v>2026</v>
      </c>
      <c r="CH566" s="22">
        <v>12</v>
      </c>
      <c r="CI566" s="289">
        <f t="shared" ca="1" si="305"/>
        <v>-0.18871617148649622</v>
      </c>
      <c r="CJ566" s="289">
        <f t="shared" ca="1" si="306"/>
        <v>0.37141246262673078</v>
      </c>
      <c r="CK566" s="289">
        <f t="shared" ca="1" si="307"/>
        <v>23.609740438354308</v>
      </c>
      <c r="CL566" s="290">
        <f t="shared" ca="1" si="308"/>
        <v>191.87198960492466</v>
      </c>
      <c r="CM566" s="205">
        <f t="shared" ca="1" si="309"/>
        <v>215.6644263344192</v>
      </c>
      <c r="CP566" s="180">
        <v>2026</v>
      </c>
      <c r="CQ566" s="22">
        <v>12</v>
      </c>
      <c r="CR566" s="289">
        <f t="shared" ca="1" si="310"/>
        <v>193.51082844891297</v>
      </c>
      <c r="CS566" s="290">
        <f t="shared" ca="1" si="311"/>
        <v>1.110995081152762</v>
      </c>
      <c r="CT566" s="205">
        <f t="shared" ca="1" si="312"/>
        <v>214.98957855653828</v>
      </c>
      <c r="CZ566" s="164" t="b">
        <f t="shared" si="289"/>
        <v>1</v>
      </c>
      <c r="DA566" s="165" t="b">
        <f t="shared" si="289"/>
        <v>1</v>
      </c>
      <c r="DB566" s="166" t="b">
        <f t="shared" si="289"/>
        <v>1</v>
      </c>
      <c r="DC566" s="164">
        <f t="shared" si="290"/>
        <v>14</v>
      </c>
      <c r="DD566" s="166">
        <f t="shared" si="291"/>
        <v>154.5540823349553</v>
      </c>
      <c r="DE566" s="164">
        <f t="shared" si="292"/>
        <v>14</v>
      </c>
      <c r="DF566" s="166">
        <f t="shared" si="293"/>
        <v>219.64885637308771</v>
      </c>
      <c r="DG566" s="164">
        <f t="shared" si="294"/>
        <v>14</v>
      </c>
      <c r="DH566" s="166">
        <f t="shared" si="295"/>
        <v>284.74363041122012</v>
      </c>
      <c r="DI566" s="164">
        <f>IFERROR(INDEX(DC$550:DC$598,_xlfn.AGGREGATE(15,6,(ROW(DC$550:DC$598)-ROW(DC$550)+1)/(DC$550:DC$598&lt;&gt;""),ROWS(DI$1:DI17))),"")</f>
        <v>17</v>
      </c>
      <c r="DJ566" s="165">
        <f>IFERROR(INDEX(DD$550:DD$598,_xlfn.AGGREGATE(15,6,(ROW(DD$550:DD$598)-ROW(DD$550)+1)/(DD$550:DD$598&lt;&gt;""),ROWS(DJ$1:DJ17))),"")</f>
        <v>158.14695694142597</v>
      </c>
      <c r="DK566" s="166">
        <f t="shared" si="296"/>
        <v>566</v>
      </c>
      <c r="DL566" s="164">
        <f>IFERROR(INDEX(DE$550:DE$598,_xlfn.AGGREGATE(15,6,(ROW(DE$550:DE$598)-ROW(DE$550)+1)/(DE$550:DE$598&lt;&gt;""),ROWS(DL$1:DL17))),"")</f>
        <v>17</v>
      </c>
      <c r="DM566" s="165">
        <f>IFERROR(INDEX(DF$550:DF$598,_xlfn.AGGREGATE(15,6,(ROW(DF$550:DF$598)-ROW(DF$550)+1)/(DF$550:DF$598&lt;&gt;""),ROWS(DM$1:DM17))),"")</f>
        <v>225.58423346104391</v>
      </c>
      <c r="DN566" s="166">
        <f t="shared" si="297"/>
        <v>566</v>
      </c>
      <c r="DO566" s="164">
        <f>IFERROR(INDEX(DG$550:DG$598,_xlfn.AGGREGATE(15,6,(ROW(DG$550:DG$598)-ROW(DG$550)+1)/(DG$550:DG$598&lt;&gt;""),ROWS(DO$1:DO17))),"")</f>
        <v>17</v>
      </c>
      <c r="DP566" s="165">
        <f>IFERROR(INDEX(DH$550:DH$598,_xlfn.AGGREGATE(15,6,(ROW(DH$550:DH$598)-ROW(DH$550)+1)/(DH$550:DH$598&lt;&gt;""),ROWS(DP$1:DP17))),"")</f>
        <v>293.02150998066185</v>
      </c>
      <c r="DQ566" s="166">
        <f t="shared" si="298"/>
        <v>566</v>
      </c>
      <c r="DR566" s="65"/>
      <c r="DV566" s="145">
        <v>2031</v>
      </c>
      <c r="DW566" s="235">
        <f t="shared" ca="1" si="282"/>
        <v>225.52797366914209</v>
      </c>
    </row>
    <row r="567" spans="1:135" ht="13.8" x14ac:dyDescent="0.45">
      <c r="A567" s="296" t="str">
        <f>$A$63</f>
        <v>Conservative Cases</v>
      </c>
      <c r="B567" s="128">
        <v>2029</v>
      </c>
      <c r="C567" s="291">
        <f>'Total MSW Summaries (Archive)'!K20</f>
        <v>159.47006436788209</v>
      </c>
      <c r="D567" s="307">
        <f>'Total MSW Summaries (Archive)'!AI20</f>
        <v>312.80000000000013</v>
      </c>
      <c r="E567" s="308">
        <f>'Total MSW Summaries (Archive)'!BG20</f>
        <v>192.62162162162167</v>
      </c>
      <c r="F567" s="293"/>
      <c r="G567" s="294"/>
      <c r="H567" s="292"/>
      <c r="I567" s="293"/>
      <c r="J567" s="294"/>
      <c r="K567" s="292"/>
      <c r="L567" s="293"/>
      <c r="M567" s="292"/>
      <c r="N567" s="29" t="s">
        <v>119</v>
      </c>
      <c r="O567" s="120"/>
      <c r="P567" s="120"/>
      <c r="Q567" s="120"/>
      <c r="R567" s="29">
        <v>15</v>
      </c>
      <c r="S567" s="288">
        <f t="shared" si="283"/>
        <v>159.47006436788209</v>
      </c>
      <c r="T567" s="288">
        <f t="shared" si="284"/>
        <v>312.80000000000013</v>
      </c>
      <c r="U567" s="288">
        <f t="shared" si="285"/>
        <v>65.871876935418328</v>
      </c>
      <c r="W567" s="288">
        <f t="shared" si="286"/>
        <v>155.75868506108299</v>
      </c>
      <c r="X567" s="288">
        <f t="shared" si="287"/>
        <v>221.63056199650131</v>
      </c>
      <c r="Y567" s="288">
        <f t="shared" si="288"/>
        <v>287.50243893191964</v>
      </c>
      <c r="AA567" s="89"/>
      <c r="AB567" s="89"/>
      <c r="AC567" s="89"/>
      <c r="AD567" s="89"/>
      <c r="AE567" s="89"/>
      <c r="AF567" s="89"/>
      <c r="AG567" s="89"/>
      <c r="AH567" s="89"/>
      <c r="AI567" s="89"/>
      <c r="AJ567" s="89"/>
      <c r="AK567" s="89"/>
      <c r="AL567" s="89"/>
      <c r="AM567" s="89"/>
      <c r="AN567" s="89"/>
      <c r="BR567" s="180">
        <v>2027</v>
      </c>
      <c r="BS567" s="22">
        <v>13</v>
      </c>
      <c r="BT567" s="289">
        <f t="shared" si="299"/>
        <v>25.355669471605243</v>
      </c>
      <c r="BU567" s="290">
        <f t="shared" si="300"/>
        <v>192.144598299715</v>
      </c>
      <c r="BV567" s="205">
        <f t="shared" si="301"/>
        <v>217.50026777132024</v>
      </c>
      <c r="BY567" s="180">
        <v>2027</v>
      </c>
      <c r="BZ567" s="22">
        <v>13</v>
      </c>
      <c r="CA567" s="289">
        <f t="shared" ca="1" si="302"/>
        <v>-0.4500237898677526</v>
      </c>
      <c r="CB567" s="289">
        <f t="shared" ca="1" si="303"/>
        <v>26.463420338972018</v>
      </c>
      <c r="CC567" s="290">
        <f t="shared" ca="1" si="314"/>
        <v>191.67593447121368</v>
      </c>
      <c r="CD567" s="205">
        <f t="shared" ca="1" si="304"/>
        <v>217.68933102031795</v>
      </c>
      <c r="CG567" s="180">
        <v>2027</v>
      </c>
      <c r="CH567" s="22">
        <v>13</v>
      </c>
      <c r="CI567" s="289">
        <f t="shared" ca="1" si="305"/>
        <v>-0.23993601201147699</v>
      </c>
      <c r="CJ567" s="289">
        <f t="shared" ca="1" si="306"/>
        <v>0.43589379294387154</v>
      </c>
      <c r="CK567" s="289">
        <f t="shared" ca="1" si="307"/>
        <v>25.577218808217168</v>
      </c>
      <c r="CL567" s="290">
        <f t="shared" ca="1" si="308"/>
        <v>191.87198960492466</v>
      </c>
      <c r="CM567" s="205">
        <f t="shared" ca="1" si="309"/>
        <v>217.64516619407422</v>
      </c>
      <c r="CP567" s="180">
        <v>2027</v>
      </c>
      <c r="CQ567" s="22">
        <v>13</v>
      </c>
      <c r="CR567" s="289">
        <f t="shared" ca="1" si="310"/>
        <v>193.51082844891297</v>
      </c>
      <c r="CS567" s="290">
        <f t="shared" ca="1" si="311"/>
        <v>1.1207828602656507</v>
      </c>
      <c r="CT567" s="205">
        <f t="shared" ca="1" si="312"/>
        <v>216.88361980134832</v>
      </c>
      <c r="CZ567" s="164" t="b">
        <f t="shared" si="289"/>
        <v>1</v>
      </c>
      <c r="DA567" s="165" t="b">
        <f t="shared" si="289"/>
        <v>1</v>
      </c>
      <c r="DB567" s="166" t="b">
        <f t="shared" si="289"/>
        <v>1</v>
      </c>
      <c r="DC567" s="164">
        <f t="shared" si="290"/>
        <v>15</v>
      </c>
      <c r="DD567" s="166">
        <f t="shared" si="291"/>
        <v>155.75868506108299</v>
      </c>
      <c r="DE567" s="164">
        <f t="shared" si="292"/>
        <v>15</v>
      </c>
      <c r="DF567" s="166">
        <f t="shared" si="293"/>
        <v>221.63056199650131</v>
      </c>
      <c r="DG567" s="164">
        <f t="shared" si="294"/>
        <v>15</v>
      </c>
      <c r="DH567" s="166">
        <f t="shared" si="295"/>
        <v>287.50243893191964</v>
      </c>
      <c r="DI567" s="164">
        <f>IFERROR(INDEX(DC$550:DC$598,_xlfn.AGGREGATE(15,6,(ROW(DC$550:DC$598)-ROW(DC$550)+1)/(DC$550:DC$598&lt;&gt;""),ROWS(DI$1:DI18))),"")</f>
        <v>18</v>
      </c>
      <c r="DJ567" s="165">
        <f>IFERROR(INDEX(DD$550:DD$598,_xlfn.AGGREGATE(15,6,(ROW(DD$550:DD$598)-ROW(DD$550)+1)/(DD$550:DD$598&lt;&gt;""),ROWS(DJ$1:DJ18))),"")</f>
        <v>159.25077120928438</v>
      </c>
      <c r="DK567" s="166">
        <f t="shared" si="296"/>
        <v>567</v>
      </c>
      <c r="DL567" s="164">
        <f>IFERROR(INDEX(DE$550:DE$598,_xlfn.AGGREGATE(15,6,(ROW(DE$550:DE$598)-ROW(DE$550)+1)/(DE$550:DE$598&lt;&gt;""),ROWS(DL$1:DL18))),"")</f>
        <v>18</v>
      </c>
      <c r="DM567" s="165">
        <f>IFERROR(INDEX(DF$550:DF$598,_xlfn.AGGREGATE(15,6,(ROW(DF$550:DF$598)-ROW(DF$550)+1)/(DF$550:DF$598&lt;&gt;""),ROWS(DM$1:DM18))),"")</f>
        <v>227.51486042883241</v>
      </c>
      <c r="DN567" s="166">
        <f t="shared" si="297"/>
        <v>567</v>
      </c>
      <c r="DO567" s="164">
        <f>IFERROR(INDEX(DG$550:DG$598,_xlfn.AGGREGATE(15,6,(ROW(DG$550:DG$598)-ROW(DG$550)+1)/(DG$550:DG$598&lt;&gt;""),ROWS(DO$1:DO18))),"")</f>
        <v>18</v>
      </c>
      <c r="DP567" s="165">
        <f>IFERROR(INDEX(DH$550:DH$598,_xlfn.AGGREGATE(15,6,(ROW(DH$550:DH$598)-ROW(DH$550)+1)/(DH$550:DH$598&lt;&gt;""),ROWS(DP$1:DP18))),"")</f>
        <v>295.77894964838043</v>
      </c>
      <c r="DQ567" s="166">
        <f t="shared" si="298"/>
        <v>567</v>
      </c>
      <c r="DR567" s="65"/>
      <c r="DV567" s="145">
        <v>2032</v>
      </c>
      <c r="DW567" s="235">
        <f t="shared" ca="1" si="282"/>
        <v>227.48536122459933</v>
      </c>
    </row>
    <row r="568" spans="1:135" ht="13.8" x14ac:dyDescent="0.45">
      <c r="A568" s="297" t="str">
        <f>$A$64</f>
        <v>Ambitious Cases</v>
      </c>
      <c r="B568" s="128">
        <v>2030</v>
      </c>
      <c r="C568" s="291">
        <f>'Total MSW Summaries (Archive)'!K21</f>
        <v>160.93409365917339</v>
      </c>
      <c r="D568" s="307">
        <f>'Total MSW Summaries (Archive)'!AI21</f>
        <v>315.92000000000013</v>
      </c>
      <c r="E568" s="308">
        <f>'Total MSW Summaries (Archive)'!BG21</f>
        <v>193.97297297297303</v>
      </c>
      <c r="F568" s="293"/>
      <c r="G568" s="294"/>
      <c r="H568" s="292"/>
      <c r="I568" s="293"/>
      <c r="J568" s="294"/>
      <c r="K568" s="292"/>
      <c r="L568" s="293"/>
      <c r="M568" s="292"/>
      <c r="N568" s="29" t="s">
        <v>119</v>
      </c>
      <c r="O568" s="120"/>
      <c r="P568" s="120"/>
      <c r="Q568" s="120"/>
      <c r="R568" s="29">
        <v>16</v>
      </c>
      <c r="S568" s="288">
        <f t="shared" si="283"/>
        <v>160.93409365917339</v>
      </c>
      <c r="T568" s="288">
        <f t="shared" si="284"/>
        <v>315.92000000000013</v>
      </c>
      <c r="U568" s="288">
        <f t="shared" si="285"/>
        <v>66.65272863575963</v>
      </c>
      <c r="W568" s="288">
        <f t="shared" si="286"/>
        <v>156.95629357495585</v>
      </c>
      <c r="X568" s="288">
        <f t="shared" si="287"/>
        <v>223.60902221071549</v>
      </c>
      <c r="Y568" s="288">
        <f t="shared" si="288"/>
        <v>290.26175084647514</v>
      </c>
      <c r="AA568" s="89"/>
      <c r="AB568" s="89"/>
      <c r="AC568" s="89"/>
      <c r="AD568" s="89"/>
      <c r="AE568" s="89"/>
      <c r="AF568" s="89"/>
      <c r="AG568" s="89"/>
      <c r="AH568" s="89"/>
      <c r="AI568" s="89"/>
      <c r="AJ568" s="89"/>
      <c r="AK568" s="89"/>
      <c r="AL568" s="89"/>
      <c r="AM568" s="89"/>
      <c r="AN568" s="89"/>
      <c r="BR568" s="180">
        <v>2028</v>
      </c>
      <c r="BS568" s="22">
        <v>14</v>
      </c>
      <c r="BT568" s="289">
        <f t="shared" si="299"/>
        <v>27.306105584805646</v>
      </c>
      <c r="BU568" s="290">
        <f t="shared" si="300"/>
        <v>192.144598299715</v>
      </c>
      <c r="BV568" s="205">
        <f t="shared" si="301"/>
        <v>219.45070388452064</v>
      </c>
      <c r="BY568" s="180">
        <v>2028</v>
      </c>
      <c r="BZ568" s="22">
        <v>14</v>
      </c>
      <c r="CA568" s="289">
        <f t="shared" ca="1" si="302"/>
        <v>-0.52192108174011542</v>
      </c>
      <c r="CB568" s="289">
        <f t="shared" ca="1" si="303"/>
        <v>28.499068057354478</v>
      </c>
      <c r="CC568" s="290">
        <f t="shared" ca="1" si="314"/>
        <v>191.67593447121368</v>
      </c>
      <c r="CD568" s="205">
        <f t="shared" ca="1" si="304"/>
        <v>219.65308144682805</v>
      </c>
      <c r="CG568" s="180">
        <v>2028</v>
      </c>
      <c r="CH568" s="22">
        <v>14</v>
      </c>
      <c r="CI568" s="289">
        <f t="shared" ca="1" si="305"/>
        <v>-0.29967429083272318</v>
      </c>
      <c r="CJ568" s="289">
        <f t="shared" ca="1" si="306"/>
        <v>0.5055336296863836</v>
      </c>
      <c r="CK568" s="289">
        <f t="shared" ca="1" si="307"/>
        <v>27.544697178080028</v>
      </c>
      <c r="CL568" s="290">
        <f t="shared" ca="1" si="308"/>
        <v>191.87198960492466</v>
      </c>
      <c r="CM568" s="205">
        <f t="shared" ca="1" si="309"/>
        <v>219.62254612185836</v>
      </c>
      <c r="CP568" s="180">
        <v>2028</v>
      </c>
      <c r="CQ568" s="22">
        <v>14</v>
      </c>
      <c r="CR568" s="289">
        <f t="shared" ca="1" si="310"/>
        <v>193.51082844891297</v>
      </c>
      <c r="CS568" s="290">
        <f t="shared" ca="1" si="311"/>
        <v>1.1306568689411969</v>
      </c>
      <c r="CT568" s="205">
        <f t="shared" ca="1" si="312"/>
        <v>218.79434740026502</v>
      </c>
      <c r="CZ568" s="164" t="b">
        <f t="shared" si="289"/>
        <v>1</v>
      </c>
      <c r="DA568" s="165" t="b">
        <f t="shared" si="289"/>
        <v>1</v>
      </c>
      <c r="DB568" s="166" t="b">
        <f t="shared" si="289"/>
        <v>1</v>
      </c>
      <c r="DC568" s="164">
        <f t="shared" si="290"/>
        <v>16</v>
      </c>
      <c r="DD568" s="166">
        <f t="shared" si="291"/>
        <v>156.95629357495585</v>
      </c>
      <c r="DE568" s="164">
        <f t="shared" si="292"/>
        <v>16</v>
      </c>
      <c r="DF568" s="166">
        <f t="shared" si="293"/>
        <v>223.60902221071549</v>
      </c>
      <c r="DG568" s="164">
        <f t="shared" si="294"/>
        <v>16</v>
      </c>
      <c r="DH568" s="166">
        <f t="shared" si="295"/>
        <v>290.26175084647514</v>
      </c>
      <c r="DI568" s="164">
        <f>IFERROR(INDEX(DC$550:DC$598,_xlfn.AGGREGATE(15,6,(ROW(DC$550:DC$598)-ROW(DC$550)+1)/(DC$550:DC$598&lt;&gt;""),ROWS(DI$1:DI19))),"")</f>
        <v>19</v>
      </c>
      <c r="DJ568" s="165">
        <f>IFERROR(INDEX(DD$550:DD$598,_xlfn.AGGREGATE(15,6,(ROW(DD$550:DD$598)-ROW(DD$550)+1)/(DD$550:DD$598&lt;&gt;""),ROWS(DJ$1:DJ19))),"")</f>
        <v>160.34851265455256</v>
      </c>
      <c r="DK568" s="166">
        <f t="shared" si="296"/>
        <v>568</v>
      </c>
      <c r="DL568" s="164">
        <f>IFERROR(INDEX(DE$550:DE$598,_xlfn.AGGREGATE(15,6,(ROW(DE$550:DE$598)-ROW(DE$550)+1)/(DE$550:DE$598&lt;&gt;""),ROWS(DL$1:DL19))),"")</f>
        <v>19</v>
      </c>
      <c r="DM568" s="165">
        <f>IFERROR(INDEX(DF$550:DF$598,_xlfn.AGGREGATE(15,6,(ROW(DF$550:DF$598)-ROW(DF$550)+1)/(DF$550:DF$598&lt;&gt;""),ROWS(DM$1:DM19))),"")</f>
        <v>229.44252328404801</v>
      </c>
      <c r="DN568" s="166">
        <f t="shared" si="297"/>
        <v>568</v>
      </c>
      <c r="DO568" s="164">
        <f>IFERROR(INDEX(DG$550:DG$598,_xlfn.AGGREGATE(15,6,(ROW(DG$550:DG$598)-ROW(DG$550)+1)/(DG$550:DG$598&lt;&gt;""),ROWS(DO$1:DO19))),"")</f>
        <v>19</v>
      </c>
      <c r="DP568" s="165">
        <f>IFERROR(INDEX(DH$550:DH$598,_xlfn.AGGREGATE(15,6,(ROW(DH$550:DH$598)-ROW(DH$550)+1)/(DH$550:DH$598&lt;&gt;""),ROWS(DP$1:DP19))),"")</f>
        <v>298.53653391354345</v>
      </c>
      <c r="DQ568" s="166">
        <f t="shared" si="298"/>
        <v>568</v>
      </c>
      <c r="DR568" s="65"/>
      <c r="DV568" s="145">
        <v>2033</v>
      </c>
      <c r="DW568" s="235">
        <f t="shared" ca="1" si="282"/>
        <v>229.43611252576409</v>
      </c>
    </row>
    <row r="569" spans="1:135" ht="13.8" x14ac:dyDescent="0.45">
      <c r="A569" s="298" t="str">
        <f>$A$65</f>
        <v>Maximum Cases</v>
      </c>
      <c r="B569" s="128">
        <v>2031</v>
      </c>
      <c r="C569" s="291">
        <f>'Total MSW Summaries (Archive)'!K22</f>
        <v>162.38837605880721</v>
      </c>
      <c r="D569" s="307">
        <f>'Total MSW Summaries (Archive)'!AI22</f>
        <v>319.04000000000013</v>
      </c>
      <c r="E569" s="308">
        <f>'Total MSW Summaries (Archive)'!BG22</f>
        <v>195.32432432432438</v>
      </c>
      <c r="F569" s="293"/>
      <c r="G569" s="294"/>
      <c r="H569" s="292"/>
      <c r="I569" s="293"/>
      <c r="J569" s="294"/>
      <c r="K569" s="292"/>
      <c r="L569" s="293"/>
      <c r="M569" s="292"/>
      <c r="N569" s="29" t="s">
        <v>119</v>
      </c>
      <c r="O569" s="120"/>
      <c r="P569" s="120"/>
      <c r="Q569" s="120"/>
      <c r="R569" s="29">
        <v>17</v>
      </c>
      <c r="S569" s="288">
        <f t="shared" si="283"/>
        <v>162.38837605880721</v>
      </c>
      <c r="T569" s="288">
        <f t="shared" si="284"/>
        <v>319.04000000000013</v>
      </c>
      <c r="U569" s="288">
        <f t="shared" si="285"/>
        <v>67.437276519617953</v>
      </c>
      <c r="W569" s="288">
        <f t="shared" si="286"/>
        <v>158.14695694142597</v>
      </c>
      <c r="X569" s="288">
        <f t="shared" si="287"/>
        <v>225.58423346104391</v>
      </c>
      <c r="Y569" s="288">
        <f t="shared" si="288"/>
        <v>293.02150998066185</v>
      </c>
      <c r="AA569" s="89"/>
      <c r="AB569" s="89"/>
      <c r="AC569" s="89"/>
      <c r="AD569" s="89"/>
      <c r="AE569" s="89"/>
      <c r="AF569" s="89"/>
      <c r="AG569" s="89"/>
      <c r="AH569" s="89"/>
      <c r="AI569" s="89"/>
      <c r="AJ569" s="89"/>
      <c r="AK569" s="89"/>
      <c r="AL569" s="89"/>
      <c r="AM569" s="89"/>
      <c r="AN569" s="89"/>
      <c r="BR569" s="180">
        <v>2029</v>
      </c>
      <c r="BS569" s="22">
        <v>15</v>
      </c>
      <c r="BT569" s="289">
        <f t="shared" si="299"/>
        <v>29.25654169800605</v>
      </c>
      <c r="BU569" s="290">
        <f t="shared" si="300"/>
        <v>192.144598299715</v>
      </c>
      <c r="BV569" s="205">
        <f t="shared" si="301"/>
        <v>221.40113999772106</v>
      </c>
      <c r="BY569" s="180">
        <v>2029</v>
      </c>
      <c r="BZ569" s="22">
        <v>15</v>
      </c>
      <c r="CA569" s="289">
        <f t="shared" ca="1" si="302"/>
        <v>-0.59914409893635701</v>
      </c>
      <c r="CB569" s="289">
        <f t="shared" ca="1" si="303"/>
        <v>30.534715775736942</v>
      </c>
      <c r="CC569" s="290">
        <f t="shared" ca="1" si="314"/>
        <v>191.67593447121368</v>
      </c>
      <c r="CD569" s="205">
        <f t="shared" ca="1" si="304"/>
        <v>221.61150614801426</v>
      </c>
      <c r="CG569" s="180">
        <v>2029</v>
      </c>
      <c r="CH569" s="22">
        <v>15</v>
      </c>
      <c r="CI569" s="289">
        <f t="shared" ca="1" si="305"/>
        <v>-0.36858627243456293</v>
      </c>
      <c r="CJ569" s="289">
        <f t="shared" ca="1" si="306"/>
        <v>0.58033197285426685</v>
      </c>
      <c r="CK569" s="289">
        <f t="shared" ca="1" si="307"/>
        <v>29.512175547942885</v>
      </c>
      <c r="CL569" s="290">
        <f t="shared" ca="1" si="308"/>
        <v>191.87198960492466</v>
      </c>
      <c r="CM569" s="205">
        <f t="shared" ca="1" si="309"/>
        <v>221.59591085328725</v>
      </c>
      <c r="CP569" s="180">
        <v>2029</v>
      </c>
      <c r="CQ569" s="22">
        <v>15</v>
      </c>
      <c r="CR569" s="289">
        <f t="shared" ca="1" si="310"/>
        <v>193.51082844891297</v>
      </c>
      <c r="CS569" s="290">
        <f t="shared" ca="1" si="311"/>
        <v>1.1406178668550528</v>
      </c>
      <c r="CT569" s="205">
        <f t="shared" ca="1" si="312"/>
        <v>220.72190835875318</v>
      </c>
      <c r="CZ569" s="164" t="b">
        <f t="shared" si="289"/>
        <v>1</v>
      </c>
      <c r="DA569" s="165" t="b">
        <f t="shared" si="289"/>
        <v>1</v>
      </c>
      <c r="DB569" s="166" t="b">
        <f t="shared" si="289"/>
        <v>1</v>
      </c>
      <c r="DC569" s="164">
        <f t="shared" si="290"/>
        <v>17</v>
      </c>
      <c r="DD569" s="166">
        <f t="shared" si="291"/>
        <v>158.14695694142597</v>
      </c>
      <c r="DE569" s="164">
        <f t="shared" si="292"/>
        <v>17</v>
      </c>
      <c r="DF569" s="166">
        <f t="shared" si="293"/>
        <v>225.58423346104391</v>
      </c>
      <c r="DG569" s="164">
        <f t="shared" si="294"/>
        <v>17</v>
      </c>
      <c r="DH569" s="166">
        <f t="shared" si="295"/>
        <v>293.02150998066185</v>
      </c>
      <c r="DI569" s="164">
        <f>IFERROR(INDEX(DC$550:DC$598,_xlfn.AGGREGATE(15,6,(ROW(DC$550:DC$598)-ROW(DC$550)+1)/(DC$550:DC$598&lt;&gt;""),ROWS(DI$1:DI20))),"")</f>
        <v>20</v>
      </c>
      <c r="DJ569" s="165">
        <f>IFERROR(INDEX(DD$550:DD$598,_xlfn.AGGREGATE(15,6,(ROW(DD$550:DD$598)-ROW(DD$550)+1)/(DD$550:DD$598&lt;&gt;""),ROWS(DJ$1:DJ20))),"")</f>
        <v>161.44000640786385</v>
      </c>
      <c r="DK569" s="166">
        <f t="shared" si="296"/>
        <v>569</v>
      </c>
      <c r="DL569" s="164">
        <f>IFERROR(INDEX(DE$550:DE$598,_xlfn.AGGREGATE(15,6,(ROW(DE$550:DE$598)-ROW(DE$550)+1)/(DE$550:DE$598&lt;&gt;""),ROWS(DL$1:DL20))),"")</f>
        <v>20</v>
      </c>
      <c r="DM569" s="165">
        <f>IFERROR(INDEX(DF$550:DF$598,_xlfn.AGGREGATE(15,6,(ROW(DF$550:DF$598)-ROW(DF$550)+1)/(DF$550:DF$598&lt;&gt;""),ROWS(DM$1:DM20))),"")</f>
        <v>231.36711466927531</v>
      </c>
      <c r="DN569" s="166">
        <f t="shared" si="297"/>
        <v>569</v>
      </c>
      <c r="DO569" s="164">
        <f>IFERROR(INDEX(DG$550:DG$598,_xlfn.AGGREGATE(15,6,(ROW(DG$550:DG$598)-ROW(DG$550)+1)/(DG$550:DG$598&lt;&gt;""),ROWS(DO$1:DO20))),"")</f>
        <v>20</v>
      </c>
      <c r="DP569" s="165">
        <f>IFERROR(INDEX(DH$550:DH$598,_xlfn.AGGREGATE(15,6,(ROW(DH$550:DH$598)-ROW(DH$550)+1)/(DH$550:DH$598&lt;&gt;""),ROWS(DP$1:DP20))),"")</f>
        <v>301.29422293068677</v>
      </c>
      <c r="DQ569" s="166">
        <f t="shared" si="298"/>
        <v>569</v>
      </c>
      <c r="DR569" s="65"/>
      <c r="DV569" s="145">
        <v>2034</v>
      </c>
      <c r="DW569" s="235">
        <f t="shared" ca="1" si="282"/>
        <v>231.37957230815195</v>
      </c>
    </row>
    <row r="570" spans="1:135" ht="13.8" x14ac:dyDescent="0.45">
      <c r="B570" s="128">
        <v>2032</v>
      </c>
      <c r="C570" s="291">
        <f>'Total MSW Summaries (Archive)'!K23</f>
        <v>163.70890561082132</v>
      </c>
      <c r="D570" s="307">
        <f>'Total MSW Summaries (Archive)'!AI23</f>
        <v>322.16000000000014</v>
      </c>
      <c r="E570" s="308">
        <f>'Total MSW Summaries (Archive)'!BG23</f>
        <v>196.67567567567573</v>
      </c>
      <c r="F570" s="293"/>
      <c r="G570" s="294"/>
      <c r="H570" s="292"/>
      <c r="I570" s="293"/>
      <c r="J570" s="294"/>
      <c r="K570" s="292"/>
      <c r="L570" s="293"/>
      <c r="M570" s="292"/>
      <c r="N570" s="29" t="s">
        <v>119</v>
      </c>
      <c r="O570" s="120"/>
      <c r="P570" s="120"/>
      <c r="Q570" s="120"/>
      <c r="R570" s="29">
        <v>18</v>
      </c>
      <c r="S570" s="288">
        <f t="shared" si="283"/>
        <v>163.70890561082132</v>
      </c>
      <c r="T570" s="288">
        <f t="shared" si="284"/>
        <v>322.16000000000014</v>
      </c>
      <c r="U570" s="288">
        <f t="shared" si="285"/>
        <v>68.264089219548012</v>
      </c>
      <c r="W570" s="288">
        <f t="shared" si="286"/>
        <v>159.25077120928438</v>
      </c>
      <c r="X570" s="288">
        <f t="shared" si="287"/>
        <v>227.51486042883241</v>
      </c>
      <c r="Y570" s="288">
        <f t="shared" si="288"/>
        <v>295.77894964838043</v>
      </c>
      <c r="AA570" s="89"/>
      <c r="AB570" s="89"/>
      <c r="AC570" s="89"/>
      <c r="AD570" s="89"/>
      <c r="AE570" s="89"/>
      <c r="AF570" s="89"/>
      <c r="AG570" s="89"/>
      <c r="AH570" s="89"/>
      <c r="AI570" s="89"/>
      <c r="AJ570" s="89"/>
      <c r="AK570" s="89"/>
      <c r="AL570" s="89"/>
      <c r="AM570" s="89"/>
      <c r="AN570" s="89"/>
      <c r="BR570" s="180">
        <v>2030</v>
      </c>
      <c r="BS570" s="22">
        <v>16</v>
      </c>
      <c r="BT570" s="289">
        <f t="shared" si="299"/>
        <v>31.206977811206453</v>
      </c>
      <c r="BU570" s="290">
        <f t="shared" si="300"/>
        <v>192.144598299715</v>
      </c>
      <c r="BV570" s="205">
        <f t="shared" si="301"/>
        <v>223.35157611092146</v>
      </c>
      <c r="BY570" s="180">
        <v>2030</v>
      </c>
      <c r="BZ570" s="22">
        <v>16</v>
      </c>
      <c r="CA570" s="289">
        <f t="shared" ca="1" si="302"/>
        <v>-0.68169284145647735</v>
      </c>
      <c r="CB570" s="289">
        <f t="shared" ca="1" si="303"/>
        <v>32.570363494119405</v>
      </c>
      <c r="CC570" s="290">
        <f t="shared" ca="1" si="314"/>
        <v>191.67593447121368</v>
      </c>
      <c r="CD570" s="205">
        <f t="shared" ca="1" si="304"/>
        <v>223.56460512387662</v>
      </c>
      <c r="CG570" s="180">
        <v>2030</v>
      </c>
      <c r="CH570" s="22">
        <v>16</v>
      </c>
      <c r="CI570" s="289">
        <f t="shared" ca="1" si="305"/>
        <v>-0.44732722130132441</v>
      </c>
      <c r="CJ570" s="289">
        <f t="shared" ca="1" si="306"/>
        <v>0.66028882244752141</v>
      </c>
      <c r="CK570" s="289">
        <f t="shared" ca="1" si="307"/>
        <v>31.479653917805745</v>
      </c>
      <c r="CL570" s="290">
        <f t="shared" ca="1" si="308"/>
        <v>191.87198960492466</v>
      </c>
      <c r="CM570" s="205">
        <f t="shared" ca="1" si="309"/>
        <v>223.56460512387662</v>
      </c>
      <c r="CP570" s="180">
        <v>2030</v>
      </c>
      <c r="CQ570" s="22">
        <v>16</v>
      </c>
      <c r="CR570" s="289">
        <f t="shared" ca="1" si="310"/>
        <v>193.51082844891297</v>
      </c>
      <c r="CS570" s="290">
        <f t="shared" ca="1" si="311"/>
        <v>1.1506666203755522</v>
      </c>
      <c r="CT570" s="205">
        <f t="shared" ca="1" si="312"/>
        <v>222.66645097738396</v>
      </c>
      <c r="CZ570" s="164" t="b">
        <f t="shared" si="289"/>
        <v>1</v>
      </c>
      <c r="DA570" s="165" t="b">
        <f t="shared" si="289"/>
        <v>1</v>
      </c>
      <c r="DB570" s="166" t="b">
        <f t="shared" si="289"/>
        <v>1</v>
      </c>
      <c r="DC570" s="164">
        <f t="shared" si="290"/>
        <v>18</v>
      </c>
      <c r="DD570" s="166">
        <f t="shared" si="291"/>
        <v>159.25077120928438</v>
      </c>
      <c r="DE570" s="164">
        <f t="shared" si="292"/>
        <v>18</v>
      </c>
      <c r="DF570" s="166">
        <f t="shared" si="293"/>
        <v>227.51486042883241</v>
      </c>
      <c r="DG570" s="164">
        <f t="shared" si="294"/>
        <v>18</v>
      </c>
      <c r="DH570" s="166">
        <f t="shared" si="295"/>
        <v>295.77894964838043</v>
      </c>
      <c r="DI570" s="164">
        <f>IFERROR(INDEX(DC$550:DC$598,_xlfn.AGGREGATE(15,6,(ROW(DC$550:DC$598)-ROW(DC$550)+1)/(DC$550:DC$598&lt;&gt;""),ROWS(DI$1:DI21))),"")</f>
        <v>21</v>
      </c>
      <c r="DJ570" s="165">
        <f>IFERROR(INDEX(DD$550:DD$598,_xlfn.AGGREGATE(15,6,(ROW(DD$550:DD$598)-ROW(DD$550)+1)/(DD$550:DD$598&lt;&gt;""),ROWS(DJ$1:DJ21))),"")</f>
        <v>162.52508349975008</v>
      </c>
      <c r="DK570" s="166">
        <f t="shared" si="296"/>
        <v>570</v>
      </c>
      <c r="DL570" s="164">
        <f>IFERROR(INDEX(DE$550:DE$598,_xlfn.AGGREGATE(15,6,(ROW(DE$550:DE$598)-ROW(DE$550)+1)/(DE$550:DE$598&lt;&gt;""),ROWS(DL$1:DL21))),"")</f>
        <v>21</v>
      </c>
      <c r="DM570" s="165">
        <f>IFERROR(INDEX(DF$550:DF$598,_xlfn.AGGREGATE(15,6,(ROW(DF$550:DF$598)-ROW(DF$550)+1)/(DF$550:DF$598&lt;&gt;""),ROWS(DM$1:DM21))),"")</f>
        <v>233.2885307830885</v>
      </c>
      <c r="DN570" s="166">
        <f t="shared" si="297"/>
        <v>570</v>
      </c>
      <c r="DO570" s="164">
        <f>IFERROR(INDEX(DG$550:DG$598,_xlfn.AGGREGATE(15,6,(ROW(DG$550:DG$598)-ROW(DG$550)+1)/(DG$550:DG$598&lt;&gt;""),ROWS(DO$1:DO21))),"")</f>
        <v>21</v>
      </c>
      <c r="DP570" s="165">
        <f>IFERROR(INDEX(DH$550:DH$598,_xlfn.AGGREGATE(15,6,(ROW(DH$550:DH$598)-ROW(DH$550)+1)/(DH$550:DH$598&lt;&gt;""),ROWS(DP$1:DP21))),"")</f>
        <v>304.05197806642695</v>
      </c>
      <c r="DQ570" s="166">
        <f t="shared" si="298"/>
        <v>570</v>
      </c>
      <c r="DR570" s="65"/>
      <c r="DV570" s="145">
        <v>2035</v>
      </c>
      <c r="DW570" s="235">
        <f t="shared" ca="1" si="282"/>
        <v>233.31508530727862</v>
      </c>
    </row>
    <row r="571" spans="1:135" ht="13.8" x14ac:dyDescent="0.45">
      <c r="B571" s="128">
        <v>2033</v>
      </c>
      <c r="C571" s="291">
        <f>'Total MSW Summaries (Archive)'!K24</f>
        <v>165.02054282511688</v>
      </c>
      <c r="D571" s="307">
        <f>'Total MSW Summaries (Archive)'!AI24</f>
        <v>325.28000000000014</v>
      </c>
      <c r="E571" s="308">
        <f>'Total MSW Summaries (Archive)'!BG24</f>
        <v>198.02702702702709</v>
      </c>
      <c r="F571" s="293"/>
      <c r="G571" s="294"/>
      <c r="H571" s="292"/>
      <c r="I571" s="293"/>
      <c r="J571" s="294"/>
      <c r="K571" s="292"/>
      <c r="L571" s="293"/>
      <c r="M571" s="292"/>
      <c r="N571" s="29" t="s">
        <v>119</v>
      </c>
      <c r="O571" s="120"/>
      <c r="P571" s="120"/>
      <c r="Q571" s="120"/>
      <c r="R571" s="29">
        <v>19</v>
      </c>
      <c r="S571" s="288">
        <f t="shared" si="283"/>
        <v>165.02054282511688</v>
      </c>
      <c r="T571" s="288">
        <f t="shared" si="284"/>
        <v>325.28000000000014</v>
      </c>
      <c r="U571" s="288">
        <f t="shared" si="285"/>
        <v>69.094010629495457</v>
      </c>
      <c r="W571" s="288">
        <f t="shared" si="286"/>
        <v>160.34851265455256</v>
      </c>
      <c r="X571" s="288">
        <f t="shared" si="287"/>
        <v>229.44252328404801</v>
      </c>
      <c r="Y571" s="288">
        <f t="shared" si="288"/>
        <v>298.53653391354345</v>
      </c>
      <c r="AA571" s="89"/>
      <c r="AB571" s="89"/>
      <c r="AC571" s="89"/>
      <c r="AD571" s="89"/>
      <c r="AE571" s="89"/>
      <c r="AF571" s="89"/>
      <c r="AG571" s="89"/>
      <c r="AH571" s="89"/>
      <c r="AI571" s="89"/>
      <c r="AJ571" s="89"/>
      <c r="AK571" s="89"/>
      <c r="AL571" s="89"/>
      <c r="AM571" s="89"/>
      <c r="AN571" s="89"/>
      <c r="BR571" s="180">
        <v>2031</v>
      </c>
      <c r="BS571" s="22">
        <v>17</v>
      </c>
      <c r="BT571" s="289">
        <f t="shared" si="299"/>
        <v>33.157413924406853</v>
      </c>
      <c r="BU571" s="290">
        <f t="shared" si="300"/>
        <v>192.144598299715</v>
      </c>
      <c r="BV571" s="205">
        <f t="shared" si="301"/>
        <v>225.30201222412185</v>
      </c>
      <c r="BY571" s="180">
        <v>2031</v>
      </c>
      <c r="BZ571" s="22">
        <v>17</v>
      </c>
      <c r="CA571" s="289">
        <f t="shared" ca="1" si="302"/>
        <v>-0.76956730930047634</v>
      </c>
      <c r="CB571" s="289">
        <f t="shared" ca="1" si="303"/>
        <v>34.606011212501869</v>
      </c>
      <c r="CC571" s="290">
        <f t="shared" ca="1" si="314"/>
        <v>191.67593447121368</v>
      </c>
      <c r="CD571" s="205">
        <f t="shared" ca="1" si="304"/>
        <v>225.51237837441508</v>
      </c>
      <c r="CG571" s="180">
        <v>2031</v>
      </c>
      <c r="CH571" s="22">
        <v>17</v>
      </c>
      <c r="CI571" s="289">
        <f t="shared" ca="1" si="305"/>
        <v>-0.53655240191733566</v>
      </c>
      <c r="CJ571" s="289">
        <f t="shared" ca="1" si="306"/>
        <v>0.74540417846614726</v>
      </c>
      <c r="CK571" s="289">
        <f t="shared" ca="1" si="307"/>
        <v>33.447132287668602</v>
      </c>
      <c r="CL571" s="290">
        <f t="shared" ca="1" si="308"/>
        <v>191.87198960492466</v>
      </c>
      <c r="CM571" s="205">
        <f t="shared" ca="1" si="309"/>
        <v>225.52797366914209</v>
      </c>
      <c r="CP571" s="180">
        <v>2031</v>
      </c>
      <c r="CQ571" s="22">
        <v>17</v>
      </c>
      <c r="CR571" s="289">
        <f t="shared" ca="1" si="310"/>
        <v>193.51082844891297</v>
      </c>
      <c r="CS571" s="290">
        <f t="shared" ca="1" si="311"/>
        <v>1.1608039026226744</v>
      </c>
      <c r="CT571" s="205">
        <f t="shared" ca="1" si="312"/>
        <v>224.62812486324503</v>
      </c>
      <c r="CZ571" s="164" t="b">
        <f t="shared" si="289"/>
        <v>1</v>
      </c>
      <c r="DA571" s="165" t="b">
        <f t="shared" si="289"/>
        <v>1</v>
      </c>
      <c r="DB571" s="166" t="b">
        <f t="shared" si="289"/>
        <v>1</v>
      </c>
      <c r="DC571" s="164">
        <f t="shared" si="290"/>
        <v>19</v>
      </c>
      <c r="DD571" s="166">
        <f t="shared" si="291"/>
        <v>160.34851265455256</v>
      </c>
      <c r="DE571" s="164">
        <f t="shared" si="292"/>
        <v>19</v>
      </c>
      <c r="DF571" s="166">
        <f t="shared" si="293"/>
        <v>229.44252328404801</v>
      </c>
      <c r="DG571" s="164">
        <f t="shared" si="294"/>
        <v>19</v>
      </c>
      <c r="DH571" s="166">
        <f t="shared" si="295"/>
        <v>298.53653391354345</v>
      </c>
      <c r="DI571" s="164">
        <f>IFERROR(INDEX(DC$550:DC$598,_xlfn.AGGREGATE(15,6,(ROW(DC$550:DC$598)-ROW(DC$550)+1)/(DC$550:DC$598&lt;&gt;""),ROWS(DI$1:DI22))),"")</f>
        <v>22</v>
      </c>
      <c r="DJ571" s="165">
        <f>IFERROR(INDEX(DD$550:DD$598,_xlfn.AGGREGATE(15,6,(ROW(DD$550:DD$598)-ROW(DD$550)+1)/(DD$550:DD$598&lt;&gt;""),ROWS(DJ$1:DJ22))),"")</f>
        <v>163.60359296964839</v>
      </c>
      <c r="DK571" s="166">
        <f t="shared" si="296"/>
        <v>571</v>
      </c>
      <c r="DL571" s="164">
        <f>IFERROR(INDEX(DE$550:DE$598,_xlfn.AGGREGATE(15,6,(ROW(DE$550:DE$598)-ROW(DE$550)+1)/(DE$550:DE$598&lt;&gt;""),ROWS(DL$1:DL22))),"")</f>
        <v>22</v>
      </c>
      <c r="DM571" s="165">
        <f>IFERROR(INDEX(DF$550:DF$598,_xlfn.AGGREGATE(15,6,(ROW(DF$550:DF$598)-ROW(DF$550)+1)/(DF$550:DF$598&lt;&gt;""),ROWS(DM$1:DM22))),"")</f>
        <v>235.20667768944591</v>
      </c>
      <c r="DN571" s="166">
        <f t="shared" si="297"/>
        <v>571</v>
      </c>
      <c r="DO571" s="164">
        <f>IFERROR(INDEX(DG$550:DG$598,_xlfn.AGGREGATE(15,6,(ROW(DG$550:DG$598)-ROW(DG$550)+1)/(DG$550:DG$598&lt;&gt;""),ROWS(DO$1:DO22))),"")</f>
        <v>22</v>
      </c>
      <c r="DP571" s="165">
        <f>IFERROR(INDEX(DH$550:DH$598,_xlfn.AGGREGATE(15,6,(ROW(DH$550:DH$598)-ROW(DH$550)+1)/(DH$550:DH$598&lt;&gt;""),ROWS(DP$1:DP22))),"")</f>
        <v>306.80976240924343</v>
      </c>
      <c r="DQ571" s="166">
        <f t="shared" si="298"/>
        <v>571</v>
      </c>
      <c r="DR571" s="65"/>
      <c r="DV571" s="145">
        <v>2036</v>
      </c>
      <c r="DW571" s="235">
        <f t="shared" ca="1" si="282"/>
        <v>235.24199625865978</v>
      </c>
    </row>
    <row r="572" spans="1:135" ht="13.8" x14ac:dyDescent="0.45">
      <c r="B572" s="128">
        <v>2034</v>
      </c>
      <c r="C572" s="291">
        <f>'Total MSW Summaries (Archive)'!K25</f>
        <v>166.32296562944731</v>
      </c>
      <c r="D572" s="307">
        <f>'Total MSW Summaries (Archive)'!AI25</f>
        <v>328.40000000000015</v>
      </c>
      <c r="E572" s="308">
        <f>'Total MSW Summaries (Archive)'!BG25</f>
        <v>199.37837837837844</v>
      </c>
      <c r="F572" s="293"/>
      <c r="G572" s="294"/>
      <c r="H572" s="292"/>
      <c r="I572" s="293"/>
      <c r="J572" s="294"/>
      <c r="K572" s="292"/>
      <c r="L572" s="293"/>
      <c r="M572" s="292"/>
      <c r="N572" s="29" t="s">
        <v>119</v>
      </c>
      <c r="O572" s="120"/>
      <c r="P572" s="120"/>
      <c r="Q572" s="120"/>
      <c r="R572" s="29">
        <v>20</v>
      </c>
      <c r="S572" s="288">
        <f t="shared" si="283"/>
        <v>166.32296562944731</v>
      </c>
      <c r="T572" s="288">
        <f t="shared" si="284"/>
        <v>328.40000000000015</v>
      </c>
      <c r="U572" s="288">
        <f t="shared" si="285"/>
        <v>69.927108261411462</v>
      </c>
      <c r="W572" s="288">
        <f t="shared" si="286"/>
        <v>161.44000640786385</v>
      </c>
      <c r="X572" s="288">
        <f t="shared" si="287"/>
        <v>231.36711466927531</v>
      </c>
      <c r="Y572" s="288">
        <f t="shared" si="288"/>
        <v>301.29422293068677</v>
      </c>
      <c r="AA572" s="89"/>
      <c r="AB572" s="89"/>
      <c r="AC572" s="89"/>
      <c r="AD572" s="89"/>
      <c r="AE572" s="89"/>
      <c r="AF572" s="89"/>
      <c r="AG572" s="89"/>
      <c r="AH572" s="89"/>
      <c r="AI572" s="89"/>
      <c r="AJ572" s="89"/>
      <c r="AK572" s="89"/>
      <c r="AL572" s="89"/>
      <c r="AM572" s="89"/>
      <c r="AN572" s="89"/>
      <c r="BR572" s="180">
        <v>2032</v>
      </c>
      <c r="BS572" s="22">
        <v>18</v>
      </c>
      <c r="BT572" s="289">
        <f t="shared" si="299"/>
        <v>35.107850037607257</v>
      </c>
      <c r="BU572" s="290">
        <f t="shared" si="300"/>
        <v>192.144598299715</v>
      </c>
      <c r="BV572" s="205">
        <f t="shared" si="301"/>
        <v>227.25244833732225</v>
      </c>
      <c r="BY572" s="180">
        <v>2032</v>
      </c>
      <c r="BZ572" s="22">
        <v>18</v>
      </c>
      <c r="CA572" s="289">
        <f t="shared" ca="1" si="302"/>
        <v>-0.8627675024683541</v>
      </c>
      <c r="CB572" s="289">
        <f t="shared" ca="1" si="303"/>
        <v>36.641658930884333</v>
      </c>
      <c r="CC572" s="290">
        <f t="shared" ca="1" si="314"/>
        <v>191.67593447121368</v>
      </c>
      <c r="CD572" s="205">
        <f t="shared" ca="1" si="304"/>
        <v>227.45482589962967</v>
      </c>
      <c r="CG572" s="180">
        <v>2032</v>
      </c>
      <c r="CH572" s="22">
        <v>18</v>
      </c>
      <c r="CI572" s="289">
        <f t="shared" ca="1" si="305"/>
        <v>-0.63691707876692483</v>
      </c>
      <c r="CJ572" s="289">
        <f t="shared" ca="1" si="306"/>
        <v>0.8356780409101443</v>
      </c>
      <c r="CK572" s="289">
        <f t="shared" ca="1" si="307"/>
        <v>35.414610657531462</v>
      </c>
      <c r="CL572" s="290">
        <f t="shared" ca="1" si="308"/>
        <v>191.87198960492466</v>
      </c>
      <c r="CM572" s="205">
        <f t="shared" ca="1" si="309"/>
        <v>227.48536122459933</v>
      </c>
      <c r="CP572" s="180">
        <v>2032</v>
      </c>
      <c r="CQ572" s="22">
        <v>18</v>
      </c>
      <c r="CR572" s="289">
        <f t="shared" ca="1" si="310"/>
        <v>193.51082844891297</v>
      </c>
      <c r="CS572" s="290">
        <f t="shared" ca="1" si="311"/>
        <v>1.1710304935275242</v>
      </c>
      <c r="CT572" s="205">
        <f t="shared" ca="1" si="312"/>
        <v>226.60708094145062</v>
      </c>
      <c r="CZ572" s="164" t="b">
        <f t="shared" si="289"/>
        <v>1</v>
      </c>
      <c r="DA572" s="165" t="b">
        <f t="shared" si="289"/>
        <v>1</v>
      </c>
      <c r="DB572" s="166" t="b">
        <f t="shared" si="289"/>
        <v>1</v>
      </c>
      <c r="DC572" s="164">
        <f t="shared" si="290"/>
        <v>20</v>
      </c>
      <c r="DD572" s="166">
        <f t="shared" si="291"/>
        <v>161.44000640786385</v>
      </c>
      <c r="DE572" s="164">
        <f t="shared" si="292"/>
        <v>20</v>
      </c>
      <c r="DF572" s="166">
        <f t="shared" si="293"/>
        <v>231.36711466927531</v>
      </c>
      <c r="DG572" s="164">
        <f t="shared" si="294"/>
        <v>20</v>
      </c>
      <c r="DH572" s="166">
        <f t="shared" si="295"/>
        <v>301.29422293068677</v>
      </c>
      <c r="DI572" s="164">
        <f>IFERROR(INDEX(DC$550:DC$598,_xlfn.AGGREGATE(15,6,(ROW(DC$550:DC$598)-ROW(DC$550)+1)/(DC$550:DC$598&lt;&gt;""),ROWS(DI$1:DI23))),"")</f>
        <v>23</v>
      </c>
      <c r="DJ572" s="165">
        <f>IFERROR(INDEX(DD$550:DD$598,_xlfn.AGGREGATE(15,6,(ROW(DD$550:DD$598)-ROW(DD$550)+1)/(DD$550:DD$598&lt;&gt;""),ROWS(DJ$1:DJ23))),"")</f>
        <v>164.67542214473195</v>
      </c>
      <c r="DK572" s="166">
        <f t="shared" si="296"/>
        <v>572</v>
      </c>
      <c r="DL572" s="164">
        <f>IFERROR(INDEX(DE$550:DE$598,_xlfn.AGGREGATE(15,6,(ROW(DE$550:DE$598)-ROW(DE$550)+1)/(DE$550:DE$598&lt;&gt;""),ROWS(DL$1:DL23))),"")</f>
        <v>23</v>
      </c>
      <c r="DM572" s="165">
        <f>IFERROR(INDEX(DF$550:DF$598,_xlfn.AGGREGATE(15,6,(ROW(DF$550:DF$598)-ROW(DF$550)+1)/(DF$550:DF$598&lt;&gt;""),ROWS(DM$1:DM23))),"")</f>
        <v>237.1214819088068</v>
      </c>
      <c r="DN572" s="166">
        <f t="shared" si="297"/>
        <v>572</v>
      </c>
      <c r="DO572" s="164">
        <f>IFERROR(INDEX(DG$550:DG$598,_xlfn.AGGREGATE(15,6,(ROW(DG$550:DG$598)-ROW(DG$550)+1)/(DG$550:DG$598&lt;&gt;""),ROWS(DO$1:DO23))),"")</f>
        <v>23</v>
      </c>
      <c r="DP572" s="165">
        <f>IFERROR(INDEX(DH$550:DH$598,_xlfn.AGGREGATE(15,6,(ROW(DH$550:DH$598)-ROW(DH$550)+1)/(DH$550:DH$598&lt;&gt;""),ROWS(DP$1:DP23))),"")</f>
        <v>309.56754167288165</v>
      </c>
      <c r="DQ572" s="166">
        <f t="shared" si="298"/>
        <v>572</v>
      </c>
      <c r="DR572" s="65"/>
      <c r="DV572" s="145">
        <v>2037</v>
      </c>
      <c r="DW572" s="235">
        <f t="shared" ca="1" si="282"/>
        <v>237.15964989781111</v>
      </c>
    </row>
    <row r="573" spans="1:135" ht="13.8" x14ac:dyDescent="0.45">
      <c r="B573" s="128">
        <v>2035</v>
      </c>
      <c r="C573" s="291">
        <f>'Total MSW Summaries (Archive)'!K26</f>
        <v>167.61586261953559</v>
      </c>
      <c r="D573" s="307">
        <f>'Total MSW Summaries (Archive)'!AI26</f>
        <v>331.52000000000015</v>
      </c>
      <c r="E573" s="308">
        <f>'Total MSW Summaries (Archive)'!BG26</f>
        <v>200.7297297297298</v>
      </c>
      <c r="F573" s="293"/>
      <c r="G573" s="294"/>
      <c r="H573" s="292"/>
      <c r="I573" s="293"/>
      <c r="J573" s="294"/>
      <c r="K573" s="292"/>
      <c r="L573" s="293"/>
      <c r="M573" s="292"/>
      <c r="N573" s="29" t="s">
        <v>119</v>
      </c>
      <c r="O573" s="120"/>
      <c r="P573" s="120"/>
      <c r="Q573" s="120"/>
      <c r="R573" s="29">
        <v>21</v>
      </c>
      <c r="S573" s="288">
        <f t="shared" si="283"/>
        <v>167.61586261953559</v>
      </c>
      <c r="T573" s="288">
        <f t="shared" si="284"/>
        <v>331.52000000000015</v>
      </c>
      <c r="U573" s="288">
        <f t="shared" si="285"/>
        <v>70.763447283338422</v>
      </c>
      <c r="W573" s="288">
        <f t="shared" si="286"/>
        <v>162.52508349975008</v>
      </c>
      <c r="X573" s="288">
        <f t="shared" si="287"/>
        <v>233.2885307830885</v>
      </c>
      <c r="Y573" s="288">
        <f t="shared" si="288"/>
        <v>304.05197806642695</v>
      </c>
      <c r="AA573" s="89"/>
      <c r="AB573" s="89"/>
      <c r="AC573" s="89"/>
      <c r="AD573" s="89"/>
      <c r="AE573" s="89"/>
      <c r="AF573" s="89"/>
      <c r="AG573" s="89"/>
      <c r="AH573" s="89"/>
      <c r="AI573" s="89"/>
      <c r="AJ573" s="89"/>
      <c r="AK573" s="89"/>
      <c r="AL573" s="89"/>
      <c r="AM573" s="89"/>
      <c r="AN573" s="89"/>
      <c r="BR573" s="180">
        <v>2033</v>
      </c>
      <c r="BS573" s="22">
        <v>19</v>
      </c>
      <c r="BT573" s="289">
        <f t="shared" si="299"/>
        <v>37.05828615080766</v>
      </c>
      <c r="BU573" s="290">
        <f t="shared" si="300"/>
        <v>192.144598299715</v>
      </c>
      <c r="BV573" s="205">
        <f t="shared" si="301"/>
        <v>229.20288445052267</v>
      </c>
      <c r="BY573" s="180">
        <v>2033</v>
      </c>
      <c r="BZ573" s="22">
        <v>19</v>
      </c>
      <c r="CA573" s="289">
        <f t="shared" ca="1" si="302"/>
        <v>-0.96129342096011061</v>
      </c>
      <c r="CB573" s="289">
        <f t="shared" ca="1" si="303"/>
        <v>38.677306649266797</v>
      </c>
      <c r="CC573" s="290">
        <f t="shared" ca="1" si="314"/>
        <v>191.67593447121368</v>
      </c>
      <c r="CD573" s="205">
        <f t="shared" ca="1" si="304"/>
        <v>229.39194769952036</v>
      </c>
      <c r="CG573" s="180">
        <v>2033</v>
      </c>
      <c r="CH573" s="22">
        <v>19</v>
      </c>
      <c r="CI573" s="289">
        <f t="shared" ca="1" si="305"/>
        <v>-0.74907651633441996</v>
      </c>
      <c r="CJ573" s="289">
        <f t="shared" ca="1" si="306"/>
        <v>0.93111040977951265</v>
      </c>
      <c r="CK573" s="289">
        <f t="shared" ca="1" si="307"/>
        <v>37.382089027394322</v>
      </c>
      <c r="CL573" s="290">
        <f t="shared" ca="1" si="308"/>
        <v>191.87198960492466</v>
      </c>
      <c r="CM573" s="205">
        <f t="shared" ca="1" si="309"/>
        <v>229.43611252576409</v>
      </c>
      <c r="CP573" s="180">
        <v>2033</v>
      </c>
      <c r="CQ573" s="22">
        <v>19</v>
      </c>
      <c r="CR573" s="289">
        <f t="shared" ca="1" si="310"/>
        <v>193.51082844891297</v>
      </c>
      <c r="CS573" s="290">
        <f t="shared" ca="1" si="311"/>
        <v>1.1813471798923385</v>
      </c>
      <c r="CT573" s="205">
        <f t="shared" ca="1" si="312"/>
        <v>228.60347146675346</v>
      </c>
      <c r="CZ573" s="164" t="b">
        <f t="shared" si="289"/>
        <v>1</v>
      </c>
      <c r="DA573" s="165" t="b">
        <f t="shared" si="289"/>
        <v>1</v>
      </c>
      <c r="DB573" s="166" t="b">
        <f t="shared" si="289"/>
        <v>1</v>
      </c>
      <c r="DC573" s="164">
        <f t="shared" si="290"/>
        <v>21</v>
      </c>
      <c r="DD573" s="166">
        <f t="shared" si="291"/>
        <v>162.52508349975008</v>
      </c>
      <c r="DE573" s="164">
        <f t="shared" si="292"/>
        <v>21</v>
      </c>
      <c r="DF573" s="166">
        <f t="shared" si="293"/>
        <v>233.2885307830885</v>
      </c>
      <c r="DG573" s="164">
        <f t="shared" si="294"/>
        <v>21</v>
      </c>
      <c r="DH573" s="166">
        <f t="shared" si="295"/>
        <v>304.05197806642695</v>
      </c>
      <c r="DI573" s="164">
        <f>IFERROR(INDEX(DC$550:DC$598,_xlfn.AGGREGATE(15,6,(ROW(DC$550:DC$598)-ROW(DC$550)+1)/(DC$550:DC$598&lt;&gt;""),ROWS(DI$1:DI24))),"")</f>
        <v>24</v>
      </c>
      <c r="DJ573" s="165">
        <f>IFERROR(INDEX(DD$550:DD$598,_xlfn.AGGREGATE(15,6,(ROW(DD$550:DD$598)-ROW(DD$550)+1)/(DD$550:DD$598&lt;&gt;""),ROWS(DJ$1:DJ24))),"")</f>
        <v>165.7404550022755</v>
      </c>
      <c r="DK573" s="166">
        <f t="shared" si="296"/>
        <v>573</v>
      </c>
      <c r="DL573" s="164">
        <f>IFERROR(INDEX(DE$550:DE$598,_xlfn.AGGREGATE(15,6,(ROW(DE$550:DE$598)-ROW(DE$550)+1)/(DE$550:DE$598&lt;&gt;""),ROWS(DL$1:DL24))),"")</f>
        <v>24</v>
      </c>
      <c r="DM573" s="165">
        <f>IFERROR(INDEX(DF$550:DF$598,_xlfn.AGGREGATE(15,6,(ROW(DF$550:DF$598)-ROW(DF$550)+1)/(DF$550:DF$598&lt;&gt;""),ROWS(DM$1:DM24))),"")</f>
        <v>239.03286885334219</v>
      </c>
      <c r="DN573" s="166">
        <f t="shared" si="297"/>
        <v>573</v>
      </c>
      <c r="DO573" s="164">
        <f>IFERROR(INDEX(DG$550:DG$598,_xlfn.AGGREGATE(15,6,(ROW(DG$550:DG$598)-ROW(DG$550)+1)/(DG$550:DG$598&lt;&gt;""),ROWS(DO$1:DO24))),"")</f>
        <v>24</v>
      </c>
      <c r="DP573" s="165">
        <f>IFERROR(INDEX(DH$550:DH$598,_xlfn.AGGREGATE(15,6,(ROW(DH$550:DH$598)-ROW(DH$550)+1)/(DH$550:DH$598&lt;&gt;""),ROWS(DP$1:DP24))),"")</f>
        <v>312.32528270440889</v>
      </c>
      <c r="DQ573" s="166">
        <f t="shared" si="298"/>
        <v>573</v>
      </c>
      <c r="DR573" s="65"/>
      <c r="DV573" s="145">
        <v>2038</v>
      </c>
      <c r="DW573" s="235">
        <f t="shared" ca="1" si="282"/>
        <v>239.06739096024825</v>
      </c>
    </row>
    <row r="574" spans="1:135" ht="13.8" x14ac:dyDescent="0.45">
      <c r="B574" s="128">
        <v>2036</v>
      </c>
      <c r="C574" s="291">
        <f>'Total MSW Summaries (Archive)'!K27</f>
        <v>168.89895198725651</v>
      </c>
      <c r="D574" s="307">
        <f>'Total MSW Summaries (Archive)'!AI27</f>
        <v>334.64000000000016</v>
      </c>
      <c r="E574" s="308">
        <f>'Total MSW Summaries (Archive)'!BG27</f>
        <v>202.08108108108115</v>
      </c>
      <c r="F574" s="293"/>
      <c r="G574" s="294"/>
      <c r="H574" s="292"/>
      <c r="I574" s="293"/>
      <c r="J574" s="294"/>
      <c r="K574" s="292"/>
      <c r="L574" s="293"/>
      <c r="M574" s="292"/>
      <c r="N574" s="29" t="s">
        <v>119</v>
      </c>
      <c r="O574" s="120"/>
      <c r="P574" s="120"/>
      <c r="Q574" s="120"/>
      <c r="R574" s="29">
        <v>22</v>
      </c>
      <c r="S574" s="288">
        <f t="shared" si="283"/>
        <v>168.89895198725651</v>
      </c>
      <c r="T574" s="288">
        <f t="shared" si="284"/>
        <v>334.64000000000016</v>
      </c>
      <c r="U574" s="288">
        <f t="shared" si="285"/>
        <v>71.603084719797522</v>
      </c>
      <c r="W574" s="288">
        <f t="shared" si="286"/>
        <v>163.60359296964839</v>
      </c>
      <c r="X574" s="288">
        <f t="shared" si="287"/>
        <v>235.20667768944591</v>
      </c>
      <c r="Y574" s="288">
        <f t="shared" si="288"/>
        <v>306.80976240924343</v>
      </c>
      <c r="AA574" s="89"/>
      <c r="AB574" s="89"/>
      <c r="AC574" s="89"/>
      <c r="AD574" s="89"/>
      <c r="AE574" s="89"/>
      <c r="AF574" s="89"/>
      <c r="AG574" s="89"/>
      <c r="AH574" s="89"/>
      <c r="AI574" s="89"/>
      <c r="AJ574" s="89"/>
      <c r="AK574" s="89"/>
      <c r="AL574" s="89"/>
      <c r="AM574" s="89"/>
      <c r="AN574" s="89"/>
      <c r="BR574" s="180">
        <v>2034</v>
      </c>
      <c r="BS574" s="22">
        <v>20</v>
      </c>
      <c r="BT574" s="289">
        <f t="shared" si="299"/>
        <v>39.008722264008064</v>
      </c>
      <c r="BU574" s="290">
        <f t="shared" si="300"/>
        <v>192.144598299715</v>
      </c>
      <c r="BV574" s="205">
        <f t="shared" si="301"/>
        <v>231.15332056372307</v>
      </c>
      <c r="BY574" s="180">
        <v>2034</v>
      </c>
      <c r="BZ574" s="22">
        <v>20</v>
      </c>
      <c r="CA574" s="289">
        <f t="shared" ca="1" si="302"/>
        <v>-1.0651450647757459</v>
      </c>
      <c r="CB574" s="289">
        <f t="shared" ca="1" si="303"/>
        <v>40.71295436764926</v>
      </c>
      <c r="CC574" s="290">
        <f t="shared" ca="1" si="314"/>
        <v>191.67593447121368</v>
      </c>
      <c r="CD574" s="205">
        <f t="shared" ca="1" si="304"/>
        <v>231.32374377408718</v>
      </c>
      <c r="CG574" s="180">
        <v>2034</v>
      </c>
      <c r="CH574" s="22">
        <v>20</v>
      </c>
      <c r="CI574" s="289">
        <f t="shared" ca="1" si="305"/>
        <v>-0.87368597910414925</v>
      </c>
      <c r="CJ574" s="289">
        <f t="shared" ca="1" si="306"/>
        <v>1.0317012850742522</v>
      </c>
      <c r="CK574" s="289">
        <f t="shared" ca="1" si="307"/>
        <v>39.349567397257182</v>
      </c>
      <c r="CL574" s="290">
        <f t="shared" ca="1" si="308"/>
        <v>191.87198960492466</v>
      </c>
      <c r="CM574" s="205">
        <f t="shared" ca="1" si="309"/>
        <v>231.37957230815195</v>
      </c>
      <c r="CP574" s="180">
        <v>2034</v>
      </c>
      <c r="CQ574" s="22">
        <v>20</v>
      </c>
      <c r="CR574" s="289">
        <f t="shared" ca="1" si="310"/>
        <v>193.51082844891297</v>
      </c>
      <c r="CS574" s="290">
        <f t="shared" ca="1" si="311"/>
        <v>1.1917547554510193</v>
      </c>
      <c r="CT574" s="205">
        <f t="shared" ca="1" si="312"/>
        <v>230.61745003525843</v>
      </c>
      <c r="CZ574" s="164" t="b">
        <f t="shared" si="289"/>
        <v>1</v>
      </c>
      <c r="DA574" s="165" t="b">
        <f t="shared" si="289"/>
        <v>1</v>
      </c>
      <c r="DB574" s="166" t="b">
        <f t="shared" si="289"/>
        <v>1</v>
      </c>
      <c r="DC574" s="164">
        <f t="shared" si="290"/>
        <v>22</v>
      </c>
      <c r="DD574" s="166">
        <f t="shared" si="291"/>
        <v>163.60359296964839</v>
      </c>
      <c r="DE574" s="164">
        <f t="shared" si="292"/>
        <v>22</v>
      </c>
      <c r="DF574" s="166">
        <f t="shared" si="293"/>
        <v>235.20667768944591</v>
      </c>
      <c r="DG574" s="164">
        <f t="shared" si="294"/>
        <v>22</v>
      </c>
      <c r="DH574" s="166">
        <f t="shared" si="295"/>
        <v>306.80976240924343</v>
      </c>
      <c r="DI574" s="164">
        <f>IFERROR(INDEX(DC$550:DC$598,_xlfn.AGGREGATE(15,6,(ROW(DC$550:DC$598)-ROW(DC$550)+1)/(DC$550:DC$598&lt;&gt;""),ROWS(DI$1:DI25))),"")</f>
        <v>25</v>
      </c>
      <c r="DJ574" s="165">
        <f>IFERROR(INDEX(DD$550:DD$598,_xlfn.AGGREGATE(15,6,(ROW(DD$550:DD$598)-ROW(DD$550)+1)/(DD$550:DD$598&lt;&gt;""),ROWS(DJ$1:DJ25))),"")</f>
        <v>166.79857711406675</v>
      </c>
      <c r="DK574" s="166">
        <f t="shared" si="296"/>
        <v>574</v>
      </c>
      <c r="DL574" s="164">
        <f>IFERROR(INDEX(DE$550:DE$598,_xlfn.AGGREGATE(15,6,(ROW(DE$550:DE$598)-ROW(DE$550)+1)/(DE$550:DE$598&lt;&gt;""),ROWS(DL$1:DL25))),"")</f>
        <v>25</v>
      </c>
      <c r="DM574" s="165">
        <f>IFERROR(INDEX(DF$550:DF$598,_xlfn.AGGREGATE(15,6,(ROW(DF$550:DF$598)-ROW(DF$550)+1)/(DF$550:DF$598&lt;&gt;""),ROWS(DM$1:DM25))),"")</f>
        <v>240.94076538563772</v>
      </c>
      <c r="DN574" s="166">
        <f t="shared" si="297"/>
        <v>574</v>
      </c>
      <c r="DO574" s="164">
        <f>IFERROR(INDEX(DG$550:DG$598,_xlfn.AGGREGATE(15,6,(ROW(DG$550:DG$598)-ROW(DG$550)+1)/(DG$550:DG$598&lt;&gt;""),ROWS(DO$1:DO25))),"")</f>
        <v>25</v>
      </c>
      <c r="DP574" s="165">
        <f>IFERROR(INDEX(DH$550:DH$598,_xlfn.AGGREGATE(15,6,(ROW(DH$550:DH$598)-ROW(DH$550)+1)/(DH$550:DH$598&lt;&gt;""),ROWS(DP$1:DP25))),"")</f>
        <v>315.08295365720869</v>
      </c>
      <c r="DQ574" s="166">
        <f t="shared" si="298"/>
        <v>574</v>
      </c>
      <c r="DR574" s="65"/>
      <c r="DV574" s="145">
        <v>2039</v>
      </c>
      <c r="DW574" s="235">
        <f t="shared" ca="1" si="282"/>
        <v>240.96456418148688</v>
      </c>
    </row>
    <row r="575" spans="1:135" ht="13.8" x14ac:dyDescent="0.45">
      <c r="B575" s="128">
        <v>2037</v>
      </c>
      <c r="C575" s="291">
        <f>'Total MSW Summaries (Archive)'!K28</f>
        <v>170.17201329398776</v>
      </c>
      <c r="D575" s="307">
        <f>'Total MSW Summaries (Archive)'!AI28</f>
        <v>337.76000000000016</v>
      </c>
      <c r="E575" s="308">
        <f>'Total MSW Summaries (Archive)'!BG28</f>
        <v>203.43243243243251</v>
      </c>
      <c r="F575" s="293"/>
      <c r="G575" s="294"/>
      <c r="H575" s="292"/>
      <c r="I575" s="293"/>
      <c r="J575" s="294"/>
      <c r="K575" s="292"/>
      <c r="L575" s="293"/>
      <c r="M575" s="292"/>
      <c r="N575" s="29" t="s">
        <v>119</v>
      </c>
      <c r="O575" s="120"/>
      <c r="P575" s="120"/>
      <c r="Q575" s="120"/>
      <c r="R575" s="29">
        <v>23</v>
      </c>
      <c r="S575" s="288">
        <f t="shared" si="283"/>
        <v>170.17201329398776</v>
      </c>
      <c r="T575" s="288">
        <f t="shared" si="284"/>
        <v>337.76000000000016</v>
      </c>
      <c r="U575" s="288">
        <f t="shared" si="285"/>
        <v>72.446059764074832</v>
      </c>
      <c r="W575" s="288">
        <f t="shared" si="286"/>
        <v>164.67542214473195</v>
      </c>
      <c r="X575" s="288">
        <f t="shared" si="287"/>
        <v>237.1214819088068</v>
      </c>
      <c r="Y575" s="288">
        <f t="shared" si="288"/>
        <v>309.56754167288165</v>
      </c>
      <c r="AA575" s="89"/>
      <c r="AB575" s="89"/>
      <c r="AC575" s="89"/>
      <c r="AD575" s="89"/>
      <c r="AE575" s="89"/>
      <c r="AF575" s="89"/>
      <c r="AG575" s="89"/>
      <c r="AH575" s="89"/>
      <c r="AI575" s="89"/>
      <c r="AJ575" s="89"/>
      <c r="AK575" s="89"/>
      <c r="AL575" s="89"/>
      <c r="AM575" s="89"/>
      <c r="AN575" s="89"/>
      <c r="BR575" s="180">
        <v>2035</v>
      </c>
      <c r="BS575" s="22">
        <v>21</v>
      </c>
      <c r="BT575" s="289">
        <f t="shared" si="299"/>
        <v>40.959158377208468</v>
      </c>
      <c r="BU575" s="290">
        <f t="shared" si="300"/>
        <v>192.144598299715</v>
      </c>
      <c r="BV575" s="205">
        <f t="shared" si="301"/>
        <v>233.10375667692347</v>
      </c>
      <c r="BY575" s="180">
        <v>2035</v>
      </c>
      <c r="BZ575" s="22">
        <v>21</v>
      </c>
      <c r="CA575" s="289">
        <f t="shared" ca="1" si="302"/>
        <v>-1.1743224339152598</v>
      </c>
      <c r="CB575" s="289">
        <f t="shared" ca="1" si="303"/>
        <v>42.748602086031717</v>
      </c>
      <c r="CC575" s="290">
        <f t="shared" ca="1" si="314"/>
        <v>191.67593447121368</v>
      </c>
      <c r="CD575" s="205">
        <f t="shared" ca="1" si="304"/>
        <v>233.25021412333012</v>
      </c>
      <c r="CG575" s="180">
        <v>2035</v>
      </c>
      <c r="CH575" s="22">
        <v>21</v>
      </c>
      <c r="CI575" s="289">
        <f t="shared" ca="1" si="305"/>
        <v>-1.0114007315604407</v>
      </c>
      <c r="CJ575" s="289">
        <f t="shared" ca="1" si="306"/>
        <v>1.1374506667943631</v>
      </c>
      <c r="CK575" s="289">
        <f t="shared" ca="1" si="307"/>
        <v>41.317045767120042</v>
      </c>
      <c r="CL575" s="290">
        <f t="shared" ca="1" si="308"/>
        <v>191.87198960492466</v>
      </c>
      <c r="CM575" s="205">
        <f t="shared" ca="1" si="309"/>
        <v>233.31508530727862</v>
      </c>
      <c r="CP575" s="180">
        <v>2035</v>
      </c>
      <c r="CQ575" s="22">
        <v>21</v>
      </c>
      <c r="CR575" s="289">
        <f t="shared" ca="1" si="310"/>
        <v>193.51082844891297</v>
      </c>
      <c r="CS575" s="290">
        <f t="shared" ca="1" si="311"/>
        <v>1.2022540209302022</v>
      </c>
      <c r="CT575" s="205">
        <f t="shared" ca="1" si="312"/>
        <v>232.64917159624019</v>
      </c>
      <c r="CZ575" s="164" t="b">
        <f t="shared" si="289"/>
        <v>1</v>
      </c>
      <c r="DA575" s="165" t="b">
        <f t="shared" si="289"/>
        <v>1</v>
      </c>
      <c r="DB575" s="166" t="b">
        <f t="shared" si="289"/>
        <v>1</v>
      </c>
      <c r="DC575" s="164">
        <f t="shared" si="290"/>
        <v>23</v>
      </c>
      <c r="DD575" s="166">
        <f t="shared" si="291"/>
        <v>164.67542214473195</v>
      </c>
      <c r="DE575" s="164">
        <f t="shared" si="292"/>
        <v>23</v>
      </c>
      <c r="DF575" s="166">
        <f t="shared" si="293"/>
        <v>237.1214819088068</v>
      </c>
      <c r="DG575" s="164">
        <f t="shared" si="294"/>
        <v>23</v>
      </c>
      <c r="DH575" s="166">
        <f t="shared" si="295"/>
        <v>309.56754167288165</v>
      </c>
      <c r="DI575" s="164">
        <f>IFERROR(INDEX(DC$550:DC$598,_xlfn.AGGREGATE(15,6,(ROW(DC$550:DC$598)-ROW(DC$550)+1)/(DC$550:DC$598&lt;&gt;""),ROWS(DI$1:DI26))),"")</f>
        <v>26</v>
      </c>
      <c r="DJ575" s="165">
        <f>IFERROR(INDEX(DD$550:DD$598,_xlfn.AGGREGATE(15,6,(ROW(DD$550:DD$598)-ROW(DD$550)+1)/(DD$550:DD$598&lt;&gt;""),ROWS(DJ$1:DJ26))),"")</f>
        <v>167.84961224128924</v>
      </c>
      <c r="DK575" s="166">
        <f t="shared" si="296"/>
        <v>575</v>
      </c>
      <c r="DL575" s="164">
        <f>IFERROR(INDEX(DE$550:DE$598,_xlfn.AGGREGATE(15,6,(ROW(DE$550:DE$598)-ROW(DE$550)+1)/(DE$550:DE$598&lt;&gt;""),ROWS(DL$1:DL26))),"")</f>
        <v>26</v>
      </c>
      <c r="DM575" s="165">
        <f>IFERROR(INDEX(DF$550:DF$598,_xlfn.AGGREGATE(15,6,(ROW(DF$550:DF$598)-ROW(DF$550)+1)/(DF$550:DF$598&lt;&gt;""),ROWS(DM$1:DM26))),"")</f>
        <v>242.84506677385377</v>
      </c>
      <c r="DN575" s="166">
        <f t="shared" si="297"/>
        <v>575</v>
      </c>
      <c r="DO575" s="164">
        <f>IFERROR(INDEX(DG$550:DG$598,_xlfn.AGGREGATE(15,6,(ROW(DG$550:DG$598)-ROW(DG$550)+1)/(DG$550:DG$598&lt;&gt;""),ROWS(DO$1:DO26))),"")</f>
        <v>26</v>
      </c>
      <c r="DP575" s="165">
        <f>IFERROR(INDEX(DH$550:DH$598,_xlfn.AGGREGATE(15,6,(ROW(DH$550:DH$598)-ROW(DH$550)+1)/(DH$550:DH$598&lt;&gt;""),ROWS(DP$1:DP26))),"")</f>
        <v>317.84052130641828</v>
      </c>
      <c r="DQ575" s="166">
        <f t="shared" si="298"/>
        <v>575</v>
      </c>
      <c r="DR575" s="65"/>
      <c r="DV575" s="145">
        <v>2040</v>
      </c>
      <c r="DW575" s="235">
        <f t="shared" ca="1" si="282"/>
        <v>242.85051429704268</v>
      </c>
    </row>
    <row r="576" spans="1:135" ht="13.8" x14ac:dyDescent="0.45">
      <c r="B576" s="128">
        <v>2038</v>
      </c>
      <c r="C576" s="291">
        <f>'Total MSW Summaries (Archive)'!K29</f>
        <v>171.43482277624256</v>
      </c>
      <c r="D576" s="307">
        <f>'Total MSW Summaries (Archive)'!AI29</f>
        <v>340.88000000000017</v>
      </c>
      <c r="E576" s="308">
        <f>'Total MSW Summaries (Archive)'!BG29</f>
        <v>204.78378378378386</v>
      </c>
      <c r="F576" s="293"/>
      <c r="G576" s="294"/>
      <c r="H576" s="292"/>
      <c r="I576" s="293"/>
      <c r="J576" s="294"/>
      <c r="K576" s="292"/>
      <c r="L576" s="293"/>
      <c r="M576" s="292"/>
      <c r="N576" s="29" t="s">
        <v>119</v>
      </c>
      <c r="O576" s="120"/>
      <c r="P576" s="120"/>
      <c r="Q576" s="120"/>
      <c r="R576" s="29">
        <v>24</v>
      </c>
      <c r="S576" s="288">
        <f t="shared" si="283"/>
        <v>171.43482277624256</v>
      </c>
      <c r="T576" s="288">
        <f t="shared" si="284"/>
        <v>340.88000000000017</v>
      </c>
      <c r="U576" s="288">
        <f t="shared" si="285"/>
        <v>73.292413851066698</v>
      </c>
      <c r="W576" s="288">
        <f t="shared" si="286"/>
        <v>165.7404550022755</v>
      </c>
      <c r="X576" s="288">
        <f t="shared" si="287"/>
        <v>239.03286885334219</v>
      </c>
      <c r="Y576" s="288">
        <f t="shared" si="288"/>
        <v>312.32528270440889</v>
      </c>
      <c r="AA576" s="89"/>
      <c r="AB576" s="89"/>
      <c r="AC576" s="89"/>
      <c r="AD576" s="89"/>
      <c r="AE576" s="89"/>
      <c r="AF576" s="89"/>
      <c r="AG576" s="89"/>
      <c r="AH576" s="89"/>
      <c r="AI576" s="89"/>
      <c r="AJ576" s="89"/>
      <c r="AK576" s="89"/>
      <c r="AL576" s="89"/>
      <c r="AM576" s="89"/>
      <c r="AN576" s="89"/>
      <c r="BR576" s="180">
        <v>2036</v>
      </c>
      <c r="BS576" s="22">
        <v>22</v>
      </c>
      <c r="BT576" s="289">
        <f t="shared" si="299"/>
        <v>42.909594490408871</v>
      </c>
      <c r="BU576" s="290">
        <f t="shared" si="300"/>
        <v>192.144598299715</v>
      </c>
      <c r="BV576" s="205">
        <f t="shared" si="301"/>
        <v>235.05419279012386</v>
      </c>
      <c r="BY576" s="180">
        <v>2036</v>
      </c>
      <c r="BZ576" s="22">
        <v>22</v>
      </c>
      <c r="CA576" s="289">
        <f t="shared" ca="1" si="302"/>
        <v>-1.2888255283786525</v>
      </c>
      <c r="CB576" s="289">
        <f t="shared" ca="1" si="303"/>
        <v>44.784249804414181</v>
      </c>
      <c r="CC576" s="290">
        <f t="shared" ca="1" si="314"/>
        <v>191.67593447121368</v>
      </c>
      <c r="CD576" s="205">
        <f t="shared" ca="1" si="304"/>
        <v>235.1713587472492</v>
      </c>
      <c r="CG576" s="180">
        <v>2036</v>
      </c>
      <c r="CH576" s="22">
        <v>22</v>
      </c>
      <c r="CI576" s="289">
        <f t="shared" ca="1" si="305"/>
        <v>-1.1628760381876226</v>
      </c>
      <c r="CJ576" s="289">
        <f t="shared" ca="1" si="306"/>
        <v>1.2483585549398453</v>
      </c>
      <c r="CK576" s="289">
        <f t="shared" ca="1" si="307"/>
        <v>43.284524136982903</v>
      </c>
      <c r="CL576" s="290">
        <f t="shared" ca="1" si="308"/>
        <v>191.87198960492466</v>
      </c>
      <c r="CM576" s="205">
        <f t="shared" ca="1" si="309"/>
        <v>235.24199625865978</v>
      </c>
      <c r="CP576" s="180">
        <v>2036</v>
      </c>
      <c r="CQ576" s="22">
        <v>22</v>
      </c>
      <c r="CR576" s="289">
        <f t="shared" ca="1" si="310"/>
        <v>193.51082844891297</v>
      </c>
      <c r="CS576" s="290">
        <f t="shared" ca="1" si="311"/>
        <v>1.2128457841108611</v>
      </c>
      <c r="CT576" s="205">
        <f t="shared" ca="1" si="312"/>
        <v>234.69879246406418</v>
      </c>
      <c r="CZ576" s="164" t="b">
        <f t="shared" si="289"/>
        <v>1</v>
      </c>
      <c r="DA576" s="165" t="b">
        <f t="shared" si="289"/>
        <v>1</v>
      </c>
      <c r="DB576" s="166" t="b">
        <f t="shared" si="289"/>
        <v>1</v>
      </c>
      <c r="DC576" s="164">
        <f t="shared" si="290"/>
        <v>24</v>
      </c>
      <c r="DD576" s="166">
        <f t="shared" si="291"/>
        <v>165.7404550022755</v>
      </c>
      <c r="DE576" s="164">
        <f t="shared" si="292"/>
        <v>24</v>
      </c>
      <c r="DF576" s="166">
        <f t="shared" si="293"/>
        <v>239.03286885334219</v>
      </c>
      <c r="DG576" s="164">
        <f t="shared" si="294"/>
        <v>24</v>
      </c>
      <c r="DH576" s="166">
        <f t="shared" si="295"/>
        <v>312.32528270440889</v>
      </c>
      <c r="DI576" s="164">
        <f>IFERROR(INDEX(DC$550:DC$598,_xlfn.AGGREGATE(15,6,(ROW(DC$550:DC$598)-ROW(DC$550)+1)/(DC$550:DC$598&lt;&gt;""),ROWS(DI$1:DI27))),"")</f>
        <v>27</v>
      </c>
      <c r="DJ576" s="165">
        <f>IFERROR(INDEX(DD$550:DD$598,_xlfn.AGGREGATE(15,6,(ROW(DD$550:DD$598)-ROW(DD$550)+1)/(DD$550:DD$598&lt;&gt;""),ROWS(DJ$1:DJ27))),"")</f>
        <v>168.89341921015688</v>
      </c>
      <c r="DK576" s="166">
        <f t="shared" si="296"/>
        <v>576</v>
      </c>
      <c r="DL576" s="164">
        <f>IFERROR(INDEX(DE$550:DE$598,_xlfn.AGGREGATE(15,6,(ROW(DE$550:DE$598)-ROW(DE$550)+1)/(DE$550:DE$598&lt;&gt;""),ROWS(DL$1:DL27))),"")</f>
        <v>27</v>
      </c>
      <c r="DM576" s="165">
        <f>IFERROR(INDEX(DF$550:DF$598,_xlfn.AGGREGATE(15,6,(ROW(DF$550:DF$598)-ROW(DF$550)+1)/(DF$550:DF$598&lt;&gt;""),ROWS(DM$1:DM27))),"")</f>
        <v>244.74568707983099</v>
      </c>
      <c r="DN576" s="166">
        <f t="shared" si="297"/>
        <v>576</v>
      </c>
      <c r="DO576" s="164">
        <f>IFERROR(INDEX(DG$550:DG$598,_xlfn.AGGREGATE(15,6,(ROW(DG$550:DG$598)-ROW(DG$550)+1)/(DG$550:DG$598&lt;&gt;""),ROWS(DO$1:DO27))),"")</f>
        <v>27</v>
      </c>
      <c r="DP576" s="165">
        <f>IFERROR(INDEX(DH$550:DH$598,_xlfn.AGGREGATE(15,6,(ROW(DH$550:DH$598)-ROW(DH$550)+1)/(DH$550:DH$598&lt;&gt;""),ROWS(DP$1:DP27))),"")</f>
        <v>320.59795494950509</v>
      </c>
      <c r="DQ576" s="166">
        <f t="shared" si="298"/>
        <v>576</v>
      </c>
      <c r="DR576" s="65"/>
      <c r="DV576" s="145">
        <v>2041</v>
      </c>
      <c r="DW576" s="235">
        <f t="shared" ca="1" si="282"/>
        <v>244.72458604243133</v>
      </c>
    </row>
    <row r="577" spans="2:135" ht="13.8" x14ac:dyDescent="0.45">
      <c r="B577" s="128">
        <v>2039</v>
      </c>
      <c r="C577" s="291">
        <f>'Total MSW Summaries (Archive)'!K30</f>
        <v>172.68716102177777</v>
      </c>
      <c r="D577" s="307">
        <f>'Total MSW Summaries (Archive)'!AI30</f>
        <v>344.00000000000017</v>
      </c>
      <c r="E577" s="308">
        <f>'Total MSW Summaries (Archive)'!BG30</f>
        <v>206.13513513513522</v>
      </c>
      <c r="F577" s="293"/>
      <c r="G577" s="294"/>
      <c r="H577" s="292"/>
      <c r="I577" s="293"/>
      <c r="J577" s="294"/>
      <c r="K577" s="292"/>
      <c r="L577" s="293"/>
      <c r="M577" s="292"/>
      <c r="N577" s="29" t="s">
        <v>119</v>
      </c>
      <c r="O577" s="120"/>
      <c r="P577" s="120"/>
      <c r="Q577" s="120"/>
      <c r="R577" s="29">
        <v>25</v>
      </c>
      <c r="S577" s="288">
        <f t="shared" si="283"/>
        <v>172.68716102177777</v>
      </c>
      <c r="T577" s="288">
        <f t="shared" si="284"/>
        <v>344.00000000000017</v>
      </c>
      <c r="U577" s="288">
        <f t="shared" si="285"/>
        <v>74.142188271570987</v>
      </c>
      <c r="W577" s="288">
        <f t="shared" si="286"/>
        <v>166.79857711406675</v>
      </c>
      <c r="X577" s="288">
        <f t="shared" si="287"/>
        <v>240.94076538563772</v>
      </c>
      <c r="Y577" s="288">
        <f t="shared" si="288"/>
        <v>315.08295365720869</v>
      </c>
      <c r="AA577" s="89"/>
      <c r="AB577" s="89"/>
      <c r="AC577" s="89"/>
      <c r="AD577" s="89"/>
      <c r="AE577" s="89"/>
      <c r="AF577" s="89"/>
      <c r="AG577" s="89"/>
      <c r="AH577" s="89"/>
      <c r="AI577" s="89"/>
      <c r="AJ577" s="89"/>
      <c r="AK577" s="89"/>
      <c r="AL577" s="89"/>
      <c r="AM577" s="89"/>
      <c r="AN577" s="89"/>
      <c r="BR577" s="180">
        <v>2037</v>
      </c>
      <c r="BS577" s="22">
        <v>23</v>
      </c>
      <c r="BT577" s="289">
        <f t="shared" si="299"/>
        <v>44.860030603609275</v>
      </c>
      <c r="BU577" s="290">
        <f t="shared" si="300"/>
        <v>192.144598299715</v>
      </c>
      <c r="BV577" s="205">
        <f t="shared" si="301"/>
        <v>237.00462890332426</v>
      </c>
      <c r="BY577" s="180">
        <v>2037</v>
      </c>
      <c r="BZ577" s="22">
        <v>23</v>
      </c>
      <c r="CA577" s="289">
        <f t="shared" ca="1" si="302"/>
        <v>-1.4086543481659239</v>
      </c>
      <c r="CB577" s="289">
        <f t="shared" ca="1" si="303"/>
        <v>46.819897522796644</v>
      </c>
      <c r="CC577" s="290">
        <f t="shared" ca="1" si="314"/>
        <v>191.67593447121368</v>
      </c>
      <c r="CD577" s="205">
        <f t="shared" ca="1" si="304"/>
        <v>237.08717764584441</v>
      </c>
      <c r="CG577" s="180">
        <v>2037</v>
      </c>
      <c r="CH577" s="22">
        <v>23</v>
      </c>
      <c r="CI577" s="289">
        <f t="shared" ca="1" si="305"/>
        <v>-1.3287671634700229</v>
      </c>
      <c r="CJ577" s="289">
        <f t="shared" ca="1" si="306"/>
        <v>1.3644249495106986</v>
      </c>
      <c r="CK577" s="289">
        <f t="shared" ca="1" si="307"/>
        <v>45.252002506845756</v>
      </c>
      <c r="CL577" s="290">
        <f t="shared" ca="1" si="308"/>
        <v>191.87198960492466</v>
      </c>
      <c r="CM577" s="205">
        <f t="shared" ca="1" si="309"/>
        <v>237.15964989781111</v>
      </c>
      <c r="CP577" s="180">
        <v>2037</v>
      </c>
      <c r="CQ577" s="22">
        <v>23</v>
      </c>
      <c r="CR577" s="289">
        <f t="shared" ca="1" si="310"/>
        <v>193.51082844891297</v>
      </c>
      <c r="CS577" s="290">
        <f t="shared" ca="1" si="311"/>
        <v>1.2235308598904566</v>
      </c>
      <c r="CT577" s="205">
        <f t="shared" ca="1" si="312"/>
        <v>236.76647033021314</v>
      </c>
      <c r="CZ577" s="164" t="b">
        <f t="shared" si="289"/>
        <v>1</v>
      </c>
      <c r="DA577" s="165" t="b">
        <f t="shared" si="289"/>
        <v>1</v>
      </c>
      <c r="DB577" s="166" t="b">
        <f t="shared" si="289"/>
        <v>1</v>
      </c>
      <c r="DC577" s="164">
        <f t="shared" si="290"/>
        <v>25</v>
      </c>
      <c r="DD577" s="166">
        <f t="shared" si="291"/>
        <v>166.79857711406675</v>
      </c>
      <c r="DE577" s="164">
        <f t="shared" si="292"/>
        <v>25</v>
      </c>
      <c r="DF577" s="166">
        <f t="shared" si="293"/>
        <v>240.94076538563772</v>
      </c>
      <c r="DG577" s="164">
        <f t="shared" si="294"/>
        <v>25</v>
      </c>
      <c r="DH577" s="166">
        <f t="shared" si="295"/>
        <v>315.08295365720869</v>
      </c>
      <c r="DI577" s="164">
        <f>IFERROR(INDEX(DC$550:DC$598,_xlfn.AGGREGATE(15,6,(ROW(DC$550:DC$598)-ROW(DC$550)+1)/(DC$550:DC$598&lt;&gt;""),ROWS(DI$1:DI28))),"")</f>
        <v>28</v>
      </c>
      <c r="DJ577" s="165">
        <f>IFERROR(INDEX(DD$550:DD$598,_xlfn.AGGREGATE(15,6,(ROW(DD$550:DD$598)-ROW(DD$550)+1)/(DD$550:DD$598&lt;&gt;""),ROWS(DJ$1:DJ28))),"")</f>
        <v>169.83374783237261</v>
      </c>
      <c r="DK577" s="166">
        <f t="shared" si="296"/>
        <v>577</v>
      </c>
      <c r="DL577" s="164">
        <f>IFERROR(INDEX(DE$550:DE$598,_xlfn.AGGREGATE(15,6,(ROW(DE$550:DE$598)-ROW(DE$550)+1)/(DE$550:DE$598&lt;&gt;""),ROWS(DL$1:DL28))),"")</f>
        <v>28</v>
      </c>
      <c r="DM577" s="165">
        <f>IFERROR(INDEX(DF$550:DF$598,_xlfn.AGGREGATE(15,6,(ROW(DF$550:DF$598)-ROW(DF$550)+1)/(DF$550:DF$598&lt;&gt;""),ROWS(DM$1:DM28))),"")</f>
        <v>246.5923879752487</v>
      </c>
      <c r="DN577" s="166">
        <f t="shared" si="297"/>
        <v>577</v>
      </c>
      <c r="DO577" s="164">
        <f>IFERROR(INDEX(DG$550:DG$598,_xlfn.AGGREGATE(15,6,(ROW(DG$550:DG$598)-ROW(DG$550)+1)/(DG$550:DG$598&lt;&gt;""),ROWS(DO$1:DO28))),"")</f>
        <v>28</v>
      </c>
      <c r="DP577" s="165">
        <f>IFERROR(INDEX(DH$550:DH$598,_xlfn.AGGREGATE(15,6,(ROW(DH$550:DH$598)-ROW(DH$550)+1)/(DH$550:DH$598&lt;&gt;""),ROWS(DP$1:DP28))),"")</f>
        <v>323.35102811812476</v>
      </c>
      <c r="DQ577" s="166">
        <f t="shared" si="298"/>
        <v>577</v>
      </c>
      <c r="DR577" s="65"/>
      <c r="DV577" s="145">
        <v>2042</v>
      </c>
      <c r="DW577" s="235">
        <f t="shared" ca="1" si="282"/>
        <v>246.58612415316847</v>
      </c>
    </row>
    <row r="578" spans="2:135" ht="13.8" x14ac:dyDescent="0.45">
      <c r="B578" s="128">
        <v>2040</v>
      </c>
      <c r="C578" s="291">
        <f>'Total MSW Summaries (Archive)'!K31</f>
        <v>173.92871383507457</v>
      </c>
      <c r="D578" s="307">
        <f>'Total MSW Summaries (Archive)'!AI31</f>
        <v>347.12000000000018</v>
      </c>
      <c r="E578" s="308">
        <f>'Total MSW Summaries (Archive)'!BG31</f>
        <v>207.48648648648657</v>
      </c>
      <c r="F578" s="293"/>
      <c r="G578" s="294"/>
      <c r="H578" s="292"/>
      <c r="I578" s="293"/>
      <c r="J578" s="294"/>
      <c r="K578" s="292"/>
      <c r="L578" s="293"/>
      <c r="M578" s="292"/>
      <c r="N578" s="29" t="s">
        <v>119</v>
      </c>
      <c r="O578" s="120"/>
      <c r="P578" s="120"/>
      <c r="Q578" s="120"/>
      <c r="R578" s="29">
        <v>26</v>
      </c>
      <c r="S578" s="288">
        <f t="shared" si="283"/>
        <v>173.92871383507457</v>
      </c>
      <c r="T578" s="288">
        <f t="shared" si="284"/>
        <v>347.12000000000018</v>
      </c>
      <c r="U578" s="288">
        <f t="shared" si="285"/>
        <v>74.995454532564537</v>
      </c>
      <c r="W578" s="288">
        <f t="shared" si="286"/>
        <v>167.84961224128924</v>
      </c>
      <c r="X578" s="288">
        <f t="shared" si="287"/>
        <v>242.84506677385377</v>
      </c>
      <c r="Y578" s="288">
        <f t="shared" si="288"/>
        <v>317.84052130641828</v>
      </c>
      <c r="AA578" s="89"/>
      <c r="AB578" s="89"/>
      <c r="AC578" s="89"/>
      <c r="AD578" s="89"/>
      <c r="AE578" s="89"/>
      <c r="AF578" s="89"/>
      <c r="AG578" s="89"/>
      <c r="AH578" s="89"/>
      <c r="AI578" s="89"/>
      <c r="AJ578" s="89"/>
      <c r="AK578" s="89"/>
      <c r="AL578" s="89"/>
      <c r="AM578" s="89"/>
      <c r="AN578" s="89"/>
      <c r="BR578" s="180">
        <v>2038</v>
      </c>
      <c r="BS578" s="22">
        <v>24</v>
      </c>
      <c r="BT578" s="289">
        <f t="shared" si="299"/>
        <v>46.810466716809678</v>
      </c>
      <c r="BU578" s="290">
        <f t="shared" si="300"/>
        <v>192.144598299715</v>
      </c>
      <c r="BV578" s="205">
        <f t="shared" si="301"/>
        <v>238.95506501652469</v>
      </c>
      <c r="BY578" s="180">
        <v>2038</v>
      </c>
      <c r="BZ578" s="22">
        <v>24</v>
      </c>
      <c r="CA578" s="289">
        <f t="shared" ca="1" si="302"/>
        <v>-1.5338088932770741</v>
      </c>
      <c r="CB578" s="289">
        <f t="shared" ca="1" si="303"/>
        <v>48.855545241179108</v>
      </c>
      <c r="CC578" s="290">
        <f t="shared" ca="1" si="314"/>
        <v>191.67593447121368</v>
      </c>
      <c r="CD578" s="205">
        <f t="shared" ca="1" si="304"/>
        <v>238.99767081911571</v>
      </c>
      <c r="CG578" s="180">
        <v>2038</v>
      </c>
      <c r="CH578" s="22">
        <v>24</v>
      </c>
      <c r="CI578" s="289">
        <f t="shared" ca="1" si="305"/>
        <v>-1.5097293718919698</v>
      </c>
      <c r="CJ578" s="289">
        <f t="shared" ca="1" si="306"/>
        <v>1.4856498505069231</v>
      </c>
      <c r="CK578" s="289">
        <f t="shared" ca="1" si="307"/>
        <v>47.219480876708616</v>
      </c>
      <c r="CL578" s="290">
        <f t="shared" ca="1" si="308"/>
        <v>191.87198960492466</v>
      </c>
      <c r="CM578" s="205">
        <f t="shared" ca="1" si="309"/>
        <v>239.06739096024825</v>
      </c>
      <c r="CP578" s="180">
        <v>2038</v>
      </c>
      <c r="CQ578" s="22">
        <v>24</v>
      </c>
      <c r="CR578" s="289">
        <f t="shared" ca="1" si="310"/>
        <v>193.51082844891297</v>
      </c>
      <c r="CS578" s="290">
        <f t="shared" ca="1" si="311"/>
        <v>1.2343100703456322</v>
      </c>
      <c r="CT578" s="205">
        <f t="shared" ca="1" si="312"/>
        <v>238.85236427541935</v>
      </c>
      <c r="CZ578" s="164" t="b">
        <f t="shared" si="289"/>
        <v>1</v>
      </c>
      <c r="DA578" s="165" t="b">
        <f t="shared" si="289"/>
        <v>1</v>
      </c>
      <c r="DB578" s="166" t="b">
        <f t="shared" si="289"/>
        <v>1</v>
      </c>
      <c r="DC578" s="164">
        <f t="shared" si="290"/>
        <v>26</v>
      </c>
      <c r="DD578" s="166">
        <f t="shared" si="291"/>
        <v>167.84961224128924</v>
      </c>
      <c r="DE578" s="164">
        <f t="shared" si="292"/>
        <v>26</v>
      </c>
      <c r="DF578" s="166">
        <f t="shared" si="293"/>
        <v>242.84506677385377</v>
      </c>
      <c r="DG578" s="164">
        <f t="shared" si="294"/>
        <v>26</v>
      </c>
      <c r="DH578" s="166">
        <f t="shared" si="295"/>
        <v>317.84052130641828</v>
      </c>
      <c r="DI578" s="164">
        <f>IFERROR(INDEX(DC$550:DC$598,_xlfn.AGGREGATE(15,6,(ROW(DC$550:DC$598)-ROW(DC$550)+1)/(DC$550:DC$598&lt;&gt;""),ROWS(DI$1:DI29))),"")</f>
        <v>29</v>
      </c>
      <c r="DJ578" s="165">
        <f>IFERROR(INDEX(DD$550:DD$598,_xlfn.AGGREGATE(15,6,(ROW(DD$550:DD$598)-ROW(DD$550)+1)/(DD$550:DD$598&lt;&gt;""),ROWS(DJ$1:DJ29))),"")</f>
        <v>170.76670756810023</v>
      </c>
      <c r="DK578" s="166">
        <f t="shared" si="296"/>
        <v>578</v>
      </c>
      <c r="DL578" s="164">
        <f>IFERROR(INDEX(DE$550:DE$598,_xlfn.AGGREGATE(15,6,(ROW(DE$550:DE$598)-ROW(DE$550)+1)/(DE$550:DE$598&lt;&gt;""),ROWS(DL$1:DL29))),"")</f>
        <v>29</v>
      </c>
      <c r="DM578" s="165">
        <f>IFERROR(INDEX(DF$550:DF$598,_xlfn.AGGREGATE(15,6,(ROW(DF$550:DF$598)-ROW(DF$550)+1)/(DF$550:DF$598&lt;&gt;""),ROWS(DM$1:DM29))),"")</f>
        <v>248.435259415372</v>
      </c>
      <c r="DN578" s="166">
        <f t="shared" si="297"/>
        <v>578</v>
      </c>
      <c r="DO578" s="164">
        <f>IFERROR(INDEX(DG$550:DG$598,_xlfn.AGGREGATE(15,6,(ROW(DG$550:DG$598)-ROW(DG$550)+1)/(DG$550:DG$598&lt;&gt;""),ROWS(DO$1:DO29))),"")</f>
        <v>29</v>
      </c>
      <c r="DP578" s="165">
        <f>IFERROR(INDEX(DH$550:DH$598,_xlfn.AGGREGATE(15,6,(ROW(DH$550:DH$598)-ROW(DH$550)+1)/(DH$550:DH$598&lt;&gt;""),ROWS(DP$1:DP29))),"")</f>
        <v>326.10381126264377</v>
      </c>
      <c r="DQ578" s="166">
        <f t="shared" si="298"/>
        <v>578</v>
      </c>
      <c r="DR578" s="65"/>
      <c r="DV578" s="145">
        <v>2043</v>
      </c>
      <c r="DW578" s="235">
        <f t="shared" ca="1" si="282"/>
        <v>248.43447336476981</v>
      </c>
      <c r="EA578" s="55"/>
      <c r="EB578" s="55"/>
      <c r="EC578" s="55"/>
      <c r="ED578" s="55"/>
      <c r="EE578" s="55"/>
    </row>
    <row r="579" spans="2:135" ht="13.8" x14ac:dyDescent="0.45">
      <c r="B579" s="128">
        <v>2041</v>
      </c>
      <c r="C579" s="291">
        <f>'Total MSW Summaries (Archive)'!K32</f>
        <v>175.1592234016548</v>
      </c>
      <c r="D579" s="307">
        <f>'Total MSW Summaries (Archive)'!AI32</f>
        <v>350.24000000000018</v>
      </c>
      <c r="E579" s="308">
        <f>'Total MSW Summaries (Archive)'!BG32</f>
        <v>208.83783783783792</v>
      </c>
      <c r="F579" s="293"/>
      <c r="G579" s="294"/>
      <c r="H579" s="292"/>
      <c r="I579" s="293"/>
      <c r="J579" s="294"/>
      <c r="K579" s="292"/>
      <c r="L579" s="293"/>
      <c r="M579" s="292"/>
      <c r="N579" s="29" t="s">
        <v>119</v>
      </c>
      <c r="O579" s="120"/>
      <c r="P579" s="120"/>
      <c r="Q579" s="120"/>
      <c r="R579" s="29">
        <v>27</v>
      </c>
      <c r="S579" s="288">
        <f t="shared" si="283"/>
        <v>175.1592234016548</v>
      </c>
      <c r="T579" s="288">
        <f t="shared" si="284"/>
        <v>350.24000000000018</v>
      </c>
      <c r="U579" s="288">
        <f t="shared" si="285"/>
        <v>75.852267869674108</v>
      </c>
      <c r="W579" s="288">
        <f t="shared" si="286"/>
        <v>168.89341921015688</v>
      </c>
      <c r="X579" s="288">
        <f t="shared" si="287"/>
        <v>244.74568707983099</v>
      </c>
      <c r="Y579" s="288">
        <f t="shared" si="288"/>
        <v>320.59795494950509</v>
      </c>
      <c r="AA579" s="89"/>
      <c r="AB579" s="89"/>
      <c r="AC579" s="89"/>
      <c r="AD579" s="89"/>
      <c r="AE579" s="89"/>
      <c r="AF579" s="89"/>
      <c r="AG579" s="89"/>
      <c r="AH579" s="89"/>
      <c r="AI579" s="89"/>
      <c r="AJ579" s="89"/>
      <c r="AK579" s="89"/>
      <c r="AL579" s="89"/>
      <c r="AM579" s="89"/>
      <c r="AN579" s="89"/>
      <c r="BR579" s="180">
        <v>2039</v>
      </c>
      <c r="BS579" s="22">
        <v>25</v>
      </c>
      <c r="BT579" s="289">
        <f t="shared" si="299"/>
        <v>48.760902830010082</v>
      </c>
      <c r="BU579" s="290">
        <f t="shared" si="300"/>
        <v>192.144598299715</v>
      </c>
      <c r="BV579" s="205">
        <f t="shared" si="301"/>
        <v>240.90550112972508</v>
      </c>
      <c r="BY579" s="180">
        <v>2039</v>
      </c>
      <c r="BZ579" s="22">
        <v>25</v>
      </c>
      <c r="CA579" s="289">
        <f t="shared" ca="1" si="302"/>
        <v>-1.6642891637121029</v>
      </c>
      <c r="CB579" s="289">
        <f t="shared" ca="1" si="303"/>
        <v>50.891192959561572</v>
      </c>
      <c r="CC579" s="290">
        <f t="shared" ca="1" si="314"/>
        <v>191.67593447121368</v>
      </c>
      <c r="CD579" s="205">
        <f t="shared" ca="1" si="304"/>
        <v>240.90283826706315</v>
      </c>
      <c r="CG579" s="180">
        <v>2039</v>
      </c>
      <c r="CH579" s="22">
        <v>25</v>
      </c>
      <c r="CI579" s="289">
        <f t="shared" ca="1" si="305"/>
        <v>-1.7064179279377916</v>
      </c>
      <c r="CJ579" s="289">
        <f t="shared" ca="1" si="306"/>
        <v>1.612033257928519</v>
      </c>
      <c r="CK579" s="289">
        <f t="shared" ca="1" si="307"/>
        <v>49.186959246571476</v>
      </c>
      <c r="CL579" s="290">
        <f t="shared" ca="1" si="308"/>
        <v>191.87198960492466</v>
      </c>
      <c r="CM579" s="205">
        <f t="shared" ca="1" si="309"/>
        <v>240.96456418148688</v>
      </c>
      <c r="CP579" s="180">
        <v>2039</v>
      </c>
      <c r="CQ579" s="22">
        <v>25</v>
      </c>
      <c r="CR579" s="289">
        <f t="shared" ca="1" si="310"/>
        <v>193.51082844891297</v>
      </c>
      <c r="CS579" s="290">
        <f t="shared" ca="1" si="311"/>
        <v>1.2451842447954613</v>
      </c>
      <c r="CT579" s="205">
        <f t="shared" ca="1" si="312"/>
        <v>240.95663478190377</v>
      </c>
      <c r="CZ579" s="164" t="b">
        <f t="shared" si="289"/>
        <v>1</v>
      </c>
      <c r="DA579" s="165" t="b">
        <f t="shared" si="289"/>
        <v>1</v>
      </c>
      <c r="DB579" s="166" t="b">
        <f t="shared" si="289"/>
        <v>1</v>
      </c>
      <c r="DC579" s="164">
        <f t="shared" si="290"/>
        <v>27</v>
      </c>
      <c r="DD579" s="166">
        <f t="shared" si="291"/>
        <v>168.89341921015688</v>
      </c>
      <c r="DE579" s="164">
        <f t="shared" si="292"/>
        <v>27</v>
      </c>
      <c r="DF579" s="166">
        <f t="shared" si="293"/>
        <v>244.74568707983099</v>
      </c>
      <c r="DG579" s="164">
        <f t="shared" si="294"/>
        <v>27</v>
      </c>
      <c r="DH579" s="166">
        <f t="shared" si="295"/>
        <v>320.59795494950509</v>
      </c>
      <c r="DI579" s="164">
        <f>IFERROR(INDEX(DC$550:DC$598,_xlfn.AGGREGATE(15,6,(ROW(DC$550:DC$598)-ROW(DC$550)+1)/(DC$550:DC$598&lt;&gt;""),ROWS(DI$1:DI30))),"")</f>
        <v>30</v>
      </c>
      <c r="DJ579" s="165">
        <f>IFERROR(INDEX(DD$550:DD$598,_xlfn.AGGREGATE(15,6,(ROW(DD$550:DD$598)-ROW(DD$550)+1)/(DD$550:DD$598&lt;&gt;""),ROWS(DJ$1:DJ30))),"")</f>
        <v>171.69159107655057</v>
      </c>
      <c r="DK579" s="166">
        <f t="shared" si="296"/>
        <v>579</v>
      </c>
      <c r="DL579" s="164">
        <f>IFERROR(INDEX(DE$550:DE$598,_xlfn.AGGREGATE(15,6,(ROW(DE$550:DE$598)-ROW(DE$550)+1)/(DE$550:DE$598&lt;&gt;""),ROWS(DL$1:DL30))),"")</f>
        <v>30</v>
      </c>
      <c r="DM579" s="165">
        <f>IFERROR(INDEX(DF$550:DF$598,_xlfn.AGGREGATE(15,6,(ROW(DF$550:DF$598)-ROW(DF$550)+1)/(DF$550:DF$598&lt;&gt;""),ROWS(DM$1:DM30))),"")</f>
        <v>250.2739279046672</v>
      </c>
      <c r="DN579" s="166">
        <f t="shared" si="297"/>
        <v>579</v>
      </c>
      <c r="DO579" s="164">
        <f>IFERROR(INDEX(DG$550:DG$598,_xlfn.AGGREGATE(15,6,(ROW(DG$550:DG$598)-ROW(DG$550)+1)/(DG$550:DG$598&lt;&gt;""),ROWS(DO$1:DO30))),"")</f>
        <v>30</v>
      </c>
      <c r="DP579" s="165">
        <f>IFERROR(INDEX(DH$550:DH$598,_xlfn.AGGREGATE(15,6,(ROW(DH$550:DH$598)-ROW(DH$550)+1)/(DH$550:DH$598&lt;&gt;""),ROWS(DP$1:DP30))),"")</f>
        <v>328.85626473278387</v>
      </c>
      <c r="DQ579" s="166">
        <f t="shared" si="298"/>
        <v>579</v>
      </c>
      <c r="DR579" s="65"/>
      <c r="DV579" s="145">
        <v>2044</v>
      </c>
      <c r="DW579" s="235">
        <f t="shared" ca="1" si="282"/>
        <v>250.26897841275098</v>
      </c>
      <c r="EA579" s="55"/>
      <c r="EB579" s="55"/>
      <c r="EC579" s="55"/>
      <c r="ED579" s="55"/>
      <c r="EE579" s="55"/>
    </row>
    <row r="580" spans="2:135" ht="13.8" x14ac:dyDescent="0.45">
      <c r="B580" s="128">
        <v>2042</v>
      </c>
      <c r="C580" s="291">
        <f>'Total MSW Summaries (Archive)'!K33</f>
        <v>176.2279747365566</v>
      </c>
      <c r="D580" s="307">
        <f>'Total MSW Summaries (Archive)'!AI33</f>
        <v>353.36000000000018</v>
      </c>
      <c r="E580" s="308">
        <f>'Total MSW Summaries (Archive)'!BG33</f>
        <v>210.18918918918928</v>
      </c>
      <c r="F580" s="293"/>
      <c r="G580" s="294"/>
      <c r="H580" s="292"/>
      <c r="I580" s="293"/>
      <c r="J580" s="294"/>
      <c r="K580" s="292"/>
      <c r="L580" s="293"/>
      <c r="M580" s="292"/>
      <c r="N580" s="29" t="s">
        <v>119</v>
      </c>
      <c r="O580" s="120"/>
      <c r="P580" s="120"/>
      <c r="Q580" s="120"/>
      <c r="R580" s="29">
        <v>28</v>
      </c>
      <c r="S580" s="288">
        <f t="shared" si="283"/>
        <v>176.2279747365566</v>
      </c>
      <c r="T580" s="288">
        <f t="shared" si="284"/>
        <v>353.36000000000018</v>
      </c>
      <c r="U580" s="288">
        <f t="shared" si="285"/>
        <v>76.758640142876089</v>
      </c>
      <c r="W580" s="288">
        <f t="shared" si="286"/>
        <v>169.83374783237261</v>
      </c>
      <c r="X580" s="288">
        <f t="shared" si="287"/>
        <v>246.5923879752487</v>
      </c>
      <c r="Y580" s="288">
        <f t="shared" si="288"/>
        <v>323.35102811812476</v>
      </c>
      <c r="AA580" s="89"/>
      <c r="AB580" s="89"/>
      <c r="AC580" s="89"/>
      <c r="AD580" s="89"/>
      <c r="AE580" s="89"/>
      <c r="AF580" s="89"/>
      <c r="AG580" s="89"/>
      <c r="AH580" s="89"/>
      <c r="AI580" s="89"/>
      <c r="AJ580" s="89"/>
      <c r="AK580" s="89"/>
      <c r="AL580" s="89"/>
      <c r="AM580" s="89"/>
      <c r="AN580" s="89"/>
      <c r="BR580" s="180">
        <v>2040</v>
      </c>
      <c r="BS580" s="22">
        <v>26</v>
      </c>
      <c r="BT580" s="289">
        <f t="shared" si="299"/>
        <v>50.711338943210485</v>
      </c>
      <c r="BU580" s="290">
        <f t="shared" si="300"/>
        <v>192.144598299715</v>
      </c>
      <c r="BV580" s="205">
        <f t="shared" si="301"/>
        <v>242.85593724292548</v>
      </c>
      <c r="BY580" s="180">
        <v>2040</v>
      </c>
      <c r="BZ580" s="22">
        <v>26</v>
      </c>
      <c r="CA580" s="289">
        <f t="shared" ca="1" si="302"/>
        <v>-1.8000951594710104</v>
      </c>
      <c r="CB580" s="289">
        <f t="shared" ca="1" si="303"/>
        <v>52.926840677944035</v>
      </c>
      <c r="CC580" s="290">
        <f t="shared" ca="1" si="314"/>
        <v>191.67593447121368</v>
      </c>
      <c r="CD580" s="205">
        <f t="shared" ca="1" si="304"/>
        <v>242.80267998968671</v>
      </c>
      <c r="CG580" s="180">
        <v>2040</v>
      </c>
      <c r="CH580" s="22">
        <v>26</v>
      </c>
      <c r="CI580" s="289">
        <f t="shared" ca="1" si="305"/>
        <v>-1.9194880960918159</v>
      </c>
      <c r="CJ580" s="289">
        <f t="shared" ca="1" si="306"/>
        <v>1.7435751717754862</v>
      </c>
      <c r="CK580" s="289">
        <f t="shared" ca="1" si="307"/>
        <v>51.154437616434336</v>
      </c>
      <c r="CL580" s="290">
        <f t="shared" ca="1" si="308"/>
        <v>191.87198960492466</v>
      </c>
      <c r="CM580" s="205">
        <f t="shared" ca="1" si="309"/>
        <v>242.85051429704268</v>
      </c>
      <c r="CP580" s="180">
        <v>2040</v>
      </c>
      <c r="CQ580" s="22">
        <v>26</v>
      </c>
      <c r="CR580" s="289">
        <f t="shared" ca="1" si="310"/>
        <v>193.51082844891297</v>
      </c>
      <c r="CS580" s="290">
        <f t="shared" ca="1" si="311"/>
        <v>1.2561542198652529</v>
      </c>
      <c r="CT580" s="205">
        <f t="shared" ca="1" si="312"/>
        <v>243.07944374572307</v>
      </c>
      <c r="CZ580" s="164" t="b">
        <f t="shared" si="289"/>
        <v>1</v>
      </c>
      <c r="DA580" s="165" t="b">
        <f t="shared" si="289"/>
        <v>1</v>
      </c>
      <c r="DB580" s="166" t="b">
        <f t="shared" si="289"/>
        <v>1</v>
      </c>
      <c r="DC580" s="164">
        <f t="shared" si="290"/>
        <v>28</v>
      </c>
      <c r="DD580" s="166">
        <f t="shared" si="291"/>
        <v>169.83374783237261</v>
      </c>
      <c r="DE580" s="164">
        <f t="shared" si="292"/>
        <v>28</v>
      </c>
      <c r="DF580" s="166">
        <f t="shared" si="293"/>
        <v>246.5923879752487</v>
      </c>
      <c r="DG580" s="164">
        <f t="shared" si="294"/>
        <v>28</v>
      </c>
      <c r="DH580" s="166">
        <f t="shared" si="295"/>
        <v>323.35102811812476</v>
      </c>
      <c r="DI580" s="164">
        <f>IFERROR(INDEX(DC$550:DC$598,_xlfn.AGGREGATE(15,6,(ROW(DC$550:DC$598)-ROW(DC$550)+1)/(DC$550:DC$598&lt;&gt;""),ROWS(DI$1:DI31))),"")</f>
        <v>31</v>
      </c>
      <c r="DJ580" s="165">
        <f>IFERROR(INDEX(DD$550:DD$598,_xlfn.AGGREGATE(15,6,(ROW(DD$550:DD$598)-ROW(DD$550)+1)/(DD$550:DD$598&lt;&gt;""),ROWS(DJ$1:DJ31))),"")</f>
        <v>172.60780001932801</v>
      </c>
      <c r="DK580" s="166">
        <f t="shared" si="296"/>
        <v>580</v>
      </c>
      <c r="DL580" s="164">
        <f>IFERROR(INDEX(DE$550:DE$598,_xlfn.AGGREGATE(15,6,(ROW(DE$550:DE$598)-ROW(DE$550)+1)/(DE$550:DE$598&lt;&gt;""),ROWS(DL$1:DL31))),"")</f>
        <v>31</v>
      </c>
      <c r="DM580" s="165">
        <f>IFERROR(INDEX(DF$550:DF$598,_xlfn.AGGREGATE(15,6,(ROW(DF$550:DF$598)-ROW(DF$550)+1)/(DF$550:DF$598&lt;&gt;""),ROWS(DM$1:DM31))),"")</f>
        <v>252.10807702029433</v>
      </c>
      <c r="DN580" s="166">
        <f t="shared" si="297"/>
        <v>580</v>
      </c>
      <c r="DO580" s="164">
        <f>IFERROR(INDEX(DG$550:DG$598,_xlfn.AGGREGATE(15,6,(ROW(DG$550:DG$598)-ROW(DG$550)+1)/(DG$550:DG$598&lt;&gt;""),ROWS(DO$1:DO31))),"")</f>
        <v>31</v>
      </c>
      <c r="DP580" s="165">
        <f>IFERROR(INDEX(DH$550:DH$598,_xlfn.AGGREGATE(15,6,(ROW(DH$550:DH$598)-ROW(DH$550)+1)/(DH$550:DH$598&lt;&gt;""),ROWS(DP$1:DP31))),"")</f>
        <v>331.60835402126065</v>
      </c>
      <c r="DQ580" s="166">
        <f t="shared" si="298"/>
        <v>580</v>
      </c>
      <c r="DR580" s="65"/>
      <c r="DV580" s="145">
        <v>2045</v>
      </c>
      <c r="DW580" s="235">
        <f t="shared" ca="1" si="282"/>
        <v>252.08898403262771</v>
      </c>
      <c r="EA580" s="55"/>
      <c r="EB580" s="55"/>
      <c r="EC580" s="55"/>
      <c r="ED580" s="55"/>
      <c r="EE580" s="55"/>
    </row>
    <row r="581" spans="2:135" ht="13.8" x14ac:dyDescent="0.45">
      <c r="B581" s="128">
        <v>2043</v>
      </c>
      <c r="C581" s="291">
        <f>'Total MSW Summaries (Archive)'!K34</f>
        <v>177.28523770557518</v>
      </c>
      <c r="D581" s="307">
        <f>'Total MSW Summaries (Archive)'!AI34</f>
        <v>356.48000000000019</v>
      </c>
      <c r="E581" s="308">
        <f>'Total MSW Summaries (Archive)'!BG34</f>
        <v>211.54054054054063</v>
      </c>
      <c r="F581" s="293"/>
      <c r="G581" s="294"/>
      <c r="H581" s="292"/>
      <c r="I581" s="293"/>
      <c r="J581" s="294"/>
      <c r="K581" s="292"/>
      <c r="L581" s="293"/>
      <c r="M581" s="292"/>
      <c r="N581" s="29" t="s">
        <v>119</v>
      </c>
      <c r="O581" s="120"/>
      <c r="P581" s="120"/>
      <c r="Q581" s="120"/>
      <c r="R581" s="29">
        <v>29</v>
      </c>
      <c r="S581" s="288">
        <f t="shared" si="283"/>
        <v>177.28523770557518</v>
      </c>
      <c r="T581" s="288">
        <f t="shared" si="284"/>
        <v>356.48000000000019</v>
      </c>
      <c r="U581" s="288">
        <f t="shared" si="285"/>
        <v>77.668551847271786</v>
      </c>
      <c r="W581" s="288">
        <f t="shared" si="286"/>
        <v>170.76670756810023</v>
      </c>
      <c r="X581" s="288">
        <f t="shared" si="287"/>
        <v>248.435259415372</v>
      </c>
      <c r="Y581" s="288">
        <f t="shared" si="288"/>
        <v>326.10381126264377</v>
      </c>
      <c r="AA581" s="89"/>
      <c r="AB581" s="89"/>
      <c r="AC581" s="89"/>
      <c r="AD581" s="89"/>
      <c r="AE581" s="89"/>
      <c r="AF581" s="89"/>
      <c r="AG581" s="89"/>
      <c r="AH581" s="89"/>
      <c r="AI581" s="89"/>
      <c r="AJ581" s="89"/>
      <c r="AK581" s="89"/>
      <c r="AL581" s="89"/>
      <c r="AM581" s="89"/>
      <c r="AN581" s="89"/>
      <c r="BR581" s="180">
        <v>2041</v>
      </c>
      <c r="BS581" s="22">
        <v>27</v>
      </c>
      <c r="BT581" s="289">
        <f t="shared" si="299"/>
        <v>52.661775056410889</v>
      </c>
      <c r="BU581" s="290">
        <f t="shared" si="300"/>
        <v>192.144598299715</v>
      </c>
      <c r="BV581" s="205">
        <f t="shared" si="301"/>
        <v>244.8063733561259</v>
      </c>
      <c r="BY581" s="180">
        <v>2041</v>
      </c>
      <c r="BZ581" s="22">
        <v>27</v>
      </c>
      <c r="CA581" s="289">
        <f t="shared" ca="1" si="302"/>
        <v>-1.9412268805537969</v>
      </c>
      <c r="CB581" s="289">
        <f t="shared" ca="1" si="303"/>
        <v>54.962488396326499</v>
      </c>
      <c r="CC581" s="290">
        <f t="shared" ca="1" si="314"/>
        <v>191.67593447121368</v>
      </c>
      <c r="CD581" s="205">
        <f t="shared" ca="1" si="304"/>
        <v>244.69719598698637</v>
      </c>
      <c r="CG581" s="180">
        <v>2041</v>
      </c>
      <c r="CH581" s="22">
        <v>27</v>
      </c>
      <c r="CI581" s="289">
        <f t="shared" ca="1" si="305"/>
        <v>-2.1495951408383713</v>
      </c>
      <c r="CJ581" s="289">
        <f t="shared" ca="1" si="306"/>
        <v>1.8802755920478247</v>
      </c>
      <c r="CK581" s="289">
        <f t="shared" ca="1" si="307"/>
        <v>53.121915986297196</v>
      </c>
      <c r="CL581" s="290">
        <f t="shared" ca="1" si="308"/>
        <v>191.87198960492466</v>
      </c>
      <c r="CM581" s="205">
        <f t="shared" ca="1" si="309"/>
        <v>244.72458604243133</v>
      </c>
      <c r="CP581" s="180">
        <v>2041</v>
      </c>
      <c r="CQ581" s="22">
        <v>27</v>
      </c>
      <c r="CR581" s="289">
        <f t="shared" ca="1" si="310"/>
        <v>193.51082844891297</v>
      </c>
      <c r="CS581" s="290">
        <f t="shared" ca="1" si="311"/>
        <v>1.2672208395509197</v>
      </c>
      <c r="CT581" s="205">
        <f t="shared" ca="1" si="312"/>
        <v>245.22095448922551</v>
      </c>
      <c r="CZ581" s="164" t="b">
        <f t="shared" si="289"/>
        <v>1</v>
      </c>
      <c r="DA581" s="165" t="b">
        <f t="shared" si="289"/>
        <v>1</v>
      </c>
      <c r="DB581" s="166" t="b">
        <f t="shared" si="289"/>
        <v>1</v>
      </c>
      <c r="DC581" s="164">
        <f t="shared" si="290"/>
        <v>29</v>
      </c>
      <c r="DD581" s="166">
        <f t="shared" si="291"/>
        <v>170.76670756810023</v>
      </c>
      <c r="DE581" s="164">
        <f t="shared" si="292"/>
        <v>29</v>
      </c>
      <c r="DF581" s="166">
        <f t="shared" si="293"/>
        <v>248.435259415372</v>
      </c>
      <c r="DG581" s="164">
        <f t="shared" si="294"/>
        <v>29</v>
      </c>
      <c r="DH581" s="166">
        <f t="shared" si="295"/>
        <v>326.10381126264377</v>
      </c>
      <c r="DI581" s="164" t="str">
        <f>IFERROR(INDEX(DC$550:DC$598,_xlfn.AGGREGATE(15,6,(ROW(DC$550:DC$598)-ROW(DC$550)+1)/(DC$550:DC$598&lt;&gt;""),ROWS(DI$1:DI32))),"")</f>
        <v/>
      </c>
      <c r="DJ581" s="165" t="str">
        <f>IFERROR(INDEX(DD$550:DD$598,_xlfn.AGGREGATE(15,6,(ROW(DD$550:DD$598)-ROW(DD$550)+1)/(DD$550:DD$598&lt;&gt;""),ROWS(DJ$1:DJ32))),"")</f>
        <v/>
      </c>
      <c r="DK581" s="166" t="str">
        <f t="shared" si="296"/>
        <v/>
      </c>
      <c r="DL581" s="164" t="str">
        <f>IFERROR(INDEX(DE$550:DE$598,_xlfn.AGGREGATE(15,6,(ROW(DE$550:DE$598)-ROW(DE$550)+1)/(DE$550:DE$598&lt;&gt;""),ROWS(DL$1:DL32))),"")</f>
        <v/>
      </c>
      <c r="DM581" s="165" t="str">
        <f>IFERROR(INDEX(DF$550:DF$598,_xlfn.AGGREGATE(15,6,(ROW(DF$550:DF$598)-ROW(DF$550)+1)/(DF$550:DF$598&lt;&gt;""),ROWS(DM$1:DM32))),"")</f>
        <v/>
      </c>
      <c r="DN581" s="166" t="str">
        <f t="shared" si="297"/>
        <v/>
      </c>
      <c r="DO581" s="164" t="str">
        <f>IFERROR(INDEX(DG$550:DG$598,_xlfn.AGGREGATE(15,6,(ROW(DG$550:DG$598)-ROW(DG$550)+1)/(DG$550:DG$598&lt;&gt;""),ROWS(DO$1:DO32))),"")</f>
        <v/>
      </c>
      <c r="DP581" s="165" t="str">
        <f>IFERROR(INDEX(DH$550:DH$598,_xlfn.AGGREGATE(15,6,(ROW(DH$550:DH$598)-ROW(DH$550)+1)/(DH$550:DH$598&lt;&gt;""),ROWS(DP$1:DP32))),"")</f>
        <v/>
      </c>
      <c r="DQ581" s="166" t="str">
        <f t="shared" si="298"/>
        <v/>
      </c>
      <c r="DR581" s="65"/>
      <c r="DV581" s="145">
        <v>2046</v>
      </c>
      <c r="DW581" s="235">
        <f t="shared" ca="1" si="282"/>
        <v>253.89383495991564</v>
      </c>
      <c r="EA581" s="55"/>
      <c r="EB581" s="55"/>
      <c r="EC581" s="55"/>
      <c r="ED581" s="55"/>
      <c r="EE581" s="55"/>
    </row>
    <row r="582" spans="2:135" ht="13.8" x14ac:dyDescent="0.45">
      <c r="B582" s="128">
        <v>2044</v>
      </c>
      <c r="C582" s="291">
        <f>'Total MSW Summaries (Archive)'!K35</f>
        <v>178.32989182210946</v>
      </c>
      <c r="D582" s="307">
        <f>'Total MSW Summaries (Archive)'!AI35</f>
        <v>359.60000000000019</v>
      </c>
      <c r="E582" s="308">
        <f>'Total MSW Summaries (Archive)'!BG35</f>
        <v>212.89189189189199</v>
      </c>
      <c r="F582" s="293"/>
      <c r="G582" s="294"/>
      <c r="H582" s="292"/>
      <c r="I582" s="293"/>
      <c r="J582" s="294"/>
      <c r="K582" s="292"/>
      <c r="L582" s="293"/>
      <c r="M582" s="292"/>
      <c r="N582" s="29" t="s">
        <v>119</v>
      </c>
      <c r="O582" s="120"/>
      <c r="P582" s="120"/>
      <c r="Q582" s="120"/>
      <c r="R582" s="29">
        <v>30</v>
      </c>
      <c r="S582" s="288">
        <f t="shared" si="283"/>
        <v>178.32989182210946</v>
      </c>
      <c r="T582" s="288">
        <f t="shared" si="284"/>
        <v>359.60000000000019</v>
      </c>
      <c r="U582" s="288">
        <f t="shared" si="285"/>
        <v>78.582336828116638</v>
      </c>
      <c r="W582" s="288">
        <f t="shared" si="286"/>
        <v>171.69159107655057</v>
      </c>
      <c r="X582" s="288">
        <f t="shared" si="287"/>
        <v>250.2739279046672</v>
      </c>
      <c r="Y582" s="288">
        <f t="shared" si="288"/>
        <v>328.85626473278387</v>
      </c>
      <c r="AA582" s="89"/>
      <c r="AB582" s="89"/>
      <c r="AC582" s="89"/>
      <c r="AD582" s="89"/>
      <c r="AE582" s="89"/>
      <c r="AF582" s="89"/>
      <c r="AG582" s="89"/>
      <c r="AH582" s="89"/>
      <c r="AI582" s="89"/>
      <c r="AJ582" s="89"/>
      <c r="AK582" s="89"/>
      <c r="AL582" s="89"/>
      <c r="AM582" s="89"/>
      <c r="AN582" s="89"/>
      <c r="BR582" s="180">
        <v>2042</v>
      </c>
      <c r="BS582" s="22">
        <v>28</v>
      </c>
      <c r="BT582" s="289">
        <f t="shared" si="299"/>
        <v>54.612211169611292</v>
      </c>
      <c r="BU582" s="290">
        <f t="shared" si="300"/>
        <v>192.144598299715</v>
      </c>
      <c r="BV582" s="205">
        <f t="shared" si="301"/>
        <v>246.7568094693263</v>
      </c>
      <c r="BY582" s="180">
        <v>2042</v>
      </c>
      <c r="BZ582" s="22">
        <v>28</v>
      </c>
      <c r="CA582" s="289">
        <f t="shared" ca="1" si="302"/>
        <v>-2.0876843269604617</v>
      </c>
      <c r="CB582" s="289">
        <f t="shared" ca="1" si="303"/>
        <v>56.998136114708956</v>
      </c>
      <c r="CC582" s="290">
        <f t="shared" ca="1" si="314"/>
        <v>191.67593447121368</v>
      </c>
      <c r="CD582" s="205">
        <f t="shared" ca="1" si="304"/>
        <v>246.58638625896216</v>
      </c>
      <c r="CG582" s="180">
        <v>2042</v>
      </c>
      <c r="CH582" s="22">
        <v>28</v>
      </c>
      <c r="CI582" s="289">
        <f t="shared" ca="1" si="305"/>
        <v>-2.3973943266617854</v>
      </c>
      <c r="CJ582" s="289">
        <f t="shared" ca="1" si="306"/>
        <v>2.0221345187455344</v>
      </c>
      <c r="CK582" s="289">
        <f t="shared" ca="1" si="307"/>
        <v>55.089394356160057</v>
      </c>
      <c r="CL582" s="290">
        <f t="shared" ca="1" si="308"/>
        <v>191.87198960492466</v>
      </c>
      <c r="CM582" s="205">
        <f t="shared" ca="1" si="309"/>
        <v>246.58612415316847</v>
      </c>
      <c r="CP582" s="180">
        <v>2042</v>
      </c>
      <c r="CQ582" s="22">
        <v>28</v>
      </c>
      <c r="CR582" s="289">
        <f t="shared" ca="1" si="310"/>
        <v>193.51082844891297</v>
      </c>
      <c r="CS582" s="290">
        <f t="shared" ca="1" si="311"/>
        <v>1.2783849552839111</v>
      </c>
      <c r="CT582" s="205">
        <f t="shared" ca="1" si="312"/>
        <v>247.38133177361618</v>
      </c>
      <c r="CZ582" s="164" t="b">
        <f t="shared" si="289"/>
        <v>1</v>
      </c>
      <c r="DA582" s="165" t="b">
        <f t="shared" si="289"/>
        <v>1</v>
      </c>
      <c r="DB582" s="166" t="b">
        <f t="shared" si="289"/>
        <v>1</v>
      </c>
      <c r="DC582" s="164">
        <f t="shared" si="290"/>
        <v>30</v>
      </c>
      <c r="DD582" s="166">
        <f t="shared" si="291"/>
        <v>171.69159107655057</v>
      </c>
      <c r="DE582" s="164">
        <f t="shared" si="292"/>
        <v>30</v>
      </c>
      <c r="DF582" s="166">
        <f t="shared" si="293"/>
        <v>250.2739279046672</v>
      </c>
      <c r="DG582" s="164">
        <f t="shared" si="294"/>
        <v>30</v>
      </c>
      <c r="DH582" s="166">
        <f t="shared" si="295"/>
        <v>328.85626473278387</v>
      </c>
      <c r="DI582" s="164" t="str">
        <f>IFERROR(INDEX(DC$550:DC$598,_xlfn.AGGREGATE(15,6,(ROW(DC$550:DC$598)-ROW(DC$550)+1)/(DC$550:DC$598&lt;&gt;""),ROWS(DI$1:DI33))),"")</f>
        <v/>
      </c>
      <c r="DJ582" s="165" t="str">
        <f>IFERROR(INDEX(DD$550:DD$598,_xlfn.AGGREGATE(15,6,(ROW(DD$550:DD$598)-ROW(DD$550)+1)/(DD$550:DD$598&lt;&gt;""),ROWS(DJ$1:DJ33))),"")</f>
        <v/>
      </c>
      <c r="DK582" s="166" t="str">
        <f t="shared" si="296"/>
        <v/>
      </c>
      <c r="DL582" s="164" t="str">
        <f>IFERROR(INDEX(DE$550:DE$598,_xlfn.AGGREGATE(15,6,(ROW(DE$550:DE$598)-ROW(DE$550)+1)/(DE$550:DE$598&lt;&gt;""),ROWS(DL$1:DL33))),"")</f>
        <v/>
      </c>
      <c r="DM582" s="165" t="str">
        <f>IFERROR(INDEX(DF$550:DF$598,_xlfn.AGGREGATE(15,6,(ROW(DF$550:DF$598)-ROW(DF$550)+1)/(DF$550:DF$598&lt;&gt;""),ROWS(DM$1:DM33))),"")</f>
        <v/>
      </c>
      <c r="DN582" s="166" t="str">
        <f t="shared" si="297"/>
        <v/>
      </c>
      <c r="DO582" s="164" t="str">
        <f>IFERROR(INDEX(DG$550:DG$598,_xlfn.AGGREGATE(15,6,(ROW(DG$550:DG$598)-ROW(DG$550)+1)/(DG$550:DG$598&lt;&gt;""),ROWS(DO$1:DO33))),"")</f>
        <v/>
      </c>
      <c r="DP582" s="165" t="str">
        <f>IFERROR(INDEX(DH$550:DH$598,_xlfn.AGGREGATE(15,6,(ROW(DH$550:DH$598)-ROW(DH$550)+1)/(DH$550:DH$598&lt;&gt;""),ROWS(DP$1:DP33))),"")</f>
        <v/>
      </c>
      <c r="DQ582" s="166" t="str">
        <f t="shared" si="298"/>
        <v/>
      </c>
      <c r="DR582" s="65"/>
      <c r="DV582" s="145">
        <v>2047</v>
      </c>
      <c r="DW582" s="235">
        <f t="shared" ca="1" si="282"/>
        <v>255.68287593013042</v>
      </c>
      <c r="EA582" s="55"/>
      <c r="EB582" s="55"/>
      <c r="EC582" s="55"/>
      <c r="ED582" s="55"/>
      <c r="EE582" s="55"/>
    </row>
    <row r="583" spans="2:135" ht="13.8" x14ac:dyDescent="0.45">
      <c r="B583" s="128">
        <v>2045</v>
      </c>
      <c r="C583" s="291">
        <f>'Total MSW Summaries (Archive)'!K36</f>
        <v>179.3609878176394</v>
      </c>
      <c r="D583" s="307">
        <f>'Total MSW Summaries (Archive)'!AI36</f>
        <v>362.7200000000002</v>
      </c>
      <c r="E583" s="308">
        <f>'Total MSW Summaries (Archive)'!BG36</f>
        <v>214.24324324324334</v>
      </c>
      <c r="F583" s="293"/>
      <c r="G583" s="294"/>
      <c r="H583" s="292"/>
      <c r="I583" s="293"/>
      <c r="J583" s="294"/>
      <c r="K583" s="292"/>
      <c r="L583" s="293"/>
      <c r="M583" s="292"/>
      <c r="N583" s="29" t="s">
        <v>119</v>
      </c>
      <c r="O583" s="120"/>
      <c r="P583" s="120"/>
      <c r="Q583" s="120"/>
      <c r="R583" s="29">
        <v>31</v>
      </c>
      <c r="S583" s="288">
        <f t="shared" si="283"/>
        <v>179.3609878176394</v>
      </c>
      <c r="T583" s="288">
        <f t="shared" si="284"/>
        <v>362.7200000000002</v>
      </c>
      <c r="U583" s="288">
        <f t="shared" si="285"/>
        <v>79.500277000966307</v>
      </c>
      <c r="W583" s="288">
        <f t="shared" si="286"/>
        <v>172.60780001932801</v>
      </c>
      <c r="X583" s="288">
        <f t="shared" si="287"/>
        <v>252.10807702029433</v>
      </c>
      <c r="Y583" s="288">
        <f t="shared" si="288"/>
        <v>331.60835402126065</v>
      </c>
      <c r="AA583" s="89"/>
      <c r="AB583" s="89"/>
      <c r="AC583" s="89"/>
      <c r="AD583" s="89"/>
      <c r="AE583" s="89"/>
      <c r="AF583" s="89"/>
      <c r="AG583" s="89"/>
      <c r="AH583" s="89"/>
      <c r="AI583" s="89"/>
      <c r="AJ583" s="89"/>
      <c r="AK583" s="89"/>
      <c r="AL583" s="89"/>
      <c r="AM583" s="89"/>
      <c r="AN583" s="89"/>
      <c r="BR583" s="180">
        <v>2043</v>
      </c>
      <c r="BS583" s="22">
        <v>29</v>
      </c>
      <c r="BT583" s="289">
        <f t="shared" si="299"/>
        <v>56.562647282811696</v>
      </c>
      <c r="BU583" s="290">
        <f t="shared" si="300"/>
        <v>192.144598299715</v>
      </c>
      <c r="BV583" s="205">
        <f t="shared" si="301"/>
        <v>248.7072455825267</v>
      </c>
      <c r="BY583" s="180">
        <v>2043</v>
      </c>
      <c r="BZ583" s="22">
        <v>29</v>
      </c>
      <c r="CA583" s="289">
        <f t="shared" ca="1" si="302"/>
        <v>-2.2394674986910057</v>
      </c>
      <c r="CB583" s="289">
        <f t="shared" ca="1" si="303"/>
        <v>59.03378383309142</v>
      </c>
      <c r="CC583" s="290">
        <f t="shared" ca="1" si="314"/>
        <v>191.67593447121368</v>
      </c>
      <c r="CD583" s="205">
        <f t="shared" ca="1" si="304"/>
        <v>248.47025080561409</v>
      </c>
      <c r="CG583" s="180">
        <v>2043</v>
      </c>
      <c r="CH583" s="22">
        <v>29</v>
      </c>
      <c r="CI583" s="289">
        <f t="shared" ca="1" si="305"/>
        <v>-2.6635409180463872</v>
      </c>
      <c r="CJ583" s="289">
        <f t="shared" ca="1" si="306"/>
        <v>2.1691519518686153</v>
      </c>
      <c r="CK583" s="289">
        <f t="shared" ca="1" si="307"/>
        <v>57.05687272602291</v>
      </c>
      <c r="CL583" s="290">
        <f t="shared" ca="1" si="308"/>
        <v>191.87198960492466</v>
      </c>
      <c r="CM583" s="205">
        <f t="shared" ca="1" si="309"/>
        <v>248.43447336476981</v>
      </c>
      <c r="CP583" s="180">
        <v>2043</v>
      </c>
      <c r="CQ583" s="22">
        <v>29</v>
      </c>
      <c r="CR583" s="289">
        <f t="shared" ca="1" si="310"/>
        <v>193.51082844891297</v>
      </c>
      <c r="CS583" s="290">
        <f t="shared" ca="1" si="311"/>
        <v>1.289647425996721</v>
      </c>
      <c r="CT583" s="205">
        <f t="shared" ca="1" si="312"/>
        <v>249.56074181163368</v>
      </c>
      <c r="CZ583" s="164" t="b">
        <f t="shared" si="289"/>
        <v>1</v>
      </c>
      <c r="DA583" s="165" t="b">
        <f t="shared" si="289"/>
        <v>1</v>
      </c>
      <c r="DB583" s="166" t="b">
        <f t="shared" si="289"/>
        <v>1</v>
      </c>
      <c r="DC583" s="164">
        <f t="shared" si="290"/>
        <v>31</v>
      </c>
      <c r="DD583" s="166">
        <f t="shared" si="291"/>
        <v>172.60780001932801</v>
      </c>
      <c r="DE583" s="164">
        <f t="shared" si="292"/>
        <v>31</v>
      </c>
      <c r="DF583" s="166">
        <f t="shared" si="293"/>
        <v>252.10807702029433</v>
      </c>
      <c r="DG583" s="164">
        <f t="shared" si="294"/>
        <v>31</v>
      </c>
      <c r="DH583" s="166">
        <f t="shared" si="295"/>
        <v>331.60835402126065</v>
      </c>
      <c r="DI583" s="164" t="str">
        <f>IFERROR(INDEX(DC$550:DC$598,_xlfn.AGGREGATE(15,6,(ROW(DC$550:DC$598)-ROW(DC$550)+1)/(DC$550:DC$598&lt;&gt;""),ROWS(DI$1:DI34))),"")</f>
        <v/>
      </c>
      <c r="DJ583" s="165" t="str">
        <f>IFERROR(INDEX(DD$550:DD$598,_xlfn.AGGREGATE(15,6,(ROW(DD$550:DD$598)-ROW(DD$550)+1)/(DD$550:DD$598&lt;&gt;""),ROWS(DJ$1:DJ34))),"")</f>
        <v/>
      </c>
      <c r="DK583" s="166" t="str">
        <f t="shared" si="296"/>
        <v/>
      </c>
      <c r="DL583" s="164" t="str">
        <f>IFERROR(INDEX(DE$550:DE$598,_xlfn.AGGREGATE(15,6,(ROW(DE$550:DE$598)-ROW(DE$550)+1)/(DE$550:DE$598&lt;&gt;""),ROWS(DL$1:DL34))),"")</f>
        <v/>
      </c>
      <c r="DM583" s="165" t="str">
        <f>IFERROR(INDEX(DF$550:DF$598,_xlfn.AGGREGATE(15,6,(ROW(DF$550:DF$598)-ROW(DF$550)+1)/(DF$550:DF$598&lt;&gt;""),ROWS(DM$1:DM34))),"")</f>
        <v/>
      </c>
      <c r="DN583" s="166" t="str">
        <f t="shared" si="297"/>
        <v/>
      </c>
      <c r="DO583" s="164" t="str">
        <f>IFERROR(INDEX(DG$550:DG$598,_xlfn.AGGREGATE(15,6,(ROW(DG$550:DG$598)-ROW(DG$550)+1)/(DG$550:DG$598&lt;&gt;""),ROWS(DO$1:DO34))),"")</f>
        <v/>
      </c>
      <c r="DP583" s="165" t="str">
        <f>IFERROR(INDEX(DH$550:DH$598,_xlfn.AGGREGATE(15,6,(ROW(DH$550:DH$598)-ROW(DH$550)+1)/(DH$550:DH$598&lt;&gt;""),ROWS(DP$1:DP34))),"")</f>
        <v/>
      </c>
      <c r="DQ583" s="166" t="str">
        <f t="shared" si="298"/>
        <v/>
      </c>
      <c r="DR583" s="65"/>
      <c r="DV583" s="145">
        <v>2048</v>
      </c>
      <c r="DW583" s="235">
        <f t="shared" ca="1" si="282"/>
        <v>257.45545167878777</v>
      </c>
      <c r="EA583" s="55"/>
      <c r="EB583" s="55"/>
      <c r="EC583" s="55"/>
      <c r="ED583" s="55"/>
      <c r="EE583" s="55"/>
    </row>
    <row r="584" spans="2:135" ht="13.8" x14ac:dyDescent="0.45">
      <c r="B584" s="128">
        <v>2046</v>
      </c>
      <c r="C584" s="291"/>
      <c r="D584" s="307"/>
      <c r="E584" s="308"/>
      <c r="F584" s="293"/>
      <c r="G584" s="294"/>
      <c r="H584" s="292"/>
      <c r="I584" s="293"/>
      <c r="J584" s="294"/>
      <c r="K584" s="292"/>
      <c r="L584" s="293"/>
      <c r="M584" s="292"/>
      <c r="N584" s="29" t="s">
        <v>119</v>
      </c>
      <c r="O584" s="120"/>
      <c r="P584" s="120"/>
      <c r="Q584" s="120"/>
      <c r="R584" s="29">
        <v>32</v>
      </c>
      <c r="S584" s="288" t="str">
        <f t="shared" si="283"/>
        <v/>
      </c>
      <c r="T584" s="288" t="str">
        <f t="shared" si="284"/>
        <v/>
      </c>
      <c r="U584" s="288" t="str">
        <f t="shared" si="285"/>
        <v/>
      </c>
      <c r="W584" s="288" t="e">
        <f t="shared" si="286"/>
        <v>#N/A</v>
      </c>
      <c r="X584" s="288" t="e">
        <f t="shared" si="287"/>
        <v>#N/A</v>
      </c>
      <c r="Y584" s="288" t="e">
        <f t="shared" si="288"/>
        <v>#N/A</v>
      </c>
      <c r="AA584" s="89"/>
      <c r="AB584" s="89"/>
      <c r="AC584" s="89"/>
      <c r="AD584" s="89"/>
      <c r="AE584" s="89"/>
      <c r="AF584" s="89"/>
      <c r="AG584" s="89"/>
      <c r="AH584" s="89"/>
      <c r="AI584" s="89"/>
      <c r="AJ584" s="89"/>
      <c r="AK584" s="89"/>
      <c r="AL584" s="89"/>
      <c r="AM584" s="89"/>
      <c r="AN584" s="89"/>
      <c r="BR584" s="180">
        <v>2044</v>
      </c>
      <c r="BS584" s="22">
        <v>30</v>
      </c>
      <c r="BT584" s="289">
        <f t="shared" si="299"/>
        <v>58.5130833960121</v>
      </c>
      <c r="BU584" s="290">
        <f t="shared" si="300"/>
        <v>192.144598299715</v>
      </c>
      <c r="BV584" s="205">
        <f t="shared" si="301"/>
        <v>250.65768169572709</v>
      </c>
      <c r="BY584" s="180">
        <v>2044</v>
      </c>
      <c r="BZ584" s="22">
        <v>30</v>
      </c>
      <c r="CA584" s="289">
        <f t="shared" ca="1" si="302"/>
        <v>-2.396576395745428</v>
      </c>
      <c r="CB584" s="289">
        <f t="shared" ca="1" si="303"/>
        <v>61.069431551473883</v>
      </c>
      <c r="CC584" s="290">
        <f t="shared" ca="1" si="314"/>
        <v>191.67593447121368</v>
      </c>
      <c r="CD584" s="205">
        <f t="shared" ca="1" si="304"/>
        <v>250.34878962694214</v>
      </c>
      <c r="CG584" s="180">
        <v>2044</v>
      </c>
      <c r="CH584" s="22">
        <v>30</v>
      </c>
      <c r="CI584" s="289">
        <f t="shared" ca="1" si="305"/>
        <v>-2.9486901794765035</v>
      </c>
      <c r="CJ584" s="289">
        <f t="shared" ca="1" si="306"/>
        <v>2.3213278914170674</v>
      </c>
      <c r="CK584" s="289">
        <f t="shared" ca="1" si="307"/>
        <v>59.02435109588577</v>
      </c>
      <c r="CL584" s="290">
        <f t="shared" ca="1" si="308"/>
        <v>191.87198960492466</v>
      </c>
      <c r="CM584" s="205">
        <f t="shared" ca="1" si="309"/>
        <v>250.26897841275098</v>
      </c>
      <c r="CP584" s="180">
        <v>2044</v>
      </c>
      <c r="CQ584" s="22">
        <v>30</v>
      </c>
      <c r="CR584" s="289">
        <f t="shared" ca="1" si="310"/>
        <v>193.51082844891297</v>
      </c>
      <c r="CS584" s="290">
        <f t="shared" ca="1" si="311"/>
        <v>1.3010091181889709</v>
      </c>
      <c r="CT584" s="205">
        <f t="shared" ca="1" si="312"/>
        <v>251.75935228033748</v>
      </c>
      <c r="CZ584" s="164" t="b">
        <f t="shared" si="289"/>
        <v>0</v>
      </c>
      <c r="DA584" s="165" t="b">
        <f t="shared" si="289"/>
        <v>0</v>
      </c>
      <c r="DB584" s="166" t="b">
        <f t="shared" si="289"/>
        <v>0</v>
      </c>
      <c r="DC584" s="164" t="str">
        <f t="shared" si="290"/>
        <v/>
      </c>
      <c r="DD584" s="166" t="str">
        <f t="shared" si="291"/>
        <v/>
      </c>
      <c r="DE584" s="164" t="str">
        <f t="shared" si="292"/>
        <v/>
      </c>
      <c r="DF584" s="166" t="str">
        <f t="shared" si="293"/>
        <v/>
      </c>
      <c r="DG584" s="164" t="str">
        <f t="shared" si="294"/>
        <v/>
      </c>
      <c r="DH584" s="166" t="str">
        <f t="shared" si="295"/>
        <v/>
      </c>
      <c r="DI584" s="164" t="str">
        <f>IFERROR(INDEX(DC$550:DC$598,_xlfn.AGGREGATE(15,6,(ROW(DC$550:DC$598)-ROW(DC$550)+1)/(DC$550:DC$598&lt;&gt;""),ROWS(DI$1:DI35))),"")</f>
        <v/>
      </c>
      <c r="DJ584" s="165" t="str">
        <f>IFERROR(INDEX(DD$550:DD$598,_xlfn.AGGREGATE(15,6,(ROW(DD$550:DD$598)-ROW(DD$550)+1)/(DD$550:DD$598&lt;&gt;""),ROWS(DJ$1:DJ35))),"")</f>
        <v/>
      </c>
      <c r="DK584" s="166" t="str">
        <f t="shared" si="296"/>
        <v/>
      </c>
      <c r="DL584" s="164" t="str">
        <f>IFERROR(INDEX(DE$550:DE$598,_xlfn.AGGREGATE(15,6,(ROW(DE$550:DE$598)-ROW(DE$550)+1)/(DE$550:DE$598&lt;&gt;""),ROWS(DL$1:DL35))),"")</f>
        <v/>
      </c>
      <c r="DM584" s="165" t="str">
        <f>IFERROR(INDEX(DF$550:DF$598,_xlfn.AGGREGATE(15,6,(ROW(DF$550:DF$598)-ROW(DF$550)+1)/(DF$550:DF$598&lt;&gt;""),ROWS(DM$1:DM35))),"")</f>
        <v/>
      </c>
      <c r="DN584" s="166" t="str">
        <f t="shared" si="297"/>
        <v/>
      </c>
      <c r="DO584" s="164" t="str">
        <f>IFERROR(INDEX(DG$550:DG$598,_xlfn.AGGREGATE(15,6,(ROW(DG$550:DG$598)-ROW(DG$550)+1)/(DG$550:DG$598&lt;&gt;""),ROWS(DO$1:DO35))),"")</f>
        <v/>
      </c>
      <c r="DP584" s="165" t="str">
        <f>IFERROR(INDEX(DH$550:DH$598,_xlfn.AGGREGATE(15,6,(ROW(DH$550:DH$598)-ROW(DH$550)+1)/(DH$550:DH$598&lt;&gt;""),ROWS(DP$1:DP35))),"")</f>
        <v/>
      </c>
      <c r="DQ584" s="166" t="str">
        <f t="shared" si="298"/>
        <v/>
      </c>
      <c r="DR584" s="65"/>
      <c r="DV584" s="145">
        <v>2049</v>
      </c>
      <c r="DW584" s="235">
        <f t="shared" ca="1" si="282"/>
        <v>259.21090694140332</v>
      </c>
      <c r="EA584" s="55"/>
      <c r="EB584" s="55"/>
      <c r="EC584" s="55"/>
      <c r="ED584" s="55"/>
      <c r="EE584" s="55"/>
    </row>
    <row r="585" spans="2:135" ht="13.8" x14ac:dyDescent="0.45">
      <c r="B585" s="128">
        <v>2047</v>
      </c>
      <c r="C585" s="291"/>
      <c r="D585" s="307"/>
      <c r="E585" s="308"/>
      <c r="F585" s="293"/>
      <c r="G585" s="294"/>
      <c r="H585" s="292"/>
      <c r="I585" s="293"/>
      <c r="J585" s="294"/>
      <c r="K585" s="292"/>
      <c r="L585" s="293"/>
      <c r="M585" s="292"/>
      <c r="N585" s="29" t="s">
        <v>119</v>
      </c>
      <c r="O585" s="120"/>
      <c r="P585" s="120"/>
      <c r="Q585" s="120"/>
      <c r="R585" s="29">
        <v>33</v>
      </c>
      <c r="S585" s="288" t="str">
        <f t="shared" si="283"/>
        <v/>
      </c>
      <c r="T585" s="288" t="str">
        <f t="shared" si="284"/>
        <v/>
      </c>
      <c r="U585" s="288" t="str">
        <f t="shared" si="285"/>
        <v/>
      </c>
      <c r="W585" s="288" t="e">
        <f t="shared" si="286"/>
        <v>#N/A</v>
      </c>
      <c r="X585" s="288" t="e">
        <f t="shared" si="287"/>
        <v>#N/A</v>
      </c>
      <c r="Y585" s="288" t="e">
        <f t="shared" si="288"/>
        <v>#N/A</v>
      </c>
      <c r="AA585" s="89"/>
      <c r="AB585" s="89"/>
      <c r="AC585" s="89"/>
      <c r="AD585" s="89"/>
      <c r="AE585" s="89"/>
      <c r="AF585" s="89"/>
      <c r="AG585" s="89"/>
      <c r="AH585" s="89"/>
      <c r="AI585" s="89"/>
      <c r="AJ585" s="89"/>
      <c r="AK585" s="89"/>
      <c r="AL585" s="89"/>
      <c r="AM585" s="89"/>
      <c r="AN585" s="89"/>
      <c r="BR585" s="180">
        <v>2045</v>
      </c>
      <c r="BS585" s="22">
        <v>31</v>
      </c>
      <c r="BT585" s="289">
        <f t="shared" si="299"/>
        <v>60.463519509212503</v>
      </c>
      <c r="BU585" s="289">
        <f t="shared" si="300"/>
        <v>192.144598299715</v>
      </c>
      <c r="BV585" s="205">
        <f t="shared" si="301"/>
        <v>252.60811780892749</v>
      </c>
      <c r="BY585" s="180">
        <v>2045</v>
      </c>
      <c r="BZ585" s="22">
        <v>31</v>
      </c>
      <c r="CA585" s="289">
        <f t="shared" ca="1" si="302"/>
        <v>-2.5590110181237296</v>
      </c>
      <c r="CB585" s="289">
        <f t="shared" ca="1" si="303"/>
        <v>63.105079269856347</v>
      </c>
      <c r="CC585" s="289">
        <f t="shared" ca="1" si="314"/>
        <v>191.67593447121368</v>
      </c>
      <c r="CD585" s="205">
        <f t="shared" ca="1" si="304"/>
        <v>252.22200272294629</v>
      </c>
      <c r="CG585" s="180">
        <v>2045</v>
      </c>
      <c r="CH585" s="22">
        <v>31</v>
      </c>
      <c r="CI585" s="289">
        <f t="shared" ca="1" si="305"/>
        <v>-3.2534973754364636</v>
      </c>
      <c r="CJ585" s="289">
        <f t="shared" ca="1" si="306"/>
        <v>2.4786623373908907</v>
      </c>
      <c r="CK585" s="289">
        <f t="shared" ca="1" si="307"/>
        <v>60.99182946574863</v>
      </c>
      <c r="CL585" s="289">
        <f t="shared" ca="1" si="308"/>
        <v>191.87198960492466</v>
      </c>
      <c r="CM585" s="205">
        <f t="shared" ca="1" si="309"/>
        <v>252.08898403262771</v>
      </c>
      <c r="CP585" s="180">
        <v>2045</v>
      </c>
      <c r="CQ585" s="22">
        <v>31</v>
      </c>
      <c r="CR585" s="289">
        <f t="shared" ca="1" si="310"/>
        <v>193.51082844891297</v>
      </c>
      <c r="CS585" s="289">
        <f t="shared" ca="1" si="311"/>
        <v>1.3124709059940751</v>
      </c>
      <c r="CT585" s="205">
        <f t="shared" ca="1" si="312"/>
        <v>253.97733233400885</v>
      </c>
      <c r="CZ585" s="164" t="b">
        <f t="shared" si="289"/>
        <v>0</v>
      </c>
      <c r="DA585" s="165" t="b">
        <f t="shared" si="289"/>
        <v>0</v>
      </c>
      <c r="DB585" s="166" t="b">
        <f t="shared" si="289"/>
        <v>0</v>
      </c>
      <c r="DC585" s="164" t="str">
        <f t="shared" si="290"/>
        <v/>
      </c>
      <c r="DD585" s="166" t="str">
        <f t="shared" si="291"/>
        <v/>
      </c>
      <c r="DE585" s="164" t="str">
        <f t="shared" si="292"/>
        <v/>
      </c>
      <c r="DF585" s="166" t="str">
        <f t="shared" si="293"/>
        <v/>
      </c>
      <c r="DG585" s="164" t="str">
        <f t="shared" si="294"/>
        <v/>
      </c>
      <c r="DH585" s="166" t="str">
        <f t="shared" si="295"/>
        <v/>
      </c>
      <c r="DI585" s="164" t="str">
        <f>IFERROR(INDEX(DC$550:DC$598,_xlfn.AGGREGATE(15,6,(ROW(DC$550:DC$598)-ROW(DC$550)+1)/(DC$550:DC$598&lt;&gt;""),ROWS(DI$1:DI36))),"")</f>
        <v/>
      </c>
      <c r="DJ585" s="165" t="str">
        <f>IFERROR(INDEX(DD$550:DD$598,_xlfn.AGGREGATE(15,6,(ROW(DD$550:DD$598)-ROW(DD$550)+1)/(DD$550:DD$598&lt;&gt;""),ROWS(DJ$1:DJ36))),"")</f>
        <v/>
      </c>
      <c r="DK585" s="166" t="str">
        <f t="shared" si="296"/>
        <v/>
      </c>
      <c r="DL585" s="164" t="str">
        <f>IFERROR(INDEX(DE$550:DE$598,_xlfn.AGGREGATE(15,6,(ROW(DE$550:DE$598)-ROW(DE$550)+1)/(DE$550:DE$598&lt;&gt;""),ROWS(DL$1:DL36))),"")</f>
        <v/>
      </c>
      <c r="DM585" s="165" t="str">
        <f>IFERROR(INDEX(DF$550:DF$598,_xlfn.AGGREGATE(15,6,(ROW(DF$550:DF$598)-ROW(DF$550)+1)/(DF$550:DF$598&lt;&gt;""),ROWS(DM$1:DM36))),"")</f>
        <v/>
      </c>
      <c r="DN585" s="166" t="str">
        <f t="shared" si="297"/>
        <v/>
      </c>
      <c r="DO585" s="164" t="str">
        <f>IFERROR(INDEX(DG$550:DG$598,_xlfn.AGGREGATE(15,6,(ROW(DG$550:DG$598)-ROW(DG$550)+1)/(DG$550:DG$598&lt;&gt;""),ROWS(DO$1:DO36))),"")</f>
        <v/>
      </c>
      <c r="DP585" s="165" t="str">
        <f>IFERROR(INDEX(DH$550:DH$598,_xlfn.AGGREGATE(15,6,(ROW(DH$550:DH$598)-ROW(DH$550)+1)/(DH$550:DH$598&lt;&gt;""),ROWS(DP$1:DP36))),"")</f>
        <v/>
      </c>
      <c r="DQ585" s="166" t="str">
        <f t="shared" si="298"/>
        <v/>
      </c>
      <c r="DR585" s="65"/>
      <c r="DV585" s="145">
        <v>2050</v>
      </c>
      <c r="DW585" s="235">
        <f t="shared" ca="1" si="282"/>
        <v>260.94858645349279</v>
      </c>
      <c r="EA585" s="55"/>
      <c r="EB585" s="55"/>
      <c r="EC585" s="55"/>
      <c r="ED585" s="55"/>
      <c r="EE585" s="55"/>
    </row>
    <row r="586" spans="2:135" ht="13.8" x14ac:dyDescent="0.45">
      <c r="B586" s="128">
        <v>2048</v>
      </c>
      <c r="C586" s="291"/>
      <c r="D586" s="307"/>
      <c r="E586" s="308"/>
      <c r="F586" s="293"/>
      <c r="G586" s="294"/>
      <c r="H586" s="292"/>
      <c r="I586" s="293"/>
      <c r="J586" s="294"/>
      <c r="K586" s="292"/>
      <c r="L586" s="293"/>
      <c r="M586" s="292"/>
      <c r="N586" s="29" t="s">
        <v>119</v>
      </c>
      <c r="O586" s="120"/>
      <c r="P586" s="120"/>
      <c r="Q586" s="120"/>
      <c r="R586" s="29">
        <v>34</v>
      </c>
      <c r="S586" s="288" t="str">
        <f t="shared" si="283"/>
        <v/>
      </c>
      <c r="T586" s="288" t="str">
        <f t="shared" si="284"/>
        <v/>
      </c>
      <c r="U586" s="288" t="str">
        <f t="shared" si="285"/>
        <v/>
      </c>
      <c r="W586" s="288" t="e">
        <f t="shared" si="286"/>
        <v>#N/A</v>
      </c>
      <c r="X586" s="288" t="e">
        <f t="shared" si="287"/>
        <v>#N/A</v>
      </c>
      <c r="Y586" s="288" t="e">
        <f t="shared" si="288"/>
        <v>#N/A</v>
      </c>
      <c r="AA586" s="89"/>
      <c r="AB586" s="89"/>
      <c r="AC586" s="89"/>
      <c r="AD586" s="89"/>
      <c r="AE586" s="89"/>
      <c r="AF586" s="89"/>
      <c r="AG586" s="89"/>
      <c r="AH586" s="89"/>
      <c r="AI586" s="89"/>
      <c r="AJ586" s="89"/>
      <c r="AK586" s="89"/>
      <c r="AL586" s="89"/>
      <c r="AM586" s="89"/>
      <c r="AN586" s="89"/>
      <c r="BR586" s="180">
        <v>2046</v>
      </c>
      <c r="BS586" s="22">
        <v>32</v>
      </c>
      <c r="BT586" s="289">
        <f t="shared" si="299"/>
        <v>62.413955622412907</v>
      </c>
      <c r="BU586" s="289">
        <f t="shared" si="300"/>
        <v>192.144598299715</v>
      </c>
      <c r="BV586" s="205">
        <f t="shared" si="301"/>
        <v>254.55855392212791</v>
      </c>
      <c r="BY586" s="180">
        <v>2046</v>
      </c>
      <c r="BZ586" s="22">
        <v>32</v>
      </c>
      <c r="CA586" s="289">
        <f t="shared" ca="1" si="302"/>
        <v>-2.7267713658259094</v>
      </c>
      <c r="CB586" s="289">
        <f t="shared" ca="1" si="303"/>
        <v>65.140726988238811</v>
      </c>
      <c r="CC586" s="289">
        <f t="shared" ca="1" si="314"/>
        <v>191.67593447121368</v>
      </c>
      <c r="CD586" s="205">
        <f t="shared" ca="1" si="304"/>
        <v>254.08989009362659</v>
      </c>
      <c r="CG586" s="180">
        <v>2046</v>
      </c>
      <c r="CH586" s="22">
        <v>32</v>
      </c>
      <c r="CI586" s="289">
        <f t="shared" ca="1" si="305"/>
        <v>-3.5786177704105953</v>
      </c>
      <c r="CJ586" s="289">
        <f t="shared" ca="1" si="306"/>
        <v>2.6411552897900856</v>
      </c>
      <c r="CK586" s="289">
        <f t="shared" ca="1" si="307"/>
        <v>62.95930783561149</v>
      </c>
      <c r="CL586" s="289">
        <f t="shared" ca="1" si="308"/>
        <v>191.87198960492466</v>
      </c>
      <c r="CM586" s="205">
        <f t="shared" ca="1" si="309"/>
        <v>253.89383495991564</v>
      </c>
      <c r="CP586" s="180">
        <v>2046</v>
      </c>
      <c r="CQ586" s="22">
        <v>32</v>
      </c>
      <c r="CR586" s="289">
        <f t="shared" ca="1" si="310"/>
        <v>193.51082844891297</v>
      </c>
      <c r="CS586" s="289">
        <f t="shared" ca="1" si="311"/>
        <v>1.3240336712464953</v>
      </c>
      <c r="CT586" s="205">
        <f t="shared" ca="1" si="312"/>
        <v>256.21485261716498</v>
      </c>
      <c r="CZ586" s="164" t="b">
        <f t="shared" si="289"/>
        <v>0</v>
      </c>
      <c r="DA586" s="165" t="b">
        <f t="shared" si="289"/>
        <v>0</v>
      </c>
      <c r="DB586" s="166" t="b">
        <f t="shared" si="289"/>
        <v>0</v>
      </c>
      <c r="DC586" s="164" t="str">
        <f t="shared" si="290"/>
        <v/>
      </c>
      <c r="DD586" s="166" t="str">
        <f t="shared" si="291"/>
        <v/>
      </c>
      <c r="DE586" s="164" t="str">
        <f t="shared" si="292"/>
        <v/>
      </c>
      <c r="DF586" s="166" t="str">
        <f t="shared" si="293"/>
        <v/>
      </c>
      <c r="DG586" s="164" t="str">
        <f t="shared" si="294"/>
        <v/>
      </c>
      <c r="DH586" s="166" t="str">
        <f t="shared" si="295"/>
        <v/>
      </c>
      <c r="DI586" s="164" t="str">
        <f>IFERROR(INDEX(DC$550:DC$598,_xlfn.AGGREGATE(15,6,(ROW(DC$550:DC$598)-ROW(DC$550)+1)/(DC$550:DC$598&lt;&gt;""),ROWS(DI$1:DI37))),"")</f>
        <v/>
      </c>
      <c r="DJ586" s="165" t="str">
        <f>IFERROR(INDEX(DD$550:DD$598,_xlfn.AGGREGATE(15,6,(ROW(DD$550:DD$598)-ROW(DD$550)+1)/(DD$550:DD$598&lt;&gt;""),ROWS(DJ$1:DJ37))),"")</f>
        <v/>
      </c>
      <c r="DK586" s="166" t="str">
        <f t="shared" si="296"/>
        <v/>
      </c>
      <c r="DL586" s="164" t="str">
        <f>IFERROR(INDEX(DE$550:DE$598,_xlfn.AGGREGATE(15,6,(ROW(DE$550:DE$598)-ROW(DE$550)+1)/(DE$550:DE$598&lt;&gt;""),ROWS(DL$1:DL37))),"")</f>
        <v/>
      </c>
      <c r="DM586" s="165" t="str">
        <f>IFERROR(INDEX(DF$550:DF$598,_xlfn.AGGREGATE(15,6,(ROW(DF$550:DF$598)-ROW(DF$550)+1)/(DF$550:DF$598&lt;&gt;""),ROWS(DM$1:DM37))),"")</f>
        <v/>
      </c>
      <c r="DN586" s="166" t="str">
        <f t="shared" si="297"/>
        <v/>
      </c>
      <c r="DO586" s="164" t="str">
        <f>IFERROR(INDEX(DG$550:DG$598,_xlfn.AGGREGATE(15,6,(ROW(DG$550:DG$598)-ROW(DG$550)+1)/(DG$550:DG$598&lt;&gt;""),ROWS(DO$1:DO37))),"")</f>
        <v/>
      </c>
      <c r="DP586" s="165" t="str">
        <f>IFERROR(INDEX(DH$550:DH$598,_xlfn.AGGREGATE(15,6,(ROW(DH$550:DH$598)-ROW(DH$550)+1)/(DH$550:DH$598&lt;&gt;""),ROWS(DP$1:DP37))),"")</f>
        <v/>
      </c>
      <c r="DQ586" s="166" t="str">
        <f t="shared" si="298"/>
        <v/>
      </c>
      <c r="DR586" s="65"/>
      <c r="DV586" s="145">
        <v>2051</v>
      </c>
      <c r="DW586" s="235">
        <f t="shared" ca="1" si="282"/>
        <v>262.66783495057177</v>
      </c>
      <c r="EA586" s="55"/>
      <c r="EB586" s="55"/>
      <c r="EC586" s="55"/>
      <c r="ED586" s="55"/>
      <c r="EE586" s="55"/>
    </row>
    <row r="587" spans="2:135" ht="13.8" x14ac:dyDescent="0.45">
      <c r="B587" s="128">
        <v>2049</v>
      </c>
      <c r="C587" s="291"/>
      <c r="D587" s="307"/>
      <c r="E587" s="308"/>
      <c r="F587" s="293"/>
      <c r="G587" s="294"/>
      <c r="H587" s="292"/>
      <c r="I587" s="293"/>
      <c r="J587" s="294"/>
      <c r="K587" s="292"/>
      <c r="L587" s="293"/>
      <c r="M587" s="292"/>
      <c r="N587" s="29" t="s">
        <v>119</v>
      </c>
      <c r="O587" s="120"/>
      <c r="P587" s="120"/>
      <c r="Q587" s="120"/>
      <c r="R587" s="29">
        <v>35</v>
      </c>
      <c r="S587" s="288" t="str">
        <f t="shared" si="283"/>
        <v/>
      </c>
      <c r="T587" s="288" t="str">
        <f t="shared" si="284"/>
        <v/>
      </c>
      <c r="U587" s="288" t="str">
        <f t="shared" si="285"/>
        <v/>
      </c>
      <c r="W587" s="288" t="e">
        <f t="shared" si="286"/>
        <v>#N/A</v>
      </c>
      <c r="X587" s="288" t="e">
        <f t="shared" si="287"/>
        <v>#N/A</v>
      </c>
      <c r="Y587" s="288" t="e">
        <f t="shared" si="288"/>
        <v>#N/A</v>
      </c>
      <c r="AA587" s="89"/>
      <c r="AB587" s="89"/>
      <c r="AC587" s="89"/>
      <c r="AD587" s="89"/>
      <c r="AE587" s="89"/>
      <c r="AF587" s="89"/>
      <c r="AG587" s="89"/>
      <c r="AH587" s="89"/>
      <c r="AI587" s="89"/>
      <c r="AJ587" s="89"/>
      <c r="AK587" s="89"/>
      <c r="AL587" s="89"/>
      <c r="AM587" s="89"/>
      <c r="AN587" s="89"/>
      <c r="BR587" s="180">
        <v>2047</v>
      </c>
      <c r="BS587" s="22">
        <v>33</v>
      </c>
      <c r="BT587" s="289">
        <f t="shared" si="299"/>
        <v>64.36439173561331</v>
      </c>
      <c r="BU587" s="289">
        <f t="shared" si="300"/>
        <v>192.144598299715</v>
      </c>
      <c r="BV587" s="205">
        <f t="shared" si="301"/>
        <v>256.50899003532834</v>
      </c>
      <c r="BY587" s="180">
        <v>2047</v>
      </c>
      <c r="BZ587" s="22">
        <v>33</v>
      </c>
      <c r="CA587" s="289">
        <f t="shared" ca="1" si="302"/>
        <v>-2.899857438851968</v>
      </c>
      <c r="CB587" s="289">
        <f t="shared" ca="1" si="303"/>
        <v>67.176374706621274</v>
      </c>
      <c r="CC587" s="289">
        <f t="shared" ca="1" si="314"/>
        <v>191.67593447121368</v>
      </c>
      <c r="CD587" s="205">
        <f t="shared" ca="1" si="304"/>
        <v>255.95245173898297</v>
      </c>
      <c r="CG587" s="180">
        <v>2047</v>
      </c>
      <c r="CH587" s="22">
        <v>33</v>
      </c>
      <c r="CI587" s="289">
        <f t="shared" ca="1" si="305"/>
        <v>-3.9247066288832264</v>
      </c>
      <c r="CJ587" s="289">
        <f t="shared" ca="1" si="306"/>
        <v>2.8088067486146517</v>
      </c>
      <c r="CK587" s="289">
        <f t="shared" ca="1" si="307"/>
        <v>64.926786205474343</v>
      </c>
      <c r="CL587" s="289">
        <f t="shared" ca="1" si="308"/>
        <v>191.87198960492466</v>
      </c>
      <c r="CM587" s="205">
        <f t="shared" ca="1" si="309"/>
        <v>255.68287593013042</v>
      </c>
      <c r="CP587" s="180">
        <v>2047</v>
      </c>
      <c r="CQ587" s="22">
        <v>33</v>
      </c>
      <c r="CR587" s="289">
        <f t="shared" ca="1" si="310"/>
        <v>193.51082844891297</v>
      </c>
      <c r="CS587" s="289">
        <f t="shared" ca="1" si="311"/>
        <v>1.3356983035495844</v>
      </c>
      <c r="CT587" s="205">
        <f t="shared" ca="1" si="312"/>
        <v>258.47208527768771</v>
      </c>
      <c r="CZ587" s="164" t="b">
        <f t="shared" si="289"/>
        <v>0</v>
      </c>
      <c r="DA587" s="165" t="b">
        <f t="shared" si="289"/>
        <v>0</v>
      </c>
      <c r="DB587" s="166" t="b">
        <f t="shared" si="289"/>
        <v>0</v>
      </c>
      <c r="DC587" s="164" t="str">
        <f t="shared" si="290"/>
        <v/>
      </c>
      <c r="DD587" s="166" t="str">
        <f t="shared" si="291"/>
        <v/>
      </c>
      <c r="DE587" s="164" t="str">
        <f t="shared" si="292"/>
        <v/>
      </c>
      <c r="DF587" s="166" t="str">
        <f t="shared" si="293"/>
        <v/>
      </c>
      <c r="DG587" s="164" t="str">
        <f t="shared" si="294"/>
        <v/>
      </c>
      <c r="DH587" s="166" t="str">
        <f t="shared" si="295"/>
        <v/>
      </c>
      <c r="DI587" s="164" t="str">
        <f>IFERROR(INDEX(DC$550:DC$598,_xlfn.AGGREGATE(15,6,(ROW(DC$550:DC$598)-ROW(DC$550)+1)/(DC$550:DC$598&lt;&gt;""),ROWS(DI$1:DI38))),"")</f>
        <v/>
      </c>
      <c r="DJ587" s="165" t="str">
        <f>IFERROR(INDEX(DD$550:DD$598,_xlfn.AGGREGATE(15,6,(ROW(DD$550:DD$598)-ROW(DD$550)+1)/(DD$550:DD$598&lt;&gt;""),ROWS(DJ$1:DJ38))),"")</f>
        <v/>
      </c>
      <c r="DK587" s="166" t="str">
        <f t="shared" si="296"/>
        <v/>
      </c>
      <c r="DL587" s="164" t="str">
        <f>IFERROR(INDEX(DE$550:DE$598,_xlfn.AGGREGATE(15,6,(ROW(DE$550:DE$598)-ROW(DE$550)+1)/(DE$550:DE$598&lt;&gt;""),ROWS(DL$1:DL38))),"")</f>
        <v/>
      </c>
      <c r="DM587" s="165" t="str">
        <f>IFERROR(INDEX(DF$550:DF$598,_xlfn.AGGREGATE(15,6,(ROW(DF$550:DF$598)-ROW(DF$550)+1)/(DF$550:DF$598&lt;&gt;""),ROWS(DM$1:DM38))),"")</f>
        <v/>
      </c>
      <c r="DN587" s="166" t="str">
        <f t="shared" si="297"/>
        <v/>
      </c>
      <c r="DO587" s="164" t="str">
        <f>IFERROR(INDEX(DG$550:DG$598,_xlfn.AGGREGATE(15,6,(ROW(DG$550:DG$598)-ROW(DG$550)+1)/(DG$550:DG$598&lt;&gt;""),ROWS(DO$1:DO38))),"")</f>
        <v/>
      </c>
      <c r="DP587" s="165" t="str">
        <f>IFERROR(INDEX(DH$550:DH$598,_xlfn.AGGREGATE(15,6,(ROW(DH$550:DH$598)-ROW(DH$550)+1)/(DH$550:DH$598&lt;&gt;""),ROWS(DP$1:DP38))),"")</f>
        <v/>
      </c>
      <c r="DQ587" s="166" t="str">
        <f t="shared" si="298"/>
        <v/>
      </c>
      <c r="DR587" s="65"/>
      <c r="DV587" s="145">
        <v>2052</v>
      </c>
      <c r="DW587" s="235">
        <f t="shared" ca="1" si="282"/>
        <v>264.36799716815597</v>
      </c>
      <c r="EA587" s="55"/>
      <c r="EB587" s="55"/>
      <c r="EC587" s="55"/>
      <c r="ED587" s="55"/>
      <c r="EE587" s="55"/>
    </row>
    <row r="588" spans="2:135" ht="13.8" x14ac:dyDescent="0.45">
      <c r="B588" s="128">
        <v>2050</v>
      </c>
      <c r="C588" s="291"/>
      <c r="D588" s="307"/>
      <c r="E588" s="308"/>
      <c r="F588" s="293"/>
      <c r="G588" s="294"/>
      <c r="H588" s="292"/>
      <c r="I588" s="293"/>
      <c r="J588" s="294"/>
      <c r="K588" s="292"/>
      <c r="L588" s="293"/>
      <c r="M588" s="292"/>
      <c r="N588" s="29" t="s">
        <v>119</v>
      </c>
      <c r="O588" s="120"/>
      <c r="P588" s="120"/>
      <c r="Q588" s="120"/>
      <c r="R588" s="29">
        <v>36</v>
      </c>
      <c r="S588" s="288" t="str">
        <f t="shared" si="283"/>
        <v/>
      </c>
      <c r="T588" s="288" t="str">
        <f t="shared" si="284"/>
        <v/>
      </c>
      <c r="U588" s="288" t="str">
        <f t="shared" si="285"/>
        <v/>
      </c>
      <c r="W588" s="288" t="e">
        <f t="shared" si="286"/>
        <v>#N/A</v>
      </c>
      <c r="X588" s="288" t="e">
        <f t="shared" si="287"/>
        <v>#N/A</v>
      </c>
      <c r="Y588" s="288" t="e">
        <f t="shared" si="288"/>
        <v>#N/A</v>
      </c>
      <c r="AA588" s="89"/>
      <c r="AB588" s="89"/>
      <c r="AC588" s="89"/>
      <c r="AD588" s="89"/>
      <c r="AE588" s="89"/>
      <c r="AF588" s="89"/>
      <c r="AG588" s="89"/>
      <c r="AH588" s="89"/>
      <c r="AI588" s="89"/>
      <c r="AJ588" s="89"/>
      <c r="AK588" s="89"/>
      <c r="AL588" s="89"/>
      <c r="AM588" s="89"/>
      <c r="AN588" s="89"/>
      <c r="BR588" s="180">
        <v>2048</v>
      </c>
      <c r="BS588" s="22">
        <v>34</v>
      </c>
      <c r="BT588" s="289">
        <f t="shared" si="299"/>
        <v>66.314827848813707</v>
      </c>
      <c r="BU588" s="289">
        <f t="shared" si="300"/>
        <v>192.144598299715</v>
      </c>
      <c r="BV588" s="205">
        <f t="shared" si="301"/>
        <v>258.45942614852868</v>
      </c>
      <c r="BY588" s="180">
        <v>2048</v>
      </c>
      <c r="BZ588" s="22">
        <v>34</v>
      </c>
      <c r="CA588" s="289">
        <f t="shared" ca="1" si="302"/>
        <v>-3.0782692372019054</v>
      </c>
      <c r="CB588" s="289">
        <f t="shared" ca="1" si="303"/>
        <v>69.212022425003738</v>
      </c>
      <c r="CC588" s="289">
        <f t="shared" ca="1" si="314"/>
        <v>191.67593447121368</v>
      </c>
      <c r="CD588" s="205">
        <f t="shared" ca="1" si="304"/>
        <v>257.80968765901548</v>
      </c>
      <c r="CG588" s="180">
        <v>2048</v>
      </c>
      <c r="CH588" s="22">
        <v>34</v>
      </c>
      <c r="CI588" s="289">
        <f t="shared" ca="1" si="305"/>
        <v>-4.2924192153386853</v>
      </c>
      <c r="CJ588" s="289">
        <f t="shared" ca="1" si="306"/>
        <v>2.981616713864589</v>
      </c>
      <c r="CK588" s="289">
        <f t="shared" ca="1" si="307"/>
        <v>66.894264575337203</v>
      </c>
      <c r="CL588" s="289">
        <f t="shared" ca="1" si="308"/>
        <v>191.87198960492466</v>
      </c>
      <c r="CM588" s="205">
        <f t="shared" ca="1" si="309"/>
        <v>257.45545167878777</v>
      </c>
      <c r="CP588" s="180">
        <v>2048</v>
      </c>
      <c r="CQ588" s="22">
        <v>34</v>
      </c>
      <c r="CR588" s="289">
        <f t="shared" ca="1" si="310"/>
        <v>193.51082844891297</v>
      </c>
      <c r="CS588" s="289">
        <f t="shared" ca="1" si="311"/>
        <v>1.3474657003440313</v>
      </c>
      <c r="CT588" s="205">
        <f t="shared" ca="1" si="312"/>
        <v>260.74920398006822</v>
      </c>
      <c r="CZ588" s="164" t="b">
        <f t="shared" si="289"/>
        <v>0</v>
      </c>
      <c r="DA588" s="165" t="b">
        <f t="shared" si="289"/>
        <v>0</v>
      </c>
      <c r="DB588" s="166" t="b">
        <f t="shared" si="289"/>
        <v>0</v>
      </c>
      <c r="DC588" s="164" t="str">
        <f t="shared" si="290"/>
        <v/>
      </c>
      <c r="DD588" s="166" t="str">
        <f t="shared" si="291"/>
        <v/>
      </c>
      <c r="DE588" s="164" t="str">
        <f t="shared" si="292"/>
        <v/>
      </c>
      <c r="DF588" s="166" t="str">
        <f t="shared" si="293"/>
        <v/>
      </c>
      <c r="DG588" s="164" t="str">
        <f t="shared" si="294"/>
        <v/>
      </c>
      <c r="DH588" s="166" t="str">
        <f t="shared" si="295"/>
        <v/>
      </c>
      <c r="DI588" s="164" t="str">
        <f>IFERROR(INDEX(DC$550:DC$598,_xlfn.AGGREGATE(15,6,(ROW(DC$550:DC$598)-ROW(DC$550)+1)/(DC$550:DC$598&lt;&gt;""),ROWS(DI$1:DI39))),"")</f>
        <v/>
      </c>
      <c r="DJ588" s="165" t="str">
        <f>IFERROR(INDEX(DD$550:DD$598,_xlfn.AGGREGATE(15,6,(ROW(DD$550:DD$598)-ROW(DD$550)+1)/(DD$550:DD$598&lt;&gt;""),ROWS(DJ$1:DJ39))),"")</f>
        <v/>
      </c>
      <c r="DK588" s="166" t="str">
        <f t="shared" si="296"/>
        <v/>
      </c>
      <c r="DL588" s="164" t="str">
        <f>IFERROR(INDEX(DE$550:DE$598,_xlfn.AGGREGATE(15,6,(ROW(DE$550:DE$598)-ROW(DE$550)+1)/(DE$550:DE$598&lt;&gt;""),ROWS(DL$1:DL39))),"")</f>
        <v/>
      </c>
      <c r="DM588" s="165" t="str">
        <f>IFERROR(INDEX(DF$550:DF$598,_xlfn.AGGREGATE(15,6,(ROW(DF$550:DF$598)-ROW(DF$550)+1)/(DF$550:DF$598&lt;&gt;""),ROWS(DM$1:DM39))),"")</f>
        <v/>
      </c>
      <c r="DN588" s="166" t="str">
        <f t="shared" si="297"/>
        <v/>
      </c>
      <c r="DO588" s="164" t="str">
        <f>IFERROR(INDEX(DG$550:DG$598,_xlfn.AGGREGATE(15,6,(ROW(DG$550:DG$598)-ROW(DG$550)+1)/(DG$550:DG$598&lt;&gt;""),ROWS(DO$1:DO39))),"")</f>
        <v/>
      </c>
      <c r="DP588" s="165" t="str">
        <f>IFERROR(INDEX(DH$550:DH$598,_xlfn.AGGREGATE(15,6,(ROW(DH$550:DH$598)-ROW(DH$550)+1)/(DH$550:DH$598&lt;&gt;""),ROWS(DP$1:DP39))),"")</f>
        <v/>
      </c>
      <c r="DQ588" s="166" t="str">
        <f t="shared" si="298"/>
        <v/>
      </c>
      <c r="DR588" s="65"/>
      <c r="DV588" s="145">
        <v>2053</v>
      </c>
      <c r="DW588" s="235">
        <f t="shared" ca="1" si="282"/>
        <v>266.04841784176114</v>
      </c>
      <c r="EA588" s="55"/>
      <c r="EB588" s="55"/>
      <c r="EC588" s="55"/>
      <c r="ED588" s="55"/>
      <c r="EE588" s="55"/>
    </row>
    <row r="589" spans="2:135" ht="13.8" x14ac:dyDescent="0.45">
      <c r="B589" s="128">
        <v>2051</v>
      </c>
      <c r="C589" s="291"/>
      <c r="D589" s="307"/>
      <c r="E589" s="308"/>
      <c r="F589" s="293"/>
      <c r="G589" s="294"/>
      <c r="H589" s="292"/>
      <c r="I589" s="293"/>
      <c r="J589" s="294"/>
      <c r="K589" s="292"/>
      <c r="L589" s="293"/>
      <c r="M589" s="292"/>
      <c r="N589" s="29" t="s">
        <v>119</v>
      </c>
      <c r="O589" s="120"/>
      <c r="P589" s="120"/>
      <c r="Q589" s="120"/>
      <c r="R589" s="29">
        <v>37</v>
      </c>
      <c r="S589" s="288" t="str">
        <f t="shared" si="283"/>
        <v/>
      </c>
      <c r="T589" s="288" t="str">
        <f t="shared" si="284"/>
        <v/>
      </c>
      <c r="U589" s="288" t="str">
        <f t="shared" si="285"/>
        <v/>
      </c>
      <c r="W589" s="288" t="e">
        <f t="shared" si="286"/>
        <v>#N/A</v>
      </c>
      <c r="X589" s="288" t="e">
        <f t="shared" si="287"/>
        <v>#N/A</v>
      </c>
      <c r="Y589" s="288" t="e">
        <f t="shared" si="288"/>
        <v>#N/A</v>
      </c>
      <c r="AA589" s="89"/>
      <c r="AB589" s="89"/>
      <c r="AC589" s="89"/>
      <c r="AD589" s="89"/>
      <c r="AE589" s="89"/>
      <c r="AF589" s="89"/>
      <c r="AG589" s="89"/>
      <c r="AH589" s="89"/>
      <c r="AI589" s="89"/>
      <c r="AJ589" s="89"/>
      <c r="AK589" s="89"/>
      <c r="AL589" s="89"/>
      <c r="AM589" s="89"/>
      <c r="AN589" s="89"/>
      <c r="BR589" s="180">
        <v>2049</v>
      </c>
      <c r="BS589" s="22">
        <v>35</v>
      </c>
      <c r="BT589" s="289">
        <f t="shared" si="299"/>
        <v>68.265263962014117</v>
      </c>
      <c r="BU589" s="289">
        <f t="shared" si="300"/>
        <v>192.144598299715</v>
      </c>
      <c r="BV589" s="205">
        <f t="shared" si="301"/>
        <v>260.40986226172913</v>
      </c>
      <c r="BY589" s="180">
        <v>2049</v>
      </c>
      <c r="BZ589" s="22">
        <v>35</v>
      </c>
      <c r="CA589" s="289">
        <f t="shared" ca="1" si="302"/>
        <v>-3.2620067608757215</v>
      </c>
      <c r="CB589" s="289">
        <f t="shared" ca="1" si="303"/>
        <v>71.247670143386202</v>
      </c>
      <c r="CC589" s="289">
        <f t="shared" ca="1" si="314"/>
        <v>191.67593447121368</v>
      </c>
      <c r="CD589" s="205">
        <f t="shared" ca="1" si="304"/>
        <v>259.66159785372417</v>
      </c>
      <c r="CG589" s="180">
        <v>2049</v>
      </c>
      <c r="CH589" s="22">
        <v>35</v>
      </c>
      <c r="CI589" s="289">
        <f t="shared" ca="1" si="305"/>
        <v>-4.6824107942612994</v>
      </c>
      <c r="CJ589" s="289">
        <f t="shared" ca="1" si="306"/>
        <v>3.1595851855398975</v>
      </c>
      <c r="CK589" s="289">
        <f t="shared" ca="1" si="307"/>
        <v>68.861742945200064</v>
      </c>
      <c r="CL589" s="289">
        <f t="shared" ca="1" si="308"/>
        <v>191.87198960492466</v>
      </c>
      <c r="CM589" s="205">
        <f t="shared" ca="1" si="309"/>
        <v>259.21090694140332</v>
      </c>
      <c r="CP589" s="180">
        <v>2049</v>
      </c>
      <c r="CQ589" s="22">
        <v>35</v>
      </c>
      <c r="CR589" s="289">
        <f t="shared" ca="1" si="310"/>
        <v>193.51082844891297</v>
      </c>
      <c r="CS589" s="289">
        <f t="shared" ca="1" si="311"/>
        <v>1.3593367669769065</v>
      </c>
      <c r="CT589" s="205">
        <f t="shared" ca="1" si="312"/>
        <v>263.04638391876813</v>
      </c>
      <c r="CZ589" s="164" t="b">
        <f t="shared" si="289"/>
        <v>0</v>
      </c>
      <c r="DA589" s="165" t="b">
        <f t="shared" si="289"/>
        <v>0</v>
      </c>
      <c r="DB589" s="166" t="b">
        <f t="shared" si="289"/>
        <v>0</v>
      </c>
      <c r="DC589" s="164" t="str">
        <f t="shared" si="290"/>
        <v/>
      </c>
      <c r="DD589" s="166" t="str">
        <f t="shared" si="291"/>
        <v/>
      </c>
      <c r="DE589" s="164" t="str">
        <f t="shared" si="292"/>
        <v/>
      </c>
      <c r="DF589" s="166" t="str">
        <f t="shared" si="293"/>
        <v/>
      </c>
      <c r="DG589" s="164" t="str">
        <f t="shared" si="294"/>
        <v/>
      </c>
      <c r="DH589" s="166" t="str">
        <f t="shared" si="295"/>
        <v/>
      </c>
      <c r="DI589" s="164" t="str">
        <f>IFERROR(INDEX(DC$550:DC$598,_xlfn.AGGREGATE(15,6,(ROW(DC$550:DC$598)-ROW(DC$550)+1)/(DC$550:DC$598&lt;&gt;""),ROWS(DI$1:DI40))),"")</f>
        <v/>
      </c>
      <c r="DJ589" s="165" t="str">
        <f>IFERROR(INDEX(DD$550:DD$598,_xlfn.AGGREGATE(15,6,(ROW(DD$550:DD$598)-ROW(DD$550)+1)/(DD$550:DD$598&lt;&gt;""),ROWS(DJ$1:DJ40))),"")</f>
        <v/>
      </c>
      <c r="DK589" s="166" t="str">
        <f t="shared" si="296"/>
        <v/>
      </c>
      <c r="DL589" s="164" t="str">
        <f>IFERROR(INDEX(DE$550:DE$598,_xlfn.AGGREGATE(15,6,(ROW(DE$550:DE$598)-ROW(DE$550)+1)/(DE$550:DE$598&lt;&gt;""),ROWS(DL$1:DL40))),"")</f>
        <v/>
      </c>
      <c r="DM589" s="165" t="str">
        <f>IFERROR(INDEX(DF$550:DF$598,_xlfn.AGGREGATE(15,6,(ROW(DF$550:DF$598)-ROW(DF$550)+1)/(DF$550:DF$598&lt;&gt;""),ROWS(DM$1:DM40))),"")</f>
        <v/>
      </c>
      <c r="DN589" s="166" t="str">
        <f t="shared" si="297"/>
        <v/>
      </c>
      <c r="DO589" s="164" t="str">
        <f>IFERROR(INDEX(DG$550:DG$598,_xlfn.AGGREGATE(15,6,(ROW(DG$550:DG$598)-ROW(DG$550)+1)/(DG$550:DG$598&lt;&gt;""),ROWS(DO$1:DO40))),"")</f>
        <v/>
      </c>
      <c r="DP589" s="165" t="str">
        <f>IFERROR(INDEX(DH$550:DH$598,_xlfn.AGGREGATE(15,6,(ROW(DH$550:DH$598)-ROW(DH$550)+1)/(DH$550:DH$598&lt;&gt;""),ROWS(DP$1:DP40))),"")</f>
        <v/>
      </c>
      <c r="DQ589" s="166" t="str">
        <f t="shared" si="298"/>
        <v/>
      </c>
      <c r="DR589" s="65"/>
      <c r="DV589" s="145">
        <v>2054</v>
      </c>
      <c r="DW589" s="235">
        <f t="shared" ca="1" si="282"/>
        <v>267.70844170690282</v>
      </c>
      <c r="EA589" s="55"/>
      <c r="EB589" s="55"/>
      <c r="EC589" s="55"/>
      <c r="ED589" s="55"/>
      <c r="EE589" s="55"/>
    </row>
    <row r="590" spans="2:135" ht="13.8" x14ac:dyDescent="0.45">
      <c r="B590" s="128">
        <v>2052</v>
      </c>
      <c r="C590" s="291"/>
      <c r="D590" s="307"/>
      <c r="E590" s="308"/>
      <c r="F590" s="293"/>
      <c r="G590" s="294"/>
      <c r="H590" s="292"/>
      <c r="I590" s="293"/>
      <c r="J590" s="294"/>
      <c r="K590" s="292"/>
      <c r="L590" s="293"/>
      <c r="M590" s="292"/>
      <c r="N590" s="29" t="s">
        <v>119</v>
      </c>
      <c r="O590" s="120"/>
      <c r="P590" s="120"/>
      <c r="Q590" s="120"/>
      <c r="R590" s="29">
        <v>38</v>
      </c>
      <c r="S590" s="288" t="str">
        <f t="shared" si="283"/>
        <v/>
      </c>
      <c r="T590" s="288" t="str">
        <f t="shared" si="284"/>
        <v/>
      </c>
      <c r="U590" s="288" t="str">
        <f t="shared" si="285"/>
        <v/>
      </c>
      <c r="W590" s="288" t="e">
        <f t="shared" si="286"/>
        <v>#N/A</v>
      </c>
      <c r="X590" s="288" t="e">
        <f t="shared" si="287"/>
        <v>#N/A</v>
      </c>
      <c r="Y590" s="288" t="e">
        <f t="shared" si="288"/>
        <v>#N/A</v>
      </c>
      <c r="AA590" s="89"/>
      <c r="AB590" s="89"/>
      <c r="AC590" s="89"/>
      <c r="AD590" s="89"/>
      <c r="AE590" s="89"/>
      <c r="AF590" s="89"/>
      <c r="AG590" s="89"/>
      <c r="AH590" s="89"/>
      <c r="AI590" s="89"/>
      <c r="AJ590" s="89"/>
      <c r="AK590" s="89"/>
      <c r="AL590" s="89"/>
      <c r="AM590" s="89"/>
      <c r="AN590" s="89"/>
      <c r="BR590" s="180">
        <v>2050</v>
      </c>
      <c r="BS590" s="22">
        <v>36</v>
      </c>
      <c r="BT590" s="289">
        <f t="shared" si="299"/>
        <v>70.215700075214514</v>
      </c>
      <c r="BU590" s="289">
        <f t="shared" si="300"/>
        <v>192.144598299715</v>
      </c>
      <c r="BV590" s="212">
        <f t="shared" si="301"/>
        <v>262.36029837492953</v>
      </c>
      <c r="BY590" s="180">
        <v>2050</v>
      </c>
      <c r="BZ590" s="22">
        <v>36</v>
      </c>
      <c r="CA590" s="289">
        <f t="shared" ca="1" si="302"/>
        <v>-3.4510700098734164</v>
      </c>
      <c r="CB590" s="289">
        <f t="shared" ca="1" si="303"/>
        <v>73.283317861768666</v>
      </c>
      <c r="CC590" s="289">
        <f t="shared" ca="1" si="314"/>
        <v>191.67593447121368</v>
      </c>
      <c r="CD590" s="212">
        <f t="shared" ca="1" si="304"/>
        <v>261.50818232310894</v>
      </c>
      <c r="CG590" s="180">
        <v>2050</v>
      </c>
      <c r="CH590" s="22">
        <v>36</v>
      </c>
      <c r="CI590" s="289">
        <f t="shared" ca="1" si="305"/>
        <v>-5.0953366301353986</v>
      </c>
      <c r="CJ590" s="289">
        <f t="shared" ca="1" si="306"/>
        <v>3.3427121636405772</v>
      </c>
      <c r="CK590" s="289">
        <f t="shared" ca="1" si="307"/>
        <v>70.829221315062924</v>
      </c>
      <c r="CL590" s="289">
        <f t="shared" ca="1" si="308"/>
        <v>191.87198960492466</v>
      </c>
      <c r="CM590" s="212">
        <f t="shared" ca="1" si="309"/>
        <v>260.94858645349279</v>
      </c>
      <c r="CP590" s="180">
        <v>2050</v>
      </c>
      <c r="CQ590" s="22">
        <v>36</v>
      </c>
      <c r="CR590" s="289">
        <f t="shared" ca="1" si="310"/>
        <v>193.51082844891297</v>
      </c>
      <c r="CS590" s="289">
        <f t="shared" ca="1" si="311"/>
        <v>1.3713124167713171</v>
      </c>
      <c r="CT590" s="212">
        <f t="shared" ca="1" si="312"/>
        <v>265.36380183169859</v>
      </c>
      <c r="CZ590" s="164" t="b">
        <f t="shared" ref="CZ590:DB598" si="316">ISNUMBER(W590)</f>
        <v>0</v>
      </c>
      <c r="DA590" s="165" t="b">
        <f t="shared" si="316"/>
        <v>0</v>
      </c>
      <c r="DB590" s="166" t="b">
        <f t="shared" si="316"/>
        <v>0</v>
      </c>
      <c r="DC590" s="164" t="str">
        <f t="shared" si="290"/>
        <v/>
      </c>
      <c r="DD590" s="166" t="str">
        <f t="shared" si="291"/>
        <v/>
      </c>
      <c r="DE590" s="164" t="str">
        <f t="shared" si="292"/>
        <v/>
      </c>
      <c r="DF590" s="166" t="str">
        <f t="shared" si="293"/>
        <v/>
      </c>
      <c r="DG590" s="164" t="str">
        <f t="shared" si="294"/>
        <v/>
      </c>
      <c r="DH590" s="166" t="str">
        <f t="shared" si="295"/>
        <v/>
      </c>
      <c r="DI590" s="164" t="str">
        <f>IFERROR(INDEX(DC$550:DC$598,_xlfn.AGGREGATE(15,6,(ROW(DC$550:DC$598)-ROW(DC$550)+1)/(DC$550:DC$598&lt;&gt;""),ROWS(DI$1:DI41))),"")</f>
        <v/>
      </c>
      <c r="DJ590" s="165" t="str">
        <f>IFERROR(INDEX(DD$550:DD$598,_xlfn.AGGREGATE(15,6,(ROW(DD$550:DD$598)-ROW(DD$550)+1)/(DD$550:DD$598&lt;&gt;""),ROWS(DJ$1:DJ41))),"")</f>
        <v/>
      </c>
      <c r="DK590" s="166" t="str">
        <f t="shared" si="296"/>
        <v/>
      </c>
      <c r="DL590" s="164" t="str">
        <f>IFERROR(INDEX(DE$550:DE$598,_xlfn.AGGREGATE(15,6,(ROW(DE$550:DE$598)-ROW(DE$550)+1)/(DE$550:DE$598&lt;&gt;""),ROWS(DL$1:DL41))),"")</f>
        <v/>
      </c>
      <c r="DM590" s="165" t="str">
        <f>IFERROR(INDEX(DF$550:DF$598,_xlfn.AGGREGATE(15,6,(ROW(DF$550:DF$598)-ROW(DF$550)+1)/(DF$550:DF$598&lt;&gt;""),ROWS(DM$1:DM41))),"")</f>
        <v/>
      </c>
      <c r="DN590" s="166" t="str">
        <f t="shared" si="297"/>
        <v/>
      </c>
      <c r="DO590" s="164" t="str">
        <f>IFERROR(INDEX(DG$550:DG$598,_xlfn.AGGREGATE(15,6,(ROW(DG$550:DG$598)-ROW(DG$550)+1)/(DG$550:DG$598&lt;&gt;""),ROWS(DO$1:DO41))),"")</f>
        <v/>
      </c>
      <c r="DP590" s="165" t="str">
        <f>IFERROR(INDEX(DH$550:DH$598,_xlfn.AGGREGATE(15,6,(ROW(DH$550:DH$598)-ROW(DH$550)+1)/(DH$550:DH$598&lt;&gt;""),ROWS(DP$1:DP41))),"")</f>
        <v/>
      </c>
      <c r="DQ590" s="166" t="str">
        <f t="shared" si="298"/>
        <v/>
      </c>
      <c r="DR590" s="65"/>
      <c r="DV590" s="145">
        <v>2055</v>
      </c>
      <c r="DW590" s="235">
        <f t="shared" ca="1" si="282"/>
        <v>269.34741349909677</v>
      </c>
      <c r="EA590" s="55"/>
      <c r="EB590" s="55"/>
      <c r="EC590" s="55"/>
      <c r="ED590" s="55"/>
      <c r="EE590" s="55"/>
    </row>
    <row r="591" spans="2:135" ht="13.8" x14ac:dyDescent="0.45">
      <c r="B591" s="128">
        <v>2053</v>
      </c>
      <c r="C591" s="291"/>
      <c r="D591" s="307"/>
      <c r="E591" s="308"/>
      <c r="F591" s="293"/>
      <c r="G591" s="294"/>
      <c r="H591" s="292"/>
      <c r="I591" s="293"/>
      <c r="J591" s="294"/>
      <c r="K591" s="292"/>
      <c r="L591" s="293"/>
      <c r="M591" s="292"/>
      <c r="N591" s="29" t="s">
        <v>119</v>
      </c>
      <c r="O591" s="120"/>
      <c r="P591" s="120"/>
      <c r="Q591" s="120"/>
      <c r="R591" s="29">
        <v>39</v>
      </c>
      <c r="S591" s="288" t="str">
        <f t="shared" si="283"/>
        <v/>
      </c>
      <c r="T591" s="288" t="str">
        <f t="shared" si="284"/>
        <v/>
      </c>
      <c r="U591" s="288" t="str">
        <f t="shared" si="285"/>
        <v/>
      </c>
      <c r="W591" s="288" t="e">
        <f t="shared" si="286"/>
        <v>#N/A</v>
      </c>
      <c r="X591" s="288" t="e">
        <f t="shared" si="287"/>
        <v>#N/A</v>
      </c>
      <c r="Y591" s="288" t="e">
        <f t="shared" si="288"/>
        <v>#N/A</v>
      </c>
      <c r="AA591" s="89"/>
      <c r="AB591" s="89"/>
      <c r="AC591" s="89"/>
      <c r="AD591" s="89"/>
      <c r="AE591" s="89"/>
      <c r="AF591" s="89"/>
      <c r="AG591" s="89"/>
      <c r="AH591" s="89"/>
      <c r="AI591" s="89"/>
      <c r="AJ591" s="89"/>
      <c r="AK591" s="89"/>
      <c r="AL591" s="89"/>
      <c r="AM591" s="89"/>
      <c r="AN591" s="89"/>
      <c r="BR591" s="180">
        <v>2051</v>
      </c>
      <c r="BS591" s="22">
        <v>37</v>
      </c>
      <c r="BT591" s="289">
        <f t="shared" si="299"/>
        <v>72.166136188414924</v>
      </c>
      <c r="BU591" s="289">
        <f t="shared" si="300"/>
        <v>192.144598299715</v>
      </c>
      <c r="BV591" s="285">
        <f t="shared" si="301"/>
        <v>264.31073448812992</v>
      </c>
      <c r="BY591" s="180">
        <v>2051</v>
      </c>
      <c r="BZ591" s="22">
        <v>37</v>
      </c>
      <c r="CA591" s="289">
        <f t="shared" ca="1" si="302"/>
        <v>-3.64545898419499</v>
      </c>
      <c r="CB591" s="289">
        <f t="shared" ca="1" si="303"/>
        <v>75.318965580151129</v>
      </c>
      <c r="CC591" s="289">
        <f t="shared" ca="1" si="314"/>
        <v>191.67593447121368</v>
      </c>
      <c r="CD591" s="285">
        <f t="shared" ca="1" si="304"/>
        <v>263.34944106716983</v>
      </c>
      <c r="CG591" s="180">
        <v>2051</v>
      </c>
      <c r="CH591" s="22">
        <v>37</v>
      </c>
      <c r="CI591" s="289">
        <f t="shared" ca="1" si="305"/>
        <v>-5.5318519874453091</v>
      </c>
      <c r="CJ591" s="289">
        <f t="shared" ca="1" si="306"/>
        <v>3.5309976481666281</v>
      </c>
      <c r="CK591" s="289">
        <f t="shared" ca="1" si="307"/>
        <v>72.796699684925784</v>
      </c>
      <c r="CL591" s="289">
        <f t="shared" ca="1" si="308"/>
        <v>191.87198960492466</v>
      </c>
      <c r="CM591" s="285">
        <f t="shared" ca="1" si="309"/>
        <v>262.66783495057177</v>
      </c>
      <c r="CP591" s="180">
        <v>2051</v>
      </c>
      <c r="CQ591" s="22">
        <v>37</v>
      </c>
      <c r="CR591" s="289">
        <f t="shared" ca="1" si="310"/>
        <v>193.51082844891297</v>
      </c>
      <c r="CS591" s="289">
        <f t="shared" ca="1" si="311"/>
        <v>1.383393571096674</v>
      </c>
      <c r="CT591" s="285">
        <f t="shared" ca="1" si="312"/>
        <v>267.70163601381756</v>
      </c>
      <c r="CZ591" s="164" t="b">
        <f t="shared" si="316"/>
        <v>0</v>
      </c>
      <c r="DA591" s="165" t="b">
        <f t="shared" si="316"/>
        <v>0</v>
      </c>
      <c r="DB591" s="166" t="b">
        <f t="shared" si="316"/>
        <v>0</v>
      </c>
      <c r="DC591" s="164" t="str">
        <f t="shared" si="290"/>
        <v/>
      </c>
      <c r="DD591" s="166" t="str">
        <f t="shared" si="291"/>
        <v/>
      </c>
      <c r="DE591" s="164" t="str">
        <f t="shared" si="292"/>
        <v/>
      </c>
      <c r="DF591" s="166" t="str">
        <f t="shared" si="293"/>
        <v/>
      </c>
      <c r="DG591" s="164" t="str">
        <f t="shared" si="294"/>
        <v/>
      </c>
      <c r="DH591" s="166" t="str">
        <f t="shared" si="295"/>
        <v/>
      </c>
      <c r="DI591" s="164" t="str">
        <f>IFERROR(INDEX(DC$550:DC$598,_xlfn.AGGREGATE(15,6,(ROW(DC$550:DC$598)-ROW(DC$550)+1)/(DC$550:DC$598&lt;&gt;""),ROWS(DI$1:DI42))),"")</f>
        <v/>
      </c>
      <c r="DJ591" s="165" t="str">
        <f>IFERROR(INDEX(DD$550:DD$598,_xlfn.AGGREGATE(15,6,(ROW(DD$550:DD$598)-ROW(DD$550)+1)/(DD$550:DD$598&lt;&gt;""),ROWS(DJ$1:DJ42))),"")</f>
        <v/>
      </c>
      <c r="DK591" s="166" t="str">
        <f t="shared" si="296"/>
        <v/>
      </c>
      <c r="DL591" s="164" t="str">
        <f>IFERROR(INDEX(DE$550:DE$598,_xlfn.AGGREGATE(15,6,(ROW(DE$550:DE$598)-ROW(DE$550)+1)/(DE$550:DE$598&lt;&gt;""),ROWS(DL$1:DL42))),"")</f>
        <v/>
      </c>
      <c r="DM591" s="165" t="str">
        <f>IFERROR(INDEX(DF$550:DF$598,_xlfn.AGGREGATE(15,6,(ROW(DF$550:DF$598)-ROW(DF$550)+1)/(DF$550:DF$598&lt;&gt;""),ROWS(DM$1:DM42))),"")</f>
        <v/>
      </c>
      <c r="DN591" s="166" t="str">
        <f t="shared" si="297"/>
        <v/>
      </c>
      <c r="DO591" s="164" t="str">
        <f>IFERROR(INDEX(DG$550:DG$598,_xlfn.AGGREGATE(15,6,(ROW(DG$550:DG$598)-ROW(DG$550)+1)/(DG$550:DG$598&lt;&gt;""),ROWS(DO$1:DO42))),"")</f>
        <v/>
      </c>
      <c r="DP591" s="165" t="str">
        <f>IFERROR(INDEX(DH$550:DH$598,_xlfn.AGGREGATE(15,6,(ROW(DH$550:DH$598)-ROW(DH$550)+1)/(DH$550:DH$598&lt;&gt;""),ROWS(DP$1:DP42))),"")</f>
        <v/>
      </c>
      <c r="DQ591" s="166" t="str">
        <f t="shared" si="298"/>
        <v/>
      </c>
      <c r="DR591" s="65"/>
      <c r="DV591" s="145">
        <v>2056</v>
      </c>
      <c r="DW591" s="235">
        <f t="shared" ca="1" si="282"/>
        <v>270.96467795385865</v>
      </c>
      <c r="EA591" s="55"/>
      <c r="EB591" s="55"/>
      <c r="EC591" s="55"/>
      <c r="ED591" s="55"/>
      <c r="EE591" s="55"/>
    </row>
    <row r="592" spans="2:135" ht="13.8" x14ac:dyDescent="0.45">
      <c r="B592" s="128">
        <v>2054</v>
      </c>
      <c r="C592" s="291"/>
      <c r="D592" s="307"/>
      <c r="E592" s="308"/>
      <c r="F592" s="293"/>
      <c r="G592" s="294"/>
      <c r="H592" s="292"/>
      <c r="I592" s="293"/>
      <c r="J592" s="294"/>
      <c r="K592" s="292"/>
      <c r="L592" s="293"/>
      <c r="M592" s="292"/>
      <c r="N592" s="29" t="s">
        <v>119</v>
      </c>
      <c r="O592" s="120"/>
      <c r="P592" s="120"/>
      <c r="Q592" s="120"/>
      <c r="R592" s="29">
        <v>40</v>
      </c>
      <c r="S592" s="288" t="str">
        <f t="shared" si="283"/>
        <v/>
      </c>
      <c r="T592" s="288" t="str">
        <f t="shared" si="284"/>
        <v/>
      </c>
      <c r="U592" s="288" t="str">
        <f t="shared" si="285"/>
        <v/>
      </c>
      <c r="W592" s="288" t="e">
        <f t="shared" si="286"/>
        <v>#N/A</v>
      </c>
      <c r="X592" s="288" t="e">
        <f t="shared" si="287"/>
        <v>#N/A</v>
      </c>
      <c r="Y592" s="288" t="e">
        <f t="shared" si="288"/>
        <v>#N/A</v>
      </c>
      <c r="AA592" s="89"/>
      <c r="AB592" s="89"/>
      <c r="AC592" s="89"/>
      <c r="AD592" s="89"/>
      <c r="AE592" s="89"/>
      <c r="AF592" s="89"/>
      <c r="AG592" s="89"/>
      <c r="AH592" s="89"/>
      <c r="AI592" s="89"/>
      <c r="AJ592" s="89"/>
      <c r="AK592" s="89"/>
      <c r="AL592" s="89"/>
      <c r="AM592" s="89"/>
      <c r="AN592" s="89"/>
      <c r="BR592" s="180">
        <v>2052</v>
      </c>
      <c r="BS592" s="22">
        <v>38</v>
      </c>
      <c r="BT592" s="289">
        <f t="shared" si="299"/>
        <v>74.116572301615321</v>
      </c>
      <c r="BU592" s="289">
        <f t="shared" si="300"/>
        <v>192.144598299715</v>
      </c>
      <c r="BV592" s="299">
        <f t="shared" si="301"/>
        <v>266.26117060133032</v>
      </c>
      <c r="BY592" s="180">
        <v>2052</v>
      </c>
      <c r="BZ592" s="22">
        <v>38</v>
      </c>
      <c r="CA592" s="289">
        <f t="shared" ca="1" si="302"/>
        <v>-3.8451736838404424</v>
      </c>
      <c r="CB592" s="289">
        <f t="shared" ca="1" si="303"/>
        <v>77.354613298533593</v>
      </c>
      <c r="CC592" s="289">
        <f t="shared" ca="1" si="314"/>
        <v>191.67593447121368</v>
      </c>
      <c r="CD592" s="299">
        <f t="shared" ca="1" si="304"/>
        <v>265.1853740859068</v>
      </c>
      <c r="CG592" s="180">
        <v>2052</v>
      </c>
      <c r="CH592" s="22">
        <v>38</v>
      </c>
      <c r="CI592" s="289">
        <f t="shared" ca="1" si="305"/>
        <v>-5.9926121306753597</v>
      </c>
      <c r="CJ592" s="289">
        <f t="shared" ca="1" si="306"/>
        <v>3.7244416391180506</v>
      </c>
      <c r="CK592" s="289">
        <f t="shared" ca="1" si="307"/>
        <v>74.764178054788644</v>
      </c>
      <c r="CL592" s="289">
        <f t="shared" ca="1" si="308"/>
        <v>191.87198960492466</v>
      </c>
      <c r="CM592" s="299">
        <f t="shared" ca="1" si="309"/>
        <v>264.36799716815597</v>
      </c>
      <c r="CP592" s="180">
        <v>2052</v>
      </c>
      <c r="CQ592" s="22">
        <v>38</v>
      </c>
      <c r="CR592" s="289">
        <f t="shared" ca="1" si="310"/>
        <v>193.51082844891297</v>
      </c>
      <c r="CS592" s="289">
        <f t="shared" ca="1" si="311"/>
        <v>1.3955811594395813</v>
      </c>
      <c r="CT592" s="299">
        <f t="shared" ca="1" si="312"/>
        <v>270.06006633084786</v>
      </c>
      <c r="CZ592" s="164" t="b">
        <f t="shared" si="316"/>
        <v>0</v>
      </c>
      <c r="DA592" s="165" t="b">
        <f t="shared" si="316"/>
        <v>0</v>
      </c>
      <c r="DB592" s="166" t="b">
        <f t="shared" si="316"/>
        <v>0</v>
      </c>
      <c r="DC592" s="164" t="str">
        <f t="shared" si="290"/>
        <v/>
      </c>
      <c r="DD592" s="166" t="str">
        <f t="shared" si="291"/>
        <v/>
      </c>
      <c r="DE592" s="164" t="str">
        <f t="shared" si="292"/>
        <v/>
      </c>
      <c r="DF592" s="166" t="str">
        <f t="shared" si="293"/>
        <v/>
      </c>
      <c r="DG592" s="164" t="str">
        <f t="shared" si="294"/>
        <v/>
      </c>
      <c r="DH592" s="166" t="str">
        <f t="shared" si="295"/>
        <v/>
      </c>
      <c r="DI592" s="164" t="str">
        <f>IFERROR(INDEX(DC$550:DC$598,_xlfn.AGGREGATE(15,6,(ROW(DC$550:DC$598)-ROW(DC$550)+1)/(DC$550:DC$598&lt;&gt;""),ROWS(DI$1:DI43))),"")</f>
        <v/>
      </c>
      <c r="DJ592" s="165" t="str">
        <f>IFERROR(INDEX(DD$550:DD$598,_xlfn.AGGREGATE(15,6,(ROW(DD$550:DD$598)-ROW(DD$550)+1)/(DD$550:DD$598&lt;&gt;""),ROWS(DJ$1:DJ43))),"")</f>
        <v/>
      </c>
      <c r="DK592" s="166" t="str">
        <f t="shared" si="296"/>
        <v/>
      </c>
      <c r="DL592" s="164" t="str">
        <f>IFERROR(INDEX(DE$550:DE$598,_xlfn.AGGREGATE(15,6,(ROW(DE$550:DE$598)-ROW(DE$550)+1)/(DE$550:DE$598&lt;&gt;""),ROWS(DL$1:DL43))),"")</f>
        <v/>
      </c>
      <c r="DM592" s="165" t="str">
        <f>IFERROR(INDEX(DF$550:DF$598,_xlfn.AGGREGATE(15,6,(ROW(DF$550:DF$598)-ROW(DF$550)+1)/(DF$550:DF$598&lt;&gt;""),ROWS(DM$1:DM43))),"")</f>
        <v/>
      </c>
      <c r="DN592" s="166" t="str">
        <f t="shared" si="297"/>
        <v/>
      </c>
      <c r="DO592" s="164" t="str">
        <f>IFERROR(INDEX(DG$550:DG$598,_xlfn.AGGREGATE(15,6,(ROW(DG$550:DG$598)-ROW(DG$550)+1)/(DG$550:DG$598&lt;&gt;""),ROWS(DO$1:DO43))),"")</f>
        <v/>
      </c>
      <c r="DP592" s="165" t="str">
        <f>IFERROR(INDEX(DH$550:DH$598,_xlfn.AGGREGATE(15,6,(ROW(DH$550:DH$598)-ROW(DH$550)+1)/(DH$550:DH$598&lt;&gt;""),ROWS(DP$1:DP43))),"")</f>
        <v/>
      </c>
      <c r="DQ592" s="166" t="str">
        <f t="shared" si="298"/>
        <v/>
      </c>
      <c r="DR592" s="65"/>
      <c r="DV592" s="145">
        <v>2057</v>
      </c>
      <c r="DW592" s="235">
        <f t="shared" ca="1" si="282"/>
        <v>272.55957980670416</v>
      </c>
      <c r="EA592" s="55"/>
      <c r="EB592" s="55"/>
      <c r="EC592" s="55"/>
      <c r="ED592" s="55"/>
      <c r="EE592" s="55"/>
    </row>
    <row r="593" spans="1:135" ht="13.8" x14ac:dyDescent="0.45">
      <c r="B593" s="128">
        <v>2055</v>
      </c>
      <c r="C593" s="291"/>
      <c r="D593" s="307"/>
      <c r="E593" s="308"/>
      <c r="F593" s="293"/>
      <c r="G593" s="294"/>
      <c r="H593" s="292"/>
      <c r="I593" s="293"/>
      <c r="J593" s="294"/>
      <c r="K593" s="292"/>
      <c r="L593" s="293"/>
      <c r="M593" s="292"/>
      <c r="N593" s="29" t="s">
        <v>119</v>
      </c>
      <c r="O593" s="120"/>
      <c r="P593" s="120"/>
      <c r="Q593" s="120"/>
      <c r="R593" s="29">
        <v>41</v>
      </c>
      <c r="S593" s="288" t="str">
        <f t="shared" si="283"/>
        <v/>
      </c>
      <c r="T593" s="288" t="str">
        <f t="shared" si="284"/>
        <v/>
      </c>
      <c r="U593" s="288" t="str">
        <f t="shared" si="285"/>
        <v/>
      </c>
      <c r="W593" s="288" t="e">
        <f t="shared" si="286"/>
        <v>#N/A</v>
      </c>
      <c r="X593" s="288" t="e">
        <f t="shared" si="287"/>
        <v>#N/A</v>
      </c>
      <c r="Y593" s="288" t="e">
        <f t="shared" si="288"/>
        <v>#N/A</v>
      </c>
      <c r="AA593" s="89"/>
      <c r="AB593" s="89"/>
      <c r="AC593" s="89"/>
      <c r="AD593" s="89"/>
      <c r="AE593" s="89"/>
      <c r="AF593" s="89"/>
      <c r="AG593" s="89"/>
      <c r="AH593" s="89"/>
      <c r="AI593" s="89"/>
      <c r="AJ593" s="89"/>
      <c r="AK593" s="89"/>
      <c r="AL593" s="89"/>
      <c r="AM593" s="89"/>
      <c r="AN593" s="89"/>
      <c r="BR593" s="180">
        <v>2053</v>
      </c>
      <c r="BS593" s="22">
        <v>39</v>
      </c>
      <c r="BT593" s="289">
        <f t="shared" si="299"/>
        <v>76.067008414815731</v>
      </c>
      <c r="BU593" s="289">
        <f t="shared" si="300"/>
        <v>192.144598299715</v>
      </c>
      <c r="BV593" s="299">
        <f t="shared" si="301"/>
        <v>268.21160671453072</v>
      </c>
      <c r="BY593" s="180">
        <v>2053</v>
      </c>
      <c r="BZ593" s="22">
        <v>39</v>
      </c>
      <c r="CA593" s="289">
        <f t="shared" ca="1" si="302"/>
        <v>-4.0502141088097741</v>
      </c>
      <c r="CB593" s="289">
        <f t="shared" ca="1" si="303"/>
        <v>79.390261016916057</v>
      </c>
      <c r="CC593" s="289">
        <f t="shared" ca="1" si="314"/>
        <v>191.67593447121368</v>
      </c>
      <c r="CD593" s="299">
        <f t="shared" ca="1" si="304"/>
        <v>267.01598137931995</v>
      </c>
      <c r="CG593" s="180">
        <v>2053</v>
      </c>
      <c r="CH593" s="22">
        <v>39</v>
      </c>
      <c r="CI593" s="289">
        <f t="shared" ca="1" si="305"/>
        <v>-6.478272324309879</v>
      </c>
      <c r="CJ593" s="289">
        <f t="shared" ca="1" si="306"/>
        <v>3.9230441364948438</v>
      </c>
      <c r="CK593" s="289">
        <f t="shared" ca="1" si="307"/>
        <v>76.731656424651504</v>
      </c>
      <c r="CL593" s="289">
        <f t="shared" ca="1" si="308"/>
        <v>191.87198960492466</v>
      </c>
      <c r="CM593" s="299">
        <f t="shared" ca="1" si="309"/>
        <v>266.04841784176114</v>
      </c>
      <c r="CP593" s="180">
        <v>2053</v>
      </c>
      <c r="CQ593" s="22">
        <v>39</v>
      </c>
      <c r="CR593" s="289">
        <f t="shared" ca="1" si="310"/>
        <v>193.51082844891297</v>
      </c>
      <c r="CS593" s="289">
        <f t="shared" ca="1" si="311"/>
        <v>1.4078761194753451</v>
      </c>
      <c r="CT593" s="299">
        <f t="shared" ca="1" si="312"/>
        <v>272.43927423311482</v>
      </c>
      <c r="CZ593" s="164" t="b">
        <f t="shared" si="316"/>
        <v>0</v>
      </c>
      <c r="DA593" s="165" t="b">
        <f t="shared" si="316"/>
        <v>0</v>
      </c>
      <c r="DB593" s="166" t="b">
        <f t="shared" si="316"/>
        <v>0</v>
      </c>
      <c r="DC593" s="164" t="str">
        <f t="shared" si="290"/>
        <v/>
      </c>
      <c r="DD593" s="166" t="str">
        <f t="shared" si="291"/>
        <v/>
      </c>
      <c r="DE593" s="164" t="str">
        <f t="shared" si="292"/>
        <v/>
      </c>
      <c r="DF593" s="166" t="str">
        <f t="shared" si="293"/>
        <v/>
      </c>
      <c r="DG593" s="164" t="str">
        <f t="shared" si="294"/>
        <v/>
      </c>
      <c r="DH593" s="166" t="str">
        <f t="shared" si="295"/>
        <v/>
      </c>
      <c r="DI593" s="164" t="str">
        <f>IFERROR(INDEX(DC$550:DC$598,_xlfn.AGGREGATE(15,6,(ROW(DC$550:DC$598)-ROW(DC$550)+1)/(DC$550:DC$598&lt;&gt;""),ROWS(DI$1:DI44))),"")</f>
        <v/>
      </c>
      <c r="DJ593" s="165" t="str">
        <f>IFERROR(INDEX(DD$550:DD$598,_xlfn.AGGREGATE(15,6,(ROW(DD$550:DD$598)-ROW(DD$550)+1)/(DD$550:DD$598&lt;&gt;""),ROWS(DJ$1:DJ44))),"")</f>
        <v/>
      </c>
      <c r="DK593" s="166" t="str">
        <f t="shared" si="296"/>
        <v/>
      </c>
      <c r="DL593" s="164" t="str">
        <f>IFERROR(INDEX(DE$550:DE$598,_xlfn.AGGREGATE(15,6,(ROW(DE$550:DE$598)-ROW(DE$550)+1)/(DE$550:DE$598&lt;&gt;""),ROWS(DL$1:DL44))),"")</f>
        <v/>
      </c>
      <c r="DM593" s="165" t="str">
        <f>IFERROR(INDEX(DF$550:DF$598,_xlfn.AGGREGATE(15,6,(ROW(DF$550:DF$598)-ROW(DF$550)+1)/(DF$550:DF$598&lt;&gt;""),ROWS(DM$1:DM44))),"")</f>
        <v/>
      </c>
      <c r="DN593" s="166" t="str">
        <f t="shared" si="297"/>
        <v/>
      </c>
      <c r="DO593" s="164" t="str">
        <f>IFERROR(INDEX(DG$550:DG$598,_xlfn.AGGREGATE(15,6,(ROW(DG$550:DG$598)-ROW(DG$550)+1)/(DG$550:DG$598&lt;&gt;""),ROWS(DO$1:DO44))),"")</f>
        <v/>
      </c>
      <c r="DP593" s="165" t="str">
        <f>IFERROR(INDEX(DH$550:DH$598,_xlfn.AGGREGATE(15,6,(ROW(DH$550:DH$598)-ROW(DH$550)+1)/(DH$550:DH$598&lt;&gt;""),ROWS(DP$1:DP44))),"")</f>
        <v/>
      </c>
      <c r="DQ593" s="166" t="str">
        <f t="shared" si="298"/>
        <v/>
      </c>
      <c r="DR593" s="65"/>
      <c r="DV593" s="145">
        <v>2058</v>
      </c>
      <c r="DW593" s="235">
        <f t="shared" ca="1" si="282"/>
        <v>274.1314637931489</v>
      </c>
      <c r="EA593" s="55"/>
      <c r="EB593" s="55"/>
      <c r="EC593" s="55"/>
      <c r="ED593" s="55"/>
      <c r="EE593" s="55"/>
    </row>
    <row r="594" spans="1:135" ht="13.8" x14ac:dyDescent="0.45">
      <c r="B594" s="128">
        <v>2056</v>
      </c>
      <c r="C594" s="291"/>
      <c r="D594" s="307"/>
      <c r="E594" s="308"/>
      <c r="F594" s="293"/>
      <c r="G594" s="294"/>
      <c r="H594" s="292"/>
      <c r="I594" s="293"/>
      <c r="J594" s="294"/>
      <c r="K594" s="292"/>
      <c r="L594" s="293"/>
      <c r="M594" s="292"/>
      <c r="N594" s="29" t="s">
        <v>119</v>
      </c>
      <c r="O594" s="120"/>
      <c r="P594" s="120"/>
      <c r="Q594" s="120"/>
      <c r="R594" s="29">
        <v>42</v>
      </c>
      <c r="S594" s="288" t="str">
        <f t="shared" si="283"/>
        <v/>
      </c>
      <c r="T594" s="288" t="str">
        <f t="shared" si="284"/>
        <v/>
      </c>
      <c r="U594" s="288" t="str">
        <f t="shared" si="285"/>
        <v/>
      </c>
      <c r="W594" s="288" t="e">
        <f t="shared" si="286"/>
        <v>#N/A</v>
      </c>
      <c r="X594" s="288" t="e">
        <f t="shared" si="287"/>
        <v>#N/A</v>
      </c>
      <c r="Y594" s="288" t="e">
        <f t="shared" si="288"/>
        <v>#N/A</v>
      </c>
      <c r="AA594" s="89"/>
      <c r="AB594" s="89"/>
      <c r="AC594" s="89"/>
      <c r="AD594" s="89"/>
      <c r="AE594" s="89"/>
      <c r="AF594" s="89"/>
      <c r="AG594" s="89"/>
      <c r="AH594" s="89"/>
      <c r="AI594" s="89"/>
      <c r="AJ594" s="89"/>
      <c r="AK594" s="89"/>
      <c r="AL594" s="89"/>
      <c r="AM594" s="89"/>
      <c r="AN594" s="89"/>
      <c r="BR594" s="180">
        <v>2054</v>
      </c>
      <c r="BS594" s="22">
        <v>40</v>
      </c>
      <c r="BT594" s="289">
        <f t="shared" si="299"/>
        <v>78.017444528016128</v>
      </c>
      <c r="BU594" s="289">
        <f t="shared" si="300"/>
        <v>192.144598299715</v>
      </c>
      <c r="BV594" s="299">
        <f t="shared" si="301"/>
        <v>270.16204282773111</v>
      </c>
      <c r="BY594" s="180">
        <v>2054</v>
      </c>
      <c r="BZ594" s="22">
        <v>40</v>
      </c>
      <c r="CA594" s="289">
        <f t="shared" ca="1" si="302"/>
        <v>-4.2605802591029835</v>
      </c>
      <c r="CB594" s="289">
        <f t="shared" ca="1" si="303"/>
        <v>81.42590873529852</v>
      </c>
      <c r="CC594" s="289">
        <f t="shared" ca="1" si="314"/>
        <v>191.67593447121368</v>
      </c>
      <c r="CD594" s="299">
        <f t="shared" ca="1" si="304"/>
        <v>268.84126294740923</v>
      </c>
      <c r="CG594" s="180">
        <v>2054</v>
      </c>
      <c r="CH594" s="22">
        <v>40</v>
      </c>
      <c r="CI594" s="289">
        <f t="shared" ca="1" si="305"/>
        <v>-6.989487832833194</v>
      </c>
      <c r="CJ594" s="289">
        <f t="shared" ca="1" si="306"/>
        <v>4.1268051402970087</v>
      </c>
      <c r="CK594" s="289">
        <f t="shared" ca="1" si="307"/>
        <v>78.699134794514364</v>
      </c>
      <c r="CL594" s="289">
        <f t="shared" ca="1" si="308"/>
        <v>191.87198960492466</v>
      </c>
      <c r="CM594" s="299">
        <f t="shared" ca="1" si="309"/>
        <v>267.70844170690282</v>
      </c>
      <c r="CP594" s="180">
        <v>2054</v>
      </c>
      <c r="CQ594" s="22">
        <v>40</v>
      </c>
      <c r="CR594" s="289">
        <f t="shared" ca="1" si="310"/>
        <v>193.51082844891297</v>
      </c>
      <c r="CS594" s="289">
        <f t="shared" ca="1" si="311"/>
        <v>1.4202793971401189</v>
      </c>
      <c r="CT594" s="299">
        <f t="shared" ca="1" si="312"/>
        <v>274.83944276950706</v>
      </c>
      <c r="CZ594" s="164" t="b">
        <f t="shared" si="316"/>
        <v>0</v>
      </c>
      <c r="DA594" s="165" t="b">
        <f t="shared" si="316"/>
        <v>0</v>
      </c>
      <c r="DB594" s="166" t="b">
        <f t="shared" si="316"/>
        <v>0</v>
      </c>
      <c r="DC594" s="164" t="str">
        <f t="shared" si="290"/>
        <v/>
      </c>
      <c r="DD594" s="166" t="str">
        <f t="shared" si="291"/>
        <v/>
      </c>
      <c r="DE594" s="164" t="str">
        <f t="shared" si="292"/>
        <v/>
      </c>
      <c r="DF594" s="166" t="str">
        <f t="shared" si="293"/>
        <v/>
      </c>
      <c r="DG594" s="164" t="str">
        <f t="shared" si="294"/>
        <v/>
      </c>
      <c r="DH594" s="166" t="str">
        <f t="shared" si="295"/>
        <v/>
      </c>
      <c r="DI594" s="164" t="str">
        <f>IFERROR(INDEX(DC$550:DC$598,_xlfn.AGGREGATE(15,6,(ROW(DC$550:DC$598)-ROW(DC$550)+1)/(DC$550:DC$598&lt;&gt;""),ROWS(DI$1:DI45))),"")</f>
        <v/>
      </c>
      <c r="DJ594" s="165" t="str">
        <f>IFERROR(INDEX(DD$550:DD$598,_xlfn.AGGREGATE(15,6,(ROW(DD$550:DD$598)-ROW(DD$550)+1)/(DD$550:DD$598&lt;&gt;""),ROWS(DJ$1:DJ45))),"")</f>
        <v/>
      </c>
      <c r="DK594" s="166" t="str">
        <f t="shared" si="296"/>
        <v/>
      </c>
      <c r="DL594" s="164" t="str">
        <f>IFERROR(INDEX(DE$550:DE$598,_xlfn.AGGREGATE(15,6,(ROW(DE$550:DE$598)-ROW(DE$550)+1)/(DE$550:DE$598&lt;&gt;""),ROWS(DL$1:DL45))),"")</f>
        <v/>
      </c>
      <c r="DM594" s="165" t="str">
        <f>IFERROR(INDEX(DF$550:DF$598,_xlfn.AGGREGATE(15,6,(ROW(DF$550:DF$598)-ROW(DF$550)+1)/(DF$550:DF$598&lt;&gt;""),ROWS(DM$1:DM45))),"")</f>
        <v/>
      </c>
      <c r="DN594" s="166" t="str">
        <f t="shared" si="297"/>
        <v/>
      </c>
      <c r="DO594" s="164" t="str">
        <f>IFERROR(INDEX(DG$550:DG$598,_xlfn.AGGREGATE(15,6,(ROW(DG$550:DG$598)-ROW(DG$550)+1)/(DG$550:DG$598&lt;&gt;""),ROWS(DO$1:DO45))),"")</f>
        <v/>
      </c>
      <c r="DP594" s="165" t="str">
        <f>IFERROR(INDEX(DH$550:DH$598,_xlfn.AGGREGATE(15,6,(ROW(DH$550:DH$598)-ROW(DH$550)+1)/(DH$550:DH$598&lt;&gt;""),ROWS(DP$1:DP45))),"")</f>
        <v/>
      </c>
      <c r="DQ594" s="166" t="str">
        <f t="shared" si="298"/>
        <v/>
      </c>
      <c r="DR594" s="65"/>
      <c r="DV594" s="145">
        <v>2059</v>
      </c>
      <c r="DW594" s="235">
        <f t="shared" ca="1" si="282"/>
        <v>275.6796746487085</v>
      </c>
      <c r="EA594" s="55"/>
      <c r="EB594" s="55"/>
      <c r="EC594" s="55"/>
      <c r="ED594" s="55"/>
      <c r="EE594" s="55"/>
    </row>
    <row r="595" spans="1:135" ht="13.8" x14ac:dyDescent="0.45">
      <c r="B595" s="128">
        <v>2057</v>
      </c>
      <c r="C595" s="291"/>
      <c r="D595" s="307"/>
      <c r="E595" s="308"/>
      <c r="F595" s="293"/>
      <c r="G595" s="294"/>
      <c r="H595" s="292"/>
      <c r="I595" s="293"/>
      <c r="J595" s="294"/>
      <c r="K595" s="292"/>
      <c r="L595" s="293"/>
      <c r="M595" s="292"/>
      <c r="N595" s="29" t="s">
        <v>119</v>
      </c>
      <c r="O595" s="120"/>
      <c r="P595" s="120"/>
      <c r="Q595" s="120"/>
      <c r="R595" s="29">
        <v>43</v>
      </c>
      <c r="S595" s="288" t="str">
        <f t="shared" si="283"/>
        <v/>
      </c>
      <c r="T595" s="288" t="str">
        <f t="shared" si="284"/>
        <v/>
      </c>
      <c r="U595" s="288" t="str">
        <f t="shared" si="285"/>
        <v/>
      </c>
      <c r="W595" s="288" t="e">
        <f t="shared" si="286"/>
        <v>#N/A</v>
      </c>
      <c r="X595" s="288" t="e">
        <f t="shared" si="287"/>
        <v>#N/A</v>
      </c>
      <c r="Y595" s="288" t="e">
        <f t="shared" si="288"/>
        <v>#N/A</v>
      </c>
      <c r="AA595" s="89"/>
      <c r="AB595" s="89"/>
      <c r="AC595" s="89"/>
      <c r="AD595" s="89"/>
      <c r="AE595" s="89"/>
      <c r="AF595" s="89"/>
      <c r="AG595" s="89"/>
      <c r="AH595" s="89"/>
      <c r="AI595" s="89"/>
      <c r="AJ595" s="89"/>
      <c r="AK595" s="89"/>
      <c r="AL595" s="89"/>
      <c r="AM595" s="89"/>
      <c r="AN595" s="89"/>
      <c r="BR595" s="180">
        <v>2055</v>
      </c>
      <c r="BS595" s="22">
        <v>41</v>
      </c>
      <c r="BT595" s="289">
        <f t="shared" si="299"/>
        <v>79.967880641216539</v>
      </c>
      <c r="BU595" s="289">
        <f t="shared" si="300"/>
        <v>192.144598299715</v>
      </c>
      <c r="BV595" s="299">
        <f t="shared" si="301"/>
        <v>272.11247894093151</v>
      </c>
      <c r="BY595" s="180">
        <v>2055</v>
      </c>
      <c r="BZ595" s="22">
        <v>41</v>
      </c>
      <c r="CA595" s="289">
        <f t="shared" ca="1" si="302"/>
        <v>-4.4762721347200722</v>
      </c>
      <c r="CB595" s="289">
        <f t="shared" ca="1" si="303"/>
        <v>83.46155645368097</v>
      </c>
      <c r="CC595" s="289">
        <f t="shared" ca="1" si="314"/>
        <v>191.67593447121368</v>
      </c>
      <c r="CD595" s="299">
        <f t="shared" ca="1" si="304"/>
        <v>270.66121879017459</v>
      </c>
      <c r="CG595" s="180">
        <v>2055</v>
      </c>
      <c r="CH595" s="22">
        <v>41</v>
      </c>
      <c r="CI595" s="289">
        <f t="shared" ca="1" si="305"/>
        <v>-7.5269139207296334</v>
      </c>
      <c r="CJ595" s="289">
        <f t="shared" ca="1" si="306"/>
        <v>4.3357246505245453</v>
      </c>
      <c r="CK595" s="289">
        <f t="shared" ca="1" si="307"/>
        <v>80.666613164377225</v>
      </c>
      <c r="CL595" s="289">
        <f t="shared" ca="1" si="308"/>
        <v>191.87198960492466</v>
      </c>
      <c r="CM595" s="299">
        <f t="shared" ca="1" si="309"/>
        <v>269.34741349909677</v>
      </c>
      <c r="CP595" s="180">
        <v>2055</v>
      </c>
      <c r="CQ595" s="22">
        <v>41</v>
      </c>
      <c r="CR595" s="289">
        <f t="shared" ca="1" si="310"/>
        <v>193.51082844891297</v>
      </c>
      <c r="CS595" s="289">
        <f t="shared" ca="1" si="311"/>
        <v>1.4327919467036778</v>
      </c>
      <c r="CT595" s="299">
        <f t="shared" ca="1" si="312"/>
        <v>277.26075660155948</v>
      </c>
      <c r="CZ595" s="164" t="b">
        <f t="shared" si="316"/>
        <v>0</v>
      </c>
      <c r="DA595" s="165" t="b">
        <f t="shared" si="316"/>
        <v>0</v>
      </c>
      <c r="DB595" s="166" t="b">
        <f t="shared" si="316"/>
        <v>0</v>
      </c>
      <c r="DC595" s="164" t="str">
        <f t="shared" si="290"/>
        <v/>
      </c>
      <c r="DD595" s="166" t="str">
        <f t="shared" si="291"/>
        <v/>
      </c>
      <c r="DE595" s="164" t="str">
        <f t="shared" si="292"/>
        <v/>
      </c>
      <c r="DF595" s="166" t="str">
        <f t="shared" si="293"/>
        <v/>
      </c>
      <c r="DG595" s="164" t="str">
        <f t="shared" si="294"/>
        <v/>
      </c>
      <c r="DH595" s="166" t="str">
        <f t="shared" si="295"/>
        <v/>
      </c>
      <c r="DI595" s="164" t="str">
        <f>IFERROR(INDEX(DC$550:DC$598,_xlfn.AGGREGATE(15,6,(ROW(DC$550:DC$598)-ROW(DC$550)+1)/(DC$550:DC$598&lt;&gt;""),ROWS(DI$1:DI46))),"")</f>
        <v/>
      </c>
      <c r="DJ595" s="165" t="str">
        <f>IFERROR(INDEX(DD$550:DD$598,_xlfn.AGGREGATE(15,6,(ROW(DD$550:DD$598)-ROW(DD$550)+1)/(DD$550:DD$598&lt;&gt;""),ROWS(DJ$1:DJ46))),"")</f>
        <v/>
      </c>
      <c r="DK595" s="166" t="str">
        <f t="shared" si="296"/>
        <v/>
      </c>
      <c r="DL595" s="164" t="str">
        <f>IFERROR(INDEX(DE$550:DE$598,_xlfn.AGGREGATE(15,6,(ROW(DE$550:DE$598)-ROW(DE$550)+1)/(DE$550:DE$598&lt;&gt;""),ROWS(DL$1:DL46))),"")</f>
        <v/>
      </c>
      <c r="DM595" s="165" t="str">
        <f>IFERROR(INDEX(DF$550:DF$598,_xlfn.AGGREGATE(15,6,(ROW(DF$550:DF$598)-ROW(DF$550)+1)/(DF$550:DF$598&lt;&gt;""),ROWS(DM$1:DM46))),"")</f>
        <v/>
      </c>
      <c r="DN595" s="166" t="str">
        <f t="shared" si="297"/>
        <v/>
      </c>
      <c r="DO595" s="164" t="str">
        <f>IFERROR(INDEX(DG$550:DG$598,_xlfn.AGGREGATE(15,6,(ROW(DG$550:DG$598)-ROW(DG$550)+1)/(DG$550:DG$598&lt;&gt;""),ROWS(DO$1:DO46))),"")</f>
        <v/>
      </c>
      <c r="DP595" s="165" t="str">
        <f>IFERROR(INDEX(DH$550:DH$598,_xlfn.AGGREGATE(15,6,(ROW(DH$550:DH$598)-ROW(DH$550)+1)/(DH$550:DH$598&lt;&gt;""),ROWS(DP$1:DP46))),"")</f>
        <v/>
      </c>
      <c r="DQ595" s="166" t="str">
        <f t="shared" si="298"/>
        <v/>
      </c>
      <c r="DR595" s="65"/>
      <c r="DV595" s="145">
        <v>2060</v>
      </c>
      <c r="DW595" s="235">
        <f t="shared" ca="1" si="282"/>
        <v>277.20355710889879</v>
      </c>
      <c r="EA595" s="55"/>
      <c r="EB595" s="55"/>
      <c r="EC595" s="55"/>
      <c r="ED595" s="55"/>
      <c r="EE595" s="55"/>
    </row>
    <row r="596" spans="1:135" ht="13.8" x14ac:dyDescent="0.45">
      <c r="A596" s="214"/>
      <c r="B596" s="128">
        <v>2058</v>
      </c>
      <c r="C596" s="291"/>
      <c r="D596" s="307"/>
      <c r="E596" s="308"/>
      <c r="F596" s="293"/>
      <c r="G596" s="294"/>
      <c r="H596" s="292"/>
      <c r="I596" s="293"/>
      <c r="J596" s="294"/>
      <c r="K596" s="292"/>
      <c r="L596" s="293"/>
      <c r="M596" s="292"/>
      <c r="N596" s="29" t="s">
        <v>119</v>
      </c>
      <c r="R596" s="29">
        <v>44</v>
      </c>
      <c r="S596" s="288" t="str">
        <f t="shared" si="283"/>
        <v/>
      </c>
      <c r="T596" s="288" t="str">
        <f t="shared" si="284"/>
        <v/>
      </c>
      <c r="U596" s="288" t="str">
        <f t="shared" si="285"/>
        <v/>
      </c>
      <c r="W596" s="288" t="e">
        <f t="shared" si="286"/>
        <v>#N/A</v>
      </c>
      <c r="X596" s="288" t="e">
        <f t="shared" si="287"/>
        <v>#N/A</v>
      </c>
      <c r="Y596" s="288" t="e">
        <f t="shared" si="288"/>
        <v>#N/A</v>
      </c>
      <c r="AA596" s="89"/>
      <c r="AB596" s="89"/>
      <c r="AC596" s="89"/>
      <c r="AD596" s="89"/>
      <c r="AE596" s="89"/>
      <c r="AF596" s="89"/>
      <c r="AG596" s="89"/>
      <c r="AH596" s="89"/>
      <c r="AI596" s="89"/>
      <c r="AJ596" s="89"/>
      <c r="AK596" s="89"/>
      <c r="AL596" s="89"/>
      <c r="AM596" s="89"/>
      <c r="AN596" s="89"/>
      <c r="BR596" s="180">
        <v>2056</v>
      </c>
      <c r="BS596" s="22">
        <v>42</v>
      </c>
      <c r="BT596" s="289">
        <f t="shared" si="299"/>
        <v>81.918316754416935</v>
      </c>
      <c r="BU596" s="289">
        <f t="shared" si="300"/>
        <v>192.144598299715</v>
      </c>
      <c r="BV596" s="299">
        <f t="shared" si="301"/>
        <v>274.06291505413196</v>
      </c>
      <c r="BY596" s="180">
        <v>2056</v>
      </c>
      <c r="BZ596" s="22">
        <v>42</v>
      </c>
      <c r="CA596" s="289">
        <f t="shared" ca="1" si="302"/>
        <v>-4.6972897356610392</v>
      </c>
      <c r="CB596" s="289">
        <f t="shared" ca="1" si="303"/>
        <v>85.497204172063434</v>
      </c>
      <c r="CC596" s="289">
        <f t="shared" ca="1" si="314"/>
        <v>191.67593447121368</v>
      </c>
      <c r="CD596" s="299">
        <f t="shared" ca="1" si="304"/>
        <v>272.47584890761607</v>
      </c>
      <c r="CG596" s="180">
        <v>2056</v>
      </c>
      <c r="CH596" s="22">
        <v>42</v>
      </c>
      <c r="CI596" s="289">
        <f t="shared" ca="1" si="305"/>
        <v>-8.091205852483526</v>
      </c>
      <c r="CJ596" s="289">
        <f t="shared" ca="1" si="306"/>
        <v>4.5498026671774525</v>
      </c>
      <c r="CK596" s="289">
        <f t="shared" ca="1" si="307"/>
        <v>82.634091534240085</v>
      </c>
      <c r="CL596" s="289">
        <f t="shared" ca="1" si="308"/>
        <v>191.87198960492466</v>
      </c>
      <c r="CM596" s="299">
        <f t="shared" ca="1" si="309"/>
        <v>270.96467795385865</v>
      </c>
      <c r="CP596" s="180">
        <v>2056</v>
      </c>
      <c r="CQ596" s="22">
        <v>42</v>
      </c>
      <c r="CR596" s="289">
        <f t="shared" ca="1" si="310"/>
        <v>193.51082844891297</v>
      </c>
      <c r="CS596" s="289">
        <f t="shared" ca="1" si="311"/>
        <v>1.4454147308428389</v>
      </c>
      <c r="CT596" s="299">
        <f t="shared" ca="1" si="312"/>
        <v>279.70340201766032</v>
      </c>
      <c r="CZ596" s="164" t="b">
        <f t="shared" si="316"/>
        <v>0</v>
      </c>
      <c r="DA596" s="165" t="b">
        <f t="shared" si="316"/>
        <v>0</v>
      </c>
      <c r="DB596" s="166" t="b">
        <f t="shared" si="316"/>
        <v>0</v>
      </c>
      <c r="DC596" s="164" t="str">
        <f t="shared" si="290"/>
        <v/>
      </c>
      <c r="DD596" s="166" t="str">
        <f t="shared" si="291"/>
        <v/>
      </c>
      <c r="DE596" s="164" t="str">
        <f t="shared" si="292"/>
        <v/>
      </c>
      <c r="DF596" s="166" t="str">
        <f t="shared" si="293"/>
        <v/>
      </c>
      <c r="DG596" s="164" t="str">
        <f t="shared" si="294"/>
        <v/>
      </c>
      <c r="DH596" s="166" t="str">
        <f t="shared" si="295"/>
        <v/>
      </c>
      <c r="DI596" s="164" t="str">
        <f>IFERROR(INDEX(DC$550:DC$598,_xlfn.AGGREGATE(15,6,(ROW(DC$550:DC$598)-ROW(DC$550)+1)/(DC$550:DC$598&lt;&gt;""),ROWS(DI$1:DI47))),"")</f>
        <v/>
      </c>
      <c r="DJ596" s="165" t="str">
        <f>IFERROR(INDEX(DD$550:DD$598,_xlfn.AGGREGATE(15,6,(ROW(DD$550:DD$598)-ROW(DD$550)+1)/(DD$550:DD$598&lt;&gt;""),ROWS(DJ$1:DJ47))),"")</f>
        <v/>
      </c>
      <c r="DK596" s="166" t="str">
        <f t="shared" si="296"/>
        <v/>
      </c>
      <c r="DL596" s="164" t="str">
        <f>IFERROR(INDEX(DE$550:DE$598,_xlfn.AGGREGATE(15,6,(ROW(DE$550:DE$598)-ROW(DE$550)+1)/(DE$550:DE$598&lt;&gt;""),ROWS(DL$1:DL47))),"")</f>
        <v/>
      </c>
      <c r="DM596" s="165" t="str">
        <f>IFERROR(INDEX(DF$550:DF$598,_xlfn.AGGREGATE(15,6,(ROW(DF$550:DF$598)-ROW(DF$550)+1)/(DF$550:DF$598&lt;&gt;""),ROWS(DM$1:DM47))),"")</f>
        <v/>
      </c>
      <c r="DN596" s="166" t="str">
        <f t="shared" si="297"/>
        <v/>
      </c>
      <c r="DO596" s="164" t="str">
        <f>IFERROR(INDEX(DG$550:DG$598,_xlfn.AGGREGATE(15,6,(ROW(DG$550:DG$598)-ROW(DG$550)+1)/(DG$550:DG$598&lt;&gt;""),ROWS(DO$1:DO47))),"")</f>
        <v/>
      </c>
      <c r="DP596" s="165" t="str">
        <f>IFERROR(INDEX(DH$550:DH$598,_xlfn.AGGREGATE(15,6,(ROW(DH$550:DH$598)-ROW(DH$550)+1)/(DH$550:DH$598&lt;&gt;""),ROWS(DP$1:DP47))),"")</f>
        <v/>
      </c>
      <c r="DQ596" s="166" t="str">
        <f t="shared" si="298"/>
        <v/>
      </c>
      <c r="DR596" s="65"/>
      <c r="DW596" s="54"/>
      <c r="EA596" s="55"/>
      <c r="EB596" s="55"/>
      <c r="EC596" s="55"/>
      <c r="ED596" s="55"/>
      <c r="EE596" s="55"/>
    </row>
    <row r="597" spans="1:135" ht="13.8" x14ac:dyDescent="0.45">
      <c r="A597" s="214"/>
      <c r="B597" s="128">
        <v>2059</v>
      </c>
      <c r="C597" s="291"/>
      <c r="D597" s="307"/>
      <c r="E597" s="308"/>
      <c r="F597" s="293"/>
      <c r="G597" s="294"/>
      <c r="H597" s="292"/>
      <c r="I597" s="293"/>
      <c r="J597" s="294"/>
      <c r="K597" s="292"/>
      <c r="L597" s="293"/>
      <c r="M597" s="292"/>
      <c r="N597" s="29" t="s">
        <v>119</v>
      </c>
      <c r="R597" s="29">
        <v>45</v>
      </c>
      <c r="S597" s="288" t="str">
        <f t="shared" si="283"/>
        <v/>
      </c>
      <c r="T597" s="288" t="str">
        <f t="shared" si="284"/>
        <v/>
      </c>
      <c r="U597" s="288" t="str">
        <f t="shared" si="285"/>
        <v/>
      </c>
      <c r="W597" s="288" t="e">
        <f t="shared" si="286"/>
        <v>#N/A</v>
      </c>
      <c r="X597" s="288" t="e">
        <f t="shared" si="287"/>
        <v>#N/A</v>
      </c>
      <c r="Y597" s="288" t="e">
        <f t="shared" si="288"/>
        <v>#N/A</v>
      </c>
      <c r="AA597" s="89"/>
      <c r="AB597" s="89"/>
      <c r="AC597" s="89"/>
      <c r="AD597" s="89"/>
      <c r="AE597" s="89"/>
      <c r="AF597" s="89"/>
      <c r="AG597" s="89"/>
      <c r="AH597" s="89"/>
      <c r="AI597" s="89"/>
      <c r="AJ597" s="89"/>
      <c r="AK597" s="89"/>
      <c r="AL597" s="89"/>
      <c r="AM597" s="89"/>
      <c r="AN597" s="89"/>
      <c r="BR597" s="180">
        <v>2057</v>
      </c>
      <c r="BS597" s="22">
        <v>43</v>
      </c>
      <c r="BT597" s="289">
        <f t="shared" si="299"/>
        <v>83.868752867617346</v>
      </c>
      <c r="BU597" s="289">
        <f t="shared" si="300"/>
        <v>192.144598299715</v>
      </c>
      <c r="BV597" s="299">
        <f t="shared" si="301"/>
        <v>276.01335116733236</v>
      </c>
      <c r="BY597" s="180">
        <v>2057</v>
      </c>
      <c r="BZ597" s="22">
        <v>43</v>
      </c>
      <c r="CA597" s="289">
        <f t="shared" ca="1" si="302"/>
        <v>-4.9236330619258855</v>
      </c>
      <c r="CB597" s="289">
        <f t="shared" ca="1" si="303"/>
        <v>87.532851890445897</v>
      </c>
      <c r="CC597" s="289">
        <f t="shared" ca="1" si="314"/>
        <v>191.67593447121368</v>
      </c>
      <c r="CD597" s="299">
        <f t="shared" ca="1" si="304"/>
        <v>274.28515329973368</v>
      </c>
      <c r="CG597" s="180">
        <v>2057</v>
      </c>
      <c r="CH597" s="22">
        <v>43</v>
      </c>
      <c r="CI597" s="289">
        <f t="shared" ca="1" si="305"/>
        <v>-8.6830188925791987</v>
      </c>
      <c r="CJ597" s="289">
        <f t="shared" ca="1" si="306"/>
        <v>4.7690391902557305</v>
      </c>
      <c r="CK597" s="289">
        <f t="shared" ca="1" si="307"/>
        <v>84.601569904102945</v>
      </c>
      <c r="CL597" s="289">
        <f t="shared" ca="1" si="308"/>
        <v>191.87198960492466</v>
      </c>
      <c r="CM597" s="299">
        <f t="shared" ca="1" si="309"/>
        <v>272.55957980670416</v>
      </c>
      <c r="CP597" s="180">
        <v>2057</v>
      </c>
      <c r="CQ597" s="22">
        <v>43</v>
      </c>
      <c r="CR597" s="289">
        <f t="shared" ca="1" si="310"/>
        <v>193.51082844891297</v>
      </c>
      <c r="CS597" s="289">
        <f t="shared" ca="1" si="311"/>
        <v>1.4581487207155266</v>
      </c>
      <c r="CT597" s="299">
        <f t="shared" ca="1" si="312"/>
        <v>282.16756694738416</v>
      </c>
      <c r="CZ597" s="164" t="b">
        <f t="shared" si="316"/>
        <v>0</v>
      </c>
      <c r="DA597" s="165" t="b">
        <f t="shared" si="316"/>
        <v>0</v>
      </c>
      <c r="DB597" s="166" t="b">
        <f t="shared" si="316"/>
        <v>0</v>
      </c>
      <c r="DC597" s="164" t="str">
        <f t="shared" si="290"/>
        <v/>
      </c>
      <c r="DD597" s="166" t="str">
        <f t="shared" si="291"/>
        <v/>
      </c>
      <c r="DE597" s="164" t="str">
        <f t="shared" si="292"/>
        <v/>
      </c>
      <c r="DF597" s="166" t="str">
        <f t="shared" si="293"/>
        <v/>
      </c>
      <c r="DG597" s="164" t="str">
        <f t="shared" si="294"/>
        <v/>
      </c>
      <c r="DH597" s="166" t="str">
        <f t="shared" si="295"/>
        <v/>
      </c>
      <c r="DI597" s="164" t="str">
        <f>IFERROR(INDEX(DC$550:DC$598,_xlfn.AGGREGATE(15,6,(ROW(DC$550:DC$598)-ROW(DC$550)+1)/(DC$550:DC$598&lt;&gt;""),ROWS(DI$1:DI48))),"")</f>
        <v/>
      </c>
      <c r="DJ597" s="165" t="str">
        <f>IFERROR(INDEX(DD$550:DD$598,_xlfn.AGGREGATE(15,6,(ROW(DD$550:DD$598)-ROW(DD$550)+1)/(DD$550:DD$598&lt;&gt;""),ROWS(DJ$1:DJ48))),"")</f>
        <v/>
      </c>
      <c r="DK597" s="166" t="str">
        <f t="shared" si="296"/>
        <v/>
      </c>
      <c r="DL597" s="164" t="str">
        <f>IFERROR(INDEX(DE$550:DE$598,_xlfn.AGGREGATE(15,6,(ROW(DE$550:DE$598)-ROW(DE$550)+1)/(DE$550:DE$598&lt;&gt;""),ROWS(DL$1:DL48))),"")</f>
        <v/>
      </c>
      <c r="DM597" s="165" t="str">
        <f>IFERROR(INDEX(DF$550:DF$598,_xlfn.AGGREGATE(15,6,(ROW(DF$550:DF$598)-ROW(DF$550)+1)/(DF$550:DF$598&lt;&gt;""),ROWS(DM$1:DM48))),"")</f>
        <v/>
      </c>
      <c r="DN597" s="166" t="str">
        <f t="shared" si="297"/>
        <v/>
      </c>
      <c r="DO597" s="164" t="str">
        <f>IFERROR(INDEX(DG$550:DG$598,_xlfn.AGGREGATE(15,6,(ROW(DG$550:DG$598)-ROW(DG$550)+1)/(DG$550:DG$598&lt;&gt;""),ROWS(DO$1:DO48))),"")</f>
        <v/>
      </c>
      <c r="DP597" s="165" t="str">
        <f>IFERROR(INDEX(DH$550:DH$598,_xlfn.AGGREGATE(15,6,(ROW(DH$550:DH$598)-ROW(DH$550)+1)/(DH$550:DH$598&lt;&gt;""),ROWS(DP$1:DP48))),"")</f>
        <v/>
      </c>
      <c r="DQ597" s="166" t="str">
        <f t="shared" si="298"/>
        <v/>
      </c>
      <c r="DR597" s="65"/>
      <c r="DW597" s="54"/>
      <c r="EA597" s="55"/>
      <c r="EB597" s="55"/>
      <c r="EC597" s="55"/>
      <c r="ED597" s="55"/>
      <c r="EE597" s="55"/>
    </row>
    <row r="598" spans="1:135" ht="13.8" x14ac:dyDescent="0.45">
      <c r="A598" s="214"/>
      <c r="B598" s="128">
        <v>2060</v>
      </c>
      <c r="C598" s="291"/>
      <c r="D598" s="307"/>
      <c r="E598" s="308"/>
      <c r="F598" s="301"/>
      <c r="G598" s="302"/>
      <c r="H598" s="300"/>
      <c r="I598" s="301"/>
      <c r="J598" s="302"/>
      <c r="K598" s="300"/>
      <c r="L598" s="301"/>
      <c r="M598" s="300"/>
      <c r="N598" s="29" t="s">
        <v>119</v>
      </c>
      <c r="R598" s="29">
        <v>46</v>
      </c>
      <c r="S598" s="288" t="str">
        <f t="shared" si="283"/>
        <v/>
      </c>
      <c r="T598" s="288" t="str">
        <f t="shared" si="284"/>
        <v/>
      </c>
      <c r="U598" s="288" t="str">
        <f t="shared" si="285"/>
        <v/>
      </c>
      <c r="W598" s="288" t="e">
        <f t="shared" si="286"/>
        <v>#N/A</v>
      </c>
      <c r="X598" s="288" t="e">
        <f t="shared" si="287"/>
        <v>#N/A</v>
      </c>
      <c r="Y598" s="288" t="e">
        <f t="shared" si="288"/>
        <v>#N/A</v>
      </c>
      <c r="AA598" s="89"/>
      <c r="AB598" s="89"/>
      <c r="AC598" s="89"/>
      <c r="AD598" s="89"/>
      <c r="AE598" s="89"/>
      <c r="AF598" s="89"/>
      <c r="AG598" s="89"/>
      <c r="AH598" s="89"/>
      <c r="AI598" s="89"/>
      <c r="AJ598" s="89"/>
      <c r="AK598" s="89"/>
      <c r="AL598" s="89"/>
      <c r="AM598" s="89"/>
      <c r="AN598" s="89"/>
      <c r="BR598" s="180">
        <v>2058</v>
      </c>
      <c r="BS598" s="22">
        <v>44</v>
      </c>
      <c r="BT598" s="289">
        <f t="shared" si="299"/>
        <v>85.819188980817742</v>
      </c>
      <c r="BU598" s="289">
        <f t="shared" si="300"/>
        <v>192.144598299715</v>
      </c>
      <c r="BV598" s="299">
        <f t="shared" si="301"/>
        <v>277.96378728053276</v>
      </c>
      <c r="BY598" s="180">
        <v>2058</v>
      </c>
      <c r="BZ598" s="22">
        <v>44</v>
      </c>
      <c r="CA598" s="289">
        <f t="shared" ca="1" si="302"/>
        <v>-5.15530211351461</v>
      </c>
      <c r="CB598" s="289">
        <f t="shared" ca="1" si="303"/>
        <v>89.568499608828361</v>
      </c>
      <c r="CC598" s="289">
        <f t="shared" ca="1" si="314"/>
        <v>191.67593447121368</v>
      </c>
      <c r="CD598" s="299">
        <f t="shared" ca="1" si="304"/>
        <v>276.08913196652742</v>
      </c>
      <c r="CG598" s="180">
        <v>2058</v>
      </c>
      <c r="CH598" s="22">
        <v>44</v>
      </c>
      <c r="CI598" s="289">
        <f t="shared" ca="1" si="305"/>
        <v>-9.3030083055009811</v>
      </c>
      <c r="CJ598" s="289">
        <f t="shared" ca="1" si="306"/>
        <v>4.9934342197593811</v>
      </c>
      <c r="CK598" s="289">
        <f t="shared" ca="1" si="307"/>
        <v>86.569048273965805</v>
      </c>
      <c r="CL598" s="289">
        <f t="shared" ca="1" si="308"/>
        <v>191.87198960492466</v>
      </c>
      <c r="CM598" s="299">
        <f t="shared" ca="1" si="309"/>
        <v>274.1314637931489</v>
      </c>
      <c r="CP598" s="180">
        <v>2058</v>
      </c>
      <c r="CQ598" s="22">
        <v>44</v>
      </c>
      <c r="CR598" s="289">
        <f t="shared" ca="1" si="310"/>
        <v>193.51082844891297</v>
      </c>
      <c r="CS598" s="289">
        <f t="shared" ca="1" si="311"/>
        <v>1.4709948960354893</v>
      </c>
      <c r="CT598" s="299">
        <f t="shared" ca="1" si="312"/>
        <v>284.65344097595016</v>
      </c>
      <c r="CZ598" s="164" t="b">
        <f t="shared" si="316"/>
        <v>0</v>
      </c>
      <c r="DA598" s="165" t="b">
        <f t="shared" si="316"/>
        <v>0</v>
      </c>
      <c r="DB598" s="166" t="b">
        <f t="shared" si="316"/>
        <v>0</v>
      </c>
      <c r="DC598" s="164" t="str">
        <f t="shared" si="290"/>
        <v/>
      </c>
      <c r="DD598" s="166" t="str">
        <f t="shared" si="291"/>
        <v/>
      </c>
      <c r="DE598" s="164" t="str">
        <f t="shared" si="292"/>
        <v/>
      </c>
      <c r="DF598" s="166" t="str">
        <f t="shared" si="293"/>
        <v/>
      </c>
      <c r="DG598" s="164" t="str">
        <f t="shared" si="294"/>
        <v/>
      </c>
      <c r="DH598" s="166" t="str">
        <f t="shared" si="295"/>
        <v/>
      </c>
      <c r="DI598" s="164" t="str">
        <f>IFERROR(INDEX(DC$550:DC$598,_xlfn.AGGREGATE(15,6,(ROW(DC$550:DC$598)-ROW(DC$550)+1)/(DC$550:DC$598&lt;&gt;""),ROWS(DI$1:DI49))),"")</f>
        <v/>
      </c>
      <c r="DJ598" s="165" t="str">
        <f>IFERROR(INDEX(DD$550:DD$598,_xlfn.AGGREGATE(15,6,(ROW(DD$550:DD$598)-ROW(DD$550)+1)/(DD$550:DD$598&lt;&gt;""),ROWS(DJ$1:DJ49))),"")</f>
        <v/>
      </c>
      <c r="DK598" s="166" t="str">
        <f t="shared" si="296"/>
        <v/>
      </c>
      <c r="DL598" s="164" t="str">
        <f>IFERROR(INDEX(DE$550:DE$598,_xlfn.AGGREGATE(15,6,(ROW(DE$550:DE$598)-ROW(DE$550)+1)/(DE$550:DE$598&lt;&gt;""),ROWS(DL$1:DL49))),"")</f>
        <v/>
      </c>
      <c r="DM598" s="165" t="str">
        <f>IFERROR(INDEX(DF$550:DF$598,_xlfn.AGGREGATE(15,6,(ROW(DF$550:DF$598)-ROW(DF$550)+1)/(DF$550:DF$598&lt;&gt;""),ROWS(DM$1:DM49))),"")</f>
        <v/>
      </c>
      <c r="DN598" s="166" t="str">
        <f t="shared" si="297"/>
        <v/>
      </c>
      <c r="DO598" s="164" t="str">
        <f>IFERROR(INDEX(DG$550:DG$598,_xlfn.AGGREGATE(15,6,(ROW(DG$550:DG$598)-ROW(DG$550)+1)/(DG$550:DG$598&lt;&gt;""),ROWS(DO$1:DO49))),"")</f>
        <v/>
      </c>
      <c r="DP598" s="165" t="str">
        <f>IFERROR(INDEX(DH$550:DH$598,_xlfn.AGGREGATE(15,6,(ROW(DH$550:DH$598)-ROW(DH$550)+1)/(DH$550:DH$598&lt;&gt;""),ROWS(DP$1:DP49))),"")</f>
        <v/>
      </c>
      <c r="DQ598" s="166" t="str">
        <f t="shared" si="298"/>
        <v/>
      </c>
      <c r="DR598" s="65"/>
      <c r="DW598" s="54"/>
      <c r="EA598" s="55"/>
      <c r="EB598" s="55"/>
      <c r="EC598" s="55"/>
      <c r="ED598" s="55"/>
      <c r="EE598" s="55"/>
    </row>
    <row r="599" spans="1:135" x14ac:dyDescent="0.4">
      <c r="A599" s="214"/>
      <c r="B599" s="89"/>
      <c r="C599" s="14"/>
      <c r="D599" s="14"/>
      <c r="E599" s="14"/>
      <c r="F599" s="14"/>
      <c r="G599" s="14"/>
      <c r="H599" s="14"/>
      <c r="I599" s="14"/>
      <c r="J599" s="14"/>
      <c r="K599" s="14"/>
      <c r="L599" s="14"/>
      <c r="M599" s="50"/>
      <c r="S599" s="120"/>
      <c r="T599" s="120"/>
      <c r="U599" s="120"/>
      <c r="W599" s="120"/>
      <c r="X599" s="120"/>
      <c r="Y599" s="120"/>
      <c r="AA599" s="89"/>
      <c r="AB599" s="89"/>
      <c r="AC599" s="89"/>
      <c r="AD599" s="89"/>
      <c r="AE599" s="89"/>
      <c r="AF599" s="89"/>
      <c r="AG599" s="89"/>
      <c r="AH599" s="89"/>
      <c r="AI599" s="89"/>
      <c r="AJ599" s="89"/>
      <c r="AK599" s="89"/>
      <c r="AL599" s="89"/>
      <c r="AM599" s="89"/>
      <c r="AN599" s="89"/>
      <c r="BR599" s="180">
        <v>2059</v>
      </c>
      <c r="BS599" s="22">
        <v>45</v>
      </c>
      <c r="BT599" s="289">
        <f t="shared" si="299"/>
        <v>87.769625094018153</v>
      </c>
      <c r="BU599" s="289">
        <f t="shared" si="300"/>
        <v>192.144598299715</v>
      </c>
      <c r="BV599" s="299">
        <f t="shared" si="301"/>
        <v>279.91422339373315</v>
      </c>
      <c r="BY599" s="180">
        <v>2059</v>
      </c>
      <c r="BZ599" s="22">
        <v>45</v>
      </c>
      <c r="CA599" s="289">
        <f t="shared" ca="1" si="302"/>
        <v>-5.3922968904272137</v>
      </c>
      <c r="CB599" s="289">
        <f t="shared" ca="1" si="303"/>
        <v>91.604147327210825</v>
      </c>
      <c r="CC599" s="289">
        <f t="shared" ca="1" si="314"/>
        <v>191.67593447121368</v>
      </c>
      <c r="CD599" s="299">
        <f t="shared" ca="1" si="304"/>
        <v>277.88778490799729</v>
      </c>
      <c r="CG599" s="180">
        <v>2059</v>
      </c>
      <c r="CH599" s="22">
        <v>45</v>
      </c>
      <c r="CI599" s="289">
        <f t="shared" ca="1" si="305"/>
        <v>-9.9518293557331994</v>
      </c>
      <c r="CJ599" s="289">
        <f t="shared" ca="1" si="306"/>
        <v>5.2229877556884015</v>
      </c>
      <c r="CK599" s="289">
        <f t="shared" ca="1" si="307"/>
        <v>88.536526643828651</v>
      </c>
      <c r="CL599" s="289">
        <f t="shared" ca="1" si="308"/>
        <v>191.87198960492466</v>
      </c>
      <c r="CM599" s="299">
        <f t="shared" ca="1" si="309"/>
        <v>275.6796746487085</v>
      </c>
      <c r="CP599" s="180">
        <v>2059</v>
      </c>
      <c r="CQ599" s="22">
        <v>45</v>
      </c>
      <c r="CR599" s="289">
        <f t="shared" ca="1" si="310"/>
        <v>193.51082844891297</v>
      </c>
      <c r="CS599" s="289">
        <f t="shared" ca="1" si="311"/>
        <v>1.483954245147677</v>
      </c>
      <c r="CT599" s="299">
        <f t="shared" ca="1" si="312"/>
        <v>287.16121535880831</v>
      </c>
      <c r="CZ599" s="252"/>
      <c r="DA599" s="252"/>
      <c r="DB599" s="252"/>
      <c r="DC599" s="252"/>
      <c r="DD599" s="252"/>
      <c r="DE599" s="252"/>
      <c r="DF599" s="252"/>
      <c r="DG599" s="252"/>
      <c r="DH599" s="252"/>
      <c r="DI599" s="252"/>
      <c r="DJ599" s="252"/>
      <c r="DK599" s="252"/>
      <c r="DL599" s="252"/>
      <c r="DM599" s="252"/>
      <c r="DN599" s="252"/>
      <c r="DO599" s="252"/>
      <c r="DP599" s="252"/>
      <c r="DQ599" s="252"/>
      <c r="DR599" s="65"/>
      <c r="DU599" s="65"/>
      <c r="DW599" s="54"/>
      <c r="EA599" s="55"/>
      <c r="EB599" s="55"/>
      <c r="EC599" s="55"/>
      <c r="ED599" s="55"/>
      <c r="EE599" s="55"/>
    </row>
    <row r="600" spans="1:135" x14ac:dyDescent="0.4">
      <c r="A600" s="214"/>
      <c r="B600" s="89"/>
      <c r="C600" s="14"/>
      <c r="D600" s="14"/>
      <c r="E600" s="14"/>
      <c r="F600" s="14"/>
      <c r="G600" s="14"/>
      <c r="H600" s="14"/>
      <c r="I600" s="14"/>
      <c r="J600" s="14"/>
      <c r="K600" s="14"/>
      <c r="L600" s="14"/>
      <c r="M600" s="50"/>
      <c r="S600" s="120"/>
      <c r="T600" s="120"/>
      <c r="U600" s="120"/>
      <c r="W600" s="120"/>
      <c r="X600" s="120"/>
      <c r="Y600" s="120"/>
      <c r="AA600" s="89"/>
      <c r="AB600" s="89"/>
      <c r="AC600" s="89"/>
      <c r="AD600" s="89"/>
      <c r="AE600" s="89"/>
      <c r="AF600" s="89"/>
      <c r="AG600" s="89"/>
      <c r="AH600" s="89"/>
      <c r="AI600" s="89"/>
      <c r="AJ600" s="89"/>
      <c r="AK600" s="89"/>
      <c r="AL600" s="89"/>
      <c r="AM600" s="89"/>
      <c r="AN600" s="89"/>
      <c r="BR600" s="180">
        <v>2060</v>
      </c>
      <c r="BS600" s="22">
        <v>46</v>
      </c>
      <c r="BT600" s="289">
        <f t="shared" si="299"/>
        <v>89.720061207218549</v>
      </c>
      <c r="BU600" s="289">
        <f t="shared" si="300"/>
        <v>192.144598299715</v>
      </c>
      <c r="BV600" s="299">
        <f t="shared" si="301"/>
        <v>281.86465950693355</v>
      </c>
      <c r="BY600" s="180">
        <v>2060</v>
      </c>
      <c r="BZ600" s="22">
        <v>46</v>
      </c>
      <c r="CA600" s="289">
        <f t="shared" ca="1" si="302"/>
        <v>-5.6346173926636958</v>
      </c>
      <c r="CB600" s="289">
        <f t="shared" ca="1" si="303"/>
        <v>93.639795045593289</v>
      </c>
      <c r="CC600" s="289">
        <f t="shared" ca="1" si="314"/>
        <v>191.67593447121368</v>
      </c>
      <c r="CD600" s="299">
        <f t="shared" ca="1" si="304"/>
        <v>279.68111212414328</v>
      </c>
      <c r="CG600" s="180">
        <v>2060</v>
      </c>
      <c r="CH600" s="22">
        <v>46</v>
      </c>
      <c r="CI600" s="289">
        <f t="shared" ca="1" si="305"/>
        <v>-10.630137307760183</v>
      </c>
      <c r="CJ600" s="289">
        <f t="shared" ca="1" si="306"/>
        <v>5.4576997980427944</v>
      </c>
      <c r="CK600" s="289">
        <f t="shared" ca="1" si="307"/>
        <v>90.504005013691511</v>
      </c>
      <c r="CL600" s="289">
        <f t="shared" ca="1" si="308"/>
        <v>191.87198960492466</v>
      </c>
      <c r="CM600" s="299">
        <f t="shared" ca="1" si="309"/>
        <v>277.20355710889879</v>
      </c>
      <c r="CP600" s="180">
        <v>2060</v>
      </c>
      <c r="CQ600" s="22">
        <v>46</v>
      </c>
      <c r="CR600" s="289">
        <f t="shared" ca="1" si="310"/>
        <v>193.51082844891297</v>
      </c>
      <c r="CS600" s="289">
        <f t="shared" ca="1" si="311"/>
        <v>1.4970277651042805</v>
      </c>
      <c r="CT600" s="299">
        <f t="shared" ca="1" si="312"/>
        <v>289.69108303635403</v>
      </c>
      <c r="CZ600" s="89"/>
      <c r="DA600" s="89"/>
      <c r="DB600" s="89"/>
      <c r="DC600" s="89"/>
      <c r="DD600" s="89"/>
      <c r="DE600" s="89"/>
      <c r="DF600" s="89"/>
      <c r="DG600" s="89"/>
      <c r="DH600" s="89"/>
      <c r="DI600" s="89"/>
      <c r="DJ600" s="89"/>
      <c r="DK600" s="89"/>
      <c r="DL600" s="89"/>
      <c r="DM600" s="89"/>
      <c r="DN600" s="89"/>
      <c r="DO600" s="89"/>
      <c r="DP600" s="89"/>
      <c r="DQ600" s="89"/>
      <c r="DW600" s="54"/>
      <c r="EA600" s="55"/>
      <c r="EB600" s="55"/>
      <c r="EC600" s="55"/>
      <c r="ED600" s="55"/>
      <c r="EE600" s="55"/>
    </row>
    <row r="601" spans="1:135" x14ac:dyDescent="0.4">
      <c r="A601" s="221" t="str">
        <f ca="1">HYPERLINK("#"&amp;"'"&amp;A$1&amp;"'!a1","Back to top")</f>
        <v>Back to top</v>
      </c>
      <c r="C601" s="50"/>
      <c r="D601" s="14"/>
      <c r="E601" s="14"/>
      <c r="F601" s="14"/>
      <c r="G601" s="14"/>
      <c r="H601" s="14"/>
      <c r="I601" s="14"/>
      <c r="J601" s="14"/>
      <c r="K601" s="14"/>
      <c r="L601" s="14"/>
      <c r="M601" s="14"/>
      <c r="N601" s="89"/>
      <c r="O601" s="89"/>
      <c r="P601" s="89"/>
      <c r="Q601" s="89"/>
      <c r="R601" s="89"/>
      <c r="S601" s="89"/>
      <c r="T601" s="89"/>
      <c r="U601" s="89"/>
      <c r="V601" s="89"/>
      <c r="W601" s="89"/>
      <c r="X601" s="89"/>
      <c r="Y601" s="89"/>
      <c r="Z601" s="89"/>
      <c r="AA601" s="89"/>
      <c r="AB601" s="89"/>
      <c r="AC601" s="89"/>
      <c r="AD601" s="89"/>
      <c r="AE601" s="89"/>
      <c r="AF601" s="89"/>
      <c r="AG601" s="89"/>
      <c r="AH601" s="89"/>
      <c r="AI601" s="89"/>
      <c r="AJ601" s="89"/>
      <c r="AK601" s="89"/>
      <c r="AL601" s="89"/>
      <c r="AM601" s="89"/>
      <c r="AN601" s="89"/>
      <c r="DW601" s="54"/>
      <c r="EA601" s="55"/>
      <c r="EB601" s="55"/>
      <c r="EC601" s="55"/>
      <c r="ED601" s="55"/>
      <c r="EE601" s="55"/>
    </row>
    <row r="602" spans="1:135" x14ac:dyDescent="0.4">
      <c r="A602" s="221"/>
      <c r="C602" s="50"/>
      <c r="D602" s="14"/>
      <c r="E602" s="14"/>
      <c r="F602" s="14"/>
      <c r="G602" s="14"/>
      <c r="H602" s="14"/>
      <c r="I602" s="14"/>
      <c r="J602" s="14"/>
      <c r="K602" s="14"/>
      <c r="L602" s="14"/>
      <c r="M602" s="14"/>
      <c r="N602" s="89"/>
      <c r="O602" s="89"/>
      <c r="P602" s="89"/>
      <c r="Q602" s="89"/>
      <c r="R602" s="89"/>
      <c r="S602" s="89"/>
      <c r="T602" s="89"/>
      <c r="U602" s="89"/>
      <c r="V602" s="89"/>
      <c r="W602" s="89"/>
      <c r="X602" s="89"/>
      <c r="Y602" s="89"/>
      <c r="Z602" s="89"/>
      <c r="AA602" s="89"/>
      <c r="AB602" s="89"/>
      <c r="AC602" s="89"/>
      <c r="AD602" s="89"/>
      <c r="AE602" s="89"/>
      <c r="AF602" s="89"/>
      <c r="AG602" s="89"/>
      <c r="AH602" s="89"/>
      <c r="AI602" s="89"/>
      <c r="AJ602" s="89"/>
      <c r="AK602" s="89"/>
      <c r="AL602" s="89"/>
      <c r="AM602" s="89"/>
      <c r="AN602" s="89"/>
      <c r="DW602" s="54"/>
      <c r="EA602" s="55"/>
      <c r="EB602" s="55"/>
      <c r="EC602" s="55"/>
      <c r="ED602" s="55"/>
      <c r="EE602" s="55"/>
    </row>
    <row r="603" spans="1:135" x14ac:dyDescent="0.4">
      <c r="A603" s="214"/>
      <c r="B603" s="89"/>
      <c r="C603" s="14"/>
      <c r="D603" s="14"/>
      <c r="E603" s="14"/>
      <c r="F603" s="14"/>
      <c r="G603" s="14"/>
      <c r="H603" s="14"/>
      <c r="I603" s="14"/>
      <c r="J603" s="14"/>
      <c r="K603" s="14"/>
      <c r="L603" s="14"/>
      <c r="M603" s="50"/>
      <c r="N603" s="49"/>
      <c r="O603" s="49"/>
      <c r="P603" s="49"/>
      <c r="Q603" s="49"/>
      <c r="R603" s="49"/>
      <c r="S603" s="120"/>
      <c r="T603" s="120"/>
      <c r="U603" s="120"/>
      <c r="V603" s="49"/>
      <c r="W603" s="120"/>
      <c r="X603" s="120"/>
      <c r="Y603" s="120"/>
      <c r="Z603" s="89"/>
      <c r="AA603" s="89"/>
      <c r="AB603" s="89"/>
      <c r="AC603" s="89"/>
      <c r="AD603" s="89"/>
      <c r="AE603" s="89"/>
      <c r="AF603" s="89"/>
      <c r="AG603" s="89"/>
      <c r="AH603" s="89"/>
      <c r="AI603" s="89"/>
      <c r="AJ603" s="89"/>
      <c r="AK603" s="89"/>
      <c r="AL603" s="89"/>
      <c r="AM603" s="89"/>
      <c r="AN603" s="89"/>
      <c r="AO603" s="49"/>
      <c r="AP603" s="49"/>
      <c r="AQ603" s="49"/>
      <c r="AR603" s="49"/>
      <c r="AS603" s="49"/>
      <c r="AT603" s="49"/>
      <c r="AU603" s="49"/>
      <c r="AV603" s="49"/>
      <c r="AW603" s="49"/>
      <c r="AX603" s="49"/>
      <c r="AY603" s="49"/>
      <c r="AZ603" s="49"/>
      <c r="BA603" s="49"/>
      <c r="BB603" s="49"/>
      <c r="BC603" s="49"/>
      <c r="BD603" s="49"/>
      <c r="BE603" s="49"/>
      <c r="BF603" s="49"/>
      <c r="BG603" s="49"/>
      <c r="BH603" s="49"/>
      <c r="BI603" s="49"/>
      <c r="BJ603" s="49"/>
      <c r="BK603" s="49"/>
      <c r="BL603" s="49"/>
    </row>
    <row r="604" spans="1:135" x14ac:dyDescent="0.4">
      <c r="A604" s="253"/>
      <c r="B604" s="254"/>
      <c r="C604" s="255"/>
      <c r="D604" s="255"/>
      <c r="E604" s="255"/>
      <c r="F604" s="255"/>
      <c r="G604" s="255"/>
      <c r="H604" s="255"/>
      <c r="I604" s="255"/>
      <c r="J604" s="255"/>
      <c r="K604" s="255"/>
      <c r="L604" s="255"/>
      <c r="M604" s="256"/>
      <c r="S604" s="257"/>
      <c r="T604" s="257"/>
      <c r="U604" s="257"/>
      <c r="W604" s="257"/>
      <c r="X604" s="257"/>
      <c r="Y604" s="257"/>
      <c r="Z604" s="254"/>
      <c r="AA604" s="254"/>
      <c r="AB604" s="254"/>
      <c r="AC604" s="254"/>
      <c r="AD604" s="254"/>
      <c r="AE604" s="254"/>
      <c r="AF604" s="254"/>
      <c r="AG604" s="254"/>
      <c r="AH604" s="254"/>
      <c r="AI604" s="254"/>
      <c r="AJ604" s="254"/>
      <c r="AK604" s="254"/>
      <c r="AL604" s="254"/>
      <c r="AM604" s="254"/>
      <c r="AN604" s="254"/>
      <c r="DW604" s="258"/>
      <c r="EA604" s="259"/>
      <c r="EB604" s="259"/>
      <c r="EC604" s="259"/>
      <c r="ED604" s="259"/>
      <c r="EE604" s="259"/>
    </row>
    <row r="605" spans="1:135" x14ac:dyDescent="0.4">
      <c r="A605" s="253"/>
      <c r="B605" s="254"/>
      <c r="C605" s="255"/>
      <c r="D605" s="255"/>
      <c r="E605" s="255"/>
      <c r="F605" s="255"/>
      <c r="G605" s="255"/>
      <c r="H605" s="255"/>
      <c r="I605" s="255"/>
      <c r="J605" s="255"/>
      <c r="K605" s="255"/>
      <c r="L605" s="255"/>
      <c r="M605" s="256"/>
      <c r="S605" s="257"/>
      <c r="T605" s="257"/>
      <c r="U605" s="257"/>
      <c r="W605" s="257"/>
      <c r="X605" s="257"/>
      <c r="Y605" s="257"/>
      <c r="Z605" s="254"/>
      <c r="AA605" s="254"/>
      <c r="AB605" s="254"/>
      <c r="AC605" s="254"/>
      <c r="AD605" s="254"/>
      <c r="AE605" s="254"/>
      <c r="AF605" s="254"/>
      <c r="AG605" s="254"/>
      <c r="AH605" s="254"/>
      <c r="AI605" s="254"/>
      <c r="AJ605" s="254"/>
      <c r="AK605" s="254"/>
      <c r="AL605" s="254"/>
      <c r="AM605" s="254"/>
      <c r="AN605" s="254"/>
      <c r="DW605" s="258"/>
      <c r="EA605" s="259"/>
      <c r="EB605" s="259"/>
      <c r="EC605" s="259"/>
      <c r="ED605" s="259"/>
      <c r="EE605" s="259"/>
    </row>
    <row r="606" spans="1:135" x14ac:dyDescent="0.4">
      <c r="A606" s="316"/>
      <c r="B606" s="114"/>
      <c r="C606" s="14"/>
      <c r="D606" s="14"/>
      <c r="E606" s="14"/>
      <c r="F606" s="14"/>
      <c r="G606" s="14"/>
      <c r="H606" s="14"/>
      <c r="I606" s="14"/>
      <c r="J606" s="14"/>
      <c r="K606" s="14"/>
      <c r="L606" s="14"/>
      <c r="M606" s="14"/>
      <c r="N606" s="89"/>
      <c r="O606" s="89"/>
      <c r="P606" s="89"/>
      <c r="Q606" s="89"/>
      <c r="R606" s="89"/>
      <c r="S606" s="89"/>
      <c r="T606" s="89"/>
      <c r="U606" s="89"/>
      <c r="V606" s="89"/>
      <c r="W606" s="89"/>
      <c r="X606" s="89"/>
      <c r="Y606" s="89"/>
      <c r="Z606" s="89"/>
      <c r="AA606" s="89"/>
      <c r="AB606" s="89"/>
      <c r="AC606" s="89"/>
      <c r="AD606" s="89"/>
      <c r="AE606" s="89"/>
      <c r="AF606" s="89"/>
      <c r="AG606" s="89"/>
      <c r="AH606" s="89"/>
      <c r="AI606" s="89"/>
      <c r="AJ606" s="89"/>
      <c r="AK606" s="89"/>
      <c r="AL606" s="89"/>
      <c r="AM606" s="89"/>
      <c r="AN606" s="89"/>
      <c r="AO606" s="89"/>
      <c r="AP606" s="89"/>
      <c r="DW606" s="54"/>
      <c r="EA606" s="55"/>
      <c r="EB606" s="55"/>
      <c r="EC606" s="55"/>
      <c r="ED606" s="55"/>
      <c r="EE606" s="55"/>
    </row>
    <row r="607" spans="1:135" x14ac:dyDescent="0.4">
      <c r="A607" s="316"/>
      <c r="B607" s="114"/>
      <c r="C607" s="14"/>
      <c r="D607" s="14"/>
      <c r="E607" s="14"/>
      <c r="F607" s="14"/>
      <c r="G607" s="14"/>
      <c r="H607" s="14"/>
      <c r="I607" s="14"/>
      <c r="J607" s="14"/>
      <c r="K607" s="14"/>
      <c r="L607" s="14"/>
      <c r="M607" s="14"/>
      <c r="N607" s="89"/>
      <c r="O607" s="89"/>
      <c r="P607" s="89"/>
      <c r="Q607" s="89"/>
      <c r="R607" s="89"/>
      <c r="S607" s="89"/>
      <c r="T607" s="89"/>
      <c r="U607" s="89"/>
      <c r="V607" s="89"/>
      <c r="W607" s="89"/>
      <c r="X607" s="89"/>
      <c r="Y607" s="89"/>
      <c r="Z607" s="89"/>
      <c r="AA607" s="89"/>
      <c r="AB607" s="89"/>
      <c r="AC607" s="89"/>
      <c r="AD607" s="89"/>
      <c r="AE607" s="89"/>
      <c r="AF607" s="89"/>
      <c r="AG607" s="89"/>
      <c r="AH607" s="89"/>
      <c r="AI607" s="89"/>
      <c r="AJ607" s="89"/>
      <c r="AK607" s="89"/>
      <c r="AL607" s="89"/>
      <c r="AM607" s="89"/>
      <c r="AN607" s="89"/>
      <c r="AO607" s="89"/>
      <c r="AP607" s="89"/>
      <c r="CZ607" s="89"/>
      <c r="DA607" s="89"/>
      <c r="DB607" s="89"/>
      <c r="DC607" s="89"/>
      <c r="DD607" s="89"/>
      <c r="DE607" s="89"/>
      <c r="DF607" s="89"/>
      <c r="DG607" s="89"/>
      <c r="DH607" s="89"/>
      <c r="DI607" s="89"/>
      <c r="DJ607" s="89"/>
      <c r="DK607" s="89"/>
      <c r="DL607" s="89"/>
      <c r="DM607" s="89"/>
      <c r="DN607" s="89"/>
      <c r="DO607" s="89"/>
      <c r="DP607" s="89"/>
      <c r="DQ607" s="89"/>
      <c r="DW607" s="54"/>
      <c r="EA607" s="55"/>
      <c r="EB607" s="55"/>
      <c r="EC607" s="55"/>
      <c r="ED607" s="55"/>
      <c r="EE607" s="55"/>
    </row>
    <row r="608" spans="1:135" x14ac:dyDescent="0.4">
      <c r="A608" s="261" t="s">
        <v>106</v>
      </c>
      <c r="B608" s="695"/>
      <c r="C608" s="695"/>
      <c r="D608" s="113"/>
      <c r="E608" s="113"/>
      <c r="F608" s="113"/>
      <c r="G608" s="113"/>
      <c r="H608" s="113"/>
      <c r="I608" s="113"/>
      <c r="J608" s="113"/>
      <c r="K608" s="113"/>
      <c r="L608" s="113"/>
      <c r="M608" s="113"/>
      <c r="N608" s="114"/>
      <c r="O608" s="114"/>
      <c r="P608" s="114"/>
      <c r="Q608" s="114"/>
      <c r="R608" s="114"/>
      <c r="S608" s="114"/>
      <c r="T608" s="114"/>
      <c r="U608" s="114"/>
      <c r="V608" s="114"/>
      <c r="W608" s="114"/>
      <c r="X608" s="114"/>
      <c r="Y608" s="114"/>
      <c r="Z608" s="114"/>
      <c r="AA608" s="261" t="s">
        <v>106</v>
      </c>
      <c r="AB608" s="114"/>
      <c r="AC608" s="114"/>
      <c r="AD608" s="114"/>
      <c r="AE608" s="114"/>
      <c r="AF608" s="114"/>
      <c r="AG608" s="114"/>
      <c r="AH608" s="114"/>
      <c r="AI608" s="114"/>
      <c r="AJ608" s="114"/>
      <c r="AK608" s="114"/>
      <c r="AL608" s="114"/>
      <c r="AM608" s="261" t="s">
        <v>106</v>
      </c>
      <c r="AN608" s="114"/>
      <c r="AO608" s="89"/>
      <c r="AP608" s="89"/>
      <c r="AZ608" s="261" t="s">
        <v>106</v>
      </c>
      <c r="BJ608" s="261" t="s">
        <v>106</v>
      </c>
      <c r="BR608" s="261" t="s">
        <v>106</v>
      </c>
      <c r="BY608" s="261" t="s">
        <v>106</v>
      </c>
      <c r="CG608" s="261" t="s">
        <v>106</v>
      </c>
      <c r="CP608" s="261" t="s">
        <v>106</v>
      </c>
      <c r="CZ608" s="89"/>
      <c r="DA608" s="89"/>
      <c r="DB608" s="89"/>
      <c r="DC608" s="89"/>
      <c r="DD608" s="89"/>
      <c r="DE608" s="89"/>
      <c r="DF608" s="89"/>
      <c r="DG608" s="89"/>
      <c r="DH608" s="89"/>
      <c r="DI608" s="89"/>
      <c r="DJ608" s="89"/>
      <c r="DK608" s="89"/>
      <c r="DL608" s="89"/>
      <c r="DM608" s="89"/>
      <c r="DN608" s="89"/>
      <c r="DO608" s="89"/>
      <c r="DP608" s="89"/>
      <c r="DQ608" s="89"/>
      <c r="DV608" s="261" t="s">
        <v>106</v>
      </c>
    </row>
    <row r="609" spans="1:135" x14ac:dyDescent="0.4">
      <c r="A609" s="221"/>
      <c r="C609" s="14"/>
      <c r="D609" s="14"/>
      <c r="E609" s="14"/>
      <c r="F609" s="14"/>
      <c r="G609" s="14"/>
      <c r="H609" s="14"/>
      <c r="I609" s="14"/>
      <c r="J609" s="14"/>
      <c r="K609" s="14"/>
      <c r="L609" s="14"/>
      <c r="M609" s="14"/>
      <c r="DW609" s="54"/>
      <c r="EA609" s="286"/>
      <c r="EB609" s="286"/>
      <c r="EC609" s="286"/>
      <c r="ED609" s="286"/>
      <c r="EE609" s="286"/>
    </row>
    <row r="610" spans="1:135" x14ac:dyDescent="0.4">
      <c r="A610" s="221"/>
      <c r="C610" s="14"/>
      <c r="D610" s="14"/>
      <c r="E610" s="14"/>
      <c r="F610" s="14"/>
      <c r="G610" s="14"/>
      <c r="H610" s="14"/>
      <c r="I610" s="14"/>
      <c r="J610" s="14"/>
      <c r="K610" s="14"/>
      <c r="L610" s="14"/>
      <c r="M610" s="14"/>
      <c r="DW610" s="54"/>
      <c r="EA610" s="286"/>
      <c r="EB610" s="286"/>
      <c r="EC610" s="286"/>
      <c r="ED610" s="286"/>
      <c r="EE610" s="286"/>
    </row>
    <row r="611" spans="1:135" x14ac:dyDescent="0.4">
      <c r="B611" s="694"/>
      <c r="C611" s="694"/>
      <c r="D611" s="113"/>
      <c r="E611" s="113"/>
      <c r="F611" s="113"/>
      <c r="G611" s="113"/>
      <c r="H611" s="113"/>
      <c r="I611" s="113"/>
      <c r="J611" s="113"/>
      <c r="K611" s="113"/>
      <c r="L611" s="113"/>
      <c r="M611" s="113"/>
      <c r="N611" s="114"/>
      <c r="O611" s="114"/>
      <c r="P611" s="114"/>
      <c r="Q611" s="114"/>
      <c r="R611" s="114"/>
      <c r="S611" s="114"/>
      <c r="T611" s="114"/>
      <c r="U611" s="114"/>
      <c r="V611" s="114"/>
      <c r="W611" s="114"/>
      <c r="X611" s="114"/>
      <c r="Y611" s="114"/>
      <c r="Z611" s="114"/>
      <c r="AA611" s="114"/>
      <c r="AC611" s="114"/>
      <c r="AD611" s="114"/>
      <c r="AE611" s="114"/>
      <c r="AF611" s="114"/>
      <c r="AG611" s="114"/>
      <c r="AH611" s="114"/>
      <c r="AI611" s="114"/>
      <c r="AJ611" s="114"/>
      <c r="AK611" s="114"/>
      <c r="AL611" s="114"/>
      <c r="AM611" s="114"/>
      <c r="AN611" s="114"/>
      <c r="AO611" s="89"/>
      <c r="DW611" s="54"/>
      <c r="EA611" s="55"/>
      <c r="EB611" s="55"/>
      <c r="EC611" s="55"/>
      <c r="ED611" s="55"/>
      <c r="EE611" s="55"/>
    </row>
    <row r="612" spans="1:135" x14ac:dyDescent="0.4">
      <c r="A612" s="233"/>
      <c r="B612" s="679"/>
      <c r="C612" s="679"/>
      <c r="D612" s="113"/>
      <c r="E612" s="113"/>
      <c r="F612" s="113"/>
      <c r="G612" s="113"/>
      <c r="H612" s="113"/>
      <c r="I612" s="113"/>
      <c r="J612" s="113"/>
      <c r="K612" s="113"/>
      <c r="L612" s="113"/>
      <c r="M612" s="113"/>
      <c r="N612" s="114"/>
      <c r="O612" s="114"/>
      <c r="P612" s="114"/>
      <c r="Q612" s="114"/>
      <c r="R612" s="114"/>
      <c r="S612" s="114"/>
      <c r="T612" s="114"/>
      <c r="U612" s="114"/>
      <c r="V612" s="114"/>
      <c r="W612" s="114"/>
      <c r="X612" s="114"/>
      <c r="Y612" s="114"/>
      <c r="Z612" s="114"/>
      <c r="AA612" s="114"/>
      <c r="AB612" s="114"/>
      <c r="AC612" s="114"/>
      <c r="AD612" s="114"/>
      <c r="AE612" s="114"/>
      <c r="AF612" s="114"/>
      <c r="AG612" s="114"/>
      <c r="AH612" s="114"/>
      <c r="AI612" s="114"/>
      <c r="AJ612" s="114"/>
      <c r="AK612" s="114"/>
      <c r="AL612" s="114"/>
      <c r="AM612" s="114"/>
      <c r="CZ612" s="116"/>
      <c r="DA612" s="116"/>
      <c r="DB612" s="116"/>
      <c r="DC612" s="116"/>
      <c r="DD612" s="116"/>
      <c r="DE612" s="116"/>
      <c r="DF612" s="116"/>
      <c r="DG612" s="116"/>
      <c r="DH612" s="116"/>
      <c r="DI612" s="117" t="str">
        <f>"DJ"&amp;MIN(DK615:DK663)</f>
        <v>DJ615</v>
      </c>
      <c r="DJ612" s="118" t="str">
        <f>"DJ"&amp;MAX(DK615:DK663)</f>
        <v>DJ645</v>
      </c>
      <c r="DK612" s="116"/>
      <c r="DL612" s="117" t="str">
        <f>"DM"&amp;MIN(DN615:DN663)</f>
        <v>DM615</v>
      </c>
      <c r="DM612" s="118" t="str">
        <f>"DM"&amp;MAX(DN615:DN663)</f>
        <v>DM645</v>
      </c>
      <c r="DN612" s="116"/>
      <c r="DO612" s="117" t="str">
        <f>"DP"&amp;MIN(DQ615:DQ663)</f>
        <v>DP615</v>
      </c>
      <c r="DP612" s="118" t="str">
        <f>"DP"&amp;MAX(DQ615:DQ663)</f>
        <v>DP645</v>
      </c>
      <c r="DQ612" s="116"/>
      <c r="DW612" s="119"/>
      <c r="EA612" s="33"/>
      <c r="EB612" s="33"/>
      <c r="EC612" s="33"/>
      <c r="ED612" s="33"/>
      <c r="EE612" s="33"/>
    </row>
    <row r="613" spans="1:135" ht="24.6" x14ac:dyDescent="0.45">
      <c r="A613" s="95" t="s">
        <v>65</v>
      </c>
      <c r="C613" s="680" t="str">
        <f>A631</f>
        <v>Base Cases</v>
      </c>
      <c r="D613" s="681"/>
      <c r="E613" s="682"/>
      <c r="F613" s="683" t="str">
        <f>A632</f>
        <v>Conservative Cases</v>
      </c>
      <c r="G613" s="684"/>
      <c r="H613" s="685"/>
      <c r="I613" s="686" t="str">
        <f>A633</f>
        <v>Ambitious Cases</v>
      </c>
      <c r="J613" s="687"/>
      <c r="K613" s="688"/>
      <c r="L613" s="692" t="str">
        <f>A634</f>
        <v>Maximum Cases</v>
      </c>
      <c r="M613" s="693"/>
      <c r="O613" s="122"/>
      <c r="P613" s="122"/>
      <c r="Q613" s="122"/>
      <c r="W613" s="691" t="s">
        <v>66</v>
      </c>
      <c r="X613" s="691"/>
      <c r="Y613" s="691"/>
      <c r="Z613" s="120"/>
      <c r="AA613" s="120"/>
      <c r="AB613" s="120"/>
      <c r="AC613" s="120"/>
      <c r="AD613" s="120"/>
      <c r="AE613" s="120"/>
      <c r="AF613" s="120"/>
      <c r="AG613" s="120"/>
      <c r="AH613" s="120"/>
      <c r="AI613" s="120"/>
      <c r="AJ613" s="120"/>
      <c r="AK613" s="120"/>
      <c r="AL613" s="120"/>
      <c r="AM613" s="120"/>
      <c r="AN613" s="120"/>
      <c r="BR613" s="121" t="s">
        <v>67</v>
      </c>
      <c r="BS613" s="121"/>
      <c r="BT613" s="121"/>
      <c r="BU613" s="121"/>
      <c r="BV613" s="121"/>
      <c r="BW613" s="122"/>
      <c r="BY613" s="121" t="s">
        <v>68</v>
      </c>
      <c r="BZ613" s="121"/>
      <c r="CA613" s="121"/>
      <c r="CB613" s="121"/>
      <c r="CC613" s="121"/>
      <c r="CD613" s="121"/>
      <c r="CG613" s="121" t="s">
        <v>69</v>
      </c>
      <c r="CH613" s="121"/>
      <c r="CI613" s="121"/>
      <c r="CJ613" s="121"/>
      <c r="CK613" s="121"/>
      <c r="CL613" s="121"/>
      <c r="CM613" s="121"/>
      <c r="CP613" s="121" t="s">
        <v>70</v>
      </c>
      <c r="CQ613" s="121"/>
      <c r="CR613" s="121"/>
      <c r="CS613" s="121"/>
      <c r="CT613" s="121"/>
      <c r="CU613" s="121"/>
      <c r="CZ613" s="123"/>
      <c r="DA613" s="123"/>
      <c r="DB613" s="123"/>
      <c r="DC613" s="123"/>
      <c r="DD613" s="123"/>
      <c r="DE613" s="123"/>
      <c r="DF613" s="123"/>
      <c r="DG613" s="123"/>
      <c r="DH613" s="123"/>
      <c r="DI613" s="124" t="str">
        <f>"DI"&amp;MIN(DK615:DK663)</f>
        <v>DI615</v>
      </c>
      <c r="DJ613" s="125" t="str">
        <f>"DI"&amp;MAX(DK615:DK663)</f>
        <v>DI645</v>
      </c>
      <c r="DK613" s="123"/>
      <c r="DL613" s="124" t="str">
        <f>"DL"&amp;MIN(DN615:DN663)</f>
        <v>DL615</v>
      </c>
      <c r="DM613" s="125" t="str">
        <f>"DL"&amp;MAX(DN615:DN663)</f>
        <v>DL645</v>
      </c>
      <c r="DN613" s="123"/>
      <c r="DO613" s="124" t="str">
        <f>"DO"&amp;MIN(DQ615:DQ663)</f>
        <v>DO615</v>
      </c>
      <c r="DP613" s="125" t="str">
        <f>"DO"&amp;MAX(DQ615:DQ663)</f>
        <v>DO645</v>
      </c>
      <c r="DQ613" s="123"/>
      <c r="DV613" s="126" t="s">
        <v>71</v>
      </c>
      <c r="DZ613" s="127" t="s">
        <v>72</v>
      </c>
      <c r="EA613" s="284" t="str">
        <f>$L$41</f>
        <v>3rd Poly</v>
      </c>
    </row>
    <row r="614" spans="1:135" ht="73.8" x14ac:dyDescent="0.45">
      <c r="A614" s="95" t="s">
        <v>73</v>
      </c>
      <c r="B614" s="128"/>
      <c r="C614" s="129" t="str">
        <f>A615</f>
        <v>IPCC</v>
      </c>
      <c r="D614" s="130" t="str">
        <f>A616</f>
        <v xml:space="preserve"> IEA Annex I – Municipal solid waste potential in cities; Table I.1</v>
      </c>
      <c r="E614" s="131" t="str">
        <f>A617</f>
        <v>[Source 3]</v>
      </c>
      <c r="F614" s="129" t="str">
        <f>A618</f>
        <v>[Source 1]</v>
      </c>
      <c r="G614" s="130" t="str">
        <f>A619</f>
        <v>[Source 2]</v>
      </c>
      <c r="H614" s="131" t="str">
        <f>A620</f>
        <v>[Source 3]</v>
      </c>
      <c r="I614" s="129" t="str">
        <f>A621</f>
        <v>[Source 1]</v>
      </c>
      <c r="J614" s="130" t="str">
        <f>A622</f>
        <v>[Source 2]</v>
      </c>
      <c r="K614" s="131" t="str">
        <f>A623</f>
        <v>[Source 3]</v>
      </c>
      <c r="L614" s="129" t="str">
        <f>A624</f>
        <v>[Source 1]</v>
      </c>
      <c r="M614" s="131" t="str">
        <f>A625</f>
        <v>[Source 2]</v>
      </c>
      <c r="N614" s="234" t="s">
        <v>74</v>
      </c>
      <c r="O614" s="133"/>
      <c r="P614" s="133"/>
      <c r="Q614" s="133"/>
      <c r="R614" s="135" t="s">
        <v>76</v>
      </c>
      <c r="S614" s="134" t="s">
        <v>77</v>
      </c>
      <c r="T614" s="134" t="s">
        <v>78</v>
      </c>
      <c r="U614" s="136" t="s">
        <v>79</v>
      </c>
      <c r="V614" s="137"/>
      <c r="W614" s="136" t="s">
        <v>15</v>
      </c>
      <c r="X614" s="134" t="s">
        <v>21</v>
      </c>
      <c r="Y614" s="136" t="s">
        <v>25</v>
      </c>
      <c r="AA614" s="138"/>
      <c r="AB614" s="138"/>
      <c r="AC614" s="138"/>
      <c r="AD614" s="138"/>
      <c r="AE614" s="138"/>
      <c r="AF614" s="138"/>
      <c r="AG614" s="138"/>
      <c r="AH614" s="138"/>
      <c r="AI614" s="138"/>
      <c r="AJ614" s="138"/>
      <c r="AK614" s="138"/>
      <c r="AL614" s="138"/>
      <c r="AM614" s="138"/>
      <c r="AN614" s="138"/>
      <c r="BR614" s="139"/>
      <c r="BS614" s="139"/>
      <c r="BT614" s="139"/>
      <c r="BU614" s="139"/>
      <c r="BV614" s="139"/>
      <c r="BW614" s="122"/>
      <c r="BZ614" s="139"/>
      <c r="CA614" s="139"/>
      <c r="CB614" s="139"/>
      <c r="CC614" s="139"/>
      <c r="CD614" s="139"/>
      <c r="CH614" s="139"/>
      <c r="CI614" s="139"/>
      <c r="CJ614" s="139"/>
      <c r="CK614" s="139"/>
      <c r="CL614" s="139"/>
      <c r="CM614" s="139"/>
      <c r="CQ614" s="139"/>
      <c r="CR614" s="139"/>
      <c r="CS614" s="139"/>
      <c r="CT614" s="139"/>
      <c r="CU614" s="139"/>
      <c r="CZ614" s="140"/>
      <c r="DA614" s="140"/>
      <c r="DB614" s="140"/>
      <c r="DC614" s="140"/>
      <c r="DD614" s="141"/>
      <c r="DE614" s="141"/>
      <c r="DF614" s="141"/>
      <c r="DG614" s="141"/>
      <c r="DH614" s="140"/>
      <c r="DI614" s="142"/>
      <c r="DJ614" s="143"/>
      <c r="DK614" s="144"/>
      <c r="DL614" s="142"/>
      <c r="DM614" s="143"/>
      <c r="DN614" s="140"/>
      <c r="DO614" s="142"/>
      <c r="DP614" s="143"/>
      <c r="DQ614" s="140"/>
      <c r="DV614" s="145">
        <v>2014</v>
      </c>
      <c r="DW614" s="235">
        <f t="shared" ref="DW614:DW660" ca="1" si="317">IF($J$41="N","",IF($L$41="Linear",BV619,IF($L$41="2nd Poly",CD619,IF($L$41="3rd Poly",CM619,IF($L$41="Exp",CT619)))))</f>
        <v>144.5845825674958</v>
      </c>
      <c r="EA614" s="33" t="str">
        <f>$M$41</f>
        <v>Medium</v>
      </c>
      <c r="EB614" s="33"/>
      <c r="EC614" s="33"/>
      <c r="ED614" s="33"/>
      <c r="EE614" s="33"/>
    </row>
    <row r="615" spans="1:135" ht="13.8" x14ac:dyDescent="0.45">
      <c r="A615" s="148" t="s">
        <v>108</v>
      </c>
      <c r="B615" s="128">
        <v>2012</v>
      </c>
      <c r="C615" s="291"/>
      <c r="D615" s="264"/>
      <c r="E615" s="239"/>
      <c r="F615" s="190"/>
      <c r="G615" s="264"/>
      <c r="H615" s="239"/>
      <c r="I615" s="190"/>
      <c r="J615" s="264"/>
      <c r="K615" s="239"/>
      <c r="L615" s="190"/>
      <c r="M615" s="239"/>
      <c r="N615" s="29" t="s">
        <v>119</v>
      </c>
      <c r="O615" s="120"/>
      <c r="P615" s="120"/>
      <c r="Q615" s="120"/>
      <c r="R615" s="29">
        <v>-2</v>
      </c>
      <c r="S615" s="288" t="str">
        <f t="shared" ref="S615:S663" si="318">IF(MIN(C615:Q615)=0,"",MIN(C615:Q615))</f>
        <v/>
      </c>
      <c r="T615" s="288" t="str">
        <f t="shared" ref="T615:T663" si="319">IF(MAX(C615:Q615)=0,"",MAX(C615:Q615))</f>
        <v/>
      </c>
      <c r="U615" s="288" t="str">
        <f t="shared" ref="U615:U663" si="320">IF(T615="","",_xlfn.STDEV.P(C615:Q615))</f>
        <v/>
      </c>
      <c r="V615" s="29"/>
      <c r="W615" s="288" t="e">
        <f t="shared" ref="W615:W663" si="321">IF(U615="",#N/A,X615-(U615*$Q$41))</f>
        <v>#N/A</v>
      </c>
      <c r="X615" s="288" t="e">
        <f t="shared" ref="X615:X663" si="322">IF(U615="",#N/A,(SUM(C615:Q615)/COUNTIFS(C615:Q615,"&gt;0")))</f>
        <v>#N/A</v>
      </c>
      <c r="Y615" s="288" t="e">
        <f t="shared" ref="Y615:Y663" si="323">IF(U615="",#N/A,X615+(U615*$Q$40))</f>
        <v>#N/A</v>
      </c>
      <c r="AA615" s="138"/>
      <c r="AB615" s="138"/>
      <c r="AC615" s="138"/>
      <c r="AD615" s="138"/>
      <c r="AE615" s="138"/>
      <c r="AF615" s="138"/>
      <c r="AG615" s="138"/>
      <c r="AH615" s="138"/>
      <c r="AI615" s="138"/>
      <c r="AJ615" s="138"/>
      <c r="AK615" s="138"/>
      <c r="AL615" s="138"/>
      <c r="AM615" s="138"/>
      <c r="AN615" s="138"/>
      <c r="BR615" s="137" t="s">
        <v>81</v>
      </c>
      <c r="BS615" s="65" t="str">
        <f>$M$41</f>
        <v>Medium</v>
      </c>
      <c r="BT615" s="137" t="s">
        <v>82</v>
      </c>
      <c r="BU615" s="137" t="s">
        <v>83</v>
      </c>
      <c r="BW615" s="133"/>
      <c r="BY615" s="137" t="s">
        <v>81</v>
      </c>
      <c r="BZ615" s="65" t="str">
        <f>$M$41</f>
        <v>Medium</v>
      </c>
      <c r="CA615" s="137" t="s">
        <v>84</v>
      </c>
      <c r="CB615" s="137" t="s">
        <v>82</v>
      </c>
      <c r="CC615" s="137" t="s">
        <v>83</v>
      </c>
      <c r="CG615" s="137" t="s">
        <v>81</v>
      </c>
      <c r="CH615" s="65" t="str">
        <f>$M$41</f>
        <v>Medium</v>
      </c>
      <c r="CI615" s="137" t="s">
        <v>85</v>
      </c>
      <c r="CJ615" s="137" t="s">
        <v>84</v>
      </c>
      <c r="CK615" s="137" t="s">
        <v>82</v>
      </c>
      <c r="CL615" s="137" t="s">
        <v>83</v>
      </c>
      <c r="CP615" s="137" t="s">
        <v>81</v>
      </c>
      <c r="CQ615" s="65" t="str">
        <f>$M$41</f>
        <v>Medium</v>
      </c>
      <c r="CR615" s="137" t="s">
        <v>86</v>
      </c>
      <c r="CS615" s="137" t="s">
        <v>87</v>
      </c>
      <c r="CZ615" s="155" t="b">
        <f t="shared" ref="CZ615:DB654" si="324">ISNUMBER(W615)</f>
        <v>0</v>
      </c>
      <c r="DA615" s="156" t="b">
        <f t="shared" si="324"/>
        <v>0</v>
      </c>
      <c r="DB615" s="157" t="b">
        <f t="shared" si="324"/>
        <v>0</v>
      </c>
      <c r="DC615" s="155" t="str">
        <f t="shared" ref="DC615:DC663" si="325">IF(CZ615=TRUE,$R615,"")</f>
        <v/>
      </c>
      <c r="DD615" s="157" t="str">
        <f t="shared" ref="DD615:DD663" si="326">IF(CZ615=TRUE,W615,"")</f>
        <v/>
      </c>
      <c r="DE615" s="155" t="str">
        <f t="shared" ref="DE615:DE663" si="327">IF(DA615=TRUE,$R615,"")</f>
        <v/>
      </c>
      <c r="DF615" s="157" t="str">
        <f t="shared" ref="DF615:DF663" si="328">IF(DA615=TRUE,X615,"")</f>
        <v/>
      </c>
      <c r="DG615" s="155" t="str">
        <f t="shared" ref="DG615:DG663" si="329">IF(DB615=TRUE,$R615,"")</f>
        <v/>
      </c>
      <c r="DH615" s="157" t="str">
        <f t="shared" ref="DH615:DH663" si="330">IF(DB615=TRUE,Y615,"")</f>
        <v/>
      </c>
      <c r="DI615" s="155">
        <f>IFERROR(INDEX(DC$615:DC$663,_xlfn.AGGREGATE(15,6,(ROW(DC$615:DC$663)-ROW(DC$615)+1)/(DC$615:DC$663&lt;&gt;""),ROWS(DI$1:DI1))),"")</f>
        <v>1</v>
      </c>
      <c r="DJ615" s="156">
        <f>IFERROR(INDEX(DD$615:DD$663,_xlfn.AGGREGATE(15,6,(ROW(DD$615:DD$663)-ROW(DD$615)+1)/(DD$615:DD$663&lt;&gt;""),ROWS(DJ$1:DJ1))),"")</f>
        <v>132.62162162162161</v>
      </c>
      <c r="DK615" s="157">
        <f t="shared" ref="DK615:DK663" si="331">IF(ISNUMBER(DI615),ROW(DI615),"")</f>
        <v>615</v>
      </c>
      <c r="DL615" s="155">
        <f>IFERROR(INDEX(DE$615:DE$663,_xlfn.AGGREGATE(15,6,(ROW(DE$615:DE$663)-ROW(DE$615)+1)/(DE$615:DE$663&lt;&gt;""),ROWS(DL$1:DL1))),"")</f>
        <v>1</v>
      </c>
      <c r="DM615" s="156">
        <f>IFERROR(INDEX(DF$615:DF$663,_xlfn.AGGREGATE(15,6,(ROW(DF$615:DF$663)-ROW(DF$615)+1)/(DF$615:DF$663&lt;&gt;""),ROWS(DM$1:DM1))),"")</f>
        <v>146.45361119925798</v>
      </c>
      <c r="DN615" s="157">
        <f t="shared" ref="DN615:DN663" si="332">IF(ISNUMBER(DI615),ROW(DI615),"")</f>
        <v>615</v>
      </c>
      <c r="DO615" s="155">
        <f>IFERROR(INDEX(DG$615:DG$663,_xlfn.AGGREGATE(15,6,(ROW(DG$615:DG$663)-ROW(DG$615)+1)/(DG$615:DG$663&lt;&gt;""),ROWS(DO$1:DO1))),"")</f>
        <v>1</v>
      </c>
      <c r="DP615" s="156">
        <f>IFERROR(INDEX(DH$615:DH$663,_xlfn.AGGREGATE(15,6,(ROW(DH$615:DH$663)-ROW(DH$615)+1)/(DH$615:DH$663&lt;&gt;""),ROWS(DP$1:DP1))),"")</f>
        <v>160.28560077689434</v>
      </c>
      <c r="DQ615" s="157">
        <f t="shared" ref="DQ615:DQ663" si="333">IF(ISNUMBER(DL615),ROW(DL615),"")</f>
        <v>615</v>
      </c>
      <c r="DV615" s="145">
        <v>2015</v>
      </c>
      <c r="DW615" s="235">
        <f t="shared" ca="1" si="317"/>
        <v>146.40658413229167</v>
      </c>
      <c r="EA615" s="33"/>
      <c r="EB615" s="33"/>
      <c r="EC615" s="33"/>
      <c r="ED615" s="33"/>
      <c r="EE615" s="33"/>
    </row>
    <row r="616" spans="1:135" ht="13.8" x14ac:dyDescent="0.45">
      <c r="A616" s="148" t="s">
        <v>116</v>
      </c>
      <c r="B616" s="128">
        <v>2013</v>
      </c>
      <c r="C616" s="187"/>
      <c r="D616" s="264"/>
      <c r="E616" s="239"/>
      <c r="F616" s="190"/>
      <c r="G616" s="264"/>
      <c r="H616" s="239"/>
      <c r="I616" s="190"/>
      <c r="J616" s="264"/>
      <c r="K616" s="239"/>
      <c r="L616" s="190"/>
      <c r="M616" s="239"/>
      <c r="N616" s="29" t="s">
        <v>119</v>
      </c>
      <c r="O616" s="120"/>
      <c r="P616" s="120"/>
      <c r="Q616" s="120"/>
      <c r="R616" s="29">
        <v>-1</v>
      </c>
      <c r="S616" s="288" t="str">
        <f t="shared" si="318"/>
        <v/>
      </c>
      <c r="T616" s="288" t="str">
        <f t="shared" si="319"/>
        <v/>
      </c>
      <c r="U616" s="288" t="str">
        <f t="shared" si="320"/>
        <v/>
      </c>
      <c r="V616" s="29"/>
      <c r="W616" s="288" t="e">
        <f t="shared" si="321"/>
        <v>#N/A</v>
      </c>
      <c r="X616" s="288" t="e">
        <f t="shared" si="322"/>
        <v>#N/A</v>
      </c>
      <c r="Y616" s="288" t="e">
        <f t="shared" si="323"/>
        <v>#N/A</v>
      </c>
      <c r="AA616" s="138"/>
      <c r="AB616" s="138"/>
      <c r="AC616" s="138"/>
      <c r="AD616" s="138"/>
      <c r="AE616" s="138"/>
      <c r="AF616" s="138"/>
      <c r="AG616" s="138"/>
      <c r="AH616" s="138"/>
      <c r="AI616" s="138"/>
      <c r="AJ616" s="138"/>
      <c r="AK616" s="138"/>
      <c r="AL616" s="138"/>
      <c r="AM616" s="138"/>
      <c r="AN616" s="138"/>
      <c r="BS616" s="160" t="s">
        <v>25</v>
      </c>
      <c r="BT616" s="161">
        <f>SLOPE((DH615:DH663),($B$46:$B$94))</f>
        <v>1.5184829549454038</v>
      </c>
      <c r="BU616" s="162">
        <f>INTERCEPT(DP615:DP663,DO615:DO663)</f>
        <v>160.28579061728925</v>
      </c>
      <c r="BW616" s="133"/>
      <c r="BZ616" s="160" t="s">
        <v>25</v>
      </c>
      <c r="CA616" s="161">
        <f ca="1">INDEX(LINEST((INDIRECT(DO612):INDIRECT(DP612)),(INDIRECT(DO613):INDIRECT(DP613))^{1,2}),1)</f>
        <v>-1.1919844532059638E-2</v>
      </c>
      <c r="CB616" s="163">
        <f ca="1">INDEX(LINEST((INDIRECT(DO612):INDIRECT(DP612)),(INDIRECT(DO613):INDIRECT(DP613))^{1,2}),1,2)</f>
        <v>1.8999179799713122</v>
      </c>
      <c r="CC616" s="162">
        <f ca="1">INDEX(LINEST((INDIRECT(DO612):INDIRECT(DP612)),(INDIRECT(DO613):INDIRECT(DP613))^{1,2}),1,3)</f>
        <v>158.18789797964675</v>
      </c>
      <c r="CH616" s="160" t="s">
        <v>25</v>
      </c>
      <c r="CI616" s="161">
        <f ca="1">INDEX(LINEST((INDIRECT(DO612):INDIRECT(DP612)),(INDIRECT(DO613):INDIRECT(DP613))^{1,2,3}),1)</f>
        <v>-9.4951172311678482E-5</v>
      </c>
      <c r="CJ616" s="163">
        <f ca="1">INDEX(LINEST((INDIRECT(DO612):INDIRECT(DP612)),(INDIRECT(DO613):INDIRECT(DP613))^{1,2,3}),1,2)</f>
        <v>-7.3621882610990829E-3</v>
      </c>
      <c r="CK616" s="163">
        <f ca="1">INDEX(LINEST((INDIRECT(DO612):INDIRECT(DP612)),(INDIRECT(DO613):INDIRECT(DP613))^{1,2,3}),1,3)</f>
        <v>1.840649458214362</v>
      </c>
      <c r="CL616" s="162">
        <f ca="1">INDEX(LINEST((INDIRECT(DO612):INDIRECT(DP612)),(INDIRECT(DO613):INDIRECT(DP613))^{1,2,3}),1,4)</f>
        <v>158.35835432418071</v>
      </c>
      <c r="CQ616" s="160" t="s">
        <v>25</v>
      </c>
      <c r="CR616" s="161">
        <f ca="1">EXP(INDEX(LINEST(LN(INDIRECT(DO612):INDIRECT(DP612)),(INDIRECT(DO613):INDIRECT(DP613))),1,2))</f>
        <v>161.21381961099081</v>
      </c>
      <c r="CS616" s="162">
        <f ca="1">INDEX(LINEST(LN(INDIRECT(DO612):INDIRECT(DP612)),(INDIRECT(DO613):INDIRECT(DP613))),1)</f>
        <v>8.2878692632536426E-3</v>
      </c>
      <c r="CZ616" s="164" t="b">
        <f t="shared" si="324"/>
        <v>0</v>
      </c>
      <c r="DA616" s="165" t="b">
        <f t="shared" si="324"/>
        <v>0</v>
      </c>
      <c r="DB616" s="166" t="b">
        <f t="shared" si="324"/>
        <v>0</v>
      </c>
      <c r="DC616" s="164" t="str">
        <f t="shared" si="325"/>
        <v/>
      </c>
      <c r="DD616" s="166" t="str">
        <f t="shared" si="326"/>
        <v/>
      </c>
      <c r="DE616" s="164" t="str">
        <f t="shared" si="327"/>
        <v/>
      </c>
      <c r="DF616" s="166" t="str">
        <f t="shared" si="328"/>
        <v/>
      </c>
      <c r="DG616" s="164" t="str">
        <f t="shared" si="329"/>
        <v/>
      </c>
      <c r="DH616" s="166" t="str">
        <f t="shared" si="330"/>
        <v/>
      </c>
      <c r="DI616" s="164">
        <f>IFERROR(INDEX(DC$615:DC$663,_xlfn.AGGREGATE(15,6,(ROW(DC$615:DC$663)-ROW(DC$615)+1)/(DC$615:DC$663&lt;&gt;""),ROWS(DI$1:DI2))),"")</f>
        <v>2</v>
      </c>
      <c r="DJ616" s="165">
        <f>IFERROR(INDEX(DD$615:DD$663,_xlfn.AGGREGATE(15,6,(ROW(DD$615:DD$663)-ROW(DD$615)+1)/(DD$615:DD$663&lt;&gt;""),ROWS(DJ$1:DJ2))),"")</f>
        <v>134.43243243243245</v>
      </c>
      <c r="DK616" s="166">
        <f t="shared" si="331"/>
        <v>616</v>
      </c>
      <c r="DL616" s="164">
        <f>IFERROR(INDEX(DE$615:DE$663,_xlfn.AGGREGATE(15,6,(ROW(DE$615:DE$663)-ROW(DE$615)+1)/(DE$615:DE$663&lt;&gt;""),ROWS(DL$1:DL2))),"")</f>
        <v>2</v>
      </c>
      <c r="DM616" s="165">
        <f>IFERROR(INDEX(DF$615:DF$663,_xlfn.AGGREGATE(15,6,(ROW(DF$615:DF$663)-ROW(DF$615)+1)/(DF$615:DF$663&lt;&gt;""),ROWS(DM$1:DM2))),"")</f>
        <v>148.22917223086768</v>
      </c>
      <c r="DN616" s="166">
        <f t="shared" si="332"/>
        <v>616</v>
      </c>
      <c r="DO616" s="164">
        <f>IFERROR(INDEX(DG$615:DG$663,_xlfn.AGGREGATE(15,6,(ROW(DG$615:DG$663)-ROW(DG$615)+1)/(DG$615:DG$663&lt;&gt;""),ROWS(DO$1:DO2))),"")</f>
        <v>2</v>
      </c>
      <c r="DP616" s="165">
        <f>IFERROR(INDEX(DH$615:DH$663,_xlfn.AGGREGATE(15,6,(ROW(DH$615:DH$663)-ROW(DH$615)+1)/(DH$615:DH$663&lt;&gt;""),ROWS(DP$1:DP2))),"")</f>
        <v>162.0259120293029</v>
      </c>
      <c r="DQ616" s="166">
        <f t="shared" si="333"/>
        <v>616</v>
      </c>
      <c r="DV616" s="145">
        <v>2016</v>
      </c>
      <c r="DW616" s="235">
        <f t="shared" ca="1" si="317"/>
        <v>148.22093865530951</v>
      </c>
      <c r="EA616" s="33"/>
      <c r="EB616" s="33"/>
      <c r="EC616" s="33"/>
      <c r="ED616" s="33"/>
      <c r="EE616" s="33"/>
    </row>
    <row r="617" spans="1:135" ht="13.8" x14ac:dyDescent="0.45">
      <c r="A617" s="303" t="s">
        <v>90</v>
      </c>
      <c r="B617" s="128">
        <v>2014</v>
      </c>
      <c r="C617" s="167"/>
      <c r="D617" s="168"/>
      <c r="E617" s="169"/>
      <c r="F617" s="170"/>
      <c r="G617" s="168"/>
      <c r="H617" s="169"/>
      <c r="I617" s="170"/>
      <c r="J617" s="168"/>
      <c r="K617" s="169"/>
      <c r="L617" s="170"/>
      <c r="M617" s="169"/>
      <c r="N617" s="29" t="s">
        <v>119</v>
      </c>
      <c r="O617" s="120"/>
      <c r="P617" s="120"/>
      <c r="Q617" s="120"/>
      <c r="R617" s="29">
        <v>0</v>
      </c>
      <c r="S617" s="288" t="str">
        <f t="shared" si="318"/>
        <v/>
      </c>
      <c r="T617" s="288" t="str">
        <f t="shared" si="319"/>
        <v/>
      </c>
      <c r="U617" s="288" t="str">
        <f t="shared" si="320"/>
        <v/>
      </c>
      <c r="V617" s="29"/>
      <c r="W617" s="288" t="e">
        <f t="shared" si="321"/>
        <v>#N/A</v>
      </c>
      <c r="X617" s="288" t="e">
        <f t="shared" si="322"/>
        <v>#N/A</v>
      </c>
      <c r="Y617" s="288" t="e">
        <f t="shared" si="323"/>
        <v>#N/A</v>
      </c>
      <c r="AA617" s="138"/>
      <c r="AB617" s="138"/>
      <c r="AC617" s="138"/>
      <c r="AD617" s="138"/>
      <c r="AE617" s="138"/>
      <c r="AF617" s="138"/>
      <c r="AG617" s="138"/>
      <c r="AH617" s="138"/>
      <c r="AI617" s="138"/>
      <c r="AJ617" s="138"/>
      <c r="AK617" s="138"/>
      <c r="AL617" s="138"/>
      <c r="AM617" s="138"/>
      <c r="AN617" s="138"/>
      <c r="BS617" s="160" t="s">
        <v>91</v>
      </c>
      <c r="BT617" s="304">
        <f>SLOPE((DF615:DF663),($B$46:$B$94))</f>
        <v>1.6646468828781049</v>
      </c>
      <c r="BU617" s="305">
        <f>INTERCEPT(DM615:DM663,DL615:DL663)</f>
        <v>145.54830071405007</v>
      </c>
      <c r="BZ617" s="160" t="s">
        <v>91</v>
      </c>
      <c r="CA617" s="304">
        <f ca="1">INDEX(LINEST((INDIRECT(DL612):INDIRECT(DM612)),(INDIRECT(DL613):INDIRECT(DM613))^{1,2}),1)</f>
        <v>-5.9599222660298365E-3</v>
      </c>
      <c r="CB617" s="306">
        <f ca="1">INDEX(LINEST((INDIRECT(DL612):INDIRECT(DM612)),(INDIRECT(DL613):INDIRECT(DM613))^{1,2}),1,2)</f>
        <v>1.8553643953910597</v>
      </c>
      <c r="CC617" s="305">
        <f ca="1">INDEX(LINEST((INDIRECT(DL612):INDIRECT(DM612)),(INDIRECT(DL613):INDIRECT(DM613))^{1,2}),1,3)</f>
        <v>144.49935439522881</v>
      </c>
      <c r="CH617" s="160" t="s">
        <v>91</v>
      </c>
      <c r="CI617" s="304">
        <f ca="1">INDEX(LINEST((INDIRECT(DL612):INDIRECT(DM612)),(INDIRECT(DL613):INDIRECT(DM613))^{1,2,3}),1)</f>
        <v>-4.7475586155842263E-5</v>
      </c>
      <c r="CJ617" s="306">
        <f ca="1">INDEX(LINEST((INDIRECT(DL612):INDIRECT(DM612)),(INDIRECT(DL613):INDIRECT(DM613))^{1,2,3}),1,2)</f>
        <v>-3.681094130549371E-3</v>
      </c>
      <c r="CK617" s="306">
        <f ca="1">INDEX(LINEST((INDIRECT(DL612):INDIRECT(DM612)),(INDIRECT(DL613):INDIRECT(DM613))^{1,2,3}),1,3)</f>
        <v>1.8257301345125816</v>
      </c>
      <c r="CL617" s="305">
        <f ca="1">INDEX(LINEST((INDIRECT(DL612):INDIRECT(DM612)),(INDIRECT(DL613):INDIRECT(DM613))^{1,2,3}),1,4)</f>
        <v>144.5845825674958</v>
      </c>
      <c r="CQ617" s="160" t="s">
        <v>91</v>
      </c>
      <c r="CR617" s="304">
        <f ca="1">EXP(INDEX(LINEST(LN(INDIRECT(DL612):INDIRECT(DM612)),(INDIRECT(DL613):INDIRECT(DM613))),1,2))</f>
        <v>146.79514120938387</v>
      </c>
      <c r="CS617" s="305">
        <f ca="1">INDEX(LINEST(LN(INDIRECT(DL612):INDIRECT(DM612)),(INDIRECT(DL613):INDIRECT(DM613))),1)</f>
        <v>9.7333622792786737E-3</v>
      </c>
      <c r="CZ617" s="164" t="b">
        <f t="shared" si="324"/>
        <v>0</v>
      </c>
      <c r="DA617" s="165" t="b">
        <f t="shared" si="324"/>
        <v>0</v>
      </c>
      <c r="DB617" s="166" t="b">
        <f t="shared" si="324"/>
        <v>0</v>
      </c>
      <c r="DC617" s="164" t="str">
        <f t="shared" si="325"/>
        <v/>
      </c>
      <c r="DD617" s="166" t="str">
        <f t="shared" si="326"/>
        <v/>
      </c>
      <c r="DE617" s="164" t="str">
        <f t="shared" si="327"/>
        <v/>
      </c>
      <c r="DF617" s="166" t="str">
        <f t="shared" si="328"/>
        <v/>
      </c>
      <c r="DG617" s="164" t="str">
        <f t="shared" si="329"/>
        <v/>
      </c>
      <c r="DH617" s="166" t="str">
        <f t="shared" si="330"/>
        <v/>
      </c>
      <c r="DI617" s="164">
        <f>IFERROR(INDEX(DC$615:DC$663,_xlfn.AGGREGATE(15,6,(ROW(DC$615:DC$663)-ROW(DC$615)+1)/(DC$615:DC$663&lt;&gt;""),ROWS(DI$1:DI3))),"")</f>
        <v>3</v>
      </c>
      <c r="DJ617" s="165">
        <f>IFERROR(INDEX(DD$615:DD$663,_xlfn.AGGREGATE(15,6,(ROW(DD$615:DD$663)-ROW(DD$615)+1)/(DD$615:DD$663&lt;&gt;""),ROWS(DJ$1:DJ3))),"")</f>
        <v>136.24324324324323</v>
      </c>
      <c r="DK617" s="166">
        <f t="shared" si="331"/>
        <v>617</v>
      </c>
      <c r="DL617" s="164">
        <f>IFERROR(INDEX(DE$615:DE$663,_xlfn.AGGREGATE(15,6,(ROW(DE$615:DE$663)-ROW(DE$615)+1)/(DE$615:DE$663&lt;&gt;""),ROWS(DL$1:DL3))),"")</f>
        <v>3</v>
      </c>
      <c r="DM617" s="165">
        <f>IFERROR(INDEX(DF$615:DF$663,_xlfn.AGGREGATE(15,6,(ROW(DF$615:DF$663)-ROW(DF$615)+1)/(DF$615:DF$663&lt;&gt;""),ROWS(DM$1:DM3))),"")</f>
        <v>150.01139865850357</v>
      </c>
      <c r="DN617" s="166">
        <f t="shared" si="332"/>
        <v>617</v>
      </c>
      <c r="DO617" s="164">
        <f>IFERROR(INDEX(DG$615:DG$663,_xlfn.AGGREGATE(15,6,(ROW(DG$615:DG$663)-ROW(DG$615)+1)/(DG$615:DG$663&lt;&gt;""),ROWS(DO$1:DO3))),"")</f>
        <v>3</v>
      </c>
      <c r="DP617" s="165">
        <f>IFERROR(INDEX(DH$615:DH$663,_xlfn.AGGREGATE(15,6,(ROW(DH$615:DH$663)-ROW(DH$615)+1)/(DH$615:DH$663&lt;&gt;""),ROWS(DP$1:DP3))),"")</f>
        <v>163.7795540737639</v>
      </c>
      <c r="DQ617" s="166">
        <f t="shared" si="333"/>
        <v>617</v>
      </c>
      <c r="DV617" s="145">
        <v>2017</v>
      </c>
      <c r="DW617" s="235">
        <f t="shared" ca="1" si="317"/>
        <v>150.02736128303241</v>
      </c>
      <c r="DZ617" s="65" t="s">
        <v>89</v>
      </c>
      <c r="EA617" s="33"/>
      <c r="EB617" s="33"/>
      <c r="EC617" s="33"/>
      <c r="ED617" s="33"/>
      <c r="EE617" s="33"/>
    </row>
    <row r="618" spans="1:135" ht="13.8" x14ac:dyDescent="0.45">
      <c r="A618" s="303" t="s">
        <v>80</v>
      </c>
      <c r="B618" s="128">
        <v>2015</v>
      </c>
      <c r="C618" s="291">
        <f>'Total MSW Summaries (Archive)'!L6</f>
        <v>160.28560077689434</v>
      </c>
      <c r="D618" s="307">
        <f>'Total MSW Summaries (Archive)'!BH6</f>
        <v>132.62162162162161</v>
      </c>
      <c r="E618" s="308"/>
      <c r="F618" s="309"/>
      <c r="G618" s="307"/>
      <c r="H618" s="308"/>
      <c r="I618" s="309"/>
      <c r="J618" s="307"/>
      <c r="K618" s="308"/>
      <c r="L618" s="309"/>
      <c r="M618" s="308"/>
      <c r="N618" s="29" t="s">
        <v>119</v>
      </c>
      <c r="O618" s="120"/>
      <c r="P618" s="120"/>
      <c r="Q618" s="120"/>
      <c r="R618" s="29">
        <v>1</v>
      </c>
      <c r="S618" s="288">
        <f t="shared" si="318"/>
        <v>132.62162162162161</v>
      </c>
      <c r="T618" s="288">
        <f t="shared" si="319"/>
        <v>160.28560077689434</v>
      </c>
      <c r="U618" s="288">
        <f t="shared" si="320"/>
        <v>13.831989577636364</v>
      </c>
      <c r="V618" s="29"/>
      <c r="W618" s="288">
        <f t="shared" si="321"/>
        <v>132.62162162162161</v>
      </c>
      <c r="X618" s="288">
        <f t="shared" si="322"/>
        <v>146.45361119925798</v>
      </c>
      <c r="Y618" s="288">
        <f t="shared" si="323"/>
        <v>160.28560077689434</v>
      </c>
      <c r="AA618" s="138"/>
      <c r="AB618" s="138"/>
      <c r="AC618" s="138"/>
      <c r="AD618" s="138"/>
      <c r="AE618" s="138"/>
      <c r="AF618" s="138"/>
      <c r="AG618" s="138"/>
      <c r="AH618" s="138"/>
      <c r="AI618" s="138"/>
      <c r="AJ618" s="138"/>
      <c r="AK618" s="138"/>
      <c r="AL618" s="138"/>
      <c r="AM618" s="138"/>
      <c r="AN618" s="138"/>
      <c r="BR618" s="29"/>
      <c r="BS618" s="160" t="s">
        <v>15</v>
      </c>
      <c r="BT618" s="310">
        <f>SLOPE((DD615:DD663),($B$46:$B$94))</f>
        <v>1.8108108108108067</v>
      </c>
      <c r="BU618" s="311">
        <f>INTERCEPT(DJ615:DJ663,DI615:DI663)</f>
        <v>130.81081081081081</v>
      </c>
      <c r="BV618" s="137" t="s">
        <v>71</v>
      </c>
      <c r="BY618" s="29"/>
      <c r="BZ618" s="160" t="s">
        <v>15</v>
      </c>
      <c r="CA618" s="310">
        <f ca="1">INDEX(LINEST((INDIRECT(DI612):INDIRECT(DJ612)),(INDIRECT(DI613):INDIRECT(DJ613))^{1,2}),1)</f>
        <v>6.0564463132897079E-17</v>
      </c>
      <c r="CB618" s="312">
        <f ca="1">INDEX(LINEST((INDIRECT(DI612):INDIRECT(DJ612)),(INDIRECT(DI613):INDIRECT(DJ613))^{1,2}),1,2)</f>
        <v>1.810810810810805</v>
      </c>
      <c r="CC618" s="311">
        <f ca="1">INDEX(LINEST((INDIRECT(DI612):INDIRECT(DJ612)),(INDIRECT(DI613):INDIRECT(DJ613))^{1,2}),1,3)</f>
        <v>130.81081081081081</v>
      </c>
      <c r="CD618" s="137" t="s">
        <v>71</v>
      </c>
      <c r="CG618" s="29"/>
      <c r="CH618" s="160" t="s">
        <v>15</v>
      </c>
      <c r="CI618" s="310">
        <f ca="1">INDEX(LINEST((INDIRECT(DI612):INDIRECT(DJ612)),(INDIRECT(DI613):INDIRECT(DJ613))^{1,2,3}),1)</f>
        <v>-6.9101610781634209E-18</v>
      </c>
      <c r="CJ618" s="312">
        <f ca="1">INDEX(LINEST((INDIRECT(DI612):INDIRECT(DJ612)),(INDIRECT(DI613):INDIRECT(DJ613))^{1,2,3}),1,2)</f>
        <v>3.9317468571955778E-16</v>
      </c>
      <c r="CK618" s="312">
        <f ca="1">INDEX(LINEST((INDIRECT(DI612):INDIRECT(DJ612)),(INDIRECT(DI613):INDIRECT(DJ613))^{1,2,3}),1,3)</f>
        <v>1.8108108108108005</v>
      </c>
      <c r="CL618" s="311">
        <f ca="1">INDEX(LINEST((INDIRECT(DI612):INDIRECT(DJ612)),(INDIRECT(DI613):INDIRECT(DJ613))^{1,2,3}),1,4)</f>
        <v>130.81081081081084</v>
      </c>
      <c r="CM618" s="137" t="s">
        <v>71</v>
      </c>
      <c r="CP618" s="29"/>
      <c r="CQ618" s="160" t="s">
        <v>15</v>
      </c>
      <c r="CR618" s="310">
        <f ca="1">EXP(INDEX(LINEST(LN(INDIRECT(DI612):INDIRECT(DJ612)),(INDIRECT(DI613):INDIRECT(DJ613))),1,2))</f>
        <v>132.4464828938452</v>
      </c>
      <c r="CS618" s="311">
        <f ca="1">INDEX(LINEST(LN(INDIRECT(DI612):INDIRECT(DJ612)),(INDIRECT(DI613):INDIRECT(DJ613))),1)</f>
        <v>1.1403585768033127E-2</v>
      </c>
      <c r="CT618" s="137" t="s">
        <v>71</v>
      </c>
      <c r="CZ618" s="164" t="b">
        <f t="shared" si="324"/>
        <v>1</v>
      </c>
      <c r="DA618" s="165" t="b">
        <f t="shared" si="324"/>
        <v>1</v>
      </c>
      <c r="DB618" s="166" t="b">
        <f t="shared" si="324"/>
        <v>1</v>
      </c>
      <c r="DC618" s="164">
        <f t="shared" si="325"/>
        <v>1</v>
      </c>
      <c r="DD618" s="166">
        <f t="shared" si="326"/>
        <v>132.62162162162161</v>
      </c>
      <c r="DE618" s="164">
        <f t="shared" si="327"/>
        <v>1</v>
      </c>
      <c r="DF618" s="166">
        <f t="shared" si="328"/>
        <v>146.45361119925798</v>
      </c>
      <c r="DG618" s="164">
        <f t="shared" si="329"/>
        <v>1</v>
      </c>
      <c r="DH618" s="166">
        <f t="shared" si="330"/>
        <v>160.28560077689434</v>
      </c>
      <c r="DI618" s="164">
        <f>IFERROR(INDEX(DC$615:DC$663,_xlfn.AGGREGATE(15,6,(ROW(DC$615:DC$663)-ROW(DC$615)+1)/(DC$615:DC$663&lt;&gt;""),ROWS(DI$1:DI4))),"")</f>
        <v>4</v>
      </c>
      <c r="DJ618" s="165">
        <f>IFERROR(INDEX(DD$615:DD$663,_xlfn.AGGREGATE(15,6,(ROW(DD$615:DD$663)-ROW(DD$615)+1)/(DD$615:DD$663&lt;&gt;""),ROWS(DJ$1:DJ4))),"")</f>
        <v>138.05405405405403</v>
      </c>
      <c r="DK618" s="166">
        <f t="shared" si="331"/>
        <v>618</v>
      </c>
      <c r="DL618" s="164">
        <f>IFERROR(INDEX(DE$615:DE$663,_xlfn.AGGREGATE(15,6,(ROW(DE$615:DE$663)-ROW(DE$615)+1)/(DE$615:DE$663&lt;&gt;""),ROWS(DL$1:DL4))),"")</f>
        <v>4</v>
      </c>
      <c r="DM618" s="165">
        <f>IFERROR(INDEX(DF$615:DF$663,_xlfn.AGGREGATE(15,6,(ROW(DF$615:DF$663)-ROW(DF$615)+1)/(DF$615:DF$663&lt;&gt;""),ROWS(DM$1:DM4))),"")</f>
        <v>151.79942456856989</v>
      </c>
      <c r="DN618" s="166">
        <f t="shared" si="332"/>
        <v>618</v>
      </c>
      <c r="DO618" s="164">
        <f>IFERROR(INDEX(DG$615:DG$663,_xlfn.AGGREGATE(15,6,(ROW(DG$615:DG$663)-ROW(DG$615)+1)/(DG$615:DG$663&lt;&gt;""),ROWS(DO$1:DO4))),"")</f>
        <v>4</v>
      </c>
      <c r="DP618" s="165">
        <f>IFERROR(INDEX(DH$615:DH$663,_xlfn.AGGREGATE(15,6,(ROW(DH$615:DH$663)-ROW(DH$615)+1)/(DH$615:DH$663&lt;&gt;""),ROWS(DP$1:DP4))),"")</f>
        <v>165.54479508308575</v>
      </c>
      <c r="DQ618" s="166">
        <f t="shared" si="333"/>
        <v>618</v>
      </c>
      <c r="DV618" s="145">
        <v>2018</v>
      </c>
      <c r="DW618" s="235">
        <f t="shared" ca="1" si="317"/>
        <v>151.82556716194335</v>
      </c>
      <c r="EA618" s="33" t="s">
        <v>85</v>
      </c>
      <c r="EB618" s="33" t="s">
        <v>84</v>
      </c>
      <c r="EC618" s="33" t="s">
        <v>82</v>
      </c>
      <c r="ED618" s="33" t="s">
        <v>83</v>
      </c>
      <c r="EE618" s="33"/>
    </row>
    <row r="619" spans="1:135" ht="13.8" x14ac:dyDescent="0.45">
      <c r="A619" s="303" t="s">
        <v>88</v>
      </c>
      <c r="B619" s="128">
        <v>2016</v>
      </c>
      <c r="C619" s="291">
        <f>'Total MSW Summaries (Archive)'!L7</f>
        <v>162.0259120293029</v>
      </c>
      <c r="D619" s="307">
        <f>'Total MSW Summaries (Archive)'!BH7</f>
        <v>134.43243243243242</v>
      </c>
      <c r="E619" s="308"/>
      <c r="F619" s="309"/>
      <c r="G619" s="307"/>
      <c r="H619" s="308"/>
      <c r="I619" s="309"/>
      <c r="J619" s="307"/>
      <c r="K619" s="308"/>
      <c r="L619" s="309"/>
      <c r="M619" s="308"/>
      <c r="N619" s="29" t="s">
        <v>119</v>
      </c>
      <c r="O619" s="120"/>
      <c r="P619" s="120"/>
      <c r="Q619" s="120"/>
      <c r="R619" s="29">
        <v>2</v>
      </c>
      <c r="S619" s="288">
        <f t="shared" si="318"/>
        <v>134.43243243243242</v>
      </c>
      <c r="T619" s="288">
        <f t="shared" si="319"/>
        <v>162.0259120293029</v>
      </c>
      <c r="U619" s="288">
        <f t="shared" si="320"/>
        <v>13.79673979843524</v>
      </c>
      <c r="V619" s="29"/>
      <c r="W619" s="288">
        <f t="shared" si="321"/>
        <v>134.43243243243245</v>
      </c>
      <c r="X619" s="288">
        <f t="shared" si="322"/>
        <v>148.22917223086768</v>
      </c>
      <c r="Y619" s="288">
        <f t="shared" si="323"/>
        <v>162.0259120293029</v>
      </c>
      <c r="AA619" s="138"/>
      <c r="AB619" s="138"/>
      <c r="AC619" s="138"/>
      <c r="AD619" s="138"/>
      <c r="AE619" s="138"/>
      <c r="AF619" s="138"/>
      <c r="AG619" s="138"/>
      <c r="AH619" s="138"/>
      <c r="AI619" s="138"/>
      <c r="AJ619" s="138"/>
      <c r="AK619" s="138"/>
      <c r="AL619" s="138"/>
      <c r="AM619" s="138"/>
      <c r="AN619" s="138"/>
      <c r="BR619" s="180">
        <v>2014</v>
      </c>
      <c r="BS619" s="22">
        <v>0</v>
      </c>
      <c r="BT619" s="181">
        <f t="shared" ref="BT619:BT665" si="334">IF($BS$615="High",BS619*$BT$616,IF($BS$615="Medium",$BT$617*BS619,IF($BS$615="Low",$BT$618*BS619)))</f>
        <v>0</v>
      </c>
      <c r="BU619" s="182">
        <f t="shared" ref="BU619:BU665" si="335">IF($BS$615="High",$BU$616,IF($BS$615="Medium",$BU$617,IF($BS$615="Low",BU618)))</f>
        <v>145.54830071405007</v>
      </c>
      <c r="BV619" s="242">
        <f t="shared" ref="BV619:BV665" si="336">BT619+BU619</f>
        <v>145.54830071405007</v>
      </c>
      <c r="BY619" s="180">
        <v>2014</v>
      </c>
      <c r="BZ619" s="22">
        <v>0</v>
      </c>
      <c r="CA619" s="181">
        <f t="shared" ref="CA619:CA665" ca="1" si="337">IF($BZ$615="High",BZ619^2*$CA$616,IF($BZ$615="Medium",BZ619^2*$CA$617,IF($BZ$615="Low",BZ619^2*$CA$618)))</f>
        <v>0</v>
      </c>
      <c r="CB619" s="181">
        <f t="shared" ref="CB619:CB665" ca="1" si="338">IF($BZ$615="High",BZ619*$CB$616,IF($BZ$615="Medium",BZ619*$CB$617,IF($BZ$615="Low",BZ619*$CB$618)))</f>
        <v>0</v>
      </c>
      <c r="CC619" s="182">
        <f ca="1">IF($BZ$615="High",$CC$616,IF($BZ$615="Medium",$CC$617,IF($BZ$615="Low",$CC$618)))</f>
        <v>144.49935439522881</v>
      </c>
      <c r="CD619" s="242">
        <f t="shared" ref="CD619:CD665" ca="1" si="339">CA619+CB619+CC619</f>
        <v>144.49935439522881</v>
      </c>
      <c r="CG619" s="180">
        <v>2014</v>
      </c>
      <c r="CH619" s="22">
        <v>0</v>
      </c>
      <c r="CI619" s="181">
        <f t="shared" ref="CI619:CI665" ca="1" si="340">IF($CH$615="High",CH619^3*$CI$616,IF($CH$615="Medium",CH619^3*$CI$617,IF($CH$615="Low",CH619^3*$CI$618)))</f>
        <v>0</v>
      </c>
      <c r="CJ619" s="181">
        <f t="shared" ref="CJ619:CJ665" ca="1" si="341">IF($CH$615="High",CH619^2*$CJ$616,IF($CH$615="Medium",CH619^2*$CJ$617,IF($CH$615="Low",CH619^2*$CJ$618)))</f>
        <v>0</v>
      </c>
      <c r="CK619" s="181">
        <f t="shared" ref="CK619:CK665" ca="1" si="342">IF($CH$615="High",CH619*$CK$616,IF($CH$615="Medium",CH619*$CK$617,IF($CH$615="Low",CH619*$CK$618)))</f>
        <v>0</v>
      </c>
      <c r="CL619" s="182">
        <f t="shared" ref="CL619:CL665" ca="1" si="343">IF($CH$615="High",$CL$616,IF($CH$615="Medium",$CL$617,IF($CH$615="Low",$CL$618)))</f>
        <v>144.5845825674958</v>
      </c>
      <c r="CM619" s="242">
        <f t="shared" ref="CM619:CM665" ca="1" si="344">CI619+CJ619+CK619+CL619</f>
        <v>144.5845825674958</v>
      </c>
      <c r="CP619" s="180">
        <v>2014</v>
      </c>
      <c r="CQ619" s="22">
        <v>0</v>
      </c>
      <c r="CR619" s="181">
        <f t="shared" ref="CR619:CR665" ca="1" si="345">IF($CQ$615="High",$CR$616,IF($CQ$615="Medium",$CR$617,IF($CQ$615="Low",$CR$618)))</f>
        <v>146.79514120938387</v>
      </c>
      <c r="CS619" s="182">
        <f t="shared" ref="CS619:CS665" ca="1" si="346">IF($CQ$615="High",EXP(1)^($CS$616*CQ619),IF($CQ$615="Medium",EXP(1)^($CS$617*CQ619),IF($CQ$615="Low",EXP(1)^($CS$618*CQ619))))</f>
        <v>1</v>
      </c>
      <c r="CT619" s="242">
        <f t="shared" ref="CT619:CT665" ca="1" si="347">(CR619*CS619)</f>
        <v>146.79514120938387</v>
      </c>
      <c r="CZ619" s="164" t="b">
        <f t="shared" si="324"/>
        <v>1</v>
      </c>
      <c r="DA619" s="165" t="b">
        <f t="shared" si="324"/>
        <v>1</v>
      </c>
      <c r="DB619" s="166" t="b">
        <f t="shared" si="324"/>
        <v>1</v>
      </c>
      <c r="DC619" s="164">
        <f t="shared" si="325"/>
        <v>2</v>
      </c>
      <c r="DD619" s="166">
        <f t="shared" si="326"/>
        <v>134.43243243243245</v>
      </c>
      <c r="DE619" s="164">
        <f t="shared" si="327"/>
        <v>2</v>
      </c>
      <c r="DF619" s="166">
        <f t="shared" si="328"/>
        <v>148.22917223086768</v>
      </c>
      <c r="DG619" s="164">
        <f t="shared" si="329"/>
        <v>2</v>
      </c>
      <c r="DH619" s="166">
        <f t="shared" si="330"/>
        <v>162.0259120293029</v>
      </c>
      <c r="DI619" s="164">
        <f>IFERROR(INDEX(DC$615:DC$663,_xlfn.AGGREGATE(15,6,(ROW(DC$615:DC$663)-ROW(DC$615)+1)/(DC$615:DC$663&lt;&gt;""),ROWS(DI$1:DI5))),"")</f>
        <v>5</v>
      </c>
      <c r="DJ619" s="165">
        <f>IFERROR(INDEX(DD$615:DD$663,_xlfn.AGGREGATE(15,6,(ROW(DD$615:DD$663)-ROW(DD$615)+1)/(DD$615:DD$663&lt;&gt;""),ROWS(DJ$1:DJ5))),"")</f>
        <v>139.86486486486484</v>
      </c>
      <c r="DK619" s="166">
        <f t="shared" si="331"/>
        <v>619</v>
      </c>
      <c r="DL619" s="164">
        <f>IFERROR(INDEX(DE$615:DE$663,_xlfn.AGGREGATE(15,6,(ROW(DE$615:DE$663)-ROW(DE$615)+1)/(DE$615:DE$663&lt;&gt;""),ROWS(DL$1:DL5))),"")</f>
        <v>5</v>
      </c>
      <c r="DM619" s="165">
        <f>IFERROR(INDEX(DF$615:DF$663,_xlfn.AGGREGATE(15,6,(ROW(DF$615:DF$663)-ROW(DF$615)+1)/(DF$615:DF$663&lt;&gt;""),ROWS(DM$1:DM5))),"")</f>
        <v>153.59107646909825</v>
      </c>
      <c r="DN619" s="166">
        <f t="shared" si="332"/>
        <v>619</v>
      </c>
      <c r="DO619" s="164">
        <f>IFERROR(INDEX(DG$615:DG$663,_xlfn.AGGREGATE(15,6,(ROW(DG$615:DG$663)-ROW(DG$615)+1)/(DG$615:DG$663&lt;&gt;""),ROWS(DO$1:DO5))),"")</f>
        <v>5</v>
      </c>
      <c r="DP619" s="165">
        <f>IFERROR(INDEX(DH$615:DH$663,_xlfn.AGGREGATE(15,6,(ROW(DH$615:DH$663)-ROW(DH$615)+1)/(DH$615:DH$663&lt;&gt;""),ROWS(DP$1:DP5))),"")</f>
        <v>167.31728807333167</v>
      </c>
      <c r="DQ619" s="166">
        <f t="shared" si="333"/>
        <v>619</v>
      </c>
      <c r="DV619" s="145">
        <v>2019</v>
      </c>
      <c r="DW619" s="235">
        <f t="shared" ca="1" si="317"/>
        <v>153.6152714385255</v>
      </c>
      <c r="DZ619" s="135" t="s">
        <v>92</v>
      </c>
      <c r="EA619" s="33">
        <f ca="1">IF($EA$613="Linear",0,IF($EA$613="2nd Poly",0,IF($EA$613="3rd Poly",CI616,IF($EA$613="Exp",0))))</f>
        <v>-9.4951172311678482E-5</v>
      </c>
      <c r="EB619" s="33">
        <f ca="1">IF($EA$613="Linear",0,IF($EA$613="2nd Poly",CA616,IF($EA$613="3rd Poly",CJ616,IF($EA$613="Exp",0))))</f>
        <v>-7.3621882610990829E-3</v>
      </c>
      <c r="EC619" s="33">
        <f t="shared" ref="EC619:ED621" ca="1" si="348">IF($EA$613="Linear",BT616,IF($EA$613="2nd Poly",CB616,IF($EA$613="3rd Poly",CK616,IF($EA$613="Exp",0))))</f>
        <v>1.840649458214362</v>
      </c>
      <c r="ED619" s="33">
        <f t="shared" ca="1" si="348"/>
        <v>158.35835432418071</v>
      </c>
      <c r="EE619" s="33" t="str">
        <f>IF($EA$613="Linear","High",IF($EA$613="2nd Poly","High",IF($EA$613="3rd Poly","High","N/A")))</f>
        <v>High</v>
      </c>
    </row>
    <row r="620" spans="1:135" ht="13.8" x14ac:dyDescent="0.45">
      <c r="A620" s="262" t="s">
        <v>90</v>
      </c>
      <c r="B620" s="128">
        <v>2017</v>
      </c>
      <c r="C620" s="291">
        <f>'Total MSW Summaries (Archive)'!L8</f>
        <v>163.7795540737639</v>
      </c>
      <c r="D620" s="307">
        <f>'Total MSW Summaries (Archive)'!BH8</f>
        <v>136.24324324324323</v>
      </c>
      <c r="E620" s="169"/>
      <c r="F620" s="170"/>
      <c r="G620" s="168"/>
      <c r="H620" s="169"/>
      <c r="I620" s="170"/>
      <c r="J620" s="168"/>
      <c r="K620" s="169"/>
      <c r="L620" s="170"/>
      <c r="M620" s="169"/>
      <c r="N620" s="29" t="s">
        <v>119</v>
      </c>
      <c r="O620" s="120"/>
      <c r="P620" s="120"/>
      <c r="Q620" s="120"/>
      <c r="R620" s="29">
        <v>3</v>
      </c>
      <c r="S620" s="288">
        <f t="shared" si="318"/>
        <v>136.24324324324323</v>
      </c>
      <c r="T620" s="288">
        <f t="shared" si="319"/>
        <v>163.7795540737639</v>
      </c>
      <c r="U620" s="288">
        <f t="shared" si="320"/>
        <v>13.768155415260338</v>
      </c>
      <c r="V620" s="29"/>
      <c r="W620" s="288">
        <f t="shared" si="321"/>
        <v>136.24324324324323</v>
      </c>
      <c r="X620" s="288">
        <f t="shared" si="322"/>
        <v>150.01139865850357</v>
      </c>
      <c r="Y620" s="288">
        <f t="shared" si="323"/>
        <v>163.7795540737639</v>
      </c>
      <c r="AA620" s="138"/>
      <c r="AB620" s="138"/>
      <c r="AC620" s="138"/>
      <c r="AD620" s="138"/>
      <c r="AE620" s="138"/>
      <c r="AF620" s="138"/>
      <c r="AG620" s="138"/>
      <c r="AH620" s="138"/>
      <c r="AI620" s="138"/>
      <c r="AJ620" s="138"/>
      <c r="AK620" s="138"/>
      <c r="AL620" s="138"/>
      <c r="AM620" s="138"/>
      <c r="AN620" s="138"/>
      <c r="BR620" s="180">
        <v>2015</v>
      </c>
      <c r="BS620" s="22">
        <v>1</v>
      </c>
      <c r="BT620" s="289">
        <f t="shared" si="334"/>
        <v>1.6646468828781049</v>
      </c>
      <c r="BU620" s="290">
        <f t="shared" si="335"/>
        <v>145.54830071405007</v>
      </c>
      <c r="BV620" s="299">
        <f t="shared" si="336"/>
        <v>147.21294759692819</v>
      </c>
      <c r="BY620" s="180">
        <v>2015</v>
      </c>
      <c r="BZ620" s="22">
        <v>1</v>
      </c>
      <c r="CA620" s="289">
        <f t="shared" ca="1" si="337"/>
        <v>-5.9599222660298365E-3</v>
      </c>
      <c r="CB620" s="289">
        <f t="shared" ca="1" si="338"/>
        <v>1.8553643953910597</v>
      </c>
      <c r="CC620" s="290">
        <f t="shared" ref="CC620:CC665" ca="1" si="349">CC619</f>
        <v>144.49935439522881</v>
      </c>
      <c r="CD620" s="299">
        <f t="shared" ca="1" si="339"/>
        <v>146.34875886835383</v>
      </c>
      <c r="CG620" s="180">
        <v>2015</v>
      </c>
      <c r="CH620" s="22">
        <v>1</v>
      </c>
      <c r="CI620" s="289">
        <f t="shared" ca="1" si="340"/>
        <v>-4.7475586155842263E-5</v>
      </c>
      <c r="CJ620" s="289">
        <f t="shared" ca="1" si="341"/>
        <v>-3.681094130549371E-3</v>
      </c>
      <c r="CK620" s="289">
        <f t="shared" ca="1" si="342"/>
        <v>1.8257301345125816</v>
      </c>
      <c r="CL620" s="290">
        <f t="shared" ca="1" si="343"/>
        <v>144.5845825674958</v>
      </c>
      <c r="CM620" s="299">
        <f t="shared" ca="1" si="344"/>
        <v>146.40658413229167</v>
      </c>
      <c r="CP620" s="180">
        <v>2015</v>
      </c>
      <c r="CQ620" s="22">
        <v>1</v>
      </c>
      <c r="CR620" s="289">
        <f t="shared" ca="1" si="345"/>
        <v>146.79514120938387</v>
      </c>
      <c r="CS620" s="290">
        <f t="shared" ca="1" si="346"/>
        <v>1.0097808855117103</v>
      </c>
      <c r="CT620" s="299">
        <f t="shared" ca="1" si="347"/>
        <v>148.23092767922819</v>
      </c>
      <c r="CZ620" s="164" t="b">
        <f t="shared" si="324"/>
        <v>1</v>
      </c>
      <c r="DA620" s="165" t="b">
        <f t="shared" si="324"/>
        <v>1</v>
      </c>
      <c r="DB620" s="166" t="b">
        <f t="shared" si="324"/>
        <v>1</v>
      </c>
      <c r="DC620" s="164">
        <f t="shared" si="325"/>
        <v>3</v>
      </c>
      <c r="DD620" s="166">
        <f t="shared" si="326"/>
        <v>136.24324324324323</v>
      </c>
      <c r="DE620" s="164">
        <f t="shared" si="327"/>
        <v>3</v>
      </c>
      <c r="DF620" s="166">
        <f t="shared" si="328"/>
        <v>150.01139865850357</v>
      </c>
      <c r="DG620" s="164">
        <f t="shared" si="329"/>
        <v>3</v>
      </c>
      <c r="DH620" s="166">
        <f t="shared" si="330"/>
        <v>163.7795540737639</v>
      </c>
      <c r="DI620" s="164">
        <f>IFERROR(INDEX(DC$615:DC$663,_xlfn.AGGREGATE(15,6,(ROW(DC$615:DC$663)-ROW(DC$615)+1)/(DC$615:DC$663&lt;&gt;""),ROWS(DI$1:DI6))),"")</f>
        <v>6</v>
      </c>
      <c r="DJ620" s="165">
        <f>IFERROR(INDEX(DD$615:DD$663,_xlfn.AGGREGATE(15,6,(ROW(DD$615:DD$663)-ROW(DD$615)+1)/(DD$615:DD$663&lt;&gt;""),ROWS(DJ$1:DJ6))),"")</f>
        <v>141.67567567567565</v>
      </c>
      <c r="DK620" s="166">
        <f t="shared" si="331"/>
        <v>620</v>
      </c>
      <c r="DL620" s="164">
        <f>IFERROR(INDEX(DE$615:DE$663,_xlfn.AGGREGATE(15,6,(ROW(DE$615:DE$663)-ROW(DE$615)+1)/(DE$615:DE$663&lt;&gt;""),ROWS(DL$1:DL6))),"")</f>
        <v>6</v>
      </c>
      <c r="DM620" s="165">
        <f>IFERROR(INDEX(DF$615:DF$663,_xlfn.AGGREGATE(15,6,(ROW(DF$615:DF$663)-ROW(DF$615)+1)/(DF$615:DF$663&lt;&gt;""),ROWS(DM$1:DM6))),"")</f>
        <v>155.38450182486173</v>
      </c>
      <c r="DN620" s="166">
        <f t="shared" si="332"/>
        <v>620</v>
      </c>
      <c r="DO620" s="164">
        <f>IFERROR(INDEX(DG$615:DG$663,_xlfn.AGGREGATE(15,6,(ROW(DG$615:DG$663)-ROW(DG$615)+1)/(DG$615:DG$663&lt;&gt;""),ROWS(DO$1:DO6))),"")</f>
        <v>6</v>
      </c>
      <c r="DP620" s="165">
        <f>IFERROR(INDEX(DH$615:DH$663,_xlfn.AGGREGATE(15,6,(ROW(DH$615:DH$663)-ROW(DH$615)+1)/(DH$615:DH$663&lt;&gt;""),ROWS(DP$1:DP6))),"")</f>
        <v>169.09332797404781</v>
      </c>
      <c r="DQ620" s="166">
        <f t="shared" si="333"/>
        <v>620</v>
      </c>
      <c r="DV620" s="145">
        <v>2020</v>
      </c>
      <c r="DW620" s="235">
        <f t="shared" ca="1" si="317"/>
        <v>155.39618925926186</v>
      </c>
      <c r="DZ620" s="135" t="s">
        <v>92</v>
      </c>
      <c r="EA620" s="33">
        <f ca="1">IF($EA$613="Linear",0,IF($EA$613="2nd Poly",0,IF($EA$613="3rd Poly",CI617,IF($EA$613="Exp",0))))</f>
        <v>-4.7475586155842263E-5</v>
      </c>
      <c r="EB620" s="33">
        <f ca="1">IF($EA$613="Linear",0,IF($EA$613="2nd Poly",CA617,IF($EA$613="3rd Poly",CJ617,IF($EA$613="Exp",0))))</f>
        <v>-3.681094130549371E-3</v>
      </c>
      <c r="EC620" s="33">
        <f t="shared" ca="1" si="348"/>
        <v>1.8257301345125816</v>
      </c>
      <c r="ED620" s="33">
        <f t="shared" ca="1" si="348"/>
        <v>144.5845825674958</v>
      </c>
      <c r="EE620" s="33" t="str">
        <f>IF($EA$613="Linear","Medium",IF($EA$613="2nd Poly","Medium",IF($EA$613="3rd Poly","Medium","N/A")))</f>
        <v>Medium</v>
      </c>
    </row>
    <row r="621" spans="1:135" ht="13.8" x14ac:dyDescent="0.45">
      <c r="A621" s="303" t="s">
        <v>80</v>
      </c>
      <c r="B621" s="128">
        <v>2018</v>
      </c>
      <c r="C621" s="291">
        <f>'Total MSW Summaries (Archive)'!L9</f>
        <v>165.54479508308575</v>
      </c>
      <c r="D621" s="307">
        <f>'Total MSW Summaries (Archive)'!BH9</f>
        <v>138.05405405405403</v>
      </c>
      <c r="E621" s="308"/>
      <c r="F621" s="309"/>
      <c r="G621" s="307"/>
      <c r="H621" s="308"/>
      <c r="I621" s="309"/>
      <c r="J621" s="307"/>
      <c r="K621" s="308"/>
      <c r="L621" s="309"/>
      <c r="M621" s="308"/>
      <c r="N621" s="29" t="s">
        <v>119</v>
      </c>
      <c r="O621" s="120"/>
      <c r="P621" s="120"/>
      <c r="Q621" s="120"/>
      <c r="R621" s="29">
        <v>4</v>
      </c>
      <c r="S621" s="288">
        <f t="shared" si="318"/>
        <v>138.05405405405403</v>
      </c>
      <c r="T621" s="288">
        <f t="shared" si="319"/>
        <v>165.54479508308575</v>
      </c>
      <c r="U621" s="288">
        <f t="shared" si="320"/>
        <v>13.745370514515855</v>
      </c>
      <c r="V621" s="20"/>
      <c r="W621" s="288">
        <f t="shared" si="321"/>
        <v>138.05405405405403</v>
      </c>
      <c r="X621" s="288">
        <f t="shared" si="322"/>
        <v>151.79942456856989</v>
      </c>
      <c r="Y621" s="288">
        <f t="shared" si="323"/>
        <v>165.54479508308575</v>
      </c>
      <c r="AA621" s="138"/>
      <c r="AB621" s="138"/>
      <c r="AC621" s="138"/>
      <c r="AD621" s="138"/>
      <c r="AE621" s="138"/>
      <c r="AF621" s="138"/>
      <c r="AG621" s="138"/>
      <c r="AH621" s="138"/>
      <c r="AI621" s="138"/>
      <c r="AJ621" s="138"/>
      <c r="AK621" s="138"/>
      <c r="AL621" s="138"/>
      <c r="AM621" s="138"/>
      <c r="AN621" s="138"/>
      <c r="BR621" s="180">
        <v>2016</v>
      </c>
      <c r="BS621" s="22">
        <v>2</v>
      </c>
      <c r="BT621" s="289">
        <f t="shared" si="334"/>
        <v>3.3292937657562098</v>
      </c>
      <c r="BU621" s="290">
        <f t="shared" si="335"/>
        <v>145.54830071405007</v>
      </c>
      <c r="BV621" s="299">
        <f t="shared" si="336"/>
        <v>148.87759447980628</v>
      </c>
      <c r="BY621" s="180">
        <v>2016</v>
      </c>
      <c r="BZ621" s="22">
        <v>2</v>
      </c>
      <c r="CA621" s="289">
        <f t="shared" ca="1" si="337"/>
        <v>-2.3839689064119346E-2</v>
      </c>
      <c r="CB621" s="289">
        <f t="shared" ca="1" si="338"/>
        <v>3.7107287907821194</v>
      </c>
      <c r="CC621" s="290">
        <f t="shared" ca="1" si="349"/>
        <v>144.49935439522881</v>
      </c>
      <c r="CD621" s="299">
        <f t="shared" ca="1" si="339"/>
        <v>148.18624349694682</v>
      </c>
      <c r="CG621" s="180">
        <v>2016</v>
      </c>
      <c r="CH621" s="22">
        <v>2</v>
      </c>
      <c r="CI621" s="289">
        <f t="shared" ca="1" si="340"/>
        <v>-3.798046892467381E-4</v>
      </c>
      <c r="CJ621" s="289">
        <f t="shared" ca="1" si="341"/>
        <v>-1.4724376522197484E-2</v>
      </c>
      <c r="CK621" s="289">
        <f t="shared" ca="1" si="342"/>
        <v>3.6514602690251632</v>
      </c>
      <c r="CL621" s="290">
        <f t="shared" ca="1" si="343"/>
        <v>144.5845825674958</v>
      </c>
      <c r="CM621" s="299">
        <f t="shared" ca="1" si="344"/>
        <v>148.22093865530951</v>
      </c>
      <c r="CP621" s="180">
        <v>2016</v>
      </c>
      <c r="CQ621" s="22">
        <v>2</v>
      </c>
      <c r="CR621" s="289">
        <f t="shared" ca="1" si="345"/>
        <v>146.79514120938387</v>
      </c>
      <c r="CS621" s="290">
        <f t="shared" ca="1" si="346"/>
        <v>1.0196574367448137</v>
      </c>
      <c r="CT621" s="299">
        <f t="shared" ca="1" si="347"/>
        <v>149.68075741215333</v>
      </c>
      <c r="CZ621" s="164" t="b">
        <f t="shared" si="324"/>
        <v>1</v>
      </c>
      <c r="DA621" s="165" t="b">
        <f t="shared" si="324"/>
        <v>1</v>
      </c>
      <c r="DB621" s="166" t="b">
        <f t="shared" si="324"/>
        <v>1</v>
      </c>
      <c r="DC621" s="164">
        <f t="shared" si="325"/>
        <v>4</v>
      </c>
      <c r="DD621" s="166">
        <f t="shared" si="326"/>
        <v>138.05405405405403</v>
      </c>
      <c r="DE621" s="164">
        <f t="shared" si="327"/>
        <v>4</v>
      </c>
      <c r="DF621" s="166">
        <f t="shared" si="328"/>
        <v>151.79942456856989</v>
      </c>
      <c r="DG621" s="164">
        <f t="shared" si="329"/>
        <v>4</v>
      </c>
      <c r="DH621" s="166">
        <f t="shared" si="330"/>
        <v>165.54479508308575</v>
      </c>
      <c r="DI621" s="164">
        <f>IFERROR(INDEX(DC$615:DC$663,_xlfn.AGGREGATE(15,6,(ROW(DC$615:DC$663)-ROW(DC$615)+1)/(DC$615:DC$663&lt;&gt;""),ROWS(DI$1:DI7))),"")</f>
        <v>7</v>
      </c>
      <c r="DJ621" s="165">
        <f>IFERROR(INDEX(DD$615:DD$663,_xlfn.AGGREGATE(15,6,(ROW(DD$615:DD$663)-ROW(DD$615)+1)/(DD$615:DD$663&lt;&gt;""),ROWS(DJ$1:DJ7))),"")</f>
        <v>143.48648648648646</v>
      </c>
      <c r="DK621" s="166">
        <f t="shared" si="331"/>
        <v>621</v>
      </c>
      <c r="DL621" s="164">
        <f>IFERROR(INDEX(DE$615:DE$663,_xlfn.AGGREGATE(15,6,(ROW(DE$615:DE$663)-ROW(DE$615)+1)/(DE$615:DE$663&lt;&gt;""),ROWS(DL$1:DL7))),"")</f>
        <v>7</v>
      </c>
      <c r="DM621" s="165">
        <f>IFERROR(INDEX(DF$615:DF$663,_xlfn.AGGREGATE(15,6,(ROW(DF$615:DF$663)-ROW(DF$615)+1)/(DF$615:DF$663&lt;&gt;""),ROWS(DM$1:DM7))),"")</f>
        <v>157.17979901989841</v>
      </c>
      <c r="DN621" s="166">
        <f t="shared" si="332"/>
        <v>621</v>
      </c>
      <c r="DO621" s="164">
        <f>IFERROR(INDEX(DG$615:DG$663,_xlfn.AGGREGATE(15,6,(ROW(DG$615:DG$663)-ROW(DG$615)+1)/(DG$615:DG$663&lt;&gt;""),ROWS(DO$1:DO7))),"")</f>
        <v>7</v>
      </c>
      <c r="DP621" s="165">
        <f>IFERROR(INDEX(DH$615:DH$663,_xlfn.AGGREGATE(15,6,(ROW(DH$615:DH$663)-ROW(DH$615)+1)/(DH$615:DH$663&lt;&gt;""),ROWS(DP$1:DP7))),"")</f>
        <v>170.87311155331037</v>
      </c>
      <c r="DQ621" s="166">
        <f t="shared" si="333"/>
        <v>621</v>
      </c>
      <c r="DV621" s="145">
        <v>2021</v>
      </c>
      <c r="DW621" s="235">
        <f t="shared" ca="1" si="317"/>
        <v>157.1680357706355</v>
      </c>
      <c r="DZ621" s="135" t="s">
        <v>92</v>
      </c>
      <c r="EA621" s="33">
        <f ca="1">IF($EA$613="Linear",0,IF($EA$613="2nd Poly",0,IF($EA$613="3rd Poly",CI618,IF($EA$613="Exp",0))))</f>
        <v>-6.9101610781634209E-18</v>
      </c>
      <c r="EB621" s="33">
        <f ca="1">IF($EA$613="Linear",0,IF($EA$613="2nd Poly",CA618,IF($EA$613="3rd Poly",CJ618,IF($EA$613="Exp",0))))</f>
        <v>3.9317468571955778E-16</v>
      </c>
      <c r="EC621" s="33">
        <f t="shared" ca="1" si="348"/>
        <v>1.8108108108108005</v>
      </c>
      <c r="ED621" s="33">
        <f t="shared" ca="1" si="348"/>
        <v>130.81081081081084</v>
      </c>
      <c r="EE621" s="33" t="str">
        <f>IF($EA$613="Linear","Low",IF($EA$613="2nd Poly","Low",IF($EA$613="3rd Poly","Low","N/A")))</f>
        <v>Low</v>
      </c>
    </row>
    <row r="622" spans="1:135" ht="13.8" x14ac:dyDescent="0.45">
      <c r="A622" s="303" t="s">
        <v>88</v>
      </c>
      <c r="B622" s="128">
        <v>2019</v>
      </c>
      <c r="C622" s="291">
        <f>'Total MSW Summaries (Archive)'!L10</f>
        <v>167.31728807333167</v>
      </c>
      <c r="D622" s="307">
        <f>'Total MSW Summaries (Archive)'!BH10</f>
        <v>139.86486486486484</v>
      </c>
      <c r="E622" s="308"/>
      <c r="F622" s="309"/>
      <c r="G622" s="307"/>
      <c r="H622" s="308"/>
      <c r="I622" s="309"/>
      <c r="J622" s="307"/>
      <c r="K622" s="308"/>
      <c r="L622" s="309"/>
      <c r="M622" s="308"/>
      <c r="N622" s="29" t="s">
        <v>119</v>
      </c>
      <c r="O622" s="120"/>
      <c r="P622" s="120"/>
      <c r="Q622" s="120"/>
      <c r="R622" s="29">
        <v>5</v>
      </c>
      <c r="S622" s="288">
        <f t="shared" si="318"/>
        <v>139.86486486486484</v>
      </c>
      <c r="T622" s="288">
        <f t="shared" si="319"/>
        <v>167.31728807333167</v>
      </c>
      <c r="U622" s="288">
        <f t="shared" si="320"/>
        <v>13.726211604233413</v>
      </c>
      <c r="V622" s="20"/>
      <c r="W622" s="288">
        <f t="shared" si="321"/>
        <v>139.86486486486484</v>
      </c>
      <c r="X622" s="288">
        <f t="shared" si="322"/>
        <v>153.59107646909825</v>
      </c>
      <c r="Y622" s="288">
        <f t="shared" si="323"/>
        <v>167.31728807333167</v>
      </c>
      <c r="AA622" s="138"/>
      <c r="AB622" s="138"/>
      <c r="AC622" s="138"/>
      <c r="AD622" s="138"/>
      <c r="AE622" s="138"/>
      <c r="AF622" s="138"/>
      <c r="AG622" s="138"/>
      <c r="AH622" s="138"/>
      <c r="AI622" s="138"/>
      <c r="AJ622" s="138"/>
      <c r="AK622" s="138"/>
      <c r="AL622" s="138"/>
      <c r="AM622" s="138"/>
      <c r="AN622" s="138"/>
      <c r="BR622" s="180">
        <v>2017</v>
      </c>
      <c r="BS622" s="22">
        <v>3</v>
      </c>
      <c r="BT622" s="289">
        <f t="shared" si="334"/>
        <v>4.9939406486343145</v>
      </c>
      <c r="BU622" s="290">
        <f t="shared" si="335"/>
        <v>145.54830071405007</v>
      </c>
      <c r="BV622" s="299">
        <f t="shared" si="336"/>
        <v>150.54224136268439</v>
      </c>
      <c r="BY622" s="180">
        <v>2017</v>
      </c>
      <c r="BZ622" s="22">
        <v>3</v>
      </c>
      <c r="CA622" s="289">
        <f t="shared" ca="1" si="337"/>
        <v>-5.3639300394268528E-2</v>
      </c>
      <c r="CB622" s="289">
        <f t="shared" ca="1" si="338"/>
        <v>5.5660931861731786</v>
      </c>
      <c r="CC622" s="290">
        <f t="shared" ca="1" si="349"/>
        <v>144.49935439522881</v>
      </c>
      <c r="CD622" s="299">
        <f t="shared" ca="1" si="339"/>
        <v>150.01180828100772</v>
      </c>
      <c r="CG622" s="180">
        <v>2017</v>
      </c>
      <c r="CH622" s="22">
        <v>3</v>
      </c>
      <c r="CI622" s="289">
        <f t="shared" ca="1" si="340"/>
        <v>-1.2818408262077411E-3</v>
      </c>
      <c r="CJ622" s="289">
        <f t="shared" ca="1" si="341"/>
        <v>-3.3129847174944341E-2</v>
      </c>
      <c r="CK622" s="289">
        <f t="shared" ca="1" si="342"/>
        <v>5.4771904035377448</v>
      </c>
      <c r="CL622" s="290">
        <f t="shared" ca="1" si="343"/>
        <v>144.5845825674958</v>
      </c>
      <c r="CM622" s="299">
        <f t="shared" ca="1" si="344"/>
        <v>150.02736128303241</v>
      </c>
      <c r="CP622" s="180">
        <v>2017</v>
      </c>
      <c r="CQ622" s="22">
        <v>3</v>
      </c>
      <c r="CR622" s="289">
        <f t="shared" ca="1" si="345"/>
        <v>146.79514120938387</v>
      </c>
      <c r="CS622" s="290">
        <f t="shared" ca="1" si="346"/>
        <v>1.0296305893947788</v>
      </c>
      <c r="CT622" s="299">
        <f t="shared" ca="1" si="347"/>
        <v>151.1447677637077</v>
      </c>
      <c r="CZ622" s="164" t="b">
        <f t="shared" si="324"/>
        <v>1</v>
      </c>
      <c r="DA622" s="165" t="b">
        <f t="shared" si="324"/>
        <v>1</v>
      </c>
      <c r="DB622" s="166" t="b">
        <f t="shared" si="324"/>
        <v>1</v>
      </c>
      <c r="DC622" s="164">
        <f t="shared" si="325"/>
        <v>5</v>
      </c>
      <c r="DD622" s="166">
        <f t="shared" si="326"/>
        <v>139.86486486486484</v>
      </c>
      <c r="DE622" s="164">
        <f t="shared" si="327"/>
        <v>5</v>
      </c>
      <c r="DF622" s="166">
        <f t="shared" si="328"/>
        <v>153.59107646909825</v>
      </c>
      <c r="DG622" s="164">
        <f t="shared" si="329"/>
        <v>5</v>
      </c>
      <c r="DH622" s="166">
        <f t="shared" si="330"/>
        <v>167.31728807333167</v>
      </c>
      <c r="DI622" s="164">
        <f>IFERROR(INDEX(DC$615:DC$663,_xlfn.AGGREGATE(15,6,(ROW(DC$615:DC$663)-ROW(DC$615)+1)/(DC$615:DC$663&lt;&gt;""),ROWS(DI$1:DI8))),"")</f>
        <v>8</v>
      </c>
      <c r="DJ622" s="165">
        <f>IFERROR(INDEX(DD$615:DD$663,_xlfn.AGGREGATE(15,6,(ROW(DD$615:DD$663)-ROW(DD$615)+1)/(DD$615:DD$663&lt;&gt;""),ROWS(DJ$1:DJ8))),"")</f>
        <v>145.29729729729726</v>
      </c>
      <c r="DK622" s="166">
        <f t="shared" si="331"/>
        <v>622</v>
      </c>
      <c r="DL622" s="164">
        <f>IFERROR(INDEX(DE$615:DE$663,_xlfn.AGGREGATE(15,6,(ROW(DE$615:DE$663)-ROW(DE$615)+1)/(DE$615:DE$663&lt;&gt;""),ROWS(DL$1:DL8))),"")</f>
        <v>8</v>
      </c>
      <c r="DM622" s="165">
        <f>IFERROR(INDEX(DF$615:DF$663,_xlfn.AGGREGATE(15,6,(ROW(DF$615:DF$663)-ROW(DF$615)+1)/(DF$615:DF$663&lt;&gt;""),ROWS(DM$1:DM8))),"")</f>
        <v>158.92364156337723</v>
      </c>
      <c r="DN622" s="166">
        <f t="shared" si="332"/>
        <v>622</v>
      </c>
      <c r="DO622" s="164">
        <f>IFERROR(INDEX(DG$615:DG$663,_xlfn.AGGREGATE(15,6,(ROW(DG$615:DG$663)-ROW(DG$615)+1)/(DG$615:DG$663&lt;&gt;""),ROWS(DO$1:DO8))),"")</f>
        <v>8</v>
      </c>
      <c r="DP622" s="165">
        <f>IFERROR(INDEX(DH$615:DH$663,_xlfn.AGGREGATE(15,6,(ROW(DH$615:DH$663)-ROW(DH$615)+1)/(DH$615:DH$663&lt;&gt;""),ROWS(DP$1:DP8))),"")</f>
        <v>172.5499858294572</v>
      </c>
      <c r="DQ622" s="166">
        <f t="shared" si="333"/>
        <v>622</v>
      </c>
      <c r="DV622" s="145">
        <v>2022</v>
      </c>
      <c r="DW622" s="235">
        <f t="shared" ca="1" si="317"/>
        <v>158.9305261191295</v>
      </c>
      <c r="DZ622" s="135"/>
      <c r="EA622" s="33"/>
      <c r="EB622" s="33"/>
      <c r="EC622" s="33"/>
      <c r="ED622" s="33"/>
      <c r="EE622" s="33"/>
    </row>
    <row r="623" spans="1:135" ht="13.8" x14ac:dyDescent="0.45">
      <c r="A623" s="303" t="s">
        <v>90</v>
      </c>
      <c r="B623" s="128">
        <v>2020</v>
      </c>
      <c r="C623" s="291">
        <f>'Total MSW Summaries (Archive)'!L11</f>
        <v>169.09332797404781</v>
      </c>
      <c r="D623" s="307">
        <f>'Total MSW Summaries (Archive)'!BH11</f>
        <v>141.67567567567565</v>
      </c>
      <c r="E623" s="169"/>
      <c r="F623" s="170"/>
      <c r="G623" s="168"/>
      <c r="H623" s="169"/>
      <c r="I623" s="170"/>
      <c r="J623" s="168"/>
      <c r="K623" s="169"/>
      <c r="L623" s="170"/>
      <c r="M623" s="169"/>
      <c r="N623" s="29" t="s">
        <v>119</v>
      </c>
      <c r="O623" s="120"/>
      <c r="P623" s="120"/>
      <c r="Q623" s="120"/>
      <c r="R623" s="29">
        <v>6</v>
      </c>
      <c r="S623" s="313">
        <f t="shared" si="318"/>
        <v>141.67567567567565</v>
      </c>
      <c r="T623" s="313">
        <f t="shared" si="319"/>
        <v>169.09332797404781</v>
      </c>
      <c r="U623" s="313">
        <f t="shared" si="320"/>
        <v>13.708826149186081</v>
      </c>
      <c r="V623" s="20"/>
      <c r="W623" s="288">
        <f t="shared" si="321"/>
        <v>141.67567567567565</v>
      </c>
      <c r="X623" s="288">
        <f t="shared" si="322"/>
        <v>155.38450182486173</v>
      </c>
      <c r="Y623" s="288">
        <f t="shared" si="323"/>
        <v>169.09332797404781</v>
      </c>
      <c r="AA623" s="138"/>
      <c r="AB623" s="138"/>
      <c r="AC623" s="138"/>
      <c r="AD623" s="138"/>
      <c r="AE623" s="138"/>
      <c r="AF623" s="138"/>
      <c r="AG623" s="138"/>
      <c r="AH623" s="138"/>
      <c r="AI623" s="138"/>
      <c r="AJ623" s="138"/>
      <c r="AK623" s="138"/>
      <c r="AL623" s="138"/>
      <c r="AM623" s="138"/>
      <c r="AN623" s="138"/>
      <c r="BR623" s="180">
        <v>2018</v>
      </c>
      <c r="BS623" s="22">
        <v>4</v>
      </c>
      <c r="BT623" s="289">
        <f t="shared" si="334"/>
        <v>6.6585875315124197</v>
      </c>
      <c r="BU623" s="290">
        <f t="shared" si="335"/>
        <v>145.54830071405007</v>
      </c>
      <c r="BV623" s="299">
        <f t="shared" si="336"/>
        <v>152.20688824556248</v>
      </c>
      <c r="BY623" s="180">
        <v>2018</v>
      </c>
      <c r="BZ623" s="22">
        <v>4</v>
      </c>
      <c r="CA623" s="289">
        <f t="shared" ca="1" si="337"/>
        <v>-9.5358756256477384E-2</v>
      </c>
      <c r="CB623" s="289">
        <f t="shared" ca="1" si="338"/>
        <v>7.4214575815642387</v>
      </c>
      <c r="CC623" s="290">
        <f t="shared" ca="1" si="349"/>
        <v>144.49935439522881</v>
      </c>
      <c r="CD623" s="299">
        <f t="shared" ca="1" si="339"/>
        <v>151.82545322053656</v>
      </c>
      <c r="CG623" s="180">
        <v>2018</v>
      </c>
      <c r="CH623" s="22">
        <v>4</v>
      </c>
      <c r="CI623" s="289">
        <f t="shared" ca="1" si="340"/>
        <v>-3.0384375139739048E-3</v>
      </c>
      <c r="CJ623" s="289">
        <f t="shared" ca="1" si="341"/>
        <v>-5.8897506088789936E-2</v>
      </c>
      <c r="CK623" s="289">
        <f t="shared" ca="1" si="342"/>
        <v>7.3029205380503264</v>
      </c>
      <c r="CL623" s="290">
        <f t="shared" ca="1" si="343"/>
        <v>144.5845825674958</v>
      </c>
      <c r="CM623" s="299">
        <f t="shared" ca="1" si="344"/>
        <v>151.82556716194335</v>
      </c>
      <c r="CP623" s="180">
        <v>2018</v>
      </c>
      <c r="CQ623" s="22">
        <v>4</v>
      </c>
      <c r="CR623" s="289">
        <f t="shared" ca="1" si="345"/>
        <v>146.79514120938387</v>
      </c>
      <c r="CS623" s="290">
        <f t="shared" ca="1" si="346"/>
        <v>1.039701288309004</v>
      </c>
      <c r="CT623" s="299">
        <f t="shared" ca="1" si="347"/>
        <v>152.62309743289856</v>
      </c>
      <c r="CZ623" s="164" t="b">
        <f t="shared" si="324"/>
        <v>1</v>
      </c>
      <c r="DA623" s="165" t="b">
        <f t="shared" si="324"/>
        <v>1</v>
      </c>
      <c r="DB623" s="166" t="b">
        <f t="shared" si="324"/>
        <v>1</v>
      </c>
      <c r="DC623" s="164">
        <f t="shared" si="325"/>
        <v>6</v>
      </c>
      <c r="DD623" s="166">
        <f t="shared" si="326"/>
        <v>141.67567567567565</v>
      </c>
      <c r="DE623" s="164">
        <f t="shared" si="327"/>
        <v>6</v>
      </c>
      <c r="DF623" s="166">
        <f t="shared" si="328"/>
        <v>155.38450182486173</v>
      </c>
      <c r="DG623" s="164">
        <f t="shared" si="329"/>
        <v>6</v>
      </c>
      <c r="DH623" s="166">
        <f t="shared" si="330"/>
        <v>169.09332797404781</v>
      </c>
      <c r="DI623" s="164">
        <f>IFERROR(INDEX(DC$615:DC$663,_xlfn.AGGREGATE(15,6,(ROW(DC$615:DC$663)-ROW(DC$615)+1)/(DC$615:DC$663&lt;&gt;""),ROWS(DI$1:DI9))),"")</f>
        <v>9</v>
      </c>
      <c r="DJ623" s="165">
        <f>IFERROR(INDEX(DD$615:DD$663,_xlfn.AGGREGATE(15,6,(ROW(DD$615:DD$663)-ROW(DD$615)+1)/(DD$615:DD$663&lt;&gt;""),ROWS(DJ$1:DJ9))),"")</f>
        <v>147.10810810810807</v>
      </c>
      <c r="DK623" s="166">
        <f t="shared" si="331"/>
        <v>623</v>
      </c>
      <c r="DL623" s="164">
        <f>IFERROR(INDEX(DE$615:DE$663,_xlfn.AGGREGATE(15,6,(ROW(DE$615:DE$663)-ROW(DE$615)+1)/(DE$615:DE$663&lt;&gt;""),ROWS(DL$1:DL9))),"")</f>
        <v>9</v>
      </c>
      <c r="DM623" s="165">
        <f>IFERROR(INDEX(DF$615:DF$663,_xlfn.AGGREGATE(15,6,(ROW(DF$615:DF$663)-ROW(DF$615)+1)/(DF$615:DF$663&lt;&gt;""),ROWS(DM$1:DM9))),"")</f>
        <v>160.66677065422874</v>
      </c>
      <c r="DN623" s="166">
        <f t="shared" si="332"/>
        <v>623</v>
      </c>
      <c r="DO623" s="164">
        <f>IFERROR(INDEX(DG$615:DG$663,_xlfn.AGGREGATE(15,6,(ROW(DG$615:DG$663)-ROW(DG$615)+1)/(DG$615:DG$663&lt;&gt;""),ROWS(DO$1:DO9))),"")</f>
        <v>9</v>
      </c>
      <c r="DP623" s="165">
        <f>IFERROR(INDEX(DH$615:DH$663,_xlfn.AGGREGATE(15,6,(ROW(DH$615:DH$663)-ROW(DH$615)+1)/(DH$615:DH$663&lt;&gt;""),ROWS(DP$1:DP9))),"")</f>
        <v>174.22543320034941</v>
      </c>
      <c r="DQ623" s="166">
        <f t="shared" si="333"/>
        <v>623</v>
      </c>
      <c r="DV623" s="145">
        <v>2023</v>
      </c>
      <c r="DW623" s="235">
        <f t="shared" ca="1" si="317"/>
        <v>160.68337545122694</v>
      </c>
      <c r="DZ623" s="135"/>
      <c r="EA623" s="33" t="s">
        <v>86</v>
      </c>
      <c r="EB623" s="33" t="s">
        <v>87</v>
      </c>
      <c r="EC623" s="33"/>
      <c r="ED623" s="33"/>
      <c r="EE623" s="33"/>
    </row>
    <row r="624" spans="1:135" ht="13.8" x14ac:dyDescent="0.45">
      <c r="A624" s="303" t="s">
        <v>80</v>
      </c>
      <c r="B624" s="128">
        <v>2021</v>
      </c>
      <c r="C624" s="291">
        <f>'Total MSW Summaries (Archive)'!L12</f>
        <v>170.87311155331037</v>
      </c>
      <c r="D624" s="307">
        <f>'Total MSW Summaries (Archive)'!BH12</f>
        <v>143.48648648648646</v>
      </c>
      <c r="E624" s="308"/>
      <c r="F624" s="309"/>
      <c r="G624" s="307"/>
      <c r="H624" s="308"/>
      <c r="I624" s="309"/>
      <c r="J624" s="307"/>
      <c r="K624" s="308"/>
      <c r="L624" s="309"/>
      <c r="M624" s="308"/>
      <c r="N624" s="29" t="s">
        <v>119</v>
      </c>
      <c r="O624" s="120"/>
      <c r="P624" s="120"/>
      <c r="Q624" s="120"/>
      <c r="R624" s="29">
        <v>7</v>
      </c>
      <c r="S624" s="314">
        <f t="shared" si="318"/>
        <v>143.48648648648646</v>
      </c>
      <c r="T624" s="314">
        <f t="shared" si="319"/>
        <v>170.87311155331037</v>
      </c>
      <c r="U624" s="314">
        <f t="shared" si="320"/>
        <v>13.693312533411955</v>
      </c>
      <c r="V624" s="20"/>
      <c r="W624" s="288">
        <f t="shared" si="321"/>
        <v>143.48648648648646</v>
      </c>
      <c r="X624" s="288">
        <f t="shared" si="322"/>
        <v>157.17979901989841</v>
      </c>
      <c r="Y624" s="288">
        <f t="shared" si="323"/>
        <v>170.87311155331037</v>
      </c>
      <c r="AA624" s="138"/>
      <c r="AB624" s="138"/>
      <c r="AC624" s="138"/>
      <c r="AD624" s="138"/>
      <c r="AE624" s="138"/>
      <c r="AF624" s="138"/>
      <c r="AG624" s="138"/>
      <c r="AH624" s="138"/>
      <c r="AI624" s="138"/>
      <c r="AJ624" s="138"/>
      <c r="AK624" s="138"/>
      <c r="AL624" s="138"/>
      <c r="AM624" s="138"/>
      <c r="AN624" s="138"/>
      <c r="BR624" s="180">
        <v>2019</v>
      </c>
      <c r="BS624" s="22">
        <v>5</v>
      </c>
      <c r="BT624" s="289">
        <f t="shared" si="334"/>
        <v>8.3232344143905248</v>
      </c>
      <c r="BU624" s="290">
        <f t="shared" si="335"/>
        <v>145.54830071405007</v>
      </c>
      <c r="BV624" s="315">
        <f t="shared" si="336"/>
        <v>153.8715351284406</v>
      </c>
      <c r="BY624" s="180">
        <v>2019</v>
      </c>
      <c r="BZ624" s="22">
        <v>5</v>
      </c>
      <c r="CA624" s="289">
        <f t="shared" ca="1" si="337"/>
        <v>-0.14899805665074592</v>
      </c>
      <c r="CB624" s="289">
        <f t="shared" ca="1" si="338"/>
        <v>9.2768219769552989</v>
      </c>
      <c r="CC624" s="290">
        <f t="shared" ca="1" si="349"/>
        <v>144.49935439522881</v>
      </c>
      <c r="CD624" s="315">
        <f t="shared" ca="1" si="339"/>
        <v>153.62717831553337</v>
      </c>
      <c r="CG624" s="180">
        <v>2019</v>
      </c>
      <c r="CH624" s="22">
        <v>5</v>
      </c>
      <c r="CI624" s="289">
        <f t="shared" ca="1" si="340"/>
        <v>-5.9344482694802829E-3</v>
      </c>
      <c r="CJ624" s="289">
        <f t="shared" ca="1" si="341"/>
        <v>-9.2027353263734277E-2</v>
      </c>
      <c r="CK624" s="289">
        <f t="shared" ca="1" si="342"/>
        <v>9.1286506725629089</v>
      </c>
      <c r="CL624" s="290">
        <f t="shared" ca="1" si="343"/>
        <v>144.5845825674958</v>
      </c>
      <c r="CM624" s="315">
        <f t="shared" ca="1" si="344"/>
        <v>153.6152714385255</v>
      </c>
      <c r="CP624" s="180">
        <v>2019</v>
      </c>
      <c r="CQ624" s="22">
        <v>5</v>
      </c>
      <c r="CR624" s="289">
        <f t="shared" ca="1" si="345"/>
        <v>146.79514120938387</v>
      </c>
      <c r="CS624" s="290">
        <f t="shared" ca="1" si="346"/>
        <v>1.0498704875763321</v>
      </c>
      <c r="CT624" s="315">
        <f t="shared" ca="1" si="347"/>
        <v>154.11588647533236</v>
      </c>
      <c r="CZ624" s="164" t="b">
        <f t="shared" si="324"/>
        <v>1</v>
      </c>
      <c r="DA624" s="165" t="b">
        <f t="shared" si="324"/>
        <v>1</v>
      </c>
      <c r="DB624" s="166" t="b">
        <f t="shared" si="324"/>
        <v>1</v>
      </c>
      <c r="DC624" s="164">
        <f t="shared" si="325"/>
        <v>7</v>
      </c>
      <c r="DD624" s="166">
        <f t="shared" si="326"/>
        <v>143.48648648648646</v>
      </c>
      <c r="DE624" s="164">
        <f t="shared" si="327"/>
        <v>7</v>
      </c>
      <c r="DF624" s="166">
        <f t="shared" si="328"/>
        <v>157.17979901989841</v>
      </c>
      <c r="DG624" s="164">
        <f t="shared" si="329"/>
        <v>7</v>
      </c>
      <c r="DH624" s="166">
        <f t="shared" si="330"/>
        <v>170.87311155331037</v>
      </c>
      <c r="DI624" s="164">
        <f>IFERROR(INDEX(DC$615:DC$663,_xlfn.AGGREGATE(15,6,(ROW(DC$615:DC$663)-ROW(DC$615)+1)/(DC$615:DC$663&lt;&gt;""),ROWS(DI$1:DI10))),"")</f>
        <v>10</v>
      </c>
      <c r="DJ624" s="165">
        <f>IFERROR(INDEX(DD$615:DD$663,_xlfn.AGGREGATE(15,6,(ROW(DD$615:DD$663)-ROW(DD$615)+1)/(DD$615:DD$663&lt;&gt;""),ROWS(DJ$1:DJ10))),"")</f>
        <v>148.91891891891891</v>
      </c>
      <c r="DK624" s="166">
        <f t="shared" si="331"/>
        <v>624</v>
      </c>
      <c r="DL624" s="164">
        <f>IFERROR(INDEX(DE$615:DE$663,_xlfn.AGGREGATE(15,6,(ROW(DE$615:DE$663)-ROW(DE$615)+1)/(DE$615:DE$663&lt;&gt;""),ROWS(DL$1:DL10))),"")</f>
        <v>10</v>
      </c>
      <c r="DM624" s="165">
        <f>IFERROR(INDEX(DF$615:DF$663,_xlfn.AGGREGATE(15,6,(ROW(DF$615:DF$663)-ROW(DF$615)+1)/(DF$615:DF$663&lt;&gt;""),ROWS(DM$1:DM10))),"")</f>
        <v>162.40659976160708</v>
      </c>
      <c r="DN624" s="166">
        <f t="shared" si="332"/>
        <v>624</v>
      </c>
      <c r="DO624" s="164">
        <f>IFERROR(INDEX(DG$615:DG$663,_xlfn.AGGREGATE(15,6,(ROW(DG$615:DG$663)-ROW(DG$615)+1)/(DG$615:DG$663&lt;&gt;""),ROWS(DO$1:DO10))),"")</f>
        <v>10</v>
      </c>
      <c r="DP624" s="165">
        <f>IFERROR(INDEX(DH$615:DH$663,_xlfn.AGGREGATE(15,6,(ROW(DH$615:DH$663)-ROW(DH$615)+1)/(DH$615:DH$663&lt;&gt;""),ROWS(DP$1:DP10))),"")</f>
        <v>175.89428060429526</v>
      </c>
      <c r="DQ624" s="166">
        <f t="shared" si="333"/>
        <v>624</v>
      </c>
      <c r="DV624" s="145">
        <v>2024</v>
      </c>
      <c r="DW624" s="235">
        <f t="shared" ca="1" si="317"/>
        <v>162.42629891341085</v>
      </c>
      <c r="DZ624" s="135" t="s">
        <v>92</v>
      </c>
      <c r="EA624" s="33">
        <f t="shared" ref="EA624:EB626" si="350">IF($EA$613="Linear",0,IF($EA$613="2nd Poly",0,IF($EA$613="3rd Poly",0,IF($EA$613="Exp",CR616))))</f>
        <v>0</v>
      </c>
      <c r="EB624" s="33">
        <f t="shared" si="350"/>
        <v>0</v>
      </c>
      <c r="EC624" s="33" t="str">
        <f>IF($EA$613="Linear","N/A",IF($EA$613="2nd Poly","N/A",IF($EA$613="3rd Poly","N/A","High")))</f>
        <v>N/A</v>
      </c>
      <c r="ED624" s="33"/>
      <c r="EE624" s="33"/>
    </row>
    <row r="625" spans="1:135" ht="13.8" x14ac:dyDescent="0.45">
      <c r="A625" s="303" t="s">
        <v>88</v>
      </c>
      <c r="B625" s="128">
        <v>2022</v>
      </c>
      <c r="C625" s="291">
        <f>'Total MSW Summaries (Archive)'!L13</f>
        <v>172.5499858294572</v>
      </c>
      <c r="D625" s="307">
        <f>'Total MSW Summaries (Archive)'!BH13</f>
        <v>145.29729729729726</v>
      </c>
      <c r="E625" s="200"/>
      <c r="F625" s="201"/>
      <c r="G625" s="199"/>
      <c r="H625" s="200"/>
      <c r="I625" s="201"/>
      <c r="J625" s="199"/>
      <c r="K625" s="200"/>
      <c r="L625" s="201"/>
      <c r="M625" s="200"/>
      <c r="N625" s="29" t="s">
        <v>119</v>
      </c>
      <c r="O625" s="120"/>
      <c r="P625" s="120"/>
      <c r="Q625" s="120"/>
      <c r="R625" s="29">
        <v>8</v>
      </c>
      <c r="S625" s="202">
        <f t="shared" si="318"/>
        <v>145.29729729729726</v>
      </c>
      <c r="T625" s="202">
        <f t="shared" si="319"/>
        <v>172.5499858294572</v>
      </c>
      <c r="U625" s="202">
        <f t="shared" si="320"/>
        <v>13.626344266079968</v>
      </c>
      <c r="V625" s="20"/>
      <c r="W625" s="288">
        <f t="shared" si="321"/>
        <v>145.29729729729726</v>
      </c>
      <c r="X625" s="288">
        <f t="shared" si="322"/>
        <v>158.92364156337723</v>
      </c>
      <c r="Y625" s="288">
        <f t="shared" si="323"/>
        <v>172.5499858294572</v>
      </c>
      <c r="AA625" s="120"/>
      <c r="AB625" s="120"/>
      <c r="AC625" s="120"/>
      <c r="AD625" s="120"/>
      <c r="AE625" s="120"/>
      <c r="AF625" s="120"/>
      <c r="AG625" s="120"/>
      <c r="AH625" s="120"/>
      <c r="AI625" s="120"/>
      <c r="AJ625" s="120"/>
      <c r="AK625" s="120"/>
      <c r="AL625" s="120"/>
      <c r="AM625" s="120"/>
      <c r="AN625" s="120"/>
      <c r="BR625" s="180">
        <v>2020</v>
      </c>
      <c r="BS625" s="22">
        <v>6</v>
      </c>
      <c r="BT625" s="289">
        <f t="shared" si="334"/>
        <v>9.9878812972686291</v>
      </c>
      <c r="BU625" s="290">
        <f t="shared" si="335"/>
        <v>145.54830071405007</v>
      </c>
      <c r="BV625" s="203">
        <f t="shared" si="336"/>
        <v>155.53618201131872</v>
      </c>
      <c r="BY625" s="180">
        <v>2020</v>
      </c>
      <c r="BZ625" s="22">
        <v>6</v>
      </c>
      <c r="CA625" s="289">
        <f t="shared" ca="1" si="337"/>
        <v>-0.21455720157707411</v>
      </c>
      <c r="CB625" s="289">
        <f t="shared" ca="1" si="338"/>
        <v>11.132186372346357</v>
      </c>
      <c r="CC625" s="290">
        <f t="shared" ca="1" si="349"/>
        <v>144.49935439522881</v>
      </c>
      <c r="CD625" s="203">
        <f t="shared" ca="1" si="339"/>
        <v>155.41698356599809</v>
      </c>
      <c r="CG625" s="180">
        <v>2020</v>
      </c>
      <c r="CH625" s="22">
        <v>6</v>
      </c>
      <c r="CI625" s="289">
        <f t="shared" ca="1" si="340"/>
        <v>-1.0254726609661929E-2</v>
      </c>
      <c r="CJ625" s="289">
        <f t="shared" ca="1" si="341"/>
        <v>-0.13251938869977736</v>
      </c>
      <c r="CK625" s="289">
        <f t="shared" ca="1" si="342"/>
        <v>10.95438080707549</v>
      </c>
      <c r="CL625" s="290">
        <f t="shared" ca="1" si="343"/>
        <v>144.5845825674958</v>
      </c>
      <c r="CM625" s="203">
        <f t="shared" ca="1" si="344"/>
        <v>155.39618925926186</v>
      </c>
      <c r="CP625" s="180">
        <v>2020</v>
      </c>
      <c r="CQ625" s="22">
        <v>6</v>
      </c>
      <c r="CR625" s="289">
        <f t="shared" ca="1" si="345"/>
        <v>146.79514120938387</v>
      </c>
      <c r="CS625" s="290">
        <f t="shared" ca="1" si="346"/>
        <v>1.0601391506174396</v>
      </c>
      <c r="CT625" s="203">
        <f t="shared" ca="1" si="347"/>
        <v>155.62327631648333</v>
      </c>
      <c r="CZ625" s="164" t="b">
        <f t="shared" si="324"/>
        <v>1</v>
      </c>
      <c r="DA625" s="165" t="b">
        <f t="shared" si="324"/>
        <v>1</v>
      </c>
      <c r="DB625" s="166" t="b">
        <f t="shared" si="324"/>
        <v>1</v>
      </c>
      <c r="DC625" s="164">
        <f t="shared" si="325"/>
        <v>8</v>
      </c>
      <c r="DD625" s="166">
        <f t="shared" si="326"/>
        <v>145.29729729729726</v>
      </c>
      <c r="DE625" s="164">
        <f t="shared" si="327"/>
        <v>8</v>
      </c>
      <c r="DF625" s="166">
        <f t="shared" si="328"/>
        <v>158.92364156337723</v>
      </c>
      <c r="DG625" s="164">
        <f t="shared" si="329"/>
        <v>8</v>
      </c>
      <c r="DH625" s="166">
        <f t="shared" si="330"/>
        <v>172.5499858294572</v>
      </c>
      <c r="DI625" s="164">
        <f>IFERROR(INDEX(DC$615:DC$663,_xlfn.AGGREGATE(15,6,(ROW(DC$615:DC$663)-ROW(DC$615)+1)/(DC$615:DC$663&lt;&gt;""),ROWS(DI$1:DI11))),"")</f>
        <v>11</v>
      </c>
      <c r="DJ625" s="165">
        <f>IFERROR(INDEX(DD$615:DD$663,_xlfn.AGGREGATE(15,6,(ROW(DD$615:DD$663)-ROW(DD$615)+1)/(DD$615:DD$663&lt;&gt;""),ROWS(DJ$1:DJ11))),"")</f>
        <v>150.72972972972968</v>
      </c>
      <c r="DK625" s="166">
        <f t="shared" si="331"/>
        <v>625</v>
      </c>
      <c r="DL625" s="164">
        <f>IFERROR(INDEX(DE$615:DE$663,_xlfn.AGGREGATE(15,6,(ROW(DE$615:DE$663)-ROW(DE$615)+1)/(DE$615:DE$663&lt;&gt;""),ROWS(DL$1:DL11))),"")</f>
        <v>11</v>
      </c>
      <c r="DM625" s="165">
        <f>IFERROR(INDEX(DF$615:DF$663,_xlfn.AGGREGATE(15,6,(ROW(DF$615:DF$663)-ROW(DF$615)+1)/(DF$615:DF$663&lt;&gt;""),ROWS(DM$1:DM11))),"")</f>
        <v>164.14099897733792</v>
      </c>
      <c r="DN625" s="166">
        <f t="shared" si="332"/>
        <v>625</v>
      </c>
      <c r="DO625" s="164">
        <f>IFERROR(INDEX(DG$615:DG$663,_xlfn.AGGREGATE(15,6,(ROW(DG$615:DG$663)-ROW(DG$615)+1)/(DG$615:DG$663&lt;&gt;""),ROWS(DO$1:DO11))),"")</f>
        <v>11</v>
      </c>
      <c r="DP625" s="165">
        <f>IFERROR(INDEX(DH$615:DH$663,_xlfn.AGGREGATE(15,6,(ROW(DH$615:DH$663)-ROW(DH$615)+1)/(DH$615:DH$663&lt;&gt;""),ROWS(DP$1:DP11))),"")</f>
        <v>177.55226822494615</v>
      </c>
      <c r="DQ625" s="166">
        <f t="shared" si="333"/>
        <v>625</v>
      </c>
      <c r="DR625" s="65"/>
      <c r="DV625" s="145">
        <v>2025</v>
      </c>
      <c r="DW625" s="235">
        <f t="shared" ca="1" si="317"/>
        <v>164.15901165216431</v>
      </c>
      <c r="DZ625" s="135" t="s">
        <v>92</v>
      </c>
      <c r="EA625" s="33">
        <f t="shared" si="350"/>
        <v>0</v>
      </c>
      <c r="EB625" s="33">
        <f t="shared" si="350"/>
        <v>0</v>
      </c>
      <c r="EC625" s="33" t="str">
        <f>IF($EA$613="Linear","N/A",IF($EA$613="2nd Poly","N/A",IF($EA$613="3rd Poly","N/A","Medium")))</f>
        <v>N/A</v>
      </c>
    </row>
    <row r="626" spans="1:135" ht="13.8" x14ac:dyDescent="0.45">
      <c r="B626" s="128">
        <v>2023</v>
      </c>
      <c r="C626" s="291">
        <f>'Total MSW Summaries (Archive)'!L14</f>
        <v>174.22543320034941</v>
      </c>
      <c r="D626" s="307">
        <f>'Total MSW Summaries (Archive)'!BH14</f>
        <v>147.10810810810807</v>
      </c>
      <c r="E626" s="292"/>
      <c r="F626" s="201"/>
      <c r="G626" s="199"/>
      <c r="H626" s="200"/>
      <c r="I626" s="201"/>
      <c r="J626" s="199"/>
      <c r="K626" s="200"/>
      <c r="L626" s="201"/>
      <c r="M626" s="200"/>
      <c r="N626" s="29" t="s">
        <v>119</v>
      </c>
      <c r="O626" s="120"/>
      <c r="P626" s="120"/>
      <c r="Q626" s="120"/>
      <c r="R626" s="29">
        <v>9</v>
      </c>
      <c r="S626" s="202">
        <f t="shared" si="318"/>
        <v>147.10810810810807</v>
      </c>
      <c r="T626" s="202">
        <f t="shared" si="319"/>
        <v>174.22543320034941</v>
      </c>
      <c r="U626" s="202">
        <f t="shared" si="320"/>
        <v>13.558662546120672</v>
      </c>
      <c r="V626" s="20"/>
      <c r="W626" s="317">
        <f t="shared" si="321"/>
        <v>147.10810810810807</v>
      </c>
      <c r="X626" s="317">
        <f t="shared" si="322"/>
        <v>160.66677065422874</v>
      </c>
      <c r="Y626" s="317">
        <f t="shared" si="323"/>
        <v>174.22543320034941</v>
      </c>
      <c r="AA626" s="120"/>
      <c r="AB626" s="120"/>
      <c r="AC626" s="120"/>
      <c r="AD626" s="120"/>
      <c r="AE626" s="120"/>
      <c r="AF626" s="120"/>
      <c r="AG626" s="120"/>
      <c r="AH626" s="120"/>
      <c r="AI626" s="120"/>
      <c r="AJ626" s="120"/>
      <c r="AK626" s="120"/>
      <c r="AL626" s="120"/>
      <c r="AM626" s="120"/>
      <c r="AN626" s="120"/>
      <c r="BR626" s="180">
        <v>2021</v>
      </c>
      <c r="BS626" s="22">
        <v>7</v>
      </c>
      <c r="BT626" s="318">
        <f t="shared" si="334"/>
        <v>11.652528180146735</v>
      </c>
      <c r="BU626" s="319">
        <f t="shared" si="335"/>
        <v>145.54830071405007</v>
      </c>
      <c r="BV626" s="205">
        <f t="shared" si="336"/>
        <v>157.2008288941968</v>
      </c>
      <c r="BY626" s="180">
        <v>2021</v>
      </c>
      <c r="BZ626" s="22">
        <v>7</v>
      </c>
      <c r="CA626" s="318">
        <f t="shared" ca="1" si="337"/>
        <v>-0.29203619103546197</v>
      </c>
      <c r="CB626" s="318">
        <f t="shared" ca="1" si="338"/>
        <v>12.987550767737417</v>
      </c>
      <c r="CC626" s="319">
        <f t="shared" ca="1" si="349"/>
        <v>144.49935439522881</v>
      </c>
      <c r="CD626" s="205">
        <f t="shared" ca="1" si="339"/>
        <v>157.19486897193076</v>
      </c>
      <c r="CG626" s="180">
        <v>2021</v>
      </c>
      <c r="CH626" s="22">
        <v>7</v>
      </c>
      <c r="CI626" s="318">
        <f t="shared" ca="1" si="340"/>
        <v>-1.6284126051453896E-2</v>
      </c>
      <c r="CJ626" s="318">
        <f t="shared" ca="1" si="341"/>
        <v>-0.18037361239691918</v>
      </c>
      <c r="CK626" s="318">
        <f t="shared" ca="1" si="342"/>
        <v>12.78011094158807</v>
      </c>
      <c r="CL626" s="319">
        <f t="shared" ca="1" si="343"/>
        <v>144.5845825674958</v>
      </c>
      <c r="CM626" s="205">
        <f t="shared" ca="1" si="344"/>
        <v>157.1680357706355</v>
      </c>
      <c r="CP626" s="180">
        <v>2021</v>
      </c>
      <c r="CQ626" s="22">
        <v>7</v>
      </c>
      <c r="CR626" s="318">
        <f t="shared" ca="1" si="345"/>
        <v>146.79514120938387</v>
      </c>
      <c r="CS626" s="319">
        <f t="shared" ca="1" si="346"/>
        <v>1.0705082502761105</v>
      </c>
      <c r="CT626" s="205">
        <f t="shared" ca="1" si="347"/>
        <v>157.1454097650921</v>
      </c>
      <c r="CZ626" s="164" t="b">
        <f t="shared" si="324"/>
        <v>1</v>
      </c>
      <c r="DA626" s="165" t="b">
        <f t="shared" si="324"/>
        <v>1</v>
      </c>
      <c r="DB626" s="166" t="b">
        <f t="shared" si="324"/>
        <v>1</v>
      </c>
      <c r="DC626" s="164">
        <f t="shared" si="325"/>
        <v>9</v>
      </c>
      <c r="DD626" s="166">
        <f t="shared" si="326"/>
        <v>147.10810810810807</v>
      </c>
      <c r="DE626" s="164">
        <f t="shared" si="327"/>
        <v>9</v>
      </c>
      <c r="DF626" s="166">
        <f t="shared" si="328"/>
        <v>160.66677065422874</v>
      </c>
      <c r="DG626" s="164">
        <f t="shared" si="329"/>
        <v>9</v>
      </c>
      <c r="DH626" s="166">
        <f t="shared" si="330"/>
        <v>174.22543320034941</v>
      </c>
      <c r="DI626" s="164">
        <f>IFERROR(INDEX(DC$615:DC$663,_xlfn.AGGREGATE(15,6,(ROW(DC$615:DC$663)-ROW(DC$615)+1)/(DC$615:DC$663&lt;&gt;""),ROWS(DI$1:DI12))),"")</f>
        <v>12</v>
      </c>
      <c r="DJ626" s="165">
        <f>IFERROR(INDEX(DD$615:DD$663,_xlfn.AGGREGATE(15,6,(ROW(DD$615:DD$663)-ROW(DD$615)+1)/(DD$615:DD$663&lt;&gt;""),ROWS(DJ$1:DJ12))),"")</f>
        <v>152.54054054054049</v>
      </c>
      <c r="DK626" s="166">
        <f t="shared" si="331"/>
        <v>626</v>
      </c>
      <c r="DL626" s="164">
        <f>IFERROR(INDEX(DE$615:DE$663,_xlfn.AGGREGATE(15,6,(ROW(DE$615:DE$663)-ROW(DE$615)+1)/(DE$615:DE$663&lt;&gt;""),ROWS(DL$1:DL12))),"")</f>
        <v>12</v>
      </c>
      <c r="DM626" s="165">
        <f>IFERROR(INDEX(DF$615:DF$663,_xlfn.AGGREGATE(15,6,(ROW(DF$615:DF$663)-ROW(DF$615)+1)/(DF$615:DF$663&lt;&gt;""),ROWS(DM$1:DM12))),"")</f>
        <v>165.86911759527814</v>
      </c>
      <c r="DN626" s="166">
        <f t="shared" si="332"/>
        <v>626</v>
      </c>
      <c r="DO626" s="164">
        <f>IFERROR(INDEX(DG$615:DG$663,_xlfn.AGGREGATE(15,6,(ROW(DG$615:DG$663)-ROW(DG$615)+1)/(DG$615:DG$663&lt;&gt;""),ROWS(DO$1:DO12))),"")</f>
        <v>12</v>
      </c>
      <c r="DP626" s="165">
        <f>IFERROR(INDEX(DH$615:DH$663,_xlfn.AGGREGATE(15,6,(ROW(DH$615:DH$663)-ROW(DH$615)+1)/(DH$615:DH$663&lt;&gt;""),ROWS(DP$1:DP12))),"")</f>
        <v>179.19769465001579</v>
      </c>
      <c r="DQ626" s="166">
        <f t="shared" si="333"/>
        <v>626</v>
      </c>
      <c r="DR626" s="65"/>
      <c r="DV626" s="145">
        <v>2026</v>
      </c>
      <c r="DW626" s="235">
        <f t="shared" ca="1" si="317"/>
        <v>165.88122881397038</v>
      </c>
      <c r="DZ626" s="135" t="s">
        <v>92</v>
      </c>
      <c r="EA626" s="33">
        <f t="shared" si="350"/>
        <v>0</v>
      </c>
      <c r="EB626" s="33">
        <f t="shared" si="350"/>
        <v>0</v>
      </c>
      <c r="EC626" s="33" t="str">
        <f>IF($EA$613="Linear","N/A",IF($EA$613="2nd Poly","N/A",IF($EA$613="3rd Poly","N/A","Low")))</f>
        <v>N/A</v>
      </c>
    </row>
    <row r="627" spans="1:135" ht="13.8" x14ac:dyDescent="0.45">
      <c r="B627" s="128">
        <v>2024</v>
      </c>
      <c r="C627" s="291">
        <f>'Total MSW Summaries (Archive)'!L15</f>
        <v>175.89428060429526</v>
      </c>
      <c r="D627" s="307">
        <f>'Total MSW Summaries (Archive)'!BH15</f>
        <v>148.91891891891888</v>
      </c>
      <c r="E627" s="292"/>
      <c r="F627" s="293"/>
      <c r="G627" s="320"/>
      <c r="H627" s="292"/>
      <c r="I627" s="293"/>
      <c r="J627" s="320"/>
      <c r="K627" s="292"/>
      <c r="L627" s="293"/>
      <c r="M627" s="292"/>
      <c r="N627" s="29" t="s">
        <v>119</v>
      </c>
      <c r="O627" s="120"/>
      <c r="P627" s="120"/>
      <c r="Q627" s="120"/>
      <c r="R627" s="29">
        <v>10</v>
      </c>
      <c r="S627" s="317">
        <f t="shared" si="318"/>
        <v>148.91891891891888</v>
      </c>
      <c r="T627" s="317">
        <f t="shared" si="319"/>
        <v>175.89428060429526</v>
      </c>
      <c r="U627" s="317">
        <f t="shared" si="320"/>
        <v>13.487680842688192</v>
      </c>
      <c r="V627" s="20"/>
      <c r="W627" s="317">
        <f t="shared" si="321"/>
        <v>148.91891891891891</v>
      </c>
      <c r="X627" s="317">
        <f t="shared" si="322"/>
        <v>162.40659976160708</v>
      </c>
      <c r="Y627" s="317">
        <f t="shared" si="323"/>
        <v>175.89428060429526</v>
      </c>
      <c r="AA627" s="120"/>
      <c r="AB627" s="120"/>
      <c r="AC627" s="120"/>
      <c r="AD627" s="120"/>
      <c r="AE627" s="120"/>
      <c r="AF627" s="120"/>
      <c r="AG627" s="120"/>
      <c r="AH627" s="120"/>
      <c r="AI627" s="120"/>
      <c r="AJ627" s="120"/>
      <c r="AK627" s="120"/>
      <c r="AL627" s="120"/>
      <c r="AM627" s="120"/>
      <c r="AN627" s="120"/>
      <c r="BR627" s="180">
        <v>2022</v>
      </c>
      <c r="BS627" s="22">
        <v>8</v>
      </c>
      <c r="BT627" s="318">
        <f t="shared" si="334"/>
        <v>13.317175063024839</v>
      </c>
      <c r="BU627" s="319">
        <f t="shared" si="335"/>
        <v>145.54830071405007</v>
      </c>
      <c r="BV627" s="205">
        <f t="shared" si="336"/>
        <v>158.86547577707492</v>
      </c>
      <c r="BY627" s="180">
        <v>2022</v>
      </c>
      <c r="BZ627" s="22">
        <v>8</v>
      </c>
      <c r="CA627" s="318">
        <f t="shared" ca="1" si="337"/>
        <v>-0.38143502502590954</v>
      </c>
      <c r="CB627" s="318">
        <f t="shared" ca="1" si="338"/>
        <v>14.842915163128477</v>
      </c>
      <c r="CC627" s="319">
        <f t="shared" ca="1" si="349"/>
        <v>144.49935439522881</v>
      </c>
      <c r="CD627" s="205">
        <f t="shared" ca="1" si="339"/>
        <v>158.96083453333137</v>
      </c>
      <c r="CG627" s="180">
        <v>2022</v>
      </c>
      <c r="CH627" s="22">
        <v>8</v>
      </c>
      <c r="CI627" s="318">
        <f t="shared" ca="1" si="340"/>
        <v>-2.4307500111791239E-2</v>
      </c>
      <c r="CJ627" s="318">
        <f t="shared" ca="1" si="341"/>
        <v>-0.23559002435515974</v>
      </c>
      <c r="CK627" s="318">
        <f t="shared" ca="1" si="342"/>
        <v>14.605841076100653</v>
      </c>
      <c r="CL627" s="319">
        <f t="shared" ca="1" si="343"/>
        <v>144.5845825674958</v>
      </c>
      <c r="CM627" s="205">
        <f t="shared" ca="1" si="344"/>
        <v>158.9305261191295</v>
      </c>
      <c r="CP627" s="180">
        <v>2022</v>
      </c>
      <c r="CQ627" s="22">
        <v>8</v>
      </c>
      <c r="CR627" s="318">
        <f t="shared" ca="1" si="345"/>
        <v>146.79514120938387</v>
      </c>
      <c r="CS627" s="319">
        <f t="shared" ca="1" si="346"/>
        <v>1.0809787689114025</v>
      </c>
      <c r="CT627" s="205">
        <f t="shared" ca="1" si="347"/>
        <v>158.68243102669527</v>
      </c>
      <c r="CZ627" s="164" t="b">
        <f t="shared" si="324"/>
        <v>1</v>
      </c>
      <c r="DA627" s="165" t="b">
        <f t="shared" si="324"/>
        <v>1</v>
      </c>
      <c r="DB627" s="166" t="b">
        <f t="shared" si="324"/>
        <v>1</v>
      </c>
      <c r="DC627" s="164">
        <f t="shared" si="325"/>
        <v>10</v>
      </c>
      <c r="DD627" s="166">
        <f t="shared" si="326"/>
        <v>148.91891891891891</v>
      </c>
      <c r="DE627" s="164">
        <f t="shared" si="327"/>
        <v>10</v>
      </c>
      <c r="DF627" s="166">
        <f t="shared" si="328"/>
        <v>162.40659976160708</v>
      </c>
      <c r="DG627" s="164">
        <f t="shared" si="329"/>
        <v>10</v>
      </c>
      <c r="DH627" s="166">
        <f t="shared" si="330"/>
        <v>175.89428060429526</v>
      </c>
      <c r="DI627" s="164">
        <f>IFERROR(INDEX(DC$615:DC$663,_xlfn.AGGREGATE(15,6,(ROW(DC$615:DC$663)-ROW(DC$615)+1)/(DC$615:DC$663&lt;&gt;""),ROWS(DI$1:DI13))),"")</f>
        <v>13</v>
      </c>
      <c r="DJ627" s="165">
        <f>IFERROR(INDEX(DD$615:DD$663,_xlfn.AGGREGATE(15,6,(ROW(DD$615:DD$663)-ROW(DD$615)+1)/(DD$615:DD$663&lt;&gt;""),ROWS(DJ$1:DJ13))),"")</f>
        <v>154.3513513513513</v>
      </c>
      <c r="DK627" s="166">
        <f t="shared" si="331"/>
        <v>627</v>
      </c>
      <c r="DL627" s="164">
        <f>IFERROR(INDEX(DE$615:DE$663,_xlfn.AGGREGATE(15,6,(ROW(DE$615:DE$663)-ROW(DE$615)+1)/(DE$615:DE$663&lt;&gt;""),ROWS(DL$1:DL13))),"")</f>
        <v>13</v>
      </c>
      <c r="DM627" s="165">
        <f>IFERROR(INDEX(DF$615:DF$663,_xlfn.AGGREGATE(15,6,(ROW(DF$615:DF$663)-ROW(DF$615)+1)/(DF$615:DF$663&lt;&gt;""),ROWS(DM$1:DM13))),"")</f>
        <v>167.5905641865761</v>
      </c>
      <c r="DN627" s="166">
        <f t="shared" si="332"/>
        <v>627</v>
      </c>
      <c r="DO627" s="164">
        <f>IFERROR(INDEX(DG$615:DG$663,_xlfn.AGGREGATE(15,6,(ROW(DG$615:DG$663)-ROW(DG$615)+1)/(DG$615:DG$663&lt;&gt;""),ROWS(DO$1:DO13))),"")</f>
        <v>13</v>
      </c>
      <c r="DP627" s="165">
        <f>IFERROR(INDEX(DH$615:DH$663,_xlfn.AGGREGATE(15,6,(ROW(DH$615:DH$663)-ROW(DH$615)+1)/(DH$615:DH$663&lt;&gt;""),ROWS(DP$1:DP13))),"")</f>
        <v>180.82977702180091</v>
      </c>
      <c r="DQ627" s="166">
        <f t="shared" si="333"/>
        <v>627</v>
      </c>
      <c r="DR627" s="65"/>
      <c r="DV627" s="145">
        <v>2027</v>
      </c>
      <c r="DW627" s="235">
        <f t="shared" ca="1" si="317"/>
        <v>167.59266554531214</v>
      </c>
    </row>
    <row r="628" spans="1:135" ht="13.8" x14ac:dyDescent="0.45">
      <c r="B628" s="128">
        <v>2025</v>
      </c>
      <c r="C628" s="291">
        <f>'Total MSW Summaries (Archive)'!L16</f>
        <v>177.55226822494618</v>
      </c>
      <c r="D628" s="307">
        <f>'Total MSW Summaries (Archive)'!BH16</f>
        <v>150.72972972972968</v>
      </c>
      <c r="E628" s="292"/>
      <c r="F628" s="293"/>
      <c r="G628" s="320"/>
      <c r="H628" s="292"/>
      <c r="I628" s="293"/>
      <c r="J628" s="320"/>
      <c r="K628" s="292"/>
      <c r="L628" s="293"/>
      <c r="M628" s="292"/>
      <c r="N628" s="29" t="s">
        <v>119</v>
      </c>
      <c r="O628" s="120"/>
      <c r="P628" s="120"/>
      <c r="Q628" s="120"/>
      <c r="R628" s="29">
        <v>11</v>
      </c>
      <c r="S628" s="317">
        <f t="shared" si="318"/>
        <v>150.72972972972968</v>
      </c>
      <c r="T628" s="317">
        <f t="shared" si="319"/>
        <v>177.55226822494618</v>
      </c>
      <c r="U628" s="317">
        <f t="shared" si="320"/>
        <v>13.411269247608244</v>
      </c>
      <c r="W628" s="317">
        <f t="shared" si="321"/>
        <v>150.72972972972968</v>
      </c>
      <c r="X628" s="317">
        <f t="shared" si="322"/>
        <v>164.14099897733792</v>
      </c>
      <c r="Y628" s="317">
        <f t="shared" si="323"/>
        <v>177.55226822494615</v>
      </c>
      <c r="AA628" s="120"/>
      <c r="AB628" s="120"/>
      <c r="AC628" s="120"/>
      <c r="AD628" s="120"/>
      <c r="AE628" s="120"/>
      <c r="AF628" s="120"/>
      <c r="AG628" s="120"/>
      <c r="AH628" s="120"/>
      <c r="AI628" s="120"/>
      <c r="AJ628" s="120"/>
      <c r="AK628" s="120"/>
      <c r="AL628" s="120"/>
      <c r="AM628" s="120"/>
      <c r="AN628" s="120"/>
      <c r="BR628" s="180">
        <v>2023</v>
      </c>
      <c r="BS628" s="22">
        <v>9</v>
      </c>
      <c r="BT628" s="318">
        <f t="shared" si="334"/>
        <v>14.981821945902944</v>
      </c>
      <c r="BU628" s="319">
        <f t="shared" si="335"/>
        <v>145.54830071405007</v>
      </c>
      <c r="BV628" s="205">
        <f t="shared" si="336"/>
        <v>160.53012265995301</v>
      </c>
      <c r="BY628" s="180">
        <v>2023</v>
      </c>
      <c r="BZ628" s="22">
        <v>9</v>
      </c>
      <c r="CA628" s="318">
        <f t="shared" ca="1" si="337"/>
        <v>-0.48275370354841673</v>
      </c>
      <c r="CB628" s="318">
        <f t="shared" ca="1" si="338"/>
        <v>16.698279558519538</v>
      </c>
      <c r="CC628" s="319">
        <f t="shared" ca="1" si="349"/>
        <v>144.49935439522881</v>
      </c>
      <c r="CD628" s="205">
        <f t="shared" ca="1" si="339"/>
        <v>160.71488025019994</v>
      </c>
      <c r="CG628" s="180">
        <v>2023</v>
      </c>
      <c r="CH628" s="22">
        <v>9</v>
      </c>
      <c r="CI628" s="318">
        <f t="shared" ca="1" si="340"/>
        <v>-3.4609702307609007E-2</v>
      </c>
      <c r="CJ628" s="318">
        <f t="shared" ca="1" si="341"/>
        <v>-0.29816862457449905</v>
      </c>
      <c r="CK628" s="318">
        <f t="shared" ca="1" si="342"/>
        <v>16.431571210613235</v>
      </c>
      <c r="CL628" s="319">
        <f t="shared" ca="1" si="343"/>
        <v>144.5845825674958</v>
      </c>
      <c r="CM628" s="205">
        <f t="shared" ca="1" si="344"/>
        <v>160.68337545122694</v>
      </c>
      <c r="CP628" s="180">
        <v>2023</v>
      </c>
      <c r="CQ628" s="22">
        <v>9</v>
      </c>
      <c r="CR628" s="318">
        <f t="shared" ca="1" si="345"/>
        <v>146.79514120938387</v>
      </c>
      <c r="CS628" s="319">
        <f t="shared" ca="1" si="346"/>
        <v>1.0915516984907143</v>
      </c>
      <c r="CT628" s="205">
        <f t="shared" ca="1" si="347"/>
        <v>160.23448571728721</v>
      </c>
      <c r="CZ628" s="164" t="b">
        <f t="shared" si="324"/>
        <v>1</v>
      </c>
      <c r="DA628" s="165" t="b">
        <f t="shared" si="324"/>
        <v>1</v>
      </c>
      <c r="DB628" s="166" t="b">
        <f t="shared" si="324"/>
        <v>1</v>
      </c>
      <c r="DC628" s="164">
        <f t="shared" si="325"/>
        <v>11</v>
      </c>
      <c r="DD628" s="166">
        <f t="shared" si="326"/>
        <v>150.72972972972968</v>
      </c>
      <c r="DE628" s="164">
        <f t="shared" si="327"/>
        <v>11</v>
      </c>
      <c r="DF628" s="166">
        <f t="shared" si="328"/>
        <v>164.14099897733792</v>
      </c>
      <c r="DG628" s="164">
        <f t="shared" si="329"/>
        <v>11</v>
      </c>
      <c r="DH628" s="166">
        <f t="shared" si="330"/>
        <v>177.55226822494615</v>
      </c>
      <c r="DI628" s="164">
        <f>IFERROR(INDEX(DC$615:DC$663,_xlfn.AGGREGATE(15,6,(ROW(DC$615:DC$663)-ROW(DC$615)+1)/(DC$615:DC$663&lt;&gt;""),ROWS(DI$1:DI14))),"")</f>
        <v>14</v>
      </c>
      <c r="DJ628" s="165">
        <f>IFERROR(INDEX(DD$615:DD$663,_xlfn.AGGREGATE(15,6,(ROW(DD$615:DD$663)-ROW(DD$615)+1)/(DD$615:DD$663&lt;&gt;""),ROWS(DJ$1:DJ14))),"")</f>
        <v>156.1621621621621</v>
      </c>
      <c r="DK628" s="166">
        <f t="shared" si="331"/>
        <v>628</v>
      </c>
      <c r="DL628" s="164">
        <f>IFERROR(INDEX(DE$615:DE$663,_xlfn.AGGREGATE(15,6,(ROW(DE$615:DE$663)-ROW(DE$615)+1)/(DE$615:DE$663&lt;&gt;""),ROWS(DL$1:DL14))),"")</f>
        <v>14</v>
      </c>
      <c r="DM628" s="165">
        <f>IFERROR(INDEX(DF$615:DF$663,_xlfn.AGGREGATE(15,6,(ROW(DF$615:DF$663)-ROW(DF$615)+1)/(DF$615:DF$663&lt;&gt;""),ROWS(DM$1:DM14))),"")</f>
        <v>169.30424804119016</v>
      </c>
      <c r="DN628" s="166">
        <f t="shared" si="332"/>
        <v>628</v>
      </c>
      <c r="DO628" s="164">
        <f>IFERROR(INDEX(DG$615:DG$663,_xlfn.AGGREGATE(15,6,(ROW(DG$615:DG$663)-ROW(DG$615)+1)/(DG$615:DG$663&lt;&gt;""),ROWS(DO$1:DO14))),"")</f>
        <v>14</v>
      </c>
      <c r="DP628" s="165">
        <f>IFERROR(INDEX(DH$615:DH$663,_xlfn.AGGREGATE(15,6,(ROW(DH$615:DH$663)-ROW(DH$615)+1)/(DH$615:DH$663&lt;&gt;""),ROWS(DP$1:DP14))),"")</f>
        <v>182.44633392021822</v>
      </c>
      <c r="DQ628" s="166">
        <f t="shared" si="333"/>
        <v>628</v>
      </c>
      <c r="DR628" s="65"/>
      <c r="DV628" s="145">
        <v>2028</v>
      </c>
      <c r="DW628" s="235">
        <f t="shared" ca="1" si="317"/>
        <v>169.29303699267263</v>
      </c>
    </row>
    <row r="629" spans="1:135" ht="13.8" x14ac:dyDescent="0.45">
      <c r="B629" s="128">
        <v>2026</v>
      </c>
      <c r="C629" s="291">
        <f>'Total MSW Summaries (Archive)'!L17</f>
        <v>179.19769465001579</v>
      </c>
      <c r="D629" s="307">
        <f>'Total MSW Summaries (Archive)'!BH17</f>
        <v>152.54054054054049</v>
      </c>
      <c r="E629" s="292"/>
      <c r="F629" s="293"/>
      <c r="G629" s="320"/>
      <c r="H629" s="292"/>
      <c r="I629" s="293"/>
      <c r="J629" s="320"/>
      <c r="K629" s="292"/>
      <c r="L629" s="293"/>
      <c r="M629" s="292"/>
      <c r="N629" s="29" t="s">
        <v>119</v>
      </c>
      <c r="O629" s="120"/>
      <c r="P629" s="120"/>
      <c r="Q629" s="120"/>
      <c r="R629" s="29">
        <v>12</v>
      </c>
      <c r="S629" s="317">
        <f t="shared" si="318"/>
        <v>152.54054054054049</v>
      </c>
      <c r="T629" s="317">
        <f t="shared" si="319"/>
        <v>179.19769465001579</v>
      </c>
      <c r="U629" s="317">
        <f t="shared" si="320"/>
        <v>13.32857705473765</v>
      </c>
      <c r="W629" s="317">
        <f t="shared" si="321"/>
        <v>152.54054054054049</v>
      </c>
      <c r="X629" s="317">
        <f t="shared" si="322"/>
        <v>165.86911759527814</v>
      </c>
      <c r="Y629" s="317">
        <f t="shared" si="323"/>
        <v>179.19769465001579</v>
      </c>
      <c r="AA629" s="120"/>
      <c r="AB629" s="120"/>
      <c r="AC629" s="120"/>
      <c r="AD629" s="120"/>
      <c r="AE629" s="120"/>
      <c r="AF629" s="120"/>
      <c r="AG629" s="120"/>
      <c r="AH629" s="120"/>
      <c r="AI629" s="120"/>
      <c r="AJ629" s="120"/>
      <c r="AK629" s="120"/>
      <c r="AL629" s="120"/>
      <c r="AM629" s="120"/>
      <c r="AN629" s="120"/>
      <c r="BR629" s="180">
        <v>2024</v>
      </c>
      <c r="BS629" s="22">
        <v>10</v>
      </c>
      <c r="BT629" s="318">
        <f t="shared" si="334"/>
        <v>16.64646882878105</v>
      </c>
      <c r="BU629" s="319">
        <f t="shared" si="335"/>
        <v>145.54830071405007</v>
      </c>
      <c r="BV629" s="205">
        <f t="shared" si="336"/>
        <v>162.19476954283112</v>
      </c>
      <c r="BY629" s="180">
        <v>2024</v>
      </c>
      <c r="BZ629" s="22">
        <v>10</v>
      </c>
      <c r="CA629" s="318">
        <f t="shared" ca="1" si="337"/>
        <v>-0.59599222660298368</v>
      </c>
      <c r="CB629" s="318">
        <f t="shared" ca="1" si="338"/>
        <v>18.553643953910598</v>
      </c>
      <c r="CC629" s="319">
        <f t="shared" ca="1" si="349"/>
        <v>144.49935439522881</v>
      </c>
      <c r="CD629" s="205">
        <f t="shared" ca="1" si="339"/>
        <v>162.45700612253643</v>
      </c>
      <c r="CG629" s="180">
        <v>2024</v>
      </c>
      <c r="CH629" s="22">
        <v>10</v>
      </c>
      <c r="CI629" s="318">
        <f t="shared" ca="1" si="340"/>
        <v>-4.7475586155842263E-2</v>
      </c>
      <c r="CJ629" s="318">
        <f t="shared" ca="1" si="341"/>
        <v>-0.36810941305493711</v>
      </c>
      <c r="CK629" s="318">
        <f t="shared" ca="1" si="342"/>
        <v>18.257301345125818</v>
      </c>
      <c r="CL629" s="319">
        <f t="shared" ca="1" si="343"/>
        <v>144.5845825674958</v>
      </c>
      <c r="CM629" s="205">
        <f t="shared" ca="1" si="344"/>
        <v>162.42629891341085</v>
      </c>
      <c r="CP629" s="180">
        <v>2024</v>
      </c>
      <c r="CQ629" s="22">
        <v>10</v>
      </c>
      <c r="CR629" s="318">
        <f t="shared" ca="1" si="345"/>
        <v>146.79514120938387</v>
      </c>
      <c r="CS629" s="319">
        <f t="shared" ca="1" si="346"/>
        <v>1.102228040683765</v>
      </c>
      <c r="CT629" s="205">
        <f t="shared" ca="1" si="347"/>
        <v>161.8017208771158</v>
      </c>
      <c r="CZ629" s="164" t="b">
        <f t="shared" si="324"/>
        <v>1</v>
      </c>
      <c r="DA629" s="165" t="b">
        <f t="shared" si="324"/>
        <v>1</v>
      </c>
      <c r="DB629" s="166" t="b">
        <f t="shared" si="324"/>
        <v>1</v>
      </c>
      <c r="DC629" s="164">
        <f t="shared" si="325"/>
        <v>12</v>
      </c>
      <c r="DD629" s="166">
        <f t="shared" si="326"/>
        <v>152.54054054054049</v>
      </c>
      <c r="DE629" s="164">
        <f t="shared" si="327"/>
        <v>12</v>
      </c>
      <c r="DF629" s="166">
        <f t="shared" si="328"/>
        <v>165.86911759527814</v>
      </c>
      <c r="DG629" s="164">
        <f t="shared" si="329"/>
        <v>12</v>
      </c>
      <c r="DH629" s="166">
        <f t="shared" si="330"/>
        <v>179.19769465001579</v>
      </c>
      <c r="DI629" s="164">
        <f>IFERROR(INDEX(DC$615:DC$663,_xlfn.AGGREGATE(15,6,(ROW(DC$615:DC$663)-ROW(DC$615)+1)/(DC$615:DC$663&lt;&gt;""),ROWS(DI$1:DI15))),"")</f>
        <v>15</v>
      </c>
      <c r="DJ629" s="165">
        <f>IFERROR(INDEX(DD$615:DD$663,_xlfn.AGGREGATE(15,6,(ROW(DD$615:DD$663)-ROW(DD$615)+1)/(DD$615:DD$663&lt;&gt;""),ROWS(DJ$1:DJ15))),"")</f>
        <v>157.97297297297291</v>
      </c>
      <c r="DK629" s="166">
        <f t="shared" si="331"/>
        <v>629</v>
      </c>
      <c r="DL629" s="164">
        <f>IFERROR(INDEX(DE$615:DE$663,_xlfn.AGGREGATE(15,6,(ROW(DE$615:DE$663)-ROW(DE$615)+1)/(DE$615:DE$663&lt;&gt;""),ROWS(DL$1:DL15))),"")</f>
        <v>15</v>
      </c>
      <c r="DM629" s="165">
        <f>IFERROR(INDEX(DF$615:DF$663,_xlfn.AGGREGATE(15,6,(ROW(DF$615:DF$663)-ROW(DF$615)+1)/(DF$615:DF$663&lt;&gt;""),ROWS(DM$1:DM15))),"")</f>
        <v>171.00910751804165</v>
      </c>
      <c r="DN629" s="166">
        <f t="shared" si="332"/>
        <v>629</v>
      </c>
      <c r="DO629" s="164">
        <f>IFERROR(INDEX(DG$615:DG$663,_xlfn.AGGREGATE(15,6,(ROW(DG$615:DG$663)-ROW(DG$615)+1)/(DG$615:DG$663&lt;&gt;""),ROWS(DO$1:DO15))),"")</f>
        <v>15</v>
      </c>
      <c r="DP629" s="165">
        <f>IFERROR(INDEX(DH$615:DH$663,_xlfn.AGGREGATE(15,6,(ROW(DH$615:DH$663)-ROW(DH$615)+1)/(DH$615:DH$663&lt;&gt;""),ROWS(DP$1:DP15))),"")</f>
        <v>184.04524206311038</v>
      </c>
      <c r="DQ629" s="166">
        <f t="shared" si="333"/>
        <v>629</v>
      </c>
      <c r="DR629" s="65"/>
      <c r="DV629" s="145">
        <v>2029</v>
      </c>
      <c r="DW629" s="235">
        <f t="shared" ca="1" si="317"/>
        <v>170.98205830253494</v>
      </c>
      <c r="EA629" s="55"/>
      <c r="EB629" s="55"/>
      <c r="EC629" s="55"/>
      <c r="ED629" s="55"/>
      <c r="EE629" s="55"/>
    </row>
    <row r="630" spans="1:135" ht="13.8" x14ac:dyDescent="0.45">
      <c r="B630" s="128">
        <v>2027</v>
      </c>
      <c r="C630" s="291">
        <f>'Total MSW Summaries (Archive)'!L18</f>
        <v>180.82977702180088</v>
      </c>
      <c r="D630" s="307">
        <f>'Total MSW Summaries (Archive)'!BH18</f>
        <v>154.3513513513513</v>
      </c>
      <c r="E630" s="292"/>
      <c r="F630" s="293"/>
      <c r="G630" s="320"/>
      <c r="H630" s="292"/>
      <c r="I630" s="293"/>
      <c r="J630" s="320"/>
      <c r="K630" s="292"/>
      <c r="L630" s="293"/>
      <c r="M630" s="292"/>
      <c r="N630" s="29" t="s">
        <v>119</v>
      </c>
      <c r="O630" s="120"/>
      <c r="P630" s="120"/>
      <c r="Q630" s="120"/>
      <c r="R630" s="29">
        <v>13</v>
      </c>
      <c r="S630" s="317">
        <f t="shared" si="318"/>
        <v>154.3513513513513</v>
      </c>
      <c r="T630" s="317">
        <f t="shared" si="319"/>
        <v>180.82977702180088</v>
      </c>
      <c r="U630" s="317">
        <f t="shared" si="320"/>
        <v>13.239212835224791</v>
      </c>
      <c r="W630" s="317">
        <f t="shared" si="321"/>
        <v>154.3513513513513</v>
      </c>
      <c r="X630" s="317">
        <f t="shared" si="322"/>
        <v>167.5905641865761</v>
      </c>
      <c r="Y630" s="317">
        <f t="shared" si="323"/>
        <v>180.82977702180091</v>
      </c>
      <c r="AA630" s="89"/>
      <c r="AB630" s="89"/>
      <c r="AC630" s="89"/>
      <c r="AD630" s="89"/>
      <c r="AE630" s="89"/>
      <c r="AF630" s="89"/>
      <c r="AG630" s="89"/>
      <c r="AH630" s="89"/>
      <c r="AI630" s="89"/>
      <c r="AJ630" s="89"/>
      <c r="AK630" s="89"/>
      <c r="AL630" s="89"/>
      <c r="AM630" s="89"/>
      <c r="AN630" s="89"/>
      <c r="BR630" s="180">
        <v>2025</v>
      </c>
      <c r="BS630" s="22">
        <v>11</v>
      </c>
      <c r="BT630" s="318">
        <f t="shared" si="334"/>
        <v>18.311115711659156</v>
      </c>
      <c r="BU630" s="319">
        <f t="shared" si="335"/>
        <v>145.54830071405007</v>
      </c>
      <c r="BV630" s="205">
        <f t="shared" si="336"/>
        <v>163.85941642570924</v>
      </c>
      <c r="BY630" s="180">
        <v>2025</v>
      </c>
      <c r="BZ630" s="22">
        <v>11</v>
      </c>
      <c r="CA630" s="318">
        <f t="shared" ca="1" si="337"/>
        <v>-0.72115059418961025</v>
      </c>
      <c r="CB630" s="318">
        <f t="shared" ca="1" si="338"/>
        <v>20.409008349301658</v>
      </c>
      <c r="CC630" s="319">
        <f t="shared" ca="1" si="349"/>
        <v>144.49935439522881</v>
      </c>
      <c r="CD630" s="205">
        <f t="shared" ca="1" si="339"/>
        <v>164.18721215034086</v>
      </c>
      <c r="CG630" s="180">
        <v>2025</v>
      </c>
      <c r="CH630" s="22">
        <v>11</v>
      </c>
      <c r="CI630" s="318">
        <f t="shared" ca="1" si="340"/>
        <v>-6.3190005173426059E-2</v>
      </c>
      <c r="CJ630" s="318">
        <f t="shared" ca="1" si="341"/>
        <v>-0.44541238979647391</v>
      </c>
      <c r="CK630" s="318">
        <f t="shared" ca="1" si="342"/>
        <v>20.083031479638397</v>
      </c>
      <c r="CL630" s="319">
        <f t="shared" ca="1" si="343"/>
        <v>144.5845825674958</v>
      </c>
      <c r="CM630" s="205">
        <f t="shared" ca="1" si="344"/>
        <v>164.15901165216431</v>
      </c>
      <c r="CP630" s="180">
        <v>2025</v>
      </c>
      <c r="CQ630" s="22">
        <v>11</v>
      </c>
      <c r="CR630" s="318">
        <f t="shared" ca="1" si="345"/>
        <v>146.79514120938387</v>
      </c>
      <c r="CS630" s="319">
        <f t="shared" ca="1" si="346"/>
        <v>1.1130088069574897</v>
      </c>
      <c r="CT630" s="205">
        <f t="shared" ca="1" si="347"/>
        <v>163.38428498461258</v>
      </c>
      <c r="CZ630" s="164" t="b">
        <f t="shared" si="324"/>
        <v>1</v>
      </c>
      <c r="DA630" s="165" t="b">
        <f t="shared" si="324"/>
        <v>1</v>
      </c>
      <c r="DB630" s="166" t="b">
        <f t="shared" si="324"/>
        <v>1</v>
      </c>
      <c r="DC630" s="164">
        <f t="shared" si="325"/>
        <v>13</v>
      </c>
      <c r="DD630" s="166">
        <f t="shared" si="326"/>
        <v>154.3513513513513</v>
      </c>
      <c r="DE630" s="164">
        <f t="shared" si="327"/>
        <v>13</v>
      </c>
      <c r="DF630" s="166">
        <f t="shared" si="328"/>
        <v>167.5905641865761</v>
      </c>
      <c r="DG630" s="164">
        <f t="shared" si="329"/>
        <v>13</v>
      </c>
      <c r="DH630" s="166">
        <f t="shared" si="330"/>
        <v>180.82977702180091</v>
      </c>
      <c r="DI630" s="164">
        <f>IFERROR(INDEX(DC$615:DC$663,_xlfn.AGGREGATE(15,6,(ROW(DC$615:DC$663)-ROW(DC$615)+1)/(DC$615:DC$663&lt;&gt;""),ROWS(DI$1:DI16))),"")</f>
        <v>16</v>
      </c>
      <c r="DJ630" s="165">
        <f>IFERROR(INDEX(DD$615:DD$663,_xlfn.AGGREGATE(15,6,(ROW(DD$615:DD$663)-ROW(DD$615)+1)/(DD$615:DD$663&lt;&gt;""),ROWS(DJ$1:DJ16))),"")</f>
        <v>159.78378378378372</v>
      </c>
      <c r="DK630" s="166">
        <f t="shared" si="331"/>
        <v>630</v>
      </c>
      <c r="DL630" s="164">
        <f>IFERROR(INDEX(DE$615:DE$663,_xlfn.AGGREGATE(15,6,(ROW(DE$615:DE$663)-ROW(DE$615)+1)/(DE$615:DE$663&lt;&gt;""),ROWS(DL$1:DL16))),"")</f>
        <v>16</v>
      </c>
      <c r="DM630" s="165">
        <f>IFERROR(INDEX(DF$615:DF$663,_xlfn.AGGREGATE(15,6,(ROW(DF$615:DF$663)-ROW(DF$615)+1)/(DF$615:DF$663&lt;&gt;""),ROWS(DM$1:DM16))),"")</f>
        <v>172.70436522675467</v>
      </c>
      <c r="DN630" s="166">
        <f t="shared" si="332"/>
        <v>630</v>
      </c>
      <c r="DO630" s="164">
        <f>IFERROR(INDEX(DG$615:DG$663,_xlfn.AGGREGATE(15,6,(ROW(DG$615:DG$663)-ROW(DG$615)+1)/(DG$615:DG$663&lt;&gt;""),ROWS(DO$1:DO16))),"")</f>
        <v>16</v>
      </c>
      <c r="DP630" s="165">
        <f>IFERROR(INDEX(DH$615:DH$663,_xlfn.AGGREGATE(15,6,(ROW(DH$615:DH$663)-ROW(DH$615)+1)/(DH$615:DH$663&lt;&gt;""),ROWS(DP$1:DP16))),"")</f>
        <v>185.62494666972563</v>
      </c>
      <c r="DQ630" s="166">
        <f t="shared" si="333"/>
        <v>630</v>
      </c>
      <c r="DR630" s="65"/>
      <c r="DV630" s="145">
        <v>2030</v>
      </c>
      <c r="DW630" s="235">
        <f t="shared" ca="1" si="317"/>
        <v>172.65944462138214</v>
      </c>
    </row>
    <row r="631" spans="1:135" ht="13.8" x14ac:dyDescent="0.45">
      <c r="A631" s="321" t="str">
        <f>$A$62</f>
        <v>Base Cases</v>
      </c>
      <c r="B631" s="128">
        <v>2028</v>
      </c>
      <c r="C631" s="291">
        <f>'Total MSW Summaries (Archive)'!L19</f>
        <v>182.44633392021822</v>
      </c>
      <c r="D631" s="307">
        <f>'Total MSW Summaries (Archive)'!BH19</f>
        <v>156.1621621621621</v>
      </c>
      <c r="E631" s="292"/>
      <c r="F631" s="293"/>
      <c r="G631" s="320"/>
      <c r="H631" s="292"/>
      <c r="I631" s="293"/>
      <c r="J631" s="320"/>
      <c r="K631" s="292"/>
      <c r="L631" s="293"/>
      <c r="M631" s="292"/>
      <c r="N631" s="29" t="s">
        <v>119</v>
      </c>
      <c r="O631" s="120"/>
      <c r="P631" s="120"/>
      <c r="Q631" s="120"/>
      <c r="R631" s="29">
        <v>14</v>
      </c>
      <c r="S631" s="317">
        <f t="shared" si="318"/>
        <v>156.1621621621621</v>
      </c>
      <c r="T631" s="317">
        <f t="shared" si="319"/>
        <v>182.44633392021822</v>
      </c>
      <c r="U631" s="317">
        <f t="shared" si="320"/>
        <v>13.142085879028059</v>
      </c>
      <c r="W631" s="317">
        <f t="shared" si="321"/>
        <v>156.1621621621621</v>
      </c>
      <c r="X631" s="317">
        <f t="shared" si="322"/>
        <v>169.30424804119016</v>
      </c>
      <c r="Y631" s="317">
        <f t="shared" si="323"/>
        <v>182.44633392021822</v>
      </c>
      <c r="AA631" s="114"/>
      <c r="AB631" s="114"/>
      <c r="AC631" s="114"/>
      <c r="AD631" s="114"/>
      <c r="AE631" s="114"/>
      <c r="AF631" s="114"/>
      <c r="AG631" s="114"/>
      <c r="AH631" s="114"/>
      <c r="AI631" s="114"/>
      <c r="AJ631" s="114"/>
      <c r="AK631" s="114"/>
      <c r="AL631" s="114"/>
      <c r="AM631" s="114"/>
      <c r="AN631" s="114"/>
      <c r="BR631" s="180">
        <v>2026</v>
      </c>
      <c r="BS631" s="22">
        <v>12</v>
      </c>
      <c r="BT631" s="318">
        <f t="shared" si="334"/>
        <v>19.975762594537258</v>
      </c>
      <c r="BU631" s="319">
        <f t="shared" si="335"/>
        <v>145.54830071405007</v>
      </c>
      <c r="BV631" s="205">
        <f t="shared" si="336"/>
        <v>165.52406330858733</v>
      </c>
      <c r="BY631" s="180">
        <v>2026</v>
      </c>
      <c r="BZ631" s="22">
        <v>12</v>
      </c>
      <c r="CA631" s="318">
        <f t="shared" ca="1" si="337"/>
        <v>-0.85822880630829645</v>
      </c>
      <c r="CB631" s="318">
        <f t="shared" ca="1" si="338"/>
        <v>22.264372744692714</v>
      </c>
      <c r="CC631" s="319">
        <f t="shared" ca="1" si="349"/>
        <v>144.49935439522881</v>
      </c>
      <c r="CD631" s="205">
        <f t="shared" ca="1" si="339"/>
        <v>165.90549833361322</v>
      </c>
      <c r="CG631" s="180">
        <v>2026</v>
      </c>
      <c r="CH631" s="22">
        <v>12</v>
      </c>
      <c r="CI631" s="318">
        <f t="shared" ca="1" si="340"/>
        <v>-8.2037812877295432E-2</v>
      </c>
      <c r="CJ631" s="318">
        <f t="shared" ca="1" si="341"/>
        <v>-0.53007755479910945</v>
      </c>
      <c r="CK631" s="318">
        <f t="shared" ca="1" si="342"/>
        <v>21.908761614150979</v>
      </c>
      <c r="CL631" s="319">
        <f t="shared" ca="1" si="343"/>
        <v>144.5845825674958</v>
      </c>
      <c r="CM631" s="205">
        <f t="shared" ca="1" si="344"/>
        <v>165.88122881397038</v>
      </c>
      <c r="CP631" s="180">
        <v>2026</v>
      </c>
      <c r="CQ631" s="22">
        <v>12</v>
      </c>
      <c r="CR631" s="318">
        <f t="shared" ca="1" si="345"/>
        <v>146.79514120938387</v>
      </c>
      <c r="CS631" s="319">
        <f t="shared" ca="1" si="346"/>
        <v>1.1238950186718661</v>
      </c>
      <c r="CT631" s="205">
        <f t="shared" ca="1" si="347"/>
        <v>164.98232797045972</v>
      </c>
      <c r="CZ631" s="164" t="b">
        <f t="shared" si="324"/>
        <v>1</v>
      </c>
      <c r="DA631" s="165" t="b">
        <f t="shared" si="324"/>
        <v>1</v>
      </c>
      <c r="DB631" s="166" t="b">
        <f t="shared" si="324"/>
        <v>1</v>
      </c>
      <c r="DC631" s="164">
        <f t="shared" si="325"/>
        <v>14</v>
      </c>
      <c r="DD631" s="166">
        <f t="shared" si="326"/>
        <v>156.1621621621621</v>
      </c>
      <c r="DE631" s="164">
        <f t="shared" si="327"/>
        <v>14</v>
      </c>
      <c r="DF631" s="166">
        <f t="shared" si="328"/>
        <v>169.30424804119016</v>
      </c>
      <c r="DG631" s="164">
        <f t="shared" si="329"/>
        <v>14</v>
      </c>
      <c r="DH631" s="166">
        <f t="shared" si="330"/>
        <v>182.44633392021822</v>
      </c>
      <c r="DI631" s="164">
        <f>IFERROR(INDEX(DC$615:DC$663,_xlfn.AGGREGATE(15,6,(ROW(DC$615:DC$663)-ROW(DC$615)+1)/(DC$615:DC$663&lt;&gt;""),ROWS(DI$1:DI17))),"")</f>
        <v>17</v>
      </c>
      <c r="DJ631" s="165">
        <f>IFERROR(INDEX(DD$615:DD$663,_xlfn.AGGREGATE(15,6,(ROW(DD$615:DD$663)-ROW(DD$615)+1)/(DD$615:DD$663&lt;&gt;""),ROWS(DJ$1:DJ17))),"")</f>
        <v>161.59459459459453</v>
      </c>
      <c r="DK631" s="166">
        <f t="shared" si="331"/>
        <v>631</v>
      </c>
      <c r="DL631" s="164">
        <f>IFERROR(INDEX(DE$615:DE$663,_xlfn.AGGREGATE(15,6,(ROW(DE$615:DE$663)-ROW(DE$615)+1)/(DE$615:DE$663&lt;&gt;""),ROWS(DL$1:DL17))),"")</f>
        <v>17</v>
      </c>
      <c r="DM631" s="165">
        <f>IFERROR(INDEX(DF$615:DF$663,_xlfn.AGGREGATE(15,6,(ROW(DF$615:DF$663)-ROW(DF$615)+1)/(DF$615:DF$663&lt;&gt;""),ROWS(DM$1:DM17))),"")</f>
        <v>174.38936155748718</v>
      </c>
      <c r="DN631" s="166">
        <f t="shared" si="332"/>
        <v>631</v>
      </c>
      <c r="DO631" s="164">
        <f>IFERROR(INDEX(DG$615:DG$663,_xlfn.AGGREGATE(15,6,(ROW(DG$615:DG$663)-ROW(DG$615)+1)/(DG$615:DG$663&lt;&gt;""),ROWS(DO$1:DO17))),"")</f>
        <v>17</v>
      </c>
      <c r="DP631" s="165">
        <f>IFERROR(INDEX(DH$615:DH$663,_xlfn.AGGREGATE(15,6,(ROW(DH$615:DH$663)-ROW(DH$615)+1)/(DH$615:DH$663&lt;&gt;""),ROWS(DP$1:DP17))),"")</f>
        <v>187.18412852037983</v>
      </c>
      <c r="DQ631" s="166">
        <f t="shared" si="333"/>
        <v>631</v>
      </c>
      <c r="DR631" s="65"/>
      <c r="DV631" s="145">
        <v>2031</v>
      </c>
      <c r="DW631" s="235">
        <f t="shared" ca="1" si="317"/>
        <v>174.32491109569727</v>
      </c>
    </row>
    <row r="632" spans="1:135" ht="13.8" x14ac:dyDescent="0.45">
      <c r="A632" s="322" t="str">
        <f>$A$63</f>
        <v>Conservative Cases</v>
      </c>
      <c r="B632" s="128">
        <v>2029</v>
      </c>
      <c r="C632" s="291">
        <f>'Total MSW Summaries (Archive)'!L20</f>
        <v>184.04524206311038</v>
      </c>
      <c r="D632" s="307">
        <f>'Total MSW Summaries (Archive)'!BH20</f>
        <v>157.97297297297291</v>
      </c>
      <c r="E632" s="292"/>
      <c r="F632" s="293"/>
      <c r="G632" s="320"/>
      <c r="H632" s="292"/>
      <c r="I632" s="293"/>
      <c r="J632" s="320"/>
      <c r="K632" s="292"/>
      <c r="L632" s="293"/>
      <c r="M632" s="292"/>
      <c r="N632" s="29" t="s">
        <v>119</v>
      </c>
      <c r="O632" s="120"/>
      <c r="P632" s="120"/>
      <c r="Q632" s="120"/>
      <c r="R632" s="29">
        <v>15</v>
      </c>
      <c r="S632" s="317">
        <f t="shared" si="318"/>
        <v>157.97297297297291</v>
      </c>
      <c r="T632" s="317">
        <f t="shared" si="319"/>
        <v>184.04524206311038</v>
      </c>
      <c r="U632" s="317">
        <f t="shared" si="320"/>
        <v>13.036134545068734</v>
      </c>
      <c r="W632" s="317">
        <f t="shared" si="321"/>
        <v>157.97297297297291</v>
      </c>
      <c r="X632" s="317">
        <f t="shared" si="322"/>
        <v>171.00910751804165</v>
      </c>
      <c r="Y632" s="317">
        <f t="shared" si="323"/>
        <v>184.04524206311038</v>
      </c>
      <c r="AA632" s="89"/>
      <c r="AB632" s="89"/>
      <c r="AC632" s="89"/>
      <c r="AD632" s="89"/>
      <c r="AE632" s="89"/>
      <c r="AF632" s="89"/>
      <c r="AG632" s="89"/>
      <c r="AH632" s="89"/>
      <c r="AI632" s="89"/>
      <c r="AJ632" s="89"/>
      <c r="AK632" s="89"/>
      <c r="AL632" s="89"/>
      <c r="AM632" s="89"/>
      <c r="AN632" s="89"/>
      <c r="BR632" s="180">
        <v>2027</v>
      </c>
      <c r="BS632" s="22">
        <v>13</v>
      </c>
      <c r="BT632" s="318">
        <f t="shared" si="334"/>
        <v>21.640409477415364</v>
      </c>
      <c r="BU632" s="319">
        <f t="shared" si="335"/>
        <v>145.54830071405007</v>
      </c>
      <c r="BV632" s="205">
        <f t="shared" si="336"/>
        <v>167.18871019146545</v>
      </c>
      <c r="BY632" s="180">
        <v>2027</v>
      </c>
      <c r="BZ632" s="22">
        <v>13</v>
      </c>
      <c r="CA632" s="318">
        <f t="shared" ca="1" si="337"/>
        <v>-1.0072268629590424</v>
      </c>
      <c r="CB632" s="318">
        <f t="shared" ca="1" si="338"/>
        <v>24.119737140083775</v>
      </c>
      <c r="CC632" s="319">
        <f t="shared" ca="1" si="349"/>
        <v>144.49935439522881</v>
      </c>
      <c r="CD632" s="205">
        <f t="shared" ca="1" si="339"/>
        <v>167.61186467235353</v>
      </c>
      <c r="CG632" s="180">
        <v>2027</v>
      </c>
      <c r="CH632" s="22">
        <v>13</v>
      </c>
      <c r="CI632" s="318">
        <f t="shared" ca="1" si="340"/>
        <v>-0.10430386278438546</v>
      </c>
      <c r="CJ632" s="318">
        <f t="shared" ca="1" si="341"/>
        <v>-0.62210490806284369</v>
      </c>
      <c r="CK632" s="318">
        <f t="shared" ca="1" si="342"/>
        <v>23.734491748663562</v>
      </c>
      <c r="CL632" s="319">
        <f t="shared" ca="1" si="343"/>
        <v>144.5845825674958</v>
      </c>
      <c r="CM632" s="205">
        <f t="shared" ca="1" si="344"/>
        <v>167.59266554531214</v>
      </c>
      <c r="CP632" s="180">
        <v>2027</v>
      </c>
      <c r="CQ632" s="22">
        <v>13</v>
      </c>
      <c r="CR632" s="318">
        <f t="shared" ca="1" si="345"/>
        <v>146.79514120938387</v>
      </c>
      <c r="CS632" s="319">
        <f t="shared" ca="1" si="346"/>
        <v>1.1348877071766772</v>
      </c>
      <c r="CT632" s="205">
        <f t="shared" ca="1" si="347"/>
        <v>166.59600123179422</v>
      </c>
      <c r="CZ632" s="164" t="b">
        <f t="shared" si="324"/>
        <v>1</v>
      </c>
      <c r="DA632" s="165" t="b">
        <f t="shared" si="324"/>
        <v>1</v>
      </c>
      <c r="DB632" s="166" t="b">
        <f t="shared" si="324"/>
        <v>1</v>
      </c>
      <c r="DC632" s="164">
        <f t="shared" si="325"/>
        <v>15</v>
      </c>
      <c r="DD632" s="166">
        <f t="shared" si="326"/>
        <v>157.97297297297291</v>
      </c>
      <c r="DE632" s="164">
        <f t="shared" si="327"/>
        <v>15</v>
      </c>
      <c r="DF632" s="166">
        <f t="shared" si="328"/>
        <v>171.00910751804165</v>
      </c>
      <c r="DG632" s="164">
        <f t="shared" si="329"/>
        <v>15</v>
      </c>
      <c r="DH632" s="166">
        <f t="shared" si="330"/>
        <v>184.04524206311038</v>
      </c>
      <c r="DI632" s="164">
        <f>IFERROR(INDEX(DC$615:DC$663,_xlfn.AGGREGATE(15,6,(ROW(DC$615:DC$663)-ROW(DC$615)+1)/(DC$615:DC$663&lt;&gt;""),ROWS(DI$1:DI18))),"")</f>
        <v>18</v>
      </c>
      <c r="DJ632" s="165">
        <f>IFERROR(INDEX(DD$615:DD$663,_xlfn.AGGREGATE(15,6,(ROW(DD$615:DD$663)-ROW(DD$615)+1)/(DD$615:DD$663&lt;&gt;""),ROWS(DJ$1:DJ18))),"")</f>
        <v>163.40540540540533</v>
      </c>
      <c r="DK632" s="166">
        <f t="shared" si="331"/>
        <v>632</v>
      </c>
      <c r="DL632" s="164">
        <f>IFERROR(INDEX(DE$615:DE$663,_xlfn.AGGREGATE(15,6,(ROW(DE$615:DE$663)-ROW(DE$615)+1)/(DE$615:DE$663&lt;&gt;""),ROWS(DL$1:DL18))),"")</f>
        <v>18</v>
      </c>
      <c r="DM632" s="165">
        <f>IFERROR(INDEX(DF$615:DF$663,_xlfn.AGGREGATE(15,6,(ROW(DF$615:DF$663)-ROW(DF$615)+1)/(DF$615:DF$663&lt;&gt;""),ROWS(DM$1:DM18))),"")</f>
        <v>176.01683753040643</v>
      </c>
      <c r="DN632" s="166">
        <f t="shared" si="332"/>
        <v>632</v>
      </c>
      <c r="DO632" s="164">
        <f>IFERROR(INDEX(DG$615:DG$663,_xlfn.AGGREGATE(15,6,(ROW(DG$615:DG$663)-ROW(DG$615)+1)/(DG$615:DG$663&lt;&gt;""),ROWS(DO$1:DO18))),"")</f>
        <v>18</v>
      </c>
      <c r="DP632" s="165">
        <f>IFERROR(INDEX(DH$615:DH$663,_xlfn.AGGREGATE(15,6,(ROW(DH$615:DH$663)-ROW(DH$615)+1)/(DH$615:DH$663&lt;&gt;""),ROWS(DP$1:DP18))),"")</f>
        <v>188.62826965540754</v>
      </c>
      <c r="DQ632" s="166">
        <f t="shared" si="333"/>
        <v>632</v>
      </c>
      <c r="DR632" s="65"/>
      <c r="DV632" s="145">
        <v>2032</v>
      </c>
      <c r="DW632" s="235">
        <f t="shared" ca="1" si="317"/>
        <v>175.97817287196341</v>
      </c>
    </row>
    <row r="633" spans="1:135" ht="13.8" x14ac:dyDescent="0.45">
      <c r="A633" s="323" t="str">
        <f>$A$64</f>
        <v>Ambitious Cases</v>
      </c>
      <c r="B633" s="128">
        <v>2030</v>
      </c>
      <c r="C633" s="291">
        <f>'Total MSW Summaries (Archive)'!L21</f>
        <v>185.62494666972563</v>
      </c>
      <c r="D633" s="307">
        <f>'Total MSW Summaries (Archive)'!BH21</f>
        <v>159.78378378378372</v>
      </c>
      <c r="E633" s="292"/>
      <c r="F633" s="293"/>
      <c r="G633" s="320"/>
      <c r="H633" s="292"/>
      <c r="I633" s="293"/>
      <c r="J633" s="320"/>
      <c r="K633" s="292"/>
      <c r="L633" s="293"/>
      <c r="M633" s="292"/>
      <c r="N633" s="29" t="s">
        <v>119</v>
      </c>
      <c r="O633" s="120"/>
      <c r="P633" s="120"/>
      <c r="Q633" s="120"/>
      <c r="R633" s="29">
        <v>16</v>
      </c>
      <c r="S633" s="317">
        <f t="shared" si="318"/>
        <v>159.78378378378372</v>
      </c>
      <c r="T633" s="317">
        <f t="shared" si="319"/>
        <v>185.62494666972563</v>
      </c>
      <c r="U633" s="317">
        <f t="shared" si="320"/>
        <v>12.920581442970956</v>
      </c>
      <c r="W633" s="317">
        <f t="shared" si="321"/>
        <v>159.78378378378372</v>
      </c>
      <c r="X633" s="317">
        <f t="shared" si="322"/>
        <v>172.70436522675467</v>
      </c>
      <c r="Y633" s="317">
        <f t="shared" si="323"/>
        <v>185.62494666972563</v>
      </c>
      <c r="AA633" s="89"/>
      <c r="AB633" s="89"/>
      <c r="AC633" s="89"/>
      <c r="AD633" s="89"/>
      <c r="AE633" s="89"/>
      <c r="AF633" s="89"/>
      <c r="AG633" s="89"/>
      <c r="AH633" s="89"/>
      <c r="AI633" s="89"/>
      <c r="AJ633" s="89"/>
      <c r="AK633" s="89"/>
      <c r="AL633" s="89"/>
      <c r="AM633" s="89"/>
      <c r="AN633" s="89"/>
      <c r="BR633" s="180">
        <v>2028</v>
      </c>
      <c r="BS633" s="22">
        <v>14</v>
      </c>
      <c r="BT633" s="318">
        <f t="shared" si="334"/>
        <v>23.30505636029347</v>
      </c>
      <c r="BU633" s="319">
        <f t="shared" si="335"/>
        <v>145.54830071405007</v>
      </c>
      <c r="BV633" s="205">
        <f t="shared" si="336"/>
        <v>168.85335707434353</v>
      </c>
      <c r="BY633" s="180">
        <v>2028</v>
      </c>
      <c r="BZ633" s="22">
        <v>14</v>
      </c>
      <c r="CA633" s="318">
        <f t="shared" ca="1" si="337"/>
        <v>-1.1681447641418479</v>
      </c>
      <c r="CB633" s="318">
        <f t="shared" ca="1" si="338"/>
        <v>25.975101535474835</v>
      </c>
      <c r="CC633" s="319">
        <f t="shared" ca="1" si="349"/>
        <v>144.49935439522881</v>
      </c>
      <c r="CD633" s="205">
        <f t="shared" ca="1" si="339"/>
        <v>169.30631116656178</v>
      </c>
      <c r="CG633" s="180">
        <v>2028</v>
      </c>
      <c r="CH633" s="22">
        <v>14</v>
      </c>
      <c r="CI633" s="318">
        <f t="shared" ca="1" si="340"/>
        <v>-0.13027300841163117</v>
      </c>
      <c r="CJ633" s="318">
        <f t="shared" ca="1" si="341"/>
        <v>-0.72149444958767672</v>
      </c>
      <c r="CK633" s="318">
        <f t="shared" ca="1" si="342"/>
        <v>25.560221883176141</v>
      </c>
      <c r="CL633" s="319">
        <f t="shared" ca="1" si="343"/>
        <v>144.5845825674958</v>
      </c>
      <c r="CM633" s="205">
        <f t="shared" ca="1" si="344"/>
        <v>169.29303699267263</v>
      </c>
      <c r="CP633" s="180">
        <v>2028</v>
      </c>
      <c r="CQ633" s="22">
        <v>14</v>
      </c>
      <c r="CR633" s="318">
        <f t="shared" ca="1" si="345"/>
        <v>146.79514120938387</v>
      </c>
      <c r="CS633" s="319">
        <f t="shared" ca="1" si="346"/>
        <v>1.1459879139092195</v>
      </c>
      <c r="CT633" s="205">
        <f t="shared" ca="1" si="347"/>
        <v>168.22545764655112</v>
      </c>
      <c r="CZ633" s="164" t="b">
        <f t="shared" si="324"/>
        <v>1</v>
      </c>
      <c r="DA633" s="165" t="b">
        <f t="shared" si="324"/>
        <v>1</v>
      </c>
      <c r="DB633" s="166" t="b">
        <f t="shared" si="324"/>
        <v>1</v>
      </c>
      <c r="DC633" s="164">
        <f t="shared" si="325"/>
        <v>16</v>
      </c>
      <c r="DD633" s="166">
        <f t="shared" si="326"/>
        <v>159.78378378378372</v>
      </c>
      <c r="DE633" s="164">
        <f t="shared" si="327"/>
        <v>16</v>
      </c>
      <c r="DF633" s="166">
        <f t="shared" si="328"/>
        <v>172.70436522675467</v>
      </c>
      <c r="DG633" s="164">
        <f t="shared" si="329"/>
        <v>16</v>
      </c>
      <c r="DH633" s="166">
        <f t="shared" si="330"/>
        <v>185.62494666972563</v>
      </c>
      <c r="DI633" s="164">
        <f>IFERROR(INDEX(DC$615:DC$663,_xlfn.AGGREGATE(15,6,(ROW(DC$615:DC$663)-ROW(DC$615)+1)/(DC$615:DC$663&lt;&gt;""),ROWS(DI$1:DI19))),"")</f>
        <v>19</v>
      </c>
      <c r="DJ633" s="165">
        <f>IFERROR(INDEX(DD$615:DD$663,_xlfn.AGGREGATE(15,6,(ROW(DD$615:DD$663)-ROW(DD$615)+1)/(DD$615:DD$663&lt;&gt;""),ROWS(DJ$1:DJ19))),"")</f>
        <v>165.21621621621614</v>
      </c>
      <c r="DK633" s="166">
        <f t="shared" si="331"/>
        <v>633</v>
      </c>
      <c r="DL633" s="164">
        <f>IFERROR(INDEX(DE$615:DE$663,_xlfn.AGGREGATE(15,6,(ROW(DE$615:DE$663)-ROW(DE$615)+1)/(DE$615:DE$663&lt;&gt;""),ROWS(DL$1:DL19))),"")</f>
        <v>19</v>
      </c>
      <c r="DM633" s="165">
        <f>IFERROR(INDEX(DF$615:DF$663,_xlfn.AGGREGATE(15,6,(ROW(DF$615:DF$663)-ROW(DF$615)+1)/(DF$615:DF$663&lt;&gt;""),ROWS(DM$1:DM19))),"")</f>
        <v>177.63404983481965</v>
      </c>
      <c r="DN633" s="166">
        <f t="shared" si="332"/>
        <v>633</v>
      </c>
      <c r="DO633" s="164">
        <f>IFERROR(INDEX(DG$615:DG$663,_xlfn.AGGREGATE(15,6,(ROW(DG$615:DG$663)-ROW(DG$615)+1)/(DG$615:DG$663&lt;&gt;""),ROWS(DO$1:DO19))),"")</f>
        <v>19</v>
      </c>
      <c r="DP633" s="165">
        <f>IFERROR(INDEX(DH$615:DH$663,_xlfn.AGGREGATE(15,6,(ROW(DH$615:DH$663)-ROW(DH$615)+1)/(DH$615:DH$663&lt;&gt;""),ROWS(DP$1:DP19))),"")</f>
        <v>190.05188345342316</v>
      </c>
      <c r="DQ633" s="166">
        <f t="shared" si="333"/>
        <v>633</v>
      </c>
      <c r="DR633" s="65"/>
      <c r="DV633" s="145">
        <v>2033</v>
      </c>
      <c r="DW633" s="235">
        <f t="shared" ca="1" si="317"/>
        <v>177.61894509666359</v>
      </c>
    </row>
    <row r="634" spans="1:135" ht="13.8" x14ac:dyDescent="0.45">
      <c r="A634" s="324" t="str">
        <f>$A$65</f>
        <v>Maximum Cases</v>
      </c>
      <c r="B634" s="128">
        <v>2031</v>
      </c>
      <c r="C634" s="291">
        <f>'Total MSW Summaries (Archive)'!L22</f>
        <v>187.18412852037983</v>
      </c>
      <c r="D634" s="307">
        <f>'Total MSW Summaries (Archive)'!BH22</f>
        <v>161.59459459459453</v>
      </c>
      <c r="E634" s="292"/>
      <c r="F634" s="293"/>
      <c r="G634" s="320"/>
      <c r="H634" s="292"/>
      <c r="I634" s="293"/>
      <c r="J634" s="320"/>
      <c r="K634" s="292"/>
      <c r="L634" s="293"/>
      <c r="M634" s="292"/>
      <c r="N634" s="29" t="s">
        <v>119</v>
      </c>
      <c r="O634" s="120"/>
      <c r="P634" s="120"/>
      <c r="Q634" s="120"/>
      <c r="R634" s="29">
        <v>17</v>
      </c>
      <c r="S634" s="317">
        <f t="shared" si="318"/>
        <v>161.59459459459453</v>
      </c>
      <c r="T634" s="317">
        <f t="shared" si="319"/>
        <v>187.18412852037983</v>
      </c>
      <c r="U634" s="317">
        <f t="shared" si="320"/>
        <v>12.794766962892652</v>
      </c>
      <c r="W634" s="317">
        <f t="shared" si="321"/>
        <v>161.59459459459453</v>
      </c>
      <c r="X634" s="317">
        <f t="shared" si="322"/>
        <v>174.38936155748718</v>
      </c>
      <c r="Y634" s="317">
        <f t="shared" si="323"/>
        <v>187.18412852037983</v>
      </c>
      <c r="AA634" s="89"/>
      <c r="AB634" s="89"/>
      <c r="AC634" s="89"/>
      <c r="AD634" s="89"/>
      <c r="AE634" s="89"/>
      <c r="AF634" s="89"/>
      <c r="AG634" s="89"/>
      <c r="AH634" s="89"/>
      <c r="AI634" s="89"/>
      <c r="AJ634" s="89"/>
      <c r="AK634" s="89"/>
      <c r="AL634" s="89"/>
      <c r="AM634" s="89"/>
      <c r="AN634" s="89"/>
      <c r="BR634" s="180">
        <v>2029</v>
      </c>
      <c r="BS634" s="22">
        <v>15</v>
      </c>
      <c r="BT634" s="318">
        <f t="shared" si="334"/>
        <v>24.969703243171573</v>
      </c>
      <c r="BU634" s="319">
        <f t="shared" si="335"/>
        <v>145.54830071405007</v>
      </c>
      <c r="BV634" s="205">
        <f t="shared" si="336"/>
        <v>170.51800395722165</v>
      </c>
      <c r="BY634" s="180">
        <v>2029</v>
      </c>
      <c r="BZ634" s="22">
        <v>15</v>
      </c>
      <c r="CA634" s="318">
        <f t="shared" ca="1" si="337"/>
        <v>-1.3409825098567132</v>
      </c>
      <c r="CB634" s="318">
        <f t="shared" ca="1" si="338"/>
        <v>27.830465930865895</v>
      </c>
      <c r="CC634" s="319">
        <f t="shared" ca="1" si="349"/>
        <v>144.49935439522881</v>
      </c>
      <c r="CD634" s="205">
        <f t="shared" ca="1" si="339"/>
        <v>170.988837816238</v>
      </c>
      <c r="CG634" s="180">
        <v>2029</v>
      </c>
      <c r="CH634" s="22">
        <v>15</v>
      </c>
      <c r="CI634" s="318">
        <f t="shared" ca="1" si="340"/>
        <v>-0.16023010327596765</v>
      </c>
      <c r="CJ634" s="318">
        <f t="shared" ca="1" si="341"/>
        <v>-0.82824617937360845</v>
      </c>
      <c r="CK634" s="318">
        <f t="shared" ca="1" si="342"/>
        <v>27.385952017688723</v>
      </c>
      <c r="CL634" s="319">
        <f t="shared" ca="1" si="343"/>
        <v>144.5845825674958</v>
      </c>
      <c r="CM634" s="205">
        <f t="shared" ca="1" si="344"/>
        <v>170.98205830253494</v>
      </c>
      <c r="CP634" s="180">
        <v>2029</v>
      </c>
      <c r="CQ634" s="22">
        <v>15</v>
      </c>
      <c r="CR634" s="318">
        <f t="shared" ca="1" si="345"/>
        <v>146.79514120938387</v>
      </c>
      <c r="CS634" s="319">
        <f t="shared" ca="1" si="346"/>
        <v>1.1571966904929694</v>
      </c>
      <c r="CT634" s="205">
        <f t="shared" ca="1" si="347"/>
        <v>169.87085158794713</v>
      </c>
      <c r="CZ634" s="164" t="b">
        <f t="shared" si="324"/>
        <v>1</v>
      </c>
      <c r="DA634" s="165" t="b">
        <f t="shared" si="324"/>
        <v>1</v>
      </c>
      <c r="DB634" s="166" t="b">
        <f t="shared" si="324"/>
        <v>1</v>
      </c>
      <c r="DC634" s="164">
        <f t="shared" si="325"/>
        <v>17</v>
      </c>
      <c r="DD634" s="166">
        <f t="shared" si="326"/>
        <v>161.59459459459453</v>
      </c>
      <c r="DE634" s="164">
        <f t="shared" si="327"/>
        <v>17</v>
      </c>
      <c r="DF634" s="166">
        <f t="shared" si="328"/>
        <v>174.38936155748718</v>
      </c>
      <c r="DG634" s="164">
        <f t="shared" si="329"/>
        <v>17</v>
      </c>
      <c r="DH634" s="166">
        <f t="shared" si="330"/>
        <v>187.18412852037983</v>
      </c>
      <c r="DI634" s="164">
        <f>IFERROR(INDEX(DC$615:DC$663,_xlfn.AGGREGATE(15,6,(ROW(DC$615:DC$663)-ROW(DC$615)+1)/(DC$615:DC$663&lt;&gt;""),ROWS(DI$1:DI20))),"")</f>
        <v>20</v>
      </c>
      <c r="DJ634" s="165">
        <f>IFERROR(INDEX(DD$615:DD$663,_xlfn.AGGREGATE(15,6,(ROW(DD$615:DD$663)-ROW(DD$615)+1)/(DD$615:DD$663&lt;&gt;""),ROWS(DJ$1:DJ20))),"")</f>
        <v>167.02702702702695</v>
      </c>
      <c r="DK634" s="166">
        <f t="shared" si="331"/>
        <v>634</v>
      </c>
      <c r="DL634" s="164">
        <f>IFERROR(INDEX(DE$615:DE$663,_xlfn.AGGREGATE(15,6,(ROW(DE$615:DE$663)-ROW(DE$615)+1)/(DE$615:DE$663&lt;&gt;""),ROWS(DL$1:DL20))),"")</f>
        <v>20</v>
      </c>
      <c r="DM634" s="165">
        <f>IFERROR(INDEX(DF$615:DF$663,_xlfn.AGGREGATE(15,6,(ROW(DF$615:DF$663)-ROW(DF$615)+1)/(DF$615:DF$663&lt;&gt;""),ROWS(DM$1:DM20))),"")</f>
        <v>179.2420313949205</v>
      </c>
      <c r="DN634" s="166">
        <f t="shared" si="332"/>
        <v>634</v>
      </c>
      <c r="DO634" s="164">
        <f>IFERROR(INDEX(DG$615:DG$663,_xlfn.AGGREGATE(15,6,(ROW(DG$615:DG$663)-ROW(DG$615)+1)/(DG$615:DG$663&lt;&gt;""),ROWS(DO$1:DO20))),"")</f>
        <v>20</v>
      </c>
      <c r="DP634" s="165">
        <f>IFERROR(INDEX(DH$615:DH$663,_xlfn.AGGREGATE(15,6,(ROW(DH$615:DH$663)-ROW(DH$615)+1)/(DH$615:DH$663&lt;&gt;""),ROWS(DP$1:DP20))),"")</f>
        <v>191.45703576281406</v>
      </c>
      <c r="DQ634" s="166">
        <f t="shared" si="333"/>
        <v>634</v>
      </c>
      <c r="DR634" s="65"/>
      <c r="DV634" s="145">
        <v>2034</v>
      </c>
      <c r="DW634" s="235">
        <f t="shared" ca="1" si="317"/>
        <v>179.24694291628094</v>
      </c>
    </row>
    <row r="635" spans="1:135" ht="13.8" x14ac:dyDescent="0.45">
      <c r="B635" s="128">
        <v>2032</v>
      </c>
      <c r="C635" s="291">
        <f>'Total MSW Summaries (Archive)'!L23</f>
        <v>188.62826965540754</v>
      </c>
      <c r="D635" s="307">
        <f>'Total MSW Summaries (Archive)'!BH23</f>
        <v>163.40540540540533</v>
      </c>
      <c r="E635" s="292"/>
      <c r="F635" s="293"/>
      <c r="G635" s="320"/>
      <c r="H635" s="292"/>
      <c r="I635" s="293"/>
      <c r="J635" s="320"/>
      <c r="K635" s="292"/>
      <c r="L635" s="293"/>
      <c r="M635" s="292"/>
      <c r="N635" s="29" t="s">
        <v>119</v>
      </c>
      <c r="O635" s="120"/>
      <c r="P635" s="120"/>
      <c r="Q635" s="120"/>
      <c r="R635" s="29">
        <v>18</v>
      </c>
      <c r="S635" s="317">
        <f t="shared" si="318"/>
        <v>163.40540540540533</v>
      </c>
      <c r="T635" s="317">
        <f t="shared" si="319"/>
        <v>188.62826965540754</v>
      </c>
      <c r="U635" s="317">
        <f t="shared" si="320"/>
        <v>12.611432125001102</v>
      </c>
      <c r="W635" s="317">
        <f t="shared" si="321"/>
        <v>163.40540540540533</v>
      </c>
      <c r="X635" s="317">
        <f t="shared" si="322"/>
        <v>176.01683753040643</v>
      </c>
      <c r="Y635" s="317">
        <f t="shared" si="323"/>
        <v>188.62826965540754</v>
      </c>
      <c r="AA635" s="89"/>
      <c r="AB635" s="89"/>
      <c r="AC635" s="89"/>
      <c r="AD635" s="89"/>
      <c r="AE635" s="89"/>
      <c r="AF635" s="89"/>
      <c r="AG635" s="89"/>
      <c r="AH635" s="89"/>
      <c r="AI635" s="89"/>
      <c r="AJ635" s="89"/>
      <c r="AK635" s="89"/>
      <c r="AL635" s="89"/>
      <c r="AM635" s="89"/>
      <c r="AN635" s="89"/>
      <c r="BR635" s="180">
        <v>2030</v>
      </c>
      <c r="BS635" s="22">
        <v>16</v>
      </c>
      <c r="BT635" s="318">
        <f t="shared" si="334"/>
        <v>26.634350126049679</v>
      </c>
      <c r="BU635" s="319">
        <f t="shared" si="335"/>
        <v>145.54830071405007</v>
      </c>
      <c r="BV635" s="205">
        <f t="shared" si="336"/>
        <v>172.18265084009974</v>
      </c>
      <c r="BY635" s="180">
        <v>2030</v>
      </c>
      <c r="BZ635" s="22">
        <v>16</v>
      </c>
      <c r="CA635" s="318">
        <f t="shared" ca="1" si="337"/>
        <v>-1.5257401001036381</v>
      </c>
      <c r="CB635" s="318">
        <f t="shared" ca="1" si="338"/>
        <v>29.685830326256955</v>
      </c>
      <c r="CC635" s="319">
        <f t="shared" ca="1" si="349"/>
        <v>144.49935439522881</v>
      </c>
      <c r="CD635" s="205">
        <f t="shared" ca="1" si="339"/>
        <v>172.65944462138214</v>
      </c>
      <c r="CG635" s="180">
        <v>2030</v>
      </c>
      <c r="CH635" s="22">
        <v>16</v>
      </c>
      <c r="CI635" s="318">
        <f t="shared" ca="1" si="340"/>
        <v>-0.19446000089432991</v>
      </c>
      <c r="CJ635" s="318">
        <f t="shared" ca="1" si="341"/>
        <v>-0.94236009742063898</v>
      </c>
      <c r="CK635" s="318">
        <f t="shared" ca="1" si="342"/>
        <v>29.211682152201305</v>
      </c>
      <c r="CL635" s="319">
        <f t="shared" ca="1" si="343"/>
        <v>144.5845825674958</v>
      </c>
      <c r="CM635" s="205">
        <f t="shared" ca="1" si="344"/>
        <v>172.65944462138214</v>
      </c>
      <c r="CP635" s="180">
        <v>2030</v>
      </c>
      <c r="CQ635" s="22">
        <v>16</v>
      </c>
      <c r="CR635" s="318">
        <f t="shared" ca="1" si="345"/>
        <v>146.79514120938387</v>
      </c>
      <c r="CS635" s="319">
        <f t="shared" ca="1" si="346"/>
        <v>1.1685150988372113</v>
      </c>
      <c r="CT635" s="205">
        <f t="shared" ca="1" si="347"/>
        <v>171.53233893910559</v>
      </c>
      <c r="CZ635" s="164" t="b">
        <f t="shared" si="324"/>
        <v>1</v>
      </c>
      <c r="DA635" s="165" t="b">
        <f t="shared" si="324"/>
        <v>1</v>
      </c>
      <c r="DB635" s="166" t="b">
        <f t="shared" si="324"/>
        <v>1</v>
      </c>
      <c r="DC635" s="164">
        <f t="shared" si="325"/>
        <v>18</v>
      </c>
      <c r="DD635" s="166">
        <f t="shared" si="326"/>
        <v>163.40540540540533</v>
      </c>
      <c r="DE635" s="164">
        <f t="shared" si="327"/>
        <v>18</v>
      </c>
      <c r="DF635" s="166">
        <f t="shared" si="328"/>
        <v>176.01683753040643</v>
      </c>
      <c r="DG635" s="164">
        <f t="shared" si="329"/>
        <v>18</v>
      </c>
      <c r="DH635" s="166">
        <f t="shared" si="330"/>
        <v>188.62826965540754</v>
      </c>
      <c r="DI635" s="164">
        <f>IFERROR(INDEX(DC$615:DC$663,_xlfn.AGGREGATE(15,6,(ROW(DC$615:DC$663)-ROW(DC$615)+1)/(DC$615:DC$663&lt;&gt;""),ROWS(DI$1:DI21))),"")</f>
        <v>21</v>
      </c>
      <c r="DJ635" s="165">
        <f>IFERROR(INDEX(DD$615:DD$663,_xlfn.AGGREGATE(15,6,(ROW(DD$615:DD$663)-ROW(DD$615)+1)/(DD$615:DD$663&lt;&gt;""),ROWS(DJ$1:DJ21))),"")</f>
        <v>168.83783783783775</v>
      </c>
      <c r="DK635" s="166">
        <f t="shared" si="331"/>
        <v>635</v>
      </c>
      <c r="DL635" s="164">
        <f>IFERROR(INDEX(DE$615:DE$663,_xlfn.AGGREGATE(15,6,(ROW(DE$615:DE$663)-ROW(DE$615)+1)/(DE$615:DE$663&lt;&gt;""),ROWS(DL$1:DL21))),"")</f>
        <v>21</v>
      </c>
      <c r="DM635" s="165">
        <f>IFERROR(INDEX(DF$615:DF$663,_xlfn.AGGREGATE(15,6,(ROW(DF$615:DF$663)-ROW(DF$615)+1)/(DF$615:DF$663&lt;&gt;""),ROWS(DM$1:DM21))),"")</f>
        <v>180.84162537751607</v>
      </c>
      <c r="DN635" s="166">
        <f t="shared" si="332"/>
        <v>635</v>
      </c>
      <c r="DO635" s="164">
        <f>IFERROR(INDEX(DG$615:DG$663,_xlfn.AGGREGATE(15,6,(ROW(DG$615:DG$663)-ROW(DG$615)+1)/(DG$615:DG$663&lt;&gt;""),ROWS(DO$1:DO21))),"")</f>
        <v>21</v>
      </c>
      <c r="DP635" s="165">
        <f>IFERROR(INDEX(DH$615:DH$663,_xlfn.AGGREGATE(15,6,(ROW(DH$615:DH$663)-ROW(DH$615)+1)/(DH$615:DH$663&lt;&gt;""),ROWS(DP$1:DP21))),"")</f>
        <v>192.84541291719438</v>
      </c>
      <c r="DQ635" s="166">
        <f t="shared" si="333"/>
        <v>635</v>
      </c>
      <c r="DR635" s="65"/>
      <c r="DV635" s="145">
        <v>2035</v>
      </c>
      <c r="DW635" s="235">
        <f t="shared" ca="1" si="317"/>
        <v>180.86188147729848</v>
      </c>
    </row>
    <row r="636" spans="1:135" ht="13.8" x14ac:dyDescent="0.45">
      <c r="B636" s="128">
        <v>2033</v>
      </c>
      <c r="C636" s="291">
        <f>'Total MSW Summaries (Archive)'!L24</f>
        <v>190.05188345342316</v>
      </c>
      <c r="D636" s="307">
        <f>'Total MSW Summaries (Archive)'!BH24</f>
        <v>165.21621621621614</v>
      </c>
      <c r="E636" s="292"/>
      <c r="F636" s="293"/>
      <c r="G636" s="320"/>
      <c r="H636" s="292"/>
      <c r="I636" s="293"/>
      <c r="J636" s="320"/>
      <c r="K636" s="292"/>
      <c r="L636" s="293"/>
      <c r="M636" s="292"/>
      <c r="N636" s="29" t="s">
        <v>119</v>
      </c>
      <c r="O636" s="120"/>
      <c r="P636" s="120"/>
      <c r="Q636" s="120"/>
      <c r="R636" s="29">
        <v>19</v>
      </c>
      <c r="S636" s="317">
        <f t="shared" si="318"/>
        <v>165.21621621621614</v>
      </c>
      <c r="T636" s="317">
        <f t="shared" si="319"/>
        <v>190.05188345342316</v>
      </c>
      <c r="U636" s="317">
        <f t="shared" si="320"/>
        <v>12.41783361860351</v>
      </c>
      <c r="W636" s="317">
        <f t="shared" si="321"/>
        <v>165.21621621621614</v>
      </c>
      <c r="X636" s="317">
        <f t="shared" si="322"/>
        <v>177.63404983481965</v>
      </c>
      <c r="Y636" s="317">
        <f t="shared" si="323"/>
        <v>190.05188345342316</v>
      </c>
      <c r="AA636" s="89"/>
      <c r="AB636" s="89"/>
      <c r="AC636" s="89"/>
      <c r="AD636" s="89"/>
      <c r="AE636" s="89"/>
      <c r="AF636" s="89"/>
      <c r="AG636" s="89"/>
      <c r="AH636" s="89"/>
      <c r="AI636" s="89"/>
      <c r="AJ636" s="89"/>
      <c r="AK636" s="89"/>
      <c r="AL636" s="89"/>
      <c r="AM636" s="89"/>
      <c r="AN636" s="89"/>
      <c r="BR636" s="180">
        <v>2031</v>
      </c>
      <c r="BS636" s="22">
        <v>17</v>
      </c>
      <c r="BT636" s="318">
        <f t="shared" si="334"/>
        <v>28.298997008927785</v>
      </c>
      <c r="BU636" s="319">
        <f t="shared" si="335"/>
        <v>145.54830071405007</v>
      </c>
      <c r="BV636" s="205">
        <f t="shared" si="336"/>
        <v>173.84729772297786</v>
      </c>
      <c r="BY636" s="180">
        <v>2031</v>
      </c>
      <c r="BZ636" s="22">
        <v>17</v>
      </c>
      <c r="CA636" s="318">
        <f t="shared" ca="1" si="337"/>
        <v>-1.7224175348826227</v>
      </c>
      <c r="CB636" s="318">
        <f t="shared" ca="1" si="338"/>
        <v>31.541194721648015</v>
      </c>
      <c r="CC636" s="319">
        <f t="shared" ca="1" si="349"/>
        <v>144.49935439522881</v>
      </c>
      <c r="CD636" s="205">
        <f t="shared" ca="1" si="339"/>
        <v>174.31813158199421</v>
      </c>
      <c r="CG636" s="180">
        <v>2031</v>
      </c>
      <c r="CH636" s="22">
        <v>17</v>
      </c>
      <c r="CI636" s="318">
        <f t="shared" ca="1" si="340"/>
        <v>-0.23324755478365303</v>
      </c>
      <c r="CJ636" s="318">
        <f t="shared" ca="1" si="341"/>
        <v>-1.0638362037287683</v>
      </c>
      <c r="CK636" s="318">
        <f t="shared" ca="1" si="342"/>
        <v>31.037412286713888</v>
      </c>
      <c r="CL636" s="319">
        <f t="shared" ca="1" si="343"/>
        <v>144.5845825674958</v>
      </c>
      <c r="CM636" s="205">
        <f t="shared" ca="1" si="344"/>
        <v>174.32491109569727</v>
      </c>
      <c r="CP636" s="180">
        <v>2031</v>
      </c>
      <c r="CQ636" s="22">
        <v>17</v>
      </c>
      <c r="CR636" s="318">
        <f t="shared" ca="1" si="345"/>
        <v>146.79514120938387</v>
      </c>
      <c r="CS636" s="319">
        <f t="shared" ca="1" si="346"/>
        <v>1.1799442112376428</v>
      </c>
      <c r="CT636" s="205">
        <f t="shared" ca="1" si="347"/>
        <v>173.21007710782484</v>
      </c>
      <c r="CZ636" s="164" t="b">
        <f t="shared" si="324"/>
        <v>1</v>
      </c>
      <c r="DA636" s="165" t="b">
        <f t="shared" si="324"/>
        <v>1</v>
      </c>
      <c r="DB636" s="166" t="b">
        <f t="shared" si="324"/>
        <v>1</v>
      </c>
      <c r="DC636" s="164">
        <f t="shared" si="325"/>
        <v>19</v>
      </c>
      <c r="DD636" s="166">
        <f t="shared" si="326"/>
        <v>165.21621621621614</v>
      </c>
      <c r="DE636" s="164">
        <f t="shared" si="327"/>
        <v>19</v>
      </c>
      <c r="DF636" s="166">
        <f t="shared" si="328"/>
        <v>177.63404983481965</v>
      </c>
      <c r="DG636" s="164">
        <f t="shared" si="329"/>
        <v>19</v>
      </c>
      <c r="DH636" s="166">
        <f t="shared" si="330"/>
        <v>190.05188345342316</v>
      </c>
      <c r="DI636" s="164">
        <f>IFERROR(INDEX(DC$615:DC$663,_xlfn.AGGREGATE(15,6,(ROW(DC$615:DC$663)-ROW(DC$615)+1)/(DC$615:DC$663&lt;&gt;""),ROWS(DI$1:DI22))),"")</f>
        <v>22</v>
      </c>
      <c r="DJ636" s="165">
        <f>IFERROR(INDEX(DD$615:DD$663,_xlfn.AGGREGATE(15,6,(ROW(DD$615:DD$663)-ROW(DD$615)+1)/(DD$615:DD$663&lt;&gt;""),ROWS(DJ$1:DJ22))),"")</f>
        <v>170.64864864864859</v>
      </c>
      <c r="DK636" s="166">
        <f t="shared" si="331"/>
        <v>636</v>
      </c>
      <c r="DL636" s="164">
        <f>IFERROR(INDEX(DE$615:DE$663,_xlfn.AGGREGATE(15,6,(ROW(DE$615:DE$663)-ROW(DE$615)+1)/(DE$615:DE$663&lt;&gt;""),ROWS(DL$1:DL22))),"")</f>
        <v>22</v>
      </c>
      <c r="DM636" s="165">
        <f>IFERROR(INDEX(DF$615:DF$663,_xlfn.AGGREGATE(15,6,(ROW(DF$615:DF$663)-ROW(DF$615)+1)/(DF$615:DF$663&lt;&gt;""),ROWS(DM$1:DM22))),"")</f>
        <v>182.43325911781528</v>
      </c>
      <c r="DN636" s="166">
        <f t="shared" si="332"/>
        <v>636</v>
      </c>
      <c r="DO636" s="164">
        <f>IFERROR(INDEX(DG$615:DG$663,_xlfn.AGGREGATE(15,6,(ROW(DG$615:DG$663)-ROW(DG$615)+1)/(DG$615:DG$663&lt;&gt;""),ROWS(DO$1:DO22))),"")</f>
        <v>22</v>
      </c>
      <c r="DP636" s="165">
        <f>IFERROR(INDEX(DH$615:DH$663,_xlfn.AGGREGATE(15,6,(ROW(DH$615:DH$663)-ROW(DH$615)+1)/(DH$615:DH$663&lt;&gt;""),ROWS(DP$1:DP22))),"")</f>
        <v>194.21786958698198</v>
      </c>
      <c r="DQ636" s="166">
        <f t="shared" si="333"/>
        <v>636</v>
      </c>
      <c r="DR636" s="65"/>
      <c r="DV636" s="145">
        <v>2036</v>
      </c>
      <c r="DW636" s="235">
        <f t="shared" ca="1" si="317"/>
        <v>182.46347592619929</v>
      </c>
    </row>
    <row r="637" spans="1:135" ht="13.8" x14ac:dyDescent="0.45">
      <c r="B637" s="128">
        <v>2034</v>
      </c>
      <c r="C637" s="291">
        <f>'Total MSW Summaries (Archive)'!L25</f>
        <v>191.45703576281406</v>
      </c>
      <c r="D637" s="307">
        <f>'Total MSW Summaries (Archive)'!BH25</f>
        <v>167.02702702702695</v>
      </c>
      <c r="E637" s="292"/>
      <c r="F637" s="293"/>
      <c r="G637" s="320"/>
      <c r="H637" s="292"/>
      <c r="I637" s="293"/>
      <c r="J637" s="320"/>
      <c r="K637" s="292"/>
      <c r="L637" s="293"/>
      <c r="M637" s="292"/>
      <c r="N637" s="29" t="s">
        <v>119</v>
      </c>
      <c r="O637" s="120"/>
      <c r="P637" s="120"/>
      <c r="Q637" s="120"/>
      <c r="R637" s="29">
        <v>20</v>
      </c>
      <c r="S637" s="317">
        <f t="shared" si="318"/>
        <v>167.02702702702695</v>
      </c>
      <c r="T637" s="317">
        <f t="shared" si="319"/>
        <v>191.45703576281406</v>
      </c>
      <c r="U637" s="317">
        <f t="shared" si="320"/>
        <v>12.215004367893556</v>
      </c>
      <c r="W637" s="317">
        <f t="shared" si="321"/>
        <v>167.02702702702695</v>
      </c>
      <c r="X637" s="317">
        <f t="shared" si="322"/>
        <v>179.2420313949205</v>
      </c>
      <c r="Y637" s="317">
        <f t="shared" si="323"/>
        <v>191.45703576281406</v>
      </c>
      <c r="AA637" s="89"/>
      <c r="AB637" s="89"/>
      <c r="AC637" s="89"/>
      <c r="AD637" s="89"/>
      <c r="AE637" s="89"/>
      <c r="AF637" s="89"/>
      <c r="AG637" s="89"/>
      <c r="AH637" s="89"/>
      <c r="AI637" s="89"/>
      <c r="AJ637" s="89"/>
      <c r="AK637" s="89"/>
      <c r="AL637" s="89"/>
      <c r="AM637" s="89"/>
      <c r="AN637" s="89"/>
      <c r="BR637" s="180">
        <v>2032</v>
      </c>
      <c r="BS637" s="22">
        <v>18</v>
      </c>
      <c r="BT637" s="318">
        <f t="shared" si="334"/>
        <v>29.963643891805887</v>
      </c>
      <c r="BU637" s="319">
        <f t="shared" si="335"/>
        <v>145.54830071405007</v>
      </c>
      <c r="BV637" s="205">
        <f t="shared" si="336"/>
        <v>175.51194460585594</v>
      </c>
      <c r="BY637" s="180">
        <v>2032</v>
      </c>
      <c r="BZ637" s="22">
        <v>18</v>
      </c>
      <c r="CA637" s="318">
        <f t="shared" ca="1" si="337"/>
        <v>-1.9310148141936669</v>
      </c>
      <c r="CB637" s="318">
        <f t="shared" ca="1" si="338"/>
        <v>33.396559117039075</v>
      </c>
      <c r="CC637" s="319">
        <f t="shared" ca="1" si="349"/>
        <v>144.49935439522881</v>
      </c>
      <c r="CD637" s="205">
        <f t="shared" ca="1" si="339"/>
        <v>175.96489869807422</v>
      </c>
      <c r="CG637" s="180">
        <v>2032</v>
      </c>
      <c r="CH637" s="22">
        <v>18</v>
      </c>
      <c r="CI637" s="318">
        <f t="shared" ca="1" si="340"/>
        <v>-0.27687761846087205</v>
      </c>
      <c r="CJ637" s="318">
        <f t="shared" ca="1" si="341"/>
        <v>-1.1926744982979962</v>
      </c>
      <c r="CK637" s="318">
        <f t="shared" ca="1" si="342"/>
        <v>32.86314242122647</v>
      </c>
      <c r="CL637" s="319">
        <f t="shared" ca="1" si="343"/>
        <v>144.5845825674958</v>
      </c>
      <c r="CM637" s="205">
        <f t="shared" ca="1" si="344"/>
        <v>175.97817287196341</v>
      </c>
      <c r="CP637" s="180">
        <v>2032</v>
      </c>
      <c r="CQ637" s="22">
        <v>18</v>
      </c>
      <c r="CR637" s="318">
        <f t="shared" ca="1" si="345"/>
        <v>146.79514120938387</v>
      </c>
      <c r="CS637" s="319">
        <f t="shared" ca="1" si="346"/>
        <v>1.1914851104779636</v>
      </c>
      <c r="CT637" s="205">
        <f t="shared" ca="1" si="347"/>
        <v>174.904225041491</v>
      </c>
      <c r="CZ637" s="164" t="b">
        <f t="shared" si="324"/>
        <v>1</v>
      </c>
      <c r="DA637" s="165" t="b">
        <f t="shared" si="324"/>
        <v>1</v>
      </c>
      <c r="DB637" s="166" t="b">
        <f t="shared" si="324"/>
        <v>1</v>
      </c>
      <c r="DC637" s="164">
        <f t="shared" si="325"/>
        <v>20</v>
      </c>
      <c r="DD637" s="166">
        <f t="shared" si="326"/>
        <v>167.02702702702695</v>
      </c>
      <c r="DE637" s="164">
        <f t="shared" si="327"/>
        <v>20</v>
      </c>
      <c r="DF637" s="166">
        <f t="shared" si="328"/>
        <v>179.2420313949205</v>
      </c>
      <c r="DG637" s="164">
        <f t="shared" si="329"/>
        <v>20</v>
      </c>
      <c r="DH637" s="166">
        <f t="shared" si="330"/>
        <v>191.45703576281406</v>
      </c>
      <c r="DI637" s="164">
        <f>IFERROR(INDEX(DC$615:DC$663,_xlfn.AGGREGATE(15,6,(ROW(DC$615:DC$663)-ROW(DC$615)+1)/(DC$615:DC$663&lt;&gt;""),ROWS(DI$1:DI23))),"")</f>
        <v>23</v>
      </c>
      <c r="DJ637" s="165">
        <f>IFERROR(INDEX(DD$615:DD$663,_xlfn.AGGREGATE(15,6,(ROW(DD$615:DD$663)-ROW(DD$615)+1)/(DD$615:DD$663&lt;&gt;""),ROWS(DJ$1:DJ23))),"")</f>
        <v>172.45945945945937</v>
      </c>
      <c r="DK637" s="166">
        <f t="shared" si="331"/>
        <v>637</v>
      </c>
      <c r="DL637" s="164">
        <f>IFERROR(INDEX(DE$615:DE$663,_xlfn.AGGREGATE(15,6,(ROW(DE$615:DE$663)-ROW(DE$615)+1)/(DE$615:DE$663&lt;&gt;""),ROWS(DL$1:DL23))),"")</f>
        <v>23</v>
      </c>
      <c r="DM637" s="165">
        <f>IFERROR(INDEX(DF$615:DF$663,_xlfn.AGGREGATE(15,6,(ROW(DF$615:DF$663)-ROW(DF$615)+1)/(DF$615:DF$663&lt;&gt;""),ROWS(DM$1:DM23))),"")</f>
        <v>184.01698258585708</v>
      </c>
      <c r="DN637" s="166">
        <f t="shared" si="332"/>
        <v>637</v>
      </c>
      <c r="DO637" s="164">
        <f>IFERROR(INDEX(DG$615:DG$663,_xlfn.AGGREGATE(15,6,(ROW(DG$615:DG$663)-ROW(DG$615)+1)/(DG$615:DG$663&lt;&gt;""),ROWS(DO$1:DO23))),"")</f>
        <v>23</v>
      </c>
      <c r="DP637" s="165">
        <f>IFERROR(INDEX(DH$615:DH$663,_xlfn.AGGREGATE(15,6,(ROW(DH$615:DH$663)-ROW(DH$615)+1)/(DH$615:DH$663&lt;&gt;""),ROWS(DP$1:DP23))),"")</f>
        <v>195.57450571225479</v>
      </c>
      <c r="DQ637" s="166">
        <f t="shared" si="333"/>
        <v>637</v>
      </c>
      <c r="DR637" s="65"/>
      <c r="DV637" s="145">
        <v>2037</v>
      </c>
      <c r="DW637" s="235">
        <f t="shared" ca="1" si="317"/>
        <v>184.05144140946643</v>
      </c>
    </row>
    <row r="638" spans="1:135" ht="13.8" x14ac:dyDescent="0.45">
      <c r="B638" s="128">
        <v>2035</v>
      </c>
      <c r="C638" s="291">
        <f>'Total MSW Summaries (Archive)'!L26</f>
        <v>192.84541291719438</v>
      </c>
      <c r="D638" s="307">
        <f>'Total MSW Summaries (Archive)'!BH26</f>
        <v>168.83783783783775</v>
      </c>
      <c r="E638" s="292"/>
      <c r="F638" s="293"/>
      <c r="G638" s="320"/>
      <c r="H638" s="292"/>
      <c r="I638" s="293"/>
      <c r="J638" s="320"/>
      <c r="K638" s="292"/>
      <c r="L638" s="293"/>
      <c r="M638" s="292"/>
      <c r="N638" s="29" t="s">
        <v>119</v>
      </c>
      <c r="O638" s="120"/>
      <c r="P638" s="120"/>
      <c r="Q638" s="120"/>
      <c r="R638" s="29">
        <v>21</v>
      </c>
      <c r="S638" s="317">
        <f t="shared" si="318"/>
        <v>168.83783783783775</v>
      </c>
      <c r="T638" s="317">
        <f t="shared" si="319"/>
        <v>192.84541291719438</v>
      </c>
      <c r="U638" s="317">
        <f t="shared" si="320"/>
        <v>12.003787539678314</v>
      </c>
      <c r="W638" s="317">
        <f t="shared" si="321"/>
        <v>168.83783783783775</v>
      </c>
      <c r="X638" s="317">
        <f t="shared" si="322"/>
        <v>180.84162537751607</v>
      </c>
      <c r="Y638" s="317">
        <f t="shared" si="323"/>
        <v>192.84541291719438</v>
      </c>
      <c r="AA638" s="89"/>
      <c r="AB638" s="89"/>
      <c r="AC638" s="89"/>
      <c r="AD638" s="89"/>
      <c r="AE638" s="89"/>
      <c r="AF638" s="89"/>
      <c r="AG638" s="89"/>
      <c r="AH638" s="89"/>
      <c r="AI638" s="89"/>
      <c r="AJ638" s="89"/>
      <c r="AK638" s="89"/>
      <c r="AL638" s="89"/>
      <c r="AM638" s="89"/>
      <c r="AN638" s="89"/>
      <c r="BR638" s="180">
        <v>2033</v>
      </c>
      <c r="BS638" s="22">
        <v>19</v>
      </c>
      <c r="BT638" s="318">
        <f t="shared" si="334"/>
        <v>31.628290774683993</v>
      </c>
      <c r="BU638" s="319">
        <f t="shared" si="335"/>
        <v>145.54830071405007</v>
      </c>
      <c r="BV638" s="205">
        <f t="shared" si="336"/>
        <v>177.17659148873406</v>
      </c>
      <c r="BY638" s="180">
        <v>2033</v>
      </c>
      <c r="BZ638" s="22">
        <v>19</v>
      </c>
      <c r="CA638" s="318">
        <f t="shared" ca="1" si="337"/>
        <v>-2.1515319380367708</v>
      </c>
      <c r="CB638" s="318">
        <f t="shared" ca="1" si="338"/>
        <v>35.251923512430132</v>
      </c>
      <c r="CC638" s="319">
        <f t="shared" ca="1" si="349"/>
        <v>144.49935439522881</v>
      </c>
      <c r="CD638" s="205">
        <f t="shared" ca="1" si="339"/>
        <v>177.59974596962218</v>
      </c>
      <c r="CG638" s="180">
        <v>2033</v>
      </c>
      <c r="CH638" s="22">
        <v>19</v>
      </c>
      <c r="CI638" s="318">
        <f t="shared" ca="1" si="340"/>
        <v>-0.3256350454429221</v>
      </c>
      <c r="CJ638" s="318">
        <f t="shared" ca="1" si="341"/>
        <v>-1.3288749811283229</v>
      </c>
      <c r="CK638" s="318">
        <f t="shared" ca="1" si="342"/>
        <v>34.688872555739053</v>
      </c>
      <c r="CL638" s="319">
        <f t="shared" ca="1" si="343"/>
        <v>144.5845825674958</v>
      </c>
      <c r="CM638" s="205">
        <f t="shared" ca="1" si="344"/>
        <v>177.61894509666359</v>
      </c>
      <c r="CP638" s="180">
        <v>2033</v>
      </c>
      <c r="CQ638" s="22">
        <v>19</v>
      </c>
      <c r="CR638" s="318">
        <f t="shared" ca="1" si="345"/>
        <v>146.79514120938387</v>
      </c>
      <c r="CS638" s="319">
        <f t="shared" ca="1" si="346"/>
        <v>1.203138889932456</v>
      </c>
      <c r="CT638" s="205">
        <f t="shared" ca="1" si="347"/>
        <v>176.61494324213623</v>
      </c>
      <c r="CZ638" s="164" t="b">
        <f t="shared" si="324"/>
        <v>1</v>
      </c>
      <c r="DA638" s="165" t="b">
        <f t="shared" si="324"/>
        <v>1</v>
      </c>
      <c r="DB638" s="166" t="b">
        <f t="shared" si="324"/>
        <v>1</v>
      </c>
      <c r="DC638" s="164">
        <f t="shared" si="325"/>
        <v>21</v>
      </c>
      <c r="DD638" s="166">
        <f t="shared" si="326"/>
        <v>168.83783783783775</v>
      </c>
      <c r="DE638" s="164">
        <f t="shared" si="327"/>
        <v>21</v>
      </c>
      <c r="DF638" s="166">
        <f t="shared" si="328"/>
        <v>180.84162537751607</v>
      </c>
      <c r="DG638" s="164">
        <f t="shared" si="329"/>
        <v>21</v>
      </c>
      <c r="DH638" s="166">
        <f t="shared" si="330"/>
        <v>192.84541291719438</v>
      </c>
      <c r="DI638" s="164">
        <f>IFERROR(INDEX(DC$615:DC$663,_xlfn.AGGREGATE(15,6,(ROW(DC$615:DC$663)-ROW(DC$615)+1)/(DC$615:DC$663&lt;&gt;""),ROWS(DI$1:DI24))),"")</f>
        <v>24</v>
      </c>
      <c r="DJ638" s="165">
        <f>IFERROR(INDEX(DD$615:DD$663,_xlfn.AGGREGATE(15,6,(ROW(DD$615:DD$663)-ROW(DD$615)+1)/(DD$615:DD$663&lt;&gt;""),ROWS(DJ$1:DJ24))),"")</f>
        <v>174.27027027027017</v>
      </c>
      <c r="DK638" s="166">
        <f t="shared" si="331"/>
        <v>638</v>
      </c>
      <c r="DL638" s="164">
        <f>IFERROR(INDEX(DE$615:DE$663,_xlfn.AGGREGATE(15,6,(ROW(DE$615:DE$663)-ROW(DE$615)+1)/(DE$615:DE$663&lt;&gt;""),ROWS(DL$1:DL24))),"")</f>
        <v>24</v>
      </c>
      <c r="DM638" s="165">
        <f>IFERROR(INDEX(DF$615:DF$663,_xlfn.AGGREGATE(15,6,(ROW(DF$615:DF$663)-ROW(DF$615)+1)/(DF$615:DF$663&lt;&gt;""),ROWS(DM$1:DM24))),"")</f>
        <v>185.59288587443973</v>
      </c>
      <c r="DN638" s="166">
        <f t="shared" si="332"/>
        <v>638</v>
      </c>
      <c r="DO638" s="164">
        <f>IFERROR(INDEX(DG$615:DG$663,_xlfn.AGGREGATE(15,6,(ROW(DG$615:DG$663)-ROW(DG$615)+1)/(DG$615:DG$663&lt;&gt;""),ROWS(DO$1:DO24))),"")</f>
        <v>24</v>
      </c>
      <c r="DP638" s="165">
        <f>IFERROR(INDEX(DH$615:DH$663,_xlfn.AGGREGATE(15,6,(ROW(DH$615:DH$663)-ROW(DH$615)+1)/(DH$615:DH$663&lt;&gt;""),ROWS(DP$1:DP24))),"")</f>
        <v>196.91550147860929</v>
      </c>
      <c r="DQ638" s="166">
        <f t="shared" si="333"/>
        <v>638</v>
      </c>
      <c r="DR638" s="65"/>
      <c r="DV638" s="145">
        <v>2038</v>
      </c>
      <c r="DW638" s="235">
        <f t="shared" ca="1" si="317"/>
        <v>185.62549307358296</v>
      </c>
    </row>
    <row r="639" spans="1:135" ht="13.8" x14ac:dyDescent="0.45">
      <c r="B639" s="128">
        <v>2036</v>
      </c>
      <c r="C639" s="291">
        <f>'Total MSW Summaries (Archive)'!L27</f>
        <v>194.21786958698198</v>
      </c>
      <c r="D639" s="307">
        <f>'Total MSW Summaries (Archive)'!BH27</f>
        <v>170.64864864864856</v>
      </c>
      <c r="E639" s="292"/>
      <c r="F639" s="293"/>
      <c r="G639" s="320"/>
      <c r="H639" s="292"/>
      <c r="I639" s="293"/>
      <c r="J639" s="320"/>
      <c r="K639" s="292"/>
      <c r="L639" s="293"/>
      <c r="M639" s="292"/>
      <c r="N639" s="29" t="s">
        <v>119</v>
      </c>
      <c r="O639" s="120"/>
      <c r="P639" s="120"/>
      <c r="Q639" s="120"/>
      <c r="R639" s="29">
        <v>22</v>
      </c>
      <c r="S639" s="317">
        <f t="shared" si="318"/>
        <v>170.64864864864856</v>
      </c>
      <c r="T639" s="317">
        <f t="shared" si="319"/>
        <v>194.21786958698198</v>
      </c>
      <c r="U639" s="317">
        <f t="shared" si="320"/>
        <v>11.784610469166708</v>
      </c>
      <c r="W639" s="317">
        <f t="shared" si="321"/>
        <v>170.64864864864859</v>
      </c>
      <c r="X639" s="317">
        <f t="shared" si="322"/>
        <v>182.43325911781528</v>
      </c>
      <c r="Y639" s="317">
        <f t="shared" si="323"/>
        <v>194.21786958698198</v>
      </c>
      <c r="AA639" s="89"/>
      <c r="AB639" s="89"/>
      <c r="AC639" s="89"/>
      <c r="AD639" s="89"/>
      <c r="AE639" s="89"/>
      <c r="AF639" s="89"/>
      <c r="AG639" s="89"/>
      <c r="AH639" s="89"/>
      <c r="AI639" s="89"/>
      <c r="AJ639" s="89"/>
      <c r="AK639" s="89"/>
      <c r="AL639" s="89"/>
      <c r="AM639" s="89"/>
      <c r="AN639" s="89"/>
      <c r="BR639" s="180">
        <v>2034</v>
      </c>
      <c r="BS639" s="22">
        <v>20</v>
      </c>
      <c r="BT639" s="318">
        <f t="shared" si="334"/>
        <v>33.292937657562099</v>
      </c>
      <c r="BU639" s="319">
        <f t="shared" si="335"/>
        <v>145.54830071405007</v>
      </c>
      <c r="BV639" s="205">
        <f t="shared" si="336"/>
        <v>178.84123837161218</v>
      </c>
      <c r="BY639" s="180">
        <v>2034</v>
      </c>
      <c r="BZ639" s="22">
        <v>20</v>
      </c>
      <c r="CA639" s="318">
        <f t="shared" ca="1" si="337"/>
        <v>-2.3839689064119347</v>
      </c>
      <c r="CB639" s="318">
        <f t="shared" ca="1" si="338"/>
        <v>37.107287907821195</v>
      </c>
      <c r="CC639" s="319">
        <f t="shared" ca="1" si="349"/>
        <v>144.49935439522881</v>
      </c>
      <c r="CD639" s="205">
        <f t="shared" ca="1" si="339"/>
        <v>179.22267339663807</v>
      </c>
      <c r="CG639" s="180">
        <v>2034</v>
      </c>
      <c r="CH639" s="22">
        <v>20</v>
      </c>
      <c r="CI639" s="318">
        <f t="shared" ca="1" si="340"/>
        <v>-0.3798046892467381</v>
      </c>
      <c r="CJ639" s="318">
        <f t="shared" ca="1" si="341"/>
        <v>-1.4724376522197484</v>
      </c>
      <c r="CK639" s="318">
        <f t="shared" ca="1" si="342"/>
        <v>36.514602690251635</v>
      </c>
      <c r="CL639" s="319">
        <f t="shared" ca="1" si="343"/>
        <v>144.5845825674958</v>
      </c>
      <c r="CM639" s="205">
        <f t="shared" ca="1" si="344"/>
        <v>179.24694291628094</v>
      </c>
      <c r="CP639" s="180">
        <v>2034</v>
      </c>
      <c r="CQ639" s="22">
        <v>20</v>
      </c>
      <c r="CR639" s="318">
        <f t="shared" ca="1" si="345"/>
        <v>146.79514120938387</v>
      </c>
      <c r="CS639" s="319">
        <f t="shared" ca="1" si="346"/>
        <v>1.2149066536695714</v>
      </c>
      <c r="CT639" s="205">
        <f t="shared" ca="1" si="347"/>
        <v>178.34239378164477</v>
      </c>
      <c r="CZ639" s="164" t="b">
        <f t="shared" si="324"/>
        <v>1</v>
      </c>
      <c r="DA639" s="165" t="b">
        <f t="shared" si="324"/>
        <v>1</v>
      </c>
      <c r="DB639" s="166" t="b">
        <f t="shared" si="324"/>
        <v>1</v>
      </c>
      <c r="DC639" s="164">
        <f t="shared" si="325"/>
        <v>22</v>
      </c>
      <c r="DD639" s="166">
        <f t="shared" si="326"/>
        <v>170.64864864864859</v>
      </c>
      <c r="DE639" s="164">
        <f t="shared" si="327"/>
        <v>22</v>
      </c>
      <c r="DF639" s="166">
        <f t="shared" si="328"/>
        <v>182.43325911781528</v>
      </c>
      <c r="DG639" s="164">
        <f t="shared" si="329"/>
        <v>22</v>
      </c>
      <c r="DH639" s="166">
        <f t="shared" si="330"/>
        <v>194.21786958698198</v>
      </c>
      <c r="DI639" s="164">
        <f>IFERROR(INDEX(DC$615:DC$663,_xlfn.AGGREGATE(15,6,(ROW(DC$615:DC$663)-ROW(DC$615)+1)/(DC$615:DC$663&lt;&gt;""),ROWS(DI$1:DI25))),"")</f>
        <v>25</v>
      </c>
      <c r="DJ639" s="165">
        <f>IFERROR(INDEX(DD$615:DD$663,_xlfn.AGGREGATE(15,6,(ROW(DD$615:DD$663)-ROW(DD$615)+1)/(DD$615:DD$663&lt;&gt;""),ROWS(DJ$1:DJ25))),"")</f>
        <v>176.08108108108098</v>
      </c>
      <c r="DK639" s="166">
        <f t="shared" si="331"/>
        <v>639</v>
      </c>
      <c r="DL639" s="164">
        <f>IFERROR(INDEX(DE$615:DE$663,_xlfn.AGGREGATE(15,6,(ROW(DE$615:DE$663)-ROW(DE$615)+1)/(DE$615:DE$663&lt;&gt;""),ROWS(DL$1:DL25))),"")</f>
        <v>25</v>
      </c>
      <c r="DM639" s="165">
        <f>IFERROR(INDEX(DF$615:DF$663,_xlfn.AGGREGATE(15,6,(ROW(DF$615:DF$663)-ROW(DF$615)+1)/(DF$615:DF$663&lt;&gt;""),ROWS(DM$1:DM25))),"")</f>
        <v>187.16096645891582</v>
      </c>
      <c r="DN639" s="166">
        <f t="shared" si="332"/>
        <v>639</v>
      </c>
      <c r="DO639" s="164">
        <f>IFERROR(INDEX(DG$615:DG$663,_xlfn.AGGREGATE(15,6,(ROW(DG$615:DG$663)-ROW(DG$615)+1)/(DG$615:DG$663&lt;&gt;""),ROWS(DO$1:DO25))),"")</f>
        <v>25</v>
      </c>
      <c r="DP639" s="165">
        <f>IFERROR(INDEX(DH$615:DH$663,_xlfn.AGGREGATE(15,6,(ROW(DH$615:DH$663)-ROW(DH$615)+1)/(DH$615:DH$663&lt;&gt;""),ROWS(DP$1:DP25))),"")</f>
        <v>198.24085183675066</v>
      </c>
      <c r="DQ639" s="166">
        <f t="shared" si="333"/>
        <v>639</v>
      </c>
      <c r="DR639" s="65"/>
      <c r="DV639" s="145">
        <v>2039</v>
      </c>
      <c r="DW639" s="235">
        <f t="shared" ca="1" si="317"/>
        <v>187.18534606503195</v>
      </c>
    </row>
    <row r="640" spans="1:135" ht="13.8" x14ac:dyDescent="0.45">
      <c r="B640" s="128">
        <v>2037</v>
      </c>
      <c r="C640" s="291">
        <f>'Total MSW Summaries (Archive)'!L28</f>
        <v>195.57450571225476</v>
      </c>
      <c r="D640" s="307">
        <f>'Total MSW Summaries (Archive)'!BH28</f>
        <v>172.45945945945937</v>
      </c>
      <c r="E640" s="292"/>
      <c r="F640" s="293"/>
      <c r="G640" s="320"/>
      <c r="H640" s="292"/>
      <c r="I640" s="293"/>
      <c r="J640" s="320"/>
      <c r="K640" s="292"/>
      <c r="L640" s="293"/>
      <c r="M640" s="292"/>
      <c r="N640" s="29" t="s">
        <v>119</v>
      </c>
      <c r="O640" s="120"/>
      <c r="P640" s="120"/>
      <c r="Q640" s="120"/>
      <c r="R640" s="29">
        <v>23</v>
      </c>
      <c r="S640" s="317">
        <f t="shared" si="318"/>
        <v>172.45945945945937</v>
      </c>
      <c r="T640" s="317">
        <f t="shared" si="319"/>
        <v>195.57450571225476</v>
      </c>
      <c r="U640" s="317">
        <f t="shared" si="320"/>
        <v>11.557523126397697</v>
      </c>
      <c r="W640" s="317">
        <f t="shared" si="321"/>
        <v>172.45945945945937</v>
      </c>
      <c r="X640" s="317">
        <f t="shared" si="322"/>
        <v>184.01698258585708</v>
      </c>
      <c r="Y640" s="317">
        <f t="shared" si="323"/>
        <v>195.57450571225479</v>
      </c>
      <c r="AA640" s="89"/>
      <c r="AB640" s="89"/>
      <c r="AC640" s="89"/>
      <c r="AD640" s="89"/>
      <c r="AE640" s="89"/>
      <c r="AF640" s="89"/>
      <c r="AG640" s="89"/>
      <c r="AH640" s="89"/>
      <c r="AI640" s="89"/>
      <c r="AJ640" s="89"/>
      <c r="AK640" s="89"/>
      <c r="AL640" s="89"/>
      <c r="AM640" s="89"/>
      <c r="AN640" s="89"/>
      <c r="BR640" s="180">
        <v>2035</v>
      </c>
      <c r="BS640" s="22">
        <v>21</v>
      </c>
      <c r="BT640" s="318">
        <f t="shared" si="334"/>
        <v>34.957584540440202</v>
      </c>
      <c r="BU640" s="319">
        <f t="shared" si="335"/>
        <v>145.54830071405007</v>
      </c>
      <c r="BV640" s="205">
        <f t="shared" si="336"/>
        <v>180.50588525449027</v>
      </c>
      <c r="BY640" s="180">
        <v>2035</v>
      </c>
      <c r="BZ640" s="22">
        <v>21</v>
      </c>
      <c r="CA640" s="318">
        <f t="shared" ca="1" si="337"/>
        <v>-2.6283257193191578</v>
      </c>
      <c r="CB640" s="318">
        <f t="shared" ca="1" si="338"/>
        <v>38.962652303212252</v>
      </c>
      <c r="CC640" s="319">
        <f t="shared" ca="1" si="349"/>
        <v>144.49935439522881</v>
      </c>
      <c r="CD640" s="205">
        <f t="shared" ca="1" si="339"/>
        <v>180.83368097912191</v>
      </c>
      <c r="CG640" s="180">
        <v>2035</v>
      </c>
      <c r="CH640" s="22">
        <v>21</v>
      </c>
      <c r="CI640" s="318">
        <f t="shared" ca="1" si="340"/>
        <v>-0.4396714033892552</v>
      </c>
      <c r="CJ640" s="318">
        <f t="shared" ca="1" si="341"/>
        <v>-1.6233625115722725</v>
      </c>
      <c r="CK640" s="318">
        <f t="shared" ca="1" si="342"/>
        <v>38.340332824764211</v>
      </c>
      <c r="CL640" s="319">
        <f t="shared" ca="1" si="343"/>
        <v>144.5845825674958</v>
      </c>
      <c r="CM640" s="205">
        <f t="shared" ca="1" si="344"/>
        <v>180.86188147729848</v>
      </c>
      <c r="CP640" s="180">
        <v>2035</v>
      </c>
      <c r="CQ640" s="22">
        <v>21</v>
      </c>
      <c r="CR640" s="318">
        <f t="shared" ca="1" si="345"/>
        <v>146.79514120938387</v>
      </c>
      <c r="CS640" s="319">
        <f t="shared" ca="1" si="346"/>
        <v>1.2267895165565286</v>
      </c>
      <c r="CT640" s="205">
        <f t="shared" ca="1" si="347"/>
        <v>180.08674031710737</v>
      </c>
      <c r="CZ640" s="164" t="b">
        <f t="shared" si="324"/>
        <v>1</v>
      </c>
      <c r="DA640" s="165" t="b">
        <f t="shared" si="324"/>
        <v>1</v>
      </c>
      <c r="DB640" s="166" t="b">
        <f t="shared" si="324"/>
        <v>1</v>
      </c>
      <c r="DC640" s="164">
        <f t="shared" si="325"/>
        <v>23</v>
      </c>
      <c r="DD640" s="166">
        <f t="shared" si="326"/>
        <v>172.45945945945937</v>
      </c>
      <c r="DE640" s="164">
        <f t="shared" si="327"/>
        <v>23</v>
      </c>
      <c r="DF640" s="166">
        <f t="shared" si="328"/>
        <v>184.01698258585708</v>
      </c>
      <c r="DG640" s="164">
        <f t="shared" si="329"/>
        <v>23</v>
      </c>
      <c r="DH640" s="166">
        <f t="shared" si="330"/>
        <v>195.57450571225479</v>
      </c>
      <c r="DI640" s="164">
        <f>IFERROR(INDEX(DC$615:DC$663,_xlfn.AGGREGATE(15,6,(ROW(DC$615:DC$663)-ROW(DC$615)+1)/(DC$615:DC$663&lt;&gt;""),ROWS(DI$1:DI26))),"")</f>
        <v>26</v>
      </c>
      <c r="DJ640" s="165">
        <f>IFERROR(INDEX(DD$615:DD$663,_xlfn.AGGREGATE(15,6,(ROW(DD$615:DD$663)-ROW(DD$615)+1)/(DD$615:DD$663&lt;&gt;""),ROWS(DJ$1:DJ26))),"")</f>
        <v>177.89189189189179</v>
      </c>
      <c r="DK640" s="166">
        <f t="shared" si="331"/>
        <v>640</v>
      </c>
      <c r="DL640" s="164">
        <f>IFERROR(INDEX(DE$615:DE$663,_xlfn.AGGREGATE(15,6,(ROW(DE$615:DE$663)-ROW(DE$615)+1)/(DE$615:DE$663&lt;&gt;""),ROWS(DL$1:DL26))),"")</f>
        <v>26</v>
      </c>
      <c r="DM640" s="165">
        <f>IFERROR(INDEX(DF$615:DF$663,_xlfn.AGGREGATE(15,6,(ROW(DF$615:DF$663)-ROW(DF$615)+1)/(DF$615:DF$663&lt;&gt;""),ROWS(DM$1:DM26))),"")</f>
        <v>188.72144394701778</v>
      </c>
      <c r="DN640" s="166">
        <f t="shared" si="332"/>
        <v>640</v>
      </c>
      <c r="DO640" s="164">
        <f>IFERROR(INDEX(DG$615:DG$663,_xlfn.AGGREGATE(15,6,(ROW(DG$615:DG$663)-ROW(DG$615)+1)/(DG$615:DG$663&lt;&gt;""),ROWS(DO$1:DO26))),"")</f>
        <v>26</v>
      </c>
      <c r="DP640" s="165">
        <f>IFERROR(INDEX(DH$615:DH$663,_xlfn.AGGREGATE(15,6,(ROW(DH$615:DH$663)-ROW(DH$615)+1)/(DH$615:DH$663&lt;&gt;""),ROWS(DP$1:DP26))),"")</f>
        <v>199.55099600214376</v>
      </c>
      <c r="DQ640" s="166">
        <f t="shared" si="333"/>
        <v>640</v>
      </c>
      <c r="DR640" s="65"/>
      <c r="DV640" s="145">
        <v>2040</v>
      </c>
      <c r="DW640" s="235">
        <f t="shared" ca="1" si="317"/>
        <v>188.73071553029646</v>
      </c>
    </row>
    <row r="641" spans="2:135" ht="13.8" x14ac:dyDescent="0.45">
      <c r="B641" s="128">
        <v>2038</v>
      </c>
      <c r="C641" s="291">
        <f>'Total MSW Summaries (Archive)'!L29</f>
        <v>196.91550147860929</v>
      </c>
      <c r="D641" s="307">
        <f>'Total MSW Summaries (Archive)'!BH29</f>
        <v>174.27027027027017</v>
      </c>
      <c r="E641" s="292"/>
      <c r="F641" s="293"/>
      <c r="G641" s="320"/>
      <c r="H641" s="292"/>
      <c r="I641" s="293"/>
      <c r="J641" s="320"/>
      <c r="K641" s="292"/>
      <c r="L641" s="293"/>
      <c r="M641" s="292"/>
      <c r="N641" s="29" t="s">
        <v>119</v>
      </c>
      <c r="O641" s="120"/>
      <c r="P641" s="120"/>
      <c r="Q641" s="120"/>
      <c r="R641" s="29">
        <v>24</v>
      </c>
      <c r="S641" s="317">
        <f t="shared" si="318"/>
        <v>174.27027027027017</v>
      </c>
      <c r="T641" s="317">
        <f t="shared" si="319"/>
        <v>196.91550147860929</v>
      </c>
      <c r="U641" s="317">
        <f t="shared" si="320"/>
        <v>11.322615604169556</v>
      </c>
      <c r="W641" s="317">
        <f t="shared" si="321"/>
        <v>174.27027027027017</v>
      </c>
      <c r="X641" s="317">
        <f t="shared" si="322"/>
        <v>185.59288587443973</v>
      </c>
      <c r="Y641" s="317">
        <f t="shared" si="323"/>
        <v>196.91550147860929</v>
      </c>
      <c r="AA641" s="89"/>
      <c r="AB641" s="89"/>
      <c r="AC641" s="89"/>
      <c r="AD641" s="89"/>
      <c r="AE641" s="89"/>
      <c r="AF641" s="89"/>
      <c r="AG641" s="89"/>
      <c r="AH641" s="89"/>
      <c r="AI641" s="89"/>
      <c r="AJ641" s="89"/>
      <c r="AK641" s="89"/>
      <c r="AL641" s="89"/>
      <c r="AM641" s="89"/>
      <c r="AN641" s="89"/>
      <c r="BR641" s="180">
        <v>2036</v>
      </c>
      <c r="BS641" s="22">
        <v>22</v>
      </c>
      <c r="BT641" s="318">
        <f t="shared" si="334"/>
        <v>36.622231423318311</v>
      </c>
      <c r="BU641" s="319">
        <f t="shared" si="335"/>
        <v>145.54830071405007</v>
      </c>
      <c r="BV641" s="205">
        <f t="shared" si="336"/>
        <v>182.17053213736838</v>
      </c>
      <c r="BY641" s="180">
        <v>2036</v>
      </c>
      <c r="BZ641" s="22">
        <v>22</v>
      </c>
      <c r="CA641" s="318">
        <f t="shared" ca="1" si="337"/>
        <v>-2.884602376758441</v>
      </c>
      <c r="CB641" s="318">
        <f t="shared" ca="1" si="338"/>
        <v>40.818016698603316</v>
      </c>
      <c r="CC641" s="319">
        <f t="shared" ca="1" si="349"/>
        <v>144.49935439522881</v>
      </c>
      <c r="CD641" s="205">
        <f t="shared" ca="1" si="339"/>
        <v>182.43276871707369</v>
      </c>
      <c r="CG641" s="180">
        <v>2036</v>
      </c>
      <c r="CH641" s="22">
        <v>22</v>
      </c>
      <c r="CI641" s="318">
        <f t="shared" ca="1" si="340"/>
        <v>-0.50552004138740847</v>
      </c>
      <c r="CJ641" s="318">
        <f t="shared" ca="1" si="341"/>
        <v>-1.7816495591858956</v>
      </c>
      <c r="CK641" s="318">
        <f t="shared" ca="1" si="342"/>
        <v>40.166062959276793</v>
      </c>
      <c r="CL641" s="319">
        <f t="shared" ca="1" si="343"/>
        <v>144.5845825674958</v>
      </c>
      <c r="CM641" s="205">
        <f t="shared" ca="1" si="344"/>
        <v>182.46347592619929</v>
      </c>
      <c r="CP641" s="180">
        <v>2036</v>
      </c>
      <c r="CQ641" s="22">
        <v>22</v>
      </c>
      <c r="CR641" s="318">
        <f t="shared" ca="1" si="345"/>
        <v>146.79514120938387</v>
      </c>
      <c r="CS641" s="319">
        <f t="shared" ca="1" si="346"/>
        <v>1.2387886043649345</v>
      </c>
      <c r="CT641" s="205">
        <f t="shared" ca="1" si="347"/>
        <v>181.84814810632614</v>
      </c>
      <c r="CZ641" s="164" t="b">
        <f t="shared" si="324"/>
        <v>1</v>
      </c>
      <c r="DA641" s="165" t="b">
        <f t="shared" si="324"/>
        <v>1</v>
      </c>
      <c r="DB641" s="166" t="b">
        <f t="shared" si="324"/>
        <v>1</v>
      </c>
      <c r="DC641" s="164">
        <f t="shared" si="325"/>
        <v>24</v>
      </c>
      <c r="DD641" s="166">
        <f t="shared" si="326"/>
        <v>174.27027027027017</v>
      </c>
      <c r="DE641" s="164">
        <f t="shared" si="327"/>
        <v>24</v>
      </c>
      <c r="DF641" s="166">
        <f t="shared" si="328"/>
        <v>185.59288587443973</v>
      </c>
      <c r="DG641" s="164">
        <f t="shared" si="329"/>
        <v>24</v>
      </c>
      <c r="DH641" s="166">
        <f t="shared" si="330"/>
        <v>196.91550147860929</v>
      </c>
      <c r="DI641" s="164">
        <f>IFERROR(INDEX(DC$615:DC$663,_xlfn.AGGREGATE(15,6,(ROW(DC$615:DC$663)-ROW(DC$615)+1)/(DC$615:DC$663&lt;&gt;""),ROWS(DI$1:DI27))),"")</f>
        <v>27</v>
      </c>
      <c r="DJ641" s="165">
        <f>IFERROR(INDEX(DD$615:DD$663,_xlfn.AGGREGATE(15,6,(ROW(DD$615:DD$663)-ROW(DD$615)+1)/(DD$615:DD$663&lt;&gt;""),ROWS(DJ$1:DJ27))),"")</f>
        <v>179.7027027027026</v>
      </c>
      <c r="DK641" s="166">
        <f t="shared" si="331"/>
        <v>641</v>
      </c>
      <c r="DL641" s="164">
        <f>IFERROR(INDEX(DE$615:DE$663,_xlfn.AGGREGATE(15,6,(ROW(DE$615:DE$663)-ROW(DE$615)+1)/(DE$615:DE$663&lt;&gt;""),ROWS(DL$1:DL27))),"")</f>
        <v>27</v>
      </c>
      <c r="DM641" s="165">
        <f>IFERROR(INDEX(DF$615:DF$663,_xlfn.AGGREGATE(15,6,(ROW(DF$615:DF$663)-ROW(DF$615)+1)/(DF$615:DF$663&lt;&gt;""),ROWS(DM$1:DM27))),"")</f>
        <v>190.2745650972154</v>
      </c>
      <c r="DN641" s="166">
        <f t="shared" si="332"/>
        <v>641</v>
      </c>
      <c r="DO641" s="164">
        <f>IFERROR(INDEX(DG$615:DG$663,_xlfn.AGGREGATE(15,6,(ROW(DG$615:DG$663)-ROW(DG$615)+1)/(DG$615:DG$663&lt;&gt;""),ROWS(DO$1:DO27))),"")</f>
        <v>27</v>
      </c>
      <c r="DP641" s="165">
        <f>IFERROR(INDEX(DH$615:DH$663,_xlfn.AGGREGATE(15,6,(ROW(DH$615:DH$663)-ROW(DH$615)+1)/(DH$615:DH$663&lt;&gt;""),ROWS(DP$1:DP27))),"")</f>
        <v>200.84642749172821</v>
      </c>
      <c r="DQ641" s="166">
        <f t="shared" si="333"/>
        <v>641</v>
      </c>
      <c r="DR641" s="65"/>
      <c r="DV641" s="145">
        <v>2041</v>
      </c>
      <c r="DW641" s="235">
        <f t="shared" ca="1" si="317"/>
        <v>190.26131661585958</v>
      </c>
    </row>
    <row r="642" spans="2:135" ht="13.8" x14ac:dyDescent="0.45">
      <c r="B642" s="128">
        <v>2039</v>
      </c>
      <c r="C642" s="291">
        <f>'Total MSW Summaries (Archive)'!L30</f>
        <v>198.24085183675069</v>
      </c>
      <c r="D642" s="307">
        <f>'Total MSW Summaries (Archive)'!BH30</f>
        <v>176.08108108108098</v>
      </c>
      <c r="E642" s="292"/>
      <c r="F642" s="293"/>
      <c r="G642" s="320"/>
      <c r="H642" s="292"/>
      <c r="I642" s="293"/>
      <c r="J642" s="320"/>
      <c r="K642" s="292"/>
      <c r="L642" s="293"/>
      <c r="M642" s="292"/>
      <c r="N642" s="29" t="s">
        <v>119</v>
      </c>
      <c r="O642" s="120"/>
      <c r="P642" s="120"/>
      <c r="Q642" s="120"/>
      <c r="R642" s="29">
        <v>25</v>
      </c>
      <c r="S642" s="317">
        <f t="shared" si="318"/>
        <v>176.08108108108098</v>
      </c>
      <c r="T642" s="317">
        <f t="shared" si="319"/>
        <v>198.24085183675069</v>
      </c>
      <c r="U642" s="317">
        <f t="shared" si="320"/>
        <v>11.079885377834856</v>
      </c>
      <c r="W642" s="317">
        <f t="shared" si="321"/>
        <v>176.08108108108098</v>
      </c>
      <c r="X642" s="317">
        <f t="shared" si="322"/>
        <v>187.16096645891582</v>
      </c>
      <c r="Y642" s="317">
        <f t="shared" si="323"/>
        <v>198.24085183675066</v>
      </c>
      <c r="AA642" s="89"/>
      <c r="AB642" s="89"/>
      <c r="AC642" s="89"/>
      <c r="AD642" s="89"/>
      <c r="AE642" s="89"/>
      <c r="AF642" s="89"/>
      <c r="AG642" s="89"/>
      <c r="AH642" s="89"/>
      <c r="AI642" s="89"/>
      <c r="AJ642" s="89"/>
      <c r="AK642" s="89"/>
      <c r="AL642" s="89"/>
      <c r="AM642" s="89"/>
      <c r="AN642" s="89"/>
      <c r="BR642" s="180">
        <v>2037</v>
      </c>
      <c r="BS642" s="22">
        <v>23</v>
      </c>
      <c r="BT642" s="318">
        <f t="shared" si="334"/>
        <v>38.286878306196414</v>
      </c>
      <c r="BU642" s="319">
        <f t="shared" si="335"/>
        <v>145.54830071405007</v>
      </c>
      <c r="BV642" s="205">
        <f t="shared" si="336"/>
        <v>183.83517902024647</v>
      </c>
      <c r="BY642" s="180">
        <v>2037</v>
      </c>
      <c r="BZ642" s="22">
        <v>23</v>
      </c>
      <c r="CA642" s="318">
        <f t="shared" ca="1" si="337"/>
        <v>-3.1527988787297834</v>
      </c>
      <c r="CB642" s="318">
        <f t="shared" ca="1" si="338"/>
        <v>42.673381093994372</v>
      </c>
      <c r="CC642" s="319">
        <f t="shared" ca="1" si="349"/>
        <v>144.49935439522881</v>
      </c>
      <c r="CD642" s="205">
        <f t="shared" ca="1" si="339"/>
        <v>184.0199366104934</v>
      </c>
      <c r="CG642" s="180">
        <v>2037</v>
      </c>
      <c r="CH642" s="22">
        <v>23</v>
      </c>
      <c r="CI642" s="318">
        <f t="shared" ca="1" si="340"/>
        <v>-0.57763545675813277</v>
      </c>
      <c r="CJ642" s="318">
        <f t="shared" ca="1" si="341"/>
        <v>-1.9472987950606173</v>
      </c>
      <c r="CK642" s="318">
        <f t="shared" ca="1" si="342"/>
        <v>41.991793093789376</v>
      </c>
      <c r="CL642" s="319">
        <f t="shared" ca="1" si="343"/>
        <v>144.5845825674958</v>
      </c>
      <c r="CM642" s="205">
        <f t="shared" ca="1" si="344"/>
        <v>184.05144140946643</v>
      </c>
      <c r="CP642" s="180">
        <v>2037</v>
      </c>
      <c r="CQ642" s="22">
        <v>23</v>
      </c>
      <c r="CR642" s="318">
        <f t="shared" ca="1" si="345"/>
        <v>146.79514120938387</v>
      </c>
      <c r="CS642" s="319">
        <f t="shared" ca="1" si="346"/>
        <v>1.2509050538774393</v>
      </c>
      <c r="CT642" s="205">
        <f t="shared" ca="1" si="347"/>
        <v>183.62678402347063</v>
      </c>
      <c r="CZ642" s="164" t="b">
        <f t="shared" si="324"/>
        <v>1</v>
      </c>
      <c r="DA642" s="165" t="b">
        <f t="shared" si="324"/>
        <v>1</v>
      </c>
      <c r="DB642" s="166" t="b">
        <f t="shared" si="324"/>
        <v>1</v>
      </c>
      <c r="DC642" s="164">
        <f t="shared" si="325"/>
        <v>25</v>
      </c>
      <c r="DD642" s="166">
        <f t="shared" si="326"/>
        <v>176.08108108108098</v>
      </c>
      <c r="DE642" s="164">
        <f t="shared" si="327"/>
        <v>25</v>
      </c>
      <c r="DF642" s="166">
        <f t="shared" si="328"/>
        <v>187.16096645891582</v>
      </c>
      <c r="DG642" s="164">
        <f t="shared" si="329"/>
        <v>25</v>
      </c>
      <c r="DH642" s="166">
        <f t="shared" si="330"/>
        <v>198.24085183675066</v>
      </c>
      <c r="DI642" s="164">
        <f>IFERROR(INDEX(DC$615:DC$663,_xlfn.AGGREGATE(15,6,(ROW(DC$615:DC$663)-ROW(DC$615)+1)/(DC$615:DC$663&lt;&gt;""),ROWS(DI$1:DI28))),"")</f>
        <v>28</v>
      </c>
      <c r="DJ642" s="165">
        <f>IFERROR(INDEX(DD$615:DD$663,_xlfn.AGGREGATE(15,6,(ROW(DD$615:DD$663)-ROW(DD$615)+1)/(DD$615:DD$663&lt;&gt;""),ROWS(DJ$1:DJ28))),"")</f>
        <v>181.5135135135134</v>
      </c>
      <c r="DK642" s="166">
        <f t="shared" si="331"/>
        <v>642</v>
      </c>
      <c r="DL642" s="164">
        <f>IFERROR(INDEX(DE$615:DE$663,_xlfn.AGGREGATE(15,6,(ROW(DE$615:DE$663)-ROW(DE$615)+1)/(DE$615:DE$663&lt;&gt;""),ROWS(DL$1:DL28))),"")</f>
        <v>28</v>
      </c>
      <c r="DM642" s="165">
        <f>IFERROR(INDEX(DF$615:DF$663,_xlfn.AGGREGATE(15,6,(ROW(DF$615:DF$663)-ROW(DF$615)+1)/(DF$615:DF$663&lt;&gt;""),ROWS(DM$1:DM28))),"")</f>
        <v>191.77662375115921</v>
      </c>
      <c r="DN642" s="166">
        <f t="shared" si="332"/>
        <v>642</v>
      </c>
      <c r="DO642" s="164">
        <f>IFERROR(INDEX(DG$615:DG$663,_xlfn.AGGREGATE(15,6,(ROW(DG$615:DG$663)-ROW(DG$615)+1)/(DG$615:DG$663&lt;&gt;""),ROWS(DO$1:DO28))),"")</f>
        <v>28</v>
      </c>
      <c r="DP642" s="165">
        <f>IFERROR(INDEX(DH$615:DH$663,_xlfn.AGGREGATE(15,6,(ROW(DH$615:DH$663)-ROW(DH$615)+1)/(DH$615:DH$663&lt;&gt;""),ROWS(DP$1:DP28))),"")</f>
        <v>202.03973398880501</v>
      </c>
      <c r="DQ642" s="166">
        <f t="shared" si="333"/>
        <v>642</v>
      </c>
      <c r="DR642" s="65"/>
      <c r="DV642" s="145">
        <v>2042</v>
      </c>
      <c r="DW642" s="235">
        <f t="shared" ca="1" si="317"/>
        <v>191.77686446820434</v>
      </c>
    </row>
    <row r="643" spans="2:135" ht="13.8" x14ac:dyDescent="0.45">
      <c r="B643" s="128">
        <v>2040</v>
      </c>
      <c r="C643" s="291">
        <f>'Total MSW Summaries (Archive)'!L31</f>
        <v>199.55099600214376</v>
      </c>
      <c r="D643" s="307">
        <f>'Total MSW Summaries (Archive)'!BH31</f>
        <v>177.89189189189179</v>
      </c>
      <c r="E643" s="292"/>
      <c r="F643" s="293"/>
      <c r="G643" s="320"/>
      <c r="H643" s="292"/>
      <c r="I643" s="293"/>
      <c r="J643" s="320"/>
      <c r="K643" s="292"/>
      <c r="L643" s="293"/>
      <c r="M643" s="292"/>
      <c r="N643" s="29" t="s">
        <v>119</v>
      </c>
      <c r="O643" s="120"/>
      <c r="P643" s="120"/>
      <c r="Q643" s="120"/>
      <c r="R643" s="29">
        <v>26</v>
      </c>
      <c r="S643" s="317">
        <f t="shared" si="318"/>
        <v>177.89189189189179</v>
      </c>
      <c r="T643" s="317">
        <f t="shared" si="319"/>
        <v>199.55099600214376</v>
      </c>
      <c r="U643" s="317">
        <f t="shared" si="320"/>
        <v>10.829552055125987</v>
      </c>
      <c r="W643" s="317">
        <f t="shared" si="321"/>
        <v>177.89189189189179</v>
      </c>
      <c r="X643" s="317">
        <f t="shared" si="322"/>
        <v>188.72144394701778</v>
      </c>
      <c r="Y643" s="317">
        <f t="shared" si="323"/>
        <v>199.55099600214376</v>
      </c>
      <c r="AA643" s="89"/>
      <c r="AB643" s="89"/>
      <c r="AC643" s="89"/>
      <c r="AD643" s="89"/>
      <c r="AE643" s="89"/>
      <c r="AF643" s="89"/>
      <c r="AG643" s="89"/>
      <c r="AH643" s="89"/>
      <c r="AI643" s="89"/>
      <c r="AJ643" s="89"/>
      <c r="AK643" s="89"/>
      <c r="AL643" s="89"/>
      <c r="AM643" s="89"/>
      <c r="AN643" s="89"/>
      <c r="BR643" s="180">
        <v>2038</v>
      </c>
      <c r="BS643" s="22">
        <v>24</v>
      </c>
      <c r="BT643" s="318">
        <f t="shared" si="334"/>
        <v>39.951525189074516</v>
      </c>
      <c r="BU643" s="319">
        <f t="shared" si="335"/>
        <v>145.54830071405007</v>
      </c>
      <c r="BV643" s="205">
        <f t="shared" si="336"/>
        <v>185.49982590312459</v>
      </c>
      <c r="BY643" s="180">
        <v>2038</v>
      </c>
      <c r="BZ643" s="22">
        <v>24</v>
      </c>
      <c r="CA643" s="318">
        <f t="shared" ca="1" si="337"/>
        <v>-3.4329152252331858</v>
      </c>
      <c r="CB643" s="318">
        <f t="shared" ca="1" si="338"/>
        <v>44.528745489385429</v>
      </c>
      <c r="CC643" s="319">
        <f t="shared" ca="1" si="349"/>
        <v>144.49935439522881</v>
      </c>
      <c r="CD643" s="205">
        <f t="shared" ca="1" si="339"/>
        <v>185.59518465938106</v>
      </c>
      <c r="CG643" s="180">
        <v>2038</v>
      </c>
      <c r="CH643" s="22">
        <v>24</v>
      </c>
      <c r="CI643" s="318">
        <f t="shared" ca="1" si="340"/>
        <v>-0.65630250301836346</v>
      </c>
      <c r="CJ643" s="318">
        <f t="shared" ca="1" si="341"/>
        <v>-2.1203102191964378</v>
      </c>
      <c r="CK643" s="318">
        <f t="shared" ca="1" si="342"/>
        <v>43.817523228301958</v>
      </c>
      <c r="CL643" s="319">
        <f t="shared" ca="1" si="343"/>
        <v>144.5845825674958</v>
      </c>
      <c r="CM643" s="205">
        <f t="shared" ca="1" si="344"/>
        <v>185.62549307358296</v>
      </c>
      <c r="CP643" s="180">
        <v>2038</v>
      </c>
      <c r="CQ643" s="22">
        <v>24</v>
      </c>
      <c r="CR643" s="318">
        <f t="shared" ca="1" si="345"/>
        <v>146.79514120938387</v>
      </c>
      <c r="CS643" s="319">
        <f t="shared" ca="1" si="346"/>
        <v>1.2631400129954342</v>
      </c>
      <c r="CT643" s="205">
        <f t="shared" ca="1" si="347"/>
        <v>185.42281657488775</v>
      </c>
      <c r="CZ643" s="164" t="b">
        <f t="shared" si="324"/>
        <v>1</v>
      </c>
      <c r="DA643" s="165" t="b">
        <f t="shared" si="324"/>
        <v>1</v>
      </c>
      <c r="DB643" s="166" t="b">
        <f t="shared" si="324"/>
        <v>1</v>
      </c>
      <c r="DC643" s="164">
        <f t="shared" si="325"/>
        <v>26</v>
      </c>
      <c r="DD643" s="166">
        <f t="shared" si="326"/>
        <v>177.89189189189179</v>
      </c>
      <c r="DE643" s="164">
        <f t="shared" si="327"/>
        <v>26</v>
      </c>
      <c r="DF643" s="166">
        <f t="shared" si="328"/>
        <v>188.72144394701778</v>
      </c>
      <c r="DG643" s="164">
        <f t="shared" si="329"/>
        <v>26</v>
      </c>
      <c r="DH643" s="166">
        <f t="shared" si="330"/>
        <v>199.55099600214376</v>
      </c>
      <c r="DI643" s="164">
        <f>IFERROR(INDEX(DC$615:DC$663,_xlfn.AGGREGATE(15,6,(ROW(DC$615:DC$663)-ROW(DC$615)+1)/(DC$615:DC$663&lt;&gt;""),ROWS(DI$1:DI29))),"")</f>
        <v>29</v>
      </c>
      <c r="DJ643" s="165">
        <f>IFERROR(INDEX(DD$615:DD$663,_xlfn.AGGREGATE(15,6,(ROW(DD$615:DD$663)-ROW(DD$615)+1)/(DD$615:DD$663&lt;&gt;""),ROWS(DJ$1:DJ29))),"")</f>
        <v>183.32432432432421</v>
      </c>
      <c r="DK643" s="166">
        <f t="shared" si="331"/>
        <v>643</v>
      </c>
      <c r="DL643" s="164">
        <f>IFERROR(INDEX(DE$615:DE$663,_xlfn.AGGREGATE(15,6,(ROW(DE$615:DE$663)-ROW(DE$615)+1)/(DE$615:DE$663&lt;&gt;""),ROWS(DL$1:DL29))),"")</f>
        <v>29</v>
      </c>
      <c r="DM643" s="165">
        <f>IFERROR(INDEX(DF$615:DF$663,_xlfn.AGGREGATE(15,6,(ROW(DF$615:DF$663)-ROW(DF$615)+1)/(DF$615:DF$663&lt;&gt;""),ROWS(DM$1:DM29))),"")</f>
        <v>193.27326902502773</v>
      </c>
      <c r="DN643" s="166">
        <f t="shared" si="332"/>
        <v>643</v>
      </c>
      <c r="DO643" s="164">
        <f>IFERROR(INDEX(DG$615:DG$663,_xlfn.AGGREGATE(15,6,(ROW(DG$615:DG$663)-ROW(DG$615)+1)/(DG$615:DG$663&lt;&gt;""),ROWS(DO$1:DO29))),"")</f>
        <v>29</v>
      </c>
      <c r="DP643" s="165">
        <f>IFERROR(INDEX(DH$615:DH$663,_xlfn.AGGREGATE(15,6,(ROW(DH$615:DH$663)-ROW(DH$615)+1)/(DH$615:DH$663&lt;&gt;""),ROWS(DP$1:DP29))),"")</f>
        <v>203.22221372573125</v>
      </c>
      <c r="DQ643" s="166">
        <f t="shared" si="333"/>
        <v>643</v>
      </c>
      <c r="DR643" s="65"/>
      <c r="DV643" s="145">
        <v>2043</v>
      </c>
      <c r="DW643" s="235">
        <f t="shared" ca="1" si="317"/>
        <v>193.27707423381381</v>
      </c>
      <c r="EA643" s="55"/>
      <c r="EB643" s="55"/>
      <c r="EC643" s="55"/>
      <c r="ED643" s="55"/>
      <c r="EE643" s="55"/>
    </row>
    <row r="644" spans="2:135" ht="13.8" x14ac:dyDescent="0.45">
      <c r="B644" s="128">
        <v>2041</v>
      </c>
      <c r="C644" s="291">
        <f>'Total MSW Summaries (Archive)'!L32</f>
        <v>200.84642749172821</v>
      </c>
      <c r="D644" s="307">
        <f>'Total MSW Summaries (Archive)'!BH32</f>
        <v>179.7027027027026</v>
      </c>
      <c r="E644" s="292"/>
      <c r="F644" s="293"/>
      <c r="G644" s="320"/>
      <c r="H644" s="292"/>
      <c r="I644" s="293"/>
      <c r="J644" s="320"/>
      <c r="K644" s="292"/>
      <c r="L644" s="293"/>
      <c r="M644" s="292"/>
      <c r="N644" s="29" t="s">
        <v>119</v>
      </c>
      <c r="O644" s="120"/>
      <c r="P644" s="120"/>
      <c r="Q644" s="120"/>
      <c r="R644" s="29">
        <v>27</v>
      </c>
      <c r="S644" s="317">
        <f t="shared" si="318"/>
        <v>179.7027027027026</v>
      </c>
      <c r="T644" s="317">
        <f t="shared" si="319"/>
        <v>200.84642749172821</v>
      </c>
      <c r="U644" s="317">
        <f t="shared" si="320"/>
        <v>10.571862394512806</v>
      </c>
      <c r="W644" s="317">
        <f t="shared" si="321"/>
        <v>179.7027027027026</v>
      </c>
      <c r="X644" s="317">
        <f t="shared" si="322"/>
        <v>190.2745650972154</v>
      </c>
      <c r="Y644" s="317">
        <f t="shared" si="323"/>
        <v>200.84642749172821</v>
      </c>
      <c r="AA644" s="89"/>
      <c r="AB644" s="89"/>
      <c r="AC644" s="89"/>
      <c r="AD644" s="89"/>
      <c r="AE644" s="89"/>
      <c r="AF644" s="89"/>
      <c r="AG644" s="89"/>
      <c r="AH644" s="89"/>
      <c r="AI644" s="89"/>
      <c r="AJ644" s="89"/>
      <c r="AK644" s="89"/>
      <c r="AL644" s="89"/>
      <c r="AM644" s="89"/>
      <c r="AN644" s="89"/>
      <c r="BR644" s="180">
        <v>2039</v>
      </c>
      <c r="BS644" s="22">
        <v>25</v>
      </c>
      <c r="BT644" s="318">
        <f t="shared" si="334"/>
        <v>41.616172071952626</v>
      </c>
      <c r="BU644" s="319">
        <f t="shared" si="335"/>
        <v>145.54830071405007</v>
      </c>
      <c r="BV644" s="205">
        <f t="shared" si="336"/>
        <v>187.1644727860027</v>
      </c>
      <c r="BY644" s="180">
        <v>2039</v>
      </c>
      <c r="BZ644" s="22">
        <v>25</v>
      </c>
      <c r="CA644" s="318">
        <f t="shared" ca="1" si="337"/>
        <v>-3.7249514162686479</v>
      </c>
      <c r="CB644" s="318">
        <f t="shared" ca="1" si="338"/>
        <v>46.384109884776493</v>
      </c>
      <c r="CC644" s="319">
        <f t="shared" ca="1" si="349"/>
        <v>144.49935439522881</v>
      </c>
      <c r="CD644" s="205">
        <f t="shared" ca="1" si="339"/>
        <v>187.15851286373666</v>
      </c>
      <c r="CG644" s="180">
        <v>2039</v>
      </c>
      <c r="CH644" s="22">
        <v>25</v>
      </c>
      <c r="CI644" s="318">
        <f t="shared" ca="1" si="340"/>
        <v>-0.74180603368503539</v>
      </c>
      <c r="CJ644" s="318">
        <f t="shared" ca="1" si="341"/>
        <v>-2.3006838315933567</v>
      </c>
      <c r="CK644" s="318">
        <f t="shared" ca="1" si="342"/>
        <v>45.643253362814541</v>
      </c>
      <c r="CL644" s="319">
        <f t="shared" ca="1" si="343"/>
        <v>144.5845825674958</v>
      </c>
      <c r="CM644" s="205">
        <f t="shared" ca="1" si="344"/>
        <v>187.18534606503195</v>
      </c>
      <c r="CP644" s="180">
        <v>2039</v>
      </c>
      <c r="CQ644" s="22">
        <v>25</v>
      </c>
      <c r="CR644" s="318">
        <f t="shared" ca="1" si="345"/>
        <v>146.79514120938387</v>
      </c>
      <c r="CS644" s="319">
        <f t="shared" ca="1" si="346"/>
        <v>1.275494640847803</v>
      </c>
      <c r="CT644" s="205">
        <f t="shared" ca="1" si="347"/>
        <v>187.23641591506561</v>
      </c>
      <c r="CZ644" s="164" t="b">
        <f t="shared" si="324"/>
        <v>1</v>
      </c>
      <c r="DA644" s="165" t="b">
        <f t="shared" si="324"/>
        <v>1</v>
      </c>
      <c r="DB644" s="166" t="b">
        <f t="shared" si="324"/>
        <v>1</v>
      </c>
      <c r="DC644" s="164">
        <f t="shared" si="325"/>
        <v>27</v>
      </c>
      <c r="DD644" s="166">
        <f t="shared" si="326"/>
        <v>179.7027027027026</v>
      </c>
      <c r="DE644" s="164">
        <f t="shared" si="327"/>
        <v>27</v>
      </c>
      <c r="DF644" s="166">
        <f t="shared" si="328"/>
        <v>190.2745650972154</v>
      </c>
      <c r="DG644" s="164">
        <f t="shared" si="329"/>
        <v>27</v>
      </c>
      <c r="DH644" s="166">
        <f t="shared" si="330"/>
        <v>200.84642749172821</v>
      </c>
      <c r="DI644" s="164">
        <f>IFERROR(INDEX(DC$615:DC$663,_xlfn.AGGREGATE(15,6,(ROW(DC$615:DC$663)-ROW(DC$615)+1)/(DC$615:DC$663&lt;&gt;""),ROWS(DI$1:DI30))),"")</f>
        <v>30</v>
      </c>
      <c r="DJ644" s="165">
        <f>IFERROR(INDEX(DD$615:DD$663,_xlfn.AGGREGATE(15,6,(ROW(DD$615:DD$663)-ROW(DD$615)+1)/(DD$615:DD$663&lt;&gt;""),ROWS(DJ$1:DJ30))),"")</f>
        <v>185.13513513513502</v>
      </c>
      <c r="DK644" s="166">
        <f t="shared" si="331"/>
        <v>644</v>
      </c>
      <c r="DL644" s="164">
        <f>IFERROR(INDEX(DE$615:DE$663,_xlfn.AGGREGATE(15,6,(ROW(DE$615:DE$663)-ROW(DE$615)+1)/(DE$615:DE$663&lt;&gt;""),ROWS(DL$1:DL30))),"")</f>
        <v>30</v>
      </c>
      <c r="DM644" s="165">
        <f>IFERROR(INDEX(DF$615:DF$663,_xlfn.AGGREGATE(15,6,(ROW(DF$615:DF$663)-ROW(DF$615)+1)/(DF$615:DF$663&lt;&gt;""),ROWS(DM$1:DM30))),"")</f>
        <v>194.76638551404542</v>
      </c>
      <c r="DN644" s="166">
        <f t="shared" si="332"/>
        <v>644</v>
      </c>
      <c r="DO644" s="164">
        <f>IFERROR(INDEX(DG$615:DG$663,_xlfn.AGGREGATE(15,6,(ROW(DG$615:DG$663)-ROW(DG$615)+1)/(DG$615:DG$663&lt;&gt;""),ROWS(DO$1:DO30))),"")</f>
        <v>30</v>
      </c>
      <c r="DP644" s="165">
        <f>IFERROR(INDEX(DH$615:DH$663,_xlfn.AGGREGATE(15,6,(ROW(DH$615:DH$663)-ROW(DH$615)+1)/(DH$615:DH$663&lt;&gt;""),ROWS(DP$1:DP30))),"")</f>
        <v>204.39763589295583</v>
      </c>
      <c r="DQ644" s="166">
        <f t="shared" si="333"/>
        <v>644</v>
      </c>
      <c r="DR644" s="65"/>
      <c r="DV644" s="145">
        <v>2044</v>
      </c>
      <c r="DW644" s="235">
        <f t="shared" ca="1" si="317"/>
        <v>194.76166105917108</v>
      </c>
      <c r="EA644" s="55"/>
      <c r="EB644" s="55"/>
      <c r="EC644" s="55"/>
      <c r="ED644" s="55"/>
      <c r="EE644" s="55"/>
    </row>
    <row r="645" spans="2:135" ht="13.8" x14ac:dyDescent="0.45">
      <c r="B645" s="128">
        <v>2042</v>
      </c>
      <c r="C645" s="291">
        <f>'Total MSW Summaries (Archive)'!L33</f>
        <v>202.03973398880501</v>
      </c>
      <c r="D645" s="307">
        <f>'Total MSW Summaries (Archive)'!BH33</f>
        <v>181.5135135135134</v>
      </c>
      <c r="E645" s="292"/>
      <c r="F645" s="293"/>
      <c r="G645" s="320"/>
      <c r="H645" s="292"/>
      <c r="I645" s="293"/>
      <c r="J645" s="320"/>
      <c r="K645" s="292"/>
      <c r="L645" s="293"/>
      <c r="M645" s="292"/>
      <c r="N645" s="29" t="s">
        <v>119</v>
      </c>
      <c r="O645" s="120"/>
      <c r="P645" s="120"/>
      <c r="Q645" s="120"/>
      <c r="R645" s="29">
        <v>28</v>
      </c>
      <c r="S645" s="317">
        <f t="shared" si="318"/>
        <v>181.5135135135134</v>
      </c>
      <c r="T645" s="317">
        <f t="shared" si="319"/>
        <v>202.03973398880501</v>
      </c>
      <c r="U645" s="317">
        <f t="shared" si="320"/>
        <v>10.263110237645805</v>
      </c>
      <c r="W645" s="317">
        <f t="shared" si="321"/>
        <v>181.5135135135134</v>
      </c>
      <c r="X645" s="317">
        <f t="shared" si="322"/>
        <v>191.77662375115921</v>
      </c>
      <c r="Y645" s="317">
        <f t="shared" si="323"/>
        <v>202.03973398880501</v>
      </c>
      <c r="AA645" s="89"/>
      <c r="AB645" s="89"/>
      <c r="AC645" s="89"/>
      <c r="AD645" s="89"/>
      <c r="AE645" s="89"/>
      <c r="AF645" s="89"/>
      <c r="AG645" s="89"/>
      <c r="AH645" s="89"/>
      <c r="AI645" s="89"/>
      <c r="AJ645" s="89"/>
      <c r="AK645" s="89"/>
      <c r="AL645" s="89"/>
      <c r="AM645" s="89"/>
      <c r="AN645" s="89"/>
      <c r="BR645" s="180">
        <v>2040</v>
      </c>
      <c r="BS645" s="22">
        <v>26</v>
      </c>
      <c r="BT645" s="318">
        <f t="shared" si="334"/>
        <v>43.280818954830728</v>
      </c>
      <c r="BU645" s="319">
        <f t="shared" si="335"/>
        <v>145.54830071405007</v>
      </c>
      <c r="BV645" s="205">
        <f t="shared" si="336"/>
        <v>188.82911966888079</v>
      </c>
      <c r="BY645" s="180">
        <v>2040</v>
      </c>
      <c r="BZ645" s="22">
        <v>26</v>
      </c>
      <c r="CA645" s="318">
        <f t="shared" ca="1" si="337"/>
        <v>-4.0289074518361696</v>
      </c>
      <c r="CB645" s="318">
        <f t="shared" ca="1" si="338"/>
        <v>48.239474280167549</v>
      </c>
      <c r="CC645" s="319">
        <f t="shared" ca="1" si="349"/>
        <v>144.49935439522881</v>
      </c>
      <c r="CD645" s="205">
        <f t="shared" ca="1" si="339"/>
        <v>188.70992122356017</v>
      </c>
      <c r="CG645" s="180">
        <v>2040</v>
      </c>
      <c r="CH645" s="22">
        <v>26</v>
      </c>
      <c r="CI645" s="318">
        <f t="shared" ca="1" si="340"/>
        <v>-0.83443090227508365</v>
      </c>
      <c r="CJ645" s="318">
        <f t="shared" ca="1" si="341"/>
        <v>-2.4884196322513747</v>
      </c>
      <c r="CK645" s="318">
        <f t="shared" ca="1" si="342"/>
        <v>47.468983497327123</v>
      </c>
      <c r="CL645" s="319">
        <f t="shared" ca="1" si="343"/>
        <v>144.5845825674958</v>
      </c>
      <c r="CM645" s="205">
        <f t="shared" ca="1" si="344"/>
        <v>188.73071553029646</v>
      </c>
      <c r="CP645" s="180">
        <v>2040</v>
      </c>
      <c r="CQ645" s="22">
        <v>26</v>
      </c>
      <c r="CR645" s="318">
        <f t="shared" ca="1" si="345"/>
        <v>146.79514120938387</v>
      </c>
      <c r="CS645" s="319">
        <f t="shared" ca="1" si="346"/>
        <v>1.2879701079007353</v>
      </c>
      <c r="CT645" s="205">
        <f t="shared" ca="1" si="347"/>
        <v>189.06775386275382</v>
      </c>
      <c r="CZ645" s="164" t="b">
        <f t="shared" si="324"/>
        <v>1</v>
      </c>
      <c r="DA645" s="165" t="b">
        <f t="shared" si="324"/>
        <v>1</v>
      </c>
      <c r="DB645" s="166" t="b">
        <f t="shared" si="324"/>
        <v>1</v>
      </c>
      <c r="DC645" s="164">
        <f t="shared" si="325"/>
        <v>28</v>
      </c>
      <c r="DD645" s="166">
        <f t="shared" si="326"/>
        <v>181.5135135135134</v>
      </c>
      <c r="DE645" s="164">
        <f t="shared" si="327"/>
        <v>28</v>
      </c>
      <c r="DF645" s="166">
        <f t="shared" si="328"/>
        <v>191.77662375115921</v>
      </c>
      <c r="DG645" s="164">
        <f t="shared" si="329"/>
        <v>28</v>
      </c>
      <c r="DH645" s="166">
        <f t="shared" si="330"/>
        <v>202.03973398880501</v>
      </c>
      <c r="DI645" s="164">
        <f>IFERROR(INDEX(DC$615:DC$663,_xlfn.AGGREGATE(15,6,(ROW(DC$615:DC$663)-ROW(DC$615)+1)/(DC$615:DC$663&lt;&gt;""),ROWS(DI$1:DI31))),"")</f>
        <v>31</v>
      </c>
      <c r="DJ645" s="165">
        <f>IFERROR(INDEX(DD$615:DD$663,_xlfn.AGGREGATE(15,6,(ROW(DD$615:DD$663)-ROW(DD$615)+1)/(DD$615:DD$663&lt;&gt;""),ROWS(DJ$1:DJ31))),"")</f>
        <v>186.94594594594582</v>
      </c>
      <c r="DK645" s="166">
        <f t="shared" si="331"/>
        <v>645</v>
      </c>
      <c r="DL645" s="164">
        <f>IFERROR(INDEX(DE$615:DE$663,_xlfn.AGGREGATE(15,6,(ROW(DE$615:DE$663)-ROW(DE$615)+1)/(DE$615:DE$663&lt;&gt;""),ROWS(DL$1:DL31))),"")</f>
        <v>31</v>
      </c>
      <c r="DM645" s="165">
        <f>IFERROR(INDEX(DF$615:DF$663,_xlfn.AGGREGATE(15,6,(ROW(DF$615:DF$663)-ROW(DF$615)+1)/(DF$615:DF$663&lt;&gt;""),ROWS(DM$1:DM31))),"")</f>
        <v>196.25749148099825</v>
      </c>
      <c r="DN645" s="166">
        <f t="shared" si="332"/>
        <v>645</v>
      </c>
      <c r="DO645" s="164">
        <f>IFERROR(INDEX(DG$615:DG$663,_xlfn.AGGREGATE(15,6,(ROW(DG$615:DG$663)-ROW(DG$615)+1)/(DG$615:DG$663&lt;&gt;""),ROWS(DO$1:DO31))),"")</f>
        <v>31</v>
      </c>
      <c r="DP645" s="165">
        <f>IFERROR(INDEX(DH$615:DH$663,_xlfn.AGGREGATE(15,6,(ROW(DH$615:DH$663)-ROW(DH$615)+1)/(DH$615:DH$663&lt;&gt;""),ROWS(DP$1:DP31))),"")</f>
        <v>205.56903701605069</v>
      </c>
      <c r="DQ645" s="166">
        <f t="shared" si="333"/>
        <v>645</v>
      </c>
      <c r="DR645" s="65"/>
      <c r="DV645" s="145">
        <v>2045</v>
      </c>
      <c r="DW645" s="235">
        <f t="shared" ca="1" si="317"/>
        <v>196.23034009075917</v>
      </c>
      <c r="EA645" s="55"/>
      <c r="EB645" s="55"/>
      <c r="EC645" s="55"/>
      <c r="ED645" s="55"/>
      <c r="EE645" s="55"/>
    </row>
    <row r="646" spans="2:135" ht="13.8" x14ac:dyDescent="0.45">
      <c r="B646" s="128">
        <v>2043</v>
      </c>
      <c r="C646" s="291">
        <f>'Total MSW Summaries (Archive)'!L34</f>
        <v>203.22221372573122</v>
      </c>
      <c r="D646" s="307">
        <f>'Total MSW Summaries (Archive)'!BH34</f>
        <v>183.32432432432421</v>
      </c>
      <c r="E646" s="292"/>
      <c r="F646" s="293"/>
      <c r="G646" s="320"/>
      <c r="H646" s="292"/>
      <c r="I646" s="293"/>
      <c r="J646" s="320"/>
      <c r="K646" s="292"/>
      <c r="L646" s="293"/>
      <c r="M646" s="292"/>
      <c r="N646" s="29" t="s">
        <v>119</v>
      </c>
      <c r="O646" s="120"/>
      <c r="P646" s="120"/>
      <c r="Q646" s="120"/>
      <c r="R646" s="29">
        <v>29</v>
      </c>
      <c r="S646" s="317">
        <f t="shared" si="318"/>
        <v>183.32432432432421</v>
      </c>
      <c r="T646" s="317">
        <f t="shared" si="319"/>
        <v>203.22221372573122</v>
      </c>
      <c r="U646" s="317">
        <f t="shared" si="320"/>
        <v>9.9489447007035068</v>
      </c>
      <c r="W646" s="317">
        <f t="shared" si="321"/>
        <v>183.32432432432421</v>
      </c>
      <c r="X646" s="317">
        <f t="shared" si="322"/>
        <v>193.27326902502773</v>
      </c>
      <c r="Y646" s="317">
        <f t="shared" si="323"/>
        <v>203.22221372573125</v>
      </c>
      <c r="AA646" s="89"/>
      <c r="AB646" s="89"/>
      <c r="AC646" s="89"/>
      <c r="AD646" s="89"/>
      <c r="AE646" s="89"/>
      <c r="AF646" s="89"/>
      <c r="AG646" s="89"/>
      <c r="AH646" s="89"/>
      <c r="AI646" s="89"/>
      <c r="AJ646" s="89"/>
      <c r="AK646" s="89"/>
      <c r="AL646" s="89"/>
      <c r="AM646" s="89"/>
      <c r="AN646" s="89"/>
      <c r="BR646" s="180">
        <v>2041</v>
      </c>
      <c r="BS646" s="22">
        <v>27</v>
      </c>
      <c r="BT646" s="318">
        <f t="shared" si="334"/>
        <v>44.945465837708831</v>
      </c>
      <c r="BU646" s="319">
        <f t="shared" si="335"/>
        <v>145.54830071405007</v>
      </c>
      <c r="BV646" s="205">
        <f t="shared" si="336"/>
        <v>190.49376655175891</v>
      </c>
      <c r="BY646" s="180">
        <v>2041</v>
      </c>
      <c r="BZ646" s="22">
        <v>27</v>
      </c>
      <c r="CA646" s="318">
        <f t="shared" ca="1" si="337"/>
        <v>-4.3447833319357505</v>
      </c>
      <c r="CB646" s="318">
        <f t="shared" ca="1" si="338"/>
        <v>50.094838675558613</v>
      </c>
      <c r="CC646" s="319">
        <f t="shared" ca="1" si="349"/>
        <v>144.49935439522881</v>
      </c>
      <c r="CD646" s="205">
        <f t="shared" ca="1" si="339"/>
        <v>190.24940973885168</v>
      </c>
      <c r="CG646" s="180">
        <v>2041</v>
      </c>
      <c r="CH646" s="22">
        <v>27</v>
      </c>
      <c r="CI646" s="318">
        <f t="shared" ca="1" si="340"/>
        <v>-0.93446196230544332</v>
      </c>
      <c r="CJ646" s="318">
        <f t="shared" ca="1" si="341"/>
        <v>-2.6835176211704916</v>
      </c>
      <c r="CK646" s="318">
        <f t="shared" ca="1" si="342"/>
        <v>49.294713631839706</v>
      </c>
      <c r="CL646" s="319">
        <f t="shared" ca="1" si="343"/>
        <v>144.5845825674958</v>
      </c>
      <c r="CM646" s="205">
        <f t="shared" ca="1" si="344"/>
        <v>190.26131661585958</v>
      </c>
      <c r="CP646" s="180">
        <v>2041</v>
      </c>
      <c r="CQ646" s="22">
        <v>27</v>
      </c>
      <c r="CR646" s="318">
        <f t="shared" ca="1" si="345"/>
        <v>146.79514120938387</v>
      </c>
      <c r="CS646" s="319">
        <f t="shared" ca="1" si="346"/>
        <v>1.3005675960686176</v>
      </c>
      <c r="CT646" s="205">
        <f t="shared" ca="1" si="347"/>
        <v>190.91700391724166</v>
      </c>
      <c r="CZ646" s="164" t="b">
        <f t="shared" si="324"/>
        <v>1</v>
      </c>
      <c r="DA646" s="165" t="b">
        <f t="shared" si="324"/>
        <v>1</v>
      </c>
      <c r="DB646" s="166" t="b">
        <f t="shared" si="324"/>
        <v>1</v>
      </c>
      <c r="DC646" s="164">
        <f t="shared" si="325"/>
        <v>29</v>
      </c>
      <c r="DD646" s="166">
        <f t="shared" si="326"/>
        <v>183.32432432432421</v>
      </c>
      <c r="DE646" s="164">
        <f t="shared" si="327"/>
        <v>29</v>
      </c>
      <c r="DF646" s="166">
        <f t="shared" si="328"/>
        <v>193.27326902502773</v>
      </c>
      <c r="DG646" s="164">
        <f t="shared" si="329"/>
        <v>29</v>
      </c>
      <c r="DH646" s="166">
        <f t="shared" si="330"/>
        <v>203.22221372573125</v>
      </c>
      <c r="DI646" s="164" t="str">
        <f>IFERROR(INDEX(DC$615:DC$663,_xlfn.AGGREGATE(15,6,(ROW(DC$615:DC$663)-ROW(DC$615)+1)/(DC$615:DC$663&lt;&gt;""),ROWS(DI$1:DI32))),"")</f>
        <v/>
      </c>
      <c r="DJ646" s="165" t="str">
        <f>IFERROR(INDEX(DD$615:DD$663,_xlfn.AGGREGATE(15,6,(ROW(DD$615:DD$663)-ROW(DD$615)+1)/(DD$615:DD$663&lt;&gt;""),ROWS(DJ$1:DJ32))),"")</f>
        <v/>
      </c>
      <c r="DK646" s="166" t="str">
        <f t="shared" si="331"/>
        <v/>
      </c>
      <c r="DL646" s="164" t="str">
        <f>IFERROR(INDEX(DE$615:DE$663,_xlfn.AGGREGATE(15,6,(ROW(DE$615:DE$663)-ROW(DE$615)+1)/(DE$615:DE$663&lt;&gt;""),ROWS(DL$1:DL32))),"")</f>
        <v/>
      </c>
      <c r="DM646" s="165" t="str">
        <f>IFERROR(INDEX(DF$615:DF$663,_xlfn.AGGREGATE(15,6,(ROW(DF$615:DF$663)-ROW(DF$615)+1)/(DF$615:DF$663&lt;&gt;""),ROWS(DM$1:DM32))),"")</f>
        <v/>
      </c>
      <c r="DN646" s="166" t="str">
        <f t="shared" si="332"/>
        <v/>
      </c>
      <c r="DO646" s="164" t="str">
        <f>IFERROR(INDEX(DG$615:DG$663,_xlfn.AGGREGATE(15,6,(ROW(DG$615:DG$663)-ROW(DG$615)+1)/(DG$615:DG$663&lt;&gt;""),ROWS(DO$1:DO32))),"")</f>
        <v/>
      </c>
      <c r="DP646" s="165" t="str">
        <f>IFERROR(INDEX(DH$615:DH$663,_xlfn.AGGREGATE(15,6,(ROW(DH$615:DH$663)-ROW(DH$615)+1)/(DH$615:DH$663&lt;&gt;""),ROWS(DP$1:DP32))),"")</f>
        <v/>
      </c>
      <c r="DQ646" s="166" t="str">
        <f t="shared" si="333"/>
        <v/>
      </c>
      <c r="DR646" s="65"/>
      <c r="DV646" s="145">
        <v>2046</v>
      </c>
      <c r="DW646" s="235">
        <f t="shared" ca="1" si="317"/>
        <v>197.68282647506123</v>
      </c>
      <c r="EA646" s="55"/>
      <c r="EB646" s="55"/>
      <c r="EC646" s="55"/>
      <c r="ED646" s="55"/>
      <c r="EE646" s="55"/>
    </row>
    <row r="647" spans="2:135" ht="13.8" x14ac:dyDescent="0.45">
      <c r="B647" s="128">
        <v>2044</v>
      </c>
      <c r="C647" s="291">
        <f>'Total MSW Summaries (Archive)'!L35</f>
        <v>204.39763589295583</v>
      </c>
      <c r="D647" s="307">
        <f>'Total MSW Summaries (Archive)'!BH35</f>
        <v>185.13513513513502</v>
      </c>
      <c r="E647" s="292"/>
      <c r="F647" s="293"/>
      <c r="G647" s="320"/>
      <c r="H647" s="292"/>
      <c r="I647" s="293"/>
      <c r="J647" s="320"/>
      <c r="K647" s="292"/>
      <c r="L647" s="293"/>
      <c r="M647" s="292"/>
      <c r="N647" s="29" t="s">
        <v>119</v>
      </c>
      <c r="O647" s="120"/>
      <c r="P647" s="120"/>
      <c r="Q647" s="120"/>
      <c r="R647" s="29">
        <v>30</v>
      </c>
      <c r="S647" s="317">
        <f t="shared" si="318"/>
        <v>185.13513513513502</v>
      </c>
      <c r="T647" s="317">
        <f t="shared" si="319"/>
        <v>204.39763589295583</v>
      </c>
      <c r="U647" s="317">
        <f t="shared" si="320"/>
        <v>9.6312503789104085</v>
      </c>
      <c r="W647" s="317">
        <f t="shared" si="321"/>
        <v>185.13513513513502</v>
      </c>
      <c r="X647" s="317">
        <f t="shared" si="322"/>
        <v>194.76638551404542</v>
      </c>
      <c r="Y647" s="317">
        <f t="shared" si="323"/>
        <v>204.39763589295583</v>
      </c>
      <c r="AA647" s="89"/>
      <c r="AB647" s="89"/>
      <c r="AC647" s="89"/>
      <c r="AD647" s="89"/>
      <c r="AE647" s="89"/>
      <c r="AF647" s="89"/>
      <c r="AG647" s="89"/>
      <c r="AH647" s="89"/>
      <c r="AI647" s="89"/>
      <c r="AJ647" s="89"/>
      <c r="AK647" s="89"/>
      <c r="AL647" s="89"/>
      <c r="AM647" s="89"/>
      <c r="AN647" s="89"/>
      <c r="BR647" s="180">
        <v>2042</v>
      </c>
      <c r="BS647" s="22">
        <v>28</v>
      </c>
      <c r="BT647" s="318">
        <f t="shared" si="334"/>
        <v>46.61011272058694</v>
      </c>
      <c r="BU647" s="319">
        <f t="shared" si="335"/>
        <v>145.54830071405007</v>
      </c>
      <c r="BV647" s="205">
        <f t="shared" si="336"/>
        <v>192.158413434637</v>
      </c>
      <c r="BY647" s="180">
        <v>2042</v>
      </c>
      <c r="BZ647" s="22">
        <v>28</v>
      </c>
      <c r="CA647" s="318">
        <f t="shared" ca="1" si="337"/>
        <v>-4.6725790565673915</v>
      </c>
      <c r="CB647" s="318">
        <f t="shared" ca="1" si="338"/>
        <v>51.950203070949669</v>
      </c>
      <c r="CC647" s="319">
        <f t="shared" ca="1" si="349"/>
        <v>144.49935439522881</v>
      </c>
      <c r="CD647" s="205">
        <f t="shared" ca="1" si="339"/>
        <v>191.77697840961108</v>
      </c>
      <c r="CG647" s="180">
        <v>2042</v>
      </c>
      <c r="CH647" s="22">
        <v>28</v>
      </c>
      <c r="CI647" s="318">
        <f t="shared" ca="1" si="340"/>
        <v>-1.0421840672930494</v>
      </c>
      <c r="CJ647" s="318">
        <f t="shared" ca="1" si="341"/>
        <v>-2.8859777983507069</v>
      </c>
      <c r="CK647" s="318">
        <f t="shared" ca="1" si="342"/>
        <v>51.120443766352281</v>
      </c>
      <c r="CL647" s="319">
        <f t="shared" ca="1" si="343"/>
        <v>144.5845825674958</v>
      </c>
      <c r="CM647" s="205">
        <f t="shared" ca="1" si="344"/>
        <v>191.77686446820434</v>
      </c>
      <c r="CP647" s="180">
        <v>2042</v>
      </c>
      <c r="CQ647" s="22">
        <v>28</v>
      </c>
      <c r="CR647" s="318">
        <f t="shared" ca="1" si="345"/>
        <v>146.79514120938387</v>
      </c>
      <c r="CS647" s="319">
        <f t="shared" ca="1" si="346"/>
        <v>1.3132882988260048</v>
      </c>
      <c r="CT647" s="205">
        <f t="shared" ca="1" si="347"/>
        <v>192.78434127479491</v>
      </c>
      <c r="CZ647" s="164" t="b">
        <f t="shared" si="324"/>
        <v>1</v>
      </c>
      <c r="DA647" s="165" t="b">
        <f t="shared" si="324"/>
        <v>1</v>
      </c>
      <c r="DB647" s="166" t="b">
        <f t="shared" si="324"/>
        <v>1</v>
      </c>
      <c r="DC647" s="164">
        <f t="shared" si="325"/>
        <v>30</v>
      </c>
      <c r="DD647" s="166">
        <f t="shared" si="326"/>
        <v>185.13513513513502</v>
      </c>
      <c r="DE647" s="164">
        <f t="shared" si="327"/>
        <v>30</v>
      </c>
      <c r="DF647" s="166">
        <f t="shared" si="328"/>
        <v>194.76638551404542</v>
      </c>
      <c r="DG647" s="164">
        <f t="shared" si="329"/>
        <v>30</v>
      </c>
      <c r="DH647" s="166">
        <f t="shared" si="330"/>
        <v>204.39763589295583</v>
      </c>
      <c r="DI647" s="164" t="str">
        <f>IFERROR(INDEX(DC$615:DC$663,_xlfn.AGGREGATE(15,6,(ROW(DC$615:DC$663)-ROW(DC$615)+1)/(DC$615:DC$663&lt;&gt;""),ROWS(DI$1:DI33))),"")</f>
        <v/>
      </c>
      <c r="DJ647" s="165" t="str">
        <f>IFERROR(INDEX(DD$615:DD$663,_xlfn.AGGREGATE(15,6,(ROW(DD$615:DD$663)-ROW(DD$615)+1)/(DD$615:DD$663&lt;&gt;""),ROWS(DJ$1:DJ33))),"")</f>
        <v/>
      </c>
      <c r="DK647" s="166" t="str">
        <f t="shared" si="331"/>
        <v/>
      </c>
      <c r="DL647" s="164" t="str">
        <f>IFERROR(INDEX(DE$615:DE$663,_xlfn.AGGREGATE(15,6,(ROW(DE$615:DE$663)-ROW(DE$615)+1)/(DE$615:DE$663&lt;&gt;""),ROWS(DL$1:DL33))),"")</f>
        <v/>
      </c>
      <c r="DM647" s="165" t="str">
        <f>IFERROR(INDEX(DF$615:DF$663,_xlfn.AGGREGATE(15,6,(ROW(DF$615:DF$663)-ROW(DF$615)+1)/(DF$615:DF$663&lt;&gt;""),ROWS(DM$1:DM33))),"")</f>
        <v/>
      </c>
      <c r="DN647" s="166" t="str">
        <f t="shared" si="332"/>
        <v/>
      </c>
      <c r="DO647" s="164" t="str">
        <f>IFERROR(INDEX(DG$615:DG$663,_xlfn.AGGREGATE(15,6,(ROW(DG$615:DG$663)-ROW(DG$615)+1)/(DG$615:DG$663&lt;&gt;""),ROWS(DO$1:DO33))),"")</f>
        <v/>
      </c>
      <c r="DP647" s="165" t="str">
        <f>IFERROR(INDEX(DH$615:DH$663,_xlfn.AGGREGATE(15,6,(ROW(DH$615:DH$663)-ROW(DH$615)+1)/(DH$615:DH$663&lt;&gt;""),ROWS(DP$1:DP33))),"")</f>
        <v/>
      </c>
      <c r="DQ647" s="166" t="str">
        <f t="shared" si="333"/>
        <v/>
      </c>
      <c r="DR647" s="65"/>
      <c r="DV647" s="145">
        <v>2047</v>
      </c>
      <c r="DW647" s="235">
        <f t="shared" ca="1" si="317"/>
        <v>199.11883535856023</v>
      </c>
      <c r="EA647" s="55"/>
      <c r="EB647" s="55"/>
      <c r="EC647" s="55"/>
      <c r="ED647" s="55"/>
      <c r="EE647" s="55"/>
    </row>
    <row r="648" spans="2:135" ht="13.8" x14ac:dyDescent="0.45">
      <c r="B648" s="128">
        <v>2045</v>
      </c>
      <c r="C648" s="291">
        <f>'Total MSW Summaries (Archive)'!L36</f>
        <v>205.56903701605069</v>
      </c>
      <c r="D648" s="307">
        <f>'Total MSW Summaries (Archive)'!BH36</f>
        <v>186.94594594594582</v>
      </c>
      <c r="E648" s="292"/>
      <c r="F648" s="293"/>
      <c r="G648" s="320"/>
      <c r="H648" s="292"/>
      <c r="I648" s="293"/>
      <c r="J648" s="320"/>
      <c r="K648" s="292"/>
      <c r="L648" s="293"/>
      <c r="M648" s="292"/>
      <c r="N648" s="29" t="s">
        <v>119</v>
      </c>
      <c r="O648" s="120"/>
      <c r="P648" s="120"/>
      <c r="Q648" s="120"/>
      <c r="R648" s="29">
        <v>31</v>
      </c>
      <c r="S648" s="317">
        <f t="shared" si="318"/>
        <v>186.94594594594582</v>
      </c>
      <c r="T648" s="317">
        <f t="shared" si="319"/>
        <v>205.56903701605069</v>
      </c>
      <c r="U648" s="317">
        <f t="shared" si="320"/>
        <v>9.3115455350524314</v>
      </c>
      <c r="W648" s="317">
        <f t="shared" si="321"/>
        <v>186.94594594594582</v>
      </c>
      <c r="X648" s="317">
        <f t="shared" si="322"/>
        <v>196.25749148099825</v>
      </c>
      <c r="Y648" s="317">
        <f t="shared" si="323"/>
        <v>205.56903701605069</v>
      </c>
      <c r="AA648" s="89"/>
      <c r="AB648" s="89"/>
      <c r="AC648" s="89"/>
      <c r="AD648" s="89"/>
      <c r="AE648" s="89"/>
      <c r="AF648" s="89"/>
      <c r="AG648" s="89"/>
      <c r="AH648" s="89"/>
      <c r="AI648" s="89"/>
      <c r="AJ648" s="89"/>
      <c r="AK648" s="89"/>
      <c r="AL648" s="89"/>
      <c r="AM648" s="89"/>
      <c r="AN648" s="89"/>
      <c r="BR648" s="180">
        <v>2043</v>
      </c>
      <c r="BS648" s="22">
        <v>29</v>
      </c>
      <c r="BT648" s="318">
        <f t="shared" si="334"/>
        <v>48.274759603465043</v>
      </c>
      <c r="BU648" s="319">
        <f t="shared" si="335"/>
        <v>145.54830071405007</v>
      </c>
      <c r="BV648" s="205">
        <f t="shared" si="336"/>
        <v>193.82306031751511</v>
      </c>
      <c r="BY648" s="180">
        <v>2043</v>
      </c>
      <c r="BZ648" s="22">
        <v>29</v>
      </c>
      <c r="CA648" s="318">
        <f t="shared" ca="1" si="337"/>
        <v>-5.0122946257310925</v>
      </c>
      <c r="CB648" s="318">
        <f t="shared" ca="1" si="338"/>
        <v>53.805567466340733</v>
      </c>
      <c r="CC648" s="319">
        <f t="shared" ca="1" si="349"/>
        <v>144.49935439522881</v>
      </c>
      <c r="CD648" s="205">
        <f t="shared" ca="1" si="339"/>
        <v>193.29262723583844</v>
      </c>
      <c r="CG648" s="180">
        <v>2043</v>
      </c>
      <c r="CH648" s="22">
        <v>29</v>
      </c>
      <c r="CI648" s="318">
        <f t="shared" ca="1" si="340"/>
        <v>-1.157882070754837</v>
      </c>
      <c r="CJ648" s="318">
        <f t="shared" ca="1" si="341"/>
        <v>-3.0958001637920209</v>
      </c>
      <c r="CK648" s="318">
        <f t="shared" ca="1" si="342"/>
        <v>52.946173900864864</v>
      </c>
      <c r="CL648" s="319">
        <f t="shared" ca="1" si="343"/>
        <v>144.5845825674958</v>
      </c>
      <c r="CM648" s="205">
        <f t="shared" ca="1" si="344"/>
        <v>193.27707423381381</v>
      </c>
      <c r="CP648" s="180">
        <v>2043</v>
      </c>
      <c r="CQ648" s="22">
        <v>29</v>
      </c>
      <c r="CR648" s="318">
        <f t="shared" ca="1" si="345"/>
        <v>146.79514120938387</v>
      </c>
      <c r="CS648" s="319">
        <f t="shared" ca="1" si="346"/>
        <v>1.3261334213206908</v>
      </c>
      <c r="CT648" s="205">
        <f t="shared" ca="1" si="347"/>
        <v>194.66994284525416</v>
      </c>
      <c r="CZ648" s="164" t="b">
        <f t="shared" si="324"/>
        <v>1</v>
      </c>
      <c r="DA648" s="165" t="b">
        <f t="shared" si="324"/>
        <v>1</v>
      </c>
      <c r="DB648" s="166" t="b">
        <f t="shared" si="324"/>
        <v>1</v>
      </c>
      <c r="DC648" s="164">
        <f t="shared" si="325"/>
        <v>31</v>
      </c>
      <c r="DD648" s="166">
        <f t="shared" si="326"/>
        <v>186.94594594594582</v>
      </c>
      <c r="DE648" s="164">
        <f t="shared" si="327"/>
        <v>31</v>
      </c>
      <c r="DF648" s="166">
        <f t="shared" si="328"/>
        <v>196.25749148099825</v>
      </c>
      <c r="DG648" s="164">
        <f t="shared" si="329"/>
        <v>31</v>
      </c>
      <c r="DH648" s="166">
        <f t="shared" si="330"/>
        <v>205.56903701605069</v>
      </c>
      <c r="DI648" s="164" t="str">
        <f>IFERROR(INDEX(DC$615:DC$663,_xlfn.AGGREGATE(15,6,(ROW(DC$615:DC$663)-ROW(DC$615)+1)/(DC$615:DC$663&lt;&gt;""),ROWS(DI$1:DI34))),"")</f>
        <v/>
      </c>
      <c r="DJ648" s="165" t="str">
        <f>IFERROR(INDEX(DD$615:DD$663,_xlfn.AGGREGATE(15,6,(ROW(DD$615:DD$663)-ROW(DD$615)+1)/(DD$615:DD$663&lt;&gt;""),ROWS(DJ$1:DJ34))),"")</f>
        <v/>
      </c>
      <c r="DK648" s="166" t="str">
        <f t="shared" si="331"/>
        <v/>
      </c>
      <c r="DL648" s="164" t="str">
        <f>IFERROR(INDEX(DE$615:DE$663,_xlfn.AGGREGATE(15,6,(ROW(DE$615:DE$663)-ROW(DE$615)+1)/(DE$615:DE$663&lt;&gt;""),ROWS(DL$1:DL34))),"")</f>
        <v/>
      </c>
      <c r="DM648" s="165" t="str">
        <f>IFERROR(INDEX(DF$615:DF$663,_xlfn.AGGREGATE(15,6,(ROW(DF$615:DF$663)-ROW(DF$615)+1)/(DF$615:DF$663&lt;&gt;""),ROWS(DM$1:DM34))),"")</f>
        <v/>
      </c>
      <c r="DN648" s="166" t="str">
        <f t="shared" si="332"/>
        <v/>
      </c>
      <c r="DO648" s="164" t="str">
        <f>IFERROR(INDEX(DG$615:DG$663,_xlfn.AGGREGATE(15,6,(ROW(DG$615:DG$663)-ROW(DG$615)+1)/(DG$615:DG$663&lt;&gt;""),ROWS(DO$1:DO34))),"")</f>
        <v/>
      </c>
      <c r="DP648" s="165" t="str">
        <f>IFERROR(INDEX(DH$615:DH$663,_xlfn.AGGREGATE(15,6,(ROW(DH$615:DH$663)-ROW(DH$615)+1)/(DH$615:DH$663&lt;&gt;""),ROWS(DP$1:DP34))),"")</f>
        <v/>
      </c>
      <c r="DQ648" s="166" t="str">
        <f t="shared" si="333"/>
        <v/>
      </c>
      <c r="DR648" s="65"/>
      <c r="DV648" s="145">
        <v>2048</v>
      </c>
      <c r="DW648" s="235">
        <f t="shared" ca="1" si="317"/>
        <v>200.53808188773928</v>
      </c>
      <c r="EA648" s="55"/>
      <c r="EB648" s="55"/>
      <c r="EC648" s="55"/>
      <c r="ED648" s="55"/>
      <c r="EE648" s="55"/>
    </row>
    <row r="649" spans="2:135" ht="13.8" x14ac:dyDescent="0.45">
      <c r="B649" s="128">
        <v>2046</v>
      </c>
      <c r="C649" s="291"/>
      <c r="D649" s="307"/>
      <c r="E649" s="292"/>
      <c r="F649" s="293"/>
      <c r="G649" s="320"/>
      <c r="H649" s="292"/>
      <c r="I649" s="293"/>
      <c r="J649" s="320"/>
      <c r="K649" s="292"/>
      <c r="L649" s="293"/>
      <c r="M649" s="292"/>
      <c r="N649" s="29" t="s">
        <v>119</v>
      </c>
      <c r="O649" s="120"/>
      <c r="P649" s="120"/>
      <c r="Q649" s="120"/>
      <c r="R649" s="29">
        <v>32</v>
      </c>
      <c r="S649" s="317" t="str">
        <f t="shared" si="318"/>
        <v/>
      </c>
      <c r="T649" s="317" t="str">
        <f t="shared" si="319"/>
        <v/>
      </c>
      <c r="U649" s="317" t="str">
        <f t="shared" si="320"/>
        <v/>
      </c>
      <c r="W649" s="317" t="e">
        <f t="shared" si="321"/>
        <v>#N/A</v>
      </c>
      <c r="X649" s="317" t="e">
        <f t="shared" si="322"/>
        <v>#N/A</v>
      </c>
      <c r="Y649" s="317" t="e">
        <f t="shared" si="323"/>
        <v>#N/A</v>
      </c>
      <c r="AA649" s="89"/>
      <c r="AB649" s="89"/>
      <c r="AC649" s="89"/>
      <c r="AD649" s="89"/>
      <c r="AE649" s="89"/>
      <c r="AF649" s="89"/>
      <c r="AG649" s="89"/>
      <c r="AH649" s="89"/>
      <c r="AI649" s="89"/>
      <c r="AJ649" s="89"/>
      <c r="AK649" s="89"/>
      <c r="AL649" s="89"/>
      <c r="AM649" s="89"/>
      <c r="AN649" s="89"/>
      <c r="BR649" s="180">
        <v>2044</v>
      </c>
      <c r="BS649" s="22">
        <v>30</v>
      </c>
      <c r="BT649" s="318">
        <f t="shared" si="334"/>
        <v>49.939406486343145</v>
      </c>
      <c r="BU649" s="319">
        <f t="shared" si="335"/>
        <v>145.54830071405007</v>
      </c>
      <c r="BV649" s="205">
        <f t="shared" si="336"/>
        <v>195.48770720039323</v>
      </c>
      <c r="BY649" s="180">
        <v>2044</v>
      </c>
      <c r="BZ649" s="22">
        <v>30</v>
      </c>
      <c r="CA649" s="318">
        <f t="shared" ca="1" si="337"/>
        <v>-5.3639300394268528</v>
      </c>
      <c r="CB649" s="318">
        <f t="shared" ca="1" si="338"/>
        <v>55.66093186173179</v>
      </c>
      <c r="CC649" s="319">
        <f t="shared" ca="1" si="349"/>
        <v>144.49935439522881</v>
      </c>
      <c r="CD649" s="205">
        <f t="shared" ca="1" si="339"/>
        <v>194.79635621753374</v>
      </c>
      <c r="CG649" s="180">
        <v>2044</v>
      </c>
      <c r="CH649" s="22">
        <v>30</v>
      </c>
      <c r="CI649" s="318">
        <f t="shared" ca="1" si="340"/>
        <v>-1.2818408262077412</v>
      </c>
      <c r="CJ649" s="318">
        <f t="shared" ca="1" si="341"/>
        <v>-3.3129847174944338</v>
      </c>
      <c r="CK649" s="318">
        <f t="shared" ca="1" si="342"/>
        <v>54.771904035377446</v>
      </c>
      <c r="CL649" s="319">
        <f t="shared" ca="1" si="343"/>
        <v>144.5845825674958</v>
      </c>
      <c r="CM649" s="205">
        <f t="shared" ca="1" si="344"/>
        <v>194.76166105917108</v>
      </c>
      <c r="CP649" s="180">
        <v>2044</v>
      </c>
      <c r="CQ649" s="22">
        <v>30</v>
      </c>
      <c r="CR649" s="318">
        <f t="shared" ca="1" si="345"/>
        <v>146.79514120938387</v>
      </c>
      <c r="CS649" s="319">
        <f t="shared" ca="1" si="346"/>
        <v>1.3391041804878812</v>
      </c>
      <c r="CT649" s="205">
        <f t="shared" ca="1" si="347"/>
        <v>196.57398726879478</v>
      </c>
      <c r="CZ649" s="164" t="b">
        <f t="shared" si="324"/>
        <v>0</v>
      </c>
      <c r="DA649" s="165" t="b">
        <f t="shared" si="324"/>
        <v>0</v>
      </c>
      <c r="DB649" s="166" t="b">
        <f t="shared" si="324"/>
        <v>0</v>
      </c>
      <c r="DC649" s="164" t="str">
        <f t="shared" si="325"/>
        <v/>
      </c>
      <c r="DD649" s="166" t="str">
        <f t="shared" si="326"/>
        <v/>
      </c>
      <c r="DE649" s="164" t="str">
        <f t="shared" si="327"/>
        <v/>
      </c>
      <c r="DF649" s="166" t="str">
        <f t="shared" si="328"/>
        <v/>
      </c>
      <c r="DG649" s="164" t="str">
        <f t="shared" si="329"/>
        <v/>
      </c>
      <c r="DH649" s="166" t="str">
        <f t="shared" si="330"/>
        <v/>
      </c>
      <c r="DI649" s="164" t="str">
        <f>IFERROR(INDEX(DC$615:DC$663,_xlfn.AGGREGATE(15,6,(ROW(DC$615:DC$663)-ROW(DC$615)+1)/(DC$615:DC$663&lt;&gt;""),ROWS(DI$1:DI35))),"")</f>
        <v/>
      </c>
      <c r="DJ649" s="165" t="str">
        <f>IFERROR(INDEX(DD$615:DD$663,_xlfn.AGGREGATE(15,6,(ROW(DD$615:DD$663)-ROW(DD$615)+1)/(DD$615:DD$663&lt;&gt;""),ROWS(DJ$1:DJ35))),"")</f>
        <v/>
      </c>
      <c r="DK649" s="166" t="str">
        <f t="shared" si="331"/>
        <v/>
      </c>
      <c r="DL649" s="164" t="str">
        <f>IFERROR(INDEX(DE$615:DE$663,_xlfn.AGGREGATE(15,6,(ROW(DE$615:DE$663)-ROW(DE$615)+1)/(DE$615:DE$663&lt;&gt;""),ROWS(DL$1:DL35))),"")</f>
        <v/>
      </c>
      <c r="DM649" s="165" t="str">
        <f>IFERROR(INDEX(DF$615:DF$663,_xlfn.AGGREGATE(15,6,(ROW(DF$615:DF$663)-ROW(DF$615)+1)/(DF$615:DF$663&lt;&gt;""),ROWS(DM$1:DM35))),"")</f>
        <v/>
      </c>
      <c r="DN649" s="166" t="str">
        <f t="shared" si="332"/>
        <v/>
      </c>
      <c r="DO649" s="164" t="str">
        <f>IFERROR(INDEX(DG$615:DG$663,_xlfn.AGGREGATE(15,6,(ROW(DG$615:DG$663)-ROW(DG$615)+1)/(DG$615:DG$663&lt;&gt;""),ROWS(DO$1:DO35))),"")</f>
        <v/>
      </c>
      <c r="DP649" s="165" t="str">
        <f>IFERROR(INDEX(DH$615:DH$663,_xlfn.AGGREGATE(15,6,(ROW(DH$615:DH$663)-ROW(DH$615)+1)/(DH$615:DH$663&lt;&gt;""),ROWS(DP$1:DP35))),"")</f>
        <v/>
      </c>
      <c r="DQ649" s="166" t="str">
        <f t="shared" si="333"/>
        <v/>
      </c>
      <c r="DR649" s="65"/>
      <c r="DV649" s="145">
        <v>2049</v>
      </c>
      <c r="DW649" s="235">
        <f t="shared" ca="1" si="317"/>
        <v>201.94028120908143</v>
      </c>
      <c r="EA649" s="55"/>
      <c r="EB649" s="55"/>
      <c r="EC649" s="55"/>
      <c r="ED649" s="55"/>
      <c r="EE649" s="55"/>
    </row>
    <row r="650" spans="2:135" ht="13.8" x14ac:dyDescent="0.45">
      <c r="B650" s="128">
        <v>2047</v>
      </c>
      <c r="C650" s="291"/>
      <c r="D650" s="307"/>
      <c r="E650" s="292"/>
      <c r="F650" s="293"/>
      <c r="G650" s="320"/>
      <c r="H650" s="292"/>
      <c r="I650" s="293"/>
      <c r="J650" s="320"/>
      <c r="K650" s="292"/>
      <c r="L650" s="293"/>
      <c r="M650" s="292"/>
      <c r="N650" s="29" t="s">
        <v>119</v>
      </c>
      <c r="O650" s="120"/>
      <c r="P650" s="120"/>
      <c r="Q650" s="120"/>
      <c r="R650" s="29">
        <v>33</v>
      </c>
      <c r="S650" s="317" t="str">
        <f t="shared" si="318"/>
        <v/>
      </c>
      <c r="T650" s="317" t="str">
        <f t="shared" si="319"/>
        <v/>
      </c>
      <c r="U650" s="317" t="str">
        <f t="shared" si="320"/>
        <v/>
      </c>
      <c r="W650" s="317" t="e">
        <f t="shared" si="321"/>
        <v>#N/A</v>
      </c>
      <c r="X650" s="317" t="e">
        <f t="shared" si="322"/>
        <v>#N/A</v>
      </c>
      <c r="Y650" s="317" t="e">
        <f t="shared" si="323"/>
        <v>#N/A</v>
      </c>
      <c r="AA650" s="89"/>
      <c r="AB650" s="89"/>
      <c r="AC650" s="89"/>
      <c r="AD650" s="89"/>
      <c r="AE650" s="89"/>
      <c r="AF650" s="89"/>
      <c r="AG650" s="89"/>
      <c r="AH650" s="89"/>
      <c r="AI650" s="89"/>
      <c r="AJ650" s="89"/>
      <c r="AK650" s="89"/>
      <c r="AL650" s="89"/>
      <c r="AM650" s="89"/>
      <c r="AN650" s="89"/>
      <c r="BR650" s="180">
        <v>2045</v>
      </c>
      <c r="BS650" s="22">
        <v>31</v>
      </c>
      <c r="BT650" s="318">
        <f t="shared" si="334"/>
        <v>51.604053369221255</v>
      </c>
      <c r="BU650" s="318">
        <f t="shared" si="335"/>
        <v>145.54830071405007</v>
      </c>
      <c r="BV650" s="205">
        <f t="shared" si="336"/>
        <v>197.15235408327132</v>
      </c>
      <c r="BY650" s="180">
        <v>2045</v>
      </c>
      <c r="BZ650" s="22">
        <v>31</v>
      </c>
      <c r="CA650" s="318">
        <f t="shared" ca="1" si="337"/>
        <v>-5.7274852976546731</v>
      </c>
      <c r="CB650" s="318">
        <f t="shared" ca="1" si="338"/>
        <v>57.516296257122853</v>
      </c>
      <c r="CC650" s="318">
        <f t="shared" ca="1" si="349"/>
        <v>144.49935439522881</v>
      </c>
      <c r="CD650" s="205">
        <f t="shared" ca="1" si="339"/>
        <v>196.28816535469699</v>
      </c>
      <c r="CG650" s="180">
        <v>2045</v>
      </c>
      <c r="CH650" s="22">
        <v>31</v>
      </c>
      <c r="CI650" s="318">
        <f t="shared" ca="1" si="340"/>
        <v>-1.4143451871686969</v>
      </c>
      <c r="CJ650" s="318">
        <f t="shared" ca="1" si="341"/>
        <v>-3.5375314594579454</v>
      </c>
      <c r="CK650" s="318">
        <f t="shared" ca="1" si="342"/>
        <v>56.597634169890028</v>
      </c>
      <c r="CL650" s="318">
        <f t="shared" ca="1" si="343"/>
        <v>144.5845825674958</v>
      </c>
      <c r="CM650" s="205">
        <f t="shared" ca="1" si="344"/>
        <v>196.23034009075917</v>
      </c>
      <c r="CP650" s="180">
        <v>2045</v>
      </c>
      <c r="CQ650" s="22">
        <v>31</v>
      </c>
      <c r="CR650" s="318">
        <f t="shared" ca="1" si="345"/>
        <v>146.79514120938387</v>
      </c>
      <c r="CS650" s="318">
        <f t="shared" ca="1" si="346"/>
        <v>1.3522018051654858</v>
      </c>
      <c r="CT650" s="205">
        <f t="shared" ca="1" si="347"/>
        <v>198.49665493285127</v>
      </c>
      <c r="CZ650" s="164" t="b">
        <f t="shared" si="324"/>
        <v>0</v>
      </c>
      <c r="DA650" s="165" t="b">
        <f t="shared" si="324"/>
        <v>0</v>
      </c>
      <c r="DB650" s="166" t="b">
        <f t="shared" si="324"/>
        <v>0</v>
      </c>
      <c r="DC650" s="164" t="str">
        <f t="shared" si="325"/>
        <v/>
      </c>
      <c r="DD650" s="166" t="str">
        <f t="shared" si="326"/>
        <v/>
      </c>
      <c r="DE650" s="164" t="str">
        <f t="shared" si="327"/>
        <v/>
      </c>
      <c r="DF650" s="166" t="str">
        <f t="shared" si="328"/>
        <v/>
      </c>
      <c r="DG650" s="164" t="str">
        <f t="shared" si="329"/>
        <v/>
      </c>
      <c r="DH650" s="166" t="str">
        <f t="shared" si="330"/>
        <v/>
      </c>
      <c r="DI650" s="164" t="str">
        <f>IFERROR(INDEX(DC$615:DC$663,_xlfn.AGGREGATE(15,6,(ROW(DC$615:DC$663)-ROW(DC$615)+1)/(DC$615:DC$663&lt;&gt;""),ROWS(DI$1:DI36))),"")</f>
        <v/>
      </c>
      <c r="DJ650" s="165" t="str">
        <f>IFERROR(INDEX(DD$615:DD$663,_xlfn.AGGREGATE(15,6,(ROW(DD$615:DD$663)-ROW(DD$615)+1)/(DD$615:DD$663&lt;&gt;""),ROWS(DJ$1:DJ36))),"")</f>
        <v/>
      </c>
      <c r="DK650" s="166" t="str">
        <f t="shared" si="331"/>
        <v/>
      </c>
      <c r="DL650" s="164" t="str">
        <f>IFERROR(INDEX(DE$615:DE$663,_xlfn.AGGREGATE(15,6,(ROW(DE$615:DE$663)-ROW(DE$615)+1)/(DE$615:DE$663&lt;&gt;""),ROWS(DL$1:DL36))),"")</f>
        <v/>
      </c>
      <c r="DM650" s="165" t="str">
        <f>IFERROR(INDEX(DF$615:DF$663,_xlfn.AGGREGATE(15,6,(ROW(DF$615:DF$663)-ROW(DF$615)+1)/(DF$615:DF$663&lt;&gt;""),ROWS(DM$1:DM36))),"")</f>
        <v/>
      </c>
      <c r="DN650" s="166" t="str">
        <f t="shared" si="332"/>
        <v/>
      </c>
      <c r="DO650" s="164" t="str">
        <f>IFERROR(INDEX(DG$615:DG$663,_xlfn.AGGREGATE(15,6,(ROW(DG$615:DG$663)-ROW(DG$615)+1)/(DG$615:DG$663&lt;&gt;""),ROWS(DO$1:DO36))),"")</f>
        <v/>
      </c>
      <c r="DP650" s="165" t="str">
        <f>IFERROR(INDEX(DH$615:DH$663,_xlfn.AGGREGATE(15,6,(ROW(DH$615:DH$663)-ROW(DH$615)+1)/(DH$615:DH$663&lt;&gt;""),ROWS(DP$1:DP36))),"")</f>
        <v/>
      </c>
      <c r="DQ650" s="166" t="str">
        <f t="shared" si="333"/>
        <v/>
      </c>
      <c r="DR650" s="65"/>
      <c r="DV650" s="145">
        <v>2050</v>
      </c>
      <c r="DW650" s="235">
        <f t="shared" ca="1" si="317"/>
        <v>203.32514846906977</v>
      </c>
      <c r="EA650" s="55"/>
      <c r="EB650" s="55"/>
      <c r="EC650" s="55"/>
      <c r="ED650" s="55"/>
      <c r="EE650" s="55"/>
    </row>
    <row r="651" spans="2:135" ht="13.8" x14ac:dyDescent="0.45">
      <c r="B651" s="128">
        <v>2048</v>
      </c>
      <c r="C651" s="291"/>
      <c r="D651" s="307"/>
      <c r="E651" s="292"/>
      <c r="F651" s="293"/>
      <c r="G651" s="320"/>
      <c r="H651" s="292"/>
      <c r="I651" s="293"/>
      <c r="J651" s="320"/>
      <c r="K651" s="292"/>
      <c r="L651" s="293"/>
      <c r="M651" s="292"/>
      <c r="N651" s="29" t="s">
        <v>119</v>
      </c>
      <c r="O651" s="120"/>
      <c r="P651" s="120"/>
      <c r="Q651" s="120"/>
      <c r="R651" s="29">
        <v>34</v>
      </c>
      <c r="S651" s="317" t="str">
        <f t="shared" si="318"/>
        <v/>
      </c>
      <c r="T651" s="317" t="str">
        <f t="shared" si="319"/>
        <v/>
      </c>
      <c r="U651" s="317" t="str">
        <f t="shared" si="320"/>
        <v/>
      </c>
      <c r="W651" s="317" t="e">
        <f t="shared" si="321"/>
        <v>#N/A</v>
      </c>
      <c r="X651" s="317" t="e">
        <f t="shared" si="322"/>
        <v>#N/A</v>
      </c>
      <c r="Y651" s="317" t="e">
        <f t="shared" si="323"/>
        <v>#N/A</v>
      </c>
      <c r="AA651" s="89"/>
      <c r="AB651" s="89"/>
      <c r="AC651" s="89"/>
      <c r="AD651" s="89"/>
      <c r="AE651" s="89"/>
      <c r="AF651" s="89"/>
      <c r="AG651" s="89"/>
      <c r="AH651" s="89"/>
      <c r="AI651" s="89"/>
      <c r="AJ651" s="89"/>
      <c r="AK651" s="89"/>
      <c r="AL651" s="89"/>
      <c r="AM651" s="89"/>
      <c r="AN651" s="89"/>
      <c r="BR651" s="180">
        <v>2046</v>
      </c>
      <c r="BS651" s="22">
        <v>32</v>
      </c>
      <c r="BT651" s="318">
        <f t="shared" si="334"/>
        <v>53.268700252099357</v>
      </c>
      <c r="BU651" s="318">
        <f t="shared" si="335"/>
        <v>145.54830071405007</v>
      </c>
      <c r="BV651" s="205">
        <f t="shared" si="336"/>
        <v>198.81700096614944</v>
      </c>
      <c r="BY651" s="180">
        <v>2046</v>
      </c>
      <c r="BZ651" s="22">
        <v>32</v>
      </c>
      <c r="CA651" s="318">
        <f t="shared" ca="1" si="337"/>
        <v>-6.1029604004145526</v>
      </c>
      <c r="CB651" s="318">
        <f t="shared" ca="1" si="338"/>
        <v>59.37166065251391</v>
      </c>
      <c r="CC651" s="318">
        <f t="shared" ca="1" si="349"/>
        <v>144.49935439522881</v>
      </c>
      <c r="CD651" s="205">
        <f t="shared" ca="1" si="339"/>
        <v>197.76805464732817</v>
      </c>
      <c r="CG651" s="180">
        <v>2046</v>
      </c>
      <c r="CH651" s="22">
        <v>32</v>
      </c>
      <c r="CI651" s="318">
        <f t="shared" ca="1" si="340"/>
        <v>-1.5556800071546393</v>
      </c>
      <c r="CJ651" s="318">
        <f t="shared" ca="1" si="341"/>
        <v>-3.7694403896825559</v>
      </c>
      <c r="CK651" s="318">
        <f t="shared" ca="1" si="342"/>
        <v>58.423364304402611</v>
      </c>
      <c r="CL651" s="318">
        <f t="shared" ca="1" si="343"/>
        <v>144.5845825674958</v>
      </c>
      <c r="CM651" s="205">
        <f t="shared" ca="1" si="344"/>
        <v>197.68282647506123</v>
      </c>
      <c r="CP651" s="180">
        <v>2046</v>
      </c>
      <c r="CQ651" s="22">
        <v>32</v>
      </c>
      <c r="CR651" s="318">
        <f t="shared" ca="1" si="345"/>
        <v>146.79514120938387</v>
      </c>
      <c r="CS651" s="318">
        <f t="shared" ca="1" si="346"/>
        <v>1.3654275362105375</v>
      </c>
      <c r="CT651" s="205">
        <f t="shared" ca="1" si="347"/>
        <v>200.43812798920695</v>
      </c>
      <c r="CZ651" s="164" t="b">
        <f t="shared" si="324"/>
        <v>0</v>
      </c>
      <c r="DA651" s="165" t="b">
        <f t="shared" si="324"/>
        <v>0</v>
      </c>
      <c r="DB651" s="166" t="b">
        <f t="shared" si="324"/>
        <v>0</v>
      </c>
      <c r="DC651" s="164" t="str">
        <f t="shared" si="325"/>
        <v/>
      </c>
      <c r="DD651" s="166" t="str">
        <f t="shared" si="326"/>
        <v/>
      </c>
      <c r="DE651" s="164" t="str">
        <f t="shared" si="327"/>
        <v/>
      </c>
      <c r="DF651" s="166" t="str">
        <f t="shared" si="328"/>
        <v/>
      </c>
      <c r="DG651" s="164" t="str">
        <f t="shared" si="329"/>
        <v/>
      </c>
      <c r="DH651" s="166" t="str">
        <f t="shared" si="330"/>
        <v/>
      </c>
      <c r="DI651" s="164" t="str">
        <f>IFERROR(INDEX(DC$615:DC$663,_xlfn.AGGREGATE(15,6,(ROW(DC$615:DC$663)-ROW(DC$615)+1)/(DC$615:DC$663&lt;&gt;""),ROWS(DI$1:DI37))),"")</f>
        <v/>
      </c>
      <c r="DJ651" s="165" t="str">
        <f>IFERROR(INDEX(DD$615:DD$663,_xlfn.AGGREGATE(15,6,(ROW(DD$615:DD$663)-ROW(DD$615)+1)/(DD$615:DD$663&lt;&gt;""),ROWS(DJ$1:DJ37))),"")</f>
        <v/>
      </c>
      <c r="DK651" s="166" t="str">
        <f t="shared" si="331"/>
        <v/>
      </c>
      <c r="DL651" s="164" t="str">
        <f>IFERROR(INDEX(DE$615:DE$663,_xlfn.AGGREGATE(15,6,(ROW(DE$615:DE$663)-ROW(DE$615)+1)/(DE$615:DE$663&lt;&gt;""),ROWS(DL$1:DL37))),"")</f>
        <v/>
      </c>
      <c r="DM651" s="165" t="str">
        <f>IFERROR(INDEX(DF$615:DF$663,_xlfn.AGGREGATE(15,6,(ROW(DF$615:DF$663)-ROW(DF$615)+1)/(DF$615:DF$663&lt;&gt;""),ROWS(DM$1:DM37))),"")</f>
        <v/>
      </c>
      <c r="DN651" s="166" t="str">
        <f t="shared" si="332"/>
        <v/>
      </c>
      <c r="DO651" s="164" t="str">
        <f>IFERROR(INDEX(DG$615:DG$663,_xlfn.AGGREGATE(15,6,(ROW(DG$615:DG$663)-ROW(DG$615)+1)/(DG$615:DG$663&lt;&gt;""),ROWS(DO$1:DO37))),"")</f>
        <v/>
      </c>
      <c r="DP651" s="165" t="str">
        <f>IFERROR(INDEX(DH$615:DH$663,_xlfn.AGGREGATE(15,6,(ROW(DH$615:DH$663)-ROW(DH$615)+1)/(DH$615:DH$663&lt;&gt;""),ROWS(DP$1:DP37))),"")</f>
        <v/>
      </c>
      <c r="DQ651" s="166" t="str">
        <f t="shared" si="333"/>
        <v/>
      </c>
      <c r="DR651" s="65"/>
      <c r="DV651" s="145">
        <v>2051</v>
      </c>
      <c r="DW651" s="235">
        <f t="shared" ca="1" si="317"/>
        <v>204.69239881418736</v>
      </c>
      <c r="EA651" s="55"/>
      <c r="EB651" s="55"/>
      <c r="EC651" s="55"/>
      <c r="ED651" s="55"/>
      <c r="EE651" s="55"/>
    </row>
    <row r="652" spans="2:135" ht="13.8" x14ac:dyDescent="0.45">
      <c r="B652" s="128">
        <v>2049</v>
      </c>
      <c r="C652" s="291"/>
      <c r="D652" s="307"/>
      <c r="E652" s="292"/>
      <c r="F652" s="293"/>
      <c r="G652" s="320"/>
      <c r="H652" s="292"/>
      <c r="I652" s="293"/>
      <c r="J652" s="320"/>
      <c r="K652" s="292"/>
      <c r="L652" s="293"/>
      <c r="M652" s="292"/>
      <c r="N652" s="29" t="s">
        <v>119</v>
      </c>
      <c r="O652" s="120"/>
      <c r="P652" s="120"/>
      <c r="Q652" s="120"/>
      <c r="R652" s="29">
        <v>35</v>
      </c>
      <c r="S652" s="317" t="str">
        <f t="shared" si="318"/>
        <v/>
      </c>
      <c r="T652" s="317" t="str">
        <f t="shared" si="319"/>
        <v/>
      </c>
      <c r="U652" s="317" t="str">
        <f t="shared" si="320"/>
        <v/>
      </c>
      <c r="W652" s="317" t="e">
        <f t="shared" si="321"/>
        <v>#N/A</v>
      </c>
      <c r="X652" s="317" t="e">
        <f t="shared" si="322"/>
        <v>#N/A</v>
      </c>
      <c r="Y652" s="317" t="e">
        <f t="shared" si="323"/>
        <v>#N/A</v>
      </c>
      <c r="AA652" s="89"/>
      <c r="AB652" s="89"/>
      <c r="AC652" s="89"/>
      <c r="AD652" s="89"/>
      <c r="AE652" s="89"/>
      <c r="AF652" s="89"/>
      <c r="AG652" s="89"/>
      <c r="AH652" s="89"/>
      <c r="AI652" s="89"/>
      <c r="AJ652" s="89"/>
      <c r="AK652" s="89"/>
      <c r="AL652" s="89"/>
      <c r="AM652" s="89"/>
      <c r="AN652" s="89"/>
      <c r="BR652" s="180">
        <v>2047</v>
      </c>
      <c r="BS652" s="22">
        <v>33</v>
      </c>
      <c r="BT652" s="318">
        <f t="shared" si="334"/>
        <v>54.93334713497746</v>
      </c>
      <c r="BU652" s="318">
        <f t="shared" si="335"/>
        <v>145.54830071405007</v>
      </c>
      <c r="BV652" s="205">
        <f t="shared" si="336"/>
        <v>200.48164784902752</v>
      </c>
      <c r="BY652" s="180">
        <v>2047</v>
      </c>
      <c r="BZ652" s="22">
        <v>33</v>
      </c>
      <c r="CA652" s="318">
        <f t="shared" ca="1" si="337"/>
        <v>-6.4903553477064921</v>
      </c>
      <c r="CB652" s="318">
        <f t="shared" ca="1" si="338"/>
        <v>61.227025047904966</v>
      </c>
      <c r="CC652" s="318">
        <f t="shared" ca="1" si="349"/>
        <v>144.49935439522881</v>
      </c>
      <c r="CD652" s="205">
        <f t="shared" ca="1" si="339"/>
        <v>199.2360240954273</v>
      </c>
      <c r="CG652" s="180">
        <v>2047</v>
      </c>
      <c r="CH652" s="22">
        <v>33</v>
      </c>
      <c r="CI652" s="318">
        <f t="shared" ca="1" si="340"/>
        <v>-1.7061301396825035</v>
      </c>
      <c r="CJ652" s="318">
        <f t="shared" ca="1" si="341"/>
        <v>-4.0087115081682647</v>
      </c>
      <c r="CK652" s="318">
        <f t="shared" ca="1" si="342"/>
        <v>60.249094438915193</v>
      </c>
      <c r="CL652" s="318">
        <f t="shared" ca="1" si="343"/>
        <v>144.5845825674958</v>
      </c>
      <c r="CM652" s="205">
        <f t="shared" ca="1" si="344"/>
        <v>199.11883535856023</v>
      </c>
      <c r="CP652" s="180">
        <v>2047</v>
      </c>
      <c r="CQ652" s="22">
        <v>33</v>
      </c>
      <c r="CR652" s="318">
        <f t="shared" ca="1" si="345"/>
        <v>146.79514120938387</v>
      </c>
      <c r="CS652" s="318">
        <f t="shared" ca="1" si="346"/>
        <v>1.3787826266167493</v>
      </c>
      <c r="CT652" s="205">
        <f t="shared" ca="1" si="347"/>
        <v>202.39859037125092</v>
      </c>
      <c r="CZ652" s="164" t="b">
        <f t="shared" si="324"/>
        <v>0</v>
      </c>
      <c r="DA652" s="165" t="b">
        <f t="shared" si="324"/>
        <v>0</v>
      </c>
      <c r="DB652" s="166" t="b">
        <f t="shared" si="324"/>
        <v>0</v>
      </c>
      <c r="DC652" s="164" t="str">
        <f t="shared" si="325"/>
        <v/>
      </c>
      <c r="DD652" s="166" t="str">
        <f t="shared" si="326"/>
        <v/>
      </c>
      <c r="DE652" s="164" t="str">
        <f t="shared" si="327"/>
        <v/>
      </c>
      <c r="DF652" s="166" t="str">
        <f t="shared" si="328"/>
        <v/>
      </c>
      <c r="DG652" s="164" t="str">
        <f t="shared" si="329"/>
        <v/>
      </c>
      <c r="DH652" s="166" t="str">
        <f t="shared" si="330"/>
        <v/>
      </c>
      <c r="DI652" s="164" t="str">
        <f>IFERROR(INDEX(DC$615:DC$663,_xlfn.AGGREGATE(15,6,(ROW(DC$615:DC$663)-ROW(DC$615)+1)/(DC$615:DC$663&lt;&gt;""),ROWS(DI$1:DI38))),"")</f>
        <v/>
      </c>
      <c r="DJ652" s="165" t="str">
        <f>IFERROR(INDEX(DD$615:DD$663,_xlfn.AGGREGATE(15,6,(ROW(DD$615:DD$663)-ROW(DD$615)+1)/(DD$615:DD$663&lt;&gt;""),ROWS(DJ$1:DJ38))),"")</f>
        <v/>
      </c>
      <c r="DK652" s="166" t="str">
        <f t="shared" si="331"/>
        <v/>
      </c>
      <c r="DL652" s="164" t="str">
        <f>IFERROR(INDEX(DE$615:DE$663,_xlfn.AGGREGATE(15,6,(ROW(DE$615:DE$663)-ROW(DE$615)+1)/(DE$615:DE$663&lt;&gt;""),ROWS(DL$1:DL38))),"")</f>
        <v/>
      </c>
      <c r="DM652" s="165" t="str">
        <f>IFERROR(INDEX(DF$615:DF$663,_xlfn.AGGREGATE(15,6,(ROW(DF$615:DF$663)-ROW(DF$615)+1)/(DF$615:DF$663&lt;&gt;""),ROWS(DM$1:DM38))),"")</f>
        <v/>
      </c>
      <c r="DN652" s="166" t="str">
        <f t="shared" si="332"/>
        <v/>
      </c>
      <c r="DO652" s="164" t="str">
        <f>IFERROR(INDEX(DG$615:DG$663,_xlfn.AGGREGATE(15,6,(ROW(DG$615:DG$663)-ROW(DG$615)+1)/(DG$615:DG$663&lt;&gt;""),ROWS(DO$1:DO38))),"")</f>
        <v/>
      </c>
      <c r="DP652" s="165" t="str">
        <f>IFERROR(INDEX(DH$615:DH$663,_xlfn.AGGREGATE(15,6,(ROW(DH$615:DH$663)-ROW(DH$615)+1)/(DH$615:DH$663&lt;&gt;""),ROWS(DP$1:DP38))),"")</f>
        <v/>
      </c>
      <c r="DQ652" s="166" t="str">
        <f t="shared" si="333"/>
        <v/>
      </c>
      <c r="DR652" s="65"/>
      <c r="DV652" s="145">
        <v>2052</v>
      </c>
      <c r="DW652" s="235">
        <f t="shared" ca="1" si="317"/>
        <v>206.04174739091724</v>
      </c>
      <c r="EA652" s="55"/>
      <c r="EB652" s="55"/>
      <c r="EC652" s="55"/>
      <c r="ED652" s="55"/>
      <c r="EE652" s="55"/>
    </row>
    <row r="653" spans="2:135" ht="13.8" x14ac:dyDescent="0.45">
      <c r="B653" s="128">
        <v>2050</v>
      </c>
      <c r="C653" s="291"/>
      <c r="D653" s="307"/>
      <c r="E653" s="292"/>
      <c r="F653" s="293"/>
      <c r="G653" s="320"/>
      <c r="H653" s="292"/>
      <c r="I653" s="293"/>
      <c r="J653" s="320"/>
      <c r="K653" s="292"/>
      <c r="L653" s="293"/>
      <c r="M653" s="292"/>
      <c r="N653" s="29" t="s">
        <v>119</v>
      </c>
      <c r="O653" s="120"/>
      <c r="P653" s="120"/>
      <c r="Q653" s="120"/>
      <c r="R653" s="29">
        <v>36</v>
      </c>
      <c r="S653" s="317" t="str">
        <f t="shared" si="318"/>
        <v/>
      </c>
      <c r="T653" s="317" t="str">
        <f t="shared" si="319"/>
        <v/>
      </c>
      <c r="U653" s="317" t="str">
        <f t="shared" si="320"/>
        <v/>
      </c>
      <c r="W653" s="317" t="e">
        <f t="shared" si="321"/>
        <v>#N/A</v>
      </c>
      <c r="X653" s="317" t="e">
        <f t="shared" si="322"/>
        <v>#N/A</v>
      </c>
      <c r="Y653" s="317" t="e">
        <f t="shared" si="323"/>
        <v>#N/A</v>
      </c>
      <c r="AA653" s="89"/>
      <c r="AB653" s="89"/>
      <c r="AC653" s="89"/>
      <c r="AD653" s="89"/>
      <c r="AE653" s="89"/>
      <c r="AF653" s="89"/>
      <c r="AG653" s="89"/>
      <c r="AH653" s="89"/>
      <c r="AI653" s="89"/>
      <c r="AJ653" s="89"/>
      <c r="AK653" s="89"/>
      <c r="AL653" s="89"/>
      <c r="AM653" s="89"/>
      <c r="AN653" s="89"/>
      <c r="BR653" s="180">
        <v>2048</v>
      </c>
      <c r="BS653" s="22">
        <v>34</v>
      </c>
      <c r="BT653" s="318">
        <f t="shared" si="334"/>
        <v>56.597994017855569</v>
      </c>
      <c r="BU653" s="318">
        <f t="shared" si="335"/>
        <v>145.54830071405007</v>
      </c>
      <c r="BV653" s="205">
        <f t="shared" si="336"/>
        <v>202.14629473190564</v>
      </c>
      <c r="BY653" s="180">
        <v>2048</v>
      </c>
      <c r="BZ653" s="22">
        <v>34</v>
      </c>
      <c r="CA653" s="318">
        <f t="shared" ca="1" si="337"/>
        <v>-6.8896701395304909</v>
      </c>
      <c r="CB653" s="318">
        <f t="shared" ca="1" si="338"/>
        <v>63.08238944329603</v>
      </c>
      <c r="CC653" s="318">
        <f t="shared" ca="1" si="349"/>
        <v>144.49935439522881</v>
      </c>
      <c r="CD653" s="205">
        <f t="shared" ca="1" si="339"/>
        <v>200.69207369899436</v>
      </c>
      <c r="CG653" s="180">
        <v>2048</v>
      </c>
      <c r="CH653" s="22">
        <v>34</v>
      </c>
      <c r="CI653" s="318">
        <f t="shared" ca="1" si="340"/>
        <v>-1.8659804382692242</v>
      </c>
      <c r="CJ653" s="318">
        <f t="shared" ca="1" si="341"/>
        <v>-4.2553448149150732</v>
      </c>
      <c r="CK653" s="318">
        <f t="shared" ca="1" si="342"/>
        <v>62.074824573427776</v>
      </c>
      <c r="CL653" s="318">
        <f t="shared" ca="1" si="343"/>
        <v>144.5845825674958</v>
      </c>
      <c r="CM653" s="205">
        <f t="shared" ca="1" si="344"/>
        <v>200.53808188773928</v>
      </c>
      <c r="CP653" s="180">
        <v>2048</v>
      </c>
      <c r="CQ653" s="22">
        <v>34</v>
      </c>
      <c r="CR653" s="318">
        <f t="shared" ca="1" si="345"/>
        <v>146.79514120938387</v>
      </c>
      <c r="CS653" s="318">
        <f t="shared" ca="1" si="346"/>
        <v>1.3922683416332231</v>
      </c>
      <c r="CT653" s="205">
        <f t="shared" ca="1" si="347"/>
        <v>204.37822781140369</v>
      </c>
      <c r="CZ653" s="164" t="b">
        <f t="shared" si="324"/>
        <v>0</v>
      </c>
      <c r="DA653" s="165" t="b">
        <f t="shared" si="324"/>
        <v>0</v>
      </c>
      <c r="DB653" s="166" t="b">
        <f t="shared" si="324"/>
        <v>0</v>
      </c>
      <c r="DC653" s="164" t="str">
        <f t="shared" si="325"/>
        <v/>
      </c>
      <c r="DD653" s="166" t="str">
        <f t="shared" si="326"/>
        <v/>
      </c>
      <c r="DE653" s="164" t="str">
        <f t="shared" si="327"/>
        <v/>
      </c>
      <c r="DF653" s="166" t="str">
        <f t="shared" si="328"/>
        <v/>
      </c>
      <c r="DG653" s="164" t="str">
        <f t="shared" si="329"/>
        <v/>
      </c>
      <c r="DH653" s="166" t="str">
        <f t="shared" si="330"/>
        <v/>
      </c>
      <c r="DI653" s="164" t="str">
        <f>IFERROR(INDEX(DC$615:DC$663,_xlfn.AGGREGATE(15,6,(ROW(DC$615:DC$663)-ROW(DC$615)+1)/(DC$615:DC$663&lt;&gt;""),ROWS(DI$1:DI39))),"")</f>
        <v/>
      </c>
      <c r="DJ653" s="165" t="str">
        <f>IFERROR(INDEX(DD$615:DD$663,_xlfn.AGGREGATE(15,6,(ROW(DD$615:DD$663)-ROW(DD$615)+1)/(DD$615:DD$663&lt;&gt;""),ROWS(DJ$1:DJ39))),"")</f>
        <v/>
      </c>
      <c r="DK653" s="166" t="str">
        <f t="shared" si="331"/>
        <v/>
      </c>
      <c r="DL653" s="164" t="str">
        <f>IFERROR(INDEX(DE$615:DE$663,_xlfn.AGGREGATE(15,6,(ROW(DE$615:DE$663)-ROW(DE$615)+1)/(DE$615:DE$663&lt;&gt;""),ROWS(DL$1:DL39))),"")</f>
        <v/>
      </c>
      <c r="DM653" s="165" t="str">
        <f>IFERROR(INDEX(DF$615:DF$663,_xlfn.AGGREGATE(15,6,(ROW(DF$615:DF$663)-ROW(DF$615)+1)/(DF$615:DF$663&lt;&gt;""),ROWS(DM$1:DM39))),"")</f>
        <v/>
      </c>
      <c r="DN653" s="166" t="str">
        <f t="shared" si="332"/>
        <v/>
      </c>
      <c r="DO653" s="164" t="str">
        <f>IFERROR(INDEX(DG$615:DG$663,_xlfn.AGGREGATE(15,6,(ROW(DG$615:DG$663)-ROW(DG$615)+1)/(DG$615:DG$663&lt;&gt;""),ROWS(DO$1:DO39))),"")</f>
        <v/>
      </c>
      <c r="DP653" s="165" t="str">
        <f>IFERROR(INDEX(DH$615:DH$663,_xlfn.AGGREGATE(15,6,(ROW(DH$615:DH$663)-ROW(DH$615)+1)/(DH$615:DH$663&lt;&gt;""),ROWS(DP$1:DP39))),"")</f>
        <v/>
      </c>
      <c r="DQ653" s="166" t="str">
        <f t="shared" si="333"/>
        <v/>
      </c>
      <c r="DR653" s="65"/>
      <c r="DV653" s="145">
        <v>2053</v>
      </c>
      <c r="DW653" s="235">
        <f t="shared" ca="1" si="317"/>
        <v>207.37290934574247</v>
      </c>
      <c r="EA653" s="55"/>
      <c r="EB653" s="55"/>
      <c r="EC653" s="55"/>
      <c r="ED653" s="55"/>
      <c r="EE653" s="55"/>
    </row>
    <row r="654" spans="2:135" ht="13.8" x14ac:dyDescent="0.45">
      <c r="B654" s="128">
        <v>2051</v>
      </c>
      <c r="C654" s="291"/>
      <c r="D654" s="307"/>
      <c r="E654" s="292"/>
      <c r="F654" s="293"/>
      <c r="G654" s="320"/>
      <c r="H654" s="292"/>
      <c r="I654" s="293"/>
      <c r="J654" s="320"/>
      <c r="K654" s="292"/>
      <c r="L654" s="293"/>
      <c r="M654" s="292"/>
      <c r="N654" s="29" t="s">
        <v>119</v>
      </c>
      <c r="O654" s="120"/>
      <c r="P654" s="120"/>
      <c r="Q654" s="120"/>
      <c r="R654" s="29">
        <v>37</v>
      </c>
      <c r="S654" s="317" t="str">
        <f t="shared" si="318"/>
        <v/>
      </c>
      <c r="T654" s="317" t="str">
        <f t="shared" si="319"/>
        <v/>
      </c>
      <c r="U654" s="317" t="str">
        <f t="shared" si="320"/>
        <v/>
      </c>
      <c r="W654" s="317" t="e">
        <f t="shared" si="321"/>
        <v>#N/A</v>
      </c>
      <c r="X654" s="317" t="e">
        <f t="shared" si="322"/>
        <v>#N/A</v>
      </c>
      <c r="Y654" s="317" t="e">
        <f t="shared" si="323"/>
        <v>#N/A</v>
      </c>
      <c r="AA654" s="89"/>
      <c r="AB654" s="89"/>
      <c r="AC654" s="89"/>
      <c r="AD654" s="89"/>
      <c r="AE654" s="89"/>
      <c r="AF654" s="89"/>
      <c r="AG654" s="89"/>
      <c r="AH654" s="89"/>
      <c r="AI654" s="89"/>
      <c r="AJ654" s="89"/>
      <c r="AK654" s="89"/>
      <c r="AL654" s="89"/>
      <c r="AM654" s="89"/>
      <c r="AN654" s="89"/>
      <c r="BR654" s="180">
        <v>2049</v>
      </c>
      <c r="BS654" s="22">
        <v>35</v>
      </c>
      <c r="BT654" s="318">
        <f t="shared" si="334"/>
        <v>58.262640900733672</v>
      </c>
      <c r="BU654" s="318">
        <f t="shared" si="335"/>
        <v>145.54830071405007</v>
      </c>
      <c r="BV654" s="205">
        <f t="shared" si="336"/>
        <v>203.81094161478376</v>
      </c>
      <c r="BY654" s="180">
        <v>2049</v>
      </c>
      <c r="BZ654" s="22">
        <v>35</v>
      </c>
      <c r="CA654" s="318">
        <f t="shared" ca="1" si="337"/>
        <v>-7.3009047758865497</v>
      </c>
      <c r="CB654" s="318">
        <f t="shared" ca="1" si="338"/>
        <v>64.937753838687087</v>
      </c>
      <c r="CC654" s="318">
        <f t="shared" ca="1" si="349"/>
        <v>144.49935439522881</v>
      </c>
      <c r="CD654" s="205">
        <f t="shared" ca="1" si="339"/>
        <v>202.13620345802934</v>
      </c>
      <c r="CG654" s="180">
        <v>2049</v>
      </c>
      <c r="CH654" s="22">
        <v>35</v>
      </c>
      <c r="CI654" s="318">
        <f t="shared" ca="1" si="340"/>
        <v>-2.035515756431737</v>
      </c>
      <c r="CJ654" s="318">
        <f t="shared" ca="1" si="341"/>
        <v>-4.5093403099229796</v>
      </c>
      <c r="CK654" s="318">
        <f t="shared" ca="1" si="342"/>
        <v>63.900554707940358</v>
      </c>
      <c r="CL654" s="318">
        <f t="shared" ca="1" si="343"/>
        <v>144.5845825674958</v>
      </c>
      <c r="CM654" s="205">
        <f t="shared" ca="1" si="344"/>
        <v>201.94028120908143</v>
      </c>
      <c r="CP654" s="180">
        <v>2049</v>
      </c>
      <c r="CQ654" s="22">
        <v>35</v>
      </c>
      <c r="CR654" s="318">
        <f t="shared" ca="1" si="345"/>
        <v>146.79514120938387</v>
      </c>
      <c r="CS654" s="318">
        <f t="shared" ca="1" si="346"/>
        <v>1.4058859588843162</v>
      </c>
      <c r="CT654" s="205">
        <f t="shared" ca="1" si="347"/>
        <v>206.37722785871324</v>
      </c>
      <c r="CZ654" s="164" t="b">
        <f t="shared" si="324"/>
        <v>0</v>
      </c>
      <c r="DA654" s="165" t="b">
        <f t="shared" si="324"/>
        <v>0</v>
      </c>
      <c r="DB654" s="166" t="b">
        <f t="shared" si="324"/>
        <v>0</v>
      </c>
      <c r="DC654" s="164" t="str">
        <f t="shared" si="325"/>
        <v/>
      </c>
      <c r="DD654" s="166" t="str">
        <f t="shared" si="326"/>
        <v/>
      </c>
      <c r="DE654" s="164" t="str">
        <f t="shared" si="327"/>
        <v/>
      </c>
      <c r="DF654" s="166" t="str">
        <f t="shared" si="328"/>
        <v/>
      </c>
      <c r="DG654" s="164" t="str">
        <f t="shared" si="329"/>
        <v/>
      </c>
      <c r="DH654" s="166" t="str">
        <f t="shared" si="330"/>
        <v/>
      </c>
      <c r="DI654" s="164" t="str">
        <f>IFERROR(INDEX(DC$615:DC$663,_xlfn.AGGREGATE(15,6,(ROW(DC$615:DC$663)-ROW(DC$615)+1)/(DC$615:DC$663&lt;&gt;""),ROWS(DI$1:DI40))),"")</f>
        <v/>
      </c>
      <c r="DJ654" s="165" t="str">
        <f>IFERROR(INDEX(DD$615:DD$663,_xlfn.AGGREGATE(15,6,(ROW(DD$615:DD$663)-ROW(DD$615)+1)/(DD$615:DD$663&lt;&gt;""),ROWS(DJ$1:DJ40))),"")</f>
        <v/>
      </c>
      <c r="DK654" s="166" t="str">
        <f t="shared" si="331"/>
        <v/>
      </c>
      <c r="DL654" s="164" t="str">
        <f>IFERROR(INDEX(DE$615:DE$663,_xlfn.AGGREGATE(15,6,(ROW(DE$615:DE$663)-ROW(DE$615)+1)/(DE$615:DE$663&lt;&gt;""),ROWS(DL$1:DL40))),"")</f>
        <v/>
      </c>
      <c r="DM654" s="165" t="str">
        <f>IFERROR(INDEX(DF$615:DF$663,_xlfn.AGGREGATE(15,6,(ROW(DF$615:DF$663)-ROW(DF$615)+1)/(DF$615:DF$663&lt;&gt;""),ROWS(DM$1:DM40))),"")</f>
        <v/>
      </c>
      <c r="DN654" s="166" t="str">
        <f t="shared" si="332"/>
        <v/>
      </c>
      <c r="DO654" s="164" t="str">
        <f>IFERROR(INDEX(DG$615:DG$663,_xlfn.AGGREGATE(15,6,(ROW(DG$615:DG$663)-ROW(DG$615)+1)/(DG$615:DG$663&lt;&gt;""),ROWS(DO$1:DO40))),"")</f>
        <v/>
      </c>
      <c r="DP654" s="165" t="str">
        <f>IFERROR(INDEX(DH$615:DH$663,_xlfn.AGGREGATE(15,6,(ROW(DH$615:DH$663)-ROW(DH$615)+1)/(DH$615:DH$663&lt;&gt;""),ROWS(DP$1:DP40))),"")</f>
        <v/>
      </c>
      <c r="DQ654" s="166" t="str">
        <f t="shared" si="333"/>
        <v/>
      </c>
      <c r="DR654" s="65"/>
      <c r="DV654" s="145">
        <v>2054</v>
      </c>
      <c r="DW654" s="235">
        <f t="shared" ca="1" si="317"/>
        <v>208.68559982514617</v>
      </c>
      <c r="EA654" s="55"/>
      <c r="EB654" s="55"/>
      <c r="EC654" s="55"/>
      <c r="ED654" s="55"/>
      <c r="EE654" s="55"/>
    </row>
    <row r="655" spans="2:135" ht="13.8" x14ac:dyDescent="0.45">
      <c r="B655" s="128">
        <v>2052</v>
      </c>
      <c r="C655" s="291"/>
      <c r="D655" s="307"/>
      <c r="E655" s="292"/>
      <c r="F655" s="293"/>
      <c r="G655" s="320"/>
      <c r="H655" s="292"/>
      <c r="I655" s="293"/>
      <c r="J655" s="320"/>
      <c r="K655" s="292"/>
      <c r="L655" s="293"/>
      <c r="M655" s="292"/>
      <c r="N655" s="29" t="s">
        <v>119</v>
      </c>
      <c r="O655" s="120"/>
      <c r="P655" s="120"/>
      <c r="Q655" s="120"/>
      <c r="R655" s="29">
        <v>38</v>
      </c>
      <c r="S655" s="317" t="str">
        <f t="shared" si="318"/>
        <v/>
      </c>
      <c r="T655" s="317" t="str">
        <f t="shared" si="319"/>
        <v/>
      </c>
      <c r="U655" s="317" t="str">
        <f t="shared" si="320"/>
        <v/>
      </c>
      <c r="W655" s="317" t="e">
        <f t="shared" si="321"/>
        <v>#N/A</v>
      </c>
      <c r="X655" s="317" t="e">
        <f t="shared" si="322"/>
        <v>#N/A</v>
      </c>
      <c r="Y655" s="317" t="e">
        <f t="shared" si="323"/>
        <v>#N/A</v>
      </c>
      <c r="AA655" s="89"/>
      <c r="AB655" s="89"/>
      <c r="AC655" s="89"/>
      <c r="AD655" s="89"/>
      <c r="AE655" s="89"/>
      <c r="AF655" s="89"/>
      <c r="AG655" s="89"/>
      <c r="AH655" s="89"/>
      <c r="AI655" s="89"/>
      <c r="AJ655" s="89"/>
      <c r="AK655" s="89"/>
      <c r="AL655" s="89"/>
      <c r="AM655" s="89"/>
      <c r="AN655" s="89"/>
      <c r="BR655" s="180">
        <v>2050</v>
      </c>
      <c r="BS655" s="22">
        <v>36</v>
      </c>
      <c r="BT655" s="318">
        <f t="shared" si="334"/>
        <v>59.927287783611774</v>
      </c>
      <c r="BU655" s="318">
        <f t="shared" si="335"/>
        <v>145.54830071405007</v>
      </c>
      <c r="BV655" s="212">
        <f t="shared" si="336"/>
        <v>205.47558849766185</v>
      </c>
      <c r="BY655" s="180">
        <v>2050</v>
      </c>
      <c r="BZ655" s="22">
        <v>36</v>
      </c>
      <c r="CA655" s="318">
        <f t="shared" ca="1" si="337"/>
        <v>-7.7240592567746678</v>
      </c>
      <c r="CB655" s="318">
        <f t="shared" ca="1" si="338"/>
        <v>66.79311823407815</v>
      </c>
      <c r="CC655" s="318">
        <f t="shared" ca="1" si="349"/>
        <v>144.49935439522881</v>
      </c>
      <c r="CD655" s="212">
        <f t="shared" ca="1" si="339"/>
        <v>203.56841337253229</v>
      </c>
      <c r="CG655" s="180">
        <v>2050</v>
      </c>
      <c r="CH655" s="22">
        <v>36</v>
      </c>
      <c r="CI655" s="318">
        <f t="shared" ca="1" si="340"/>
        <v>-2.2150209476869764</v>
      </c>
      <c r="CJ655" s="318">
        <f t="shared" ca="1" si="341"/>
        <v>-4.7706979931919848</v>
      </c>
      <c r="CK655" s="318">
        <f t="shared" ca="1" si="342"/>
        <v>65.726284842452941</v>
      </c>
      <c r="CL655" s="318">
        <f t="shared" ca="1" si="343"/>
        <v>144.5845825674958</v>
      </c>
      <c r="CM655" s="212">
        <f t="shared" ca="1" si="344"/>
        <v>203.32514846906977</v>
      </c>
      <c r="CP655" s="180">
        <v>2050</v>
      </c>
      <c r="CQ655" s="22">
        <v>36</v>
      </c>
      <c r="CR655" s="318">
        <f t="shared" ca="1" si="345"/>
        <v>146.79514120938387</v>
      </c>
      <c r="CS655" s="318">
        <f t="shared" ca="1" si="346"/>
        <v>1.4196367684906848</v>
      </c>
      <c r="CT655" s="212">
        <f t="shared" ca="1" si="347"/>
        <v>208.39577989662348</v>
      </c>
      <c r="CZ655" s="164" t="b">
        <f t="shared" ref="CZ655:DB663" si="351">ISNUMBER(W655)</f>
        <v>0</v>
      </c>
      <c r="DA655" s="165" t="b">
        <f t="shared" si="351"/>
        <v>0</v>
      </c>
      <c r="DB655" s="166" t="b">
        <f t="shared" si="351"/>
        <v>0</v>
      </c>
      <c r="DC655" s="164" t="str">
        <f t="shared" si="325"/>
        <v/>
      </c>
      <c r="DD655" s="166" t="str">
        <f t="shared" si="326"/>
        <v/>
      </c>
      <c r="DE655" s="164" t="str">
        <f t="shared" si="327"/>
        <v/>
      </c>
      <c r="DF655" s="166" t="str">
        <f t="shared" si="328"/>
        <v/>
      </c>
      <c r="DG655" s="164" t="str">
        <f t="shared" si="329"/>
        <v/>
      </c>
      <c r="DH655" s="166" t="str">
        <f t="shared" si="330"/>
        <v/>
      </c>
      <c r="DI655" s="164" t="str">
        <f>IFERROR(INDEX(DC$615:DC$663,_xlfn.AGGREGATE(15,6,(ROW(DC$615:DC$663)-ROW(DC$615)+1)/(DC$615:DC$663&lt;&gt;""),ROWS(DI$1:DI41))),"")</f>
        <v/>
      </c>
      <c r="DJ655" s="165" t="str">
        <f>IFERROR(INDEX(DD$615:DD$663,_xlfn.AGGREGATE(15,6,(ROW(DD$615:DD$663)-ROW(DD$615)+1)/(DD$615:DD$663&lt;&gt;""),ROWS(DJ$1:DJ41))),"")</f>
        <v/>
      </c>
      <c r="DK655" s="166" t="str">
        <f t="shared" si="331"/>
        <v/>
      </c>
      <c r="DL655" s="164" t="str">
        <f>IFERROR(INDEX(DE$615:DE$663,_xlfn.AGGREGATE(15,6,(ROW(DE$615:DE$663)-ROW(DE$615)+1)/(DE$615:DE$663&lt;&gt;""),ROWS(DL$1:DL41))),"")</f>
        <v/>
      </c>
      <c r="DM655" s="165" t="str">
        <f>IFERROR(INDEX(DF$615:DF$663,_xlfn.AGGREGATE(15,6,(ROW(DF$615:DF$663)-ROW(DF$615)+1)/(DF$615:DF$663&lt;&gt;""),ROWS(DM$1:DM41))),"")</f>
        <v/>
      </c>
      <c r="DN655" s="166" t="str">
        <f t="shared" si="332"/>
        <v/>
      </c>
      <c r="DO655" s="164" t="str">
        <f>IFERROR(INDEX(DG$615:DG$663,_xlfn.AGGREGATE(15,6,(ROW(DG$615:DG$663)-ROW(DG$615)+1)/(DG$615:DG$663&lt;&gt;""),ROWS(DO$1:DO41))),"")</f>
        <v/>
      </c>
      <c r="DP655" s="165" t="str">
        <f>IFERROR(INDEX(DH$615:DH$663,_xlfn.AGGREGATE(15,6,(ROW(DH$615:DH$663)-ROW(DH$615)+1)/(DH$615:DH$663&lt;&gt;""),ROWS(DP$1:DP41))),"")</f>
        <v/>
      </c>
      <c r="DQ655" s="166" t="str">
        <f t="shared" si="333"/>
        <v/>
      </c>
      <c r="DR655" s="65"/>
      <c r="DV655" s="145">
        <v>2055</v>
      </c>
      <c r="DW655" s="235">
        <f t="shared" ca="1" si="317"/>
        <v>209.97953397561133</v>
      </c>
      <c r="EA655" s="55"/>
      <c r="EB655" s="55"/>
      <c r="EC655" s="55"/>
      <c r="ED655" s="55"/>
      <c r="EE655" s="55"/>
    </row>
    <row r="656" spans="2:135" ht="13.8" x14ac:dyDescent="0.45">
      <c r="B656" s="128">
        <v>2053</v>
      </c>
      <c r="C656" s="291"/>
      <c r="D656" s="307"/>
      <c r="E656" s="292"/>
      <c r="F656" s="293"/>
      <c r="G656" s="320"/>
      <c r="H656" s="292"/>
      <c r="I656" s="293"/>
      <c r="J656" s="320"/>
      <c r="K656" s="292"/>
      <c r="L656" s="293"/>
      <c r="M656" s="292"/>
      <c r="N656" s="29" t="s">
        <v>119</v>
      </c>
      <c r="O656" s="120"/>
      <c r="P656" s="120"/>
      <c r="Q656" s="120"/>
      <c r="R656" s="29">
        <v>39</v>
      </c>
      <c r="S656" s="317" t="str">
        <f t="shared" si="318"/>
        <v/>
      </c>
      <c r="T656" s="317" t="str">
        <f t="shared" si="319"/>
        <v/>
      </c>
      <c r="U656" s="317" t="str">
        <f t="shared" si="320"/>
        <v/>
      </c>
      <c r="W656" s="317" t="e">
        <f t="shared" si="321"/>
        <v>#N/A</v>
      </c>
      <c r="X656" s="317" t="e">
        <f t="shared" si="322"/>
        <v>#N/A</v>
      </c>
      <c r="Y656" s="317" t="e">
        <f t="shared" si="323"/>
        <v>#N/A</v>
      </c>
      <c r="AA656" s="89"/>
      <c r="AB656" s="89"/>
      <c r="AC656" s="89"/>
      <c r="AD656" s="89"/>
      <c r="AE656" s="89"/>
      <c r="AF656" s="89"/>
      <c r="AG656" s="89"/>
      <c r="AH656" s="89"/>
      <c r="AI656" s="89"/>
      <c r="AJ656" s="89"/>
      <c r="AK656" s="89"/>
      <c r="AL656" s="89"/>
      <c r="AM656" s="89"/>
      <c r="AN656" s="89"/>
      <c r="BR656" s="180">
        <v>2051</v>
      </c>
      <c r="BS656" s="22">
        <v>37</v>
      </c>
      <c r="BT656" s="318">
        <f t="shared" si="334"/>
        <v>61.591934666489884</v>
      </c>
      <c r="BU656" s="318">
        <f t="shared" si="335"/>
        <v>145.54830071405007</v>
      </c>
      <c r="BV656" s="285">
        <f t="shared" si="336"/>
        <v>207.14023538053996</v>
      </c>
      <c r="BY656" s="180">
        <v>2051</v>
      </c>
      <c r="BZ656" s="22">
        <v>37</v>
      </c>
      <c r="CA656" s="318">
        <f t="shared" ca="1" si="337"/>
        <v>-8.1591335821948459</v>
      </c>
      <c r="CB656" s="318">
        <f t="shared" ca="1" si="338"/>
        <v>68.648482629469214</v>
      </c>
      <c r="CC656" s="318">
        <f t="shared" ca="1" si="349"/>
        <v>144.49935439522881</v>
      </c>
      <c r="CD656" s="285">
        <f t="shared" ca="1" si="339"/>
        <v>204.98870344250318</v>
      </c>
      <c r="CG656" s="180">
        <v>2051</v>
      </c>
      <c r="CH656" s="22">
        <v>37</v>
      </c>
      <c r="CI656" s="318">
        <f t="shared" ca="1" si="340"/>
        <v>-2.4047808655518783</v>
      </c>
      <c r="CJ656" s="318">
        <f t="shared" ca="1" si="341"/>
        <v>-5.0394178647220889</v>
      </c>
      <c r="CK656" s="318">
        <f t="shared" ca="1" si="342"/>
        <v>67.552014976965523</v>
      </c>
      <c r="CL656" s="318">
        <f t="shared" ca="1" si="343"/>
        <v>144.5845825674958</v>
      </c>
      <c r="CM656" s="285">
        <f t="shared" ca="1" si="344"/>
        <v>204.69239881418736</v>
      </c>
      <c r="CP656" s="180">
        <v>2051</v>
      </c>
      <c r="CQ656" s="22">
        <v>37</v>
      </c>
      <c r="CR656" s="318">
        <f t="shared" ca="1" si="345"/>
        <v>146.79514120938387</v>
      </c>
      <c r="CS656" s="318">
        <f t="shared" ca="1" si="346"/>
        <v>1.4335220731915066</v>
      </c>
      <c r="CT656" s="285">
        <f t="shared" ca="1" si="347"/>
        <v>210.43407516091594</v>
      </c>
      <c r="CZ656" s="164" t="b">
        <f t="shared" si="351"/>
        <v>0</v>
      </c>
      <c r="DA656" s="165" t="b">
        <f t="shared" si="351"/>
        <v>0</v>
      </c>
      <c r="DB656" s="166" t="b">
        <f t="shared" si="351"/>
        <v>0</v>
      </c>
      <c r="DC656" s="164" t="str">
        <f t="shared" si="325"/>
        <v/>
      </c>
      <c r="DD656" s="166" t="str">
        <f t="shared" si="326"/>
        <v/>
      </c>
      <c r="DE656" s="164" t="str">
        <f t="shared" si="327"/>
        <v/>
      </c>
      <c r="DF656" s="166" t="str">
        <f t="shared" si="328"/>
        <v/>
      </c>
      <c r="DG656" s="164" t="str">
        <f t="shared" si="329"/>
        <v/>
      </c>
      <c r="DH656" s="166" t="str">
        <f t="shared" si="330"/>
        <v/>
      </c>
      <c r="DI656" s="164" t="str">
        <f>IFERROR(INDEX(DC$615:DC$663,_xlfn.AGGREGATE(15,6,(ROW(DC$615:DC$663)-ROW(DC$615)+1)/(DC$615:DC$663&lt;&gt;""),ROWS(DI$1:DI42))),"")</f>
        <v/>
      </c>
      <c r="DJ656" s="165" t="str">
        <f>IFERROR(INDEX(DD$615:DD$663,_xlfn.AGGREGATE(15,6,(ROW(DD$615:DD$663)-ROW(DD$615)+1)/(DD$615:DD$663&lt;&gt;""),ROWS(DJ$1:DJ42))),"")</f>
        <v/>
      </c>
      <c r="DK656" s="166" t="str">
        <f t="shared" si="331"/>
        <v/>
      </c>
      <c r="DL656" s="164" t="str">
        <f>IFERROR(INDEX(DE$615:DE$663,_xlfn.AGGREGATE(15,6,(ROW(DE$615:DE$663)-ROW(DE$615)+1)/(DE$615:DE$663&lt;&gt;""),ROWS(DL$1:DL42))),"")</f>
        <v/>
      </c>
      <c r="DM656" s="165" t="str">
        <f>IFERROR(INDEX(DF$615:DF$663,_xlfn.AGGREGATE(15,6,(ROW(DF$615:DF$663)-ROW(DF$615)+1)/(DF$615:DF$663&lt;&gt;""),ROWS(DM$1:DM42))),"")</f>
        <v/>
      </c>
      <c r="DN656" s="166" t="str">
        <f t="shared" si="332"/>
        <v/>
      </c>
      <c r="DO656" s="164" t="str">
        <f>IFERROR(INDEX(DG$615:DG$663,_xlfn.AGGREGATE(15,6,(ROW(DG$615:DG$663)-ROW(DG$615)+1)/(DG$615:DG$663&lt;&gt;""),ROWS(DO$1:DO42))),"")</f>
        <v/>
      </c>
      <c r="DP656" s="165" t="str">
        <f>IFERROR(INDEX(DH$615:DH$663,_xlfn.AGGREGATE(15,6,(ROW(DH$615:DH$663)-ROW(DH$615)+1)/(DH$615:DH$663&lt;&gt;""),ROWS(DP$1:DP42))),"")</f>
        <v/>
      </c>
      <c r="DQ656" s="166" t="str">
        <f t="shared" si="333"/>
        <v/>
      </c>
      <c r="DR656" s="65"/>
      <c r="DV656" s="145">
        <v>2056</v>
      </c>
      <c r="DW656" s="235">
        <f t="shared" ca="1" si="317"/>
        <v>211.2544269436211</v>
      </c>
      <c r="EA656" s="55"/>
      <c r="EB656" s="55"/>
      <c r="EC656" s="55"/>
      <c r="ED656" s="55"/>
      <c r="EE656" s="55"/>
    </row>
    <row r="657" spans="1:135" ht="13.8" x14ac:dyDescent="0.45">
      <c r="B657" s="128">
        <v>2054</v>
      </c>
      <c r="C657" s="291"/>
      <c r="D657" s="307"/>
      <c r="E657" s="292"/>
      <c r="F657" s="293"/>
      <c r="G657" s="320"/>
      <c r="H657" s="292"/>
      <c r="I657" s="293"/>
      <c r="J657" s="320"/>
      <c r="K657" s="292"/>
      <c r="L657" s="293"/>
      <c r="M657" s="292"/>
      <c r="N657" s="29" t="s">
        <v>119</v>
      </c>
      <c r="O657" s="120"/>
      <c r="P657" s="120"/>
      <c r="Q657" s="120"/>
      <c r="R657" s="29">
        <v>40</v>
      </c>
      <c r="S657" s="317" t="str">
        <f t="shared" si="318"/>
        <v/>
      </c>
      <c r="T657" s="317" t="str">
        <f t="shared" si="319"/>
        <v/>
      </c>
      <c r="U657" s="317" t="str">
        <f t="shared" si="320"/>
        <v/>
      </c>
      <c r="W657" s="317" t="e">
        <f t="shared" si="321"/>
        <v>#N/A</v>
      </c>
      <c r="X657" s="317" t="e">
        <f t="shared" si="322"/>
        <v>#N/A</v>
      </c>
      <c r="Y657" s="317" t="e">
        <f t="shared" si="323"/>
        <v>#N/A</v>
      </c>
      <c r="AA657" s="89"/>
      <c r="AB657" s="89"/>
      <c r="AC657" s="89"/>
      <c r="AD657" s="89"/>
      <c r="AE657" s="89"/>
      <c r="AF657" s="89"/>
      <c r="AG657" s="89"/>
      <c r="AH657" s="89"/>
      <c r="AI657" s="89"/>
      <c r="AJ657" s="89"/>
      <c r="AK657" s="89"/>
      <c r="AL657" s="89"/>
      <c r="AM657" s="89"/>
      <c r="AN657" s="89"/>
      <c r="BR657" s="180">
        <v>2052</v>
      </c>
      <c r="BS657" s="22">
        <v>38</v>
      </c>
      <c r="BT657" s="318">
        <f t="shared" si="334"/>
        <v>63.256581549367986</v>
      </c>
      <c r="BU657" s="318">
        <f t="shared" si="335"/>
        <v>145.54830071405007</v>
      </c>
      <c r="BV657" s="325">
        <f t="shared" si="336"/>
        <v>208.80488226341805</v>
      </c>
      <c r="BY657" s="180">
        <v>2052</v>
      </c>
      <c r="BZ657" s="22">
        <v>38</v>
      </c>
      <c r="CA657" s="318">
        <f t="shared" ca="1" si="337"/>
        <v>-8.6061277521470831</v>
      </c>
      <c r="CB657" s="318">
        <f t="shared" ca="1" si="338"/>
        <v>70.503847024860264</v>
      </c>
      <c r="CC657" s="318">
        <f t="shared" ca="1" si="349"/>
        <v>144.49935439522881</v>
      </c>
      <c r="CD657" s="325">
        <f t="shared" ca="1" si="339"/>
        <v>206.39707366794198</v>
      </c>
      <c r="CG657" s="180">
        <v>2052</v>
      </c>
      <c r="CH657" s="22">
        <v>38</v>
      </c>
      <c r="CI657" s="318">
        <f t="shared" ca="1" si="340"/>
        <v>-2.6050803635433768</v>
      </c>
      <c r="CJ657" s="318">
        <f t="shared" ca="1" si="341"/>
        <v>-5.3154999245132917</v>
      </c>
      <c r="CK657" s="318">
        <f t="shared" ca="1" si="342"/>
        <v>69.377745111478106</v>
      </c>
      <c r="CL657" s="318">
        <f t="shared" ca="1" si="343"/>
        <v>144.5845825674958</v>
      </c>
      <c r="CM657" s="325">
        <f t="shared" ca="1" si="344"/>
        <v>206.04174739091724</v>
      </c>
      <c r="CP657" s="180">
        <v>2052</v>
      </c>
      <c r="CQ657" s="22">
        <v>38</v>
      </c>
      <c r="CR657" s="318">
        <f t="shared" ca="1" si="345"/>
        <v>146.79514120938387</v>
      </c>
      <c r="CS657" s="318">
        <f t="shared" ca="1" si="346"/>
        <v>1.4475431884679022</v>
      </c>
      <c r="CT657" s="325">
        <f t="shared" ca="1" si="347"/>
        <v>212.49230675782746</v>
      </c>
      <c r="CZ657" s="164" t="b">
        <f t="shared" si="351"/>
        <v>0</v>
      </c>
      <c r="DA657" s="165" t="b">
        <f t="shared" si="351"/>
        <v>0</v>
      </c>
      <c r="DB657" s="166" t="b">
        <f t="shared" si="351"/>
        <v>0</v>
      </c>
      <c r="DC657" s="164" t="str">
        <f t="shared" si="325"/>
        <v/>
      </c>
      <c r="DD657" s="166" t="str">
        <f t="shared" si="326"/>
        <v/>
      </c>
      <c r="DE657" s="164" t="str">
        <f t="shared" si="327"/>
        <v/>
      </c>
      <c r="DF657" s="166" t="str">
        <f t="shared" si="328"/>
        <v/>
      </c>
      <c r="DG657" s="164" t="str">
        <f t="shared" si="329"/>
        <v/>
      </c>
      <c r="DH657" s="166" t="str">
        <f t="shared" si="330"/>
        <v/>
      </c>
      <c r="DI657" s="164" t="str">
        <f>IFERROR(INDEX(DC$615:DC$663,_xlfn.AGGREGATE(15,6,(ROW(DC$615:DC$663)-ROW(DC$615)+1)/(DC$615:DC$663&lt;&gt;""),ROWS(DI$1:DI43))),"")</f>
        <v/>
      </c>
      <c r="DJ657" s="165" t="str">
        <f>IFERROR(INDEX(DD$615:DD$663,_xlfn.AGGREGATE(15,6,(ROW(DD$615:DD$663)-ROW(DD$615)+1)/(DD$615:DD$663&lt;&gt;""),ROWS(DJ$1:DJ43))),"")</f>
        <v/>
      </c>
      <c r="DK657" s="166" t="str">
        <f t="shared" si="331"/>
        <v/>
      </c>
      <c r="DL657" s="164" t="str">
        <f>IFERROR(INDEX(DE$615:DE$663,_xlfn.AGGREGATE(15,6,(ROW(DE$615:DE$663)-ROW(DE$615)+1)/(DE$615:DE$663&lt;&gt;""),ROWS(DL$1:DL43))),"")</f>
        <v/>
      </c>
      <c r="DM657" s="165" t="str">
        <f>IFERROR(INDEX(DF$615:DF$663,_xlfn.AGGREGATE(15,6,(ROW(DF$615:DF$663)-ROW(DF$615)+1)/(DF$615:DF$663&lt;&gt;""),ROWS(DM$1:DM43))),"")</f>
        <v/>
      </c>
      <c r="DN657" s="166" t="str">
        <f t="shared" si="332"/>
        <v/>
      </c>
      <c r="DO657" s="164" t="str">
        <f>IFERROR(INDEX(DG$615:DG$663,_xlfn.AGGREGATE(15,6,(ROW(DG$615:DG$663)-ROW(DG$615)+1)/(DG$615:DG$663&lt;&gt;""),ROWS(DO$1:DO43))),"")</f>
        <v/>
      </c>
      <c r="DP657" s="165" t="str">
        <f>IFERROR(INDEX(DH$615:DH$663,_xlfn.AGGREGATE(15,6,(ROW(DH$615:DH$663)-ROW(DH$615)+1)/(DH$615:DH$663&lt;&gt;""),ROWS(DP$1:DP43))),"")</f>
        <v/>
      </c>
      <c r="DQ657" s="166" t="str">
        <f t="shared" si="333"/>
        <v/>
      </c>
      <c r="DR657" s="65"/>
      <c r="DV657" s="145">
        <v>2057</v>
      </c>
      <c r="DW657" s="235">
        <f t="shared" ca="1" si="317"/>
        <v>212.50999387565847</v>
      </c>
      <c r="EA657" s="55"/>
      <c r="EB657" s="55"/>
      <c r="EC657" s="55"/>
      <c r="ED657" s="55"/>
      <c r="EE657" s="55"/>
    </row>
    <row r="658" spans="1:135" ht="13.8" x14ac:dyDescent="0.45">
      <c r="B658" s="128">
        <v>2055</v>
      </c>
      <c r="C658" s="291"/>
      <c r="D658" s="307"/>
      <c r="E658" s="292"/>
      <c r="F658" s="293"/>
      <c r="G658" s="320"/>
      <c r="H658" s="292"/>
      <c r="I658" s="293"/>
      <c r="J658" s="320"/>
      <c r="K658" s="292"/>
      <c r="L658" s="293"/>
      <c r="M658" s="292"/>
      <c r="N658" s="29" t="s">
        <v>119</v>
      </c>
      <c r="O658" s="120"/>
      <c r="P658" s="120"/>
      <c r="Q658" s="120"/>
      <c r="R658" s="29">
        <v>41</v>
      </c>
      <c r="S658" s="317" t="str">
        <f t="shared" si="318"/>
        <v/>
      </c>
      <c r="T658" s="317" t="str">
        <f t="shared" si="319"/>
        <v/>
      </c>
      <c r="U658" s="317" t="str">
        <f t="shared" si="320"/>
        <v/>
      </c>
      <c r="W658" s="317" t="e">
        <f t="shared" si="321"/>
        <v>#N/A</v>
      </c>
      <c r="X658" s="317" t="e">
        <f t="shared" si="322"/>
        <v>#N/A</v>
      </c>
      <c r="Y658" s="317" t="e">
        <f t="shared" si="323"/>
        <v>#N/A</v>
      </c>
      <c r="AA658" s="89"/>
      <c r="AB658" s="89"/>
      <c r="AC658" s="89"/>
      <c r="AD658" s="89"/>
      <c r="AE658" s="89"/>
      <c r="AF658" s="89"/>
      <c r="AG658" s="89"/>
      <c r="AH658" s="89"/>
      <c r="AI658" s="89"/>
      <c r="AJ658" s="89"/>
      <c r="AK658" s="89"/>
      <c r="AL658" s="89"/>
      <c r="AM658" s="89"/>
      <c r="AN658" s="89"/>
      <c r="BR658" s="180">
        <v>2053</v>
      </c>
      <c r="BS658" s="22">
        <v>39</v>
      </c>
      <c r="BT658" s="318">
        <f t="shared" si="334"/>
        <v>64.921228432246096</v>
      </c>
      <c r="BU658" s="318">
        <f t="shared" si="335"/>
        <v>145.54830071405007</v>
      </c>
      <c r="BV658" s="325">
        <f t="shared" si="336"/>
        <v>210.46952914629617</v>
      </c>
      <c r="BY658" s="180">
        <v>2053</v>
      </c>
      <c r="BZ658" s="22">
        <v>39</v>
      </c>
      <c r="CA658" s="318">
        <f t="shared" ca="1" si="337"/>
        <v>-9.0650417666313814</v>
      </c>
      <c r="CB658" s="318">
        <f t="shared" ca="1" si="338"/>
        <v>72.359211420251327</v>
      </c>
      <c r="CC658" s="318">
        <f t="shared" ca="1" si="349"/>
        <v>144.49935439522881</v>
      </c>
      <c r="CD658" s="325">
        <f t="shared" ca="1" si="339"/>
        <v>207.79352404884875</v>
      </c>
      <c r="CG658" s="180">
        <v>2053</v>
      </c>
      <c r="CH658" s="22">
        <v>39</v>
      </c>
      <c r="CI658" s="318">
        <f t="shared" ca="1" si="340"/>
        <v>-2.8162042951784074</v>
      </c>
      <c r="CJ658" s="318">
        <f t="shared" ca="1" si="341"/>
        <v>-5.5989441725655933</v>
      </c>
      <c r="CK658" s="318">
        <f t="shared" ca="1" si="342"/>
        <v>71.203475245990688</v>
      </c>
      <c r="CL658" s="318">
        <f t="shared" ca="1" si="343"/>
        <v>144.5845825674958</v>
      </c>
      <c r="CM658" s="325">
        <f t="shared" ca="1" si="344"/>
        <v>207.37290934574247</v>
      </c>
      <c r="CP658" s="180">
        <v>2053</v>
      </c>
      <c r="CQ658" s="22">
        <v>39</v>
      </c>
      <c r="CR658" s="318">
        <f t="shared" ca="1" si="345"/>
        <v>146.79514120938387</v>
      </c>
      <c r="CS658" s="318">
        <f t="shared" ca="1" si="346"/>
        <v>1.461701442667563</v>
      </c>
      <c r="CT658" s="325">
        <f t="shared" ca="1" si="347"/>
        <v>214.57066968234503</v>
      </c>
      <c r="CZ658" s="164" t="b">
        <f t="shared" si="351"/>
        <v>0</v>
      </c>
      <c r="DA658" s="165" t="b">
        <f t="shared" si="351"/>
        <v>0</v>
      </c>
      <c r="DB658" s="166" t="b">
        <f t="shared" si="351"/>
        <v>0</v>
      </c>
      <c r="DC658" s="164" t="str">
        <f t="shared" si="325"/>
        <v/>
      </c>
      <c r="DD658" s="166" t="str">
        <f t="shared" si="326"/>
        <v/>
      </c>
      <c r="DE658" s="164" t="str">
        <f t="shared" si="327"/>
        <v/>
      </c>
      <c r="DF658" s="166" t="str">
        <f t="shared" si="328"/>
        <v/>
      </c>
      <c r="DG658" s="164" t="str">
        <f t="shared" si="329"/>
        <v/>
      </c>
      <c r="DH658" s="166" t="str">
        <f t="shared" si="330"/>
        <v/>
      </c>
      <c r="DI658" s="164" t="str">
        <f>IFERROR(INDEX(DC$615:DC$663,_xlfn.AGGREGATE(15,6,(ROW(DC$615:DC$663)-ROW(DC$615)+1)/(DC$615:DC$663&lt;&gt;""),ROWS(DI$1:DI44))),"")</f>
        <v/>
      </c>
      <c r="DJ658" s="165" t="str">
        <f>IFERROR(INDEX(DD$615:DD$663,_xlfn.AGGREGATE(15,6,(ROW(DD$615:DD$663)-ROW(DD$615)+1)/(DD$615:DD$663&lt;&gt;""),ROWS(DJ$1:DJ44))),"")</f>
        <v/>
      </c>
      <c r="DK658" s="166" t="str">
        <f t="shared" si="331"/>
        <v/>
      </c>
      <c r="DL658" s="164" t="str">
        <f>IFERROR(INDEX(DE$615:DE$663,_xlfn.AGGREGATE(15,6,(ROW(DE$615:DE$663)-ROW(DE$615)+1)/(DE$615:DE$663&lt;&gt;""),ROWS(DL$1:DL44))),"")</f>
        <v/>
      </c>
      <c r="DM658" s="165" t="str">
        <f>IFERROR(INDEX(DF$615:DF$663,_xlfn.AGGREGATE(15,6,(ROW(DF$615:DF$663)-ROW(DF$615)+1)/(DF$615:DF$663&lt;&gt;""),ROWS(DM$1:DM44))),"")</f>
        <v/>
      </c>
      <c r="DN658" s="166" t="str">
        <f t="shared" si="332"/>
        <v/>
      </c>
      <c r="DO658" s="164" t="str">
        <f>IFERROR(INDEX(DG$615:DG$663,_xlfn.AGGREGATE(15,6,(ROW(DG$615:DG$663)-ROW(DG$615)+1)/(DG$615:DG$663&lt;&gt;""),ROWS(DO$1:DO44))),"")</f>
        <v/>
      </c>
      <c r="DP658" s="165" t="str">
        <f>IFERROR(INDEX(DH$615:DH$663,_xlfn.AGGREGATE(15,6,(ROW(DH$615:DH$663)-ROW(DH$615)+1)/(DH$615:DH$663&lt;&gt;""),ROWS(DP$1:DP44))),"")</f>
        <v/>
      </c>
      <c r="DQ658" s="166" t="str">
        <f t="shared" si="333"/>
        <v/>
      </c>
      <c r="DR658" s="65"/>
      <c r="DV658" s="145">
        <v>2058</v>
      </c>
      <c r="DW658" s="235">
        <f t="shared" ca="1" si="317"/>
        <v>213.74594991820652</v>
      </c>
      <c r="EA658" s="55"/>
      <c r="EB658" s="55"/>
      <c r="EC658" s="55"/>
      <c r="ED658" s="55"/>
      <c r="EE658" s="55"/>
    </row>
    <row r="659" spans="1:135" ht="13.8" x14ac:dyDescent="0.45">
      <c r="B659" s="128">
        <v>2056</v>
      </c>
      <c r="C659" s="291"/>
      <c r="D659" s="307"/>
      <c r="E659" s="292"/>
      <c r="F659" s="293"/>
      <c r="G659" s="320"/>
      <c r="H659" s="292"/>
      <c r="I659" s="293"/>
      <c r="J659" s="320"/>
      <c r="K659" s="292"/>
      <c r="L659" s="293"/>
      <c r="M659" s="292"/>
      <c r="N659" s="29" t="s">
        <v>119</v>
      </c>
      <c r="O659" s="120"/>
      <c r="P659" s="120"/>
      <c r="Q659" s="120"/>
      <c r="R659" s="29">
        <v>42</v>
      </c>
      <c r="S659" s="317" t="str">
        <f t="shared" si="318"/>
        <v/>
      </c>
      <c r="T659" s="317" t="str">
        <f t="shared" si="319"/>
        <v/>
      </c>
      <c r="U659" s="317" t="str">
        <f t="shared" si="320"/>
        <v/>
      </c>
      <c r="W659" s="317" t="e">
        <f t="shared" si="321"/>
        <v>#N/A</v>
      </c>
      <c r="X659" s="317" t="e">
        <f t="shared" si="322"/>
        <v>#N/A</v>
      </c>
      <c r="Y659" s="317" t="e">
        <f t="shared" si="323"/>
        <v>#N/A</v>
      </c>
      <c r="AA659" s="89"/>
      <c r="AB659" s="89"/>
      <c r="AC659" s="89"/>
      <c r="AD659" s="89"/>
      <c r="AE659" s="89"/>
      <c r="AF659" s="89"/>
      <c r="AG659" s="89"/>
      <c r="AH659" s="89"/>
      <c r="AI659" s="89"/>
      <c r="AJ659" s="89"/>
      <c r="AK659" s="89"/>
      <c r="AL659" s="89"/>
      <c r="AM659" s="89"/>
      <c r="AN659" s="89"/>
      <c r="BR659" s="180">
        <v>2054</v>
      </c>
      <c r="BS659" s="22">
        <v>40</v>
      </c>
      <c r="BT659" s="318">
        <f t="shared" si="334"/>
        <v>66.585875315124198</v>
      </c>
      <c r="BU659" s="318">
        <f t="shared" si="335"/>
        <v>145.54830071405007</v>
      </c>
      <c r="BV659" s="325">
        <f t="shared" si="336"/>
        <v>212.13417602917428</v>
      </c>
      <c r="BY659" s="180">
        <v>2054</v>
      </c>
      <c r="BZ659" s="22">
        <v>40</v>
      </c>
      <c r="CA659" s="318">
        <f t="shared" ca="1" si="337"/>
        <v>-9.5358756256477388</v>
      </c>
      <c r="CB659" s="318">
        <f t="shared" ca="1" si="338"/>
        <v>74.214575815642391</v>
      </c>
      <c r="CC659" s="318">
        <f t="shared" ca="1" si="349"/>
        <v>144.49935439522881</v>
      </c>
      <c r="CD659" s="325">
        <f t="shared" ca="1" si="339"/>
        <v>209.17805458522346</v>
      </c>
      <c r="CG659" s="180">
        <v>2054</v>
      </c>
      <c r="CH659" s="22">
        <v>40</v>
      </c>
      <c r="CI659" s="318">
        <f t="shared" ca="1" si="340"/>
        <v>-3.0384375139739048</v>
      </c>
      <c r="CJ659" s="318">
        <f t="shared" ca="1" si="341"/>
        <v>-5.8897506088789937</v>
      </c>
      <c r="CK659" s="318">
        <f t="shared" ca="1" si="342"/>
        <v>73.029205380503271</v>
      </c>
      <c r="CL659" s="318">
        <f t="shared" ca="1" si="343"/>
        <v>144.5845825674958</v>
      </c>
      <c r="CM659" s="325">
        <f t="shared" ca="1" si="344"/>
        <v>208.68559982514617</v>
      </c>
      <c r="CP659" s="180">
        <v>2054</v>
      </c>
      <c r="CQ659" s="22">
        <v>40</v>
      </c>
      <c r="CR659" s="318">
        <f t="shared" ca="1" si="345"/>
        <v>146.79514120938387</v>
      </c>
      <c r="CS659" s="318">
        <f t="shared" ca="1" si="346"/>
        <v>1.4759981771305961</v>
      </c>
      <c r="CT659" s="325">
        <f t="shared" ca="1" si="347"/>
        <v>216.66936083667903</v>
      </c>
      <c r="CZ659" s="164" t="b">
        <f t="shared" si="351"/>
        <v>0</v>
      </c>
      <c r="DA659" s="165" t="b">
        <f t="shared" si="351"/>
        <v>0</v>
      </c>
      <c r="DB659" s="166" t="b">
        <f t="shared" si="351"/>
        <v>0</v>
      </c>
      <c r="DC659" s="164" t="str">
        <f t="shared" si="325"/>
        <v/>
      </c>
      <c r="DD659" s="166" t="str">
        <f t="shared" si="326"/>
        <v/>
      </c>
      <c r="DE659" s="164" t="str">
        <f t="shared" si="327"/>
        <v/>
      </c>
      <c r="DF659" s="166" t="str">
        <f t="shared" si="328"/>
        <v/>
      </c>
      <c r="DG659" s="164" t="str">
        <f t="shared" si="329"/>
        <v/>
      </c>
      <c r="DH659" s="166" t="str">
        <f t="shared" si="330"/>
        <v/>
      </c>
      <c r="DI659" s="164" t="str">
        <f>IFERROR(INDEX(DC$615:DC$663,_xlfn.AGGREGATE(15,6,(ROW(DC$615:DC$663)-ROW(DC$615)+1)/(DC$615:DC$663&lt;&gt;""),ROWS(DI$1:DI45))),"")</f>
        <v/>
      </c>
      <c r="DJ659" s="165" t="str">
        <f>IFERROR(INDEX(DD$615:DD$663,_xlfn.AGGREGATE(15,6,(ROW(DD$615:DD$663)-ROW(DD$615)+1)/(DD$615:DD$663&lt;&gt;""),ROWS(DJ$1:DJ45))),"")</f>
        <v/>
      </c>
      <c r="DK659" s="166" t="str">
        <f t="shared" si="331"/>
        <v/>
      </c>
      <c r="DL659" s="164" t="str">
        <f>IFERROR(INDEX(DE$615:DE$663,_xlfn.AGGREGATE(15,6,(ROW(DE$615:DE$663)-ROW(DE$615)+1)/(DE$615:DE$663&lt;&gt;""),ROWS(DL$1:DL45))),"")</f>
        <v/>
      </c>
      <c r="DM659" s="165" t="str">
        <f>IFERROR(INDEX(DF$615:DF$663,_xlfn.AGGREGATE(15,6,(ROW(DF$615:DF$663)-ROW(DF$615)+1)/(DF$615:DF$663&lt;&gt;""),ROWS(DM$1:DM45))),"")</f>
        <v/>
      </c>
      <c r="DN659" s="166" t="str">
        <f t="shared" si="332"/>
        <v/>
      </c>
      <c r="DO659" s="164" t="str">
        <f>IFERROR(INDEX(DG$615:DG$663,_xlfn.AGGREGATE(15,6,(ROW(DG$615:DG$663)-ROW(DG$615)+1)/(DG$615:DG$663&lt;&gt;""),ROWS(DO$1:DO45))),"")</f>
        <v/>
      </c>
      <c r="DP659" s="165" t="str">
        <f>IFERROR(INDEX(DH$615:DH$663,_xlfn.AGGREGATE(15,6,(ROW(DH$615:DH$663)-ROW(DH$615)+1)/(DH$615:DH$663&lt;&gt;""),ROWS(DP$1:DP45))),"")</f>
        <v/>
      </c>
      <c r="DQ659" s="166" t="str">
        <f t="shared" si="333"/>
        <v/>
      </c>
      <c r="DR659" s="65"/>
      <c r="DV659" s="145">
        <v>2059</v>
      </c>
      <c r="DW659" s="235">
        <f t="shared" ca="1" si="317"/>
        <v>214.96201021774837</v>
      </c>
      <c r="EA659" s="55"/>
      <c r="EB659" s="55"/>
      <c r="EC659" s="55"/>
      <c r="ED659" s="55"/>
      <c r="EE659" s="55"/>
    </row>
    <row r="660" spans="1:135" ht="13.8" x14ac:dyDescent="0.45">
      <c r="B660" s="128">
        <v>2057</v>
      </c>
      <c r="C660" s="291"/>
      <c r="D660" s="307"/>
      <c r="E660" s="292"/>
      <c r="F660" s="293"/>
      <c r="G660" s="320"/>
      <c r="H660" s="292"/>
      <c r="I660" s="293"/>
      <c r="J660" s="320"/>
      <c r="K660" s="292"/>
      <c r="L660" s="293"/>
      <c r="M660" s="292"/>
      <c r="N660" s="29" t="s">
        <v>119</v>
      </c>
      <c r="O660" s="120"/>
      <c r="P660" s="120"/>
      <c r="Q660" s="120"/>
      <c r="R660" s="29">
        <v>43</v>
      </c>
      <c r="S660" s="317" t="str">
        <f t="shared" si="318"/>
        <v/>
      </c>
      <c r="T660" s="317" t="str">
        <f t="shared" si="319"/>
        <v/>
      </c>
      <c r="U660" s="317" t="str">
        <f t="shared" si="320"/>
        <v/>
      </c>
      <c r="W660" s="317" t="e">
        <f t="shared" si="321"/>
        <v>#N/A</v>
      </c>
      <c r="X660" s="317" t="e">
        <f t="shared" si="322"/>
        <v>#N/A</v>
      </c>
      <c r="Y660" s="317" t="e">
        <f t="shared" si="323"/>
        <v>#N/A</v>
      </c>
      <c r="AA660" s="89"/>
      <c r="AB660" s="89"/>
      <c r="AC660" s="89"/>
      <c r="AD660" s="89"/>
      <c r="AE660" s="89"/>
      <c r="AF660" s="89"/>
      <c r="AG660" s="89"/>
      <c r="AH660" s="89"/>
      <c r="AI660" s="89"/>
      <c r="AJ660" s="89"/>
      <c r="AK660" s="89"/>
      <c r="AL660" s="89"/>
      <c r="AM660" s="89"/>
      <c r="AN660" s="89"/>
      <c r="BR660" s="180">
        <v>2055</v>
      </c>
      <c r="BS660" s="22">
        <v>41</v>
      </c>
      <c r="BT660" s="318">
        <f t="shared" si="334"/>
        <v>68.250522198002301</v>
      </c>
      <c r="BU660" s="318">
        <f t="shared" si="335"/>
        <v>145.54830071405007</v>
      </c>
      <c r="BV660" s="325">
        <f t="shared" si="336"/>
        <v>213.79882291205237</v>
      </c>
      <c r="BY660" s="180">
        <v>2055</v>
      </c>
      <c r="BZ660" s="22">
        <v>41</v>
      </c>
      <c r="CA660" s="318">
        <f t="shared" ca="1" si="337"/>
        <v>-10.018629329196155</v>
      </c>
      <c r="CB660" s="318">
        <f t="shared" ca="1" si="338"/>
        <v>76.06994021103344</v>
      </c>
      <c r="CC660" s="318">
        <f t="shared" ca="1" si="349"/>
        <v>144.49935439522881</v>
      </c>
      <c r="CD660" s="325">
        <f t="shared" ca="1" si="339"/>
        <v>210.55066527706609</v>
      </c>
      <c r="CG660" s="180">
        <v>2055</v>
      </c>
      <c r="CH660" s="22">
        <v>41</v>
      </c>
      <c r="CI660" s="318">
        <f t="shared" ca="1" si="340"/>
        <v>-3.2720648734468045</v>
      </c>
      <c r="CJ660" s="318">
        <f t="shared" ca="1" si="341"/>
        <v>-6.1879192334534929</v>
      </c>
      <c r="CK660" s="318">
        <f t="shared" ca="1" si="342"/>
        <v>74.854935515015839</v>
      </c>
      <c r="CL660" s="318">
        <f t="shared" ca="1" si="343"/>
        <v>144.5845825674958</v>
      </c>
      <c r="CM660" s="325">
        <f t="shared" ca="1" si="344"/>
        <v>209.97953397561133</v>
      </c>
      <c r="CP660" s="180">
        <v>2055</v>
      </c>
      <c r="CQ660" s="22">
        <v>41</v>
      </c>
      <c r="CR660" s="318">
        <f t="shared" ca="1" si="345"/>
        <v>146.79514120938387</v>
      </c>
      <c r="CS660" s="318">
        <f t="shared" ca="1" si="346"/>
        <v>1.4904347463166037</v>
      </c>
      <c r="CT660" s="325">
        <f t="shared" ca="1" si="347"/>
        <v>218.78857904891805</v>
      </c>
      <c r="CZ660" s="164" t="b">
        <f t="shared" si="351"/>
        <v>0</v>
      </c>
      <c r="DA660" s="165" t="b">
        <f t="shared" si="351"/>
        <v>0</v>
      </c>
      <c r="DB660" s="166" t="b">
        <f t="shared" si="351"/>
        <v>0</v>
      </c>
      <c r="DC660" s="164" t="str">
        <f t="shared" si="325"/>
        <v/>
      </c>
      <c r="DD660" s="166" t="str">
        <f t="shared" si="326"/>
        <v/>
      </c>
      <c r="DE660" s="164" t="str">
        <f t="shared" si="327"/>
        <v/>
      </c>
      <c r="DF660" s="166" t="str">
        <f t="shared" si="328"/>
        <v/>
      </c>
      <c r="DG660" s="164" t="str">
        <f t="shared" si="329"/>
        <v/>
      </c>
      <c r="DH660" s="166" t="str">
        <f t="shared" si="330"/>
        <v/>
      </c>
      <c r="DI660" s="164" t="str">
        <f>IFERROR(INDEX(DC$615:DC$663,_xlfn.AGGREGATE(15,6,(ROW(DC$615:DC$663)-ROW(DC$615)+1)/(DC$615:DC$663&lt;&gt;""),ROWS(DI$1:DI46))),"")</f>
        <v/>
      </c>
      <c r="DJ660" s="165" t="str">
        <f>IFERROR(INDEX(DD$615:DD$663,_xlfn.AGGREGATE(15,6,(ROW(DD$615:DD$663)-ROW(DD$615)+1)/(DD$615:DD$663&lt;&gt;""),ROWS(DJ$1:DJ46))),"")</f>
        <v/>
      </c>
      <c r="DK660" s="166" t="str">
        <f t="shared" si="331"/>
        <v/>
      </c>
      <c r="DL660" s="164" t="str">
        <f>IFERROR(INDEX(DE$615:DE$663,_xlfn.AGGREGATE(15,6,(ROW(DE$615:DE$663)-ROW(DE$615)+1)/(DE$615:DE$663&lt;&gt;""),ROWS(DL$1:DL46))),"")</f>
        <v/>
      </c>
      <c r="DM660" s="165" t="str">
        <f>IFERROR(INDEX(DF$615:DF$663,_xlfn.AGGREGATE(15,6,(ROW(DF$615:DF$663)-ROW(DF$615)+1)/(DF$615:DF$663&lt;&gt;""),ROWS(DM$1:DM46))),"")</f>
        <v/>
      </c>
      <c r="DN660" s="166" t="str">
        <f t="shared" si="332"/>
        <v/>
      </c>
      <c r="DO660" s="164" t="str">
        <f>IFERROR(INDEX(DG$615:DG$663,_xlfn.AGGREGATE(15,6,(ROW(DG$615:DG$663)-ROW(DG$615)+1)/(DG$615:DG$663&lt;&gt;""),ROWS(DO$1:DO46))),"")</f>
        <v/>
      </c>
      <c r="DP660" s="165" t="str">
        <f>IFERROR(INDEX(DH$615:DH$663,_xlfn.AGGREGATE(15,6,(ROW(DH$615:DH$663)-ROW(DH$615)+1)/(DH$615:DH$663&lt;&gt;""),ROWS(DP$1:DP46))),"")</f>
        <v/>
      </c>
      <c r="DQ660" s="166" t="str">
        <f t="shared" si="333"/>
        <v/>
      </c>
      <c r="DR660" s="65"/>
      <c r="DV660" s="145">
        <v>2060</v>
      </c>
      <c r="DW660" s="235">
        <f t="shared" ca="1" si="317"/>
        <v>216.15788992076702</v>
      </c>
      <c r="EA660" s="55"/>
      <c r="EB660" s="55"/>
      <c r="EC660" s="55"/>
      <c r="ED660" s="55"/>
      <c r="EE660" s="55"/>
    </row>
    <row r="661" spans="1:135" ht="13.8" x14ac:dyDescent="0.45">
      <c r="A661" s="214"/>
      <c r="B661" s="128">
        <v>2058</v>
      </c>
      <c r="C661" s="291"/>
      <c r="D661" s="307"/>
      <c r="E661" s="292"/>
      <c r="F661" s="293"/>
      <c r="G661" s="320"/>
      <c r="H661" s="292"/>
      <c r="I661" s="293"/>
      <c r="J661" s="320"/>
      <c r="K661" s="292"/>
      <c r="L661" s="293"/>
      <c r="M661" s="292"/>
      <c r="N661" s="29" t="s">
        <v>119</v>
      </c>
      <c r="R661" s="29">
        <v>44</v>
      </c>
      <c r="S661" s="317" t="str">
        <f t="shared" si="318"/>
        <v/>
      </c>
      <c r="T661" s="317" t="str">
        <f t="shared" si="319"/>
        <v/>
      </c>
      <c r="U661" s="317" t="str">
        <f t="shared" si="320"/>
        <v/>
      </c>
      <c r="W661" s="317" t="e">
        <f t="shared" si="321"/>
        <v>#N/A</v>
      </c>
      <c r="X661" s="317" t="e">
        <f t="shared" si="322"/>
        <v>#N/A</v>
      </c>
      <c r="Y661" s="317" t="e">
        <f t="shared" si="323"/>
        <v>#N/A</v>
      </c>
      <c r="AA661" s="89"/>
      <c r="AB661" s="89"/>
      <c r="AC661" s="89"/>
      <c r="AD661" s="89"/>
      <c r="AE661" s="89"/>
      <c r="AF661" s="89"/>
      <c r="AG661" s="89"/>
      <c r="AH661" s="89"/>
      <c r="AI661" s="89"/>
      <c r="AJ661" s="89"/>
      <c r="AK661" s="89"/>
      <c r="AL661" s="89"/>
      <c r="AM661" s="89"/>
      <c r="AN661" s="89"/>
      <c r="BR661" s="180">
        <v>2056</v>
      </c>
      <c r="BS661" s="22">
        <v>42</v>
      </c>
      <c r="BT661" s="318">
        <f t="shared" si="334"/>
        <v>69.915169080880403</v>
      </c>
      <c r="BU661" s="318">
        <f t="shared" si="335"/>
        <v>145.54830071405007</v>
      </c>
      <c r="BV661" s="325">
        <f t="shared" si="336"/>
        <v>215.46346979493046</v>
      </c>
      <c r="BY661" s="180">
        <v>2056</v>
      </c>
      <c r="BZ661" s="22">
        <v>42</v>
      </c>
      <c r="CA661" s="318">
        <f t="shared" ca="1" si="337"/>
        <v>-10.513302877276631</v>
      </c>
      <c r="CB661" s="318">
        <f t="shared" ca="1" si="338"/>
        <v>77.925304606424504</v>
      </c>
      <c r="CC661" s="318">
        <f t="shared" ca="1" si="349"/>
        <v>144.49935439522881</v>
      </c>
      <c r="CD661" s="325">
        <f t="shared" ca="1" si="339"/>
        <v>211.91135612437668</v>
      </c>
      <c r="CG661" s="180">
        <v>2056</v>
      </c>
      <c r="CH661" s="22">
        <v>42</v>
      </c>
      <c r="CI661" s="318">
        <f t="shared" ca="1" si="340"/>
        <v>-3.5173712271140416</v>
      </c>
      <c r="CJ661" s="318">
        <f t="shared" ca="1" si="341"/>
        <v>-6.4934500462890901</v>
      </c>
      <c r="CK661" s="318">
        <f t="shared" ca="1" si="342"/>
        <v>76.680665649528422</v>
      </c>
      <c r="CL661" s="318">
        <f t="shared" ca="1" si="343"/>
        <v>144.5845825674958</v>
      </c>
      <c r="CM661" s="325">
        <f t="shared" ca="1" si="344"/>
        <v>211.2544269436211</v>
      </c>
      <c r="CP661" s="180">
        <v>2056</v>
      </c>
      <c r="CQ661" s="22">
        <v>42</v>
      </c>
      <c r="CR661" s="318">
        <f t="shared" ca="1" si="345"/>
        <v>146.79514120938387</v>
      </c>
      <c r="CS661" s="318">
        <f t="shared" ca="1" si="346"/>
        <v>1.5050125179330012</v>
      </c>
      <c r="CT661" s="325">
        <f t="shared" ca="1" si="347"/>
        <v>220.92852509186528</v>
      </c>
      <c r="CZ661" s="164" t="b">
        <f t="shared" si="351"/>
        <v>0</v>
      </c>
      <c r="DA661" s="165" t="b">
        <f t="shared" si="351"/>
        <v>0</v>
      </c>
      <c r="DB661" s="166" t="b">
        <f t="shared" si="351"/>
        <v>0</v>
      </c>
      <c r="DC661" s="164" t="str">
        <f t="shared" si="325"/>
        <v/>
      </c>
      <c r="DD661" s="166" t="str">
        <f t="shared" si="326"/>
        <v/>
      </c>
      <c r="DE661" s="164" t="str">
        <f t="shared" si="327"/>
        <v/>
      </c>
      <c r="DF661" s="166" t="str">
        <f t="shared" si="328"/>
        <v/>
      </c>
      <c r="DG661" s="164" t="str">
        <f t="shared" si="329"/>
        <v/>
      </c>
      <c r="DH661" s="166" t="str">
        <f t="shared" si="330"/>
        <v/>
      </c>
      <c r="DI661" s="164" t="str">
        <f>IFERROR(INDEX(DC$615:DC$663,_xlfn.AGGREGATE(15,6,(ROW(DC$615:DC$663)-ROW(DC$615)+1)/(DC$615:DC$663&lt;&gt;""),ROWS(DI$1:DI47))),"")</f>
        <v/>
      </c>
      <c r="DJ661" s="165" t="str">
        <f>IFERROR(INDEX(DD$615:DD$663,_xlfn.AGGREGATE(15,6,(ROW(DD$615:DD$663)-ROW(DD$615)+1)/(DD$615:DD$663&lt;&gt;""),ROWS(DJ$1:DJ47))),"")</f>
        <v/>
      </c>
      <c r="DK661" s="166" t="str">
        <f t="shared" si="331"/>
        <v/>
      </c>
      <c r="DL661" s="164" t="str">
        <f>IFERROR(INDEX(DE$615:DE$663,_xlfn.AGGREGATE(15,6,(ROW(DE$615:DE$663)-ROW(DE$615)+1)/(DE$615:DE$663&lt;&gt;""),ROWS(DL$1:DL47))),"")</f>
        <v/>
      </c>
      <c r="DM661" s="165" t="str">
        <f>IFERROR(INDEX(DF$615:DF$663,_xlfn.AGGREGATE(15,6,(ROW(DF$615:DF$663)-ROW(DF$615)+1)/(DF$615:DF$663&lt;&gt;""),ROWS(DM$1:DM47))),"")</f>
        <v/>
      </c>
      <c r="DN661" s="166" t="str">
        <f t="shared" si="332"/>
        <v/>
      </c>
      <c r="DO661" s="164" t="str">
        <f>IFERROR(INDEX(DG$615:DG$663,_xlfn.AGGREGATE(15,6,(ROW(DG$615:DG$663)-ROW(DG$615)+1)/(DG$615:DG$663&lt;&gt;""),ROWS(DO$1:DO47))),"")</f>
        <v/>
      </c>
      <c r="DP661" s="165" t="str">
        <f>IFERROR(INDEX(DH$615:DH$663,_xlfn.AGGREGATE(15,6,(ROW(DH$615:DH$663)-ROW(DH$615)+1)/(DH$615:DH$663&lt;&gt;""),ROWS(DP$1:DP47))),"")</f>
        <v/>
      </c>
      <c r="DQ661" s="166" t="str">
        <f t="shared" si="333"/>
        <v/>
      </c>
      <c r="DR661" s="65"/>
      <c r="DW661" s="54"/>
      <c r="EA661" s="55"/>
      <c r="EB661" s="55"/>
      <c r="EC661" s="55"/>
      <c r="ED661" s="55"/>
      <c r="EE661" s="55"/>
    </row>
    <row r="662" spans="1:135" ht="13.8" x14ac:dyDescent="0.45">
      <c r="A662" s="214"/>
      <c r="B662" s="128">
        <v>2059</v>
      </c>
      <c r="C662" s="291"/>
      <c r="D662" s="307"/>
      <c r="E662" s="292"/>
      <c r="F662" s="293"/>
      <c r="G662" s="320"/>
      <c r="H662" s="292"/>
      <c r="I662" s="293"/>
      <c r="J662" s="320"/>
      <c r="K662" s="292"/>
      <c r="L662" s="293"/>
      <c r="M662" s="292"/>
      <c r="N662" s="29" t="s">
        <v>119</v>
      </c>
      <c r="R662" s="29">
        <v>45</v>
      </c>
      <c r="S662" s="317" t="str">
        <f t="shared" si="318"/>
        <v/>
      </c>
      <c r="T662" s="317" t="str">
        <f t="shared" si="319"/>
        <v/>
      </c>
      <c r="U662" s="317" t="str">
        <f t="shared" si="320"/>
        <v/>
      </c>
      <c r="W662" s="317" t="e">
        <f t="shared" si="321"/>
        <v>#N/A</v>
      </c>
      <c r="X662" s="317" t="e">
        <f t="shared" si="322"/>
        <v>#N/A</v>
      </c>
      <c r="Y662" s="317" t="e">
        <f t="shared" si="323"/>
        <v>#N/A</v>
      </c>
      <c r="AA662" s="89"/>
      <c r="AB662" s="89"/>
      <c r="AC662" s="89"/>
      <c r="AD662" s="89"/>
      <c r="AE662" s="89"/>
      <c r="AF662" s="89"/>
      <c r="AG662" s="89"/>
      <c r="AH662" s="89"/>
      <c r="AI662" s="89"/>
      <c r="AJ662" s="89"/>
      <c r="AK662" s="89"/>
      <c r="AL662" s="89"/>
      <c r="AM662" s="89"/>
      <c r="AN662" s="89"/>
      <c r="BR662" s="180">
        <v>2057</v>
      </c>
      <c r="BS662" s="22">
        <v>43</v>
      </c>
      <c r="BT662" s="318">
        <f t="shared" si="334"/>
        <v>71.579815963758506</v>
      </c>
      <c r="BU662" s="318">
        <f t="shared" si="335"/>
        <v>145.54830071405007</v>
      </c>
      <c r="BV662" s="325">
        <f t="shared" si="336"/>
        <v>217.12811667780858</v>
      </c>
      <c r="BY662" s="180">
        <v>2057</v>
      </c>
      <c r="BZ662" s="22">
        <v>43</v>
      </c>
      <c r="CA662" s="318">
        <f t="shared" ca="1" si="337"/>
        <v>-11.019896269889168</v>
      </c>
      <c r="CB662" s="318">
        <f t="shared" ca="1" si="338"/>
        <v>79.780669001815568</v>
      </c>
      <c r="CC662" s="318">
        <f t="shared" ca="1" si="349"/>
        <v>144.49935439522881</v>
      </c>
      <c r="CD662" s="325">
        <f t="shared" ca="1" si="339"/>
        <v>213.26012712715522</v>
      </c>
      <c r="CG662" s="180">
        <v>2057</v>
      </c>
      <c r="CH662" s="22">
        <v>43</v>
      </c>
      <c r="CI662" s="318">
        <f t="shared" ca="1" si="340"/>
        <v>-3.7746414284925507</v>
      </c>
      <c r="CJ662" s="318">
        <f t="shared" ca="1" si="341"/>
        <v>-6.8063430473857869</v>
      </c>
      <c r="CK662" s="318">
        <f t="shared" ca="1" si="342"/>
        <v>78.506395784041004</v>
      </c>
      <c r="CL662" s="318">
        <f t="shared" ca="1" si="343"/>
        <v>144.5845825674958</v>
      </c>
      <c r="CM662" s="325">
        <f t="shared" ca="1" si="344"/>
        <v>212.50999387565847</v>
      </c>
      <c r="CP662" s="180">
        <v>2057</v>
      </c>
      <c r="CQ662" s="22">
        <v>43</v>
      </c>
      <c r="CR662" s="318">
        <f t="shared" ca="1" si="345"/>
        <v>146.79514120938387</v>
      </c>
      <c r="CS662" s="318">
        <f t="shared" ca="1" si="346"/>
        <v>1.5197328730645947</v>
      </c>
      <c r="CT662" s="325">
        <f t="shared" ca="1" si="347"/>
        <v>223.08940170205983</v>
      </c>
      <c r="CZ662" s="164" t="b">
        <f t="shared" si="351"/>
        <v>0</v>
      </c>
      <c r="DA662" s="165" t="b">
        <f t="shared" si="351"/>
        <v>0</v>
      </c>
      <c r="DB662" s="166" t="b">
        <f t="shared" si="351"/>
        <v>0</v>
      </c>
      <c r="DC662" s="164" t="str">
        <f t="shared" si="325"/>
        <v/>
      </c>
      <c r="DD662" s="166" t="str">
        <f t="shared" si="326"/>
        <v/>
      </c>
      <c r="DE662" s="164" t="str">
        <f t="shared" si="327"/>
        <v/>
      </c>
      <c r="DF662" s="166" t="str">
        <f t="shared" si="328"/>
        <v/>
      </c>
      <c r="DG662" s="164" t="str">
        <f t="shared" si="329"/>
        <v/>
      </c>
      <c r="DH662" s="166" t="str">
        <f t="shared" si="330"/>
        <v/>
      </c>
      <c r="DI662" s="164" t="str">
        <f>IFERROR(INDEX(DC$615:DC$663,_xlfn.AGGREGATE(15,6,(ROW(DC$615:DC$663)-ROW(DC$615)+1)/(DC$615:DC$663&lt;&gt;""),ROWS(DI$1:DI48))),"")</f>
        <v/>
      </c>
      <c r="DJ662" s="165" t="str">
        <f>IFERROR(INDEX(DD$615:DD$663,_xlfn.AGGREGATE(15,6,(ROW(DD$615:DD$663)-ROW(DD$615)+1)/(DD$615:DD$663&lt;&gt;""),ROWS(DJ$1:DJ48))),"")</f>
        <v/>
      </c>
      <c r="DK662" s="166" t="str">
        <f t="shared" si="331"/>
        <v/>
      </c>
      <c r="DL662" s="164" t="str">
        <f>IFERROR(INDEX(DE$615:DE$663,_xlfn.AGGREGATE(15,6,(ROW(DE$615:DE$663)-ROW(DE$615)+1)/(DE$615:DE$663&lt;&gt;""),ROWS(DL$1:DL48))),"")</f>
        <v/>
      </c>
      <c r="DM662" s="165" t="str">
        <f>IFERROR(INDEX(DF$615:DF$663,_xlfn.AGGREGATE(15,6,(ROW(DF$615:DF$663)-ROW(DF$615)+1)/(DF$615:DF$663&lt;&gt;""),ROWS(DM$1:DM48))),"")</f>
        <v/>
      </c>
      <c r="DN662" s="166" t="str">
        <f t="shared" si="332"/>
        <v/>
      </c>
      <c r="DO662" s="164" t="str">
        <f>IFERROR(INDEX(DG$615:DG$663,_xlfn.AGGREGATE(15,6,(ROW(DG$615:DG$663)-ROW(DG$615)+1)/(DG$615:DG$663&lt;&gt;""),ROWS(DO$1:DO48))),"")</f>
        <v/>
      </c>
      <c r="DP662" s="165" t="str">
        <f>IFERROR(INDEX(DH$615:DH$663,_xlfn.AGGREGATE(15,6,(ROW(DH$615:DH$663)-ROW(DH$615)+1)/(DH$615:DH$663&lt;&gt;""),ROWS(DP$1:DP48))),"")</f>
        <v/>
      </c>
      <c r="DQ662" s="166" t="str">
        <f t="shared" si="333"/>
        <v/>
      </c>
      <c r="DR662" s="65"/>
      <c r="DW662" s="54"/>
      <c r="EA662" s="55"/>
      <c r="EB662" s="55"/>
      <c r="EC662" s="55"/>
      <c r="ED662" s="55"/>
      <c r="EE662" s="55"/>
    </row>
    <row r="663" spans="1:135" ht="13.8" x14ac:dyDescent="0.45">
      <c r="A663" s="214"/>
      <c r="B663" s="128">
        <v>2060</v>
      </c>
      <c r="C663" s="291"/>
      <c r="D663" s="307"/>
      <c r="E663" s="300"/>
      <c r="F663" s="301"/>
      <c r="G663" s="302"/>
      <c r="H663" s="300"/>
      <c r="I663" s="301"/>
      <c r="J663" s="302"/>
      <c r="K663" s="300"/>
      <c r="L663" s="301"/>
      <c r="M663" s="300"/>
      <c r="N663" s="29" t="s">
        <v>119</v>
      </c>
      <c r="R663" s="29">
        <v>46</v>
      </c>
      <c r="S663" s="317" t="str">
        <f t="shared" si="318"/>
        <v/>
      </c>
      <c r="T663" s="317" t="str">
        <f t="shared" si="319"/>
        <v/>
      </c>
      <c r="U663" s="317" t="str">
        <f t="shared" si="320"/>
        <v/>
      </c>
      <c r="W663" s="317" t="e">
        <f t="shared" si="321"/>
        <v>#N/A</v>
      </c>
      <c r="X663" s="317" t="e">
        <f t="shared" si="322"/>
        <v>#N/A</v>
      </c>
      <c r="Y663" s="317" t="e">
        <f t="shared" si="323"/>
        <v>#N/A</v>
      </c>
      <c r="AA663" s="89"/>
      <c r="AB663" s="89"/>
      <c r="AC663" s="89"/>
      <c r="AD663" s="89"/>
      <c r="AE663" s="89"/>
      <c r="AF663" s="89"/>
      <c r="AG663" s="89"/>
      <c r="AH663" s="89"/>
      <c r="AI663" s="89"/>
      <c r="AJ663" s="89"/>
      <c r="AK663" s="89"/>
      <c r="AL663" s="89"/>
      <c r="AM663" s="89"/>
      <c r="AN663" s="89"/>
      <c r="BR663" s="180">
        <v>2058</v>
      </c>
      <c r="BS663" s="22">
        <v>44</v>
      </c>
      <c r="BT663" s="318">
        <f t="shared" si="334"/>
        <v>73.244462846636623</v>
      </c>
      <c r="BU663" s="318">
        <f t="shared" si="335"/>
        <v>145.54830071405007</v>
      </c>
      <c r="BV663" s="325">
        <f t="shared" si="336"/>
        <v>218.79276356068669</v>
      </c>
      <c r="BY663" s="180">
        <v>2058</v>
      </c>
      <c r="BZ663" s="22">
        <v>44</v>
      </c>
      <c r="CA663" s="318">
        <f t="shared" ca="1" si="337"/>
        <v>-11.538409507033764</v>
      </c>
      <c r="CB663" s="318">
        <f t="shared" ca="1" si="338"/>
        <v>81.636033397206631</v>
      </c>
      <c r="CC663" s="318">
        <f t="shared" ca="1" si="349"/>
        <v>144.49935439522881</v>
      </c>
      <c r="CD663" s="325">
        <f t="shared" ca="1" si="339"/>
        <v>214.59697828540169</v>
      </c>
      <c r="CG663" s="180">
        <v>2058</v>
      </c>
      <c r="CH663" s="22">
        <v>44</v>
      </c>
      <c r="CI663" s="318">
        <f t="shared" ca="1" si="340"/>
        <v>-4.0441603310992678</v>
      </c>
      <c r="CJ663" s="318">
        <f t="shared" ca="1" si="341"/>
        <v>-7.1265982367435825</v>
      </c>
      <c r="CK663" s="318">
        <f t="shared" ca="1" si="342"/>
        <v>80.332125918553587</v>
      </c>
      <c r="CL663" s="318">
        <f t="shared" ca="1" si="343"/>
        <v>144.5845825674958</v>
      </c>
      <c r="CM663" s="325">
        <f t="shared" ca="1" si="344"/>
        <v>213.74594991820652</v>
      </c>
      <c r="CP663" s="180">
        <v>2058</v>
      </c>
      <c r="CQ663" s="22">
        <v>44</v>
      </c>
      <c r="CR663" s="318">
        <f t="shared" ca="1" si="345"/>
        <v>146.79514120938387</v>
      </c>
      <c r="CS663" s="318">
        <f t="shared" ca="1" si="346"/>
        <v>1.5345972063044222</v>
      </c>
      <c r="CT663" s="325">
        <f t="shared" ca="1" si="347"/>
        <v>225.27141359898366</v>
      </c>
      <c r="CZ663" s="164" t="b">
        <f t="shared" si="351"/>
        <v>0</v>
      </c>
      <c r="DA663" s="165" t="b">
        <f t="shared" si="351"/>
        <v>0</v>
      </c>
      <c r="DB663" s="166" t="b">
        <f t="shared" si="351"/>
        <v>0</v>
      </c>
      <c r="DC663" s="164" t="str">
        <f t="shared" si="325"/>
        <v/>
      </c>
      <c r="DD663" s="166" t="str">
        <f t="shared" si="326"/>
        <v/>
      </c>
      <c r="DE663" s="164" t="str">
        <f t="shared" si="327"/>
        <v/>
      </c>
      <c r="DF663" s="166" t="str">
        <f t="shared" si="328"/>
        <v/>
      </c>
      <c r="DG663" s="164" t="str">
        <f t="shared" si="329"/>
        <v/>
      </c>
      <c r="DH663" s="166" t="str">
        <f t="shared" si="330"/>
        <v/>
      </c>
      <c r="DI663" s="164" t="str">
        <f>IFERROR(INDEX(DC$615:DC$663,_xlfn.AGGREGATE(15,6,(ROW(DC$615:DC$663)-ROW(DC$615)+1)/(DC$615:DC$663&lt;&gt;""),ROWS(DI$1:DI49))),"")</f>
        <v/>
      </c>
      <c r="DJ663" s="165" t="str">
        <f>IFERROR(INDEX(DD$615:DD$663,_xlfn.AGGREGATE(15,6,(ROW(DD$615:DD$663)-ROW(DD$615)+1)/(DD$615:DD$663&lt;&gt;""),ROWS(DJ$1:DJ49))),"")</f>
        <v/>
      </c>
      <c r="DK663" s="166" t="str">
        <f t="shared" si="331"/>
        <v/>
      </c>
      <c r="DL663" s="164" t="str">
        <f>IFERROR(INDEX(DE$615:DE$663,_xlfn.AGGREGATE(15,6,(ROW(DE$615:DE$663)-ROW(DE$615)+1)/(DE$615:DE$663&lt;&gt;""),ROWS(DL$1:DL49))),"")</f>
        <v/>
      </c>
      <c r="DM663" s="165" t="str">
        <f>IFERROR(INDEX(DF$615:DF$663,_xlfn.AGGREGATE(15,6,(ROW(DF$615:DF$663)-ROW(DF$615)+1)/(DF$615:DF$663&lt;&gt;""),ROWS(DM$1:DM49))),"")</f>
        <v/>
      </c>
      <c r="DN663" s="166" t="str">
        <f t="shared" si="332"/>
        <v/>
      </c>
      <c r="DO663" s="164" t="str">
        <f>IFERROR(INDEX(DG$615:DG$663,_xlfn.AGGREGATE(15,6,(ROW(DG$615:DG$663)-ROW(DG$615)+1)/(DG$615:DG$663&lt;&gt;""),ROWS(DO$1:DO49))),"")</f>
        <v/>
      </c>
      <c r="DP663" s="165" t="str">
        <f>IFERROR(INDEX(DH$615:DH$663,_xlfn.AGGREGATE(15,6,(ROW(DH$615:DH$663)-ROW(DH$615)+1)/(DH$615:DH$663&lt;&gt;""),ROWS(DP$1:DP49))),"")</f>
        <v/>
      </c>
      <c r="DQ663" s="166" t="str">
        <f t="shared" si="333"/>
        <v/>
      </c>
      <c r="DR663" s="180"/>
      <c r="DW663" s="54"/>
      <c r="EA663" s="55"/>
      <c r="EB663" s="55"/>
      <c r="EC663" s="55"/>
      <c r="ED663" s="55"/>
      <c r="EE663" s="55"/>
    </row>
    <row r="664" spans="1:135" x14ac:dyDescent="0.4">
      <c r="A664" s="214"/>
      <c r="B664" s="89"/>
      <c r="C664" s="14"/>
      <c r="D664" s="14"/>
      <c r="E664" s="14"/>
      <c r="F664" s="14"/>
      <c r="G664" s="14"/>
      <c r="H664" s="14"/>
      <c r="I664" s="14"/>
      <c r="J664" s="14"/>
      <c r="K664" s="14"/>
      <c r="L664" s="14"/>
      <c r="M664" s="50"/>
      <c r="S664" s="120"/>
      <c r="T664" s="120"/>
      <c r="U664" s="120"/>
      <c r="W664" s="120"/>
      <c r="X664" s="120"/>
      <c r="Y664" s="120"/>
      <c r="AA664" s="89"/>
      <c r="AB664" s="89"/>
      <c r="AC664" s="89"/>
      <c r="AD664" s="89"/>
      <c r="AE664" s="89"/>
      <c r="AF664" s="89"/>
      <c r="AG664" s="89"/>
      <c r="AH664" s="89"/>
      <c r="AI664" s="89"/>
      <c r="AJ664" s="89"/>
      <c r="AK664" s="89"/>
      <c r="AL664" s="89"/>
      <c r="AM664" s="89"/>
      <c r="AN664" s="89"/>
      <c r="BR664" s="180">
        <v>2059</v>
      </c>
      <c r="BS664" s="22">
        <v>45</v>
      </c>
      <c r="BT664" s="318">
        <f t="shared" si="334"/>
        <v>74.909109729514725</v>
      </c>
      <c r="BU664" s="318">
        <f t="shared" si="335"/>
        <v>145.54830071405007</v>
      </c>
      <c r="BV664" s="325">
        <f t="shared" si="336"/>
        <v>220.45741044356481</v>
      </c>
      <c r="BY664" s="180">
        <v>2059</v>
      </c>
      <c r="BZ664" s="22">
        <v>45</v>
      </c>
      <c r="CA664" s="318">
        <f t="shared" ca="1" si="337"/>
        <v>-12.068842588710419</v>
      </c>
      <c r="CB664" s="318">
        <f t="shared" ca="1" si="338"/>
        <v>83.491397792597681</v>
      </c>
      <c r="CC664" s="318">
        <f t="shared" ca="1" si="349"/>
        <v>144.49935439522881</v>
      </c>
      <c r="CD664" s="325">
        <f t="shared" ca="1" si="339"/>
        <v>215.92190959911608</v>
      </c>
      <c r="CG664" s="180">
        <v>2059</v>
      </c>
      <c r="CH664" s="22">
        <v>45</v>
      </c>
      <c r="CI664" s="318">
        <f t="shared" ca="1" si="340"/>
        <v>-4.3262127884511266</v>
      </c>
      <c r="CJ664" s="318">
        <f t="shared" ca="1" si="341"/>
        <v>-7.454215614362476</v>
      </c>
      <c r="CK664" s="318">
        <f t="shared" ca="1" si="342"/>
        <v>82.157856053066169</v>
      </c>
      <c r="CL664" s="318">
        <f t="shared" ca="1" si="343"/>
        <v>144.5845825674958</v>
      </c>
      <c r="CM664" s="325">
        <f t="shared" ca="1" si="344"/>
        <v>214.96201021774837</v>
      </c>
      <c r="CP664" s="180">
        <v>2059</v>
      </c>
      <c r="CQ664" s="22">
        <v>45</v>
      </c>
      <c r="CR664" s="318">
        <f t="shared" ca="1" si="345"/>
        <v>146.79514120938387</v>
      </c>
      <c r="CS664" s="318">
        <f t="shared" ca="1" si="346"/>
        <v>1.5496069258858762</v>
      </c>
      <c r="CT664" s="325">
        <f t="shared" ca="1" si="347"/>
        <v>227.47476750445645</v>
      </c>
      <c r="CZ664" s="252"/>
      <c r="DA664" s="252"/>
      <c r="DB664" s="252"/>
      <c r="DC664" s="252"/>
      <c r="DD664" s="252"/>
      <c r="DE664" s="252"/>
      <c r="DF664" s="252"/>
      <c r="DG664" s="252"/>
      <c r="DH664" s="252"/>
      <c r="DI664" s="252"/>
      <c r="DJ664" s="252"/>
      <c r="DK664" s="252"/>
      <c r="DL664" s="252"/>
      <c r="DM664" s="252"/>
      <c r="DN664" s="252"/>
      <c r="DO664" s="252"/>
      <c r="DP664" s="252"/>
      <c r="DQ664" s="252"/>
      <c r="DR664" s="180"/>
      <c r="DU664" s="65"/>
      <c r="DW664" s="54"/>
      <c r="EA664" s="55"/>
      <c r="EB664" s="55"/>
      <c r="EC664" s="55"/>
      <c r="ED664" s="55"/>
      <c r="EE664" s="55"/>
    </row>
    <row r="665" spans="1:135" x14ac:dyDescent="0.4">
      <c r="A665" s="214"/>
      <c r="B665" s="89"/>
      <c r="C665" s="14"/>
      <c r="D665" s="14"/>
      <c r="E665" s="14"/>
      <c r="F665" s="14"/>
      <c r="G665" s="14"/>
      <c r="H665" s="14"/>
      <c r="I665" s="14"/>
      <c r="J665" s="14"/>
      <c r="K665" s="14"/>
      <c r="L665" s="14"/>
      <c r="M665" s="50"/>
      <c r="S665" s="120"/>
      <c r="T665" s="120"/>
      <c r="U665" s="120"/>
      <c r="W665" s="120"/>
      <c r="X665" s="120"/>
      <c r="Y665" s="120"/>
      <c r="AA665" s="89"/>
      <c r="AB665" s="89"/>
      <c r="AC665" s="89"/>
      <c r="AD665" s="89"/>
      <c r="AE665" s="89"/>
      <c r="AF665" s="89"/>
      <c r="AG665" s="89"/>
      <c r="AH665" s="89"/>
      <c r="AI665" s="89"/>
      <c r="AJ665" s="89"/>
      <c r="AK665" s="89"/>
      <c r="AL665" s="89"/>
      <c r="AM665" s="89"/>
      <c r="AN665" s="89"/>
      <c r="BR665" s="180">
        <v>2060</v>
      </c>
      <c r="BS665" s="22">
        <v>46</v>
      </c>
      <c r="BT665" s="318">
        <f t="shared" si="334"/>
        <v>76.573756612392827</v>
      </c>
      <c r="BU665" s="318">
        <f t="shared" si="335"/>
        <v>145.54830071405007</v>
      </c>
      <c r="BV665" s="325">
        <f t="shared" si="336"/>
        <v>222.1220573264429</v>
      </c>
      <c r="BY665" s="180">
        <v>2060</v>
      </c>
      <c r="BZ665" s="22">
        <v>46</v>
      </c>
      <c r="CA665" s="318">
        <f t="shared" ca="1" si="337"/>
        <v>-12.611195514919133</v>
      </c>
      <c r="CB665" s="318">
        <f t="shared" ca="1" si="338"/>
        <v>85.346762187988745</v>
      </c>
      <c r="CC665" s="318">
        <f t="shared" ca="1" si="349"/>
        <v>144.49935439522881</v>
      </c>
      <c r="CD665" s="325">
        <f t="shared" ca="1" si="339"/>
        <v>217.23492106829843</v>
      </c>
      <c r="CG665" s="180">
        <v>2060</v>
      </c>
      <c r="CH665" s="22">
        <v>46</v>
      </c>
      <c r="CI665" s="318">
        <f t="shared" ca="1" si="340"/>
        <v>-4.6210836540650622</v>
      </c>
      <c r="CJ665" s="318">
        <f t="shared" ca="1" si="341"/>
        <v>-7.7891951802424693</v>
      </c>
      <c r="CK665" s="318">
        <f t="shared" ca="1" si="342"/>
        <v>83.983586187578751</v>
      </c>
      <c r="CL665" s="318">
        <f t="shared" ca="1" si="343"/>
        <v>144.5845825674958</v>
      </c>
      <c r="CM665" s="325">
        <f t="shared" ca="1" si="344"/>
        <v>216.15788992076702</v>
      </c>
      <c r="CP665" s="180">
        <v>2060</v>
      </c>
      <c r="CQ665" s="22">
        <v>46</v>
      </c>
      <c r="CR665" s="318">
        <f t="shared" ca="1" si="345"/>
        <v>146.79514120938387</v>
      </c>
      <c r="CS665" s="318">
        <f t="shared" ca="1" si="346"/>
        <v>1.5647634538161193</v>
      </c>
      <c r="CT665" s="325">
        <f t="shared" ca="1" si="347"/>
        <v>229.69967216222045</v>
      </c>
      <c r="CZ665" s="89"/>
      <c r="DA665" s="89"/>
      <c r="DB665" s="89"/>
      <c r="DC665" s="89"/>
      <c r="DD665" s="89"/>
      <c r="DE665" s="89"/>
      <c r="DF665" s="89"/>
      <c r="DG665" s="89"/>
      <c r="DH665" s="89"/>
      <c r="DI665" s="89"/>
      <c r="DJ665" s="89"/>
      <c r="DK665" s="89"/>
      <c r="DL665" s="89"/>
      <c r="DM665" s="89"/>
      <c r="DN665" s="89"/>
      <c r="DO665" s="89"/>
      <c r="DP665" s="89"/>
      <c r="DQ665" s="89"/>
      <c r="DR665" s="89"/>
      <c r="DW665" s="54"/>
      <c r="EA665" s="55"/>
      <c r="EB665" s="55"/>
      <c r="EC665" s="55"/>
      <c r="ED665" s="55"/>
      <c r="EE665" s="55"/>
    </row>
    <row r="666" spans="1:135" x14ac:dyDescent="0.4">
      <c r="A666" s="221" t="str">
        <f ca="1">HYPERLINK("#"&amp;"'"&amp;A$1&amp;"'!a1","Back to top")</f>
        <v>Back to top</v>
      </c>
      <c r="C666" s="50"/>
      <c r="D666" s="14"/>
      <c r="E666" s="14"/>
      <c r="F666" s="14"/>
      <c r="G666" s="14"/>
      <c r="H666" s="14"/>
      <c r="I666" s="14"/>
      <c r="J666" s="14"/>
      <c r="K666" s="14"/>
      <c r="L666" s="14"/>
      <c r="M666" s="14"/>
      <c r="N666" s="89"/>
      <c r="O666" s="89"/>
      <c r="P666" s="89"/>
      <c r="Q666" s="89"/>
      <c r="R666" s="89"/>
      <c r="S666" s="89"/>
      <c r="T666" s="89"/>
      <c r="U666" s="89"/>
      <c r="V666" s="89"/>
      <c r="W666" s="89"/>
      <c r="X666" s="89"/>
      <c r="Y666" s="89"/>
      <c r="Z666" s="89"/>
      <c r="AA666" s="89"/>
      <c r="AB666" s="89"/>
      <c r="AC666" s="89"/>
      <c r="AD666" s="89"/>
      <c r="AE666" s="89"/>
      <c r="AF666" s="89"/>
      <c r="AG666" s="89"/>
      <c r="AH666" s="89"/>
      <c r="AI666" s="89"/>
      <c r="AJ666" s="89"/>
      <c r="AK666" s="89"/>
      <c r="AL666" s="89"/>
      <c r="AM666" s="89"/>
      <c r="AN666" s="89"/>
      <c r="DI666" s="326"/>
      <c r="DJ666" s="326"/>
      <c r="DK666" s="326"/>
      <c r="DL666" s="326"/>
      <c r="DM666" s="326"/>
      <c r="DN666" s="327"/>
      <c r="DO666" s="326"/>
      <c r="DP666" s="326"/>
      <c r="DQ666" s="327"/>
      <c r="DW666" s="54"/>
      <c r="EA666" s="55"/>
      <c r="EB666" s="55"/>
      <c r="EC666" s="55"/>
      <c r="ED666" s="55"/>
      <c r="EE666" s="55"/>
    </row>
    <row r="667" spans="1:135" x14ac:dyDescent="0.4">
      <c r="A667" s="221"/>
      <c r="C667" s="50"/>
      <c r="D667" s="14"/>
      <c r="E667" s="14"/>
      <c r="F667" s="14"/>
      <c r="G667" s="14"/>
      <c r="H667" s="14"/>
      <c r="I667" s="14"/>
      <c r="J667" s="14"/>
      <c r="K667" s="14"/>
      <c r="L667" s="14"/>
      <c r="M667" s="14"/>
      <c r="N667" s="89"/>
      <c r="O667" s="89"/>
      <c r="P667" s="89"/>
      <c r="Q667" s="89"/>
      <c r="R667" s="89"/>
      <c r="S667" s="89"/>
      <c r="T667" s="89"/>
      <c r="U667" s="89"/>
      <c r="V667" s="89"/>
      <c r="W667" s="89"/>
      <c r="X667" s="89"/>
      <c r="Y667" s="89"/>
      <c r="Z667" s="89"/>
      <c r="AA667" s="89"/>
      <c r="AB667" s="89"/>
      <c r="AC667" s="89"/>
      <c r="AD667" s="89"/>
      <c r="AE667" s="89"/>
      <c r="AF667" s="89"/>
      <c r="AG667" s="89"/>
      <c r="AH667" s="89"/>
      <c r="AI667" s="89"/>
      <c r="AJ667" s="89"/>
      <c r="AK667" s="89"/>
      <c r="AL667" s="89"/>
      <c r="AM667" s="89"/>
      <c r="AN667" s="89"/>
      <c r="DI667" s="326"/>
      <c r="DJ667" s="326"/>
      <c r="DK667" s="326"/>
      <c r="DL667" s="326"/>
      <c r="DM667" s="326"/>
      <c r="DN667" s="327"/>
      <c r="DO667" s="326"/>
      <c r="DP667" s="326"/>
      <c r="DQ667" s="327"/>
      <c r="DW667" s="54"/>
      <c r="EA667" s="55"/>
      <c r="EB667" s="55"/>
      <c r="EC667" s="55"/>
      <c r="ED667" s="55"/>
      <c r="EE667" s="55"/>
    </row>
    <row r="668" spans="1:135" x14ac:dyDescent="0.4">
      <c r="A668" s="214"/>
      <c r="B668" s="89"/>
      <c r="C668" s="14"/>
      <c r="D668" s="14"/>
      <c r="E668" s="14"/>
      <c r="F668" s="14"/>
      <c r="G668" s="14"/>
      <c r="H668" s="14"/>
      <c r="I668" s="14"/>
      <c r="J668" s="14"/>
      <c r="K668" s="14"/>
      <c r="L668" s="14"/>
      <c r="M668" s="50"/>
      <c r="N668" s="49"/>
      <c r="O668" s="49"/>
      <c r="P668" s="49"/>
      <c r="Q668" s="49"/>
      <c r="R668" s="49"/>
      <c r="S668" s="120"/>
      <c r="T668" s="120"/>
      <c r="U668" s="120"/>
      <c r="V668" s="49"/>
      <c r="W668" s="120"/>
      <c r="X668" s="120"/>
      <c r="Y668" s="120"/>
      <c r="Z668" s="89"/>
      <c r="AA668" s="89"/>
      <c r="AB668" s="89"/>
      <c r="AC668" s="89"/>
      <c r="AD668" s="89"/>
      <c r="AE668" s="89"/>
      <c r="AF668" s="89"/>
      <c r="AG668" s="89"/>
      <c r="AH668" s="89"/>
      <c r="AI668" s="89"/>
      <c r="AJ668" s="89"/>
      <c r="AK668" s="89"/>
      <c r="AL668" s="89"/>
      <c r="AM668" s="89"/>
      <c r="AN668" s="8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1:135" x14ac:dyDescent="0.4">
      <c r="C669" s="256"/>
      <c r="D669" s="256"/>
      <c r="E669" s="256"/>
      <c r="F669" s="256"/>
      <c r="G669" s="328"/>
      <c r="H669" s="328"/>
      <c r="I669" s="328"/>
      <c r="J669" s="256"/>
      <c r="K669" s="328"/>
      <c r="L669" s="255"/>
      <c r="M669" s="256"/>
      <c r="X669" s="257"/>
      <c r="Y669" s="257"/>
      <c r="Z669" s="254"/>
      <c r="AA669" s="254"/>
      <c r="AB669" s="254"/>
      <c r="AC669" s="254"/>
      <c r="AD669" s="254"/>
      <c r="AE669" s="254"/>
      <c r="AF669" s="254"/>
      <c r="AG669" s="254"/>
      <c r="AH669" s="254"/>
      <c r="AI669" s="254"/>
      <c r="AJ669" s="254"/>
      <c r="AK669" s="254"/>
      <c r="AL669" s="254"/>
      <c r="AM669" s="254"/>
      <c r="AN669" s="254"/>
      <c r="DW669" s="258"/>
      <c r="EA669" s="259"/>
      <c r="EB669" s="259"/>
      <c r="EC669" s="259"/>
      <c r="ED669" s="259"/>
      <c r="EE669" s="259"/>
    </row>
    <row r="670" spans="1:135" x14ac:dyDescent="0.4">
      <c r="C670" s="256"/>
      <c r="D670" s="256"/>
      <c r="E670" s="256"/>
      <c r="F670" s="256"/>
      <c r="G670" s="256"/>
      <c r="H670" s="256"/>
      <c r="I670" s="256"/>
      <c r="J670" s="256"/>
      <c r="K670" s="256"/>
      <c r="L670" s="256"/>
      <c r="M670" s="256"/>
      <c r="AJ670" s="254"/>
      <c r="AK670" s="254"/>
      <c r="AL670" s="254"/>
      <c r="AM670" s="254"/>
      <c r="AN670" s="254"/>
      <c r="DW670" s="258"/>
      <c r="EA670" s="259"/>
      <c r="EB670" s="259"/>
      <c r="EC670" s="259"/>
      <c r="ED670" s="259"/>
      <c r="EE670" s="259"/>
    </row>
    <row r="671" spans="1:135" x14ac:dyDescent="0.4">
      <c r="C671" s="329"/>
      <c r="D671" s="329"/>
      <c r="E671" s="329"/>
      <c r="F671" s="329"/>
      <c r="G671" s="329"/>
      <c r="H671" s="329"/>
      <c r="I671" s="329"/>
      <c r="J671" s="329"/>
      <c r="K671" s="329"/>
      <c r="L671" s="329"/>
      <c r="M671" s="329"/>
      <c r="AJ671" s="330"/>
      <c r="AK671" s="330"/>
      <c r="AL671" s="330"/>
      <c r="DW671" s="331"/>
      <c r="EA671" s="332"/>
      <c r="EB671" s="332"/>
      <c r="EC671" s="332"/>
      <c r="ED671" s="332"/>
      <c r="EE671" s="332"/>
    </row>
    <row r="672" spans="1:135" x14ac:dyDescent="0.4">
      <c r="A672" s="333" t="s">
        <v>107</v>
      </c>
      <c r="C672" s="329"/>
      <c r="D672" s="329"/>
      <c r="E672" s="329"/>
      <c r="F672" s="329"/>
      <c r="G672" s="329"/>
      <c r="H672" s="329"/>
      <c r="I672" s="329"/>
      <c r="J672" s="329"/>
      <c r="K672" s="329"/>
      <c r="L672" s="329"/>
      <c r="M672" s="329"/>
      <c r="AJ672" s="330"/>
      <c r="AK672" s="330"/>
      <c r="AL672" s="330"/>
      <c r="DW672" s="331"/>
      <c r="EA672" s="332"/>
      <c r="EB672" s="332"/>
      <c r="EC672" s="332"/>
      <c r="ED672" s="332"/>
      <c r="EE672" s="332"/>
    </row>
    <row r="673" spans="3:135" x14ac:dyDescent="0.4">
      <c r="C673" s="329"/>
      <c r="D673" s="329"/>
      <c r="E673" s="329"/>
      <c r="F673" s="329"/>
      <c r="G673" s="329"/>
      <c r="H673" s="329"/>
      <c r="I673" s="329"/>
      <c r="J673" s="329"/>
      <c r="K673" s="329"/>
      <c r="L673" s="329"/>
      <c r="M673" s="329"/>
      <c r="AJ673" s="330"/>
      <c r="AK673" s="330"/>
      <c r="AL673" s="330"/>
      <c r="DW673" s="331"/>
      <c r="EA673" s="332"/>
      <c r="EB673" s="332"/>
      <c r="EC673" s="332"/>
      <c r="ED673" s="332"/>
      <c r="EE673" s="332"/>
    </row>
    <row r="674" spans="3:135" x14ac:dyDescent="0.4">
      <c r="C674" s="329"/>
      <c r="D674" s="329"/>
      <c r="E674" s="329"/>
      <c r="F674" s="329"/>
      <c r="G674" s="329"/>
      <c r="H674" s="329"/>
      <c r="I674" s="329"/>
      <c r="J674" s="329"/>
      <c r="K674" s="329"/>
      <c r="L674" s="329"/>
      <c r="M674" s="329"/>
      <c r="AJ674" s="330"/>
      <c r="AK674" s="330"/>
      <c r="AL674" s="330"/>
      <c r="DW674" s="331"/>
      <c r="EA674" s="332"/>
      <c r="EB674" s="332"/>
      <c r="EC674" s="332"/>
      <c r="ED674" s="332"/>
      <c r="EE674" s="332"/>
    </row>
    <row r="675" spans="3:135" x14ac:dyDescent="0.4">
      <c r="C675" s="329"/>
      <c r="D675" s="329"/>
      <c r="E675" s="329"/>
      <c r="F675" s="329"/>
      <c r="G675" s="329"/>
      <c r="H675" s="329"/>
      <c r="I675" s="329"/>
      <c r="J675" s="329"/>
      <c r="K675" s="329"/>
      <c r="L675" s="329"/>
      <c r="M675" s="329"/>
      <c r="AJ675" s="330"/>
      <c r="AK675" s="330"/>
      <c r="AL675" s="330"/>
      <c r="AM675" s="330"/>
      <c r="AN675" s="330"/>
      <c r="AO675" s="330"/>
      <c r="AP675" s="330"/>
      <c r="DW675" s="331"/>
      <c r="EA675" s="332"/>
      <c r="EB675" s="332"/>
      <c r="EC675" s="332"/>
      <c r="ED675" s="332"/>
      <c r="EE675" s="332"/>
    </row>
    <row r="676" spans="3:135" x14ac:dyDescent="0.4">
      <c r="C676" s="329"/>
      <c r="D676" s="329"/>
      <c r="E676" s="329"/>
      <c r="F676" s="329"/>
      <c r="G676" s="329"/>
      <c r="H676" s="329"/>
      <c r="I676" s="329"/>
      <c r="J676" s="329"/>
      <c r="K676" s="329"/>
      <c r="L676" s="329"/>
      <c r="M676" s="329"/>
      <c r="AJ676" s="330"/>
      <c r="AK676" s="330"/>
      <c r="AL676" s="330"/>
      <c r="AM676" s="330"/>
      <c r="AN676" s="330"/>
      <c r="AO676" s="330"/>
      <c r="AP676" s="330"/>
      <c r="DW676" s="331"/>
      <c r="EA676" s="332"/>
      <c r="EB676" s="332"/>
      <c r="EC676" s="332"/>
      <c r="ED676" s="332"/>
      <c r="EE676" s="332"/>
    </row>
    <row r="677" spans="3:135" x14ac:dyDescent="0.4">
      <c r="C677" s="329"/>
      <c r="D677" s="329"/>
      <c r="E677" s="329"/>
      <c r="F677" s="329"/>
      <c r="G677" s="329"/>
      <c r="H677" s="329"/>
      <c r="I677" s="329"/>
      <c r="J677" s="329"/>
      <c r="K677" s="329"/>
      <c r="L677" s="329"/>
      <c r="M677" s="329"/>
      <c r="AJ677" s="330"/>
      <c r="AK677" s="330"/>
      <c r="AL677" s="330"/>
      <c r="AM677" s="330"/>
      <c r="AN677" s="330"/>
      <c r="AO677" s="330"/>
      <c r="AP677" s="330"/>
      <c r="DW677" s="331"/>
      <c r="EA677" s="332"/>
      <c r="EB677" s="332"/>
      <c r="EC677" s="332"/>
      <c r="ED677" s="332"/>
      <c r="EE677" s="332"/>
    </row>
    <row r="678" spans="3:135" x14ac:dyDescent="0.4">
      <c r="C678" s="329"/>
      <c r="D678" s="329"/>
      <c r="E678" s="329"/>
      <c r="F678" s="329"/>
      <c r="G678" s="329"/>
      <c r="H678" s="329"/>
      <c r="I678" s="329"/>
      <c r="J678" s="329"/>
      <c r="K678" s="329"/>
      <c r="L678" s="329"/>
      <c r="M678" s="329"/>
      <c r="AJ678" s="330"/>
      <c r="AK678" s="330"/>
      <c r="AL678" s="330"/>
      <c r="AM678" s="330"/>
      <c r="AN678" s="330"/>
      <c r="AO678" s="330"/>
      <c r="AP678" s="330"/>
      <c r="DW678" s="331"/>
      <c r="EA678" s="332"/>
      <c r="EB678" s="332"/>
      <c r="EC678" s="332"/>
      <c r="ED678" s="332"/>
      <c r="EE678" s="332"/>
    </row>
    <row r="679" spans="3:135" x14ac:dyDescent="0.4">
      <c r="C679" s="329"/>
      <c r="D679" s="329"/>
      <c r="E679" s="329"/>
      <c r="F679" s="329"/>
      <c r="G679" s="329"/>
      <c r="H679" s="329"/>
      <c r="I679" s="329"/>
      <c r="J679" s="329"/>
      <c r="K679" s="329"/>
      <c r="L679" s="329"/>
      <c r="M679" s="329"/>
      <c r="DW679" s="331"/>
      <c r="EA679" s="332"/>
      <c r="EB679" s="332"/>
      <c r="EC679" s="332"/>
      <c r="ED679" s="332"/>
      <c r="EE679" s="332"/>
    </row>
    <row r="680" spans="3:135" x14ac:dyDescent="0.4">
      <c r="C680" s="329"/>
      <c r="D680" s="329"/>
      <c r="E680" s="329"/>
      <c r="F680" s="329"/>
      <c r="G680" s="329"/>
      <c r="H680" s="329"/>
      <c r="I680" s="329"/>
      <c r="J680" s="329"/>
      <c r="K680" s="329"/>
      <c r="L680" s="329"/>
      <c r="M680" s="329"/>
      <c r="DW680" s="331"/>
      <c r="EA680" s="332"/>
      <c r="EB680" s="332"/>
      <c r="EC680" s="332"/>
      <c r="ED680" s="332"/>
      <c r="EE680" s="332"/>
    </row>
    <row r="681" spans="3:135" x14ac:dyDescent="0.4">
      <c r="C681" s="329"/>
      <c r="D681" s="329"/>
      <c r="E681" s="329"/>
      <c r="F681" s="329"/>
      <c r="G681" s="329"/>
      <c r="H681" s="329"/>
      <c r="I681" s="329"/>
      <c r="J681" s="329"/>
      <c r="K681" s="329"/>
      <c r="L681" s="329"/>
      <c r="M681" s="329"/>
      <c r="DW681" s="331"/>
      <c r="EA681" s="332"/>
      <c r="EB681" s="332"/>
      <c r="EC681" s="332"/>
      <c r="ED681" s="332"/>
      <c r="EE681" s="332"/>
    </row>
    <row r="682" spans="3:135" x14ac:dyDescent="0.4">
      <c r="C682" s="329"/>
      <c r="D682" s="329"/>
      <c r="E682" s="329"/>
      <c r="F682" s="329"/>
      <c r="G682" s="329"/>
      <c r="H682" s="329"/>
      <c r="I682" s="329"/>
      <c r="J682" s="329"/>
      <c r="K682" s="329"/>
      <c r="L682" s="329"/>
      <c r="M682" s="329"/>
      <c r="DW682" s="331"/>
      <c r="EA682" s="332"/>
      <c r="EB682" s="332"/>
      <c r="EC682" s="332"/>
      <c r="ED682" s="332"/>
      <c r="EE682" s="332"/>
    </row>
    <row r="683" spans="3:135" x14ac:dyDescent="0.4">
      <c r="C683" s="329"/>
      <c r="D683" s="329"/>
      <c r="E683" s="329"/>
      <c r="F683" s="329"/>
      <c r="G683" s="329"/>
      <c r="H683" s="329"/>
      <c r="I683" s="329"/>
      <c r="J683" s="329"/>
      <c r="K683" s="329"/>
      <c r="L683" s="329"/>
      <c r="M683" s="329"/>
      <c r="DW683" s="331"/>
      <c r="EA683" s="332"/>
      <c r="EB683" s="332"/>
      <c r="EC683" s="332"/>
      <c r="ED683" s="332"/>
      <c r="EE683" s="332"/>
    </row>
    <row r="684" spans="3:135" x14ac:dyDescent="0.4">
      <c r="C684" s="329"/>
      <c r="D684" s="329"/>
      <c r="E684" s="329"/>
      <c r="F684" s="329"/>
      <c r="G684" s="329"/>
      <c r="H684" s="329"/>
      <c r="I684" s="329"/>
      <c r="J684" s="329"/>
      <c r="K684" s="329"/>
      <c r="L684" s="329"/>
      <c r="M684" s="329"/>
      <c r="DW684" s="331"/>
      <c r="EA684" s="332"/>
      <c r="EB684" s="332"/>
      <c r="EC684" s="332"/>
      <c r="ED684" s="332"/>
      <c r="EE684" s="332"/>
    </row>
    <row r="685" spans="3:135" x14ac:dyDescent="0.4">
      <c r="C685" s="329"/>
      <c r="D685" s="329"/>
      <c r="E685" s="329"/>
      <c r="F685" s="329"/>
      <c r="G685" s="329"/>
      <c r="H685" s="329"/>
      <c r="I685" s="329"/>
      <c r="J685" s="329"/>
      <c r="K685" s="329"/>
      <c r="L685" s="329"/>
      <c r="M685" s="329"/>
      <c r="DW685" s="331"/>
      <c r="EA685" s="332"/>
      <c r="EB685" s="332"/>
      <c r="EC685" s="332"/>
      <c r="ED685" s="332"/>
      <c r="EE685" s="332"/>
    </row>
    <row r="686" spans="3:135" x14ac:dyDescent="0.4">
      <c r="C686" s="329"/>
      <c r="D686" s="329"/>
      <c r="E686" s="329"/>
      <c r="F686" s="329"/>
      <c r="G686" s="329"/>
      <c r="H686" s="329"/>
      <c r="I686" s="329"/>
      <c r="J686" s="329"/>
      <c r="K686" s="329"/>
      <c r="L686" s="329"/>
      <c r="M686" s="329"/>
      <c r="DW686" s="331"/>
      <c r="EA686" s="332"/>
      <c r="EB686" s="332"/>
      <c r="EC686" s="332"/>
      <c r="ED686" s="332"/>
      <c r="EE686" s="332"/>
    </row>
    <row r="687" spans="3:135" x14ac:dyDescent="0.4">
      <c r="C687" s="329"/>
      <c r="D687" s="329"/>
      <c r="E687" s="329"/>
      <c r="F687" s="329"/>
      <c r="G687" s="329"/>
      <c r="H687" s="329"/>
      <c r="I687" s="329"/>
      <c r="J687" s="329"/>
      <c r="K687" s="329"/>
      <c r="L687" s="329"/>
      <c r="M687" s="329"/>
      <c r="DW687" s="331"/>
      <c r="EA687" s="332"/>
      <c r="EB687" s="332"/>
      <c r="EC687" s="332"/>
      <c r="ED687" s="332"/>
      <c r="EE687" s="332"/>
    </row>
    <row r="688" spans="3:135" x14ac:dyDescent="0.4">
      <c r="C688" s="329"/>
      <c r="D688" s="329"/>
      <c r="E688" s="329"/>
      <c r="F688" s="329"/>
      <c r="G688" s="329"/>
      <c r="H688" s="329"/>
      <c r="I688" s="329"/>
      <c r="J688" s="329"/>
      <c r="K688" s="329"/>
      <c r="L688" s="329"/>
      <c r="M688" s="329"/>
      <c r="DW688" s="331"/>
      <c r="EA688" s="332"/>
      <c r="EB688" s="332"/>
      <c r="EC688" s="332"/>
      <c r="ED688" s="332"/>
      <c r="EE688" s="332"/>
    </row>
    <row r="689" spans="3:135" x14ac:dyDescent="0.4">
      <c r="C689" s="329"/>
      <c r="D689" s="329"/>
      <c r="E689" s="329"/>
      <c r="F689" s="329"/>
      <c r="G689" s="329"/>
      <c r="H689" s="329"/>
      <c r="I689" s="329"/>
      <c r="J689" s="329"/>
      <c r="K689" s="329"/>
      <c r="L689" s="329"/>
      <c r="M689" s="329"/>
      <c r="DW689" s="331"/>
      <c r="EA689" s="332"/>
      <c r="EB689" s="332"/>
      <c r="EC689" s="332"/>
      <c r="ED689" s="332"/>
      <c r="EE689" s="332"/>
    </row>
    <row r="690" spans="3:135" x14ac:dyDescent="0.4">
      <c r="C690" s="329"/>
      <c r="D690" s="329"/>
      <c r="E690" s="329"/>
      <c r="F690" s="329"/>
      <c r="G690" s="329"/>
      <c r="H690" s="329"/>
      <c r="I690" s="329"/>
      <c r="J690" s="329"/>
      <c r="K690" s="329"/>
      <c r="L690" s="329"/>
      <c r="M690" s="329"/>
      <c r="DW690" s="331"/>
      <c r="EA690" s="332"/>
      <c r="EB690" s="332"/>
      <c r="EC690" s="332"/>
      <c r="ED690" s="332"/>
      <c r="EE690" s="332"/>
    </row>
    <row r="691" spans="3:135" x14ac:dyDescent="0.4">
      <c r="C691" s="329"/>
      <c r="D691" s="329"/>
      <c r="E691" s="329"/>
      <c r="F691" s="329"/>
      <c r="G691" s="329"/>
      <c r="H691" s="329"/>
      <c r="I691" s="329"/>
      <c r="J691" s="329"/>
      <c r="K691" s="329"/>
      <c r="L691" s="329"/>
      <c r="M691" s="329"/>
      <c r="DW691" s="331"/>
      <c r="EA691" s="332"/>
      <c r="EB691" s="332"/>
      <c r="EC691" s="332"/>
      <c r="ED691" s="332"/>
      <c r="EE691" s="332"/>
    </row>
    <row r="692" spans="3:135" x14ac:dyDescent="0.4">
      <c r="C692" s="329"/>
      <c r="D692" s="329"/>
      <c r="E692" s="329"/>
      <c r="F692" s="329"/>
      <c r="G692" s="329"/>
      <c r="H692" s="329"/>
      <c r="I692" s="329"/>
      <c r="J692" s="329"/>
      <c r="K692" s="329"/>
      <c r="L692" s="329"/>
      <c r="M692" s="329"/>
      <c r="DW692" s="331"/>
      <c r="EA692" s="332"/>
      <c r="EB692" s="332"/>
      <c r="EC692" s="332"/>
      <c r="ED692" s="332"/>
      <c r="EE692" s="332"/>
    </row>
    <row r="693" spans="3:135" x14ac:dyDescent="0.4">
      <c r="C693" s="329"/>
      <c r="D693" s="329"/>
      <c r="E693" s="329"/>
      <c r="F693" s="329"/>
      <c r="G693" s="329"/>
      <c r="H693" s="329"/>
      <c r="I693" s="329"/>
      <c r="J693" s="329"/>
      <c r="K693" s="329"/>
      <c r="L693" s="329"/>
      <c r="M693" s="329"/>
      <c r="DW693" s="331"/>
      <c r="EA693" s="332"/>
      <c r="EB693" s="332"/>
      <c r="EC693" s="332"/>
      <c r="ED693" s="332"/>
      <c r="EE693" s="332"/>
    </row>
    <row r="694" spans="3:135" x14ac:dyDescent="0.4">
      <c r="C694" s="329"/>
      <c r="D694" s="329"/>
      <c r="E694" s="329"/>
      <c r="F694" s="329"/>
      <c r="G694" s="329"/>
      <c r="H694" s="329"/>
      <c r="I694" s="329"/>
      <c r="J694" s="329"/>
      <c r="K694" s="329"/>
      <c r="L694" s="329"/>
      <c r="M694" s="329"/>
      <c r="DW694" s="331"/>
      <c r="EA694" s="332"/>
      <c r="EB694" s="332"/>
      <c r="EC694" s="332"/>
      <c r="ED694" s="332"/>
      <c r="EE694" s="332"/>
    </row>
    <row r="695" spans="3:135" x14ac:dyDescent="0.4">
      <c r="C695" s="329"/>
      <c r="D695" s="329"/>
      <c r="E695" s="329"/>
      <c r="F695" s="329"/>
      <c r="G695" s="329"/>
      <c r="H695" s="329"/>
      <c r="I695" s="329"/>
      <c r="J695" s="329"/>
      <c r="K695" s="329"/>
      <c r="L695" s="329"/>
      <c r="M695" s="329"/>
      <c r="DW695" s="331"/>
      <c r="EA695" s="332"/>
      <c r="EB695" s="332"/>
      <c r="EC695" s="332"/>
      <c r="ED695" s="332"/>
      <c r="EE695" s="332"/>
    </row>
    <row r="696" spans="3:135" x14ac:dyDescent="0.4">
      <c r="C696" s="329"/>
      <c r="D696" s="329"/>
      <c r="E696" s="329"/>
      <c r="F696" s="329"/>
      <c r="G696" s="329"/>
      <c r="H696" s="329"/>
      <c r="I696" s="329"/>
      <c r="J696" s="329"/>
      <c r="K696" s="329"/>
      <c r="L696" s="329"/>
      <c r="M696" s="329"/>
      <c r="DW696" s="331"/>
      <c r="EA696" s="332"/>
      <c r="EB696" s="332"/>
      <c r="EC696" s="332"/>
      <c r="ED696" s="332"/>
      <c r="EE696" s="332"/>
    </row>
    <row r="697" spans="3:135" x14ac:dyDescent="0.4">
      <c r="C697" s="329"/>
      <c r="D697" s="329"/>
      <c r="E697" s="329"/>
      <c r="F697" s="329"/>
      <c r="G697" s="329"/>
      <c r="H697" s="329"/>
      <c r="I697" s="329"/>
      <c r="J697" s="329"/>
      <c r="K697" s="329"/>
      <c r="L697" s="329"/>
      <c r="M697" s="329"/>
      <c r="DW697" s="331"/>
      <c r="EA697" s="332"/>
      <c r="EB697" s="332"/>
      <c r="EC697" s="332"/>
      <c r="ED697" s="332"/>
      <c r="EE697" s="332"/>
    </row>
    <row r="698" spans="3:135" x14ac:dyDescent="0.4">
      <c r="C698" s="329"/>
      <c r="D698" s="329"/>
      <c r="E698" s="329"/>
      <c r="F698" s="329"/>
      <c r="G698" s="329"/>
      <c r="H698" s="329"/>
      <c r="I698" s="329"/>
      <c r="J698" s="329"/>
      <c r="K698" s="329"/>
      <c r="L698" s="329"/>
      <c r="M698" s="329"/>
      <c r="DW698" s="331"/>
      <c r="EA698" s="332"/>
      <c r="EB698" s="332"/>
      <c r="EC698" s="332"/>
      <c r="ED698" s="332"/>
      <c r="EE698" s="332"/>
    </row>
    <row r="699" spans="3:135" x14ac:dyDescent="0.4">
      <c r="C699" s="329"/>
      <c r="D699" s="329"/>
      <c r="E699" s="329"/>
      <c r="F699" s="329"/>
      <c r="G699" s="329"/>
      <c r="H699" s="329"/>
      <c r="I699" s="329"/>
      <c r="J699" s="329"/>
      <c r="K699" s="329"/>
      <c r="L699" s="329"/>
      <c r="M699" s="329"/>
      <c r="DW699" s="331"/>
      <c r="EA699" s="332"/>
      <c r="EB699" s="332"/>
      <c r="EC699" s="332"/>
      <c r="ED699" s="332"/>
      <c r="EE699" s="332"/>
    </row>
    <row r="700" spans="3:135" x14ac:dyDescent="0.4">
      <c r="C700" s="329"/>
      <c r="D700" s="329"/>
      <c r="E700" s="329"/>
      <c r="F700" s="329"/>
      <c r="G700" s="329"/>
      <c r="H700" s="329"/>
      <c r="I700" s="329"/>
      <c r="J700" s="329"/>
      <c r="K700" s="329"/>
      <c r="L700" s="329"/>
      <c r="M700" s="329"/>
      <c r="DW700" s="331"/>
      <c r="EA700" s="332"/>
      <c r="EB700" s="332"/>
      <c r="EC700" s="332"/>
      <c r="ED700" s="332"/>
      <c r="EE700" s="332"/>
    </row>
    <row r="701" spans="3:135" x14ac:dyDescent="0.4">
      <c r="C701" s="329"/>
      <c r="D701" s="329"/>
      <c r="E701" s="329"/>
      <c r="F701" s="329"/>
      <c r="G701" s="329"/>
      <c r="H701" s="329"/>
      <c r="I701" s="329"/>
      <c r="J701" s="329"/>
      <c r="K701" s="329"/>
      <c r="L701" s="329"/>
      <c r="M701" s="329"/>
      <c r="DW701" s="331"/>
      <c r="EA701" s="332"/>
      <c r="EB701" s="332"/>
      <c r="EC701" s="332"/>
      <c r="ED701" s="332"/>
      <c r="EE701" s="332"/>
    </row>
    <row r="702" spans="3:135" x14ac:dyDescent="0.4">
      <c r="C702" s="329"/>
      <c r="D702" s="329"/>
      <c r="E702" s="329"/>
      <c r="F702" s="329"/>
      <c r="G702" s="329"/>
      <c r="H702" s="329"/>
      <c r="I702" s="329"/>
      <c r="J702" s="329"/>
      <c r="K702" s="329"/>
      <c r="L702" s="329"/>
      <c r="M702" s="329"/>
      <c r="DW702" s="331"/>
      <c r="EA702" s="332"/>
      <c r="EB702" s="332"/>
      <c r="EC702" s="332"/>
      <c r="ED702" s="332"/>
      <c r="EE702" s="332"/>
    </row>
    <row r="703" spans="3:135" x14ac:dyDescent="0.4">
      <c r="C703" s="329"/>
      <c r="D703" s="329"/>
      <c r="E703" s="329"/>
      <c r="F703" s="329"/>
      <c r="G703" s="329"/>
      <c r="H703" s="329"/>
      <c r="I703" s="329"/>
      <c r="J703" s="329"/>
      <c r="K703" s="329"/>
      <c r="L703" s="329"/>
      <c r="M703" s="329"/>
      <c r="DW703" s="331"/>
      <c r="EA703" s="332"/>
      <c r="EB703" s="332"/>
      <c r="EC703" s="332"/>
      <c r="ED703" s="332"/>
      <c r="EE703" s="332"/>
    </row>
    <row r="704" spans="3:135" x14ac:dyDescent="0.4">
      <c r="C704" s="329"/>
      <c r="D704" s="329"/>
      <c r="E704" s="329"/>
      <c r="F704" s="329"/>
      <c r="G704" s="329"/>
      <c r="H704" s="329"/>
      <c r="I704" s="329"/>
      <c r="J704" s="329"/>
      <c r="K704" s="329"/>
      <c r="L704" s="329"/>
      <c r="M704" s="329"/>
      <c r="DW704" s="331"/>
      <c r="EA704" s="332"/>
      <c r="EB704" s="332"/>
      <c r="EC704" s="332"/>
      <c r="ED704" s="332"/>
      <c r="EE704" s="332"/>
    </row>
    <row r="705" spans="3:135" x14ac:dyDescent="0.4">
      <c r="C705" s="329"/>
      <c r="D705" s="329"/>
      <c r="E705" s="329"/>
      <c r="F705" s="329"/>
      <c r="G705" s="329"/>
      <c r="H705" s="329"/>
      <c r="I705" s="329"/>
      <c r="J705" s="329"/>
      <c r="K705" s="329"/>
      <c r="L705" s="329"/>
      <c r="M705" s="329"/>
      <c r="DW705" s="331"/>
      <c r="EA705" s="332"/>
      <c r="EB705" s="332"/>
      <c r="EC705" s="332"/>
      <c r="ED705" s="332"/>
      <c r="EE705" s="332"/>
    </row>
    <row r="706" spans="3:135" x14ac:dyDescent="0.4">
      <c r="C706" s="329"/>
      <c r="D706" s="329"/>
      <c r="E706" s="329"/>
      <c r="F706" s="329"/>
      <c r="G706" s="329"/>
      <c r="H706" s="329"/>
      <c r="I706" s="329"/>
      <c r="J706" s="329"/>
      <c r="K706" s="329"/>
      <c r="L706" s="329"/>
      <c r="M706" s="329"/>
      <c r="DW706" s="331"/>
      <c r="EA706" s="332"/>
      <c r="EB706" s="332"/>
      <c r="EC706" s="332"/>
      <c r="ED706" s="332"/>
      <c r="EE706" s="332"/>
    </row>
    <row r="707" spans="3:135" x14ac:dyDescent="0.4">
      <c r="C707" s="256"/>
      <c r="D707" s="256"/>
      <c r="E707" s="256"/>
      <c r="F707" s="256"/>
      <c r="G707" s="256"/>
      <c r="H707" s="256"/>
      <c r="I707" s="256"/>
      <c r="J707" s="256"/>
      <c r="K707" s="256"/>
      <c r="L707" s="256"/>
      <c r="M707" s="256"/>
      <c r="AJ707" s="254"/>
      <c r="AK707" s="254"/>
      <c r="AL707" s="254"/>
      <c r="AM707" s="254"/>
      <c r="AN707" s="254"/>
      <c r="DW707" s="258"/>
      <c r="EA707" s="259"/>
      <c r="EB707" s="259"/>
      <c r="EC707" s="259"/>
      <c r="ED707" s="259"/>
      <c r="EE707" s="259"/>
    </row>
  </sheetData>
  <pageMargins left="0.7" right="0.7" top="0.75" bottom="0.75" header="0.3" footer="0.3"/>
  <cellWatches>
    <cellWatch r="AZ139"/>
    <cellWatch r="AZ140"/>
    <cellWatch r="AZ141"/>
    <cellWatch r="AZ142"/>
    <cellWatch r="AZ143"/>
    <cellWatch r="AZ144"/>
    <cellWatch r="AZ145"/>
    <cellWatch r="AZ146"/>
    <cellWatch r="AZ147"/>
    <cellWatch r="AZ148"/>
    <cellWatch r="AZ149"/>
    <cellWatch r="AZ150"/>
    <cellWatch r="AZ151"/>
    <cellWatch r="AZ152"/>
    <cellWatch r="AZ153"/>
    <cellWatch r="AZ154"/>
    <cellWatch r="AZ155"/>
    <cellWatch r="AZ156"/>
    <cellWatch r="AZ157"/>
    <cellWatch r="AZ158"/>
    <cellWatch r="AZ159"/>
    <cellWatch r="AZ160"/>
    <cellWatch r="AZ161"/>
    <cellWatch r="AZ162"/>
    <cellWatch r="AZ163"/>
    <cellWatch r="AZ164"/>
    <cellWatch r="AZ165"/>
    <cellWatch r="AZ166"/>
    <cellWatch r="AZ167"/>
    <cellWatch r="AZ168"/>
    <cellWatch r="AZ169"/>
    <cellWatch r="AZ170"/>
    <cellWatch r="AZ171"/>
    <cellWatch r="AZ172"/>
    <cellWatch r="AZ173"/>
    <cellWatch r="AY148"/>
    <cellWatch r="AY149"/>
    <cellWatch r="AY150"/>
    <cellWatch r="AY151"/>
    <cellWatch r="AY152"/>
    <cellWatch r="AY153"/>
    <cellWatch r="AY154"/>
    <cellWatch r="AY155"/>
    <cellWatch r="AY156"/>
    <cellWatch r="AY157"/>
    <cellWatch r="AY158"/>
    <cellWatch r="AY159"/>
    <cellWatch r="AY160"/>
    <cellWatch r="AY161"/>
    <cellWatch r="AY162"/>
    <cellWatch r="AY163"/>
    <cellWatch r="AY164"/>
    <cellWatch r="AY165"/>
    <cellWatch r="AY166"/>
    <cellWatch r="AY167"/>
    <cellWatch r="AY168"/>
    <cellWatch r="AY169"/>
    <cellWatch r="AY170"/>
    <cellWatch r="AY171"/>
    <cellWatch r="AY172"/>
    <cellWatch r="AY173"/>
    <cellWatch r="AY174"/>
    <cellWatch r="AY175"/>
    <cellWatch r="AY176"/>
    <cellWatch r="AY177"/>
    <cellWatch r="AY178"/>
    <cellWatch r="AY179"/>
    <cellWatch r="AY180"/>
    <cellWatch r="AY181"/>
    <cellWatch r="AY182"/>
    <cellWatch r="AZ137"/>
    <cellWatch r="AZ138"/>
    <cellWatch r="AZ212"/>
    <cellWatch r="AZ213"/>
    <cellWatch r="AZ214"/>
    <cellWatch r="AZ215"/>
    <cellWatch r="AZ216"/>
    <cellWatch r="AZ217"/>
    <cellWatch r="AZ218"/>
    <cellWatch r="AZ219"/>
    <cellWatch r="AZ220"/>
    <cellWatch r="AZ221"/>
    <cellWatch r="AZ222"/>
    <cellWatch r="AZ223"/>
    <cellWatch r="AZ224"/>
    <cellWatch r="AZ225"/>
    <cellWatch r="AZ226"/>
    <cellWatch r="AZ227"/>
    <cellWatch r="AZ228"/>
    <cellWatch r="AZ229"/>
    <cellWatch r="AZ230"/>
    <cellWatch r="AZ231"/>
    <cellWatch r="AZ232"/>
    <cellWatch r="AZ233"/>
    <cellWatch r="AZ234"/>
    <cellWatch r="AZ235"/>
    <cellWatch r="AZ236"/>
    <cellWatch r="AZ237"/>
    <cellWatch r="AZ238"/>
    <cellWatch r="AZ239"/>
    <cellWatch r="AZ240"/>
    <cellWatch r="AZ241"/>
    <cellWatch r="BA137"/>
    <cellWatch r="BA138"/>
    <cellWatch r="BA139"/>
    <cellWatch r="BA140"/>
    <cellWatch r="BA141"/>
    <cellWatch r="BA142"/>
    <cellWatch r="BA143"/>
    <cellWatch r="BA144"/>
    <cellWatch r="BA145"/>
    <cellWatch r="BA146"/>
    <cellWatch r="BA147"/>
    <cellWatch r="BA148"/>
    <cellWatch r="BA149"/>
    <cellWatch r="BA150"/>
    <cellWatch r="BA151"/>
    <cellWatch r="BA152"/>
    <cellWatch r="BA153"/>
    <cellWatch r="BA154"/>
    <cellWatch r="BA155"/>
    <cellWatch r="BA156"/>
    <cellWatch r="BA157"/>
    <cellWatch r="BA158"/>
    <cellWatch r="BA159"/>
    <cellWatch r="BA160"/>
    <cellWatch r="BA161"/>
    <cellWatch r="BA162"/>
    <cellWatch r="BA163"/>
    <cellWatch r="BA164"/>
    <cellWatch r="BA165"/>
    <cellWatch r="BA166"/>
    <cellWatch r="BA167"/>
    <cellWatch r="BA168"/>
    <cellWatch r="BA169"/>
    <cellWatch r="BA170"/>
    <cellWatch r="BA171"/>
    <cellWatch r="AZ174"/>
    <cellWatch r="AZ175"/>
    <cellWatch r="AZ242"/>
    <cellWatch r="AZ243"/>
    <cellWatch r="AZ244"/>
    <cellWatch r="AZ245"/>
    <cellWatch r="AY139"/>
    <cellWatch r="AY140"/>
    <cellWatch r="AY141"/>
    <cellWatch r="AY142"/>
    <cellWatch r="AY143"/>
    <cellWatch r="AY144"/>
    <cellWatch r="AY145"/>
    <cellWatch r="AY146"/>
    <cellWatch r="AY147"/>
    <cellWatch r="AZ176"/>
    <cellWatch r="AZ177"/>
    <cellWatch r="AZ178"/>
    <cellWatch r="AZ296"/>
    <cellWatch r="AZ297"/>
    <cellWatch r="AZ298"/>
    <cellWatch r="AZ299"/>
    <cellWatch r="AZ300"/>
    <cellWatch r="AZ301"/>
    <cellWatch r="AZ302"/>
    <cellWatch r="AZ303"/>
    <cellWatch r="AZ304"/>
    <cellWatch r="AZ305"/>
    <cellWatch r="AZ306"/>
    <cellWatch r="AZ307"/>
    <cellWatch r="AZ308"/>
    <cellWatch r="AZ309"/>
    <cellWatch r="AZ310"/>
    <cellWatch r="AZ311"/>
    <cellWatch r="AZ312"/>
    <cellWatch r="AZ313"/>
    <cellWatch r="AZ314"/>
    <cellWatch r="AZ315"/>
    <cellWatch r="AZ316"/>
    <cellWatch r="AZ317"/>
    <cellWatch r="AZ318"/>
    <cellWatch r="AZ319"/>
    <cellWatch r="AZ320"/>
    <cellWatch r="AZ321"/>
    <cellWatch r="BB137"/>
    <cellWatch r="BB138"/>
    <cellWatch r="BB139"/>
    <cellWatch r="BB140"/>
    <cellWatch r="BB141"/>
    <cellWatch r="BB142"/>
    <cellWatch r="BB143"/>
    <cellWatch r="BB144"/>
    <cellWatch r="BB145"/>
    <cellWatch r="BB146"/>
    <cellWatch r="BB147"/>
    <cellWatch r="BB148"/>
    <cellWatch r="BB149"/>
    <cellWatch r="BB150"/>
    <cellWatch r="BB151"/>
    <cellWatch r="BB152"/>
    <cellWatch r="BB153"/>
    <cellWatch r="BB154"/>
    <cellWatch r="BB155"/>
    <cellWatch r="BB156"/>
    <cellWatch r="BB157"/>
    <cellWatch r="BB158"/>
    <cellWatch r="BB159"/>
    <cellWatch r="BB160"/>
    <cellWatch r="BB161"/>
    <cellWatch r="BB162"/>
    <cellWatch r="BB163"/>
    <cellWatch r="BB164"/>
    <cellWatch r="BB165"/>
    <cellWatch r="BB166"/>
    <cellWatch r="BB167"/>
    <cellWatch r="BB168"/>
    <cellWatch r="BB169"/>
    <cellWatch r="BB170"/>
    <cellWatch r="BB171"/>
    <cellWatch r="AY135"/>
    <cellWatch r="AY136"/>
    <cellWatch r="AY137"/>
    <cellWatch r="AY138"/>
    <cellWatch r="AZ179"/>
    <cellWatch r="AZ180"/>
    <cellWatch r="AZ181"/>
    <cellWatch r="AZ182"/>
    <cellWatch r="BB172"/>
    <cellWatch r="AZ246"/>
    <cellWatch r="AY183"/>
    <cellWatch r="AY184"/>
    <cellWatch r="AY185"/>
    <cellWatch r="AY186"/>
    <cellWatch r="AY187"/>
    <cellWatch r="AY220"/>
    <cellWatch r="AY221"/>
    <cellWatch r="AY222"/>
    <cellWatch r="AY223"/>
    <cellWatch r="AY224"/>
    <cellWatch r="AY225"/>
    <cellWatch r="AY226"/>
    <cellWatch r="AY227"/>
    <cellWatch r="AY228"/>
    <cellWatch r="AY229"/>
    <cellWatch r="AY230"/>
    <cellWatch r="AY231"/>
    <cellWatch r="AY232"/>
    <cellWatch r="AY233"/>
    <cellWatch r="AY234"/>
    <cellWatch r="AY235"/>
    <cellWatch r="AY236"/>
    <cellWatch r="AY237"/>
    <cellWatch r="AY238"/>
    <cellWatch r="AY239"/>
    <cellWatch r="AY240"/>
    <cellWatch r="AY241"/>
    <cellWatch r="AY242"/>
    <cellWatch r="AY243"/>
    <cellWatch r="AY244"/>
    <cellWatch r="AY245"/>
    <cellWatch r="AY246"/>
    <cellWatch r="AY247"/>
    <cellWatch r="AY248"/>
    <cellWatch r="AY249"/>
    <cellWatch r="AX156"/>
    <cellWatch r="AX157"/>
    <cellWatch r="AX158"/>
    <cellWatch r="AX159"/>
    <cellWatch r="AX160"/>
    <cellWatch r="AX161"/>
    <cellWatch r="AX162"/>
    <cellWatch r="AX163"/>
    <cellWatch r="AX164"/>
    <cellWatch r="AX165"/>
    <cellWatch r="AX166"/>
    <cellWatch r="AX167"/>
    <cellWatch r="AX168"/>
    <cellWatch r="AX169"/>
    <cellWatch r="AX170"/>
    <cellWatch r="AX171"/>
    <cellWatch r="AX172"/>
    <cellWatch r="AX173"/>
    <cellWatch r="AX174"/>
    <cellWatch r="AX175"/>
    <cellWatch r="AX176"/>
    <cellWatch r="AX177"/>
    <cellWatch r="AX178"/>
    <cellWatch r="AX179"/>
    <cellWatch r="AX180"/>
    <cellWatch r="AX181"/>
    <cellWatch r="AX182"/>
    <cellWatch r="AX183"/>
    <cellWatch r="AX184"/>
    <cellWatch r="AX185"/>
    <cellWatch r="AX186"/>
    <cellWatch r="AX187"/>
    <cellWatch r="AX188"/>
    <cellWatch r="AX189"/>
    <cellWatch r="AX190"/>
    <cellWatch r="AY304"/>
    <cellWatch r="AY305"/>
    <cellWatch r="AY306"/>
    <cellWatch r="AY307"/>
    <cellWatch r="AY308"/>
    <cellWatch r="AY309"/>
    <cellWatch r="AY310"/>
    <cellWatch r="AY311"/>
    <cellWatch r="AY312"/>
    <cellWatch r="AY313"/>
    <cellWatch r="AY314"/>
    <cellWatch r="AY315"/>
    <cellWatch r="AY316"/>
    <cellWatch r="AY317"/>
    <cellWatch r="AY318"/>
    <cellWatch r="AY319"/>
    <cellWatch r="AY320"/>
    <cellWatch r="AY321"/>
    <cellWatch r="AY322"/>
    <cellWatch r="AY323"/>
    <cellWatch r="AY324"/>
    <cellWatch r="AY325"/>
    <cellWatch r="AY326"/>
    <cellWatch r="AY327"/>
    <cellWatch r="AY328"/>
    <cellWatch r="AY329"/>
    <cellWatch r="BA172"/>
    <cellWatch r="BA173"/>
    <cellWatch r="BA174"/>
    <cellWatch r="BA175"/>
    <cellWatch r="BA176"/>
    <cellWatch r="BA177"/>
    <cellWatch r="BA178"/>
    <cellWatch r="BA179"/>
    <cellWatch r="BA180"/>
    <cellWatch r="AY250"/>
    <cellWatch r="AY251"/>
    <cellWatch r="AY252"/>
    <cellWatch r="AY253"/>
    <cellWatch r="AY254"/>
    <cellWatch r="AX191"/>
    <cellWatch r="AX192"/>
    <cellWatch r="AX193"/>
    <cellWatch r="AX194"/>
    <cellWatch r="AX195"/>
    <cellWatch r="AU144"/>
    <cellWatch r="AU145"/>
    <cellWatch r="AU146"/>
    <cellWatch r="AU147"/>
    <cellWatch r="AU148"/>
    <cellWatch r="AU149"/>
    <cellWatch r="AU150"/>
    <cellWatch r="AU151"/>
    <cellWatch r="AU152"/>
    <cellWatch r="AU153"/>
    <cellWatch r="AU154"/>
    <cellWatch r="AU155"/>
    <cellWatch r="AU156"/>
    <cellWatch r="AU157"/>
    <cellWatch r="AU158"/>
    <cellWatch r="AU159"/>
    <cellWatch r="AU160"/>
    <cellWatch r="AU161"/>
    <cellWatch r="AU162"/>
    <cellWatch r="AU163"/>
    <cellWatch r="AU164"/>
    <cellWatch r="AU165"/>
    <cellWatch r="AU166"/>
    <cellWatch r="AU167"/>
    <cellWatch r="AU168"/>
    <cellWatch r="AU169"/>
    <cellWatch r="AU170"/>
    <cellWatch r="AU171"/>
    <cellWatch r="AU172"/>
    <cellWatch r="AU173"/>
    <cellWatch r="AU174"/>
    <cellWatch r="AU175"/>
    <cellWatch r="AU176"/>
    <cellWatch r="AU177"/>
    <cellWatch r="AU178"/>
    <cellWatch r="AU224"/>
    <cellWatch r="AU225"/>
    <cellWatch r="AU226"/>
    <cellWatch r="AU227"/>
    <cellWatch r="AU228"/>
    <cellWatch r="AU229"/>
    <cellWatch r="AU230"/>
    <cellWatch r="AU231"/>
    <cellWatch r="AU232"/>
    <cellWatch r="AU233"/>
    <cellWatch r="AU234"/>
    <cellWatch r="AU235"/>
    <cellWatch r="AU236"/>
    <cellWatch r="AU237"/>
    <cellWatch r="AU238"/>
    <cellWatch r="AU239"/>
    <cellWatch r="AU240"/>
    <cellWatch r="AU241"/>
    <cellWatch r="AU242"/>
    <cellWatch r="AU243"/>
    <cellWatch r="AU244"/>
    <cellWatch r="AU245"/>
    <cellWatch r="AU246"/>
    <cellWatch r="AU247"/>
    <cellWatch r="AU248"/>
    <cellWatch r="AU249"/>
    <cellWatch r="AU250"/>
    <cellWatch r="AU251"/>
    <cellWatch r="AU252"/>
    <cellWatch r="AU253"/>
    <cellWatch r="AU179"/>
    <cellWatch r="AU180"/>
    <cellWatch r="AU181"/>
    <cellWatch r="AU182"/>
    <cellWatch r="AU183"/>
    <cellWatch r="AU219"/>
    <cellWatch r="AU220"/>
    <cellWatch r="AU221"/>
    <cellWatch r="AU222"/>
    <cellWatch r="AU223"/>
    <cellWatch r="AV144"/>
    <cellWatch r="AV145"/>
    <cellWatch r="AV146"/>
    <cellWatch r="AV147"/>
    <cellWatch r="AV148"/>
    <cellWatch r="AV149"/>
    <cellWatch r="AV150"/>
    <cellWatch r="AV151"/>
    <cellWatch r="AV152"/>
    <cellWatch r="AV153"/>
    <cellWatch r="AV154"/>
    <cellWatch r="AV155"/>
    <cellWatch r="AV156"/>
    <cellWatch r="AV157"/>
    <cellWatch r="AV158"/>
    <cellWatch r="AV159"/>
    <cellWatch r="AV160"/>
    <cellWatch r="AV161"/>
    <cellWatch r="AV162"/>
    <cellWatch r="AV163"/>
    <cellWatch r="AV164"/>
    <cellWatch r="AV165"/>
    <cellWatch r="AV166"/>
    <cellWatch r="AV167"/>
    <cellWatch r="AV168"/>
    <cellWatch r="AV169"/>
    <cellWatch r="AV170"/>
    <cellWatch r="AV171"/>
    <cellWatch r="AV172"/>
    <cellWatch r="AV173"/>
    <cellWatch r="AV174"/>
    <cellWatch r="AV175"/>
    <cellWatch r="AV176"/>
    <cellWatch r="AV177"/>
    <cellWatch r="AV178"/>
    <cellWatch r="AT155"/>
    <cellWatch r="AT156"/>
    <cellWatch r="AT157"/>
    <cellWatch r="AT158"/>
    <cellWatch r="AT159"/>
    <cellWatch r="AT160"/>
    <cellWatch r="AT161"/>
    <cellWatch r="AT162"/>
    <cellWatch r="AT163"/>
    <cellWatch r="AT164"/>
    <cellWatch r="AT165"/>
    <cellWatch r="AT166"/>
    <cellWatch r="AT167"/>
    <cellWatch r="AT168"/>
    <cellWatch r="AT169"/>
    <cellWatch r="AT170"/>
    <cellWatch r="AT171"/>
    <cellWatch r="AT172"/>
    <cellWatch r="AT173"/>
    <cellWatch r="AT174"/>
    <cellWatch r="AT175"/>
    <cellWatch r="AT176"/>
    <cellWatch r="AT177"/>
    <cellWatch r="AT178"/>
    <cellWatch r="AT179"/>
    <cellWatch r="AT180"/>
    <cellWatch r="AT181"/>
    <cellWatch r="AT182"/>
    <cellWatch r="AT183"/>
    <cellWatch r="AT184"/>
    <cellWatch r="AT185"/>
    <cellWatch r="AT186"/>
    <cellWatch r="AT187"/>
    <cellWatch r="AT188"/>
    <cellWatch r="AT189"/>
    <cellWatch r="AU303"/>
    <cellWatch r="AU304"/>
    <cellWatch r="AU305"/>
    <cellWatch r="AU306"/>
    <cellWatch r="AU307"/>
    <cellWatch r="AU308"/>
    <cellWatch r="AU309"/>
    <cellWatch r="AU310"/>
    <cellWatch r="AU311"/>
    <cellWatch r="AU312"/>
    <cellWatch r="AU313"/>
    <cellWatch r="AU314"/>
    <cellWatch r="AU315"/>
    <cellWatch r="AU316"/>
    <cellWatch r="AU317"/>
    <cellWatch r="AU318"/>
    <cellWatch r="AU319"/>
    <cellWatch r="AU320"/>
    <cellWatch r="AU321"/>
    <cellWatch r="AU322"/>
    <cellWatch r="AU323"/>
    <cellWatch r="AU324"/>
    <cellWatch r="AU325"/>
    <cellWatch r="AU326"/>
    <cellWatch r="AU327"/>
    <cellWatch r="AU328"/>
    <cellWatch r="AW144"/>
    <cellWatch r="AW145"/>
    <cellWatch r="AW147"/>
    <cellWatch r="AW148"/>
    <cellWatch r="AW149"/>
    <cellWatch r="AW150"/>
    <cellWatch r="AW151"/>
    <cellWatch r="AW152"/>
    <cellWatch r="AW153"/>
    <cellWatch r="AW154"/>
    <cellWatch r="AW155"/>
    <cellWatch r="AW156"/>
    <cellWatch r="AW157"/>
    <cellWatch r="AW158"/>
    <cellWatch r="AW159"/>
    <cellWatch r="AW160"/>
    <cellWatch r="AW161"/>
    <cellWatch r="AW162"/>
    <cellWatch r="AW163"/>
    <cellWatch r="AW164"/>
    <cellWatch r="AW165"/>
    <cellWatch r="AW166"/>
    <cellWatch r="AW167"/>
    <cellWatch r="AW168"/>
    <cellWatch r="AW169"/>
    <cellWatch r="AW170"/>
    <cellWatch r="AW171"/>
    <cellWatch r="AW172"/>
    <cellWatch r="AW173"/>
    <cellWatch r="AW174"/>
    <cellWatch r="AW175"/>
    <cellWatch r="AW176"/>
    <cellWatch r="AW177"/>
    <cellWatch r="AW178"/>
    <cellWatch r="AW179"/>
    <cellWatch r="AU184"/>
    <cellWatch r="AU185"/>
    <cellWatch r="AT190"/>
    <cellWatch r="AT191"/>
    <cellWatch r="AT192"/>
    <cellWatch r="AT193"/>
    <cellWatch r="AT194"/>
    <cellWatch r="AU142"/>
    <cellWatch r="AU143"/>
    <cellWatch r="AT151"/>
    <cellWatch r="AT152"/>
    <cellWatch r="AT153"/>
    <cellWatch r="AT154"/>
    <cellWatch r="AU140"/>
    <cellWatch r="AU141"/>
    <cellWatch r="AU215"/>
    <cellWatch r="AU216"/>
    <cellWatch r="AU217"/>
    <cellWatch r="AU218"/>
    <cellWatch r="AV140"/>
    <cellWatch r="AV141"/>
    <cellWatch r="AV142"/>
    <cellWatch r="AV143"/>
    <cellWatch r="AT142"/>
    <cellWatch r="AT143"/>
    <cellWatch r="AT144"/>
    <cellWatch r="AT145"/>
    <cellWatch r="AT146"/>
    <cellWatch r="AT147"/>
    <cellWatch r="AT148"/>
    <cellWatch r="AT149"/>
    <cellWatch r="AT150"/>
    <cellWatch r="AU299"/>
    <cellWatch r="AU300"/>
    <cellWatch r="AU301"/>
    <cellWatch r="AU302"/>
    <cellWatch r="AW140"/>
    <cellWatch r="AW141"/>
    <cellWatch r="AW142"/>
    <cellWatch r="AW143"/>
    <cellWatch r="AW146"/>
    <cellWatch r="AT138"/>
    <cellWatch r="AT139"/>
    <cellWatch r="AT140"/>
    <cellWatch r="AT141"/>
    <cellWatch r="BC137"/>
    <cellWatch r="BC138"/>
    <cellWatch r="BC139"/>
    <cellWatch r="BC140"/>
    <cellWatch r="BC141"/>
    <cellWatch r="BC142"/>
    <cellWatch r="BC143"/>
    <cellWatch r="BC144"/>
    <cellWatch r="BC145"/>
    <cellWatch r="BC146"/>
    <cellWatch r="BC147"/>
    <cellWatch r="BC148"/>
    <cellWatch r="BC149"/>
    <cellWatch r="BC150"/>
    <cellWatch r="BC151"/>
    <cellWatch r="BC152"/>
    <cellWatch r="BC153"/>
    <cellWatch r="BC154"/>
    <cellWatch r="BC155"/>
    <cellWatch r="BC156"/>
    <cellWatch r="BC157"/>
    <cellWatch r="BC158"/>
    <cellWatch r="BC159"/>
    <cellWatch r="BC160"/>
    <cellWatch r="BC161"/>
    <cellWatch r="BC162"/>
    <cellWatch r="BC163"/>
    <cellWatch r="BC164"/>
    <cellWatch r="BC165"/>
    <cellWatch r="BC166"/>
    <cellWatch r="BC167"/>
    <cellWatch r="BC168"/>
    <cellWatch r="BC169"/>
    <cellWatch r="BC170"/>
    <cellWatch r="BC171"/>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Table of Contents</vt:lpstr>
      <vt:lpstr>Overview</vt:lpstr>
      <vt:lpstr>Total MSW TAM Data_Updated2020</vt:lpstr>
      <vt:lpstr>MSW Integration Calcs PDS1 </vt:lpstr>
      <vt:lpstr>MSW Integration Calcs PDS1_Arch</vt:lpstr>
      <vt:lpstr>MSW Integration Calcs PDS2</vt:lpstr>
      <vt:lpstr>MSW Integration Calcs PDS2_Arch</vt:lpstr>
      <vt:lpstr>MSW Integration Calcs PDS3</vt:lpstr>
      <vt:lpstr>MSW Integration Calcs PDS3_Arch</vt:lpstr>
      <vt:lpstr>WTE Tonnes and Composition</vt:lpstr>
      <vt:lpstr>WTE and LM Analysis</vt:lpstr>
      <vt:lpstr>WTE and LM Analysis_2021 Archiv</vt:lpstr>
      <vt:lpstr>Landfill Methane</vt:lpstr>
      <vt:lpstr>Food System Summary</vt:lpstr>
      <vt:lpstr>Food System Summary_2021 Archiv</vt:lpstr>
      <vt:lpstr>Paper</vt:lpstr>
      <vt:lpstr>Paper_2021 Archive</vt:lpstr>
      <vt:lpstr>Compost</vt:lpstr>
      <vt:lpstr>Compost_2021 Archive</vt:lpstr>
      <vt:lpstr>H&amp;C Recycling</vt:lpstr>
      <vt:lpstr>H&amp;C Recycling_2021 Archive</vt:lpstr>
      <vt:lpstr>Bioplastics</vt:lpstr>
      <vt:lpstr>Bioplastics_2021 Archive</vt:lpstr>
      <vt:lpstr>Refrigerant Management</vt:lpstr>
      <vt:lpstr>Total MSW Summaries_Updated2020</vt:lpstr>
      <vt:lpstr>Total MSW TAM Data_2021 Archive</vt:lpstr>
      <vt:lpstr>What a Waste 2.0</vt:lpstr>
      <vt:lpstr>IPCC (2019 Refinement)</vt:lpstr>
      <vt:lpstr>UNEP Global Waste Management</vt:lpstr>
      <vt:lpstr>USA Data- EPA</vt:lpstr>
      <vt:lpstr>India Data</vt:lpstr>
      <vt:lpstr>Data Interpolator</vt:lpstr>
      <vt:lpstr>EU Data</vt:lpstr>
      <vt:lpstr>Total MSW Summaries (Archive)</vt:lpstr>
      <vt:lpstr>Total MSW TAM Data (Archive)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Mamta</cp:lastModifiedBy>
  <dcterms:created xsi:type="dcterms:W3CDTF">2016-10-27T22:00:02Z</dcterms:created>
  <dcterms:modified xsi:type="dcterms:W3CDTF">2021-10-06T20:20:20Z</dcterms:modified>
</cp:coreProperties>
</file>